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amitp\OneDrive\文档\Projects\Sagar Gavas\"/>
    </mc:Choice>
  </mc:AlternateContent>
  <xr:revisionPtr revIDLastSave="0" documentId="8_{52BEBE32-804E-4CE2-9EDC-842A04863711}" xr6:coauthVersionLast="47" xr6:coauthVersionMax="47" xr10:uidLastSave="{00000000-0000-0000-0000-000000000000}"/>
  <bookViews>
    <workbookView xWindow="28680" yWindow="-120" windowWidth="38640" windowHeight="21120" xr2:uid="{19575087-603F-4D13-86FF-CA88697AAB4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F3002" i="1" l="1"/>
  <c r="BT3002" i="1"/>
  <c r="BF3003" i="1"/>
  <c r="BT3003" i="1"/>
  <c r="BF3004" i="1"/>
  <c r="BT3004" i="1"/>
  <c r="BF3005" i="1"/>
  <c r="BT3005" i="1"/>
  <c r="BF3006" i="1"/>
  <c r="BT3006" i="1"/>
  <c r="BF3007" i="1"/>
  <c r="BT3007" i="1"/>
  <c r="BF3008" i="1"/>
  <c r="BT3008" i="1"/>
  <c r="BF3009" i="1"/>
  <c r="BT3009" i="1"/>
  <c r="BF3010" i="1"/>
  <c r="BT3010" i="1"/>
  <c r="BF3011" i="1"/>
  <c r="BT3011" i="1"/>
  <c r="BF3012" i="1"/>
  <c r="BT3012" i="1"/>
  <c r="BF3013" i="1"/>
  <c r="BT3013" i="1"/>
  <c r="BF3014" i="1"/>
  <c r="BT3014" i="1"/>
  <c r="BF3015" i="1"/>
  <c r="BT3015" i="1"/>
  <c r="BF3016" i="1"/>
  <c r="BT3016" i="1"/>
  <c r="BF3017" i="1"/>
  <c r="BT3017" i="1"/>
  <c r="BF3018" i="1"/>
  <c r="BT3018" i="1"/>
  <c r="BF3019" i="1"/>
  <c r="BT3019" i="1"/>
  <c r="BF3020" i="1"/>
  <c r="BT3020" i="1"/>
  <c r="BF3021" i="1"/>
  <c r="BT3021" i="1"/>
  <c r="BF3022" i="1"/>
  <c r="BT3022" i="1"/>
  <c r="BF3023" i="1"/>
  <c r="BT3023" i="1"/>
  <c r="BF3024" i="1"/>
  <c r="BT3024" i="1"/>
  <c r="BF3025" i="1"/>
  <c r="BT3025" i="1"/>
  <c r="BF3026" i="1"/>
  <c r="BT3026" i="1"/>
  <c r="BF3027" i="1"/>
  <c r="BT3027" i="1"/>
  <c r="BF3028" i="1"/>
  <c r="BT3028" i="1"/>
  <c r="BF3029" i="1"/>
  <c r="BT3029" i="1"/>
  <c r="BF3030" i="1"/>
  <c r="BT3030" i="1"/>
  <c r="BF3031" i="1"/>
  <c r="BT3031" i="1"/>
  <c r="BF3032" i="1"/>
  <c r="BT3032" i="1"/>
  <c r="BF3033" i="1"/>
  <c r="BT3033" i="1"/>
  <c r="BF3034" i="1"/>
  <c r="BT3034" i="1"/>
  <c r="BF3035" i="1"/>
  <c r="BT3035" i="1"/>
  <c r="BF3036" i="1"/>
  <c r="BT3036" i="1"/>
  <c r="BF3037" i="1"/>
  <c r="BT3037" i="1"/>
  <c r="BF3038" i="1"/>
  <c r="BT3038" i="1"/>
  <c r="BF3039" i="1"/>
  <c r="BT3039" i="1"/>
  <c r="BF3040" i="1"/>
  <c r="BT3040" i="1"/>
  <c r="BF3041" i="1"/>
  <c r="BT3041" i="1"/>
  <c r="BF3042" i="1"/>
  <c r="BT3042" i="1"/>
  <c r="BF3043" i="1"/>
  <c r="BT3043" i="1"/>
  <c r="BF3044" i="1"/>
  <c r="BT3044" i="1"/>
  <c r="BF3045" i="1"/>
  <c r="BT3045" i="1"/>
  <c r="BF3046" i="1"/>
  <c r="BT3046" i="1"/>
  <c r="BF3047" i="1"/>
  <c r="BT3047" i="1"/>
  <c r="BF3048" i="1"/>
  <c r="BT3048" i="1"/>
  <c r="BF3049" i="1"/>
  <c r="BT3049" i="1"/>
  <c r="BT3050" i="1"/>
  <c r="BF3051" i="1"/>
  <c r="BT3051" i="1"/>
  <c r="BF3052" i="1"/>
  <c r="BT3052" i="1"/>
  <c r="BF3053" i="1"/>
  <c r="BT3053" i="1"/>
  <c r="BF3054" i="1"/>
  <c r="BT3054" i="1"/>
  <c r="BF3055" i="1"/>
  <c r="BT3055" i="1"/>
  <c r="BF3056" i="1"/>
  <c r="BT3056" i="1"/>
  <c r="BF3057" i="1"/>
  <c r="BT3057" i="1"/>
  <c r="BF3058" i="1"/>
  <c r="BT3058" i="1"/>
  <c r="BF3059" i="1"/>
  <c r="BT3059" i="1"/>
  <c r="BF3060" i="1"/>
  <c r="BT3060" i="1"/>
  <c r="BF3061" i="1"/>
  <c r="BT3061" i="1"/>
  <c r="BF3062" i="1"/>
  <c r="BT3062" i="1"/>
  <c r="BF3063" i="1"/>
  <c r="BT3063" i="1"/>
  <c r="BF3064" i="1"/>
  <c r="BT3064" i="1"/>
  <c r="BF3065" i="1"/>
  <c r="BT3065" i="1"/>
  <c r="BF3066" i="1"/>
  <c r="BT3066" i="1"/>
  <c r="BF3067" i="1"/>
  <c r="BT3067" i="1"/>
  <c r="BF3068" i="1"/>
  <c r="BT3068" i="1"/>
  <c r="BF3069" i="1"/>
  <c r="BT3069" i="1"/>
  <c r="BF3070" i="1"/>
  <c r="BT3070" i="1"/>
  <c r="BF3071" i="1"/>
  <c r="BT3071" i="1"/>
  <c r="BF3072" i="1"/>
  <c r="BT3072" i="1"/>
  <c r="BF3073" i="1"/>
  <c r="BT3073" i="1"/>
  <c r="BF3074" i="1"/>
  <c r="BT3074" i="1"/>
  <c r="BF3075" i="1"/>
  <c r="BT3075" i="1"/>
  <c r="BF3076" i="1"/>
  <c r="BT3076" i="1"/>
  <c r="BF3077" i="1"/>
  <c r="BT3077" i="1"/>
  <c r="BF3078" i="1"/>
  <c r="BT3078" i="1"/>
  <c r="BF3079" i="1"/>
  <c r="BT3079" i="1"/>
  <c r="BF3080" i="1"/>
  <c r="BT3080" i="1"/>
  <c r="BF3081" i="1"/>
  <c r="BT3081" i="1"/>
  <c r="BF3082" i="1"/>
  <c r="BT3082" i="1"/>
  <c r="BF3083" i="1"/>
  <c r="BT3083" i="1"/>
  <c r="BF3084" i="1"/>
  <c r="BT3084" i="1"/>
  <c r="BF3085" i="1"/>
  <c r="BT3085" i="1"/>
  <c r="BF3086" i="1"/>
  <c r="BT3086" i="1"/>
  <c r="BF3087" i="1"/>
  <c r="BT3087" i="1"/>
  <c r="BF3088" i="1"/>
  <c r="BT3088" i="1"/>
  <c r="BF3089" i="1"/>
  <c r="BT3089" i="1"/>
  <c r="BF3090" i="1"/>
  <c r="BT3090" i="1"/>
  <c r="BF3091" i="1"/>
  <c r="BT3091" i="1"/>
  <c r="BF3092" i="1"/>
  <c r="BT3092" i="1"/>
  <c r="BF3093" i="1"/>
  <c r="BT3093" i="1"/>
  <c r="BF3094" i="1"/>
  <c r="BT3094" i="1"/>
  <c r="BF3095" i="1"/>
  <c r="BT3095" i="1"/>
  <c r="BF3096" i="1"/>
  <c r="BT3096" i="1"/>
  <c r="BF3097" i="1"/>
  <c r="BT3097" i="1"/>
  <c r="BF3098" i="1"/>
  <c r="BT3098" i="1"/>
  <c r="BF3099" i="1"/>
  <c r="BT3099" i="1"/>
  <c r="BF3100" i="1"/>
  <c r="BT3100" i="1"/>
  <c r="BF3101" i="1"/>
  <c r="BT3101" i="1"/>
  <c r="BF3102" i="1"/>
  <c r="BT3102" i="1"/>
  <c r="BF3103" i="1"/>
  <c r="BT3103" i="1"/>
  <c r="BF3104" i="1"/>
  <c r="BT3104" i="1"/>
  <c r="BF3105" i="1"/>
  <c r="BT3105" i="1"/>
  <c r="BF3106" i="1"/>
  <c r="BT3106" i="1"/>
  <c r="BF3107" i="1"/>
  <c r="BT3107" i="1"/>
  <c r="BF3108" i="1"/>
  <c r="BT3108" i="1"/>
  <c r="BF3109" i="1"/>
  <c r="BT3109" i="1"/>
  <c r="BF3110" i="1"/>
  <c r="BT3110" i="1"/>
  <c r="BF3111" i="1"/>
  <c r="BT3111" i="1"/>
  <c r="BF3112" i="1"/>
  <c r="BT3112" i="1"/>
  <c r="BF3113" i="1"/>
  <c r="BT3113" i="1"/>
  <c r="BF3114" i="1"/>
  <c r="BT3114" i="1"/>
  <c r="BF3115" i="1"/>
  <c r="BT3115" i="1"/>
  <c r="BF3116" i="1"/>
  <c r="BT3116" i="1"/>
  <c r="BF3117" i="1"/>
  <c r="BT3117" i="1"/>
  <c r="BF3118" i="1"/>
  <c r="BT3118" i="1"/>
  <c r="BF3119" i="1"/>
  <c r="BT3119" i="1"/>
  <c r="BF3120" i="1"/>
  <c r="BT3120" i="1"/>
  <c r="BF3121" i="1"/>
  <c r="BT3121" i="1"/>
  <c r="BF3122" i="1"/>
  <c r="BT3122" i="1"/>
  <c r="BF3123" i="1"/>
  <c r="BT3123" i="1"/>
  <c r="BF3124" i="1"/>
  <c r="BT3124" i="1"/>
  <c r="BF3125" i="1"/>
  <c r="BT3125" i="1"/>
  <c r="BF3126" i="1"/>
  <c r="BT3126" i="1"/>
  <c r="BF3127" i="1"/>
  <c r="BT3127" i="1"/>
  <c r="BF3128" i="1"/>
  <c r="BT3128" i="1"/>
  <c r="BF3129" i="1"/>
  <c r="BT3129" i="1"/>
  <c r="BF3130" i="1"/>
  <c r="BT3130" i="1"/>
  <c r="BF3131" i="1"/>
  <c r="BT3131" i="1"/>
  <c r="BF3132" i="1"/>
  <c r="BT3132" i="1"/>
  <c r="BF3133" i="1"/>
  <c r="BT3133" i="1"/>
  <c r="BF3134" i="1"/>
  <c r="BT3134" i="1"/>
  <c r="BF3135" i="1"/>
  <c r="BT3135" i="1"/>
  <c r="BF3136" i="1"/>
  <c r="BT3136" i="1"/>
  <c r="BF3137" i="1"/>
  <c r="BT3137" i="1"/>
  <c r="BF3138" i="1"/>
  <c r="BT3138" i="1"/>
  <c r="BF3139" i="1"/>
  <c r="BT3139" i="1"/>
  <c r="BF3140" i="1"/>
  <c r="BT3140" i="1"/>
  <c r="BT3141" i="1"/>
  <c r="BF3142" i="1"/>
  <c r="BT3142" i="1"/>
  <c r="BF3143" i="1"/>
  <c r="BT3143" i="1"/>
  <c r="BF3144" i="1"/>
  <c r="BT3144" i="1"/>
  <c r="BF3145" i="1"/>
  <c r="BT3145" i="1"/>
  <c r="BF3146" i="1"/>
  <c r="BT3146" i="1"/>
  <c r="BF3147" i="1"/>
  <c r="BT3147" i="1"/>
  <c r="BF3148" i="1"/>
  <c r="BT3148" i="1"/>
  <c r="BF3149" i="1"/>
  <c r="BT3149" i="1"/>
  <c r="BF3150" i="1"/>
  <c r="BT3150" i="1"/>
  <c r="BF3151" i="1"/>
  <c r="BT3151" i="1"/>
  <c r="BF3152" i="1"/>
  <c r="BT3152" i="1"/>
  <c r="BF3153" i="1"/>
  <c r="BT3153" i="1"/>
  <c r="BF3154" i="1"/>
  <c r="BT3154" i="1"/>
  <c r="BF3155" i="1"/>
  <c r="BT3155" i="1"/>
  <c r="BF3156" i="1"/>
  <c r="BT3156" i="1"/>
  <c r="BF3157" i="1"/>
  <c r="BT3157" i="1"/>
  <c r="BF3158" i="1"/>
  <c r="BT3158" i="1"/>
  <c r="BF3159" i="1"/>
  <c r="BT3159" i="1"/>
  <c r="BF3160" i="1"/>
  <c r="BT3160" i="1"/>
  <c r="BT3161" i="1"/>
  <c r="BF3162" i="1"/>
  <c r="BT3162" i="1"/>
  <c r="BF3163" i="1"/>
  <c r="BT3163" i="1"/>
  <c r="BF3164" i="1"/>
  <c r="BT3164" i="1"/>
  <c r="BF3165" i="1"/>
  <c r="BT3165" i="1"/>
  <c r="BF3166" i="1"/>
  <c r="BT3166" i="1"/>
  <c r="BF3167" i="1"/>
  <c r="BT3167" i="1"/>
  <c r="BF3168" i="1"/>
  <c r="BT3168" i="1"/>
  <c r="BF3169" i="1"/>
  <c r="BT3169" i="1"/>
  <c r="BF3170" i="1"/>
  <c r="BT3170" i="1"/>
  <c r="BF3171" i="1"/>
  <c r="BT3171" i="1"/>
  <c r="BF3172" i="1"/>
  <c r="BT3172" i="1"/>
  <c r="BF3173" i="1"/>
  <c r="BT3173" i="1"/>
  <c r="BF3174" i="1"/>
  <c r="BT3174" i="1"/>
  <c r="BF3175" i="1"/>
  <c r="BT3175" i="1"/>
  <c r="BF3176" i="1"/>
  <c r="BT3176" i="1"/>
  <c r="BF3177" i="1"/>
  <c r="BT3177" i="1"/>
  <c r="BF3178" i="1"/>
  <c r="BT3178" i="1"/>
  <c r="BF3179" i="1"/>
  <c r="BT3179" i="1"/>
  <c r="BF3180" i="1"/>
  <c r="BT3180" i="1"/>
  <c r="BF3181" i="1"/>
  <c r="BT3181" i="1"/>
  <c r="BF3182" i="1"/>
  <c r="BT3182" i="1"/>
  <c r="BF3183" i="1"/>
  <c r="BT3183" i="1"/>
  <c r="BF3184" i="1"/>
  <c r="BT3184" i="1"/>
  <c r="BF3185" i="1"/>
  <c r="BT3185" i="1"/>
  <c r="BF3186" i="1"/>
  <c r="BT3186" i="1"/>
  <c r="BF3187" i="1"/>
  <c r="BT3187" i="1"/>
  <c r="BF3188" i="1"/>
  <c r="BT3188" i="1"/>
  <c r="BF3189" i="1"/>
  <c r="BT3189" i="1"/>
  <c r="BF3190" i="1"/>
  <c r="BT3190" i="1"/>
  <c r="BF3191" i="1"/>
  <c r="BT3191" i="1"/>
  <c r="BF3192" i="1"/>
  <c r="BT3192" i="1"/>
  <c r="BF3193" i="1"/>
  <c r="BT3193" i="1"/>
  <c r="BF3194" i="1"/>
  <c r="BT3194" i="1"/>
  <c r="BF3195" i="1"/>
  <c r="BT3195" i="1"/>
  <c r="BF3196" i="1"/>
  <c r="BT3196" i="1"/>
  <c r="BF3197" i="1"/>
  <c r="BT3197" i="1"/>
  <c r="BF3198" i="1"/>
  <c r="BT3198" i="1"/>
  <c r="BF3199" i="1"/>
  <c r="BT3199" i="1"/>
  <c r="BF3200" i="1"/>
  <c r="BT3200" i="1"/>
  <c r="BF3201" i="1"/>
  <c r="BT3201" i="1"/>
  <c r="BT3202" i="1"/>
  <c r="BF3203" i="1"/>
  <c r="BT3203" i="1"/>
  <c r="BF3204" i="1"/>
  <c r="BT3204" i="1"/>
  <c r="BF3205" i="1"/>
  <c r="BT3205" i="1"/>
  <c r="BT3206" i="1"/>
  <c r="BF3207" i="1"/>
  <c r="BT3207" i="1"/>
  <c r="BF3208" i="1"/>
  <c r="BT3208" i="1"/>
  <c r="BF3209" i="1"/>
  <c r="BT3209" i="1"/>
  <c r="BF3210" i="1"/>
  <c r="BT3210" i="1"/>
  <c r="BF3211" i="1"/>
  <c r="BT3211" i="1"/>
  <c r="BF3212" i="1"/>
  <c r="BT3212" i="1"/>
  <c r="BF3213" i="1"/>
  <c r="BT3213" i="1"/>
  <c r="BF3214" i="1"/>
  <c r="BT3214" i="1"/>
  <c r="BF3215" i="1"/>
  <c r="BT3215" i="1"/>
  <c r="BF3216" i="1"/>
  <c r="BT3216" i="1"/>
  <c r="BF3217" i="1"/>
  <c r="BT3217" i="1"/>
  <c r="BF3218" i="1"/>
  <c r="BT3218" i="1"/>
  <c r="BF3219" i="1"/>
  <c r="BT3219" i="1"/>
  <c r="BF3220" i="1"/>
  <c r="BT3220" i="1"/>
  <c r="BF3221" i="1"/>
  <c r="BT3221" i="1"/>
  <c r="BF3222" i="1"/>
  <c r="BT3222" i="1"/>
  <c r="BF3223" i="1"/>
  <c r="BT3223" i="1"/>
  <c r="BF3224" i="1"/>
  <c r="BT3224" i="1"/>
  <c r="BF3225" i="1"/>
  <c r="BT3225" i="1"/>
  <c r="BT3226" i="1"/>
  <c r="BT3227" i="1"/>
  <c r="BF3228" i="1"/>
  <c r="BT3228" i="1"/>
  <c r="BF3229" i="1"/>
  <c r="BT3229" i="1"/>
  <c r="BF3230" i="1"/>
  <c r="BT3230" i="1"/>
  <c r="BF3231" i="1"/>
  <c r="BT3231" i="1"/>
  <c r="BF3232" i="1"/>
  <c r="BT3232" i="1"/>
  <c r="BF3233" i="1"/>
  <c r="BT3233" i="1"/>
  <c r="BF3234" i="1"/>
  <c r="BT3234" i="1"/>
  <c r="BF3235" i="1"/>
  <c r="BT3235" i="1"/>
  <c r="BF3236" i="1"/>
  <c r="BT3236" i="1"/>
  <c r="BF3237" i="1"/>
  <c r="BT3237" i="1"/>
  <c r="BF3238" i="1"/>
  <c r="BT3238" i="1"/>
  <c r="BF3239" i="1"/>
  <c r="BT3239" i="1"/>
  <c r="BF3240" i="1"/>
  <c r="BT3240" i="1"/>
  <c r="BF3241" i="1"/>
  <c r="BT3241" i="1"/>
  <c r="BF3242" i="1"/>
  <c r="BT3242" i="1"/>
  <c r="BF3243" i="1"/>
  <c r="BT3243" i="1"/>
  <c r="BF3244" i="1"/>
  <c r="BT3244" i="1"/>
  <c r="BF3245" i="1"/>
  <c r="BT3245" i="1"/>
  <c r="BF3246" i="1"/>
  <c r="BT3246" i="1"/>
  <c r="BF3247" i="1"/>
  <c r="BT3247" i="1"/>
  <c r="BF3248" i="1"/>
  <c r="BT3248" i="1"/>
  <c r="BF3249" i="1"/>
  <c r="BT3249" i="1"/>
  <c r="BF3250" i="1"/>
  <c r="BT3250" i="1"/>
  <c r="BF3251" i="1"/>
  <c r="BT3251" i="1"/>
  <c r="BF3252" i="1"/>
  <c r="BT3252" i="1"/>
  <c r="BF3253" i="1"/>
  <c r="BT3253" i="1"/>
  <c r="BF3254" i="1"/>
  <c r="BT3254" i="1"/>
  <c r="BF3255" i="1"/>
  <c r="BT3255" i="1"/>
  <c r="BF3256" i="1"/>
  <c r="BT3256" i="1"/>
  <c r="BF3257" i="1"/>
  <c r="BT3257" i="1"/>
  <c r="BF3258" i="1"/>
  <c r="BT3258" i="1"/>
  <c r="BF3259" i="1"/>
  <c r="BT3259" i="1"/>
  <c r="BT3260" i="1"/>
  <c r="BT3261" i="1"/>
  <c r="BF3262" i="1"/>
  <c r="BT3262" i="1"/>
  <c r="BF3263" i="1"/>
  <c r="BT3263" i="1"/>
  <c r="BF3264" i="1"/>
  <c r="BT3264" i="1"/>
  <c r="BF3265" i="1"/>
  <c r="BT3265" i="1"/>
  <c r="BF3266" i="1"/>
  <c r="BT3266" i="1"/>
  <c r="BF3267" i="1"/>
  <c r="BT3267" i="1"/>
  <c r="BF3268" i="1"/>
  <c r="BT3268" i="1"/>
  <c r="BF3269" i="1"/>
  <c r="BT3269" i="1"/>
  <c r="BF3270" i="1"/>
  <c r="BT3270" i="1"/>
  <c r="BF3271" i="1"/>
  <c r="BT3271" i="1"/>
  <c r="BF3272" i="1"/>
  <c r="BT3272" i="1"/>
  <c r="BF3273" i="1"/>
  <c r="BT3273" i="1"/>
  <c r="BF3274" i="1"/>
  <c r="BT3274" i="1"/>
  <c r="BF3275" i="1"/>
  <c r="BT3275" i="1"/>
  <c r="BF3276" i="1"/>
  <c r="BT3276" i="1"/>
  <c r="BF3277" i="1"/>
  <c r="BT3277" i="1"/>
  <c r="BF3278" i="1"/>
  <c r="BT3278" i="1"/>
  <c r="BF3279" i="1"/>
  <c r="BT3279" i="1"/>
  <c r="BF3280" i="1"/>
  <c r="BT3280" i="1"/>
  <c r="BF3281" i="1"/>
  <c r="BT3281" i="1"/>
  <c r="BF3282" i="1"/>
  <c r="BT3282" i="1"/>
  <c r="BF3283" i="1"/>
  <c r="BT3283" i="1"/>
  <c r="BF3284" i="1"/>
  <c r="BT3284" i="1"/>
  <c r="BF3285" i="1"/>
  <c r="BT3285" i="1"/>
  <c r="BF3286" i="1"/>
  <c r="BT3286" i="1"/>
  <c r="BF3287" i="1"/>
  <c r="BT3287" i="1"/>
  <c r="BF3288" i="1"/>
  <c r="BT3288" i="1"/>
  <c r="BF3289" i="1"/>
  <c r="BT3289" i="1"/>
  <c r="BF3290" i="1"/>
  <c r="BT3290" i="1"/>
  <c r="BF3291" i="1"/>
  <c r="BT3291" i="1"/>
  <c r="BF3292" i="1"/>
  <c r="BT3292" i="1"/>
  <c r="BF3293" i="1"/>
  <c r="BT3293" i="1"/>
  <c r="BF3294" i="1"/>
  <c r="BT3294" i="1"/>
  <c r="BF3295" i="1"/>
  <c r="BT3295" i="1"/>
  <c r="BF3296" i="1"/>
  <c r="BT3296" i="1"/>
  <c r="BF3297" i="1"/>
  <c r="BT3297" i="1"/>
  <c r="BF3298" i="1"/>
  <c r="BT3298" i="1"/>
  <c r="BF3299" i="1"/>
  <c r="BT3299" i="1"/>
  <c r="BF3300" i="1"/>
  <c r="BT3300" i="1"/>
  <c r="BF3301" i="1"/>
  <c r="BT3301" i="1"/>
  <c r="BF3302" i="1"/>
  <c r="BT3302" i="1"/>
  <c r="BF3303" i="1"/>
  <c r="BT3303" i="1"/>
  <c r="BF3304" i="1"/>
  <c r="BT3304" i="1"/>
  <c r="BF3305" i="1"/>
  <c r="BT3305" i="1"/>
  <c r="BF3306" i="1"/>
  <c r="BT3306" i="1"/>
  <c r="BF3307" i="1"/>
  <c r="BT3307" i="1"/>
  <c r="BF3308" i="1"/>
  <c r="BT3308" i="1"/>
  <c r="BF3309" i="1"/>
  <c r="BT3309" i="1"/>
  <c r="BF3310" i="1"/>
  <c r="BT3310" i="1"/>
  <c r="BF3311" i="1"/>
  <c r="BT3311" i="1"/>
  <c r="BF3312" i="1"/>
  <c r="BT3312" i="1"/>
  <c r="BF3313" i="1"/>
  <c r="BT3313" i="1"/>
  <c r="BF3314" i="1"/>
  <c r="BT3314" i="1"/>
  <c r="BF3315" i="1"/>
  <c r="BT3315" i="1"/>
  <c r="BF3316" i="1"/>
  <c r="BT3316" i="1"/>
  <c r="BF3317" i="1"/>
  <c r="BT3317" i="1"/>
  <c r="BF3318" i="1"/>
  <c r="BT3318" i="1"/>
  <c r="BF3319" i="1"/>
  <c r="BT3319" i="1"/>
  <c r="BF3320" i="1"/>
  <c r="BT3320" i="1"/>
  <c r="BF3321" i="1"/>
  <c r="BT3321" i="1"/>
  <c r="BF3322" i="1"/>
  <c r="BT3322" i="1"/>
  <c r="BF3323" i="1"/>
  <c r="BT3323" i="1"/>
  <c r="BF3324" i="1"/>
  <c r="BT3324" i="1"/>
  <c r="BF3325" i="1"/>
  <c r="BT3325" i="1"/>
  <c r="BF3326" i="1"/>
  <c r="BT3326" i="1"/>
  <c r="BF3327" i="1"/>
  <c r="BT3327" i="1"/>
  <c r="BF3328" i="1"/>
  <c r="BT3328" i="1"/>
  <c r="BF3329" i="1"/>
  <c r="BT3329" i="1"/>
  <c r="BF3330" i="1"/>
  <c r="BT3330" i="1"/>
  <c r="BF3331" i="1"/>
  <c r="BT3331" i="1"/>
  <c r="BF3332" i="1"/>
  <c r="BT3332" i="1"/>
  <c r="BF3333" i="1"/>
  <c r="BT3333" i="1"/>
  <c r="BF3334" i="1"/>
  <c r="BT3334" i="1"/>
  <c r="BF3335" i="1"/>
  <c r="BT3335" i="1"/>
  <c r="BF3336" i="1"/>
  <c r="BT3336" i="1"/>
  <c r="BF3337" i="1"/>
  <c r="BT3337" i="1"/>
  <c r="BF3338" i="1"/>
  <c r="BT3338" i="1"/>
  <c r="BF3339" i="1"/>
  <c r="BT3339" i="1"/>
  <c r="BF3340" i="1"/>
  <c r="BT3340" i="1"/>
  <c r="BT3341" i="1"/>
  <c r="BF3342" i="1"/>
  <c r="BT3342" i="1"/>
  <c r="BF3343" i="1"/>
  <c r="BT3343" i="1"/>
  <c r="BF3344" i="1"/>
  <c r="BT3344" i="1"/>
  <c r="BF3345" i="1"/>
  <c r="BT3345" i="1"/>
  <c r="BF3346" i="1"/>
  <c r="BT3346" i="1"/>
  <c r="BF3347" i="1"/>
  <c r="BT3347" i="1"/>
  <c r="BF3348" i="1"/>
  <c r="BT3348" i="1"/>
  <c r="BF3349" i="1"/>
  <c r="BT3349" i="1"/>
  <c r="BF3350" i="1"/>
  <c r="BT3350" i="1"/>
  <c r="BF3351" i="1"/>
  <c r="BT3351" i="1"/>
  <c r="BF3352" i="1"/>
  <c r="BT3352" i="1"/>
  <c r="BF3353" i="1"/>
  <c r="BT3353" i="1"/>
  <c r="BF3354" i="1"/>
  <c r="BT3354" i="1"/>
  <c r="BF3355" i="1"/>
  <c r="BT3355" i="1"/>
  <c r="BF3356" i="1"/>
  <c r="BT3356" i="1"/>
  <c r="BF3357" i="1"/>
  <c r="BT3357" i="1"/>
  <c r="BF3358" i="1"/>
  <c r="BT3358" i="1"/>
  <c r="BF3359" i="1"/>
  <c r="BT3359" i="1"/>
  <c r="BF3360" i="1"/>
  <c r="BT3360" i="1"/>
  <c r="BF3361" i="1"/>
  <c r="BT3361" i="1"/>
  <c r="BF3362" i="1"/>
  <c r="BT3362" i="1"/>
  <c r="BF3363" i="1"/>
  <c r="BT3363" i="1"/>
  <c r="BF3364" i="1"/>
  <c r="BT3364" i="1"/>
  <c r="BF3365" i="1"/>
  <c r="BT3365" i="1"/>
  <c r="BF3366" i="1"/>
  <c r="BT3366" i="1"/>
  <c r="BF3367" i="1"/>
  <c r="BT3367" i="1"/>
  <c r="BF3368" i="1"/>
  <c r="BT3368" i="1"/>
  <c r="BF3369" i="1"/>
  <c r="BT3369" i="1"/>
  <c r="BF3370" i="1"/>
  <c r="BT3370" i="1"/>
  <c r="BF3371" i="1"/>
  <c r="BT3371" i="1"/>
  <c r="BF3372" i="1"/>
  <c r="BT3372" i="1"/>
  <c r="BT3373" i="1"/>
  <c r="BF3374" i="1"/>
  <c r="BT3374" i="1"/>
  <c r="BF3375" i="1"/>
  <c r="BT3375" i="1"/>
  <c r="BF3376" i="1"/>
  <c r="BT3376" i="1"/>
  <c r="BF3377" i="1"/>
  <c r="BT3377" i="1"/>
  <c r="BF3378" i="1"/>
  <c r="BT3378" i="1"/>
  <c r="BF3379" i="1"/>
  <c r="BT3379" i="1"/>
  <c r="BF3380" i="1"/>
  <c r="BT3380" i="1"/>
  <c r="BF3381" i="1"/>
  <c r="BT3381" i="1"/>
  <c r="BF3382" i="1"/>
  <c r="BT3382" i="1"/>
  <c r="BF3383" i="1"/>
  <c r="BT3383" i="1"/>
  <c r="BF3384" i="1"/>
  <c r="BT3384" i="1"/>
  <c r="BF3385" i="1"/>
  <c r="BT3385" i="1"/>
  <c r="BF3386" i="1"/>
  <c r="BT3386" i="1"/>
  <c r="BF3387" i="1"/>
  <c r="BT3387" i="1"/>
  <c r="BF3388" i="1"/>
  <c r="BT3388" i="1"/>
  <c r="BF3389" i="1"/>
  <c r="BT3389" i="1"/>
  <c r="BF3390" i="1"/>
  <c r="BT3390" i="1"/>
  <c r="BF3391" i="1"/>
  <c r="BT3391" i="1"/>
  <c r="BF3392" i="1"/>
  <c r="BT3392" i="1"/>
  <c r="BF3393" i="1"/>
  <c r="BT3393" i="1"/>
  <c r="BF3394" i="1"/>
  <c r="BT3394" i="1"/>
  <c r="BF3395" i="1"/>
  <c r="BT3395" i="1"/>
  <c r="BF3396" i="1"/>
  <c r="BT3396" i="1"/>
  <c r="BF3397" i="1"/>
  <c r="BT3397" i="1"/>
  <c r="BF3398" i="1"/>
  <c r="BT3398" i="1"/>
  <c r="BF3399" i="1"/>
  <c r="BT3399" i="1"/>
  <c r="BF3400" i="1"/>
  <c r="BT3400" i="1"/>
  <c r="BF3401" i="1"/>
  <c r="BT3401" i="1"/>
  <c r="BF3402" i="1"/>
  <c r="BT3402" i="1"/>
  <c r="BF3403" i="1"/>
  <c r="BT3403" i="1"/>
  <c r="BF3404" i="1"/>
  <c r="BT3404" i="1"/>
  <c r="BF3405" i="1"/>
  <c r="BT3405" i="1"/>
  <c r="BF3406" i="1"/>
  <c r="BT3406" i="1"/>
  <c r="BF3407" i="1"/>
  <c r="BT3407" i="1"/>
  <c r="BF3408" i="1"/>
  <c r="BT3408" i="1"/>
  <c r="BF3409" i="1"/>
  <c r="BT3409" i="1"/>
  <c r="BF3410" i="1"/>
  <c r="BT3410" i="1"/>
  <c r="BF3411" i="1"/>
  <c r="BT3411" i="1"/>
  <c r="BF3412" i="1"/>
  <c r="BT3412" i="1"/>
  <c r="BF3413" i="1"/>
  <c r="BT3413" i="1"/>
  <c r="BF3414" i="1"/>
  <c r="BT3414" i="1"/>
  <c r="BF3415" i="1"/>
  <c r="BT3415" i="1"/>
  <c r="BF3416" i="1"/>
  <c r="BT3416" i="1"/>
  <c r="BF3417" i="1"/>
  <c r="BT3417" i="1"/>
  <c r="BF3418" i="1"/>
  <c r="BT3418" i="1"/>
  <c r="BF3419" i="1"/>
  <c r="BT3419" i="1"/>
  <c r="BF3420" i="1"/>
  <c r="BT3420" i="1"/>
  <c r="BF3421" i="1"/>
  <c r="BT3421" i="1"/>
  <c r="BF3422" i="1"/>
  <c r="BT3422" i="1"/>
  <c r="BF3423" i="1"/>
  <c r="BT3423" i="1"/>
  <c r="BF3424" i="1"/>
  <c r="BT3424" i="1"/>
  <c r="BF3425" i="1"/>
  <c r="BT3425" i="1"/>
  <c r="BF3426" i="1"/>
  <c r="BT3426" i="1"/>
  <c r="BF3427" i="1"/>
  <c r="BT3427" i="1"/>
  <c r="BF3428" i="1"/>
  <c r="BT3428" i="1"/>
  <c r="BF3429" i="1"/>
  <c r="BT3429" i="1"/>
  <c r="BF3430" i="1"/>
  <c r="BT3430" i="1"/>
  <c r="BF3431" i="1"/>
  <c r="BT3431" i="1"/>
  <c r="BF3432" i="1"/>
  <c r="BT3432" i="1"/>
  <c r="BF3433" i="1"/>
  <c r="BT3433" i="1"/>
  <c r="BF3434" i="1"/>
  <c r="BT3434" i="1"/>
  <c r="BF3435" i="1"/>
  <c r="BT3435" i="1"/>
  <c r="BF3436" i="1"/>
  <c r="BT3436" i="1"/>
  <c r="BF3437" i="1"/>
  <c r="BT3437" i="1"/>
  <c r="BF3438" i="1"/>
  <c r="BT3438" i="1"/>
  <c r="BF3439" i="1"/>
  <c r="BT3439" i="1"/>
  <c r="BT3440" i="1"/>
  <c r="BF3441" i="1"/>
  <c r="BT3441" i="1"/>
  <c r="BF3442" i="1"/>
  <c r="BT3442" i="1"/>
  <c r="BF3443" i="1"/>
  <c r="BT3443" i="1"/>
  <c r="BF3444" i="1"/>
  <c r="BT3444" i="1"/>
  <c r="BF3445" i="1"/>
  <c r="BT3445" i="1"/>
  <c r="BF3446" i="1"/>
  <c r="BT3446" i="1"/>
  <c r="BF3447" i="1"/>
  <c r="BT3447" i="1"/>
  <c r="BF3448" i="1"/>
  <c r="BT3448" i="1"/>
  <c r="BF3449" i="1"/>
  <c r="BT3449" i="1"/>
  <c r="BF3450" i="1"/>
  <c r="BT3450" i="1"/>
  <c r="BF3451" i="1"/>
  <c r="BT3451" i="1"/>
  <c r="BF3452" i="1"/>
  <c r="BT3452" i="1"/>
  <c r="BF3453" i="1"/>
  <c r="BT3453" i="1"/>
  <c r="BF3454" i="1"/>
  <c r="BT3454" i="1"/>
  <c r="BF3455" i="1"/>
  <c r="BT3455" i="1"/>
  <c r="BF3456" i="1"/>
  <c r="BT3456" i="1"/>
  <c r="BF3457" i="1"/>
  <c r="BT3457" i="1"/>
  <c r="BF3458" i="1"/>
  <c r="BT3458" i="1"/>
  <c r="BF3459" i="1"/>
  <c r="BT3459" i="1"/>
  <c r="BF3460" i="1"/>
  <c r="BT3460" i="1"/>
  <c r="BF3461" i="1"/>
  <c r="BT3461" i="1"/>
  <c r="BF3462" i="1"/>
  <c r="BT3462" i="1"/>
  <c r="BF3463" i="1"/>
  <c r="BT3463" i="1"/>
  <c r="BF3464" i="1"/>
  <c r="BT3464" i="1"/>
  <c r="BF3465" i="1"/>
  <c r="BT3465" i="1"/>
  <c r="BF3466" i="1"/>
  <c r="BT3466" i="1"/>
  <c r="BF3467" i="1"/>
  <c r="BT3467" i="1"/>
  <c r="BF3468" i="1"/>
  <c r="BT3468" i="1"/>
  <c r="BF3469" i="1"/>
  <c r="BT3469" i="1"/>
  <c r="BF3470" i="1"/>
  <c r="BT3470" i="1"/>
  <c r="BF3471" i="1"/>
  <c r="BT3471" i="1"/>
  <c r="BF3472" i="1"/>
  <c r="BT3472" i="1"/>
  <c r="BT3473" i="1"/>
  <c r="BF3474" i="1"/>
  <c r="BT3474" i="1"/>
  <c r="BF3475" i="1"/>
  <c r="BT3475" i="1"/>
  <c r="BF3476" i="1"/>
  <c r="BT3476" i="1"/>
  <c r="BF3477" i="1"/>
  <c r="BT3477" i="1"/>
  <c r="BF3478" i="1"/>
  <c r="BT3478" i="1"/>
  <c r="BF3479" i="1"/>
  <c r="BT3479" i="1"/>
  <c r="BF3480" i="1"/>
  <c r="BT3480" i="1"/>
  <c r="BF3481" i="1"/>
  <c r="BT3481" i="1"/>
  <c r="BF3482" i="1"/>
  <c r="BT3482" i="1"/>
  <c r="BF3483" i="1"/>
  <c r="BT3483" i="1"/>
  <c r="BF3484" i="1"/>
  <c r="BT3484" i="1"/>
  <c r="BF3485" i="1"/>
  <c r="BT3485" i="1"/>
  <c r="BF3486" i="1"/>
  <c r="BT3486" i="1"/>
  <c r="BF3487" i="1"/>
  <c r="BT3487" i="1"/>
  <c r="BF3488" i="1"/>
  <c r="BT3488" i="1"/>
  <c r="BF3489" i="1"/>
  <c r="BT3489" i="1"/>
  <c r="BF3490" i="1"/>
  <c r="BT3490" i="1"/>
  <c r="BF3491" i="1"/>
  <c r="BT3491" i="1"/>
  <c r="BF3492" i="1"/>
  <c r="BT3492" i="1"/>
  <c r="BF3493" i="1"/>
  <c r="BT3493" i="1"/>
  <c r="BF3494" i="1"/>
  <c r="BT3494" i="1"/>
  <c r="BF3495" i="1"/>
  <c r="BT3495" i="1"/>
  <c r="BT3496" i="1"/>
  <c r="BF3497" i="1"/>
  <c r="BT3497" i="1"/>
  <c r="BF3498" i="1"/>
  <c r="BT3498" i="1"/>
  <c r="BF3499" i="1"/>
  <c r="BT3499" i="1"/>
  <c r="BF3500" i="1"/>
  <c r="BT3500" i="1"/>
  <c r="BF3501" i="1"/>
  <c r="BT3501" i="1"/>
  <c r="BF3502" i="1"/>
  <c r="BT3502" i="1"/>
  <c r="BF3503" i="1"/>
  <c r="BT3503" i="1"/>
  <c r="BF3504" i="1"/>
  <c r="BT3504" i="1"/>
  <c r="BF3505" i="1"/>
  <c r="BT3505" i="1"/>
  <c r="BF3506" i="1"/>
  <c r="BT3506" i="1"/>
  <c r="BF3507" i="1"/>
  <c r="BT3507" i="1"/>
  <c r="BF3508" i="1"/>
  <c r="BT3508" i="1"/>
  <c r="BF3509" i="1"/>
  <c r="BT3509" i="1"/>
  <c r="BF3510" i="1"/>
  <c r="BT3510" i="1"/>
  <c r="BF3511" i="1"/>
  <c r="BT3511" i="1"/>
  <c r="BF3512" i="1"/>
  <c r="BT3512" i="1"/>
  <c r="BF3513" i="1"/>
  <c r="BT3513" i="1"/>
  <c r="BF3514" i="1"/>
  <c r="BT3514" i="1"/>
  <c r="BF2002" i="1"/>
  <c r="BT2002" i="1"/>
  <c r="BF2003" i="1"/>
  <c r="BT2003" i="1"/>
  <c r="BF2004" i="1"/>
  <c r="BT2004" i="1"/>
  <c r="BF2005" i="1"/>
  <c r="BT2005" i="1"/>
  <c r="BF2006" i="1"/>
  <c r="BT2006" i="1"/>
  <c r="BF2007" i="1"/>
  <c r="BT2007" i="1"/>
  <c r="BF2008" i="1"/>
  <c r="BT2008" i="1"/>
  <c r="BF2009" i="1"/>
  <c r="BT2009" i="1"/>
  <c r="BF2010" i="1"/>
  <c r="BT2010" i="1"/>
  <c r="BF2011" i="1"/>
  <c r="BT2011" i="1"/>
  <c r="BF2012" i="1"/>
  <c r="BT2012" i="1"/>
  <c r="BF2013" i="1"/>
  <c r="BT2013" i="1"/>
  <c r="BF2014" i="1"/>
  <c r="BT2014" i="1"/>
  <c r="BF2015" i="1"/>
  <c r="BT2015" i="1"/>
  <c r="BF2016" i="1"/>
  <c r="BT2016" i="1"/>
  <c r="BF2017" i="1"/>
  <c r="BT2017" i="1"/>
  <c r="BF2018" i="1"/>
  <c r="BT2018" i="1"/>
  <c r="BF2019" i="1"/>
  <c r="BT2019" i="1"/>
  <c r="BF2020" i="1"/>
  <c r="BT2020" i="1"/>
  <c r="BF2021" i="1"/>
  <c r="BT2021" i="1"/>
  <c r="BF2022" i="1"/>
  <c r="BT2022" i="1"/>
  <c r="BF2023" i="1"/>
  <c r="BT2023" i="1"/>
  <c r="BF2024" i="1"/>
  <c r="BT2024" i="1"/>
  <c r="BF2025" i="1"/>
  <c r="BT2025" i="1"/>
  <c r="BF2026" i="1"/>
  <c r="BT2026" i="1"/>
  <c r="BF2027" i="1"/>
  <c r="BT2027" i="1"/>
  <c r="BF2028" i="1"/>
  <c r="BT2028" i="1"/>
  <c r="BF2029" i="1"/>
  <c r="BT2029" i="1"/>
  <c r="BF2030" i="1"/>
  <c r="BT2030" i="1"/>
  <c r="BF2031" i="1"/>
  <c r="BT2031" i="1"/>
  <c r="BF2032" i="1"/>
  <c r="BT2032" i="1"/>
  <c r="BF2033" i="1"/>
  <c r="BT2033" i="1"/>
  <c r="BF2034" i="1"/>
  <c r="BT2034" i="1"/>
  <c r="BF2035" i="1"/>
  <c r="BT2035" i="1"/>
  <c r="BF2036" i="1"/>
  <c r="BT2036" i="1"/>
  <c r="BF2037" i="1"/>
  <c r="BT2037" i="1"/>
  <c r="BF2038" i="1"/>
  <c r="BT2038" i="1"/>
  <c r="BF2039" i="1"/>
  <c r="BT2039" i="1"/>
  <c r="BF2040" i="1"/>
  <c r="BT2040" i="1"/>
  <c r="BF2041" i="1"/>
  <c r="BT2041" i="1"/>
  <c r="BF2042" i="1"/>
  <c r="BT2042" i="1"/>
  <c r="BF2043" i="1"/>
  <c r="BT2043" i="1"/>
  <c r="BF2044" i="1"/>
  <c r="BT2044" i="1"/>
  <c r="BF2045" i="1"/>
  <c r="BT2045" i="1"/>
  <c r="BT2046" i="1"/>
  <c r="BF2047" i="1"/>
  <c r="BT2047" i="1"/>
  <c r="BF2048" i="1"/>
  <c r="BT2048" i="1"/>
  <c r="BF2049" i="1"/>
  <c r="BT2049" i="1"/>
  <c r="BF2050" i="1"/>
  <c r="BT2050" i="1"/>
  <c r="BF2051" i="1"/>
  <c r="BT2051" i="1"/>
  <c r="BF2052" i="1"/>
  <c r="BT2052" i="1"/>
  <c r="BF2053" i="1"/>
  <c r="BT2053" i="1"/>
  <c r="BF2054" i="1"/>
  <c r="BT2054" i="1"/>
  <c r="BF2055" i="1"/>
  <c r="BT2055" i="1"/>
  <c r="BF2056" i="1"/>
  <c r="BT2056" i="1"/>
  <c r="BF2057" i="1"/>
  <c r="BT2057" i="1"/>
  <c r="BF2058" i="1"/>
  <c r="BT2058" i="1"/>
  <c r="BF2059" i="1"/>
  <c r="BT2059" i="1"/>
  <c r="BF2060" i="1"/>
  <c r="BT2060" i="1"/>
  <c r="BF2061" i="1"/>
  <c r="BT2061" i="1"/>
  <c r="BF2062" i="1"/>
  <c r="BT2062" i="1"/>
  <c r="BF2063" i="1"/>
  <c r="BT2063" i="1"/>
  <c r="BF2064" i="1"/>
  <c r="BT2064" i="1"/>
  <c r="BF2065" i="1"/>
  <c r="BT2065" i="1"/>
  <c r="BF2066" i="1"/>
  <c r="BT2066" i="1"/>
  <c r="BF2067" i="1"/>
  <c r="BT2067" i="1"/>
  <c r="BF2068" i="1"/>
  <c r="BT2068" i="1"/>
  <c r="BF2069" i="1"/>
  <c r="BT2069" i="1"/>
  <c r="BF2070" i="1"/>
  <c r="BT2070" i="1"/>
  <c r="BF2071" i="1"/>
  <c r="BT2071" i="1"/>
  <c r="BF2072" i="1"/>
  <c r="BT2072" i="1"/>
  <c r="BF2073" i="1"/>
  <c r="BT2073" i="1"/>
  <c r="BF2074" i="1"/>
  <c r="BT2074" i="1"/>
  <c r="BF2075" i="1"/>
  <c r="BT2075" i="1"/>
  <c r="BF2076" i="1"/>
  <c r="BT2076" i="1"/>
  <c r="BF2077" i="1"/>
  <c r="BT2077" i="1"/>
  <c r="BF2078" i="1"/>
  <c r="BT2078" i="1"/>
  <c r="BF2079" i="1"/>
  <c r="BT2079" i="1"/>
  <c r="BF2080" i="1"/>
  <c r="BT2080" i="1"/>
  <c r="BF2081" i="1"/>
  <c r="BT2081" i="1"/>
  <c r="BF2082" i="1"/>
  <c r="BT2082" i="1"/>
  <c r="BF2083" i="1"/>
  <c r="BT2083" i="1"/>
  <c r="BF2084" i="1"/>
  <c r="BT2084" i="1"/>
  <c r="BF2085" i="1"/>
  <c r="BT2085" i="1"/>
  <c r="BF2086" i="1"/>
  <c r="BT2086" i="1"/>
  <c r="BF2087" i="1"/>
  <c r="BT2087" i="1"/>
  <c r="BF2088" i="1"/>
  <c r="BT2088" i="1"/>
  <c r="BF2089" i="1"/>
  <c r="BT2089" i="1"/>
  <c r="BF2090" i="1"/>
  <c r="BT2090" i="1"/>
  <c r="BF2091" i="1"/>
  <c r="BT2091" i="1"/>
  <c r="BF2092" i="1"/>
  <c r="BT2092" i="1"/>
  <c r="BF2093" i="1"/>
  <c r="BT2093" i="1"/>
  <c r="BF2094" i="1"/>
  <c r="BT2094" i="1"/>
  <c r="BT2095" i="1"/>
  <c r="BF2096" i="1"/>
  <c r="BT2096" i="1"/>
  <c r="BF2097" i="1"/>
  <c r="BT2097" i="1"/>
  <c r="BF2098" i="1"/>
  <c r="BT2098" i="1"/>
  <c r="BF2099" i="1"/>
  <c r="BT2099" i="1"/>
  <c r="BF2100" i="1"/>
  <c r="BT2100" i="1"/>
  <c r="BT2101" i="1"/>
  <c r="BT2102" i="1"/>
  <c r="BF2103" i="1"/>
  <c r="BT2103" i="1"/>
  <c r="BF2104" i="1"/>
  <c r="BT2104" i="1"/>
  <c r="BF2105" i="1"/>
  <c r="BT2105" i="1"/>
  <c r="BF2106" i="1"/>
  <c r="BT2106" i="1"/>
  <c r="BF2107" i="1"/>
  <c r="BT2107" i="1"/>
  <c r="BF2108" i="1"/>
  <c r="BT2108" i="1"/>
  <c r="BF2109" i="1"/>
  <c r="BT2109" i="1"/>
  <c r="BF2110" i="1"/>
  <c r="BT2110" i="1"/>
  <c r="BF2111" i="1"/>
  <c r="BT2111" i="1"/>
  <c r="BF2112" i="1"/>
  <c r="BT2112" i="1"/>
  <c r="BF2113" i="1"/>
  <c r="BT2113" i="1"/>
  <c r="BF2114" i="1"/>
  <c r="BT2114" i="1"/>
  <c r="BF2115" i="1"/>
  <c r="BT2115" i="1"/>
  <c r="BF2116" i="1"/>
  <c r="BT2116" i="1"/>
  <c r="BF2117" i="1"/>
  <c r="BT2117" i="1"/>
  <c r="BF2118" i="1"/>
  <c r="BT2118" i="1"/>
  <c r="BF2119" i="1"/>
  <c r="BT2119" i="1"/>
  <c r="BF2120" i="1"/>
  <c r="BT2120" i="1"/>
  <c r="BF2121" i="1"/>
  <c r="BT2121" i="1"/>
  <c r="BF2122" i="1"/>
  <c r="BT2122" i="1"/>
  <c r="BF2123" i="1"/>
  <c r="BT2123" i="1"/>
  <c r="BF2124" i="1"/>
  <c r="BT2124" i="1"/>
  <c r="BF2125" i="1"/>
  <c r="BT2125" i="1"/>
  <c r="BT2126" i="1"/>
  <c r="BF2127" i="1"/>
  <c r="BT2127" i="1"/>
  <c r="BF2128" i="1"/>
  <c r="BT2128" i="1"/>
  <c r="BF2129" i="1"/>
  <c r="BT2129" i="1"/>
  <c r="BF2130" i="1"/>
  <c r="BT2130" i="1"/>
  <c r="BF2131" i="1"/>
  <c r="BT2131" i="1"/>
  <c r="BF2132" i="1"/>
  <c r="BT2132" i="1"/>
  <c r="BF2133" i="1"/>
  <c r="BT2133" i="1"/>
  <c r="BF2134" i="1"/>
  <c r="BT2134" i="1"/>
  <c r="BF2135" i="1"/>
  <c r="BT2135" i="1"/>
  <c r="BF2136" i="1"/>
  <c r="BT2136" i="1"/>
  <c r="BF2137" i="1"/>
  <c r="BT2137" i="1"/>
  <c r="BF2138" i="1"/>
  <c r="BT2138" i="1"/>
  <c r="BF2139" i="1"/>
  <c r="BT2139" i="1"/>
  <c r="BF2140" i="1"/>
  <c r="BT2140" i="1"/>
  <c r="BF2141" i="1"/>
  <c r="BT2141" i="1"/>
  <c r="BF2142" i="1"/>
  <c r="BT2142" i="1"/>
  <c r="BF2143" i="1"/>
  <c r="BT2143" i="1"/>
  <c r="BF2144" i="1"/>
  <c r="BT2144" i="1"/>
  <c r="BF2145" i="1"/>
  <c r="BT2145" i="1"/>
  <c r="BF2146" i="1"/>
  <c r="BT2146" i="1"/>
  <c r="BF2147" i="1"/>
  <c r="BT2147" i="1"/>
  <c r="BF2148" i="1"/>
  <c r="BT2148" i="1"/>
  <c r="BF2149" i="1"/>
  <c r="BT2149" i="1"/>
  <c r="BF2150" i="1"/>
  <c r="BT2150" i="1"/>
  <c r="BF2151" i="1"/>
  <c r="BT2151" i="1"/>
  <c r="BF2152" i="1"/>
  <c r="BT2152" i="1"/>
  <c r="BF2153" i="1"/>
  <c r="BT2153" i="1"/>
  <c r="BF2154" i="1"/>
  <c r="BT2154" i="1"/>
  <c r="BF2155" i="1"/>
  <c r="BT2155" i="1"/>
  <c r="BF2156" i="1"/>
  <c r="BT2156" i="1"/>
  <c r="BF2157" i="1"/>
  <c r="BT2157" i="1"/>
  <c r="BF2158" i="1"/>
  <c r="BT2158" i="1"/>
  <c r="BF2159" i="1"/>
  <c r="BT2159" i="1"/>
  <c r="BF2160" i="1"/>
  <c r="BT2160" i="1"/>
  <c r="BF2161" i="1"/>
  <c r="BT2161" i="1"/>
  <c r="BF2162" i="1"/>
  <c r="BT2162" i="1"/>
  <c r="BF2163" i="1"/>
  <c r="BT2163" i="1"/>
  <c r="BF2164" i="1"/>
  <c r="BT2164" i="1"/>
  <c r="BF2165" i="1"/>
  <c r="BT2165" i="1"/>
  <c r="BF2166" i="1"/>
  <c r="BT2166" i="1"/>
  <c r="BF2167" i="1"/>
  <c r="BT2167" i="1"/>
  <c r="BF2168" i="1"/>
  <c r="BT2168" i="1"/>
  <c r="BF2169" i="1"/>
  <c r="BT2169" i="1"/>
  <c r="BF2170" i="1"/>
  <c r="BT2170" i="1"/>
  <c r="BF2171" i="1"/>
  <c r="BT2171" i="1"/>
  <c r="BF2172" i="1"/>
  <c r="BT2172" i="1"/>
  <c r="BF2173" i="1"/>
  <c r="BT2173" i="1"/>
  <c r="BF2174" i="1"/>
  <c r="BT2174" i="1"/>
  <c r="BF2175" i="1"/>
  <c r="BT2175" i="1"/>
  <c r="BF2176" i="1"/>
  <c r="BT2176" i="1"/>
  <c r="BF2177" i="1"/>
  <c r="BT2177" i="1"/>
  <c r="BF2178" i="1"/>
  <c r="BT2178" i="1"/>
  <c r="BF2179" i="1"/>
  <c r="BT2179" i="1"/>
  <c r="BF2180" i="1"/>
  <c r="BT2180" i="1"/>
  <c r="BF2181" i="1"/>
  <c r="BT2181" i="1"/>
  <c r="BF2182" i="1"/>
  <c r="BT2182" i="1"/>
  <c r="BF2183" i="1"/>
  <c r="BT2183" i="1"/>
  <c r="BF2184" i="1"/>
  <c r="BT2184" i="1"/>
  <c r="BF2185" i="1"/>
  <c r="BT2185" i="1"/>
  <c r="BF2186" i="1"/>
  <c r="BT2186" i="1"/>
  <c r="BF2187" i="1"/>
  <c r="BT2187" i="1"/>
  <c r="BF2188" i="1"/>
  <c r="BT2188" i="1"/>
  <c r="BF2189" i="1"/>
  <c r="BT2189" i="1"/>
  <c r="BF2190" i="1"/>
  <c r="BT2190" i="1"/>
  <c r="BF2191" i="1"/>
  <c r="BT2191" i="1"/>
  <c r="BF2192" i="1"/>
  <c r="BT2192" i="1"/>
  <c r="BF2193" i="1"/>
  <c r="BT2193" i="1"/>
  <c r="BF2194" i="1"/>
  <c r="BT2194" i="1"/>
  <c r="BF2195" i="1"/>
  <c r="BT2195" i="1"/>
  <c r="BF2196" i="1"/>
  <c r="BT2196" i="1"/>
  <c r="BF2197" i="1"/>
  <c r="BT2197" i="1"/>
  <c r="BF2198" i="1"/>
  <c r="BT2198" i="1"/>
  <c r="BF2199" i="1"/>
  <c r="BT2199" i="1"/>
  <c r="BT2200" i="1"/>
  <c r="BF2201" i="1"/>
  <c r="BT2201" i="1"/>
  <c r="BF2202" i="1"/>
  <c r="BT2202" i="1"/>
  <c r="BF2203" i="1"/>
  <c r="BT2203" i="1"/>
  <c r="BF2204" i="1"/>
  <c r="BT2204" i="1"/>
  <c r="BF2205" i="1"/>
  <c r="BT2205" i="1"/>
  <c r="BF2206" i="1"/>
  <c r="BT2206" i="1"/>
  <c r="BF2207" i="1"/>
  <c r="BT2207" i="1"/>
  <c r="BF2208" i="1"/>
  <c r="BT2208" i="1"/>
  <c r="BF2209" i="1"/>
  <c r="BT2209" i="1"/>
  <c r="BF2210" i="1"/>
  <c r="BT2210" i="1"/>
  <c r="BF2211" i="1"/>
  <c r="BT2211" i="1"/>
  <c r="BF2212" i="1"/>
  <c r="BT2212" i="1"/>
  <c r="BF2213" i="1"/>
  <c r="BT2213" i="1"/>
  <c r="BF2214" i="1"/>
  <c r="BT2214" i="1"/>
  <c r="BF2215" i="1"/>
  <c r="BT2215" i="1"/>
  <c r="BF2216" i="1"/>
  <c r="BT2216" i="1"/>
  <c r="BF2217" i="1"/>
  <c r="BT2217" i="1"/>
  <c r="BF2218" i="1"/>
  <c r="BT2218" i="1"/>
  <c r="BF2219" i="1"/>
  <c r="BT2219" i="1"/>
  <c r="BF2220" i="1"/>
  <c r="BT2220" i="1"/>
  <c r="BF2221" i="1"/>
  <c r="BT2221" i="1"/>
  <c r="BF2222" i="1"/>
  <c r="BT2222" i="1"/>
  <c r="BF2223" i="1"/>
  <c r="BT2223" i="1"/>
  <c r="BF2224" i="1"/>
  <c r="BT2224" i="1"/>
  <c r="BF2225" i="1"/>
  <c r="BT2225" i="1"/>
  <c r="BF2226" i="1"/>
  <c r="BT2226" i="1"/>
  <c r="BF2227" i="1"/>
  <c r="BT2227" i="1"/>
  <c r="BF2228" i="1"/>
  <c r="BT2228" i="1"/>
  <c r="BF2229" i="1"/>
  <c r="BT2229" i="1"/>
  <c r="BF2230" i="1"/>
  <c r="BT2230" i="1"/>
  <c r="BF2231" i="1"/>
  <c r="BT2231" i="1"/>
  <c r="BF2232" i="1"/>
  <c r="BT2232" i="1"/>
  <c r="BF2233" i="1"/>
  <c r="BT2233" i="1"/>
  <c r="BF2234" i="1"/>
  <c r="BT2234" i="1"/>
  <c r="BF2235" i="1"/>
  <c r="BT2235" i="1"/>
  <c r="BF2236" i="1"/>
  <c r="BT2236" i="1"/>
  <c r="BF2237" i="1"/>
  <c r="BT2237" i="1"/>
  <c r="BF2238" i="1"/>
  <c r="BT2238" i="1"/>
  <c r="BF2239" i="1"/>
  <c r="BT2239" i="1"/>
  <c r="BF2240" i="1"/>
  <c r="BT2240" i="1"/>
  <c r="BF2241" i="1"/>
  <c r="BT2241" i="1"/>
  <c r="BF2242" i="1"/>
  <c r="BT2242" i="1"/>
  <c r="BF2243" i="1"/>
  <c r="BT2243" i="1"/>
  <c r="BF2244" i="1"/>
  <c r="BT2244" i="1"/>
  <c r="BF2245" i="1"/>
  <c r="BT2245" i="1"/>
  <c r="BF2246" i="1"/>
  <c r="BT2246" i="1"/>
  <c r="BF2247" i="1"/>
  <c r="BT2247" i="1"/>
  <c r="BF2248" i="1"/>
  <c r="BT2248" i="1"/>
  <c r="BF2249" i="1"/>
  <c r="BT2249" i="1"/>
  <c r="BF2250" i="1"/>
  <c r="BT2250" i="1"/>
  <c r="BF2251" i="1"/>
  <c r="BT2251" i="1"/>
  <c r="BF2252" i="1"/>
  <c r="BT2252" i="1"/>
  <c r="BF2253" i="1"/>
  <c r="BT2253" i="1"/>
  <c r="BF2254" i="1"/>
  <c r="BT2254" i="1"/>
  <c r="BF2255" i="1"/>
  <c r="BT2255" i="1"/>
  <c r="BF2256" i="1"/>
  <c r="BT2256" i="1"/>
  <c r="BF2257" i="1"/>
  <c r="BT2257" i="1"/>
  <c r="BF2258" i="1"/>
  <c r="BT2258" i="1"/>
  <c r="BF2259" i="1"/>
  <c r="BT2259" i="1"/>
  <c r="BF2260" i="1"/>
  <c r="BT2260" i="1"/>
  <c r="BF2261" i="1"/>
  <c r="BT2261" i="1"/>
  <c r="BF2262" i="1"/>
  <c r="BT2262" i="1"/>
  <c r="BF2263" i="1"/>
  <c r="BT2263" i="1"/>
  <c r="BF2264" i="1"/>
  <c r="BT2264" i="1"/>
  <c r="BF2265" i="1"/>
  <c r="BT2265" i="1"/>
  <c r="BF2266" i="1"/>
  <c r="BT2266" i="1"/>
  <c r="BF2267" i="1"/>
  <c r="BT2267" i="1"/>
  <c r="BF2268" i="1"/>
  <c r="BT2268" i="1"/>
  <c r="BF2269" i="1"/>
  <c r="BT2269" i="1"/>
  <c r="BF2270" i="1"/>
  <c r="BT2270" i="1"/>
  <c r="BF2271" i="1"/>
  <c r="BT2271" i="1"/>
  <c r="BF2272" i="1"/>
  <c r="BT2272" i="1"/>
  <c r="BF2273" i="1"/>
  <c r="BT2273" i="1"/>
  <c r="BF2274" i="1"/>
  <c r="BT2274" i="1"/>
  <c r="BF2275" i="1"/>
  <c r="BT2275" i="1"/>
  <c r="BF2276" i="1"/>
  <c r="BT2276" i="1"/>
  <c r="BF2277" i="1"/>
  <c r="BT2277" i="1"/>
  <c r="BF2278" i="1"/>
  <c r="BT2278" i="1"/>
  <c r="BF2279" i="1"/>
  <c r="BT2279" i="1"/>
  <c r="BF2280" i="1"/>
  <c r="BT2280" i="1"/>
  <c r="BF2281" i="1"/>
  <c r="BT2281" i="1"/>
  <c r="BT2282" i="1"/>
  <c r="BF2283" i="1"/>
  <c r="BT2283" i="1"/>
  <c r="BF2284" i="1"/>
  <c r="BT2284" i="1"/>
  <c r="BF2285" i="1"/>
  <c r="BT2285" i="1"/>
  <c r="BF2286" i="1"/>
  <c r="BT2286" i="1"/>
  <c r="BF2287" i="1"/>
  <c r="BT2287" i="1"/>
  <c r="BF2288" i="1"/>
  <c r="BT2288" i="1"/>
  <c r="BF2289" i="1"/>
  <c r="BT2289" i="1"/>
  <c r="BF2290" i="1"/>
  <c r="BT2290" i="1"/>
  <c r="BF2291" i="1"/>
  <c r="BT2291" i="1"/>
  <c r="BF2292" i="1"/>
  <c r="BT2292" i="1"/>
  <c r="BF2293" i="1"/>
  <c r="BT2293" i="1"/>
  <c r="BF2294" i="1"/>
  <c r="BT2294" i="1"/>
  <c r="BF2295" i="1"/>
  <c r="BT2295" i="1"/>
  <c r="BF2296" i="1"/>
  <c r="BT2296" i="1"/>
  <c r="BF2297" i="1"/>
  <c r="BT2297" i="1"/>
  <c r="BF2298" i="1"/>
  <c r="BT2298" i="1"/>
  <c r="BF2299" i="1"/>
  <c r="BT2299" i="1"/>
  <c r="BF2300" i="1"/>
  <c r="BT2300" i="1"/>
  <c r="BT2301" i="1"/>
  <c r="BF2302" i="1"/>
  <c r="BT2302" i="1"/>
  <c r="BF2303" i="1"/>
  <c r="BT2303" i="1"/>
  <c r="BF2304" i="1"/>
  <c r="BT2304" i="1"/>
  <c r="BF2305" i="1"/>
  <c r="BT2305" i="1"/>
  <c r="BF2306" i="1"/>
  <c r="BT2306" i="1"/>
  <c r="BF2307" i="1"/>
  <c r="BT2307" i="1"/>
  <c r="BF2308" i="1"/>
  <c r="BT2308" i="1"/>
  <c r="BF2309" i="1"/>
  <c r="BT2309" i="1"/>
  <c r="BF2310" i="1"/>
  <c r="BT2310" i="1"/>
  <c r="BF2311" i="1"/>
  <c r="BT2311" i="1"/>
  <c r="BF2312" i="1"/>
  <c r="BT2312" i="1"/>
  <c r="BF2313" i="1"/>
  <c r="BT2313" i="1"/>
  <c r="BF2314" i="1"/>
  <c r="BT2314" i="1"/>
  <c r="BF2315" i="1"/>
  <c r="BT2315" i="1"/>
  <c r="BF2316" i="1"/>
  <c r="BT2316" i="1"/>
  <c r="BF2317" i="1"/>
  <c r="BT2317" i="1"/>
  <c r="BF2318" i="1"/>
  <c r="BT2318" i="1"/>
  <c r="BF2319" i="1"/>
  <c r="BT2319" i="1"/>
  <c r="BF2320" i="1"/>
  <c r="BT2320" i="1"/>
  <c r="BF2321" i="1"/>
  <c r="BT2321" i="1"/>
  <c r="BF2322" i="1"/>
  <c r="BT2322" i="1"/>
  <c r="BT2323" i="1"/>
  <c r="BF2324" i="1"/>
  <c r="BT2324" i="1"/>
  <c r="BF2325" i="1"/>
  <c r="BT2325" i="1"/>
  <c r="BF2326" i="1"/>
  <c r="BT2326" i="1"/>
  <c r="BF2327" i="1"/>
  <c r="BT2327" i="1"/>
  <c r="BF2328" i="1"/>
  <c r="BT2328" i="1"/>
  <c r="BF2329" i="1"/>
  <c r="BT2329" i="1"/>
  <c r="BF2330" i="1"/>
  <c r="BT2330" i="1"/>
  <c r="BF2331" i="1"/>
  <c r="BT2331" i="1"/>
  <c r="BF2332" i="1"/>
  <c r="BT2332" i="1"/>
  <c r="BF2333" i="1"/>
  <c r="BT2333" i="1"/>
  <c r="BF2334" i="1"/>
  <c r="BT2334" i="1"/>
  <c r="BF2335" i="1"/>
  <c r="BT2335" i="1"/>
  <c r="BF2336" i="1"/>
  <c r="BT2336" i="1"/>
  <c r="BF2337" i="1"/>
  <c r="BT2337" i="1"/>
  <c r="BF2338" i="1"/>
  <c r="BT2338" i="1"/>
  <c r="BF2339" i="1"/>
  <c r="BT2339" i="1"/>
  <c r="BF2340" i="1"/>
  <c r="BT2340" i="1"/>
  <c r="BF2341" i="1"/>
  <c r="BT2341" i="1"/>
  <c r="BF2342" i="1"/>
  <c r="BT2342" i="1"/>
  <c r="BF2343" i="1"/>
  <c r="BT2343" i="1"/>
  <c r="BF2344" i="1"/>
  <c r="BT2344" i="1"/>
  <c r="BF2345" i="1"/>
  <c r="BT2345" i="1"/>
  <c r="BF2346" i="1"/>
  <c r="BT2346" i="1"/>
  <c r="BF2347" i="1"/>
  <c r="BT2347" i="1"/>
  <c r="BF2348" i="1"/>
  <c r="BT2348" i="1"/>
  <c r="BF2349" i="1"/>
  <c r="BT2349" i="1"/>
  <c r="BF2350" i="1"/>
  <c r="BT2350" i="1"/>
  <c r="BF2351" i="1"/>
  <c r="BT2351" i="1"/>
  <c r="BF2352" i="1"/>
  <c r="BT2352" i="1"/>
  <c r="BF2353" i="1"/>
  <c r="BT2353" i="1"/>
  <c r="BF2354" i="1"/>
  <c r="BT2354" i="1"/>
  <c r="BF2355" i="1"/>
  <c r="BT2355" i="1"/>
  <c r="BF2356" i="1"/>
  <c r="BT2356" i="1"/>
  <c r="BF2357" i="1"/>
  <c r="BT2357" i="1"/>
  <c r="BF2358" i="1"/>
  <c r="BT2358" i="1"/>
  <c r="BF2359" i="1"/>
  <c r="BT2359" i="1"/>
  <c r="BF2360" i="1"/>
  <c r="BT2360" i="1"/>
  <c r="BF2361" i="1"/>
  <c r="BT2361" i="1"/>
  <c r="BF2362" i="1"/>
  <c r="BT2362" i="1"/>
  <c r="BF2363" i="1"/>
  <c r="BT2363" i="1"/>
  <c r="BF2364" i="1"/>
  <c r="BT2364" i="1"/>
  <c r="BT2365" i="1"/>
  <c r="BF2366" i="1"/>
  <c r="BT2366" i="1"/>
  <c r="BF2367" i="1"/>
  <c r="BT2367" i="1"/>
  <c r="BF2368" i="1"/>
  <c r="BT2368" i="1"/>
  <c r="BF2369" i="1"/>
  <c r="BT2369" i="1"/>
  <c r="BF2370" i="1"/>
  <c r="BT2370" i="1"/>
  <c r="BF2371" i="1"/>
  <c r="BT2371" i="1"/>
  <c r="BF2372" i="1"/>
  <c r="BT2372" i="1"/>
  <c r="BF2373" i="1"/>
  <c r="BT2373" i="1"/>
  <c r="BF2374" i="1"/>
  <c r="BT2374" i="1"/>
  <c r="BF2375" i="1"/>
  <c r="BT2375" i="1"/>
  <c r="BF2376" i="1"/>
  <c r="BT2376" i="1"/>
  <c r="BF2377" i="1"/>
  <c r="BT2377" i="1"/>
  <c r="BF2378" i="1"/>
  <c r="BT2378" i="1"/>
  <c r="BF2379" i="1"/>
  <c r="BT2379" i="1"/>
  <c r="BF2380" i="1"/>
  <c r="BT2380" i="1"/>
  <c r="BF2381" i="1"/>
  <c r="BT2381" i="1"/>
  <c r="BF2382" i="1"/>
  <c r="BT2382" i="1"/>
  <c r="BF2383" i="1"/>
  <c r="BT2383" i="1"/>
  <c r="BF2384" i="1"/>
  <c r="BT2384" i="1"/>
  <c r="BF2385" i="1"/>
  <c r="BT2385" i="1"/>
  <c r="BF2386" i="1"/>
  <c r="BT2386" i="1"/>
  <c r="BF2387" i="1"/>
  <c r="BT2387" i="1"/>
  <c r="BF2388" i="1"/>
  <c r="BT2388" i="1"/>
  <c r="BF2389" i="1"/>
  <c r="BT2389" i="1"/>
  <c r="BF2390" i="1"/>
  <c r="BT2390" i="1"/>
  <c r="BF2391" i="1"/>
  <c r="BT2391" i="1"/>
  <c r="BF2392" i="1"/>
  <c r="BT2392" i="1"/>
  <c r="BF2393" i="1"/>
  <c r="BT2393" i="1"/>
  <c r="BF2394" i="1"/>
  <c r="BT2394" i="1"/>
  <c r="BF2395" i="1"/>
  <c r="BT2395" i="1"/>
  <c r="BF2396" i="1"/>
  <c r="BT2396" i="1"/>
  <c r="BF2397" i="1"/>
  <c r="BT2397" i="1"/>
  <c r="BF2398" i="1"/>
  <c r="BT2398" i="1"/>
  <c r="BF2399" i="1"/>
  <c r="BT2399" i="1"/>
  <c r="BF2400" i="1"/>
  <c r="BT2400" i="1"/>
  <c r="BF2401" i="1"/>
  <c r="BT2401" i="1"/>
  <c r="BF2402" i="1"/>
  <c r="BT2402" i="1"/>
  <c r="BF2403" i="1"/>
  <c r="BT2403" i="1"/>
  <c r="BF2404" i="1"/>
  <c r="BT2404" i="1"/>
  <c r="BF2405" i="1"/>
  <c r="BT2405" i="1"/>
  <c r="BF2406" i="1"/>
  <c r="BT2406" i="1"/>
  <c r="BF2407" i="1"/>
  <c r="BT2407" i="1"/>
  <c r="BT2408" i="1"/>
  <c r="BF2409" i="1"/>
  <c r="BT2409" i="1"/>
  <c r="BF2410" i="1"/>
  <c r="BT2410" i="1"/>
  <c r="BF2411" i="1"/>
  <c r="BT2411" i="1"/>
  <c r="BF2412" i="1"/>
  <c r="BT2412" i="1"/>
  <c r="BF2413" i="1"/>
  <c r="BT2413" i="1"/>
  <c r="BF2414" i="1"/>
  <c r="BT2414" i="1"/>
  <c r="BF2415" i="1"/>
  <c r="BT2415" i="1"/>
  <c r="BF2416" i="1"/>
  <c r="BT2416" i="1"/>
  <c r="BF2417" i="1"/>
  <c r="BT2417" i="1"/>
  <c r="BF2418" i="1"/>
  <c r="BT2418" i="1"/>
  <c r="BF2419" i="1"/>
  <c r="BT2419" i="1"/>
  <c r="BF2420" i="1"/>
  <c r="BT2420" i="1"/>
  <c r="BF2421" i="1"/>
  <c r="BT2421" i="1"/>
  <c r="BF2422" i="1"/>
  <c r="BT2422" i="1"/>
  <c r="BF2423" i="1"/>
  <c r="BT2423" i="1"/>
  <c r="BF2424" i="1"/>
  <c r="BT2424" i="1"/>
  <c r="BF2425" i="1"/>
  <c r="BT2425" i="1"/>
  <c r="BF2426" i="1"/>
  <c r="BT2426" i="1"/>
  <c r="BF2427" i="1"/>
  <c r="BT2427" i="1"/>
  <c r="BF2428" i="1"/>
  <c r="BT2428" i="1"/>
  <c r="BF2429" i="1"/>
  <c r="BT2429" i="1"/>
  <c r="BF2430" i="1"/>
  <c r="BT2430" i="1"/>
  <c r="BF2431" i="1"/>
  <c r="BT2431" i="1"/>
  <c r="BF2432" i="1"/>
  <c r="BT2432" i="1"/>
  <c r="BF2433" i="1"/>
  <c r="BT2433" i="1"/>
  <c r="BT2434" i="1"/>
  <c r="BF2435" i="1"/>
  <c r="BT2435" i="1"/>
  <c r="BF2436" i="1"/>
  <c r="BT2436" i="1"/>
  <c r="BF2437" i="1"/>
  <c r="BT2437" i="1"/>
  <c r="BF2438" i="1"/>
  <c r="BT2438" i="1"/>
  <c r="BF2439" i="1"/>
  <c r="BT2439" i="1"/>
  <c r="BF2440" i="1"/>
  <c r="BT2440" i="1"/>
  <c r="BF2441" i="1"/>
  <c r="BT2441" i="1"/>
  <c r="BF2442" i="1"/>
  <c r="BT2442" i="1"/>
  <c r="BF2443" i="1"/>
  <c r="BT2443" i="1"/>
  <c r="BF2444" i="1"/>
  <c r="BT2444" i="1"/>
  <c r="BF2445" i="1"/>
  <c r="BT2445" i="1"/>
  <c r="BF2446" i="1"/>
  <c r="BT2446" i="1"/>
  <c r="BF2447" i="1"/>
  <c r="BT2447" i="1"/>
  <c r="BF2448" i="1"/>
  <c r="BT2448" i="1"/>
  <c r="BF2449" i="1"/>
  <c r="BT2449" i="1"/>
  <c r="BF2450" i="1"/>
  <c r="BT2450" i="1"/>
  <c r="BF2451" i="1"/>
  <c r="BT2451" i="1"/>
  <c r="BF2452" i="1"/>
  <c r="BT2452" i="1"/>
  <c r="BF2453" i="1"/>
  <c r="BT2453" i="1"/>
  <c r="BF2454" i="1"/>
  <c r="BT2454" i="1"/>
  <c r="BT2455" i="1"/>
  <c r="BF2456" i="1"/>
  <c r="BT2456" i="1"/>
  <c r="BT2457" i="1"/>
  <c r="BF2458" i="1"/>
  <c r="BT2458" i="1"/>
  <c r="BF2459" i="1"/>
  <c r="BT2459" i="1"/>
  <c r="BF2460" i="1"/>
  <c r="BT2460" i="1"/>
  <c r="BF2461" i="1"/>
  <c r="BT2461" i="1"/>
  <c r="BF2462" i="1"/>
  <c r="BT2462" i="1"/>
  <c r="BF2463" i="1"/>
  <c r="BT2463" i="1"/>
  <c r="BF2464" i="1"/>
  <c r="BT2464" i="1"/>
  <c r="BF2465" i="1"/>
  <c r="BT2465" i="1"/>
  <c r="BF2466" i="1"/>
  <c r="BT2466" i="1"/>
  <c r="BF2467" i="1"/>
  <c r="BT2467" i="1"/>
  <c r="BF2468" i="1"/>
  <c r="BT2468" i="1"/>
  <c r="BF2469" i="1"/>
  <c r="BT2469" i="1"/>
  <c r="BF2470" i="1"/>
  <c r="BT2470" i="1"/>
  <c r="BF2471" i="1"/>
  <c r="BT2471" i="1"/>
  <c r="BF2472" i="1"/>
  <c r="BT2472" i="1"/>
  <c r="BF2473" i="1"/>
  <c r="BT2473" i="1"/>
  <c r="BF2474" i="1"/>
  <c r="BT2474" i="1"/>
  <c r="BF2475" i="1"/>
  <c r="BT2475" i="1"/>
  <c r="BF2476" i="1"/>
  <c r="BT2476" i="1"/>
  <c r="BF2477" i="1"/>
  <c r="BT2477" i="1"/>
  <c r="BF2478" i="1"/>
  <c r="BT2478" i="1"/>
  <c r="BF2479" i="1"/>
  <c r="BT2479" i="1"/>
  <c r="BF2480" i="1"/>
  <c r="BT2480" i="1"/>
  <c r="BF2481" i="1"/>
  <c r="BT2481" i="1"/>
  <c r="BF2482" i="1"/>
  <c r="BT2482" i="1"/>
  <c r="BF2483" i="1"/>
  <c r="BT2483" i="1"/>
  <c r="BF2484" i="1"/>
  <c r="BT2484" i="1"/>
  <c r="BF2485" i="1"/>
  <c r="BT2485" i="1"/>
  <c r="BF2486" i="1"/>
  <c r="BT2486" i="1"/>
  <c r="BF2487" i="1"/>
  <c r="BT2487" i="1"/>
  <c r="BF2488" i="1"/>
  <c r="BT2488" i="1"/>
  <c r="BF2489" i="1"/>
  <c r="BT2489" i="1"/>
  <c r="BF2490" i="1"/>
  <c r="BT2490" i="1"/>
  <c r="BF2491" i="1"/>
  <c r="BT2491" i="1"/>
  <c r="BT2492" i="1"/>
  <c r="BF2493" i="1"/>
  <c r="BT2493" i="1"/>
  <c r="BF2494" i="1"/>
  <c r="BT2494" i="1"/>
  <c r="BF2495" i="1"/>
  <c r="BT2495" i="1"/>
  <c r="BF2496" i="1"/>
  <c r="BT2496" i="1"/>
  <c r="BF2497" i="1"/>
  <c r="BT2497" i="1"/>
  <c r="BF2498" i="1"/>
  <c r="BT2498" i="1"/>
  <c r="BF2499" i="1"/>
  <c r="BT2499" i="1"/>
  <c r="BF2500" i="1"/>
  <c r="BT2500" i="1"/>
  <c r="BF2501" i="1"/>
  <c r="BT2501" i="1"/>
  <c r="BF2502" i="1"/>
  <c r="BT2502" i="1"/>
  <c r="BF2503" i="1"/>
  <c r="BT2503" i="1"/>
  <c r="BF2504" i="1"/>
  <c r="BT2504" i="1"/>
  <c r="BF2505" i="1"/>
  <c r="BT2505" i="1"/>
  <c r="BF2506" i="1"/>
  <c r="BT2506" i="1"/>
  <c r="BF2507" i="1"/>
  <c r="BT2507" i="1"/>
  <c r="BF2508" i="1"/>
  <c r="BT2508" i="1"/>
  <c r="BF2509" i="1"/>
  <c r="BT2509" i="1"/>
  <c r="BF2510" i="1"/>
  <c r="BT2510" i="1"/>
  <c r="BF2511" i="1"/>
  <c r="BT2511" i="1"/>
  <c r="BF2512" i="1"/>
  <c r="BT2512" i="1"/>
  <c r="BF2513" i="1"/>
  <c r="BT2513" i="1"/>
  <c r="BF2514" i="1"/>
  <c r="BT2514" i="1"/>
  <c r="BF2515" i="1"/>
  <c r="BT2515" i="1"/>
  <c r="BF2516" i="1"/>
  <c r="BT2516" i="1"/>
  <c r="BF2517" i="1"/>
  <c r="BT2517" i="1"/>
  <c r="BF2518" i="1"/>
  <c r="BT2518" i="1"/>
  <c r="BF2519" i="1"/>
  <c r="BT2519" i="1"/>
  <c r="BF2520" i="1"/>
  <c r="BT2520" i="1"/>
  <c r="BF2521" i="1"/>
  <c r="BT2521" i="1"/>
  <c r="BF2522" i="1"/>
  <c r="BT2522" i="1"/>
  <c r="BF2523" i="1"/>
  <c r="BT2523" i="1"/>
  <c r="BF2524" i="1"/>
  <c r="BT2524" i="1"/>
  <c r="BF2525" i="1"/>
  <c r="BT2525" i="1"/>
  <c r="BF2526" i="1"/>
  <c r="BT2526" i="1"/>
  <c r="BF2527" i="1"/>
  <c r="BT2527" i="1"/>
  <c r="BF2528" i="1"/>
  <c r="BT2528" i="1"/>
  <c r="BF2529" i="1"/>
  <c r="BT2529" i="1"/>
  <c r="BF2530" i="1"/>
  <c r="BT2530" i="1"/>
  <c r="BF2531" i="1"/>
  <c r="BT2531" i="1"/>
  <c r="BF2532" i="1"/>
  <c r="BT2532" i="1"/>
  <c r="BF2533" i="1"/>
  <c r="BT2533" i="1"/>
  <c r="BF2534" i="1"/>
  <c r="BT2534" i="1"/>
  <c r="BF2535" i="1"/>
  <c r="BT2535" i="1"/>
  <c r="BF2536" i="1"/>
  <c r="BT2536" i="1"/>
  <c r="BF2537" i="1"/>
  <c r="BT2537" i="1"/>
  <c r="BF2538" i="1"/>
  <c r="BT2538" i="1"/>
  <c r="BF2539" i="1"/>
  <c r="BT2539" i="1"/>
  <c r="BF2540" i="1"/>
  <c r="BT2540" i="1"/>
  <c r="BF2541" i="1"/>
  <c r="BT2541" i="1"/>
  <c r="BF2542" i="1"/>
  <c r="BT2542" i="1"/>
  <c r="BF2543" i="1"/>
  <c r="BT2543" i="1"/>
  <c r="BF2544" i="1"/>
  <c r="BT2544" i="1"/>
  <c r="BF2545" i="1"/>
  <c r="BT2545" i="1"/>
  <c r="BT2546" i="1"/>
  <c r="BF2547" i="1"/>
  <c r="BT2547" i="1"/>
  <c r="BF2548" i="1"/>
  <c r="BT2548" i="1"/>
  <c r="BF2549" i="1"/>
  <c r="BT2549" i="1"/>
  <c r="BF2550" i="1"/>
  <c r="BT2550" i="1"/>
  <c r="BF2551" i="1"/>
  <c r="BT2551" i="1"/>
  <c r="BF2552" i="1"/>
  <c r="BT2552" i="1"/>
  <c r="BF2553" i="1"/>
  <c r="BT2553" i="1"/>
  <c r="BF2554" i="1"/>
  <c r="BT2554" i="1"/>
  <c r="BF2555" i="1"/>
  <c r="BT2555" i="1"/>
  <c r="BF2556" i="1"/>
  <c r="BT2556" i="1"/>
  <c r="BT2557" i="1"/>
  <c r="BF2558" i="1"/>
  <c r="BT2558" i="1"/>
  <c r="BF2559" i="1"/>
  <c r="BT2559" i="1"/>
  <c r="BF2560" i="1"/>
  <c r="BT2560" i="1"/>
  <c r="BF2561" i="1"/>
  <c r="BT2561" i="1"/>
  <c r="BF2562" i="1"/>
  <c r="BT2562" i="1"/>
  <c r="BF2563" i="1"/>
  <c r="BT2563" i="1"/>
  <c r="BF2564" i="1"/>
  <c r="BT2564" i="1"/>
  <c r="BF2565" i="1"/>
  <c r="BT2565" i="1"/>
  <c r="BF2566" i="1"/>
  <c r="BT2566" i="1"/>
  <c r="BF2567" i="1"/>
  <c r="BT2567" i="1"/>
  <c r="BF2568" i="1"/>
  <c r="BT2568" i="1"/>
  <c r="BF2569" i="1"/>
  <c r="BT2569" i="1"/>
  <c r="BF2570" i="1"/>
  <c r="BT2570" i="1"/>
  <c r="BF2571" i="1"/>
  <c r="BT2571" i="1"/>
  <c r="BF2572" i="1"/>
  <c r="BT2572" i="1"/>
  <c r="BF2573" i="1"/>
  <c r="BT2573" i="1"/>
  <c r="BF2574" i="1"/>
  <c r="BT2574" i="1"/>
  <c r="BF2575" i="1"/>
  <c r="BT2575" i="1"/>
  <c r="BF2576" i="1"/>
  <c r="BT2576" i="1"/>
  <c r="BF2577" i="1"/>
  <c r="BT2577" i="1"/>
  <c r="BF2578" i="1"/>
  <c r="BT2578" i="1"/>
  <c r="BF2579" i="1"/>
  <c r="BT2579" i="1"/>
  <c r="BF2580" i="1"/>
  <c r="BT2580" i="1"/>
  <c r="BF2581" i="1"/>
  <c r="BT2581" i="1"/>
  <c r="BF2582" i="1"/>
  <c r="BT2582" i="1"/>
  <c r="BF2583" i="1"/>
  <c r="BT2583" i="1"/>
  <c r="BF2584" i="1"/>
  <c r="BT2584" i="1"/>
  <c r="BF2585" i="1"/>
  <c r="BT2585" i="1"/>
  <c r="BF2586" i="1"/>
  <c r="BT2586" i="1"/>
  <c r="BF2587" i="1"/>
  <c r="BT2587" i="1"/>
  <c r="BF2588" i="1"/>
  <c r="BT2588" i="1"/>
  <c r="BF2589" i="1"/>
  <c r="BT2589" i="1"/>
  <c r="BF2590" i="1"/>
  <c r="BT2590" i="1"/>
  <c r="BF2591" i="1"/>
  <c r="BT2591" i="1"/>
  <c r="BF2592" i="1"/>
  <c r="BT2592" i="1"/>
  <c r="BF2593" i="1"/>
  <c r="BT2593" i="1"/>
  <c r="BF2594" i="1"/>
  <c r="BT2594" i="1"/>
  <c r="BF2595" i="1"/>
  <c r="BT2595" i="1"/>
  <c r="BF2596" i="1"/>
  <c r="BT2596" i="1"/>
  <c r="BF2597" i="1"/>
  <c r="BT2597" i="1"/>
  <c r="BF2598" i="1"/>
  <c r="BT2598" i="1"/>
  <c r="BF2599" i="1"/>
  <c r="BT2599" i="1"/>
  <c r="BF2600" i="1"/>
  <c r="BT2600" i="1"/>
  <c r="BF2601" i="1"/>
  <c r="BT2601" i="1"/>
  <c r="BF2602" i="1"/>
  <c r="BT2602" i="1"/>
  <c r="BF2603" i="1"/>
  <c r="BT2603" i="1"/>
  <c r="BF2604" i="1"/>
  <c r="BT2604" i="1"/>
  <c r="BF2605" i="1"/>
  <c r="BT2605" i="1"/>
  <c r="BF2606" i="1"/>
  <c r="BT2606" i="1"/>
  <c r="BF2607" i="1"/>
  <c r="BT2607" i="1"/>
  <c r="BF2608" i="1"/>
  <c r="BT2608" i="1"/>
  <c r="BF2609" i="1"/>
  <c r="BT2609" i="1"/>
  <c r="BF2610" i="1"/>
  <c r="BT2610" i="1"/>
  <c r="BF2611" i="1"/>
  <c r="BT2611" i="1"/>
  <c r="BF2612" i="1"/>
  <c r="BT2612" i="1"/>
  <c r="BF2613" i="1"/>
  <c r="BT2613" i="1"/>
  <c r="BF2614" i="1"/>
  <c r="BT2614" i="1"/>
  <c r="BF2615" i="1"/>
  <c r="BT2615" i="1"/>
  <c r="BF2616" i="1"/>
  <c r="BT2616" i="1"/>
  <c r="BF2617" i="1"/>
  <c r="BT2617" i="1"/>
  <c r="BF2618" i="1"/>
  <c r="BT2618" i="1"/>
  <c r="BF2619" i="1"/>
  <c r="BT2619" i="1"/>
  <c r="BF2620" i="1"/>
  <c r="BT2620" i="1"/>
  <c r="BF2621" i="1"/>
  <c r="BT2621" i="1"/>
  <c r="BF2622" i="1"/>
  <c r="BT2622" i="1"/>
  <c r="BF2623" i="1"/>
  <c r="BT2623" i="1"/>
  <c r="BT2624" i="1"/>
  <c r="BF2625" i="1"/>
  <c r="BT2625" i="1"/>
  <c r="BF2626" i="1"/>
  <c r="BT2626" i="1"/>
  <c r="BF2627" i="1"/>
  <c r="BT2627" i="1"/>
  <c r="BF2628" i="1"/>
  <c r="BT2628" i="1"/>
  <c r="BF2629" i="1"/>
  <c r="BT2629" i="1"/>
  <c r="BT2630" i="1"/>
  <c r="BF2631" i="1"/>
  <c r="BT2631" i="1"/>
  <c r="BF2632" i="1"/>
  <c r="BT2632" i="1"/>
  <c r="BF2633" i="1"/>
  <c r="BT2633" i="1"/>
  <c r="BF2634" i="1"/>
  <c r="BT2634" i="1"/>
  <c r="BF2635" i="1"/>
  <c r="BT2635" i="1"/>
  <c r="BF2636" i="1"/>
  <c r="BT2636" i="1"/>
  <c r="BF2637" i="1"/>
  <c r="BT2637" i="1"/>
  <c r="BF2638" i="1"/>
  <c r="BT2638" i="1"/>
  <c r="BF2639" i="1"/>
  <c r="BT2639" i="1"/>
  <c r="BF2640" i="1"/>
  <c r="BT2640" i="1"/>
  <c r="BF2641" i="1"/>
  <c r="BT2641" i="1"/>
  <c r="BF2642" i="1"/>
  <c r="BT2642" i="1"/>
  <c r="BF2643" i="1"/>
  <c r="BT2643" i="1"/>
  <c r="BF2644" i="1"/>
  <c r="BT2644" i="1"/>
  <c r="BF2645" i="1"/>
  <c r="BT2645" i="1"/>
  <c r="BF2646" i="1"/>
  <c r="BT2646" i="1"/>
  <c r="BF2647" i="1"/>
  <c r="BT2647" i="1"/>
  <c r="BF2648" i="1"/>
  <c r="BT2648" i="1"/>
  <c r="BF2649" i="1"/>
  <c r="BT2649" i="1"/>
  <c r="BF2650" i="1"/>
  <c r="BT2650" i="1"/>
  <c r="BF2651" i="1"/>
  <c r="BT2651" i="1"/>
  <c r="BF2652" i="1"/>
  <c r="BT2652" i="1"/>
  <c r="BF2653" i="1"/>
  <c r="BT2653" i="1"/>
  <c r="BF2654" i="1"/>
  <c r="BT2654" i="1"/>
  <c r="BF2655" i="1"/>
  <c r="BT2655" i="1"/>
  <c r="BF2656" i="1"/>
  <c r="BT2656" i="1"/>
  <c r="BF2657" i="1"/>
  <c r="BT2657" i="1"/>
  <c r="BF2658" i="1"/>
  <c r="BT2658" i="1"/>
  <c r="BF2659" i="1"/>
  <c r="BT2659" i="1"/>
  <c r="BF2660" i="1"/>
  <c r="BT2660" i="1"/>
  <c r="BF2661" i="1"/>
  <c r="BT2661" i="1"/>
  <c r="BF2662" i="1"/>
  <c r="BT2662" i="1"/>
  <c r="BF2663" i="1"/>
  <c r="BT2663" i="1"/>
  <c r="BT2664" i="1"/>
  <c r="BF2665" i="1"/>
  <c r="BT2665" i="1"/>
  <c r="BF2666" i="1"/>
  <c r="BT2666" i="1"/>
  <c r="BF2667" i="1"/>
  <c r="BT2667" i="1"/>
  <c r="BF2668" i="1"/>
  <c r="BT2668" i="1"/>
  <c r="BF2669" i="1"/>
  <c r="BT2669" i="1"/>
  <c r="BF2670" i="1"/>
  <c r="BT2670" i="1"/>
  <c r="BF2671" i="1"/>
  <c r="BT2671" i="1"/>
  <c r="BF2672" i="1"/>
  <c r="BT2672" i="1"/>
  <c r="BF2673" i="1"/>
  <c r="BT2673" i="1"/>
  <c r="BF2674" i="1"/>
  <c r="BT2674" i="1"/>
  <c r="BF2675" i="1"/>
  <c r="BT2675" i="1"/>
  <c r="BF2676" i="1"/>
  <c r="BT2676" i="1"/>
  <c r="BF2677" i="1"/>
  <c r="BT2677" i="1"/>
  <c r="BF2678" i="1"/>
  <c r="BT2678" i="1"/>
  <c r="BF2679" i="1"/>
  <c r="BT2679" i="1"/>
  <c r="BF2680" i="1"/>
  <c r="BT2680" i="1"/>
  <c r="BF2681" i="1"/>
  <c r="BT2681" i="1"/>
  <c r="BF2682" i="1"/>
  <c r="BT2682" i="1"/>
  <c r="BF2683" i="1"/>
  <c r="BT2683" i="1"/>
  <c r="BF2684" i="1"/>
  <c r="BT2684" i="1"/>
  <c r="BF2685" i="1"/>
  <c r="BT2685" i="1"/>
  <c r="BF2686" i="1"/>
  <c r="BT2686" i="1"/>
  <c r="BF2687" i="1"/>
  <c r="BT2687" i="1"/>
  <c r="BF2688" i="1"/>
  <c r="BT2688" i="1"/>
  <c r="BF2689" i="1"/>
  <c r="BT2689" i="1"/>
  <c r="BF2690" i="1"/>
  <c r="BT2690" i="1"/>
  <c r="BF2691" i="1"/>
  <c r="BT2691" i="1"/>
  <c r="BF2692" i="1"/>
  <c r="BT2692" i="1"/>
  <c r="BF2693" i="1"/>
  <c r="BT2693" i="1"/>
  <c r="BF2694" i="1"/>
  <c r="BT2694" i="1"/>
  <c r="BF2695" i="1"/>
  <c r="BT2695" i="1"/>
  <c r="BF2696" i="1"/>
  <c r="BT2696" i="1"/>
  <c r="BF2697" i="1"/>
  <c r="BT2697" i="1"/>
  <c r="BF2698" i="1"/>
  <c r="BT2698" i="1"/>
  <c r="BF2699" i="1"/>
  <c r="BT2699" i="1"/>
  <c r="BF2700" i="1"/>
  <c r="BT2700" i="1"/>
  <c r="BF2701" i="1"/>
  <c r="BT2701" i="1"/>
  <c r="BF2702" i="1"/>
  <c r="BT2702" i="1"/>
  <c r="BF2703" i="1"/>
  <c r="BT2703" i="1"/>
  <c r="BF2704" i="1"/>
  <c r="BT2704" i="1"/>
  <c r="BF2705" i="1"/>
  <c r="BT2705" i="1"/>
  <c r="BT2706" i="1"/>
  <c r="BF2707" i="1"/>
  <c r="BT2707" i="1"/>
  <c r="BF2708" i="1"/>
  <c r="BT2708" i="1"/>
  <c r="BF2709" i="1"/>
  <c r="BT2709" i="1"/>
  <c r="BF2710" i="1"/>
  <c r="BT2710" i="1"/>
  <c r="BF2711" i="1"/>
  <c r="BT2711" i="1"/>
  <c r="BF2712" i="1"/>
  <c r="BT2712" i="1"/>
  <c r="BF2713" i="1"/>
  <c r="BT2713" i="1"/>
  <c r="BF2714" i="1"/>
  <c r="BT2714" i="1"/>
  <c r="BF2715" i="1"/>
  <c r="BT2715" i="1"/>
  <c r="BF2716" i="1"/>
  <c r="BT2716" i="1"/>
  <c r="BF2717" i="1"/>
  <c r="BT2717" i="1"/>
  <c r="BF2718" i="1"/>
  <c r="BT2718" i="1"/>
  <c r="BF2719" i="1"/>
  <c r="BT2719" i="1"/>
  <c r="BF2720" i="1"/>
  <c r="BT2720" i="1"/>
  <c r="BF2721" i="1"/>
  <c r="BT2721" i="1"/>
  <c r="BF2722" i="1"/>
  <c r="BT2722" i="1"/>
  <c r="BF2723" i="1"/>
  <c r="BT2723" i="1"/>
  <c r="BF2724" i="1"/>
  <c r="BT2724" i="1"/>
  <c r="BF2725" i="1"/>
  <c r="BT2725" i="1"/>
  <c r="BF2726" i="1"/>
  <c r="BT2726" i="1"/>
  <c r="BF2727" i="1"/>
  <c r="BT2727" i="1"/>
  <c r="BF2728" i="1"/>
  <c r="BT2728" i="1"/>
  <c r="BF2729" i="1"/>
  <c r="BT2729" i="1"/>
  <c r="BF2730" i="1"/>
  <c r="BT2730" i="1"/>
  <c r="BF2731" i="1"/>
  <c r="BT2731" i="1"/>
  <c r="BF2732" i="1"/>
  <c r="BT2732" i="1"/>
  <c r="BF2733" i="1"/>
  <c r="BT2733" i="1"/>
  <c r="BF2734" i="1"/>
  <c r="BT2734" i="1"/>
  <c r="BF2735" i="1"/>
  <c r="BT2735" i="1"/>
  <c r="BF2736" i="1"/>
  <c r="BT2736" i="1"/>
  <c r="BF2737" i="1"/>
  <c r="BT2737" i="1"/>
  <c r="BF2738" i="1"/>
  <c r="BT2738" i="1"/>
  <c r="BF2739" i="1"/>
  <c r="BT2739" i="1"/>
  <c r="BF2740" i="1"/>
  <c r="BT2740" i="1"/>
  <c r="BF2741" i="1"/>
  <c r="BT2741" i="1"/>
  <c r="BF2742" i="1"/>
  <c r="BT2742" i="1"/>
  <c r="BF2743" i="1"/>
  <c r="BT2743" i="1"/>
  <c r="BF2744" i="1"/>
  <c r="BT2744" i="1"/>
  <c r="BF2745" i="1"/>
  <c r="BT2745" i="1"/>
  <c r="BF2746" i="1"/>
  <c r="BT2746" i="1"/>
  <c r="BF2747" i="1"/>
  <c r="BT2747" i="1"/>
  <c r="BF2748" i="1"/>
  <c r="BT2748" i="1"/>
  <c r="BF2749" i="1"/>
  <c r="BT2749" i="1"/>
  <c r="BF2750" i="1"/>
  <c r="BT2750" i="1"/>
  <c r="BF2751" i="1"/>
  <c r="BT2751" i="1"/>
  <c r="BF2752" i="1"/>
  <c r="BT2752" i="1"/>
  <c r="BF2753" i="1"/>
  <c r="BT2753" i="1"/>
  <c r="BF2754" i="1"/>
  <c r="BT2754" i="1"/>
  <c r="BF2755" i="1"/>
  <c r="BT2755" i="1"/>
  <c r="BF2756" i="1"/>
  <c r="BT2756" i="1"/>
  <c r="BF2757" i="1"/>
  <c r="BT2757" i="1"/>
  <c r="BF2758" i="1"/>
  <c r="BT2758" i="1"/>
  <c r="BF2759" i="1"/>
  <c r="BT2759" i="1"/>
  <c r="BF2760" i="1"/>
  <c r="BT2760" i="1"/>
  <c r="BF2761" i="1"/>
  <c r="BT2761" i="1"/>
  <c r="BF2762" i="1"/>
  <c r="BT2762" i="1"/>
  <c r="BF2763" i="1"/>
  <c r="BT2763" i="1"/>
  <c r="BF2764" i="1"/>
  <c r="BT2764" i="1"/>
  <c r="BF2765" i="1"/>
  <c r="BT2765" i="1"/>
  <c r="BF2766" i="1"/>
  <c r="BT2766" i="1"/>
  <c r="BF2767" i="1"/>
  <c r="BT2767" i="1"/>
  <c r="BF2768" i="1"/>
  <c r="BT2768" i="1"/>
  <c r="BF2769" i="1"/>
  <c r="BT2769" i="1"/>
  <c r="BF2770" i="1"/>
  <c r="BT2770" i="1"/>
  <c r="BF2771" i="1"/>
  <c r="BT2771" i="1"/>
  <c r="BF2772" i="1"/>
  <c r="BT2772" i="1"/>
  <c r="BF2773" i="1"/>
  <c r="BT2773" i="1"/>
  <c r="BF2774" i="1"/>
  <c r="BT2774" i="1"/>
  <c r="BT2775" i="1"/>
  <c r="BF2776" i="1"/>
  <c r="BT2776" i="1"/>
  <c r="BF2777" i="1"/>
  <c r="BT2777" i="1"/>
  <c r="BF2778" i="1"/>
  <c r="BT2778" i="1"/>
  <c r="BF2779" i="1"/>
  <c r="BT2779" i="1"/>
  <c r="BF2780" i="1"/>
  <c r="BT2780" i="1"/>
  <c r="BF2781" i="1"/>
  <c r="BT2781" i="1"/>
  <c r="BF2782" i="1"/>
  <c r="BT2782" i="1"/>
  <c r="BF2783" i="1"/>
  <c r="BT2783" i="1"/>
  <c r="BF2784" i="1"/>
  <c r="BT2784" i="1"/>
  <c r="BF2785" i="1"/>
  <c r="BT2785" i="1"/>
  <c r="BF2786" i="1"/>
  <c r="BT2786" i="1"/>
  <c r="BF2787" i="1"/>
  <c r="BT2787" i="1"/>
  <c r="BF2788" i="1"/>
  <c r="BT2788" i="1"/>
  <c r="BF2789" i="1"/>
  <c r="BT2789" i="1"/>
  <c r="BF2790" i="1"/>
  <c r="BT2790" i="1"/>
  <c r="BF2791" i="1"/>
  <c r="BT2791" i="1"/>
  <c r="BF2792" i="1"/>
  <c r="BT2792" i="1"/>
  <c r="BF2793" i="1"/>
  <c r="BT2793" i="1"/>
  <c r="BF2794" i="1"/>
  <c r="BT2794" i="1"/>
  <c r="BF2795" i="1"/>
  <c r="BT2795" i="1"/>
  <c r="BF2796" i="1"/>
  <c r="BT2796" i="1"/>
  <c r="BF2797" i="1"/>
  <c r="BT2797" i="1"/>
  <c r="BF2798" i="1"/>
  <c r="BT2798" i="1"/>
  <c r="BF2799" i="1"/>
  <c r="BT2799" i="1"/>
  <c r="BF2800" i="1"/>
  <c r="BT2800" i="1"/>
  <c r="BF2801" i="1"/>
  <c r="BT2801" i="1"/>
  <c r="BF2802" i="1"/>
  <c r="BT2802" i="1"/>
  <c r="BF2803" i="1"/>
  <c r="BT2803" i="1"/>
  <c r="BF2804" i="1"/>
  <c r="BT2804" i="1"/>
  <c r="BF2805" i="1"/>
  <c r="BT2805" i="1"/>
  <c r="BF2806" i="1"/>
  <c r="BT2806" i="1"/>
  <c r="BF2807" i="1"/>
  <c r="BT2807" i="1"/>
  <c r="BF2808" i="1"/>
  <c r="BT2808" i="1"/>
  <c r="BF2809" i="1"/>
  <c r="BT2809" i="1"/>
  <c r="BF2810" i="1"/>
  <c r="BT2810" i="1"/>
  <c r="BF2811" i="1"/>
  <c r="BT2811" i="1"/>
  <c r="BF2812" i="1"/>
  <c r="BT2812" i="1"/>
  <c r="BF2813" i="1"/>
  <c r="BT2813" i="1"/>
  <c r="BF2814" i="1"/>
  <c r="BT2814" i="1"/>
  <c r="BF2815" i="1"/>
  <c r="BT2815" i="1"/>
  <c r="BF2816" i="1"/>
  <c r="BT2816" i="1"/>
  <c r="BF2817" i="1"/>
  <c r="BT2817" i="1"/>
  <c r="BF2818" i="1"/>
  <c r="BT2818" i="1"/>
  <c r="BF2819" i="1"/>
  <c r="BT2819" i="1"/>
  <c r="BF2820" i="1"/>
  <c r="BT2820" i="1"/>
  <c r="BF2821" i="1"/>
  <c r="BT2821" i="1"/>
  <c r="BF2822" i="1"/>
  <c r="BT2822" i="1"/>
  <c r="BF2823" i="1"/>
  <c r="BT2823" i="1"/>
  <c r="BF2824" i="1"/>
  <c r="BT2824" i="1"/>
  <c r="BF2825" i="1"/>
  <c r="BT2825" i="1"/>
  <c r="BF2826" i="1"/>
  <c r="BT2826" i="1"/>
  <c r="BF2827" i="1"/>
  <c r="BT2827" i="1"/>
  <c r="BF2828" i="1"/>
  <c r="BT2828" i="1"/>
  <c r="BF2829" i="1"/>
  <c r="BT2829" i="1"/>
  <c r="BF2830" i="1"/>
  <c r="BT2830" i="1"/>
  <c r="BF2831" i="1"/>
  <c r="BT2831" i="1"/>
  <c r="BF2832" i="1"/>
  <c r="BT2832" i="1"/>
  <c r="BF2833" i="1"/>
  <c r="BT2833" i="1"/>
  <c r="BF2834" i="1"/>
  <c r="BT2834" i="1"/>
  <c r="BF2835" i="1"/>
  <c r="BT2835" i="1"/>
  <c r="BF2836" i="1"/>
  <c r="BT2836" i="1"/>
  <c r="BF2837" i="1"/>
  <c r="BT2837" i="1"/>
  <c r="BF2838" i="1"/>
  <c r="BT2838" i="1"/>
  <c r="BF2839" i="1"/>
  <c r="BT2839" i="1"/>
  <c r="BF2840" i="1"/>
  <c r="BT2840" i="1"/>
  <c r="BF2841" i="1"/>
  <c r="BT2841" i="1"/>
  <c r="BF2842" i="1"/>
  <c r="BT2842" i="1"/>
  <c r="BF2843" i="1"/>
  <c r="BT2843" i="1"/>
  <c r="BF2844" i="1"/>
  <c r="BT2844" i="1"/>
  <c r="BF2845" i="1"/>
  <c r="BT2845" i="1"/>
  <c r="BT2846" i="1"/>
  <c r="BF2847" i="1"/>
  <c r="BT2847" i="1"/>
  <c r="BF2848" i="1"/>
  <c r="BT2848" i="1"/>
  <c r="BT2849" i="1"/>
  <c r="BF2850" i="1"/>
  <c r="BT2850" i="1"/>
  <c r="BF2851" i="1"/>
  <c r="BT2851" i="1"/>
  <c r="BF2852" i="1"/>
  <c r="BT2852" i="1"/>
  <c r="BF2853" i="1"/>
  <c r="BT2853" i="1"/>
  <c r="BF2854" i="1"/>
  <c r="BT2854" i="1"/>
  <c r="BF2855" i="1"/>
  <c r="BT2855" i="1"/>
  <c r="BF2856" i="1"/>
  <c r="BT2856" i="1"/>
  <c r="BF2857" i="1"/>
  <c r="BT2857" i="1"/>
  <c r="BF2858" i="1"/>
  <c r="BT2858" i="1"/>
  <c r="BF2859" i="1"/>
  <c r="BT2859" i="1"/>
  <c r="BF2860" i="1"/>
  <c r="BT2860" i="1"/>
  <c r="BF2861" i="1"/>
  <c r="BT2861" i="1"/>
  <c r="BF2862" i="1"/>
  <c r="BT2862" i="1"/>
  <c r="BF2863" i="1"/>
  <c r="BT2863" i="1"/>
  <c r="BF2864" i="1"/>
  <c r="BT2864" i="1"/>
  <c r="BF2865" i="1"/>
  <c r="BT2865" i="1"/>
  <c r="BF2866" i="1"/>
  <c r="BT2866" i="1"/>
  <c r="BF2867" i="1"/>
  <c r="BT2867" i="1"/>
  <c r="BF2868" i="1"/>
  <c r="BT2868" i="1"/>
  <c r="BF2869" i="1"/>
  <c r="BT2869" i="1"/>
  <c r="BT2870" i="1"/>
  <c r="BF2871" i="1"/>
  <c r="BT2871" i="1"/>
  <c r="BF2872" i="1"/>
  <c r="BT2872" i="1"/>
  <c r="BF2873" i="1"/>
  <c r="BT2873" i="1"/>
  <c r="BF2874" i="1"/>
  <c r="BT2874" i="1"/>
  <c r="BF2875" i="1"/>
  <c r="BT2875" i="1"/>
  <c r="BF2876" i="1"/>
  <c r="BT2876" i="1"/>
  <c r="BF2877" i="1"/>
  <c r="BT2877" i="1"/>
  <c r="BF2878" i="1"/>
  <c r="BT2878" i="1"/>
  <c r="BF2879" i="1"/>
  <c r="BT2879" i="1"/>
  <c r="BF2880" i="1"/>
  <c r="BT2880" i="1"/>
  <c r="BF2881" i="1"/>
  <c r="BT2881" i="1"/>
  <c r="BF2882" i="1"/>
  <c r="BT2882" i="1"/>
  <c r="BF2883" i="1"/>
  <c r="BT2883" i="1"/>
  <c r="BF2884" i="1"/>
  <c r="BT2884" i="1"/>
  <c r="BF2885" i="1"/>
  <c r="BT2885" i="1"/>
  <c r="BF2886" i="1"/>
  <c r="BT2886" i="1"/>
  <c r="BF2887" i="1"/>
  <c r="BT2887" i="1"/>
  <c r="BF2888" i="1"/>
  <c r="BT2888" i="1"/>
  <c r="BF2889" i="1"/>
  <c r="BT2889" i="1"/>
  <c r="BF2890" i="1"/>
  <c r="BT2890" i="1"/>
  <c r="BF2891" i="1"/>
  <c r="BT2891" i="1"/>
  <c r="BF2892" i="1"/>
  <c r="BT2892" i="1"/>
  <c r="BF2893" i="1"/>
  <c r="BT2893" i="1"/>
  <c r="BF2894" i="1"/>
  <c r="BT2894" i="1"/>
  <c r="BF2895" i="1"/>
  <c r="BT2895" i="1"/>
  <c r="BF2896" i="1"/>
  <c r="BT2896" i="1"/>
  <c r="BF2897" i="1"/>
  <c r="BT2897" i="1"/>
  <c r="BF2898" i="1"/>
  <c r="BT2898" i="1"/>
  <c r="BF2899" i="1"/>
  <c r="BT2899" i="1"/>
  <c r="BF2900" i="1"/>
  <c r="BT2900" i="1"/>
  <c r="BF2901" i="1"/>
  <c r="BT2901" i="1"/>
  <c r="BF2902" i="1"/>
  <c r="BT2902" i="1"/>
  <c r="BF2903" i="1"/>
  <c r="BT2903" i="1"/>
  <c r="BF2904" i="1"/>
  <c r="BT2904" i="1"/>
  <c r="BF2905" i="1"/>
  <c r="BT2905" i="1"/>
  <c r="BF2906" i="1"/>
  <c r="BT2906" i="1"/>
  <c r="BF2907" i="1"/>
  <c r="BT2907" i="1"/>
  <c r="BF2908" i="1"/>
  <c r="BT2908" i="1"/>
  <c r="BF2909" i="1"/>
  <c r="BT2909" i="1"/>
  <c r="BF2910" i="1"/>
  <c r="BT2910" i="1"/>
  <c r="BF2911" i="1"/>
  <c r="BT2911" i="1"/>
  <c r="BF2912" i="1"/>
  <c r="BT2912" i="1"/>
  <c r="BF2913" i="1"/>
  <c r="BT2913" i="1"/>
  <c r="BF2914" i="1"/>
  <c r="BT2914" i="1"/>
  <c r="BF2915" i="1"/>
  <c r="BT2915" i="1"/>
  <c r="BF2916" i="1"/>
  <c r="BT2916" i="1"/>
  <c r="BF2917" i="1"/>
  <c r="BT2917" i="1"/>
  <c r="BF2918" i="1"/>
  <c r="BT2918" i="1"/>
  <c r="BF2919" i="1"/>
  <c r="BT2919" i="1"/>
  <c r="BF2920" i="1"/>
  <c r="BT2920" i="1"/>
  <c r="BF2921" i="1"/>
  <c r="BT2921" i="1"/>
  <c r="BT2922" i="1"/>
  <c r="BF2923" i="1"/>
  <c r="BT2923" i="1"/>
  <c r="BF2924" i="1"/>
  <c r="BT2924" i="1"/>
  <c r="BF2925" i="1"/>
  <c r="BT2925" i="1"/>
  <c r="BF2926" i="1"/>
  <c r="BT2926" i="1"/>
  <c r="BF2927" i="1"/>
  <c r="BT2927" i="1"/>
  <c r="BF2928" i="1"/>
  <c r="BT2928" i="1"/>
  <c r="BF2929" i="1"/>
  <c r="BT2929" i="1"/>
  <c r="BF2930" i="1"/>
  <c r="BT2930" i="1"/>
  <c r="BF2931" i="1"/>
  <c r="BT2931" i="1"/>
  <c r="BF2932" i="1"/>
  <c r="BT2932" i="1"/>
  <c r="BF2933" i="1"/>
  <c r="BT2933" i="1"/>
  <c r="BF2934" i="1"/>
  <c r="BT2934" i="1"/>
  <c r="BF2935" i="1"/>
  <c r="BT2935" i="1"/>
  <c r="BF2936" i="1"/>
  <c r="BT2936" i="1"/>
  <c r="BF2937" i="1"/>
  <c r="BT2937" i="1"/>
  <c r="BF2938" i="1"/>
  <c r="BT2938" i="1"/>
  <c r="BF2939" i="1"/>
  <c r="BT2939" i="1"/>
  <c r="BF2940" i="1"/>
  <c r="BT2940" i="1"/>
  <c r="BF2941" i="1"/>
  <c r="BT2941" i="1"/>
  <c r="BF2942" i="1"/>
  <c r="BT2942" i="1"/>
  <c r="BF2943" i="1"/>
  <c r="BT2943" i="1"/>
  <c r="BF2944" i="1"/>
  <c r="BT2944" i="1"/>
  <c r="BF2945" i="1"/>
  <c r="BT2945" i="1"/>
  <c r="BF2946" i="1"/>
  <c r="BT2946" i="1"/>
  <c r="BF2947" i="1"/>
  <c r="BT2947" i="1"/>
  <c r="BT2948" i="1"/>
  <c r="BF2949" i="1"/>
  <c r="BT2949" i="1"/>
  <c r="BF2950" i="1"/>
  <c r="BT2950" i="1"/>
  <c r="BF2951" i="1"/>
  <c r="BT2951" i="1"/>
  <c r="BF2952" i="1"/>
  <c r="BT2952" i="1"/>
  <c r="BF2953" i="1"/>
  <c r="BT2953" i="1"/>
  <c r="BF2954" i="1"/>
  <c r="BT2954" i="1"/>
  <c r="BF2955" i="1"/>
  <c r="BT2955" i="1"/>
  <c r="BF2956" i="1"/>
  <c r="BT2956" i="1"/>
  <c r="BF2957" i="1"/>
  <c r="BT2957" i="1"/>
  <c r="BF2958" i="1"/>
  <c r="BT2958" i="1"/>
  <c r="BF2959" i="1"/>
  <c r="BT2959" i="1"/>
  <c r="BT2960" i="1"/>
  <c r="BF2961" i="1"/>
  <c r="BT2961" i="1"/>
  <c r="BF2962" i="1"/>
  <c r="BT2962" i="1"/>
  <c r="BF2963" i="1"/>
  <c r="BT2963" i="1"/>
  <c r="BF2964" i="1"/>
  <c r="BT2964" i="1"/>
  <c r="BF2965" i="1"/>
  <c r="BT2965" i="1"/>
  <c r="BF2966" i="1"/>
  <c r="BT2966" i="1"/>
  <c r="BF2967" i="1"/>
  <c r="BT2967" i="1"/>
  <c r="BF2968" i="1"/>
  <c r="BT2968" i="1"/>
  <c r="BF2969" i="1"/>
  <c r="BT2969" i="1"/>
  <c r="BF2970" i="1"/>
  <c r="BT2970" i="1"/>
  <c r="BF2971" i="1"/>
  <c r="BT2971" i="1"/>
  <c r="BF2972" i="1"/>
  <c r="BT2972" i="1"/>
  <c r="BF2973" i="1"/>
  <c r="BT2973" i="1"/>
  <c r="BF2974" i="1"/>
  <c r="BT2974" i="1"/>
  <c r="BF2975" i="1"/>
  <c r="BT2975" i="1"/>
  <c r="BF2976" i="1"/>
  <c r="BT2976" i="1"/>
  <c r="BF2977" i="1"/>
  <c r="BT2977" i="1"/>
  <c r="BF2978" i="1"/>
  <c r="BT2978" i="1"/>
  <c r="BF2979" i="1"/>
  <c r="BT2979" i="1"/>
  <c r="BF2980" i="1"/>
  <c r="BT2980" i="1"/>
  <c r="BF2981" i="1"/>
  <c r="BT2981" i="1"/>
  <c r="BT2982" i="1"/>
  <c r="BF2983" i="1"/>
  <c r="BT2983" i="1"/>
  <c r="BF2984" i="1"/>
  <c r="BT2984" i="1"/>
  <c r="BF2985" i="1"/>
  <c r="BT2985" i="1"/>
  <c r="BF2986" i="1"/>
  <c r="BT2986" i="1"/>
  <c r="BF2987" i="1"/>
  <c r="BT2987" i="1"/>
  <c r="BF2988" i="1"/>
  <c r="BT2988" i="1"/>
  <c r="BF2989" i="1"/>
  <c r="BT2989" i="1"/>
  <c r="BF2990" i="1"/>
  <c r="BT2990" i="1"/>
  <c r="BF2991" i="1"/>
  <c r="BT2991" i="1"/>
  <c r="BF2992" i="1"/>
  <c r="BT2992" i="1"/>
  <c r="BF2993" i="1"/>
  <c r="BT2993" i="1"/>
  <c r="BF2994" i="1"/>
  <c r="BT2994" i="1"/>
  <c r="BF2995" i="1"/>
  <c r="BT2995" i="1"/>
  <c r="BF2996" i="1"/>
  <c r="BT2996" i="1"/>
  <c r="BF2997" i="1"/>
  <c r="BT2997" i="1"/>
  <c r="BF2998" i="1"/>
  <c r="BT2998" i="1"/>
  <c r="BF2999" i="1"/>
  <c r="BT2999" i="1"/>
  <c r="BF3000" i="1"/>
  <c r="BT3000" i="1"/>
  <c r="BF3001" i="1"/>
  <c r="BT3001" i="1"/>
  <c r="BF2" i="1"/>
  <c r="BT2" i="1"/>
  <c r="BF3" i="1"/>
  <c r="BT3" i="1"/>
  <c r="BF4" i="1"/>
  <c r="BT4" i="1"/>
  <c r="BT5" i="1"/>
  <c r="BF6" i="1"/>
  <c r="BT6" i="1"/>
  <c r="BF7" i="1"/>
  <c r="BT7" i="1"/>
  <c r="BF8" i="1"/>
  <c r="BT8" i="1"/>
  <c r="BF9" i="1"/>
  <c r="BT9" i="1"/>
  <c r="BF10" i="1"/>
  <c r="BT10" i="1"/>
  <c r="BF11" i="1"/>
  <c r="BT11" i="1"/>
  <c r="BF12" i="1"/>
  <c r="BT12" i="1"/>
  <c r="BF13" i="1"/>
  <c r="BT13" i="1"/>
  <c r="BF14" i="1"/>
  <c r="BT14" i="1"/>
  <c r="BF15" i="1"/>
  <c r="BT15" i="1"/>
  <c r="BF16" i="1"/>
  <c r="BT16" i="1"/>
  <c r="BF17" i="1"/>
  <c r="BT17" i="1"/>
  <c r="BF18" i="1"/>
  <c r="BT18" i="1"/>
  <c r="BF19" i="1"/>
  <c r="BT19" i="1"/>
  <c r="BF20" i="1"/>
  <c r="BT20" i="1"/>
  <c r="BT21" i="1"/>
  <c r="BF22" i="1"/>
  <c r="BT22" i="1"/>
  <c r="BF23" i="1"/>
  <c r="BT23" i="1"/>
  <c r="BF24" i="1"/>
  <c r="BT24" i="1"/>
  <c r="BT25" i="1"/>
  <c r="BF26" i="1"/>
  <c r="BT26" i="1"/>
  <c r="BF27" i="1"/>
  <c r="BT27" i="1"/>
  <c r="BF28" i="1"/>
  <c r="BT28" i="1"/>
  <c r="BF29" i="1"/>
  <c r="BT29" i="1"/>
  <c r="BF30" i="1"/>
  <c r="BT30" i="1"/>
  <c r="BT31" i="1"/>
  <c r="BF32" i="1"/>
  <c r="BT32" i="1"/>
  <c r="BF33" i="1"/>
  <c r="BT33" i="1"/>
  <c r="BF34" i="1"/>
  <c r="BT34" i="1"/>
  <c r="BF35" i="1"/>
  <c r="BT35" i="1"/>
  <c r="BT36" i="1"/>
  <c r="BF37" i="1"/>
  <c r="BT37" i="1"/>
  <c r="BF38" i="1"/>
  <c r="BT38" i="1"/>
  <c r="BF39" i="1"/>
  <c r="BT39" i="1"/>
  <c r="BT40" i="1"/>
  <c r="BF41" i="1"/>
  <c r="BT41" i="1"/>
  <c r="BF42" i="1"/>
  <c r="BT42" i="1"/>
  <c r="BF43" i="1"/>
  <c r="BT43" i="1"/>
  <c r="BF44" i="1"/>
  <c r="BT44" i="1"/>
  <c r="BF45" i="1"/>
  <c r="BT45" i="1"/>
  <c r="BF46" i="1"/>
  <c r="BT46" i="1"/>
  <c r="BT47" i="1"/>
  <c r="BF48" i="1"/>
  <c r="BT48" i="1"/>
  <c r="BF49" i="1"/>
  <c r="BT49" i="1"/>
  <c r="BF50" i="1"/>
  <c r="BT50" i="1"/>
  <c r="BF51" i="1"/>
  <c r="BT51" i="1"/>
  <c r="BF52" i="1"/>
  <c r="BT52" i="1"/>
  <c r="BT53" i="1"/>
  <c r="BF54" i="1"/>
  <c r="BT54" i="1"/>
  <c r="BF55" i="1"/>
  <c r="BT55" i="1"/>
  <c r="BF56" i="1"/>
  <c r="BT56" i="1"/>
  <c r="BF57" i="1"/>
  <c r="BT57" i="1"/>
  <c r="BF58" i="1"/>
  <c r="BT58" i="1"/>
  <c r="BF59" i="1"/>
  <c r="BT59" i="1"/>
  <c r="BF60" i="1"/>
  <c r="BT60" i="1"/>
  <c r="BF61" i="1"/>
  <c r="BT61" i="1"/>
  <c r="BT62" i="1"/>
  <c r="BT63" i="1"/>
  <c r="BF64" i="1"/>
  <c r="BT64" i="1"/>
  <c r="BT65" i="1"/>
  <c r="BT66" i="1"/>
  <c r="BF67" i="1"/>
  <c r="BT67" i="1"/>
  <c r="BF68" i="1"/>
  <c r="BT68" i="1"/>
  <c r="BF69" i="1"/>
  <c r="BT69" i="1"/>
  <c r="BT70" i="1"/>
  <c r="BF71" i="1"/>
  <c r="BT71" i="1"/>
  <c r="BF72" i="1"/>
  <c r="BT72" i="1"/>
  <c r="BF73" i="1"/>
  <c r="BT73" i="1"/>
  <c r="BF74" i="1"/>
  <c r="BT74" i="1"/>
  <c r="BF75" i="1"/>
  <c r="BT75" i="1"/>
  <c r="BT76" i="1"/>
  <c r="BF77" i="1"/>
  <c r="BT77" i="1"/>
  <c r="BF78" i="1"/>
  <c r="BT78" i="1"/>
  <c r="BF79" i="1"/>
  <c r="BT79" i="1"/>
  <c r="BT80" i="1"/>
  <c r="BF81" i="1"/>
  <c r="BT81" i="1"/>
  <c r="BF82" i="1"/>
  <c r="BT82" i="1"/>
  <c r="BF83" i="1"/>
  <c r="BT83" i="1"/>
  <c r="BF84" i="1"/>
  <c r="BT84" i="1"/>
  <c r="BF85" i="1"/>
  <c r="BT85" i="1"/>
  <c r="BF86" i="1"/>
  <c r="BT86" i="1"/>
  <c r="BF87" i="1"/>
  <c r="BT87" i="1"/>
  <c r="BF88" i="1"/>
  <c r="BT88" i="1"/>
  <c r="BF89" i="1"/>
  <c r="BT89" i="1"/>
  <c r="BF90" i="1"/>
  <c r="BT90" i="1"/>
  <c r="BF91" i="1"/>
  <c r="BT91" i="1"/>
  <c r="BF92" i="1"/>
  <c r="BT92" i="1"/>
  <c r="BF93" i="1"/>
  <c r="BT93" i="1"/>
  <c r="BF94" i="1"/>
  <c r="BT94" i="1"/>
  <c r="BF95" i="1"/>
  <c r="BT95" i="1"/>
  <c r="BT96" i="1"/>
  <c r="BT97" i="1"/>
  <c r="BF98" i="1"/>
  <c r="BT98" i="1"/>
  <c r="BF99" i="1"/>
  <c r="BT99" i="1"/>
  <c r="BF100" i="1"/>
  <c r="BT100" i="1"/>
  <c r="BF101" i="1"/>
  <c r="BT101" i="1"/>
  <c r="BF102" i="1"/>
  <c r="BT102" i="1"/>
  <c r="BF103" i="1"/>
  <c r="BT103" i="1"/>
  <c r="BF104" i="1"/>
  <c r="BT104" i="1"/>
  <c r="BF105" i="1"/>
  <c r="BT105" i="1"/>
  <c r="BF106" i="1"/>
  <c r="BT106" i="1"/>
  <c r="BF107" i="1"/>
  <c r="BT107" i="1"/>
  <c r="BF108" i="1"/>
  <c r="BT108" i="1"/>
  <c r="BF109" i="1"/>
  <c r="BT109" i="1"/>
  <c r="BF110" i="1"/>
  <c r="BT110" i="1"/>
  <c r="BF111" i="1"/>
  <c r="BT111" i="1"/>
  <c r="BF112" i="1"/>
  <c r="BT112" i="1"/>
  <c r="BF113" i="1"/>
  <c r="BT113" i="1"/>
  <c r="BF114" i="1"/>
  <c r="BT114" i="1"/>
  <c r="BF115" i="1"/>
  <c r="BT115" i="1"/>
  <c r="BF116" i="1"/>
  <c r="BT116" i="1"/>
  <c r="BF117" i="1"/>
  <c r="BT117" i="1"/>
  <c r="BF118" i="1"/>
  <c r="BT118" i="1"/>
  <c r="BF119" i="1"/>
  <c r="BT119" i="1"/>
  <c r="BT120" i="1"/>
  <c r="BF121" i="1"/>
  <c r="BT121" i="1"/>
  <c r="BT122" i="1"/>
  <c r="BF123" i="1"/>
  <c r="BT123" i="1"/>
  <c r="BF124" i="1"/>
  <c r="BT124" i="1"/>
  <c r="BF125" i="1"/>
  <c r="BT125" i="1"/>
  <c r="BF126" i="1"/>
  <c r="BT126" i="1"/>
  <c r="BF127" i="1"/>
  <c r="BT127" i="1"/>
  <c r="BF128" i="1"/>
  <c r="BT128" i="1"/>
  <c r="BF129" i="1"/>
  <c r="BT129" i="1"/>
  <c r="BF130" i="1"/>
  <c r="BT130" i="1"/>
  <c r="BF131" i="1"/>
  <c r="BT131" i="1"/>
  <c r="BF132" i="1"/>
  <c r="BT132" i="1"/>
  <c r="BF133" i="1"/>
  <c r="BT133" i="1"/>
  <c r="BF134" i="1"/>
  <c r="BT134" i="1"/>
  <c r="BF135" i="1"/>
  <c r="BT135" i="1"/>
  <c r="BF136" i="1"/>
  <c r="BT136" i="1"/>
  <c r="BF137" i="1"/>
  <c r="BT137" i="1"/>
  <c r="BF138" i="1"/>
  <c r="BT138" i="1"/>
  <c r="BF139" i="1"/>
  <c r="BT139" i="1"/>
  <c r="BT140" i="1"/>
  <c r="BF141" i="1"/>
  <c r="BT141" i="1"/>
  <c r="BF142" i="1"/>
  <c r="BT142" i="1"/>
  <c r="BF143" i="1"/>
  <c r="BT143" i="1"/>
  <c r="BF144" i="1"/>
  <c r="BT144" i="1"/>
  <c r="BF145" i="1"/>
  <c r="BT145" i="1"/>
  <c r="BF146" i="1"/>
  <c r="BT146" i="1"/>
  <c r="BF147" i="1"/>
  <c r="BT147" i="1"/>
  <c r="BF148" i="1"/>
  <c r="BT148" i="1"/>
  <c r="BF149" i="1"/>
  <c r="BT149" i="1"/>
  <c r="BF150" i="1"/>
  <c r="BT150" i="1"/>
  <c r="BF151" i="1"/>
  <c r="BT151" i="1"/>
  <c r="BF152" i="1"/>
  <c r="BT152" i="1"/>
  <c r="BF153" i="1"/>
  <c r="BT153" i="1"/>
  <c r="BF154" i="1"/>
  <c r="BT154" i="1"/>
  <c r="BF155" i="1"/>
  <c r="BT155" i="1"/>
  <c r="BF156" i="1"/>
  <c r="BT156" i="1"/>
  <c r="BF157" i="1"/>
  <c r="BT157" i="1"/>
  <c r="BF158" i="1"/>
  <c r="BT158" i="1"/>
  <c r="BF159" i="1"/>
  <c r="BT159" i="1"/>
  <c r="BT160" i="1"/>
  <c r="BF161" i="1"/>
  <c r="BT161" i="1"/>
  <c r="BT162" i="1"/>
  <c r="BF163" i="1"/>
  <c r="BT163" i="1"/>
  <c r="BF164" i="1"/>
  <c r="BT164" i="1"/>
  <c r="BF165" i="1"/>
  <c r="BT165" i="1"/>
  <c r="BF166" i="1"/>
  <c r="BT166" i="1"/>
  <c r="BF167" i="1"/>
  <c r="BT167" i="1"/>
  <c r="BF168" i="1"/>
  <c r="BT168" i="1"/>
  <c r="BF169" i="1"/>
  <c r="BT169" i="1"/>
  <c r="BT170" i="1"/>
  <c r="BF171" i="1"/>
  <c r="BT171" i="1"/>
  <c r="BF172" i="1"/>
  <c r="BT172" i="1"/>
  <c r="BF173" i="1"/>
  <c r="BT173" i="1"/>
  <c r="BF174" i="1"/>
  <c r="BT174" i="1"/>
  <c r="BF175" i="1"/>
  <c r="BT175" i="1"/>
  <c r="BT176" i="1"/>
  <c r="BF177" i="1"/>
  <c r="BT177" i="1"/>
  <c r="BF178" i="1"/>
  <c r="BT178" i="1"/>
  <c r="BF179" i="1"/>
  <c r="BT179" i="1"/>
  <c r="BF180" i="1"/>
  <c r="BT180" i="1"/>
  <c r="BF181" i="1"/>
  <c r="BT181" i="1"/>
  <c r="BF182" i="1"/>
  <c r="BT182" i="1"/>
  <c r="BF183" i="1"/>
  <c r="BT183" i="1"/>
  <c r="BF184" i="1"/>
  <c r="BT184" i="1"/>
  <c r="BF185" i="1"/>
  <c r="BT185" i="1"/>
  <c r="BF186" i="1"/>
  <c r="BT186" i="1"/>
  <c r="BT187" i="1"/>
  <c r="BF188" i="1"/>
  <c r="BT188" i="1"/>
  <c r="BF189" i="1"/>
  <c r="BT189" i="1"/>
  <c r="BF190" i="1"/>
  <c r="BT190" i="1"/>
  <c r="BF191" i="1"/>
  <c r="BT191" i="1"/>
  <c r="BF192" i="1"/>
  <c r="BT192" i="1"/>
  <c r="BT193" i="1"/>
  <c r="BF194" i="1"/>
  <c r="BT194" i="1"/>
  <c r="BF195" i="1"/>
  <c r="BT195" i="1"/>
  <c r="BF196" i="1"/>
  <c r="BT196" i="1"/>
  <c r="BF197" i="1"/>
  <c r="BT197" i="1"/>
  <c r="BF198" i="1"/>
  <c r="BT198" i="1"/>
  <c r="BF199" i="1"/>
  <c r="BT199" i="1"/>
  <c r="BF200" i="1"/>
  <c r="BT200" i="1"/>
  <c r="BF201" i="1"/>
  <c r="BT201" i="1"/>
  <c r="BF202" i="1"/>
  <c r="BT202" i="1"/>
  <c r="BF203" i="1"/>
  <c r="BT203" i="1"/>
  <c r="BF204" i="1"/>
  <c r="BT204" i="1"/>
  <c r="BF205" i="1"/>
  <c r="BT205" i="1"/>
  <c r="BF206" i="1"/>
  <c r="BT206" i="1"/>
  <c r="BF207" i="1"/>
  <c r="BT207" i="1"/>
  <c r="BF208" i="1"/>
  <c r="BT208" i="1"/>
  <c r="BF209" i="1"/>
  <c r="BT209" i="1"/>
  <c r="BF210" i="1"/>
  <c r="BT210" i="1"/>
  <c r="BF211" i="1"/>
  <c r="BT211" i="1"/>
  <c r="BF212" i="1"/>
  <c r="BT212" i="1"/>
  <c r="BF213" i="1"/>
  <c r="BT213" i="1"/>
  <c r="BF214" i="1"/>
  <c r="BT214" i="1"/>
  <c r="BF215" i="1"/>
  <c r="BT215" i="1"/>
  <c r="BF216" i="1"/>
  <c r="BT216" i="1"/>
  <c r="BF217" i="1"/>
  <c r="BT217" i="1"/>
  <c r="BF218" i="1"/>
  <c r="BT218" i="1"/>
  <c r="BF219" i="1"/>
  <c r="BT219" i="1"/>
  <c r="BF220" i="1"/>
  <c r="BT220" i="1"/>
  <c r="BT221" i="1"/>
  <c r="BF222" i="1"/>
  <c r="BT222" i="1"/>
  <c r="BF223" i="1"/>
  <c r="BT223" i="1"/>
  <c r="BT224" i="1"/>
  <c r="BF225" i="1"/>
  <c r="BT225" i="1"/>
  <c r="BF226" i="1"/>
  <c r="BT226" i="1"/>
  <c r="BF227" i="1"/>
  <c r="BT227" i="1"/>
  <c r="BF228" i="1"/>
  <c r="BT228" i="1"/>
  <c r="BT229" i="1"/>
  <c r="BF230" i="1"/>
  <c r="BT230" i="1"/>
  <c r="BF231" i="1"/>
  <c r="BT231" i="1"/>
  <c r="BF232" i="1"/>
  <c r="BT232" i="1"/>
  <c r="BF233" i="1"/>
  <c r="BT233" i="1"/>
  <c r="BF234" i="1"/>
  <c r="BT234" i="1"/>
  <c r="BF235" i="1"/>
  <c r="BT235" i="1"/>
  <c r="BF236" i="1"/>
  <c r="BT236" i="1"/>
  <c r="BF237" i="1"/>
  <c r="BT237" i="1"/>
  <c r="BF238" i="1"/>
  <c r="BT238" i="1"/>
  <c r="BF239" i="1"/>
  <c r="BT239" i="1"/>
  <c r="BF240" i="1"/>
  <c r="BT240" i="1"/>
  <c r="BF241" i="1"/>
  <c r="BT241" i="1"/>
  <c r="BF242" i="1"/>
  <c r="BT242" i="1"/>
  <c r="BF243" i="1"/>
  <c r="BT243" i="1"/>
  <c r="BF244" i="1"/>
  <c r="BT244" i="1"/>
  <c r="BF245" i="1"/>
  <c r="BT245" i="1"/>
  <c r="BF246" i="1"/>
  <c r="BT246" i="1"/>
  <c r="BT247" i="1"/>
  <c r="BF248" i="1"/>
  <c r="BT248" i="1"/>
  <c r="BF249" i="1"/>
  <c r="BT249" i="1"/>
  <c r="BT250" i="1"/>
  <c r="BF251" i="1"/>
  <c r="BT251" i="1"/>
  <c r="BF252" i="1"/>
  <c r="BT252" i="1"/>
  <c r="BF253" i="1"/>
  <c r="BT253" i="1"/>
  <c r="BF254" i="1"/>
  <c r="BT254" i="1"/>
  <c r="BF255" i="1"/>
  <c r="BT255" i="1"/>
  <c r="BF256" i="1"/>
  <c r="BT256" i="1"/>
  <c r="BF257" i="1"/>
  <c r="BT257" i="1"/>
  <c r="BF258" i="1"/>
  <c r="BT258" i="1"/>
  <c r="BF259" i="1"/>
  <c r="BT259" i="1"/>
  <c r="BF260" i="1"/>
  <c r="BT260" i="1"/>
  <c r="BF261" i="1"/>
  <c r="BT261" i="1"/>
  <c r="BF262" i="1"/>
  <c r="BT262" i="1"/>
  <c r="BF263" i="1"/>
  <c r="BT263" i="1"/>
  <c r="BF264" i="1"/>
  <c r="BT264" i="1"/>
  <c r="BF265" i="1"/>
  <c r="BT265" i="1"/>
  <c r="BT266" i="1"/>
  <c r="BF267" i="1"/>
  <c r="BT267" i="1"/>
  <c r="BT268" i="1"/>
  <c r="BT269" i="1"/>
  <c r="BF270" i="1"/>
  <c r="BT270" i="1"/>
  <c r="BF271" i="1"/>
  <c r="BT271" i="1"/>
  <c r="BF272" i="1"/>
  <c r="BT272" i="1"/>
  <c r="BF273" i="1"/>
  <c r="BT273" i="1"/>
  <c r="BF274" i="1"/>
  <c r="BT274" i="1"/>
  <c r="BF275" i="1"/>
  <c r="BT275" i="1"/>
  <c r="BF276" i="1"/>
  <c r="BT276" i="1"/>
  <c r="BF277" i="1"/>
  <c r="BT277" i="1"/>
  <c r="BF278" i="1"/>
  <c r="BT278" i="1"/>
  <c r="BT279" i="1"/>
  <c r="BF280" i="1"/>
  <c r="BT280" i="1"/>
  <c r="BF281" i="1"/>
  <c r="BT281" i="1"/>
  <c r="BF282" i="1"/>
  <c r="BT282" i="1"/>
  <c r="BF283" i="1"/>
  <c r="BT283" i="1"/>
  <c r="BF284" i="1"/>
  <c r="BT284" i="1"/>
  <c r="BF285" i="1"/>
  <c r="BT285" i="1"/>
  <c r="BF286" i="1"/>
  <c r="BT286" i="1"/>
  <c r="BF287" i="1"/>
  <c r="BT287" i="1"/>
  <c r="BF288" i="1"/>
  <c r="BT288" i="1"/>
  <c r="BF289" i="1"/>
  <c r="BT289" i="1"/>
  <c r="BF290" i="1"/>
  <c r="BT290" i="1"/>
  <c r="BF291" i="1"/>
  <c r="BT291" i="1"/>
  <c r="BF292" i="1"/>
  <c r="BT292" i="1"/>
  <c r="BF293" i="1"/>
  <c r="BT293" i="1"/>
  <c r="BF294" i="1"/>
  <c r="BT294" i="1"/>
  <c r="BF295" i="1"/>
  <c r="BT295" i="1"/>
  <c r="BF296" i="1"/>
  <c r="BT296" i="1"/>
  <c r="BF297" i="1"/>
  <c r="BT297" i="1"/>
  <c r="BF298" i="1"/>
  <c r="BT298" i="1"/>
  <c r="BF299" i="1"/>
  <c r="BT299" i="1"/>
  <c r="BF300" i="1"/>
  <c r="BT300" i="1"/>
  <c r="BF301" i="1"/>
  <c r="BT301" i="1"/>
  <c r="BF302" i="1"/>
  <c r="BT302" i="1"/>
  <c r="BT303" i="1"/>
  <c r="BF304" i="1"/>
  <c r="BT304" i="1"/>
  <c r="BF305" i="1"/>
  <c r="BT305" i="1"/>
  <c r="BF306" i="1"/>
  <c r="BT306" i="1"/>
  <c r="BF307" i="1"/>
  <c r="BT307" i="1"/>
  <c r="BF308" i="1"/>
  <c r="BT308" i="1"/>
  <c r="BF309" i="1"/>
  <c r="BT309" i="1"/>
  <c r="BF310" i="1"/>
  <c r="BT310" i="1"/>
  <c r="BF311" i="1"/>
  <c r="BT311" i="1"/>
  <c r="BF312" i="1"/>
  <c r="BT312" i="1"/>
  <c r="BT313" i="1"/>
  <c r="BF314" i="1"/>
  <c r="BT314" i="1"/>
  <c r="BF315" i="1"/>
  <c r="BT315" i="1"/>
  <c r="BF316" i="1"/>
  <c r="BT316" i="1"/>
  <c r="BT317" i="1"/>
  <c r="BF318" i="1"/>
  <c r="BT318" i="1"/>
  <c r="BF319" i="1"/>
  <c r="BT319" i="1"/>
  <c r="BF320" i="1"/>
  <c r="BT320" i="1"/>
  <c r="BF321" i="1"/>
  <c r="BT321" i="1"/>
  <c r="BF322" i="1"/>
  <c r="BT322" i="1"/>
  <c r="BT323" i="1"/>
  <c r="BF324" i="1"/>
  <c r="BT324" i="1"/>
  <c r="BF325" i="1"/>
  <c r="BT325" i="1"/>
  <c r="BF326" i="1"/>
  <c r="BT326" i="1"/>
  <c r="BF327" i="1"/>
  <c r="BT327" i="1"/>
  <c r="BF328" i="1"/>
  <c r="BT328" i="1"/>
  <c r="BT329" i="1"/>
  <c r="BF330" i="1"/>
  <c r="BT330" i="1"/>
  <c r="BF331" i="1"/>
  <c r="BT331" i="1"/>
  <c r="BF332" i="1"/>
  <c r="BT332" i="1"/>
  <c r="BF333" i="1"/>
  <c r="BT333" i="1"/>
  <c r="BF334" i="1"/>
  <c r="BT334" i="1"/>
  <c r="BF335" i="1"/>
  <c r="BT335" i="1"/>
  <c r="BF336" i="1"/>
  <c r="BT336" i="1"/>
  <c r="BF337" i="1"/>
  <c r="BT337" i="1"/>
  <c r="BF338" i="1"/>
  <c r="BT338" i="1"/>
  <c r="BF339" i="1"/>
  <c r="BT339" i="1"/>
  <c r="BF340" i="1"/>
  <c r="BT340" i="1"/>
  <c r="BF341" i="1"/>
  <c r="BT341" i="1"/>
  <c r="BF342" i="1"/>
  <c r="BT342" i="1"/>
  <c r="BF343" i="1"/>
  <c r="BT343" i="1"/>
  <c r="BF344" i="1"/>
  <c r="BT344" i="1"/>
  <c r="BF345" i="1"/>
  <c r="BT345" i="1"/>
  <c r="BF346" i="1"/>
  <c r="BT346" i="1"/>
  <c r="BF347" i="1"/>
  <c r="BT347" i="1"/>
  <c r="BF348" i="1"/>
  <c r="BT348" i="1"/>
  <c r="BT349" i="1"/>
  <c r="BF350" i="1"/>
  <c r="BT350" i="1"/>
  <c r="BT351" i="1"/>
  <c r="BF352" i="1"/>
  <c r="BT352" i="1"/>
  <c r="BF353" i="1"/>
  <c r="BT353" i="1"/>
  <c r="BF354" i="1"/>
  <c r="BT354" i="1"/>
  <c r="BF355" i="1"/>
  <c r="BT355" i="1"/>
  <c r="BF356" i="1"/>
  <c r="BT356" i="1"/>
  <c r="BF357" i="1"/>
  <c r="BT357" i="1"/>
  <c r="BF358" i="1"/>
  <c r="BT358" i="1"/>
  <c r="BF359" i="1"/>
  <c r="BT359" i="1"/>
  <c r="BF360" i="1"/>
  <c r="BT360" i="1"/>
  <c r="BF361" i="1"/>
  <c r="BT361" i="1"/>
  <c r="BF362" i="1"/>
  <c r="BT362" i="1"/>
  <c r="BF363" i="1"/>
  <c r="BT363" i="1"/>
  <c r="BF364" i="1"/>
  <c r="BT364" i="1"/>
  <c r="BF365" i="1"/>
  <c r="BT365" i="1"/>
  <c r="BF366" i="1"/>
  <c r="BT366" i="1"/>
  <c r="BF367" i="1"/>
  <c r="BT367" i="1"/>
  <c r="BF368" i="1"/>
  <c r="BT368" i="1"/>
  <c r="BF369" i="1"/>
  <c r="BT369" i="1"/>
  <c r="BF370" i="1"/>
  <c r="BT370" i="1"/>
  <c r="BF371" i="1"/>
  <c r="BT371" i="1"/>
  <c r="BF372" i="1"/>
  <c r="BT372" i="1"/>
  <c r="BF373" i="1"/>
  <c r="BT373" i="1"/>
  <c r="BF374" i="1"/>
  <c r="BT374" i="1"/>
  <c r="BF375" i="1"/>
  <c r="BT375" i="1"/>
  <c r="BF376" i="1"/>
  <c r="BT376" i="1"/>
  <c r="BF377" i="1"/>
  <c r="BT377" i="1"/>
  <c r="BT378" i="1"/>
  <c r="BF379" i="1"/>
  <c r="BT379" i="1"/>
  <c r="BF380" i="1"/>
  <c r="BT380" i="1"/>
  <c r="BF381" i="1"/>
  <c r="BT381" i="1"/>
  <c r="BF382" i="1"/>
  <c r="BT382" i="1"/>
  <c r="BF383" i="1"/>
  <c r="BT383" i="1"/>
  <c r="BF384" i="1"/>
  <c r="BT384" i="1"/>
  <c r="BF385" i="1"/>
  <c r="BT385" i="1"/>
  <c r="BF386" i="1"/>
  <c r="BT386" i="1"/>
  <c r="BF387" i="1"/>
  <c r="BT387" i="1"/>
  <c r="BF388" i="1"/>
  <c r="BT388" i="1"/>
  <c r="BF389" i="1"/>
  <c r="BT389" i="1"/>
  <c r="BT390" i="1"/>
  <c r="BF391" i="1"/>
  <c r="BT391" i="1"/>
  <c r="BF392" i="1"/>
  <c r="BT392" i="1"/>
  <c r="BF393" i="1"/>
  <c r="BT393" i="1"/>
  <c r="BF394" i="1"/>
  <c r="BT394" i="1"/>
  <c r="BF395" i="1"/>
  <c r="BT395" i="1"/>
  <c r="BF396" i="1"/>
  <c r="BT396" i="1"/>
  <c r="BF397" i="1"/>
  <c r="BT397" i="1"/>
  <c r="BF398" i="1"/>
  <c r="BT398" i="1"/>
  <c r="BF399" i="1"/>
  <c r="BT399" i="1"/>
  <c r="BF400" i="1"/>
  <c r="BT400" i="1"/>
  <c r="BF401" i="1"/>
  <c r="BT401" i="1"/>
  <c r="BF402" i="1"/>
  <c r="BT402" i="1"/>
  <c r="BF403" i="1"/>
  <c r="BT403" i="1"/>
  <c r="BF404" i="1"/>
  <c r="BT404" i="1"/>
  <c r="BF405" i="1"/>
  <c r="BT405" i="1"/>
  <c r="BF406" i="1"/>
  <c r="BT406" i="1"/>
  <c r="BF407" i="1"/>
  <c r="BT407" i="1"/>
  <c r="BF408" i="1"/>
  <c r="BT408" i="1"/>
  <c r="BT409" i="1"/>
  <c r="BF410" i="1"/>
  <c r="BT410" i="1"/>
  <c r="BF411" i="1"/>
  <c r="BT411" i="1"/>
  <c r="BF412" i="1"/>
  <c r="BT412" i="1"/>
  <c r="BF413" i="1"/>
  <c r="BT413" i="1"/>
  <c r="BF414" i="1"/>
  <c r="BT414" i="1"/>
  <c r="BF415" i="1"/>
  <c r="BT415" i="1"/>
  <c r="BF416" i="1"/>
  <c r="BT416" i="1"/>
  <c r="BF417" i="1"/>
  <c r="BT417" i="1"/>
  <c r="BF418" i="1"/>
  <c r="BT418" i="1"/>
  <c r="BF419" i="1"/>
  <c r="BT419" i="1"/>
  <c r="BF420" i="1"/>
  <c r="BT420" i="1"/>
  <c r="BF421" i="1"/>
  <c r="BT421" i="1"/>
  <c r="BF422" i="1"/>
  <c r="BT422" i="1"/>
  <c r="BF423" i="1"/>
  <c r="BT423" i="1"/>
  <c r="BF424" i="1"/>
  <c r="BT424" i="1"/>
  <c r="BF425" i="1"/>
  <c r="BT425" i="1"/>
  <c r="BF426" i="1"/>
  <c r="BT426" i="1"/>
  <c r="BF427" i="1"/>
  <c r="BT427" i="1"/>
  <c r="BF428" i="1"/>
  <c r="BT428" i="1"/>
  <c r="BT429" i="1"/>
  <c r="BF430" i="1"/>
  <c r="BT430" i="1"/>
  <c r="BF431" i="1"/>
  <c r="BT431" i="1"/>
  <c r="BF432" i="1"/>
  <c r="BT432" i="1"/>
  <c r="BF433" i="1"/>
  <c r="BT433" i="1"/>
  <c r="BF434" i="1"/>
  <c r="BT434" i="1"/>
  <c r="BF435" i="1"/>
  <c r="BT435" i="1"/>
  <c r="BT436" i="1"/>
  <c r="BF437" i="1"/>
  <c r="BT437" i="1"/>
  <c r="BF438" i="1"/>
  <c r="BT438" i="1"/>
  <c r="BF439" i="1"/>
  <c r="BT439" i="1"/>
  <c r="BT440" i="1"/>
  <c r="BF441" i="1"/>
  <c r="BT441" i="1"/>
  <c r="BF442" i="1"/>
  <c r="BT442" i="1"/>
  <c r="BF443" i="1"/>
  <c r="BT443" i="1"/>
  <c r="BF444" i="1"/>
  <c r="BT444" i="1"/>
  <c r="BF445" i="1"/>
  <c r="BT445" i="1"/>
  <c r="BF446" i="1"/>
  <c r="BT446" i="1"/>
  <c r="BT447" i="1"/>
  <c r="BF448" i="1"/>
  <c r="BT448" i="1"/>
  <c r="BF449" i="1"/>
  <c r="BT449" i="1"/>
  <c r="BF450" i="1"/>
  <c r="BT450" i="1"/>
  <c r="BT451" i="1"/>
  <c r="BF452" i="1"/>
  <c r="BT452" i="1"/>
  <c r="BF453" i="1"/>
  <c r="BT453" i="1"/>
  <c r="BT454" i="1"/>
  <c r="BF455" i="1"/>
  <c r="BT455" i="1"/>
  <c r="BF456" i="1"/>
  <c r="BT456" i="1"/>
  <c r="BF457" i="1"/>
  <c r="BT457" i="1"/>
  <c r="BF458" i="1"/>
  <c r="BT458" i="1"/>
  <c r="BF459" i="1"/>
  <c r="BT459" i="1"/>
  <c r="BF460" i="1"/>
  <c r="BT460" i="1"/>
  <c r="BF461" i="1"/>
  <c r="BT461" i="1"/>
  <c r="BF462" i="1"/>
  <c r="BT462" i="1"/>
  <c r="BF463" i="1"/>
  <c r="BT463" i="1"/>
  <c r="BF464" i="1"/>
  <c r="BT464" i="1"/>
  <c r="BF465" i="1"/>
  <c r="BT465" i="1"/>
  <c r="BF466" i="1"/>
  <c r="BT466" i="1"/>
  <c r="BF467" i="1"/>
  <c r="BT467" i="1"/>
  <c r="BF468" i="1"/>
  <c r="BT468" i="1"/>
  <c r="BF469" i="1"/>
  <c r="BT469" i="1"/>
  <c r="BF470" i="1"/>
  <c r="BT470" i="1"/>
  <c r="BF471" i="1"/>
  <c r="BT471" i="1"/>
  <c r="BF472" i="1"/>
  <c r="BT472" i="1"/>
  <c r="BF473" i="1"/>
  <c r="BT473" i="1"/>
  <c r="BF474" i="1"/>
  <c r="BT474" i="1"/>
  <c r="BF475" i="1"/>
  <c r="BT475" i="1"/>
  <c r="BF476" i="1"/>
  <c r="BT476" i="1"/>
  <c r="BF477" i="1"/>
  <c r="BT477" i="1"/>
  <c r="BF478" i="1"/>
  <c r="BT478" i="1"/>
  <c r="BF479" i="1"/>
  <c r="BT479" i="1"/>
  <c r="BF480" i="1"/>
  <c r="BT480" i="1"/>
  <c r="BF481" i="1"/>
  <c r="BT481" i="1"/>
  <c r="BF482" i="1"/>
  <c r="BT482" i="1"/>
  <c r="BF483" i="1"/>
  <c r="BT483" i="1"/>
  <c r="BF484" i="1"/>
  <c r="BT484" i="1"/>
  <c r="BF485" i="1"/>
  <c r="BT485" i="1"/>
  <c r="BF486" i="1"/>
  <c r="BT486" i="1"/>
  <c r="BF487" i="1"/>
  <c r="BT487" i="1"/>
  <c r="BF488" i="1"/>
  <c r="BT488" i="1"/>
  <c r="BF489" i="1"/>
  <c r="BT489" i="1"/>
  <c r="BF490" i="1"/>
  <c r="BT490" i="1"/>
  <c r="BF491" i="1"/>
  <c r="BT491" i="1"/>
  <c r="BF492" i="1"/>
  <c r="BT492" i="1"/>
  <c r="BF493" i="1"/>
  <c r="BT493" i="1"/>
  <c r="BF494" i="1"/>
  <c r="BT494" i="1"/>
  <c r="BF495" i="1"/>
  <c r="BT495" i="1"/>
  <c r="BF496" i="1"/>
  <c r="BT496" i="1"/>
  <c r="BF497" i="1"/>
  <c r="BT497" i="1"/>
  <c r="BT498" i="1"/>
  <c r="BT499" i="1"/>
  <c r="BT500" i="1"/>
  <c r="BF501" i="1"/>
  <c r="BT501" i="1"/>
  <c r="BF502" i="1"/>
  <c r="BT502" i="1"/>
  <c r="BF503" i="1"/>
  <c r="BT503" i="1"/>
  <c r="BF504" i="1"/>
  <c r="BT504" i="1"/>
  <c r="BF505" i="1"/>
  <c r="BT505" i="1"/>
  <c r="BF506" i="1"/>
  <c r="BT506" i="1"/>
  <c r="BF507" i="1"/>
  <c r="BT507" i="1"/>
  <c r="BF508" i="1"/>
  <c r="BT508" i="1"/>
  <c r="BF509" i="1"/>
  <c r="BT509" i="1"/>
  <c r="BF510" i="1"/>
  <c r="BT510" i="1"/>
  <c r="BT511" i="1"/>
  <c r="BF512" i="1"/>
  <c r="BT512" i="1"/>
  <c r="BT513" i="1"/>
  <c r="BT514" i="1"/>
  <c r="BF515" i="1"/>
  <c r="BT515" i="1"/>
  <c r="BF516" i="1"/>
  <c r="BT516" i="1"/>
  <c r="BF517" i="1"/>
  <c r="BT517" i="1"/>
  <c r="BF518" i="1"/>
  <c r="BT518" i="1"/>
  <c r="BF519" i="1"/>
  <c r="BT519" i="1"/>
  <c r="BF520" i="1"/>
  <c r="BT520" i="1"/>
  <c r="BF521" i="1"/>
  <c r="BT521" i="1"/>
  <c r="BF522" i="1"/>
  <c r="BT522" i="1"/>
  <c r="BF523" i="1"/>
  <c r="BT523" i="1"/>
  <c r="BF524" i="1"/>
  <c r="BT524" i="1"/>
  <c r="BF525" i="1"/>
  <c r="BT525" i="1"/>
  <c r="BF526" i="1"/>
  <c r="BT526" i="1"/>
  <c r="BF527" i="1"/>
  <c r="BT527" i="1"/>
  <c r="BF528" i="1"/>
  <c r="BT528" i="1"/>
  <c r="BF529" i="1"/>
  <c r="BT529" i="1"/>
  <c r="BF530" i="1"/>
  <c r="BT530" i="1"/>
  <c r="BF531" i="1"/>
  <c r="BT531" i="1"/>
  <c r="BF532" i="1"/>
  <c r="BT532" i="1"/>
  <c r="BF533" i="1"/>
  <c r="BT533" i="1"/>
  <c r="BT534" i="1"/>
  <c r="BF535" i="1"/>
  <c r="BT535" i="1"/>
  <c r="BF536" i="1"/>
  <c r="BT536" i="1"/>
  <c r="BF537" i="1"/>
  <c r="BT537" i="1"/>
  <c r="BF538" i="1"/>
  <c r="BT538" i="1"/>
  <c r="BF539" i="1"/>
  <c r="BT539" i="1"/>
  <c r="BF540" i="1"/>
  <c r="BT540" i="1"/>
  <c r="BF541" i="1"/>
  <c r="BT541" i="1"/>
  <c r="BF542" i="1"/>
  <c r="BT542" i="1"/>
  <c r="BF543" i="1"/>
  <c r="BT543" i="1"/>
  <c r="BF544" i="1"/>
  <c r="BT544" i="1"/>
  <c r="BF545" i="1"/>
  <c r="BT545" i="1"/>
  <c r="BF546" i="1"/>
  <c r="BT546" i="1"/>
  <c r="BF547" i="1"/>
  <c r="BT547" i="1"/>
  <c r="BF548" i="1"/>
  <c r="BT548" i="1"/>
  <c r="BF549" i="1"/>
  <c r="BT549" i="1"/>
  <c r="BF550" i="1"/>
  <c r="BT550" i="1"/>
  <c r="BF551" i="1"/>
  <c r="BT551" i="1"/>
  <c r="BF552" i="1"/>
  <c r="BT552" i="1"/>
  <c r="BF553" i="1"/>
  <c r="BT553" i="1"/>
  <c r="BF554" i="1"/>
  <c r="BT554" i="1"/>
  <c r="BF555" i="1"/>
  <c r="BT555" i="1"/>
  <c r="BF556" i="1"/>
  <c r="BT556" i="1"/>
  <c r="BF557" i="1"/>
  <c r="BT557" i="1"/>
  <c r="BF558" i="1"/>
  <c r="BT558" i="1"/>
  <c r="BF559" i="1"/>
  <c r="BT559" i="1"/>
  <c r="BF560" i="1"/>
  <c r="BT560" i="1"/>
  <c r="BF561" i="1"/>
  <c r="BT561" i="1"/>
  <c r="BF562" i="1"/>
  <c r="BT562" i="1"/>
  <c r="BF563" i="1"/>
  <c r="BT563" i="1"/>
  <c r="BF564" i="1"/>
  <c r="BT564" i="1"/>
  <c r="BF565" i="1"/>
  <c r="BT565" i="1"/>
  <c r="BF566" i="1"/>
  <c r="BT566" i="1"/>
  <c r="BF567" i="1"/>
  <c r="BT567" i="1"/>
  <c r="BF568" i="1"/>
  <c r="BT568" i="1"/>
  <c r="BF569" i="1"/>
  <c r="BT569" i="1"/>
  <c r="BF570" i="1"/>
  <c r="BT570" i="1"/>
  <c r="BF571" i="1"/>
  <c r="BT571" i="1"/>
  <c r="BF572" i="1"/>
  <c r="BT572" i="1"/>
  <c r="BT573" i="1"/>
  <c r="BF574" i="1"/>
  <c r="BT574" i="1"/>
  <c r="BF575" i="1"/>
  <c r="BT575" i="1"/>
  <c r="BF576" i="1"/>
  <c r="BT576" i="1"/>
  <c r="BF577" i="1"/>
  <c r="BT577" i="1"/>
  <c r="BF578" i="1"/>
  <c r="BT578" i="1"/>
  <c r="BF579" i="1"/>
  <c r="BT579" i="1"/>
  <c r="BF580" i="1"/>
  <c r="BT580" i="1"/>
  <c r="BF581" i="1"/>
  <c r="BT581" i="1"/>
  <c r="BF582" i="1"/>
  <c r="BT582" i="1"/>
  <c r="BF583" i="1"/>
  <c r="BT583" i="1"/>
  <c r="BF584" i="1"/>
  <c r="BT584" i="1"/>
  <c r="BF585" i="1"/>
  <c r="BT585" i="1"/>
  <c r="BF586" i="1"/>
  <c r="BT586" i="1"/>
  <c r="BF587" i="1"/>
  <c r="BT587" i="1"/>
  <c r="BF588" i="1"/>
  <c r="BT588" i="1"/>
  <c r="BF589" i="1"/>
  <c r="BT589" i="1"/>
  <c r="BF590" i="1"/>
  <c r="BT590" i="1"/>
  <c r="BF591" i="1"/>
  <c r="BT591" i="1"/>
  <c r="BF592" i="1"/>
  <c r="BT592" i="1"/>
  <c r="BF593" i="1"/>
  <c r="BT593" i="1"/>
  <c r="BF594" i="1"/>
  <c r="BT594" i="1"/>
  <c r="BF595" i="1"/>
  <c r="BT595" i="1"/>
  <c r="BF596" i="1"/>
  <c r="BT596" i="1"/>
  <c r="BF597" i="1"/>
  <c r="BT597" i="1"/>
  <c r="BF598" i="1"/>
  <c r="BT598" i="1"/>
  <c r="BF599" i="1"/>
  <c r="BT599" i="1"/>
  <c r="BF600" i="1"/>
  <c r="BT600" i="1"/>
  <c r="BT601" i="1"/>
  <c r="BF602" i="1"/>
  <c r="BT602" i="1"/>
  <c r="BF603" i="1"/>
  <c r="BT603" i="1"/>
  <c r="BF604" i="1"/>
  <c r="BT604" i="1"/>
  <c r="BF605" i="1"/>
  <c r="BT605" i="1"/>
  <c r="BF606" i="1"/>
  <c r="BT606" i="1"/>
  <c r="BF607" i="1"/>
  <c r="BT607" i="1"/>
  <c r="BF608" i="1"/>
  <c r="BT608" i="1"/>
  <c r="BF609" i="1"/>
  <c r="BT609" i="1"/>
  <c r="BF610" i="1"/>
  <c r="BT610" i="1"/>
  <c r="BF611" i="1"/>
  <c r="BT611" i="1"/>
  <c r="BF612" i="1"/>
  <c r="BT612" i="1"/>
  <c r="BF613" i="1"/>
  <c r="BT613" i="1"/>
  <c r="BF614" i="1"/>
  <c r="BT614" i="1"/>
  <c r="BF615" i="1"/>
  <c r="BT615" i="1"/>
  <c r="BF616" i="1"/>
  <c r="BT616" i="1"/>
  <c r="BF617" i="1"/>
  <c r="BT617" i="1"/>
  <c r="BF618" i="1"/>
  <c r="BT618" i="1"/>
  <c r="BF619" i="1"/>
  <c r="BT619" i="1"/>
  <c r="BF620" i="1"/>
  <c r="BT620" i="1"/>
  <c r="BF621" i="1"/>
  <c r="BT621" i="1"/>
  <c r="BF622" i="1"/>
  <c r="BT622" i="1"/>
  <c r="BF623" i="1"/>
  <c r="BT623" i="1"/>
  <c r="BF624" i="1"/>
  <c r="BT624" i="1"/>
  <c r="BF625" i="1"/>
  <c r="BT625" i="1"/>
  <c r="BF626" i="1"/>
  <c r="BT626" i="1"/>
  <c r="BF627" i="1"/>
  <c r="BT627" i="1"/>
  <c r="BF628" i="1"/>
  <c r="BT628" i="1"/>
  <c r="BF629" i="1"/>
  <c r="BT629" i="1"/>
  <c r="BF630" i="1"/>
  <c r="BT630" i="1"/>
  <c r="BF631" i="1"/>
  <c r="BT631" i="1"/>
  <c r="BF632" i="1"/>
  <c r="BT632" i="1"/>
  <c r="BF633" i="1"/>
  <c r="BT633" i="1"/>
  <c r="BF634" i="1"/>
  <c r="BT634" i="1"/>
  <c r="BF635" i="1"/>
  <c r="BT635" i="1"/>
  <c r="BF636" i="1"/>
  <c r="BT636" i="1"/>
  <c r="BF637" i="1"/>
  <c r="BT637" i="1"/>
  <c r="BF638" i="1"/>
  <c r="BT638" i="1"/>
  <c r="BF639" i="1"/>
  <c r="BT639" i="1"/>
  <c r="BF640" i="1"/>
  <c r="BT640" i="1"/>
  <c r="BF641" i="1"/>
  <c r="BT641" i="1"/>
  <c r="BF642" i="1"/>
  <c r="BT642" i="1"/>
  <c r="BT643" i="1"/>
  <c r="BF644" i="1"/>
  <c r="BT644" i="1"/>
  <c r="BF645" i="1"/>
  <c r="BT645" i="1"/>
  <c r="BF646" i="1"/>
  <c r="BT646" i="1"/>
  <c r="BF647" i="1"/>
  <c r="BT647" i="1"/>
  <c r="BF648" i="1"/>
  <c r="BT648" i="1"/>
  <c r="BF649" i="1"/>
  <c r="BT649" i="1"/>
  <c r="BF650" i="1"/>
  <c r="BT650" i="1"/>
  <c r="BF651" i="1"/>
  <c r="BT651" i="1"/>
  <c r="BF652" i="1"/>
  <c r="BT652" i="1"/>
  <c r="BF653" i="1"/>
  <c r="BT653" i="1"/>
  <c r="BF654" i="1"/>
  <c r="BT654" i="1"/>
  <c r="BF655" i="1"/>
  <c r="BT655" i="1"/>
  <c r="BF656" i="1"/>
  <c r="BT656" i="1"/>
  <c r="BF657" i="1"/>
  <c r="BT657" i="1"/>
  <c r="BF658" i="1"/>
  <c r="BT658" i="1"/>
  <c r="BF659" i="1"/>
  <c r="BT659" i="1"/>
  <c r="BF660" i="1"/>
  <c r="BT660" i="1"/>
  <c r="BF661" i="1"/>
  <c r="BT661" i="1"/>
  <c r="BF662" i="1"/>
  <c r="BT662" i="1"/>
  <c r="BF663" i="1"/>
  <c r="BT663" i="1"/>
  <c r="BF664" i="1"/>
  <c r="BT664" i="1"/>
  <c r="BF665" i="1"/>
  <c r="BT665" i="1"/>
  <c r="BF666" i="1"/>
  <c r="BT666" i="1"/>
  <c r="BF667" i="1"/>
  <c r="BT667" i="1"/>
  <c r="BF668" i="1"/>
  <c r="BT668" i="1"/>
  <c r="BF669" i="1"/>
  <c r="BT669" i="1"/>
  <c r="BF670" i="1"/>
  <c r="BT670" i="1"/>
  <c r="BF671" i="1"/>
  <c r="BT671" i="1"/>
  <c r="BF672" i="1"/>
  <c r="BT672" i="1"/>
  <c r="BF673" i="1"/>
  <c r="BT673" i="1"/>
  <c r="BT674" i="1"/>
  <c r="BF675" i="1"/>
  <c r="BT675" i="1"/>
  <c r="BF676" i="1"/>
  <c r="BT676" i="1"/>
  <c r="BF677" i="1"/>
  <c r="BT677" i="1"/>
  <c r="BF678" i="1"/>
  <c r="BT678" i="1"/>
  <c r="BF679" i="1"/>
  <c r="BT679" i="1"/>
  <c r="BF680" i="1"/>
  <c r="BT680" i="1"/>
  <c r="BF681" i="1"/>
  <c r="BT681" i="1"/>
  <c r="BF682" i="1"/>
  <c r="BT682" i="1"/>
  <c r="BF683" i="1"/>
  <c r="BT683" i="1"/>
  <c r="BF684" i="1"/>
  <c r="BT684" i="1"/>
  <c r="BF685" i="1"/>
  <c r="BT685" i="1"/>
  <c r="BF686" i="1"/>
  <c r="BT686" i="1"/>
  <c r="BF687" i="1"/>
  <c r="BT687" i="1"/>
  <c r="BF688" i="1"/>
  <c r="BT688" i="1"/>
  <c r="BF689" i="1"/>
  <c r="BT689" i="1"/>
  <c r="BF690" i="1"/>
  <c r="BT690" i="1"/>
  <c r="BF691" i="1"/>
  <c r="BT691" i="1"/>
  <c r="BF692" i="1"/>
  <c r="BT692" i="1"/>
  <c r="BF693" i="1"/>
  <c r="BT693" i="1"/>
  <c r="BF694" i="1"/>
  <c r="BT694" i="1"/>
  <c r="BF695" i="1"/>
  <c r="BT695" i="1"/>
  <c r="BF696" i="1"/>
  <c r="BT696" i="1"/>
  <c r="BT697" i="1"/>
  <c r="BT698" i="1"/>
  <c r="BF699" i="1"/>
  <c r="BT699" i="1"/>
  <c r="BF700" i="1"/>
  <c r="BT700" i="1"/>
  <c r="BF701" i="1"/>
  <c r="BT701" i="1"/>
  <c r="BF702" i="1"/>
  <c r="BT702" i="1"/>
  <c r="BF703" i="1"/>
  <c r="BT703" i="1"/>
  <c r="BF704" i="1"/>
  <c r="BT704" i="1"/>
  <c r="BF705" i="1"/>
  <c r="BT705" i="1"/>
  <c r="BF706" i="1"/>
  <c r="BT706" i="1"/>
  <c r="BF707" i="1"/>
  <c r="BT707" i="1"/>
  <c r="BT708" i="1"/>
  <c r="BT709" i="1"/>
  <c r="BF710" i="1"/>
  <c r="BT710" i="1"/>
  <c r="BF711" i="1"/>
  <c r="BT711" i="1"/>
  <c r="BF712" i="1"/>
  <c r="BT712" i="1"/>
  <c r="BF713" i="1"/>
  <c r="BT713" i="1"/>
  <c r="BF714" i="1"/>
  <c r="BT714" i="1"/>
  <c r="BF715" i="1"/>
  <c r="BT715" i="1"/>
  <c r="BF716" i="1"/>
  <c r="BT716" i="1"/>
  <c r="BF717" i="1"/>
  <c r="BT717" i="1"/>
  <c r="BF718" i="1"/>
  <c r="BT718" i="1"/>
  <c r="BF719" i="1"/>
  <c r="BT719" i="1"/>
  <c r="BT720" i="1"/>
  <c r="BF721" i="1"/>
  <c r="BT721" i="1"/>
  <c r="BF722" i="1"/>
  <c r="BT722" i="1"/>
  <c r="BF723" i="1"/>
  <c r="BT723" i="1"/>
  <c r="BF724" i="1"/>
  <c r="BT724" i="1"/>
  <c r="BF725" i="1"/>
  <c r="BT725" i="1"/>
  <c r="BF726" i="1"/>
  <c r="BT726" i="1"/>
  <c r="BF727" i="1"/>
  <c r="BT727" i="1"/>
  <c r="BF728" i="1"/>
  <c r="BT728" i="1"/>
  <c r="BF729" i="1"/>
  <c r="BT729" i="1"/>
  <c r="BF730" i="1"/>
  <c r="BT730" i="1"/>
  <c r="BF731" i="1"/>
  <c r="BT731" i="1"/>
  <c r="BF732" i="1"/>
  <c r="BT732" i="1"/>
  <c r="BF733" i="1"/>
  <c r="BT733" i="1"/>
  <c r="BF734" i="1"/>
  <c r="BT734" i="1"/>
  <c r="BF735" i="1"/>
  <c r="BT735" i="1"/>
  <c r="BF736" i="1"/>
  <c r="BT736" i="1"/>
  <c r="BF737" i="1"/>
  <c r="BT737" i="1"/>
  <c r="BF738" i="1"/>
  <c r="BT738" i="1"/>
  <c r="BF739" i="1"/>
  <c r="BT739" i="1"/>
  <c r="BF740" i="1"/>
  <c r="BT740" i="1"/>
  <c r="BF741" i="1"/>
  <c r="BT741" i="1"/>
  <c r="BF742" i="1"/>
  <c r="BT742" i="1"/>
  <c r="BF743" i="1"/>
  <c r="BT743" i="1"/>
  <c r="BF744" i="1"/>
  <c r="BT744" i="1"/>
  <c r="BF745" i="1"/>
  <c r="BT745" i="1"/>
  <c r="BF746" i="1"/>
  <c r="BT746" i="1"/>
  <c r="BF747" i="1"/>
  <c r="BT747" i="1"/>
  <c r="BF748" i="1"/>
  <c r="BT748" i="1"/>
  <c r="BF749" i="1"/>
  <c r="BT749" i="1"/>
  <c r="BF750" i="1"/>
  <c r="BT750" i="1"/>
  <c r="BF751" i="1"/>
  <c r="BT751" i="1"/>
  <c r="BF752" i="1"/>
  <c r="BT752" i="1"/>
  <c r="BF753" i="1"/>
  <c r="BT753" i="1"/>
  <c r="BF754" i="1"/>
  <c r="BT754" i="1"/>
  <c r="BF755" i="1"/>
  <c r="BT755" i="1"/>
  <c r="BF756" i="1"/>
  <c r="BT756" i="1"/>
  <c r="BF757" i="1"/>
  <c r="BT757" i="1"/>
  <c r="BF758" i="1"/>
  <c r="BT758" i="1"/>
  <c r="BF759" i="1"/>
  <c r="BT759" i="1"/>
  <c r="BF760" i="1"/>
  <c r="BT760" i="1"/>
  <c r="BF761" i="1"/>
  <c r="BT761" i="1"/>
  <c r="BF762" i="1"/>
  <c r="BT762" i="1"/>
  <c r="BF763" i="1"/>
  <c r="BT763" i="1"/>
  <c r="BF764" i="1"/>
  <c r="BT764" i="1"/>
  <c r="BF765" i="1"/>
  <c r="BT765" i="1"/>
  <c r="BF766" i="1"/>
  <c r="BT766" i="1"/>
  <c r="BF767" i="1"/>
  <c r="BT767" i="1"/>
  <c r="BF768" i="1"/>
  <c r="BT768" i="1"/>
  <c r="BF769" i="1"/>
  <c r="BT769" i="1"/>
  <c r="BF770" i="1"/>
  <c r="BT770" i="1"/>
  <c r="BF771" i="1"/>
  <c r="BT771" i="1"/>
  <c r="BF772" i="1"/>
  <c r="BT772" i="1"/>
  <c r="BF773" i="1"/>
  <c r="BT773" i="1"/>
  <c r="BT774" i="1"/>
  <c r="BF775" i="1"/>
  <c r="BT775" i="1"/>
  <c r="BF776" i="1"/>
  <c r="BT776" i="1"/>
  <c r="BT777" i="1"/>
  <c r="BF778" i="1"/>
  <c r="BT778" i="1"/>
  <c r="BF779" i="1"/>
  <c r="BT779" i="1"/>
  <c r="BF780" i="1"/>
  <c r="BT780" i="1"/>
  <c r="BF781" i="1"/>
  <c r="BT781" i="1"/>
  <c r="BF782" i="1"/>
  <c r="BT782" i="1"/>
  <c r="BF783" i="1"/>
  <c r="BT783" i="1"/>
  <c r="BF784" i="1"/>
  <c r="BT784" i="1"/>
  <c r="BF785" i="1"/>
  <c r="BT785" i="1"/>
  <c r="BT786" i="1"/>
  <c r="BF787" i="1"/>
  <c r="BT787" i="1"/>
  <c r="BF788" i="1"/>
  <c r="BT788" i="1"/>
  <c r="BF789" i="1"/>
  <c r="BT789" i="1"/>
  <c r="BF790" i="1"/>
  <c r="BT790" i="1"/>
  <c r="BF791" i="1"/>
  <c r="BT791" i="1"/>
  <c r="BF792" i="1"/>
  <c r="BT792" i="1"/>
  <c r="BF793" i="1"/>
  <c r="BT793" i="1"/>
  <c r="BF794" i="1"/>
  <c r="BT794" i="1"/>
  <c r="BF795" i="1"/>
  <c r="BT795" i="1"/>
  <c r="BF796" i="1"/>
  <c r="BT796" i="1"/>
  <c r="BF797" i="1"/>
  <c r="BT797" i="1"/>
  <c r="BF798" i="1"/>
  <c r="BT798" i="1"/>
  <c r="BT799" i="1"/>
  <c r="BF800" i="1"/>
  <c r="BT800" i="1"/>
  <c r="BF801" i="1"/>
  <c r="BT801" i="1"/>
  <c r="BT802" i="1"/>
  <c r="BF803" i="1"/>
  <c r="BT803" i="1"/>
  <c r="BF804" i="1"/>
  <c r="BT804" i="1"/>
  <c r="BF805" i="1"/>
  <c r="BT805" i="1"/>
  <c r="BF806" i="1"/>
  <c r="BT806" i="1"/>
  <c r="BF807" i="1"/>
  <c r="BT807" i="1"/>
  <c r="BF808" i="1"/>
  <c r="BT808" i="1"/>
  <c r="BF809" i="1"/>
  <c r="BT809" i="1"/>
  <c r="BF810" i="1"/>
  <c r="BT810" i="1"/>
  <c r="BF811" i="1"/>
  <c r="BT811" i="1"/>
  <c r="BF812" i="1"/>
  <c r="BT812" i="1"/>
  <c r="BF813" i="1"/>
  <c r="BT813" i="1"/>
  <c r="BF814" i="1"/>
  <c r="BT814" i="1"/>
  <c r="BF815" i="1"/>
  <c r="BT815" i="1"/>
  <c r="BF816" i="1"/>
  <c r="BT816" i="1"/>
  <c r="BF817" i="1"/>
  <c r="BT817" i="1"/>
  <c r="BF818" i="1"/>
  <c r="BT818" i="1"/>
  <c r="BF819" i="1"/>
  <c r="BT819" i="1"/>
  <c r="BF820" i="1"/>
  <c r="BT820" i="1"/>
  <c r="BF821" i="1"/>
  <c r="BT821" i="1"/>
  <c r="BF822" i="1"/>
  <c r="BT822" i="1"/>
  <c r="BF823" i="1"/>
  <c r="BT823" i="1"/>
  <c r="BF824" i="1"/>
  <c r="BT824" i="1"/>
  <c r="BF825" i="1"/>
  <c r="BT825" i="1"/>
  <c r="BF826" i="1"/>
  <c r="BT826" i="1"/>
  <c r="BF827" i="1"/>
  <c r="BT827" i="1"/>
  <c r="BF828" i="1"/>
  <c r="BT828" i="1"/>
  <c r="BF829" i="1"/>
  <c r="BT829" i="1"/>
  <c r="BF830" i="1"/>
  <c r="BT830" i="1"/>
  <c r="BF831" i="1"/>
  <c r="BT831" i="1"/>
  <c r="BF832" i="1"/>
  <c r="BT832" i="1"/>
  <c r="BF833" i="1"/>
  <c r="BT833" i="1"/>
  <c r="BF834" i="1"/>
  <c r="BT834" i="1"/>
  <c r="BF835" i="1"/>
  <c r="BT835" i="1"/>
  <c r="BF836" i="1"/>
  <c r="BT836" i="1"/>
  <c r="BF837" i="1"/>
  <c r="BT837" i="1"/>
  <c r="BT838" i="1"/>
  <c r="BF839" i="1"/>
  <c r="BT839" i="1"/>
  <c r="BF840" i="1"/>
  <c r="BT840" i="1"/>
  <c r="BT841" i="1"/>
  <c r="BF842" i="1"/>
  <c r="BT842" i="1"/>
  <c r="BF843" i="1"/>
  <c r="BT843" i="1"/>
  <c r="BF844" i="1"/>
  <c r="BT844" i="1"/>
  <c r="BF845" i="1"/>
  <c r="BT845" i="1"/>
  <c r="BF846" i="1"/>
  <c r="BT846" i="1"/>
  <c r="BF847" i="1"/>
  <c r="BT847" i="1"/>
  <c r="BF848" i="1"/>
  <c r="BT848" i="1"/>
  <c r="BF849" i="1"/>
  <c r="BT849" i="1"/>
  <c r="BF850" i="1"/>
  <c r="BT850" i="1"/>
  <c r="BF851" i="1"/>
  <c r="BT851" i="1"/>
  <c r="BF852" i="1"/>
  <c r="BT852" i="1"/>
  <c r="BF853" i="1"/>
  <c r="BT853" i="1"/>
  <c r="BF854" i="1"/>
  <c r="BT854" i="1"/>
  <c r="BF855" i="1"/>
  <c r="BT855" i="1"/>
  <c r="BF856" i="1"/>
  <c r="BT856" i="1"/>
  <c r="BF857" i="1"/>
  <c r="BT857" i="1"/>
  <c r="BF858" i="1"/>
  <c r="BT858" i="1"/>
  <c r="BT859" i="1"/>
  <c r="BF860" i="1"/>
  <c r="BT860" i="1"/>
  <c r="BF861" i="1"/>
  <c r="BT861" i="1"/>
  <c r="BF862" i="1"/>
  <c r="BT862" i="1"/>
  <c r="BF863" i="1"/>
  <c r="BT863" i="1"/>
  <c r="BF864" i="1"/>
  <c r="BT864" i="1"/>
  <c r="BF865" i="1"/>
  <c r="BT865" i="1"/>
  <c r="BF866" i="1"/>
  <c r="BT866" i="1"/>
  <c r="BF867" i="1"/>
  <c r="BT867" i="1"/>
  <c r="BF868" i="1"/>
  <c r="BT868" i="1"/>
  <c r="BF869" i="1"/>
  <c r="BT869" i="1"/>
  <c r="BF870" i="1"/>
  <c r="BT870" i="1"/>
  <c r="BF871" i="1"/>
  <c r="BT871" i="1"/>
  <c r="BF872" i="1"/>
  <c r="BT872" i="1"/>
  <c r="BF873" i="1"/>
  <c r="BT873" i="1"/>
  <c r="BF874" i="1"/>
  <c r="BT874" i="1"/>
  <c r="BF875" i="1"/>
  <c r="BT875" i="1"/>
  <c r="BF876" i="1"/>
  <c r="BT876" i="1"/>
  <c r="BF877" i="1"/>
  <c r="BT877" i="1"/>
  <c r="BF878" i="1"/>
  <c r="BT878" i="1"/>
  <c r="BF879" i="1"/>
  <c r="BT879" i="1"/>
  <c r="BF880" i="1"/>
  <c r="BT880" i="1"/>
  <c r="BF881" i="1"/>
  <c r="BT881" i="1"/>
  <c r="BF882" i="1"/>
  <c r="BT882" i="1"/>
  <c r="BF883" i="1"/>
  <c r="BT883" i="1"/>
  <c r="BF884" i="1"/>
  <c r="BT884" i="1"/>
  <c r="BF885" i="1"/>
  <c r="BT885" i="1"/>
  <c r="BF886" i="1"/>
  <c r="BT886" i="1"/>
  <c r="BF887" i="1"/>
  <c r="BT887" i="1"/>
  <c r="BF888" i="1"/>
  <c r="BT888" i="1"/>
  <c r="BF889" i="1"/>
  <c r="BT889" i="1"/>
  <c r="BF890" i="1"/>
  <c r="BT890" i="1"/>
  <c r="BF891" i="1"/>
  <c r="BT891" i="1"/>
  <c r="BF892" i="1"/>
  <c r="BT892" i="1"/>
  <c r="BF893" i="1"/>
  <c r="BT893" i="1"/>
  <c r="BF894" i="1"/>
  <c r="BT894" i="1"/>
  <c r="BF895" i="1"/>
  <c r="BT895" i="1"/>
  <c r="BF896" i="1"/>
  <c r="BT896" i="1"/>
  <c r="BF897" i="1"/>
  <c r="BT897" i="1"/>
  <c r="BF898" i="1"/>
  <c r="BT898" i="1"/>
  <c r="BF899" i="1"/>
  <c r="BT899" i="1"/>
  <c r="BF900" i="1"/>
  <c r="BT900" i="1"/>
  <c r="BF901" i="1"/>
  <c r="BT901" i="1"/>
  <c r="BF902" i="1"/>
  <c r="BT902" i="1"/>
  <c r="BF903" i="1"/>
  <c r="BT903" i="1"/>
  <c r="BF904" i="1"/>
  <c r="BT904" i="1"/>
  <c r="BF905" i="1"/>
  <c r="BT905" i="1"/>
  <c r="BF906" i="1"/>
  <c r="BT906" i="1"/>
  <c r="BF907" i="1"/>
  <c r="BT907" i="1"/>
  <c r="BF908" i="1"/>
  <c r="BT908" i="1"/>
  <c r="BF909" i="1"/>
  <c r="BT909" i="1"/>
  <c r="BF910" i="1"/>
  <c r="BT910" i="1"/>
  <c r="BF911" i="1"/>
  <c r="BT911" i="1"/>
  <c r="BF912" i="1"/>
  <c r="BT912" i="1"/>
  <c r="BF913" i="1"/>
  <c r="BT913" i="1"/>
  <c r="BF914" i="1"/>
  <c r="BT914" i="1"/>
  <c r="BF915" i="1"/>
  <c r="BT915" i="1"/>
  <c r="BF916" i="1"/>
  <c r="BT916" i="1"/>
  <c r="BF917" i="1"/>
  <c r="BT917" i="1"/>
  <c r="BF918" i="1"/>
  <c r="BT918" i="1"/>
  <c r="BF919" i="1"/>
  <c r="BT919" i="1"/>
  <c r="BF920" i="1"/>
  <c r="BT920" i="1"/>
  <c r="BF921" i="1"/>
  <c r="BT921" i="1"/>
  <c r="BF922" i="1"/>
  <c r="BT922" i="1"/>
  <c r="BF923" i="1"/>
  <c r="BT923" i="1"/>
  <c r="BF924" i="1"/>
  <c r="BT924" i="1"/>
  <c r="BF925" i="1"/>
  <c r="BT925" i="1"/>
  <c r="BF926" i="1"/>
  <c r="BT926" i="1"/>
  <c r="BF927" i="1"/>
  <c r="BT927" i="1"/>
  <c r="BF928" i="1"/>
  <c r="BT928" i="1"/>
  <c r="BF929" i="1"/>
  <c r="BT929" i="1"/>
  <c r="BF930" i="1"/>
  <c r="BT930" i="1"/>
  <c r="BF931" i="1"/>
  <c r="BT931" i="1"/>
  <c r="BF932" i="1"/>
  <c r="BT932" i="1"/>
  <c r="BF933" i="1"/>
  <c r="BT933" i="1"/>
  <c r="BF934" i="1"/>
  <c r="BT934" i="1"/>
  <c r="BF935" i="1"/>
  <c r="BT935" i="1"/>
  <c r="BF936" i="1"/>
  <c r="BT936" i="1"/>
  <c r="BF937" i="1"/>
  <c r="BT937" i="1"/>
  <c r="BF938" i="1"/>
  <c r="BT938" i="1"/>
  <c r="BF939" i="1"/>
  <c r="BT939" i="1"/>
  <c r="BF940" i="1"/>
  <c r="BT940" i="1"/>
  <c r="BF941" i="1"/>
  <c r="BT941" i="1"/>
  <c r="BF942" i="1"/>
  <c r="BT942" i="1"/>
  <c r="BF943" i="1"/>
  <c r="BT943" i="1"/>
  <c r="BF944" i="1"/>
  <c r="BT944" i="1"/>
  <c r="BF945" i="1"/>
  <c r="BT945" i="1"/>
  <c r="BF946" i="1"/>
  <c r="BT946" i="1"/>
  <c r="BF947" i="1"/>
  <c r="BT947" i="1"/>
  <c r="BF948" i="1"/>
  <c r="BT948" i="1"/>
  <c r="BF949" i="1"/>
  <c r="BT949" i="1"/>
  <c r="BF950" i="1"/>
  <c r="BT950" i="1"/>
  <c r="BF951" i="1"/>
  <c r="BT951" i="1"/>
  <c r="BF952" i="1"/>
  <c r="BT952" i="1"/>
  <c r="BF953" i="1"/>
  <c r="BT953" i="1"/>
  <c r="BF954" i="1"/>
  <c r="BT954" i="1"/>
  <c r="BF955" i="1"/>
  <c r="BT955" i="1"/>
  <c r="BF956" i="1"/>
  <c r="BT956" i="1"/>
  <c r="BF957" i="1"/>
  <c r="BT957" i="1"/>
  <c r="BF958" i="1"/>
  <c r="BT958" i="1"/>
  <c r="BF959" i="1"/>
  <c r="BT959" i="1"/>
  <c r="BF960" i="1"/>
  <c r="BT960" i="1"/>
  <c r="BF961" i="1"/>
  <c r="BT961" i="1"/>
  <c r="BF962" i="1"/>
  <c r="BT962" i="1"/>
  <c r="BF963" i="1"/>
  <c r="BT963" i="1"/>
  <c r="BF964" i="1"/>
  <c r="BT964" i="1"/>
  <c r="BF965" i="1"/>
  <c r="BT965" i="1"/>
  <c r="BF966" i="1"/>
  <c r="BT966" i="1"/>
  <c r="BF967" i="1"/>
  <c r="BT967" i="1"/>
  <c r="BF968" i="1"/>
  <c r="BT968" i="1"/>
  <c r="BF969" i="1"/>
  <c r="BT969" i="1"/>
  <c r="BF970" i="1"/>
  <c r="BT970" i="1"/>
  <c r="BF971" i="1"/>
  <c r="BT971" i="1"/>
  <c r="BF972" i="1"/>
  <c r="BT972" i="1"/>
  <c r="BF973" i="1"/>
  <c r="BT973" i="1"/>
  <c r="BF974" i="1"/>
  <c r="BT974" i="1"/>
  <c r="BF975" i="1"/>
  <c r="BT975" i="1"/>
  <c r="BF976" i="1"/>
  <c r="BT976" i="1"/>
  <c r="BF977" i="1"/>
  <c r="BT977" i="1"/>
  <c r="BF978" i="1"/>
  <c r="BT978" i="1"/>
  <c r="BF979" i="1"/>
  <c r="BT979" i="1"/>
  <c r="BF980" i="1"/>
  <c r="BT980" i="1"/>
  <c r="BF981" i="1"/>
  <c r="BT981" i="1"/>
  <c r="BF982" i="1"/>
  <c r="BT982" i="1"/>
  <c r="BF983" i="1"/>
  <c r="BT983" i="1"/>
  <c r="BF984" i="1"/>
  <c r="BT984" i="1"/>
  <c r="BF985" i="1"/>
  <c r="BT985" i="1"/>
  <c r="BT986" i="1"/>
  <c r="BF987" i="1"/>
  <c r="BT987" i="1"/>
  <c r="BF988" i="1"/>
  <c r="BT988" i="1"/>
  <c r="BF989" i="1"/>
  <c r="BT989" i="1"/>
  <c r="BF990" i="1"/>
  <c r="BT990" i="1"/>
  <c r="BF991" i="1"/>
  <c r="BT991" i="1"/>
  <c r="BF992" i="1"/>
  <c r="BT992" i="1"/>
  <c r="BF993" i="1"/>
  <c r="BT993" i="1"/>
  <c r="BF994" i="1"/>
  <c r="BT994" i="1"/>
  <c r="BF995" i="1"/>
  <c r="BT995" i="1"/>
  <c r="BF996" i="1"/>
  <c r="BT996" i="1"/>
  <c r="BF997" i="1"/>
  <c r="BT997" i="1"/>
  <c r="BF998" i="1"/>
  <c r="BT998" i="1"/>
  <c r="BF999" i="1"/>
  <c r="BT999" i="1"/>
  <c r="BF1000" i="1"/>
  <c r="BT1000" i="1"/>
  <c r="BF1001" i="1"/>
  <c r="BT1001" i="1"/>
</calcChain>
</file>

<file path=xl/sharedStrings.xml><?xml version="1.0" encoding="utf-8"?>
<sst xmlns="http://schemas.openxmlformats.org/spreadsheetml/2006/main" count="181950" uniqueCount="55719">
  <si>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</si>
  <si>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</si>
  <si>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</si>
  <si>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</si>
  <si>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</si>
  <si>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</si>
  <si>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</si>
  <si>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</si>
  <si>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</si>
  <si>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</si>
  <si>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</si>
  <si>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</si>
  <si>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</si>
  <si>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</si>
  <si>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</si>
  <si>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</si>
  <si>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</si>
  <si>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</si>
  <si>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</si>
  <si>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</si>
  <si>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</si>
  <si>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</si>
  <si>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</si>
  <si>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</si>
  <si>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</si>
  <si>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</si>
  <si>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</si>
  <si>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</si>
  <si>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</si>
  <si>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</si>
  <si>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</si>
  <si>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</si>
  <si>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</si>
  <si>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</si>
  <si>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</si>
  <si>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</si>
  <si>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</si>
  <si>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</si>
  <si>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</si>
  <si>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</si>
  <si>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</si>
  <si>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</si>
  <si>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</si>
  <si>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</si>
  <si>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</si>
  <si>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</si>
  <si>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</si>
  <si>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</si>
  <si>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</si>
  <si>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</si>
  <si>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</si>
  <si>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</si>
  <si>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</si>
  <si>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</si>
  <si>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</si>
  <si>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</si>
  <si>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</si>
  <si>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</si>
  <si>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</si>
  <si>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</si>
  <si>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</si>
  <si>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</si>
  <si>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</si>
  <si>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</si>
  <si>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</si>
  <si>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</si>
  <si>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</si>
  <si>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</si>
  <si>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</si>
  <si>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</si>
  <si>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</si>
  <si>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</si>
  <si>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J</t>
  </si>
  <si>
    <t>Cooper, RJ; Langlois, D; Olley, J</t>
  </si>
  <si>
    <t/>
  </si>
  <si>
    <t>Cooper, R. J.; Langlois, D.; Olley, June</t>
  </si>
  <si>
    <t>Heavy Metals in Tasmanian Shellfish 1-Monitoring Heavy Metal Contamination in the Derwent Estuary: Use of Oysters and Mussels</t>
  </si>
  <si>
    <t>JOURNAL OF APPLIED TOXICOLOGY</t>
  </si>
  <si>
    <t>English</t>
  </si>
  <si>
    <t>Article</t>
  </si>
  <si>
    <t>heavy metals; zinc; copper; cadmium; lead; mussels; oysters; season; pollution</t>
  </si>
  <si>
    <t>ZINC; COPPER</t>
  </si>
  <si>
    <t>The contamination of an estuary with heavy metals by a single large ore processing plant provided a unique opportunity to assess the use of mussels and oysters as indicators of heavy metal contamination. Field accumulation and depuration experiments, variation of metal content with size and prediction of water movements are described from shellfish surveys covering the Derwent River and adjacent coastal waters. Oysters were found to be suitable for monitoring zinc, cadmium, lead and copper contamination. Mussels were also suitable for monitoring zinc, cadmium and lead, but in this instance were found unsuitable for monitoring copper as the surveys indicate that copper accumulation is suppressed in mussels in a contaminated environment. The rate of accumulation and depuration of metals by oysters and mussels in field trials has been related to the anatomy of the animals and the sequestering of some metals in granulocytes. Uneven metal distribution between gonad and other tissues has been found to cause seasonal variation of heavy metals in oysters.</t>
  </si>
  <si>
    <t>[Cooper, R. J.; Langlois, D.] Electrolyt Zinc Co Australasia Ltd, Hobart, Tas, Australia; [Olley, June] CSIRO, Div Food Res, Tasmanian Food Res Unit, Hobart, Tas, Australia</t>
  </si>
  <si>
    <t>Commonwealth Scientific &amp; Industrial Research Organisation (CSIRO)</t>
  </si>
  <si>
    <t>Olley, J (corresponding author), CSIRO, Div Food Res, Tasmanian Food Res Unit, Hobart, Tas, Australia.</t>
  </si>
  <si>
    <t>WILEY</t>
  </si>
  <si>
    <t>HOBOKEN</t>
  </si>
  <si>
    <t>111 RIVER ST, HOBOKEN 07030-5774, NJ USA</t>
  </si>
  <si>
    <t>0260-437X</t>
  </si>
  <si>
    <t>1099-1263</t>
  </si>
  <si>
    <t>J APPL TOXICOL</t>
  </si>
  <si>
    <t>J. Appl. Toxicol.</t>
  </si>
  <si>
    <t>APR</t>
  </si>
  <si>
    <t>10.1002/jat.2550020208</t>
  </si>
  <si>
    <t>Toxicology</t>
  </si>
  <si>
    <t>Science Citation Index Expanded (SCI-EXPANDED)</t>
  </si>
  <si>
    <t>VI3XO</t>
  </si>
  <si>
    <t>2024-09-15</t>
  </si>
  <si>
    <t>WOS:000481577900007</t>
  </si>
  <si>
    <t>Yarsan, E; Baskaya, R; Yildiz, A; Altintas, L; Yesilot, S</t>
  </si>
  <si>
    <t>Yarsan, Ender; Baskaya, Ruhtan; Yildiz, Ahmet; Altintas, Levent; Yesilot, Serdar</t>
  </si>
  <si>
    <t>Copper, lead, cadmium and mercury concentrations in the mussel elliptio</t>
  </si>
  <si>
    <t>BULLETIN OF ENVIRONMENTAL CONTAMINATION AND TOXICOLOGY</t>
  </si>
  <si>
    <t>FISH; METALS; CD; PB</t>
  </si>
  <si>
    <t>As the marine pollution increases world wide, control strategies and routine monitoring of contaminants in the marine environment are more required. Although their impact has no visible influence comparing to other pollutants heavy metal pollution can cause long-term effects on ecosystems. The bioaccumulation of contaminants in the tissues and the organs of marine organisms has been extensively studied throughout the world and led to the adoption of the bioindicator concept for the environmental quality assessment. Mussels are recognized as pollution bioindicator organisms as they accumulate pollutants in their tissues at elevated levels in relation to pollutant biological availability in the marine environment ( Bat et al. 1999; Machado et al. 1999; Vos and Hovens 1986). Trace metals including chromium, cobalt, copper, iron, manganese, molybdenum, vanadium, strontium and zinc exist naturally in the environment and they are essential elements for living organisms. However, some trace metals such as mercury, lead and cadmium are not required for metabolic activity and can be toxic even at quite low concentrations (Cetinkaya 1996; Topcuoglu 2002). Yenikapi and Anadolu Kavagi are two different regions in Marmara Sea; it is connected through the Bosporus on the northeast with the Black sea and through the Dardanelles on the southwest with the Aegean Sea. It is 280 km long from northeast to southwest and nearly 80 km wide at its greatest with marine life in the Marmara Sea heavily threatened by habitat degredation mostly due to human activities (Taramelli 2005), such as fisheries, ship traffic, water pollution and coastal anthropization. The present study deals with the use of Elliptio buckleyi Lea, 1843 as a bioindicator of heavy metals ( copper, lead, cadmium and mercury) contamination in marine ecosystem (Yenikapi and Anadolu Kavagi, Marmara Sea, Turkey; Fig. 1).</t>
  </si>
  <si>
    <t>Ankara Univ, Dept Pharmacol &amp; Toxicol, Fac Vet Med, TR-06110 Ankara, Turkey; Army Commandership 1st, A Type Food Control Detachment Command, TR-34012 Istanbul, Turkey</t>
  </si>
  <si>
    <t>Ankara University; Turkish Land Forces</t>
  </si>
  <si>
    <t>Yarsan, E (corresponding author), Ankara Univ, Dept Pharmacol &amp; Toxicol, Fac Vet Med, TR-06110 Ankara, Turkey.</t>
  </si>
  <si>
    <t>yarsan@veterinary.ankara.edu.tr</t>
  </si>
  <si>
    <t>ALTINTAŞ, Levent/T-6703-2018; Yarsan, Ender/AAG-1809-2020</t>
  </si>
  <si>
    <t>ALTINTAS, Levent/0000-0002-5148-723X</t>
  </si>
  <si>
    <t>SPRINGER</t>
  </si>
  <si>
    <t>NEW YORK</t>
  </si>
  <si>
    <t>ONE NEW YORK PLAZA, SUITE 4600, NEW YORK, NY, UNITED STATES</t>
  </si>
  <si>
    <t>0007-4861</t>
  </si>
  <si>
    <t>1432-0800</t>
  </si>
  <si>
    <t>B ENVIRON CONTAM TOX</t>
  </si>
  <si>
    <t>Bull. Environ. Contam. Toxicol.</t>
  </si>
  <si>
    <t>AUG</t>
  </si>
  <si>
    <t>10.1007/s00128-007-9166-y</t>
  </si>
  <si>
    <t>Environmental Sciences; Toxicology</t>
  </si>
  <si>
    <t>Environmental Sciences &amp; Ecology; Toxicology</t>
  </si>
  <si>
    <t>208CL</t>
  </si>
  <si>
    <t>WOS:000249297300020</t>
  </si>
  <si>
    <t>Gundacker, C</t>
  </si>
  <si>
    <t>Tissue-specific heavy metal (Cd, Pb, Cu, Zn) deposition in a natural population of the zebra mussel Dreissena polymorpha pallas.</t>
  </si>
  <si>
    <t>CHEMOSPHERE</t>
  </si>
  <si>
    <t>Dreissena polymorpha; byssus; cadmium; lead; copper; zinc</t>
  </si>
  <si>
    <t>MYTILUS-EDULIS; AQUATIC MOSS; WATER; ACCUMULATION; POLLUTION; CADMIUM; RIVER; BIOACCUMULATION; COPPER</t>
  </si>
  <si>
    <t>The zebra mussel Dreissena polymorpha was tested as an indicator of heavy metal exposure in urban waters of Vienna, Austria. Mussels, two sediment fractions, suspended matter, and filtrate were collected over one annual cycle at five sampling stations. Dreissena was dissected into five body parts: viscera, gill, foot, byssus, and shell, to determine tissue-specific metal accumulation. Cadmium, lead, copper, and zinc were measured by AAS. There was no clear relationship between (relatively low) metal concentrations in ambient compartments and in zebra mussel bodies. Therefore, D. polymorpha must be regarded as a poor suitable indicator tool under near-background contamination situations. Tissue-specific metal accumulation showed that cadmium was mainly stored in soft body parts. Lead, copper, and zinc showed significantly highest concentrations in the byssal threads. Metal concentrations and distribution patterns within the mussel's body must be interpreted as a result of(unknown) internal metal treatment/regulation. Excretion of lead, copper, and zinc via the byssus complex probably is an effective strategy for preventing toxic injury in D. polymorpha. (C) 1999 Elsevier Science Ltd. All rights reserved.</t>
  </si>
  <si>
    <t>Univ Vienna, Inst Med Biol, Lab Okophysiol &amp; Okotoxikol, A-1090 Vienna, Austria</t>
  </si>
  <si>
    <t>University of Vienna</t>
  </si>
  <si>
    <t>Gundacker, C (corresponding author), Univ Vienna, Inst Med Biol, Lab Okophysiol &amp; Okotoxikol, Schwarzspanierstr 17, A-1090 Vienna, Austria.</t>
  </si>
  <si>
    <t>claudia.gundacker@univie.ac.at</t>
  </si>
  <si>
    <t>Gundacker, Claudia/0000-0003-4093-3780</t>
  </si>
  <si>
    <t>PERGAMON-ELSEVIER SCIENCE LTD</t>
  </si>
  <si>
    <t>OXFORD</t>
  </si>
  <si>
    <t>THE BOULEVARD, LANGFORD LANE, KIDLINGTON, OXFORD OX5 1GB, ENGLAND</t>
  </si>
  <si>
    <t>0045-6535</t>
  </si>
  <si>
    <t>1879-1298</t>
  </si>
  <si>
    <t>Chemosphere</t>
  </si>
  <si>
    <t>JUN</t>
  </si>
  <si>
    <t>10.1016/S0045-6535(98)00567-0</t>
  </si>
  <si>
    <t>Environmental Sciences</t>
  </si>
  <si>
    <t>Environmental Sciences &amp; Ecology</t>
  </si>
  <si>
    <t>191CZ</t>
  </si>
  <si>
    <t>WOS:000080005200012</t>
  </si>
  <si>
    <t>de Astudillo, LR; Yen, IC; Bekele, I</t>
  </si>
  <si>
    <t>Heavy metals in sediments, mussels and oysters from Trinidad and Venezuela</t>
  </si>
  <si>
    <t>REVISTA DE BIOLOGIA TROPICAL</t>
  </si>
  <si>
    <t>Article; Proceedings Paper</t>
  </si>
  <si>
    <t>31th Annual Scientific Meeting of the Association-of-Marine-Laboratories-of-the-Caribbean (AMLC)</t>
  </si>
  <si>
    <t>JUL 14-18, 2003</t>
  </si>
  <si>
    <t>Port of Spain, TRINID &amp; TOBAGO</t>
  </si>
  <si>
    <t>heavy metals; sediments; oysters; mussels; Gulf of Paria</t>
  </si>
  <si>
    <t>SUBMARINE SEWAGE OUTFALL; TRACE-METALS; CRASSOSTREA-VIRGINICA; CHEMICAL CONCENTRATIONS; MERCURY CONTAMINATION; MULTIVARIATE-ANALYSIS; AMERICAN OYSTER; DISCHARGE ZONE; PERNA-VIRIDIS; MARINE</t>
  </si>
  <si>
    <t>The Gulf of Paria is bordered by both Trinidad and Venezuela, from which various metallic pollutants and other contaminants can originate. The Gulf is still a significant source of fish, crabs and shellfish for human consumption to both countries, where concerns over the quality of this marine environment have been long expressed but never property addressed. In addition, the circulatory current patterns in the Gulf ensure that contaminants originating from either country are likely to affect both countries eventually. Heavy metals were determined in oysters (Crassostrea rhizophorae and C. virginica), green mussels (Perna viridis) and sediments from the Gulf of Paria. Samples were obtained at four sites in Trinidad and three sites in Venezuela in the Gulf of Paria, in addition to comparative samples collected from three sites on the north coast of Venezuela. Edible tissues of twelve shellfish from each location were blended and aliquots digested with concentrated nitric acid, for extraction of cadmium, chromium, copper, lead, nickel and zinc. The solutions were analysed by flame atomic absorption spectroscopy. Mercury was extracted with a mixture of nitric, hydrochloric and sulphuric acids and determined by cold vapour atomic absorption. Sediments were oven-dried at 60 degrees C, before being similarly extracted. Results showed that mercury in sediments at all sites in Trinidad and Venezuela exceeded NOAA and Canadian sediment quality guidelines, while cadmium, copper, nickel, lead and zinc also exceeded these guidelines at several sites. Heavy metal levels in oysters and green mussels varied widely with location. However, oysters from the Gulf of Paria contained significantly higher mean levels of cadmium, copper, nickel and zinc than those from the north coast of Venezuela, but this difference was not apparent in mussels. Cadmium, mercury and zinc in sediments were significantly correlated with those of mussels, but not of oysters, in which copper and zinc at several sites in the Gulf of Paria exceeded local maximum permissible levels (Cu = 20 mu g g(-1) wet wt; Zn = 50 mu g g(-1) wet wt) for human consumption. These findings indicate that while mussels may be better biological indicators of heavy metal pollution in sediments than oysters, the latter may provide copper and zinc contamination. Further research is needed to determine the most appropriate biological indicators of heavy metal and other pollutants in the local marine environment and to develop protocols for their use.</t>
  </si>
  <si>
    <t>Univ Oriente, Dept Chem, Nucleo Sucre, Cumana, Venezuela; Univ W Indies, Dept Chem, St Augustine, Trinidad Tobago; Univ W Indies, Dept Food Prod, St Augustine, Trinidad Tobago</t>
  </si>
  <si>
    <t>University West Indies Mona Jamaica; University West Indies Saint Augustine; University West Indies Mona Jamaica; University West Indies Saint Augustine</t>
  </si>
  <si>
    <t>Univ Oriente, Dept Chem, Nucleo Sucre, Cumana, Venezuela.</t>
  </si>
  <si>
    <t>lrojas40@yahoo.com</t>
  </si>
  <si>
    <t>Rojas de Astudillo, Luisa/B-5620-2019</t>
  </si>
  <si>
    <t>Rojas de Astudillo, Luisa/0000-0001-6667-1673</t>
  </si>
  <si>
    <t>SAN JOSE</t>
  </si>
  <si>
    <t>UNIVERSIDAD DE COSTA RICA CIUDAD UNIVERSITARIA, SAN JOSE, 00000, COSTA RICA</t>
  </si>
  <si>
    <t>0034-7744</t>
  </si>
  <si>
    <t>2215-2075</t>
  </si>
  <si>
    <t>REV BIOL TROP</t>
  </si>
  <si>
    <t>Rev. Biol. Trop.</t>
  </si>
  <si>
    <t>MAY</t>
  </si>
  <si>
    <t>Biology</t>
  </si>
  <si>
    <t>Science Citation Index Expanded (SCI-EXPANDED); Conference Proceedings Citation Index - Science (CPCI-S)</t>
  </si>
  <si>
    <t>Life Sciences &amp; Biomedicine - Other Topics</t>
  </si>
  <si>
    <t>945JN</t>
  </si>
  <si>
    <t>WOS:000230498900006</t>
  </si>
  <si>
    <t>Bakary, I; Yao, KM; Etchian, OA; Soro, MB; Trokourey, A; Bokra, Y</t>
  </si>
  <si>
    <t>Bakary, Inza; Yao, Koffi Marcellin; Etchian, Olivier Assoi; Soro, Metongo Bernard; Trokourey, Albert; Bokra, Yobou</t>
  </si>
  <si>
    <t>Zinc, copper, cadmium, and lead concentrations in water, sediment, and Anadara senilis in a tropical estuary</t>
  </si>
  <si>
    <t>ENVIRONMENTAL MONITORING AND ASSESSMENT</t>
  </si>
  <si>
    <t>Heavy metals; Pollution; Water; Sediment; Molluscs</t>
  </si>
  <si>
    <t>TRACE-METAL CONTAMINATION; SURFACE SEDIMENTS; HEAVY-METALS; BAY; ECOSYSTEMS; RIVER; ZONE; HG</t>
  </si>
  <si>
    <t>Spatial and seasonal contaminations of zinc, copper, cadmium, and lead were assessed simultaneously in water, sediment, and in the bivalve Arca senilis from the Milliardaires Bay (Cote d'Ivoire) between February and October 2008. The metal load in sediments doubled from the dry season to the rainy season. On the contrary, metal concentrations in waters decreased significantly from the dry season to the rainy season. Zn and Pb concentrations in A. senilis showed similar seasonal variation with sediments. On the other hand, A. senilis regulated Cu concentrations by eliminating about twelve times the concentration accumulated during the dry season. Apparent Zn, Cu, Cd, and Pb concentration gradients were observed, but no significant differences between stations for sediment, water, and A. senilis. Concentrations in sediment increased from stations close to Abidjan Harbor towards farther stations, while concentrations in A. senilis showed a reverse gradient. The distribution gradient of A. senilis indicates pollution from local sources, but a transplant experiment is needed to better understand the observed spatial trend. Zn and Cu concentrations may pose little risk to human health and the environment, but they are the highest on the regional scale. On the contrary, Cd and Pb concentrations in A. senilis exceeded the maximum allowable limits set by the European Commission. Complementary studies including chemical speciation should be considered to provide a more accurate assessment of the risk of heavy metals to the environment.</t>
  </si>
  <si>
    <t>[Bakary, Inza; Yao, Koffi Marcellin; Soro, Metongo Bernard] Ctr Rech Oceanol, Abidjan, Cote Ivoire; [Etchian, Olivier Assoi] Univ Nangui Abrogoua, Lab Biol &amp; Cytol Anim, Abidjan 02, Cote Ivoire; [Trokourey, Albert; Bokra, Yobou] Univ Felix Houphouet Boigny, Chim Phys Lab, Abidjan, Cote Ivoire</t>
  </si>
  <si>
    <t>Universite Nangui Abrogoua; Universite Felix Houphouet-Boigny</t>
  </si>
  <si>
    <t>Yao, KM (corresponding author), Ctr Rech Oceanol, BP V18, Abidjan, Cote Ivoire.</t>
  </si>
  <si>
    <t>markcelklindr@gmail.com</t>
  </si>
  <si>
    <t>Yao, Koffi/W-6948-2019</t>
  </si>
  <si>
    <t>Yao, Koffi Marcellin/0000-0002-7520-2585</t>
  </si>
  <si>
    <t>Ministere de l'Enseignement Superieur et de la Recherche Scientifique (Cote d'Ivoire)</t>
  </si>
  <si>
    <t>The help of Dr. Carl H. Lamborg for the improvement of this manuscript was greatly appreciated. Authors thank Mary Zawoysky and Adiari I. Vazquez-Rodriguez for improving the edits. This work is part of the Ministere de l'Enseignement Superieur et de la Recherche Scientifique (Cote d'Ivoire) supported Institutional Project (Plan quinquennal). This article bears CRO contribution BGF, chapter 600.</t>
  </si>
  <si>
    <t>DORDRECHT</t>
  </si>
  <si>
    <t>VAN GODEWIJCKSTRAAT 30, 3311 GZ DORDRECHT, NETHERLANDS</t>
  </si>
  <si>
    <t>0167-6369</t>
  </si>
  <si>
    <t>1573-2959</t>
  </si>
  <si>
    <t>ENVIRON MONIT ASSESS</t>
  </si>
  <si>
    <t>Environ. Monit. Assess.</t>
  </si>
  <si>
    <t>DEC</t>
  </si>
  <si>
    <t>10.1007/s10661-015-4976-6</t>
  </si>
  <si>
    <t>CX7HA</t>
  </si>
  <si>
    <t>WOS:000365871600037</t>
  </si>
  <si>
    <t>Wang, LF; Wang, XF; Chen, HG; Wang, ZH; Jia, XP</t>
  </si>
  <si>
    <t>Wang, Lifei; Wang, Xuefeng; Chen, Haigang; Wang, Zenghuan; Jia, Xiaoping</t>
  </si>
  <si>
    <t>Oyster arsenic, cadmium, copper, mercury, lead and zinc levels in the northern South China Sea: long-term spatiotemporal distributions, combined effects, and risk assessment to human health</t>
  </si>
  <si>
    <t>ENVIRONMENTAL SCIENCE AND POLLUTION RESEARCH</t>
  </si>
  <si>
    <t>Environmental conservation; Hazard index; Health risk assessment; Metal pollution index; Oyster seafood safety</t>
  </si>
  <si>
    <t>HEAVY-METALS; MARINE SEDIMENT; COASTAL; CONSUMPTION; EXPOSURE; CONTAMINATION; POLLUTION; SEAFOOD; FISH; BAY</t>
  </si>
  <si>
    <t>Estuarine and coastal ecosystems are often considered vulnerable due to the complex biogeochemical processes and the human disturbances through a variety of pollution. Among environmental contaminants, heavy metals in estuarine and coastal ecosystems have been of increasing concern in environmental conservation. Long-term exposure to heavy metal contamination, mainly through food and water, could be harmful to human health. It is therefore critical to understand the quantitative comparisons and combined effects of different heavy metals in common seafood species, such as oysters. This work studied the long-term spatiotemporal trends and health risk assessment of oyster arsenic (As), cadmium (Cd), copper (Cu), mercury (Hg), lead (Pb), and zinc (Zn) levels in the coastal waters of northern South China Sea. Cultured oysters (Crassostrea rivularis) from 23 estuaries and harbors in the coastal areas of northern South China Sea in 1989-2015 were analyzed for the spatiotemporal trends of the six heavy metal levels. Metal pollution index (MPI), target hazard quotient (THQ), and hazard index (HI) were used for quantifying the exposure of the six heavy metals to human health through oyster consumption. Principal component analysis (PCA) was used for assessing the relative importance of the six metals in oyster heavy metal distribution patterns in the northern South China Sea. Overall, the As, Cd, Cu, Hg, Pb, and Zn levels in oysters from the northern South China Sea generally declined from 1989 to 2015, stayed relatively high (MPI = 2.42-3.68) during 1989-2000, gradually decreased since 2000, and slightly increased after 2010. Oyster heavy metal levels were highest in the Pearl River Estuary (MPI = 1.20-5.52), followed by west Guangdong and east Guangdong, Guangxi, and Hainan coastal waters. This pattern is probably because economics and industry around the Pearl River Estuary have been growing faster than the other areas of this work in the recent two decades, and it should be taken as a hotspot for the monitoring of seafood safety in southern China. Principal component analysis indicated that Cu, Zn, and Cd were the most important metals in the long-term distributions of oyster heavy metal levels in the northern South China Sea. Health risk assessment suggested that the risk of the six heavy metals exposure through oyster consumption were relatively high during 1989-2005 (THQ = 1.01-5.82), significantly decreased since 2005 (THQ &lt; 1), and slightly increased after 2010.</t>
  </si>
  <si>
    <t>[Wang, Lifei; Wang, Xuefeng] Guangdong Ocean Univ, Coll Fisheries, Zhanjiang 524088, Guangdong, Peoples R China; [Wang, Lifei] Univ Toronto Scarborough, Dept Biol Sci, Toronto, ON M1C 1A4, Canada; [Wang, Xuefeng] Southern Marine Sci &amp; Engn Guangdong Lab Zhanjian, Zhanjiang 524025, Guangdong, Peoples R China; [Chen, Haigang; Wang, Zenghuan; Jia, Xiaoping] Chinese Acad Fishery Sci, South China Sea Fisheries Res Inst, Key Lab Fishery Ecol &amp; Environm, Guangzhou 510300, Guangdong, Peoples R China</t>
  </si>
  <si>
    <t>Guangdong Ocean University; University of Toronto; University Toronto Scarborough; Southern Marine Science &amp; Engineering Guangdong Laboratory; Southern Marine Science &amp; Engineering Guangdong Laboratory (Zhanjiang); Chinese Academy of Fishery Sciences; South China Sea Fisheries Research Institute, CAFS</t>
  </si>
  <si>
    <t>Wang, LF; Wang, XF (corresponding author), Guangdong Ocean Univ, Coll Fisheries, Zhanjiang 524088, Guangdong, Peoples R China.;Wang, LF (corresponding author), Univ Toronto Scarborough, Dept Biol Sci, Toronto, ON M1C 1A4, Canada.;Wang, XF (corresponding author), Southern Marine Sci &amp; Engn Guangdong Lab Zhanjian, Zhanjiang 524025, Guangdong, Peoples R China.</t>
  </si>
  <si>
    <t>lifei.wang@utoronto.ca; xuefeng1999@126.com</t>
  </si>
  <si>
    <t>chen, haigang/HCH-8977-2022; Wang, Lifei/AAB-4708-2020</t>
  </si>
  <si>
    <t>Wang, Lifei/0000-0003-2530-6703</t>
  </si>
  <si>
    <t>Southern Marine Science and Engineering Guangdong Laboratory (Zhanjiang) [ZJW-2019-06]; National Key Research and Development Program of China [2020YFD0901103]</t>
  </si>
  <si>
    <t>Southern Marine Science and Engineering Guangdong Laboratory (Zhanjiang); National Key Research and Development Program of China(National Key Research &amp; Development Program of China)</t>
  </si>
  <si>
    <t>This work was supported by the Southern Marine Science and Engineering Guangdong Laboratory (Zhanjiang) (ZJW-2019-06) and the National Key Research and Development Program of China (2020YFD0901103).</t>
  </si>
  <si>
    <t>SPRINGER HEIDELBERG</t>
  </si>
  <si>
    <t>HEIDELBERG</t>
  </si>
  <si>
    <t>TIERGARTENSTRASSE 17, D-69121 HEIDELBERG, GERMANY</t>
  </si>
  <si>
    <t>0944-1344</t>
  </si>
  <si>
    <t>1614-7499</t>
  </si>
  <si>
    <t>ENVIRON SCI POLLUT R</t>
  </si>
  <si>
    <t>Environ. Sci. Pollut. Res.</t>
  </si>
  <si>
    <t>FEB</t>
  </si>
  <si>
    <t>SI</t>
  </si>
  <si>
    <t>10.1007/s11356-021-18150-6</t>
  </si>
  <si>
    <t>JAN 2022</t>
  </si>
  <si>
    <t>YS9OA</t>
  </si>
  <si>
    <t>WOS:000740587300025</t>
  </si>
  <si>
    <t>Chan, KM</t>
  </si>
  <si>
    <t>Concentrations of copper, zinc, cadmium and lead in rabbitfish (Siganus oramin) collected in Victoria Harbour, Hong Kong</t>
  </si>
  <si>
    <t>MARINE POLLUTION BULLETIN</t>
  </si>
  <si>
    <t>International Conference on Marine Pollution and Ecotoxicology</t>
  </si>
  <si>
    <t>JAN 22-26, 1995</t>
  </si>
  <si>
    <t>HONG KONG, HONG KONG</t>
  </si>
  <si>
    <t>TRACE-METALS; COASTAL WATERS; ORGANOCHLORINES; INDICATOR; MUSSELS</t>
  </si>
  <si>
    <t>The urban area of Hong Kong supports a population of about 4 million people, with an annual production of several hundred million tonnes of untreated domestic and industrial effluent. This causes significant marine pollution problems in Victoria Harbour. Moreover, urban runoff also brings pollutants to Victoria Harbour, This paper presents preliminary data on the concentrations of heavy metals from different parts of the rabbitfish (Siganus oramin) taken from Hung Hem, Wan Chai and the Central Ferry Pier, close to urban and sewage outfalls in Victoria Harbour, from June to September 1983, Metal concentrations in the seawaters and from the gills, viscera, vertebrae and muscle were determined by atomic absorption spectrophotometry. Concentrations of copper, zinc and lead in the muscle were found to be the lowest in the muscle as compared with other parts of the body (cadmium concentrations were similar in muscle and viscera), but concentrations were nevertheless still high (mean+/-SD, dry weight): 5.7+/-4.0 ppm for copper, 66.6+/-31.8 ppm for zinc, 3.3+/-1.1 ppm for cadmium and 19.1+/-6.3 ppm for lead, Cadmium and lead concentrations in the rabbitfish samples of this study were significantly higher than those previously reported in fish from the nearby Pearl River estuary.</t>
  </si>
  <si>
    <t>CHINESE UNIV HONG KONG, DEPT BIOCHEM, SHA TIN, HONG KONG.</t>
  </si>
  <si>
    <t>Chan, King Ming/0000-0003-4761-7844</t>
  </si>
  <si>
    <t>0025-326X</t>
  </si>
  <si>
    <t>1879-3363</t>
  </si>
  <si>
    <t>MAR POLLUT BULL</t>
  </si>
  <si>
    <t>Mar. Pollut. Bull.</t>
  </si>
  <si>
    <t>APR-DEC</t>
  </si>
  <si>
    <t>4-12</t>
  </si>
  <si>
    <t>10.1016/0025-326X(95)00136-B</t>
  </si>
  <si>
    <t>Environmental Sciences; Marine &amp; Freshwater Biology</t>
  </si>
  <si>
    <t>Environmental Sciences &amp; Ecology; Marine &amp; Freshwater Biology</t>
  </si>
  <si>
    <t>TM842</t>
  </si>
  <si>
    <t>WOS:A1995TM84200018</t>
  </si>
  <si>
    <t>Julshamn, K; Torpe, EK; Bornes, C; Sæthre, LJ; Maage, A</t>
  </si>
  <si>
    <t>Cadmium, lead, copper and zinc in blue mussels (Mytilus edulis) sampled in the Hardangerfjord, Norway</t>
  </si>
  <si>
    <t>JOURNAL OF ENVIRONMENTAL MONITORING</t>
  </si>
  <si>
    <t>HEAVY-METAL POLLUTION; HARBOR</t>
  </si>
  <si>
    <t>Cadmium. lead, copper and zinc were determined in the soft tissues of blue mussels (Mytilus edulis) sampled from four locations along the Hardangerfjord in western Norway. A source of pollution is located at the head of the fjord and the sampling was performed at various distances from this source. The results obtained in this study (1998) were compared with results from similar studies carried out in 1983 and 1992. The mean cadmium concentrations in blue mussels sampled at Mage (13 km from the source of pollution) were approximately 18 mg kg(-1) fresh weight in 1983, 2.4 mg kg(-1) fresh weight in 1992 and 1.1 mg kg(-1) fresh weight in 1998. The mean cadmium concentrations in blue mussels sampled at Varaldsoy (105 km from the source of pollution) were approximately 5 mg kg(-1) fresh weight in 1983, 0.5 mg kg(-1) fresh weight in. 1992 and 0.4 mg kg(-1) fresh weight in 1998. The mean lead concentration in blue mussels sampled at Mage was 140 mg kg(-1) fresh weight in 1983. The mean lead concentrations in 1992 and 1998 had decreased to 6 and 3 mg kg(-1) fresh weight, respectively. The mean lead concentrations in blue mussels from Gravdal were 15 mg kg(-1) fresh weight in 1982, 1 mg kg(-1) in 1992 and less than 1 mg kg(-1) fresh weight in 1998. The mean copper concentrations in blue mussels were relatively constant over this period at all locations, with a variation between 0.6 and 1.2-mg kg(-1) fresh weight. The mean zinc concentration in blue mussels sampled at Mage decreased from 120 to 30 mg kg(-1) fresh weight in the period between 1983 and 1998.</t>
  </si>
  <si>
    <t>Directorate Fisheries, Inst Nutr, NO-5804 Bergen, Norway; Univ Bergen, Dept Chem, NO-5007 Bergen, Norway; Alex Stewart Environm Serv AS, NO-5750 Odda, Norway</t>
  </si>
  <si>
    <t>University of Bergen</t>
  </si>
  <si>
    <t>Julshamn, K (corresponding author), Directorate Fisheries, Inst Nutr, POB 185, NO-5804 Bergen, Norway.</t>
  </si>
  <si>
    <t>Maage, Amund/AAH-6421-2021</t>
  </si>
  <si>
    <t>Maage, Amund/0000-0002-2772-5752</t>
  </si>
  <si>
    <t>ROYAL SOC CHEMISTRY</t>
  </si>
  <si>
    <t>CAMBRIDGE</t>
  </si>
  <si>
    <t>THOMAS GRAHAM HOUSE, SCIENCE PARK, MILTON RD,, CAMBRIDGE CB4 0WF, CAMBS, ENGLAND</t>
  </si>
  <si>
    <t>1464-0325</t>
  </si>
  <si>
    <t>J ENVIRON MONITOR</t>
  </si>
  <si>
    <t>J. Environ. Monit.</t>
  </si>
  <si>
    <t>OCT</t>
  </si>
  <si>
    <t>10.1039/b103047g</t>
  </si>
  <si>
    <t>Chemistry, Analytical; Environmental Sciences</t>
  </si>
  <si>
    <t>Chemistry; Environmental Sciences &amp; Ecology</t>
  </si>
  <si>
    <t>485ZZ</t>
  </si>
  <si>
    <t>WOS:000171794600019</t>
  </si>
  <si>
    <t>Gagnaire, B; Thomas-Guyon, H; Renault, T</t>
  </si>
  <si>
    <t>In vitro effects of cadmium and mercury on Pacific oyster, Crassostrea gigas (Thunberg), haemocytes</t>
  </si>
  <si>
    <t>FISH &amp; SHELLFISH IMMUNOLOGY</t>
  </si>
  <si>
    <t>Crassostrea gigas; haemocytes; flow cytometry; cadmium; mercury; phenoloxidase; cellular activities; toxicity</t>
  </si>
  <si>
    <t>MUSSEL MYTILUS-EDULIS; EUROPEAN FLAT OYSTER; MARINE MUSSEL; HEAVY-METALS; AMINOPEPTIDASE INHIBITOR; PHENOLOXIDASE ACTIVITY; AMERICAN OYSTER; OSTREA-EDULIS; VENICE LAGOON; VIRGINICA</t>
  </si>
  <si>
    <t>In the past decades. shellfish culture has developed in a significant way around the world. However, culture areas are Often Subject to recurring anthropic pollution. The recrudescent presence of industrial wastes is a source of heavy metals and results ill pollutant transfer towards the aquatic environment in estuarine areas. Because of their mode of life. bivalves. including Mussels and oysters. are suggested as ideal indicator organisms. The development of techniques allowing the analysis of the effects of Pollutants on bivalve biology may lead to the monitoring of pollutant transfer in estuarine areas. in this context. the effects of cadmium and mercury On defence mechanisms were analysed in Pacific oysters. Crassostrea gigas. Pollutant effects were tested in vitro oil oyster haemocytes. Cell viability and enzymatic activities (esterase. peroxidase. aminopeptidase, phagocytosis activities) were monitored by flow cytometry. Enzymatic phenoloxidase-like activity was also evaluated by spectrophotometry. High pollutant concentrations were used in order to detect the acute effect and to approach real Pollutant concentrations existing ill animal tissues. Cadmium induced no effect on oyster haemocytes under the tested conditions. On the contrary, mercury caused a significant haemocyte mortality after a 24 It in vitro incubation. Aminopeptidase positive cell percentage was enhanced by the pollutant, and phenoloxidase-like activity was inhibited. These in vitro results show that mercury may be expected to have tit impact oil bivalve immune functions in contaminated areas. (C) 2003 Elsevier Ltd. All rights reserved.</t>
  </si>
  <si>
    <t>IFREMER, LPG, F-17390 La Tremblade, France; Univ La Rochelle, LBEM, F-17042 La Rochelle, France</t>
  </si>
  <si>
    <t>Ifremer; La Rochelle Universite</t>
  </si>
  <si>
    <t>IFREMER, LPG, F-17390 La Tremblade, France.</t>
  </si>
  <si>
    <t>trenault@ifremer.fr</t>
  </si>
  <si>
    <t>RENAULT, Tristan/H-6405-2011; THOMAS, Helene/JZW-5193-2024</t>
  </si>
  <si>
    <t>Gagnaire, Beatrice/0000-0003-4865-9544; THOMAS, Helene/0000-0002-7932-6841</t>
  </si>
  <si>
    <t>ACADEMIC PRESS LTD- ELSEVIER SCIENCE LTD</t>
  </si>
  <si>
    <t>LONDON</t>
  </si>
  <si>
    <t>24-28 OVAL RD, LONDON NW1 7DX, ENGLAND</t>
  </si>
  <si>
    <t>1050-4648</t>
  </si>
  <si>
    <t>1095-9947</t>
  </si>
  <si>
    <t>FISH SHELLFISH IMMUN</t>
  </si>
  <si>
    <t>Fish Shellfish Immunol.</t>
  </si>
  <si>
    <t>10.1016/j.fsi.2003.08.007</t>
  </si>
  <si>
    <t>Fisheries; Immunology; Marine &amp; Freshwater Biology; Veterinary Sciences</t>
  </si>
  <si>
    <t>813QU</t>
  </si>
  <si>
    <t>WOS:000220922400004</t>
  </si>
  <si>
    <t>Blackmore, G; Morton, B</t>
  </si>
  <si>
    <t>The influence of diet on comparative trace metal cadmium, copper and zinc accumulation in Thais clavigera (Gastropoda: Muricidae) preying on intertidal barnacles or mussels</t>
  </si>
  <si>
    <t>Thais clavigera; cadmium; copper; zinc; dietary transfer; Hong kong</t>
  </si>
  <si>
    <t>MARINE FOOD-CHAINS; HONG-KONG; NUCELLA-LAPILLUS; COASTAL WATERS; GRANULES; BIOACCUMULATION; FIELD</t>
  </si>
  <si>
    <t>The influence of diet on comparative metal accumulation was investigated using a predatory muricid gastropod Thais clavigera. Individuals were fed for up to 56 days on either barnacles, i.e., Tetraclita squamosa, or mussels, i.e., Perna viridis, collected from metal-contaminated and clean sites. Barnacles and mussels have contrasting metal handling strategies and, therefore, different body concentrations, intracellular distributions and detoxification systems. Field collection of prey items that accumulated body metal concentrations over a lifetime of exposure allowed bioavailability to the predator, T clavigera, to be assessed naturally, which may not be the case for prey exposed to metals for a short time in the laboratory. T clavigera that was fed cadmium- and copper-contaminated barnacles or mussels ingested significantly greater amounts compared to those fed conspecifics collected from clean locations. T clavigera body cadmium and copper concentrations were not, however, significantly different between individuals fed either contaminated or clean prey. Amount of zinc ingested was similar in mussels collected from clean and contaminated environments but much less when compared to the barnacle prey. The body concentrations of zinc in T clavigera fed mussels collected from both sites fell. In contrast, the amount of zinc ingested from barnacle prey was significantly greater from those collected from the metal-contaminated site as compared to the clean one. This was reflected as significantly greater body zinc concentrations in T clavigera fed contaminated barnacles compared to those fed clean individuals. Copper and zinc accumulation from prey was, therefore, complex. It varied between metal and between prey type, but appeared to be related to the amount ingested and the metal handling strategy of the prey. (C) 2002 Published by Elsevier Science Ltd.</t>
  </si>
  <si>
    <t>Hong Kong Univ Sci &amp; Technol, Dept Biol, Kowloon, Hong Kong, Peoples R China; Univ Hong Kong, Swire Inst Marine Sci, Hong Kong, Hong Kong, Peoples R China; Univ Hong Kong, Dept Ecol &amp; Biodivers, Hong Kong, Hong Kong, Peoples R China</t>
  </si>
  <si>
    <t>Hong Kong University of Science &amp; Technology; University of Hong Kong; University of Hong Kong</t>
  </si>
  <si>
    <t>Hong Kong Univ Sci &amp; Technol, Dept Biol, Kowloon, Hong Kong, Peoples R China.</t>
  </si>
  <si>
    <t>grahamb@ust.hk</t>
  </si>
  <si>
    <t>SEP</t>
  </si>
  <si>
    <t>PII S0025-326X(02)00089-9</t>
  </si>
  <si>
    <t>10.1016/S0025-326X(02)00089-9</t>
  </si>
  <si>
    <t>599XV</t>
  </si>
  <si>
    <t>WOS:000178361200014</t>
  </si>
  <si>
    <t>Munksgaard, NC; Burchert, S; Kaestli, M; Nowland, SJ; O'Connor, W; Gibb, KS</t>
  </si>
  <si>
    <t>Munksgaard, Niels C.; Burchert, Shannon; Kaestli, Mirjam; Nowland, Samantha J.; O'Connor, Wayne; Gibb, Karen S.</t>
  </si>
  <si>
    <t>Cadmium uptake and zinc-cadmium antagonism in Australian tropical rock oysters: Potential solutions for oyster aquaculture enterprises</t>
  </si>
  <si>
    <t>Oysters; Aquaculture; Cadmium; Zinc; Antagonism; Phytoplankton; Northern Territory; Australia</t>
  </si>
  <si>
    <t>CRASSOSTREA-GIGAS; TRACE-METALS; TRICHODESMIUM-ERYTHRAEUM; NORTHERN-TERRITORY; LEAD ISOTOPES; ACCUMULATION; DEPURATION; COASTAL; COPPER; BAY</t>
  </si>
  <si>
    <t>Variable and occasionally high concentrations of cadmium in wild oysters at a remote location with the potential to develop aquaculture enterprises motivated research into the distribution and sources of metals in oysters, seawater, sediment, suspended solids and phytoplankton. Saccostrea mytiloides and Saccostrea mordax contained cadmium concentrations exceeding the food standard maximum level (ML) at three of four sites. At one site with high zinc levels in sediment, oyster cadmium levels were below the ML. Metal levels in seawater were not correlated with cadmium levels in oysters but high cadmium/zinc ratios were measured in Trichodesmittm erythraeum blooms. We suggest that oysters accumulate cadmium mainly from annual phytoplankton blooms except at sites where zinc availability is sufficiently high to prevent uptake though a mechanism of antagonistic exclusion. Knowledge of the source and uptake mechanisms of cadmium in oysters should lead to new management strategies to reduce cadmium levels in farmed oysters.</t>
  </si>
  <si>
    <t>[Munksgaard, Niels C.; Burchert, Shannon; Kaestli, Mirjam; Gibb, Karen S.] Charles Darwin Univ, Res Inst Environm &amp; Livelihoods, Darwin, NT 0909, Australia; [Burchert, Shannon; Nowland, Samantha J.] Northern Terr Govt, Dept Primary Ind &amp; Resources, Aquaculture Unit, Darwin, NT 0801, Australia; [O'Connor, Wayne] Port Stephens Fisheries Inst, NSW Dept Primary Ind, Taylors Beach, NSW 2316, Australia</t>
  </si>
  <si>
    <t>Charles Darwin University; NT Department of Primary Industry &amp; Resources; Northern Territory Government; NSW Department of Primary Industries</t>
  </si>
  <si>
    <t>Munksgaard, NC (corresponding author), Charles Darwin Univ, Res Inst Environm &amp; Livelihoods, Darwin, NT 0909, Australia.</t>
  </si>
  <si>
    <t>niels.munksgaard@cdu.edu.au</t>
  </si>
  <si>
    <t>O'Connor, Wayne/AAL-8097-2020</t>
  </si>
  <si>
    <t>nowland, samantha/0000-0002-7874-9121; O'Connor, Wayne/0000-0002-0972-4668; , Mirjam/0000-0002-6053-5141; Burchert, Shannon/0000-0001-6892-4750</t>
  </si>
  <si>
    <t>Fisheries Research and Development Corporation [2012/223]; Territory Natural Resource Management [NTRM00377]</t>
  </si>
  <si>
    <t>Fisheries Research and Development Corporation; Territory Natural Resource Management</t>
  </si>
  <si>
    <t>This work was supported by the Fisheries Research and Development Corporation (Project Number: 2012/223), Territory Natural Resource Management (Project Number: NTRM00377).</t>
  </si>
  <si>
    <t>OCT 15</t>
  </si>
  <si>
    <t>1-2</t>
  </si>
  <si>
    <t>10.1016/j.marpolbul.2017.09.031</t>
  </si>
  <si>
    <t>FN1UL</t>
  </si>
  <si>
    <t>WOS:000415776600019</t>
  </si>
  <si>
    <t>Julshamn, K; Duinker, A; Nilsen, BM; Nedreaas, K; Maage, A</t>
  </si>
  <si>
    <t>Julshamn, Kaare; Duinker, Arne; Nilsen, Bente M.; Nedreaas, Kjell; Maage, Amund</t>
  </si>
  <si>
    <t>A baseline study of metals in cod (Gadus morhua) from the North Sea and coastal Norwegian waters, with focus on mercury, arsenic, cadmium and lead</t>
  </si>
  <si>
    <t>Arsenic; Mercury; Cadmium; Lead; Cod; North Sea</t>
  </si>
  <si>
    <t>HEAVY-METALS; BARENTS SEA; ARCTIC COD; FISH; NORWAY; SPECTROMETRY; DIGESTION; ATLANTIC; MUSSELS; LENGTH</t>
  </si>
  <si>
    <t>This study is one of several baseline studies that will provide basic and reliable information about the content of undesirable substances in important species of fish caught in Norwegian waters. Concentrations of metals in the muscle and livers of 516 cod caught at 22 positions in the North Sea were analysed. An additional 687 cod were caught from 13 fjords and coastal areas along the coast of Norway. Three out of 1203 samples of muscle exceeded the maximum limit of 0.5 mg Hg kg(-1) wet weight set by the EU for foodstuffs. The mercury concentration in cod muscle was higher and the cadmium concentration in the liver was lower in the North Sea and coastal areas in the southern part of Norway than in the Barents Sea and coastal areas in the northern part of Norway. These differences are perhaps caused by differences in the cod diet. (C) 2013 Elsevier Ltd. All rights reserved.</t>
  </si>
  <si>
    <t>[Julshamn, Kaare; Duinker, Arne; Nilsen, Bente M.; Maage, Amund] Natl Inst Nutr &amp; Seafood Res NIFES, N-5817 Bergen, Norway; [Nedreaas, Kjell] Inst Marine Res, N-5817 Bergen, Norway</t>
  </si>
  <si>
    <t>Institute of Marine Research - Norway</t>
  </si>
  <si>
    <t>Julshamn, K (corresponding author), Natl Inst Nutr &amp; Seafood Res NIFES, POB 2029 Nordnes, N-5817 Bergen, Norway.</t>
  </si>
  <si>
    <t>kaare.julshamn@nifes.no</t>
  </si>
  <si>
    <t>Maage, Amund/AAH-6421-2021; Duinker, Arne/C-2974-2012</t>
  </si>
  <si>
    <t>Maage, Amund/0000-0002-2772-5752; Duinker, Arne/0000-0001-6663-416X</t>
  </si>
  <si>
    <t>Norwegian Seafood Research Fund</t>
  </si>
  <si>
    <t>The authors would like to thank the Norwegian Seafood Research Fund for funding this work. Annette Bjordal, Elin Kronstad, Tonja Lill Eidsvik, Bent Solli, Jorun Haugsnes and Siri Bargaard are acknowledged for their skilful technical assistance, and we would also like to thank the personnel of the Institute of Marine Research's Reference fleet and research vessels, who caught the fish and assisted in the sampling. Stian Kleven and Harald Senneset, IMR, are acknowledged for their age reading of the cod.</t>
  </si>
  <si>
    <t>JUL 15</t>
  </si>
  <si>
    <t>10.1016/j.marpolbul.2013.04.018</t>
  </si>
  <si>
    <t>185AN</t>
  </si>
  <si>
    <t>WOS:000321937700045</t>
  </si>
  <si>
    <t>Chou, HY; Chang, SJ; Lee, HY; Chiou, YC</t>
  </si>
  <si>
    <t>Preliminary evidence for the effect of heavy metal cations on the susceptibility of hard clam (Meretrix lusoria) to clam birnavirus infection</t>
  </si>
  <si>
    <t>FISH PATHOLOGY</t>
  </si>
  <si>
    <t>4th International Symposium of the Japanese-Society-of-Fish-Pathology</t>
  </si>
  <si>
    <t>OCT 03-06, 1997</t>
  </si>
  <si>
    <t>HIROSHIMA, JAPAN</t>
  </si>
  <si>
    <t>heavy metal; zinc; cadmium; copper; mercury; hard clam; birnavirus</t>
  </si>
  <si>
    <t>HEMATOPOIETIC NECROSIS VIRUS; RAINBOW-TROUT; EXPOSURE; OYSTER; COPPER</t>
  </si>
  <si>
    <t>The hard clams (Meretrix lusoria) that are cultured in Taiwan have suffered high mortalities each spring and/or summer since 1969. Environmental factors, pollution and infectious diseases have been implicated, but no single factor has been shown to lead directly to large-scale death of the cultured hard clam. In the present study, attempts were made to examine the effects of heavy metals on the susceptibility of the hard clam to birnavirus infection. First we determined the stability of the clam birnavirus in sea, brackish, fresh waters at 4, 15 and 26 degrees C and in solutions containing different concentrations of Zn2+, Cd2+, Cu2+, and Hg2+. For each heavy metal cation, two concentrations which had no influence on clam birnavirus infectivity were selected and used to treat the hard clams before and after virus infection. In experiment I, clams were immersed in 10(5.0) TCID50/ml virus solution for 24 h and subsequently exposed to one of the heavy metals. Cumulative mortalities of clams were 20 similar to 52% in most experimental groups although mortalities reached 91% in infected clams exposed to high concentrations of copper. Tn experiment II, groups of 60 clams were: exposed to one of the heavy metals for 7 days and then infected with the virus, while controls were only expose to heavy metals. Mortalities of clams in the experimental groups reached 65 similar to 90% within 28 days, while only 10% mortalities were observed in the groups that were exposed to either heavy metals or virus infection alone.</t>
  </si>
  <si>
    <t>Natl Taiwan Ocean Univ, Dept Aquaculture, Keelung 202, Taiwan</t>
  </si>
  <si>
    <t>National Taiwan Ocean University</t>
  </si>
  <si>
    <t>Chou, HY (corresponding author), Natl Taiwan Ocean Univ, Dept Aquaculture, Keelung 202, Taiwan.</t>
  </si>
  <si>
    <t>hychou@ntou66.ntou.edu.tw</t>
  </si>
  <si>
    <t>JAPAN SOC FISH PATHOL DEPT FISHERIES-FAC AGR</t>
  </si>
  <si>
    <t>TOKYO</t>
  </si>
  <si>
    <t>ACADEMY CENTER 358-5, YAMABUKI-CHO, SHINJUKU-KU, TOKYO, 162-0801, JAPAN</t>
  </si>
  <si>
    <t>0388-788X</t>
  </si>
  <si>
    <t>FISH PATHOL</t>
  </si>
  <si>
    <t>Fish Pathol.</t>
  </si>
  <si>
    <t>10.3147/jsfp.33.213</t>
  </si>
  <si>
    <t>Fisheries; Veterinary Sciences</t>
  </si>
  <si>
    <t>137DV</t>
  </si>
  <si>
    <t>Bronze</t>
  </si>
  <si>
    <t>WOS:000076900300008</t>
  </si>
  <si>
    <t>Gueguen, Y; Saulnier, D; Santini, A; Magre, K; Garen, P; Bernagout, S; Nohl, M; Bouisset, P; Helme, H; Planes, S; Le Moullac, G</t>
  </si>
  <si>
    <t>Gueguen, Yannick; Saulnier, Denis; Santini, Adrien; Magre, Kevin; Garen, Pierre; Bernagout, Solene; Nohl, Marine; Bouisset, Patrick; Helme, Herehia; Planes, Serge; Le Moullac, Gilles</t>
  </si>
  <si>
    <t>Response of the pearl oyster Pinctada margaritifera to cadmium and chromium: Identification of molecular biomarkers</t>
  </si>
  <si>
    <t>Pinctada margaritifera; French Polynesia; Cadmium; Chromium; Gene expression; Metallothionein</t>
  </si>
  <si>
    <t>METALLOTHIONEIN GENE-EXPRESSION; CASPASE-INDEPENDENT APOPTOSIS; HEAVY-METAL CONCENTRATIONS; SYDNEY ROCK OYSTER; OXIDATIVE STRESS; CONTAMINATION; MOLLUSKS; MUSSELS; HSP70; MITOCHONDRIA</t>
  </si>
  <si>
    <t>This study was designed to identify in the pearl oyster Pinctada margaritifera, used as a bio-accumulator, molecular biomarkers for the presence of heavy metals in the lagoon environment. Pearl oysters were exposed to 2 concentrations (1 and 10 mu g L-1) of cadmium (Cd) and chromium (Cr) compared to a control. Twelve target genes encoding proteins potentially involved in the response to heavy metal contamination with antioxidant, detoxification or apoptosis activities were selected. P. margaritifera accumulated Cd but not Cr, and mortality was related to the amount of Cd accumulated in tissues. In response to Cd-Cr contamination, metallothionein (MT) was significantly up-regulated by Cd-Cr at both concentrations, while 7 others (SOD, CAT, GPX, GSTO, GSTM, CASP, MDR) were down-regulated. Based on the development of these molecular tools, we propose that the pearl oyster, P. margaritifera, could be used as a sentinel species for heavy metal contamination in the lagoons of tropical ecosystems. (C) 2017 Elsevier Ltd. All rights reserved.</t>
  </si>
  <si>
    <t>[Gueguen, Yannick; Saulnier, Denis; Santini, Adrien; Magre, Kevin; Garen, Pierre; Le Moullac, Gilles] IFREMER, UPF, ILM IRD, UMR EIO 241, Labex Corail,BP 49, F-98719 Tahiti, French Polynesi, France; [Bernagout, Solene; Nohl, Marine; Bouisset, Patrick; Helme, Herehia] Univ Montpellier, UPVD, CNRS, IFREMER,IHPE UMR 5244, CC 80, F-34095 Montpellier, France; [Bernagout, Solene; Nohl, Marine; Bouisset, Patrick; Helme, Herehia] IRSN LESE, BP 182, F-98725 Tahiti, French Polynesi, France; [Planes, Serge] EPHE, CRIOBE, USR CNRS 3278, Labex Corail, Moorea, French Polynesi, France</t>
  </si>
  <si>
    <t>Institut de Recherche pour le Developpement (IRD); Ifremer; Centre National de la Recherche Scientifique (CNRS); CNRS - Institute of Ecology &amp; Environment (INEE); Ifremer; Universite de Montpellier; Universite PSL; Ecole Pratique des Hautes Etudes (EPHE)</t>
  </si>
  <si>
    <t>Le Moullac, G (corresponding author), IFREMER, UPF, ILM IRD, UMR EIO 241, Labex Corail,BP 49, F-98719 Tahiti, French Polynesi, France.</t>
  </si>
  <si>
    <t>gilles.le.moullac@ifremer.fr</t>
  </si>
  <si>
    <t>saulnier, denis/A-6690-2011; PLANES, Serge/ABF-1360-2021; Gueguen, Yannick/O-3248-2014</t>
  </si>
  <si>
    <t>Le Moullac, Gilles/0000-0003-3749-8239; Gueguen, Yannick/0000-0002-8749-9582</t>
  </si>
  <si>
    <t>ANR [ANR-10-IABX-08, ANR-11-AGRO-006-01POLYPERL, 299 12]</t>
  </si>
  <si>
    <t>ANR(Agence Nationale de la Recherche (ANR))</t>
  </si>
  <si>
    <t>This study was financially supported by ANR funding: Labex CORAIL (ANR-10-IABX-08), POLYPERL project (ANR-11-AGRO-006-01POLYPERL) and State-country project contract (agreement no 299 12 - 17/10/2012).</t>
  </si>
  <si>
    <t>MAY 15</t>
  </si>
  <si>
    <t>10.1016/j.marpolbul.2017.03.012</t>
  </si>
  <si>
    <t>EW0YO</t>
  </si>
  <si>
    <t>Green Published, Green Submitted</t>
  </si>
  <si>
    <t>WOS:000402217300063</t>
  </si>
  <si>
    <t>Bakhmet, IN; Kantserova, NP; Lysenko, LA; Nemova, NN</t>
  </si>
  <si>
    <t>Bakhmet, Igor N.; Kantserova, Nadezhda P.; Lysenko, Liudmila A.; Nemova, Nina N.</t>
  </si>
  <si>
    <t>Effect of copper and cadmium ions on heart function and calpain activity in blue mussel Mytilus edulis</t>
  </si>
  <si>
    <t>JOURNAL OF ENVIRONMENTAL SCIENCE AND HEALTH PART A-TOXIC/HAZARDOUS SUBSTANCES &amp; ENVIRONMENTAL ENGINEERING</t>
  </si>
  <si>
    <t>Blue mussel; cadmium; calpain; copper; heart rate; heavy metals; Mytilus edulis L</t>
  </si>
  <si>
    <t>ESTUARINE ENVIRONMENTS; CARDIAC ACTIVITY; HEAVY-METALS; TRACE-METALS; LIMPETS; MUSCLE; ACTIVATION; PROTEASES; POLLUTION; PULMONATA</t>
  </si>
  <si>
    <t>The heart rate and calpain activity of blue mussels Mytilus edulis from the sublittoral zone, exposed to different levels of water-borne copper and cadmium, was investigated in a long-term experiment. The content of cadmium and copper in the blue mussel was determined using flame and graphite Atomic absorption spectroscopy. The observed concentrations ranged from 2.5 to 89.1 mu g/g dry weight for cadmium and from 6.1 to 51.0 mu g/g dry weight for copper in the control and highest concentration, respectively. Initially, increase in cardiac activity in response to copper and Cadmium exposure was observed under all pollutant concentrations (5-250 and 10-500 mu g/L, respectively). The calpain-like activity in gills and hepatopancreas of the mussels treated with metals changed in dose- and time-dependent manner: from a sharp rise at the 250 mu g/L concentration of copper on the first day to a significant decrease under the effect of Cadmium in the concentration of 500 mu g/L on the third day of the experiment. These results suggest that: (i) heart rate oscillation may reflect active adaptation of blue mussels to contamination and (ii) animals have different sensitivity to copper and Cadmium according to the role of the metals in the mussels' life activity.</t>
  </si>
  <si>
    <t>[Bakhmet, Igor N.] RAS, Karelian Res Ctr, Inst Biol, Lab Ecol Fish &amp; Water Invertebrates, Petrozavodsk 185910, Russia; [Kantserova, Nadezhda P.; Lysenko, Liudmila A.; Nemova, Nina N.] RAS, Karelian Res Ctr, Inst Biol, Lab Ecol Biochem, Petrozavodsk 185910, Russia</t>
  </si>
  <si>
    <t>Russian Academy of Sciences; Karelian Research Centre of the Russian Academy of Sciences; Institute of Biology of Karelian Research Centre RAS; Russian Academy of Sciences; Karelian Research Centre of the Russian Academy of Sciences; Institute of Biology of Karelian Research Centre RAS</t>
  </si>
  <si>
    <t>Bakhmet, IN (corresponding author), RAS, Karelian Res Ctr, Inst Biol, Lab Ecol Fish &amp; Water Invertebrates, Pushkinskaya St 11, Petrozavodsk 185910, Russia.</t>
  </si>
  <si>
    <t>igor.bakhmet@gmail.com</t>
  </si>
  <si>
    <t>Bakhmet, Igor/AAE-7995-2019; Nemova, Nina/AAI-6595-2021; Lysenko, Liudmila/I-4377-2013; Kantserova, Nadezhda/A-7532-2014</t>
  </si>
  <si>
    <t>Lysenko, Liudmila/0000-0002-9558-7400; Kantserova, Nadezhda/0000-0001-5844-4788</t>
  </si>
  <si>
    <t>Russian Foundation for Basic Research [11-04-00167]; Leading Scientific Schools [3731.2010.4]; Ministry of Education Science RF [14.740.11.1034]; RAS Council for Biological Sciences</t>
  </si>
  <si>
    <t>Russian Foundation for Basic Research(Russian Foundation for Basic Research (RFBR)Spanish Government); Leading Scientific Schools(Leading Scientific Schools Program); Ministry of Education Science RF; RAS Council for Biological Sciences</t>
  </si>
  <si>
    <t>We wish to extend our warm thanks to the deputy director of the Institute of North Industrial Ecology Problems Kola Science Center RAS Kashulin N.A. and employee of the same institute. We are also deeply grateful to the staff of the White Sea Biological Station, Zoological Institute of RAS and especially Drs. V.J. Berger and V.V. Khalaman for the assistance in the maintenance of the animals. The work was supported by grant from Russian Foundation for Basic Research 11-04-00167; the President RF grant Leading Scientific Schools 3731.2010.4; the project of Ministry of Education &amp; Science RF (contract No 14.740.11.1034), and the project of the RAS Council for Biological Sciences program Basics of biological resource management.</t>
  </si>
  <si>
    <t>TAYLOR &amp; FRANCIS INC</t>
  </si>
  <si>
    <t>PHILADELPHIA</t>
  </si>
  <si>
    <t>325 CHESTNUT ST, SUITE 800, PHILADELPHIA, PA 19106 USA</t>
  </si>
  <si>
    <t>1093-4529</t>
  </si>
  <si>
    <t>J ENVIRON SCI HEAL A</t>
  </si>
  <si>
    <t>J. Environ. Sci. Health Part A-Toxic/Hazard. Subst. Environ. Eng.</t>
  </si>
  <si>
    <t>10.1080/10934529.2012.680393</t>
  </si>
  <si>
    <t>Engineering, Environmental; Environmental Sciences</t>
  </si>
  <si>
    <t>Engineering; Environmental Sciences &amp; Ecology</t>
  </si>
  <si>
    <t>959FS</t>
  </si>
  <si>
    <t>WOS:000305298900006</t>
  </si>
  <si>
    <t>Wong, CKC; Cheung, RYH; Wong, MH</t>
  </si>
  <si>
    <t>Heavy metal concentrations in green-lipped mussels collected from Tolo Harbour and markets in Hong Kong and Shenzhen</t>
  </si>
  <si>
    <t>ENVIRONMENTAL POLLUTION</t>
  </si>
  <si>
    <t>non-carcinogenic hazard index; seasonal variation; South China Sea; cadmium; chromium; lead</t>
  </si>
  <si>
    <t>TRACE-METALS; MYTILUS-EDULIS; SEDIMENTS; COPPER; WATERS; RESPONSES; POLLUTION; CADMIUM; ZINC</t>
  </si>
  <si>
    <t>Green-lipped mussels, Perna viridis, were collected from Kat O, Yim Tin Tsai, Ma Liu Shui and Tap Mun around Tolo Harbour and six local markets in Hong Kong (Aberdeen, Shau Kei Wan, Kowloon City, Mongkok, Yuen Long) and Shenzhen (Dongmun) between July 1994 and February 1995 and analysed for cadmium (Cd), chromium (Cr), copper (Cu), nickel (Ni), lead (Pb) and zinc (Zn). The metal concentrations of mussels collected from the study sites were Cd (0.45-1.44 mu g/g), Cr (0.82-4.89 mu g/g), Cu (6.02-23.99 mu g/g), Ni (3.25-6.87 mu g/g), Pb (2.02-4.36 mu g/g) and Zn (90-135 mu g/g), while those from the markets were Cd (0.27-1.44 mu g/g), Cr (1.09-3.30 mu g/g), Cu(9.05 17.8 mu g/g), Ni (2.44-5.25 mu g/g), Pb (1.17-5 mu g/g) and Zn (51-103 mu g/g). The metal concentrations were below the maximum permissible levels set by the Hong Kong Government. In addition, seasonal variation of metal accumulation in mussels was investigated in Yim Tin Tsai and Ma Liu Shui and a reduction in the total heavy metal concentrations during winter was noted. The non-carcinogenic hazard index of mussels collected from Tolo Harbour and from Hong Kong markets was between 0.46 and 1.36 compared with those from Shenzhen markets (0.85-1.46), which indicated a low but possible risk in consuming the mussels. (C) 2000 Elsevier Science Ltd. All rights reserved.</t>
  </si>
  <si>
    <t>Hong Kong Baptist Univ, Inst Nat Resources &amp; Waste Management, Kowloon, Hong Kong, Peoples R China; Hong Kong Baptist Univ, Dept Biol, Kowloon, Hong Kong, Peoples R China; City Univ Hong Kong, Dept Biol &amp; Chem, Hong Kong, Hong Kong, Peoples R China</t>
  </si>
  <si>
    <t>Hong Kong Baptist University; Hong Kong Baptist University; City University of Hong Kong</t>
  </si>
  <si>
    <t>Wong, MH (corresponding author), Hong Kong Baptist Univ, Inst Nat Resources &amp; Waste Management, Kowloon, Hong Kong, Peoples R China.</t>
  </si>
  <si>
    <t>Wong, Kristy/C-8748-2015; Wong, Ming Hung/AAC-6507-2022</t>
  </si>
  <si>
    <t>Wong, Ming Hung/0009-0002-6077-4369; CHEUNG, Yun Hing Richard/0000-0002-1022-9402; Wong, Chris/0000-0001-5449-5836</t>
  </si>
  <si>
    <t>ELSEVIER SCI LTD</t>
  </si>
  <si>
    <t>THE BOULEVARD, LANGFORD LANE, KIDLINGTON, OXFORD OX5 1GB, OXON, ENGLAND</t>
  </si>
  <si>
    <t>0269-7491</t>
  </si>
  <si>
    <t>ENVIRON POLLUT</t>
  </si>
  <si>
    <t>Environ. Pollut.</t>
  </si>
  <si>
    <t>10.1016/S0269-7491(99)00223-7</t>
  </si>
  <si>
    <t>298MK</t>
  </si>
  <si>
    <t>WOS:000086143300018</t>
  </si>
  <si>
    <t>Sondergaard, J; Hansson, SV; Mosbech, A; Bach, L</t>
  </si>
  <si>
    <t>Sondergaard, Jens; Hansson, Sophia V.; Mosbech, Anders; Bach, Lis</t>
  </si>
  <si>
    <t>Green sea urchins (Strongylocentrotus droebachiensis) as potential biomonitors of metal pollution near a former lead-zinc mine in West Greenland</t>
  </si>
  <si>
    <t>Environmental monitoring; Monitoring organisms; Metals; Mining; Arctic</t>
  </si>
  <si>
    <t>PARACENTROTUS-LIVIDUS; EMBRYO DEVELOPMENT; TRACE-ELEMENTS; HEAVY-METALS; MAARMORILIK; FJORD; BIOACCUMULATION; SEDIMENTS; CADMIUM; LICHENS</t>
  </si>
  <si>
    <t>In this study, metal accumulation in green sea urchins (Strongylocentrotus droebachiensis) was investigated near the former Black Angel lead-zinc mine in Maarmorilik, West Greenland. Sea urchins (n = 9-11; 31-59 mm in diameter) were collected from three stations located at &lt; 1 km, 5 km, and 12 km (reference site) away from the former mine site, respectively. After collection, tissue of the sea urchins was divided into gonads and remaining soft parts (viscera) before subjected to chemical analyses. Focus was on eight elements found in elevated concentrations in the mine waste (iron, copper, zinc, arsenic, silver, cadmium, mercury and lead). Sea urchins at the mine site contained significantly more copper, mercury and lead compared with the reference site for both the gonads and viscera, while the latter also contained significantly more iron, zinc and silver. Arsenic and cadmium were not significantly elevated in sea urchins at the mine site. Most elements were found in higher concentrations in the viscera compared with the gonads. For comprehensive monitoring of metal pollution at mine sites, a diverse selection of monitoring organisms is necessary. The study shows that green sea urchins accumulate selected metals and can be used as a monitoring organism for mining pollution, at least for iron, copper, zinc, silver, mercury and lead. However, the results also show that green sea urchins are less likely to reflect small environmental changes in loading of most metals (except iron, copper and silver) and for arsenic compared to suspension feeders such as blue mussels.</t>
  </si>
  <si>
    <t>[Sondergaard, Jens; Hansson, Sophia V.; Mosbech, Anders; Bach, Lis] Aarhus Univ, Dept Biosci, Arctic Res Ctr, Frederiksborgvej 399, DK-4000 Roskilde, Denmark</t>
  </si>
  <si>
    <t>Aarhus University</t>
  </si>
  <si>
    <t>Sondergaard, J (corresponding author), Aarhus Univ, Dept Biosci, Arctic Res Ctr, Frederiksborgvej 399, DK-4000 Roskilde, Denmark.</t>
  </si>
  <si>
    <t>js@bios.au.dk</t>
  </si>
  <si>
    <t>Mosbech, Anders/Q-5984-2019; Søndergaard, Jens/AAZ-1079-2020; Bach, Lis/J-6567-2013; Hansson, Sophia V./F-1470-2018; Mosbech, Anders/J-6591-2013</t>
  </si>
  <si>
    <t>Bach, Lis/0000-0003-2891-4202; Hansson, Sophia V./0000-0001-5874-0720; Sondergaard, Jens/0000-0001-7680-9920; Mosbech, Anders/0000-0002-7581-7037</t>
  </si>
  <si>
    <t>Environmental Agency for Mineral Resource Activities in Greenland; Ministry of Environment and Food of Denmark; Arctic Research Centre, Aarhus University</t>
  </si>
  <si>
    <t>This project was funded by financial support from the Environmental Agency for Mineral Resource Activities in Greenland, the Ministry of Environment and Food of Denmark, and the Arctic Research Centre, Aarhus University.</t>
  </si>
  <si>
    <t>AUG 3</t>
  </si>
  <si>
    <t>10.1007/s10661-019-7637-3</t>
  </si>
  <si>
    <t>IP7QN</t>
  </si>
  <si>
    <t>WOS:000480243200003</t>
  </si>
  <si>
    <t>Aguilar, CA; Montalvo, C; Rodríguez, L; Cerón, JG; Cerón, RM</t>
  </si>
  <si>
    <t>Aguilar, C. A.; Montalvo, C.; Rodriguez, L.; Ceron, J. G.; Ceron, R. M.</t>
  </si>
  <si>
    <t>American oyster (Crassostrea virginica) and sediments as a coastal zone pollution monitor by heavy metals</t>
  </si>
  <si>
    <t>INTERNATIONAL JOURNAL OF ENVIRONMENTAL SCIENCE AND TECHNOLOGY</t>
  </si>
  <si>
    <t>Contamination; Heavy metals; Marine sediments; Oyster condition index</t>
  </si>
  <si>
    <t>TRACE-METALS; CONTAMINATION; MARINE; CAMPECHE; ELEMENTS; BAY</t>
  </si>
  <si>
    <t>Levels of barium, cadmium, chromium, copper, mercury and vanadium were determined by plasma emission spectroscopy in sediments and oysters (Crassostrea virginica) in the Palizada, Chumpan and Candelaria rivers, which flow into the Terminos Lagoon, state of Campeche, Mexico. The relation between the condition index of the oyster and the detected elements were determined as well. Significant relations were observed between copper (r = -0.825, p &lt; 0.05) and chromium (r = -0.787, p &lt; 0.05), which indicates the oysters' affectation by ingesting both elements; concurrently, the results confirm that oysters present high tolerance to heavy metals. The average concentration of cadmium (2.05 mu g/g), chromium (1.82 mu g/g) and copper (115.55 mu g/g) in rainy-season climate exceeded the limits for marine mollusks regarding different health standards. It was found that the rainy season, the sediment characteristics and organic matter content have a great influence on the transport and availability of heavy metals.</t>
  </si>
  <si>
    <t>[Aguilar, C. A.; Montalvo, C.; Ceron, J. G.; Ceron, R. M.] Univ Autonoma Carmen, Fac Ciencias Quim, Ciudad Del Carmen 24180, Campeche, Mexico; [Rodriguez, L.] Inst Tecnol Merida, Div Estudios Posgrad &amp; Invest, Merida 97118, Mexico</t>
  </si>
  <si>
    <t>Universidad Autonoma del Carmen</t>
  </si>
  <si>
    <t>Aguilar, CA (corresponding author), Univ Autonoma Carmen, Fac Ciencias Quim, Ave 56,4 Entre Ave Concordia, Ciudad Del Carmen 24180, Campeche, Mexico.</t>
  </si>
  <si>
    <t>caguilar@pampano.unacar.mx</t>
  </si>
  <si>
    <t>Bretón, Julia/Q-3775-2019; AGUILAR, CLAUDIA/AAU-7723-2021</t>
  </si>
  <si>
    <t>Aguilar Ucan, Claudia Alejandra/0000-0002-1733-2867</t>
  </si>
  <si>
    <t>233 SPRING ST, NEW YORK, NY 10013 USA</t>
  </si>
  <si>
    <t>1735-1472</t>
  </si>
  <si>
    <t>1735-2630</t>
  </si>
  <si>
    <t>INT J ENVIRON SCI TE</t>
  </si>
  <si>
    <t>Int. J. Environ. Sci. Technol.</t>
  </si>
  <si>
    <t>10.1007/s13762-012-0078-y</t>
  </si>
  <si>
    <t>998GI</t>
  </si>
  <si>
    <t>hybrid</t>
  </si>
  <si>
    <t>WOS:000308225100001</t>
  </si>
  <si>
    <t>Mandich, M</t>
  </si>
  <si>
    <t>Mandich, McKenzie</t>
  </si>
  <si>
    <t>Ranked effects of heavy metals on marine bivalves in laboratory mesocosms: A meta-analysis</t>
  </si>
  <si>
    <t>Bivalve; Heavy metal; Meta-analysis; Mesocosm; Biomonitor; Marine</t>
  </si>
  <si>
    <t>MUSSEL PERNA-VIRIDIS; FILTRATION-RATE; TOXICITY; EXPOSURE; CADMIUM; RESPONSES; COPPER; PLANTS; RATES; RATIO</t>
  </si>
  <si>
    <t>Bivalves are commonly used as biomonitors for heavy metal pollution in marine environments because they accumulate heavy metal ions quickly, are sessile, abundant, and widely dispersed, and adult mortality from contamination is rare. However, the breadth of experiments used to measure the effect of heavy metal contamination can obscure general trends. It is unclear which heavy metals cause the most severe effects, how severity varies with exposure concentration and duration, and whether effects vary with level of biological organization. I conducted a meta-analysis of 48 mesocosm studies on the effects of heavy metal ions silver, cadmium, copper, mercury, lead, and zinc on marine bivalves. The ordering of effect sizes was Pb &gt; Hg &gt; Cu &gt; Zn &gt; Cd &gt; Ag. The significance and direction of concentration and duration as moderators depended on the metal and the biological level. Future studies should consider non-linear effects over time and concentration, and measure both bioaccumulation and effect of the metals being studies.</t>
  </si>
  <si>
    <t>[Mandich, McKenzie] Univ Chicago, 5801 S Ellis Ave, Chicago, IL 60637 USA; [Mandich, McKenzie] Swiss Fed Inst Technol, Ramistr 101, CH-8092 Zurich, Switzerland</t>
  </si>
  <si>
    <t>University of Chicago; Swiss Federal Institutes of Technology Domain; ETH Zurich</t>
  </si>
  <si>
    <t>Mandich, M (corresponding author), Univ Chicago, 5801 S Ellis Ave, Chicago, IL 60637 USA.;Mandich, M (corresponding author), Swiss Fed Inst Technol, Ramistr 101, CH-8092 Zurich, Switzerland.</t>
  </si>
  <si>
    <t>mmandich@student.ethz.ch</t>
  </si>
  <si>
    <t>Mandich, McKenzie/0000-0002-7550-3302</t>
  </si>
  <si>
    <t>A</t>
  </si>
  <si>
    <t>10.1016/j.marpolbul.2018.04.068</t>
  </si>
  <si>
    <t>GL3SG</t>
  </si>
  <si>
    <t>WOS:000437060300084</t>
  </si>
  <si>
    <t>Köklü, Ü; Akman, S; Döner, G</t>
  </si>
  <si>
    <t>Investigation of the heavy metal pollution of Istanbul bosphorus sea-water and mussels</t>
  </si>
  <si>
    <t>FRESENIUS ENVIRONMENTAL BULLETIN</t>
  </si>
  <si>
    <t>heavy metal pollution; sea water; mussel; Bosphorus; atomic absorption spectrometry</t>
  </si>
  <si>
    <t>ATOMIC-ABSORPTION SPECTROMETRY; CADMIUM</t>
  </si>
  <si>
    <t>In this study, the concentration of heavy metals, such as cadmium, lead, chromium, copper and zinc in sea water and mussel samples collected from the Istanbul Bosphorus was determined by graphite furnace atomic absorption spectrometry. The concentration ranges of Cr, Cd Pb, Cu and Zn in sea water were 0.89-3.93, 0.32-2.00, 1.29-4.41, 0.60-35.2 and 0.13-1.38 mug/l respectively. On the other hand, the contents of Cu, Cd, Cr, Pb and Zn in mussel samples were found to be 2.97-5.46 1.96-2.68, 1.81-2.01, 0.074-5.27 and 31.90-45.35, respectively. The heavy metal concentrations found in the sea-water and mussels of the Istanbul Bosphorus showed that sea-water and mussels have not been heavily contaminated by the toxic elements studied.</t>
  </si>
  <si>
    <t>Istanbul Teknik Univ, Fen Edebiyal Fak, TR-80626 Maslak Istanbul, Turkey</t>
  </si>
  <si>
    <t>Istanbul Technical University</t>
  </si>
  <si>
    <t>Köklü, Ü (corresponding author), Istanbul Teknik Univ, Fen Edebiyal Fak, TR-80626 Maslak Istanbul, Turkey.</t>
  </si>
  <si>
    <t>Akman, Suleyman/C-1418-2014</t>
  </si>
  <si>
    <t>Akman, Suleyman/0000-0002-8625-783X</t>
  </si>
  <si>
    <t>INST LEBENSMITTELTECHNOLOGIE ANALYTISCHE CHEMIE</t>
  </si>
  <si>
    <t>FREISING-WEIHENSTEPHAN</t>
  </si>
  <si>
    <t>TECHNISCHE UNIVERSITAT MUNCHEN, D-85350 FREISING-WEIHENSTEPHAN, GERMANY</t>
  </si>
  <si>
    <t>1018-4619</t>
  </si>
  <si>
    <t>FRESEN ENVIRON BULL</t>
  </si>
  <si>
    <t>Fresenius Environ. Bull.</t>
  </si>
  <si>
    <t>NOV-DEC</t>
  </si>
  <si>
    <t>11-12</t>
  </si>
  <si>
    <t>385XK</t>
  </si>
  <si>
    <t>WOS:000166030300009</t>
  </si>
  <si>
    <t>Zeng, T; Guo, JX; Li, YY; Wang, G</t>
  </si>
  <si>
    <t>Zeng, Tao; Guo, Jingxia; Li, Yunyun; Wang, Guo</t>
  </si>
  <si>
    <t>Oyster shell amendment reduces cadmium and lead availability and uptake by rice in contaminated paddy soil</t>
  </si>
  <si>
    <t>Soil remediation; Heavy metal contamination; Oyster shell; Lead; Cadmium; Pore water; Rice</t>
  </si>
  <si>
    <t>IRON PLAQUE-FORMATION; HEAVY-METAL POLLUTION; VARIABLE CHARGE SOILS; ORYZA-SATIVA; AGRICULTURAL SOILS; CD ACCUMULATION; ORGANIC-MATTER; TRACE-ELEMENTS; PB UPTAKE; IMMOBILIZATION</t>
  </si>
  <si>
    <t>Contamination with cadmium (Cd) and lead (Pb) in rice and paddy soil threatens food safety and human health. This study determined the effects of oyster shell amendment (0, 6, and 12 g kg(-1)) on the mobility and uptake of Cd and Pb by two rice plants (ZY18, japonica and DL5, indica) in contaminated paddy soil. Oyster shell amendment significantly increased the pH of soil and pore water, and decreased the DTPA-extractable Cd concentration in soil, but not the Cd concentration in pore water. Furthermore, the DTPA-extractable Pb concentration in rhizosphere soil was not significantly influenced by oyster shell addition. Application of oyster shell reduced the Pb concentration in pore water and Pb uptake by both cultivars, but excessive application (12 g kg(-1)) resulted in Cd accumulation in tissues for ZY18. Furthermore, oyster shell addition significantly increased the dissolved organic carbon, calcium, and magnesium concentrations in soil pore water, and decreased glutathione and phytochelatin levels in roots, all of which alleviated heavy metal toxicity and improved rice growth. These results demonstrate that amendment with the appropriate amount of oyster shell, combined with rice cultivar type, could simultaneously reduce Cd and Pb accumulation in rice grown in heavy metal-contaminated soil.</t>
  </si>
  <si>
    <t>[Zeng, Tao; Guo, Jingxia; Li, Yunyun; Wang, Guo] Fujian Agr &amp; Forestry Univ, Fujian Prov Key Lab Soil Environm Hlth &amp; Regulat, Coll Resources &amp; Environm, Fuzhou 350002, Fujian, Peoples R China</t>
  </si>
  <si>
    <t>Fujian Agriculture &amp; Forestry University</t>
  </si>
  <si>
    <t>Wang, G (corresponding author), Fujian Agr &amp; Forestry Univ, Fujian Prov Key Lab Soil Environm Hlth &amp; Regulat, Coll Resources &amp; Environm, Fuzhou 350002, Fujian, Peoples R China.</t>
  </si>
  <si>
    <t>1400619353@qq.com</t>
  </si>
  <si>
    <t>National Natural Science Foundation of China [U1305232]</t>
  </si>
  <si>
    <t>National Natural Science Foundation of China(National Natural Science Foundation of China (NSFC))</t>
  </si>
  <si>
    <t>This research was funded by the National Natural Science Foundation of China (Grant No. U1305232).</t>
  </si>
  <si>
    <t>10.1007/s11356-022-18727-9</t>
  </si>
  <si>
    <t>FEB 2022</t>
  </si>
  <si>
    <t>2D8EE</t>
  </si>
  <si>
    <t>WOS:000752775700004</t>
  </si>
  <si>
    <t>Goligar, N; Saadatmand, S; Khavarinejad, RA</t>
  </si>
  <si>
    <t>Goligar, N.; Saadatmand, S.; Khavarinejad, R. A.</t>
  </si>
  <si>
    <t>Mycoremediation of lead and cadmium by lignocellulosic enzymes of Pleurotus eryngii</t>
  </si>
  <si>
    <t>AMB EXPRESS</t>
  </si>
  <si>
    <t>Oyster mushrooms; Pleurotus eryngii; Cadmium; Lead; Mycoremediation; Sanger Sequencing</t>
  </si>
  <si>
    <t>KING OYSTER MUSHROOM; ANTIOXIDANT ACTIVITY; LACCASE ISOENZYMES; OXIDATIVE STRESS; MINERAL CONTENTS; SPECIES-COMPLEX; BIOSORPTION; COPPER; PEROXIDASES; GLUCANS</t>
  </si>
  <si>
    <t>This study aimed to investigate the ability of Pleurotus eryngii fungus to absorb lead and cadmium from industrial wastewater. After culturing the fungus on a potato dextrose agar (PDA) medium containing 0 (control), 150 mg L-1, 250 mg L-1, and 350 mg L-1 concentrations of lead and cademium for 30 days, the mycelia were isolated from the culture medium and their extracts were used to measure protein content and the activity of antioxidant enzymes. Also, heavy metal contents were analyzed by atomic absorption spectrometry using flame photometry. Results showed that the growth of mycelia was significantly affected by different concentrations of the two heavy metals. High tolerance of heavy metal pollution in the culture media and the ability to accumulate lead and cademium confirmed that Pleurotus eryngii is a favorable option for mycoremediation. Also, molecular studies for fungal sequencing were investigated using the trench method, the sequence of the fungus was recorded in the gene bank, and finally the fungus was identified in the study.</t>
  </si>
  <si>
    <t>[Goligar, N.; Saadatmand, S.; Khavarinejad, R. A.] Islamic Azad Univ, Dept Biol, Sci &amp; Res Branch, Tehran, Iran</t>
  </si>
  <si>
    <t>Islamic Azad University</t>
  </si>
  <si>
    <t>Saadatmand, S (corresponding author), Islamic Azad Univ, Dept Biol, Sci &amp; Res Branch, Tehran, Iran.</t>
  </si>
  <si>
    <t>sadatmandsara@gmail.com</t>
  </si>
  <si>
    <t>This article has not been published before in any domestic or foreign publications. This article has been sent to AMB Express magazine only for review and publication, and it will not be sent to another magazine until the end of the review and evaluation o</t>
  </si>
  <si>
    <t>This article has not been published before in any domestic or foreign publications. This article has been sent to AMB Express magazine only for review and publication, and it will not be sent to another magazine until the end of the review and evaluation of the article and the announcement of the final opinion by this magazine. This article is the result of the work of me (S. Saadatmand), N. Goligar, and R. A. Khavarinejad. In the parts where I/we have used the scientific and research achievements of others or my/our own previous researches, according to the usual rules and procedures, The names of the sources used and other details are included. Other authors of the article are fully aware and satisfied with the order of placement of their names and details in the article. If at any point in time it is proven contrary to the above claims, I accept the consequences and the journal is allowed to treat me according to the regulations of research violations, and in this case I will not have any claims.</t>
  </si>
  <si>
    <t>2191-0855</t>
  </si>
  <si>
    <t>AMB Express</t>
  </si>
  <si>
    <t>NOV 15</t>
  </si>
  <si>
    <t>10.1186/s13568-023-01626-8</t>
  </si>
  <si>
    <t>Biotechnology &amp; Applied Microbiology</t>
  </si>
  <si>
    <t>Y2QY0</t>
  </si>
  <si>
    <t>gold, Green Published</t>
  </si>
  <si>
    <t>WOS:001103775000001</t>
  </si>
  <si>
    <t>Blasco, J; Puppo, J</t>
  </si>
  <si>
    <t>Effect of heavy metals (Cu, Cd and Pb) on aspartate and alanine aminotransferase in Ruditapes philippinarum (Mollusca: Bivalvia)</t>
  </si>
  <si>
    <t>COMPARATIVE BIOCHEMISTRY AND PHYSIOLOGY C-TOXICOLOGY &amp; PHARMACOLOGY</t>
  </si>
  <si>
    <t>accumulation; aspartate aminotransferase; alanine aminotransferase; cadmium; copper; digestive gland; gills; lead; Ruditapes philippinarum</t>
  </si>
  <si>
    <t>MUSSEL MYTILUS-EDULIS; TRACE-METALS; SEA-WATER; CADMIUM; ACCUMULATION; LEAD; COPPER; ZINC; INDICATORS; POLLUTION</t>
  </si>
  <si>
    <t>The accumulation of cadmium, copper and lead and their effects on aspartate and alanine aminotransferases in digestive gland, gills, foot and soft body in the clam Ruditapes philippinarum were examined. The animals were exposed to different concentrations: Cd (200-600 mu g.l(-1)), Pb (350-700 mu g.l(-1)) and Cu (10-20 mu g.l(-1)) for 7 days. The highest concentrations were found in digestive gland for cadmium and copper, and in gills for lead, and the lowest values were observed in the foot. Aspartate aminotransferase activity (AST), in general, was not inhibited by cadmium, lead or copper during the exposure. Only in clams exposed to cadmium (600 mu g.l(-1), 7 days) and copper (20 mu g.l(-1), 5 days) were observed significant differences (P &lt; 0.05) in foot and gills, respectively, with respect to control. In the case of alanine aminotransferase activity (ALT), significant differences were observed for cadmium and lead in treated animals with respect to control. With regard to copper, a decrease in ALT was observed in gills and foot exposed to 20 mu g.l(-1). A significant correlation (P &lt; 0.05) was observed between ALT and metal accumulation for cadmium, copper and lead in gills. In the case of soft body, only cadmium and lead showed a significant correlation. In summary, R. philippinarum can be considered a bioindicator species for cadmium and lead accumulation and ALT could be useful as biomarker of sublethal stress for these metals in soft tissues and gills. Only gills can be considered an adequate target tissue for copper. (C) 1999 Elsevier Science Inc. All rights reserved.</t>
  </si>
  <si>
    <t>Inst Ciencias Marinas Andalucia, Cadiz 11500, Spain</t>
  </si>
  <si>
    <t>Consejo Superior de Investigaciones Cientificas (CSIC); CSIC - Centro Mediterraneo de Investigaciones Marinas y Ambientales (CMIMA); CSIC - Instituto de Ciencias del Mar (ICM); CSIC - Instituto de Ciencias Marinas de Andalucia (ICMAN)</t>
  </si>
  <si>
    <t>Inst Ciencias Marinas Andalucia, Campus Univ Rio S Pedro, Cadiz 11500, Spain.</t>
  </si>
  <si>
    <t>julian.blasco@icman.scis.es</t>
  </si>
  <si>
    <t>Blasco, Julian/A-5319-2008</t>
  </si>
  <si>
    <t>Blasco, Julian/0000-0002-9750-383X</t>
  </si>
  <si>
    <t>ELSEVIER SCIENCE INC</t>
  </si>
  <si>
    <t>360 PARK AVE SOUTH, NEW YORK, NY 10010-1710 USA</t>
  </si>
  <si>
    <t>1532-0456</t>
  </si>
  <si>
    <t>1878-1659</t>
  </si>
  <si>
    <t>COMP BIOCHEM PHYS C</t>
  </si>
  <si>
    <t>Comp. Biochem. Physiol. C-Toxicol. Pharmacol.</t>
  </si>
  <si>
    <t>10.1016/S0742-8413(98)10116-0</t>
  </si>
  <si>
    <t>Biochemistry &amp; Molecular Biology; Endocrinology &amp; Metabolism; Toxicology; Zoology</t>
  </si>
  <si>
    <t>168WF</t>
  </si>
  <si>
    <t>WOS:000078715600013</t>
  </si>
  <si>
    <t>LEE, CW; KWON, YT</t>
  </si>
  <si>
    <t>DISTRIBUTION OF HEAVY-METALS IN SEAWATER, SEDIMENT AND BIOTA OF JINHAE BAY, KOREA</t>
  </si>
  <si>
    <t>WATER SCIENCE AND TECHNOLOGY</t>
  </si>
  <si>
    <t>17th Biennial Conference of the International-Association-on-Water-Quality</t>
  </si>
  <si>
    <t>JUL 24-30, 1994</t>
  </si>
  <si>
    <t>BUDAPEST, HUNGARY</t>
  </si>
  <si>
    <t>HEAVY METALS; SEDIMENT; COASTAL WATER; BIOTA, BIOCONCENTRATION</t>
  </si>
  <si>
    <t>Over the past two decades, the coastal waters of Jinhae Bay have been extensively used by coastal communities and industries for the disposal of domestic and various industrial wastes, therefore increasing the level of pollutants in coastal waters with a subsequent increase in sediments, especially of heavy metals. Specific objectives of this research are to investigate the distribution of heavy metal concentration in biota, to compare the concentrations with those in sediment and water and to relate the bioconcentration to the different heavy metals in biota obtained from several sites. Sixty one percent of heavy metals was found in particulate form during the high runoff season and 32% during the dry season. The behavior of the particulate: metals after flowing in to the enclosed coastal sea is an important factor in heavy metal contamination. Copper, lead and chromium contamination of sediment was revealed at several sites. The bioconcentration factors (BCFs) of zinc, cadmium, copper, nickel, chromium and lead by the mussel (Mytilus edulis) were determined as 2,900, 2,814, 807, 423, 228 and 127 in the decreasing order, respectively. The areas located nearest to highly populated city and industries exhibited mussels with the largest accumulation of copper, lead and chromium.</t>
  </si>
  <si>
    <t>LEE, CW (corresponding author), KYUNGNAM UNIV,DEPT ENVIRONM PROTECT,449 WULYOUNG DONG,MASAN 630701,SOUTH KOREA.</t>
  </si>
  <si>
    <t>THE BOULEVARD, LANGFORD LANE, KIDLINGTON, OXFORD, ENGLAND OX5 1GB</t>
  </si>
  <si>
    <t>0273-1223</t>
  </si>
  <si>
    <t>WATER SCI TECHNOL</t>
  </si>
  <si>
    <t>Water Sci. Technol.</t>
  </si>
  <si>
    <t>Engineering, Environmental; Environmental Sciences; Water Resources</t>
  </si>
  <si>
    <t>Conference Proceedings Citation Index - Science (CPCI-S); Science Citation Index Expanded (SCI-EXPANDED)</t>
  </si>
  <si>
    <t>Engineering; Environmental Sciences &amp; Ecology; Water Resources</t>
  </si>
  <si>
    <t>QP631</t>
  </si>
  <si>
    <t>WOS:A1994QP63100022</t>
  </si>
  <si>
    <t>Cong, M; Wu, HF; Liu, XL; Zhao, JM; Wang, X; Lv, JS; Hou, L</t>
  </si>
  <si>
    <t>Cong, Ming; Wu, Huifeng; Liu, Xiaoli; Zhao, Jianmin; Wang, Xuan; Lv, Jiasen; Hou, Lin</t>
  </si>
  <si>
    <t>Effects of heavy metals on the expression of a zinc-inducible metallothionein-III gene and antioxidant enzyme activities in Crassostrea gigas</t>
  </si>
  <si>
    <t>ECOTOXICOLOGY</t>
  </si>
  <si>
    <t>Crassostrea gigas; Metallothionein; Cadmium; Zinc; Antioxidant enzyme</t>
  </si>
  <si>
    <t>MESSENGER-RNA EXPRESSION; PACIFIC OYSTER; LIPID-PEROXIDATION; CADMIUM EXPOSURE; STRESS-PROTEINS; COPPER; CLONING; ACCUMULATION; PARAMETERS; TOXICITY</t>
  </si>
  <si>
    <t>Sequestration by metallothioneins and antioxidant defense are two kinds of important defense mechanisms employed by mollusks to minimize adverse effects caused by heavy metal contaminants in marine environment. In the present study, a novel metallothionein gene, CgMT-III, was cloned from Crassostrea gigas, consisting of eighteen conserved cysteine residues and encoding a MT III-like protein with two tandem beta domains. The expression level of CgMT-III transcript induced by zinc was much higher than that induced by cadmium exposure. It suggested that CgMT-III was perhaps mainly involved in homeostatic control of zinc metabolism, which was distinct from previously identified MTs in C. gigas. Among the tested antioxidant enzymes including superoxide dismutase (SOD), catalase (CAT), glutathione peroxidase (GPx), SOD and GPx showed varying up-regulations in a tissue-specific manner, while CAT activities were inhibited in both gill and hepatopancreas from C. gigas exposed to heavy metals. It can be inferred that CgMT-III was mainly involved in zinc homeostasis, and CgMT-III gene together with CAT enzyme could be potential biomarkers to indicate heavy metal, especially zinc pollution in marine organisms.</t>
  </si>
  <si>
    <t>[Cong, Ming; Wu, Huifeng; Liu, Xiaoli; Zhao, Jianmin] Chinese Acad Sci, Key Lab Coastal Zone Environm Proc, Yantai Inst Coastal Zone Res YIC,YICCAS, Shandong Prov Key Lab Coastal Zone Environm Proc, Yantai 264003, Shandong, Peoples R China; [Liu, Xiaoli] Chinese Acad Sci, Grad Sch, Beijing 100049, Peoples R China; [Wang, Xuan] Ocean Univ China, Qingdao 266100, Shandong, Peoples R China; [Lv, Jiasen; Hou, Lin] Yantai Univ, Ocean Sch, Yantai 264005, Shandong, Peoples R China</t>
  </si>
  <si>
    <t>Chinese Academy of Sciences; Yantai Institute of Coastal Zone Research, CAS; Chinese Academy of Sciences; University of Chinese Academy of Sciences, CAS; Ocean University of China; Yantai University</t>
  </si>
  <si>
    <t>Wu, HF (corresponding author), Chinese Acad Sci, Key Lab Coastal Zone Environm Proc, Yantai Inst Coastal Zone Res YIC,YICCAS, Shandong Prov Key Lab Coastal Zone Environm Proc, Yantai 264003, Shandong, Peoples R China.</t>
  </si>
  <si>
    <t>hfwu@yic.ac.cn; jmzhao@yic.ac.cn</t>
  </si>
  <si>
    <t>Liu, Xiaoli/HGE-7614-2022</t>
  </si>
  <si>
    <t>Wu, Huifeng/0000-0002-4042-8103</t>
  </si>
  <si>
    <t>Chinese Academy of Sciences; NSFC [31172388]; SDSFC [ZR2009CZ008]</t>
  </si>
  <si>
    <t>Chinese Academy of Sciences(Chinese Academy of Sciences); NSFC(National Natural Science Foundation of China (NSFC)); SDSFC</t>
  </si>
  <si>
    <t>This research was supported by The 100 Talents Program of the Chinese Academy of Sciences and grants from NSFC (31172388) and SDSFC (ZR2009CZ008).</t>
  </si>
  <si>
    <t>0963-9292</t>
  </si>
  <si>
    <t>1573-3017</t>
  </si>
  <si>
    <t>Ecotoxicology</t>
  </si>
  <si>
    <t>10.1007/s10646-012-0926-z</t>
  </si>
  <si>
    <t>Ecology; Environmental Sciences; Toxicology</t>
  </si>
  <si>
    <t>998JX</t>
  </si>
  <si>
    <t>WOS:000308235500016</t>
  </si>
  <si>
    <t>Spada, L; Annicchiarico, C; Cardellicchio, N; Giandomenico, S; Di Leo, A</t>
  </si>
  <si>
    <t>Spada, L.; Annicchiarico, C.; Cardellicchio, N.; Giandomenico, S.; Di Leo, A.</t>
  </si>
  <si>
    <t>Heavy metals monitoring in the mussel Mytilus galloprovincialis from the Apulian coast (Southern Italy)</t>
  </si>
  <si>
    <t>MEDITERRANEAN MARINE SCIENCE</t>
  </si>
  <si>
    <t>Biomonitoring; heavy metals; Mytilus galloprovincialis; health risk</t>
  </si>
  <si>
    <t>ORGANOCHLORINE COMPOUNDS; TRACE-METALS; SEDIMENTS; MERCURY; WATER; POLLUTION; FISH; BIOMARKERS; MOLLUSKS; OYSTERS</t>
  </si>
  <si>
    <t>Concentrations of six heavy metals (Cd, Cr, Cu, Hg, Pb and Zn) and one semi-metal (As) were determined in tissues of the mussel Mytilus galloprovincialis collected along the Apulian coast (Mediterranean Sea). This project, executed in 2009, focused on the assessment of the levels and spatial distribution of metals in the environment, in order to evaluate coastal water quality, using mussels as bioindicators, and the health risk for mussel consumers. The concentrations (mg/kg d.w.) of these metals ranged from 6.35 to 76.17 for arsenic (As), 0.38 to 2.54 for cadmium (Cd), 0.96 to 9.46 for chromium (Cr), 5.26 to 19.22 for copper (Cu), 0.10 to 0.81 for mercury (Hg), 25.00 to 110.51 for zinc (Zn) and 0.37 to 3.25 for lead (Pb). These levels were lower than the permissible limits set by the European Commission and FAO, with the exception of Cr at three sampling stations. Evaluation of the public health risk associated with mollusc consumption indicates that there is no evident risk for a moderate Mytilus g. consumer; however, heavy metal concentrations must be monitored periodically and carefully with respect to consumer health.</t>
  </si>
  <si>
    <t>[Spada, L.; Annicchiarico, C.; Cardellicchio, N.; Giandomenico, S.; Di Leo, A.] CNR Inst Coastal Marine Environm, Operat Unit Taranto, I-74123 Taranto, Italy</t>
  </si>
  <si>
    <t>Spada, L (corresponding author), CNR Inst Coastal Marine Environm, Operat Unit Taranto, Via Roma 3, I-74123 Taranto, Italy.</t>
  </si>
  <si>
    <t>lucia.spada@iamc.cnr.it</t>
  </si>
  <si>
    <t>Di Leo, Antonella/AAX-9345-2020; giandomenico, santina/AEE-9520-2022</t>
  </si>
  <si>
    <t>GIANDOMENICO, SANTINA/0000-0001-8231-1301</t>
  </si>
  <si>
    <t>NATL CENTRE MARINE RESEARCH</t>
  </si>
  <si>
    <t>HELLINIKON</t>
  </si>
  <si>
    <t>AGHIOS KOSMAS, HELLINIKON, GR-16-604, GREECE</t>
  </si>
  <si>
    <t>1108-393X</t>
  </si>
  <si>
    <t>MEDITERR MAR SCI</t>
  </si>
  <si>
    <t>Mediterr. Mar. Sci.</t>
  </si>
  <si>
    <t>10.12681/mms.323</t>
  </si>
  <si>
    <t>Fisheries; Geosciences, Multidisciplinary; Marine &amp; Freshwater Biology; Oceanography</t>
  </si>
  <si>
    <t>Fisheries; Geology; Marine &amp; Freshwater Biology; Oceanography</t>
  </si>
  <si>
    <t>162VQ</t>
  </si>
  <si>
    <t>Green Submitted, gold</t>
  </si>
  <si>
    <t>WOS:000320294500013</t>
  </si>
  <si>
    <t>Achard, M; Baudrimont, M; Boudou, A; Bourdineaud, JP</t>
  </si>
  <si>
    <t>Induction of a multixenobiotic resistance protein (MXR) in the Asiatic clam Corbicula fluminea after heavy metals exposure</t>
  </si>
  <si>
    <t>AQUATIC TOXICOLOGY</t>
  </si>
  <si>
    <t>MXR; P-glycoprotein; Corbicula fluminea; cadmium; heavy metals</t>
  </si>
  <si>
    <t>MUSSEL MYTILUS-CALIFORNIANUS; MULTIDRUG-RESISTANCE; P-GLYCOPROTEIN; DEFENSE-MECHANISM; COMMON MUSSEL; CADMIUM; ACCUMULATION; METALLOTHIONEIN; EXPRESSION; TRANSPORT</t>
  </si>
  <si>
    <t>Multixenobiotic resistance mechanisms (MXR) related to the mammalian P-glycoprotein multidrug transporter protein (P-gp) are known to occur in several marine invertebrates. In the present work, we report on the induction of an MXR protein by various heavy metals in the gills of the freshwater clam Corbicula fluminea. The evaluation of the MXR protein level was assessed by Western blot using a specific monoclonal antibody raised against the human P-gp (C219). A field transplantation experiment, where clams were caged in a gradient relative to an industrial site, demonstrated a positive relationship between MXR levels and (a) metal pollution (Cd and Zn) in the environment and (b) metal bioaccumulation in the gills. To establish this correlative relationship, clams were exposed to different levels of cadmium (15-60 mug l(-1)) for up to 15 days in a controlled laboratory experiment. MXR protein levels increased in time for all treatments (including the control). However, the highest levels of MXR protein titer were expressed in clams that had been exposed to the lowest dose of cadmium. The causes for this observed inverse relationship between the exposure dose and the MXR induction is discussed. MXR protein titer was also shown to be induced by other heavy metals (zinc, inorganic mercury, and copper). (C) 2004 Elsevier B.V. All rights reserved.</t>
  </si>
  <si>
    <t>Univ Bordeaux 1, CNRS, UMR 5805, LEESA, F-33120 Arcachon, France</t>
  </si>
  <si>
    <t>Centre National de la Recherche Scientifique (CNRS); CNRS - National Institute for Earth Sciences &amp; Astronomy (INSU); Universite de Bordeaux</t>
  </si>
  <si>
    <t>Univ Bordeaux 1, CNRS, UMR 5805, LEESA, Pl Dr Peyneau, F-33120 Arcachon, France.</t>
  </si>
  <si>
    <t>jp.bourdineaud@epoc.u-bordeaux1.fr</t>
  </si>
  <si>
    <t>Baudrimont, Magalie/0000-0001-9901-8435</t>
  </si>
  <si>
    <t>ELSEVIER</t>
  </si>
  <si>
    <t>AMSTERDAM</t>
  </si>
  <si>
    <t>RADARWEG 29, 1043 NX AMSTERDAM, NETHERLANDS</t>
  </si>
  <si>
    <t>0166-445X</t>
  </si>
  <si>
    <t>1879-1514</t>
  </si>
  <si>
    <t>AQUAT TOXICOL</t>
  </si>
  <si>
    <t>Aquat. Toxicol.</t>
  </si>
  <si>
    <t>MAY 12</t>
  </si>
  <si>
    <t>10.1016/j.aquatox.2004.01.014</t>
  </si>
  <si>
    <t>Marine &amp; Freshwater Biology; Toxicology</t>
  </si>
  <si>
    <t>816VN</t>
  </si>
  <si>
    <t>WOS:000221137500005</t>
  </si>
  <si>
    <t>Acosta, V; Lodeiros, C</t>
  </si>
  <si>
    <t>Heavy metals in the clam Tivela mactroides Born, 1778 (Bivalvia: Veneridae) from coastal localities with different degrees of contamination in Venezuela</t>
  </si>
  <si>
    <t>CIENCIAS MARINAS</t>
  </si>
  <si>
    <t>heavy metals; clams; bivalves; bioindicator; Venezuelan seacoast</t>
  </si>
  <si>
    <t>TRACE-METAL; MYTILUS-EDULIS; VELIGER LARVAE; BIOACCUMULATION; ASSIMILATION; MUSSELS; COPPER</t>
  </si>
  <si>
    <t>We compared heavy metal levels (manganese, iron, zinc, cadmium, copper, chromium, and lead) in tissues and shells of juveniles (13 +/- 2.2 mm), medium-size organisms with mature gonads (25 +/- 4.1 mm), and adults (35 +/- 1.2 mm) of the clam Tivela mactroides from three different locations along the Venezuelan coast: Playa Guiria, on the northeastern coast, was not affected by environmental pollution, but Rio Chico and Boca de Paparo, influenced by the Tuy River on the central coast, were. Heavy metal concentrations were related to shelf size, with significant differences among populations and shell sizes. Specimens from Boca de Paparo and Rio Chico had the highest heavy metal concentrations in tissues and shells, in contrast with the levels found in specimens from Playa Guiria, in which chromium and lead were absent. The high heavy metal concentrations found in tissues from specimens collected at Boca de Paparo and Rio Chico were possibly of anthropogenic origin and generated by the Tuy River. The environmental conditions at Boca de Paparo may have favored the bioaccumulation of most heavy metals in specimen tissues. At Playa Guiria, however, the heavy metal concentrations were found to be within a natural range. Our results show that T mactroides is a good biological indicator of the presence of heavy metals in the littoral waters they inhabit.</t>
  </si>
  <si>
    <t>Univ Oriente, Escuela Ciencias, Dept Biol, Cumana 6101, Edo Sucre, Venezuela; Univ Oriente, Inst Oceanog Venezuela, Dept Biol Pesquera, Lab Acuicultura, Cumana 6101, Edo Sucre, Venezuela</t>
  </si>
  <si>
    <t>Univ Oriente, Escuela Ciencias, Dept Biol, Cumana 6101, Edo Sucre, Venezuela.</t>
  </si>
  <si>
    <t>vacosta@sucre.udo.edu.ve</t>
  </si>
  <si>
    <t>Lodeiros Seijo, Cesar Jorge Miguel/I-3770-2012</t>
  </si>
  <si>
    <t>Lodeiros Seijo, Cesar Jorge Miguel/0000-0001-9598-2235</t>
  </si>
  <si>
    <t>INST INVESTIGACIONES OCEANOLOGICAS, U A B C</t>
  </si>
  <si>
    <t>BAJA CALIFORNIA</t>
  </si>
  <si>
    <t>APARTADO POSTAL 423, ENSENADA, BAJA CALIFORNIA 22800, MEXICO</t>
  </si>
  <si>
    <t>0185-3880</t>
  </si>
  <si>
    <t>CIENC MAR</t>
  </si>
  <si>
    <t>Cienc. Mar.</t>
  </si>
  <si>
    <t>10.7773/cm.v30i2.183</t>
  </si>
  <si>
    <t>Marine &amp; Freshwater Biology</t>
  </si>
  <si>
    <t>828LZ</t>
  </si>
  <si>
    <t>WOS:000221976100006</t>
  </si>
  <si>
    <t>Osuna-Martínez, CC; Bergés-Tiznado, ME; Frías-Espericueta, MG; Valencia-Chávez, FJ; Zazueta-Avila, VM; Páez-Osuna, F</t>
  </si>
  <si>
    <t>Cristina Osuna-Martinez, Carmen; Elizabeth Berges-Tiznado, Magdalena; Gabriel Frias-Espericueta, Martin; Jesus Valencia-Chavez, Fredy; Mercedes Zazueta-Avila, Veronica; Paez-Osuna, Federico</t>
  </si>
  <si>
    <t>Trace Metals in Two Geoduck Clams (Panopea generosa and P. Globosa) Exploited for the Regional Market from Two Areas of Northwest Mexico</t>
  </si>
  <si>
    <t>Mercury; Cadmium; Copper; Zinc; Health Risk; Gulf of California</t>
  </si>
  <si>
    <t>GULF-OF-CALIFORNIA; CORTEZ GEODUCK; HEAVY-METALS; SEDIMENTS; POLLUTION; BIVALVES; SELENIUM; MERCURY; ESTUARY; BIOTA</t>
  </si>
  <si>
    <t>Biological and fishery features of Panopea sp. clams have been studied in northwest Mexico because of their importance for human consumption. However, the content of pollutants in their tissues, along with their implications have not been addressed yet. The concentrations of cadmium (Cd), copper (Cu), mercury (Hg), and zinc (Zn) in soft tissues of Panopea generosa and P. globosa clams were examined in this region by atomic absorption spectroscopy. The metal concentrations (lag/g wet weight) ranged from 6.5 to 14.2, 0.97-8.09, 0.60-1.18, and 0.01-0.07, for Zn, Cu, Cd, and Hg, respectively. This study proposes that metal presence is related to weathering, upwelling, and drainage from adjacent agricultural lands to the coast. According to the Official Mexican Standard (NOM-242-SSA1-2009) and the World Health Organization (WHO, 2022), the metal content in siphon tissue indicates safe levels for human consumption.</t>
  </si>
  <si>
    <t>[Cristina Osuna-Martinez, Carmen; Gabriel Frias-Espericueta, Martin; Jesus Valencia-Chavez, Fredy; Mercedes Zazueta-Avila, Veronica] Univ Autonoma Sinaloa, Fac Ciencias Mar, Paseo Clausen S-N Col Ctr, Mazatlan 82000, Sinaloa, Mexico; [Elizabeth Berges-Tiznado, Magdalena] Univ Politecn Sinaloa, Carretera Municipal Libre Mazatlan Higueras Km 3, Mazatlan 82199, Sinaloa, Mexico; [Paez-Osuna, Federico] Univ Nacl Autonoma Mexico, Inst Ciencias Mar &amp; Limnol, Unidad Acad Mazatlan, POB 811, Mazatlan 82000, Sinaloa, Mexico; [Paez-Osuna, Federico] Colegio Sinaloa, Antonio Rosales 435 Pte, Culiacan 80000, Sinaloa, Mexico</t>
  </si>
  <si>
    <t>Universidad Autonoma de Sinaloa; Universidad Nacional Autonoma de Mexico</t>
  </si>
  <si>
    <t>Osuna-Martínez, CC (corresponding author), Univ Autonoma Sinaloa, Fac Ciencias Mar, Paseo Clausen S-N Col Ctr, Mazatlan 82000, Sinaloa, Mexico.</t>
  </si>
  <si>
    <t>carmen.cristina.osuna@uas.edu.mx</t>
  </si>
  <si>
    <t>Bergés Tiznado, Magdalena/K-6724-2019; Páez-Osuna, Federico/AAM-3029-2020; Osuna-Martinez, Carmen Cristina/H-3224-2017</t>
  </si>
  <si>
    <t>Berges Tiznado, Magdalena Elizabeth/0000-0002-3993-763X; Osuna-Martinez, Carmen Cristina/0000-0003-4934-5790</t>
  </si>
  <si>
    <t>Universidad Autonoma de Sinaloa [PROFAPI2022_A1_001]</t>
  </si>
  <si>
    <t>Universidad Autonoma de Sinaloa</t>
  </si>
  <si>
    <t>Partial financial support was granted from Project PROFAPI2022_A1_001 from Universidad Autonoma de Sinaloa.</t>
  </si>
  <si>
    <t>10.1007/s00128-022-03626-z</t>
  </si>
  <si>
    <t>NOV 2022</t>
  </si>
  <si>
    <t>6J9TN</t>
  </si>
  <si>
    <t>WOS:000878965700002</t>
  </si>
  <si>
    <t>Adami, G; Aleffi, F; Barbieri, P; Favretto, A; Predonzani, S; Reisenhofer, E</t>
  </si>
  <si>
    <t>Bivalves and heavy metals in polluted sediments: A chemometric approach</t>
  </si>
  <si>
    <t>WATER AIR AND SOIL POLLUTION</t>
  </si>
  <si>
    <t>International Symposium on the Interactions Between Sediments and Water</t>
  </si>
  <si>
    <t>SEP 22-26, 1996</t>
  </si>
  <si>
    <t>BAVENO, ITALY</t>
  </si>
  <si>
    <t>near-shore sediments; heavy metals; bioindicators; bivalves; benthic populations; multivariate analysis; multiple regression analysis; predictive models</t>
  </si>
  <si>
    <t>SEA; MUSSELS</t>
  </si>
  <si>
    <t>Copper, lead, cadmium, zinc, chromium, manganese, iron and nickel were determined in near-shore sediments in the harbour of Trieste (Northern Adriatic), in an area highly exposed to urban and industrial wastes, where severe alteration of benthic population was observed. A typical bivalve of this area, Corbula gibba, was used as bioindicator of sea-bottom pollution. Multivariate statistical analysis of the chemical data interpret concentrations and distributions of heavy metals in these sediments, attesting anthropogenic source for Cu, Pb, Cd and Zn Using labile fractions of heavy metals in sediments as 'predictors', and length or biomass of the bivalve as dependent variables, we obtained, by a multiple regression procedure, a predictive model showing the influence of metals on this benthic organism of this polluted area.</t>
  </si>
  <si>
    <t>UNIV TRIESTE,DEPT GEOG,I-34127 TRIESTE,ITALY; MARINE BIOL LAB,I-34136 TRIESTE,ITALY</t>
  </si>
  <si>
    <t>University of Trieste</t>
  </si>
  <si>
    <t>Adami, G (corresponding author), UNIV TRIESTE,DEPT CHEM SCI,VIA GIORGIERI 1,I-34127 TRIESTE,ITALY.</t>
  </si>
  <si>
    <t>adami, gianpiero/A-8746-2011; Barbieri, Pierluigi/B-9294-2014; Favretto, Andrea/L-7717-2015</t>
  </si>
  <si>
    <t>Barbieri, Pierluigi/0000-0001-8847-6916; Favretto, Andrea/0000-0003-2404-7148</t>
  </si>
  <si>
    <t>KLUWER ACADEMIC PUBL</t>
  </si>
  <si>
    <t>SPUIBOULEVARD 50, PO BOX 17, 3300 AA DORDRECHT, NETHERLANDS</t>
  </si>
  <si>
    <t>0049-6979</t>
  </si>
  <si>
    <t>WATER AIR SOIL POLL</t>
  </si>
  <si>
    <t>Water Air Soil Pollut.</t>
  </si>
  <si>
    <t>1-4</t>
  </si>
  <si>
    <t>Environmental Sciences; Meteorology &amp; Atmospheric Sciences; Water Resources</t>
  </si>
  <si>
    <t>Environmental Sciences &amp; Ecology; Meteorology &amp; Atmospheric Sciences; Water Resources</t>
  </si>
  <si>
    <t>XW682</t>
  </si>
  <si>
    <t>WOS:A1997XW68200063</t>
  </si>
  <si>
    <t>Trinchella, F; Esposito, MG; Simoniello, P; Scudiero, R</t>
  </si>
  <si>
    <t>Trinchella, Francesca; Esposito, Maria Grazia; Simoniello, Palma; Scudiero, Rosaria</t>
  </si>
  <si>
    <t>Cadmium, lead and metallothionein contents in cultivated mussels (Mytilus galloprovincialis) from the Gulf of Naples (Southern Italy)</t>
  </si>
  <si>
    <t>AQUACULTURE RESEARCH</t>
  </si>
  <si>
    <t>cadmium; lead; metallothionein; mussel farms; Campania coastal waters; Tyrrhenian Sea</t>
  </si>
  <si>
    <t>DIGESTIVE GLAND; KINETIC-MODEL; MESSENGER-RNA; ACCUMULATION; EXPOSURE; METALS; FOOD; BIOMARKERS; RESPONSES; CONTAMINATION</t>
  </si>
  <si>
    <t>The concentration of cadmium and lead ions was determined in digestive gland and mantle of mussels (Mytilus galloprovincialis) from five aquaculture stations located in the Gulf of Naples (Southern Italy, Tyrrhenian Sea). Metallothionein (MT) levels in the same tissues were also evaluated. This gulf represents a greatly urbanized area, characterized by an important commercial port and past industrial activities, terminated in the last decade of the 20th century. The results were compared with those obtained from mussels cultivated in a more pristine neighbouring area. Data demonstrate that the amount of both metals found in mussels harvested at the highly anthropogenic sites in the Gulf of Naples was comparable with that found in mussels from the more naturalistic site. The content of both cadmium and lead was not related with that of MT. Indeed, the amount of both metals in the digestive gland was greater than in the mantle, whereas the MT preferentially accumulated in the mantle. Possibly, the MT content in mantle was associated to the physiological function of the tissue, rather than heavy metals exposure.</t>
  </si>
  <si>
    <t>[Trinchella, Francesca; Esposito, Maria Grazia; Simoniello, Palma; Scudiero, Rosaria] Univ Naples Federico II, Dept Biol Sci, I-80134 Naples, Italy</t>
  </si>
  <si>
    <t>University of Naples Federico II</t>
  </si>
  <si>
    <t>Scudiero, R (corresponding author), Univ Naples Federico II, Dept Biol Sci, Via Mezzocannone 8, I-80134 Naples, Italy.</t>
  </si>
  <si>
    <t>rosaria.scudiero@unina.it</t>
  </si>
  <si>
    <t>Scudiero, Rosaria/AAI-2119-2020</t>
  </si>
  <si>
    <t>Simoniello, Palma/0000-0003-2888-2642; Scudiero, Rosaria/0000-0002-8186-9722</t>
  </si>
  <si>
    <t>Polo delle Scienze e delle Tecnologie, University Federico II (FARO Project)</t>
  </si>
  <si>
    <t>This study was financed by the Polo delle Scienze e delle Tecnologie, University Federico II (FARO Project: Aquaculture and Quality (AcQua): characterization of biomarkers for the assessment of coastal waters pollution and the development of mussel farms).</t>
  </si>
  <si>
    <t>1355-557X</t>
  </si>
  <si>
    <t>1365-2109</t>
  </si>
  <si>
    <t>AQUAC RES</t>
  </si>
  <si>
    <t>Aquac. Res.</t>
  </si>
  <si>
    <t>10.1111/j.1365-2109.2012.03111.x</t>
  </si>
  <si>
    <t>Fisheries</t>
  </si>
  <si>
    <t>160KR</t>
  </si>
  <si>
    <t>WOS:000320118900007</t>
  </si>
  <si>
    <t>Kelleghan, DB; 'Callaghan, L; Huggard, F; Brooks, PR</t>
  </si>
  <si>
    <t>Kelleghan, David B.; 'Callaghan, Luke; Huggard, Freddie; Brooks, Paul R.</t>
  </si>
  <si>
    <t>Using valve gape analysis to compare sensitivity of native Mytilus edulis to invasive Magallana gigas when exposed to heavy metal contamination</t>
  </si>
  <si>
    <t>MARINE ENVIRONMENTAL RESEARCH</t>
  </si>
  <si>
    <t>Biomonitoring; Bivalves; Gape behaviour; Hall effect sensor; Heavy metals; Pollution</t>
  </si>
  <si>
    <t>WATER-QUALITY; MARINE BIODIVERSITY; CRASSOSTREA-GIGAS; PACIFIC OYSTER; MUSSELS; BEHAVIOR; POLLUTION; ZINC; GALLOPROVINCIALIS; IDENTIFICATION</t>
  </si>
  <si>
    <t>Coastal ecosystems are ecologically and economically important but are under increasing pressure from numerous anthropogenic sources of stress. Both heavy metal pollution and invasive species pose major environmental concerns that can have significant impacts on marine organisms. It is likely that many stresses will occur simultaneously, resulting in potential cumulative ecological effects. The aim of this study was to compare the relative resilience of an invasive oyster Magallana gigas and a native mussel Mytilus edulis to heavy metal pollution, utilising their valve gape response as an indicator. The gape activity of bivalves has been utilised to monitor a range of potential impacts, including for example oil spills, increased turbidity, eutrophication, heavy metal contamination etc. In this study, Hall effect sensors were used on both the native blue mussel (M. edulis) and the pacific oyster (M. gigas), invasive to Ireland. Mussels were shown to be more responsive to pollution events than oysters, where all heavy metals tested (copper, cadmium, zinc, lead) had an effect on transition frequency though significant differences were only observed for lead and cadmium (Control; &gt; Copper, p = 0.0003; &gt;lead, p = 0.0002; &gt;Cadmium, p = 0.0001). Cadmium had an apparent effect on mussels with specimens from this treatment remaining closed for an average of 45.3% of the time. Similarly, significant effects on the duration of time mussels spent fully open was observed when treated with lead and cadmium (Control; &gt; lead, p = 0.03, &gt; cadmium, p = 0.02). In contrast, oysters displayed no significant difference for any treatment for number of gapes, or duration spent open or closed. Though there was an effect of both zinc and copper on the amount of time spent closed, with averages of 63.2 and 68.7% respectively. This indicates oysters may be potentially more resilient to such pollution events; further boosting their competitive advantage. Future mesocosm or field studies are required to quantify this relative resilience.</t>
  </si>
  <si>
    <t>[Kelleghan, David B.] Univ Coll Dublin, Sch Biosyst &amp; Food Engn, Dublin, Ireland; ['Callaghan, Luke; Huggard, Freddie; Brooks, Paul R.] Univ Coll Dublin, Sch Biol &amp; Environm Sci, Dublin, Ireland; [Kelleghan, David B.; Brooks, Paul R.] Univ Coll Dublin, Earth Inst, Sci Ctr East, Dublin, Ireland</t>
  </si>
  <si>
    <t>University College Dublin; University College Dublin; University College Dublin</t>
  </si>
  <si>
    <t>Kelleghan, DB (corresponding author), Univ Coll Dublin, Sch Biosyst &amp; Food Engn, Dublin, Ireland.</t>
  </si>
  <si>
    <t>davidkelleghan@gmail.com</t>
  </si>
  <si>
    <t>Kelleghan, David/0000-0003-0817-8703</t>
  </si>
  <si>
    <t>0141-1136</t>
  </si>
  <si>
    <t>1879-0291</t>
  </si>
  <si>
    <t>MAR ENVIRON RES</t>
  </si>
  <si>
    <t>Mar. Environ. Res.</t>
  </si>
  <si>
    <t>JUL</t>
  </si>
  <si>
    <t>10.1016/j.marenvres.2023.106043</t>
  </si>
  <si>
    <t>JUN 2023</t>
  </si>
  <si>
    <t>Environmental Sciences; Marine &amp; Freshwater Biology; Toxicology</t>
  </si>
  <si>
    <t>Environmental Sciences &amp; Ecology; Marine &amp; Freshwater Biology; Toxicology</t>
  </si>
  <si>
    <t>M6QS3</t>
  </si>
  <si>
    <t>WOS:001031448700001</t>
  </si>
  <si>
    <t>Fokina, NN; Ruokolainen, TR; Nemova, NN; Bakhmet, IN</t>
  </si>
  <si>
    <t>Fokina, Natalia N.; Ruokolainen, Tatiana R.; Nemova, Nina N.; Bakhmet, Igor N.</t>
  </si>
  <si>
    <t>Changes of Blue Mussels Mytilus edulis L. Lipid Composition Under Cadmium and Copper Toxic Effect</t>
  </si>
  <si>
    <t>BIOLOGICAL TRACE ELEMENT RESEARCH</t>
  </si>
  <si>
    <t>Cadmium; Copper; Toxicity; Phospholipids; Cholesterol; Triacylglycerols; Fatty acids</t>
  </si>
  <si>
    <t>FATTY-ACIDS; AUTOPHAGOSOME FORMATION; ARACHIDONIC-ACID; HEAVY-METALS; SYSTEMS; CELLS; GALLOPROVINCIALIS; PHOSPHOLIPIDS; PEROXIDATION; POLLUTION</t>
  </si>
  <si>
    <t>The lipid and fatty acid composition of the blue mussels Mytilus edulis L. gills and digestive glands was evaluated after 24 and 72 h of cadmium (Cd) and copper (Cu) exposure. Mussels were exposed to different cadmium (10, 100, and 500 mu g/L) and copper (5, 50, and 250 mu g/L) concentrations. Similar stress response of predominant membrane phospholipids level as well as polyenoic and non-methylene interrupted (NMI) fatty acids content was observed in mussel gills under both cadmium and copper effects. Increased NMI fatty acids level after 24 h, the metal ions treatment suggests that these acids contribute to the protective response to the membrane oxidative stress caused by accumulation of the metals. The content of cholesterol, some minor membrane phospholipids, and storage lipids (triacylglycerols, TAG) in the mussels' organs alter significantly under the cadmium and copper effect. A two-step response at the digestive glands TAG level depends on the duration of the cadmium and copper treatments (24 and 72 h) on the mussels. The results demonstrate that Cd and Cu impact has adverse effects on gills and digestive glands lipid and fatty acids composition. The type of observed effects varies with the nature and concentration of the metal ions and depends on the role of the metals in the mussels' life activity.</t>
  </si>
  <si>
    <t>[Fokina, Natalia N.; Ruokolainen, Tatiana R.; Nemova, Nina N.; Bakhmet, Igor N.] Russian Acad Sci, Inst Biol, Karelian Res Ctr, Petrozavodsk 185910, Russia</t>
  </si>
  <si>
    <t>Russian Academy of Sciences; Karelian Research Centre of the Russian Academy of Sciences; Institute of Biology of Karelian Research Centre RAS</t>
  </si>
  <si>
    <t>Fokina, NN (corresponding author), Russian Acad Sci, Inst Biol, Karelian Res Ctr, Pushkinskaja St 11, Petrozavodsk 185910, Russia.</t>
  </si>
  <si>
    <t>fokinann@gmail.com</t>
  </si>
  <si>
    <t>Bakhmet, Igor/AAE-7995-2019; Nemova, Nina/AAI-6595-2021; Fokina, Natalia/A-5903-2014; Ruokolainen, Tatiana/R-4895-2018</t>
  </si>
  <si>
    <t>Fokina, Natalia/0000-0002-1209-3019; Ruokolainen, Tatiana/0000-0003-3728-8063</t>
  </si>
  <si>
    <t>RFBR [12-04-32205]; Russian President Program Leading Scientific Schools [SS 1642.2012.4]; project of Ministry of Education and Science RF [01201274586]; programs of RAS Biological resources and Biodiversity</t>
  </si>
  <si>
    <t>RFBR(Russian Foundation for Basic Research (RFBR)); Russian President Program Leading Scientific Schools(Leading Scientific Schools Program); project of Ministry of Education and Science RF; programs of RAS Biological resources and Biodiversity</t>
  </si>
  <si>
    <t>This work was supported by RFBR grant N 12-04-32205, Russian President Program Leading Scientific Schools SS 1642.2012.4, the project of Ministry of Education and Science RF (contract N 01201274586), and programs of RAS Biological resources and Biodiversity.</t>
  </si>
  <si>
    <t>HUMANA PRESS INC</t>
  </si>
  <si>
    <t>TOTOWA</t>
  </si>
  <si>
    <t>999 RIVERVIEW DRIVE SUITE 208, TOTOWA, NJ 07512 USA</t>
  </si>
  <si>
    <t>0163-4984</t>
  </si>
  <si>
    <t>BIOL TRACE ELEM RES</t>
  </si>
  <si>
    <t>Biol. Trace Elem. Res.</t>
  </si>
  <si>
    <t>10.1007/s12011-013-9727-3</t>
  </si>
  <si>
    <t>Biochemistry &amp; Molecular Biology; Endocrinology &amp; Metabolism</t>
  </si>
  <si>
    <t>203EY</t>
  </si>
  <si>
    <t>WOS:000323274900009</t>
  </si>
  <si>
    <t>Berthet, B; Mouneyrac, C; Pérez, T; Amiard-Triquet, C</t>
  </si>
  <si>
    <t>Metallothionein concentration in sponges (Spongia officinalis) as a biomarker of metal contamination</t>
  </si>
  <si>
    <t>sponges; cadmium; copper; mercury; silver; zinc; metallothionein</t>
  </si>
  <si>
    <t>ACCUMULATION; CADMIUM; MUSSEL; WATER; ZN; CD</t>
  </si>
  <si>
    <t>The synthesis of metallothioneins (MTs) is often induced when organisms are exposed to heavy metals in the field. They are among the major specific biomarkers identified to date. With a view to include MTs in biomonitoring programs, the organisms most commonly studied are bivalves. Sponges present most of the. characteristics researched in bioindicators of pollution and consequently have been proposed to constitute a Sponge Watch Program. The detection of large quantities of metals in sponges suggests the existence of detoxification systems and indeed, the presence of metallothionein-like proteins (MTLPs) has been reported in two different species of sponges. In Spongia officinalis, the present study has demonstrated the presence of compounds exhibiting most of the characteristics of MTs: cytosolic, heat-stable, with apparent molecular mass of 4 to 15 kDa and binding (at least) Ag, Cu and Zn. Specimens have been collected along the French Mediterranean coast from three sites differing by their degree of contamination. Relationships between MTLP and metal concentrations have been established. For copper, mercury and zinc, the correlations were significantly positive. (C) 2005 Elsevier Inc. All rights reserved.</t>
  </si>
  <si>
    <t>SMAB, Pole Mer &amp; Littoral, F-44322 Nantes, France; Inst Catholique Etud Super, La Roche Sur Yon, France; Univ Catholique Ouest, CEREA, Angers, France; Ctr Oceanol Marseille, Marseille, France</t>
  </si>
  <si>
    <t>Institut Polytechnique de Paris; Ecole des Ponts ParisTech</t>
  </si>
  <si>
    <t>SMAB, Pole Mer &amp; Littoral, 2 Rue Houssiniere,BP 92208, F-44322 Nantes, France.</t>
  </si>
  <si>
    <t>Claude.Amiard-Triquet@univ-nantes.fr</t>
  </si>
  <si>
    <t>STE 800, 230 PARK AVE, NEW YORK, NY 10169 USA</t>
  </si>
  <si>
    <t>10.1016/j.cca.2005.07.008</t>
  </si>
  <si>
    <t>964QK</t>
  </si>
  <si>
    <t>Green Submitted</t>
  </si>
  <si>
    <t>WOS:000231895400011</t>
  </si>
  <si>
    <t>Soceanu, A; Dobrinas, S; Popovici, IC; Jitariu, D</t>
  </si>
  <si>
    <t>Soceanu, A.; Dobrinas, S.; Popovici, I. Carazeanu; Jitariu, D.</t>
  </si>
  <si>
    <t>HEALTH RISK ASSESSMENT OF HEAVY METALS IN SEAFOOD</t>
  </si>
  <si>
    <t>JOURNAL OF ENVIRONMENTAL PROTECTION AND ECOLOGY</t>
  </si>
  <si>
    <t>heavy metals; Graphite furnace atomic absorption spectrometry method (GF-AAS); seafood; Estimated daily intake (EDI)</t>
  </si>
  <si>
    <t>CONTAMINATION</t>
  </si>
  <si>
    <t>A contaminated aquatic environment may end up in the food chain and pose risks to human health. Seafood strengthens the immune system, prevents the absorption of chemicals and reduces the harmful effects of radioactive pollution, being indicated during chemotherapy and after excessive exposure to the sun. The objective of the current study was to investigate the levels of contamination with heavy metals of some seafood from Romanian fish market (octopus, shrimp, squid, rapana, mussels, cuttlefish). Studied heavy metals were chromium, manganese, copper, zinc, arsenic, cadmium and lead. Metals were analysed in the solutions obtained after digestion of samples, using Graphite furnace atomic absorption spectrometry method (GF-AAS) and were found at ppm levels. The Pearson correlation analysis of metal concentrations for the studied marine organism species was calculated. In Europe, maximum levels for lead and cadmium are laid down in legislation, varying from 0.5 to 1.0 mg/kg for different seafood. Lead and cadmium founded in studied seafood did not exceed the maximum levels established by European legislation. No maximum levels for arsenic have been laid down in European legislation. In order to predict health risk assessment, the Estimated daily intake (EDI) of heavy metals was also calculated.</t>
  </si>
  <si>
    <t>[Soceanu, A.; Dobrinas, S.; Popovici, I. Carazeanu] Ovidius Univ Constanta, Dept Chem &amp; Chem Engn, 124 Mamaia Blvd, Constanta, Romania; [Jitariu, D.] Ovidius Univ Constanta, Dept Nat Sci, 124 Mamaia Blvd, Constanta, Romania</t>
  </si>
  <si>
    <t>Ovidius University; Ovidius University</t>
  </si>
  <si>
    <t>Popovici, IC (corresponding author), Ovidius Univ Constanta, Dept Chem &amp; Chem Engn, 124 Mamaia Blvd, Constanta, Romania.</t>
  </si>
  <si>
    <t>carazeanu@yahoo.com</t>
  </si>
  <si>
    <t>Soceanu, Alina/AAG-6493-2021; POPOVICI, IONELA/B-7044-2011</t>
  </si>
  <si>
    <t>SCIBULCOM LTD</t>
  </si>
  <si>
    <t>SOFIA</t>
  </si>
  <si>
    <t>PO BOX 249, 1113 SOFIA, BULGARIA</t>
  </si>
  <si>
    <t>1311-5065</t>
  </si>
  <si>
    <t>J ENVIRON PROT ECOL</t>
  </si>
  <si>
    <t>J. Environ. Prot. Ecol.</t>
  </si>
  <si>
    <t>NK5PN</t>
  </si>
  <si>
    <t>WOS:000566784600012</t>
  </si>
  <si>
    <t>Mok, JS; Yoo, HD; Kim, PH; Yoon, HD; Park, YC; Lee, TS; Kwon, JY; Son, KT; Lee, HJ; Ha, KS; Shim, KB; Kim, JH</t>
  </si>
  <si>
    <t>Mok, Jong Soo; Yoo, Hyun Duk; Kim, Poong Ho; Yoon, Ho Dong; Park, Young Cheol; Lee, Tae Seek; Kwon, Ji Young; Son, Kwang Tae; Lee, Hee Jung; Ha, Kwang Soo; Shim, Kil Bo; Kim, Ji Hoe</t>
  </si>
  <si>
    <t>Bioaccumulation of Heavy Metals in Oysters from the Southern Coast of Korea: Assessment of Potential Risk to Human Health</t>
  </si>
  <si>
    <t>Heavy metal; Oyster; Bioaccumulation; Risk assessment; Korea</t>
  </si>
  <si>
    <t>SHELLFISH; FISH</t>
  </si>
  <si>
    <t>From 2009 to 2013, 80 oyster and 16 seawater samples were collected from the southern coast of Korea, including designated shellfish growing areas for export. The concentrations and bioaccumulation of heavy metals were determined, and a potential risk assessment was conducted to evaluate their hazards towards human consumption. The cadmium (Cd) concentration in oysters was the highest of three hazardous metals, including Cd, lead (Pb), and mercury (Hg), however, below the standards set by various countries. The metal bioaccumulation ratio in oysters was relatively high for zinc and Cd but low for Hg, Pb, arsenic, and chromium. The estimated dietary intakes of all heavy metals for oysters accounted for 0.02 %-17.75 % of provisional tolerable daily intake. The hazard index for all samples was far &lt;1.0, which indicates that the oysters do not pose an appreciable hazard to humans for the metal pollutants of study.</t>
  </si>
  <si>
    <t>[Mok, Jong Soo; Yoo, Hyun Duk; Kim, Poong Ho; Yoon, Ho Dong; Park, Young Cheol] Natl Fisheries Res &amp; Dev Inst, Southeast Sea Fisheries Res Inst, Sanyang Up 650943, Tongyoung, South Korea; [Lee, Tae Seek; Kwon, Ji Young; Son, Kwang Tae; Lee, Hee Jung; Ha, Kwang Soo; Shim, Kil Bo; Kim, Ji Hoe] Natl Fisheries Res &amp; Dev Inst, Food Safety Res Div, Busan 619705, South Korea</t>
  </si>
  <si>
    <t>Mok, JS (corresponding author), Natl Fisheries Res &amp; Dev Inst, Southeast Sea Fisheries Res Inst, 397-68 Sanyang Iljuro, Sanyang Up 650943, Tongyoung, South Korea.</t>
  </si>
  <si>
    <t>mjs0620@korea.kr</t>
  </si>
  <si>
    <t>Kwon, Ji Young/HJG-4704-2022</t>
  </si>
  <si>
    <t>National Fisheries Research and Development Institute of Korea [RP-2015-FS-001]</t>
  </si>
  <si>
    <t>National Fisheries Research and Development Institute of Korea</t>
  </si>
  <si>
    <t>This work was supported by a grant from the National Fisheries Research and Development Institute of Korea (RP-2015-FS-001).</t>
  </si>
  <si>
    <t>10.1007/s00128-015-1534-4</t>
  </si>
  <si>
    <t>CJ8KQ</t>
  </si>
  <si>
    <t>WOS:000355749500013</t>
  </si>
  <si>
    <t>Xu, X; Liu, XF; Oh, M; Park, J</t>
  </si>
  <si>
    <t>Xu, Xin; Liu, Xiaofeng; Oh, Myounghak; Park, Junboum</t>
  </si>
  <si>
    <t>Oyster Shell as a Low-Cost Adsorbent for Removing Heavy Metal Ions from Wastewater</t>
  </si>
  <si>
    <t>POLISH JOURNAL OF ENVIRONMENTAL STUDIES</t>
  </si>
  <si>
    <t>heavy metal ions; oyster shell; adsorption isotherm; adsorption kinetics; competitive adsorption</t>
  </si>
  <si>
    <t>AQUEOUS-SOLUTIONS; ACTIVATED CARBON; ADSORPTION; LEAD; CELLULOSE; KINETICS; CADMIUM; SYSTEM</t>
  </si>
  <si>
    <t>Oyster shell powder is a potential adsorbent material that can be used to control pollution in groundwater. The current research objective is to evaluate the heavy metal ion adsorption properties by oyster shell powder in an aqueous solution. Three kinds of heavy metals (copper, cadmium, and lead) were adsorbed using oyster shell powder from aqueous solution. The effects of different temperatures, contact times, pH values, and initial concentrations were examined in order to optimize the conditions used for heavy metal decontamination. Cadmium and copper adsorption behaviours were suitable for modelling by the Langmuir isotherm, and lead adsorption behaviour was best modelled by the Freundlich isotherm. Adsorption situations fitted a pseudo second-order kinetic model. Intra-particular diffusion of heavy metal ions by oyster shell powder could be divided into two stages: rapid diffusion first, followed by a stable second stage. The maximum adsorption amount was ranked in an ascending order as that to copper, cadmium, and then lead for both single and competitive systems. The adsorption capacities of copper, cadmium, and lead ions by oyster shell powder were lower in a competitive system than in a single system, indicating that competitive adsorption could occur.</t>
  </si>
  <si>
    <t>[Xu, Xin; Park, Junboum] Seoul Natl Univ, Dept Civil &amp; Environm Engn, Seoul, South Korea; [Liu, Xiaofeng] Taiyuan Univ Technol, Coll Architecture &amp; Civil Engn, Taiyuan, Shanxi, Peoples R China; [Oh, Myounghak] Korea Inst Ocean Sci &amp; Technol, Coastal Disaster Prevent Res Ctr, Busan, South Korea</t>
  </si>
  <si>
    <t>Seoul National University (SNU); Taiyuan University of Technology; Korea Institute of Ocean Science &amp; Technology (KIOST)</t>
  </si>
  <si>
    <t>Park, J (corresponding author), Seoul Natl Univ, Dept Civil &amp; Environm Engn, Seoul, South Korea.</t>
  </si>
  <si>
    <t>junbpark@snu.ac.kr</t>
  </si>
  <si>
    <t>XU, XIN/AAH-4240-2019</t>
  </si>
  <si>
    <t>Park, Junboum/0000-0003-4954-8010</t>
  </si>
  <si>
    <t>Ministry of Oceans and Fisheries, South Korea; Infrastructure and Transportation Technology Promotion Research Program - Ministry of Land, Infrastructure and Transport of South Korea [17CTAP-C132706-01]; Institute of Engineering Research at Seoul National University</t>
  </si>
  <si>
    <t>Ministry of Oceans and Fisheries, South Korea; Infrastructure and Transportation Technology Promotion Research Program - Ministry of Land, Infrastructure and Transport of South Korea; Institute of Engineering Research at Seoul National University</t>
  </si>
  <si>
    <t>This research was part of the project titled 'Development on technology for offshore waste final disposal', funded by the Ministry of Oceans and Fisheries, South Korea, and a grant funding (17CTAP-C132706-01) from Infrastructure and Transportation Technology Promotion Research Program funded by Ministry of Land, Infrastructure and Transport of South Korea, and supported by the Institute of Engineering Research at Seoul National University</t>
  </si>
  <si>
    <t>HARD</t>
  </si>
  <si>
    <t>OLSZTYN 5</t>
  </si>
  <si>
    <t>POST-OFFICE BOX, 10-718 OLSZTYN 5, POLAND</t>
  </si>
  <si>
    <t>1230-1485</t>
  </si>
  <si>
    <t>2083-5906</t>
  </si>
  <si>
    <t>POL J ENVIRON STUD</t>
  </si>
  <si>
    <t>Pol. J. Environ. Stud.</t>
  </si>
  <si>
    <t>10.15244/pjoes/92941</t>
  </si>
  <si>
    <t>HX0AN</t>
  </si>
  <si>
    <t>gold</t>
  </si>
  <si>
    <t>WOS:000467051900041</t>
  </si>
  <si>
    <t>Fraser, M; Surette, C; Vaillancourt, C</t>
  </si>
  <si>
    <t>Fraser, Marc; Surette, Celine; Vaillancourt, Cathy</t>
  </si>
  <si>
    <t>Spatial and temporal distribution of heavy metal concentrations in mussels (Mytilus edulis) from the Baie des Chaleurs, New Brunswick, Canada</t>
  </si>
  <si>
    <t>Ecosystem approach; Contamination; Marine ecosystem; Belledune; Heavy industry; Lead; Cadmium; Zinc</t>
  </si>
  <si>
    <t>THERMAL POWER-PLANT; MARINE-SEDIMENTS; TRACE-ELEMENTS; MERCURY; LEAD; EXPOSURE; BIOACCUMULATION; EMISSIONS; CADMIUM; RISK</t>
  </si>
  <si>
    <t>Previous studies on heavy metal contamination of the Baie des Chaleurs focus only on industrial centers and overlooked the ecosystem as a whole. To fill this gap, the objective of this study is to establish a baseline of the spatio-temporal distribution of heavy metals in mussels from the Bale des Chaleurs based on the ecosystem approach. Our results show, for the first time, a cadmium contamination in mussels across the south coast of the Baie des Chaleurs and not only in industrial centers. Our results also confirm previous studies showing heavy metal contamination of the Belledune area. This study demonstrates that the use of the ecosystemic approach is essential to obtain a comprehensive picture of environmental contamination in marine ecosystems. (C) 2011 Elsevier Ltd. All rights reserved.</t>
  </si>
  <si>
    <t>[Fraser, Marc; Surette, Celine] Univ Moncton, Dept Chim &amp; Biochim, Moncton, NB E1A 3E9, Canada; [Fraser, Marc; Vaillancourt, Cathy] Univ Quebec, INRS Inst Armand Frappier, Laval, PQ H7V 1B7, Canada</t>
  </si>
  <si>
    <t>University of Moncton; University of Quebec; Institut national de la recherche scientifique (INRS)</t>
  </si>
  <si>
    <t>Surette, C (corresponding author), Univ Moncton, Dept Chim &amp; Biochim, 18 Ave Antonine Maillet, Moncton, NB E1A 3E9, Canada.</t>
  </si>
  <si>
    <t>celine.surette@umoncton.ca; cathy.vaillancourt@iaf.inrs.ca</t>
  </si>
  <si>
    <t>Vaillancourt, Cathy/ADT-7319-2022</t>
  </si>
  <si>
    <t>Vaillancourt, Cathy/0000-0003-0543-6244</t>
  </si>
  <si>
    <t>New Brunswick Environmental Trust; Consortium National de Formation en Sante; Ministere de l'Education postsecondaire, de la Formation et du Travail du Nouveau-Brunswick et du Quebec</t>
  </si>
  <si>
    <t>We thank Jeremie Doiron, Yves Guitard, Emmanuel Roy, Luc-Henri Bourgoin, Fernand Comeau, Dr. Gaetan Moreau and Environment Canada, in particular Fernand Hebert and Martin Leger. This work is financially supported by the New Brunswick Environmental Trust Fund, the Consortium National de Formation en Sante and the Programme de cooperation Quebec-Nouveau-Brunswick, Ministere de l'Education postsecondaire, de la Formation et du Travail du Nouveau-Brunswick et du Quebec.</t>
  </si>
  <si>
    <t>10.1016/j.marpolbul.2011.03.036</t>
  </si>
  <si>
    <t>791PL</t>
  </si>
  <si>
    <t>WOS:000292677000037</t>
  </si>
  <si>
    <t>RAJ, AIM; HAMEED, PS</t>
  </si>
  <si>
    <t>EFFECT OF COPPER, CADMIUM AND MERCURY ON METABOLISM OF THE FRESH-WATER MUSSEL LAMELLIDENS-MARGINALIS (LAMARCK)</t>
  </si>
  <si>
    <t>JOURNAL OF ENVIRONMENTAL BIOLOGY</t>
  </si>
  <si>
    <t>METAL POLLUTION; METABOLISM; CHRONIC BIOASSAY; L-MARGINALIS</t>
  </si>
  <si>
    <t>The freshwater mussel L. marginalis exposed to sub- lethal concentration of copper (0.25, 0.5, 0.75, 1.0 ppm) for 30 days showed a decrease in body weight being more in first 10 days. Copper and mercury accelerated the respiratory rate, while cadmium depressed it. Acceleration of respiratory rate was high on 10th day but decreased on 20th and 30th days and it was proportional to concentration of the metals in the medium. The significance of long term bio-assay is discussed.</t>
  </si>
  <si>
    <t>JAMAL MOHAMED COLL, POST GRAD DEPT ZOOL, Tiruchirappalli 620020, INDIA.</t>
  </si>
  <si>
    <t>TRIVENI ENTERPRISES</t>
  </si>
  <si>
    <t>LUCKNOW</t>
  </si>
  <si>
    <t>C/O KIRAN DALELA, 1/206 VIKAS NAGAR, KURSI RD, LUCKNOW 226 022, INDIA</t>
  </si>
  <si>
    <t>0254-8704</t>
  </si>
  <si>
    <t>J ENVIRON BIOL</t>
  </si>
  <si>
    <t>J.Environ.Biol.</t>
  </si>
  <si>
    <t>GC937</t>
  </si>
  <si>
    <t>WOS:A1991GC93700006</t>
  </si>
  <si>
    <t>Ouali, N; Belabed, BE; Chenchouni, H</t>
  </si>
  <si>
    <t>Ouali, Naouel; Belabed, Bourhane-Eddine; Chenchouni, Haroun</t>
  </si>
  <si>
    <t>Modelling environment contamination with heavy metals in flathead grey mullet Mugil cephalus and upper sediments from north African coasts of the Mediterranean Sea</t>
  </si>
  <si>
    <t>SCIENCE OF THE TOTAL ENVIRONMENT</t>
  </si>
  <si>
    <t>Water pollution; Heavy metals bioaccumulation; Mugil cephalus; Sediment contamination; Gulf of Annaba; Coastal biomonitoring</t>
  </si>
  <si>
    <t>ECOLOGICAL RISK-ASSESSMENT; CLAM RUDITAPES-PHILIPPINARUM; CRAB CALLINECTES-SAPIDUS; SAINT LOUIS ESTUARY; SURFACE SEDIMENTS; TRACE-METALS; COMMERCIAL FISH; ISKENDERUN BAY; SPATIAL-DISTRIBUTION; DIFFERENT SALINITIES</t>
  </si>
  <si>
    <t>Heavy metals are a serious hazard for aquatic ecosystems and human health. They negatively affect aquatic life functioning through accumulation resulting physiological/growth disturbances in aquatic lifeforms. This survey focused on the assessment of heavy metal pollution in the Gulf of Annaba (northeastern Algeria), the largest and most diversified industrial hub in Africa, using a multi-compartment approach (water-sediment-biota). The study aims to characterize the spatiotemporal variation of trace metal (TM) contamination and its effects on the growth of the Flathead grey mullet (Mugil cephalus). It reviewed TM concentrations in upper sediments and organs of M. cephalus from various hydrosystems worldwide. Five sites distributed along the Gulf were sampled to determine water physicochemical parameters as well as the contamination of surficial sediments and muscles of M. cephalus by zinc, copper, lead, cadmium and mercury. The spatiotemporal variations of the measured parameters were tested and discussed following the synergetic effects of water, sediment and muscle variables on fish biometrics. The sediments at the Port, Joinoville and Sidi-Salem sites were classified as heavily polluted by lead, copper, zinc and cadmium, whereas only at the Port by mercury. Muscular lead concentrations exceeded international standard values in Joinoville and Port, and zinc in Port. The increase of water dissolved oxygen induced a significant decrease in sediment TM. The increase of sediment TM caused a significant increase in muscle TM levels. The S-shaped logisticmodels indicated that muscle contaminations reached a saturation plateaus following the current sediment pollution. TM concentrations in fish muscles negatively affected fish weight, but only copper and cadmium significantly influenced fish length. The consumption of fish from the Port, Joinoville and Sidi-Salem can be dangerous because concentrations of lead, zinc and cadmium exceeded the international standards. This study validates the effectiveness of biomonitoring using M. cephalus as bioindicator in polluted coasts. (C) 2018 Elsevier B.V. All rights reserved.</t>
  </si>
  <si>
    <t>[Ouali, Naouel] Univ El Taif, Dept Marine Sci, El Taif 36000, Algeria; [Ouali, Naouel; Belabed, Bourhane-Eddine] Annaba Univ, Marine Sci Dept, Aquaculture &amp; Pathol Res Lab, Annaba 23000, Algeria; [Chenchouni, Haroun] Univ Tebessa, Fac Exact Sci &amp; Nat &amp; Life Sci, Dept Nat &amp; Life Sci, Tebessa 12002, Algeria; [Chenchouni, Haroun] Univ Oum El Bouaght, Lab Nat Resources &amp; Management Sensit Environm RN, Oum El Bouaght 04000, Algeria</t>
  </si>
  <si>
    <t>Universite Badji Mokhtar - Annaba; Echahid Cheikh Larbi Tebessi University</t>
  </si>
  <si>
    <t>Chenchouni, H (corresponding author), Univ Tebessa, Fac Exact Sci &amp; Nat &amp; Life Sci, Dept Nat &amp; Life Sci, Tebessa 12002, Algeria.;Chenchouni, H (corresponding author), Univ Oum El Bouaght, Lab Nat Resources &amp; Management Sensit Environm RN, Oum El Bouaght 04000, Algeria.</t>
  </si>
  <si>
    <t>sihemoualinaouel@gmail.com; bourhanebelabedmarine@yahoo.fr; chenchouni@gmail.com</t>
  </si>
  <si>
    <t>Chenchouni, Haroun/I-7494-2012</t>
  </si>
  <si>
    <t>Chenchouni, Haroun/0000-0001-9077-2706</t>
  </si>
  <si>
    <t>ELSEVIER SCIENCE BV</t>
  </si>
  <si>
    <t>PO BOX 211, 1000 AE AMSTERDAM, NETHERLANDS</t>
  </si>
  <si>
    <t>0048-9697</t>
  </si>
  <si>
    <t>1879-1026</t>
  </si>
  <si>
    <t>SCI TOTAL ENVIRON</t>
  </si>
  <si>
    <t>Sci. Total Environ.</t>
  </si>
  <si>
    <t>10.1016/j.scitotenv.2018.04.377</t>
  </si>
  <si>
    <t>GL0UG</t>
  </si>
  <si>
    <t>WOS:000436806200016</t>
  </si>
  <si>
    <t>Adami, G; Barbieri, P; Fabiani, M; Piselli, S; Predonzani, S; Reisenhofer, E</t>
  </si>
  <si>
    <t>Levels of cadmium and zinc in hepatopancreas of reared Mytilus galloprovincialis from the Gulf of Trieste (Italy)</t>
  </si>
  <si>
    <t>cadmium; zinc; metal biomonitoring; metal accumulation; mollusc hepatopancreas; seawater quality</t>
  </si>
  <si>
    <t>HEAVY-METALS; TRACE-ELEMENTS; MUSSEL WATCH; POLLUTION; INDICATOR; ORGANISMS; ACCUMULATION; COASTAL; EDULIS; COPPER</t>
  </si>
  <si>
    <t>Cadmium and zinc concentrations were determined in hepatopancreatic tissues of Mytilus galloprovincialis, reared in three non-contaminated hatcheries of the Gulf of Trieste (Northern Adriatic Sea). Mussels were collected in 13 sampling exits with monthly frequency for verifying possible seasonal variations. Freeze dried hepatopancreatic tissues were dissolved by nitric acid procedure using a microwave system; analysis of Zn and Cd followed by AAS technique. Metal concentrations were below the critical values for mollusc soft tissues, but xenobiotic cadmium had values requiring monitoring attention. Cadmium and zinc showed moderate variations along the months, with a slight winter maximum followed by a summer pre-spawning minimum, matching the seasonal trends of temperature/salinity. The estuarine site appears to have the best quality of the examined area in terms of metal contents. The results can constitute a guideline for the water quality in the Northern Adriatic Sea, and permit comparisons with the quality of other areas of the Mediterranean Sea. (C) 2002 Elsevier Science Ltd. All rights reserved.</t>
  </si>
  <si>
    <t>Univ Trieste, Dept Chem Sci, I-34127 Trieste, Italy; Marine Biol Lab, I-34010 Trieste, Italy</t>
  </si>
  <si>
    <t>Adami, G (corresponding author), Univ Trieste, Dept Chem Sci, Via Giorgieri 1, I-34127 Trieste, Italy.</t>
  </si>
  <si>
    <t>adami, gianpiero/A-8746-2011; Barbieri, Pierluigi/B-9294-2014</t>
  </si>
  <si>
    <t>Barbieri, Pierluigi/0000-0001-8847-6916</t>
  </si>
  <si>
    <t>PII S0045-6535(02)00196-0</t>
  </si>
  <si>
    <t>10.1016/S0045-6535(02)00196-0</t>
  </si>
  <si>
    <t>580PR</t>
  </si>
  <si>
    <t>WOS:000177243400004</t>
  </si>
  <si>
    <t>Soazig, L; Marc, L</t>
  </si>
  <si>
    <t>Potential use of the levels of the mRNA of a specific metallothionein isoform (MT-20) in mussel (Mytilus edulis) as a biomarker of cadmium contamination</t>
  </si>
  <si>
    <t>biomarker; metallothionein; mRNA; Mytilus edulis; cadmium; pollution</t>
  </si>
  <si>
    <t>COPPER-SPECIFIC METALLOTHIONEIN; BINDING PROTEINS; DIGESTIVE GLAND; CRASSOSTREA-GIGAS; METAL POLLUTION; CD-BINDING; BLUE-CRAB; ACCUMULATION; INDUCTION; SEQUENCES</t>
  </si>
  <si>
    <t>Metallothionein (MT) is a metal-inducible protein and a potential biomarker of metal pollution. Mussel MTs are characterized by having both monomeric (MT-10) and dimeric (MT-20) isoforms. We have carried out a series of experiments in which we studied mRNA levels of both MTs in Mytilus edulis after a brief exposure (6-72 h) to cadmium, zinc and copper. The induction of MT-10 and MT-20 mRNA in the heavy metal-treated mussels was detected by Northern blot analysis. The exposure of mussels to copper (40 mug l(-1)), cadmium (200 mug l(-1)) or zinc (1000 mug l(-1)) resulted in different MT-gene induction patterns. In the cadmium-intoxicated mussels levels of both MT-10 and MT-20 mRNA were increased. In the zinc-treated mussels, a rapid response of the MT-10 gene was detected within 6 h. Induction of MT-20 transcription was specific for cadmium, and can be envisaged as a potential biomarker of cadmium contamination. Copper had no effect on mRNA levels. We suggest the possibility that there is a hitherto-unknown copper-specific isoform. (C) 2003 Elsevier Ltd. All rights reserved.</t>
  </si>
  <si>
    <t>Univ Antilles &amp; Guyane UAG, DYNECAR, Biol Marine Lab, Fac Sci, Campus Fouillole, F-97110 Pointe a Pitre, Guadeloupe, France; Univ Maine, Biol &amp; Genet Evolut Lab, F-72085 Le Mans 9, France</t>
  </si>
  <si>
    <t>Le Mans Universite</t>
  </si>
  <si>
    <t>Univ Antilles &amp; Guyane UAG, DYNECAR, Biol Marine Lab, Fac Sci, Campus Fouillole, F-97110 Pointe a Pitre, Guadeloupe, France.</t>
  </si>
  <si>
    <t>soazig.lemoine@univ-ag.fr</t>
  </si>
  <si>
    <t>lemoine, soazig/JRX-3686-2023</t>
  </si>
  <si>
    <t>NOV</t>
  </si>
  <si>
    <t>10.1016/S0025-326X(03)00283-2</t>
  </si>
  <si>
    <t>748GK</t>
  </si>
  <si>
    <t>WOS:000186854000021</t>
  </si>
  <si>
    <t>Maanan, M</t>
  </si>
  <si>
    <t>Maanan, Mohamed</t>
  </si>
  <si>
    <t>Biomonitoring of heavy metals using Mytilus galloprovincialis in safi coastal waters, Morocco</t>
  </si>
  <si>
    <t>ENVIRONMENTAL TOXICOLOGY</t>
  </si>
  <si>
    <t>TRACE-METALS; MUSSEL; EDULIS; TROSSULUS; QUALITY; TRENDS; BAY; PB; HG</t>
  </si>
  <si>
    <t>Heavy metal concentrations of mercury, cadmium, lead, zinc, cooper, nickel, manganese, and chromium in Mytilus galloprovincialis were investigated to provide information on pollution of Safi coastal area, since these metals have the highest toxic potential. The concentration of Hg and Pb was determined by AFS and ICP-MS methods, respectively, whilst the remaining metals (Cd, Cr, Cu, Mn, Zn, and Ni) were quantified by AAS. High lead, cadmium, chromium, and mercury levels were registered in tissue samples collected from two stations near the Jorf Lihoudi and Safi city, while elevated concentration of manganese and zinc (14.70-25.30 mg kg(-1) and 570-650 mg kg(-1) dry wt, respectively) were found in mussel Specimens from Cap Cantin. The high levels of nickel found respectively in the areas near the industrial area being of concern in terms of environmental health need frequent monitoring. The metal concentrations recorded at the clean stations may be considered as useful background levels to which to refer for comparison within the Atlantic coast. M. galloprovincialis are suitable biomonitors to investigate the contamination levels of heavy metals pollution face a different human activity in this coastal area of the Atlantic coast. (c) 2007 Wiley Periodicals, Inc.</t>
  </si>
  <si>
    <t>Univ Nantes, LETG, UMR 6554, F-44312 Nantes 3, France</t>
  </si>
  <si>
    <t>Centre National de la Recherche Scientifique (CNRS); CNRS - Institute of Ecology &amp; Environment (INEE); Nantes Universite</t>
  </si>
  <si>
    <t>Maanan, M (corresponding author), Univ Nantes, LETG, UMR 6554, BP 81227, F-44312 Nantes 3, France.</t>
  </si>
  <si>
    <t>mohamed.maanan@univnantes.fr</t>
  </si>
  <si>
    <t>MAANAN, Mohamed/F-1430-2013</t>
  </si>
  <si>
    <t>Maanan, Mohamed/0000-0003-3526-2070</t>
  </si>
  <si>
    <t>1520-4081</t>
  </si>
  <si>
    <t>1522-7278</t>
  </si>
  <si>
    <t>ENVIRON TOXICOL</t>
  </si>
  <si>
    <t>Environ. Toxicol.</t>
  </si>
  <si>
    <t>10.1002/tox.20301</t>
  </si>
  <si>
    <t>Environmental Sciences; Toxicology; Water Resources</t>
  </si>
  <si>
    <t>Environmental Sciences &amp; Ecology; Toxicology; Water Resources</t>
  </si>
  <si>
    <t>208OJ</t>
  </si>
  <si>
    <t>WOS:000249328800010</t>
  </si>
  <si>
    <t>Dellali, M; Douggui, A; Harrath, AH; Mansour, L; Alwasel, S; Beyrem, H; Gyedu-Ababio, T; Rohal-Lupher, M; Boufahja, F</t>
  </si>
  <si>
    <t>Dellali, Mohamed; Douggui, Amel; Harrath, Abdel Halim; Mansour, Lamjed; Alwasel, Saleh; Beyrem, Hamouda; Gyedu-Ababio, Thomas; Rohal-Lupher, Melissa; Boufahja, Fehmi</t>
  </si>
  <si>
    <t>Acute toxicity and biomarker responses in Gammarus locusta amphipods exposed to copper, cadmium, and the organochlorine insecticide dieldrin</t>
  </si>
  <si>
    <t>Acute toxicity; Biomarkers; Gammarus locusta; Copper; Cadmium; Dieldrin</t>
  </si>
  <si>
    <t>FATTY-ACID-COMPOSITION; MYTILUS-GALLOPROVINCIALIS; LIPID-PEROXIDATION; TRACE-METALS; MARINE; ACETYLCHOLINESTERASE; BIOACCUMULATION; MUSSELS; IMPACT; POLLUTION</t>
  </si>
  <si>
    <t>The toxicity of copper, cadmium, and dieldrin in adult Gammarus locusta (a marine amphipod) is currently unclear. Thus, G. locusta from the North Lake of Tunis were subjected to acute toxicity tests to assess LC50s at 48-96 h and to biomarker response tests through the assessment of catalase and acetylcholinesterase activities and malondialdehyde levels. The present study demonstrated the abilities of a chlorinated hydrocarbon pesticide (dieldrin) induce to oxidative stress and neurotoxicity. The comparison of metal toxicity showed that G. locusta was more sensitive to cadmium than copper. The three stressors caused significant inductions of all three biomarkers in a concentration-dependent manner. Catalase induction was dependent on exposure duration for all pollutants, while only copper led to increased malondialdehyde with longer exposure times. Catalase induction and malondialdehyde increase appeared to be sex dependent for all three pollutants. The neurotoxic effects of the pollutants were concentration dependent according to inhibition of acetylcholinesterase activity. In conclusion, catalase, malondialdehyde, and acetylcholinesterase are efficient biomarkers of copper, cadmium, and dieldrin in G. locusta.</t>
  </si>
  <si>
    <t>[Dellali, Mohamed; Douggui, Amel; Beyrem, Hamouda; Boufahja, Fehmi] Univ Carthage, Fac Sci Bizerte, Coastal Ecol &amp; Ecotoxicol Unit, Lab Environm Biomonitoring, Zarzouna 7021, Tunisia; [Harrath, Abdel Halim; Mansour, Lamjed; Alwasel, Saleh] King Saud Univ, Coll Sci, Zool Dept, Box 2455, Riyadh 11451, Saudi Arabia; [Gyedu-Ababio, Thomas] Univ South Africa, Pretoria, South Africa; [Rohal-Lupher, Melissa] Texas Water Dev Board, 1700 North Congress Ave, Austin, TX 78701 USA</t>
  </si>
  <si>
    <t>Universite de Carthage; King Saud University; University of South Africa</t>
  </si>
  <si>
    <t>Boufahja, F (corresponding author), Univ Carthage, Fac Sci Bizerte, Coastal Ecol &amp; Ecotoxicol Unit, Lab Environm Biomonitoring, Zarzouna 7021, Tunisia.</t>
  </si>
  <si>
    <t>fehmiboufahja@yahoo.fr</t>
  </si>
  <si>
    <t>DELLALI, Mohamed/JVZ-2120-2024; MANSOUR, Lamjed/U-3028-2017; Harrath, Abdel Halim/K-2166-2014</t>
  </si>
  <si>
    <t>MANSOUR, Lamjed/0000-0002-9415-9383; Harrath, Abdel Halim/0000-0002-2170-1303; Mohamed, DELLALI/0000-0002-4979-3369</t>
  </si>
  <si>
    <t>Deanship of Scientific Research at King Saud University [RG-164]</t>
  </si>
  <si>
    <t>Deanship of Scientific Research at King Saud University(King Saud University)</t>
  </si>
  <si>
    <t>The authors extend their appreciation to the Deanship of Scientific Research at King Saud University for funding the Research group RG-164.</t>
  </si>
  <si>
    <t>10.1007/s11356-021-13158-4</t>
  </si>
  <si>
    <t>MAR 2021</t>
  </si>
  <si>
    <t>TI9OZ</t>
  </si>
  <si>
    <t>WOS:000627268300002</t>
  </si>
  <si>
    <t>Cebrian, E; Uriz, MJ</t>
  </si>
  <si>
    <t>Cebrian, Emma; Uriz, Maria Jesus</t>
  </si>
  <si>
    <t>Contrasting effects of heavy metals on sponge cell behavior</t>
  </si>
  <si>
    <t>ARCHIVES OF ENVIRONMENTAL CONTAMINATION AND TOXICOLOGY</t>
  </si>
  <si>
    <t>heavy metals; sublethal effects; ecotoxicology; sponge cells; bioassays</t>
  </si>
  <si>
    <t>HALICHONDRIA-PANICEA PALLAS; MYTILUS-EDULIS; CRAMBE-CRAMBE; MARINE MUSSEL; CADMIUM; COPPER; WATER; ACCUMULATION; AGGREGATION; TOXICITY</t>
  </si>
  <si>
    <t>Mediterranean coastal areas are highly contaminated by heavy metals, which have been reported to produce harmful effects in marine organisms. Sponges are particularly vulnerable to waterborne metals because they are able to process large amounts of water. Dissociated sponge cells can move in response to external stimuli, and the cell body changes shape through production of pseudopodia and phylopodia. We studied for first time the effects of heavy metals (cadmium copper and mercury) on motility and aggregation of isolated sponge cells. Cell shape was assessed by using several shape indices. The three metals studied induced changes of different sign on cell shape. Mercury arrested movement of sponge cells, which tended to be rounded, without pseudopodia. In contrast, moderate concentrations of copper and cadmium enhanced pseudopodia formation and cell motility. On the other hand, the three metals enhanced cell aggregation at the concentrations assayed. Our results show that sponge cells respond to metal pollution in different ways and that these responses can be assessed by calculating several shape indices.</t>
  </si>
  <si>
    <t>CSIC, Ctr Estudis Avancats Blantes, Blanes 17300, Girona, Spain</t>
  </si>
  <si>
    <t>Consejo Superior de Investigaciones Cientificas (CSIC); CSIC - Centre d'Estudis Avancats de Blanes (CEAB)</t>
  </si>
  <si>
    <t>Cebrian, E (corresponding author), CSIC, Ctr Estudis Avancats Blantes, C Acces Cala St Francesc S-N, Blanes 17300, Girona, Spain.</t>
  </si>
  <si>
    <t>emma@ceab.csic.es</t>
  </si>
  <si>
    <t>Uriz, Maria/J-9001-2012; Cebrian, Emma/J-9640-2012</t>
  </si>
  <si>
    <t>Cebrian, Emma/0000-0001-7588-0135</t>
  </si>
  <si>
    <t>233 SPRING STREET, NEW YORK, NY 10013 USA</t>
  </si>
  <si>
    <t>0090-4341</t>
  </si>
  <si>
    <t>ARCH ENVIRON CON TOX</t>
  </si>
  <si>
    <t>Arch. Environ. Contam. Toxicol.</t>
  </si>
  <si>
    <t>10.1007/s00244-006-0257-2</t>
  </si>
  <si>
    <t>220DV</t>
  </si>
  <si>
    <t>WOS:000250138000006</t>
  </si>
  <si>
    <t>Peric, L; Fafandel, M; Glad, M; Bihari, N</t>
  </si>
  <si>
    <t>Peric, Lorena; Fafandel, Maja; Glad, Marin; Bihari, Nevenka</t>
  </si>
  <si>
    <t>HEAVY METALS CONCENTRATION AND METALLOTHIONEIN CONTENT IN RESIDENT AND CAGED MUSSELS Mytilus galloprovincialis FROM RIJEKA BAY, CROATIA</t>
  </si>
  <si>
    <t>Mussels; Mytilus galloprovincialis; Metal exposure; Metallothionein content; PCA analysis</t>
  </si>
  <si>
    <t>LYSOSOMAL MEMBRANE STABILITY; ADRIATIC SEA; TRACE-METALS; ENVIRONMENTAL-POLLUTION; DIGESTIVE GLAND; MARINE; BIOMARKERS; BIOACCUMULATION; ACCUMULATION; INDUCTION</t>
  </si>
  <si>
    <t>Concentration of lead, cadmium, mercury, arsenic, copper, zinc, chromium, nickel, manganese and iron and metallothionein content were examined in resident and caged mussels (Mytilus galloprovincialis) at five sites along Rijeka Bay, a coastal ecosystem highly susceptible to urban and industrial pollution. Higher concentration of metals was found in resident mussels, with the highest level in comparison to control site Lim detected for lead, copper and chromium. Caged mussels from all sites displayed increasing level of metals with respect to control site Lim after one month of exposure. Significantly elevated metallothionein content was found in resident mussels at all sites except Kraljevica shipyard, and in caged mussels at sites Luka Rijeka harbour and urban area Bakar. PCA analysis revealed that mussels resident to urban area of river Rjecina mouth, Rijeka harbour and Treci Maj shipyard were clearly separated from Kraljevica shipyard due to different pattern of metal bioaccumulation and metallothionein content. Resident mussels from urban area of Bakar and caged mussels were less influenced by metal load.</t>
  </si>
  <si>
    <t>[Peric, Lorena; Fafandel, Maja; Bihari, Nevenka] Rudjer Boskovic Inst, Ctr Marine Res, Rovinj 52210, Croatia; [Glad, Marin] Teaching Inst Publ Hlth, Rijeka 51000, Primorsko Goran, Croatia</t>
  </si>
  <si>
    <t>Rudjer Boskovic Institute; University of Rijeka</t>
  </si>
  <si>
    <t>Peric, L (corresponding author), Rudjer Boskovic Inst, Ctr Marine Res, G Paliaga 5, Rovinj 52210, Croatia.</t>
  </si>
  <si>
    <t>lorena.peric@cim.irb.hr</t>
  </si>
  <si>
    <t>Glad, Marin/S-5373-2018</t>
  </si>
  <si>
    <t>Glad, Marin/0000-0001-9567-3897; Peric, Lorena/0000-0001-6899-9605</t>
  </si>
  <si>
    <t>Croatian Ministry of Science, Education and Sport [098-0982705-2725]</t>
  </si>
  <si>
    <t>Croatian Ministry of Science, Education and Sport(Ministry of Science, Education and Sports, Republic of Croatia)</t>
  </si>
  <si>
    <t>This work was funded by the Croatian Ministry of Science, Education and Sport (Project 098-0982705-2725). The authors gratefully acknowledge Mrs. Sandra Marinac-Pupavac and Mr. Vedran Vucelic for technical support as well as Dr. Luka Traven for Scuba diving.</t>
  </si>
  <si>
    <t>PARLAR SCIENTIFIC PUBLICATIONS (P S P)</t>
  </si>
  <si>
    <t>FREISING</t>
  </si>
  <si>
    <t>ANGERSTR. 12, 85354 FREISING, GERMANY</t>
  </si>
  <si>
    <t>1610-2304</t>
  </si>
  <si>
    <t>9A</t>
  </si>
  <si>
    <t>024MA</t>
  </si>
  <si>
    <t>WOS:000310112100012</t>
  </si>
  <si>
    <t>Gavrilovic, A; Srebocan, E; Pompe-Gotal, J; Petrinec, Z; Prevendar-Crnic, A; Matasin, Z</t>
  </si>
  <si>
    <t>Gavrilovic, A.; Srebocan, E.; Pompe-Gotal, J.; Petrinec, Z.; Prevendar-Crnic, A.; Matasin, Z.</t>
  </si>
  <si>
    <t>Spatiotemporal variation of some metal concentrations in oysters from the Mali Ston Bay, south-eastern Adriatic, Croatia - potential safety hazard aspect</t>
  </si>
  <si>
    <t>VETERINARNI MEDICINA</t>
  </si>
  <si>
    <t>cadmium; lead; zinc; Ostrea edulis L.</t>
  </si>
  <si>
    <t>HEAVY-METALS; CRASSOSTREA-VIRGINICA; MYTILUS-EDULIS; UNITED-STATES; BIOACCUMULATION; CADMIUM; MUSSELS; METALLOTHIONEIN; CONTAMINATION; POLLUTION</t>
  </si>
  <si>
    <t>The concentrations of cadmium, lead and zinc were determined in the soft tissue of oysters ( Ostrea edulis L.) from three locations in the Mali Ston Bay on the south-eastern coast of the Adriatic Sea. The sampling was performed during two periods of breeding cycle, in summer ( age similar to 1 year) and winter ( age similar to 20 months, consumption size). The concentrations of cadmium, lead and zinc measured in the oyster soft tissue showed considerable spatiotemporal variations that could be attributed to seasonal differences in the freshwater inflow which varied between the study locations. Median concentrations measured at different locations and in different time periods ranged from 0.303 to 0.969, 0.13 to 0.32 and 208.9 to 650.0 mu g/g wet weight for cadmium, lead and zinc, respectively. Although metal concentrations do not exceed the maximal legally approved limits according to the legislation of the Republic of Croatia and EU, more knowledge of their spatiotemporal distribution - of cadmium in particular - would contribute to the sustainable future development of oyster farming in Croatian waters.</t>
  </si>
  <si>
    <t>Univ Dubrovnik, Dept Aquaculture, Dubrovnik 20000, Croatia; Univ Zagreb, Fac Vet Med, Zagreb 41000, Croatia</t>
  </si>
  <si>
    <t>University of Dubrovnik; University of Zagreb</t>
  </si>
  <si>
    <t>Gavrilovic, A (corresponding author), Univ Dubrovnik, Dept Aquaculture, Cira Carica 4, Dubrovnik 20000, Croatia.</t>
  </si>
  <si>
    <t>ana.gavrilovic@unidu.hr</t>
  </si>
  <si>
    <t>Gavrilovic, Ana/ABB-2569-2020</t>
  </si>
  <si>
    <t>CZECH ACADEMY AGRICULTURAL SCIENCES</t>
  </si>
  <si>
    <t>PRAGUE</t>
  </si>
  <si>
    <t>TESNOV 17, PRAGUE, 117 05, CZECH REPUBLIC</t>
  </si>
  <si>
    <t>0375-8427</t>
  </si>
  <si>
    <t>1805-9392</t>
  </si>
  <si>
    <t>VET MED-CZECH</t>
  </si>
  <si>
    <t>Vet. Med.</t>
  </si>
  <si>
    <t>10.17221/2047-VETMED</t>
  </si>
  <si>
    <t>Veterinary Sciences</t>
  </si>
  <si>
    <t>217AZ</t>
  </si>
  <si>
    <t>WOS:000249922100006</t>
  </si>
  <si>
    <t>Hamed, MA; Emara, AM</t>
  </si>
  <si>
    <t>Marine molluscs as biomonitors for heavy metal levels in the Gulf of Suez, Red Sea</t>
  </si>
  <si>
    <t>JOURNAL OF MARINE SYSTEMS</t>
  </si>
  <si>
    <t>heavy metals; water; sediment; Gastropoda; bivalvia; Gulf of Suez</t>
  </si>
  <si>
    <t>TRACE METALS; CADMIUM; COPPER; ZINC; CONTAMINATION; SEDIMENTS; MUSSELS; OYSTER; SHELLS; LEAD</t>
  </si>
  <si>
    <t>Levels of the heavy metals Copper (Cu), Zinc (Zn), Lead (Pb), Cadmium (Cd), Chromium (Cr), Nickel (Ni), Iron (Fe) and Manganese (Mn) were determined in coastal water, sediments and soft tissues of the gastropod limpet, Patella caerulea, and the bivalve, Barbatus barbatus, from seven different stations in the western coast of the Gulf of Suez. The concentrations of heavy metals in water ranged between 3.37-4.78, 18.83-21.46, 2.75-3.17, 0.22-0.27, 0.99-1.21, 2.69-3.65, 3.75-4.56 mu g L-1 and 23.82-32.78 mg g(-1) for Cu, Zn, Pb, Cd, Cr, Ni, Mn and Fe, respectively. The corresponding concentration values in the sediments were 8.65-12.16, 51.78-58.06, 36.52-42.15, 3.23-3.98, 9.03-12.75, 34.31-49.63, 3.28-4.56 and 64.20-70.22 mu g g(-1) for Cu, Zn, Pb, Cd, Cr, Ni, Mn and Fe, respectively. The highest accumulated metals were Fe, Zn and Mn in both P. caerulea and B. barbatus, while the lowest one was Cd. The accumulation of metals was more pronounced in P caerulea than B. barbatus. The highest concentrations of all metals in water, sediments and mollusca were recorded at Adabiya harbour north of the Gulf, while the lowest concentrations were recorded at Gabal El-Zeit and Hurghada. Land based activities and ships awaiting berth are the main source of metal pollution in the northern part of the Gulf. (c) 2006 Published by Elsevier B.V</t>
  </si>
  <si>
    <t>drhamed64@yahoo.com</t>
  </si>
  <si>
    <t>0924-7963</t>
  </si>
  <si>
    <t>J MARINE SYST</t>
  </si>
  <si>
    <t>J. Mar. Syst.</t>
  </si>
  <si>
    <t>3-4</t>
  </si>
  <si>
    <t>10.1016/j.jmarsys.2005.09.007</t>
  </si>
  <si>
    <t>Geosciences, Multidisciplinary; Marine &amp; Freshwater Biology; Oceanography</t>
  </si>
  <si>
    <t>Geology; Marine &amp; Freshwater Biology; Oceanography</t>
  </si>
  <si>
    <t>053UP</t>
  </si>
  <si>
    <t>WOS:000238331500003</t>
  </si>
  <si>
    <t>Aru, V; Sarais, G; Savorani, F; Engelsen, SB; Marincola, FC</t>
  </si>
  <si>
    <t>Aru, Violetta; Sarais, Giorgia; Savorani, Francesco; Engelsen, Soren Balling; Marincola, Flaminia Cesare</t>
  </si>
  <si>
    <t>Metabolic responses of clams, Ruditapes decussatus and Ruditapes philippinarum, to short-term exposure to lead and zinc</t>
  </si>
  <si>
    <t>NMR-based metabolomics; Clams; Bioindicators; Pollution; Lead; Zinc</t>
  </si>
  <si>
    <t>MYTILUS-GALLOPROVINCIALIS; METAL CONCENTRATIONS; METALLOTHIONEIN; ACCUMULATION; MECHANISMS; BIOMARKERS; POLLUTION; SYSTEMS; WATER</t>
  </si>
  <si>
    <t>This study investigated the effects of 48 h heavy metal exposure upon the metabolic profiles of Ruditapes decussatus and Ruditapes philippinarum using H-1 NMR metabolomics. Both species were exposed to increasing concentrations of lead nitrate (10, 40, 60 and 100 mu g/L) and zinc chloride (20, 50,100 and 150 mu g/L), under laboratory conditions. ICP-OES analysis was further performed on the clams' samples in order to verify the occurrence of heavy metal bioaccumulation. With respect to the controls, the metabolic profiles of treated R. decussatus exhibited higher levels of organic osmolytes and lower contents of free amino acids. An opposite behavior was shown by R. philippinarum. In terms of heavy metal, the exposure effects were more evident in the case of Pb rather than Zn. These findings show that NMR-based metabolomics has the required sensitivity and specificity for the identification of metabolites that can act as sensitive indicators of contaminant-induced stress. (C) 2016 Elsevier Ltd. All rights reserved.</t>
  </si>
  <si>
    <t>[Aru, Violetta; Marincola, Flaminia Cesare] Univ Cagliari, Dept Chem &amp; Geol Sci, SS 554 Bivio Sestu, I-09042 Monserrato, CA, Italy; [Sarais, Giorgia] Univ Cagliari, Dept Life &amp; Environm Sci, Via Osped 72, I-09124 Cagliari, Italy; [Savorani, Francesco; Engelsen, Soren Balling] Univ Copenhagen, Dept Food Sci, Qual &amp; Technol, Rolighedsvej 26, DK-1958 Frederiksberg C, Denmark; [Savorani, Francesco] Polytech Univ Turin, Dept Appl Sci &amp; Technol DISAT, Corso Duca Abruzzi 24, I-10129 Turin, TO, Italy</t>
  </si>
  <si>
    <t>University of Cagliari; University of Cagliari; University of Copenhagen; Polytechnic University of Turin</t>
  </si>
  <si>
    <t>Marincola, FC (corresponding author), Univ Cagliari, Dept Chem &amp; Geol Sci, SS 554 Bivio Sestu, I-09042 Monserrato, CA, Italy.</t>
  </si>
  <si>
    <t>flaminia@unica.it</t>
  </si>
  <si>
    <t>Savorani, Francesco/B-2569-2012; Cesare Marincola, Flaminia/G-3520-2015; Balling Engelsen, Soren/D-7911-2011</t>
  </si>
  <si>
    <t>Savorani, Francesco/0000-0002-2431-6275; Cesare Marincola, Flaminia/0000-0002-9695-5957; Aru, Violetta/0000-0002-5719-4622; Balling Engelsen, Soren/0000-0003-4124-4338</t>
  </si>
  <si>
    <t>Sardinia Regional Government</t>
  </si>
  <si>
    <t>Sardinia Regional Government(Regione Sardegna)</t>
  </si>
  <si>
    <t>Acknowledgments Violetta Aru gratefully acknowledges Sardinia Regional Government for the financial support of her PhD scholarship (P.O.R Sardegna F.S.E. Operational Programme of the Autonomous Region of Sardinia, European Social Fund 2007-2013 - Axis IV Human Resources, Objective l.3, Line of Activity l.3.1.).</t>
  </si>
  <si>
    <t>JUN 15</t>
  </si>
  <si>
    <t>10.1016/j.marpolbul.2016.03.054</t>
  </si>
  <si>
    <t>DO4BL</t>
  </si>
  <si>
    <t>WOS:000377726700048</t>
  </si>
  <si>
    <t>AMIARDTRIQUET, C; BERTHET, B; METAYER, C; AMIARD, JC</t>
  </si>
  <si>
    <t>CONTRIBUTION TO THE ECOTOXICOLOGICAL STUDY OF CADMIUM, COPPER AND ZINC IN THE MUSSEL MYTILUS-EDULIS .2. EXPERIMENTAL-STUDY</t>
  </si>
  <si>
    <t>MARINE BIOLOGY</t>
  </si>
  <si>
    <t>A regulation of internal levels of some essential metals has been observed in various animals, whereas the bioaccumulation of several non-essential metals parallels their overloads in water. In the mussel Mytilus edulis L., we have attempted to determine if such a phenomenon exists by comparing the patterns of accumulation of copper and zinc vs cadmium. With this aim, mussels collected in the Bay of Bourgneuf (France) in November 1983 were exposed to these metals for 16 d. At external levels of zinc as high as 100 .mu.g l-1, mussels were able to maintain a normal concentration in all groups of organs for 4 d. The ability of mussels to limit the bioaccumulation of copper and zinc varied from organ to organ, and decreased with higher levels of contamination and longer periods of exposure. In contrast, at the lowest experimental concentration and the lowest period of exposure, a significant increase of cadmium in mussel tissues was generally observed. Even at the highest sub-lethal doses, the levels of copper and zinc in mussel tissues were not much higher than the natural levels (contaminated:background ratios = 2.3 to 6.1), whereas the bioaccumulation of cadmium was less well restricted (contaminated:background ratios = 136 to 192). The use of mussels as a bioindicator of pollution seems doubtful for essential metals, particularly as regards short-term pollution, since the levels of these trace elements in the organisms are largely independent of their concentration in the ambient seawater.</t>
  </si>
  <si>
    <t>UNIV NANTES, CTR DOSAGE ELEMENTS TRACES, 1 RUE GASTON VEIL, F-44035 NANTES, FRANCE.</t>
  </si>
  <si>
    <t>0025-3162</t>
  </si>
  <si>
    <t>1432-1793</t>
  </si>
  <si>
    <t>MAR BIOL</t>
  </si>
  <si>
    <t>Mar. Biol.</t>
  </si>
  <si>
    <t>10.1007/BF00392739</t>
  </si>
  <si>
    <t>D4205</t>
  </si>
  <si>
    <t>WOS:A1986D420500002</t>
  </si>
  <si>
    <t>Ramezanianpour, M; Khadka, R; Sivakumar, M</t>
  </si>
  <si>
    <t>Ramezanianpour, M.; Khadka, R.; Sivakumar, M.</t>
  </si>
  <si>
    <t>Multi-layered planter box raingarden for zinc and copper removal from stormwater</t>
  </si>
  <si>
    <t>Stormwater; Raingarden; Planter box; Runoff pollutants; Zinc and copper</t>
  </si>
  <si>
    <t>BIPHASIC RAIN GARDEN; FIELD-EVALUATION; TREATMENT DEVICE; RUNOFF; WATER; WETLANDS; FLOW; PERFORMANCE; MANAGEMENT; LEAD</t>
  </si>
  <si>
    <t>Poor water quality and its significant adverse impact on the environment in the Addington Brook catchment has long been realised in Christchurch, New Zealand. Contaminants generated from impermeable surfaces such as roadways, rooftops and parking lots produce high rate of dissolved zinc and copper in this catchment. Hence, this research provides a long-term solution for zinc and copper removal. The main idea of this research is to develop and compare different planter box raingardens for the removal of zinc and copper. A planter box raingarden prevents stormwater pollution from entering the stream and rivers. Twelve raingarden modules were constructed and set up using four different media to be tested by three individual stormwater sources. Several water quality tests were undertaken on the influent and effluent sample followed by monitoring the volume of discharge. The results show that a combination of ART3 media, crushed mussel shells and lime chips performed the lowest vertical hydraulic conductivity rate and achieved the highest removal rate for zinc and copper. The planter box P3 achieved the highest removal rate (98%) for both total and dissolved zinc.</t>
  </si>
  <si>
    <t>[Ramezanianpour, M.; Khadka, R.] Ara Inst Canterbury, Dept Civil &amp; Architectural Studies, City Campus, Christchurch 8140, New Zealand; [Sivakumar, M.] Univ Wollongong, Fac Engn &amp; Informat Sci, Sch Civil Min &amp; Environm Engn, Wollongong, NSW 2522, Australia</t>
  </si>
  <si>
    <t>University of Wollongong</t>
  </si>
  <si>
    <t>Ramezanianpour, M (corresponding author), Ara Inst Canterbury, Dept Civil &amp; Architectural Studies, City Campus, Christchurch 8140, New Zealand.</t>
  </si>
  <si>
    <t>Matt.Pour@ara.ac.nz</t>
  </si>
  <si>
    <t>Ramezanianpour, Mohammad/0000-0003-4049-1839; Sivakumar, Muttucumaru/0000-0002-6315-7967</t>
  </si>
  <si>
    <t>Ara Institute of Canterbury; Environment Canterbury</t>
  </si>
  <si>
    <t>The project is funded by Ara Institute of Canterbury and Environment Canterbury. Authors were involved in this four-year pro-gram to complete the design, installation and operation process. The authors declare they have no financial interests.</t>
  </si>
  <si>
    <t>10.1007/s13762-023-05060-y</t>
  </si>
  <si>
    <t>JUL 2023</t>
  </si>
  <si>
    <t>GX9V8</t>
  </si>
  <si>
    <t>WOS:001028484600003</t>
  </si>
  <si>
    <t>Dokmeci, AH</t>
  </si>
  <si>
    <t>Dokmeci, Ayse Handan</t>
  </si>
  <si>
    <t>AN ASSESSMENT OF THE HEAVY METALS IN WILD MUSSELS MYTILUS GALLOPROVINCIALIS FROM THE MARMARA SEA COAST OF TEKIRDAG, TURKEY</t>
  </si>
  <si>
    <t>Mussel (Mytilus galloprovincialis); heavy metals; Marmara Sea; coastal pollution</t>
  </si>
  <si>
    <t>ZINC; POLLUTION</t>
  </si>
  <si>
    <t>Various concentrations of eight heavy metals (Cd, Cr, Cu, Hg, Ni, As, Pb, and Zn) were identified in tissues of the mussels Mytilus galloprovincialis which are seasonally collected along the Marmara coast of Tekirdag. The concentrations (mg/kg d.w.) of these metals range from 1.20 to 2.79 for arsenic (As); 0.13 to 0.75 for cadmium (Cd); 0.42 to 2.46 for chromium (Cr); 1.55 to 3.5 for copper (Cu); 1.01 to 2.46 for nickel (Ni); 76.8 to 88.98 for zinc (Zn); and 2.67 to 9.2 for lead (Pb). These levels were lower than the permissible limits set by the European Commission and Food and Drug Organisation. The permissible limits for Pb, As, and Zn are exceeded during some periods. An evaluation of the public health risk associated with the consumption of mollusks indicates that there is no evidence of risk for the Mytilus Galloprovincialis consumer. However, given the chronic exposure of the mussels to trace metals, which can cause health problems for humans, the toxic chemicals must be periodically and carefully monitored.</t>
  </si>
  <si>
    <t>[Dokmeci, Ayse Handan] Namik Kemal Univ, Sch Hlth, Dept Emergency &amp; Disaster Management, TR-59030 Suleymanpasa, Tekirdag, Turkey</t>
  </si>
  <si>
    <t>Namik Kemal University</t>
  </si>
  <si>
    <t>Dokmeci, AH (corresponding author), Namik Kemal Univ, Sch Hlth, Dept Emergency &amp; Disaster Management, TR-59030 Suleymanpasa, Tekirdag, Turkey.</t>
  </si>
  <si>
    <t>hdokmeci@nku.edu.tr</t>
  </si>
  <si>
    <t>Dokmeci, Ayse/H-7591-2012; Dokmeci, Ayse Handan/P-6870-2017</t>
  </si>
  <si>
    <t>Dokmeci, Ayse Handan/0000-0002-4439-4422</t>
  </si>
  <si>
    <t>FS1MI</t>
  </si>
  <si>
    <t>WOS:000419539700078</t>
  </si>
  <si>
    <t>Johns, C</t>
  </si>
  <si>
    <t>Johns, Carolyn</t>
  </si>
  <si>
    <t>Trends of total cadmium, copper, and zinc in the zebra mussel (Dreissena polymorpha) along the upper reach of the St. Lawrence River: 1994-2005</t>
  </si>
  <si>
    <t>Trace metals; Biomonitoring; Zebra mussels; St. Lawrence River; Bioaccumulation</t>
  </si>
  <si>
    <t>FRESH-WATER MUSSELS; QUAGGA MUSSELS; LAKE-ONTARIO; METAL CONCENTRATIONS; SOFT-TISSUES; GREAT-LAKES; ELEMENT; SEDIMENTS; POLLUTION; DYNAMICS</t>
  </si>
  <si>
    <t>This study examines spatial and temporal variability of bioaccumulation of cadmium, copper, and zinc in tissues of zebra mussels in the upper reach of the St. Lawrence River which originates at the outflow of Lake Ontario. It was hypothesized that concentrations of these metals in mussel tissues would decline over time and decrease with increasing distance from the outlet of Lake Ontario as a result of on-going efforts to reduce contaminant discharges into the lake. Size of mussels was also evaluated as a factor influencing bioaccumulation. Mussels were collected annually in October from six sites from 1994 to 2005, including one site near a local industry. Individuals were grouped into five or more size classes per site in each year. Soft tissues were analyzed for total cadmium, copper and zinc. Concentrations of cadmium and copper in tissues varied significantly both spatially and temporally. Cadmium concentrations were elevated at most sites; copper concentrations were moderately elevated compared with other studies in the Lake Ontario basin and St. Lawrence River. Zinc showed the most uniformity in mussels possibly due to internal regulation and to low levels of environmental exposure. Animal size correlated with copper concentrations of tissues in approximately 30% of samples but infrequently for cadmium and zinc. Cadmium and copper levels were found to decline downstream over time. Inter-annual variability of metal concentrations in mussel tissues suggests utilization in long-term monitoring programs to discern significant trends.</t>
  </si>
  <si>
    <t>St Lawrence Univ, Dept Environm Studies, Canton, NY 13617 USA</t>
  </si>
  <si>
    <t>Saint Lawrence University</t>
  </si>
  <si>
    <t>Johns, C (corresponding author), St Lawrence Univ, Dept Environm Studies, Canton, NY 13617 USA.</t>
  </si>
  <si>
    <t>cjohns@stlawu.edu</t>
  </si>
  <si>
    <t>St. Lawrence University</t>
  </si>
  <si>
    <t>Several undergraduate students assisted with sample collection, preparation, and/or analysis: Daniel Phelps (1995), Mike McCallum (1998), and Justin Hanna (2000). The Environmental Studies Program of St. Lawrence University provided funds for travel to collect samples, for basic supplies, and analysis at the NE Analytic Laboratory. A St. Lawrence University small grant in 2002 facilitated travel to analyze samples at the Water Resources Division of the US Geological Service in Menlo Park where crucial assistance was provided by D. Cain and C. Brown. D Cain, M. Schuckers, and E. Backlund provided helpful advice on approaches to the statistical analysis. Nancy Alessi assisted in preparation of the tables. Carol Cady developed the map in Fig. 1. Appreciation is extended to one anonymous reviewer and the associate editor for valuable suggestions on the draft manuscript.</t>
  </si>
  <si>
    <t>10.1007/s10661-011-2346-6</t>
  </si>
  <si>
    <t>986HI</t>
  </si>
  <si>
    <t>WOS:000307332300012</t>
  </si>
  <si>
    <t>Thind, J; McDougall, DR; Jones, MI; Jeffs, AG</t>
  </si>
  <si>
    <t>Thind, Jaspreet; McDougall, Daniel R.; Jones, Mark, I; Jeffs, Andrew G.</t>
  </si>
  <si>
    <t>Preliminary Laboratory Investigations into Zinc and Copper Adsorption by Crushed Bivalve Shells</t>
  </si>
  <si>
    <t>Bivalve shells; Dissolved metal ions; Urban stormwater</t>
  </si>
  <si>
    <t>STORMWATER RUNOFF; HEAVY-METALS; REMOVAL; ARAGONITE; CD; SPECIATION; CADMIUM; ZN; PH</t>
  </si>
  <si>
    <t>Crushed shells from three bivalve mollusc species (mussel, oyster and scallop) in two particle size ranges (63-150 mu m and 710-1180 mu m) were tested for their ability to remove dissolved copper and zinc ions from synthetic stormwater in a column. For comparison, zeolite (1-2 mm), which is commonly used for heavy metal ion capture, was also assessed. All shell types of both particle sizes were effective in removing zinc from solution with 97-100% removal efficiency which was similar to the removal efficiency by zeolite (97.6%). The removal of copper was most efficiently achieved with oyster shell with a particle size range of 710-1180 mu m (83.6%), which was similar to the removal efficiency by zeolite (83.4%). Brunauear-Emmett-Teller (BET) surface area measurements showed significant decreases in the surface area of the shells after exposure to synthetic stormwater due to adsorption of heavy metals, visually confirmed by observation of a fine layer of metal precipitate adsorbed to the shell particle surfaces using Scanning Electron Microscopy (SEM). Overall, the results indicate that crushed bivalve shells have excellent potential for the removal of dissolved zinc and copper from stormwater and should be tested in more complex stormwater studies. This work has significant implications for stormwater infrastructure design using a local, cheap and readily accessible waste material.</t>
  </si>
  <si>
    <t>[Thind, Jaspreet; Jones, Mark, I] Univ Auckland, Dept Chem &amp; Mat Engn, Private Bag, Auckland 92019, New Zealand; [McDougall, Daniel R.; Jeffs, Andrew G.] Univ Auckland, Inst Marine Sci, Private Bag, Auckland 92019, New Zealand</t>
  </si>
  <si>
    <t>University of Auckland; University of Auckland</t>
  </si>
  <si>
    <t>McDougall, DR (corresponding author), Univ Auckland, Inst Marine Sci, Private Bag, Auckland 92019, New Zealand.</t>
  </si>
  <si>
    <t>dmcd582@aucklanduni.ac.nz</t>
  </si>
  <si>
    <t>Jeffs, Andrew/D-9474-2012</t>
  </si>
  <si>
    <t>Auckland Council</t>
  </si>
  <si>
    <t>This research was supported by a research grant from the Auckland Council. We thank Nick Vigar and Judy-Ann Ansen from the Stormwater Unit, Infrastructure and Environmental Services of Auckland Council. We also thank Dr. Geoff Waterhouse for BET and Tasdeeq Mohammad and the glass blowers from the Chemical Sciences Department at the University of Auckland for the equipment. Special thanks to John Robertson from AUT for ICP-AES, Campbell Barr at Sanford Ltd for mussel shell, Peter Sopp at Whangamata Seafoods Ltd for scallop shell and Ben Warren at Supacific Oysters Ltd for the oyster shell.</t>
  </si>
  <si>
    <t>SPRINGER INT PUBL AG</t>
  </si>
  <si>
    <t>CHAM</t>
  </si>
  <si>
    <t>GEWERBESTRASSE 11, CHAM, CH-6330, SWITZERLAND</t>
  </si>
  <si>
    <t>1573-2932</t>
  </si>
  <si>
    <t>10.1007/s11270-022-05805-4</t>
  </si>
  <si>
    <t>3O1QQ</t>
  </si>
  <si>
    <t>WOS:000836614800006</t>
  </si>
  <si>
    <t>Volzhenin, AV; Petrova, N; Romanova, TE; Saprykin, A</t>
  </si>
  <si>
    <t>Volzhenin, Artyom V.; Petrova, Natalya, I; Romanova, Tamara E.; Saprykin, Anatoly, I</t>
  </si>
  <si>
    <t>Direct Determination of Cadmium, Lead, and Zinc in Mussels by Two-Stage Probe Atomization (TPA) Graphite Furnace Atomic Absorption Spectrometry (GFAAS)</t>
  </si>
  <si>
    <t>ANALYTICAL LETTERS</t>
  </si>
  <si>
    <t>Cadmium; electrothermal atomization; graphite furnace atomic absorption spectrometry (GFAAS); lead; mussels; two-stage probe atomization (TPA); zinc</t>
  </si>
  <si>
    <t>Seafood consumption may induce health risks due to its contamination by pollutants. In this study, the two-stage probe atomization technique (TPA) was combined with graphite furnace atomic absorption spectrometry (GFAAS) to develop a novel procedure for determining Cd, Pb and Zn in mussels collected in the Sea of Japan (Russia). The application of TPA eliminated organic matrix interferences during GFAAS determination of heavy metals and allowed significant reduction of the sample pretreatment processes. The procedure involved the formation of a suspension of treated lyophilized mussels that were inserted into graphite furnace. The limits of detection using the optimized conditions were 0.8, 10, and 0.4 ng/g for Cd, Pb, and Zn, respectively. Inductively coupled plasma - optical emission spectrometry (ICP-OES) was employed to characterize the accuracy of the developed technique. The concentrations of heavy metals in Crenomytilus Grayanus mussel tissues from Peter the Great bay did not exceed 8.2, 31 and 475 mu g/g for Cd, Pb, and Zn and are considered to have no negative effects upon human health.</t>
  </si>
  <si>
    <t>[Volzhenin, Artyom V.; Petrova, Natalya, I; Romanova, Tamara E.; Saprykin, Anatoly, I] Russian Acad Sci NIIC SB RAS, Nikolaev Inst Inorgan Chem, Siberian Branch, Novosibirsk, Russia; [Saprykin, Anatoly, I] Novosibirsk Natl Res State Univ, Novosibirsk, Russia</t>
  </si>
  <si>
    <t>Russian Academy of Sciences; Nikolaev Institute of Inorganic Chemistry of the Russian Academy of Sciences; Novosibirsk State University</t>
  </si>
  <si>
    <t>Volzhenin, AV (corresponding author), Russian Acad Sci NIIC SB RAS, Nikolaev Inst Inorgan Chem, Siberian Branch, Novosibirsk, Russia.</t>
  </si>
  <si>
    <t>volzhenin@niic.nsc.ru</t>
  </si>
  <si>
    <t>Volzhenin, Artyom/ABC-7205-2021; Romanova, Tamara/R-5238-2016</t>
  </si>
  <si>
    <t>Romanova, Tamara/0000-0003-4385-6477</t>
  </si>
  <si>
    <t>Russian Science Support Foundation [19-74-311]</t>
  </si>
  <si>
    <t>Russian Science Support Foundation(Russian Science Foundation (RSF))</t>
  </si>
  <si>
    <t>This work was funded by the Russian Science Support Foundation (19-74-311).</t>
  </si>
  <si>
    <t>530 WALNUT STREET, STE 850, PHILADELPHIA, PA 19106 USA</t>
  </si>
  <si>
    <t>0003-2719</t>
  </si>
  <si>
    <t>1532-236X</t>
  </si>
  <si>
    <t>ANAL LETT</t>
  </si>
  <si>
    <t>Anal. Lett.</t>
  </si>
  <si>
    <t>JUN 8</t>
  </si>
  <si>
    <t>10.1080/00032719.2020.1856862</t>
  </si>
  <si>
    <t>DEC 2020</t>
  </si>
  <si>
    <t>Chemistry, Analytical</t>
  </si>
  <si>
    <t>Chemistry</t>
  </si>
  <si>
    <t>TG5NU</t>
  </si>
  <si>
    <t>WOS:000597359400001</t>
  </si>
  <si>
    <t>EVERAARTS, JM; HEESTERS, R; FISCHER, CV</t>
  </si>
  <si>
    <t>HEAVY-METALS (CU, ZN, PB, CD) IN SEDIMENT, ZOOPLANKTON AND EPIBENTHIC INVERTEBRATES FROM THE AREA OF THE CONTINENTAL-SLOPE OF THE BANC-DARGUIN (MAURITANIA)</t>
  </si>
  <si>
    <t>HYDROBIOLOGIA</t>
  </si>
  <si>
    <t>HEAVY METALS; SEDIMENT; ZOOPLANKTON; EPIBENTHIC INVERTEBRATES; BANC-DARGUIN</t>
  </si>
  <si>
    <t>COASTAL AREAS; NORTH-SEA; MEDITERRANEAN-SEA; EAST JAVA; CADMIUM; ESTUARINE; ORGANISMS; POLLUTION; COPPER; LEAD</t>
  </si>
  <si>
    <t>The concentrations of copper, zinc, lead and cadmium in the surface sediment (upper 5 mm) were generally higher in the silt fraction than in the bulk sediment. No significant geographical trend in the metal concentrations of the surface sediments was found, nor a correlation between concentrations in bulk sediment as well as in the silt fraction and the % silt could be established. In general, the metal concentrations in both bulk sediment and silt are lower, when compared to marine environments in other climatological regions. In zooplankton, the metal concentrations were relatively high: expressed in mug g-1 on a dry weight (D.W.) basis, they ranged from 15-90 for copper, 70-580 for zinc, 12-55 for lead and 4-10 for cadmium. In epibenthic invertebrate species, both in crustaceans and bivalve molluscs, the concentrations of copper, zinc, and lead were in the same order of magnitude as compared to corresponding species from other geographical latitudes. Cadmium concentrations were relatively low, ranging from 0. 13-0.42 mug g-1 D.W. in the bivalve molluscs Pitaria tumens and from 0.04-0.27 mug g-1 D.W. in the shrimp Processa elegantula. Also in the crab species Ilia spinosa, Inachus sp. and Pagurus sp., the cadmium concentrations were low, varying between 0. 1 and 0.2 mug g-1 D.W. No significant relation between the metal concentration in whole-body samples and sediment (either bulk or silt) was present. Also no gradient was apparent in concentrations in organisms sampled at different depths (5 to 200 m) along two off-shore transects perpendicular to the Banc d'Arguin. Data indicated lower metal concentration in epibenthic organisms from sampling stations along a northern transect (southwest of Cap Blanc) than in organisms from the southern transect, off Cap Timiris. Evidence was obtained for a considerable atmospheric input of heavy metals, in particular zinc and lead, in a certain area along the continental slope of the Banc d'Arguin.</t>
  </si>
  <si>
    <t>EVERAARTS, JM (corresponding author), NETHERLANDS INST SEA RES,POB 59,1790 AB DEN BURG,NETHERLANDS.</t>
  </si>
  <si>
    <t>0018-8158</t>
  </si>
  <si>
    <t>Hydrobiologia</t>
  </si>
  <si>
    <t>MAY 14</t>
  </si>
  <si>
    <t>10.1007/BF00006185</t>
  </si>
  <si>
    <t>LK068</t>
  </si>
  <si>
    <t>WOS:A1993LK06800006</t>
  </si>
  <si>
    <t>Thompson, DR; Dowding, JE</t>
  </si>
  <si>
    <t>Site-specific heavy metal concentrations in blood of South Island pied oystercatchers Haematopus ostralegus finschi from the Auckland Region, New Zealand</t>
  </si>
  <si>
    <t>oystercatcher; heavy metals; blood; New Zealand; biomonitor; Haematopus ostralegus</t>
  </si>
  <si>
    <t>CALIDRIS-ALPINA; MANUKAU HARBOR; MERCURY; LEAD; BIRDS; EXPOSURE; TISSUES; WISCONSIN; FEATHERS; CADMIUM</t>
  </si>
  <si>
    <t>Concentrations of mercury, lead and cadmium were determined in whole blood samples from South Island pied oystercatchers Haematopus ostralegus finschi from two over-wintering sites within the Auckland region, New Zealand, The sites chosen reflected divergent pollutant regimes; South Kaipara Harbour was relatively free of urbanisation and associated pollution, whilst Mangere Inlet within Manukau Harbour in central Auckland was considered relatively polluted, Mercury concentrations in bird blood samples were relatively low (maximum concentration = 102.4 ng g(-1) wet weight in a juvenile from Mangere Inlet), and exhibited no differences between age categories, nor between the two sites. Mercury concentrations measured in oystercatchers were highly unlikely to result in any deleterious toxicological effects, Mean lead concentration was markedly and significantly higher in birds from Mangere Inlet (overall mean = 143.1 ng g(-1) wet weight) compared to that in birds from South Kaipara (overall mean = 58.2 ng g(-1) wet weight), Within birds from Mangere Inlet, juveniles exhibited a significantly higher mean lead concentration (184.0 ng g(-1) wet weight) compared to that in adults (113.0 ng g(-1) wet weight), Some individuals sampled at Mangere Inlet exhibited blood lead concentrations above the 200 ng g(-1) wet weight 'threshold' generally considered to define the concentration at and above which there is potential for toxicological effects, Cadmium concentrations were uniformly low in birds from both sites, often below detection limits, and pose no toxicological threat, The suitability of analysing heavy metals in blood from South Island pied oystercatchers in order to elucidate patterns of metal contamination over relatively small spatial scales is discussed. (C) 1999 Elsevier Science Ltd. All rights reserved.</t>
  </si>
  <si>
    <t>Natl Inst Water &amp; Atmospher Res, Wellington, New Zealand</t>
  </si>
  <si>
    <t>National Institute of Water &amp; Atmospheric Research (NIWA) - New Zealand</t>
  </si>
  <si>
    <t>Natl Inst Water &amp; Atmospher Res, 301 Evans Bay Parade,Greta Point,POB 14-901, Wellington, New Zealand.</t>
  </si>
  <si>
    <t>d.thompson@niwa.cri.nz</t>
  </si>
  <si>
    <t>Dowding, John/IZE-9201-2023</t>
  </si>
  <si>
    <t>MAR</t>
  </si>
  <si>
    <t>10.1016/S0025-326X(98)00169-6</t>
  </si>
  <si>
    <t>189BP</t>
  </si>
  <si>
    <t>WOS:000079884500014</t>
  </si>
  <si>
    <t>Liu, YH; Yang, S; Tang, F; Ma, W; Li, YF</t>
  </si>
  <si>
    <t>Liu, Y-H; Yang, S.; Tang, F.; Ma, W.; Li, Y-F</t>
  </si>
  <si>
    <t>CONCENTRATION DISTRIBUTION OF HEAVY METALS IN MANILA CLAM (RUDITAPES PHILIPPINARUM) AND POTENTIAL HEALTH RISK IN THE COASTAL AREAS OF LIAODONG BAY, CHINA</t>
  </si>
  <si>
    <t>APPLIED ECOLOGY AND ENVIRONMENTAL RESEARCH</t>
  </si>
  <si>
    <t>heavy metals; clam; bioaccumulation; geographical variability; health risk estimate; Liaodong Bay</t>
  </si>
  <si>
    <t>TRACE-ELEMENTS; SURFACE SEDIMENTS; POLLUTION STATUS; BOHAI BAY; MOLLUSKS; MUSSELS; LAKE; SEA; CONSUMPTION; BIVALVES</t>
  </si>
  <si>
    <t>Arsenic (As), Cadmium (Cd), Chromium (Cr), Copper (Cu), Lead (Pb), and Zinc (Zn) concentrations in Manila clam from Liaodong Bay (China) were determined by inductively coupled plasma mass spectrometry. Tissue-specific bioaccumulation, geographical variability (using metal pollution indices) and health risks (using target hazard quotients and maximum daily consumption values) were assessed. Cd concentrations were high at all sampling sites, particularly S6 and S7, where it reached Category III. Other metal concentrations were high at S7 (As), S1 (Cr), S5 (Pb), and S5 and S7 (Zn). As, Cr and Cu accumulated to a higher degree in the viscera than muscles, but Cd accumulated more in muscles than viscera. Heavy metal (HM) contamination was worse in the west than that in the east. The Cd target hazard quotients were greater than 1, but the other HM target hazard quotients were less than 1 at all sites, indicating Cd posed the greatest health risks to humans The maximum daily consumption values also indicated Cd poses health risks.</t>
  </si>
  <si>
    <t>[Liu, Y-H; Li, Y-F] Northeast Agr Univ, Coll Vet, Harbin 150030, Heilongjiang, Peoples R China; [Liu, Y-H; Yang, S.; Tang, F.; Ma, W.] Jinzhou Med Univ, Coll Anim Husb &amp; Vet, Jinzhou 121000, Liaoning, Peoples R China</t>
  </si>
  <si>
    <t>Northeast Agricultural University - China; Jinzhou Medical University</t>
  </si>
  <si>
    <t>Li, YF (corresponding author), Northeast Agr Univ, Coll Vet, Harbin 150030, Heilongjiang, Peoples R China.</t>
  </si>
  <si>
    <t>bdlyh@163.com</t>
  </si>
  <si>
    <t>National Natural Science Foundation of China (NSFC) [31601914]; Key Research and Development Guidance Project of Liaoning Province of China [2018225028]</t>
  </si>
  <si>
    <t>National Natural Science Foundation of China (NSFC)(National Natural Science Foundation of China (NSFC)); Key Research and Development Guidance Project of Liaoning Province of China</t>
  </si>
  <si>
    <t>This study was supported by grants from the National Natural Science Foundation of China (NSFC, No. 31601914), the Key Research and Development Guidance Project of Liaoning Province of China (2018225028).</t>
  </si>
  <si>
    <t>ALOKI Applied Ecological Research and Forensic Inst Ltd</t>
  </si>
  <si>
    <t>Budapest</t>
  </si>
  <si>
    <t>Kassa u. 118, Budapest, HUNGARY</t>
  </si>
  <si>
    <t>1589-1623</t>
  </si>
  <si>
    <t>1785-0037</t>
  </si>
  <si>
    <t>APPL ECOL ENV RES</t>
  </si>
  <si>
    <t>Appl. Ecol. Environ. Res.</t>
  </si>
  <si>
    <t>10.15666/aeer/1801_077088</t>
  </si>
  <si>
    <t>Ecology; Environmental Sciences</t>
  </si>
  <si>
    <t>KS5WA</t>
  </si>
  <si>
    <t>WOS:000518377600005</t>
  </si>
  <si>
    <t>Yap, CK; Tan, SG; Ismail, A; Omar, H</t>
  </si>
  <si>
    <t>Allozyme polymorphisms and heavy metal levels in the green-lipped mussel Perna viridis (Linnaeus) collected from contaminated and uncontaminated sites in Malaysia</t>
  </si>
  <si>
    <t>ENVIRONMENT INTERNATIONAL</t>
  </si>
  <si>
    <t>Perna viridis; allozymes; heavy metals; Malaysia</t>
  </si>
  <si>
    <t>GENETIC DIVERSITY; SOFT-TISSUE; WEST-COAST; POLLUTION; CADMIUM; SEDIMENTS; ZINC; SEA; PB; CU</t>
  </si>
  <si>
    <t>It has been widely reported that heavy metal contamination in coastal waters can modify the allozyme profiles of marine organisms. Previous studies have recorded elevated metal concentrations in sediments and mussel tissues off Peninsular Malaysia. In the present study, horizontal starch gel electrophoresis was carried out to estimate the levels of allelic variation of the green-lipped mussel, Perna viridis, collected from one contaminated and three relatively uncontaminated sites off Peninsular Malaysia. Fourteen polymorphic loci were observed. In addition, the concentrations of cadmium, copper, lead, mercury and zinc were determined in the sediments and in the soft tissues of the mussels. Mussels from contaminated site, evidenced by high metal pollution indices (MPI) of the sediment and the mussel tissues, showed the highest percentage of polymorphic loci (78.6%), while those collected from the uncontaminated sites had lower MPI of the sediment and mussel tissue, and exhibited lower percentages of polymorphic loci (35.7-57.1%). The population from the contaminated site showed the highest excess of heterozygosity (0.289) when compared to that of the populations from the three uncontaminated sites (0.108 - 0.149). Allozyme frequencies at the phosphoglucomutase (PGM, E.C. 2.7.5.1) locus also differed between the contaminated and uncontaminated populations. Previous studies have shown that exposure to heavy metals can select or counter-select for particular alleles at this locus. The present results suggest that allozyme polymorphism in R viridis is a potential biomonitoring tool for heavy metal contamination but further validation is required. (C) 2003 Elsevier Science Ltd. All rights reserved.</t>
  </si>
  <si>
    <t>Univ Putra Malaysia, Fac Sci &amp; Environm Studies, Dept Biol, Serdang 43400, Selangor, Malaysia</t>
  </si>
  <si>
    <t>Universiti Putra Malaysia</t>
  </si>
  <si>
    <t>Univ Putra Malaysia, Fac Sci &amp; Environm Studies, Dept Biol, Serdang 43400, Selangor, Malaysia.</t>
  </si>
  <si>
    <t>yapckong@hotmail.com</t>
  </si>
  <si>
    <t>Tan, Soon/V-1782-2019; Tan, S/B-2448-2010; Yap, Chee Kong/N-1318-2015</t>
  </si>
  <si>
    <t>Omar, Hishamuddin/0000-0001-5032-2540; Ismail, Ahmad/0000-0002-7669-5641; Tan, S/0000-0001-9960-4493; Yap, Chee Kong/0000-0003-0317-0999</t>
  </si>
  <si>
    <t>0160-4120</t>
  </si>
  <si>
    <t>1873-6750</t>
  </si>
  <si>
    <t>ENVIRON INT</t>
  </si>
  <si>
    <t>Environ. Int.</t>
  </si>
  <si>
    <t>10.1016/S0160-4120(03)00144-2</t>
  </si>
  <si>
    <t>762LR</t>
  </si>
  <si>
    <t>Green Accepted</t>
  </si>
  <si>
    <t>WOS:000187974100006</t>
  </si>
  <si>
    <t>Kourdali, S; Boudjema, K; Meknachi, A; Bounakous, N; Jaouadi, B; Mechri, S; Badis, A</t>
  </si>
  <si>
    <t>Kourdali, Sidali; Boudjema, Kamel; Meknachi, Abdellah; Bounakous, Nabila; Jaouadi, Bassem; Mechri, Sondes; Badis, Abdelmalek</t>
  </si>
  <si>
    <t>An ecotoxicological approach for assessing marine pollution: Comparative study of multi-responses of marine mussels, Mytilus galloprovincialis and Perna perna, exposed to pollutant heavy metals (copper and lead)</t>
  </si>
  <si>
    <t>REGIONAL STUDIES IN MARINE SCIENCE</t>
  </si>
  <si>
    <t>Heavy metals; Biomarker; Catalase; Mytilus galloprovincialis; Perna perna; Oxidative stress</t>
  </si>
  <si>
    <t>CATALASE ACTIVITY; OXIDATIVE STRESS; ANTIOXIDANT RESPONSES; OREOCHROMIS-NILOTICUS; BIOMARKER RESPONSES; AQUATIC ORGANISMS; BLUE MUSSEL; CADMIUM; TOXICITY; ENZYMES</t>
  </si>
  <si>
    <t>The present research aims to evaluate the variation of several responses such as nitrogen and phosphorus excretion, catalase activity and total protein in the two species of marine mussels, Mytilus galloprovincialis (Ain Tagoureite-Tipaza, Algeria) and Perna perna (Figuier-Boumerdes, Algeria), exposed to different sub-lethal concentrations of two heavy metals (copper, and lead). The measurement of the chemical and biochemical responses were made after an acute exposure period (the mussels' size is between 4.5 and 5.5 cm). The results showed that, through all exposure cycles, variations in temperature and salinity [0.10 +/- 0.05 degrees C &gt;Delta T &gt; 1.6 +/- 0.13 degrees C, 0.05 +/- 0.02% &gt;Delta S &gt; 0.65 +/- 0.03%] are far from significant in order to interfere with the effect caused by copper or lead pollutant. In both species, the remarkable changes in nitrogen and phosphorus mineral matter under two metals effect are a physiological disturbance origin. Consequently, the catalase induction and the proteins depletion [Mytilus galloprovincialis: | - 0.138| &gt;Delta[protein total] &gt; | - 1.601| (mg g-1 of flesh), Perna perna: | - 1.046| &gt;Delta[protein total] &gt; (0.56 mg g-1 of flesh)] during the contamination cycles reflected the oxidative stress caused with the varying levels. However, in decontamination cycles, the catalase enzymatic activity [Mytilus galloprovincialis ([Cu]=0.100 mg/l): [CAT] (day1) = 18.4, [CAT] (day3) = 50.06, and [CAT] (day11) = 29.3 U mg -1 of proteins, Perna perna([Cu] = 0.100 mg/l): [CAT] (day1) = 19.4, [CAT] (day3) = 59.11, and [CAT] (day11) = 33.02 U mg -1 of proteins], has revealed the normal state return when the environment is free of contamination. Through these results, the good relevance of pollution indication in the two species depends essentially on their sensitivity and tolerance, causing physiological and/or metabolite responses will vary according to the xenobiotics and their dose. (c) 2022 Elsevier B.V. All rights reserved.</t>
  </si>
  <si>
    <t>[Kourdali, Sidali; Boudjema, Kamel; Meknachi, Abdellah; Bounakous, Nabila] Natl Ctr Res &amp; Dev Fisheries &amp; Aquaculture CNRDPA, 11 Colonel Amirouche St,POB 67, Bou Ismail 42415, Tipaza, Algeria; [Badis, Abdelmalek] Univ Saad Dahlab Blida 1, Fac Technol, Dept Proc Engn, POB 270, Blida 09000, Algeria; [Jaouadi, Bassem; Mechri, Sondes] Univ Sfax, Ctr Biotechnol Sfax CBS, Lab Microbial Biotechnol Enzymat &amp; Biomol LMBEB, Rd Sidi Mansour Km 6,POB 1177, Sfax 3018, Tunisia; [Badis, Abdelmalek] Univ Saad Dahlab Blida, Lab Nat Subst Chem &amp; BioMol LNSC BioM, POB 270, Blida 09000, Algeria</t>
  </si>
  <si>
    <t>Centre de Biotechnologie de Sfax; Universite de Sfax; Universite Saad Dahlab de Blida</t>
  </si>
  <si>
    <t>Kourdali, S (corresponding author), Natl Ctr Res &amp; Dev Fisheries &amp; Aquaculture CNRDPA, 11 Colonel Amirouche St,POB 67, Bou Ismail 42415, Tipaza, Algeria.</t>
  </si>
  <si>
    <t>hsidalo@yahoo.fr</t>
  </si>
  <si>
    <t>Sondes, Mechri/ABI-8474-2020; kourdali, sidali/AAQ-6780-2021; JAOUADI, Bassem/AAN-8106-2021</t>
  </si>
  <si>
    <t>Bassem, JAOUADI/0000-0002-5182-7353; kourdali, sidali/0000-0001-6911-643X; kamel, boudjema/0000-0002-8880-3355</t>
  </si>
  <si>
    <t>Algerian Ministry of Fisheries and Fisheries Production</t>
  </si>
  <si>
    <t>This work is part of the CNRDPA research program and it was financially supported by the Algerian Ministry of Fisheries and Fisheries Production.</t>
  </si>
  <si>
    <t>2352-4855</t>
  </si>
  <si>
    <t>REG STUD MAR SCI</t>
  </si>
  <si>
    <t>Reg. Stud. Mar. Sci.</t>
  </si>
  <si>
    <t>10.1016/j.rsma.2022.102334</t>
  </si>
  <si>
    <t>APR 2022</t>
  </si>
  <si>
    <t>Ecology; Marine &amp; Freshwater Biology</t>
  </si>
  <si>
    <t>1D2MZ</t>
  </si>
  <si>
    <t>WOS:000793641200011</t>
  </si>
  <si>
    <t>Atia, AS; Darwish, WS; Zaki, MS</t>
  </si>
  <si>
    <t>Atia, A. S.; Darwish, W. S.; Zaki, M. S.</t>
  </si>
  <si>
    <t>MONITORING OF HEAVY METAL RESIDUES, METAL-METAL INTERACTIONS AND THE EFFECT OF COOKING ON THE METAL LOAD IN SHELLFISH</t>
  </si>
  <si>
    <t>JOURNAL OF ANIMAL AND PLANT SCIENCES-JAPS</t>
  </si>
  <si>
    <t>Heavy metals; shellfish; cooking; health risk</t>
  </si>
  <si>
    <t>CRASSOSTREA-GIGAS; RISK-ASSESSMENT; MERCURY; FISH; LEAD; CADMIUM; GULF; ZINC; ORGANISMS; EXPOSURE</t>
  </si>
  <si>
    <t>Heavy metal pollution is considered a major problem worldwide. Heavy metals find their way to human body mainly through diet, water and air. Shellfish represents a major source of animal-derived protein, vitamins and trace elements; however, it may contribute to human exposure to heavy metals. This study was undertaken to monitor the toxic metal (lead, cadmium, mercury and arsenic) residues in six shellfish namely, shrimp, crab, crayfish, clam, oyster and mussel collected from fish markets in Ismailia governorate, Egypt. Moreover, metal-metal interactions were also analyzed. Furthermore, human health risk assessment was estimated. Finally, the effect of different cooking methods on the toxic metal load in the shrimp was investigated. The results declared a clear and significant variation in the accumulation pattern of each metal in the examined shellfish. Positive correlations in the accumulation pattern of some metals were also observed in this study. High and continuous dietary intake of shellfish may constitute health hazards among consumers. Grilling and barbecuing of shellfish lead to an increase in the concentrations of toxic metals. However, boiling and frying significantly reduced the metal load in the shellfish. Public health implications of the examined metals were also discussed.</t>
  </si>
  <si>
    <t>[Atia, A. S.; Zaki, M. S.] Zagazig Univ, Fac Vet Med, Dept Vet Hyg, Zagazig 44519, Egypt; [Darwish, W. S.] Zagazig Univ, Fac Vet Med, Food Control Dept, Zagazig 44519, Egypt</t>
  </si>
  <si>
    <t>Egyptian Knowledge Bank (EKB); Zagazig University; Egyptian Knowledge Bank (EKB); Zagazig University</t>
  </si>
  <si>
    <t>Darwish, WS (corresponding author), Zagazig Univ, Fac Vet Med, Food Control Dept, Zagazig 44519, Egypt.</t>
  </si>
  <si>
    <t>wagehdarwish@yahoo.ca</t>
  </si>
  <si>
    <t>Zaki, Mohamed Samir/HJH-1590-2023; Darwish, Wageh/N-6136-2019</t>
  </si>
  <si>
    <t>Darwish, Wageh/0000-0002-4399-1401</t>
  </si>
  <si>
    <t>Faculty of Veterinary Medicine, Zagazig University</t>
  </si>
  <si>
    <t>Faculty of Veterinary Medicine, Zagazig University(Egyptian Knowledge Bank (EKB)Zagazig University)</t>
  </si>
  <si>
    <t>This study was supported in part by grants provided from Faculty of Veterinary Medicine, Zagazig University to departments of Food control and Veterinary Hygiene. We thank Dr. Emmanuel Ogbomida (University of Benin, Nigeria) for his English proofreading of our manuscript.</t>
  </si>
  <si>
    <t>PAKISTAN AGRICULTURAL SCIENTISTS FORUM</t>
  </si>
  <si>
    <t>LAHORE</t>
  </si>
  <si>
    <t>UNIV VETERINARY &amp; ANIMAL SCIENCES, LAHORE, 00000, PAKISTAN</t>
  </si>
  <si>
    <t>1018-7081</t>
  </si>
  <si>
    <t>2309-8694</t>
  </si>
  <si>
    <t>J ANIM PLANT SCI-PAK</t>
  </si>
  <si>
    <t>J. Anim. Plant Sci.-JAPS</t>
  </si>
  <si>
    <t>Agriculture, Multidisciplinary; Biology; Veterinary Sciences</t>
  </si>
  <si>
    <t>Agriculture; Life Sciences &amp; Biomedicine - Other Topics; Veterinary Sciences</t>
  </si>
  <si>
    <t>GG9VV</t>
  </si>
  <si>
    <t>WOS:000433050100009</t>
  </si>
  <si>
    <t>Waykar, B; Petare, R</t>
  </si>
  <si>
    <t>Waykar, Bhalchandra; Petare, Ram</t>
  </si>
  <si>
    <t>Studies on monitoring the heavy metal contents in water, sediment and snail species in Latipada reservoir</t>
  </si>
  <si>
    <t>Bioaccumulation; BWAF values; BSAF values; Heavy metal toxicity; Latipada reservoir; Snail</t>
  </si>
  <si>
    <t>TRACE-METALS; POLLUTION; MOLLUSKS; MUSSELS; BAY; ZN; CD; PB; CU</t>
  </si>
  <si>
    <t>The concentrations of zinc, copper, cadmium and lead in surface water, sediments and two native snail species, Bellanzycz bengalensis and Melanoides tuberculata from Latipada reservoir were determined. The concentrations of cadmium and lead in surface water were higher than the WHO recommended limits for drinking water standards; where as those of zinc and copper were within the permissible limits. The concentrations of zinc, copper, cadmium and lead were higher in sediments than in water. The observed bioaccumulated level of zinc, copper, cadmium and lead in Bellamya bengalensis were Zn- 197.22, Cu- 172.14, Cd- 11.59 and Pb- 112.57pz gil, while in Melanoides tuberculata were Zn- 136.59, Cu- 132.04, Cd- 13.25 and Pb- 27.691.1g gil. The metal concentrations in both species of snails were higher than those of the water and sediment. Bioaccumulated metal concentrations, Bio-Water Accumulation Factor (BWAF) and BioSediment Accumulation Factor (BSAF) values indicated that Bellarnya bengalensis had high potential for zinc, copper and lead bioaccumulation than Melanoides tuberculata, while Melanoides tuberculate had high potential for cadmium than Bellantya bengalensis. Therefore, Bellainya bengalensis is proposed as sentinel organism for monitoring zinc, copper and lead, while Melanoides tuberculoid for monitoring cadmium in freshwater.</t>
  </si>
  <si>
    <t>[Waykar, Bhalchandra; Petare, Ram] Dr Babasaheb Ambedkar Marathawada Univ, Dept Zool, Aurangabad 431004, Maharashtra, India</t>
  </si>
  <si>
    <t>Dr. Babasaheb Ambedkar Marathwada University (BAMU)</t>
  </si>
  <si>
    <t>Petare, R (corresponding author), Dr Babasaheb Ambedkar Marathawada Univ, Dept Zool, Aurangabad 431004, Maharashtra, India.</t>
  </si>
  <si>
    <t>rampetare@gmail.com</t>
  </si>
  <si>
    <t>DU8OS</t>
  </si>
  <si>
    <t>WOS:000382473800016</t>
  </si>
  <si>
    <t>Senez-Mello, TM; Crapez, MAC; Silva, CARE; da Silva, ET; da Fonseca, EM</t>
  </si>
  <si>
    <t>Senez-Mello, Thaise Machado; Carlos Crapez, Mirian Araujo; Ramos e Silva, Carlos Augusto; da Silva, Eduardo Teixeira; da Fonseca, Estefan Monteiro</t>
  </si>
  <si>
    <t>Spatial Variability of Heavy Metals in Native Oysters From an Anthropogenically Impacted Estuary in Northeastern Brazil</t>
  </si>
  <si>
    <t>FRONTIERS IN MARINE SCIENCE</t>
  </si>
  <si>
    <t>estuarine ecosystem; metal pollution; bioavailability; bioaccumulation; benthic organisms</t>
  </si>
  <si>
    <t>CRASSOSTREA-RHIZOPHORAE; POTENGI ESTUARY; TRACE-METALS; MANGROVE ECOSYSTEMS; CONDITION INDEX; FOOD-WEB; CONTAMINATION; SEDIMENTS; COASTAL; ACCUMULATION</t>
  </si>
  <si>
    <t>This brief research compares the bioconcentration of heavy metals (Cd, Cr, Cu, Pb, Ni, and Zn) in the soft tissues of native oysters Crassostrea rhizophorae (Guilding, 1828) from two areas in the Potengi estuary, northeastern coast of Brazil. The purpose was to test the hypotheses of relevant differences in bioaccumulation while the environmental conditions change upstream. The downstream station showed higher concentrations for cadmium and nickel, and the upstream one revealed increased values for body weight, condition index, chromium, lead, and zinc (p &lt; 0.05). The copper variation between sites was negligible, but as for zinc and chromium, the metal content observed was above guidance levels. Results revealed two aspects that were mainly influencing the bioavailability and bioaccumulation of metals in oysters. First, the predominance of marine or riverine characteristics of each site, and second, the relative proximity to the point of introduction of the pollutant even though stations were not quite far apart. C. rhizophorae accumulated heavy metals in significant concentrations, endorsing its efficiency as a biomonitor.</t>
  </si>
  <si>
    <t>[Senez-Mello, Thaise Machado; Carlos Crapez, Mirian Araujo; Ramos e Silva, Carlos Augusto; da Fonseca, Estefan Monteiro] Fed Fluminense Univ, Inst Geosci, Dept Geol, Postgrad Program Dynam Oceans &amp; Earth, Niteroi, RJ, Brazil; [Ramos e Silva, Carlos Augusto] Fed Fluminense Univ, Ctr Study Water Biomass &amp; Oil, Niteroi, RJ, Brazil; [da Silva, Eduardo Teixeira] Univ Fed Rio Grande do Norte, Dept Oceanog &amp; Limnol, Lab Environm Biochem, Natal, RN, Brazil</t>
  </si>
  <si>
    <t>Universidade Federal Fluminense; Universidade Federal Fluminense; Universidade Federal do Rio Grande do Norte</t>
  </si>
  <si>
    <t>Senez-Mello, TM (corresponding author), Fed Fluminense Univ, Inst Geosci, Dept Geol, Postgrad Program Dynam Oceans &amp; Earth, Niteroi, RJ, Brazil.</t>
  </si>
  <si>
    <t>thaise_senez@id.uff.br</t>
  </si>
  <si>
    <t>Fonseca, Estefan/AAL-2723-2021; Senez-Mello, Thaise/AAI-6600-2020</t>
  </si>
  <si>
    <t>Senez-Mello, Thaise/0000-0002-2246-7117</t>
  </si>
  <si>
    <t>Coordenacao de Aperfeicoamento de Pessoal de Nivel Superior [CAPES 1525927/2015-19]; Secretaria Nacional de Portos/Fundacao Euclides da Cunha [SEP/FEC 3931]; Conselho Nacional de Desenvolvimento Cientifico e Tecnologico [CNPQ 154571/2006-07]</t>
  </si>
  <si>
    <t>Coordenacao de Aperfeicoamento de Pessoal de Nivel Superior(Coordenacao de Aperfeicoamento de Pessoal de Nivel Superior (CAPES)); Secretaria Nacional de Portos/Fundacao Euclides da Cunha; Conselho Nacional de Desenvolvimento Cientifico e Tecnologico(Conselho Nacional de Desenvolvimento Cientifico e Tecnologico (CNPQ))</t>
  </si>
  <si>
    <t>The authors would like to acknowledge the financial support of the Coordenacao de Aperfeicoamento de Pessoal de Nivel Superior (CAPES 1525927/2015-19), Secretaria Nacional de Portos/Fundacao Euclides da Cunha (SEP/FEC 3931), and Conselho Nacional de Desenvolvimento Cientifico e Tecnologico (CNPQ 154571/2006-07).</t>
  </si>
  <si>
    <t>FRONTIERS MEDIA SA</t>
  </si>
  <si>
    <t>LAUSANNE</t>
  </si>
  <si>
    <t>AVENUE DU TRIBUNAL FEDERAL 34, LAUSANNE, CH-1015, SWITZERLAND</t>
  </si>
  <si>
    <t>2296-7745</t>
  </si>
  <si>
    <t>FRONT MAR SCI</t>
  </si>
  <si>
    <t>Front. Mar. Sci.</t>
  </si>
  <si>
    <t>JUN 16</t>
  </si>
  <si>
    <t>10.3389/fmars.2020.00412</t>
  </si>
  <si>
    <t>LY3KC</t>
  </si>
  <si>
    <t>WOS:000540423600001</t>
  </si>
  <si>
    <t>Wang, HT; Qin, DL; Sun, YC; Wang, P; Wang, YY; Rui, YK</t>
  </si>
  <si>
    <t>Wang, Haitao; Qin, Dongli; Sun, Yanchun; Wang, Peng; Wang, Yaoyao; Rui, Yukui</t>
  </si>
  <si>
    <t>STUDY ON THE UNIO DOUGLASIAE SHELL AS AN ENVIRONMENTAL INDICATOR OF HEAVY MATALS IN THE UPSTREAM OF SONGHUA RIVER</t>
  </si>
  <si>
    <t>Unio Douglasiae; Shell; Water environment; Heavy metals</t>
  </si>
  <si>
    <t>METALS</t>
  </si>
  <si>
    <t>In order to study the possibility of using shellfish shell as a carrier for monitoring and recording heavy metal pollution of rivers, Unio Dou Glasiae samples from five rivers were collected, including the Harbin river section of the upper reaches of Songhua River, the Zhaoyuan river section, the Songyuan river section, the Qigihar river section of the Nenjiang upstream of the Songhua River upstream, and the Da an river section. Twelve metal elements including aluminum (Al), chromium (Cr), iron (Fe), manganese (Mn), cobalt (Co), nickel (Ni), copper (Cu), zinc (Zn), arsenic (As), selenium (Se), cadmium (Cd), and lead were detected by the collision cell inductively coupled plasma mass spectrometry (ICP-MS), the test results showed the shell of Unio Dou Glasiae enriched a large amount of metal elements. Seven elements of aluminum (Al), chromium (Cr), iron (Fe), manganese (Mn), cobalt (Co), zinc (Zn) and arsenic (As) in water samples and shellfish samples have high content in the shell samples collected from large urban sampling points such as Harbin and Qigihar, which reflects the correlation between the enrichment range of these elements and human activities, and a comprehensive circle. The distribution of the mussel, the size of the individual and the living habits of the clam, the conclusion is that the shell of the dome is suitable for monitoring the heavy metal pollution in the water environment on Songhua River.</t>
  </si>
  <si>
    <t>[Wang, Haitao; Qin, Dongli; Sun, Yanchun; Wang, Peng] Chinese Acad Fishery Sci, Heilongjiang River Fisheries Res Inst, Harbin 150070, Heilongjiang, Peoples R China; [Wang, Yaoyao; Rui, Yukui] China Agr Univ, Coll Resources &amp; Environm Sci, Beijing Key Lab Farmland Soil Pollut Prevent &amp; Re, Beijing 100193, Peoples R China</t>
  </si>
  <si>
    <t>Chinese Academy of Fishery Sciences; Heilongjiang River Fisheries Research Institute, CAFS; China Agricultural University</t>
  </si>
  <si>
    <t>Wang, P (corresponding author), Chinese Acad Fishery Sci, Heilongjiang River Fisheries Res Inst, Harbin 150070, Heilongjiang, Peoples R China.</t>
  </si>
  <si>
    <t>wahata2002@163.com</t>
  </si>
  <si>
    <t>ZHU, Licheng/KHT-6106-2024</t>
  </si>
  <si>
    <t>Central Public-interest Scientific Institution Basal Research Fund, CAFS [2017HY-ZD0205, HSY201413]</t>
  </si>
  <si>
    <t>Central Public-interest Scientific Institution Basal Research Fund, CAFS</t>
  </si>
  <si>
    <t>This study was supported by Central Public-interest Scientific Institution Basal Research Fund, CAFS (HSY201413) and Central Public-interest Scientific Institution Basal Research Fund, CAFS(NO. 2017HY-ZD0205)</t>
  </si>
  <si>
    <t>HM1TK</t>
  </si>
  <si>
    <t>WOS:000459235700032</t>
  </si>
  <si>
    <t>Piyatiratitivorakul, P; Ruangareerat, S; Vajarasathira, B</t>
  </si>
  <si>
    <t>Piyatiratitivorakul, Piansiri; Ruangareerat, Sudarat; Vajarasathira, Boongeua</t>
  </si>
  <si>
    <t>Comparative toxicity of heavy metal compounds to the juvenile golden apple snail, Pomacea sp.</t>
  </si>
  <si>
    <t>bioassay; biomonitor; freshwater snail; golden apple snail; toxicity test</t>
  </si>
  <si>
    <t>MUSSEL MYTILUS-EDULIS; FRESH-WATER SNAIL; MARINE ORGANISMS; CADMIUM; LEAD; ZINC; COPPER; INVERTEBRATES; FISH</t>
  </si>
  <si>
    <t>Mercury, cadmium and copper which are heavy metal widely used in industry and contaminate aquatic ecosystems as toxic pollutants, were investigated for acute toxicity to the golden apple snail, Pomacea sp. The bioassay experiments in static water system were undertaken to determine the 24-, 48-. 72- and 96-hour mean lethal concentrations for the snail. The experiments were repeated three times. In addition, behavioral and morphological changes of exposed snails at each metal concentration were observed. Data obtained from the acute toxicity tests were evaluated using the probit analysis statistical method. The 24-hour LC50 values (upper and lower 95% confidence limits) for the snail were estimated as 1.57 mg/l (0.92 and 2.67 mg/l) of mercury, 2.25 mg/l (1.24 and 4.66 mg/l) of cadmium and 4.84 mg/l (3.17 and 8.35 mg/l) of copper. The 48-hour LC50 values were estimated as 0.57 mg/l (0.22 and 0.96 mg/l) of mercury, 2.07 mg/l (1.54 and 3.54 mg/l) of cadmium and 1.85 mg/l (1.06 and 0.90 mg/l) of copper. The 72-hour LC50 values were estimated as 0.17 mg/l (0.07 and 0.26 mg/l) of mercury, 0.68 mg/l (0.48 and 0.90 mg/l) of cadmium and 0.92 mg/l (0.64 and 1.78 mg/l) of copper. The 96-hour LC50 values were estimated as 0.07 mg/l (0.05 and 0.10 mg/l) of mercury, 0.47 mg/l (0.28 and 0.84 mg/l) of cadmium and 0.12 mg/l (0.08 and 0.17 mg/l) of copper. Based on LC50 values after 24-, 48-, 72- and 96-hour exposure. mercury was more toxic than cadmium and copper. At the 24- and 72-hour cadmium was more toxic than copper. Conversely, at the 48- and 96-hour copper was more toxic than cadmium. In the metal bioaccumulation experiment, residues of mercury, cadmium and copper in the freshwater snail, Pomacea sp. were shown to be 334.91 mg/kg dry weight, 126.56 mg/kg dry weight and 125.46 mg/kg dry weight, respectively after 96 hours. Copper was accumulated the least, while mercury was present in the greatest concentration. The results of this study indicate the possibility of using freshwater snail. Pomacea sp. as a biomonitor for heavy metal contaminants in freshwater resources.</t>
  </si>
  <si>
    <t>Kasetsart Univ, Fac Sci, Dept Zool, Bangkok 10900, Thailand</t>
  </si>
  <si>
    <t>Kasetsart University</t>
  </si>
  <si>
    <t>Piyatiratitivorakul, P (corresponding author), Kasetsart Univ, Fac Sci, Dept Zool, Bangkok 10900, Thailand.</t>
  </si>
  <si>
    <t>fsciprp@nontri.ku.ac.th</t>
  </si>
  <si>
    <t>045SS</t>
  </si>
  <si>
    <t>WOS:000237763100008</t>
  </si>
  <si>
    <t>DeGregori, I; Pinochet, H; Gras, N; Munoz, L</t>
  </si>
  <si>
    <t>Variability of cadmium, copper and zinc levels in molluscs and associated sediments from Chile</t>
  </si>
  <si>
    <t>MYTILUS-EDULIS-L; HEAVY-METALS; WESTERN AUSTRALIA; MARINE ORGANISMS; ARABIAN GULF; SAUDI COAST; SHARK BAY; BIOACCUMULATION; CONTAMINATION; CLAMS</t>
  </si>
  <si>
    <t>The concentrations of cadmium, copper and zinc in mussel and sediment samples collected together from eight different geographical coastal areas of Chile were determined. The mussels studied were 'Chorito Maico', 'Almejas' and 'Navajuelas Chilenas' (Perumytilus purpuratus, Semelle solida and Tagellus dombeii, respectively). Sampling was carried out in July and September 1992 and January and April 1993 (winter, spring, summer and autumn seasons in Chile, respectively). The metal levels in these mussels varied among species; there were several sites where the metal concentrations in molluscs approached or exceeded the criteria levels for Cd, Cu and Zn in shellfish products: 1, 10 and 50 ppm ww respectively, which are regarded as safe levels for human consumption. The results of metal levels in sediments showed two areas clearly polluted with Cu. Strong relationships between Cu concentrations in the three molluscs and sediments were found; weak correlations were observed for Zn in S. solida. Copyright (C) 1996 Elsevier Science Ltd</t>
  </si>
  <si>
    <t>CHILEAN NUCL ENGN COMISS, NUCL CTR LA REINA, SANTIAGO, CHILE</t>
  </si>
  <si>
    <t>DeGregori, I (corresponding author), PONTIFICIA UNIV CATOLICA VALPARAISO, INST CHEM, POB 4059, VALPARAISO, CHILE.</t>
  </si>
  <si>
    <t>1873-6424</t>
  </si>
  <si>
    <t>10.1016/0269-7491(95)00077-1</t>
  </si>
  <si>
    <t>UU932</t>
  </si>
  <si>
    <t>WOS:A1996UU93200016</t>
  </si>
  <si>
    <t>Wang, CY; Alidoust, D; Isoda, A; Li, MS</t>
  </si>
  <si>
    <t>Wang, Chunyan; Alidoust, Darioush; Isoda, Akihiro; Li, Maosong</t>
  </si>
  <si>
    <t>Suppressive effects of thermal-treated oyster shells on cadmium and copper translocation in maize plants</t>
  </si>
  <si>
    <t>Soil pollution; Cadmium; Copper; Thermal-treated oyster shell; Immobilization; Maize</t>
  </si>
  <si>
    <t>CARBON-ISOTOPE DISCRIMINATION; SOIL SOLUTION SPECIATION; ORGANIC-MATTER; SEWAGE-SLUDGE; HEAVY-METALS; IMMOBILIZATION; LEAD; GROWTH; STABILIZATION; SOLUBILITY</t>
  </si>
  <si>
    <t>The effect of varied concentrations of thermal-treated oyster shells (TOS) on the suppression of cadmium (Cd) and copper (Cu) uptake and translocation into the shoots of maize plants was examined. Maize plants were grown in Cd- and Cu-contaminated Andosol for 70 days. The concentration of mobile Cd (extracted with 1 M NH4NO3) decreased with increasing TOS applications, whereas an increase in the concentration of mobile Cu in soil resulted from cumulative TOS additions. The addition of 2% TOS had no prohibitive effects on Cd uptake in maize shoots, but the 4 and 8% TOS treatments decreased Cd accumulation in shoots by 41 and 59%, respectively. The possible mechanisms underlying Cd suppression in maize shoots were the enhanced Cd adsorption caused by pH-induced increases in the negative charge of the soil and the antagonistic effects of Ca resulting from competition for exchange sites at the root surface. Cu accumulation in maize shoots increased by 34, 51, and 53% with the addition of 2, 4, and 8% TOS, respectively, but this increase was not observed for Cd accumulation. These results suggested that, in multi-metal-contaminated soils, attention should be paid to the potential mobility of target metals and the pH of the contaminated soil. From a plant physiological perspective, contaminated soils slightly reduced photosynthetic performance. However, the addition of TOS to the soil at levels higher than 4% substantially decreased photosynthetic performance, indicating that CaO-based suppressants at critical loads might damage the net photosynthetic rates of sensitive maize plants.</t>
  </si>
  <si>
    <t>[Wang, Chunyan; Alidoust, Darioush; Li, Maosong] Chinese Acad Agr Sci, Inst Agr Resources &amp; Reg Planning, Beijing, Peoples R China; [Alidoust, Darioush; Isoda, Akihiro] Chiba Univ, Div Bioresource Sci, Dept Environm Hort, Lab Crop Sci, Matsudo, Chiba 648, Japan</t>
  </si>
  <si>
    <t>Chinese Academy of Agricultural Sciences; Institute of Agricultural Resources &amp; Regional Planning, CAAS; Chiba University</t>
  </si>
  <si>
    <t>Alidoust, D (corresponding author), Chinese Acad Agr Sci, Inst Agr Resources &amp; Reg Planning, Beijing, Peoples R China.;Alidoust, D (corresponding author), Chiba Univ, Div Bioresource Sci, Dept Environm Hort, Lab Crop Sci, Matsudo, Chiba 648, Japan.</t>
  </si>
  <si>
    <t>Da.alidoust@gmail.com</t>
  </si>
  <si>
    <t>10.1007/s11356-017-9527-y</t>
  </si>
  <si>
    <t>FD7RL</t>
  </si>
  <si>
    <t>WOS:000407723100055</t>
  </si>
  <si>
    <t>Marie, V; Baudrimont, M; Boudou, A</t>
  </si>
  <si>
    <t>Marie, Veronique; Baudrimont, Magalie; Boudou, Alain</t>
  </si>
  <si>
    <t>Cadmium and zinc bioaccumulation and metallothionein response n two freshwater bivaleves (Corbicula fluminea and Dreissena polymorpha) transplanted along a polymetallic gradient</t>
  </si>
  <si>
    <t>metallothionein; cadmium; zinc; freshwater bivalves; field transplantation</t>
  </si>
  <si>
    <t>ST-LAWRENCE-RIVER; METALS; INDUCTION; EXPOSURE; MERCURY</t>
  </si>
  <si>
    <t>This study was designed to compare the metallothionein (MT) response capacity of two freshwater bivalves, Corbicula fluminea and Dreissena polymorpha, along an environmental gradient of polymetallic pollution. The bivalves were transplanted into 4 stations in southwestern France, with a cadmium and zinc pollution gradient. MT and metal concentrations were measured in the soft bodies of the clams and mussels over 2.5 months. In the zebra mussels, variations in MT concentrations were strictly correlated to progressive Cd and Zn bioaccumulation. In contrast, the faster response in the clams appeared positively correlated to Cd accumulation only, with the activation of efficient detoxification mechanisms which limited Cd bioaccumulation and reduced Zn concentrations over time. Nevertheless, despite stronger metal accumulation factors in D. polymorpha, C. fluminea revealed higher sensitivity of MT response along the pollution gradient. (c) 2006 Elsevier Ltd. All rights reserved.</t>
  </si>
  <si>
    <t>Universite de Bordeaux; Centre National de la Recherche Scientifique (CNRS); CNRS - National Institute for Earth Sciences &amp; Astronomy (INSU)</t>
  </si>
  <si>
    <t>Baudrimont, M (corresponding author), Univ Bordeaux 1, CNRS, UMR 5805, LEESA, Pl Dr Peyneau, F-33120 Arcachon, France.</t>
  </si>
  <si>
    <t>m.baudrimont@epoc.u-bordeauxl.fr</t>
  </si>
  <si>
    <t>10.1016/j.chemosphere.2006.01.074</t>
  </si>
  <si>
    <t>100EY</t>
  </si>
  <si>
    <t>WOS:000241652000010</t>
  </si>
  <si>
    <t>Aanand, S; Purushothaman, CS; Pal, AK; Rajendran, KV</t>
  </si>
  <si>
    <t>Aanand, S.; Purushothaman, C. S.; Pal, A. K.; Rajendran, K., V</t>
  </si>
  <si>
    <t>Toxicological studies on the effect of copper, lead and zinc on selected enzymes in the adductor muscle and intestinal diverticula of the green mussel Perna viridis</t>
  </si>
  <si>
    <t>INDIAN JOURNAL OF MARINE SCIENCES</t>
  </si>
  <si>
    <t>CLAM ANADARA-GRANOSA; MYTILUS-EDULIS; OCTOPINE DEHYDROGENASE; METAL POLLUTION; BLOOD; HEMOCYTES; RESPONSES; MOLLUSKS</t>
  </si>
  <si>
    <t>The effect of heavy metals, copper, zinc and lead, on the enzyme activity of the green mussel Perna viridis was experimentally evaluated. A significant reduction in the activities of GOT, OPT and LDH in the adductor muscle of zinc-treated animals could be observed. Activity of ALP was found to increase when compared to that in the control animals after seven days of treatment. Copper and lead were found to increase the activity of GOT, OPT and LDH in the adductor muscle compared to the control animals. LDH activity was found to be enhanced by copper treatment, while lead treatment inhibited the LDH activity after an initial rise on the fourth day. All the enzymes showed high activity in the intestinal diverticula.</t>
  </si>
  <si>
    <t>[Aanand, S.; Purushothaman, C. S.; Pal, A. K.; Rajendran, K., V] Cent Inst Fisheries Educ, Bombay 400061, Maharashtra, India</t>
  </si>
  <si>
    <t>Indian Council of Agricultural Research (ICAR); ICAR - Central Institute of Fisheries Education</t>
  </si>
  <si>
    <t>Aanand, S (corresponding author), Cent Inst Fisheries Educ, Fisheries Univ Rd,7 Bungalows, Bombay 400061, Maharashtra, India.</t>
  </si>
  <si>
    <t>Aanand, S/0000-0002-6855-956X</t>
  </si>
  <si>
    <t>NATL INST SCIENCE COMMUNICATION-NISCAIR</t>
  </si>
  <si>
    <t>NEW DELHI</t>
  </si>
  <si>
    <t>DR K S KRISHNAN MARG, PUSA CAMPUS, NEW DELHI 110 012, INDIA</t>
  </si>
  <si>
    <t>0379-5136</t>
  </si>
  <si>
    <t>INDIAN J MAR SCI</t>
  </si>
  <si>
    <t>Indian J. Mar. Sci.</t>
  </si>
  <si>
    <t>Oceanography</t>
  </si>
  <si>
    <t>654GI</t>
  </si>
  <si>
    <t>WOS:000282156100018</t>
  </si>
  <si>
    <t>Zhelyazkov, G; Yankovska-Stefanova, T; Mineva, E; Stratev, D; Vashin, I; Dospatliev, L; Valkova, E; Popova, T</t>
  </si>
  <si>
    <t>Zhelyazkov, Georgi; Yankovska-Stefanova, Todorka; Mineva, Elena; Stratev, Deyan; Vashin, Ivan; Dospatliev, Lilko; Valkova, Elitsa; Popova, Teodora</t>
  </si>
  <si>
    <t>Risk assessment of some heavy metals in mussels (Mytilus galloprovincialis) and veined rapa whelks (Rapana venosa) for human health</t>
  </si>
  <si>
    <t>M. galloprovincialis; R. venosa; Heavy metals; Human health risk assessment</t>
  </si>
  <si>
    <t>BLACK-SEA; MARINE ORGANISMS; TURKEY; COAST; CONSUMPTION; SHELLFISH; SEDIMENTS; EXPOSURE; CD; PB</t>
  </si>
  <si>
    <t>The purpose of the present study was to analyze the concentrations of lead, cadmium and mercury in mussels (Mytilus galloprovincialis) and veined rapa whelks (Rapana venosa) caught in the Varna Bay of Black Sea and to evaluate the risk for human health from the presence of the three heavy metals. The highest average concentrations in mussels were those of cadmium (0.280 mg/kg), followed by lead (0.251 mg/kg) and mercury (0.017 mg/kg). Veined rapa whelks also showed highest levels of cadmium (1,113 mg/kg), followed by lead (0.045 mg/kg) and mercury (0.034 mg/kg). EDI values for adults consuming mussels and veined rapa whelks were below the published RfDo and PTWI values. All THQ and HI values were below 1. The consumption of M. galloprovincialis and R. venosa caught in the Varna Bay, Black Sea, did not pose any risk for the health of adult people as lead, cadmium and mercury were concerned.</t>
  </si>
  <si>
    <t>[Zhelyazkov, Georgi] Trakia Univ, Fac Agr, Dept Biol &amp; Aquaculture, Stara Zagora 6000, Bulgaria; [Yankovska-Stefanova, Todorka] Bulgarian Food Safety Agcy, 15A Pencho Slaveykov Blvd, Sofia 1000, Bulgaria; [Mineva, Elena] BFSA, Cent Lab Vet Control &amp; Ecol, 5 Iskarsko Shousse St, Sofia 1000, Bulgaria; [Stratev, Deyan; Vashin, Ivan] Trakia Univ, Fac Vet Med, Dept Food Hyg &amp; Control, Vet Legislat &amp; Management, Stara Zagora 6000, Bulgaria; [Dospatliev, Lilko] Trakia Univ, Fac Vet Med, Dept Pharmacol Anim Physiol &amp; Physiol Chem, Stara Zagora 6000, Bulgaria; [Valkova, Elitsa] Trakia Univ, Fac Agr, Dept Biochem Microbiol &amp; Phys, Stara Zagora 6000, Bulgaria; [Popova, Teodora] Inst Anim Sci, Dept Ecol &amp; Qual Anim Prod, Kostinbrod 2232, Bulgaria</t>
  </si>
  <si>
    <t>Trakia University; Trakia University; Trakia University; Trakia University; Agricultural Academy - Bulgaria</t>
  </si>
  <si>
    <t>Stratev, D (corresponding author), Trakia Univ, Fac Vet Med, Dept Food Hyg &amp; Control, Vet Legislat &amp; Management, Stara Zagora 6000, Bulgaria.</t>
  </si>
  <si>
    <t>deyan.stratev@trakia-uni.bg</t>
  </si>
  <si>
    <t>dospatliev, lilko/AAE-7172-2022; Стратев, гл.ас./S-3455-2019; Popova, Teodora/E-4406-2016</t>
  </si>
  <si>
    <t>Stratev, Deyan/0000-0003-4907-1590; Popova, Teodora/0000-0003-1561-5481</t>
  </si>
  <si>
    <t>Trakia University, Bulgaria [3/2016]</t>
  </si>
  <si>
    <t>Trakia University, Bulgaria</t>
  </si>
  <si>
    <t>This work was supported by Scientific Project No 3/2016 of Trakia University, Bulgaria.</t>
  </si>
  <si>
    <t>10.1016/j.marpolbul.2018.01.024</t>
  </si>
  <si>
    <t>GD6VC</t>
  </si>
  <si>
    <t>WOS:000430645600022</t>
  </si>
  <si>
    <t>Maury-Brachet, R; Rochard, E; Durrieu, G; Boudou, A</t>
  </si>
  <si>
    <t>Maury-Brachet, Regine; Rochard, Eric; Durrieu, Gilles; Boudou, Alain</t>
  </si>
  <si>
    <t>The 'Storm of the Century' (December 1999) and the accidental escape of Siberian sturgeons (Acipenser baerii) into the Gironde estuary (Southwest France) -: An original approach for metal contamination</t>
  </si>
  <si>
    <t>bioindicators; cadmium; copper; Gironde estuary (France); lead; mercury; metal contamination; polymetallic contamination; Siberian sturgeons (Acipenser baerii); sturgeons; zinc</t>
  </si>
  <si>
    <t>GARONNE RIVER; STURIO; CADMIUM</t>
  </si>
  <si>
    <t>Goal, Scope and Background. The Gironde estuary is considered as a reference ecosystem with a large fish assemblage (75 species) and the presence of eleven diadromous species. However, geochemical studies and biomonitoring using oysters have shown high metal pollution levels. During the December 1999 hurricane, more than 5,000 young Siberian sturgeons (Acipenser baerii) accidentally escaped from a fish farm into the estuary, where this species had not been present until then. Methods. In 2002/2003, thirteen sturgeons were collected from the estuary and twelve were obtained from the fish farm, from the same initial batch. Analysis of five metals (cadmium, zinc, copper, lead, mercury) measured in the gills, muscle, liver and kidneys, revealed significantly higher levels of cadmium, lead and mercury in the sturgeon collected from the estuary compared with those from the fish farm. Results and Discussion. Metal analysis of the stomach contents of fish collected from the estuary and artificial food used in the fish farm indicated that dietary exposure might account for the differences observed. Nevertheless, metal concentrations in sturgeons that had spent about three years in the Gironde estuary may be considered low when compared with other species (mullets, eels) or with data in the literature regarding concentrations able to induce structural and functional perturbations in fish. As the introduced Siberian sturgeons live in the same place and feed on the same prey as the juveniles of the endangered A. sturio, our results indicate in the short term that this strictly protected species does not appear to be much affected by the polymetallic pollution in the Gironde estuary. Marked differences in the concentrations of three metals (Cd, Ph, Hg) were established in four organs (gills, liver, skeletal muscle, kidneys) of Siberian sturgeons between specimens that had accidentally escaped into the Gironde estuary (France) during the December 1999 hurricane and were collected in March/June 2003 and specimens from the same initial batch at the fish farm. Recommendations and Perspectives. Based on these results, a programme will be set up, with sampling campaigns carried out in the estuary every two years, with systematic monitoring of age in order to check the origin of individuals, in conjunction with sampling of sturgeon from the fish farm. This programme will complement other studies on several biological species representative of the main trophic levels in the estuary, especially the plankton component, benthic macroinvertebrates and oysters.</t>
  </si>
  <si>
    <t>[Maury-Brachet, Regine; Durrieu, Gilles; Boudou, Alain] Univ Bordeaux 1, F-33120 Arcachon, France; [Maury-Brachet, Regine; Durrieu, Gilles; Boudou, Alain] CNRS, UMR 5805, Lab Ecophysiol &amp; Ecotoxicol Syst Aquat, F-33120 Arcachon, France; [Rochard, Eric] Cemagref Groupement Brodeaux, Unit Ecosyst Estuariens &amp; Poissons Migrateurs Amp, F-33612 Cestas, France</t>
  </si>
  <si>
    <t>Universite de Bordeaux; Centre National de la Recherche Scientifique (CNRS); CNRS - National Institute for Earth Sciences &amp; Astronomy (INSU); INRAE</t>
  </si>
  <si>
    <t>Maury-Brachet, R (corresponding author), Univ Bordeaux 1, Pl Dr Peyneau, F-33120 Arcachon, France.</t>
  </si>
  <si>
    <t>r.maury-brachet@epoc.u-boi-deauxl.fr</t>
  </si>
  <si>
    <t>JAN</t>
  </si>
  <si>
    <t>10.1065/espr2007.12.469</t>
  </si>
  <si>
    <t>267EV</t>
  </si>
  <si>
    <t>WOS:000253493200015</t>
  </si>
  <si>
    <t>Wu, HF; Wang, WX</t>
  </si>
  <si>
    <t>Wu, Huifeng; Wang, Wen-Xiong</t>
  </si>
  <si>
    <t>NMR-based metabolomic studies on the toxicological effects of cadmium and copper on green mussels Perna viridis</t>
  </si>
  <si>
    <t>Metabolomics; NMR; Biomarker; Copper; Cadmium; Mussels</t>
  </si>
  <si>
    <t>SPECTROSCOPY; EXTRACTION; TISSUE; METABONOMICS; PERFORMANCE; LA(NO3)(3); POLLUTION; DINOSEB</t>
  </si>
  <si>
    <t>Traditional toxicology studies have focused on selected biomarkers to characterize the biological stress induced by metals in marine organisms. In this study, a system biology tool, metabolomics, was applied to the marine mussel Perna viridis to investigate changes in the metabolic profiles of soft tissue as a response to copper (Cu) and cadmium (Cd), both as single metal and as a mixture. The major metabolite changes corresponding to metal exposure are related to amino acids, osmolytes, and energy metabolites. Following metal exposure for 1 week, there was a significant increase in the levels of branched chain amino acids, histidine, glutamate, glutamine, hypotaurine, dimethylglycine, arginine and ATP/ADP. For the Cu + Cd co-exposed mussels, the levels of lactate, branched chain amino acid, succinate, and NAD increased, whereas the levels of glucose, glycogen, and ATP/ADP decreased, indicating a different metabolic profile for the single metal exposure groups. After 2 weeks of exposure, the mussels showed acclimatization to Cd exposure based on the recovery of some metabolites. However, the metabolic profile induced by the metal mixture was very similar to that from Cu exposure, suggesting that Cu dominantly induced the metabolic disturbances. Both Cu and Cd may lead to neurotoxicity, disturbances in energy metabolism, and osmoregulation changes. These results demonstrate the high applicability and reliability of NMR-based metabolomics in interpreting the toxicological mechanisms of metals using global metabolic biomarkers. (C) 2010 Elsevier B.V. All rights reserved.</t>
  </si>
  <si>
    <t>[Wu, Huifeng; Wang, Wen-Xiong] Hong Kong Univ Sci &amp; Technol, Div Life Sci, Sect Marine Ecol &amp; Biotechnol, Kowloon, Hong Kong, Peoples R China</t>
  </si>
  <si>
    <t>Hong Kong University of Science &amp; Technology</t>
  </si>
  <si>
    <t>Wang, WX (corresponding author), Hong Kong Univ Sci &amp; Technol, Div Life Sci, Sect Marine Ecol &amp; Biotechnol, Kowloon, Hong Kong, Peoples R China.</t>
  </si>
  <si>
    <t>wwang@ust.hk</t>
  </si>
  <si>
    <t>; Wang, Wenxiong/E-7254-2011</t>
  </si>
  <si>
    <t>Wu, Huifeng/0000-0002-4042-8103; Wang, Wenxiong/0000-0001-9033-0158</t>
  </si>
  <si>
    <t>Hong Kong Research Grant Council [HKUST663009]</t>
  </si>
  <si>
    <t>Hong Kong Research Grant Council(Hong Kong Research Grants Council)</t>
  </si>
  <si>
    <t>We thank Dr. Jianghua Feng (Wuhan Institute of Physics and Mathematics, Chinese Academy of Sciences) for the assistance with NMR, Dr. Mark Viant (School of Bioscience, The University of Birmingham) for use of the software ProMetab, and one anonymous reviewer for the helpful comments. This work was supported by a GRF grant from the Hong Kong Research Grant Council (HKUST663009) to W.-X. Wang.</t>
  </si>
  <si>
    <t>10.1016/j.aquatox.2010.08.005</t>
  </si>
  <si>
    <t>687OG</t>
  </si>
  <si>
    <t>WOS:000284787200005</t>
  </si>
  <si>
    <t>Kibria, G; Hossain, MM; Mallick, D; Lau, TC; Wu, R</t>
  </si>
  <si>
    <t>Kibria, Golam; Hossain, Md Maruf; Mallick, Debbrota; Lau, T. C.; Wu, Rudolf</t>
  </si>
  <si>
    <t>Trace/heavy metal pollution monitoring in estuary and coastal area of Bay of Bengal, Bangladesh and implicated impacts</t>
  </si>
  <si>
    <t>Trace/heavy metals; Artificial mussel; Pollution; Bangladesh; Bay of Bengal; Environmental and public health risk</t>
  </si>
  <si>
    <t>ARTIFICIAL MUSSELS; MARINE ENVIRONMENTS; TRACE-METALS; TEMPERATURE; ACCUMULATION; VALIDATION</t>
  </si>
  <si>
    <t>Using artificial mussels (AMs), this study reports and compares time-integrated level of eleven trace metals (Cd, Co, Cr, Cu, Fe, Hg, Mn, Ni, Pb, U, Zn) in Karnafuli River estuary and coastal area of the Bay of Bengal, Bangladesh. Through this study, hot spots of metal pollution were identified. The results may demonstrate that the Karnafuli Estuary, and adjacent coastal area of Chittagong, Bangladesh are highly polluted by high risk metals (cadmium, chromium, copper, mercury, nickel, lead, uranium). Agricultural, domestic and industrial wastes directly discharged into the waterways have been identified as the main causes of metal pollution in Chittagong, Bangladesh. The high level of metal pollution identified may impact on local water quality, and seafood catch, livelihoods of people and public health resulting from seafood consumption. There is a need for regular monitoring to ascertain that local water quality with respect to metal levels are within acceptable levels to safeguards both environmental health and public health. (C) 2016 Elsevier Ltd. All rights reserved.</t>
  </si>
  <si>
    <t>[Kibria, Golam] RMIT Univ, Sch Appl Sci, Melbourne, Vic, Australia; [Hossain, Md Maruf; Mallick, Debbrota] Univ Chittagong, Inst Marine Sci &amp;Fisheries, Chittagong, Bangladesh; [Lau, T. C.] City Univ Hong Kong, Dept Biol &amp; Chem, Hong Kong, Hong Kong, Peoples R China; [Wu, Rudolf] Hong Kong Inst Educ, Dept Sci &amp; Environm Studies, Tai Po, Hong Kong, Peoples R China</t>
  </si>
  <si>
    <t>Royal Melbourne Institute of Technology (RMIT); University of Chittagong; City University of Hong Kong; Education University of Hong Kong (EdUHK)</t>
  </si>
  <si>
    <t>Kibria, G (corresponding author), RMIT Univ, Sch Appl Sci, Melbourne, Vic, Australia.</t>
  </si>
  <si>
    <t>kibriagolam0@gmail.com</t>
  </si>
  <si>
    <t>Kibria, Golam/T-5122-2019</t>
  </si>
  <si>
    <t>Lau, Tai-Chu/0000-0002-0867-9746; Mallick, Debbrota/0000-0001-8954-2591</t>
  </si>
  <si>
    <t>University Grants Committee of the Hong Kong Special Administrative Region, China [AoE/P-04/04]; Food and Agriculture Organisation of the United nations (FAO)/ Bay of Bengal Large Marine Ecosystems (BoBLME) Project [FAOBGDLOA-0312014-031]</t>
  </si>
  <si>
    <t>University Grants Committee of the Hong Kong Special Administrative Region, China; Food and Agriculture Organisation of the United nations (FAO)/ Bay of Bengal Large Marine Ecosystems (BoBLME) Project</t>
  </si>
  <si>
    <t>The work described in the paper was partly supported by a grant from the University Grants Committee of the Hong Kong Special Administrative Region, China (AoE/P-04/04 (AM supply and analysis, shipment of AM to and from Hong Kong). The rest of the field components including (deployment/retrieval, field and other incidental costs, etc) were supported by the Food and Agriculture Organisation of the United nations (FAO)/ Bay of Bengal Large Marine Ecosystems (BoBLME) Project supported project (FAOBGDLOA-0312014-031). We sincerely acknowledge the personal and professional efforts of Prof. T. C. Lau and Post-Doc Researcher Dr. Ruwei Wang at City University of Hong Kong whose painstaking analysis of all the AM samples made it possible to produce this paper. Special acknowledgement to Dr. Chris O'Brien, Regional Coordinator, Dr. Rudolf Hermes and Mr. C. L. Andreasson of BoBLME for their support and valuable inputs throughout the program. We are grateful to anonymous reviewers whose valuable comments helped to improve the paper.</t>
  </si>
  <si>
    <t>APR 15</t>
  </si>
  <si>
    <t>10.1016/j.marpolbul.2016.02.021</t>
  </si>
  <si>
    <t>DL7JC</t>
  </si>
  <si>
    <t>WOS:000375816000060</t>
  </si>
  <si>
    <t>Najiah, M; Nadirah, M; Lee, KL; Lee, SW; Wendy, W; Ruhil, HH; Nurul, FA</t>
  </si>
  <si>
    <t>Najiah, M.; Nadirah, M.; Lee, K. L.; Lee, S. W.; Wendy, W.; Ruhil, H. H.; Nurul, F. A.</t>
  </si>
  <si>
    <t>Bacteria flora and heavy metals in cultivated oysters Crassostrea iredalei of Setiu Wetland, East Coast Peninsular Malaysia</t>
  </si>
  <si>
    <t>VETERINARY RESEARCH COMMUNICATIONS</t>
  </si>
  <si>
    <t>bacteria flora; heavy metals; oysters; Malaysia</t>
  </si>
  <si>
    <t>CADMIUM; SALINITY; TOXICITY</t>
  </si>
  <si>
    <t>Slipper oyster Crassostrea iredalei is a species of good demand for its sweet flavor and white coloured flesh. The filter feeding nature predisposes oysters to accumulation of pathogenic and heavy metals in waters impacted by sewage pollutions and may thus render the oysters unfit for human consumption. A study was undertaken to investigate the presence of bacteria flora and heavy metal concentrations in cultivated oysters Crassostrea iredalei at Setiu Wetland, Terengganu, the only source of cultivated oysters in East Coast of Malaysia. A total of 200 slipper oyster samples were analyzed. The bacteria were isolated using non selective agar such as TSA agar and selective agars before they were then identified using conventional methods in combination with BBL Crystal identification kit. Heavy metals such as zinc (Zn), copper (Cu), cadmium (Cd), and lead (Pb) concentrations were determined using atomic absorption spectrophotometry. Results showed that the oysters harbor predominantly Shewanella putrifaciens followed by Vibrio parahaemolyticus, Vibrio vulnificus, Vibrio cholerae, Enterobacter cloacae, Escherichia coli and Chromobacterium violaceum. They also contain high concentration of Zn (785.68 +/- 285.88 mu g/g) with the lowest heavy metal was Pb (0.17 +/- 0.15 mu g/g), whilst the concentrations of other heavy metals were Cu (38.9 +/- 13.2 mu g/g) and Cd (1.60 +/- 0.28 mu g/g). The study is very useful to evaluate the type of bacteria and heavy metal present in oyster meat for human consumption.</t>
  </si>
  <si>
    <t>[Najiah, M.; Nadirah, M.; Lee, S. W.; Wendy, W.; Ruhil, H. H.; Nurul, F. A.] Univ Malaysia Terengganu, Fac Agrotechnol &amp; Food Sci, Kuala Terengganu 21030, Terengganu, Malaysia; [Lee, K. L.] Genesis Biotechnol Sdn Bhd, Sect 2, Seri Kembangan 43300, Selangor, Malaysia</t>
  </si>
  <si>
    <t>Universiti Malaysia Terengganu</t>
  </si>
  <si>
    <t>Najiah, M (corresponding author), Univ Malaysia Terengganu, Fac Agrotechnol &amp; Food Sci, Kuala Terengganu 21030, Terengganu, Malaysia.</t>
  </si>
  <si>
    <t>najiah@umt.edu.my</t>
  </si>
  <si>
    <t>Wee, Wendy/AAC-5291-2021; Musa, Najiah/AAA-6027-2021; Hamdan, Ruhil/AAW-1816-2020; Hamdan, Ruhil Hayati/E-3879-2018; Musa, Nadirah/I-2039-2019</t>
  </si>
  <si>
    <t>musa, najiah/0000-0003-1666-3186; Hamdan, Ruhil Hayati/0000-0002-0557-771X; Wee, Wendy/0000-0002-4399-8937; Musa, Nadirah/0000-0002-1398-3734</t>
  </si>
  <si>
    <t>0165-7380</t>
  </si>
  <si>
    <t>VET RES COMMUN</t>
  </si>
  <si>
    <t>Vet. Res. Commun.</t>
  </si>
  <si>
    <t>10.1007/s11259-008-9045-y</t>
  </si>
  <si>
    <t>297PY</t>
  </si>
  <si>
    <t>WOS:000255629800004</t>
  </si>
  <si>
    <t>Góngora-Gómez, AM; García-Ulloa, M; Sevilla, NPM; Domínguez-Orozco, AL; Villanueva-Fonseca, BP; Hernández-Sepulveda, JA; Izaguirre, RO</t>
  </si>
  <si>
    <t>Martin Gongora-Gomez, Andres; Garcia-Ulloa, Manuel; Munoz Sevilla, Norma Patricia; Laura Dominguez-Orozco, Ana; Paulina Villanueva-Fonseca, Brenda; Antonio Hernandez-Sepulveda, Juan; Ortega Izaguirre, Rogelio</t>
  </si>
  <si>
    <t>Heavy-metal contents in oysters (Crassostrea gigas) cultivated on the southeastern coast of the Gulf of California, Mexico</t>
  </si>
  <si>
    <t>HIDROBIOLOGICA</t>
  </si>
  <si>
    <t>Aquaculture; bioaccumulation; Japanese oyster; metal toxicity; pollution</t>
  </si>
  <si>
    <t>TRACE-METALS; CORTEZIENSIS HERTLEIN; SACCOSTREA-GLOMERATA; LAGOON ECOSYSTEM; NORTHWEST COAST; MANGROVE OYSTER; MYTILUS-EDULIS; EAST-COAST; NW MEXICO; HONG-KONG</t>
  </si>
  <si>
    <t>Background. For its flesh and flavor, the Pacific oyster Crassostrea gigas is cultivated worldwide, but as filter feeders, this bivalve bioaccumulates heavy metals from different pollution sources, rendering them unsafe for human consumption. Goals. We carried out this study to assess the heavy metal concentrations in cultivated oysters from a farm located on the southeastern coast of the Gulf of California during 2011. Methods. Oyster samples were analyzed monthly (March-December 2011) for cooper (Cu), cadmium (Cd), chromium (Cr), nickel (Ni), lead (Pb), zinc (Zn), arsenic (As), and mercury (Hg). Results. The mean values (mu g g(-1), dry weight) for each metal were Cu = 51.42 +/- 25.92, Cr = 24.97 +/- 32.38, Cd = 13.84 +/- 4.22, Ni = 10.26 +/- 12.18, Pb = 2.18 +/- 1.28, As = 0.37 +/- 0.08, Zn = 267.42 +/- 92.29, and Hg = 0.02 +/- 0.01. Conclusions. The results suggest that metal burdens could be influenced by anthropogenic activities such as agriculture and aquaculture surrounding the culture zone. Cu, Cr, Cd, and Pb levels (mu g g(-1), fresh weight) were above the maximum permissible values and thus pose a threat to human health. Metal concentrations must be monitored periodically.</t>
  </si>
  <si>
    <t>[Martin Gongora-Gomez, Andres; Garcia-Ulloa, Manuel; Paulina Villanueva-Fonseca, Brenda] Inst Politecn Nacl, CIIDIR, Dept Acuacultura, Unidad Sinaloa, Blvd Juan Dios Batiz Paredes 250, Guasave 81101, Sinaloa, Mexico; [Laura Dominguez-Orozco, Ana; Antonio Hernandez-Sepulveda, Juan] IPN, CIIDIR, Dept Medio Ambiente, Guasave, Sinaloa, Mexico; [Munoz Sevilla, Norma Patricia] IPN, CIIEMAD, Lab Anal &amp; Monitoreo Ambiental, Calle 30 Junio 1520 S-N, Cdmx 07340, Mexico; [Ortega Izaguirre, Rogelio] IPN, CICATA Tamaulipas, Dept Ingn Desarrollo Sustentable, Altamira 89600, Tamaulipas, Mexico</t>
  </si>
  <si>
    <t>Instituto Politecnico Nacional - Mexico; Instituto Politecnico Nacional - Mexico; Instituto Politecnico Nacional - Mexico</t>
  </si>
  <si>
    <t>Góngora-Gómez, AM (corresponding author), Inst Politecn Nacl, CIIDIR, Dept Acuacultura, Unidad Sinaloa, Blvd Juan Dios Batiz Paredes 250, Guasave 81101, Sinaloa, Mexico.</t>
  </si>
  <si>
    <t>turbotuag@hotmail.com</t>
  </si>
  <si>
    <t>Dominguez-Orozco, Ana Laura/0000-0002-9685-7505; Garcia-Ulloa, Manuel/0000-0001-5357-8891</t>
  </si>
  <si>
    <t>Instituto Politecnico Nacional (IPN); Secretaria de Investigacion y Posgrado (SIP-IPN); Comision de Operaciones y Fomento de Actividades Academicas (COFAA-IPN)</t>
  </si>
  <si>
    <t>The authors wish to express their gratitude to the Instituto Politecnico Nacional (IPN), the Secretaria de Investigacion y Posgrado (SIP-IPN), and the Comision de Operaciones y Fomento de Actividades Academicas (COFAA-IPN) for financial support for the SIP-IPN 1695 multidisciplinary project (Efecto de los metales pesados en organismos triploides de ostion japones Crassostrea gigas cultivados en Ensenada Pabellones, Navolato, Sinaloa.)</t>
  </si>
  <si>
    <t>UNIV AUTONOMA METROPOLITANA-IZTAPALAPA</t>
  </si>
  <si>
    <t>MEXICO</t>
  </si>
  <si>
    <t>C/O DR JAIME VERNON-CARTER, SAN RAFAEL ATLIXCO NO 186, COL VICENTINA, DELEGACION IZTAPALAPA, MEXICO, 09340, MEXICO</t>
  </si>
  <si>
    <t>0188-8897</t>
  </si>
  <si>
    <t>Hidrobiologica</t>
  </si>
  <si>
    <t>FQ6PP</t>
  </si>
  <si>
    <t>WOS:000418486800007</t>
  </si>
  <si>
    <t>Honda, M; Qiu, XC; Undap, SL; Kimura, T; Hori, T; Shimasaki, Y; Oshima, Y</t>
  </si>
  <si>
    <t>Honda, Masato; Qiu, Xuchun; Lydia Undap, Suzanne; Kimura, Takeshi; Hori, Tsuguhide; Shimasaki, Yohei; Oshima, Yuji</t>
  </si>
  <si>
    <t>Contamination of Heavy Metals, Polychlorinated Dibenzo-p-Dioxins/Furans and Dioxin-Like Polychlorinated Biphenyls in Wharf Roach Ligia spp. In Japanese Intertidal and Supratidal Zones</t>
  </si>
  <si>
    <t>APPLIED SCIENCES-BASEL</t>
  </si>
  <si>
    <t>supratidal zone; Ligia spp; heavy metals; polychlorinated dibenzo-p-dioxin; furan; dioxin-like polychlorinated biphenyl</t>
  </si>
  <si>
    <t>We investigated the pollution levels of 6 heavy metals and 29 dioxins (polychlorinated dibenzo-p-dioxins (PCDDs), polychlorinated dibenzofurans (PCDFs), and dioxin-like polychlorinated biphenyls (DL-PCBs)) in intertidal and supratidal zones by using wharf roaches (Ligia spp.) collected from 12 sampling sites on the coast of Northeast Japan from November 2011 to June 2012. The total concentrations of heavy metals ranged from 177 to 377 mu g/g-dry weight (dw), and the predominant metals were copper, zinc, and aluminum. The order of the detected level of heavy metals was zinc &gt; aluminum &gt; copper &gt; cadmium &gt; lead &gt; chromium, and this trend was similar to a previous report. The total toxic equivalent (TEQ) value of the PCDD/Fs ranged from less than the limit of detection (</t>
  </si>
  <si>
    <t>[Honda, Masato] Kanazawa Univ, Inst Nat &amp; Environm Technol, Kanazawa, Ishikawa 9201192, Japan; [Honda, Masato; Qiu, Xuchun; Lydia Undap, Suzanne; Shimasaki, Yohei; Oshima, Yuji] Kyushu Univ, Fac Agr, Lab Marine Environm Sci, Ni Shi Ku, Motooka 744, Fukuoka 8190395, Japan; [Lydia Undap, Suzanne] Sam Ratulangi Univ, Fac Fisheries &amp; Marine Sci, Jl Kampus Unsrat Bahu, Kota Manado 95115, North Sulawesi, Indonesia; [Kimura, Takeshi] ENJEC CO Ltd, Minami Ku, Nagaoka 3-1-18, Fukuoka 8150075, Japan; [Hori, Tsuguhide] Fukuoka Inst Hlth &amp; Environm Sci, Dept Hlth Sci, Div Drug &amp; Food Hyg, Mukaizano 39, Fukuoka 8180135, Japan</t>
  </si>
  <si>
    <t>Kanazawa University; Kyushu University; Universitas Sam Ratulangi</t>
  </si>
  <si>
    <t>Oshima, Y (corresponding author), Kyushu Univ, Fac Agr, Lab Marine Environm Sci, Ni Shi Ku, Motooka 744, Fukuoka 8190395, Japan.</t>
  </si>
  <si>
    <t>mst-honda@se.kanazawa-u.ac.jp; xuchunqiu@ujs.edu.cn; suzanne.undap@gmail.com; kimura@enjec.com; hori@fihes.pref.fukuoka.jp; simasaki@agr.kyushu-u.ac.jp; yoshima@agr.kyushu-u.ac.jp</t>
  </si>
  <si>
    <t>Undap, Suzanne/ACB-4655-2022; Qiu, Xuchun/I-5122-2019; Oshima, Yuji/C-7701-2011; Honda, Masato/G-9436-2016</t>
  </si>
  <si>
    <t>xiong zhi, da dao/0000-0002-7682-9611; Honda, Masato/0000-0001-7554-1635</t>
  </si>
  <si>
    <t>JKA Foundation; Institute of Nature and Environmental Technology, Kanazawa University [5]</t>
  </si>
  <si>
    <t>JKA Foundation; Institute of Nature and Environmental Technology, Kanazawa University</t>
  </si>
  <si>
    <t>This research was funded by the JKA Foundation and by the cooperative research program of the Institute of Nature and Environmental Technology, Kanazawa University, Acceptance No. 5, 2015.</t>
  </si>
  <si>
    <t>MDPI</t>
  </si>
  <si>
    <t>BASEL</t>
  </si>
  <si>
    <t>ST ALBAN-ANLAGE 66, CH-4052 BASEL, SWITZERLAND</t>
  </si>
  <si>
    <t>2076-3417</t>
  </si>
  <si>
    <t>APPL SCI-BASEL</t>
  </si>
  <si>
    <t>Appl. Sci.-Basel</t>
  </si>
  <si>
    <t>10.3390/app11041856</t>
  </si>
  <si>
    <t>Chemistry, Multidisciplinary; Engineering, Multidisciplinary; Materials Science, Multidisciplinary; Physics, Applied</t>
  </si>
  <si>
    <t>Chemistry; Engineering; Materials Science; Physics</t>
  </si>
  <si>
    <t>RB4IR</t>
  </si>
  <si>
    <t>WOS:000632076800001</t>
  </si>
  <si>
    <t>Oyster copper levels in the northern South China Sea from 1989 to 2015: spatiotemporal trend detection and human health implications</t>
  </si>
  <si>
    <t>Environmental protection; Health risk assessment; Heavy metal contamination; Oyster copper concentration; Seafood safety; Spatiotemporal distributions</t>
  </si>
  <si>
    <t>CRASSOSTREA-VIRGINICA; SACCOSTREA-GLOMERATA; RISK-ASSESSMENT; HEAVY-METALS; SYDNEY ESTUARY; TRACE-METALS; BIOACCUMULATION; ZN; POLLUTION; CU</t>
  </si>
  <si>
    <t>Coastal heavy metal pollution has become an important topic for seafood safety and marine environmental protection. Unlike toxic heavy metals such as cadmium or chromium, copper is essential for oysters' growth but can inhibit their immune response to exotic stress when going above normal levels. Oysters with high copper levels can easily accumulate and transfer abnormal amounts of copper to upper trophic levels, and generate health risks for humans. This study investigated the spatiotemporal variability and health risk of copper levels in cultured oysters (Crassostrea rivularis) sampled from 23 harbors, bays, or estuaries along the northern South China Sea during 1989-2015. Overall, oyster copper concentrations in the study area ranged from 0.9 to 1897.0 mu g/g wet weight with a mean of 210.0 (+/- 143.6) mu g/g and a median of 89.3 mu g/g. Although oyster copper levels in the southern China provinces of Guangdong, Guangxi, and Hainan showed an overall decrease during 1989-2015, they stayed relatively low since 1996 and increased slightly after 2010. Oyster copper levels in Guangdong were significantly higher than in Hainan and Guangxi. In Guangdong, oyster copper levels were highest in the Pearl River Estuary, followed by west Guangdong and east Guangdong. The health risk of copper exposure through oyster consumption increased in 2011-2015 compared with in 2006-2010. It is recommended that the human daily intake of cultured oysters in the study area should be reduced by half to minimize copper exposure. This study suggested that copper is one of the most important heavy metal contaminants in coastal and estuarine ecosystems of the northern South China Sea.</t>
  </si>
  <si>
    <t>[Wang, Lifei; Wang, Xuefeng] Guangdong Ocean Univ, Coll Fisheries, Zhanjiang 524088, Guangdong, Peoples R China; [Wang, Lifei] Univ Toronto Scarborough, Dept Biol Sci, Toronto, ON M1C 1A4, Canada; [Wang, Xuefeng] Southern Marine Sci &amp; Engn Guangdong Lab, Zhanjiang 524025, Guangdong, Peoples R China; [Chen, Haigang; Wang, Zenghuan; Jia, Xiaoping] Chinese Acad Fishery Sci, South China Sea Fisheries Res Inst, Key Lab Fishery Ecol &amp; Environm, Guangzhou 510300, Guangdong, Peoples R China</t>
  </si>
  <si>
    <t>Wang, XF (corresponding author), Guangdong Ocean Univ, Coll Fisheries, Zhanjiang 524088, Guangdong, Peoples R China.;Wang, XF (corresponding author), Southern Marine Sci &amp; Engn Guangdong Lab, Zhanjiang 524025, Guangdong, Peoples R China.</t>
  </si>
  <si>
    <t>xuefeng1999@126.com</t>
  </si>
  <si>
    <t>Southern Marine Science and Engineering Guangdong Laboratory (Zhanjiang) [ZJW2019-06]; Special Fund for Agro-scientific Research in the Public Interest from China Ministry of Agriculture [201403008]</t>
  </si>
  <si>
    <t>Southern Marine Science and Engineering Guangdong Laboratory (Zhanjiang); Special Fund for Agro-scientific Research in the Public Interest from China Ministry of Agriculture</t>
  </si>
  <si>
    <t>This project was funded by the Southern Marine Science and Engineering Guangdong Laboratory (Zhanjiang) (ZJW2019-06) and the Special Fund for Agro-scientific Research in the Public Interest from China Ministry of Agriculture (201403008).</t>
  </si>
  <si>
    <t>10.1007/s11356-020-09106-3</t>
  </si>
  <si>
    <t>MAY 2020</t>
  </si>
  <si>
    <t>NM3DR</t>
  </si>
  <si>
    <t>WOS:000530810900002</t>
  </si>
  <si>
    <t>Canli, M; Stagg, RM; Rodger, G</t>
  </si>
  <si>
    <t>The induction of metallothionein in tissues of the Norway lobster Nephrops norvegicus following exposure to cadmium, copper and zinc: The relationships between metallothionein and the metals</t>
  </si>
  <si>
    <t>metals; metallothionein; decapod crustacean</t>
  </si>
  <si>
    <t>FRESH-WATER BIVALVE; CALLINECTES-SAPIDUS; BLUE-CRAB; HOMARUS-AMERICANUS; CONTAMINATION GRADIENT; FIELD TRANSPLANTATION; PYGANODON GRANDIS; BINDING PROTEIN; SCYLLA-SERRATA; TRACE-METALS</t>
  </si>
  <si>
    <t>Nephrops norvegicus were exposed simultaneously to cadmium, copper and zinc over an 18-day period. Exposure concentrations were control, 1, 5 and 25 mu g litre(-1) for cadmium and copper and 8, 40 and 200 mu g litre(-1) for zinc. Concentrations of cadmium, copper, zinc and metallothionein were measured in homogenates of both the gill and the hepatopancreas. Quantification of metallothionein was carried out by differential pulse polarography. Cadmium concentrations increased significantly in the gill and hepatopancreas of both male and female animals in response to increases in exposure concentration. In contrast, the concentration of copper and zinc increased significantly in the gills of males, but not in females. In the hepatopancreas, neither copper nor zinc resulted in significant changes in concentrations of these metals. Metallothionein concentrations in the gill and hepatopancreas were increased significantly in relation to metal exposure in both males and females. Concentrations of cadmium and metallothionein in both the gill and hepatopancreas of males and females were positively correlated. Copper in the hepatopancreas also showed positive relationships with MT concentrations in males, but not in females. This study suggested that cadmium MTs in the gill and hepatopancreas of Nephrops norvegicus could be used as a sensitive tool to detect cadmium contamination in the lobsters, although this was not true for copper and zinc. (C) 1997 Elsevier Science Ltd.</t>
  </si>
  <si>
    <t>UNIV GLASGOW,DEPT ZOOL,GLASGOW G12 8QQ,LANARK,SCOTLAND; MARINE LAB,ABERDEEN AB11 9DB,SCOTLAND</t>
  </si>
  <si>
    <t>University of Glasgow</t>
  </si>
  <si>
    <t>Canli, Mustafa/B-6268-2018</t>
  </si>
  <si>
    <t>Canli, Mustafa/0000-0002-7038-6186</t>
  </si>
  <si>
    <t>THE BOULEVARD, LANGFORD LANE, KIDLINGTON, OXFORD, OXON, ENGLAND OX5 1GB</t>
  </si>
  <si>
    <t>10.1016/S0269-7491(97)00043-2</t>
  </si>
  <si>
    <t>XU520</t>
  </si>
  <si>
    <t>WOS:A1997XU52000007</t>
  </si>
  <si>
    <t>Retief, NR; Avenant-Oldewage, A; du Preez, HH</t>
  </si>
  <si>
    <t>Retief, N-R; Avenant-Oldewage, A.; du Preez, H. H.</t>
  </si>
  <si>
    <t>Seasonal study on Bothriocephalus as indicator of metal pollution in yellowfish, South Africa</t>
  </si>
  <si>
    <t>WATER SA</t>
  </si>
  <si>
    <t>Bothriocephalus acheilognathi; bioaccumulation; microwave digestion; ICP-MS; sediment; water</t>
  </si>
  <si>
    <t>LABEOBARBUS-KIMBERLEYENSIS GILCHRIST; MUSSEL DREISSENA-POLYMORPHA; HEAVY-METALS; ENVIRONMENTAL PARASITOLOGY; POMPHORHYNCHUS-LAEVIS; LARGEMOUTH YELLOWFISH; ACANTHOCEPHALUS-LUCII; VAAL DAM; CADMIUM; LEAD</t>
  </si>
  <si>
    <t>Eighty largemouth yellowfish, Labeobarbus kimberleyensis, were collected between April 2005 and February 2006 with gill nets close to the island (26 degrees 52, 249' S, 28 degrees 10, 249' E) in the Vaal Dam. The fish were killed, weighed and their length determined. Muscle, liver and spinal cord tissues were collected from each fish and the intestines removed and opened to expose Bothriocephalus acheilognathi. The tapeworms were collected in glass bottles and frozen. Water and sediment, as well as liver, muscle and tapeworm samples were digested and thereafter metal concentrations of 23 elements (lithium, beryllium, titanium, vanadium, chromium, manganese, iron, cobalt, nickel, copper, zinc, arsenic, selenium, molybdenum, cadmium, tin, antimony, tellurium, barium, mercury, thallium, lead and uranium) were determined with an ICP-MS. Bioconcentration of metals (selenium, mercury, and lead during autumn; copper, zinc, selenium, cadmium, antimony, thallium and mercury during winter; lithium, zinc, selenium, cadmium and antimony during spring; and zinc during summer) occurred in tapeworms. The highest mean value was recorded in sediment, followed by water, tapeworms and host tissue. A seasonal trend showed that a higher concentration of the metals had accumulated in tapeworms during winter when water levels were at their lowest.</t>
  </si>
  <si>
    <t>[Retief, N-R; Avenant-Oldewage, A.; du Preez, H. H.] Univ Johannesburg, Dept Zool, ZA-2006 Auckland Pk, South Africa; [du Preez, H. H.] Hydrobiol Sect, Analyt Serv, Vereeniging, South Africa</t>
  </si>
  <si>
    <t>University of Johannesburg</t>
  </si>
  <si>
    <t>Avenant-Oldewage, A (corresponding author), Univ Johannesburg, Dept Zool, POB 524, ZA-2006 Auckland Pk, South Africa.</t>
  </si>
  <si>
    <t>aoldewage@uj.ac.za</t>
  </si>
  <si>
    <t>Avenant-Oldewage, Annemarie/A-7778-2011</t>
  </si>
  <si>
    <t>Avenant-Oldewage, Annemarie/0000-0001-8820-7679</t>
  </si>
  <si>
    <t>WARFSA [P191]; University of Johannesburg</t>
  </si>
  <si>
    <t>WARFSA; University of Johannesburg</t>
  </si>
  <si>
    <t>We thank Mr Henry Foden for his help and guidance with microwave digestion at the Rand Water Analytical facility and the use of their microwave digester and Mr Francois van Wyk (Rand Water) for providing the water and sediment data. WARFSA (P191) and the University of Johannesburg are thanked for funding and infrastructure.</t>
  </si>
  <si>
    <t>WATER RESEARCH COMMISSION</t>
  </si>
  <si>
    <t>PRETORIA</t>
  </si>
  <si>
    <t>PO BOX 824, PRETORIA 0001, SOUTH AFRICA</t>
  </si>
  <si>
    <t>0378-4738</t>
  </si>
  <si>
    <t>1816-7950</t>
  </si>
  <si>
    <t>Water SA</t>
  </si>
  <si>
    <t>Water Resources</t>
  </si>
  <si>
    <t>450MU</t>
  </si>
  <si>
    <t>WOS:000266405400010</t>
  </si>
  <si>
    <t>Deudero, S; Box, A; Tejada, S; Tintoré, J</t>
  </si>
  <si>
    <t>Deudero, S.; Box, A.; Tejada, S.; Tintore, J.</t>
  </si>
  <si>
    <t>Stable isotopes and metal contamination in caged marine mussel Mytilus galloprovincialis</t>
  </si>
  <si>
    <t>Mussels; Isotopes; Pollution; Metals; Lead; Cadmium</t>
  </si>
  <si>
    <t>TRACE-METAL; FOOD-WEB; PHOCOENA-PHOCOENA; SPATIAL VARIATION; BALEARIC-ISLANDS; TROPHIC POSITION; TEMPORAL TRENDS; PERNA-VIRIDIS; WATER-QUALITY; HEAVY-METALS</t>
  </si>
  <si>
    <t>Metal concentrations and isotopic composition were measured in different tissues of the mussel Mytilus galloprovincialis in waters of the Balearic Islands (Western Mediterranean) in order to assess pollution levels. The isotopic composition was correlated with lead, cadmium, selenium and nickel obtained from the digestive gland and foot of the mussels. Significant negative correlations were found between cadmium, selenium and zinc and the mussel foot, mainly for C-13. Significant correlations were also found between lead and cadmium and the digestive gland. Pearson correlations indicated that the C-13 isotopic signal in foot is a good proxy for the concentration of metals such as lead, cadmium, selenium and zinc. Similarly, N-15 isotopic signatures in the digestive gland reflected the lead and cadmium concentration. (C) 2009 Elsevier Ltd. All rights reserved.</t>
  </si>
  <si>
    <t>[Deudero, S.; Box, A.; Tejada, S.] Univ Balearic Isl, Marine Biol Lab, Dept Biol, Palma de Mallorca 07022, Balearic Isl, Spain; [Tintore, J.] IMEDEA CSIC UIB Inst Mediterraneo Estudios Avanza, Esporles 07190, Illes Balears, Spain</t>
  </si>
  <si>
    <t>Universitat de les Illes Balears; Consejo Superior de Investigaciones Cientificas (CSIC); ATTITUS Educacao</t>
  </si>
  <si>
    <t>Deudero, S (corresponding author), Univ Balearic Isl, Marine Biol Lab, Dept Biol, Campus Univ,Ctra Valldemossa S-N Km 7-5, Palma de Mallorca 07022, Balearic Isl, Spain.</t>
  </si>
  <si>
    <t>salud.deudero@uib.es</t>
  </si>
  <si>
    <t>Tejada, Silvia/L-7297-2014; Antonio, Box/AAB-1212-2021; Deudero Company, Salud/I-1883-2015</t>
  </si>
  <si>
    <t>Deudero Company, Salud/0000-0001-5584-2801; Tintore, Joaquin/0000-0002-6311-0093</t>
  </si>
  <si>
    <t>Interreg Medoc IIIB; UE Project</t>
  </si>
  <si>
    <t>The authors thank M. Ribas (IUNICS) for the collaboration in isotopic analysis, D. March for mussel samples preparation, and IFREMER and the Nantes laboratory for the analytical lipid determinations. We also thank the collaboration of M. Cabanellas and J. Alos. This study was partly financed by the Interreg Medoc IIIB, UE Project: 'Development d'un reseau de surveillance de la qualite des eaux cotieres par des biointegrateurs pour la protection durable de la Mediterranee Occidentale (MYTILOS)'. A. Box and S. Tejada received a fellowship sponsored by the MYTILOS project Interreg Medoc IIIB. This study complies with the present Spanish law.</t>
  </si>
  <si>
    <t>10.1016/j.marpolbul.2009.02.011</t>
  </si>
  <si>
    <t>476EY</t>
  </si>
  <si>
    <t>WOS:000268422500020</t>
  </si>
  <si>
    <t>Kim, M; Garcia, A; Malinowski, P; Park, EJ</t>
  </si>
  <si>
    <t>Kim, M.; Garcia, A.; Malinowski, P.; Park, E. J.</t>
  </si>
  <si>
    <t>Mercury Uptake by Eastern Oysters (Crassostrea virginica) in Oyster Restoration Project of the New York Harbor</t>
  </si>
  <si>
    <t>Mercury bioaccumulation; Oyster; Crassostrea virginica; Water restoration; Mercury removal</t>
  </si>
  <si>
    <t>HEAVY-METALS; SEDIMENTS; CADMIUM; RIVER; POLLUTION; EXPOSURE; SITES</t>
  </si>
  <si>
    <t>The Billion Oyster Project is a New York City-wide effort to reintroduce eastern oysters back into the New York Harbor and help improve water quality by reducing heavy metal concentrations in the environment. In particular, the bioaccumulation of mercury in oyster tissue was investigated in the New York Harbor oysters acquired from two sites. Mercury levels exceed the standard Environmental Protection Agency-recommended levels as the New York Harbor oysters exhibit mercury levels ranging from 0.36 +/- 0.05 to 0.55 +/- 0.08 mu g Hg g(-1) dry weight. In an ideal scenario, one billion of these oysters are roughly projected to capture a maximum of 110 g of mercury from the New York Harbor by 2030, assuming an average uptake of 0.55 mu g Hg g(-1) dry weight for every oyster added to the reef. In addition to the bioaccumulation of mercury within the oyster tissue, stunted physical growth of the oysters and abnormal discoloration of the tissue indicate the presence of other heavy metals. This study demonstrates the promising role that eastern oysters play in removing heavy metals, such as mercury, from their water environment and preview significant and measurable impacts on the ecosystem. [GRAPHICS] .</t>
  </si>
  <si>
    <t>[Park, E. J.] Rollins Coll, Dept Chem, 1000 Holt Ave,Box 2743, Winter Pk, FL 32789 USA; [Kim, M.; Garcia, A.] Smith Coll, Dept Chem, Ford Hall,100 Green St, Northampton, MA 01063 USA; [Malinowski, P.] Bill Oyster Project, 10 South St,Slip 7, New York, NY 10004 USA; [Malinowski, P.] New York Harbor Sch, Battery Maritime Bldg,Slip 7,10 South St, New York, NY 10004 USA</t>
  </si>
  <si>
    <t>Rollins College; Smith College</t>
  </si>
  <si>
    <t>Park, EJ (corresponding author), Rollins Coll, Dept Chem, 1000 Holt Ave,Box 2743, Winter Pk, FL 32789 USA.</t>
  </si>
  <si>
    <t>ellane.park@gmail.com</t>
  </si>
  <si>
    <t>Garcia, Ana/0000-0003-4487-0801</t>
  </si>
  <si>
    <t>Smith College Dean's Office; Department of Chemistry; Howard Hughes Medical Institute (HHMI)</t>
  </si>
  <si>
    <t>Smith College Dean's Office; Department of Chemistry; Howard Hughes Medical Institute (HHMI)(Howard Hughes Medical Institute)</t>
  </si>
  <si>
    <t>This work was carried out at Center for Aqueous Biogeochemical Research (CABR) of Smith College with funding assistance from the Smith College Dean's Office and Department of Chemistry. The authors would like to thank to Professor Robert Newton and Marc Anderson at Smith College for granting access to CABR center and instrumental resources. Authors would like to thank SCAPE studio for providing FLUPSY graphic image. The mercury analysis was conducted using Teledyne Leeman Labs Hydra IIC Hg Analyzer at CABR, an instrument funded by the Howard Hughes Medical Institute (HHMI). The oyster samples were provided by the New York Harbor School and Billion Oyster Project in New York City.</t>
  </si>
  <si>
    <t>10.1007/s13762-017-1358-3</t>
  </si>
  <si>
    <t>FG9II</t>
  </si>
  <si>
    <t>WOS:000410751800018</t>
  </si>
  <si>
    <t>Bailon, MX; David, AS; Park, Y; Kim, E; Hong, Y</t>
  </si>
  <si>
    <t>Bailon, Mark Xavier; David, Anneschel Sheehan; Park, Yeongeon; Kim, Eunhee; Hong, Yongseok</t>
  </si>
  <si>
    <t>Total mercury, methyl mercury, and heavy metal concentrations in Hyeongsan River and its tributaries in Pohang city, South Korea</t>
  </si>
  <si>
    <t>Heavymetal; Principalcomponentanalysis; Sediment; Hyeongsan river; Mercury; Methylmercury</t>
  </si>
  <si>
    <t>DISSOLVED ORGANIC-MATTER; POLLUTION INDEXES; SURFACE SEDIMENTS; WATER; CONTAMINATION; METHYLMERCURY; GUIDELINES; RELEASE; CARBON; RISK</t>
  </si>
  <si>
    <t>Heavy metal contamination in aquatic systems is a big problem in many areas around the world. In 2016, high mercury concentrations were reported in bivalves (Corbicula leana) and sediments near the confluence of the Hyeongsan River and Chilseong Creek located in Pohang, a steel industrial city in the south-east coast of the Korean peninsula. Given that both the Chilseong and Gumu creeks run through the Pohang industrial complex and ultimately flow to the Hyeongsan River, it is imperative to determine if the industrial effluents have any impact on the mercury contamination in these two streams and the Hyeongsan River. In this work, we investigated the concentration levels of different heavy metals using cold vapor atomic fluorescence spectroscopy and inductively coupled plasma- mass spectroscopy. The metal concentration in the water samples from the Hyeongsan River, Gumu Creek, and Chilseong Creek did not exceed the limits for drinking water quality set by the US EPA and World Health Organization. However, the sediment samples were found to be heavily contaminated by Hg with levels exceeding the toxic effect threshold. Gumu Creek was found to be heavily contaminated. The concentrations of the different heavy metals increased downstream, and the samples collected from the sites in the Hyeongsan River near the Gumu Creek, an open channel for wastewater discharge of companies in the Pohang Industrial Complex, showed higher contamination levels, indicating that the effluents from the industrial complex are a possible source of contamination in the river.</t>
  </si>
  <si>
    <t>[Bailon, Mark Xavier; David, Anneschel Sheehan; Park, Yeongeon] Daegu Univ, Dept Environm Engn, 201 Daegudae Ro, Gyongsan, Gyeongsangbuk D, South Korea; [Kim, Eunhee] Citizens Inst Environm Studies, 23 Pirundae Ro, Seoul, South Korea; [Hong, Yongseok] Korea Univ, Dept Environm Syst Engn, 2511 Sejong Ro, Sejong City 30019, South Korea</t>
  </si>
  <si>
    <t>Daegu University; Korea University</t>
  </si>
  <si>
    <t>Hong, Y (corresponding author), Korea Univ, Dept Environm Syst Engn, 2511 Sejong Ro, Sejong City 30019, South Korea.</t>
  </si>
  <si>
    <t>yongseokhong@korea.ac.kr</t>
  </si>
  <si>
    <t>Bailon, Mark/AAP-2689-2020</t>
  </si>
  <si>
    <t>Bailon, Mark Xavier/0000-0001-7900-1695</t>
  </si>
  <si>
    <t>Gyeongbuk Green Environmental Center under the Research Development Program; Basic Science Research Program through the National Research Foundation of Korea (NRF) - Ministry of Science, ICT, and Future Planning [2015R1C1A1A02037559]; Korea Ministry of Environment GAIA project [2016000550002]</t>
  </si>
  <si>
    <t>Gyeongbuk Green Environmental Center under the Research Development Program; Basic Science Research Program through the National Research Foundation of Korea (NRF) - Ministry of Science, ICT, and Future Planning(National Research Foundation of KoreaMinistry of Science, ICT &amp; Future Planning, Republic of Korea); Korea Ministry of Environment GAIA project(Ministry of Environment (ME), Republic of Korea)</t>
  </si>
  <si>
    <t>This research is funded by the Gyeongbuk Green Environmental Center under the Research Development Program (2016), Basic Science Research Program through the National Research Foundation of Korea (NRF) funded by the Ministry of Science, ICT, and Future Planning (grant number: 2015R1C1A1A02037559) and by the Korea Ministry of Environment GAIA project (2016000550002).</t>
  </si>
  <si>
    <t>10.1007/s10661-018-6624-4</t>
  </si>
  <si>
    <t>GE5RQ</t>
  </si>
  <si>
    <t>WOS:000431280200006</t>
  </si>
  <si>
    <t>Andres, S; Ribeyre, F; Tourencq, JN; Boudou, A</t>
  </si>
  <si>
    <t>Interspecific comparison of cadmium and zinc contamination in the organs of four fish species along a polymetallic pollution gradient (Lot River, France)</t>
  </si>
  <si>
    <t>cadmium; zinc; fish; bioaccumulation; species; organotropism; Lot River</t>
  </si>
  <si>
    <t>FRESH-WATER BIVALVE; PERCH PERCA-FLUVIATILIS; CHAR SALVELINUS-ALPINUS; ROACH RUTILUS-RUTILUS; FIELD TRANSPLANTATION; METAL CONTAMINATION; CORBICULA-FLUMINEA; AQUATIC ORGANISMS; RAINBOW-TROUT; HEAVY-METALS</t>
  </si>
  <si>
    <t>The impact of cadmium (Cd) and zinc (Zn) discharges related to an old zinc ore treatment facility in the Lot River (France) was investigated in four fish species (the chub: Leusciscus cephalus, the roach: Rutilus rutilus, the perch: Perca fluviatilis and the bream: abramis brama brama). The organisms were sampled in four stations along the polymetallic contamination gradient. Cd and Zn analysis were carried out in five organs (gills, posterior intestine, liver, kidneys and skeletal muscle) in order to highlight the potential pathways of uptake, storage and elimination of metals. The results indicate a very strong Cd contamination in fish collected downstream from the metal source. The kidneys have the highest cadmium concentrations, but the gills and the intestine, as exchange organs, present the largest variations between the stations in close relation with the contamination gradient. Cd concentrations measured in the liver vary only slightly among the sampling stations. Unlike the trends observed for Cd, Zn levels in fish populations are strongly regulated and do not follow ambient Zn concentrations. The concentrations measured vary also according to fish species, for both Cd and Zn. This study shows that the trophic habits can explain the interspecific differences in Cd bioaccumulation. Zn levels observed for each species in non-contaminated populations also help to understand metal bioaccumulation patterns in polluted sites, suggesting that the determinism of interspecific differences is constitutive. (C) 2000 Elsevier Science B.V. All rights reserved.</t>
  </si>
  <si>
    <t>Univ Bordeaux 1, Lab Ecophysiol &amp; Ecotoxicol Syst Aquat, CNRS, UMR 5805, F-33405 Talence, France; Univ Toulouse 3, Ctr Ecol Syst Aquat Continentaux, CNRS, UMR C 5576, F-31062 Toulouse, France</t>
  </si>
  <si>
    <t>Universite de Bordeaux; Centre National de la Recherche Scientifique (CNRS); CNRS - National Institute for Earth Sciences &amp; Astronomy (INSU); Universite de Toulouse; Universite Toulouse III - Paul Sabatier; Centre National de la Recherche Scientifique (CNRS)</t>
  </si>
  <si>
    <t>Boudou, A (corresponding author), Univ Bordeaux 1, EPOC, LEESA, CNRS,UMR 5805, Pl Dr B Peyneau, F-33120 Arcachon, France.</t>
  </si>
  <si>
    <t>boudou, alain/F-3058-2013</t>
  </si>
  <si>
    <t>MAR 29</t>
  </si>
  <si>
    <t>10.1016/S0048-9697(99)00477-5</t>
  </si>
  <si>
    <t>305TD</t>
  </si>
  <si>
    <t>WOS:000086555600002</t>
  </si>
  <si>
    <t>Blackmore, G</t>
  </si>
  <si>
    <t>Interspecific variation in heavy metal body concentrations in Hong Kong marine invertebrates</t>
  </si>
  <si>
    <t>heavy metal; body concentrations; marine invertebrates</t>
  </si>
  <si>
    <t>TRACE-METALS; TETRACLITA-SQUAMOSA; COASTAL WATERS; MYTILUS-EDULIS; ACCUMULATION; BARNACLES; ZINC; INDICATORS; CRUSTACEANS; STRATEGIES</t>
  </si>
  <si>
    <t>Accumulated body concentrations of cadmium, copper and zinc were investigated in 19 species of intertidal invertebrates (the barnacles Tetraclita squamosa, Capitulum mitella, Balanus amphitrite, Megabalanus volcano, the bivalves Saccostrea cucullata, Septifer virgatus and Brachidontes atratus, the chiton Acanthopleura japonica and the gastropods Cellana grata, Cellana toreuma, Patelloida saccharina, Patelloida pygmaca, Siphonaria japonica, Tegula argyrostoma, Lunella coronata, Monodonta labio, Nerita albicilla, Thais clavigera and Thais luteostoma) collected from a relatively unpolluted area in Hong Kong, i.e. two shores within the Cape d'Aguilar Marine Reserve. In general body metal concentrations could be explained by the accumulation strategy of the analysed organism and by physiological requirements for the essential metals, i.e. copper and zinc. Zinc concentrations were, therefore, greatest in the barnacles and the oyster S. cucullata. Copper concentrations were greatest in those gastropods containing the respiratory pigment haemocyanin and in S. cucullata. One species collected from the sheltered shore, i.e. T. luteostoma, had much higher copper body concentrations compared with exposed shore conspecifics and this may be attributed to a diet that was dominated by oysters, which have high copper body concentrations. In contrast to both copper and zinc, cadmium body concentrations showed little interspecific variation. (C) 2001 Elsevier Science Ltd. All rights reserved.</t>
  </si>
  <si>
    <t>Hong Kong Univ Sci &amp; Technol, Dept Biol, Kowloon, Hong Kong, Peoples R China</t>
  </si>
  <si>
    <t>Blackmore, G (corresponding author), Hong Kong Univ Sci &amp; Technol, Dept Biol, Kowloon, Hong Kong, Peoples R China.</t>
  </si>
  <si>
    <t>10.1016/S0269-7491(01)00086-0</t>
  </si>
  <si>
    <t>472TT</t>
  </si>
  <si>
    <t>WOS:000171001600002</t>
  </si>
  <si>
    <t>BERG, H; KIIBUS, M; KAUTSKY, N</t>
  </si>
  <si>
    <t>HEAVY-METALS IN TROPICAL LAKE KARIBA, ZIMBABWE</t>
  </si>
  <si>
    <t>POLYCHLORINATED BIPHENYLS; INSECTICIDES; ECOSYSTEMS; CADMIUM; AFRICA; WATER; FISH; DDT; PB; ZN</t>
  </si>
  <si>
    <t>Metal mining is carried out in the drainage basin of Lake Kariba, Zimbabwe. In an attempt to assess the distribution of heavy metals in the lake ecosystem, the concentrations of chromium (Cr), cadmium (Cd), copper (Cu), lead (Pb), manganese (Mn), nickel (Ni), zinc (Zn), and selenium (Se) were analysed in the following ecosystem components at different locations in the lake; water, sediment, aquatic macrophytes, mussels, and carnivorous and herbivorous fish. Concentrations were generally in the same range as in other temperate and tropical aquatic ecosystems, except for Pb and Cd, which were higher in marcrophytes and fish from the lake. Apart from Cd, there were no signs of biomagnification and the highest levels of metals were found in the macrophytes and sediments. While metal contamination in fish is probably a combination of uptake from the food and an equilibrium with the surrounding water, the levels in macrophytes appear to be determined mainly by uptake from the sediment through the roots.</t>
  </si>
  <si>
    <t>BERG, H (corresponding author), UNIV STOCKHOLM,DEPT SYST ECOL,S-10691 STOCKHOLM,SWEDEN.</t>
  </si>
  <si>
    <t>Berg, Hakan/0000-0003-3260-9710</t>
  </si>
  <si>
    <t>10.1007/BF00477355</t>
  </si>
  <si>
    <t>RY462</t>
  </si>
  <si>
    <t>WOS:A1995RY46200005</t>
  </si>
  <si>
    <t>Fishelson, L; Bresler, V; Manelis, R; Zuk-Rimon, Z; Dotan, A; Hornung, H; Yawetz, A</t>
  </si>
  <si>
    <t>Toxicological aspects associated with the ecology of Donax trunculus (Bivalvia, Mollusca) in a polluted environment</t>
  </si>
  <si>
    <t>Donax trunculus; biomass; mercury; copper; cadmium; lysosomes; permeability; Mediterranean pollution</t>
  </si>
  <si>
    <t>DIGESTIVE GLAND MICROSOMES; ACUTE TOXICITY; HEAVY-METALS; FISH CELLS; ISRAEL; CYTOTOXICITY; XENOBIOTICS; TRANSPORT; ORGANISMS; SEDIMENTS</t>
  </si>
  <si>
    <t>This study provides data on the ecology and toxicology observed in the population of Donax trunculus, a sand dwelling mussel, in the shallow subtidal of Haifa Bay (Mediterranean Sea, Israel). The studied population of the mussel forms a dominant fraction in a community of sand-dwelling molluscs in a zone located 5-25 m from the shoreline, and at depths of 20-120 cm, numbering up to 2000 per m(2). Samples of the mussel were collected from three sites, located within 9 km of shore in Haifa Bay. These included a clean site (Akko), a site polluted by a chemical PVC-polymer industry (Frutarom), and a site polluted with oil and waste from the petrochemical industry (Qiryat Yam). Metal analysis indicated site-dependent variations in levels of cadmium, lead, copper and mercury in the mussel soft tissues. Copper levels were similar in the bivalves collected from all the sites. Levels of mercury were significantly higher in specimens from the PVC-polluted site (Frutarom) while levels of cadmium were higher in Akko and Qiryat Yam compared to Frutarom. Lead residues were found only in Donax from Akko. The residual contents of mercury, copper and cadmium were relatively high in the young and noticeably low in Donax of medium body size. The main site of deposition of metals was in the soft tissues of the bivalve, but bioaccumulation of metals was also found in the shells. A marked increase in permeability of gills and mantle to the fluorescent anionic dye fluorescein (FLU) was detected in Donax from Qiryat Yam and especially Frutarom, compared to the bivalves sampled from Akko. Multiple foci of enhanced permeability (multiple fluorescent spots) were detected in all the individuals sampled from Frutarom but none in the bivalve samples from Akko. Lysosomal accumulation of the metachromatic fluorescent cationic probe, acridine orange - (AO), was significantly decreased in the tissues of D. trunculus from polluted sites, especially polluted by the PVC factory. This decrease correlated with lysosomal enlargement and the formation of secondary lysosomes. D. trunculus appears to possess the most effective biochemical and physiological defense mechanisms enabling it to survive in habitats of polluted shallow waters, where other sand dwelling mollusc species were absent or found only in waters deeper then 2.5 m. (C) 1999 Elsevier Science B.V. All rights reserved.</t>
  </si>
  <si>
    <t>Tel Aviv Univ, Fac Life Sci, Inst Nature Conservat Res, IL-69978 Tel Aviv, Israel; Tel Aviv Univ, Fac Life Sci, Dept Zool, IL-69978 Tel Aviv, Israel; Natl Inst Oceanog, Israel Oceanog &amp; Limnol Res, IL-31080 Haifa, Israel</t>
  </si>
  <si>
    <t>Tel Aviv University; Tel Aviv University; Israel Oceanographic &amp; Limnological Research Institute</t>
  </si>
  <si>
    <t>Tel Aviv Univ, Fac Life Sci, Inst Nature Conservat Res, IL-69978 Tel Aviv, Israel.</t>
  </si>
  <si>
    <t>amidav@post.tau.ac.il</t>
  </si>
  <si>
    <t>FEB 9</t>
  </si>
  <si>
    <t>2-3</t>
  </si>
  <si>
    <t>10.1016/S0048-9697(98)00378-7</t>
  </si>
  <si>
    <t>173YA</t>
  </si>
  <si>
    <t>WOS:000079006300003</t>
  </si>
  <si>
    <t>Primost, MA; Gil, MN; Bigatti, G</t>
  </si>
  <si>
    <t>Primost, Monica A.; Gil, Monica N.; Bigatti, Gregorio</t>
  </si>
  <si>
    <t>High bioaccumulation of cadmium and other metals in Patagonian edible gastropods</t>
  </si>
  <si>
    <t>MARINE BIOLOGY RESEARCH</t>
  </si>
  <si>
    <t>Cadmium; human risk; marine pollution; Neogastropoda; Patagonia</t>
  </si>
  <si>
    <t>DEL-FUEGO PATAGONIA; LINE TRACE-METALS; HEAVY-METALS; BIVALVE MOLLUSKS; MARINE ORGANISMS; BEAGLE CHANNEL; MYTILUS-GALLOPROVINCIALIS; DIGESTIVE GLAND; AULACOMYA-ATRA; NUEVO GULFS</t>
  </si>
  <si>
    <t>High concentrations of metals are accumulated by edible marine resources, affecting human health. Marine gastropods have been commercially captured and consumed in Argentina for decades without official regulations or studies to guarantee their safety. In this study, metals (cadmium, aluminium, iron, zinc, copper and lead) were analysed for the first time in the edible marine gastropods Buccinanops globulosus, Adelomelon ancilla and Trophon geversianus and their surrounding sediments. Taking into account the maximum levels recommended by national and international regulations for food safety, we recommend consuming only the foot of these gastropod species. We recommend not consuming these gastropods from harbour areas due to concentrations of lead in sediments and tissues. Though the target hazard quotient (THQ) of cadmium was not high for the local community, it could be higher for other populations who consume molluscs more frequently, indicating a potential health risk of chronic exposure. Monitoring of these and other contaminants should be performed in order to ensure food safety of these marine resources.</t>
  </si>
  <si>
    <t>[Primost, Monica A.; Bigatti, Gregorio] Consejo Nacl Invest Cient &amp; Tecn, CENPAT, CCT, LARBIM,IBIOMAR, Puerto Madryn, Chubut, Argentina; [Gil, Monica N.] Consejo Nacl Invest Cient &amp; Tecn, CENPAT, LAQUIAE, LOQYCA,CESIMAR,CCT, Puerto Madryn, Chubut, Argentina; [Gil, Monica N.; Bigatti, Gregorio] UNPSJB, Fac Ciencias Nat, Puerto Madryn, Chubut, Argentina</t>
  </si>
  <si>
    <t>Centro Nacional Patagonico (CENPAT); Consejo Nacional de Investigaciones Cientificas y Tecnicas (CONICET); Consejo Nacional de Investigaciones Cientificas y Tecnicas (CONICET); Centro Nacional Patagonico (CENPAT)</t>
  </si>
  <si>
    <t>Primost, MA (corresponding author), Consejo Nacl Invest Cient &amp; Tecn, IBIOMAR, LARBIM, Bvd Brown 2915 U9120ACV, Puerto Madryn, Chubut, Argentina.</t>
  </si>
  <si>
    <t>primost@cenpat-conicet.gob.ar</t>
  </si>
  <si>
    <t>Primost, Monica/HSG-3425-2023</t>
  </si>
  <si>
    <t>BIGATTI, GREGORIO/0000-0001-7053-6802; Primost, Monica/0000-0002-4202-8314</t>
  </si>
  <si>
    <t>PADI foundation; [PICT 1232]; [PICT 2929]; [PICT 2709]; [PICT 1491]; [PICT 1476]; [PIP 067]</t>
  </si>
  <si>
    <t>PADI foundation; ; ; ; ; ;</t>
  </si>
  <si>
    <t>This research was partially supported by the projects PICT 1232, PICT 2929, PICT 2709, PICT 1491, PICT 1476, PIP 067 and the PADI foundation.</t>
  </si>
  <si>
    <t>TAYLOR &amp; FRANCIS AS</t>
  </si>
  <si>
    <t>OSLO</t>
  </si>
  <si>
    <t>KARL JOHANS GATE 5, NO-0154 OSLO, NORWAY</t>
  </si>
  <si>
    <t>1745-1000</t>
  </si>
  <si>
    <t>1745-1019</t>
  </si>
  <si>
    <t>MAR BIOL RES</t>
  </si>
  <si>
    <t>Mar. Biol. Res.</t>
  </si>
  <si>
    <t>10.1080/17451000.2017.1296163</t>
  </si>
  <si>
    <t>FJ1CD</t>
  </si>
  <si>
    <t>Green Published</t>
  </si>
  <si>
    <t>WOS:000412448900007</t>
  </si>
  <si>
    <t>Black, MC; Ferrell, JR; Horning, RC; Martin, LK</t>
  </si>
  <si>
    <t>DNA strand breakage in freshwater mussels (Anodonta grandis) exposed to lead in the laboratory and field</t>
  </si>
  <si>
    <t>ENVIRONMENTAL TOXICOLOGY AND CHEMISTRY</t>
  </si>
  <si>
    <t>DNA strand breakage; mussels; Anodonta grandis; lead; heavy metals</t>
  </si>
  <si>
    <t>MYTILUS-EDULIS; WATER MUSSELS; BLUE MUSSELS; POLLUTION; DAMAGE; ZINC; COPPER; METALS; CADMIUM; CONTAMINATION</t>
  </si>
  <si>
    <t>The sensitivity of a freshwater mussel, Anodonta grandis, to DNA damage following lead (Pb) exposure was tested in laboratory and field experiments. Laboratory exposures were conducted for 4 weeks at the following Pb concentrations: 0 (controls), 50, 500, and 5000 mu g/L. Mussels were also collected from a strip-mine pond contaminated with trace amounts of lead, cadmium (Cd), and zinc (Zn). Significant DNA strand breakage was observed in foot tissue from mussels exposed in the laboratory to the lowest Pb concentration (50 mu g/L). No evidence of strand breakage was observed in any of the analyzed tissues from the mussels exposed to higher Pb concentrations (500 and 5000 mu g/L) or from the chronically exposed mussels collected from the strip-mine pond. These data suggest a threshold effect for DNA damage and repair resulting from low-level Pb exposure, whereby repair of DNA strand breaks may occur only if a certain body burden or exposure duration has been achieved.</t>
  </si>
  <si>
    <t>OKLAHOMA STATE UNIV, DEPT ZOOL, ENVIRONM TOXICOL PROGRAM, STILLWATER, OK 74078 USA</t>
  </si>
  <si>
    <t>Oklahoma State University System; Oklahoma State University - Stillwater</t>
  </si>
  <si>
    <t>UNIV GEORGIA, COLL AGR &amp; ENVIRONM SCI, ENVIRONM HLTH SCI PROGRAM, 206 DAIRY SCI BLDG, ATHENS, GA 30602 USA.</t>
  </si>
  <si>
    <t>Black, Marsha/B-6449-2013</t>
  </si>
  <si>
    <t>0730-7268</t>
  </si>
  <si>
    <t>1552-8618</t>
  </si>
  <si>
    <t>ENVIRON TOXICOL CHEM</t>
  </si>
  <si>
    <t>Environ. Toxicol. Chem.</t>
  </si>
  <si>
    <t>10.1002/etc.5620150528</t>
  </si>
  <si>
    <t>UH986</t>
  </si>
  <si>
    <t>WOS:A1996UH98600028</t>
  </si>
  <si>
    <t>Xia, TX; Liu, XH</t>
  </si>
  <si>
    <t>Xia, Tianxiang; Liu, Xuehua</t>
  </si>
  <si>
    <t>Copper and zinc interaction on water clearance and tissue metal distribution in the freshwater mussel, Cristaria plicata, under laboratory conditions</t>
  </si>
  <si>
    <t>FRONTIERS OF ENVIRONMENTAL SCIENCE &amp; ENGINEERING IN CHINA</t>
  </si>
  <si>
    <t>interaction; mussel; copper; zinc; clearance; distribution</t>
  </si>
  <si>
    <t>DREISSENA-POLYMORPHA; PERNA-VIRIDIS; AQUATIC ANIMALS; MYTILUS-EDULIS; TRACE-METAL; CADMIUM; ZN; ACCUMULATION; DEPURATION; POLLUTION</t>
  </si>
  <si>
    <t>Copper and zinc interaction on clearance from water and distribution in different tissues was investigated for the freshwater mussel, Cristaria plicata, under laboratory conditions. Clearance rate of Cu or Zn from water was highly dependent on exposure concentration. Interaction effect was most evident at 300 mu g center dot L(-1) Cu exposure and depressed the Zn clearance rate significantly (p &lt; 0.05). However, the presence of 100 mu g center dot L(-1) and 300 mu g center dot L(-1) Zn hardly affected the Cu clearance rate. The 300 mu g center dot L(-1) Cu presence enhanced Cu accumulation in each tissue most significantly (p &lt; 0.01), but caused Zn content to decrease in the gills by 62% (p &lt; 0.05), viscera by 49% (p &lt; 0.05) and foot by 31% (p &lt; 0.05), and increase in the mantle by 97% (p &lt; 0.05) and the muscles by 243% (p &lt; 0.05) for different Zn exposure treatments. The response of metal accumulation in various tissues of the test mussels indicated that Zn transferred from the gills, viscera and foot to the mantle and muscles might be one of the important characteristics of the Zn regulatory mechanism by leading to a narrow range of Zn concentration in the different tissues.</t>
  </si>
  <si>
    <t>[Xia, Tianxiang; Liu, Xuehua] Tsinghua Univ, Dept Environm Sci &amp; Engn, Beijing 100084, Peoples R China</t>
  </si>
  <si>
    <t>Tsinghua University</t>
  </si>
  <si>
    <t>Liu, XH (corresponding author), Tsinghua Univ, Dept Environm Sci &amp; Engn, Beijing 100084, Peoples R China.</t>
  </si>
  <si>
    <t>xuehua-hjx@tsinghua.edu.cn</t>
  </si>
  <si>
    <t>China Postdoctoral Science Foundation [20080430453]; Mega-Projects of Science Research for Water [2008ZX07313-006-05C]</t>
  </si>
  <si>
    <t>China Postdoctoral Science Foundation(China Postdoctoral Science Foundation); Mega-Projects of Science Research for Water</t>
  </si>
  <si>
    <t>This research was supported by the China Postdoctoral Science Foundation (No. 20080430453) and Mega-Projects of Science Research for Water (No. 2008ZX07313-006-05C).</t>
  </si>
  <si>
    <t>HIGHER EDUCATION PRESS</t>
  </si>
  <si>
    <t>BEIJING</t>
  </si>
  <si>
    <t>SHATANHOU ST 55, BEIJING 100009, PEOPLES R CHINA</t>
  </si>
  <si>
    <t>1673-7415</t>
  </si>
  <si>
    <t>FRONT ENVIRON SCI EN</t>
  </si>
  <si>
    <t>Front. Environ. Sci. Eng. China</t>
  </si>
  <si>
    <t>10.1007/s11783-010-0218-8</t>
  </si>
  <si>
    <t>772RN</t>
  </si>
  <si>
    <t>WOS:000291252500010</t>
  </si>
  <si>
    <t>Webb, JA; Keough, MJ</t>
  </si>
  <si>
    <t>Measurement of environmental trace-metal levels with transplanted mussels and diffusive gradients in thin films (DGT): a comparison of techniques</t>
  </si>
  <si>
    <t>mussels; DGT; heavy metals; bioaccumulation; marina; Australia</t>
  </si>
  <si>
    <t>IN-SITU MEASUREMENT; MYTILUS-EDULIS; HEAVY-METALS; PERFORMANCE-CHARACTERISTICS; COPPER; ZINC; POLLUTION; CADMIUM; BIOMONITORS; WATERS</t>
  </si>
  <si>
    <t>Transplanted mussels and diffusive gradients in thin films (DGT) were used to assess levels of cadmium, copper, lead and zinc at four sites situated inside and outside of two enclosed marinas. near Melbourne. Australia. Mussels accumulated all metals except cadmium. Over one year, there were large temporal differences in tissue metal levels in mussels. but differences between sites were only apparent for copper and lead. DGT showed temporal differences of the same kind as those seen in the mussels, but appeared to have more power to discriminate between sites. DGT found higher copper levels inside marinas than outside. and high levels of zinc were found inside one marina. Levels of copper and zinc were high enough to be of environmental concerti for one site. The effect of fouling on DGT measurements will have to be quantified, or avoided by the use of multiple short-term exposures, if the technique is to become a widespread in situ monitoring tool. (C) 2002 Elsevier Science Ltd. All rights reserved.</t>
  </si>
  <si>
    <t>Univ Melbourne, Dept Zool, Melbourne, Vic 3010, Australia</t>
  </si>
  <si>
    <t>University of Melbourne</t>
  </si>
  <si>
    <t>Monash Univ, Dept Chem, Water Studies Ctr, Clayton, Vic 3800, Australia.</t>
  </si>
  <si>
    <t>angus.webb@sci.monash.edu.au</t>
  </si>
  <si>
    <t>; Webb, James/F-8001-2011</t>
  </si>
  <si>
    <t>Keough, Michael/0000-0002-3382-3068; Webb, James/0000-0003-0857-7878</t>
  </si>
  <si>
    <t>PII S0025-326X(01)00244-2</t>
  </si>
  <si>
    <t>10.1016/S0025-326X(01)00244-2</t>
  </si>
  <si>
    <t>534HC</t>
  </si>
  <si>
    <t>WOS:000174578200016</t>
  </si>
  <si>
    <t>Szefer, P; Domagala-Wieloszewska, M; Warzocha, J; Garbacik-Wesolowska, A; Ciesielski, T</t>
  </si>
  <si>
    <t>Distribution and relationships of mercury, lead, cadmium, copper and zinc in perch (Perca fluviatilis) from the Pomeranian Bay and Szczecin Lagoon, southern Baltic</t>
  </si>
  <si>
    <t>FOOD CHEMISTRY</t>
  </si>
  <si>
    <t>trace metals; perch; muscle; liver; southern Baltic; ANOVA; factor analysis</t>
  </si>
  <si>
    <t>FLOUNDER PLATICHTHYS-FLESUS; HEAVY-METALS; REPRESENTATIVE FAUNA; MUSCLE-TISSUE; ORGANIC MERCURY; TRACE-ELEMENTS; BLUE MUSSEL; FISH; POLLUTION; ACCUMULATION</t>
  </si>
  <si>
    <t>The concentrations of selected metals, such as Hg, Cd, Pb, Cu and Zn, were determined in muscle and liver of perch (Perca fluviatilis) from the Pomeranian Bay and Szczecin Lagoon, southern Baltic. The concentrations of Hg in muscle and Cd, Pb and Cu in liver increased with the age of the specimens analysed. The positive relationship between muscle Hg and age (weight-length) is probably attributed to the specific bioaffinity for organic matter of CH3Hg with a high biological half-life, which generally constitutes the dominant pool of the total Hg in the fish muscle. ANOVA analysis clearly demonstrated that in the Pomeranian Bay there were significant seasonal variations of muscle Hg and hepatic Cd, Pb and Cu. Factor analysis supported seasonal differences in muscle and especially hepatic samples; specifically, summer muscles were clearly separated from winter ones. Muscle samples corresponding to the winter season had relatively high concentrations of Hg Cd and Pb. The concentrations of muscle Hg (corresponding to 70-105 mug CH3Hg eaten weekly) are comparable to the PTWI (permissible tolerable weekly intake) recommended by WHO (200 mug CH3Hg). The muscle Cd and Pb levels are significantly lower than the PTWI's and do not constitute any threat for man. (C) 2002 Elsevier Science Ltd. All rights reserved.</t>
  </si>
  <si>
    <t>Med Univ Gdansk, Dept Food Sci, PL-80416 Gdansk, Poland; Sea Fisheries Res Inst, PL-81332 Gdynia, Poland</t>
  </si>
  <si>
    <t>Fahrenheit Universities; Medical University Gdansk</t>
  </si>
  <si>
    <t>Szefer, P (corresponding author), Med Univ Gdansk, Dept Food Sci, Al Gen J Hallera 107, PL-80416 Gdansk, Poland.</t>
  </si>
  <si>
    <t>Ciesielski, Tomasz/J-9039-2012</t>
  </si>
  <si>
    <t>Ciesielski, Tomasz Maciej/0000-0001-7509-1662</t>
  </si>
  <si>
    <t>0308-8146</t>
  </si>
  <si>
    <t>FOOD CHEM</t>
  </si>
  <si>
    <t>Food Chem.</t>
  </si>
  <si>
    <t>PII S0308-8146(02)00380-1</t>
  </si>
  <si>
    <t>10.1016/S0308-8146(02)00380-1</t>
  </si>
  <si>
    <t>Chemistry, Applied; Food Science &amp; Technology; Nutrition &amp; Dietetics</t>
  </si>
  <si>
    <t>Chemistry; Food Science &amp; Technology; Nutrition &amp; Dietetics</t>
  </si>
  <si>
    <t>654DW</t>
  </si>
  <si>
    <t>WOS:000181479600009</t>
  </si>
  <si>
    <t>HAN, BC; JENG, WL; TSAI, YN; JENG, MS</t>
  </si>
  <si>
    <t>DEPURATION OF COPPER AND ZINC BY GREEN OYSTERS AND BLUE MUSSELS OF TAIWAN</t>
  </si>
  <si>
    <t>BIOACCUMULATION; CADMIUM; METALS; SEA</t>
  </si>
  <si>
    <t>This paper describes depuration processes of copper and zinc in green oysters (Crassostrea gigas) and in blue mussels (Mytilus smarangdium) collected from an environment with heavy copper contamination, and then transferred to natural clean seawater. Results show that the total loss of copper content per oyster is an exponential function of exposure time for the first 6 days with a depuration rate of 351 mug g-1 day-1 and then levels off. During this exponential decrease period approximately 67% of the copper accumulated in green oysters was depurated. However, when the copper contents in the oysters decreased from 2225 +/- 111 mug g-1 to 344 +/- 18.7 mug g-1 the depuration rates decreased from 245 mug g-1 day-1 to 0.08 mug g-1 day-1. This means that green oysters had a 16-fold higher copper depuration rate (351 mug g-1 day-1) than normal oysters (21.5 mug g-1 day-1) for the first 6 days. However, the depuration of accumulated copper and zinc by the mussels was a fast process in natural clean seawater. About 91% of the accumulated copper was lost during the first 6-day period; copper contents declined from 20.2 +/- 3.41 mug g-1 to 1.80 +/- 0.21 mug g-1. Only 36% of the accumulated zinc was lost during a depuration period of 6 days. Calculations show that the biological half-lives of copper in green and normal oysters were 11.6 and 25.1 days, respectively. The biological half-lives of zinc in green and normal oysters were 16.7 and 30.1 days, respectively. In spite of the relatively low initial copper content in blue mussels being 20.2 +/- 3.41 mug g-1, the biological half-life is only 6.40 days. From these results it is important to emphasise that the fastest turnover rate is for copper in blue mussels. However, zinc is more retentive in blue mussels than copper.</t>
  </si>
  <si>
    <t>NATL TAIWAN UNIV, INST OCEANOG, TAIPEI, TAIWAN; ACAD SINICA, INST ZOOL, TAIPEI 115, TAIWAN</t>
  </si>
  <si>
    <t>National Taiwan University; Academia Sinica - Taiwan</t>
  </si>
  <si>
    <t>HAN, BC (corresponding author), TAIPEI MED COLL, SCH PUBL HLTH, TAIPEI, TAIWAN.</t>
  </si>
  <si>
    <t>wang, yichun/IXW-7812-2023</t>
  </si>
  <si>
    <t>Han, Bor-Cheng/0000-0002-8493-8199</t>
  </si>
  <si>
    <t>10.1016/0269-7491(93)90166-L</t>
  </si>
  <si>
    <t>LQ961</t>
  </si>
  <si>
    <t>WOS:A1993LQ96100012</t>
  </si>
  <si>
    <t>Li, YH; Liu, H; Zhou, HL; Ma, WD; Han, Q; Diao, XP; Xue, QZ</t>
  </si>
  <si>
    <t>Li, Yuhu; Liu, Hui; Zhou, Hailong; Ma, Wandong; Han, Qian; Diao, Xiaoping; Xue, Qinzhao</t>
  </si>
  <si>
    <t>Concentration distribution and potential health risk of heavy metals in Mactra veneriformis from Bohai Bay, China</t>
  </si>
  <si>
    <t>Heavy metals; Mactra veneriformis; Health risk estimation; Target hazard quotient; Bohai Bay</t>
  </si>
  <si>
    <t>CLAM RUDITAPES-PHILIPPINARUM; FISH OREOCHROMIS-NILOTICUS; TRACE-METALS; TEMPORAL DISTRIBUTION; SPATIAL-DISTRIBUTION; SURFACE SEDIMENTS; SOUTH CHINA; RIVER; BIOACCUMULATION; SHELLFISH</t>
  </si>
  <si>
    <t>To investigate the pollution level and evaluate the potential health risks of heavy metals, the concentrations of chromium (Cr), manganese (Mn), cobalt (Co), nickel (Ni), copper (Cu), zinc (Zn), arsenic (As), selenium (Se), molybdenum (Mo), cadmium (Cd), antimony (Sb), and lead (Pb) were determined by inductively coupled plasma-mass spectrometry (ICP-MS) in 198 clams (Mactra veneriformis) collected from 11 sites of the Bohai Bay. The results showed that heavy metal concentrations in the clams were different at different sites (p &lt;0.05). Mn was dominant with a percentage of 22.08-77.03% in heavy metals, followed by Zn with 12.66-57.11%, and the concentration of Pb was the lowest with 0.45-1.04%. The potential health risk to consumers was evaluated by the target hazard quotient (THQ) and the maximum daily consumption rate (CR,). The results indicated that the THQs of Co were the highest with the values of 1.125, 1.665, and 1.144 at three sections; the values of other individual metals were &lt;1, which indicated that consumption of clams from the study areas caused health risks due to Co. Moreover, the CRmax values also indicated the potential health risk caused by Co in clams consumed in this area. Pearson correlation analysis and principal component analysis (PCA) indicated that there were significantly positive or negative correlations between the heavy metals (p &lt; 0.05), and the studied metals were divided into four groups. The results indicated that the concentrations of heavy metals in clams were affected not only by pollution sources but also by the characteristics of clams that could absorb selectively and accumulate special metals. This study offers important information on the pollution levels of heavy metals in clams and warns consumers of the health risks associated with the consumption of clams in the area. (C) 2015 Elsevier Ltd. All rights reserved.</t>
  </si>
  <si>
    <t>[Li, Yuhu; Zhou, Hailong; Han, Qian; Diao, Xiaoping] Hainan Univ, Coll Agr, Haikou 570228, Hainan, Peoples R China; [Liu, Hui; Zhou, Hailong; Xue, Qinzhao] Chinese Acad Sci, Yantai Inst Coastal Zone Res, Yantai 264003, Shandong, Peoples R China; [Zhou, Hailong; Diao, Xiaoping] Haikou Key Lab Environm Toxicol, Haikou 570228, Peoples R China; [Ma, Wandong] Minist Environm Protect, Satellite Environm Ctr, Beijing 100094, Peoples R China</t>
  </si>
  <si>
    <t>Hainan University; Chinese Academy of Sciences; Yantai Institute of Coastal Zone Research, CAS</t>
  </si>
  <si>
    <t>Zhou, HL (corresponding author), Hainan Univ, Coll Agr, 58 Renmin Rd, Haikou 570228, Hainan, Peoples R China.</t>
  </si>
  <si>
    <t>zhouhl@hainu.edu.cn; qzxue@yic.ac.cn</t>
  </si>
  <si>
    <t>Han, Qian/J-8696-2014; Zhou, Hailong/F-7899-2017</t>
  </si>
  <si>
    <t>Han, Qian/0000-0001-6245-5252; zhou, hai long/0000-0002-6524-0238; Zhou, Hailong/0000-0002-7521-3540</t>
  </si>
  <si>
    <t>Specialized Research Fund for the Doctoral Programme of Higher Education of China [20114601120001]; Specialized Research Fund for the Midwest Programme of Hainan University [ZXBJH-XK002]; Chinese Academy of Sciences [Y455011032]</t>
  </si>
  <si>
    <t>Specialized Research Fund for the Doctoral Programme of Higher Education of China(Specialized Research Fund for the Doctoral Program of Higher Education (SRFDP)); Specialized Research Fund for the Midwest Programme of Hainan University; Chinese Academy of Sciences(Chinese Academy of Sciences)</t>
  </si>
  <si>
    <t>The research was funded by the Specialized Research Fund for the Doctoral Programme of Higher Education of China (20114601120001), the Specialized Research Fund for the Midwest Programme of Hainan University (ZXBJH-XK002), Chinese Academy of Sciences (Y455011032). The authors would like to thank the editors and the anonymous reviewers for their valuable comments and suggestions on this paper.</t>
  </si>
  <si>
    <t>AUG 15</t>
  </si>
  <si>
    <t>10.1016/j.marpolbul.2015.05.017</t>
  </si>
  <si>
    <t>CQ2GJ</t>
  </si>
  <si>
    <t>WOS:000360417800067</t>
  </si>
  <si>
    <t>BOUOLAYAN, AH; ALMATTAR, S; ALYAKOOB, S; ALHAZEEM, S</t>
  </si>
  <si>
    <t>ACCUMULATION OF LEAD, CADMIUM, COPPER AND NICKEL BY PEARL OYSTER, PINCTADA-RADIATA, FROM KUWAIT MARINE-ENVIRONMENT</t>
  </si>
  <si>
    <t>METAL CONCENTRATIONS; HEAVY-METALS; ARABIAN GULF; SEDIMENTS; COAST</t>
  </si>
  <si>
    <t>Concentrations of cadmium (Cd), copper (Cu), lead (Pb) and nickel (Ni) were determined in the soft tissue of the oyster Pinctada radiata from three coastal stations during March-June 1990 and March-June 1992. In the 1990 samples, mean metal concentrations in oysters from different sampling stations varied between 0.77 and 1.93 mu g g(-1) for Cd, 0.38 and 2.29 mu g g(-1) for Cu, 0.44 and 0.64 mu g g(-1) for Pb and 0.96 and 1.33 mu g g(-1) for Ni, In the 1992 samples, the mean concentrations varied between 1.85 and 3.16 mu g g(-1) 1.01 and 1.18 mu g g(-1), 10.68 and 18.66 mu g g(-1), and 0.94 and 1.33 mu g g(-1) for Cd, Cu, Pb and Ni, respectively, The 1992 samples appeared to have significantly (p &lt; 0.01 by Students' t-test) higher mean concentrations of Pb, Cd and Cu than the 1990 samples, except Cu in the 1992 samples, from one station which showed a significantly (p &lt; 0.01 by Students' t-test) lower mean concentration. The difference in patterns of metal occurrence and the significant increase in the Pb, Cd and Cu mean concentrations in the 1992 oyster samples may be due to a contribution from the 1991 Gulf War oil spill.</t>
  </si>
  <si>
    <t>KUWAIT INST SCI RES, DEPT MARICULTURE &amp; FISHERIES, KUWAIT, KUWAIT; KUWAIT INST SCI RES, DEPT ENVIRONM SCI, KUWAIT, KUWAIT</t>
  </si>
  <si>
    <t>Kuwait Institute for Scientific Research; Kuwait Institute for Scientific Research</t>
  </si>
  <si>
    <t>KUWAIT UNIV, FAC SCI, DEPT CHEM, POB 5969, KUWAIT 13060, KUWAIT.</t>
  </si>
  <si>
    <t>10.1016/0025-326X(94)00143-W</t>
  </si>
  <si>
    <t>QQ016</t>
  </si>
  <si>
    <t>WOS:A1995QQ01600009</t>
  </si>
  <si>
    <t>Serpe, FP; Esposito, M; Gallo, P; Salini, M; Maglio, P; Hauber, T; Serpe, L</t>
  </si>
  <si>
    <t>Serpe, Francesco Paolo; Esposito, Mauro; Gallo, Pasquale; Salini, Marco; Maglio, Pasquale; Hauber, Tiziana; Serpe, Luigi</t>
  </si>
  <si>
    <t>DETERMINATION OF HEAVY METALS, POLYCYCLIC AROMATIC HYDROCARBONS AND POLYCHLORINATED BIPHENYLS IN Mytilus galloprovincialis FROM CAMPANIA COASTS, ITALY</t>
  </si>
  <si>
    <t>15th International Symposium on Environmental Pollution and its Impact on Life in the Mediterranean Region</t>
  </si>
  <si>
    <t>OCT 07-11, 2009</t>
  </si>
  <si>
    <t>Bari, ITALY</t>
  </si>
  <si>
    <t>Campania; mussels; heavy metals; PAHs; PCBs</t>
  </si>
  <si>
    <t>ADRIATIC SEA; MUSSELS; INDICATOR; ADDUCTS; AREA; BAY</t>
  </si>
  <si>
    <t>The marine environment represents a part of the ecosystem vulnerable to chemical pollutant contaminations because of the extended and prolonged release of these contaminants from urban, industrial and agro-livestock wastewaters. Filter feeders, such as mussels (Mytilus galloprovincialis), can bio-accumulate heavy metals and persistent chemicals, such as polycyclic aromatic hydrocarbons (PAHs) and polychlorinated biphenyls (PCBs), but there are just a few data about their presence in shellfish farms located in Campania (Italy), in which the mussels breeding is one of the most important commercial activities. A survey on the classified sea farms in Campania was conducted, and it allowed us to identify and monitor the main areas of breeding. The results of the monitoring plan showed a heterogeneous distribution of these contaminants depending on areas with a general major contamination at shores located near strongly urbanized and industrial areas, in some cases abandoned. The heavy metal (lead, cadmium, chromium and mercury) levels were always below the maximum limits assessed by the EC, and all samples were compliants also for the 11 PAHs studied, although a maximum level was assessed by EC for the only benzo[a]pyrene. Finally, an evaluation of non-compliances for non dioxin-like PCB (ndl-PCB) levels was not possible because of the missing of a specific regulation, although only low levels were found.</t>
  </si>
  <si>
    <t>[Serpe, Francesco Paolo] Ist Zooprofilatt Sperimentale Mezzogiorno, Dipartimento Chim, I-80055 Portici, Na, Italy</t>
  </si>
  <si>
    <t>IZS del Mezzogiorno</t>
  </si>
  <si>
    <t>Serpe, FP (corresponding author), Ist Zooprofilatt Sperimentale Mezzogiorno, Dipartimento Chim, Via Salute 2, I-80055 Portici, Na, Italy.</t>
  </si>
  <si>
    <t>francesco.serpe@izsmportici.it</t>
  </si>
  <si>
    <t>Esposito, Mauro/G-2336-2019; Esposito, Mauro/AAU-8936-2020</t>
  </si>
  <si>
    <t>Esposito, Mauro/0000-0002-0558-0185; Gallo, Pasquale/0000-0002-9676-2290</t>
  </si>
  <si>
    <t>10A</t>
  </si>
  <si>
    <t>692TT</t>
  </si>
  <si>
    <t>WOS:000285178700001</t>
  </si>
  <si>
    <t>Jitar, O; Teodosiu, C; Nicoara, M; Plavan, G</t>
  </si>
  <si>
    <t>Jitar, Oana; Teodosiu, Carmen; Nicoara, Mircea; Plavan, Gabriel</t>
  </si>
  <si>
    <t>STUDY OF HEAVY METAL POLLUTION AND BIOACCUMULATION IN THE BLACK SEA LIVING ENVIRONMENT</t>
  </si>
  <si>
    <t>ENVIRONMENTAL ENGINEERING AND MANAGEMENT JOURNAL</t>
  </si>
  <si>
    <t>bioaccumulation; Black Sea ecosystems; heavy metal pollution; marine organisms</t>
  </si>
  <si>
    <t>TURKISH COAST; MARINE-ALGAE; SEDIMENTS</t>
  </si>
  <si>
    <t>The Black Sea is seriously affected by a large range of pollutants, despite severe laws regarding the protection of sea ecosystems. Heavy metals are among the most important xenobiotics from the environment, presenting also toxicity for humans. The studies upon heavy metals have proven that the sediments have the highest concentrations and they can release metals back to water and this fact represents a risk for the humans and aquatic ecosystem life. The use of aquatic organisms like bioindicators for heavy metal pollution is common in actual studies, the algae and molluscs being the most used indicators. These are biofilter organisms that retain small particles from the water, so that the presence of pollutants in mussels' tissues indicates a contamination of the marine environment. This study provides information upon heavy metals pollution and their bioaccumulation mechanisms in the aquatic organisms living in the Black Sea. Determination of heavy metals from the tissues of mussels from the Black Sea is very important because in the seawater are discharged the effluents with various concentrations of pollutants. Determination of heavy metals concentrations (Cd2+, Fe2+/ Fe3+, Cr3+/ Cr6+, Cu2+, Ni2+, Pb2+, Zn2+) realised in 2010 showed that the maximum limits were exceeded in water and sediments for Cadmium, in water for Iron, Zinc, and in fish for Cadmium and Lead. Other results of the researches showed that the Black Sea was loaded with Cd2+, Co2+, Cu2+ and Ni2+, as compared to other regional seas.</t>
  </si>
  <si>
    <t>[Jitar, Oana; Teodosiu, Carmen] Gheorghe Asachi Tech Univ Iasi, Dept Environm Engn &amp; Management, Iasi 700050, Romania; [Nicoara, Mircea; Plavan, Gabriel] Alexandru Ioan Cuza Univ, Dept Biol, Fac Biol, Iasi 700506, Romania</t>
  </si>
  <si>
    <t>GH Asachi Technical University; Alexandru Ioan Cuza University</t>
  </si>
  <si>
    <t>Teodosiu, C (corresponding author), Gheorghe Asachi Tech Univ Iasi, Dept Environm Engn &amp; Management, 73 Prof Dr Docent D Mangeron St, Iasi 700050, Romania.</t>
  </si>
  <si>
    <t>cteo@ch.tuiasi.ro</t>
  </si>
  <si>
    <t>Teodosiu, Carmen/E-2693-2012; Mircea, Nicoara/J-3886-2019; Plavan, Gabriel-Ionut/H-9147-2019</t>
  </si>
  <si>
    <t>Teodosiu, Carmen/0009-0003-8058-6282; Nicoara, Mircea/0000-0002-9755-6771</t>
  </si>
  <si>
    <t>GH ASACHI TECHNICAL UNIV IASI</t>
  </si>
  <si>
    <t>IASI</t>
  </si>
  <si>
    <t>71 MANGERON BLVD, IASI, 700050, ROMANIA</t>
  </si>
  <si>
    <t>1582-9596</t>
  </si>
  <si>
    <t>1843-3707</t>
  </si>
  <si>
    <t>ENVIRON ENG MANAG J</t>
  </si>
  <si>
    <t>Environ. Eng. Manag. J.</t>
  </si>
  <si>
    <t>129PR</t>
  </si>
  <si>
    <t>WOS:000317854400011</t>
  </si>
  <si>
    <t>Fukunaga, A; Anderson, MJ; Webster-Brown, JG</t>
  </si>
  <si>
    <t>Fukunaga, Atsuko; Anderson, Marti J.; Webster-Brown, Jenny G.</t>
  </si>
  <si>
    <t>Assessing the nature of the combined effects of copper and zinc on estuarine infaunal communities</t>
  </si>
  <si>
    <t>Heavy metals; Multiple stressors; Additivity; Infauna; Community structure</t>
  </si>
  <si>
    <t>BIVALVE MACOMONA-LILIANA; SEDIMENT TOXICITY TESTS; EUROPEAN RIVER-BASINS; MULTIPLE STRESSORS; FAL ESTUARY; MULTIVARIATE-ANALYSIS; IRON OXYHYDROXIDE; SPECIES ABUNDANCE; MARINE ECOSYSTEMS; HEAVY-METALS</t>
  </si>
  <si>
    <t>Elevated levels of copper and zinc in sediment have been shown to adversely affect estuarine infauna. We investigated the additivity of the combined effects of copper and zinc on infaunal recolonisation through a manipulative field experiment in Orewa estuary, New Zealand, using defaunated sediment discs treated with these metals. The nature of their combined effects varied among infaunal taxa and the particular variables being examined. Additive effects were detected for species richness, for the mean log abundances of the polychaetes Prionospio sp. and Scoloplos cylindrifer and for the multivariate response of the community as a whole. Antagonistic effects were detected for the mean log abundances of total infauna and the polychaete Heteromastus sp. Characterising the potentially interactive nature of the combined effects of multiple heavy metals is essential in order to build predictive models of future environmental impacts of metal accumulation in estuarine sediments. (C) 2010 Elsevier Ltd. All rights reserved.</t>
  </si>
  <si>
    <t>[Fukunaga, Atsuko] Univ Auckland, Leigh Marine Lab, Warkworth, New Zealand; [Anderson, Marti J.] Massey Univ, Inst Informat &amp; Math Sci, N Shore Mail Ctr, Auckland, New Zealand; [Webster-Brown, Jenny G.] Univ Auckland, Dept Chem, Auckland, New Zealand</t>
  </si>
  <si>
    <t>University of Auckland; Massey University; University of Auckland</t>
  </si>
  <si>
    <t>Fukunaga, A (corresponding author), Univ Hawaii, Hawaii Inst Marine Biol, POB 1346, Kaneohe, HI 96744 USA.</t>
  </si>
  <si>
    <t>a.fukunaga@auckland.ac.nz</t>
  </si>
  <si>
    <t>Anderson, Marti/AAQ-9038-2021</t>
  </si>
  <si>
    <t>Anderson, Marti/0000-0002-4018-4049; Webster-Brown, Jenny/0000-0001-9665-871X; Fukunaga, Atsuko/0000-0003-2175-6635</t>
  </si>
  <si>
    <t>Education New Zealand</t>
  </si>
  <si>
    <t>We thank A. Cowles, A. Fowler, N. Gerner, S. Ghazali, and M. Little for their help in the field. We also thank R. Clarke for his assistance with sediment and porewater analyses and Leigh Laboratory general staff (M. Birch, P. Browne, B. Doak, A. Cozens and B. Dobson) for their help with the preparation and deployment of the experiment. This research was supported by a PhD scholarship to A. Fukunaga from Education New Zealand.</t>
  </si>
  <si>
    <t>10.1016/j.envpol.2010.09.012</t>
  </si>
  <si>
    <t>692CR</t>
  </si>
  <si>
    <t>WOS:000285129600016</t>
  </si>
  <si>
    <t>Liao, KW; Pan, WH; Liou, SH; Sun, CW; Huang, PC; Wang, SL</t>
  </si>
  <si>
    <t>Liao, Kai-Wei; Pan, Wen-Harn; Liou, Saou-Hsing; Sun, Chien-Wen; Huang, Po-Chin; Wang, Shu-Li</t>
  </si>
  <si>
    <t>Levels and temporal variations of urinary lead, cadmium, cobalt, and copper exposure in the general population of Taiwan</t>
  </si>
  <si>
    <t>Taiwan; Human biomonitoring; General population; Metals; Urine</t>
  </si>
  <si>
    <t>BLOOD LEAD; HEAVY-METALS; NATIONAL-HEALTH; GREEN OYSTERS; SERUM COPPER; NUTRITION; RESIDENTS; MERCURY; WORKERS; WOMEN</t>
  </si>
  <si>
    <t>Toxic metal contamination in food products and the environment is a public health concern. Therefore, understanding human exposure to cadmium (Cd), lead (Pb), cobalt (Co), and copper (Cu) levels in the general population of Taiwan is necessary and urgent. We aimed to establish the human biomonitoring data of urine toxic metals, exposure profile changes, and factors associated with metal levels in the general population of Taiwan. We randomly selected 1601 participants older than 7years of age (36.9 +/- 18.7years (7-84years)) from the Nutrition and Health Survey in Taiwan (NAHSIT) conducted during 1993-1996 (93-96) and 2005-2008 (05-08) periods and measured the levels of four metals in the participants' urine samples using inductively coupled plasma-mass spectrometry. The median (range) levels of urinary Cd, Pb, Co, and Cu in participants from the NAHSIT 93-96 (N=821)/05-08 (N=780) were 0.60 (ND-13.90)/0.72 (ND-7.44), 2.28 (ND-63.60)/1.09 (0.04-48.88), 0.91 (0.08-17.30)/1.05 (0.05-22.43), and 16.87 (2.62-158.28)/13.66 (1.67-189.70)g/L, respectively. We found that the urinary median levels of Pb and Cu in our participants were significantly lower in the NAHSIT 05-08 (Pb 1.09g/L, Cu 13.66g/L) than in the NAHSIT 93-96 (Pb 2.28g/L, Cu 16.87g/L; P&lt;0.01), whereas those of Cd and Co were significantly higher in the NAHSIT 05-08 (Cd 0.72g/L, Co 1.05g/L; P&lt;0.01). Youths had higher exposure levels of Pb, Co, and Cu than adults. Participants with alcohol consumption, betel quid chewing, or cigarette smoking had significantly higher median levels of urinary Pb or Cu (P&lt;0.01) than those without. Principal components and cluster analysis revealed that sex had different exposure profiles of metals. We concluded that levels of urinary Cd, Pb, Co, and Cu exposure in the general Taiwanese varied by age, sex, and lifestyles.</t>
  </si>
  <si>
    <t>[Liao, Kai-Wei; Liou, Saou-Hsing; Sun, Chien-Wen; Huang, Po-Chin; Wang, Shu-Li] Natl Hlth Res Inst, Natl Inst Environm Hlth Sci, 35 Keyan Rd, Miaoli 35035, Taiwan; [Pan, Wen-Harn] Acad Sinica, Inst Biomed Sci, Taipei, Taiwan; [Pan, Wen-Harn] Natl Hlth Res Inst, Inst Populat Hlth Sci, Div Prevent Med &amp; Hlth Serv Res, Miaoli, Taiwan; [Liou, Saou-Hsing; Wang, Shu-Li] Natl Def Med Ctr, Dept Publ Hlth, Taipei, Taiwan; [Huang, Po-Chin; Wang, Shu-Li] Kaohsiung Med Univ, Res Ctr Environm Med, Kaohsiung, Taiwan; [Huang, Po-Chin; Wang, Shu-Li] Natl United Univ, Dept Safety Hlth &amp; Environm Engn, Miaoli, Taiwan; [Wang, Shu-Li] China Med Univ, Dept Publ Hlth, Coll Publ Hlth, Taichung, Taiwan</t>
  </si>
  <si>
    <t>National Health Research Institutes - Taiwan; Academia Sinica - Taiwan; National Health Research Institutes - Taiwan; National Defense Medical Center; Kaohsiung Medical University; National United University; China Medical University Taiwan</t>
  </si>
  <si>
    <t>Huang, PC; Wang, SL (corresponding author), Natl Hlth Res Inst, Natl Inst Environm Hlth Sci, 35 Keyan Rd, Miaoli 35035, Taiwan.;Wang, SL (corresponding author), Natl Def Med Ctr, Dept Publ Hlth, Taipei, Taiwan.;Huang, PC; Wang, SL (corresponding author), Kaohsiung Med Univ, Res Ctr Environm Med, Kaohsiung, Taiwan.;Huang, PC; Wang, SL (corresponding author), Natl United Univ, Dept Safety Hlth &amp; Environm Engn, Miaoli, Taiwan.;Wang, SL (corresponding author), China Med Univ, Dept Publ Hlth, Coll Publ Hlth, Taichung, Taiwan.</t>
  </si>
  <si>
    <t>pchuang@nhri.org.tw; slwang@nhri.org.tw</t>
  </si>
  <si>
    <t>Huang, Po-Chin/IQT-3624-2023; Liao, Kai-Wei/AAW-5992-2020; Wang, Shu-Li/C-1367-2010; Pan, Wen-Harn/F-9972-2010</t>
  </si>
  <si>
    <t>Huang, Po-Chin/0000-0002-9243-0838; Wang, Shu-Li/0000-0002-0686-4729; Liao, Kai-Wei/0000-0003-3842-416X</t>
  </si>
  <si>
    <t>NHRI [EO-99-SP-02, EM-105-PP-05, EH-102-PP-05, EH-103-PP-05, EM-105-SP-16, EM-105-PP-15, EM-106-PP12, EM-107-PP12]</t>
  </si>
  <si>
    <t>NHRI(National Health Research Institutes - Taiwan)</t>
  </si>
  <si>
    <t>This study was funded by the NHRI (EO-99-SP-02, EM-105-PP-05, EH-102-PP-05, EH-103-PP-05, EM-105-SP-16, EM-105-PP-15, EM-106-PP12, EM-107-PP12).</t>
  </si>
  <si>
    <t>10.1007/s11356-018-3911-0</t>
  </si>
  <si>
    <t>HO3OA</t>
  </si>
  <si>
    <t>WOS:000460831600071</t>
  </si>
  <si>
    <t>Coelho, GF; GonÇalves, AC; Nóvoa-Muñoz, JC; Fernández-Calviño, D; Arias-Estévez, M; Fernández-Sanjurjo, MJ; Alvarez-Rodríguez, E; Núñez-Delgado, A</t>
  </si>
  <si>
    <t>Coelho, Gustavo F.; GonCalves, Affonso C., Jr.; Carlos Novoa-Munoz, Juan; Fernandez-Calvino, David; Arias-Estevez, Manuel; Fernandez-Sanjurjo, Maria J.; Alvarez-Rodriguez, Esperanza; Nunez-Delgado, Avelino</t>
  </si>
  <si>
    <t>Competitive and non-competitive cadmium, copper and lead sorption/desorption on wheat straw affecting sustainability in vineyards</t>
  </si>
  <si>
    <t>JOURNAL OF CLEANER PRODUCTION</t>
  </si>
  <si>
    <t>Desorption; Heavy metals; Sorption; Sustainability; Vineyard; Wheat straw</t>
  </si>
  <si>
    <t>HEAVY-METAL RETENTION; LIFE-CYCLE ASSESSMENT; SOIL-EROSION; CR(VI) SORPTION/DESORPTION; MUSSEL SHELLS; REMOVAL; CHROMIUM; RUNOFF; WASTE; WATER</t>
  </si>
  <si>
    <t>The novelty of this work lies on the consideration of wheat straw to retain Cu and other heavy metals in vineyards, in addition to its known potential to decrease erosion, thus facilitating the growth of new vine plants and contributing to sustainability in vineyard production. In this study we used batch-type experiments to investigate Cd, Cu and Pb competitive and non-competitive sorption/desorption on wheat straw. In non-competitive experiments, sorption sequence was Pb &gt; Cd &gt; Cu when the lowest molar concentrations (0.5 mmol L-1) were added, and Pb &gt; Cu &gt; Cd when the highest molar concentrations (6.0 mmol L-1) were added. Sorption curves indicated clearly higher sorption for Pb, lower initial sorption in the case of Cu, and certain trend to saturation of sorption sites for Cd. Data showed good adjustment to the Langmuir model just for Cd, whereas the Freundlich equation fitted well for all three metals. Desorption rates were low, in the order Pb &lt; Cd &lt; Cu. In the competitive experiment, the sorption sequence was Pb &gt; Cu &gt; Cd. The results indicate that competition clearly affected to Cd sorption, especially when the highest concentrations (6 mmol L-1) of the three heavy metals were added. The highest percentage of desorption in the competitive system corresponded to Cd, whereas Pb and Cu experienced clearly lower release. Comparing competitive and non-competitive experiments, Pb sorption was equivalent in the non-competitive and competitive trials, Cu sorption was slightly higher in the non-competitive than in the competitive experiment, and Cd sorption was clearly higher in the noncompetitive trial. Percentage desorption decreased for Pb and for Cu in the competitive trial, whereas it was clearly higher for Cd in the competitive than in the non-competitive experiment. The overall results indicate that Pb, Cu and Cd can beretained by wheat straw (especiallyCu and Pb), thus decreasing risks of pollution, which could be used to treat polluted waters, and could also give additional value to wheat straw mulching used to protect vineyards from erosion and Cu (and other heavy metals) pollution, thus contributing to sustainability in this productive sector. (C) 2016 Elsevier Ltd. All rights reserved.</t>
  </si>
  <si>
    <t>[Coelho, Gustavo F.; GonCalves, Affonso C., Jr.] State Univ West Parana, Ctr Agr Sci, Marechal Candido Rondon, Rua Pernambuco 1777, BR-85960000 Marechal Candido Rodondo, Parana, Brazil; [Carlos Novoa-Munoz, Juan; Fernandez-Calvino, David; Arias-Estevez, Manuel] Univ Vigo, Fac Sci, Dept Plant Biol &amp; Soil Sci, Campus Ourense, Orense 32004, Spain; [Fernandez-Sanjurjo, Maria J.; Alvarez-Rodriguez, Esperanza; Nunez-Delgado, Avelino] Univ Santiago de Compostela, Engn Polytech Sch, Dept Soil Sci &amp; Agr Chem, Lugo 27002, Spain</t>
  </si>
  <si>
    <t>Universidade Estadual do Oeste do Parana; Universidade de Vigo; Universidade de Santiago de Compostela</t>
  </si>
  <si>
    <t>Núñez-Delgado, A (corresponding author), Univ Santiago de Compostela, Engn Polytech Sch, Dept Soil Sci &amp; Agr Chem, Lugo 27002, Spain.</t>
  </si>
  <si>
    <t>avelino.nunez@usc.es</t>
  </si>
  <si>
    <t>Coelho, Gustavo/F-4986-2015; Nóvoa-Muñoz, J. C./A-9181-2009; Fernández-Sanjurjo, María/ABC-6938-2020; Estévez, Manuel/M-8629-2016; Nunez-Delgado, Avelino/K-3964-2013; Goncalves Junior, Affonso Celso/B-4179-2013; Fernandez-Calvino, David/C-5756-2015; Alvarez, Esperanza/B-3154-2018</t>
  </si>
  <si>
    <t>Fernandez-Sanjurjo, Maria J./0000-0001-6728-7147; Novoa-Munoz, Juan Carlos/0000-0003-3062-4191; Nunez-Delgado, Avelino/0000-0001-5373-1606; Goncalves Junior, Affonso Celso/0000-0002-1699-1545; Fernandez-Calvino, David/0000-0003-0864-7039; Alvarez, Esperanza/0000-0003-3470-2679</t>
  </si>
  <si>
    <t>Ministerio de Economia y Competitividad (Government of Spain) [CGL2012-36805-C02-01, CGL2012-36805-C02-02]; European Regional Development Fund (ERDF) (FEDER in Spain)</t>
  </si>
  <si>
    <t>Ministerio de Economia y Competitividad (Government of Spain)(Spanish Government); European Regional Development Fund (ERDF) (FEDER in Spain)(Spanish Government)</t>
  </si>
  <si>
    <t>This work was supported by the Ministerio de Economia y Competitividad (Government of Spain) [grant numbers CGL2012-36805-C02-01 and CGL2012-36805-C02-02]; and it was also partially financed by the European Regional Development Fund (ERDF) (FEDER in Spain). The research of Ms. Gustavo F. Coelho, and Dr. Affonso C. Goncalves Jr. was also supported by the Improving Coordination of Senior Staff (CAPES) of the Brazilian Government.</t>
  </si>
  <si>
    <t>0959-6526</t>
  </si>
  <si>
    <t>1879-1786</t>
  </si>
  <si>
    <t>J CLEAN PROD</t>
  </si>
  <si>
    <t>J. Clean Prod.</t>
  </si>
  <si>
    <t>DEC 15</t>
  </si>
  <si>
    <t>10.1016/j.jclepro.2016.09.021</t>
  </si>
  <si>
    <t>Green &amp; Sustainable Science &amp; Technology; Engineering, Environmental; Environmental Sciences</t>
  </si>
  <si>
    <t>Science &amp; Technology - Other Topics; Engineering; Environmental Sciences &amp; Ecology</t>
  </si>
  <si>
    <t>EA9VA</t>
  </si>
  <si>
    <t>WOS:000386991600135</t>
  </si>
  <si>
    <t>Kavun, VY; Shulkin, VM; Khristoforova, NK</t>
  </si>
  <si>
    <t>Metal accumulation in mussels of the Kuril Islands, north-west Pacific Ocean</t>
  </si>
  <si>
    <t>cadmium; heavy metals; mussels; tissue analysis; pollution monitoring; coastal waters; Kuril Islands</t>
  </si>
  <si>
    <t>UNITED-STATES; CHEMICAL CONCENTRATIONS; MYTILUS-EDULIS; TRACE-METAL; CADMIUM; WATERS; WATCH; CALIFORNIA; OYSTERS; FRANCE</t>
  </si>
  <si>
    <t>Concentrations of cadmium, copper, iron, lead, manganese, nickel and zinc were investigated in two species of mussel from the Kuril Islands in the north-western Pacific Ocean: the short-lived mussel Mytilus trossulus and the much larger and longer-lived Crenomytilus grayanus. The concentrations of most elements were low, and these reported levels are believed to reflect background values for pristine locations. However, both iron and zinc concentrations were elevated in some samples taken from areas of hydrothermal vent activity, and these are believed to reflect the enrichment of the two metals in solution at such sites. Furthermore, the concentrations of cadmium were unusually elevated in both species of mussel, especially in the longer-lived C. grayanus. The high accumulation of cadmium in mussels from the Kuril Islands is believed to reflect regional upwelling, but it is also postulated that filtration rates of the mussels are high due to low levels of suspended matter, and this leads to a high assimilation efficiency for cadmium. The distribution of cadmium amongst the tissues of C. grayanus is also reported, and the need for further ecotoxicological studies in the area is proposed. (C) 2002 Elsevier Science Ltd. All rights reserved.</t>
  </si>
  <si>
    <t>Russian Acad Sci, Pacific Geog Inst, Vladivostok 690041, Russia; Russian Acad Sci, Inst Marine Biol, Vladivostok 690041, Russia; Far Eastern State Univ, Vladivostok 690600, Russia</t>
  </si>
  <si>
    <t>Russian Academy of Sciences; Pacific Geographical Institute of the Far Eastern Branch of the Russian Academy of Sciences; Russian Academy of Sciences; National Scientific Center of Marine Biology, Far East Branch of the Russian Academy of Sciences; Far Eastern Federal University</t>
  </si>
  <si>
    <t>Shulkin, VM (corresponding author), Russian Acad Sci, Pacific Geog Inst, Vladivostok 690041, Russia.</t>
  </si>
  <si>
    <t>Khristoforova, Nadezhda/J-3500-2013; Vladimir, Shulkin/AAD-5861-2020; Kavun, Victor/AAC-1238-2020</t>
  </si>
  <si>
    <t>Khristoforova, Nadezhda/0000-0002-9559-8660; Kavun, Victor/0000-0003-4739-4951</t>
  </si>
  <si>
    <t>PII S0141-1136(00)00264-6</t>
  </si>
  <si>
    <t>10.1016/S0141-1136(00)00264-6</t>
  </si>
  <si>
    <t>538KQ</t>
  </si>
  <si>
    <t>WOS:000174815500001</t>
  </si>
  <si>
    <t>Samara, F; Bejarano, I; Mateos-Molina, D; Abouleish, M; Solovieva, N; Yaghmour, F; Ali, T; Saburova, M</t>
  </si>
  <si>
    <t>Samara, Fatin; Bejarano, Ivonne; Mateos-Molina, Daniel; Abouleish, Mohamed; Solovieva, Nadia; Yaghmour, Fadi; Ali, Tarig; Saburova, Maria</t>
  </si>
  <si>
    <t>Environmental assessment of oyster beds in the northern Arabian Gulf Coast of the United Arab Emirates</t>
  </si>
  <si>
    <t>Phytoplankton; Water quality; Heavy metals; Pollution; Benthos; PAHs</t>
  </si>
  <si>
    <t>HEAVY-METAL POLLUTION; WATER-QUALITY; MARINE-ENVIRONMENT; BIVALVE MOLLUSKS; CLIMATE-CHANGE; PERSIAN-GULF; PHYTOPLANKTON; REEFS; POPULATIONS; MANAGEMENT</t>
  </si>
  <si>
    <t>The United Arab of Emirates (UAE) hosts valuable coastal and marine biodiversity, and oysters are one of the habitants of its marine ecosystem. Oysters play an essential role in the nearshore coasts where they work as an active filter. They filter nutrients, phytoplankton, sediments, heavy metals, and toxins out of the water, which improves the water quality. This is the first study that characterizes oyster bed habitats in the UAE by analyzing water quality parameters, polycyclic aromatic hydrocarbons (PAHs), organochlorine pesticides (OCPs)and heavy metals in water, sediments and oyster samples collected from five locations along the coasts of Sharjah, Ajman, and Umm al Quwain. Oyster bed areas supported a diverse assemblage of benthic life including oysters, scallops, pen shells, hard corals, and macroalgae. Mobile species in these habitats included groupers, emperors, snappers, sea snakes, among others. The phytoplankton assemblages were dominated by diatoms, dinoflagellates, and small cryptophytes. Harmful diatom Pseudonitzschia was found in all locations. No detectable concentrations of PAHs and OCPs were reported in this study, and water quality parameters were within the acceptable levels for the region. On the other hand, water quality index was reported marginal, mostly due to the presence of higher than acceptable concentrations of chromium and mercury in all sites studied. Bioconcentration factors concluded that oysters were able to bioconcentrate metals such as arsenic, cadmium, chromium, and zinc, when compared to water. No detectable concentrations of lead and mercury were reported in oysters, suggesting higher depuration rates for those metals.</t>
  </si>
  <si>
    <t>[Samara, Fatin; Bejarano, Ivonne; Abouleish, Mohamed] Amer Univ Sharjah, Coll Arts &amp; Sci, Dept Biol Chem &amp; Environm Sci, Sharjah, U Arab Emirates; [Mateos-Molina, Daniel] Univ Khorfakkan, Coll Arts Sci &amp; IT, Sharjah, U Arab Emirates; [Mateos-Molina, Daniel] Emirates Nat World Wide Fund Nat Emirates Nat WWF, Dubai, U Arab Emirates; [Solovieva, Nadia] Higher Coll Technol, Gen Studies Div, Sharjah, U Arab Emirates; [Solovieva, Nadia] UCL, Dept Geog, ECRC, Gower St, London WC1E 6BT, England; [Yaghmour, Fadi] Environm &amp; Protected Areas Author, Hefaiyah Mt Conservat Ctr, Sci Res Dept, Sharjah, U Arab Emirates; [Ali, Tarig] Amer Univ Sharjah, Coll Engn, Dept Civil Engn, Sharjah, U Arab Emirates; [Saburova, Maria] Kuwait Inst Sci Res, Environm &amp; Life Sci Res Ctr, Slamiya, Kuwait</t>
  </si>
  <si>
    <t>American University of Sharjah; Higher Colleges of Technology - United Arab Emirates; University of London; University College London; American University of Sharjah</t>
  </si>
  <si>
    <t>Samara, F (corresponding author), Amer Univ Sharjah, Coll Arts &amp; Sci, Dept Biol Chem &amp; Environm Sci, Sharjah, U Arab Emirates.</t>
  </si>
  <si>
    <t>fsamara@aus.edu</t>
  </si>
  <si>
    <t>Saburova, Maria/JPK-3666-2023; Samara, Fatin/AAI-9450-2021</t>
  </si>
  <si>
    <t>American University of Sharjah (AUS); Sharjah Research Academy [FRG19-L-S51 (AS1703), SRA20-027 (223141)]</t>
  </si>
  <si>
    <t>American University of Sharjah (AUS); Sharjah Research Academy</t>
  </si>
  <si>
    <t>The work in this study would not have been possible without the close cooperation of the local environmental authorities in the study area: Ajman Municipality and Planning, and Sharjah Environment and Protected Areas Authority (EPAA). Thanks to Emirates Nature-WWF for providing critical information to carry on and implement in this study. The authors of this paper express their most sincere gratitude to Thouraya Ghalayini, Isra Alam and Dunya Medhat for all their technical support, Yanick Pages for his support in sample collection and SGS Gulf Limited for supporting the chemical analysis. Thanks to the American University of Sharjah (AUS) and to the Sharjah Research Academy for partially funding this research under Faculty Research Grant FRG19-L-S51 (AS1703) and SRA20-027 (223141).</t>
  </si>
  <si>
    <t>10.1016/j.marpolbul.2023.115442</t>
  </si>
  <si>
    <t>SEP 2023</t>
  </si>
  <si>
    <t>T2XK2</t>
  </si>
  <si>
    <t>WOS:001076662900001</t>
  </si>
  <si>
    <t>GIORDANO, R; ARATA, P; CIARALLI, L; RINALDI, S; GIANI, M; CICERO, AM; COSTANTINI, S</t>
  </si>
  <si>
    <t>HEAVY-METALS IN MUSSELS AND FISH FROM ITALIAN COASTAL WATERS</t>
  </si>
  <si>
    <t>MARINE ORGANISMS; MERCURY; CADMIUM; SEA</t>
  </si>
  <si>
    <t>Concentrations of mercury, cadmium and lead were determined in the soft tissue of four types of marine organisms (Mytilus galloprovincialis Lmk., Murex trunculus, Serranus scriba and Serranus cabrilla), collected along the Italian coasts from Genoa (Ligurian Sea) to Termoli (Adriatic Sea) in the summer of 1986. The analyses were performed by the electrothermal (cadmium and lead) and cold vapour (mercury) atomic absorption techniques. Levels of metals in Mytilus galloprovincialis were for the most part low, except at a few sites. Murex trunculus contained higher mean concentrations of mercury and cadmium and lower concentrations of lead. In Serranus scriba and Serranus cabrilla, mean levels of mercury were 316+/-154 and 181+/-86-mu-g l-1 fresh weight, respectively, and the levels of cadmium and lead were generally below the detection limits calculated for both these elements.</t>
  </si>
  <si>
    <t>IST CENT RIC SCI &amp; TECNOL APPL PESCA MARITTIMA, I-00197 ROME, ITALY</t>
  </si>
  <si>
    <t>IST SUPER SANITA, APPL TOXICOL LAB, VIALE REGINA ELENA 299, I-00161 ROME, ITALY.</t>
  </si>
  <si>
    <t>Giani, Michele/ABI-6113-2020</t>
  </si>
  <si>
    <t>GIANI, Michele/0000-0002-3306-7725; Giani, Michele/0000-0003-4784-0149</t>
  </si>
  <si>
    <t>10.1016/0025-326X(91)90438-X</t>
  </si>
  <si>
    <t>EZ434</t>
  </si>
  <si>
    <t>WOS:A1991EZ43400004</t>
  </si>
  <si>
    <t>Vinces, KC; de Valgaz, APF; Ballesteros, J</t>
  </si>
  <si>
    <t>Vinces, Kevin Cedeno; de Valgaz, Angela Pacheco Flores; Ballesteros, Jose</t>
  </si>
  <si>
    <t>Quantification of Heavy Metal Content in Anadara tuberculosa from the Gulf of Guayaquil Using ICP-OES: Assessing Marine Contamination</t>
  </si>
  <si>
    <t>pollution; Anadara tuberculosa; Ecuador; shellfish; gulf; ICP-OES</t>
  </si>
  <si>
    <t>ECUADOR; FISH</t>
  </si>
  <si>
    <t>The present study was conducted to quantify the heavy metals cadmium, lead, copper, chromium, nickel, and zinc in the bivalve mollusk concha prieta (Anadara tuberculosa) using inductively coupled plasma optical emission spectroscopy (ICP-OES). This research aims to identify whether the bioaccumulated content of heavy metals exceeds the maximum limits established by various public health bodies such as the ONU, FAO, Codex Alimentarius, EEC, and NHI. Samples of the species were collected randomly from three locations in Puerto El Morro, Playas Municipal Market, and La Libertad Seafood Market in the Gulf of Guayaquil. Thirty-three soft tissue samples of Anadara tuberculosa were evaluated, and the values quantified in mg/kg were in the following order: Zn &gt; Cu &gt; Cd &gt; Ni &gt; Cr &gt; Pb.</t>
  </si>
  <si>
    <t>[Vinces, Kevin Cedeno; de Valgaz, Angela Pacheco Flores; Ballesteros, Jose] Univ Politecn Salesiana, Biotechnol Engn Biotechnol Applicat Res Grp GIAB, Campus Maria Auxiliadora,Km 19-5 Via Costa,POB 090, Guayaquil, Ecuador; [Vinces, Kevin Cedeno] ESPOL Polytech Univ, Fac Ciencias Nat &amp; Matemat, Escuela Super Politecn Litoral ESPOL, POB 9050, Guayaquil, Ecuador; [de Valgaz, Angela Pacheco Flores] Univ Ghent, Fac Biosci Engn, Dept Plants &amp; Crops, Lab Crop Protect Chem, B-9000 Ghent, Belgium</t>
  </si>
  <si>
    <t>Universidad Politecnica Salesiana; Escuela Superior Politecnica del Litoral; Ghent University</t>
  </si>
  <si>
    <t>Vinces, KC (corresponding author), Univ Politecn Salesiana, Biotechnol Engn Biotechnol Applicat Res Grp GIAB, Campus Maria Auxiliadora,Km 19-5 Via Costa,POB 090, Guayaquil, Ecuador.;Vinces, KC (corresponding author), ESPOL Polytech Univ, Fac Ciencias Nat &amp; Matemat, Escuela Super Politecn Litoral ESPOL, POB 9050, Guayaquil, Ecuador.</t>
  </si>
  <si>
    <t>kcedeno@ups.edu.ec; apachecof@ups.edu.ec; jballesterosl@ups.edu.ec</t>
  </si>
  <si>
    <t>Ballesteros, Jose/KIH-9191-2024; Cedeño, Kevin/JVO-6158-2024; Pacheco Flores De Valgaz, Angela/JEO-4261-2023</t>
  </si>
  <si>
    <t>Cedeno Vinces, Kevin Gabriel/0000-0001-6693-6141; Pacheco Flores De Valgaz, Angela/0000-0002-7417-7218</t>
  </si>
  <si>
    <t>Universidad Politcnica Salesiana-Ecuador Sede Guayaquil</t>
  </si>
  <si>
    <t>We would like to thank the eighth-level Biotechnology Engineering students of period 62 for helping in sample collection.</t>
  </si>
  <si>
    <t>10.3390/app14051704</t>
  </si>
  <si>
    <t>KX2K0</t>
  </si>
  <si>
    <t>WOS:001183194700001</t>
  </si>
  <si>
    <t>HUNG, TC; MENG, PJ; WU, SJ</t>
  </si>
  <si>
    <t>SPECIES OF COPPER AND ZINC IN SEDIMENTS COLLECTED FROM THE ANTARCTIC OCEAN AND THE TAIWAN ERHJIN-CHI COASTAL AREA</t>
  </si>
  <si>
    <t>COPPER SPECIES; ZINC SPECIES; ANTARCTIC OCEAN SEDIMENTS; TAIWAN ERHJIN COASTAL SEDIMENTS; OYSTERS</t>
  </si>
  <si>
    <t>The species of copper and zinc, such as bioexchangeable, skeletal, easily reducible (Fe and Mn oxides), moderately reducible (crystalline Mn oxide), organic combined with sulfides, and detritus with minerals, in mud and sand, separated from the surface Antarctic Ocean and the Taiwan Erhjin Chi coastal (including river and estuarine) sediments, have been analyzed by sequential leaching methods. Results show that in the Antarctic Ocean sediments, high concentrations of total copper (128 mg/kg) and zinc (458 mg/kg) were found in the high mud (99.09%) content samples compared with the low concentrations of total copper (83.8 mg/kg) and zinc (288 mg/kg) in low mud (51.69%) content samples. High concentrations of copper, zinc, manganese and iron are possibly due to the characteristics of manganese nodules, in which the species of copper and zinc are mainly contained in the crystalline Mn oxide phase. In the Taiwan Erhjin Chi coastal sediments, the total copper and zinc concentrations in mud and sand vary with season and location. High values were generally observed in the river sediments during the dry season, and low values were in the estuarine and coastal sediments during the heavy rainy season. High percentages of copper (as high as 49.4%) and zinc (as high as 76.7%) in mud and sand were in the bioexchangeable phase including the skeletal phase. This result might be correlated with the problems arising from human impact on copper and zinc as well as sewage pollution in Taiwan. In the organic combined phase, biogenic particulate matter related to higher primary productivity in the Antarctic Ocean is also discussed.</t>
  </si>
  <si>
    <t>NATL TAIWAN UNIV,INST OCEANOG,TAIPEI,TAIWAN</t>
  </si>
  <si>
    <t>National Taiwan University</t>
  </si>
  <si>
    <t>HUNG, TC (corresponding author), ACAD SINICA,INST CHEM,TAIPEI 115,TAIWAN.</t>
  </si>
  <si>
    <t>Meng, PJ/AAC-3677-2021</t>
  </si>
  <si>
    <t>10.1016/0269-7491(93)90042-M</t>
  </si>
  <si>
    <t>LF369</t>
  </si>
  <si>
    <t>WOS:A1993LF36900002</t>
  </si>
  <si>
    <t>Rincón, CHL; Salamanca, EJP; Kintz, JRC; Lizcano, OV; Cruz-Quintana, Y; Neira, R</t>
  </si>
  <si>
    <t>Rincon, Carlos H. Lucero; Salamanca, Enrique J. Pena; Kintz, Jaime R. Cantera; Lizcano, Omaira Vera; Cruz-Quintana, Yanis; Neira, Raul</t>
  </si>
  <si>
    <t>Assessment of mercury and lead contamination using the bivalve Anadara tuberculosa (Arcidae) in an estuary of the Colombian Pacific</t>
  </si>
  <si>
    <t>Colombia; Anadara tuberculosa; Mercury; Histopathology; Sediments; Mangroves</t>
  </si>
  <si>
    <t>RISK; BIOACCUMULATION; METHYLMERCURY; SEDIMENTS; POLLUTION; TRAPEZIA; SELENIUM; GRANOSA; METALS</t>
  </si>
  <si>
    <t>Buenaventura Bay is considered the main estuary on the Pacific coast of Colombia, because of port and industrial activities. Mining and agriculture are major sources of contamination in the estuary. This study used the bivalve Anadara tuberculosa to evaluate the presence of mercury and lead in the Dagua River estuary (Colombia), one of the main tributaries coming into the bay. Five samplings for sediments and six for tissues of A. tuberculosa were carried out between 2016 and 2017. Additionally, a series of bioassays were conducted to determine its ability to bioaccumulate metals. A mean mercury concentration of 0.57 +/- 0.74 mg(star)kg 1 and lead concentration of 0.87 +/- 0.68 mg(star)kg(-1) in sediment were found. Bioassays allowed us to conclude that at low mercury exposure con-centrations (0.25 mg(star)kg1), lesions are generated in animal tissue, mainly in sexual cells. The high concentra-tions of mercury found in organisms exceed the maximum permitted concentration established in Colombia. In addition, the contamination factors for mercury and lead were considered very high. This research aims at contributing to the use of Anadara tuberculosa, as prospective bioindicator for pollution biomonitoring in mangrove coastal ecosystems.</t>
  </si>
  <si>
    <t>[Rincon, Carlos H. Lucero] Ctr Agroind &amp; Pesquero Costa Pacifica SENA, Km 21 Via Tumaco, Pasto 528503, Colombia; [Rincon, Carlos H. Lucero; Salamanca, Enrique J. Pena; Kintz, Jaime R. Cantera; Neira, Raul] Univ Valle, Calle 13 100-00, Cali 760032, Valle del Cauca, Colombia; [Lizcano, Omaira Vera] Univ Santiago Cali, Calle 5 62-00, Santiago 760035, Colombia; [Cruz-Quintana, Yanis] Univ Manabi, Fac Acuicultura &amp; Ciencias Mar, Dept Acuicultura Pesca &amp; Recursos Nat Renovables, Grp Invest San Acuicola Inocuidad &amp; Salud Ambient, Calle Gonzalo Loor Velasco S-N, Bahia De Caraquez 130104, Ecuador</t>
  </si>
  <si>
    <t>Universidad del Valle</t>
  </si>
  <si>
    <t>Rincón, CHL (corresponding author), Ctr Agroind &amp; Pesquero Costa Pacifica SENA, Km 21 Via Tumaco, Pasto 528503, Colombia.;Cruz-Quintana, Y (corresponding author), Univ Manabi, Fac Acuicultura &amp; Ciencias Mar, Dept Acuicultura Pesca &amp; Recursos Nat Renovables, Grp Invest San Acuicola Inocuidad &amp; Salud Ambient, Calle Gonzalo Loor Velasco S-N, Bahia De Caraquez 130104, Ecuador.</t>
  </si>
  <si>
    <t>carlucer01@gmail.com; cqyanis@gmail.com</t>
  </si>
  <si>
    <t>Pena Salamanca, Enrique Javier/KVB-8007-2024</t>
  </si>
  <si>
    <t>Pena Salamanca, Enrique Javier/0000-0002-5135-6424</t>
  </si>
  <si>
    <t>Fund of Science, Technology and Innovation of the General System of Royalties</t>
  </si>
  <si>
    <t>This document was produced within the framework of the project Strategies for the recovery and integrated management of water resources in the Cauca and Dagua basins in the Cauca Valley, funded by the Fund of Science, Technology and Innovation of the General System of Royalties and executed by the Universidad del Valle. We are grateful to Dr. Marco A. Aguirre for drawing up the study area map, and to the entire team, colleagues, and friends for their innumerable contributions in this document. Last, we want to thank the anonymous reviewers and the editor, who with their valuable comments substantially improvedthe manuscript.</t>
  </si>
  <si>
    <t>10.1016/j.marpolbul.2022.114519</t>
  </si>
  <si>
    <t>JAN 2023</t>
  </si>
  <si>
    <t>8L1BG</t>
  </si>
  <si>
    <t>WOS:000923523400001</t>
  </si>
  <si>
    <t>Kim, S; Yoon, D; Lee, M; Yoon, C; Kim, S</t>
  </si>
  <si>
    <t>Kim, Siwon; Yoon, Dahye; Lee, Minji; Yoon, Changshin; Kim, Suhkmann</t>
  </si>
  <si>
    <t>Metabolic responses in zebrafish (Danio rerio) exposed to zinc and cadmium by nuclear magnetic resonance -based metabolomics</t>
  </si>
  <si>
    <t>CHEMISTRY AND ECOLOGY</t>
  </si>
  <si>
    <t>zebrafish (Danio rerio); zinc; Cadmium; metabolomics; H-1 NMR spectroscopy</t>
  </si>
  <si>
    <t>FRESH-WATER CLAMS; OXIDATIVE STRESS; ACUTE TOXICITY; DNA-REPAIR; NMR; COPPER; MODEL; METALLOTHIONEIN; MECHANISM; POLLUTION</t>
  </si>
  <si>
    <t>Heavy metals are common marine and soil pollutants that are mainly the result of industrial activity, and are a threat to the environment and human health. In this study, H-1 nuclear magnetic resonance (NMR)-based metabolomics was applied to adult Danio rerio to monitor the metabolic change as a response to ZnCl2 and CdCl2 exposure at different concentrations for 72 h. NMR spectroscopy was used to identify and quantify the metabolites extracted from D. rerio. The metabolite profiles of the control and heavy metal exposed group were classified by partial least squares - discriminant analysis (PLS-DA) analysis, and potential contaminant-specific biomarkers were suggested. For the ZnCl2-exposed zebrafish, the levels of ATP, aspartate and NAD(+) were increased, whereas the levels of formate, inosine, hypoxanthine and succinate decreased. In addition, the CdCl2-exposed zebrafish showed an increase in the levels of ATP and formate and a decrease in the levels of glutamate, inosine and glutathione. Overall, Zn and Cd may lead to neurotoxicity, disturbances in the energy metabolism and oxidative stress. Our finding demonstrated that the application of NMR-based metabolomics might be useful for detecting the toxicity caused by sub-lethal concentrations of heavy metal contaminants in the environment.</t>
  </si>
  <si>
    <t>[Yoon, Dahye; Lee, Minji; Yoon, Changshin; Kim, Suhkmann] Pusan Natl Univ, Ctr Proteome Biophys, Dept Chem, Busan, South Korea; [Yoon, Dahye; Lee, Minji; Yoon, Changshin; Kim, Suhkmann] Pusan Natl Univ, Chem Inst Funct Mat, Busan, South Korea; [Kim, Siwon] Natl Forens Serv Busan Inst, Yangsan Si, South Korea</t>
  </si>
  <si>
    <t>Pusan National University; Pusan National University; National Forensic Service</t>
  </si>
  <si>
    <t>Kim, S (corresponding author), Pusan Natl Univ, Ctr Proteome Biophys, Dept Chem, Busan, South Korea.;Kim, S (corresponding author), Pusan Natl Univ, Chem Inst Funct Mat, Busan, South Korea.</t>
  </si>
  <si>
    <t>suhkmann@pusan.ac.kr</t>
  </si>
  <si>
    <t>National Research Foundation of Korea (NRF) - Ministry of Education, Science and Technology [2011-0008894]; National Research Foundation of Korea (NRF) - Ministry of Oceans and Fisheries [20150242]</t>
  </si>
  <si>
    <t>National Research Foundation of Korea (NRF) - Ministry of Education, Science and Technology(Ministry of Education, Science &amp; Technology (MEST), Republic of KoreaNational Research Foundation of Korea); National Research Foundation of Korea (NRF) - Ministry of Oceans and Fisheries</t>
  </si>
  <si>
    <t>This study was supported by Basic Science Research Program through the National Research Foundation of Korea (NRF) funded by the Ministry of Education, Science and Technology (2011-0008894)/Ministry of Oceans and Fisheries (20150242).</t>
  </si>
  <si>
    <t>TAYLOR &amp; FRANCIS LTD</t>
  </si>
  <si>
    <t>ABINGDON</t>
  </si>
  <si>
    <t>2-4 PARK SQUARE, MILTON PARK, ABINGDON OR14 4RN, OXON, ENGLAND</t>
  </si>
  <si>
    <t>0275-7540</t>
  </si>
  <si>
    <t>1029-0370</t>
  </si>
  <si>
    <t>CHEM ECOL</t>
  </si>
  <si>
    <t>Chem. Ecol.</t>
  </si>
  <si>
    <t>FEB 7</t>
  </si>
  <si>
    <t>10.1080/02757540.2015.1125891</t>
  </si>
  <si>
    <t>Biochemistry &amp; Molecular Biology; Ecology; Environmental Sciences</t>
  </si>
  <si>
    <t>Biochemistry &amp; Molecular Biology; Environmental Sciences &amp; Ecology</t>
  </si>
  <si>
    <t>DE4WO</t>
  </si>
  <si>
    <t>WOS:000370631500003</t>
  </si>
  <si>
    <t>Wayland, M; Alisauskas, RT; Kellett, D; Traylor, J; Swoboda, C; Neugebauer, E; Mehl, K</t>
  </si>
  <si>
    <t>Wayland, M.; Alisauskas, R. T.; Kellett, D.; Traylor, J.; Swoboda, C.; Neugebauer, E.; Mehl, K.</t>
  </si>
  <si>
    <t>Year-to-year correlations in blood metal levels among individuals of two species of North American sea ducks</t>
  </si>
  <si>
    <t>sea duck; metals; cadmium; lead; selenium</t>
  </si>
  <si>
    <t>COMMON EIDER DUCKS; SAN-FRANCISCO-BAY; KING EIDERS; TRACE-ELEMENTS; ENVIRONMENTAL CONTAMINANTS; MUSSEL MYTILUS; HEAVY-METALS; ST-LAWRENCE; WHOLE-BLOOD; CADMIUM</t>
  </si>
  <si>
    <t>Sea duck populations have declined in North America. Contaminants, especially metals, have been listed as possible contributing factors. Sea ducks are long-lived. Thus, individuals chronically exposed to elevated metal levels may be at greatest risk. Information about long-term exposure (&gt;= 1 year) of individuals to metals is absent. To address this information gap, we examined year-to-year correlations among individual White-Winged Scoters and King Eiders in levels of blood cadmium, lead, mercury and selenium. Positive correlations (r &gt;= 0.43), were found in six, five, five and two of seven correlations for cadmium, selenium, lead and mercury. Thus, certain individuals of these species may be exposed over two or more years to higher levels of cadmium, selenium and lead (but apparently not mercury) than other individuals. Single blood samples are appropriate metrics of exposure for studies that examine long-term effects of certain metals on these birds.</t>
  </si>
  <si>
    <t>[Wayland, M.; Alisauskas, R. T.; Kellett, D.] Environm Canada, Saskatoon, SK S7N 0X4, Canada; [Alisauskas, R. T.; Traylor, J.; Swoboda, C.; Mehl, K.] Univ Saskatchewan, Dept Biol, Saskatoon, SK S7N 5E2, Canada; [Neugebauer, E.] Natl Wildlife Res Ctr, Ottawa, ON K1S 5B6, Canada</t>
  </si>
  <si>
    <t>Environment &amp; Climate Change Canada; University of Saskatchewan; Environment &amp; Climate Change Canada; Canadian Wildlife Service; National Wildlife Research Centre - Canada</t>
  </si>
  <si>
    <t>Wayland, M (corresponding author), Environm Canada, 115 Perimeter Rd, Saskatoon, SK S7N 0X4, Canada.</t>
  </si>
  <si>
    <t>mark.wayland@ec.gc.ca</t>
  </si>
  <si>
    <t>Alisauskas, Ray/0000-0003-1983-020X</t>
  </si>
  <si>
    <t>10.1016/j.envpol.2007.01.025</t>
  </si>
  <si>
    <t>247EU</t>
  </si>
  <si>
    <t>WOS:000252061000006</t>
  </si>
  <si>
    <t>Amoozadeh, E; Malek, M; Rashidinejad, R; Nabavi, S; Karbassi, M; Ghayoumi, R; Ghorbanzadeh-Zafarani, G; Salehi, H; Sures, B</t>
  </si>
  <si>
    <t>Amoozadeh, E.; Malek, M.; Rashidinejad, R.; Nabavi, S.; Karbassi, M.; Ghayoumi, R.; Ghorbanzadeh-Zafarani, G.; Salehi, H.; Sures, B.</t>
  </si>
  <si>
    <t>Marine organisms as heavy metal bioindicators in the Persian Gulf and the Gulf of Oman</t>
  </si>
  <si>
    <t>Cadmium; Lead; Persian Gulf; Gulf of Oman; Marine organisms; Bioindicators</t>
  </si>
  <si>
    <t>POLYCHAETE NEREIS-DIVERSICOLOR; MICROWAVE-ASSISTED DIGESTION; CIRRIPEDIA-THORACICA; TRACE-ELEMENTS; BIOMONITORS; BARNACLES; BINDING; LEAD; CONTAMINATION; ADAPTATION</t>
  </si>
  <si>
    <t>In the present study, cadmium and lead concentrations were compared in barnacles, ghost shrimps, polychaetes, bivalves, and sediment from ten different locations along the intertidal zone of the Persian Gulf and the Gulf of Oman. The results revealed significant differences in the heavy metal concentrations between the organisms with barnacles showing, by far, the highest metal concentrations. The bioaccumulation factor of Cd in different animals follows this pattern with barnacles &gt; bivalves &gt; polychaetes &gt; ghost shrimps, while the pattern for Pb was barnacles &gt; polychaetes &gt; bivalves &gt; ghost shrimps. In most of the stations, sediments showed the lowest lead and cadmium concentrations. Therefore, it is concluded that barnacles with Pb concentrations between 0.17 and 2,016.1 mu g/g and Cd concentrations ranging from 0.4 to 147.1 mu g/g are the best organisms to be employed in monitoring programs designed to assess pollution with bioavailable metals in the Persian Gulf and the Gulf of Oman.</t>
  </si>
  <si>
    <t>[Amoozadeh, E.; Malek, M.; Rashidinejad, R.; Salehi, H.] Univ Tehran, Coll Sci, Sch Biol, Tehran, Iran; [Amoozadeh, E.; Malek, M.; Rashidinejad, R.; Salehi, H.] Univ Tehran, Coll Sci, Ctr Excellence Phylogeny Living Organisms, Tehran, Iran; [Nabavi, S.] Univ Marine Sci &amp; Technol, Dept Marine Biol, Khoramshahr, Iran; [Karbassi, M.; Ghayoumi, R.; Ghorbanzadeh-Zafarani, G.] Dept Environm, Marine Div, Tehran, Iran; [Sures, B.] Univ Duisburg, Dept Aquat Ecol, Essen, Germany; [Sures, B.] Univ Duisburg, Ctr Water &amp; Environm Res ZWU, Essen, Germany</t>
  </si>
  <si>
    <t>University of Tehran; University of Tehran; University of Duisburg Essen; University of Duisburg Essen</t>
  </si>
  <si>
    <t>Malek, M (corresponding author), Univ Tehran, Coll Sci, Sch Biol, Enghelab Ave, Tehran, Iran.</t>
  </si>
  <si>
    <t>mmalek@khayam.ut.ac.ir</t>
  </si>
  <si>
    <t>Malek, Masoumeh/AAG-3851-2020; Sures, Bernd/B-6652-2013; Karbassi, Abdolreza/H-6332-2016</t>
  </si>
  <si>
    <t>Sures, Bernd/0000-0001-6865-6186; Ghorbanzadeh Zafarani, seyed Ghasem/0000-0001-9791-8827; Karbassi, Abdolreza/0000-0002-9408-908X</t>
  </si>
  <si>
    <t>Department of Environment of Iran; University of Tehran</t>
  </si>
  <si>
    <t>Department of Environment of Iran; University of Tehran(University of Tehran)</t>
  </si>
  <si>
    <t>The authors would like to thank the Department of Environment of Iran and the University of Tehran for financial support and Mr. Abbas Kazemi for his help during the specimen collections.</t>
  </si>
  <si>
    <t>10.1007/s11356-013-1890-8</t>
  </si>
  <si>
    <t>AA3CL</t>
  </si>
  <si>
    <t>WOS:000330970400075</t>
  </si>
  <si>
    <t>Waykar, B; Deshmukh, G</t>
  </si>
  <si>
    <t>Waykar, Bhalchandra; Deshmukh, Gajanan</t>
  </si>
  <si>
    <t>Evaluation of Bivalves as Bioindicators of Metal Pollution in Freshwater</t>
  </si>
  <si>
    <t>Bivalve; Metal concentration; Body burden; Bioindicator</t>
  </si>
  <si>
    <t>CRASSOSTREA-GIGAS; HEAVY-METALS; MUSSELS</t>
  </si>
  <si>
    <t>The fresh water bivalves, Lamellidens corrianus, Lamellidens marginalis, and Indonaia caeruleus were exposed to chronic concentration of arsenic (0.1719 ppm), cadmium (0.1284 ppm), copper (0.033 ppm), lead (1.50 ppm), mercury (0.0443 ppm) and zinc (1.858 ppm) separately up to 30 days in laboratory. Dry weight of each animal was used to calculate metal concentrations (mu g/g) and the metal body burden (mu g/individual). It was observed that lead (1235.4 mu g/g) and arsenic (37.9 mu g/g) concentration were highest in Lamellidens corrianus, zinc (3,032.3 mu g/g) was highest in Lamellidens marginalis, while mercury (5.87 mu g/g), cadmium (142 mu g/g) and copper (826.7 mu g/g) was highest in Indonaia caeruleus.</t>
  </si>
  <si>
    <t>[Waykar, Bhalchandra; Deshmukh, Gajanan] Dr Babasaheb Ambedkar Marathwada Univ, Dept Zool, Aurangabad 431004, Maharashtra, India</t>
  </si>
  <si>
    <t>Deshmukh, G (corresponding author), Dr Babasaheb Ambedkar Marathwada Univ, Dept Zool, Aurangabad 431004, Maharashtra, India.</t>
  </si>
  <si>
    <t>bbwaykar@gmail.com; gmdeshmukh16@gmail.com</t>
  </si>
  <si>
    <t>University Grants Commission</t>
  </si>
  <si>
    <t>University Grants Commission(University Grants Commission, India)</t>
  </si>
  <si>
    <t>Financial assistance from University Grants Commission is appreciatively acknowledged.</t>
  </si>
  <si>
    <t>10.1007/s00128-011-0447-0</t>
  </si>
  <si>
    <t>879KN</t>
  </si>
  <si>
    <t>WOS:000299328200010</t>
  </si>
  <si>
    <t>Liu, Y; Du, C; Lin, CW; Gao, XM; Zhu, JQ; Zhang, CD</t>
  </si>
  <si>
    <t>Liu, Yang; Du, Chen; Lin, Chenwen; Gao, Xinming; Zhu, Junquan; Zhang, Chundan</t>
  </si>
  <si>
    <t>Characterization of Copper/Zinc Superoxide Dismutase Activity on Phascolosoma esculenta (Sipuncula: Phascolosomatidea) and Its Protection from Oxidative Stress Induced by Cadmium</t>
  </si>
  <si>
    <t>INTERNATIONAL JOURNAL OF MOLECULAR SCIENCES</t>
  </si>
  <si>
    <t>Phascolosoma esculenta; bioindicator; detoxification; Cu; Zn SOD</t>
  </si>
  <si>
    <t>MESSENGER-RNA EXPRESSION; ANTIOXIDANT ENZYMES; MOLECULAR CHARACTERIZATION; ENZYMATIC-ACTIVITY; RAT-LIVER; SOD GENE; RESPONSES; ZINC; CLAM; CLONING</t>
  </si>
  <si>
    <t>Phascolosoma esculenta, an economically important species inhabiting the high tide areas of the intertidal zone, is particularly sensitive to water pollution. Considering its potential as a bioindicator, studies on the ecotoxicology of P. esculenta are imperative. The toxic effects of cadmium (Cd) were analyzed by exposing P. esculenta to different concentrations of Cd (6, 24, 96 mg/L). In this study, the changes in the antioxidative indexes of total superoxide dismutase (T-SOD), glutathione s-transferase (GST), reduced glutathione (GSH), and microscale malondialdehyde (MDA) were recorded. Copper/zinc superoxide dismutase (Cu/Zn SOD) is one of the most important free radical scavenging members. To reveal the antioxidative function of P. esculenta, an important member of the antioxidative system, designated Pe-Cu/Zn SOD, was cloned and analyzed. Phylogenic analysis revealed that Pe-Cu/Zn SOD was located in the invertebrate evolutionary branch of intracellular Cu/Zn SOD (icCu/Zn SOD). The quantitative real-time polymerase chain reaction results showed that Pe-Cu/Zn SOD messenger ribonucleic acid was widely expressed in all tissues examined. The highest expression levels in coelomic fluid after Cd exposure indicated its function in the stress response. Using a prokaryotic expression system, we obtained a Pe-Cu/Zn SOD recombinant protein, which enhanced the heavy metal tolerance of Escherichia coli. In vivo assays also confirmed that the Pe-Cu/Zn SOD recombinant protein had an antioxidative and free radical scavenging ability. A Cd toxicity experiment, in which purified Pe-Cu/Zn SOD protein was injected into the body cavities of P. esculenta, showed that the reactive oxygen species content in the coelomic fluid of the experimental group was significantly lower compared with the control group. These results suggest that Pe-Cu/Zn SOD played a role in Cd detoxification by chelating heavy metal ions and scavenging reactive oxygen free radicals, and that P. esculenta could be used as a bioindicator to evaluate heavy metal pollution.</t>
  </si>
  <si>
    <t>[Liu, Yang; Du, Chen; Lin, Chenwen; Gao, Xinming; Zhu, Junquan; Zhang, Chundan] Ningbo Univ, Sch Marine Sci, Key Lab Appl Marine Biotechnol, Minist Educ, Ningbo 315211, Peoples R China</t>
  </si>
  <si>
    <t>Ningbo University</t>
  </si>
  <si>
    <t>Zhu, JQ (corresponding author), Ningbo Univ, Sch Marine Sci, Key Lab Appl Marine Biotechnol, Minist Educ, Ningbo 315211, Peoples R China.</t>
  </si>
  <si>
    <t>zhujunquan@nbu.edu.cn</t>
  </si>
  <si>
    <t>Ningbo Science and Technology Plan Projects [2019B10016, 2016C10004]; Major Science and Technology Projects in Zhejiang Province [2011C12013]; Natural Science Foundation of Zhejiang Province [LY18C190007]; National Natural Science Foundation of China [31272642]; Collaborative Innovation Center for Zhejiang Marine High-efficiency and Healthy Aquaculture; K.C. Wong Magna Fund in Ningbo University</t>
  </si>
  <si>
    <t>Ningbo Science and Technology Plan Projects; Major Science and Technology Projects in Zhejiang Province; Natural Science Foundation of Zhejiang Province(Natural Science Foundation of Zhejiang Province); National Natural Science Foundation of China(National Natural Science Foundation of China (NSFC)); Collaborative Innovation Center for Zhejiang Marine High-efficiency and Healthy Aquaculture; K.C. Wong Magna Fund in Ningbo University</t>
  </si>
  <si>
    <t>The authors are grateful to all members of the Fish Histology Laboratory in Ningbo University for providing direct assistance and constructive discussion for this research. This project was supported by the Ningbo Science and Technology Plan Projects (2019B10016, 2016C10004): the Major Science and Technology Projects in Zhejiang Province (2011C12013): Natural Science Foundation of Zhejiang Province (LY18C190007): National Natural Science Foundation of China (No. 31272642): and the Collaborative Innovation Center for Zhejiang Marine High-efficiency and Healthy Aquaculture, and Sponsored K.C. Wong Magna Fund in Ningbo University.</t>
  </si>
  <si>
    <t>1422-0067</t>
  </si>
  <si>
    <t>INT J MOL SCI</t>
  </si>
  <si>
    <t>Int. J. Mol. Sci.</t>
  </si>
  <si>
    <t>10.3390/ijms232012136</t>
  </si>
  <si>
    <t>Biochemistry &amp; Molecular Biology; Chemistry, Multidisciplinary</t>
  </si>
  <si>
    <t>Biochemistry &amp; Molecular Biology; Chemistry</t>
  </si>
  <si>
    <t>5S5YQ</t>
  </si>
  <si>
    <t>Green Published, gold</t>
  </si>
  <si>
    <t>WOS:000875265500001</t>
  </si>
  <si>
    <t>Elia, AC; Magara, G; Pastorino, P; Zaccaroni, A; Caldaroni, B; Andreini, R; Righetti, M; Silvi, M; Dorr, AJM; Prearo, M</t>
  </si>
  <si>
    <t>Elia, Antonia Concetta; Magara, Gabriele; Pastorino, Paolo; Zaccaroni, Annalisa; Caldaroni, Barbara; Andreini, Rebecca; Righetti, Marzia; Silvi, Marina; Dorr, Ambrosius Josef Martin; Prearo, Marino</t>
  </si>
  <si>
    <t>Ecotoxicity in Hyriopsis bialatus of copper and zinc biocides used in metal-based antifouling paints</t>
  </si>
  <si>
    <t>Cuprous chloride; Ecotoxicity; Oxidative stress biomarkers; Pearl mussel; Tissues; Zinc sulfate</t>
  </si>
  <si>
    <t>INTEGRATED BIOMARKER RESPONSE; OXIDATIVE STRESS; HEAVY-METALS; MYTILUS-GALLOPROVINCIALIS; GLUTATHIONE METABOLISM; ANTIOXIDANT ENZYMES; ENVIRONMENTAL RISK; HUMAN EXPOSURE; MUSSEL; TOXICITY</t>
  </si>
  <si>
    <t>Biofouling is a costly burden for the shipping industry. Metal-based antifouling paints are widely used to protect submerged surfaces, but the release of metals from coatings and the recoating of hulls can leach large amounts of copper and zinc into aquatic environments, posing a risk for aquatic ecosystems and biodiversity. With this study, we studied the time-course metal accumulation and oxidative stress in the digestive gland and the gills of Hyriopsis bialatus, an Asian freshwater mussel, exposed to sublethal concentrations of cuprous chloride (50 and 5 mu g/L) and zinc sulfate (1000 and 100 mu g/L). Time-dependent accumulation was observed after exposure to copper, but zinc uptake was negligible. Integrated biomarker response (IBRv2) and statistical analysis of individual biomarker levels showed a greater biomarker response in the digestive gland and the gills after exposure to the higher concentration of CuCl and ZnSO4. Both compounds elicited a biochemical response, especially in the digestive gland. Glutathione peroxidase activity was increased after exposure to both metals at both concentrations, suggesting a powerful defense against lipid peroxidation. The biological impact of zinc was less than that of copper, suggesting mitigated ecological pressure.</t>
  </si>
  <si>
    <t>[Elia, Antonia Concetta; Magara, Gabriele; Caldaroni, Barbara; Dorr, Ambrosius Josef Martin] Univ Perugia, Dept Chem Biol &amp; Biotechnol, Perugia, Italy; [Pastorino, Paolo; Righetti, Marzia; Prearo, Marino] Liguria &amp; Aosta Valley, Vet Med Res Inst Piedmont, Turin, Italy; [Zaccaroni, Annalisa; Andreini, Rebecca; Silvi, Marina] Univ Bologna, Dept Vet Med Sci, Cesenatico, Italy</t>
  </si>
  <si>
    <t>University of Perugia; University of Bologna</t>
  </si>
  <si>
    <t>Pastorino, P (corresponding author), Liguria &amp; Aosta Valley, Vet Med Res Inst Piedmont, Turin, Italy.</t>
  </si>
  <si>
    <t>paolo.pastorino@izsto.it</t>
  </si>
  <si>
    <t>Zaccaroni, Annalisa/AAB-3205-2020; Pastorino, Paolo/T-5288-2019; Prearo, Marino/AAF-3369-2021; Elia, Antonia/F-4646-2014; Doerr, Ambrosius/G-9915-2014</t>
  </si>
  <si>
    <t>Pastorino, Paolo/0000-0002-0585-1168; Zaccaroni, Annalisa/0000-0002-7985-2972</t>
  </si>
  <si>
    <t>10.1007/s11356-021-17069-2</t>
  </si>
  <si>
    <t>OCT 2021</t>
  </si>
  <si>
    <t>ZJ1XI</t>
  </si>
  <si>
    <t>WOS:000710610700007</t>
  </si>
  <si>
    <t>Wang, WX; Yang, YB; Guo, XY; He, M; Guo, F; Ke, CH</t>
  </si>
  <si>
    <t>Wang, Wen-Xiong; Yang, Yubo; Guo, Xiaoyu; He, Mei; Guo, Feng; Ke, Caihuan</t>
  </si>
  <si>
    <t>COPPER AND ZINC CONTAMINATION IN OYSTERS: SUBCELLULAR DISTRIBUTION AND DETOXIFICATION</t>
  </si>
  <si>
    <t>Oysters; Estuary; Copper; Zinc; Subcellular partitioning</t>
  </si>
  <si>
    <t>TRACE-METAL CONCENTRATIONS; MUSSEL PERNA-VIRIDIS; CRASSOSTREA-GIGAS; GREEN OYSTERS; HEAVY-METALS; ACCUMULATION; SEDIMENTS; CADMIUM; TAIWAN; ZN</t>
  </si>
  <si>
    <t>Metal pollution levels in estuarine and coastal environments have been widely reported, but few documented reports exist of severe contamination in specific environments. Here, we report on a metal-contaminated estuary in Fujian Province, China, in which blue oysters (Crassostrea hongkongensis) and green oysters (Crassostrea angulata) were discovered to be contaminated with Cu and other metals. Extraordinarily high metal concentrations were found in the oysters collected from the estuary. Comparison with historical data suggests that the estuary has recently been contaminated with Cr, Cu, Ni, and Zn. Metal concentrations in blue oysters were as high as 1.4 and 2.4% of whole-body tissue dry wt for Cu and Zn, respectively. Cellular debris was the main subcellular fraction binding the metals, but metal-rich granules were important for Cr, Ni, and Pb. With increasing Cu accumulation, its partitioning into the cytosolic proteins decreased. In contrast, metallothionein-like proteins increased their importance in binding with Zn as tissue concentrations of Zn increased. In the most severely contaminated oysters, only a negligible fraction of their Cu and Zn was bound with the metal-sensitive fraction, which may explain the survival of oysters in such contaminated environments. Environ. Toxicol. Chem. 2011;30:1767-1774. (C) 2011 SETAC</t>
  </si>
  <si>
    <t>[Wang, Wen-Xiong; Yang, Yubo; Guo, Xiaoyu; He, Mei; Guo, Feng; Ke, Caihuan] Xiamen Univ, State Key Lab Marine Environm Sci, Xiamen, Peoples R China</t>
  </si>
  <si>
    <t>Xiamen University</t>
  </si>
  <si>
    <t>Wang, WX (corresponding author), Xiamen Univ, State Key Lab Marine Environm Sci, Xiamen, Peoples R China.</t>
  </si>
  <si>
    <t>Ke, CH/G-4635-2010; Wang, Wenxiong/E-7254-2011</t>
  </si>
  <si>
    <t>Wang, Wenxiong/0000-0001-9033-0158</t>
  </si>
  <si>
    <t>Program for Changjiang Scholars and Innovative Research Team in University (PCSIRT) [IRT0941]</t>
  </si>
  <si>
    <t>Program for Changjiang Scholars and Innovative Research Team in University (PCSIRT)(Program for Changjiang Scholars &amp; Innovative Research Team in University (PCSIRT))</t>
  </si>
  <si>
    <t>We thank Pan Ke for help in the metal analysis of the sediment samples, and anonymous reviewers for their comments. This study was supported by the Program for Changjiang Scholars and Innovative Research Team in University (PCSIRT, IRT0941).</t>
  </si>
  <si>
    <t>10.1002/etc.571</t>
  </si>
  <si>
    <t>796OH</t>
  </si>
  <si>
    <t>WOS:000293060900006</t>
  </si>
  <si>
    <t>Dauwe, T; Snoeijs, T; Bervoets, L; Blust, R; Eens, M</t>
  </si>
  <si>
    <t>Dauwe, Tom; Snoeijs, Tinne; Bervoets, Lieven; Blust, Ronny; Eens, Marcel</t>
  </si>
  <si>
    <t>Calcium availability influences lead accumulation in a passerine bird</t>
  </si>
  <si>
    <t>ANIMAL BIOLOGY</t>
  </si>
  <si>
    <t>acidification; dietary calcium; lead accumulation; zebra finch</t>
  </si>
  <si>
    <t>FINCH TAENIOPYGIA-GUTTATA; DIETARY CALCIUM; METAL CONCENTRATIONS; EGG-PRODUCTION; SUCKLING RATS; CADMIUM; ABSORPTION; TOXICITY; SUPPLEMENTATION; ACIDIFICATION</t>
  </si>
  <si>
    <t>The emission of heavy metals in the environment is often accompanied by emissions of acidifying pollutants. The acidification of terrestrial ecosystems results in the leaching of calcium and consequently a lowered concentration or availability of this essential nutrient in the environment. Calcium deficiency in the diet may lead to an increased absorption of toxic metals. In this study we investigated the effect of calcium availability on the accumulation of lead and essential metals (calcium, copper, iron and zinc) in important target tissues of zebra finches (Taeniopygia guttata). When exposed to 20 ppm lead via drinking water, zebra finches excluded from an additional calcium supply (i.e. oyster shell grit) accumulated significantly higher concentrations of lead in liver, kidney, muscle, brain and bone than zebra finches with access to oyster shell grit. Levels of calcium, copper, iron and zinc were not significantly affected by either the calcium availability or the increased absorption of lead. There were no significant sex related differences, suggesting that males and females have a similar demand, metabolism and/or distribution of calcium and other metals in the non-reproductive period. This study clearly illustrates the importance of calcium supply on the bioavailability of lead.</t>
  </si>
  <si>
    <t>Univ Antwerp, Dept Biol, B-2610 Antwerp, Belgium; Univ Antwerp, Dept Biol, B-2020 Antwerp, Belgium</t>
  </si>
  <si>
    <t>University of Antwerp; University of Antwerp</t>
  </si>
  <si>
    <t>Dauwe, T (corresponding author), Univ Antwerp, Dept Biol, Campus Drue Eiken,Univ Pl 1, B-2610 Antwerp, Belgium.</t>
  </si>
  <si>
    <t>tom.dauwe@ua.ac.be</t>
  </si>
  <si>
    <t>Bervoets, Lieven/E-5012-2015; Eens, Marcel/AAC-8466-2020</t>
  </si>
  <si>
    <t>Dauwe, Tom/0000-0002-0073-8385</t>
  </si>
  <si>
    <t>BRILL ACADEMIC PUBLISHERS</t>
  </si>
  <si>
    <t>LEIDEN</t>
  </si>
  <si>
    <t>PLANTIJNSTRAAT 2, P O BOX 9000, 2300 PA LEIDEN, NETHERLANDS</t>
  </si>
  <si>
    <t>1570-7555</t>
  </si>
  <si>
    <t>ANIM BIOL</t>
  </si>
  <si>
    <t>Anim. Biol.</t>
  </si>
  <si>
    <t>10.1163/157075606778441822</t>
  </si>
  <si>
    <t>Zoology</t>
  </si>
  <si>
    <t>102EY</t>
  </si>
  <si>
    <t>WOS:000241795000002</t>
  </si>
  <si>
    <t>Valdelamar-Villegas, J; Olivero-Verbel, J</t>
  </si>
  <si>
    <t>Valdelamar-Villegas, Juan; Olivero-Verbel, Jesus</t>
  </si>
  <si>
    <t>Bioecological Aspects and Heavy Metal Contamination of the Mollusk Donax denticulatus in the Colombian Caribbean Coastline</t>
  </si>
  <si>
    <t>Lead; Cadmium; Mercury; Beaches; Tourism</t>
  </si>
  <si>
    <t>CARTAGENA BAY; BIVALVES; BIOACCUMULATION; BEACH; BIOINDICATOR; ENVIRONMENT; POLLUTION; DONACIDAE; SEDIMENT; HYPOXIA</t>
  </si>
  <si>
    <t>Donax denticulatus is a key mollusk for the ecology of sandy beaches, serving as a controller of organic matter, microorganisms, and as bioindicator of heavy metals pollution. The goal of this study was to characterize some ecological aspects of D. denticulatus and its relationship with the content of heavy metals in their tissue, in three beaches of the Caribbean coast of Colombia. The results showed the study populations were different in terms of morphological characteristics and density (Berrugas-Sucre &lt; Cartagena-Bolivar &lt; Riohacha-Guajira), but not in sexual proportion; although density was clearly related to beach occupancy by tourists. Analysis of metals revealed tissue concentrations varied depending on the location (Greater means: Hg = 0.018 +/- 0.004 in Riohacha; Pb = 0.110 +/- 0.060 in Berrugas and Cd = 0.040 +/- 0.010 A mu g/g in Cartagena). No relationships were found between morphometric variables and heavy metals content. Principal components analysis highlighted Riohacha for presenting differences respecting to Bocagrande and Berrugas in terms of physicochemical water parameters such as pH, temperature, salinity, dissolved oxygen and conductivity. Results suggest tourism rather than environmental pollution could be a sensitive factor for biota survival in Caribbean beaches.</t>
  </si>
  <si>
    <t>[Valdelamar-Villegas, Juan; Olivero-Verbel, Jesus] Univ Cartagena, Sch Pharmaceut Sci, Environm &amp; Computat Chem Grp, Zaragocilla Campus, Cartagena 130015, Colombia</t>
  </si>
  <si>
    <t>Universidad de Cartagena</t>
  </si>
  <si>
    <t>Olivero-Verbel, J (corresponding author), Univ Cartagena, Sch Pharmaceut Sci, Environm &amp; Computat Chem Grp, Zaragocilla Campus, Cartagena 130015, Colombia.</t>
  </si>
  <si>
    <t>joliverov@unicartagena.edu.co</t>
  </si>
  <si>
    <t>Valdelamar-Villegas, Juan-Carlos/0000-0001-5658-2431</t>
  </si>
  <si>
    <t>10.1007/s00128-017-2203-6</t>
  </si>
  <si>
    <t>FV3CF</t>
  </si>
  <si>
    <t>WOS:000424444800008</t>
  </si>
  <si>
    <t>Salvat-Leal, I; Verdiell, D; Parrondo, P; Barcala, E; Romero, D</t>
  </si>
  <si>
    <t>Salvat-Leal, Inmaculada; Verdiell, David; Parrondo, Paz; Barcala, Elena; Romero, Diego</t>
  </si>
  <si>
    <t>Assessing lead and cadmium pollution at the mouth of the river Segura (SE Spain) using the invasive blue crab (Callinectes sapidus Rathbun, 1896, Crustacea, Decapoda, Portunidae) as a bioindicator organism</t>
  </si>
  <si>
    <t>Blue crab; Cadmium; Lead; River Segura</t>
  </si>
  <si>
    <t>AGRICULTURAL SOILS; ANGUILLA-ANGUILLA; HEAVY-METALS; TRACE-METALS; SUBCELLULAR COMPARTMENTALIZATION; MUGIL-CEPHALUS; MERSIN BAY; 2 BIVALVES; WATER; CONTAMINATION</t>
  </si>
  <si>
    <t>The aim of this study was to evaluate Cd and Pb concentrations in the hepatopancreas, gills, muscle tissue and carapace of the crab Callinectes sapidus and in sediments from the mouth of the river Segura (SE Spain), an area that has undergone great anthropogenic change in recent decades. Lead concentrations were higher than Cd concentrations in the hepatopancreas, gills and muscles; no statistical differences were found between the sexes. Cadmium and Pb concentrations in sediments did not exceed the probable effect level in guidelines for the protection of aquatic life. The Biological Sediments Accumulation Factor (BSAF) was higher for Cd than Pb in the hepatopancreas, gills and carapace. For Cd, the hepatopancreas had the highest BSAF of all tissues, followed by gills. As well, the hepatopancreas had the highest Individual Mean Bioaccumulation Index (IMBI). The hepatopancreas and gills of the blue crab could thus be useful tissues for practical field monitoring of metal contamination in this ecosystem. (C) 2020 Published by Elsevier B.V.</t>
  </si>
  <si>
    <t>[Salvat-Leal, Inmaculada; Romero, Diego] Univ Murcia, Fac Vet, Area Toxicol, Campus Reg Excelencia Int Campus Mare Nostrum, E-30071 Murcia, Spain; [Verdiell, David; Parrondo, Paz] Assoc Columbares, C Adrian Viudes 9, Murcia 30570, Spain; [Barcala, Elena] Ctr Oceanog Murcia, Inst Espanol Oceanog, C Varadero 1, E-30740 Murcia, Spain</t>
  </si>
  <si>
    <t>University of Murcia; Spanish Institute of Oceanography</t>
  </si>
  <si>
    <t>Romero, D (corresponding author), Univ Murcia, Fac Vet, Area Toxicol, Campus Reg Excelencia Int Campus Mare Nostrum, E-30071 Murcia, Spain.</t>
  </si>
  <si>
    <t>diegorom@um.es</t>
  </si>
  <si>
    <t>BARCALA, ELENA/ACE-2484-2022; Romero, Diego/F-7187-2016; BARCALA, ELENA/F-6800-2016</t>
  </si>
  <si>
    <t>Romero, Diego/0000-0002-9666-0382; Salvat-Leal, Inmaculada/0000-0002-4092-3585; BARCALA, ELENA/0000-0002-7444-3790</t>
  </si>
  <si>
    <t>Fundacion Seneca (Murcia)</t>
  </si>
  <si>
    <t>Fundacion Seneca (Murcia)(Fundacion Seneca)</t>
  </si>
  <si>
    <t>We would like to thank the Servicio de Pesca y Acuicultura of the Comunidad Autonoma de la Region de Murcia and the Ministerio para la Transicion Ecologica (Spain) for their logistical support for sampling as part of Proyecto Anguila. The authors are grateful to Carmen Hernandez and Gema Riquelme for assistance in the processing of the samples, to Francisco San Nicolas (Centro de Edafologia y Biologia Aplicada del Segura, Consejo Superior de Investigaciones Cientificas, Murcia) for assistance in the sample analysis, and to Pura Marin (Departamento de Quimica Agricola, Geologia y Edafologia, Universidad de Murcia) for the granulometry study. The lead author has received a grant from the Fundacion Seneca (Murcia).</t>
  </si>
  <si>
    <t>10.1016/j.rsma.2020.101521</t>
  </si>
  <si>
    <t>PL8OS</t>
  </si>
  <si>
    <t>WOS:000603374600017</t>
  </si>
  <si>
    <t>Nakamaru, YM; Matsuda, R; Sonoda, T</t>
  </si>
  <si>
    <t>Nakamaru, Yasuo Mitsui; Matsuda, Retsushi; Sonoda, Takeshi</t>
  </si>
  <si>
    <t>Environmental risks of organic fertilizer with increased heavy metals (Cu and Zn) to aquatic ecosystems adjacent to farmland in the northern biosphere of Japan</t>
  </si>
  <si>
    <t>Heavy metal contamination; Leachate; Composted sewage sludge; Copper; Zinc; Distribution coefficient</t>
  </si>
  <si>
    <t>SOILS; BIOAVAILABILITY; POLLUTION; BIVALVE; FOREST; RIVER; ZINC</t>
  </si>
  <si>
    <t>In Abashiri, Hokkaido, northern Japan, composted sewage sludge (CSS) containing a large amount of zinc (Zn) and copper (Cu) is used as fertilizer in agriculture. The local environmental risks of Cu and Zn from such organic fertilizers were studied. The study area, especially the brackish lakes located near the farmlands, is important for inland fisheries. The risks posed by heavy metals to the brackish-water bivalve, Corbicula japonica, was therefore investigated as an ex-ample. First, the long-term effect of CSS application in agricultural fields was monitored. Second, using pot cultivation, factors influencing Cu and Zn availability in the presence of organic fertilizers were evaluated under different scenarios of SOM content. In addition, the mobility and availability of Cu and Zn in organic fertilizers were evaluated in a field experiment. In the pot cultivation, both organic and chemical fertilizers increased the availability of Cu and Zn with a decrease in pH, possibly caused by nitrification. However, this decrease in pH was inhibited by higher SOM content, i.e. SOM mitigated the heavy metal risk from organic fertilizer. In the field experiment, potato (Solanum tuberosum L.) was cultivated using CSS and pig manure (PM). As observed in the pot cultivation, the applied chemical and organic fertilizers increased the soil-soluble and 0.1 N HCl-extractable Zn with increased nitrate. Considering the habitat and the LC50 values of C. japonica that were lower than the concentration of Cu and Zn in the soil solution phase, there is no significant risk from heavy metals in the organic fertilizers. However, the Kd values for Zn were significantly lower for CSS or the PM-applied plot in the field experiment soil, indicating a higher Zn desorption rate from organi-cally fertilized soil particles. The potential risk of heavy metals from agricultural lands under changing climate condi-tions must therefore be monitored carefully.</t>
  </si>
  <si>
    <t>[Nakamaru, Yasuo Mitsui; Sonoda, Takeshi] Tokyo Univ Agr, Fac Bioind, Fuchu, Japan; [Matsuda, Retsushi] Tottori Univ, United Grad Sch Agr Sci, Div Agr Sci, Tottori, Japan</t>
  </si>
  <si>
    <t>Tokyo University of Agriculture; Tottori University</t>
  </si>
  <si>
    <t>Nakamaru, YM (corresponding author), Tokyo Univ Agr, Fac Bioind, Fuchu, Japan.</t>
  </si>
  <si>
    <t>y3nakama@bioindustry.nodai.ac.jp</t>
  </si>
  <si>
    <t>Research Project of the Abashiri Farm of Tokyo University of Agriculture</t>
  </si>
  <si>
    <t>This work was supported by the Research Project of the Abashiri Farm of Tokyo University of Agriculture throughout the study years.</t>
  </si>
  <si>
    <t>AUG 1</t>
  </si>
  <si>
    <t>10.1016/j.scitotenv.2023.163861</t>
  </si>
  <si>
    <t>MAY 2023</t>
  </si>
  <si>
    <t>I2PQ2</t>
  </si>
  <si>
    <t>WOS:001001258600001</t>
  </si>
  <si>
    <t>Banni, M; Dondero, F; Jebali, J; Guerbej, H; Boussetta, H; Viarengo, A</t>
  </si>
  <si>
    <t>Banni, M.; Dondero, F.; Jebali, J.; Guerbej, H.; Boussetta, H.; Viarengo, A.</t>
  </si>
  <si>
    <t>Assessment of heavy metal contamination using real-time PCR analysis of mussel metallothionein mt10 and mt20 expression:: a validation along the Tunisian coast</t>
  </si>
  <si>
    <t>BIOMARKERS</t>
  </si>
  <si>
    <t>biomarker; gene expression; heavy metals; metallothionein; real-time quantitative; PCR; mussels</t>
  </si>
  <si>
    <t>RUDITAPES-DECUSSATUS; LIPID-PEROXIDATION; MYTILUS-GALLOPROVINCIALIS; DIFFERENTIAL EXPRESSION; MESSENGER-RNA; RT-PCR; QUANTIFICATION; GABES; GULF; TRANSCRIPTION</t>
  </si>
  <si>
    <t>In mussel Mytilus galloprovincialis tissues, metallothionein belongs to two different gene classes, mt10 and mt20, showing differential expression at both basal conditions and under heavy metal challenge. In this study, a new more highly sensitive technique, expression analysis of mt10 and mt20 mRNA levels by quantitative reverse transcription polymerase chain reaction, was used to assess the effects of heavy metal contamination in the digestive glands of mussels caged along the Tunisian coast. To validate the new assay, total metallothionein protein, amount of heavy metals (zinc, copper, cadmium), and a biomarker of oxidative stress such as malondialdehyde content, were assessed in the same tissues. At the investigated sites, the molecular assay showed variations of mt20 relative gene expression levels within one or two orders of magnitude, with maximum values at two sites severely polluted with cadmium, Mahres (100-fold) and Menzel Jemile (165-fold). Changes in mt10 expression were recorded at all sites where copper had significantly accumulated, although fold induction levels were less pronounced than those of mt20. In this paper, gene expression data are discussed in relation to the studied biomarkers, demonstrating that the molecular technique based on the differential expression of mt10 and mt20 genes represents (i) a useful and robust tool for studying and monitoring heavy metal pollution under field conditions, and (ii) an improvement in the application of metallothionein as a biomarker of response to exposure to heavy metals in marine mussels.</t>
  </si>
  <si>
    <t>Univ Piemonte Orientale Amedeo Avogadro, Dept Environm &amp; Life Sci, I-15100 Alessandria, Italy; ESH, Lab Biochem &amp; Environm Tox, Sousse, Tunisia; INSTM, Lab Marine Biotechnol, Monastir, Tunisia</t>
  </si>
  <si>
    <t>University of Eastern Piedmont Amedeo Avogadro; Institut National des Sciences et Technologies de la Mer</t>
  </si>
  <si>
    <t>Dondero, F (corresponding author), Univ Piemonte Orientale Amedeo Avogadro, Dept Environm &amp; Life Sci, Via Bellini 25 G, I-15100 Alessandria, Italy.</t>
  </si>
  <si>
    <t>fdondero@unipmn.it</t>
  </si>
  <si>
    <t>Banni, Mohamed/M-2144-2014; Dondero, Francesco/J-1528-2012; jebali, jamel/E-4813-2013</t>
  </si>
  <si>
    <t>Banni, Mohamed/0000-0001-9764-0343; Dondero, Francesco/0000-0001-7945-3712; jebali, jamel/0000-0003-1444-1432; Viarengo, Aldo/0000-0002-1557-6526</t>
  </si>
  <si>
    <t>1354-750X</t>
  </si>
  <si>
    <t>1366-5804</t>
  </si>
  <si>
    <t>Biomarkers</t>
  </si>
  <si>
    <t>10.1080/13547500701217061</t>
  </si>
  <si>
    <t>Biotechnology &amp; Applied Microbiology; Toxicology</t>
  </si>
  <si>
    <t>185SG</t>
  </si>
  <si>
    <t>WOS:000247730100003</t>
  </si>
  <si>
    <t>Peña-Rodríguez, S; Bermúdez-Couso, A; Nóvoa-Muñoz, JC; Arias-Estévez, M; Fernández-Sanjurjo, MJ; Alvarez-Rodríguez, E; Núñez-Delgado, A</t>
  </si>
  <si>
    <t>Pena-Rodriguez, Susana; Bermudez-Couso, Alipio; Carlos Novoa-Munoz, Juan; Arias-Estevez, Manuel; Fernandez-Sanjurjo, Maria J.; Alvarez-Rodriguez, Esperanza; Nunez-Delgado, Avelino</t>
  </si>
  <si>
    <t>Mercury removal using ground and calcined mussel shell</t>
  </si>
  <si>
    <t>JOURNAL OF ENVIRONMENTAL SCIENCES</t>
  </si>
  <si>
    <t>adsorption; desorption; heavy metals pollution; mercury; mollusc shell</t>
  </si>
  <si>
    <t>DISSOLUTION RATES; ARAGONITE; FOREST; WATER; SOIL; CD; METHYLMERCURY; RHIZOSPHERE; DESORPTION; CADMIUM</t>
  </si>
  <si>
    <t>We determined mercury retention on calcined and ground mussel shell, in presence and absence of phosphate, using batch and stirred flow chamber experiments. In batch experiments the calcined shell exhibited higher Hg adsorption, with good fitting to Freundlich equation (R-2: 0.925-0.978); the presence of phosphate increased Hg adsorption; mercury desorption was 13% or lower, diminishing up to 2% under the presence of phosphates. In stirred flow chamber experiments calcined shell retained more Hg than ground shells (6300 vs. 4000-5200 mu mol/kg); Hg retention increased an additional 40% on calcined shell and up to an additional 70% on ground shells when phosphates were present; mercury desorption was quite similar in all shell types (20%-34%), increasing up to 49%-60% in ground shells when phosphates were present. The higher Hg adsorption on calcined shell would be related to its calcite and dolomite concentrations; mercury-phosphate interactions would cause the increase in Hg retention when phosphates are present. Data on Hg desorption suggest that Hg retention was not easily reversible after batch experiments, increasing in the stirred flow chamber due to convective flow. Calcined and ground mussel shells could be recycled removing Hg from water, with the presence of phosphates in solution improving efficacy.</t>
  </si>
  <si>
    <t>[Pena-Rodriguez, Susana; Bermudez-Couso, Alipio; Carlos Novoa-Munoz, Juan; Arias-Estevez, Manuel] Univ Vigo, Fac Ciencias, Dept Biol Vexetal &amp; Ciencia Solo, Area Edafoloxia &amp; Quim Agr, Orense 32004, Spain; [Fernandez-Sanjurjo, Maria J.; Alvarez-Rodriguez, Esperanza; Nunez-Delgado, Avelino] Univ Santiago de Compostela, Dept Edafoloxia &amp; Quim Agr, Escola Politecn Super, Lugo 27002, Spain</t>
  </si>
  <si>
    <t>Universidade de Vigo; Universidade de Santiago de Compostela</t>
  </si>
  <si>
    <t>Núñez-Delgado, A (corresponding author), Univ Santiago de Compostela, Dept Edafoloxia &amp; Quim Agr, Escola Politecn Super, Campus Univ S-N, Lugo 27002, Spain.</t>
  </si>
  <si>
    <t>Fernández-Sanjurjo, María/ABC-6938-2020; Nóvoa-Muñoz, J. C./A-9181-2009; Arias-Estevez, Manuel/M-8629-2016; Alvarez, Esperanza/B-3154-2018; Nunez-Delgado, Avelino/K-3964-2013</t>
  </si>
  <si>
    <t>Arias-Estevez, Manuel/0000-0002-9162-1587; Novoa-Munoz, Juan Carlos/0000-0003-3062-4191; Alvarez, Esperanza/0000-0003-3470-2679; Nunez-Delgado, Avelino/0000-0001-5373-1606; Pena-Rodriguez, Susana/0000-0002-0823-3568; Fernandez-Sanjurjo, Maria J./0000-0001-6728-7147</t>
  </si>
  <si>
    <t>INCITE program of the Galician Council of Innovation and Industry (Spain) [08PXIB383190PR]; University of Vigo (Spain)</t>
  </si>
  <si>
    <t>INCITE program of the Galician Council of Innovation and Industry (Spain); University of Vigo (Spain)</t>
  </si>
  <si>
    <t>This work was funded by the INCITE program of the Galician Council of Innovation and Industry (Spain) (Ref. 08PXIB383190PR). Bermudez-Couso A. is funded by the pre-doctoral programme from the University of Vigo (Spain). Abonomar S. L. (Spain), and Calizamar S. L. (Spain) are acknowledged for kindly supplying mussel shell batches.</t>
  </si>
  <si>
    <t>SCIENCE PRESS</t>
  </si>
  <si>
    <t>16 DONGHUANGCHENGGEN NORTH ST, BEIJING 100717, PEOPLES R CHINA</t>
  </si>
  <si>
    <t>1001-0742</t>
  </si>
  <si>
    <t>1878-7320</t>
  </si>
  <si>
    <t>J ENVIRON SCI</t>
  </si>
  <si>
    <t>J. Environ. Sci.</t>
  </si>
  <si>
    <t>DEC 1</t>
  </si>
  <si>
    <t>10.1016/S1001-0742(12)60320-9</t>
  </si>
  <si>
    <t>266EM</t>
  </si>
  <si>
    <t>WOS:000328006200017</t>
  </si>
  <si>
    <t>Guzmán-García, X; Botello, AV; Martinez-Tabche, L; González-Márquez, H</t>
  </si>
  <si>
    <t>Guzman-Garcia, X.; Botello, A. V.; Martinez-Tabche, L.; Gonzalez-Marquez, H.</t>
  </si>
  <si>
    <t>Effects of heavy metals on the oyster (Crassostrea virginica) at Mandinga Lagoon, Veracruz, Mexico</t>
  </si>
  <si>
    <t>cadmium; chromium; heavy metals; histopathological damage; oyster</t>
  </si>
  <si>
    <t>AMERICAN OYSTER; AQUATIC SEDIMENTS; COASTAL LAGOONS; ACCUMULATION; MARINE; EXTRACTION</t>
  </si>
  <si>
    <t>The Mandinga Lagoon in the Mexican State of Veracruz is an important ecological zone that produces 32% of the oyster output in the state of Veracruz, the main oyster producer in Mexico. Samples of water, sediment, and oysters were collected in 2003 and 2004 to study heavy metal pollution. Metal concentrations were determined in water, soil, and oyster tissues from fresh and detoxified Crassostrea virginica, and histology samples were analyzed. Metal (Cr, Cd, and Pb) concentrations in water were within the Mexican legal limits. The recorded values in sediments corresponded to those not producing biological effects (ERL). In the tissues, the highest concentrations corresponded to Pb, above 5.84 mu gg(-1) dry weight (d.w.); Cd was of 2.23 mu gg(-1) d.w., and Cr above 6 mu gg(-1) d.w. The metal levels detected in oysters exceeded the maximum permissible limits (MPL) for Cd and Pb, and oysters were unable to eliminate the concentrations of the bioaccumulated metals during the detoxification stage. The histopathological analysis revealed lesions in the digestive gland, edema, atrophy of epithelia in the digestive tubules, the presence of brown vesicles, hemocytic reaction, and necrosis. During detoxification, a higher number of epithelia were observed in the tubules, as well as an increase in brown vesicles and hemocytic reaction. Forty seven percent of oysters presented histopathological lesions related to metal concentrations. It is important to monitor metal concentrations, to detect the source of pollution, and to evaluate the effects on organisms to establish culture areas and adequate criteria for the exploitation of such an important fishery resource. Rev. Biol. Trop. 57 (4): 955-962. Epub 2009 December 01.</t>
  </si>
  <si>
    <t>[Guzman-Garcia, X.] UAM I, Lab Ecotoxicol, Hidrobiol Dept, Iztapalapa 09340, Mexico; [Botello, A. V.] Univ Nacl Autonoma Mexico, Inst Ciencias Mar &amp; Limnol, Marine Pollut Lab, Mexico City, DF, Mexico; [Martinez-Tabche, L.] UAM I, Lab Gen Express, Iztapalapa 09340, Mexico; [Gonzalez-Marquez, H.] IPN, ENCB, Dept Pharm, Lab Aquat Toxicol, Mexico City, DF, Mexico</t>
  </si>
  <si>
    <t>Universidad Autonoma Metropolitana - Mexico; Universidad Nacional Autonoma de Mexico; Universidad Autonoma Metropolitana - Mexico; Instituto Politecnico Nacional - Mexico</t>
  </si>
  <si>
    <t>Guzmán-García, X (corresponding author), UAM I, Lab Ecotoxicol, Hidrobiol Dept, Av San Rafael Atlixco 186 Col Vicentina, Iztapalapa 09340, Mexico.</t>
  </si>
  <si>
    <t>xgg@xanun.uam.mx</t>
  </si>
  <si>
    <t>Guzman-Garcia, Xochitl/AAJ-9917-2021; Gonzalez-Marquez, Humberto/T-7830-2018</t>
  </si>
  <si>
    <t>Gonzalez-Marquez, Humberto/0000-0003-3792-9094; Guzman-Garcia, Xochitl/0000-0001-8712-0168; Vazquez Botello, Alfonso/0000-0002-5352-855X</t>
  </si>
  <si>
    <t>524UF</t>
  </si>
  <si>
    <t>WOS:000272168100005</t>
  </si>
  <si>
    <t>Schludermann, C; Konecny, R; Laimgruber, S; Lewis, JW; Schiemer, F; Chovanec, A; Sures, B</t>
  </si>
  <si>
    <t>Fish macroparasites as indicators of heavy metal pollution in river sites in Austria</t>
  </si>
  <si>
    <t>PARASITOLOGY</t>
  </si>
  <si>
    <t>Symposium of the British-Society-of-Parasitology</t>
  </si>
  <si>
    <t>SEP, 2002</t>
  </si>
  <si>
    <t>LONDON, ENGLAND</t>
  </si>
  <si>
    <t>Pomphorhynchus laevis; Barbus barbus; parasites; heavy metals; diversity; bioindication</t>
  </si>
  <si>
    <t>PERCH PERCA-FLUVIATILIS; CHUB LEUCISCUS-CEPHALUS; POMPHORHYNCHUS-LAEVIS PALAEACANTHOCEPHALA; PARATENUISENTIS-AMBIGUUS ACANTHOCEPHALA; LEAD ACCUMULATION; HELMINTH COMMUNITIES; PARASITE COMMUNITIES; ANGUILLA-ANGUILLA; JIHLAVA RIVER; ZEBRA MUSSEL</t>
  </si>
  <si>
    <t>This paper describes two approaches to evaluate the use of fish macroparasites as bioindicators of heavy metal pollution at selected river stretches in Austria. Firstly changes in the diversity and richness of endoparasites of the cyprinid barbel, Barbus barbus (L.), were tested in relation to heavy metal contents in the aquatic system. Secondly, the bioaccumulation potential of cadmium, lead and zinc was assessed in the acanthocephalan, Pomphorhynchus laevis (Muller, 1776), and compared with that in the muscle, liver and intestine of its barbel host. The present results indicated that in order to validate the role of parasite community patterns related to heavy metal pollution, more investigations on food web dynamics, interelationships between parasites and the presence/absence of intermediate hosts will be essential. Heavy metal concentrations differed significantly between the organs of barbel and P. laevis (P=0.001) with levels up to 2860 fold in the parasite. The high level of heavy metal accumulation in P. laevis compared with that in its barbel host, suggests that despite variability in the parasite infrapopulation, host mobility and feeding behaviour, P. laevis is a most sensitive indicator of heavy metals in aquatic ecosystems.</t>
  </si>
  <si>
    <t>Univ Vienna, Inst Okol &amp; Naturschutz, Abt Limnol, A-1090 Vienna, Austria; Univ London Royal Holloway &amp; Bedford New Coll, Egham TW20 0EX, Surrey, England; Umweltbundesamt, A-1090 Vienna, Austria; Univ Karlsruhe, Zool Inst Okol, D-78128 Karlsruhe, Germany</t>
  </si>
  <si>
    <t>University of Vienna; University of London; Royal Holloway University London; Helmholtz Association; Karlsruhe Institute of Technology</t>
  </si>
  <si>
    <t>Univ Vienna, Inst Okol &amp; Naturschutz, Abt Limnol, Althanstr 9, A-1090 Vienna, Austria.</t>
  </si>
  <si>
    <t>christopher.schludermannn@univie.ac.at</t>
  </si>
  <si>
    <t>Sures, Bernd/B-6652-2013</t>
  </si>
  <si>
    <t>Sures, Bernd/0000-0001-6865-6186; Chovanec, Andreas/0000-0001-6006-9198</t>
  </si>
  <si>
    <t>CAMBRIDGE UNIV PRESS</t>
  </si>
  <si>
    <t>32 AVENUE OF THE AMERICAS, NEW YORK, NY 10013-2473 USA</t>
  </si>
  <si>
    <t>0031-1820</t>
  </si>
  <si>
    <t>1469-8161</t>
  </si>
  <si>
    <t>Parasitology</t>
  </si>
  <si>
    <t>S</t>
  </si>
  <si>
    <t>S61</t>
  </si>
  <si>
    <t>S69</t>
  </si>
  <si>
    <t>10.1017/S0031182003003743</t>
  </si>
  <si>
    <t>754RG</t>
  </si>
  <si>
    <t>WOS:000187344700006</t>
  </si>
  <si>
    <t>Ziyaadini, M; Yousefiyanpour, Z; Ghasemzadeh, J; Zahedi, MM</t>
  </si>
  <si>
    <t>Ziyaadini, M.; Yousefiyanpour, Z.; Ghasemzadeh, J.; Zahedi, M. M.</t>
  </si>
  <si>
    <t>Biota-sediment accumulation factor and concentration of heavy metals (Hg, Cd, As, Ni, Pb and Cu) in sediments and tissues of Chiton lamyi (Mollusca: Polyplacophora: Chitonidae) in Chabahar Bay, Iran.</t>
  </si>
  <si>
    <t>IRANIAN JOURNAL OF FISHERIES SCIENCES</t>
  </si>
  <si>
    <t>Biota-sediment accumulation factor; Heavy metals; Bioaccumulation; Bio-indicator; Mollusks; Chabahar Bay</t>
  </si>
  <si>
    <t>MUSSEL PERNA-VIRIDIS; FISH; ZN; POLLUTION; EXPOSURE; OYSTER; COAST; WATER; GULF; OMAN</t>
  </si>
  <si>
    <t>Heavy metals and some organic substances which are drained into the aquatic environments and cannot be decomposed or eliminated will sink into sediments or find their way into different levels of food chain. Bioaccumulation is the process of continuous deposition and aggregation of these substances into the body tissue of living organisms. Mollusks are remarkably appropriate to be used as bio-indicators because of their motionless or almost sessile nature, relatively high abundance, selective absorption of certain ions, and worldwide distribution in marine and inland aquatic habitats. Chiton lamyi is a sedentary species from the phylum, Polyplacophora, which is usually abundant on the rocky shores and intertidal zone of marine environments. Sediment and Chiton samples were taken from four stations of Chabahar Bay in autumn 2013. After acid digestion of samples, the concentration of heavy metals (mercury, cadmium, arsenic, nickel, lead and copper) were measured by the graphite furnace atomic absorption apparatus, and the bioaccumulation factor in relation to sediment was calculated. The highest concentration value was calculated as 3.28 for cadmium in the Hafte Tir station. The results of this study indicated that chitons can be used as an appropriate bio-indicator for heavy metals particularly cadmium pollution in the marine environment.</t>
  </si>
  <si>
    <t>[Ziyaadini, M.; Yousefiyanpour, Z.; Zahedi, M. M.] Chabahar Maritime Univ, Fac Marine Sci, Dept Marine Chem, Chabahar, Iran; [Ghasemzadeh, J.] Chabahar Maritime Univ, Fac Marine Sci, Dept Fisheries, Chabahar, Iran</t>
  </si>
  <si>
    <t>Ghasemzadeh, J (corresponding author), Chabahar Maritime Univ, Fac Marine Sci, Dept Fisheries, Chabahar, Iran.</t>
  </si>
  <si>
    <t>jghasemz@yahoo.com.au</t>
  </si>
  <si>
    <t>Ziyaadini, Morteza/S-5913-2017; Ghasemzadeh, Javad/Q-8748-2019</t>
  </si>
  <si>
    <t>Research Council of Chabahar Maritime University</t>
  </si>
  <si>
    <t>The authors gratefully acknowledge the financial support received from the Research Council of Chabahar Maritime University to conduct this research.</t>
  </si>
  <si>
    <t>IRANIAN FISHERIES SCIENCE RESEARCH INST-IFSRI</t>
  </si>
  <si>
    <t>TEHRAN</t>
  </si>
  <si>
    <t>IRANIAN FISH SCI RES INST,TEHRAN-KARAJ HWY, EXIT PAYKAN SHAHR, SARVENAZ AVE, SARVE AZAD AVE, W 8 ST, TEHRAN, 00000, IRAN</t>
  </si>
  <si>
    <t>1562-2916</t>
  </si>
  <si>
    <t>IRAN J FISH SCI</t>
  </si>
  <si>
    <t>Iran. J. Fish. Sci.</t>
  </si>
  <si>
    <t>FJ7FZ</t>
  </si>
  <si>
    <t>WOS:000412924000001</t>
  </si>
  <si>
    <t>Zapata, M; Lang, M; Riso, R; Moraga, D; Riquelme, C</t>
  </si>
  <si>
    <t>Zapata, Manuel; Lang, Marianne; Riso, Ricardo; Moraga, Dario; Riquelme, Carlos</t>
  </si>
  <si>
    <t>Trace metal and biomarker levels in tissues of Argopecten purpuratus in the north of Chile, and the potential use of this species as a bioindicator of metallic stress</t>
  </si>
  <si>
    <t>AQUATIC LIVING RESOURCES</t>
  </si>
  <si>
    <t>Trace metals; Copper; Cadmium; Lead; Genetic marker; Metallothionein; Pollution; Argopecten purpuratus; Pacific Ocean</t>
  </si>
  <si>
    <t>OYSTER CRASSOSTREA-GIGAS; METALLOTHIONEIN-LIKE PROTEIN; OXIDATIVE STRESS; GENE-EXPRESSION; MYTILUS-GALLOPROVINCIALIS; CADMIUM EXPOSURE; RESPONSES; GLUTATHIONE; MUSSELS; WATER</t>
  </si>
  <si>
    <t>The capacity to bioaccumulate trace metals present in San Jorge Bay, Antofagasta, Chile, was determined in northern scallop, Argopecten purpuratus, to examine the value of this important commercially species as a bioindicator of heavy metal pollution in areas where it is cultured. Scallops were sampled in summer 2009 in four sites: three natural populations (Coloso, Historic District and La Rinconada, marine reserve), and a commercial hatchery (Colorado). The concentrations of three heavy metals (copper, cadmium and lead) were then determined through stripping chronopotentiometric methods, and the levels of four biomarkers: three genes implicated in the stress and oxidative metabolism, i.e., glutathione peroxidase (GPx), glutathione s-transferase (GST) and heat shock protein 70 (HSP70), and a protein marker in the digestive gland and gill, a metallothionein (MT). The Historic District, located in the downtown area of the city, showed the highest metal concentration of all the sampled sites, as well as the highest levels of the four biomarkers. This can be largely attributed to the nearby international port area of the town and high sea traffic flow, exacerbated by the prevailing winds.</t>
  </si>
  <si>
    <t>[Zapata, Manuel; Lang, Marianne; Riso, Ricardo; Moraga, Dario] Univ Bretagne Occidentale, Inst Univ Europeen Mer, Lab Sci Environm Marin, UMR CNRS 6539,UBO IRD IFREMER, F-29280 Plouzane, France</t>
  </si>
  <si>
    <t>Centre National de la Recherche Scientifique (CNRS); Ifremer; Institut de Recherche pour le Developpement (IRD); Universite de Bretagne Occidentale; Institut Universitaire Europeen de la Mer (IUEM)</t>
  </si>
  <si>
    <t>Zapata, M (corresponding author), Univ Bretagne Occidentale, Inst Univ Europeen Mer, Lab Sci Environm Marin, UMR CNRS 6539,UBO IRD IFREMER, Pl Nicolas Copern, F-29280 Plouzane, France.</t>
  </si>
  <si>
    <t>mzarcos@gmail.com</t>
  </si>
  <si>
    <t>Riquelme, Carlos/GQH-4442-2022</t>
  </si>
  <si>
    <t>CICITEM-CONICYT, Chile</t>
  </si>
  <si>
    <t>CICITEM-CONICYT, Chile(Comision Nacional de Investigacion Cientifica y Tecnologica (CONICYT)CONICYT Regional/CICITEM)</t>
  </si>
  <si>
    <t>This study was financed by CICITEM-CONICYT, Chile. The authors are grateful to Espiri, Enzo, Mauro, Fernando Silva and Fernando Valenzuela for sampling the different scallop populations, and to the El Golfo aquaculture company, Antofagasta, Chile. We thank Helen McCombie of the Bureau de Traduction de l'Universite, UBO, for improving the English of this article.</t>
  </si>
  <si>
    <t>EDP SCIENCES S A</t>
  </si>
  <si>
    <t>LES ULIS CEDEX A</t>
  </si>
  <si>
    <t>17, AVE DU HOGGAR, PA COURTABOEUF, BP 112, F-91944 LES ULIS CEDEX A, FRANCE</t>
  </si>
  <si>
    <t>0990-7440</t>
  </si>
  <si>
    <t>1765-2952</t>
  </si>
  <si>
    <t>AQUAT LIVING RESOUR</t>
  </si>
  <si>
    <t>Aquat. Living Resour.</t>
  </si>
  <si>
    <t>10.1051/alr/2012024</t>
  </si>
  <si>
    <t>Fisheries; Marine &amp; Freshwater Biology</t>
  </si>
  <si>
    <t>058JZ</t>
  </si>
  <si>
    <t>WOS:000312631200006</t>
  </si>
  <si>
    <t>Nakhlé, KF; Cossa, D; Khalaf, G; Beliaeff, B</t>
  </si>
  <si>
    <t>Nakhle, Khaled F.; Cossa, Daniel; Khalaf, Ghaby; Beliaeff, Benoit</t>
  </si>
  <si>
    <t>Brachidontes variabilis and Patella sp as quantitative biological indicators for cadmium, lead and mercury in the Lebanese coastal waters</t>
  </si>
  <si>
    <t>trace metal; bioindicator; Brachidontes variabilis; Patella sp; bioconcentration factors; Mediterranean Sea; Lebanon</t>
  </si>
  <si>
    <t>MYTILUS-EDULIS; METAL CONTENT; TRACE-METALS; SIZE; MOLLUSKS; CONTAMINATION; ENVIRONMENT; SEDIMENT; ESTUARY; LIMPETS</t>
  </si>
  <si>
    <t>The mussel, Brachidontes variabilis, and the limpet, Patella sp., were used as indicators to monitor cadmium, lead and mercury concentrations along the Lebanese coast. Studies were carried out in order to define the best strategy for assessing and minimizing the effects of size and physiological condition on the metal contents of the molluscs, and corrective models were constructed. Metal concentrations in surface water were measured to estimate bioconcentration factors (BCFs). The BCFs varied from 8.3 x 10(3) to 3.4 x 10(4), from 7.5 x 10(3) to 8.0 X 10(3) and from 3.0 x 10(4) to 3.2 x 10(4), for Cd, Pb and Hg, respectively. For limpets, BCFs varied from 1.7 x 10(4) to 7.4 x 10(4) for Cd, from 2.5 x 10(3) to 6 x 103 for Pb and remained fairly constant at around 104 for Hg. The highest BCFs were associated with lowest contamination levels. The results of the geographical survey exhibited a similar large-scale spatial pattern for the two species and followed the metal concentration distributions measured in the waters. (c) 2005 Elsevier Ltd. All rights reserved.</t>
  </si>
  <si>
    <t>Natl Ctr Sci Res, Natl Ctr Marine Sci, Batroun, Lebanon; IFREMER, F-44311 Nantes 03, France</t>
  </si>
  <si>
    <t>Centre National de la Recherche Scientifique (CNRS) - Lebanon; National Center for Marine Sciences (CNRSL); Ifremer</t>
  </si>
  <si>
    <t>Nakhlé, KF (corresponding author), Natl Ctr Sci Res, Natl Ctr Marine Sci, POB 534, Batroun, Lebanon.</t>
  </si>
  <si>
    <t>10.1016/j.envpol.2005.09.016</t>
  </si>
  <si>
    <t>044AO</t>
  </si>
  <si>
    <t>WOS:000237644600009</t>
  </si>
  <si>
    <t>Gifford, SP; MacFarlane, GR; O'Connor, WA; Dunstan, RH</t>
  </si>
  <si>
    <t>Effect of the pollutants lead, zinc, hexadecane and octocosane on total growth and shell growth in the Akoya pearl oyster, Pinctada imbricata</t>
  </si>
  <si>
    <t>JOURNAL OF SHELLFISH RESEARCH</t>
  </si>
  <si>
    <t>Symposium on Molluscan Fisheries and Aquaculture held at the World Congress of Malacology</t>
  </si>
  <si>
    <t>JUL 11-16, 2004</t>
  </si>
  <si>
    <t>Univ Western Australia, Perth, AUSTRALIA</t>
  </si>
  <si>
    <t>Univ Western Australia</t>
  </si>
  <si>
    <t>Pinctada; oyster; pollution; biomineralization; pearl; metals; shell; aquaculture</t>
  </si>
  <si>
    <t>CARBONIC ANHYDRASE INHIBITORS; MYTILUS-EDULIS; FUCATA-MARTENSII; HEAVY-METALS; CRASSOSTREA-VIRGINICA; WATER TEMPERATURE; LENGTH GROWTH; TRACE-METALS; CADMIUM; CONTAMINATION</t>
  </si>
  <si>
    <t>Pearl oysters (Pinctada imbricata) were held in the laboratory and exposed to various levels of the heavy metals lead and zinc and the aliphatic hydrocarbons hexadecane and octacosane for 2 months. Individual oysters were followed over the course of the experiment, allowing specific calculation of total oyster growth (wet weight) and shell growth. Significant reductions ill total oyster growth were observed when oysters were exposed to high concentrations (270 mu g L-1) of either zinc or lead. Exposure to the aliphatic hydrocarbons had no effect oil total oyster growth. High concentrations of lead completely halted shell growth. the first demonstration of pollutant induced cessation of biomineralization in pearl oysters. Conversely, exposure to moderate levels of lead and the long-chain hydrocarbon octacosane resulted in significant increases in shell width growth. The results from this study indicate that P. imbricata is relatively tolerant of the selected pollutants and could be deployed within a remediative context in moderately polluted coastal areas.</t>
  </si>
  <si>
    <t>Univ Newcastle, Shc Environm &amp; Life Sci, Newcastle, NSW 2308, Australia; New S Wales Dept Primary Ind, Port Stephens Fisheries Ctr, Nelson Bay, NSW 2315, Australia</t>
  </si>
  <si>
    <t>University of Newcastle; NSW Department of Primary Industries</t>
  </si>
  <si>
    <t>Univ Newcastle, Shc Environm &amp; Life Sci, Newcastle, NSW 2308, Australia.</t>
  </si>
  <si>
    <t>Hugh.Dunstan@newcastle.edu.au</t>
  </si>
  <si>
    <t>MacFarlane, Geoff R./0000-0002-5090-6236</t>
  </si>
  <si>
    <t>NATL SHELLFISHERIES ASSOC</t>
  </si>
  <si>
    <t>GROTON</t>
  </si>
  <si>
    <t>C/O DR. SANDRA E. SHUMWAY, UNIV CONNECTICUT, 1080 SHENNECOSSETT RD, GROTON, CT 06340 USA</t>
  </si>
  <si>
    <t>0730-8000</t>
  </si>
  <si>
    <t>1943-6319</t>
  </si>
  <si>
    <t>J SHELLFISH RES</t>
  </si>
  <si>
    <t>J. Shellfish Res.</t>
  </si>
  <si>
    <t>10.2983/0730-8000(2006)25[159:EOTPLZ]2.0.CO;2</t>
  </si>
  <si>
    <t>037LX</t>
  </si>
  <si>
    <t>WOS:000237149500020</t>
  </si>
  <si>
    <t>Company, R; Serafim, A; Bebianno, MJ; Cosson, R; Shillito, B; Fiala-Médioni, A</t>
  </si>
  <si>
    <t>Effect of cadmium, copper and mercury on antioxidant enzyme activities and lipid peroxidation in the gills of the hydrothermal vent mussel Bathymodiolus azoricus</t>
  </si>
  <si>
    <t>12th International Symposium on Pollutant Responses in Marine Organisms (PRIMO 12)</t>
  </si>
  <si>
    <t>MAY 09-13, 2003</t>
  </si>
  <si>
    <t>Safety Harbor, FL</t>
  </si>
  <si>
    <t>antioxidant enzymes; superoxide dismutase; catalase; glutathione peroxidase; lipid peroxidation; hydrothermal vents; Bathymodiolus azoricus; cadmium; copper; mercury</t>
  </si>
  <si>
    <t>MID-ATLANTIC RIDGE; METALS</t>
  </si>
  <si>
    <t>Metals are known to influence lipid peroxidation and oxidative status of marine organisms. Hydrothermal vent mussels Bathymodiolus azoricus live in deep-sea environments with anomalous conditions, including high metal concentrations. Although B. azoricus are aerobic organisms they possess abundant methano and thioautotrophic symbiotic bacteria in the gills. The enzymatic defences (superoxide dismutase (SOD), catalase (CAT), total glutathione peroxidase (Total GPx) and selenium-dependent glutathione peroxidase (Se-GPx)) and lipid peroxidation were determined in the gills of R azoricus exposed to Cd (0.9 muM), Cu (0.4 muM) and Hg (0.1 muM) with different times of exposure. The experiments were performed in pressurized containers at 9 +/- 1 degreesC and 85 bars. Results show that vent mussels possess antioxidant enzymatic protection in the gills. Cd and Cu had an inhibitory effect in the enzymatic defence system, contrarily to Hg. These enzymatic systems are not completely understood in the B. azoricus, since reactive oxygen species might be produced through other processes than natural redox cycling, due to hydrogen sulphide and oxygen content present. Also the symbiotic bacteria may play an important contribution in the antioxidant protection of the gills. (C) 2004 Elsevier Ltd. All rights reserved.</t>
  </si>
  <si>
    <t>Univ Algarve, Fac Marine &amp; Environm Changes, CIMA, P-8000870 Faro, Portugal; Univ Nantes, Marine Biol Lab, ISOMER, F-44322 Nantes, France; Univ Paris, CNRS, Marine Biol Grp, Paris, France; Univ Paris 06, Observ Oceanol, F-66651 Banyuls sur Mer, France</t>
  </si>
  <si>
    <t>Universidade do Algarve; Nantes Universite; Universite Paris Cite; Centre National de la Recherche Scientifique (CNRS); Sorbonne Universite</t>
  </si>
  <si>
    <t>Univ Algarve, Fac Marine &amp; Environm Changes, CIMA, Campus Gambelas, P-8000870 Faro, Portugal.</t>
  </si>
  <si>
    <t>rcompany@ualg.pt; mbebian@ualg.pt</t>
  </si>
  <si>
    <t>Bebianno, Maria/L-3761-2014</t>
  </si>
  <si>
    <t>Company, Rui/0000-0001-9947-254X; Bebianno, Maria/0000-0003-1492-8566; Serafim, Angela/0000-0002-1165-0645</t>
  </si>
  <si>
    <t>AUG-DEC</t>
  </si>
  <si>
    <t>2-5</t>
  </si>
  <si>
    <t>10.1016/j.marenvres.2004.03.083</t>
  </si>
  <si>
    <t>831MS</t>
  </si>
  <si>
    <t>WOS:000222199100040</t>
  </si>
  <si>
    <t>Font, R; Vélez, D; del Río-Celestino, M; de Haro-Bailón, A; Montoro, R</t>
  </si>
  <si>
    <t>Font, Rafael; Velez, Dinoraz; del Rio-Celestino, Mercedes; de Haro-Bailon, Antonio; Montoro, Rosa</t>
  </si>
  <si>
    <t>Fast, clean, low-cost screening of cadmium and lead in the mussel Mytilus galloprovincialis Lmk.: by visible spectroscopy and partial least squares regression</t>
  </si>
  <si>
    <t>least squares regression; lead; cadmium; Mytilus galloprovincialis</t>
  </si>
  <si>
    <t>INFRARED-SPECTROSCOPY; TRANSFORMATION; CAROTENOIDS; POLLUTION; SPECTRA</t>
  </si>
  <si>
    <t>The potential of visible (VIS) spectroscopy for screening cadmium and lead contents in the mussel Mytilits galloprovincialis Link. was assessed. The spectra of the samples were recorded (400-700 nm). The Cd and Ph contents were determined by graphite furnace atomic absorption spectroscopy, and were regressed against different spectral transformations by modified partial least square (PLSm) regression. Coefficients of determination in the cross-validation (Cd = 0.95; Pb = 0.77) were indicative of equations with excellent and good quantitative information, respectively. The standard deviation to standard error of cross-validation ratio (Cd = 4.43; Pb = 2. 10) showed sufficient predictive accuracy for the equations to be used for screening purposes. PLSm loading plots corresponding to the first terms of the equations showed that chromophores influenced them significantly. This pioneering use of the VIS spectrum to predict Cd and Pb in mussels represents an important saving in time and cost of analysis in comparison to other methods. (c) 2007 Elsevier Ltd. All rights reserved.</t>
  </si>
  <si>
    <t>CSIC, Inst Agr Sostenible, Cordoba, Spain; CSIC, Inst Agroquim &amp; Tecnol Alimentos, Valencia 46100, Spain; IFAPA CICE CIFA Cordoba Junta Andalucia, Cordoba 14080, Spain</t>
  </si>
  <si>
    <t>Consejo Superior de Investigaciones Cientificas (CSIC); CSIC - Instituto de Agricultura Sostenible (IAS); Consejo Superior de Investigaciones Cientificas (CSIC); Instituto de Agroquimica y Tecnologia de los Alimentos (IATA)</t>
  </si>
  <si>
    <t>Font, R (corresponding author), CSIC, Inst Agr Sostenible, Alameda Obispo S-N, Cordoba, Spain.</t>
  </si>
  <si>
    <t>font@cica.es</t>
  </si>
  <si>
    <t>Villa, Rafael/AAF-9889-2020; Velez, Dinoraz/H-4255-2012; del Rio Celestino, Mercedes/C-3815-2016</t>
  </si>
  <si>
    <t>del Rio Celestino, Mercedes/0000-0001-9130-2669; de Haro-Bailon, Antonio/0000-0001-6726-5343; Velez Pacios, Dinoraz/0000-0001-8679-5622</t>
  </si>
  <si>
    <t>10.1016/j.foodchem.2006.12.055</t>
  </si>
  <si>
    <t>203VI</t>
  </si>
  <si>
    <t>WOS:000249001700031</t>
  </si>
  <si>
    <t>Frías-Espericueta, MG; Osuna-López, I; Bañuelos-Vargas, I; López-López, G; Muy-Rangel, MD; Izaguirre-Fierro, G; Rubio-Carrasco, W; Meza-Guerrero, PC; Voltolina, D</t>
  </si>
  <si>
    <t>Frias-Espericueta, M. G.; Osuna-Lopez, I.; Banuelos-Vargas, I.; Lopez-Lopez, G.; Muy-Rangel, M. D.; Izaguirre-Fierro, G.; Rubio-Carrasco, W.; Meza-Guerrero, P. C.; Voltolina, D.</t>
  </si>
  <si>
    <t>Cadmium, Copper, Lead and Zinc Contents of the Mangrove Oyster, Crassostrea corteziensis, of Seven Coastal Lagoons of NW Mexico</t>
  </si>
  <si>
    <t>Metal pollution; Bivalves; Coastal lagoons; NW Mexico</t>
  </si>
  <si>
    <t>TRACE-METALS; HEAVY-METALS; BIVALVES</t>
  </si>
  <si>
    <t>The ranges of concentrations of Cd, Cu, Pb and Zn of the soft tissues of C. corteziensis collected in seven coastal lagoons of NW Mexico were 1.55-7.45, 17.50-166.36, 4.13-9.49 and 245.34-2,304.12 mu g/g (dry weight), respectively. Their distributions were not consistent and there were no seasonal trends, indicating different point sources of the metals in each lagoon. The mean Cd and Pb concentrations were 5.34 and 6.30 mu g/g (dry weight), which are higher than the values indicative of polluted areas. Our data indicate that only the levels of Cd are a possible health risk in six of these lagoons, and only in the case of regular local consumers. In one, Cu and Zn reach levels of concern.</t>
  </si>
  <si>
    <t>[Frias-Espericueta, M. G.; Osuna-Lopez, I.; Banuelos-Vargas, I.; Lopez-Lopez, G.; Izaguirre-Fierro, G.; Meza-Guerrero, P. C.] Univ Autonoma Sinaloa, Fac Ciencias Mar, Lab Estudios Ambientales, Mazatlan 82000, Sinaloa, Mexico; [Muy-Rangel, M. D.; Rubio-Carrasco, W.] Ctr Invest Alimentac Desarrollo, Unidad Culiacan, Culiacan, Sinaloa, Mexico; [Voltolina, D.] CIBNOR, Lab UAS, Ctr Invest Biol Noroeste, Mazatlan, Sinaloa, Mexico</t>
  </si>
  <si>
    <t>Universidad Autonoma de Sinaloa; CIAD - Centro de Investigacion en Alimentacion y Desarrollo; Universidad Autonoma de Sinaloa; CIBNOR - Centro de Investigaciones Biologicas del Noroeste</t>
  </si>
  <si>
    <t>Voltolina, D (corresponding author), CIBNOR, Lab UAS, Ctr Invest Biol Noroeste, POB 1132, Mazatlan, Sinaloa, Mexico.</t>
  </si>
  <si>
    <t>voltolin04@cibnor.mx</t>
  </si>
  <si>
    <t>; BANUELOS-VARGAS, ISAURA/F-9563-2019</t>
  </si>
  <si>
    <t>Voltolina, Domenico/0000-0003-2226-822X; BANUELOS-VARGAS, ISAURA/0000-0002-3328-9395; Muy Rangel, Maria Dolores/0000-0002-6971-535X</t>
  </si>
  <si>
    <t>Fondo Mixto (CONACYT-Gobierno de Sinaloa) [C01-011]; Universidad Autonoma de Sinaloa (PROFAPI-UAS); CIBNOR [AC1.4]</t>
  </si>
  <si>
    <t>Fondo Mixto (CONACYT-Gobierno de Sinaloa)(Consejo Nacional de Ciencia y Tecnologia (CONACyT)); Universidad Autonoma de Sinaloa (PROFAPI-UAS); CIBNOR</t>
  </si>
  <si>
    <t>Supported by Fondo Mixto (CONACYT-Gobierno de Sinaloa) 2005 C01-011 and Universidad Autonoma de Sinaloa (PROFAPI-UAS) grants and by CIBNOR project AC1.4.</t>
  </si>
  <si>
    <t>10.1007/s00128-009-9828-z</t>
  </si>
  <si>
    <t>495WN</t>
  </si>
  <si>
    <t>WOS:000269926000025</t>
  </si>
  <si>
    <t>TAM, SYK; MOK, CS</t>
  </si>
  <si>
    <t>METALLIC CONTAMINATION IN OYSTER AND OTHER SEAFOOD IN HONG-KONG</t>
  </si>
  <si>
    <t>FOOD ADDITIVES AND CONTAMINANTS</t>
  </si>
  <si>
    <t>HEAVY METALS; HONG KONG; SEAFOOD; SURVEY</t>
  </si>
  <si>
    <t>Heavy metal contamination in seafood is of great concern in places suffering from pollution. A survey has been carried out since 1986 to monitor the contents of seven heavy metals: antimony, arsenic, cadmium, chromium, lead, mercury and tin in oyster and other types of seafood. The daily intakes were estimated and compared to the Provisional Tolerable Weekly Intake (PTWI) or maximum acceptable daily load recommended by FAO/WHO Expert Committee on Food Additives (1984). In general, the levels were low and left comfortable margins to both the acceptable limits and the local regulatory levels with the exception of arsenic, the average intake of which was close to the PTWI.</t>
  </si>
  <si>
    <t>TAM, SYK (corresponding author), GOVT LAB,OIL ST,N POINT,HONG KONG.</t>
  </si>
  <si>
    <t>ONE GUNDPOWDER SQUARE, LONDON, ENGLAND EC4A 3DE</t>
  </si>
  <si>
    <t>0265-203X</t>
  </si>
  <si>
    <t>FOOD ADDIT CONTAM</t>
  </si>
  <si>
    <t>Food Addit. Contam.</t>
  </si>
  <si>
    <t>MAY-JUN</t>
  </si>
  <si>
    <t>10.1080/02652039109373982</t>
  </si>
  <si>
    <t>Chemistry, Applied; Food Science &amp; Technology; Toxicology</t>
  </si>
  <si>
    <t>Chemistry; Food Science &amp; Technology; Toxicology</t>
  </si>
  <si>
    <t>GC216</t>
  </si>
  <si>
    <t>WOS:A1991GC21600010</t>
  </si>
  <si>
    <t>Hamza-Chaffai, A; Amiard, JC; Cosson, RP</t>
  </si>
  <si>
    <t>Relationship between metallothioneins and metals in a natural population of the clam Ruditapes decussatus from Sfax coast:: a non-linear model using Box-Cox transformation</t>
  </si>
  <si>
    <t>biomarker; biomonitoring; Box-Cox transformation; cadmium; copper; metallothionein-like proteins; pollution; Ruditapes decussatus; zinc</t>
  </si>
  <si>
    <t>TUNISIAN COAST; CADMIUM; ZINC; INDUCTION; FISH; TISSUES; PROTEIN; COPPER; LIVER; CD</t>
  </si>
  <si>
    <t>Cadmium, copper and zinc were determined concomitantly with metallothionein-like proteins (MTLPs) in the subcellular fractions of Ruditapes decussatus digestive gland. This study covered 4 months and aimed to evaluate the effect of metal pollution and other factors such as sex, size and reproductive state on MTLP levels. Copper concentrations did not vary with month, however Cd and Zn concentrations showed high levels during August. Organisms showing low cadmium concentrations presented the highest cadmium percentages in the soluble fraction (SF) containing MTLPs. However for high cadmium concentrations, the insoluble fraction (IF) was implicated in cadmium association. MTLP levels varied according to the month, the sex and the size of the organisms. A non-linear model based on the Box-Cox transformation, was proposed to describe a positive and a significant relationship between MTLPs and the studied metals. A model including sex and size showed that these two factors affected MTLP levels, but were less important than metals. Males of R. decussatus showed higher significant correlations between MTLP levels and cadmium than females. Moreover, the effect of size and reproductive state on MTLP levels was less perceptible in males than in females. As a result, MTLPs in males of R. decussatus could be proposed as suitable biomarker for detecting metal contamination. (C) 1999 Elsevier Science Inc. All rights reserved.</t>
  </si>
  <si>
    <t>Univ Sfax, IPEIS, Sfax 3018, Tunisia; ISOMer, CNRS, EP61, F-44035 Nantes, France</t>
  </si>
  <si>
    <t>Universite de Sfax; Centre National de la Recherche Scientifique (CNRS)</t>
  </si>
  <si>
    <t>Univ Sfax, IPEIS, BP 805, Sfax 3018, Tunisia.</t>
  </si>
  <si>
    <t>AMEL, HAMZA-CHAFFAI/0000-0002-6210-7837</t>
  </si>
  <si>
    <t>10.1016/S0742-8413(99)00023-7</t>
  </si>
  <si>
    <t>205KJ</t>
  </si>
  <si>
    <t>WOS:000080819600006</t>
  </si>
  <si>
    <t>Tapia, J; Vargas-Chacoff, L; Bertrán, C; Carrasco, G; Torres, F; Pinto, R; Urzúa, S; Valderrama, A; Letelier, L</t>
  </si>
  <si>
    <t>Tapia, J.; Vargas-Chacoff, L.; Bertran, C.; Carrasco, G.; Torres, F.; Pinto, R.; Urzua, S.; Valderrama, A.; Letelier, L.</t>
  </si>
  <si>
    <t>Study of the content of cadmium, chromium and lead in bivalve molluscs of the Pacific Ocean (Maule Region, Chile)</t>
  </si>
  <si>
    <t>Heavy metals; Bivalve molluscs; Ameghinomya antiqua; Aulacomya atra; Mytilus chilensis</t>
  </si>
  <si>
    <t>HEAVY-METALS; TRACE-METALS; RIVER; POLLUTION; SEDIMENT; MALAYSIA; COPPER; INDIA; ALGAE; WATER</t>
  </si>
  <si>
    <t>The concentration of Cd, Cr and Pb in the following species Ameghinomya antique, Aulacomya atra and Mytilus chilensis, bivalves from Iloca, Constitucion and Pelluhue, coastal towns located in the Maule Region, Chile was determined. Representative tissue samples of each species were analysed by using atomic absorption spectroscopy with flame. Validation of methodology was carried out using a certified reference material (TORT-1). The ranges of concentrations found for Cd. Cr and Pb in the 3 species were, respectively, 0.21-4.32, 0.38-12.62 and 0.43-31.10 mg kg(-1) dry weight. In relation to the results obtained and the average of each individual metal in the different species of bivalves, Pb concentrations were found in higher levels rather than those of other metals reported by other authors in a similar work, this element constitutes a potential health hazard for the consumers of shellfish. The results were statistically evaluated for possible correlations in the content of metals in different species and in different sites of origin. (C) 2010 Elsevier Ltd. All rights reserved.</t>
  </si>
  <si>
    <t>[Tapia, J.; Torres, F.; Pinto, R.; Urzua, S.; Valderrama, A.; Letelier, L.] Univ Talca, Inst Nat Resources Chem, Talca, Chile; [Vargas-Chacoff, L.] Univ Cadiz, Fac Marine Sci, Dept Biol, Cadiz, Spain; [Vargas-Chacoff, L.; Bertran, C.] Univ Austral Chile, Fac Sci, Inst Zool, Valdivia, Chile; [Carrasco, G.] Univ Talca, Fac Agrarian Sci, Talca, Chile</t>
  </si>
  <si>
    <t>Universidad de Talca; Universidad de Cadiz; Universidad Austral de Chile; Universidad de Talca</t>
  </si>
  <si>
    <t>Tapia, J (corresponding author), Univ Talca, Inst Nat Resources Chem, Post 747, Talca, Chile.</t>
  </si>
  <si>
    <t>jtapia@utalca.cl</t>
  </si>
  <si>
    <t>Vargas-Chacoff, Luis/A-5855-2012; Carrasco, Gilda A./P-2022-2015</t>
  </si>
  <si>
    <t>Carrasco, Gilda A./0000-0002-3402-2457; Letelier, Luis/0000-0002-6617-6872; Vargas-Chacoff, Luis/0000-0002-0497-2582</t>
  </si>
  <si>
    <t>Institute of Chemistry of Natural Resources, Universidad de Talca, Chile</t>
  </si>
  <si>
    <t>The authors thank the Grant Funding Programme, Directorate of Research and Environmental Chemistry Laboratory, Institute of Chemistry of Natural Resources, Universidad de Talca, Chile.</t>
  </si>
  <si>
    <t>10.1016/j.foodchem.2009.12.091</t>
  </si>
  <si>
    <t>578KQ</t>
  </si>
  <si>
    <t>WOS:000276292700005</t>
  </si>
  <si>
    <t>Boudjema, K; Moulai-Mostefa, N; Badis, A</t>
  </si>
  <si>
    <t>Boudjema, Kamel; Moulai-Mostefa, Nadji; Badis, Abdelmalek</t>
  </si>
  <si>
    <t>Modeling integrated biomarker response (IBR) index for the mussel Mytilus galloprovincialis (Lamark 1819) exposed to heavy metal mixture using the CCF design</t>
  </si>
  <si>
    <t>Heavy metals; LC50; Mytilus galloprovincialis; Oxidative stress; Modeling optimization; CCF design</t>
  </si>
  <si>
    <t>LIPID-PEROXIDATION; MEDITERRANEAN MUSSEL; SURFACE SEDIMENTS; RISK-ASSESSMENT; TRACE-ELEMENTS; CADMIUM; WATER; PB; BIOACCUMULATION; TOXICITY</t>
  </si>
  <si>
    <t>Marine pollutants such as heavy metals (HMs) are considered among the most copious oxidative stress (OS) inducers in marine organisms which leads to reactive oxygen species (ROS) formation. Complementary to our previous bioassays studies, the present research focuses on Catalase (CAT), Glutathione S-transferase (GST) and Malondialdehyde (MDA) as oxidative stress biomarkers and the integrated biomarker response (IBR) indexes (IBR1 and IBR2) as an ecotoxicological assessment tool in Mytilus galloprovincialis using central composite face centered (CCF) design. The oxidative stress biomarkers were measured in adult mussels (45-55 mm) on 3 days-exposed under different sub-lethal concentrations of cadmium (Cd), zinc (Zn), and copper (Cu). Using multiple regressions, ANOVA analysis revealed that experimental data fitted to second-order (quadratic) polynomial equations. The results showed that types, concentrations and metals combinations has a direct effect in CAT and GST activities, MDA level and IBR indexes. Additionally, metal-metal interactions were found synergistic (supra-additive), antagonistic (infra-additive) or zero interaction in the toxicological effect. As necessary, the optimization of the experimental results was done in order to determine the optimal conditions for the oxidative stress responses and IBR indexes. It was demonstrated that the CCF design combined with the multi-biomarker approach and IBR index can be used as an appropriate tool in ecotoxicological modulation and prediction of oxidative stress and antioxidant status by heavy metals in the mussels Mytilus galloprovincialis.</t>
  </si>
  <si>
    <t>[Boudjema, Kamel; Badis, Abdelmalek] Natl Ctr Res &amp; Dev Fisheries &amp; Aquaculture NCRDFA, Bou Ismail 42004, W Tipaza, Algeria; [Boudjema, Kamel; Moulai-Mostefa, Nadji] Univ Medea, Lab Mat &amp; Environm LME, Medea 26001, Algeria; [Badis, Abdelmalek] Univ Blida 1, Lab Nat Subst Chem &amp; Biomol LNSC BioM, Blida 09000, Algeria</t>
  </si>
  <si>
    <t>Universite Yahia Fares Medea</t>
  </si>
  <si>
    <t>Boudjema, K (corresponding author), Natl Ctr Res &amp; Dev Fisheries &amp; Aquaculture NCRDFA, Bou Ismail 42004, W Tipaza, Algeria.;Boudjema, K (corresponding author), Univ Medea, Lab Mat &amp; Environm LME, Medea 26001, Algeria.</t>
  </si>
  <si>
    <t>kamel_boudjema@hotmail.com</t>
  </si>
  <si>
    <t>kamel, boudjema/0000-0002-8880-3355</t>
  </si>
  <si>
    <t>10.1007/s10646-023-02654-7</t>
  </si>
  <si>
    <t>APR 2023</t>
  </si>
  <si>
    <t>G4NN7</t>
  </si>
  <si>
    <t>WOS:000983703700002</t>
  </si>
  <si>
    <t>AMIARD, JC; AMIARDTRIQUET, C; BERTHET, B; METAYER, C</t>
  </si>
  <si>
    <t>CONTRIBUTION TO THE ECOTOXICOLOGICAL STUDY OF CADMIUM, LEAD, COPPER AND ZINC IN THE MUSSEL MYTILUS-EDULIS .1. FIELD-STUDY</t>
  </si>
  <si>
    <t>The understanding of natural fluctuations of metal concentrations in mussels used as bio-indicators is indispensable for a good assessment of the disturbances due to pollution. We have studied thoroughly the factors which condition bioaccumulation by using controlled populations of mussels, Mytilus edulis L., sampled monthly over more than two years (March 1982-May 1984) in the Bay of Bourgneuf, France. Seasonal changes in metal levels have been recognized, maximum values being observed in winter and early spring and minimum in later spring and summer. Depending on metal and size group, the ratios between these maximum and minimum values varied between 1.56 and 3.43. The fluctuations in soft-tissue weight appear to be the main explanatory factor of seasonal variations in metal concentrations in mussels. Fluctuations in metal levels related to size of mussels were observed. Except for cadmium in mussels with a mean dry weight of soft tissues &gt; 0.2 g, a slight decrease in metal concentrations was observed for growing individuals: the regression coefficent b was -0.10, -0.11, -0.13 and -0.27 for Cd, Cu, Zn and Pb, respectively. The metals examined were rather uniformly distributed among the different groups of organs (visceral mass, gills and palps, remainder) and, consequently, several analyses of metals in different organs do not provide much more information than one analysis on the whole soft tissue. It is concluded that fluctuations related to size or season are reflected by only moderate differences in the maximum and minimum concentrations of metals in the mussels, but that they are nevertheless sufficient to conceal low chronic or short-term pollution, except at those sites where the normal environmental conditions are well-documented.</t>
  </si>
  <si>
    <t>10.1007/BF00428566</t>
  </si>
  <si>
    <t>A0445</t>
  </si>
  <si>
    <t>WOS:A1986A044500012</t>
  </si>
  <si>
    <t>Fish and seafood availability in markets in the Baie des Chaleurs region, New Brunswick, Canada: a heavy metal contamination baseline study</t>
  </si>
  <si>
    <t>Ecosystemic approach to health; Consumer products; Contamination; Fish consumption; Halieutic product; Lobster; Risk assessment</t>
  </si>
  <si>
    <t>MUSSELS MYTILUS-EDULIS; MERCURY CONTAMINATION; CHLORALKALI PLANT; CADMIUM; CONSUMPTION; LEAD; EXPOSURE; MARINE; RISKS; BIOACCUMULATION</t>
  </si>
  <si>
    <t>The consumption of halieutic products has many health benefits. However, their contaminants loads need to be addressed to better understand the risk from consuming these products. The aquatic biota from the Baie des Chaleurs in New Brunswick is contaminated by cadmium, zinc and lead. In spite of this, no study has examined the heavy metal concentrations in commercial halieutic products sold in this Canadian region. The objective of this pilot study was to characterize the species and origin of fish and seafood sold in the Baie des Chaleurs region by using an ecosystemic approach. Additionally, a baseline picture of the heavy metal levels found in these products has been determined. In 2008, interviews were carried out in markets located in the Baie des Chaleurs area. Species that were identified as the most purchased were then bought for analysis. Samples were freeze-dried and homogenized before nitric acid digestions. Aluminum, copper, cadmium, iron, manganese, and zinc concentrations were determined by inductively coupled plasma optical emission spectrometry. Results show that 36 % of seafood species sold in markets were caught in the Baie des Chaleurs. Lobsters, shrimps, scallops and oysters are the most purchased species regardless of the season. High amounts of cadmium exceeding tolerable daily intake are found in lobster hepatopancreas and can cause deleterious effects on health, in particular in vulnerable populations such as children and heavy consumers. The ecosystemic approach to health used in this pilot study shows the feasibility of an exhaustive study on the exposure of coastal population to heavy metal from fish and seafood consumption and the source of halieutic products sold in markets.</t>
  </si>
  <si>
    <t>celine.surette@umoncton.ca; Cathy.Vaillancourt@iaf.inrs.ca</t>
  </si>
  <si>
    <t>New Brunswick Environmental Trust Fund; Consortium National de Formation en Sante; Programme Cooperation New Brunswick-Quebec of New Brunswick and Quebec government</t>
  </si>
  <si>
    <t>We are thankful to merchants for their participation, Environment Canada for laboratory assistance and Dr G. Moreau for his help with data analysis. This work is financially supported by the New Brunswick Environmental Trust Fund, the Consortium National de Formation en Sante and the Programme Cooperation New Brunswick-Quebec of New Brunswick and Quebec government.</t>
  </si>
  <si>
    <t>10.1007/s11356-012-1134-3</t>
  </si>
  <si>
    <t>077YK</t>
  </si>
  <si>
    <t>WOS:000314065100014</t>
  </si>
  <si>
    <t>Maggi, C; Bianchi, J; Dattolo, M; Mariotti, S; Cozzolino, A; Gabellini, M</t>
  </si>
  <si>
    <t>Maggi, Chiara; Bianchi, Jessica; Dattolo, Manuela; Mariotti, Silvia; Cozzolino, Antonella; Gabellini, Massimo</t>
  </si>
  <si>
    <t>Fractionation studies and bioaccumulation of cadmium mercury and lead in two harbour areas</t>
  </si>
  <si>
    <t>CHEMICAL SPECIATION AND BIOAVAILABILITY</t>
  </si>
  <si>
    <t>metals; fractionation; bioaccumulation; mussel; sediment</t>
  </si>
  <si>
    <t>SEQUENTIAL EXTRACTION PROCEDURE; HEAVY-METALS; SPECIATION; SEDIMENTS; ACCUMULATION; POLLUTION; MARINE; LAKE</t>
  </si>
  <si>
    <t>The Decision No. 2455/2001/EC of the European Parliament and Council established a list of harmful and priority substances whose release into the aquatic environment should be eliminated or progressively reduced. Evaluation of the accumulation of these substances in sediment and organisms tissues is an aid in the assessment of the aquatic environment. Total concentrations and the fractionation of selected metals (Cd, Pb and Hg) in four sediment samples taken from two Italian ports, and their accumulation in Mytilus galloprovincialis Lam. tissues were measured. The investigation reveals differences in the accumulation pattern of metals in the mussel tissues corresponding to sediments characterized by different metal mobility. The metal concentrations frequently have been found to be greater than quality standards for Italian marine sediments (Ministerial Decree no. 367/03). Lead and Cd are mainly associated with the mobile fraction of sediment and show greater bioaccumulation in mussel samples, whereas Hg is linked to non-mobile fraction and shows low bioaccumulation.</t>
  </si>
  <si>
    <t>Cent Inst Marine Res, ICRAM, I-00166 Rome, Italy</t>
  </si>
  <si>
    <t>Bianchi, J (corresponding author), Cent Inst Marine Res, ICRAM, Via di Casalotti,300, I-00166 Rome, Italy.</t>
  </si>
  <si>
    <t>j.bianchi@icram.org</t>
  </si>
  <si>
    <t>0954-2299</t>
  </si>
  <si>
    <t>2047-6523</t>
  </si>
  <si>
    <t>CHEM SPEC BIOAVAILAB</t>
  </si>
  <si>
    <t>Chem. Speciation Bioavail.</t>
  </si>
  <si>
    <t>10.3184/095422906782146203</t>
  </si>
  <si>
    <t>Biochemistry &amp; Molecular Biology; Environmental Sciences; Toxicology</t>
  </si>
  <si>
    <t>Biochemistry &amp; Molecular Biology; Environmental Sciences &amp; Ecology; Toxicology</t>
  </si>
  <si>
    <t>135QA</t>
  </si>
  <si>
    <t>WOS:000244166900002</t>
  </si>
  <si>
    <t>Montojo, UM; Baldoza, BJS; Cambia, FD; Benitez, KCD; Perelonia, KBS; Rivera, ATF</t>
  </si>
  <si>
    <t>Montojo, Ulysses M.; Baldoza, Bernajocele Jalyn S.; Cambia, Flordeliza D.; Benitez, Kathlene Cleah D.; Perelonia, Karl Bryan S.; Rivera, Ana Trinidad F.</t>
  </si>
  <si>
    <t>Levels and health risk assessment of mercury, cadmium, and lead in green mussel (Perna viridis) and oyster (Crassostrea iredalei) harvested around Manila Bay, Philippines</t>
  </si>
  <si>
    <t>FOOD CONTROL</t>
  </si>
  <si>
    <t>Heavy metals; Bivalves; Health risk; Hazard quotient; Daily intake</t>
  </si>
  <si>
    <t>HEAVY-METALS; FISH; CONSUMPTION; SEDIMENTS; PRODUCTS; EXPOSURE</t>
  </si>
  <si>
    <t>The coastal provinces of Manila Bay contribute 38% of mussel and oyster's production in the Philippines. However, concerns in the consumers' health are rising due to the possible pollution in the bay waters that may contaminate the bivalves. Thus, the present study determined the level of Hg, Cd, and Pb in green mussel (Perna viridis), oyster (Crassostrea iredalei), seawater as well as the potential health risk. Bivalves and seawater had levels of metals below the regulatory limit established by the country (Bureau of Fisheries and Aquatic Resources; Department of Environment and Natural Resources) and the EU. The maximum estimated daily intake (EDI) of Hg (1.95 x 10-08 mg/kg/day) in mussel was from Seneguelasan (Cavite) during dry season (DS) while maximum EDI of Cd (8.48 x 10-08 mg/kg/day) in oyster was from Tibaguin (Bulacan) during wet season (WS) both in 5-9 years old (yo) male and female, respectively. For maximum EDI of Cd (2.70 x 10-08 mg/kg/day) and Pb (3.54 x 10-08 mg/kg/day) in the mussel, it was found in 10-19 yo male from Wawa (Bataan) during DS and WS. Whereas, maximum EDI of Hg (1.19 x 10-08 mg/kg/day) and Pb (3.30 x 10-08 mg/kg/day) in oyster were found in 40-59 yo male from Timalang Balsahan during DS. However, none of the bivalves showed higher EDI and weekly intake than the reference dose (EPA 1991; EPA IRIS 1989 and 2001) and provisional tolerable weekly intake (FAO/WHO 2000; 2007; 2011). Furthermore, no health risks were associated with the consumption of mussel and oyster as hazard quotients were &lt;1. The possible cancer risks were estimated in four to six individuals out of 1 x 1007. The study recommends to have further risk assessment on other fishery commodities available in the area to secure the consumer's safety.</t>
  </si>
  <si>
    <t>[Montojo, Ulysses M.; Baldoza, Bernajocele Jalyn S.; Cambia, Flordeliza D.; Benitez, Kathlene Cleah D.; Perelonia, Karl Bryan S.] Natl Fisheries Res &amp; Dev Inst, Div Qual &amp; Safety Sect, Fisheries Postharvest Res &amp; Dev, Quezon City 1103, Philippines; [Rivera, Ana Trinidad F.] Food &amp; Drug Adm, Ctr Cosmet Regulat &amp; Res, Dept Hlth, Muntinlupa 1799, Philippines</t>
  </si>
  <si>
    <t>Philippine Department Health</t>
  </si>
  <si>
    <t>Montojo, UM (corresponding author), Natl Fisheries Res &amp; Dev Inst, Div Qual &amp; Safety Sect, Fisheries Postharvest Res &amp; Dev, Quezon City 1103, Philippines.</t>
  </si>
  <si>
    <t>ulyssesmontojo@gmail.com</t>
  </si>
  <si>
    <t>Benitez, Kathlene Cleah/0000-0003-4328-5790</t>
  </si>
  <si>
    <t>Bureau of Fisheries and Aquatic Resources (BFAR); Supreme Court Mandamus [171947-48]</t>
  </si>
  <si>
    <t>Bureau of Fisheries and Aquatic Resources (BFAR); Supreme Court Mandamus</t>
  </si>
  <si>
    <t>This work was supported by the Bureau of Fisheries and Aquatic Resources (BFAR) as a sub-component project under the Manila Bay Rehabilitation and Restoration Program, in compliance with the Supreme Court Mandamus (G.R. Nos. 171947-48).</t>
  </si>
  <si>
    <t>0956-7135</t>
  </si>
  <si>
    <t>1873-7129</t>
  </si>
  <si>
    <t>Food Control</t>
  </si>
  <si>
    <t>10.1016/j.foodcont.2021.107890</t>
  </si>
  <si>
    <t>JAN 2021</t>
  </si>
  <si>
    <t>Food Science &amp; Technology</t>
  </si>
  <si>
    <t>YW6AC</t>
  </si>
  <si>
    <t>WOS:000753493800002</t>
  </si>
  <si>
    <t>Sondergaard, J; Asmund, G; Johansen, P; Rigét, F</t>
  </si>
  <si>
    <t>Sondergaard, Jens; Asmund, Gert; Johansen, Poul; Riget, Frank</t>
  </si>
  <si>
    <t>Long-term response of an arctic fiord system to lead-zinc mining and submarine disposal of mine waste (Maarmorilik, West Greenland)</t>
  </si>
  <si>
    <t>Mining; Submarine tailings disposal; Pollution monitoring; Heavy metals; Lead; Zinc; Mytilus edulis; Fucus vesiculosus; Greenland; Arctic</t>
  </si>
  <si>
    <t>CONTAMINATION; SEDIMENTS; MUSSELS; UPDATE; TRENDS; BIOTA</t>
  </si>
  <si>
    <t>Contamination by lead (Pb) and zinc (Zn) was studied in seawater, sediments, seaweeds and blue mussels near the former Black Angel Pb-Zn Mine in Maarmorilik, West Greenland. The mine operated during the period 1973-90 when mine waste (tailings and later waste rock) was discharged directly into the sea. Metal concentrations peaked during the mining period and Pb and Zn in seawater within the discharge area were measured up to 440 and 790 mu g L(-1), respectively. Pb in fiord sediments, seaweeds and blue mussels just outside the discharge area were measured in concentrations up to 190, 84 and 2650 and Zn up to 300, 360 and 1190 mu g g(-1) dry wt., respectively. Within the discharge area, seawater metal concentrations (especially Pb) decreased abruptly after mine closure. Metals concentrations in sediments and biota, however, decreased more slowly and two decades after mine closure seaweeds and blue mussels were still contaminated 12 km from the mine. (C) 2011 Elsevier Ltd. All rights reserved.</t>
  </si>
  <si>
    <t>[Sondergaard, Jens; Asmund, Gert; Johansen, Poul; Riget, Frank] Aarhus Univ, Dept Arctic Environm, Natl Environm Res Inst, DK-4000 Roskilde, Denmark</t>
  </si>
  <si>
    <t>Sondergaard, J (corresponding author), Aarhus Univ, Dept Arctic Environm, Natl Environm Res Inst, Frederiksborgvej 399, DK-4000 Roskilde, Denmark.</t>
  </si>
  <si>
    <t>jens@dmu.dk</t>
  </si>
  <si>
    <t>Søndergaard, Jens/AAZ-1079-2020; Rigét, Frank/J-3245-2013</t>
  </si>
  <si>
    <t>Sondergaard, Jens/0000-0001-7680-9920</t>
  </si>
  <si>
    <t>10.1016/j.marenvres.2011.03.001</t>
  </si>
  <si>
    <t>788JW</t>
  </si>
  <si>
    <t>WOS:000292442200003</t>
  </si>
  <si>
    <t>Rüdel, H; Fliedner, A; Kösters, J; Schröter-Kermani, C</t>
  </si>
  <si>
    <t>Ruedel, Heinz; Fliedner, Annette; Koesters, Jan; Schroeter-Kermani, Christa</t>
  </si>
  <si>
    <t>Twenty years of elemental analysis of marine biota within the German Environmental Specimen Bank-a thorough look at the data</t>
  </si>
  <si>
    <t>Environmental Specimen Bank; North Sea; Baltic Sea; Cadmium; Mercury; Lead</t>
  </si>
  <si>
    <t>ORGANOTIN COMPOUNDS; TROPHIC TRANSFER; AQUATIC BIOTA; HEAVY-METAL; BALTIC SEA; FOOD WEBS; CADMIUM; BIOMAGNIFICATION; EGGS; METHYLMERCURY</t>
  </si>
  <si>
    <t>Purpose As one component of the German ecological environment observation, the Environmental Specimen Bank program was initiated in the mid-1980s. Under the program, representative specimens of marine, fresh water, and terrestrial ecosystems are sampled regularly and archived under chemically stable conditions. An initial characterization of the samples provides data regarding the status quo of the respective ecosystems. The aim of the present publication is to give insight into these real-time monitoring data, which have been generated for the last 10 to 20 years. This is done exemplarily for the heavy metals cadmium (Cd), mercury (Hg), and lead (Pb) in marine specimens of the Baltic and the North Sea. Methods Bladder wrack (Fucus vesiculosus), blue mussel (Mytilus edulis), eelpout (Zoarces viviparus), and eggs of herring gulls (Larus argentatus) were sampled at one location in the Baltic Sea and at two sites in the North Sea (Schleswig-Holstein Wadden Sea and Lower Saxony Wadden Sea). Annual samples were pooled, homogenized, and analyzed for a set of elements. Cd and Pb were quantified after freeze-drying and microwave digestion using inductively coupled plasma-mass spectrometry. Total Hg in freeze-dried samples was determined by atomic absorption spectrometry using a direct mercury analyzer. Results Time series data covering up to two decades revealed comparable cadmium levels at all three locations. Concentrations in bladder wrack ranged between 0.10 and 0.37 mu g/g on a wet weight basis (ww). Respective values for blue mussel and eelpout liver were 0.07-0.29 and 0.01-0.10 mu g/g ww. Herring gull eggs were not included in cadmium analyses. Declining trends were observed in North Sea bladder wrack and mussels, eelpout from the Lower Saxony site, and mussels from the Baltic Sea. Upward trends were apparent in eelpout from the Schleswig-Holstein location. Mercury concentrations in Baltic Sea specimens ranged from 1.1-2.7 ng/g ww in bladder wrack to 2.6-5.1, 26-52, and 86-226 ng/g ww in blue mussel, eelpout muscle, and herring gull eggs, respectively. No temporal trends were observed. North Sea bladder wrack had accumulated 5.4-24 ng/g ww Hg. The respective Hg values for blue mussel and eelpout muscle were 19-64 and 73-187 ng/g ww. Highest Hg contents were detected in herring gull eggs (90-1,100 ng/g ww). Declining trends of Hg were observed in herring gull eggs at both North Sea locations and in blue mussels at the Lower Saxony site. Lead concentrations in Baltic Sea specimens were 48-222 ng/g ww in bladder wrack, 85-189 ng/g ww in blue mussel, 2.0-9.5 and 10-42 ng/g ww in eelpout muscle and liver, and 2.7-26 ng/g ww in herring gull eggs. In the North Sea, Pb concentrations were as follows: 68-397 ng/g ww in bladder wrack, 101507 ng/g ww in blue mussels, 2.6-35 and 5.9-158 ng/g ww in eelpout muscle and liver, and 3.5-55 ng/g ww in herring gull eggs. Highest Pb-levels were found at the Lower Saxony site. Declining Pb-trends were observed in bladder wrack from the Baltic Sea; in bladder wrack and mussel at the Schleswig-Holstein location; and in bladder wrack, mussels, eelpout liver, and herring gull eggs at the Lower Saxony site. Conclusions During the 10 to 20 years of monitoring, reliable data were obtained which allow a good insight into metal contamination of marine biota. Assessment of the data according to OSPAR criteria (OSPAR 2005) revealed cadmium levels above the derived background concentrations in mussels of all three sites. Mercury levels above background concentrations were found at both North Sea locations, whereas only mussels at the Lower Saxony site had Pb concentrations above the reference value. Archived specimens are available for further analyses and questions which may arise in the future (speciation of elements, metallomics).</t>
  </si>
  <si>
    <t>[Ruedel, Heinz; Fliedner, Annette; Koesters, Jan] Fraunhofer Inst Mol Biol &amp; Appl Ecol, D-57377 Schmallenberg, Germany; [Schroeter-Kermani, Christa] Fed Environm Agcy Umweltbundesamt, D-06813 Dessau Rosslau, Germany</t>
  </si>
  <si>
    <t>Fraunhofer Gesellschaft</t>
  </si>
  <si>
    <t>Rüdel, H (corresponding author), Fraunhofer Inst Mol Biol &amp; Appl Ecol, D-57377 Schmallenberg, Germany.</t>
  </si>
  <si>
    <t>heinz.ruedel@ime.fraunhofer.de; christa.schroeter-kermani@uba.de</t>
  </si>
  <si>
    <t>Rudel, Heinz/0000-0002-4175-4787</t>
  </si>
  <si>
    <t>10.1007/s11356-009-0280-8</t>
  </si>
  <si>
    <t>616PQ</t>
  </si>
  <si>
    <t>WOS:000279221700001</t>
  </si>
  <si>
    <t>Abderrahmani, K; Boulandid, M; Bendou, N; Aissani, A</t>
  </si>
  <si>
    <t>Abderrahmani, Khaled; Boulandid, Mostefa; Bendou, Naima; Aissani, Amel</t>
  </si>
  <si>
    <t>Seasonal distribution of cadmium, lead, nickel, and magnesium in several tissues of mussels from the Algerian coasts</t>
  </si>
  <si>
    <t>Heavy metals; Distribution; Mussels; Organs; Bioaccumulation; Algerian central coast</t>
  </si>
  <si>
    <t>FRESH-WATER MUSSEL; MYTILUS-GALLOPROVINCIALIS; HEAVY-METAL; LIPID-PEROXIDATION; CHEMICAL CONTAMINATION; TRANSPLANTED MUSSELS; TRACE-METALS; BIOACCUMULATION; ACCUMULATION; POLLUTION</t>
  </si>
  <si>
    <t>This study aims to investigate the distribution of heavy metals (Cd, Pb, Ni, and Mn) in different organs of two marine mussel species, Perna perna collected from Figuier site and Mytilus galloprovincialis sampled from Sercouf and Algiers port sites of the Algerian coast. Thirty individuals (&gt;5 cm length) were seasonally sampled over a 1-year period from each site, and condition index (CI) and gonado somatic index (GSI) of mussels were calculated. The gill, digestive gland, rest of soft tissues, and gonad were accurately isolated and heavy metal contents were analyzed by ICP-MS. Heavy metal results, expressed on mu g/g dry weight, ranged from 0.1 to 2.6 Cd, 0.1 to 17.15 Pb, 0.36 to 25.7 Ni, and 3.68 to 74.76 Mn. Thus, typical distribution of studied metals in various organs of mussels was found. In fact, the digestive gland followed by gill revealed significantly high metal concentrations. However, gonad showed low heavy metal contents. Different patterns of heavy metal distribution in various organs of mussels were found at the three sampling sites. High levels of Cd, Pb, Ni, and Mn were detected in mussels of Sercouf, Algiers port, and Figuier sites, respectively. According to the Algerian and European norms, mussels collected from all sites were healthy except those of Algiers port sampled in autumn and winter seasons where lead contamination was found.</t>
  </si>
  <si>
    <t>[Abderrahmani, Khaled; Boulandid, Mostefa] ENSSMAL, Lab Ecosyst Marins &amp; Littoraux ECOSYSMarL, BP19,Campus Univ Dely Ibrahim, Bois Des Cars 16320, Alger, Algeria; [Abderrahmani, Khaled] CNRDPA, 11 Bd Colonel Amirouche,POB 67, Bou Ismail 42415, Tipaza, Algeria; [Bendou, Naima; Aissani, Amel] SONATRACH, Div Technol &amp; Dev Ex CRD, Ave 1er Novembre 1954, Boumerdes 35000, Algeria</t>
  </si>
  <si>
    <t>Ecole Nationale Superieure des Sciences de la Mer et Amenagement du Littoral (ENSSMAL)</t>
  </si>
  <si>
    <t>Abderrahmani, K (corresponding author), ENSSMAL, Lab Ecosyst Marins &amp; Littoraux ECOSYSMarL, BP19,Campus Univ Dely Ibrahim, Bois Des Cars 16320, Alger, Algeria.;Abderrahmani, K (corresponding author), CNRDPA, 11 Bd Colonel Amirouche,POB 67, Bou Ismail 42415, Tipaza, Algeria.</t>
  </si>
  <si>
    <t>khaled_abderrahmani@yahoo.fr</t>
  </si>
  <si>
    <t>ABDERRAHMANI, khaled/0000-0003-0312-6998</t>
  </si>
  <si>
    <t>10.1007/s11356-020-08682-8</t>
  </si>
  <si>
    <t>APR 2020</t>
  </si>
  <si>
    <t>LY0XL</t>
  </si>
  <si>
    <t>WOS:000528136500016</t>
  </si>
  <si>
    <t>Chidambaram, N</t>
  </si>
  <si>
    <t>The green mussel Perna viridis as an indicator of cadmium pollution</t>
  </si>
  <si>
    <t>cadmium; mussel; bioaccumulation; environmental factors</t>
  </si>
  <si>
    <t>BIVALVE SCROBICULARIA-PLANA; MYTILUS-EDULIS; METAL CONTENT; TRACE-METALS; HEAVY-METALS; COPPER; ZINC; LEAD</t>
  </si>
  <si>
    <t>Male and small sized green mussel, Perna viridis, showed more affinity to concentrate cadmium at both locations, Ennore estuary and Fishlanding centre, Madras. Mussels sampled from estuary accumulated cadmium higher than those from Fishlanding centre. Fluctuation in the values of cadmium were greater in estuarine mussels. Multiple stepwise linear regression analysis was performed to assess the role of some environmental factors on the intake of cadmium by mussel, Significant results were reported.</t>
  </si>
  <si>
    <t>ZOOL SURVEY INDIA, MARINE BIOL STN, 100 SANTHORNE HIGH RD, MADRAS 600028, TAMIL NADU, INDIA.</t>
  </si>
  <si>
    <t>TX396</t>
  </si>
  <si>
    <t>WOS:A1996TX39600004</t>
  </si>
  <si>
    <t>Zhang, LB; Liu, XL; You, LP; Zhou, D; Wu, HF; Li, LZ; Zhao, JM; Feng, JH; Yu, JB</t>
  </si>
  <si>
    <t>Zhang, Linbao; Liu, Xiaoli; You, Liping; Zhou, Di; Wu, Huifeng; Li, Lianzhen; Zhao, Jianmin; Feng, Jianghua; Yu, Junbao</t>
  </si>
  <si>
    <t>Metabolic responses in gills of Manila clam Ruditapes philippinarum exposed to copper using NMR-based metabolomics</t>
  </si>
  <si>
    <t>Copper; Heavy metal; Toxicity; Metabolites; Biomarkers; Manila clam; Bioindicator; Metabolomics</t>
  </si>
  <si>
    <t>MAGNETIC-RESONANCE-SPECTROSCOPY; MUSSEL MYTILUS-EDULIS; PATTERN-RECOGNITION; TIDAL FLATS; LIVER; EXTRACTION; POLLUTION; GALLOPROVINCIALIS; DINOSEB; HYPOXIA</t>
  </si>
  <si>
    <t>Copper is an important heavy metal contaminant with high ecological risk in the Bohai Sea. In this study, the metabolic responses in the bioindicator, Manila clam (Ruditapes philippinarum), to the environmentally relevant copper exposures were characterized using NMR-based metabolomics. The significant metabolic changes corresponding to copper exposures were related to osmolytes, intermediates of the Krebs cycle and amino acids, such as the increase in homarine, branched chain amino acids and decrease in succinate, alanine and dimethylamine in the copper-exposed clam gills during 96 h exposure period. Overall, Cu may lead to the disturbances in osmotic regulation and energy metabolism in clams during 96 h experimental period. These results demonstrate that NMR-based metabolomics is applicable for the discovery of metabolic biomarkers which could be used to elucidate the toxicological mechanisms of marine heavy metal contaminants. (C) 2011 Elsevier Ltd. All rights reserved.</t>
  </si>
  <si>
    <t>[Zhang, Linbao; Liu, Xiaoli; You, Liping; Zhou, Di; Wu, Huifeng; Li, Lianzhen; Zhao, Jianmin; Yu, Junbao] Chinese Acad Sci, Key Lab Coastal Zone Environm Proc, Yantai 264003, Peoples R China; [Zhang, Linbao; Liu, Xiaoli; You, Liping; Zhou, Di; Wu, Huifeng; Li, Lianzhen; Zhao, Jianmin; Yu, Junbao] Chinese Acad Sci, Yantai Inst Coastal Zone Res, Shandong Prov Key Lab Coastal Zone Environm Proc, Yantai 264003, Peoples R China; [Zhang, Linbao; Liu, Xiaoli; You, Liping; Zhou, Di] Chinese Acad Sci, Grad Sch, Beijing 100049, Peoples R China; [Feng, Jianghua] Xiamen Univ, State Key Lab Phys Chem Solid Surfaces, Fujian Key Lab Plasma &amp; Magnet Resonance, Dept Elect Sci, Xiamen 361005, Peoples R China</t>
  </si>
  <si>
    <t>Chinese Academy of Sciences; Chinese Academy of Sciences; Yantai Institute of Coastal Zone Research, CAS; Chinese Academy of Sciences; University of Chinese Academy of Sciences, CAS; Xiamen University</t>
  </si>
  <si>
    <t>Wu, HF (corresponding author), Chinese Acad Sci, Key Lab Coastal Zone Environm Proc, Yantai 264003, Peoples R China.</t>
  </si>
  <si>
    <t>hfwu@yic.ac.cn; junbao.yu@googlemail.com</t>
  </si>
  <si>
    <t>Yu, Junbao/0000-0002-3433-3538; Wu, Huifeng/0000-0002-4042-8103</t>
  </si>
  <si>
    <t>Chinese Academy of Sciences [KZCX2-YW-Q07-04]; Technology Development Program Projects of Shandong Province [2008GG20005006, 2008GG3NS0700]; SDSFC [ZR2009CZ008]; CAS/SAFEA</t>
  </si>
  <si>
    <t>Chinese Academy of Sciences(Chinese Academy of Sciences); Technology Development Program Projects of Shandong Province; SDSFC; CAS/SAFEA(Chinese Academy of Sciences)</t>
  </si>
  <si>
    <t>We thank Dr. Mark Viant (School of Bioscience, The University of Birmingham) for use of the software ProMetab. This research was supported by The 100 Talents Program of the Chinese Academy of Sciences, Technology Development Program Projects of Shandong Province (2008GG20005006 and 2008GG3NS0700) and SDSFC (ZR2009CZ008) and in part by the CAS/SAFEA International Partnership Program for Creative Research Teams Representative environmental processes and resources effects in coastal zone and CAS innovation key project (KZCX2-YW-Q07-04).</t>
  </si>
  <si>
    <t>10.1016/j.marenvres.2011.04.002</t>
  </si>
  <si>
    <t>826JB</t>
  </si>
  <si>
    <t>WOS:000295349300005</t>
  </si>
  <si>
    <t>Elvira, MV; Faustino-Eslava, DV; de Chavez, ERC; Losloso, JAL; Fukuyama, M</t>
  </si>
  <si>
    <t>Elvira, Marlon, V; Faustino-Eslava, Decibel, V; de Chavez, Emmanuel Ryan C.; Losloso, Jeffrey Andrew L.; Fukuyama, Mayuko</t>
  </si>
  <si>
    <t>Human health risk associated with heavy metals from consumption of Asiatic Clam, Corbicula fluminea, from Laguna de Bay, Philippines</t>
  </si>
  <si>
    <t>Human health risk; Heavy metal contamination; Ingestion rate; Estimated daily intake; Total hazard quotient; Carcinogenic effect; Asiatic clam; Laguna de Bay</t>
  </si>
  <si>
    <t>VEGETABLES; SEDIMENTS; POPULATION; SOILS; FISH</t>
  </si>
  <si>
    <t>Laguna de Bay, the largest and nationally significant freshwater lake ecosystem in the Philippines, has been increasingly subjected to anthropogenic pressures over the years. Domestic, agricultural, and industrial activities in the surrounding areas have contributed directly and indirectly to the deterioration of the lake's overall ecological health and integrity. This study assessed the chromium (Cr), nickel (Ni), copper (Cu), zinc (Zn), arsenic (As), lead (Pb), and cadmium (Cd) contamination in Asiatic clam, Corbicula fluminea, using quadrupole inductively coupled plasma-mass spectrometry. Estimated daily consumption of Asiatic clam was determined through a social survey. The data from analytical analysis and social surveys were utilized to calculate the target hazard quotient (THQ) to determine the potential health risks of consuming heavy metal-enriched clams to fishing households. Results from the Knowledge, Attitude, and Practices (KAP) survey indicated that the majority of the respondents have an acceptable level of knowledge on the hazards posed by the intake of contaminated clams but disapproved the banning of its collection and consumption. Sampled households with high consumption rates in all municipalities except Victoria were also found to be exposed to imminent health risk due to the high toxicity level of As based on their THQ values. Overall, one-third of the fishing households exposed to elevated health risk based on their total target hazard quotient (TTHQ) values already warrant a concern. The potential human health risks validate the worsening condition of Laguna de Bay. Integrative and holistic management of the lake through collaborative efforts of various stakeholders and institutions is necessary, to restore the health of the ecosystem and safeguard the health of the public.</t>
  </si>
  <si>
    <t>[Elvira, Marlon, V] Caraga State Univ, Coll Forestry &amp; Environm Sci, Butuan City 8600, Philippines; [Elvira, Marlon, V; Faustino-Eslava, Decibel, V; Losloso, Jeffrey Andrew L.] Univ Philippines Los Banos, Sch Environm Sci &amp; Management, Los Banos 4031, Laguna, Philippines; [de Chavez, Emmanuel Ryan C.] Univ Philippines Los Banos, Inst Biol Sci, Los Banos 4031, Laguna, Philippines; [Fukuyama, Mayuko] Akita Univ, Grad Sch Engn Sci, Akita, Akita, Japan</t>
  </si>
  <si>
    <t>University of the Philippines System; University of the Philippines Los Banos; University of the Philippines System; University of the Philippines Los Banos; Akita University</t>
  </si>
  <si>
    <t>Elvira, MV (corresponding author), Caraga State Univ, Coll Forestry &amp; Environm Sci, Butuan City 8600, Philippines.;Elvira, MV (corresponding author), Univ Philippines Los Banos, Sch Environm Sci &amp; Management, Los Banos 4031, Laguna, Philippines.</t>
  </si>
  <si>
    <t>Mvelvira@up.edu.ph</t>
  </si>
  <si>
    <t>Fukuyama, Mayuko/ABI-6062-2020; Eslava, Decibel/JAX-5721-2023; De Chavez, Emmanuel Ryan/HJZ-5282-2023</t>
  </si>
  <si>
    <t>Fukuyama, Mayuko/0000-0002-7094-6083; Faustino-Eslava, Decibel/0000-0002-1484-0452; Elvira, Marlon/0000-0003-1189-5308; de Chavez, Emmanuel Ryan C./0000-0002-8379-4947</t>
  </si>
  <si>
    <t>Philippine Council for Agriculture, Aquatic and Natural Resources Research and Development (PCAARRD); University of the Philippines Office of the Vice President for Academic Affairs (OVPAA); Continuous Operation and Outcomes-Based Partnership for Excellence in Research and Academic Training Enhancement (COOPERATE) Program of the University of the Philippines Office of Internal Linkages; JSPS [19 K04008]</t>
  </si>
  <si>
    <t>Philippine Council for Agriculture, Aquatic and Natural Resources Research and Development (PCAARRD); University of the Philippines Office of the Vice President for Academic Affairs (OVPAA); Continuous Operation and Outcomes-Based Partnership for Excellence in Research and Academic Training Enhancement (COOPERATE) Program of the University of the Philippines Office of Internal Linkages; JSPS(Ministry of Education, Culture, Sports, Science and Technology, Japan (MEXT)Japan Society for the Promotion of Science)</t>
  </si>
  <si>
    <t>The researchers gratefully acknowledge the following agencies for the financial support of this study: Philippine Council for Agriculture, Aquatic and Natural Resources Research and Development (PCAARRD); University of the Philippines Office of the Vice President for Academic Affairs (OVPAA); the Continuous Operation and Outcomes-Based Partnership for Excellence in Research and Academic Training Enhancement (COOPERATE) Program of the University of the Philippines Office of Internal Linkages; and JSPS Grants-in-Aid for Scientific Research (C) (19 K04008).</t>
  </si>
  <si>
    <t>10.1007/s11356-021-13298-7</t>
  </si>
  <si>
    <t>WOS:000627268300001</t>
  </si>
  <si>
    <t>Gómez-Mendikute, A; Cajaravllle, MP</t>
  </si>
  <si>
    <t>Comparative effects of cadmium, copper, paraquat and benzo[a]pyrene on the actin cytoskeleton and production of reactive oxygen species (ROS) in mussel haemocytes</t>
  </si>
  <si>
    <t>TOXICOLOGY IN VITRO</t>
  </si>
  <si>
    <t>12th International Workshop on In Vitro Toxicology</t>
  </si>
  <si>
    <t>OCT 16-19, 2001</t>
  </si>
  <si>
    <t>ITALIAN NATL SCH ATHLET, FORMIA, ITALY</t>
  </si>
  <si>
    <t>ITALIAN NATL SCH ATHLET</t>
  </si>
  <si>
    <t>mussel haemocytes; reactive oxygen species (ROS); actin cytoskeleton; cadmium; copper; benzo[a]pyrene; paraquat</t>
  </si>
  <si>
    <t>OYSTER CRASSOSTREA-VIRGINICA; MYTILUS-GALLOPROVINCIALIS; MOLLUSCAN HEMOCYTES; OXIDATIVE STRESS; IN-VITRO; TRIBUTYLTIN; POLLUTION; TOXICITY; RADICALS; METALS</t>
  </si>
  <si>
    <t>The immune defence of mussels is comprised of cell-mediated and humoral mechanisms, in which haemocytes or blood cells play a key role. Environmental pollutants such as metallic and organic xenobiotics exert immunotoxical effects on aquatic organisms. Some of these xenobiotics are known to give rise to highly reactive oxygen species (ROS), thereby leading to oxidative damage to tissue macromolecules including DNA, proteins and lipids. Previously we have detected enhancement of ROS production together with severe alterations in the actin cytoskeleton after exposure of mussel haemocytes to the carcinogenic polycyclic aromatic hydrocarbon benzo[a]pyrene (b[a]p). In a similar way, cadmium is also known to cause disruption of the actin cytoskeleton in mussel haemocytes, however it is not known whether this effect occurs by direct action or through ROS production. The aim of the present study was to decipher whether cytoskeletal alterations caused by Cd in mussel haemocytes are linked to increased ROS production. ROS-producing model compounds copper (Cu), paraquat and b[a]p were used in parallel experiments for comparative purposes. In all contaminant exposure experiments actin cytoskeleton appeared damaged. On the other hand, ROS production was increased in paraquat and b[a]p exposure experiments but decreased in haemocytes exposed to Cu while no significant effects were detected in Cd exposure experiments. In conclusion, it appears that deleterious effects of Cu and Cd on the integrity of the actin cytoskeleton of haemocytes are not directly linked to ROS production, at least at the exposure conditions used in the present study. (C) 2003 Elsevier Ltd. All rights reserved.</t>
  </si>
  <si>
    <t>Univ Basque Country, Cell Biol &amp; Histol Lab, Dept Zool &amp; Anim Cell Dynam, E-48080 Bilbao, Spain</t>
  </si>
  <si>
    <t>University of Basque Country</t>
  </si>
  <si>
    <t>Univ Basque Country, Cell Biol &amp; Histol Lab, Dept Zool &amp; Anim Cell Dynam, POB 644, E-48080 Bilbao, Spain.</t>
  </si>
  <si>
    <t>zopcabem@lg.ehu.es</t>
  </si>
  <si>
    <t>Cajaraville, Miren P/I-4757-2015</t>
  </si>
  <si>
    <t>Cajaraville, Miren P/0000-0001-6527-6137</t>
  </si>
  <si>
    <t>0887-2333</t>
  </si>
  <si>
    <t>TOXICOL IN VITRO</t>
  </si>
  <si>
    <t>Toxicol. Vitro</t>
  </si>
  <si>
    <t>OCT-DEC</t>
  </si>
  <si>
    <t>5-6</t>
  </si>
  <si>
    <t>10.1016/S0887-2333(03)00093-6</t>
  </si>
  <si>
    <t>746EF</t>
  </si>
  <si>
    <t>WOS:000186733400006</t>
  </si>
  <si>
    <t>Amodio-Cocchieri, R; Amoroso, S; Arnese, A; Cirillo, T; Montuori, P; Triassi, M</t>
  </si>
  <si>
    <t>Pollution by mercury, arsenic, lead, chromium, cadmium and polycyclic aromatic hydrocarbons of fish and mussels from the Gulf of Naples, Italy</t>
  </si>
  <si>
    <t>MARINE ORGANISMS; HEAVY-METALS; SEA</t>
  </si>
  <si>
    <t>Univ Naples Federico II, Dept Prevent Med Sci, I-80131 Naples, Italy; Univ Naples Federico II, Dept Food Sci, I-80055 Portici, Italy; Univ Naples Federico II, Dept Commun &amp; Neurosci, I-80131 Naples, Italy; II Univ Naples, Dept Publ Hlth &amp; Prevent Med, I-80138 Naples, Italy</t>
  </si>
  <si>
    <t>University of Naples Federico II; University of Naples Federico II; University of Naples Federico II; Universita della Campania Vanvitelli</t>
  </si>
  <si>
    <t>Triassi, M (corresponding author), Univ Naples Federico II, Dept Prevent Med Sci, Via S Pansini 5, I-80131 Naples, Italy.</t>
  </si>
  <si>
    <t>Cirillo, Teresa/R-2515-2016</t>
  </si>
  <si>
    <t>MONTUORI, Paolo/0000-0002-8745-232X; Cirillo, Teresa/0000-0002-6494-003X; Triassi, Maria/0000-0002-9420-9571</t>
  </si>
  <si>
    <t>SPRINGER-VERLAG</t>
  </si>
  <si>
    <t>175 FIFTH AVE, NEW YORK, NY 10010 USA</t>
  </si>
  <si>
    <t>10.1007/s00128-003-8829-6</t>
  </si>
  <si>
    <t>712PX</t>
  </si>
  <si>
    <t>WOS:000184807000016</t>
  </si>
  <si>
    <t>Mazhar, R; Shazili, NA; Harrison, FS</t>
  </si>
  <si>
    <t>Mazhar, Roshan; Shazili, Noor Azhar; Harrison, Faizah Shaharom</t>
  </si>
  <si>
    <t>Comparative study of the metal accumulation in Hysterothalycium reliquens (nematode) and Paraphilometroides nemipteri (nematode) as compared with their doubly infected host, Nemipterus peronii (Notched threadfin bream)</t>
  </si>
  <si>
    <t>PARASITOLOGY RESEARCH</t>
  </si>
  <si>
    <t>Biomonitoring; Metal pollution; Accumulation; South China Sea</t>
  </si>
  <si>
    <t>POMPHORHYNCHUS-LAEVIS PALAEACANTHOCEPHALA; PARATENUISENTIS-AMBIGUUS ACANTHOCEPHALA; ANGUILLICOLA-CRASSUS NEMATODA; CHUB LEUCISCUS-CEPHALUS; PERCH PERCA-FLUVIATILIS; LEAD ACCUMULATION; HEAVY-METALS; ZEBRA MUSSEL; FISH HOST; PARASITES</t>
  </si>
  <si>
    <t>In February 2013, forty-seven Notched threadfin bream, the Nemipterus peronii, were sampled from the eastern coastal waters of the South China Sea. The concentration of various elements, namely cadmium (Cd), chromium (Cr), copper (Cu), mercury (Hg), strontium (Sr), manganese (Mn), selenium (Se), Lead (Pb), nickel (Ni), aluminum (Al), arsenic (As), iron (Fe), and Zinc (Zn) were analyzed in the liver, muscle, and kidney organs of the host, as well as in their parasites Hysterothalycium reliquens (nematode) and the Paraphilometroides nemipteri (nematode), using inductively coupled plasma mass spectrometry (ICP-MS). The former group of parasites showed highest accumulation capacity for Cr, Cu, Fe, Mn, Se, Ni, and Zn while the latter group had high accumulation potential of As, Hg, Cd, Al, Pb, and Sr. The divergence in heavy-metal accumulation profiles of both nematodes is linked with the specificity of microhabitats, cuticle morphology, and interspecific competition. The outcome of this study indicates that both parasite models can be used for biomonitoring of metal pollution in marine ecosystems.</t>
  </si>
  <si>
    <t>[Mazhar, Roshan; Shazili, Noor Azhar; Harrison, Faizah Shaharom] Univ Malaysia Terengganu, Inst Trop Aquaculture, Kuala Terengganu 21030, Malaysia</t>
  </si>
  <si>
    <t>Mazhar, R (corresponding author), Univ Malaysia Terengganu, Inst Trop Aquaculture, Kuala Terengganu 21030, Malaysia.</t>
  </si>
  <si>
    <t>robinapasha@rocketmail.com</t>
  </si>
  <si>
    <t>Shazili, Noor/P-1268-2019</t>
  </si>
  <si>
    <t>Sharoum, Faizah/0000-0002-4042-783X</t>
  </si>
  <si>
    <t>Ministry of Higher Education [FRGS-59291]</t>
  </si>
  <si>
    <t>Ministry of Higher Education(Science and Technology Development Fund (STDF)Ministry of Higher Education &amp; Scientific Research (MHESR))</t>
  </si>
  <si>
    <t>The present study was financially supported by the Fundamental Research Grant Scheme (FRGS-59291), by Ministry of Higher Education and Institute of Oceanography, University Malaysia Terengganu for technical facilities during samples analyses.</t>
  </si>
  <si>
    <t>0932-0113</t>
  </si>
  <si>
    <t>1432-1955</t>
  </si>
  <si>
    <t>PARASITOL RES</t>
  </si>
  <si>
    <t>Parasitol. Res.</t>
  </si>
  <si>
    <t>10.1007/s00436-014-4039-x</t>
  </si>
  <si>
    <t>AQ0DU</t>
  </si>
  <si>
    <t>hybrid, Green Published</t>
  </si>
  <si>
    <t>WOS:000342453800021</t>
  </si>
  <si>
    <t>De Souza, PF; Vieira, KS; Gaylarde, CC; Lima, LS; Azevedo-Netto, A; Delgado, JF; Corrêa, TR; Neto, JAB; Fonseca, EM</t>
  </si>
  <si>
    <t>De Souza, P. F.; Vieira, K. S.; Gaylarde, C. C.; Lima, L. S.; Azevedo-Netto, A.; Delgado, J. F.; Correa, T. R.; Baptista Neto, J. A.; Fonseca, E. M.</t>
  </si>
  <si>
    <t>Heavy Metal And Hydrocarbons Bioaccumulation By Two Bivalve's Species From Santos Bay, Brazil</t>
  </si>
  <si>
    <t>STUDIES ON NEOTROPICAL FAUNA AND ENVIRONMENT</t>
  </si>
  <si>
    <t>Biomonitoring; toxicology; Perna perna; Crassostrea rhizophorae; pollution</t>
  </si>
  <si>
    <t>OYSTERS CRASSOSTREA-GIGAS; PETROLEUM-HYDROCARBONS; METALLOTHIONEIN; SEDIMENTS; CADMIUM; ACCUMULATION; ESTUARIES; SYSTEMS; GULF; BIOMONITORS</t>
  </si>
  <si>
    <t>Contaminants compounds like Heavy Metals and Polycyclic Aromatic Hydrocarbons (PAH's) are primarily sourced from industrial and urban areas. As pollutants, these chemical elements and compounds are potentially toxic and present the capacity to negatively impact the ecosystem, especially the most sensitive ones such as estuaries. Bivalves' species have been successfully utilized as monitoring tools to evaluate pollutants bioaccessibility around the globe. The present study assessed heavy metals (Zn, Cd, Ni, Fe, Cr, Cu and Pb), As and PAH's levels in two mollusk species (Perna perna and Crassostrea rhizophorae) from Santos Estuarine System, in Sao Paulo State, in order to compare the effectiveness of each species in the biomonitoring process. According to the obtained data, Perna perna mussels may be better indicators of environmental pollution than Crassostrea rhizophorae oysters for some metals (Iron and Nickel) and hydrocarbons. On the other hand, in the present study, oysters had a higher capacity for retaining zinc, copper, and cadmium, due to their peculiar physiological characteristics.</t>
  </si>
  <si>
    <t>[De Souza, P. F.; Vieira, K. S.; Lima, L. S.; Azevedo-Netto, A.; Delgado, J. F.; Correa, T. R.; Baptista Neto, J. A.; Fonseca, E. M.] Fluminense Fed Univ, Dynam Oceans &amp; Earth, Grad Program, Niteroi, RJ, Brazil; [Gaylarde, C. C.] Oklahoma Univ, Dept Microbiol &amp; Plant Biol, Norman, OK USA</t>
  </si>
  <si>
    <t>Universidade Federal Fluminense</t>
  </si>
  <si>
    <t>Fonseca, EM (corresponding author), Fluminense Fed Univ, Dynam Oceans &amp; Earth, Grad Program, Niteroi, RJ, Brazil.</t>
  </si>
  <si>
    <t>oceano25@hotmail.com</t>
  </si>
  <si>
    <t>SNP (Secretaria Nacional de Portos)</t>
  </si>
  <si>
    <t>This research was funded by SNP (Secretaria Nacional de Portos). The authors are as well thankful for the Geology Department/LAGEMAR at UFF (Universidade Federal Fluminense) for the infrastructure and administrative support.</t>
  </si>
  <si>
    <t>0165-0521</t>
  </si>
  <si>
    <t>1744-5140</t>
  </si>
  <si>
    <t>STUD NEOTROP FAUNA E</t>
  </si>
  <si>
    <t>Stud. Neotrop. Fauna Environ.</t>
  </si>
  <si>
    <t>JAN 2</t>
  </si>
  <si>
    <t>10.1080/01650521.2022.2065738</t>
  </si>
  <si>
    <t>MAY 2022</t>
  </si>
  <si>
    <t>LK5Z1</t>
  </si>
  <si>
    <t>WOS:000790274300001</t>
  </si>
  <si>
    <t>Rohonczy, J; Chételat, J; Robinson, SA; Arragutainaq, L; Heath, JP; McClelland, C; Mickpegak, R; Forbes, MR</t>
  </si>
  <si>
    <t>Rohonczy, Jillian; Chetelat, John; Robinson, Stacey A.; Arragutainaq, Lucassie; Heath, Joel P.; McClelland, Christine; Mickpegak, Raymond; Forbes, Mark R.</t>
  </si>
  <si>
    <t>Contrasting trophic transfer patterns of cadmium and mercury in the Arctic marine food web of east Hudson Bay, Canada</t>
  </si>
  <si>
    <t>Heavy metals; Bioaccumulation; Stable isotopes; Methylmercury; Subarctic; Biomagnification; Food web</t>
  </si>
  <si>
    <t>COMMON EIDERS; TRACE-ELEMENTS; BIOMAGNIFICATION; METHYLMERCURY; FISH; ISOTOPES; CD; ACCUMULATION; MAMMALS; DIETARY</t>
  </si>
  <si>
    <t>We investigated trophic transfer of cadmium (Cd) through an Arctic marine food web in Hudson Bay and compared it with mercury (Hg), a metal known to strongly biomagnify. We evaluated blue mussel, sea urchin, common eider, sculpin, Arctic cod, and ringed seal for the influence of dietary and biological variables on variation in Cd and Hg concentrations. Age and size influenced metal concentrations among individuals within a vertebrate species. Consumer carbon and sulfur isotope values were correlated with their Cd and Hg concentrations, indicating habitat-specific feeding influenced metal bioaccumulation. Trophic transfer patterns for Cd depended on the vertebrate tissue, with food web biodilution observed for the muscle but not the liver. Liver Cd concentrations were higher in ringed seal and some common eider relative to prey. In contrast, we observed mercury biomagnification for both tissues. Tissue- and species-specific physiology can explain discrepancies of Cd trophic transfer in this Arctic marine food web.</t>
  </si>
  <si>
    <t>[Rohonczy, Jillian; Forbes, Mark R.] Carleton Univ, Dept Biol, Ottawa, ON K1S 5B6, Canada; [Chetelat, John; Robinson, Stacey A.; McClelland, Christine] Natl Wildlife Res Ctr, Environm &amp; Climate Change Canada, Ottawa, ON K1A 0H3, Canada; [Arragutainaq, Lucassie] Sanikiluaq Hunters &amp; Trappers Assoc, Sanikiluaq, NU X0A 0W0, Canada; [Heath, Joel P.] Arctic Eider Soc, Sanikiluaq, NU X0A 0W0, Canada; [Mickpegak, Raymond] Sakkuq Landholding Corp, Kuujjuaraapik, PQ J0M 1G0, Canada</t>
  </si>
  <si>
    <t>Carleton University; Environment &amp; Climate Change Canada; Canadian Wildlife Service; National Wildlife Research Centre - Canada</t>
  </si>
  <si>
    <t>Chételat, J (corresponding author), Natl Wildlife Res Ctr, Environm &amp; Climate Change Canada, Ottawa, ON K1A 0H3, Canada.</t>
  </si>
  <si>
    <t>Chételat, John/AAE-4711-2020</t>
  </si>
  <si>
    <t>McClelland, Christine/0000-0003-2645-0221; Chetelat, John/0000-0002-9380-7203</t>
  </si>
  <si>
    <t>Northern Contaminants Program</t>
  </si>
  <si>
    <t>We gratefully acknowledge the community coordinators and hunters from Kuujjuarapik, Inukjuak, Sanikiluaq, and Umiujaq who collected marine animals for the study. This research would not have been possible without your contributions. We thank Bobby Aculiak (Inukjuak), Allie Aculiak (Inukjuak), Billy Brian Kasudluak (Inukjuak), Davidee Mina (Inukjuak), Conilucy Naktialuk (Inukjuak), Peter Nulukie (Inukjuak), Charlie Angatookalook (Kuujjuaraapik), Jordan Kronenburg (Kuujjuaraapik), George Tooktoo (Kuujjuaraapik), Vincent Tooktoo (Kuujjuraapik), Samson Tooktoo (Kuujjuaraapik), Eddy Tooktoo (Kuujjuaraapik), Willie Novalinga (Kuujjaraapik), Johnny Kudluarok (Sanikiluaq), Stephan Kudluarok (Sanikiluaq), Simeonie Uppik (Sanikiluaq), Josie Amitook (Sanikiluaq), Salamonie Kowcharlie (Sanikiluaq), Johnny Kasudluak (Umiujaq), Peter Crow (Umiujaq), Charlie Kumarluk (Umiujaq), Suzanna Aragutak (Umiujaq), and Randy Aragutak (Umiujaq). We also thank Lucassie Arragutainaq (Hunters and Trappers Association, Sanikiluaq), Annie Kasudluak (Amiturvik Landholding Corp., Umiujaq), Pauloosie Kasudluak (Inukjuak), Raymond Mickpegak (Sakkuq Landholding Corp., Kuujjuaraapik), and Allie Nalukturuk (Niqautik Hunters Association of Inukjuak) for their leadership and support of the study. We thank Michelle Zanuttig, Jian Jun Yang, Emily Porter, and Yueting Shao at the National Wildlife Research Centre (ECCC) for their technical assistance with chemical analyses. We gratefully acknowledge the production of the study area map by Ines Peraza.</t>
  </si>
  <si>
    <t>10.1007/s11356-024-32268-3</t>
  </si>
  <si>
    <t>FEB 2024</t>
  </si>
  <si>
    <t>KM4U0</t>
  </si>
  <si>
    <t>Green Published, hybrid</t>
  </si>
  <si>
    <t>WOS:001165169900003</t>
  </si>
  <si>
    <t>Lin, S; Hsieh, IJ</t>
  </si>
  <si>
    <t>Occurrences of green oyster and heavy metals contaminant levels in the Sien-San area, Taiwan</t>
  </si>
  <si>
    <t>heavy metals; green oysters; sediments; copper; Bay; Taiwan</t>
  </si>
  <si>
    <t>TRACE-METALS; CRASSOSTREA-GIGAS; PACIFIC OYSTER; MUSSEL-WATCH; COPPER; ZINC</t>
  </si>
  <si>
    <t>An abnormal increase of copper concentrations was observed in both the oyster tissues and sediments of the Sien-San coastal area in the north-western part of Taiwan, As much as 200 and 5000 ppm of copper was found in sediments and oysters. These sucessive concentrations of copper were introduced to the coastal area within a short period of about 4 yr, Copper concentrations increased 50 and 100-fold respectively in oyster tissues and sediments. The green oyster phenomenon occurred as a result of these rapid increases in metal concentrations. The appearance of green oysters and the abnormal concentrations of copper demonstrated that the Sien-San coastal area is undergoing a drastic change as a result of copper pollution. This pollution problem represents a serious threat to the local fishing community. (C) 1999 Elsevier Science Ltd. All rights reserved.</t>
  </si>
  <si>
    <t>Natl Taiwan Univ, Inst Oceanog, Taipei 10764, Taiwan</t>
  </si>
  <si>
    <t>Natl Taiwan Univ, Inst Oceanog, Taipei 10764, Taiwan.</t>
  </si>
  <si>
    <t>Lin, Saulwood/AAI-4400-2020</t>
  </si>
  <si>
    <t>Lin, Saulwood/0000-0001-5658-5587</t>
  </si>
  <si>
    <t>10.1016/S0025-326X(99)00108-3</t>
  </si>
  <si>
    <t>270KX</t>
  </si>
  <si>
    <t>WOS:000084535700011</t>
  </si>
  <si>
    <t>Galgani, F; Chiffoleau, JF; Barrah, M; Drebika, U; Tomasino, C; Andral, B</t>
  </si>
  <si>
    <t>Galgani, Francois; Chiffoleau, Jean Francois; Barrah, Mahmoud; Drebika, Usama; Tomasino, Corinne; Andral, Bruno</t>
  </si>
  <si>
    <t>Assessment of heavy metal and organic contaminants levels along the Libyan coast using transplanted mussels (Mytilus galloprovincialis)</t>
  </si>
  <si>
    <t>Mediterranean Sea; Environment; Pollution; Libya; Mytilus galloprovincialis</t>
  </si>
  <si>
    <t>MEDITERRANEAN SEA; HYDROCARBONS; DEPOSITION; SEDIMENTS</t>
  </si>
  <si>
    <t>Within the framework of the MYTIOR project in 2009, heavy metals and organic compounds contaminations were assessed in transplanted mussels in 16 different stations along the coasts of Libya. These stations were located at miles offshore industrial/urban sources but in open sea providing original results related to the background contamination rather than linked to a specific coastal source of pollutants. Results indicated mercury (Hg, 0.045-0.066 mg/kg dry weight (dw)), lead (Pb, 0.44-0, 71 mg/kg dw) and copper (Cu, 3.56-4.21 mg/kg dw) were in the same range or at lower value than control for all stations. Chromium (Cr) in Meleta (3.08 mg/kg dw) and Bomba (3.80 mg/kg dw) and Cadmium values in all stations (1.21-2.41 mg/kg dw) were above control. Meleta, stations from the gulf of Syrt and the three eastern stations were the most affected stations by nickel (max at 5.83 mg/kg dw in Syrt) when zinc was in the same range (141-197 mg/kg dw) and above the control (92 mg/kg dw) at all stations. Polycyclic aromatic hydrocarbon (PAH) levels were found in the range of 16.8-42.8 mg/kg (dry weight) indicating low levels along the Libyan coast with acenaphthene and benzo (a, b, k) pyrenes detected mainly in western Libya. The study of PAH ratios indicated a mixed petrogenic/pyrolytic origin. The only polychlorinated biphenyls (PCBs) found in Libya were PCB 101 in one location and PCB 153 in Tripoli, Garrapoli, Syrt, Ras Lanuf and Benghazi (1.2-1.9 mu g/kg dw). Insecticides were lower than control in all stations except DDT, only detected in Misratah (3.5 mu g/kg dw). Overall, the results indicated a low background contamination and a low pollution extent according to the environmental pressure occurring offshore the Libyan coast.</t>
  </si>
  <si>
    <t>[Galgani, Francois] IFREMER, LER PAC, ZI Furiani, F-20600 Bastia, France; [Chiffoleau, Jean Francois] IFREMER, RBE BE, Nantes 03, France; [Barrah, Mahmoud; Drebika, Usama] MBRC, Tajura, Libya; [Tomasino, Corinne; Andral, Bruno] IFREMER, LER PAC, F-83507 La Seyne Sur Mer, France</t>
  </si>
  <si>
    <t>Ifremer; Ifremer; Ifremer</t>
  </si>
  <si>
    <t>Galgani, F (corresponding author), IFREMER, LER PAC, ZI Furiani, F-20600 Bastia, France.</t>
  </si>
  <si>
    <t>fgalgani@ifremer.fr</t>
  </si>
  <si>
    <t>galgani, francois/A-1973-2011</t>
  </si>
  <si>
    <t>galgani, francois/0000-0001-8770-6054</t>
  </si>
  <si>
    <t>IFREMER; MBRC</t>
  </si>
  <si>
    <t>This work was funded by IFREMER and MBRC. We thank all contributors to the project/cruises MYTIOR. We thank especially Mr. Erssarbout (MBRC), Mr. Kassim (MBRC), and Mr. Quedec (IFREMER) for logistic and administrative support. We also sincerely thank all participants of the cruises and analysis and the crew of R/V L'Europe for technical support and cruise options.</t>
  </si>
  <si>
    <t>10.1007/s11356-014-3079-1</t>
  </si>
  <si>
    <t>AP9RD</t>
  </si>
  <si>
    <t>WOS:000342416400022</t>
  </si>
  <si>
    <t>Tanaviyutpakdee, P; Karnpanit, W</t>
  </si>
  <si>
    <t>Tanaviyutpakdee, Pharrunrat; Karnpanit, Weeraya</t>
  </si>
  <si>
    <t>Exposure Assessment of Heavy Metals and Microplastic-like Particles from Consumption of Bivalves</t>
  </si>
  <si>
    <t>FOODS</t>
  </si>
  <si>
    <t>lead; cadmium; microplastic-like particle; bivalve; exposure</t>
  </si>
  <si>
    <t>POLLUTION; LEAD; MOLLUSKS; SALTS</t>
  </si>
  <si>
    <t>The aim of this study was to determine the contamination of lead (Pb), cadmium (Cd) and microplastic (MP)-like particles in bivalves and estimate the exposure of the Thai population to these contaminants due to bivalve consumption. Clams, mussels and cockles were purchased from five wholesale seafood markets located on the upper Gulf of Thailand during the period 2017-2019. Determinations of Cd and Pb in the bivalves were conducted using a graphite furnace atomic absorption spectrometer (GFAAS). Visualization was conducted using a stereomicroscope to investigate the morphology and content of MP-like particles in the bivalve samples. The average Pb contents in clams, mussels and cockles were 112, 64 and 151 mu g/kg wet wt., respectively. The average Cd contents were 126, 107 and 457 mu g/kg wet wt. for clams, mussels and cockles, respectively. The average number of MP-like particles in bivalve samples varied from not detected to 1.2 items/g wet wt. and not detected to 4.3 items/individual. The exposure to Pb, Cd and MP-like particles due to bivalve consumption varied between 0.005 and 0.29 mu g/kg bw/day, 0.017 and 28.9 mu g/kg bw/month and 0.015 and 27.5 items/person/day, respectively. There was no potential health risk of exposure to Pb and Cd due to bivalve consumption in any age group. However, a high consumption of cockles with high Cd levels (the worst-case scenario) in children may be of concern.</t>
  </si>
  <si>
    <t>[Tanaviyutpakdee, Pharrunrat] Mahidol Univ, Inst Nutr, 999 Salaya, Phutthamonthon 73170, Nakhon Pathom, Thailand; [Karnpanit, Weeraya] Western Sydney Univ, Sch Hlth Sci, Locked Bag 1797, Penrith, NSW 2751, Australia</t>
  </si>
  <si>
    <t>Mahidol University; Western Sydney University</t>
  </si>
  <si>
    <t>Tanaviyutpakdee, P (corresponding author), Mahidol Univ, Inst Nutr, 999 Salaya, Phutthamonthon 73170, Nakhon Pathom, Thailand.;Karnpanit, W (corresponding author), Western Sydney Univ, Sch Hlth Sci, Locked Bag 1797, Penrith, NSW 2751, Australia.</t>
  </si>
  <si>
    <t>pharrunrat.tan@mahidol.ac.th; W.Karnpanit@westernsydney.edu.au</t>
  </si>
  <si>
    <t>Karnpanit, Weeraya/0000-0002-1863-9799; Tanaviyutpakdee, Pharrunrat/0000-0001-9853-5342</t>
  </si>
  <si>
    <t>Mahidol University</t>
  </si>
  <si>
    <t>The article processing charge (APC) was funded by Mahidol University.</t>
  </si>
  <si>
    <t>2304-8158</t>
  </si>
  <si>
    <t>Foods</t>
  </si>
  <si>
    <t>10.3390/foods12163018</t>
  </si>
  <si>
    <t>Q4AS3</t>
  </si>
  <si>
    <t>WOS:001056966900001</t>
  </si>
  <si>
    <t>Otchere, FA; Joiris, CR; Holsbeek, L</t>
  </si>
  <si>
    <t>Mercury in the bivalves Anadara (Senilia) senilis, Perna perna and Crassostrea tulipa from Ghana</t>
  </si>
  <si>
    <t>6th International Conference on Mercury as a Global Pollutant</t>
  </si>
  <si>
    <t>OCT 15-19, 2001</t>
  </si>
  <si>
    <t>MINAMATA, JAPAN</t>
  </si>
  <si>
    <t>mercury; bivalves; lagoons; marine; seasonal variations; Ghana</t>
  </si>
  <si>
    <t>METHYL MERCURY; HEAVY-METALS; VARIABILITY; POLLUTION; SIZE</t>
  </si>
  <si>
    <t>Three bivalves: Anadara (Senilia) senilis (n = 220), Crassostrea tulipa (n = 260) from two 'open' lagoons (Benya and Ningo) and a 'closed' lagoon (Sakumo), and Perna perna (n = 170) from rocky shores adjacent to Benya and Sakumo, were analyzed for their total and organic Hg concentrations and total body burden. Median concentrations for cockles were 0.20 mug/g dw for the wet season and 0.36 mug/g dw for the dry season. Total mercury concentration for both mussels and oysters ranged from 0.04 to 0.84 mug/g dw. Seasonal variations and age effect were detected in all the species but no significant spatial variation was found along the coast. Organic (methyl) mercury concentration ranged from 0.03 to 0.55 mug/g dw was stable without age effect. The median relative organic mercury varied between 30 and 80% depending on the season, location, species and the type of lagoon. The lower concentrations in the wet season were due to primary production and dilution effect. Log-transformed regression relationships between body burden and size were used to compare the species. (C) 2002 Elsevier Science B.V. All rights reserved.</t>
  </si>
  <si>
    <t>Free Univ Brussels, Lab Ecotoxicol, B-1050 Brussels, Belgium</t>
  </si>
  <si>
    <t>Universite Libre de Bruxelles</t>
  </si>
  <si>
    <t>Free Univ Brussels, Lab Ecotoxicol, Pleinlaan 2, B-1050 Brussels, Belgium.</t>
  </si>
  <si>
    <t>atotchere@yahoo.co.uk</t>
  </si>
  <si>
    <t>MAR 20</t>
  </si>
  <si>
    <t>1-3</t>
  </si>
  <si>
    <t>PII S0048-9697(02)00582-X</t>
  </si>
  <si>
    <t>10.1016/S0048-9697(02)00582-X</t>
  </si>
  <si>
    <t>669YA</t>
  </si>
  <si>
    <t>WOS:000182377700032</t>
  </si>
  <si>
    <t>Tamburini, M; Badocco, D; Ercadi, R; Turicchia, E; Zampa, G; Gasparini, F; Ballarin, L; Guerra, R; Lasut, MT; Makapedua, DM; Mamuaja, J; Pastore, P; Ponti, M</t>
  </si>
  <si>
    <t>Tamburini, Marco; Badocco, Denis; Ercadi, Riccardo; Turicchia, Eva; Zampa, Greta; Gasparini, Fabio; Ballarin, Loriano; Guerra, Roberta; Lasut, Markus T.; Makapedua, Daisy M.; Mamuaja, Jane; Pastore, Paolo; Ponti, Massimo</t>
  </si>
  <si>
    <t>Bioaccumulation of Mercury and Other Trace Elements in the Edible Holothurian Holothuria (Halodeima) atra in Relation to Gold Mining Activities in North Sulawesi, Indonesia</t>
  </si>
  <si>
    <t>heavy metals; pollution; lollyfish; trepang; sea cucumbers; artisanal mines; coral reef; coral triangle</t>
  </si>
  <si>
    <t>SUBMARINE TAILINGS DISPOSAL; BUYAT-RATOTOTOK DISTRICT; BLACK-SEA CUCUMBER; HEAVY-METALS; SURFACE SEDIMENTS; COASTAL AREAS; MARINE; CONTAMINATION; ACCUMULATION; POLLUTION</t>
  </si>
  <si>
    <t>Artisanal and small-scale gold mines (ASGMs) have been accompanied by widespread usage of mercury amalgamation to extract gold from ores, putting Indonesia among the top three global emitters of this pollutant and posing potential risks to the marine ecosystem and human health. Although the use of mercury has been largely eliminated following the signature of the Minamata Convention on Mercury, the practice of mercury amalgamation in ASGM has persisted in several regions, including the North Sulawesi. This study assesses how on the contamination of mercury and other trace elements coming from both industrial mines and ASGMs affects marine sediments and their bioaccumulation in two tissues (body wall and guts) of the edible holothurian Holothuria (Halodeima) atra, by comparing samples collected downstream of four mining areas to four control sites in the North Sulawesi province, Indonesia. In sediments, mean concentrations of arsenic, gold, cobalt, chromium, copper, mercury, nickel, lead, antimony, and zinc were significantly higher at sites receiving mine discharges than at control sites. Downstream to gold mines, compared to control sites, significant higher concentrations of As, Au, Cr, Hg, and Ni in holothurians body walls and of As, Au, Co, Cr, Cu, Hg, Pb, Sb, Sn, and Zn in holothurians guts were found. In general, higher contaminations in sediments and tissues were found at the site near the oldest artisanal mine. Trace element levels in H. atra specimens in North Sulawesi were generally higher than those reported in other regions. In the study area, these holothurians significantly bioaccumulate Hg, As, Zn, Cd, Cu, Sn, and biota-sediment accumulation factors were higher in guts than in body walls. From an environmental and human health perspective, Hg is resulted the most concerning element in surface sediment and H. atra specimens. Based on this evidence, further studies are urgently needed to understand better the effect of mercury and other potentially toxic trace elements in marine ecosystems and food webs in mining areas both in North Sulawesi and in many still poorly investigated southeast Pacific areas.</t>
  </si>
  <si>
    <t>[Tamburini, Marco] Univ Pavia, Dipartimento Sci Terra &amp; Ambiente, Pavia, Italy; [Badocco, Denis; Pastore, Paolo] Univ Padua, Dipartimento Sci Chim, Padua, Italy; [Ercadi, Riccardo; Turicchia, Eva; Zampa, Greta; Ponti, Massimo] Alma Mater Studiorum Univ Bologna, Dipartimento Sci Biol, Geolog &amp; Ambientali, Ravenna, Italy; [Turicchia, Eva] Alma Mater Studiorum Univ Bologna, Dipartimento Beni Culturali, Ravenna, Italy; [Turicchia, Eva; Ponti, Massimo] Univ Bologna, Ctr Interdipartimentale Ric Industriale Fonti Rinn, Ambiente, Mare Energia, Ravenna, Italy; [Turicchia, Eva; Ponti, Massimo] Reef Check Italia onlus, Ancona, Italy; [Turicchia, Eva; Ponti, Massimo] Consorzio Nazl Interuniv Sci Mare, Rome, Italy; [Gasparini, Fabio; Ballarin, Loriano] Univ Padua, Dipartimento Biol, Padua, Italy; [Guerra, Roberta] Alma Mater Studiorum Univ Bologna, Dipartimento Fis &amp; Astron, Ravenna, Italy; [Lasut, Markus T.; Makapedua, Daisy M.; Mamuaja, Jane] Sam Ratulangi Univ, Fac Fisheries &amp; Marine Sci, Manado, North Sulawesi, Indonesia</t>
  </si>
  <si>
    <t>University of Pavia; University of Padua; University of Bologna; University of Bologna; University of Bologna; CoNISMa; University of Padua; University of Bologna; Universitas Sam Ratulangi</t>
  </si>
  <si>
    <t>Turicchia, E (corresponding author), Alma Mater Studiorum Univ Bologna, Dipartimento Sci Biol, Geolog &amp; Ambientali, Ravenna, Italy.;Turicchia, E (corresponding author), Alma Mater Studiorum Univ Bologna, Dipartimento Beni Culturali, Ravenna, Italy.;Turicchia, E (corresponding author), Univ Bologna, Ctr Interdipartimentale Ric Industriale Fonti Rinn, Ambiente, Mare Energia, Ravenna, Italy.;Turicchia, E (corresponding author), Reef Check Italia onlus, Ancona, Italy.;Turicchia, E (corresponding author), Consorzio Nazl Interuniv Sci Mare, Rome, Italy.</t>
  </si>
  <si>
    <t>eva.turicchia2@unibo.it</t>
  </si>
  <si>
    <t>Guerra, Roberta/B-8587-2012; Ballarin, Loriano/D-7106-2011; Turicchia, Eva/AAN-3240-2020; Mamuaja, Jane/ACT-5732-2022; Makapedua, Daisy Monica/GOK-2761-2022; Lasut, Markus/AAC-7127-2021; Ponti, Massimo/R-3093-2016; Tamburini, Marco/HTR-5165-2023</t>
  </si>
  <si>
    <t>Turicchia, Eva/0000-0002-8952-9028; Mamuaja, Jane/0000-0002-6496-7582; Ponti, Massimo/0000-0002-6521-1330; Tamburini, Marco/0000-0001-7802-3761</t>
  </si>
  <si>
    <t>EuroMarine Young Scientist Fellowship by the OYSTER group</t>
  </si>
  <si>
    <t>ET benefited from a EuroMarine Young Scientist Fellowship by the OYSTER group within its programme for training.</t>
  </si>
  <si>
    <t>MAY 13</t>
  </si>
  <si>
    <t>10.3389/fmars.2022.863629</t>
  </si>
  <si>
    <t>1W2GB</t>
  </si>
  <si>
    <t>WOS:000806594900001</t>
  </si>
  <si>
    <t>Bruno, F; Nava, V; Fazio, F; Sansotta, C; Bruschetta, G; Licata, P; Parrino, V</t>
  </si>
  <si>
    <t>Bruno, Fabio; Nava, Vincenzo; Fazio, Francesco; Sansotta, Carlo; Bruschetta, Giuseppe; Licata, Patrizia; Parrino, Vincenzo</t>
  </si>
  <si>
    <t>Heavy Metals Bioaccumulation in Mytilus galloprovincialis and Tapes decussatus from Faro Lake (Messina), Italy</t>
  </si>
  <si>
    <t>Article; Early Access</t>
  </si>
  <si>
    <t>Bioaccumulation; Metals; Biomarkers; Mytilus galloprovincialis; Tapes decussatus; Faro Lake</t>
  </si>
  <si>
    <t>GANZIRRI LAKE; CADMIUM; TOXICITY; MERCURY; STRESS; CLAMS; FISH</t>
  </si>
  <si>
    <t>The aim of this study was to evaluate the potential bioaccumulation of arsenic (As), copper (Cu), zinc (Zn), cadmium (Cd), lead (Pb) and mercury (Hg) in the haemolymph and corpus of Mytilus galloprovincialis and Tapes decussatus from Lake Faro. The lake is particularly prone to the accumulation of substances that are potentially toxic to aquatic organisms, due to the input of pollutants from urban and agricultural sources and the low rate of water exchange. The combination of saltwater from the Tyrrhenian Sea, the Strait of Messina and freshwater from hilly aquifers has created brackish conditions in the lake, resulting in an area of high commercial shellfish productivity. As, Cd, Cu, Pb and Zn were determined using a single quadrupole inductively coupled plasma mass spectrometer; Hg was determined using a direct mercury analyser (DMA-80). Physicochemical parameters of the water from Lake Faro were also performed. Statistical analysis was carried out using GraphPad Prism 9.0 (GraphPad Software, Inc., Boston, MA, USA) and Shapiro-Wilk normality was applied. Concentrations of Cd, Hg and Pb below the permitted MRLs in Mytilus galloprovincialis and Tapes decussatus used as ''biological indicators'' show that Lake Faro is not at risk of contamination by these pollutants and, moreover, is free of health problems for the consumer based on regulatory limits.</t>
  </si>
  <si>
    <t>[Bruno, Fabio; Nava, Vincenzo; Fazio, Francesco; Bruschetta, Giuseppe; Licata, Patrizia] Univ Messina, Dept Vet Sci, Messina, Italy; [Sansotta, Carlo] Univ Messina, Dept Biomed Dent Morphol &amp; Funct Imaging Sci, Via Consolare Valeria, I-98125 Messina, Italy; [Parrino, Vincenzo] Univ Messina, Dept Chem Biol Pharmaceut &amp; Environm Sci, Messina, Italy</t>
  </si>
  <si>
    <t>University of Messina; University of Messina; University of Messina</t>
  </si>
  <si>
    <t>Nava, V; Licata, P (corresponding author), Univ Messina, Dept Vet Sci, Messina, Italy.</t>
  </si>
  <si>
    <t>vnava@unime.it; plicata@unime.it</t>
  </si>
  <si>
    <t>Licata, Patrizia/AAM-5842-2020; Nava, Vincenzo/HHM-3616-2022; Parrino, Vincenzo/HNR-7070-2023; Francesco, Fazio/Q-1598-2019</t>
  </si>
  <si>
    <t>Nava, Vincenzo/0000-0001-5966-4467</t>
  </si>
  <si>
    <t>SPRINGERNATURE</t>
  </si>
  <si>
    <t>CAMPUS, 4 CRINAN ST, LONDON, N1 9XW, ENGLAND</t>
  </si>
  <si>
    <t>1559-0720</t>
  </si>
  <si>
    <t>2024 MAR 2</t>
  </si>
  <si>
    <t>10.1007/s12011-024-04128-1</t>
  </si>
  <si>
    <t>MAR 2024</t>
  </si>
  <si>
    <t>JR8N4</t>
  </si>
  <si>
    <t>WOS:001174985000001</t>
  </si>
  <si>
    <t>Pan, K; Wang, WX</t>
  </si>
  <si>
    <t>Pan, Ke; Wang, Wen-Xiong</t>
  </si>
  <si>
    <t>Inter-individual variations in cadmium and zinc biodynamics in the scallop Chlamys nobilis</t>
  </si>
  <si>
    <t>MARINE ECOLOGY PROGRESS SERIES</t>
  </si>
  <si>
    <t>Cadmium; Zinc; Scallops; Biokinetic model; Intraspecific difference</t>
  </si>
  <si>
    <t>TRACE-METAL CONCENTRATIONS; BIVALVE MACOMA-BALTHICA; MUSSEL MYTILUS-EDULIS; MARINE-INVERTEBRATES; BIOACCUMULATION; VARIABILITY; BIOMONITOR; FIELD; POLLUTION; EXPOSURE</t>
  </si>
  <si>
    <t>Intraspecific variability in the bioaccumulation of metals has been widely recorded in marine invertebrates, including marine bivalves. In the present study, we used biokinetic modelling and metal subcellular partitioning approaches to understand the intraspecific variability of metal bioaccumulation (Cd and Zn) in the scallop Chlamys nobilis as a model organism. Significant individual differences in metal body burdens were found in C. nobilis. Cd concentrations varied by 3-fold and concentrations of Zn varied by 10-fold for individuals with similar body sizes. Contrasting metal biokinetics and metal subcellular partitioning were observed in different individuals. There was no significant relationship between the metal body burden and the dissolved metal uptake rate or the dietary assimilation efficiency in the individual scallops. However, a significant negative relationship was found between the metal efflux rate and the respective metal body burden, suggesting that efflux rate plays a key role in determining the intraspecific differences in the metal body burden in the tissues of scallops. Subcellular partitioning was closely related to the metal body burden in the scallops as well. A lower efflux rate or a higher proportion of metals stored in non-toxic form contributed to higher metal body burdens in individual scallops. Intrinsic variation may provide a population with more plasticity to counteract spatially or temporally abrupt environmental changes, and may be important for survival of microevolutionary events. Our results provide important information for interpreting the variability observed in natural environments.</t>
  </si>
  <si>
    <t>[Pan, Ke; Wang, Wen-Xiong] Hong Kong Univ Sci &amp; Technol, Dept Biol, Kowloon, Hong Kong, Peoples R China</t>
  </si>
  <si>
    <t>Wang, WX (corresponding author), Hong Kong Univ Sci &amp; Technol, Dept Biol, Kowloon, Hong Kong, Peoples R China.</t>
  </si>
  <si>
    <t>Wang, Wenxiong/E-7254-2011</t>
  </si>
  <si>
    <t>Hong Kong Research Grants Council [HKUST6420/06M]</t>
  </si>
  <si>
    <t>Hong Kong Research Grants Council(Hong Kong Research Grants Council)</t>
  </si>
  <si>
    <t>The present study was supported by a Competitive Earmarked Research Grant from the Hong Kong Research Grants Council (HKUST6420/06M) to W-X. Wang.</t>
  </si>
  <si>
    <t>INTER-RESEARCH</t>
  </si>
  <si>
    <t>OLDENDORF LUHE</t>
  </si>
  <si>
    <t>NORDBUNTE 23, D-21385 OLDENDORF LUHE, GERMANY</t>
  </si>
  <si>
    <t>0171-8630</t>
  </si>
  <si>
    <t>MAR ECOL PROG SER</t>
  </si>
  <si>
    <t>Mar. Ecol.-Prog. Ser.</t>
  </si>
  <si>
    <t>10.3354/meps08016</t>
  </si>
  <si>
    <t>Ecology; Marine &amp; Freshwater Biology; Oceanography</t>
  </si>
  <si>
    <t>Environmental Sciences &amp; Ecology; Marine &amp; Freshwater Biology; Oceanography</t>
  </si>
  <si>
    <t>455KA</t>
  </si>
  <si>
    <t>Bronze, Green Submitted</t>
  </si>
  <si>
    <t>WOS:000266756800012</t>
  </si>
  <si>
    <t>Celik, B; Sipahi, N; Kekec, AI; Halac, B</t>
  </si>
  <si>
    <t>Celik, B.; Sipahi, N.; Kekec, A., I; Halac, B.</t>
  </si>
  <si>
    <t>Investigation of Some Heavy Metal Resistance Genes in E.coli Isolated from Shrimp and Mussels</t>
  </si>
  <si>
    <t>JOURNAL OF THE HELLENIC VETERINARY MEDICAL SOCIETY</t>
  </si>
  <si>
    <t>copper; mercury; manganese; E; coli; resistance</t>
  </si>
  <si>
    <t>ESCHERICHIA-COLI; BACTERIA; COPPER; ZINC; ANTIBIOTICS; WATER; RIVER; MERA</t>
  </si>
  <si>
    <t>of the biggest problems in the modern world is environmental pollution, which affects all organ-isms, albeit at different levels. An important contributor to pollution comes in the form of stable and non-degradable heavy metal compounds produced from the use of heavy metals in a wide range of environments. Heavy metal pollu-tion, especially in the seas, is bioaccumulated in aquatic life and the food chain, causing heavy metal-related diseases. The most critical sign of heavy metal pollution in water is the resistance formed against heavy metals in bacteria living in these waters. Heavy metals resistance in E. coli isolated from 18 mussels and 16 shrimps was genotypically investigated in both plasmid and genomic DNA. Out of 34 E. coli isolates examined, 31 (1.17%) harbored heavy metal resistance genes. The presence of the pcoR gene was found in 2 isolates (5.88%), the merA gene in only one isolate (2.94%), and the mntR gene in 8 isolates (23.52%). While pcoR and merA were not observed together in any isolate, pcoR and mntR were detected together in the genetic material of 10 isolates (29.41%) and mntR and merA were de-tected together in the genetic material of seven isolates (20.58%). In three samples, all of the resistance genes against heavy metals were detected (8.82%).In this study, approximately 90% of the isolates carried one or more of the heavy metal resistance genes. This study shows the widespread distribution of heavy metal resistance genes in the isolates examined and reports that the extent to which this situation affects antibiotic resistance should be evaluated.</t>
  </si>
  <si>
    <t>[Celik, B.; Kekec, A., I; Halac, B.] Istanbul Univ Cerrahpasa, Fac Vet Med, Dept Microbiol, Istanbul, Turkiye; [Sipahi, N.] Duzce Univ, Tradit &amp; Complementary Med Appl &amp; Res Ctr, Duzce, Turkiye</t>
  </si>
  <si>
    <t>Istanbul University - Cerrahpasa; Duzce University</t>
  </si>
  <si>
    <t>Celik, B (corresponding author), Istanbul Univ Cerrahpasa, Fac Vet Med, Dept Microbiol, Istanbul, Turkiye.</t>
  </si>
  <si>
    <t>baran.celik@iuc.edu.tr</t>
  </si>
  <si>
    <t>kekec, A.Ilgin/AFV-8624-2022; Sipahi, Nisa/AAG-4583-2019; celik, baran/D-2674-2019</t>
  </si>
  <si>
    <t>Sipahi, Nisa/0000-0001-8915-3545</t>
  </si>
  <si>
    <t>HELLENIC VETERINARY MEDICAL SOC</t>
  </si>
  <si>
    <t>ATHENS</t>
  </si>
  <si>
    <t>158 PATISSION ST, ATHENS, 112 57, GREECE</t>
  </si>
  <si>
    <t>1792-2720</t>
  </si>
  <si>
    <t>J HELL VET MED SOC</t>
  </si>
  <si>
    <t>J. Hell. Vet. Med. Soc.</t>
  </si>
  <si>
    <t>APR-JUN</t>
  </si>
  <si>
    <t>+</t>
  </si>
  <si>
    <t>10.12681/jhvms.29632</t>
  </si>
  <si>
    <t>M0PD6</t>
  </si>
  <si>
    <t>WOS:001027217900005</t>
  </si>
  <si>
    <t>Wang, JH; Deng, WF; Zou, T; Bai, BB; Chang, AK; Ying, XP</t>
  </si>
  <si>
    <t>Wang, Jinhua; Deng, Wanfei; Zou, Ting; Bai, Binbin; Chang, Alan K.; Ying, Xueping</t>
  </si>
  <si>
    <t>Cadmium-induced oxidative stress in Meretrix meretrix gills leads to mitochondria-mediated apoptosis</t>
  </si>
  <si>
    <t>Cadmium; Meretrix meretrix; Mitochondrial enzyme; Apoptosis; Mitochondrial membrane potential; Caspase</t>
  </si>
  <si>
    <t>INTEGRATED BIOMARKER APPROACH; SOUTH CHINA SEA; FRESH-WATER; HEAVY-METALS; MUSCLE; DAMAGE; HEPATOPANCREAS; TARGET; POLLUTION; SEDIMENTS</t>
  </si>
  <si>
    <t>Cadmium (Cd) is one of the most important marine environmental pollutants that can cause oxidative damage and apoptosis in living organisms, and mitochondria are the key cell organelles affected by Cd toxicity. In this study, we investigated the effect of Cd on the mitochondria in the gill cells of the clam Meretrix meretrix and the underlying mechanism of mitochondria-mediated apoptosis following exposure to the metal. Exposure of the clams to artificial seawater containing 1.5, 3, 6 and 12 mg L-1 Cd2+ led to swollen mitochondria compared with the untreated clams. The mitochondria also became vacuolated at the higher Cd2+ concentrations. Biochemical assays showed that monoamine oxidase (MAO) activity and mitochondrial membrane potential (Delta psi m) increased at 1.5 mg L-1 Cd2+, but decreased at higher Cd2+ concentrations, while the activities of malate dehydrogenase (MDH) and cytochrome oxidase (CCO) and the scavenging capacities of anti-superoxide anion (ASA) and anti-hydroxy radical (AHR) all decreased with increasing Cd2+ concentrations. Significant increases in the levels of malondialdehyde (MDA) and H2O2 as well as in the activity levels of caspase-3, -8, and -9 were also observed in the Cd2+-treated clams. The results implied that Cd might induce apoptosis in M. meretrix via the mitochondrial caspase-dependent pathway.</t>
  </si>
  <si>
    <t>[Wang, Jinhua; Deng, Wanfei; Zou, Ting; Bai, Binbin; Chang, Alan K.; Ying, Xueping] Wenzhou Univ, Coll Life &amp; Environm Sci, Wenzhou, Zhejiang, Peoples R China</t>
  </si>
  <si>
    <t>Wenzhou University</t>
  </si>
  <si>
    <t>Ying, XP (corresponding author), Wenzhou Univ, Coll Life &amp; Environm Sci, Wenzhou, Zhejiang, Peoples R China.</t>
  </si>
  <si>
    <t>xpying2008@wzu.edu.cn</t>
  </si>
  <si>
    <t>deng, wanfei/JCF-0424-2023; Wang, Jin/GYA-2019-2022</t>
  </si>
  <si>
    <t>National Natural Science Foundation of China [32071514]; Nature Science Foundation of Zhejiang Province (CN) [LY18C030005]; Graduate Innovation Program of Wenzhou University [3162019005]</t>
  </si>
  <si>
    <t>National Natural Science Foundation of China(National Natural Science Foundation of China (NSFC)); Nature Science Foundation of Zhejiang Province (CN); Graduate Innovation Program of Wenzhou University</t>
  </si>
  <si>
    <t>This study was supported by the National Natural Science Foundation of China under Grant number 32071514 (to YXP), the Nature Science Foundation of Zhejiang Province (CN) under Grant number LY18C030005 (to YXP), and the Graduate Innovation Program of Wenzhou University under Grant number 3162019005 (to WJH).</t>
  </si>
  <si>
    <t>10.1007/s10646-021-02465-8</t>
  </si>
  <si>
    <t>SEP 2021</t>
  </si>
  <si>
    <t>XA4XL</t>
  </si>
  <si>
    <t>WOS:000696420800001</t>
  </si>
  <si>
    <t>Zhang, RH; Li, ZG; Liu, XD; Wang, BC; Zhou, GL; Huang, XX; Lin, CF; Wang, AH; Brooks, M</t>
  </si>
  <si>
    <t>Zhang, Run-Hua; Li, Zhi-Guo; Liu, Xu-Dong; Wang, Bin-cai; Zhou, Guo-Lin; Huang, Xing-Xue; Lin, Chu-Fa; Wang, Ai-hua; Brooks, Margot</t>
  </si>
  <si>
    <t>Immobilization and bioavailability of heavy metals in greenhouse soils amended with rice straw-derived biochar</t>
  </si>
  <si>
    <t>ECOLOGICAL ENGINEERING</t>
  </si>
  <si>
    <t>Biochar; Heavy metal; Bioavailability; Greenhouse soil; Cadmium</t>
  </si>
  <si>
    <t>CONTAMINATED SOIL; SEWAGE-SLUDGE; MUSSEL SHELL; COW BONE; CD; AVAILABILITY; SPECIATION; ELEMENTS; SORPTION; CADMIUM</t>
  </si>
  <si>
    <t>Pollution of greenhouse soils and crops by heavy metals as a result of annual application of large amounts of pesticides and fertilizers is of great concerns. We investigated the effect of biochar (BC) as a potential immobilizing medium for cadmium (Cd) by assessing Cd bioavailability, fractions, and uptake of metals by lettuce plants in metal-contaminated greenhouse soils. Experiments were conducted in two typical vegetable greenhouses displaying different levels of heavy metal pollution (GH1, lightly heavy-metal polluted greenhouse; GH(2), heavily heavy-metal-polluted greenhouse), in Wuhan City suburbs, Hubei Province, China. For each greenhouse site three replicates of each of three levels of BC (Bo, 0t ha(-1); B-10,10 t ha(-1); B-20, 20 t ha(-1)) were arranged in a randomized complete block design. The application of BC increased soil pH and soil organic matter and changed Cd fractions in the soil. The exchangeable Cd fraction decreased and there was an increase in the oxide- and organic-bound and residual fractions with the application of BC, implying that BC application could immobilize the Cd in greenhouse soil. The rates of Cd immobilization in soil increased with the amount of BC applied. The exchangeable Cd fractions in soils amended with B10 decreased by 45-62% and in soils amended with B2O by 66-89% compared to the control. The addition of BC reduced the concentration of Cd in lettuce shoots in the lightly heavy-metal polluted soils, but in the heavily heavy-metal-contaminated soils it had either no effect, or promoted Cd absorption by lettuce shoots. Total Cd measured in lettuce tissues did not decrease with the addition of BC when compared to the control, as there was increased accumulations of lettuce biomass with biochar application. (C) 2016 Published by Elsevier B.V.</t>
  </si>
  <si>
    <t>[Zhang, Run-Hua; Liu, Xu-Dong; Wang, Bin-cai; Zhou, Guo-Lin; Huang, Xing-Xue; Lin, Chu-Fa; Wang, Ai-hua] Wuhan Acad Agr Sci &amp; Technol, Vegetable Res Inst, Wuhan 430345, Peoples R China; [Li, Zhi-Guo] Chinese Acad Sci, Key Lab Aquat Bot &amp; Watershed Ecol, Wuhan Bot Garden, Wuhan 430074, Peoples R China; [Brooks, Margot] Rhodes Univ, Chinag Dept Biochem &amp; Microbiol, ZA-6140 Grahamstown, South Africa</t>
  </si>
  <si>
    <t>Chinese Academy of Sciences; Wuhan Botanical Garden, CAS; Rhodes University</t>
  </si>
  <si>
    <t>Zhang, RH (corresponding author), Wuhu Modern Agr Pk, Wuhan, Hubei, Peoples R China.;Li, ZG (corresponding author), Chinese Acad Sci, Wuhan Bot Garden, Wuhan 430074, Hubei Province, Peoples R China.</t>
  </si>
  <si>
    <t>rhzhang0508@126.com; lzg250@126.com</t>
  </si>
  <si>
    <t>wang, lili/HDL-7210-2022; liu, xudong/HJG-8137-2022</t>
  </si>
  <si>
    <t>National Natural Science Foundation of China [31201618, 41501313]; Natural Science Foundation of Hubei Province [2012FFB0570]; Scientific and Technological Innovation Project of Wuhan Academy of Agricultural Science and Technology [Cxfzx201502, CX201450]</t>
  </si>
  <si>
    <t>National Natural Science Foundation of China(National Natural Science Foundation of China (NSFC)); Natural Science Foundation of Hubei Province(Natural Science Foundation of Hubei Province); Scientific and Technological Innovation Project of Wuhan Academy of Agricultural Science and Technology</t>
  </si>
  <si>
    <t>This study was financially supported by the Projects of National Natural Science Foundation of China (31201618; 41501313), Natural Science Foundation of Hubei Province (2012FFB0570), Scientific and Technological Innovation Project of Wuhan Academy of Agricultural Science and Technology (Cxfzx201502, CX201450).</t>
  </si>
  <si>
    <t>0925-8574</t>
  </si>
  <si>
    <t>1872-6992</t>
  </si>
  <si>
    <t>ECOL ENG</t>
  </si>
  <si>
    <t>Ecol. Eng.</t>
  </si>
  <si>
    <t>10.1016/j.ecoleng.2016.10.057</t>
  </si>
  <si>
    <t>Ecology; Engineering, Environmental; Environmental Sciences</t>
  </si>
  <si>
    <t>Environmental Sciences &amp; Ecology; Engineering</t>
  </si>
  <si>
    <t>EF6PZ</t>
  </si>
  <si>
    <t>WOS:000390454300022</t>
  </si>
  <si>
    <t>Ekpo, BO; Ibok, UJ</t>
  </si>
  <si>
    <t>Temporal variation and distribution of trace metals in freshwater and fish from Calabar River, SE Nigeria</t>
  </si>
  <si>
    <t>ENVIRONMENTAL GEOCHEMISTRY AND HEALTH</t>
  </si>
  <si>
    <t>Calabar river; freshwater fish; Nigeria; trace metals; water</t>
  </si>
  <si>
    <t>MUSSEL MYTILUS-EDULIS; HEAVY-METALS; CADMIUM; WATER; COPPER; ZINC; SEDIMENTS; LEAD; PHYTOPLANKTON; ACCUMULATION</t>
  </si>
  <si>
    <t>An investigation on the abundance and distribution of trace metals (Fe, Cu, Zn, Mn, Cr, Cd and Pb) in water, and nine species of fish samples from Calabar river was carried out in 1992. The concentrations of iron (6000-7240 mu g l(-1)), zinc (4910-7230 mu g l(-1)), and cadmium (3-7 mu g l(-1)) showed moderate pollution while those of copper (420-630 mu g l(-)1), manganese (23-48 mu g l(-1)), chromium (&lt; 10-20 mu g l(-1)) and lead (&lt; 1-10 mu g l(-1)) in water were well below WHO permissible levels. Significant seasonal changes (0.001 greater than or equal to p less than or equal to 0.25) were obtained for iron, copper, zinc, manganese and cadmium in water. Furthermore, iron, zinc and cadmium showed statistically significant spatial changes (0.005 greater than or equal to p less than or equal to 0.10). Of the nine fish species studied, no statistically significant relationship between body weight and the concentrations of the metals was observed. The concentrations of the metals per mean total body weight apparently decreases in the order Fe &gt; Zn &gt; Cu &gt; Mn &gt; Pb &gt; Cd = Cr and were within the limits that were safe for consumption.</t>
  </si>
  <si>
    <t>Univ Calabar, Dept Chem, Calabar, CR State, Nigeria</t>
  </si>
  <si>
    <t>University of Calabar</t>
  </si>
  <si>
    <t>Univ Calabar, Dept Chem, POB 3766, Calabar, CR State, Nigeria.</t>
  </si>
  <si>
    <t>bakpo@unical.anpa.net.ng</t>
  </si>
  <si>
    <t>Ibok, Prof. Udo/CAG-7458-2022</t>
  </si>
  <si>
    <t>Ibok, Prof. Udo J./0000-0001-9428-1007; Ekpo, Bassey/0000-0001-5576-1753</t>
  </si>
  <si>
    <t>0269-4042</t>
  </si>
  <si>
    <t>1573-2983</t>
  </si>
  <si>
    <t>ENVIRON GEOCHEM HLTH</t>
  </si>
  <si>
    <t>Environ. Geochem. Health</t>
  </si>
  <si>
    <t>10.1023/A:1006544711923</t>
  </si>
  <si>
    <t>Engineering, Environmental; Environmental Sciences; Public, Environmental &amp; Occupational Health; Water Resources</t>
  </si>
  <si>
    <t>Engineering; Environmental Sciences &amp; Ecology; Public, Environmental &amp; Occupational Health; Water Resources</t>
  </si>
  <si>
    <t>213RG</t>
  </si>
  <si>
    <t>WOS:000081286600006</t>
  </si>
  <si>
    <t>Giamberini, L; Pihan, JC</t>
  </si>
  <si>
    <t>Lysosomal changes in the hemocytes of the freshwater mussel Dreissena polymorpha experimentally exposed to lead and zinc</t>
  </si>
  <si>
    <t>DISEASES OF AQUATIC ORGANISMS</t>
  </si>
  <si>
    <t>freshwater mussel; heavy metals; hemocytes; lysosomal changes; biomarker</t>
  </si>
  <si>
    <t>MYTILUS-EDULIS; DIGESTIVE CELLS; ENVIRONMENTAL CONTAMINANTS; SUBLETHAL CONCENTRATIONS; CELLULAR-RESPONSES; METAL TOXICITY; COMMON MUSSEL; COPPER; BIOMARKERS; POLLUTION</t>
  </si>
  <si>
    <t>This study examines the structural changes of the lysosomal system of the hemocytes of the zebra mussel Dreissena polymorpha experimentally exposed to lead and zinc. A cytochemical technique which demonstrated acid phosphatase activity as a lysosomal marker was used on blood cell monolayers. The results indicate that the effects of both metals on hemocytic lysosomes were variable and that no marked linear relationship between lysosomal changes and metal concentration and exposure time was observed. Hemocytes of exposed zebra mussels exhibited enlarged and/or more numerous lysosomes. The use of the lysosomal changes in the hemocytes as a biomarker of contaminant exposure is discussed.</t>
  </si>
  <si>
    <t>Giamberini, L (corresponding author), UNIV METZ,CTR RECH ECOL,EQUIPE ECOTOXICOL,BP 4116,F-57040 METZ,FRANCE.</t>
  </si>
  <si>
    <t>0177-5103</t>
  </si>
  <si>
    <t>DIS AQUAT ORGAN</t>
  </si>
  <si>
    <t>Dis. Aquat. Org.</t>
  </si>
  <si>
    <t>MAR 27</t>
  </si>
  <si>
    <t>10.3354/dao028221</t>
  </si>
  <si>
    <t>XE335</t>
  </si>
  <si>
    <t>WOS:A1997XE33500008</t>
  </si>
  <si>
    <t>Kljakovic-Gaspic, Z; Odzak, N; Ujevic, I; Zvonaric, T; Baric, A</t>
  </si>
  <si>
    <t>Kljakovic-Gaspic, Zorana; Odzak, Niksa; Ujevic, Ivana; Zvonaric, Tomislav; Baric, Ante</t>
  </si>
  <si>
    <t>Biomonitoring of trace metals (Cu, Cd, Cr, Hg, Pb, Zn) in the eastern Adriatic using the Mediterranean blue mussel (2001-2005)</t>
  </si>
  <si>
    <t>13th International Symposium on Environmental Pollution and Its Impact on Life in the Mediterranean Region</t>
  </si>
  <si>
    <t>OCT 08-12, 2005</t>
  </si>
  <si>
    <t>Thessaloniki, GREECE</t>
  </si>
  <si>
    <t>Adriatic Sea; biomonitoring; heavy metals; mussels; trends</t>
  </si>
  <si>
    <t>POLLUTED MARINE AREA; HEAVY-METALS; MYTILUS-GALLOPROVINCIALIS; MERCURY DISTRIBUTION; TRANSPLANTED MUSSELS; METHYL MERCURY; COAST; SEDIMENTS; SEA; ORGANISMS</t>
  </si>
  <si>
    <t>This paper presents results of trace metal monitoring in the coastal waters of the eastern Adriatic (Croatian coast), during the 2001-2005 period, using the Mediterranean blue mussel (Mytilus galloprovincialis) as indicator species. Levels of essential (Cu, Zn) and non-essential (Cd, Cr, THg, Pb) metals were determined in a whole soft tissue of mussels collected from 20 locations along the eastern Adriatic coast. Examination of the spatial pattern of contaminants revealed two types of metal distribution. Lead, chromium, copper, zinc and total mercury were significantly elevated in the urban and industrial areas. Concentrations of Cr and Cd were more uniformly distributed across all sites. Elevated concentrations of Cd were also found in mussels from rural areas located far away from known anthropogenic sources of contamination. Although elevated concentrations of all trace metals were recorded in the areas with high input of industrial, harbor and urban wastes, the obtained data provide no proof of the significant pollution along the eastern Adriatic coast. Analysis of temporal trends showed that metal concentrations had not changed with time during the monitoring period. With few exceptions, 98% of values were well below the permissible limits for fresh seafood.</t>
  </si>
  <si>
    <t>Inst Oceanog &amp; Fisheries, Lab Chem Oceanog &amp; Sedimentol Sea, Split 21000, Croatia; Swiss Fed Inst Environm Sci &amp; Technol, EAWAG, CH-8600 Dubendorf, Switzerland; Univ Split, Fac Nat Sci &amp; Arts, Split 21000, Croatia</t>
  </si>
  <si>
    <t>Croatian Institute of Oceanography &amp; Fisheries (IZOR); Swiss Federal Institutes of Technology Domain; Swiss Federal Institute of Aquatic Science &amp; Technology (EAWAG); University of Split</t>
  </si>
  <si>
    <t>Kljakovic-Gaspic, Z (corresponding author), Inst Oceanog &amp; Fisheries, Lab Chem Oceanog &amp; Sedimentol Sea, Setaliste Ivana Mestrov 63, Split 21000, Croatia.</t>
  </si>
  <si>
    <t>kljakovic@izor.hr</t>
  </si>
  <si>
    <t>Kljakovic-Gaspic, Zorana/J-9660-2012</t>
  </si>
  <si>
    <t>Kljakovic Gaspic, Zorana/0000-0002-0439-2131; Ujevic, Ivana/0000-0001-6686-1418</t>
  </si>
  <si>
    <t>092FM</t>
  </si>
  <si>
    <t>WOS:000241082400011</t>
  </si>
  <si>
    <t>Barreira, J; Araújo, DF; Machado, W; Ponzevera, E</t>
  </si>
  <si>
    <t>Barreira, Joao; Araujo, Daniel F.; Machado, Wilson; Ponzevera, Emmanuel</t>
  </si>
  <si>
    <t>Copper and zinc isotope systematics in different bivalve mollusk species from the French coastline: Implications for biomonitoring</t>
  </si>
  <si>
    <t>Trace metal; Stable isotopes; Biomonitoring; Isotope fractionation; Bivalve mollusks</t>
  </si>
  <si>
    <t>ZN ISOTOPES; METAL POLLUTION; PARTICULATE MATTER; ANTHROPOGENIC ZN; TRACE-METALS; FRACTIONATION; PB; CU; CADMIUM; OYSTERS</t>
  </si>
  <si>
    <t>Zinc (Zn) and copper (Cu) stable isotopic compositions have been analyzed in various species of bivalve mollusks worldwide, but no comprehensive systematic interspecies comparison exists. Thus, we assessed isotope differences between species harvested in emblematic French coastal ecosystems to unveil biologically driven Cu and Zn isotope fractionation patterns. Inter -species isotopic variability of Cu is larger than Zn, with organisms that regulate internal concentrations displaying preferential bioaccumulation of heavy isotopes. The degree of internal isotope fractionation decreases from mussels &gt; clams &gt; oysters, affecting Cu more than Zn. The less pronounced Zn inter -specie variability helps preserve source information more reliably. Spatial analysis of a single oyster species denotes thus an important isotope variability of environmental Zn sources, including natural, anthropogenic and dietary components. Overall, results highlight the importance of considering systematic offset in Cu and Zn isotope values when comparing data from different bivalve species.</t>
  </si>
  <si>
    <t>[Barreira, Joao; Machado, Wilson] Univ Fed Fluminense, Dept Geoquim, Campus Valonguinho, Niteroi, RJ, Brazil; [Araujo, Daniel F.; Ponzevera, Emmanuel] Ifremer, CCEM Contaminat Chim Ecosyst Marins, F-44000 Nantes, France</t>
  </si>
  <si>
    <t>Universidade Federal Fluminense; Ifremer</t>
  </si>
  <si>
    <t>Barreira, J (corresponding author), Univ Fed Fluminense, Dept Geoquim, Campus Valonguinho, Niteroi, RJ, Brazil.</t>
  </si>
  <si>
    <t>joao_barreira@id.uff.br</t>
  </si>
  <si>
    <t>Ponzevera, Emmanuel/0000-0001-6481-7309; Goncalves Barreira, Joao Paulo/0000-0002-1884-9083</t>
  </si>
  <si>
    <t>Coordenacao de Aperfeicoamento de Pessoal de Nivel Superior (CAPES) , Brazil [001, 88887.483826/2020-00]</t>
  </si>
  <si>
    <t>Coordenacao de Aperfeicoamento de Pessoal de Nivel Superior (CAPES) , Brazil(Coordenacao de Aperfeicoamento de Pessoal de Nivel Superior (CAPES))</t>
  </si>
  <si>
    <t>This study was supported in part by the Coordenacao de Aperfeicoamento de Pessoal de Nivel Superior (CAPES) , Brazil (Finance Code 001) . J. B. acknowledges the financial support from CAPES (grant number 88887.483826/2020-00) . The authors acknowledge the Center for Environmental Science of the University of Maryland for graphics herein used, publicly available at https://ian.umces.edu/medialibrary/</t>
  </si>
  <si>
    <t>10.1016/j.marpolbul.2024.116177</t>
  </si>
  <si>
    <t>LQ3O2</t>
  </si>
  <si>
    <t>WOS:001188230600001</t>
  </si>
  <si>
    <t>BAEKKEN, T</t>
  </si>
  <si>
    <t>EFFECTS OF HIGHWAY POLLUTANTS ON A SMALL NORWEGIAN LAKE</t>
  </si>
  <si>
    <t>4th International Symposium on Highway Pollution</t>
  </si>
  <si>
    <t>MAY 18-22, 1992</t>
  </si>
  <si>
    <t>MADRID, SPAIN</t>
  </si>
  <si>
    <t>LAKE ECOSYSTEM; HIGHWAY POLLUTANTS; OXYGEN; SPECIFIC CONDUCTIVITY; HEAVY METALS; POLYCYCLIC AROMATIC HYDROCARBONS; BENTHIC COMMUNITIES</t>
  </si>
  <si>
    <t>FRESH-WATER MACROINVERTEBRATES; AMPHIPOD GAMMARUS-PULEX; BIOLOGICAL HALF-LIVES; ACUTE TOXICITY; CADMIUM; HARDNESS; EXPOSURE; METALS; LEAD; ZINC</t>
  </si>
  <si>
    <t>A small lake ecosystem close to a highway was investigated to reveal the possible effects of highway pollutants. Comparing data on oxygen and specific conductivity before construction of the highway suggests no effects on the oxygen condition but considerable effects on the conductivity. The concentrations of cadmium and zinc in bivalves were about 2 to 3 times higher in the polluted lake than in the reference lake, suggesting an impact from the highway. The concentrations of copper, mercury, nickel, lead and polycyclic aromatic hydrocarbons (PAH) in bivalves were low, presumably close to the background levels. Only lead concentrations in perch liver and PAH in the flesh were above the background levels and higher in the polluted lake. The diversity and abundance of the benthic communities were reduced on the highway side of the lake, suggesting negative effects of the highway pollutants.</t>
  </si>
  <si>
    <t>BAEKKEN, T (corresponding author), NORWEGIAN INST WATER RES,POB 69,N-0808 OSLO,NORWAY.</t>
  </si>
  <si>
    <t>MAY 23</t>
  </si>
  <si>
    <t>NN064</t>
  </si>
  <si>
    <t>WOS:A1994NN06400018</t>
  </si>
  <si>
    <t>HIRAOKA, Y</t>
  </si>
  <si>
    <t>REDUCTION OF HEAVY-METAL CONTENT IN HIROSHIMA BAY OYSTERS (CRASSOSTREA-GIGAS) BY PURIFICATION</t>
  </si>
  <si>
    <t>MISSISSIPPI; VIRGINICA</t>
  </si>
  <si>
    <t>Cultured oysters from Hiroshima Bay were analysed to determine the content of nine trace elements, cadmium (Cd), lead (Pb), chromium (Cr), arsenic (As), manganese (Mn), nickel (Ni), copper (Cu), zinc (Zn), and iron (Fe) and compared with oysters treated for 48 h in both artifical sea water and a solution of 0.5% ethylenediaminetetraacetic acid (EDTA) in artifical sea water. It was found that the values of As and Fe in both groups of treated oysters were significantly lower than in the untreated oysters and that the Pb and Mn levels tended to be lower. It was also found that oysters treated in 0.5% EDTA solution in artificial sea water had lower levels of Cd and Cu than the oysters treated only in artificial sea water.</t>
  </si>
  <si>
    <t>HIRAOKA, Y (corresponding author), HIROSHIMA UNIV,SCH MED,DEPT HYG,1-2-3 KASUMI,MINAMI KU,HIROSHIMA 734,JAPAN.</t>
  </si>
  <si>
    <t>10.1016/0269-7491(91)90010-T</t>
  </si>
  <si>
    <t>FK604</t>
  </si>
  <si>
    <t>WOS:A1991FK60400002</t>
  </si>
  <si>
    <t>SIN, YM; WONG, MK; CHOU, LM; ALIAS, NB</t>
  </si>
  <si>
    <t>A STUDY OF THE HEAVY-METAL CONCENTRATIONS OF THE SINGAPORE RIVER</t>
  </si>
  <si>
    <t>4TH SYMP ON OUR ENVIRONMENT</t>
  </si>
  <si>
    <t>MAY 21-23, 1990</t>
  </si>
  <si>
    <t>SINGAPORE, SINGAPORE</t>
  </si>
  <si>
    <t>The concentrations of lead, cadmium, copper, zinc, iron, and mercury in the water, sediment and biota of the Singapore River were determined. The concentration of the various metals in water showed significant variation at different sampling times and there was enrichment of lead content. The spatial patterns of metal distribution in the sediment could be due to the different pollution sources such as exhaust emission from boats and other environmental variables such as clay content of sediment or tide level. In the biota, higher amounts of metals were found in species inhabiting the river bed while organisms of higher trophic level such as free-swimming fishes and crabs accumulated lower amounts. In general, the flesh of fishes and crabs had the least content of metals compared to other tissues. The concentration of various metals in bivalve, Mytilopsis sallei, which were found extensively in the river did not reflect the pollution distribution.</t>
  </si>
  <si>
    <t>SIN, YM (corresponding author), NATL UNIV SINGAPORE,DEPT ZOOL,SINGAPORE 0511,SINGAPORE.</t>
  </si>
  <si>
    <t>Chou, Loke/AAE-5266-2020</t>
  </si>
  <si>
    <t>10.1007/BF00401335</t>
  </si>
  <si>
    <t>GW308</t>
  </si>
  <si>
    <t>WOS:A1991GW30800045</t>
  </si>
  <si>
    <t>Park, JS; Chung, SH; Park, IS; Kim, YS; Koh, CH; Lee, IS</t>
  </si>
  <si>
    <t>Purification and characterization of metallothionein-like cadmium binding protein from Asian periwinkle Littorina brevicula</t>
  </si>
  <si>
    <t>cadmium; cadmium binding protein chromatography; detoxification; Littorina brevicula; MALDI-TOF; metal binding protein; metallothionein</t>
  </si>
  <si>
    <t>POLYACRYLAMIDE-GEL-ELECTROPHORESIS; CAENORHABDITIS-ELEGANS; METAL POLLUTION; SEQUENCE; ZINC; CDNA</t>
  </si>
  <si>
    <t>Although mussels and oysters in the ocean are known to act as bioconcentrators for contaminants such as heavy metals, their ability to survive in heavily polluted water is relatively limited. The Asian periwinkle, Littorina brevicula, is one species that can accumulate a variety of environmental heavy metals, and the expression of its metal binding protein (MBP) is induced by cadmium. To better characterize this protein and its cetoxification mechanism against cadmium, the present work examined the induction of a cadmium binding protein (Cd-BP) in Littorina brevicula exposed to 400 mug/l CdCl2 for 30 days. The induced Cd-BP was purified by chromatography from the supernatants of homogenized organs (digestive gland, gonad, gill and kidney). This Cd-BP was found to consist of 103 amino acids, was rich in Cys (21 residues), and partial C-terminal sequence obtained by MALDI-TOF MS analysis revealed a Cys-XXX-Cys motif, which resembles a typical feature of mollusc metallothionein (MT), The Cd-BP molecular weight of 9.8 kDa is a little larger than that of other MTs. (C) 2002 Elsevier Science Inc. All rights reserved.</t>
  </si>
  <si>
    <t>Ewha Womans Univ, Dept Biol Sci, Seoul 120750, South Korea; Biotechnol Res Inst Hankook Bioceram Co Ltd, Dalseo Gu, Taegu 704120, South Korea; Ewha Womans Univ, Ctr Cell Signaling Res, Div Mol Life Sci &amp; Dev Biol Sci, Seoul 120750, South Korea; Virginia Commonwealth Univ, Dept Pathol, Richmond, VA 23298 USA; Seoul Natl Univ, Dept Oceanog, Seoul 151742, South Korea</t>
  </si>
  <si>
    <t>Ewha Womans University; Ewha Womans University; Virginia Commonwealth University; Seoul National University (SNU)</t>
  </si>
  <si>
    <t>Ewha Womans Univ, Dept Biol Sci, Seoul 120750, South Korea.</t>
  </si>
  <si>
    <t>islee@mm.ewha.ac.kr</t>
  </si>
  <si>
    <t>PII S1532-0456(02)00029-7</t>
  </si>
  <si>
    <t>10.1016/S1532-0456(02)00029-7</t>
  </si>
  <si>
    <t>549DY</t>
  </si>
  <si>
    <t>WOS:000175430300003</t>
  </si>
  <si>
    <t>Sabatini, SE; Abad, TN; Leis, M; Minaberry, YS; Yusseppone, MS; de Almeida, H; Genovese, G; Calcagno, JA</t>
  </si>
  <si>
    <t>Sabatini, Sebastian E.; Abad, Tatiana Noya; Leis, Magali; Minaberry, Yanina S.; Yusseppone, Maria Soledad; de Almeida, Henrique Knack; Genovese, Griselda; Calcagno, Javier A.</t>
  </si>
  <si>
    <t>Effects of metal accumulation on oxidative metabolism of Mytilus edulis, a commercially relevant mussel in northern Patagonia, Argentina</t>
  </si>
  <si>
    <t>MARINE AND FRESHWATER RESEARCH</t>
  </si>
  <si>
    <t>antioxidants; chromium; copper; lipid peroxidation; metal accumulation; mussels; nickel; oxidative balance; San Antonio Bay; zinc</t>
  </si>
  <si>
    <t>CU/ZN-SUPEROXIDE-DISMUTASE; HEAVY-METALS; LIPID-PEROXIDATION; AULACOMYA-ATRA; ANTIOXIDANT DEFENSES; INDUCIBLE ISOFORM; BIVALVE MOLLUSKS; SOFT-TISSUES; TRACE-METALS; STRESS</t>
  </si>
  <si>
    <t>Context. Bivalve fishery represents an important socio-economic resource in Rio Negro province, and Mytilus platensis is the main exploited species. Thus, biomonitoring trace metals in this mussel is particularly relevant for both environmental protection and human consumption.Aim. Anthropogenic pollution and its environmental impact on mussels were experimentally evaluated in situ in two coastline sites of northern Patagonia. Methods. Trace metal concentrations were quantified in the water of a harbour area (Port of San Antonio Este) and a reference site (Isla Mejill &amp; acute;on), an extraction location of M. platensis, were quantified. Metal accumulation and its effects on metabolic parameters were also measured in mussels. Results. Higher concentrations of chromium, nickel and zinc in water were registered in the harbour, along with copper and chromium in gills, digestive gland and mantle of M. platensis, were registered in the harbour. Furthermore, superoxide dismutase activity was augmented, whereas glutathione concentration was reduced in the digestive gland and mantle of mussels from that area. Moreover, the highest glutathione-S-transferase activities in mantle and lipid peroxidation, regardless of organ, were also found there. Conclusion. The harbour area has a negative effect on M. platensis and its effects on metal accumulation and oxidative imbalance are organ-specific. Implication. This work provided new insights into metal uptake of a commercialised mussel in a realistic environment in Rio Negro province.</t>
  </si>
  <si>
    <t>[Sabatini, Sebastian E.; Abad, Tatiana Noya; de Almeida, Henrique Knack] Univ Buenos Aires, Fac Ciencias Exactas &amp; Nat, Consejo Nacl Invest Cient &amp; Tecn CONICET, Dept Quim Biol, Buenos Aires, Argentina; [Sabatini, Sebastian E.; Leis, Magali] Univ Buenos Aires, Fac Ciencias Exactas &amp; Nat, Dept Biodiverd &amp; Biol Expt DBBE, Buenos Aires, Argentina; [Abad, Tatiana Noya; Calcagno, Javier A.] Univ Maimonides, Ctr Ciencias Nat, Ambientales &amp; Antropol CCNAA, Buenos Aires, Argentina; [Minaberry, Yanina S.] Univ Buenos Aires, Fac Ciencias Exactas &amp; Nat, Dept Quim Inorgan, Analit &amp; Quim Fis INQUIMAE, Buenos Aires, Argentina; [Yusseppone, Maria Soledad] Univ Nacl Mar Plata UNMDP, Inst Invest Marinas &amp; Costeras IIMyC, CONICET, Mar Del Plata, Argentina; [Sabatini, Sebastian E.; Genovese, Griselda] Univ Buenos Aires, Fac Ciencias Exactas &amp; Nat, Dept Biodivers &amp; Biol Expt, Lab Ecotoxicol Acuat, Buenos Aires, Argentina; [Genovese, Griselda] Univ Buenos Aires, Inst Biodivers &amp; Biol Expt IBBEA, CONICET, Buenos Aires, Argentina; [Sabatini, Sebastian E.] Univ Buenos Aires, Fac Ciencias Exactasy Nat, Invest Cient &amp; Tecn, CONICET, Buenos Aires, Argentina</t>
  </si>
  <si>
    <t>University of Buenos Aires; Consejo Nacional de Investigaciones Cientificas y Tecnicas (CONICET); University of Buenos Aires; University of Buenos Aires; Consejo Nacional de Investigaciones Cientificas y Tecnicas (CONICET); National University of Mar del Plata; University of Buenos Aires; Consejo Nacional de Investigaciones Cientificas y Tecnicas (CONICET); University of Buenos Aires; Consejo Nacional de Investigaciones Cientificas y Tecnicas (CONICET); University of Buenos Aires</t>
  </si>
  <si>
    <t>Sabatini, SE (corresponding author), Univ Buenos Aires, Fac Ciencias Exactas &amp; Nat, Dept Biodivers &amp; Biol Expt, Lab Ecotoxicol Acuat, Buenos Aires, Argentina.;Sabatini, SE (corresponding author), Univ Buenos Aires, Fac Ciencias Exactasy Nat, Invest Cient &amp; Tecn, CONICET, Buenos Aires, Argentina.</t>
  </si>
  <si>
    <t>sabatini@bg.fcen.uba.ar</t>
  </si>
  <si>
    <t>Minaberry, Yanina Susana/HMP-6804-2023; Minaberry, Yanina/N-1852-2018</t>
  </si>
  <si>
    <t>Minaberry, Yanina/0000-0002-8778-3882</t>
  </si>
  <si>
    <t>CSIRO PUBLISHING</t>
  </si>
  <si>
    <t>CLAYTON</t>
  </si>
  <si>
    <t>UNIPARK, BLDG 1, LEVEL 1, 195 WELLINGTON RD, LOCKED BAG 10, CLAYTON, VIC 3168, AUSTRALIA</t>
  </si>
  <si>
    <t>1323-1650</t>
  </si>
  <si>
    <t>1448-6059</t>
  </si>
  <si>
    <t>MAR FRESHWATER RES</t>
  </si>
  <si>
    <t>Mar. Freshw. Res.</t>
  </si>
  <si>
    <t>10.1071/MF22173</t>
  </si>
  <si>
    <t>Fisheries; Limnology; Marine &amp; Freshwater Biology; Oceanography</t>
  </si>
  <si>
    <t>Fisheries; Marine &amp; Freshwater Biology; Oceanography</t>
  </si>
  <si>
    <t>7Y3YN</t>
  </si>
  <si>
    <t>WOS:000911385200001</t>
  </si>
  <si>
    <t>Darriba, S; Sánchez-Marín, P</t>
  </si>
  <si>
    <t>Darriba, Susana; Sanchez-Marin, Paula</t>
  </si>
  <si>
    <t>Lead accumulation in extracellular granules detected in the kidney of the bivalve Dosinia exoleta</t>
  </si>
  <si>
    <t>Metal bioaccumulation; Lead uptake; Metal rich granules; Clam; Veneridae; Bivalvia; Atlantic Ocean</t>
  </si>
  <si>
    <t>MUSSELS MYTILUS-GALLOPROVINCIALIS; SUBCELLULAR-DISTRIBUTION; METAL CONCENTRATIONS; RENAL CONCRETIONS; MARINE POLLUTION; HEAVY-METALS; BIOACCUMULATION; CADMIUM; GALICIA; ZN</t>
  </si>
  <si>
    <t>Populations of the marine molluscan bivalve Dosinia exoleta in Galicia (northwest Spain) present lead (Pb) concentrations above the limit for human consumption. Accordingly, its collection for human consumption was forbidden since 2008. The high bioaccumulation of Pb in this species is surprising given that Pb concentrations are not very high in its environment and that other bivalve infaunal species inhabiting the same areas do not show such high Pb contents. This study reports the discovery and description of extracellular granules present in the kidney tubule lumina of this species. Large granules (20-200 mu m) mainly composed of calcium phosphate represent between 50% and 75% of the dry weight of the kidneys. Metal analysis revealed that from 78 to 98% of the Pb body burden was present in the kidney, and from 87% to 92% of this Pb within the kidney was contained in metal rich granules. Most of the zinc in these bivalves was also found to be associated with these kidney granules, while other metals, such as copper and cadmium, were associated with other kidney fractions. This study confirms that the high Pb concentrations observed in D. exoleta, and the relationship of Pb concentration with individual size, are due to the inclusion of Pb in kidney granules that accumulate in the kidney lumen over the course of the bivalve's life.</t>
  </si>
  <si>
    <t>[Darriba, Susana] Conselleria Medio Rural &amp; Mar, Technol Inst Monitoring Marine Environm Galicia I, Vilagarcia De Arousa, Galicia, Spain; [Sanchez-Marin, Paula] Univ Vigo, LEM, Vigo 36310, Galicia, Spain; [Sanchez-Marin, Paula] Ctr Eau Terre &amp; Environm, Inst Natl Rech Sci, Quebec City, PQ, Canada</t>
  </si>
  <si>
    <t>Universidade de Vigo; University of Quebec; Institut national de la recherche scientifique (INRS)</t>
  </si>
  <si>
    <t>Darriba, S (corresponding author), Conselleria Medio Rural &amp; Mar, Technol Inst Monitoring Marine Environm Galicia I, Vilagarcia De Arousa, Galicia, Spain.</t>
  </si>
  <si>
    <t>sdarriba@intecmar.org; paula.sanchez-marin@ete.inrs.ca</t>
  </si>
  <si>
    <t>; Sanchez Marin, Paula/B-7567-2013</t>
  </si>
  <si>
    <t>Darriba, Susana/0000-0002-2158-4215; Sanchez Marin, Paula/0000-0001-6466-0284</t>
  </si>
  <si>
    <t>Spanish Ministry of Science and Innovation [CTM2009-10908]; Technological Institute for the Monitoring of the Marine Environment of Galicia (INTECMAR)</t>
  </si>
  <si>
    <t>Spanish Ministry of Science and Innovation(Spanish Government); Technological Institute for the Monitoring of the Marine Environment of Galicia (INTECMAR)</t>
  </si>
  <si>
    <t>We gratefully acknowledge Belen Alonso, Loli Amo, Soledad Bastos, Belen Alonso and Juana Marchena of INTECMAR and Marta Minambres of ECIMAT for technical assistance; Jesus Mendez and Ines Pazos of CACTI for assistance with scanning electron microscopy; Leticia Vidal for her help in the subcellular fractionation and David Iglesias for his contribution to the first detection of the granules. Microanalysis and metal analysis were performed in the CACTI, University of Vigo. Subcellular distribution was done at the ECIMAT, University of Vigo. This study was partially financed by Spanish Ministry of Science and Innovation through the Research Project CTM2009-10908 and by Technological Institute for the Monitoring of the Marine Environment of Galicia (INTECMAR).</t>
  </si>
  <si>
    <t>10.1051/alr/2012040</t>
  </si>
  <si>
    <t>130EY</t>
  </si>
  <si>
    <t>WOS:000317896900002</t>
  </si>
  <si>
    <t>Stark, JS</t>
  </si>
  <si>
    <t>Effects of copper on macrobenthic assemblages in soft sediments: a laboratory experimental study</t>
  </si>
  <si>
    <t>copper, heavy metals; laboratory experiment; soft sediment; macrofauna; assemblages</t>
  </si>
  <si>
    <t>HEAVY-METALS; COMMUNITY STRUCTURE; SPATIAL VARIATION; MARINE-SEDIMENTS; BENTHIC COMMUNITIES; MESOCOSM EXPERIMENT; POLLUTION; MACROFAUNA; CADMIUM; SIZE</t>
  </si>
  <si>
    <t>Assemblages of marine benthic invertebrates have been shown to differ in areas with or without contamination by heavy metals. In this study, soft sediment assemblages were exposed to sediments and water treated with copper (in the form of Cu EDTA) in a laboratory experiment to test the hypothesis that copper could create differences in infaunal assemblages. The patterns of survival of all taxa were monitored and compared to the controls. Copper was found to reduce the abundance of most taxa, but the size of the response varied between taxa. Crustaceans were particularly sensitive to both the laboratory conditions and copper and were the most severely affected. Polychaetes were more resilient, surviving well in the controls and being reduced in abundance in polluted treatments, but with some families persisting in even the severely polluted treatment until the end of the experiment. Bivalves and gastropods were also reduced in number in the polluted treatments and unaffected in the controls. Oligochaetes and nemerteans did not respond in any particular pattern to any treatment or control. The results are discussed in relation to extrapolating results from ecotoxicological studies to predictions of ecosystem response to heavy metal pollution and pollution in general. It is concluded that laboratory ecotoxicological studies provide excellent evidence for potential effects. If used in collaboration with surveys and manipulative experiments in the field they can demonstrate causal links between pollutants and environmental impacts.</t>
  </si>
  <si>
    <t>Univ Sydney, Inst Marine Ecol, Marine Ecol Labs, Sydney, NSW 2006, Australia</t>
  </si>
  <si>
    <t>University of Sydney</t>
  </si>
  <si>
    <t>Stark, JS (corresponding author), Australian Antarctic Div, Channel Highway, Kingston, Tas 7050, Australia.</t>
  </si>
  <si>
    <t>Stark, Jonathan/ABF-4025-2020</t>
  </si>
  <si>
    <t>Stark, Jonathan/0000-0002-4268-8072</t>
  </si>
  <si>
    <t>10.1023/A:1014356327595</t>
  </si>
  <si>
    <t>ZN243</t>
  </si>
  <si>
    <t>WOS:000073626200005</t>
  </si>
  <si>
    <t>Mourgaud, Y; Martinez, É; Geffard, A; Andral, B; Stanisiere, JY; Amiard, JC</t>
  </si>
  <si>
    <t>Metallothionein concentration in the mussel Mytilus galloprovincialis as a biomarker of response to metal contamination:: validation in the field</t>
  </si>
  <si>
    <t>mussel; metallothionein; biomarker; metals</t>
  </si>
  <si>
    <t>OYSTERS CRASSOSTREA-GIGAS; NATURAL FACTORS SALINITY; CADMIUM; COPPER; POLLUTION; ZINC; POPULATIONS; PROTEINS; WEIGHT; EDULIS</t>
  </si>
  <si>
    <t>Mussels were translocated from a shell-fish breeding area (Sete, on the French Mediterranean coast) to sites exposed to trace clement inputs in April 2000. They were recovered 3 months later. Whole soft tissues from all of the sites (n = 97) were analysed for arsenic, cadmium, chromium, copper, mercury, nickel, lead and zinc. Metallothioneins (MTs) ere also measured in the digestive gland and in the remaining tissues (allowing calculation of whole soft tissue concentrations) at 22 of the 97 sites. MT concentrations in the digestive gland and the whole soft tissues were strongly correlated. The condition index varied with food availability at different sites. This did not influenced MT concentrations in the whole soft tissues, whereas the condition index was negatively correlated to trace element concentration. A model is proposed to minimize this influence of condition, Metal concentrations adjusted Using this Model showed significant correlations with MT levels for those metals (cadmium, copper, nickel and zinc) that are known to bind to this protein, with the exception of mercury. Even in moderately contaminated sites, measurement of the MT level in the soft tissues of mussels as generally able to discriminate between different levels of contamination, allowing the use of a simplified procedure compared with dissection of the digestive gland. It is recommended to avoid translocation and sampling during the reproductive period, which is well documented for commercial species such as Mytilus sp.</t>
  </si>
  <si>
    <t>SMAB, ISOMer, CNRS,GDR 1117, Serv Ecotoxicol, F-44322 Nantes 3, France; UFREMER DEL TL, Lab Toulon, F-83507 La Seyne Sur Mer, France</t>
  </si>
  <si>
    <t>Centre National de la Recherche Scientifique (CNRS)</t>
  </si>
  <si>
    <t>SMAB, ISOMer, CNRS,GDR 1117, Serv Ecotoxicol, 2 Rue Houssiniere,BP 92208, F-44322 Nantes 3, France.</t>
  </si>
  <si>
    <t>Claucle.Amiard@isomer.univ-nantes.fr</t>
  </si>
  <si>
    <t>Martinez, Eric/ABA-1229-2020</t>
  </si>
  <si>
    <t>Martinez, Eric/0000-0001-8568-3725; Geffard, Alain/0000-0001-9236-2890</t>
  </si>
  <si>
    <t>10.1080/1354750021000034528</t>
  </si>
  <si>
    <t>630QV</t>
  </si>
  <si>
    <t>WOS:000180120600004</t>
  </si>
  <si>
    <t>Aksu, Ö; Yabanli, M; Can, E; Kutluyer, F; Kehayias, G; Can, SS; Kocabas, M; Demir, V</t>
  </si>
  <si>
    <t>Aksu, Onder; Yabanli, Murat; Can, Erkan; Kutluyer, Filiz; Kehayias, George; Can, Safak Seyhaneyildiz; Kocabas, Mehmet; Demir, Veysel</t>
  </si>
  <si>
    <t>COMPARISON OF HEAVY METALS BIOACCUMULATION BY DREISSENA POLYMORPHA (PALLAS, 1771) AND UNIO ELONGATULUS EUCIRRUS (BOURGUIGNAT, 1860) FROM KEBAN DAM LAKE, TURKEY</t>
  </si>
  <si>
    <t>Heavy metals; Unio elongatulus eucirrus; Dreissena polymorpha; bioaccumulation</t>
  </si>
  <si>
    <t>MUSSELS MYTILUS-GALLOPROVINCIALIS; TRACE-ELEMENTS; SOFT-TISSUE; BODY-SIZE; WATER; ACCUMULATION; OYSTERS; FISH; ZINC; SEDIMENTS</t>
  </si>
  <si>
    <t>The present study aimed to determine and compare the bioaccumulation of heavy metals in two freshwater species of mussels Unio elongatulus eucirrus (Bourguignat, 1860) and Dreissena polymorpha (Pallas, 1771) in Keban Dam Lake, Turkey. The amount of Arsenic (As), Cadmium (Cd), Copper (Cu), Lead (Pb) and Uranium (U) were detected. Heavy metals concentrations (ppm) of these heavy metals in U. e. eucirrus and D. polymorpha were 1.071 and 1.376 for As, 0.174 and 0.335 for Cd, 0.004 and 3.817 for Cu, 0 and 0.267 for Pb, 0.004 and 0.267 for U, respectively. Arsenic concentrations in the tissues of both species have exceeded the maximum permission limits in all sampling sites. The concentrations of Cu and U were considerably greater in D. polymorpha specimens than in U. e. eucirrus (p&lt;0.05). The results obtained from the present study showed that both species accumulated heavy metals generally in the following sequences: Cu &gt; As &gt; Cd &gt; Pb &gt;U. The present results indicated that D. polymorpha may be a better bioindicator of environmental pollution than U. e. eucirrus, since it showed a higher accumulation capacity.</t>
  </si>
  <si>
    <t>[Kutluyer, Filiz; Demir, Veysel] Tunceli Univ, Fac Fisheries, Fac Engn, Dept Environm Engn, TR-62000 Tunceli, Turkey; [Yabanli, Murat] Mugla Univ, Fac Fisheries, Dept Hydrobiol, Mugla, Turkey; [Kehayias, George] Univ Western Greece, Dept Environm &amp; Nat Resources Management, Agrinion, Greece; [Kocabas, Mehmet] Karadeniz Tech Univ, Fac Forestry, Dept Wildlife Ecol &amp; Management, TR-61080 Trabzon, Turkey</t>
  </si>
  <si>
    <t>Munzur University; Mugla Sitki Kocman University; Karadeniz Technical University</t>
  </si>
  <si>
    <t>Kutluyer, F (corresponding author), Tunceli Univ, Fac Fisheries, Fac Engn, Dept Environm Engn, TR-62000 Tunceli, Turkey.</t>
  </si>
  <si>
    <t>filizkutluyer@hotmail.com</t>
  </si>
  <si>
    <t>CAN, ERKAN/ABB-7412-2020; Yabanli, Murat/X-1829-2018; Seyhaneyildiz Can, Safak/ABG-9396-2021</t>
  </si>
  <si>
    <t>Seyhaneyildiz Can, Safak/0000-0003-2297-9742; CAN, Erkan/0000-0001-9440-7319; YABANLI, Murat/0000-0002-9615-2222; KUTLUYER KOCABAS, Filiz/0000-0001-8334-5802</t>
  </si>
  <si>
    <t>7A</t>
  </si>
  <si>
    <t>980IR</t>
  </si>
  <si>
    <t>WOS:000306887300012</t>
  </si>
  <si>
    <t>Chenet, T; Schwarz, G; Neff, C; Hattendorf, B; Günther, D; Martucci, A; Cescon, M; Baldi, A; Pasti, L</t>
  </si>
  <si>
    <t>Chenet, Tatiana; Schwarz, Gunnar; Neff, Christoph; Hattendorf, Bodo; Gunther, Detlef; Martucci, Annalisa; Cescon, Mirco; Baldi, Andrea; Pasti, Luisa</t>
  </si>
  <si>
    <t>Scallop shells as biosorbents for water remediation from heavy metals: Contributions and mechanism of shell components in the adsorption of cadmium from aqueous matrix</t>
  </si>
  <si>
    <t>HELIYON</t>
  </si>
  <si>
    <t>Scallop shells; Biosorbents; Heavy metals; Adsorption; Water remediation; LA-ICPTOFMS</t>
  </si>
  <si>
    <t>LA-ICP-MS; TRACE-ELEMENTS; HIGH-RESOLUTION; OYSTER SHELLS; REMOVAL; KINETICS; ACCUMULATION; ARAGONITE; SORPTION; PIGMENTS</t>
  </si>
  <si>
    <t>To ascertain their potential for heavy metal pollution remedy, we studied the adsorption mechanism of cadmium onto scallop shells and the interactions between the heavy metal and the shell matrix. Intact shells were used to investigate the uptake and diffusion of the metal contaminant onto the shell carbonatic layers, as well as to evaluate the distribution of major and trace elements in the matrix. LA-ICPMS measurements demonstrate that Cd is adsorbed on a very thin layer on the inner and outer surfaces of the shell. Structural and thermal analyses showed the presence of 9 wt.-% of a CdCO3 phase indicating that the adsorption is mainly a superficial process which involves different processes, including ion exchange of Ca by Cd. In addition, organic components of the shell could contribute to adsorption as highlighted by different metal uptake observed for shells with different colours. In particular, darker shells appeared to adsorb more contaminant than the white ones. The contribution of the organic shell components on the adsorption of heavy metals was also highlighted by the element bulk content which showed higher concentrations of different metals in the darker specimen. Raman spectroscopy allowed to identify the pigments as carotenoids, confirmed by XRD measurements which highlighted the presence of astaxanthin phases. The results presented here provide new insights into the Cd adsorption mechanism highlighting the important contribution given by the organic components present in the biogenic carbonate matrix. Furthermore, the high efficiency of Cd removal from water by scallop shells, supported by adsorption kinetic and isotherm studies, has been demonstrated.</t>
  </si>
  <si>
    <t>[Chenet, Tatiana; Pasti, Luisa] Univ Ferrara, Dept Environm &amp; Prevent Sci, Via Borsari 46, I-44121 Ferrara, Italy; [Schwarz, Gunnar; Neff, Christoph; Hattendorf, Bodo; Gunther, Detlef] Lab Inorgan Chem, ETH Zurich, Vladimir Prelog Weg 1, CH-8093 Zurich, Switzerland; [Martucci, Annalisa] Univ Ferrara, Dept Phys &amp; Earth Sci, Via Saragat 1, I-44122 Ferrara, Italy; [Cescon, Mirco; Baldi, Andrea] Univ Ferrara, Dept Chem Pharmaceut &amp; Agr Sci, Via Borsari 46, I-44121 Ferrara, Italy</t>
  </si>
  <si>
    <t>University of Ferrara; Swiss Federal Institutes of Technology Domain; ETH Zurich; University of Ferrara; University of Ferrara</t>
  </si>
  <si>
    <t>Chenet, T (corresponding author), Univ Ferrara, Dept Environm &amp; Prevent Sci, Via Borsari 46, I-44121 Ferrara, Italy.</t>
  </si>
  <si>
    <t>tatiana.chenet@unife.it</t>
  </si>
  <si>
    <t>Cescon, Mirco/KLY-4595-2024; Baldi, Ashish/AAM-4342-2021; Martucci, Annalisa/I-5272-2012</t>
  </si>
  <si>
    <t>Cescon, Mirco/0000-0002-1084-1749; Baldi, Andrea/0000-0002-4209-6114; Martucci, Annalisa/0000-0002-6467-881X; Chenet, Tatiana/0000-0002-3175-322X; Hattendorf, Bodo/0000-0001-9991-2410; Pasti, Luisa/0000-0002-2980-3654</t>
  </si>
  <si>
    <t>University of Ferrara; PNRR MUR [ECS_00000033_ECOSISTER]</t>
  </si>
  <si>
    <t>University of Ferrara; PNRR MUR(Ministry of Education, Universities and Research (MIUR))</t>
  </si>
  <si>
    <t>The research leading to these results has received funding from the University of Ferrara Bando anno 2021 per progetti di ricerca finanziati con il contributo 5x1000 anno 2019 and from PNRR MUR project ECS_00000033_ECOSISTER.</t>
  </si>
  <si>
    <t>CELL PRESS</t>
  </si>
  <si>
    <t>50 HAMPSHIRE ST, FLOOR 5, CAMBRIDGE, MA 02139 USA</t>
  </si>
  <si>
    <t>2405-8440</t>
  </si>
  <si>
    <t>Heliyon</t>
  </si>
  <si>
    <t>e29296</t>
  </si>
  <si>
    <t>10.1016/j.heliyon.2024.e29296</t>
  </si>
  <si>
    <t>Multidisciplinary Sciences</t>
  </si>
  <si>
    <t>Science &amp; Technology - Other Topics</t>
  </si>
  <si>
    <t>RH6O3</t>
  </si>
  <si>
    <t>WOS:001226815500001</t>
  </si>
  <si>
    <t>Rao, MT; Li, XY; Xu, XQ; Zhang, D; Ma, JJ; Huang, JY; Xu, JY; Zheng, QZ; Ji, JJ; Lu, SY</t>
  </si>
  <si>
    <t>Rao, Manting; Li, Xiangyu; Xu, Xiaoqiong; Zhang, Duo; Ma, Jiaojiao; Huang, Jiayin; Xu, Jiayi; Zheng, Quanzhi; Ji, Jiajia; Lu, Shaoyou</t>
  </si>
  <si>
    <t>Trace elements in aquatic products from Shenzhen, China and their implications for human exposure</t>
  </si>
  <si>
    <t>Aquatic products; Arsenic; Cadmium; Nemerow pollution index; Target hazard quotient</t>
  </si>
  <si>
    <t>HEALTH-RISK ASSESSMENT; HEAVY-METALS; LAIZHOU BAY; BIOACCUMULATION; COAST</t>
  </si>
  <si>
    <t>Aquatic organisms in industrially polluted areas can accumulate large quantities of heavy metals. To assess the resulting health risks, 11 trace elements in 184 aquatic products representing 14 species of fish, crustaceans, and bivalves collected from Shenzhen, China were determined. Aluminum (Al), chromium (Cr), nickel (Ni), selenium (Se), antimony (Sb), manganese (Mn), copper (Cu), arsenic (As), cadmium (Cd), mercury (Hg), and lead (Pb) were determined by inductively coupled plasma mass spectrometry. The pollution levels of each product and the human health risk resulting from their consumption were then assessed. The concentrations of As in 57 % of samples and Cd in 11 % of samples exceeded the upper limits stipulated by the Chinese National Food Safety Standards (GB 2762-2017), which was mainly due to high concentrations of trace elements in crustaceans and bivalves. The Nemerow integrated pollution index indicated that the aquatic products accumulated high levels of As and Cd. Health risk assessments using the target hazard quotient (THQ) and hazard index (HI) suggested that As and Cd exposure due to consumption of aquatic products presents a potential health risk for residents of Shenzhen.</t>
  </si>
  <si>
    <t>[Rao, Manting; Li, Xiangyu; Xu, Xiaoqiong; Zhang, Duo; Ma, Jiaojiao; Huang, Jiayin; Xu, Jiayi; Zheng, Quanzhi; Lu, Shaoyou] Sun Yat Sen Univ, Sch Publ Hlth Shenzhen, Shenzhen 518107, Peoples R China; [Ji, Jiajia] Shenzhen Ctr Dis Control &amp; Prevent, Shenzhen 518055, Peoples R China</t>
  </si>
  <si>
    <t>Sun Yat Sen University; Shenzhen Center for Disease Control &amp; Prevention (SZCDC)</t>
  </si>
  <si>
    <t>Lu, SY (corresponding author), Sun Yat Sen Univ, Sch Publ Hlth Shenzhen, Shenzhen 518107, Peoples R China.</t>
  </si>
  <si>
    <t>lushy23@mail.sysu.edu.cn</t>
  </si>
  <si>
    <t>Lu, Shaoyou/JSK-4241-2023; xu, jiayi/HDO-5387-2022</t>
  </si>
  <si>
    <t>National Natural Science Founda- tion of China [42077385, 42277424]</t>
  </si>
  <si>
    <t>National Natural Science Founda- tion of China(National Natural Science Foundation of China (NSFC))</t>
  </si>
  <si>
    <t>We appreciate the support from the National Natural Science Founda- tion of China (No. 42077385, 42277424) .</t>
  </si>
  <si>
    <t>AUG 10</t>
  </si>
  <si>
    <t>10.1016/j.scitotenv.2023.163726</t>
  </si>
  <si>
    <t>L3KM0</t>
  </si>
  <si>
    <t>WOS:001022281600001</t>
  </si>
  <si>
    <t>Kljakovic-Gaspic, Z; Odzak, N; Ujevic, I; Zvonaric, T; Horvat, M; Baric, A</t>
  </si>
  <si>
    <t>Kljakovic-Gaspic, Zorana; Odzak, Niksa; Ujevic, Ivana; Zvonaric, Tomislav; Horvat, Milena; Baric, Ante</t>
  </si>
  <si>
    <t>Biomonitoring of mercury in polluted coastal area using transplanted mussels</t>
  </si>
  <si>
    <t>7th International Conference on Mercury as a Global Pollutant</t>
  </si>
  <si>
    <t>JUN 28-JUL 02, 2004</t>
  </si>
  <si>
    <t>Ljubljana, SLOVENIA</t>
  </si>
  <si>
    <t>mercury; methyl mercury; mussels; transplantation; biomonitoring; Kastela Bay; Adriatic Sea</t>
  </si>
  <si>
    <t>MYTILUS-EDULIS; METHYL MERCURY; MARINE AREA; SEDIMENTS; METALS; CONTAMINATION; ACCUMULATION; ORGANISMS; WATERS; BAY</t>
  </si>
  <si>
    <t>The Kastela Bay is heavily polluted with inorganic mercury originated from direct discharges from the chlor-alkali plant, which operated in the period from 1950 to 1990. Even though the plant was closed 15 years ago, elevated levels of total mercury are still evident in surface sediments of the bay. In order to assess the availability of remobilized mercury to marine organisms, cultured mussels (M. galloprovincialis) were transplanted from pristine area to Kastela Bay, in the period from September 2000 to March 2001. Mussel samples were collected for the analysis of THg and MeHg in whole soft tissue, gills and digestive gland. Surface sediments and suspended matter were collected for the analysis of THg. Digestive gland was the target organ for the accumulation of THg, while concentrations of MeHg were similar in all analyzed tissues. The percentage of MeHg in mussel tissues (4-27%) was characteristic for the areas contaminated with inorganic mercury. A significant negative correlation was observed between the THg concentration in the tissues and the percentage of MeHg. Concentrations of THg in mussel tissues, which were decreasing from the source of contamination in an anticlockwise direction towards the exit of the bay, were significantly positively correlated to THg content in sediment and suspended particles. Spatial distribution of mercury species (THg and MeHg) in different environmental compartments was in accordance with the prevailing circulation in the bay. Data obtained through 6 months of biomonitoring experiment indicated that digestive gland was more sensitive indicator of THg concentrations in the environment than the whole organism or gills. As for MeHg, all tissues were equally suitable as biomonitors of MeHg concentrations in the environment. (c) 2005 Elsevier B.V All rights reserved.</t>
  </si>
  <si>
    <t>Inst Oceanog &amp; Fisheries, Split 21000, Croatia; Univ Split, Fac Nat Sci Math &amp; Educ, Split 21000, Croatia; Inst Jozef Stefan, Ljubljana 1000, Slovenia</t>
  </si>
  <si>
    <t>Croatian Institute of Oceanography &amp; Fisheries (IZOR); University of Split; Slovenian Academy of Sciences &amp; Arts (SASA); Jozef Stefan Institute</t>
  </si>
  <si>
    <t>Kljakovic-Gaspic, Z (corresponding author), Inst Oceanog &amp; Fisheries, POB 500, Split 21000, Croatia.</t>
  </si>
  <si>
    <t>Ujevic, Ivana/0000-0001-6686-1418; Kljakovic Gaspic, Zorana/0000-0002-0439-2131</t>
  </si>
  <si>
    <t>SEP 1</t>
  </si>
  <si>
    <t>10.1016/j.scitotenv.2005.09.080</t>
  </si>
  <si>
    <t>079MF</t>
  </si>
  <si>
    <t>WOS:000240179900020</t>
  </si>
  <si>
    <t>Roméo, M; Gharbi-Bouraoui, S; Gnassia-Barelli, M; Dellali, M; Aïssa, P</t>
  </si>
  <si>
    <t>Responses of Hexaplex (Murex) trunculus to selected pollutants</t>
  </si>
  <si>
    <t>Hexaplex trunculus; cadmium; copper; carbofuran; lindane; biomarker</t>
  </si>
  <si>
    <t>CLAM RUDITAPES-DECUSSATUS; MUSSEL MYTILUS-GALLOPROVINCIALIS; GLUTATHIONE S-TRANSFERASES; ACETYLCHOLINESTERASE ACTIVITY; ORGANIC POLLUTION; CATALASE ACTIVITY; BIOMARKERS; CHOLINESTERASE; CADMIUM; SEA</t>
  </si>
  <si>
    <t>Cadmium, copper and zinc concentrations (in whole soft body and in tissues) were measured in Hexaplex trunculus collected from the Bizerta lagoon in Tunisia. An evaluation of the biological effects of the most toxic metals (cadmium and copper) and of two organics (carbofuran and lindane), present in the sediments of the Bizerta lagoon, was attempted by measuring biomarkers (acetylcholinesterase: AChE, catalase: CAT and glutathione S-transferase: GST activities) in animals experimentally exposed for 48 or 72 h. The concentration ranges as follows: Zn&gt;Cu&gt;Cd. Copper concentrations are highly variable (8.0 to 235 mu g g(-1) d.w.) whereas cadmium (range 1.35-4.86 mu g g(-1)) and zinc (range 360-1320 mu g g(-1)) concentrations are less variable. The digestive gland and the gill take up more metal than the muscle. AChE activity in H. trunculus is decreased by exposure to carbofuran or the mixture carbofuran and cadmium, in the digestive gland and muscle and by copper and by lindane in the digestive gland. AChE is generally inhibited by carbamates but some other compounds may also decrease this activity as observed in this paper. An increase in CAT activity associated with a decrease in GST activity is noted in the muscle of H. trunculus exposed to cadmium, to carbofuran and to the mixture of cadmium and carbofuran, and in the digestive gland of animals exposed to lindane. These pollutants may act upon glutathione and decrease the GST activity that cannot detoxify them and CAT activity has a protective effect. On the contrary, copper increases CAT and GST activities in the digestive gland of exposed gastropods; these enzymes seem to cooperate and play together their role of anti-oxidant enzymes. If H. trunculus is not a bioindicator species for metal concentrations, due to a high variability in metal concentrations, nevertheless the biochemical responses to pollutants (cadmium, copper, carbofuran and lindane) represented by AChE, CAT and GST activities may act as biomarkers of exposure in this species. (C) 2005 Elsevier B.V. All rights reserved.</t>
  </si>
  <si>
    <t>Fac Sci, UMR INRA UNSA ROSE 1112, F-06108 Nice 2, France; Fac Sci Bizerta, Coastal Ecol Unit, Lab Biomonitoring Environm, Zarzouna 7021, Tunisia</t>
  </si>
  <si>
    <t>INRAE; Universite de Carthage</t>
  </si>
  <si>
    <t>Roméo, M (corresponding author), Fac Sci, UMR INRA UNSA ROSE 1112, BP 71,Parc Valrose, F-06108 Nice 2, France.</t>
  </si>
  <si>
    <t>romeo@unice.fr</t>
  </si>
  <si>
    <t>DELLALI, Mohamed/JVZ-2120-2024</t>
  </si>
  <si>
    <t>Mohamed, DELLALI/0000-0002-4979-3369</t>
  </si>
  <si>
    <t>10.1016/j.scitotenv.2005.09.071</t>
  </si>
  <si>
    <t>035OS</t>
  </si>
  <si>
    <t>WOS:000237011700013</t>
  </si>
  <si>
    <t>Zohra, B; Habib, A</t>
  </si>
  <si>
    <t>Zohra, Ben Salem; Habib, Ayadi</t>
  </si>
  <si>
    <t>Assessment of heavy metal contamination levels and toxicity in sediments and fishes from the Mediterranean Sea (southern coast of Sfax, Tunisia)</t>
  </si>
  <si>
    <t>Coast; Fishes; Metal pollution; Risk assessment; Sediment; Sfax</t>
  </si>
  <si>
    <t>ECOLOGICAL RISK-ASSESSMENT; CLAM RUDITAPES-DECUSSATUS; BASILISCA PISCES BLENNIDAE; HEALTH-RISKS; SALARIA-BASILISCA; MARINE-SEDIMENTS; TRACE-ELEMENTS; IN-SITU; SURFACE SEDIMENTS; YANGTZE-RIVER</t>
  </si>
  <si>
    <t>Contamination of heavy metals in sediment is regarded as a global crisis with a large share in industrializing cities like Sfax (Tunisia). Seven heavy metals such as Cadmium (Cd), Copper (Cu), Iron (Fe), Mercury (Hg), Nickel (Ni), Lead (Pb), and Zinc (Zn), and one metalloid such as Arsenic (As) in sediments and fish (D. annularis, L. aurata, and S. vulgaris) were investigated from the Southern coast of Sfax in Tunisia. The range of metals in sediments were 13.11-36; 4.42-7.92; 8.23-28.56; 50,564-11,956; 2.9-6.8; 9.13-30.51; 65.06-151.50, and 47-546 kg(-1) DW for As, Cd, Cu, Fe, Hg, Ni, Pb, and Zn. The level of studied metals in sediment samples exceeded the limits of the quality assessment guidelines (SQGs). The potential ecological risk index (PERI) proved that the investigated region could pose moderate risk for the aquatic biota. Metal bioaccumulation in the fish muscles varied significantly among species. Indeed, S. vulgaris and D. annularis accumulated higher amount of metal than L. aurata. The target hazard quotients (THQ) of individual heavy metals in fish, except for As and Hg, revealed safe levels for human consumption. Nevertheless, the total THQ indexes exceeded 1 suggesting the combined effects on muscles fish, which may constitute a risk to population's health.</t>
  </si>
  <si>
    <t>[Zohra, Ben Salem; Habib, Ayadi] Univ Sfax, Sfax Fac Sci, Dept Life Sci Res, Biodivers &amp; Aquat Ecosyst UR Res Unit 11ES72, St Soukra Km 3-5 BP 1171,POB 3000, Sfax, Tunisia</t>
  </si>
  <si>
    <t>Universite de Sfax; Faculty of Sciences Sfax</t>
  </si>
  <si>
    <t>Zohra, B (corresponding author), Univ Sfax, Sfax Fac Sci, Dept Life Sci Res, Biodivers &amp; Aquat Ecosyst UR Res Unit 11ES72, St Soukra Km 3-5 BP 1171,POB 3000, Sfax, Tunisia.</t>
  </si>
  <si>
    <t>bensalemzohra@gmail.com</t>
  </si>
  <si>
    <t>research unit biodiversity and aquatic ecosystems in the Faculty of sciences of Sfax [UR/11ES72]</t>
  </si>
  <si>
    <t>research unit biodiversity and aquatic ecosystems in the Faculty of sciences of Sfax</t>
  </si>
  <si>
    <t>This work was supported by the research unit biodiversity and aquatic ecosystems UR/11ES72 in the Faculty of sciences of Sfax.</t>
  </si>
  <si>
    <t>10.1007/s11356-016-6534-3</t>
  </si>
  <si>
    <t>DQ9TZ</t>
  </si>
  <si>
    <t>WOS:000379553500033</t>
  </si>
  <si>
    <t>Gaspic, ZK; Ujevic, I; Baric, A</t>
  </si>
  <si>
    <t>The Mediterranean blue mussel as an environmental indicator of metal pollution in the coastal area of Eastern Adriatic</t>
  </si>
  <si>
    <t>Adriatic Sea; biomonitoring; heavy metals; mussels</t>
  </si>
  <si>
    <t>HEAVY-METALS; MYTILUS-GALLOPROVINCIALIS; TRANSPLANTED MUSSELS; TRACE-METALS; SEA; ZINC; CADMIUM; EDULIS; COPPER</t>
  </si>
  <si>
    <t>This paper presents the results of the second year of monitoring of heavy metal contamination in the Croatian coastal area using the Mediterranean blue mussel (Mytilus galloprovincialis) as indicator species. The levels of essential (Cu, Zn) and non-essential (Cd, Pb, Cr) metals were determined in the whole soft tissue of mussels collected from 28 locations along the Eastern Adriatic coast. Examination of the spatial pattern of contaminants revealed three types of metal distribution. Zinc (58-170 mg kg(-1) dry wt.) was uniformly distributed across all the sites, while concentrations of Cd (0.17-1.57 mg kg(-1) dry wt.) and Cr (0.92-2.61 mg kg(-1) dry wt.) were elevated in certain regions. However, these values were not significantly different from those found at the stations with no known point sources of contamination. Elevated concentrations of lead and copper were recorded in the areas with high input of industrial, harbor and urban wastes. Although a wide range of lead and copper concentrations was observed, most of the values were lower than 1.5 mg kg(-1) dry m. and 14 mg kg(-1) dry wt., respectively.</t>
  </si>
  <si>
    <t>Inst Oceanog &amp; Fisheries, Lab Chem Oceanog &amp; Sedimentol Sea, Split 21000, Croatia</t>
  </si>
  <si>
    <t>Croatian Institute of Oceanography &amp; Fisheries (IZOR)</t>
  </si>
  <si>
    <t>Inst Oceanog &amp; Fisheries, Lab Chem Oceanog &amp; Sedimentol Sea, POB 500, Split 21000, Croatia.</t>
  </si>
  <si>
    <t>9B</t>
  </si>
  <si>
    <t>618VY</t>
  </si>
  <si>
    <t>WOS:000179439000001</t>
  </si>
  <si>
    <t>Kunene, SC; Lin, KS; Mdlovu, NV; Shih, WC</t>
  </si>
  <si>
    <t>Kunene, Sikhumbuzo Charles; Lin, Kuen-Song; Mdlovu, Ndumiso Vukile; Shih, Wei-Cheng</t>
  </si>
  <si>
    <t>Bioaccumulation of trace metals and speciation of copper and zinc in Pacific oysters (Crassostrea gigas) using XANES/EXAFS spectroscopies</t>
  </si>
  <si>
    <t>Oysters (Crassostrea gigas); Trace metals; Bioaccumulation; XANES/EXAFS</t>
  </si>
  <si>
    <t>PEARL RIVER ESTUARY; HEALTH-RISK ASSESSMENT; GULF-OF-CALIFORNIA; HEAVY-METALS; COASTAL AREAS; POLLUTION; ZN; CD; CONTAMINATION; SEDIMENTS</t>
  </si>
  <si>
    <t>Copper (Cu) and zinc (Zn) concentrations in oyster soft tissues can be particularly high due to contamination, leading to extremely green/blue colors. This raises key questions regarding the behavior and speciation of trace metals in oyster soft tissues. This study investigated trace metal concentration profiles of contaminated Pacific oyster (Crassostrea gigas) soft tissues collected from trace metal-contaminated coastal area of Xiangshan District using inductively coupled plasma optical emission spectrometry (ICP-OES), energy dispersive X-ray (EDX), Fourier-transform infrared spectroscopy (FTIR), and X-ray photoelectron spectroscopy (XPS). Moreover, Cu and Zn speciation in contaminated and non-contaminated oyster soft tissues were investigated by X-ray absorption near edge structure spectroscopy/extended X-ray absorption fine structure (XANES/EXAFS) spectroscopic methods. The contents of Cu (1,100-1,400 mg/kg) and Zn (500-700 mg/kg) dry weight were high in oyster soft tissue samples. The XANES/EXAFS results revealed that Cu and Zn existed primarily as copper (II) oxide (Cue) and zinc oxide (ZnO) in contaminated oysters. Furthermore, Cu and Zn formed clusters with Cu-O and Zn-O interatomic distances of 1.97 and 2.21 angstrom, (coordination numbers 1.0 and 5.6), respectively. In non-contaminated oysters, the less abundant Cu and Zn existed mainly as copper(l) sulfide (Cu2S) and zinc sulfide (ZnS) forming clusters with Cu-S and Zn-S (thiolates) bond distances of 2.09 and 1.23 angstrom (coordination numbers of 4.6 and 2.4). These results provide further understanding on the chemical speciation of Cu and Zn in contaminated and non-contaminated oyster soft tissues as well as the bio-accumulation of trace metals in the oyster soft tissues. (C) 2020 Elsevier Ltd. All rights reserved.</t>
  </si>
  <si>
    <t>[Kunene, Sikhumbuzo Charles; Lin, Kuen-Song; Mdlovu, Ndumiso Vukile; Shih, Wei-Cheng] Yuan Ze Univ, Dept Chem Engn &amp; Mat Sci, Environm Technol Res Ctr, Taoyuan 32003, Taiwan</t>
  </si>
  <si>
    <t>Yuan Ze University</t>
  </si>
  <si>
    <t>Lin, KS (corresponding author), Yuan Ze Univ, Dept Chem Engn &amp; Mat Sci, Environm Technol Res Ctr, Taoyuan 32003, Taiwan.</t>
  </si>
  <si>
    <t>s1078805@mail.yzu.edu.tw; kslin@saturn.yzu.edu.tw; s1078804@mail.yzu.edu.tw; s937354@mail.yzu.edu.tw</t>
  </si>
  <si>
    <t>Lin, Kuen-Song/KIB-1357-2024</t>
  </si>
  <si>
    <t>Mdlovu, Ndumiso Vukile/0000-0003-1115-6900</t>
  </si>
  <si>
    <t>Ministry of Science and Technology (MOST), Taiwan [MOST 103-2621-M-155-001]</t>
  </si>
  <si>
    <t>Ministry of Science and Technology (MOST), Taiwan(Ministry of Science and Technology, Taiwan)</t>
  </si>
  <si>
    <t>Funding from the Ministry of Science and Technology (MOST), Taiwan (MOST 103-2621-M-155-001) is gratefully acknowledged. We also thank Prof. Y. W. Yang, Dr. J. F. Lee, and Dr. Jeng-Lung Chen from Taiwan National Synchrotron Radiation Research Center (NSRRC) for their assistance in the XANES and EXAFS experiments and data analyses.</t>
  </si>
  <si>
    <t>10.1016/j.chemosphere.2020.129067</t>
  </si>
  <si>
    <t>PL9XI</t>
  </si>
  <si>
    <t>WOS:000603465000050</t>
  </si>
  <si>
    <t>Odzak, N; Zvonaric, T; Gaspic, ZK; Horvat, M; Baric, A</t>
  </si>
  <si>
    <t>Biomonitoring of mercury in the Kastela Bay using transplanted mussels</t>
  </si>
  <si>
    <t>5th International Conference on Mercury as a Global Pollutant</t>
  </si>
  <si>
    <t>MAY 23-28, 1999</t>
  </si>
  <si>
    <t>RIO JANEIRO, BRAZIL</t>
  </si>
  <si>
    <t>Hg remobilization; mussels; Hg uptake; methyl mercury; biomonitoring</t>
  </si>
  <si>
    <t>MYTILUS-EDULIS; HEAVY-METALS; GALLOPROVINCIALIS; ACCUMULATION; MARINE; BIOAVAILABILITY; SEDIMENTS; AREA; CD; MN</t>
  </si>
  <si>
    <t>Kastela Bay, located on the central part of east Adriatic coast, is heavily contaminated by mercury. The main source of contamination was a chlor-alkali plant, which was operating for 40 years since 1949. Previous studies showed that mercury concentrated in the sediment close to the plant is being dispersed throughout the bay by remobilization processes. Subsequent remobilization of mercury buried in the sediment may be harmful to various marine organisms. In order to assess the availability of remobilised mercury to marine organisms and to assess the health risk of consumption of shellfish species from the bay, a monitoring programme was initiated in September 1997. One thousand six hundred specimens of mussels (Mytilus galloprovincialis) of the same size and age, collected in a very clean area, were transferred to four stations in the bay 1.5 m above the sea bottom. Every month during the summer period and every second month in the winter period, 50 mussels were taken from each station for the analysis of mercury and monomethylmercury (MeHg) content. The results obtained during 1 year of biomonitoring suggest that the equilibrium concentration in transplanted mussels was established in a relative short period of time. The digestive gland is preferential organ for the accumulation of total mercury. Seasonal variation of mercury content both in the whole soft tissue, and organs (gills and digestive gland) was observed at all stations. However, methyl mercury is more concentrated in soft tissues than in digestive gland and gills, despite the fact that it is absorbed through these organs. The mercury levels in tissues were below accepted limits for human consumption. Obtained results showed that the implantation of mussels in an area containing sediment contaminated by mercury may be a good monitoring tool for the assessment of the availability of remobilised mercury to marine organisms. (C) 2000 Elsevier Science B.V. All rights reserved.</t>
  </si>
  <si>
    <t>Inst Oceanog &amp; Fisheries, Split 21000, Croatia; Jozef Stefan Inst, Ljubljana, Slovenia</t>
  </si>
  <si>
    <t>Croatian Institute of Oceanography &amp; Fisheries (IZOR); Slovenian Academy of Sciences &amp; Arts (SASA); Jozef Stefan Institute</t>
  </si>
  <si>
    <t>Zvonaric, T (corresponding author), Inst Oceanog &amp; Fisheries, POB 500, Split 21000, Croatia.</t>
  </si>
  <si>
    <t>Kljakovic Gaspic, Zorana/0000-0002-0439-2131</t>
  </si>
  <si>
    <t>OCT 16</t>
  </si>
  <si>
    <t>10.1016/S0048-9697(00)00595-7</t>
  </si>
  <si>
    <t>358ZN</t>
  </si>
  <si>
    <t>WOS:000089587200006</t>
  </si>
  <si>
    <t>Barus, BS; Zhu, ZH; Cheuch, CY; Chen, K; Wang, J; Cai, MG; Cheng, SY; Wei, HH</t>
  </si>
  <si>
    <t>Barus, Beta Susanto; Zhu, Zuhao; Cheuch, Chih-Yang; Chen, Kai; Wang, Jun; Cai, Minggang; Cheng, Sha-Yen; Wei, Huihua</t>
  </si>
  <si>
    <t>Polystyrene as a vector of heavy metals in hard clam Meretrix lusoria under various salinities</t>
  </si>
  <si>
    <t>microplastic; polystyrene; heavy metal; salinity; hard clam</t>
  </si>
  <si>
    <t>TRACE-METALS; MARINE; MICROPLASTICS; ADSORPTION; CADMIUM; PELLETS; ZINC; LEAD</t>
  </si>
  <si>
    <t>Microplastics and heavy metals are the two main contaminants that are often found in aquatic environments and can lead to major issues for aquatic organisms. Polystyrene (PS) is a type of microplastic that is commonly found in aquatic environments. Hard clams are one of the organisms that are often used as a bioindicator of water pollution, and they can live in a certain salinity range. The objective of this study is to investigate the potential of PS particles as heavy metal vectors in M. lusoria influenced by differences in salinity. The result showed that the highest increase in concentrations of all heavy metals in hard clams was found in those placed at higher salinities. Hard clams that were placed at higher salinity required more water, allowing more PS particles to enter the clams' bodies. Hard clams placed at salinity 30 parts per thousand always gathered significantly more PS particles (p&lt;0.05) than hard clams placed at the other two salinities (20 and 25 parts per thousand). This is also corroborated by water depletion at a salinity of 30 parts per thousand, which is significantly higher (p&lt;0.05) than the other two salinities. Our findings indicate that PS particles have the potential as vectors for heavy metal pollutants in hard clams in environments of varying salinity.</t>
  </si>
  <si>
    <t>[Barus, Beta Susanto; Zhu, Zuhao; Cai, Minggang] Minist Nat Resources, Inst Oceanog 4, Guangxi Key Lab Beibu Gulf Marine Resources Enviro, Beihai, Peoples R China; [Barus, Beta Susanto; Cheuch, Chih-Yang; Cheng, Sha-Yen; Wei, Huihua] Natl Taiwan Ocean Univ, Dept Environm Biol &amp; Fisheries Sci, Keelung, Taiwan; [Barus, Beta Susanto] Sriwijaya Univ, Fac Math &amp; Nat Sci, Dept Marine Sci, Indralaya, Indonesia; [Zhu, Zuhao; Chen, Kai; Wang, Jun; Cai, Minggang] Xiamen Univ, Coll Ocean &amp; Earth Sci, Xiamen, Peoples R China; [Zhu, Zuhao; Cai, Minggang; Wei, Huihua] Minist Nat Resources, Inst Oceanog 4, Key Lab Trop Marine Ecosyst &amp; Bioresource, Beihai, Peoples R China; [Wang, Jun; Cai, Minggang] Xiamen Ocean Vocat Coll, Dept Biol Technol, Xiamen, Peoples R China</t>
  </si>
  <si>
    <t>Ministry of Natural Resources of the People's Republic of China; Fourth Institute of Oceanography, Ministry of Natural Resources; National Taiwan Ocean University; Universitas Sriwijaya; Xiamen University; Ministry of Natural Resources of the People's Republic of China; Fourth Institute of Oceanography, Ministry of Natural Resources</t>
  </si>
  <si>
    <t>Cai, MG (corresponding author), Minist Nat Resources, Inst Oceanog 4, Guangxi Key Lab Beibu Gulf Marine Resources Enviro, Beihai, Peoples R China.;Cheng, SY (corresponding author), Natl Taiwan Ocean Univ, Dept Environm Biol &amp; Fisheries Sci, Keelung, Taiwan.;Chen, K; Cai, MG (corresponding author), Xiamen Univ, Coll Ocean &amp; Earth Sci, Xiamen, Peoples R China.;Cai, MG (corresponding author), Minist Nat Resources, Inst Oceanog 4, Key Lab Trop Marine Ecosyst &amp; Bioresource, Beihai, Peoples R China.;Cai, MG (corresponding author), Xiamen Ocean Vocat Coll, Dept Biol Technol, Xiamen, Peoples R China.</t>
  </si>
  <si>
    <t>kchen@xmu.edu.cn; mgcai@xmu.edu.cn; eric@mail.ntou.edu.tw</t>
  </si>
  <si>
    <t>Cheng, Sha-Yen/ABG-1696-2020; Zhu, Zuhao/G-9674-2017; Barus, Beta Susanto/D-2439-2016</t>
  </si>
  <si>
    <t>Barus, Beta Susanto/0000-0002-5005-6577</t>
  </si>
  <si>
    <t>Ministry of Science and Technology [106-2611-M-019-009]; National Natural Science Foundation of China [U2005207, 41976216]; Fujian Provincial Natural Science Foundation of China [2014J06014]; Special Project of Marine Biological Application Technology Cooperative Innovation Center, Fujian Province [XTZX-HYSW-1802]; Guangxi Talent and Innovation Base Project [2018AD19280]</t>
  </si>
  <si>
    <t>Ministry of Science and Technology(Spanish Government); National Natural Science Foundation of China(National Natural Science Foundation of China (NSFC)); Fujian Provincial Natural Science Foundation of China; Special Project of Marine Biological Application Technology Cooperative Innovation Center, Fujian Province; Guangxi Talent and Innovation Base Project</t>
  </si>
  <si>
    <t>This study was funded by Ministry of Science and Technology (Grant No. 106-2611-M-019-009), Taiwan. This research was also funded by the National Natural Science Foundation of China (U2005207, 41976216), the Fujian Provincial Natural Science Foundation of China (2014J06014); and Special Project of Marine Biological Application Technology Cooperative Innovation Center, Fujian Province (XTZX-HYSW-1802), and Guangxi Talent and Innovation Base Project (2018AD19280). We thank to Mr. Z. Y. Cyue, Mr. P. H. Chou and Ms. H. R. Hsieh for their help with the analyses.</t>
  </si>
  <si>
    <t>JAN 11</t>
  </si>
  <si>
    <t>10.3389/fmars.2022.1014103</t>
  </si>
  <si>
    <t>8G1DU</t>
  </si>
  <si>
    <t>WOS:000920091500001</t>
  </si>
  <si>
    <t>Korthals, GW; Bongers, M; Fokkema, A; Dueck, TA; Lexmond, TM</t>
  </si>
  <si>
    <t>Joint toxicity of copper and zinc to a terrestrial nematode community in an acid sandy soil</t>
  </si>
  <si>
    <t>nematodes; copper; zinc; joint toxicity; bioavailability</t>
  </si>
  <si>
    <t>MUSSEL DREISSENA-POLYMORPHA; QUALITY CRITERIA; METAL MIXTURES; CADMIUM; ECOTOXICITY; SORPTION; NICKEL; SINGLE; FISH; ZN</t>
  </si>
  <si>
    <t>Heavy metal toxicity to an indigenous nematode community was examined following the addition of Cu and Zn, alone or in combination, to agricultural soil. The dissolved Cu or Zn concentrations measured after equilibrating soil samples with a 0.01 M solution of CaCl2, showed that the metal concentrations found in soils with combined metal additions were not significantly different from those with single metal additions. After an exposure period of six months, many nematode community parameters and individual nematode taxa were significantly affected by increasing concentrations of Cu and Zn up to 200 mg kg(-1). Some nematode taxa, such as Thonus, Alaimus and Aporcelaimellus were very sensitive and disappeared at Cu and Zn concentrations exceeding 50 mg kg(-1). For several nematode community parameters and nematode taxa, EC50 values for single metal exposures were used to calculate TU50 values for the joint toxicity of Cu and Zn. Based on these calculations, it is concluded that the effects of a combined exposure to Cu and Zn were additive or less than additive. Before this conclusion can be generalised, however, more data are needed on other types of soil, other pH values and other combinations of pollutants.</t>
  </si>
  <si>
    <t>Univ Wageningen &amp; Res Ctr, Dept Nematol, NL-6709 PD Wageningen, Netherlands; Univ Wageningen &amp; Res Ctr, Dept Soil Sci &amp; Plant Nutr, NL-6703 HB Wageningen, Netherlands</t>
  </si>
  <si>
    <t>Wageningen University &amp; Research; Wageningen University &amp; Research</t>
  </si>
  <si>
    <t>Korthals, GW (corresponding author), Appl Res Arable Farming &amp; Field Prod Vegetables, PAV Edelhertweg 1,POB 430, NL-8200 AK Lelystad, Netherlands.</t>
  </si>
  <si>
    <t>10.1023/A:1008950905983</t>
  </si>
  <si>
    <t>362UA</t>
  </si>
  <si>
    <t>WOS:000089795600008</t>
  </si>
  <si>
    <t>Evariste, L; Rioult, D; Brousseau, P; Geffard, A; David, E; Auffret, M; Fournier, M; Betoulle, S</t>
  </si>
  <si>
    <t>Evariste, Lauris; Rioult, Damien; Brousseau, Pauline; Geffard, Alain; David, Elise; Auffret, Michel; Fournier, Michel; Betoulle, Stephane</t>
  </si>
  <si>
    <t>Differential sensitivity to cadmium of immunomarkers measured in hemocyte subpopulations of zebra mussel Dreissena polymorpha</t>
  </si>
  <si>
    <t>ECOTOXICOLOGY AND ENVIRONMENTAL SAFETY</t>
  </si>
  <si>
    <t>Dreissena polymorpha; Hemocytes; Cadmium; Metal; Phagocytosis</t>
  </si>
  <si>
    <t>IN-VITRO EXPOSURE; FRESH-WATER MUSSEL; REACTIVE OXYGEN; ENVIRONMENTAL CONTAMINANTS; FLOW-CYTOMETRY; QUANTUM DOTS; MARINE; MYTILUS; PARAMETERS; CLAM</t>
  </si>
  <si>
    <t>Increasing discharge of industrial wastes into the environment results in pollution transfer towards hydro systems. These activities release heavy metals such as cadmium, known as persistent pollutant that is accumulated by molluscs and exercise immunotoxicological effects. Among molluscs, the zebra mussel, Dreissena polymorpha constitutes a suitable support for freshwater ecotoxicological studies. In molluscs, homeostasis maintain is ensured in part by hemocytes that are composed of several cell populations involved in multiple physiological processes such as cell-mediated immune response or metal metabolism. Thus, hemocytes constitute a target of concern to study adverse effects of heavy metals. The objectives of this work were to determine whether immune-related endpoints assessed were of different sensitivity to cadmium and whether hemocyte functionalities were differentially affected depending on hemocyte subpopulation considered. Hemocytes were exposed ex vivo to concentrations of cadmium ranging from 10(-6) M to 10(-3) M for 21 h prior flow cytometric analysis of cellular markers. Measured parameters (viability, phagocytosis, oxidative activity, lysosomal content) decreased in a dose-dependent manner with sensitivity differences depending on endpoint and cell type considered. Our results indicated that phagocytosis related endpoints were the most sensitive studied mechanisms to cadmium compared to other markers with EC50 of 3.71 +/- 0.53 x 10(-4) M for phagocytic activity and 2.79 +/- 0.19 x 10(-4) M considering mean number of beads per phagocytic cell. Lysosomal content of granulocytes was less affected compared to other cell types, indicating lower sensitivity to cadmium. This suggests that granulocyte population is greatly involved in metal metabolism. Mitochondrial activity was reduced only in blast-like hemocytes that are considered to be cell precursors. Impairment of these cell functionalities may potentially compromise functions ensured by differentiated cells. We concluded that analysis of hemocyte activities should be performed at sub-population scale for more accurate results in ecotoxicological studies.</t>
  </si>
  <si>
    <t>[Evariste, Lauris; Geffard, Alain; David, Elise; Betoulle, Stephane] Univ Reims, UMR INERIS SEBIO Stress Environm &amp; Biosurveilianc, Reims, France; [Rioult, Damien] Univ Reims, Inst Natl Environm Ind &amp; Risques, Plateau Tech Cytometrie Environm MOBICYTE, Reims, France; [Evariste, Lauris; Brousseau, Pauline; Fournier, Michel] INRS, Inst Armand Frcppier, 531 Blvd Prairies, Laval, PQ, Canada; [Auffret, Michel] Inst Univ Europeen Mar, Lab LEMAR, Plouzane, France</t>
  </si>
  <si>
    <t>Universite de Reims Champagne-Ardenne; Institut National de l'Environnement Industriel et des Risques (INERIS); Universite de Reims Champagne-Ardenne; University of Quebec; Institut national de la recherche scientifique (INRS); Centre National de la Recherche Scientifique (CNRS); Ifremer; Institut de Recherche pour le Developpement (IRD)</t>
  </si>
  <si>
    <t>Evariste, L (corresponding author), Univ Reims, UMR INERIS SEBIO Stress Environm &amp; Biosurveilianc, Reims, France.</t>
  </si>
  <si>
    <t>lauris.evariste@gmail.com</t>
  </si>
  <si>
    <t>BETOULLE, STÉPHANE/GLT-2314-2022</t>
  </si>
  <si>
    <t>David, Elise/0000-0001-8190-4498; Geffard, Alain/0000-0001-9236-2890; Evariste, Lauris/0000-0001-8718-7776</t>
  </si>
  <si>
    <t>Champagne-Ardenne Region (France); Canadian Chair in Environmental Immunotoxicology; CFQCU (Conseil Franco-Quebecois de Cooperation Universitaire) [2014/138]; ANR, research programme IPOC (Interactions between Pollution and Climate changes: Development of improved monitoring strategy [STPGP-430539-2012, ANR-12-ISV7-0004-01]; NSERC, research programme IPOC (Interactions between Pollution and Climate changes: Development of improved monitoring strategy [STPGP-430539-2012, ANR-12-ISV7-0004-01]</t>
  </si>
  <si>
    <t>Champagne-Ardenne Region (France)(Region Grand-Est); Canadian Chair in Environmental Immunotoxicology; CFQCU (Conseil Franco-Quebecois de Cooperation Universitaire); ANR, research programme IPOC (Interactions between Pollution and Climate changes: Development of improved monitoring strategy(Agence Nationale de la Recherche (ANR)); NSERC, research programme IPOC (Interactions between Pollution and Climate changes: Development of improved monitoring strategy</t>
  </si>
  <si>
    <t>This work was supported by the Champagne-Ardenne Region (France), by the Canadian Chair in Environmental Immunotoxicology, by the CFQCU (Conseil Franco-Quebecois de Cooperation Universitaire, 2014/138) and by a grant from both ANR and NSERC (STPGP-430539-2012) Agencies (joined France-Canada project) as a part of the research programme IPOC (Interactions between Pollution and Climate changes: Development of improved monitoring strategy, ANR-12-ISV7-0004-01, 2013-2015).</t>
  </si>
  <si>
    <t>ACADEMIC PRESS INC ELSEVIER SCIENCE</t>
  </si>
  <si>
    <t>SAN DIEGO</t>
  </si>
  <si>
    <t>525 B ST, STE 1900, SAN DIEGO, CA 92101-4495 USA</t>
  </si>
  <si>
    <t>0147-6513</t>
  </si>
  <si>
    <t>1090-2414</t>
  </si>
  <si>
    <t>ECOTOX ENVIRON SAFE</t>
  </si>
  <si>
    <t>Ecotox. Environ. Safe.</t>
  </si>
  <si>
    <t>10.1016/j.ecoenv.2016.11.027</t>
  </si>
  <si>
    <t>EI8VN</t>
  </si>
  <si>
    <t>WOS:000392786400011</t>
  </si>
  <si>
    <t>Luo, LZ; Ke, CH; Guo, XY; Shi, B; Huang, MQ</t>
  </si>
  <si>
    <t>Luo, Lianzhong; Ke, Caihuan; Guo, Xiaoyu; Shi, Bo; Huang, Miaoqin</t>
  </si>
  <si>
    <t>Metal accumulation and differentially expressed proteins in gill of oyster (Crassostrea hongkongensis) exposed to long-term heavy metal-contaminated estuary</t>
  </si>
  <si>
    <t>Proteomics; Oyster; Heavy metal; Bioaccumulation</t>
  </si>
  <si>
    <t>PACIFIC OYSTER; PROTEOMIC ANALYSIS; HEMOLYMPH PROTEIN; ENZYME-ACTIVITIES; GREEN OYSTER; RHO-GTPASES; ZINC; POLLUTION; COPPER; GIGAS</t>
  </si>
  <si>
    <t>Bio-accumulation and bio-transmission of toxic metals and the toxicological responses of organisms exposed to toxic metals have been focused, due to heavy metal contaminations have critically threatened the ecosystem and food security. However, still few investigations focused on the responses of certain organisms exposed to the long term and severe heavy metal contamination in specific environments. In present investigation, the Hong Kong oyster, Crassostrea hongkongensis were obtained from 3 sites which were contaminated by different concentrations of heavy metals (such as zinc, copper, manganese and lead etc.), respectively. Heavy metal concentrations in the sea water samples collected from the 3 sites and the dissected tissues of the oysters with blue visceral mass were determinated to estimate the metal contamination levels in environments and the bio-accumulation ratios of the heavy metals in the different tissues of oysters. Moreover, Proteomic methods were employed to analyze the differentially expressed proteins in the gills of oysters exposed to long-term heavy metal contaminations. Results indicated that the Jiulong River estuary has been severely contaminated by Cu, Zn and slightly with Cr, Ni, Mn, etc, moreover, Zn and Cu were the major metals accumulated by oysters to phenomenally high concentrations (more than 3.0% of Zn and about 2.0% of Cu against what the dry weight of tissues were accumulated), and Cr, Ni, Mn, etc were also significantly accumulated. The differentially expressed proteins in the gills of oysters exposed to heavy metals participate in several cell processes, such as metal binding, transporting and saving, oxidative-reduction balance maintaining, stress response, signal transduction, etc. Significantly up-regulated expression (about 10 folds) of an important metal binding protein, metallothionein (MT) and granular cells was observed in the gills of oysters exposed to long-term and severely heavy-metal-contaminated estuary, it suggested that binding toxic metals with metallothionein-like proteins (MTLP) and storing toxic metals in metal-rich granules (MRG) with insoluble forms were the important strategies of oyster to detoxify the toxic metals and adapt to the high level of metal-contaminated environment. Most of the stress and immunity responsive proteins, such as heat shock proteins (HSP), extracellular superoxide dismutase (ECSOD) and cavortin, and the cellular redox reaction relative proteins such as 20G-Fe (II) oxygenase family oxidoreductase, aldehyde dehydrogenase and retinal dehydrogenase 2, were detected significantly down-regulated in the gills of oysters exposed to long term heavy metal contaminated environments, it indicated that long term exposure different from emergent exposure to heavy metal contamination may significantly suppress the stress and immunity response system of oysters. Moreover, Formin homology 2 domain containing protein (FH2). The only protein domain to directly nucleate actin monomers into unbranched filament polymers, by which will subsequently control gene expression and chromatin remodelling complexes, was also detected greatly up-regulated in the gills of oysters exposed to long-term heavy metal contaminations. It indicated that nuclear activity regulation may also be important for oyster to adapt to the long-term heavy-metal-contaminated environment. (C) 2014 Elsevier Ltd. All rights reserved.</t>
  </si>
  <si>
    <t>[Luo, Lianzhong] Xiamen Med Coll, Dept Pharm, Xiamen 361008, Peoples R China; [Luo, Lianzhong; Ke, Caihuan] Xiamen Univ, State Key Lab Marine Environm Sci, Xiamen 361005, Peoples R China; [Ke, Caihuan; Guo, Xiaoyu; Shi, Bo; Huang, Miaoqin] Xiamen Univ, Coll Ocean &amp; Earth Sci, Xiamen 361005, Peoples R China</t>
  </si>
  <si>
    <t>Xiamen Medical College; Xiamen University; Xiamen University</t>
  </si>
  <si>
    <t>Ke, CH (corresponding author), Xiamen Univ, State Key Lab Marine Environm Sci, Daxue Rd 182, Xiamen 361005, Peoples R China.</t>
  </si>
  <si>
    <t>chke@xmu.edu.cn</t>
  </si>
  <si>
    <t>Ke, CH/G-4635-2010; Luo, Lianzhong/AAD-9311-2022</t>
  </si>
  <si>
    <t>973 Projects [2010CB126403]; NSFC [31201969]; Programme of Introducing Talents of Discipline to Universities [B07034]; PCSIRT [IRT0941]; Earmarked Fund for Modern Agro-industry Technology Research System [CARS-48]</t>
  </si>
  <si>
    <t>973 Projects(National Basic Research Program of China); NSFC(National Natural Science Foundation of China (NSFC)); Programme of Introducing Talents of Discipline to Universities(Ministry of Education, China - 111 Project); PCSIRT(Program for Changjiang Scholars &amp; Innovative Research Team in University (PCSIRT)); Earmarked Fund for Modern Agro-industry Technology Research System</t>
  </si>
  <si>
    <t>This work is funded by grants from the 973 Projects (No. 2010CB126403), NSFC (No.31201969), Programme of Introducing Talents of Discipline to Universities (No. B07034), PCSIRT (No. IRT0941) and the Earmarked Fund for Modern Agro-industry Technology Research System (No. CARS-48).</t>
  </si>
  <si>
    <t>10.1016/j.fsi.2014.03.029</t>
  </si>
  <si>
    <t>AI6VI</t>
  </si>
  <si>
    <t>WOS:000337014700007</t>
  </si>
  <si>
    <t>Gong, Y; Chai, MW; Ding, H; Shi, C; Wang, Y; Li, RL</t>
  </si>
  <si>
    <t>Gong, Yuan; Chai, Minwei; Ding, Huan; Shi, Cong; Wang, Yao; Li, Ruili</t>
  </si>
  <si>
    <t>Bioaccumulation and human health risk of shellfish contamination to heavy metals and As in most rapid urbanized Shenzhen, China</t>
  </si>
  <si>
    <t>Heavy metals; Shellfish; Estimated weekly intake; Target hazard quotient; Shenzhen</t>
  </si>
  <si>
    <t>MEDITERRANEAN SEA; DIETARY EXPOSURE; TRACE-ELEMENTS; ARSENIC EXPOSURE; MARINE BIVALVES; ECOLOGICAL RISK; COASTAL CITIES; FATTY-ACIDS; SEAFOOD; FISH</t>
  </si>
  <si>
    <t>Despite the benefits of shellfish consumption, the bioaccumulation of heavy metals in shellfish can endanger consumer's health. The consumption of seafood in Shenzhen (a fast-developing metropolis in China) has received more and more attention. Arsenic (As), cadmium (Cd), copper (Cu), mercury (Hg), and lead (Pb) in ten common shellfish species and associated health risks were analyzed for Shenzhen's consumers by evaluating estimated weekly intake (EWI), non-carcinogenic and carcinogenic health risks to children, adolescents, and adults. In this study, 50 shellfish samples were collected in total. The results showed that the levels of inorganic arsenic (iAs) in Babylonia areolata exceeded the maximum permissible limit set by the food safety guidelines (0.5 mg/kg), while other elements were below the limit in the present guidelines (Ministry of Health of the People's Republic of China, GB 2762-2012). EWI values of children, adolescents, and adults were all lower than provisional tolerable weekly intakes (PTWIs) of all shellfish species. The analysis of total target hazard quotients (TTHQ) showed that the ingested B. areolata in children, adolescents, and adults were all at non-carcinogenic risks; the consumption of Argopecten irradians and Chlamys farreri would pose non-carcinogenic risks for children only. In all age groups, the consumption of A. irradians, B. areolata, C. farreri, and Crassostrea ariakensis would lead to lifetime cancer risk due to Cd bioaccumulation, with toxicity of Pb and iAs to be acceptable and negligible.</t>
  </si>
  <si>
    <t>[Gong, Yuan; Chai, Minwei; Ding, Huan; Shi, Cong; Wang, Yao; Li, Ruili] Peking Univ Shenzhen Grad Sch, Sch Environm, Shenzhen, Guangdong, Peoples R China</t>
  </si>
  <si>
    <t>Li, RL (corresponding author), Peking Univ Shenzhen Grad Sch, Sch Environm, Shenzhen, Guangdong, Peoples R China.</t>
  </si>
  <si>
    <t>liruili@pkusz.edu.cn</t>
  </si>
  <si>
    <t>Shi, Cong/ABB-9422-2020</t>
  </si>
  <si>
    <t>10.1007/s11356-019-06580-2</t>
  </si>
  <si>
    <t>KN1JR</t>
  </si>
  <si>
    <t>WOS:000514596300075</t>
  </si>
  <si>
    <t>Yousefi, Z; Mashayekh-Salehi, A; Tahmtan, RAM</t>
  </si>
  <si>
    <t>Yousefi, Zabihollah; Mashayekh-Salehi, Ali; Tahmtan, Reza Ali Mohammadpour</t>
  </si>
  <si>
    <t>Biosorption of chromium in aqueous solutions using Bivalve Mollusk Shells through central composite design (CCD) model</t>
  </si>
  <si>
    <t>DESALINATION AND WATER TREATMENT</t>
  </si>
  <si>
    <t>Adsorption; Heavy metals; Isotherm; Langmuir; Freundlich</t>
  </si>
  <si>
    <t>CR VI; CR(III) REMOVAL; WASTE-WATER; CR(VI) IONS; ADSORPTION; PERFORMANCE; SORPTION; CU(II); GREEN; RAW</t>
  </si>
  <si>
    <t>Pollution of water resources caused by heavy metals has been among the greatest concerns of environmentalists in recent years. Industrial wastewater contains chromium. Therefore, removing or reducing chromium from the industrial wastewater seems to be essential. In the present research, bivalve mollusk shells acted as the adsorbent. The statistical model in this research was central composite design, which analyzed the experiments. The optimal pH range for an adsorbent was about 3-5. An increase in the adsorbent dosage led to an increased efficiency. The optimal exposure time for the ion absorption mechanism of the solution was about 35min. The absorption mechanism followed the Freundlich adsorption isotherm model. The most significant factor was found to be the independent effect of chromium initial concentration (p=0.0007). Compared with other adsorbents such as fruit peels and the like whose availability depends on their consumption, the use of this adsorbent was economically beneficial due to its low cost and high availability.</t>
  </si>
  <si>
    <t>[Yousefi, Zabihollah; Mashayekh-Salehi, Ali] Mazandaran Univ Med Sci, Dept Environm Hlth, Fac Hlth, Sari, Iran; [Tahmtan, Reza Ali Mohammadpour] Mazandaran Univ Med Sci, Fac Hlth, Dept Biostat, Sari, Iran</t>
  </si>
  <si>
    <t>Mazandaran University Medical Sciences; Mazandaran University Medical Sciences</t>
  </si>
  <si>
    <t>Mashayekh-Salehi, A (corresponding author), Mazandaran Univ Med Sci, Dept Environm Hlth, Fac Hlth, Sari, Iran.</t>
  </si>
  <si>
    <t>zyousefi2004@gmail.com; amashayekh65@gmail.com</t>
  </si>
  <si>
    <t>Yousefi, Zabihollah/G-2287-2011; Mohammadpour, Reza Ali/F-4279-2017</t>
  </si>
  <si>
    <t>Mohammadpour, Reza Ali/0000-0003-2353-5027; Yousefi, Zabihollah/0000-0001-9251-2668</t>
  </si>
  <si>
    <t>Mazandaran University of Medical Sciences</t>
  </si>
  <si>
    <t>Mazandaran University of Medical Sciences(University of Mazandaran)</t>
  </si>
  <si>
    <t>The present study was carried out with the financial support of Mazandaran University of Medical Sciences to whom the gratitude is expressed. Our appreciation is extended to the Chemistry department of Mazandaran University for detecting of samples by AAS.</t>
  </si>
  <si>
    <t>DESALINATION PUBL</t>
  </si>
  <si>
    <t>HOPKINTON</t>
  </si>
  <si>
    <t>36 WALCOTT VALLEY DRIVE,, HOPKINTON, MA 01748 USA</t>
  </si>
  <si>
    <t>1944-3994</t>
  </si>
  <si>
    <t>1944-3986</t>
  </si>
  <si>
    <t>DESALIN WATER TREAT</t>
  </si>
  <si>
    <t>Desalin. Water Treat.</t>
  </si>
  <si>
    <t>10.1080/19443994.2015.1106342</t>
  </si>
  <si>
    <t>Engineering, Chemical; Water Resources</t>
  </si>
  <si>
    <t>Engineering; Water Resources</t>
  </si>
  <si>
    <t>DV2JG</t>
  </si>
  <si>
    <t>WOS:000382746100028</t>
  </si>
  <si>
    <t>Saavedra, Y; González, A; Fernández, P; Blanco, J</t>
  </si>
  <si>
    <t>Interspecific variation of metal concentrations in three bivalve mollusks from Galicia</t>
  </si>
  <si>
    <t>MUSSEL MYTILUS-EDULIS; MARINE BIVALVES; CERASTODERMA-EDULE; TRACE-METALS; ACCUMULATION; ZINC; CADMIUM; LEAD; GALLOPROVINCIALIS; POLLUTION</t>
  </si>
  <si>
    <t>There has been growing concern about the inflow of metals to the coastal areas because they can be toxic to aquatic and human fife. Some studies have demonstrated the existence of species-specific differences in the metal concentrations of mollusks. We compared metal concentrations between Mytilus galloprovincialis, used as a water quality indicator, and two other bivalve species collected for human consumption (Venerupis pullastra and Cerastoderma edule) in different locations on the Galician coast (northwest Spain). M. galloprovincialis was found to be the best zinc and lead accumulator, whereas silver and arsenic were preferentially accumulated by V. pullastra and chromium and nickel by C edule. Bivalve concentrations of mercury, cadmium, chromium, arsenic, silver, and zinc appeared to be linearly related to environmental concentrations, but this was not the case with copper, nickel, and lead in some species, which indicated that there is a nonlinear accumulation of these metals or an influence of the environmental conditions on species accumulation. The relationship between metal concentration in mussels and in the two other species varied with the metal and the species. In some cases the correlation was high, making it possible to use mussels as bioindicators for the other species. In other cases the correlation was moderate or low, therefore rendering mussels of little or no use in predicting the metal concentrations in the two other species.</t>
  </si>
  <si>
    <t>Conselleria Pesca &amp; Asuntos Maritimos, Ctr Control Medio Marino, Vilaxoan, Spain; Fac Quim, Dept Quim Analit Nutr &amp; Bromatol, Santiago De Compostela, Spain; Conselleria Pesca &amp; Asuntos Maritimos, Ctr Invest Marinas, Vilanova De Arousa, Spain</t>
  </si>
  <si>
    <t>Universidade de Santiago de Compostela</t>
  </si>
  <si>
    <t>Saavedra, Y (corresponding author), Conselleria Pesca &amp; Asuntos Maritimos, Ctr Control Medio Marino, Vilaxoan, Spain.</t>
  </si>
  <si>
    <t>ysaavedra@cccmm.cesga.es</t>
  </si>
  <si>
    <t>González, Antonio/K-8065-2014; Blanco, Juan/A-8000-2008; Gonzalez, A. Gustavo/N-8982-2015</t>
  </si>
  <si>
    <t>Blanco, Juan/0000-0003-2123-7747; Gonzalez, A. Gustavo/0000-0003-0013-9881</t>
  </si>
  <si>
    <t>10.1007/s00244-004-3021-5</t>
  </si>
  <si>
    <t>856OL</t>
  </si>
  <si>
    <t>WOS:000224054400008</t>
  </si>
  <si>
    <t>Zhao, R; Yan, SS; Liu, M; Wang, B; Hu, D; Guo, DB; Wang, J; Xu, WT; Fan, C</t>
  </si>
  <si>
    <t>Zhao, Ran; Yan, Shuangshuang; Liu, Min; Wang, Bi; Hu, Dong; Guo, Dongbei; Wang, Juan; Xu, Wanting; Fan, Chun</t>
  </si>
  <si>
    <t>Seafood consumption among Chinese coastal residents and health risk assessment of heavy metals in seafood</t>
  </si>
  <si>
    <t>Coastal residents; Seafood; Heavy metal; Risk assessment; Target hazard quotient (THQ)</t>
  </si>
  <si>
    <t>ANIMAL-BASED FOODS; TRACE-ELEMENTS; MULTIPLE CONTAMINANTS; MARINE FISH; SOUTH CHINA; EAST CHINA; BIOACCUMULATION; EXPOSURE; SPAIN; POPULATION</t>
  </si>
  <si>
    <t>The aims of the present study were to obtain the seafood dietary patterns of coastal residents, to determine the concentrations of heavy metals, and to evaluate the possible health risks caused by seafood intake. The daily food intakes of 24 types of seafood were collected from 738 participants from Xiamen, a southern Chinese coastal city, using food frequency questionnaire (FFQ) and dietary history method. One hundred and fifty-six samples of 14 types of highest intake seafood were collected from local markets for lead (Pb), cadmium (Cd), chromium (Cr), mercury (Hg), and arsenic (As) determination. Health risks via seafood consumption were evaluated by calculating the target hazard quotient (THQ) and the total hazard index (HI) for carcinogenic and non-carcinogenic effects recommended by the US Environmental Protection Agency. The results showed that the seafood daily intake of Xiamen residents was 61.5 (2.14, 115) g/day. The concentrations of Pb, Cd, Cr, Hg, and As in seafood were ND-0.45 mg/kg, ND-0.19 mg/kg, ND-0.80 mg/kg, ND-0.70 mg/kg, and 0.32-16.9 mg/kg, respectively. Concentrations of Cd and As in some samples were higher than national limitation standards. Consumption of 14 common types of seafood would not pose non-carcinogenic risk. However, some types, such as sparuslatus, oyster, and porphyra tenera, would form a carcinogenic risk. Regardless of a carcinogenic or non-carcinogenic risk, As posed the highest risk on humans. The observed HI value for non-carcinogenic effect of all metals in all seafood reached 0.69-2.20, and the metal orders of risk can be listed as As &gt; Hg &gt; Cr &gt; Cd &gt; Pb, reiterating the risk of As is a matter of concern in seafood from Xiamen markets.</t>
  </si>
  <si>
    <t>[Zhao, Ran; Liu, Min; Wang, Bi; Hu, Dong; Guo, Dongbei; Xu, Wanting; Fan, Chun] Xiamen Univ, Sch Publ Hlth, State Key Lab Mol Vaccinol &amp; Mol Diagnot, Xiamen 361102, Fujian, Peoples R China; [Yan, Shuangshuang] Henan Univ Sci &amp; Technol, Affiliated Hosp 1, Luoyang 471003, Henan, Peoples R China; [Wang, Juan] Xiamen Med Sch, Dept Prevent Med, Xiamen 361008, Fujian, Peoples R China</t>
  </si>
  <si>
    <t>Xiamen University; Henan University of Science &amp; Technology; Xiamen Medical College</t>
  </si>
  <si>
    <t>Zhao, R; Fan, C (corresponding author), Xiamen Univ, Sch Publ Hlth, State Key Lab Mol Vaccinol &amp; Mol Diagnot, Xiamen 361102, Fujian, Peoples R China.</t>
  </si>
  <si>
    <t>zhaoran@xmu.edu.cn; fanchun65@163.com</t>
  </si>
  <si>
    <t>li, lin/KEJ-1056-2024; Zhang, Miao/JXY-8985-2024; wang, biyan/GZK-2454-2022</t>
  </si>
  <si>
    <t>Fundamental Research Funds for the Central Universities, China [2011121006]; Xiamen Science and Technology Project, China [3502Z20123003]; XMU Undergraduate Innovation and Entrepreneurship Training Programs [2014Y0682]</t>
  </si>
  <si>
    <t>Fundamental Research Funds for the Central Universities, China(Fundamental Research Funds for the Central Universities); Xiamen Science and Technology Project, China; XMU Undergraduate Innovation and Entrepreneurship Training Programs</t>
  </si>
  <si>
    <t>All the local people who candidly helped us in this survey deserve our sincere thanks. We also appreciate Prof. James Wai Kuo Shih and Dr. Chengyong He for English editing and Mr. Ziqiao Li for map-making. This work was supported by the Fundamental Research Funds for the Central Universities, China (Grant No. 2011121006), Xiamen Science and Technology Project, China (Grant No. 3502Z20123003), and XMU Undergraduate Innovation and Entrepreneurship Training Programs (Grant No. 2014Y0682).</t>
  </si>
  <si>
    <t>10.1007/s11356-016-6817-8</t>
  </si>
  <si>
    <t>DT0ET</t>
  </si>
  <si>
    <t>WOS:000381156600093</t>
  </si>
  <si>
    <t>Li, F; Lin, ZF; Zeng, XY; Wen, JS; Huang, WW; Shen, KX; He, HJ; Liang, YY; Gan, HY; Zhang, JW</t>
  </si>
  <si>
    <t>Li, Feng; Lin, Ze-feng; Zeng, Xiang-yun; Wen, Jia-sheng; Huang, Wen-wei; Shen, Kai-xuan; He, Hai-jun; Liang, Yan-yan; Gan, Hua-yang; Zhang, Jin-wei</t>
  </si>
  <si>
    <t>HEAVY METAL CONTENT AND HEALTH RISK ASSESSMENT IN SOME EDIBLE MOLLUSKS FROM DONGZHAIGANG MANGROVE WETLAND, CHINA</t>
  </si>
  <si>
    <t>Heavy metals; Health risk; Edible mollusks; Sediment; Dongzhaigang mangrove wetland</t>
  </si>
  <si>
    <t>TRACE-METALS; BIVALVE MOLLUSKS; SEDIMENT CORES; COAST; FISH; ACCUMULATION; ISTANBUL; EXPOSURE; ELEMENTS; CADMIUM</t>
  </si>
  <si>
    <t>The concentrations of heavy metals were determined and analyzed in seawater, sediments, and three edible mollusks from the Dongzhaigang mangrove wetland in China to assess the potential health risk to people. Sediment quality guidelines revealed that only zinc and cadmium levels in sediment stations were lower than the effects range-low and threshold effects level. However, heavy metal concentrations in the three edible mollusks more or less exceeded the safe limits of various standards, thereby indicating signs of potential risk. The metal pollution index indicated that Turritella terebra had greater capacity for metal bioaccumulation than Tegillarca granosa and Ostrea gigas Thunberg. The target hazard quotients of heavy metals were calculated to show the possible health risk of mollusk intake to consumers. However, the daily intake of mollusks does not have harmful effects on the human body. In addition, a safety concentration standard for Mn and V in mollusks was proposed.</t>
  </si>
  <si>
    <t>[Li, Feng; Lin, Ze-feng; Zeng, Xiang-yun; Wen, Jia-sheng; Huang, Wen-wei; Shen, Kai-xuan; Liang, Yan-yan] South China Univ Technol, Guangzhou 510641, Guangdong, Peoples R China; [He, Hai-jun; Gan, Hua-yang; Zhang, Jin-wei] Guangzhou Marine Geol Survey, Guangzhou 510760, Guangdong, Peoples R China; [He, Hai-jun; Gan, Hua-yang; Zhang, Jin-wei] Minist Land &amp; Resources, Key Lab Marine Mineral Resources, Guangzhou 510760, Guangdong, Peoples R China</t>
  </si>
  <si>
    <t>South China University of Technology; China Geological Survey; Guangzhou Marine Geological Survey; Ministry of Natural Resources of the People's Republic of China</t>
  </si>
  <si>
    <t>Huang, WW (corresponding author), South China Univ Technol, Guangzhou 510641, Guangdong, Peoples R China.</t>
  </si>
  <si>
    <t>hww@scut.edu.di</t>
  </si>
  <si>
    <t>xu, xuan/KHX-8344-2024; Li, Huizhen/JPX-2563-2023; Huang, WW/GXH-0977-2022; Zhang, Jinwei/AAU-9195-2020</t>
  </si>
  <si>
    <t>Projects of China Geological Survey [1212010914020]; National Natural Science Foundation of China [41201141, 41001341]; National Research and Development Program [2016YFC0402600]; Fundamental Research Funds for the Central Universities [2014ZZ0012]; Guangdong Province and China Ministry of Education [2012B091100143, 2013B090500022]; Science and Technology Planning Project of Dongguan City [2014108101042, 2016108101015]; Water Conservancy Science and Technology Innovation Project of Guangdong Province [2016-22]</t>
  </si>
  <si>
    <t>Projects of China Geological Survey(China Geological Survey); National Natural Science Foundation of China(National Natural Science Foundation of China (NSFC)); National Research and Development Program; Fundamental Research Funds for the Central Universities(Fundamental Research Funds for the Central Universities); Guangdong Province and China Ministry of Education; Science and Technology Planning Project of Dongguan City; Water Conservancy Science and Technology Innovation Project of Guangdong Province</t>
  </si>
  <si>
    <t>This study was funded by the Projects of China Geological Survey (Grant No. 1212010914020), National Natural Science Foundation of China (Grant No.41201141, No.41001341), National Research and Development Program (Grant No.2016YFC0402600), the Fundamental Research Funds for the Central Universities (Grant No.2014ZZ0012), the Joint Funding Research Project by Guangdong Province and China Ministry of Education (Grant No. 2012B091100143, 2013B090500022), Science and Technology Planning Project of Dongguan City (Grant No.2014108101042, 2016108101015), and Water Conservancy Science and Technology Innovation Project of Guangdong Province (2016-22). Thank for the help of Chang-zhu Liu, Ming Ruan, and other colleagues from the Geological Survey Institute of Hainan Province for their help in the field sample collection and analysis.</t>
  </si>
  <si>
    <t>FG0HF</t>
  </si>
  <si>
    <t>WOS:000409399600073</t>
  </si>
  <si>
    <t>Seco-Reigosa, N; Cutillas-Barreiro, L; Nóvoa-Muñoz, JC; Arias-Estévez, M; Fernández-Sanjurjo, MJ; Alvarez-Rodríguez, E; Núñez-Delgado, A</t>
  </si>
  <si>
    <t>Seco-Reigosa, Natalia; Cutillas-Barreiro, Laura; Carlos Novoa-Munoz, Juan; Arias-Estevez, Manuel; Jose Fernandez-Sanjurjo, Maria; Alvarez-Rodriguez, Esperanza; Nunez-Delgado, Avelino</t>
  </si>
  <si>
    <t>Mixtures including wastes from the mussel shell processing industry: retention of arsenic, chromium and mercury</t>
  </si>
  <si>
    <t>Mixtures of wastes; Mussel shell calcination ash; Heavy metals sorption; Sewage sludge; Wood ash</t>
  </si>
  <si>
    <t>WOOD-ASH; AQUEOUS-SOLUTION; HEAVY-METALS; FLY-ASH; REMOVAL; SOIL; ADSORPTION; RHIZOSPHERE; DESORPTION; ARAGONITE</t>
  </si>
  <si>
    <t>Three mixtures containing ashes from the mussel shell calcination industry, sewage sludge, wood ash and/or mussel shell were studied. Such wastes are difficult to recycle individually, but performing adequate mixtures could aid to solve this problem. Two mixtures included different percentages of mussel shell calcination ashes, sewage sludge and mussel shell, while the third was composed by mussel shell calcination ashes, sewage sludge and wood ash. Adsorption was very high for some pollutants: 98-99% for Hg, and 90-96% for As, while it was not higher than 32% for Cr. The pH values in the mixtures showed a clear diminution in the alkalinity of the shell ashes. Further, a drastic reduction of the extreme electric conductivity of these ashes occurred. The carbon/nitrogen ratio in the mixtures clearly improved when compared with the individual wastes. The nutrient content was similar in the three mixtures. The heavy metals concentrations were low in all three mixtures. Calcite was the most prevalent crystalline compound (&gt;= 83%) and aragonite was greater than 3.7%. In view of these results, using such mixtures would facilitate the treatment and recycling of shell calcination ashes, as well as other wastes. The mixtures could be useful in degraded environments, such as mine dumps, due to their nutrient content and the adsorption potential for Hg and As. (C) 2014 Elsevier Ltd. All rights reserved.</t>
  </si>
  <si>
    <t>[Seco-Reigosa, Natalia; Jose Fernandez-Sanjurjo, Maria; Alvarez-Rodriguez, Esperanza; Nunez-Delgado, Avelino] Univ Santiago de Compostela, Escola Politecn Super, Dept Edafoloxia &amp; Quim Agr Soil Sci &amp; Agr Chem, Lugo 27002, Spain; [Cutillas-Barreiro, Laura; Carlos Novoa-Munoz, Juan; Arias-Estevez, Manuel] Univ Vigo, Fac Ciencias, Dept Biol Vexetal &amp; Ciencia Solo, Area Edafoloxia &amp; Quim Agr, Orense 32004, Spain</t>
  </si>
  <si>
    <t>Universidade de Santiago de Compostela; Universidade de Vigo</t>
  </si>
  <si>
    <t>Núñez-Delgado, A (corresponding author), Univ Santiago de Compostela, Escola Politecn Super, Dept Edafoloxia &amp; Quim Agr Soil Sci &amp; Agr Chem, Campus Univ S-N, Lugo 27002, Spain.</t>
  </si>
  <si>
    <t>Nóvoa-Muñoz, J. C./A-9181-2009; Fernández-Sanjurjo, María/ABC-6938-2020; Nunez-Delgado, Avelino/K-3964-2013; Arias-Estevez, Manuel/M-8629-2016; Alvarez, Esperanza/B-3154-2018</t>
  </si>
  <si>
    <t>Nunez-Delgado, Avelino/0000-0001-5373-1606; Arias-Estevez, Manuel/0000-0002-9162-1587; Alvarez, Esperanza/0000-0003-3470-2679; Fernandez-Sanjurjo, Maria J./0000-0001-6728-7147; Novoa-Munoz, Juan Carlos/0000-0003-3062-4191</t>
  </si>
  <si>
    <t>Government of Galicia (Spain) [09MDS013291PR]</t>
  </si>
  <si>
    <t>Government of Galicia (Spain)</t>
  </si>
  <si>
    <t>This work was funded by the Government of Galicia (Spain). Grant number 09MDS013291PR. We thank the editors of Journal of Cleaner Production and the anonymous reviewers involved in the revision process, which has greatly aided to improve the original manuscript.</t>
  </si>
  <si>
    <t>10.1016/j.jclepro.2014.01.050</t>
  </si>
  <si>
    <t>AU6SB</t>
  </si>
  <si>
    <t>WOS:000345731000072</t>
  </si>
  <si>
    <t>Bjerregaard, P; Moller, LM</t>
  </si>
  <si>
    <t>Bjerregaard, Poul; Moller, Lise Marianne</t>
  </si>
  <si>
    <t>Exposure to methylmercury and inorganic mercury in the food does not lead to trophic magnification in the sea star Asterias rubens</t>
  </si>
  <si>
    <t>Methylmercury; Inorganic mercury; Sea star; Oral exposure; Trophic magnification</t>
  </si>
  <si>
    <t>ORGANIC MERCURY; MYTILUS-EDULIS; METHYL MERCURY; CARCINUS-MAENAS; ACCUMULATION; BIOMAGNIFICATION; SELENIUM; RETENTION; SHRIMP; WATER</t>
  </si>
  <si>
    <t>Methylmercury accumulated at the top of aquatic food chains constitutes a toxicological risk to humans and other top predators. Biomagnification of methylmercury takes place among vertebrates at the higher trophic levels, but this process is less elucidated in benthic invertebrates at the lower trophic levels. Therefore, we investigated the accumulation from food and elimination of methylmercury and inorganic mercury in the benthic sea star Asterias rubens (L.) - a representative of trophic level -3 - in laboratory experiments. Sea stars fed over 49 days with contaminated mussels (Mytilus edulis) accumulate methylmercury and inorganic mercury to the highest concentrations in the digestive glands, the pyloric caeca, less in stomach, gonad, tube feet, aboral body wall and not to detectable levels in the coelomic fluid. Concerning whole body contents, steady states were reached for both methylmercury and inorganic mercury during the 7-week feeding period and the sea stars reached approximately 1/2 and 1/4 of the concentrations in the mussel food for the two mercury forms, respectively. Half-lives for the elimination of the two mercury forms varied between 45 and 173 days in a 140-d elimination period following the feeding period; inorganic mercury was eliminated faster than methylmercury. Examination of total mercury concentrations in field-collected sea stars confirmed this lack of trophic magnification in relation to the major food items, soft parts of molluscs. We suggest that mercury is not trophically magnified in sea stars 1) because they eliminate methylmercury faster than larger fish and decapod crustaceans and 2) maybe more importantly, because inorganic mercury with its faster elimination constitutes a larger fraction of the total mercury in the food at the lower trophic levels - as opposed to methylmercury which dominates at the higher trophic levels.</t>
  </si>
  <si>
    <t>[Bjerregaard, Poul; Moller, Lise Marianne] Univ Southern Denmark, Dept Biol, Campusvej 55, DK-5230 Odense, Denmark</t>
  </si>
  <si>
    <t>University of Southern Denmark</t>
  </si>
  <si>
    <t>Bjerregaard, P (corresponding author), Univ Southern Denmark, Dept Biol, Campusvej 55, DK-5230 Odense, Denmark.</t>
  </si>
  <si>
    <t>poul@biology.sdu.dk</t>
  </si>
  <si>
    <t>Bjerregaard, Poul/G-3621-2013</t>
  </si>
  <si>
    <t>Bjerregaard, Poul/0000-0002-2065-7232</t>
  </si>
  <si>
    <t>This investigation was funded by the basic funding from University of Southern Denmark and no external funding was applied.</t>
  </si>
  <si>
    <t>SEP 15</t>
  </si>
  <si>
    <t>10.1016/j.envpol.2021.117401</t>
  </si>
  <si>
    <t>MAY 2021</t>
  </si>
  <si>
    <t>UA7OP</t>
  </si>
  <si>
    <t>WOS:000685347700006</t>
  </si>
  <si>
    <t>Wang, LL; Song, LS; Ni, DJ; Zhang, H; Liu, WQ</t>
  </si>
  <si>
    <t>Wang, Lingling; Song, Linsheng; Ni, Duojiao; Zhang, Huan; Liu, Weiqing</t>
  </si>
  <si>
    <t>Alteration of metallothionein mRNA in bay scallop Argopecten irradians under cadmium exposure and bacteria challenge</t>
  </si>
  <si>
    <t>Argopecten irradians; Metallothionein; mRNA expression; Cadmium exposure; Bacteria challenge</t>
  </si>
  <si>
    <t>MULTIPLE SEQUENCE ALIGNMENT; IN-SITU HYBRIDIZATION; OXIDATIVE STRESS; GENE-EXPRESSION; MYTILUS-GALLOPROVINCIALIS; SPECTROPHOTOMETRIC METHOD; CRASSOSTREA-VIRGINICA; SUPEROXIDE-DISMUTASE; LIPID-PEROXIDATION; AMERICAN OYSTER</t>
  </si>
  <si>
    <t>Metallothionein (MT) is a superfamily of cysteine-rich proteins contributing to metal metabolism, detoxification of heavy metals, and immune response such as protecting against ionizing radiation and antioxidant defense. A metallothionein (designated AiMT2) gene was identified and cloned from bay scallop, Argopecten irradians. The full length cDNA of AiMT2 consisted of an open reading frame (ORF) of 333 bp encoding a protein of 110 amino acids. with nine characteristic Cys-X-Cys, five Cys-X-X-Cys, five Cys-X-X-X-Cys and two Cys-Cys motif arrangements and a conserved structural pattern Cys-x-Cys-x(3)-Cys-Tyr-x(3)Cys-x-Cys-x(3)-Cys-x-Cys-Arg at the C-terminus. The cloned ANT showed about 50% identity in the deduced amino acid sequence with previously published MT sequences of mussels and oysters. The conserved structural pattern and the close phylogenetic relationship of AiMT2 shared with MTs from other mollusc especially bivalves indicated that AiMT2 was a new member of molluscan MT family. The mRNA transcripts in hemolymph of AiMT2 under cadmium (Cd) exposure and bacteria challenge were examined by real-time RT-PCR. The mRNA expression of AiMT2 was up-regulated to 3.99-fold at 2 h after Listonella anguillarum challenge, and increased drastically to 66.12-fold and 126.96-fold at 16 and 32 h post-challenge respectively. Cadmium ion exposure could induce the expression of AiMT2, and the expression level increased 2.56-fold and 6.91-fold in hemolymph respectively after a 10-day exposure of 100 mu g L-1 and 200 mu g L-1 CdCl2. The sensitivity of AiMT2 to bacteria challenge and cadmium stress indicated it was a new Cd-dependent MT in bay scallop and also regulated by an immune challenge. The changes in the expression of AiMT2 could be used as an indicator of exposure to metals in pollution monitoring programs and oxidative stress, and bay scallop as a potential sentinel organism for the cadmium contamination in aquatic environment. (C) 2008 Elsevier Inc. All rights reserved.</t>
  </si>
  <si>
    <t>[Wang, Lingling; Song, Linsheng; Ni, Duojiao; Zhang, Huan; Liu, Weiqing] Chinese Acad Sci, Inst Oceanol, Qingdao 266071, Peoples R China</t>
  </si>
  <si>
    <t>Chinese Academy of Sciences; Institute of Oceanology, CAS</t>
  </si>
  <si>
    <t>Song, LS (corresponding author), Chinese Acad Sci, Inst Oceanol, Qingdao 266071, Peoples R China.</t>
  </si>
  <si>
    <t>lshsong@ms.qdio.ac.cn</t>
  </si>
  <si>
    <t>liu, weiqing/CAI-9917-2022; yang, yun/IZE-1092-2023</t>
  </si>
  <si>
    <t>Chinese Ministry of Science and Technology, China [2006AA10A402]; NSFC [30671597, 30730070]</t>
  </si>
  <si>
    <t>Chinese Ministry of Science and Technology, China; NSFC(National Natural Science Foundation of China (NSFC))</t>
  </si>
  <si>
    <t>This work was supported by 863 High Technology Project (No. 2006AA10A402) from the Chinese Ministry of Science and Technology, China, and grants (No. 30671597, 30730070) from NSFC to Dr. Linsheng Song.</t>
  </si>
  <si>
    <t>10.1016/j.cbpc.2008.07.001</t>
  </si>
  <si>
    <t>387FD</t>
  </si>
  <si>
    <t>WOS:000261936200006</t>
  </si>
  <si>
    <t>Vasanthi, LA; Revathi, P; Arulvasu, C; Munuswamy, N</t>
  </si>
  <si>
    <t>Vasanthi, Lourduraj Arockia; Revathi, Peranandam; Arulvasu, Chinnasamy; Munuswamy, Natesan</t>
  </si>
  <si>
    <t>Biomarkers of metal toxicity and histology of Perna viridis from Ennore estuary, Chennai, south east coast of India</t>
  </si>
  <si>
    <t>Perna viridis; Histology; Heavy metals; Bio indicator; Soft tissues</t>
  </si>
  <si>
    <t>MUSSEL MYTILUS-EDULIS; TRACE-METAL; ISKENDERUN BAY; MARINE MUSSELS; GILL; RESPONSES; ACCUMULATION; EXPOSURE; CADMIUM; COPPER</t>
  </si>
  <si>
    <t>Distribution of heavy metals and its associated histological perturbations were studied in the soft tissues of Perna viridis collected from Ennore estuary and compared with the less polluted Kovalam coast. The concentration of copper, lead, zinc, cadmium, manganese and iron were quantified in gills, digestive gland and adductor muscle. The results showed marked differences between the two sites as well as significant variations within the tissues. Among the heavy metals analyzed, lead and cadmium recorded very low in the soft tissues of mussel. Heavy metal levels in tissues of mussel collected from Ennore estuary were in the order of gills &gt; digestive gland &gt; adductor muscle, while it was digestive gland &gt; gills &gt; adductor muscle in the mussel sampled from Kovalam coast. The decreasing trend of metals in the tissues of mussels sampled from both Ennore estuary and Kovalam coast was in the order of Fe &gt; Mn &gt; Zn &gt; Cu &gt; Pb &gt; Cd. Overall, the highest metal concentrations were found in the mussel collected from Ennore estuary. The metal accumulation in the gills and digestive gland of Perna viridis was found to be quite high in comparison with the adductor muscle. These soft tissues were further investigated by light microscopy and the results were compared with the reference site (Kovalam coast). These results suggest that thickening of the digestive epithelium, hemocytic infiltration in the gills and myodegeneration in the muscle tissue are useful histological biomarkers for heavy metal induced stress, and demonstrate that precautions need to be taken in Ennore estuary in order to prevent heavy metal pollution that can occur in the future. (C) 2012 Elsevier Inc. All rights reserved.</t>
  </si>
  <si>
    <t>[Vasanthi, Lourduraj Arockia; Revathi, Peranandam; Arulvasu, Chinnasamy; Munuswamy, Natesan] Univ Madras, Dept Zool, Unit Aquaculture &amp; Cryobiol, Chennai 600025, Tamil Nadu, India</t>
  </si>
  <si>
    <t>University of Madras</t>
  </si>
  <si>
    <t>Munuswamy, N (corresponding author), Univ Madras, Dept Zool, Unit Aquaculture &amp; Cryobiol, Guindy Campus, Chennai 600025, Tamil Nadu, India.</t>
  </si>
  <si>
    <t>munuswamynm@yahoo.com</t>
  </si>
  <si>
    <t>Lourduraj, Vasanthi/0000-0001-9487-1787; Natesan, Munuswamy/0009-0002-1079-5495</t>
  </si>
  <si>
    <t>Ministry of Environment and Forests [F.N.J.22012/18/2007]</t>
  </si>
  <si>
    <t>Ministry of Environment and Forests</t>
  </si>
  <si>
    <t>Financial assistance from the Ministry of Environment and Forests (Ref No: F.N.J.22012/18/2007 W. dt 12th Nov 2007.) is gratefully acknowledged.</t>
  </si>
  <si>
    <t>OCT 1</t>
  </si>
  <si>
    <t>10.1016/j.ecoenv.2012.06.025</t>
  </si>
  <si>
    <t>005TB</t>
  </si>
  <si>
    <t>WOS:000308771900013</t>
  </si>
  <si>
    <t>Mircic, D; Blagojevic, D; Peric-Mataruga, V; Ilijin, L; Mrdakovic, M; Vlahovic, M; Lazarevic, J</t>
  </si>
  <si>
    <t>Mircic, Dejan; Blagojevic, Dusko; Peric-Mataruga, Vesna; Ilijin, Larisa; Mrdakovic, Marija; Vlahovic, Milena; Lazarevic, Jelica</t>
  </si>
  <si>
    <t>Cadmium effects on the fitness-related traits and antioxidative defense of Lymantria dispar L. larvae</t>
  </si>
  <si>
    <t>Cadmium (Cd); Lymantria dispar L.; Larvae; Development; Larval mass; Antioxidative defense</t>
  </si>
  <si>
    <t>MUSSELS MYTILUS-GALLOPROVINCIALIS; ONCOPELTUS-FASCIATUS HETEROPTERA; GLUTATHIONE S-TRANSFERASES; HEAVY-METALS; SUPEROXIDE-DISMUTASE; ENZYMES; COPPER; ZINC; LEAD; ACCUMULATION</t>
  </si>
  <si>
    <t>Cadmium, like many other pollutants, is nondegradable and can be accumulated by Lymantria dispar at a level that affects fitness components, physiology, and development, which could indicate presence of environment pollution by heavy metals. The cadmium effect on fitness-related traits in the third, fourth, fifth, and sixth instar of L. dispar L. was determined. Furthermore, activities of the following antioxidative defense components after the larvae had been fed on the artificial cadmium-supplemented diet (50 mu g Cd/g dry food) were assessed: superoxide dismutase (SOD), catalase (CAT), ascorbate peroxidase (APOX), total glutathione amount (GSH), glutathione-S-transferase (GST), glutathione reductase (GR), and the amount of free sulfhydryl (SH) groups. Statistically significant delay of development in the fourth, fifth, and sixth instar and decrease of the larval mass in the third and fourth instar were estimated after the exposure to cadmium through food in comparison to the control. There were no changes in SOD activity of cadmium-treated larvae. Significantly lower CAT, APOX, and GR activities were recorded in the third, fifth, and in the third instar, respectively. At the same time, higher activity was recorded in the sixth instar, while GST activity was higher in the third. GSH content was significantly lower during all instars after treatment but the amount of SH groups was higher in older larvae. The strategy of antioxidative defense and the adjustment or modulation of fitness-related traits in presence of cadmium was dependent on the age of larvae in L. dispar, which might be used in early metal risk assessment in Lepidoptera and other insects.</t>
  </si>
  <si>
    <t>[Mircic, Dejan] State Univ Novi Pazar, Dept Biomed Sci, Vuka Karadzica Bb 36300, Novi Pazar, Serbia; [Mircic, Dejan; Peric-Mataruga, Vesna; Ilijin, Larisa; Mrdakovic, Marija; Vlahovic, Milena; Lazarevic, Jelica] Univ Belgrade, Dept Insect Physiol &amp; Biochem, Inst Biol Res Sinisa Stankovic, Belgrade 11060, Serbia; [Blagojevic, Dusko] Univ Belgrade, Dept Physiol, Inst Biol Res Sinisa Stankovic, Belgrade 11060, Serbia</t>
  </si>
  <si>
    <t>University of Belgrade; University of Belgrade</t>
  </si>
  <si>
    <t>Mircic, D (corresponding author), State Univ Novi Pazar, Dept Biomed Sci, Vuka Karadzica Bb 36300, Novi Pazar, Serbia.</t>
  </si>
  <si>
    <t>mircic@ibiss.bg.ac.rs</t>
  </si>
  <si>
    <t>Lazarević, Jelica/JQV-8338-2023; Ilijin, Larisa/JQQ-5797-2023; Vlahovic, Milena/V-8943-2018; Peric-Mataruga, Vesna/JQV-8076-2023; Blagojevic, Dusko/A-7739-2018</t>
  </si>
  <si>
    <t>Vlahovic, Milena/0000-0002-7815-091X; Lazarevic, Jelica/0000-0002-7026-9385; Ilijin, Larisa/0000-0003-1728-6140; Peric-Mataruga, Vesna/0000-0002-2899-7418; Mircic, Dejan/0000-0003-3499-1597; Blagojevic, Dusko/0000-0001-6338-2833; Mrdakovic, Marija/0000-0003-3946-5828</t>
  </si>
  <si>
    <t>Serbian Ministry of Education and Science [173027]</t>
  </si>
  <si>
    <t>Serbian Ministry of Education and Science(Ministry of Education, Science &amp; Technological Development, Serbia)</t>
  </si>
  <si>
    <t>This study was supported by the Serbian Ministry of Education and Science (grant no. 173027).</t>
  </si>
  <si>
    <t>10.1007/s11356-012-1057-z</t>
  </si>
  <si>
    <t>064JT</t>
  </si>
  <si>
    <t>WOS:000313071900023</t>
  </si>
  <si>
    <t>Güner, Y; Kayhan, FE; Balkis, N; Aksu, A; Kaymak, G</t>
  </si>
  <si>
    <t>Guner, Yasin; Kayhan, Figen Esin; Balkis, Nuray; Aksu, Abdullah; Kaymak, Gullu</t>
  </si>
  <si>
    <t>Cd and Pb Levels in the Soft Tissue of Black Mussel (Mytilus galloprovincialis) Collected from Marmara Sea, Pendik District Coastal Area, Istanbul, Turkey</t>
  </si>
  <si>
    <t>PAKISTAN JOURNAL OF ZOOLOGY</t>
  </si>
  <si>
    <t>Cadmium; lead; heavy metal pollution; Mytilus galloprovincialis; black mussel</t>
  </si>
  <si>
    <t>HEAVY-METAL ACCUMULATION; SURFACE SEDIMENTS; OXIDATIVE STRESS; TRACE-METALS; WATER; POLLUTION; BOSPORUS; RISK; LEAD</t>
  </si>
  <si>
    <t>The aim of this study was to determe cadmium and lead concentrations in the whole soft tissue of the black mussels (Mytilus galloprovincialis Lamarck, 1819) (n=60) caught from Pendik district coasts of Istanbul, Turkey. According to legal standards of Turkish Food Codex (TFC) and United Nations Environment Programme (UNEP) standards the level of Cd was low white that of Pb was high. The highest Pb concentration found in the whole soft tissue of mussels at S4 was 8.66 (February), 6.64 (January), 4.72 ppm Pb (July 2011) whereas in S5 it is 8.66 (November), 8.14 (February), 6.64 (October), 4.57 ppm (June 2012).</t>
  </si>
  <si>
    <t>[Guner, Yasin] Dept Facil, TR-34890 Istanbul, Turkey; [Kayhan, Figen Esin] Univ Marmara, Fac Sci &amp; Arts, Dept Biol, TR-34722 Istanbul, Turkey; [Balkis, Nuray; Aksu, Abdullah] Istanbul Univ, Inst Marine Sci &amp; Management, Dept Chem Oceanog, TR-34470 Istanbul, Turkey; [Kaymak, Gullu] Univ Sakarya, Fac Sci &amp; Arts, Dept Biol, TR-54187 Sakarya, Turkey</t>
  </si>
  <si>
    <t>Marmara University; Istanbul University; Sakarya University</t>
  </si>
  <si>
    <t>Kayhan, FE (corresponding author), Univ Marmara, Fac Sci &amp; Arts, Dept Biol, TR-34722 Istanbul, Turkey.</t>
  </si>
  <si>
    <t>figenesink@gmail.com</t>
  </si>
  <si>
    <t>Kaymak, GÃ¼llÃ¼/AAA-6634-2022; Kayhan, Figen/AAN-4865-2021; ÇAĞLAR BALKIS, NURAY/AAB-8591-2020; Aksu, Abdullah/AAB-8463-2020</t>
  </si>
  <si>
    <t>KAYMAK, Gullu/0000-0001-6309-0208</t>
  </si>
  <si>
    <t>Marmara University, Scientific Research Commission (BAPKO) [FEN-C-YLP-030912-0307]</t>
  </si>
  <si>
    <t>Marmara University, Scientific Research Commission (BAPKO)(Marmara University)</t>
  </si>
  <si>
    <t>This Project has been supported by Marmara University, Scientific Research Commission (BAPKO) with FEN-C-YLP-030912-0307 project number.</t>
  </si>
  <si>
    <t>ZOOLOGICAL SOC PAKISTAN</t>
  </si>
  <si>
    <t>UNIV PUNJAB, NEW CAMPUS, C/O DEPT ZOOLOGY, LAHORE, PAKISTAN</t>
  </si>
  <si>
    <t>0030-9923</t>
  </si>
  <si>
    <t>PAK J ZOOL</t>
  </si>
  <si>
    <t>Pak. J. Zool.</t>
  </si>
  <si>
    <t>DK2BG</t>
  </si>
  <si>
    <t>WOS:000374719000043</t>
  </si>
  <si>
    <t>Pruski, AM; Dixon, DR</t>
  </si>
  <si>
    <t>Effects of cadmium on nuclear integrity and DNA repair efficiency in the gill cells of Mytilus edulis L</t>
  </si>
  <si>
    <t>mussel; cadmium; genotoxicity; hydrogen peroxide; apoptosis; comet assay</t>
  </si>
  <si>
    <t>TEST COMET ASSAY; INDUCED APOPTOSIS; MAMMALIAN-CELLS; EXCISION-REPAIR; STRAND BREAKS; DAMAGE; ACCUMULATION; INHIBITION; INDUCTION; METALS</t>
  </si>
  <si>
    <t>Although the effects of heavy metals on marine invertebrate species are well studied in term of their toxicity and bioaccumulation, less is known about their genotoxicity. The aim of this investigation was to assess the DNA damaging potential of cadmium (Cd) in an important pollution sentinel organism, the mussel Mytilus edulis. Cadmium is one of the most toxic and widespread heavy metals found in the marine environment, and is a recognised carcinogen in mammals. Based on the results of the comet assay (alkaline single cell gel electrophoresis), Cd was found not to be genotoxic in mussel gill cells under acute and chronic exposure conditions, whereas pre-exposure to low concentrations of Cd was found to enhance the genotoxicity of another mutagen, hydrogen peroxide (H2O2), The effects of H2O2 were normally reversible when cells were transferred to clean saline buffer. However, in cells that had been pre-treated with Cd, in vivo or in vitro, we observed a decrease in this post-treatment DNA repair. The effects of Cd were reversed by zinc which suggests that the inhibitory effect of Cd on DNA repair was due to the displacement of zinc ions from active sites on proteins involved in the repair process (a property already described for mammals). Moreover, since Cd inhibits or delays the onset of apoptosis (programmed cell death), this removes one of the main defence mechanisms responsible for protecting the organism against neoplasia. There appears to be a close similarity between the effects of Cd on marine molluscs and mammals. (C) 2002 Elsevier Science B.V. All rights reserved.</t>
  </si>
  <si>
    <t>Southampton Oceanog Ctr, Southampton SO14 3ZH, Hants, England</t>
  </si>
  <si>
    <t>University of Southampton; NERC National Oceanography Centre</t>
  </si>
  <si>
    <t>Southampton Oceanog Ctr, Waterfront Campus,European Way, Southampton SO14 3ZH, Hants, England.</t>
  </si>
  <si>
    <t>audrey.pruski@mail.soc.soton.ac.uk</t>
  </si>
  <si>
    <t>Pruski, Audrey/X-9721-2019</t>
  </si>
  <si>
    <t>Pruski, Audrey/0000-0003-4740-2528</t>
  </si>
  <si>
    <t>PII S0166-445X(01)00192-8</t>
  </si>
  <si>
    <t>10.1016/S0166-445X(01)00192-8</t>
  </si>
  <si>
    <t>534LE</t>
  </si>
  <si>
    <t>WOS:000174587200002</t>
  </si>
  <si>
    <t>GoldBouchot, G; SimaAlvarez, R; ZapataPerez, O; GuemezRicalde, J</t>
  </si>
  <si>
    <t>Histopathological effects of petroleum hydrocarbons and heavy metals on the American oyster (Crassostrea virginica) from Tabasco, Mexico</t>
  </si>
  <si>
    <t>MUSSEL MYTILUS-EDULIS; POLLUTION; INDICATOR; COPPER; CADMIUM; ZINC; LEAD</t>
  </si>
  <si>
    <t>Oyster tissues may be affected by the concentration of ions in the water (i.e. salinity) and by contaminants such as petroleum hydrocarbons and heavy metals. Oyster populations from three coastal lagoons (Mecoacan, Camen and Machona) in the Mexican state of Tabasco, in the southern Gulf of Mexico, were sampled for pollution studies during June, September and November 1992 and May 1993, No statistically significant relationships were found between the concentration of contaminants in the body tissues of organisms and their shell length, soft tissue weight and particulate matter; however, a significant correlation was found between condition index and salinity (r = -0.72). Generally, the lowest weights, shell lengths and indices of condition were found in Mecoacan. The concentrations of cadmium and zinc were inversely related to salinity (r = -0.52 and r = -0.32, respectively), so a riverine input is suspected. On average, 63% of the individual oysters showed histopathological lesions, which can be related to salinity and to the concentrations of cadmium and the unresolved fraction of hydrocarbons (UCM). The response of each of the tissues analysed was different. The percentage of individuals with damage in the digestive diverticulum increased linearly with UCM (r = 0.71), but in a saturation-response fashion (r = B-0 - B-0/(1 + X(B1)), r = 0.66) with cadmium, The percentage of individuals, with damage in the gills increased linearly with weight (r = 0.68), cadmium (r = 0.60) and UCM (r = 0.60). The lesions in the connective tissue decreased Linearly (r = -0.82) with salinity, but increased in a saturation-response way (r = 0.83) with cadmium. Finally, the percentage of individuals with lesions in the digestive tube decreased linearly with salinity (r = -0.59). Only the damage to the gills and digestive diverticula were dependent on gonadal maturity, while damage to the connective tissue was dependent on the sex of the individual.</t>
  </si>
  <si>
    <t>IPN, CTR INVEST &amp; ESTUDIOS AVANZADOS, DEPT RECURSOS MAR, APDO POSTAL 73 CORDEMEX, MERIDA 97310, YUCATAN, MEXICO.</t>
  </si>
  <si>
    <t>Gold-Bouchot, Gerardo/B-1621-2008; Gold-Bouchot, Gerardo/D-2850-2015</t>
  </si>
  <si>
    <t>Gold-Bouchot, Gerardo/0000-0002-1811-3383</t>
  </si>
  <si>
    <t>10.1016/0025-326X(95)00171-I</t>
  </si>
  <si>
    <t>WOS:A1995TM84200044</t>
  </si>
  <si>
    <t>Mouneyrac, C; Amiard, JC; Amiard-Triquet, C; Cottier, A; Rainbow, PS; Smith, BD</t>
  </si>
  <si>
    <t>Partitioning of accumulated trace metals in the talitrid amphipod crustacean Orchestia gammarellus:: a cautionary tale on the use of metallothionein-like proteins as biomarkers</t>
  </si>
  <si>
    <t>Orchestia; biomonitoring; biomarker; metallothionein; cadmium; copper; zinc</t>
  </si>
  <si>
    <t>HEAVY-METALS; BLUE-CRAB; COPPER; CADMIUM; ZINC; INVERTEBRATES; BIVALVE; FOOD; DETOXIFICATION; CONTAMINATION</t>
  </si>
  <si>
    <t>The induction of metallothionein-like proteins (MTLP) as biomarkers of trace metal pollution has been investigated in the talitrid amphipod Orchestia gammarellus, an established biomonitor of trace metal availabilities in coastal areas. Sensitivity to metal exposure, MTLP and copper and zinc concentrations have been examined in amphipods from a metal-contaminated site (Dulas Bay, Wales) and two clean sites (Millport, Scotland and Bradwell, England). Groups of 10 amphipods from Dulas Bay and Millport were exposed separately to one of a concentration series (1, 3.16, 10, 31.6, 100 muM) of Cu or Zn for 17 days at 10 degreesC. Specimens from Bradwell were exposed under similar conditions but the experiment was extended to 25 days with intermediate samplings at 5, 10 and 17 days and additional groups were exposed to a mixture of Cu + Zn (7:10 molar ratio). In addition, specimens from Millport were exposed to 1 or 31.6 muM Cd for 17 days. Amphipods from Dulas Bay, which had been chronically exposed to metals in their natural environment had not acquired any tolerance to Cu and Zn since the lowest LC 50s were registered in these samples. Whatever the origin of the amphipods experimentally exposed to metals and whatever the dose of exposure, both Cu and Zn remained approximately equally distributed between cytosolic and insoluble fractions in the amphipods, suggesting that mechanisms of metal storage were identical over the whole range of conditions. Concentrations of MTLP were higher in O. gammarellus from Dulas Bay than in those from Millport analysed directly after collection, although laboratory exposures to dissolved Cd, Cu or Zn have failed to demonstrate differences in the induction of MTLP between amphipods from the clean or contaminated sites. A potential role for metallothionein-like proteins as biomarkers is thus unlikely although it remains plausible that turnover of these proteins does increase in response to increased metal challenges, enabling MTLP to play a role in metal detoxification. (C) 2002 Elsevier Science B.V. All rights reserved.</t>
  </si>
  <si>
    <t>IRFA, Dept Sci Vie &amp; Terre, Lab Ecol Anim, F-49100 Angers, France; SMAB, CNRS GDR 1117, Serv Ecotoxicol, F-44322 Nantes 3, France; Nat Hist Museum, Dept Zool, London SW7 5BD, England</t>
  </si>
  <si>
    <t>Natural History Museum London</t>
  </si>
  <si>
    <t>IRFA, Dept Sci Vie &amp; Terre, Lab Ecol Anim, 44 Rue Rabelais, F-49100 Angers, France.</t>
  </si>
  <si>
    <t>catherine.mouneyrac@uco.fr</t>
  </si>
  <si>
    <t>PII S0166-445X(01)00201-6</t>
  </si>
  <si>
    <t>10.1016/S0166-445X(01)00201-6</t>
  </si>
  <si>
    <t>544RE</t>
  </si>
  <si>
    <t>WOS:000175173500003</t>
  </si>
  <si>
    <t>Faria, M; Carrasco, L; Diez, S; Riva, MC; Bayona, JM; Barata, C</t>
  </si>
  <si>
    <t>Faria, Melissa; Carrasco, Luis; Diez, Sergi; Riva, Maria Carmen; Bayona, Josep Maria; Barata, Carlos</t>
  </si>
  <si>
    <t>Multi-biomarker responses in the freshwater mussel Dreissena polymorpha exposed to polychlorobiphenyls and metals</t>
  </si>
  <si>
    <t>Oxidative stress; Dreissena polymorpha; Methyl mercury; Mercury; PCB; Cadmium; EROD</t>
  </si>
  <si>
    <t>ZEBRA MUSSEL; OXIDATIVE STRESS; DIGESTIVE GLAND; COMMON MUSSEL; POLYCHLORINATED-BIPHENYLS; QUALITY ASSESSMENT; INTEGRATED USE; HEAVY-METALS; POLLUTION; METALLOTHIONEIN</t>
  </si>
  <si>
    <t>Contaminant related changes in behavioral, phase I and 11 metabolizing enzymes and pro-oxidant/antioxidant processes in the freshwater mussels Dreissena polymorpha exposed to metals and PCBs were assessed. Behavioral and biochemical responses including filtering rates, key phase 1, If and antioxidant enzymes and levels of metallothioneins, glutathione, lipid peroxidation and DNA strand breaks were determined in digestive glands of mussels after being exposed to sublethal levels of mercury chloride, methyl mercury, cadmium and Aroclor 1260 during 5 days. In 7 out of 12 responses analyzed, mussels showed significant differences across treatments. Unusual properties of measured ethoxyresorufin-O-deethylase (ERCD) activities indicated that mussels lack an inducible CYP1A enzymatic activity. Despite of using similar exposure levels, inorganic and organic mercury showed different biomarker patterns of response with methyl mercury being more bio-available and unable to induce metallothionein proteins. Mussels exposed to Cd presented higher levels of metallothioneins and an enhanced metabolism of glutathione, whereas those exposed to Aroclor showed their antioxidant glutathione peroxidase related enzyme activities inhibited. Although there was evidence for increased lipid peroxidation under exposure to inorganic and organic mercury, only mussels exposed to Aroclor had significant greater levels than those in controls. (C) 2008 Elsevier Inc. All rights reserved.</t>
  </si>
  <si>
    <t>[Carrasco, Luis; Diez, Sergi; Bayona, Josep Maria; Barata, Carlos] CSIC, Dept Environm Chem, IDAEA, E-08028 Barcelona, Spain; [Faria, Melissa; Riva, Maria Carmen] UPC, Lab Environm Toxicol, Terrassa 08220, Spain; [Diez, Sergi] CSIC, Dept Environm Geol, ICTJA, E-08028 Barcelona, Spain</t>
  </si>
  <si>
    <t>Consejo Superior de Investigaciones Cientificas (CSIC); CSIC - Centro de Investigacion y Desarrollo Pascual Vila (CID-CSIC); CSIC - Instituto de Diagnostico Ambiental y Estudios del Agua (IDAEA); Universitat Politecnica de Catalunya; Consejo Superior de Investigaciones Cientificas (CSIC); CSIC - Geociencias Barcelona (GEO3BCN)</t>
  </si>
  <si>
    <t>Barata, C (corresponding author), CSIC, Dept Environm Chem, IDAEA, Jordi Girona 18, E-08028 Barcelona, Spain.</t>
  </si>
  <si>
    <t>cbmqam@cid.csic.es</t>
  </si>
  <si>
    <t>Faria, Melissa/ABI-2225-2020; Díez, Sergi/B-7601-2019; Carrasco, Luis/AAH-8811-2019; Diez, Sergi/L-3236-2014; Barata, Carlos/K-8232-2014; , Josep/A-6185-2008</t>
  </si>
  <si>
    <t>Diez, Sergi/0000-0002-9870-2179; Faria, Melissa/0000-0003-1451-4427; Barata, Carlos/0000-0002-3360-0729; , Josep/0000-0001-5042-837X</t>
  </si>
  <si>
    <t>Ministrerio de Medio Ambiente and Agencia Catalana del Aigua [041/SGTB/2007/1.1]</t>
  </si>
  <si>
    <t>Ministrerio de Medio Ambiente and Agencia Catalana del Aigua</t>
  </si>
  <si>
    <t>This study was funded by the Ministrerio de Medio Ambiente and Agencia Catalana del Aigua projects MOVITROF and 041/SGTB/2007/1.1.</t>
  </si>
  <si>
    <t>10.1016/j.cbpc.2008.07.012</t>
  </si>
  <si>
    <t>426HU</t>
  </si>
  <si>
    <t>WOS:000264699400004</t>
  </si>
  <si>
    <t>Apeti, DA; Lauenstein, GG; Evans, DW</t>
  </si>
  <si>
    <t>Apeti, D. A.; Lauenstein, G. G.; Evans, D. W.</t>
  </si>
  <si>
    <t>Recent status of total mercury and methyl mercury in the coastal waters of the northern Gulf of Mexico using oysters and sediments from NOAA's mussel watch program</t>
  </si>
  <si>
    <t>Total mercury; Methyl mercury; Oysters; Sediment; Coastal waters; Gulf of Mexico</t>
  </si>
  <si>
    <t>METHYLMERCURY; FISH; DENSITIES</t>
  </si>
  <si>
    <t>The current status of mercury concentrations in the Gulf of Mexico (GOM) were assessed using the Mussel Watch Program (MWP) contaminant monitoring data, which is based on the analysis of oyster tissue and sediment samples. In both matrices, tHg and Me Hg concentrations varied broadly. Significant concentration differences (p &lt; 0.05) between the sub-regions of the eastern, central and western Gulf were observed with maximum concentrations (hotspots) found at specific sites all across the Gulf. Compared to the Food and Drug Administration's action level in seafood, maximum mercury values were low. Based on the long-term MWP data, tHg in tissues show fairly static temporal trends along the central and western Gulf coast, while strong decreasing trends were observed in the eastern Gulf. However, the presence of mercury hotspots indicates that mercury is still a concern in the GOM. The results complement existing information to further the understanding of mercury distributions in the GOM. Published by Elsevier Ltd.</t>
  </si>
  <si>
    <t>[Apeti, D. A.; Lauenstein, G. G.; Evans, D. W.] NOAA, Natl Ctr Coastal &amp; Ocean Sci, Washington, DC USA</t>
  </si>
  <si>
    <t>National Oceanic Atmospheric Admin (NOAA) - USA; National Ocean Service, NOAA; National Centers for Coastal Ocean Science (NOOCS)</t>
  </si>
  <si>
    <t>Apeti, DA (corresponding author), NOAA, Natl Ctr Coastal &amp; Ocean Sci, Washington, DC USA.</t>
  </si>
  <si>
    <t>Dennis.Apeti@noaa.gov</t>
  </si>
  <si>
    <t>10.1016/j.marpolbul.2012.08.006</t>
  </si>
  <si>
    <t>055LP</t>
  </si>
  <si>
    <t>WOS:000312418100028</t>
  </si>
  <si>
    <t>Riani, E; Cordova, MR; Arifin, Z</t>
  </si>
  <si>
    <t>Riani, Etty; Cordova, Muhammad Reza; Arifin, Zainal</t>
  </si>
  <si>
    <t>Heavy metal pollution and its relation to the malformation of green mussels cultured in Muara Kamal waters, Jakarta Bay, Indonesia</t>
  </si>
  <si>
    <t>Pollution; Heavy metal; Green mussel; Malformation; PCA</t>
  </si>
  <si>
    <t>SEA-URCHIN; EMBRYONIC-DEVELOPMENT; LARVAL GROWTH; MERCURY; TOXICITY; BIOACCUMULATION; ACCUMULATION; CADMIUM; FISH</t>
  </si>
  <si>
    <t>Jakarta Bay has become contaminated by both organic and inorganic pollutants, including heavy metals. This study aimed to examine the effect of heavy metal pollution on green mussels cultured in Muara Kamal Waters, Jakarta Bay over seven months. In this research, the water quality was assessed, through measuring the concentrations of the heavy metals, Hg, Pb, Cd, Cr, and Sn in the water, and in the tissue of green mussels that had been cultured there for seven months. The percentage of congenital abnormalities (malformations) in the green mussels was analyzed descriptively and the relationship between the water quality, heavy metals, and green mussel malformation was studied through principal component analysis (PCA). The result showed that the heavy metals concentrations in the water and sediment exceeded the quality standard at Muara Kamal but that in other respects the water quality was quite good. The green mussels cultured there for seven months had accumulated high concentrations of heavy metals, and +/- 60% of them had malformations of their shells. Based on the heavy metal concentrations in their bodies, the main cause of malformations in green mussels was suspected to be Pb, Hg, and Sn. However, the result of PCA showed it was the interaction between nitrogen compounds, phosphate, turbidity, salinity, pH, as well as the heavy metals in the water that determined the green mussel abnormality.</t>
  </si>
  <si>
    <t>[Riani, Etty] Bogor Agr Univ, Fac Fishery &amp; Marine Sci, Dept Aquat Resources Management, Bogor, Indonesia; [Cordova, Muhammad Reza; Arifin, Zainal] Indonesian Inst Sci, Res Ctr Oceanog, Marine Pollut &amp; Bioremediat Res Grp, Jakarta, Indonesia</t>
  </si>
  <si>
    <t>Bogor Agricultural University; National Research &amp; Innovation Agency of Indonesia (BRIN); Indonesian Institute of Sciences (LIPI)</t>
  </si>
  <si>
    <t>Riani, E (corresponding author), Bogor Agr Univ, Fac Fishery &amp; Marine Sci, Dept Aquat Resources Management, Bogor, Indonesia.</t>
  </si>
  <si>
    <t>etty_riani@ipb.ac.id</t>
  </si>
  <si>
    <t>Arifin, Zainal/AFC-5523-2022; Riani, Etty/AER-8235-2022; Cordova, Muhammad Reza/AAL-7273-2020</t>
  </si>
  <si>
    <t>Cordova, Muhammad Reza/0000-0002-4756-9646; Riani, Etty/0000-0003-2080-4236; Arifin, Zainal/0000-0002-0016-852X</t>
  </si>
  <si>
    <t>Marine Debris and Pollution Reseach Project of Riset Prioritas COREMAP Phase III</t>
  </si>
  <si>
    <t>The authors would like to thank Marine Debris and Pollution Reseach Project of Riset Prioritas COREMAP Phase III for funding this project, and to The Government of Special Capital City District of Jakarta to initiate this research project.</t>
  </si>
  <si>
    <t>10.1016/j.marpolbul.2018.06.029</t>
  </si>
  <si>
    <t>GQ6RU</t>
  </si>
  <si>
    <t>WOS:000441853600072</t>
  </si>
  <si>
    <t>Sun, CZ; Qiu, JW; Zhang, ZB; Marhaba, TF; Zhang, YH; Zhang, W</t>
  </si>
  <si>
    <t>Sun, Cuizhen; Qiu, Jinwei; Zhang, Zhibin; Marhaba, Taha F.; Zhang, Yanhao; Zhang, Wen</t>
  </si>
  <si>
    <t>Characterization of Citric Acid-Modified Clam Shells and Application for Aqueous Lead (II) Removal</t>
  </si>
  <si>
    <t>Adsorption; Citric acid; Clamshell; Heavy metal; Lead</t>
  </si>
  <si>
    <t>HEAVY-METAL IONS; ACTIVATED CARBON; METHYLENE-BLUE; WASTE-WATER; ADSORPTION; EQUILIBRIUM; BIOSORPTION; PB(II); ADSORBENT; KINETICS</t>
  </si>
  <si>
    <t>Due to the presence of chitin (a type of animal polysaccharides), clam shells (CS) exhibited a promising potential as the adsorbent for lead or Pb removal especially after surface modification by citric acid. Both porosity and surface areas of the citric acid-modified clam shell (CACS) were significantly increased as compared to the untreated CS. Fourier transform infrared (FTIR) spectra indicated that carboxyl groups were increased on the surface of CACS. Zeta potential and X-ray photoelectron spectroscopy (XPS) analysis showed that electrostatic interaction and ion exchange were the main adsorption mechanism. The adsorption capacity of CACS was enhanced by 34.9-61.7% compared to that of CS. The Pb (II) adsorption capacity was increased from 4.848 to 4.929 mg Pb.g(-1) with a temperature increase from 10 to 50 degrees C, respectively, suggesting that the adsorption process was endothermic. The Pb (II) adsorption kinetics on CACS well fitted the pseudo-second-order model, while the adsorption isotherm for Pb (II) could be described by the Langmuir equation. The presented work shed new insight into the application of natural materials as low-cost and effective absorbents to remove aqueous heavy metals such as Pb (II).</t>
  </si>
  <si>
    <t>[Sun, Cuizhen; Qiu, Jinwei; Zhang, Zhibin; Marhaba, Taha F.; Zhang, Yanhao] Shandong Jianzhu Univ, Sch Municipal &amp; Environm Engn, 1000 Fengming Rd, Jinan 250101, Peoples R China; [Sun, Cuizhen] Coinnovat Ctr Green Bldg, 1000 Fengming Rd, Jinan 250101, Peoples R China; [Sun, Cuizhen; Marhaba, Taha F.; Zhang, Wen] New Jersey Inst Technol, John A Reif Jr Dept Civil &amp; Environm Engn, 323 Martin Luther King Blvd, Newark, NJ 07102 USA</t>
  </si>
  <si>
    <t>Shandong Jianzhu University; New Jersey Institute of Technology</t>
  </si>
  <si>
    <t>Zhang, ZB; Marhaba, TF (corresponding author), Shandong Jianzhu Univ, Sch Municipal &amp; Environm Engn, 1000 Fengming Rd, Jinan 250101, Peoples R China.</t>
  </si>
  <si>
    <t>zhibin_zhangsd@126.com; marhaba@njit.edu</t>
  </si>
  <si>
    <t>Special Foundation of Shandong Province Financial Department and Environmental Protection Bureau [SDHBPJ-ZB-09]; Shandong Natural Science Foundation [ZR2012EEQ024]; Taishan Scholar Foundation</t>
  </si>
  <si>
    <t>Special Foundation of Shandong Province Financial Department and Environmental Protection Bureau; Shandong Natural Science Foundation(Natural Science Foundation of Shandong Province); Taishan Scholar Foundation</t>
  </si>
  <si>
    <t>This study was financially supported by the Special Foundation of Shandong Province Financial Department and Environmental Protection Bureau (no. SDHBPJ-ZB-09), the Shandong Natural Science Foundation (no. ZR2012EEQ024), and the Taishan Scholar Foundation. The advice and kind suggestions from the anonymous reviewers are highly acknowledged.</t>
  </si>
  <si>
    <t>10.1007/s11270-016-2975-z</t>
  </si>
  <si>
    <t>DV2OY</t>
  </si>
  <si>
    <t>WOS:000382761400006</t>
  </si>
  <si>
    <t>Andres, S; Baudrimont, M; Lapaquellerie, Y; Ribeyre, F; Maillet, N; Latouche, C; Boudou, A</t>
  </si>
  <si>
    <t>Field transplantation of the freshwater bivalve Corbicula fluminea along a polymetallic contamination gradient (river Lot, France):: I.: Geochemical characteristics of the sampling sites and cadmium and zinc bioaccumulation kinetics</t>
  </si>
  <si>
    <t>cadmium; zinc; geochemistry; bioaccumulation; Asiatic clam</t>
  </si>
  <si>
    <t>LABORATORY ARTIFICIAL STREAMS; METALLOTHIONEIN RESPONSE; INORGANIC MERCURY; PYGANODON GRANDIS; WATER BIVALVE; EXPOSURE; CD; ACCUMULATION; COPPER; MASS</t>
  </si>
  <si>
    <t>Specimens of the Asiatic clam Corbicula fluminea were transplanted from a clean lacustrine site to four stations along a polymetallic gradient in the river Lot (France), downstream from an old Zn ore treatment facility. The bivalves were held in benthic cages for a 5-month exposure period, April to September 1996: mollusk growth and metal bioaccumulation kinetics (Cd, Zn were followed by subsampling the cages at t = 0, 21, 49, 85, 120, and 150 d. Rates of Cd bioaccumulation in the whole soft bodies and in individual organs were greater at the upstream stations located close to the pollution source, but there was no direct proportionality between Cd in the bivalves and in the unfiltered or filtered river water samples. Unlike the case for Cd, rates of Zn bioaccumulation did not reflect the contamination gradient. Marked growth differences were measured among the four stations, reflecting both nutritional differences and changes in the degree of metal contamination; these growth differences produced markedly different trends when metal bioaccumulation was expressed in terms of burdens rather than concentrations.</t>
  </si>
  <si>
    <t>Univ Bordeaux 1, CNRS, UMR EPOC 5805, Lab Ecophysiol &amp; Ecotoxicol Syst Aquat, F-33405 Talence, France; Univ Bordeaux 1, CNRS, UMR EPOC 5805, Dept Geol &amp; Oceanog, F-33405 Talence, France</t>
  </si>
  <si>
    <t>Universite de Bordeaux; Centre National de la Recherche Scientifique (CNRS); CNRS - National Institute for Earth Sciences &amp; Astronomy (INSU); Universite de Bordeaux; Centre National de la Recherche Scientifique (CNRS); CNRS - National Institute for Earth Sciences &amp; Astronomy (INSU)</t>
  </si>
  <si>
    <t>Univ Bordeaux 1, CNRS, UMR EPOC 5805, Lab Ecophysiol &amp; Ecotoxicol Syst Aquat, Ave Fac, F-33405 Talence, France.</t>
  </si>
  <si>
    <t>a.boudou@ecotox.u-bordeaux.fr</t>
  </si>
  <si>
    <t>10.1002/etc.5620181112</t>
  </si>
  <si>
    <t>248JJ</t>
  </si>
  <si>
    <t>WOS:000083271100012</t>
  </si>
  <si>
    <t>Ji, CL; Wu, HF; Zhou, M; Zhao, JM</t>
  </si>
  <si>
    <t>Ji, Chenglong; Wu, Huifeng; Zhou, Mo; Zhao, Jianmin</t>
  </si>
  <si>
    <t>Multiple biomarkers of biological effects induced by cadmium in clam Ruditapes philippinarum</t>
  </si>
  <si>
    <t>Ruditapes philippinarum; Cadmium; Biological effects; Metabolomics</t>
  </si>
  <si>
    <t>MUSSEL MYTILUS-GALLOPROVINCIALIS; METABOLIC-RESPONSES; VENERUPIS-PHILIPPINARUM; COPPER; GILLS; PROFILES; MERCURY; ALANINE</t>
  </si>
  <si>
    <t>Cadmium (Cd) is a known heavy metal pollutant in the Bohai Sea. Manila clam Ruditapes philippinarum is an important fishery species along the Bohai coast. In this study, the biological effects induced by two concentrations (20 and 200 mu g/L) of Cd were characterized using multiple biochemical indices in the digestive glands of clam R. philippinarum. The total hemocyte counts, reactive oxygen species productions and antioxidant enzyme activities exhibited that Cd induced dose-dependent immune and oxidative stresses in clam digestive glands. Metabolic responses indicated that both Cd exposures caused immune stress marked by the elevated branched chain amino acids (valine, leucine and isoleucine), together with the disturbance in energy metabolism. The differential metabolic biomarkers related to osmotic stress, including homarine, betaine, tyrosine and phenylalanine, suggested the differential responsive mechanisms in clam digestive glands induced by Cd exposures. In addition, both Cd treatments enhanced the anaerobiosis metabolism in clam digestive glands via differential metabolic pathways. (c) 2015 Elsevier Ltd. All rights reserved.</t>
  </si>
  <si>
    <t>[Ji, Chenglong; Wu, Huifeng; Zhao, Jianmin] Chinese Acad Sci, Shandong Prov Key Lab Coastal Zone Environm Proc, Yantai Inst Coastal Zone Res YIC, Key Lab Coastal Zone Environm Proc,YICCAS, Yantai 264003, Peoples R China; [Zhou, Mo] NE Normal Univ, Environm Coll, Changchun 130024, Peoples R China</t>
  </si>
  <si>
    <t>Chinese Academy of Sciences; Yantai Institute of Coastal Zone Research, CAS; Northeast Normal University - China</t>
  </si>
  <si>
    <t>Wu, HF (corresponding author), Chinese Acad Sci, Shandong Prov Key Lab Coastal Zone Environm Proc, Yantai Inst Coastal Zone Res YIC, Key Lab Coastal Zone Environm Proc,YICCAS, Yantai 264003, Peoples R China.</t>
  </si>
  <si>
    <t>hfwu@yic.ac.cn</t>
  </si>
  <si>
    <t>Ji, Chenglong/U-5411-2017</t>
  </si>
  <si>
    <t>National Key Basic Research Program of China [2015CB453303]; Natural Science Foundation of Shandong Province [JQ201310]</t>
  </si>
  <si>
    <t>National Key Basic Research Program of China(National Basic Research Program of China); Natural Science Foundation of Shandong Province(Natural Science Foundation of Shandong Province)</t>
  </si>
  <si>
    <t>This work was supported by National Key Basic Research Program of China (2015CB453303) and Natural Science Foundation of Shandong Province (No. JQ201310). We thank Prof. Mark Viant (School of Bioscience, The University of Birmingham) for the use of ProMetab software.</t>
  </si>
  <si>
    <t>10.1016/j.fsi.2015.03.024</t>
  </si>
  <si>
    <t>CI2NH</t>
  </si>
  <si>
    <t>WOS:000354583800005</t>
  </si>
  <si>
    <t>Sokolova, IM; Evans, S; Hughes, FM</t>
  </si>
  <si>
    <t>Cadmium-induced apoptosis in oyster hemocytes involves disturbance of cellular energy balance but no mitochondrial permeability transition</t>
  </si>
  <si>
    <t>JOURNAL OF EXPERIMENTAL BIOLOGY</t>
  </si>
  <si>
    <t>cadmium; heavy metal; apoptosis; necrosis; oyster; hemocyte; Crassostrea virginica</t>
  </si>
  <si>
    <t>IN-VITRO EXPOSURE; METABOLIC-RATE DEPRESSION; CYTOCHROME-C RELEASE; MYTILUS-GALLOPROVINCIALIS; INDUCED IMMUNOMODULATION; PHAGOCYTIC-ACTIVITY; EASTERN OYSTER; MARINE MUSSEL; MYA-ARENARIA; BLUE MUSSEL</t>
  </si>
  <si>
    <t>Exposure to environmentally prevalent heavy metals such as cadmium can have detrimental effects on a variety of commercially and ecologically important species such as oysters. Since Cd2+ is known to induce apoptosis in immune cells of vertebrates, we have investigated the effects of this metal on isolated oyster hemocytes, the main cellular immune defense in mollusks. Enhanced apoptosis of these cells could conceivably create immunosuppressed conditions in these organisms and result in reduced disease resistance and increased opportunistic infection, resulting in decline of their populations. Cd2+ exposure induced apoptosis in oyster hemocytes in a dose-dependent manner in the range of 10-100 mumol l(-1), as indicated by the translocation of phosphatidylserine to the outer leaflet of the plasma membrane. At higher concentrations (200-1000 mumol l(-1)), there was no further increase in apoptosis but a significant increase in the level of necrosis. In stark contrast to vertebrate immune cells, there was no decrease in the mitochondrial membrane potential or activation of caspases in response to Cd2+ in the apoptotic range. Surprisingly, Cd2+ exposure in this range did cause a significant decrease in intracellular ATP levels, indicating a severe disturbance of energy metabolism. Similarly, Cd2+ exposure of isolated mitochondria resulted in partial uncoupling of mitochondria but no difference in mitochondrial membrane potential. The results demonstrate that the important environmental pollutant Cd2+ induces apoptosis in oyster immune cells and does so through a mitochondria/caspase-independent pathway, suggesting that a novel, perhaps ancient, apoptotic pathway is active in these cells. Furthermore, it appears that the observed decrease in ATP production during apoptosis is not due to the loss of the mitochondrial proton-motive force but is more likely to be due to inhibition of the F-0/F-1-ATPase and/or mitochondrial ADP/ATP or substrate transport.</t>
  </si>
  <si>
    <t>Univ N Carolina, Dept Biol, Charlotte, NC 28223 USA; Johncon C Smith Univ, Charlotte, NC 28216 USA</t>
  </si>
  <si>
    <t>University of North Carolina; University of North Carolina Charlotte</t>
  </si>
  <si>
    <t>Univ N Carolina, Dept Biol, 9201 Univ City Blvd, Charlotte, NC 28223 USA.</t>
  </si>
  <si>
    <t>insokolo@uncc.edu</t>
  </si>
  <si>
    <t>Hughes, Francis/G-8036-2017; Sokolova, Inna/B-4955-2009</t>
  </si>
  <si>
    <t>Sokolova, Inna/0000-0002-2068-4302; Hughes, Francis/0000-0003-3776-3653</t>
  </si>
  <si>
    <t>NICHD NIH HHS [HD39683, HD39234] Funding Source: Medline</t>
  </si>
  <si>
    <t>NICHD NIH HHS(United States Department of Health &amp; Human ServicesNational Institutes of Health (NIH) - USANIH Eunice Kennedy Shriver National Institute of Child Health &amp; Human Development (NICHD))</t>
  </si>
  <si>
    <t>COMPANY BIOLOGISTS LTD</t>
  </si>
  <si>
    <t>BIDDER BUILDING, STATION RD, HISTON, CAMBRIDGE CB24 9LF, ENGLAND</t>
  </si>
  <si>
    <t>0022-0949</t>
  </si>
  <si>
    <t>1477-9145</t>
  </si>
  <si>
    <t>J EXP BIOL</t>
  </si>
  <si>
    <t>J. Exp. Biol.</t>
  </si>
  <si>
    <t>10.1242/jeb.01152</t>
  </si>
  <si>
    <t>Biology; Zoology</t>
  </si>
  <si>
    <t>Life Sciences &amp; Biomedicine - Other Topics; Zoology</t>
  </si>
  <si>
    <t>862RC</t>
  </si>
  <si>
    <t>WOS:000224507500022</t>
  </si>
  <si>
    <t>Marchi, B; Burlando, B; Moore, MN; Viarengo, A</t>
  </si>
  <si>
    <t>Mercury- and copper-induced lysosomal membrane destabilisation depends on [Ca2+]i dependent phospholipase A2 activation</t>
  </si>
  <si>
    <t>heavy metals; intracellular calcium; lysosomal membrane stability; phospholipase A2; BEL; AACOCF3</t>
  </si>
  <si>
    <t>MUSSEL MYTILUS-EDULIS; DIGESTIVE CELLS; CYTOSOLIC CA2+; HEAVY-METAL; INVOLVEMENT; CALCIUM; IMPACT; HG2+; TRANSLOCATION; CYTOTOXICITY</t>
  </si>
  <si>
    <t>Heavy metals are environmental pollutants able to produce different cellular effects, such as an alteration of Ca2+ homeostasis and lysosomal membrane destabilisation. The latter is one of the most used stress indices in biomonitoring programs. Recently, it has been demonstrated that cytosolic calcium increase can modulate lysosomal membrane destabilisation via activation of Ca2+-dependent phospholipase A2 (cPLA2). The aim of this work was to investigate the possible involvement of Ca2+-activated PLA2 in lysosomal membrane destabilisation induced by heavy metals in mussel haemolymph cells. We have studied the effects of Hg2+ and Cu2+ on free cytosolic calcium using Fura2/AM-loaded cells and lysosomal membrane destabilisation using neutral red (NR) staining. Hg2+ induced a [Ca2+](i) rise from 100 to 780 nM in 30 min, and a lysosome destaining of 70% after 60 min that indicates destabilisation of lysosomal membranes. Both effects were reduced in a Ca2+-free medium, suggesting a cause-effect relationship. Exposure to Cu2+ produced the same effects, but with an intensity of about 50% respect to Hg2+. Metal-induced lysosomal destabilisation was also reduced in cells pre-exposed to a specific Ca2+-dependent cPLA2 inhibitor (AACOCF3). Conversely, haemocyte pretreatment with a Ca2+-independent PLA2 inhibitor (bromoenol-lactone (BEL)) did not prevent the destabilizing effect of heavy metals on lysosomes. Exposure to heavy metals also produced an increase in lysosomal volume of 1.8-2-folds, that was prevented by pre-incubation with AACOCF3 but not with BEL. These data indicate an involvement of cPLA2 in lysosomal membrane destabilisation induced by heavy metals. (C) 2003 Elsevier B.V. All rights reserved.</t>
  </si>
  <si>
    <t>Univ Genoa, Dipartimento Biol Sperimentale Ambientale &amp; Appli, I-16132 Genoa, Italy; Univ Piemonte Orientale Amedeo Avogadro, Dipartimento Sci &amp; Tecnol Avanzate, I-15100 Alessandria, Italy; Plymouth Marine Lab, Plymouth PL1 3DH, Devon, England</t>
  </si>
  <si>
    <t>University of Genoa; University of Eastern Piedmont Amedeo Avogadro; Plymouth Marine Laboratory</t>
  </si>
  <si>
    <t>Univ Genoa, Dipartimento Biol Sperimentale Ambientale &amp; Appli, Viale Benedetto XV 5, I-16132 Genoa, Italy.</t>
  </si>
  <si>
    <t>bmarchi@unige.it</t>
  </si>
  <si>
    <t>Burlando, Bruno/0000-0001-7545-0311; Viarengo, Aldo/0000-0002-1557-6526</t>
  </si>
  <si>
    <t>FEB 10</t>
  </si>
  <si>
    <t>10.1016/j.aquatox.2003.09.003</t>
  </si>
  <si>
    <t>800CR</t>
  </si>
  <si>
    <t>WOS:000220007000008</t>
  </si>
  <si>
    <t>Jana, BB; Das, S</t>
  </si>
  <si>
    <t>Potential of freshwater mussel (Lamellidens marginalis) for cadmium clearance in a model system</t>
  </si>
  <si>
    <t>cadmium clearance; reclamation; Lamellidens; tissue cadmium; microcosms</t>
  </si>
  <si>
    <t>AUSTROCOCHLEA-CONSTRICTA; ELLIPTIO-COMPLANATA; DIFFERENT ORGANS; HEAVY-METALS; BIOACCUMULATION; INDICATOR; POLLUTION; GASTROPOD; MERCURY; TISSUE</t>
  </si>
  <si>
    <t>The cadmium clearance by Lamellidens marginalis was investigated in model systems containing different levels of cadmium. Cadmium was applied at the rate of 10, 20 and 30 mg/l into 3-1 aquaria provided with and without soil systems. Adult Lame(linens were introduced at the rate of two into each of six treatments, and respective treatments without introduction of Lamellidens served as controls. The total amount of cadmium cleared from water or sediment by Lamellidens was highly concentration and time dependent. Oxygen consumption by Lamellidens was up to 63% higher at 20 mg/l of cadmium when compared to the control. In the soil-water system, substantial accumulation of cadmium occurred in the sediment resulting in 5-27% reduction for all tissues in the order: gill &gt; liver &gt; shell &gt; mantle. At the end of the experiment, there was weight loss of Lamellidens in all the concentrations of cadmium more in higher concentration than at low. It is concluded that Lamellidens might be profitably used as a biofilter for the reclamation of moderately cadmium contaminated aquatic systems. (C) 1997 Elsevier Science B.V.</t>
  </si>
  <si>
    <t>Jana, BB (corresponding author), UNIV KALYANI,DEPT ZOOL,AQUACULTURE &amp; APPL LIMNOL RES UNIT,KALYAN 741235,W BENGAL,INDIA.</t>
  </si>
  <si>
    <t>10.1016/S0925-8574(97)00259-0</t>
  </si>
  <si>
    <t>XL557</t>
  </si>
  <si>
    <t>WOS:A1997XL55700001</t>
  </si>
  <si>
    <t>Öztürk, S; Irkin, LC</t>
  </si>
  <si>
    <t>Ozturk, S.; Irkin, L. C.</t>
  </si>
  <si>
    <t>Reactivity of TNF-α, NF-KB, and TGF-β in Liver Tissue of Rats Due to the Sand Mussel Consumption</t>
  </si>
  <si>
    <t>heavy metal; hepatotoxicity; apoptosis; sand mussel; rat</t>
  </si>
  <si>
    <t>HEAVY-METALS; COMPLEX; CELLS</t>
  </si>
  <si>
    <t>Toxic substances such as heavy metals have been reported to accumulate by aquatic organisms. In this study, it was aimed to investigate the histopathological changes that may occur in the liver parenchyma, the largest gland of the digestive system, by feeding the rats with sand mussel. The samples were analyzed for cadmium (Cd), lead (Pb), copper (Cu), and zinc (Zn) by ICP-OES). The liver tissue samples were stained with Hematoxylin-Eosin (H &amp; E), and immuohitochemically staining inflamatory marker TNF-&amp; alpha;, NF-&amp; kappa;B, and fibrotic factor TGF-&amp; beta;. Heavy metal accumulation in sand mussel tissue suggests that it may triggers the toxicity in tissues with the consumption frequently that the hepatotoxic effect was quite severe especially in rats fed with sand mussel. Also immunoreactivity of TNF-&amp; alpha;, TGF-&amp; beta; and NF-&amp; kappa;B were observed in the liver cells of especially Group II (G2); were fed with 4/5 sand mussel + 1/5 standard rat food every day for 20 days. As a result, aquatic ecosystem can be affected with environmental pollution. It has been observed that crustaceans obtained from polluted ecosystems can cause especially digestive system organs damage in mammals.</t>
  </si>
  <si>
    <t>[Ozturk, S.] Canakkale Onsekiz Mart Univ, Vocatioanl Sch Hlth Serv, Canakkale, Turkiye; [Irkin, L. C.] Canakkale Onsekiz Mart Univ, Dept Fisheries Technol, Fac Appl Sci, TR-17100 Canakkale, Turkiye</t>
  </si>
  <si>
    <t>Canakkale Onsekiz Mart University; Canakkale Onsekiz Mart University</t>
  </si>
  <si>
    <t>Irkin, LC (corresponding author), Canakkale Onsekiz Mart Univ, Dept Fisheries Technol, Fac Appl Sci, TR-17100 Canakkale, Turkiye.</t>
  </si>
  <si>
    <t>latifeirkin@gmail.com</t>
  </si>
  <si>
    <t>İRKİN, Latife/AAJ-5691-2021</t>
  </si>
  <si>
    <t>10.12681/jhvms.30199</t>
  </si>
  <si>
    <t>M1QU4</t>
  </si>
  <si>
    <t>WOS:001027992500007</t>
  </si>
  <si>
    <t>Riget, F; Johansen, P; Asmund, G</t>
  </si>
  <si>
    <t>Uptake and release of lead and zinc by blue mussels. Experience from transplantation experiments in Greenland</t>
  </si>
  <si>
    <t>MYTILUS-EDULIS; TRACE-METALS; CADMIUM; ACCUMULATION; DEPURATION; POLLUTION; WATER</t>
  </si>
  <si>
    <t>Studies of release and uptake of lead and zinc in blue mussels have been used to assess the environmental impact of a lead-zinc mine in Greenland. Blue mussels were transplanted from a clean area to highly polluted sites near the mine, and also from a highly polluted site to a clean area. The uptake and release of lead were found to be slow processes. After two to three years of accumulation the level in the transplanted mussels reached the level of the resident population. After two to three years in a clean environment the release of lead ceased, and the mussels seem be able to depurate only about half of the had originally taken up. The pattern of uptake and release of zinc was not as clear as for lead indicating a certain regulation capability of the mussels. When pollution with lead in the environment decreases, resident mussel populations were found not to be useful as monitoring organisms. Transplantation of mussels seems to be a good monitoring tool in that situation. (C) 1997 Elsevier Science Ltd. All rights reserved.</t>
  </si>
  <si>
    <t>Natl Environm Res Inst, Dept Arctic Environm, DK-2200 Copenhagen N, Denmark</t>
  </si>
  <si>
    <t>Natl Environm Res Inst, Dept Arctic Environm, Tagensvej 135, DK-2200 Copenhagen N, Denmark.</t>
  </si>
  <si>
    <t>Rigét, Frank/J-3245-2013</t>
  </si>
  <si>
    <t>10.1016/S0025-326X(97)00028-3</t>
  </si>
  <si>
    <t>YR346</t>
  </si>
  <si>
    <t>WOS:000071486200017</t>
  </si>
  <si>
    <t>Lettieri, G; Marinaro, C; Notariale, R; Perrone, P; Lombardi, M; Trotta, A; Troisi, J; Piscopo, M</t>
  </si>
  <si>
    <t>Lettieri, Gennaro; Marinaro, Carmela; Notariale, Rosaria; Perrone, Pasquale; Lombardi, Martina; Trotta, Alessio; Troisi, Jacopo; Piscopo, Marina</t>
  </si>
  <si>
    <t>Impact of Heavy Metal Exposure on Mytilus galloprovincialis Spermatozoa: A Metabolomic Investigation</t>
  </si>
  <si>
    <t>METABOLITES</t>
  </si>
  <si>
    <t>spermatozoa; metabolomics; heavy metals; Mytilus galloprovincialis</t>
  </si>
  <si>
    <t>CLAM RUDITAPES-PHILIPPINARUM; ANTIOXIDANT RESPONSES; SEMINAL PLASMA; LAMARCK 1819; BIOMARKERS; CADMIUM; MUSSEL; ACID; PARAMETERS; BIVALVES</t>
  </si>
  <si>
    <t>Metabolomics is a method that provides an overview of the physiological and cellular state of a specific organism or tissue. This method is particularly useful for studying the influence the environment can have on organisms, especially those used as bio-indicators, e.g., Mytilus galloprovincialis. Nevertheless, a scarcity of data on the complete metabolic baseline of mussel tissues still exists, but more importantly, the effect of mussel exposure to certain heavy metals on spermatozoa is unknown, also considering that, in recent years, the reproductive system has proved to be very sensitive to the effects of environmental pollutants. In order to fill this knowledge gap, the similarities and differences in the metabolic profile of spermatozoa of mussels exposed to metallic chlorides of copper, nickel, and cadmium, and to the mixture to these metals, were studied using a metabolomics approach based on GC-MS analysis, and their physiological role was discussed. A total of 237 endogenous metabolites were identified in the spermatozoa of these mussel. The data underwent preprocessing steps and were analyzed using statistical methods such as PLS-DA. The results showed effective class separation and identified key metabolites through the VIP scores. Heatmaps and cluster analysis further evaluated the metabolites. The metabolite-set enrichment analysis revealed complex interactions within metabolic pathways and metabolites, especially involving glucose and central carbon metabolism and oxidative stress metabolism. Overall, the results of this study are useful to better understand how some pollutants can affect the specific physiological functions of the spermatozoa of this mussel, as well as for further GC-MS-based metabolomic health and safety studies of marine bivalves.</t>
  </si>
  <si>
    <t>[Lettieri, Gennaro; Marinaro, Carmela; Piscopo, Marina] Univ Naples Federico II, Dept Biol, Via Cinthia 21, I-80126 Naples, Italy; [Notariale, Rosaria] Stn Zool Anton Dohrn, Dept Biol &amp; Evolut Marine Organisms, Villa Comunale 1, I-80121 Naples, Italy; [Perrone, Pasquale] Univ Campania Luigi Vanvitelli, Dept Precis Med, Sch Med, Via Luigi de Crecchio, I-80138 Naples, Italy; [Lombardi, Martina; Trotta, Alessio; Troisi, Jacopo] Univ Salerno, Theoreo SRL, Spin Off Co, I-84098 Montecorvino Pugliano, SA, Italy</t>
  </si>
  <si>
    <t>University of Naples Federico II; Stazione Zoologica Anton Dohrn di Napoli; Universita della Campania Vanvitelli; University of Salerno</t>
  </si>
  <si>
    <t>Piscopo, M (corresponding author), Univ Naples Federico II, Dept Biol, Via Cinthia 21, I-80126 Naples, Italy.;Troisi, J (corresponding author), Univ Salerno, Theoreo SRL, Spin Off Co, I-84098 Montecorvino Pugliano, SA, Italy.</t>
  </si>
  <si>
    <t>troisi@theoreosrl.com; marina.piscopo@unina.it</t>
  </si>
  <si>
    <t>Marinaro, Carmela/HNS-2479-2023; Troisi, Jacopo/ABC-1348-2021; Lettieri, Gennaro/AAZ-1164-2020</t>
  </si>
  <si>
    <t>Lombardi, Martina/0000-0003-4453-6627; Lettieri, Gennaro/0000-0002-0141-3320; Perrone, Pasquale/0000-0002-5627-0267; Marinaro, Carmela/0000-0002-1817-7280; Troisi, Jacopo/0000-0003-2962-7379</t>
  </si>
  <si>
    <t>2218-1989</t>
  </si>
  <si>
    <t>Metabolites</t>
  </si>
  <si>
    <t>10.3390/metabo13080943</t>
  </si>
  <si>
    <t>Biochemistry &amp; Molecular Biology</t>
  </si>
  <si>
    <t>Q4IX8</t>
  </si>
  <si>
    <t>WOS:001057182200001</t>
  </si>
  <si>
    <t>HO, MS; ZUBKOFF, PL</t>
  </si>
  <si>
    <t>THE EFFECTS OF MERCURY, COPPER, AND ZINC ON CALCIUM-UPTAKE BY LARVAE OF THE CLAM, MULINIA-LATERALIS</t>
  </si>
  <si>
    <t>A sensitive and rapid bioassay system using 45Ca uptake by larvae of M. lateralis as indicator was described. The values of Ca uptake per larva vs. elapsed time were linear and some of the Ca uptake rates, expressed as pg Ca larva-1 h-1, were 148.2 (no added heavy metal), 114.4 (20 .mu.g/kg added Hg), 89.7 (200 .mu.g/kg added Zn) and 20.5 (40 .mu.g/kg added Cu). Linearities were also obtained by plotting log of Ca uptake per larva against heavy metal concentrations. A new terminology, .**GRAPHIC**. was proposed which expressed the concentration of heavy metal, x, causing 50% depression of Ca uptake over the exposure time, t. For Cu, Hg and Zn, the values of .**GRAPHIC**. were 18.5, 26.5 and 176.0 .mu.g/kg, respectively, which were comparable to the published values of LC50. The effectiveness of Ca uptake depression on a weight basis and larval mortality was Cu &gt; Hg &gt; Zn.</t>
  </si>
  <si>
    <t>COLL WILLIAM &amp; MARY, SCH MARINE SCI, WILLIAMSBURG, VA 23185 USA</t>
  </si>
  <si>
    <t>VIRGINIA INST MARINE SCI, DEPT ENVIRONM PHYSIOL, GLOUCESTER POINT, VA 23062 USA.</t>
  </si>
  <si>
    <t>10.1007/BF00460107</t>
  </si>
  <si>
    <t>NS305</t>
  </si>
  <si>
    <t>WOS:A1982NS30500006</t>
  </si>
  <si>
    <t>Puspitasari, R; Takarina, ND; Soesilo, TEB; Agustina, H</t>
  </si>
  <si>
    <t>Puspitasari, Rachma; Takarina, Noverita Dian; Soesilo, Tri Edhi Budhi; Agustina, Haruki</t>
  </si>
  <si>
    <t>Potential risks of heavy metals in green mussels (Perna viridis) harvested from Cilincing and Kamal Muara, Jakarta Bay, Indonesia to human health</t>
  </si>
  <si>
    <t>Cadmium; Lead; Chromium; Green mussel; Jakarta Bay</t>
  </si>
  <si>
    <t>SEDIMENTS; CONTAMINATION; WATERS; POLLUTION; EXPOSURE; COASTS; RIVER; PB</t>
  </si>
  <si>
    <t>This study investigates Pb, Cd, and Cr in the suspended particulate matter (SPM), sediments, and green mussels from Cilincing and Kamal Muara, Jakarta Bay and estimates their potential human health risks. The results showed that the metal levels in SPM from Cilincing ranged from 0.81 to 1.69 mg/kg for Pb and 2.14 to 5.31 mg/ kg for Cr, while in Kamal Muara ranged from 0.70 to 3.82 mg/kg for Pb and 1.88 to 4.78 mg/kg dry weight for Cr. The levels of Pb, Cd, and Cr in sediments from Cilincing ranged from 16.53 to 32.51 mg/kg, 0.91 to 2.52 mg/ kg; and 0.62 to 1.0 mg/kg whereas in Kamal Muara ranged from 8.74 to 8.81 mg/kg; 0.51 to 1.79 mg/kg, and 0.27 to 0.31 mg/kg dry weight, respectively. The levels of Cd and Cr of green mussels in Cilincing ranged from 0.014 to 0.75 mg/kg and 0.003 to 0.11 mg/kg; while in Kamal Muara ranged from 0.015 to 0.073 mg/kg and 0.01 to 0.04 mg/kg wet weight, respectively. Pb was not detected in all samples of green mussels. The Pb, Cd, and Cr levels in the green mussels were still below the permissible limits set by international standards. However, the Target Hazard Quotient (THQ) for adult and children in several samples were higher than one indicating po-tential noncarcinogenic effects to consumers due to Cd accumulation. To reduce the detrimental effects of metals, we suggest maximum mussel consumption of 0.65 kg for adults and 0.19 kg for children in a week based on the highest level of metals.</t>
  </si>
  <si>
    <t>[Puspitasari, Rachma; Soesilo, Tri Edhi Budhi; Agustina, Haruki] Univ Indonesia, Sch Environm Sci, Salemba Raya St 4, Cent Jakarta 10430, Indonesia; [Takarina, Noverita Dian] Univ Indonesia, Fac Math &amp; Nat Sci, Dept Biol, Campus UI, Depok 16424, West Java, Indonesia; [Puspitasari, Rachma] Natl Res &amp; Innovat Agcy, Res Ctr Oceanog, Ancol 14430, North Jakarta, Indonesia; [Agustina, Haruki] Minist Environm &amp; Forestry, Manggala Wanabakti Bldg, Jakarta 10270, Indonesia</t>
  </si>
  <si>
    <t>University of Indonesia; University of Indonesia; Ministry of Environment &amp; Forestry</t>
  </si>
  <si>
    <t>Puspitasari, R (corresponding author), Univ Indonesia, Sch Environm Sci, Salemba Raya St 4, Cent Jakarta 10430, Indonesia.;Puspitasari, R (corresponding author), Natl Res &amp; Innovat Agcy, Res Ctr Oceanog, Ancol 14430, North Jakarta, Indonesia.</t>
  </si>
  <si>
    <t>poespitsari@gmail.com</t>
  </si>
  <si>
    <t>Takarina, Noverita Dian/ABD-9794-2021; SOESILO, TRI/AAD-2398-2021</t>
  </si>
  <si>
    <t>Puspitasari, Rachma/0000-0003-1995-0340</t>
  </si>
  <si>
    <t>National Research and Innovation Agency (BRIN), Indonesia; Directorate of Research and Development, Universitas Indonesia under Hibah PUTI 2022 [NKB-358/UN2.RST/HKP.05.00/2022]</t>
  </si>
  <si>
    <t>National Research and Innovation Agency (BRIN), Indonesia; Directorate of Research and Development, Universitas Indonesia under Hibah PUTI 2022</t>
  </si>
  <si>
    <t>This work was supported by the National Research and Innovation Agency (BRIN), Indonesia and funded by the Directorate of Research and Development, Universitas Indonesia under Hibah PUTI 2022 (Grant No. NKB-358/UN2.RST/HKP.05.00/2022).</t>
  </si>
  <si>
    <t>10.1016/j.marpolbul.2023.114754</t>
  </si>
  <si>
    <t>DEC 2023</t>
  </si>
  <si>
    <t>H5VM1</t>
  </si>
  <si>
    <t>WOS:000996638200001</t>
  </si>
  <si>
    <t>Neethu, KV; Nandan, SB; Xavier, NDD; Jayachandran, PR; Anu, PR; Midhun, AM; Mohan, D; Marigoudar, SR</t>
  </si>
  <si>
    <t>Neethu, Kariyil Veettil; Nandan, Sivasankaran Bijoy; Xavier, Nelkunnassery Dominic Don; Jayachandran, Paravanparambil Rajakumar; Anu, Pashnath Raghu; Midhun, Alungal Manikandan; Mohan, Dhandapani; Marigoudar, Shambanagouda R.</t>
  </si>
  <si>
    <t>A multibiomarker approach to assess lead toxicity on the black clam,Villorita cyprinoides(Gray, 1825), from Cochin estuarine system (CES), southwest coast, India</t>
  </si>
  <si>
    <t>Cochin estuary; Metal; Biomarker; Antioxidant enzymes; Filtration rate; Histopathology; Lysosome</t>
  </si>
  <si>
    <t>MUSSELS MYTILUS-GALLOPROVINCIALIS; LYSOSOMAL MEMBRANE STABILITY; PERNA-VIRIDIS; HEAVY-METALS; OXIDATIVE-STRESS; DIGESTIVE GLAND; MARINE MUSSELS; BIOMARKERS; COPPER; CADMIUM</t>
  </si>
  <si>
    <t>The southwest coast of India along the Cochin region is seriously affected by metal contamination from increasing industrial activities. This contribution pertains to the chronic toxicity effects of lead and its biomarker responses on the black clam,Villorita cyprinoides, largely endemic to Southern India. The metal concentration (lead (Pb), copper (Cu), zinc (Zn), cadmium (Cd), nickel (Ni), and chromium (Cr)) and contamination indices such as geoaccumulation index and contamination factor suggests that the Cochin estuarine system (CES) is moderately to heavily polluted with metals. The 96 h effective median lethal concentration (LC50) for Pb was 12.08 mg L(-1)at 95% confidence level, whereas the NOEC (no observed effect concentration) and LOEC (lowest observed effect concentration) were 0.46 mg L(-1)and 0.83 mg L(-1)respectively. The chronic toxicity value for Pb was 0.64 mg L-1. Accumulation of Pb inV. cyprinoidesafter chronic toxicity test was several-fold higher than exposure concentration. On exposure to sublethal concentrations of lead, gills showed prominent pathological lesions such as damaged lateral cilia, congested hemolymph sinus, damaged abfrontal cilia, damaged ciliary filaments, fusion of gill lamellae, and reduced inter lamellar space. Filtration rate of clams exposed to Pb (86.69 +/- 1.98 ml clam(-1) h(-1)) was lower than that in control experiments (191.86 +/- 6.48 ml clam(-1) h(-1)). Antioxidant enzymes such as esterase (EST), superoxide dismutase (SOD), and malate dehydrogenase (MDH) exhibited different patterns in isoenzyme activity. Neutral red retention time (NRRT) showed a decrease from control to higher concentrations indicating membrane stability of hemocytic lysosomes decreased with the increasing metal exposure concentration. At LOEC and higher concentrations lysosomes showed enlargement and fragmentation. Lysosomal responses inV. cyprinoidescan be used as a key cellular stress biomarker in assessing lead and other metal contamination.</t>
  </si>
  <si>
    <t>[Neethu, Kariyil Veettil; Nandan, Sivasankaran Bijoy; Xavier, Nelkunnassery Dominic Don; Jayachandran, Paravanparambil Rajakumar; Anu, Pashnath Raghu; Midhun, Alungal Manikandan] Cochin Univ Sci &amp; Technol, Sch Marine Sci, Dept Marine Biol Microbiol &amp; Biochem, Cochin 682016, Kerala, India; [Mohan, Dhandapani; Marigoudar, Shambanagouda R.] Govt India, Natl Ctr Coastal Res, Minist Earth Sci, NIOT Campus, Chennai 600100, Tamil Nadu, India</t>
  </si>
  <si>
    <t>Cochin University Science &amp; Technology; Ministry of Earth Sciences (MoES) - India; National Centre for Coastal Research (NCCR); National Institute of Ocean Technology (NIOT)</t>
  </si>
  <si>
    <t>Nandan, SB (corresponding author), Cochin Univ Sci &amp; Technol, Sch Marine Sci, Dept Marine Biol Microbiol &amp; Biochem, Cochin 682016, Kerala, India.</t>
  </si>
  <si>
    <t>bijoynandan@cusat.ac.in</t>
  </si>
  <si>
    <t>; Jayachandran, Paravanparambil Rajakumar/A-6956-2019</t>
  </si>
  <si>
    <t>Bijoy Nandan, Sivasankaran/0000-0003-2476-6935; Jayachandran, Paravanparambil Rajakumar/0000-0002-4710-2130</t>
  </si>
  <si>
    <t>National Centre for Coastal Research, Ministry of Earth Science [MoES/ICMAM-PD/12th Plan/ME/CUSAT/34/2012]</t>
  </si>
  <si>
    <t>National Centre for Coastal Research, Ministry of Earth Science</t>
  </si>
  <si>
    <t>This research was financially supported by the National Centre for Coastal Research, Ministry of Earth Science, Govt. of India (MoES/ICMAM-PD/12th Plan/ME/CUSAT/34/2012).</t>
  </si>
  <si>
    <t>10.1007/s11356-020-10524-6</t>
  </si>
  <si>
    <t>AUG 2020</t>
  </si>
  <si>
    <t>PO7ST</t>
  </si>
  <si>
    <t>WOS:000565599100004</t>
  </si>
  <si>
    <t>Zhao, DF; Hu, GY; Chen, R; Xiao, GQ; Teng, SS</t>
  </si>
  <si>
    <t>Zhao, Defeng; Hu, Gaoyu; Chen, Ran; Xiao, Guoqiang; Teng, Shuangshuang</t>
  </si>
  <si>
    <t>Molecular cloning, characterization, and tissue distribution of c-Myc from blood clam Tegillarca granosa and its role in cadmium-induced stress response</t>
  </si>
  <si>
    <t>GENE</t>
  </si>
  <si>
    <t>c-Myc; Tegillarca granosa; Cadmium exposure; Gene expression; RNA interference</t>
  </si>
  <si>
    <t>HEAVY-METALS; MYTILUS-GALLOPROVINCIALIS; GENE-EXPRESSION; GILLS; CHINA; INACTIVATION; MECHANISMS; RESISTANCE; APOPTOSIS; COPPER</t>
  </si>
  <si>
    <t>Cadmium (Cd) pollution threatens the cultivation of the blood clam Tegillarca granosa (T. granosa) in coastal regions of the East China Sea. The molecular mechanisms regulating Cd stress response and detoxification in blood clams are largely unclear. In the present study, the full-length T. granosa c-Myc (Tgc-Myc) cDNA was cloned for the first time. The 3063-bp cDNA consisted of a 129-bp 5 ' untranslated region (UTR), a 1746-bp 3 ' UTR, and a 1188-bp open reading frame encoding a predicted protein of 395 amino acid residues. The predicted protein had a calculated molecular weight of 44.9 kDa and an estimated isoelectric point of 6.82. The predicted protein contained an N-terminal transactivation domain and a C-terminal basic helix-loop-helix leucine zipper domain, which are conserved functional domains of c-Myc proteins. Tgc-Myc showed broad tissue distribution in blood clams, with the highest expression detected in the gill and hepatopancreas. Exposure to Cd, a major heavy metal pollutant in coastal regions of the East China Sea, induced Tgc-Myc expression in gill tissues. Tgc-Myc knockdown led to reduced expression of a variety of stress response/detoxification genes in blood clams cultivated in Cd-contaminated seawater. Tgc-Myc knockdown also led to decreased expression of IGF1R, a protooncogene that promotes cell proliferation. These findings indicated that Tgc-Myc regulates Cd-induced stress response and detoxification in blood clams. The upregulation of Tgc-Myc may serve as an approach to generate strains with an enhanced detoxification response and consequently a low heavy metal buildup.</t>
  </si>
  <si>
    <t>[Zhao, Defeng; Hu, Gaoyu; Chen, Ran; Xiao, Guoqiang; Teng, Shuangshuang] Zhejiang Mariculture Res Inst, Wenzhou Key Lab Marine Biol Genet &amp; Breeding, Zhejiang Key Lab Exploitat &amp; Preservat Coastal Bio, Wenzhou 325005, Peoples R China; [Zhao, Defeng; Xiao, Guoqiang] Zhejiang Ocean Univ, Zhoushan 316022, Peoples R China</t>
  </si>
  <si>
    <t>Zhejiang Ocean University</t>
  </si>
  <si>
    <t>Teng, SS (corresponding author), Zhejiang Mariculture Res Inst, Wenzhou Key Lab Marine Biol Genet &amp; Breeding, Zhejiang Key Lab Exploitat &amp; Preservat Coastal Bio, Wenzhou 325005, Peoples R China.</t>
  </si>
  <si>
    <t>188175998@qq.com</t>
  </si>
  <si>
    <t>Youth Science Foundation Project of the National Natural Science Foundation of China [31902358]; National Key Research and development Program of China [2018YFD0901405-2, 2020YFD0900802]; Agriculture Research System of MOF and MARA of China [CARS-49]; Wenzhou agricultural new variety breeding cooperation group of China [2019ZX001-1]</t>
  </si>
  <si>
    <t>Youth Science Foundation Project of the National Natural Science Foundation of China; National Key Research and development Program of China(National Key Research &amp; Development Program of China); Agriculture Research System of MOF and MARA of China; Wenzhou agricultural new variety breeding cooperation group of China</t>
  </si>
  <si>
    <t>This work was supported by the Youth Science Foundation Project of the National Natural Science Foundation of China (31902358) , the National Key Research and development Program of China (2018YFD0901405-2; 2020YFD0900802) , the Agriculture Research System of MOF and MARA of China (CARS-49) , the Wenzhou agricultural new variety breeding cooperation group of China (2019ZX001-1) .</t>
  </si>
  <si>
    <t>0378-1119</t>
  </si>
  <si>
    <t>1879-0038</t>
  </si>
  <si>
    <t>Gene</t>
  </si>
  <si>
    <t>AUG 5</t>
  </si>
  <si>
    <t>10.1016/j.gene.2022.146611</t>
  </si>
  <si>
    <t>Genetics &amp; Heredity</t>
  </si>
  <si>
    <t>2M7XG</t>
  </si>
  <si>
    <t>WOS:000817907400001</t>
  </si>
  <si>
    <t>Lin, YC; Lu, J; Wu, J</t>
  </si>
  <si>
    <t>Lin, Yichen; Lu, Jian; Wu, Jun</t>
  </si>
  <si>
    <t>Heavy metals pollution and health risk assessment in farmed scallops: Low level of Cd in coastal water could lead to high risk of seafood</t>
  </si>
  <si>
    <t>Hyperaccumulator; Scallop; Heavy metals; Distribution regularities; Health risks</t>
  </si>
  <si>
    <t>CHLAMYS-VARIA; BIOACCUMULATION; ACCUMULATION; CONSUMPTION; SHELLFISH; BIVALVES; TISSUES; MODEL; ZINC</t>
  </si>
  <si>
    <t>Scallops are one of the most common bivalves, large-scale farmed in the coastal areas of China. Three species of scallops (Chlamys farreri, Argopecten irradians and Patinopecten yessoensis) from 10 samples sites along the Bohai Sea and the Yellow Sea were collected to investigate species-specific and tissues-specific bioaccumulation, spatial-temporal distribution and health risks for people. Cd must be paid attention since Cd concentrations in 96% of scallop samples exceeded standard with the highest Cd bioaccumulation potentials (BCF) &gt;10,000 while those of the other metals were less than the corresponding limits except Zn with exceeding-limit percentage of 13%. The metal pollution index values showed that A. irradians could accumulate more metals than the other two species, and scallops in the Bohai Sea were polluted more seriously by heavy metals than in the Yellow Sea. The capacities of tissues in scallops to accumulate metals generally followed the order of digestive gland &gt; gill &gt; adductor muscle. However, Zn accumulated in gill was more than that in digestive gland and muscle. Adults and children would face the non-cancer risks because of the accumulation Cd in scallops based on health risk assessment. Cd was the major contributor of health risk to account for 85% of total hazard quotient and 48% of total cancer risk. Scallops could accumulate Cd rapidly from ambient environments to cause health risks according to the transplantation test. Moreover, the recommended maximum edible amounts of whole scallops were 127/63 g/week for adult/children on the basis of the provisional tolerance weekly intake. Humans are recommended to only consume adductor muscles for reducing health risks.</t>
  </si>
  <si>
    <t>[Lin, Yichen; Lu, Jian] Chinese Acad Sci, YICCAS, Yantai Inst Coastal Zone Res YIC, CAS Key Lab Coastal Environm Proc &amp; Ecol Remediat, Yantai 264003, Shandong, Peoples R China; [Lin, Yichen; Lu, Jian] YICCAS, Shandong Key Lab Coastal Environm Proc, Yantai 264003, Shandong, Peoples R China; [Lin, Yichen; Lu, Jian] Univ Chinese Acad Sci, Beijing 100049, Peoples R China; [Lu, Jian] Chinese Acad Sci, Ctr Ocean Mega Sci, 7 Nanhai Rd, Qingdao 266071, Peoples R China; [Wu, Jun] Ludong Univ, Sch Resources &amp; Environm Engn, Yantai 264025, Shandong, Peoples R China</t>
  </si>
  <si>
    <t>Chinese Academy of Sciences; Yantai Institute of Coastal Zone Research, CAS; Chinese Academy of Sciences; University of Chinese Academy of Sciences, CAS; Chinese Academy of Sciences; Ludong University</t>
  </si>
  <si>
    <t>Lu, J (corresponding author), Chinese Acad Sci, YICCAS, Yantai Inst Coastal Zone Res YIC, CAS Key Lab Coastal Environm Proc &amp; Ecol Remediat, Yantai 264003, Shandong, Peoples R China.</t>
  </si>
  <si>
    <t>jlu@yic.ac.cn</t>
  </si>
  <si>
    <t>LU, Jian/J-9045-2012</t>
  </si>
  <si>
    <t>lu, jian/0000-0002-0975-3987</t>
  </si>
  <si>
    <t>National Natural Science Foundation of China [41671319]; Taishan Scholars Program of Shandong Province [tsqn201812116]; One Hundred Talents Program of Chinese Academy of Sciences [Y629041021]; Youth Innovation Team Project for Talent Introduction and Cultivation in Universities of Shandong Province; Two-Hundred Talents Plan of Yantai [Y739011021]</t>
  </si>
  <si>
    <t>National Natural Science Foundation of China(National Natural Science Foundation of China (NSFC)); Taishan Scholars Program of Shandong Province; One Hundred Talents Program of Chinese Academy of Sciences(Chinese Academy of Sciences); Youth Innovation Team Project for Talent Introduction and Cultivation in Universities of Shandong Province; Two-Hundred Talents Plan of Yantai</t>
  </si>
  <si>
    <t>This work was supported by National Natural Science Foundation of China (41671319), Taishan Scholars Program of Shandong Province (No. tsqn201812116), One Hundred Talents Program of Chinese Academy of Sciences (Y629041021), Youth Innovation Team Project for Talent Introduction and Cultivation in Universities of Shandong Province, and Two-Hundred Talents Plan of Yantai (No. Y739011021).</t>
  </si>
  <si>
    <t>JAN 15</t>
  </si>
  <si>
    <t>10.1016/j.ecoenv.2020.111768</t>
  </si>
  <si>
    <t>PM9VQ</t>
  </si>
  <si>
    <t>WOS:000604137700005</t>
  </si>
  <si>
    <t>Guo, QN; Zeng, QB; Jiang, WP; Zhang, XX; Luo, Q; Zhang, X; Bouchard, LS; Liu, ML; Zhou, X</t>
  </si>
  <si>
    <t>Guo, Qianni; Zeng, Qingbin; Jiang, Weiping; Zhang, Xiaoxiao; Luo, Qing; Zhang, Xu; Bouchard, Louis-S.; Liu, Maili; Zhou, Xin</t>
  </si>
  <si>
    <t>A Molecular Imaging Approach to Mercury Sensing Based on Hyperpolarized 129Xe Molecular Clamp Probe</t>
  </si>
  <si>
    <t>CHEMISTRY-A EUROPEAN JOURNAL</t>
  </si>
  <si>
    <t>hyperporlarized Xe-129; mercury; molecular clamp probe; molecular imaging; sensors</t>
  </si>
  <si>
    <t>SPIN-EXCHANGE; RATIONAL DESIGN; ZINC IONS; GAS; NMR; XENON; MRI; POLARIZATION; BIOSENSOR; NUCLEI</t>
  </si>
  <si>
    <t>Mercury pollution, in the form of mercury ions (Hg2+), is a major health and environmental hazard. Commonly used sensors are invasive and limited to point measurements. Fluorescence-based sensors do not provide depth resolution needed to image spatial distributions. Herein we report a novel sensor capable of yielding spatial distributions by MRI using hyperpolarized Xe-129. A molecular clamp probe was developed consisting of dipyrrolylquinoxaline (DPQ) derivatives and twocryptophane-A cages. The DPQ derivatives act as cation receptors whereas cryptophane-A acts as a suitable host molecule for xenon. When the DPQ moiety interacts with mercury ions, the molecular clamp closes on the ion. Due to overlap of the electron clouds of the two cryptophane-A cages, the shielding effect on the encapsulated Xe becomes important. This leads to an upfield change of the chemical shift of the encapsulated Xe. This sensor exhibits good selectivity and sensitivity toward the mercury ion. This mercury-activated hyperpolarized Xe-129-based chemosensor is a new concept method for monitoring Hg2+ ion distributions by MRI.</t>
  </si>
  <si>
    <t>[Guo, Qianni; Zeng, Qingbin; Jiang, Weiping; Zhang, Xiaoxiao; Luo, Qing; Zhang, Xu; Liu, Maili; Zhou, Xin] Chinese Acad Sci, State Key Lab Magnet Resonance &amp; Atom &amp; Mol Phys, Key Lab Magnet Resonance Biol Syst, Wuhan Ctr Magnet Resonance,Wuhan Inst Phys &amp; Math, Wuhan, Peoples R China; [Bouchard, Louis-S.] Univ Calif Los Angeles, Dept Chem &amp; Biochem, Calif NanoSyst Inst, Inst Mol Biol, Los Angeles, CA 90095 USA</t>
  </si>
  <si>
    <t>Chinese Academy of Sciences; Innovation Academy for Precision Measurement Science &amp; Technology, CAS; University of California System; University of California Los Angeles</t>
  </si>
  <si>
    <t>Zhou, X (corresponding author), Chinese Acad Sci, State Key Lab Magnet Resonance &amp; Atom &amp; Mol Phys, Key Lab Magnet Resonance Biol Syst, Wuhan Ctr Magnet Resonance,Wuhan Inst Phys &amp; Math, Wuhan, Peoples R China.</t>
  </si>
  <si>
    <t>xinzhou@wipm.ac.cn</t>
  </si>
  <si>
    <t>zhang, xu/GRX-9733-2022; Liu, Maili/A-8543-2011; zhang, xiaoyu/HJI-4374-2023; zhou, xin/D-9987-2016</t>
  </si>
  <si>
    <t>zhou, xin/0000-0002-5580-7907; Bouchard, Louis/0000-0003-4151-5628</t>
  </si>
  <si>
    <t>National Natural Science Foundation of China [81227902, 21302217, 21475147]</t>
  </si>
  <si>
    <t>This work was supported by the National Natural Science Foundation of China (81227902, 21302217, and 21475147).</t>
  </si>
  <si>
    <t>WILEY-V C H VERLAG GMBH</t>
  </si>
  <si>
    <t>WEINHEIM</t>
  </si>
  <si>
    <t>POSTFACH 101161, 69451 WEINHEIM, GERMANY</t>
  </si>
  <si>
    <t>0947-6539</t>
  </si>
  <si>
    <t>1521-3765</t>
  </si>
  <si>
    <t>CHEM-EUR J</t>
  </si>
  <si>
    <t>Chem.-Eur. J.</t>
  </si>
  <si>
    <t>MAR 14</t>
  </si>
  <si>
    <t>10.1002/chem.201600193</t>
  </si>
  <si>
    <t>Chemistry, Multidisciplinary</t>
  </si>
  <si>
    <t>Science Citation Index Expanded (SCI-EXPANDED); Index Chemicus (IC)</t>
  </si>
  <si>
    <t>DH1EF</t>
  </si>
  <si>
    <t>WOS:000372526500010</t>
  </si>
  <si>
    <t>Wu, YD; Shi, B; Zhou, L; Dong, CY; You, WW; Ke, CH</t>
  </si>
  <si>
    <t>Wu, Yidi; Shi, Bo; Zhou, Long; Dong, Chenyu; You, Weiwei; Ke, Caihuan</t>
  </si>
  <si>
    <t>Heritability estimates for copper/zinc accumulation capabilities and correlation with growth/quality traits in the Fujian oyster, Crassostrea angulata</t>
  </si>
  <si>
    <t>AQUACULTURE</t>
  </si>
  <si>
    <t>Oyster; Cu; Zn; Heritability; Growth-related trait; Taurine</t>
  </si>
  <si>
    <t>TRACE-METAL CONTAMINATION; BIVALVE MACOMA-BALTHICA; FREE AMINO-ACIDS; PACIFIC OYSTER; OSTREA-EDULIS; AQUATIC INVERTEBRATES; REPRODUCTIVE-CYCLE; HEAVY-METALS; BODY-SIZE; GIGAS</t>
  </si>
  <si>
    <t>Oysters are hyper-accumulators of copper (Cu) and zinc (Zn) and are a good food source for trace element supplements. However, increasing heavy metal pollution in estuaries and coastal areas has posed a critical threat to oysters and thus led to food safety issues. Here, we assessed if it is possible to obtain oyster varieties with differential metal-accumulated properties through genetic improvement. The narrow-sense heritabilities of Cu and Zn accumulation capabilities and growth traits in Fujian oyster (Crassostrea angulata) were estimated to determine the degree to which Cu and Zn accumulation is under genetic control. In addition, we investigated the trade-offs between Cu/Zn accumulation and some farming performances, including growth-related traits, and the contents of glycogen and eight free amino acids. Moderate estimates were observed for narrow-sense heritability of Cu (0.189 +/- 0.061) and Zn (0.373 +/- 0.091) accumulation capability, while growth-related traits showed moderate-high heritability (0.168 +/- 0.059-0.595 +/- 0.116). High-level genetic (0.802 +/- 0.080) and phenotypic (0.853 +/- 0.012) correlations were detected between Cu and Zn accumulation capability, while correlations between metal accumulation and growth traits were low (-0.023 +/- 0.042-0.491 +/- 0.200). Moreover, Cu and Zn accumulation in Fujian oyster exhibited no significant influence on the quality traits measured, except for Taurine (Tau). Tau contents in high Cu/Zn accumulated oysters were significantly higher than in low-accumulated oysters, suggesting an important role of Tau in Cu/Zn accumulation. Our results provide important information to guide effective selective breeding of Fujian oysters with specific Cu/Zn accumulation capabilities.</t>
  </si>
  <si>
    <t>[Wu, Yidi; Zhou, Long; Dong, Chenyu; You, Weiwei; Ke, Caihuan] Xiamen Univ, Coll Ocean &amp; Earth Sci, Xiamen 361102, Peoples R China; [Shi, Bo] Xiamen Univ, Coll Environm &amp; Ecol, Xiamen 361102, Peoples R China; [Wu, Yidi; Zhou, Long; You, Weiwei; Ke, Caihuan] Xiamen Univ, State Key Lab Marine Environm Sci, Xiamen 361102, Peoples R China; [Wu, Yidi; Zhou, Long; You, Weiwei; Ke, Caihuan] Xiamen Univ, Fujian Collaborat Innovat Ctr Exploitat &amp; Utiliza, Xiamen 361102, Peoples R China</t>
  </si>
  <si>
    <t>Xiamen University; Xiamen University; Xiamen University; Xiamen University</t>
  </si>
  <si>
    <t>You, WW; Ke, CH (corresponding author), Xiamen Univ, Coll Ocean &amp; Earth Sci, Xiamen 361102, Peoples R China.</t>
  </si>
  <si>
    <t>wwyou@xmu.edu.cn; chke@xmu.edu.cn</t>
  </si>
  <si>
    <t>Ke, CH/G-4635-2010</t>
  </si>
  <si>
    <t>Wu, Yidi/0000-0001-8204-7395</t>
  </si>
  <si>
    <t>National Natural Science Foundation of China [31672651, 31702314]; China Postdoctoral Science Foundation [2017M612126]; earmarked fund for Modern Agro-industry Technology Research System [CARS-49]</t>
  </si>
  <si>
    <t>National Natural Science Foundation of China(National Natural Science Foundation of China (NSFC)); China Postdoctoral Science Foundation(China Postdoctoral Science Foundation); earmarked fund for Modern Agro-industry Technology Research System</t>
  </si>
  <si>
    <t>This work was supported by grants from National Natural Science Foundation of China (No. 31672651), National Natural Science Foundation of China (No. 31702314), the China Postdoctoral Science Foundation (No. 2017M612126) and the earmarked fund for Modern Agro-industry Technology Research System (No. CARS-49).</t>
  </si>
  <si>
    <t>0044-8486</t>
  </si>
  <si>
    <t>1873-5622</t>
  </si>
  <si>
    <t>Aquaculture</t>
  </si>
  <si>
    <t>10.1016/j.aquaculture.2018.09.021</t>
  </si>
  <si>
    <t>GW6PY</t>
  </si>
  <si>
    <t>WOS:000447083800024</t>
  </si>
  <si>
    <t>Fauziah, SH; Emenike, CU; Agamuthu, P</t>
  </si>
  <si>
    <t>Fauziah, Shahul Hamid; Emenike, Chijoke U.; Agamuthu, P.</t>
  </si>
  <si>
    <t>Leachate risk and identification of accumulated heavy metals in Pangasius sutchi</t>
  </si>
  <si>
    <t>WASTE MANAGEMENT &amp; RESEARCH</t>
  </si>
  <si>
    <t>Bioaccumulation; fish; leachate; heavy metals; pollutants</t>
  </si>
  <si>
    <t>LANDFILL-LEACHATE; FISH; CONTAMINANTS; MUSSELS</t>
  </si>
  <si>
    <t>Pollutants put great stress on the environment, especially the aquatic ecosystem; therefore, the ease with which pollutants migrate in water is a subject of global concern. In this study, leachate from landfill that was analyzed with the objective of understanding the potential impact to the environment was tested on Pangasius sutchi. Heavy metals available at various concentrations in raw leachate samples of both closed and active landfills necessitated the determination of their degree of bioaccumulation in this fish species in order to enrich the risk data on toxicity of effluents. Zinc (3.2 mu g g(-1)), iron (2.1 mu g g(-1)) and chromium (0.24 mu g g(-1)) detected in the fish within 96 h of acute exposure is of concern. A histopathology test on excised liver of P. sutchi indicated cellular disruption from normal stain. Heterogeneous effluents like leachate may affect not only groundwater but can endanger aquatic ecosystems, especially in some regions where improper waste disposal and treatment allow the flow of leachate into surface water courses. Though metals might be beneficial to organisms, the extent at which they can accumulate in leachate-exposed fish is a risk and can initiate metal toxicity in aquatic life.</t>
  </si>
  <si>
    <t>[Fauziah, Shahul Hamid; Emenike, Chijoke U.; Agamuthu, P.] Univ Malaya, Inst Biol Sci, Kuala Lumpur 50603, Malaysia</t>
  </si>
  <si>
    <t>Universiti Malaya</t>
  </si>
  <si>
    <t>Fauziah, SH (corresponding author), Univ Malaya, Fac Sci, Inst Biol Sci, Kuala Lumpur 50603, Malaysia.</t>
  </si>
  <si>
    <t>fauziahsh@um.edu.my</t>
  </si>
  <si>
    <t>Pariatamby, Agamuthu/B-8145-2010; Emenike, Chijioke/E-7615-2015; Shahul Hamid, Fauziah/B-5213-2010</t>
  </si>
  <si>
    <t>Emenike, Chijioke/0000-0003-4306-0049; Shahul Hamid, Fauziah/0000-0002-4083-0602</t>
  </si>
  <si>
    <t>Institute of Research Management and Monitoring, University of Malaya [PV067/2012A]; International Foundation for Science [W/5095-1]</t>
  </si>
  <si>
    <t>Institute of Research Management and Monitoring, University of Malaya; International Foundation for Science(International Foundation for Science)</t>
  </si>
  <si>
    <t>The authors thank the Institute of Research Management and Monitoring, University of Malaya and International Foundation for Science for funding this research via grants, PV067/2012A and W/5095-1 respectively.</t>
  </si>
  <si>
    <t>SAGE PUBLICATIONS LTD</t>
  </si>
  <si>
    <t>1 OLIVERS YARD, 55 CITY ROAD, LONDON EC1Y 1SP, ENGLAND</t>
  </si>
  <si>
    <t>0734-242X</t>
  </si>
  <si>
    <t>1096-3669</t>
  </si>
  <si>
    <t>WASTE MANAGE RES</t>
  </si>
  <si>
    <t>Waste Manage. Res.</t>
  </si>
  <si>
    <t>10.1177/0734242X13492840</t>
  </si>
  <si>
    <t>286SE</t>
  </si>
  <si>
    <t>WOS:000329488200003</t>
  </si>
  <si>
    <t>Knezovic, Z; Trgo, M; Sutlovic, D</t>
  </si>
  <si>
    <t>Knezovic, Zlatka; Trgo, Marina; Sutlovic, Davorka</t>
  </si>
  <si>
    <t>Monitoring mercury environment pollution through bioaccumulation in meconium</t>
  </si>
  <si>
    <t>PROCESS SAFETY AND ENVIRONMENTAL PROTECTION</t>
  </si>
  <si>
    <t>Mercury pollution; Bioaccumulation; Environment; Meconium; Fish consumption; Human biomonitoring</t>
  </si>
  <si>
    <t>TRANSPLANTED MUSSELS; AIR-POLLUTION; EXPOSURE; FISH; SELENIUM; AMALGAM; CROATIA; LEAD; AAS</t>
  </si>
  <si>
    <t>In this study, bioaccumulation of mercury in humans was examined by performing analysis on 165 meconium samples of newborn children in Split and Dalmatian County. Total mercury determination was performed on the Advanced Mercury Analyser AMA 254 without previous sample preparation. Mercury was identified from all examined samples, where mean value of concentration for the whole studied group was 58.19 ng g(-1), median 35.69 ng g(-1) and concentration range from 3.04 to 394.69 ng g(-1), respectively. The analysis of the results showed correlation of mercury concentration in meconium with sociodemographic characteristics of the studied group such us living residence place, dietary habits and influence of amalgam fillings. The highest concentrations of mercury were observed in the group in which mothers consumed fish, particularly in the coastal living area. Slightly higher concentrations of mercury in samples were found in the urban living area compared to the rural residence. This was probably due to the strong effect of disposed mercury from the industrial plants into the environment of Split and Dalmatian County during last 50 years. The relation of sea food consumption and mercury content in meconium samples, confirms that food path is responsible for its bioaccumulation and biomagnification from the environment into the living organisms, particularly in humans. (C) 2016 Institution of Chemical Engineers. Published by Elsevier B.V. All rights reserved.</t>
  </si>
  <si>
    <t>[Knezovic, Zlatka] Publ Hlth Inst Split Dalmatian Cty, Vukovarska 44, Split 21000, Croatia; [Trgo, Marina] Univ Split, Fac Chem &amp; Technol, Teslina 10-V, Split 21000, Croatia; [Sutlovic, Davorka] Univ Hosp Ctr Split, Dept Pathol &amp; Forens Med, Spinciceva 1, Split 21000, Croatia; [Sutlovic, Davorka] Univ Split, Sch Med, Dept Forens Med, Split 21000, Croatia</t>
  </si>
  <si>
    <t>University of Split; University of Split; University of Split</t>
  </si>
  <si>
    <t>Knezovic, Z (corresponding author), Publ Hlth Inst Split Dalmatian Cty, Vukovarska 44, Split 21000, Croatia.</t>
  </si>
  <si>
    <t>zknezovi7@mail.com; mtrgo@ktf-split.hr; dsutlov@kbsplit.hr</t>
  </si>
  <si>
    <t>Trgo, Marina/G-9073-2017; Knezović, Zlatka/AAE-1563-2020; Sutlovic, Davorka/AAA-1432-2019</t>
  </si>
  <si>
    <t>Trgo, Marina/0000-0002-1665-3538; Knezovic, Zlatka/0000-0001-8425-8321</t>
  </si>
  <si>
    <t>INST CHEMICAL ENGINEERS</t>
  </si>
  <si>
    <t>RUGBY</t>
  </si>
  <si>
    <t>165-189 RAILWAY TERRACE, DAVIS BLDG, RUGBY CV21 3HQ, ENGLAND</t>
  </si>
  <si>
    <t>0957-5820</t>
  </si>
  <si>
    <t>1744-3598</t>
  </si>
  <si>
    <t>PROCESS SAF ENVIRON</t>
  </si>
  <si>
    <t>Process Saf. Environ. Protect.</t>
  </si>
  <si>
    <t>10.1016/j.psep.2016.01.013</t>
  </si>
  <si>
    <t>Engineering, Environmental; Engineering, Chemical</t>
  </si>
  <si>
    <t>Engineering</t>
  </si>
  <si>
    <t>DP4HH</t>
  </si>
  <si>
    <t>WOS:000378456500002</t>
  </si>
  <si>
    <t>Alyahya, H; El-Gendy, AH; Al Farraj, S; El-Hedeny, M</t>
  </si>
  <si>
    <t>Alyahya, Hamad; El-Gendy, Amel H.; Al Farraj, Saleh; El-Hedeny, Magdy</t>
  </si>
  <si>
    <t>Evaluation of Heavy Metal Pollution in the Arabian Gulf Using the Clam Meretrix meretrix Linnaeus, 1758</t>
  </si>
  <si>
    <t>Heavy metals; Clam; Meretrix meretrix; Pollution; Saudi Arabia; Arabian Gulf</t>
  </si>
  <si>
    <t>PINCTADA-RADIATA; TRACE-ELEMENTS; PEARL OYSTER; SAUDI COAST; HARD CLAM; BIOACCUMULATION; COPPER; SHELLFISH; MOLLUSKS; CADMIUM</t>
  </si>
  <si>
    <t>The present study is an attempt to assess the heavy metal contamination in the marine environment of the Arabian Gulf of Saudi Arabia. The concentrations of heavy metals in water and the soft tissues of the bivalve species Meretrix meretrix Linnaeus, 1758, from different stations along the Arabian Gulf coastline, were determined during the summer season of 2008. Bioaccumulation of some heavy metals (Cd, Pb, Cu, and Zn) in fresh parts of the clam (M. meretrix) was measured by an atomic absorption spectrophotometer. The average concentrations of heavy metals in the clam tissues were 0.224-0.908, 0.294-2.496, 3.528-8.196, and 12.864-24.56 mg/kg wet weight for Cd, Pb, Cu, and Zn, respectively. In water, the mean concentration values of these metals were arranged in the following descending order: Pb &gt; Cu &gt; Zn &gt; Cd. The heavy metal concentrations in tissues of M. meretrix were within the acceptable standards set by the US Environmental Protection Agency, the Commission Europ,enne, and the Food and Drug Administration of the USA. From the human public health point of view, these results seem to show no possibility of acute toxicities of Cd, Cu, Pb, and Zn if the edible clam is consumed. It is recommended that relevant authorities should carry out a continual assessment on the levels of these pollutants in the studied area.</t>
  </si>
  <si>
    <t>[Alyahya, Hamad; Al Farraj, Saleh; El-Hedeny, Magdy] King Saud Univ, Dept Sci, Coll Teachers, Riyadh, Saudi Arabia; [El-Gendy, Amel H.] Univ Alexandria, Fac Sci, Dept Zool, Alexandria, Egypt</t>
  </si>
  <si>
    <t>King Saud University; Egyptian Knowledge Bank (EKB); Alexandria University</t>
  </si>
  <si>
    <t>El-Hedeny, M (corresponding author), King Saud Univ, Dept Sci, Coll Teachers, Riyadh, Saudi Arabia.</t>
  </si>
  <si>
    <t>melhedeny@ksu.edu.sa</t>
  </si>
  <si>
    <t>Alfarraj, Saleh/AHE-7705-2022; Hedeny, Magdy/W-1159-2019; El Hedeny, Magdy/C-7831-2018</t>
  </si>
  <si>
    <t>El Hedeny, Magdy/0000-0002-6083-6817</t>
  </si>
  <si>
    <t>Research Center, College of Teachers, King Saud University; Center of Excellence for Biodiversity Research, College of Science, King Saud University, Riyadh, Kingdom of Saudi Arabia [BIO/2010/3]</t>
  </si>
  <si>
    <t>Research Center, College of Teachers, King Saud University(King Saud University); Center of Excellence for Biodiversity Research, College of Science, King Saud University, Riyadh, Kingdom of Saudi Arabia(King Saud University)</t>
  </si>
  <si>
    <t>The authors would like to thank the Research Center, College of Teachers, King Saud University and the Center of Excellence for Biodiversity Research, College of Science, King Saud University, Riyadh, Kingdom of Saudi Arabia for supporting this project (BIO/2010/3).</t>
  </si>
  <si>
    <t>SPRINGER INTERNATIONAL PUBLISHING AG</t>
  </si>
  <si>
    <t>10.1007/s11270-010-0441-x</t>
  </si>
  <si>
    <t>696VF</t>
  </si>
  <si>
    <t>WOS:000285468800040</t>
  </si>
  <si>
    <t>Besada, V; Fumega, J; Vaamonde, A</t>
  </si>
  <si>
    <t>Temporal trends of Cd, Cu, Hg, Pb and Zn in mussel (Mytilus galloprovincialis) from the Spanish North-Atlantic coast 1991-1999</t>
  </si>
  <si>
    <t>Mytilus galloprovincialis; heavy metals; pollution monitoring; trends; Spain; JAMP</t>
  </si>
  <si>
    <t>EDULIS; VARIABILITY; TISSUES; SPAIN; RIAS</t>
  </si>
  <si>
    <t>Temporal trends for heavy metals (Cd, Cu, Hg, Pb and Zn) in mussel (Mytilus galloprovincialis) from the Galician and Cantabrian areas in Spain, where samples were yearly collected from 1991 to 1999, are presented. This study was carried out by the Centro Oceanografico de Vigo of the Instituto Espanol de Oceanografia (I.E.O.) as part of the Spanish contribution to the Joint Assessment and Monitoring Programme (JAMP) of the OSPAR Convention. The experimental work and subsequent statistical treatment, following OSPAR procedures and guidelines, are described. In order to carry out the statistical treatment of the data, median values of the different shell length classes were used for each contaminant, year and area. The Kendall tau-b correlation coefficient was used with the purpose of demonstrating the existence of a downward significant temporal trend in the pollution levels, according to the advice of ICES Working Group on Statistical Aspects of Environmental Monitoring. A decrease of copper levels was detected in Vigo, Pontevedra and Arosa, of mercury in Pontevedra and A Coruna, of lead in Vigo, Pontevedra, A Coruna and Bilbao and of zinc in Pontevedra and A Coruna. However, a cadmium positive trend was registered at Ria de Vigo. No significant trends were detected in the other cases. (C) 2002 Elsevier Science B.V. All rights reserved.</t>
  </si>
  <si>
    <t>Inst Espanol Oceanog, Ctr Oceanog Vigo, Vigo 36280, Spain; Univ Vigo, Dept Estad, Vigo, Spain</t>
  </si>
  <si>
    <t>Spanish Institute of Oceanography; Universidade de Vigo</t>
  </si>
  <si>
    <t>Besada, V (corresponding author), Inst Espanol Oceanog, Ctr Oceanog Vigo, Apdo 1552, Vigo 36280, Spain.</t>
  </si>
  <si>
    <t>Liste, Antonio/L-2799-2017; Besada, Victoria/H-4532-2015; Fumega, Jose/E-9362-2011</t>
  </si>
  <si>
    <t>Besada, Victoria/0000-0003-2039-6498; Fumega, Jose/0000-0002-0425-998X</t>
  </si>
  <si>
    <t>PII S0048-9697(01)01010-5</t>
  </si>
  <si>
    <t>10.1016/S0048-9697(01)01010-5</t>
  </si>
  <si>
    <t>539YJ</t>
  </si>
  <si>
    <t>WOS:000174900400006</t>
  </si>
  <si>
    <t>Mai, H; Cachot, J; Brune, J; Geffard, O; Belles, A; Budzinski, H; Morin, B</t>
  </si>
  <si>
    <t>Mai, Huong; Cachot, Jerome; Brune, Justine; Geffard, Oliver; Belles, Angel; Budzinski, Helene; Morin, Benedicte</t>
  </si>
  <si>
    <t>Embryotoxic and genotoxic effects of heavy metals and pesticides on early life stages of Pacific oyster (Crassostrea gigas)</t>
  </si>
  <si>
    <t>Genotoxicity; Embryotoxicity; Pacific oyster; Heavy metals; Irgarol; Metolachlor</t>
  </si>
  <si>
    <t>COMPOUND IRGAROL 1051; PAINT BOOSTER BIOCIDES; ANTIFOULING BIOCIDES; OXIDATIVE STRESS; STRAND BREAKS; COMET ASSAY; DNA-REPAIR; TOXICITY; CADMIUM; COPPER</t>
  </si>
  <si>
    <t>This study evaluated embryotoxicity and genotoxicity of two dissolved metals copper and cadmium (Cu and Cd) and two pesticides (metolachlor and irgarol) occurring in Arcachon Bay (SW France) in Pacific oyster (Crassostrea gigas) larvae and investigated the relationship between those two endpoints. Embrytoxicity was measured by calculating the percentage of abnormal D-shaped larvae and genotoxicity was evaluated with DNA strand breaks using the comet assay. After 24 h exposure, significant increases of the percentage of abnormal D-larvae and the DNA strand breaks were observed from 0.1 mu g L-1 for Cu, 10 mu g L-1 for Cd and 0.01 mu g L-1 for both irgarol and metolachlor in comparison with the controls. A strong positive relationship between embryotoxicity and genotoxicity was recorded for Cu, Cd and metolachlor. The current study suggests that copper, irgarol and metolachlor can induce larval abnormalities and DNA damage in a population of exposed oysters at environmentally relevant concentrations. (C) 2012 Elsevier Ltd. All rights reserved.</t>
  </si>
  <si>
    <t>[Mai, Huong; Cachot, Jerome; Brune, Justine; Belles, Angel; Budzinski, Helene; Morin, Benedicte] Univ Bordeaux, EPOC LPTC, UMR 5805, F-33400 Talence, France; [Mai, Huong; Cachot, Jerome; Brune, Justine; Geffard, Oliver; Belles, Angel; Budzinski, Helene; Morin, Benedicte] CNRS, EPOC LPTC, UMR 5805, F-33400 Talence, France; [Geffard, Oliver] Irstea, Unite Rech Milieux Aquat UR MALY, F-69336 Lyon, France</t>
  </si>
  <si>
    <t>Centre National de la Recherche Scientifique (CNRS); Universite de Bordeaux; CNRS - National Institute for Earth Sciences &amp; Astronomy (INSU); Centre National de la Recherche Scientifique (CNRS); CNRS - National Institute for Earth Sciences &amp; Astronomy (INSU); INRAE</t>
  </si>
  <si>
    <t>Morin, B (corresponding author), Univ Bordeaux, EPOC LPTC, UMR 5805, F-33400 Talence, France.</t>
  </si>
  <si>
    <t>b.morin@epoc.u-bordeaux1.fr</t>
  </si>
  <si>
    <t>Cachot, Jerome/0000-0002-1492-9684; BUDZINSKI, Helene/0000-0001-5282-9011; Geffard, olivier/0000-0001-7760-4644; Morin, Benedicte/0000-0003-4583-4319</t>
  </si>
  <si>
    <t>University of Sciences and Technology of Hanoi; french National Research Agency [ANR-09-CESA-005]; Aquitaine Region (OSQUAR project); CPER [A2E]; European Union with the European fund of regional development; Interreg [A2E] Funding Source: Interreg</t>
  </si>
  <si>
    <t>University of Sciences and Technology of Hanoi; french National Research Agency(Agence Nationale de la Recherche (ANR)); Aquitaine Region (OSQUAR project)(Region Nouvelle-Aquitaine); CPER; European Union with the European fund of regional development; Interreg(Interreg Europe)</t>
  </si>
  <si>
    <t>Huong Mai is supported by a University of Sciences and Technology of Hanoi Ph.D. studentship. The authors would like to acknowledge the French and Vietnamese Governments. This study was supported by the french National Research Agency, under reference ANR-09-CESA-005, Aquitaine Region (OSQUAR project) and CPER A2E. This project is co-financed by the European Union with the European fund of regional development. The authors are grateful to the Reseau of surveillance of pesticides on Arcachon Bay (REPAR) for helpful discussion.</t>
  </si>
  <si>
    <t>10.1016/j.marpolbul.2012.10.009</t>
  </si>
  <si>
    <t>068QH</t>
  </si>
  <si>
    <t>WOS:000313380800021</t>
  </si>
  <si>
    <t>Zhang, AG; Chen, XC; Zhang, R; Zhang, WW; Jin, CH; Li, CH</t>
  </si>
  <si>
    <t>Zhang, Anguo; Chen, Xiaocong; Zhang, Ran; Zhang, Weiwei; Jin, Chunhua; Li, Chenghua</t>
  </si>
  <si>
    <t>Identification of Relevant Biomarkers in Mercury Exposed Clam Venerupis philippinarum.</t>
  </si>
  <si>
    <t>ISRAELI JOURNAL OF AQUACULTURE-BAMIDGEH</t>
  </si>
  <si>
    <t>Venerupis philippinarum; biomarkers; mercury; antioxidant enzymes</t>
  </si>
  <si>
    <t>ANTIOXIDANT ENZYME-ACTIVITIES; OXIDATIVE STRESS BIOMARKERS; LIPID-PEROXIDATION; RUDITAPES-DECUSSATUS; CADMIUM EXPOSURE; DIGESTIVE GLAND; HEAVY-METALS; BOHAI SEA; GILLS; HEMOCYTES</t>
  </si>
  <si>
    <t>This study assessed the impact of four different concentrations (2.5, 5, 7.5, 10 mu g/L) of mercury exposure on Manila clam Venerupis philippinarum based on the dynamic characteristics of antioxidant related enzymes including superoxide dismutase (SOD), catalase (CAT), glutathione reductase (GR), acid phosphatase (ACP), alkaline phosphatase (ALP), total glutathione content, and malondialdehyde (MDA) content at 24 h and 48 h post exposure. The results showed that hemocyte SOD activity was inhibited while GR hemocyte activity significantly increased in the 2.5 mu g/L group after 24 h. Hemocyte ALP activity and (GSH) content were also elevated at the 7.5 mu g/L and 10 mu g/L groups when exposed for 24 h, respectively. SOD activity, GR activity, ALP activity and GSH content in the hemocytes were relatively sensitive to different concentrations of mercuric mercury (Hg2+), suggesting that they may act as potential biomarkers in assessing environmental mercury exposure on Venerupis philippinarum. At different levels of exposure, antioxidant parameters showed differing responses in gill tissue, but no biomarkers were discovered in the samples examined. We found that hemocytes are more suitable biomarkers than proteins in gill tissue. Some hemocyte biomarkers are promising candidates for monitoring mercury pollution in marine clams.</t>
  </si>
  <si>
    <t>[Zhang, Anguo; Chen, Xiaocong; Zhang, Ran; Zhang, Weiwei; Jin, Chunhua; Li, Chenghua] Ningbo Univ, Sch Marine Sci, Ningbo 315211, Zhejiang, Peoples R China; [Zhang, Anguo] Dalian Ocean Univ, Coll Fisheries &amp; Life Sci, Dalian 116023, Peoples R China</t>
  </si>
  <si>
    <t>Ningbo University; Dalian Ocean University</t>
  </si>
  <si>
    <t>Li, CH (corresponding author), Ningbo Univ, Sch Marine Sci, Ningbo 315211, Zhejiang, Peoples R China.</t>
  </si>
  <si>
    <t>lichenghua@nbu.edu.cn</t>
  </si>
  <si>
    <t>Zhang, Wei/HOF-7252-2023</t>
  </si>
  <si>
    <t>Project of International Cooperation in the Zhejiang province [2012C24022]; Key Laboratory of Marine Ecology and Environment &amp; Disaster Prevention and Mitigation of Shandong Province [201408]; K.C. Wong Magna Fund at Ningbo University; Academy of Finland (AKA) [201408] Funding Source: Academy of Finland (AKA)</t>
  </si>
  <si>
    <t>Project of International Cooperation in the Zhejiang province; Key Laboratory of Marine Ecology and Environment &amp; Disaster Prevention and Mitigation of Shandong Province; K.C. Wong Magna Fund at Ningbo University; Academy of Finland (AKA)(Research Council of Finland)</t>
  </si>
  <si>
    <t>This work was financially supported by the Project of International Cooperation in the Zhejiang province (2012C24022), the Key Laboratory of Marine Ecology and Environment &amp; Disaster Prevention and Mitigation of Shandong Province (No. 201408), and the K.C. Wong Magna Fund at Ningbo University.</t>
  </si>
  <si>
    <t>ASHRAT</t>
  </si>
  <si>
    <t>KIBBUTZ EIN HAMIFRATZ, D N, ASHRAT, 25210, ISRAEL</t>
  </si>
  <si>
    <t>0792-156X</t>
  </si>
  <si>
    <t>ISR J AQUACULT-BAMID</t>
  </si>
  <si>
    <t>Isr. J. Aquac.-Bamidgeh</t>
  </si>
  <si>
    <t>EF8SG</t>
  </si>
  <si>
    <t>WOS:000390599100001</t>
  </si>
  <si>
    <t>Zhu, B; Gao, KS; Wang, KJ; Ke, CH; Huang, HQ</t>
  </si>
  <si>
    <t>Zhu, Bo; Gao, Kun-Shan; Wang, Ke-Jian; Ke, Cai-Huan; Huang, He-Qing</t>
  </si>
  <si>
    <t>Gonad differential proteins revealed with proteomics in oyster (Saccostrea cucullata) using alga as food contaminated with cadmium</t>
  </si>
  <si>
    <t>Cadmium; Oyster; Gonad proteomics; Biomarkers; Food chain</t>
  </si>
  <si>
    <t>OXIDATIVE STRESS; METALS; SPERMATOGENESIS; RESPONSES; KINASES; SOIL; TOXICOPROTEOMICS; METALLOTHIONEIN; ACCUMULATION; MICROTUBULES</t>
  </si>
  <si>
    <t>As mercury and lead, cadmium (Cd) is one of the highly toxic metals in both the ocean and land environments, but its toxicological mechanism in organisms including human is still unclear because of the complex toxicological pathways in vivo. Here, the alga Chlorella vulgaris were cultivated at room temperature under the stress of cadmium (1 mg L-1) to obtain a toxic food, and then the contaminated food were directly supplied to oyster (Saccostrea cucullata) in seawater. After feeding with C. vulgaris contaminated with Cd (C. vulgaris-Cd), the differential proteins in the oyster gonad (OG) were effectively separated and identified with proteomic approaches. Eleven protein spots were observed to be significantly changed in the OG feeding with C vulgaris-Cd, which seven spots of these differential proteins were down-regulated while four spots were up-regulated. These altered spots were further excised in gels and identified by a combined technique of matrix-assisted laser desorption/ionization time-of-flight mass spectrometry (MALDI-TOF/TOF MS) and database searching. A portion of these differential proteins were further proofed by real-time PCR and Western blotting. The results indicate that the major functions of these differential proteins were described as follows: binding, protein translocation, catalysis, regulation of energy metabolism, reproductive function and skeleton structure. These differential proteins in part may effectively provide a few novel biomarkers for the evaluation of Cd pollution level via a food pathway for harming halobios, mammal and human health, and for understanding the complex mechanisms of Cd toxicity in vivo. (C) 2011 Elsevier Ltd. All rights reserved.</t>
  </si>
  <si>
    <t>[Zhu, Bo; Huang, He-Qing] Xiamen Univ, Sch Life Sci, State Key Lab Cellular Stress Biol, Xiamen 361005, Peoples R China; [Gao, Kun-Shan; Wang, Ke-Jian; Ke, Cai-Huan; Huang, He-Qing] Xiamen Univ, State Key Lab Marine Environm Sci, Xiamen 361005, Peoples R China; [Huang, He-Qing] Xiamen Univ, Coll Chem &amp; Chem Engn, Key Lab Chem Biol Fujian Prov, Xiamen 361005, Peoples R China</t>
  </si>
  <si>
    <t>Xiamen University; Xiamen University; Xiamen University</t>
  </si>
  <si>
    <t>Huang, HQ (corresponding author), Xiamen Univ, Sch Life Sci, State Key Lab Cellular Stress Biol, Xiamen 361005, Peoples R China.</t>
  </si>
  <si>
    <t>hqhuang@xmu.edu.cn</t>
  </si>
  <si>
    <t>Huang, HQ/G-4093-2010; Ke, CH/G-4635-2010; gao, kunshan/G-3374-2010; Wang, KJ/G-4609-2010</t>
  </si>
  <si>
    <t>Gao, Kunshan/0000-0001-7365-6332</t>
  </si>
  <si>
    <t>State Natural Science Fund [40776060]; 973 Projects [2010CB126403]; PCSIRT, China [IRT0941]</t>
  </si>
  <si>
    <t>State Natural Science Fund(National Natural Science Foundation of China (NSFC)); 973 Projects(National Basic Research Program of China); PCSIRT, China(Program for Changjiang Scholars &amp; Innovative Research Team in University (PCSIRT))</t>
  </si>
  <si>
    <t>This work was funded by Grants from the State Natural Science Fund (No. 40776060), 973 Projects (No. 2010CB126403), and the PCSIRT Project (IRT0941), China. We thank Professor John Hodgkiss for assistance with the English in this manuscript.</t>
  </si>
  <si>
    <t>10.1016/j.chemosphere.2011.12.032</t>
  </si>
  <si>
    <t>915RR</t>
  </si>
  <si>
    <t>WOS:000302045600015</t>
  </si>
  <si>
    <t>Ferreira, CP; Bastolla, CLV; Saldaña-Serrano, M; Lima, D; Gomes, CHAD; Schroeder, DC; Bainy, ACD; Lüchmann, KH</t>
  </si>
  <si>
    <t>Ferreira, Clarissa P.; Bastolla, Camila L. V.; Saldana-Serrano, Miguel; Lima, Daina; de M. Gomes, Carlos H. A.; Schroeder, Declan C.; Bainy, Afonso C. D.; Luchmann, Karim H.</t>
  </si>
  <si>
    <t>Effects of cadmium and zinc on gene expression of novel molecular biomarkers in the mangrove oyster Crassostrea gasar</t>
  </si>
  <si>
    <t>Metals; Oysters; Pollution biomarkers; Biomonitoring</t>
  </si>
  <si>
    <t>GLUTATHIONE BIOSYNTHESIS; METAL CONCENTRATIONS; BIOACCUMULATION; GIGAS; WATER; RESPONSES; EXPOSURE; SOUTH; PROTECTION; TURNOVER</t>
  </si>
  <si>
    <t>Metal contamination impacts various aquatic species, and mollusk bivalves are appropriate sentinel organisms in coastal pollution assessment. Metal exposure can disrupt homeostasis, alter gene expression, and harm cellular processes. However, organisms have evolved mechanisms to regulate metal ions and counteract their toxicity. This study examined the effect of acute cadmium (Cd) and zinc (Zn) on metal-related gene expression in gills of Crassostrea gasar following 24 and 48 h of laboratory exposure. We focused on Zn transport, metallothionein (MT), glutathione (GSH) biosynthesis, and calcium (Ca) transporter genes to understand the underlying Cd and Zn-accumulating mechanisms that prevent metal toxicity. Our findings revealed increased Cd and Zn levels in oyster gills, with significantly higher accumulation after 48 h. C. gasar accumulated high Cd concentrations even in scarce conditions and increased Zn levels, suggesting a strategy to cope with toxicity. While no significant gene expression differences were observed after 24 h, the increased metal accumulation after 48 h led to upregulation of CHAC1, GCLC, ZnT2, and MT-like genes in oysters exposed to Cd, and increased ZnT2-like expression following exposure to higher Cd/Zn mixtures. We found evidence of oysters may mobilize metal-related genes to mitigate Cd-induced toxicity by both chelating metals and/or reducing their intracellular concentrations. The observed genes upregulation also indicates their sensitivity to changes in metal bioavailability. Overall, this study offers insights into oyster mechanisms for coping with metal toxicity and suggests ZnT2, MT, CHAC1, and GCLC-like as molecular biomarkers for monitoring aquatic metal pollution using C. gasar as sentinel species.</t>
  </si>
  <si>
    <t>[Ferreira, Clarissa P.] Santa Catarina State Univ, Multicentr Grad Program Biochem &amp; Mol Biol PMBqBM, BR-88520000 Lages, Brazil; [Bastolla, Camila L. V.; Saldana-Serrano, Miguel; Lima, Daina; Bainy, Afonso C. D.] Univ Fed Santa Catarina, Lab Biomarkers Aquat Contaminat &amp; Immunochem LABCA, BR-88034257 Florianopolis, SC, Brazil; [de M. Gomes, Carlos H. A.] Univ Fed Santa Catarina, Ctr Agr Sci, Dept Aquaculture, Lab Marine Mollusks LMM, Florianopolis, SC, Brazil; [Schroeder, Declan C.] Univ Minnesota, Dept Vet Populat Med, St Paul, MN 55108 USA; [Schroeder, Declan C.] Univ Reading, Sch Biol Sci, Reading, England; [Luchmann, Karim H.] Santa Catarina State Univ, Dept Sci &amp; Technol Educ, BR-88035001 Florianopolis, SC, Brazil</t>
  </si>
  <si>
    <t>Universidade do Estado de Santa Catarina; Universidade Federal de Santa Catarina (UFSC); Universidade Federal de Santa Catarina (UFSC); University of Minnesota System; University of Minnesota Twin Cities; University of Reading; Universidade do Estado de Santa Catarina</t>
  </si>
  <si>
    <t>Lüchmann, KH (corresponding author), Santa Catarina State Univ, Dept Sci &amp; Technol Educ, BR-88035001 Florianopolis, SC, Brazil.</t>
  </si>
  <si>
    <t>Lima, Daína/G-8008-2019; Schroeder, Declan/O-9131-2019; Bainy, Afonso/J-6097-2012; Pellegrini Ferreira, Clarissa/R-7208-2017</t>
  </si>
  <si>
    <t>Lima, Daina/0000-0003-0018-9360; Lisarb Velasquez Bastolla, Camila/0000-0002-1446-9104; Pellegrini Ferreira, Clarissa/0000-0001-8340-2424; SALDANA SERRANO, MIGUEL ANGEL/0000-0003-4992-8996; Schroeder, Declan/0000-0001-5991-2838; Bainy, Afonso/0000-0002-3885-7718</t>
  </si>
  <si>
    <t>Postgraduate Monitoring Scholarship Program (PROMOP) from Santa Catarina State University (UDESC) , Brazil; Guest Student at the Veterinary Population Medicine Department at the University of Minnesota; Doctoral Sandwich Abroad Program (PDSE/CAPES); CNPq; Santa Catarina State University (UDESC), Brazil; Doctoral Sandwich Abroad Program (PDSE/ CAPES) [88881.624591/2021-01]; CNPq productivity fellowship</t>
  </si>
  <si>
    <t>Postgraduate Monitoring Scholarship Program (PROMOP) from Santa Catarina State University (UDESC) , Brazil; Guest Student at the Veterinary Population Medicine Department at the University of Minnesota; Doctoral Sandwich Abroad Program (PDSE/CAPES); CNPq(Conselho Nacional de Desenvolvimento Cientifico e Tecnologico (CNPQ)); Santa Catarina State University (UDESC), Brazil; Doctoral Sandwich Abroad Program (PDSE/ CAPES); CNPq productivity fellowship(Conselho Nacional de Desenvolvimento Cientifico e Tecnologico (CNPQ))</t>
  </si>
  <si>
    <t>CPF was supported by the fellowship of Postgraduate Monitoring Scholarship Program (PROMOP) from Santa Catarina State University (UDESC), Brazil. CPF was a Guest Student at the Veterinary Population Medicine Department at the University of Minnesota, and the scholarship was supported by the Doctoral Sandwich Abroad Program (PDSE/ CAPES, 88881.624591/2021-01). ACDB is recipient of the CNPq productivity fellowship.</t>
  </si>
  <si>
    <t>10.1016/j.cbpc.2023.109641</t>
  </si>
  <si>
    <t>P9BP7</t>
  </si>
  <si>
    <t>WOS:001053558000001</t>
  </si>
  <si>
    <t>Beldi, H; Gimbert, F; Maas, S; Scheifler, R; Soltani, N</t>
  </si>
  <si>
    <t>Beldi, Hayette; Gimbert, Frederic; Maas, Samuel; Scheifler, Renaud; Soltani, Noureddine</t>
  </si>
  <si>
    <t>Seasonal variations of Cd, Cu, Pb and Zn in the edible mollusc Donax trunculus (Mollusca, Bivalvia) from the gulf of Annaba, Algeria</t>
  </si>
  <si>
    <t>AFRICAN JOURNAL OF AGRICULTURAL RESEARCH</t>
  </si>
  <si>
    <t>bivalve molluscs; Donax trunculus; environmental contamination; trace heavy metals; biomonitoring</t>
  </si>
  <si>
    <t>HEAVY-METAL CONCENTRATIONS; MEDITERRANEAN SEA; POLLUTION; MUSSELS; COASTAL; BEACH</t>
  </si>
  <si>
    <t>Seasonal variations in the concentrations of four trace heavy metals (cadmium (Cd), copper (Cu), lead (Pb) and zinc (Zn)) were determined in Donax trunculus (Mollusca, Bivalvia) at two contaminated sites in the gulf of Annaba (East of Algeria): El Battah and Sidi Salem. The average concentrations of the metals exhibited the following order: Zn&gt;Cu&gt;Pb&gt;Cd for the two sites. The statistical analysis revealed a significant effect of seasons for all metals measured, the highest values being recorded in winter for Zn and in summer for the other metals. Contrary to expectation, both sites were contaminated with trace heavy metals analysed. Although the highest levels were detected in Sidi Salem beach, there was no significant difference on trace heavy metal concentrations between sites, except for Cd. The implication of this metal contamination for local population was discussed.</t>
  </si>
  <si>
    <t>[Beldi, Hayette; Soltani, Noureddine] Univ Annaba, Dept Biol, Lab Appl Anim Biol, Annaba 23000, Algeria; [Gimbert, Frederic; Maas, Samuel; Scheifler, Renaud] Univ Franche Comte, INRA, Dept Environm Biol, EA MR USC 3184, F-25030 Besancon, France</t>
  </si>
  <si>
    <t>Universite Badji Mokhtar - Annaba; Universite de Franche-Comte; INRAE</t>
  </si>
  <si>
    <t>Soltani, N (corresponding author), Univ Annaba, Dept Biol, Lab Appl Anim Biol, Annaba 23000, Algeria.</t>
  </si>
  <si>
    <t>nsolt@yahoo.fr</t>
  </si>
  <si>
    <t>SOLTANI, noureddine/Z-4919-2019; Scheifler, Renaud/H-2971-2014</t>
  </si>
  <si>
    <t>ACADEMIC JOURNALS</t>
  </si>
  <si>
    <t>VICTORIA ISLAND</t>
  </si>
  <si>
    <t>P O BOX 5170-00200 NAIROBI, VICTORIA ISLAND, LAGOS 73023, NIGERIA</t>
  </si>
  <si>
    <t>1991-637X</t>
  </si>
  <si>
    <t>AFR J AGR RES</t>
  </si>
  <si>
    <t>Afr. J. Agric. Res.</t>
  </si>
  <si>
    <t>Agriculture, Multidisciplinary</t>
  </si>
  <si>
    <t>Agriculture</t>
  </si>
  <si>
    <t>V59WJ</t>
  </si>
  <si>
    <t>WOS:000204046500002</t>
  </si>
  <si>
    <t>Sikdokur, E; Belivermis, M; Sezer, N; Pekmez, M; Bulan, ÖK; Kiliç, Ö</t>
  </si>
  <si>
    <t>Sikdokur, Ercan; Belivermis, Murat; Sezer, Narin; Pekmez, Murat; Bulan, Omur Karabulut; Kilic, Onder</t>
  </si>
  <si>
    <t>Effects of microplastics and mercury on manila clam Ruditapes philippinarum: Feeding rate, immunomodulation, histopathology and oxidative stress</t>
  </si>
  <si>
    <t>Microplastics (MPs); Mercury (Hg); Manila clam; Bioaccumulation; Biomarkers</t>
  </si>
  <si>
    <t>GOBY POMATOSCHISTUS-MICROPS; MYTILUS-EDULIS; POLYSTYRENE MICROPLASTICS; CORBICULA-FLUMINEA; INORGANIC MERCURY; BLUE MUSSEL; QUANTITATIVE-ANALYSIS; VIRGIN MICROPLASTICS; MARINE-ENVIRONMENT; IMMUNE-RESPONSES</t>
  </si>
  <si>
    <t>Plastic pollution, which is one of the most important environmental problems at the present time, has been understood recently, and the effects of this pollution on ecosystem and biota are becoming a growing problem, especially in the aquatic ecosystems. Direct or indirect exposure to those particles leads to adverse effects on marine organisms. In the marine environment, plastic materials interact with other pollutants such as metals, thereby affecting the uptake levels of those pollutants in marine organisms. In the present study, the Manila clam Ruditapes philippinarum was exposed to polyethylene microbeads and mercury chloride in single, combined and incubated form at environmentally relative concentrations for one week in controlled laboratory conditions. The uptake and tissue distribution of both stressors as well as the vector role of microplastics on mercury uptake in the organisms were investigated. Filtration rates, biomarkers for immunomodulation and oxidative stress, and histological alterations were also evaluated. Microplastics were ingested by the clams, and translocated to the various tissues. However, contaminated microplastics displayed a negligible vector role in terms of mercury bioaccumulation in the clams. The single and interactive exposure of the stressors reduced the filtration rate in the clams. Both pollutants affected the immune system of the organisms. Histological alterations were determined in the gill and digestive gland tissues of the clams among the treatment groups, although oxidative stress biomarkers remained unchanged. This study suggests that the vector role of polyethylene microplastics in mercury uptake is negligible and reveals that the single and interactive one-week exposure of two pollutants induce toxicity in the manila clams. (C) 2020 Elsevier Ltd. All rights reserved.</t>
  </si>
  <si>
    <t>[Sikdokur, Ercan] Istanbul Univ, Inst Grad Studies Sci, Istanbul, Turkey; [Belivermis, Murat; Sezer, Narin; Bulan, Omur Karabulut; Kilic, Onder] Istanbul Univ, Fac Sci, Dept Biol, TR-34134 Istanbul, Turkey; [Pekmez, Murat] Istanbul Univ, Fac Sci, Dept Mol Biol &amp; Genet, TR-34134 Istanbul, Turkey</t>
  </si>
  <si>
    <t>Istanbul University; Istanbul University; Istanbul University</t>
  </si>
  <si>
    <t>Kiliç, Ö (corresponding author), Istanbul Univ, Fac Sci, Dept Biol, TR-34134 Istanbul, Turkey.</t>
  </si>
  <si>
    <t>kilic_onder@yahoo.com</t>
  </si>
  <si>
    <t>KILIÇ, ÖNDER/AAC-5645-2020; bulan, omur/AAD-1906-2020; PEKMEZ, MURAT/A-8857-2018; Belivermis, Murat/AAC-8059-2020; Sikdokur, Ercan/JAC-9607-2023</t>
  </si>
  <si>
    <t>Kilic, Onder/0000-0002-1765-6036; Sezer, Narin/0000-0002-3659-722X; Belivermis, Murat/0000-0003-4826-5246; Sikdokur, Ercan/0000-0002-6170-2300</t>
  </si>
  <si>
    <t>Scientific Research Projects Coordination Unit of Istanbul University [30538]</t>
  </si>
  <si>
    <t>Scientific Research Projects Coordination Unit of Istanbul University(Istanbul University)</t>
  </si>
  <si>
    <t>The study was funded by the Scientific Research Projects Coordination Unit of Istanbul University. Project number: 30538. We are grateful to Melis Coremen and Erol Sari for their technical assistance.</t>
  </si>
  <si>
    <t>10.1016/j.envpol.2020.114247</t>
  </si>
  <si>
    <t>LO3JG</t>
  </si>
  <si>
    <t>WOS:000533524300072</t>
  </si>
  <si>
    <t>Micheletti, C; Critto, A; Carlon, C; Marcomini, A</t>
  </si>
  <si>
    <t>Ecological risk assessment of persistent toxic substances for the clam Tapes philipinarum in the Lagoon of Venice, Italy</t>
  </si>
  <si>
    <t>ecological risk assessment; Tapes philipinarum; bioaccumulation; organic pollutants; inorganic pollutants</t>
  </si>
  <si>
    <t>SEDIMENTS; SALINITY; BIOTA</t>
  </si>
  <si>
    <t>Because of contamination of sediments of the Lagoon of Venice, Italy, by inorganic pollutants (e.g., arsenic, cadmium, chromium, copper, lead, mercury, nickel, and zinc) and organic pollutants (e.g., polychlorobiphenyls), as well as the ecological and economical relevance of the edible clam Tapes philipinarum, an ecological risk assessment was undertaken to ascertain the extent of bioaccumulation that would pose a significant risk. Risk was estimated by means of toxic units and hazard quotient approaches, by comparing the exposure concentration with the effect concentration. Clam exposure was estimated by applying previous results based on bioaccumulation spatial regression models. In addition, a comparison was made between sum of dioxinlike polychlorinated biphenyl (PCB) congeners and total PCB bioaccumulation provided by spatial regression models and by a partitioning model. The effect concentrations were calculated as tissue screening concentrations, as the product of pollutant sediment quality criteria and the bioaccumulation factor. Finally, the cumulative risk posed by selected inorganic pollutants and total PCBs was estimated and a map of risk was drawn. The resulting chemicals of potential ecological concern were mercury, cadmium, arsenic, and nickel, as well as, to a lesser extent, total PCBs.</t>
  </si>
  <si>
    <t>Univ Venice, Dept Environm Sci, I-30123 Venice, Italy</t>
  </si>
  <si>
    <t>Universita Ca Foscari Venezia</t>
  </si>
  <si>
    <t>Marcomini, A (corresponding author), Univ Venice, Dept Environm Sci, Calle Larga S Marta 2137, I-30123 Venice, Italy.</t>
  </si>
  <si>
    <t>marcom@unive.it</t>
  </si>
  <si>
    <t>Marcomini, Antonio/JSL-7114-2023</t>
  </si>
  <si>
    <t>Critto, Andrea/0000-0001-8868-9057</t>
  </si>
  <si>
    <t>WILEY-BLACKWELL</t>
  </si>
  <si>
    <t>MALDEN</t>
  </si>
  <si>
    <t>COMMERCE PLACE, 350 MAIN ST, MALDEN 02148, MA USA</t>
  </si>
  <si>
    <t>10.1897/03-331</t>
  </si>
  <si>
    <t>826JO</t>
  </si>
  <si>
    <t>WOS:000221825600025</t>
  </si>
  <si>
    <t>Geng, N; Wang, C; Wang, PF; Qi, N; Ren, LX</t>
  </si>
  <si>
    <t>Geng, Nan; Wang, Chao; Wang, Peifang; Qi, Ning; Ren, Lingxiao</t>
  </si>
  <si>
    <t>Cadmium Accumulation and Metallothionein Response in the Freshwater Bivalve Corbicula fluminea Under Hydrodynamic Conditions</t>
  </si>
  <si>
    <t>Cadmium; Accumulation; Corbicula fluminea; Hydrodynamic conditions; Metallothionein</t>
  </si>
  <si>
    <t>CONTAMINATED SEDIMENTS; DREISSENA-POLYMORPHA; METALS; CD; BIOACCUMULATION; BIOAVAILABILITY; TISSUES; ZN; CU; QUANTIFICATION</t>
  </si>
  <si>
    <t>Freshwater bivalves such as Corbicula fluminea (Muller) are useful biomonitors for cadmium pollution because they absorb heavy metals and accumulate them in their tissues. We exposed C. fluminea in the laboratory to natural and cadmium (Cd)-spiked sediments below flowing water in order to evaluate the organisms' Cd accumulation and metallothionein (MT) response under hydrodynamic conditions. The accumulation of Cd and the induction of MT in C. fluminea were determined at 0, 1, 3, 6, 10, 16, and 23 days. Hydrodynamic conditions, represented by a water flow rate of 14 or 3.2 cm/s, increased Cd accumulation in the visceral mass, gill, foot, and mantle of C. fluminea in the first 3 or 6 days in the natural sediment. Cd concentrations in the C. fluminea tissues kept increasing over time in the three treatments, and significant differences were observed in Cd accumulation after 6 (visceral mass), 10 (foot) and 16 (gill and mantle) days among the three groups. The MT concentrations were barely affected by hydrodynamic conditions and were significantly linearly related to the Cd concentration in the visceral mass in the natural sediment and binomially related to it in the Cd-spiked sediment. Hydrodynamic conditions enhanced the accumulation of Cd in the soft tissues of C. fluminea, especially in the Cd-spiked sediment, but stronger hydrodynamic forces did not increase Cd accumulation. MT may be considered an indicator for Cd accumulation in C. fluminea under hydrodynamic conditions, but only when the Cd concentrations in the tissue remain below the toxic threshold values.</t>
  </si>
  <si>
    <t>[Geng, Nan; Wang, Chao; Wang, Peifang; Qi, Ning; Ren, Lingxiao] Hohai Univ, Coll Environm, Key Lab Integrated Regulat &amp; Resource Dept Shallo, Minist Educ, Nanjing 210098, Jiangsu, Peoples R China</t>
  </si>
  <si>
    <t>Hohai University</t>
  </si>
  <si>
    <t>Wang, PF (corresponding author), Hohai Univ, Coll Environm, Key Lab Integrated Regulat &amp; Resource Dept Shallo, Minist Educ, 1 Xikang Rd, Nanjing 210098, Jiangsu, Peoples R China.</t>
  </si>
  <si>
    <t>pfwang2005@hhu.edu.cn</t>
  </si>
  <si>
    <t>Wang, Chao/GXF-8353-2022</t>
  </si>
  <si>
    <t>National Science Fund for Distinguished Young Scholars [51225901]; Outstanding Youth Fund of Jiangsu Province [BK2012037]; National Science Funds for Creative Research Groups of China [51421006]; Program for Changjiang Scholars and Innovative Research Team in University [IRT13061]; National Natural Science Foundation of China [41430751, 51479065]; Priority Academic Program Development of Jiangsu Higher Education Institutions (PAPD)</t>
  </si>
  <si>
    <t>National Science Fund for Distinguished Young Scholars(National Natural Science Foundation of China (NSFC)National Science Fund for Distinguished Young Scholars); Outstanding Youth Fund of Jiangsu Province; National Science Funds for Creative Research Groups of China(Science Fund for Creative Research Groups); Program for Changjiang Scholars and Innovative Research Team in University(Program for Changjiang Scholars &amp; Innovative Research Team in University (PCSIRT)); National Natural Science Foundation of China(National Natural Science Foundation of China (NSFC)); Priority Academic Program Development of Jiangsu Higher Education Institutions (PAPD)</t>
  </si>
  <si>
    <t>We are grateful for grants from National Science Fund for Distinguished Young Scholars (No. 51225901), the Outstanding Youth Fund of Jiangsu Province (No. BK2012037), National Science Funds for Creative Research Groups of China (No. 51421006), Program for Changjiang Scholars and Innovative Research Team in University (No. IRT13061), Key Program of National Natural Science Foundation of China (No. 41430751), the National Natural Science Foundation of China (No. 51479065), and a Project Funded by the Priority Academic Program Development of Jiangsu Higher Education Institutions (PAPD).</t>
  </si>
  <si>
    <t>10.1007/s12011-015-0266-y</t>
  </si>
  <si>
    <t>CH7HO</t>
  </si>
  <si>
    <t>WOS:000354206800015</t>
  </si>
  <si>
    <t>Mercury accumulation in marine bivalves: Influences of biodynamics and feeding niche</t>
  </si>
  <si>
    <t>Mercury; Methylmercury; Bivalves; Biodynamics; Subcellular distribution; Feeding niche</t>
  </si>
  <si>
    <t>MYTILUS-GALLOPROVINCIALIS L.; TRACE-METAL CONCENTRATIONS; SCALLOP CHLAMYS-NOBILIS; INORGANIC MERCURY; BENTHIC MICROALGAE; DIGESTIVE GLAND; STABLE-ISOTOPES; HEAVY-METALS; FOOD WEBS; METHYLMERCURY</t>
  </si>
  <si>
    <t>Differences in the accumulation of mercury (Hg) in five species of marine bivalves, including scallops Chlamys nobilis, clams Ruditapes philippinarum, oysters Saccostrea cucullata, green mussels Perna viridis, and black mussels Septifer virgatus, were investigated. The bivalves displayed different patterns of Hg accumulation in terms of the body concentrations of methylmercury (MeHg) and total Hg (THg), as well as the ratio of MeHg to THg. Parameters of the biodynamics of the accumulation of Hg(II) and MeHg could reflect the species-dependent Hg concentrations in the bivalves. With the exception of black mussels, we found a significant relationship between the efflux rates of Hg(II) and the THg concentrations in the bivalves. The interspecific variations in the MeHg to THg ratio were largely controlled by the relative difference between the elimination rates of Hg(II) and MeHg. Stable isotope (delta(13)C) analysis indicated that the five bivalve species had contrasting feeding niches, which may also affect the Hg accumulation. (C) 2011 Elsevier Ltd. All rights reserved.</t>
  </si>
  <si>
    <t>[Pan, Ke; Wang, Wen-Xiong] Hong Kong Univ Sci &amp; Technol HKUST, Div Life Sci, Kowloon, Hong Kong, Peoples R China</t>
  </si>
  <si>
    <t>Wang, WX (corresponding author), Hong Kong Univ Sci &amp; Technol HKUST, Div Life Sci, Kowloon, Hong Kong, Peoples R China.</t>
  </si>
  <si>
    <t>Hong Kong Research Grants Council [663009, 662610]</t>
  </si>
  <si>
    <t>We thank Prof. Ling-Feng Huang and his student Mr. Xin-Qing Zheng of Xiamen University for their help in analyzing stable isotopes in this study. This study was supported by the General Research Funds from the Hong Kong Research Grants Council (663009 and 662610).</t>
  </si>
  <si>
    <t>10.1016/j.envpol.2011.06.029</t>
  </si>
  <si>
    <t>828HW</t>
  </si>
  <si>
    <t>WOS:000295493100038</t>
  </si>
  <si>
    <t>Franson, JC; Hollmén, T; Poppenga, RH; Hario, M; Kilpi, M</t>
  </si>
  <si>
    <t>Metals and trace elements in tissues of Common Elders (Somateria mollissima) from the Finnish archipelago</t>
  </si>
  <si>
    <t>ORNIS FENNICA</t>
  </si>
  <si>
    <t>POLLUTION; SELENIUM; MUSSELS; GROWTH; ALASKA; DUCKS; SEA</t>
  </si>
  <si>
    <t>We sampled Common Elders (Somateria mollissima) at five locations near coastal Finland in 1997 and 1998 for evidence of exposure to arsenic, cadmium, chromium, copper, iron, mercury, magnesium, manganese, molybdenum, lead, selenium, and zinc. Livers and kidneys were collected from adult males and females found dead and hunter-killed males, and livers were collected from ducklings. Two adult females, one of which had an ingested lead shot in its gizzard, were poisoned by lead. The concentrations of metals and trace elements that we found in tissues of elders, other than the two lead poisoned birds, were not high enough to have independently caused mortality.</t>
  </si>
  <si>
    <t>US Geol Survey, Natl Wildlife Hlth Res Ctr, Madison, WI 53711 USA; Univ Helsinki, Fac Med Vet, FIN-00014 Helsinki, Finland; Univ Penn, Sch Vet Med, Kennett Square, PA 19348 USA; Finnish Game &amp; Fisheries Res Inst, FIN-00721 Helsinki, Finland; Dept Systemat &amp; Ecol, FIN-00014 Helsinki, Finland</t>
  </si>
  <si>
    <t>United States Department of the Interior; United States Geological Survey; University of Helsinki; University of Pennsylvania; Natural Resources Institute Finland (Luke)</t>
  </si>
  <si>
    <t>Franson, JC (corresponding author), US Geol Survey, Natl Wildlife Hlth Res Ctr, 6006 Schroeder Rd, Madison, WI 53711 USA.</t>
  </si>
  <si>
    <t>Franson, J/0000-0002-0251-4238</t>
  </si>
  <si>
    <t>FINNISH ORNITHOLOGICAL SOC</t>
  </si>
  <si>
    <t>HELSINKI</t>
  </si>
  <si>
    <t>PO BOX 17 P RAUTATIEKATU 13,, FIN-00014 HELSINKI, FINLAND</t>
  </si>
  <si>
    <t>0030-5685</t>
  </si>
  <si>
    <t>Ornis Fenn.</t>
  </si>
  <si>
    <t>Ornithology</t>
  </si>
  <si>
    <t>334TH</t>
  </si>
  <si>
    <t>WOS:000088201400002</t>
  </si>
  <si>
    <t>Kaddour, A; Djellouli, F; Belhoucine, F; Alioua, A</t>
  </si>
  <si>
    <t>Kaddour, A.; Djellouli, F.; Belhoucine, F.; Alioua, A.</t>
  </si>
  <si>
    <t>HEAVY METAL BIOACCUMULATION AND GENOTOXICITY IN FISH (MERLUCCIUS MERLUCCIUS, LINNAEUS, 1758) FROM THE WESTERN ALGERIAN MEDITERRANEAN COAST</t>
  </si>
  <si>
    <t>micronucleus test; heavy metals; biomonitoring; Oran Bay; Merluccius merluccius</t>
  </si>
  <si>
    <t>MUSSELS MYTILUS-GALLOPROVINCIALIS; MICRONUCLEUS TEST; OREOCHROMIS-NILOTICUS; TRACE-ELEMENTS; INTEGRATED USE; COMET ASSAY; POLLUTION; RIVER; INDUCTION; INDEXES</t>
  </si>
  <si>
    <t>Heavy metals contamination in the coastal ecosystem is a source of major concern due to their toxic nature, persistence, and accumulative behaviours. The present study reports the seasonal variability of the biological responses of European hake (Merluccius merluccius, L.1758) collected from the Bay of Oran on the Algerian coast. Besides the condition indexes (gonadosomatic index GSI and Fulton's condition factor K) and the analysis of metallic trace elements: zinc (Zn), lead (Pb) and cadmium (Cd) in tissues, the micronucleus test was performed in erythrocyte and gill cells to assess the genotoxicity status of the fish. The results revealed a significant correlation between the two fish condition indexes, in link with their reproduction cycle. Highlighting the fact that the study site is under intense stress from toxic contaminants, a significant increase (p value &lt; 0.05) in the frequency of micronuclei occurrence, especially, in the summer period is correlated with significantly (p value &lt; 0.05) high levels of Zn, Pb and Cd. Thus, the test of micronucleus and pollution indicators may serve as a valuable tool in biomonitoring studies of the marine environment since they allowed to reveal genotoxic effects of the investigated fish populations and, consequently, the quality of their biotope.</t>
  </si>
  <si>
    <t>[Kaddour, A.; Belhoucine, F.; Alioua, A.] Univ Sci &amp; Technol Oran Mohamed Boudiaf USTO, Fac Nat &amp; Life Sci, Toxicol Environm &amp; Hlth Lab, BP 1505, Bir El Djir 31000, Oran, Algeria; [Djellouli, F.] Univ Oran, Fac Nat &amp; Life Sci, Dept Biol, BP 1524 El MNaouer, Oran 31000, Algeria</t>
  </si>
  <si>
    <t>Universite des Sciences et de la Technologie d'Oran Mohamed Boudiaf; Universite d'Oran</t>
  </si>
  <si>
    <t>Kaddour, A (corresponding author), Univ Sci &amp; Technol Oran Mohamed Boudiaf USTO, Fac Nat &amp; Life Sci, Toxicol Environm &amp; Hlth Lab, BP 1505, Bir El Djir 31000, Oran, Algeria.</t>
  </si>
  <si>
    <t>kaddourdjellouliamina@gmail.com</t>
  </si>
  <si>
    <t>CORVINUS UNIV BUDAPEST</t>
  </si>
  <si>
    <t>BUDAPEST</t>
  </si>
  <si>
    <t>VILLANYI UT 29/43, BUDAPEST, H-1118, HUNGARY</t>
  </si>
  <si>
    <t>10.15666/aeer/2006_53615379</t>
  </si>
  <si>
    <t>8G0II</t>
  </si>
  <si>
    <t>WOS:000891270500001</t>
  </si>
  <si>
    <t>Wang, XY; Yang, HS; Liu, GB; Wang, Q</t>
  </si>
  <si>
    <t>Wang Xiaoyu; Yang Hongsheng; Liu Guangbin; Wang Qing</t>
  </si>
  <si>
    <t>Enzyme responses and lipid peroxidation in gills and hepatopancreas of clam Mactra vereformis, following cadmium exposure</t>
  </si>
  <si>
    <t>CHINESE JOURNAL OF OCEANOLOGY AND LIMNOLOGY</t>
  </si>
  <si>
    <t>ACP; ALP; antioxidant enzymes; cadmium; Mactra vereformis; MDA</t>
  </si>
  <si>
    <t>MYTILUS-GALLOPROVINCIALIS; OXIDATIVE-STRESS; GLUTATHIONE-PEROXIDASE; RUDITAPES-DECUSSATUS; SUBCELLULAR-DISTRIBUTION; BATHYMODIOLUS-AZORICUS; ANTIOXIDANT RESPONSES; HEAVY-METALS; BOHAI SEA; MUSSEL</t>
  </si>
  <si>
    <t>To assess the toxicity of heavy metal pollution to marine intertidal shellfish, enzymatic responses and lipid peroxidation were investigated in the clam Mactra vereformis exposed to cadmium under laboratory conditions. Three antioxidant enzymes (superoxide dismutase, SOD; catalase, CAT; glutathione peroxidase, GPx), two immune defense enzymes (acid phosphatase, ACP; alkaline phosphatase, ALP), and one lipid peroxidation product (malondialdehyde, MDA) were measured in the gills and the hepatopancreas of the clam exposed to 0, 25, 75, and 125 mu g/L cadmium for 0, 1, 3, 5, and 7 d. The results show that the concentrations of antioxidant enzymes in the organs soared to a peak value on the first day and then decreased afterwards in most cases. CAT and GPx activities in the hepatopancreas were higher than in the gills, but the SOD activity was lower in the hepatopancreas. ACP activity was unchanged until Day 3 in the hepatopancreas and until Day 5 in gills, when it began to increase. ALP activity showed no significant relationship with Cd treatment. MDA concentrations increased in the two tissues after Cd exposure, peaked on Day 3 in gills, and on Day 5 in hepatopancreas. These observations show that changes in the activities of antioxidant enzymes and ACP reflect the time course of oxidative stress in the clam caused by Cd, and could be used as potential biomarkers for ecotoxicological bioassays of heavy metals.</t>
  </si>
  <si>
    <t>[Wang Xiaoyu; Yang Hongsheng; Wang Qing] Chinese Acad Sci, Inst Oceanol, Key Lab Marine Ecol &amp; Environm Sci, Qingdao 266071, Peoples R China; [Wang Xiaoyu] Tianjin Fisheries Res Inst, Tianjin 300221, Peoples R China; [Liu Guangbin] Mariculture Inst Shandong Prov, Qingdao 266002, Peoples R China</t>
  </si>
  <si>
    <t>Yang, HS (corresponding author), Chinese Acad Sci, Inst Oceanol, Key Lab Marine Ecol &amp; Environm Sci, Qingdao 266071, Peoples R China.</t>
  </si>
  <si>
    <t>hshyang@qdio.ac.cn</t>
  </si>
  <si>
    <t>Wang, Xiaoyu/AAJ-2017-2020; Gong, Wenbin/AAE-1537-2020; Wang, Qing/O-1991-2013</t>
  </si>
  <si>
    <t>National Basic Research Program of China (973 Program) [2007CB407305]; Tianjin Program for Marine Development by Reliance on Science and Technology [kx2010-4]; National Marine Public Welfare Research Project of China [200805069]; Natural Science Fundation for Creative Research Groups [40821004]; Chinese Academy of Sciences [KZCX2-YW-Q07-03]</t>
  </si>
  <si>
    <t>National Basic Research Program of China (973 Program)(National Basic Research Program of China); Tianjin Program for Marine Development by Reliance on Science and Technology; National Marine Public Welfare Research Project of China; Natural Science Fundation for Creative Research Groups; Chinese Academy of Sciences(Chinese Academy of Sciences)</t>
  </si>
  <si>
    <t>Supported by the National Basic Research Program of China (973 Program) (No. 2007CB407305), the Tianjin Program for Marine Development by Reliance on Science and Technology (No. kx2010-4), the National Marine Public Welfare Research Project of China (No. 200805069), the Natural Science Fundation for Creative Research Groups (No. 40821004), and the Knowledge Innovation Key Projects of Chinese Academy of Sciences (No. KZCX2-YW-Q07-03)</t>
  </si>
  <si>
    <t>16 DONGHUANGCHENGGEN NORTH ST, BEIJING, 100717, PEOPLES R CHINA</t>
  </si>
  <si>
    <t>0254-4059</t>
  </si>
  <si>
    <t>1993-5005</t>
  </si>
  <si>
    <t>CHIN J OCEANOL LIMN</t>
  </si>
  <si>
    <t>Chin. J. Oceanol. Limnol.</t>
  </si>
  <si>
    <t>10.1007/s00343-011-0088-5</t>
  </si>
  <si>
    <t>Limnology; Oceanography</t>
  </si>
  <si>
    <t>Marine &amp; Freshwater Biology; Oceanography</t>
  </si>
  <si>
    <t>804CU</t>
  </si>
  <si>
    <t>WOS:000293632500009</t>
  </si>
  <si>
    <t>Machado, J; Lopes-Lima, M</t>
  </si>
  <si>
    <t>Machado, Jorge; Lopes-Lima, Manuel</t>
  </si>
  <si>
    <t>Calcification mechanism in freshwater mussels: potential targets for cadmium</t>
  </si>
  <si>
    <t>TOXICOLOGICAL AND ENVIRONMENTAL CHEMISTRY</t>
  </si>
  <si>
    <t>calcification; Anodonta cygnea; ecotoxicology; cadmium; shell</t>
  </si>
  <si>
    <t>OUTER MANTLE EPITHELIUM; ANODONTA-CYGNEA L.; ACID-BASE; SHELL MINERALIZATION; CALCIUM CONCRETIONS; SEASONAL-VARIATIONS; MOLLUSK; CLAM; METABOLISM; HEMOLYMPH</t>
  </si>
  <si>
    <t>In freshwater mussels (Bivalvia, Unionoida), the uptake, transport, and metabolism of calcium is a highly ordered and regulated mechanism. Large amounts of calcium ion is required for the construction of the bivalve exoskeleton, the shell, yet itis additionally used in many physiological functions such as cellular signaling, acid-base regulation, and muscular contraction. Due to the relatively low Ca2+ concentrations in most freshwater environments, calcium uptake in unionids is mainly an active transport. The actively pumped calcium has to be transitorily stored inside the body for the main calcification events: shell construction of adults and larvae, latter of which are brooded in female gills. In addition, calcium stores have an active role in the acid-base regulation of internal fluids. The transport of calcium toward and from the transitory stores by diffusion or transcellular processes is highly regulated. Against this background, any detectable changes in this sensible physiological mechanism that are caused by external factors, such as pollutants, may be used to evaluate the toxicological effects on these animals. Cadmium, as a calcium ion competitor, disrupts this mechanism at several levels. Thus, cadmium uptake, transport, storage, and regulation greatly affect the main biomineralization events, and might lead to unstructured brittle shells and a decrease or even halt in recruitment.</t>
  </si>
  <si>
    <t>[Machado, Jorge; Lopes-Lima, Manuel] Univ Porto, Ctr Interdisciplinar Invest Marinha &amp; Ambiental, CIIMAR, P-4050123 Oporto, Portugal; [Machado, Jorge; Lopes-Lima, Manuel] Univ Porto, Inst Ciencias Biomed Abel Salazar, P-4099003 Oporto, Portugal</t>
  </si>
  <si>
    <t>Universidade do Porto; Universidade do Porto</t>
  </si>
  <si>
    <t>Machado, J (corresponding author), Univ Porto, Ctr Interdisciplinar Invest Marinha &amp; Ambiental, CIIMAR, Rua Bragas 289, P-4050123 Oporto, Portugal.</t>
  </si>
  <si>
    <t>jmachado@icbas.up.pt</t>
  </si>
  <si>
    <t>Lopes-Lima, Manuel/N-1222-2014</t>
  </si>
  <si>
    <t>Lopes-Lima, Manuel/0000-0002-2761-7962; Machado, Jorge/0000-0003-4570-5445</t>
  </si>
  <si>
    <t>European Union [PROTEUS-INTERREG III A - SP1.P151/03]; Fundacao para a Ciencia e Tecnologia (FCT)</t>
  </si>
  <si>
    <t>European Union(European Union (EU)); Fundacao para a Ciencia e Tecnologia (FCT)(Fundacao para a Ciencia e a Tecnologia (FCT))</t>
  </si>
  <si>
    <t>The authors thank Alexandra Zieritz for the precious help with the elaboration of the manuscript and Jose Andrade and Antonio Rocha for the laboratorial expertise. The study was supported by the European Union under project PROTEUS-INTERREG III A - SP1.P151/03 and Fundacao para a Ciencia e Tecnologia (FCT).</t>
  </si>
  <si>
    <t>0277-2248</t>
  </si>
  <si>
    <t>1029-0486</t>
  </si>
  <si>
    <t>TOXICOL ENVIRON CHEM</t>
  </si>
  <si>
    <t>Toxicol Environ. Chem.</t>
  </si>
  <si>
    <t>10.1080/02772248.2010.503656</t>
  </si>
  <si>
    <t>884WW</t>
  </si>
  <si>
    <t>WOS:000299740600007</t>
  </si>
  <si>
    <t>Zhao, YF; Wu, JF; Kang, XM; Peng, JX; Ding, HY; Ning, JS; Sheng, XF; Tan, ZJ</t>
  </si>
  <si>
    <t>Zhao, Yanfang; Wu, Jifa; Kang, Xuming; Peng, Jixing; Ding, Haiyan; Ning, Jinsong; Sheng, Xiaofeng; Tan, Zhijun</t>
  </si>
  <si>
    <t>Seasonal variations of heavy metals in seawater and integrated poly-cultured scallop Chlamys farreri in Ailian Bay, northern China</t>
  </si>
  <si>
    <t>Scallops; Heavy metals; Seasonal variation; Ailian Bay; Health risk</t>
  </si>
  <si>
    <t>GULF-OF-CALIFORNIA; AREA; SEA; BIOACCUMULATION; SHELLFISH; BIVALVIA; MERCURY; COAST</t>
  </si>
  <si>
    <t>Seasonal variations of heavy metals in integrated poly-cultured scallops and seawater from Ailian Bay, northern China were analyzed to reveal the potential factor in bioaccumulation of metals in scallop Chlamys farreri. Results showed that heavy metals (Cu, Zn, As, Cd, Cr, Pb and Hg) in seawater were much below the maximum permissible limits and showed no seasonal changes, but were consistent with the growing period of the poly-cultivated kelp. The content of Zn in scallop tissues was highest with an average value of 88.35 +/- 11.50 mg/ kg, and Hg content was lowest (0.046 +/- 0.025 mg/kg). The accumulation of Cu, As, Cd and Hg in scallops presented a significant seasonal change, and they were closely correlated with the physicochemical quality instead of heavy metals in seawater. Cadmium provided 88.9 % of the total hazard index for adults and 72.2 % for children. Arsenic should also be paid more attention in the risk assessment of human health.</t>
  </si>
  <si>
    <t>[Zhao, Yanfang; Kang, Xuming; Peng, Jixing; Ding, Haiyan; Ning, Jinsong; Sheng, Xiaofeng; Tan, Zhijun] Chinese Acad Fishery Sci, Yellow Sea Fisheries Res Inst, Qingdao 266071, Peoples R China; [Wu, Jifa] Qingdao Yihaifeng Aquat Prod Co Ltd, Qingdao 266414, Peoples R China; [Tan, Zhijun] Pilot Natl Lab Marine Sci &amp; Technol Qingdao, Qingdao 266071, Peoples R China; [Tan, Zhijun] Chinese Acad Fishery Sci, Yellow Sea Fisheries Res Inst, Qingdao 266071, Peoples R China</t>
  </si>
  <si>
    <t>Chinese Academy of Fishery Sciences; Yellow Sea Fisheries Research Institute, CAFS; Laoshan Laboratory; Chinese Academy of Fishery Sciences; Yellow Sea Fisheries Research Institute, CAFS</t>
  </si>
  <si>
    <t>Tan, ZJ (corresponding author), Chinese Acad Fishery Sci, Yellow Sea Fisheries Res Inst, Qingdao 266071, Peoples R China.</t>
  </si>
  <si>
    <t>tanzj@ysfri.ac.cn</t>
  </si>
  <si>
    <t>Zhao, Yanfang/GTS-2003-2022; Kang, Xuming/GNP-1053-2022</t>
  </si>
  <si>
    <t>Peng, Jixing/0000-0002-2073-3389; Kang, Xuming/0000-0001-5912-7493</t>
  </si>
  <si>
    <t>Key Projects of Intergovernmental International Cooperation in Science and Technology Innovation [2019YFE0103800]; earmarked fund for CARS [CARS-49]; Central Public-interest Scientific Institution Basal Research Fund, CAFS [2020TD71]; Central Public-interest Scientific Institution Basal Research Fund, YSFRI, CAFS [20603022022017]</t>
  </si>
  <si>
    <t>Key Projects of Intergovernmental International Cooperation in Science and Technology Innovation; earmarked fund for CARS; Central Public-interest Scientific Institution Basal Research Fund, CAFS; Central Public-interest Scientific Institution Basal Research Fund, YSFRI, CAFS</t>
  </si>
  <si>
    <t>This research was funded by the Key Projects of Intergovernmental International Cooperation in Science and Technology Innovation [Grant No. 2019YFE0103800], the earmarked fund for CARS (CARS-49), the Central Public-interest Scientific Institution Basal Research Fund, CAFS [Grant No. 2020TD71], and the Central Public-interest Scientific Institution Basal Research Fund, YSFRI, CAFS [grant number 20603022022017].</t>
  </si>
  <si>
    <t>10.1016/j.marpolbul.2022.114465</t>
  </si>
  <si>
    <t>DEC 2022</t>
  </si>
  <si>
    <t>7B3AA</t>
  </si>
  <si>
    <t>WOS:000899009400005</t>
  </si>
  <si>
    <t>Kalantzi, I; Zeri, C; Catsiki, VA; Tsangaris, C; Strogyloudi, E; Kaberi, H; Vergopoulos, N; Tsapakis, M</t>
  </si>
  <si>
    <t>Kalantzi, Ioanna; Zeri, Christina; Catsiki, Vassiliki-Angelique; Tsangaris, Catherine; Strogyloudi, Evangelia; Kaberi, Helen; Vergopoulos, Nick; Tsapakis, Manolis</t>
  </si>
  <si>
    <t>Assessment of the use of copper alloy aquaculture nets: Potential impacts on the marine environment and on the farmed fish</t>
  </si>
  <si>
    <t>Copper alloy net; Antifouling; Water column; Sediment; Bioaccumulation; Environmental impact; Copper</t>
  </si>
  <si>
    <t>ACETYLCHOLINESTERASE ACTIVITY; HEAVY-METALS; MYTILUS-GALLOPROVINCIALIS; METALLOTHIONEIN LEVELS; SARONIKOS GULF; AEGEAN SEA; SALMON; BIOMARKERS; SEDIMENT; ORGANISMS</t>
  </si>
  <si>
    <t>The environmental effects of the copper aquaculture nets were estimated by a multidisciplinary approach. A copper alloy net (brass net) cage and a conventional net cage with Cu2O antifouling paint were established at a fish farm in Bathy Limani Bay, Paleros, Aetolia Acarnania region, Greece, for a 1-year period. Copper concentrations in abiotic (water, sediment, particulate matter) and biotic (organisms) samples were measured. The biological effects of copper on organisms (mussels, farmed fish) were further assessed with a battery of biochemical biomarkers (acetylcholinesterase, catalase, glutathione-S-transferase, metallothioneins). During the first 6 months of cage installations, the copper alloy (brass) net seemed to release more Cu to the surrounding environment and affect the biota more compared to the conventional net, although non-significant correlations were found between biotic and abiotic variables. However, at the end of the experimental period, equilibrium was reached in the copper alloy (brass) net cage with similar values of dissolved Cu and Cu in organisms as the conventional net cage. An exception to these results was the sampling of August 2013, where an increased effect on water chemistry and mussels in the conventional cage was observed, which may be attributed to the use of antifoulants on the examined conventional net or on the surrounding conventional nets. No accumulation of Cu in sediment was detected. No consistent temporal or spatial trend was observed for biochemical biomarkers. In addition, for both experimental cages and in all sampling periods, dissolved Cu never reached the maximum permissible limits in the Greek legislation, and Cu concentrations in the farmed fish and mussels do not exceed established limits for edible parts set by Food and Agriculture Organization of the United Nations (FAO). Statement of relevance: In this manuscript, a set of methodological tools and indicators were studied in order to assess the potential impacts of the use of copper alloy aquaculture nets on farmed fish and, eventually, the marine environment of the Mediterranean Sea. The authors believe that the aim of this work is within the journal's scope and the presented results, analysis and interpretation will be of interest to scientists involved in various aspects of aquaculture (management, environmental pollution, ecotoxicology, food safety etc.). (C) 2016 Elsevier B.V. All rights reserved.</t>
  </si>
  <si>
    <t>[Kalantzi, Ioanna; Tsapakis, Manolis] Inst Oceanog, Hellen Ctr Marine Res, POB 2214, Iraklion 71003, Crete, Greece; [Zeri, Christina; Catsiki, Vassiliki-Angelique; Tsangaris, Catherine; Strogyloudi, Evangelia; Kaberi, Helen] Inst Oceanog, Hellen Ctr Marine Res, 46-7 Km Athinon Souniou Ave, Anavyssos 19013, Greece; [Vergopoulos, Nick] Hellen Copper Dev Inst, Athens 17778, Greece</t>
  </si>
  <si>
    <t>Hellenic Centre for Marine Research; Hellenic Centre for Marine Research</t>
  </si>
  <si>
    <t>Tsapakis, M (corresponding author), Inst Oceanog, Hellen Ctr Marine Res, POB 2214, Iraklion 71003, Crete, Greece.</t>
  </si>
  <si>
    <t>tsapakis@hcmr.gr</t>
  </si>
  <si>
    <t>Kaberi, Helen/KHV-7896-2024; Kalantzi, Ioanna/AAE-7306-2020; Tsapakis, Manolis/G-9734-2011; Tsangaris, Catherine/G-4378-2011</t>
  </si>
  <si>
    <t>Tsapakis, Manolis/0000-0002-9305-8441; Zeri, Christina/0000-0003-2063-4708; Tsangaris, Catherine/0000-0001-6724-9394; Kalantzi, Ioanna/0000-0002-6539-4739; Kaberi, Helen/0000-0002-4399-4055</t>
  </si>
  <si>
    <t>Hellenic Copper Development Institute [177/13-5-2013]</t>
  </si>
  <si>
    <t>Hellenic Copper Development Institute</t>
  </si>
  <si>
    <t>This study was supported by the Hellenic Copper Development Institute (177/13-5-2013). Owners of the fish farm kindly provided access to their site.</t>
  </si>
  <si>
    <t>10.1016/j.aquaculture.2016.09.016</t>
  </si>
  <si>
    <t>DY8IE</t>
  </si>
  <si>
    <t>WOS:000385372200028</t>
  </si>
  <si>
    <t>Mazorra, MT; Rubio, JA; Blasco, J</t>
  </si>
  <si>
    <t>Acid and alkaline phosphatase activities in the clam Scrobicularia plana:: kinetic characteristics and effects of heavy metals</t>
  </si>
  <si>
    <t>COMPARATIVE BIOCHEMISTRY AND PHYSIOLOGY B-BIOCHEMISTRY &amp; MOLECULAR BIOLOGY</t>
  </si>
  <si>
    <t>phosphatases; kinetic analysis; pH; temperature; heavy metals; clam; Scrobicularia plana</t>
  </si>
  <si>
    <t>BIOMARKERS; POLLUTION; CHROMIUM</t>
  </si>
  <si>
    <t>The acid and alkaline phosphatase activities of the clam Scrobicularia plana have been partially characterised in different organs and tissues (digestive gland, gills, foot, siphon and mantle) and the 'in vitro' effect of heavy metals on both types of enzymatic activity have been analysed. The optimal pH ranged between 4.0 and 5.5 for acid phosphatase activity and 8.5 and 9.5 for alkaline phosphatase activity. The apparent optimum temperature was in the 30-60degrees range for acid phosphatase activity and in the 30-40degreesC range for alkaline phosphatase activity. The effect of substrate concentration on enzymatic activities in the tissues showed a good fit to the Michaelis-Menten model. For both types of enzymatic activity, the highest values were found in the digestive gland. The effect of heavy metals was dependent on the tissue analysed. Mercury showed the highest inhibition in the organs/tissues and the parameters K-m and V-max were modified when the inhibitor concentration increased, thus indicating a mixed type of inhibition. (C) 2002 Elsevier Science Inc All rights reserved.</t>
  </si>
  <si>
    <t>Inst Ciencias Marinas Andalucia, Cadiz 11510, Spain; Univ Cadiz, Fac Ciencias Mar, Dept Quim Fis, Cadiz 11510, Spain</t>
  </si>
  <si>
    <t>Consejo Superior de Investigaciones Cientificas (CSIC); CSIC - Instituto de Ciencias Marinas de Andalucia (ICMAN); CSIC - Centro Mediterraneo de Investigaciones Marinas y Ambientales (CMIMA); CSIC - Instituto de Ciencias del Mar (ICM); Universidad de Cadiz</t>
  </si>
  <si>
    <t>Blasco, J (corresponding author), Inst Ciencias Marinas Andalucia, Campus Rio San Pedro, Cadiz 11510, Spain.</t>
  </si>
  <si>
    <t>1096-4959</t>
  </si>
  <si>
    <t>COMP BIOCHEM PHYS B</t>
  </si>
  <si>
    <t>Comp. Biochem. Physiol. B-Biochem. Mol. Biol.</t>
  </si>
  <si>
    <t>PII S1096-4959(01)00502-4</t>
  </si>
  <si>
    <t>10.1016/S1096-4959(01)00502-4</t>
  </si>
  <si>
    <t>Biochemistry &amp; Molecular Biology; Zoology</t>
  </si>
  <si>
    <t>521RW</t>
  </si>
  <si>
    <t>WOS:000173856200011</t>
  </si>
  <si>
    <t>Costa, M; Paiva, E; Moreira, I</t>
  </si>
  <si>
    <t>Total mercury in Perna perna mussels from Guanabara Bay -: 10 years later</t>
  </si>
  <si>
    <t>total mercury; mussels; Guanabara Bay; Perna perna</t>
  </si>
  <si>
    <t>WATCH</t>
  </si>
  <si>
    <t>Guanabara Bay (GB) is an important estuary in regard to the productivity of the southeastern Brazilian coast. It is heavily polluted by oil, land runoff, and sewage, had large areas reclaimed, and its basin has been seriously deforested. The objective of the present work is to compare the total mercury levels in mussels from the bay, measured at the beginning and at the end of a 10-year interval (1988 and 1998). The commonly occurring species of bivalve in the bay is the mussel Perna perna. The total mercury content in mussels from GB has probably remained constant for the last 10 years (17.3-74.1 mu gHg kg(-1)), with possible isolated fluctuations attributed to occasional changes in water quality. Mussels have a good potential as biomonitors of water quality in GB. The need for the establishment of long-term biomonitoring programs is also commented. (C) 2000 Elsevier Science B.V. All rights reserved.</t>
  </si>
  <si>
    <t>Univ Fed Pernambuco, Ctr Tecnol &amp; Geociencias, Dept Oceanog, BR-50740550 Recife, PE, Brazil</t>
  </si>
  <si>
    <t>Universidade Federal de Pernambuco</t>
  </si>
  <si>
    <t>Univ Fed Pernambuco, Ctr Tecnol &amp; Geociencias, Dept Oceanog, Cidade Univ, BR-50740550 Recife, PE, Brazil.</t>
  </si>
  <si>
    <t>mfc@npd.ufpe.br</t>
  </si>
  <si>
    <t>Moreira, Icaro/J-2040-2015; Costa, Monica F./J-9879-2012</t>
  </si>
  <si>
    <t>Costa, Monica F./0000-0002-7673-3089</t>
  </si>
  <si>
    <t>10.1016/S0048-9697(00)00596-9</t>
  </si>
  <si>
    <t>WOS:000089587200007</t>
  </si>
  <si>
    <t>Jitar, O; Teodosiu, C; Oros, A; Plavan, G; Nicoara, M</t>
  </si>
  <si>
    <t>Jitar, Oana; Teodosiu, Carmen; Oros, Andra; Plavan, Gabriel; Nicoara, Mircea</t>
  </si>
  <si>
    <t>Bioaccumulation of heavy metals in marine organisms from the Romanian sector of the Black Sea</t>
  </si>
  <si>
    <t>NEW BIOTECHNOLOGY</t>
  </si>
  <si>
    <t>TRACE-ELEMENTS; TURKISH COAST; SEDIMENTS; FISH; ACCUMULATION; SHELLFISH; CADMIUM; TISSUES; SITES; WATER</t>
  </si>
  <si>
    <t>The aim of this research was to study the accumulation of heavy metals (cadmium -Cd, lead -Pb, chromium -Cr, nickel -Ni, and copper -Cu) from water and sediments into living tissues of relevant marine species from different trophic levels of a food web, representative for shallow waters of the Romanian Black Sea Coast where the main anthropogenic impacts exist. The heavy metals concentrations were analysed by using an Atomic Absorption Spectrometer with graphite furnace, the results being further used to calculate the bioconcentration factors for a few key taxa like green and red algae, molluscs and fishes. Seven sampling sites influenced by anthropogenic pollution sources (municipal wastewater treatment plants and diffuse sources) were considered and a total of 300 samples were analysed for the period 2011-2012, this being the first unitary study for the Romanian Black Sea marine ecosystem. In 2011 and 2012 there were no significant differences between the sampling areas considering the heavy metals concentrations in water. For the sediments significant differences were observed between sampling sites for some heavy metals, namely Pb in 2011 and Pb, Cu and Cd in 2012, the highest concentrations being registered in the southern sector of the Romanian Black Sea shore, where the anthropogenic pollution sources are represented by the harbour and wastewater treatment plants. The values of the bioaccumulation factors (BCFsed) shows that algae are good accumulators for Cu &gt; Pb &gt; Ni &gt; Cr &gt; Cd, in comparison with BCFwater where the order of heavy metal accumulation was different: Cr &gt; Ni &gt; Pb &gt; Cd &gt; Cu. Molluscs have higher bioconcentration factors for Cu and Cd for sediments and for Cu and Ni for water. Rapana venosa accumulated more Cd and Cu. For fishes, Pb, Cu and Ni had the highest values in the tissues of benthonic species Mullus barbatus. In bivalve molluscs and fishes, in the majority of cases, there were not recorded exceeding mean concentrations as compared to the maximum allowed concentrations for Cd and Pb.</t>
  </si>
  <si>
    <t>[Jitar, Oana; Teodosiu, Carmen] Gheorghe Asachi Tech Univ Iasi, Fac Chem Engn &amp; Environm Protect, Dept Environm Engn &amp; Management, Iasi 700050, Romania; [Oros, Andra] Grigore Antipa Natl Inst Marine Res &amp; Dev Constan, Iasi, Romania; [Plavan, Gabriel; Nicoara, Mircea] Alexandru Ioan Cuza Univ, Dept Biol, Fac Biol, Iasi 700505, Romania</t>
  </si>
  <si>
    <t>GH Asachi Technical University; National Institute for Marine Research &amp; Development Grigore Antipa; Alexandru Ioan Cuza University</t>
  </si>
  <si>
    <t>Teodosiu, C (corresponding author), Gheorghe Asachi Tech Univ Iasi, Fac Chem Engn &amp; Environm Protect, Dept Environm Engn &amp; Management, 73 Prof Dr D Mangeron St, Iasi 700050, Romania.</t>
  </si>
  <si>
    <t>Teodosiu, Carmen/E-2693-2012; Plavan, Gabriel-Ionut/H-9147-2019; Mircea, Nicoara/J-3886-2019; Oros, Andra/C-6572-2014</t>
  </si>
  <si>
    <t>Nicoara, Mircea/0000-0002-9755-6771; Plavan, Gabriel Ionut/0000-0002-1194-1768; Teodosiu, Carmen/0009-0003-8058-6282; Oros, Andra/0000-0002-6903-1177</t>
  </si>
  <si>
    <t>1871-6784</t>
  </si>
  <si>
    <t>1876-4347</t>
  </si>
  <si>
    <t>NEW BIOTECHNOL</t>
  </si>
  <si>
    <t>New Biotech.</t>
  </si>
  <si>
    <t>MAY 25</t>
  </si>
  <si>
    <t>10.1016/j.nbt.2014.11.004</t>
  </si>
  <si>
    <t>Biochemical Research Methods; Biotechnology &amp; Applied Microbiology</t>
  </si>
  <si>
    <t>Biochemistry &amp; Molecular Biology; Biotechnology &amp; Applied Microbiology</t>
  </si>
  <si>
    <t>CG5PT</t>
  </si>
  <si>
    <t>WOS:000353346000007</t>
  </si>
  <si>
    <t>Avallone, B; Crispino, R; Cerciello, R; Simoniello, P; Panzuto, R; Motta, CM</t>
  </si>
  <si>
    <t>Avallone, Bice; Crispino, Roberta; Cerciello, Raimondo; Simoniello, Palma; Panzuto, Raffaele; Motta, Chiara Maria</t>
  </si>
  <si>
    <t>Cadmium effects on the retina of adult Danio rerio</t>
  </si>
  <si>
    <t>COMPTES RENDUS BIOLOGIES</t>
  </si>
  <si>
    <t>Cadmium; Retina; Metallothionein; TEM; Toxicity</t>
  </si>
  <si>
    <t>CATFISH CLARIAS-GARIEPINUS; MULLER GLIA; COMPARATIVE SENSITIVITY; EMBRYONIC-DEVELOPMENT; CRASSOSTREA-GIGAS; ZEBRAFISH RETINA; PODARCIS-SICULA; PACIFIC OYSTER; MESSENGER-RNA; EXPOSURE</t>
  </si>
  <si>
    <t>The aim of this work is to describe the effects of cadmium pollution on the vision of adult zebrafish, Danio rerio. Retinal morpho-cytological alterations were investigated by light and electron microscopy, while the functionality of cadmium-exposed retinae was assessed by re-illumination behavioral tests with white or colored light. Our results demonstrate that cadmium toxicity causes significant degeneration and loss Of organization at both macro and microscopic levels. These alterations impair functional responses particularly through an increase in light sensitivity. Metallothioneins were not seen to be up-regulated, while the recovery of visual acuity is due to a regenerative process by Muller cells. (C) 2014 Academie des sciences. Published by Elsevier Masson SAS. All rights reserved.</t>
  </si>
  <si>
    <t>[Avallone, Bice; Crispino, Roberta; Cerciello, Raimondo; Simoniello, Palma; Panzuto, Raffaele; Motta, Chiara Maria] Univ Naples Federico II, Dept Biol, I-80134 Naples, Italy; [Simoniello, Palma] GSI Helmholtz Ctr Heavy Ion Res, Dept Biophys, D-64291 Darmstadt, Germany</t>
  </si>
  <si>
    <t>University of Naples Federico II; Helmholtz Association; GSI Helmholtz-Center for Heavy Ion Research</t>
  </si>
  <si>
    <t>Avallone, B (corresponding author), Univ Naples Federico II, Dept Biol, Via Mezzocannone 8, I-80134 Naples, Italy.</t>
  </si>
  <si>
    <t>bice.avallone@unina.it</t>
  </si>
  <si>
    <t>maria, Motta/K-1426-2019; Avallone, Bice/ABB-3425-2020</t>
  </si>
  <si>
    <t>motta, chiara maria/0000-0003-1035-0664; Simoniello, Palma/0000-0003-2888-2642; Avallone, Bice/0000-0002-5355-1557</t>
  </si>
  <si>
    <t>ELSEVIER FRANCE-EDITIONS SCIENTIFIQUES MEDICALES ELSEVIER</t>
  </si>
  <si>
    <t>ISSY-LES-MOULINEAUX</t>
  </si>
  <si>
    <t>65 RUE CAMILLE DESMOULINS, CS50083, 92442 ISSY-LES-MOULINEAUX, FRANCE</t>
  </si>
  <si>
    <t>1631-0691</t>
  </si>
  <si>
    <t>1768-3238</t>
  </si>
  <si>
    <t>CR BIOL</t>
  </si>
  <si>
    <t>C. R. Biol.</t>
  </si>
  <si>
    <t>10.1016/j.crvi.2014.10.005</t>
  </si>
  <si>
    <t>AZ5GE</t>
  </si>
  <si>
    <t>WOS:000348247500005</t>
  </si>
  <si>
    <t>Hattink, J; De Boeck, G; Blust, R</t>
  </si>
  <si>
    <t>The toxicokinetics of cadmium in carp under normoxic and hypoxic conditions</t>
  </si>
  <si>
    <t>13th Annual Meeting of SETAC Europe</t>
  </si>
  <si>
    <t>Hamburg, GERMANY</t>
  </si>
  <si>
    <t>ventilation rate; Cyprinus carpio; cadmium; uptake; elimination; toxicity; fish</t>
  </si>
  <si>
    <t>TROUT ONCORHYNCHUS-MYKISS; METAL SPECIATION DYNAMICS; CLAM CORBICULA-FLUMINEA; RAINBOW-TROUT; CYPRINUS-CARPIO; CA2+-ATPASE ACTIVITY; TISSUE DISTRIBUTION; DISSOLVED-OXYGEN; AQUEOUS CADMIUM; PLASMA-MEMBRANE</t>
  </si>
  <si>
    <t>Temporal depletion of oxygen, i.e. hypoxic events, frequently occurs in natural waters. It has been suggested that accumulation of micro-pollutants increases in aquatic animals as a result of an increased ventilation rate during such occasions. The observed increased toxicity under hypoxia of micro-pollutants may support this hypothesis, but for heavy metals the available uptake studies are contradictory. The present study tests whether accumulation of cadmium in common carp, Cyprinus carpio (L.) is increased under hypoxia and if the toxicokinetics are altered. A cadmium toxicity study was performed in which the cadmium uptake rates were determined using the radiotracer Cd-109 under hypoxia and normoxia. The cadmium toxicokinetics were studied with radiotracer experiments at 100% air saturation, 50%, and 25% saturation from 6.5 nmol/L Cd at 25 degrees C. We could confirm the higher sensitivity of carp to cadmium under hypoxia. Hypoxic conditions did not influence the uptake rates or the accumulation dynamics. Therefore, the increased sensitivity of carp for Cd under hypoxia cannot be explained by a higher Cd body burden, initiated by a higher uptake rate or lower elimination rate under hypoxia. Additional, possible indirect effects, such as internal anoxia due to gill damage, could play a role in Cd toxicity under hypoxia. (c) 2005 Elsevier B.V. All rights reserved.</t>
  </si>
  <si>
    <t>Univ Antwerp, Dept Biol, Lab Ecophysiol Biochem &amp; Toxicol, B-2020 Antwerp, Belgium</t>
  </si>
  <si>
    <t>University of Antwerp</t>
  </si>
  <si>
    <t>Hattink, J (corresponding author), Univ Antwerp, Dept Biol, Lab Ecophysiol Biochem &amp; Toxicol, Groenenborgerlaan 171, B-2020 Antwerp, Belgium.</t>
  </si>
  <si>
    <t>jasper.hattink@ua.ac.be</t>
  </si>
  <si>
    <t>De Boeck, Gudrun/A-1938-2015</t>
  </si>
  <si>
    <t>De Boeck, Gudrun/0000-0003-0941-3488</t>
  </si>
  <si>
    <t>OCT 5</t>
  </si>
  <si>
    <t>10.1016/j.aquatox.2005.06.007</t>
  </si>
  <si>
    <t>972DN</t>
  </si>
  <si>
    <t>WOS:000232434300001</t>
  </si>
  <si>
    <t>Desclaux-Marchand, C; Paul-Pont, I; Gonzalez, P; Baudrimont, M; de Montaudouin, X</t>
  </si>
  <si>
    <t>Desclaux-Marchand, Celine; Paul-Pont, Ika; Gonzalez, Patrice; Baudrimont, Magalie; de Montaudouin, Xavier</t>
  </si>
  <si>
    <t>Metallothionein gene identification and expression in the cockle (Cerastoderma edule) under parasitism (trematodes) and cadmium contaminations</t>
  </si>
  <si>
    <t>Conference on New Developments in Coastal Environment Research</t>
  </si>
  <si>
    <t>JUN 26-28, 2006</t>
  </si>
  <si>
    <t>IFREMER Ctr Campus, Nantes, FRANCE</t>
  </si>
  <si>
    <t>IFREMER Ctr Campus</t>
  </si>
  <si>
    <t>trematodes; cockles; cadmium; metallothionein; gene quantification</t>
  </si>
  <si>
    <t>BIVALVE CORBICULA-FLUMINEA; CRASSOSTREA-GIGAS; ARCACHON BAY; FRESH-WATER; EXPOSURE; MORTALITY; CD; ECHINOSTOMATIDAE; INVERTEBRATES; POPULATION</t>
  </si>
  <si>
    <t>Among benthic organisms, bivalves are often used as bioindicators of environmental pollution because of their high bioaccumulation capacities for heavy metals leading to metallothioneins (MT) induction. MT are small cytosolic metal-binding proteins involved in metal homeostasis and detoxification in living organisms. These proteins can also be induced by a wide range of factors, such as hormones, physical stress, parasitism. MT quantification in relation to parasitism is rarely reported in literature, while parasites are omnipresent and have deleterious impacts on bivalves. Moreover, only a few number of MT genes have been characterized in molluscs. This study describes the partial sequence of the MT gene (Cemt1) in the edible cockle Cerastoderma edule. The cockle's MT cDNA was sequenced and showed over 80% homology to several other bivalve MT sequences. This sequence was then used to determine MT specific primers which can be used in quantitative real time PCR. MT protein and gene expression levels were quantified for individuals selected under different conditions: free from or infected by the digenean trematode Himasthla elongata, and under cadmium exposure at 15 mu g Cd L-1. Results evidenced that MT concentrations were significantly increased by both treatments; parasite infection and Cd exposure. Moreover, congruent results between MT protein and gene expression levels were obtained.</t>
  </si>
  <si>
    <t>Univ Bordeaux 1, Stn Marine Arcachon, UMR 5805, EPOC, F-33120 Arcachon, France</t>
  </si>
  <si>
    <t>Gonzalez, P (corresponding author), Univ Bordeaux 1, Stn Marine Arcachon, UMR 5805, EPOC, 2 Rue Pr Jolyet, F-33120 Arcachon, France.</t>
  </si>
  <si>
    <t>p.gonzalez@epoc.u-bordeaux1.fr</t>
  </si>
  <si>
    <t>Gonzalez, Patrice/KGK-5933-2024</t>
  </si>
  <si>
    <t>Gonzalez, Patrice/0000-0003-2628-2993; Baudrimont, Magalie/0000-0001-9901-8435; Paul-Pont, Ika/0000-0003-3734-0909</t>
  </si>
  <si>
    <t>JAN-MAR</t>
  </si>
  <si>
    <t>10.1051/alr:2007014</t>
  </si>
  <si>
    <t>169CS</t>
  </si>
  <si>
    <t>WOS:000246570900005</t>
  </si>
  <si>
    <t>El-Shenawy, NS</t>
  </si>
  <si>
    <t>Heavy-metal and microbial depuration of the clam Ruditapes decussatus and its effect on bivalve behavior and physiology</t>
  </si>
  <si>
    <t>depuration; Ruditapes decussatus; heavy metals; pathogenic indicators; pathogens; behavior; physiology</t>
  </si>
  <si>
    <t>MUSSEL MYTILUS-EDULIS; VIRAL CONTAMINATION; ACUTE TOXICITY; TRACE-METALS; MOLLUSKS; COPPER; METALLOTHIONEIN; SEDIMENTS; POLLUTION; CADMIUM</t>
  </si>
  <si>
    <t>The bivalve Ruditapes decussatus was evaluated as a possible biomonitor of heavy-metal contamination. Concentrations of copper (Cu), cobalt (Co), iron (Fe), nickel (Ni), and manganese (Mn) were measured in R. decussatus. Water and sediment samples were collected at two stations of Timsah Lake in Ismailia, Egypt, from October to November 2002, using atomic absorption spectrophotometry (AAS). Results from the heavy-metal and microbial analyses indicated that site II was less contaminated than site I. The bivalve showed accumulation of metals, with a bioaccumulation factor (BAF) greater than 4. The bioaccumulation of metals varied strongly according to the sampling site. After 48 h of depuration, Fe, Ni, Co, Cu, and Mn were reduced significantly, to 46.8% and 47.7%, 19.9% and 20.3%, 27.3% and 27.9%, 35.9% and 36.6%, and 18.2% and 26.6%, compared with the initial concentrations, in clam tissue at the two stations. In bivalves from site 11 the counts of total bacteria, fecal coliforms, and bacterial pathogens were reduced by more than 90%, whereas phage counts were only reduced by 56% after 4 days of depuration. The depuration of bivalves collected from the heavily polluted site (1) was not effective, as coliforms were reduced only by 85% after 4 days, whereas counts of pathogens and pathogenic indicators such as Vibrio, fecal Streptococcus, and coliphage decreased to less than 50% of the initial concentration. The time necessary to decrease contamination to 10%, 50%, and 90% for clams at both stations was consistently shorter for heavy metals than for microorganisms. Investigation of the effects of heavy-metal and microbiological depuration on valve movement and physiological rates (oxygen consumption and ammonia excretion) was carried out on R. decussatus to test the utility of physiological stress indices in assessing the health of depurated animals. Clams in the experimental tanks exhibited various states of activity, which were rated by identifying and scoring (0-4) the different parameters, including shell gap, siphon extension, and foot protrusion. Moreover, an increase in ammonia excretion was usually associated with an increase in respiration rate. The oxygen-to-nitrogen ratio provided a sensitive indicator of bivalve health. It can be concluded that shellfish monitoring and depuration data depended on the initial concentration of the pollutants. There were differences in the physiological responses of clams from the two sites during the periods of pre- and postdepuration of the contaminants. There was a significant correlation between reduction of metal concentration in clam tissue and enhancement of valve movement, as well as activity and increasing respiration rate. (C) 2004 Wiley Periodicals, Inc. Environ Toxicol 19: 143-153, 2004.</t>
  </si>
  <si>
    <t>Suez Canal Univ, Fac Sci, Dept Zool, Ismailia, Egypt</t>
  </si>
  <si>
    <t>Egyptian Knowledge Bank (EKB); Suez Canal University</t>
  </si>
  <si>
    <t>Suez Canal Univ, Fac Sci, Dept Zool, Ismailia, Egypt.</t>
  </si>
  <si>
    <t>elshenawy_nahla@hotmail.com</t>
  </si>
  <si>
    <t>El-Shenawy, Nahla/AAS-9714-2021</t>
  </si>
  <si>
    <t>10.1002/tox.20007</t>
  </si>
  <si>
    <t>810EG</t>
  </si>
  <si>
    <t>WOS:000220687000008</t>
  </si>
  <si>
    <t>Zhang, H; Zhai, YX; Yao, L; Jiang, YH; Li, FL</t>
  </si>
  <si>
    <t>Zhang Hui; Zhai Yuxiu; Yao Lin; Jiang Yanhua; Li Fengling</t>
  </si>
  <si>
    <t>Comparative transcriptomics reveals genes involved in metabolic and immune pathways in the digestive gland of scallop Chlamys farreri following cadmium exposure</t>
  </si>
  <si>
    <t>bivalves; cadmium; Chlamys farreri; comparative transcriptomics; differentially expressed genes; heavy metals</t>
  </si>
  <si>
    <t>MIZUHOPECTEN-YESSOENSIS; EXPRESSION; METALLOTHIONEIN; TISSUE; IDENTIFICATION; TRANSPORTERS; POPULATION; INDUCTION; BIOMARKER; TARGETS</t>
  </si>
  <si>
    <t>Chlamys farreri is an economically important mollusk that can accumulate excessive amounts of cadmium (Cd). Studying the molecular mechanism of Cd accumulation in bivalves is difficult because of the lack of genome background. Transcriptomic analysis based on high-throughput RNA sequencing has been shown to be an efficient and powerful method for the discovery of relevant genes in non-model and genome reference-free organisms. Here, we constructed two cDNA libraries (control and Cd exposure groups) from the digestive gland of C. farreri and compared the transcriptomic data between them. A total of 227 673 transcripts were assembled into 105 071 unigenes, most of which shared high similarity with sequences in the NCBI non-redundant protein database. For functional classification, 24 493 unigenes were assigned to Gene Ontology terms. Additionally, EuKaryotic Ortholog Groups and Kyoto Encyclopedia of Genes and Genomes analyses assigned 12 028 unigenes to 26 categories and 7 849 unigenes to five pathways, respectively. Comparative transcriptomics analysis identified 3 800 unigenes that were differentially expressed in the Cd-treated group compared with the control group. Among them, genes associated with heavy metal accumulation were screened, including metallothionein, divalent metal transporter, and metal tolerance protein. The functional genes and predicted pathways identified in our study will contribute to a better understanding of the metabolic and immune system in the digestive gland of C. farreri. In addition, the transcriptomic data will provide a comprehensive resource that may contribute to the understanding of molecular mechanisms that respond to marine pollutants in bivalves.</t>
  </si>
  <si>
    <t>[Zhang Hui; Zhai Yuxiu; Yao Lin; Jiang Yanhua; Li Fengling] Chinese Acad Fishery Sci, Yellow Sea Fisheries Res Inst, Qingdao 266071, Peoples R China; [Zhang Hui; Zhai Yuxiu; Yao Lin; Jiang Yanhua; Li Fengling] Minist Agr, Key Lab Testing &amp; Evaluat Aquat Prod Safety &amp; Qua, Beijing, Peoples R China; [Zhang Hui; Zhai Yuxiu; Yao Lin; Jiang Yanhua; Li Fengling] Minist Agr, Lab Qual &amp; Safety Risk Assessment Aquat Prod Qing, Beijing, Peoples R China</t>
  </si>
  <si>
    <t>Chinese Academy of Fishery Sciences; Yellow Sea Fisheries Research Institute, CAFS; Ministry of Agriculture &amp; Rural Affairs; Ministry of Agriculture &amp; Rural Affairs</t>
  </si>
  <si>
    <t>Zhai, YX (corresponding author), Chinese Acad Fishery Sci, Yellow Sea Fisheries Res Inst, Qingdao 266071, Peoples R China.;Zhai, YX (corresponding author), Minist Agr, Key Lab Testing &amp; Evaluat Aquat Prod Safety &amp; Qua, Beijing, Peoples R China.;Zhai, YX (corresponding author), Minist Agr, Lab Qual &amp; Safety Risk Assessment Aquat Prod Qing, Beijing, Peoples R China.</t>
  </si>
  <si>
    <t>zhaiyx@ysfri.ac.cn</t>
  </si>
  <si>
    <t>Shandong Provincial Post-Doctoral Special Fund Innovative Project [S43201403]; Post-Doctoral Applied Research Project of Qingdao City [Q51201413]; Shandong Provincial Natural Science Foundation, China [ZR2015PD004]</t>
  </si>
  <si>
    <t>Shandong Provincial Post-Doctoral Special Fund Innovative Project; Post-Doctoral Applied Research Project of Qingdao City; Shandong Provincial Natural Science Foundation, China(Natural Science Foundation of Shandong Province)</t>
  </si>
  <si>
    <t>Supported by the Shandong Provincial Post-Doctoral Special Fund Innovative Project (No. S43201403), the Post-Doctoral Applied Research Project of Qingdao City (No. Q51201413), and the Shandong Provincial Natural Science Foundation, China (No. ZR2015PD004)</t>
  </si>
  <si>
    <t>16 DONGHUANGCHENGGEN NORTH ST, Building 5, Room 411, BEIJING, 100009, PEOPLES R CHINA</t>
  </si>
  <si>
    <t>10.1007/s00343-017-5305-4</t>
  </si>
  <si>
    <t>ER9TA</t>
  </si>
  <si>
    <t>WOS:000399168400015</t>
  </si>
  <si>
    <t>Kroini, H; Hamdani, A; Soltani, N; Zaidi, N; Sleimi, N</t>
  </si>
  <si>
    <t>Kroini, H.; Hamdani, A.; Soltani, N.; Zaidi, N.; Sleimi, N.</t>
  </si>
  <si>
    <t>EFFECTS OF CADMIUM EXPOSURE ON PROXIMATE ANALYSIS AND METALLIC ELEMENT CONTENTS OF WEDGE CLAM (DONAX TRUNCULUS)</t>
  </si>
  <si>
    <t>pollution; mollusk; heavy metals; acute toxicity; bioindicator; seafood; nutritive value</t>
  </si>
  <si>
    <t>MYTILUS-EDULIS L; HEAVY-METALS; SEASONAL-VARIATION; MARINE MUSSEL; BIVALVIA; MOLLUSK; ANNABA; GULF; ZINC; TOXICITY</t>
  </si>
  <si>
    <t>The present study was designed to investigate the proximate (moisture, dry matter, ash, and fat content) composition and metallic element contents (Ca, Zn, Fe, and Cd) in an edible Bivalve, Donax trunculus from the gulf of Annaba, and to evaluate the effect of cadmium (Cd) on these parameters. The clams were collected from the El-Battah site during the morphologically ripe and reared stages under laboratory conditions. Physicochemical parameters of seawater samples including temperature, pH, salinity, and dissolved oxygen were determined. Cadmium at two sub-lethal concentrations (LC10 and LC25-96h as determined previously) was added to the rearing water. The results revealed significant effects of Cd concentrations, exposure time, and sex on all the studied parameters. Indeed, the contents of dry matter, fat and metallic elements, excluding Cd were significantly decreased, while the moisture, ash, and Cd contents were significantly increased in both sexes at two sub-lethal concentrations. Moreover, the measurement of proximate composition and minerals contents in D. trunculus could be a very useful approach to evaluate the nutritive value changes in case of exposure to cadmium contamination, and subsequently to avoid health-associated problems.</t>
  </si>
  <si>
    <t>[Kroini, H.; Hamdani, A.; Soltani, N.] Badji Mokhtar Univ, Fac Sci, Dept Biol, Lab Appl Anim Biol, Annaba 23000, Algeria; [Zaidi, N.] Univ Skikda, Fac Sci, Dept Nat &amp; Life Sci, Lab Optimizat Agr Subhumid Areas, Skikda 21000, Algeria; [Sleimi, N.] Univ Carthage, Fac Sci Bizerte, Lab RME Resources Mat &amp; Ecosyst, Carthage, Tunisia</t>
  </si>
  <si>
    <t>Universite Badji Mokhtar - Annaba; Universite de Skikda; Universite de Carthage</t>
  </si>
  <si>
    <t>Hamdani, A (corresponding author), Badji Mokhtar Univ, Fac Sci, Dept Biol, Lab Appl Anim Biol, Annaba 23000, Algeria.</t>
  </si>
  <si>
    <t>a_hamdaniamel@yahoo.fr</t>
  </si>
  <si>
    <t>SLEIMI, Noomene/ABF-1710-2021; SOLTANI, noureddine/AAW-7040-2020</t>
  </si>
  <si>
    <t>SLEIMI, Noomene/0000-0001-7187-0386; SOLTANI, Noureddine/0000-0002-1563-2049</t>
  </si>
  <si>
    <t>National Fund for Scientific Research; Ministry of High Education and Scientific Research of Algeria (CNEPRU Project)</t>
  </si>
  <si>
    <t>This work was supported by the National Fund for Scientific Research to Pr. N. Soltani (Laboratory of Applied Animal Biology) and the Ministry of High Education and Scientific Research of Algeria (CNEPRU Project to Dr. A. Hamdani).</t>
  </si>
  <si>
    <t>10.15666/aeer/1906_51035128</t>
  </si>
  <si>
    <t>XH5PB</t>
  </si>
  <si>
    <t>WOS:000725485200053</t>
  </si>
  <si>
    <t>Cope, WG; Bartsch, MR; Rada, RG; Balogh, SJ; Rupprecht, JE; Young, RD; Johnson, DK</t>
  </si>
  <si>
    <t>Bioassessment of mercury, cadmium, polychlorinated biphenyls, and pesticides in the upper Mississippi river with zebra mussels (Dreissena polymorpha)</t>
  </si>
  <si>
    <t>ENVIRONMENTAL SCIENCE &amp; TECHNOLOGY</t>
  </si>
  <si>
    <t>AQUEOUS-PHASE ETHYLATION; LAKE-ERIE; GAS-CHROMATOGRAPHY; EMERGENT MAYFLIES; WATER; METALS; METHYLMERCURY; CONTAMINANTS; HEXAGENIA; POLLUTION</t>
  </si>
  <si>
    <t>Zebra mussels (Dreissena polymorpha) were sampled from artificial substrates deployed from May 30 to October 19, 1995, at 19 locks and dams from Minneapolis, MN, to Muscatine, IA. Analyses of composite tissue samples of zebra mussels (10-20-mm length) revealed accumulation of mercury(Hg), cadmium (Cd), and polychlorinated biphenyls (PCBs) during a 143-d exposure period. Concentrations of total Hg ranged from 2.6 to 6.1 ng/g wet weight and methylmercury (CH3Hg) from 1.0 to 3.3 ng/g wet weight. About 50% (range 30-70%) of the mean total Hg in zebra mussels was CH3Hg. Cadmium ranged from 76 to 213 ng/g wet weight. Concentrations of total PCBs (Aroclor 1254) in zebra mussels varied longitudinally (range 1000-7330 ng/g lipid weight), but the composition of PCB congeners (total of 21 measured) was similar throughout the river. Chlordane and dieldrin were the only two pesticides detected of the 15 analyzed. Zebra mussels are sentinels of contaminant bioavailability in the Upper Mississippi River and may be an important link in the trophic transfer of contaminants in the river because of their increasing importance in the diets of certain fish and waterfowl.</t>
  </si>
  <si>
    <t>US Geol Survey, Upper Midw Environm Sci Ctr, La Crosse, WI 54603 USA; Univ Wisconsin, River Studies Ctr, La Crosse, WI 54601 USA; Metropolitan Council, Environm Serv, St Paul, MN 55106 USA</t>
  </si>
  <si>
    <t>United States Department of the Interior; United States Geological Survey; University of Wisconsin System</t>
  </si>
  <si>
    <t>N Carolina State Univ, Dept Toxicol, Raleigh, NC 27695 USA.</t>
  </si>
  <si>
    <t>greg_cope@ncsu.edu</t>
  </si>
  <si>
    <t>Cope, W. Gregory/0000-0003-2745-1939; Bartsch, Michelle/0000-0002-9571-5564</t>
  </si>
  <si>
    <t>AMER CHEMICAL SOC</t>
  </si>
  <si>
    <t>WASHINGTON</t>
  </si>
  <si>
    <t>1155 16TH ST, NW, WASHINGTON, DC 20036 USA</t>
  </si>
  <si>
    <t>0013-936X</t>
  </si>
  <si>
    <t>1520-5851</t>
  </si>
  <si>
    <t>ENVIRON SCI TECHNOL</t>
  </si>
  <si>
    <t>Environ. Sci. Technol.</t>
  </si>
  <si>
    <t>10.1021/es9902165</t>
  </si>
  <si>
    <t>265PJ</t>
  </si>
  <si>
    <t>WOS:000084252300005</t>
  </si>
  <si>
    <t>Liu, XL; Zhang, LB; You, LP; Yu, JB; Cong, M; Wang, Q; Li, F; Li, LZ; Zhao, JM; Li, CH; Wu, HF</t>
  </si>
  <si>
    <t>Liu, Xiaoli; Zhang, Linbao; You, Liping; Yu, Junbao; Cong, Ming; Wang, Qing; Li, Fei; Li, Lianzhen; Zhao, Jianmin; Li, Chenghua; Wu, Huifeng</t>
  </si>
  <si>
    <t>Assessment of Clam Ruditapes philippinarum as Heavy Metal Bioindicators Using NMR-Based Metabolomics</t>
  </si>
  <si>
    <t>CLEAN-SOIL AIR WATER</t>
  </si>
  <si>
    <t>Bioindicator; Manila clam; Mercury; Metabolomics; NMR</t>
  </si>
  <si>
    <t>TAPES-PHILIPPINARUM; MYTILUS-GALLOPROVINCIALIS; MANILA CLAM; SPECTROSCOPY; EXTRACTION; POLLUTION; BIOMARKER; ALANINE; LAGOON; TISSUE</t>
  </si>
  <si>
    <t>There are mainly distributed three pedigrees (White, Liangdao Red, and Zebra) of Manila clam Ruditapes philippinarum in Yantai population along the Bohai marine and coast. However, the biological differences to environmental stressors have been ignored in toxicology studies, which could lead to the distortion of biological interpretations of toxicological effects induced by environmental contaminants. In this study, we applied a system biology approach, metabolomics to compare the metabolic profiles in digestive gland from three pedigrees of clam and characterize and compare the metabolic responses induced by mercury in clam digestive gland tissues to determine a sensitive pedigree of clam as a preferable bioindicator for metal pollution monitoring and toxicology research. The most abundant metabolites, respectively, included branched-chain amino acids, alanine, and arginine in White samples, glutamate, dimethylglycine, and glycine in Zebra clams and acetylcholine, betaine, glucose, and glycogen in Liangdao Red clams. After 48 h exposure of 20 mu g L-1 Hg2+, the metabolic profiles from the three pedigrees of clams showed differentially significant changes in alanine, glutamate, succinate, taurine, hypotaurine, glycine, arginine, glucose, etc. Our findings indicate the toxicological effects of mercury exposure in Manila clams including the neurotoxicity, disturbances in energetic metabolisms and osmoregulation in the digestive glands and suggest that Liangdao Red pedigree of clam could be a preferable bioindicator for the metal pollution monitoring based on the more sensitive classes of metabolic changes from digestive glands compared with other two (White and Zebra) pedigrees of clams.</t>
  </si>
  <si>
    <t>[Liu, Xiaoli; Zhang, Linbao; You, Liping; Yu, Junbao; Cong, Ming; Wang, Qing; Li, Fei; Li, Lianzhen; Zhao, Jianmin; Li, Chenghua; Wu, Huifeng] Chinese Acad Sci, Yantai Inst Coastal Zone Res, Shandong Prov Key Lab Coastal Zone Environm Proc, Key Lab Coastal Zone Environm Proc,CAS, Yantai 264003, Peoples R China; [Liu, Xiaoli; Zhang, Linbao; You, Liping] Chinese Acad Sci, Grad Sch, Beijing, Peoples R China</t>
  </si>
  <si>
    <t>Chinese Academy of Sciences; Yantai Institute of Coastal Zone Research, CAS; Chinese Academy of Sciences; University of Chinese Academy of Sciences, CAS</t>
  </si>
  <si>
    <t>Wu, HF (corresponding author), Chinese Acad Sci, Yantai Inst Coastal Zone Res, Shandong Prov Key Lab Coastal Zone Environm Proc, Key Lab Coastal Zone Environm Proc,CAS, Yantai 264003, Peoples R China.</t>
  </si>
  <si>
    <t>Li, Fei/B-2056-2014; Liu, Xiaoli/HGE-7614-2022; Wang, Qing/O-1991-2013; Li, Chenghua/I-6342-2015</t>
  </si>
  <si>
    <t>Li, Chenghua/0000-0003-2978-8762; Yu, Junbao/0000-0002-3433-3538; Wu, Huifeng/0000-0002-4042-8103; Li, Fei/0000-0001-7386-0835</t>
  </si>
  <si>
    <t>Chinese Academy of Sciences; Technology Development Program Projects of Shandong Province [2008GG20005006, 2008GG3NS0700]; SDSFC [ZR2009CZ008]; CAS/SAFEA</t>
  </si>
  <si>
    <t>We thank Dr. Mark Viant (School of Bioscience, The University of Birmingham) for use of the software ProMetab. This research was supported by The 100 Talents Program of the Chinese Academy of Sciences, Technology Development Program Projects of Shandong Province (2008GG20005006 and 2008GG3NS0700) and SDSFC (ZR2009CZ008) and in part by the CAS/SAFEA International Partnership Program for Creative Research Teams Representative environmental processes and resources effects in coastal zone.</t>
  </si>
  <si>
    <t>1863-0650</t>
  </si>
  <si>
    <t>1863-0669</t>
  </si>
  <si>
    <t>Clean-Soil Air Water</t>
  </si>
  <si>
    <t>10.1002/clen.201000410</t>
  </si>
  <si>
    <t>Green &amp; Sustainable Science &amp; Technology; Environmental Sciences; Marine &amp; Freshwater Biology; Water Resources</t>
  </si>
  <si>
    <t>Science &amp; Technology - Other Topics; Environmental Sciences &amp; Ecology; Marine &amp; Freshwater Biology; Water Resources</t>
  </si>
  <si>
    <t>818AM</t>
  </si>
  <si>
    <t>WOS:000294720700007</t>
  </si>
  <si>
    <t>Zhukovskaya, A; Goryachev, V; Zakhartsev, M; Chelomin, V</t>
  </si>
  <si>
    <t>Zhukovskaya, Avianna; Goryachev, Vladimir; Zakhartsev, Maksim; Chelomin, Viktor</t>
  </si>
  <si>
    <t>The role of the cadmium-binding protein response of the digestive gland of the Yesso scallop Mizuhopecten yessoensis (Jay, 1857) for marine environmental assessments</t>
  </si>
  <si>
    <t>Biochemical adaptation; Biomarkers; Heavy metals; Mizuhopecten yessoensis; MT-like proteins; Scallop</t>
  </si>
  <si>
    <t>The ability of Pectinidae to accumulate heavy metals and store them in their tissues allows the use of scallops for biomonitoring marine pollution. High molecular weight metallothionein (MT)-like proteins (MTlps) play a central role in this process. Two major MTlps (72 and 43 kDa) have been identified in the digestive glands of Mizuhopecten yessoensis (Yesso scallop). These proteins have a very high affinity for the heavy metals cadmium, cobalt, and caesium. Additionally, these proteins can be deposited in large quantities in the digestive glands of this mollusc. It has been shown that 72 kDa MTlp is the main stress-response protein in areas polluted with cadmium or radioactive metals. Monitoring the amounts of MTlps in the digestive glands of the scallop M. yessoensis in areas with different anthropogenic pollutants has shown that these proteins are reliable biological markers of heavy-metal pollution in the marine environment.</t>
  </si>
  <si>
    <t>[Zhukovskaya, Avianna; Goryachev, Vladimir; Chelomin, Viktor] Russian Acad Sci, VI Ilichev Pacific Oceanol Inst, Far Eastern Branch, Baltijskaya Str 43, Vladivostok 690041, Russia; [Zakhartsev, Maksim] Norwegian Univ Life Sci NMBU, As, Norway</t>
  </si>
  <si>
    <t>Ilichev Pacific Oceanological Institute; Russian Academy of Sciences; Norwegian University of Life Sciences</t>
  </si>
  <si>
    <t>Zhukovskaya, A (corresponding author), Russian Acad Sci, VI Ilichev Pacific Oceanol Inst, Far Eastern Branch, Baltijskaya Str 43, Vladivostok 690041, Russia.</t>
  </si>
  <si>
    <t>avianna@poi.dvo.ru</t>
  </si>
  <si>
    <t>Chelomin, Viktor/W-3277-2017; Goryachev, Vladimir/T-6667-2017</t>
  </si>
  <si>
    <t>Zhukovskaya, Avianna/0000-0002-6541-607X; Chelomin, Victor/0000-0002-1840-3057</t>
  </si>
  <si>
    <t>Far East Branch of the Russian Academy of Sciences [AAAA-A17-117030110038-5]</t>
  </si>
  <si>
    <t>Far East Branch of the Russian Academy of Sciences(Russian Academy of Sciences)</t>
  </si>
  <si>
    <t>The work was performed as part of the state assignment program of the Far East Branch of the Russian Academy of Sciences on the theme The Effect of Natural and Anthropogenic Factors on Biogeochemical Processes and the State of Biota in Marine Ecosystems (No: AAAA-A17-117030110038-5).</t>
  </si>
  <si>
    <t>10.1007/s11356-021-12978-8</t>
  </si>
  <si>
    <t>FEB 2021</t>
  </si>
  <si>
    <t>TB2VK</t>
  </si>
  <si>
    <t>WOS:000618606600021</t>
  </si>
  <si>
    <t>Xie, J; Yang, D; Sun, X; Cao, R; Chen, L; Wang, Q; Li, F; Ji, C; Wu, H; Cong, M; Zhao, J</t>
  </si>
  <si>
    <t>Xie, J.; Yang, D.; Sun, X.; Cao, R.; Chen, L.; Wang, Q.; Li, F.; Ji, C.; Wu, H.; Cong, M.; Zhao, J.</t>
  </si>
  <si>
    <t>Combined toxicity of cadmium and lead on early life stages of the Pacific oyster, Crassostrea gigas</t>
  </si>
  <si>
    <t>ISJ-INVERTEBRATE SURVIVAL JOURNAL</t>
  </si>
  <si>
    <t>embryotoxicity; larval mortality; genotoxicity; trace metals; mixture; Crassostrea gigas</t>
  </si>
  <si>
    <t>PARACENTROTUS-LIVIDUS; MYTILUS-GALLOPROVINCIALIS; HEAVY-METALS; EMBRYONIC-DEVELOPMENT; LARVAL BIOASSAYS; TRACE-METALS; BOHAI SEA; POLLUTION; COPPER; MUSSEL</t>
  </si>
  <si>
    <t>Trace metals cause toxic effect on the early development period of marine animals, however only few studies address the toxic interactions of trace metals on bivalves. In the present study, the individual and combined toxicities of dissolved cadmium (Cd) and lead (Pb) on early life stages of the Pacific oyster Crassostrea gigas have been investigated. Embryotoxicity, larvae mortality and genotoxicity were measured under single and combined exposure of the two tested metals. For embryotoxicity, the median effective concentration (EC50) values for individual Cd, Pb and their mixture were of 272.2 mu g/L, 660.3 mu g/L and 373.1 mu g/L, respectively. The median lethal concentrations (LC50) for 96 h larval mortality were determined to be 353.3 mu g/L, 699.5 mu g/L and 205.5 mu g/L for individual Cd, Pb and their mixture, respectively. Moreover, the Marking-Dawson additive toxicity indices were 0.10 for embryogenesis and 1.40 for larval mortality indicating, respectively, an additive effect and a trend to synergism for the Cd and Pb combination. Furthermore, DNA strand breaks were observed in oyster embryos after individual Cd, Pb and their mixture exposure, and a significant positive correlation was demonstrated between embryotoxicity and genotoxicty. The current study suggests the toxicity of Cd is higher than that of Pb, and the Cd-Pb mixture is slightly more toxic than individual Cd or Pb to the Pacific oyster. These data will be helpful to predict the toxicity of metal mixtures, and provide biological criteria for the implementation of marine water quality standards to protect these marine organisms.</t>
  </si>
  <si>
    <t>[Xie, J.; Yang, D.; Cao, R.; Chen, L.; Wang, Q.; Li, F.; Ji, C.; Wu, H.; Cong, M.; Zhao, J.] Chinese Acad Sci, Yantai Inst Coastal Zone Res YIC, Key Lab Coastal Environm Proc &amp; Ecol Remediat,YIC, Shandong Prov Key Lab Coastal Zone Environm Proc, Yantai 264003, Peoples R China; [Xie, J.; Yang, D.; Sun, X.; Cao, R.; Chen, L.; Wang, Q.; Zhao, J.] Chinese Acad Sci, Yantai Inst Coastal Zone Res YIC, Muping Coastal Environm Res Stn, Yantai, Peoples R China; [Xie, J.; Yang, D.; Cao, R.; Chen, L.] Univ Chinese Acad Sci, Beijing 100049, Peoples R China</t>
  </si>
  <si>
    <t>Chinese Academy of Sciences; Yantai Institute of Coastal Zone Research, CAS; Chinese Academy of Sciences; Yantai Institute of Coastal Zone Research, CAS; Chinese Academy of Sciences; University of Chinese Academy of Sciences, CAS</t>
  </si>
  <si>
    <t>Wang, Q; Zhao, J (corresponding author), Chinese Acad Sci, Yantai Inst Coastal Zone Res YIC, Key Lab Coastal Environm Proc &amp; Ecol Remediat,YIC, Shandong Prov Key Lab Coastal Zone Environm Proc, Yantai 264003, Peoples R China.;Wang, Q; Zhao, J (corresponding author), Chinese Acad Sci, Yantai Inst Coastal Zone Res YIC, Muping Coastal Environm Res Stn, Yantai, Peoples R China.</t>
  </si>
  <si>
    <t>qingwang@yic.ac.cn; jmzhao@yic.ac.cn</t>
  </si>
  <si>
    <t>Li, Fei/B-2056-2014</t>
  </si>
  <si>
    <t>Li, Fei/0000-0001-7386-0835</t>
  </si>
  <si>
    <t>Key Research Program of the Chinese Academy of Sciences [KZZD-EW-14]; Strategic Priority Research Program of the Chinese Academy of Sciences [XDA11020702]; Natural Science Foundation of Shandong Province [JQ201310]; Youth Innovation Promotion Association of CAS [2016196]</t>
  </si>
  <si>
    <t>Key Research Program of the Chinese Academy of Sciences(Chinese Academy of Sciences); Strategic Priority Research Program of the Chinese Academy of Sciences(Chinese Academy of Sciences); Natural Science Foundation of Shandong Province(Natural Science Foundation of Shandong Province); Youth Innovation Promotion Association of CAS</t>
  </si>
  <si>
    <t>This research was supported by grants from the Key Research Program of the Chinese Academy of Sciences (Grant No. KZZD-EW-14), the Strategic Priority Research Program of the Chinese Academy of Sciences (XDA11020702), Natural Science Foundation of Shandong Province (No. JQ201310) and the Youth Innovation Promotion Association of CAS (2016196).</t>
  </si>
  <si>
    <t>INVERTEBRATE SURVIVAL JOURNAL</t>
  </si>
  <si>
    <t>MODENA</t>
  </si>
  <si>
    <t>C/O ENZO OTTAVIANI UNIV MODENA &amp; REGGIO EMILIA, DEPT BIOLOGIA ANIMALE, VIA CAMPI, 213-D, MODENA, 41100, ITALY</t>
  </si>
  <si>
    <t>1824-307X</t>
  </si>
  <si>
    <t>ISJ-INVERT SURVIV J</t>
  </si>
  <si>
    <t>ISJ-Invertebr. Surviv. J.</t>
  </si>
  <si>
    <t>Immunology; Zoology</t>
  </si>
  <si>
    <t>EU4VU</t>
  </si>
  <si>
    <t>WOS:000401030600014</t>
  </si>
  <si>
    <t>Conte, F; Copat, C; Longo, S; Conti, GO; Grasso, A; Arena, G; Brundo, MV; Ferrante, M</t>
  </si>
  <si>
    <t>Conte, Francesca; Copat, Chiara; Longo, Sabrina; Conti, Gea Oliveri; Grasso, Alfina; Arena, Giovanni; Brundo, Maria Violetta; Ferrante, Margherita</t>
  </si>
  <si>
    <t>First data on trace elements in Haliotis tuberculata (Linnaeus, 1758) from southern Italy: Safety issues</t>
  </si>
  <si>
    <t>FOOD AND CHEMICAL TOXICOLOGY</t>
  </si>
  <si>
    <t>Heavy metals; Abalone; Food safety; EDI; THQ</t>
  </si>
  <si>
    <t>HEAVY-METALS; RISK-ASSESSMENT; CHROMIUM; CONSUMPTION; VANADIUM; HEALTH; ESSENTIALITY; POLLUTION; TOXICITY; EXPOSURE</t>
  </si>
  <si>
    <t>This study evaluated for the first time the concentrations of 10 metals in wild specimens of abalone, Haliotis tuberculata (Ht) (Linnaeus, 1758) from three sites along the southern Italian coast: Gulf of Catania (Cr), the Northern Coast of Messina (ME) and the harbor of Villa San Giovanni (VSG). The species is commonly found in the area and has significant commercial value. Additionally, it is long lived, thus suitable as bioindicator of the environmental monitoring. The potential human health risks due to consumption of Ht have been assessed by estimated average daily intake (EDI) and target hazard quotient (THQ) of metals, respectively. In particular arsenic (As), cadmium (Cd), copper (Cu), chromium (Cr), iron (Fe), lead (Pb), manganese (Mn), mercury (Hg), selenium (Se) and vanadium (V) were quantified in the edible tissue of specimens by acid digestion of the samples and ICP-MS determination. The highest concentrations were found in CT sample area for most metals analyzed. Mean values for Pb, Cd and Hg were lower than the maximum levels (MLs) set for bivalve mollusks by Regulation (CE) no. 1881/2006 in all sites, and average intake values below the risk levels for human consumption. (C) 2015 Elsevier Ltd. All rights reserved.</t>
  </si>
  <si>
    <t>[Conte, Francesca; Longo, Sabrina] Univ Messina, Dept Vet Publ Hlth, Polo Univ Annunziata, I-98168 Messina, Italy; [Copat, Chiara; Conti, Gea Oliveri; Grasso, Alfina; Arena, Giovanni; Ferrante, Margherita] Univ Catania, Dept Med Surg Sci &amp; Adv Technol GF Ingrassia, I-95123 Catania, Italy; [Brundo, Maria Violetta] Univ Catania, Dept Biol Geol &amp; Environm Sci, I-9514 Catania, Italy</t>
  </si>
  <si>
    <t>University of Messina; University of Catania; University of Catania</t>
  </si>
  <si>
    <t>Copat, C (corresponding author), Univ Catania, Dept Med Surg Sci &amp; Adv Technol GF Ingrassia, Via Santa Sofia 87, I-95123 Catania, Italy.</t>
  </si>
  <si>
    <t>ccopat@unict.it</t>
  </si>
  <si>
    <t>Ferrante, Margherita/B-2781-2011; Oliveri Conti, Gea/N-4034-2016; Longo, Sveva/AAC-4894-2019; Copat, Chiara/H-2192-2013; Brundo, Maria Violetta/Q-4354-2016</t>
  </si>
  <si>
    <t>Arena, Giovanni/0009-0006-8017-5792; Copat, Chiara/0000-0002-2262-6050; Oliveri Conti, Gea/0000-0003-1857-8612; Brundo, Maria Violetta/0000-0001-5146-3564</t>
  </si>
  <si>
    <t>0278-6915</t>
  </si>
  <si>
    <t>1873-6351</t>
  </si>
  <si>
    <t>FOOD CHEM TOXICOL</t>
  </si>
  <si>
    <t>Food Chem. Toxicol.</t>
  </si>
  <si>
    <t>10.1016/j.fct.2015.04.020</t>
  </si>
  <si>
    <t>Food Science &amp; Technology; Toxicology</t>
  </si>
  <si>
    <t>CL1YJ</t>
  </si>
  <si>
    <t>WOS:000356740500018</t>
  </si>
  <si>
    <t>Milan, M; Matozzo, V; Pauletto, M; Di Camillo, B; Giacomazzo, M; Boffo, L; Binato, G; Marin, MG; Patarnello, T; Bargelloni, L</t>
  </si>
  <si>
    <t>Milan, Massimo; Matozzo, Valerio; Pauletto, Marianna; Di Camillo, Barbara; Giacomazzo, Matteo; Boffo, Luciano; Binato, Giovanni; Marin, Maria Gabriella; Patarnello, Tomaso; Bargelloni, Luca</t>
  </si>
  <si>
    <t>Can ecological history influence response to pollutants? Transcriptomic analysis of Manila clam collected in different Venice lagoon areas and exposed to heavy metal</t>
  </si>
  <si>
    <t>Manila clam; Adaptation; Ecological status; Pollutants; Heavy metal; Gene expression</t>
  </si>
  <si>
    <t>SERUM-AMYLOID-A; GENE-EXPRESSION; RUDITAPES-PHILIPPINARUM; MULTIXENOBIOTIC RESISTANCE; OXIDATIVE STRESS; TOPOISOMERASE-I; RISK-ASSESSMENT; POLLUTION; FUNDULUS; COPPER</t>
  </si>
  <si>
    <t>Chronic exposure to environmental pollutants can exert strong selective pressures on natural populations, favoring the transmission over generations of traits that enable individuals to survive and thrive in highly impacted environments. The lagoon of Venice is an ecosystem subject to heavy anthropogenic impact, mainly due to the industrial activities of Porto Marghera (PM), which led to a severe chemical contamination of soil, groundwater, and sediments. Gene expression analysis on wild Manila clams collected in different Venice lagoon areas enabled to identify differences in gene expression profiles between clams collected in PM and those sampled in clean areas, and the definition of molecular signatures of chemical stress. However, it remains largely unexplored to which extent modifications of gene expression patterns persists after removing the source of contamination. It is also relatively unknown whether chronic exposure to xenobiotics affects the response to other chemical pollutants. To start exploring such issues, in the present study a common-garden experiment was coupled with transcriptomic analysis, to compare gene expression profiles of PM clams with those of clams collected in the less impacted area of Chioggia (CH) during a period under the same control conditions. Part of the two experimental groups were also exposed to copper for seven days to assess whether different ecological history does influence response to such pollutant. The results obtained suggest that the chronic exposure to chemical pollution generated a response at the transcriptional level that persists after removal for the contaminated site. These transcriptional changes are centered on key biological processes, such as defense against either oxidative stress or tissue/protein damage, and detoxification, suggesting an adaptive strategy for surviving in the deeply impacted environment of Porto Marghera. On the other hand, CH clams appeared to respond more effectively to copper exposure than PM animals, proposing that chronic exposure to chemical toxicants either lowers the sensitivity to additional toxicants or blunts the capacity to respond to novel chemical challenges in PM clams. (C) 2016 Elsevier B.V. All rights reserved.</t>
  </si>
  <si>
    <t>[Milan, Massimo; Pauletto, Marianna; Patarnello, Tomaso; Bargelloni, Luca] Univ Padua, Dept Comparat Biomed &amp; Food Sci, Viale Univ 16, I-35020 Legnaro, Italy; [Matozzo, Valerio; Giacomazzo, Matteo; Marin, Maria Gabriella] Univ Padua, Dept Biol, Via G Colombo 3, I-35131 Padua, Italy; [Di Camillo, Barbara] Univ Padua, Dept Informat Engn, I-35100 Padua, Italy; [Giacomazzo, Matteo] Univ Quebec Trois Rivieres, Dept Environm Sci, Trois Rivieres, PQ GA9 5H7, Canada; [Boffo, Luciano] Azienda ULSS 14 Chioggia, Chioggia, Italy; [Binato, Giovanni] Ist Zooprofilatt Sperimentale Venezie, Chem Lab, Legnaro, Italy</t>
  </si>
  <si>
    <t>University of Padua; University of Padua; University of Padua; University of Quebec; University of Quebec Trois Rivieres; IZS delle Venezie</t>
  </si>
  <si>
    <t>Milan, M (corresponding author), Univ Padua, Dept Comparat Biomed &amp; Food Sci, Viale Univ 16, I-35020 Legnaro, Italy.</t>
  </si>
  <si>
    <t>massimo.milan@unipd.it</t>
  </si>
  <si>
    <t>Matozzo, Valerio/D-6999-2017; Pauletto, Marianna/K-5518-2019; Marin, Maria Gabriella/KDN-0381-2024; Di Camillo, Barbara/L-3202-2013; Milan, Massimo/H-7428-2019</t>
  </si>
  <si>
    <t>Pauletto, Marianna/0000-0002-2424-7484; MILAN, MASSIMO/0000-0003-0246-9008; MARIN, MARIA/0000-0002-1479-5428</t>
  </si>
  <si>
    <t>10.1016/j.aquatox.2016.02.024</t>
  </si>
  <si>
    <t>DK0LK</t>
  </si>
  <si>
    <t>WOS:000374604100014</t>
  </si>
  <si>
    <t>Lakshmi, P; Rao, YP</t>
  </si>
  <si>
    <t>Evaluation of cadmium toxicity on survival, accumulation and depuration in an intertidal gastropod, Turbo intercostalis -: A laboratory study</t>
  </si>
  <si>
    <t>cadmium toxicity; intertidal gastropods; metal accumulation; metal depuration; metal tolerance</t>
  </si>
  <si>
    <t>LITTORINA-LITTOREA; CD ACCUMULATION; MUSSEL; BINDING; METALS; COPPER; LEAD; ELIMINATION; KINETICS; BIVALVE</t>
  </si>
  <si>
    <t>The effect of cadmium on tolerance, accumulation and depuration was studied in an intertidal gastropod, Turbo intercostalis. Initially, the LC50 value for 96 hr was determined by exposing the snails to different concentrations of cadmium (2.5 to 12.5 ppm) and it was observed to be 6.18 mg L-1. Further, the accumulation and depuration of cadmium was investigated in different tissues namely GDG (Gonad-digestive gland) complex, mantle and foot of T. intercostalis on exposure to a sublethal concentration (1.24 mg L-1) for a period of 20 days. The accumulation of cadmium was found to be more in mantle and GDG complex and less in foot during this exposure and the tissue accumulation was in the order of GDG complex &gt; mantle &gt; foot. The GDG complex was largely responsible for most of the body burden of the metal. The percent body burden of the cadmium exhibited an increasing trend with exposure time in GDG complex while in mantle there was a decreasing trend. The foot tissue was observed to have a less percentage of body burden of cadmium. The fractional retention coefficients were also calculated and they showed a gradual increase with exposure time indicating more retention of metal in the tissues. However, depuration of the metal followed a similar trend of increase in all the tissues. The data suggest that T. intercostalis have a good capacity of accumulation and depuration of heavy metal and it may be considered as a suitable species for biological monitoring of the coastal environment.</t>
  </si>
  <si>
    <t>Andhra Univ, Dept Zool, Div Anim Physiol &amp; Toxicol, Visakhapatnam, Andhra Pradesh, India</t>
  </si>
  <si>
    <t>Andhra University</t>
  </si>
  <si>
    <t>Andhra Univ, Dept Zool, Div Anim Physiol &amp; Toxicol, Visakhapatnam, Andhra Pradesh, India.</t>
  </si>
  <si>
    <t>yprabhakararao@yahoo.com</t>
  </si>
  <si>
    <t>520VV</t>
  </si>
  <si>
    <t>WOS:000173803800013</t>
  </si>
  <si>
    <t>Besada, V; Andrade, JM; Schultze, F; González, JJ</t>
  </si>
  <si>
    <t>Besada, Victoria; Manuel Andrade, Jose; Schultze, Fernando; Jose Gonzalez, Juan</t>
  </si>
  <si>
    <t>Monitoring of heavy metals in wild mussels (Mytilus galloprovincialis) from the Spanish North-Atlantic coast</t>
  </si>
  <si>
    <t>CONTINENTAL SHELF RESEARCH</t>
  </si>
  <si>
    <t>Coastal pollution; Wild mussels; Heavy metals; Spain; Galicia</t>
  </si>
  <si>
    <t>TRACE-METAL; CHEMICAL CONCENTRATIONS; CONTAMINANT LEVELS; BAJA-CALIFORNIA; TEMPORAL TRENDS; MINING AREA; BODY-SIZE; US COAST; NW SPAIN; MERCURY</t>
  </si>
  <si>
    <t>Concentrations of five heavy metals (Hg, Cd, Pb, Cu and Zn) were determined in tissues of wild mussels (Mytilus galloprovincialis) collected at 41 stations located on the Spanish Atlantic and Northern coasts to assess the levels and spatial distribution of metals in the environment. This study, performed in 2005, constituted a contribution to the last international OSPAR pollution monitoring survey. A pool of mussel soft tissue was prepared using 50 or more individuals, representing the size range present at the sampling points. Quantification was carried out after a nitric acid digestion by atomic absorption spectrometry, AAS (Cd and Pb by electrothermal AAS; Cu and Zn by flame AAS; and total mercury by the cold vapour technique). The quality of the chemical analyses was assessed by interlaboratory exercises carried out on a regular basis. In general, the levels of the metals were higher for the Northern region than for the Atlantic one (except for a sampling site close to Vigo, one of the main Galician industrial areas). Some Galician sampling points (Atlantic coast, NW of Spain) located far from human inputs showed high Cd concentrations, which were attributed to the annual upwelling processes in this region. The levels of Cu increased from Northwest to East, whereas Zn concentrations were very homogeneous throughout the two studied geographical regions. These results were confirmed using multivariate studies (PCA and cluster analysis), as well as international 'background assessment concentrations' criteria. (C) 2010 Elsevier Ltd. All rights reserved.</t>
  </si>
  <si>
    <t>[Besada, Victoria; Schultze, Fernando; Jose Gonzalez, Juan] Ctr Oceanog Vigo, IEO, Vigo 36390, Spain; [Manuel Andrade, Jose] Univ A Coruna, Dept Quim Analit, La Coruna 15071, Spain</t>
  </si>
  <si>
    <t>Spanish Institute of Oceanography; Universidade da Coruna</t>
  </si>
  <si>
    <t>Besada, V (corresponding author), Ctr Oceanog Vigo, IEO, Subida Radio Faro 50, Vigo 36390, Spain.</t>
  </si>
  <si>
    <t>victoria.besada@vi.ieo.es; andrade@udc.es; fernando.schultze@vi.ieo.es; jjose.gonzalez@vi.ieo.es</t>
  </si>
  <si>
    <t>Castellon Gonzalez, Juan Jose/AAF-4732-2020; Besada, Victoria/H-4532-2015</t>
  </si>
  <si>
    <t>Besada, Victoria/0000-0003-2039-6498</t>
  </si>
  <si>
    <t>Instituto Espanol de Oceanografia (IEO)</t>
  </si>
  <si>
    <t>This study was financed by the Instituto Espanol de Oceanografia (IEO) and performed within its Marine Pollution Program. The authors would like to thank the technicians of the laboratory belonging to the pollution team from the IEO's Centro Oceano-grafico de Vigo, for their help and collaboration in the collection and preparation of the samples of mussel, in particular to Bruno Cambeiro.</t>
  </si>
  <si>
    <t>0278-4343</t>
  </si>
  <si>
    <t>1873-6955</t>
  </si>
  <si>
    <t>CONT SHELF RES</t>
  </si>
  <si>
    <t>Cont. Shelf Res.</t>
  </si>
  <si>
    <t>APR 1</t>
  </si>
  <si>
    <t>10.1016/j.csr.2010.04.011</t>
  </si>
  <si>
    <t>740TV</t>
  </si>
  <si>
    <t>WOS:000288818200009</t>
  </si>
  <si>
    <t>Dang, TT; Vo, TA; Duong, MT; Pham, TM; Nguyen, QV; Nguyen, TQ; Bui, MQ; Syrbu, NN; Do, MV</t>
  </si>
  <si>
    <t>Dang, Thom Thi; Vo, Thu Anh; Duong, Manh Tuan; Pham, Tuan Minh; Nguyen, Quan Van; Nguyen, Trung Quang; Bui, Minh Quang; Syrbu, Nadezhda N.; Do, Manh Van</t>
  </si>
  <si>
    <t>Heavy metals in cultured oysters (Saccostrea glomerata) and clams (Meretrix lyrata) from the northern coastal area of Vietnam</t>
  </si>
  <si>
    <t>Heavy metals; Bivalve; Oyster; Clam; Saccostrea glomerata; Meretrix lyrata</t>
  </si>
  <si>
    <t>PEARL RIVER ESTUARY; CRASSOSTREA-GIGAS; PARAPENAEUS-LONGIROSTRIS; PACIFIC OYSTER; SEA COAST; BIOACCUMULATION; CONTAMINATION; MUSSELS; SEDIMENTS; SOILS</t>
  </si>
  <si>
    <t>Oysters and clams are abundant and popularly consumed seafood in Viet Nam. These bivalves were proved to be suitable bioindicators to assess the heavy metal accumulation in the aquatic environment. The study is to investigate heavy metals such as As, Cd, Hg and Pb in the cultured oysters Saccostrea glomerata and clams Meretrix lyrata collected in VanDon -Quang Ninh, and CatBa -Hai Phong. The results showed that the metal heavy concentrations in the oysters Saccostrea glomerata and clams Meretrix lyrata presented in the order of As &gt; Cd &gt; Pb &gt; Hg. The most polluted concentration with As among four heavy metals studied in six sampling sites was 2.81 +/- 1.07 and 1.6 +/- 0.62 mg/kg wet weight for clams and oysters, respectively. Investigated heavy metals in cultured oysters and clams indicated potential risks for human health in future by assessment of the heavy metals.</t>
  </si>
  <si>
    <t>[Dang, Thom Thi; Vo, Thu Anh; Duong, Manh Tuan; Pham, Tuan Minh; Do, Manh Van] Vietnam Acad Sci &amp; Technol, Inst Environm Technol, 18 Hoangquocviet Rd, Hanoi, Vietnam; [Dang, Thom Thi; Do, Manh Van] Grad Univ Sci &amp; Technol, Vietnam Acad Sci &amp; Technol, 18 Hoangquocviet Rd, Hanoi, Vietnam; [Nguyen, Quan Van] Vietnam Acad Sci &amp; Technol, Inst Marine Environm &amp; Resources, 18 Hoangquocviet Rd, Hanoi, Vietnam; [Nguyen, Trung Quang; Bui, Minh Quang] Vietnam Acad Sci &amp; Technol, Ctr Res &amp; Technol Transfer, 18 Hoangquocviet Rd, Hanoi, Vietnam; [Syrbu, Nadezhda N.] Russian Acad Sci, Ilichev Pacific Oceanol Inst, Far Eastern Branch, Baltiyskaya Ul 43, Vladivostok, Russia</t>
  </si>
  <si>
    <t>Vietnam Academy of Science &amp; Technology (VAST); Vietnam Academy of Science &amp; Technology (VAST); Vietnam Academy of Science &amp; Technology (VAST); Vietnam Academy of Science &amp; Technology (VAST); Russian Academy of Sciences</t>
  </si>
  <si>
    <t>Do, MV (corresponding author), Vietnam Acad Sci &amp; Technol, Inst Environm Technol, 18 Hoangquocviet Rd, Hanoi, Vietnam.</t>
  </si>
  <si>
    <t>dvmanh@iet.vast.vn</t>
  </si>
  <si>
    <t>Nguyen, Truong/JXN-9786-2024; PHAM, Minh/AAD-7290-2019; Nguyen, Trung/GXG-4868-2022</t>
  </si>
  <si>
    <t>Nguyen, Quang Trung/0000-0003-3835-0703; Van Manh, Do/0000-0003-1975-5035; Nguyen, Quan Van/0000-0002-5910-124X</t>
  </si>
  <si>
    <t>Vietnam Academy of Science and Technology (VAST) under The International Cooperation Program [QTRU02.01/21-22]; VAST [11/HD-VHL]</t>
  </si>
  <si>
    <t>Vietnam Academy of Science and Technology (VAST) under The International Cooperation Program; VAST</t>
  </si>
  <si>
    <t>This research is supported by Vietnam Academy of Science and Technology (VAST) under The International Cooperation Program (QTRU02.01/21-22) . The authors acknowledge funding from VAST, Contract No.11/HD-VHL.</t>
  </si>
  <si>
    <t>10.1016/j.marpolbul.2022.114140</t>
  </si>
  <si>
    <t>SEP 2022</t>
  </si>
  <si>
    <t>5V0SI</t>
  </si>
  <si>
    <t>WOS:000876947900005</t>
  </si>
  <si>
    <t>COLES, JA; FARLEY, SR; PIPE, RK</t>
  </si>
  <si>
    <t>ALTERATION OF THE IMMUNE-RESPONSE OF THE COMMON MARINE MUSSEL MYTILUS-EDULIS RESULTING FROM EXPOSURE TO CADMIUM</t>
  </si>
  <si>
    <t>MUSSEL; IMMUNOCOMPETENCE; HEMOLYMPH; CADMIUM</t>
  </si>
  <si>
    <t>CRASSOSTREA-VIRGINICA; HEAVY-METALS; HEMOCYTES; PHAGOCYTOSIS</t>
  </si>
  <si>
    <t>The common marine mussel Mytilus edulis was used in laboratory-controlled experiments to investigate the effects of exposure to cadmium on immune capability. Haemolymph was extracted from mussels exposed for 7 d to 40 and 400 mu g l(-1) of cadmium, and assays were carried out to investigate the potential for immune response. The assays included total and differential haemocyte counts, the release of intracellular and extracellular reactive oxygen metabolites, phagocytosis, release of degradative enzymes and uptake of neutral red. Cadmium at 400 pg l(-1) resulted in significantly enhanced numbers of circulating haemocytes and increased uptake of neutral red. No alteration was demonstrated in proportions of circulating haemocyte types, phagocytosis or production of reactive oxygen metabolites. The release of degradative enzymes during phagocytosis was found to be significantly suppressed at the 40 pg l(-1) cadmium concentration. Assays to determine the immune function may provide a sensitive measure of the health status of an individual or population under pollutant stress. However the variability in effects produced in different aspects of immune function emphasises the need for a multi-assay approach to monitoring pollution. The observed effects on immunocompetence, at environmentally realistic levels of contaminant, support the view that a relationship exists between pollution and immunomodulation in aquatic organisms.</t>
  </si>
  <si>
    <t>PLYMOUTH MARINE LAB,NATL ENVIRONM RES COUNCIL,PLYMOUTH PL1 2PB,DEVON,ENGLAND</t>
  </si>
  <si>
    <t>Plymouth Marine Laboratory</t>
  </si>
  <si>
    <t>MAY 4</t>
  </si>
  <si>
    <t>10.3354/dao022059</t>
  </si>
  <si>
    <t>RB986</t>
  </si>
  <si>
    <t>WOS:A1995RB98600009</t>
  </si>
  <si>
    <t>Xia, LP; Chen, SH; Dahms, HU; Ying, XP; Peng, X</t>
  </si>
  <si>
    <t>Xia, Liping; Chen, Sihan; Dahms, Hans-Uwe; Ying, Xueping; Peng, Xue</t>
  </si>
  <si>
    <t>Cadmium induced oxidative damage and apoptosis in the hepatopancreas of Meretrix meretrix</t>
  </si>
  <si>
    <t>Cadmium; Meretrix meretrix; Hepatopancreas; Apoptosis; Antioxidant enzymes</t>
  </si>
  <si>
    <t>ANTIOXIDANT ENZYME-ACTIVITIES; LIPID-PEROXIDATION; STRESS BIOMARKERS; DNA-DAMAGE; GLUTATHIONE; RESPONSES; PROTEIN; ZINC; ACCUMULATION; EXPRESSION</t>
  </si>
  <si>
    <t>Even trace amounts of cadmium (Cd), a non-essential metal, are known to be toxic to aquatic organisms. Here we investigated the relationship between cadmium ion (Cd2+) exposure and oxidative damage and apoptosis in the hepatopancreas of the clam Meretrix meretrix. Clams were exposed to different concentrations of Cd2+ (0, 1.5, 3, 6 and 12 mg L-1) for 5 days. We monitored both antioxidant enzyme activity, including that of superoxide dismutase (SOD), catalase (CAT), glutathione peroxidases (GPx), and levels of malondialdehyde (MDA), glutathione (GSH) and glutathione disulfide (GSSG). Apoptosis of hepatopancreatic cells was detected by DNA laddering and AO/EB double fluorescent staining. The results show that the rate of apoptotis, MDA levels, and caspase-3 activity, increased with Cd2+ concentration, whereas GPx activity and the ratio of GSH/GSSG, decreased. SOD and CAT enzyme activity first increased, then decreased, with increasing Cd2+ concentration; peak activity of these enzymes was recorded in the 3 mg L-1 Cd2+-treatment group. These results show that Cd-induced oxidative damage can both induce, and aggravate, apoptosis in the hepatopancreatic cells of clams, even at Cd2+ concentrations far below the semi-lethal dose for adult clams. The observed changes in caspase-3 activity enhanced significantly at lower Cd2+ concentrations, indicating that caspase-3 is a suitable biomarker for heavy metal pollution, especially cadmium pollution, in marine organisms.</t>
  </si>
  <si>
    <t>[Xia, Liping; Chen, Sihan; Ying, Xueping; Peng, Xue] Wenzhou Univ, Coll Life &amp; Environm Sci, Wenzhou 325035, Zhejiang, Peoples R China; [Dahms, Hans-Uwe] Med Univ Biol, Dept Biomed Sci &amp; Environm Kaohsiung, 100 Shin Chuan 1st Rd, Kaohsiung 80708, Taiwan</t>
  </si>
  <si>
    <t>Ying, XP (corresponding author), Wenzhou Univ, Coll Life &amp; Environm Sci, Wenzhou 325035, Zhejiang, Peoples R China.</t>
  </si>
  <si>
    <t>Nature Science Foundation of Zhejiang Province, China [LY13C040003]; Science-Technology Innovation Team of Wenzhou City [C201210351012]; National Student Innovation Training Project [2014049]; MOST [104-2621-M-037-001]; KMU [KMU-Q104018]</t>
  </si>
  <si>
    <t>Nature Science Foundation of Zhejiang Province, China(Natural Science Foundation of Zhejiang Province); Science-Technology Innovation Team of Wenzhou City; National Student Innovation Training Project; MOST; KMU</t>
  </si>
  <si>
    <t>This study was funded the Nature Science Foundation of Zhejiang Province, China (Grant Number LY13C040003) (to XPY), the Science-Technology Innovation Team of Wenzhou City (Grant Number C201210351012) (to XPY), the National Student Innovation Training Project (Grant Number 2014049) (to LPX), MOST 104-2621-M-037-001 to T.H. SHIH, A newcomer project from KMU to HUD (Grant Number KMU-Q104018).</t>
  </si>
  <si>
    <t>10.1007/s10646-016-1653-7</t>
  </si>
  <si>
    <t>DM9JR</t>
  </si>
  <si>
    <t>WOS:000376682600012</t>
  </si>
  <si>
    <t>Locatelli, C; Melucci, D; De Laurentiis, F; Zappi, A; Casolari, S</t>
  </si>
  <si>
    <t>Locatelli, Clinio; Melucci, Dora; De Laurentiis, Francesco; Zappi, Alessandro; Casolari, Sonia</t>
  </si>
  <si>
    <t>Multianalyte voltammetric determination of traffic-linked metals in marine organisms employed as pollution bio-monitors</t>
  </si>
  <si>
    <t>INTERNATIONAL JOURNAL OF ENVIRONMENTAL ANALYTICAL CHEMISTRY</t>
  </si>
  <si>
    <t>Platinum Group Metals (PGMs); toxic metals; mussels; clams; SWAdCSV; spectroscopy</t>
  </si>
  <si>
    <t>PLATINUM-GROUP METALS; CATHODIC STRIPPING VOLTAMMETRY; ULTRATRACE CONCENTRATION LEVEL; MUSSEL DREISSENA-POLYMORPHA; GROUP ELEMENTS; HEAVY-METALS; COASTAL WATERS; HEALTH-RISK; SQUARE-WAVE; MYTILUS-GALLOPROVINCIALIS</t>
  </si>
  <si>
    <t>A new procedure is proposed for the voltammetric determination of ultra-trace cadmium(II), copper(II), lead(II), platinum(II), palladium(II), rhodium(III) and zinc(II) by a single run of square wave adsorptive catalytic stripping voltammetry. The voltammetric cell was based on a typical three-electrodes set-up: working electrode (stationary hanging mercury drop), reference electrode (Ag|AgCl|KClsat) and auxiliary electrode (platinum). The supporting electrolyte contained the formazone complex together with dimethylglyoxime and the disodium salt of ethylenediaminetetraacetic acid. Validation of the analytical procedure was obtained by the analysis of standard reference materials (Mussel Tissue BCR-CRM 278, Oyster Tissue NIST-SRM 1566a). Comparison with spectroscopic measurements was performed. Good accuracy was achieved. The analytical procedure was finally applied to mussels and clams sampled on the mouth of Po river, employed as bio-monitors.</t>
  </si>
  <si>
    <t>[Locatelli, Clinio; Melucci, Dora; De Laurentiis, Francesco; Zappi, Alessandro; Casolari, Sonia] Univ Bologna, Dept Chem G Ciamician, Bologna, Italy; [Locatelli, Clinio; Melucci, Dora; De Laurentiis, Francesco; Zappi, Alessandro; Casolari, Sonia] Univ Bologna, Analyt Environm Chem Lab, CIRSA, Ravenna, Italy</t>
  </si>
  <si>
    <t>University of Bologna; University of Bologna</t>
  </si>
  <si>
    <t>Melucci, D (corresponding author), Univ Bologna, Dept Chem G Ciamician, Bologna, Italy.</t>
  </si>
  <si>
    <t>dora.melucci@unibo.it</t>
  </si>
  <si>
    <t>Melucci, Dora/AAU-9766-2020</t>
  </si>
  <si>
    <t>Melucci, Dora/0000-0001-5505-6763</t>
  </si>
  <si>
    <t>University of Bologna (Funds for Selected Research Topics)</t>
  </si>
  <si>
    <t>Investigation supported by the University of Bologna (Funds for Selected Research Topics).r The preliminary experimental work relevant to the present article was described in a poster at the XXVI Congress of the Italian Chemical Society, Analytical Chemistry Division (Messina, Italy, 2016). That poster also reported some constructive discussion by Prof. Marcello Locatelli: the Authors wish to thank Marcello for his valuable comments.</t>
  </si>
  <si>
    <t>0306-7319</t>
  </si>
  <si>
    <t>1029-0397</t>
  </si>
  <si>
    <t>INT J ENVIRON AN CH</t>
  </si>
  <si>
    <t>Int. J. Environ. Anal. Chem.</t>
  </si>
  <si>
    <t>MAY 28</t>
  </si>
  <si>
    <t>10.1080/03067319.2020.1739665</t>
  </si>
  <si>
    <t>MAR 2020</t>
  </si>
  <si>
    <t>1E1IZ</t>
  </si>
  <si>
    <t>WOS:000520540000001</t>
  </si>
  <si>
    <t>Boudjema, K; Badis, A; Moulai-Mostefa, N</t>
  </si>
  <si>
    <t>Boudjema, Kamel; Badis, Abdelmalek; Moulai-Mostefa, Nadji</t>
  </si>
  <si>
    <t>Study of heavy metal bioaccumulation in Mytilus galloprovincialis (Lamark 1819) from heavy metal mixture using the CCF design</t>
  </si>
  <si>
    <t>ENVIRONMENTAL TECHNOLOGY &amp; INNOVATION</t>
  </si>
  <si>
    <t>Heavy metals; LC50; Mytilus galloprovincialis; Bioaccumulation; Modeling; Optimization; RSM</t>
  </si>
  <si>
    <t>MUSSEL DREISSENA-POLYMORPHA; PERNA-VIRIDIS LINNAEUS; ANGUILLA-ANGUILLA; ACUTE TOXICITY; IN-SITU; COPPER; CADMIUM; WATER; ACCUMULATION; ZINC</t>
  </si>
  <si>
    <t>Marine pollutants such as heavy metals are well-known due to their bioaccumulative nature, toxicity and persistence in the marine environment. The present research aims to evaluate the bioaccumulation of three metals (Cd, Zn and Cu), individual mean (multimetal) bioaccumulation index (IMBI) and metal pollution index (MPI) as an assessment tool in Mediterranean mussel (Mytilus galloprovincis), based on the full factorial central composite face centered (CCF) design. Mussels were exposed to different sub-lethal concentrations (0-10%-72h-LC50 -72h-mg.L-1) of studied heavy metals for three days. At the end of exposure cycle, the bioaccumulations of heavy metals content in mussels were determined. Multiple regressions were used to fit experimental data to a second-order polynomial equation, which was then examined using variance analysis (ANOVA). The results revealed that the indexes IMBI and MPI depend on the type and concentration of metals and also on the metals combination. Accordingly, the toxicological metal-metal interactions were found not linear meaning supra-additive (synergistic), infra-additive (antagonistic) or no/zero interaction. The optimization of experimental data was used to determine the optimal conditions for the heavy metal bioaccumulation. It was demonstrated that the CCF design combined with the concept of quantitative bioindicators can be used as appropriate tool in ecotoxicological evaluation and prediction of metals bioaccumulation. (C) 2021 The Author(s). Published by Elsevier B.V.</t>
  </si>
  <si>
    <t>[Boudjema, Kamel; Moulai-Mostefa, Nadji] Univ Medea, Lab Mat &amp; Environm LME, Ain Dheb 26001, Medea, Algeria; [Badis, Abdelmalek] Univ Saad Dahlab, Lab Nat Subst Chem &amp; BioMol LNSC BioM, POB 270, Blida 09000, Algeria; [Boudjema, Kamel; Badis, Abdelmalek] Natl Ctr Res &amp; Dev Fisheries &amp; Aquaculture CNRDPA, 11 Bd Amirouche,POB 67, Bousmail 42415, W Tipaza, Algeria</t>
  </si>
  <si>
    <t>Universite Yahia Fares Medea; Universite Saad Dahlab de Blida</t>
  </si>
  <si>
    <t>Boudjema, K (corresponding author), Univ Medea, Lab Mat &amp; Environm LME, Ain Dheb 26001, Medea, Algeria.</t>
  </si>
  <si>
    <t>Algerian Ministry of Fisheries and Fisheries Production; General Directorate for Scientific Research and Technological Development (DGRSDT) of the Algerian Ministry of Higher Education and Scientific Research (MESRS) [PRD/TN/DZ/21/13]</t>
  </si>
  <si>
    <t>Algerian Ministry of Fisheries and Fisheries Production; General Directorate for Scientific Research and Technological Development (DGRSDT) of the Algerian Ministry of Higher Education and Scientific Research (MESRS)</t>
  </si>
  <si>
    <t>This work is part of the CNRDPA research program and it was financially supported by the Algerian Ministry of Fisheries and Fisheries Production and the General Directorate for Scientific Research and Technological Development (DGRSDT) of the Algerian Ministry of Higher Education and Scientific Research (MESRS) under the framework of the Algerian-Tunisian RDP Cooperation Program 2021-2024 CNRDPA/CBS (Project AliPoiAgro, code PRD/TN/DZ/21/13).</t>
  </si>
  <si>
    <t>2352-1864</t>
  </si>
  <si>
    <t>ENVIRON TECHNOL INNO</t>
  </si>
  <si>
    <t>Environ. Technol. Innov.</t>
  </si>
  <si>
    <t>10.1016/j.eti.2021.102202</t>
  </si>
  <si>
    <t>DEC 2021</t>
  </si>
  <si>
    <t>Biotechnology &amp; Applied Microbiology; Engineering, Environmental; Environmental Sciences</t>
  </si>
  <si>
    <t>Biotechnology &amp; Applied Microbiology; Engineering; Environmental Sciences &amp; Ecology</t>
  </si>
  <si>
    <t>YX6AK</t>
  </si>
  <si>
    <t>WOS:000754183300005</t>
  </si>
  <si>
    <t>Li, ZF; Li, M; Xiao, GQ; Teng, SS</t>
  </si>
  <si>
    <t>Li, Zongfang; Li, Min; Xiao, Guoqiang; Teng, Shuangshuang</t>
  </si>
  <si>
    <t>Expression of ABCA3 transporter gene in Tegillarca granosa and its association with cadmium accumulation</t>
  </si>
  <si>
    <t>Cadmium; ABCA3; RNAi; Protein; mRNA expression</t>
  </si>
  <si>
    <t>CLAM CORBICULA-FLUMINEA; P-GLYCOPROTEIN; BLOOD CLAM; MULTIXENOBIOTIC RESISTANCE; MULTIDRUG-RESISTANCE; LIPID TRANSPORTER; MARINE BIVALVE; PULMONARY SURFACTANT; RESPIRATORY-FAILURE; SUBCHRONIC EXPOSURE</t>
  </si>
  <si>
    <t>Exposure to cadmium (Cd), a heavy metal, can cause strong and toxic side effects. Cd can enter the body of organisms in several ways, leading to various pathological reactions in the body. Tegillarca granosa is a kind of bivalve shellfish favored by people in the coastal areas of China. Bivalve shellfish can easily absorb heavy metal pollutants from water bodies while filter feeding. T. granosa is considered a hyper-accumulator of Cd, and the TgABCA3 gene is highly expressed in individuals with a high content of Cd-exposed blood clam. However, it is unclear whether TgABCA3 is involved in Cd ion transport in blood clam and the molecular mechanism for the mechanism of the Cd-induced responses for maintaining cell homeostasis. In this study, the complete cDNA of the TgABCA3 gene was analyzed to provide insights into the roles of TgABCA3 in resistance against Cd in blood clam. The complete sequence of TgABCA3 showed high identity to that of TgABCA3 from other bivalves and contained some classical motifs of ATP-binding cassette transport proteins. TgABCA3 expression in different tissues was measured using real-time quantitative polymerase chain reaction (qRT-PCR) and western blot analysis. The tissue-specific expression showed that TgABCA3 expression was highest in the gill tissue. The TgABCA3 expression in the gill tissue was silenced using the RNA interference technique. After TgABCA3 silencing, the TgABCA3 expression decreased, the Cd content increased, the oxygen consumption and ammonia excretion rates increased, and the ingestion rate decreased. These results showing that the extents of Cd accumulation and resulting toxic effects are related to expression levels and activity of TgABCA3 indicate that TgABCA3 has a protective function against Cd in the clam. This increase in Cd accumulation results in serious damage to the body, leading to the enhancement of its physiological metabolism. Therefore, the findings of the study demonstrated that TgABCA3 can participate in the transport of Cd ions in the blood clam through active transport and play a vital role in Cd detoxification.</t>
  </si>
  <si>
    <t>[Li, Zongfang; Li, Min; Xiao, Guoqiang; Teng, Shuangshuang] Zhejiang Mariculture Res Inst, Zhejiang Key Lab Exploitat &amp; Preservat Coastal Bio, Wenzhou Key Labroatory Marine Biol Genet &amp; Breedin, Wenzhou 325005, Peoples R China; [Li, Zongfang; Xiao, Guoqiang] Zhejiang Ocean Univ, Zhoushan 316022, Peoples R China; [Teng, Shuangshuang] 6-1 Hetongqiao Rd, Wenzhou, Zhejiang, Peoples R China</t>
  </si>
  <si>
    <t>Teng, SS (corresponding author), 6-1 Hetongqiao Rd, Wenzhou, Zhejiang, Peoples R China.</t>
  </si>
  <si>
    <t>Youth Science Foundation Project of the National Natural Science Foundation of China [31902358]; National Key Research and development Program of China [2018YFD0901405-2, 2020YFD 0900802]; Agriculture Research System of MOF and MARA of China [CARS -49]; Zhejiang Major Program of Science and Tchnology of China [2021C02069-7]; Wenzhou agricultural new variety breeding cooperation group of China [2019ZX001-1]</t>
  </si>
  <si>
    <t>Youth Science Foundation Project of the National Natural Science Foundation of China; National Key Research and development Program of China(National Key Research &amp; Development Program of China); Agriculture Research System of MOF and MARA of China; Zhejiang Major Program of Science and Tchnology of China; Wenzhou agricultural new variety breeding cooperation group of China</t>
  </si>
  <si>
    <t>This work was supported by the Youth Science Foundation Project of the National Natural Science Foundation of China (31902358) , the National Key Research and development Program of China (2018YFD0901405-2; 2020YFD 0900802) , the Agriculture Research System of MOF and MARA of China (CARS -49) , the Zhejiang Major Program of Science and Tchnology of China (2021C02069-7) , and the Wenzhou agricultural new variety breeding cooperation group of China (2019ZX001-1) .</t>
  </si>
  <si>
    <t>10.1016/j.gene.2022.146865</t>
  </si>
  <si>
    <t>4P7DA</t>
  </si>
  <si>
    <t>WOS:000855551000001</t>
  </si>
  <si>
    <t>PHILLIPS, DJH</t>
  </si>
  <si>
    <t>COMMON MUSSEL MYTILUS-EDULIS AS AN INDICATOR OF POLLUTION BY ZINC, CADMIUM, LEAD AND COPPER .1. EFFECTS OF ENVIRONMENTAL VARIABLES ON UPTAKE OF METALS</t>
  </si>
  <si>
    <t>The net uptake of Zn, Cd, Pb and Cu by the common mussel M. edulis exposed to different conditions was investigated with a view to using this species as an indicator of contamination of the marine environment by these metals. The variables studied were season, position of the mussel in the water column, walter salinity, water temperature and the simultaneous presence of all 4 metals. Each of these 5 variables affected the net uptake of some or all of the metals studied under some conditions. Seasonal variation in concentrations of Zn, Cd and Cu was found in samples collected at 3 separate locations. The relationship of seasonal variation to tissue weight and absorption route of the metals is discussed. Near to freshwater inputs of trace metals, the concentrations of Zn, Cd and Pb in mussels varied according to the depth at which the mussels were collected; in summer when freshwater run-off is less, this effect was absent. Low salinities did not affect the net uptake of Zn by mussels, but increased the net uptake of Cd and decreased that of Pb. Low temperatures had no effect on the net uptake of Zn or Pb; the net uptake of Cd was unaffected by low temperatures at high salinities but was decreased by low temperatures at low salinities. The presence of the other metals had no effect on the individual net uptake of Zn, Cd or Pb. A sampling program was devised to eliminate the effects of these environmental variables and to allow the use of M. edulis as an indicator of Zn, Cd and Pb in marine and estuarine environments. In contrast to the other metals, the net uptake of Cu by the mussel was extremely erratic and was affected by salinity and temperature changes and by the presence of the other metals and changes in their relative concentrations. The effects of other metals on the net uptake of Cu cannot be easily eliminated or allowed for; the mussel should not be used as an indicator of Cu in the marine environment.</t>
  </si>
  <si>
    <t>UNIV MELBOURNE, DEPT ZOOL, MELBOURNE, AUSTRALIA</t>
  </si>
  <si>
    <t>10.1007/BF00391486</t>
  </si>
  <si>
    <t>CK099</t>
  </si>
  <si>
    <t>WOS:A1976CK09900007</t>
  </si>
  <si>
    <t>Bendell, LI; Feng, C</t>
  </si>
  <si>
    <t>Bendell, Leah I.; Feng, Cindy</t>
  </si>
  <si>
    <t>Spatial and temporal variations in cadmium concentrations and burdens in the Pacific oyster (Crassostrea gigas) sampled from the Pacific north-west</t>
  </si>
  <si>
    <t>Cadmium; Oysters; Bivalves; Accumulation; Burden</t>
  </si>
  <si>
    <t>WEIGHT; ZINC</t>
  </si>
  <si>
    <t>Oysters from the north-west coast of Canada contain high levels of cadmium, a toxic metal, in amounts that exceed food safety guidelines for international markets. A first required step to determine the sources of cadmium is to identify possible spatial and temporal trends in the accumulation of cadmium by the oyster. To meet this objective, rather than sample wild and cultured oysters of unknown age and origin, an oyster grow-out experiment was initiated. Cultured oyster seed was suspended in the water column up to a depth of 7 m and the oyster seed allowed to mature a period of 3 years until market size. Oysters were sampled bimonthly and at time of sampling, temperature, chlorophyll-a, turbidity and salinity were measured. Oyster total shell length, dry tissue weights, cadmium concentrations (mu g g(-1)) and burdens (mu g of cadmium oyster(-1)) were determined. Oyster cadmium concentrations and burdens were then interpreted with respect to the spatial and temporal sampling design as well as to the measured physio-chemical and biotic variables. When expressed as a concentration, there was a marked seasonality with concentrations being greater in winter as compared in summer; however no spatial trend was evident. When expressed as a burden which corrects for differences in tissue mass, there was no seasonality, however cadmium oyster burdens increased from south to north. Comparison of cadmium accumulation rates oyster(-1) among sites indicated three locations, Webster Island, on the west side of Vancouver Island, and two within Desolation Sound, Teakerne Arm and Redonda Bay, where point sources of cadmium which are not present at all other sampling locations may be contributing to overall oyster cadmium burdens. Of the four physio-chemical factors measured only temperature and turbidity weakly correlated with tissue cadmium concentrations (r(2) = -0.13; p &lt; 0.05). By expressing oyster cadmium both as concentration and burden, regional and temporal patterns were demonstrated, which may have been missed if just concentration was determined. (C) 2009 Elsevier Ltd. All rights reserved.</t>
  </si>
  <si>
    <t>[Bendell, Leah I.; Feng, Cindy] Simon Fraser Univ, Dept Biol Sci, Burnaby, BC V5A 1S6, Canada</t>
  </si>
  <si>
    <t>Simon Fraser University</t>
  </si>
  <si>
    <t>Bendell, LI (corresponding author), Simon Fraser Univ, Dept Biol Sci, 8888 Univ Ave, Burnaby, BC V5A 1S6, Canada.</t>
  </si>
  <si>
    <t>bendell@sfu.ca</t>
  </si>
  <si>
    <t>Feng, Cindy/0000-0003-4030-7413</t>
  </si>
  <si>
    <t>Environment Canada; Ministry of the Environment</t>
  </si>
  <si>
    <t>Environment Canada(CGIAR); Ministry of the Environment(Ministry of the Environment, Japan)</t>
  </si>
  <si>
    <t>This study was made possible through the tremendous support and sampling efforts of Dr. G. Kruzynski (Fisheries and Oceans, Canada) and Dr. W. Heath (Ministry of Agriculture and Lands, British Columbia) who often risked life and limb for the collection of just of few more samples. Sampling also was only possible through the co-operation and support of the participating shellfish growers to which LB is extremely grateful. Technical assistance of Tyler Gray, Kyle Taylor, Jeff Christie, Dave MacKay and Tracey Brunjes is gratefully acknowledged. Funding was provided through Environment Canada as well as through the provincial Ministry of the Environment.</t>
  </si>
  <si>
    <t>10.1016/j.marpolbul.2009.04.006</t>
  </si>
  <si>
    <t>485RS</t>
  </si>
  <si>
    <t>WOS:000269142000016</t>
  </si>
  <si>
    <t>Ramírez-Pérez, AM; Paradelo, M; Nóvoa-Muñoz, JC; Arias-Estévez, M; Fernández-Sanjurjo, MJ; Alvarez-Rodríguez, E; Núñez-Delgado, A</t>
  </si>
  <si>
    <t>Ramirez-Perez, A. M.; Paradelo, M.; Novoa-Munoz, J. C.; Arias-Estevez, M.; Fernandez-Sanjurjo, M. J.; Alvarez-Rodriguez, E.; Nunez-Delgado, A.</t>
  </si>
  <si>
    <t>Heavy metal retention in copper mine soil treated with mussel shells: Batch and column experiments</t>
  </si>
  <si>
    <t>JOURNAL OF HAZARDOUS MATERIALS</t>
  </si>
  <si>
    <t>Adsorption; Heavy metals retention; Laboratory columns; Mine soil; Mussel shell; Transport experiments</t>
  </si>
  <si>
    <t>CHEMICAL NONEQUILIBRIUM; COMPETITIVE SORPTION; DISSOLUTION RATES; SEWAGE-SLUDGE; TRANSPORT; CD; ADSORPTION; DESORPTION; ARAGONITE; ALUMINUM</t>
  </si>
  <si>
    <t>Batch and column experiments are used to study the effects of ground mussel shell amendment on the retention of heavy metals in acidic mine soil. The soil pH increases proportionally with the mussel shell concentration employed. Mussel shell amendment increases Cu, Cd, Ni and Zn retention in mine soil when compared with unamended soil. In fact, Cu retention was 6480 mu mol kg(-1) (43% of the total added) when the maximum metal concentration (1570 mu M) was added to the unamended soil, whereas retention reached 15,039 mu mol kg(-1) (99.9% of the total Cu added) when soil was amended with 24g kg(-1) mussel shell; in the case of Cd, adsorption increases from 3257 mu mol kg(-1) (15% of the total added) for the unamended soil, to 13,200 mu mol kg(-1) (87% of the total added) for the shell-amended soil; Ni retention increased from 3767 mu mol kg(-1) (25% of the total added) corresponding to unamended soil, to 11,854 mu mol kg(-1) (77% of the total added) for the shell-amended soil; and finally, Zn retention increased from 4684 mu mol kg(-1) (31% of the total added), for unamended soil, to 14,952 mu mol kg(-1) (98% of the total added) for shell-amended soil. The results of the constant flow transport experiments show that the addition of the 24 g kg(-1) mussel shells can retain Cu, Cd, Ni and Zn within the first few centimetres of the column length, indicating the usefulness of ground mussel shells to drastically decrease the mobility and availability of these pollutants and to facilitate soil remediation. (C) 2013 Elsevier B.V. All rights reserved.</t>
  </si>
  <si>
    <t>[Ramirez-Perez, A. M.; Paradelo, M.; Novoa-Munoz, J. C.; Arias-Estevez, M.] Univ Vigo, Fac Ciencias, Area Edafol &amp; Quim Agr, Dept Biol Vexetal &amp; Ciencia Solo Plant Biol &amp; Soi, Orense 32004, Spain; [Fernandez-Sanjurjo, M. J.; Alvarez-Rodriguez, E.; Nunez-Delgado, A.] Univ Santiago de Compostela, Escola Politecn Super, Dept Edafol &amp; Quim Agr Soil Sci &amp; Agr Chem, Lugo 27002, Spain</t>
  </si>
  <si>
    <t>Arias-Estévez, M (corresponding author), Univ Vigo, Fac Ciencias, Area Edafol &amp; Quim Agr, Dept Biol Vexetal &amp; Ciencia Solo Plant Biol &amp; Soi, Campus Ourense,As Lagoas S-N, Orense 32004, Spain.</t>
  </si>
  <si>
    <t>mastevez@uvigo.es</t>
  </si>
  <si>
    <t>Nóvoa-Muñoz, J. C./A-9181-2009; Fernández-Sanjurjo, María/ABC-6938-2020; Paradelo, Marcos/AAU-5453-2020; Paradelo, Marcos/J-7077-2015; Alvarez, Esperanza/B-3154-2018; Arias-Estevez, Manuel/M-8629-2016; Nunez-Delgado, Avelino/K-3964-2013</t>
  </si>
  <si>
    <t>Novoa-Munoz, Juan Carlos/0000-0003-3062-4191; Paradelo, Marcos/0000-0002-2768-0136; Fernandez-Sanjurjo, Maria J./0000-0001-6728-7147; Alvarez, Esperanza/0000-0003-3470-2679; Arias-Estevez, Manuel/0000-0002-9162-1587; Ramirez-Perez/0000-0002-9355-9545; Nunez-Delgado, Avelino/0000-0001-5373-1606</t>
  </si>
  <si>
    <t>Government of Galicia (Spain) [PGIDT 09MDS013291PR]</t>
  </si>
  <si>
    <t>This work was funded by the Government of Galicia (Spain). Reference PGIDT 09MDS013291PR.</t>
  </si>
  <si>
    <t>0304-3894</t>
  </si>
  <si>
    <t>J HAZARD MATER</t>
  </si>
  <si>
    <t>J. Hazard. Mater.</t>
  </si>
  <si>
    <t>MAR 15</t>
  </si>
  <si>
    <t>10.1016/j.jhazmat.2012.12.045</t>
  </si>
  <si>
    <t>124DK</t>
  </si>
  <si>
    <t>WOS:000317443800013</t>
  </si>
  <si>
    <t>Heavy metal pollution and macrobenthic assemblages in soft sediments in two Sydney estuaries, Australia</t>
  </si>
  <si>
    <t>SPATIAL VARIATION; MARINE-SEDIMENTS; COMMUNITY STRUCTURE; TEMPORAL VARIATION; BENTHOS; BIODIVERSITY; DISTURBANCE; COPPER</t>
  </si>
  <si>
    <t>The influence df heavy metals (copper, lead and zinc) associated with urban runoff, on assemblages of macrofauna in intertidal soft sediments was studied in two estuaries in the Sydney region. The patterns of distribution and abundance of fauna and assemblages was found to vary significantly at several spatial scales: within bays in an estuary, between bays within an estuary and between bays from different estuaries. Significant differences were found in concentrations of heavy metals in sediments, but there was very little difference among bays in other environmental variables: grain-size characteristics and organic matter content of sediments. Bays polluted by heavy metals had significantly different assemblages to unpolluted bays, were generally less diverse and were characterized by an order-of-magnitude greater abundance of capitellids, spionids, nereids and bivalves. Unpolluted bays had greater abundance of crustaceans and several polychaete families, including paraonids and nephtyids and were generally more diverse. There was a significant correlation between patterns of assemblages and concentrations of heavy metals, but not with other environmental variables.</t>
  </si>
  <si>
    <t>C S I R O PUBLISHING</t>
  </si>
  <si>
    <t>COLLINGWOOD</t>
  </si>
  <si>
    <t>150 OXFORD ST, PO BOX 1139, COLLINGWOOD, VICTORIA 3066, AUSTRALIA</t>
  </si>
  <si>
    <t>10.1071/MF97188</t>
  </si>
  <si>
    <t>168UB</t>
  </si>
  <si>
    <t>WOS:000078710100010</t>
  </si>
  <si>
    <t>Cattani, O; Fabbri, D; Salvati, M; Trombini, C; Vassura, I</t>
  </si>
  <si>
    <t>Biomonitoring of mercury pollution in a wetland near Ravenna, Italy by translocated bivalves (Mytilus galloprovincialis)</t>
  </si>
  <si>
    <t>Symposium on Mechanisms and Effects of Resistant Sorption Processes of Organic Compounds in Natural Particles, at the 214th National Meeting of the ACS</t>
  </si>
  <si>
    <t>LAS VEGAS, NV</t>
  </si>
  <si>
    <t>mercury; biomonitoring; mussels; translocation; coastal wetland</t>
  </si>
  <si>
    <t>CONTAMINATED SEDIMENTS; TRACE-METAL; EDULIS; WATERS; MUSSEL; LAGOON; BIOAVAILABILITY; METHYLMERCURY; ACCUMULATION; INDICATORS</t>
  </si>
  <si>
    <t>An active biomonitoring experiment using mussels (Mytilus galloprovincialis) was performed in Pialassa Baiona, a mercury-polluted coastal wetland near Ravenna, Italy. Three stations (A, B, and C) were selected along the south to north axis. Following a 52-d field exposure, organisms transplanted in the southernmost polluted area (station A) showed mean mercury concentration values of 660 ng/g (dry weight), 4.4 times the initial background level, and were still accumulating mercury. Mussels in both the central area (station B) and the northern area (station C) seemed to reach a steady state with mean mercury concentration values of 323 and 412 ng/g, respectively. This field experiment is the first study carried out in the Ravenna wetlands to evaluate mercury bioavailability in this environment. Finally, the efficiency of the population of Mytilus galloprovincialis selected for the field experiment as mercury bioaccumulators was tested in a laboratory experiment that revealed that up to 135 mu g/g (dry weight) could be reached after 77 d of exposure to mercury-polluted water.</t>
  </si>
  <si>
    <t>Univ Bologna, Dipartimento Chim G Ciamician, I-40126 Bologna, Italy; Univ Bologna, Ctr Ric Interdipartimentali Sci Mare, I-47042 Cesenatico, Italy; Univ Bologna, Lab Chim Ambientale, I-48100 Ravenna, Italy</t>
  </si>
  <si>
    <t>University of Bologna; University of Bologna; University of Bologna</t>
  </si>
  <si>
    <t>Univ Bologna, Dipartimento Chim G Ciamician, Via Selmi 2, I-40126 Bologna, Italy.</t>
  </si>
  <si>
    <t>trombini@ciam.unibo.it</t>
  </si>
  <si>
    <t>fabbri, davide/AAJ-7021-2021</t>
  </si>
  <si>
    <t>Vassura, Ivano/0000-0002-0877-9405</t>
  </si>
  <si>
    <t>10.1002/etc.5620180828</t>
  </si>
  <si>
    <t>221DZ</t>
  </si>
  <si>
    <t>WOS:000081709900028</t>
  </si>
  <si>
    <t>Briant, N; Chouvelon, T; Martinez, L; Brach-Papa, C; Chiffoleau, JF; Savoye, N; Sonke, J; Knoery, J</t>
  </si>
  <si>
    <t>Briant, N.; Chouvelon, T.; Martinez, L.; Brach-Papa, C.; Chiffoleau, J. F.; Savoye, N.; Sonke, J.; Knoery, J.</t>
  </si>
  <si>
    <t>Spatial and temporal distribution of mercury and methylmercury in bivalves from the French coastline</t>
  </si>
  <si>
    <t>Mercury; Methylmercury; France; Bivalves; Speciation</t>
  </si>
  <si>
    <t>SPECIATION; CONTAMINATION; SEDIMENT; MUSSELS; IMPACT</t>
  </si>
  <si>
    <t>Marine mercury (Hg) concentrations have been monitored in the French coastline for the last half a century using bivalves. The analyses presented in this study concerned 192 samples of bivalves (mussels: Mytilus edulis and Mytilus galloprovincialis and oysters: Crassostrea gigas and Isognomon alatus) from 77 sampling stations along the French coast and in the French Antilles sea. The goals of this study were to assess MeHg levels in various common bivalves from French coastline, and to identify possible geographic, taxonomic or temporal variations of concentrations. We show that the evolution of methylmercury (MeHg) concentrations covary with total mercury (HgT) concentrations. Moreover, in most of the study sites, HgT concentrations have not decreased since 1987, despite regulations to decrease or ban mercury used for anthropic activities. (C) 2016 Elsevier Ltd. All rights reserved.</t>
  </si>
  <si>
    <t>[Briant, N.; Chouvelon, T.; Martinez, L.; Brach-Papa, C.; Chiffoleau, J. F.; Knoery, J.] IFREMER, Ctr Atlantique, Lab Biogeochim Contaminants Metall, F-44311 Nantes 3, France; [Savoye, N.] Univ Bordeaux, EPOC, UMR 5805, F-33400 Talence, France; [Sonke, J.] Univ Paul Sabatier, CNRS, IRD, Lab Geosci Environm Toulouse,Observ Midi Pyrenees, 14 Ave Edouard Belin, F-31400 Toulouse, France</t>
  </si>
  <si>
    <t>Ifremer; Universite de Bordeaux; Centre National de la Recherche Scientifique (CNRS); CNRS - National Institute for Earth Sciences &amp; Astronomy (INSU); Institut de Recherche pour le Developpement (IRD); Centre National de la Recherche Scientifique (CNRS); Universite de Toulouse; Universite Toulouse III - Paul Sabatier</t>
  </si>
  <si>
    <t>Briant, N (corresponding author), IFREMER, Ctr Atlantique, Lab Biogeochim Contaminants Metall, F-44311 Nantes 3, France.</t>
  </si>
  <si>
    <t>Sonke, Jeroen/A-2444-2010; knoery, joel/B-3898-2012</t>
  </si>
  <si>
    <t>knoery, joel/0000-0003-2826-6436; Sonke, Jeroen/0000-0001-7146-3035; Brach-Papa, Christophe/0009-0008-4171-4743</t>
  </si>
  <si>
    <t>IFREMER; Region Pays de la Loire (PolluSols); INSU program EC2CO/DRIL</t>
  </si>
  <si>
    <t>IFREMER; Region Pays de la Loire (PolluSols)(Region Pays de la Loire); INSU program EC2CO/DRIL</t>
  </si>
  <si>
    <t>We gratefully acknowledge funding of this study obtained from IFREMER, Region Pays de la Loire (PolluSols), and the INSU program EC2CO/DRIL.</t>
  </si>
  <si>
    <t>JAN 30</t>
  </si>
  <si>
    <t>10.1016/j.marpolbul.2016.10.018</t>
  </si>
  <si>
    <t>EK4XR</t>
  </si>
  <si>
    <t>WOS:000393931700054</t>
  </si>
  <si>
    <t>Joiris, CR; Azokwu, MI; Otchere, FA; Ali, IB</t>
  </si>
  <si>
    <t>Mercury in the bivalve Anadara (Senila) senilis from Ghana and Nigeria</t>
  </si>
  <si>
    <t>mercury; bivalves; Ghana; Nigeria; West Africa</t>
  </si>
  <si>
    <t>ORGANIC MERCURY; METALS; FISH; INDICATOR; POLLUTION; ESTUARY; SEA</t>
  </si>
  <si>
    <t>Samples of the bivalve Anadara (Senilia) senilis collected from a closed lagoon (Sakumo) and two open lagoons in Ghana (Benya and Ningo; n = 550), and the Bonny river estuary in Nigeria (n = 620), were analyzed for their total and organic mercury content. Total mercury concentration showed significant spatial differences, with median values of 0.1 mu g/g dry wt, in the closed lagoon, 0.2 in the estuary and 0.3 in the open lagoons. Concentration tended to be higher during the dry season in the lagoons, but lower in the estuary. The median relative organic concentration varied between 20 and 60% methyl Hg, depending on location and season. Age effects were detected in the lagoons, total Hg concentration decreasing with length. (C) 1998 Elsevier Science B.V. All rights reserved.</t>
  </si>
  <si>
    <t>Free Univ Brussels, Lab Ecotoxicol &amp; Polar Ecol, B-1050 Brussels, Belgium</t>
  </si>
  <si>
    <t>Joiris, CR (corresponding author), Free Univ Brussels, Lab Ecotoxicol &amp; Polar Ecol, Pleinlaan 2, B-1050 Brussels, Belgium.</t>
  </si>
  <si>
    <t>DEC 11</t>
  </si>
  <si>
    <t>10.1016/S0048-9697(98)00355-6</t>
  </si>
  <si>
    <t>160MG</t>
  </si>
  <si>
    <t>WOS:000078234000019</t>
  </si>
  <si>
    <t>Das, S; Jana, BB</t>
  </si>
  <si>
    <t>In situ cadmium reclamation by freshwater bivalve Lamellidens marginalis from an industrial pollutant-fed river canal</t>
  </si>
  <si>
    <t>Lamellidens marginalis; freshwater bivalves; cadmium accumulation; industrial canal; aquatic restoration</t>
  </si>
  <si>
    <t>MOLLUSK CRASSOSTREA-VIRGINICA; MYTILUS-EDULIS L; WATER MUSSEL; AUSTROCOCHLEA-CONSTRICTA; COMMON MUSSEL; ZINC; METALLOTHIONEIN; CALCIUM; METALS; GILLS</t>
  </si>
  <si>
    <t>The biofilter potential of the freshwater bivalve, Lamellidens marginalis was examined in cage experiments conducted in a river canal (Ichhapore, 24-Parganas, West Bengal, India) receiving industrial effluents from steel and metal factories as well as from an ordinance factory. Cadmium is one of the major contaminants in this river canal. Lamellidens collected from pollution free natural ponds, were sorted into three size groups (large: 59 +/- 3.2 g, 10 +/- 2.3 cm; medium: 30 +/- 2 g, 6 +/- 1.7 cm and small: 13 +/- 1.5 g, 4 +/- 1.2 cm) were held in cages at three different sites along a cadmium concentration gradient. Concentrations of cadmium were measured from water, sediment and different tissues of Lamellidens at weekly intervals using atomic absorption spectrophotometric methods. Cadmium uptake by Lamellidens in all media were highly concentration dependent in both summer and winter months. For all three size groups, cadmium uptake was maximum in the gills at the beginning of experiment, and liver at the later phase. Cadmium uptake was maximum in the small bivalves and minimum in the large bivalves groups. Cadmium uptake was 11-67% higher during summer than during the monsoon season for all tissues and size groups. Estimation of concentration factor revealed that tissues were saturated with cadmium during the 13-14th week after Lamellidens introduction during summer, but remained unsaturated during the monsoon season. It is concluded that Lamellidens might be considered as an efficient biofilter for reclamation of aquatic environment having sub-lethal concentrations of cadmium. (C) 2003 Elsevier Science Ltd. All rights reserved.</t>
  </si>
  <si>
    <t>Univ Kalyani, Dept Zool, Aquaculture &amp; Appl Limnol Res Lab, Kalyani 741235, W Bengal, India</t>
  </si>
  <si>
    <t>Kalyani University</t>
  </si>
  <si>
    <t>Univ Kalyani, Dept Zool, Aquaculture &amp; Appl Limnol Res Lab, Kalyani 741235, W Bengal, India.</t>
  </si>
  <si>
    <t>bbj@cal2.vsnl.net.in</t>
  </si>
  <si>
    <t>10.1016/S0045-6535(03)00052-3</t>
  </si>
  <si>
    <t>678ZT</t>
  </si>
  <si>
    <t>WOS:000182897100017</t>
  </si>
  <si>
    <t>Kumar, KA; Achyuthan, H</t>
  </si>
  <si>
    <t>Kumar, K. Arun; Achyuthan, Hema</t>
  </si>
  <si>
    <t>Heavy metal accumulation in certain marine animals along the East Coast of Chennai, Tamil Nadu, India</t>
  </si>
  <si>
    <t>heavy metals; bioconcentration factor; mussel; prawn; fish; crab</t>
  </si>
  <si>
    <t>MUSSELS PERNA VIRIDIS; CHANNA-PUNCTATUS; CADMIUM; FISH; POLLUTION; MERCURY; COPPER; ZINC; BIOACCUMULATION; ELIMINATION</t>
  </si>
  <si>
    <t>Heavy metals disposed through anthropogenic activities find their way into the oceans and seas through the rivers or through direct fallout from factory effluents. These heavy metals resuspend back into the water column along with the sediments and are known to affect the marine animals. Marine animals like fish, prawn, crab and mussel were collected along the East Coast (off Pulicat lake to Chennai Harbour) to evaluate trace metal concentrations in various tissues. The above specimens accumulated heavy metals such as Zn, Pb, Cu, Co, Cr Ni and Cd. Fish, prawn, crab and mussel revealed higher concentration of heavy metals such as Zn, Pb, Cr, Co, Cu and Ni and Cd in low levels. The results revealed that the heavy metal concentrations in the marine animals are below the threshold levels associated with the toxicological effects and the regulatory limits. The bioconcentration factors revealed that the animals have accumulated heavy metals along the food chain rather than from the water column and sediment.</t>
  </si>
  <si>
    <t>Anna Univ, Dept Geol, Madras 600025, Tamil Nadu, India</t>
  </si>
  <si>
    <t>Anna University; Anna University Chennai</t>
  </si>
  <si>
    <t>Kumar, KA (corresponding author), Anna Univ, Dept Geol, Madras 600025, Tamil Nadu, India.</t>
  </si>
  <si>
    <t>karun1531@yahoo.co.in</t>
  </si>
  <si>
    <t>Achyuthan, Hema/AAA-6898-2022; Kumar, Arun/AAY-6948-2021</t>
  </si>
  <si>
    <t>Achyuthan, Hema/0000-0001-5495-4115</t>
  </si>
  <si>
    <t>195GH</t>
  </si>
  <si>
    <t>WOS:000248400000020</t>
  </si>
  <si>
    <t>Blackwell, BD; Driscoll, CT; Spada, ME; Todorova, SG; Montesdeoca, MR</t>
  </si>
  <si>
    <t>Blackwell, Bradley D.; Driscoll, Charles T.; Spada, Michael E.; Todorova, Svetoslava G.; Montesdeoca, Mario R.</t>
  </si>
  <si>
    <t>Evaluation of zebra mussels (Dreissena polymorpha) as biomonitors of mercury contamination in aquatic ecosystems</t>
  </si>
  <si>
    <t>Mercury; Methylmercury; Mussels; Biomonitoring</t>
  </si>
  <si>
    <t>METAL CONTAMINATION; UNITED-STATES; NEW-YORK; RIVER; LAKE; POLLUTION; BIOACCUMULATION; TEMPERATURE; WATERS</t>
  </si>
  <si>
    <t>Zebra mussels have invaded many lakes in the United States and could be a useful tool for monitoring responses of aquatic biota to changes in mercury loading. The goal of the present study was to evaluate zebra mussels for use as a biomonitor of mercury contamination by comparing zebra mussel mercury concentrations between a lake with only indirect atmospheric mercury contamination (Otisco Lake, NY, USA) and a lake that was directly contaminated by mercury discharges (Onondaga Lake, NY, USA). Zebra mussels were sampled in both the spring and fall of 2004 and 2005. Total mercury (THg) concentrations in zebra mussels were approximately seven times greater in Onondaga Lake than in Otisco Lake, and water column mercury concentrations differed by an order of magnitude between the two lakes. Seasonal differences resulted in significantly higher zebra mussel THg concentrations during the fall for both lakes. There was also significant variation among different sampling sites in Onondaga Lake. Mussel methylmercury concentrations averaged 53% of THg concentrations but were highly variable. Strong relationships between water column THg and zebra mussel THg suggest that zebra mussels are a good indicator of aquatic mercury concentrations and could be used as an effective biomonitor of mercury contamination in aquatic ecosystems. Environ. Toxicol. Chem. 2013;32:638643. (c) 2012 SETAC</t>
  </si>
  <si>
    <t>[Blackwell, Bradley D.; Driscoll, Charles T.; Todorova, Svetoslava G.; Montesdeoca, Mario R.] Syracuse Univ, Dept Civil &amp; Environm Engn, Syracuse, NY 13244 USA; [Spada, Michael E.] Upstate Freshwater Inst, Syracuse, NY USA</t>
  </si>
  <si>
    <t>Syracuse University</t>
  </si>
  <si>
    <t>Blackwell, BD (corresponding author), Syracuse Univ, Dept Civil &amp; Environm Engn, Syracuse, NY 13244 USA.</t>
  </si>
  <si>
    <t>bradleydouglas@gmail.com</t>
  </si>
  <si>
    <t>Blackwell, Boyd/M-2717-2015; Driscoll, Charles T./F-9832-2014</t>
  </si>
  <si>
    <t>Driscoll, Charles T./0000-0003-2692-2890</t>
  </si>
  <si>
    <t>U.S. Environmental Protection Agency; Syracuse Center of Excellence through the Collaborative Activities for Research and Technology Innovation (CARTI) program; Upstate Freshwater Institute</t>
  </si>
  <si>
    <t>U.S. Environmental Protection Agency(United States Environmental Protection Agency); Syracuse Center of Excellence through the Collaborative Activities for Research and Technology Innovation (CARTI) program; Upstate Freshwater Institute</t>
  </si>
  <si>
    <t>The present study was supported by the U.S. Environmental Protection Agency and the Syracuse Center of Excellence through the Collaborative Activities for Research and Technology Innovation (CARTI) program. We appreciate the support of S. Effler and the Upstate Freshwater Institute.</t>
  </si>
  <si>
    <t>10.1002/etc.2100</t>
  </si>
  <si>
    <t>092KG</t>
  </si>
  <si>
    <t>WOS:000315119000020</t>
  </si>
  <si>
    <t>Pillai, S; Menon, NR</t>
  </si>
  <si>
    <t>Structural alterations accompanying acute and chronic toxicity of heavy metal exposure in hepatopancreas of green mussel Perna viridis (Class-Pelycypoda)</t>
  </si>
  <si>
    <t>N-NITROSO COMPOUNDS; MYTILUS-EDULIS L; MARINE MUSSEL; LIGHT</t>
  </si>
  <si>
    <t>The hepatopancreas of Perna viridis exposed to various concentrations of copper and mercury were fixed in Bouin's fluid and stained using Tripple Mallory's stain. Structural alterations noted varied from-vacuolisation in cells in various degrees, enlargement of lumen following atrophy of cells lining the digestive tubules, disintegration of collageneous and muscular layer and enlargement of cell volume leading to decrease in number of cells/unit area. Another notable feature was the dibasic nature of mercury irrespective of period of exposure. Results of this experiment indicate that exposure of these animals to low levels of heavy metal pollutants irrespective of the time period can produce very serious damages at cellular level which can topple the normal physiological functioning of the cells.</t>
  </si>
  <si>
    <t>Cochin Univ Sci &amp; Technol, Sch Marine Sci, Dept Marine Biol Biochem &amp; Microbiol, Cochin 682016, Kerala, India</t>
  </si>
  <si>
    <t>Cochin University Science &amp; Technology</t>
  </si>
  <si>
    <t>Pillai, S (corresponding author), Cochin Univ Sci &amp; Technol, Sch Marine Sci, Dept Marine Biol Biochem &amp; Microbiol, Cochin 682016, Kerala, India.</t>
  </si>
  <si>
    <t>NATL INST SCIENCE COMMUNICATION</t>
  </si>
  <si>
    <t>DR K S KRISHNAN MARG, NEW DELHI 110 012, INDIA</t>
  </si>
  <si>
    <t>SEP-DEC</t>
  </si>
  <si>
    <t>176CC</t>
  </si>
  <si>
    <t>WOS:000079132500027</t>
  </si>
  <si>
    <t>Chen, LL; Chen, J; Ren, ZM</t>
  </si>
  <si>
    <t>Chen, Linlin; Chen, Jing; Ren, Zongming</t>
  </si>
  <si>
    <t>TISSUE-SPECIFIC EFFECT OF MERCURY ON ANTIOXIDANT DEFENSE SYSTEM AND PROTECTIVE ROLE OF SELENIUM ON MERCURY-INDUCED OXIDATIVE STRESS IN BLUE MUSSEL Mytilus galloprovincialis (Lamarck 1819)</t>
  </si>
  <si>
    <t>Antioxidant enzyme; Oxidative stress; Mytilus galloprovincialis; Mercury (Hg); Selenium; Antagonism</t>
  </si>
  <si>
    <t>INDUCED DNA-DAMAGE; LIPID-PEROXIDATION; AQUATIC ORGANISMS; ENZYME-ACTIVITIES; DIGESTIVE GLAND; COPPER; GILLS; GLUTATHIONE; CADMIUM; BIOMARKERS</t>
  </si>
  <si>
    <t>Mercury (Hg), one of the most toxic environmental and industrial pollutants, is receiving increased attention globally because of human health and environmental concerns. In the present study, we investigated the toxic effect of Hg in the absence or presence of selenium (Se) on the antioxidant enzymes in different tissues, such as hepatopancreas and gills, of mussels M. galloprovincialis after their exposure for 6 days. Mussels were exposed to Hg (25 mu g L(-1)Hg2(+)), Se (4 mu g L-1 Se4+) and the mixture (25 mu g L-1 Hg2++4 mu g L-1 se(4+)) of the former two elements. Similar effect was found in the activities of superoxide dismutase (SOD) and glutahione peroxidase (GPx) which initially increased and subsequently decreased with the duration of exposure time in hepatopancreas and gills tissues of blue mussels exposed to metals; CAT was significantly inhibited by Hg from 4th day in hepatopancreas but no significant change was found in gills. Activities of antioxidant enzymes in Se-treated mussels were significantly elevated compared with Se-free mussels including control and Hg-treated groups. The result of the statistical evaluation showed that apparent tissue-specific effect was found in antioxidant enzyme activities in mussels exposed to Hg and the induction of key antioxidant defenses as a result of selenium supplementation might play an important role in protection of aquatic organisms against oxidant stress caused by heavy metals.</t>
  </si>
  <si>
    <t>Chinese Acad Sci, Yantai Inst Coastal Zone Res YIC, Key Lab Coastal Zone Environm Proc, Yantai 264003, Shandong, Peoples R China; YICCAS, Shandong Prov Key Lab Coastal Zone Environm Proc, Yantai 264003, Shandong, Peoples R China</t>
  </si>
  <si>
    <t>Chinese Academy of Sciences; Yantai Institute of Coastal Zone Research, CAS</t>
  </si>
  <si>
    <t>Chen, LL (corresponding author), Chinese Acad Sci, Yantai Inst Coastal Zone Res, 17 Chunhui Rd, Yantai 264003, Peoples R China.</t>
  </si>
  <si>
    <t>llchen.cas@gmail.com</t>
  </si>
  <si>
    <t>Science and Technology Development Project of Yantai City [2010159]</t>
  </si>
  <si>
    <t>Science and Technology Development Project of Yantai City</t>
  </si>
  <si>
    <t>This work was financially supported by the Science and Technology Development Project of Yantai City (No. 2010159)</t>
  </si>
  <si>
    <t>259YV</t>
  </si>
  <si>
    <t>WOS:000327563100005</t>
  </si>
  <si>
    <t>Bray, DJ; Green, I; Golicher, D; Herbert, RJH</t>
  </si>
  <si>
    <t>Bray, D. J.; Green, I.; Golicher, D.; Herbert, R. J. H.</t>
  </si>
  <si>
    <t>Spatial variation of trace metals within intertidal beds of native mussels (Mytilus edulis) and non-native Pacific oysters (Crassostrea gigas): implications for the food web?</t>
  </si>
  <si>
    <t>Pacific oyster (Crassostrea gigas); Mussel (Mytilus edulis); Non-native species; Invasive species Metals (Cd, Pb, Cu, Zn); North Sea; Trophic transfer; Multiple stressors</t>
  </si>
  <si>
    <t>MARINE; PREDATOR; CADMIUM; ZINC; ASSIMILATION; GROWTH; COPPER; PREY; BIOACCESSIBILITY; BIOACCUMULATION</t>
  </si>
  <si>
    <t>Pollution is of increasing concern within coastal regions and the prevalence of invasive species is also rising. Yet the impact of invasive species on the distribution and potential trophic transfer of metals has rarely been examined. Within European intertidal areas, the non-native Pacific oyster (Crassostrea gigas) is becoming established, forming reefs and displacing beds of the native blue mussel (Mytilus edulis). The main hypothesis tested is that the spatial pattern of metal accumulation within intertidal habitats will change should the abundance and distribution of C. gigas continue to increase. A comparative analysis of trace metal content (cadmium, lead, copper and zinc) in both species was carried out at four shores in south-east England. Metal concentrations in bivalve and sediment samples were determined after acid digestion by inductively coupled plasma-optical emission spectrometry. Although results showed variation in the quantities of zinc, copper and lead (mg m(-2)) in the two bivalve species, differences in shell thickness are also likely to influence the feeding behaviour of predators and intake of metals. The availability and potential for trophic transfer of metals within the coastal food web, should Pacific oysters transform intertidal habitats, is discussed.</t>
  </si>
  <si>
    <t>[Bray, D. J.; Green, I.; Golicher, D.; Herbert, R. J. H.] Bournemouth Univ, Dept Life &amp; Environm Sci, Fac Sci &amp; Technol, Ctr Conservat Ecol &amp; Environm Sci, Poole BH2 5BB, Dorset, England; [Golicher, D.] El Colegio Frontera Sur, San Cristobal Casas, Mexico</t>
  </si>
  <si>
    <t>Bournemouth University; El Colegio de la Frontera Sur (ECOSUR)</t>
  </si>
  <si>
    <t>Herbert, RJH (corresponding author), Bournemouth Univ, Dept Life &amp; Environm Sci, Fac Sci &amp; Technol, Ctr Conservat Ecol &amp; Environm Sci, Talbot Campus, Poole BH2 5BB, Dorset, England.</t>
  </si>
  <si>
    <t>rherbert@bournemouth.ac.uk</t>
  </si>
  <si>
    <t>Golicher, Duncan/B-4240-2009; Herbert, Roger/B-4006-2009; Green, Iain/AAA-8683-2019; Green, Iain/B-4457-2009</t>
  </si>
  <si>
    <t>Green, Iain/0000-0002-0418-3524</t>
  </si>
  <si>
    <t>1573-5117</t>
  </si>
  <si>
    <t>10.1007/s10750-015-2255-8</t>
  </si>
  <si>
    <t>CN7YY</t>
  </si>
  <si>
    <t>WOS:000358653700019</t>
  </si>
  <si>
    <t>Cheng, WWL; Gobas, FAPC</t>
  </si>
  <si>
    <t>Cheng, Winnie W. L.; Gobas, Frank A. P. C.</t>
  </si>
  <si>
    <t>Assessment of human health risks of consumption of cadmium contaminated cultured oysters</t>
  </si>
  <si>
    <t>HUMAN AND ECOLOGICAL RISK ASSESSMENT</t>
  </si>
  <si>
    <t>cadmium; oyster; human health; risk; hazard</t>
  </si>
  <si>
    <t>EXPOSURE; SMOKING; INDICATOR; POLLUTION; TOXICITY; METALS; IMPACT; MODEL; TIME; LEAD</t>
  </si>
  <si>
    <t>With farmed British Columbia (BC) oysters containing higher cadmium concentrations than wild oysters, long-term exposure to cadmium through consumption of oysters has the potential to cause health risks. This study reports on a risk assessment for cadmium intake resulting from the consumption of BC-cultured oyster. The study concludes that Health Canada's current recommended BC-cultured oyster consumption rate for Canadians of 12 oysters per month exceeds the Agency for Toxic Substances and Disease Registry chronic oral minimal risk levels (MRL) of 0.2 mu g(.)kg(-1.)day(-1) by approximately 4- to 5-fold and reaches the Food and Agriculture Organization/World Health Organization (FAP/W`HO) reference dose of 1 mu g(.)kg(-1.)day(-1) for cadmium consumption for Canadians. This suggests that although the current recommended maximum oyster consumption rates is consistent with the FAO/WHO and U.S. Environmental Protection Agency limits for acceptable risk, it leaves little or no room for error or uncertainty. This is noteworthy as recent studies demonstrate toxicological effects at cadmium intakes of 0.43 to 0.71 mu Cd(.)kg(-1.)day(-1). This study indicates that a lower maximum BC-cultured oyster rate should be considered, particularly for high risk groups, including women with low iron stores, people with renal impairment, smokers, children, and indigenous people who consume organ meats of games and wildlife other than shellfish.</t>
  </si>
  <si>
    <t>Simon Fraser Univ, Sch Resource &amp; Environm Management, Burnaby, BC V5A 1S6, Canada; Transport Canada, Environm Serv, Programs Branch, Vancouver, BC, Canada</t>
  </si>
  <si>
    <t>Simon Fraser University; Transport Canada</t>
  </si>
  <si>
    <t>Gobas, FAPC (corresponding author), Simon Fraser Univ, Sch Resource &amp; Environm Management, 8888 Univ Dr, Burnaby, BC V5A 1S6, Canada.</t>
  </si>
  <si>
    <t>gobas@sfu.ca</t>
  </si>
  <si>
    <t>1080-7039</t>
  </si>
  <si>
    <t>1549-7860</t>
  </si>
  <si>
    <t>HUM ECOL RISK ASSESS</t>
  </si>
  <si>
    <t>Hum. Ecol. Risk Assess.</t>
  </si>
  <si>
    <t>MAR-APR</t>
  </si>
  <si>
    <t>10.1080/10807030701226301</t>
  </si>
  <si>
    <t>Biodiversity Conservation; Environmental Sciences</t>
  </si>
  <si>
    <t>Biodiversity &amp; Conservation; Environmental Sciences &amp; Ecology</t>
  </si>
  <si>
    <t>174RX</t>
  </si>
  <si>
    <t>WOS:000246961600011</t>
  </si>
  <si>
    <t>Thang, NQ; Huy, BT; Khanh, DNN; Vy, NTT; Phuong, TH; Sy, DT; Tham, LT; Phuong, NTK</t>
  </si>
  <si>
    <t>Nguyen Quoc Thang; Bui The Huy; Dang Nguyen Nha Khanh; Ngo Thi Tuong Vy; Tran Ha Phuong; Do Trung Sy; Le Thi Tham; Nguyen Thi Kim Phuong</t>
  </si>
  <si>
    <t>Potential health risks of toxic heavy metals and nitrate via commonly consumed bivalve and vegetable species in Ho Chi Minh City, Vietnam</t>
  </si>
  <si>
    <t>Cadmium; Lead; Inorganic arsenic; Nitrate; Bivalve; Vegetable; Target hazard quotient; Target cancer risk</t>
  </si>
  <si>
    <t>NITRITE; CANCER; CADMIUM; BIOACCUMULATION; ACCUMULATION; FISHES; DIET</t>
  </si>
  <si>
    <t>This study aimed to evaluate the health risks of cadmium (Cd), lead (Pb), inorganic arsenic (As), and nitrate exposure through the consumption of bivalves and vegetables collected from local markets in Ho Chi Minh City. The present study analyzed four favorite bivalve species (Meretrix lyrate; Perna viridis; Anadara subcrenata; Anadara granosa) for concentrations of Cd, Pb, and inorganic As and 9 vegetable species (Brassica juncea; Brassica integrifolia; Brassica rapa chinensis; Nasturtium officinale; Lactuca sativa; Ipomoea aquatica; Amaranthus gangeticus; Ipomoea batatas; Spinacia oleracea) for concentrations of Pb and nitrate. The target hazard quotient (THQ) and target cancer risk (TR) were calculated to estimate non-carcinogenic and carcinogenic health risks, respectively. For bivalves, Cd and inorganic As were present at relatively lower concentrations, whereas a relatively higher accumulation of Pb was recorded. The THQ for Cd, Pb, or inorganic As was below the threshold of 1, suggesting no potential health risks. In the case of vegetables, Pb was present at relatively low concentrations, while nitrate accumulation was at relatively high concentrations. The THQ for nitrate was higher than the threshold of 1, suggesting a potential health risk. The combined effects are estimated according to the hazard index (HI), which shows the health risks associated with the consumption of these bivalves and vegetable species. Therefore, continuous and excess consumption for a lifetime of more than 70 years has a probability of target cancer risk.</t>
  </si>
  <si>
    <t>[Nguyen Quoc Thang; Le Thi Tham] Ind Univ Ho Chi Minh City, Chem Engn Fac, Ho Chi Minh City, Vietnam; [Bui The Huy] Duy Tan Univ, Inst Res &amp; Dev, K7-25 Quang Trung, Da Nang, Vietnam; [Dang Nguyen Nha Khanh; Ngo Thi Tuong Vy; Tran Ha Phuong; Nguyen Thi Kim Phuong] Vietnam Acad Sci &amp; Technol, Natl Inst Appl Mech &amp; Informat, 291 Dien Bien Phu,Dist 3, Ho Chi Minh City, Vietnam; [Do Trung Sy] Vietnam Acad Sci &amp; Technol, Inst Chem, 18 Hoang Quoc Viet, Hanoi, Vietnam</t>
  </si>
  <si>
    <t>Industrial University of Ho Chi Minh City; Duy Tan University; Vietnam Academy of Science &amp; Technology (VAST); Vietnam Academy of Science &amp; Technology (VAST)</t>
  </si>
  <si>
    <t>Phuong, NTK (corresponding author), Vietnam Acad Sci &amp; Technol, Natl Inst Appl Mech &amp; Informat, 291 Dien Bien Phu,Dist 3, Ho Chi Minh City, Vietnam.</t>
  </si>
  <si>
    <t>nguyenthikimp@yahoo.ca</t>
  </si>
  <si>
    <t>HUY, B/HOH-4575-2023</t>
  </si>
  <si>
    <t>Quoc Thang, Nguyen/0000-0001-9791-6274; The Huy, Bui/0000-0002-1218-3073</t>
  </si>
  <si>
    <t>10.1007/s11356-021-14808-3</t>
  </si>
  <si>
    <t>JUN 2021</t>
  </si>
  <si>
    <t>WE8II</t>
  </si>
  <si>
    <t>WOS:000660841600003</t>
  </si>
  <si>
    <t>Dhara, K; Saha, NC; Maiti, AK</t>
  </si>
  <si>
    <t>Dhara, Kishore; Saha, Nimai Chandra; Maiti, Arpan Kumar</t>
  </si>
  <si>
    <t>Studies on acute and chronic toxicity of cadmium to freshwater snail Lymnaea acuminata (Lamarck) with special reference to behavioral and hematological changes</t>
  </si>
  <si>
    <t>Lethal concentration; Cadmium; Lymnaea acuminata; Behavioral changes; Hemocyte</t>
  </si>
  <si>
    <t>CRASSOSTREA-VIRGINICA; HEMOCYTE DENSITY; HEAVY-METALS; MUSSELS; BLOOD; IMMUNOMODULATION; BIOACCUMULATION; GASTROPODA; RESPONSES; JUVENILE</t>
  </si>
  <si>
    <t>Molluscs have long been regarded as promising bioindicator and biomonitoring subjects for heavy metals as molluscs are highly tolerant to heavy metals and exhibit high accumulation in their body. In spite of several previous studies about the impact of cadmium on molluscs, little information exists in literatures concerning the toxic effects of cadmium on Lymnaea acuminata, especially pertaining to behavioral and hematological changes as these are considered effective bioindicators and biomonitoring variables for detecting heavy metals in polluted water bodies. In the present study, the median lethal concentrations of cadmium chloride to snail, Lymnaea acuminata, were estimated to be 9.66, 7.69, 6.26, and 5.54 mg/L at 24, 48, 72, and 96 h, respectively. For behavioral studies, variable test concentrations of cadmium from 0.00 to 10 mg/L were used. The clumping tendency, crawling activity, and touch reflex in the exposed snails were gradually decreased with higher concentrations at 72 and 96 h. For measuring the hemocyte numbers in the circulating hemolymph of snail during chronic cadmium exposure, two sublethal doses of cadmium (10 and 20% 96-h LC50-0.55 and 1.11 mg/L, respectively) were used. A significant variation (p &lt; 0.05) from the control at all exposure times (7, 14, 21, and 28 days) was recorded at 1.11 mg/L concentration. The total count of circulating hemocytes was significantly reduced (p &lt; 0.05) compared to the controls at both concentrations of cadmium exposure at all time periods except 14 and 21 days exposure at 0.55 mg/L where values were non-significantly increased. In comparison between two sublethal doses, blood cells were significantly (p &lt; 0.05) lowered at 1.11 mg/L cadmium treatment. Considering the behavioral and hematological data, it seems possible to forecast the physiological state of snails in cadmium-contaminated water bodies and these findings can be used in determining the safe disposal level of cadmium in aquatic ecosystem.</t>
  </si>
  <si>
    <t>[Dhara, Kishore] Govt West Bengal, Gour Banga Zone, Meen Bhavan, Malda, W Bengal, India; [Saha, Nimai Chandra] Univ Burdwan, Burdwan 713104, W Bengal, India; [Maiti, Arpan Kumar] Dayananda Sagar Univ, Sch Basic &amp; Appl Sci, Dept Biol Sci, SM Hills, Bangalore 560078, Karnataka, India</t>
  </si>
  <si>
    <t>University of Burdwan</t>
  </si>
  <si>
    <t>Maiti, AK (corresponding author), Dayananda Sagar Univ, Sch Basic &amp; Appl Sci, Dept Biol Sci, SM Hills, Bangalore 560078, Karnataka, India.</t>
  </si>
  <si>
    <t>arpankumar.maiti@gmail.com</t>
  </si>
  <si>
    <t>Maiti, Arpan/AAR-5647-2021; Saha, Nimai/ABH-1455-2020</t>
  </si>
  <si>
    <t>SAHA, NIMAI CHANDRA/0000-0003-3181-0455; MAITI, ARPAN/0000-0003-3790-5666; Saha, Nimai Chandra/0000-0001-5171-3762</t>
  </si>
  <si>
    <t>Jhargram Raj College, Paschim Medinipur, West Bengal</t>
  </si>
  <si>
    <t>The authors thank the Principal, Jhargram Raj College, Paschim Medinipur, West Bengal, for funding this project.</t>
  </si>
  <si>
    <t>10.1007/s11356-017-0349-8</t>
  </si>
  <si>
    <t>FP3VJ</t>
  </si>
  <si>
    <t>WOS:000417545800037</t>
  </si>
  <si>
    <t>Anand, PP; Vardhanan, YS</t>
  </si>
  <si>
    <t>Anand, P. P.; Vardhanan, Y. Shibu</t>
  </si>
  <si>
    <t>Dye and metal ion adsorption ability of Asian green mussel byssus thread complex; their microscopic and thermal property characterization</t>
  </si>
  <si>
    <t>ENVIRONMENTAL TECHNOLOGY</t>
  </si>
  <si>
    <t>Byssus thread; Asian green mussel; heavy metals and dyes; microscopic analysis; thermogram</t>
  </si>
  <si>
    <t>COLLAGEN; MECHANISM; OXIDATION; PEPTIDES; PROTEINS; ADHESIVE; KINETICS; FIBERS; WASTE; YIELD</t>
  </si>
  <si>
    <t>Various physical, chemical, and biological factors act as pollutants and cause deleterious effects on the environment and living organisms. Several researchers are developing eco-friendly good adsorbent from agriculture waste materials for pollutant removal, especially aromatic dyes and heavy metal removal. We used the Asian green mussel byssus thread, a natural mariculture waste product for the removal of aromatic dyes (methylene blue and eosin Y) and heavy metals (zinc, copper, iron, mercury and lead). We documented the dynamicity of byssus thread dye and metal removal at different pH (pH 2-10) and different concentrations. The highest amount of metal removal was observed at pH 6.0, and the dye removal efficacy is related to the property of the dye (i.e. anionic or cationic dye). The byssus thread had a natural fluorescent property upon UV-excitation; however, microscopic examination revealed that metal and dye coordination significantly alter the byssus plaque region's physical and chemical property rather than the thread regions. It was further confirmed by using DSC and TGA characterization of de-metaled and metal-treated byssus thread complex. We concluded that Perna viridis byssus thread could be used as a strong adsorbent for dye and metal removal from the water.</t>
  </si>
  <si>
    <t>[Anand, P. P.; Vardhanan, Y. Shibu] Univ Calicut, Dept Zool, Biochem &amp; Toxicol Div, Malappuram 673635, Kerala, India</t>
  </si>
  <si>
    <t>University of Calicut</t>
  </si>
  <si>
    <t>Anand, PP; Vardhanan, YS (corresponding author), Univ Calicut, Dept Zool, Biochem &amp; Toxicol Div, Malappuram 673635, Kerala, India.</t>
  </si>
  <si>
    <t>anandpp633@gmail.com; svardhanan@gmail.com</t>
  </si>
  <si>
    <t>Anand, P P/ABG-4633-2020</t>
  </si>
  <si>
    <t>Anand, P P/0000-0002-2400-2823; Vardhanan, Dr Y Shibu/0000-0001-9820-886X</t>
  </si>
  <si>
    <t>UGC-MRP [43-602/2014 (SR) 17-11-2015]; MOTA, Government of India [201920-NFST-KER-02111]</t>
  </si>
  <si>
    <t>UGC-MRP; MOTA, Government of India</t>
  </si>
  <si>
    <t>The present study financially supported by UGC-MRP (F. No. 43-602/2014 (SR) 17-11-2015). The first author thankful to the MOTA, Government of India for the financial assistance in the form of NFST (201920-NFST-KER-02111).</t>
  </si>
  <si>
    <t>0959-3330</t>
  </si>
  <si>
    <t>1479-487X</t>
  </si>
  <si>
    <t>ENVIRON TECHNOL</t>
  </si>
  <si>
    <t>Environ. Technol.</t>
  </si>
  <si>
    <t>JAN 28</t>
  </si>
  <si>
    <t>10.1080/09593330.2021.1971776</t>
  </si>
  <si>
    <t>8D0AW</t>
  </si>
  <si>
    <t>WOS:000694754100001</t>
  </si>
  <si>
    <t>Chaâbane, M; Bejaoui, S; Trabelsi, W; Telahigue, K; Chetoui, I; Chalghaf, M; Zeghal, N; El Cafsi, M; Soudani, N</t>
  </si>
  <si>
    <t>Chaabane, Mariem; Bejaoui, Safa; Trabelsi, Wafa; Telahigue, Khaoula; Chetoui, Imene; Chalghaf, Mohamed; Zeghal, Najiba; El Cafsi, M'hamed; Soudani, Nejla</t>
  </si>
  <si>
    <t>The potential toxic effects of hexavalent chromium on oxidative stress biomarkers and fatty acids profile in soft tissues of Venus verrucosa</t>
  </si>
  <si>
    <t>Chromium (VI); Bivalves; Oxidative damage; Fatty acids composition; Gills; Digestive gland</t>
  </si>
  <si>
    <t>DIGESTIVE GLAND; ARCA-NOAE; GLUTATHIONE; L.; BIVALVES; EXPOSURE; METALS; LIVER; MALONDIALDEHYDE; BIOACCUMULATION</t>
  </si>
  <si>
    <t>Hexavalent chromium (chromium (VI)), a highly toxic heavy metal, is a common pollutant of aquatic ecosystems. The present study aimed to elucidate the potential toxic effects of chromium (VI) on oxidative stress biomarkers and fatty acids profile in the gills and digestive gland of Venus verrucosa, an ecologically and economically important bivalve species. Three doses of chromium (VI) (1, 10 and 100 mu g.L-1) were chosen for V. verrucosa exposure during 7 days under controlled conditions. A significant increase in the levels of malondialdehyde, lipid hydroperoxides and hydrogen peroxide was observed in the gills and digestive gland of chromium (VI)-exposed V. verrucosa as compared to the control group. Furthermore, an induction of enzymatic antioxidant activities (superoxide dismutase, glutathione peroxidase and glutathione S-transferase) and an enhancement of non-enzymatic antioxidant levels (non-protein thiols, glutathione and vitamin C) were marked. An alteration of fatty acids composition was also noted following chromium (VI) exposure. The obtained results highlighted the importance of assessing oxidative damage biomarkers and fatty acids profile in the study of chromium (VI)-induced toxicity in V. verrucosa.</t>
  </si>
  <si>
    <t>[Chaabane, Mariem; Zeghal, Najiba; Soudani, Nejla] Univ Sfax, Fac Sci Sfax, Dept Life Sci, Anim Physiol Lab, Sfax 3000, Tunisia; [Bejaoui, Safa; Trabelsi, Wafa; Telahigue, Khaoula; Chetoui, Imene; El Cafsi, M'hamed; Soudani, Nejla] Univ Tunis El Manar, Fac Sci Tunis, Dept Biol, Lab Ecol Biol &amp; Physiol Aquat Organisms, Tunis 2092, Tunisia; [Chalghaf, Mohamed] Univ Carthage, Higher Inst Fisheries &amp; Aquaculture Bizerte, BP15, Menzel Jemil 7080, Tunisia</t>
  </si>
  <si>
    <t>Universite de Sfax; Faculty of Sciences Sfax; Universite de Tunis-El-Manar; Faculte des Sciences de Tunis (FST); Universite de Carthage</t>
  </si>
  <si>
    <t>Chaâbane, M (corresponding author), Univ Sfax, Fac Sci Sfax, Dept Life Sci, Anim Physiol Lab, Sfax 3000, Tunisia.</t>
  </si>
  <si>
    <t>maryame.ch@yahoo.com</t>
  </si>
  <si>
    <t>telahigue, Khaoula/0000-0001-8841-9911</t>
  </si>
  <si>
    <t>Physiology and Aquatic Environment Laboratory, Faculty of Sciences, University of Tunis El Manar, Tunisia [LR/18ES-41]</t>
  </si>
  <si>
    <t>Physiology and Aquatic Environment Laboratory, Faculty of Sciences, University of Tunis El Manar, Tunisia</t>
  </si>
  <si>
    <t>This work was supported by the Physiology and Aquatic Environment Laboratory [LR/18ES-41], Faculty of Sciences, University of Tunis El Manar, Tunisia.</t>
  </si>
  <si>
    <t>10.1016/j.ecoenv.2020.110562</t>
  </si>
  <si>
    <t>LD1AE</t>
  </si>
  <si>
    <t>WOS:000525763800054</t>
  </si>
  <si>
    <t>Geng, N; Wang, PF; Wang, C; Hou, J; Qian, J; Miao, LZ</t>
  </si>
  <si>
    <t>Geng Nan; Wang Peifang; Wang Chao; Hou Jun; Qian Jin; Miao Lingzhan</t>
  </si>
  <si>
    <t>Mechanisms of cadmium accumulation (adsorption and absorption) by the freshwater bivalve Corbicula fluminea under hydrodynamic conditions</t>
  </si>
  <si>
    <t>Cadmium accumulation; Corbicula fluminea; Exterior tissue adsorption; Biomonitor; Hydrodynamic condition</t>
  </si>
  <si>
    <t>CONTAMINATED SEDIMENTS; HEAVY-METALS; ASIATIC CLAM; METALLOTHIONEIN RESPONSE; SUSPENDED SEDIMENTS; SURFACE SEDIMENTS; PINNA-NOBILIS; TAIHU LAKE; BIOACCUMULATION; COPPER</t>
  </si>
  <si>
    <t>Many heavy metals in sediments and water have potential adverse effects on aquatic organisms such as Corbicula fluminea (O.F. Muller, 1774), a bivalve species frequently used as a biomonitor for metal pollution. Studies over the past decades examining the heavy metal uptake by C. fluminea, very few has investigated the effect of hydrodynamic conditions on accumulation of heavy metal by C fluminea. Therefore, in this study, to investigate the mechanism of intracellular and extracellular accumulation of metal, individuals of C fluminea were exposed to cadmium (Cd)-treated water under three different hydrodynamic conditions. These included exposures in two set ups: three rates of rotation (500, 350, 200 r/min) in beakers for 10 days, and then exposure to Cd-treated sediment under two naturally turbulent water conditions (14 cm/s and 3.2 cm/s) in experimental flumes for 23 days. Hydrodynamic force increased the burrowing rate but decreased the activity of C fluminea. After 10 days of exposure, the extracellular concentrations of Cd in the tissues of C. fluminea in the sand group were significantly higher than that in the gravel groups. The intracellular and extracellular concentrations of Cd in the tissues of C nominee dramatically increased in the Cd-treated sediment test. Moreover, the concentration of the extracellular Cd adsorbed on the tissues of C fluminea in the 14 cm/s and 3.2 cm/s groups was significantly higher than that in the control group, whereas the effect of hydrodynamic force on absorption of Cd by C. fluminea was not obvious. These results suggest that hydrodynamic condition plays an important role in extracellular accumulation of Cd by C fluminea. In future study, when using C. fluminea to assess Cd pollution in aquatic environment, extracellular Cd adsorbed on the tissue should be removed to avoid the influence of hydrodynamics. (C) 2016 Published by Elsevier Ltd.</t>
  </si>
  <si>
    <t>[Geng Nan; Wang Peifang; Wang Chao; Hou Jun; Qian Jin; Miao Lingzhan] Hohai Univ, Minist Educ, Key Lab Integrated Regulat &amp; Resources Dev Shallo, Nanjing 210098, Jiangsu, Peoples R China; [Geng Nan; Wang Peifang; Wang Chao; Hou Jun; Qian Jin; Miao Lingzhan] Hohai Univ, Coll Environm, Nanjing 210098, Jiangsu, Peoples R China</t>
  </si>
  <si>
    <t>Hohai University; Hohai University</t>
  </si>
  <si>
    <t>Wang, PF (corresponding author), Hohai Univ, Coll Environm, Nanjing 210098, Jiangsu, Peoples R China.</t>
  </si>
  <si>
    <t>Wang, Chao/GXF-8353-2022; Miao, Lingzhan/AAH-8282-2019; hou, jun/K-1122-2012</t>
  </si>
  <si>
    <t>hou, jun/0000-0002-0412-4874</t>
  </si>
  <si>
    <t>National Science Funds for Creative Research Groups of China [51421006]; Program for Changjiang Scholars and Innovative Research Team in University [IRT13061]; National Science Fund for Distinguished Young Scholars [51225901]; Key Program of National Natural Science Foundation of China [41430751]; National Natural Science Foundation of China [51579073]; PAPD</t>
  </si>
  <si>
    <t>National Science Funds for Creative Research Groups of China(Science Fund for Creative Research Groups); Program for Changjiang Scholars and Innovative Research Team in University(Program for Changjiang Scholars &amp; Innovative Research Team in University (PCSIRT)); National Science Fund for Distinguished Young Scholars(National Natural Science Foundation of China (NSFC)National Science Fund for Distinguished Young Scholars); Key Program of National Natural Science Foundation of China(National Natural Science Foundation of China (NSFC)); National Natural Science Foundation of China(National Natural Science Foundation of China (NSFC)); PAPD</t>
  </si>
  <si>
    <t>We are grateful for grants from the National Science Funds for Creative Research Groups of China (No. 51421006), Program for Changjiang Scholars and Innovative Research Team in University (No. IRT13061), National Science Fund for Distinguished Young Scholars (No. 51225901), the Key Program of National Natural Science Foundation of China (No. 41430751), the National Natural Science Foundation of China (No. 51579073) and the PAPD.</t>
  </si>
  <si>
    <t>10.1016/j.envpol.2016.01.091</t>
  </si>
  <si>
    <t>DN1BA</t>
  </si>
  <si>
    <t>WOS:000376800000064</t>
  </si>
  <si>
    <t>Liu, Y; Xu, LL; Wang, RT; Qiao, F; Xiong, JF; Xu, Z</t>
  </si>
  <si>
    <t>Liu, Yao; Xu, Lele; Wang, Runtao; Qiao, Fu; Xiong, Jianfang; Xu, Zhen</t>
  </si>
  <si>
    <t>Study on the detection of heavy metal lead (Pb) in mussels based on near-infrared spectroscopy technology and a REELM classifier</t>
  </si>
  <si>
    <t>MICROCHEMICAL JOURNAL</t>
  </si>
  <si>
    <t>Near-infrared spectroscopy; Mussels; Heavy metal pollution; Wavelength selection; Residual errors</t>
  </si>
  <si>
    <t>HYPERSPECTRAL BAND SELECTION; EXTREME LEARNING-MACHINE; PERNA-VIRIDIS LINNAEUS; TEGILLARCA-GRANOSA; CD; IDENTIFICATION; ZN; CU; ALGORITHM; QUALITY</t>
  </si>
  <si>
    <t>It is toxic to consume mussels polluted by heavy metal Pb for humans. A quick, accurate, and non-destructive method based on near-infrared reflection spectroscopy (NIRS) has been investigated for the detection of Pbpolluted mussels in this paper. The spectral data of non-polluted and Pb-polluted mussels in the range of 950-1700 nm is acquired. A wavelength selection algorithm based on information measures of neighborhood rough set is applied to select optimal wavelengths. A sparse extreme learning machine (ELM) based on residual errors (REELM) is established as a classifier to detect Pb-polluted mussels. The average accuracy of 50 randomly assigned test datasets reaches 99.27% for detecting Pb-polluted mussels. For the class imbalance problem and mislabeled samples in the presence of practical applications, the detection performance of the proposed model has been analysed. The experimental results show that, compared with the traditional ELM and randomly pruned ELM, the REELM model is proven to be superior. The results indicate that NIRS combined with pattern recognition method has great potential to detect Pb pollution in mussels. This research is of significant importance in terms of the evaluation of edible quality and safety of mussels.</t>
  </si>
  <si>
    <t>[Liu, Yao; Wang, Runtao] Lingnan Normal Univ, Sch Elect &amp; Elect Engn, Zhanjiang 524048, Peoples R China; [Xu, Lele] Lingnan Normal Univ, Sch Life Sci &amp; Technol, Zhanjiang 524048, Peoples R China; [Qiao, Fu; Xiong, Jianfang] Lingnan Normal Univ, Sch Comp Sci &amp; Intelligence Educ, Zhanjiang 524048, Peoples R China; [Xu, Zhen] Heilongjiang Acad Agr Sci, Harbin 150086, Peoples R China</t>
  </si>
  <si>
    <t>LingNan Normal University; LingNan Normal University; LingNan Normal University; Heilongjiang Academy of Agricultural Sciences</t>
  </si>
  <si>
    <t>Wang, RT (corresponding author), Lingnan Normal Univ, Sch Elect &amp; Elect Engn, Zhanjiang 524048, Peoples R China.;Wang, RT (corresponding author), 29 Cunjin Rd, Zhanjiang City, Guangdong, Peoples R China.</t>
  </si>
  <si>
    <t>wangruntao@lingnan.edu.cn</t>
  </si>
  <si>
    <t>刘, 瑶/KXQ-5496-2024; Xu, Le/HDN-9623-2022</t>
  </si>
  <si>
    <t>National Natural Science of China [62005109]; Guangdong Basic and Applied Basic Research [2020A1515011368, 2021A1515012440]; Technology Innovation Strategy Fund Project of Guangdong Province [2018A03017]; Characteristic Innovation Projects of Universities in Guangdong Province [2019KTSCX094, 2019KQNCX074]; Lingnan Normal University Nature Science Research Project [ZL1902, ZL2007]</t>
  </si>
  <si>
    <t>National Natural Science of China(National Natural Science Foundation of China (NSFC)); Guangdong Basic and Applied Basic Research; Technology Innovation Strategy Fund Project of Guangdong Province; Characteristic Innovation Projects of Universities in Guangdong Province; Lingnan Normal University Nature Science Research Project</t>
  </si>
  <si>
    <t>This work was supported by the National Natural Science of China [grant number 62005109], Guangdong Basic and Applied Basic Research [grant numbers 2020A1515011368, 2021A1515012440], Technology Innovation Strategy Fund Project of Guangdong Province [grant number 2018A03017], Characteristic Innovation Projects of Universities in Guangdong Province [grant numbers 2019KTSCX094, 2019KQNCX074], Lingnan Normal University Nature Science Research Project [grant numbers ZL1902, ZL2007].</t>
  </si>
  <si>
    <t>0026-265X</t>
  </si>
  <si>
    <t>1095-9149</t>
  </si>
  <si>
    <t>MICROCHEM J</t>
  </si>
  <si>
    <t>Microchem J.</t>
  </si>
  <si>
    <t>10.1016/j.microc.2022.107394</t>
  </si>
  <si>
    <t>MAR 2022</t>
  </si>
  <si>
    <t>1D3ZH</t>
  </si>
  <si>
    <t>WOS:000793741700010</t>
  </si>
  <si>
    <t>Mititelu, M; Morosan, E; Neacsu, SM; Ionita, EI</t>
  </si>
  <si>
    <t>Mititelu, Magdalena; Morosan, Elena; Neacsu, Sorinel Marius; Ionita, Elena Iuliana</t>
  </si>
  <si>
    <t>RESEARCH REGARDING THE POLLUTION DEGREE FROM ROMANIAN BLACK SEA COAST</t>
  </si>
  <si>
    <t>FARMACIA</t>
  </si>
  <si>
    <t>heavy metals; organic pollutants; absorption spectrometer</t>
  </si>
  <si>
    <t>HEAVY-METALS CONTENT; INDUSTRIAL</t>
  </si>
  <si>
    <t>This paper presents an analysis of pollution with heavy metals (cadmium, cooper, zinc, lead) and pesticides: lindan, dichlorodiphenyldichloroethylene (DDE), dichlorodiphenyldichloroethane (DDD), dichlorodiphenyltrichloroethane (DDT) in mussels collected from various areas of the Romanian Black Sea coast, to determine the most and least polluted areas for raw material harvesting. The research has taken into account mussel specificity as filtering-organisms, able to retain large quantities of water pollutants from their living area. The concentrations of heavy metals were determined by atomic absorption spectrophotometry (air/acetylene flame) and the concentrations of pesticide were determined by gas chromatography with electron capture detection (ECD). A relatively high degree of pollution was registered in areas A1 and A2 with high industrial activities due oil refinery or harbour neighbouring, with Cu concentrations (112.30 +/- 3.8 mu g/L in Al and 119.58 +/- 2.3 mu g/L in A2) and Pb concentrations (21.44 +/- 1.6 mu g/L in A 1 and 24.22 +/- 2.8 mu g/L in A2) exceeding the maximum limits, as is the case of pesticides detected in these areas. Mussels samples harvested from polluted areas also showed elevated heavy metals values and pesticides concentrations. The areas most suitable for mussel sampling are the A3 and A4 areas, with less industrial activity.</t>
  </si>
  <si>
    <t>[Mititelu, Magdalena; Morosan, Elena; Ionita, Elena Iuliana] Carol Davila Univ Med &amp; Pharm, Fac Pharm, Dept Clin Lab &amp; Food Safety, Bucharest, Romania; [Neacsu, Sorinel Marius] Biomag Assoc, Campina, Romania</t>
  </si>
  <si>
    <t>Carol Davila University of Medicine &amp; Pharmacy</t>
  </si>
  <si>
    <t>Morosan, E (corresponding author), Carol Davila Univ Med &amp; Pharm, Fac Pharm, Dept Clin Lab &amp; Food Safety, Bucharest, Romania.</t>
  </si>
  <si>
    <t>morosan_elena@yahoo.com</t>
  </si>
  <si>
    <t>MAGDALENA, MITITELU/D-4500-2015; Elena, Morosan/ABC-3191-2021</t>
  </si>
  <si>
    <t>Magdalena, Mititelu/0000-0002-8448-5054; Morosan, Elena/0000-0001-8022-6955</t>
  </si>
  <si>
    <t>SOC STINTE FARMACEUTICE ROMANIA</t>
  </si>
  <si>
    <t>BUCURESTI</t>
  </si>
  <si>
    <t>BUCURESTI, STR TRAIAN VUIA 6, SECT 1, BUCURESTI, 020956, ROMANIA</t>
  </si>
  <si>
    <t>0014-8237</t>
  </si>
  <si>
    <t>2065-0019</t>
  </si>
  <si>
    <t>Farmacia</t>
  </si>
  <si>
    <t>10.31925/FARMACIA.2018.6.20</t>
  </si>
  <si>
    <t>Pharmacology &amp; Pharmacy</t>
  </si>
  <si>
    <t>HF3UA</t>
  </si>
  <si>
    <t>WOS:000454158800021</t>
  </si>
  <si>
    <t>Bounahkla, M; Bounakhla, Z; Tahri, M; Zahry, F; Zghaid, M; Doukkali, A; Benkirane, O; Saïdi, N; Bilal, E</t>
  </si>
  <si>
    <t>Bounahkla, Moussa; Bounakhla, Zahra; Tahri, Mounia; Zahry, Fatiha; Zghaid, Mustapha; Doukkali, Anass; Benkirane, Ouafae; Saidi, Naima; Bilal, Essaid</t>
  </si>
  <si>
    <t>EVALUATION OF THE METALLIC CONTAMINATION IMPACT ON 'MYTILUS EDULIS' MUSSEL AT THE LEVEL OF THE MOUTH OF SEBOU'S ESTUARY, MAROCCO</t>
  </si>
  <si>
    <t>CARPATHIAN JOURNAL OF EARTH AND ENVIRONMENTAL SCIENCES</t>
  </si>
  <si>
    <t>Mytilus edulis; Trace metals; Bioaccumulation; Bioindicator</t>
  </si>
  <si>
    <t>CADMIUM UPTAKE; HEAVY-METALS; GALLOPROVINCIALIS; ZINC; ACCUMULATION; TEMPERATURE; ORGANISMS; INDICATOR; POLLUTION; KINETICS</t>
  </si>
  <si>
    <t>The understanding of the bioaccumulation phenomenon of heavy metals in the living substance is of an extreme complexity. This is due to the interpenetration of several parameters which influence this bioaccumulation such as: the physico-chemical characteristics of the study area, the chemical properties of the contaminant and the biologic factors of the organism. This work constitutes, using Mytilus edulis as bioindicator, a contribution to study the metal contamination at different points of the mouth of Sebou's estuary. The samples were collected during the spring and the summer of the year 2005. The obtained results reveal a contamination of the study area by all the measured metals especially by lead, cadmium and chromium. This study allowed also discerning the existence of a variation in the accumulation of heavy metals according to Mytilus edulis size, as it was reported in the literature. Indeed, it showed that the small mussels accumulate heavy metals more than the big, mainly for manganese, chromium and cadmium. Seven trace metals (Mn, Cu, Cr, Pb, Co, Fe and Cd) were detected in the four studied organs (hepatopancreas, gills, gonads and muscle); the variations was least or more significant according to the organ. So, we conclude that the bioaccumulation does not make in a strictly selective way.</t>
  </si>
  <si>
    <t>[Bounahkla, Moussa; Bounakhla, Zahra; Tahri, Mounia; Zahry, Fatiha] Nucl Ctr Energies Sci &amp; Nucl Tech CNESTEN, Rabat, Morocco; [Zghaid, Mustapha] Moulay Ismail Univ, Fac Sci, Dept Phys, Meknes, Morocco; [Bilal, Essaid] Ecole Natl Super Mines, CNRS, UMR 6425, Dept GENERIC SPIN, F-42023 St Etienne, France; [Benkirane, Ouafae; Saidi, Naima] Ibn Tofail Univ, Fac Sci, Labs Biol Attempts, Kenitra, Morocco; [Doukkali, Anass] Polydisciplinairy Fac Taza, Lab Energy Nat Resources &amp; Modelling, Taza Gare, Morocco</t>
  </si>
  <si>
    <t>Moulay Ismail University of Meknes; IMT - Institut Mines-Telecom; Mines Saint-Etienne; Centre National de la Recherche Scientifique (CNRS); Ibn Tofail University of Kenitra; Sidi Mohamed Ben Abdellah University of Fez</t>
  </si>
  <si>
    <t>Bounahkla, M (corresponding author), Nucl Ctr Energies Sci &amp; Nucl Tech CNESTEN, BP 1382,RP 10001, Rabat, Morocco.</t>
  </si>
  <si>
    <t>moussabounakhla@yahoo.fr</t>
  </si>
  <si>
    <t>TAHRI, Mounia/K-2832-2017</t>
  </si>
  <si>
    <t>TAHRI, Mounia/0000-0001-5446-0975</t>
  </si>
  <si>
    <t>Carpathian Assoc Environment and Earth Sciences</t>
  </si>
  <si>
    <t>Baia Mare</t>
  </si>
  <si>
    <t>Victoriei 47A, Baia Mare, ROMANIA</t>
  </si>
  <si>
    <t>1842-4090</t>
  </si>
  <si>
    <t>1844-489X</t>
  </si>
  <si>
    <t>CARPATH J EARTH ENV</t>
  </si>
  <si>
    <t>Carpath. J. Earth Environ. Sci.</t>
  </si>
  <si>
    <t>833TH</t>
  </si>
  <si>
    <t>WOS:000295907300021</t>
  </si>
  <si>
    <t>Parus, A; Karbowska, B</t>
  </si>
  <si>
    <t>Parus, Anna; Karbowska, Bozena</t>
  </si>
  <si>
    <t>Marine Algae as Natural Indicator of Environmental Cleanliness</t>
  </si>
  <si>
    <t>Algae; Metal accumulation cadmium; Differential-pulse anodic stripping voltammetry (DPASV); Toxicity; Thallium</t>
  </si>
  <si>
    <t>MUSSEL PERNA-VIRIDIS; HEAVY-METALS; BLACK-SEA; TRACE-METALS; BIOMARKERS; THALLIUM; MOLLUSKS; COAST; MICROALGAE; SEDIMENTS</t>
  </si>
  <si>
    <t>Algae are widely distributed in the aquatic environment. In the analyzed algae from the Black Sea, metals like cadmium, iron, zinc, copper, lead, and thallium were present. From all of the analyzed elements in the algae, iron was present at the highest concentrations. The presented study confirmed that thallium is accumulated in relatively large quantities (1.60-2.12 mu g g(-1)) by all the studied algae. Cadmium and copper were accumulated at the same level (1.98 mu g g(-1)), which was lower in comparison to the average concentrations determined in the analyzed plant material. The average amounts of zinc were at 0.21 mu g g(-1) for Ulva. High possibility of accumulation of metals by Ulva and Cystoseira allows to use them as a natural indicator of environmental cleanliness.</t>
  </si>
  <si>
    <t>[Parus, Anna] Poznan Univ Tech, Inst Chem Technol &amp; Engn, Berdychowo 4, PL-60965 Poznan, Poland; [Karbowska, Bozena] Poznan Univ Tech, Inst Chem &amp; Tech Electrochem, Berdychowo 4, PL-60965 Poznan, Poland</t>
  </si>
  <si>
    <t>Poznan University of Technology; Poznan University of Technology</t>
  </si>
  <si>
    <t>Parus, A (corresponding author), Poznan Univ Tech, Inst Chem Technol &amp; Engn, Berdychowo 4, PL-60965 Poznan, Poland.</t>
  </si>
  <si>
    <t>anna.parus@put.poznan.pl</t>
  </si>
  <si>
    <t>Karbowska, Bozena/M-1715-2014; Parus, Anna/F-7526-2014</t>
  </si>
  <si>
    <t>Karbowska, Bozena/0000-0002-2437-2023; Parus, Anna/0000-0002-2061-1031</t>
  </si>
  <si>
    <t>Polish Higher Educations [03/32/DSPB/0800, 03/31/DSPB/0357]</t>
  </si>
  <si>
    <t>Polish Higher Educations</t>
  </si>
  <si>
    <t>This work was supported by the Polish Higher Educations as Project No 03/32/DSPB/0800 and No 03/31/DSPB/0357.</t>
  </si>
  <si>
    <t>FEB 19</t>
  </si>
  <si>
    <t>10.1007/s11270-020-4434-0</t>
  </si>
  <si>
    <t>KQ8HV</t>
  </si>
  <si>
    <t>WOS:000517162900003</t>
  </si>
  <si>
    <t>Rayment, GE; Barry, GA</t>
  </si>
  <si>
    <t>Indicator tissues for heavy metal monitoring - Additional attributes</t>
  </si>
  <si>
    <t>indicators; heavy metals; monitoring; Raine Island; tridacnid clams; trochus</t>
  </si>
  <si>
    <t>CONTAMINATION; FISH; CADMIUM; COAST</t>
  </si>
  <si>
    <t>Preferred characteristics of biological indicators for heavy metal monitoring in marine ecosystems were documented 30 years ago. Heavy metal data from Raine Island on the outer-northern Great Barrier Reef are presented to introduce additional attributes for consideration, including a widened choice of biological tissues due to advances in trace heavy metal analysis. Kidney tissues, visceral mass and adductor muscle from the giant clam (Tridacna maxima), muscle tissue from trochus (Trochus niloticus) and axial muscle from four species of fish were targeted. The kidneys of giant clams had concentrations of heavy metals from 2 (Zn) to 2780 (Ni) times higher than corresponding concentrations in adductor muscles. Also, tissues of giant clam and the muscle of trochus gave different signals with respect to bio-available heavy metals. Linear correlations for heavy metals within and between tissues of giant clam and within muscle tissue of trochus, offer opportunities for the use of surrogates as well as a possible mathematical basis for assessing trends in heavy metal pollution. (C) 2000 Elsevier Science Ltd. All rights reserved.</t>
  </si>
  <si>
    <t>Nat Sci Precinct, Dept Nat Resources, Indooroopilly, Qld 4068, Australia; CRC, Sustainable Sugar Prod, Indooroopilly, Qld 4068, Australia</t>
  </si>
  <si>
    <t>Nat Sci Precinct, Dept Nat Resources, 80 Meiers Rd, Indooroopilly, Qld 4068, Australia.</t>
  </si>
  <si>
    <t>raymeng@dnr.qld.gov.au</t>
  </si>
  <si>
    <t>JUL-DEC</t>
  </si>
  <si>
    <t>7-12</t>
  </si>
  <si>
    <t>10.1016/S0025-326X(00)00128-4</t>
  </si>
  <si>
    <t>386GQ</t>
  </si>
  <si>
    <t>WOS:000166052900012</t>
  </si>
  <si>
    <t>Chen, MM; Zheng, X; Chen, L; Li, XF</t>
  </si>
  <si>
    <t>Chen Miaomiao; Zheng Xin; Chen Liang; Li Xiaofang</t>
  </si>
  <si>
    <t>Cadmium-Resistant Oyster Mushrooms from North China for Mycoremediation</t>
  </si>
  <si>
    <t>PEDOSPHERE</t>
  </si>
  <si>
    <t>bioaccumulation; heavy metal; macrofungi; maximal tolerant concentration; Pleurotus ostreatus; remediation; sorption capacity; tolerant strain</t>
  </si>
  <si>
    <t>TRACE-METAL LEVELS; HEAVY-METALS; PLEUROTUS-OSTREATUS; CONTAMINATED SOILS; TOLERANCE; BIOSORPTION; MECHANISMS; ACCUMULATION; MACROFUNGUS; EXPRESSION</t>
  </si>
  <si>
    <t>Macrofungi have been advocated to be a promising remediation material for heavy metal pollution. This study aimed to screen for cadmium (Cd)-tolerant oyster mushroom strains which may be used as biomaterials for Cd remediation in North China. To this end, 43 oyster mushroom strains were collected across North China and subject to Cd inhibition test. Phylogenetic affiliation of the tolerant strains was identified using molecular fingerprinting, and representative Cd-tolerant strains were characterized in terms of their Cd sorption capacity. Two strains, JINONG21 and SUYIN6 affiliated with Pleurotus ostreatus, were found to be highly tolerant to Cd, with a minimal inhibitory concentration of 4 mg L-1 Cd and a maximal tolerant concentration of 80 mg L-1 Cd under the test conditions. Meanwhile, JINONG21 and SUYIN6 were able to absorb up to 676 mg kg(-1) and 970 mg kg(-1) Cd in their mycelia in the culture medium with 20 mg L-1 Cd, respectively. In conclusion, the P. ostreatus strains identified in this study presented an outstanding capacity of Cd tolerance and sorption and could be promising biomaterials for Cd remediation in North China.</t>
  </si>
  <si>
    <t>[Chen Miaomiao; Zheng Xin; Chen Liang; Li Xiaofang] Chinese Acad Sci, Key Lab Agr Water Resources, Ctr Agr Resources Res, Inst Genet &amp; Dev Biol, Shijiazhuang 050021, Hebei, Peoples R China; [Li Xiaofang] Univ Queensland, Environm Ctr, Sustainable Minerals Inst, Brisbane, Qld 4072, Australia</t>
  </si>
  <si>
    <t>Chinese Academy of Sciences; Institute of Genetics &amp; Developmental Biology, CAS; University of Queensland</t>
  </si>
  <si>
    <t>Li, XF (corresponding author), Chinese Acad Sci, Key Lab Agr Water Resources, Ctr Agr Resources Res, Inst Genet &amp; Dev Biol, Shijiazhuang 050021, Hebei, Peoples R China.;Li, XF (corresponding author), Univ Queensland, Environm Ctr, Sustainable Minerals Inst, Brisbane, Qld 4072, Australia.</t>
  </si>
  <si>
    <t>xfli@sjziam.ac.cn</t>
  </si>
  <si>
    <t>Hundred Talents Program of the Pioneer Initiative of Chinese Academy of Sciences</t>
  </si>
  <si>
    <t>This project was financially supported by the Hundred Talents Program of the Pioneer Initiative of Chinese Academy of Sciences. We thank Prof. Li Ming of Hebei Agricultural University, China, for the courtesy of providing the G. lucidum strain.</t>
  </si>
  <si>
    <t>1002-0160</t>
  </si>
  <si>
    <t>2210-5107</t>
  </si>
  <si>
    <t>Pedosphere</t>
  </si>
  <si>
    <t>10.1016/S1002-0160(18)60047-5</t>
  </si>
  <si>
    <t>Soil Science</t>
  </si>
  <si>
    <t>HJ1UJ</t>
  </si>
  <si>
    <t>WOS:000456949800002</t>
  </si>
  <si>
    <t>Angenard, G; Muczynski, V; Coffigny, H; Pairault, C; Duquenne, C; Frydman, R; Habert, R; Rouiller-Fabre, V; Livera, G</t>
  </si>
  <si>
    <t>Angenard, Gaelle; Muczynski, Vincent; Coffigny, Herve; Pairault, Catherine; Duquenne, Clotilde; Frydman, Rene; Habert, Rene; Rouiller-Fabre, Virginie; Livera, Gabriel</t>
  </si>
  <si>
    <t>Cadmium Increases Human Fetal Germ Cell Apoptosis</t>
  </si>
  <si>
    <t>ENVIRONMENTAL HEALTH PERSPECTIVES</t>
  </si>
  <si>
    <t>cadmium; development; germ cells; human fetus; ovary; testis</t>
  </si>
  <si>
    <t>RAT TESTIS; IN-VITRO; CIGARETTE-SMOKE; GRANULOSA-CELLS; FEMALE RATS; TOXICITY; EXPOSURE; CULTURE; DISRUPTION; HORMONE</t>
  </si>
  <si>
    <t>BACKGROUND: Cadmium (Cd) is a common environmental pollutant and a major constituent of tobacco smoke. Adverse effects of this heavy metal on reproductive function have been identified in adults; however, no studies have examined its effects on human reproductive organs during development. OBJECTIVES: Using our previously developed organ culture system, we investigated the effects of cadmium chloride on human gonads at the beginning of fetal life, a critical stage in the development of reproductive function. METHODS: Human fetal gonads were recovered during the first trimester (7-11 weeks post-conception) and cultured with or without Cd. We used different concentrations of Cd and compared results with those obtained with mouse fetal gonads at similar stages. RESULTS: Cd, at concentrations as low as 1 mu M, significantly decreased the germ cell density in human fetal ovaries. This correlated with an increase in germ cell apoptosis, but there was no effect on proliferation. Similarly, in the human fetal testis, Cd (1 mu M) reduced germ cell number without affecting testosterone secretion. In mouse fetal gonads, Cd increased only female germ cell apoptosis. CONCLUSIONS: This is the first experimental demonstration that Cd, at low concentrations, alters the survival of male and female germ cells in humans. Considering data demonstrating extensive human exposure, we believe that current environmental levels of Cd could be deleterious to early gametogenesis.</t>
  </si>
  <si>
    <t>[Livera, Gabriel] CEA, LDRG, Unit Stem Cells &amp; Radiat, Ctr CEA,SCSR,iRCM,DSV, F-92265 Fontenay Aux Roses, France; [Angenard, Gaelle; Muczynski, Vincent; Coffigny, Herve; Pairault, Catherine; Duquenne, Clotilde; Habert, Rene; Rouiller-Fabre, Virginie; Livera, Gabriel] Univ Paris 07, Fontenay Aux Roses, France; [Angenard, Gaelle; Muczynski, Vincent; Coffigny, Herve; Pairault, Catherine; Duquenne, Clotilde; Habert, Rene; Rouiller-Fabre, Virginie; Livera, Gabriel] INSERM, Unite 967, Fontenay Aux Roses, France; [Frydman, Rene] Univ Paris 11, Hop Antoine Beclere, UMR 782, Serv Gynecol Obstet, Clamart, France; [Frydman, Rene] INSERM, Unite 782, Clamart, France</t>
  </si>
  <si>
    <t>Universite Paris Cite; Institut National de la Sante et de la Recherche Medicale (Inserm); Universite Paris Saclay; CEA; Universite Paris Cite; Universite Paris Cite; Institut National de la Sante et de la Recherche Medicale (Inserm); Universite Paris Saclay; Assistance Publique Hopitaux Paris (APHP); Hopital Universitaire Antoine-Beclere - APHP; Institut National de la Sante et de la Recherche Medicale (Inserm)</t>
  </si>
  <si>
    <t>Livera, G (corresponding author), CEA, LDRG, Unit Stem Cells &amp; Radiat, Ctr CEA,SCSR,iRCM,DSV, BP6, F-92265 Fontenay Aux Roses, France.</t>
  </si>
  <si>
    <t>gabriel.livera@cea.fr</t>
  </si>
  <si>
    <t>Livera, Gabriel/F-5740-2019</t>
  </si>
  <si>
    <t>Livera, Gabriel/0000-0001-8436-4730</t>
  </si>
  <si>
    <t>Universite Paris Diderot-Paris 7; CEA; INSERM; Agence Francaise de Securite Sanitaire de l'Environnement et du Travail (AFFSET)</t>
  </si>
  <si>
    <t>Universite Paris Diderot-Paris 7; CEA(French Atomic Energy Commission); INSERM(Institut National de la Sante et de la Recherche Medicale (Inserm)); Agence Francaise de Securite Sanitaire de l'Environnement et du Travail (AFFSET)</t>
  </si>
  <si>
    <t>This work was supported by the Universite Paris Diderot-Paris 7, CEA, INSERM, and the Agence Francaise de Securite Sanitaire de l'Environnement et du Travail (AFFSET). V.M. holds fellowships front the Ministere de l'Education Nationale de la Recherche et de la Technologie.</t>
  </si>
  <si>
    <t>US DEPT HEALTH HUMAN SCIENCES PUBLIC HEALTH SCIENCE</t>
  </si>
  <si>
    <t>RES TRIANGLE PK</t>
  </si>
  <si>
    <t>NATL INST HEALTH, NATL INST ENVIRONMENTAL HEALTH SCIENCES, PO BOX 12233, RES TRIANGLE PK, NC 27709-2233 USA</t>
  </si>
  <si>
    <t>0091-6765</t>
  </si>
  <si>
    <t>1552-9924</t>
  </si>
  <si>
    <t>ENVIRON HEALTH PERSP</t>
  </si>
  <si>
    <t>Environ. Health Perspect.</t>
  </si>
  <si>
    <t>10.1289/ehp.0900975</t>
  </si>
  <si>
    <t>Environmental Sciences; Public, Environmental &amp; Occupational Health; Toxicology</t>
  </si>
  <si>
    <t>Environmental Sciences &amp; Ecology; Public, Environmental &amp; Occupational Health; Toxicology</t>
  </si>
  <si>
    <t>567LX</t>
  </si>
  <si>
    <t>Green Published, Green Accepted, gold</t>
  </si>
  <si>
    <t>WOS:000275449500022</t>
  </si>
  <si>
    <t>Bourdineaud, JP; Baudrimont, M; Gonzalez, P; Moreau, JL</t>
  </si>
  <si>
    <t>Bourdineaud, J. -P.; Baudrimont, M.; Gonzalez, P.; Moreau, J. -L.</t>
  </si>
  <si>
    <t>Challenging the model for induction of metallothionein gene expression</t>
  </si>
  <si>
    <t>BIOCHIMIE</t>
  </si>
  <si>
    <t>metallothionein; cadmium; zinc; zebrafish; oyster; mussel</t>
  </si>
  <si>
    <t>TRANSCRIPTION FACTOR-I; METAL-RESPONSIVE TRANSCRIPTION; SIGNAL-TRANSDUCTION CASCADES; BIVALVE CORBICULA-FLUMINEA; GRADIENT RIVER LOT; FACTOR MTF-1; ZINC-FINGER; DNA-BINDING; FIELD TRANSPLANTATION; MESSENGER-RNA</t>
  </si>
  <si>
    <t>Metal lothioneins (MTs) are low-molecular-weight, cysteine-rich metal-binding proteins found in a wide variety of organisms including bacteria, fungi and all eukaryotic plant and animal species. MTs bind essential and non-essential heavy metals. In mammalian cells NIT genes are highly inducible by many heavy metals including Zn, Cd, Hg, and Cu. Aquatic systems are contaminated by different pollutants, including metals, as a result of man's activities. Bivalve molluscs are known to accumulate high concentrations of heavy metals in their tissue and are widely used as bioindicators for pollution in marine and freshwater environments, with MTs frequently used as a valuable marker of metal contamination. We here describe the MT isoform gene expression patterns of marine and freshwater molluscs and fish species after Cd or Zn contamination. Contamination was carried out at a river site polluted by a zinc ore extraction plant or in the laboratory at low, environmentally relevant metal concentrations. A comparison for each species based on the accumulated MT protein levels often shows discrepancies between gene expression and protein level. In addition, several differences observed in the pattern of MT gene expression between mollusc and mammalian species enable us to discuss and challenge a model for the induction of MT gene expression. (c) 2006 Elsevier Masson SAS. All rights reserved.</t>
  </si>
  <si>
    <t>Univ Bordeaux 1, LEESA, UMR 5805, CNRS, F-33120 Arcachon, France</t>
  </si>
  <si>
    <t>Bourdineaud, JP (corresponding author), Univ Bordeaux 1, LEESA, UMR 5805, CNRS, Pl Docteur Peyneau, F-33120 Arcachon, France.</t>
  </si>
  <si>
    <t>jp.bourdineaud@epoe.u-bordeaux1.fr</t>
  </si>
  <si>
    <t>Baudrimont, Magalie/0000-0001-9901-8435; Gonzalez, Patrice/0000-0003-2628-2993</t>
  </si>
  <si>
    <t>0300-9084</t>
  </si>
  <si>
    <t>1638-6183</t>
  </si>
  <si>
    <t>Biochimie</t>
  </si>
  <si>
    <t>10.1016/j.biochi.2006.07.021</t>
  </si>
  <si>
    <t>118SF</t>
  </si>
  <si>
    <t>WOS:000242961300025</t>
  </si>
  <si>
    <t>Cong, M; Lü, JS; Wu, HF; Zhao, JM</t>
  </si>
  <si>
    <t>Cong Ming; Lu Jiasen; Wu Huifeng; Zhao Jianmin</t>
  </si>
  <si>
    <t>Effect of cadmium on the defense response of Pacific oyster Crassostrea gigas to Listonella anguillarum challenge</t>
  </si>
  <si>
    <t>cadmium; Listonella anguillarum; Crassostrea gigas; defensive enzyme; gene expression</t>
  </si>
  <si>
    <t>MESSENGER-RNA; FREE-RADICALS; EXPOSURE; EXPRESSION; IMMUNE; HEMOCYTES; STRESS; GENE; METABOLISM; COMPONENTS</t>
  </si>
  <si>
    <t>Heavy metal pollution can affect the immune capability of organisms. We evaluated the effect of cadmium (Cd) on the defense responses of the Pacific oyster Crassostrea gigas to Listonella anguillarum challenge. The activities of several important defensive enzymes, including superoxide dismutase (SOD), glutathione peroxidase (GPx), acid phosphatase (ACP), Na+, K+ -ATPase in gills and hepatopancreas, and phenoloxidase-like (POL) enzyme in hemolymph were assayed. In addition, the expression levels of several genes, including heat shock protein 90 (HSP90), metallothionein (MT), and bactericidal/permeability increasing (BPI) protein were quantified by fluorescent quantitative PCR. The enzyme activities of SOD, ACP, POL, and GPx in hepatopancreas, and the expression of HSP90 were down-regulated, whereas GPx activity in the gill, Na+, K+-ATPase activities in both tissues, and MT expression was increased in Cdexposed oysters post L. anguillarum challenge. However, BPI expression was not significantly altered by co-stress of L. anguillarum infection and cadmium exposure. Our results suggest that cadmium exposure alters the oysters' immune responses and energy metabolism following vibrio infection.</t>
  </si>
  <si>
    <t>[Cong Ming; Wu Huifeng; Zhao Jianmin] Chinese Acad Sci, Key Lab Coastal Zone Environm Proc, Yantai 264003, Peoples R China; [Cong Ming; Wu Huifeng; Zhao Jianmin] Chinese Acad Sci, Yantai Inst Coastal Zone Res, Shandong Prov Key Lab Coastal Zone Environm Proc, Yantai 264003, Peoples R China; [Lu Jiasen] Yantai Univ, Sch Biol, Yantai 264005, Peoples R China</t>
  </si>
  <si>
    <t>Chinese Academy of Sciences; Chinese Academy of Sciences; Yantai Institute of Coastal Zone Research, CAS; Yantai University</t>
  </si>
  <si>
    <t>Lu, Jia-sen/L-4349-2019</t>
  </si>
  <si>
    <t>100 Talents Program of Chinese Academy of Sciences; Development Plan of Science and Technology in Shandong Province [2012GGA06032]; Key Deployment Program of Chinese Academy of Sciences [KZZD-EW-14-03]</t>
  </si>
  <si>
    <t>100 Talents Program of Chinese Academy of Sciences(Chinese Academy of Sciences); Development Plan of Science and Technology in Shandong Province; Key Deployment Program of Chinese Academy of Sciences</t>
  </si>
  <si>
    <t>Supported by the 100 Talents Program of Chinese Academy of Sciences, the Development Plan of Science and Technology in Shandong Province (No. 2012GGA06032), and the Key Deployment Program of Chinese Academy of Sciences (No. KZZD-EW-14-03)</t>
  </si>
  <si>
    <t>10.1007/s00343-013-2280-2</t>
  </si>
  <si>
    <t>214DP</t>
  </si>
  <si>
    <t>WOS:000324111300008</t>
  </si>
  <si>
    <t>Shi, JC; Li, X; He, TT; Wang, JZ; Wang, Z; Li, P; Lai, YZ; Sanganyado, E; Liu, WH</t>
  </si>
  <si>
    <t>Shi, Jingchun; Li, Xue; He, Tangtian; Wang, Jingzhen; Wang, Zhen; Li, Ping; Lai, Yongzhong; Sanganyado, Edmond; Liu, Wenhua</t>
  </si>
  <si>
    <t>Integrated assessment of heavy metal pollution using transplanted mussels in eastern Guangdong, China</t>
  </si>
  <si>
    <t>Heavy metals; Transplanted mussels; Sediments; Biomarkers</t>
  </si>
  <si>
    <t>PERNA-VIRIDIS; MYTILUS-GALLOPROVINCIALIS; SURFACE SEDIMENTS; COASTAL WATERS; CAGED MUSSELS; TRACE-METALS; SOUTH CHINA; RISK-ASSESSMENT; ENNORE ESTUARY; RIVER ESTUARY</t>
  </si>
  <si>
    <t>Heavy metal contamination has been widely studied in coastal areas around the world. However, integrative studies of heavy metals pollution by monitoring and characterizing sediments, organisms, and biomarkers as well as their holistic interactions are rare. Here, we selected a developed coastal area in eastern Guangdong, China as the study field. Heavy metal analysis (both in sediment and mussel) and biomarker tests, including neutral red retention time test (NRRT) and micronuclei (MN) test, were employed in the current research. Anthropogenic activities influenced the heavy metal levels in sediments. Significant relationships (p &lt; 0.05) were observed in the concentrations of Cd, Cu, and Zn between sediments and transplanted mussel, and significant relationships (p &lt; 0.05) were also observed in between the concentrations of Cd, Cu, and Zn in sediments and the NRRT of mussel. The potential ecological risk index (RI) of sediments significantly correlated with NRRT (R = -0.991, p &lt; 0.05). In Hao River, where the highest RI of sediments was found, the highest MN frequency and the lowest NRRT in mussels were detected simultaneously. The results indicated that the heavy metal pollution might cause subcellular toxic and genotoxic effects on mussels, especially for those from polluted areas (i.e., Hao River). The present study suggests that the transplanted green-lipped mussels are suitable for assessing heavy metal pollution, especially for Cd, Cu, and Zn. (C) 2018 Elsevier Ltd. All rights reserved.</t>
  </si>
  <si>
    <t>[Shi, Jingchun; Li, Xue; Wang, Zhen; Li, Ping; Lai, Yongzhong; Sanganyado, Edmond; Liu, Wenhua] Shantou Univ, Marine Biol Inst, Shantou 515063, Guangdong, Peoples R China; [He, Tangtian] City Univ Hong Kong, State Key Lab Marine Pollut, 83 Tat Chee Ave, Kowloon, Hong Kong, Peoples R China; [Wang, Jingzhen] Qinzhou Univ, Guangxi Key Lab Marine Disaster Beibu Gulf, Qinzhou 535011, Guangxi, Peoples R China</t>
  </si>
  <si>
    <t>Shantou University; City University of Hong Kong; Beibu Gulf University</t>
  </si>
  <si>
    <t>Liu, WH (corresponding author), Shantou Univ, Marine Biol Inst, Shantou 515063, Guangdong, Peoples R China.</t>
  </si>
  <si>
    <t>whliu@stu.edu.cn</t>
  </si>
  <si>
    <t>LIU, HUI/JPX-8014-2023; Wang, Zhen/IYS-8649-2023; Wang, Jingzhen/F-7816-2018; Sanganyado, Edmond/B-8542-2013</t>
  </si>
  <si>
    <t>HE, Tangtian/0000-0002-7422-4950; Sanganyado, Edmond/0000-0001-6244-3059; wang, jingzhen/0000-0002-1293-8368; Wang, Zhen/0000-0002-7373-6014</t>
  </si>
  <si>
    <t>National Natural Science Foundation of China [41676166, 41776174]; CNOOC Foundation; Ministry of Agriculture (Chinese White Dolphin Conservation Action)</t>
  </si>
  <si>
    <t>National Natural Science Foundation of China(National Natural Science Foundation of China (NSFC)); CNOOC Foundation; Ministry of Agriculture (Chinese White Dolphin Conservation Action)</t>
  </si>
  <si>
    <t>The authors gratefully acknowledge the financial support by the National Natural Science Foundation of China (grant numbers 41676166 and 41776174), Ministry of Agriculture (Chinese White Dolphin Conservation Action) and CNOOC Foundation. We also appreciate the assistance of Le Li, Xianbing Huang, Qi Gao, Yao Lin, Derun Lin and Yan Liang during sample collection and chemical analysis.</t>
  </si>
  <si>
    <t>10.1016/j.envpol.2018.09.006</t>
  </si>
  <si>
    <t>HA0IN</t>
  </si>
  <si>
    <t>WOS:000449891800065</t>
  </si>
  <si>
    <t>Banana, AAS; Mohamed, RMSR; Al-Gheethi, AAS</t>
  </si>
  <si>
    <t>Banana, Adel A. S.; Mohamed, R. M. S. Radin; Al-Gheethi, A. A. S.</t>
  </si>
  <si>
    <t>Mercury pollution for marine environment at Farwa Island, Libya</t>
  </si>
  <si>
    <t>JOURNAL OF ENVIRONMENTAL HEALTH SCIENCE AND ENGINEERING</t>
  </si>
  <si>
    <t>Mercury; Fishes; Contamination; Farwa Island</t>
  </si>
  <si>
    <t>CARBON NANOTUBES; REMOVAL; CADMIUM; WATER; FISH; ADSORPTION; TOXICOLOGY; COMPOSITE; ORANGE; HAIR</t>
  </si>
  <si>
    <t>Background: Farwa is an Island in Libya receives petrochemical wastes generated from General Company of Chemical Industries (GCCI) since more than 40 years. Aim: The present work aimed to determine the concentrations of mercury (Hg+2) in fish, marine plants and sediment collected from Farwa lagoon to evaluate effect of industrial wastewater from GCCI on the marine environment. Methods: Hundred and twelve samples of fish, pearl oyster, cuttlefish sediments and marine plants were analyzed to determine Hg2+ concentration during the period from January to August 2014 by using Atomic Absorption Spectrometer (AAS). Results: The highest concentration of Hg2+ was detected in Pinctada radiata (11.67 +/- 3.30 mu gg(-1)) followed by Serranus scriba (6.37 +/- 0.11 mu g g(-1)) and Epinephelus marginatus (6.19 +/- 0.02 mu g g(-1)). About 75 % of marine plants contained the maximum contaminations during the summer season. In fish samples Hg2+ concentrations exceeded the levels provided by international standards. Conclusions: The fish at Farwa lagoon is heavily contaminated with Hg2+ which may represent a source for mercury poisoning for human.</t>
  </si>
  <si>
    <t>[Banana, Adel A. S.] Univ Zawia, Subrata Coll, Dept Environm Engn, Zawia, Libya; [Mohamed, R. M. S. Radin; Al-Gheethi, A. A. S.] UTHM, Fac Civil &amp; Environm Engn, Parit Raja, Malaysia; [Al-Gheethi, A. A. S.] High Inst Hlth Sci, Sanaa, Yemen</t>
  </si>
  <si>
    <t>University of Tun Hussein Onn Malaysia</t>
  </si>
  <si>
    <t>Al-Gheethi, AAS (corresponding author), UTHM, Fac Civil &amp; Environm Engn, Parit Raja, Malaysia.;Al-Gheethi, AAS (corresponding author), High Inst Hlth Sci, Sanaa, Yemen.</t>
  </si>
  <si>
    <t>adelalghithi@gmail.com</t>
  </si>
  <si>
    <t>Banana, Adel/ITV-9915-2023; Radin Mohamed, Radin Maya Saphira/B-1924-2019; Al-Gheethi, Eur. Ing. Dr. Adel ABDUH (CEng, Ph.D, P. Tech. MIET, ASM, TWAS)/O-3095-2016</t>
  </si>
  <si>
    <t>Radin Mohamed, Radin Maya Saphira/0000-0002-2023-9196; Al-Gheethi, Eur. Ing. Dr. Adel ABDUH (CEng, Ph.D, P. Tech. MIET, ASM, TWAS)/0000-0001-7257-2954</t>
  </si>
  <si>
    <t>Universiti Tun Hussein Onn Malaysia (UTHM), School of Civil and Environmental Engineering</t>
  </si>
  <si>
    <t>The authors would like to thank Badu Society for Protection Marine Biology and Wild for allow us to use their laboratories. In addition, to express their appreciations to the Universiti Tun Hussein Onn Malaysia (UTHM), School of Civil and Environmental Engineering for Postdoctoral Fellowship to Adel Al-Gheethi.</t>
  </si>
  <si>
    <t>BMC</t>
  </si>
  <si>
    <t>CAMPUS, 4 CRINAN ST, LONDON N1 9XW, ENGLAND</t>
  </si>
  <si>
    <t>2052-336X</t>
  </si>
  <si>
    <t>J ENVIRON HEALTH SCI</t>
  </si>
  <si>
    <t>J. Environ. Health Sci. Eng</t>
  </si>
  <si>
    <t>FEB 20</t>
  </si>
  <si>
    <t>10.1186/s40201-016-0246-y</t>
  </si>
  <si>
    <t>DE2VT</t>
  </si>
  <si>
    <t>WOS:000370486000001</t>
  </si>
  <si>
    <t>McDougall, DR; Chan, A; McGillivray, DJ; de Jonge, MD; Miskelly, GM; Jeffs, AG</t>
  </si>
  <si>
    <t>McDougall, Daniel R.; Chan, Andrew; McGillivray, Duncan J.; de Jonge, Martin D.; Miskelly, Gordon M.; Jeffs, Andrew G.</t>
  </si>
  <si>
    <t>Examining the role of ethylenediaminetetraacetic acid (EDTA) in larval shellfish production in seawater contaminated with heavy metals</t>
  </si>
  <si>
    <t>Metals; Shellfish; Larval development; Bioavailability; Hatchery; Aquaculture</t>
  </si>
  <si>
    <t>CARBONIC-ANHYDRASE ACTIVITY; MYTILUS-EDULIS EMBRYOS; CRASSOSTREA-GIGAS; PACIFIC OYSTER; DISSOLVED MERCURY; IONIC REGULATION; LIFE STAGES; MUSSEL; COPPER; CADMIUM</t>
  </si>
  <si>
    <t>Heavy metal pollution is a concern in many coastal locations where it is frequently deleterious to the survival of young shellfish. Consequently, a great number of commercial shellfish hatcheries around the world rely on the addition of ethylenediaminetetraacetic acid (EDTA) to seawater to ensure successful larval production. Despite the importance of this practice to global shellfish production the mode of action of EDTA in larval production remains undetermined. It is assumed EDTA chelates heavy metals in seawater preventing interference in larval development. Larval mussels (Perna canaliculus) raised in seawater with 3 mu M EDTA had a 15 fold higher yield than those without EDTA. The concentration and spatial arrangement of heavy metals in larvae as determined by Inductively Coupled Plasma Mass Spectrometry (ICPMS) and X-ray Fluorescence Microscopy (XFM) was consistent with reduced bioavailability of several metals, especially copper and zinc. This is the first study to confirm the effectiveness of EDTA for managing metal pollution commonly encountered in coastal shellfish hatcheries.</t>
  </si>
  <si>
    <t>[McDougall, Daniel R.; Jeffs, Andrew G.] Univ Auckland, Inst Marine Sci, Private Bag 92019, Auckland, New Zealand; [Chan, Andrew; McGillivray, Duncan J.; Miskelly, Gordon M.] Univ Auckland, Sch Chem Sci, Private Bag 92019, Auckland, New Zealand; [de Jonge, Martin D.] Australian Nucl Sci &amp; Technol Org, Australian Synchrotron, Clayton, Vic 3168, Australia</t>
  </si>
  <si>
    <t>University of Auckland; University of Auckland; Australian Nuclear Science &amp; Technology Organisation; Australian Synchrotron</t>
  </si>
  <si>
    <t>McDougall, DR (corresponding author), Univ Auckland, Inst Marine Sci, Private Bag 92019, Auckland, New Zealand.</t>
  </si>
  <si>
    <t>Jeffs, Andrew/D-9474-2012; de Jonge, Martin/C-3400-2011; McGillivray, Duncan/B-9819-2009</t>
  </si>
  <si>
    <t>McGillivray, Duncan/0000-0003-2127-8792; Chan, Andrew/0000-0002-8128-1021; McDougall, Daniel/0000-0001-6915-0507</t>
  </si>
  <si>
    <t>University of Auckland through a UoA Doctoral Scholarship; New Zealand Synchrotron Group [M12968]</t>
  </si>
  <si>
    <t>University of Auckland through a UoA Doctoral Scholarship; New Zealand Synchrotron Group</t>
  </si>
  <si>
    <t>DRM and AC gratefully acknowledge the University of Auckland for financial support through a UoA Doctoral Scholarship. DRM gratefully acknowledges the staff at Shellfish Production and Technology New Zealand (SPATNZ) for their technical support, and Stuart Morrow for support with ICPMS sample preparation. Parts of this research were undertaken on the XFM beamline at the Australian Synchrotron (ANSTO). The authors would also like to acknowledge the New Zealand Synchrotron Group for the funding support for the work carried out on the XFM beamline at the Australian Synchrotron (Proposal: M12968).</t>
  </si>
  <si>
    <t>10.1016/j.aquatox.2019.105330</t>
  </si>
  <si>
    <t>JU1BU</t>
  </si>
  <si>
    <t>WOS:000501413700004</t>
  </si>
  <si>
    <t>STEPHENSON, MD; LEONARD, GH</t>
  </si>
  <si>
    <t>EVIDENCE FOR THE DECLINE OF SILVER AND LEAD AND THE INCREASE OF COPPER FROM 1977 TO 1990 IN THE COASTAL MARINE WATERS OF CALIFORNIA</t>
  </si>
  <si>
    <t>STATES-MUSSEL-WATCH; TRACE-METAL</t>
  </si>
  <si>
    <t>Data collected from 1977 to 1990 by the California State Mussel Watch programme was analysed for long-term trends in silver, copper and lead at 20 sites along the California coast. 75% of the sites showed a clear trend in at least one heavy metal. Changes were evident in contaminated harbours as well as remote sites. 55% of the sites showed significant decreases in silver, 25% increased in copper and 40% decreased in lead. Declines in silver and lead appear related to decreased mass emission rates by wastewater treatment facilities, more effective reclamation efforts, and decreases in the use of leaded gasoline. Increase in copper appear related to increased vessel traffic and use of new, copolymer anti-fouling paints. These results suggest that the coastal waters of California are becoming cleaner, at least with respect to silver and lead. However, trends in copper are disturbing. These and other sites should continue to be monitored to document the status of copper and other trace metals in the environment.</t>
  </si>
  <si>
    <t>MOSS LANDING MARINE LABS, MOSS LANDING, CA 95039 USA</t>
  </si>
  <si>
    <t>Moss Landing Marine Laboratories</t>
  </si>
  <si>
    <t>CALIF DEPT FISH &amp; GAME, POB 747, MOSS LANDING, CA 95039 USA.</t>
  </si>
  <si>
    <t>Leonard, Greg/F-7157-2010</t>
  </si>
  <si>
    <t>10.1016/0025-326X(94)90390-5</t>
  </si>
  <si>
    <t>NC450</t>
  </si>
  <si>
    <t>WOS:A1994NC45000008</t>
  </si>
  <si>
    <t>Tanhan, P; Imsilp, K; Lansubsakul, N; Tantiwisawaruji, S; Thong-asa, W</t>
  </si>
  <si>
    <t>Tanhan, Phanwimol; Imsilp, Kanjana; Lansubsakul, Niyada; Tantiwisawaruji, Sukalaya; Thong-asa, Wachiryah</t>
  </si>
  <si>
    <t>Oxidative response to accumulation of trace metals in tissue of two bivalves, the Asian green mussel Perna viridis and the blood cockle Tegillarca granosa, living in Pattani Bay, Thailand</t>
  </si>
  <si>
    <t>JOURNAL OF AQUATIC ANIMAL HEALTH</t>
  </si>
  <si>
    <t>bioaccumulation; lipid peroxidation; macroconcentration; oxidative stress; Pattani Bay</t>
  </si>
  <si>
    <t>MYTILUS-GALLOPROVINCIALIS; METALLOTHIONEIN; CADMIUM; STRESS; CD; GLUTATHIONE; COPPER; COAST; HG; CU</t>
  </si>
  <si>
    <t>Objective: Using bivalves to indicate aquatic pollutants was favorable for discerning the negative effects of high levels of metal accumulation in tissue. We investigated the correlation between trace metal accumulation and the tissue oxidative response of two bivalves.Methods: The Asian green mussel Perna viridis and the blood cockle Tegillarca granosa were sampled along with seawater and sediments from three locations around Pattani Bay, Thailand. Accumulation of nine trace metals (cadmium, cobalt, copper, chromium, nickel, manganese, iron, zinc, and lead) in seawater, sediments, and tissue and the oxidative tissue response were evaluated. Metal bioaccumulation factor, biota-sediment accumulation factor, and histopathology were also indicated.Result: The present study found that P. viridis and T. granosa were macroconcentrators and bioaccumulative of cadmium, and their tissue accumulation of cadmium was strongly related to lipid peroxidation activation. Perna viridis exhibited a higher oxidative response than T. granosa, as indicated by malondialdehyde, catalase, and reduced glutathione levels.Conclusion: The present study indicated that P. viridis and T. granosa were macroconcentrators and bioaccumulative of cadmium, and their tissue accumulation of cadmium was strongly related to lipid peroxidation activation. Research has shown discernible negative effects of a high level of metal accumulation in tissue, and deformed and damaged tissues were present in the gills, digestive glands, intestines, and feet of P. viridis and T. granosa.</t>
  </si>
  <si>
    <t>[Tanhan, Phanwimol; Imsilp, Kanjana] Kasetsart Univ, Fac Vet Med, Dept Pharmacol, Bangkok, Thailand; [Lansubsakul, Niyada] Kasetsart Univ, Fac Vet Med, Dept Anat, Bangkok, Thailand; [Tantiwisawaruji, Sukalaya] King Mongkuts Univ Technol Thonburi, Learning Inst, Bangkok, Thailand; [Thong-asa, Wachiryah] Kasetsart Univ, Fac Sci, Dept Zool, Anim Toxicol &amp; Physiol Specialty Res Unit, Bangkok, Thailand</t>
  </si>
  <si>
    <t>Kasetsart University; Kasetsart University; King Mongkuts University of Technology Thonburi; Kasetsart University</t>
  </si>
  <si>
    <t>Thong-asa, W (corresponding author), Kasetsart Univ, Fac Sci, Dept Zool, Anim Toxicol &amp; Physiol Specialty Res Unit, Bangkok, Thailand.</t>
  </si>
  <si>
    <t>fsciwyth@ku.ac.th</t>
  </si>
  <si>
    <t>Faculty of Veterinary Medicine at Kasetsart University; Department of Zoology, Faculty of Science, Kasetsart University; Faculty of Science, Kasetsart University</t>
  </si>
  <si>
    <t>Financial support was received from the Faculty of Veterinary Medicine at Kasetsart University. We thank the Department of Zoology, Faculty of Science, Kasetsart University. Additional financial support was provided by International SciKU Branding, Faculty of Science, Kasetsart University.</t>
  </si>
  <si>
    <t>0899-7659</t>
  </si>
  <si>
    <t>1548-8667</t>
  </si>
  <si>
    <t>J AQUAT ANIM HEALTH</t>
  </si>
  <si>
    <t>J. Aquat. Anim. Health</t>
  </si>
  <si>
    <t>10.1002/aah.10200</t>
  </si>
  <si>
    <t>JAN 2024</t>
  </si>
  <si>
    <t>KB1O1</t>
  </si>
  <si>
    <t>WOS:001140243700001</t>
  </si>
  <si>
    <t>Macirella, R; Guardia, A; Pellegrino, D; Bernabò, I; Tronci, V; Ebbesson, LOE; Sesti, S; Tripepi, S; Brunelli, E</t>
  </si>
  <si>
    <t>Macirella, Rachele; Guardia, Antonello; Pellegrino, Daniela; Bernabo, Ilaria; Tronci, Valentina; Ebbesson, Lars O. E.; Sesti, Settimio; Tripepi, Sandro; Brunelli, Elvira</t>
  </si>
  <si>
    <t>Effects of Two Sublethal Concentrations of Mercury Chloride on the Morphology and Metallothionein Activity in the Liver of Zebrafish (Danio rerio)</t>
  </si>
  <si>
    <t>acute effects; ultrastructure; inorganic mercury; liver; metallothionein; in situ hybridization; confocal microscopy; histology</t>
  </si>
  <si>
    <t>CLAM RUDITAPES-DECUSSATUS; CENTRAL-NERVOUS-SYSTEM; FRESH-WATER FISH; DIETARY METHYLMERCURY; GENE-EXPRESSION; TRANSCRIPTOME ANALYSIS; BRACHYDANIO-RERIO; ENERGY-METABOLISM; INORGANIC MERCURY; EXPOSURE</t>
  </si>
  <si>
    <t>Mercury (Hg) is a highly hazardous pollutant widely used in industrial, pharmaceutical and agricultural fields. Mercury is found in the environment in several forms, elemental, inorganic (iHg) and organic, all of which are toxic. Considering that the liver is the organ primarily involved in the regulation of metabolic pathways, homeostasis and detoxification we investigated the morphological and ultrastructural effects in Danio rerio liver after 96 h exposure to two low HgCl2 concentrations (7.7 and 38.5 mu g/L). We showed that a short-term exposure to very low concentrations of iHg severely affects liver morphology and ultrastructure. The main effects recorded in this work were: cytoplasm vacuolization, decrease in both lipid droplets and glycogen granules, increase in number of mitochondria, increase of rough endoplasmic reticulum and pyknotic nuclei. Pathological alterations observed were dose dependent. Trough immunohistochemistry, in situ hybridization and real-time PCR analysis, the induction of metallothionein (MT) under stressor conditions was also evaluated. Some of observed alterations could be considered as a general response of tissue to heavy metals, whereas others (such as increased number of mitochondria and increase of RER) may be considered as an adaptive response to mercury.</t>
  </si>
  <si>
    <t>[Macirella, Rachele; Guardia, Antonello; Pellegrino, Daniela; Bernabo, Ilaria; Sesti, Settimio; Tripepi, Sandro; Brunelli, Elvira] Univ Calabria, Dept Biol Ecol &amp; Earth Sci, Via P Bucci 4-B, I-87036 Arcavacata Di Rende, Cosenza, Italy; [Tronci, Valentina; Ebbesson, Lars O. E.] Uni Res, Uni Res Environm, N-5006 Bergen, Norway; [Ebbesson, Lars O. E.] Univ Bergen, Dept Biol, Bergen High Technol Ctr, N-5020 Bergen, Norway</t>
  </si>
  <si>
    <t>University of Calabria; University of Bergen</t>
  </si>
  <si>
    <t>Brunelli, E (corresponding author), Univ Calabria, Dept Biol Ecol &amp; Earth Sci, Via P Bucci 4-B, I-87036 Arcavacata Di Rende, Cosenza, Italy.</t>
  </si>
  <si>
    <t>rachele.macirella@unical.it; antonello.guardia@unical.it; danielapellegrino@unical.it; ilaria.bernabo@unical.it; valentina.tronci@uni.no; smoltbrain@me.com; settimio.sesti@unical.it; sandro.tripepi@unical.it; elvira.brunelli@unical.it</t>
  </si>
  <si>
    <t>Ebbesson, Lars/F-9385-2011; Bernabò, Ilaria/AAE-1052-2020; Bernabo, Ilaria/C-8674-2014; Brunelli, Elvira/I-5821-2014</t>
  </si>
  <si>
    <t>Macirella, Rachele/0000-0003-4121-9837; Bernabo, Ilaria/0000-0003-3443-8994; Ebbesson, Lars Olof Ebbe/0000-0002-5965-1284; Pellegrino, Daniela/0000-0002-9815-5195; Brunelli, Elvira/0000-0003-3669-1395</t>
  </si>
  <si>
    <t>Dottorato di Ricerca in Scienze della Vita, University of Calabria, Rende (CS) Italy</t>
  </si>
  <si>
    <t>This study was supported in part by a grant provided by Dottorato di Ricerca in Scienze della Vita, University of Calabria, Rende (CS) Italy.</t>
  </si>
  <si>
    <t>10.3390/ijms17030361</t>
  </si>
  <si>
    <t>DI7WN</t>
  </si>
  <si>
    <t>Green Published, gold, Green Submitted</t>
  </si>
  <si>
    <t>WOS:000373712800151</t>
  </si>
  <si>
    <t>Renwrantz, L; Schmalmack, W; Steenbuck, M</t>
  </si>
  <si>
    <t>Molecular size of native proteins of Mytilus serum which contains a dominant fraction with heavy metal-binding properties</t>
  </si>
  <si>
    <t>COMPARATIVE BIOCHEMISTRY AND PHYSIOLOGY A-MOLECULAR AND INTEGRATIVE PHYSIOLOGY</t>
  </si>
  <si>
    <t>Mytilus edulis; heavy metal-binding protein; hemolymph proteins of Mytilus</t>
  </si>
  <si>
    <t>MARINE MUSSEL; RIPTORTUS-CLAVATUS; COMMON MUSSEL; EDULIS L; HEMOCYTES; CADMIUM; ACCUMULATION; HEMOLYMPH; METALLOTHIONEINS; CYANOPROTEIN</t>
  </si>
  <si>
    <t>Native serum of Mytilus edulis was investigated by gradient PAGE. Protein composition varied between individual mussels. However, six major bands were obtained relatively constantly in electropherograms revealing molecular weights of 35 +/- 1.8 kDa, 136 +/- 4.0 kDa, 287 +/- 16.9 kDa, 423 +/- 26.3 kDa, 498 +/- 7.5 kDa and 667 +/- 24.8 kDa. The serum protein band 1 (SPB1) of similar to 35 kDa occurred in all mussels at a relatively high concentration. From two very different experimental approaches information was expected about a physiological function of this prominent protein fraction: (1) No support was obtained for its postulated vitellogenin activity as it was not found in eggs. (2) On the other hand, SPB1 reacted strongly with heavy metals. It was precipitated by cadmium acetate and bound to organomercurial agarose. Furthermore, evidence was obtained that most of the Cd in serum from contaminated mussels was complexed with humoral components as about 75% of the serum-metal was retained by an ultrafiltration membrane (molecular weight cutoff 3 kDa). In contrast, a seawater solution of cadmium passed the filter pores as determined by atomic absorption chromatography. It is suggested that SPB1 could be involved in heavy metal transport between gills, considered to be the primary sites of metal entry, and other organs accumulating the uptaken water pollutants. (C) 1998 Elsevier Science Inc. All rights reserved.</t>
  </si>
  <si>
    <t>Univ Hamburg, Inst Zool, D-20146 Hamburg, Germany; Univ Hamburg, Museum Zool, D-20146 Hamburg, Germany</t>
  </si>
  <si>
    <t>University of Hamburg; University of Hamburg</t>
  </si>
  <si>
    <t>Renwrantz, L (corresponding author), Univ Hamburg, Inst Zool, Martin Luther King Pl 3, D-20146 Hamburg, Germany.</t>
  </si>
  <si>
    <t>655 AVENUE OF THE AMERICAS, NEW YORK, NY 10010 USA</t>
  </si>
  <si>
    <t>1095-6433</t>
  </si>
  <si>
    <t>COMP BIOCHEM PHYS A</t>
  </si>
  <si>
    <t>Comp. Biochem. Physiol. A-Mol. Integr. Physiol.</t>
  </si>
  <si>
    <t>10.1016/S1095-6433(98)10119-8</t>
  </si>
  <si>
    <t>Biochemistry &amp; Molecular Biology; Physiology; Zoology</t>
  </si>
  <si>
    <t>143GE</t>
  </si>
  <si>
    <t>WOS:000077246200010</t>
  </si>
  <si>
    <t>Lettieri, G; Marinaro, C; Brogna, C; Montano, L; Lombardi, M; Trotta, A; Troisi, J; Piscopo, M</t>
  </si>
  <si>
    <t>Lettieri, Gennaro; Marinaro, Carmela; Brogna, Carlo; Montano, Luigi; Lombardi, Martina; Trotta, Alessio; Troisi, Jacopo; Piscopo, Marina</t>
  </si>
  <si>
    <t>A Metabolomic Analysis to Assess the Responses of the Male Gonads of Mytilus galloprovincialis after Heavy Metal Exposure</t>
  </si>
  <si>
    <t>gonads; metabolomics; heavy metals; Mytilus galloprovincialis</t>
  </si>
  <si>
    <t>CLAM RUDITAPES-PHILIPPINARUM; ANTIOXIDANT; MUSSEL; COPPER; BIOMARKERS; CADMIUM; TISSUES; CARP</t>
  </si>
  <si>
    <t>In recent years, metabolomics has become a valuable new resource in environmental monitoring programs based on the use of bio-indicators such as Mytilus galloprovincialis. The reproductive system is extremely susceptible to the effects of environmental pollutants, and in a previous paper, we showed metabolomic alterations in mussel spermatozoa exposed to metal chlorides of copper, nickel, and cadmium, and the mixture with these metals. In order to obtain a better overview, in the present work, we evaluated the metabolic changes in the male gonad under the same experimental conditions used in the previous work, using a metabolomic approach based on GC-MS analysis. A total of 248 endogenous metabolites were identified in the male gonads of mussels. Statistical analyses of the data, including partial least squares discriminant analysis, enabled the identification of key metabolites through the use of variable importance in projection scores. Furthermore, a metabolite enrichment analysis revealed complex and significant interactions within different metabolic pathways and between different metabolites. Particularly significant were the results on pyruvate metabolism, glycolysis, and gluconeogenesis, and glyoxylate and dicarboxylate metabolism, which highlighted the complex and interconnected nature of these biochemical processes in mussel gonads. Overall, these results add new information to the understanding of how certain pollutants may affect specific physiological functions of mussel gonads.</t>
  </si>
  <si>
    <t>[Lettieri, Gennaro; Marinaro, Carmela; Piscopo, Marina] Univ Naples Federico II, Dept Biol, Via Cinthia, I-80126 Naples, Italy; [Brogna, Carlo] Craniomed Grp Facil Srl, Dept Res, I-20091 Bresso, Italy; [Montano, Luigi] Local Hlth Author ASL Salerno, Androl Unit, I-84084 Salerno, Italy; [Montano, Luigi] Local Hlth Author ASL Salerno, Serv LifeStyle Med Uroandrol, I-84084 Salerno, Italy; [Lombardi, Martina; Trotta, Alessio; Troisi, Jacopo] Univ Salerno, Theoreo Srl, Spin off Co, I-84084 Salerno, Italy</t>
  </si>
  <si>
    <t>University of Naples Federico II; University of Salerno</t>
  </si>
  <si>
    <t>Piscopo, M (corresponding author), Univ Naples Federico II, Dept Biol, Via Cinthia, I-80126 Naples, Italy.;Troisi, J (corresponding author), Univ Salerno, Theoreo Srl, Spin off Co, I-84084 Salerno, Italy.</t>
  </si>
  <si>
    <t>Montano, Luigi/W-2067-2019; Troisi, Jacopo/ABC-1348-2021; Marinaro, Carmela/HNS-2479-2023; Lettieri, Gennaro/AAZ-1164-2020</t>
  </si>
  <si>
    <t>Marinaro, Carmela/0000-0002-1817-7280; Lombardi, Martina/0000-0003-4453-6627; Troisi, Jacopo/0000-0003-2962-7379; Montano, Luigi/0000-0001-5670-9439; Lettieri, Gennaro/0000-0002-0141-3320</t>
  </si>
  <si>
    <t>10.3390/metabo13121168</t>
  </si>
  <si>
    <t>DM3R8</t>
  </si>
  <si>
    <t>WOS:001132426500001</t>
  </si>
  <si>
    <t>Bouilly, K; Gagnaire, B; Bonnard, M; Thomas-Guyon, H; Renault, T; Miramand, P; Lapègue, S</t>
  </si>
  <si>
    <t>Bouilly, Karine; Gagnaire, Beatrice; Bonnard, Marc; Thomas-Guyon, Helene; Renault, Tristan; Miramand, Pierre; Lapegue, Sylvie</t>
  </si>
  <si>
    <t>Effects of cadmium on aneuploidy and hemocyte parameters in the Pacific oyster, Crassostrea gigas</t>
  </si>
  <si>
    <t>cadmium; Crassostrea gigas; aneuploidy; hemocytes; flow cytometry; phenoloxidase</t>
  </si>
  <si>
    <t>MUSSEL MYTILUS-EDULIS; CELLULAR DEFENSE-MECHANISMS; COMMON MARINE MUSSEL; MARENNES-OLERON; CHROMOSOME LOSS; HEAVY-METALS; VIRGINICA; ATRAZINE; BIVALVE; THUNBERG</t>
  </si>
  <si>
    <t>Pacific oysters, Crassostrea gigas, are commonly reared in estuaries where they are exposed to anthropogenic pollution. Much research has been made on the toxicity of cadmium to aquatic organisms because the compound recurrently contaminates their environment. Our study examined the influence of cadmium on aneuploidy level (lowered chromosome number in a percentage of somatic cells) and hemocyte parameters in C. gigas at different stages of life. Adults and juveniles were exposed to two different concentrations of cadmium. The first concentration applied was equivalent to a peak value found in Marennes-Oleron bay (Charente-Maritime, France; 50 ng L-1) and the second was 10 times higher (500 ng L-1). Exposure to 50 ng L-1 cadmium caused a significant decrease in the survival time of C gigas, but exposure to 500 ng L-1 surprisingly affected the survival time positively. Significant differences in aneuploidy level were observed between the cadmium treatments and the control in adults but not in juveniles or the offspring of the adult groups. The effects of cadmium on hemocyte parameters were analyzed by flow cytometry. Several hemocyte parameters increased significantly after 21 days of cadmium exposure and subsequently decreased. Phenoloxidase-like activity, evaluated by spectrophotometry, varied over the time of the experiment and increased after 66 days of contact with 500 ng L-1 cadmium. Taken together, cadmium at environmentally relevant concentrations seems to have only moderate effects on aneuploidy and hemocyte parameters. (c) 2006 Elsevier B.V. All rights reserved.</t>
  </si>
  <si>
    <t>IFREMER, Lab Genet &amp; Pathol, F-17390 La Tremblade, France; Univ La Rochelle, CNRS, FRE 2727, Lab Biol &amp; Environm Marinas, F-17042 La Rochelle, France</t>
  </si>
  <si>
    <t>Ifremer; Centre National de la Recherche Scientifique (CNRS); La Rochelle Universite</t>
  </si>
  <si>
    <t>Lapègue, S (corresponding author), IFREMER, Lab Genet &amp; Pathol, F-17390 La Tremblade, France.</t>
  </si>
  <si>
    <t>slapegue@ifremer.fr</t>
  </si>
  <si>
    <t>Lapègue, Sylvie/H-5042-2011; THOMAS, Helene/JZW-5193-2024; RENAULT, Tristan/H-6405-2011</t>
  </si>
  <si>
    <t>THOMAS, Helene/0000-0002-7932-6841; Lapegue, Sylvie/0000-0003-4969-9273; Bonnard, Marc/0000-0002-6155-0191; Gagnaire, Beatrice/0000-0003-4865-9544</t>
  </si>
  <si>
    <t>10.1016/j.aquatox.2006.02.028</t>
  </si>
  <si>
    <t>050SZ</t>
  </si>
  <si>
    <t>WOS:000238110100005</t>
  </si>
  <si>
    <t>Shilla, D; Qadah, D; Kalibbala, M</t>
  </si>
  <si>
    <t>Shilla, D.; Qadah, D.; Kalibbala, M.</t>
  </si>
  <si>
    <t>Distribution of heavy metals in dissolved, particulate and biota in the Scheldt estuary, Belgium</t>
  </si>
  <si>
    <t>metal distribution; heavy metals; dissolved phase; particulate phase; biota</t>
  </si>
  <si>
    <t>MUSSEL MYTILUS-EDULIS; TRACE-METALS; SOFT-TISSUE; BODY-SIZE; ACCUMULATION; POLLUTION; MOLLUSKS; BYSSUS; WATCH; GULF</t>
  </si>
  <si>
    <t>The distribution of heavy metals in abiotic phases (dissolved, particulate) and biotic fauna (i.e. Mytilus edulis), were analysed and studied in the Scheldt estuary, with the aim of determining the distribution of heavy metal pollution, at seven sites. For the analysed metals, the concentrations in M. edulis tissues were in the order: Fe &gt; Zn &gt; Cu &gt; Pb &gt; Cd &gt; Co. Cadmium concentrations were the lowest for all sites, except at Borsele and Hansweert. The metals in mussel tissues correlated well with metals in both the particulate (e.g. Cd, r = 0.98) and dissolved phases (e.g. Cd, r = 0.57; Cr, Zn, r = 0.79; Fe, r = 0.58). Furthermore, a relationship between heavy metal concentrations in the abiotic phases and the soft tissue of M. edulis was developed, with an effort to determine how much pollution apportionment each abiotic phase contributed to metal accumulation in the soft tissues. Results showed that the contribution from the dissolved phase was more significant compared to the particulate phase. The bioaccumulated heavy metals (e.g. Cd, Cu, Zn) in the tissues were way above the acceptable limits stipulated by international codes of practice, implying critical estuary pollution in the biota.</t>
  </si>
  <si>
    <t>[Shilla, D.; Qadah, D.] Univ Antwerp, Dept Biol, B-2020 Antwerp, Belgium; [Kalibbala, M.] Saitama Univ, Grad Sch Sci &amp; Engn, Dept Environm Sci &amp; Human Engn, Sakura Ku, Saitama, Japan</t>
  </si>
  <si>
    <t>University of Antwerp; Saitama University</t>
  </si>
  <si>
    <t>Shilla, D (corresponding author), Univ Antwerp, Dept Biol, Groenenborgerlaan, B-2020 Antwerp, Belgium.</t>
  </si>
  <si>
    <t>dshilla@yahoo.com</t>
  </si>
  <si>
    <t>Shilla, Dativa/ABF-7716-2020</t>
  </si>
  <si>
    <t>4 PARK SQUARE, MILTON PARK, ABINGDON OX14 4RN, OXON, ENGLAND</t>
  </si>
  <si>
    <t>10.1080/02757540701814945</t>
  </si>
  <si>
    <t>265CA</t>
  </si>
  <si>
    <t>WOS:000253335500006</t>
  </si>
  <si>
    <t>Shi, DL; Wang, WX</t>
  </si>
  <si>
    <t>Modification of trace metal accumulation in the green mussel Perna viridis by exposure to Ag, Cu, and Zn</t>
  </si>
  <si>
    <t>pre-exposure; bioaccumulation; mussels; copper; silver; zinc; mercury; cadmium</t>
  </si>
  <si>
    <t>MOLECULAR-WEIGHT; CD; SILVER; CADMIUM; COPPER; METALLOTHIONEIN; ASSIMILATION; PREEXPOSURE; ELEMENTS; WATER</t>
  </si>
  <si>
    <t>To examine the Cd, Hg, Ag, and Zn accumulation in the green mussel Perna viridis affected by previous exposure to Cu, Ag, or Zn, the dietary metal assimilation efficiency (AE) and the uptake rate from the dissolved phase were quantified. The mussel's filtration rate, metallothionein (MT) concentration, and metal tissue burden as well as the metal subcellular partitioning were also determined to illustrate the potential mechanisms underlying the influences caused by one metal pre-exposure on the bioaccumulation of the other metals. The green mussels were pre-exposed to Cu, Ag, or Zn for different periods (1-5 weeks) and the bioaccumulation of Cd, Hg, Ag, and Zn were concurrently determined. Pre-exposure to the three metals did not result in any significant increase in NIT concentration in the green mussels. Ag concentration in the insoluble fraction increased with increasing Ag exposure period and Ag ambient concentration. Our data indicated that Cd assimilation were not influenced by the mussel's pre-exposure to the three metals (Cu, Ag, and Zn), but its dissolved uptake was depressed by Ag and Zn exposure. Although Hg assimilation from food was not affected by the metal pre-exposure, its influx rate from solution was generally inhibited by the exposure to Cu, Ag, and Zn. Ag bioaccumulation was affected the most obviously, in which its AE increased with increasing Ag tissue concentration, and its dissolved uptake decreased with increasing tissue concentrations of Ag and Cu. As an essential metal, Zn bioaccumulation remained relatively stable following the metal pre-exposure, suggesting the regulatory ability of Zn uptake in the mussels. Zn AE was not affected by metal pre-exposure, but its dissolved uptake was depressed by Ag and Zn pre-exposure. All these results indicated that the influences of one metal pre-exposure on the bioaccumulation of other metals were metal-specific due to the differential binding and toxicity of metals to the mussels. Such factors should be considered in using metal concentrations in mussel's soft tissues to evaluate the metal pollution in coastal waters. (C) 2004 Elsevier Ltd. All rights reserved.</t>
  </si>
  <si>
    <t>Wang, Wenxiong/E-7254-2011; Shi, Dalin/E-6361-2011</t>
  </si>
  <si>
    <t>Wang, Wenxiong/0000-0001-9033-0158; Shi, Dalin/0000-0003-4432-1992</t>
  </si>
  <si>
    <t>10.1016/j.envpol.2004.04.023</t>
  </si>
  <si>
    <t>852LX</t>
  </si>
  <si>
    <t>WOS:000223757900007</t>
  </si>
  <si>
    <t>COMMON MUSSEL MYTILUS-EDULIS AS AN INDICATOR OF POLLUTION BY ZINC, CADMIUM, LEAD AND COPPER .2. RELATIONSHIP OF METALS IN MUSSEL TO THOSE DISCHARGED BY INDUSTRY</t>
  </si>
  <si>
    <t>Concentrations of Zn, Cd, Pb and Cu were determined in whole soft parts of M. edulis sampled in Port Phillip Bay and Western Port Bay, Victoria, Australia. The mussels were sampled according to procedures suggested by previous studies to eliminate the effects of natural environmental variables. Results of the analytical studies were compared to data on the quantities of trace metals discharged by industry into the catchments of each bay. This allowed an evaluation of the indicator ability of the mussel without the need for multiple analyses of water samples. The mussel apparently can act as an efficient time-integrated indicator of Zn, Cd and Pb over a wide variety of environmental conditions. Although additional variables may remain to be investigated, the mussel is recommended as an alternative to the analysis of water and sediments. With further development this organism may also be useful for monitoring industrial effluent characteristics at the discharge site, allowing rapid, reliable and inexpensive control of water quality. The mussel is of doubtful use as an indicator of Cu; other indicator types such as macroalgae may be better-suited to the study of this element.</t>
  </si>
  <si>
    <t>10.1007/BF00391487</t>
  </si>
  <si>
    <t>WOS:A1976CK09900008</t>
  </si>
  <si>
    <t>Hummel, H; Modderman, R; AmiardTriquet, C; Rainglet, F; vanDuijn, Y; Herssevoort, M; deJong, J; Bogaards, R; Bachelet, G; Desprez, M; Marchand, J; Sylvand, B; Amiard, JC; Rybarczyk, H; deWolf, L</t>
  </si>
  <si>
    <t>A comparative study on the relation between copper and condition in marine bivalves and the relation with copper in the sediment</t>
  </si>
  <si>
    <t>bivalves; Macoma balthica; Myztilus edulis; Cerastoderma edule; copper; condition; silt fraction; sediment</t>
  </si>
  <si>
    <t>MUSSEL MYTILUS-EDULIS; TRACE-METAL CONCENTRATIONS; SAN-FRANCISCO BAY; MACOMA-BALTHICA; HEAVY-METALS; CU; ESTUARINE; ACCUMULATION; CADMIUM; CD</t>
  </si>
  <si>
    <t>The relation between condition and copper concentration was assessed in three bivalve species (the Baltic clam Macoma balthica, the cockle Cerastoderma edule and the mussel Mytilus edulis) from several Dutch and French estuaries. In general, the copper concentration in the bivalves was negatively related to condition. The slope of this relation was strongest in the Baltic clam M. balthica, with an almost inversely proportional change of Cu concentration at a change of condition, indicating an almost constant Cu content (body burden) per individual, i.e. no elimination or accumulation of Cu. In the mussel M. edulis, the slope of this relation was absent or the weakest, with an almost uniform Cu concentration at a change of condition, indicating an almost proportional elimination (or accumulation) of Cu at a decrease (or increase) of the condition. Thus in Baltic clams the copper body burden is kept at an almost constant level, whereas in mussels the copper concentration is almost constant. In Baltic clams, but not in mussels and cockles, spatial differences were related to copper concentrations in the sediment. It is discussed that mussels maintain a homeostatic Cu concentration within a short time-period (days; copper highly exchangeable by complexation to metallothioneins), whereas the Cu concentration in Baltic clams is more slowly regulated (several weeks; fossilization of copper in mineral granules) and remains on an average in (partitioning) equilibrium with the Cu concentration in the sediment. Therefore, the Baltic clam is a better indicator of sediment copper pollution than the commonly used mussel. In addition, the observed differences between species were compared with differences in their life-strategies. The Cu concentration in the sediment is strongly related to the silt fraction (&lt;16 mu m) of the sediment.</t>
  </si>
  <si>
    <t>UNIV NANTES, CNRS, FAC PHARM, LAB ECOTOXICOL, F-44035 NANTES, FRANCE; POLYTECH FAC, HOGESCH ROTTERDAM &amp; OMSTREKEN, NL-2629 HT DELFT, NETHERLANDS; UNIV BORDEAUX 1, LAB OCEANOG BIOL, URA CNRS 197, F-33120 ARCACHON, FRANCE; GEMEL PICARDIE, STN ETUD BAIE SOMME, F-80230 ST VALERY SUR SOMME, FRANCE; UNIV NANTES, FAC SCI &amp; TECH, BIOL MARINE LAB, F-44072 NANTES 03, FRANCE; GEMEL BASSE NORMANDIE, STN MARINE, F-14530 LUC SUR MER, FRANCE</t>
  </si>
  <si>
    <t>Centre National de la Recherche Scientifique (CNRS); Nantes Universite; Universite de Bordeaux; Nantes Universite</t>
  </si>
  <si>
    <t>NETHERLANDS INST ECOL, CTR ESTUARINE &amp; COASTAL ECOL, VIERST 28, NL-4401 EA YERSEKE, NETHERLANDS.</t>
  </si>
  <si>
    <t>RYBARCZYK, Hervé/D-6400-2011; Hummel, Herman/A-9610-2011</t>
  </si>
  <si>
    <t>Hummel, Herman/0000-0001-6902-5773</t>
  </si>
  <si>
    <t>10.1016/S0166-445X(96)00832-6</t>
  </si>
  <si>
    <t>XF584</t>
  </si>
  <si>
    <t>WOS:A1997XF58400010</t>
  </si>
  <si>
    <t>BEIRAS, R; HIS, E</t>
  </si>
  <si>
    <t>EFFECTS OF DISSOLVED MERCURY ON EMBRYOGENESIS, SURVIVAL, GROWTH AND METAMORPHOSIS OF CRASSOSTREA-GIGAS OYSTER LARVAE</t>
  </si>
  <si>
    <t>MERCURY; OYSTER; LARVA; EMBRYO; BIOASSAY; ECOTOXICOLOGY</t>
  </si>
  <si>
    <t>HEAVY-METALS; SEDIMENT BIOASSAYS; BIVALVE MOLLUSKS; GERMAN BIGHT; TRIBUTYLTIN; TOXICITY; CHLORIDE; EMBRYOS; COPPER; MERCENARIA</t>
  </si>
  <si>
    <t>The effects of mercury (Hg) concentrations ranging from 0 (control) to 1024 mug l-1 upon embryogenesis, survival, growth and metamorphosis of Crassostrea gigas (Thunberg) oyster larvae were investigated. Embryogenesis was abnormal in 50% of the individuals at 11 mug l-1. The 48 h LD50 for D-shaped, umbonate and pediveliger larvae were 33, 115 and 200 mug l-1 respectively. The increase in LD50 was partially explained by the larval weight increase, although weight-specific tolerance to Hg was higher in smaller larvae. Growth, the most sensitive physiological process studied, was significantly retarded at 4 mug l-1. The metamorphosis rate was significantly reduced when competent pediveligers were exposed to 64 mug l-1 for 48 h prior to the addition of the metamorphosis inducer epinephrine. The implications of the present results for monitoring pollution by utilising different bivalve larval stages are discussed.</t>
  </si>
  <si>
    <t>IFREMER, ARCACHON STN, F-33120 ARCACHON, FRANCE</t>
  </si>
  <si>
    <t>Ifremer</t>
  </si>
  <si>
    <t>BEIRAS, R (corresponding author), INST ESPANOL OCEANOG, APDO 130, E-15080 LA CORUNA, SPAIN.</t>
  </si>
  <si>
    <t>Beiras, Ricardo/M-1680-2019</t>
  </si>
  <si>
    <t>Beiras, Ricardo/0000-0002-1010-2647</t>
  </si>
  <si>
    <t>1616-1599</t>
  </si>
  <si>
    <t>10.3354/meps113095</t>
  </si>
  <si>
    <t>PP389</t>
  </si>
  <si>
    <t>WOS:A1994PP38900008</t>
  </si>
  <si>
    <t>Lu, Z; Wang, S; Shan, XJ; Ji, CL; Wu, HF</t>
  </si>
  <si>
    <t>Lu, Zhen; Wang, Shuang; Shan, Xiujuan; Ji, Chenglong; Wu, Huifeng</t>
  </si>
  <si>
    <t>Differential biological effects in two pedigrees of clam Ruditapes philippinarum exposed to cadmium using iTRAQ-based proteomics</t>
  </si>
  <si>
    <t>ENVIRONMENTAL TOXICOLOGY AND PHARMACOLOGY</t>
  </si>
  <si>
    <t>Ruditapes philippinarum; Pedigrees; Cadmium; Proteomic profiling</t>
  </si>
  <si>
    <t>MUSSELS MYTILUS-GALLOPROVINCIALIS; GENDER-SPECIFIC RESPONSES; STRESS; BIOACCUMULATION; ENDOCYTOSIS; POLLUTANTS; ORGANISMS; INFECTION; POLLUTION; TOXICITY</t>
  </si>
  <si>
    <t>Due to the industrial discharges, cadmium (Cd) has been one of typical heavy metal pollutants in the Bohai Sea. Manila clam Ruditapes philippinarwn is frequently used for pollution biomonitoring and consists of several pedigrees, of which White and Zebra clams are the dominant pedigrees along the Bohai Sea coast. However, limited attention has been paid on the differential biological effects in different pedigrees of clam to heavy metals. In this work, the proteome profiling analysis was performed to reveal the differential proteomic responses in White and Zebra clams to Cd exposure (200 mu g/L) for 48 h, followed by bioinformatical analysis. The proteomic investigations showed that Cd treatment induced more differentially expressed proteins (DEPs) in White clam samples than in Zebra clam samples. Based on the DEPs, we found that some key biological processes consisting of immune response and metabolism were commonly induced in both two pedigrees of clam. Uniquely, some processes related to cellular signaling, proteolysis and energy production were enhanced in Cd-treated White clam samples. Comparatively, the depletion in some unique processes on proteolysis and energy production was elicited in Cd-treated Zebra clam samples, as well as disorder in gene expression. Moreover, Cd exposure caused increases in CAT and POD activities in White clam samples and decreases in SOD and CAT activities in Zebra clams samples, which were consistent with the proteomic responses. Overall, these findings confirmed the differential biological effects of White and Zebra clams to Cd treatment, suggesting that the pedigree of animal should be taken into consideration in ecotoxicology studies.</t>
  </si>
  <si>
    <t>[Lu, Zhen; Wang, Shuang; Ji, Chenglong; Wu, Huifeng] Chinese Acad Sci, Yantai Inst Coastal Zone Res, Key Lab Coastal Environm Proc &amp; Ecol Remediat, Yantai 264003, Peoples R China; [Shan, Xiujuan; Ji, Chenglong; Wu, Huifeng] Qingdao Natl Lab Marine Sci &amp; Technol, Funct Lab Marine Fisheries Sci &amp; Food Prod Proc, Qingdao 266237, Peoples R China; [Lu, Zhen; Wang, Shuang] Univ Chinese Acad Sci, Beijing 100049, Peoples R China; [Shan, Xiujuan] Chinese Acad Fishery Sci, Yellow Sea Fisheries Res Inst, Shandong Prov Key Lab Fishery Resources &amp; Ecol En, Key Lab Sustainable Dev Marine Fisheries,Minist A, Qingdao 266071, Peoples R China</t>
  </si>
  <si>
    <t>Chinese Academy of Sciences; Yantai Institute of Coastal Zone Research, CAS; Laoshan Laboratory; Chinese Academy of Sciences; University of Chinese Academy of Sciences, CAS; Chinese Academy of Fishery Sciences; Yellow Sea Fisheries Research Institute, CAFS</t>
  </si>
  <si>
    <t>Ji, CL (corresponding author), Chinese Acad Sci, Yantai Inst Coastal Zone Res, Key Lab Coastal Environm Proc &amp; Ecol Remediat, Yantai 264003, Peoples R China.</t>
  </si>
  <si>
    <t>clji@yic.ac.cn</t>
  </si>
  <si>
    <t>Ji, Chenglong/U-5411-2017; lu, zhen/U-5477-2017</t>
  </si>
  <si>
    <t>lu, zhen/0000-0002-7113-7448; Li, Fei/0000-0001-7386-0835</t>
  </si>
  <si>
    <t>National Key Basic Research Program of China [2015CB453303, 2015CB453302]; NSFC [41676114, 41506138]; Young Taishan Scholars Program of Shandong Province; Qingdao National Laboratory for Marine Science and Technology [QNLM201701]; Strategic Priority Research Program of the Chinese Academy of Science [XDA11020702]; Youth Innovation Promotion Association CAS [2015169]</t>
  </si>
  <si>
    <t>National Key Basic Research Program of China(National Basic Research Program of China); NSFC(National Natural Science Foundation of China (NSFC)); Young Taishan Scholars Program of Shandong Province; Qingdao National Laboratory for Marine Science and Technology; Strategic Priority Research Program of the Chinese Academy of Science(Chinese Academy of Sciences); Youth Innovation Promotion Association CAS</t>
  </si>
  <si>
    <t>This research was supported by National Key Basic Research Program of China (2015CB453303 and 2015CB453302), NSFC (41676114, 41506138), the Young Taishan Scholars Program of Shandong Province for Prof. Huifeng Wu, Qingdao National Laboratory for Marine Science and Technology (QNLM201701), Strategic Priority Research Program of the Chinese Academy of Science (XDA11020702) and Youth Innovation Promotion Association CAS (2015169).</t>
  </si>
  <si>
    <t>1382-6689</t>
  </si>
  <si>
    <t>1872-7077</t>
  </si>
  <si>
    <t>ENVIRON TOXICOL PHAR</t>
  </si>
  <si>
    <t>Environ. Toxicol. Pharmacol.</t>
  </si>
  <si>
    <t>10.1016/j.etap.2018.12.002</t>
  </si>
  <si>
    <t>Environmental Sciences; Pharmacology &amp; Pharmacy; Toxicology</t>
  </si>
  <si>
    <t>Environmental Sciences &amp; Ecology; Pharmacology &amp; Pharmacy; Toxicology</t>
  </si>
  <si>
    <t>HK3KD</t>
  </si>
  <si>
    <t>WOS:000457814500011</t>
  </si>
  <si>
    <t>Trombini, C; Fabbri, D; Lombardo, M; Vassura, I; Zavoli, E; Horvat, M</t>
  </si>
  <si>
    <t>Mercury and methylmercury contamination in surficial sediments and clams of a coastal lagoon (Pialassa Baiona, Ravenna, Italy)</t>
  </si>
  <si>
    <t>Pialassa Baiona; sediments; clams; mercury; methylmercury; speciation</t>
  </si>
  <si>
    <t>SPECIATION; CERTIFICATION; POLLUTION; POLYMERS; BACTERIA; TISSUE; WATER; RIVER</t>
  </si>
  <si>
    <t>The Ramsar site Pialassa Baiona is an intertidal brackish lagoon lying 5 km north of the city of Ravenna and covering a surface area of about 1100 ha. From 1958 to 1976 Pialassa Baiona was heavily impacted by industrial pollution; mercury, polycyclic aromatic hydrocarbons, polymers were among the most important pollutants which nowadays contaminate the sedimentary compartment. Following earlier investigations on total mercury (THg) distribution and bioavailability, this study is focused on mercury speciation in sediments and clams. Methylmercury (MMHg) concentrations were determined in surface sediments (0-5 cm) in different seasons, and compared to THg. Selected sediments were subjected to a sequential extraction procedure to study solid state THg distribution. Operationally, three fractions of inorganic mercury were defined: mobile mercury (Hg-m), humic acid complexed mercury (Hg-ha), and sulphide-bound mercury (Hg-s). THg and MMHg concentrations in sediments ranged in the 0.2-250 mug g(-1) and 0.13-45 ng g(-1) d.w. intervals, respectively. MMHg/THg ratios were higher in summer as well as in sites where the THg burden was lower; the highest MMHg/THg values were observed in Chiaro del Pontazzo, an area subjected to a drastic reduction of salinity. THg and MMHg concentrations were also determined in tissues of clams (Tapes philippinarum) collected in the lagoon. MMHg in clams felt in the 180-470 ng g(-1) interval and accounts for 72-95% of tissue THg. (C) 2003 Elsevier Ltd. All rights reserved.</t>
  </si>
  <si>
    <t>Univ Bologna, CIRSA, I-48100 Ravenna, Italy; Jozef Stefan Inst, Ljubljana 1000, Slovenia</t>
  </si>
  <si>
    <t>University of Bologna; Slovenian Academy of Sciences &amp; Arts (SASA); Jozef Stefan Institute</t>
  </si>
  <si>
    <t>fabbri, davide/AAJ-7021-2021; Lombardo, Marco/B-6105-2014</t>
  </si>
  <si>
    <t>Vassura, Ivano/0000-0002-0877-9405; Lombardo, Marco/0000-0001-8415-8363</t>
  </si>
  <si>
    <t>17-19</t>
  </si>
  <si>
    <t>10.1016/j.csr.2003.06.010</t>
  </si>
  <si>
    <t>755AK</t>
  </si>
  <si>
    <t>WOS:000187365500012</t>
  </si>
  <si>
    <t>Saha, M; Sarkar, SK; Bhattacharya, B</t>
  </si>
  <si>
    <t>Interspecific variation in heavy metal body concentrations in biota of Sunderban mangrove wetland, northeast India</t>
  </si>
  <si>
    <t>heavy metal; body concentrations; marine biota; Sunderban mangrove complex</t>
  </si>
  <si>
    <t>MUSSEL MYTILUS-EDULIS; ESTUARINE SEDIMENTS; AQUATIC ORGANISMS; CADMIUM UPTAKE; GREY MULLET; SELENIUM; ZINC; FISH; LEAD; MERCURY</t>
  </si>
  <si>
    <t>The coastal environment of West Bengal, recognized as the most diversified and productive ecosystem among all the maritime states of India, faces organic pollution from domestic sewage and urban and industrial effluents leading serious impacts on biota. The present paper aims at providing information on concentration level of heavy metals among the tissues of benthic polychaetes, bivalve molluscs and finfishes collected from Sundarban mangrove wetland, northeast coast of India. An overall common trend in bioaccumulation was revealed with the following decreasing order: Zn &gt; Mn &gt; Cu &gt; Cr &gt; Se &gt; Hg with few exceptions. Both species dependent variability and temporal variations were pronounced. A high degree of organ specificity was evident in the bivalves where gill and mantle exhibited higher metal accumulation due to ion exchange property of the mucous layer covering these organs. Variability between closely related species is a reflection of different uptake rates, physiology and impact of environmental factors. The results of this analysis suggest that mollusks can play a significant role in trace metal trophic transfer studies, especially as their representatives are intertidally and subtidally ubiquitous. (c) 2005 Elsevier Ltd. All rights reserved.</t>
  </si>
  <si>
    <t>Univ Calcutta, Dept Marine Sci, Kolkata 700019, W Bengal, India; Inst Ecotoxicol &amp; Environm Sci, Kolkata, W Bengal, India</t>
  </si>
  <si>
    <t>University of Calcutta</t>
  </si>
  <si>
    <t>Univ Calcutta, Dept Marine Sci, 35 Ballygumge Circular Rd, Kolkata 700019, W Bengal, India.</t>
  </si>
  <si>
    <t>sarkar22@yahoo.com</t>
  </si>
  <si>
    <t>10.1016/j.envint.2005.08.012</t>
  </si>
  <si>
    <t>005AF</t>
  </si>
  <si>
    <t>WOS:000234793400010</t>
  </si>
  <si>
    <t>Meng, XL; Liu, M; Wang, BJ; Jiang, KY; Tian, X; Wang, L</t>
  </si>
  <si>
    <t>Meng, Xiaolin; Liu, Mei; Wang, Baojie; Jiang, Keyong; Tian, Xue; Wang, Lei</t>
  </si>
  <si>
    <t>Cadmium Bioaccumulation and its Effect on Antioxidant Defense System of Japanese Scallop Mizuhopecten yessoensis</t>
  </si>
  <si>
    <t>JOURNAL OF ANIMAL AND VETERINARY ADVANCES</t>
  </si>
  <si>
    <t>Cadmium; Mizuhopecten yessoensis; accumulation; antioxidant enzymes; digestive gland</t>
  </si>
  <si>
    <t>LIPID-PEROXIDATION; CRASSOSTREA-VIRGINICA; OREOCHROMIS-NILOTICUS; OXIDATIVE STRESS; DIGESTIVE GLAND; WATER; BIOMARKERS; TOXICITY; EXPOSURE; ENZYMES</t>
  </si>
  <si>
    <t>This research aimed to investigate the accumulation of Cadmium (Cd) and the antioxidant defense system (Superoxide Dismutase (SOD), Catalase (CAT) and Glutathione Peroxidase (GPx)) in gill and digestive gland of Mizuhopecten yessoensis exposed to Cd (final Cd doses of 0, 0.05, 0.1 and 0.2 mg L-1) for 14 days. The uptake of Cd in both tissues via seawater displayed a simple linear relationship with the exposure of Cd concentration and a curvilinear change with time of extending. The maximal accumulation was observed at day 10 in gill in the 0.2 mg L-1 group (134.20 mu g g(-1)) and day 14 in digestive gland in the 0.1 mg L-1 group (109.20 mu g g(-1)). The activities of SOD, CAT and GPx attained peak values after short exposure time at day 1 or 3 (except for CAT values in digestive gland and GPx value in gill in low Cd concentration). The main antioxidant enzyme in M. yessoensis is GPx in gill but CAT in digestive gland and the main detoxification tissue dealing with oxyradicals is digestive gland. These results provide valuable information of Cd accumulation and antioxidant defense mechanism in cadmium-stressed M. yessoensis and SOD, CAT, GPx could be useful as biomarkers in predicting heavy metal pollution in scallop aquaculture.</t>
  </si>
  <si>
    <t>[Meng, Xiaolin; Liu, Mei; Wang, Baojie; Jiang, Keyong; Wang, Lei] Chinese Acad Sci, Inst Oceanol, Qingdao 266071, Peoples R China; [Meng, Xiaolin; Tian, Xue] Shanxi Agr Univ, Taigu 030801, Peoples R China; [Meng, Xiaolin] Chinese Acad Sci, Grad Univ, Beijing 100049, Peoples R China</t>
  </si>
  <si>
    <t>Chinese Academy of Sciences; Institute of Oceanology, CAS; Shanxi Agricultural University; Chinese Academy of Sciences; University of Chinese Academy of Sciences, CAS</t>
  </si>
  <si>
    <t>Wang, L (corresponding author), Chinese Acad Sci, Inst Oceanol, Qingdao 266071, Peoples R China.</t>
  </si>
  <si>
    <t>Jiang, Keyong/A-6512-2015; wang, jie/GRS-0942-2022; Wang, Lei/A-7836-2018</t>
  </si>
  <si>
    <t>MEDWELL ONLINE</t>
  </si>
  <si>
    <t>FAISALABAD</t>
  </si>
  <si>
    <t>ANSINET BUILDING, 308-LASANI TOWN, SARGODHA RD, FAISALABAD, 38090, PAKISTAN</t>
  </si>
  <si>
    <t>1680-5593</t>
  </si>
  <si>
    <t>1993-601X</t>
  </si>
  <si>
    <t>J ANIM VET ADV</t>
  </si>
  <si>
    <t>J. Anim. Vet. Adv.</t>
  </si>
  <si>
    <t>177QB</t>
  </si>
  <si>
    <t>WOS:000321389100003</t>
  </si>
  <si>
    <t>Ivanina, AV; Beniash, E; Etzkorn, M; Meyers, TB; Ringwood, AH; Sokolova, IM</t>
  </si>
  <si>
    <t>Ivanina, Anna V.; Beniash, Elia; Etzkorn, Markus; Meyers, Tiffany B.; Ringwood, Amy H.; Sokolova, Inna M.</t>
  </si>
  <si>
    <t>Short-term acute hypercapnia affects cellular responses to trace metals in the hard clams Mercenaria mercenaria</t>
  </si>
  <si>
    <t>Cadmium; Copper; Iron; Zinc; Hypercapnia; Labile metals; Reactive oxygen species; Mollusks</t>
  </si>
  <si>
    <t>CRASSOSTREA-VIRGINICA GMELIN; DIGESTIVE GLAND-CELLS; FRESH-WATER BIVALVE; ACID-BASE-BALANCE; EASTERN OYSTERS; OXIDATIVE STRESS; DIHYDRORHODAMINE 123; CADMIUM EXPOSURE; SHELL FORMATION; MITOCHONDRIAL ACONITASE</t>
  </si>
  <si>
    <t>Estuarine and coastal habitats experience large fluctuations of environmental factors such as temperature, salinity, partial pressure of CO2 (P-CO2) and pH; they also serve as the natural sinks for trace metals. Benthic filter-feeding organisms such as bivalves are exposed to the elevated concentrations of metals in estuarine water and sediments that can strongly affect their physiology. The effects of metals on estuarine organisms may be exacerbated by other environmental factors. Thus, a decrease in pH caused by high P-CO2 (hypercapnia) can modulate the effects of trace metals by affecting metal bioavailability, accumulation or binding. To better understand the cellular mechanisms of interactions between P-CO2, and trace metals in marine bivalves, we exposed isolated mantle cells of the hard clams (Mercenaria mercenaria) to different levels of P-CO2, (0.05, 1.52 and 3.01 kPa) and two major trace metal pollutants - cadmium (Cd) and copper (Cu). Elevated P-CO2 resulted in a decrease in intracellular pH (pH(1)) of the isolated mantle cells from 7.8 to 7.4. Elevated P-CO2 significantly but differently affected the trace metal accumulation by the cells. Cd uptake was suppressed at elevated P-CO2 levels while Cu accumulation has greatly accelerated under hypercapnic conditions. Interestingly, at higher extracellular Cd levels, labile intracellular Cd2+ concentration remained the same, while intracellular levels of free Zn2+ increased suggesting that Cd2+ substitutes bound Zn2+ in these cells. In contrast, Cu exposure did not affect intracellular Zn2+ but led to a profound increase in the intracellular levels of labile Cu2+ and Fe2+. An increase in the extracellular concentrations of Cd and Cu led to the elevated production of reactive oxygen species under the normocapnic conditions (0.05 kPa P-CO2); surprisingly, this effect was mitigated in hypercapnia (1.52 and 3.01 kPa). Overall, our data reveal complex and metal-specific interactions between the cellular effects of trace metals and P-CO2 in clams and indicate that variations in environmental P-CO2 may modulate the biological effects of trace metals in marine organisms. (C) 2013 Elsevier B.V. All rights reserved.</t>
  </si>
  <si>
    <t>[Ivanina, Anna V.; Ringwood, Amy H.; Sokolova, Inna M.] Univ N Carolina, Dept Biol, Charlotte, NC 28223 USA; [Beniash, Elia] Univ Pittsburgh, Dept Oral Biol, Pittsburgh, PA 15261 USA; [Etzkorn, Markus; Meyers, Tiffany B.] Univ N Carolina, Dept Chem, Charlotte, NC 28223 USA</t>
  </si>
  <si>
    <t>University of North Carolina; University of North Carolina Charlotte; Pennsylvania Commonwealth System of Higher Education (PCSHE); University of Pittsburgh; University of North Carolina; University of North Carolina Charlotte</t>
  </si>
  <si>
    <t>Sokolova, IM (corresponding author), Univ N Carolina, Dept Biol, 9201 Univ City Blvd, Charlotte, NC 28223 USA.</t>
  </si>
  <si>
    <t>isokolov@uncc.edu</t>
  </si>
  <si>
    <t>Sokolova, Inna/B-4955-2009</t>
  </si>
  <si>
    <t>Sokolova, Inna/0000-0002-2068-4302</t>
  </si>
  <si>
    <t>NSF [IOS-0951079]; UNC Charlotte's Faculty Research Grant; Division Of Integrative Organismal Systems; Direct For Biological Sciences [0951139] Funding Source: National Science Foundation</t>
  </si>
  <si>
    <t>NSF(National Science Foundation (NSF)); UNC Charlotte's Faculty Research Grant; Division Of Integrative Organismal Systems; Direct For Biological Sciences(National Science Foundation (NSF)NSF - Directorate for Biological Sciences (BIO)NSF - Division of Integrative Organismal Systems (IOS))</t>
  </si>
  <si>
    <t>This work was supported by funds provided by NSF award IOS-0951079 to I.M.S. and E.B., and UNC Charlotte's Faculty Research Grant to I.M.S.</t>
  </si>
  <si>
    <t>10.1016/j.aquatox.2013.05.019</t>
  </si>
  <si>
    <t>224PO</t>
  </si>
  <si>
    <t>WOS:000324900800014</t>
  </si>
  <si>
    <t>Franco, L; Romero, D; García-Navarro, JA; Teles, M; Tvarijonaviciute, A</t>
  </si>
  <si>
    <t>Franco, Lorena; Romero, Diego; Garcia-Navarro, Jose A.; Teles, Mariana; Tvarijonaviciute, Asta</t>
  </si>
  <si>
    <t>Esterase activity (EA), total oxidant status (TOS) and total antioxidant capacity (TAC) in gills of Mytilus galloprovincialis exposed to pollutants: Analytical validation and effects evaluation by single and mixed heavy metal exposure</t>
  </si>
  <si>
    <t>Lead; Cadmium; Copper; Ternary mixture; Oxidative stress; Mussels</t>
  </si>
  <si>
    <t>RADICAL TRAPPING CAPACITY; OXIDATIVE STRESS; MARINE ENVIRONMENTS; DIGESTIVE GLAND; POLLUTION; MUSSELS; GLUTATHIONE; MECHANISMS; ENZYMES; CONTAMINANTS</t>
  </si>
  <si>
    <t>The aims of the present study were to optimize and validate methods for esterase activity (EA), total Oxidant status (TOS) and total antioxidant capacity (TAC) determination in mussel' gills, and to establish the relationships between these biomarkers and Pb, Cd and Cu pollution, in single form and ternary mixture. Two different buffers for sample homogenization, the need of ultracentrifugation, and analytical validation were evaluated. Coefficients of variation, when buffer without additives and ultracentrifugation were used, were &lt;15%, and recovery were 97%-109% in all cases. The EA response tends to decrease with treatments, TOS decreased significantly in Cd and ternary groups, while TAC tended to increase in treatments with Pb, Cd and ternary groups. In conclusion, the methods for EA, TOS and TAC measurements in gills of mussel were precise and accurate and could be interesting resources in biomonitoring programmes. (C) 2015 Elsevier Ltd. All rights reserved.</t>
  </si>
  <si>
    <t>[Franco, Lorena; Romero, Diego; Garcia-Navarro, Jose A.] Univ Murcia, Fac Vet, Area Toxicol, Campus Reg Excelencia Int,Campus Mare Nostrum, E-30071 Murcia, Spain; [Teles, Mariana] Univ Autonoma Barcelona, Dept Biol Cellular Fisiol &amp; Immunol, Campus Excellencia UAB CEI, E-08193 Barcelona, Spain; [Tvarijonaviciute, Asta] Univ Autonoma Barcelona, Dept Med &amp; Cirugia Anim, Campus Excellencia UAB CEI, E-08193 Barcelona, Spain</t>
  </si>
  <si>
    <t>University of Murcia; Autonomous University of Barcelona; Autonomous University of Barcelona</t>
  </si>
  <si>
    <t>Tvarijonaviciute, A (corresponding author), Univ Autonoma Barcelona, Dept Med &amp; Cirugia Anim, Campus Excellencia UAB CEI, E-08193 Barcelona, Spain.</t>
  </si>
  <si>
    <t>asta@um.es</t>
  </si>
  <si>
    <t>Tvarijonaviciute, Asta/U-4303-2017; Romero, Diego/F-7187-2016; Teles, Mariana/I-5561-2014</t>
  </si>
  <si>
    <t>Tvarijonaviciute, Asta/0000-0002-5323-5001; Romero, Diego/0000-0002-9666-0382; Teles, Mariana/0000-0001-5525-4049; Franco Martinez, Lorena/0000-0003-3375-4274</t>
  </si>
  <si>
    <t>Program Juan de la Cierva of 'Ministerio de Economia y Competitividad', Spain</t>
  </si>
  <si>
    <t>The authors are grateful to the technical staff of the Institute Espanol de Oceanografia (Oceanographic Center of Murcia and Vigo) for the mussels sampling. We would also like to thank Francisco Gomez for his invaluable help in the acclimatization of the mussels. Financial support was provided by the Program Juan de la Cierva of 'Ministerio de Economia y Competitividad', Spain, through a postdoctoral grant.</t>
  </si>
  <si>
    <t>10.1016/j.marpolbul.2015.12.010</t>
  </si>
  <si>
    <t>DD7MU</t>
  </si>
  <si>
    <t>WOS:000370109500015</t>
  </si>
  <si>
    <t>Yeh, HC; Chen, IM; Chen, P; Wang, WH</t>
  </si>
  <si>
    <t>Yeh, Hsiao-Chien; Chen, I-Ming; Chen, Ping; Wang, Wei-Hsien</t>
  </si>
  <si>
    <t>Heavy metal concentrations of the soldier crab (Mictyris brevidactylus) along the inshore area of Changhua, Taiwan</t>
  </si>
  <si>
    <t>Biomonitoring; Soldier crab; Size effect; Metal; Pacific oyster</t>
  </si>
  <si>
    <t>OYSTER CRASSOSTREA-RHIZOPHORAE; CONTAMINATION; CRUSTACEA; BRACHYURA; POLLUTION; STIMPSON; ESTUARY; WATER; ZINC</t>
  </si>
  <si>
    <t>In order to compare with and assess the metal-accumulating ability of the soldier crab (Mictyris brevidactylus), the concentrations of copper (Cu), zinc (Zn), nickel (Ni), lead (Pb) and cadmium of ambient water and the Pacific oyster (Crassostrea gigas) were investigated. Seawater, soldier crabs and Pacific oysters were simultaneously collected from the Changhua coastal area, located in West-Central Taiwan. The Pacific oyster and stream results proved that site B is contaminated by Cu, Zn and Pb from streams B-1 and B-2. The highest Cu, Zn, Ni and Pb concentrations in soldier crabs appeared at site B, and significant differences in the accumulated concentrations of Cu, Pb, Zn and Ni in soldier crabs were found between the sites tested. The highest bioconcentration factors of Cu, Zn, Ni and Pb in soldier crabs appeared at site B, indicating that the soldier crab can accumulate Cu, Zn and Pb to the same degree as the Pacific oyster. In fact, soldier crabs can accumulate more Ni than Pacific oysters, better reflecting the conditions of the ambient environment. These phenomena, as well as the fact that the soldier crab is able to accumulate relatively high levels of Cu, Zn, Pb and Ni, suggest that this crab is a potential biomonitor of Pb and Ni pollution in aquatic ecosystems.</t>
  </si>
  <si>
    <t>[Yeh, Hsiao-Chien; Chen, I-Ming; Wang, Wei-Hsien] Natl Sun Yat Sen Univ, Dept Marine Biotechnol &amp; Resources, Kaohsiung 804, Taiwan; [Chen, Ping] Natl Sun Yat Sen Univ, Inst Marine Geol &amp; Chem, Kaohsiung 804, Taiwan</t>
  </si>
  <si>
    <t>National Sun Yat Sen University; National Sun Yat Sen University</t>
  </si>
  <si>
    <t>Wang, WH (corresponding author), Natl Sun Yat Sen Univ, Dept Marine Biotechnol &amp; Resources, 70 Lianhai Rd, Kaohsiung 804, Taiwan.</t>
  </si>
  <si>
    <t>whw@mail.nsysu.edu.tw</t>
  </si>
  <si>
    <t>10.1007/s10661-008-0340-4</t>
  </si>
  <si>
    <t>443NO</t>
  </si>
  <si>
    <t>WOS:000265917200009</t>
  </si>
  <si>
    <t>Sturludottir, E; Gunnlaugsdottir, H; Jorundsdottir, HO; Magnusdottir, EV; Olafsdottir, K; Stefansson, G</t>
  </si>
  <si>
    <t>Sturludottir, Erla; Gunnlaugsdottir, Helga; Jorundsdottir, Hronn O.; Magnusdottir, Elin V.; Olafsdottir, Kristin; Stefansson, Gunnar</t>
  </si>
  <si>
    <t>Spatial and temporal trends of contaminants in mussel sampled around the Icelandic coastline</t>
  </si>
  <si>
    <t>Contaminants; Persistent organics; Metals; Mussel; Trends</t>
  </si>
  <si>
    <t>ORGANOCHLORINE COMPOUNDS; ERUPTION; BIOTA; METAL</t>
  </si>
  <si>
    <t>Contaminants have been determined in blue mussels (Mytilus edulis) at 11 locations around the Icelandic coastline from 1990 to 2010. The aim of the present study was to investigate if there has been a change in concentration of contaminants around the Icelandic coastline for the last two decades and if the concentrations and changes, if present, were consistent between locations. Concentrations of the persistent organic pollutants, p,p '-dichlorodiphenyldichloroethene (p,p'-DDE), hexachlorobenzene (HCB), alpha-hexachlorocyclohexane (alpha-HCH), polychlorinated biphenyl (PCB-153) and trans-nonachlor, have decreased at most of the sampling locations in Iceland in recent years. However, an increasing trend was found at a few locations that could be explained by anthropogenic activity. The concentration levels of the persistent organics were much lower than found at the Norwegian, USA and Chinese coasts, especially levels of p,p'-DDE. The concentration of copper and selenium had a consistent pattern of change and concentration between locations over the period which showed a decreasing trend in recent years. The trace elements arsenic, cadmium, mercury and zinc showed more variation in concentration between locations, the concentration of arsenic, mercury and zinc was fairly stable over the period, whereas there were fluctuations in cadmium concentrations. The concentrations of cadmium and zinc were observed to be somewhat higher than found in mussels from Norway, USA and China but values of mercury and lead were much lower in the mussel sampled in Iceland. The higher concentrations of cadmium and zinc can be explained by the volcanic activity in Iceland but no major anthropogenic sources of trace elements are known in Iceland. (C) 2013 Elsevier B.V. All rights reserved.</t>
  </si>
  <si>
    <t>[Sturludottir, Erla; Stefansson, Gunnar] Univ Iceland, Inst Sci, IS-107 Reykjavik, Iceland; [Sturludottir, Erla; Gunnlaugsdottir, Helga; Jorundsdottir, Hronn O.] Matis Ltd, IS-113 Reykjavik, Iceland; [Magnusdottir, Elin V.; Olafsdottir, Kristin] Univ Iceland, Dept Pharmacol Toxicol, IS-107 Reykjavik, Iceland</t>
  </si>
  <si>
    <t>University of Iceland; University of Iceland</t>
  </si>
  <si>
    <t>Sturludottir, E (corresponding author), Univ Iceland, Inst Sci, Dunhagi 5, IS-107 Reykjavik, Iceland.</t>
  </si>
  <si>
    <t>erlas@matis.is</t>
  </si>
  <si>
    <t>Olafsdottir, Kristin/L-9430-2015; Stefansson, Gunnar/A-2209-2008</t>
  </si>
  <si>
    <t>Stefansson, Gunnar/0000-0002-2693-9142; Olafsdottir, Kristin/0000-0002-3241-836X; Gunnlaugsdottir, Helga/0000-0002-1883-6936; Sturludottir, Erla/0000-0002-8829-5469</t>
  </si>
  <si>
    <t>Ministry for the Environment; Icelandic Research Fund</t>
  </si>
  <si>
    <t>The National Monitoring Program is run by funding from the Ministry for the Environment with contribution from the institutions involved. This study was financially supported by the Icelandic Research Fund and the Icelandic Research Fund for graduate students.</t>
  </si>
  <si>
    <t>JUN 1</t>
  </si>
  <si>
    <t>10.1016/j.scitotenv.2013.03.042</t>
  </si>
  <si>
    <t>147PR</t>
  </si>
  <si>
    <t>WOS:000319180000053</t>
  </si>
  <si>
    <t>Polak-Juszczak, L</t>
  </si>
  <si>
    <t>Polak-Juszczak, Lucyna</t>
  </si>
  <si>
    <t>Bioaccumulation of mercury in the trophic chain of flatfish from the Baltic Sea</t>
  </si>
  <si>
    <t>Mercury; Flatfish; Anthropogenic factors; Marine environment</t>
  </si>
  <si>
    <t>PLATICHTHYS-FLESUS L; HEAVY-METALS; TRACE-METALS; CHEMICAL-ELEMENTS; SURFICIAL SEDIMENTS; TEMPORAL TRENDS; ENTEROMORPHA SP; COASTAL WATERS; FEEDING-HABITS; SEINE ESTUARY</t>
  </si>
  <si>
    <t>Mercury concentrations in three flatfish species - flounder (Platichtys flesus), plaice (Pleuronectes platessa), and Baltic turbot (Scophthalmus maxim us), netted in the southern Baltic Sea were assessed and compared to concentrations of this metal in sediments, sea water, and flatfish food - bivalve Macoma balthica, isopod Saduria entomon, and sprat (Sprattus sprattus). Collected simultaneously with flatfish in 2009 and 2010. Different concentrations of mercury depending on species, tissue or organ, sex, individual length, kind of food, and region were determined. The muscle tissues of turbot had the highest concentrations of the metal. The bioaccumulation (BF) and biomagnification (BMF) factors has been counted showing that the muscle tissues of turbot have maximum affinity for mercury, and thus best reflected the metal contamination of the Baltic Sea environment. The data suggest that the common Baltic turbot (S. maximus) is an important model species, suitable and cost-effective to biomonitor environmental mercury pollution for ecological research. (c) 2012 Elsevier Ltd. All rights reserved.</t>
  </si>
  <si>
    <t>Natl Marine Fisheries Res Inst, Dept Food &amp; Environm Chem, PL-81332 Gdynia, Poland</t>
  </si>
  <si>
    <t>National Marine Fisheries Research Institute</t>
  </si>
  <si>
    <t>Polak-Juszczak, L (corresponding author), Natl Marine Fisheries Res Inst, Dept Food &amp; Environm Chem, Ul Kollataja 1, PL-81332 Gdynia, Poland.</t>
  </si>
  <si>
    <t>chemia@mir.gdynia.pl</t>
  </si>
  <si>
    <t>10.1016/j.chemosphere.2012.05.057</t>
  </si>
  <si>
    <t>996AH</t>
  </si>
  <si>
    <t>WOS:000308055900015</t>
  </si>
  <si>
    <t>Baharvand, F; Varvani, J; Zar, HT; Hedayati, SAA; Ahmadi, A</t>
  </si>
  <si>
    <t>Baharvand, F.; Varvani, J.; Zar, Toranj H.; Hedayati, S. A. A.; Ahmadi, A.</t>
  </si>
  <si>
    <t>PAHs and Pb heavy metal absorption by Dreissena polymorpha (Pallas, 1771) bivalve under oil pollution</t>
  </si>
  <si>
    <t>Biosorption; PAHs; Lead; Dreissena polymorpha; Oil pollution</t>
  </si>
  <si>
    <t>POLYCYCLIC AROMATIC-HYDROCARBONS; MUSSEL PERNA-VIRIDIS; CONTAMINATION; SEDIMENTS; REFINERY; SLUDGE; GULF</t>
  </si>
  <si>
    <t>The main purpose of this study was to find the absorption of Pb as heavy metal and cyclic aromatic hydrocarbons (PAHs) by Dreissena polymorpha under oil pollution. Totally, 130 samples with an average length range of 3.5 +/- 0.7 cm and average weight range of 25.5 +/- 3 g were collected from the Tajan River estuary in Mazandaran province and transferred to the laboratory. Three stations were considered (Station 1: Oil Company Wastewater (OCW), Station 2: Car Oil Change Wastewater (COCW), Station 3: Agricultural Pumping Canal (APC)). The amounts of PAHs and lead metal uptake by bivalves were measured during warm and cold water seasons. Tissue mass was isolated to measure PAHs at each station. In the cold season, the maximum concentration of lead was in the OCW station (0.762 +/- 0.01 mg/L) and the lowest concentration was observed in APC station (0.367 +/- 0.06 mg/L) (p&lt;0.05). In the warm season, the highest concentration of Pb was observed in COCW station (0.558 +/- 0.02 mg/L) and the lowest was in APC station (0.376 +/- 0.01 mg/L). There was no significant difference between OCW and COCW stations in the cold season (p&gt;0.05). Also, in the warm season, the highest concentration of Pb was observed in COCW station and the lowest concentration was in APC station (p&lt;0.05). During the experiment period, the highest absorbed concentration of bivalves was recorded at OCW station (328.39 +/- 1.33 ng/dw) and the lowest concentration was in APC station (62.85 +/- 8.9 ng/dw). Moreover, there was a significant difference between PAHs concentration of OCW station with other stations (p&lt;0.05). The concentration of the compounds measured in February was higher than in August due to the precipitation and flooding of the route to the bivalve stations. Heavy compounds were also more concentrated than lighter compounds. Finally, it can be concluded that this bivalve can be used as an appropriate biomarker for monitoring oil compounds in the environment.</t>
  </si>
  <si>
    <t>[Baharvand, F.; Varvani, J.; Zar, Toranj H.; Ahmadi, A.] Islamic Azad Univ, Dept Environm, Arak Branch, Arak, Iran; [Hedayati, S. A. A.] Gorgan Univ Agr Sci &amp; Nat Resources, Fac Fisheries &amp; Environm Sci, Gorgan, Golestan, Iran</t>
  </si>
  <si>
    <t>Islamic Azad University; Gorgan University of Agricultural Sciences &amp; Natural Resources</t>
  </si>
  <si>
    <t>Varvani, J (corresponding author), Islamic Azad Univ, Dept Environm, Arak Branch, Arak, Iran.</t>
  </si>
  <si>
    <t>varvani_55@yahoo.com</t>
  </si>
  <si>
    <t>Varvani, Javad/AAQ-9179-2021; Hedayati, Aliakbar/R-1734-2016</t>
  </si>
  <si>
    <t>Hedayati, Aliakbar/0000-0001-7658-5314</t>
  </si>
  <si>
    <t>10.22092/ijfs.2021.123562</t>
  </si>
  <si>
    <t>QU6XY</t>
  </si>
  <si>
    <t>WOS:000627425300005</t>
  </si>
  <si>
    <t>Bank, MS; Crocker, J; Connery, B; Amirbahman, A</t>
  </si>
  <si>
    <t>Bank, Michael S.; Crocker, Jeff; Connery, Bruce; Amirbahman, Aria</t>
  </si>
  <si>
    <t>Mercury bioaccumulation in green frog (Rana clamitans) and bullfrog (Rana catesbeiana) tadpoles from Acadia National Park, Maine, USA</t>
  </si>
  <si>
    <t>mercury; amphibian; bioaccumulation</t>
  </si>
  <si>
    <t>METHYL MERCURY; HEAVY-METALS; METHYLMERCURY; EXPOSURE; MORTALITY; DECLINES</t>
  </si>
  <si>
    <t>Mercury contamination in the northeastern United States, including Acadia National Park (ANP; ME, USA), is well documented and continues to be a public health issue of concern. Mercury contamination of wild amphibians has received little attention, however. despite reports of worldwide population declines. Here, we report total Hg and methyl Hg (MeHg) concentrations for water, sediment, and green frog (Rana clamitans) and bullfrog (Rana catesbeiana) tadpoles (age, approximately one year) from ANP. Total Hg concentrations (mean +/- standard error) in green frog and bullfrog tadpoles were 25.1 +/- 1.5 and 19.1 +/- 0.8 ng/g wet weight, respectively. Mean total Hg was highest for green frog tadpoles sampled from the Schooner Head site (ANP, Bar Harbor, ME, USA), a small, semipermanent beaver pond where Ranavirus was detected during the summer of 2003 sampling period. Methyl Hg comprised 7.6 to 40% of the total Hg in tadpole tissue (wet-wt basis), and mean total Hg levels in tadpoles were significantly different among pond sites (n = 9). Total Hg in pond water was a significant predictor of tadpole total Hg levels. Dissolved organic carbon was a significant predictor of both total Hg and MeHg in water, and total Hg in water also was strongly correlated with MeHg in water. Of the nine pond ecosystems sampled at ANP, 44% had a methylation efficiency (water MeHg to total Hg ratio) of greater than 10%, and 33% had total Hg levels in sediment that were approximately equal to or greater than the established threshold level effect concentration for freshwater sediments (0.174 mg/kg dry wt). Our data indicate that wetland food webs in ANP likely are susceptible to high levels of total Hg bioaccumulation and that methylation dynamics appear to be influenced by local abiotic and biotic factors, including disturbances by beavers and in situ water chemistry patterns. These findings may be important to National Park Service resource managers, especially considering the class I airshed status of ANP and the strong potential for negative effects to aquatic ecosystem structure and function from Hg pollution.</t>
  </si>
  <si>
    <t>Harvard Univ, Sch Publ Hlth, Dept Environm Hlth, Boston, MA 02215 USA; Alabama A&amp;M Univ, Ctr Forestry &amp; Ecol, Dept Plant &amp; Soil Sci, Normal, AL 35762 USA; Natl Pk Serv, Acadia Natl Pk, Bar Harbor, ME 04609 USA; Univ Maine, Dept Civil &amp; Environm Engn, Orono, ME 04469 USA</t>
  </si>
  <si>
    <t>Harvard University; Harvard T.H. Chan School of Public Health; Alabama A&amp;M University; United States Department of the Interior; University of Maine System; University of Maine Orono</t>
  </si>
  <si>
    <t>Bank, MS (corresponding author), Harvard Univ, Sch Publ Hlth, Dept Environm Hlth, Boston, MA 02215 USA.</t>
  </si>
  <si>
    <t>mbank@hsph.harvard.edu</t>
  </si>
  <si>
    <t>Bank, Michael/HKF-5314-2023</t>
  </si>
  <si>
    <t>Bank, Michael/0000-0001-5194-7171</t>
  </si>
  <si>
    <t>10.1897/07-035R.1</t>
  </si>
  <si>
    <t>123KC</t>
  </si>
  <si>
    <t>WOS:000243293800015</t>
  </si>
  <si>
    <t>Oliveira, P; Lopes-Lima, M; Machado, J; Guilhermino, L</t>
  </si>
  <si>
    <t>Oliveira, Patricia; Lopes-Lima, Manuel; Machado, Jorge; Guilhermino, Lucia</t>
  </si>
  <si>
    <t>Comparative sensitivity of European native (Anodonta anatina) and exotic (Corbicula fluminea) bivalves to mercury</t>
  </si>
  <si>
    <t>ESTUARINE COASTAL AND SHELF SCIENCE</t>
  </si>
  <si>
    <t>Anodonta anatina; Corbicula fluminea; Toxicity; Mercury; Biomarkers; Invasive alien species</t>
  </si>
  <si>
    <t>FRESH-WATER MUSSEL; ACETYLCHOLINESTERASE ACTIVITY; ACUTE TOXICITY; BIOCHEMICAL RESPONSES; CLIMATE-CHANGE; METALS; GLUTATHIONE; INHIBITION; BIOMARKERS; CADMIUM</t>
  </si>
  <si>
    <t>Pollution is believed to be an important factor modulating the competition between exotic invasive bivalves and their native competitors. Thus, the objective of the present study was to compare the sensitivity of the European native Anodonta anatina and the exotic invasive species Corbicula fluminea to mercury, a ubiquitous environmental contaminant of high concern. In laboratory acute bioassays, adult organisms of both species were exposed independently to mercury for 96'h (31-500 mu g/L). The criteria indicative of toxicity were mortality and biomarkers of oxidative stress and damage, neurotoxicity, and energy production changes. Mercury induced mortality in A. anatina (72 h-LC10 and 72 h-LC50 of 14.0 mu g / L and 49.6 mu g /L, respectively) but not in C fluminea. The ability of C. fluminea to maintaining the shell closed for considerable periods of time when exposed to high concentrations of mercury and the effective activation (up to 63 rig /L) of mechanisms against the oxidative stress caused by mercury may have contributed to its relatively low sensitivity. In the range of concentrations tested, mercury had no significant effects on the other parameters analysed in C fluminea. Overall, the findings of the present study, suggest that in real scenarios of competition between C fluminea and A. anatina populations, the presence of mercury may modulate the process, acting in favour of the exotic species because it is less sensitive to this environmental contaminant than the native bivalve. The results of the present study highlight the need of further investigation on the effects of mercury on the competition between exotic invasive species and their native competitors, especially the effects potentially induced by long-term exposure to low concentrations of this metal, the mechanisms involved in the tolerance to mercury-induced stress, and the potential post-exposure recovery of both exotic invasive and native bivalves. This knowledge is most important for environmental management and assessment of the risks associated with the consumption of bivalves by humans. (C) 2015 Elsevier Ltd. All rights reserved.</t>
  </si>
  <si>
    <t>[Oliveira, Patricia; Guilhermino, Lucia] Univ Porto, Dept Populat Study, Lab Ecotoxicol, ICBAS Inst Biomed Sci Abel Salazar, P-4050313 Oporto, Portugal; [Oliveira, Patricia; Guilhermino, Lucia] Univ Porto, CIIMAR CIMAR LA Interdisciplinary Ctr Marine &amp; En, Res Grp Ecotoxicol Stress Ecol &amp; Environm Hlth, P-4050123 Oporto, Portugal; [Lopes-Lima, Manuel; Machado, Jorge] Univ Porto, ICBAS Inst Biomed Sci Abel Salazar, Dept Aquat Prod, P-4050313 Oporto, Portugal</t>
  </si>
  <si>
    <t>Universidade do Porto; Universidade do Porto; Universidade do Porto</t>
  </si>
  <si>
    <t>Oliveira, P (corresponding author), Univ Porto, CIIMAR CIMAR LA Interdisciplinary Ctr Marine &amp; En, Res Grp Ecotoxicol Stress Ecol &amp; Environm Hlth, Rua Bragas 289, P-4050123 Oporto, Portugal.</t>
  </si>
  <si>
    <t>poliveira@ciimar.up.pt</t>
  </si>
  <si>
    <t>Guilhermino, Lucia/E-8361-2013; Lopes-Lima, Manuel/N-1222-2014</t>
  </si>
  <si>
    <t>Lopes-Lima, Manuel/0000-0002-2761-7962; Oliveira, Patricia/0000-0003-2644-3099; Guilhermino, Lucia/0000-0002-1009-8967</t>
  </si>
  <si>
    <t>European Regional Development Fund (ERDF) through the COMPETE Operational Competitiveness Programme; national funds through the Foundation for Science and Technology (FCT), under the projects NISTRACKS [PTDC/AAC-AMB/102121, FCOMP-01-0124-FEDER-008556, PEst-C/MAR/LA0015/2013]; ERDF [LTER/BIA-BEC/0019/2009]; FCT; North Portugal Regional Operational Programme under the National Strategic Reference Framework (NSRF), through the ERDF [ON.2 - O Novo Norte]; FCT [SFRH/BD/82402/2011]; Programa Operacional Potencial Humano do QREN Portugal; national founds from the Ministerio da Ciencia e Tecnologia e Ensino Superior [MCTES - POPH-QREN-Tipologia 4.1]; [NORTE-07-0124-FEDER-000054]; Fundação para a Ciência e a Tecnologia [SFRH/BD/82402/2011] Funding Source: FCT</t>
  </si>
  <si>
    <t>European Regional Development Fund (ERDF) through the COMPETE Operational Competitiveness Programme(European Union (EU)Marie Curie Actions); national funds through the Foundation for Science and Technology (FCT), under the projects NISTRACKS; ERDF(European Union (EU)); FCT(Fundacao para a Ciencia e a Tecnologia (FCT)); North Portugal Regional Operational Programme under the National Strategic Reference Framework (NSRF), through the ERDF; FCT(Fundacao para a Ciencia e a Tecnologia (FCT)); Programa Operacional Potencial Humano do QREN Portugal; national founds from the Ministerio da Ciencia e Tecnologia e Ensino Superior; ; Fundação para a Ciência e a Tecnologia(Fundacao para a Ciencia e a Tecnologia (FCT))</t>
  </si>
  <si>
    <t>We would like to thank Pedro Vilares and other members of the NISTRACKS project team for their technical help. This research was partially supported by the European Regional Development Fund (ERDF) through the COMPETE Operational Competitiveness Programme and national funds through the Foundation for Science and Technology (FCT), under the projects NISTRACKS (PTDC/AAC-AMB/102121; FCOMP-01-0124-FEDER-008556) and PEst-C/MAR/LA0015/2013. It will also contributed to the project 3M_RECITAL (LTER/BIA-BEC/0019/2009), funded by ERDF funds through the COMPETE Programme and national funds through FCT, and to the project ECORISK (Reference NORTE-07-0124-FEDER-000054), co-financed by the North Portugal Regional Operational Programme (ON.2 - O Novo Norte), under the National Strategic Reference Framework (NSRF), through the ERDF. P. Oliveira had a PhD grant from FCT (SFRH/BD/82402/2011), supported by the Programa Operacional Potencial Humano do QREN Portugal 2007-2013 and national founds from the Ministerio da Ciencia e Tecnologia e Ensino Superior (MCTES - POPH-QREN-Tipologia 4.1).</t>
  </si>
  <si>
    <t>0272-7714</t>
  </si>
  <si>
    <t>1096-0015</t>
  </si>
  <si>
    <t>ESTUAR COAST SHELF S</t>
  </si>
  <si>
    <t>Estuar. Coast. Shelf Sci.</t>
  </si>
  <si>
    <t>DEC 20</t>
  </si>
  <si>
    <t>10.1016/j.ecss.2015.06.014</t>
  </si>
  <si>
    <t>DA2MS</t>
  </si>
  <si>
    <t>WOS:000367630300020</t>
  </si>
  <si>
    <t>Guidi, P; Bernardeschi, M; Palumbo, M; Genovese, M; Scarcelli, V; Fiorati, A; Riva, L; Punta, C; Corsi, I; Frenzilli, G</t>
  </si>
  <si>
    <t>Guidi, Patrizia; Bernardeschi, Margherita; Palumbo, Mara; Genovese, Massimo; Scarcelli, Vittoria; Fiorati, Andrea; Riva, Laura; Punta, Carlo; Corsi, Ilaria; Frenzilli, Giada</t>
  </si>
  <si>
    <t>Suitability of a Cellulose-Based Nanomaterial for the Remediation of Heavy Metal Contaminated Freshwaters: A Case-Study Showing the Recovery of Cadmium Induced DNA Integrity Loss, Cell Proliferation Increase, Nuclear Morphology and Chromosomal Alterations on Dreissena polymorpha</t>
  </si>
  <si>
    <t>NANOMATERIALS</t>
  </si>
  <si>
    <t>DNA damage; micronucleus; nuclear morphology alteration; cellular proliferation; cadmium; zebra mussel (Dreissena polymorpha); polysaccharide-based nanosponge; nanoremediation</t>
  </si>
  <si>
    <t>RELEVANT CONCENTRATIONS; OXIDATIVE STRESS; ZEBRA MUSSELS; DAMAGE; RIVER; HEMOCYTES; RESPONSES; TOXICITY; IRON; POLLUTION</t>
  </si>
  <si>
    <t>The contamination of freshwaters by heavy metals represents a great problem, posing a threat for human and environmental health. Cadmium is classified as carcinogen to humans and its mechanism of carcinogenicity includes genotoxic events. In this study a recently developed eco-friendly cellulose-based nanosponge (CNS) was investigated as a candidate in freshwater nano-remediation process. For this purpose, CdCl2 (0.05 mg L-1) contaminated artificial freshwater (AFW) was treated with CNS (1.25 g L-1 for 2 h), and cellular responses were analyzed before and after CNS treatment in Dreissena polymorpha hemocytes. A control group (AFW) and a negative control group (CNS in AFW) were also tested. DNA primary damage was evaluated by Comet assay while chromosomal damage and cell proliferation were assessed by Cytome assay. AFW exposed to CNS did not cause any genotoxic effect in zebra mussel hemocytes. Moreover, DNA damage and cell proliferation induced by Cd(II) turned down to control level after 2 days when CNS were used. A reduction of Cd(II)-induced micronuclei and nuclear abnormalities was also observed. CNS was thus found to be a safe and effective candidate in cadmium remediation process being efficient in metal sequestering, restoring cellular damage exerted by Cd(II) exposure, without altering cellular physiological activity.</t>
  </si>
  <si>
    <t>[Guidi, Patrizia; Bernardeschi, Margherita; Palumbo, Mara; Scarcelli, Vittoria; Frenzilli, Giada] Univ Pisa, Dept Clin &amp; Expt Med, Sect Appl Biol &amp; Genet, I-56126 Pisa, Italy; [Guidi, Patrizia; Bernardeschi, Margherita; Palumbo, Mara; Scarcelli, Vittoria; Frenzilli, Giada] Univ Pisa, Dept Clin &amp; Expt Med, INSTM Local Unit, I-56126 Pisa, Italy; [Genovese, Massimo] Univ Florence, Dept Expt &amp; Clin Biomed Sci Mario Serio, I-50121 Florence, Italy; [Fiorati, Andrea; Riva, Laura; Punta, Carlo] Politecn Milan, Dept Chem Mat &amp; Chem Engn G Natta, I-20131 Milan, Italy; [Fiorati, Andrea; Riva, Laura; Punta, Carlo] Politecn Milan, INSTM Local Unit, I-20131 Milan, Italy; [Corsi, Ilaria] Univ Siena, Dept Phys Earth &amp; Environm Sci, I-53100 Siena, Italy; [Corsi, Ilaria] Univ Siena, INSTM Local Unit, I-53100 Siena, Italy</t>
  </si>
  <si>
    <t>University of Pisa; University of Pisa; University of Florence; Polytechnic University of Milan; Polytechnic University of Milan; University of Siena; University of Siena</t>
  </si>
  <si>
    <t>Guidi, P (corresponding author), Univ Pisa, Dept Clin &amp; Expt Med, Sect Appl Biol &amp; Genet, I-56126 Pisa, Italy.;Guidi, P (corresponding author), Univ Pisa, Dept Clin &amp; Expt Med, INSTM Local Unit, I-56126 Pisa, Italy.</t>
  </si>
  <si>
    <t>patrizia.guidi@unipi.it; margherita.bernardeschi@for.unipi.it; m.palumbo@studenti.unipi.it; massimo.genovese@student.unisi.it; vittoria.scarcelli@unipi.it; andrea.fiorati@polimi.it; laura2.riva@polimi.it; carlo.punta@polimi.it; ilaria.corsi@unisi.it; giada@biomed.unipi.it</t>
  </si>
  <si>
    <t>Palumbo, Mara/GLU-1235-2022; Riva, Laura/AAO-7347-2021; Punta, CARLO/AAS-4413-2020; Fiorati, Andrea/AGW-0722-2022; corsi, ilaria/D-3795-2012; Punta, CARLO/C-2657-2008</t>
  </si>
  <si>
    <t>Palumbo, Mara/0000-0003-1533-5658; corsi, ilaria/0000-0002-1811-3041; Fiorati, Andrea/0000-0002-2260-0563; Punta, CARLO/0000-0002-7239-9554</t>
  </si>
  <si>
    <t>Regione Toscana, NanoBonD (Nanomaterials for Remediation of Environmental Matrices associated to Dewatering) POR CReO FESR Toscana [30/07/2014-LA 1.1.5 CUP 3389.30072014.067000007]</t>
  </si>
  <si>
    <t>Regione Toscana, NanoBonD (Nanomaterials for Remediation of Environmental Matrices associated to Dewatering) POR CReO FESR Toscana</t>
  </si>
  <si>
    <t>This research was funded by Regione Toscana, NanoBonD (Nanomaterials for Remediation of Environmental Matrices associated to Dewatering) POR CReO FESR Toscana 2014-2020-30/07/2014-LA 1.1.5 CUP 3389.30072014.067000007.</t>
  </si>
  <si>
    <t>2079-4991</t>
  </si>
  <si>
    <t>NANOMATERIALS-BASEL</t>
  </si>
  <si>
    <t>Nanomaterials</t>
  </si>
  <si>
    <t>10.3390/nano10091837</t>
  </si>
  <si>
    <t>Chemistry, Multidisciplinary; Nanoscience &amp; Nanotechnology; Materials Science, Multidisciplinary; Physics, Applied</t>
  </si>
  <si>
    <t>Chemistry; Science &amp; Technology - Other Topics; Materials Science; Physics</t>
  </si>
  <si>
    <t>OF5ZX</t>
  </si>
  <si>
    <t>WOS:000581286500001</t>
  </si>
  <si>
    <t>MCCONCHIE, DM; MANN, AW; LINTERN, MJ; LONGMAN, D; TALBOT, V; GABELISH, AJ; GABELISH, MJ</t>
  </si>
  <si>
    <t>HEAVY-METALS IN MARINE BIOTA, SEDIMENTS AND WATERS FROM THE SHARK BAY AREA, WESTERN AUSTRALIA</t>
  </si>
  <si>
    <t>JOURNAL OF COASTAL RESEARCH</t>
  </si>
  <si>
    <t>Shark Bay, Western Australia, is geographically remote from all known industrial and geological sources of heavy metals. Surprisingly, several species of mollusc found here have cadmium contents which exceed both the usual limits of 2 ppm wet weight for molluscs taken for human consumption, and levels found in molluscs from areas of recognised heavy metal pollution. We know of no other pollution-free locality where similarly high cadmium concentrations are found in molluscs. The cadmium content of several species of Shark Bay molluscs frequently exceeds 5 ppm wet weight, locally exceeds 10 ppm, and shows substantial regional variation within the embayment. Some regionally variable factors which could influence the rate of cadmium uptake include an anthropogenic source, species variation, and salinity variation, but these possibilities are precluded by the data. Other regionally variable factors include, dissolved cadmium concentrations, substrate sediment composition, and local groundwater influx, but present data do not reveal a satisfactory explanation for the regional variation observed. The selective concentration of cadmium in the adductor muscle of the pearl oyster (Pinctada carchariartum) and curiously high cadmium/zinc ratios are described. Various methods are evaluated for reducing the cadmium content of Shark Bay molluscs prior to human consumption. These include, selection by size and location, discarding the adductor muscle, and leaching in brine.</t>
  </si>
  <si>
    <t>NO RIVERS COLL ADV EDUC, CTR COASTAL MANAGEMENT, POB 157, LISMORE, NSW, AUSTRALIA.</t>
  </si>
  <si>
    <t>Lintern, Melvyn/M-6809-2013</t>
  </si>
  <si>
    <t>Lintern, Melvyn/0000-0002-4436-6165</t>
  </si>
  <si>
    <t>COASTAL EDUCATION &amp; RESEARCH FOUNDATION</t>
  </si>
  <si>
    <t>COCONUT CREEK</t>
  </si>
  <si>
    <t>5130 NW 54TH STREET, COCONUT CREEK, FL 33073 USA</t>
  </si>
  <si>
    <t>0749-0208</t>
  </si>
  <si>
    <t>1551-5036</t>
  </si>
  <si>
    <t>J COASTAL RES</t>
  </si>
  <si>
    <t>J. Coast. Res.</t>
  </si>
  <si>
    <t>WIN</t>
  </si>
  <si>
    <t>Environmental Sciences; Geography, Physical; Geosciences, Multidisciplinary</t>
  </si>
  <si>
    <t>Environmental Sciences &amp; Ecology; Physical Geography; Geology</t>
  </si>
  <si>
    <t>M1074</t>
  </si>
  <si>
    <t>WOS:A1988M107400005</t>
  </si>
  <si>
    <t>GNASSIABARELLI, M; ROMEO, M; PUISEUXDAO, S</t>
  </si>
  <si>
    <t>EFFECTS OF CADMIUM AND COPPER CONTAMINATION ON CALCIUM CONTENT OF THE BIVALVE RUDITAPES DECUSSATUS</t>
  </si>
  <si>
    <t>7th International Symposium on Responses of Marine Organisms to Pollutants</t>
  </si>
  <si>
    <t>GOTEBORG, SWEDEN</t>
  </si>
  <si>
    <t>DONACILLA-CORNEA; METAL</t>
  </si>
  <si>
    <t>Heavy metals, such as Cu, Cd and Hg are known to disturb Ca homeostasis in marine invertebrates. Accumulation of Cu and Cd was studied in the clam Ruditapes decussatus. Animals were exposed to Cu (30 and 150 mu g/litre) or Cd (200 and 500 mu g/litre). Metal concentrations were measured in the gills, visceral masses and remainders. Exposure to Cd increased Cd concentrations in all organs studied. In Cu experiments, a significant increase in Cu and Ca concentrations was noted in the organs studied. This increase in Ca may be induced by the action of copper. Such an increase was not observed in Cd-treated animals. Following a detoxication period of 8 days, the body content of Cu decreased strongly (ca 50% after 3 days), whereas that of Cd remained unchanged, suggesting that Cd is more firmly bound than Cu in R. decussatus.</t>
  </si>
  <si>
    <t>INSERM,U303,F-06230 VILLEFRANCHE MER,FRANCE</t>
  </si>
  <si>
    <t>Institut National de la Sante et de la Recherche Medicale (Inserm)</t>
  </si>
  <si>
    <t>GNASSIABARELLI, M (corresponding author), FAC MED NICE,INSERM,U303,TOXICOL MARINE LAB,F-06107 NICE 2,FRANCE.</t>
  </si>
  <si>
    <t>10.1016/0141-1136(94)00033-L</t>
  </si>
  <si>
    <t>QR261</t>
  </si>
  <si>
    <t>WOS:A1995QR26100067</t>
  </si>
  <si>
    <t>Damiens, G; Mouneyrac, C; Quiniou, F; His, E; Gnassia-Barelli, M; Roméo, M</t>
  </si>
  <si>
    <t>Metal bioaccumulation and metallothionein concentrations in larvae of Crassostrea gigas</t>
  </si>
  <si>
    <t>Crassostrea gigas larvae; cadmium; copper; metallothionein; Arcachon bay; Bidassoa estuary</t>
  </si>
  <si>
    <t>MYTILUS-GALLOPROVINCIALIS; CADMIUM; COPPER; OYSTER; ACCUMULATION; EXPRESSION; TOXICITY; EMBRYOS; BIOAVAILABILITY; QUANTIFICATION</t>
  </si>
  <si>
    <t>Larval stages of bivalve molluscs are highly sensitive to pollutants. Oysters from a hatchery from Normandy (English Channel) were induced to spawn, and fertilized eggs were exposed to copper or cadmium for 24 h. Metal accumulation (from 0.125 to 5 mu g Cu L-1 and from 25 to 200 mu g Cd L-1) and MT concentrations were measured in larvae. Compared to controls, larvae accumulated copper and cadmium with an increase in MT concentrations particularly with cadmium (i.e. 130.96 ng Cu (mg protein)(-1) and 12.69 mu g MT (mg protein)(-1) at 1 mu g Cu L-1 versus 23.19 ng Cu (mg protein)(-1) and 8.92 mu g MT (mg protein)(-1) in control larvae; 334.3 ng Cd (mg protein)(-1) and 11.70 mu g MT (mg protein)(-1) at 200 mu g Cd L-1 versus 0.87 ng Cd (mg protein)(-1) and 4.60 mu g MT (mg protein)(-1) in control larvae). Larvae were also obtained from oysters of a clean area (Arcachon Bay) and a polluted zone (Bidassoa estuary) and exposed to copper in the laboratory, their MT concentration was measured as well as biomarkers of oxidative stress. Biomarker responses and sensitivity to copper for the larvae from Arcachon oysters were higher than for those from Bidassoa. (c) 2005 Elsevier Ltd. All rights reserved.</t>
  </si>
  <si>
    <t>UNSA ROSE, INRA, UMR 1112, Fac Sci, F-06108 Nice 2, France; UCO, IBEA, CEREA, F-49008 Angers 01, France; Fac Sci, Serv Ecotoxicol, SMAB, ISOMER, F-44322 Nantes 3, France; IFREMER, Ctr Brest, Dept Biogeochim &amp; Ecotoxicol, F-29280 Plouzane, France</t>
  </si>
  <si>
    <t>INRAE; Institut Polytechnique de Paris; Ecole des Ponts ParisTech; Ifremer</t>
  </si>
  <si>
    <t>UNSA ROSE, INRA, UMR 1112, Fac Sci, Parc Valrose,BP 71, F-06108 Nice 2, France.</t>
  </si>
  <si>
    <t>10.1016/j.envpol.2005.08.006</t>
  </si>
  <si>
    <t>027JE</t>
  </si>
  <si>
    <t>WOS:000236410800013</t>
  </si>
  <si>
    <t>Meng, XL; Tian, X; Liu, M; Nie, GX; Jiang, KY; Wang, BJ; Wang, L</t>
  </si>
  <si>
    <t>Meng, Xiaolin; Tian, Xue; Liu, Mei; Nie, Guoxing; Jiang, Keyong; Wang, Baojie; Wang, Lei</t>
  </si>
  <si>
    <t>The transcriptomic response to copper exposure by the gill tissue of Japanese scallops (Mizuhopecten yessoensis) using deep-sequencing technology</t>
  </si>
  <si>
    <t>Mizuhopecten yessoensis; Gill; Copper; Deep-sequencing</t>
  </si>
  <si>
    <t>CADMIUM-INDUCED APOPTOSIS; DUAL OXIDASE; HEAVY-METAL; RNA-SEQ; CLAM; EPITHELIUM; CLONING; SHRIMP; SYSTEM; GENE</t>
  </si>
  <si>
    <t>The bivalve Mizuhopecten yessoensis has been greatly impacted by marine pollutants in northern China. To elucidate the toxicological mechanism of copper exposure on the immune system, we investigated differentially expressed genes (DEGs) and transcript abundance in M. yessoensis gill tissue using the deep-sequencing platform Illumina HiSeq (TM) 2000. In total, 1312 and 2237 genes were identified as significantly up- or down-regulated, respectively. In addition, significant enrichment analysis identified 9 GO terms and 38 pathways involved in the response to copper exposure. The analysis of immune-related transcripts revealed a complex repertoire of innate recognition receptors, including toll-like receptors, NOD-like receptors and RIG-like receptors. Downstream pathway effectors, such as apoptotic, lysosomal and C-type lectin transcripts, were also analyzed. These results will provide a resource for subsequent gene expression studies regarding heavy metal exposure and the identification of copper-sensitive biomarkers to monitor the aquaculture of M. yessoensis. (C) 2014 Elsevier Ltd. All rights reserved.</t>
  </si>
  <si>
    <t>[Meng, Xiaolin; Tian, Xue; Nie, Guoxing] Henan Normal Univ, Coll Fisheries, Xinxiang 453007, Peoples R China; [Liu, Mei; Jiang, Keyong; Wang, Baojie; Wang, Lei] Chinese Acad Sci, Inst Oceanol, R&amp;D Ctr Marine, Qingdao 266071, Peoples R China</t>
  </si>
  <si>
    <t>Henan Normal University; Chinese Academy of Sciences; Institute of Oceanology, CAS</t>
  </si>
  <si>
    <t>Liu, M (corresponding author), Chinese Acad Sci, Inst Oceanol, R&amp;D Ctr Marine, Qingdao 266071, Peoples R China.</t>
  </si>
  <si>
    <t>liumei@ms.qdio.ac.cn; wanglei@ms.qdio.ac.cn</t>
  </si>
  <si>
    <t>Jiang, Keyong/A-6512-2015; Wang, Lei/A-7836-2018; wang, jie/GRS-0942-2022; Nie, Guo-Xing/AAN-2942-2020</t>
  </si>
  <si>
    <t>Nie, Guoxing/0000-0002-0758-9933</t>
  </si>
  <si>
    <t>Main Direction Program of Knowledge Innovation of Chinese Academy of Sciences [KZCX2-EW-Q215]</t>
  </si>
  <si>
    <t>Main Direction Program of Knowledge Innovation of Chinese Academy of Sciences(Chinese Academy of Sciences)</t>
  </si>
  <si>
    <t>Financial support for this study was provided by the Main Direction Program of Knowledge Innovation of Chinese Academy of Sciences (KZCX2-EW-Q215).</t>
  </si>
  <si>
    <t>10.1016/j.fsi.2014.03.009</t>
  </si>
  <si>
    <t>WOS:000337014700003</t>
  </si>
  <si>
    <t>Joksimovic, D; Castelli, A; Pestoric, B; Perosevic, A</t>
  </si>
  <si>
    <t>Joksimovic, Danijela; Castelli, Ana; Pestoric, Branka; Perosevic, Ana</t>
  </si>
  <si>
    <t>AN ASSESSMENT OF TRACE METAL CONTAMINATION IN SURFACE SEDIMENTS OF THE MONTENEGRIN COAST BY USING POLLUTION INDEXES AND STATISTICAL ANALYSIS</t>
  </si>
  <si>
    <t>19th International MESAEP Symposium on Environmental Pollution and its Impact on Life in the Mediterranean Region</t>
  </si>
  <si>
    <t>OCT 04-06, 2017</t>
  </si>
  <si>
    <t>Natl Res Council Headquarters, Rome, ITALY</t>
  </si>
  <si>
    <t>Natl Res Council Headquarters</t>
  </si>
  <si>
    <t>Trace metals; MPI; Igeo; Montenegrin coast</t>
  </si>
  <si>
    <t>HEAVY-METALS; ELEMENT CONTAMINATION; ESTUARINE SEDIMENTS; SOUTHEAST COAST; MASS-BALANCE; BAY; VENICE; ENRICHMENT; MUSSELS; WATER</t>
  </si>
  <si>
    <t>The concentrations of ten elements and trace metals, iron (Fe), manganese (Mn), zinc (Zn), copper (Cu), cobalt (Co), nickel (Ni), lead (Pb), cadmium (Cd), arsenic (As) and mercury (Hg) were determined in the surface sediment collected from the coastal area of Montenegro. The metal content in the sediment collected from ten locations over two different years were analyzed using the Pearson correlation coefficient (r) and cluster analysis (CA). A correlation between the metal levels found in the sediments, for both years 2005 and 2006, was established. The metal pollution indexes (MPI) for the sediment were compared, confirming that the most polluted were locations S-9 and S-10. The geo-accumulation index (Igeo) was calculated using soil values as the background or pristine values. Extreme Igeo values (strongly polluted) were found only for Ni, Cd and Hg, each at a different single location.</t>
  </si>
  <si>
    <t>[Joksimovic, Danijela; Castelli, Ana; Pestoric, Branka] Univ Montenegro, Inst Marine Biol, P Box 69, Kotor 85330, Montenegro; [Perosevic, Ana] BIOICT Ctr Excellence Bioinformat, Podgorica 81000, Montenegro</t>
  </si>
  <si>
    <t>University of Montenegro</t>
  </si>
  <si>
    <t>Joksimovic, D (corresponding author), Univ Montenegro, Inst Marine Biol, P Box 69, Kotor 85330, Montenegro.</t>
  </si>
  <si>
    <t>danijela.j@ac.me</t>
  </si>
  <si>
    <t>Pestoric, Branka/AAH-7803-2019; Joksimovic, Danijela/AAH-7688-2019; Perošević-Bajčeta, Ana/AAH-4443-2019</t>
  </si>
  <si>
    <t>Perosevic-Bajceta, Ana/0000-0002-2083-7612</t>
  </si>
  <si>
    <t>HO9GV</t>
  </si>
  <si>
    <t>WOS:000461270700036</t>
  </si>
  <si>
    <t>Ghosh, S; Mondal, A; Gangopadhyay, S; Mandal, S</t>
  </si>
  <si>
    <t>Ghosh, Santu; Mondal, Ayan; Gangopadhyay, Sohini; Mandal, Sudipto</t>
  </si>
  <si>
    <t>Cadmium bioaccumulation in Lamellidens marginalis and human health risk assessment: A case study in India</t>
  </si>
  <si>
    <t>biofilter; bioremediation; physico-chemical factors; mussels; wastewater</t>
  </si>
  <si>
    <t>DIETARY-INTAKE; HEAVY-METALS; WATER; MERCURY; EXPOSURE; LEAD; ACCUMULATION; BIOSORPTION; POLLUTION; TOXICITY</t>
  </si>
  <si>
    <t>Lamellidens marginalis is an easily available food with high nutritive value. The present study is based on the East Kolkata Wetlands (EKW), India that produces mussels, consumed by human. Thus, the study of heavy metal pollution in the wastewater and mussel, and its transport to human is considered to be need of the hour to assess the health risk to human. The present study focuses on the cadmium accumulation in the outer exposed organs and the internal organs of L. marginalis. The mussel, sediment, and water were collected from the field and analyzed in the laboratory. The environmental factors were analyzed in situ. The survey work was conducted among the consumers of mussel around the EKW to predict the effect of cadmium on human. The result showed that the cadmium concentration of water was relatively important for the bioaccumulation process in L. marginalis. People having low level of income and age above forty, living adjoining the EKW were at high risk of cadmium pollution. The hazard quotient value of the above group was highest among all the groups across age and income. A 'biofilter' technique was suggested to mitigate the biomagnification of cadmium at the EKW.</t>
  </si>
  <si>
    <t>[Ghosh, Santu; Mondal, Ayan; Gangopadhyay, Sohini; Mandal, Sudipto] Univ Burdwan, Ecol &amp; Environm Modelling Lab, Dept Environm Sci, Burdwan 713104, W Bengal, India</t>
  </si>
  <si>
    <t>Mandal, S (corresponding author), Univ Burdwan, Ecol &amp; Environm Modelling Lab, Dept Environm Sci, Burdwan 713104, W Bengal, India.</t>
  </si>
  <si>
    <t>sudipto11@gmail.com</t>
  </si>
  <si>
    <t>Mondal, Ayan/ABG-4730-2020</t>
  </si>
  <si>
    <t>Mondal, Ayan/0000-0001-6189-4165</t>
  </si>
  <si>
    <t>10.1080/10807039.2018.1530588</t>
  </si>
  <si>
    <t>KT2RZ</t>
  </si>
  <si>
    <t>WOS:000518864500009</t>
  </si>
  <si>
    <t>Cardoso, PG; Pereira, E; Grilo, TF; Duarte, AC; Pardal, MA</t>
  </si>
  <si>
    <t>Cardoso, Patricia G.; Pereira, Eduarda; Grilo, Tiago F.; Duarte, Armando C.; Pardal, Miguel A.</t>
  </si>
  <si>
    <t>Kinetics of Mercury Bioaccumulation in the Polychaete Hediste diversicolor and in the Bivalve Scrobicularia plana, Through a Dietary Exposure Pathway</t>
  </si>
  <si>
    <t>Mercury; Dietary pathway; Bioaccumulation; Kinetics; Bivalves; Polychaetes</t>
  </si>
  <si>
    <t>LUMBRICUS-TERRESTRIS; INORGANIC MERCURY; FOOD; METHYLMERCURY; MACROFAUNA; GRADIENT; ESTUARY; FRANCE; AVEIRO; METAL</t>
  </si>
  <si>
    <t>Mercury bioaccumulation kinetics of two important macrobenthic species, the polychaete Hediste diversicolor and the bivalve Scrobicularia plana, were evaluated following a dietary pathway (i.e. contaminated algae), through a mesocosm laboratory experiment. Both studied species presented a similar model of Hg bioaccumulation kinetics, a linear pattern of accumulation through time being the mercury accumulation in the organisms proportional to the mercury concentration in the food. Mercury bioaccumulation rates were higher in the polychaete H. diversicolor (reaching approximately 0.15 mu g g(-1) at the end of the experiment) than in the bivalve S. plana (a parts per thousand 0.07 mu g g(-1)), which could be related to their feeding strategies, ingestion rates and assimilation efficiencies. Moreover, the mercury bioaccumulation revealed to be quite a fast process especially for the polychaete, and despite the fact that this species is not an edible organism, it is an important prey item, which can greatly contribute to the transport of contaminants to higher trophic levels. Therefore, the bioaccumulation of mercury by these important macrobenthic species, especially the bivalves, represents a non-negligible risk for humans.</t>
  </si>
  <si>
    <t>[Cardoso, Patricia G.] Univ Coimbra, Dept Life Sci, IMAR CMA Marine &amp; Environm Res Ctr, P-3001401 Coimbra, Portugal; [Pereira, Eduarda; Duarte, Armando C.] Univ Aveiro, CESAM Ctr Environm &amp; Marine Studies, Dept Chem, P-3810193 Aveiro, Portugal; [Grilo, Tiago F.; Pardal, Miguel A.] Univ Coimbra, CFE Ctr Funct Ecol, Dept Life Sci, P-3001401 Coimbra, Portugal</t>
  </si>
  <si>
    <t>Universidade de Coimbra; Universidade de Aveiro; Universidade de Coimbra</t>
  </si>
  <si>
    <t>Cardoso, PG (corresponding author), Univ Coimbra, Dept Life Sci, IMAR CMA Marine &amp; Environm Res Ctr, POB 3046, P-3001401 Coimbra, Portugal.</t>
  </si>
  <si>
    <t>gcardoso@ci.uc.pt</t>
  </si>
  <si>
    <t>Pereira, Eduarda/A-5907-2012; Duarte, Armando/C-1424-2008; F. Grilo, Tiago/C-4482-2013; Teixeira, Patricia/I-6863-2013; Pardal, Miguel Angelo/C-3984-2009</t>
  </si>
  <si>
    <t>Duarte, Armando/0000-0002-4868-4099; F. Grilo, Tiago/0000-0003-3403-4287; Teixeira, Patricia/0000-0003-4653-4705; Pardal, Miguel Angelo/0000-0001-6048-7007; Pereira, Eduarda/0000-0002-6046-5243</t>
  </si>
  <si>
    <t>Fundacao para a Ciencia e Tecnologia (FCT) [PTDC/MAR/10,916/2008]</t>
  </si>
  <si>
    <t>Fundacao para a Ciencia e Tecnologia (FCT)(Fundacao para a Ciencia e a Tecnologia (FCT))</t>
  </si>
  <si>
    <t>This work was supported by Fundacao para a Ciencia e Tecnologia (FCT) through a project (MERCOAST)-PTDC/MAR/10,916/2008. The authors are indebted to all the colleagues who assisted in the field and lab work.</t>
  </si>
  <si>
    <t>10.1007/s11270-011-0870-1</t>
  </si>
  <si>
    <t>858XN</t>
  </si>
  <si>
    <t>WOS:000297836600035</t>
  </si>
  <si>
    <t>Lannig, G; Cherkasov, AS; Sokolova, IM</t>
  </si>
  <si>
    <t>Lannig, G.; Cherkasov, A. S.; Sokolova, I. M.</t>
  </si>
  <si>
    <t>Temperature-dependent effects of cadmium on mitochondrial and whole-organism bioenergetics of oysters (Crassostrea virginica)</t>
  </si>
  <si>
    <t>13th International Symposium on Pollutant Responses in Marine Organisms (PRIMO 13)</t>
  </si>
  <si>
    <t>JUN 19-23, 2005</t>
  </si>
  <si>
    <t>Alessandria, ITALY</t>
  </si>
  <si>
    <t>temperature; cadmium; basal metabolic rate; mitochondria; ATP synthesis; proton leak; Crassostrea virginica</t>
  </si>
  <si>
    <t>METALLOTHIONEIN</t>
  </si>
  <si>
    <t>Intertidal mollusks are exposed to multiple stressors in estuaries, including temperature and trace metals such as cadmium, which may interactively affect their physiology. We have studied the combined effects of temperature and cadmium stress on metabolism of oysters at the whole animal and mitochondrial levels. In vivo exposure to 50 mu g L-1 Cd led to a significant increase in basal metabolic rate (BMR) in 20 degrees C-acclimated but not in 28 degrees C-acclimated oysters. Cadmium exposure resulted in a fast decrease in mitochondrial capacity to synthesize ATP in 28 degrees C-acclimated but not 20 degrees C-acclimated oysters indicating that mitochondria, may be functioning closer to their capacity limits in the former group. This agrees with elevated mortality in Cd-exposed oysters at 28 degrees C but not 20 degrees C. In general, elevated temperature increased sensitivity of oysters to cadmium at mitochondrial and whole-organism levels suggesting that oyster populations may become more susceptible to trace metal pollution during seasonal warming and/or global climate change. (c) 2006 Elsevier Ltd. All rights reserved.</t>
  </si>
  <si>
    <t>Univ N Carolina, Dept Biol, Charlotte, NC 28223 USA</t>
  </si>
  <si>
    <t>Lannig, Gisela/D-5793-2017; Sokolova, Inna/B-4955-2009</t>
  </si>
  <si>
    <t>Sokolova, Inna/0000-0002-2068-4302; Lannig, Gisela/0000-0002-9210-256X</t>
  </si>
  <si>
    <t>S79</t>
  </si>
  <si>
    <t>S82</t>
  </si>
  <si>
    <t>10.1016/j.marenvres.2006.04.010</t>
  </si>
  <si>
    <t>062PU</t>
  </si>
  <si>
    <t>WOS:000238957800068</t>
  </si>
  <si>
    <t>Kim, NS; Lee, BK</t>
  </si>
  <si>
    <t>Kim, Nam-Soo; Lee, Byung-Kook</t>
  </si>
  <si>
    <t>Blood total mercury and fish consumption in the Korean general population in KNHANES III, 2005</t>
  </si>
  <si>
    <t>Blood; Mercury; Fish consumption; KNHANES III; Population estimate; Survey</t>
  </si>
  <si>
    <t>ENVIRONMENTAL-POLLUTANTS; METHYLMERCURY EXPOSURE; INORGANIC MERCURY; ORGANIC MERCURY; DIETARY-INTAKE; URINE; CADMIUM; GERES; WOMEN; AGE</t>
  </si>
  <si>
    <t>Objectives: The obejective of this study was to assess the association between the blood total mercury concentration and fish consumption in the Korean general adult population using a representative sample. Methods: We studied the blood mercury concentration in a representative sample of 1,749 Koreans who were included in the Third Korean National Health and Nutritional Examination Survey (KNHANES III) performed in 2005, and compared it with the frequency of fish consumption collected during the nutrition survey of KNHANES III. Results: The geometric means of the blood mercury levels in female subjects (n = 890), male subjects (n = 859), and all participants (n=1,749) representing adult Koreans aged &gt;= 20 years were 3.70 mu g/L [95% confidence interval (CI), 3.46-3.94 mu g/L], 4.70 mu g/L (95% CI, 4.38-5.02 mu g/L), and 4.15 mu g/L (95% CI, 3.93-4.38 mu g/L), respectively. The geometric mean of the blood mercury level was significantly higher in the high-fish-consumption group (4.38 mu g/L; more than once a week) than in the low-consumption group (3.71 mu g/L: less than once a week), but the intergroup difference of 18% was less than that in Western countries. Among the nine listed individual types of fish and shellfish, there was a general trend for the blood mercury level to increase with the consumption frequency of squid, clam, salted seafood, and mackerel. The proportion of Korean women aged 20-49 years having blood mercury levels of at least 5.8 mu g/L was 27.7% (150/542) in our study. Conclusions: The blood mercury level in a representative sample of the Korean adult population was found to be associated with fish consumption in both men and women. However, a high consumption of fish increased the blood mercury level by only 18%. (C) 2010 Elsevier B.V. All rights reserved.</t>
  </si>
  <si>
    <t>[Kim, Nam-Soo; Lee, Byung-Kook] Soonchunhyang Univ, Inst Environm &amp; Occupat Med, Coll Med, Asan 336745, Choongnam, South Korea</t>
  </si>
  <si>
    <t>Soonchunhyang University</t>
  </si>
  <si>
    <t>Lee, BK (corresponding author), Soonchunhyang Univ, Inst Environm &amp; Occupat Med, Coll Med, 646 Eupnae Ri, Asan 336745, Choongnam, South Korea.</t>
  </si>
  <si>
    <t>bklee@sch.ac.kr</t>
  </si>
  <si>
    <t>10.1016/j.scitotenv.2010.06.026</t>
  </si>
  <si>
    <t>651MJ</t>
  </si>
  <si>
    <t>WOS:000281931500065</t>
  </si>
  <si>
    <t>DEVI, VU</t>
  </si>
  <si>
    <t>BIG-ACCUMULATION AND METABOLIC EFFECTS OF ZINC ON MARINE FOULING DREISSINID BIVALVE, MYTILOPSIS-SALLEI (RECLUZ)</t>
  </si>
  <si>
    <t>MUSSEL MYTILUS-EDULIS; CADMIUM EXPOSURE; HEAVY-METALS; COPPER; SALINITY; TOXICITY; WATER</t>
  </si>
  <si>
    <t>Zinc (Zn) toxicity to a marine fouling dreissinid bivalve Mytilopsis sallei was investigated and the safe concentration of Zn was determined for this bivalve. In acute toxicity tests on M. sallei the 96 h LC(50) value for Zn is found to be 8.364 mg 1(-1). The results suggest that Zn has the lowest toxic effect on M. sallei when compared to copper and mercury. Effect of Zn on the oxygen consumption of M. sallei was studied. Sub-lethal concentrations of Zn functioned as respiratory depressants. Accumulation of Zn was investigated in relation to exposure period and concentration in M. sallei. Zn accumulation was found to be sensitive to both concentration of Zn and exposure time. The effect of exposure time and concentration on body biochemical components was also studied in M. sallei. This accumulated Zn has resulted in impairment of carbohydrate metabolism and protein utilisation,.</t>
  </si>
  <si>
    <t>DEVI, VU (corresponding author), ANDHRA UNIV,DEPT ZOOL,WALTAIR 530003,ANDHRA PRADESH,INDIA.</t>
  </si>
  <si>
    <t>10.1007/BF01104016</t>
  </si>
  <si>
    <t>RM445</t>
  </si>
  <si>
    <t>WOS:A1995RM44500006</t>
  </si>
  <si>
    <t>Baghban, A; Sendi, JJ; Zibaee, A</t>
  </si>
  <si>
    <t>Baghban, A.; Sendi, J. J.; Zibaee, A.</t>
  </si>
  <si>
    <t>Effect of essential and non-essential elements on cellular immune system of cotton bollworm, Helicoverpa armigera Hubner (Lepidoptera: Noctuidae)</t>
  </si>
  <si>
    <t>Beauveria bassiana; Cadmium; Copper; Helicoverpa armigera; Nodulation; THC; DHC</t>
  </si>
  <si>
    <t>HEAVY-METAL POLLUTION; BEAUVERIA-BASSIANA; ENTOMOPATHOGENIC FUNGUS; CIRCULATING HEMOCYTES; EPHESTIA-KUEHNIELLA; GEOMETRID MOTH; MARINE MUSSEL; CADMIUM; ACCUMULATION; EXPOSURE</t>
  </si>
  <si>
    <t>Three concentrations of 12.5, 25 and 50 mg/kg of cadmium and 25, 50 and 100 mg/kg of copper were added to artificial diet and fed to larvae for 7 days. Total hemocytes count (THC) at 12.5 mg/kg concentration of cadmium significantly declined, but at 50 mg/ kg of cadmium and all treatments of copper, the THC was significantly enhanced. As for differential hemocytes count (DHC) prohemocytes were reduced at 12.5 mg/kg of cadmium treatment and all concentrations of copper, while granulocytes in all treatments of cadmium were increased. The phenoloxidase activity and nodulation were increased versus entomopathogenic fungi, Beauveria bassiana (Balsamo) Vuillemin and latex beads. The adverse influence of stresses on immune responses of pest can be an effective solution for insect pest control.</t>
  </si>
  <si>
    <t>[Baghban, A.; Sendi, J. J.; Zibaee, A.] Univ Guilan, Fac Agr Sci, Dept Plant Protect, Rasht 416351314, Iran</t>
  </si>
  <si>
    <t>University of Guilan</t>
  </si>
  <si>
    <t>Sendi, JJ (corresponding author), Univ Guilan, Fac Agr Sci, Dept Plant Protect, Rasht 416351314, Iran.</t>
  </si>
  <si>
    <t>jjalali@guilan.ac.ir</t>
  </si>
  <si>
    <t>Sendi, Jalal/C-5364-2017; Zibaee, Arash/AAA-5657-2019</t>
  </si>
  <si>
    <t>University of Guilan(University of Guilan)</t>
  </si>
  <si>
    <t>The deputy of research, University of Guilan, which is greatly appreciated, supported this research. We thank Dr. Roya Khosravi and Miss Malahat Mojarab for their technical assistance and Mr. Ali Assaran for reading the text.</t>
  </si>
  <si>
    <t>GE2ZF</t>
  </si>
  <si>
    <t>WOS:000431082500001</t>
  </si>
  <si>
    <t>Jing, G; Li, Y; Xie, LP; Zhang, RQ</t>
  </si>
  <si>
    <t>Jing, Gu; Li, Yu; Xie, Liping; Zhang, Rongqing</t>
  </si>
  <si>
    <t>Metal accumulation and enzyme activities in gills and digestive gland of pearl oyster (Pinctada fucata) exposed to copper</t>
  </si>
  <si>
    <t>AcPase; ALP; bioaccumulatiory; biomarker; copper; pearl oyster; Pinctada fucata; PO; Se-GPx; SOD</t>
  </si>
  <si>
    <t>ANTIOXIDANT ENZYMES; ALKALINE-PHOSPHATASE; SCROBICULARIA-PLANA; LIPID-PEROXIDATION; ARSENIC COMPOUNDS; MUSSEL; GLUTATHIONE; BIOMARKERS; CADMIUM; WATER</t>
  </si>
  <si>
    <t>The effects of exposure to copper under laboratory-controlled conditions were investigated in the pearl oyster, Pinctada fucata. Metal accumulation and the activity of five enzymes were measured: two immune defense involved enzymes [acid phosphatase (AcPase) and phenoloxidase (PO)], two antioxidant enzymes [superoxide dismutase (SOD) and Se-dependent glutathione peroxidase (Se-GPx)] and one metal-sensitive enzyme [alkaline phosphatase (ALP)]. Analyses were carried out in gills and digestive gland of oysters exposed to 0.05 mu M and 0.5 mu M copper, respectively, at 12, 24, 48 and 72 h of exposure. The digestive gland of P. fucata was the main copper accumulation organ when oysters were exposed to low concentrations, whereas gills became the target organ in oysters exposed to high concentrations. The adaptation and recovery of the oysters were observed in our study. Levels of the copper accumulation and the sensitivity to copper were the main, if not, part of the reasons for the various responses of the selected enzymes. Se-GPx may potentially be used as biomarkers in biotesting of marine heavy metal pollutions. The enzymatic responses were compared with those of other studies and the possible reasons were discussed. (c) 2006 Elsevier Inc. All rights reserved.</t>
  </si>
  <si>
    <t>Tsinghua Univ, Inst Marine Biotechnol, Dept Biol Sci &amp; Biotechnol, Beijing 100084, Peoples R China; Tsinghua Univ, Minist Educ, Prot Sci Lab, Beijing 100084, Peoples R China</t>
  </si>
  <si>
    <t>Tsinghua University; Tsinghua University</t>
  </si>
  <si>
    <t>Xie, LP (corresponding author), Tsinghua Univ, Inst Marine Biotechnol, Dept Biol Sci &amp; Biotechnol, Beijing 100084, Peoples R China.</t>
  </si>
  <si>
    <t>lpxie@mail.tsinghua.edu.cn; rqzhang@mail.tsinghua.edu.cn</t>
  </si>
  <si>
    <t>Jing, Gu/B-7678-2011</t>
  </si>
  <si>
    <t>10.1016/j.cbpc.2006.08.005</t>
  </si>
  <si>
    <t>112II</t>
  </si>
  <si>
    <t>WOS:000242518800009</t>
  </si>
  <si>
    <t>Nigariga, P; Saren, D; Varma, R; Sugumar, V</t>
  </si>
  <si>
    <t>Nigariga, P.; Saren, Debasmita; Varma, Rahul; Sugumar, V.</t>
  </si>
  <si>
    <t>Assessment of trace metal bioaccumulation on the shells of edible gastropod Chicoreus ramosus and Hemifusus pugilinus</t>
  </si>
  <si>
    <t>Biomonitoring; Gastropods; Human consumption risk; ICP-MS; Metal pollution</t>
  </si>
  <si>
    <t>HEAVY-METALS; RISK-ASSESSMENT; SOFT-TISSUE; POLLUTION; WATER; CONTAMINATION; ACCUMULATION; CADMIUM; MUSSEL; COPPER</t>
  </si>
  <si>
    <t>The current study aimed to examine how some gastropods absorbed trace metals (Chicoreus ramosus and Hemifusus pugilinus). The existence of 17 elements, including aluminium, arsenic, boron, calcium, cadmium, cobalt, chromium, copper, iron, potassium, lithium, manganese, sodium, nickel, phosphorus, lead, and zinc (Al, As, B, Ca, Cd, Co, Cr, Cu, Fe, K, Li, Mn, Na, Ni, P, Pb, and Zn), was confirmed by inductively coupled plasma-mass spectroscopy (ICP-MS) analysis of trace metals. According to the ICP-MS results, C. ramosus (Al: 1.97 +/- 0.2 mu g/g, Fe: 1.93 +/- 0.2 mu g/g, and As: 1.52 +/- 0.4 mu g/g) and H. pugilinus (Al: 1.85 +/- 0.7 mu g/g, Fe: 1.68 +/- 0.6 mu g/g, and As: 1.37 +/- 0.6 mu g/g) both had significant amounts of aluminium, iron, and arsenic, respectively. Zinc concentrations of 0.58 to 0.7 mu g/g (C. ramosus) and 0.67 to 0.2 mu g/g were recorded (H. pugilinus). The elemental composition of the surface of the sample was confirmed by scanning electron microscopy-energy-dispersive X-ray spectroscopy (SEM-EDX) micrographs, which also showed the degree of trace metal absorption in the chosen gastropod species.</t>
  </si>
  <si>
    <t>[Nigariga, P.; Saren, Debasmita; Varma, Rahul; Sugumar, V.] Alagappa Univ, Dept Oceanog &amp; Coastal Area Studies, Sci Campus, Karaikkudi 630003, Tamil Nadu, India</t>
  </si>
  <si>
    <t>Alagappa University</t>
  </si>
  <si>
    <t>Sugumar, V (corresponding author), Alagappa Univ, Dept Oceanog &amp; Coastal Area Studies, Sci Campus, Karaikkudi 630003, Tamil Nadu, India.</t>
  </si>
  <si>
    <t>crustacealab@gmail.com</t>
  </si>
  <si>
    <t>VASUDEVAN, SUGUMAR/ABD-4184-2020; Varma, Rahul/KFR-8343-2024</t>
  </si>
  <si>
    <t>VASUDEVAN, SUGUMAR/0000-0002-7552-4066; Varma, Rahul/0000-0001-9155-871X; PASUMPON, NIGARIGA/0000-0002-5785-634X</t>
  </si>
  <si>
    <t>10.1007/s10661-023-11130-y</t>
  </si>
  <si>
    <t>F6XQ0</t>
  </si>
  <si>
    <t>WOS:000983758000003</t>
  </si>
  <si>
    <t>Bolognesi, C; Landini, E; Roggieri, P; Fabbri, R; Viarengo, A</t>
  </si>
  <si>
    <t>Genotoxicity biomarkers in the assessment of heavy metal effects in mussels: Experimental studies</t>
  </si>
  <si>
    <t>ENVIRONMENTAL AND MOLECULAR MUTAGENESIS</t>
  </si>
  <si>
    <t>heavy metals; genotoxicity; alkaline elution; micronucleus test; biomarkers; mussel</t>
  </si>
  <si>
    <t>AQUATIC ORGANISMS; MERCURY-COMPOUNDS; MAMMALIAN-CELLS; CADMIUM; DNA; MICRONUCLEI; INDICATORS; RESPONSES; POLLUTION; MOLLUSKS</t>
  </si>
  <si>
    <t>Heavy metals are stable and persistent environmental contaminants. The range of metal concentrations is generally below acute thresholds in coastal areas, where recognition of chronic sublethal effects is more relevant. Evidence of long-term adverse effects, such as cancer, due to heavy metals in marine animals comes from a number of field and experimental studies. The mechanism of metal carcinogenicity remains largely unknown, although several lines of experimental evidence suggest that a genotoxic effect may be involved. The aim of our study was to evaluate the sensitivity of genotoxicity tests, alkaline elution and micronucleus test, as biomarkers for the detection of heavy metals in mussels as the sentinel species. Experimental studies were carried out on Mytilus galloprovincialis exposed in aquarium (5 days) to different concentrations of three selected metal salts, CuCl2 (5, 10, 20, 40, 80 mu g/l/a), CdCl2 (1.84, 18.4, 184 mu g/l/a), and HgCl2 (32 mu g/l/a), and to a mixture of equimolar doses of the three metals to study the results of their ioini action. Metallothionein quantitation was used as a marker of metal exposure. Lysosomal membrane stability was applied to evaluate the influence of physiological status on genotoxic damage. The ranking of genotoxic potential was in decreasing order: Hg &gt; Cu &gt; Cd. Cu and Hg caused an increase of DNA single-strand breaks and micronuclei frequency. Cd induced a statistical increase of DNA damage, but gave negative results with the micronucleus test. A relationship between genotoxic effects and metallothionein content was observed. Reduction in lysosomal membrane stability with the increasing concentration of heavy metals was also evident. Environ. Mol. Mutagen. 33:287-292, 1999 (C) 1999 Wiley-Liss, Inc.</t>
  </si>
  <si>
    <t>Natl Canc Inst, Toxicol Evaluat Unit, I-16132 Genoa, Italy; Univ Genoa, Inst Gen Physiol, Genoa, Italy; Univ Piemonte Orientale, Dept Sci &amp; Adv Technol, Alessandria, Italy</t>
  </si>
  <si>
    <t>University of Genoa; University of Eastern Piedmont Amedeo Avogadro</t>
  </si>
  <si>
    <t>Bolognesi, C (corresponding author), Natl Canc Inst, Toxicol Evaluat Unit, Largo Rosanna Benzi 10, I-16132 Genoa, Italy.</t>
  </si>
  <si>
    <t>Barat, José Manuel/N-6293-2015</t>
  </si>
  <si>
    <t>Bolognesi, Claudia/0000-0002-9684-8406; Viarengo, Aldo/0000-0002-1557-6526</t>
  </si>
  <si>
    <t>WILEY-LISS</t>
  </si>
  <si>
    <t>DIV JOHN WILEY &amp; SONS INC, 605 THIRD AVE, NEW YORK, NY 10158-0012 USA</t>
  </si>
  <si>
    <t>0893-6692</t>
  </si>
  <si>
    <t>ENVIRON MOL MUTAGEN</t>
  </si>
  <si>
    <t>Environ. Mol. Mutagen.</t>
  </si>
  <si>
    <t>10.1002/(SICI)1098-2280(1999)33:4&lt;287::AID-EM5&gt;3.3.CO;2-7</t>
  </si>
  <si>
    <t>Environmental Sciences; Genetics &amp; Heredity; Toxicology</t>
  </si>
  <si>
    <t>Environmental Sciences &amp; Ecology; Genetics &amp; Heredity; Toxicology</t>
  </si>
  <si>
    <t>212ZU</t>
  </si>
  <si>
    <t>WOS:000081248200005</t>
  </si>
  <si>
    <t>Nevado, JJB; Bermejo, LFG; Martín-Dolmeadios, RCR</t>
  </si>
  <si>
    <t>Distribution of mercury in the aquatic environment at Almaden, Spain</t>
  </si>
  <si>
    <t>mercury; Almaden; Spain; water; sediment; bivalves; mine activity</t>
  </si>
  <si>
    <t>LAHONTAN RESERVOIR SYSTEM; CARSON RIVER; NEVADA; CONTAMINATION; AREA; ACCUMULATION; METHYLATION; SPECIATION; SEDIMENTS; RATIO</t>
  </si>
  <si>
    <t>The world's largest mercury mine is placed at Almaden, Spain. However, there is a lack of information about the environmental impact of these mining activities in the ecosystem that surrounds this area. The aim of this article is to document the concentration of mercury in waters, sediments and bivalves of the aquatic system impacted by historic mine wastes. Simultaneously, a comprehensive study has been undertaken to characterise this hydrosystem and to determine the influence of some major physico-chemical parameters on the fate of mercury. Samplings were carried out for the last few years. Concentration of mercury in waters ranged from not detectable to 20 mug/l. For the sediments study, samples have been taken both from contaminated and non-contaminated sites within the basin. The regional background mercury concentration is higher than values typically cited for natural backgrounds. At exposed sites the mercury concentrations between 5 and 1000 mug/g were measured. These values are one to four order of magnitude greater than regional background levels. In the comparison between the results obtained at the present moment and those available for the 1974-1977 period, a general diminution of mercury levels is observed. Mercury concentrations in fresh water bivalves ranged between 1 and 4 mug/g (d.w.), with around 30% as monomethylmercury. In the discussion of the implications for risk assessment data available for other areas affected both for mine activities and mercuriferous belt are included. (C) 2002 Elsevier Science Ltd. All rights reserved.</t>
  </si>
  <si>
    <t>Univ Castilla La Mancha, Fac Ciencias Quim, E-13071 Ciudad Real, Spain; Univ Castilla La Mancha, Fac Ciencias Med Ambiente, Toledo 45071, Spain</t>
  </si>
  <si>
    <t>Universidad de Castilla-La Mancha; Universidad de Castilla-La Mancha</t>
  </si>
  <si>
    <t>Univ Castilla La Mancha, Fac Ciencias Quim, Avda Camilo Jose Cela S-N, E-13071 Ciudad Real, Spain.</t>
  </si>
  <si>
    <t>juanjose.berzas@uclm.es</t>
  </si>
  <si>
    <t>Bermejo, Luisa/H-4403-2015; Rodriguez Martin-Doimeadios, Rosa C./L-3354-2014</t>
  </si>
  <si>
    <t>Rodriguez Martin-Doimeadios, Rosa C./0000-0001-6922-6460</t>
  </si>
  <si>
    <t>PII S0269-7491(02)00290-7</t>
  </si>
  <si>
    <t>10.1016/S0269-7491(02)00290-7</t>
  </si>
  <si>
    <t>648WH</t>
  </si>
  <si>
    <t>WOS:000181173600013</t>
  </si>
  <si>
    <t>Yang, H; Chen, XW; Xiao, CX; Xiong, ZT</t>
  </si>
  <si>
    <t>Yang, Hua; Chen, Xingwang; Xiao, Caixia; Xiong, Zhiting</t>
  </si>
  <si>
    <t>Application of oyster shell powder reduces cadmium accumulation by inhibiting the expression of genes responsible for cadmium uptake and translocation in rice</t>
  </si>
  <si>
    <t>Oyster shell powder; Cadmium; Accumulation; Gene; Rice</t>
  </si>
  <si>
    <t>TO-SHOOT TRANSLOCATION; TRANSPORTER GENES; CD TOLERANCE; HEAVY-METAL; MANGANESE; ZINC; IRON; KEY; OSIRT1; PLANTS</t>
  </si>
  <si>
    <t>The application of waste oyster shell in agriculture is of extensive concern due to its benefits on improving yields and inhibiting cadmium (Cd) accumulation in edible parts of crops. However, the underlying mechanisms responsible for oyster shell powder (OSP) that decreases Cd accumulation in crops remain poorly understood. This study explored the effects of OSP on growth and Cd accumulation in rice via pot experiments and hydroponics. Pot experiments showed that the application of 1 g &amp; BULL;kg(-1) OSP improved rice yields and decreased Cd concentrations in all tissues of rice, especially in grains, which was reduced by 43.5%. The pH was increased and the phytoavailability of Cd in soil was reduced by OSP supplementation. In addition, OSP also exhibited high dissolution of Ca, Fe, Zn, and Se. In hydroponics, OSP supply also suppressed Cd accumulation in rice and increased plant growth. Pretreatment with OSP inhibited the accumulation of Cd in the roots and shoots. Simultaneously, OSP reduced the content of Cd in the root cell sap, cell wall, and xylem sap, and downregulated the expression of OsNramp5, OsNramp1, OsIRT1, and OsHMA2. These findings suggested that the application of OSP could reduce Cd accumulation by inhibiting the expression of genes responsible for Cd absorption and xylem loading in rice.</t>
  </si>
  <si>
    <t>[Yang, Hua; Chen, Xingwang; Xiao, Caixia] Guizhou Normal Univ, Sch Geog &amp; Environm Sci, Guiyang 550025, Peoples R China; [Yang, Hua; Chen, Xingwang; Xiao, Caixia] State Key Lab Incubat Base Karst Mt Ecol Environm, Guiyang 550001, Peoples R China; [Xiong, Zhiting] Wuhan Univ, Sch Resources &amp; Environm Sci, Wuhan 430079, Peoples R China</t>
  </si>
  <si>
    <t>Guizhou Normal University; Wuhan University</t>
  </si>
  <si>
    <t>Xiong, ZT (corresponding author), Wuhan Univ, Sch Resources &amp; Environm Sci, Wuhan 430079, Peoples R China.</t>
  </si>
  <si>
    <t>ztxiong@whu.edu.cn</t>
  </si>
  <si>
    <t>Project for the Growth of Young Scientific and Technological Talents of Guizhou Education Department [KY [2022]165]; Academic New Seedling Fund Project of Guizhou Normal University [Qianshixinmiao[2022]B20]; National Key Research and Development Program of China [2017YFD0801500]</t>
  </si>
  <si>
    <t>Project for the Growth of Young Scientific and Technological Talents of Guizhou Education Department; Academic New Seedling Fund Project of Guizhou Normal University; National Key Research and Development Program of China(National Key Research &amp; Development Program of China)</t>
  </si>
  <si>
    <t>The work was jointly supported by the Project for the Growth of Young Scientific and Technological Talents of Guizhou Education Department (KY [2022]165), the Academic New Seedling Fund Project of Guizhou Normal University (Qianshixinmiao[2022]B20), and the National Key Research and Development Program of China (2017YFD0801500).</t>
  </si>
  <si>
    <t>10.1007/s11356-023-28629-z</t>
  </si>
  <si>
    <t>U7KP0</t>
  </si>
  <si>
    <t>WOS:001040558700002</t>
  </si>
  <si>
    <t>Özden, S; Tunçer, S</t>
  </si>
  <si>
    <t>Ozden, Serkan; Tuncer, Sezginer</t>
  </si>
  <si>
    <t>HEAVY METAL CONCENTRATIONS IN Mytilus galloprovincialis FROM CANAKKALE STRAIT, NW TURKEY</t>
  </si>
  <si>
    <t>Contamination; heavy metals; M. galloprovincialis; Canakkale Strait; Turkey</t>
  </si>
  <si>
    <t>COAST; SEA; POLLUTION</t>
  </si>
  <si>
    <t>Mytilus galloprovincialis, a bioindicator, was collected from the Canakkale Strait to investigate heavy metal concentrations related to contamination. Pb, Cu, Zn and Fe heavy metal concentrations were determined in the mussel at six selected stations, namely Hamzakoy (Station 1), Gelibolu Tersanesi (2), Kilya Koyu (3), Eceabat cam Burnu (4), Kilitbahir (5) and Buyuk Kemikli Burnu (6). These mussel samples were collected six times in 2009, 2010, 20122013 during winter, spring, summer and autumn seasons. Zinc (19.15 mu g/g) is at the highest level in spring 2010 and Pb (0.05 mu g/g) has the lowest in winter 2010. While maximum values of the heavy metal concentrations are observed at Station 2, the minimum values are from Station 6. All stations are associated with mean seasonal values: Station 2&gt; Station 3 &gt; Station 4&gt; Station 5 &gt; Station 1 &gt; Station 6. There were significant differences between heavy metal concentrations among the first four seasons (p&lt;0.05). Values determined as seasonal averages (Fe &gt; Zn &gt; Cu &gt; Pb) have been discussed, based on Anonymous, FAO, WHO/FAO, EPA, TME data and previous studies in the region, within the limits of the northern Aegean and southern Marmara Sea. In conclusion, it is suggested that these heavy metal levels do not pose an environmental risk in Canakkale Strait.</t>
  </si>
  <si>
    <t>[Ozden, Serkan] Canakkale Onsekiz Mart Univ, Dept Environm Engn, Fac Engn, TR-17100 Canakkale, Turkey; [Tuncer, Sezginer] Canakkale Onsekiz Mart Univ, Fac Marine Sci &amp; Technol, TR-17100 Canakkale, Turkey</t>
  </si>
  <si>
    <t>Özden, S (corresponding author), Canakkale Onsekiz Mart Univ, Dept Environm Engn, Fac Engn, TR-17100 Canakkale, Turkey.</t>
  </si>
  <si>
    <t>sozden@comu.edu.tr</t>
  </si>
  <si>
    <t>COMU-BAP [2009/145]</t>
  </si>
  <si>
    <t>COMU-BAP(Canakkale Onsekiz Mart University)</t>
  </si>
  <si>
    <t>This study forms part of a COMU Arts and Science Institute doctoral thesis. It was also supported by COMU-BAP project number 2009/145. Catherine Yigit is thanked for her contribution to the English of the manuscript.</t>
  </si>
  <si>
    <t>CT8NB</t>
  </si>
  <si>
    <t>WOS:000363072200004</t>
  </si>
  <si>
    <t>Gallo, A; Silvestre, F; Cuomo, A; Papoff, F; Tosti, E</t>
  </si>
  <si>
    <t>Gallo, Alessandra; Silvestre, Francesco; Cuomo, Annunziata; Papoff, Fabrizia; Tosti, Elisabetta</t>
  </si>
  <si>
    <t>The impact of metals on the reproductive mechanisms of the ascidian Ciona intestinalis</t>
  </si>
  <si>
    <t>MARINE ECOLOGY-AN EVOLUTIONARY PERSPECTIVE</t>
  </si>
  <si>
    <t>Ascidians; ion currents; metals; reproduction</t>
  </si>
  <si>
    <t>EARLY DEVELOPMENTAL-STAGES; SEA-URCHIN; FERTILIZATION CURRENT; MARINE-INVERTEBRATES; HEAVY-METALS; PHALLUSIA-MAMMILLATA; RUDITAPES-DECUSSATUS; SODIUM-CHANNELS; CELL-MEMBRANES; CURRENTS</t>
  </si>
  <si>
    <t>Environmental pollution due to anthropogenic activities may exert an adverse impact on the reproductive mechanisms of animals. In particular, environmental chemicals introduced into seawater are able to disrupt the normal development and function of the reproductive system of marine animals. In this study, we have used the whole-cell voltage clamp technique to examine the effects of four metals - lead, cadmium, mercury, and zinc - on reproductive mechanisms of the marine ascidian Ciona intestinalis (tunicates). In particular, we measured the effect of metals on plasma membrane electrical properties, the steady-state conductance, the fertilization current in the mature oocyte, and larval development. Results show that oocyte voltage-gated sodium currents are significantly reduced by all four metals, steady-state conductance is affected only by zinc, and post-fertilization contraction is inhibited only by lead. The fertilization current is suppressed in the presence of zinc and mercury. Embryo development up to larval stage is inhibited by zinc and mercury exposure with a reversible effect; however, a long-term effect on larval morphology was observed. After exposure to cadmium, fertilization occurs but gives rise to abnormal larval development. These findings highlight the point that exposure to metals represents a significant risk factor for the physiology of reproduction of marine species and suggest a possible role of the C. intestinalis as a bioindicator for marine pollution monitoring.</t>
  </si>
  <si>
    <t>[Gallo, Alessandra; Silvestre, Francesco; Cuomo, Annunziata; Papoff, Fabrizia; Tosti, Elisabetta] Stn Zool Anton Dohrn, Anim Physiol &amp; Evolut Lab, I-80121 Naples, Italy</t>
  </si>
  <si>
    <t>Stazione Zoologica Anton Dohrn di Napoli</t>
  </si>
  <si>
    <t>Tosti, E (corresponding author), Stn Zool Anton Dohrn, Anim Physiol &amp; Evolut Lab, I-80121 Naples, Italy.</t>
  </si>
  <si>
    <t>tosti@szn.it</t>
  </si>
  <si>
    <t>Gallo, Alessandra/AAA-3132-2022</t>
  </si>
  <si>
    <t>Gallo, Alessandra/0000-0002-2558-4722</t>
  </si>
  <si>
    <t>0173-9565</t>
  </si>
  <si>
    <t>MAR ECOL-EVOL PERSP</t>
  </si>
  <si>
    <t>Mar. Ecol.-Evol. Persp.</t>
  </si>
  <si>
    <t>10.1111/j.1439-0485.2011.00433.x</t>
  </si>
  <si>
    <t>752XM</t>
  </si>
  <si>
    <t>WOS:000289728800009</t>
  </si>
  <si>
    <t>Karthikeyan, P; Marigoudar, SR; Mohan, D; Sharma, KV; Murthy, MVR</t>
  </si>
  <si>
    <t>Karthikeyan, Panneerselvam; Marigoudar, Shambanagouda. R.; Mohan, Dhandapani; Sharma, Krishna Venkatarama; Murthy, M. V. Ramana</t>
  </si>
  <si>
    <t>Prescribing sea water quality criteria for arsenic, cadmium and lead through species sensitivity distribution</t>
  </si>
  <si>
    <t>SSD; Metals; Toxicity; Sea water quality criteria; Marine pollution</t>
  </si>
  <si>
    <t>HEAVY-METALS; TRACE-METALS; MARINE-PHYTOPLANKTON; MACROBRACHIUM-ROSENBERGII; SOUTHEAST COAST; TOXICITY; MUSSEL; RISK; ZN; POLLUTION</t>
  </si>
  <si>
    <t>Water quality standards are essential for regulation of contaminants in marine environment. Seawater quality criteria (SWQC) for arsenic (As), cadmium (Cd) and lead (Pb) have not been developed for India. The aim of this study is to derive the SWQC for the metals based on Species Sensitivity Distribution (SSD). Eight species of sensitive marine organisms belonging to five phyla were assessed for their sensitivity to toxicity of As, Cd and Pb. Median effective concentrations (EC50) and Median Lethal Concentrations (LC50) were derived from the acute toxicity bio-assays. No Observed Effect Concentrations (NOEC), Lowest Observed Effect Concentrations (LOEC) and chronic values were derived from chronic toxicity bio-assays. Diatoms were more sensitive to As with 96 h EC50 of 0.1 mg/l and copepods were more sensitive to Cd and Pb with 96 h EC50 of 0.019 mg/l and 0.05 mg/l respectively. Estimated NOECs ranged from 4.87 to 21.55 mu g/l of As, 1.0 to 120 mu g/l of Cd and 5.67 to 91.67 mu g/l of Pb. Similarly, chronic values (mu g/l) were in the range of 6.71-26.1, 1.38-170, and 7.67-91.67 of As, Cd and Pb respectively. The Criterion Maximum Concentration (CMC), Criterion Continuous Concentration (CCC) and Predicted No Effect Concentration (PNEC) values were prescribed as SWQC. The CMC (mu g/l) of 19, 1.7 and 17 for As, Cd, and Pb were derived respectively for acute exposure during accidental marine outfalls. The CCC (mu g/l) for As was 4.6, 1.1 for Cd and 5.9 for Pb are recommended as SWQC for protection of 95% of marine organisms. PNEC (mu g/l) of 3.8 for As, 0.92 for Cd and 4.3 for Pb are suggested for highly disturbed ecosystems, shell fishing and mariculture uses of water bodies. These values are recommended as a baseline for site specific water quality criteria for the coastal waters of the country.</t>
  </si>
  <si>
    <t>[Karthikeyan, Panneerselvam; Marigoudar, Shambanagouda. R.; Mohan, Dhandapani; Sharma, Krishna Venkatarama; Murthy, M. V. Ramana] Govt India, Minist Earth Sci, Natl Ctr Coastal Res NCCR, NIOT Campus, Chennai 600100, Tamil Nadu, India</t>
  </si>
  <si>
    <t>Ministry of Earth Sciences (MoES) - India; National Institute of Ocean Technology (NIOT); National Centre for Coastal Research (NCCR)</t>
  </si>
  <si>
    <t>Marigoudar, SR (corresponding author), Govt India, Minist Earth Sci, Natl Ctr Coastal Res NCCR, NIOT Campus, Chennai 600100, Tamil Nadu, India.</t>
  </si>
  <si>
    <t>srmarigoudar@nccr.gov.in</t>
  </si>
  <si>
    <t>K, Karthikeyan/ABA-3159-2021</t>
  </si>
  <si>
    <t>Panneerselvam, Karthikeyan/0000-0002-8471-6844</t>
  </si>
  <si>
    <t>Ministry of Earth Sciences, Govt. of India [MoES/EFC/28/2018-PC-II]</t>
  </si>
  <si>
    <t>Ministry of Earth Sciences, Govt. of India</t>
  </si>
  <si>
    <t>Authors are thankful to the Ministry of Earth Sciences, Govt. of India for implementing the Marine Ecotoxicology and Ecological Risk Assessment (MEERA) Programme [MoES/EFC/28/2018-PC-II dated 12/11/2018] at National Centre for Coastal Research (NCCR), Chennai.</t>
  </si>
  <si>
    <t>10.1016/j.ecoenv.2020.111612</t>
  </si>
  <si>
    <t>PO9HN</t>
  </si>
  <si>
    <t>WOS:000605479900008</t>
  </si>
  <si>
    <t>Cao, RW; Liu, YL; Wang, Q; Zhang, QQ; Yang, DL; Liu, H; Qu, Y; Zhao, JM</t>
  </si>
  <si>
    <t>Cao, Ruiwen; Liu, Yongliang; Wang, Qing; Zhang, Qianqian; Yang, Dinglong; Liu, Hui; Qu, Yi; Zhao, Jianmin</t>
  </si>
  <si>
    <t>The impact of ocean acidification and cadmium on the immune responses of Pacific oyster, Crassostrea gigas</t>
  </si>
  <si>
    <t>Ocean acidification; Cadmium; Crassostrea gigas; Immune response</t>
  </si>
  <si>
    <t>SOLUBLE ADENYLYL-CYCLASE; TOXICITY; APOPTOSIS; SEAWATER; STRESS; WATER; IMMUNOMODULATION; PERSPECTIVE; POLLUTION; PATHWAY</t>
  </si>
  <si>
    <t>Seawater acidification (OA) and cadmium (Cd) has the potential to lead to immunosuppression effect on marine bivalves. However, the interaction between these two environmental stressors on immune system of marine bivalves has received limited attention. In order to evaluate the defense responses of oysters under the combined exposure to OA and cadmium, the oysters Crassostrea gigas were exposed to 10 mu g/L Cd at three pH levels (8.1, 7.8 and 7.6) for 31 days. Results showed that OA exposure alone led to increased DNA damage, apoptosis rate and ROS production of hemocytes. However, inhibited phagocytosis rate, combined with increased DNA damage, apoptosis rate and ROS production of hemocytes were observed in oysters under exposure to Cd exposure alone or combined with OA. Significant interactive effects between OA and Cd were observed on ROS production and DNA damage of hemocytes. In addition, there is generally significant increase in the mRNA expression of genes related to immune-related TLR pathway and two immune factors (TNF and integrin beta-1B) in Cd-exposed oysters at pH 7.6. The results revealed that even though the mRNA expression of genes related to immune responses (TLR pathway and immune factors) was stimulated to counteract the immunosuppression caused by acidified seawater and Cd, depressed hemocyte function perhaps sensitized oysters to potential pathogen infection.</t>
  </si>
  <si>
    <t>[Cao, Ruiwen; Liu, Yongliang; Wang, Qing; Zhang, Qianqian; Yang, Dinglong; Liu, Hui; Qu, Yi; Zhao, Jianmin] Yantai Inst Coastal Zone Res, Muping Coastal Environm Res Stn, Yantai 264117, Shandong, Peoples R China; [Cao, Ruiwen; Wang, Qing; Zhang, Qianqian; Yang, Dinglong; Liu, Hui; Qu, Yi] Chinese Acad Sci, Yantai Inst Coastal Zone Res, Res &amp; Dev Ctr Efficient Utilizat Coastal Bioresou, Yantai 264003, Shandong, Peoples R China; [Cao, Ruiwen; Qu, Yi] Univ Chinese Acad Sci, Beijing 100049, Peoples R China</t>
  </si>
  <si>
    <t>Zhao, JM (corresponding author), Yantai Inst Coastal Zone Res, Muping Coastal Environm Res Stn, Yantai 264117, Shandong, Peoples R China.;Zhang, QQ (corresponding author), Chinese Acad Sci, Yantai Inst Coastal Zone Res, Res &amp; Dev Ctr Efficient Utilizat Coastal Bioresou, Yantai 264003, Shandong, Peoples R China.</t>
  </si>
  <si>
    <t>qqzhang@yic.ac.cn; jmzhao@yic.ac.cn</t>
  </si>
  <si>
    <t>Wang, Qing/O-1991-2013; Zhang, Qianqian/HHZ-6216-2022</t>
  </si>
  <si>
    <t>Chinese Academy of Sciences [XDA11020305, KZZDEW-14, YJKYYQ20170071]; National Natural Science Foundation of China [31172388]; Science and Technology Service Network Initiative (STS) Project [KFJ-STS-ZDTP-023]; Youth Innovation Promotion Association, CAS [2016196]</t>
  </si>
  <si>
    <t>Chinese Academy of Sciences(Chinese Academy of Sciences); National Natural Science Foundation of China(National Natural Science Foundation of China (NSFC)); Science and Technology Service Network Initiative (STS) Project; Youth Innovation Promotion Association, CAS</t>
  </si>
  <si>
    <t>This research was supported by grants from the Strategic Priority Research Program of the Chinese Academy of Sciences (XDA11020305), National Natural Science Foundation of China (No. 31172388), Key Research Program of the Chinese Academy of Sciences (Grant No. KZZDEW-14), Science and Technology Service Network Initiative (STS) Project (No. KFJ-STS-ZDTP-023), the Instrument Developing Project of the Chinese Academy of Sciences (YJKYYQ20170071) and the Youth Innovation Promotion Association, CAS (2016196).</t>
  </si>
  <si>
    <t>10.1016/j.fsi.2018.07.055</t>
  </si>
  <si>
    <t>GS4ZH</t>
  </si>
  <si>
    <t>WOS:000443665900054</t>
  </si>
  <si>
    <t>Bain, PA; Gaylard, S; Zariff, R; Bansemer, M; Pahl, S; Lewis, C</t>
  </si>
  <si>
    <t>Bain, Peter A.; Gaylard, Sam; Zariff, Razia; Bansemer, Matthew; Pahl, Stephen; Lewis, Carolyn</t>
  </si>
  <si>
    <t>Metal concentrations in fish, crabs, and bivalve molluscs from marine waters adjacent to a multi-metals smelter and refinery</t>
  </si>
  <si>
    <t>Industrial pollution; Metals; Marine biota; Port Pirie</t>
  </si>
  <si>
    <t>MUSSELS MYTILUS-EDULIS; LEAD SMELTER; TROPHIC TRANSFER; SPENCER GULF; TRACE-METALS; PORTUNUS-PELAGICUS; LAKE MACQUARIE; HEAVY-METALS; BLUE MUSSELS; BLOOD-LEAD</t>
  </si>
  <si>
    <t>Metal concentrations were determined in tissues of finfish, crabs, and bivalve molluscs collected from marine waters near Port Pirie, South Australia, the site of a long-standing multi-metals smelter and refinery. A general trend of tissue metal concentrations in order of highest to lowest was observed in bivalves &gt; crabs &gt; finfish. A lead concentration of 158 +/- 6.6 mg/kg (wet wt.) was observed in blue mussels (Mytilus galloprovincialis) sampled close to the smelter. Lead concentrations correlated positively with proximity to the smelter in all biota analysed. Similar relationships were observed for cadmium, copper, zinc and selenium in all biota except razorfish (Pinna bicolor; Bivalvia: Pinnidae), which showed no correlation with proximity to the smelter for these metals. Inorganic arsenic concentrations were below the limit of reporting in the majority of the analysed samples, however inorganic arsenic concentrations in blue swimmer crabs (Portunus armatus) and blue mussels correlated with proximity to the smelter. Mercury concentrations in the biota analysed were generally low and showed variable relationships with proximity to the smelter, with no significant correlation observed in finfish and razorfish, a significant positive correlation in blue mussels, and a significant negative correlation in blue swimmer crabs. This is the first major study of metal concentrations in recreationally-targeted marine species near Port Pirie species for more than two decades. Comparison with data from previous studies conducted shows little change in tissue metal concentrations in marine biota near Port Pirie over the past 40 years.</t>
  </si>
  <si>
    <t>[Bain, Peter A.; Zariff, Razia; Lewis, Carolyn] Dept Hlth &amp; Wellbeing, Sci Serv Branch, Hlth Protect &amp; Regulat, 11 Hindmarsh Sq, Adelaide, SA 5000, Australia; [Gaylard, Sam] Environm Protect Author, Environm Sci Branch, Sci &amp; Syst Directorate, 211 Victoria Sq, Adelaide, SA 5000, Australia; [Bansemer, Matthew] Fisheries &amp; Aquaculture, Dept Primary Ind &amp; Reg, 2 Hamra Ave, West Beach, SA 5024, Australia; [Pahl, Stephen] South Australian Res &amp; Dev Inst, Dept Primary Ind &amp; Reg, Food Sci, 2B Hartley Grove, Urrbrae, SA 5064, Australia</t>
  </si>
  <si>
    <t>South Australian Research &amp; Development Institute (SARDI)</t>
  </si>
  <si>
    <t>Bain, PA (corresponding author), Dept Hlth &amp; Wellbeing, Sci Serv Branch, Hlth Protect &amp; Regulat, 11 Hindmarsh Sq, Adelaide, SA 5000, Australia.</t>
  </si>
  <si>
    <t>Peter.Bain@sa.gov.au</t>
  </si>
  <si>
    <t>Pahl, Stephen/LFU-8068-2024</t>
  </si>
  <si>
    <t>Gaylard, Sam/0000-0003-2054-8594</t>
  </si>
  <si>
    <t>Government of South Australia</t>
  </si>
  <si>
    <t>This research was funded by the Government of South Australia and did not receive any specific grants from Funding agencies in the public, commercial, or not-for-profit sectors.</t>
  </si>
  <si>
    <t>10.1016/j.marpolbul.2024.116783</t>
  </si>
  <si>
    <t>JUL 2024</t>
  </si>
  <si>
    <t>C0N7X</t>
  </si>
  <si>
    <t>WOS:001286421600001</t>
  </si>
  <si>
    <t>Fang, Y; Yang, HS; Liu, BZ</t>
  </si>
  <si>
    <t>Fang, Yan; Yang, Hongsheng; Liu, Baozhong</t>
  </si>
  <si>
    <t>Tissue-specific response of metallothionein and superoxide dismutase in the clam Mactra veneriformis under sublethal mercury exposure</t>
  </si>
  <si>
    <t>Metallothionein; Superoxide dismutase; Mercury; mRNA expression; Mactra veneriformis</t>
  </si>
  <si>
    <t>MESSENGER-RNA EXPRESSION; LIPID-PEROXIDATION; MYTILUS-GALLOPROVINCIALIS; DIFFERENTIAL EXPRESSION; CRASSOSTREA-GIGAS; QUANTITATIVE PCR; DIGESTIVE GLAND; COASTAL SITES; HEAVY-METALS; CADMIUM</t>
  </si>
  <si>
    <t>To identify the relationship between mercury (Hg) and stress responses in the clam Mactra veneriformis, metallothionein (MT) and superoxide dismutase (SOD) mRNA expression in the digestive gland, gill, and mantle as well as MT protein content and SOD activity in the digestive gland were examined under sublethal Hg exposure at doses of 10, 20, and 40 mu g/L for 21 days. The ranking of the tissues in decreasing order of their basal MvMT and MvSOD mRNA expression is as follows: digestive gland &gt; mantle &gt; gill &gt; adductor muscle &gt; foot and digestive gland &gt; mantle &gt; gill &gt; foot &gt; adductor muscle, respectively. Hg exposure significantly elevated MvMT and MvSOD mRNA transcripts in the digestive gland, gill, and mantle in a tissue-specific way. In the digestive gland, a dose-dependent increase of MvMT and MvSOD mRNA expression, stimulation of MT protein, and alteration of SOD activity were observed under Hg stress. MT protein responded later than MT mRNA to Hg exposure and no clear relationship was found between them, indicating the occurrence of posttranscriptional events. All of the results suggest that MT and SOD cooperate in resisting Hg toxicity and maintaining cellular metabolic homeostasis in M. veneriformis. MT and SOD mRNA expressions have great potential as biomarkers of Hg pollution in the aquatic environment for the studied species.</t>
  </si>
  <si>
    <t>[Fang, Yan; Yang, Hongsheng; Liu, Baozhong] Chinese Acad Sci, Key Lab Marine Ecol &amp; Environm Sci, Inst Oceanol, Qingdao 266071, Shandong, Peoples R China; [Fang, Yan] Grad Univ, Chinese Acad Sci, Beijing 100049, Peoples R China</t>
  </si>
  <si>
    <t>Chinese Academy of Sciences; Institute of Oceanology, CAS; Chinese Academy of Sciences; University of Chinese Academy of Sciences, CAS</t>
  </si>
  <si>
    <t>Yang, HS (corresponding author), Chinese Acad Sci, Key Lab Marine Ecol &amp; Environm Sci, Inst Oceanol, Nanhai Rd 7, Qingdao 266071, Shandong, Peoples R China.</t>
  </si>
  <si>
    <t>hshyang@126.com</t>
  </si>
  <si>
    <t>Liu, Baozhong/0000-0002-6090-4867</t>
  </si>
  <si>
    <t>National Natural Science Foundation of China [40821004/3067991]; National Key Foundational Research Project of China [2007CB407305]; National Marine Public Welfare Research Project [200805069]; National Agricultural Public Welfare Research Project [nyhyzx07-047]</t>
  </si>
  <si>
    <t>National Natural Science Foundation of China(National Natural Science Foundation of China (NSFC)); National Key Foundational Research Project of China(National Basic Research Program of China); National Marine Public Welfare Research Project; National Agricultural Public Welfare Research Project</t>
  </si>
  <si>
    <t>This research was supported by the National Natural Science Foundation of China (No. 40821004/3067991), the National Key Foundational Research Project of China (No. 2007CB407305), the National Marine Public Welfare Research Project (No. 200805069) and the National Agricultural Public Welfare Research Project (No. nyhyzx07-047).</t>
  </si>
  <si>
    <t>10.1007/s10646-012-0938-8</t>
  </si>
  <si>
    <t>976NR</t>
  </si>
  <si>
    <t>WOS:000306592100003</t>
  </si>
  <si>
    <t>Cantú-Medellin, N; Olguín-Monroy, NO; Méndez-Rodríguez, LC; Zenteno-Savín, T</t>
  </si>
  <si>
    <t>Cantu-Medellin, Nadiezhda; Olguin-Monroy, Norma O.; Mendez-Rodriguez, Lia C.; Zenteno-Savin, Tania</t>
  </si>
  <si>
    <t>Antioxidant Enzymes and Heavy Metal Levels in Tissues of the Black Chocolate Clam Megapitaria squalida in Bahia de La Paz, Mexico</t>
  </si>
  <si>
    <t>OXIDATIVE STRESS; BAJA-CALIFORNIA; ELLIPTIO-COMPLANATA; DIGESTIVE GLAND; TRACE-METALS; SITES; BIOMARKER; DEFENSES; MUSSELS; COAST</t>
  </si>
  <si>
    <t>The black chocolate clam Megapitaria squalida is a commercially important bivalve along the Pacific coast of Mexico and is used as a bioindicator in environmental health studies. Previous studies of Bahia de La Paz indicated significant differences in heavy metal content among localities in this clam. To identify areas affected by heavy metal pollution, lipid peroxidation (TBARS) levels and activity of superoxide dismutase (SOD) and glutathione S-transferase (GST) were measured in muscle, gonad, and digestive gland tissue and correlated with heavy metal levels of clams from six localities along the shore of the bay. Significant differences in TBARS levels and antioxidant enzyme activity were found among these tissues at all localities. Such differences are ascribed to the physiology of each organ. Higher levels of TBARS were found in areas with higher cadmium content. SOD activity in muscle correlated positively with cadmium, lead, and iron in areas with a higher content of those elements. This study suggests that TBARS levels and SOD and GST activity are affected by biotic and abiotic factors and have potential as indicators of heavy metal contamination.</t>
  </si>
  <si>
    <t>[Cantu-Medellin, Nadiezhda; Olguin-Monroy, Norma O.; Mendez-Rodriguez, Lia C.; Zenteno-Savin, Tania] Ctr Invest Biol Noroeste SC CIBNOR, Programa Planeac Ambiental &amp; Conservac, La Paz 23090, Baja California, Mexico</t>
  </si>
  <si>
    <t>CIBNOR - Centro de Investigaciones Biologicas del Noroeste</t>
  </si>
  <si>
    <t>Zenteno-Savín, T (corresponding author), Ctr Invest Biol Noroeste SC CIBNOR, Programa Planeac Ambiental &amp; Conservac, Mar Bermejo 195,Col Playa Palo Santa Rita, La Paz 23090, Baja California, Mexico.</t>
  </si>
  <si>
    <t>tzenteno04@cibnor.mx</t>
  </si>
  <si>
    <t>Mendez, Lia/AAF-2271-2020</t>
  </si>
  <si>
    <t>Mendez-Rodriguez, Lia/0000-0002-4356-1305; Zenteno-Savin, Tania/0000-0002-4080-9467</t>
  </si>
  <si>
    <t>CIBNOR [PC2.0, PC2.5]; CONACYT [206397]</t>
  </si>
  <si>
    <t>CIBNOR; CONACYT(Consejo Nacional de Ciencia y Tecnologia (CONACyT))</t>
  </si>
  <si>
    <t>This research was funded by grants from CIBNOR (PC2.0, PC2.5). N.C.M. is the recipient of a CONACYT scholarship (206397). O.Lugo Lugo and B. Acosta helped in sample extraction and analyses. G. Ramos-Vasconcelos, D. Prado, O.V. urtado-Filho, and Dr. M. Hermes-Lima (UBr) provided instruction and advice on analytic techniques.</t>
  </si>
  <si>
    <t>1432-0703</t>
  </si>
  <si>
    <t>10.1007/s00244-008-9156-z</t>
  </si>
  <si>
    <t>387GA</t>
  </si>
  <si>
    <t>WOS:000261938500007</t>
  </si>
  <si>
    <t>Jo, S; Shin, C; Shin, Y; Kim, PH; Park, JI; Kim, M; Park, B; So, JS</t>
  </si>
  <si>
    <t>Jo, SeongBeen; Shin, ChangHyeon; Shin, YuJin; Kim, Poong Ho; Park, Jin Il; Kim, Minju; Park, Bomi; So, Jae-Seong</t>
  </si>
  <si>
    <t>Heavy metal and antibiotic co-resistance in Vibrio parahaemolyticus isolated from shellfish</t>
  </si>
  <si>
    <t>Vibrio parahaemolyticus; Heavy metal resistance; Antibiotic resistance; Co-resistance</t>
  </si>
  <si>
    <t>ANTIMICROBIAL SUSCEPTIBILITY; OYSTERS; RESISTANCE; PREVALENCE; VULNIFICUS</t>
  </si>
  <si>
    <t>Vibrio parahaemolyticus is a major gastroenteritis-causing pathogen in Korea. Recent studies have reported that heavy metal and antimicrobial resistance in bacteria are related. In this study, we investigated heavy metal and antimicrobial resistance in wild strains of V. parahaemolyticus. First, we isolated and characterized 38 V. parahaemolyticus strains (toxR-positive) from shellfish collected from the West Sea of Korea between May and November 2018. Antibiotic and heavy metal resistance in the 38 strains were tested by disk diffusion assay and broth dilution assay, respectively. Then, we selected seven strains that showed resistance to cobalt (Co2+) and copper (Cu2+), to examine the relationship between heavy metal resistance and antimicrobial resistance. After heavy metal (Co2+ and Cu2+) pretreatment, the seven strains exhibited increased resistance to kanamycin, streptomycin, tetracycline, and gentamycin. Likewise, antimicrobial pretreatment resulted in increased heavy metal tolerance.</t>
  </si>
  <si>
    <t>[Jo, SeongBeen; Shin, ChangHyeon; Shin, YuJin; So, Jae-Seong] Inha Univ, Dept Biol Engn, 100 Inha Ro, Incheon 22212, South Korea; [Kim, Poong Ho; Park, Jin Il; Kim, Minju; Park, Bomi] Natl Inst Fisheries Sci NIFS, West Sea Fisheries Res Inst, Incheon, South Korea</t>
  </si>
  <si>
    <t>Inha University; National Institute of Fisheries Science</t>
  </si>
  <si>
    <t>So, JS (corresponding author), Inha Univ, Dept Biol Engn, 100 Inha Ro, Incheon 22212, South Korea.</t>
  </si>
  <si>
    <t>sjaeseon@inha.ac.kr</t>
  </si>
  <si>
    <t>INHA UNIVERSITY RESEARCH grant; National Institute of Fisheries Science in Korea [R2020052]</t>
  </si>
  <si>
    <t>INHA UNIVERSITY RESEARCH grant; National Institute of Fisheries Science in Korea</t>
  </si>
  <si>
    <t>This work was supported by INHA UNIVERSITY RESEARCH grant and a grant from the National Institute of Fisheries Science in Korea (R2020052).</t>
  </si>
  <si>
    <t>10.1016/j.marpolbul.2020.111246</t>
  </si>
  <si>
    <t>LW5AS</t>
  </si>
  <si>
    <t>WOS:000539160000027</t>
  </si>
  <si>
    <t>Zhou, L; Li, MN; Zhong, ZS; Chen, H; Wang, XC; Wang, MX; Xu, Z; Cao, L; Lian, C; Zhang, H; Wang, H; Sun, Y; Li, CL</t>
  </si>
  <si>
    <t>Zhou, Li; Li, Mengna; Zhong, Zhaoshan; Chen, Hao; Wang, Xiaocheng; Wang, Minxiao; Xu, Zheng; Cao, Lei; Lian, Chao; Zhang, Huan; Wang, Hao; Sun, Yan; Li, Chaolun</t>
  </si>
  <si>
    <t>Biochemical and metabolic responses of the deep-sea mussel Bathymodiolus platifrons to cadmium and copper exposure</t>
  </si>
  <si>
    <t>Metal; Metabolomics; Mytilidae; Deep-sea; Antioxidant enzymes; Physiological stress; Environment monitor; Toxicology</t>
  </si>
  <si>
    <t>DIFFERENT PURIFICATION PROCEDURES; ALKALINE-PHOSPHATASE ACTIVITY; CENTRAL-NERVOUS-SYSTEM; HYDROTHERMAL VENT; MYTILUS-GALLOPROVINCIALIS; OXIDATIVE STRESS; ANTIOXIDANT RESPONSES; LIPID-PEROXIDATION; IMMUNE-RESPONSES; METAL POLLUTION</t>
  </si>
  <si>
    <t>Greater interest in commercial deep-sea mining has been accompanied by mounting environmental concerns, including metal contamination resulting from mining activities. However, little is known about the toxic effects of metal exposure on deep-sea life. Given its ability to accumulate metals from the surrounding environment, its wide distribution at both vents and seeps, and its high abundance, the deep-sea mussel Bathymodiolus platifrons could serve as an ideal model to investigate the toxicological responses of deep-sea organisms to metal exposure. Here, we evaluated metal accumulation, traditional metal-related biomarkers, namely acid phosphatase (ACP), alkaline phosphatase (AKP), superoxide dismutase, catalase, reduced glutathione, metallothioneins, and malondialdehyde, as well as metabolic profiles in the gills of B. platifrons after a 7-day exposure to copper (100 mu g/L), cadmium (500 mu g/L), or copper-plus-cadmium treatments (100 mu g/L Cu and 500 mu g/L Cd). Metal exposure concentrations selected in this study can be found in deep-sea hydrothermal environments. Metal exposure resulted in significant metal accumulation in the gills of the mussel, indicating that B. platifrons has promise for use as an indicator of deep-sea metal pollution levels. Traditional biomarkers (AKP, ACP, and measured antioxidants) revealed cellular injury and oxidative stress in mussels following metal exposure. Metabolic responses in the three treatment groups indicated that metal exposure perturbed osmoregulation, energy metabolism, and nucleotide metabolism in mussels, in a response marked by differentially altered levels of amino acids, hypotaurine, betaine, succinate, glucose 6-phosphate, fructose 6-phosphate, guanosine, guanosine 5 '-monophosphate, and inosine. Nevertheless, several uniquely altered metabolites were found in each treatment exposure group, suggesting dissimilar modes of toxicity between the two metal types. In the Cd-exposed group, the monosaccharide D-allose, which is involved in suppressing mitochondrial ROS production, was downregulated, a response consistent with oxidative stress in Cd-exposed B. platifrons. In the Cu-exposed group, the detected alterations in dopamine, dopamine-related, and serotonin-related metabolites together suggest disturbed neurotransmission in Cu-exposed B. platifrons. In the Cu-plus-Cd group, we detected a decline in fatty acid levels, implying that exposure to both metals jointly exerted a negative influence on the physiological functioning of the mussel. To the best of our knowledge, this is the first study to investigate changes in metabolite profiles in Bathymodiolus mussels exposed to metal. The findings reported here advance our understanding of the adverse impact of metal exposure on deep-sea life and can inform deep-sea mining assessments through the use of multiple biomarkers.</t>
  </si>
  <si>
    <t>[Zhou, Li; Li, Mengna; Zhong, Zhaoshan; Chen, Hao; Xu, Zheng; Cao, Lei; Lian, Chao; Zhang, Huan; Wang, Hao; Li, Chaolun] Chinese Acad Sci, Ctr Deep Sea Res, Inst Oceanol, Qingdao 266071, Peoples R China; [Li, Chaolun] Qingdao Natl Lab Marine Sci &amp; Technol, Lab Marine Ecol &amp; Environm Sci, Qingdao 266071, Peoples R China; [Li, Mengna; Wang, Minxiao; Xu, Zheng; Sun, Yan; Li, Chaolun] Chinese Acad Sci, Inst Oceanol, CAS Key Lab Marine Ecol &amp; Environm Sci, Qingdao 266071, Peoples R China; [Zhou, Li; Zhong, Zhaoshan; Chen, Hao; Wang, Minxiao; Cao, Lei; Lian, Chao; Zhang, Huan; Wang, Hao; Sun, Yan; Li, Chaolun] Chinese Acad Sci, Ctr Ocean Megasci, Qingdao 266071, Peoples R China; [Li, Mengna; Xu, Zheng; Li, Chaolun] Univ Chinese Acad Sci, Beijing 10049, Peoples R China; [Wang, Xiaocheng] Natl Marine Environm Monitoring Ctr, Dalian 116023, Peoples R China</t>
  </si>
  <si>
    <t>Chinese Academy of Sciences; Institute of Oceanology, CAS; Laoshan Laboratory; Chinese Academy of Sciences; Institute of Oceanology, CAS; Chinese Academy of Sciences; Chinese Academy of Sciences; University of Chinese Academy of Sciences, CAS; National Marine Environmental Monitoring Center</t>
  </si>
  <si>
    <t>Li, CL (corresponding author), Chinese Acad Sci, Inst Oceanol, 7 Nanhai Rd, Qingdao 266071, Peoples R China.</t>
  </si>
  <si>
    <t>lcl@qdio.ac.cn</t>
  </si>
  <si>
    <t>zhan, zhaoyang/ABB-2208-2020; Li, Chao/GSM-8117-2022; Sun, Yan/D-2657-2017</t>
  </si>
  <si>
    <t>Li, Chaolun/0000-0003-1890-0587; Minxiao, Wang/0000-0002-6567-3295; zhong, zhao shan/0000-0003-1643-5407</t>
  </si>
  <si>
    <t>National Natural Science Foundation of China [41906103, 42030407]; Strategic Priority Research Program of the Chinese Academy of Sciences [XDB42020401, XDA22050303]; Key Research Program of Frontier Sciences, CAS [ZDBS-LY-DQC032]; Open Research Project of National Major Science &amp; Technology Infrastructure (RV KEXUE) [NMSTI-KEXUE2017K01]; National Key R&amp;D Program of China [2018YFC0310604]; Scientific and Technological Innovation Project from Qingdao National Laboratory for Marine Science and Technology [2016ASKJ14]</t>
  </si>
  <si>
    <t>National Natural Science Foundation of China(National Natural Science Foundation of China (NSFC)); Strategic Priority Research Program of the Chinese Academy of Sciences(Chinese Academy of Sciences); Key Research Program of Frontier Sciences, CAS; Open Research Project of National Major Science &amp; Technology Infrastructure (RV KEXUE); National Key R&amp;D Program of China; Scientific and Technological Innovation Project from Qingdao National Laboratory for Marine Science and Technology</t>
  </si>
  <si>
    <t>This research was financially supported by the National Natural Science Foundation of China [grant number 41906103, 42030407], the Strategic Priority Research Program of the Chinese Academy of Sciences [grant number XDB42020401, XDA22050303], the Key Research Program of Frontier Sciences, CAS [ZDBS-LY-DQC032], the Open Research Project of National Major Science &amp; Technology Infrastructure (RV KEXUE) (grant number NMSTI-KEXUE2017K01), National Key R&amp;D Program of China [2018YFC0310604], the Scientific and Technological Innovation Project [No.2016ASKJ14] from Qingdao National Laboratory for Marine Science and Technology. The authors thank to Lingling Sun for metal analyzing.</t>
  </si>
  <si>
    <t>10.1016/j.aquatox.2021.105845</t>
  </si>
  <si>
    <t>SV2UC</t>
  </si>
  <si>
    <t>WOS:000663678600011</t>
  </si>
  <si>
    <t>Ghosh, S; Mal, M; Mandal, S</t>
  </si>
  <si>
    <t>Ghosh, Santu; Mal, Mukul; Mandal, Sudipto</t>
  </si>
  <si>
    <t>A dynamic model of cadmium bioaccumulation in Lamellidens marginalis, an edible shellfish in India</t>
  </si>
  <si>
    <t>ECOLOGICAL MODELLING</t>
  </si>
  <si>
    <t>Adsorption; Bioaccumulation; Cadmium transport; Depuration; Simulation model</t>
  </si>
  <si>
    <t>SUBCELLULAR-DISTRIBUTION; METAL; WATER; ACCUMULATION; MUSSEL; ZINC; METALLOTHIONEIN; ABSORPTION; TRANSPORT; FIELD</t>
  </si>
  <si>
    <t>Mussels, as food is widely accepted by people around the world as it possesses good nutritive value. Along with the local fishes, a gradual increase in the market demand of the Lamellidens marginalis is observed in the eastern part of India. These mussels are collected from reservoirs by the local people for their daily requirements and usual business. The reservoirs receive the wastewater or sewage from the nearby tanneries and households. Consequently, people are prone to a high risk of cadmium pollution through the consumption of mussels. Thus, the study of the bioaccumulation of cadmium in the organs of mussel is felt be need of the hour. A dynamic model was constructed to observe the daily accumulation of cadmium in the different organs of mussel. The model was constructed in the STELLA 6.0 software, and a sensitivity analysis was performed followed by calibration and validation. The scenario analysis revealed that the bioaccumulation of cadmium in the gills was sensitive to the input rate of cadmium to the system. The retention of cadmium in the alimentary canal and the kidney was dependent on the excretion rate of mussels. Cadmium deposition in the muscles and hepatopancreas was strongly regulated by the transfer rate of cadmium from the alimentary canal and the depuration rate respectively. However, the cadmium bioaccumulation in the foot was dependent on the surface area of foot. The sensitivity analysis showed that the input rate of cadmium into the system was the system sensitive parameter. If the cadmium is checked at the entry point of the reservoir, then the mussels could be easily harvested by the local people, and there would be less risk of cadmium pollution to the human.</t>
  </si>
  <si>
    <t>[Ghosh, Santu; Mal, Mukul; Mandal, Sudipto] Univ Burdwan, Dept Environm Sci, Ecol &amp; Environm Modelling Lab, Burdwan 713104, W Bengal, India</t>
  </si>
  <si>
    <t>Mandal, S (corresponding author), Univ Burdwan, Dept Environm Sci, Ecol &amp; Environm Modelling Lab, Burdwan 713104, W Bengal, India.</t>
  </si>
  <si>
    <t>smandal@envsc.buruniv.ac.in</t>
  </si>
  <si>
    <t>Mandal, Sudipto/0000-0001-7014-557X</t>
  </si>
  <si>
    <t>SERB, DST, Govt. of India, New Delhi [EMR/2016/002618]</t>
  </si>
  <si>
    <t>SERB, DST, Govt. of India, New Delhi</t>
  </si>
  <si>
    <t>The authors greatly acknowledge the support from SERB, DST, Govt. of India, New Delhi (Project No. EMR/2016/002618) to carry out the research work. The corresponding author acknowledges the anonymous reviewers and Editors of the Journal for their valuable suggestions regarding improvement of the manuscript. The work is dedicated to Prof. Apurba Ratan Ghosh, Ecotoxicology Laboratory, Department of Environmental Science, and the research scholars of the Ecology and Environmental Modelling Laboratory, Department of Environmental Science, The University of Burdwan, who have extended their help during the entire research work.</t>
  </si>
  <si>
    <t>0304-3800</t>
  </si>
  <si>
    <t>1872-7026</t>
  </si>
  <si>
    <t>ECOL MODEL</t>
  </si>
  <si>
    <t>Ecol. Model.</t>
  </si>
  <si>
    <t>MAR 1</t>
  </si>
  <si>
    <t>10.1016/j.ecolmodel.2020.108957</t>
  </si>
  <si>
    <t>Ecology</t>
  </si>
  <si>
    <t>KS9ZG</t>
  </si>
  <si>
    <t>WOS:000518669200002</t>
  </si>
  <si>
    <t>Bjerregaard, P; Schmidt, TG; Mose, MP</t>
  </si>
  <si>
    <t>Bjerregaard, Poul; Schmidt, Torben Grau; Mose, Maria Pedersen</t>
  </si>
  <si>
    <t>Elevated mercury concentrations in biota despite reduced sediment concentrations in a contaminated coastal area, Harboore Tange, Denmark</t>
  </si>
  <si>
    <t>Mercury; Sediment; Biota; Benthic</t>
  </si>
  <si>
    <t>MINAMATA BAY; MARINE-SEDIMENTS; ORGANIC MERCURY; GASEOUS MERCURY; POLLUTED AREA; GRADO LAGOON; ELBE RIVER; BIOACCUMULATION; ESTUARIES; SOILS</t>
  </si>
  <si>
    <t>Metals sequestered in coastal sediments are normally considered to be stable, but this investigation shows - somewhat surprisingly - that mercury concentrations in a previously contaminated area, Harboore Tange, Denmark, have decreased since the 1980s. Mercury concentrations were determined in sediment and benthic biota and present values were compared to values in the 1980s and values from areas without known; history of mercury contamination. Concentrations in both the upper 20 cm of the sediments and; biota are considerably lower now compared to latest monitoring (1980s). Sediment. concentrations at most locations have decreased from the 100-300 ng Hg g(-1) dry weight (dw) level to levels below the Background Concentration (BC) of 50 ng Hg g(-1) dw defined by Oslo-Paris Convention for the Protection of the Marine Environment of the North-East Atlantic; some stations are at the 2-10 ng Hg g(-1) dw level characteristic of Danish coastal sediments with no known history of mercury contamination. Concentrations of mercury in the benthic biota along Harboore Tange have also decreased since the 1980s but despite the lowered mercury concentrations in the sediments, concentrations in most samples of benthic invertebrate fauna still exceed those in uncontaminated coastal areas and also the Environmental Quality Standard (EQS) of 20 ng Hg g(-1) wet weight (approximate to 100 ng Hg g(-1) dry weight) defined by the European Union's Water Framework Directive. Concentration ranges in selected organisms are: (Harboore Tange 1980s/Harboore Tange now/uncontaminated areas - given in ng Hg g(-1) dw): Periwinkles Littorina littorea 9000/150-450/55-77, blue mussels Mytilus edulis up to 9000/300-500/40-170, cockles Cerastoderma edule up to 8000/400-1200/200, brown shrimp Crangon crangon 700-2200/150-450/47, eelgrass Zostera marina up to 330/25-70/12. The present results - together with a literature review - show that a simple and straight forward relationship between the concentrations of mercury in sediment and benthic organisms does not necessarily exist. (C) 2020 Elsevier Ltd. All rights reserved.</t>
  </si>
  <si>
    <t>[Bjerregaard, Poul; Schmidt, Torben Grau; Mose, Maria Pedersen] Univ Southern Denmark, Dept Biol, Campusvej 55, DK-5230 Odense, Denmark</t>
  </si>
  <si>
    <t>Lemvig Kommune, Denmark [95-306-73551]</t>
  </si>
  <si>
    <t>Lemvig Kommune, Denmark</t>
  </si>
  <si>
    <t>We thank Annette Duus, Anna-Katharina Semmler and Bente Frost Holbech for assistance with the 2014-sampling. The investigation was supported by a 50,000 D.Kr. grant (95-306-73551) from Lemvig Kommune, Denmark, which holds the legal responsibility for the environmental management of the area.</t>
  </si>
  <si>
    <t>10.1016/j.envpol.2020.113985</t>
  </si>
  <si>
    <t>LH1GL</t>
  </si>
  <si>
    <t>WOS:000528537600076</t>
  </si>
  <si>
    <t>Han, BC; Jeng, WL; Hung, TC; Wen, MY</t>
  </si>
  <si>
    <t>Relationship between copper speciation in sediments and bioaccumulation by marine bivalves of Taiwan</t>
  </si>
  <si>
    <t>copper speciation; sediments; accumulation; bivalves</t>
  </si>
  <si>
    <t>ACID-VOLATILE SULFIDE; FRESH-WATER SEDIMENTS; GREEN OYSTERS; BIOAVAILABILITY; AREA; TOXICITY; CADMIUM; ZINC</t>
  </si>
  <si>
    <t>This paper evaluates the relationships between copper species in sediments and accumulation by the purple clam (Hiatula diphos) and venus clam (Gomphina aeguilatera) collected from the field and culture (aquaculture) ponds in the polluted coastal area of Lukang, Taiwan. Sediment was sampled along with the molluscs, including oysters (Crassostrea gigas), purple clams (Hiatula diphos), rock-shells (Thais clavigera), venus clams (Gomphina aeguilatera), and hard clams (Meretrix lusoria), from two unique environments of Lukang during the period from August 1993 to July 1994. The data indicate that the total copper concentrations in sediments from culture ponds (185 mu g g(-1)) was higher than those of the field (44.0 mu g g(-1)). Copper species in sediments were analyzed by a sequential leaching technique. Results show that concentrations of various copper species in the sediments are in the range of 1.14 +/- 0.59 to 13.2 +/- 22.4 mu g g(-1) and 0.36 +/- 0.24 to 133 +/- 36.7 mu g g(-1) for the two environments, respectively. Also the exchangeable copper in sediment from culture ponds was 15 times higher than that from the field. In addition, the sum of exchangeable and copper carbonates had the highest percentages of copper in both the pond sediment (86.6 %) and the field sediment (50.7 %). Maximum copper concentrations (309 +/- 35.1 mu g g(-1)) in oysters were much higher than those in the other benthic organisms by about 4-127 times. Similarly, the data also showed that copper concentrations in Thais clavigera were 12-32 times higher than those in other benthic organisms. Copper concentrations in various benthic organisms differed significantly (p &lt; 0.05) from that in Thais clavigera. This capacity makes Thais clavigera a potential candidate for monitoring copper in marine sediments. In terms of copper species, the best correlation was generally obtained between copper carbonates in sediments and copper concentrations in Hiatula diphos (r = 0.886*). A strong multiple regression correlation (p &lt; 0.05, r(2) = 0.7894) also indicates that the copper carbonates may dominate as the available form of copper to Hiatula diphos from various environments in the Lukang coastal area under natural physicochemical conditions.</t>
  </si>
  <si>
    <t>NATL TAIWAN UNIV, INST OCEANOG, TAIPEI, TAIWAN; TULANE UNIV, SCH PUBL HLTH, NEW ORLEANS, LA USA</t>
  </si>
  <si>
    <t>National Taiwan University; Tulane University</t>
  </si>
  <si>
    <t>Han, BC (corresponding author), TAIPEI MED COLL, SCH PUBL HLTH, TAIPEI, TAIWAN.</t>
  </si>
  <si>
    <t>10.1016/0269-7491(95)00031-L</t>
  </si>
  <si>
    <t>TK461</t>
  </si>
  <si>
    <t>WOS:A1996TK46100004</t>
  </si>
  <si>
    <t>Jara-Marini, ME; Soto-Jiménez, MF; Páez-Osuna, F</t>
  </si>
  <si>
    <t>Jara-Marini, M. E.; Soto-Jimenez, M. F.; Paez-Osuna, F.</t>
  </si>
  <si>
    <t>Trace metals accumulation patterns in a mangrove lagoon ecosystem, Mazatlan Harbor, southeast Gulf of California</t>
  </si>
  <si>
    <t>bioaccumulation; bioavailable fraction; biomonitor organism; coastal environment; heavy metals; pollution; surface sediment water</t>
  </si>
  <si>
    <t>HEAVY-METALS; SEDIMENTS; CONTAMINATION; BIOACCUMULATION; BIOAVAILABILITY; NORMALIZATION; AVAILABILITY; BIOMONITORS; MACROALGAE; ORGANISMS</t>
  </si>
  <si>
    <t>Water, surface sediments, the mussel Mytella strigata, the mangrove oyster Crassostrea corteziensis, and the green macroalgae Caulerpa sertularioides from four locations in Mazatlan Harbor on the southeast coast of the Gulf of California, were analyzed to determine concentrations and distribution patterns of cadmium, copper, mercury, lead, and zinc. Total metal concentrations in water in the present study exceed the background levels in open sea and coastal waters. Total metal concentrations in sediments were ordered as follows: Zn&gt;Pb&gt;Cu&gt;Cd&gt;Hg, but for the bioavailable fraction were ordered as Zn&gt;Cu&gt;Pb&gt;Cd&gt;Hg. The concentrations in bioavailable levels fall between the Threshold Effects Level (TEL), and Probable Effects Level (PEL), criteria for sediment quality. Distribution patterns for metals in organisms were ordered Zn&gt;Cu&gt;Pb&gt;Cd&gt;Hg with seasonal variations for Pb and Zn. Correlations between Cd, Cu, Pb and Zn were indicative of similar assimilation and storage mechanisms and common sources of contamination. These correlations also indicated that bioavailability was not simultaneous for Cd and Pb. Bioconcentration factors (BCF) show different patterns in different organisms. For the oyster the metals were ordered Zn&gt;&gt;Cu&gt;Cd approximate to Hg&gt; Pb, for the mussel Hg&gt;Cu approximate to Zn approximate to Cd&gt;Pb and for the macroalgae Zn Cu Pb Cd Hg. Based on BCF results in the lagoon system, the oyster C cortezienzes can be used as a biomonitor of Zn and Cu exposure, the mussel M. strigata of Hg exposure and the green macroalgae C. serticularioides of exposure to all five metals studied.</t>
  </si>
  <si>
    <t>[Soto-Jimenez, M. F.; Paez-Osuna, F.] Univ Nacl Autonoma Mexico, Inst Ciencias Mar &amp; Limnol, Unidad Acad Mazatlan, Mazatlan 82000, Sinaloa, Mexico; [Jara-Marini, M. E.] Univ Nacl Autonoma Mexico, Programa Posgrado Ciencias Mar &amp; Limnol, Unidad Acad Mazatlan, Mazatlan 82000, Sinaloa, Mexico</t>
  </si>
  <si>
    <t>Universidad Nacional Autonoma de Mexico; Universidad Nacional Autonoma de Mexico</t>
  </si>
  <si>
    <t>Páez-Osuna, F (corresponding author), Univ Nacl Autonoma Mexico, Inst Ciencias Mar &amp; Limnol, Unidad Acad Mazatlan, Apartado Postal 811, Mazatlan 82000, Sinaloa, Mexico.</t>
  </si>
  <si>
    <t>pae-zos@servidor.unam.mx</t>
  </si>
  <si>
    <t>Páez-Osuna, Federico/AAM-3029-2020; Soto-Jimenez, Martin F/M-4117-2017</t>
  </si>
  <si>
    <t>Soto-Jimenez, Martin F/0000-0001-7584-3684</t>
  </si>
  <si>
    <t>1532-4117</t>
  </si>
  <si>
    <t>10.1080/10934520802059797</t>
  </si>
  <si>
    <t>317WU</t>
  </si>
  <si>
    <t>WOS:000257051900001</t>
  </si>
  <si>
    <t>Pérez-López, M; Alonso, J; Nóvoa-Valiñas, MC; Melgar, MJ</t>
  </si>
  <si>
    <t>Assessment of heavy metal contamination of seawater and marine limpet, Patella vulgata L., from Northwest Spain</t>
  </si>
  <si>
    <t>contamination; heavy metals; seawater; limpet</t>
  </si>
  <si>
    <t>NW SPAIN; SEDIMENTS; MUSSELS; POLLUTION; GALICIA; AREA; BAY</t>
  </si>
  <si>
    <t>In the present work, both seawater and limpets (Patella vulgata L.) were collected from different sampling points in the Vigo estuary area (Galicia, NW Spain) and their heavy metal concentrations (Zn, Cd, Pb, Cu) were determined by means of a voltammetric technique. The results showed a direct relationship between the heavy metal levels in seawater and the content in biological samples, especially those obtained from limpet soft tissues, directly related to the increasing importance of anthropogenic environmental contamination. Heavy metal concentrations were usually higher in soft tissues than in shell, with a maximum difference corresponding to Cd and Zn (average of 93.6 and 86 folds, respectively). As expected, heavy metal content was higher in animal samples situated in inner part of the estuary zone, except for cadmium content in soft tissues, where a maximum of 5.62 ppm was quantified in limpet soft tissues collected next to the open sea area. Statistical analysis allowed the establishment of a clear relationship between Zn and Cd content in both shells and soft tissues from limpet, and especially between Zn and Cu in soft tissues (p &lt; 0.001).</t>
  </si>
  <si>
    <t>Univ Santiago de Compostela, Dept Toxicol, Fac Vet, Lugo 27002, Spain</t>
  </si>
  <si>
    <t>Melgar, MJ (corresponding author), Univ Santiago de Compostela, Dept Toxicol, Fac Vet, Avda Madrid S-N, Lugo 27002, Spain.</t>
  </si>
  <si>
    <t>Alonso, Julian/IUP-7172-2023; Melgar, M/L-5329-2014; Perez-Lopez, Marcos/C-3054-2013</t>
  </si>
  <si>
    <t>Perez-Lopez, Marcos/0000-0003-2823-1671; Alonso Diaz, Julian/0000-0002-2454-1878</t>
  </si>
  <si>
    <t>MARCEL DEKKER INC</t>
  </si>
  <si>
    <t>270 MADISON AVE, NEW YORK, NY 10016 USA</t>
  </si>
  <si>
    <t>10.1081/ESE-120025835</t>
  </si>
  <si>
    <t>751JM</t>
  </si>
  <si>
    <t>WOS:000187063300008</t>
  </si>
  <si>
    <t>Guevara, SR; Bubach, D; Vigliano, P; Lippolt, G; Arribére, M</t>
  </si>
  <si>
    <t>Heavy metal and other trace elements in native mussel Diplodon chilensis from Northern Patagonia Lakes, Argentina</t>
  </si>
  <si>
    <t>mussel; Diplodon chilensis; heavy metal; neutron activation analysis; Nahuel Huapi National Park; Patagonia</t>
  </si>
  <si>
    <t>HUAPI NATIONAL-PARK; NAHUEL HUAPI; PERNA-PERNA; MERCURY; CONTAMINATION; GHANA; BAY</t>
  </si>
  <si>
    <t>Native mussels, Diplodon chilensis, were sampled from four lakes in Nahuel Huapi National Park, Northern Patagonia, Argentina in order to evaluate heavy-metal distribution in the region and to assess the contribution of this compartment of the trophic web to their circulation in the food chain. The concentration of potential pollutants Ag, As, Cr, Hg, Sb, and Se, and other nine elements of interest (Ba, Br, Ca, Co, Cs, Fe, Na, Sr, and Zn) were determined in Diplodon chilensis pooled samples. Digestive glands were analyzed separately from soft tissues. Geological tracers Sc, Ta, Th, and rare earth elements were also determined in order to discriminate lithophile contributions. Elemental concentrations of Ba, Br, Fe, Sr, Se, and Zn in total soft samples do not show significant differences among sampling sites. Arsenic and Cr contents in total soft tissues and digestive gland pooled samples are higher in sampling points close to zones with human settlements. Silver contents in samples collected in Lake Nahuel Huapi were higher than in the other lakes studied, and up to 50-fold higher than the sample collected in Lake Traful, considered as the reference. Mercury highest concentration values measured in total soft tissues pooled samples from lakes. Nahuet Huapi and Moreno were found to be similar to those. Observed in other reported Hg contamination situations, and they are three to five times higher than those of the reference samples collected in Lake Traful.</t>
  </si>
  <si>
    <t>Ctr Atom Bariloche, Lab Anal Activac Neutron, RA-8400 San Carlos De Bariloche, Rio Negro, Argentina; Univ Nacl Comahue, Grp Evaluac &amp; Manejo Recursos Ict, RA-8400 San Carlos De Bariloche, Rio Negro, Argentina</t>
  </si>
  <si>
    <t>Comision Nacional de Energia Atomica (CNEA); Centro Atomico Bariloche; Universidad Nacional del Comahue</t>
  </si>
  <si>
    <t>Guevara, SR (corresponding author), Ctr Atom Bariloche, Lab Anal Activac Neutron, RA-8400 San Carlos De Bariloche, Rio Negro, Argentina.</t>
  </si>
  <si>
    <t>Guevara, Sergio/I-9241-2019</t>
  </si>
  <si>
    <t>Ribeiro Guevara, Sergio/0000-0001-7203-7687</t>
  </si>
  <si>
    <t>10.1385/BTER:102:1-3:245</t>
  </si>
  <si>
    <t>884LE</t>
  </si>
  <si>
    <t>WOS:000226085500021</t>
  </si>
  <si>
    <t>Yang, X; Liu, JJ; McGrouther, K; Huang, HG; Lu, KP; Guo, X; He, LZ; Lin, XM; Che, L; Ye, ZQ; Wang, HL</t>
  </si>
  <si>
    <t>Yang, Xing; Liu, Jingjing; McGrouther, Kim; Huang, Huagang; Lu, Kouping; Guo, Xi; He, Lizhi; Lin, Xiaoming; Che, Lei; Ye, Zhengqian; Wang, Hailong</t>
  </si>
  <si>
    <t>Effect of biochar on the extractability of heavy metals (Cd, Cu, Pb, and Zn) and enzyme activity in soil</t>
  </si>
  <si>
    <t>2nd Contaminated Land, Ecological Assessment and Remediation (CLEAR 2014) Conference - Environmental Pollution and Remediation</t>
  </si>
  <si>
    <t>OCT 05-08, 2014</t>
  </si>
  <si>
    <t>Chuncheon, SOUTH KOREA</t>
  </si>
  <si>
    <t>Applicationrate; Bioavailability; Biocharparticle size; Contaminated soil; Heavymetal extractability; Soil enzyme</t>
  </si>
  <si>
    <t>STRAW-DERIVED BIOCHAR; COW BONE; PHOSPHATE AMENDMENTS; CONTAMINATED SOIL; MUSSEL SHELL; AVAILABILITY; PLANT; WATER; IMMOBILIZATION; LEAD</t>
  </si>
  <si>
    <t>Biochar is a carbon-rich solid material derived from the pyrolysis of agricultural and forest residual biomass. Previous studies have shown that biochar is suitable as an adsorbent for soil contaminants such as heavy metals and consequently reduces their bioavailability. However, the long-term effect of different biochars on metal extractability or soil health has not been assessed. Therefore, a 1-year incubation experiment was carried out to investigate the effect of biochar produced from bamboo and rice straw (at temperatures a parts per thousand yen500 A degrees C) on the heavy metal (cadmium (Cd), copper (Cu), lead (Pb), and zinc (Zn)) extractability and enzyme activity (urease, catalase, and acid phosphatase) in a contaminated sandy loam paddy soil. Three rates (0, 1, and 5 %) and two mesh sizes (&lt; 0.25 and &lt; 1 mm) of biochar applications were investigated. After incubation, the physicochemical properties, extractable heavy metals, available phosphorus, and enzyme activity of soil samples were analyzed. The results demonstrated that rice straw biochar significantly (P &lt; 0.05) increased the pH, electrical conductivity, and cation exchange capacity of the soil, especially at the 5 % application rate. Both bamboo and rice straw biochar significantly (P &lt; 0.05) decreased the concentration of CaCl2-extractable heavy metals as biochar application rate increased. The heavy metal extractability was significantly (P &lt; 0.01) correlated with pH, water-soluble organic carbon, and available phosphorus in soil. The 5 % application rate of fine rice straw biochar resulted in the greatest reductions of extractable Cu and Zn, 97.3 and 62.2 %, respectively. Both bamboo and rice straw biochar were more effective at decreasing extractable Cu and Pb than removing extractable Cd and Zn from the soil. Urease activity increased by 143 and 107 % after the addition of 5 % coarse and fine rice straw biochars, respectively. Both bamboo and rice straw biochars significantly (P &lt; 0.05) increased catalase activity but had no significant impact on acid phosphatase activity. In conclusion, the rice straw biochar had greater potential as an amendment for reducing the bioavailability of heavy metals in soil than that of the bamboo biochar. The impact of biochar treatment on heavy metal extractability and enzyme activity varied with the biochar type, application rate, and particle size.</t>
  </si>
  <si>
    <t>[Yang, Xing; Liu, Jingjing; Lu, Kouping; Guo, Xi; He, Lizhi; Ye, Zhengqian; Wang, Hailong] Zhejiang A&amp;F Univ, Key Lab Soil Contaminat Bioremediat Zhejiang Prov, Hangzhou 311300, Zhejiang, Peoples R China; [McGrouther, Kim] Scion, Rotorua 3046, New Zealand; [Huang, Huagang] Bijie Yancao Co Guizhou Prov, Yancao Prod Technol Ctr, Bijie 551700, Guizhou, Peoples R China; [Lin, Xiaoming; Wang, Hailong] Guangdong Dazhong Agr Sci Co Ltd, Dongguan 523169, Guangdong, Peoples R China; [Che, Lei] Huzhou Univ, Sch Engn, Huzhou 313000, Zhejiang, Peoples R China</t>
  </si>
  <si>
    <t>Zhejiang A&amp;F University; Scion; Huzhou University</t>
  </si>
  <si>
    <t>Lu, KP (corresponding author), Zhejiang A&amp;F Univ, Key Lab Soil Contaminat Bioremediat Zhejiang Prov, Hangzhou 311300, Zhejiang, Peoples R China.</t>
  </si>
  <si>
    <t>kkping111@163.com; nzhailongwang@gmail.com</t>
  </si>
  <si>
    <t>wu, xiaokang/JUJ-4602-2023; Yang, Xing/HKF-6065-2023; Wang, Hailong/C-2641-2011</t>
  </si>
  <si>
    <t>Wang, Hailong/0000-0002-6107-5095; McGrouther, Kim/0000-0002-4208-8042</t>
  </si>
  <si>
    <t>National Natural Science Foundation of China [4171337]; Zhejiang A &amp; F University Research and Development Fund [2010FR097, 2012FK031]; Public Good Science Funding of Zhejiang Provincial Department of Science and Technology [2103C33016]; Science and Technology Foundation of the Guizhou Province, China [[2013]2193]; Scientific Research and Technology Development Foundation of Bijie Yancao Company of Guizhou Province, China [BJYC-201308]; Special Funding for the Introduced Innovative R&amp;D Team of Dongguan</t>
  </si>
  <si>
    <t>National Natural Science Foundation of China(National Natural Science Foundation of China (NSFC)); Zhejiang A &amp; F University Research and Development Fund; Public Good Science Funding of Zhejiang Provincial Department of Science and Technology; Science and Technology Foundation of the Guizhou Province, China; Scientific Research and Technology Development Foundation of Bijie Yancao Company of Guizhou Province, China; Special Funding for the Introduced Innovative R&amp;D Team of Dongguan</t>
  </si>
  <si>
    <t>This study was funded by the National Natural Science Foundation of China (4171337), Zhejiang A &amp; F University Research and Development Fund (2010FR097 and 2012FK031), Public Good Science Funding of Zhejiang Provincial Department of Science and Technology (2103C33016), the Science and Technology Foundation of the Guizhou Province, China ([2013]2193), the Scientific Research and Technology Development Foundation of Bijie Yancao Company of Guizhou Province, China (BJYC-201308), and the Special Funding for the Introduced Innovative R&amp;D Team of Dongguan.</t>
  </si>
  <si>
    <t>10.1007/s11356-015-4233-0</t>
  </si>
  <si>
    <t>DB0LS</t>
  </si>
  <si>
    <t>WOS:000368200200004</t>
  </si>
  <si>
    <t>Yeung, JWY; Zhou, GJ; Leung, KMY</t>
  </si>
  <si>
    <t>Yeung, Jamius W. Y.; Zhou, Guang-Jie; Leung, Kenneth M. Y.</t>
  </si>
  <si>
    <t>Sub-lethal effects of cadmium and copper on RNA/DNA ratio and energy reserves in the green-lipped mussel Perna viridis</t>
  </si>
  <si>
    <t>Biomarker; RNA/DNA ratio; Energy reserve; Perna viridis; Metal</t>
  </si>
  <si>
    <t>TRACE-METAL; PHYSIOLOGICAL-RESPONSES; BIOCHEMICAL-COMPOSITION; NUCELLA-LAPILLUS; DIGESTIVE GLAND; HEAVY-METALS; HONG-KONG; POLLUTION; BIOMARKERS; ACCUMULATION</t>
  </si>
  <si>
    <t>This study aims to test if RNA/DNA ratio and various energy reserve parameters (i.e., glycogen, lipid, protein content and total energy reserves) are sensitive biomarkers for indicating stresses induced by metal contaminants in the green-lipped mussel Perna viridis, a common organism for biomonitoring in Southeast Asia. This study was, therefore, designed to examine the effects of cadmium (Cd) and copper (Cu) on these potential biomarkers in two major energy storage tissues, adductor muscle (AM) and hepatopancreas (HP), of P. viridis after sub-lethal exposure to either metal for 10 days. The results showed that neither Cd nor Cu treatments affected the RNA/DNA ratio, glycogen and protein contents in AM and HP. As the most sensitive biomarker in P. viridis, the total lipid content in both AM and HP was significantly decreased in the treatment of 5 mu g Cu/L and 0.01-0.1 mu g Cd/L, respectively. However, soft tissue body burdens of Cu or Cd did not significantly correlate with each of the four biomarkers regardless of the tissue type. In addition, AM generally stored more glycogen than HP, whereas HP stored more lipids than AM. We proposed that multiple biomarkers may be employed as an integrated diagnostic tool for monitoring the health condition of the mussels. (C) 2016 Elsevier Inc. All rights reserved.</t>
  </si>
  <si>
    <t>[Yeung, Jamius W. Y.; Zhou, Guang-Jie; Leung, Kenneth M. Y.] Univ Hong Kong, Swire Inst Marine Sci, Pokfulam, Hong Kong, Peoples R China; [Yeung, Jamius W. Y.; Zhou, Guang-Jie; Leung, Kenneth M. Y.] Univ Hong Kong, Sch Biol Sci, Pokfulam, Hong Kong, Peoples R China; [Leung, Kenneth M. Y.] City Univ Hong Kong, State Key Lab Marine Pollut, Tat Chee Ave, Kowloon, Hong Kong, Peoples R China</t>
  </si>
  <si>
    <t>University of Hong Kong; University of Hong Kong; City University of Hong Kong</t>
  </si>
  <si>
    <t>Zhou, GJ (corresponding author), Univ Hong Kong, Swire Inst Marine Sci, Pokfulam, Hong Kong, Peoples R China.;Zhou, GJ; Leung, KMY (corresponding author), Univ Hong Kong, Sch Biol Sci, Pokfulam, Hong Kong, Peoples R China.</t>
  </si>
  <si>
    <t>zhougj01@gmail.com; kmyleung@hku.hk</t>
  </si>
  <si>
    <t>Zhou, Guangjie/Y-8164-2019; Leung, Kenneth Mei Yee/C-1055-2009</t>
  </si>
  <si>
    <t>Zhou, Guangjie/0000-0001-7343-2902; Leung, Kenneth Mei Yee/0000-0002-2164-4281</t>
  </si>
  <si>
    <t>University of Hong Kong; State Key Laboratory in Marine Pollution, China; University of Hong Kong (HKU); Hong Kong Scholar award [XJ2012050]; Society of Hong Kong Scholars; China National Postdoctoral Council under the Ministry of Human Resources and Social Security</t>
  </si>
  <si>
    <t>University of Hong Kong(University of Hong Kong); State Key Laboratory in Marine Pollution, China; University of Hong Kong (HKU)(University of Hong Kong); Hong Kong Scholar award; Society of Hong Kong Scholars; China National Postdoctoral Council under the Ministry of Human Resources and Social Security</t>
  </si>
  <si>
    <t>This project was supported by funding to KMY Leung: the Seed Funding for Basic Research from the University of Hong Kong and a Seed Collaborative Research Fund (2011) from the State Key Laboratory in Marine Pollution, China. JWY Yeung thanked the University of Hong Kong (HKU) for providing the Type B postgraduate studentship. GJ Zhou was a recipient of the Hong Kong Scholar award (Project no.: XJ2012050), sponsored by the Society of Hong Kong Scholars and the China National Postdoctoral Council under the Ministry of Human Resources and Social Security which enabled him to participate the postdoctoral training at HKU. Authors also thanked Ms. Helen Leung and Ms. Cecily Law for their technical assistance throughout this project.</t>
  </si>
  <si>
    <t>10.1016/j.ecoenv.2016.05.023</t>
  </si>
  <si>
    <t>DS6BR</t>
  </si>
  <si>
    <t>WOS:000380867200008</t>
  </si>
  <si>
    <t>Shoham-Frider, E; Gertner, Y; Guy-Haim, T; Herut, B; Kress, N; Shefer, E; Silverman, J</t>
  </si>
  <si>
    <t>Shoham-Frider, E.; Gertner, Y.; Guy-Haim, T.; Herut, B.; Kress, N.; Shefer, E.; Silverman, J.</t>
  </si>
  <si>
    <t>Legacy groundwater pollution as a source of mercury enrichment in marine food web, Haifa Bay, Israel</t>
  </si>
  <si>
    <t>Mercury; Methyl mercury; Legacy pollution; Groundwater; Marine biota</t>
  </si>
  <si>
    <t>HEAVY-METAL POLLUTION; MEDITERRANEAN COAST; ORGANIC-CARBON; METHYL MERCURY; SEDIMENTS; METHYLMERCURY; BIOACCUMULATION; SPECIATION; PLANKTON; DISCHARGE</t>
  </si>
  <si>
    <t>Haifa Bay (HB), located along the northern Mediterranean shore of Israel was polluted with Hg from a chlor-alkali plant (ECI) and from the Qishon River industries, for decades. From the mid-1980s industrial Hg loads into HB decreased dramatically until their complete cessation in 2000. Consequently, concentrations in marine biota and sediments decreased almost to reference levels. However, during 2006-2014, an unexpected increase of total Hg (THg) concentrations was observed in three commercial fish species collected at northern HB (N.HB). To determine the cause of this increase, THg and methyl Hg (MeHg) were measured in seawater, coastal groundwater, suspended particulate matter, plankton, macroalgae, benthic fauna, and in marine and beach sediments. THg in groundwater and sediments from the vicinity of ECI were extremely high (up to 251 mu g L-1 and 2200 ng g(-1), respectively). MeHg concentrations in groundwater were low and constituted &lt;0.1% of THg, except in the surf zone opposite the ECI, where MeHg constituted 02% of the THg. THg and MeHg concentrations were consistently higher in benlhic biota and plankton from N.HB and northwards, compared to corresponding samples from southern HB (S.HB) and the reference site (RS). MeHg in bivalves and sponges from N.HB and SZ was higher than from S.HB and RS, despite having similar THg concentrations, which suggests a stronger source of MeHg in N.HB. Our findings suggest that the discharge into N.HB of Hg polluted groundwater under the ECI increased during the period 2006-2014. The Hg was assimilated by plankton or adsorbed onto inorganic particles, which were further ingested by benthic and pelagic consumers, as well as transported northward with the along-shore current. These findings demonstrate for the first time the potential of relic pollution in groundwater to increase heavy metal burdens in local marine food webs. (C) 2020 Elsevier B.V. All rights reserved.</t>
  </si>
  <si>
    <t>[Shoham-Frider, E.; Gertner, Y.; Guy-Haim, T.; Herut, B.; Kress, N.; Shefer, E.; Silverman, J.] Natl Inst Oceanog, Israel Oceanog &amp; Limnol Res, IL-31080 Haifa, Israel</t>
  </si>
  <si>
    <t>Israel Oceanographic &amp; Limnological Research Institute</t>
  </si>
  <si>
    <t>Shoham-Frider, E (corresponding author), Natl Inst Oceanog, Israel Oceanog &amp; Limnol Res, IL-31080 Haifa, Israel.</t>
  </si>
  <si>
    <t>efrat@ocean.org.il</t>
  </si>
  <si>
    <t>Herut, Barak/0000-0002-7093-8753; Silverman, Jacob/0000-0001-5910-1234</t>
  </si>
  <si>
    <t>Israel Ministry of Environmental Protection [145-1-1]</t>
  </si>
  <si>
    <t>Israel Ministry of Environmental Protection</t>
  </si>
  <si>
    <t>This research was funded by the Israel Ministry of Environmental Protection, grant no. 145-1-1. We thank Ms. Hana Bernhard for drawing the figures. We are greatfull to three anonymous reviewers for their thorough remarks that helped improve this manuscript.</t>
  </si>
  <si>
    <t>APR 20</t>
  </si>
  <si>
    <t>10.1016/j.scitotenv.2020.136711</t>
  </si>
  <si>
    <t>KR6XL</t>
  </si>
  <si>
    <t>WOS:000517760200087</t>
  </si>
  <si>
    <t>Lepom, P; Irmer, U; Wellmitz, J</t>
  </si>
  <si>
    <t>Lepom, Peter; Irmer, Ulrich; Wellmitz, Joerg</t>
  </si>
  <si>
    <t>Mercury levels and trends (1993-2009) in bream (Abramis brama L.) and zebra mussels (Dreissena polymorpha) from German surface waters</t>
  </si>
  <si>
    <t>Mercury; Bream; Zebra mussel; Temporal trend; Environmental quality standard</t>
  </si>
  <si>
    <t>PERSISTENT ORGANIC POLLUTANTS; METHYLMERCURY CONTAMINATION; METAL CONTAMINATION; QUAGGA MUSSELS; HEAVY-METALS; ELBE RIVER; FISH; LAKES; BIOACCUMULATION; MUSCLE</t>
  </si>
  <si>
    <t>Mercury concentrations have been analysed in bream (Abramis brama L.) and zebra mussels (Dreissena polymorpha) collected at 17 freshwater sites in Germany from 1993-2009 and 1994-2009, respectively, within the German Environmental Specimen programme. Mercury concentrations in bream ranged from 21 to 881 ng g(-1) wet weight with lowest concentrations found at the reference site Lake Belau and highest in fish from the river Elbe and its tributaries. Statistical analysis revealed site-specific differences and significant decreasing temporal trends in mercury concentrations at most of the sampling sites. The decrease in mercury levels in bream was most pronounced in fish from the river Elbe and its tributary Mulde, while in fish from the river Saale mercury levels increased. Temporal trends seem to level off in recent years. Mercury concentrations in zebra mussels were much lower than those in bream according to their lower trophic position and varied by one order of magnitude from 4.1 to 42 ng g(-1) wet weight (33-336 ng g(-1) dry weight). For zebra mussels, trend analyses were performed for seven sampling sites at the rivers Saar and Elbe of which three showed significant downward trends. There was a significant correlation of the geometric mean concentrations in bream and zebra mussel over the entire study period at each sampling site (Pearson's correlation coefficient = 0.892, p = 0.00002). A comparison of the concentrations in bream with the environmental quality standard (EQS) of 20 ng g wet weight set for mercury in biota by the EU showed that not a single result was in compliance with this limit value, not even those from the reference site. Current mercury levels in bream from German rivers exceed the EQS by a factor 4.5-20. Thus, piscivorous top predators are still at risk of secondary poisoning by mercury exposure via the food chain. It was suggested focusing monitoring of mercury in forage fish (trophic level 3 or 4) for compliance checking with the EQS for biota and considering the age dependency of mercury concentrations in fish in the monitoring strategy. (C) 2011 Elsevier Ltd. All rights reserved.</t>
  </si>
  <si>
    <t>[Lepom, Peter; Wellmitz, Joerg] Fed Environm Agcy, Lab Water Anal, D-14193 Berlin, Germany; [Irmer, Ulrich] Fed Environm Agcy, Dept Soil &amp; Water, D-06813 Dessau Rosslau, Germany</t>
  </si>
  <si>
    <t>Lepom, P (corresponding author), Fed Environm Agcy, Lab Water Anal, Bismarck Pl 1, D-14193 Berlin, Germany.</t>
  </si>
  <si>
    <t>peter.lepom@uba.de</t>
  </si>
  <si>
    <t>10.1016/j.chemosphere.2011.10.021</t>
  </si>
  <si>
    <t>896UC</t>
  </si>
  <si>
    <t>WOS:000300595900014</t>
  </si>
  <si>
    <t>Cai, JH; Lv, YL; Chen, P; Li, K; Shen, QY; Zheng, XY</t>
  </si>
  <si>
    <t>Cai Jihan; Lv Yonglin; Chen Peng; Li Kai; Shen Qiyu; Zheng Xiangyong</t>
  </si>
  <si>
    <t>Preliminary study on zeolite materials used to control of heavy metal pollution during the culture of mud clam Tegillarca granosa L.</t>
  </si>
  <si>
    <t>mud clam; heavy metal; zeolite; culture</t>
  </si>
  <si>
    <t>COAL FLY-ASH; TRIVALENT CHROMIUM; EXCHANGE; REMOVAL; CR3+; CU2+; PB2+</t>
  </si>
  <si>
    <t>To control heavy metal pollution during the culture of the mud clam, Tegillarca granosa L., the isothermal static adsorption capacities of three adsorption materials [natural zeolites, zeolites synthesized from kaolin and zeolites synthesized from coal fly ash (ZFA)] towards Cu2+, Cd2+, Cr6+, Zn2+, Pb2+ and Hg2+ in seawater were investigated. The adsorption capacity of the best material was investigated during the culture of mud clam in an artificially polluted environment. Results showed that the ZFA adsorption capacity was the highest and conformed to the Freundlich model. The theoretical maximum adsorption capacities of the adsorbent towards Cu2+, Cd2+, Cr6+, Zn2+, Pb2+ and Hg2+ in seawater were 3.057, 1.123, 0.325, 13.101, 6.116mgg(-1) and 6.527gg(-1) respectively. For seawater artificially polluted by six heavy metals, heavy metal adsorption by ZFA followed the order Zn2+ &gt; Cd2+ &gt; Hg2+ &gt; Cu2+ &gt; Pb2+ &gt; Cr6+. For the mud clam culturing experiment that simulated a continuously polluted water source, the Cu2+, Cd2+, Cr6+, Zn2+, Pb2+ and Hg2+ contents of mud clam tissues decreased by 40.9%, 25.8%, 9.6%, 28.2%, -27.8% and 25.7%, respectively, after 21days of culturing compared with the contents before the experiment.</t>
  </si>
  <si>
    <t>[Cai Jihan; Lv Yonglin; Li Kai; Shen Qiyu] Wenzhou Fisheries Technol Extens Serv, Wenzhou, Zhejiang, Peoples R China; [Chen Peng] Yueqing Ocean &amp; Fishery Environm Monitoring Stn, Yueqing, Zhejiang, Peoples R China; [Zheng Xiangyong] Wenzhou Univ, Sch Life &amp; Environm Sci, Wenzhou 325035, Zhejiang, Peoples R China</t>
  </si>
  <si>
    <t>Zheng, XY (corresponding author), Wenzhou Univ, Sch Life &amp; Environm Sci, Wenzhou 325035, Zhejiang, Peoples R China.</t>
  </si>
  <si>
    <t>oakinyard@163.com</t>
  </si>
  <si>
    <t>Zheng, Xiangyong/JZD-9716-2024; liu, sha/JXL-6600-2024</t>
  </si>
  <si>
    <t>Wenzhou Ocean and Fishery Development Project</t>
  </si>
  <si>
    <t>The authors acknowledge the financial support provided by Wenzhou Ocean and Fishery Development Project.</t>
  </si>
  <si>
    <t>10.1111/are.12296</t>
  </si>
  <si>
    <t>CH3ZU</t>
  </si>
  <si>
    <t>WOS:000353970800014</t>
  </si>
  <si>
    <t>Frank, H; Gerstmann, S</t>
  </si>
  <si>
    <t>Frank, Hartmut; Gerstmann, Silke</t>
  </si>
  <si>
    <t>Declining populations of freshwater pearl mussels (Margaritifera margaritifera) are burdened with heavy metals and DDT/DDE</t>
  </si>
  <si>
    <t>AMBIO</t>
  </si>
  <si>
    <t>REPRODUCTIVE-BIOLOGY; CADMIUM; COPPER; LEAD; TOXICITY; SCOTLAND; MANTLE; LINN; CD</t>
  </si>
  <si>
    <t>Many aquatic mollusks, such as the freshwater pearl mussel (Margaritifera margaritifera), are in decline throughout Europe. The reasons are largely unknown; factors that have been suggested to contribute are river bed compaction due to agricultural practices, eutrophication, or pollutants of various natures. Brittle shells of recently deceased pearl mussels from northern Bavaria with weak calcium incrustations point to the possibility that calcium metabolism is affected. It is known that certain persistent organic pollutants and some heavy metals may induce calcium deficiency in wildlife. Elevated levels of the organochlorine insecticide DD and Its metabolite DDE, as well as of cadmium and some other heavy metals, have been found in pearl mussels. Both classes of environmental pollutants are known to potentially interfere with calcium homeostasis.</t>
  </si>
  <si>
    <t>Univ Bayreuth, D-95440 Bayreuth, Germany</t>
  </si>
  <si>
    <t>University of Bayreuth</t>
  </si>
  <si>
    <t>Frank, H (corresponding author), Univ Bayreuth, POB 101251, D-95440 Bayreuth, Germany.</t>
  </si>
  <si>
    <t>encetox@uni.bayreuth.de; silke.gerstmann@uni.bayreuth.de</t>
  </si>
  <si>
    <t>Frank, Hartmut/D-1460-2013</t>
  </si>
  <si>
    <t>0044-7447</t>
  </si>
  <si>
    <t>1654-7209</t>
  </si>
  <si>
    <t>Ambio</t>
  </si>
  <si>
    <t>231QB</t>
  </si>
  <si>
    <t>WOS:000250963000010</t>
  </si>
  <si>
    <t>Kumar, N; Krishnani, K; Singh, N</t>
  </si>
  <si>
    <t>Kumar, Neeraj; Krishnani, Kishore Kumar; Singh, Narendra Pratap</t>
  </si>
  <si>
    <t>Oxidative and cellular stress as bioindicators for metal contamination in freshwater mollusk Lamellidens marginalis</t>
  </si>
  <si>
    <t>Metal; Antioxidative status; Neurotransmitter enzymes; Lipid peroxidation; Cellular stress</t>
  </si>
  <si>
    <t>MUSSELS MYTILUS-GALLOPROVINCIALIS; POTENTIATES THERMAL TOLERANCE; ENDOSULFAN-INDUCED STRESS; LIPID-PEROXIDATION; CHANOS-CHANOS; HEAVY-METALS; OREOCHROMIS-MOSSAMBICUS; PERNA-PERNA; BIOMARKERS; POLLUTION</t>
  </si>
  <si>
    <t>The concentrations of 14 metals, namely, chromium (Cr), manganese (Mn), cobalt (Co), nickel (Ni), copper (Cu), zinc (Zn), selenium (Se), arsenic (As), strontium (Sr), cadmium (Cd), tin (Sn), antimony (Sb), mercury, (Hg), and lead (Pb), have been studied in freshwater mollusk Lamellidens marginalis collected from Dhimbe reservoir. In addition, also studied the cellular and antioxidative status to assess metal contamination as pollution biomarkers. The levels of all the 14 metals were elevated in different sampling sites of Dhimbe reservoir. The level of metals in the L. marginalis was followed as Mn &gt; Zn &gt; Ni &gt; Sr &gt; Cr &gt; Cu &gt; Hg &gt; Se &gt; Sn &gt; Pb &gt; As &gt; Co &gt; Cd &gt; Sb. The oxidative biomarkers viz. catalase (CAT), superoxide dismutase (SOD), and glutathione-S-transferase (GST); glycolytic enzymes viz. lactate dehydrogenase (LDH) and malate dehydrogenase (MDH); and protein metabolic enzymes viz. aspartate amino transferase (AST), alanine amino transferase (ALT), and lipid peroxidation (LPO) were significantly (p &lt; 0.01) higher, while neurotransmitter enzymes such as acetylcholine esterase (AChE) were significantly inhibited in muscle of L. marginalis (p &lt; 0.01) collected from different sampling sites. Therefore, based on our results, we could recommend that the Dhimbe reservoir is moderately metal contaminated and investigation based on biochemical parameters such as antioxidative enzymes, cellular biomarkers, and AChE are strong indicators for metal contamination; hence, these parameters are successfully applied as reliable biomarkers for monitoring contaminated freshwater ecosystems.</t>
  </si>
  <si>
    <t>[Kumar, Neeraj; Krishnani, Kishore Kumar; Singh, Narendra Pratap] ICAR Natl Inst Abiot Stress Management, Pune 413115, Maharashtra, India</t>
  </si>
  <si>
    <t>Indian Council of Agricultural Research (ICAR); ICAR - National Institute of Abiotic Stress Management</t>
  </si>
  <si>
    <t>Kumar, N (corresponding author), ICAR Natl Inst Abiot Stress Management, Pune 413115, Maharashtra, India.</t>
  </si>
  <si>
    <t>neeraj_journal@live.in</t>
  </si>
  <si>
    <t>Kumar, Neeraj/L-3500-2016</t>
  </si>
  <si>
    <t>10.1007/s11356-017-9266-0</t>
  </si>
  <si>
    <t>FA6NT</t>
  </si>
  <si>
    <t>WOS:000405561200023</t>
  </si>
  <si>
    <t>Melucci, D; Casolari, S; De Laurentiis, F; Locatelli, C</t>
  </si>
  <si>
    <t>Melucci, Dora; Casolari, Sonia; De laurentiis, Francesco; Locatelli, Clinio</t>
  </si>
  <si>
    <t>DETERMINATION OF TOXIC METALS IN MARINE BIO-MONITORS BY MULTIVARIATE ANALYSIS OF VOLTAMMETRIC AND SPECTROSCOPIC DATA. APPLICATION TO MUSSELS, ALGAE AND FISHES OF THE NORTHERN ADRIATIC SEA</t>
  </si>
  <si>
    <t>Toxic Metals; SWASV; AAS; Marine Biomonitors; Chemometrics</t>
  </si>
  <si>
    <t>POLLUTION; MERCURY; MACROALGAE; TOOL</t>
  </si>
  <si>
    <t>An analytical procedure regarding the sequential voltammetric determination of mercury(II), copper(II), lead(II), cadmium(II) and zinc(II) at trace levels by square wave anodic stripping voltammetry is proposed, and validated by standard reference materials through comparison with spectroscopic analytical methods. The validated analytical procedure was transferred and applied to fishes, mussels, and algae as possible biological monitors. Five sampling sites were chosen, located in the Adriatic Sea (Italy) between the Goro Bay and the Ravenna Lagoon. Multivariate analysis of data by Principal components analysis (PCA) and Soft Independent Models of Class Analogy (SIMCA) allowed to explore data: similarities among samples and correlation of variables was evidenced.</t>
  </si>
  <si>
    <t>[Melucci, Dora; Casolari, Sonia; De laurentiis, Francesco; Locatelli, Clinio] Univ Bologna, Dept Chem G Ciamician, Via F Selmi 2, I-40126 Bologna, Italy; [Locatelli, Clinio] Univ Bologna, Analyt Environm Chem Lab, Res Interdept Ctr Environm Sci CIRSA, Via S Alberto 163, I-48100 Ravenna, Italy</t>
  </si>
  <si>
    <t>Locatelli, C (corresponding author), Univ Bologna, Dept Chem G Ciamician, Via F Selmi 2, I-40126 Bologna, Italy.</t>
  </si>
  <si>
    <t>clinio.locatelli@unibo.it</t>
  </si>
  <si>
    <t>Investigation supported by University of Bologna (Funds for Selected Research Topics).</t>
  </si>
  <si>
    <t>FA3QY</t>
  </si>
  <si>
    <t>WOS:000405360700004</t>
  </si>
  <si>
    <t>Baudrimont, M; De Montaudouin, X</t>
  </si>
  <si>
    <t>Baudrimont, M.; De Montaudouin, X.</t>
  </si>
  <si>
    <t>Evidence of an altered protective effect of metallothioneins after cadmium exposure in the digenean parasite-infected cockle (Cerastoderma edule)</t>
  </si>
  <si>
    <t>metallothioneins; cadmium; Labratrema minimus; Himasthla elongata; digeneans; Cerastoderma edule; bioaccumulation</t>
  </si>
  <si>
    <t>CLAM CORBICULA-FLUMINEA; MUSSEL MYTILUS-EDULIS; GRADIENT RIVER LOT; MACOMA-BALTHICA; METAL EXPOSURE; FIELD TRANSPLANTATION; SEASONAL-VARIATIONS; NUCELLA-LAPILLUS; ARCACHON BAY; HEAVY-METALS</t>
  </si>
  <si>
    <t>The aim of the present Study was to analyse the relation between parasitism and subsequent metallothioneins (MT) in the case of metal contamination. Experimental exposure of parasitized and unparasitized cockles (Cerastoderma edule) to cadmium (Cd) was performed, with the cockle as first or second intermediate host of 2 digenean species. After 7 days of Cd exposure in microcosms, cockles infected as first intermediate host by Labratrema mininuis exhibited metal concentrations in tissues double that in uninfected cockles. Jointly, MT concentrations of parasitized cockles were not modified in comparison with uninfected individuals in which concentrations were increased 4-3-fold compared with controls. In cockles experimentally infected as the second intermediate host by Himasthla elongata, cadmium concentrations significantly increased again in parasitized cockles compared with uninfected individuals in contaminated conditions. Simultaneously, NIT concentrations in healthy cockles increased, whereas they significantly decreased in parasitized individuals. Therefore, the presence of digenean parasites in Cd-exposed cockles leads to a maintenance or a decrease in NIT concentrations compared with healthy individuals, whereas Cd accumulation in tissues is significantly increased. These experiments indicate a significant alteration of the protective effect of metallothioneins towards metals which could consequently enhance cockle vulnerability. Moreover, these results highlight the limit of the use of NIT as a biomarker of metal pollution in field monitoring if parasitism is not taken into account.</t>
  </si>
  <si>
    <t>Univ Bordeaux 1, CNRS, UMR 5805, EPOC,Arcachon Marine Stn, F-33120 Arcachan, France</t>
  </si>
  <si>
    <t>Universite de Bordeaux; Centre National de la Recherche Scientifique (CNRS)</t>
  </si>
  <si>
    <t>Baudrimont, M (corresponding author), Univ Bordeaux 1, CNRS, UMR 5805, EPOC,Arcachon Marine Stn, 2 Rue Pr Jolyet, F-33120 Arcachan, France.</t>
  </si>
  <si>
    <t>m.baudrimont@epoc.u-bordeaux1.fr</t>
  </si>
  <si>
    <t>10.1017/S0031182006001375</t>
  </si>
  <si>
    <t>132RB</t>
  </si>
  <si>
    <t>WOS:000243958800009</t>
  </si>
  <si>
    <t>Liu, XL; Zhang, LB; You, LP; Cong, M; Zhao, JM; Wu, HF; Li, CH; Liu, DY; Yu, JB</t>
  </si>
  <si>
    <t>Liu, Xiaoli; Zhang, Linbao; You, Liping; Cong, Ming; Zhao, Jianmin; Wu, Huifeng; Li, Chenghua; Liu, Dongyan; Yu, Junbao</t>
  </si>
  <si>
    <t>Toxicological responses to acute mercury exposure for three species of Manila clam Ruditapes philippinarum by NMR-based metabolomics</t>
  </si>
  <si>
    <t>Manila clam; Bioindicator; Heavy metal; NMR; Metabolomics</t>
  </si>
  <si>
    <t>MAGNETIC-RESONANCE-SPECTROSCOPY; TIDAL FLATS; IN-VIVO; EXTRACTION; TISSUE; METABONOMICS; PERFORMANCE; LA(NO3)(3); BIOMARKER; POLLUTION</t>
  </si>
  <si>
    <t>The Manila clam (Ruditapes philippinarum) has been considered a good sentinel species for metal pollution monitoring in estuarine tidal flats. Along the Bohai coast of China, there are dominantly distributed three species of clams (White, Liangdao Red and Zebra in Yantai population) endowed with distinct tolerances to environmental stressors. In this study, adductor muscle samples were collected from both control and acute mercury exposed White, Liangdao Red and Zebra clams, and the extracts were analyzed by NMR-based metabolomics to compare the metabolic profiles and responses to the acute mercury exposure to determine the most sensitive clam species capable of acting as abioindicator for heavy metal pollution monitoring. The major abundant metabolites in the White clam sample were branched-chain amino acids (leucine, isoleucine and valine), lactate, arginine, aspartate, acetylcholine, homarine and ATP/ADP, while the metabolite profile of Zebra clam sample comprised high levels of glutamine, acetoacetate, betaine, taurine and one unidentified metabolite. For the Liangdao Red clam sample, the metabolite profile relatively exhibited high amount of branched-chain amino acids, arginine, glutamate, succinate, acetylcholine, homarine and two unassigned metabolites. After 48h exposure of 20 mu g L-1 Hg2+, the metabolic profiles showed significant differences between three clam species, which included increased lactate, succinate, taurine, acetylcholine, betaine and homarine and decreased alanine, arginine, glutamine, glutamate, acetoacetate, glycine and ATP/ADP in White clam samples, and elevated succinate, taurine and acetylcholine, and declined glutamine, glycine, and aspartate in Liangdao Red clam samples, while the increased branched-chain amino acids, lactate, succinate, acetylcholine and homarine, and reduced alanine, acetoacetate, glycine and taurine were observed in the Zebra clam samples. Overall, our findings showed that White clams could be a preferable bioindicator for the metal pollution monitoring based on the more sensitive metabolic changes in the adductor muscle compared with other two (Liangdao Red and Zebra) clam species. (C) 2010 Elsevier B.V. All rights reserved.</t>
  </si>
  <si>
    <t>[Liu, Xiaoli; Zhang, Linbao; You, Liping; Cong, Ming; Zhao, Jianmin; Wu, Huifeng; Li, Chenghua; Liu, Dongyan; Yu, Junbao] Chinese Acad Sci, Yantai Inst Coastal Zone Res, Key Lab Coastal Zone Environm Proc, CAS,Shandong Prov Key Lab Coastal Zone Environm P, Yantai 264003, Shandong, Peoples R China; [Liu, Xiaoli; Zhang, Linbao; You, Liping] Chinese Acad Sci, Grad Sch, Beijing 100049, Peoples R China</t>
  </si>
  <si>
    <t>Wu, HF (corresponding author), Chinese Acad Sci, Yantai Inst Coastal Zone Res, Key Lab Coastal Zone Environm Proc, CAS,Shandong Prov Key Lab Coastal Zone Environm P, 17 Chunhui Rd, Yantai 264003, Shandong, Peoples R China.</t>
  </si>
  <si>
    <t>Liu, Xiaoli/HGE-7614-2022; liu, dong/GRJ-9115-2022; Li, Chenghua/I-6342-2015</t>
  </si>
  <si>
    <t>Yu, Junbao/0000-0002-3433-3538; Li, Chenghua/0000-0003-2978-8762; Wu, Huifeng/0000-0002-4042-8103</t>
  </si>
  <si>
    <t>Chinese Academy of Sciences; SDSFC [ZR2009CZ008]; CAS [KZCX2-YW-Q07-04]; CAS/SAFEA</t>
  </si>
  <si>
    <t>Chinese Academy of Sciences(Chinese Academy of Sciences); SDSFC; CAS(Chinese Academy of Sciences); CAS/SAFEA(Chinese Academy of Sciences)</t>
  </si>
  <si>
    <t>We thank Dr. Mark Viant (School of Bioscience, The University of Birmingham) for use of the software ProMetab. This research was supported by The 100 Talents Program of the Chinese Academy of Sciences, SDSFC (ZR2009CZ008) and in part by CAS Innovation Key Project (KZCX2-YW-Q07-04) and the CAS/SAFEA International Partnership Program for Creative Research Teams Representative environmental processes and resources effects in coastal zone.</t>
  </si>
  <si>
    <t>10.1016/j.etap.2010.12.003</t>
  </si>
  <si>
    <t>738JN</t>
  </si>
  <si>
    <t>WOS:000288636200008</t>
  </si>
  <si>
    <t>Gu, BN; Yang, TZ; Liu, X; Shen, HD</t>
  </si>
  <si>
    <t>Gu, Bingning; Yang, Tiezhu; Liu, Xin; Shen, Heding</t>
  </si>
  <si>
    <t>Transcriptomic Analysis of the Onchidium reevesii Central Nervous System in Response to Cadmium</t>
  </si>
  <si>
    <t>Onchidium reevesii; transcriptome; time-series analysis; heavy metal exposure; environmental stress; metal ion binding; synaptic transmission; oxidative stress</t>
  </si>
  <si>
    <t>RNA-SEQ; MYTILUS-GALLOPROVINCIALIS; AQUATIC INVERTEBRATES; OXIDE NANOPARTICLES; HEAVY-METALS; BIOMARKERS; PEROXIDASIN; MUSSEL; GENE; POLLUTION</t>
  </si>
  <si>
    <t>Shellfish are widely used in coastal environments for biomonitoring of heavy metal pollution. Research on the sea slug Onchidium reevesii, an economically important benthic gastropod, is limited due to a lack of genomic resources. This study, based on Illumine sequencing, compared the transcriptomes of O. reevesii before and after cadmium exposure, and used time-series expression analysis. The molecular level stress response mechanism operating in this organism in environmental stress conditions was investigated. De novo assembly of the O. reevesii transcriptome yielded 51,007 unigenes, of which 14,774 were annotated. Time-series expression analyses resulted in clustering of most responsive transcripts into 16 statistically significant expression profiles. Gene Ontology (GO) enrichment analysis based on time-series expression identified metal ion binding, synaptic transmission, and oxidative stress as important biological processes, and expression analysis identified genes related to invertebrate responses to environmental stress. Furthermore, we have generated the first transcriptome of O. reevesii, and the extensive sequence data produced generated will provide valuable molecular resources for the study of the response of O. reevesii response to cadmium exposure.</t>
  </si>
  <si>
    <t>[Gu, Bingning; Yang, Tiezhu; Liu, Xin; Shen, Heding] Shanghai Ocean Univ, Natl Demonstrat Ctr Expt Fisheries Sci Educ, Shanghai, Peoples R China; [Gu, Bingning; Yang, Tiezhu; Liu, Xin; Shen, Heding] Shanghai Ocean Univ, Key Lab Explorat &amp; Utilizat Aquat Genet Resources, Minist Educ, Shanghai, Peoples R China; [Gu, Bingning; Yang, Tiezhu; Liu, Xin; Shen, Heding] Shanghai Engn Res Ctr Aquaculture, Shanghai, Peoples R China; [Gu, Bingning; Yang, Tiezhu; Liu, Xin; Shen, Heding] Shanghai Univ, Key Lab Marine Anim Taxon &amp; Evolut, Shanghai, Peoples R China</t>
  </si>
  <si>
    <t>Shanghai Ocean University; Shanghai Ocean University; Shanghai University</t>
  </si>
  <si>
    <t>Shen, HD (corresponding author), Shanghai Ocean Univ, Natl Demonstrat Ctr Expt Fisheries Sci Educ, Shanghai, Peoples R China.;Shen, HD (corresponding author), Shanghai Ocean Univ, Key Lab Explorat &amp; Utilizat Aquat Genet Resources, Minist Educ, Shanghai, Peoples R China.;Shen, HD (corresponding author), Shanghai Engn Res Ctr Aquaculture, Shanghai, Peoples R China.;Shen, HD (corresponding author), Shanghai Univ, Key Lab Marine Anim Taxon &amp; Evolut, Shanghai, Peoples R China.</t>
  </si>
  <si>
    <t>hdshen@shou.edu.cn</t>
  </si>
  <si>
    <t>National Natural Science Foundation of China [41276157]</t>
  </si>
  <si>
    <t>This study was supported by the National Natural Science Foundation of China (Grant No. 41276157).</t>
  </si>
  <si>
    <t>SEP 3</t>
  </si>
  <si>
    <t>10.3389/fmars.2019.00547</t>
  </si>
  <si>
    <t>IU5BO</t>
  </si>
  <si>
    <t>WOS:000483601500001</t>
  </si>
  <si>
    <t>Irato, P; Santovito, G; Cassini, A; Piccinni, E; Albergoni, V</t>
  </si>
  <si>
    <t>Metal accumulation and binding protein induction in Mytilus galloprovincialis, Scapharca inaequivalvis, and Tapes philippinarum from the lagoon of Venice</t>
  </si>
  <si>
    <t>HEAVY-METALS; METALLOTHIONEIN INDUCTION; MUSSEL WATCH; RUDITAPES DECUSSATUS; ANTIOXIDANT ENZYMES; LITTORINA-LITTOREA; DIGESTIVE GLAND; GLUTATHIONE; CADMIUM; RADICALS</t>
  </si>
  <si>
    <t>Heavy metal pollution is known to be widespread in the sediments of the Lagoon of Venice. Therefore, physiological parameters influenced by this form of contamination were examined. The bivalve molluscs blue mussel (Mytilus galloprovincialis), ark clam (Scapharca inaequivalvis), and Japanese littleneck (Tapes philippinarum) were sampled in two sites (Marghera, Chioggia) every 3 months for 1 year. The digestive gland and gills of each bivalve were analyzed. The concentrations of essential and nonessential metals (including chromium, manganese, iron, cobalt, nickel, copper, zinc, and cadmium) were determined. Because glutathione and metallothioneins (MTs) are involved in metal homeostasis and detoxification, their concentrations were evaluated in relation to metal concentrations. Results show that (1) all three studied species accumulate metals to a considerable extent, with some species-specific differences between the digestive gland and gills; (2) gills are a good tissue to evaluate pollution by examining the MT content. In particular, the correlation between Zn and MT levels in the gills indicates that M. galloprovincialis and S. inaequivalvis are sentinel organisms and can be used specifically for Zn pollution; (3) T. philippinarum accumulates Cu in the digestive gland more readily than the other two bivalves and therefore has the highest MT.</t>
  </si>
  <si>
    <t>Univ Padua, Dept Biol, I-35131 Padua, Italy</t>
  </si>
  <si>
    <t>University of Padua</t>
  </si>
  <si>
    <t>Univ Padua, Dept Biol, Via U Bassi 58-B, I-35131 Padua, Italy.</t>
  </si>
  <si>
    <t>biopd09@civ.bio.unipd.it</t>
  </si>
  <si>
    <t>Santovito, Gianfranco/ABB-9484-2021; Santovito, Gianfranco/F-7651-2019</t>
  </si>
  <si>
    <t>IRATO, PAOLA/0000-0002-8066-0775; Santovito, Gianfranco/0000-0001-8260-7006</t>
  </si>
  <si>
    <t>10.1007/s00244-002-1262-8</t>
  </si>
  <si>
    <t>665CQ</t>
  </si>
  <si>
    <t>WOS:000182102400008</t>
  </si>
  <si>
    <t>Dghim, A; Ben Ameur, W; Annabi, A</t>
  </si>
  <si>
    <t>Dghim, Amel; Ben Ameur, Walid; Annabi, Ali</t>
  </si>
  <si>
    <t>Assessment of the Accumulation of Trace Metals and Oxidative Stress Response Biomarkers in the Portunid Portunus segnis</t>
  </si>
  <si>
    <t>aquatic pollution; biomarkers; heavy metals; Portunus segnis</t>
  </si>
  <si>
    <t>CLAM RUDITAPES-DECUSSATUS; CRAB CARCINUS-MAENAS; BLUE SWIMMING CRAB; LIPID-PEROXIDATION; MYTILUS-GALLOPROVINCIALIS; HEAVY-METALS; GULF; ANTIOXIDANT; GABES; BIOACCUMULATION</t>
  </si>
  <si>
    <t>The invasive blue crab Portunus segnis, which was collected from two sites on the Gulf of Gabes, is the subject of this work. This study is based on demonstrating the accumulation capacity of P. segnis by measuring the concentrations of cadmium, zinc, lead, and copper in the gills and hepatopancreas. The enzymatic activities of catalase, glutathione-S-transferase, reduced glutathione, and lipid peroxidase were assessed in this region for the first time. The main results show that the metals have high bioaccumulation potentials in P. segnis tissues between different sites. The possible adaptation of P. segnis in the Gulf of Gabes and the variations in the studied biomarkers and metal concentrations at different sites confirm the usefulness of the invasive blue crab as a sentinel species.</t>
  </si>
  <si>
    <t>[Dghim, Amel; Ben Ameur, Walid; Annabi, Ali] Univ Gabes, Fac Sci Gabes, Dept Sci Vie, Ecol Faune Terr UR17ES44, Gabes 6029, Tunisia</t>
  </si>
  <si>
    <t>Universite de Gabes</t>
  </si>
  <si>
    <t>Annabi, A (corresponding author), Univ Gabes, Fac Sci Gabes, Dept Sci Vie, Ecol Faune Terr UR17ES44, Gabes 6029, Tunisia.</t>
  </si>
  <si>
    <t>medannabi@yahoo.fr</t>
  </si>
  <si>
    <t>Tunisia's Ministry of Higher Education and Scientific Research</t>
  </si>
  <si>
    <t>The Life Sciences Department of the Faculty of Sciences of Gabes, University of Gabes, provided the reagents and technical scientific support for which the authors are very thankful. The authors also acknowledge the support of the study from Tunisia's Ministry of Higher Education and Scientific Research.</t>
  </si>
  <si>
    <t>10.3390/app13127197</t>
  </si>
  <si>
    <t>K5OU0</t>
  </si>
  <si>
    <t>WOS:001016940600001</t>
  </si>
  <si>
    <t>Liang, LN; Shi, JB; He, B; Jiang, GB; Yuan, CG</t>
  </si>
  <si>
    <t>Investigation of methylmercury and total mercury contamination in mollusk samples collected from coastal sites along the Chinese Bohai Sea</t>
  </si>
  <si>
    <t>JOURNAL OF AGRICULTURAL AND FOOD CHEMISTRY</t>
  </si>
  <si>
    <t>methylmercury; total mercury; HPLC-AFS; mollusks</t>
  </si>
  <si>
    <t>ATOMIC FLUORESCENCE SPECTROMETRY; LIQUID-CHROMATOGRAPHY; INORGANIC MERCURY; SELENIUM</t>
  </si>
  <si>
    <t>This paper presents the investigation results of methylmercury and total mercury in gastropod and bivalve species collected from eight coastal sites along the Chinese Bohai Sea. The total mercury was directly determined by atomic fluorescence spectrometry (AFS), while the methylmercury was measured by a laboratory established high performance liquid chromatography-atomic fluorescence spectrometry system (HPLC-AFS). Certified reference material DORM-2 (Dogfish muscle) was used to validate the two methods and the obtained results proved to be in good agreement with the certified values. It was demonstrated that the mercury contamination was commonly existed in all selected mollusks, with methylmercury and total mercury concentration in the range of 4.8-168.4 and 6.7-453.0 ng Hg g(-1), respectively. Mollusks from HuLuDao were the most mercury contaminated, and those from PengLai took the second place. The species-dependent bioaccumulation capacity was observed in this study. Gastropods showed more capacity to bioaccumulate mercury than bivalves, and mercury contents in two kinds of gastropods (Rapana venosa and Neverita didyma) presented some uplifted trends with the dimensions increasing of the gastropods. Rapana venosa was found to be a potential biomarker to monitor mercury pollution in oceans. Evaluations were also made concerning about the ratio of methylmercury to total mercury.</t>
  </si>
  <si>
    <t>Chinese Acad Sci, Ecoenvironm Sci Res Ctr, Key Lab Environm Chem &amp; Ecotoxicol, Beijing 100085, Peoples R China</t>
  </si>
  <si>
    <t>Chinese Academy of Sciences; Research Center for Eco-Environmental Sciences (RCEES)</t>
  </si>
  <si>
    <t>Jiang, GB (corresponding author), Chinese Acad Sci, Ecoenvironm Sci Res Ctr, Key Lab Environm Chem &amp; Ecotoxicol, POB 2871, Beijing 100085, Peoples R China.</t>
  </si>
  <si>
    <t>Shi, Jianbo/B-1785-2012</t>
  </si>
  <si>
    <t>Shi, Jianbo/0000-0003-2637-1929</t>
  </si>
  <si>
    <t>0021-8561</t>
  </si>
  <si>
    <t>J AGR FOOD CHEM</t>
  </si>
  <si>
    <t>J. Agric. Food Chem.</t>
  </si>
  <si>
    <t>DEC 3</t>
  </si>
  <si>
    <t>10.1021/jf034199l</t>
  </si>
  <si>
    <t>Agriculture, Multidisciplinary; Chemistry, Applied; Food Science &amp; Technology</t>
  </si>
  <si>
    <t>Agriculture; Chemistry; Food Science &amp; Technology</t>
  </si>
  <si>
    <t>748VB</t>
  </si>
  <si>
    <t>WOS:000186880800025</t>
  </si>
  <si>
    <t>Tedengren, M; Olsson, B; Bradley, B; Zhou, LZ</t>
  </si>
  <si>
    <t>Heavy metal uptake, physiological response and survival of the blue mussel (Mytilus edulis) from marine and brackish waters in relation to the induction of heat-shock protein 70</t>
  </si>
  <si>
    <t>Joint BMB 15 / ECSA 27 Symposium</t>
  </si>
  <si>
    <t>JUN, 1997</t>
  </si>
  <si>
    <t>ALAND, FINLAND</t>
  </si>
  <si>
    <t>heavy metals; accumulation; physiological fitness; survival; HSP 70; Mytilus; Baltic Sea</t>
  </si>
  <si>
    <t>NORTH-SEA POPULATIONS; RECIPROCAL TRANSPLANTATIONS; PHENOTYPIC DIFFERENCES; ESTUARINE INVERTEBRATES; MOLECULAR CHAPERONES; STRESS PROTEIN; GROWTH; SALINITY; TEMPERATURE; INDICATORS</t>
  </si>
  <si>
    <t>Earlier studies demonstrate that blue mussels (Mytilus edulis) from the Baltic population are more sensitive, in terms of physiological response and survival when exposed to toxic substances, compared to mussels from a more marine environment. The question whether this can be explained by environmental factors or genetic differences in the ability to synthesise a common stress-inducible protein (HSP 70) was addressed in two experiments. In the first experiment mussels from the North and Baltic Seas were acclimatised to an intermediate salinity of 15 parts per thousand S in the laboratory. The physiological performance was studied when the heavy metal cadmium was added and accumulated by the animals during a one week exposure. Tissue concentration was measured and related to physiological response. The level of expression of HSP 70 was analysed by densitometry on Western blots. North Sea mussels rapidly induced high levels and multiple forms of HSP 70, reached a comparatively low tissue concentration of cadmium, and showed only a minor physiological response and low mortality rates. Baltic Sea mussels had low levels of HSP 70, induced at slow rate, reached higher tissue concentrations of cadmium, and showed a more pronounced physiological response and higher mortality rates. High levels of stress proteins and a rapid induction corresponded well with physiological fitness, and the mussels from the North Sea thus seem to have a more efficient detoxification system, probably including stress-inducible proteins. In the second experiment, juvenile mussels from the Baltic population were acclimatised for a month to North Sea conditions in a field transplant. The mussels were then exposed to low-dose copper in the laboratory and the accumulation, physiological response and synthesis of stress inducible proteins were assessed. The results indicate that the physiological differences described between the populations are to a large extent explained by environmental factors. However, some differences can still be observed between the populations, e.g., a lower rate of induction of a major stress protein in Baltic than in North Sea mussels. It can thus be suggested that a reduced ability to stress protein induction, in their natural low saline habitat, might be a contributing factor to the higher pollution sensitivity earlier demonstrated for Baltic blue mussels.</t>
  </si>
  <si>
    <t>Stockholm Univ, Dept Syst Ecol, S-10691 Stockholm, Sweden; Univ Maryland Baltimore Cty, Dept Biol Sci, Baltimore, MD 21228 USA</t>
  </si>
  <si>
    <t>Stockholm University; University System of Maryland; University of Maryland Baltimore County</t>
  </si>
  <si>
    <t>Stockholm Univ, Dept Syst Ecol, S-10691 Stockholm, Sweden.</t>
  </si>
  <si>
    <t>michaelt@system.ecology.su.se</t>
  </si>
  <si>
    <t>Tedengren, Michael/HNS-4141-2023</t>
  </si>
  <si>
    <t>Tedengren, Michael/0000-0002-1087-6714</t>
  </si>
  <si>
    <t>10.1023/A:1003583509218</t>
  </si>
  <si>
    <t>224XE</t>
  </si>
  <si>
    <t>WOS:000081924600028</t>
  </si>
  <si>
    <t>Ben Youssef-Dridi, S; Magalhaes, L; Soares, AMVM; Pereira, E; Freitas, R; Gargouri, L</t>
  </si>
  <si>
    <t>Ben Youssef-Dridi, Soumaya; Magalhaes, Luisa; Soares, Amadeu M. V. M.; Pereira, Eduarda; Freitas, Rosa; Gargouri, Lamia</t>
  </si>
  <si>
    <t>Trace elements assessment in Cerastoderma glaucum from port areas in the Tunisian Mediterranean coast: The influence of parasites on bioaccumulation</t>
  </si>
  <si>
    <t>Pollutants; Molluscs bivalves; Digenean trematodes; Natural infection; Mediterranean sea</t>
  </si>
  <si>
    <t>HEAVY-METAL CONTAMINATION; DISSOLVED ORGANIC-CARBON; CRASSOSTREA-CORTEZIENSIS; RUDITAPES-DECUSSATUS; COMMUNITY STRUCTURE; CORBICULA-FLUMINEA; GONADAL MATURATION; BIVALVE MOLLUSKS; EDULE; CADMIUM</t>
  </si>
  <si>
    <t>In the present study, the seasonal concentration of seven trace elements was investigated in sediment and the cockle Cerastoderma glaucum tissues from two port areas in the North-East and South of Tunisia comparing cockles non-parasitized (NP) and parasitized (P) with digenean parasites. Elements concentration in sediments analyzed in both sites revealed that Zinc (Zn), Chromium (Cr), and Lead (Pb) were the most abundant ones, while Cadmium (Cd) and Mercury (Hg) were less abundant. The bioaccumulation of trace metals and Arsenic (As) in the tissues of cockles seems to be modulated by both the infection state and the parasite species. The relationship between bioaccumulation of metals and As, trematode species and abiotic parameters showed that the avail-ability of certain metals for uptake by P cockles of both sites was influenced by the salinity and temperature of the water. Our results corroborate the possibility of using digenean infecting bivalves in biomonitoring aquatic ecosystems.</t>
  </si>
  <si>
    <t>[Ben Youssef-Dridi, Soumaya; Gargouri, Lamia] Univ Tunis El Manar, Fac Sci Tunis, Lab Divers Management &amp; Conservat Biol Syst, LR18ES06, Tunis, Tunisia; [Magalhaes, Luisa; Soares, Amadeu M. V. M.; Pereira, Eduarda; Freitas, Rosa] Univ Aveiro, Dept Biol, CESAM, Campus Univ Santiago, P-3810193 Aveiro, Portugal</t>
  </si>
  <si>
    <t>Universite de Tunis-El-Manar; Faculte des Sciences de Tunis (FST); Universidade de Aveiro</t>
  </si>
  <si>
    <t>Ben Youssef-Dridi, S (corresponding author), Univ Tunis El Manar, Fac Sci Tunis, Lab Divers Management &amp; Conservat Biol Syst, LR18ES06, Tunis, Tunisia.</t>
  </si>
  <si>
    <t>benyoussef.soumaya1@gmail.com</t>
  </si>
  <si>
    <t>Pereira, Eduarda/A-5907-2012; Freitas, Rosa/A-7539-2012; Soares, Amadeu/A-8304-2008; Magalhaes, Luisa/K-3876-2014</t>
  </si>
  <si>
    <t>Magalhaes, Luisa/0000-0002-9862-9653</t>
  </si>
  <si>
    <t>University of Tunis El Manar (Ministry of Higher Education, Tunisia); INTERREG-ATLANTIC program through the research project COCKLES [EAPA_458/2016]; FCT/MCTES [UIDP/50017/2020+UIDB/50017/2020+LA/P/0094/2020]</t>
  </si>
  <si>
    <t>University of Tunis El Manar (Ministry of Higher Education, Tunisia); INTERREG-ATLANTIC program through the research project COCKLES; FCT/MCTES(Fundacao para a Ciencia e a Tecnologia (FCT))</t>
  </si>
  <si>
    <t>Soumaya Ben Yousef-Dridi received financial support from University of Tunis El Manar (Ministry of Higher Education, Tunisia). Lufsa Magalhaes benefited from a post-doctoral research fellowship funded by INTERREG-ATLANTIC program through the research project COCKLES (EAPA_458/2016 COCKLES Co-Operation for Restoring CocKle SheLl-fisheries &amp; its Ecosystem-Services in the Atlantic Area). Thanks are due to FCT/MCTES for the financial support to CESAM (UIDP/50017/2020+UIDB/50017/2020+LA/P/0094/2020), through national funds.</t>
  </si>
  <si>
    <t>10.1016/j.marpolbul.2023.115831</t>
  </si>
  <si>
    <t>DV5O8</t>
  </si>
  <si>
    <t>WOS:001134872600001</t>
  </si>
  <si>
    <t>Faria, M; López, MA; Díez, S; Barata, C</t>
  </si>
  <si>
    <t>Faria, Melissa; Angel Lopez, Miguel; Diez, Sergi; Barata, Carlos</t>
  </si>
  <si>
    <t>Are native naiads more tolerant to pollution than exotic freshwater bivalve species? An hypothesis tested using physiological responses of three species transplanted to mercury contaminated sites in the Ebro River (NE, Spain)</t>
  </si>
  <si>
    <t>Zebra mussel; Asian clam; Freshwater mussels; Antioxidant defences; Oxidative stress; Mercury</t>
  </si>
  <si>
    <t>HYRIDELLA-MENZIESI UNIONACEA; MUSSEL DREISSENA-POLYMORPHA; CORBICULA-FLUMINEA; ZEBRA MUSSEL; GLUTATHIONE METABOLISM; MULTI-BIOMARKER; SEDIMENT; UNIONOIDA; DNA; PHYTOPLANKTON</t>
  </si>
  <si>
    <t>In the lower Ebro River exist the paradoxical convergence of relatively well preserved river dynamics with the historical presence of a chloralkali plant with a long history of mercury discharges and the recent invasion of foreign bivalves species Here we performed a comparative study on two alien bivalves the Zebra mussel and the Asian clam (Dreissena polymorpha and Corbicula fluminea) and one protected species of naiads (Psilunio numbs) which is the most common species of the freshwater mussel assemblages in this river Individuals of the three species were transplanted to three sites that included a clean unpolluted upstream site a contaminated location next to the mercury source and a downstream one The study focused on digestive gland antioxidant and oxidative stress responses such as antioxidant enzymes glutathione S transferase glutathione levels metallothionein proteins DNA strand breaks and lipid peroxidation levels Results evidenced interspecies differences on accumulation levels of mercury antioxidant defensive systems and oxidative tissue damage The naiad species despite of accumulating more mercury showed the greatest antioxidant defensive potential which was characterized by having high constitutive activities of glutathione S transferase and inducible activities and levels of key antioxidant enzymes and glutathione Exposed individuals of C fluminea had moderate levels of metal accumulation the highest activities of antioxidant enzymes but also high levels of lipid peroxidation D polymorpha mussels showed the lowest levels of mercury but the lowest antioxidant responses and consequently the highest levels of oxidative injuries in the DNA and of mortality Our results support the hypothesis that naiad species might be more tolerant to pollution than exotic species (C) 2010 Elsevier Ltd All rights reserved</t>
  </si>
  <si>
    <t>[Faria, Melissa; Diez, Sergi; Barata, Carlos] CSIC, IDAEA, Dept Environm Chem, ES-08034 Barcelona, Spain; [Angel Lopez, Miguel] Forestal Catalana Environm Agcy, Barcelona 08028, Spain</t>
  </si>
  <si>
    <t>Consejo Superior de Investigaciones Cientificas (CSIC); CSIC - Centro de Investigacion y Desarrollo Pascual Vila (CID-CSIC); CSIC - Instituto de Diagnostico Ambiental y Estudios del Agua (IDAEA)</t>
  </si>
  <si>
    <t>Barata, C (corresponding author), CSIC, IDAEA, Dept Environm Chem, Jordi Girona 18, ES-08034 Barcelona, Spain.</t>
  </si>
  <si>
    <t>Faria, Melissa/ABI-2225-2020; Díez, Sergi/B-7601-2019; Diez, Sergi/L-3236-2014; Barata, Carlos/K-8232-2014</t>
  </si>
  <si>
    <t>Faria, Melissa/0000-0003-1451-4427; Diez, Sergi/0000-0002-9870-2179; Barata, Carlos/0000-0002-3360-0729</t>
  </si>
  <si>
    <t>Ministerio de Medio Ambiente [041/SGTB/2007/1 1, 042/RN08/03 4]; BBVA Fundation [BIOCON06/113]</t>
  </si>
  <si>
    <t>Ministerio de Medio Ambiente(Spanish Government); BBVA Fundation(BBVA Foundation)</t>
  </si>
  <si>
    <t>This study was funded by the Ministerio de Medio Ambiente Projects 041/SGTB/2007/1 1 and 042/RN08/03 4 and by the BBVA Fundation project (BIOCON06/113) Collection of P littoralis individuals was performed on behalf of the Environmental Agency of the Generalitat de Catalunya Project 4225-2008 4636-2009/12 - Study actions conservation and management of the protected freshwater mussels of Catalonia Management and conservation of Margaritifera auricularia and other naids of the Ebro River</t>
  </si>
  <si>
    <t>10.1016/j.chemosphere.2010.09.037</t>
  </si>
  <si>
    <t>686BD</t>
  </si>
  <si>
    <t>WOS:000284670900007</t>
  </si>
  <si>
    <t>Gedik, K; Koral, S</t>
  </si>
  <si>
    <t>Gedik, Kenan; Koral, Serkan</t>
  </si>
  <si>
    <t>Methylmercury and mercury in Mediterranean mussels (Mytilus galloprovincialis) from Turkish coast: Dietary exposure prediction</t>
  </si>
  <si>
    <t>Total mercury; Methylmercury; Health; Risk; Mussel; Mytilus galloprovincialis</t>
  </si>
  <si>
    <t>HEALTH-RISK ASSESSMENT; EASTERN BLACK-SEA; HEAVY-METALS; MARMARA SEA; TEMPORAL TRENDS; SEDIMENTS; BIOACCUMULATION; POLLUTION; SAMPLES; FISH</t>
  </si>
  <si>
    <t>The spatial distribution of total mercury (HgT) and methylmercury (MeHg) in Mediterranean mussels (Mytilus galloprovincialis) sampled at 23 different stations along Turkiye's Black Sea, the Marmara, and Aegean Sea coasts were investigated in this study. HgT and MeHg were determined using a direct mercury analyzer and ranged 1.10-130.70 mu g/kg and 0.22-37.90 mu g/kg dry weight, respectively. HgT and MeHg have been determined to have a substantial positive correlation (r2 = 0.94). According to average consumption and portion sizes, the weekly intake (EWI) for MeHg was less than the 1.6 mu g/kg/week limits set by the FAO/WHO Joint Committee of Experts on Food Additives (JECFA) for both pediatric and adult consumers. The Target Risk Coefficients (THQ) were calculated to explain the potential long-term exposure scenarios. Our data showed that the excessive consumption of mussels from areas with high MeHg concentrations might pose a risk only for pediatric consumers. The determination of suitable sites for healthy-sustainable mussel production as well as the prevention of collecting mussels from illegal and polluted fields and placing them on the market, should be considered in the context of consumer health awareness.</t>
  </si>
  <si>
    <t>[Gedik, Kenan] Recep Tayyip Erdogan Univ, Vocat Sch Tech Sci, Rize, Turkiye; [Koral, Serkan] Izmir Katip Celebi Univ, Fac Fisheries, Fish Proc Technol Dept, Izmir, Turkiye</t>
  </si>
  <si>
    <t>Recep Tayyip Erdogan University; Izmir Katip Celebi University; Ege University</t>
  </si>
  <si>
    <t>Gedik, K (corresponding author), Recep Tayyip Erdogan Univ, Vocat Sch Tech Sci, Rize, Turkiye.</t>
  </si>
  <si>
    <t>kenan.gedik@erdogan.edu.tr</t>
  </si>
  <si>
    <t>Gedik, Kenan/HKE-2278-2023; koral, serkan/IQT-0815-2023</t>
  </si>
  <si>
    <t>KORAL, SERKAN/0000-0001-7424-2481</t>
  </si>
  <si>
    <t>Recep Tayyip Erdogan University Research Funds [FBA-2020-1130]</t>
  </si>
  <si>
    <t>Recep Tayyip Erdogan University Research Funds(Recep Tayyip Erdogan University)</t>
  </si>
  <si>
    <t>This work was supported by the Recep Tayyip Erdogan University Research Funds (grant number: FBA-2020-1130) . We also acknowledge Erdinc Turanli for his technical assistance in mussel sampling.</t>
  </si>
  <si>
    <t>10.1016/j.marpolbul.2023.115457</t>
  </si>
  <si>
    <t>AUG 2023</t>
  </si>
  <si>
    <t>W3FF9</t>
  </si>
  <si>
    <t>WOS:001090512800001</t>
  </si>
  <si>
    <t>Vieira, KS; Neto, JAB; Crapez, MAC; Gaylarde, C; Pierri, BD; Saldaña-Serrano, M; Bainy, ACD; Nogueira, DJ; Fonseca, EM</t>
  </si>
  <si>
    <t>Vieira, Khaue Silva; Baptista Neto, Jose Antonio; Carlos Crapez, Miriam Araujo; Gaylarde, Christine; Pierri, Bruno da Silva; Saldana-Serrano, Miguel; Dias Bainy, Afonso Celso; Nogueira, Diego Jose; Fonseca, Estefan Monteiro</t>
  </si>
  <si>
    <t>Occurrence of microplastics and heavy metals accumulation in native oysters Crassostrea Gasar in the Paranagu´a estuarine system, Brazil</t>
  </si>
  <si>
    <t>Bioavailability; Microplastic; Heavy metal; Molluscs; Pollution</t>
  </si>
  <si>
    <t>PEARL RIVER ESTUARY; MIXED-FUNCTION OXYGENASE; OS-SANTOS BAY; COASTAL WATERS; TRACE-METALS; SURFACE SEDIMENTS; SPATIAL VARIATION; MARINE BIVALVES; MUSSELS; CONTAMINATION</t>
  </si>
  <si>
    <t>The ubiquitous presence of contaminants in the marine environment is considered a global threat to marine organisms. Heavy metals and microplastics are two distinct classes of pollutants but there are interactions between these two stressors that are still poorly understood. We examined the potential relationship between heavy metals (Al, Cr, Mn, Fe, Ni, Cu, Zn, As, Cd, Ba, Hg, Pb) and microplastic particles in oysters sampled along the Paranagu?a Estuarine System. The results suggested high levels of As and Zn in the bivalves, which are destined for human consumption. Microplastic particles were found in oysters from all sampled locations, demonstrating the spread of this pollutant in the marine environment and its ability to bioaccumulate in oysters. However, our data did not demonstrate a direct relationship between microplastics and heavy metals, suggesting that these particles are not the main route for heavy metal contamination of oysters in the Paranagu?a Estuarine System.</t>
  </si>
  <si>
    <t>[Vieira, Khaue Silva; Baptista Neto, Jose Antonio; Carlos Crapez, Miriam Araujo; Fonseca, Estefan Monteiro] Fluminense Fed Univ, Inst Geosci, Dept Geol &amp; Geophys LAGEMAR, Lab Marine Geol, Ave Litoranea S-N, BR-24210340 Niteroi, RJ, Brazil; [Gaylarde, Christine] Oklahoma Univ, Dept Microbiol &amp; Plant Biol, 770 Van Vleet Oval, Norman, OK 73019 USA; [Pierri, Bruno da Silva] Univ Fed Santa Catarina, Dept Aquaculture, Lab Fish Nutr LABNUTRI, Florianopolis, SC, Brazil; [Saldana-Serrano, Miguel; Dias Bainy, Afonso Celso] Univ Fed Santa Catarina, Lab Biomarkers Aquat Contaminat &amp; Immunochem LABC, UFSC, Florianopolis, SC, Brazil; [Nogueira, Diego Jose] Univ Fed Santa Catarina, Dept Sanit &amp; Environm Engn, BR-88040970 Florianopolis, SC, Brazil</t>
  </si>
  <si>
    <t>Universidade Federal Fluminense; Universidade Federal de Santa Catarina (UFSC); Universidade Federal de Santa Catarina (UFSC); Universidade Federal de Santa Catarina (UFSC)</t>
  </si>
  <si>
    <t>Vieira, KS (corresponding author), Fluminense Fed Univ, Inst Geosci, Dept Geol &amp; Geophys LAGEMAR, Lab Marine Geol, Ave Litoranea S-N, BR-24210340 Niteroi, RJ, Brazil.</t>
  </si>
  <si>
    <t>kvieira87@gmail.com</t>
  </si>
  <si>
    <t>Nogueira, Diego/U-3893-2019; Neto, José/AAL-2773-2021; Bainy, Afonso/J-6097-2012; Nogueira, Diego Jose/I-5306-2012</t>
  </si>
  <si>
    <t>Nogueira, Diego Jose/0000-0001-5831-4043; SALDANA SERRANO, MIGUEL ANGEL/0000-0003-4992-8996; Bainy, Afonso/0000-0002-3885-7718; da Silva Pierri, Bruno/0000-0002-5201-3319</t>
  </si>
  <si>
    <t>SNP (Secretaria Nacional de Portos); CNPq</t>
  </si>
  <si>
    <t>SNP (Secretaria Nacional de Portos); CNPq(Conselho Nacional de Desenvolvimento Cientifico e Tecnologico (CNPQ))</t>
  </si>
  <si>
    <t>This research was funded by SNP (Secretaria Nacional de Portos). The authors are grateful to the Geology and Geophysics Department/LAGEMAR at UFF (Universidade Federal Fluminense), staff of the Central Laboratory of Electron Microscopy (LCME), Multiuser Laboratory of Biology Studies (LAMEB) and Laboratory of Biomarkers of Aquatic Contamination and Immunochemistry (LABCAI) at the Federal University of Santa Catarina (UFSC), Florian ' opolis, SC, Brazil for infrastructure and assistance with microscopy analysis and CAPES (Coordenac ~ao de Aperfeicoamento de Pessoal de Nivel Superior) for infrastructure and administrative support. ACDB is recipient of CNPq productivity fellowship.</t>
  </si>
  <si>
    <t>10.1016/j.marpolbul.2021.112225</t>
  </si>
  <si>
    <t>RZ2NQ</t>
  </si>
  <si>
    <t>WOS:000648435800002</t>
  </si>
  <si>
    <t>Huang, H; Wu, JY; Wu, JH</t>
  </si>
  <si>
    <t>Huang, H.; Wu, J. Y.; Wu, J. H.</t>
  </si>
  <si>
    <t>Heavy metal monitoring using bivalved shellfish from Zhejiang coastal waters, East China Sea</t>
  </si>
  <si>
    <t>heavy metals; bivalved shellfish bioindicator; maximum allowable concentration; Zhejiang coastal waters; East China Sea</t>
  </si>
  <si>
    <t>TRACE-METAL; MYTILUS-EDULIS; POLLUTION</t>
  </si>
  <si>
    <t>The interest of culturing bivalved shellfish (including mussels, clams, oysters etc.), has increased in recent years, but the consumption has been hampered both by high levels of heavy metals and toxic algae. The levels of heavy metals (Hg, Cd, Pb, Zn, Cu and As) were determined in soft tissues of different shellfish from Zhejiang coastal waters, East China Sea. The average concentrations of the heavy metals analyzed exhibited the following decreasing order: Zn &gt; Cu &gt; As &gt; Cd &gt; Pb &gt; Hg. Comparison of heavy metals concentrations among species indicated that Bivalves clearly have significant potential as useful bioindicators; however, the results indicated that no one species is universally suitable, as is true of any organism used in these studies. The distribution of the metals was also investigated along the Zhejiang coast, which the results showed the mean concentration of Hg and Cd detected did not vary greatly and presented a similar spatial pattern at different sampling stations, the concentrations of Zn and Pb were highly variable at different sampling sites. The amounts of heavy metals in soft tissue of shellfish were also compared with those from the related species from other seas in China and world marine waters. The results suggested that the coastal area might be considered relatively unpolluted with heavy metals and the concentrations of metals in shellfish also below the seafood safety limits for human consumption.</t>
  </si>
  <si>
    <t>Shanghai Fisheries Univ, Coll Marine Sci &amp; Technol, Shanghai 200090, Peoples R China; Tongji Univ, Sch Environm Sci &amp; Technol, Shanghai 200092, Peoples R China; State Ocean Adm, E China Sea Environm Monitoring Ctr, Shanghai 200137, Peoples R China; Univ Massachusetts, Dept Environm, Amherst, MA 01003 USA</t>
  </si>
  <si>
    <t>Shanghai Ocean University; Tongji University; University of Massachusetts System; University of Massachusetts Amherst</t>
  </si>
  <si>
    <t>Huang, H (corresponding author), Shanghai Fisheries Univ, Coll Marine Sci &amp; Technol, Shanghai 200090, Peoples R China.</t>
  </si>
  <si>
    <t>hhuang@shfu.edu.cn</t>
  </si>
  <si>
    <t>Wu, Jianyong/A-6854-2011</t>
  </si>
  <si>
    <t>Wu, Jianyong/0000-0002-5864-3186</t>
  </si>
  <si>
    <t>10.1007/s10661-006-9364-9</t>
  </si>
  <si>
    <t>176OQ</t>
  </si>
  <si>
    <t>WOS:000247095200032</t>
  </si>
  <si>
    <t>Meattey, DE; Savoy, L; Beuth, J; Pau, N; O'Brien, K; Osenkowski, J; Regan, K; Lasorsa, B; Johnson, I</t>
  </si>
  <si>
    <t>Meattey, Dustin E.; Savoy, Lucas; Beuth, Josh; Pau, Nancy; O'Brien, Kathleen; Osenkowski, Jason; Regan, Kevin; Lasorsa, Brenda; Johnson, Ian</t>
  </si>
  <si>
    <t>Elevated mercury levels in a wintering population of common eiders (Somateria mollissima) in the northeastern United States</t>
  </si>
  <si>
    <t>Common eider; Sea ducks; Mercury; Blood; Contaminants; Mollusks</t>
  </si>
  <si>
    <t>MUSSELS MYTILUS-EDULIS; AMERICAN SEA DUCKS; BERGEN HARBOR AREA; TRACE-ELEMENTS; HEAVY-METALS; KING EIDERS; MACOMA-BALTHICA; WESTERN NORWAY; ALEUTIAN CHAIN; NEW-BRUNSWICK</t>
  </si>
  <si>
    <t>In North America and Europe, sea ducks are important indicators of ecological health and inshore marine pollution. To explore spatial variation in mercury accumulation in common eiders in the northeastern United States, we compared concentrations of total mercury in common eider blood at several New England locations between 1998 and 2013. Eider food items (mollusks) were collected and analyzed to determine if mercury concentrations in eider blood were indicative of local mercury bioavailability. Eiders from Plum Island Sound, MA had a significantly higher mean blood mercury concentration (0.83 mu g/g) than those in other locations. Mean mercury levels in this population were also nearly three times higher than any blood mercury concentrations reported for common eiders in published literature. We observed consistent patterns in eider blood mercury and blue mussel mercury concentrations between sites, suggesting a tentative predictive quality between the two species. (C) 2014 Elsevier Ltd. All rights reserved.</t>
  </si>
  <si>
    <t>[Meattey, Dustin E.; Savoy, Lucas; Regan, Kevin; Johnson, Ian] Biodivers Res Inst, Gorham, ME 04038 USA; [Beuth, Josh; Osenkowski, Jason] Rhode Isl Dept Environm Management, West Kingston, RI 02892 USA; [Pau, Nancy] US Fish &amp; Wildlife Serv, Parker River NWR, Newburyport, MA 01950 USA; [O'Brien, Kathleen] US Fish &amp; Wildlife Serv, Rachel Carson NWR, Wells, ME 04090 USA; [Lasorsa, Brenda] Battelle Marine Sci Lab, Sequim, WA 98382 USA</t>
  </si>
  <si>
    <t>United States Department of the Interior; US Fish &amp; Wildlife Service; United States Department of the Interior; US Fish &amp; Wildlife Service; United States Department of Energy (DOE); Pacific Northwest National Laboratory</t>
  </si>
  <si>
    <t>Meattey, DE (corresponding author), Biodivers Res Inst, 652 Main St, Gorham, ME 04038 USA.</t>
  </si>
  <si>
    <t>dustin.meattey@briloon.org</t>
  </si>
  <si>
    <t>Parker River National Wildlife Refuge; Rachel Carson National Wildlife Refuge and Rachel Carson National Wildlife Refuge; University of Rhode Island; Rhode Island Department of Environmental Management; USFWS Region 5</t>
  </si>
  <si>
    <t>The authors would like to thank the staff at Parker River National Wildlife Refuge and Rachel Carson National Wildlife Refuge for their invaluable help in assisting field efforts, providing access to refuge property and resources, and funding support. The University of Rhode Island and Rhode Island Department of Environmental Management also provided funding and field support for sample collection. Funding for Boston Harbor capture efforts was provide by USFWS Region 5. We would like to thank Dr. Jon Atwood, Dr. lain Stenhouse, Oksana Lane, David Yates, and Alishia Zyer for providing helpful comments and direction on early drafts of this paper. Thanks to Evan Adams for providing valuable assistance with statistical analyses and interpretation. Lastly, we would like to thank many past and current Biodiversity Research Institute biologists for their tireless efforts in the field. Thanks to Michael Chickering, Pedro Ardapple, Rick Gray, Patrick Keenan, Chris Niven, David Yates, Robby Lambert, Casey Huck, and Chris DeSorbo. The findings and conclusions in this article are those of the authors and do not necessarily represent the views of the U.S. Fish and Wildlife Service.</t>
  </si>
  <si>
    <t>10.1016/j.marpolbul.2014.07.015</t>
  </si>
  <si>
    <t>AQ5PC</t>
  </si>
  <si>
    <t>WOS:000342860100037</t>
  </si>
  <si>
    <t>Bini, G; Pugliese, AM; Pepeu, G; Chelazzi, G</t>
  </si>
  <si>
    <t>Tetrodotoxin prevents copper-induced bradycardia in gastropod limpets</t>
  </si>
  <si>
    <t>tetrodotoxin; heavy metals; copper; cardiac activity; molluscs; gastropods; limpets</t>
  </si>
  <si>
    <t>CARDIAC ACTIVITY; BLUE MUSSEL; MACULOTOXIN; HEART</t>
  </si>
  <si>
    <t>Acute exposure to waterborne copper is followed by a reduction in heart rate in gastropod limpets. In order to understand the mechanism of this effect, exposure to copper (0.25 or 0.5 mg l(-1); for 3 and 6 h) was combined with an injection of tetrodotoxin (TTX, 20 mu l, 0.5 or 1 mu M), a natural toxin that inhibits the propagation and transmission of impulses in excitable tissues. Experiments were performed on the Mediterranean limpet Patella caerulea, using a non-invasive method for the recording of cardiac activity. TTX did not affect the bradycardic effect of the cholinergic agonist carbachol. However, this toxin significantly antagonized the bradycardia induced by 0.25 and 0.5 mg l(-1) of copper exposure and prevented the acardia observed in some limpets exposed to 0.5 mg l(-1) of copper for 6 h. These results are consistent with the hypothesis that the inhibitory action of copper on limpet cardiac activity involves an extrinsic, cholinergic neuronal control. (c) 2005 Elsevier Ltd. All rights reserved.</t>
  </si>
  <si>
    <t>Univ Florence, Dept Anim Biol &amp; Genet, I-50125 Florence, Italy; Univ Florence, Dept Preclin &amp; Clin Pharmacol, I-50139 Florence, Italy</t>
  </si>
  <si>
    <t>University of Florence; University of Florence</t>
  </si>
  <si>
    <t>Univ Florence, Dept Anim Biol &amp; Genet, I-50125 Florence, Italy.</t>
  </si>
  <si>
    <t>scientif@unifi.it</t>
  </si>
  <si>
    <t>PUGLIESE, ANNA MARIA/0000-0001-7554-5740</t>
  </si>
  <si>
    <t>10.1016/j.envpol.2005.04.029</t>
  </si>
  <si>
    <t>994ZG</t>
  </si>
  <si>
    <t>WOS:000234069100009</t>
  </si>
  <si>
    <t>Lu, GY; Ke, CH; Zhu, AJ; Wang, WX</t>
  </si>
  <si>
    <t>Lu, Guang-Yuan; Ke, Cai-Huan; Zhu, Aijia; Wang, Wen-Xiong</t>
  </si>
  <si>
    <t>Oyster-based national mapping of trace metals pollution in the Chinese coastal waters</t>
  </si>
  <si>
    <t>Metal; Oyster; China; National mapping; Biomonitoring; Na/P normalization</t>
  </si>
  <si>
    <t>SCALLOP CHLAMYS-NOBILIS; MUSSEL WATCH; CRASSOSTREA-VIRGINICA; MARINE-PHYTOPLANKTON; BIVALVE MOLLUSKS; BIOKINETIC MODEL; PERNA-VIRIDIS; YANGTZE-RIVER; HEAVY-METALS; SOUTH CHINA</t>
  </si>
  <si>
    <t>To investigate the distribution and variability of trace metal pollution in the Chinese coastal waters, over 1000 adult oyster individuals were collected from 31 sites along the entire coastline, spanning from temperate to tropical regions (Bohai Sea, Yellow Sea, East China Sea and South China Sea), between August and September 2015. Concentrations of macroelements [sodium (Na), potassium (IC), calcium (Ca), magnesium (Mg) and phosphorus (P)] and trace elements [cadmium (Cd), copper (Cu), zinc (Zn), nickel (Ni), lead (Pb), chromium (Cr), silver (Ag), and titanium (Ti)] in these oysters were concurrently measured and analyzed. The results showed high Ti, Zn and Cu bioaccumulation in oysters from Guangdong (South China Sea) and Zhejiang (East China Sea). Oysters at Nanji Island (Wenzhou) and Daya Bay (Huizhou) accumulated significantly high concentrations of Ni and Cr. The elements in these oysters were several times higher than the national food safety limits of China. On the other hand, the present study found that normalization of metals by salinity (Na) and nutrient (P) could reflect more details of metal pollution in the oysters. Biomonitoring of metal pollution could benefit from incorporating the macroelement calibration instead of focusing only on the total metal concentrations. Overall, simultaneous measurement of macroelements and trace metals coupled with non-linear analysis provide a new perspective for revealing the underlying mechanism of trace metal bioavailability and bioaccumulation in marine organisms. (C) 2017 Elsevier Ltd. All rights reserved.</t>
  </si>
  <si>
    <t>[Lu, Guang-Yuan; Wang, Wen-Xiong] Hong Kong Univ Sci &amp; Technol, Shenzhen Res Inst, Marine Environm Lab, Shenzhen 518000, Peoples R China; [Lu, Guang-Yuan; Ke, Cai-Huan] Xiamen Univ, State Key Lab Marine Environm Sci, Xiamen 361005, Peoples R China; [Zhu, Aijia] State Ocean Adm, South China Sea Environm Monitoring Ctr, Guangzhou 510300, Guangdong, Peoples R China; [Wang, Wen-Xiong] Hong Kong Univ Sci &amp; Technol, Div Life Sci, Kowloon, Hong Kong, Peoples R China</t>
  </si>
  <si>
    <t>Hong Kong University of Science &amp; Technology; Xiamen University; Hong Kong University of Science &amp; Technology</t>
  </si>
  <si>
    <t>Wang, WX (corresponding author), Room 313-1,9 Yuexing 1st Rd,HKUST SZ IER Bldg, Shenzhen 518057, Peoples R China.</t>
  </si>
  <si>
    <t>Ke, CH/G-4635-2010; Wang, Wenxiong/E-7254-2011; Lu, Guangyuan/H-5051-2018</t>
  </si>
  <si>
    <t>Wang, Wenxiong/0000-0001-9033-0158; Lu, Guangyuan/0000-0002-1117-452X</t>
  </si>
  <si>
    <t>Free Exploration Projects of the Basic Research Funding of Shenzhen [JCYJ20160530190902836]; Key Project from National Natural Science Foundation of China [21237004]</t>
  </si>
  <si>
    <t>Free Exploration Projects of the Basic Research Funding of Shenzhen; Key Project from National Natural Science Foundation of China</t>
  </si>
  <si>
    <t>We thank Qi-Jun Yin and Dr. Xun Wang for their help of elemental analysis, and gratefully acknowledge the support of this research by the Free Exploration Projects of the Basic Research Funding of Shenzhen 2016 (No. JCYJ20160530190902836) and the Key Project from National Natural Science Foundation of China (No. 21237004).</t>
  </si>
  <si>
    <t>10.1016/j.envpol.2017.02.049</t>
  </si>
  <si>
    <t>ES1AX</t>
  </si>
  <si>
    <t>WOS:000399261400068</t>
  </si>
  <si>
    <t>Sun, M; Jing, YY; Zhang, TW; Hu, FG; Chen, Q; Liu, GB</t>
  </si>
  <si>
    <t>Sun, Ming; Jing, Yuanyuan; Zhang, Tianwen; Hu, Fanguang; Chen, Qun; Liu, Guangbin</t>
  </si>
  <si>
    <t>Effect of salinity on the toxicokinetics, oxidative stress, and metallothionein gene expression in Meretrix meretrix exposed to cadmium</t>
  </si>
  <si>
    <t>Salinity; Meretrix meretrix; Cadmium; Toxicokinetics; Antioxidant enzymes; Gene expression</t>
  </si>
  <si>
    <t>MESSENGER-RNA EXPRESSION; TRACE-METALS; MOLECULAR CHARACTERIZATION; ANTIOXIDANT RESPONSES; CRASSOSTREA-GIGAS; BIVALVE MOLLUSKS; HEAVY-METALS; SOD GENE; BIOACCUMULATION; ACCUMULATION</t>
  </si>
  <si>
    <t>To understand the effect of salinity on the toxicokinetics, oxidative stress, and detoxification of cadmiumexposed Meretrix meretrix, M. meretrix were acclimatized to different salinities (8, 14, 20, 26, and 32 ppt) for 14 d, exposed to 10 mu g/L Cd for 7 d, followed by a 28 -day depuration period. The internal Cd concentration was determined, and the activities of antioxidant enzymes (superoxide dismutase (SOD), catalase (CAT), and glutathione-S-transferase (GST)), and the malondialdehyde (MDA) content were measured. The mRNA expression levels of antioxidant enzyme (Cu/Zn SOD, CAT) and detoxification -related genes metallothionein (MT) were analyzed. The mean concentrations of Cd in M. meretrix tissues were in the order gill &gt; digestive gland &gt; mantle &gt; axe foot. The Cd uptake rate in the four tissues decreased with increasing salinity (range: 14-26 ppt). The Cd elimination half-lives were the highest at 8 ppt and 14 ppt salinity. Cadmium activated the four oxidative stressrelated related enzymes in the gills. At the end of accumulation period, Cd exposure at 20 ppt salinity significantly increased the expression of Cu/Zn SOD. CAT expression was significantly inhibited at 20 ppt salinity, but was induced at 32 ppt. MT mRNA expression was only induced under Cd at 20 ppt salinity. At the end of depuration period, Cu/Zn SOD expression was inhibited at salinities of 8, 14, and 26 ppt. The results indicated that SOD, CAT, GST, MDA, Cu/Zn SOD, CAT, and MT were sensitive to cadmium in a water environment, and can be used as indicators of marine heavy metal pollution.</t>
  </si>
  <si>
    <t>[Sun, Ming; Jing, Yuanyuan; Zhang, Tianwen; Hu, Fanguang; Chen, Qun; Liu, Guangbin] Marine Sci Res Inst Shandong Prov, Qingdao 266104, Peoples R China</t>
  </si>
  <si>
    <t>Liu, GB (corresponding author), Marine Sci Res Inst Shandong Prov, Qingdao 266104, Peoples R China.</t>
  </si>
  <si>
    <t>sunming0927@163.com; liuguangbin72@126.com</t>
  </si>
  <si>
    <t>Zhang, Tianwen/HGC-4707-2022; Gong, Wenbin/AAE-1537-2020</t>
  </si>
  <si>
    <t>Earmarked fund for the Modern Agroindustry Technology Research System in Shandong Province [SDAIT-14]</t>
  </si>
  <si>
    <t>Earmarked fund for the Modern Agroindustry Technology Research System in Shandong Province</t>
  </si>
  <si>
    <t>This project was supported by the earmarked fund for the Modern Agroindustry Technology Research System in Shandong Province (SDAIT-14) .</t>
  </si>
  <si>
    <t>10.1016/j.cbpc.2024.109863</t>
  </si>
  <si>
    <t>OV6I0</t>
  </si>
  <si>
    <t>WOS:001210089200001</t>
  </si>
  <si>
    <t>Liu, XL; Zhang, LB; You, LP; Yu, JB; Zhao, JM; Li, LZ; Wang, Q; Li, F; Li, CH; Liu, DY; Wu, HF</t>
  </si>
  <si>
    <t>Liu, Xiaoli; Zhang, Linbao; You, Liping; Yu, Junbao; Zhao, Jianmin; Li, Lianzhen; Wang, Qing; Li, Fei; Li, Chenghua; Liu, Dongyan; Wu, Huifeng</t>
  </si>
  <si>
    <t>Differential toxicological effects induced by mercury in gills from three pedigrees of Manila clam Ruditapes philippinarum by NMR-based metabolomics</t>
  </si>
  <si>
    <t>Manila clam; Bioindicator; Mercury; NMR; Metabolomics</t>
  </si>
  <si>
    <t>H-1-NMR METABOLOMICS; PATTERN-RECOGNITION; OXIDATIVE STRESS; TIDAL FLATS; SPECTROSCOPY; METABONOMICS; EXTRACTION; ALANINE; TISSUE; LA(NO3)(3)</t>
  </si>
  <si>
    <t>Mercury is a hazardous pollutant in the Bohai marine environments due to its high toxicity to the marine organisms and subsequent ecological risk. Manila clam Ruditapes philippinarum is one of important sentinel organisms in 'Mussel Watch Program' launched in China and therefore used as a bioindicator in marine and coastal ecotoxicology. There are dominantly distributed three pedigrees of clam (White, Liangdao Red and Zebra) in Yantai population endowed with different tolerances to environmental stressors. In this study, gill tissues were collected from both untreated and mercury exposed White, Liangdao Red and Zebra clams, and the extracts were analyzed by NMR-based metabolomics to compare the original metabolomes and the toxicological effects induced by mercury exposure in three pedigrees. The major abundant metabolites in White clam sample were branched-chain amino acids, lactate, alanine, arginine, acetoacetate, glutamate, succinate, citrate, malonate and taurine, while the metabolite profile of Liangdao Red clam sample comprises relative high levels of alanine, arginine, glutamate, succinate and glycogen. For Zebra clam sample, the metabolite profile exhibited relatively high amount of aspartate, acetylcholine and homarine. After 48 h exposure of 20 mu g l(-1) Hg2+, the metabolic profiles from all the three pedigrees of clams commonly showed significant increases in alanine, arginine, glutamate, aspartate, alpha-ketoglutarate, glycine and ATP/ADP, and decreases in citrate, taurine and homarine. The unique metabolic differences between the metabolomes of gill tissues from Hg2+-exposed White, Liangdao Red and Zebra clams were found, including elevated acetylcholine and branched-chain amino acids in White clams, and the declined succinate in both White and Liangdao Red samples as well as the declined betaine in Zebra and White clams. Overall, our findings showed the differential toxicological responses to mercury exposure and that White clams could be a preferable bioindicator for the metal pollution monitoring based on the metabolic changes from gill compared with other two (Liangdao Red and Zebra) pedigrees of clams.</t>
  </si>
  <si>
    <t>[Liu, Xiaoli; Zhang, Linbao; You, Liping; Yu, Junbao; Zhao, Jianmin; Li, Lianzhen; Wang, Qing; Li, Fei; Li, Chenghua; Liu, Dongyan; Wu, Huifeng] Chinese Acad Sci, Key Lab Coastal Zone Environm Proc, Shandong Prov Key Lab Coastal Zone Environm Proc, Yantai Inst Coastal Zone Res,CAS, Yantai 264003, Peoples R China; [Liu, Xiaoli; Zhang, Linbao; You, Liping] Chinese Acad Sci, Grad Sch, Beijing 100049, Peoples R China</t>
  </si>
  <si>
    <t>Wu, HF (corresponding author), Chinese Acad Sci, Key Lab Coastal Zone Environm Proc, Shandong Prov Key Lab Coastal Zone Environm Proc, Yantai Inst Coastal Zone Res,CAS, Yantai 264003, Peoples R China.</t>
  </si>
  <si>
    <t>Liu, Xiaoli/HGE-7614-2022; Li, Fei/B-2056-2014; Wang, Qing/O-1991-2013; liu, dong/GRJ-9115-2022; Li, Chenghua/I-6342-2015</t>
  </si>
  <si>
    <t>Li, Chenghua/0000-0003-2978-8762; Wu, Huifeng/0000-0002-4042-8103; Li, Fei/0000-0001-7386-0835; Yu, Junbao/0000-0002-3433-3538</t>
  </si>
  <si>
    <t>Chinese Academy of Sciences [KZCX2-YW-Q07-04]; SDSFC [ZR2009CZ008]; CAS/SAFEA</t>
  </si>
  <si>
    <t>Chinese Academy of Sciences(Chinese Academy of Sciences); SDSFC; CAS/SAFEA(Chinese Academy of Sciences)</t>
  </si>
  <si>
    <t>We thank Dr. Mark Viant (School of Bioscience, The University of Birmingham) for use of the software Pro-Metab. This research was supported by The 100 Talents Program of the Chinese Academy of Sciences, SDSFC (ZR2009CZ008) and in part by CAS innovation key project (KZCX2-YW-Q07-04) and the CAS/SAFEA International Partnership Program for Creative Research Teams Representative environmental processes and resources effects in coastal zone.</t>
  </si>
  <si>
    <t>10.1007/s10646-010-0569-x</t>
  </si>
  <si>
    <t>703TH</t>
  </si>
  <si>
    <t>WOS:000286003700019</t>
  </si>
  <si>
    <t>Pan, XD; Han, JL</t>
  </si>
  <si>
    <t>Pan, Xiao-Dong; Han, Jian-Long</t>
  </si>
  <si>
    <t>Heavy metals accumulation in bivalve mollusks collected from coastal areas of southeast China</t>
  </si>
  <si>
    <t>Bivalve; Heavy metal; Exposure estimate; Health risk</t>
  </si>
  <si>
    <t>HEALTH-RISK ASSESSMENT; BIOACCUMULATION; OYSTERS; ECHINODERMS; SEDIMENTS; CADMIUM; REGION; CLAMS; BAY</t>
  </si>
  <si>
    <t>The distribution of six heavy metal and metalloids (As, Cd, Cr, Hg, Ni and Pb) was analyzed in 597 bivalve mollusks (8 species) collected from coastal areas of southeast China. Target hazard quotient, total hazard index, and target cancer risk were calculated to evaluate potential human health risks from bivalve consumption. The mean concentrations of As, Cd, Cr, Hg, Ni and Pb were 1.83, 0.581, 0.111, 0.0117, 0.268 and 0.137 mg kg(-1) wet weight in bivalves. The average estimated daily intakes for As, Cd, Cr, Hg, Ni and Pb were 1.156, 0.367, 0.07, 0.007, 0.167 and 0.087 mu g kg(-1) body weight/day. Health risk assessment showed that there was no non -carcinogenic health risk to general residents to these metals from consumption of bivalves. Cd intake through mollusks posed a potential cancer risk. Accordingly, regular monitoring for heavy metals, especially Cd is rec-ommended with respect to potential contaminant on marine ecosystems.</t>
  </si>
  <si>
    <t>[Pan, Xiao-Dong; Han, Jian-Long] Zhejiang Prov Ctr Dis Control &amp; Prevent, Hangzhou, Peoples R China; [Han, Jian-Long] Zhejiang Prov Ctr Dis Control &amp; Prevent, Inst Phys Chem &amp; Tox, Room 401,Bin Sheng Rd 3399, Hangzhou 310051, Peoples R China</t>
  </si>
  <si>
    <t>Zhejiang Provincial Center for Disease Control &amp; Prevention; Zhejiang Provincial Center for Disease Control &amp; Prevention</t>
  </si>
  <si>
    <t>Han, JL (corresponding author), Zhejiang Prov Ctr Dis Control &amp; Prevent, Inst Phys Chem &amp; Tox, Room 401,Bin Sheng Rd 3399, Hangzhou 310051, Peoples R China.</t>
  </si>
  <si>
    <t>jlhan@cdc.zj.cn</t>
  </si>
  <si>
    <t>Han, Jian/ABZ-1060-2022</t>
  </si>
  <si>
    <t>10.1016/j.marpolbul.2023.114808</t>
  </si>
  <si>
    <t>MAR 2023</t>
  </si>
  <si>
    <t>0A4RB</t>
  </si>
  <si>
    <t>WOS:000951810300001</t>
  </si>
  <si>
    <t>Kolyuchkina, GA; Ismailov, AD</t>
  </si>
  <si>
    <t>Kolyuchkina, G. A.; Ismailov, A. D.</t>
  </si>
  <si>
    <t>Morpho-Functional Characteristics of Bivalve Mollusks under the Experimental Environmental Pollution by Heavy Metals</t>
  </si>
  <si>
    <t>OCEANOLOGY</t>
  </si>
  <si>
    <t>CRASSOSTREA-VIRGINICA; DIGESTIVE DIVERTICULA; CELLULAR-METABOLISM; ACUTE RESPONSE; MUSSEL-WATCH; BROWN CELLS; CADMIUM; EXPOSURE; MARINE; HEMOCYTES</t>
  </si>
  <si>
    <t>The effects of a week-long exposure to copper sulfate (0.05-5000 mg/l) and cadmium chloride (2 and 10 mg/l) upon the morpho-functional characteristics of the Black Sea bivalve mollusks Anadara cf. inaequivalvis and Chamelea gallina were studied. The changes in the morpho-functional state of mollusks at the impact of these metals are distinguished. These changes included a 60% decrease in the hemocytes' concentration in the hemolymph and a 5- to 7-fold decline of the hemocyte adenosine triphosphate (ATP) content, along with the appearance in the mollusks of brown cells and lipofuscin-like pigment. The exposure to both metals caused similar changes.</t>
  </si>
  <si>
    <t>[Kolyuchkina, G. A.] Russian Acad Sci, PP Shirshov Oceanol Inst, Moscow, Russia; [Ismailov, A. D.] Moscow MV Lomonosov State Univ, Fac Biol, Moscow, Russia</t>
  </si>
  <si>
    <t>Russian Academy of Sciences; Shirshov Institute of Oceanology; Lomonosov Moscow State University</t>
  </si>
  <si>
    <t>Kolyuchkina, GA (corresponding author), Russian Acad Sci, PP Shirshov Oceanol Inst, Moscow, Russia.</t>
  </si>
  <si>
    <t>galka.sio@gmail.com</t>
  </si>
  <si>
    <t>Kolyuchkina, Galina/R-5154-2019</t>
  </si>
  <si>
    <t>Kolyuchkina, Galina/0000-0001-6010-0765</t>
  </si>
  <si>
    <t>Russian Foundation for Basic Research [05-05-64329-a]</t>
  </si>
  <si>
    <t>Russian Foundation for Basic Research(Russian Foundation for Basic Research (RFBR)Spanish Government)</t>
  </si>
  <si>
    <t>We are grateful to staff member of the Laboratory of Physical-Geological Studies of the IO RAS L.L. Demina for the determination of the concentrations of heavy metals in the mollusks' soft tissues and to staff member of the VNIRO I.V. Yakhontova, who kindly provided the animals for the study. This study was financially supported by the Russian Foundation for Basic Research, project no. 05-05-64329-a.</t>
  </si>
  <si>
    <t>MAIK NAUKA/INTERPERIODICA/SPRINGER</t>
  </si>
  <si>
    <t>233 SPRING ST, NEW YORK, NY 10013-1578 USA</t>
  </si>
  <si>
    <t>0001-4370</t>
  </si>
  <si>
    <t>1531-8508</t>
  </si>
  <si>
    <t>OCEANOLOGY+</t>
  </si>
  <si>
    <t>Oceanology</t>
  </si>
  <si>
    <t>10.1134/S0001437011050092</t>
  </si>
  <si>
    <t>868YZ</t>
  </si>
  <si>
    <t>WOS:000298563800009</t>
  </si>
  <si>
    <t>Tran, D; Ciret, P; Ciutat, A; Durrieu, G; Massabuau, JC</t>
  </si>
  <si>
    <t>Estimation of potential and limits of bivalve closure response to detect contaminants: Application to cadmium</t>
  </si>
  <si>
    <t>biosensor; valve closure; cadmium; Corbicula fluminea</t>
  </si>
  <si>
    <t>VALVE MOVEMENT RESPONSE; OXYGEN-CONSUMPTION; CLAM; BEHAVIOR; MUSSELS</t>
  </si>
  <si>
    <t>Bivalve closure responses to detect contaminants have often been studied in ecotoxicology as an aquatic pollution biosensor. We present a new laboratory procedure to estimate its potential and limits for various contaminants and animal susceptible to stress. The study was performed in the Asiatic clam Corbicula fluminea and applied to cadmium. To take into account the rate of spontaneous closures, we integrated stress problems associated with fixation by a valve in common apparatus and the spontaneous rhythm associated with circadian activity to focus on conditions with the lowest probability of spontaneous closing. Moreover, we developed an original system by impedance valvometry, using light-weight impedance electrodes, to study free-ranging animals in low-stress conditions and a new analytical approach to describe valve closure behavior as a function of response time and concentration of contaminant. In C. fluminea, we show that cadmium concentrations above 50 mug/L can be detected within less than 1 h, concentrations down to 16 mug/L require 5 h of integration time, and values lower than 16 mug/L cannot be distinguished from background noise. Our procedure improved by a factor of six the cadmium sensitivity threshold reported in the literature. Problems of field applications are discussed.</t>
  </si>
  <si>
    <t>Univ Bordeaux 1, Lab Ecophysiol &amp; Ecotoxicol Syst Aquat, UMR 5805, F-33120 Arcachon, France; CNRS, F-33120 Arcachon, France</t>
  </si>
  <si>
    <t>Centre National de la Recherche Scientifique (CNRS); CNRS - National Institute for Earth Sciences &amp; Astronomy (INSU); Universite de Bordeaux; Centre National de la Recherche Scientifique (CNRS)</t>
  </si>
  <si>
    <t>Univ Bordeaux 1, Lab Ecophysiol &amp; Ecotoxicol Syst Aquat, UMR 5805, Pl Dr Peyneau, F-33120 Arcachon, France.</t>
  </si>
  <si>
    <t>massabuau@epoc.u-bordeaux.fr</t>
  </si>
  <si>
    <t>Tran, Damien/AAU-8147-2020</t>
  </si>
  <si>
    <t>Massabuau, Jean-Charles/0000-0003-1302-1719; Tran, Damien/0000-0002-7432-7765</t>
  </si>
  <si>
    <t>10.1002/etc.5620220432</t>
  </si>
  <si>
    <t>721QC</t>
  </si>
  <si>
    <t>WOS:000185326200032</t>
  </si>
  <si>
    <t>MCCONCHIE, DM; LAWRANCE, LM</t>
  </si>
  <si>
    <t>THE ORIGIN OF HIGH CADMIUM LOADS IN SOME BIVALVE MOLLUSKS FROM SHARK BAY, WESTERN AUSTRALIA - A NEW MECHANISM FOR CADMIUM UPTAKE BY FILTER FEEDING ORGANISMS</t>
  </si>
  <si>
    <t>HEAVY-METALS; MARINE; INVERTEBRATES; SEAWATER; ELEMENTS; PORT</t>
  </si>
  <si>
    <t>Although Shark Bay is remote from all known industrial and geological sources of heavy metals, the cadmium content of several species of Shark Bay molluscs may exceed 10 mg/kg. The cadmium load in these molluscs varies geographically within the bay, but possible explanations for cadmium distribution involving variation in salinity, saline groundwater influx, the dissolved cadmium concentration, the cadmium concentration in substrate sediments, species, or an anthropogenic source are not supported by analytical data. The cadmium concentration is normal in Shark Bay seawater (0.04-mu-g/L to about 0.35-mu-g/L), rarely exceeds 0.25-mu-g/L in ground waters, bore waters, and salt lake brines, and very seldom exceeds 1 mg/kg in sediments. No direct link between the cadmium loads in molluscs and its concentration in the water or substrate sediment is evident, but the cadmium load in molluscs is usually highest where turbulence is high and the substrate sediment contains fine hematite. Over about 2,000 km2, the water depth in Shark Bay is less than 1 m and fine sediment is readily suspended by strong winds. The iron-oxides (superfine hematite) are eroded from the Peron Sandstone exposed in some coastal cliffs and constitute up to 2% of substrate sediments near these cliffs. This study reveals that cadmium in the water adsorbs extremely efficiently onto the surface of the hematite, which is negatively charged at the prevailing seawater pH of 8.15, and that suspended hematite particles are ingested by the molluscs. Inside the molluscs, lower pH conditions cause reversal of the hematite charge and the cadmium is released and accumulated by the organism. Effectively, the hematite is pre-concentrating the cadmium and acting like a chemical conveyor-belt in enhancing metal transfer to the molluscs. A link between cadmium uptake by molluscs and hematite in the sediment is supported by the observation that in water with a depth of 3 m, bottom dwelling oysters contain up to 10 times more cadmium than oysters grown in baskets suspended near the surface at the same site. This mechanism for the transfer of cadmium to filter feeding organisms is new, but we have no doubt that it operates in similar environments elsewhere, and that at some sites where cadmium pollution has been reported, high metal loads in molluscs may be natural rather than anthropogenic. Conversely, in some environments the discharge of cadmium-free hematite could induce a rise in the cadmium load in the resident mollusc population.</t>
  </si>
  <si>
    <t>UNIV WESTERN AUSTRALIA,DEPT GEOL C,NEDLANDS,WA 6009,AUSTRALIA</t>
  </si>
  <si>
    <t>University of Western Australia</t>
  </si>
  <si>
    <t>MCCONCHIE, DM (corresponding author), UNIV NEW ENGLAND,CTR COASTAL MANAGEMENT,NORTHERN RIVERS POB 125,LISMORE,NSW 2480,AUSTRALIA.</t>
  </si>
  <si>
    <t>SPRINGER VERLAG</t>
  </si>
  <si>
    <t>175 FIFTH AVE, NEW YORK, NY 10010</t>
  </si>
  <si>
    <t>10.1007/BF01055350</t>
  </si>
  <si>
    <t>FW794</t>
  </si>
  <si>
    <t>WOS:A1991FW79400019</t>
  </si>
  <si>
    <t>Alfonso, JA; Handt, H; Mora, A; Vásquez, Y; Azocar, J; Marcano, E</t>
  </si>
  <si>
    <t>Alfonso, Juan A.; Handt, Helga; Mora, Abrahan; Vasquez, Yaneth; Azocar, Jose; Marcano, Eunice</t>
  </si>
  <si>
    <t>Temporal distribution of heavy metal concentrations in oysters Crassostrea rhizophorae from the central Venezuelan coast</t>
  </si>
  <si>
    <t>Oysters; Bivalves; Bioindicators; Heavy metals</t>
  </si>
  <si>
    <t>MYTILUS-EDULIS; TRACE-ELEMENTS; BODY-SIZE; BIOACCUMULATION; CADMIUM; ESTUARY; CONTAMINATION; EXPOSURE; BURDENS; MUSSELS</t>
  </si>
  <si>
    <t>The oyster Crassostrea rhizophorae is a bivalve abundant in Venezuelan estuaries and consumed by local populations. No known values have been reported on trace metals in oysters from the central Venezuelan coast. We report the concentrations of Al, Cd, Co, Cr, Cu, Fe, Mn, Ni, Pb, Sr, V and Zn in the soft parts of C. rhizophorae, which were collected bimonthly between March 2008 and March 2009, at two sampling areas from the Central Venezuelan Coast: Buche estuary and Mochima estuary. Our results show that for each metal there is a similar temporal variation pattern. The concentrations of the heavy metals reported in this work are useful as reliable baselines and can be used for comparison in future environment studies. Concentrations in C rhizophorae from the Buche estuary can be interpreted to be high on a global scale for Cd, Cu, Ni and Mn, indicating atypically raised bioavailabilities. (C) 2013 Elsevier Ltd. All rights reserved.</t>
  </si>
  <si>
    <t>[Alfonso, Juan A.; Handt, Helga; Mora, Abrahan; Vasquez, Yaneth; Azocar, Jose] Inst Venezolano Invest Cient, Ctr Oceanol &amp; Estudios Antarticos, Caracas 1020A, Venezuela; [Marcano, Eunice] Inst Venezolano Invest Cient, Ctr Quim, Caracas 1020A, Venezuela</t>
  </si>
  <si>
    <t>Venezuelan Institute Science Research; Venezuelan Institute Science Research</t>
  </si>
  <si>
    <t>Alfonso, JA (corresponding author), Inst Venezolano Invest Cient, Ctr Oceanol &amp; Estudios Antarticos, Apartado 20632, Caracas 1020A, Venezuela.</t>
  </si>
  <si>
    <t>jalfonso@ivic.gob.ve</t>
  </si>
  <si>
    <t>Mora, Abrahan/0000-0002-9132-5622</t>
  </si>
  <si>
    <t>FONACIT-Venezuela</t>
  </si>
  <si>
    <t>This project was supported by the FONACIT-Venezuela. We thank Carlos Bastidas, Morelvis Acevedo, Jose Caceres and Clara Gomez for their assistance.</t>
  </si>
  <si>
    <t>10.1016/j.marpolbul.2013.05.010</t>
  </si>
  <si>
    <t>207GM</t>
  </si>
  <si>
    <t>WOS:000323586900060</t>
  </si>
  <si>
    <t>Núñez-Delgado, A; Romar-Gasalla, A; Santás-Miguel, V; Fernández-Sanjurjo, MJ; Alvarez-Rodríguez, E; Nóvoa-Muñoz, JC; Arias-Estévez, M</t>
  </si>
  <si>
    <t>Nunez-Delgado, Avelino; Romar-Gasalla, Aurora; Santas-Miguel, Vanesa; Fernandez-Sanjurjo, Maria J.; Alvarez-Rodriguez, Esperanza; Novoa-Munoz, Juan Carlos; Arias-Estevez, Manuel</t>
  </si>
  <si>
    <t>Cadmium and Lead Sorption/Desorption on Non-Amended and By-Product-Amended Soil Samples and Pyritic Material</t>
  </si>
  <si>
    <t>WATER</t>
  </si>
  <si>
    <t>by-products; Cd pollution; Pb pollution; release; retention</t>
  </si>
  <si>
    <t>FT-IR SPECTROSCOPY; HEAVY-METAL IONS; MUSSEL-SHELL; PINE BARK; CONTAMINATED SOILS; AQUEOUS-SOLUTIONS; SOLID-SOLUTION; SEWAGE-SLUDGE; REMOVAL; ADSORPTION</t>
  </si>
  <si>
    <t>Batch-type experiments were used to study cadmium (Cd) and lead (Pb) sorption/desorption on forest soil, vineyard soil and pyritic material samples, on the by-products mussel shell, oak ash, pine bark and hemp waste, and on forest soil, vineyard soil and pyritic material amended with 48 t ha(-1) of oak ash, mussel shell, and hemp waste. The main results were that the forest soil showed higher Cd and Pb retention than the vineyard soil and the pyritic material. Regarding the byproducts, sorption was in the following order: oak ash &gt; mussel shell &gt; hemp waste &gt; pine bark, with desorption following an inverse sequence. The pH was the parameter that most influenced Cd and Pb sorption. Cd and Pb sorption curves showed better fitting to the Freundlich than to the Langmuir model, indicating the dominance of multilayer interactions. Oak ash and mussel shell were the amendments causing higher increase in Cd and Pb sorption on both soils and the pyritic material (close to 100% with the oak ash amendment), as well as more a pronounced decrease in desorption. These results could be used to favor an effective management of the by-products studied, which could retain Cd and Pb in soils and degraded areas, preventing water pollution.</t>
  </si>
  <si>
    <t>[Nunez-Delgado, Avelino; Romar-Gasalla, Aurora; Fernandez-Sanjurjo, Maria J.; Alvarez-Rodriguez, Esperanza] Univ Santiago Compostela, Dept Soil Sci &amp; Agr Chem, Engn Polytech Sch, Lugo 27002, Spain; [Santas-Miguel, Vanesa; Novoa-Munoz, Juan Carlos; Arias-Estevez, Manuel] Univ Vigo, Dept Plant Biol &amp; Soil Sci, Fac Sci, Campus Ourense, Orense 32004, Spain</t>
  </si>
  <si>
    <t>Núñez-Delgado, A (corresponding author), Univ Santiago Compostela, Dept Soil Sci &amp; Agr Chem, Engn Polytech Sch, Lugo 27002, Spain.</t>
  </si>
  <si>
    <t>avelino.nunez@usc.es; auriroga@gmail.com; vanesa.santas.miguel@gmail.com; mf.sanjurjo@usc.es; esperanza.alvarez@usc.es; edjuanca@uvigo.es; mastevez@uvigo.es</t>
  </si>
  <si>
    <t>Santas-Miguel, Vanesa/0000-0002-8922-3053; Arias-Estevez, Manuel/0000-0002-9162-1587; Fernandez-Sanjurjo, Maria J./0000-0001-6728-7147; Alvarez, Esperanza/0000-0003-3470-2679; Nunez-Delgado, Avelino/0000-0001-5373-1606; Novoa-Munoz, Juan Carlos/0000-0003-3062-4191</t>
  </si>
  <si>
    <t>Ministerio de Economia y Competitividad, Government of Spain [CGL2015-67333-C2-1-R, CGL2015-67333-C2-2-R]</t>
  </si>
  <si>
    <t>Ministerio de Economia y Competitividad, Government of Spain</t>
  </si>
  <si>
    <t>Funds received to perform this study: grant numbers CGL2015-67333-C2-1-R and CGL2015-67333-C2-2-R (Ministerio de Economia y Competitividad, Government of Spain). We have not received funds for covering the costs to publish in open access.</t>
  </si>
  <si>
    <t>2073-4441</t>
  </si>
  <si>
    <t>WATER-SUI</t>
  </si>
  <si>
    <t>Water</t>
  </si>
  <si>
    <t>10.3390/w9110886</t>
  </si>
  <si>
    <t>Environmental Sciences; Water Resources</t>
  </si>
  <si>
    <t>Environmental Sciences &amp; Ecology; Water Resources</t>
  </si>
  <si>
    <t>FO4FY</t>
  </si>
  <si>
    <t>WOS:000416798300072</t>
  </si>
  <si>
    <t>Shue, MF; Chen, WD; Bellotindos, LM; Lu, MC</t>
  </si>
  <si>
    <t>Shue, Meei-Fang; Chen, Wen-Der; Bellotindos, Luzvisminda M.; Lu, Ming-Chun</t>
  </si>
  <si>
    <t>SEASONAL VARIATIONS OF HEAVY METALS CONTENT IN MUSCLE AND VISCERA OF GREEN-LIPPED MUSSEL Perna viridis FROM DA-PENG BAY LAGOON IN TAIWAN</t>
  </si>
  <si>
    <t>JOURNAL OF TOXICOLOGY AND ENVIRONMENTAL HEALTH-PART A-CURRENT ISSUES</t>
  </si>
  <si>
    <t>PEARL RIVER DELTA; TRACE-METALS; NEIGHBORING RIVERS; COASTAL WATERS; TAPENG LAGOON; FISHES CAUGHT; HONG-KONG; POLLUTION; APPORTIONMENT; MOLLUSKS</t>
  </si>
  <si>
    <t>As a natural lagoon, rich in biological resources including fish, crabs, and bivalves, Da-Peng Bay Lagoon receives the discharges from the neighboring rivers, Kao-ping, Dong-gang, and Lin-Bian, which have harmed the ecology and reduced the water quality of the lagoon. This study analyzes seasonal variation of heavy metals concentration (As, Cd, Cr, Cu, Hg, Ni, Pb, and Zn) in the muscle and viscera of the green-lipped mussel Perna viridis from Da-Peng Bay Lagoon. Data from this study may provide information on the use of Perna viridis as a bioindicator for heavy metals pollution in the lagoon. The heavy metals concentrations were greater in viscera than in muscles of the green-lipped mussel Perna viridis. Results showed that the mussel is capable of accumulating high contents of Cu and Zn. Generally, the order of concentrations in the muscle by season was Zn &gt; Cu &gt; Cr or As. In viscera, the general order of concentrations was Zn &gt; Cu &gt; Pb or Cr or As. Mercury was not detected in winter and spring in muscle and viscera. Cadmium displayed significant variation with season. There was also significant correlation between tissue concentration and heavy metals, including Cu, Pb, Zn, Ni, Cd, and As.</t>
  </si>
  <si>
    <t>[Shue, Meei-Fang; Chen, Wen-Der] Tajen Univ, Dept Environm Sci &amp; Occupat Safety &amp; Hyg, Pingtung, Taiwan; [Bellotindos, Luzvisminda M.] Univ Zamboanga, Archie Eustaquio Res Lab, Zamboanga City, Philippines; [Lu, Ming-Chun] Chia Nan Univ Pharm &amp; Sci, Dept Environm Resources Management, Tainan 71710, Taiwan</t>
  </si>
  <si>
    <t>Chia Nan University of Pharmacy &amp; Science</t>
  </si>
  <si>
    <t>Lu, MC (corresponding author), Chia Nan Univ Pharm &amp; Sci, Dept Environm Resources Management, Tainan 71710, Taiwan.</t>
  </si>
  <si>
    <t>mmclu@mail.chna.edu.tw</t>
  </si>
  <si>
    <t>Bellotindos, Luzvisminda/GLU-5884-2022; Lu, Ming-Chun/E-1431-2018</t>
  </si>
  <si>
    <t>Lu, Ming-Chun/0000-0001-5293-0718</t>
  </si>
  <si>
    <t>Ministry of Science and Technology, Taiwan [NSC 99-2221-E-041-012-MY3]</t>
  </si>
  <si>
    <t>Ministry of Science and Technology, Taiwan(Ministry of Science and Technology, Taiwan)</t>
  </si>
  <si>
    <t>The authors thank the Ministry of Science and Technology, Taiwan (contract NSC 99-2221-E-041-012-MY3).</t>
  </si>
  <si>
    <t>1528-7394</t>
  </si>
  <si>
    <t>1087-2620</t>
  </si>
  <si>
    <t>J TOXICOL ENV HEAL A</t>
  </si>
  <si>
    <t>J. Toxicol. Env. Health Part A</t>
  </si>
  <si>
    <t>10.1080/15287394.2014.922452</t>
  </si>
  <si>
    <t>AP5RH</t>
  </si>
  <si>
    <t>WOS:000342135900003</t>
  </si>
  <si>
    <t>Freitag, A; Sohn, NI; Hooper, M; Rittschof, D</t>
  </si>
  <si>
    <t>Freitag, Amy; Sohn, Nari I.; Hooper, Mark; Rittschof, Dan</t>
  </si>
  <si>
    <t>The geography of mercury and PCBs in North Carolina's local seafood</t>
  </si>
  <si>
    <t>Mercury; Polychlorinated biphenyls (PCBs); Geography; North Carolina fisheries</t>
  </si>
  <si>
    <t>POLYCHLORINATED BIPHENYL; FISH CONSUMPTION; CONTAMINATION; SEDIMENTS; AWARENESS; TRENDS; WOMEN</t>
  </si>
  <si>
    <t>Mercury and PCBs are used by non-governmental organizations and federal agencies to inform seafood safety recommendations. Pollution dynamics suggest recommendations on the national scale may be too large to be accurate. We tested softshell and hardshell blue crab, white and pink shrimp, oysters, clams, spot, and mullet from fishers in each of the three North Carolina fishery districts. We measured mercury using EPA method 7473 and PCBs using a commercially available ELISA kit. Over 97% of samples were below the Environmental Protection Agency levels of concern for both mercury and PCBs. Mercury and PCBs have different spatial dynamics, but both differ significantly by water body, suggesting that seafood safety recommendations should occur by water body instead of at the national scale. This finding supports previous research suggesting that differences in water chemistry, terrestrial influence, and flushing time in a particular water body control the contaminant load in locally resident species. (C) 2012 Elsevier Ltd. All rights reserved.</t>
  </si>
  <si>
    <t>[Freitag, Amy; Sohn, Nari I.; Rittschof, Dan] Duke Univ, Marine Lab, Beaufort, NC 28516 USA; [Hooper, Mark] Hooper Family Seafood, Smyrna, NC 28579 USA</t>
  </si>
  <si>
    <t>Duke University</t>
  </si>
  <si>
    <t>Freitag, A (corresponding author), Duke Univ, Marine Lab, 135 Pivers Isl Rd, Beaufort, NC 28516 USA.</t>
  </si>
  <si>
    <t>aef10@duke.edu</t>
  </si>
  <si>
    <t>North Carolina Fishery Resource Grant program</t>
  </si>
  <si>
    <t>This study was supported by the North Carolina Fishery Resource Grant program, which also encouraged this publication. We also extend special thanks to the fishers who provided tissue samples, fishing ride-alongs, field expertise, and local knowledge. We also wish to thank Dave Evans and Helen Hsu-Kim for providing access to their lab equipment.</t>
  </si>
  <si>
    <t>10.1016/j.marpolbul.2012.05.003</t>
  </si>
  <si>
    <t>983UA</t>
  </si>
  <si>
    <t>WOS:000307143000022</t>
  </si>
  <si>
    <t>Mohammed, FK; Sieuraj, J; Seepersaud, M</t>
  </si>
  <si>
    <t>Mohammed, Faisal K.; Sieuraj, Jason; Seepersaud, Mohindra</t>
  </si>
  <si>
    <t>A preliminary assessment of heavy metals in sediments from the Cipero and South Oropouche Rivers in Trinidad, West Indies</t>
  </si>
  <si>
    <t>Geoaccumulation; Pollution load index; Heavy metals; Principal component analysis; Trinidad</t>
  </si>
  <si>
    <t>ECOLOGICAL RISK-ASSESSMENT; SURFACE SEDIMENTS; POLLUTION; WATER; SHITALAKHYA; BANGLADESH; OYSTERS; LEAD; BAY</t>
  </si>
  <si>
    <t>The increasing urbanization and industrial processes in Trinidad within recent years could pose a possible contamination threat to the aquatic environment. The southwestern part of the island houses numerous industrial activities, and the recent sightings of schools of dead fish and other marine organisms in that locality is cause for concern prompting research into this occurrence. Sediment and surface water samples from the Cipero and South Oropouche Rivers in South Trinidad were analyzed for their heavy metal content (Cd, Cr, Cu, Mn, Ni, Pb, and Zn). Another watercourse, the Moruga River, was selected as a control, based on its location away from significant anthropogenic sources, and the levels of heavy metals obtained for this location were considered as background concentrations for both surface waters and sediments. Cadmium, Ni, and Pb were not detected in surface water samples of both rivers. The corresponding order of metals in the Cipero River was Mn &gt; Cr &gt; Zn &gt; Cu, while for the South Oropouche River, the order was Mn &gt; Cr &gt; Cu &gt; Zn. The individual concentrations of metals in sediments found in theCipero and South Oropouche Rivers varied according to the following orders: Mn &gt; Zn &gt; Cu &gt; Pb &gt; Ni &gt; Cr &gt; Cd and Mn &gt; Zn &gt; Pb &gt; Cu &gt; Ni &gt; Cr &gt; Cd, respectively. Assessments of the pollution status in sediments revealed that the Cipero River was considered polluted with a moderate degree of ecological pollution while the South Oropouche River was also deemed polluted; however, the degree of ecological pollution associated with that riverwas low. Principal component analysis (PCA) and cluster analysis (CA) confirmed that both anthropogenic and natural sources contributed to heavy metal contamination in sediments of both rivers.</t>
  </si>
  <si>
    <t>[Mohammed, Faisal K.; Sieuraj, Jason; Seepersaud, Mohindra] Univ West Indies, Fac Sci &amp; Technol, Dept Chem, St Augustine, Trinidad Tobago</t>
  </si>
  <si>
    <t>University West Indies Mona Jamaica; University West Indies Saint Augustine</t>
  </si>
  <si>
    <t>Seepersaud, M (corresponding author), Univ West Indies, Fac Sci &amp; Technol, Dept Chem, St Augustine, Trinidad Tobago.</t>
  </si>
  <si>
    <t>mohindra.seepersaud@sta.uwi.edu</t>
  </si>
  <si>
    <t>Mohammed, Faisal/AAM-4456-2020</t>
  </si>
  <si>
    <t>10.1007/s10661-017-6077-1</t>
  </si>
  <si>
    <t>FF2PM</t>
  </si>
  <si>
    <t>WOS:000408739300001</t>
  </si>
  <si>
    <t>Locatelli, C; Fagioli, F</t>
  </si>
  <si>
    <t>Determination at trace level of heavy metals in mussels and clams</t>
  </si>
  <si>
    <t>ANNALI DI CHIMICA</t>
  </si>
  <si>
    <t>MERCURY; FISH</t>
  </si>
  <si>
    <t>The accumulation of toxic and persistent substances in the environment continuously increases owing to antropogenic activities. Particular attention is being paid to the presence of heavy metals, because of their irreversible effects on man.(1) In fact such elements tend to concentrate in all aquatic environment matrices(2,3): sediment and biota, and for this reason they are present in the aquatic food chain, becoming dangerous for humans too, as a consequence of the consumption of marine products. The present communication suggests an analytical procedure for the spectroscopic(4) determination of heavy metals (Hg, Pb, Cd, Cu, Zn, Cr, Ni, Co, Mn,Fe and Al) in mussels and clams, showing that a correct purging procedure considerably reduces the metal content in these matrices. The elements were determined employing Flame Atomic Absorption Spectroscopy (FAAS) in the case of Mn, Fe and Al, Graphite Furnace Atomic Absorption Spectroscopy (GFAAS) with the L'vov platform in the case of Zn, Pb, Cd and Cu, and without the L'vov platform in the case of Cr, Co and Ni. Mercury was determined by Cold Vapour Atomic Absorption Spectroscopy (CVAAS) in the recirculation mode, using stannous chloride as reducing agent. Mussels and clams were sampled in the Gore Bay (Province of Ferrara, Italy), an area devoted to the fishing and breeding of mussels and clams for food, but with considerable pollution problems due to its location in proximity of the mouth of the Po river, which is the principal carrier towards the sea of a large amount of industrial waste water.</t>
  </si>
  <si>
    <t>UNIV FERRARA,DEPT CHEM,I-44100 FERRARA,ITALY</t>
  </si>
  <si>
    <t>University of Ferrara</t>
  </si>
  <si>
    <t>Locatelli, C (corresponding author), UNIV BOLOGNA,DEPT CHEM G CIAMICIAN,VIA F SELMI 2,I-40126 BOLOGNA,ITALY.</t>
  </si>
  <si>
    <t>SOC CHIMICA ITALIANA</t>
  </si>
  <si>
    <t>ROME</t>
  </si>
  <si>
    <t>VIALE LIEGI 48, I-00198 ROME, ITALY</t>
  </si>
  <si>
    <t>0003-4592</t>
  </si>
  <si>
    <t>ANN CHIM-ROME</t>
  </si>
  <si>
    <t>Ann. Chim.</t>
  </si>
  <si>
    <t>JUL-AUG</t>
  </si>
  <si>
    <t>7-8</t>
  </si>
  <si>
    <t>XV466</t>
  </si>
  <si>
    <t>WOS:A1997XV46600011</t>
  </si>
  <si>
    <t>Anacleto, P; van den Heuvel, FHM; Oliveira, C; Rasmussen, RR; Fernandes, JO; Sloth, JJ; Barbosa, V; Alves, RN; Marques, A; Cunha, SC</t>
  </si>
  <si>
    <t>Anacleto, Patricia; van den Heuvel, Freek H. M.; Oliveira, C.; Rasmussen, Rie R.; Fernandes, Jose O.; Sloth, Jens J.; Barbosa, Vera; Alves, Ricardo N.; Marques, Antonio; Cunha, Sara C.</t>
  </si>
  <si>
    <t>Exploration of the phycoremediation potential of Laminaria digitata towards diflubenzuron, lindane, copper and cadmium in a multitrophic pilot-scale experiment</t>
  </si>
  <si>
    <t>Phycoremediation; Algae; Mussels; Seawater; Pesticides; Toxic elements</t>
  </si>
  <si>
    <t>POLYCHLORINATED-BIPHENYLS; CHLOROPHYLL FLUORESCENCE; TOXIC ELEMENTS; HEAVY-METALS; BIOSORPTION; PESTICIDES; BIOACCUMULATION; MACROALGA; SEDIMENTS; BINDING</t>
  </si>
  <si>
    <t>The presence of contaminants in aquatic ecosystems can cause serious problems to the environment and marine organisms. This study aims to evaluate the phycoremediation capacity of macroalgae Laminaria digitata for pesticides (diflubenzuron and lindane) and toxic elements (cadmium and copper) in seawater in the presence or absence of mussels. The photosynthetic activity was monitored in the macroalgae to assess its physiological status. The results showed that the presence of algae decreased diflubenzuron concentration in mussels by 70% after 120 h of exposure. Additionally, this macroalgae was efficient to reduce lindane, Cu and Cd in seawater; even though it not was able to reduce these contaminants in mussels. The studied pollutants did not affect the physiological status of macroalgae. This study reveals that the application of phycoremediation with macroalgae can be an useful and effective mitigation strategy to remove/decrease contaminant levels from the aquatic environment. (C) 2017 Elsevier Ltd. All rights reserved.</t>
  </si>
  <si>
    <t>[Anacleto, Patricia; Barbosa, Vera; Alves, Ricardo N.; Marques, Antonio] IP IPMA, Portuguese Inst Sea &amp; Atmosphere, Div Aquaculture &amp; Upgrading DivAV, Ave Brasilia, P-1449006 Lisbon, Portugal; [Anacleto, Patricia; Marques, Antonio] Univ Porto, Interdisciplinary Ctr Marine &amp; Environm Res CIIMA, Rua Bragas 289, P-4050123 Oporto, Portugal; [Anacleto, Patricia] Univ Lisbon, Fac Sci, Marine Lab Guia, MARE Marine &amp; Environm Sci Ctr, Av Nossa Senhora do Cabo 939, P-2750374 Cascais, Portugal; [van den Heuvel, Freek H. M.] Hortimare Projects &amp; Consultancy BV, J Duikerweg 12B, NL-1703 DH Heerhugowaard, Netherlands; [Oliveira, C.; Fernandes, Jose O.; Cunha, Sara C.] Univ Porto, Fac Pharm, Lab Bromatol &amp; Hydrol, LAQV REQUIMTE, Rua Jorge de Viterbo Ferreira 228, P-4050313 Oporto, Portugal; [Rasmussen, Rie R.; Sloth, Jens J.] Tech Univ Denmark, DTU Food, Natl Food Inst, DK-2860 Soborg, Denmark</t>
  </si>
  <si>
    <t>Instituto Portugues do Mar e da Atmosfera; Universidade do Porto; Universidade de Lisboa; Instituto Politecnico do Porto; Universidade do Porto; Technical University of Denmark</t>
  </si>
  <si>
    <t>Cunha, SC (corresponding author), Univ Porto, Fac Pharm, Lab Bromatol &amp; Hydrol, LAQV REQUIMTE, Rua Jorge de Viterbo Ferreira 228, P-4050313 Oporto, Portugal.</t>
  </si>
  <si>
    <t>sara.cunha@ff.up.pt</t>
  </si>
  <si>
    <t>Sloth, Jens/H-6283-2017; Fernandes, Jose/D-6704-2013; Barbosa, Vera/J-5319-2016; Anacleto, Patricia/H-5933-2013; CIIMAR, BYT/N-6498-2017; Marques, Antonio/H-5904-2013; Cunha, Sara/D-6652-2013</t>
  </si>
  <si>
    <t>Anacleto, Patricia/0000-0003-3750-9583; Sloth, Jens Jorgen/0000-0002-3636-8769; Rasmussen, Rie Romme/0000-0002-5889-8496; CIIMAR, BYT/0000-0002-3703-4402; Marques, Antonio/0000-0001-6745-745X; Barbosa, Vera Liane/0000-0002-8103-598X; Fernandes, Jose/0000-0002-8565-2942; Cunha, Sara/0000-0003-4320-2318</t>
  </si>
  <si>
    <t>European Union Seventh Framework Programme (FP7) under the ECsafeSEAFOOD project [311820]; FEDER [UID/QUI/50006/2013 - POCI/01/0145/FEDER/007265]; FCT/MEC; FCT [SFRH/BPD/100728/2014]; Portuguese Foundation for Science and Technology [IF/01616/2015]; Fundação para a Ciência e a Tecnologia [SFRH/BPD/100728/2014] Funding Source: FCT</t>
  </si>
  <si>
    <t>European Union Seventh Framework Programme (FP7) under the ECsafeSEAFOOD project(European Union (EU)Marie Curie Actions); FEDER(European Union (EU)Spanish Government); FCT/MEC(Fundacao para a Ciencia e a Tecnologia (FCT)); FCT(Fundacao para a Ciencia e a Tecnologia (FCT)); Portuguese Foundation for Science and Technology(Fundacao para a Ciencia e a Tecnologia (FCT)); Fundação para a Ciência e a Tecnologia(Fundacao para a Ciencia e a Tecnologia (FCT))</t>
  </si>
  <si>
    <t>The authors acknowledge the funding obtained from the European Union Seventh Framework Programme (FP7/2007-2013) under the ECsafeSEAFOOD project (grant agreement no 311820). Catia Oliveira thanks REQUIMTE FCT (Fundacao para a Ciencia e a Tecnologia) and FEDER through the project UID/QUI/50006/2013 - POCI/01/0145/FEDER/007265 with financial support from FCT/MEC through national funds and co-financed by FEDER, under the Partnership Agreement PT2020. Patricia Anacleto acknowledges a Post-PhD grant from the FCT (SFRH/BPD/100728/2014). Antonio Marques and Sara C. Cunha acknowledge the Portuguese Foundation for Science and Technology for the IF2014 contract and IF/01616/2015 contract, respectively. Eduardo Sampaio help during the trial to maintain the system working is also acknowledged.</t>
  </si>
  <si>
    <t>10.1016/j.fct.2017.01.030</t>
  </si>
  <si>
    <t>EV2OU</t>
  </si>
  <si>
    <t>WOS:000401595800011</t>
  </si>
  <si>
    <t>Chong, K; Wang, WX</t>
  </si>
  <si>
    <t>Comparative studies on the biokinetics of Cd, Cr, and Zn in the green mussel Perna viridis and the Manila clam Ruditapes philippinarum</t>
  </si>
  <si>
    <t>solute uptake; efflux mussels; clams; cadmium; chromium; zinc</t>
  </si>
  <si>
    <t>OYSTER CRASSOSTREA-VIRGINICA; TRACE-ELEMENT UPTAKE; SAN-FRANCISCO BAY; MYTILUS-EDULIS; AMERICAN OYSTER; ZINC UPTAKE; CADMIUM ACCUMULATION; PALAEMON-ELEGANS; CARCINUS-MAENAS; METAL UPTAKE</t>
  </si>
  <si>
    <t>A kinetic approach was employed to determine the rates of metal uptake (Cd, Cr and Zn) from the dissolved phase and the rate constants of metal depuration in the mussel Perna viridis and the clam Ruditapes philippinarum. The effects of ambient metal concentration, salinity, and body size on the metal influx rate were examined. A linear positive relationship was observed between the metal influx rate and the metal concentration in ambient seawater. There was some evidence that Zn uptake was regulated by the bivalves in response to an increase in ambient Zn concentration. The uptake rate constant was highest for Zn and lowest for Cr in both bivalves, and was higher in mussels than in clams. The metal influx rate decreased by 1.6-1.8 times for the three metals when the salinity was increased from 15 ppt to 30 ppt. However, the effect of salinity on Zn influx in mussels was not statistically significant. A negative relationship of Cd and Zn influx rates with tissue dry weight was also found in both bivalves. Cr uptake in mussels was not significantly correlated with body size, but its uptake in clams was significantly correlated with body size. Metal concentration in ambient seawater appeared to be the most determining factor on metal uptake from the dissolved phase in both bivalves. The efflux rate constants of the three metals were within the range of 0.01-0.03 d(-1), and were comparable between the mussels and the clams. Using a simple bioenergetic-based kinetic model, it was shown that both dissolved uptake and food ingestion can contribute to metal accumulation in the bivalves. However, Zn accumulation in the clam R. philippinarum was dominated by uptake from food ingestion. Metal partitioning in ingested food was found to be critical in affecting the relative importance of metal uptake from the dissolved phase and food source, primarily because of the large variability of this parameter in natural environments. (C) 2001 Elsevier Science Ltd. All rights reserved.</t>
  </si>
  <si>
    <t>10.1016/S0269-7491(01)00087-2</t>
  </si>
  <si>
    <t>476PT</t>
  </si>
  <si>
    <t>WOS:000171238500012</t>
  </si>
  <si>
    <t>Apeti, DA; Lauenstein, GG; Riedel, GF</t>
  </si>
  <si>
    <t>Apeti, Dennis A.; Lauenstein, Gunnar G.; Riedel, Gerhardt F.</t>
  </si>
  <si>
    <t>Cadmium distribution in coastal sediments and mollusks of the US</t>
  </si>
  <si>
    <t>Cadmium; Salinity; Diagenesis; Upwelling; Estuary; Mussel Watch</t>
  </si>
  <si>
    <t>TRACE-METALS; CHEMICAL CONCENTRATIONS; CRASSOSTREA-VIRGINICA; CONTINENTAL-MARGIN; LITTORINA-LITTOREA; OYSTERS; ACCUMULATION; SALINITY; RIVER; ZINC</t>
  </si>
  <si>
    <t>Cadmium (Cd) concentrations in the coastal United States were assessed using the National Status and Trends (NS&amp;T) Mussel Watch dataset, which is based on the analysis of sediments and bivalves collected from 280 sites since 1986. Using the 1997 sediment data, Pearson correlation (r = 0.44, p &lt; 0.0001) suggested that Cd distributions in sediment can, be to some extent, explained by the proximity of sites to population centers. The 2003 tissue data indicated that high Cd concentrations (greater than 5.6 mu g/g dry weights [dw] for mussel and 5.4 mu g/g dw for oysters) were related to salinity along the East and Gulf coasts. Along the West coast, however, these high sites appeared to be related to upwelling phenomenon. Additionally, sedimentary diagenesis was found to be the most likely explanation of why sediment and mollusk Cd content were not well correlated. Published by Elsevier Ltd.</t>
  </si>
  <si>
    <t>[Apeti, Dennis A.; Lauenstein, Gunnar G.] NOAA, Natl Ctr Coastal &amp; Ocean Sci, Ctr Coastal Monitoring &amp; Assessment, Silver Spring, MD 20910 USA; [Riedel, Gerhardt F.] Smithsonian Environm Res Ctr, Edgewater, MD 21037 USA</t>
  </si>
  <si>
    <t>National Oceanic Atmospheric Admin (NOAA) - USA; National Ocean Service, NOAA; National Centers for Coastal Ocean Science (NOOCS); Smithsonian Institution; Smithsonian Environmental Research Center</t>
  </si>
  <si>
    <t>Apeti, DA (corresponding author), NOAA, Natl Ctr Coastal &amp; Ocean Sci, Ctr Coastal Monitoring &amp; Assessment, 1305 East West Highway, Silver Spring, MD 20910 USA.</t>
  </si>
  <si>
    <t>dennis.apeti@noaa.gov</t>
  </si>
  <si>
    <t>10.1016/j.marpolbul.2009.02.013</t>
  </si>
  <si>
    <t>WOS:000268422500019</t>
  </si>
  <si>
    <t>Siwela, AH; Nyathi, CB; Naik, YS</t>
  </si>
  <si>
    <t>Siwela, A. H.; Nyathi, C. B.; Naik, Y. S.</t>
  </si>
  <si>
    <t>A comparison of metal levels and antioxidant enzymes in freshwater snails, Lymnaea natalensis, exposed to sediment and water collected from Wright Dam and Lower Mguza Dam, Bulawayo, Zimbabwe</t>
  </si>
  <si>
    <t>Antioxidant enzymes; Heavy metals; Lymnaea natalensis</t>
  </si>
  <si>
    <t>OXIDATIVE STRESS; SENTINEL ORGANISM; HELIX-ASPERSA; BIOMARKERS; GLUTATHIONE; COPPER; BIOACCUMULATION; BIVALVES; TOXICITY; CADMIUM</t>
  </si>
  <si>
    <t>We compared the bioaccumulation of lead (Pb), cadmium (Cd), zinc (Zn), copper (Cu), nickel (Ni) and iron (Fe) with antioxidant enzyme activity in tissues of the snails, Lymnaea natalensis, exposed to elements of two differently polluted dams. 45 snails were exposed to sediment and water collected from Wight Dam (reference) whilst another 45 snails were also exposed to sediment and water collected from Lower Mguza Dam (polluted dam). Except for Fe in sediment and Pb in water, metal concentrations were statistically higher in sediment and water collected from Lower Mguza Dam. Lead, Cd and Zn were two times higher in tissues of snails exposed to Lower Mguza Dam elements. On one hand, superoxide dismutase (SOD), diphosphotriphosphodiaphorase (DTD) and catalase (CAT) activities were significantly lower whilst malondialdehyde (MDA) levels were significantly higher in tissues of snails exposed to Lower Mguza Dam sediment and water. On the other hand, selenium-dependent glutathione peroxidase (Se-GPX) activity was significantly elevated in tissues of snails exposed to Lower Mguza Dam sediment and water. Snails exposed to Lower Mguza Dam elements seem to have responded to pollution by increasing CAT and Se-GPX specific activity in an effort to detoxify peroxides produced as a result of metal induced oxidative stress. (C) 2010 Elsevier Inc. All rights reserved.</t>
  </si>
  <si>
    <t>[Siwela, A. H.; Nyathi, C. B.] Ecotoxicol Res Grp, Dept Appl Biol &amp; Biochem &amp; Environm Sci &amp; Hlth, Ascot, Bulawayo, Zimbabwe; [Naik, Y. S.] Natl Univ Sci &amp; Technol, Ascot, Bulawayo, Zimbabwe</t>
  </si>
  <si>
    <t>National University of Science &amp; Technology - Zimbabwe</t>
  </si>
  <si>
    <t>Siwela, AH (corresponding author), Ecotoxicol Res Grp, Dept Appl Biol &amp; Biochem &amp; Environm Sci &amp; Hlth, POB 939, Ascot, Bulawayo, Zimbabwe.</t>
  </si>
  <si>
    <t>asiwela@nust.ac.zw</t>
  </si>
  <si>
    <t>Naik, Yogeshkumar/0000-0001-6180-8634</t>
  </si>
  <si>
    <t>International Program for Chemical Sciences, Sweden; Research Board, National University of Science and Technology, Zimbabwe</t>
  </si>
  <si>
    <t>This work was supported by Grants from International Program for Chemical Sciences, Sweden and Research Board, National University of Science and Technology, Zimbabwe. The authors wish to thank the Bulawayo City Council and Mr Dave Wright for allowing them to collect samples from their dams.</t>
  </si>
  <si>
    <t>10.1016/j.ecoenv.2010.08.001</t>
  </si>
  <si>
    <t>662FH</t>
  </si>
  <si>
    <t>WOS:000282792300034</t>
  </si>
  <si>
    <t>Frias-Espericueta, MG; Vargas-Jiménez, A; Ruelas-Inzunza, J; Osuna-López, I; Aguilar-Juárez, M; Bautista-Covarrubias, JC; Voltolina, D</t>
  </si>
  <si>
    <t>Frias-Espericueta, Martin G.; Vargas-Jimenez, Areli; Ruelas-Inzunza, Jorge; Osuna-Lopez, Isidro; Aguilar-Juarez, Marisela; Bautista-Covarrubias, Juan Carlos; Voltolina, Domenico</t>
  </si>
  <si>
    <t>Total Mercury in the Mangrove Oyster Crassostrea corteziensis of the Subtropical Urias Lagoon (NW Mexico)</t>
  </si>
  <si>
    <t>TURKISH JOURNAL OF FISHERIES AND AQUATIC SCIENCES</t>
  </si>
  <si>
    <t>Mercury; oyster; risk assessment</t>
  </si>
  <si>
    <t>GULF-OF-CALIFORNIA; COASTAL LAGOONS; SEDIMENTS; METALS; BIOACCUMULATION; ORGANISMS; POLLUTION; ECOSYSTEM; PATTERNS; CADMIUM</t>
  </si>
  <si>
    <t>Oysters of Urias lagoon (NW Mexico) were collected every second month from November 2012 to September 2013, to determine the variations of their mercury (Hg2+) content and assess their suitability for human consumption. Concentrations were significantly higher in November than in March and May, which indicates that variability does not depend on the alternation of dry and rainy seasons, and is probably related to the reproductive cycle of this species. In view of the low apparent seafood consumption in Mexico and given the low mean Hg2+ concentrations (0.07-0.26 mu g g(-1), dw), consumption of this oyster does not seem to pose risks to the largest part of the population, but the local fishing communities are the ones most likely to be at risk, because of their higher seafood consumption.</t>
  </si>
  <si>
    <t>[Frias-Espericueta, Martin G.; Osuna-Lopez, Isidro; Aguilar-Juarez, Marisela] Univ Autonoma Sinaloa, Fac Ciencias Mar, Paseo Claussen S-N, Mazatlan 82000, Sinaloa, Mexico; [Vargas-Jimenez, Areli] Univ Autonoma Sinaloa, Fac Ciencias Mar, Programa Posgrad Recursos Acuat, Mazatlan 82000, Sinaloa, Mexico; [Ruelas-Inzunza, Jorge] Inst Tecnol Mazatlan, Mazatlan 82000, Sinaloa, Mexico; [Bautista-Covarrubias, Juan Carlos] Univ Autonoma Nayarit, Secretaria Invest &amp; Posgrad, Blvd Tepic Xalisco S-N, Tepic 63000, Nayarit, Mexico; [Voltolina, Domenico] UAS CIBNOR, Lab Estudios Ambientales, POB 1132, Mazatlan 82000, Sinaloa, Mexico</t>
  </si>
  <si>
    <t>Universidad Autonoma de Sinaloa; Universidad Autonoma de Sinaloa; Universidad Autonoma de Sinaloa; CIBNOR - Centro de Investigaciones Biologicas del Noroeste</t>
  </si>
  <si>
    <t>Voltolina, D (corresponding author), UAS CIBNOR, Lab Estudios Ambientales, POB 1132, Mazatlan 82000, Sinaloa, Mexico.</t>
  </si>
  <si>
    <t>[PROFAPI-UAS 2015/103]; [PROMEP/103.5/13/9354]; [CONACYT INFRA 2012-01-188029]</t>
  </si>
  <si>
    <t>; ;</t>
  </si>
  <si>
    <t>Supported by projects PROFAPI-UAS 2015/103; PROMEP/103.5/13/9354 and CONACYT INFRA 2012-01-188029. Karla Sanchez helped with laboratory work and Ivette P. Rojas with data processing and artwork.</t>
  </si>
  <si>
    <t>CENTRAL FISHERIES RESEARCH INST</t>
  </si>
  <si>
    <t>TRABZON</t>
  </si>
  <si>
    <t>PO BOX 129, TRABZON, 61001, TURKEY</t>
  </si>
  <si>
    <t>1303-2712</t>
  </si>
  <si>
    <t>2149-181X</t>
  </si>
  <si>
    <t>TURK J FISH AQUAT SC</t>
  </si>
  <si>
    <t>Turk. J. Fish. Quat. Sci.</t>
  </si>
  <si>
    <t>10.4194/1303-2712-v18_7_03</t>
  </si>
  <si>
    <t>FW5IW</t>
  </si>
  <si>
    <t>WOS:000425351100003</t>
  </si>
  <si>
    <t>Duchemin, MB; Auffret, M; Wessel, N; Fortier, M; Morin, Y; Pellerin, J; Fournier, M</t>
  </si>
  <si>
    <t>Duchemin, Matthieu B.; Auffret, Michel; Wessel, Nathalie; Fortier, Marlene; Morin, Yves; Pellerin, Jocelyne; Fournier, Michel</t>
  </si>
  <si>
    <t>Multiple experimental approaches of immunotoxic effects of mercury chloride in the blue mussel, Mytilus edulis, through in vivo, in tubo and in vitro exposures</t>
  </si>
  <si>
    <t>bivalve; immune system; mercury; individual exposure; clearance rate</t>
  </si>
  <si>
    <t>PHAGOCYTIC-ACTIVITY; HEAVY-METALS; MYA-ARENARIA; MARINE; NEUTROPHILS; HEMOCYTES; RESPONSES; OYSTER; CELLS</t>
  </si>
  <si>
    <t>Biological impairments due to mercury discharge into the environment are now an issue of global concern. From the three forms of mercury found in aquatic ecosystems, the immunotoxic effects of mercury chloride were examined in the model animal, the blue mussel. In order to investigate the toxic potency of this chemical, three exposure regimes were carried out: chronic exposure of groups of individuals, a new protocol in tubo designed for sub-acute exposures of individuals, and acute exposures of target cells. Chronic exposure revealed significant immunotoxic effects after 7 days at 10(-6) M, while acute exposures showed significant inhibition of phagocytosis at 10(-4) M and 10(-3) M. In sub-acute exposures both circulating haemocytes and haemocyte mortality increased at 10(-4) M and 10(-3) M while phagocytosis and the clearance rate drew hormetic toxic effects on healthy individuals. These results suggest the use of the in tubo design for bivalve toxicological individual studies. (C) 2007 Elsevier Ltd. All rights reserved.</t>
  </si>
  <si>
    <t>[Duchemin, Matthieu B.; Auffret, Michel; Wessel, Nathalie] Univ Bretagne Occidentale, Inst Univ Europeen Mer, UMR CNRS 6539, Lab Sci Environm Marin, F-29280 Plouzane, France; [Duchemin, Matthieu B.; Fortier, Marlene; Morin, Yves; Fournier, Michel] INRS, Inst Armand Frappier, Pointe Claire, PQ H9R 1G6, Canada; [Pellerin, Jocelyne; Fournier, Michel] Univ Quebec, Inst Sci Mer Rimouski, Rimouski, PQ G5L 3A1, Canada</t>
  </si>
  <si>
    <t>Universite de Bretagne Occidentale; Institut Universitaire Europeen de la Mer (IUEM); Centre National de la Recherche Scientifique (CNRS); Ifremer; Institut de Recherche pour le Developpement (IRD); University of Quebec; Institut national de la recherche scientifique (INRS); University of Quebec</t>
  </si>
  <si>
    <t>Duchemin, MB (corresponding author), Univ Bretagne Occidentale, Inst Univ Europeen Mer, UMR CNRS 6539, Lab Sci Environm Marin, Pl Nicolas Copern, F-29280 Plouzane, France.</t>
  </si>
  <si>
    <t>matthieu.duchemin@univ-brest.fr</t>
  </si>
  <si>
    <t>Wessel, Nathalie/0000-0001-5984-5639</t>
  </si>
  <si>
    <t>10.1016/j.envpol.2007.08.015</t>
  </si>
  <si>
    <t>301XY</t>
  </si>
  <si>
    <t>WOS:000255931000019</t>
  </si>
  <si>
    <t>Ganguly, A; Moniruzzaman, M; Chakraborty, SK; Karan, S; Mukherjee, J</t>
  </si>
  <si>
    <t>Ganguly, Arundhati; Moniruzzaman, Mahammed; Chakraborty, Susanta Kumar; Karan, Samya; Mukherjee, Joyita</t>
  </si>
  <si>
    <t>Impact of metal accumulation pattern on the annual rhythmicity of antioxidants and their interrelationship to maintain the oxidative balance in mollusc</t>
  </si>
  <si>
    <t>BIOLOGICAL RHYTHM RESEARCH</t>
  </si>
  <si>
    <t>Mollusc; metal toxicity; hemolymph; rhythm; antioxidant</t>
  </si>
  <si>
    <t>LIPID-PEROXIDATION; GLUTATHIONE-PEROXIDASE; BIVALVE MOLLUSKS; BIOMARKERS; MUSSEL; BIOACCUMULATION; CONTAMINATION; EXPRESSION; REDUCTASE; ENZYMES</t>
  </si>
  <si>
    <t>A chronological relationship between the annual profiles of oxidative stress markers, the key regulator of stress physiology has been sought in a terrestrial mollusc (Nerita articulata) under natural photothermal conditions. The hemolymph samples were collected at two different times in each month (from January to December) and the same was repeated for two consecutive years throughout an annual cycle. The fluctuations in the concentrations of certain heavy and trace metals (zinc, copper, cadmium, mercury, lead, and nickel) in both soil and hemolymph of Nerita are also estimated accordingly. Therefore, the present study aims to explore the rhythmic responses of oxidative stress marker to assess the impact of different trace and heavy metals on selected mollusc species. We tries to develop a realistic conceptual idea to analyze and predict the effect of changing environmental pollution on the possible shift in the rhythmicity of aforesaid antioxidants in terrestrial mollusc and their adaptive responses to thrive in such environment. Our results indicates that the amplitude of circannual rhythms of all the selected stress markers varied accordingly but the pattern of annual fluctuation is noted to be similar, and correlated with the metal accumulation. Therefore current information might help to frame the adaptive strategies for invertebrate species under similar toxic circumstances.</t>
  </si>
  <si>
    <t>[Ganguly, Arundhati] Jogesh Chandra Chaudhuri Coll, Dept Environm Sci, Kolkata, India; [Moniruzzaman, Mahammed] Univ Calcutta, Dept Zool, Kolkata, India; [Chakraborty, Susanta Kumar] Vidyasagar Univ, Dept Zool, Midnapore, India; [Karan, Samya] Vidyasagar Univ, Dept Environm Sci, Midnapore, India; [Mukherjee, Joyita] Univ Burdwan, Krishna Chandra Coll, Dept Zool, Birbhum, India</t>
  </si>
  <si>
    <t>University of Calcutta; Vidyasagar University; Vidyasagar University; University of Burdwan</t>
  </si>
  <si>
    <t>Mukherjee, J (corresponding author), Univ Burdwan, Krishna Chandra Coll, Dept Zool, Birbhum, India.</t>
  </si>
  <si>
    <t>joyita.mukherjee@visva-bharati.ac.in</t>
  </si>
  <si>
    <t>Chakraborty, Susanta/AAW-9703-2020</t>
  </si>
  <si>
    <t>DBT7 Research Associateship Programme, Govt. of India, IISC, Bangalore</t>
  </si>
  <si>
    <t>This work was supported by the DBT7 Research Associateship Programme, Govt. of India, IISC, Bangalore.</t>
  </si>
  <si>
    <t>0929-1016</t>
  </si>
  <si>
    <t>1744-4179</t>
  </si>
  <si>
    <t>BIOL RHYTHM RES</t>
  </si>
  <si>
    <t>Biol. Rhythm Res.</t>
  </si>
  <si>
    <t>JUL 4</t>
  </si>
  <si>
    <t>10.1080/09291016.2018.1478627</t>
  </si>
  <si>
    <t>Biology; Physiology</t>
  </si>
  <si>
    <t>Life Sciences &amp; Biomedicine - Other Topics; Physiology</t>
  </si>
  <si>
    <t>IE8RD</t>
  </si>
  <si>
    <t>WOS:000472640000011</t>
  </si>
  <si>
    <t>Macey, BM; Jenny, MJ; Williams, HR; Thibodeaux, LK; Beal, M; Almeida, JS; Cunningham, C; Mancia, A; Warr, GW; Burge, EJ; Holland, AF; Gross, PS; Hikima, S; Burnett, KG; Burnett, L; Chapman, RW</t>
  </si>
  <si>
    <t>Macey, Brett M.; Jenny, Matthew J.; Williams, Heidi R.; Thibodeaux, Lindy K.; Beal, Marion; Almeida, Jonas S.; Cunningham, Charles; Mancia, Annalaura; Warr, Gregory W.; Burge, Erin J.; Holland, A. Fred; Gross, Paul S.; Hikima, Sonomi; Burnett, Karen G.; Burnett, Louis; Chapman, Robert W.</t>
  </si>
  <si>
    <t>Modelling interactions of acid-base balance and respiratory status in the toxicity of metal mixtures in the American oyster Crassostrea virginica</t>
  </si>
  <si>
    <t>COMPARATIVE BIOCHEMISTRY AND PHYSIOLOGY A-MOLECULAR &amp; INTEGRATIVE PHYSIOLOGY</t>
  </si>
  <si>
    <t>Heavy metals; Artificial neural networks; Crassostrea virginica; Lipid peroxidation; Glutathione; Acid-base balance; Hemolymph PO2</t>
  </si>
  <si>
    <t>LIPID-PEROXIDATION; AIR-EXPOSURE; CADMIUM; METALLOTHIONEIN; ACCUMULATION; MICROARRAY; PREDICTION; RESPONSES; SEQUENCE; HYPOXIA</t>
  </si>
  <si>
    <t>Heavy metals, such as copper, zinc and cadmium, represent some of the most common and serious pollutants in coastal estuaries. In the present study, we used a combination of linear and artificial neural network (ANN) modelling to detect and explore interactions among low-dose mixtures of these heavy metals and their impacts on fundamental physiological processes in tissues of the Eastern oyster, Crassostrea virginica. Animals were exposed to Cd (0.001-0.400 mu M), Zn (0.001-3.059 mu M) or Cu (0.002-0.787 mu M), either alone or in combination for 1 to 27 days. We measured indicators of acid-base balance (hemolymph pH and total CO2), gas exchange (Po-2), immunocompetence (total hemocyte counts, numbers of invasive bacteria), antioxidant status (glutathione, GSH), oxidative damage (lipid peroxidation; LPx), and metal accumulation in the gill and the hepatopancreas. Linear analysis showed that oxidative membrane damage from tissue accumulation of environmental metals was correlated with impaired acid-base balance in oysters. ANN analysis revealed interactions of metals with hemolymph acid-base chemistry in predicting oxidative damage that were not evident from linear analyses. These results highlight the usefulness of machine learning approaches, such as ANNs, for improving our ability to recognize and understand the effects of subacute exposure to contaminant mixtures. (C) 2009 Elsevier Inc. All rights reserved.</t>
  </si>
  <si>
    <t>[Macey, Brett M.; Williams, Heidi R.; Thibodeaux, Lindy K.; Beal, Marion; Cunningham, Charles; Mancia, Annalaura; Warr, Gregory W.; Burge, Erin J.; Holland, A. Fred; Gross, Paul S.; Hikima, Sonomi; Burnett, Karen G.; Burnett, Louis; Chapman, Robert W.] Hollings Marine Lab, Charleston, SC 29412 USA; [Macey, Brett M.; Williams, Heidi R.; Thibodeaux, Lindy K.; Burge, Erin J.; Burnett, Karen G.; Burnett, Louis; Chapman, Robert W.] Coll Charleston, Grice Marine Lab, Charleston, SC 29412 USA; [Beal, Marion; Chapman, Robert W.] Marine Resources Res Inst, S Carolina Dept Nat Resources, Charleston, SC 29412 USA; [Almeida, Jonas S.; Cunningham, Charles; Mancia, Annalaura; Warr, Gregory W.; Gross, Paul S.; Hikima, Sonomi; Chapman, Robert W.] Med Univ S Carolina, Charleston, SC 29425 USA; [Burge, Erin J.] Coastal Carolina Univ, Dept Marine Sci, Conway, SC 29526 USA; [Cunningham, Charles] Univ New Mexico, Dept Biol, Albuquerque, NM 87131 USA; [Jenny, Matthew J.] Woods Hole Oceanog Inst, Woods Hole, MA 02543 USA; [Macey, Brett M.] Dept Environm Affairs &amp; Tourism Marine &amp; Coastal, ZA-8012 Cape Town, South Africa; [Warr, Gregory W.] Natl Sci Fdn, Div Mol &amp; Cellular Biosci, Arlington, VA 22230 USA</t>
  </si>
  <si>
    <t>College of Charleston; Medical University of South Carolina; Coastal Carolina University; University of New Mexico; Woods Hole Oceanographic Institution; National Science Foundation (NSF); NSF - Directorate for Biological Sciences (BIO); NSF - Division of Molecular &amp; Cellular Biosciences (MCB)</t>
  </si>
  <si>
    <t>Chapman, RW (corresponding author), Hollings Marine Lab, 331 Ft Johnson Rd, Charleston, SC 29412 USA.</t>
  </si>
  <si>
    <t>chapmanr@dnr.sc.gov</t>
  </si>
  <si>
    <t>Almeida, Jonas/C-9093-2009; Macey, Brett/HNS-0728-2023; Burge, Erin/AFV-9713-2022; Mancia, Annalaura/F-9706-2013</t>
  </si>
  <si>
    <t>Mancia, Annalaura/0000-0001-8680-3530; Jenny, Matthew/0000-0002-1834-2629; Macey, Brett/0000-0002-9995-0238</t>
  </si>
  <si>
    <t>NOAA's Center of Excellence in Oceans and Human Health; National Science Foundation</t>
  </si>
  <si>
    <t>NOAA's Center of Excellence in Oceans and Human Health; National Science Foundation(National Science Foundation (NSF))</t>
  </si>
  <si>
    <t>This study was supported by NOAA's Center of Excellence in Oceans and Human Health at HML and the National Science Foundation. Any opinion, finding, conclusions or recommendations expressed in this material are those of the authors and do not necessarily reflect the views of the NSF. GML Contribution No. 348; MRD SCDNR Contribution 659.</t>
  </si>
  <si>
    <t>1531-4332</t>
  </si>
  <si>
    <t>10.1016/j.cbpa.2009.11.019</t>
  </si>
  <si>
    <t>558OB</t>
  </si>
  <si>
    <t>Green Accepted, Green Submitted</t>
  </si>
  <si>
    <t>WOS:000274752600009</t>
  </si>
  <si>
    <t>Jones, GB; Mercurio, P; Olivier, F</t>
  </si>
  <si>
    <t>Zinc in fish, crabs, oysters, and mangrove flora and fauna from Cleveland Bay</t>
  </si>
  <si>
    <t>zinc; fish; crustacea; oysters; mangrove flora and fauna</t>
  </si>
  <si>
    <t>GREAT-BARRIER-REEF; TRACE-METALS; SPECIATION; COPPER; OUTFALLS; CADMIUM; WATERS; LAGOON; SYDNEY; IRON</t>
  </si>
  <si>
    <t>Zinc in muscle tissue from 28 species of fish, three species of sharks and rays, two species of squid and cuttlefish, and three species of crustacea collected from Cleveland Bay, together with some measurements made on oysters and mangrove flora and fauna are reported, In the fish species the mean Zn concentration in muscle tissue was 4.83+/-2.82 mug/g wet weight, slightly lower than zinc measurements (7 mug/g wet weight) made in 14 fish species collected from the bay in 1975, Zinc in sharks and rays ranged from 3.5 to 7.2 mug/g wet wt, in squid and cuttlefish 13-16 mug/g wet wt, and in crustacea levels ranged from 14 to 18 mug/g wet wt. Zinc levels in fish varied between species with concentrations well below the ANZECC Maximum Residue Limit of zinc in seafood (150 mug/g wet wt), Although lower zinc concentrations were found in oysters collected from the Townsville Harbour area (2080 mug/g wet wt), compared with previous measurements made 25 years ago at this site, these levels are still above the Maximum Residue Limit for zinc in oysters (1000 mug/g wet wt). Concentrations of zinc in oysters from Orpheus Island (2547 mug/g wet wt), about 74 km away from industrial and urban activity, are also above the safe guideline values. Horseshoe Bay oysters transplanted to Ross Creek accumulated zinc at a rate of about 100 mug/g of oyster tissue per week, suggesting that dissolved zinc levels at this site are elevated, and that oysters rapidly accumulate zinc, Highest concentrations of zinc in mangrove leaves (30-65 mug/g dry wt) occurred in Osbornia octodonta, Exocaria agalocha, and Aegialitus annulata, compared with Ceriops tagal, and Avicennia marina (5-10 mug/g dry wt). No significant difference in zinc concentration occurred between leaves and litter fall for most of these species, with the sole exception of Exocaria, which showed almost a twofold increase in concentration. In seven species of mangrove fauna levels of zinc were very uniform and close to 50 mug/g (dry wt) Telescopium telescopium from the mouth of the Ross Estuary was the exception with levels at 400 mug/g (dry wt). (C) 2000 Elsevier Science Ltd. All rights reserved.</t>
  </si>
  <si>
    <t>James Cook Univ N Queensland, Marine Chem Grp, Dept Chem, Townsville, Qld 4810, Australia</t>
  </si>
  <si>
    <t>James Cook University</t>
  </si>
  <si>
    <t>James Cook Univ N Queensland, Marine Chem Grp, Dept Chem, Townsville, Qld 4810, Australia.</t>
  </si>
  <si>
    <t>graham.jones@jcu.edu.au</t>
  </si>
  <si>
    <t>Jones, Graham/0000-0002-2815-6395</t>
  </si>
  <si>
    <t>10.1016/S0025-326X(00)00132-6</t>
  </si>
  <si>
    <t>WOS:000166052900011</t>
  </si>
  <si>
    <t>Abi-Ghanem, C; Khalaf, G; Najjar, E</t>
  </si>
  <si>
    <t>Abi-Ghanem, Carine; Khalaf, Gaby; Najjar, Elie</t>
  </si>
  <si>
    <t>Distribution of Lead, Cadmium, and Vanadium in Lebanese Coastal Sediments and Mussels</t>
  </si>
  <si>
    <t>Trace metals; Pb; Cd; V; marine sediments; mussels; Lebanon</t>
  </si>
  <si>
    <t>HEAVY-METAL CONTAMINATION; MYTILUS-GALLOPROVINCIALIS; MARINE-SEDIMENTS; TRACE-ELEMENTS; GULF; POLLUTION; MERCURY; SITES; INDICATORS; WATERS</t>
  </si>
  <si>
    <t>To evaluate Lebanon coastal contamination by trace metals (Pb, Cd, and V), we measured their distributions in marine sediments and in bioindicator mussels (Brachidontes variabilis) along the Lebanese coastal zone. Seven sampling sites, Itanieh, Jiyeh, Beirut, Byblos, Batroun, Tripoli, and Arida, were selected. Trace-metal concentrations, determined in 'pelitic fraction of the sediment (&lt;63 gm), were the highest in Tripoli sediments for Pb (104.4 mu g g(-1)) and Cd (0.23 mu g g(-1)), and in Arida for V (270 lig CI). In B. variabilis, the highest Pb concentrations corresponded to mussels collected from Batroun (6.32 mu g g(-1)), whereas the highest Cd concentrations were obtained in the Palms Island (off Tripoli) (1.3 mu g g(-1)) and the highest V levels in Batroun (4.94 mu g g(-1)). The determination of the geoaccumulation index shows that the investigated sediments on the Lebanese coast are unpolluted with Cd, moderately to strongly polluted with V at Arida, and extremely polluted with Pb at Tripoli. Pb concentrations in mussels B. variabilis are low compared with levels obtained in polluted areas in the world. However, Cd levels in the studied bioinclicators at Batroun and Tripoli are similar to those obtained in other Mediterranean moderately polluted sites. High Cd and V levels in mussels collected at Batroun clearly show the anthropogenic impact of the nearby fertilizer plant.</t>
  </si>
  <si>
    <t>[Abi-Ghanem, Carine; Khalaf, Gaby; Najjar, Elie] CNRSL, Natl Ctr Marine Sci, Batroun, Lebanon</t>
  </si>
  <si>
    <t>Centre National de la Recherche Scientifique (CNRS) - Lebanon; National Center for Marine Sciences (CNRSL)</t>
  </si>
  <si>
    <t>Abi-Ghanem, C (corresponding author), CNRSL, Natl Ctr Marine Sci, Batroun, Lebanon.</t>
  </si>
  <si>
    <t>carine.abighanem@cnrs.edu.lb</t>
  </si>
  <si>
    <t>National Council for Scientific Research in Lebanon; INCAM project</t>
  </si>
  <si>
    <t>This work is supported by the National Council for Scientific Research in Lebanon and the INCAM project. We thank E. Tarek, C. Ghazal, and C. Mahfouz for their help at the sea and in the laboratory.</t>
  </si>
  <si>
    <t>LAWRENCE</t>
  </si>
  <si>
    <t>810 EAST 10TH STREET, LAWRENCE, KS 66044 USA</t>
  </si>
  <si>
    <t>10.2112/JCOASTRES-D-12-00187.1</t>
  </si>
  <si>
    <t>AQ7BN</t>
  </si>
  <si>
    <t>WOS:000342967700018</t>
  </si>
  <si>
    <t>Joksimovic, D; Castelli, A; Perosevic, A; Djurovic, D; Stankovic, S</t>
  </si>
  <si>
    <t>Joksimovic, Danijela; Castelli, Ana; Perosevic, Ana; Djurovic, Dijana; Stankovic, Slavka</t>
  </si>
  <si>
    <t>Determination of trace metals in Mytilus galloprovincialis along the Boka Kotorska Bay, Montenegrin coast</t>
  </si>
  <si>
    <t>JOURNAL OF TRACE ELEMENTS IN MEDICINE AND BIOLOGY</t>
  </si>
  <si>
    <t>Joint 16th International Symposium on Trace Elements in Man and Animals (TEMA) / 12th Conference of the International-Society-for-Trace-Element-Research-in-Humans (ISTERH) / 13th Conference of the Nordic-Trace-Element-Society (NTES)</t>
  </si>
  <si>
    <t>JUN 26-29, 2017</t>
  </si>
  <si>
    <t>St Petersburg, RUSSIA</t>
  </si>
  <si>
    <t>Trace metals; Mussels; Sediment; MPI; Montenegrin coast</t>
  </si>
  <si>
    <t>MEDITERRANEAN BLUE MUSSEL; POSIDONIA-OCEANICA MEADOWS; ADRIATIC SEA; HEAVY-METALS; ELEMENT CONCENTRATIONS; SEASONAL-VARIATIONS; HEALTH-RISKS; BLACK-SEA; SEDIMENTS; POLLUTION</t>
  </si>
  <si>
    <t>The concentrations of six trace metals, cadmium (Cd), copper (Cu), chromium (Cr), lead (Pb), zinc (Zn) and mercury (Hg) were determined in the soft tissues of the mussel Mytilus galloprovincialis and bottom sediments collected from the coastal area of Boka Kotorska Bay (Montenegrin coast). The mussels and sediment samples were collected at three sites along the Boka Kotorska Bay from the autumn of 2014 to the winter of 2016. The concentrations (mg/kg dw) of these metals in the mussel samples ranged from 1.01 to 2.87 for Cd, 6.08 to 13.2 for Cu, 1.37 to 3.55 for Pb, 85.6 to 241 for Zn, 0.72 to 4.05 for Cr and 0.098 to 0.269 for Hg. The concentrations (mg/kg dw) of these metals in the sediment samples ranged from 0.16 to 0.39 for Cd, 4.32 to 48.2 for Cu, 7.02 to 49.8 for Pb, 22.0 to 158 for Zn, 93.1 to 317 for Cr and 0.035 to 0.497 for Hg. The metal content in the mussel samples and the metal content in the sediment collected from three locations over four different seasons were analyzed using the Pearson correlation coefficient (r) and cluster analysis (CA). A correlation between the metal levels found in the mussel soft tissues with those found in the sediments, for both 2014 and 2015, were established. The metal pollution indexes (MPI) for the sediment and mussels were compared, indicating that the most polluted sediment was at the location Institute of Marine Biology Kotor (IBMK) and the most polluted mussels were sampled from the Zanjice location.</t>
  </si>
  <si>
    <t>[Joksimovic, Danijela; Castelli, Ana] Univ Montenegro, Inst Marine Biol, Dobrota Bb 85330, Kotor, Montenegro; [Perosevic, Ana] BIO ICT Ctr Excellence Bioinforrnat, Podgorica 81000, Montenegro; [Djurovic, Dijana] Inst Publ Hlth Montenegro, Podgorica 81000, Montenegro; [Stankovic, Slavka] Univ Belgrade, Fac Technol &amp; Met, Dept Analyt Chem, Karnegijeva 4, Belgrade 11000, Serbia</t>
  </si>
  <si>
    <t>University of Montenegro; University of Belgrade</t>
  </si>
  <si>
    <t>Joksimovic, D (corresponding author), Univ Montenegro, Inst Marine Biol, Dobrota Bb 85330, Kotor, Montenegro.</t>
  </si>
  <si>
    <t>Perošević-Bajčeta, Ana/AAH-4443-2019; Joksimovic, Danijela/AAH-7688-2019</t>
  </si>
  <si>
    <t>Ministry of Science of Montenegro; HERIC project through BIO-ICT Centre of Excellence [01-1001]</t>
  </si>
  <si>
    <t>Ministry of Science of Montenegro; HERIC project through BIO-ICT Centre of Excellence</t>
  </si>
  <si>
    <t>This work was supported by the Ministry of Science of Montenegro and the HERIC project through the BIO-ICT Centre of Excellence (Contract No. 01-1001).</t>
  </si>
  <si>
    <t>ELSEVIER GMBH</t>
  </si>
  <si>
    <t>MUNICH</t>
  </si>
  <si>
    <t>HACKERBRUCKE 6, 80335 MUNICH, GERMANY</t>
  </si>
  <si>
    <t>0946-672X</t>
  </si>
  <si>
    <t>J TRACE ELEM MED BIO</t>
  </si>
  <si>
    <t>J. Trace Elem. Med. Biol.</t>
  </si>
  <si>
    <t>10.1016/j.jtemb.2018.04.017</t>
  </si>
  <si>
    <t>GY5PV</t>
  </si>
  <si>
    <t>WOS:000448633900081</t>
  </si>
  <si>
    <t>Nieto-Fernandez, FE; Alcide, K; Rialas, C</t>
  </si>
  <si>
    <t>Heavy metals and neuroimmunomodulation in Mytilus edulis</t>
  </si>
  <si>
    <t>ACTA BIOLOGICA HUNGARICA</t>
  </si>
  <si>
    <t>9th Symposium of the International-Society-for-Invertebrate-Neurobiology</t>
  </si>
  <si>
    <t>JUL 01-05, 1999</t>
  </si>
  <si>
    <t>TIHANY, HUNGARY</t>
  </si>
  <si>
    <t>invertebrates; immunocytes; nitric oxide; cNOS; heavy metals</t>
  </si>
  <si>
    <t>NITRIC-OXIDE SYNTHASE; LEAD-EXPOSURE; EXPRESSION; NEURONS; RATS</t>
  </si>
  <si>
    <t>Immunocytes of mussels are the chief immune defense in these organisms. When an immunocyte becomes activated there is a conspicuous change in its morphology (i.e., from round to amoeboid) that can be quantified using image analytical tools. Active immunocytes will typically show larger perimeters and areas and a smaller shape factor. Immunocytes exposed to heavy metals become inactive (Cd, Hg and Ph) thus with smaller perimeters (e.g., Pb-2ppm(2+): P = 69.72 mu) and areas (e.g., Pb2+ (2ppm): A = 270 mu(2)) and larger shape factors (Pb2+ (2 ppm): SF = 0.65) than the unexposed control cells (alpha = 0.05). Xenobiotics may also interfere with neuroimmunomodulation processes such as nitric oxide (NO) release. The release of NO is catalyzed by a calcium dependent constitutive nitric oxide synthase (cNOS). Presently, we are exploring the effects of heavy metals and other pollutants on cNOS activity, measured as real time NO release, in immunocytes and pedal ganglia from M. edulis. Preliminary results suggest that immunocytes exposed to Pb2+ (5 ppm) cause NO release and does not seem to inhibit further NO release in the presence of morphine. The possible implications of NO mediated Pb2+ neurotoxicity are also explored.</t>
  </si>
  <si>
    <t>SUNY Coll Old Westbury, Neurosci Res Inst, Old Westbury, NY 11568 USA</t>
  </si>
  <si>
    <t>State University of New York (SUNY) System; SUNY Old Westbury</t>
  </si>
  <si>
    <t>SUNY Coll Old Westbury, Neurosci Res Inst, Old Westbury, NY 11568 USA.</t>
  </si>
  <si>
    <t>nietof@oldwestbury.edu</t>
  </si>
  <si>
    <t>NIDA NIH HHS [NIDA 09010] Funding Source: Medline; NIMH NIH HHS [NIMH COR 17138, NIMH 47392] Funding Source: Medline</t>
  </si>
  <si>
    <t>NIDA NIH HHS(United States Department of Health &amp; Human ServicesNational Institutes of Health (NIH) - USANIH National Institute on Drug Abuse (NIDA)); NIMH NIH HHS(United States Department of Health &amp; Human ServicesNational Institutes of Health (NIH) - USANIH National Institute of Mental Health (NIMH))</t>
  </si>
  <si>
    <t>AKADEMIAI KIADO ZRT</t>
  </si>
  <si>
    <t>BUDAFOKI UT 187-189-A-3, H-1117 BUDAPEST, HUNGARY</t>
  </si>
  <si>
    <t>0236-5383</t>
  </si>
  <si>
    <t>1588-256X</t>
  </si>
  <si>
    <t>ACTA BIOL HUNG</t>
  </si>
  <si>
    <t>Acta Biol. Hung.</t>
  </si>
  <si>
    <t>2-4</t>
  </si>
  <si>
    <t>353MM</t>
  </si>
  <si>
    <t>WOS:000089279100021</t>
  </si>
  <si>
    <t>Liao, CM; Jou, LJ; Chen, BC</t>
  </si>
  <si>
    <t>Risk-based approach to appraise valve closure in the clam Corbicula fluminea in response to waterborne metals</t>
  </si>
  <si>
    <t>valve closure; Corbicula fluminea; risk assessment; probabilistic; cadmium; copper</t>
  </si>
  <si>
    <t>MOVEMENT RESPONSES; ACUTE TOXICITY; HEAVY-METAL; BIVALVE; PENTACHLOROPHENOL; EXPOSURE; CADMIUM; URANIUM; TAIWAN; ORGANISMS</t>
  </si>
  <si>
    <t>We developed a risk-based approach to assess how the valve closure behavior of Asiatic clam Corbicula fluminea responds to waterborne copper (Cu) and cadmium (U). We reanalyzed the valve closure response data from published literature to reconstruct the response time-dependent dose-response profiles based on an empirical three-parameter Hill equation model. We integrated probabilistic exposure profiles of measured environmental Cu and Cd concentrations in the western coastal areas of Taiwan with the reconstructed dose-response relationships at different integration times of response to quantitatively estimate the valve response risk. The risk assessment results implicate exposure to waterborne Cu and Cd may pose no significant risk to clam valve activity in the short-time response periods (e.g., &lt; 30 min), yet a relative high risk for valve closure response to waterborne Cu at response times greater than 120 min is alarming. We successfully linked reconstructed dose-response profiles and EC50-time relationships associated with the fitted daily valve opening/closing rhythm characterized by a three-parameter lognormal function to predict the time-varying bivalve closure rhythm response to waterborne metals. We parameterized the proposed predictive model that should encourage a risk-management framework for discussion of future design of biological monitoring systems. (C) 2004 Elsevier Ltd. All rights reserved.</t>
  </si>
  <si>
    <t>Natl Taiwan Univ, Dept Bioenvironm Syst Engn, Taipei 10764, Taiwan; Natl Ilan Univ, Dept Biomechatron Engn, ILan 260, Taiwan; Mingdao Univ, Dept Post Modern Agr, Changhua 52345, Taiwan</t>
  </si>
  <si>
    <t>National Taiwan University; National Ilan University; Mingdao University</t>
  </si>
  <si>
    <t>Natl Taiwan Univ, Dept Bioenvironm Syst Engn, Taipei 10764, Taiwan.</t>
  </si>
  <si>
    <t>cmliao@ntu.edu.tw</t>
  </si>
  <si>
    <t>10.1016/j.envpol.2004.10.015</t>
  </si>
  <si>
    <t>904IC</t>
  </si>
  <si>
    <t>WOS:000227488300005</t>
  </si>
  <si>
    <t>Khan, MI; Zahoor, M; Khan, A; Gulfam, N; Khisroon, M</t>
  </si>
  <si>
    <t>Khan, Muhammad Iftikhar; Zahoor, Muhammad; Khan, Ajmal; Gulfam, Naila; Khisroon, Muhammad</t>
  </si>
  <si>
    <t>Bioaccumulation of Heavy Metals and their Genotoxic Effect on Freshwater Mussel</t>
  </si>
  <si>
    <t>River Kabul; Heavy metals; Bioaccumulation; DNA damage; Freshwater mussel</t>
  </si>
  <si>
    <t>KABUL KHYBER PAKHTUNKHWA; COMET ASSAY; RIVER KABUL; CYPRINUS-CARPIO; WALLAGO-ATTU; DNA-DAMAGE; SEDIMENT; FISH; ACCUMULATION; LAKE</t>
  </si>
  <si>
    <t>Contamination of fresh water bodies like riverine system is utmost concerned environmental issue. This study was aimed to assess the concentration of heavy metals in River Kabul and their bioaccumulation by freshwater mussel. Comet assay was used to evaluate the genotoxic effect of heavy metals on hemocytes of freshwater mussel. The concentration of heavy metals in water was in the order of Zn&gt;Pb&gt;Ni&gt;Cu&gt;Mn&gt;Fe&gt;Cr&gt;Cd, in sediments were Fe&gt;Zn&gt;Cr&gt;Ni&gt;Mn&gt;Pb&gt;Cu&gt;Cd and in the soft tissues of freshwater mussel were in order of Fe&gt;Zn&gt;Mn&gt;Pb&gt;Cu&gt;Cr&gt;Ni&gt;Cd. The hemocytes of mussels from polluted sites showed significantly higher (p&lt;0.05) DNA damage as compared to reference site. The study showed that pollutants from industries, municipal, domestic and agricultural sources cause heavy metals contamination in River Kabul.</t>
  </si>
  <si>
    <t>[Khan, Muhammad Iftikhar; Khan, Ajmal; Gulfam, Naila; Khisroon, Muhammad] Univ Peshawar, Dept Zool, Peshawar, Khyber Pakhtunk, Pakistan; [Zahoor, Muhammad] Univ Malakand, Dept Chem, Dir Lower 18800, Kpk, Pakistan</t>
  </si>
  <si>
    <t>University of Peshawar; University of Malakand</t>
  </si>
  <si>
    <t>Zahoor, M (corresponding author), Univ Malakand, Dept Chem, Dir Lower 18800, Kpk, Pakistan.</t>
  </si>
  <si>
    <t>mohammadzahoorus@yahoo.com</t>
  </si>
  <si>
    <t>Khan, Ajmal/KFR-6662-2024; Zeb, Alam/A-8642-2008</t>
  </si>
  <si>
    <t>khan, ajmal/0000-0002-6124-7459</t>
  </si>
  <si>
    <t>10.1007/s00128-018-2492-4</t>
  </si>
  <si>
    <t>HH2CC</t>
  </si>
  <si>
    <t>WOS:000455525200009</t>
  </si>
  <si>
    <t>Araújo, D; Machado, W; Weiss, D; Mulholland, DS; Boaventura, GR; Viers, J; Gamier, J; Dantas, EL; Babinski, M</t>
  </si>
  <si>
    <t>Araujo, Daniel; Machado, Wilson; Weiss, Dominik; Mulholland, Daniel S.; Boaventura, Geraldo R.; Viers, Jerome; Gamier, Jeremie; Dantas, Elton L.; Babinski, Manly</t>
  </si>
  <si>
    <t>A critical examination of the possible application of zinc stable isotope ratios in bivalve mollusks and suspended particulate matter to trace zinc pollution in a tropical estuary</t>
  </si>
  <si>
    <t>Metal isotopes; Zinc; Bioaccumulation; Environmental contamination; Coastal zones</t>
  </si>
  <si>
    <t>ZN ISOTOPES; SEPETIBA BAY; CD; FRACTIONATION; CONTAMINATION; ACCUMULATION; SIGNATURES; RELEVANCE; CADMIUM; HISTORY</t>
  </si>
  <si>
    <t>The application of zinc (Zn) isotopes in bivalve tissues to identify zinc sources in estuaries was critically assessed. We determined the zinc isotope composition of mollusks (Crassostrea brasiliana and Perna perna) and suspended particulate matter (SPM) in a tropical estuary (Sepetiba Bay, Brazil) historically impacted by metallurgical activities. The zinc isotope systematics of the SPM was in line with mixing of zinc derived from fluvial material and from metallurgical activities. In contrast, source mixing alone cannot account for the isotope ratios observed in the bivalves, which are significantly lighter in the contaminated metallurgical zone (delta Zn-66(jmc) = +0.49 +/- 0.06 parts per thousand, 2 sigma, n = 3) compared to sampling locations outside (delta(66)Znimc = +0.83 +/- 0.10 parts per thousand, 2 sigma, n = 22). This observation suggests that additional factors such as speciation, bioavailability and bioaccumulation pathways (via solution or particulate matter) influence the zinc isotope composition of bivalves. (C) 2017 Elsevier Ltd. All rights reserved.</t>
  </si>
  <si>
    <t>[Araujo, Daniel; Boaventura, Geraldo R.; Gamier, Jeremie; Dantas, Elton L.] Univ Brasilia, Inst Geociencias, Campus Darcy Ribeiro,L2, Brasilia, DF, Brazil; [Araujo, Daniel; Viers, Jerome] Univ Paul Sabatier, GET UMR CNRS 5563, Geosci Environm Toulouse, IRD, 14 Edouard Belin, F-31400 Toulouse, France; [Machado, Wilson] Univ Fed Fluminense, Dept Geoquim, Campus Valonguinho, Niteroi, RJ, Brazil; [Weiss, Dominik] Imperial Coll London, Earth Sci &amp; Engn, London, England; [Mulholland, Daniel S.] Univ Fed Tocantins, Dept Quim Ambiental, Rua Badejos,Lote 7,Chacaras 69-72, Gurupi, Tocantins, Brazil; [Babinski, Manly] Univ Sao Paulo, Inst Geociencias, Rua Lago 562,Cidade Univ, Sao Paulo, Brazil; [Araujo, Daniel; Gamier, Jeremie] Univ Brasilia, LMI OCE, IRD, Campus Darcy Ribeiro, Brasilia, DF, Brazil</t>
  </si>
  <si>
    <t>Universidade de Brasilia; Institut de Recherche pour le Developpement (IRD); Universite de Toulouse; Universite Toulouse III - Paul Sabatier; Centre National de la Recherche Scientifique (CNRS); CNRS - National Institute for Earth Sciences &amp; Astronomy (INSU); Universidade Federal Fluminense; Imperial College London; Universidade Federal do Tocantins (UFT); Universidade de Sao Paulo; Universidade de Brasilia; Comissao Nacional de Energia Nuclear (CNEN); Instituto de Radioprotecao e Dosimetria</t>
  </si>
  <si>
    <t>Araújo, D (corresponding author), Univ Brasilia, Inst Geociencias, Campus Darcy Ribeiro,L2, Brasilia, DF, Brazil.</t>
  </si>
  <si>
    <t>danielunb.ferreira@gmail.com</t>
  </si>
  <si>
    <t>BOAVENTURA, GERALDO/G-3730-2012; garnier, jeremie/AAK-8470-2021; Machado, Wilson/P-8047-2019; Dantas, Elton/AAK-8464-2021; Babinski, Marly/B-9403-2013; Mulholland, Daniel Santos/E-5795-2013</t>
  </si>
  <si>
    <t>Machado, Wilson/0000-0003-3117-8584; Babinski, Marly/0000-0003-2444-2404; Mulholland, Daniel Santos/0000-0001-9739-842X; Dantas, Elton Luiz/0000-0002-7954-5059</t>
  </si>
  <si>
    <t>CNPq (Brazilian Research Council) [161944/2012-4, 211238/2014-7]; FAPERJ (Rio de Janeiro State Research Foundation) [E-26/111.403/2014]; 7th European Community Framework Programme (NIDYFICS) [318123]; CLIM AMAZON project (European Science Foundation); LMI-OCE</t>
  </si>
  <si>
    <t>CNPq (Brazilian Research Council)(Conselho Nacional de Desenvolvimento Cientifico e Tecnologico (CNPQ)); FAPERJ (Rio de Janeiro State Research Foundation)(Fundacao Carlos Chagas Filho de Amparo a Pesquisa do Estado do Rio De Janeiro (FAPERJ)); 7th European Community Framework Programme (NIDYFICS)(European Union (EU)); CLIM AMAZON project (European Science Foundation); LMI-OCE</t>
  </si>
  <si>
    <t>The authors acknowledge the financial support and grants provided by CNPq (Brazilian Research Council, grant numbers: 161944/2012-4 and 211238/2014-7), FAPERJ (Rio de Janeiro State Research Foundation; project No. E-26/111.403/2014), the LMI-OCE and the 7th European Community Framework Programme (NIDYFICS, no 318123) and CLIM AMAZON project (European Science Foundation).</t>
  </si>
  <si>
    <t>10.1016/j.envpol.2017.04.011</t>
  </si>
  <si>
    <t>FB1CR</t>
  </si>
  <si>
    <t>WOS:000405881800005</t>
  </si>
  <si>
    <t>Seco-Reigosa, N; Peña-Rodríguez, S; Nóvoa-Muñoz, JC; Arias-Estévez, M; Fernández-Sanjurjo, MJ; Alvarez-Rodríguez, E; Núñez-Delgado, A</t>
  </si>
  <si>
    <t>Seco-Reigosa, Natalia; Pena-Rodriguez, Susana; Carlos Novoa-Munoz, Juan; Arias-Estevez, Manuel; Fernandez-Sanjurjo, Maria J.; Alvarez-Rodriguez, Esperanza; Nunez-Delgado, Avelino</t>
  </si>
  <si>
    <t>Arsenic, chromium and mercury removal using mussel shell ash or a sludge/ashes waste mixture</t>
  </si>
  <si>
    <t>Ash from shell calcination; Calcined mussel shell; Heavy metals adsorption; Sewage sludge; Waste recycling; Waste mixture; Wood ash</t>
  </si>
  <si>
    <t>BIOMASS OEDOGONIUM SP; AQUEOUS-SOLUTIONS; ADSORPTION; BIOSORPTION; SORPTION; DESORPTION; SOIL; RHIZOSPHERE; ARAGONITE; KINETICS</t>
  </si>
  <si>
    <t>Different batches of valued mussel shell and waste mussel shell ash are characterised. Shell ash has pH &gt; 12 and high electrical conductivities (between 16.01 and 27.27 dS m(-1)), while calcined shell shows pH values up to 10.7 and electrical conductivities between 1.19 and 3.55 dS m(-1). X-ray fluorescence, nitric acid digestion and water extractions show higher concentrations in shell ash for most parameters. Calcite is the dominant crystalline compound in this ash (95.6 %), followed by aragonite. Adsorption/desorption trials were performed for mussel shell ash and for a waste mixture including shell ash, sewage sludge and wood ash, showing the following percentage adsorptions: Hg(II) &gt; 94 %, As(V) &gt; 96 % and Cr(VI) between 11 and 30 % for shell ash; Hg(II) &gt; 98 %, As(V) &gt; 88 % and Cr(VI) between 30 and 88 % for the waste mixture. Hg and As desorption was &lt; 5 % for both shell ash and the waste mixture, while Cr desorption was between 92 and 45 % for shell ash, and between 19 and 0 % for the mixture. In view of that, mussel shell ash and the mixture including shell ash, sewage sludge and wood ash could be useful for Hg(II) and As(V) removal.</t>
  </si>
  <si>
    <t>[Seco-Reigosa, Natalia; Fernandez-Sanjurjo, Maria J.; Alvarez-Rodriguez, Esperanza; Nunez-Delgado, Avelino] Univ Santiago de Compostela, Escola Politecn Super, Dept Edafoloxia &amp; Quim Agr, Lugo 27002, Spain; [Pena-Rodriguez, Susana; Carlos Novoa-Munoz, Juan; Arias-Estevez, Manuel] Univ Vigo, Fac Ciencias, Dept Bioloxia Vexetal &amp; Ciencia Solo, Area Edafoloxia &amp; Quim Agr, Orense 32004, Spain</t>
  </si>
  <si>
    <t>Núñez-Delgado, A (corresponding author), Univ Santiago de Compostela, Escola Politecn Super, Dept Edafoloxia &amp; Quim Agr, Campus Univ S-N, Lugo 27002, Spain.</t>
  </si>
  <si>
    <t>Nóvoa-Muñoz, J. C./A-9181-2009; Fernández-Sanjurjo, María/ABC-6938-2020; Nunez-Delgado, Avelino/K-3964-2013; Alvarez, Esperanza/B-3154-2018; Arias-Estevez, Manuel/M-8629-2016</t>
  </si>
  <si>
    <t>Nunez-Delgado, Avelino/0000-0001-5373-1606; Alvarez, Esperanza/0000-0003-3470-2679; Pena-Rodriguez, Susana/0000-0002-0823-3568; Fernandez-Sanjurjo, Maria J./0000-0001-6728-7147; Novoa-Munoz, Juan Carlos/0000-0003-3062-4191; Arias-Estevez, Manuel/0000-0002-9162-1587</t>
  </si>
  <si>
    <t>This work was funded by the Government of Galicia (Spain).</t>
  </si>
  <si>
    <t>10.1007/s11356-012-1192-6</t>
  </si>
  <si>
    <t>115MS</t>
  </si>
  <si>
    <t>WOS:000316817000069</t>
  </si>
  <si>
    <t>Cardoso, PG; Lillebo, AI; Pereira, E; Duarte, AC; Pardal, MA</t>
  </si>
  <si>
    <t>Cardoso, P. G.; Lillebo, A. I.; Pereira, E.; Duarte, A. C.; Pardal, M. A.</t>
  </si>
  <si>
    <t>Different mercury bioaccumulation kinetics by two macrobenthic species: The bivalve Scrobicularia plana and the polychaete Hediste diversicolor</t>
  </si>
  <si>
    <t>Mercury; Bioaccumulation; Kinetics; Hediste diversicolor; Scrobicularia plana</t>
  </si>
  <si>
    <t>NEREIS-DIVERSICOLOR; ESTUARY; AVEIRO; RIA; METHYLMERCURY; MACROFAUNA; SEDIMENTS; DYNAMICS; ECOLOGY; FLUXES</t>
  </si>
  <si>
    <t>Mercury is a global priority pollutant and given its huge relevance in terms of environmental damage and a threat to human health, it is important to study the bioaccumulation processes at the level of macrobenthic organisms and evaluate possible consequences for the trophic chain. In this work we evaluate the mercury accumulation rates of two distinct and economically important macrobenthic species, the polychaete Hediste diversicolor and the bivalve Scrobicularia plana, through a mesocosms laboratory experiment. The present experiment demonstrated different bioaccumulation kinetics for each species: while S. plana has a rapid accumulation after 48 h of exposure to contaminated sediments and then reaches a steady state, H. diversicolor has a linear mercury accumulation throughout the experiment time (31 days). The different patterns observed can be related to different feeding strategies and assimilation efficiencies. In addition, we can conclude that independently of the mercury concentration in the sediments, the two studied species in both contaminated sediments reached the same percentage (25%) of mercury accumulated at the end of the experiment when compared to the maximum concentrations recorded in the field. This experiment highlights that the mercury bioaccumulation rate by these two economically and ecologically important macrobenthic species is a reasonably rapid process which can promote serious consequences for the higher trophic levels, constituting a severe risk to the natural environment and (C) 2009 Elsevier Ltd. All rights reserved.</t>
  </si>
  <si>
    <t>[Cardoso, P. G.; Pardal, M. A.] Univ Coimbra, IMAR, Inst Marine Res, Dept Zool, P-3004517 Coimbra, Portugal; [Lillebo, A. I.; Pereira, E.; Duarte, A. C.] Univ Aveiro, CESAM, Ctr Environm &amp; Marine Studies, Dept Chem, P-3810193 Aveiro, Portugal</t>
  </si>
  <si>
    <t>Universidade de Coimbra; Universidade de Aveiro</t>
  </si>
  <si>
    <t>Cardoso, PG (corresponding author), Univ Coimbra, IMAR, Inst Marine Res, Dept Zool, P-3004517 Coimbra, Portugal.</t>
  </si>
  <si>
    <t>Pereira, Eduarda/A-5907-2012; Teixeira, Patricia/I-6863-2013; Duarte, Armando/C-1424-2008; Pardal, Miguel Angelo/C-3984-2009; Lillebo, Ana/C-3773-2009</t>
  </si>
  <si>
    <t>Teixeira, Patricia/0000-0003-4653-4705; Duarte, Armando/0000-0002-4868-4099; Pardal, Miguel Angelo/0000-0001-6048-7007; Pereira, Eduarda/0000-0002-6046-5243; Lillebo, Ana/0000-0002-5228-0329</t>
  </si>
  <si>
    <t>FCT (Fundacao para a Ciencia e Tecnologia) [SFRH/BPD/22176/2005]; Fundação para a Ciência e a Tecnologia [SFRH/BPD/22176/2005] Funding Source: FCT</t>
  </si>
  <si>
    <t>FCT (Fundacao para a Ciencia e Tecnologia)(Fundacao para a Ciencia e a Tecnologia (FCT)); Fundação para a Ciência e a Tecnologia(Fundacao para a Ciencia e a Tecnologia (FCT))</t>
  </si>
  <si>
    <t>This work was supported by FCT (Fundacao para a Ciencia e Tecnologia) through a Pos-Doc Grant attributed to P.G. Cardoso (SFRH/BPD/22176/2005). The authors are indebted to all the colleagues, especially those from the Chemistry Laboratory from the Aveiro University that assisted in the field and laboratory work.</t>
  </si>
  <si>
    <t>10.1016/j.marenvres.2009.03.006</t>
  </si>
  <si>
    <t>465IK</t>
  </si>
  <si>
    <t>WOS:000267576400002</t>
  </si>
  <si>
    <t>Mahaut, ML; Basuyaux, O; Baudinière, E; Chataignier, C; Pain, J; Caplat, C</t>
  </si>
  <si>
    <t>Mahaut, Marie-Laure; Basuyaux, Olivier; Baudiniere, Estelle; Chataignier, Claire; Pain, Julien; Caplat, Christelle</t>
  </si>
  <si>
    <t>The porifera Hymeniacidon perlevis (Montagu, 1818) as a bioindicator for water quality monitoring</t>
  </si>
  <si>
    <t>Bioindicator; Sponge; Hymeniacidon perlevis; Zinc; Copper; Fluoranthene; PAH; Lower Normandy; France</t>
  </si>
  <si>
    <t>MUSSEL MYTILUS-EDULIS; HEAVY-METALS; MARINE SPONGE; COPPER; ZINC; CONTAMINATION; POLLUTION; CADMIUM; LEAD; BIOACCUMULATION</t>
  </si>
  <si>
    <t>Because sponges are promising bioindicators, we present here a multispecies comparison of the bioconcentration capacity for copper, zinc and the hydrocarbon fluoranthene. The spatial distribution of sponge populations was studied in 17 areas in intertidal zones on the Lower Normandy coast (France) to determine the most common species with the highest bioaccumulation capacity. Results are compared with published data on blue mussels Mytilus edulis from the R,seau d'Observation de la Contamination Chimique biomonitoring network. A total of 720 sponge samples were collected to assess species richness. Samples were analysed for metal concentrations by flame-mode atomic absorption spectrometry. Analyses of polycyclic aromatic hydrocarbon were sub-contracted. Species richness varies according to the water mass concerned. The most common species in the study area showing the highest bioconcentration in its soft tissues is Hymeniacidon perlevis, which contains about 20 times the zinc, 44 times the copper and 16 times the fluoranthene levels found in mussels. The variability of contaminant concentrations in H. perlevis is also systematically higher than those in mussels. The results obtained for this sponge closely reflect the heterogeneous distribution of contaminants. This study demonstrates that H. perlevis has a much higher capacity to accumulate in situ contaminants than the blue mussel M. edulis. H. perlevis meets all the requirements of a good bioindicator suitable for use in an integrated monitoring programme. In the near future, controlled cultivation of H. perlevis will allow us to produce sufficient quantities of this species to carry out ecotoxicological tests and in situ biomonitoring by caging.</t>
  </si>
  <si>
    <t>[Mahaut, Marie-Laure; Baudiniere, Estelle] CNAM INTECHMER, F-50103 Cherbourg, France; [Basuyaux, Olivier; Chataignier, Claire] SMEL, F-50560 Blainville Sur Mer, France; [Pain, Julien; Caplat, Christelle] Univ Caen, FRE3484, CNRS, BioMEA, F-14032 Caen, France</t>
  </si>
  <si>
    <t>heSam Universite; Conservatoire National Arts &amp; Metiers (CNAM); Universite de Caen Normandie; Centre National de la Recherche Scientifique (CNRS)</t>
  </si>
  <si>
    <t>Mahaut, ML (corresponding author), CNAM INTECHMER, BP 324, F-50103 Cherbourg, France.</t>
  </si>
  <si>
    <t>marie-laure.mahaut@cnam.fr</t>
  </si>
  <si>
    <t>Regional Council of Lower Normandy (CRBN); Seine-Normandy Water Agency; General Council of Manche [CG50]; Joint Association of Cotentin (SMC); Ports of Normandy Authority</t>
  </si>
  <si>
    <t>Regional Council of Lower Normandy (CRBN)(Region Normandie); Seine-Normandy Water Agency; General Council of Manche; Joint Association of Cotentin (SMC); Ports of Normandy Authority</t>
  </si>
  <si>
    <t>The authors would like to thank the Regional Council of Lower Normandy (CRBN), the Seine-Normandy Water Agency, the General Council of Manche (CG50), the Joint Association of Cotentin (SMC) and the Ports of Normandy Authority for the funding of the project. Dr M.S.N. Carpenter post-edited the English style.</t>
  </si>
  <si>
    <t>10.1007/s11356-012-1211-7</t>
  </si>
  <si>
    <t>133XY</t>
  </si>
  <si>
    <t>WOS:000318175400026</t>
  </si>
  <si>
    <t>Sokolova, IM</t>
  </si>
  <si>
    <t>Cadmium effects on mitochondrial function are enhanced by elevated temperatures in a marine poikilotherm, Crassostrea virginica Gmelin (Bivalvia: Ostreidae)</t>
  </si>
  <si>
    <t>mitochondria; cadmium; temperature; proton leak; phosphorylation rate; P/O ratio; mitochondrial volume; bivalve mollusk; Crassostrea virginica</t>
  </si>
  <si>
    <t>FRESH-WATER CLAMS; OXIDATIVE-PHOSPHORYLATION; LIVER-MITOCHONDRIA; METABOLIC-RATE; DEPENDENT BIOGEOGRAPHY; LITTORINA-SAXATILIS; THERMAL TOLERANCE; ENERGY-METABOLISM; CLIMATE-CHANGE; METALLOTHIONEIN</t>
  </si>
  <si>
    <t>Marine intertidal mollusks, such as oysters, are exposed to multiple stressors in estuaries, including varying environmental temperature and levels of trace metals, which may interactively affect their physiology. In order to understand the combined effects of cadmium and elevated temperature on mitochondrial bioenergetics of marine mollusks, respiration rates and mitochondrial volume changes were studied in response to different cadmium levels (0-1000 mumol l(-1)) and temperatures (15, 25 and 35degreesC) in isolated mitochondria from the eastern oyster Crassostrea virginica acclimated at 15degreesC. It was found that both cadmium and temperature significantly affect mitochondrial function in oysters. Elevated temperature had a rate-enhancing effect on state 3 (ADP-timulated) and states 4 and 4+ (representative of proton leak) respiration, and the rate of temperature-dependent increase was higher for states 4 and 4+ than for state 3 respiration. Exposure of oyster mitochondria to 35degreesC resulted in a decreased respiratory control and phosphorylation efficiency (P/O ratio) compared to that of the-acclimation temperature (15degreesC), while an intermediate temperature (25degreesC) had no effect. Cadmium exposure did not lead to a significant volume change in oyster mitochondria in vitro. Low levels of cadmium (1-5 mumol l(-1)) stimulated the rate of proton leak in oyster mitochondria, while not affecting ADP-stimulated state 3 respiration. In contrast, higher cadmium levels (10-50 mumol l(-1)) had little or no effect on proton leak, but significantly inhibited state 3 respiration by 40-80% of the control rates. Elevated temperature increased sensitivity of oyster mitochondria to cadmium leading to an early inhibition of ADP-stimulated respiration and an onset of complete mitochondrial uncoupling at progressively lower cadmium concentrations with increasing temperature. Enhancement of cadmium effects by elevated temperatures suggests that oyster populations subjected to elevated temperatures due to seasonal warming or global climate change may become more susceptible to trace metal pollution, and vice versa.</t>
  </si>
  <si>
    <t>10.1242/jeb.01054</t>
  </si>
  <si>
    <t>843NJ</t>
  </si>
  <si>
    <t>WOS:000223090300020</t>
  </si>
  <si>
    <t>Curtosi, A; Pelletier, E; Vodopivez, C; St Louis, R; Mac Cormack, WP</t>
  </si>
  <si>
    <t>Curtosi, Antonio; Pelletier, Emilien; Vodopivez, Cristian; St Louis, Richard; Patricio Mac Cormack, Walter</t>
  </si>
  <si>
    <t>Presence and Distribution of Persistent Toxic Substances in Sediments and Marine Organisms of Potter Cove, Antarctica</t>
  </si>
  <si>
    <t>KING-GEORGE ISLAND; POLYCYCLIC AROMATIC-HYDROCARBONS; BIVALVE LATERNULA-ELLIPTICA; HEAVY-METAL CONTAMINATION; LIMPET NACELLA-CONCINNA; TERRA-NOVA BAY; MCMURDO SOUND; BASE-LINE; NOTOTHENIA-CORIICEPS; SHETLAND ISLANDS</t>
  </si>
  <si>
    <t>Levels of butyltin compounds, polychlorinated biphenyls, and heavy metals were analyzed in marine sediments and organisms (Notothenia coriiceps, Laternula elliptica, and Nacella concinna), each of which has a different feeding strategy, in Potter Cove, Antarctica. PCBs were lower than detection limits in all samples. Only butyltin compounds were detected in a restricted area near the scientific station. Chromium, copper, magnesium, lead (Pb), and zinc had similar behavior in the cove, probably because they are regulated by similar process and conditions. However, Pb levels in some sites of the cove seem to be related to human activities in the area. Cadmium levels were relatively low, with the highest values found close to the shoreline, which is probably influenced by seasonal streams draining waters from Potter Peninsula. Results showed that despite the fact that Jubany Station has been operating for &gt; 50 years, surface sediment and biota from Potter Cove do not exhibit levels of pollutants representing environmental concern.</t>
  </si>
  <si>
    <t>[Curtosi, Antonio; Vodopivez, Cristian; Patricio Mac Cormack, Walter] Inst Antartico Argentino, Buenos Aires, DF, Argentina; [Curtosi, Antonio; Pelletier, Emilien; St Louis, Richard] Univ Quebec Rimouski, Inst Sci Mer Rimouski, Rimouski, PQ G5L 3A1, Canada; [Patricio Mac Cormack, Walter] Univ Buenos, Catedra Biotecnol, Fac Farm &amp; Bioquim, Buenos Aires, DF, Argentina</t>
  </si>
  <si>
    <t>Instituto Antartico Argentino; University of Quebec; Universite du Quebec a Rimouski; University of Buenos Aires</t>
  </si>
  <si>
    <t>Mac Cormack, WP (corresponding author), Inst Antartico Argentino, Cerrito 1248 C1010AAZ, Buenos Aires, DF, Argentina.</t>
  </si>
  <si>
    <t>wmac@ffyb.uba.ar</t>
  </si>
  <si>
    <t>Mac Cormack, Walter/0000-0002-5280-5463</t>
  </si>
  <si>
    <t>Universidad de Buenos Aires [UBACyT U007]; Agencia Nacional de Investigaciones Cientificas y Tecnicas [Picto 11555]; Canadian Research Chair in Ecotoxicilogy of High Latitude Ecosystems; Quebec-Ocean Strategic Network (FQRNT)</t>
  </si>
  <si>
    <t>Universidad de Buenos Aires(University of Buenos Aires); Agencia Nacional de Investigaciones Cientificas y Tecnicas; Canadian Research Chair in Ecotoxicilogy of High Latitude Ecosystems; Quebec-Ocean Strategic Network (FQRNT)(FQRNT)</t>
  </si>
  <si>
    <t>We thank Jubany Station crew and especially Oscar Gonzalez, Lucas Ruberto, and Denis Brion for their assistance during fieldwork. This research was carried out under an agreement between the Instituto Antartico Argentino and the Facultad de Farmacia y Bioquimica of the Universidad de Buenos Aires. Field and laboratory works were supported by the Universidad de Buenos Aires (UBACyT U007), the Agencia Nacional de Investigaciones Cientificas y Tecnicas (Picto 11555), the Canadian Research Chair in Ecotoxicilogy of High Latitude Ecosystems, and the Quebec-Ocean Strategic Network (FQRNT). Many thanks go to personal of the Institut des Sciences de la Mer a Rimouski (ISMER/UQAR) for technical and professional assistance in chemical analysis.</t>
  </si>
  <si>
    <t>10.1007/s00244-010-9509-2</t>
  </si>
  <si>
    <t>666FH</t>
  </si>
  <si>
    <t>WOS:000283098800007</t>
  </si>
  <si>
    <t>Benali, I; Boutiba, Z; Grandjean, D; de Alencastro, LF; Rouane-Hacene, O; Chèvre, N</t>
  </si>
  <si>
    <t>Benali, Imene; Boutiba, Zitouni; Grandjean, Dominique; de Alencastro, Luiz Felippe; Rouane-Hacene, Omar; Chevre, Nathalie</t>
  </si>
  <si>
    <t>Spatial distribution and biological effects of trace metals (Cu, Zn, Pb, Cd) and organic micropollutants (PCBs, PAHs) in mussels Mytilus galloprovincialis along the Algerian west coast</t>
  </si>
  <si>
    <t>Mussels; Chemicals; Biomarkers; Condition indices; Site classifications</t>
  </si>
  <si>
    <t>POLYCYCLIC AROMATIC-HYDROCARBONS; BIOMARKER RESPONSE INDEX; BLUE MUSSEL; HEAVY-METAL; SEASONAL-VARIATIONS; INTEGRATED USE; OXIDATIVE STRESS; DIGESTIVE GLAND; PERNA-VIRIDIS; POLLUTION</t>
  </si>
  <si>
    <t>Native mussels Mytilus galloprovincialis are used as bioindicator organisms to assess the concentration levels and toxic effects of persistent chemicals, polychlorobiphenyls (PCBs), polycyclic aromatic hydrocarbons (PAHs), and heavy metals using biomarker responses, such as catalase (CAT), glutathione s-transferase (GST), and condition indices, for the Algerian coast. The results show that mussels of Oran Harbour are extremely polluted by PCBs and PAHs, i.e., 97.6 and 2892.1 mu g/kg d.w., respectively. Other sites present low levels of pollution. Furthermore, high concentrations of zinc, lead and cadmium are found in mussels from fishing, agricultural and estuarine sites, respectively, while low concentrations of copper are found in all of the sites studied. CAT activity is negatively correlated with Cd and Cu, and Zn is positively correlated with GST and CAT. Site classification tools reveal the potential toxicity of coastal areas exposed to anthropogenic pressure and a gradient of toxicity along the Algerian west coast. (C) 2016 Elsevier Ltd. All rights reserved.</t>
  </si>
  <si>
    <t>[Benali, Imene; Boutiba, Zitouni; Rouane-Hacene, Omar] Univ Oran 1 Ahmed Ben Bella, Dept Biol, Lab Network Environm Monitoring LRSE, BP 1524 El Mnaouer, Oran 31000, Algeria; [Benali, Imene] Univ Sci &amp; Technol Mohamed Boudiaf USTO MB, Fac Nat &amp; Life Sci, Dept Appl Mol Genet, BP 1505 El Menaouar, Oran 31036, Algeria; [Grandjean, Dominique; de Alencastro, Luiz Felippe] Ecole Polytech Fed Lausanne, Cent Environm Lab GR CEL, CH-1015 Lausanne, Switzerland; [Chevre, Nathalie] Univ Lausanne, Fac Geosci &amp; Environm, CH-1015 Lausanne, Switzerland</t>
  </si>
  <si>
    <t>Universite des Sciences et de la Technologie d'Oran Mohamed Boudiaf; Swiss Federal Institutes of Technology Domain; Ecole Polytechnique Federale de Lausanne; University of Lausanne</t>
  </si>
  <si>
    <t>Benali, I (corresponding author), Univ Oran 1 Ahmed Ben Bella, Dept Biol, Lab Network Environm Monitoring LRSE, BP 1524 El Mnaouer, Oran 31000, Algeria.</t>
  </si>
  <si>
    <t>ibenali@yahoo.fr; zitouniboutiba@yahoo.fr; dominique.grandjean@epfl.ch; felippe.dealencastro@epfl.ch; rouaneho@yahoo.fr; nathalie.chevre@unil.ch</t>
  </si>
  <si>
    <t>HACENE, Omar/AAJ-9528-2020</t>
  </si>
  <si>
    <t>Chevre, Nathalie/0000-0002-9248-7375</t>
  </si>
  <si>
    <t>Institute of Earth Surface Dynamics (IDYST) at the University of Lausanne, Switzerland</t>
  </si>
  <si>
    <t>The authors thank the Institute of Earth Surface Dynamics (IDYST) at the University of Lausanne, Switzerland, for financing the organic compound measures conducted in the Central Environmental Laboratory (CEL), Ecole Polytechnique Federate de Lausanne (EPFL), Switzerland. We also wish to thank Dr. Nathalie Chevre for supervising this study. We thank Tayeb Abed and Tizi Mohamed for their assistance with sampling and benchtop tasks.</t>
  </si>
  <si>
    <t>FEB 15</t>
  </si>
  <si>
    <t>10.1016/j.marpolbul.2016.12.028</t>
  </si>
  <si>
    <t>EL1RX</t>
  </si>
  <si>
    <t>WOS:000394399800078</t>
  </si>
  <si>
    <t>Ünlü, S; Topçuoglu, S; Alpar, B; Kirbasoglu, C; Yilmaz, YZ</t>
  </si>
  <si>
    <t>Unlu, Selma; Topcuoglu, Sayhan; Alpar, Bedri; Kirbasoglu, Cigdem; Yilmaz, Yusuf Ziya</t>
  </si>
  <si>
    <t>Heavy metal pollution in surface sediment and mussel samples in the Gulf of Gemlik</t>
  </si>
  <si>
    <t>heavy metals; bottom sediments; mussels; Mytilus galloprovincialis; grain size; pollution</t>
  </si>
  <si>
    <t>MARMARA SEA; BLACK-SEA; BAY; TURKEY; CONTAMINATION; DISTRIBUTIONS; HYDROCARBONS; COAST</t>
  </si>
  <si>
    <t>Sediment quality data provide essential information for evaluating ambient environmental quality conditions. An evaluation is presented of heavy metal pollution, on the basis of statistical analysis of metal concentrations from the sediments of the Gulf of Gemlik, southeastern Marmara Sea, Turkey, which has been subject to high levels of pollution. The ranges for heavy metal concentrations (Co, Cr, Cu, Fe, Mn, Ni, Pb and Zn) at the &lt;63 mu m grain size were higher when compared with those obtained from &gt;63 mu m fractions. Not only large industrialized seaports but also resort areas throughout the Gulf are flagged as hotspots for elevated concentrations, generally higher compared to those from the other Turkish marine environment. The highest concentrations of Cr, Pb and Ni were measured in the outer part of the Gulf, while the highest concentrations of Cu were documented offshore the main rivers. While the concentrations of Cr, Fe, Mn and Ni in some stations approach the severe effect level given in various sediment quality guidelines, the concentrations of the most human-related metals (Cd and Zn) in the mussels collected from the Port Mudanya were higher than the acceptable values for human consumption set by various healthy organizations.</t>
  </si>
  <si>
    <t>[Topcuoglu, Sayhan; Kirbasoglu, Cigdem; Yilmaz, Yusuf Ziya] Cekmece Nucl Res &amp; Training Ctr, TAEK, TR-34149 Istanbul, Turkey; [Unlu, Selma; Alpar, Bedri] Istanbul Univ, Inst Marine Sci &amp; Management, TR-34116 Vefa Istanbul, Turkey</t>
  </si>
  <si>
    <t>Turkish Energy, Nuclear &amp; Mineral Research Agency (TENMAK); Ministry of Energy &amp; Natural Resources - Turkey; Istanbul University</t>
  </si>
  <si>
    <t>Topçuoglu, S (corresponding author), Cekmece Nucl Res &amp; Training Ctr, TAEK, POB 1, TR-34149 Istanbul, Turkey.</t>
  </si>
  <si>
    <t>sayhantopcuoglu@yahoo.com</t>
  </si>
  <si>
    <t>Unlu, Selma/AAB-8337-2020; Alpar, Bedri/H-4168-2011</t>
  </si>
  <si>
    <t>Alpar, Bedri/0000-0002-9694-1395</t>
  </si>
  <si>
    <t>Istanbul University; [UDP-2007]</t>
  </si>
  <si>
    <t>Istanbul University(Istanbul University);</t>
  </si>
  <si>
    <t>Funding was given by the research fund of the Istanbul University; project UDP-2007 allocated to SU. We are grateful to Adem Okus for assistance with marine expedition.</t>
  </si>
  <si>
    <t>10.1007/s10661-007-9986-6</t>
  </si>
  <si>
    <t>342JZ</t>
  </si>
  <si>
    <t>WOS:000258781700016</t>
  </si>
  <si>
    <t>PRESING, M; BALOGH, KV; SALANKI, J</t>
  </si>
  <si>
    <t>CADMIUM UPTAKE AND DEPURATION IN DIFFERENT ORGANS OF LYMNAEA-STAGNALIS L AND THE EFFECT OF CADMIUM ON THE NATURAL ZINC LEVEL</t>
  </si>
  <si>
    <t>FRESH-WATER CLAMS; ANODONTA-CYGNEA; POLLUTION; ACCUMULATION; INDICATOR; KINETICS; SNAIL; LEAD</t>
  </si>
  <si>
    <t>The uptake of cadmium (0.1 mg/L) into various organs of the pond snail Lymnaea stagnalis L., the depuration of accumulated Cd, and the change in the natural Zn level under the influence of Cd treatment were investigated during a 2 month period. The snails were fed with lettuce (Latuca sativa). The concentrations of Cd were measured in the whole soft body, various organs (liver, viscera, foot), the shell and the lettuce; and zinc concentrations were measured in various organs and the lettuce. As its Cd concentration remained at 10 mug/g, which was much lower than the initial value for the soft body (69.4 +/- 5.71 mug/g), the shell, according to our results, is incapable of accumulating Cd. The uptake pattern of the soft body showed a correlation with the initial Cd levels depending on differences in the Cd concentration of the lettuce. At the higher initial value (69.4 +/- 5.71 mug/g) the linear Cd uptake began later then it did at the lower initial value; afterwards the snail was saturated with Cd. In the case of the lower, 9.02 +/- 1.3 mug/g initial concentration, a rapid linear Cd uptake occurred till the 7th day, then the intensity of the uptake decreased. Saturation occurred at 200 mug/g Cd concentration, regardless of the initial value. At the lower initial tissue level, the foot and the viscera showed a linear uptake pattern, while the liver, which has the greatest accumulation ability, displayed a logarithmic uptake pattern. The initial and the final Cd concentrations in the foot, viscera, and liver of the L. stagnalis were as follows: 10.3 +/- 2.15 - 60.1 +/- 7.13, 5.15 +/- 1.04 - 156 +/- 27.2, 14.1 +/- 3.09 - 430 +/- 23.3 mug/g respectively. The bioconcentration factors (CF) were in the 10(2) (foot) and 10(3) (viscera, liver, soft body) orders of magnitude. Forty to 45% of the accumulated Cd was depurated in Cd-free tap water; during the first three days of the uptake period, a negative linear correlation was found between Cd and Zn levels in the snail organs.</t>
  </si>
  <si>
    <t>PRESING, M (corresponding author), HUNGARIAN ACAD SCI,BALATON LIMNOL RES INST,H-8237 TIHANY,HUNGARY.</t>
  </si>
  <si>
    <t>10.1007/BF01061086</t>
  </si>
  <si>
    <t>KF371</t>
  </si>
  <si>
    <t>WOS:A1993KF37100005</t>
  </si>
  <si>
    <t>Baudrimont, M; Schäfer, J; Marie, V; Maury-Brachet, R; Bossy, C; Durrieu, G; Palvadeau, A; Maneux, E; Boudou, A; Blanc, G</t>
  </si>
  <si>
    <t>Cadmium contamination of three bivalve species (oysters, cockles and clams) in Nord Medoc salt marshes (Gironde estuary, France):: Geochemical survey and metal bioaccumulation kinetics</t>
  </si>
  <si>
    <t>JOURNAL DE PHYSIQUE IV</t>
  </si>
  <si>
    <t>12th International Conference on Heavy Metals in the Environment</t>
  </si>
  <si>
    <t>MAY 26-30, 2003</t>
  </si>
  <si>
    <t>GRENOBLE, FRANCE</t>
  </si>
  <si>
    <t>MATTER</t>
  </si>
  <si>
    <t>A historical Cd pollution of the Lot-Garonne River system (France) has led to the contamination of sediment and water of the Gironde Estuary. in spite of the decrease of fluvial Cd inputs since the early 90ies, Cd concentrations in the Gironde oysters remain higher than European norms (5 mug.g(-1) dry mass) and the zone D classification of the estuary prohibits bivalve production and harvesting for human consumption, A geochemical survey in salt marshes used for aquaculture (crustaceans) has been conducted in order to assess the heavy metal contamination level in these systems periodically alimented by the Gironde water, accompanied by caging experiments on three bivalve species of economical interest: oysters (Crassostrea gigas), cockles (Cerastoderma edule) and clams (Ruditapes philippinarum) to study heavy metal accumulation in these organisms. Distribution of heavy metals in this system is controlled by biogeochemical processes and is independent of routine water management. Contamination levels in the studied species indicate the high accumulation of Cd by oysters. On the other hand, Cd concentrations in benthic species, such as cockles and clams, are clearly lower than European safety limits for human consumption.</t>
  </si>
  <si>
    <t>Univ Bordeaux 1, LEESA, UMR 5805, CNRS,EPOC, F-33120 Arcachon, France; Univ Bordeaux 1, DGO, UMR 5805, CNRS,EPOC, F-33405 Talence, France</t>
  </si>
  <si>
    <t>Centre National de la Recherche Scientifique (CNRS); CNRS - National Institute for Earth Sciences &amp; Astronomy (INSU); Universite de Bordeaux; Universite de Bordeaux; Centre National de la Recherche Scientifique (CNRS); CNRS - National Institute for Earth Sciences &amp; Astronomy (INSU)</t>
  </si>
  <si>
    <t>Baudrimont, M (corresponding author), Univ Bordeaux 1, LEESA, UMR 5805, CNRS,EPOC, Pl Dr Peyneau, F-33120 Arcachon, France.</t>
  </si>
  <si>
    <t>Baudrimont, Magalie/0000-0001-9901-8435; Schafer, Jorg/0000-0003-2631-908X; Blanc, Gerard/0009-0005-9814-0427</t>
  </si>
  <si>
    <t>E D P SCIENCES</t>
  </si>
  <si>
    <t>LES ULIS CEDEXA</t>
  </si>
  <si>
    <t>7, AVE DU HOGGAR, PARC D ACTIVITES COURTABOEUF, BP 112, F-91944 LES ULIS CEDEXA, FRANCE</t>
  </si>
  <si>
    <t>1155-4339</t>
  </si>
  <si>
    <t>J PHYS IV</t>
  </si>
  <si>
    <t>J. Phys. IV</t>
  </si>
  <si>
    <t>10.1051/jp4:20030261</t>
  </si>
  <si>
    <t>Physics, Multidisciplinary</t>
  </si>
  <si>
    <t>Physics</t>
  </si>
  <si>
    <t>694PE</t>
  </si>
  <si>
    <t>WOS:000183782300034</t>
  </si>
  <si>
    <t>Coelho, JP; Duarte, AC; Pardal, MA; Pereira, ME</t>
  </si>
  <si>
    <t>Coelho, J. P.; Duarte, A. C.; Pardal, M. A.; Pereira, M. E.</t>
  </si>
  <si>
    <t>Scrobicularia plana (Mollusca, Bivalvia) as a biomonitor for mercury contamination in Portuguese estuaries</t>
  </si>
  <si>
    <t>ECOLOGICAL INDICATORS</t>
  </si>
  <si>
    <t>Biomonitor; Mercury; Scrobicularia plana; Size effect; Bioconcentration factors; Estuaries</t>
  </si>
  <si>
    <t>HEAVY-METALS POLLUTION; CARCINUS-MAENAS; BIOACCUMULATION; BIOINDICATORS; SEA; ACCUMULATION; ECOSYSTEM; PATTERN; MUSSELS; SYSTEMS</t>
  </si>
  <si>
    <t>The main goal of this research was to test the effectiveness of Scrobicularia plana to reflect environmental mercury concentrations, with the aim to propose it as a suitable, sentinel mercury biomonitor. Significant differences in mercury concentrations were observed between small and larger sized individuals in the most contaminated sampling sites, suggesting progressive mercury accumulation with size. Larger size classes did not significantly differ, however, indicating that organisms attain an equilibrium state between the mercury assimilation and excretion rates. Therefore, the average concentration of individuals larger than 2 cm shell length is indicative of the local contaminant bioavailability. The diet emerges as the source of contaminant incorporation in this species, which reflects sediment and suspended particulate matter (SPM) contamination regardless of the degree of environmental contamination. Such consistent bioaccumulation behavior, its widespread distribution, abundance, ease of collection, taxonomic identification and resistance to contamination, emphasize the usefulness of S. plana as a cosmopolitan biomonitor of mercury contamination in temperate estuarine systems. (C) 2014 Elsevier Ltd. All rights reserved.</t>
  </si>
  <si>
    <t>[Coelho, J. P.; Duarte, A. C.; Pereira, M. E.] Univ Aveiro, Dept Chem, CESAM Ctr Environm &amp; Marine Studies, P-3810193 Aveiro, Portugal; [Pardal, M. A.] Univ Coimbra, Dept Life Sci, CEF Ctr Funct Ecol, P-3001401 Coimbra, Portugal</t>
  </si>
  <si>
    <t>Universidade de Aveiro; Universidade de Coimbra</t>
  </si>
  <si>
    <t>Coelho, JP (corresponding author), Univ Aveiro, Dept Chem, CESAM Ctr Environm &amp; Marine Studies, P-3810193 Aveiro, Portugal.</t>
  </si>
  <si>
    <t>jpcoelho@ua.pt</t>
  </si>
  <si>
    <t>Coelho, João/C-1699-2008; Duarte, Armando/C-1424-2008; Pardal, Miguel Angelo/C-3984-2009</t>
  </si>
  <si>
    <t>Coelho, Joao Pedro/0000-0003-1975-8308; Duarte, Armando/0000-0002-4868-4099; Pardal, Miguel Angelo/0000-0001-6048-7007</t>
  </si>
  <si>
    <t>European Funds through COMPETE; National Funds through the Portuguese Foundation for Science and Technology (FCT) [PEst-C/MAR/LA0017/2013, BPD/48449/2008]</t>
  </si>
  <si>
    <t>European Funds through COMPETE; National Funds through the Portuguese Foundation for Science and Technology (FCT)</t>
  </si>
  <si>
    <t>This work was supported by European Funds through COMPETE and by National Funds through the Portuguese Foundation for Science and Technology (FCT) within project PEst-C/MAR/LA0017/2013 and a Post-Doc grant to Joao Pedro Coelho (BPD/48449/2008).</t>
  </si>
  <si>
    <t>1470-160X</t>
  </si>
  <si>
    <t>1872-7034</t>
  </si>
  <si>
    <t>ECOL INDIC</t>
  </si>
  <si>
    <t>Ecol. Indic.</t>
  </si>
  <si>
    <t>10.1016/j.ecolind.2014.07.015</t>
  </si>
  <si>
    <t>AQ2YO</t>
  </si>
  <si>
    <t>WOS:000342656100047</t>
  </si>
  <si>
    <t>Kwon, YK; Jung, YS; Park, JC; Seo, J; Choi, MS; Hwang, GS</t>
  </si>
  <si>
    <t>Kwon, Yong-Kook; Jung, Young-Sang; Park, Jong-Chul; Seo, Jungju; Choi, Man-Sik; Hwang, Geum-Sook</t>
  </si>
  <si>
    <t>Characterizing the effect of heavy metal contamination on marine mussels using metabolomics</t>
  </si>
  <si>
    <t>Marine mussel; Heavy metal; Contamination; Metabolomics; NMR; Multivariate analysis</t>
  </si>
  <si>
    <t>NMR-BASED METABOLOMICS; MYTILUS-EDULIS; ENERGY-METABOLISM; AMINO-ACIDS; ANOXIA; GALLOPROVINCIALIS; INVERTEBRATES; PURIFICATION; POLLUTION; RESPONSES</t>
  </si>
  <si>
    <t>Marine mussels (Mytilus) are widely used as bioindicators to measure pollution in marine environments. In this study, H-1 NMR spectroscopy and multivariate statistical analyses were used to differentiate mussel groups from a heavy metal-polluted area (Onsan Bay) and a clean area (Dokdo area). Principal component analysis and orthogonal projection to latent structure-discriminant analysis revealed significant separation between extracts of mussels from Onsan Bay and from the Dokdo area. Organic osmolytes (betaine and taurine) and free amino acids (alanine, arginine, glutamine, phenylalanine, and threonine) were more highly accumulated in Onsan Bay mussels compared with Dokdo mussels. These results demonstrate that NMR-based metabolomics can be used as an efficient method for characterizing heavy metal contamination derived from polluted area compared to clean area and to identify metabolites related to environments that are contaminated with heavy metals. (c) 2012 Elsevier Ltd. All rights reserved.</t>
  </si>
  <si>
    <t>[Kwon, Yong-Kook; Jung, Young-Sang; Park, Jong-Chul; Seo, Jungju; Hwang, Geum-Sook] Korea Basic Sci Inst, Seoul Ctr, Seoul 136713, South Korea; [Kwon, Yong-Kook; Park, Jong-Chul; Choi, Man-Sik; Hwang, Geum-Sook] Chungnam Natl Univ, Grad Sch Analyt Sci &amp; Technol, Taejon 305764, South Korea; [Choi, Man-Sik] Chungnam Natl Univ, Dept Marine Environm Sci, Taejon 305764, South Korea</t>
  </si>
  <si>
    <t>Korea Basic Science Institute (KBSI); Chungnam National University; Chungnam National University</t>
  </si>
  <si>
    <t>Hwang, GS (corresponding author), Korea Basic Sci Inst, Seoul Ctr, Seoul 136713, South Korea.</t>
  </si>
  <si>
    <t>gshwang@kbsi.re.kr</t>
  </si>
  <si>
    <t>Jung, Young-Sang/L-5068-2013</t>
  </si>
  <si>
    <t>Jung, Young-Sang/0000-0003-0817-0664; Choi, Mansik/0000-0001-7902-9567</t>
  </si>
  <si>
    <t>Korea Basic Science Institute [C32700]; Graduate School of Analytical Science and Technology and Basic Science Research Program through the National Research Foundation of Korea (NRF); Ministry of Education, Science and Technology [20100024645]</t>
  </si>
  <si>
    <t>Korea Basic Science Institute; Graduate School of Analytical Science and Technology and Basic Science Research Program through the National Research Foundation of Korea (NRF)(National Research Foundation of Korea); Ministry of Education, Science and Technology(Ministry of Education, Science &amp; Technology (MEST), Republic of Korea)</t>
  </si>
  <si>
    <t>This study was supported by a grant from the Korea Basic Science Institute (C32700) and Graduate School of Analytical Science and Technology and Basic Science Research Program through the National Research Foundation of Korea (NRF) funded by the Ministry of Education, Science and Technology (20100024645).</t>
  </si>
  <si>
    <t>10.1016/j.marpolbul.2012.06.012</t>
  </si>
  <si>
    <t>006WV</t>
  </si>
  <si>
    <t>WOS:000308851400027</t>
  </si>
  <si>
    <t>Chelyadina, NS; Popov, MA; Pospelova, NV; Smyrnova, LL</t>
  </si>
  <si>
    <t>Chelyadina, N. S.; Popov, M. A.; Pospelova, N. V.; Smyrnova, L. L.</t>
  </si>
  <si>
    <t>Effects of heavy metals on sex inversion of the mussel Mytilus galloprovincialis Lam., 1819 in coastal zone of the Black Sea</t>
  </si>
  <si>
    <t>Mariculture; Bivalvia; Toxicity; Pollution; Males and females</t>
  </si>
  <si>
    <t>OCEAN ACIDIFICATION; MARINE MUSSELS; COPPER; WATER; CADMIUM; ZINC; BIOACCUMULATION; POPULATIONS; SEVASTOPOL; INDUCTION</t>
  </si>
  <si>
    <t>Sex inversion in the mussel Mytilus galloprovincialis under the influence of heavy metals as one of the reasons for the shift in the sex ratio in the mussel population on the Black Sea coastal zone of Crimea were considered in the work. The present study is the first to directly show that heavy metals can cause females of the mussel M. galloprovincialis to change into males during post-spawning development of gonads. The degree of impact of heavy metals on the sex change in mussel females was different and decreased in the following sequence: Cu2+ -&gt; Cd2+ -&gt; Hg2+ -&gt; Pb2+ -&gt; Zn2+. Copper ions had the greatest effect, which caused a sex inversion in 54 % of females. The heavy metals Hg2+ and Pb2+ were also quite toxic causing mortality in 13 % and 10 % of in-dividuals, respectively. It is possible to use M. galloprovincialis as a model organism in the study of mechanism of environmental sex reversal in bivalves.</t>
  </si>
  <si>
    <t>[Chelyadina, N. S.; Popov, M. A.; Pospelova, N. V.] AO Kovalevsky Inst Biol Southern Seas, Nakhimov ave 2, Sevastopol 299011, Russia; [Smyrnova, L. L.] Russian Acad Sci, Inst Nat &amp; Tech Syst, Lenin str 28, Sevastopol 299011, Russia</t>
  </si>
  <si>
    <t>Russian Academy of Sciences; AO Kovalevsky Institute of Biology of the Southern Seas of RAS (IBSS); Russian Academy of Sciences; Institute of Natural &amp; Technical Systems of the RAS</t>
  </si>
  <si>
    <t>Pospelova, NV (corresponding author), AO Kovalevsky Inst Biol Southern Seas, Nakhimov ave 2, Sevastopol 299011, Russia.</t>
  </si>
  <si>
    <t>nvpospelova@mail.ru</t>
  </si>
  <si>
    <t>Pospelova, Natalia/C-7572-2016; Popov, Mikhail/HIR-7175-2022</t>
  </si>
  <si>
    <t>Ministry of Science and Higher Education (Russia); [121030300149-0]; [19-119031490078-9]</t>
  </si>
  <si>
    <t>Ministry of Science and Higher Education (Russia); ;</t>
  </si>
  <si>
    <t>Funding statement This work was supported by the Ministry of Science and Higher Education (Russia) (grant numbers 121030300149-0 and ????-?19-119031490078-9) .</t>
  </si>
  <si>
    <t>10.1016/j.marpolbul.2022.114323</t>
  </si>
  <si>
    <t>6Q6ZF</t>
  </si>
  <si>
    <t>WOS:000891759700013</t>
  </si>
  <si>
    <t>HIerema, IN; Eiasu, BK; Koch, SH</t>
  </si>
  <si>
    <t>HIerema, Igenicious N.; Eiasu, Bahlebi K.; Koch, Susan H.</t>
  </si>
  <si>
    <t>Pineapple (Ananas comusus) Plant Material as Supplement for Maize Residue-based Oyster Mushroom Substrate and Reduction of Cadmium Soil Contamination</t>
  </si>
  <si>
    <t>HORTSCIENCE</t>
  </si>
  <si>
    <t>biological efficiency; biosorption; cadmium; heavy metal pollution; mushroom; pineapple; Pleurotus ostreatus; substrate</t>
  </si>
  <si>
    <t>PLEUROTUS-SAJOR-CAJU; CULTIVATION; YIELD</t>
  </si>
  <si>
    <t>Pineapple (Ananas comusus) production generates hard currency and, as a labor-intensive industry, it creates jobs. The profitability of pineapple farming in South Africa faces several challenges, including low yield potential and cadmium (Cd) contamination of soils, which damaged the reputation of the industry. To increase the income of pineapple farmers, research was conducted to evaluate the utilization of pineapple crop residue for oyster mushroom (Pleurotus ostreatus) production and to establish the Cd levels in the mushrooms produced on Cd-contaminated pineapple crop residue. Treatments were maize residue (M), pineapple residue (P), and a mixture of maize and pineapple residues [at 1: 1 ratio (on a dry weight basis), M + P]. Biological efficiencies of 90%, 77.6%, and 29% were recorded for the M + P, P, and M treatments, respectively. The P and M + P substrates significantly increased mushroom yield. Mushroom protein contents were 23.3%, 18.86%, and 18.81% (on a dry weight basis) in the M + P, P, and M treatments, respectively. Mushrooms in the P substrate had the highest Cd level (3.3 mg/kg). In theM+ P substrate, Cd reduced to a safe level (0.15 mg/kg). This indicates that mushrooms have biosorption capacity, and could be used to solve the problem of Cd pollution and increase the income of pineapple production.</t>
  </si>
  <si>
    <t>[HIerema, Igenicious N.; Eiasu, Bahlebi K.] Univ Ft Hare, Dept Agron, Private Bag X1314, ZA-5700 Alice, South Africa; [Koch, Susan H.] Agr Res Council, Plant Protect Res Inst, Private Bag X134, ZA-0001 Pretoria, South Africa</t>
  </si>
  <si>
    <t>University of Fort Hare; Agricultural Research Council of South Africa</t>
  </si>
  <si>
    <t>Eiasu, BK (corresponding author), Univ Ft Hare, Dept Agron, Private Bag X1314, ZA-5700 Alice, South Africa.</t>
  </si>
  <si>
    <t>beiasu@ufh.ac.za</t>
  </si>
  <si>
    <t>Gauteng Department of Agriculture and Rural Development; Govan Mbeki Research Foundation; ARC</t>
  </si>
  <si>
    <t>Gauteng Department of Agriculture and Rural Development; Govan Mbeki Research Foundation; ARC(Australian Research Council)</t>
  </si>
  <si>
    <t>We are grateful to the Gauteng Department of Agriculture and Rural Development for funding this project, Govan Mbeki Research Foundation for the study bursary, and the ARC for the use of their Roodeplaat facilities to conduct the experiments.</t>
  </si>
  <si>
    <t>AMER SOC HORTICULTURAL SCIENCE</t>
  </si>
  <si>
    <t>ALEXANDRIA</t>
  </si>
  <si>
    <t>113 S WEST ST, STE 200, ALEXANDRIA, VA 22314-2851 USA</t>
  </si>
  <si>
    <t>0018-5345</t>
  </si>
  <si>
    <t>2327-9834</t>
  </si>
  <si>
    <t>Hortscience</t>
  </si>
  <si>
    <t>10.21273/HORTSCI10880-16</t>
  </si>
  <si>
    <t>Horticulture</t>
  </si>
  <si>
    <t>EU7WQ</t>
  </si>
  <si>
    <t>WOS:000401247200028</t>
  </si>
  <si>
    <t>de Mora, S; Fowler, SW; Wyse, E; Azemard, S</t>
  </si>
  <si>
    <t>Distribution of heavy metals in marine bivalves, fish and coastal sediments in the Gulf and Gulf of Oman</t>
  </si>
  <si>
    <t>trace metals; oyster; Sediments; pollution; cadmium; arsenic; Gulf</t>
  </si>
  <si>
    <t>TRACE-METALS; PINCTADA-RADIATA; PEARL OYSTER; MERCURY CONTAMINATION; METHYL MERCURY; KUWAIT COAST; OIL-SPILL; WAR; POLLUTION; ACCUMULATION</t>
  </si>
  <si>
    <t>An assessment of marine contamination due to heavy metals was made in the Gulf and Gulf of Oman based on marine biota (fish and various bivalves) and coastal sediment collected in Bahrain, Oman, Qatar, and the United Arab Emirates (UAE) during 2000-2001. Sediment metal loadings were generally not remarkable, although hot spots were noted in Bahrain (Cu, Hg, Pb, Zn) and on the east coast of the UAE (As, Co, Cr, Ni). Concentrations of As and Hg were typically low in sediments and the total Hg levels in top predator fish commonly consumed in the region were &lt;0.5 mug g(-1) and posed no threat to public health. Very high Cd concentrations (up to 195 mug g(-1)) in the liver of some fish from southern Oman may result from food-chain bioaccumulation of elevated Cd levels brought into the productive surface waters by upwelling in the region. Very high As concentrations (up to 156 mug g(-1)) were measured in certain bivalve species from the region. Although not certain, the As is probably derived from natural origins rather than anthropogenic contamination. (C) 2004 Elsevier Ltd. All rights reserved.</t>
  </si>
  <si>
    <t>IAEA, Marine Environm Lab, MC-98012 Monaco, Monaco</t>
  </si>
  <si>
    <t>IAEA, Marine Environm Lab, 4 Quai Antoine 1er,BP 800,MC 98012, MC-98012 Monaco, Monaco.</t>
  </si>
  <si>
    <t>s.de_mora@iaea.org</t>
  </si>
  <si>
    <t>Fowler, Scott/I-4663-2019</t>
  </si>
  <si>
    <t>10.1016/j.marpolbul.2004.02.029</t>
  </si>
  <si>
    <t>853HF</t>
  </si>
  <si>
    <t>WOS:000223817200019</t>
  </si>
  <si>
    <t>Julshamn, K; GrahlNielsen, O</t>
  </si>
  <si>
    <t>Distribution of trace elements from industrial discharges in the Hardangerfjord, Norway: A multivariate data analysis of saithe, flounder and blue mussel as sentinel organisms</t>
  </si>
  <si>
    <t>HEAVY-METAL POLLUTION</t>
  </si>
  <si>
    <t>Arsenic, copper, zinc, cadmium, lead and mercury were determined in the muscle and liver of two species of fish, saithe (Gadus virens) and flounder (Platichthys flesus), and in the soft tissues of blue mussels (Mytilus edulis). These were sampled from eight locations dong the Hardangerfjord up to 100 km from the source of the pollution at the head of the fjord. Both relative and absolute amounts of the six elements differed between the two species of fish, and, more so, between the two tissues. The mussel contained higher amounts of the elements than the fish, The pattern of the elements was also very different in the mussel. Differences sind similarities among the various types of samples from the eight locations were evaluated by principal component analysis. Correlation between the six elements was also tested by this method. A concentration gradient away from the source of pollution was only found for arsenic in the saithe tissues, while the only gradient defected in flounder was for mercury in the liver tissue. In mussels the gradient for arsenic was marginal, while gradients were detected in varying degrees for the other elements. Cadmium did hot correlate with the other elements in mussels. The mussel was found to be a much better sentinel organism for these elements, except arsenic, than the two fish species. Copyright (C) 1996 Elsevier Science Ltd</t>
  </si>
  <si>
    <t>UNIV BERGEN, DEPT CHEM, N-5007 BERGEN, NORWAY</t>
  </si>
  <si>
    <t>DIRECTORATE FISHERIES, INST NUTR, POB 185, N-5002 BERGEN, NORWAY.</t>
  </si>
  <si>
    <t>10.1016/0025-326X(96)84577-2</t>
  </si>
  <si>
    <t>VK872</t>
  </si>
  <si>
    <t>WOS:A1996VK87200017</t>
  </si>
  <si>
    <t>Sobrino-Figueroa, AS; Cáceres-Martinez, C</t>
  </si>
  <si>
    <t>Sobrino-Figueroa, Alma S.; Caceres-Martinez, Carlos</t>
  </si>
  <si>
    <t>Evaluation of the effects of the metals Cd, Cr, Pb and their mixture on the filtration and oxygen consumption rates in Catarina scallop, Argopecten ventricosus juveniles</t>
  </si>
  <si>
    <t>Argopecten ventricosus; Filtration rate; Heavy metal effects; Oxygen consumption rates; Scallop</t>
  </si>
  <si>
    <t>ENVIRONMENTAL BIOMARKERS; PERNA-VIRIDIS; MUSSEL; COPPER; CALIFORNIA; POLLUTION; RESPONSES; EXPOSURE; CADMIUM; GROWTH</t>
  </si>
  <si>
    <t>In this work, we evaluated the effect of sublethal concentrations (LC25, LC10 and LC5) of cadmium, chromium, lead, and their mixture on the filtration rate and oxygen consumption rate of Catarina scallop, Argopecten ventricosus (Sowerby, 1842), juveniles, in order to evaluate the use of these biomarkers as a reliable tool in environmental monitoring studies, because these metals have been found at high levels in water and sediments in the Mexican Pacific systems. An inverse dose-response relationship was observed when metal concentration and exposure time increased, the filtration rate and oxygen consumption rate reduced. The physiological responses evaluated in this study were sufficiently sensitive to detect alterations in the organisms at 0.014 mg l(-1)Cd, 0.311 mg l(-1) Cr, 0.125 mg l(-1) Pb and 0.05 mg l(-1) Cd + Cr + Pb at 24 and 72 hrs. Cd showed the most drastic effect. The Catarina scallop juveniles were more sensitive to Cd, Cr and Pb as compared to other bivalves. The biomarkers evaluated are a reliable tool to carry out environmental monitoring studies.</t>
  </si>
  <si>
    <t>[Sobrino-Figueroa, Alma S.] Univ Autonoma Metropolitana Iztapalapa, Dept Hidrobiol, Lab Alejandro Villalobos, Mexico City 09340, DF, Mexico; [Caceres-Martinez, Carlos] Univ Baja California Sur, Unidad Pichilingue, Lab Cultivo Moluscos, La Paz, Bolivia</t>
  </si>
  <si>
    <t>Universidad Autonoma Metropolitana - Mexico</t>
  </si>
  <si>
    <t>Sobrino-Figueroa, AS (corresponding author), Univ Autonoma Metropolitana Iztapalapa, Dept Hidrobiol, Lab Alejandro Villalobos, Av San Rafael Atlixco 186 Col, Mexico City 09340, DF, Mexico.</t>
  </si>
  <si>
    <t>coco@xanum.uam.mx</t>
  </si>
  <si>
    <t>Caceres Martinez, Carlos Juventino/0000-0002-5952-4808</t>
  </si>
  <si>
    <t>Universidad Autonoma Metropolitana Unidad Iztapalapa; Laboratorio de Cultivo de Moluscos, Universidad de Baja California Sur, Unidad Pichilingue</t>
  </si>
  <si>
    <t>This research was supported by Universidad Autonoma Metropolitana Unidad Iztapalapa and Laboratorio de Cultivo de Moluscos, Universidad de Baja California Sur, Unidad Pichilingue. We thank Javier Cortes (el cholo) for technical assistance.</t>
  </si>
  <si>
    <t>283PE</t>
  </si>
  <si>
    <t>WOS:000329258400002</t>
  </si>
  <si>
    <t>Blanc, JM; Subiabre, R; Duemler, J; Oyarzún, LC; Díaz, PA</t>
  </si>
  <si>
    <t>Blanc, J. Max; Subiabre, Ricardo; Duemler, Jaclyn; Oyarzun, L. Camilo; Diaz, Patricio A.</t>
  </si>
  <si>
    <t>Nocturnal seston: A key to explain the cadmium transfer from seawater to mussels (Mytilus chilensis)</t>
  </si>
  <si>
    <t>Mussels; Cadmium; Nocturnal seston; Benthic suspensions; Lines of evidence (LOE)</t>
  </si>
  <si>
    <t>SEDIMENT-WATER INTERFACE; CONTINENTAL-SHELF; ACUTE TOXICITY; EDULIS; METALS; FLUXES; OXYGEN; GULF; PHYTOPLANKTON; CONTAMINATION</t>
  </si>
  <si>
    <t>The objective of this work was to discover a biochemical pathway to explain the transfer of cadmium, a toxic element, from seawater to cultured mussels. Understanding the intricacies of this transfer is crucial for global mussel crops, as it has the potential to mitigate risks to human health and prevent economic losses in the industry. We focused our investigation on Yal Bay, a typical area with intense mussel aquaculture activity (16,000 t y-1) in the inland sea of southern Chile. Seasonal samples of blue mussels (Mytilus chilensis) were collected and analyzed from September 2014 to December 2015 at two integrated depths (0-5 m and 5-10 m). Diurnal and nocturnal seston, seawater, benthic sediments and decanted suspensions from the water column were recorded. Our findings indicate that nocturnal seston satisfactorily explains the presence of cadmium in Mytilus chilensis its annual distribution rs = 0.63, = 0.002).</t>
  </si>
  <si>
    <t>[Blanc, J. Max] Univ Austral Chile, Programa Doctorado Ciencias Acuicultura, Pinos S-N, Balneario Pelluco, Puerto Montt, Chile; [Blanc, J. Max] Univ Austral Chile, Escuela Ingn Civil Ind, Inst Gest &amp; Ind, Puerto Montt, Chile; [Subiabre, Ricardo; Duemler, Jaclyn] Univ Austral Chile, Ctr Docencia Super Ciencias Basicas, Pinos S-N, Balneario Pelluco, Puerto Montt, Chile; [Oyarzun, L. Camilo] Ingemaasesores SpA, Reinerz 9, Frutillar, Chile; [Diaz, Patricio A.] Univ Lagos, Ctr imar, Casilla 557, Puerto Montt, Chile; [Diaz, Patricio A.] Univ Lagos, CeBiB, Casilla 557, Puerto Montt, Chile</t>
  </si>
  <si>
    <t>Universidad Austral de Chile; Universidad Austral de Chile; Universidad Austral de Chile; Universidad de Los Lagos; Universidad de Los Lagos</t>
  </si>
  <si>
    <t>Blanc, JM (corresponding author), Univ Austral Chile, Programa Doctorado Ciencias Acuicultura, Pinos S-N, Balneario Pelluco, Puerto Montt, Chile.</t>
  </si>
  <si>
    <t>jblanc@uach.cl</t>
  </si>
  <si>
    <t>Díaz, Patricio/B-8128-2018</t>
  </si>
  <si>
    <t>National Commission for Scientific and Technological Research (CONICYT), Chile [PAI781301009]; Centre for Biotechnology and Bioengineering (CeBiB)</t>
  </si>
  <si>
    <t>National Commission for Scientific and Technological Research (CONICYT), Chile(Comision Nacional de Investigacion Cientifica y Tecnologica (CONICYT)); Centre for Biotechnology and Bioengineering (CeBiB)</t>
  </si>
  <si>
    <t>We would like to thank INTEMIT (Technological Institute of Miticulture) for providing the data regarding Chilean blue mussels and shipping resources. We are also grateful to the Orizon S.A and Camanchaca S.A. companies, both associated with AMI-Chile AG, for the use of their farms to carry out this study. We would also like to acknowledge Universidad Austral de Chile (CERAM Laboratory and Fishery Institute) where the sample preparations were carried out and shipped, and the Laboratory of Chemical Oceanography (University of Concepcion-Chile) for the cadmium analysis. Thanks also to Dr. Jean-Francois Chiffoleau (IFREMER, Nantes, France), Dr. Francois Schmitt (LOG-Laboratory of Oceanology and Geosciences, Universite of Lille, France) and Dr. Christelle Caplat (Universit e of Caen Normandy, France) for their valuable comments during a meeting in Normandy. J. Max Blanc was funded by project PAI781301009, National Commission for Scientific and Technological Research (CONICYT), Chile. Patricio A. Diaz was funded by the Centre for Biotechnology and Bioengineering (CeBiB) (PIA project FB0001, ANID, Chile)</t>
  </si>
  <si>
    <t>10.1016/j.marpolbul.2023.115544</t>
  </si>
  <si>
    <t>U0AQ2</t>
  </si>
  <si>
    <t>WOS:001081523800001</t>
  </si>
  <si>
    <t>Esposito, M; Canzanella, S; Lambiase, S; Scaramuzzo, A; La Nucara, R; Bruno, T; Picazio, G; Colarusso, G; Brunetti, R; Gallo, P</t>
  </si>
  <si>
    <t>Esposito, Mauro; Canzanella, Silvia; Lambiase, Sara; Scaramuzzo, Alfredo; Nucara, Raffaella La; Bruno, Teresa; Picazio, Giuseppe; Colarusso, Germana; Brunetti, Roberta; Gallo, Pasquale</t>
  </si>
  <si>
    <t>Organic pollutants (PCBs, PCDD/Fs, PAHs) and toxic metals in farmed mussels from the Gulf of Naples (Italy): Monitoring and human exposure</t>
  </si>
  <si>
    <t>Mussels; Toxic metal; PCB; PAH; Dioxin; Aquaculture</t>
  </si>
  <si>
    <t>POLYCYCLIC AROMATIC-HYDROCARBONS; POLYCHLORINATED-BIPHENYLS PCBS; EDIBLE MARINE ORGANISMS; DIBENZO-P-DIOXINS; MYTILUS-GALLOPROVINCIALIS; HEAVY-METALS; CHEMICAL CONTAMINATION; COASTAL WATERS; DIETARY-INTAKE; TRACE-METALS</t>
  </si>
  <si>
    <t>In this study, we analyzed contaminant levels in mussels (Mytilus galloprovincialis) farmed into the waters of the Gulf of Naples and Domitio littoral (Italy), areas heavily influenced by human activities, especially the highly productive zones such as the harbor area. This marine environment is known to be polluted by a mixture of inorganic and organic contaminants: heavy metals (lead, cadmium and mercury), persistent organic pollutants (PCB and dioxins) and polycyclic aromatic hydrocarbons (PAHs). In order to protect the health of consumers, mollusks farmed in the Gulf of Naples were analyzed to verify the presence of these contaminants. For the monitoring program, the mussels were repeatedly sampled during a period of four years (2016-2019). The results demonstrate the substantial food safety of the mussel farmed in this area with regard to heavy metals and organochlorinated persistent pollutants. The presence of PAHs linked to seasonal phenomena and due to the contamination of marine sediments remains a critical factor. (C) 2020 Elsevier B.V. All rights reserved.</t>
  </si>
  <si>
    <t>[Esposito, Mauro; Canzanella, Silvia; Lambiase, Sara; Scaramuzzo, Alfredo; Nucara, Raffaella La; Bruno, Teresa; Picazio, Giuseppe; Gallo, Pasquale] Ist Zooprofilatt Sperimentale Mezzogiorno, Portici, Italy; [Colarusso, Germana; Brunetti, Roberta] Osservatorio Reg Sicurezza Alimentare IZSM, Naples, Italy</t>
  </si>
  <si>
    <t>Esposito, M (corresponding author), Ist Zooprofilatt Sperimentale Mezzogiorno, Portici, Italy.</t>
  </si>
  <si>
    <t>mauro.esposito@izsmportici.it</t>
  </si>
  <si>
    <t>canzanella, silvia/HOF-5631-2023; Picazio, Giuseppe/G-4688-2019; Brunetti, Roberta/T-2844-2019; Esposito, Mauro/G-2336-2019; Esposito, Mauro/AAU-8936-2020; Lambiase, Sara/G-2653-2019</t>
  </si>
  <si>
    <t>Canzanella, Silvia/0000-0002-3362-734X; Esposito, Mauro/0000-0002-0558-0185; Brunetti, Roberta/0000-0003-1597-9322; Lambiase, Sara/0000-0003-4401-9865</t>
  </si>
  <si>
    <t>10.1016/j.rsma.2020.101497</t>
  </si>
  <si>
    <t>PB9NF</t>
  </si>
  <si>
    <t>WOS:000596638300013</t>
  </si>
  <si>
    <t>Slobodskova, VV; Chelomin, VP; Kukla, SP; Mazur, AA</t>
  </si>
  <si>
    <t>Slobodskova, Valentina Vladimirovna; Chelomin, Victor Pavlovich; Kukla, Sergey Petrovich; Mazur, Andrey Alexandrovich</t>
  </si>
  <si>
    <t>Copper Induced DNA Damage in the Gills of the Mussel Mytilus trossulus and Reversibility after Depuration</t>
  </si>
  <si>
    <t>JOURNAL OF MARINE SCIENCE AND ENGINEERING</t>
  </si>
  <si>
    <t>copper; reversibility DNA damage; Mytilus trossulus; comet assay</t>
  </si>
  <si>
    <t>DIGESTIVE GLAND; BIVALVE MOLLUSK; OXIDE NANOPARTICLES; LIPID-PEROXIDATION; STRAND BREAKS; BLUE MUSSELS; EDULIS; CADMIUM; REPAIR; ZINC</t>
  </si>
  <si>
    <t>The pollution of coastal water areas by heavy metals is constantly growing; therefore, the study of the mechanisms of impact of these toxicants on the organisms of hydrobionts is a topical direction of toxicology. Particularly pertinent are questions about the state of the reparation system in the aquatic organisms, which make it possible to assess the resistance, survival of hydrobionts, and the probability of remote consequences under the impact of heavy metals. Therefore, in this work, we investigated genome integrity and DNA repair ability in the gill cells of Mytilus trossulus, under conditions of copper (Cu2+) accumulation, and in the process of tissue depuration from this metal. Although the biochemical detoxification system was functioning, it is noted that destructive processes developed, including the accumulation of lipid peroxidation products (MDA) and DNA damage. It was also found that in all of the experimental groups of Mytilus trossulus, in the process of depuration from Cu2+ for 24 h, the levels of DNA damage and MDA content were markedly reduced, and further reduction was less intense.</t>
  </si>
  <si>
    <t>[Slobodskova, Valentina Vladimirovna; Chelomin, Victor Pavlovich; Kukla, Sergey Petrovich; Mazur, Andrey Alexandrovich] Russian Acad Sci, Ilichev Pacif Oceanol Inst, Far Eastern Branch, Vladivostok 690041, Russia</t>
  </si>
  <si>
    <t>Russian Academy of Sciences; Ilichev Pacific Oceanological Institute</t>
  </si>
  <si>
    <t>Mazur, AA (corresponding author), Russian Acad Sci, Ilichev Pacif Oceanol Inst, Far Eastern Branch, Vladivostok 690041, Russia.</t>
  </si>
  <si>
    <t>mazur.aa@poi.dvo.ru</t>
  </si>
  <si>
    <t>Mazur, Marina/E-3841-2018</t>
  </si>
  <si>
    <t>V.I. Il'ichev Pacific Oceanological Institute, FEB RAS [121-21500052-9]</t>
  </si>
  <si>
    <t>V.I. Il'ichev Pacific Oceanological Institute, FEB RAS</t>
  </si>
  <si>
    <t>This research was supported by the state assignment for research work of V.I. Il'ichev Pacific Oceanological Institute, FEB RAS (No. 121-21500052-9).</t>
  </si>
  <si>
    <t>2077-1312</t>
  </si>
  <si>
    <t>J MAR SCI ENG</t>
  </si>
  <si>
    <t>J. Mar. Sci. Eng.</t>
  </si>
  <si>
    <t>10.3390/jmse10111570</t>
  </si>
  <si>
    <t>Engineering, Marine; Engineering, Ocean; Oceanography</t>
  </si>
  <si>
    <t>Engineering; Oceanography</t>
  </si>
  <si>
    <t>6B3FP</t>
  </si>
  <si>
    <t>WOS:000881223400001</t>
  </si>
  <si>
    <t>Zhang, QD; Liu, N; Cao, YZ; Zhang, WF; Wei, Y; Feng, L; Jiang, L</t>
  </si>
  <si>
    <t>Zhang, Qingdong; Liu, Na; Cao, Yingze; Zhang, Weifeng; Wei, Yen; Feng, Lin; Jiang, Lei</t>
  </si>
  <si>
    <t>A facile method to prepare dual-functional membrane for efficient oil removal and in situ reversible mercury ions adsorption from wastewater</t>
  </si>
  <si>
    <t>APPLIED SURFACE SCIENCE</t>
  </si>
  <si>
    <t>Reversible mercury ions adsorption; Oil/water separation; Adsorption and desorption; Dual-functional membrane</t>
  </si>
  <si>
    <t>RESPONSIVE WETTABILITY; COATED MESHES; SEPARATION</t>
  </si>
  <si>
    <t>In this work, a novel thiol covered polyamide (nylon 66) microfiltration membrane was fabricated by combining mussel-inspired chemistry and coupling reaction, which owns excellent dual-function that can simultaneously remove oil from water efficiently and adsorb the mercury ions contained in the wastewater reversibly. Such membrane exhibited high oil/water separation efficiency, outstanding mercury adsorption ability, and good stability. Moreover, it can be regenerated in nitric acid solution, and maintain its good adsorption performance. The as-prepared membrane showed great potentials for water purification to reduce the heavy metal ion pollution and complicated industrial oily wastewater and living wastewater. (C) 2017 Elsevier B.V. All rights reserved.</t>
  </si>
  <si>
    <t>[Zhang, Qingdong; Liu, Na; Zhang, Weifeng; Wei, Yen; Feng, Lin] Tsinghua Univ, Dept Chem, Beijing 100084, Peoples R China; [Liu, Na] Qingdao Univ, Sch Mat Sci &amp; Engn, Inst Mat Energy &amp; Environm, Qingdao 266071, Peoples R China; [Cao, Yingze] China Acad Space Technol, Qian Xuesen Lab Space Technol, Beijing 100094, Peoples R China; [Jiang, Lei] Beihang Univ, Sch Chem &amp; Environm, Key Lab Bioinspired Smart Interfacial Sci &amp; Techn, Minist Educ, Beijing 100191, Peoples R China</t>
  </si>
  <si>
    <t>Tsinghua University; Qingdao University; Beihang University</t>
  </si>
  <si>
    <t>Feng, L (corresponding author), Tsinghua Univ, Dept Chem, Beijing 100084, Peoples R China.</t>
  </si>
  <si>
    <t>fi@mail.tsinghua.edu.cn</t>
  </si>
  <si>
    <t>, 许永傲/AAC-2581-2019; Feng, Lin/W-3018-2019; Wei, Yen/H-5329-2012</t>
  </si>
  <si>
    <t>Zhang, Weifeng/0000-0003-1328-747X; Cao, Yingze/0000-0001-6593-3280</t>
  </si>
  <si>
    <t>National Natural Science Foundation [51173099]</t>
  </si>
  <si>
    <t>National Natural Science Foundation(National Natural Science Foundation of China (NSFC))</t>
  </si>
  <si>
    <t>The authors are grateful for financial support from the National Natural Science Foundation (51173099).</t>
  </si>
  <si>
    <t>0169-4332</t>
  </si>
  <si>
    <t>1873-5584</t>
  </si>
  <si>
    <t>APPL SURF SCI</t>
  </si>
  <si>
    <t>Appl. Surf. Sci.</t>
  </si>
  <si>
    <t>10.1016/j.apsusc.2017.09.230</t>
  </si>
  <si>
    <t>Chemistry, Physical; Materials Science, Coatings &amp; Films; Physics, Applied; Physics, Condensed Matter</t>
  </si>
  <si>
    <t>Chemistry; Materials Science; Physics</t>
  </si>
  <si>
    <t>FR5OT</t>
  </si>
  <si>
    <t>WOS:000419116600008</t>
  </si>
  <si>
    <t>Pereira, ME; Lillebo, AI; Pato, P; Válega, M; Coelho, JP; Lopes, CB; Rodrigues, S; Cachada, A; Otero, M; Pardal, MA; Duarte, AC</t>
  </si>
  <si>
    <t>Pereira, M. E.; Lillebo, A. I.; Pato, P.; Valega, M.; Coelho, J. P.; Lopes, C. B.; Rodrigues, S.; Cachada, A.; Otero, M.; Pardal, M. A.; Duarte, A. C.</t>
  </si>
  <si>
    <t>Mercury pollution in Ria de Aveiro (Portugal): a review of the system assessment</t>
  </si>
  <si>
    <t>Anthropogenic mercury contamination; Coastal management; Environmental assessment; Key environmental processes</t>
  </si>
  <si>
    <t>CONTAMINATED LAGOON; COASTAL LAGOON; URBAN SOILS; SEDIMENTS; AREA; ACCUMULATION; COMPARTMENTS; PROPAGATION; VARIABILITY; GRADIENT</t>
  </si>
  <si>
    <t>The Ria de Aveiro (Portugal) is a coast al lagoon adjacent to the Atlantic Ocean and it has an inner bay (Laranjo bay) that received a highly contaminated effluent discharged by a mercury cell chlor-alkali plant from the 1950s until 1994. The aim of this study is to review in a holistic way several research studies that have been carried out in the Ria de Aveiro, in order to evaluate the remobilization of the mercury accumulated within the system and the recovery of the lagoon. The spatial distribution of the total mercury in the surrounding terrestrial environment has also been considered. Results indicate that the main mercury contamination problems in the Ria de Aveiro are confined to the Laranjo bay. Mercury export to the coastal waters and its impact on the nearshore compartments (water column, sediment and biota) are low. No direct effects of the mercury from nearby industrial activities were detected in Aveiro's urban soils, although historical mercury contamination is still affecting soil quality in the immediate vicinity of the chlor-alkali plant, located in Estarreja. Moreover, macrophyte harvesting for human direct or indirect use and the consumption of mussels, crabs and the sea bass from the Laranjo bay may constitute a health risk. Further studies focusing on developing skills for the restoration of the ecosystem are presently underway.</t>
  </si>
  <si>
    <t>[Pereira, M. E.; Lillebo, A. I.; Pato, P.; Valega, M.; Coelho, J. P.; Lopes, C. B.; Rodrigues, S.; Cachada, A.; Otero, M.; Duarte, A. C.] Univ Aveiro, CESAM Ctr Environm &amp; Marine Studies, Dept Chem, P-3810193 Aveiro, Portugal; [Pardal, M. A.] Univ Coimbra, Inst Marine Res, Dept Zool, P-3004517 Coimbra, Portugal</t>
  </si>
  <si>
    <t>Pereira, ME (corresponding author), Univ Aveiro, CESAM Ctr Environm &amp; Marine Studies, Dept Chem, Campus Santiago, P-3810193 Aveiro, Portugal.</t>
  </si>
  <si>
    <t>eduper@ua.pt; lillebo@ua.pt</t>
  </si>
  <si>
    <t>Otero, Marta/C-3774-2009; Cachada, Anabela/A-9557-2009; Coelho, João/C-1699-2008; Pereira, Eduarda/A-5907-2012; Pato, Pedro/B-4956-2008; Lopes, Claudia/C-1302-2008; Lillebo, Ana/C-3773-2009; Rodrigues, Sonia/A-5407-2012; Duarte, Armando/C-1424-2008; Pardal, Miguel Angelo/C-3984-2009</t>
  </si>
  <si>
    <t>Pato, Pedro/0000-0002-3277-2449; Lopes, Claudia/0000-0001-7378-8677; Valega, Monica/0000-0002-8261-8175; Lillebo, Ana/0000-0002-5228-0329; Rodrigues, Sonia/0000-0002-3969-0972; Cachada, Anabela/0000-0002-3377-9300; Pereira, Eduarda/0000-0002-6046-5243; Coelho, Joao Pedro/0000-0003-1975-8308; Duarte, Armando/0000-0002-4868-4099; Pardal, Miguel Angelo/0000-0001-6048-7007</t>
  </si>
  <si>
    <t>FCT (Funda ao para Cincia e a Tecnologia, Portugal); FCT [SFRH/BD/11081/2002, SFRH/BD/18682/2004, SFRH/BD/19509/2004]; EU [EVK4-CT-2001-00053]; Fundação para a Ciência e a Tecnologia [SFRH/BD/19509/2004, SFRH/BD/11081/2002, SFRH/BD/18682/2004] Funding Source: FCT</t>
  </si>
  <si>
    <t>FCT (Funda ao para Cincia e a Tecnologia, Portugal)(Fundacao para a Ciencia e a Tecnologia (FCT)); FCT(Fundacao para a Ciencia e a Tecnologia (FCT)); EU(European Union (EU)); Fundação para a Ciência e a Tecnologia(Fundacao para a Ciencia e a Tecnologia (FCT))</t>
  </si>
  <si>
    <t>This research was supported by FCT (Fundacao para Ciencia e a Tecnologia, Portugal) through CESAM and by the FCT Ph. D. grants: (SFRH/BD/11081/2002) (P. Pato); SFRH/BD/18682/2004 (M. Valega); (SFRH/BD/19509/2004) (J.P. Coelho). Soil analyses were conducted in the scope of the EU funded FP5 Project EVK4-CT-2001-00053: URBSOIL.</t>
  </si>
  <si>
    <t>10.1007/s10661-008-0416-1</t>
  </si>
  <si>
    <t>469HL</t>
  </si>
  <si>
    <t>WOS:000267887000004</t>
  </si>
  <si>
    <t>Malaj, E; Grote, M; Schäfer, RB; Brack, W; von der Ohe, PC</t>
  </si>
  <si>
    <t>Malaj, Egina; Grote, Matthias; Schaefer, Ralf B.; Brack, Werner; von der Ohe, Peter Carsten</t>
  </si>
  <si>
    <t>Physiological sensitivity of freshwater macroinvertebrates to heavy metals</t>
  </si>
  <si>
    <t>Heavy metals; Physiological sensitivity; Macroinvertebrates</t>
  </si>
  <si>
    <t>SPECIES SENSITIVITY; TOXICITY; PESTICIDES; INSECTS; MODELS</t>
  </si>
  <si>
    <t>Macroinvertebrate species traits, such as physiological sensitivity, have successfully been introduced in trait-based bioassessment approaches and are important predictors of species sensitivity in the field. The authors ranked macroinvertebrate species according to their physiological sensitivity to heavy metals using toxicity data from acute laboratory assays. Rankings for each of the heavy metals, Cd, Cu, Cr, Ni, Pb, Zn, and Hg, were standardized based on all available species data. Rankings for different heavy metals on the species level showed no significant difference between compounds and were reasonably well correlated pairwise (0.50?</t>
  </si>
  <si>
    <t>[Malaj, Egina; Brack, Werner; von der Ohe, Peter Carsten] UFZ Helmholtz Ctr Environm Res, Dept Effect Directed Anal, Leipzig, Germany; [Malaj, Egina; Schaefer, Ralf B.] Univ Koblenz Landau, Inst Environm Sci, Landau, Germany; [Grote, Matthias] Natl Hydraul &amp; Environm Lab, EDF, R&amp;D Div, Chatou, France</t>
  </si>
  <si>
    <t>Helmholtz Association; Helmholtz Center for Environmental Research (UFZ); University of Koblenz &amp; Landau; Electricite de France (EDF)</t>
  </si>
  <si>
    <t>Malaj, E (corresponding author), UFZ Helmholtz Ctr Environm Res, Dept Effect Directed Anal, Leipzig, Germany.</t>
  </si>
  <si>
    <t>egina.malaj@ufz.de</t>
  </si>
  <si>
    <t>Grote, Matthias/D-2294-2009; Schaefer, Ralf/E-1926-2011; von der Ohe, Peter/C-4464-2010</t>
  </si>
  <si>
    <t>Malaj, Egina/0000-0003-1549-4069; Schafer, Ralf B./0000-0003-3510-1701; Brack, Werner/0000-0001-9269-6524; von der Ohe, Peter Carsten/0000-0001-7350-8962; Grote, Matthias/0000-0002-3323-540X</t>
  </si>
  <si>
    <t>EDF, France; French National Research Agency [ANR-07-ECOT-013]; Deutsche Forschungsgemeinschaft (DFG) postdoctoral fellowship [PAK 406/1]</t>
  </si>
  <si>
    <t>EDF, France; French National Research Agency(Agence Nationale de la Recherche (ANR)); Deutsche Forschungsgemeinschaft (DFG) postdoctoral fellowship(German Research Foundation (DFG))</t>
  </si>
  <si>
    <t>This work was funded by EDF, France with financial support of the French National Research Agency (ANR-07-ECOT-013). P.C. von der Ohe was financially supported through a Deutsche Forschungsgemeinschaft (DFG) postdoctoral fellowship (PAK 406/1). We are grateful to three anonymous reviewers who helped to improve the quality of the manuscript. The authors would like to thank N. Ulrich and B. Gill for proofreading of the manuscript.</t>
  </si>
  <si>
    <t>10.1002/etc.1868</t>
  </si>
  <si>
    <t>974ZL</t>
  </si>
  <si>
    <t>WOS:000306476100010</t>
  </si>
  <si>
    <t>Piscopo, M</t>
  </si>
  <si>
    <t>Piscopo, Marina</t>
  </si>
  <si>
    <t>Seasonal dependence of cadmium molecular effects on Mytilus galloprovincialis (Lamarck, 1819) protamine-like protein properties</t>
  </si>
  <si>
    <t>MOLECULAR REPRODUCTION AND DEVELOPMENT</t>
  </si>
  <si>
    <t>cadmium; Mytilus galloprovincialis; protamine-like proteins; reproduction; seasonality</t>
  </si>
  <si>
    <t>HEAVY-METAL CONTAMINATION; NUCLEAR BASIC-PROTEIN; CHAETOPTERUS-VARIOPEDATUS; OXIDATIVE STRESS; SEA-URCHIN; BIOACCUMULATION; POLLUTION; EXPOSURE; SPERM; EXPRESSION</t>
  </si>
  <si>
    <t>Mussels have a seasonal reproduction and cadmium is a common stressor in estuarine and coastal environments. In previous studies, we have shown that exposure to subtoxic doses of cadmium produced alterations in the properties of winter Mytilus galloprovincialis sperm protamine-like (PL) proteins. In this study, it was analyzed the possibility that these cadmium effects may be seasonal. Winter and summer mussels were exposed to CdCl2, and it was tested the PL-proteins for cadmium bioaccumulation, electrophoretic pattern, DNA binding, and potentiality to induce DNA oxidative damage. It was found that cadmium exposure did not produce the same effects on PL-proteins of summer mussels that were produced on PL-proteins of winter mussels, that is: cadmium bioaccumulation, alterations in the acetic acid-urea polyacrylamide gels (AU-PAGE) and sodium dodecyl sulfate-PAGE pattern, a reduced DNA binding affinity and the ability to induce DNA oxidative damage. PL-proteins from summer mussels, apart from not being affected by all the abovementioned effects of cadmium, also showed a very low DNA binding affinity, independent of cadmium exposure. This study reveals clock-associated seasonal responses to cadmium in M. galloprovincialis. Understanding the mechanisms through which environmental signals guide biological rhythms is fundamental to understanding the seasonal sensitivity of this bioindicator, to use M. galloprovincialis in appropriate seasonal periods.</t>
  </si>
  <si>
    <t>[Piscopo, Marina] Univ Napoli Federico II, Dipartimento Biol, Complesso Univ Monte S Angelo,Via Cinthia 4, I-80126 Naples, Italy</t>
  </si>
  <si>
    <t>Piscopo, M (corresponding author), Univ Napoli Federico II, Dipartimento Biol, Complesso Univ Monte S Angelo,Via Cinthia 4, I-80126 Naples, Italy.</t>
  </si>
  <si>
    <t>marina.piscopo@unina.it</t>
  </si>
  <si>
    <t>PISCOPO, MARINA/AAU-5505-2020</t>
  </si>
  <si>
    <t>Piscopo, Marina/0000-0003-0560-6952</t>
  </si>
  <si>
    <t>1040-452X</t>
  </si>
  <si>
    <t>1098-2795</t>
  </si>
  <si>
    <t>MOL REPROD DEV</t>
  </si>
  <si>
    <t>Mol. Reprod. Dev.</t>
  </si>
  <si>
    <t>10.1002/mrd.23240</t>
  </si>
  <si>
    <t>JUL 2019</t>
  </si>
  <si>
    <t>Biochemistry &amp; Molecular Biology; Cell Biology; Developmental Biology; Reproductive Biology</t>
  </si>
  <si>
    <t>JJ4TB</t>
  </si>
  <si>
    <t>WOS:000478218100001</t>
  </si>
  <si>
    <t>Ren, JY; Liu, SJ; Zhang, Q; Zhang, ZW; Shang, S</t>
  </si>
  <si>
    <t>Ren, Jiayun; Liu, Suijun; Zhang, Qiong; Zhang, Zaiwang; Shang, Shuai</t>
  </si>
  <si>
    <t>Effects of cadmium exposure on haemocyte immune function of clam Ruditapes philippinarum at different temperatures</t>
  </si>
  <si>
    <t>Cadmium; Temperature; Ruditapes philippinarum; Reactive oxygen species; Haemocyte mortality; Superoxide dismutase</t>
  </si>
  <si>
    <t>JUVENILE SEA-BASS; OXIDATIVE STRESS; COMET ASSAY; RESPONSES; IMMUNOMODULATION; OYSTER; DAMAGE; CELLS; FISH</t>
  </si>
  <si>
    <t>Haemocytes are crucial for the immune defence of mollusks. It is important to explore the immune performance of haemocytes of mollusks under the stress of heavy metals with global warming. In order to study the effects of cadmium (Cd) exposure and temperature stress on the haemocyte immune function of clam Ruditapes philippinarum, clams were exposed to different Cd concentrations (0.05, 0.10 and 0.25 mg/L) at 20 degrees C, 25 degrees C and 30 degrees C respectively. Haemocyte mortality, reactive oxygen species (ROS) and superoxide dismutase (SOD) activity were measured at day 1, day 3, day 5 and day 7. The results showed that the changes of the three indexes were not obvious when exposed to 0.05 mg/L of Cd at 20 degrees C, while significant differences were observed with the increase of temperature, Cd concentration and exposure time. Under a condition of relative high temperature coupling with high concentration of Cd, the clams were significantly influenced, showing an obvious synergistic effect. Selected indexes reflect the clam's response to the combined stress of temperature and Cd. Moreover, R. philippinarum might be an ideal biological index species to the Cd pollution.</t>
  </si>
  <si>
    <t>[Ren, Jiayun; Zhang, Qiong; Zhang, Zaiwang; Shang, Shuai] Shandong Univ Aeronaut, Coll Biol &amp; Environm Engn, Binzhou 256600, Peoples R China; [Liu, Suijun] Binzhou Ecol Environm Monitoring Ctr Shandong Prov, Binzhou 256600, Peoples R China</t>
  </si>
  <si>
    <t>Shandong University of Aeronautics</t>
  </si>
  <si>
    <t>Ren, JY; Zhang, ZW (corresponding author), Shandong Univ Aeronaut, Coll Biol &amp; Environm Engn, Binzhou 256600, Peoples R China.</t>
  </si>
  <si>
    <t>renjiayun@163.com; zzwangbzu@bzu.edu.cn</t>
  </si>
  <si>
    <t>Liu, Sui-Jun/F-7223-2017; Zhang, Qiong/KHE-2175-2024</t>
  </si>
  <si>
    <t>Research Foundation of Binzhou Uni- versity [BZXYLG 2018]</t>
  </si>
  <si>
    <t>Research Foundation of Binzhou Uni- versity</t>
  </si>
  <si>
    <t>The paper was funded by the Research Foundation of Binzhou Uni- versity (BZXYLG 2018) . The authors would like to thank all the peoples of College of Biological and Environmental Engineering of Shandong University of Aeronautics and Binzhou Ecological Environment Moni- toring Center of Shandong Province in the experiments.</t>
  </si>
  <si>
    <t>London</t>
  </si>
  <si>
    <t>125 London Wall, London, ENGLAND</t>
  </si>
  <si>
    <t>10.1016/j.marenvres.2024.106375</t>
  </si>
  <si>
    <t>JZ1R0</t>
  </si>
  <si>
    <t>WOS:001176893800001</t>
  </si>
  <si>
    <t>Yap, CK; Al-Mutairi, KA</t>
  </si>
  <si>
    <t>Yap, Chee Kong; Al-Mutairi, Khalid Awadh</t>
  </si>
  <si>
    <t>Byssus of Green-Lipped Mussel Perna viridis as a Biomonitoring Biopolymer for Zinc Pollution in Coastal Waters</t>
  </si>
  <si>
    <t>BIOLOGY-BASEL</t>
  </si>
  <si>
    <t>byssus; mussels; field samples; transplantation; biomonitoring</t>
  </si>
  <si>
    <t>METAL CONTAMINATION GRADIENT; TRANSPLANTED ZEBRA MUSSELS; BIVALVE CORBICULA-FLUMINEA; DIFFERENT SOFT-TISSUES; MYTILUS-EDULIS; TRACE-METALS; HEAVY-METAL; FIELD TRANSPLANTATION; BLUE MUSSELS; PYGANODON-GRANDIS</t>
  </si>
  <si>
    <t>Simple Summary The current study aimed to confirm the use of marine mussels' byssus (BYS) as a biomonitoring biopolymer for zinc (Zn) by comparing it to copper (Cu) and cadmium (Cd) pollution in coastal waters. The current analysis discovered four significant evidence-based points. First, the field-collected populations showed that the BYS was a more sensitive, concentrative, and accumulative biopolymer for the three metals than for total soft tissues (TST). Second, the results of the interspecific comparison showed that the mussels' BYS was a significantly better biomonitoring biopolymer for identifying coastal areas exposed to Zn, Cd, and Cu pollution and demonstrated the role of the BYS as a route for the excretion of metal wastes. Third, the BYS was more reflective of metal bioavailability and pollution in coastal waters. Fourth, and most crucially, the field-based cage transplantation investigation amply demonstrated the accumulation and removal of the three metals by the BYS in the Straits of Johore in both contaminated and unpolluted areas. In conclusion, the mussel BYS was verified to be a superior biopolymer to TST for determining Zn (as well as Cd and Cu) bioavailability and contamination in tropical coastal waters. The present study aimed to confirm the use of the byssus (BYS) of the green-lipped mussel Perna viridis as a biomonitoring biopolymer for zinc (Zn) by comparing it to copper (Cu) and cadmium (Cd) pollution in coastal waters under experimental field conditions, based on the transplantation of caged mussels between polluted and unpolluted sites in the Straits of Johore (SOJ). Four important evidential points were found in the present study. First, the 34 field-collected populations with BYS/total soft tissue (TST) ratios &gt; 1 indicated that the BYS was a more sensitive, concentrative, and accumulative biopolymer for the three metals than TST. Significant (p &lt; 0.05) and positive correlations between BYS and TST in terms of the levels of the three metals were observed. Second, the data obtained in the present study were well-supported by the interspecific comparison, which indicated that the BYS of P. viridis was a significantly better biomonitoring biopolymer for the identification of coastal areas exposed to Zn, Cd, and Cu pollution and played the role of an excretion route of metal wastes. Third, the higher positive correlation coefficients for the metals between the BYS sedimentary geochemical fractions than the TST sedimentary geochemical fractions indicated that the BYS was more reflective of metal bioavailability and contamination in coastal waters. Fourth, and most importantly, the field-based cage transplantation study clearly indicated the accumulation and elimination of the three metals by the BYS in both polluted and unpolluted sites in the Straits of Johore. In sum, the BYS of P. viridis was confirmed as a better biopolymer than TST for Zn, as well as Cd and Cu, bioavailability and contamination in tropical coastal waters.</t>
  </si>
  <si>
    <t>[Yap, Chee Kong] Univ Putra Malaysia, Fac Sci, Dept Biol, Upm 43400, Selangor, Malaysia; [Al-Mutairi, Khalid Awadh] Univ Tabuk, Fac Sci, Dept Biol, POB 741, Tabuk, Saudi Arabia</t>
  </si>
  <si>
    <t>Universiti Putra Malaysia; University of Tabuk</t>
  </si>
  <si>
    <t>Yap, CK (corresponding author), Univ Putra Malaysia, Fac Sci, Dept Biol, Upm 43400, Selangor, Malaysia.</t>
  </si>
  <si>
    <t>Yap, Chee Kong/N-1318-2015</t>
  </si>
  <si>
    <t>Yap, Chee Kong/0000-0003-0317-0999</t>
  </si>
  <si>
    <t>2079-7737</t>
  </si>
  <si>
    <t>Biology-Basel</t>
  </si>
  <si>
    <t>10.3390/biology12040523</t>
  </si>
  <si>
    <t>E7AU3</t>
  </si>
  <si>
    <t>WOS:000977035800001</t>
  </si>
  <si>
    <t>Issifu, I; Alava, JJ; Lam, VWY; Sumaila, UR</t>
  </si>
  <si>
    <t>Issifu, Ibrahim; Alava, Juan Jose; Lam, Vicky W. Y.; Sumaila, U. Rashid</t>
  </si>
  <si>
    <t>Impact of Ocean Warming, Overfishing and Mercury on European Fisheries: A Risk Assessment and Policy Solution Framework</t>
  </si>
  <si>
    <t>Europeans waters; climate change; overfishing; pollution; mercury</t>
  </si>
  <si>
    <t>POLYUNSATURATED FATTY-ACIDS; CLIMATE-CHANGE; GLOBAL OCEAN; FOOD WEBS; MARINE; METHYLMERCURY; EXPOSURE; ACIDIFICATION; VULNERABILITY; ECONOMICS</t>
  </si>
  <si>
    <t>Previous studies have shown that multiple-environmental stressors are expected to have significant and geographically differential impacts on the health and abundance of marine species. In this paper, we analyze the combined impacts of ocean warming, overfishing and mercury pollution in European waters by projecting the impacts of climatic and non-climate drivers on marine species in European waters. Our findings suggest that the impacts vary widely depending on different species and their mean temperature tolerance (MTT). We find for instance, that more than 5 temperate benthopelagic species including, bobtail squids (Sepiida) frogfishes (Lophius) great Atlantic scallop (Pecten maximus) red mullet (Mullus barbatus barbatus) and common octopus (Octopus vulgaris) are affected (i.e., weakens their resilience to climate change) by the increase in sea surface temperature (SST) under RCP 8.5 in 2050 and 2100. Mercury contamination was estimated to increase in some species (e.g., similar to 50% in swordfish), exceeding mercury consumption guideline thresholds (&gt;1 mg/kg). This negative impact may limit the capacity of fisheries and marine ecosystem to respond to the current climate induced pollution sensitivity. An implication of our study is that the international community should strengthen a global ban on mercury emissions under the mandate of the Minamata Convention, comparable to the United Nations framework for persistent organic pollutant emission sources. Ongoing global efforts aimed at minimizing carbon footprint and mercury emissions need to be enhanced in concert with a reduction in fishing intensity to maintain effective conservation measures that promote increased resilience of fisheries to climate change and other stressors.</t>
  </si>
  <si>
    <t>[Issifu, Ibrahim; Alava, Juan Jose; Lam, Vicky W. Y.; Sumaila, U. Rashid] Univ British Columbia, Inst Oceans &amp; Fisheries, Vancouver, BC, Canada; [Sumaila, U. Rashid] Univ British Columbia, Sch Publ Policy &amp; Global Affairs, Vancouver, BC, Canada</t>
  </si>
  <si>
    <t>University of British Columbia; University of British Columbia</t>
  </si>
  <si>
    <t>Issifu, I; Alava, JJ (corresponding author), Univ British Columbia, Inst Oceans &amp; Fisheries, Vancouver, BC, Canada.</t>
  </si>
  <si>
    <t>i.issifu@oceans.ubc.ca; j.alava@oceans.ubc.ca</t>
  </si>
  <si>
    <t>Alava, Juan/Q-3968-2019; Sumaila, U./ABE-6475-2020; Lam, Vy/KBQ-7534-2024</t>
  </si>
  <si>
    <t>10.3389/fmars.2021.770805</t>
  </si>
  <si>
    <t>ZH0VI</t>
  </si>
  <si>
    <t>WOS:000760666000001</t>
  </si>
  <si>
    <t>Miranda, CD; Rojas, R</t>
  </si>
  <si>
    <t>Copper accumulation by bacteria and transfer to scallop larvae</t>
  </si>
  <si>
    <t>bacteria; copper; Vibrio; bioaccumalation; metal transfers; food webs</t>
  </si>
  <si>
    <t>HEAVY-METAL RESISTANCE; MARINE BACTERIUM; PSEUDOMONAS-SYRINGAE; DISSOLVED COPPER; GROWTH; CELLS; IONS; BIOACCUMULATION; MICROORGANISMS; IDENTIFICATION</t>
  </si>
  <si>
    <t>A bacterial copper-resistant strain was isolated from it hatchery-conditioned adult of the scallop Argopecten purpuratus and was identified as Vibrio sp. according to its physiological characteristics. The lowest concentration of Cu2+ required for its complete inhibition in VNSS medium was 50 mu g ml(-1). The Vibrio strain was found to accumulate copper, exhibiting cellular and loosely bound copper levels of 201.14 and 493.21 mu g g(-1) dry weight, respectively, after 24 h of incubation in VNSS medium supplemented with 15 mu g ml(-1) of Cu2+, with cellular concentration factors of 10.17 and 14.35 after 12 and 24 h of exposure. When it scallop larvae culture wits exposed to a concentration of 6.46 x 10(2) CFU ml(-1) of Cu-enriched Vibrio, they accumulated 20.42 +/- 1.12 and 30.96 +/- 1.85 g Cu2+ g(-1) dry weight after 12 and 24 h, respectively. This study suggests that bacterial copper accumulation Could be very active in marine environments increasing the occurrence of copper transfer to marine food chains. (c) 2005 Elsevier Ltd. All rights reserved.</t>
  </si>
  <si>
    <t>Univ Catolica Norte, Dept Acuicultura, Coquimbo, Chile; Ctr Estudios Avanzados Zonas Aridas, Coquimbo, Chile</t>
  </si>
  <si>
    <t>Universidad Catolica del Norte</t>
  </si>
  <si>
    <t>Univ Catolica Norte, Dept Acuicultura, Casilla 117, Coquimbo, Chile.</t>
  </si>
  <si>
    <t>cdmirand@ucn.cl</t>
  </si>
  <si>
    <t>Miranda, Claudio/0000-0002-4419-7090</t>
  </si>
  <si>
    <t>10.1016/j.marpolbul.2005.08.022</t>
  </si>
  <si>
    <t>027UT</t>
  </si>
  <si>
    <t>WOS:000236441800018</t>
  </si>
  <si>
    <t>HAN, BC; JENG, WL; HUNG, TC; JENG, MS</t>
  </si>
  <si>
    <t>COPPER INTAKE AND HEALTH THREAT BY CONSUMING SEAFOOD FROM COPPER-CONTAMINATED COASTAL ENVIRONMENTS IN TAIWAN</t>
  </si>
  <si>
    <t>SEAFOOD; COPPER POLLUTION; OYSTER; HEALTH</t>
  </si>
  <si>
    <t>The purpose of this paper is to describe the impact of copper pollution on the main aquaculture coast of Taiwan and the potential risk from eating the green oysters cultured along the polluted coast. Our data show that the highest average concentration of copper (2,194 +/- 212 mug/g) in oysters was observed in the Erhjin Chi estuary from 1986 to 1990 (after the ''green oyster'' incident). The copper concentration in both the seawater and the sediment collected along the Erhjin Chi estuary was also the highest in all sampling locations. Copper concentration in oysters collected from Erhjin Chi, Hsiangshan, and Anping from 1988 to 1990 was, respectively, 61, 29, and 22 times higher than that of 10 years ago. The potential risk from consuming oysters is relatively higher than that of other seafoods due to the high bioaccumulation of oysters. The oysters in the Erhjin Chi estuary had an average concentration of copper of 3,075 +/- 826 mug/g during the past three years (1988-1990). The average copper intake from oysters for an adult with 70 kg body weight was 12.6 mg/d. The estimate indicated that the average copper intake from the oysters for female individuals is 14 times more than that of international limits. Based on the average value, long-term intake of copper through consumption of oysters cultured along the Erhjin Chi estuary could be critical, especially for some high-risk groups.</t>
  </si>
  <si>
    <t>TAIPEI MED COLL, SCH PUBL HLTH, 250 WU HSING ST, TAIPEI 105, TAIWAN.</t>
  </si>
  <si>
    <t>10.1002/etc.5620130512</t>
  </si>
  <si>
    <t>NH591</t>
  </si>
  <si>
    <t>WOS:A1994NH59100012</t>
  </si>
  <si>
    <t>Zhou, YY; Dahms, HU; Dong, F; Jing, WX; Wang, L</t>
  </si>
  <si>
    <t>Zhou, Yanying; Dahms, Hans-Uwe; Dong, Feng; Jing, Weixing; Wang, Lan</t>
  </si>
  <si>
    <t>Immune-associated parameters and antioxidative responses to cadmium in the freshwater crab Sinopotamon henanense</t>
  </si>
  <si>
    <t>Immune response; Antioxidative enzymes; Cadmium; Sinopotamon henanense</t>
  </si>
  <si>
    <t>INDUCED OXIDATIVE STRESS; GREEN-LIPPED MUSSEL; MOLECULAR-CLONING; GENE-EXPRESSION; WHITE SHRIMP; RECOMBINANT LYSOZYME; LITOPENAEUS-VANNAMEI; CATALASE ACTIVITY; TIGER SHRIMP; EXPOSURE</t>
  </si>
  <si>
    <t>Cadmium (Cd) is a toxic heavy metal pollutant and is known to exert adverse effects in organisms. In this study, we examined immune-related and antioxidative parameters in crabs exposed to sublethal levels of Cd. The results showed that Cd exposure elicited a significant accumulation in hemolymph, a decrease in total hemocyte counts, and the production of reactive oxygen species (ROS). Cd treatment also upregulated activities of antioxidant enzymes including superoxide dismutase, catalase, and glutathione peroxidase in the hemocytes of crabs. Treatment with Cd further decreased the stability of lysosomal membranes in hemocytes and induced substantial changes of immune-related parameters including acid phosphatase and alkaline phosphatase. However, the activity of lysozyme varied weakly throughout the Cd treatment period. Our results suggest that Cd exposure caused immunomodulation, a potentially harmful immunity function and damage in the antioxidant system of Sinopotamon henanense. (C) 2016 Elsevier Inc. All rights reserved.</t>
  </si>
  <si>
    <t>[Zhou, Yanying; Dong, Feng; Jing, Weixing; Wang, Lan] Shanxi Univ, Coll Life Sci, Taiyuan 030006, Shanxi, Peoples R China; [Dahms, Hans-Uwe] Kaohsiung Med Univ, Dept Biomed Sci &amp; Environm Biol, Kaohsiung 80708, Taiwan; [Dahms, Hans-Uwe] Natl Sun Yat Sen Univ, Dept Marine Biotechnol &amp; Resources, 70 Lienhai Rd, Kaohsiung 80424, Taiwan</t>
  </si>
  <si>
    <t>Shanxi University; Kaohsiung Medical University; National Sun Yat Sen University</t>
  </si>
  <si>
    <t>Wang, L (corresponding author), Shanxi Univ, Coll Life Sci, Taiyuan 030006, Shanxi, Peoples R China.</t>
  </si>
  <si>
    <t>lanwang@sxu.edu.cn</t>
  </si>
  <si>
    <t>Dong, Feng/H-6420-2011</t>
  </si>
  <si>
    <t>National Natural Science Foundation of China [31272319]; Hundred Talent Project of Shanxi Province</t>
  </si>
  <si>
    <t>National Natural Science Foundation of China(National Natural Science Foundation of China (NSFC)); Hundred Talent Project of Shanxi Province</t>
  </si>
  <si>
    <t>We thank Dr. Feng Dong for critical reading of the manuscript. This work was supported by the National Natural Science Foundation of China (No. 31272319) to Lan Wang and the Hundred Talent Project of Shanxi Province in 2013 to Hans-Uwe Dahms.</t>
  </si>
  <si>
    <t>10.1016/j.ecoenv.2016.03.040</t>
  </si>
  <si>
    <t>DK8HC</t>
  </si>
  <si>
    <t>WOS:000375166800027</t>
  </si>
  <si>
    <t>Han, ZX; Wu, DD; Wu, J; Lv, CX; Liu, YR</t>
  </si>
  <si>
    <t>Han, Zhao-Xiang; Wu, Dan-Dan; Wu, Jue; Lv, Chun-Xia; Liu, Yu-Rong</t>
  </si>
  <si>
    <t>Effects of Ocean Acidification on Toxicity of Heavy Metals in the Bivalve Mytilus edulis L</t>
  </si>
  <si>
    <t>SYNTHESIS AND REACTIVITY IN INORGANIC METAL-ORGANIC AND NANO-METAL CHEMISTRY</t>
  </si>
  <si>
    <t>heavy metals; Mytilus edulis L; ocean acidification</t>
  </si>
  <si>
    <t>ANTHROPOGENIC CO2; GROWTH; SEA; IMPACT; SCOPE</t>
  </si>
  <si>
    <t>The anthropogenic release of carbon dioxide into the atmosphere leads to an increase in the CO2 partial pressure in the ocean, which may reach 950atm by the end of the 21st century. An experiment was performed to test the effects of increased sea water concentrations of CO2 combined with heavy metals on mortality rates, metallothionein, immune funtion, and uptake kinetics of the bivalve Mytilus edulis L. As a result, the mortality rates of Mytilus edulis L fluctuated with pH variety in all heavy metals (Cd, Pb, Cu) test seawater treatments compared to control group. It was demonstrated that in vivo Cd-, Pb-, or Cu pretreatment under acidifications can alleviate metallothionein by in vitro Cd, Pb, and Cu in soft tissues and suggested that acidification can aggravate heavy metals pollution and toxicity for marine organisms. Moreover, the fraction of eosinophilic cells increased over the 21days period for Cd exposure, then decreased with 28 and 35days incubation, the fraction of eosinophilic cells increased similar with Cd exposure and pH 8.2. The fraction of eosinophilic cells significantly increased from 32% to 53% of the hemocyte population over the 35-day period for Pb exposure and pH8.2, the fraction of eosinophilic cells increased from 35% to 58% of the hemocyte population over the 35-day period for Pb exposure and pH 6.2. Phagocytosis levels declined with increasing exposure time for Cd alone and phagocytosis levels declined with decreasing pH (from 8.2 to 6.2) with Cd exposure on 35days. Mytilus edulis L in Pb with reduced pH (6.2) treatments also decreased their phagocytosis levels on 35days. Further, phagocytosis decreased bigger than that of Pb with pH 8.2. At steady state equilibrium, CF of Cd-109 was significantly higher at pH 6.2 and pH 7.7 than at pH 8.2, the accumulation of Pb-203 was significantly higher at the lowest pH 6.2 level than at the two exposure levels (pH 7.7 and pH 8.2). Similarly, the lower the seawater pH 6.2, the more Cu-63 was accumulated in the hemolymph of Mytilus edulis L. The results indicate that future reductions in pH caused by increased CO2 concentrations in the sea may have an impact on Mytilus edulis L combined with heavy metals pollution.</t>
  </si>
  <si>
    <t>[Han, Zhao-Xiang; Wu, Dan-Dan; Wu, Jue] Huaihai Inst Technol, Sch Chem Engn, Lianyungang 222005, Jiangsu, Peoples R China; [Han, Zhao-Xiang; Liu, Yu-Rong] Chongqing Key Lab Micro Nano Mat Engn &amp; Technol, Chongqing, Peoples R China; [Han, Zhao-Xiang] Jiangsu Prov Key Lab Coastal Wetland Bioresources, Yancheng City, Jiangsu, Peoples R China; [Lv, Chun-Xia] Jiaonan Agr Bur, Qingdao, Shandong, Peoples R China</t>
  </si>
  <si>
    <t>Jiangsu Ocean University</t>
  </si>
  <si>
    <t>Han, ZX (corresponding author), Huaihai Inst Technol, Sch Chem Engn, 59 Cangwu Rd, Lianyungang 222005, Jiangsu, Peoples R China.</t>
  </si>
  <si>
    <t>hjyyzx@sina.com</t>
  </si>
  <si>
    <t>Wu, Dandan/GOH-0116-2022</t>
  </si>
  <si>
    <t>National Natural Science Foundation of China [21001048]; Chongqing Key Laboratory of Micro/Nano Materials Engineering and Technology [KFJJ1106]; Jiangsu Provincial Key Laboratory of Coastal Wetland Bioresources and Environmental Protection [JLCBE11004]; Priority Academic Program Development of Jiangsu Higher Education Institutions</t>
  </si>
  <si>
    <t>National Natural Science Foundation of China(National Natural Science Foundation of China (NSFC)); Chongqing Key Laboratory of Micro/Nano Materials Engineering and Technology; Jiangsu Provincial Key Laboratory of Coastal Wetland Bioresources and Environmental Protection; Priority Academic Program Development of Jiangsu Higher Education Institutions</t>
  </si>
  <si>
    <t>This research was supported by The National Natural Science Foundation of China (No. 21001048), Chongqing Key Laboratory of Micro/Nano Materials Engineering and Technology (No. KFJJ1106), Jiangsu Provincial Key Laboratory of Coastal Wetland Bioresources and Environmental Protection (No. JLCBE11004), and A Project Funded by the Priority Academic Program Development of Jiangsu Higher Education Institutions.</t>
  </si>
  <si>
    <t>1553-3174</t>
  </si>
  <si>
    <t>1553-3182</t>
  </si>
  <si>
    <t>SYNTH REACT INORG M</t>
  </si>
  <si>
    <t>Synth. React. Inorg. Met.-Org. Nano-Metal Chem.</t>
  </si>
  <si>
    <t>10.1080/15533174.2013.770753</t>
  </si>
  <si>
    <t>Chemistry, Inorganic &amp; Nuclear; Nanoscience &amp; Nanotechnology</t>
  </si>
  <si>
    <t>Chemistry; Science &amp; Technology - Other Topics</t>
  </si>
  <si>
    <t>264HR</t>
  </si>
  <si>
    <t>WOS:000327868100024</t>
  </si>
  <si>
    <t>CHELOMIN, VP; BELCHEVA, NN</t>
  </si>
  <si>
    <t>THE EFFECT OF HEAVY-METALS ON PROCESSES OF LIPID-PEROXIDATION IN MICROSOMAL-MEMBRANES FROM THE HEPATOPANCREAS OF THE BIVALVE MOLLUSK MIZUHOPECTEN-YESSOENSIS</t>
  </si>
  <si>
    <t>COMPARATIVE BIOCHEMISTRY AND PHYSIOLOGY C-PHARMACOLOGY TOXICOLOGY &amp; ENDOCRINOLOGY</t>
  </si>
  <si>
    <t>TOXICITY; CADMIUM; METALLOTHIONEIN; MECHANISM; RADICALS; LIVER; IONS</t>
  </si>
  <si>
    <t>1. Studies were performed regarding the effects of cadmium and copper on the lipid peroxide contents and on the initial rates of NADPH-dependent and Fe-ascorbic acid-dependent lipid peroxidation in the microsomes of hepatopancreas of the scallop Mizuhopecten yessoensis exposed to these pollutants for 3 weeks. 2. The results demonstrated that copper accumulation in hepatopancreas cells was accompanied by a significant increase in hydroperoxide and malondialdehyde contents in microsomal membranes, and by alteration in the both enzymic and non-enzymic lipid peroxidation. Cadmium didn't appear to potentiate lipid peroxidation processes in mollusc tissues. 3. Possible reasons for different effects of these metals on lipid peroxidation processes are discussed.</t>
  </si>
  <si>
    <t>RUSSIAN ACAD SCI,INST MARINE BIOL,VLADIVOSTOK 690032,USSR</t>
  </si>
  <si>
    <t>Russian Academy of Sciences; National Scientific Center of Marine Biology, Far East Branch of the Russian Academy of Sciences</t>
  </si>
  <si>
    <t>CHELOMIN, VP (corresponding author), RUSSIAN ACAD SCI,PACIFIC OCEANOL INST,VLADIVOSTOK 690032,USSR.</t>
  </si>
  <si>
    <t>Chelomin, Viktor/W-3277-2017</t>
  </si>
  <si>
    <t>Chelomin, Victor/0000-0002-1840-3057</t>
  </si>
  <si>
    <t>0742-8413</t>
  </si>
  <si>
    <t>Comp. Biochem. Physiol. C-Pharmacol. Toxicol. Endocrinol.</t>
  </si>
  <si>
    <t>10.1016/0742-8413(92)90031-2</t>
  </si>
  <si>
    <t>KA117</t>
  </si>
  <si>
    <t>WOS:A1992KA11700030</t>
  </si>
  <si>
    <t>Shulkin, VM; Kavun, VY</t>
  </si>
  <si>
    <t>Shulkin, V. M.; Kavun, V. Ya.</t>
  </si>
  <si>
    <t>Long-Term Monitoring of Pollution of the Coastal Water Area of Ussuri Bay with Metals: A Case Study of Green Oysters Magallana gigas (= Crassostrea gigas) (Thunberg, 1793)</t>
  </si>
  <si>
    <t>RUSSIAN JOURNAL OF MARINE BIOLOGY</t>
  </si>
  <si>
    <t>Sea of Japan; Ussuri Bay; solid waste landfill; heavy metals; oysters; bottom sediments</t>
  </si>
  <si>
    <t>TRACE-METALS; ESTUARINE ENVIRONMENTS; CRENOMYTILUS-GRAYANUS; MARINE BIVALVES; ZINC; CONTAMINATION; COPPER</t>
  </si>
  <si>
    <t>In September 2021, the contents of the Pb, Cu, Cd, Zn, Ni, Fe, and Mn heavy metals were estimated in the tissues of the oyster Magallana gigas (= Crassostrea gigas) (Thunberg, 1793) and in the silty fraction of bottom sediments from mollusk habitats in coastal waters around the Muravyov-Amursky Peninsula, including the most polluted area off the western coast of Ussuri Bay of the Sea of Japan. It has been shown that, despite the reclamation of the landfill located here in 2010, which is the main source of metal pollution, copper is present in high concentrations in bottom sediments and tissues of oysters, giving them a green color. The mollusks living in this area also retain a high concentration of zinc. The concentrations of Pb, Cd, and Ni in oyster tissues over the past 20 years have decreased by 2-5 times in accordance with the decrease in the number of mobile forms of these metals in bottom sediments; however, they are still 3-6 times higher than regional estimates for polluted water areas. With the abnormal accumulation of copper, manganese demonstrates a decrease in the concentration in the tissues of oysters from the most polluted stations, reflecting the deterioration of the physiological state of mollusks. The results we obtained indicate the need to continue the remediation of the western coast of Ussuri Bay and monitor the pollution of coastal waters with metals.</t>
  </si>
  <si>
    <t>[Shulkin, V. M.] Russian Acad Sci, Far Eastern Branch, Pacific Geog Inst, Vladivostok 690041, Russia; [Kavun, V. Ya.] Russian Acad Sci, Far Eastern Branch, Zhirmunsky Natl Sci Ctr Marine Biol, Vladivostok 690041, Russia</t>
  </si>
  <si>
    <t>Pacific Geographical Institute of the Far Eastern Branch of the Russian Academy of Sciences; Russian Academy of Sciences; Russian Academy of Sciences; National Scientific Center of Marine Biology, Far East Branch of the Russian Academy of Sciences</t>
  </si>
  <si>
    <t>Shulkin, VM (corresponding author), Russian Acad Sci, Far Eastern Branch, Pacific Geog Inst, Vladivostok 690041, Russia.</t>
  </si>
  <si>
    <t>shulkin@tigdvo.ru</t>
  </si>
  <si>
    <t>Kavun, Victor/AAC-1238-2020</t>
  </si>
  <si>
    <t>Kavun, Victor/0000-0003-4739-4951</t>
  </si>
  <si>
    <t>1063-0740</t>
  </si>
  <si>
    <t>1608-3377</t>
  </si>
  <si>
    <t>RUSS J MAR BIOL+</t>
  </si>
  <si>
    <t>Russ. J. Mar. Biol.</t>
  </si>
  <si>
    <t>10.1134/S1063074023020074</t>
  </si>
  <si>
    <t>G7DS8</t>
  </si>
  <si>
    <t>WOS:000990727800004</t>
  </si>
  <si>
    <t>Tarique, Q; Burger, J; Reinfelder, JR</t>
  </si>
  <si>
    <t>Tarique, Qaiser; Burger, Joanna; Reinfelder, John R.</t>
  </si>
  <si>
    <t>Relative Importance of Burrow Sediment and Porewater to the Accumulation of Trace Metals in the Clam Amiantis umbonella</t>
  </si>
  <si>
    <t>MUSSEL PERNA-VIRIDIS; HEAVY-METALS; MARINE BIVALVES; KUWAIT COAST; RUDITAPES-PHILIPPINARUM; OVERLYING WATER; CD; BIOAVAILABILITY; POLLUTION; ZN</t>
  </si>
  <si>
    <t>The objectives of this study were to evaluate the infaunal, facultative deposit-feeding clam Amiantis umbonella as a bioindicator of trace-metal contamination and the relative importance of clam burrow sediment and porewater to total accumulation in an urban/industrial coastal environment. Concentrations of eight trace metals (cadmium [Cd], chromium, copper, mercury [Hg], nickel, lead [Pb], vanadium, and zinc) were measured in the soft tissues of clams and in sediment and porewater from clam burrows along a 5-km transect from desalination/power plant discharges in inner Kuwait Bay. All metals had significantly greater concentrations in clams collected near the desalination/power plant discharges than from the reference site and exhibited decreasing trends with distance from the point source in clam soft tissues and burrow sediment and porewater. Concentrations of Hg (1-9 ppm [dry weight]) and the highest concentrations of Pb (3 ppm) and Cd (7 ppm) in clams from contaminated sites in Kuwait Bay were greater than human consumption limits. Metal concentrations in clams were correlated with those in burrow sediment and porewater across all sites and at sites closest to the point source but not within the reference site. The concentrations of all metals, except Pb, in clams from the contaminated sites were more highly correlated with those in clam burrow sediment than porewater. Concentrations of Pb in clam soft tissues were more strongly correlated with those in burrow porewater than sediment. These results indicate that A. umbonella is an excellent bioindicator of trace metal contamination and that sediment is an important source of contaminant metals to this infaunal clam; however, the source of each metal must be evaluated separately.</t>
  </si>
  <si>
    <t>[Tarique, Qaiser; Burger, Joanna] Rutgers State Univ, Dept Ecol &amp; Evolut, Div Life Sci, Piscataway, NJ 08854 USA; [Reinfelder, John R.] Rutgers State Univ, Dept Environm Sci, New Brunswick, NJ 08901 USA</t>
  </si>
  <si>
    <t>Rutgers University System; Rutgers University New Brunswick; Rutgers University System; Rutgers University New Brunswick</t>
  </si>
  <si>
    <t>Reinfelder, JR (corresponding author), Rutgers State Univ, Dept Environm Sci, 14 Coll Farm Rd, New Brunswick, NJ 08901 USA.</t>
  </si>
  <si>
    <t>reinfelder@envsci.rutgers.edu</t>
  </si>
  <si>
    <t>Reinfelder, John/C-7214-2016</t>
  </si>
  <si>
    <t>Reinfelder, John/0000-0002-3737-604X</t>
  </si>
  <si>
    <t>10.1007/s00244-013-9874-8</t>
  </si>
  <si>
    <t>183AD</t>
  </si>
  <si>
    <t>WOS:000321785100009</t>
  </si>
  <si>
    <t>Borrell, A; Aguilar, A; Tornero, V; Drago, M</t>
  </si>
  <si>
    <t>Borrell, A.; Aguilar, A.; Tornero, V.; Drago, M.</t>
  </si>
  <si>
    <t>Concentrations of mercury in tissues of striped dolphins suggest decline of pollution in Mediterranean open waters</t>
  </si>
  <si>
    <t>Mercury; Striped dolphins; Mediterranean Sea; Time trends</t>
  </si>
  <si>
    <t>STENELLA-COERULEOALBA; TRACE-ELEMENTS; POSIDONIA-OCEANICA; HEAVY-METALS; ACCUMULATION; SELENIUM; SEA; ATLANTIC; MUSSEL; ORGANS</t>
  </si>
  <si>
    <t>The Mediterranean is a semi-enclosed sea subject to high mercury (Hg) pollution from both natural and anthropogenic sources. With the objective of discerning temporal changes in marine Hg pollution in the oceanic waters of the northwestern Mediterranean Sea, we analysed liver and kidney from striped dolphins (Stenella coeruleoalba) collected during 2007-2009 and compared them with previous results from a similar sample from 1990-1993. The effect of body length and sex on tissue Hg concentrations was investigated to ensure an unbiased comparison between the periods. The Hg concentrations did not show significant sex-related differences in any tissue or period but were correlated positively with body length. Using body length as a covariate, Hg concentrations in liver and kidney were higher in 1990-1993 than in 2007-2009. This result suggests that measures to reduce emissions in Western European countries have been effective in reducing mercury pollution in Mediterranean open waters. (c) 2014 Elsevier Ltd. All rights reserved.</t>
  </si>
  <si>
    <t>[Borrell, A.] Univ Barcelona, Dept Anim Biol, E-08028 Barcelona, Spain; Univ Barcelona, Inst Biodivers IRBIO, E-08028 Barcelona, Spain</t>
  </si>
  <si>
    <t>University of Barcelona; University of Barcelona</t>
  </si>
  <si>
    <t>Borrell, A (corresponding author), Univ Barcelona, Dept Anim Biol, Av Diagonal 643, E-08028 Barcelona, Spain.</t>
  </si>
  <si>
    <t>xonborrell@ub.edu</t>
  </si>
  <si>
    <t>Tornero, Victoria/GPP-1018-2022; Drago, Massimiliano/JAN-9491-2023; Aguilar, Alex/L-1283-2014; Borrell, Asuncion/B-8257-2009</t>
  </si>
  <si>
    <t>Aguilar, Alex/0000-0002-5751-2512; Borrell, Asuncion/0000-0002-6714-0724; , Victoria/0000-0002-1265-551X; Drago, Massimiliano/0000-0003-2764-9849</t>
  </si>
  <si>
    <t>Zoo de Barcelona (Ajuntament de Barcelona)</t>
  </si>
  <si>
    <t>We acknowledge the Zoo de Barcelona (Ajuntament de Barcelona) for financial support and the Serveis Cientifics i Tecnologics of the University of Barcelona for analytical assistance.</t>
  </si>
  <si>
    <t>10.1016/j.chemosphere.2013.12.076</t>
  </si>
  <si>
    <t>AJ8CF</t>
  </si>
  <si>
    <t>WOS:000337929600040</t>
  </si>
  <si>
    <t>Kurochkin, IO; Etzkorn, M; Buchwalter, D; Leamy, L; Sokolova, IM</t>
  </si>
  <si>
    <t>Kurochkin, Ilya O.; Etzkorn, Markus; Buchwalter, David; Leamy, Larry; Sokolova, Inna M.</t>
  </si>
  <si>
    <t>Top-down control analysis of the cadmium effects on molluscan mitochondria and the mechanisms of cadmium-induced mitochondrial dysfunction</t>
  </si>
  <si>
    <t>AMERICAN JOURNAL OF PHYSIOLOGY-REGULATORY INTEGRATIVE AND COMPARATIVE PHYSIOLOGY</t>
  </si>
  <si>
    <t>cadmium; reactive oxygen species; proton leak; substrate oxidation; mitovite</t>
  </si>
  <si>
    <t>POTATO-TUBER MITOCHONDRIA; VIRGINICA GMELIN BIVALVIA; OYSTERS CRASSOSTREA-VIRGINICA; SKELETAL-MUSCLE MITOCHONDRIA; PROTON LEAK RATE; OXIDATIVE-PHOSPHORYLATION; METABOLIC DEPRESSION; UNCOUPLING PROTEIN-3; ELECTRON-TRANSPORT; INDUCED APOPTOSIS</t>
  </si>
  <si>
    <t>Kurochkin IO, Etzkorn M, Buchwalter D, Leamy L, Sokolova IM. Top-down control analysis of the cadmium effects on molluscan mitochondria and the mechanisms of cadmium-induced mitochondrial dysfunction. Am J Physiol Regul Integr Comp Physiol 300: R21-R31, 2011. First published September 15, 2010; doi:10.1152/ajpregu.00279.2010.-Cadmium (Cd) is a toxic metal and an important environmental pollutant that can strongly affect mitochondrial function and bioenergetics in animals. We investigated the mechanisms of Cd action on mitochondrial function of a marine mollusk (the eastern oyster Crassostrea virginica) by performing a top-down control analysis of the three major mitochondrial subsystems (substrate oxidation, proton leak, and phosphorylation). Our results showed that the substrate oxidation and proton leak subsystems are the main targets for Cd toxicity in oyster mitochondria. Exposure to 12.5 mu M Cd strongly inhibited the substrate oxidation subsystem and stimulated the proton conductance across the inner mitochondrial membrane. Proton conductance was also elevated and substrate oxidation inhibited by Cd in the presence of a mitochondrially targeted antioxidant, MitoVitE, indicating that Cd effects on these subsystems were to a large extent ROS independent. Cd did not affect the kinetics of the phosphorylation system, indicating that it has negligible effects on F-1, F-O ATP synthase and/or the adenine nucleotide transporter in oyster mitochondria. Cd exposure altered the patterns of control over mitochondrial respiration, increasing the degree of control conferred by the substrate oxidation subsystem, especially in resting (state 4) mitochondria. Taken together, these data suggest that Cd-induced decrease of mitochondrial efficiency and ATP production are predominantly driven by the high sensitivity of substrate oxidation and proton leak subsystems to this metal.</t>
  </si>
  <si>
    <t>[Kurochkin, Ilya O.; Leamy, Larry; Sokolova, Inna M.] Univ N Carolina, Dept Biol, Charlotte, NC 28223 USA; [Etzkorn, Markus] Univ N Carolina, Dept Chem, Charlotte, NC 28223 USA; [Buchwalter, David] N Carolina State Univ, Dept Environm &amp; Mol Toxicol, Raleigh, NC 27695 USA</t>
  </si>
  <si>
    <t>University of North Carolina; University of North Carolina Charlotte; University of North Carolina; University of North Carolina Charlotte; North Carolina State University</t>
  </si>
  <si>
    <t>; Sokolova, Inna/B-4955-2009</t>
  </si>
  <si>
    <t>Buchwalter, David/0000-0002-4372-1268; Sokolova, Inna/0000-0002-2068-4302</t>
  </si>
  <si>
    <t>National Science Foundation [IOS-0921367, IBN-0347238]</t>
  </si>
  <si>
    <t>National Science Foundation(National Science Foundation (NSF))</t>
  </si>
  <si>
    <t>This work was supported by the National Science Foundation awards IOS-0921367 and IBN-0347238 to I.M. Sokolova.</t>
  </si>
  <si>
    <t>AMER PHYSIOLOGICAL SOC</t>
  </si>
  <si>
    <t>BETHESDA</t>
  </si>
  <si>
    <t>9650 ROCKVILLE PIKE, BETHESDA, MD 20814 USA</t>
  </si>
  <si>
    <t>0363-6119</t>
  </si>
  <si>
    <t>AM J PHYSIOL-REG I</t>
  </si>
  <si>
    <t>Am. J. Physiol.-Regul. Integr. Comp. Physiol.</t>
  </si>
  <si>
    <t>R21</t>
  </si>
  <si>
    <t>R31</t>
  </si>
  <si>
    <t>10.1152/ajpregu.00279.2010</t>
  </si>
  <si>
    <t>Physiology</t>
  </si>
  <si>
    <t>698HE</t>
  </si>
  <si>
    <t>WOS:000285584100004</t>
  </si>
  <si>
    <t>Culha, ST; Celik, MY; Culha, M; Karayucel, I; Gundogdu, A</t>
  </si>
  <si>
    <t>Culha, Saniye Turk; Celik, Meryem Yesim; Culha, Mehmet; Karayucel, Ismihan; Gundogdu, Ayse</t>
  </si>
  <si>
    <t>The Trace Elements in the Raft Cultivated Mussels (Mytilus galloprovincialis Lamarck, 1819) from Sinop Peninsula, in the Southern Black Sea</t>
  </si>
  <si>
    <t>Journal of Animal and Veterinary Advances</t>
  </si>
  <si>
    <t>Raft cultivated mussel; heavy metals; Mytilus galloprovincialis; sinop peninsula; Black Sea</t>
  </si>
  <si>
    <t>FISH CONSUMPTION; HEAVY-METALS; COAST; COPPER; SEDIMENTS; CONTAMINATION; ENVIRONMENTS; ORGANISMS; POLLUTION; EXPOSURE</t>
  </si>
  <si>
    <t>The concentration of cadmium (Cd), copper (Cu) and zinc (Zn) in the raft cultivated Mediterranean mussel Mytilus galloprovincialis from the Sinop Peninsula, in the Black Sea were investigated seasonally. The mean concentrations of Cd, Cu and Zn in the soft tissues were 2.53 +/- 0.19, 6.98 +/- 0.31 and 228.00 +/- 16.75 mu g g(-1) dry weights (dw), respectively. There were no significant differences between the metal concentrations among the seasons (p&gt;0.05). Cd and Zn levels were higher than legislative limits, while Cu level was below. The Cd and Zn concentrations in cultivated area were danger to human health or human consumption.</t>
  </si>
  <si>
    <t>[Culha, Saniye Turk; Celik, Meryem Yesim; Culha, Mehmet; Karayucel, Ismihan; Gundogdu, Ayse] Univ Sinop, Fac Fisheries &amp; Aquaculture, TR-57000 Sinop, Turkey</t>
  </si>
  <si>
    <t>Sinop University</t>
  </si>
  <si>
    <t>Culha, ST (corresponding author), Univ Sinop, Fac Fisheries &amp; Aquaculture, TR-57000 Sinop, Turkey.</t>
  </si>
  <si>
    <t>Culha, Mehmet/GLS-8374-2022; Gundogdu, Ayse/HHC-5811-2022; celik, meryem/AAE-3090-2019; Karayucel, Ismihan/AAR-5123-2020; Turk Culha, Saniye/O-6396-2016</t>
  </si>
  <si>
    <t>Karayucel, Ismihan/0000-0003-2520-7545; Celik, Yesim/0000-0002-6270-915X; Turk Culha, Saniye/0000-0003-0380-0858</t>
  </si>
  <si>
    <t>395ZP</t>
  </si>
  <si>
    <t>WOS:000262562300020</t>
  </si>
  <si>
    <t>Coelho, JP; Monteiro, RJR; Catry, T; Lourenço, PM; Catry, P; Regalla, A; Catry, I; Figueira, P; Pereira, E; Vale, C; Granadeiro, JP</t>
  </si>
  <si>
    <t>Coelho, J. P.; Monteiro, R. J. R.; Catry, T.; Lourenco, P. M.; Catry, P.; Regalla, A.; Catry, I.; Figueira, P.; Pereira, E.; Vale, C.; Granadeiro, Jose P.</t>
  </si>
  <si>
    <t>Estimation of mercury background values in sediment and biota of the Bijagos archipelago, Guinea-Bissau</t>
  </si>
  <si>
    <t>Mercury; Sediments; Bivalves; Background concentrations; West Africa</t>
  </si>
  <si>
    <t>ORGANIC-MATTER; ESTUARINE SEDIMENTS; HEAVY-METALS; WEST-AFRICA; BIOAVAILABILITY; CONTAMINATION; BIVALVES; ECOSYSTEMS; POLLUTION; SENILIS</t>
  </si>
  <si>
    <t>This work evaluates the mercury (Hg) contamination status (sediments and biota) of the Bijagos archipelago, off the coast of Guinea-Bissau. Sediments exhibited very low concentrations (&lt;1-12 ng g(-1)), pointing to negligible sources of anthropogenic Hg in the region. Nevertheless, Hg is well correlated to the fine fraction, aluminium, and loss on ignition, indicating the effect of grain size and organic matter content on the presence of Hg in sediments. Mercury in the bivalves Tagelus adansoni and Senilia senilis did not vary considerably among sites, ranging within narrow intervals (0.09-0.12 and 0.12-0.14 mu g g(-1) (dry weight), respectively). Divergent substrate preferences/feeding tactics may justify slight differences between species. The value 11 ng g(-1) is proposed as the sediment background concentration for this West-African coastal region, and concentrations within the interval 8-10 ng g(-1) (wet weight) may be considered as reference range for S. senilis and T. adansoni in future monitoring studies. (C) 2016 Elsevier Ltd. All rights reserved.</t>
  </si>
  <si>
    <t>[Coelho, J. P.; Monteiro, R. J. R.; Vale, C.] CIIMAR, Interdisciplinary Ctr Marine &amp; Environm Res, Rua Bragas 289, P-4050123 Oporto, Portugal; [Coelho, J. P.; Monteiro, R. J. R.; Figueira, P.; Pereira, E.] Univ Aveiro, Dept Chem, P-3810193 Aveiro, Portugal; [Coelho, J. P.; Monteiro, R. J. R.; Figueira, P.; Pereira, E.] Univ Aveiro, CESAM, P-3810193 Aveiro, Portugal; [Catry, T.; Lourenco, P. M.; Granadeiro, Jose P.] Univ Lisbon, CESAM, P-1749016 Lisbon, Portugal; [Catry, T.; Lourenco, P. M.; Granadeiro, Jose P.] Univ Lisbon, Fac Ciencias, Dept Biol Anim, P-1749016 Lisbon, Portugal; [Catry, P.] ISPA Inst Univ, MARE Marine &amp; Environm Sci Ctr, Rua Jardim Tabaco 34, P-1149041 Lisbon, Portugal; [Regalla, A.] IBAP, Bissau, Guinea Bissau; [Catry, I.] Univ Lisbon, Ctr Ecol Aplicada Prof Baeta Neves, InBio Rede Invest Biodiversidade &amp; Biol Evolut, Inst Super Agron, P-1349017 Lisbon, Portugal; [Catry, I.] Univ East Anglia, Sch Environm Sci, Norwich NR4 7TJ, Norfolk, England</t>
  </si>
  <si>
    <t>Universidade do Porto; Universidade de Aveiro; Universidade de Aveiro; Universidade de Lisboa; Universidade de Lisboa; Instituto Superior Psicologia Aplicada (ISPA); Universidade de Lisboa; University of East Anglia</t>
  </si>
  <si>
    <t>Coelho, JP (corresponding author), CIIMAR, Interdisciplinary Ctr Marine &amp; Environm Res, Rua Bragas 289, P-4050123 Oporto, Portugal.</t>
  </si>
  <si>
    <t>Coelho, João/C-1699-2008; Pereira, Eduarda/A-5907-2012; Monteiro, Rui/Q-6628-2018; Catry, Ines/A-8073-2012; Lourenco, Pedro/KIA-8276-2024; Granadeiro, Jose Pedro/E-8060-2011; Figueira, Pedro/J-4916-2013; Figueira, Paula/B-8555-2019; Catry, Teresa/A-8082-2012; Catry, Paulo/I-5408-2013</t>
  </si>
  <si>
    <t>Catry, Ines/0000-0002-5593-5001; Coelho, Joao Pedro/0000-0003-1975-8308; Granadeiro, Jose Pedro/0000-0002-7207-3474; Monteiro, Rui/0000-0003-4910-7282; Figueira, Pedro/0000-0001-8504-283X; vale, carlos/0000-0003-0162-1960; Figueira, Paula/0000-0001-5728-9675; Pereira, Eduarda/0000-0002-6046-5243; Catry, Teresa/0000-0003-4047-9995; Catry, Paulo/0000-0003-3000-0522; Regalla de Barros, Aissa/0000-0003-1522-8211</t>
  </si>
  <si>
    <t>Strategic Funding through national funds provided by FCT - Foundation for Science and Technology [UID/Multi/04423/2013 (CIIMAR), UID/AMB/50017 (CESAM), UID/MAR/04292/2013 (MARE)]; European Regional Development Fund (ERDF); MAVA Foundation through Evaluation et conservation de la biodiversite dans le Parc National Marin de Joao Vieira e Poilao [11-070]; national funds through post-doctoral grants from FCT [BPD/102870/2014, SFRH/BPD/102255/2014, SFRH/BPD/84237/2012, SFRH/BPD/102637/2014]; Fundação para a Ciência e a Tecnologia [UID/Multi/04423/2013] Funding Source: FCT</t>
  </si>
  <si>
    <t>Strategic Funding through national funds provided by FCT - Foundation for Science and Technology; European Regional Development Fund (ERDF)(European Union (EU)); MAVA Foundation through Evaluation et conservation de la biodiversite dans le Parc National Marin de Joao Vieira e Poilao; national funds through post-doctoral grants from FCT; Fundação para a Ciência e a Tecnologia(Fundacao para a Ciencia e a Tecnologia (FCT))</t>
  </si>
  <si>
    <t>This research was partially supported by the Strategic Funding UID/Multi/04423/2013 (CIIMAR), UID/AMB/50017 (CESAM) and UID/MAR/04292/2013 (MARE) through national funds provided by FCT - Foundation for Science and Technology and European Regional Development Fund (ERDF), in the framework of the program PT2020. Further funds were provided by the MAVA Foundation through a project granted to IBAP (Guinea-Bissau) - 11-070 Evaluation et conservation de la biodiversite dans le Parc National Marin de Joao Vieira e Poilao. We thank IBAP sailors and park staff for important logistical support. J.P. Coelho (BPD/102870/2014), T. Catry (SFRH/BPD/102255/2014), P.M. Lourenco (SFRH/BPD/84237/2012) and I. Catry (SFRH/BPD/102637/2014) were supported by national funds through post-doctoral grants from FCT.</t>
  </si>
  <si>
    <t>10.1016/j.marpolbul.2016.06.053</t>
  </si>
  <si>
    <t>DY1KO</t>
  </si>
  <si>
    <t>WOS:000384854100066</t>
  </si>
  <si>
    <t>MIKAC, N; PICER, M; STEGNAR, P; TUSEKZNIDARIC, M</t>
  </si>
  <si>
    <t>MERCURY DISTRIBUTION IN A POLLUTED MARINE AREA, RATIO OF TOTAL MERCURY, METHYL MERCURY AND SELENIUM IN SEDIMENTS, MUSSELS AND FISH</t>
  </si>
  <si>
    <t>WATER RESEARCH</t>
  </si>
  <si>
    <t>Total mercury, methyl mercury and selenium concentrations were determined in sediments and organisms from the Kastela bay in the Central Adriatic, polluted with inorganic mercury by a chlor-alkali plant. Sediments and mussels (Mytilus galloprovincialis) contained high total mercury concentrations, especially in the vicinity of the source of pollution. The percentage of mercury in the methyl form increased from surface sediments (up to 1.37%) to the edible parts of mussels (0.1-27%, negatively correlated with total mercury concentrations) and to the fish, in which methyl mercury accounted for most of the mercury in the muscle tissue.</t>
  </si>
  <si>
    <t>UNIV LJUBLJANA, JOZEF STEFAN INST, LJUBLJANA, YUGOSLAVIA</t>
  </si>
  <si>
    <t>University of Ljubljana; Slovenian Academy of Sciences &amp; Arts (SASA); Jozef Stefan Institute</t>
  </si>
  <si>
    <t>RUDJER BOSKOVIC INST, CTR MARINE RES ZAGREB, YU-41001 Zagreb, YUGOSLAVIA.</t>
  </si>
  <si>
    <t>0043-1354</t>
  </si>
  <si>
    <t>1879-2448</t>
  </si>
  <si>
    <t>WATER RES</t>
  </si>
  <si>
    <t>Water Res.</t>
  </si>
  <si>
    <t>10.1016/0043-1354(85)90305-7</t>
  </si>
  <si>
    <t>ATB08</t>
  </si>
  <si>
    <t>WOS:A1985ATB0800009</t>
  </si>
  <si>
    <t>Lewis, MA; Quarles, RL; Dantin, DD; Moore, JC</t>
  </si>
  <si>
    <t>Evaluation of a Florida coastal golf complex as a local and watershed source of bioavailable contaminants</t>
  </si>
  <si>
    <t>contaminants; coastal golf complex; bioconcentration; Florida</t>
  </si>
  <si>
    <t>HEAVY-METALS; PERIPHYTON; SEDIMENT; QUALITY; COURSES</t>
  </si>
  <si>
    <t>Contaminant fate in coastal areas impacted by golf course runoff is not well understood. This report summarizes trace metal, pesticide and PCB residues for colonized periphyton, Ruppia maritima (widgeon grass), Callinectes sapidus Rathbun (blue crabs) and Crassostrea virginica Gemlin (Eastern oyster) collected from areas adjacent to a Florida golf course complex which receive runoff containing reclaimed municipal wastewater. Concentrations of 19 chlorinated pesticides and 18 PCB congeners were usually below detection in the biota. In contrast, 8 trace metals were commonly detected although concentrations were not usually significantly different for biota collected from reference and non-reference coastal areas. Residue concentrations in decreasing order were typically: zinc, arsenic, copper, chromium, lead, nickel, cadmium and mercury. Mean BCF values for the eight trace metals ranged between 160-57000 (periphyton), 79-11033 (R. maritima), 87-162625 (C virginica) and 12-9800 (C. sapidus). Most trace metal residues in periphyton colonized adjacent to the golf complex, were either similar to or significantly less than those reported for periphyton colonized in nearby coastal areas impacted by urban stormwater runoff and treated municipal and industrial wastewater discharges. Consequently, the recreational complex does not appear to be a major source of bioavailable contaminants locally nor in the immediate watershed based on results for the selected biota. Published by Elsevier Ltd.</t>
  </si>
  <si>
    <t>US EPA, Off Res &amp; Dev, Natl Hlth &amp; Environm Effects Res Lab, Gulf Ecol Div, Gulf Breeze, FL 32561 USA</t>
  </si>
  <si>
    <t>United States Environmental Protection Agency</t>
  </si>
  <si>
    <t>US EPA, Off Res &amp; Dev, Natl Hlth &amp; Environm Effects Res Lab, Gulf Ecol Div, 1 Sabine Isl Dr, Gulf Breeze, FL 32561 USA.</t>
  </si>
  <si>
    <t>lewis.michael@epa.gov</t>
  </si>
  <si>
    <t>Dantin, Darrin/0000-0002-3374-6429</t>
  </si>
  <si>
    <t>10.1016/S0025-326X(03)00397-7</t>
  </si>
  <si>
    <t>801NL</t>
  </si>
  <si>
    <t>WOS:000220102500018</t>
  </si>
  <si>
    <t>Zhang, LB; Gan, JL; Ke, CL; Liu, XL; Zhao, JM; You, LP; Yu, JB; Wu, HF</t>
  </si>
  <si>
    <t>Zhang, Linbao; Gan, Junli; Ke, Changliang; Liu, Xiaoli; Zhao, Jianmin; You, Liping; Yu, Junbao; Wu, Huifeng</t>
  </si>
  <si>
    <t>Identification and expression profile of a new cytochrome P450 isoform (CYP414A1) in the hepatopancreas of Venerupis (Ruditapes) philippinarum exposed to benzo[a]pyrene, cadmium and copper</t>
  </si>
  <si>
    <t>Venerupis (Ruditapes) philippinarum; Cytochromes P450; mRNA expression; Benzo[a]pyrene; Heavy metals; Biomarker</t>
  </si>
  <si>
    <t>TIDAL FLATS; GENE; MERCURY; INDUCTION; CLONING; MUSSEL; FISH; P450</t>
  </si>
  <si>
    <t>With the objective to identify promising molecular biomarkers for marine pollution monitoring, a new cytochrome P450 gene was identified from Venerupis (Ruditapes) philippinarum and classified as a member of a new subfamily, CYP414A1. Phylogenetic analysis showed that CYP414A1 was closely related to members of the CYP2 family. CYP414A1 mRNA expression was significantly induced by 50 mu g/L B[a]P at 96h, while no significant change was found in 5 mu g/L B[a]P-exposed samples. For heavy metals exposure, the expression of CYP414A1 was significantly up-regulated by Cd but sharply depressed by Cu exposure. These results suggested that CYP414A1 responded to various xenobiotics stresses, and could be used as a candidate biomarker of heavy metals and B[a]P. (C) 2011 Elsevier B.V. All rights reserved.</t>
  </si>
  <si>
    <t>[Zhang, Linbao; Liu, Xiaoli; Zhao, Jianmin; You, Liping; Yu, Junbao; Wu, Huifeng] CAS, Key Lab Coastal Zone Environm Proc, Yantai 264003, Peoples R China; [Zhang, Linbao; Liu, Xiaoli; Zhao, Jianmin; You, Liping; Yu, Junbao; Wu, Huifeng] Chinese Acad Sci, Shandong Prov Key Lab Coastal Zone Environm Proc, Yantai Inst Coastal Zone Res, Yantai 264003, Peoples R China; [Gan, Junli; Ke, Changliang] Key Lab Fishery Ecol &amp; Environm, Guangzhou 510300, Guangdong, Peoples R China; [Zhang, Linbao; Liu, Xiaoli; You, Liping] Chinese Acad Sci, Grad Sch, Beijing 100049, Peoples R China</t>
  </si>
  <si>
    <t>Chinese Academy of Sciences; Chinese Academy of Sciences; Yantai Institute of Coastal Zone Research, CAS; Chinese Academy of Sciences; University of Chinese Academy of Sciences, CAS</t>
  </si>
  <si>
    <t>Zhao, JM (corresponding author), CAS, Key Lab Coastal Zone Environm Proc, Yantai 264003, Peoples R China.</t>
  </si>
  <si>
    <t>jmzhao@yic.ac.cn; hfwu@yic.ac.cn</t>
  </si>
  <si>
    <t>Wu, Huifeng/0000-0002-4042-8103; Yu, Junbao/0000-0002-3433-3538</t>
  </si>
  <si>
    <t>Chinese Academy of Sciences [2008GG20005006, 2008GG3NS0700]; SDSFC [ZR2009CZ008]; Key Lab of Fishery Ecology and Environment, Guangdong Province; CAS/SAFEA</t>
  </si>
  <si>
    <t>Chinese Academy of Sciences(Chinese Academy of Sciences); SDSFC; Key Lab of Fishery Ecology and Environment, Guangdong Province; CAS/SAFEA(Chinese Academy of Sciences)</t>
  </si>
  <si>
    <t>This research was supported by The 100 Talents Program of the Chinese Academy of Sciences, Technology Development Program Projects of Shandong Province (2008GG20005006 and 2008GG3NS0700) and SDSFC (ZR2009CZ008), and in part the CAS/SAFEA International Partnership Program for Creative Research Teams Representative environmental processes and resources effects in coastal zone and open fund from Key Lab of Fishery Ecology and Environment, Guangdong Province.</t>
  </si>
  <si>
    <t>10.1016/j.etap.2011.08.015</t>
  </si>
  <si>
    <t>913KL</t>
  </si>
  <si>
    <t>WOS:000301876600011</t>
  </si>
  <si>
    <t>Anatone, K; Baumann, Z; Mason, RP; Hansen, G; Chernoff, B</t>
  </si>
  <si>
    <t>Anatone, Kayla; Baumann, Zofia; Mason, Robert P.; Hansen, Gunnar; Chernoff, Barry</t>
  </si>
  <si>
    <t>Century-old mercury pollution: Evaluating the impacts on local fish from the eastern United States</t>
  </si>
  <si>
    <t>Methylmercury; Legacy pollution; Bioaccumulation; Fish; Environmental mercury</t>
  </si>
  <si>
    <t>PRENATAL METHYLMERCURY EXPOSURE; FRESH-WATER FISH; DIETARY METHYLMERCURY; TROPHIC TRANSFER; MARINE FISH; RHINICHTHYS-ATRATULUS; INORGANIC MERCURY; GENETIC DIVERSITY; GAMBUSIA-AFFINIS; BLACKNOSE DACE</t>
  </si>
  <si>
    <t>Mercury (Hg) bioaccumulates and exerts toxic effects on freshwater fish upon assimilation into tissues. The Still River, USA, was subjected to severe Hg pollution as a result of the 19th century hat-making industry. Our objective was to determine if the legacy Hg pollution from the hat industry continues to manifest as elevated Hg in the environment (sediment, water, and suspended particulates) and in the muscle and liver of fish from the Still River watershed. Rhinichthys atratulus (Eastern Blacknose Dace), a freshwater fish that display high site fidelity, was chosen as an indicator of total (THg) and methyl (MeHg) mercury bioavailability at four legacy polluted sites, and three reference sites. THg in surface sediments ranged from 134.69 ng/g dw - 1990.00 ng/g dw in legacy Still River sites and from 25.45 ng/g dw - 48.39 ng/g dw in reference sites. Surprisingly, the average levels of THg in fish muscle were significantly lower (p &lt;= 0.04) for fish from the majority of legacy sites (0.36 mu g/g ww - 0.39 mu g/g ww) compared to the majority of reference sites (0.47 mu g/g ww - 0.52 mu g/g ww). There was no significant difference (p &gt;= 0.15) among liver THg concentrations for most sites and there was no significant relationship found (p &gt;= 0.09) between either tissue type and any environmental parameters. Our results demonstrate that the presence of legacy Hg pollution does not directly translate into enhanced MeHg accumulation in fish. (C) 2020 Elsevier Ltd. All rights reserved.</t>
  </si>
  <si>
    <t>[Anatone, Kayla; Chernoff, Barry] Wesleyan Univ, Biol Dept, 52 Lawn Ave, Middletown, CT 06459 USA; [Baumann, Zofia; Mason, Robert P.; Hansen, Gunnar] Univ Connecticut, Dept Marine Sci, 1080 Shennecossett Rd, Groton, CT 06340 USA; [Baumann, Zofia] Bill Oyster Project, New York, NY 10004 USA; [Chernoff, Barry] Wesleyan Univ, Coll Environm, Middletown, CT 06459 USA; [Chernoff, Barry] Wesleyan Univ, Dept Earth &amp; Environm Sci, Middletown, CT 06459 USA</t>
  </si>
  <si>
    <t>Wesleyan University; University of Connecticut; Wesleyan University; Wesleyan University</t>
  </si>
  <si>
    <t>Anatone, K (corresponding author), Wesleyan Univ, Biol Dept, 52 Lawn Ave, Middletown, CT 06459 USA.;Baumann, Z (corresponding author), Univ Connecticut, Dept Marine Sci, 1080 Shennecossett Rd, Groton, CT 06340 USA.</t>
  </si>
  <si>
    <t>kanatone@wesleyan.edu; zofia.baumann@uconn.edu</t>
  </si>
  <si>
    <t>Mason, Robert/0000-0002-7443-4931</t>
  </si>
  <si>
    <t>Wesleyan University GISOS project funds; College of the Environment Robert Schumann Funds; Dept. of Earth and Environmental Sciences Smith Funds; Dartmouth National Institute of Health Superfund Program grant [P42 ES007373]</t>
  </si>
  <si>
    <t>Wesleyan University GISOS project funds; College of the Environment Robert Schumann Funds; Dept. of Earth and Environmental Sciences Smith Funds; Dartmouth National Institute of Health Superfund Program grant</t>
  </si>
  <si>
    <t>The research was funded by Wesleyan University GISOS project funds, by the College of the Environment Robert Schumann Funds, and by the Dept. of Earth and Environmental Sciences Smith Funds to Barry Chernoff. Research protocols were reviewed by the Wesleyan University Institutional Animal Care and Use Committee (IACUC 2017_0531_Chernoff and IACUC 2017_0531B_Chernoff). Scientific collection permits were provided by the Connecticut Department of Energy and Environmental Protection (CT DEEP), Bureau of Natural Resources Fisheries Division, USA (SC-17031). The involvement of Robert P. Mason was partially supported by the Dartmouth National Institute of Health Superfund Program grant (P42 ES007373). We thank Chernoff lab members: C. Coyle, S. Scobell, E. Young, A. Machado-Allison, N. Neri, F. Lin, and D. Ruiz for help with field collections. We thank J. LaBella and V. Harris (Wesleyan) for providing key help with transportation and field logistics. We also thank W. Huffman (UConn) for laboratory assistance and L. Kosnik (Darien High School, CT) for analyzing sediments for LOI and THg during her 2018 summer internship at UConn (Z. Baumann, advisor). We thank F. Cohan (Wesleyan), J. Coolon (Wesleyan), and D. Nacci (US EPA Atlantic Coastal Environmental Sciences Division) for providing valuable insights throughout the project. We also thank H. Baumann (UConn) for instruction on ageing of otoliths and scales, and D. Taylor (Roger Williams University) for initial advice on field protocols. A special thanks to M. Lally (CT DEEP) for sharing information on sampling locations.</t>
  </si>
  <si>
    <t>10.1016/j.chemosphere.2020.127484</t>
  </si>
  <si>
    <t>NK2NM</t>
  </si>
  <si>
    <t>WOS:000566573600088</t>
  </si>
  <si>
    <t>Sarkar, SK; Cabral, H; Chatterjee, M; Cardoso, I; Bhattacharya, AK; Satpathy, KK; Alam, MA</t>
  </si>
  <si>
    <t>Sarkar, Santosh Kumar; Cabral, Henrique; Chatterjee, Mousumi; Cardoso, Ines; Bhattacharya, Asok Kumar; Satpathy, Kamala Kanta; Alam, Mohammad Aftab</t>
  </si>
  <si>
    <t>Biomonitoring of heavy metals using the bivalve molluscs in Sunderban mangrove wetland, northeast coast of Bay of Bengal (India): Possible risks to human health</t>
  </si>
  <si>
    <t>biomonitoring; bioindicator; bivalve mollusks; heavy metals; human health; Sunderban delta; wetland</t>
  </si>
  <si>
    <t>TRACE-ELEMENTS; MYTILUS-EDULIS; MARINE; COPPER; ZINC; LEAD; ACCUMULATION; ESTUARY; SIZE; BIOAVAILABILITY</t>
  </si>
  <si>
    <t>The suitability of using four bivalve molluscs (Sanguinolaria acuminata, Anadara granosa, Meretrix meretrix, and Pelecyora trigona) in biomonitoring of heavy metals (Cu, Pb, Cd, Zn, and Hg) collected from intertidal regions of the Sunderban mangrove wetland, northeastern part of the Bay of Bengal, were evaluated. Both speciesdependent variability and temporal variations were pronounced. A high degree of organ specificity was evident in the bivalves where gill and mantle exhibited higher metal accumulation due to ion exchange property of the mucous layer covering these organs while shells represent very poor accumulation. Elevated values of Zn and Cu reflect high potential for biomagnification through marine food chain. Metal concentrations in different body size groups of the bivalves do not follow uniform trend. Correlation coefficient between different metal couplings as tested statistically revealed significant coupling for Pb-Zn, Pb-Cu, Zn-Cu, and Hg-Cu. Concentrations of all the metals in specific organs (visceral mass, mantle and gill) of the bivalves exceeded the safe levels according to the international standards for metals compiled by Food and Agricultural Organization of the United Nations and would be of great risk for human consumption. It is concluded that the mussel and clam are suitable biomonitors to employ in programs designed to assess changes in metal pollution in the Sunderban mangrove wetland.</t>
  </si>
  <si>
    <t>[Sarkar, Santosh Kumar; Chatterjee, Mousumi; Bhattacharya, Asok Kumar; Alam, Mohammad Aftab] Univ Calcutta, Dept Marine Sci, Kolkata 700019, W Bengal, India; [Cabral, Henrique; Cardoso, Ines] Natl Inst Oceanog, Dept Anim Biol, Lisbon, Portugal; [Satpathy, Kamala Kanta] Safety Grp, Environm &amp; Ind Safety Sect, Indira Gandhi Ctr Atom Res, Kalpakkam, Tamil Nadu, India</t>
  </si>
  <si>
    <t>University of Calcutta; Indira Gandhi Centre for Atomic Research (IGCAR)</t>
  </si>
  <si>
    <t>Sarkar, SK (corresponding author), Univ Calcutta, Dept Marine Sci, 35 Ballygunge Circular Rd, Kolkata 700019, W Bengal, India.</t>
  </si>
  <si>
    <t>sarkar.santosh@gmail.com</t>
  </si>
  <si>
    <t>Alam, Mohammed/D-2547-2012; Cabral, Henrique/D-5201-2011; Cardoso, Ines/B-7100-2012</t>
  </si>
  <si>
    <t>Alam, Mohammed/0000-0001-8089-6721; Cabral, Henrique/0000-0002-7646-6208; Cardoso, Ines/0000-0002-0366-5919</t>
  </si>
  <si>
    <t>10.1002/clen.200700027</t>
  </si>
  <si>
    <t>270VO</t>
  </si>
  <si>
    <t>WOS:000253748500014</t>
  </si>
  <si>
    <t>CHASSARDBOUCHAUD, C; HUBERT, M; ESCAIG, F; INGLEBERT, RL</t>
  </si>
  <si>
    <t>CELLULAR AND SUBCELLULAR-LOCALIZATION OF CHROMIUM IN THE CRAB LIOCARCINUS PUBER (BRACHYRHYNCHA) BY TRANSMISSION ELECTRON-MICROSCOPY, SECONDARY-ION MASS-SPECTROMETRY AND ELECTRON-MICROPROBE ANALYSIS</t>
  </si>
  <si>
    <t>BIOMETALS</t>
  </si>
  <si>
    <t>BIOACCUMULATION; CHROMIUM; CRAB; MASS SPECTROMETRY; X-RAY MICROANALYSIS</t>
  </si>
  <si>
    <t>X-RAY SPECTROMETRY; MUSSEL MYTILUS-EDULIS; HEXAVALENT CHROMIUM; CARCINUS-MAENAS; ZINC; BIOACCUMULATION; MICROANALYSIS; CONTAMINATION; EMISSION; URANIUM</t>
  </si>
  <si>
    <t>The swimming crab Liocarcinus puber (Crustacea Brachyrhyncha) was exposed for 2 weeks to CrCl3 (chromium occurs principally in the trivalent state in the natural environment), The gills, digestive gland and muscle were examined by several analytical techniques for cellular and subcellular localization of chromium, The techniques applied were secondary ion mass spectrometry (ion microscopy and ion microprobe analysis) associated with photon microscopy and X-ray spectrometry (electron microprobe analysis) together with transmission electron microscopy, The digestive gland was found to be free of chromium, whereas chromium was adsorbed onto the gill exoskeleton. The muscle was the only tissue with intracellular electron-dense precipitates with no surrounding membrane, The metal was detected in the heterophagic vacuoles of amoebocytes where it was associated with phosphorus and trapped in an unsoluble form, Mechanisms of chromium cellular and subcellular metabolism were compared between crabs and other aquatic organisms, L. puber does not appear to be a suitable bioindicator of chromium pollution because of molting and its low chromium bioaccumulation capability.</t>
  </si>
  <si>
    <t>UNIV ORLEANS,CNRS,URA 831,RECH ENERGET MILIEUX IONISES GRP,ORLEANS,FRANCE; FAC MED CRETEIL,CTR MICROANAL APPL BIOL,INSERM,SC27,BIOPHYS LAB,CRETEIL,FRANCE</t>
  </si>
  <si>
    <t>Centre National de la Recherche Scientifique (CNRS); Universite de Orleans; Institut National de la Sante et de la Recherche Medicale (Inserm); Universite Paris-Est-Creteil-Val-de-Marne (UPEC)</t>
  </si>
  <si>
    <t>CHASSARDBOUCHAUD, C (corresponding author), UNIV PARIS 06,BIOL &amp; PHYSIOL ORGANISMES MARINS LAB,4 PL JUSSIEU,BOITE COURRIER 006,F-75252 PARIS 05,FRANCE.</t>
  </si>
  <si>
    <t>RAPID SCIENCE PUBLISHERS</t>
  </si>
  <si>
    <t>2-6 BOUNDARY ROW, LONDON, ENGLAND SE1 8NH</t>
  </si>
  <si>
    <t>0966-0844</t>
  </si>
  <si>
    <t>Biometals</t>
  </si>
  <si>
    <t>RG952</t>
  </si>
  <si>
    <t>WOS:A1995RG95200012</t>
  </si>
  <si>
    <t>Pigeot, J; Miramand, P; Guyot, T; Sauriau, PG; Fichet, D; Le Moine, O; Huet, V</t>
  </si>
  <si>
    <t>Cadmium pathways in an exploited intertidal ecosystem with chronic cadmium inputs (Marennes-Oleron, Atlantic coast, France)</t>
  </si>
  <si>
    <t>macrophytes; microphytobenthos; macrofauna; cadmium; bioaccumulation; trophic food web; Marennes-Oleron Bay</t>
  </si>
  <si>
    <t>BAY; DYNAMICS; MUDFLAT; MARINE; MICROPHYTOBENTHOS; BIOTURBATION; SEDIMENTS; POLLUTION; MOLLUSCA; SYSTEM</t>
  </si>
  <si>
    <t>The Marennes-Oleron Bay is subject to chronic pollution by cadmium (Cd) from the Gironde watershed. An ecosystem approach was used to study the fate of cadmium in the different biological compartments. The median Cd concentration was 0.4 mu g g(-1) dry weight for the 63 benthic species measured. When combined with the respective biomasses for the different species studied, we estimated that 7 kg of Cd is partitioned into the soft tissues of the benthic species in the bay. The majority of this cadmium was distributed between primary producers, mainly microphytobenthos (40 %), and suspension-feeders, mainly oysters (40 %). All other benthic species measured were associated with negligible masses of Cd. Two trophic levels contained 98 % of the Cd: 3 kg was partitioned into primary producers (of which 77 % is associated with the microphytobenthos) and 3.2 kg of Cd was distributed among all suspension feeders. The carnivores, including scavengers, concentrated less than 0.2 kg of Cd, suggesting an absence of biomagnification of Cd in the trophic food web of the bay. The microphytobenthic compartment was estimated to control the largest quantity of Cd (ca. 188 kg yr(-1)), suggesting an important role for the microphytobenthos in the biogeochemical cycle of Cd in the bay. The quantities of Cd associated with annual biological production in other biological compartments were low: 2 kg yr(-1) for eelgrass which could represent a vector of Cd transfer to winter populations of Brent geese and 1.4 kg yr(-1) for all suspension feeders, principally the cultivated Pacific oysters (64 %) representing a vector of Cd transfer to humans. An ecosystem-wide budget for the quantities of Cd present in all the biological and physical compartments showed that the majority of Cd (1 t) is trapped in the upper 5 cm of the bay sediments, representing a potential risk for the oyster and shellfish cultivation in the bay.</t>
  </si>
  <si>
    <t>Univ La Rochelle, Lab Biol &amp; Environm Marins, CNRS, FRE 2727, F-17042 Nantes 01, France; IFREMER, CNRS, UMR10, CREMA, F-17137 Lhoumeau, France; IFREMER, LERPC, F-17390 La Tremblade, France</t>
  </si>
  <si>
    <t>Centre National de la Recherche Scientifique (CNRS); La Rochelle Universite; Centre National de la Recherche Scientifique (CNRS); Ifremer; Ifremer</t>
  </si>
  <si>
    <t>Univ La Rochelle, Lab Biol &amp; Environm Marins, CNRS, FRE 2727, Ave Michel Crepeau, F-17042 Nantes 01, France.</t>
  </si>
  <si>
    <t>jacques.pigeot@univ-lr.fr</t>
  </si>
  <si>
    <t>; Sauriau, Pierre-Guy/N-6307-2014</t>
  </si>
  <si>
    <t>Denis, Fichet/0000-0002-4913-8946; Sauriau, Pierre-Guy/0000-0002-5360-8728</t>
  </si>
  <si>
    <t>10.3354/meps307101</t>
  </si>
  <si>
    <t>018OW</t>
  </si>
  <si>
    <t>WOS:000235775700008</t>
  </si>
  <si>
    <t>El-Sikaily, A; Khaled, A; El Nemr, A</t>
  </si>
  <si>
    <t>Heavy metals monitoring using bivalves from Mediterranean Sea and Red Sea</t>
  </si>
  <si>
    <t>bivalves; Donax trunculus; heavy metals; Mediterranean Sea; Modiolus auriculatus; Red Sea</t>
  </si>
  <si>
    <t>TRACE-METALS; SOUTHERN SPAIN; ATLANTIC COAST; RATS; POLLUTION; MARINE; WATER; FISH; METALLOTHIONEIN; CONTAMINATION</t>
  </si>
  <si>
    <t>The concentrations of heavy metals (Cd, Co, Cu, Fe, Mn, Ni, Pd and Zn) were measured in the Bivalves (Modiolus auriculatus and Donax trunculus) collected from the Egyptian coasts of Mediterranean Sea and Brachiodonates sp. from the Egyptian coasts of Red Sea. The average concentrations of the heavy metals analyzed exhibited the following decreasing order: Fe &gt; Zn &gt; Cu &gt; Mn &gt; Ni &gt; Co &gt; Pb &gt; Cd for both Mediterranean Sea and Red Sea. The analyses of Cd, Co, Ni, Pb, and Zn showed higher average concentrations for samples collected from Red Sea than that collected from Mediterranean Sea, while Fe, Cu and Mn showed the reverse results. Fe was used as a normalizing agent for all studied metals and exhibited presence of two locations from each of Mediterranean Sea and Red Sea have anthropogenic inputs of heavy metals. These results suggest that the coastal area in both Mediterranean Sea and Red Sea of Egypt might be considered relatively unpolluted with heavy metal.</t>
  </si>
  <si>
    <t>Natl Inst Oceanog &amp; Fisheries, Environm Div, Alexandria, Egypt</t>
  </si>
  <si>
    <t>Egyptian Knowledge Bank (EKB); National Institute of Oceanography &amp; Fisheries (NIOF)</t>
  </si>
  <si>
    <t>Natl Inst Oceanog &amp; Fisheries, Environm Div, Alexandria, Egypt.</t>
  </si>
  <si>
    <t>ahmedmoustafaelnemr@yahoo.com</t>
  </si>
  <si>
    <t>Khaled, Azza/GRR-7957-2022; El Nemr, Ahmed/HGB-0635-2022</t>
  </si>
  <si>
    <t>El-Sikaily, Amany/0000-0001-8459-1431; Khaled, Azza/0000-0001-5524-9194; El Nemr, Ahmed/0000-0003-2373-5846</t>
  </si>
  <si>
    <t>10.1023/B:EMAS.0000038178.98985.5d</t>
  </si>
  <si>
    <t>847AM</t>
  </si>
  <si>
    <t>WOS:000223361000003</t>
  </si>
  <si>
    <t>Li, ML; Weis, D; Smith, KE; Shiel, AE; Smith, WD; Hunt, BPV; Torchinsky, A; Pakhomov, EA</t>
  </si>
  <si>
    <t>Li, Miling; Weis, Dominique; Smith, Kate E.; Shiel, Alyssa E.; Smith, Wade D.; Hunt, Brian P., V; Torchinsky, Abe; Pakhomov, Evgeny A.</t>
  </si>
  <si>
    <t>Assessing lead sources in fishes of the northeast Pacific Ocean</t>
  </si>
  <si>
    <t>ANTHROPOCENE</t>
  </si>
  <si>
    <t>Lead isotopes; Heavy metal; Fish; Marine ecosystem; Bioindicators</t>
  </si>
  <si>
    <t>ISOTOPIC COMPOSITIONS; INDUSTRIAL LEAD; ATMOSPHERIC LEAD; STABLE-ISOTOPES; WESTERN CANADA; PB ISOTOPES; POLLUTION; SEA; SR; BIOAVAILABILITY</t>
  </si>
  <si>
    <t>Industrial lead (Pb) emissions have changed oceanic Pb concentrations and isotopic compositions significantly over the last century. Asian industrial emissions are currently the dominant Pb sources in the northwest and central Pacific Ocean. This study investigated major Pb sources in the northeast Pacific Ocean (inland, coastal, and open ocean), where no comprehensive data exist currently. We measured Pb concentrations and isotopic compositions of a variety of shellfish and fish collected in British Columbia (BC) and used them for Pb source apportionment applications in the marine environment. We identified a clear trend in Pb isotopic compositions, from higher Pb-206/Pb-207 in inland fish to lower Pb-206/Pb-207 in open ocean fish, with coastal fish possessing mid-range values. These results indicate that natural sources of Pb dominate freshwater ecosystems in the central BC coast, whereas anthropogenic Pb sources prevail in western North America and the northeast Pacific. Pacific herring that forage along BC coast exhibit Pb isotopic composition that deviates toward the Chinese Pb regression line. We estimate an Asian origin for about one third of their total Pb. This study shows that Pb isotopes in aquatic organisms are valuable tools for assessing Pb sources across coastal and offshore regions of the northeast Pacific, with great potential for identifying primary foraging areas of marine organisms. (C) 2019 Elsevier Ltd. All rights reserved.</t>
  </si>
  <si>
    <t>[Li, Miling; Weis, Dominique; Smith, Kate E.; Shiel, Alyssa E.; Hunt, Brian P., V; Torchinsky, Abe; Pakhomov, Evgeny A.] Univ British Columbia, Dept Earth Ocean &amp; Atmospher Sci, Vancouver, BC, Canada; [Li, Miling; Weis, Dominique; Smith, Kate E.] Univ British Columbia, Pacific Ctr Isotop &amp; Geochem Res, Vancouver, BC, Canada; [Shiel, Alyssa E.] Oregon State Univ, Coll Earth Ocean &amp; Atmospher Sci, Corvallis, OR 97331 USA; [Smith, Wade D.; Hunt, Brian P., V; Pakhomov, Evgeny A.] Univ British Columbia, Inst Oceans &amp; Fisheries, Vancouver, BC, Canada; [Smith, Wade D.; Hunt, Brian P., V; Pakhomov, Evgeny A.] Hakai Inst, Heriot Bay, BC, Canada</t>
  </si>
  <si>
    <t>University of British Columbia; University of British Columbia; Oregon State University; University of British Columbia; Hakai Institute</t>
  </si>
  <si>
    <t>Li, ML (corresponding author), 306 EOS Main,2020-2207 Main Mall, Vancouver, BC V6T 1Z4, Canada.</t>
  </si>
  <si>
    <t>mli@eoas.ubc.ca</t>
  </si>
  <si>
    <t>Li, Miling/X-9823-2019; Weis, Dominique/Q-7658-2016</t>
  </si>
  <si>
    <t>Li, Mi-Ling/0000-0001-8574-2625; Smith, Kate/0000-0003-1666-7232</t>
  </si>
  <si>
    <t>Multidisciplinary Applied Geochemistry Network; Natural Sciences and Engineering Research Council of Canada; Monell foundation; Vetlesen foundation</t>
  </si>
  <si>
    <t>Multidisciplinary Applied Geochemistry Network; Natural Sciences and Engineering Research Council of Canada(Natural Sciences and Engineering Research Council of Canada (NSERC)CGIAR); Monell foundation; Vetlesen foundation</t>
  </si>
  <si>
    <t>M. Li's postdoctoral fellowship was provided by Multidisciplinary Applied Geochemistry Network. All chemical analyses were covered by D. Weis's Discovery Grant from Natural Sciences and Engineering Research Council of Canada. Collection of salmon samples in Rivers Inlet was supported by a grant from the Monell and Vetlesen foundations, and logistical support from the Wuikinuxv First Nation and the Hakai Institute. The authors thank Maureen Soon, Vivian Lai, Kathy Gordon, and Marghaleray Amini (Pacific Centre for Isotopic and Geochemical Research, Dept. of Earth, Ocean and Atmospheric Sciences, UBC) for their technical and analytical assistance. We also thank Alyssa Gehman (UBC, Hakai Institute) for collecting mussel samples and Patricia Schulte (Dept. of Zoology at UBC) for insightful discussions.</t>
  </si>
  <si>
    <t>2213-3054</t>
  </si>
  <si>
    <t>Anthropocene</t>
  </si>
  <si>
    <t>10.1016/j.ancene.2019.100234</t>
  </si>
  <si>
    <t>KU2YE</t>
  </si>
  <si>
    <t>WOS:000519573000001</t>
  </si>
  <si>
    <t>Bianchini, G; Di Giuseppe, D; Natali, C; Beccaluva, L</t>
  </si>
  <si>
    <t>Bianchini, Gianluca; Di Giuseppe, Dario; Natali, Claudio; Beccaluva, Luigi</t>
  </si>
  <si>
    <t>OPHIOLITE INHERITANCE IN THE PO PLAIN SEDIMENTS: INSIGHTS ON HEAVY METALS DISTRIBUTION AND RISK ASSESSMENT</t>
  </si>
  <si>
    <t>OFIOLITI</t>
  </si>
  <si>
    <t>ophiolite components; alluvial sediments; heavy metals; geochemical background; element speciation and mobility; Po Plain; Italy</t>
  </si>
  <si>
    <t>CHEMICAL-MINERALOGICAL CHARACTERIZATION; NORTHERN APENNINES; SOILS; PROVENANCE; FERRARA; SERPENTINITE; EVOLUTION; POLLUTION; DEPOSITS; CLIMATE</t>
  </si>
  <si>
    <t>High heavy metals backgrounds, in particular chromium and nickel, are renowned in soils and sediments of the Po Plain. New XRF data, synthetized in geo-referenced geochemical maps, emphasize that the anomalously high Cr-Ni backgrounds are related to the fine alluvial sediments of the Po River. A comparison with the regolith composition of ophiolite rocks cropping out within the Po River basin suggests that the observed geochemical features reflect sedimentary components deriving from the weathering of femic and ultrafemic rocks. The elevated Cr-Ni backgrounds are therefore a geogenic character of the Po River alluvial sediments, unrelated to anthropogenic contamination. Electron microprobe investigation focused on femic minerals highlights that nickel is mainly sequestrated in serpentine (up to 0.4 wt%) whereas chromium is mainly hosted in chlorite (up to 2.5 wt%). Extraction tests, in which leachates have been analysed by ICP-MS, reveal that the mobility of chromium is limited; coherently the natural water of the area usually display concentration lower than the national drinking standards. Unfortunately, this element is considered toxic and dangerous even at extremely low concentration if oxidized in the hexavalent form that is prevalent in supergene conditions, thus posing serious environmental concerns. Nickel, on the other hand, displays a higher mobility, possibly due to the metastable behaviour of serpentine. Coherently the Cr/Ni is always higher than one in the investigated sediments and soils, whereas is always lower than one in both the natural waters and agricultural products of the area. Therefore, the high nickel concentration represents further geochemical risk and the relative content has to be monitored in the local agricultural crops. For the same reasons, aquaculture activities such as mussels and clam farms developed in the lagoons widespread around the delta of Po River are also potentially exposed to nickel bio-accumulation and the related products have to be carefully monitored.</t>
  </si>
  <si>
    <t>[Bianchini, Gianluca; Di Giuseppe, Dario; Natali, Claudio; Beccaluva, Luigi] Univ Ferrara, Dipartimento Fis &amp; Sci Terra, I-44100 Ferrara, Italy; [Natali, Claudio] CNR Ist Geosci &amp; Georisorse, Rome, Italy</t>
  </si>
  <si>
    <t>University of Ferrara; Consiglio Nazionale delle Ricerche (CNR); Istituto di Geoscienze e Georisorse (IGG-CNR)</t>
  </si>
  <si>
    <t>Bianchini, G (corresponding author), Univ Ferrara, Dipartimento Fis &amp; Sci Terra, I-44100 Ferrara, Italy.</t>
  </si>
  <si>
    <t>bncglc@unife.it</t>
  </si>
  <si>
    <t>Di Giuseppe, Dario/AAH-8885-2019; Natali, Claudio/K-6995-2019</t>
  </si>
  <si>
    <t>Beccaluva, Luigi/0000-0002-7457-3579; Bianchini, Gianluca/0000-0002-5030-8068; DI GIUSEPPE, Dario/0000-0003-1726-4531; Natali, Claudio/0000-0001-7133-2369</t>
  </si>
  <si>
    <t>FIRENZE</t>
  </si>
  <si>
    <t>DIPARTIMENTO DI SCIENZE DELLA TERRA, UNIVERSITA DI FIRENZE, VIA G LA PIRA 4,, 50121 FIRENZE, ITALY</t>
  </si>
  <si>
    <t>0391-2612</t>
  </si>
  <si>
    <t>Ofioliti</t>
  </si>
  <si>
    <t>Geology</t>
  </si>
  <si>
    <t>178SJ</t>
  </si>
  <si>
    <t>WOS:000321467400002</t>
  </si>
  <si>
    <t>Heavy metal concentrations in marine molluscs from the Moroccan coastal region</t>
  </si>
  <si>
    <t>Atlantic coast; heavy metal; Molluscs; anthropogenic input; pollution</t>
  </si>
  <si>
    <t>MYTILUS-GALLOPROVINCIALIS; TRACE-METALS; MACOMA-BALTHICA; ATLANTIC COAST; SOFT-TISSUE; MUSSEL; CONTAMINATION; POLLUTION; EDULIS; TROSSULUS</t>
  </si>
  <si>
    <t>Mussels (Mytilus galloprovincialis), clams (Venerupis decussatus) and oysters (Crassostrea gigas) were sampled seasonally during 20042005, from different coastal environments of Morocco in order to measure their accumulated heavy metal concentrations. The concentrations of Hg and Pb were determined by AFS and ICP-MS methods, respectively, whilst the remaining metals (Cd, Cr, Cu, Mn, Zn and Ni) were quantified by AAS. The soft tissue concentrations of the mussels were on average 7.2 mg kg(-1) (U), 9.6 mg kg(-1) (Pb), 0.6 mg kg(-1) (Hg), 26.8 mg kg(-1) (Cu), 8.8 mg kg(-1) (Cr), 292 mg kg(-1) (Zn), 20.8 mg kg(-1) (Mn) and 32.8 mg kg(-1) (Ni). The highest tissue heavy metal concentrations were recorded in the south from the industrial area of Jorf Lasfar. The relationships between metal concentration and season in each species showed very similar annual profiles with a peak observed around spring-summer. Statistical analysis indicated that different species showed different bioaccumulation of metals depending on study site and season. (C) 2007 Elsevier Ltd. All rights reserved.</t>
  </si>
  <si>
    <t>Univ Nantes, CNRS, LETG, UMR 6554, F-44312 Nantes 3, France</t>
  </si>
  <si>
    <t>Maanan, M (corresponding author), Univ Nantes, CNRS, LETG, UMR 6554, BP 81227, F-44312 Nantes 3, France.</t>
  </si>
  <si>
    <t>mohamed.maanan@univ-nantes.fr</t>
  </si>
  <si>
    <t>10.1016/j.envpol.2007.07.024</t>
  </si>
  <si>
    <t>300JE</t>
  </si>
  <si>
    <t>WOS:000255819300021</t>
  </si>
  <si>
    <t>Muralidharan, S; Thompson, E; Raftos, D; Birch, G; Haynes, PA</t>
  </si>
  <si>
    <t>Muralidharan, Sridevi; Thompson, Emma; Raftos, David; Birch, Gavin; Haynes, Paul A.</t>
  </si>
  <si>
    <t>Quantitative proteomics of heavy metal stress responses in Sydney rock oysters</t>
  </si>
  <si>
    <t>PROTEOMICS</t>
  </si>
  <si>
    <t>Animal proteomics; Environmental stress response; Heavy metals; Label free shotgun proteomics; Oysters; Saccostrea glomerata</t>
  </si>
  <si>
    <t>CRASSOSTREA-GIGAS; ANTIOXIDANT ENZYMES; PACIFIC OYSTER; RUDITAPES-DECUSSATUS; FUNCTIONAL GENOMICS; LIPID-PEROXIDATION; EASTERN OYSTER; PORT-JACKSON; BLUE MUSSELS; EXPRESSION</t>
  </si>
  <si>
    <t>Currently, there are few predictive biomarkers in key biomonitoring species, such as oysters, that can detect heavy metal pollution in coastal waterways. Several attributes make oysters superior to other organisms for positive biomonitoring of heavy metal pollution. In particular, they are filter feeders with a high capacity for bioaccumulation. In this study, we used two proteomics approaches, namely label-free shotgun proteomics based on SDS-PAGE gel separation and gas phase fractionation, to investigate the heavy metal stress responses of Sydney rock oysters. Protein samples were prepared from haemolymph of oysters exposed to 100 mu g/L of PbCl2, CuCl2, or ZnCl2 for 4 days in closed aquaria. Peptides were identified using a Bivalvia protein sequence database, due to the unavailability of a complete oyster genome sequence. Statistical analysis revealed 56 potential biomarker proteins, as well as several protein biosynthetic pathways to be greatly impacted by metal stress. These have the potential to be incorporated into bioassays for prevention and monitoring of heavy metal pollution in Australian oyster beds. The study confirms that proteomic analysis of biomonitoring species is a promising approach for assessing the effects of environmental pollution, and our experiments have provided insights into the molecular mechanisms underlying oyster stress responses.</t>
  </si>
  <si>
    <t>[Muralidharan, Sridevi; Haynes, Paul A.] Macquarie Univ, Dept Chem &amp; Biomol Sci, N Ryde, NSW 2109, Australia; [Thompson, Emma; Raftos, David] Macquarie Univ, Dept Biol Sci, N Ryde, NSW 2109, Australia; [Birch, Gavin] Univ Sydney, Sch Geosci, Sydney, NSW 2006, Australia</t>
  </si>
  <si>
    <t>Macquarie University; Macquarie University; University of Sydney</t>
  </si>
  <si>
    <t>Haynes, PA (corresponding author), Macquarie Univ, Dept Chem &amp; Biomol Sci, N Ryde, NSW 2109, Australia.</t>
  </si>
  <si>
    <t>paul.haynes@mq.edu.au</t>
  </si>
  <si>
    <t>Haynes, Paul/0000-0003-1472-8249; Thompson, Emma/0000-0003-0850-0547</t>
  </si>
  <si>
    <t>Macquarie University; Australian Research Council</t>
  </si>
  <si>
    <t>Macquarie University; Australian Research Council(Australian Research Council)</t>
  </si>
  <si>
    <t>S.M. acknowledges support from Macquarie University in the form of a MQRES scholarship. P. A. H., G. B., and D. R. acknowledge financial support from the Australian Research Council. P. A. H. wishes to thank Simon Gilbert for continued support and encouragement.</t>
  </si>
  <si>
    <t>1615-9853</t>
  </si>
  <si>
    <t>1615-9861</t>
  </si>
  <si>
    <t>Proteomics</t>
  </si>
  <si>
    <t>10.1002/pmic.201100417</t>
  </si>
  <si>
    <t>Biochemical Research Methods; Biochemistry &amp; Molecular Biology</t>
  </si>
  <si>
    <t>931PW</t>
  </si>
  <si>
    <t>WOS:000303232800016</t>
  </si>
  <si>
    <t>Belabed, BE; Laffray, X; Dhib, A; Fertouna-Belakhal, M; Turki, S; Aleya, L</t>
  </si>
  <si>
    <t>Belabed, Bourhane-Eddine; Laffray, Xavier; Dhib, Amel; Fertouna-Belakhal, Mouna; Turki, Souad; Aleya, Lotfi</t>
  </si>
  <si>
    <t>Factors contributing to heavy metal accumulation in sediments and in the intertidal mussel Perna perna in the Gulf of Annaba (Algeria)</t>
  </si>
  <si>
    <t>Mussels; Perna perna; Heavy metals; Sediment; Annaba Gulf; Algeria</t>
  </si>
  <si>
    <t>TRACE-METALS; MYTILUS-EDULIS; SEASONAL-VARIATION; MARICULTURE ZONES; DONAX-TRUNCULUS; ATLANTIC COAST; BLUE MUSSEL; SOFT-TISSUE; CADMIUM; POLLUTION</t>
  </si>
  <si>
    <t>This paper presents the results of a seasonal survey of heavy metals accumulated in sediments and in the soft parts of the body of the mussel Perna perna at four stations in the Gulf of Annaba (Algeria). Pooled soft tissues from 10 mussels representing the entire range of sizes were digested in nitric acid. Statistical analysis reveals a significant seasonal effect on all the measured metals, the highest values being recorded in winter. With the exception of Cr, the levels for all metals were significantly higher in the east, at the outlet of the Seybouse River, than at all other monitoring stations. The study also shows that north-western waters are subject to a significantly lower degree of heavy metal pollution than elsewhere in the gulf. Levels were nevertheless within the limits of public health standards. The results confirm the usefulness of P. perna as a bioindicator for heavy metal pollution. (C) 2013 Elsevier Ltd. All rights reserved.</t>
  </si>
  <si>
    <t>[Laffray, Xavier; Aleya, Lotfi] Univ Franche Comte, UMR CNRS 6249, Lab Chronoenvironm, F-25030 Besancon, France; [Dhib, Amel; Turki, Souad] Inst Natl Sci &amp; Technol Mer INSTM, La Goulette Port De Pech 2060, Tunisia; [Fertouna-Belakhal, Mouna] Inst Fisheries &amp; Aquaculture, Errimel 7080, Bizerta, Tunisia</t>
  </si>
  <si>
    <t>Universite de Franche-Comte; Institut National des Sciences et Technologies de la Mer</t>
  </si>
  <si>
    <t>Aleya, L (corresponding author), Univ Franche Comte, UMR CNRS 6249, Lab Chronoenvironm, 1 Pl Leclerc, F-25030 Besancon, France.</t>
  </si>
  <si>
    <t>lotfi.aleya@univ-fcomte.fr</t>
  </si>
  <si>
    <t>10.1016/j.marpolbul.2013.06.004</t>
  </si>
  <si>
    <t>242BE</t>
  </si>
  <si>
    <t>WOS:000326211600072</t>
  </si>
  <si>
    <t>Ladhar-Chaabouni, R; Machreki-Ajmi, M; Serpentini, A; Lebel, JM; Hamza-Chaffai, A</t>
  </si>
  <si>
    <t>Ladhar-Chaabouni, Rim; Machreki-Ajmi, Monia; Serpentini, Antoine; Lebel, Jean-Marc; Hamza-Chaffai, Amel</t>
  </si>
  <si>
    <t>Does a short-term exposure to cadmium chloride affects haemocyte parameters of the marine gastropod Haliotis tuberculata?</t>
  </si>
  <si>
    <t>Haemocytes; Immune parameters; Haliotis tuberculata; Cadmium chloride</t>
  </si>
  <si>
    <t>IN-VITRO EXPOSURE; MYTILUS-GALLOPROVINCIALIS; TAPES-PHILIPPINARUM; CONTAMINATED SITES; DIGESTIVE CELLS; HEAVY-METALS; RESPONSES; ABALONE; MUSSELS; COPPER</t>
  </si>
  <si>
    <t>In this study, a model based on primary cultured haemocytes from the gastropod mollusc Haliotis tuberculata was established to investigate the effects of cadmium chloride in vitro. Cells were exposed for 24 h to CdCl2 concentrations of 0, 1 and 100 mu g ml(-1). The effects of cadmium on haemocyte parameters were investigated using morphological, spectrophotometric and flow cytometry analysis. Results showed that cadmium has no significant effects on cell viability and phagocytotic activity under the tested conditions. However, haemocytes became more rounded after cadmium exposure, which could explain the significant decrease of cell area beginning at 1 mu g ml(-1) of CdCl2.</t>
  </si>
  <si>
    <t>[Ladhar-Chaabouni, Rim; Machreki-Ajmi, Monia; Hamza-Chaffai, Amel] IPEIS, Marine Ecotoxicol, UR 09 03, Sfax 3018, Tunisia; [Serpentini, Antoine; Lebel, Jean-Marc] Normandie Univ, F-14032 Caen, France; [Serpentini, Antoine; Lebel, Jean-Marc] Univ Caen Basse Normandie, SFR ICORE, FRE BioMEA 3484, CNRS INEE, F-14032 Caen, France</t>
  </si>
  <si>
    <t>Universite de Sfax; Centre National de la Recherche Scientifique (CNRS); CNRS - Institute of Ecology &amp; Environment (INEE); Universite de Caen Normandie</t>
  </si>
  <si>
    <t>Ladhar-Chaabouni, R (corresponding author), IPEIS, Marine Ecotoxicol, UR 09 03, BP 805, Sfax 3018, Tunisia.</t>
  </si>
  <si>
    <t>rladhar@yahoo.fr</t>
  </si>
  <si>
    <t>Ladhar-Chaabouni, Rim/0000-0002-6554-3941; AMEL, HAMZA-CHAFFAI/0000-0002-6210-7837</t>
  </si>
  <si>
    <t>GENERA-IRSES [247, 559]; Interreg [247] Funding Source: Interreg</t>
  </si>
  <si>
    <t>GENERA-IRSES; Interreg(Interreg Europe)</t>
  </si>
  <si>
    <t>This work was financed by GENERA-IRSES 247,559.</t>
  </si>
  <si>
    <t>10.1007/s11356-014-3387-5</t>
  </si>
  <si>
    <t>CX0YJ</t>
  </si>
  <si>
    <t>WOS:000365423100008</t>
  </si>
  <si>
    <t>HOARE, K; BEAUMONT, AR; DAVENPORT, J</t>
  </si>
  <si>
    <t>VARIATION AMONG POPULATIONS IN THE RESISTANCE OF MYTILUS-EDULIS EMBRYOS TO COPPER - ADAPTATION TO POLLUTION</t>
  </si>
  <si>
    <t>EMBRYOS; MUSSELS; COPPER; POLLUTION; ADAPTATION; THE NETHERLANDS; UNITED KINGDOM; MYTILUS EDULIS</t>
  </si>
  <si>
    <t>HEAVY-METALS; MUSSELS; ESTUARIES; LARVAE; GROWTH; SEA; PURIFICATION; CADMIUM; PROTEIN; LEAD</t>
  </si>
  <si>
    <t>The effects of copper on embryo development were found to differ between populations of the mussel Mytilus edulis L. (Mollusca: Bivalvia). Concentrations of copper which caused significantly increased rates of abnormality, and thus decreased yields of normal larvae, in populations from an unpolluted site (Menai Straits, Wales, UK) and to a lesser extent in an intermediately polluted site (Oosterschelde, The Netherlands) did not affect development of embryos from a polluted-site (Westerschelde, The Netherlands) population. Crosses indicated that tolerance was mostly maternally determined, but there is also evidence of a paternal, i.e. genetic, effect. An appreciable quantity of background, non-treatment, embryo abnormality appeared to be sperm-mediated.</t>
  </si>
  <si>
    <t>UNIV WALES, SCH OCEAN SCI, MENAI BRIDGE LL57 5EY, GWYNEDD, WALES</t>
  </si>
  <si>
    <t>10.3354/meps120155</t>
  </si>
  <si>
    <t>QY537</t>
  </si>
  <si>
    <t>WOS:A1995QY53700014</t>
  </si>
  <si>
    <t>Barus, BS; Cheuch, CY; Cheng, SY</t>
  </si>
  <si>
    <t>Barus, Beta Susanto; Cheuch, Chih-Yang; Cheng, Sha-Yen</t>
  </si>
  <si>
    <t>MICROPLASTICS AS A VECTOR FOR HEAVY METALS IN HARD CLAM Meretrix lusoria UNDER VARIOUS SALINITIES</t>
  </si>
  <si>
    <t>heavy metal; Meretrix lusoria; microplastics; salinity</t>
  </si>
  <si>
    <t>TRACE-METALS; MARINE; PELLETS; BIOACCUMULATION; TEMPERATURE; ADSORPTION; SPECIATION; JUVENILES; BIVALVES; SORPTION</t>
  </si>
  <si>
    <t>Microplastics (MPs) and heavy metals have been reported to interact in freshwater and seawater. The level of contamination in organisms can be impacted by the interaction between the two. Meretrix lusoria, a type of hard clam, is an osmoconformer. The role of MPs particles as carriers of Pb heavy metal pollution in hard clams under various treatments and salinities is investigated in this study. The particle type of MPs plays an important role in determining the level of increase in the heavy metal Pb in hard clams. PP particles cause a higher increase in Pb concentration than other particles. Additionally, the concentration of the heavy metal Pb increases with water salinity. MPs particles accumulated more in the clams placed at 30% salinity than the other two lower salinities. Our findings show that MPs particles can act as Pb vectors in Meretrix lusoria under various conditions and salinities.</t>
  </si>
  <si>
    <t>[Barus, Beta Susanto; Cheuch, Chih-Yang; Cheng, Sha-Yen] Natl Taiwan Ocean Univ, Dept Environm Biol &amp; Fisheries Sci, Keelung 20224, Taiwan; [Barus, Beta Susanto] Sriwijaya Univ, Fac Math &amp; Nat Sci, Dept Marine Sci, Indralaya 30662, Indonesia</t>
  </si>
  <si>
    <t>National Taiwan Ocean University; Universitas Sriwijaya</t>
  </si>
  <si>
    <t>Cheng, SY (corresponding author), Natl Taiwan Ocean Univ, Dept Environm Biol &amp; Fisheries Sci, Keelung 20224, Taiwan.</t>
  </si>
  <si>
    <t>eric@mail.ntou.edu.tw</t>
  </si>
  <si>
    <t>Barus, Beta Susanto/D-2439-2016</t>
  </si>
  <si>
    <t>10.30638/eemj.2023.028</t>
  </si>
  <si>
    <t>I6XK5</t>
  </si>
  <si>
    <t>WOS:001004192800013</t>
  </si>
  <si>
    <t>Ramsak, A; Scancar, J; Horvat, M</t>
  </si>
  <si>
    <t>Ramsak, Andreja; Scancar, Janez; Horvat, Milena</t>
  </si>
  <si>
    <t>Evaluation of Metallothioneins in Blue Mussels (Mytilus galloprovincialis) as a Biomarker of Mercury and Cadmium Exposure in the Slovenian waters (Gulf of Trieste): A Long-term Field Study</t>
  </si>
  <si>
    <t>ACTA ADRIATICA</t>
  </si>
  <si>
    <t>metallothioneins; metals; Mytilus galloprovincialis; biomonitoring; field study; north Adriatic</t>
  </si>
  <si>
    <t>LYSOSOMAL MEMBRANE STABILITY; DIGESTIVE GLAND-CELLS; METAL; ACCUMULATION; POLLUTION; CONTAMINATION; HYDROCARBONS; LAM.; GILL</t>
  </si>
  <si>
    <t>In order to assess the spatial distribution and temporal trends of pollution with metals in the coastal sea of Slovenia, the level of metallothioneins (MT) was determined in blue mussels from three sampling locations, twice per year for a period of 10 years. MT concentrations ranged from 45 to 163 mu g g(-1) w.w. in March, and from 46 to 144 mu g g(-1) w.w. in the September sampling. The metals content was determined in whole mussel tissue once per year at two stations. The cadmium (Cd) concentration was in the range from 0.50 to 1.11 mg kg(-1), while the concentration of mercury (Hg) was in the range from 0.70 to 0.237 mg kg(-1). Results revealed no significant seasonal differences or differences between sampling sites in MT content, as well as variations in the content of Cd and Hg in mussels' tissue during the examined period. The MT and metal content in mussels are not well correlated and other factors may have caused the fluctuations observed in MT content between years. This supports the notion that biomonitoring data have to be interpreted cautiously, taking into account various other factors that may influence MT induction.</t>
  </si>
  <si>
    <t>[Ramsak, Andreja] Natl Inst Biol, Marine Biol Stn, SI-6330 Piran, Slovenia; [Scancar, Janez; Horvat, Milena] Jozef Stefan Inst, Dept Environm Sci, SI-1000 Ljubljana, Slovenia</t>
  </si>
  <si>
    <t>National Institute of Biology - Slovenia; Slovenian Academy of Sciences &amp; Arts (SASA); Jozef Stefan Institute</t>
  </si>
  <si>
    <t>Ramsak, A (corresponding author), Natl Inst Biol, Marine Biol Stn, Fornace 41, SI-6330 Piran, Slovenia.</t>
  </si>
  <si>
    <t>andreja.ramsak@nib.si</t>
  </si>
  <si>
    <t>scancar, janez/G-6191-2018</t>
  </si>
  <si>
    <t>scancar, janez/0000-0002-8018-1715; Ramsak, Andreja/0000-0003-1961-5120</t>
  </si>
  <si>
    <t>UNEP MED POL programme; National Monitoring Programme of Slovenia: Programme for the Assessment and Control of Pollution (Environmental Agency of the Republic of Slovenia)</t>
  </si>
  <si>
    <t>Research was funded in part by the UNEP MED POL programme and the National Monitoring Programme of Slovenia: Programme for the Assessment and Control of Pollution (Environmental Agency of the Republic of Slovenia). A heartfelt thank you is given to M. Tusek ZNIDARIC who helped in the determination of MT in 2000, Ms. V. FAJON for the analysis of Hg in blue mussels, and to Mr. M. SISKO for statistical analyses.</t>
  </si>
  <si>
    <t>INST OCEANOGRAFIJU I RIBARSTVO</t>
  </si>
  <si>
    <t>SPLIT</t>
  </si>
  <si>
    <t>SETALISTE I MESTROVICA 63, SPLIT, 21000, CROATIA</t>
  </si>
  <si>
    <t>0001-5113</t>
  </si>
  <si>
    <t>1846-0453</t>
  </si>
  <si>
    <t>ACTA ADRIAT</t>
  </si>
  <si>
    <t>Acta Adriat.</t>
  </si>
  <si>
    <t>995LC</t>
  </si>
  <si>
    <t>WOS:000308008600005</t>
  </si>
  <si>
    <t>Buzzi, NS; Marcovecchio, JE</t>
  </si>
  <si>
    <t>Buzzi, N. S.; Marcovecchio, J. E.</t>
  </si>
  <si>
    <t>Heavy metal concentrations in sediments and in mussels from Argentinean coastal environments, South America</t>
  </si>
  <si>
    <t>ENVIRONMENTAL EARTH SCIENCES</t>
  </si>
  <si>
    <t>Heavy metals; Coastal areas; Mussels; Sediments; Quality guidelines</t>
  </si>
  <si>
    <t>BAHIA BLANCA ESTUARY; MYTILUS-GALLOPROVINCIALIS; TRACE-METALS; BRACHIDONTES-RODRIGUEZII; PERNA-VIRIDIS; QUALITY GUIDELINES; BIVALVE MOLLUSKS; CONDITION INDEX; ATLANTIC COAST; SOFT-TISSUE</t>
  </si>
  <si>
    <t>Among environmental contaminants, heavy metals are currently considered to be some of the most toxic ones present worldwide due to their harmful effects on organisms and ability to bioaccumulate in aquatic systems. In this work, the concentration of heavy metals (Cd, Cu, Pb, Zn, Ni and Cr) in Brachidontes rodriguezii and in the fine sediments of several coastal sites at the southwest of Buenos Aires Province, Argentina is analyzed. The Bahia Blanca Estuary and Pehuen-Co beach are located in a highly complex oceanographic and ecological regional system, which creates the basis of one of the most valuable Argentinean habitats for fishing commercial species. An assessment, which involved analyzing distribution pattern of trace metals, comparative studies with sediment and ecological quality guidelines; and a sequential and integrated index analyses approach (containing Metal Pollution Index, Biosediment Accumulation Factor, Geo-accumulation Index (Igeo), Pollution Load Index and the mean Probable Effect Level quotients), was followed to estimate enrichment and risks of heavy metals in the sediments and in the mussels from these study areas. The results showed higher concentrations of some heavy metals (e.g., Cd, Cr and Ni) in mussels collected at Pehuen-Co, while no spatial differences in sediments were observed. According to the international environmental regulations, mean values of trace metals in mussels allowed to place both sites between unpolluted and moderately polluted and between the low and medium category of pollution. Furthermore, the mean concentrations found were within the detected ranges in other coastal sites worldwide.</t>
  </si>
  <si>
    <t>[Buzzi, N. S.; Marcovecchio, J. E.] Univ Nacl Sur, CONICET, Inst Argentino Oceanog IADO, Camino La Carrindanga Km 7,Edificio E1,CC 804, RA-8000 Bahia Blanca, Buenos Aires, Argentina; [Buzzi, N. S.] Univ Nacl Sur, Dept Biol Bioquim &amp; Farm, San Juan 670, RA-8000 Bahia Blanca, Buenos Aires, Argentina; [Marcovecchio, J. E.] Univ Tecnol Nacl FRBB, 11 Abril 445, RA-8000 Bahia Blanca, Buenos Aires, Argentina; [Marcovecchio, J. E.] Univ FASTA, Gascon 3151, RA-7600 Mar Del Plata, Buenos Aires, Argentina</t>
  </si>
  <si>
    <t>Consejo Nacional de Investigaciones Cientificas y Tecnicas (CONICET); National University of the South; National University of the South</t>
  </si>
  <si>
    <t>Buzzi, NS (corresponding author), Univ Nacl Sur, CONICET, Inst Argentino Oceanog IADO, Camino La Carrindanga Km 7,Edificio E1,CC 804, RA-8000 Bahia Blanca, Buenos Aires, Argentina.;Buzzi, NS (corresponding author), Univ Nacl Sur, Dept Biol Bioquim &amp; Farm, San Juan 670, RA-8000 Bahia Blanca, Buenos Aires, Argentina.</t>
  </si>
  <si>
    <t>nbuzzi@criba.edu.ar; jorgemar@iado-conicet.gob.ar</t>
  </si>
  <si>
    <t>Marcovecchio, Jorge/AAQ-3365-2020</t>
  </si>
  <si>
    <t>Buzzi, Natalia Sol/0000-0002-5179-0634</t>
  </si>
  <si>
    <t>National Council of Scientific and Technological Research (CONICET-Argentina) [PIP D-738 2011]; National Agency for Promotion of Science and Technology-ANCPCyT [PICT 2012-1383]</t>
  </si>
  <si>
    <t>National Council of Scientific and Technological Research (CONICET-Argentina)(Consejo Nacional de Investigaciones Cientificas y Tecnicas (CONICET)); National Agency for Promotion of Science and Technology-ANCPCyT</t>
  </si>
  <si>
    <t>We thank W. Melo for providing the map and collaborating with figures elaboration, to A.L. Oliva, P. Quintas and M. Orazi for assistance in the field and sample processing. We thank the IADO executive directors, the staff of IADO IV research vessel for the logistic and cooperation on board and the Chemical Oceanography Area's staff. This work was supported by research grants by National Council of Scientific and Technological Research (CONICET-Argentina) (PIP D-738 2011) and National Agency for Promotion of Science and Technology-ANCPCyT (PICT 2012-1383).</t>
  </si>
  <si>
    <t>1866-6280</t>
  </si>
  <si>
    <t>1866-6299</t>
  </si>
  <si>
    <t>ENVIRON EARTH SCI</t>
  </si>
  <si>
    <t>Environ. Earth Sci.</t>
  </si>
  <si>
    <t>10.1007/s12665-018-7496-1</t>
  </si>
  <si>
    <t>Environmental Sciences; Geosciences, Multidisciplinary; Water Resources</t>
  </si>
  <si>
    <t>Environmental Sciences &amp; Ecology; Geology; Water Resources</t>
  </si>
  <si>
    <t>GE3IM</t>
  </si>
  <si>
    <t>WOS:000431107000022</t>
  </si>
  <si>
    <t>Lopez, LK; Couture, P; Maher, WA; Krikowa, F; Jolley, DF; Davis, AR</t>
  </si>
  <si>
    <t>Lopez, L. K.; Couture, P.; Maher, W. A.; Krikowa, F.; Jolley, D. F.; Davis, A. R.</t>
  </si>
  <si>
    <t>Response of the hairy mussel Trichomya hirsuta to sediment-metal contamination in the presence of a bioturbator</t>
  </si>
  <si>
    <t>Bivalve; Gastropod; Metal gradient; Cadmium; Zinc; Lead</t>
  </si>
  <si>
    <t>EXPOSURE-DOSE-RESPONSE; NEW-SOUTH-WALES; ANADARA-TRAPEZIA; TRACE-METALS; LAKE MACQUARIE; HEAVY-METALS; MICROWAVE DIGESTION; MARINE-ENVIRONMENT; SURFACE SEDIMENTS; SPIKED SEDIMENTS</t>
  </si>
  <si>
    <t>The accumulation of metals in tissue compartments of bivalve biomonitors is expected to reflect the phases in which metals are most bioavailable. In concurrent field and laboratory experiments we measured Zn, Cd and Pb concentrations in the gills and digestive glands of mussels exposed to sediments from Lake Macquarie in NSW, Australia. Mussels in the laboratory were also exposed to the bioturbating gastropod Batillaria australis. Zn, Cd and Pb concentrations in gills and digestive glands of mussels from both experiments were accumulated in proportion with levels of metal contamination in the sediments. An interaction in the field between site and tissue type was found for Cd and Pb suggesting variation in the phases in which metals are most bioavailable. No effect of bioturbation on metal accumulation in the bivalve was detected and we conclude that it is unlikely to be a significant factor in metal uptake when these species interact. (C) 2014 Elsevier Ltd. All rights reserved.</t>
  </si>
  <si>
    <t>[Lopez, L. K.; Davis, A. R.] Univ Wollongong, Sch Biol Sci, Wollongong, NSW 2522, Australia; [Couture, P.] INRS Ctr Eau Terre Environm, Inst Natl Rech Sci, Quebec City, PQ G1K 9A9, Canada; [Maher, W. A.; Krikowa, F.] Univ Canberra, Inst Appl Ecol Hlth Design &amp; Sci, Ecochem Lab, Bruce, ACT 2601, Australia; [Jolley, D. F.] Univ Wollongong, Sch Chem, Wollongong, NSW 2522, Australia</t>
  </si>
  <si>
    <t>University of Wollongong; University of Quebec; Institut national de la recherche scientifique (INRS); University of Canberra; University of Wollongong</t>
  </si>
  <si>
    <t>Lopez, LK (corresponding author), Univ Wollongong, Sch Biol Sci, Wollongong, NSW 2522, Australia.</t>
  </si>
  <si>
    <t>Davis, Andy/H-3607-2011; Couture, Patrice/HSE-9805-2023; Jolley, Dianne/D-1597-2009</t>
  </si>
  <si>
    <t>Krikowa, Frank/0000-0002-2511-9548; Couture, Patrice/0000-0002-1944-5136; Jolley, Dianne/0000-0003-1028-1603; Davis, Andrew/0000-0002-8146-7424</t>
  </si>
  <si>
    <t>Institute for Conservation Biology and Environmental Management</t>
  </si>
  <si>
    <t>The work was supported by the Institute for Conservation Biology and Environmental Management. The authors thank Allison Broad, Tyler Wilson, Emily Messer and Axton Aguilar for their assistance in the field and laboratory. We also wish to thank an anonymous reviewer for improving an earlier draft. This represents contribution number 311 for the Ecology and Genetics group at the University of Wollongong.</t>
  </si>
  <si>
    <t>10.1016/j.marpolbul.2014.09.008</t>
  </si>
  <si>
    <t>AU3CG</t>
  </si>
  <si>
    <t>WOS:000345489800033</t>
  </si>
  <si>
    <t>Al-Kahtany, K; Al-Hashim, MH; El-Sorogy, AS</t>
  </si>
  <si>
    <t>Al-Kahtany, Khaled; Al-Hashim, Mansour H.; El-Sorogy, Abdelbaset S.</t>
  </si>
  <si>
    <t>Heavy metal(loid)s contamination and ecological-health risk assessment of coastal sediment from Salwa Bay, Saudi Arabia</t>
  </si>
  <si>
    <t>ARABIAN JOURNAL OF CHEMISTRY</t>
  </si>
  <si>
    <t>Arsenic; Chromium; Lead; Zink; Cupper; Coastal sediment</t>
  </si>
  <si>
    <t>RED-SEA COAST; METAL CONTAMINATION; INTERTIDAL GASTROPOD; BIVALVE SHELLS; URBAN SOILS; GULF; MARINE; POLLUTION; ELEMENTS; ENVIRONMENT</t>
  </si>
  <si>
    <t>Salwa Bay is an elongated, narrow bay which extends southwards from the Gulf of Bahrain down to the Saudi-Qatari border, separating the peninsula of Qatar from Saudi Arabia. The present study aims to investigate the degree of heavy metal(loid)s (HMs) contamination and the associated health risks in surface sediments of the Salwa Bay, Saudi Arabia. Thirty samples were collected for analysis of Ni, Cu, Cr, Pb, Zn, and As using inductively coupled plasma-atomic emission spectrometry (ICP-AES). Several contamination and health risk indices, and multivariate analysis were applied. The following order was detected for average concentrations of metal(loid)s (mu g/g dry weight): Cr (5.56) &gt; Zn (4.63) &gt; Ni (4.43) &gt; As (2.34) &gt; Pb (1.66) &gt; Cu (1.51). The coastal sediments exhibit a significant enrichment in As, moderate enrichment in Pb, Zn, Cr, and deficiency to minimal enrichment for Ni, and Cu. Sediment quality guidelines indicated that HMs do not pose a risk to the benthic communities in Salwa Bay area. The average hazard index values ranged from 0.00002 to 0.0038 in adults and from 0.0002 to 0.0353 in children. This suggests that there is no significant possibility of non-carcinogenic effects to the people inhabiting the coastline of Salwa Bay. The results of the excess lifetime cancer risk (ELCR) for As, Cr, and Pb were below 1 x 10(-4), indicating no carcinogenic health risk except for a few sediment samples showing elevated levels of Cr and As.</t>
  </si>
  <si>
    <t>[Al-Kahtany, Khaled; Al-Hashim, Mansour H.; El-Sorogy, Abdelbaset S.] King Saud Univ, Coll Sci, Geol &amp; Geophys Dept, POB 2455, Riyadh 11451, Saudi Arabia</t>
  </si>
  <si>
    <t>King Saud University</t>
  </si>
  <si>
    <t>El-Sorogy, AS (corresponding author), King Saud Univ, Coll Sci, Geol &amp; Geophys Dept, POB 2455, Riyadh 11451, Saudi Arabia.</t>
  </si>
  <si>
    <t>asmohamed@ksu.edu.sa</t>
  </si>
  <si>
    <t>El-Sorogy, Abdelbaset/0000-0003-0283-1433</t>
  </si>
  <si>
    <t>King Saud University, Riyadh, Saudi Arabia [RSP2024R139]</t>
  </si>
  <si>
    <t>King Saud University, Riyadh, Saudi Arabia(King Saud University)</t>
  </si>
  <si>
    <t>The authors extend their appreciation to Researchers Supporting Project number (RSP2024R139) , King Saud University, Riyadh, Saudi Arabia.</t>
  </si>
  <si>
    <t>1878-5352</t>
  </si>
  <si>
    <t>1878-5379</t>
  </si>
  <si>
    <t>ARAB J CHEM</t>
  </si>
  <si>
    <t>Arab. J. Chem.</t>
  </si>
  <si>
    <t>10.1016/j.arabjc.2024.105868</t>
  </si>
  <si>
    <t>JUN 2024</t>
  </si>
  <si>
    <t>XG5C6</t>
  </si>
  <si>
    <t>WOS:001260533200001</t>
  </si>
  <si>
    <t>Khristoforova, NK; Chernova, EN; Selin, NI</t>
  </si>
  <si>
    <t>Changes of metal concentrations in soft tissues of Tridacnas with the age of the mollusks</t>
  </si>
  <si>
    <t>MYTILUS; SIZE; ZOOXANTHELLAE; POLLUTION; CADMIUM; ISLANDS; WATERS</t>
  </si>
  <si>
    <t>The contents of metals in the individuals of the Tridacna crocea bivalve of various sizes and ages from the open pan of the South China Sea were studied. It was shown that with the growth of the tridacnas, the concentrations of iron, copper, zinc, and chromium in their soft tissues decrease, while that of nickel increases. The concentrations of manganese, cadmium, and lead are subjected to pronounced variations, with their average values being invariable during the ontogenesis. The growth of the nickel concentration in the bivalve tissues and the variations of the levels of manganese and cadmium contents are supposed to be related to the activity of zooxanthellae-symbiont algae of tridacnas-and to their contribution to the contents of metals in the tissues of the host organism.</t>
  </si>
  <si>
    <t>Russian Acad Sci, Far E Div, Pacific Inst Geog, Vladivostok 690022, Russia; Russian Acad Sci, Far E Div, Inst Marine Biol, Vladivostok 690022, Russia</t>
  </si>
  <si>
    <t>Russian Acad Sci, Far E Div, Pacific Inst Geog, Vladivostok 690022, Russia.</t>
  </si>
  <si>
    <t>Khristoforova, Nadezhda/J-3500-2013; Chernova, Elena/F-3773-2014</t>
  </si>
  <si>
    <t>Khristoforova, Nadezhda/0000-0002-9559-8660; Chernova, Elena/0000-0003-4200-6278</t>
  </si>
  <si>
    <t>PLEIADES PUBLISHING INC</t>
  </si>
  <si>
    <t>PLEIADES HOUSE, 7 W 54 ST, NEW YORK, NY, UNITED STATES</t>
  </si>
  <si>
    <t>592PA</t>
  </si>
  <si>
    <t>WOS:000177945000010</t>
  </si>
  <si>
    <t>Wang, Q; Wang, XM; Wang, XY; Yang, HS; Liu, BZ</t>
  </si>
  <si>
    <t>Wang, Qing; Wang, Xiaomei; Wang, Xiaoyu; Yang, Hongsheng; Liu, Baozhong</t>
  </si>
  <si>
    <t>Analysis of metallotionein expression and antioxidant enzyme activities in Meretrix meretrix larvae under sublethal cadmium exposure</t>
  </si>
  <si>
    <t>Metallothionein; Cadmium; Larvae; Antioxidant enzyme; Bivalve; Meretrix meretrix</t>
  </si>
  <si>
    <t>HEAVY-METAL POLLUTION; MYTILUS-GALLOPROVINCIALIS; CRASSOSTREA-VIRGINICA; OXIDATIVE STRESS; MESSENGER-RNA; METALLOTHIONEIN EXPRESSION; AMERICAN OYSTER; DIGESTIVE GLAND; PACIFIC OYSTER; MUSSEL</t>
  </si>
  <si>
    <t>To investigate the possible role of metallothioneins (MTs) and antioxidant enzymes in cadmium (Cd) tolerance in Meretrix meretrix larvae, a new MT (designated MmMT) gene was identified and cloned from M. meretrix. The full-length cDNA of MmMT consisted of an open reading frame (ORF) of 231 bp encoding a protein of 76 amino acids, with 21 cysteine residues and a conserved structural pattern Cys-x-Cys-x(3)-Cys-Tyr-Gly-x(3)-Cys-x-Cys-x(3)-CYs-x-Cys-Lys at the C-terminus. The deduced amino acid sequence of MmMT showed about 57-84% identity with previously published MT sequences of mussels and oysters. Real-time PCR was used to analyze the expression level of MmMT mRNA at different M. meretrix larval stages under Cd exposure (25 mu g L-1). Results showed that Cd could induce the expression of MmMT mRNA in the larvae, and the expression level increased 5.04-fold and 3.99-fold in D-shaped larvae and pediveligers, respectively. Immunolocalization of MmMT in the stressed larvae revealed that MmMT was synthesized in almost all of the soft parts at the trochophore and postlarva stages, whereas it was only synthesized in the velum and epidermis at the D-shaped larva and pediveliger stages. The activities of three antioxidant enzymes, superoxide dismutase (SOD), catalase (CAT), and glutathione peroxidase (GPx), also were measured in larvae at different developmental stages. Increased enzymatic activities were detected mainly in D-shaped larvae and pediveligers under Cd stress, suggesting that these enzymes respond synchronously with MT. Our results indicate that MmMT and antioxidant enzymes played important roles in counteracting Cd stress in M. meretrix larvae. (C) 2010 Elsevier B.V. All rights reserved.</t>
  </si>
  <si>
    <t>[Wang, Qing; Wang, Xiaoyu; Yang, Hongsheng] Chinese Acad Sci, Inst Oceanol, Key Lab Marine Ecol &amp; Environm Sci, Qingdao 266071, Peoples R China; [Wang, Xiaomei; Liu, Baozhong] Chinese Acad Sci, Inst Oceanol, Key Lab Expt Marine Biol, Qingdao 266071, Peoples R China; [Wang, Qing] Chinese Acad Sci, Grad Univ, Beijing 100049, Peoples R China; [Wang, Xiaoyu] Hebei Univ Technol, Minist Educ, Engn Res Ctr Seawater Utilizat Technol, Tianjin 300130, Peoples R China</t>
  </si>
  <si>
    <t>Chinese Academy of Sciences; Institute of Oceanology, CAS; Chinese Academy of Sciences; Institute of Oceanology, CAS; Chinese Academy of Sciences; University of Chinese Academy of Sciences, CAS; Hebei University of Technology</t>
  </si>
  <si>
    <t>Yang, HS (corresponding author), Chinese Acad Sci, Inst Oceanol, Key Lab Marine Ecol &amp; Environm Sci, 7th Nanhai Rd, Qingdao 266071, Peoples R China.</t>
  </si>
  <si>
    <t>hshyang@ms.qdio.ac.cn; bzliu@ms.qdio.ac.cn</t>
  </si>
  <si>
    <t>Wang, Qing/O-1991-2013; Wang, Xiaoyu/AAJ-2017-2020</t>
  </si>
  <si>
    <t>The authors thank for the help of staff in Qingjiang hatchery, Zhejiang Mariculturre Research Institute. This research was supported by the National Natural Science Foundation of China (No. 40821004/3067991), the National Key Foundational Research Project of China (No. 2007CB407305), the National Marine Public Welfare Research Project (No. 200805069) and the National Agricultural Public Welfare Research Project (No. nyhyzx07-047).</t>
  </si>
  <si>
    <t>10.1016/j.aquatox.2010.08.012</t>
  </si>
  <si>
    <t>WOS:000284787200003</t>
  </si>
  <si>
    <t>WILSON, EA; POWELL, EN; WADE, TL; TAYLOR, RJ; PRESLEY, BJ; BROOKS, JM</t>
  </si>
  <si>
    <t>SPATIAL AND TEMPORAL DISTRIBUTIONS OF CONTAMINANT BODY BURDEN AND DISEASE IN GULF OF MEXICO OYSTER POPULATIONS - THE ROLE OF LOCAL AND LARGE-SCALE CLIMATIC CONTROLS</t>
  </si>
  <si>
    <t>HELGOLANDER MEERESUNTERSUCHUNGEN</t>
  </si>
  <si>
    <t>MUSSEL MYTILUS-EDULIS; TRACE-ELEMENT CONTENT; CRASSOSTREA-VIRGINICA; HEAVY-METALS; PETROLEUM-HYDROCARBONS; SEASONAL-VARIATION; PERKINSUS-MARINUS; BIVALVE MOLLUSKS; AMERICAN OYSTER; POLLUTION</t>
  </si>
  <si>
    <t>As part of NOAA's Status and Trends Program, oysters were sampled from 43 sites throughout the Gulf of Mexico from Brownsville, Texas, to the Florida Everglades from 1986 to 1989. Oysters were analysed for body burden of a suite of metals and petroleum aromatic hydrocarbons (PAHs), the prevalence and intensity of the oyster pathogen, Perkinsus marinus, and condition index. The contaminants fell into two groups based on the spatial distribution of body burden throughout the Gulf. Arsenic, selenium, mercury and cadmium were characterized by clinal reduction in similarity with distance reminiscent of that followed by mean monthly temperature and precipitation. Zinc, copper, PAHs and silver showed no consistent geographic trend. Within local regions, industrial and agricultural land use and P. marinus prevalence and infection intensity frequently correlated with body burden. Contaminants and biological attributes followed one of three temporal trends. Zinc, copper and PAHs showed concordant shifts over 4 years throughout the eastern and southern Gulf. Mercury and cadmium showed concordant shifts in the northwestern Gulf. Selenium, arsenic, length, condition index and P. marinus prevalence and infection intensity showed concordant shifts throughout most of the entire Gulf. Concordant shifts suggest that climatic factors, the El Nino/Southern Oscillation being one example, exert a strong influence on biological attributes and contaminant body burdens in the Gulf. Correlative factors are those that probably affect or indicate the rate of tissue turnover and the frequency of reproduction; namely, temperature, disease intensity, condition index and length.</t>
  </si>
  <si>
    <t>TEXAS A&amp;M UNIV SYST,DEPT OCEANOG,COLL STN,TX 77843</t>
  </si>
  <si>
    <t>Texas A&amp;M University System; Texas A&amp;M University College Station</t>
  </si>
  <si>
    <t>Wade, Terry/A-4012-2012</t>
  </si>
  <si>
    <t>BIOLOGISCHE ANSTALT HELGOLAND</t>
  </si>
  <si>
    <t>HAMBURG</t>
  </si>
  <si>
    <t>NOTKESTRASSE 31, 22607 HAMBURG, GERMANY</t>
  </si>
  <si>
    <t>0174-3597</t>
  </si>
  <si>
    <t>HELGOLANDER MEERESUN</t>
  </si>
  <si>
    <t>Helgol. Meeresunters.</t>
  </si>
  <si>
    <t>10.1007/BF02366055</t>
  </si>
  <si>
    <t>JT107</t>
  </si>
  <si>
    <t>WOS:A1992JT10700006</t>
  </si>
  <si>
    <t>Rabaoui, L; Balti, R; El Zrelli, R; Tlig-Zouari, S</t>
  </si>
  <si>
    <t>Rabaoui, L.; Balti, R.; El Zrelli, R.; Tlig-Zouari, S.</t>
  </si>
  <si>
    <t>Assessment of heavy metal pollution in the gulf of Gabes (Tunisia) using four mollusc species</t>
  </si>
  <si>
    <t>Heavy metals; pollution control; industrial waste; mollusc; Gulf of Gabes; Tunisia</t>
  </si>
  <si>
    <t>CLAM RUDITAPES-DECUSSATUS; TRACE-METALS; PINCTADA-RADIATA; MARINE MOLLUSKS; PEARL OYSTER; CONTAMINATION; ALGAE; BIOACCUMULATION; BIVALVIA; SEAGRASS</t>
  </si>
  <si>
    <t>Since the establishment of the 'Tunisian Chemical Group' in Gabes, Tunisia, no serious investigations have been carried out about heavy metal pollution in the Gulf of Gabes. In this study, the contents of four heavy metals were assessed in four mollusc species (two gastropods, Gibbula ardens and Patella caerulea, and two bivalves, Pinctada radiata and Pinna nobilis), collected from twelve coastal stations. In general, the results obtained show high concentrations of heavy metals in the central area of the Gulf of Gabes, near Gabes city in particular; in contrast, low concentrations were found at the edges of this gulf, which is probably due to the chemical pollution generated from the huge phosphoric acid industry in Gabes City. Comparing the results found with the four examined species, the lowest concentrations were noted with the two bivalve species P. radiata and P. nobilis. The highest heavy metal concentrations noted during this study are comparable to the findings of other authors in other areas, and they considerably exceed the standard levels. Remediation action is urgently required; the action could consist in either reducing the amount of heavy metals in the phosphgypsum discharged directly in the sea or discontinuing the operation of this harmful industry in order to protect marine life in the area.</t>
  </si>
  <si>
    <t>[Rabaoui, L.; Tlig-Zouari, S.] Univ Tunis El Manar, Res Unit Integrat Biol &amp; Evolutionary &amp; Funct Eco, Fac Sci, Tunis 2092, Tunisia; [Balti, R.] Ecole Natl Ingenieurs Sfax, Lab Genie Enzymat &amp; Microbiol, Sfax 3038, Tunisia; [El Zrelli, R.] Univ Toulouse 3, Geosci Environm Toulouse, F-31400 Toulouse, France; [El Zrelli, R.] Inst Natl Agron Tunisie, Sect Halieut, Tunis 1082, Tunisia</t>
  </si>
  <si>
    <t>Universite de Tunis-El-Manar; Faculte des Sciences de Tunis (FST); Universite de Sfax; Ecole Nationale dIngenieurs de Sfax (ENIS); Universite de Toulouse; Universite Toulouse III - Paul Sabatier; Universite de Carthage</t>
  </si>
  <si>
    <t>Rabaoui, L (corresponding author), Univ Tunis El Manar, Res Unit Integrat Biol &amp; Evolutionary &amp; Funct Eco, Fac Sci, Tunis 2092, Tunisia.</t>
  </si>
  <si>
    <t>lrabaoui@gmail.com</t>
  </si>
  <si>
    <t>ZRELLI, Radhouan/T-2426-2019; Balti, Rafik/F-6664-2011; Rabaoui, Lotfi/G-2599-2016</t>
  </si>
  <si>
    <t>Balti, Rafik/0000-0002-3590-6123; EL ZRELLI, Radhouan Belgacem/0000-0002-8529-0558; Rabaoui, Lotfi/0000-0003-2068-692X</t>
  </si>
  <si>
    <t>AE7FT</t>
  </si>
  <si>
    <t>WOS:000334163000005</t>
  </si>
  <si>
    <t>Merad, I; Rabei, A; Soltani, N</t>
  </si>
  <si>
    <t>Merad, Isma; Rabei, Amina; Soltani, Noureddine</t>
  </si>
  <si>
    <t>Sex-specific differences in metallothionein induction by cadmium in different organs of Donax trunculus Linnaeus, 1758</t>
  </si>
  <si>
    <t>MOLLUSCAN RESEARCH</t>
  </si>
  <si>
    <t>Biomarker; digestive gland; female; gonad; heavy metals; male; mantle; molluscs</t>
  </si>
  <si>
    <t>MUSSELS MYTILUS-GALLOPROVINCIALIS; FRESH-WATER MUSSEL; SEASONAL-VARIATION; DIGESTIVE GLAND; ANNABA ALGERIA; CRASSOSTREA-VIRGINICA; METAL CONCENTRATIONS; MOLLUSCA-BIVALVIA; OXIDATIVE STRESS; TRACE-METALS</t>
  </si>
  <si>
    <t>To investigate the impact of heavy metals on the physiology of aquatic organisms, previous studies have focused on selected biomarker measurements in samples. However, most studies do not take into account toxicity effects on both males and females. The present paper aims to examine the effect of sex on the detoxification response using metallothioneins (MTs), a biomarker of metallic contamination. MTs were measured in different organs (mantle, digestive gland and gonad) of both males and females of Donax trunculus L. (Mollusca, Bivalvia) exposed to cadmium (Cd). The samples were collected at El Battah beach, far from any source of pollution, and reared in the laboratory for four days. Cd was added to the rearing water at two previously determined sublethal concentrations (LC10 and LC25). Measurements of MTs were made at (0, 48 and 96 h). Cd exposure caused a significant induction (P &lt; 0.05) of MTs in all studied organs in both sexes with a marked effect in females. The digestive gland had the highest MT levels, followed by the gonad and then mantle. Female and male individuals of this species differ in their susceptibility to Cd. This study supports the importance of sex and tissue in ecotoxicological studies.</t>
  </si>
  <si>
    <t>[Merad, Isma; Rabei, Amina; Soltani, Noureddine] Univ Badji Mokhtar Annaba, Fac Sci, Dept Biol, Lab Appl Anim Biol, Annaba 23000, Algeria; [Merad, Isma] Univ Badji Mokhtar Annaba, Fac Med, Dept Med, Annaba 23000, Algeria</t>
  </si>
  <si>
    <t>Universite Badji Mokhtar - Annaba; Universite Badji Mokhtar - Annaba</t>
  </si>
  <si>
    <t>Merad, I (corresponding author), Univ Badji Mokhtar Annaba, Fac Sci, Dept Biol, Lab Appl Anim Biol, Annaba 23000, Algeria.;Merad, I (corresponding author), Univ Badji Mokhtar Annaba, Fac Med, Dept Med, Annaba 23000, Algeria.</t>
  </si>
  <si>
    <t>meradisma@hotmail.fr</t>
  </si>
  <si>
    <t>SOLTANI, noureddine/AAW-7040-2020</t>
  </si>
  <si>
    <t>MERAD, Isma/0000-0003-4971-2036; SOLTANI, Noureddine/0000-0002-1563-2049</t>
  </si>
  <si>
    <t>The authors wish to thank anonymous referees for useful discussions and critical reading of the manuscript. This study was conducted as part of a PRFU project (Pr. N. Soltani), and was supported by the National Fund allocated to Research Laboratory of Appl; National Fund</t>
  </si>
  <si>
    <t>The authors wish to thank anonymous referees for useful discussions and critical reading of the manuscript. This study was conducted as part of a PRFU project (Pr. N. Soltani), and was supported by the National Fund allocated to Research Laboratory of Applied Animal Biology (University Badji Mokhtar, Annaba).</t>
  </si>
  <si>
    <t>1323-5818</t>
  </si>
  <si>
    <t>1448-6067</t>
  </si>
  <si>
    <t>MOLLUSCAN RES</t>
  </si>
  <si>
    <t>Molluscan Res.</t>
  </si>
  <si>
    <t>10.1080/13235818.2023.2277834</t>
  </si>
  <si>
    <t>NOV 2023</t>
  </si>
  <si>
    <t>Marine &amp; Freshwater Biology; Zoology</t>
  </si>
  <si>
    <t>JC0F7</t>
  </si>
  <si>
    <t>WOS:001103504400001</t>
  </si>
  <si>
    <t>Mersch, J; Wagner, P; Pihan, JC</t>
  </si>
  <si>
    <t>Copper in indigenous and transplanted zebra mussels in relation to changing water concentrations and body weight</t>
  </si>
  <si>
    <t>Dreissena polymorpha; copper; accumulation; indication; biomonitoring</t>
  </si>
  <si>
    <t>DREISSENA-POLYMORPHA PALLAS; MYTILUS-EDULIS; SEASONAL-VARIATIONS; REPRODUCTIVE-CYCLE; MACOMA-BALTHICA; HEAVY-METALS; AQUATIC MOSS; TRACE-METALS; CADMIUM; ZINC</t>
  </si>
  <si>
    <t>Zebra mussels, Dreissena polymorpha, were collected monthly from a copper-contaminated reservoir over a period of nearly 3 years. Copper concentrations in the organisms showed marked fluctuations reflecting changes in the water contamination. Bioconcentration patterns were influenced by the specific capacity of this sentinel organism to biologically integrate the continuously evolving water pollution; the sampling pattern, which inevitably introduced a certain subjectivity into monitoring results; and weight changes in the animals within the yearly cycle. Consequently, the successive monthly indications obtained with the zebra mussels provided a current biological assessment of a complex dynamic contamination situation. In a second experiment, caged mussels from three different populations were transferred for 3 months into the reservoir and sampled on six occasions. Mortality rates, attachment capacity, and a condition index revealed no substantial fitness disturbances in the transplanted organisms. Differences in dry weight throughout the experiment were attributable to the initial characteristics of each population. The influence of body mass on monitoring results was eliminated by replacing copper concentrations (mu g/g dry weight) with copper burdens (mu g/specimen). In terms of copper burdens, the three transplanted populations exhibited very similar metal patterns. Moderate quantitative differences between introduced and indigenous populations were interpreted as the result of physiological adaptation of the indigenous mussels to their contaminated environment. This study showed that the transfer technique with D. polymorpha is a useful tool for active biomonitoring programs.</t>
  </si>
  <si>
    <t>UNIV METZ, CTR RECH ECOL, BP 4116, F-57040 METZ 01, FRANCE</t>
  </si>
  <si>
    <t>Universite de Lorraine</t>
  </si>
  <si>
    <t>10.1002/etc.5620150610</t>
  </si>
  <si>
    <t>UP251</t>
  </si>
  <si>
    <t>WOS:A1996UP25100010</t>
  </si>
  <si>
    <t>Qiu, LM; Chen, H; Zhou, Z; Zhang, H; Liu, R; Yi, QL; Yang, CY; Gao, L; Wang, LL</t>
  </si>
  <si>
    <t>Qiu, Limei; Chen, Hao; Zhou, Zhi; Zhang, Huan; Liu, Rui; Yi, Qilin; Yang, Chuanyan; Gao, Lei; Wang, Lingling</t>
  </si>
  <si>
    <t>Transcriptomic profile of oyster Crassostrea gigas hemocyte after short-term cadmium exposure and bacteria stimulation</t>
  </si>
  <si>
    <t>Crassostrea gigas; Cadmium exposure; Bacteria challenge; Immune response; Neuro-endocrine-immune regulatory network</t>
  </si>
  <si>
    <t>PACIFIC OYSTER; METAL CONTAMINATION; PATHOGENIC ORGANISMS; VIBRIO-SPLENDIDUS; TOXICITY; STRESS; EXPRESSION; ACCUMULATION; METABOLISM; PROTEOMICS</t>
  </si>
  <si>
    <t>Oyster Crassostrea gigas, is considered as a useful environmental indicator since it is widely distributed along the intertidal zone whereby it tends to accumulate cadmium and is always exposed to various pathogen agents. However, its molecular responses to both cadmium and pathogen stimulation remain unclear. In the present study, transcriptome data of hemocytes from oysters were analyzed to reveal specific molecular responses of oyster to cadmium or cadmium/bacteria stimulation. A total of 21591, 22872 and 20107 genes were detected in the BLANK, Cd24h and Cd/Bac24h group, respectively. Among them, there were 685 differentially expressed genes collected in the comparison of Cd24h versus BLANK. GO analysis of these genes found that sixteen terms into the Molecular Function category displayed transporter activities, and were all over-enrichment by cadmium exposure, whereas twelve terms into Biological Process category involved mainly in metabolic process of the various cellular components and two terms into Cellular Component category were all under-enrichment. The 330 immune responsive genes were shared by two gene lists of CdBac24h versus BLANK and CdBac24h versus Cd24h, and seven out of thirty terms in GO analysis were related to the immune process. Further annotation of these genes from the KEGG database revealed fourteen pathways, including two nervous system related pathways, arachidonic acid pathway, four immune pathways, MAPK cascade and other four cell signaling pathways, and two energy related pathways. Twenty-two differentially expressed genes were identified to responsive to both cadmium exposure and bacteria stimulation, but in different expression patterns, suggesting that bilateral responsive genes, such as alkaline phosphatase and sodium and chloride-dependent glycine transporter gene, could be candidate biomarkers for early warning of cadmium pollution. The present results collectively indicated that a profound neuro-endocrine-immune regulatory network was activated in response to cadmium and bacteria stimulation in oyster C. gigas, and the expression pattern of some cadmium responsive genes may be either reversed or strengthened by bacteria stimulation. The results provide knowledge on the transcriptomic response profile of oyster after short-term cadmium exposure and bacteria stimulation, which would be useful for future studies on stress response mechanism of mollusc, and some cadmium-bacteria responsive genes may be explored as potential biomarkers for monitoring marine pollution.</t>
  </si>
  <si>
    <t>[Qiu, Limei; Chen, Hao; Zhou, Zhi; Zhang, Huan; Liu, Rui] Chinese Acad Sci, Inst Oceanol, Key Lab Expt Marine Biol, Qingdao 266071, Peoples R China; [Qiu, Limei; Chen, Hao; Zhang, Huan; Liu, Rui] Chinese Acad Sci, Ctr Ocean Megasci, Qingdao 266071, Peoples R China; [Yi, Qilin; Yang, Chuanyan; Gao, Lei; Wang, Lingling] Dalian Ocean Univ, Liaoning Key Lab Marine Anim Immunol, Dalian 116023, Peoples R China; [Yi, Qilin; Yang, Chuanyan; Gao, Lei; Wang, Lingling] Dalian Ocean Univ, Dalian Key Lab Aquat Anim Dis Prevent &amp; Control, Dalian 116023, Peoples R China; [Yi, Qilin; Yang, Chuanyan; Gao, Lei; Wang, Lingling] Dalian Ocean Univ, Liaoning Key Lab Marine Anim Immunol &amp; Dis Contro, Dalian 116023, Peoples R China</t>
  </si>
  <si>
    <t>Chinese Academy of Sciences; Institute of Oceanology, CAS; Chinese Academy of Sciences; Dalian Ocean University; Dalian Ocean University; Dalian Ocean University</t>
  </si>
  <si>
    <t>Wang, LL (corresponding author), Dalian Ocean Univ, Liaoning Key Lab Marine Anim Immunol, Dalian 116023, Peoples R China.</t>
  </si>
  <si>
    <t>wanglingling@dlou.edu.cn</t>
  </si>
  <si>
    <t>Liu, Rui/HNJ-1352-2023; zhao, qi/KGK-3760-2024; he, xi/JXN-3817-2024</t>
  </si>
  <si>
    <t>National Key RD Program [2018YFD0900606]; NSFC [41961124009]; earmarked fund for Modem Agro-industry Technology Research System [CARS-49]; Aoshan Talent Cultivation Program; Qingdao National Laboratory for Marine Science and Technology [2017ASTCP-OS13]; Dalian High Level Talent Innovation Support Program [2015R020]</t>
  </si>
  <si>
    <t>National Key RD Program; NSFC(National Natural Science Foundation of China (NSFC)); earmarked fund for Modem Agro-industry Technology Research System; Aoshan Talent Cultivation Program; Qingdao National Laboratory for Marine Science and Technology; Dalian High Level Talent Innovation Support Program</t>
  </si>
  <si>
    <t>We are grateful to all the laboratory members for their technical advice and helpful discussions. This research was supported by National Key R&amp;D Program (2018YFD0900606), NSFC (No. 41961124009), earmarked fund (CARS-49) for Modem Agro-industry Technology Research System, Aoshan Talent Cultivation Program Supported by Qingdao National Laboratory for Marine Science and Technology (No. 2017ASTCP-OS13), Dalian High Level Talent Innovation Support Program (2015R020).</t>
  </si>
  <si>
    <t>10.1016/j.fsi.2019.12.083</t>
  </si>
  <si>
    <t>KQ4FQ</t>
  </si>
  <si>
    <t>WOS:000516880900016</t>
  </si>
  <si>
    <t>Puente, X; Villares, R; Carral, E; Carballeira, A</t>
  </si>
  <si>
    <t>Nacreous shell of Mytilus galloprovincialis as a biomonitor of heavy metal pollution in Galiza (NW Spain)</t>
  </si>
  <si>
    <t>OXIDIZED ESTUARINE SEDIMENTS; MARINE-SEDIMENTS; BENTHIC ORGANISMS; TRACE-METALS; EDULIS L; CADMIUM; LEAD; ZINC; MUSSEL; BIOAVAILABILITY</t>
  </si>
  <si>
    <t>The rock mussel (Mytilus galloprovincialis Lam.) was used as a biomonitor species for metal pollution on the coast of Galiza, NW Spain. The measured concentrations in the soft tissues and in the nacreous shell were contrasted with those from the HCl and HNO3 leached fractions of sediment samples collected from the mussels' environment. The nickel and lead concentrations in the nacreous shell and the zinc and lead concentrations in the soft tissues were correlated with the sediment metal levels. The results suggest that Mytilus galloprovincialis can be used as a particularly appropriate biomonitor for lead pollution, with the nacreous shell seemingly producing better results than the tissue.</t>
  </si>
  <si>
    <t>Puente, X (corresponding author), UNIV SANTIAGO COMPOSTELA,FAC BIOL,AREA ECOL,E-15706 SANTIAGO,SPAIN.</t>
  </si>
  <si>
    <t>Villares, Rubén/Z-6026-2019; Carral, Emilio/K-8602-2014</t>
  </si>
  <si>
    <t>Carballeira Ocana, Alejo/0000-0002-5250-4185; Carral, Emilio/0000-0002-7909-047X; Villares, Ruben/0000-0002-9635-4449</t>
  </si>
  <si>
    <t>APR 26</t>
  </si>
  <si>
    <t>10.1016/0048-9697(96)05066-8</t>
  </si>
  <si>
    <t>UK997</t>
  </si>
  <si>
    <t>WOS:A1996UK99700003</t>
  </si>
  <si>
    <t>Belcheva, NN; Zakhartsev, M; Silina, AV; Slinko, EN; Chelomin, VP</t>
  </si>
  <si>
    <t>Belcheva, Nina N.; Zakhartsev, Maxim; Silina, Alla V.; Slinko, Elena N.; Chelomin, Victor P.</t>
  </si>
  <si>
    <t>Relationship between shell weight and cadmium content in whole digestive gland of the Japanese scallop Patinopecten yessoensis (Jay)</t>
  </si>
  <si>
    <t>bioaccumulation; heavy metals; marine ecology; molluscs; pollution monitoring; age-specific variation; seasonal variation; prognostic assessment</t>
  </si>
  <si>
    <t>TRACE-METAL CONTENT; SEASONAL-VARIATION; SUBCELLULAR COMPARTMENTALIZATION; HEAVY-METALS; 2 BIVALVES; MYTILUS; COPPER; ZINC; VLADIVOSTOK; INDICATORS</t>
  </si>
  <si>
    <t>Seasonal and age-specific variations of cadmium (Cd) concentration in the digestive gland were investigated in the Japanese scallop Patinopecten yessoensis from Peter the Great Bay, Sea of Japan, with different degrees of Cd pollution. The seasonal changes in Cd concentrations of the digestive gland were inversely proportional to the dry weight of the gland. Concentrations of Cd and total Cd content (mu g Cd per organ) increased with age (age-specific) to the same extent in contaminated and uncontaminated areas. There was also a strong positive correlation between Cd content in the whole digestive gland and shell weight and it is proposed that this relationship can be used as a new criterion for comparative evaluation of Cd levels in scallops from different areas We hypothesize that Cd is uptaken into scallops in proportion to the amount of calcium that absorbed through ion channels, and in addition, Cd in the digestive gland is in immobile forms (e.g. metal-rich granules) that accumulate with age. Moderate environmental pollution has no effect on the relationship between Cd content and shell size and the observed decrease in growth performance of the scallops from polluted areas may be due to other factors. (c) 2005 Elsevier Ltd. All rights reserved.</t>
  </si>
  <si>
    <t>Int Jacobs Univ Bremen, D-28759 Bremen, Germany; Russian Acad Sci, Pacific Oceanol Inst, Vladivostok 690041, Russia; Russian Acad Sci, Inst Marine Biol, Vladivostok 690041, Russia</t>
  </si>
  <si>
    <t>Ilichev Pacific Oceanological Institute; Russian Academy of Sciences; Russian Academy of Sciences; National Scientific Center of Marine Biology, Far East Branch of the Russian Academy of Sciences</t>
  </si>
  <si>
    <t>Zakhartsev, M (corresponding author), Int Jacobs Univ Bremen, Campus Ring 1, D-28759 Bremen, Germany.</t>
  </si>
  <si>
    <t>m.zakhartsev@iu-bremen.de</t>
  </si>
  <si>
    <t>Chelomin, Viktor/W-3277-2017; Zakhartsev, Maksim/N-5457-2019; Zakhartsev, Maksim/J-7000-2012; Silina, Alla V./C-8775-2015</t>
  </si>
  <si>
    <t>Chelomin, Victor/0000-0002-1840-3057; Zakhartsev, Maksim/0000-0002-7973-9902; Silina, Alla V./0000-0002-1500-2434</t>
  </si>
  <si>
    <t>10.1016/j.marenvres.2005.12.001</t>
  </si>
  <si>
    <t>044KH</t>
  </si>
  <si>
    <t>WOS:000237670700002</t>
  </si>
  <si>
    <t>Wade, TL; Sweet, ST; Klein, AG</t>
  </si>
  <si>
    <t>Wade, Terry L.; Sweet, Stephen T.; Klein, Andrew G.</t>
  </si>
  <si>
    <t>Assessment of sediment contamination in Casco Bay, Maine, USA</t>
  </si>
  <si>
    <t>estuarine sediment; organochlorine; PAH; trace element; Organotin</t>
  </si>
  <si>
    <t>POLYCYCLIC AROMATIC-HYDROCARBONS; SURFICIAL SEDIMENTS; UNITED-STATES; TOXICITY; OYSTERS; GULF; TRIBUTYLTIN; BUTYLTINS; PATTERNS; MARINE</t>
  </si>
  <si>
    <t>The current status of contaminant concentrations in Casco Bay, decadal trends of these contaminants and changes in their geographical distribution are assessed using sediment samples collected approximately 10 years apart. In general, regulated contaminants appeared to be decreasing in concentration. Total PAH and dioxins/furans concentrations did not significantly change over this period. Total organochlorine pesticides, 4,4-DDE, 4,4-DDD, total DDT, PCB, tributyltin and total butyltin decreased in concentration. Trace element concentrations in sediments decreased at the majority of the sampling sites for chromium, nickel, and selenium while arsenic, cadmium, copper, lead, mercury, silver, and zinc remained relatively constant. None of the contaminants measured has increased by more than a factor of 2. Selected sites located in the Inner Bay, where concentrations are higher and new inputs were more likely, showed increased concentrations of contaminants. Most contaminants were not found at concentrations expected to adversely affect sediment biota based on ERL/ERM guidelines. (c) 2007 Elsevier Ltd. All rights reserved.</t>
  </si>
  <si>
    <t>[Wade, Terry L.; Sweet, Stephen T.] Texas A&amp;M Univ, Geochem &amp; Environm Res Grp, College Stn, TX 77845 USA; [Klein, Andrew G.] Texas A&amp;M Univ, Dept Geog, College Stn, TX 77843 USA</t>
  </si>
  <si>
    <t>Texas A&amp;M University System; Texas A&amp;M University College Station; Texas A&amp;M University System; Texas A&amp;M University College Station</t>
  </si>
  <si>
    <t>Sweet, ST (corresponding author), Texas A&amp;M Univ, Geochem &amp; Environm Res Grp, 833 Graham Rd, College Stn, TX 77845 USA.</t>
  </si>
  <si>
    <t>sweet@gerg.tamu.edu</t>
  </si>
  <si>
    <t>Wade, Terry/A-4012-2012; Klein, Andrew/AGK-9609-2022</t>
  </si>
  <si>
    <t>Sweet, Stephen/0000-0002-1441-8198; Klein, Andrew/0000-0003-3804-8205</t>
  </si>
  <si>
    <t>10.1016/j.envpol.2007.07.016</t>
  </si>
  <si>
    <t>294US</t>
  </si>
  <si>
    <t>WOS:000255432400001</t>
  </si>
  <si>
    <t>Mancini, L; Miniero, R; Beccaloni, E; di Domenico, K; Lacchetti, I; Puccinelli, C; Cicero, MR; Scaini, F; Carere, M</t>
  </si>
  <si>
    <t>Mancini, Laura; Miniero, Roberto; Beccaloni, Eleonora; di Domenico, Kevin; Lacchetti, Ines; Puccinelli, Camilla; Cicero, Maria Rita; Scaini, Federica; Carere, Mario</t>
  </si>
  <si>
    <t>Mercury (Hg) and methylmercury (MeHg) in sediment and biota: A case study in a lagoon in Central Italy</t>
  </si>
  <si>
    <t>Mercury; Methyl mercury; Sediment; Mussels; Orbetello lagoon</t>
  </si>
  <si>
    <t>METHYL MERCURY; COASTAL LAGOON; WATER; ORBETELLO; BIOACCUMULATION; STRATEGY; BASIN; FISH</t>
  </si>
  <si>
    <t>A quantification of total mercury (Hgtot) and methylmercury (MeHg) concentrations in sediment and mussels was carried out in the east basin of the Orbetello lagoon in order to assess their bioaccumulation potential. The sediment was sampled in four macroareas, mussels were transplanted in the same sites and collected after seven weeks. The results show that Hgtot concentrations in sediments exceeded (0.21-16.9 mg/kg dry weight (dw)) the environmental quality standard of the Italian legislation (0.3 mg/kg dw). The Hgtot concentration in mussels (0.050-0.324 mg/kg wet weight (ww)) does not exceed the limit values (0.5 mg/kg ww) of the European food legislation. The biota-sediment accumulation factors (BSAFs) derived for MeHg (80-306.7) and a biomagnification factor (BMF) greater than 1 for Hgtot demonstrate that in the lagoon, these compounds can be transferred in the upper levels of the trophic chain and pose a risk to human health.</t>
  </si>
  <si>
    <t>[Mancini, Laura; Miniero, Roberto; Beccaloni, Eleonora; di Domenico, Kevin; Lacchetti, Ines; Puccinelli, Camilla; Cicero, Maria Rita; Scaini, Federica; Carere, Mario] Italian Inst Hlth, Dept Environm &amp; Hlth, Viale Regina Elena 299, I-00161 Rome, Italy</t>
  </si>
  <si>
    <t>Carere, M (corresponding author), Italian Inst Hlth, Dept Environm &amp; Hlth, Viale Regina Elena 299, I-00161 Rome, Italy.</t>
  </si>
  <si>
    <t>mario.carere@iss.it</t>
  </si>
  <si>
    <t>lacchetti, ines/0000-0003-2554-4269; di Domenico, Kevin/0000-0003-1313-8685; puccinelli, camilla/0000-0002-2999-6812; Miniero, Roberto/0000-0002-9041-9547</t>
  </si>
  <si>
    <t>Government Administrator of the Orbetello Lagoon Reclamation Programme</t>
  </si>
  <si>
    <t>This research is part of a project financed by the Government Administrator of the Orbetello Lagoon Reclamation Programme. Special thanks are due to Raffaele Scenati for the remarkable contribution in sediment and biota sampling.</t>
  </si>
  <si>
    <t>10.1016/j.marpolbul.2021.113308</t>
  </si>
  <si>
    <t>YK2PY</t>
  </si>
  <si>
    <t>WOS:000745062800002</t>
  </si>
  <si>
    <t>Valenti, TW; Cherry, DS; Neves, RJ; Schmerfeld, J</t>
  </si>
  <si>
    <t>Acute and chronic toxicity of mercury to early life stages of the rainbow mussel, Villosa iris (Bivalvia: Unionidae)</t>
  </si>
  <si>
    <t>freshwater mussel; mercury; glochidia; juvenile; chronic</t>
  </si>
  <si>
    <t>FRESH-WATER MUSSELS; CLINCH RIVER; HEAVY-METALS; GLOCHIDIA; POLLUTION; VIRGINIA; HISTORY; COPPER; PEARLYMUSSEL; PROPAGATION</t>
  </si>
  <si>
    <t>Mercury (Hg) contamination is receiving increased attention globally because of human health and environmental concerns. Few laboratory studies have examined the toxicity of Hg on early life stages of freshwater mussels, despite evidence that glochidia and juvenile life stages are more sensitive to contaminants than adults. Three bioassays (72-h acute glochidia, 96-h acute juvenile, and 21-d chronic juvenile toxicity tests) were conducted by exposing Villosa iris to mercuric chloride salt (HgCl2). Glochidia were more sensitive to acute exposure than were juvenile mussels, as 24-, 48-, and 72-h median lethal concentration values (LC50) for glochidia were &gt; 107, 39, and 14 mu g Hg/L, respectively. The 24-, 48-, 72-, and 96-h values for juveniles were 162, 135, 114, and 99 mu g Hg/L, respectively. In the chronic test, juveniles exposed to Hg treatments &gt;= 8 Rg/L grew significantly less than did control organisms. The substantial difference in juvenile test endpoints emphasizes the importance of assessing chronic exposure and sublethal effects. Overall, our study supports the use of glochidia as a surrogate life stage for juveniles in acute toxicity tests. However, as glochidia may be used only in short-term tests, it is imperative that an integrated approach be taken when assessing risk to freshwater mussels, as their unique life history is atypical of standard test organisms. Therefore, we strongly advocate the use of both glochidia and juvenile life stages for risk assessment.</t>
  </si>
  <si>
    <t>Virginia Polytech Inst &amp; State Univ, Dept Biol, Blacksburg, VA 24061 USA; Virginia Polytech Inst &amp; State Univ, US Geol Survey, Virginia Cooperat Fish &amp; Wildlife Res Unit, Blacksburg, VA 24061 USA; US Fish &amp; Wildlife Serv, Virginia Field Off, Gloucester, VA 23061 USA</t>
  </si>
  <si>
    <t>Virginia Polytechnic Institute &amp; State University; United States Department of the Interior; United States Geological Survey; Virginia Polytechnic Institute &amp; State University; United States Department of the Interior; US Fish &amp; Wildlife Service</t>
  </si>
  <si>
    <t>Virginia Polytech Inst &amp; State Univ, Dept Biol, Blacksburg, VA 24061 USA.</t>
  </si>
  <si>
    <t>tvalenti@vt.edu</t>
  </si>
  <si>
    <t>10.1897/04-261R.1</t>
  </si>
  <si>
    <t>919OJ</t>
  </si>
  <si>
    <t>WOS:000228627100031</t>
  </si>
  <si>
    <t>Erasmus, JH; Smit, NJ; Gerber, R; Schaeffner, BC; Nkabi, N; Wepener, V</t>
  </si>
  <si>
    <t>Erasmus, J. H.; Smit, N. J.; Gerber, R.; Schaeffner, B. C.; Nkabi, N.; Wepener, V.</t>
  </si>
  <si>
    <t>Total mercury concentrations in sharks, skates and rays along the South African coast</t>
  </si>
  <si>
    <t>Elasmobranchs; Mercury; Trophic position; Bioaccumulation; Biomagnification</t>
  </si>
  <si>
    <t>GULF-OF-CALIFORNIA; STANDARDIZED DIET COMPOSITIONS; HAMMERHEAD SHARKS; GALEOCERDO-CUVIER; ISHIGAKI ISLAND; SPHYRNA-LEWINI; STABLE-ISOTOPE; EDIBLE TISSUES; TROPHIC LEVELS; HEAVY-METAL</t>
  </si>
  <si>
    <t>Global declines in elasmobranch populations resulting from several stressors raises conservation concern. Additionally, apex predators bioaccumulate high concentrations of total mercury (THg), due to biomagnification. Although South Africa is considered one of the top ten contributors of Hg emissions globally, information on Hg concentrations in elasmobranchs is limited. The aim of this study was to evaluate the THg concentrations in 22 species of elasmobranchs along the South African coastline. Concentrations ranged between 0.22 and 5.8 mg/kg in Haploblepharus pictus (dark shysharks) and Rostroraja alba (white skates) on the south coast, respectively. Along the east coast it ranged between 0.21 and 17.8 mg/kg in Mobula kuhlii (shortfin devil rays) and Sphyrna lewini (scalloped hammerheads), respectively. Mercury concentrations on the east coast were in the same range or higher compared to the same species sampled between 2005-10 from the same region, with generally higher concentrations compared to the same species sampled globally.</t>
  </si>
  <si>
    <t>[Erasmus, J. H.; Smit, N. J.; Gerber, R.; Schaeffner, B. C.; Wepener, V.] North West Univ, Unit Environm Sci &amp; Management, Water Res Grp, 11 Hoffman St, ZA-2520 Potchefstroom, South Africa; [Gerber, R.; Schaeffner, B. C.] South African Shark Conservancy, 22 Marine Dr, ZA-7200 Hermanus, South Africa; [Schaeffner, B. C.] Univ Iceland, Inst Expt Pathol Keldur, Keldnavegur 3, IS-112 Reykjavik, Iceland; [Nkabi, N.] KwaZulu Natal Sharks Board, 1a Herrwood Dr, ZA-4320 Umhlanga Rocks, South Africa</t>
  </si>
  <si>
    <t>North West University - South Africa; University of Iceland</t>
  </si>
  <si>
    <t>Erasmus, JH (corresponding author), North West Univ, Unit Environm Sci &amp; Management, Water Res Grp, 11 Hoffman St, ZA-2520 Potchefstroom, South Africa.</t>
  </si>
  <si>
    <t>hannes.erasmus@nwu.ac.za; nico.smit@nwu.ac.za; gerberrjl@gmail.com; bjoern@hi.is; nomfundo@shark.co.za; victor.wepener@nwu.ac.za</t>
  </si>
  <si>
    <t>Wepener, Victor/AAV-2116-2020; Erasmus, Johannes Hendrik/GRR-7043-2022; Gerber, Ruan/AAC-6558-2022; Schaeffner, Bjoern C./F-9597-2014; Smit, Nico J/L-4905-2013</t>
  </si>
  <si>
    <t>Erasmus, Johannes Hendrik/0000-0001-9056-5424; Gerber, Ruan/0000-0001-6546-5114; Wepener, Victor/0000-0002-9374-7191; Schaeffner, Bjoern C./0000-0003-3399-6345; Smit, Nico J/0000-0001-7950-193X; NKABI, NOMFUNDO/0000-0002-1704-6342</t>
  </si>
  <si>
    <t>National Research Foundation (NRF) of South Africa [138544]; North-West University (NWU) postdoctoral fellowship; NWU-Water Research Group (WRG) postdoctoral fellowship</t>
  </si>
  <si>
    <t>National Research Foundation (NRF) of South Africa(National Research Foundation - South Africa); North-West University (NWU) postdoctoral fellowship; NWU-Water Research Group (WRG) postdoctoral fellowship</t>
  </si>
  <si>
    <t>This work is based on the research and researchers supported by the National Research Foundation (NRF) of South Africa (grant 138544; JH Erasmus) , a North-West University (NWU) postdoctoral fellowship to BCS and NWU-Water Research Group (WRG) postdoctoral fellowship to RG. Opinions, findings, conclusions, and recommendations expressed in this publication are that of the authors, and the NRF and NWU accepts no liability whatsoever in this regard. This is contribution number 700 of the NWU-WRG. Anja Erasmus, NWU-WRG, is thanked for the creation of the study area map. Rian Pienaar, Chantelle Pretorius, Geraldine Oos- thuizen, Linda van der Spuy and Danielle Fourie, NWU-WRG, are thanked for their assistance in the field and laboratory. A special thanks to our collaborators with the South African Shark Conservancy (SASC) and KwaZulu-Natal Sharks Board (KZNSB) , who aided in the collectionof the material used within this project.</t>
  </si>
  <si>
    <t>10.1016/j.marpolbul.2022.114142</t>
  </si>
  <si>
    <t>5U8TN</t>
  </si>
  <si>
    <t>WOS:000876813900004</t>
  </si>
  <si>
    <t>Li, P; Huang, YY; Zeng, J; Lin, ZZ; Huang, ZY</t>
  </si>
  <si>
    <t>Li, Peng; Huang, Yu-Ying; Zeng, Jun; Lin, Zheng-Zhong; Huang, Zhi-Yong</t>
  </si>
  <si>
    <t>Health risk assessment of heavy metals in shellfish collected from Fujian, China</t>
  </si>
  <si>
    <t>Heavy metal; Shellfish; estimated daily intake; target hazard quotient; risk assessment</t>
  </si>
  <si>
    <t>MARINE ORGANISMS; ECOLOGICAL RISK; YANGTZE-RIVER; POPULATION; MOLLUSKS; ESTUARY; COAST; FISH</t>
  </si>
  <si>
    <t>With industrialization and human activities, shellfish may be contaminated by various pollutants such as heavy metals. This study aims at the concentrations of As, Cr, Mn, Ni, Cu, Zn, Cd, Sn, Sb and Pb in shellfish collected from Fujian of China, and the risk of heavy metals in shellfish on human health based on target hazard quotients (THQ). Results showed that the THQ values of the elements were far below 1, except for As with an average value of 1.148 in razor clam. No detrimental health effects of heavy metals on humans health was observed by daily consumption of mussel and oyster, but the exposed population to short-necked clam, scallop and razor clam might experience noncarcinogenic health risks because each of the total THQ values was above 1 for the three shellfish.</t>
  </si>
  <si>
    <t>[Li, Peng; Huang, Yu-Ying; Zeng, Jun; Lin, Zheng-Zhong; Huang, Zhi-Yong] Jimei Univ, Coll Food &amp; Biol Engn, Xiamen 361021, Peoples R China; [Lin, Zheng-Zhong] Fujian Prov Key Lab Food Microbiol &amp; Enzyme Engn, Xiamen, Peoples R China</t>
  </si>
  <si>
    <t>Jimei University</t>
  </si>
  <si>
    <t>Huang, ZY (corresponding author), Jimei Univ, Coll Food &amp; Biol Engn, Xiamen 361021, Peoples R China.</t>
  </si>
  <si>
    <t>zhyhuang@jmu.edu.cn</t>
  </si>
  <si>
    <t>曾, 珺/ISR-8874-2023</t>
  </si>
  <si>
    <t>10.1080/10807039.2018.1528438</t>
  </si>
  <si>
    <t>WOS:000518864500004</t>
  </si>
  <si>
    <t>Stankovic, S; Jovic, M; Milanov, R; Joksimovic, D</t>
  </si>
  <si>
    <t>Stankovic, Slavka; Jovic, Mihajlo; Milanov, Rasa; Joksimovic, Danijela</t>
  </si>
  <si>
    <t>Trace elements concentrations (Zn, Cu, Pb, Cd, As and Hg) in the Mediterranean mussel (Mytilus galloprovincialis) and evaluation of mussel quality and possible human health risk from cultivated and wild sites of the southeastern Adriatic Sea, Montenegro</t>
  </si>
  <si>
    <t>JOURNAL OF THE SERBIAN CHEMICAL SOCIETY</t>
  </si>
  <si>
    <t>M. galloprovincialis; trace elements; mussel quality; health risks; Montenegro; Adriatic</t>
  </si>
  <si>
    <t>MARINE ORGANISMS; HEAVY-METALS; WATER; FISH; BAY; CONSUMPTION; POLLUTION; SEDIMENT; COAST</t>
  </si>
  <si>
    <t>The Mediterranean mussel Mytilus galloprovincialis (L.) was collected from the fall 2005 to the winter 2009 from the six sites on the Montenegrin coastline. Two wild samples were collected from the open sea coastline, and two cultivated and two wild were from the Boka Kotorska Bay. The mussels soft tissue was analyzed for zinc, copper, lead, cadmium, arsenic and total mercury. Concentrations of these metals, in mg kg(-1) dry weight, ranged from 135-210 for Zn, 6.2-14.5 for Cu, 4.0-11.5 for Pb, 1.7-2.1 for Cd, 5.8-12.4 for As and 0.1-0.5 for Hg. The metals were found to be present in the samples at different levels, but not in concentrations higher than maximum residual levels prescribed by the European Union (EU) and US Food and Drug Administration (USFDA) regulations for seafood. This indicates that the consumption of wild or cultivated mussels from the studied area is safe in moderate quantities.</t>
  </si>
  <si>
    <t>[Stankovic, Slavka] Univ Belgrade, Fac Technol &amp; Met, Belgrade 11000, Serbia; [Jovic, Mihajlo] Univ Belgrade, Inst Nucl Sci Vinca, Belgrade 11000, Serbia; [Milanov, Rasa] Minist Hlth, Sect Sanit Control, Belgrade 11070, Serbia; [Joksimovic, Danijela] Univ Montenegro, Inst Marine Biol, Kotor 85330, Dobrota Bb, Montenegro</t>
  </si>
  <si>
    <t>University of Belgrade; University of Belgrade; University of Montenegro</t>
  </si>
  <si>
    <t>Stankovic, S (corresponding author), Univ Belgrade, Fac Technol &amp; Met, Karnegijeva 4, Belgrade 11000, Serbia.</t>
  </si>
  <si>
    <t>slavka@tmf.bg.ac.rs</t>
  </si>
  <si>
    <t>Joksimovic, Danijela/AAH-7688-2019; Jovic, Mihajlo/U-8340-2017</t>
  </si>
  <si>
    <t>Jovic, Mihajlo/0000-0002-3293-5797</t>
  </si>
  <si>
    <t>Ministry of Science and Technological Development of the Republic of Serbia [11143009]; EAR [04SER02/05/007]</t>
  </si>
  <si>
    <t>Ministry of Science and Technological Development of the Republic of Serbia(Ministry of Education, Science &amp; Technological Development, Serbia); EAR</t>
  </si>
  <si>
    <t>This research was financed by the Ministry of Science and Technological Development of the Republic of Serbia, contract No. 11143009 and EAR, contract No. 04SER02/05/007.</t>
  </si>
  <si>
    <t>SERBIAN CHEMICAL SOC</t>
  </si>
  <si>
    <t>BELGRADE</t>
  </si>
  <si>
    <t>KARNEGIJEVA 4, 11 120 BELGRADE, SERBIA</t>
  </si>
  <si>
    <t>0352-5139</t>
  </si>
  <si>
    <t>J SERB CHEM SOC</t>
  </si>
  <si>
    <t>J. Serb. Chem. Soc.</t>
  </si>
  <si>
    <t>10.2298/JSC110420095S</t>
  </si>
  <si>
    <t>872AD</t>
  </si>
  <si>
    <t>WOS:000298777900011</t>
  </si>
  <si>
    <t>Giarratano, E; Amin, OA</t>
  </si>
  <si>
    <t>Giarratano, Erica; Amin, Oscar A.</t>
  </si>
  <si>
    <t>Heavy metals monitoring in the southernmost mussel farm of the world (Beagle Channel, Argentina)</t>
  </si>
  <si>
    <t>Mytilus edulis chilensis; Heavy metals; Mussel farm; Beagle Channel; Monitoring</t>
  </si>
  <si>
    <t>TRACE-METAL; SURFICIAL SEDIMENTS; MARINE-ENVIRONMENT; COASTAL SEDIMENTS; SOFT-TISSUE; CADMIUM; MOLLUSKS; CD; POLLUTION; CHILE</t>
  </si>
  <si>
    <t>Water quality surrounding the mussel farm of Mytilus edulis chilensis at Brown Bay (Beagle Channel) was evaluated. The levels of five heavy metals in sediment and in gill and digestive gland of mussels were examined to consider potential risks to human health. Cd showed the highest enrichment factor in relation to its level in Earth crust (3.85-21.58), which could be related to an upwelling phenomenon. A seasonal trend was found regarding metal bioaccumulation, being higher in winter than in summer. The bioaccumulation pattern in gill was Zn &gt; Fe &gt; Cu &gt; Cd, meanwhile in digestive gland was Fe &gt; Zn &gt; Cu &gt; Cd. Despite Pb was measured in sediment (15.59-23.91 mu g/g dw), it was not available for being incorporated by mussels. In all cases it was below the detection limit (2.37 mu g/g dw). With regard to human consumption of mussels from Brown Bay, none of the elements analyzed should cause concern for consumers. Values measured in tissue mussels were below the limit of 10 mu g/g dw for Cd and Pb established by SENASA for molluscs. Considering that studied mussels are for human consumption and the relatively high levels of metals in sediment may vary their availability if physical parameters changes, periodical monitoring must be carried out to avoid human risks and to produce food in a responsible manner that complies with the food safety standards. (C) 2010 Elsevier Inc. All rights reserved.</t>
  </si>
  <si>
    <t>[Giarratano, Erica; Amin, Oscar A.] Ctr Austral Invest Cient CADIC CONICET, Ushuaia, Tierra Fuego, Argentina</t>
  </si>
  <si>
    <t>Consejo Nacional de Investigaciones Cientificas y Tecnicas (CONICET)</t>
  </si>
  <si>
    <t>Giarratano, E (corresponding author), Los Cipreses &amp; El Algarrobo, CP 9120, Puerto Madryn, Chubut, Argentina.</t>
  </si>
  <si>
    <t>giarratanoerica@hotmail.com</t>
  </si>
  <si>
    <t>Giarratano, Erica/0000-0003-1144-2923</t>
  </si>
  <si>
    <t>GEF/PNUD ARC [02/018]; ANPCyT PICTR [0090]</t>
  </si>
  <si>
    <t>GEF/PNUD ARC; ANPCyT PICTR(ANPCyT)</t>
  </si>
  <si>
    <t>This work was supported by GEF/PNUD ARC 02/018 and ANPCyT PICTR 0090 grants. Authors wish to express our gratitude to Lic. Claudia Duarte and Mr. Ricardo Saenz Samaniego, who help us during the campaigns. We are grateful to Dr. N. Chiarello (IADO-CONICET) for her help during heavy metal determinations and to Dr. Monica Gil for her critical revision of the first copy of the manuscript.</t>
  </si>
  <si>
    <t>10.1016/j.ecoenv.2010.06.023</t>
  </si>
  <si>
    <t>650BL</t>
  </si>
  <si>
    <t>WOS:000281822200038</t>
  </si>
  <si>
    <t>Fitzgerald, AM; Zarnoch, CB; Wallace, WG</t>
  </si>
  <si>
    <t>Fitzgerald, Allison Mass; Zarnoch, Chester B.; Wallace, William G.</t>
  </si>
  <si>
    <t>Examining the relationship between metal exposure (Cd and Hg), subcellular accumulation, and physiology of juvenile Crassostrea virginica</t>
  </si>
  <si>
    <t>Crassostrea virginica; Cadmium; Mercury; Physiology; Subcellular; Accumulation</t>
  </si>
  <si>
    <t>CELLULAR-ENERGY ALLOCATION; FRESH-WATER BIVALVES; CADMIUM ACCUMULATION; GMELIN BIVALVIA; EASTERN OYSTER; PACIFIC OYSTER; PERNA-PERNA; BODY-SIZE; METALLOTHIONEIN; BIOACCUMULATION</t>
  </si>
  <si>
    <t>To assess the toxicity and accumulation (total and subcellular partitioning) of cadmium (Cd) and mercury (Hg), juvenile eastern oysters, Crassostrea virginica, were exposed for 4 weeks to a range of concentrations (Control, Low (1x), and High (4x)). Despite the 4-fold increase in metal concentrations, oysters from the High-Cd treatment (2.4 mu M Cd) attained a body burden that was only 2.4-fold greater than that of the Low-Cd treatment (0.6 mu M Cd), while oysters from the High-Hg treatment (0.056 mu M Hg) accumulated 8.9-fold more Hg than those from the Low-Hg treatment (0.014 mu M Hg). This fold difference in total Cd burdens was, in general, mirrored at the subcellular level, though binding to heat-denatured proteins in the High-Cd treatment was depressed (only 1.6-fold higher than the Low-Cd treatment). Mercury did not appear to appreciably partition to the subcellular fractions examined in this study, with the fold difference in accumulation between the Low- and High-Hg treatments ranging from 1.5-fold (heat-stable proteins) to 4.6-fold (organelles). Differences in toxicological impairments (reductions in condition index, protein content, and ETS activity) exhibited by oysters from the High-Cd treatment may be partially due to the nature of how different metals partition to subcellular components in the oysters, though exact mechanisms will require further examination.</t>
  </si>
  <si>
    <t>[Fitzgerald, Allison Mass; Zarnoch, Chester B.; Wallace, William G.] CUNY, Grad Ctr, 365 Fifth Ave, New York, NY 10016 USA; [Fitzgerald, Allison Mass] New Jersey City Univ, Biol Dept, 2039 Kennedy Blvd, Jersey City, NJ 07305 USA; [Zarnoch, Chester B.] Baruch Coll, Dept Nat Sci, 17 Lexington Ave, New York, NY 10010 USA; [Wallace, William G.] CUNY Coll Staten Isl, Biol Dept, 2800 Victory Blvd, Staten Isl, NY 10314 USA</t>
  </si>
  <si>
    <t>City University of New York (CUNY) System; New Jersey City University; City University of New York (CUNY) System; Baruch College (CUNY); City University of New York (CUNY) System; College of Staten Island (CUNY)</t>
  </si>
  <si>
    <t>Fitzgerald, AM (corresponding author), CUNY, Grad Ctr, 365 Fifth Ave, New York, NY 10016 USA.;Fitzgerald, AM (corresponding author), New Jersey City Univ, Biol Dept, 2039 Kennedy Blvd, Jersey City, NJ 07305 USA.</t>
  </si>
  <si>
    <t>afitzgerald@njcu.edu</t>
  </si>
  <si>
    <t>fitzgerald, allison/0000-0003-3643-0988</t>
  </si>
  <si>
    <t>Hudson River Foundation [GF/02/01]; PSC-CUNY [64524-0042, 62925-0040]; National Science Foundation [DEB-0918952, MRI-0959876]; Eugene Lang Junior Faculty Fellowship; Sounds Conservancy</t>
  </si>
  <si>
    <t>Hudson River Foundation; PSC-CUNY; National Science Foundation(National Science Foundation (NSF)); Eugene Lang Junior Faculty Fellowship; Sounds Conservancy</t>
  </si>
  <si>
    <t>This research was funded by grants from the Hudson River Foundation (AMF; #GF/02/01), PSC-CUNY (WGW, #64524-0042; and CBZ, #62925-0040), The Sounds Conservancy (AMF), and the National Science Foundation (CBZ; #DEB-0918952 and #MRI-0959876). CBZ was also supported by a Eugene Lang Junior Faculty Fellowship.</t>
  </si>
  <si>
    <t>10.1007/s11356-019-05860-1</t>
  </si>
  <si>
    <t>IU6LT</t>
  </si>
  <si>
    <t>WOS:000483698500047</t>
  </si>
  <si>
    <t>Bayen, S; Thomas, GO; Lee, HK; Obbard, JP</t>
  </si>
  <si>
    <t>Organochlorine pesticides and heavy metals in green mussel, Perna viridis in Singapore</t>
  </si>
  <si>
    <t>bioindicator; DDT; lead; persistent organic pollutants; Southeast Asia</t>
  </si>
  <si>
    <t>POLYBROMINATED DIPHENYL ETHERS; TRACE-METALS; MARINE FISH; CONTAMINATION; ENVIRONMENT; RESIDUES; THAILAND; WATERS; WATCH</t>
  </si>
  <si>
    <t>The green mussel, Perna viridis, was used to measure bioaccumulated levels of organochlorine pesticides (OCPs), together with various heavy metals, in the marine environment of Singapore. Samples were collected from eight different locations in the coastal waters of Singapore between April and May 2002. OCPs (i.e. DDT, Chlordane, Mirex, hexachlorobenzene (HCB), pentachloronitrobenzene (PCNB) and Heptachlor) were quantified by gas chromatography-mass spectrometry. Heavy metals (i.e. As, Cd, Cr, Cu, Ni, Pb and Zn) were quantified by induced coupled plasma spectrometry. The concentration ranged from 2.6 to 54 ng g(-1) dw for DDTs (i.e. sum of p,p'-DDT, p,p'-DDD, o, p'-DDE and p, p'-DDE), 3.1 to 15 ng g(-1) dw for Chlordanes (i.e. sum of alpha- and gamma-chlordane) and 0.26 to 1.5 ng g(-1) dw for Mirex. These levels can be considered low when compared to reported values from similar studies conducted elsewhere in the world. Other pesticides were not detected. All heavy metals analysed were detected in all P. viridis samples, but only Cu, Pb, Zn and As were close to existing safety standards. Samples taken from locations adjacent to the main shipyards on the coastline and busy shipping lanes demonstrated peak levels of heavy metals and pesticides in the mussel tissues.</t>
  </si>
  <si>
    <t>Natl Univ Singapore, Dept Chem, Singapore 177543, Singapore; Natl Univ Singapore, Trop Marine Sci Inst, Singapore, Singapore; Univ Lancaster, Dept Environm Sci, Lancaster LA1 4YQ, England; Natl Univ Singapore, Dept Environm Chem &amp; Engn, Singapore 177576, Singapore</t>
  </si>
  <si>
    <t>National University of Singapore; National University of Singapore; Lancaster University; National University of Singapore</t>
  </si>
  <si>
    <t>Natl Univ Singapore, Dept Chem, Singapore 177543, Singapore.</t>
  </si>
  <si>
    <t>scip0153@nus.edu.sg</t>
  </si>
  <si>
    <t>Lee, Hian/B-3993-2018; OBBARD, Jeff/D-4630-2009; Lee, Hian Kee/B-3983-2018</t>
  </si>
  <si>
    <t>Bayen, Stephane/0000-0002-9935-6685; Lee, Hian Kee/0000-0002-5664-9509</t>
  </si>
  <si>
    <t>10.1023/B:WATE.0000026524.99553.55</t>
  </si>
  <si>
    <t>817XB</t>
  </si>
  <si>
    <t>WOS:000221209100008</t>
  </si>
  <si>
    <t>Trevisan, R; Delapedra, G; Mello, DF; Arl, M; Schmidt, EC; Meder, F; Monopoli, M; Cargnin-Ferreira, E; Bouzon, ZL; Fisher, AS; Sheehan, D; Dafre, AL</t>
  </si>
  <si>
    <t>Trevisan, Rafael; Delapedra, Gabriel; Mello, Danielle F.; Arl, Miriam; Schmidt, Eder C.; Meder, Fabian; Monopoli, Marco; Cargnin-Ferreira, Eduardo; Bouzon, Zenilda L.; Fisher, Andrew S.; Sheehan, David; Dafre, Alcir L.</t>
  </si>
  <si>
    <t>Gills are an initial target of zinc oxide nanoparticles in oysters Crassostrea gigas, leading to mitochondrial disruption and oxidative stress</t>
  </si>
  <si>
    <t>17th Meeting on Pollution Responses in Marine Organisms (PRIMO)</t>
  </si>
  <si>
    <t>APR 05-08, 2013</t>
  </si>
  <si>
    <t>Univ Algarve, Faro, PORTUGAL</t>
  </si>
  <si>
    <t>Univ Algarve</t>
  </si>
  <si>
    <t>Nanomaterials; Bivalves; Antioxidants; Glutathione reductase; Mitochondria</t>
  </si>
  <si>
    <t>MUSSEL MYTILUS-EDULIS; CARP CYPRINUS-CARPIO; ANTIOXIDANT DEFENSES; SCROBICULARIA-PLANA; DIGESTIVE GLAND; CELL-DEATH; IN-VITRO; GLUTATHIONE; EXPOSURE; WATER</t>
  </si>
  <si>
    <t>The increasing industrial use of nanomaterials during the last decades poses a potential threat to the environment and in particular to organisms living in the aquatic environment. In the present study, the toxicity of zinc oxide nanoparticles (ZnONP) was investigated in Pacific oysters Crassostrea gigas. The nanoscale of ZnONP, in vehicle or ultrapure water, was confirmed, presenting an average size ranging from 28 to 88 nm. In seawater, aggregation was detected by TEM and DLS analysis, with an increased average size ranging from 1 to 2 mu m. Soluble or nanoparticulated zinc presented similar toxicity, displaying a LC50 (96h) around 30 mg/L. High zinc dissociation from ZnONP, releasing ionic zinc in seawater, is a potential route for zinc assimilation and ZnONP toxicity. To investigate mechanisms of toxicity, oysters were treated with 4 mg/L ZnONP for 6,24 or 48 h. ZnONP accumulated in gills (24 and 48 h) and digestive glands (48 h). Ultrastructural analysis of gills revealed electron-'dense vesicles near the cell membrane and loss of mitochondrial cristae (6 h). Swollen mitochondria and a more conspicuous loss of mitochondrial cristae were observed after 24 h. Mitochondria with disrupted membranes and an increased number of cytosolic vesicles displaying electron-dense material were observed 48 h post exposure. Digestive gland showed similar changes, but these were delayed relative to gills. ZnONP exposure did not greatly affect thiol homeostasis (reduced and oxidized glutathione) or immunological parameters (phagocytosis, hemocyte viability and activation and total hemocyte count). At 24h post exposure, decreased (-29%) glutathione reductase (GR) activity was observed in gills, but other biochemical responses were observed only after 48 h of exposure: lower GR activity (-28%) and levels of protein thiols (-21%), increased index of lipid peroxidation (+49%) and GPx activity (+26%). In accordance with ultrastructural changes and zinc load, digestive gland showed delayed biochemical responses. Except for a decreased GR activity (-47%) at 48 h post exposure, the biochemical alterations seen in gills were not present in digestive gland. The results indicate that gills are able to incorporate zinc prior (24h) to digestive gland (48 h), leading to earlier mitochondrial disruption and oxidative stress. Our data suggest that gills are the initial target of ZnONP and that mitochondria are organelles particularly susceptible to ZnONP in C. gigas. (C) 2014 Elsevier B.V. All rights reserved.</t>
  </si>
  <si>
    <t>[Trevisan, Rafael; Delapedra, Gabriel; Mello, Danielle F.; Arl, Miriam; Dafre, Alcir L.] Univ Fed Santa Catarina, Dept Biochem, BR-88040900 Florianopolis, SC, Brazil; [Schmidt, Eder C.; Bouzon, Zenilda L.] Univ Fed Santa Catarina, Dept Cell Biol Embryol &amp; Genet, BR-88049900 Florianopolis, SC, Brazil; [Meder, Fabian; Monopoli, Marco] Univ Coll Dublin, Ctr Bionano Interact, Dublin 2, Ireland; [Cargnin-Ferreira, Eduardo] Fed Inst Santa Catarina, Lab Histol Markers, BR-88495000 Garopaba, SC, Brazil; [Fisher, Andrew S.] Univ Plymouth, Sch Geog Earth &amp; Environm Sci, Plymouth PL4 8AA, Devon, England; [Sheehan, David] Natl Univ Ireland Univ Coll Cork, Dept Biochem, Cork, Ireland</t>
  </si>
  <si>
    <t>Universidade Federal de Santa Catarina (UFSC); Universidade Federal de Santa Catarina (UFSC); University College Dublin; Instituto Federal Catarinense; Instituto Federal de Santa Catarina (IFSC); University of Plymouth; University College Cork</t>
  </si>
  <si>
    <t>Dafre, AL (corresponding author), Univ Fed Santa Catarina, Ctr Biol Sci, Dept Biochem, BR-88040900 Florianopolis, SC, Brazil.</t>
  </si>
  <si>
    <t>alcir.dafre@ufsc.br</t>
  </si>
  <si>
    <t>Sheehan, David/ABB-5315-2020; Mello, Danielle/AAI-7538-2020; Monopoli, Marco/AAM-6527-2021; bouzon, zenilda/I-6673-2012; Dafre, Alcir/AAE-7738-2019; Meder, Fabian/X-3705-2019; Ferreira, Eduardo/AAP-6291-2021; Trevisan, Rafael/E-3235-2019; Monopoli, Marco P./I-7060-2018</t>
  </si>
  <si>
    <t>Meder, Fabian/0000-0002-1331-0265; Dafre, Alcir/0000-0001-8097-4611; Trevisan, Rafael/0000-0003-4145-8299; Fisher, Andrew/0000-0003-4373-4904; Monopoli, Marco P./0000-0002-2035-6894; Mello, Danielle/0000-0003-0530-8277</t>
  </si>
  <si>
    <t>10.1016/j.aquatox.2014.03.018</t>
  </si>
  <si>
    <t>AL5BT</t>
  </si>
  <si>
    <t>WOS:000339149200004</t>
  </si>
  <si>
    <t>Mottin, E; Caplat, C; Mahaut, ML; Costil, K; Barillier, D; Lebel, JM; Serpentini, A</t>
  </si>
  <si>
    <t>Mottin, Elmina; Caplat, Christelle; Mahaut, Marie-Laure; Costil, Katherine; Barillier, Daniel; Lebel, Jean-Marc; Serpentini, Antoine</t>
  </si>
  <si>
    <t>Effect of in vitro exposure to zinc on immunological parameters of haemocytes from the marine gastropod Haliotis tuberculata</t>
  </si>
  <si>
    <t>Zinc; Immune parameters; Abalone; Haliotis tuberculata; Haemocytes</t>
  </si>
  <si>
    <t>CRASSOSTREA-GIGAS THUNBERG; PACIFIC OYSTER; DIVERSICOLOR-SUPERTEXTA; IMMUNE-RESPONSES; PRIMARY CULTURES; DIGESTIVE GLAND; FLOW-CYTOMETRY; ABALONE; CADMIUM; MOLLUSK</t>
  </si>
  <si>
    <t>Environmental pollutants such as heavy metals exert immunotoxic effects on aquatic organisms. The immune defence of molluscs is comprised of cell-mediated and humoral mechanisms, in which haemocytes play a key role. In this study, a model based on primary cultured haemocytes from the gastropod mollusc Haliotis tuberculata was established to investigate the effects of zinc in vitro. Cells were exposed for 24 h to ZnCl2 concentrations of 0, 10, 100 or 1000 mu M. The effects of zinc on haemocyte parameters were investigated using morphological, spectrophotometric and flow cytometry analysis. Immunotoxicity was reflected by a significant decrease in the number of viable haemocytes (LC50(24 h) = 314 mu M). Moreover, the cell area was dramatically reduced, and the percentage of rounded cells increased with increasing zinc concentrations. Exposure to 1000 mu M zinc induced a significant reduction in acid phosphatase activity, phagocytic activity and reactive oxygen species production in haemocytes. However, several haemocyte parameters increased significantly after 24 h of zinc exposure. In response to a 1000 mu M exposure, the phenoloxidase level was 26-fold higher than that of the control, and nonspecific esterase activity was increased by 69% above that of the control. These results suggest a relationship between zinc exposure and alterations in the functional responses of haemocytes from H. tuberculata. (C) 2010 Elsevier Ltd. All rights reserved.</t>
  </si>
  <si>
    <t>[Mottin, Elmina; Costil, Katherine; Lebel, Jean-Marc; Serpentini, Antoine] Univ Caen Basse Normandie, UMR IFREMER Physiol &amp; Ecophysiol Mollusques Marin, IFR ICORE IBFA 146, F-14032 Caen, France; [Mottin, Elmina; Caplat, Christelle; Barillier, Daniel] Univ Caen Basse Normandie, Equipe Rech Physicochim &amp; Biotechnol, IUT UFR Sci, EA 3914, F-14032 Caen, France; [Caplat, Christelle] CORRODYS, F-50130 Octeville, France; [Mahaut, Marie-Laure] CNAM Intechmer, F-50103 Tourlaville, France</t>
  </si>
  <si>
    <t>Universite de Caen Normandie; Ifremer; Universite de Caen Normandie; heSam Universite; Conservatoire National Arts &amp; Metiers (CNAM)</t>
  </si>
  <si>
    <t>Serpentini, A (corresponding author), Univ Caen Basse Normandie, UMR IFREMER Physiol &amp; Ecophysiol Mollusques Marin, IFR ICORE IBFA 146, Campus 1,Sci C,Esplanade Paix, F-14032 Caen, France.</t>
  </si>
  <si>
    <t>antoine.serpentini@unicaen.fr</t>
  </si>
  <si>
    <t>Ministere de l'Enseignement Superieur et de la Recherche</t>
  </si>
  <si>
    <t>Ministere de l'Enseignement Superieur et de la Recherche(Estonian Research Council)</t>
  </si>
  <si>
    <t>E. Mottin's work was financially supported by a fellowship from the Ministere de l'Enseignement Superieur et de la Recherche. The authors thank L. Poulain and M. Duval (IFR 146 ICORE) for their help in flow cytometry studies, the technical staff of the C.R.E.C. for their assistance in animal care and Elsevier Language Editing Services for English revision.</t>
  </si>
  <si>
    <t>10.1016/j.fsi.2010.07.022</t>
  </si>
  <si>
    <t>658DM</t>
  </si>
  <si>
    <t>WOS:000282470400020</t>
  </si>
  <si>
    <t>Ng, K; Szabo, Z; Reilly, PA; Barringer, JL; Smalling, KL</t>
  </si>
  <si>
    <t>Ng, Kara; Szabo, Zoltan; Reilly, Pamela A.; Barringer, Julia L.; Smalling, Kelly L.</t>
  </si>
  <si>
    <t>An assessment of mercury in estuarine sediment and tissue in Southern New Jersey using public domain data</t>
  </si>
  <si>
    <t>Mercury; Sediment; Mussel; Tissue; Estuary; New Jersey</t>
  </si>
  <si>
    <t>MUMMICHOGS FUNDULUS-HETEROCLITUS; EGG HARBOR ESTUARY; METHYLMERCURY PRODUCTION; ORGANIC-MATTER; COASTAL-PLAIN; HEAVY-METALS; SURFACE SEDIMENTS; TROPHIC TRANSFER; CHESAPEAKE BAY; FIDDLER-CRABS</t>
  </si>
  <si>
    <t>Mercury (Hg) is considered a contaminant of global concern for coastal environments due to its toxicity, widespread occurrence in sediment, and bioaccumulation in tissue. Coastal New Jersey, USA, is characterized by shallow bays and wetlands that provide critical habitat for wildlife but share space with expanding urban landscapes. This study was designed as an assessment of the magnitude and distribution of Hg in coastal New Jersey sediments and critical species using publicly available data to highlight potential data gaps. Mercury concentrations in estuary sediments can exceed 2 mu g/g and correlate with concentrations of other metals. Based on existing data, the concentrations of Hg in mussels in southern New Jersey are comparable to those observed in other urbanized Atlantic Coast estuaries. Lack of methylmercury data for sediments, other media, and tissues are data gaps needing to be filled for a clearer understanding of the impacts of Hg inputs to the ecosystem. Published by Elsevier Ltd.</t>
  </si>
  <si>
    <t>[Ng, Kara; Szabo, Zoltan; Reilly, Pamela A.; Barringer, Julia L.; Smalling, Kelly L.] US Geol Survey, New Jersey Water Sci Ctr, Lawrenceville, NJ 08648 USA; [Ng, Kara] CUNY City Coll, Grad Ctr, PhD Program Chem, New York, NY 10016 USA; [Ng, Kara] CUNY City Coll, Div Sci, Dept Chem &amp; Biochem, New York, NY 10016 USA</t>
  </si>
  <si>
    <t>United States Department of the Interior; United States Geological Survey; City University of New York (CUNY) System; City College of New York (CUNY); City University of New York (CUNY) System; City College of New York (CUNY)</t>
  </si>
  <si>
    <t>Szabo, Z (corresponding author), 3450 Princeton Pike,Suite 110, Lawrenceville, NJ 08628 USA.</t>
  </si>
  <si>
    <t>zszabo@usgs.gov</t>
  </si>
  <si>
    <t>Ng, Kara/0000-0003-4669-272X; Reilly, Pamela/0000-0002-2937-4490; Szabo, Zoltan/0000-0002-0760-9607</t>
  </si>
  <si>
    <t>City College of New York, Division of Science; United States Geological Survey, New Jersey Water Science Center</t>
  </si>
  <si>
    <t>This study was funded by the United States Geological Survey, New Jersey Water Science Center and The City College of New York, Division of Science. The managers of the funding sources did not participate in the design of the study, nor the interpretation or writing of the manuscript. All such decisions were solely made by the authors.</t>
  </si>
  <si>
    <t>10.1016/j.marpolbul.2016.04.027</t>
  </si>
  <si>
    <t>WOS:000377726700016</t>
  </si>
  <si>
    <t>Guo, SN; Zheng, JL; Yuan, SS; Zhu, QL</t>
  </si>
  <si>
    <t>Guo, Sai-Nan; Zheng, Jia-Lang; Yuan, Shuang-Shuang; Zhu, Qing-Ling</t>
  </si>
  <si>
    <t>Effects of heat and cadmium exposure on stress-related responses in the liver of female zebrafish: Heat increases cadmium toxicity</t>
  </si>
  <si>
    <t>Warming; DNA methylation; Cadmium exposure; Gene transcription; Fish</t>
  </si>
  <si>
    <t>TROUT ONCORHYNCHUS-MYKISS; BIVALVES CRASSOSTREA-VIRGINICA; CARP CTENOPHARYNGODON-IDELLUS; JUVENILE SEA-BASS; OXIDATIVE STRESS; DANIO-RERIO; HIGH-TEMPERATURE; RAINBOW-TROUT; ELEVATED-TEMPERATURE; NITRIC-OXIDE</t>
  </si>
  <si>
    <t>In this study, female zebrafish (Danio rerio) were exposed to 26 degrees C or 34 degrees C, 0 or 197 mu g/L cadmium (Cd), singly or in combination for 7 days. Multiple stress-related indicators were evaluated in the liver. Mortality, lipid peroxidation (LPO) and ultrastructural damage increased significantly by Cd exposure alone, and were not affected by heat alone. Interestingly, the combined exposure increased LPO, ultrastructural damage, and mortality compared with Cd exposure alone. The results indicated that elevated temperature increased Cd toxicity, which could be explained by several reasons. Firstly, Cd-exposed fish failed to activate the antioxidant defense system under heat stress. Secondly, expression levels of heat shock protein 70 (HSP70) were not significantly up-regulated by heat in Cd-exposed fish but increased by 117 times in Cd-free fish. Besides, hypermethylation of heat shock factor (HSF) binding motif in HSP70 promoter was observed during the combined exposure, indicating that simultaneous exposure may have partially suppressed the cytoprotective up-regulation of HSP70. Thirdly, heat induced an immunosuppressive effect in Cd-exposed fish, as reflected by the reduced mRNA and activity levels of nitric oxide synthase (iNOS) and interleukin-1 beta (IL-1 beta) expression levels. Finally, heat down-regulated Zir-, Irt-like protein 8 (ZIP8) and copper transporter 1 (CTR1) and up-regulated metallothioneins (MTs) in Cd-exposed fish, possibly suggesting Cu and Zn depletion and Cd accumulation. Hence, our data provide evidences that warmer temperatures can potentiate Cd toxicity, involved in the regulation of gene transcription, enzymatic activity, and DNA methylation. We found that heat indicators showed varied sensitivity between normal and Cd-exposed fish, emphasizing that the field metal pollution should be carefully considered when evaluating effects of climate change. (C) 2017 Elsevier B.V. All rights reserved.</t>
  </si>
  <si>
    <t>[Guo, Sai-Nan; Zheng, Jia-Lang; Yuan, Shuang-Shuang] Zhejiang Ocean Univ, Natl Engn Res Ctr Marine Facil Aquaculture, Zhoushan 316022, Peoples R China; [Zhu, Qing-Ling] Zhejiang Ocean Univ, Postgrad Work Dept, Zhoushan 316022, Peoples R China; [Zhu, Qing-Ling] Zhejiang Univ, Ocean Coll, Hangzhou 310058, Zhejiang, Peoples R China</t>
  </si>
  <si>
    <t>Chinese Academy of Sciences; Zhejiang Ocean University; Zhejiang Ocean University; Zhejiang University</t>
  </si>
  <si>
    <t>Zheng, JL (corresponding author), Zhejiang Ocean Univ, Natl Engn Res Ctr Marine Facil Aquaculture, Zhoushan 316022, Peoples R China.</t>
  </si>
  <si>
    <t>zhengjialang@aliyun.com</t>
  </si>
  <si>
    <t>Zhu, Qinling/AAG-1700-2021; Zheng, Jia-Lang/E-6711-2017</t>
  </si>
  <si>
    <t>Zhu, Qing-Ling/0000-0001-6189-2549; Zheng, Jia-Lang/0000-0003-3082-7765</t>
  </si>
  <si>
    <t>National Natural Science Foundation of China [41606122]; Scientific Research Foundation of Zhejiang Ocean University [22115010215]; Natural Science Foundation of Zhejiang Province [LY15C190009]</t>
  </si>
  <si>
    <t>National Natural Science Foundation of China(National Natural Science Foundation of China (NSFC)); Scientific Research Foundation of Zhejiang Ocean University; Natural Science Foundation of Zhejiang Province(Natural Science Foundation of Zhejiang Province)</t>
  </si>
  <si>
    <t>This work was supported by National Natural Science Foundation of China (Grant No. 41606122), Scientific Research Foundation of Zhejiang Ocean University (22115010215), and Natural Science Foundation of Zhejiang Province (LY15C190009).</t>
  </si>
  <si>
    <t>10.1016/j.scitotenv.2017.09.264</t>
  </si>
  <si>
    <t>FU8UD</t>
  </si>
  <si>
    <t>WOS:000424130500136</t>
  </si>
  <si>
    <t>Orescanin, V; Lovrencic, I; Mikelic, L; Barisic, D; Matasin, Z; Lulic, S; Pezelj, D</t>
  </si>
  <si>
    <t>Biomonitoring of heavy metals and arsenic on the east coast of the Middle Adriatic Sea using Mytilus galloprovincialis</t>
  </si>
  <si>
    <t>NUCLEAR INSTRUMENTS &amp; METHODS IN PHYSICS RESEARCH SECTION B-BEAM INTERACTIONS WITH MATERIALS AND ATOMS</t>
  </si>
  <si>
    <t>Mytilus galloprovincialis; heavy metals; arsenic; Adriatic Sea; EDXRF</t>
  </si>
  <si>
    <t>MUSSEL; WATER; BAY; CONTAMINATION; SEDIMENTS; POLLUTION; MOLLUSKS; CADMIUM; MERCURY; LEAD</t>
  </si>
  <si>
    <t>Results of two years monitoring of heavy metals and arsenic concentrations in soft tissue of Mediterranean blue mussel Mytilus galloprovincialis are presented. Samples were taken at six localities (five exposed to various pollution Sources and one control site) on the east coast of the Middle Adriatic in October 2003 and 2004 and in April 2004 and 2005. All measurements were carried out with source excited Energy Dispersive X-ray Fluorescence Method (EDXRF). Measured concentrations were in the following ranges: Pb (2-7 mg/kg); As (4-30 mg/kg); Cr (1-2.9 mg/kg); Mn (2-13 mg/kg); Fe (53.4-719 mg/kg); Ni (0.8-5 mg/kg); Cu (3.7-11.1 mg/kg) and Zn (59.1-273 mg/kg). Maximum values of the most elements were measured in samples from the most polluted Vranjic region. Statistically significant difference among six localities (p = 0.05) was found for As, Fe and Zn while Mn, Fe and Cu showed significantly higher concentrations in spring period. None of the selected elements showed significant difference between the control and exposed regions. (c) 2005 Elsevier B.V. All rights reserved.</t>
  </si>
  <si>
    <t>Rudjer Boskovic Inst, Lab Radioecol, Zagreb 10002, Croatia; Univ Zagreb, Fac Vet Med, Zagreb 10000, Croatia; Univ Zagreb, Fac Sci, Dept Geol &amp; Paleontol, Zagreb 10000, Croatia</t>
  </si>
  <si>
    <t>Rudjer Boskovic Institute; University of Zagreb; University of Zagreb</t>
  </si>
  <si>
    <t>Rudjer Boskovic Inst, Lab Radioecol, Bijenicka Cesta 54, Zagreb 10002, Croatia.</t>
  </si>
  <si>
    <t>vobescan@irb.hr</t>
  </si>
  <si>
    <t>Mikelic, Ivanka/C-5860-2011; Oreščanin, Višnja/AAV-6085-2020</t>
  </si>
  <si>
    <t>0168-583X</t>
  </si>
  <si>
    <t>1872-9584</t>
  </si>
  <si>
    <t>NUCL INSTRUM METH B</t>
  </si>
  <si>
    <t>Nucl. Instrum. Methods Phys. Res. Sect. B-Beam Interact. Mater. Atoms</t>
  </si>
  <si>
    <t>10.1016/j.nimb.2005.11.050</t>
  </si>
  <si>
    <t>Instruments &amp; Instrumentation; Nuclear Science &amp; Technology; Physics, Atomic, Molecular &amp; Chemical; Physics, Nuclear</t>
  </si>
  <si>
    <t>Instruments &amp; Instrumentation; Nuclear Science &amp; Technology; Physics</t>
  </si>
  <si>
    <t>028PO</t>
  </si>
  <si>
    <t>WOS:000236500500022</t>
  </si>
  <si>
    <t>Park, K; Kwak, IS</t>
  </si>
  <si>
    <t>Park, Kiyun; Kwak, Ihn-Sil</t>
  </si>
  <si>
    <t>Growth retardation and suppression of ubiquitin-dependent catabolic processes in the brackish water clam Corbicula japonica in response to salinity changes and bioaccumulation of toxic heavy metals</t>
  </si>
  <si>
    <t>Bivalve; RNA sequencing; Osmotic stress; Heavy metal distribution; Growth development</t>
  </si>
  <si>
    <t>PROTEIN; EXPRESSION; CRAB; IDENTIFICATION; ACCUMULATION; RECOGNITION; TOLERANCE; FLUMINEA; ESTUARY; MUSSEL</t>
  </si>
  <si>
    <t>The brackish water clam (Corbicula japonica) is constantly exposed to stressful salinity gradients and high levels of heavy metals in the freshwater-saltwater interface of estuary environments, which are introduced from upstream regions and land. To identify the key molecular pathways involved in the response to salinity changes and heavy metal bioaccumulation, we obtained the transcriptomes of C. japonica inhabiting different salinities and heavy metal distributions in Gwangyang Bay (Korea) using RNA sequencing. Among a total of 404,486 assembled unigenes, 5534 differentially expressed genes were identified in C. japonica inhabiting different conditions, 1549 of which were significantly upregulated and 1355 were significantly downregulated. Correlation analyses revealed distinct gene expression patterns between the low and high conditions of salinity and heavy metal bioaccumulation. Functional annotation revealed significant downregulation of genes involved in ubiquitindependent protein catabolic process, tricarboxylic acid cycle, and intracellular protein transport in C. japonica from the high condition compared to the low condition. Transcription and translation pathways were significantly enriched in the high condition. Additionally, upon comparison of the low and high conditions by qRT-PCR and proteasome enzyme activity analyses, our findings demonstrated that environmental stress could suppress the ubiquitin-proteasome complex (UPC). Additionally, transcriptomic changes under high salinity stress conditions may be related to an increase in cellular protection by defense enzymes, which leads to more energy being required and a disruption of energy homeostasis. Ultimately, this could cause growth retardation in the clam C. japonica. In summary, this study provides the first evidence of UPC suppression induced by a combination of high salinity and heavy metal bioaccumulation stress in C. japonica, which could compromise the survival and growth of estuarine bivalves.</t>
  </si>
  <si>
    <t>[Park, Kiyun; Kwak, Ihn-Sil] Chonnam Natl Univ, Fisheries Sci Inst, Yeosu 59626, South Korea; [Kwak, Ihn-Sil] Chonnam Natl Univ, Dept Ocean Integrated Sci, Yeosu 59626, South Korea; [Kwak, Ihn-Sil] Chonnam Natl Univ Chonnam, Fac Marine Technol, Yeosu 550749, South Korea</t>
  </si>
  <si>
    <t>Chonnam National University; Chonnam National University</t>
  </si>
  <si>
    <t>Kwak, IS (corresponding author), Chonnam Natl Univ Chonnam, Fac Marine Technol, Yeosu 550749, South Korea.</t>
  </si>
  <si>
    <t>iskwak@chonnam.ac.kr</t>
  </si>
  <si>
    <t>Park, Kiyun/0000-0003-2965-6970</t>
  </si>
  <si>
    <t>National Research Foundation of Korea, South Korea - Korean Government [NRF-2018-R1A6A1A-03024314]; [NRF-2020-R1A2C-1013936]</t>
  </si>
  <si>
    <t>National Research Foundation of Korea, South Korea - Korean Government(National Research Foundation of Korea);</t>
  </si>
  <si>
    <t>This study was supported by the National Research Foundation of Korea, South Korea, which is funded by the Korean Government [NRF-2018-R1A6A1A-03024314 and NRF-2020-R1A2C-1013936] .</t>
  </si>
  <si>
    <t>10.1016/j.envpol.2023.122554</t>
  </si>
  <si>
    <t>U1AL3</t>
  </si>
  <si>
    <t>WOS:001082199800001</t>
  </si>
  <si>
    <t>Metian, M; Pouil, S; Dupuy, C; Teyssié, JL; Warnau, M; Bustamante, P</t>
  </si>
  <si>
    <t>Metian, Marc; Pouil, Simon; Dupuy, Christine; Teyssie, Jean-Louis; Warnau, Michel; Bustamante, Paco</t>
  </si>
  <si>
    <t>Influence of food (ciliate and phytoplankton) on the trophic transfer of inorganic and methyl-mercury in the Pacific cupped oyster Crassostrea gigas</t>
  </si>
  <si>
    <t>Bivalve; Bioaccumulation; Food pathway; Mercury; Radiotracers</t>
  </si>
  <si>
    <t>MUSSELS MYTILUS-EDULIS; PERNA-VIRIDIS; GREEN MUSSEL; MARINE BIVALVES; TRACE-ELEMENTS; ASSIMILATION; BIOACCUMULATION; METHYLMERCURY; ACCUMULATION; ZN</t>
  </si>
  <si>
    <t>Diet is an important route of mercury (Hg) uptake in marine organisms. Trophic transfer of Hg throughout the food webs may be influenced by various factors, including diet and Hg speciation. Bivalves such as oysters are widely used as bioindicators of trace element pollution such as Hg. Nevertheless, our current knowledge regarding their ability to accumulate Hg from their diet is mainly based on experiments performed using phytoplankton. In their natural environment, oysters feed on a variety of food items including dilates, detritus, in addition to phytoplankton. The present study aimed at examining the influence of diet composition on the trophic transfer of inorganic Hg (iHg) and methylmercury (MeHg) in the Pacific cupped oyster Crassostrea gigas. The pulse-chase feeding method was used with two radiolabeled food items: a heterotrophic protist (Uronema marinum) and a phytoplanktonic diatom (Thalassiosira pseudonana). Depuration of dietary Hg in the oysters was followed for 50 d. Kinetic parameters including assimilation efficiency (AE) and efflux rate constant (k(e)) were calculated. Our results showed that oysters fed on ciliates assimilated 96 +/- 1% and 31 +/- 2% of the ingested MeHg and iHg, respectively whereas these elements were similarly assimilated in the oysters fed on phytoplankton (78 +/- 3% and 86 +/- 4% for MeHg and iHg, respectively). Mercury assimilation in oyster is thus diet dependent (significant differences in AE, p &lt; 0.05), metal species-dependent and likely resulting from variations in Hg bioavailability in the two food items tested and a gut passage time-dependent of the ingested matrix. (C) 2019 Elsevier Ltd. All rights reserved.</t>
  </si>
  <si>
    <t>[Metian, Marc; Pouil, Simon; Teyssie, Jean-Louis; Warnau, Michel] IAEA, Environm Labs, 4a Quai Antoine 1er, MC-98000 Principality Of Monaco, Monaco; [Dupuy, Christine; Bustamante, Paco] La Rochelle Univ, CNRS, UMR 7266, Littoral Environm &amp; Soc LIENSs, 2 Rue Olympe de Gouges, F-17000 La Rochelle, France</t>
  </si>
  <si>
    <t>Centre National de la Recherche Scientifique (CNRS); CNRS - Institute of Ecology &amp; Environment (INEE)</t>
  </si>
  <si>
    <t>Metian, M (corresponding author), IAEA, Environm Lab, Radioecol Lab, 4a Quai Antoine 1er, MC-98000 Principality Of Monaco, Monaco.</t>
  </si>
  <si>
    <t>m.metian@iaea.org</t>
  </si>
  <si>
    <t>Metian, Marc/F-8010-2018; Pouil, Simon/J-6839-2019; Bustamante, Paco/G-5833-2011</t>
  </si>
  <si>
    <t>Pouil, Simon/0000-0003-1531-0362; Bustamante, Paco/0000-0003-3877-9390; Metian, Marc/0000-0003-1485-5029</t>
  </si>
  <si>
    <t>Government of the Principality of Monaco; IUF (Institut Universitaire de France)</t>
  </si>
  <si>
    <t>The IAEA is grateful for the support provided to its Environment Laboratories by the Government of the Principality of Monaco. The IUF (Institut Universitaire de France) is acknowledged for its support to PB as a Senior Member. MW is an Honorary Senior Research Associate of the National Fund for Scientific Research (NFSR, Belgium). The authors would like to express their gratitude to Dr Claude Rouleau for sharing his expertise on methylation of 203Hg.</t>
  </si>
  <si>
    <t>10.1016/j.envpol.2019.113503</t>
  </si>
  <si>
    <t>KN3NG</t>
  </si>
  <si>
    <t>WOS:000514746800042</t>
  </si>
  <si>
    <t>Baldi, F; Gallo, M; Marchetto, D; Fani, R; Maida, I; Horvat, M; Fajon, V; Zizek, S; Hines, M</t>
  </si>
  <si>
    <t>Baldi, Franco; Gallo, Michele; Marchetto, Davide; Fani, Renato; Maida, Isabel; Horvat, Milena; Fajon, Vesna; Zizek, Suzana; Hines, Mark</t>
  </si>
  <si>
    <t>Seasonal mercury transformation and surficial sediment detoxification by bacteria of Marano and Grado lagoons</t>
  </si>
  <si>
    <t>mercury pollution; detoxification; biopolimeric carbon; mercury species; bacteria; plasmids</t>
  </si>
  <si>
    <t>NORTHERN ADRIATIC SEA; FRAGMENT-LENGTH-POLYMORPHISM; LEVEL ENVIRONMENTAL-SAMPLES; GULF-OF-TRIESTE; BIOGEOCHEMICAL CYCLE; MARINE; METHYLMERCURY; CONTAMINATION; PROTEIN; DISTILLATION</t>
  </si>
  <si>
    <t>Marano and Grado lagoons are polluted by mercury from the Isonzo River and a chlor-alkali plant, yet despite this contamination, clam cultivation is one of the main activities in the region. Four stations (MA, MB, MC and GD) were chosen for clam seeding and surficial sediments were monitored in autumn, winter and summer to determine the Hg detoxifying role of bacteria. Biotransformation of Hg species in surficial sediments of Marano and Grado lagoons was investigated while taking into consideration the speciation of organic matter in the biochemical classes of PRT (proteins), CHO (carbohydrates) and LIP (lipids), water-washed cations and anions, bacterial biomass, Hg-resistant bacteria, some specific microbial activities such as sulfate reduction rates, Hg methylation rates, Hg-demethylation rates, and enzymatic ionic Hg reduction. MeHg in sediments was well correlated with PRT content, whereas total Hg in sediments correlated with numbers of Hg-resistant bacteria. Correlations of the latter with Hg-demethylation rates in autumn and winter suggested a direct role Hg-resistant bacteria in Hg detoxification by producing elemental Hg (Hg-0) from ionic Hg and probably also from MeHg. MeHg-demethylation rates were similar to 10 times higher than Hg methylation rates, were highest in summer and correlated with high sulfate reduction rates indicating that MeHg was probably degraded in summer by sulfate-reducing bacteria via an oxidative pathway. During the summer period, aerobic heterotrophic Hg-resistant bacteria decreased to &lt;2% compared to 53% in winter. Four Hg-resistant bacterial strains were isolated, two Gram-positive (Staphylococcus and Bacillus) and two Gram-negative (Stenotrophomonas and Pseudomonas). Two were able to produce Hg-0, but just one contained a merA gene: while other two strains did not produce Hg-0 even though they were able to grow at 5 mu g ml of HgCl2. Lagoon sediments support a strong sulfur cycle in summer that controls Hg methylation and demethylation. However, during winter, Hg-resistant bacteria that are capable of degrading MeHg via the mer-catalyzed reductive pathway increase in importance. (C) 2012 Elsevier Ltd. All rights reserved.</t>
  </si>
  <si>
    <t>[Baldi, Franco; Gallo, Michele; Marchetto, Davide] Ca Foscari Univ Venice, Dept Sci Mol &amp; Nanosistemi, I-30123 Venice, Italy; [Fani, Renato; Maida, Isabel] Dept Evolutionary Biol, I-50125 Florence, Italy; [Horvat, Milena; Fajon, Vesna; Zizek, Suzana] Jozef Stefan Inst, Dept Environm Sci, Ljubljana 1000, Slovenia; [Hines, Mark] Univ Massachusetts, Dept Biol Sci, Lowell, MA 01854 USA</t>
  </si>
  <si>
    <t>Universita Ca Foscari Venezia; Slovenian Academy of Sciences &amp; Arts (SASA); Jozef Stefan Institute; University of Massachusetts System; University of Massachusetts Lowell</t>
  </si>
  <si>
    <t>Baldi, F (corresponding author), Ca Foscari Univ Venice, Dept Sci Mol &amp; Nanosistemi, Dorsoduro 2137, I-30123 Venice, Italy.</t>
  </si>
  <si>
    <t>baldi@unive.it</t>
  </si>
  <si>
    <t>Commissario Delegato for the Marano and Grado Lagoons</t>
  </si>
  <si>
    <t>The authors are very grateful for the fieldwork and sampling operations carried out by Stefano Caressa. The MIRACLE (Mercury Interdisciplinary Research for Appropriate Clam farming in Lagoon Environment) Project was supported financially by the Commissario Delegato for the Marano and Grado Lagoons in 2008-2009 (coordinator: S. Covelli).</t>
  </si>
  <si>
    <t>NOV 10</t>
  </si>
  <si>
    <t>10.1016/j.ecss.2012.02.008</t>
  </si>
  <si>
    <t>036XY</t>
  </si>
  <si>
    <t>WOS:000311066800010</t>
  </si>
  <si>
    <t>Matic, D; Vlahovic, M; Ilijin, L; Mrdakovic, M; Grcic, A; Filipovic, A; Peric-Mataruga, V</t>
  </si>
  <si>
    <t>Matic, Dragana; Vlahovic, Milena; Ilijin, Larisa; Mrdakovic, Marija; Grcic, Anja; Filipovic, Aleksandra; Peric-Mataruga, Vesna</t>
  </si>
  <si>
    <t>Metallothionein level, non-specific esterases, fitness-related traits and integrated biomarker response (IBR) in larvae of Lymantria dispar L. (Lepidoptera) originating from unpolluted and polluted locations after chronic cadmium treatment</t>
  </si>
  <si>
    <t>Biomarker; Pollution; Heavy metal; Gypsy moth; Detoxification; Metal tolerance</t>
  </si>
  <si>
    <t>MOLECULAR-MECHANISMS; METAL CONCENTRATIONS; ORCHESELLA-CINCTA; EASTERN OYSTERS; STRESS-PROTEINS; HEAVY-METALS; GYPSY-MOTH; EXPOSURE; TOLERANCE; ACCUMULATION</t>
  </si>
  <si>
    <t>Long-term exposure of invertebrate populations to pollution might result in adaptations that must be taken into account when evaluating physiological parameters as biomarkers of contamination. In the present study we investigated whether previous exposure of gypsy moth, Lymantria dispar L. (Lepidoptera), population to pollution affects the sensitivity of larvae to cadmium treatment under laboratory conditions. Our goals in the current study were to compare metallothionein (MT) level and non-specific esterase activity including isoform expression in the midgut and fitness-related traits between caterpillars originating from polluted and unpolluted localities after chronic oral intake (50 and 100 mu g Cd/g dry food). Besides being individually assessed as biomarkers of cadmium contamination, the responses of above parameters related to the midgut (MT concentration, specific activity of esterases and midgut mass) were summarized into the integrated biomarker response (IBR). Upon cadmium exposure, MT concentration increased significantly only in larvae originating from the polluted site, whereas non-specific esterase activity decreased in caterpillars from the unpolluted forest. We noticed similar patterns of esterase isoforms in both populations, including isoform number three that appeared only after exposure to the lower cadmium concentration. Midgut mass was reduced only in the group from the unpolluted locality exposed to the higher cadmium concentration. IBR index increased in a concentration-dependent manner in both populations, reflecting higher sensitivity of larvae from the unpolluted locality to the metal. Neither cadmium exposure nor population origin influenced larval survival. While MT concentration could be applied as a biomarker of cadmium exposure in populations that have been previously exposed to pollution for a longer time, non-specific esterase activity could indicate metal presence at unpolluted locations. IBR index and expression of esterase isoform number three could be used universally, regardless of the exposure history, except the latter might be limited to lower cadmium concentrations.</t>
  </si>
  <si>
    <t>[Matic, Dragana; Vlahovic, Milena; Ilijin, Larisa; Mrdakovic, Marija; Grcic, Anja; Filipovic, Aleksandra; Peric-Mataruga, Vesna] Univ Belgrade, Inst Biol Res Sinisa Stankovic, Dept Insect Physiol &amp; Biochem, Natl Inst Republ Serbia, Despot Stefan Blvd 142, Belgrade 11060, Serbia</t>
  </si>
  <si>
    <t>University of Belgrade</t>
  </si>
  <si>
    <t>Matic, D (corresponding author), Univ Belgrade, Inst Biol Res Sinisa Stankovic, Dept Insect Physiol &amp; Biochem, Natl Inst Republ Serbia, Despot Stefan Blvd 142, Belgrade 11060, Serbia.</t>
  </si>
  <si>
    <t>dragana.matic@ibiss.bg.ac.rs</t>
  </si>
  <si>
    <t>Matić, Dragana/ACJ-9173-2022; Filipovic, Aleksandra/IYJ-4198-2023; Grcic, Anja/ABC-6213-2020; Ilijin, Larisa/JQQ-5797-2023; Peric-Mataruga, Vesna/JQV-8076-2023; Vlahovic, Milena/V-8943-2018</t>
  </si>
  <si>
    <t>Peric-Mataruga, Vesna/0000-0002-2899-7418; Mrdakovic, Marija/0000-0003-3946-5828; Vlahovic, Milena/0000-0002-7815-091X; Grcic, Anja/0000-0001-9306-0691; Filipovic, Aleksandra/0000-0003-3578-5672; Matic, Dragana/0000-0002-7414-0183</t>
  </si>
  <si>
    <t>Serbian Ministry of Education, Science and Technological Development [173027]</t>
  </si>
  <si>
    <t>Serbian Ministry of Education, Science and Technological Development(Ministry of Education, Science &amp; Technological Development, Serbia)</t>
  </si>
  <si>
    <t>This study was funded by the Serbian Ministry of Education, Science and Technological Development (grant number 173027).</t>
  </si>
  <si>
    <t>10.1016/j.ecolind.2020.106136</t>
  </si>
  <si>
    <t>KS5ZB</t>
  </si>
  <si>
    <t>WOS:000518385800066</t>
  </si>
  <si>
    <t>Pipe, RK; Coles, JA; Carissan, FMM; Ramanathan, K</t>
  </si>
  <si>
    <t>Copper induced immunomodulation in the marine mussel, Mytilus edulis</t>
  </si>
  <si>
    <t>copper; mussel; Mytilus edulis; immunocompetence; hemolymph; blood cell; phagocytosis</t>
  </si>
  <si>
    <t>OYSTER CRASSOSTREA-VIRGINICA; HEAVY-METALS; HEMOCYTES; MYELOPEROXIDASE; PHAGOCYTOSIS; HEMOLYMPH; CRAYFISH; PHENOLOXIDASE; SEDIMENTS; BIVALVIA</t>
  </si>
  <si>
    <t>The effects on the immune response of the mussel, Mytilus edulis, of short-term in-vivo exposure to copper were investigated under laboratory-controlled conditions. Parameters measured concentrated on the ability of the blood cells to destroy invading pathogens and included changes in the number and character of the: circulating haemocytes, peroxidase and phenoloxidase enzyme activity in the blood cells, intra- and extracellular superoxide radical production, phagocytosis and uptake of neutral red. Copper concentrations of 0.02 and 0.05 ppm were found to increase significantly the total number of circulating haemocytes, while 0.2 and 0.5 ppm decreased the proportion of eosinophilic to basophilic cells, Intracellular superoxide production significantly decreased on exposure to 0.5 ppm copper, whereas phagocytic activity was stimulated at 0.2 ppm but not at 0.5 ppm. Copper exposures of 0.2 and 0.5 ppm reduced the percentage of haemocytes showing binding of lectins from Galanthus nivalis and Helix pomatia compared with haemocytes from mussels not dosed with copper. No significant alterations were found in peroxidase and phenoloxidase activity, binding of wheat germ agglutinin or uptake of neutral red. The results are discussed in the light of elucidating the possible relationship between environmental contaminants and increased disease susceptibility in aquatic organisms. The benefits of using a multi-assay approach to monitoring environmental pollution using such methods are highlighted. (C) 1999 Elsevier Science B.V. All rights reserved.</t>
  </si>
  <si>
    <t>NERC, Plymouth Marine Lab, Plymouth PL1 2PB, Devon, England</t>
  </si>
  <si>
    <t>UK Research &amp; Innovation (UKRI); Natural Environment Research Council (NERC); Plymouth Marine Laboratory</t>
  </si>
  <si>
    <t>Pipe, RK (corresponding author), NERC, Plymouth Marine Lab, Citadell Hill, Plymouth PL1 2PB, Devon, England.</t>
  </si>
  <si>
    <t>10.1016/S0166-445X(98)00114-3</t>
  </si>
  <si>
    <t>194NY</t>
  </si>
  <si>
    <t>WOS:000080201500005</t>
  </si>
  <si>
    <t>Kucuksezgin, F; Pazi, I; Yucel-Gier, G; Akcali, B; Galgani, F</t>
  </si>
  <si>
    <t>Kucuksezgin, Filiz; Pazi, Idil; Yucel-Gier, Guzel; Akcali, Bans; Galgani, Francois</t>
  </si>
  <si>
    <t>Monitoring of heavy metal and organic compound levels along the Eastern Aegean coast with transplanted mussels</t>
  </si>
  <si>
    <t>Mussels; Organic pollutants; Heavy metals; Transplantation; Eastern Aegean</t>
  </si>
  <si>
    <t>POLYCYCLIC AROMATIC-HYDROCARBONS; BIOMARKER RESPONSE INDEX; MYTILUS-GALLOPROVINCIALIS; MEDITERRANEAN SEA; PETROLEUM-HYDROCARBONS; VENICE LAGOON; CAGED MUSSELS; SEDIMENTS; POLLUTION; STRESS</t>
  </si>
  <si>
    <t>Within the framework of the MYTITURK project, heavy metals and organic compounds contaminations were assessed in transplanted mussels in eight different bays from the Eastern Aegean coast. Izmir Bay, Canakkale Strait entrance, Saros and Candarli Bay were defined low pollution extent according to Principal Component Analysis taking into metal accumulation. PAHs (Polycyclic Aromatic Hydrocarbons) levels in the range of 29.4-64.2 ng g(-1) (dry weight) indicated that PAH contamination level classified as low along the Aegean coast. Concentrations of Aroclor 1254 and 1260 were higher in transplanted mussels from Canakkale Strait Outlet due to industrial activities was originated from Marmara Sea. The organochlorinated pesticides such as heptachlor (&lt;0.4 ng g(-1)), aldrin (&lt;0.30 ng g(-1)), dieldrin (&lt;0.75 ng g(-1)), endrin (&lt;2.3 ng g(-1)) concentrations were homogeneous however, HCB (Hexachlorobenzene) and lindane concentrations were found undetectable level along the coast. DDE/DDT ratio in the caged mussels form Gulluk and Gokova Bay indicated recent DDT (Dikloro difenil trikloroethan) usage in these areas. The residues of organochlorinated compounds in transplanted mussels confirm the long persistence of DDTs. According to world health authorities, the concentration of heavy metals in mussels for the study area can generally be considered not to be at levels posing a health risk except Zn. The levels of POPs indicated that transplanted mussels have a lack of risk for the human health. (C) 2013 Elsevier Ltd. All rights reserved.</t>
  </si>
  <si>
    <t>[Kucuksezgin, Filiz; Pazi, Idil; Yucel-Gier, Guzel; Akcali, Bans] Dokuz Eylul Univ, Inst Marine Sci &amp; Technol Inciralti, TR-35340 Izmir, Turkey; [Galgani, Francois] IFREMER, Lab LER PAC, F-20600 Bastia, France</t>
  </si>
  <si>
    <t>Dokuz Eylul University; Ifremer</t>
  </si>
  <si>
    <t>Kucuksezgin, F (corresponding author), Dokuz Eylul Univ, Inst Marine Sci &amp; Technol Inciralti, TR-35340 Izmir, Turkey.</t>
  </si>
  <si>
    <t>filiz.ksezgin@deu.edu.tr</t>
  </si>
  <si>
    <t>AKÇALI, BARIŞ/W-2934-2017; Kucuksezgin, Filiz/P-3788-2019; PAZI, İdil/P-2195-2019; yucel-gier, guzel/AAS-1919-2020; galgani, francois/A-1973-2011</t>
  </si>
  <si>
    <t>Kucuksezgin, Filiz/0000-0001-9030-5227; Yucel-Gier, Guzel/0000-0002-0560-2655; galgani, francois/0000-0001-8770-6054; PAZI, Idil/0000-0003-4234-3733</t>
  </si>
  <si>
    <t>Ministry of Environment and Forestry (Turkey); UNEP; IFREMER within the framework of MYTITURK Project</t>
  </si>
  <si>
    <t>Ministry of Environment and Forestry (Turkey)(Ministry of Environment &amp; Urban Planning - Turkey); UNEP; IFREMER within the framework of MYTITURK Project</t>
  </si>
  <si>
    <t>This study was supported by the Ministry of Environment and Forestry (Turkey), UNEP and IFREMER within the framework of MYTITURK Project. The authors would like to thank Dr. Bruno Andral and Corinne Tomasino for technical assistance during mooring and recovering the mussels. We also thank to the crews of the R/V Europe (IFREMER, France) and R/V K. Piri Reis (IMST, Turkey) during the cruises.</t>
  </si>
  <si>
    <t>10.1016/j.chemosphere.2013.07.058</t>
  </si>
  <si>
    <t>252KH</t>
  </si>
  <si>
    <t>WOS:000327003100009</t>
  </si>
  <si>
    <t>Kaloyianni, M; Dailianis, S; Chrisikopoulou, E; Zannou, A; Koutsogiannaki, S; Alamdari, DH; Koliakos, G; Dimitriadis, VK</t>
  </si>
  <si>
    <t>Kaloyianni, M.; Dailianis, S.; Chrisikopoulou, E.; Zannou, A.; Koutsogiannaki, S.; Alamdari, D. H.; Koliakos, G.; Dimitriadis, V. K.</t>
  </si>
  <si>
    <t>Oxidative effects of inorganic and organic contaminants on haemolymph of mussels</t>
  </si>
  <si>
    <t>Antioxidant capacity; Cadmium; Lindane; Malondialdehyde; Mussels; Oxidative stress; PAHs; Protein carbonylation; Zinc</t>
  </si>
  <si>
    <t>OXYRADICAL SCAVENGING CAPACITY; OYSTER CRASSOSTREA-GIGAS; LAGOON-OF-VENICE; MYTILUS-GALLOPROVINCIALIS; LIPID-PEROXIDATION; ANTIOXIDANT ENZYMES; PROTEIN CARBONYLS; NA+/H+ EXCHANGER; DIGESTIVE GLAND; DNA INTEGRITY</t>
  </si>
  <si>
    <t>We applied a newly-established method in haemolymph Of mussels, Mytilus galloprovincialis, exposed to different concentrations of heavy metals, such as zinc and Cadmium and organic pollutants, Such as PAHs and lindane, for the detection of total antioxidant capacity (TAC). The susceptibility of exposed mussels was increased in relation to oxidative stress induced by contaminants tested. Oxidative modifications of proteins Were estimated by measuring protein carbonyl content (PCC) and malondialdehyde levels (MDA). For PCC measurement, a highly sensitive and accurate ELISA method, which requires only 5 mu g of protein, was used. The significant increase of PCC and MDA in haemolymph of exposed Mussels reinforces its role as biomarkers of oxidative stress. Significant Correlation of TAC assay, PCC and MIDA was conducted in Order to evaluate the utility of PCC and TAC assay, used in the present study, as tools for determining oxidative effects of pollutants in mussels. The results reinforce the application of PCC method as useful tool for the determination of PCC alterations in haemolymph of mussels exposed to different levels of contaminants. In addition, the TAC method gives encouraging results, concerning its ability to predict antioxidant efficiency in haemolymph of mussels exposed to inorganic and organic contaminants. (c) 2009 Elsevier Inc. All rights reserved.</t>
  </si>
  <si>
    <t>[Kaloyianni, M.; Dailianis, S.; Chrisikopoulou, E.; Zannou, A.; Koutsogiannaki, S.] Aristotle Univ Thessaloniki, Physiol Anim Lab, Dept Zool, Sch Biol, Thessaloniki 54124, Greece; [Alamdari, D. H.; Koliakos, G.] Aristotle Univ Thessaloniki, Dept Biol Chem, Sch Med, Thessaloniki 54124, Greece; [Dimitriadis, V. K.] Aristotle Univ Thessaloniki, Dept Genet Dev &amp; Mol Biol, Thessaloniki 54124, Greece</t>
  </si>
  <si>
    <t>Aristotle University of Thessaloniki; Aristotle University of Thessaloniki; Aristotle University of Thessaloniki</t>
  </si>
  <si>
    <t>Dailianis, S (corresponding author), Univ Patras, Dept Biol, Sect Anim Biol, Fac Sci, Patras 26500, Greece.</t>
  </si>
  <si>
    <t>sdailianis@upatras.gr</t>
  </si>
  <si>
    <t>Dailianis, Stefanos/F-9076-2011; Koliakos, George/AAC-8888-2021</t>
  </si>
  <si>
    <t>Koliakos, George/0000-0003-4350-9061; Dailianis, Stefanos/0000-0002-4156-2419; Koutsogiannaki, Sophia/0000-0003-3555-1681</t>
  </si>
  <si>
    <t>10.1016/j.cbpc.2009.01.006</t>
  </si>
  <si>
    <t>441NS</t>
  </si>
  <si>
    <t>WOS:000265776500025</t>
  </si>
  <si>
    <t>Lin, YT; Chang, FC; Chung, MT; Li, ZK; Chan, CC; Huang, YS; Huang, KF; Han, YS</t>
  </si>
  <si>
    <t>Lin, Yen-Ting; Chang, Fang-Chi; Chung, Ming-Tsung; Li, Ze-Kai; Chan, Chang-Chuan; Huang, Ying-Sheng; Huang, Kuo-Fang; Han, Yu-San</t>
  </si>
  <si>
    <t>Evaluation of the Potential of the Hard Clam (Meretrix meretrix) Shell Which Can Be Used as the Bioindicator for Heavy Metal Accumulation</t>
  </si>
  <si>
    <t>FISHES</t>
  </si>
  <si>
    <t>bioindicator; environmental pollution; heavy metals; bivalves; mollusks; filter-feeding behavior</t>
  </si>
  <si>
    <t>OCEAN ACIDIFICATION; MOLLUSKS; POLLUTION; COPPER; COAST; BIOACCUMULATION; CONTAMINATION; CONSUMPTION; SEDIMENTS; BIVALVES</t>
  </si>
  <si>
    <t>Clams, Meretrix meretrix, were one of the favorite aquatic products in Taiwan and the world. It was reported that the water pollutants such as heavy metals and chemicals might accumulate in the clam body and shell through filter-feeding behavior. Thus, the bivalves could be used as bioindicators in the aquatic environment. The present study analyzed 20 trace elements, Mg, Sr, Li, Cd, Ba, Mn, Al, U, Ti, Pb, Nd, B, S, Zn, Fe, P, Na, K, Cu, and Ni, in the shells of the clams collected from the wild coastal area and cultured ponds to evaluate which elements have the potential to be biomarkers. The concentrations of 20 elements were detected by Solution-Based Inductively Coupled Plasma Mass Spectrometry (SB-ICPMS). Among them, Cd, Al, U, Ti, Nd, S, and K were below the detection limit. The remaining elements were analyzed for accumulation. The levels of Zn, Fe, and Ni possess high variation in an identical environment; so, a PCA was conducted without these three elements to reduce noise. The PCA result proved that the clam could absorb specific trace elements from the habitat. After a period of time, the contents of the absorption in the shells of the clams living in an identical environment became more similar. The analyzed element, Pb, was not found with a special difference in this study. The levels of Na, Sr, Mg, B, Mn, P, Ba, Li, and Cu reflected different sampling sites, which suggested that these elements in the species M. meretrix had the potential to be used as biomarkers for assessing heavy metal accumulation in the environment.</t>
  </si>
  <si>
    <t>[Lin, Yen-Ting; Chang, Fang-Chi; Li, Ze-Kai; Han, Yu-San] Natl Taiwan Univ, Inst Fisheries Sci, Coll Life Sci, Taipei 10617, Taiwan; [Chung, Ming-Tsung] Univ Tokyo, Atmosphere &amp; Ocean Res Inst, 5-1-5 Kashiwanoha, Kashiwa, Chiba 2778564, Japan; [Chan, Chang-Chuan] Natl Taiwan Univ, Coll Publ Hlth, Dept Publ Hlth, Taipei 10055, Taiwan; [Chan, Chang-Chuan] Natl Taiwan Univ, Coll Publ Hlth, Inst Environm &amp; Occupat Hlth Sci, Taipei 10055, Taiwan; [Huang, Ying-Sheng] Council Agr, Fisheries Res Inst, Fresh Water Res Ctr, Changhua 50562, Taiwan; [Huang, Kuo-Fang] Acad Sinica, Inst Earth Sci, 128,Sect 2,Acad Rd, Taipei 11529, Taiwan</t>
  </si>
  <si>
    <t>National Taiwan University; University of Tokyo; National Taiwan University; National Taiwan University; Taiwan Fish Research Institute; Academia Sinica - Taiwan</t>
  </si>
  <si>
    <t>Han, YS (corresponding author), Natl Taiwan Univ, Inst Fisheries Sci, Coll Life Sci, Taipei 10617, Taiwan.;Chan, CC (corresponding author), Natl Taiwan Univ, Coll Publ Hlth, Dept Publ Hlth, Taipei 10055, Taiwan.;Chan, CC (corresponding author), Natl Taiwan Univ, Coll Publ Hlth, Inst Environm &amp; Occupat Hlth Sci, Taipei 10055, Taiwan.</t>
  </si>
  <si>
    <t>ccchan@ntu.edu.tw; yshan@ntu.edu.tw</t>
  </si>
  <si>
    <t>Huang, Kuo-Fang/G-2557-2015; Chung, Ming-Tsung/M-1522-2019</t>
  </si>
  <si>
    <t>Chung, Ming-Tsung/0000-0003-3305-3339</t>
  </si>
  <si>
    <t>Council of Agriculture, Executive Yuan, Taiwan [1082101011904-010201 m3, 108AS-1.2.1-ST-m3, 109AS-1.2.2-ST-m1]; National Science and Technology Council, Executive Yuan, Taiwan (NSTC) [111-2313-B-002-016-MY3]</t>
  </si>
  <si>
    <t>Council of Agriculture, Executive Yuan, Taiwan; National Science and Technology Council, Executive Yuan, Taiwan (NSTC)</t>
  </si>
  <si>
    <t>The authors thank the Council of Agriculture, Executive Yuan, Taiwan, for funding this project (1082101011904-010201 m3, 108AS-1.2.1-ST-m3, and 109AS-1.2.2-ST-m1) and the National Science and Technology Council, Executive Yuan, Taiwan (NSTC 111-2313-B-002-016-MY3).</t>
  </si>
  <si>
    <t>2410-3888</t>
  </si>
  <si>
    <t>FISHES-BASEL</t>
  </si>
  <si>
    <t>Fishes</t>
  </si>
  <si>
    <t>10.3390/fishes7050290</t>
  </si>
  <si>
    <t>5O8TK</t>
  </si>
  <si>
    <t>WOS:000872738200001</t>
  </si>
  <si>
    <t>HUNTER, CL; STEPHENSON, MD; TJEERDEMA, RS; CROSBY, DG; ICHIKAWA, GS; GOETZL, JD; PAULSON, KS; CRANE, DB; MARTIN, M; NEWMAN, JW</t>
  </si>
  <si>
    <t>CONTAMINANTS IN OYSTERS IN KANEOHE-BAY, HAWAII</t>
  </si>
  <si>
    <t>STATES-MUSSEL-WATCH; HEAVY-METALS; CRASSOSTREA-GIGAS; TRACE-METALS; ORGANOCHLORINE PESTICIDES; PACIFIC OYSTER; CORALS; REEF; POLLUTION; HYDROCARBONS</t>
  </si>
  <si>
    <t>Despite past and present concerns about the toxicity and persistence of various environmental contaminants (heavy metals and pesticides), relatively few studies have documented their concentrations in tropical or sub-tropical marine ecosystems. In this investigation, a 'mussel watch' approach was applied in Kaneohe Bay, Hawaii, to assess the present levels of potential contaminants in the Pacific oyster, Crassostrea gigas. Geographical gradients of these contaminants were observed and related to what is known about past and present inputs, Concentrations of lead, copper, chromium and zinc were elevated in oyster tissues near stream mouths in the southern watersheds of Kaneohe Bay. Dieldrin and chlordane concentrations in oysters from one of these sites exceeded the US Environmental Protection Agency's screening levels to protect human health, and were much higher than in oysters from the east and Gulf coasts of the temperate mainland USA.</t>
  </si>
  <si>
    <t>UNIV HAWAII, HAWAII INST MARINE BIOL, KANEOHE, HI 96744 USA; CALIF DEPT FISH &amp; GAME, MARINE POLLUT STUDIES LAB, MOSS LANDING, CA 95930 USA; UNIV CALIF SANTA CRUZ, DEPT CHEM &amp; BIOCHEM, SANTA CRUZ, CA 95064 USA; UNIV CALIF SANTA CRUZ, INST MARINE SCI, SANTA CRUZ, CA 95064 USA; UNIV CALIF DAVIS, DEPT ENVIRONM TOXICOL, DAVIS, CA 95616 USA</t>
  </si>
  <si>
    <t>University of Hawaii System; University of California System; University of California Santa Cruz; University of California System; University of California Santa Cruz; University of California System; University of California Davis</t>
  </si>
  <si>
    <t>Hunter, Cynthia/GZL-3559-2022</t>
  </si>
  <si>
    <t>HUNTER, CYNTHIA/0000-0003-4506-6057; Newman, John/0000-0001-9632-6571</t>
  </si>
  <si>
    <t>10.1016/0025-326X(95)00039-P</t>
  </si>
  <si>
    <t>TB458</t>
  </si>
  <si>
    <t>WOS:A1995TB45800010</t>
  </si>
  <si>
    <t>Gutiérrez, AJ; Lozano, G; González, T; Reguera, JI; Hardisson, A</t>
  </si>
  <si>
    <t>Gutierrez, Angel Jose; Lozano, Gonzalo; Gonzalez, Tomas; Reguera, Juan Ignacio; Hardisson, Arturo</t>
  </si>
  <si>
    <t>Mercury content in tinned molluscs (mussel, cockle, variegated scallop, and razor shell) normally consumed in Spain, 2005</t>
  </si>
  <si>
    <t>JOURNAL OF FOOD PROTECTION</t>
  </si>
  <si>
    <t>METHYL MERCURY; MYTILUS-EDULIS; HEAVY-METALS; TRACE-METALS; POLLUTION; SIZE</t>
  </si>
  <si>
    <t>Concentrations of mercury were determined for tinned molluscs (Mollusca, Bivalvia), i.e., mussels (Mytilus spp.), cockles (Cerastoderma edule), variegated scallops (Chlamys varia), and razor shells (Ensis spp.), consumed in Spain. A total of 220 samples were analyzed: 120 mussels, 40 cockles, 24 variegated scallops, and 36 razor shells. Samples were obtained weekly from markets in Santa Cruz de Tenerife (Canary Islands) over a period of 12 months. All observed concentrations of mercury were below the maximum permitted for human consumption (0.5 mg/kg) as defined by European Community Decision 93/351/CE. Mercury concentrations were 27.28 +/- 12.43 mu g/kg for mussels, 66.59 +/- 23.53 mu g/kg for cockles, 33.68 +/- 15.76 mu g/kg for variegated scallops, and 21.26 +/- 12.24 mu g/kg for razor shells. To evaluate the importance of mercury as a food contaminant, the percentage ingested daily, the weight of mercury in the diet, and the calculated percentage of this metal in the diet contributed by reference species were estimated.</t>
  </si>
  <si>
    <t>Univ La Laguna, Fac Biol, Dept Anim Biol, E-38206 Tenerife, Canary Isl, Spain; Univ La Laguna, Dept Toxicol, Fac Pharm, E-38206 Tenerife, Canary Isl, Spain; Univ La Laguna, Dept Toxicol, Fac Med, E-38206 Tenerife, Canary Isl, Spain; Univ Burgos, Fac Food Sci &amp; Technol, Dept Microbiol, Burgos 09001, Spain; Cent Lab Santa Cruz Tenerife, Canarian Serv Publ Hlth, Tenerife, Canary Isl, Spain</t>
  </si>
  <si>
    <t>Universidad de la Laguna; Universidad de la Laguna; Universidad de la Laguna; Universidad de Burgos</t>
  </si>
  <si>
    <t>Gutiérrez, AJ (corresponding author), Univ La Laguna, Fac Biol, Dept Anim Biol, E-38206 Tenerife, Canary Isl, Spain.</t>
  </si>
  <si>
    <t>ajguti@ull.es</t>
  </si>
  <si>
    <t>Arias Rodríguez, Maria de los Angeles/IST-5788-2023; Gutierrez, Angel J./F-3125-2016</t>
  </si>
  <si>
    <t>Hardisson, Arturo/0000-0002-5760-4687; Gutierrez, Angel J./0000-0003-1581-0850</t>
  </si>
  <si>
    <t>INT ASSOC FOOD PROTECTION</t>
  </si>
  <si>
    <t>DES MOINES</t>
  </si>
  <si>
    <t>6200 AURORA AVE SUITE 200W, DES MOINES, IA 50322-2863 USA</t>
  </si>
  <si>
    <t>0362-028X</t>
  </si>
  <si>
    <t>1944-9097</t>
  </si>
  <si>
    <t>J FOOD PROTECT</t>
  </si>
  <si>
    <t>J. Food Prot.</t>
  </si>
  <si>
    <t>10.4315/0362-028X-69.9.2237</t>
  </si>
  <si>
    <t>Biotechnology &amp; Applied Microbiology; Food Science &amp; Technology</t>
  </si>
  <si>
    <t>085DI</t>
  </si>
  <si>
    <t>WOS:000240583000026</t>
  </si>
  <si>
    <t>Liang, GH; Järlebark, L; Ulfendahl, M; Moore, EJ</t>
  </si>
  <si>
    <t>Mercury (Hg2+) suppression of potassium currents of outer hair cells</t>
  </si>
  <si>
    <t>NEUROTOXICOLOGY AND TERATOLOGY</t>
  </si>
  <si>
    <t>cochlea; potassium channels; outer hair cells; mercuric chloride (HgCl2); K+ outward currents; K+ inward currents</t>
  </si>
  <si>
    <t>CALCIUM-CHANNEL CURRENTS; ROOT GANGLION NEURONS; INORGANIC MERCURY; APLYSIA NEURONS; RAT DRG; METHYLMERCURY; MODULATION; EXPRESSION; THIMEROSAL; RESPONSES</t>
  </si>
  <si>
    <t>The heavy metal mercury (Hg2+) is an insidious environmental pollutant that causes toxic effects on sensory systems. It is well known that the group IIB divalent cation Hg2+ is an inhibitor of the group I monovalent potassium (K+) cation pore-forming channel in several biological preparations. Here, we used the whole cell patch clamp technique on freshly isolated outer hair cells (OHCs) of the guinea pig cochlea to record outward K+ currents and inward K+ currents treated with mercuric chloride (HgCl2). HgCl2 affected K+ currents in a voltage- and dose-dependent manner. The effects of HCl2 at 1.0 - 100 muM are more pronounced on onset peak current than on steady-state end current. HgCl2 depolarized also the resting membrane potential. Although the effect of HgCl2 at 1.0 muM was partially washed out over several minutes, the effects at 10 and 100 muM were irreversible to washout. Since K+ channels of OHCs are targets for HgCl2 ototoxicity this may lead to auditory transduction problems, including a loss in hearing sensitivity. A better understanding of fundamental mechanisms underlying K+ channelopathies in OHCs due to HgCl2 poisoning may lead to better preventive or therapeutic agents. (C) 2003 Elsevier Science Inc. All rights reserved.</t>
  </si>
  <si>
    <t>Northwestern Univ, Feinberg Sch Med, Dept Mol Pharmacol &amp; Biol Chem S215, NW Drug Discovery Program, Chicago, IL 60611 USA; Karolinska Inst, ENT Res Lab, SE-17176 Stockholm, Sweden; Karolinska Inst, Inst Hearing &amp; Commun Res, SE-17176 Stockholm, Sweden</t>
  </si>
  <si>
    <t>Northwestern University; Feinberg School of Medicine; Karolinska Institutet; Karolinska Institutet</t>
  </si>
  <si>
    <t>Moore, EJ (corresponding author), Northwestern Univ, Feinberg Sch Med, Dept Mol Pharmacol &amp; Biol Chem S215, NW Drug Discovery Program, 303 E Chicago Ave, Chicago, IL 60611 USA.</t>
  </si>
  <si>
    <t>Jarlebark, Leif/0000-0002-8111-3861</t>
  </si>
  <si>
    <t>0892-0362</t>
  </si>
  <si>
    <t>NEUROTOXICOL TERATOL</t>
  </si>
  <si>
    <t>Neurotoxicol. Teratol.</t>
  </si>
  <si>
    <t>10.1016/S0892-0362(03)00008-4</t>
  </si>
  <si>
    <t>Neurosciences; Toxicology</t>
  </si>
  <si>
    <t>Neurosciences &amp; Neurology; Toxicology</t>
  </si>
  <si>
    <t>684ZE</t>
  </si>
  <si>
    <t>WOS:000183235700006</t>
  </si>
  <si>
    <t>Esposito, G; Mudadu, AG; Abete, MC; Pederiva, S; Griglione, A; Stella, C; Ortu, S; Bazzoni, AM; Meloni, D; Squadrone, S</t>
  </si>
  <si>
    <t>Esposito, Giuseppe; Mudadu, Alessandro Graziano; Abete, Maria Cesarina; Pederiva, Sabina; Griglione, Alessandra; Stella, Caterina; Ortu, Sergio; Bazzoni, Anna Maria; Meloni, Domenico; Squadrone, Stefania</t>
  </si>
  <si>
    <t>Seasonal accumulation of trace elements in native Mediterranean mussels (Mytilus galloprovincialis Lamarck, 1819) collected in the Calich Lagoon (Sardinia, Italy)</t>
  </si>
  <si>
    <t>Metals; Food safety; Mediterranean lagoons; Bivalve</t>
  </si>
  <si>
    <t>HEAVY-METAL CONCENTRATIONS; EASTERN ADRIATIC COAST; GULF IONIAN SEA; RISK-ASSESSMENT; BLUE MUSSEL; ENVIRONMENTAL VARIABLES; SCIENTIFIC OPINION; TAPES-DECUSSATUS; HEALTH-RISK; MERCURY</t>
  </si>
  <si>
    <t>The occurrence of 21 trace elements in native Mediterranean mussel (Mytilus galloprovincialis) from the Calich Lagoon, a typical brackish area of the northwest of Sardinia (Italy), was investigated. The seasonal variation of metals in bivalves was considered, and the highest values were found in spring and summer; in particular, a high significant (P &lt; 0.001) temporal variation was reported for silver (Ag) and mercury (Hg). The highest and similar concentrations were registered for aluminium (Al, mean 32 mg kg(-1)wet weight), iron (Fe, mean 32 mg kg(-1) w. w.), and zinc (Zn, mean 25 mg kg(-1) w. w.). The maximum limits set by European Regulations for cadmium (Cd), mercury (Hg), and lead (Pb) were never exceeded. Speciation analysis revealed negligible risk related to inorganic arsenic (iAs). Therefore, M. galloprovincialis confirmed its role as suitable bioindicator to monitor the contamination of coastal environments. Although the recommended tolerable weekly intake (TWI) was not exceeded, the levels of aluminium should be carefully evaluated in monitoring plans in the studied lagoon.</t>
  </si>
  <si>
    <t>[Esposito, Giuseppe; Meloni, Domenico] Univ Sassari, Dept Vet Med, Via Vienna 2, I-07100 Sassari, Italy; [Mudadu, Alessandro Graziano] Ist Zooprofilatt Sardegna, Via Duca degli Abruzzi 8, I-07100 Sassari, Italy; [Abete, Maria Cesarina; Pederiva, Sabina; Griglione, Alessandra; Stella, Caterina; Squadrone, Stefania] Ist Zooprofilatt Piemonte &amp; Valle dAosta, Via Bologna 148, I-10154 Turin, Italy; [Ortu, Sergio] Reg Nat Pk Porto Conte, SP 55 N 44, I-07041 Alghero, Italy; [Bazzoni, Anna Maria] Reg Agcy Protect Sardinian Environm, Via Rockefeller 58-60, I-07100 Sassari, Italy</t>
  </si>
  <si>
    <t>University of Sassari; IZS Della Sardegna</t>
  </si>
  <si>
    <t>Squadrone, S (corresponding author), Ist Zooprofilatt Piemonte &amp; Valle dAosta, Via Bologna 148, I-10154 Turin, Italy.</t>
  </si>
  <si>
    <t>stefania.squadrone@izsto.it</t>
  </si>
  <si>
    <t>Esposito, Giuseppe/HKE-1040-2023; squadrone, stefania/D-2024-2016; cesarina, maria/AAY-7548-2020; Mudadu, Alessandro/AAE-7957-2021; Pederiva, Sabina/GOE-6858-2022</t>
  </si>
  <si>
    <t>Mudadu, Alessandro Graziano/0000-0002-7078-4838; Pederiva, Sabina/0000-0003-3704-9329; squadrone, stefania/0000-0003-1365-7258; Esposito, Giuseppe/0000-0001-6665-2712</t>
  </si>
  <si>
    <t>Italian Health Ministry Research Grant [IZS PLV 01/15RC]</t>
  </si>
  <si>
    <t>Italian Health Ministry Research Grant</t>
  </si>
  <si>
    <t>This research was funded by the Italian Health Ministry Research Grant (Project no. IZS PLV 01/15RC).</t>
  </si>
  <si>
    <t>10.1007/s11356-021-12380-4</t>
  </si>
  <si>
    <t>SJ0LS</t>
  </si>
  <si>
    <t>WOS:000609067300001</t>
  </si>
  <si>
    <t>Andrew-Priestley, MN; O'Connor, WA; Dunstan, RH; MacFarlane, GR</t>
  </si>
  <si>
    <t>Andrew-Priestley, M. N.; O'Connor, W. A.; Dunstan, R. H.; MacFarlane, G. R.</t>
  </si>
  <si>
    <t>An Impact-Control Study to Assess the Potential Accumulation of Metals and Metalloids from Sewage Effluent and Biosolids to Sydney Rock Oysters, Saccostrea glomerata</t>
  </si>
  <si>
    <t>Biomonitor; Metalloids; Oyster; Sewage; Trace metals; Wastewater treatment works</t>
  </si>
  <si>
    <t>NEW-SOUTH-WALES; TRACE-METALS; HEAVY-METALS; CRASSOSTREA-GIGAS; BIOACCUMULATION; MUSSEL; RIVER; LEAD; INDICATORS; SEDIMENTS</t>
  </si>
  <si>
    <t>Sewage effluent has been identified as a potential source of metal(loid) contamination in the aquatic environment. The Sydney rock oyster, Saccostrea glomerata, can accumulate most metals and is well established as a biomonitor of metals in the marine environment. To determine if Burwood Beach wastewater treatment works (WWTW) is a source of metal(loid) contamination, S. glomerata was deployed for 6 weeks in effluent receiving waters (Burwood Beach near and Burwood Beach far) and at reference locations (Redhead, Fingal Island 1 and Fingal Island 2) at depths 4, 8 and 12 m. In dried oyster tissue, inductively coupled plasma mass spectrometry (ICPMS) was employed to measure concentrations of a suite of metal(loid)s including aluminium, arsenic, cadmium, copper, lead, iron, manganese, mercury, nickel, selenium, silver and zinc. It was found that for all metal(loid)s, S. glomerata tissue concentrations were not significantly higher at Burwood Beach locations in comparison to all reference locations. Concentrations of metal(loid)s were similar to those which have been detected in previous studies of background locations in New South Wales (NSW). Further, all metals fell below National Food Authority maximum residue levels (MRLs), except for arsenic and this does not appear uncommon for concentrations in biota within NSW. Comparisons to historical data suggested that concentrations of metal(loid)s in sewage effluent from Burwood Beach WWTW, assessed via concentrations in oyster tissue, are similar or lower, suggesting that changes in treatment processes initiated in the intervening time have lowered metallic inputs.</t>
  </si>
  <si>
    <t>[Andrew-Priestley, M. N.] Hunter Water Corp, Honeysuckle Dr, Newcastle, NSW 2300, Australia; [O'Connor, W. A.] Port Stephens Res Inst, New South Wales Dept Primary Ind, Taylors Beach, NSW 2316, Australia; [Dunstan, R. H.; MacFarlane, G. R.] Univ Newcastle, Sch Environm &amp; Life Sci, Callaghan, NSW 2308, Australia</t>
  </si>
  <si>
    <t>NSW Department of Primary Industries; University of Newcastle</t>
  </si>
  <si>
    <t>MacFarlane, GR (corresponding author), Univ Newcastle, Sch Environm &amp; Life Sci, Callaghan, NSW 2308, Australia.</t>
  </si>
  <si>
    <t>geoff.macfarlane@newcastle.edu.au</t>
  </si>
  <si>
    <t>Australian Research Council; New South Wales Department of Primary Industries; Hunter Water Corporation; Port Stephens Council</t>
  </si>
  <si>
    <t>Australian Research Council(Australian Research Council); New South Wales Department of Primary Industries; Hunter Water Corporation; Port Stephens Council</t>
  </si>
  <si>
    <t>We would like to acknowledge funding sources including the Australian Research Council, New South Wales Department of Primary Industries, Hunter Water Corporation and Port Stephens Council.</t>
  </si>
  <si>
    <t>APR 19</t>
  </si>
  <si>
    <t>10.1007/s11270-020-04570-6</t>
  </si>
  <si>
    <t>LI2CU</t>
  </si>
  <si>
    <t>WOS:000529291300003</t>
  </si>
  <si>
    <t>Cherkasov, AS; Taylor, C; Sokolova, IM</t>
  </si>
  <si>
    <t>Cherkasov, A. S.; Taylor, C.; Sokolova, I. M.</t>
  </si>
  <si>
    <t>Seasonal variation in mitochondrial responses to cadmium and temperature in eastern oysters Crassostrea virginica (Gmelin) from different latitudes</t>
  </si>
  <si>
    <t>Temperature; Cadmium; Mitochondrial respiration; Mitochondrial density; Seasonality; Mollusks; Bivalves</t>
  </si>
  <si>
    <t>LUGWORM ARENICOLA-MARINA; MYTILUS-EDULIS; DEPENDENT BIOGEOGRAPHY; THERMAL TOLERANCE; CLIMATE-CHANGE; DNA-REPAIR; METALS; MUSSELS; BIVALVIA; ACCUMULATION</t>
  </si>
  <si>
    <t>Cadmium (Cd) is an important environmental pollutant that can lead to impairment of cellular functions, energy misbalance and negatively impact survival in estuarine organisms including oysters. Like other marine bivalves, oysters can accumulate high Cd burdens in their tissues and are susceptible to the toxic effects of this metal. Presently, the factors that affect sensitivity to Cd toxicity and its variation in wild oyster populations are poorly understood. We analyzed geographical and seasonal variability of mitochondrial responses to elevated temperatures and Cd stress in eastern oysters Crassostrea virginica from populations adapted to different thermal regimes (subtropical Texas (TX), warm temperate North Carolina (NC) and cold temperate Washington (WA) areas). Seasonality had a strong effect on mitochondrial function in oysters from the two studied southern populations (TX and NC) but not in their northern (WA) counterparts, with decreased mitochondrial abundance and increased rates of mitochondrial proton leak in gill tissues of TX and NC oysters in summer. Compared to WA oysters, oysters from the two southern populations accumulated Cd faster in their tissues, and their mitochondria were more sensitive to Cd inhibition in resting and ADP-stimulated states at 20 and 28 degrees C. At 12 degrees C, inter-populational differences in Cd accumulation rates and sensitivity of mitochondrial respiration to Cd were not significant. Within each of the three studied populations, sensitivity of mitochondrial ADP-stimulated respiration to Cd inhibition increased with increasing temperatures (28 &gt; 20 &gt; 12 degrees C). This indicates that oysters from the two southern sites may be more vulnerable to Cd toxicity due to exposure to high environmental temperatures in summer, elevated rates of Cd accumulation and high intrinsic sensitivity of their mitochondria to Cd. This study suggests that data on sensitivity to pollutants obtained for one population of oysters should be extrapolated to other conspecific populations with caution and that regulatory standards for water pollution based on the studies from one geographical region may not be protective for other areas. (C) 2009 Elsevier BM. All rights reserved.</t>
  </si>
  <si>
    <t>[Cherkasov, A. S.; Taylor, C.; Sokolova, I. M.] Univ N Carolina, Dept Biol, Charlotte, NC 28223 USA; [Taylor, C.] Johnson C Smith Univ, Charlotte, NC 28216 USA</t>
  </si>
  <si>
    <t>University of North Carolina; University of North Carolina Charlotte; Johnson C Smith University</t>
  </si>
  <si>
    <t>National Science Foundation [IBN-0347238]; United Negro College Fund; UNC Charlotte; Johnson C. Smith University MBRS-RISE Program [NIGMS 58042]</t>
  </si>
  <si>
    <t>National Science Foundation(National Science Foundation (NSF)); United Negro College Fund; UNC Charlotte; Johnson C. Smith University MBRS-RISE Program</t>
  </si>
  <si>
    <t>The authors wish to thank John R. Schwarz (Seafood Safety Laboratory, Texas A&amp;M University at Galveston, TX), James Swartzenberg (J &amp; B Aquafood, Jacksonville, NC) and Karen Underwood (Taylor Shellfish Farms, WA) for providing oysters, and Amy Ringwood (UNC Charlotte) for assistance with Cd determinations. This work was supported by funds provided the National Science Foundation CAREER award (IBN-0347238), United Negro College Fund SEEDS program and Faculty Research Grant from UNC Charlotte to I.M.S., and Johnson C. Smith University MBRS-RISE Program NIGMS 58042 to C.T.</t>
  </si>
  <si>
    <t>10.1016/j.aquatox.2009.12.004</t>
  </si>
  <si>
    <t>576DO</t>
  </si>
  <si>
    <t>WOS:000276124600009</t>
  </si>
  <si>
    <t>Leung, PTY; Wang, Y; Mak, SST; Ng, WC; Leung, KMY</t>
  </si>
  <si>
    <t>Leung, Priscilla T. Y.; Wang, Yu; Mak, Sarah S. T.; Ng, W. C.; Leung, Kenneth M. Y.</t>
  </si>
  <si>
    <t>Differential proteomic responses in hepatopancreas and adductor muscles of the green-lipped mussel Perna viridis to stresses induced by cadmium and hydrogen peroxide</t>
  </si>
  <si>
    <t>Adductor muscle; Cadmium; ER stress; Hepatopancreas; Hydrogen peroxide; Mussel</t>
  </si>
  <si>
    <t>ENDOPLASMIC-RETICULUM STRESS; ALGA DUNALIELLA-SALINA; MYTILUS-EDULIS; OXIDATIVE STRESS; SMOOTH-MUSCLE; HEAVY-METAL; CALCIUM HOMEOSTASIS; DETRITAL PATHWAYS; INDUCED APOPTOSIS; NUCELLA-LAPILLUS</t>
  </si>
  <si>
    <t>This study aimed to reveal the proteomic responses in the hepatopancreas and adductor muscle of a common biomonitor, Perna viridis after 14-day exposure to two model chemicals, cadmium (Cd; a toxic metal) and hydrogen peroxide (H2O2; a pro-oxidant), using two-dimensional gel electrophoresis coupled with multivariate statistical analyses. Unique sets of tissue-specific protein expression signatures were revealed corresponding to the two treatment groups. In the hepatopancreas, 15 and 2 spots responded to Cd and H2O2 treatments respectively. 6 and 7 spots were differentially expressed in the adductor muscle for Cd and H2O2 treatments, respectively. 15 differentially expressed spots were successfully identified by MALDI-TOF/TOF MS analysis. These proteins are involved in glycolysis, amino acid metabolism, energy homeostasis, oxidative stress response, redox homeostasis and protein folding, heat-shock response, and muscle contraction modulation. This is the first time, to have demonstrated that Cd exposure not only leads to substantial oxidative stress but also results in endoplasmic reticulum stress in hepatopancreas of the mussel. Such notable stress responses may be attributable to high Cd accumulation in this tissue. Our results suggested that investigations on these stress-associated protein changes could be used as a new and complementary approach in pollution monitoring by this popular biomonitor species. (C) 2011 Elsevier B.V. All rights reserved.</t>
  </si>
  <si>
    <t>[Leung, Priscilla T. Y.; Mak, Sarah S. T.; Ng, W. C.; Leung, Kenneth M. Y.] Univ Hong Kong, Swire Inst Marine Sci, Hong Kong, Hong Kong, Peoples R China; [Leung, Priscilla T. Y.; Mak, Sarah S. T.; Ng, W. C.; Leung, Kenneth M. Y.] Univ Hong Kong, Sch Biol Sci, Hong Kong, Hong Kong, Peoples R China; [Wang, Yu] Univ Hong Kong, Dept Pharmacol &amp; Pharm, Hong Kong, Hong Kong, Peoples R China</t>
  </si>
  <si>
    <t>University of Hong Kong; University of Hong Kong; University of Hong Kong</t>
  </si>
  <si>
    <t>Leung, KMY (corresponding author), Univ Hong Kong, Swire Inst Marine Sci, Pokfulam Rd, Hong Kong, Hong Kong, Peoples R China.</t>
  </si>
  <si>
    <t>kmyleung@hkucc.hku.hk</t>
  </si>
  <si>
    <t>Wang, Yu/B-4534-2009; Mak, Sarah S.T./G-2833-2015; Leung, Kenneth Mei Yee/C-1055-2009</t>
  </si>
  <si>
    <t>wang, yu/0000-0001-8697-2940; Mak, Sarah S.T./0000-0003-1119-0519; Leung, Kenneth Mei Yee/0000-0002-2164-4281</t>
  </si>
  <si>
    <t>Research Grants Council of the Hong Kong Special Administrative Region Government [HKU7522/06M]; University of Hong Kong</t>
  </si>
  <si>
    <t>Research Grants Council of the Hong Kong Special Administrative Region Government(Hong Kong Research Grants Council); University of Hong Kong(University of Hong Kong)</t>
  </si>
  <si>
    <t>This project is supported by the Research Grants Council of the Hong Kong Special Administrative Region Government via a General Research Fund (project no. HKU7522/06M, KMY Leung) and the Seed Funding for Basic Research by the University of Hong Kong (KMY Leung). We thank Ms. Ivy Law and Ms. Ava Zhou (Department of Pharmacology, HKU) for their assistance in western blotting; Ms. Carol Lau, Mr. Lawrence Luk, Mr. jack Man and Mr. Ben Ho (Genome Research Centre, HKU) for helping with the proteomic sample processing. We also thank Dr. Tak-Cheung Wai (The Swire Institute of Marine Science, HKU) for his advice on multivariate statistical analyses, and Dr. Vengatesen Thiyagarajan and Mr. Nico Zurcher (School of Biological Sciences, HKU) for their useful comments on early drafts of this manuscript; Dr. Stephen R. Cartwright for improving the English of the manuscript.</t>
  </si>
  <si>
    <t>10.1016/j.aquatox.2011.05.010</t>
  </si>
  <si>
    <t>812UD</t>
  </si>
  <si>
    <t>WOS:000294317500006</t>
  </si>
  <si>
    <t>Qing, HG; Feng, WD</t>
  </si>
  <si>
    <t>Qing, Huang Guo; Feng, Wang Dong</t>
  </si>
  <si>
    <t>Cerium Inhibits the Cadmium Uptake of Pacific Oyster Crassostrea gigas</t>
  </si>
  <si>
    <t>Cerium; cadmium; bioaccumulation; marine bivalve</t>
  </si>
  <si>
    <t>RARE-EARTH-ELEMENTS; MYTILUS-EDULIS; HEAVY-METALS; LANTHANUM; CALCIUM; ZINC; STRESS; GROWTH; COPPER; BLOOD</t>
  </si>
  <si>
    <t>Ce3+ is a potential antagonist of Cd2+ due to their similar ionic radius. Its effect on the bioaccumulation of Cd2+ in pacific oyster Crassostreagigaswas explored through laboratory experiments. The oysters were exposed to 5, 10 and 25 mu mol/LCe(NO3)(3) in the presence of 25 mu g/L Cd2+ (0.22 mu mol/ L) for 12 days and the concentrations of Cd, Ca, Zn as well as Cu were indicated in the whole soft tissues and separate organs. Ce3+ in all the three doses significantly inhibited Cd2+ bioaccumulation in the oysters on day 12 and the inhibition ratios reached 30%, 31% and 41% respectively. Organ-level analysis revealed that Ce3+ possibly exerted its inhibitory action by delaying the saturated absorption of Cd2+ in the gill. Ce3+ in all the three doses antagonized the negative effects of Cd2+ on Ca concentration and restored the its level to the normal range on day 12, but 25 mu mol/L Ce3+ decreased the Zn and Cu concentrations by up to 27% and 88% respectively. It was concluded that Ce3+ could markedly inhibitthe Cd2+ bioaccumulation of Crassostreagigasand the presence of Ce3+ must be considered in marine pollution assessment by using oysters as the bioindicator.</t>
  </si>
  <si>
    <t>[Qing, Huang Guo] Qingdao Agr Univ, Coll Food Sci &amp; Engn, Qingdao 266109, Peoples R China; [Qing, Huang Guo; Feng, Wang Dong] Ocean Univ China, Coll Food Sci &amp; Engn, Qingdao 266103, Peoples R China</t>
  </si>
  <si>
    <t>Qingdao Agricultural University; Ocean University of China</t>
  </si>
  <si>
    <t>Feng, WD (corresponding author), Ocean Univ China, Coll Food Sci &amp; Engn, Qingdao 266103, Peoples R China.</t>
  </si>
  <si>
    <t>wangdfouc@126.com</t>
  </si>
  <si>
    <t>Natural Science Foundation of China [30972289]</t>
  </si>
  <si>
    <t>Natural Science Foundation of China(National Natural Science Foundation of China (NSFC))</t>
  </si>
  <si>
    <t>We acknowledge the financial support from the Natural Science Foundation of China (30972289).</t>
  </si>
  <si>
    <t>10.4194/1303-2712-v16_3_02</t>
  </si>
  <si>
    <t>EC7HX</t>
  </si>
  <si>
    <t>WOS:000388308900002</t>
  </si>
  <si>
    <t>Durrieu, G; Maury-Brachet, R; Girardin, M; Rochard, E; Boudou, A</t>
  </si>
  <si>
    <t>Contamination by heavy metals (Cd, Zn, Cu, and Hg) of eight fish species in the Gironde estuary (France)</t>
  </si>
  <si>
    <t>ESTUARIES</t>
  </si>
  <si>
    <t>TAGUS ESTUARY; EUROPEAN ESTUARIES; GARONNE RIVER; POLLUTION; VARIABILITY; PORTUGAL; CADMIUM; MODEL; ZONE</t>
  </si>
  <si>
    <t>The Gironde estuary, one of the largest in Europe, is considered as a reference ecological system, with all the western European diadromous fish species present. The national biomonitoring program on the coastal marine environment has revealed since 1979 severe metal pollution (mostly cadmium [Cd]) in oysters collected from the estuary. No data are available on metal contamination levels in fish, despite their ecological and economic importance. We present the results from a detailed study based on 4 metals (Cd, zinc [Zn], copper [Cu], and mercury [Hg]) measured in 4 organs (gills, dorsal skeletal muscle, liver, and kidneys) from 8 fish species illustrating several ecological combinations: European eel (Anguilla anguilla), twaite shad (Alosa fallax), bass (Dicentrarchus labrax), meagre (Argvrosomus regius), flounder (Platichthys flesus), thin-lipped grey mullet (Liza ramada), sole (Solea vulgaris), and Canary drum (Umbrina canariensis). The results show very marked differences between species and organs, as well as very significant variations between the 4 metals. Although metal concentrations measured in fish muscle are low, except in the case of Hg for the A. fallax, high levels of Cu and Cd were observed in the kidneys and livers of L. ramada and A. anguilla. A multifactorial analysis based on rank ordered metal concentrations for the 8 fish species clearly shows 4 clusters of species assigned to the different degrees of metal contamination, from the lowest contaminated (A. regius, D. labrax, S. vulgaris, and U. canariensis) to the most contaminated group (L. ramada). The most contaminated species (L. ramada, A. anguilla, and P. flesus) are characterized by long residence times in the estuary, between 3.5 and 14 yr. For L. ramada, biofilms with high metal storage capacities would be the principal uptake route; the two other species are benthic with a carnivorous regime. Comparisons between our data and four estuaries (Seine, France; Mersey, U.K; La Plata, Argentina; Guadalquivir, Spain), on a limited number of common species, metals and fish organs, clearly reveal higher Cd bioaccumulation levels in the Gironde estuary.</t>
  </si>
  <si>
    <t>Univ Bordeaux 1, CNRS, UMR 5805, Lab Ecophysiol &amp; Ecotoxicol Syst Aquat, F-33120 Arcachon, France; Unite Ressources Aquat Continentales, F-33612 Cestas, France</t>
  </si>
  <si>
    <t>Univ Bordeaux 1, CNRS, UMR 5805, Lab Ecophysiol &amp; Ecotoxicol Syst Aquat, Pl Dr Peyneau, F-33120 Arcachon, France.</t>
  </si>
  <si>
    <t>a.boudou@epoc.u-bordeaux1.fr</t>
  </si>
  <si>
    <t>ESTUARINE RESEARCH FEDERATION</t>
  </si>
  <si>
    <t>PORT REPUBLIC</t>
  </si>
  <si>
    <t>2018 DAFFODIL, PO BOX 510, PORT REPUBLIC, MD 20676 USA</t>
  </si>
  <si>
    <t>0160-8347</t>
  </si>
  <si>
    <t>Estuaries</t>
  </si>
  <si>
    <t>10.1007/BF02696069</t>
  </si>
  <si>
    <t>965QD</t>
  </si>
  <si>
    <t>WOS:000231964400010</t>
  </si>
  <si>
    <t>Aguilar-Martínez, R; Gómez-Gómez, MM; Palacios-Corvillo, MA</t>
  </si>
  <si>
    <t>Aguilar-Martinez, Rocio; Milagros Gomez-Gomez, M.; Palacios-Corvillo, Maria A.</t>
  </si>
  <si>
    <t>Mercury and organotin compounds monitoring in fresh and marine waters across Europe by Chemcatcher passive sampler</t>
  </si>
  <si>
    <t>passive sampling; Chemcatcher; mercury; organotin compounds; speciation; pollution; water monitoring</t>
  </si>
  <si>
    <t>SEMIPERMEABLE-MEMBRANE DEVICES; ENVIRONMENT; CONTAMINATION; TRIBUTYLTIN; POLLUTANTS; BUTYLTIN; MUSSELS; METALS; SYSTEM; DGT</t>
  </si>
  <si>
    <t>Several field trials have been carried out to assess the performance of the passive sampler Chemcatcher as aquatic monitoring technology for inorganic mercury and the organotin pollutants monobutyltin (MBT), dibutyltin (DBT) and tributyltin (TBT) in different types of waters across ten locations in Europe. Two version of the sampler were used. One for mercury that consists on 47 mm Empore (TM) disks of iminodiacetic chelating groups as the receiving phase overlaid by a diffusion membrane of polyethersulphone; and other for organotin compounds comprising a C-18 disk and a cellulose acetate membrane. Both membranes were held in a disposable polycarbonate body. The two samplers were calibrated in the laboratory in a previous work to estimate the pollutant concentration. For field sampling, the samplers were deployed for 14 days. In parallel spot samples were periodically collected during the deployment period for comparison purposes. No significant biofouling on the samplers was observed for the locations monitored. In general, water concentrations estimated by Chemcatcher were lower than those found in spot water samples due to the device only collected the soluble bioavailable fraction of target pollutants. However, the pre-concentration capability of Chemcatcher allowed the determination of the tested pollutants at levels where spot sampling fails, even in difficult water bodies such as sewage treatment plants. These advantages lead to consider this emerging methodology as a complementary tool to traditional spot sampling.</t>
  </si>
  <si>
    <t>[Aguilar-Martinez, Rocio; Milagros Gomez-Gomez, M.; Palacios-Corvillo, Maria A.] Univ Complutense Madrid, Fac Chem, Dept Analyt Chem, E-28040 Madrid, Spain</t>
  </si>
  <si>
    <t>Complutense University of Madrid</t>
  </si>
  <si>
    <t>Palacios-Corvillo, MA (corresponding author), Univ Complutense Madrid, Fac Chem, Dept Analyt Chem, Ciudad Univ, E-28040 Madrid, Spain.</t>
  </si>
  <si>
    <t>palacor@quim.ucm.es</t>
  </si>
  <si>
    <t>Gomez-Gomez, M. Milagros/H-8589-2017</t>
  </si>
  <si>
    <t>Gomez-Gomez, M. Milagros/0000-0002-9904-4681</t>
  </si>
  <si>
    <t>European Commission, DG Research [EVK1-CT-2002-00119]; Spanish Ministerio de Educacion y Ciencia [CTQ2004-20349]</t>
  </si>
  <si>
    <t>European Commission, DG Research(European Union (EU)European Commission Joint Research Centre); Spanish Ministerio de Educacion y Ciencia(Spanish Government)</t>
  </si>
  <si>
    <t>The authors acknowledge the financial support of the European Commission, DG Research (contract EVK1-CT-2002-00119; http://www.port.ac.uk/research/stamps/) and the Spanish Ministerio de Educacion y Ciencia (Contract CTQ2004-20349) for this work. They are also grateful to G. Mills, R. Greenwood, B. Vrana, P. Leonards and all the other colleagues who provided facilities to the field study.</t>
  </si>
  <si>
    <t>10.1080/03067310903199534</t>
  </si>
  <si>
    <t>851HY</t>
  </si>
  <si>
    <t>WOS:000297260200008</t>
  </si>
  <si>
    <t>Nardi, A; Benedetti, M; Gorbi, S; Regoli, F</t>
  </si>
  <si>
    <t>Nardi, Alessandro; Benedetti, Maura; Gorbi, Stefania; Regoli, Francesco</t>
  </si>
  <si>
    <t>Interactive Immunomodulation in the Mediterranean Mussel Mytilus galloprovincialis Under Thermal Stress and Cadmium Exposure</t>
  </si>
  <si>
    <t>multiple stressors; global change; pollution; bivalves; heatwaves; oxidative stress; immunity</t>
  </si>
  <si>
    <t>OXIDATIVE STRESS; CRASSOSTREA-VIRGINICA; LYSOSOMAL RESPONSES; ANTIOXIDANT ENZYMES; TEMPERATURE STRESS; MARINE ORGANISMS; BIVALVE MOLLUSK; EASTERN OYSTERS; HEAVY-METALS; BIOMARKERS</t>
  </si>
  <si>
    <t>Marine bivalves are frequently exposed to multiple co-occurring challenges such as temperature extremes and anthropogenic pollution. These stressors can elicit negative effects on several biological pathways, including antioxidant and neuroendocrine-immune (NEI) systems, leading to immune disorders and altered immunocytes functionality. Since interactive mechanisms of action and resulting outcomes are still scarcely explored, we examined the single and combined effects of increased temperature (+5 degrees C) and cadmium (20 mu g/L) in the Mediterranean mussel Mytilus galloprovincialis. Analyzed parameters included cholinergic system in gills and hemolymph (acetylcholinesterase activity, AChE), total oxyradical scavenging capacity in gills and key functional processes in hemocytes, including lysosomal membrane stability, hemocytes subpopulations ratio, phagocytosis capacity, and onset of genotoxic damage. Results highlighted interactive inhibition of AChE activity along to a concomitant increased total oxyradical scavenging capacity, confirming neuroendocrine-immune system (NEI) disturbance and oxidative pressure. In hemocytes, lysosomal membrane stability and granulocytes:hyalinocytes ratio revealed additive effects of stressors, while a consistent reduction of phagocytosis was caused by temperature stress, with a slightly antagonistic effect of cadmium. Pearson's correlation statistics provided either positive or negative relationships between investigated parameters and stressors, allowing to hypothesize putative mechanism of immune system functional alterations. The overall results suggest that the occurrence of short-term events of increased temperature and concomitant metal exposure could elicit interactive and negative effects on immune system efficiency of marine organisms.</t>
  </si>
  <si>
    <t>[Nardi, Alessandro; Benedetti, Maura; Gorbi, Stefania; Regoli, Francesco] Univ Politecn Marche, Dipt Sci Vita Ambiente, Ancona, Italy</t>
  </si>
  <si>
    <t>Marche Polytechnic University</t>
  </si>
  <si>
    <t>Regoli, F (corresponding author), Univ Politecn Marche, Dipt Sci Vita Ambiente, Ancona, Italy.</t>
  </si>
  <si>
    <t>f.regoli@univpm.it</t>
  </si>
  <si>
    <t>Nardi, Alessandro/AAH-1535-2021; Gorbi, Stefania/K-5662-2016; Regoli, Francesco/K-2719-2018</t>
  </si>
  <si>
    <t>Regoli, Francesco/0000-0001-6084-6188; Nardi, Alessandro/0000-0002-9978-1411</t>
  </si>
  <si>
    <t>SEP 28</t>
  </si>
  <si>
    <t>10.3389/fmars.2021.751983</t>
  </si>
  <si>
    <t>WF0EH</t>
  </si>
  <si>
    <t>WOS:000705988400001</t>
  </si>
  <si>
    <t>Diop, M; Amara, R</t>
  </si>
  <si>
    <t>Diop, Mamadou; Amara, Rachid</t>
  </si>
  <si>
    <t>Mercury concentrations in the coastal marine food web along the Senegalese coast</t>
  </si>
  <si>
    <t>Mercury; Pollution; Se/Hg molar ratio; Marine organisms; Senegal</t>
  </si>
  <si>
    <t>SAINT LOUIS ESTUARY; HEAVY-METALS; WEST-AFRICA; CONTAMINATION LEVEL; SOLEA-SENEGALENSIS; SARDINELLA-AURITA; ULVA-LACTUCA; TRACE-METALS; PERNA-PERNA; DAKAR COAST</t>
  </si>
  <si>
    <t>This paper presents the results of seasonal (wet and dry seasons) and spatial (five sites) variation of mercury concentration in seven marine organisms representative for shallow Senegalese coastal waters and including species of commercial importance. Total mercury levels were recorded in the green algae (Ulva lactuca); the brown mussel (Perna perna); the Caramote prawn (Penaeus kerathurus); and in the liver and muscles of the following fish: Solea senegalensis, Mugil cephalus, Saratherondon melanotheron, and Sardinella aurita. The total selenium (Se) contents were determined only in the edible part of Perna perna, Penaeus kerathurus and in the muscles of Sardinella aurita and Solea senegalensis. Hg concentration in fish species was higher in liver compared to the muscle. Between species differences in Hg, concentrations were recorded with the highest concentration found in fish and the lowest in algae. The spatiotemporal study showed that there was no clear seasonal pattern in Hg concentrations in biota, but spatial differences existed with highest concentrations in sites located near important anthropogenic pressure. For shrimp, mussel, and the muscles of sardine and sole, Hg concentrations were below the health safety limits for human consumption as defined by the European Union. The Se/Hg molar ratio was always higher than one whatever the species or location suggesting a protection of Se against Hg potential adverse effect.</t>
  </si>
  <si>
    <t>[Diop, Mamadou; Amara, Rachid] Univ Littoral ULCO, Lab Oceanol &amp; Geosci, F-62930 Wimereux, France; [Diop, Mamadou] UCAD, LTH, Dakar 5005, Senegal</t>
  </si>
  <si>
    <t>Universite du Littoral-Cote-d'Opale; University Cheikh Anta Diop Dakar</t>
  </si>
  <si>
    <t>Amara, R (corresponding author), Univ Littoral ULCO, Lab Oceanol &amp; Geosci, F-62930 Wimereux, France.</t>
  </si>
  <si>
    <t>rachid.amara@univ-littoral.fr</t>
  </si>
  <si>
    <t>DIOP, Mamadou/AAV-1356-2021; RACHID, AMARA/E-2525-2012</t>
  </si>
  <si>
    <t>AMARA, Rachid/0000-0002-7183-1333; DIOP, Mamadou/0000-0001-6350-5135</t>
  </si>
  <si>
    <t>Bourses de Cooperation et d'Action Culturelle de l'ambassade de France a Dakar; ERASMUS ANGLE grant</t>
  </si>
  <si>
    <t>A doctoral grant was funded for M. Diop by Bourses de Cooperation et d'Action Culturelle de l'ambassade de France a Dakar and ERASMUS ANGLE grant. The authors sincerely thank Drs. Michael Howsam and Lucie Courco for their assistance with the Hg and Se analyses.</t>
  </si>
  <si>
    <t>10.1007/s11356-016-6386-x</t>
  </si>
  <si>
    <t>DO0NX</t>
  </si>
  <si>
    <t>WOS:000377476700051</t>
  </si>
  <si>
    <t>Jiang, WW; Fang, JG; Gao, YP; Du, MR; Fang, JH; Wang, XQ; Li, FX; Lin, F; Jiang, ZJ</t>
  </si>
  <si>
    <t>Jiang, Weiwei; Fang, Jianguang; Gao, Yaping; Du, Meirong; Fang, Jinghui; Wang, Xiaoqin; Li, Fengxue; Lin, Fan; Jiang, Zengjie</t>
  </si>
  <si>
    <t>Biomarkers responses in Manila clam, Ruditapes philippinarum after single and combined exposure to mercury and benzo[a]pyrene</t>
  </si>
  <si>
    <t>Ruditapes philippinarum; Mercury; Benzo[a]pyrene; Physiological and biochemical biomarkers; IBR value</t>
  </si>
  <si>
    <t>SHRIMP LITOPENAEUS-VANNAMEI; SCALLOP CHLAMYS-FARRERI; HEAVY-METALS; OXYGEN-CONSUMPTION; OXIDATIVE STRESS; COPPER EXPOSURE; IN-VITRO; CADMIUM; FISH; BIOACCUMULATION</t>
  </si>
  <si>
    <t>Physiological and biochemical responses in bivalves exposed to pollutants have proved a valuable tool to assess the health of organisms in aquatic ecosystems. The single and combined effects of mercury (Hg2+, 2 and 10 mu g/L) and benzo[a] pyrene (BaP, 3 mu g/L) on physiological and biochemical biomarkers in Manila clam, Ruditapes philippinarum were evaluated. Results showed that significant higher oxygen consumption (OR) and ammonia-N excretion rates (NR) together with significant lower ingestion rates (IR) were observed for the 10 mu g/L Hg2+ or 3 mu g/L BaP treatments compared to controls (P &lt; 0.05). However, clam NR decreased significantly in response to the binary mixtures of 10 mu g/L Hg2+ and 3 mu g/L BaP (P &lt; 0.05). Moreover, the levels of superoxide dismutase (SOD), catalase (CAT), glutathione-s-transferases (GSTs), glutathione (GSH), acetylcholinesterase (AChE) and malondialdehyde (MDA) in the hepatopancreas of clams were induced substantially, whereas glycogen (GLY) contents were suppressed dramatically after Hg2+ and BaP exposure. Additionally, the integrated biomarker response (IBR) values measured showed significant increases in combination treatments and they were much higher than that in the Hg2+ treatment. This study will provide further information on the defense mechanism in the Manila clam after exposure to marine pollutants and may help evaluate the quality of the aquatic environment.</t>
  </si>
  <si>
    <t>[Jiang, Weiwei; Fang, Jianguang; Gao, Yaping; Du, Meirong; Fang, Jinghui; Wang, Xiaoqin; Li, Fengxue; Lin, Fan; Jiang, Zengjie] Chinese Acad Fishery Sci, Yellow Sea Fisheries Res Inst, Minist Agr, Key Lab Sustainable Dev Marine Fisheries, 106 Nanjing Rd, Qingdao 266071, Shandong, Peoples R China; [Fang, Jianguang; Jiang, Zengjie] Qingdao Pilot Natl Lab Marine Sci &amp; Technol, Lab Marine Fisheries Sci &amp; Food Prod Proc, Qingdao 266200, Shandong, Peoples R China</t>
  </si>
  <si>
    <t>Ministry of Agriculture &amp; Rural Affairs; Chinese Academy of Fishery Sciences; Yellow Sea Fisheries Research Institute, CAFS; Laoshan Laboratory</t>
  </si>
  <si>
    <t>Jiang, ZJ (corresponding author), Chinese Acad Fishery Sci, Yellow Sea Fisheries Res Inst, Minist Agr, Key Lab Sustainable Dev Marine Fisheries, 106 Nanjing Rd, Qingdao 266071, Shandong, Peoples R China.</t>
  </si>
  <si>
    <t>jiangzj@ysfri.ac.cn</t>
  </si>
  <si>
    <t>Fang, Jinghui/AAF-8828-2021</t>
  </si>
  <si>
    <t>National Natural Science Foundation of China [41761134052, 41676147]; Qingdao National Laboratory for Marine Science and Technology [QNLM201707]; China Postdoctoral Science Foundation [2018M642728]; Modern Agroindustry Technology Research System [CARS-49]</t>
  </si>
  <si>
    <t>National Natural Science Foundation of China(National Natural Science Foundation of China (NSFC)); Qingdao National Laboratory for Marine Science and Technology; China Postdoctoral Science Foundation(China Postdoctoral Science Foundation); Modern Agroindustry Technology Research System</t>
  </si>
  <si>
    <t>The research was supported by the National Natural Science Foundation of China (No. 41761134052, 41676147), Director Project Financially Supported by Qingdao National Laboratory for Marine Science and Technology (No. QNLM201707), China Postdoctoral Science Foundation funded project (2018M642728), and Modern Agroindustry Technology Research System (No. CARS-49).</t>
  </si>
  <si>
    <t>10.1016/j.cbpc.2019.02.010</t>
  </si>
  <si>
    <t>IA1FZ</t>
  </si>
  <si>
    <t>WOS:000469306000001</t>
  </si>
  <si>
    <t>Chafi, M; Byadi, S; Barhoumi, A; Limouni, W; Tizliouine, A; Jama, C; Omari, LE</t>
  </si>
  <si>
    <t>Chafi, Mohammed; Byadi, Said; Barhoumi, Ali; Limouni, Wijdane; Tizliouine, Abdeslam; Jama, Charafeddine; Omari, Lhaj El Hachemi</t>
  </si>
  <si>
    <t>Study of copper removal by modified biomaterials using the response surface methodology, DFT Calculation, and molecular dynamic simulation</t>
  </si>
  <si>
    <t>JOURNAL OF MOLECULAR LIQUIDS</t>
  </si>
  <si>
    <t>Copper removal; Adsorption; Oyster Shells; DFT; Central Composite Design (CCD); Molecular dynamics</t>
  </si>
  <si>
    <t>SCHIFF-BASE MOLECULES; MILD-STEEL SURFACE; M HCL MEDIUM; AQUEOUS-SOLUTIONS; WASTE-WATER; REVERSE-OSMOSIS; HEAVY-METALS; ADSORPTION; OYSTER; IONS</t>
  </si>
  <si>
    <t>Copper removal by adsorption from an aqueous solution was tested onto the Oyster Shells (OS) powder as an inexpensive adsorbent material. The effect of process parameters such as pH, initial pollutant concentration, adsorbent mass, and contact time on the copper removal in batch experiments conditions was investigated using an experimental design methodology to determine the optimal conditions for copper treatment. Adsorbent content, initial concentration of copper, pH, and contact time for maximum Cu(II) removal (82.58 %) were optimized and were found to be 2 g, 150 mg.l(-1), 5.5, and 2.5 h, respectively. The adsorption equilibrium data followed the Langmuir isotherm model, whereas the pseudo-second-order equation was the best applicable kinetic model to describe the adsorption of Copper onto OS powder. The study concluded that the OS has potential application as an adsorbent to remove toxic heavy metals such as copper from industrial wastewater. Aside from experimental methods, theoretical methods such as DFT simulations, molecular dynamics simulations, and the radial distribution method were employed to uncover parameters regulating the effectiveness of the examined adsorbate.(c) 2022 Elsevier B.V. All rights reserved.</t>
  </si>
  <si>
    <t>[Chafi, Mohammed; Limouni, Wijdane] Hassan II Univ Casablanca, Higher Sch Technol, LIPE, BP 8012, Oasis, Morocco; [Byadi, Said] Univ Hassan 2, Fac Sci Ain Chock, Equipe Spect extract valorisat, Synth organ, Casablanca, Morocco; [Barhoumi, Ali] Chouaib Doukkali Univ, Sci Fac, Team Mol Modelling &amp; Spect, El Jadida, Morocco; [Tizliouine, Abdeslam] Hassan II Univ Casablanca, Higher Sch Technol, Lab Mech, Prod &amp; Ind Engn, BP 8112, Oasis, Casablanca, Morocco; [Jama, Charafeddine] Univ Lille, Un Materiaux &amp; Transformat, CNRS, INRAE, F-59000 Lille, France; [Omari, Lhaj El Hachemi] Univ Hassan II Casablanca, Fac Sci Ain Chock, LPMMAT, BP 5366, Maarif, Morocco</t>
  </si>
  <si>
    <t>Hassan II University of Casablanca; Hassan II University of Casablanca; Chouaib Doukkali University of El Jadida; Hassan II University of Casablanca; Universite de Lille; INRAE; Centre National de la Recherche Scientifique (CNRS); Hassan II University of Casablanca</t>
  </si>
  <si>
    <t>Byadi, S (corresponding author), Univ Hassan 2, Fac Sci Ain Chock, Equipe Spect extract valorisat, Synth organ, Casablanca, Morocco.</t>
  </si>
  <si>
    <t>said.byadi-etu@etu.univh2c.ma</t>
  </si>
  <si>
    <t>Jama, charafeddine/AAZ-9393-2020; Omari, L.H./ABE-4036-2021; CHAFI, Mohammed/GYU-5504-2022</t>
  </si>
  <si>
    <t>BYADI, said/0000-0003-0913-2897; TIZLIOUINE, ABDESLAM/0000-0002-4491-5603; jama, charafeddine/0000-0001-5240-7804</t>
  </si>
  <si>
    <t>0167-7322</t>
  </si>
  <si>
    <t>1873-3166</t>
  </si>
  <si>
    <t>J MOL LIQ</t>
  </si>
  <si>
    <t>J. Mol. Liq.</t>
  </si>
  <si>
    <t>10.1016/j.molliq.2022.119799</t>
  </si>
  <si>
    <t>JUL 2022</t>
  </si>
  <si>
    <t>Chemistry, Physical; Physics, Atomic, Molecular &amp; Chemical</t>
  </si>
  <si>
    <t>Chemistry; Physics</t>
  </si>
  <si>
    <t>3H0BH</t>
  </si>
  <si>
    <t>WOS:000831709000001</t>
  </si>
  <si>
    <t>BROMAN, D; LINDQVIST, L; LUNDBERGH, I</t>
  </si>
  <si>
    <t>CADMIUM AND ZINC IN MYTILUS-EDULIS-L FROM THE BOTHNIAN SEA AND THE NORTHERN BALTIC PROPER</t>
  </si>
  <si>
    <t>SEASONAL-VARIATIONS; TRACE-METALS; HEAVY-METALS; BAY MUSSELS; ACCUMULATION; INDICATOR; MARINE; POLLUTION; COPPER; SPECIATION</t>
  </si>
  <si>
    <t>Contents of Cd and Zn in the blue mussel, Mytilus edulis, collected on the coast of the southern Bothnian Sea and the northern Baltic proper, were determined using flame AAS. The observed concentrations ranged from 4.7 to 10.8 mg kg-1 dw for Cd and from 121 to 215 mg kg-1 dw for Zn. The Zn/Cd ratio was around 20 at a majority of the investigated locations. Cd exhibited an approximate two-fold gradual increase from south to north in the study area. It is likely that this increase was due largely to enhanced bioavailability for Cd at lower salinity. However, it is not possible to eliminate the influence from a generally elevated overall concentration of cadmium in the southern Bothnian Sea caused by natural and anthropogenic input. Compared to mussels from marine waters on the west coast of Sweden, Cd concentrations were 5-10 times higher, similarly indicating an influence of low salinity. Zn did not show these salinity correlated differences. The high Zn content found south of the outlet of the river Dalalven and gradually decreasing southwards was possibly caused by the high riverine input.</t>
  </si>
  <si>
    <t>UNIV UPPSALA,DEPT ZOOPHYSIOL,S-75122 UPPSALA,SWEDEN</t>
  </si>
  <si>
    <t>Uppsala University</t>
  </si>
  <si>
    <t>BROMAN, D (corresponding author), UNIV STOCKHOLM,DEPT ZOOL,S-10691 STOCKHOLM,SWEDEN.</t>
  </si>
  <si>
    <t>10.1016/0269-7491(91)90072-5</t>
  </si>
  <si>
    <t>GL096</t>
  </si>
  <si>
    <t>WOS:A1991GL09600004</t>
  </si>
  <si>
    <t>Boening, DW</t>
  </si>
  <si>
    <t>An evaluation of bivalves as biomonitors of heavy metals pollution in marine waters</t>
  </si>
  <si>
    <t>bioaccumulation; biomonotoring; bioavailability; bivalves; bioindicator</t>
  </si>
  <si>
    <t>TRACE-METALS; MYTILUS-EDULIS; CADMIUM; COPPER; RIVER; SEDIMENTS; CHROMIUM; ESTUARY; MUSSELS; OYSTER</t>
  </si>
  <si>
    <t>Heavy metals (namely Cr, Cu, Zn, As, Hg, Pb, Ni, and Ag) that are present at concentrations common in ambient marine waters can cause adverse effects in shellfish. Such effects can significantly impact the trophic structure of a biological community. Heavy metals uptake is dependent on both geochemical and biological factors. In bivalves, the extent of accumulation is a function of several biotic and abiotic variables. Based on several criteria, (including: an ability to accumulate metals without suffering mortality, habitation within, and continuous exposure to, the contaminated matrix, hardiness, and ease of sampling) bivalve molluscs have proven to be useful biomonitors for a host of inorganic contaminants. it is essential that the biomonitoring plan is not only site specific, but that it considers the use of indigenous species whenever possible. This paper will provide a general review of studies that have employed bivalved shellfish as sentinel bioindicators in marine environments impacted by heavy metals, and give suggestions for conducting biomonitoring assays.</t>
  </si>
  <si>
    <t>Lockheed Martin Environm Serv Assistance Team, Port Orchard, WA 98366 USA</t>
  </si>
  <si>
    <t>Boening, DW (corresponding author), Lockheed Martin Environm Serv Assistance Team, Port Orchard, WA 98366 USA.</t>
  </si>
  <si>
    <t>10.1023/A:1005995217901</t>
  </si>
  <si>
    <t>195NV</t>
  </si>
  <si>
    <t>WOS:000080258800009</t>
  </si>
  <si>
    <t>Kuplulu, O; Cil, GI; Korkmaz, SD; Aykut, O; Ozansoy, G</t>
  </si>
  <si>
    <t>Kuplulu, O.; Cil, Iplikcioglu G.; Korkmaz, S. D.; Aykut, O.; Ozansoy, G.</t>
  </si>
  <si>
    <t>Determination of Metal Contamination in Seafood from the Black, Marmara, Aegean and Mediterranean Sea Metal Contamination in Seafood</t>
  </si>
  <si>
    <t>Fish Species; Shellfish; ICP-MS; Heavy metal; Contamination</t>
  </si>
  <si>
    <t>ATOMIC-ABSORPTION-SPECTROMETRY; HEAVY-METALS; MULLUS-BARBATUS; FISH SAMPLES; TURKEY; MERCURY; ACCUMULATION; CONSUMPTION; MUSCLE</t>
  </si>
  <si>
    <t>Seafood is one of the most important components of a healthy diet due to its composition. With the Black, Marmara, Aegean and Mediterranean Sea, Turkey has substantial sources of seafood. Seas are highly impacted by environmental pollution. Among these, heavy metal pollution has long been recognized as a serious problem for seafood. As heavy metals cannot be degraded, they are deposited, assimilated or incorporated in water, sediment and aquatic animals. By these properties, they can be transferred to humans through the food chain especially by the consumption of fish and shellfish. The aim of this study is to determine the concentrations of Cd, As, Pb and Hg levels in selected fish species and marine animals from all of the 4 seas of Turkey by using the ICP-MS technique, and to compare the results with the legislations safe limits. For this purpose, 13 different fish species, mussels and shrimps have been obtained from the Black, Marmara, Aegean and Mediterranean Seas. According to the results, metal concentrations decrease in the order As&gt;Pb&gt;Hg&gt;Cd. In all the seas, the same order was found. Statistically significant differences were observed in the metal levels between fish species and the shellfish in all regions. Except for the two samples, all the results was found compatible with the Turkish Food Codex and European Commission Regulation limits. Arsenic levels were detected between 0,076-4,230 mg/kg within the samples. Cadmium levels were detected as higher than the limits in two samples obtained from the Mediterranean Sea, Scophthalmus maximus and Mullus barbatus species as 0,076 mg/kg and 0,064 mg/kg, respectively. The highest and the lowest levels of mercury and lead were measured as 0,005-0,405 and 0,015-0,405 mg/kg, respectively. The results obtained from this study revealed that, except for a few cases, the selected heavy metal concentrations in most samples were below the limits. Also, besides the mussels and the shrimps, there was no single type of fish that was consistently high in all metals. The examined seas and the seafood were found to be safe for human consumption.</t>
  </si>
  <si>
    <t>[Kuplulu, O.; Cil, Iplikcioglu G.; Ozansoy, G.] Ankara Univ, Fac Vet Med, Food Hyg &amp; Technol Dept, TR-06110 Ankara, Turkey; [Korkmaz, S. D.] Giresun Univ, Vocat Sch Espiye, Food Proc Dept, TR-28600 Giresun, Turkey; [Aykut, O.] Publ Hlth Inst Turkey, TR-06100 Ankara, Turkey</t>
  </si>
  <si>
    <t>Ankara University; Giresun University; Refik Saydam Hifzissihha Merkezi Baskanligi</t>
  </si>
  <si>
    <t>Cil, GI (corresponding author), Ankara Univ, Fac Vet Med, Food Hyg &amp; Technol Dept, TR-06110 Ankara, Turkey.</t>
  </si>
  <si>
    <t>g.iplikcioglu@gmail.com</t>
  </si>
  <si>
    <t>Küplülü, Özlem/AAG-9009-2020; Cıl, Guzin/AAG-8002-2020; Cengiz, Gorkem/ABD-2516-2020</t>
  </si>
  <si>
    <t>Cengiz, Gorkem/0000-0001-9853-565X</t>
  </si>
  <si>
    <t>GF9VP</t>
  </si>
  <si>
    <t>hybrid, Green Submitted</t>
  </si>
  <si>
    <t>WOS:000432327500006</t>
  </si>
  <si>
    <t>Vazquez, F; Sharma, VK</t>
  </si>
  <si>
    <t>Trace metals in the oyster, Crassostrea rhizophora, from the Laguna de Terminos of Campeche, Mexico</t>
  </si>
  <si>
    <t>TEXAS JOURNAL OF SCIENCE</t>
  </si>
  <si>
    <t>HEAVY-METALS; VIRGINICA; LAGOON; TAMAULIPAS; INDICATOR; POLLUTION; GULF</t>
  </si>
  <si>
    <t>Oysters (Crassostrea rhizophora) from the Laguna de Terminos of Campeche, Mexico were analyzed for cadmium, copper, iron, manganese, lead and zinc. Dry weight concentrations of these metals ranged from 2.8 - 536 mg/kg with Zn &gt; Fe &gt; Cu &gt; Mn &gt; Pb &gt; Cd. Results of this study are compared with concentrations of metals in the oyster Crassostrea virginica from other areas of Mexico as well as from the United States.</t>
  </si>
  <si>
    <t>TEXAS A&amp;M UNIV, CTR COASTAL STUDIES, CORPUS CHRISTI, TX 78412 USA</t>
  </si>
  <si>
    <t>Texas A&amp;M University System</t>
  </si>
  <si>
    <t>NATL AUTONOMOUS UNIV MEXICO, INST CIENCIAS MAR &amp; LIMNOL, CD UNIV, APARTADO POSTAL 70-305, MEXICO CITY 04510, DF, MEXICO.</t>
  </si>
  <si>
    <t>Sharma, Virender/N-9306-2016</t>
  </si>
  <si>
    <t>TEXAS ACAD SCI</t>
  </si>
  <si>
    <t>KERRVILLE</t>
  </si>
  <si>
    <t>CMB 6252, SCHREINER UNIV, KERRVILLE, TX 78028-5697 USA</t>
  </si>
  <si>
    <t>0040-4403</t>
  </si>
  <si>
    <t>TEX J SCI</t>
  </si>
  <si>
    <t>Tex. J. Sci.</t>
  </si>
  <si>
    <t>Ecology; Zoology</t>
  </si>
  <si>
    <t>Environmental Sciences &amp; Ecology; Zoology</t>
  </si>
  <si>
    <t>VY500</t>
  </si>
  <si>
    <t>WOS:A1996VY50000002</t>
  </si>
  <si>
    <t>Paller, VGV; Bandal, MZ; Manceras, LJS</t>
  </si>
  <si>
    <t>Paller, Vachel Gay V.; Bandal, Modesto Z.; Manceras, Leanne Jay S.</t>
  </si>
  <si>
    <t>Lead Uptake of the Asian Clam (Corbiculafluminea), Nile Tilapia (Oreochromis niloticus) and its Parasite (Acanthogyrus sp.) in Yambo Lake, Laguna, Philippines</t>
  </si>
  <si>
    <t>JOURNAL OF ENVIRONMENTAL SCIENCE AND MANAGEMENT</t>
  </si>
  <si>
    <t>Acanthogyrus sp; bioindicator; Yambo Lake; Lead (Pb)</t>
  </si>
  <si>
    <t>PERCH PERCA-FLUVIATILIS; HEAVY-METAL; ACANTHOCEPHALUS-LUCII; DIFFERENT TISSUES; MARINE POLLUTION; ZEBRA MUSSEL; RIVER; FLUMINEA; WATER; BIOACCUMULATION</t>
  </si>
  <si>
    <t>The contamination of heavy metals in the aquatic environment poses a threat due to its persistence and potential accumulation in aquatic life forms. In order to detect such pollution, the use of organisms as bioindicators was explored. This study investigated the use of fish acanthocephalan parasites as bioindicator of lead (Pb) in a semi-pristine Yambo Lake in San Pablo, Laguna, Philippines. Lake water samples, wild Nile tilapias (Oreochromis niloticus), its acanthocephalan parasites (Acanthogyrus sp.), and Asian clams (Corbicula fluminea) were collected and subjected to Pb concentration detection through heavy metal analysis. Higher accumulated mean concentration levels of Pb is recorded in Acanthogyrus sp. (10.13 mg kg(-1)), followed by the fish host tissues: liver (6.19 mg kg-1), intestine (2.80 mg kg(-1)), and muscle (0.75 mg kg-1). An established bioindicator, C. fluminea, only accumulated an average of 0.16 mg kg(-1) Pb in its soft tissues. The bioaccumulation capacity of Acanthogyrus sp. to the fish host and water samples were 35 times higher than the liver, 190 times the intestine and 211 times than the muscle. Furthermore, the accumulated Pb in the parasite was 3,015 times higher than C. fluminea in lake water. Among all samples analyzed, Acanthogyrus sp. showed the highest accumulation capacity. These findings provide useful information to the bio indicator potential of this parasite, and that local environment authorities can utilize its sensitivity to detect and monitor traces of heavy metals even in less polluted aquatic environments.</t>
  </si>
  <si>
    <t>[Paller, Vachel Gay V.; Bandal, Modesto Z.] Univ Philippines Los Banos, Inst Biol Sci, Coll Arts &amp; Sci, Anim Biol Div, Laguna 4031, Philippines; [Manceras, Leanne Jay S.] Univ Southern Mindanao, Dept Biol Sci, Coll Sci &amp; Mathemat, Cotabato, Philippines</t>
  </si>
  <si>
    <t>University of the Philippines System; University of the Philippines Los Banos</t>
  </si>
  <si>
    <t>Bandal, MZ (corresponding author), Univ Philippines Los Banos, Inst Biol Sci, Coll Arts &amp; Sci, Anim Biol Div, Laguna 4031, Philippines.</t>
  </si>
  <si>
    <t>mzbandal@up.edu.ph</t>
  </si>
  <si>
    <t>UNIV PHILIPPINES LOS BANOS COLLEGE</t>
  </si>
  <si>
    <t>LAGUNA</t>
  </si>
  <si>
    <t>SCHOOL ENVIRONMENTAL SCIENCE &amp; MANAGEMENT, LAGUNA, 4031, PHILIPPINES</t>
  </si>
  <si>
    <t>0119-1144</t>
  </si>
  <si>
    <t>J ENVIRON SCI MANAG</t>
  </si>
  <si>
    <t>J. Environ. Sci. Manage.</t>
  </si>
  <si>
    <t>7S7IQ</t>
  </si>
  <si>
    <t>WOS:000910926000003</t>
  </si>
  <si>
    <t>Khoei, AJ</t>
  </si>
  <si>
    <t>Khoei, Arash Javanshir</t>
  </si>
  <si>
    <t>Seasonal heavy metal accumulations in the bivalve Barbatia decussate and their relationships with water quality and the metal-induced biochemical biomarkers</t>
  </si>
  <si>
    <t>Pollution; Marine; Bivalve; Heavy metal; Season</t>
  </si>
  <si>
    <t>PERNA-PERNA MOLLUSCA; ANTIOXIDANT DEFENSES; MARINE BIVALVES; MYTILUS-EDULIS; POLLUTION; BIOACCUMULATION; EXPOSURE; RESPONSES; ENZYMES; BIOMONITORS</t>
  </si>
  <si>
    <t>Seasonal tissue concentrations of heavy metals, antioxidant enzymes, immunological components, and water quality parameters were investigated during 1 year in the ark clam, Barbatia decussate, from the coast of Lengeh port, located in the north of the Persian Gulf, Iran. The tissue accumulation of the heavy metals (Cd, Pb, Hg) significantly increased accumulations in late autumn and winter (P &lt; 0.01). Theconcentrations of Ni and Cr nearly remained unchanged throughout the 1 year sampling period (P &gt; 0.01). Seasonal changes were also observed in metal-induced biochemical components. In this regard, the malondialdehyde (MDA) levels and the activity of superoxide dismutase (SOD), catalase (CAT), and glutathione peroxidase (GPx) elevated throughout spring and summer and then declined during autumn and winter (P &lt; 0.01). Phagocytosis activity significantly decreased from December to February and then increased from March to September (P &lt; 0.01). Total hemocyte counts decreased from October to March and then elevated until April (P &lt; 0.01). Significant relationships were found between tissue heavy metal concentrations, water quality parameters, and biochemical components (P &lt; 0.01). The negative correlations were O-2 vs. antioxidant enzymes, phagocytosis, and total counts of the hemocytes (THCs); pH vs. SOD; salinity vs. Cr; and temperature vs. GPx and Ni. Positive correlations were O-2 vs. Cd, Pb, Hg, and Ni; temperature vs. phagocytosis and THCs; and turbidity vs. phagocytosis, THCs, CAT, and GPx. The results of the present study showed a seasonal pattern in the accumulation of heavy metals, with maximum levels in winter for the ark clam, B. decussate . Furthermore, antioxidant defense and immunity of B. decussate are reduced during winter, which may make B. decussate susceptible to diseases.</t>
  </si>
  <si>
    <t>[Khoei, Arash Javanshir] Univ Tehran, Fac Nat Resources, Dept Fisheries, Tehran, Iran</t>
  </si>
  <si>
    <t>University of Tehran</t>
  </si>
  <si>
    <t>Khoei, AJ (corresponding author), Univ Tehran, Fac Nat Resources, Dept Fisheries, Tehran, Iran.</t>
  </si>
  <si>
    <t>Arashjavanshir@ut.ac.ir</t>
  </si>
  <si>
    <t>Javanshir khoei, Arash/0000-0002-7098-5648</t>
  </si>
  <si>
    <t>10.1007/s11356-021-16893-w</t>
  </si>
  <si>
    <t>YW6VC</t>
  </si>
  <si>
    <t>WOS:000706631300001</t>
  </si>
  <si>
    <t>Zhang, Y; Wolosker, MB; Zhao, YP; Ren, HQ; Lemos, B</t>
  </si>
  <si>
    <t>Zhang, Yan; Wolosker, Marina B.; Zhao, Yanping; Ren, Hongqiang; Lemos, Bernardo</t>
  </si>
  <si>
    <t>Exposure to microplastics cause gut damage, locomotor dysfunction, epigenetic silencing, and aggravate cadmium (Cd) toxicity in Drosophila</t>
  </si>
  <si>
    <t>Microplastics; Cadmium; Toxicity; Drosophila; PEV</t>
  </si>
  <si>
    <t>DIFFERENTIAL TOXICITY; NANOPARTICLES; SILVER; CELLS; MELANOGASTER; POLLUTANTS; PROTEINS; BEHAVIOR; MUSSEL; SIZE</t>
  </si>
  <si>
    <t>The interactions of microplastics (MPs) with other chemicals and the range of outcomes are of great importance to enhance understanding of their environmental impacts and health risks. Cadmium (Cd) and cadmium compounds are widely used as pigments and stabilizers in plastics, but they readily leach out. Here we addressed the impacts of MPs, Cd, and their joint exposure in a tractable Drosophila melanogaster model. We show that exposure to MPs lead to extensive particle size depended gut damage early in life and an enhancement of Cd-induced inhibition of locomotor-behavioral function in adult flies. In addition, we show that Cd exposure induces epigenetic gene silencing via position-effect variegation (PEV) in somatic tissues that was dramatically enhanced by co-exposure with MPs. The results indicate that MPs can aggravate the toxicity of other environmental contaminants and induce adverse effects across a range of diverse outcomes in a tractable and widely used model organism. These observations raise the prospects of using Drosophila as a tool for the rapid assessment of MP-mediated toxicity. (C) 2020 Elsevier B.V. All rights reserved.</t>
  </si>
  <si>
    <t>[Zhang, Yan; Ren, Hongqiang] Nanjing Univ, Sch Environm, State Key Lab Pollut Control &amp; Resource Reuse, Nanjing 210023, Jiangsu, Peoples R China; [Zhang, Yan; Wolosker, Marina B.; Lemos, Bernardo] Harvard TH Chan Sch Publ Hlth, Dept Environm Hlth, Program Mol &amp; Integrat Physiol Sci, Boston, MA 02115 USA; [Zhao, Yanping] Nanjing Normal Univ, Sch Environm, Nanjing 210023, Peoples R China; [Lemos, Bernardo] Harvard &amp; MIT, Broad Inst, Cambridge, MA 02139 USA</t>
  </si>
  <si>
    <t>Nanjing University; Harvard University; Harvard T.H. Chan School of Public Health; Nanjing Normal University; Harvard University; Massachusetts Institute of Technology (MIT); Broad Institute</t>
  </si>
  <si>
    <t>Zhang, Y; Lemos, B (corresponding author), Harvard TH Chan Sch Publ Hlth, Dept Environm Hlth, Program Mol &amp; Integrat Physiol Sci, Boston, MA 02115 USA.</t>
  </si>
  <si>
    <t>yanzhang@nju.edu.cn; blemos@hsph.harvard.edu</t>
  </si>
  <si>
    <t>hq, ren/AGA-1128-2022; Zhang, Yan/AAO-6966-2021</t>
  </si>
  <si>
    <t>Ren, Hong-qiang/0000-0001-6136-800X</t>
  </si>
  <si>
    <t>National Natural Science Foundation of China [21777068]; NIEHS [R01ES027981]</t>
  </si>
  <si>
    <t>National Natural Science Foundation of China(National Natural Science Foundation of China (NSFC)); NIEHS(United States Department of Health &amp; Human ServicesNational Institutes of Health (NIH) - USANIH National Institute of Environmental Health Sciences (NIEHS))</t>
  </si>
  <si>
    <t>This research work was financially supported by the National Natural Science Foundation of China (No. 21777068). Work in the Lemos lab has been partially supported by NIEHS grant R01ES027981. Thanks to Andrew Driscoll for providing technical assistance.</t>
  </si>
  <si>
    <t>NOV 20</t>
  </si>
  <si>
    <t>10.1016/j.scitotenv.2020.140979</t>
  </si>
  <si>
    <t>OC1VX</t>
  </si>
  <si>
    <t>WOS:000578951100017</t>
  </si>
  <si>
    <t>Auffret, M; Mujdzic, N; Corporeau, C; Moraga, D</t>
  </si>
  <si>
    <t>Xenobiotic-induced immunomodulation in the European flat oyster, Ostrea edulis</t>
  </si>
  <si>
    <t>11th International Symposium on Pollutant Responses in Marine Organisms (PRIMO 11)</t>
  </si>
  <si>
    <t>JUL 10-13, 2001</t>
  </si>
  <si>
    <t>PLYMOUTH, ENGLAND</t>
  </si>
  <si>
    <t>heavy metals; European flat oyster; immunomodulation</t>
  </si>
  <si>
    <t>The presence of chemical contaminants in marine coastal waters is a major subject of concern since many molecules are potentially immunotoxic, even at low concentration. During the last decade, studies in sentinel species, such as the blue mussel, Mytilus edulis, or the Pacific oyster, Crassostrea gigas, have revealed that immunosuppressive responses can be related to xenobiotic exposure, in the laboratory and in the field. In the present study, European flat oysters were experimentally exposed to heavy metals, to investigate possible alterations of their immune function. Several hematological and functional parameters of hemocytes were measured by flow cytometry, a technique allowing rapid, sensitive, cell-by-cell measurements in large cell populations. Results reveal a depression of phagocytosis and several subcellular, physiological changes in oysters exposed to cadmium alone or to cadmium and copper, suggesting an overall alteration of the phagocytic function. (C) 2002 Elsevier Science Ltd. All rights reserved.</t>
  </si>
  <si>
    <t>Univ Bretagne Occidentale, LEMAR UMR 6539, Inst Europeen Mer, F-29280 Plouzane, France</t>
  </si>
  <si>
    <t>Centre National de la Recherche Scientifique (CNRS); Ifremer; Institut de Recherche pour le Developpement (IRD); CNRS - Institute of Ecology &amp; Environment (INEE); Universite de Bretagne Occidentale; Institut Universitaire Europeen de la Mer (IUEM)</t>
  </si>
  <si>
    <t>Auffret, M (corresponding author), Univ Bretagne Occidentale, LEMAR UMR 6539, Inst Europeen Mer, F-29280 Plouzane, France.</t>
  </si>
  <si>
    <t>3-5</t>
  </si>
  <si>
    <t>PII S0141-1136(02)00120-4</t>
  </si>
  <si>
    <t>10.1016/S0141-1136(02)00120-4</t>
  </si>
  <si>
    <t>599XH</t>
  </si>
  <si>
    <t>WOS:000178360100068</t>
  </si>
  <si>
    <t>Li, WJ; Lo, HS; Wong, HM; Zhou, M; Wong, CY; Tam, NFY; Cheung, SG</t>
  </si>
  <si>
    <t>Li, Wenjie; Lo, Hoi-Shing; Wong, Ho-Man; Zhou, Man; Wong, Chun-Yuen; Tam, Nora Fung-Yee; Cheung, Siu-Gin</t>
  </si>
  <si>
    <t>Heavy metals contamination of sedimentary microplastics in Hong Kong</t>
  </si>
  <si>
    <t>Heavy metals; Microplastic; Marine debris</t>
  </si>
  <si>
    <t>PEARL RIVER ESTUARY; PLASTIC PRODUCTION PELLETS; ORGANIC POLLUTANTS; RESIN PELLETS; TRACE-METALS; MARINE; POLLUTION; BEACHES; MUSSELS; DEBRIS</t>
  </si>
  <si>
    <t>This is the first study of heavy metals (As, Zn, Cd, Ni, Fe, Mn, Cu) contamination of microplastics on sandy beaches in Hong Kong. Three study sites are located in the eastern waters (Pak Lap Wan, Stanley Bay, Tung Lung Chau) and the other three in the western waters (Tai Pai Tsui, Ha Pak Nai, Shui Hau Wan). The three most abundant types of microplastics were polyethylene (42.2%), polypropylene (23.3%) and polystyrene (19.5%). The median concentration of Fe (302 mg kg(-1)) was the highest and followed by Zn (19.6 mg kg(-1)) and Mn (18.6 mg kg(-1)). Very low concentrations of Cu (0.89 mg kg(-1)), Ni (0.15 mg kg(-1)), As (&lt; LOD) and Cd (&lt; LOD) were measured. The western sites have significantly higher concentrations of Ni, Fe, Mn and Cu than the eastern sites, indicating that Pearl River was likely to be a major source of heavy metals on microplastics. In view of a continual increase in the abundance of microplastics in the marine environment and its potential impacts on marine organisms, immediate actions should be taken in establishing long term monitoring programs for heavy metals associated with microplastics. In-depth research on the mechanisms of adsorption and desorption processes between metals and microplastics will help assess the associated risks to both human health and the environment.</t>
  </si>
  <si>
    <t>[Li, Wenjie; Lo, Hoi-Shing; Wong, Ho-Man; Wong, Chun-Yuen; Tam, Nora Fung-Yee; Cheung, Siu-Gin] City Univ Hong Kong, Dept Chem, Tat Chee Ave, Hong Kong, Peoples R China; [Zhou, Man] RIET, Res Inst Environm Innovat Suzhou, Jinfeng Rd, Suzhou, Peoples R China; [Cheung, Siu-Gin] City Univ Hong Kong, State Key Lab Marine Pollut, Tat Chee Ave, Hong Kong, Peoples R China</t>
  </si>
  <si>
    <t>City University of Hong Kong; City University of Hong Kong</t>
  </si>
  <si>
    <t>Cheung, SG (corresponding author), City Univ Hong Kong, Dept Chem, Tat Chee Ave, Hong Kong, Peoples R China.</t>
  </si>
  <si>
    <t>bhsgche@cityu.edu.hk</t>
  </si>
  <si>
    <t>Wong, Chun-Yuen/H-2272-2011; Cheung, S./H-3809-2019; Li, Wenjie/F-9954-2010</t>
  </si>
  <si>
    <t>Lo, Hoi Shing/0000-0002-9613-0218; CHEUNG, Siu Gin/0000-0001-8091-7385</t>
  </si>
  <si>
    <t>Research Grants Council of the Hong Kong Special Administrative Region, China [CityU 11302815]</t>
  </si>
  <si>
    <t>Research Grants Council of the Hong Kong Special Administrative Region, China(Hong Kong Research Grants Council)</t>
  </si>
  <si>
    <t>The work described was supported by a grant from the Research Grants Council of the Hong Kong Special Administrative Region, China (Project No. CityU 11302815).</t>
  </si>
  <si>
    <t>10.1016/j.marpolbul.2020.110977</t>
  </si>
  <si>
    <t>LA0IF</t>
  </si>
  <si>
    <t>WOS:000523640200030</t>
  </si>
  <si>
    <t>Xu, DL; Yu, B; Zhang, Y; Cui, M; Zhang, QZ</t>
  </si>
  <si>
    <t>Xu, Delin; Yu, Bo; Zhang, Yan; Cui, Miao; Zhang, Qizhong</t>
  </si>
  <si>
    <t>METALLOTHIONEIN PROTEIN EXPRESSION OF CRASSOSTREA HONGKONGENSIS IN RESPONSE TO CADMIUM STRESS</t>
  </si>
  <si>
    <t>biomarker; cadmium; Crassostrea hongkongensis; ELISA; metallothionein; oyster</t>
  </si>
  <si>
    <t>PACIFIC OYSTER; AMERICAN OYSTER; METAL POLLUTION; MESSENGER-RNA; EXPOSURE; EDULIS; GIGAS; QUANTIFICATION; ACCUMULATION; INDUCTION</t>
  </si>
  <si>
    <t>Metallothioneins (MT) play important roles in trace metal homeostasis as well as excess metal detoxification in all organisms. They have been acknowledged as the most valid biomarker to indicate metal exposure in both vertebrates and invertebrates. In this study, the coding sequence of MT of a mollusk, the oyster Crassostrea hongkongensis, was determined by molecular cloning. The derived peptide sequence is composed of 75 amino acid residues of high cysteine content (28%). Blast analysis indicated that the MT gene in C. hongkongensis shares high homology with the MT genes of other aquatic invertebrates. The prokaryotically expressed ChMT protein was purified and used as antigen in the development of polyclonal antibodies, allowing the quantification of ChMT expression by competitive enzyme-linked immunosorbent assay in various tissues of the oyster on CdCl2-stressed conditions. Clear inductions of MT expression were observed in the digestive gland, gills as well as mantle by CdCl2 at a concentration of either 100 or 300 mu g/l, notably from 24 h to 8 days posttreatment. Indicating a dose-dependent manner, CdCl2 in 300 mg/l scale always led to more pronounced MT enhancement. The MT induction profile covered three stages of accumulation, gradual decline, and sharp decline, which likely indicates the differential physiological states of C. hongkongensis on continuous cadmium exposure. Our study demonstrates for the first time that the MT in C. hongkongensis could potentially respond to the presence of Cd in aquatic environments, and developed a practical approach that can efficiently and specifically detect ChMT from the oyster tissues. The ChMT induction profile on high level of Cd highlights the relationships between MT inducibility and the cellular compensatory and/or toxic responses.</t>
  </si>
  <si>
    <t>[Xu, Delin; Yu, Bo; Zhang, Yan; Cui, Miao; Zhang, Qizhong] Jinan Univ, Guangdong Higher Educ Inst, Key Lab Eutrophicat &amp; Red Tide Prevent, Dept Ecol,Inst Hydrobiol, Guangzhou 510632, Guangdong, Peoples R China</t>
  </si>
  <si>
    <t>Chinese Academy of Sciences; Jinan University</t>
  </si>
  <si>
    <t>Zhang, QZ (corresponding author), Jinan Univ, Guangdong Higher Educ Inst, Key Lab Eutrophicat &amp; Red Tide Prevent, Dept Ecol,Inst Hydrobiol, West Rd Huangpu 601, Guangzhou 510632, Guangdong, Peoples R China.</t>
  </si>
  <si>
    <t>zhangqzdr@126.com</t>
  </si>
  <si>
    <t>Xu, Delin/B-8814-2011</t>
  </si>
  <si>
    <t>Fundamental Research Funds for the Central Universities [21612111, 21613304]; National Natural Science Foundation of China [40576056, 40976066, 31170474]; Key Natural Science Foundation of Guangdong Province [S2013020012720]</t>
  </si>
  <si>
    <t>Fundamental Research Funds for the Central Universities(Fundamental Research Funds for the Central Universities); National Natural Science Foundation of China(National Natural Science Foundation of China (NSFC)); Key Natural Science Foundation of Guangdong Province(National Natural Science Foundation of Guangdong Province)</t>
  </si>
  <si>
    <t>This work was financially supported by the Fundamental Research Funds for the Central Universities (No. 21612111, 21613304), the National Natural Science Foundation of China (No. 40576056, 40976066, 31170474), and the Key Natural Science Foundation of Guangdong Province (No. S2013020012720). We are grateful to Huan Xia for his help on the preliminary metal treatment and sampling of the oysters.</t>
  </si>
  <si>
    <t>10.2983/035.034.0213</t>
  </si>
  <si>
    <t>CQ2DV</t>
  </si>
  <si>
    <t>WOS:000360410500013</t>
  </si>
  <si>
    <t>Foster, B; Grewal, S; Graves, O; Hughes, FM; Sokolova, HM</t>
  </si>
  <si>
    <t>Foster, Brent; Grewal, Snimar; Graves, Ondrea; Hughes, Francis M., Jr.; Sokolova, Hula M.</t>
  </si>
  <si>
    <t>Copper exposure affects hemocyte apoptosis and Perkinsus marinus infection in eastern oysters Crassostrea virginica (Gmelin)</t>
  </si>
  <si>
    <t>Apoptosis; Dermo; Eastern oyster; Virulence; Copper</t>
  </si>
  <si>
    <t>HISTIDINE-RICH GLYCOPROTEIN; IN-VITRO; AMERICAN OYSTER; OXIDATIVE STRESS; EXTRACELLULAR PRODUCTS; DEFENSE-MECHANISMS; BIVALVE MOLLUSKS; CHESAPEAKE BAY; METAL-BINDING; ACCUMULATION</t>
  </si>
  <si>
    <t>Dermo disease in the eastern oyster (Crassostrea virginica) is caused by an intracellular protistan parasite Perkinsus marinus. The progression and outcome of this disease is determined by a complex interplay between the host's immunity and parasite's escape mechanisms, both of which can be influenced by environmental pollutants including heavy metals such as copper (Cu). The goal of the present study was to determine the effects of Cu on the levels of apoptosis (which can serve as an important host defense mechanism) in oyster immune cells (hemocytes) in vitro and in vivo as well as on the establishment of P. marinus infections in vivo. Surprisingly, Cu exerted opposing effects on apoptosis levels of hemocytes in vitro and in vivo, stimulating apoptosis in isolated hemocytes but suppressing it during Cu exposure of whole oysters. The mechanisms of this effect are presently unknown and may be related to the different bioavailability of the metal in vitro and in vivo. As expected, Cu accumulated in oyster soft tissues during in vitro exposure. Unexpectedly, this metal also strongly accumulated in hemolymph plasma which is classically considered isoionic with the surrounding seawater, likely reflecting the presence of soluble Cu-binding proteins in oyster plasma. Cu reduced growth of P. marinus in vitro and greatly reduced infection levels of hemocytes in vivo, presumably by direct toxic effects on the parasite. As a possible parasitic counterbalance, Cu accumulation in the hemocytes was reduced by P. marinus infection, although this reduction was not sufficient to prevent the parasiticidal effects of the heavy metal in vivo. This effect of Cu may be useful as a potential therapeutic against Dermo disease in aquaculture conditions. Overall, this study provides important new insights into the potential role of environmental metals in host parasite relationships and disease dynamics in C virginica. (C) 2011 Elsevier Ltd. All rights reserved.</t>
  </si>
  <si>
    <t>[Foster, Brent; Grewal, Snimar; Graves, Ondrea; Sokolova, Hula M.] Univ N Carolina, Dept Biol, Charlotte, NC 28223 USA; [Hughes, Francis M., Jr.] Med Univ S Carolina, Dept Urol, Charleston, SC 29425 USA</t>
  </si>
  <si>
    <t>University of North Carolina; University of North Carolina Charlotte; Medical University of South Carolina</t>
  </si>
  <si>
    <t>Sokolova, HM (corresponding author), Univ N Carolina, Dept Biol, 9210 Univ City Blvd, Charlotte, NC 28223 USA.</t>
  </si>
  <si>
    <t>Hughes, Francis/0000-0003-3776-3653; Sokolova, Inna/0000-0002-2068-4302</t>
  </si>
  <si>
    <t>North Carolina Sea Grant [2006-2175-01]; University of North Carolina at Charlotte</t>
  </si>
  <si>
    <t>North Carolina Sea Grant; University of North Carolina at Charlotte</t>
  </si>
  <si>
    <t>This work was supported by funds provided by the North Carolina Sea Grant (award #2006-2175-01) to I.M.S. and F.M.H. and a Faculty Research Grant of the University of North Carolina at Charlotte and to I.M.S. The authors thank Michael Murphy (Department of Chemistry, UNC Charlotte) for his help with Cu analyses.</t>
  </si>
  <si>
    <t>10.1016/j.fsi.2011.05.024</t>
  </si>
  <si>
    <t>798KL</t>
  </si>
  <si>
    <t>WOS:000293204500022</t>
  </si>
  <si>
    <t>Chora, S; Starita-Geribaldi, M; Guigonis, JM; Samson, M; Roméo, M; Bebianno, MJ</t>
  </si>
  <si>
    <t>Chora, Suze; Starita-Geribaldi, Mireille; Guigonis, Jean-Marie; Samson, Michel; Romeo, Michele; Bebianno, Maria Joao</t>
  </si>
  <si>
    <t>Effect of cadmium in the clam Ruditapes decussatus assessed by proteomic analysis</t>
  </si>
  <si>
    <t>Cadmium; Proteomic; Ruditapes decussatus; LC-MS/MS</t>
  </si>
  <si>
    <t>LAGOON-OF-VENICE; MYTILUS-GALLOPROVINCIALIS; OXIDATIVE-STRESS; ACTIN CYTOSKELETON; LIPID-PEROXIDATION; PROTEIN EXPRESSION; MYA-ARENARIA; TRACE-METALS; METALLOTHIONEIN; IDENTIFICATION</t>
  </si>
  <si>
    <t>Cadmium, an environmental stressor due to its toxicity, persistence and accumulation in biota, is widespread in the aquatic environment. Cadmium accumulation kinetics have revealed that Ruditapes decussatus has a high affinity to this metal. Proteomics is an effective tool to evaluate the toxic effects of contaminants. The aim of this study was to investigate the Cd effects in the gill and digestive gland of the sentinel species R. decussatus. Protein expression profiles (PEPs) in the clam tissues exposed to Cd (40 mu g l(-1), 21 days) were compared to unexposed ones. Cd induces major changes in tissue-specific protein expression profiles in gill and digestive gland. This tissue dependent response results mainly from differences in Cd accumulation, protein inhibition and/or autophagy. An overall decrease of protein spots was detected in both treated tissues, being higher in gill. Some of the spots more drastically altered after pollutants exposure were excised and ninewere identified by micro liquid chromatography tandem mass spectrometry (LC-MS/MS). Proteins identified by homology search in databases included: three proteins (8-fold) up-regulated, one down-regulated, four suppressed and one induced. Cd induces major changes in proteins involved in cytoskeletal structure maintenance (muscle-type actin, adductor muscle actin and beta-tubulin), cell maintenance (Rab GDP) and metabolism (ALDH and MCAD, both identified by de novo sequencing) suggesting potential energetic change. They provide a valuable knowledge of Cd effects at biochemical and molecular levels in the gill and digestive gland of R. decussatus. (C) 2009 Elsevier B.V. All rights reserved.</t>
  </si>
  <si>
    <t>[Chora, Suze; Bebianno, Maria Joao] Univ Algarve, CIMA, Fac Marine &amp; Environm Sci, P-8000139 Faro, Portugal; [Chora, Suze; Romeo, Michele] Univ Nice Sophia Antipolis, EA 4228, ECOMERS, F-06108 Nice 2, France; [Starita-Geribaldi, Mireille] Univ Nice Sophia Antipolis, Lab Oral Microbiol, URE 01, Fac Odontol,Pole Univ St Jean dAngely, F-06357 Nice 4, France; [Guigonis, Jean-Marie; Samson, Michel] Univ Nice Sophia Antipolis, Plateforme Bernard Rossi Proteome Metabolome IFR5, F-06107 Nice, France; [Samson, Michel] INSERM, U638, F-06107 Nice, France</t>
  </si>
  <si>
    <t>Universidade do Algarve; Universite Cote d'Azur; Universite Cote d'Azur; Universite Cote d'Azur; Institut National de la Sante et de la Recherche Medicale (Inserm); Universite Cote d'Azur</t>
  </si>
  <si>
    <t>Bebianno, MJ (corresponding author), Univ Algarve, CIMA, Fac Marine &amp; Environm Sci, Campus Gambelas, P-8000139 Faro, Portugal.</t>
  </si>
  <si>
    <t>mbebian@ualg.pt</t>
  </si>
  <si>
    <t>Bebianno, Maria/0000-0003-1492-8566</t>
  </si>
  <si>
    <t>FCT, Portugal</t>
  </si>
  <si>
    <t>FCT, Portugal(Fundacao para a Ciencia e a Tecnologia (FCT))</t>
  </si>
  <si>
    <t>This work was supported by a PhD grant from the FCT, Portugal.</t>
  </si>
  <si>
    <t>OCT 4</t>
  </si>
  <si>
    <t>10.1016/j.aquatox.2009.07.014</t>
  </si>
  <si>
    <t>541BN</t>
  </si>
  <si>
    <t>WOS:000273386200007</t>
  </si>
  <si>
    <t>Lin, Z; Fan, XT; Huang, JL; Chen, R; Tan, QG</t>
  </si>
  <si>
    <t>Lin, Zhi; Fan, Xingting; Huang, Junlin; Chen, Rong; Tan, Qiao-Guo</t>
  </si>
  <si>
    <t>Intertidal mussels do not stop metal bioaccumulation even when out of water: Cadmium toxicokinetics in Xenostrobus atratus under influences of simulated tidal exposure</t>
  </si>
  <si>
    <t>Toxicokinetics; Cadmium; Intertidal; Tidal height; Mussel</t>
  </si>
  <si>
    <t>MYTILUS-EDULIS; BODY-SIZE; ZINC; CD; ACCUMULATION; POLLUTION; ZN; COPPER</t>
  </si>
  <si>
    <t>Intertidal bivalves are periodically exposed in air. It is tempting to speculate that the organisms would temporarily escape from contaminants when they are out of water and thus have lower risks. In this study, we tested this speculation by investigating cadmium (Cd) toxicokinetics in an intertidal mussel, Xenostrobus atratus, under the effects of tidal exposure using simulated tidal regimes. The uptake rate constant (k(u)) of Cd ranged from 0.045 L g(-1) d(-1) to 0.109 L g(-1) d(-1), whereas the elimination rate constant (k(e)) of Cd ranged from 0.029 d(-1) to 0.091 d(-1). Cd bioaccumulation was slightly higher in the continuously immersed mussels than the alternately immersed mussels, but much lower than what would be expected if assuming bioaccumulation being proportional to immersion duration. Cd uptake was observed even when mussels were exposed in air, due to uptake of Cd dissolved in mantle cavity fluid and internalization of Cd adsorbed on mussel tissues. Overall, tidal height showed limited effects on Cd bioaccumulation, consistent with the trend of Cd concentrations found in X. atratus collected from different tidal heights. The mantle cavity uptake mechanism is expected to be applicable to other contaminants and bivalves, and should have important implications in risk assessments for intertidal environment. (C) 2020 Elsevier Ltd. All rights reserved.</t>
  </si>
  <si>
    <t>[Lin, Zhi; Fan, Xingting; Huang, Junlin; Chen, Rong; Tan, Qiao-Guo] Xiamen Univ, Coll Environm &amp; Ecol, Fujian Prov Key Lab Coastal Ecol &amp; Environm Studi, Xiamen 361102, Fujian, Peoples R China; [Chen, Rong; Tan, Qiao-Guo] Xiamen Univ, Ctr Marine Environm Chem &amp; Toxicol, Xiamen 361102, Fujian, Peoples R China</t>
  </si>
  <si>
    <t>Xiamen University; Xiamen University</t>
  </si>
  <si>
    <t>Tan, QG (corresponding author), Xiamen Univ, Coll Environm &amp; Ecol, Fujian Prov Key Lab Coastal Ecol &amp; Environm Studi, Xiamen 361102, Fujian, Peoples R China.</t>
  </si>
  <si>
    <t>tanqg@xmu.edu.cn</t>
  </si>
  <si>
    <t>ZhiWei, Lin/AAQ-5438-2021; TAN, Qiao-Guo/B-8688-2009</t>
  </si>
  <si>
    <t>National Natural Science Foundation of China [21477099, 41977347]; Fundamental Research Funds for the Central Universities [20720190099]</t>
  </si>
  <si>
    <t>National Natural Science Foundation of China(National Natural Science Foundation of China (NSFC)); Fundamental Research Funds for the Central Universities(Fundamental Research Funds for the Central Universities)</t>
  </si>
  <si>
    <t>This study was financially supported by the National Natural Science Foundation of China (21477099, 41977347) and the Fundamental Research Funds for the Central Universities (20720190099). We would like to thank Lu Wang and Jiahui Xu for their help in filed sampling and conducting the experiments.</t>
  </si>
  <si>
    <t>10.1016/j.envpol.2020.114192</t>
  </si>
  <si>
    <t>LK8JQ</t>
  </si>
  <si>
    <t>WOS:000531106500112</t>
  </si>
  <si>
    <t>Shakouri, A; Gheytasi, H</t>
  </si>
  <si>
    <t>Shakouri, Arash; Gheytasi, Haniyeh</t>
  </si>
  <si>
    <t>Bioaccumulation of heavy metals in oyster (Saccostrea cucullata) from Chabahar bay coast in Oman Sea: Regional, seasonal and size-dependent variations</t>
  </si>
  <si>
    <t>Heavy metal; Oyster; Plankton; Size</t>
  </si>
  <si>
    <t>MUSSEL PERNA-VIRIDIS; PENINSULAR MALAYSIA; MARINE MOLLUSKS; RAINBOW-TROUT; PERSIAN-GULF; WEST-COAST; BLACK-SEA; ZN; PB; CD</t>
  </si>
  <si>
    <t>The concentration of heavy metals was determined in tissues of oyster, Saccostrea cuccullata, phytoplanktons and water samples from intertidal regions of the Chabahar bay, Oman sea. Oysters were collected from 5 stations and during spring, summer and autumn seasons. The heavy metals content in oysters, planktons and water samples showed variations depending on season, sampling station and size of the oysters. The heavy metals in water, plankton and tissue of oyster were higher in summer and the lowest metal contents were observed in autumn. The oyster tissue samples of size-class had lowest concentrations of Co, Pb, Ar and Cu. The maximum tissue levels of Ar, Cu, Ni and Zn were observed in oysters of size-class II while the values of Cd, Co and Pb had maximum levels in those of size-class III. The minimum levels of Cd and also Ni and Zn were found respectively in tissue of the oysters of size-class II and size-class III. There were significant differences in heavy metal content of oyster tissue, planktons and water samples between sampling stations. In all sampling stations and during all sampling seasons, the concentrations of heavy metals (except Cu) were almost higher in soft tissues than in hard tissues of oysters especially in oysters of size-class II and III. Seasonal analysis of tissue heavy metal content of oysters showed no significant differences between sampling stations.</t>
  </si>
  <si>
    <t>[Shakouri, Arash] Chabahar Maritime Univ, Dept Marine Biol, Chabahar, Iran; [Gheytasi, Haniyeh] Univ Payame Noor, Tehran, Iran</t>
  </si>
  <si>
    <t>Payame Noor University</t>
  </si>
  <si>
    <t>Shakouri, A (corresponding author), Chabahar Maritime Univ, Dept Marine Biol, Chabahar, Iran.</t>
  </si>
  <si>
    <t>shakouricmu@yahoo.com</t>
  </si>
  <si>
    <t>10.1016/j.marpolbul.2017.11.012</t>
  </si>
  <si>
    <t>FW8GQ</t>
  </si>
  <si>
    <t>WOS:000425569400040</t>
  </si>
  <si>
    <t>TESSIER, L; VAILLANCOURT, G; PAZDERNIK, L</t>
  </si>
  <si>
    <t>COMPARATIVE-STUDY OF THE CADMIUM AND MERCURY KINETICS BETWEEN THE SHORT-LIVED GASTROPOD VIVIPARUS-GEOGIANUS (LEA) AND PELECYPOD ELLIPTIO-COMPLANATA (LIGHTFOOT), UNDER LABORATORY CONDITIONS</t>
  </si>
  <si>
    <t>FRESH-WATER CLAMS; CORBICULA-FLUMINEA; MYTILUS-EDULIS; ARTIFICIAL STREAMS; ANODONTA-ANATINA; ST-CLAIR; ACCUMULATION; GROWTH; MUSSELS; UNIONIDAE</t>
  </si>
  <si>
    <t>A laboratory study of the cadmium and mercury accumulation and elimination kinetics was conducted on the pelecypod Elliptio complanata (Lightfoot) and the short-lived gastropod Viviparus georgianus (Lea), according to age-classes. Preliminary results (metal concentration vs time of exposure) have demonstrated that uptake of Cd and Hg, in the two molluscs studied, follow a biphasic pattern, whereby a steady state is reached after approximately 16 days' exposure and then accumulation increases again for the rest of exposure period. The elimination of the two metals is also characterized in a biphasic way: fast excretion for the first four days followed by a slower depuration for the rest of exposure time. A two-compartment bioaccumulation model has been used to describe the different kinetic parameters: (1) the rate constant for depuration; (2) the rate constant for uptake; (3) the theoretical bioconcentration factor extrapolated to steady-state conditions; and (4) the biological half-life of the metals.</t>
  </si>
  <si>
    <t>TESSIER, L (corresponding author), UNIV QUEBEC,DEPT CHIM BIOL,RECH COMMUN AQUAT LAB,CP 500,TROIS RIVIERES G9A 5H7,PQ,CANADA.</t>
  </si>
  <si>
    <t>10.1016/0269-7491(94)90048-5</t>
  </si>
  <si>
    <t>NN659</t>
  </si>
  <si>
    <t>WOS:A1994NN65900005</t>
  </si>
  <si>
    <t>Chen, CY; Chen, MH</t>
  </si>
  <si>
    <t>Investigation of Zn, Cu, Cd and Hg concentrations in the oyster of Chi-ku, Tai-shi and Tapeng Bay, southwestern Taiwan</t>
  </si>
  <si>
    <t>JOURNAL OF FOOD AND DRUG ANALYSIS</t>
  </si>
  <si>
    <t>baseline; zinc; copper; cadmium; mercury; summer minimum; cultured oyster; Chi-ku; Tai-shi; Tapeng Bay; Taiwan</t>
  </si>
  <si>
    <t>TRACE-METALS; HEAVY-METALS; CRASSOSTREA-GIGAS; GREEN OYSTER; POLLUTION; LAGOON; COPPER; BIVALVES; CADMIUM; ESTUARY</t>
  </si>
  <si>
    <t>Metal concentrations in oyster, Crassostrea gigas, were investigated using 155 samples collected seasonally during 1996-2001 from the Chi-ku, Tai-shi, and Tapeng Bay areas in southwestern Taiwan. Seasonal variations as well as site difference were identified in the metal concentrations. The metal concentrations of oyster in southwestern Taiwan indicated a typical seasonal pattern of winter-spring maximum and summer minimum. Among the three sites, Zn, Cu and Cd contents were found to be the highest in the March sample from Tai-shi, whereas Hg level was found to be the highest in the January sample from Chi-ku. The overall mean concentrations of Zn, Cu, Cd and Hg sampled from the three sites were 860 +/- 375, 267 +/- 193. 0.954 +/- 0.484 and 0.097 +/- 0.056 mg/kg dry wt., respectively, representing the baseline metal concentrations of oyster in Taiwan. In comparison with the 1970's survey, except the 1.8-fold increase in Cu, the other three elements were within the same ranges. After the transformation of the dry-weight-base data into flesh-weight-base data based on a ratio of 6.8 to 1, the mean metal levels. for the most part, closely agreed with many international food standards. However, extraordinarily high level of Cu (1115 mg/kg dry wt.) in oyster were found occasionally in wintertime. Therefore, it is strongly suggested that regulations with respect to food safety standards of metal concentrations need to be established as soon as possible.</t>
  </si>
  <si>
    <t>Natl Kaohsiung Inst Marine Technol, Dept Marine Environm Engn, Kaohsiung 811, Taiwan; Natl Sun Yat Sen Univ, Dept Marine Resources, Kaohsiung 80424, Taiwan</t>
  </si>
  <si>
    <t>National Sun Yat Sen University</t>
  </si>
  <si>
    <t>mhchen@mail.nsysu.edu.tw</t>
  </si>
  <si>
    <t>Chen, Chiee-Young/P-7990-2014</t>
  </si>
  <si>
    <t>DIGITAL COMMONS BEPRESS</t>
  </si>
  <si>
    <t>BERKELEY</t>
  </si>
  <si>
    <t>2100 MILVIA ST, STE 300, BERKELEY, CA 94704 USA</t>
  </si>
  <si>
    <t>1021-9498</t>
  </si>
  <si>
    <t>J FOOD DRUG ANAL</t>
  </si>
  <si>
    <t>J. Food Drug Anal.</t>
  </si>
  <si>
    <t>Food Science &amp; Technology; Pharmacology &amp; Pharmacy</t>
  </si>
  <si>
    <t>662NQ</t>
  </si>
  <si>
    <t>WOS:000181954100007</t>
  </si>
  <si>
    <t>Company, R; Serafim, A; Lopes, B; Cravo, A; Shepherd, TJ; Pearson, G; Bebianno, MJ</t>
  </si>
  <si>
    <t>Company, R.; Serafim, A.; Lopes, B.; Cravo, A.; Shepherd, T. J.; Pearson, G.; Bebianno, M. J.</t>
  </si>
  <si>
    <t>Using biochemical and isotope geochemistry to understand the environmental and public health implications of lead pollution in the lower Guadiana River, Iberia: A freshwater bivalve study</t>
  </si>
  <si>
    <t>Mining areas; Lead; Lead isotopes; ALAD; Lipid peroxidation; Corbicula fluminea; Pollution</t>
  </si>
  <si>
    <t>AMINOLEVULINIC-ACID DEHYDRATASE; CORBICULA-FLUMINEA; OXIDATIVE STRESS; BLOOD LEAD; INHIBITION; MISSOURI; EXPOSURE; TRACERS; INDICATORS; PENINSULA</t>
  </si>
  <si>
    <t>Lead is a natural component of aquatic ecosystems with no known biological role and is highly toxic. Its toxicity stems from its ability to mimic biologically important metals and to produce membrane damage through lipid peroxidation (LPO). Most lead poisoning symptoms are thought to occur by interfering with an essential enzyme, delta-aminolevulinic acid dehydratase (ALAD), the activity of which is markedly inhibited by lead. The purpose of this work was to study the levels and effects of lead pollution (responses of ALAD and oxidative stress biomarker LPO) in the freshwater bivalve Corbicula fluminea along the lower Guadiana River (Portugal and Spain); a major river system impacted by historic mining pollution and more recent anthropogenic inputs. The results show that the enzymatic activity of ALAD is negatively correlated with the total Pb concentration of the whole tissue suggesting that ALAD has considerable potential as a biomarker of lead exposure in C. fluminea. To identify the sources of lead to which bivalves have been exposed, high precision Pb-206/Pb-204, Pb-207/Pb-204, Pb-208/(204)/Pb ratios for C. fluminea confirm that historical mining activities in the Iberian Pyrite Belt are the dominant source of lead pollution in the lower Guadiana River. The isotope patterns however exhibit marked seasonal and geographic variation in response to rainfall and river water management. Locally, other anthropogenic sources of lead have been detected in C. fluminea close to population centres, thus adding to its versatility as a freshwater bio-indicator. Overall, the study highlights the value of natural ecosystems as monitors of water quality and their importance for public health assessment and surveillance. (C) 2008 Elsevier B.V. All rights reserved.</t>
  </si>
  <si>
    <t>[Company, R.; Serafim, A.; Lopes, B.; Cravo, A.; Bebianno, M. J.] Univ Algarve, CIMA, Fac Marine &amp; Environm Sci, P-8005139 Faro, Portugal; [Shepherd, T. J.; Pearson, G.] Univ Durham, Dept Earth Sci, Sci Labs, Durham DH1 3LE, England</t>
  </si>
  <si>
    <t>Universidade do Algarve; Durham University</t>
  </si>
  <si>
    <t>Bebianno, MJ (corresponding author), Univ Algarve, CIMA, Fac Marine &amp; Environm Sci, Campus Gambelas, P-8005139 Faro, Portugal.</t>
  </si>
  <si>
    <t>Bebianno, Maria/L-3761-2014; Cravo, Alexandra/I-8948-2014</t>
  </si>
  <si>
    <t>Serafim, Angela/0000-0002-1165-0645; Lopes, Belisandra/0000-0003-3565-4795; Cravo, Alexandra/0000-0002-2569-3929; Bebianno, Maria/0000-0003-1492-8566; Company, Rui/0000-0001-9947-254X</t>
  </si>
  <si>
    <t>EU [UTPIA/SP5.P9/02-INTERREG IIIA]; Centre for Marine and Environmental Research, University of Algarve (CIMA)</t>
  </si>
  <si>
    <t>EU(European Union (EU)); Centre for Marine and Environmental Research, University of Algarve (CIMA)</t>
  </si>
  <si>
    <t>The present research was carried out in the framework of an INTERREG III Programme between Portugal and Spain that was financially supported by the EU (UTPIA/SP5.P9/02-INTERREG IIIA) and Centre for Marine and Environmental Research, University of Algarve (CIMA). We gratefully acknowledge the contribution of our colleagues working on the UTPIA Project 'Utilizacao do Pb como indicador de vulnerabilidade ambiental na Faixa Piritosa Iberica', in particular, Teresa Melo (University of Aveiro) and Jose Miguel Nieto (University of Huelva) for permission to use unpublished lead isotope data for Guadiana River water samples. The paper has also benefited from the constructive comments made by two anonymous referees.</t>
  </si>
  <si>
    <t>NOV 1</t>
  </si>
  <si>
    <t>10.1016/j.scitotenv.2008.07.016</t>
  </si>
  <si>
    <t>372ZR</t>
  </si>
  <si>
    <t>WOS:000260941300012</t>
  </si>
  <si>
    <t>Kayhan, FE; Balkis, N; Aksu, A; Ertug, NDY; Sesal, C</t>
  </si>
  <si>
    <t>Kayhan, Figen Esin; Balkis, Nuray; Aksu, Abdullah; Ertug, Nazan Deniz Yon; Sesal, Cenk</t>
  </si>
  <si>
    <t>Trace Metal Concentration and Sea Water Quality of Tuzla Shipyard Area, Istanbul, Turkey Using Mediterranean Mussels (Mytilus galloprovincialis) for Monitoring Aquatic Pollution</t>
  </si>
  <si>
    <t>Cadmium; lead; Mytilus galloprovincialis; shipyard; harbour</t>
  </si>
  <si>
    <t>SURFACE SEDIMENTS; COAST; BOSPORUS; LEAD; CD; PB</t>
  </si>
  <si>
    <t>The mussels of the genus Mytilus have been proposed for routine biomonitoring programs to evaluate pollutants such as heavy metals in coastal environments. The concentrations of Pb and Cd were determined in Mytilus galloprovincialis (n=200) caught from the Tuzla area of Istanbul, Turkey between May 2013 and April 2014. The Cd level was found to be low whereas concentrations of Pb in mussels collected from 4 stations exceeded acceptable levels for human consumption according to the legal standards of Turkish Food Codex and United Nations Environment Programme.</t>
  </si>
  <si>
    <t>[Kayhan, Figen Esin; Sesal, Cenk] Marmara Univ, Fac Sci &amp; Arts, Dept Biol, TR-34722 Istanbul, Turkey; [Balkis, Nuray; Aksu, Abdullah] Istanbul Univ, Dept Chem Oceanog, Inst Marine Sci &amp; Management, TR-34470 Istanbul, Turkey; [Ertug, Nazan Deniz Yon] Sakarya Univ, Fac Sci &amp; Arts, Dept Biol, Esentepe Campus, TR-54187 Serdivan, Sakarya, Turkey</t>
  </si>
  <si>
    <t>Kayhan, FE (corresponding author), Marmara Univ, Fac Sci &amp; Arts, Dept Biol, TR-34722 Istanbul, Turkey.</t>
  </si>
  <si>
    <t>Kayhan, Figen/AAN-4865-2021; Aksu, Abdullah/AAB-8463-2020; ÇAĞLAR BALKIS, NURAY/AAB-8591-2020; YÖN ERTUĞ, NAZAN/V-4040-2017</t>
  </si>
  <si>
    <t>Marmara University, Scientific Research Commission (BAPKO) [FEN-A-100713-0326]</t>
  </si>
  <si>
    <t>This project has been supported by Marmara University, Scientific Research Commission (BAPKO) with FEN-A-100713-0326 project number. We wish thank to Seyma TARTAR and Katrena ALBER for language advice.</t>
  </si>
  <si>
    <t>WOS:000374719000041</t>
  </si>
  <si>
    <t>Topi, T; Bani, A; Malltezi, J; Sulce, S</t>
  </si>
  <si>
    <t>Topi, Teuta; Bani, Aida; Malltezi, Jamarber; Sulce, Sulejman</t>
  </si>
  <si>
    <t>HEAVY METALS IN SOIL, SEDIMENTS, MUSSELS, AND WATER FROM BUTRINTI LAGOON (ALBANIA)</t>
  </si>
  <si>
    <t>Heavy metals; Butrinti Lagoon; Mussels; Enrichment factors</t>
  </si>
  <si>
    <t>BIOAVAILABILITY; TOXICITY</t>
  </si>
  <si>
    <t>The Lagoon of Butrinti, is located in the south of Albania, and it represents an important ecological area that is known for its mussels farming. Heavy metals enter the lagoons through several pathways, mainly due to the pedo-geological processes as well as human activity. This study aims to quantify the origin, the spatial distribution and the level of pollution caused by heavy metals in soil, sediments, water and mussels of Butrinti lagoon. The soil samples were taken at two different locations in the proximity of the Butrinti lagoon. The water, sediments and mussels samples have been collected from seven selected sites during August 2011. The results showed that the concentration of Pb, Cu, and Cd in some of the samples in question was above the normal standards of the parameters for the respective soil, reflecting the impact of humanactivity while the high Cr content was spotted due to the natural climate and weather related process. The results also showed that Pb (SedS 4, 6, 7, EF=2.17-3.17), Cd (SedS 7, EF=1.47) and Cr (SedS7, EF=1.61) are enriched in the sediment. In addition the level of Pb (SS6) and Cr (SS6, SS7) in the underground water was above the standards defined by EU-2008. This study shows that concentrations of Cd in mussels over 0.3 mg kg(-1) are at a critical limit and need to be continuously monitored. This study suggests that the sources of this contamination are the anthropogenic input, previous agricultural activities, contributions of the tributaries, and direct impact from the activity in the urban area of Ksamil.</t>
  </si>
  <si>
    <t>[Topi, Teuta; Bani, Aida; Malltezi, Jamarber; Sulce, Sulejman] Agr Univ Tirana, Dept Agroenvironm, Fac Agron &amp; Environm, Koder Kamez, Tirana, Albania; [Topi, Teuta] Minist Agr Food &amp; Consumer Protect, Tirana, Albania</t>
  </si>
  <si>
    <t>Bani, A (corresponding author), Agr Univ Tirana, Dept Agroenvironm, Fac Agron &amp; Environm, Univ Campus 1, Koder Kamez, Tirana, Albania.</t>
  </si>
  <si>
    <t>aida_alushi@hotmail.com</t>
  </si>
  <si>
    <t>Bani, Aida/JOJ-6535-2023</t>
  </si>
  <si>
    <t>World Health Organization in Tirana</t>
  </si>
  <si>
    <t>The authors wish to thank the World Health Organization in Tirana for the support provided during this study.</t>
  </si>
  <si>
    <t>055JR</t>
  </si>
  <si>
    <t>WOS:000312412700007</t>
  </si>
  <si>
    <t>SUNILA, I</t>
  </si>
  <si>
    <t>ACUTE HISTOLOGICAL RESPONSES OF THE GILL OF THE MUSSEL, MYTILUS-EDULIS, TO EXPOSURE BY ENVIRONMENTAL-POLLUTANTS</t>
  </si>
  <si>
    <t>JOURNAL OF INVERTEBRATE PATHOLOGY</t>
  </si>
  <si>
    <t>Acute effects of the heavy metals cadmium, copper, lead, cobalt, iron, and silver, and the organic pollutants PCB, DDT, and dieldrin on the gill of the mussel Mytilus edulis were studied in aquaria in brackish water (7.permill.). An inflammatory reaction was evoked by an exposure to cadmium, copper, lead, and silver. The inflammatory reaction in the gill began with enlargement of the postlateral cells, after which the blood spaces dilated and granular hemocytes migrated to the epithelia. Histological changes differed after an exposure to different pollutants. Exposure to cobalt, iron, or dieldrin had no effect. Copper exposure caused endothelial edema and deformation of abfrontal parts of the filaments. Lead caused loss of lateral cilia or sloughing of lateral cells. After an exposure to silver, endothelial cells became vacuolated. Organic pollutants caused loosening of intercellular connections in the epithelia and shrinkage of the cells.</t>
  </si>
  <si>
    <t>UNIV HELSINKI, DEPT ZOOL, DIV PHYSIOL, ARKADIANKATU 7, SF-00100 HELSINKI 10, FINLAND.</t>
  </si>
  <si>
    <t>0022-2011</t>
  </si>
  <si>
    <t>1096-0805</t>
  </si>
  <si>
    <t>J INVERTEBR PATHOL</t>
  </si>
  <si>
    <t>J. Invertebr. Pathol.</t>
  </si>
  <si>
    <t>10.1016/0022-2011(88)90112-7</t>
  </si>
  <si>
    <t>N9524</t>
  </si>
  <si>
    <t>WOS:A1988N952400018</t>
  </si>
  <si>
    <t>Charters, FJ; Carai, NG; Cochrane, TA</t>
  </si>
  <si>
    <t>Charters, Frances J.; Carai, Nekelia Gregoire; Cochrane, Thomas A.</t>
  </si>
  <si>
    <t>Performance of downpipe treatment system for removal of dissolved metals from roof runoff</t>
  </si>
  <si>
    <t>Waste mussel shells; Limestone; Zeolite; Zinc; Copper</t>
  </si>
  <si>
    <t>HEAVY-METALS; COPPER; WATER; BIOAVAILABILITY; MANAGEMENT; POLLUTION; SURFACES; QUALITY</t>
  </si>
  <si>
    <t>Untreated metal roof runoff can contribute elevated zinc and copper to receiving waterways, with associated ecotoxic impacts on the aquatic ecosystem. The majority of the metals in roof runoff are in dissolved form, which can be difficult to remove with conventional stormwater treatment systems. Treatment materials such as limestone and zeolite are capable of removing dissolved metals, but most research to date has only assessed the performance of such materials using synthetic runoff and long contact times. This study assessed the performance of limestone, zeolite and waste mussel shells in a vertical downpipe configuration with short contact time using actual metal roof runoff. Metal removal was compared under flowrates of 1 L/min and 3 L/min, material compaction level (less/more), and material depth (1 m and 0.5 m). A 93%-99% reduction was achieved in dissolved zinc by all treatment materials for all flowrates, compaction levels and depths. Higher variance in dissolved Cu removal rates were observed, with material depth found to have the greatest influence on performance: 84%-99% removal rates were achieved by the three materials at 1 m depth, but for 0.5 m depths, 44%-99%, 34%-92%, and 47%-93% removal were achieved by zeolite, limestone, and waste mussel shells respectively. The mussel shell removal performance was comparable to zeolite and limestone, yet it provides the added benefit of using a waste resource that would otherwise be disposed of to landfill. While this study demonstrates the potential of waste mussel shells for dissolved metal treatment, long term field trials and experimental analysis of the removal mechanisms of waste mussel shells would enable optimization of this treatment technology. (C) 2021 Elsevier B.V. All rights reserved.</t>
  </si>
  <si>
    <t>[Charters, Frances J.; Cochrane, Thomas A.] Univ Canterbury, Dept Civil &amp; Nat Resources Engn, Canterbury, New Zealand; [Carai, Nekelia Gregoire] Lincoln Univ, Dept Environm Management, Lincoln, England</t>
  </si>
  <si>
    <t>University of Canterbury; University of Lincoln</t>
  </si>
  <si>
    <t>Charters, FJ (corresponding author), Univ Canterbury, Dept Civil &amp; Nat Resources Engn, Canterbury, New Zealand.</t>
  </si>
  <si>
    <t>frances.charters@canterbury.ac.nz; gregoirenekelia@gmail.com; tom.cochrane@canterbury.ac.nz</t>
  </si>
  <si>
    <t>Cochrane, Thomas/0000-0001-9705-9807; Charters, Frances/0000-0003-2973-7180</t>
  </si>
  <si>
    <t>Waterways Centre for Freshwater Management (University of Canterbury, New Zealand) by the New Zealand Scholarships programme; Waterways Centre for Freshwater Management (Lincoln University, New Zealand) by the New Zealand Scholarships programme</t>
  </si>
  <si>
    <t>Nekelia Gregoire Carai was supported to undertake this work at the Waterways Centre for Freshwater Management (University of Canterbury, New Zealand and Lincoln University, New Zealand) by the New Zealand Scholarships programme.</t>
  </si>
  <si>
    <t>10.1016/j.eti.2021.101472</t>
  </si>
  <si>
    <t>RV2KH</t>
  </si>
  <si>
    <t>WOS:000645667000013</t>
  </si>
  <si>
    <t>Agusa, T; Kunito, T; Iwata, H; Monirith, I; Tana, TS; Subramanian, A; Tanabe, S</t>
  </si>
  <si>
    <t>Mercury contamination in human hair and fish from Cambodia: levels, specific accumulation and risk assessment</t>
  </si>
  <si>
    <t>mercury; hair; fish; Cambodia; contamination</t>
  </si>
  <si>
    <t>ASIAN DEVELOPING-COUNTRIES; PACIFIC MUSSEL WATCH; ENVIRONMENTAL-POLLUTION; COASTAL WATERS; RIVER BASIN; SCALP HAIR; HEAD HAIR; EXPOSURE; METHYLMERCURY; RESIDENTS</t>
  </si>
  <si>
    <t>Mercury (Hg) concentrations in human hair and fish samples from Phnom Penh, Kien Svay, Tomnup Rolork and Batrong, Cambodia, collected in November 1999 and December 2000 were determined to understand the status of contamination, and age-and sex-dependent accumulation in humans and to assess the intake of mercury via fish consumption. Mercury concentrations in human hair ranged from 0.54 to 190 mug/g dry wt. About 3% of the samples contained Hg levels exceeding the no observed adverse effects level (NOAEL) of WHO (50 mug/g) and the levels in some hair samples of women also exceeded the NOAEL (10 mug/g) associated with fetus neurotoxicity. A weak but significant positive correlation was observed between age and Hg levels in hair of residents. Mercury concentrations in muscle of marine and freshwater fish from Cambodia ranged from &lt;0.01 to 0.96 mug/g wet wt. Mercury intake rates were estimated on the basis of the Hg content in fish and daily fish consumption. Three samples of marine fish including sharp-tooth snapper and obtuse barracuda, and one sample of sharp-tooth snapper exceeded the guidelines by US EPA and by Joint FAO/WHO Expert Committee on Food Additives (JECFA), respectively, which indicates that some fish specimens examined (9% and 3% for US EPA and JECFA guidelines, respectively) were hazardous for consumption at the ingestion rate of Cambodian people (32.6 g/day). It is suggested that fish is probably the main source of Hg for Cambodian people. However, extremely high Hg concentrations were observed in some individuals and could not be explained by Hg intake from fish consumption, indicating some other contamination sources of Hg in Cambodia. (C) 2004 Elsevier Ltd. All rights reserved.</t>
  </si>
  <si>
    <t>Ehime Univ, Ctr Marine Environm Studies, Matsuyama, Ehime 7908577, Japan; Shinshu Univ, Fac Sci, Dept Environm Sci, Matsumoto, Nagano 3908621, Japan; Cabinet Council Minist, Social &amp; Cultural Observat Unit, OBSES, Phnom Penh, Cambodia</t>
  </si>
  <si>
    <t>Ehime University; Shinshu University</t>
  </si>
  <si>
    <t>Ehime Univ, Ctr Marine Environm Studies, Bunkyo Cho 2-5, Matsuyama, Ehime 7908577, Japan.</t>
  </si>
  <si>
    <t>shinsuke@agr.ehime-u.ac.jp</t>
  </si>
  <si>
    <t>Iwata, Hisato/A-5478-2013; Kunito, Takashi/D-8449-2012; Tanabe, Shinsuke/G-6950-2013</t>
  </si>
  <si>
    <t>Kunito, Takashi/0000-0002-3028-736X; Iwata, Hisato/0000-0002-6867-0532; Tanabe, Shinsuke/0000-0002-0911-6232</t>
  </si>
  <si>
    <t>10.1016/j.envpol.2004.07.015</t>
  </si>
  <si>
    <t>888CH</t>
  </si>
  <si>
    <t>WOS:000226351300009</t>
  </si>
  <si>
    <t>Spada, Lucia; Annicchiarico, Cristina; Cardellicchio, Nicola; Giandomenico, Santina; Di Leo, Antonella</t>
  </si>
  <si>
    <t>Mercury and methylmercury concentrations in Mediterranean seafood and surface sediments, intake evaluation and risk for consumers</t>
  </si>
  <si>
    <t>INTERNATIONAL JOURNAL OF HYGIENE AND ENVIRONMENTAL HEALTH</t>
  </si>
  <si>
    <t>Mercury; Methylmercury; Sediment; Edible organisms; Health hazard</t>
  </si>
  <si>
    <t>GULF IONIAN SEA; HEAVY-METALS; MYTILUS-GALLOPROVINCIALIS; MARINE-SEDIMENTS; AQUATIC SYSTEMS; METHYL MERCURY; FISH; POLLUTION; MUSSELS; CONTAMINATION</t>
  </si>
  <si>
    <t>Total mercury and methylmercury concentrations were measured in sediments and marine organisms from the Taranto Gulf to understand their distribution and partitioning. Sediment concentrations ranged from 0.036 to 7.730 mg/kg (mean: 2.777 mg/kg d.w.) and from 1 to 40 mu g/kg (mean: 11 mu g/kg d.w.) for total mercury (THg) and methylmercury (Me-Hg), respectively. In mollusks THg ranged from n.d. to 1870 mu g/kg d.w. while in fish from 324 to 1740 mu g/kg d.w. Me-Hg concentrations in fish ranged from 190 to 1040 mu g/kg d.w. and from n.d. to 1321 mu g/kg d.w. in mollusks. THg exceeded the maximum level fixed by the European Commission (0.5 mg/kg w.w.) only in gastropod Hexaplex t. The calculated weekly intake was in many cases over the Provisional Tolerable Weekly Intake established by EFSA for all edible species. These results seem to indicate that dietary consumption of this seafood implicates an appreciable risk for human health. (C) 2011 Elsevier GmbH. All rights reserved.</t>
  </si>
  <si>
    <t>[Spada, Lucia; Annicchiarico, Cristina; Cardellicchio, Nicola; Giandomenico, Santina; Di Leo, Antonella] CNR, Inst Coastal Marine Environm, Taranto Sect, I-74100 Taranto, Italy</t>
  </si>
  <si>
    <t>Consiglio Nazionale delle Ricerche (CNR)</t>
  </si>
  <si>
    <t>Spada, L (corresponding author), CNR, Inst Coastal Marine Environm, Taranto Sect, Via Roma 3, I-74100 Taranto, Italy.</t>
  </si>
  <si>
    <t>1438-4639</t>
  </si>
  <si>
    <t>1618-131X</t>
  </si>
  <si>
    <t>INT J HYG ENVIR HEAL</t>
  </si>
  <si>
    <t>Int. J. Hyg. Environ. Health.</t>
  </si>
  <si>
    <t>10.1016/j.ijheh.2011.09.003</t>
  </si>
  <si>
    <t>Public, Environmental &amp; Occupational Health; Infectious Diseases</t>
  </si>
  <si>
    <t>941KA</t>
  </si>
  <si>
    <t>WOS:000303960900022</t>
  </si>
  <si>
    <t>Zhou, ZF; Wang, YN; Sun, S; Wang, YC; Xu, L</t>
  </si>
  <si>
    <t>Zhou, Zhenfeng; Wang, Yinuo; Sun, Shu; Wang, Yicheng; Xu, Liang</t>
  </si>
  <si>
    <t>Preparation of PVA/waste oyster shell powder composite as an efficient adsorbent of heavy metals from wastewater</t>
  </si>
  <si>
    <t>Poly (vinyl alcohol); Oyster shell powder; Heavy metals; Adsorption; Modification</t>
  </si>
  <si>
    <t>REMOVAL; NANOCOMPOSITES; NANOPARTICLES; ADSORPTION; FACILE; IONS</t>
  </si>
  <si>
    <t>The accumulation of discarded mollusk shells has occupied a large land area and caused severe environmental pollution problems. Discarded mollusk shells are mainly composed of calcium carbonate and therefore can be used for the removal of heavy metals from the contaminated aquatic environment. Theoretically, shells with a smaller powder size have a higher adsorption capacity for heavy metal ions. However, the agglomeration and the outflow of small particles limit the applications of mollusk shells in water treatment practices. To overcome the shortcomings of mollusk shells in heavy metals adsorptions, a polymer composite material comprising poly (vinyl alcohol)/oyster shell powder (PVA-OSP) was prepared with the solution casting method for the adsorption of heavy metal ions from wastewater. The structures and the heavy metal adsorption properties of the oyster shell powder (OSP) and the composite PVA-OSP were studied and compared. Analysis results of XRD and FT-IR showed a successful combination of OSP and PVA by a chemical cross-linking modified with sodium silicate. The com-posite PVA-OSP has good thermal stability for common adsorption processes. The adsorption results showed that the adsorption capacity of the PVA-OSP composite for both Cu2+ and Cd2+ was much higher than that of the OSP. The adsorptions of Cu2+ and Cd2+ on the OSP followed the pseudo-second-order kinetic model as well as the Temkin and Freundlich isotherm model. Comparatively, the adsorptions of heavy metal cations on the PVA-OSP followed the pseudo -first-order kinetic model as well as the Temkin and Langmuir isotherm model. In conclusion, this study showed that the PVA-OSP composite materials may be useful in the treatment of wastewater polluted by heavy metals.</t>
  </si>
  <si>
    <t>[Zhou, Zhenfeng; Wang, Yinuo; Sun, Shu; Wang, Yicheng; Xu, Liang] Qingdao Agr Univ, Sch Resources &amp; Environm, Qingdao 266109, Peoples R China</t>
  </si>
  <si>
    <t>Qingdao Agricultural University</t>
  </si>
  <si>
    <t>Xu, L (corresponding author), Qingdao Agr Univ, Sch Resources &amp; Environm, Qingdao 266109, Peoples R China.</t>
  </si>
  <si>
    <t>xuliang@qau.edu.cn</t>
  </si>
  <si>
    <t>Shu, Sun/AHA-6902-2022</t>
  </si>
  <si>
    <t>Shu, Sun/0009-0000-1776-5040</t>
  </si>
  <si>
    <t>Key Research and Development Project of Ningxia Hui Autonomous Region; National Natural Science Foundation of China; [2021BEG03013]; [41601339]</t>
  </si>
  <si>
    <t>Key Research and Development Project of Ningxia Hui Autonomous Region; National Natural Science Foundation of China(National Natural Science Foundation of China (NSFC)); ;</t>
  </si>
  <si>
    <t>Funding This work was supported by the Key Research and Development Project of Ningxia Hui Autonomous Region [2021BEG03013] , National Natural Science Foundation of China [41601339] .</t>
  </si>
  <si>
    <t>e11938</t>
  </si>
  <si>
    <t>10.1016/j.heliyon.2022.e11938</t>
  </si>
  <si>
    <t>7N8LA</t>
  </si>
  <si>
    <t>WOS:000907586000016</t>
  </si>
  <si>
    <t>Ladhar-Chaabouni, R; Houel, T; Serpentini, A; Karray, S; Lebel, JM; Hamza-Chaffai, A</t>
  </si>
  <si>
    <t>Ladhar-Chaabouni, Rim; Houel, Thomas; Serpentini, Antoine; Karray, Sahar; Lebel, Jean-Marc; Hamza-Chaffai, Amel</t>
  </si>
  <si>
    <t>Responses of primary cultured haemocytes derived from the marine gastropod Haliotis tuberculata to an industrial effluent exposure</t>
  </si>
  <si>
    <t>CYTOTECHNOLOGY</t>
  </si>
  <si>
    <t>Haemocytes; Haliotis tuberculata; Immune parameters; Industrial effluent; In vitro; Primary culture</t>
  </si>
  <si>
    <t>IN-VITRO EXPOSURE; MUSSELS MYTILUS-GALLOPROVINCIALIS; LYSOSOMAL MEMBRANE DAMAGE; CONTAMINATED SITES; OXIDATIVE STRESS; DIGESTIVE CELLS; CADMIUM; COPPER; TOXICITY; METALS</t>
  </si>
  <si>
    <t>This study assessed the responses of primary cultured haemocytes from the marine gastropod Haliotis tuberculata exposed to the increasing concentrations of industrial effluent (0, 0.5, 1, 10, 15 and 20%) discharged into the Tunisian coastal area. Analyses showed the presence of metals such as cadmium (Cd), chromium (Cr), copper (Cu), manganese (Mn), zinc (Zn), nickel (Ni) and lead (Pb) in the effluent. The effects of this mixture of pollutants on abalone haemocyte parameters were reflected by a significant decrease of cell viability, phagocytotic activity and reactive oxygen species (ROS) production as well as morphological and lysosomal membrane alterations. Thus, these results indicated that our primary culture system represents a suitable in vitro model for monitoring of anthropogenic contaminants in aquatic environments.</t>
  </si>
  <si>
    <t>[Ladhar-Chaabouni, Rim; Karray, Sahar; Hamza-Chaffai, Amel] IPEIS, Marine Ecotoxicol UR 09 03, BP 805, Sfax 3018, Tunisia; [Houel, Thomas; Serpentini, Antoine; Lebel, Jean-Marc] Normandie Univ, F-14032 Caen, France; [Houel, Thomas; Serpentini, Antoine; Lebel, Jean-Marc] Univ Caen Normandie, UMR BOREA Biol Org &amp; Ecosyst Aquat, UCBN, UPMC,MNHN,CNRS 7208,IRD 207,IBFA,Esplanade Paix, F-14032 Caen 5, France</t>
  </si>
  <si>
    <t>Universite de Sfax; Sorbonne Universite; Museum National d'Histoire Naturelle (MNHN); Universite de Caen Normandie; Institut de Recherche pour le Developpement (IRD)</t>
  </si>
  <si>
    <t>Ladhar-Chaabouni, R (corresponding author), IPEIS, Marine Ecotoxicol UR 09 03, BP 805, Sfax 3018, Tunisia.</t>
  </si>
  <si>
    <t>Ministry of higher education and scientific research; University of Sfax, Tunisia</t>
  </si>
  <si>
    <t>Ministry of higher education and scientific research(Ministry of Higher Education &amp; Scientific Research (MHESR)); University of Sfax, Tunisia(Universite de Sfax)</t>
  </si>
  <si>
    <t>This work was supported by a grant from the Ministry of higher education and scientific research, University of Sfax, Tunisia to R. Ladhar- Chaabouni. The authors thank L. Poulain and M. Duval (Plateau Technique de Cytometrieen Flux, Universite'de Caen Normandie, France) for their helpful technical assistance, the technical staff of the Centre de Recherche en Environnement Cotier (Luc-sur-Mer, Normandie, France) for their assistance in animal care and F. Sdirat for English revision.</t>
  </si>
  <si>
    <t>0920-9069</t>
  </si>
  <si>
    <t>1573-0778</t>
  </si>
  <si>
    <t>Cytotechnology</t>
  </si>
  <si>
    <t>10.1007/s10616-016-0050-7</t>
  </si>
  <si>
    <t>Biotechnology &amp; Applied Microbiology; Cell Biology</t>
  </si>
  <si>
    <t>EQ5EM</t>
  </si>
  <si>
    <t>WOS:000398104900001</t>
  </si>
  <si>
    <t>Fliedner, A; Rüdel, H; Knopf, B; Weinfurtner, K; Paulus, M; Ricking, M; Koschorreck, J</t>
  </si>
  <si>
    <t>Fliedner, Annette; Ruedel, Heinz; Knopf, Burkhard; Weinfurtner, Karlheinz; Paulus, Martin; Ricking, Mathias; Koschorreck, Jan</t>
  </si>
  <si>
    <t>Spatial and temporal trends of metals and arsenic in German freshwater compartments</t>
  </si>
  <si>
    <t>Environmental specimen bank; Monitoring; Heavy metals; Arsenic; Abramis brama; Dreissena polymorpha; Suspended particulate matter</t>
  </si>
  <si>
    <t>ENVIRONMENTAL SPECIMEN BANK; SUSPENDED PARTICULATE MATTER; BREAM ABRAMIS-BRAMA; ELBE RIVER; DREISSENA-POLYMORPHA; ZEBRA MUSSELS; TOTAL MERCURY; FISH; BIOACCUMULATION; METHYLMERCURY</t>
  </si>
  <si>
    <t>Cadmium, lead, mercury, copper, nickel, zinc, and arsenic were analyzed in suspended particulate matter (SPM), zebra mussels, and bream sampled yearly under the program of the German Environmental Specimen Bank (ESB) in the rivers Rhine, Elbe, Danube, Saar, Mulde, and Saale and in Lake Belau. Temporal and spatial trends were analyzed, correlations between metal levels in different specimen types assessed, and sampling sites ranked according to their metal levels by calculating a Multi-Metal Index (MMI) for every specimen type and site. SPM: Highest metal loads were detected in Mulde, Saale, and Elbe right downstream of the Saale confluence. In the Elbe, metal loads in SPM were mostly highest in the upper and middle section of the river while in Rhine and Saar concentrations increased downstream. Temporal trends since 2005 were detected only at three sites. Zebra mussel: MMIs were highest in the tidal section of the Elbe and the lower Rhine and lowest in Lake Belau and the upper Danube. Different temporal trends were detected since the early 1990s depending on site and metal. Bream: As, Pb, Cu, and Hg were analyzed in muscle tissue and Pb, Cd, Cu, and Zn in liver. For both tissues, MMIs were highest in Mulde and Saale and the lower and middle Elbe. Since the early 1990s, Hg, Pb, and Cu decreased in bream muscle at many sites while As increased at 6 of the 17 sites. The findings indicate that Hg, Pb, and Cu have obviously decreased in many freshwater ecosystems in recent years, whereas As and Ni levels have increased at several sites. Metal levels and temporal trends mostly differed between the specimen types under investigation and only few correlations between specimen types were detected. This underlines the importance of including different components of an ecosystem when assessing its environmental quality.</t>
  </si>
  <si>
    <t>[Fliedner, Annette; Ruedel, Heinz; Knopf, Burkhard; Weinfurtner, Karlheinz] Fraunhofer Inst Mol Biol &amp; Appl Ecol Fraunhofer I, D-57392 Schmallenberg, Germany; [Paulus, Martin] Univ Trier, Dept Biogeog ESB, D-54286 Trier, Germany; [Ricking, Mathias] Free Univ Berlin, Dept Earth Sci, D-12249 Berlin, Germany; [Koschorreck, Jan] Fed Environm Agcy Umweltbundesamt, D-06813 Dessau Rosslau, Germany</t>
  </si>
  <si>
    <t>Fraunhofer Gesellschaft; Universitat Trier; Free University of Berlin</t>
  </si>
  <si>
    <t>Fliedner, A (corresponding author), Fraunhofer Inst Mol Biol &amp; Appl Ecol Fraunhofer I, D-57392 Schmallenberg, Germany.</t>
  </si>
  <si>
    <t>annette.fliedner@ime.fraunhofer.de</t>
  </si>
  <si>
    <t>Koschorreck, Jan/0000-0002-1043-3278; Rudel, Heinz/0000-0002-4175-4787</t>
  </si>
  <si>
    <t>German Environmental Specimen Bank by the German Federal Ministry of the Environment; Nature Conservation; Nuclear Safety</t>
  </si>
  <si>
    <t>The funding of the German Environmental Specimen Bank project partners by the German Federal Ministry of the Environment, Nature Conservation and Nuclear Safety is gratefully acknowledged. The authors thank the ESB teams of Trier University, Freie Universitat Berlin, and Fraunhofer IME for their excellent technical assistance. Dr. Martin Muller (Fraunhofer IME) is thanked for data management and statistical analyses.</t>
  </si>
  <si>
    <t>10.1007/s11356-013-2487-y</t>
  </si>
  <si>
    <t>AF0ZJ</t>
  </si>
  <si>
    <t>WOS:000334443600023</t>
  </si>
  <si>
    <t>Sager, DR</t>
  </si>
  <si>
    <t>Long-term variation in mercury concentrations in estuarine organisms with changes in releases into Lavaca Bay, Texas</t>
  </si>
  <si>
    <t>mercury; Lavaca Bay; estuarine food web; sediment; monitoring; remediation</t>
  </si>
  <si>
    <t>SHRIMP PENAEUS-AZTECUS; ACCUMULATION; FISH; BIOACCUMULATION; RECOVERY; FIELD; MODEL; LAKE</t>
  </si>
  <si>
    <t>Mercury releases into Lavaca Bay resulted in public health notices and a fishing closure for crabs and finfish. Mercury containing wastewater discharges were halted in 1970, but sediments were contaminated with mercury. The sediments are a source of mercury to the benthic food web via methylation. Mercury in water column feeding organisms has decreased markedly. Concentrations in benthic food web organisms remain elevated. Human consumption concerns for oysters have ended, but a closure for fishing for crabs and finfish continues. Monitoring of mercury in organisms since 1977 shows a gradual downward trend in mercury in crabs and finfish, but this was not sufficient to remove the closure. Continued releases of mercury, man's activities, and resuspension of sediments keep mercury in the sediment's biologically active zone. This enables the uptake of mercury via the benthic food web. If releases are ended, it will take years for the mercury to decrease to concentrations not of concern for human consumption. If more remediation to reduce the mercury concentrations in the sediments takes place, decrease of mercury in the organisms might occur more quickly. (C) 2002 Elsevier Science Ltd. All rights reserved.</t>
  </si>
  <si>
    <t>Texas Parks &amp; Wildlife Dept, Austin, TX 78744 USA</t>
  </si>
  <si>
    <t>Texas Parks &amp; Wildlife Dept, 4200 Smith Sch Rd, Austin, TX 78744 USA.</t>
  </si>
  <si>
    <t>david.sager@tpwd.state.tx.us</t>
  </si>
  <si>
    <t>PII S0025-326X(02)00064-4</t>
  </si>
  <si>
    <t>10.1016/S0025-326X(02)00064-4</t>
  </si>
  <si>
    <t>592HE</t>
  </si>
  <si>
    <t>WOS:000177930500021</t>
  </si>
  <si>
    <t>Gaylard, S; Thomas, S; Nelson, M</t>
  </si>
  <si>
    <t>Gaylard, S.; Thomas, S.; Nelson, M.</t>
  </si>
  <si>
    <t>AN ASSESSMENT OF THE CURRENT STATUS OF BIOAVAILABLE METAL CONTAMINATION ACROSS SOUTH AUSTRALIA USING TRANSLOCATED MUSSELS MYTILUS GALLOPROVINCALIS</t>
  </si>
  <si>
    <t>TRANSACTIONS OF THE ROYAL SOCIETY OF SOUTH AUSTRALIA</t>
  </si>
  <si>
    <t>Mytilus galloprovincialis; lead; cadmium; mercury; biomonitor; industrialisation</t>
  </si>
  <si>
    <t>TRACE-METAL; LEAD SMELTER; MARINE-SEDIMENTS; SPENCER GULF; UNITED-STATES; ZINC; VARIABILITY; POLLUTION; CADMIUM; METABOLISM</t>
  </si>
  <si>
    <t>This study presents results from the first regional assessment of metal levels in translocated blue mussels (Mytilus galloprovincialis Lamarck, 1819) in the nearshore coastal environment across South Australia. A total of 422 replicate samples of translocated mussels were deployed throughout 11 regions across the South Australian near shore marine environment. Mussels were recovered after approximately 70 days and analysed for total metal load in the flesh of the mussel. Results showed vast differences in metal concentrations between different regions and also compared to the baseline metal concentration. Many of these differences can be attributed to the level of industrial activity in the regions which may have implications for environmental regulation in these regions.</t>
  </si>
  <si>
    <t>[Gaylard, S.; Thomas, S.; Nelson, M.] S Australian Environm Protect Author, Adelaide, SA 5001, Australia</t>
  </si>
  <si>
    <t>Gaylard, S (corresponding author), GPO Box 2607, Adelaide, SA 5001, Australia.</t>
  </si>
  <si>
    <t>ROYAL SOC SOUTH AUSTRALIA INC</t>
  </si>
  <si>
    <t>ADELAIDE</t>
  </si>
  <si>
    <t>SOUTH AUSTRALIAN MUSEUM, NORTH TERRACE C/O HONORARY TREASURER, ADELAIDE, 5000, AUSTRALIA</t>
  </si>
  <si>
    <t>0372-1426</t>
  </si>
  <si>
    <t>T ROY SOC SOUTH AUST</t>
  </si>
  <si>
    <t>Trans. R. Soc. S. Aust.</t>
  </si>
  <si>
    <t>10.1080/03721426.2011.10887149</t>
  </si>
  <si>
    <t>938AP</t>
  </si>
  <si>
    <t>WOS:000303706500004</t>
  </si>
  <si>
    <t>Zhang, Y; Song, JM; Yuan, HM; Xu, YY; He, ZP</t>
  </si>
  <si>
    <t>Zhang, Ying; Song, Jinming; Yuan, Huamao; Xu, Yayan; He, Zhipeng</t>
  </si>
  <si>
    <t>Concentrations of Cadmium and Zinc in Seawater of Bohai Bay and Their Effects on Biomarker Responses in the Bivalve Chlamys farreri</t>
  </si>
  <si>
    <t>LIPID-PEROXIDATION; SUPEROXIDE-DISMUTASE; ANTIOXIDANT ENZYMES; OXIDATIVE STRESS; RAT-KIDNEY; IN-VIVO; LIVER; FISH; MECHANISMS; METALS</t>
  </si>
  <si>
    <t>Both in-field chemical investigation and in the laboratory toxic tests were carried out to systematically understand the pollution status of cadmium (Cd) and zinc (Zn) in Bohai Bay. Samples collected from surface seawater were determined to describe the distributions of Cd and Zn in Bohai Bay. The average values in our study of Cd and Zn were 0.15 mu g/L and 19.68 mu g/L, respectively. Both of them were lower than the first class limit of seawater quality standard in China. In the laboratory, antioxidant enzymes [SOD (Cu/Zn-SOD, Mn-SOD), CAT], lipid peroxidation (MDA), phase I and phase II enzymes (CYP4501A and GST) were investigated in the bivalves Chlamys farreri exposed to Cd and Zn at the concentration levels of Bohai Bay seawater, which were obtained from our in-field investigation. The reduced SOD, CAT, and EROD (7-ethoxyresorufin-O-deethylase) activities (with the inhibitory rate of 16.8%, 31.5%, and 51.6%, respectively) in Cd treatment were observed and resulted in obvious lipid peroxidation damage. However, treatment of Zn showed elevations in SOD and GST by 13.3% and 29.9%, respectively, and with no influence on lipid peroxidation. In summary, seawater quality in Bohai Bay seawater was ranked as good in general, but it seemed that Cd might possess a potential environmental risk by effecting pro-oxidant/antioxidant balance and phase I detoxification in C. farreri.</t>
  </si>
  <si>
    <t>[Zhang, Ying; Song, Jinming; Yuan, Huamao; Xu, Yayan] Chinese Acad Sci, Key Lab Marine Ecol &amp; Environm Sci, Inst Oceanol, Qingdao 266071, Shandong, Peoples R China; [Zhang, Ying; Xu, Yayan] Chinese Acad Sci, Grad Univ, Beijing 100049, Peoples R China; [He, Zhipeng] Fishery Design Inst Shandong Prov, Jinan 250013, Shandong, Peoples R China</t>
  </si>
  <si>
    <t>Song, JM (corresponding author), Chinese Acad Sci, Key Lab Marine Ecol &amp; Environm Sci, Inst Oceanol, 7 Nanhai Rd, Qingdao 266071, Shandong, Peoples R China.</t>
  </si>
  <si>
    <t>zhangying405@ms.qdio.ac.cn; jmsong@ms.qdio.ac.cn; yuanhuamao@ms.qdio.ac.cn; xuyayan05@mails.gucas.ac.cn; Hezhipeng@ms.qdio.ac.cn</t>
  </si>
  <si>
    <t>Yuan, Huamao/0000-0003-2014-619X</t>
  </si>
  <si>
    <t>NSFC [40821004, 40906056]; National Key Project for Basic Research of China [2007CB407305]; CAS; Chinese Academy of Sciences; Key Laboratory of Marine Spill Oil Identification and Damage Assessment Technology, State Oceanic Administration, China [200702]; Academy of Finland (AKA) [200702] Funding Source: Academy of Finland (AKA)</t>
  </si>
  <si>
    <t>NSFC(National Natural Science Foundation of China (NSFC)); National Key Project for Basic Research of China(National Basic Research Program of China); CAS(Chinese Academy of Sciences); Chinese Academy of Sciences(Chinese Academy of Sciences); Key Laboratory of Marine Spill Oil Identification and Damage Assessment Technology, State Oceanic Administration, China; Academy of Finland (AKA)(Research Council of Finland)</t>
  </si>
  <si>
    <t>Thanks are given to Dr. Mingzhuang Zhu, Weibo Song, and the colleagues in their laboratory for their exceptional support on experimental instruments. This article was supported by the Fund for Creative Research Groups by NSFC (No. 40821004), the National Key Project for Basic Research of China (No. 2007CB407305), the CAS Special Grant for Postgraduate Research, Innovation and Practice, the 100 Talents Project of the Chinese Academy of Sciences, the National Science Foundation of China (No. 40906056), the Knowledge Innovation Program of the Chinese Academy of Sciences, and the Opening Foundation of the Key Laboratory of Marine Spill Oil Identification and Damage Assessment Technology, State Oceanic Administration, China (No. 200702).</t>
  </si>
  <si>
    <t>10.1007/s00244-009-9461-1</t>
  </si>
  <si>
    <t>621LU</t>
  </si>
  <si>
    <t>WOS:000279581100013</t>
  </si>
  <si>
    <t>Ladhar-Chaabouni, R; Gargouri, R; Chaffai, AH</t>
  </si>
  <si>
    <t>Ladhar-Chaabouni, Rim; Gargouri, Raja; Chaffai, Amel Hamza</t>
  </si>
  <si>
    <t>Effect of cadmium on some biomarkers in the clam Ruditapes decussatus:: metallothionein quantification using two techniques</t>
  </si>
  <si>
    <t>INTERNATIONAL JOURNAL OF ENVIRONMENT AND POLLUTION</t>
  </si>
  <si>
    <t>2nd WHO International Housing and Health Symposium</t>
  </si>
  <si>
    <t>SEP 29-OCT 01, 2004</t>
  </si>
  <si>
    <t>Vilnius, LITHUANIA</t>
  </si>
  <si>
    <t>biomarkers; cadmium; malondialdchyde; metallothioneins; Ruditapes decussates</t>
  </si>
  <si>
    <t>ANTIOXIDANT ENZYME-ACTIVITIES; LIPID-PEROXIDATION; OXIDATIVE STRESS; DIGESTIVE GLAND; MYTILUS-GALLOPROVINCIALIS; METAL CONTAMINATION; IN-SITU; EXPOSURE; BIVALVE; TISSUES</t>
  </si>
  <si>
    <t>After the contamination of Ruditapes decussatus with 100 mu g/l and 200 mu g/l of cadmium chloride during 21 days, metallothioneins (MTs), malondialdehyde (MDA) and cadmium concentrations were determined in the gills and the digestive gland. The results showed an increase of Cd, MTs and MDA concentrations in the gills and the digestive gland. No significant variations of the concentrations with sex were observed. Two techniques (polarography and colorimetry) for metallothionein quantification were compared. The results showed that the polarographic method is more sensitive than the colorimetric one.</t>
  </si>
  <si>
    <t>IPEIs, Marine Ecotoxicol UR 09 03, Sfax 3018, Tunisia; Ctr Biotechnol Sfax, Genet Mol Eucaryotes Lab, Sfax 3038, Tunisia</t>
  </si>
  <si>
    <t>Universite de Sfax; Centre de Biotechnologie de Sfax; Universite de Sfax</t>
  </si>
  <si>
    <t>Ladhar-Chaabouni, R (corresponding author), IPEIs, Marine Ecotoxicol UR 09 03, BP 805, Sfax 3018, Tunisia.</t>
  </si>
  <si>
    <t>rladhar@yahoo.fr; raja.gargouri@cbs.rnrt.tn; Amel.Chaffai@tunet.tn</t>
  </si>
  <si>
    <t>AMEL, HAMZA-CHAFFAI/0000-0002-6210-7837; Ladhar-Chaabouni, Rim/0000-0002-6554-3941</t>
  </si>
  <si>
    <t>INDERSCIENCE ENTERPRISES LTD</t>
  </si>
  <si>
    <t>GENEVA</t>
  </si>
  <si>
    <t>WORLD TRADE CENTER BLDG, 29 ROUTE DE PRE-BOIS, CASE POSTALE 856, CH-1215 GENEVA, SWITZERLAND</t>
  </si>
  <si>
    <t>0957-4352</t>
  </si>
  <si>
    <t>1741-5101</t>
  </si>
  <si>
    <t>INT J ENVIRON POLLUT</t>
  </si>
  <si>
    <t>Int. J. Environ. Pollut.</t>
  </si>
  <si>
    <t>10.1504/IJEP.2007.014831</t>
  </si>
  <si>
    <t>212QH</t>
  </si>
  <si>
    <t>WOS:000249611400017</t>
  </si>
  <si>
    <t>Wu, HF; Xu, LL; Yu, DL; Ji, CL</t>
  </si>
  <si>
    <t>Wu, Huifeng; Xu, Lanlan; Yu, Deliang; Ji, Chenglong</t>
  </si>
  <si>
    <t>Differential metabolic responses in three life stages of mussels Mytilus galloprovincialis exposed to cadmium</t>
  </si>
  <si>
    <t>Mytilus galloprovincialis; Cadmium; Toxicological effects; NMR; Metabolomics</t>
  </si>
  <si>
    <t>METABONOMICS; SUCCINATE; POLLUTION; ALANINE; COPPER; GILLS; WATCH</t>
  </si>
  <si>
    <t>Cadmium (Cd) is one of the most important metal contaminants in the Bohai Sea. In this work, NMR-based metabolomics was used to investigate the toxicological effects of Cd at an environmentally relevant concentration (50 A mu g L-1) in three different life stages (D-shape larval, juvenile and adult) of mussels Mytilus galloprovincialis. Results indicated that the D-shape larval mussel was the most sensitive life stage to Cd. The significantly different metabolic profiles meant that Cd induced differential toxicological effects in three life stages of mussels. Basically, Cd caused osmotic stress in all the three life stages via different metabolic pathways. Cd exposure reduced the anaerobiosis in D-shape larval mussels and disturbed lipid metabolism in juvenile mussels, respectively. Compared with the D-shape larval and juvenile mussels, the adult mussels reduced energy consumption to deal with Cd stress.</t>
  </si>
  <si>
    <t>[Wu, Huifeng; Xu, Lanlan; Yu, Deliang; Ji, Chenglong] Chinese Acad Sci, Yantai Inst Coastal Zone Res YIC, Key Lab Coastal Zone Environm Proc,YICCAS, Shandong Prov Key Lab Coastal Zone Environm Proc, Yantai 264003, Peoples R China; [Xu, Lanlan; Yu, Deliang] Univ Chinese Acad Sci, Beijing 100049, Peoples R China</t>
  </si>
  <si>
    <t>Wu, HF (corresponding author), Chinese Acad Sci, Yantai Inst Coastal Zone Res YIC, Key Lab Coastal Zone Environm Proc,YICCAS, Shandong Prov Key Lab Coastal Zone Environm Proc, Yantai 264003, Peoples R China.</t>
  </si>
  <si>
    <t>NSFC [41676114]; Natural Science Foundation of Shandong Province [JQ201310]</t>
  </si>
  <si>
    <t>NSFC(National Natural Science Foundation of China (NSFC)); Natural Science Foundation of Shandong Province(Natural Science Foundation of Shandong Province)</t>
  </si>
  <si>
    <t>This work was supported by NSFC (41676114) and Natural Science Foundation of Shandong Province (No. JQ201310). The funders had no role in study design, data collection and analysis, decision to publish, or preparation of the manuscript. We thank Prof. Mark Viant (School of Bioscience, The University of Birmingham) for the use of ProMetab software.</t>
  </si>
  <si>
    <t>10.1007/s10646-016-1741-8</t>
  </si>
  <si>
    <t>EJ2GP</t>
  </si>
  <si>
    <t>WOS:000393028400007</t>
  </si>
  <si>
    <t>Arnold, WR; Santore, RC; Cotsifas, S</t>
  </si>
  <si>
    <t>Predicting copper toxicity in estuarine and marine waters using the Biotic Ligand Model</t>
  </si>
  <si>
    <t>copper; Biotic Ligand Model; toxicity; marine; saltwater; Mytilus</t>
  </si>
  <si>
    <t>CADMIUM-BINDING; FISH GILLS; METAL</t>
  </si>
  <si>
    <t>The Biotic Ligand Model (BLM) has proven efficient in predicting the toxicity of a variety of metals to freshwater organisms. Consequently, the US EPA has proposed its use for calculating freshwater copper criteria. This study evaluates the BLM for use in estuarine and marine waters. Studies were conducted using the bivalve, Mytilus sp. and 48-h embryo-larval development chronic estimator test methods. These are the most sensitive taxa and test in the US EPA saltwater copper criteria database. Samples from five locations around the USA were tested. There is a strong relationship between measured and BLM predicted copper EC50s (log transformed data, r(2) = 0.76, p &lt; 0.001, n = 44). The BLM predicted within a factor 2 of measured EC50s in 41 of 44 cases. However, the BLM tends to predict lower EC50s when measured EC50s are approximately &lt;= 10 mu g Cu/L. This may be due to limitations of the metal-dissolved organic matter interaction model. (c) 2005 Elsevier Ltd. All rights reserved.</t>
  </si>
  <si>
    <t>Copper Dev Assoc Inc, New York, NY 10016 USA; HydroQual Inc, Camillus, NY 13031 USA; Pacific EcoRisk Inc, Martinez, CA 94553 USA</t>
  </si>
  <si>
    <t>Copper Dev Assoc Inc, 260 Madison Ave, New York, NY 10016 USA.</t>
  </si>
  <si>
    <t>rarnold@cda.copper.org</t>
  </si>
  <si>
    <t>10.1016/j.marpolbul.2005.06.035</t>
  </si>
  <si>
    <t>997HR</t>
  </si>
  <si>
    <t>WOS:000234236600028</t>
  </si>
  <si>
    <t>Pavlaki, MD; Araújo, MJ; Cardoso, DN; Silva, ARR; Cruz, A; Mendo, S; Soares, AMVM; Calado, R; Loureiro, S</t>
  </si>
  <si>
    <t>Pavlaki, Maria D.; Araujo, Mario J.; Cardoso, Diogo N.; Silva, Ana Rita R.; Cruz, Andreia; Mendo, Sonia; Soares, Amadeu M. V. M.; Calado, Ricardo; Loureiro, Susana</t>
  </si>
  <si>
    <t>Ecotoxicity and genotoxicity of cadmium in different marine trophic levels</t>
  </si>
  <si>
    <t>Acartia tonsa; Palaemon varians; Solea senagalensis; DNA damage; Comet assay; Ionic cadmium</t>
  </si>
  <si>
    <t>GREEN-LIPPED MUSSEL; MYSID MYSIDOPSIS-BAHIA; GRASS SHRIMP; FRESH-WATER; CHEMICAL SPECIATION; SOLEA-SENEGALENSIS; PERNA-CANALICULUS; COMET ASSAY; LIFE STAGES; DNA-REPAIR</t>
  </si>
  <si>
    <t>Cadmium ecotoxicity and genotoxicity was assessed in three representative species of different trophic levels of marine ecosystems the calanoid copepod Acartia tonsa, the decapod shrimp, Palaemon varians and the pleuronectiform fish Solea senegalensis. Ecotoxicity endpoints assessed in this study were adult survival, hatching success and larval development ratio (LDR) for A. tonsa, survival of the first larval stage (zoea I) and post-larvae of P. varians, egg and larvae survival, as well as the presence of malformations in the larval stage of S. senegalensis. In vivo genotoxicity was assessed on adult A. tonsa, the larval and postlarval stage of P. varians and newly hatched larvae of S. senegalensis using the comet assay. Results showed that the highest sensitivity to cadmium is displayed by A. tonsa, with the most sensitive endpoint being the LDR of nauplii to copepodites. Sole eggs displayed the highest tolerance to cadmium compared to the other endpoints evaluated for all tested species. Recorded cadmium toxicity was (by increasing order): S. senegalensis eggs &lt; P. varians post-larvae &lt; P. varians zoea I &lt; S. senegalensis larvae &lt; A. tonsa eggs &lt; A. tonsa LDR. DNA damage to all species exposed to cadmium increased with increasing concentrations. Overall, understanding cadmium chemical speciation is paramount to reliably evaluate the effects of this metal in marine ecosystems. Cadmium is genotoxic to all three species tested and therefore may differentially impact individuals and populations of marine taxa. As A. tonsa was the most sensitive species and occupies a lower trophic level, it is likely that cadmium contamination may trigger bottom up cascading effects in marine trophic interactions. (C) 2016 Elsevier Ltd. All rights reserved.</t>
  </si>
  <si>
    <t>[Pavlaki, Maria D.] Univ Aveiro, Dept Biol, Campus Univ Santiago, P-3810193 Aveiro, Portugal; Univ Aveiro, CESAM Ctr Environm &amp; Marine Studies, P-3810193 Aveiro, Portugal</t>
  </si>
  <si>
    <t>Universidade de Aveiro; Universidade de Aveiro</t>
  </si>
  <si>
    <t>Pavlaki, MD (corresponding author), Univ Aveiro, Dept Biol, Campus Univ Santiago, P-3810193 Aveiro, Portugal.</t>
  </si>
  <si>
    <t>maria.pavlaki@ua.pt</t>
  </si>
  <si>
    <t>Araújo, Mário/AAI-5656-2020; Calado, Ricardo/C-7035-2008; Loureiro, Susana/B-4462-2008; Mendo, Sonia/E-1095-2011; Pavlaki, Maria/C-8377-2012; Araujo, Mario/C-4980-2015; Silva, Ana Rita/U-9780-2018; Cardoso, Diogo/V-2286-2018; Soares, Amadeu/A-8304-2008</t>
  </si>
  <si>
    <t>Calado, Ricardo/0000-0002-1670-9335; Mendo, Sonia/0000-0001-5057-5660; Pavlaki, Maria/0000-0003-3078-7927; Araujo, Mario/0000-0003-2552-6853; Silva, Ana Rita/0000-0003-0689-639X; Loureiro, Susana/0000-0002-5393-9623; Cardoso, Diogo/0000-0001-5754-0743; Soares, Amadeu/0000-0003-0879-9470</t>
  </si>
  <si>
    <t>Portuguese Science and Technology Foundation-FCT (Fundacao para a Ciencia e Tecnologia) [SFRH/BD/70906/2010, FCOMP-01-0124-FEDER-00008600]; FEDER through COMPETE- Programa Operacional Factores de Competitividade; FCT/MEC [UID/AMB/50017/2013]; FEDER; Bolsista CAPES/BRASIL [106/2013]; project Sustainable Use of Marine Resources - MARES - QREN, Mais Centro - Programa Operacional Regional do Centro e UE/Fundo Europeu de Desenvolvimento Regional [BPD/UI88/2886/2013, CENTRO-07-ST24-FEDER-002033]; Fundação para a Ciência e a Tecnologia [SFRH/BD/70906/2010] Funding Source: FCT</t>
  </si>
  <si>
    <t>Portuguese Science and Technology Foundation-FCT (Fundacao para a Ciencia e Tecnologia)(Fundacao para a Ciencia e a Tecnologia (FCT)); FEDER through COMPETE- Programa Operacional Factores de Competitividade; FCT/MEC(Fundacao para a Ciencia e a Tecnologia (FCT)); FEDER(European Union (EU)Spanish Government); Bolsista CAPES/BRASIL; project Sustainable Use of Marine Resources - MARES - QREN, Mais Centro - Programa Operacional Regional do Centro e UE/Fundo Europeu de Desenvolvimento Regional; Fundação para a Ciência e a Tecnologia(Fundacao para a Ciencia e a Tecnologia (FCT))</t>
  </si>
  <si>
    <t>This study was supported by a PhD grant (SFRH/BD/70906/2010) attributed to Maria Pavlaki by the Portuguese Science and Technology Foundation-FCT (Fundacao para a Ciencia e Tecnologia), by funding FEDER through COMPETE- Programa Operacional Factores de Competitividade and by National funding through the Portuguese Science and Technology Foundation-FCT (Fundacao para a Ciencia e Tecnologia), within the research project FUTRICA (FCOMP-01-0124-FEDER-00008600). CESAM (UID/AMB/50017/2013) received financial support by FCT/MEC through national funds, and the co-funding by the FEDER, within the PT2020 Partnership Agreement and Compete 2020. Susana Loureiro was Bolsista CAPES/BRASIL, Project No. 106/2013. Andreia Cruz was funded by the post-doctoral grant (BPD/UI88/2886/2013), from the project Sustainable Use of Marine Resources - MARES (CENTRO-07-ST24-FEDER-002033), funded by QREN, Mais Centro - Programa Operacional Regional do Centro e UE/Fundo Europeu de Desenvolvimento Regional. The authors would like to thank Odysseas Paxinos and Goncalo Domingues for their help with maintaining the copepod cultures, Pedro Aires and Thiago Piassa for their help with capturing the shrimps, Dr. Rui Rocha for his help with identifying the sole eggs' developmental stages and Dr. Renata Serradeiro for her availability in providing sole eggs whenever needed.</t>
  </si>
  <si>
    <t>10.1016/j.envpol.2016.05.010</t>
  </si>
  <si>
    <t>DQ1KX</t>
  </si>
  <si>
    <t>WOS:000378961000023</t>
  </si>
  <si>
    <t>Capillo, G; Silvestro, S; Sanfilippo, M; Fiorino, E; Giangrosso, G; Ferrantelli, V; Vazzana, I; Faggio, C</t>
  </si>
  <si>
    <t>Capillo, Gioele; Silvestro, Serena; Sanfilippo, Marilena; Fiorino, Emma; Giangrosso, Giuseppe; Ferrantelli, Vincenzo; Vazzana, Irene; Faggio, Caterina</t>
  </si>
  <si>
    <t>Assessment of Electrolytes and Metals Profile of the Faro Lake (Capo Peloro Lagoon, Sicily, Italy) and Its Impact on Mytilus galloprovincialis</t>
  </si>
  <si>
    <t>CHEMISTRY &amp; BIODIVERSITY</t>
  </si>
  <si>
    <t>Mytilus galloprovincialis; haemolymph; electrolytes; heavy metals; Capo Peloro Lagoon</t>
  </si>
  <si>
    <t>CLAM RUDITAPES-PHILIPPINARUM; LONG-TERM EXPOSURE; EARLY-LIFE STAGES; HEAVY-METALS; ENVIRONMENTAL-POLLUTION; HEMOCYTE PARAMETERS; TROPHIC CONDITIONS; OXIDATIVE STRESS; MUSSEL; HEMOLYMPH</t>
  </si>
  <si>
    <t>Faro Lake is a coastal meromictic lagoon with singular characteristics in the Mediterranean (Messina, Sicily - Italy). It is part of the Natural Oriented Reserve of Capo Peloro (38 degrees 15 57 N; 15 degrees 37 50 E). In this area, traditional mollusc farming activity persists, producing autochthonous' mussels. This study reports of the Mytilus galloprovincialis haemolymph chemical profile and water variables determination of 1 year-lasted survey (April 2016 - March 2017). The determinations of electrolytes (Na+, Cl-, K+, Ca2+, Mg2+, P inorganic) and heavy metals in both Faro lake water and haemolymph have been carried out. Heavy metals are elements with high density and are quite toxic in low concentrations, such as Aluminum (Al), Arsenic (As), Cobalt (Co), Chrome (Cr), Copper (Cu), Iron (Fe), Magnesium (Mg), Manganese (Mn), Lead (Pb), Tin (Sn), Zinc (Zn). Heavy metals toxicity depends, principally, on bioaccumulation processes. M. galloprovincialis is a good bio-indicator, ideal for assess levels of environmental pollution thanks to its biological, ecological and physiological characteristics. The results of this study showed a typical fluctuation range in haemolymph and water parameters, related to the water ones; chemical-physical parameters affected the ions (electrolytes and metals) levels in some period of the year. The study reports the interactions between biotic (Mytilus galloprovincialis) and abiotic (water parameters) components of Faro Lake, and creates reference data for further future study on the same area or on similar ones.</t>
  </si>
  <si>
    <t>[Capillo, Gioele; Silvestro, Serena; Sanfilippo, Marilena; Fiorino, Emma; Faggio, Caterina] Univ Messina, Dept Chem Biol Pharmaceut &amp; Environm Sci, Viale Ferdinando Stagno Alcontres 31, I-98166 Messina, Italy; [Giangrosso, Giuseppe; Ferrantelli, Vincenzo; Vazzana, Irene] Ist Zooprofilatt Sperimentale Sicilia, Via Gino Marinuzzi 3, I-90129 Palermo, Italy</t>
  </si>
  <si>
    <t>University of Messina; IZS Sicilia</t>
  </si>
  <si>
    <t>Faggio, C (corresponding author), Univ Messina, Dept Chem Biol Pharmaceut &amp; Environm Sci, Viale Ferdinando Stagno Alcontres 31, I-98166 Messina, Italy.</t>
  </si>
  <si>
    <t>cfaggio@unime.it</t>
  </si>
  <si>
    <t>vazzana, irene/P-6774-2015; Capillo, Gioele/D-1238-2016; Sanfilippo, Marilena/M-1247-2019; Silvestro, Serena/AAA-5497-2019; Sanfilippo, Marilena/C-9710-2016; Ferrantelli, Vincenzo/P-2827-2015</t>
  </si>
  <si>
    <t>Sanfilippo, Marilena/0000-0003-2327-5827; Ferrantelli, Vincenzo/0000-0002-4911-5074; Capillo, Gioele/0000-0002-2002-1138</t>
  </si>
  <si>
    <t>1612-1872</t>
  </si>
  <si>
    <t>1612-1880</t>
  </si>
  <si>
    <t>CHEM BIODIVERS</t>
  </si>
  <si>
    <t>Chem. Biodivers.</t>
  </si>
  <si>
    <t>10.1002/cbdv.201800044</t>
  </si>
  <si>
    <t>GI0PT</t>
  </si>
  <si>
    <t>WOS:000434072600009</t>
  </si>
  <si>
    <t>Zheng, RY; Liu, YR; Zhang, ZH</t>
  </si>
  <si>
    <t>Zheng, Renyu; Liu, Yarong; Zhang, Zhaohui</t>
  </si>
  <si>
    <t>Trophic transfer of heavy metals through aquatic food web in the largest mangrove reserve of China</t>
  </si>
  <si>
    <t>Mangrove; Aquatic food web; Heavy metal; Stable carbon and nitrogen isotope; Trophic transfer</t>
  </si>
  <si>
    <t>SPARTINA-ALTERNIFLORA; PHRAGMITES-AUSTRALIS; BEIBU GULF; BAY; SEDIMENTS; WETLAND; ACCUMULATION; FISH; ZINC; BIOMAGNIFICATION</t>
  </si>
  <si>
    <t>Understanding the mechanism of trophic transfer of heavy metal through the aquatic food web is critical to ecological exposure risk assessments in mangrove ecosystems. Zhanjiang Mangrove National Nature Reserve (ZMNNR) is the largest and biologically richest mangrove reserve in China, but has been exposed to heavy metal pollutants caused by the progressive industrialization and urbanization. We collected a variety of aquatic con-sumers, and primary producers, as well as sediments from the ZMNNR and analyzed them for heavy metal (Cd, Cr, Cu, Ni, Pb and Zn) concentrations, and for both 813C and 815N values to establish the trophic levels.The trophic magnification factors (TMF) of Cd, Cu and Zn are 0.19 (p &lt; 0.01), 0.07 (p &lt; 0.01) and 0.33 (p &lt; 0.05), respectively, indicating significant biodilution in a simplified food web composed of bivalves, crustaceans and fish. There are also potential tendencies of biodilution for Cr, Ni and Pb. Comparison of heavy metals in representative fish and shrimp in the ZMNNR with those in worldwide mangroves indicate a low risk level for aquatic consumers in our ecosystem. Quantitative source tracking is conducted based on principal component analysis and cluster analysis, which indicate that Cr, Ni and Pb are mainly originated from natural geological processes, Cu and Zn from shrimp farming and agriculture activities, and Cd from the deposition of aerosol released by regional metal smelting industry.</t>
  </si>
  <si>
    <t>Donghai Lab, Zhoushan 316021, Peoples R China; [Zhang, Zhaohui] Zhejiang Univ, Inst Marine Chem &amp; Environm, Ocean Coll, 1 Zheda Rd, Zhoushan 316021, Peoples R China</t>
  </si>
  <si>
    <t>Donghai Laboratory; Zhejiang University</t>
  </si>
  <si>
    <t>Zhang, ZH (corresponding author), Zhejiang Univ, Inst Marine Chem &amp; Environm, Ocean Coll, 1 Zheda Rd, Zhoushan 316021, Peoples R China.</t>
  </si>
  <si>
    <t>zhaohui_zhang@zju.edu.cn</t>
  </si>
  <si>
    <t>Yan, Lu/KHW-7015-2024</t>
  </si>
  <si>
    <t>Zhang, Zhaohui/0000-0001-6316-326X</t>
  </si>
  <si>
    <t>Science Foundation of Donghai Laboratory; [DH-2022KF0202]</t>
  </si>
  <si>
    <t>Science Foundation of Donghai Laboratory;</t>
  </si>
  <si>
    <t>This research was supported by Science Foundation of Donghai Laboratory under Grant No. DH-2022KF0202. We are indebted to Dr. Filip Tack and two anonymous reviewers for their constructive criti-cisms and helpful comments. We are grateful to Dr. Tao Yang for the assistance in heavy metal analysis, Zichuan Wang, Yifei Xu and Jingyu Wang for sample processing, and Guangxuan Lin and Yongtian Chen for the assistance in field trips.</t>
  </si>
  <si>
    <t>10.1016/j.scitotenv.2023.165655</t>
  </si>
  <si>
    <t>Q5OB8</t>
  </si>
  <si>
    <t>WOS:001058004500001</t>
  </si>
  <si>
    <t>El-Serehy, HA; Aboulela, H; Al-Misned, F; Kaiser, M; Al-Rasheid, K; El-Din, HE</t>
  </si>
  <si>
    <t>El-Serehy, Hamed A.; Aboulela, Hamdy; Al-Misned, Fahad; Kaiser, Mona; Al-Rasheid, Khaled; El-Din, Heba Ezz</t>
  </si>
  <si>
    <t>Heavy Metals Contamination of a Mediterranean Coastal Ecosystem, Eastern Nile Delta, Egypt</t>
  </si>
  <si>
    <t>Heavy metals; sediment; water; bivalve; Port Said; Mediterranean Sea</t>
  </si>
  <si>
    <t>RIO-DE-JANEIRO; SEDIMENT CONTAMINATION; SPATIAL VARIATION; RIBEIRA BAY; FISH; POLLUTION; CADMIUM; MARINE; RISK; SEA</t>
  </si>
  <si>
    <t>The concentrations of Fe, Mn, Zn, Cu, Pb and Cd in bottom sediment and surface water in the Egyptian coastal waters along the Mediterranean Sea, and thence the soft tissues of the bivalve (Donax trunculus) were determined. The mean concentrations (mu g g(-1)) of heavy metals in bottom sediment were as follows: Fe: 1748.2-2030, Mn: 191.4-254.3, Zn: 28-42.2, Cu: 4-9.4, Pb: 18.4-24.8, Cd: 1.4-2.3, and in surface water: Fe: 744-896, Mn: 162-198, Zn: 242.6-300, Cu: 12.6-19.3, Pb: 31.3-56, Cd: 0.8-3.1, while in soft tissues of the bivalve D. trunculus, the mean concentrations (mu g g(-1) dry weight) were as follows: Fe: 47.2-66.4, Mn: 4.8-8.4, Zn: 22-36.4, Cu: 3.2-4.8, Pb: 5.6-9.2, Cd: 1.6-2.4. The present study has revealed that the concentrations of Cd and Pb in the soft tissues of the edible bivalve D. trunculus were above the maximum acceptable concentrations for human consumption proposed by FAO/WHO, EU. Moreover, estimation of concentration factor (C-f) for the studied metals in the soft tissues of the edible bivalve D. trunculus recorded high accumulation rates of Cd and Cu. The present study confirmed that, the examined bivalve species was associated with enhanced metal content in its soft tissues and was not safe within the limits for human consumption. Water and bottom sediments showed apparent seasonal variations of metals accumulation with maximum concentrations during summer and winter, respectively. Mean metal concentrations were found to be higher in some of the selected five sites than others, but, these differences in heavy metal concentrations were not statistically significant (P&gt;0.05), suggesting that common and main anthropogenic sources contributing to the heavy metal pollution at this Egyptian coastal area on the Mediterranean sea. The results obtained in this study were compared with those reported in earlier studies and concluded that, the area of the present study was in general not considered a metal polluted area according to the OME and EPA classification criteria. However, concentrations of Cd and especially, Pb did give some cause for concern, and warrants a continued monitoring programme for inorganic and chemical organic compounds in sediments, water, and biota along the Egyptian Mediterranean coasts.</t>
  </si>
  <si>
    <t>[El-Serehy, Hamed A.; Al-Misned, Fahad; Al-Rasheid, Khaled] King Saud Univ, Coll Sci, Dept Zool, Riyadh 11451, Saudi Arabia; [Aboulela, Hamdy] Suez Canal Univ, Fac Sci, Dept Marine Sci, Ismailia, Egypt; [Kaiser, Mona] Suez Canal Univ, Fac Sci, Dept Geol, Ismailia, Egypt; [El-Din, Heba Ezz] Port Said Univ, Fac Sci, Dept Marine Sci, Port Said, Egypt</t>
  </si>
  <si>
    <t>King Saud University; Egyptian Knowledge Bank (EKB); Suez Canal University; Egyptian Knowledge Bank (EKB); Suez Canal University; Egyptian Knowledge Bank (EKB); Port Said University</t>
  </si>
  <si>
    <t>El-Serehy, HA (corresponding author), King Saud Univ, Coll Sci, Dept Zool, POB 2455, Riyadh 11451, Saudi Arabia.</t>
  </si>
  <si>
    <t>helserehy@ksu.edu.sa</t>
  </si>
  <si>
    <t>AL-Rasheid, Khaled/C-2486-2008; El-Serehy, Hamed/GVT-7938-2022</t>
  </si>
  <si>
    <t>King Saud University, Distinguished Scientist Fellowship Program, Riyadh, Saudi Arabia</t>
  </si>
  <si>
    <t>The authors would like to acknowledge the support of King Saud University, Distinguished Scientist Fellowship Program, Riyadh 11451, Saudi Arabia.</t>
  </si>
  <si>
    <t>10.4194/1303-2712-v12_4_03</t>
  </si>
  <si>
    <t>132FA</t>
  </si>
  <si>
    <t>WOS:000318052100003</t>
  </si>
  <si>
    <t>Molnár, G; Gyori, J; Salánki, J; Rózsa, KS</t>
  </si>
  <si>
    <t>Cadmium ions modulate GABA induced currents in molluscan neurons</t>
  </si>
  <si>
    <t>GAGA; Cd2+; Cl--current; Lymnaea stagnalis L.</t>
  </si>
  <si>
    <t>RECEPTOR-CHANNEL COMPLEX; ROOT GANGLION NEURONS; LYMNAEA-STAGNALIS L; INWARD CURRENT; CELLS; CONDUCTANCE; MERCURY; CATIONS; RETINA; COPPER</t>
  </si>
  <si>
    <t>The effect of Cd2+, as one of the most widespread toxic environmental pollutants, was studied on gamma-aminobutyric acid (GABA) evoked responses of identified neurons in the central nervous system of the pond snail, Lymnaea stagnalis L. (Gastropoda). In the experiments, the modulation of the action of GABA both on neuronal activity (current clamp recording) and on the a GABA activated membrane Cl--current (voltage clamp studies) has been shown. It was found that: 1. GABA could evoked three different various types of response in GAGA sensitive neurons: i) hyperpolarization with strong inhibition of ongoing spike activity, ii) short depolarization with an increase of spike the activity, iii) biphasic respone with a short excitation followed by a more prolonged long inhibition. 2. In low-Cl solution the inhibitory action of GABA was reduced or eliminated, but the excitatory one was not or only moderately affected. 3. CdCl2 inhibited the GABA evoked hyperpolarization, but left intact or only slightly reduced the excitation evoked by GABA. 4. The inward Cl--current evoked by GABA at a -75 mV holding potential was slightly augmented in the presence of I mumol/l Cd2+, but was reduced or blocked at higher cadmium concentrations. The effect of Cd2+ was concentration and time dependent. 5. Parallel with reducing the GABA evoked current, cadmium increased both the time to peak and the half inactivation time of the current. 6. CdCl2 alone, in 50 mumol/l concentration, induced a 1-2 nA inward current. The blocking effect of cadmium on GABA activated inhibitory processes can be an important component of the neuro-toxic effects of this heavy metal ion.</t>
  </si>
  <si>
    <t>Hungarian Acad Sci, Balaton Limnol Res Inst, H-8237 Tihany, Hungary</t>
  </si>
  <si>
    <t>Hungarian Research Network; HUN-REN Balaton Limnological Research Institute; Hungarian Academy of Sciences; HUN-REN Centre for Ecological Research</t>
  </si>
  <si>
    <t>Salánki, J (corresponding author), Hungarian Acad Sci, Balaton Limnol Res Inst, H-8237 Tihany, Hungary.</t>
  </si>
  <si>
    <t>salanki@tres.blki.hu</t>
  </si>
  <si>
    <t>Győri, János/GLT-0318-2022</t>
  </si>
  <si>
    <t>AKADEMIAI KIADO RT</t>
  </si>
  <si>
    <t>PRIELLE K U 19, PO BOX 245,, H-1117 BUDAPEST, HUNGARY</t>
  </si>
  <si>
    <t>10.1556/ABiol.53.2002.1-2.12</t>
  </si>
  <si>
    <t>546MG</t>
  </si>
  <si>
    <t>WOS:000175277400012</t>
  </si>
  <si>
    <t>Krause-Nehring, J; Brey, T; Thorrold, SR</t>
  </si>
  <si>
    <t>Krause-Nehring, Jacqueline; Brey, Thomas; Thorrold, Simon R.</t>
  </si>
  <si>
    <t>Centennial records of lead contamination in northern Atlantic bivalves (Arctica islandica)</t>
  </si>
  <si>
    <t>Arctica islandica; Bivalve; Bioarchive; Lead pollution; Temperate northern Atlantic</t>
  </si>
  <si>
    <t>MYTILUS-EDULIS; POLLUTION; SHELL; OCEAN; GASOLINE; HISTORY; CORALS; SEA; SCLEROSPONGES; VARIABILITY</t>
  </si>
  <si>
    <t>In the study, we establish centennial records of anthropogenic lead pollution at different locations in the North Atlantic (Iceland, USA, and Europe) by means of lead deposited in shells of the long-lived bivalve Arctica islandica. Due to local oceanographic and geological conditions we conclude that the lead concentrations in the Icelandic shell reflect natural influxes of lead into Icelandic waters. In comparison, the lead profile of the US shell is clearly driven by anthropogenic lead emissions transported from the continent to the ocean by westerly surface winds. Lead concentrations in the European North Sea shell, in contrast, are dominantly driven by local lead sources resulting in a much less conspicuous 1970s gasoline lead peak. In conclusion, the lead profiles of the three shells are driven by different influxes of lead, and yet, all support the applicability of Pb/Ca analyses of A. islandica shells to reconstruct location specific anthropogenic lead pollution. (C) 2011 Elsevier Ltd. All rights reserved.</t>
  </si>
  <si>
    <t>[Krause-Nehring, Jacqueline; Brey, Thomas] Alfred Wegener Inst Polar &amp; Marine Res, D-27570 Bremerhaven, Germany; [Thorrold, Simon R.] Woods Hole Oceanog Inst, Biol Dept MS 50, Woods Hole, MA 02543 USA</t>
  </si>
  <si>
    <t>Helmholtz Association; Alfred Wegener Institute, Helmholtz Centre for Polar &amp; Marine Research; Woods Hole Oceanographic Institution</t>
  </si>
  <si>
    <t>Krause-Nehring, J (corresponding author), Alfred Wegener Inst Polar &amp; Marine Res, Am Handelshafen 12, D-27570 Bremerhaven, Germany.</t>
  </si>
  <si>
    <t>jacqueline.krause-nehring@awi.de</t>
  </si>
  <si>
    <t>Thorrold, Simon/B-7565-2012</t>
  </si>
  <si>
    <t>Thorrold, Simon/0000-0002-1533-7517; Brey, Thomas/0000-0002-6345-2851</t>
  </si>
  <si>
    <t>Earth System Science Research School (ESSReS), an initiative of the Helmholtz Association of German research centres (HGF) at the Alfred Wegener Institute for Polar and Marine Research; National Science Foundation [OCE 0823268]</t>
  </si>
  <si>
    <t>Earth System Science Research School (ESSReS), an initiative of the Helmholtz Association of German research centres (HGF) at the Alfred Wegener Institute for Polar and Marine Research; National Science Foundation(National Science Foundation (NSF))</t>
  </si>
  <si>
    <t>This study was supported by the Earth System Science Research School (ESSReS), an initiative of the Helmholtz Association of German research centres (HGF) at the Alfred Wegener Institute for Polar and Marine Research, as well as by the National Science Foundation (grant OCE 0823268). We gratefully acknowledge the contribution of W. Ambrose, W. Locke, S. Birdwhistell, J. Blusztajn, and A. Chute, as well as the support of K. Beyer and T. Rosche.</t>
  </si>
  <si>
    <t>10.1016/j.marpolbul.2011.11.028</t>
  </si>
  <si>
    <t>900CS</t>
  </si>
  <si>
    <t>WOS:000300864800021</t>
  </si>
  <si>
    <t>Solberg, CB; Sæthre, L; Julshamn, K</t>
  </si>
  <si>
    <t>The effect of copper-treated net pens on farmed salmon (Salmo salar) and other marine organisms and sediments</t>
  </si>
  <si>
    <t>3rd International Conference on Marine Pollution and Ecotoxicology</t>
  </si>
  <si>
    <t>JUN 10-14, 2001</t>
  </si>
  <si>
    <t>HONG KONG, PEOPLES R CHINA</t>
  </si>
  <si>
    <t>copper-treated net pens; copper content; biological organisms; sediments</t>
  </si>
  <si>
    <t>HEAVY-METALS; COHO SALMON; INDICATOR; ESTUARIES; CADMIUM</t>
  </si>
  <si>
    <t>Samples of Atlantic salmon (Salmo salar), saithe (Pollacius virens), blue mussel (Mytilus edulis), brown seaweed (Ascophyllum nodosum) and sediment were collected from six different fish farms. Five of the farms used net pens treated with copper-containing coatings, whereas one farm did not use copper-containing coating (this was used as a reference location). Samples of muscle, liver and gills of Atlantic salmon and saithe, blue mussel and brown seaweed were freeze dried, homogenised, wet digested and analysed for copper by flame atomic absorption spectrometry. The results showed no significant differences in copper concentrations among the samples from the different locations. The copper contents of some of the samples appeared to be in the upper part of the normal concentration range. From a nutritional point of view, the use of copper-coatings on net pens did not affect the quality of the seafood products either within, or around the net pen. (C) 2002 Elsevier Science Ltd. All rights reserved.</t>
  </si>
  <si>
    <t>Inst Nutr, Directorate Fisheries, N-5084 Bergen, Norway; Univ Bergen, Dept Chem, N-5007 Bergen, Norway</t>
  </si>
  <si>
    <t>Inst Nutr, Directorate Fisheries, POB 185 Sentrum, N-5084 Bergen, Norway.</t>
  </si>
  <si>
    <t>kare.julshamn@nutr.fiskeridir.no</t>
  </si>
  <si>
    <t>1-12</t>
  </si>
  <si>
    <t>PII S0025-326X(01)00296-X</t>
  </si>
  <si>
    <t>599LP</t>
  </si>
  <si>
    <t>WOS:000178336300016</t>
  </si>
  <si>
    <t>Lompré, JS; De Marchi, L; Pinto, J; Soares, AMVM; Pretti, C; Chielini, F; Pereira, E; Freitas, R</t>
  </si>
  <si>
    <t>Lompre, Julieta Sturla; De Marchi, Lucia; Pinto, Joao; Soares, Amadeu M. V. M.; Pretti, Carlo; Chielini, Federica; Pereira, Eduarda; Freitas, Rosa</t>
  </si>
  <si>
    <t>Effects of Carbon Nanoparticles and Chromium Combined Exposure in Native (Ruditapes decussatus) and Invasive (Ruditapes philippinarum) Clams</t>
  </si>
  <si>
    <t>bivalves; chromium; carbon nanotubes; bioaccumulation; oxidative stress; cellular biomarkers; multiple contaminants</t>
  </si>
  <si>
    <t>OXIDATIVE STRESS; ENGINEERED NANOPARTICLES; HEXAVALENT CHROMIUM; MYTILUS-GALLOPROVINCIALIS; MULTIBIOMARKER APPROACH; TOXICITY; WATER; NANOTUBES; CHOLINESTERASE; NANOMATERIALS</t>
  </si>
  <si>
    <t>Studies have described the occurrence of nanoparticles (NPs) in aquatic ecosystems, with particular attention to the widely commercialized carbon nanotubes (CNTs). Their presence in the environment raises concerns, especially regarding their toxicity when co-occurring with other pollutants such as metals. In the present study, changes to the metabolic capacity, oxidative, and neurologic status were evaluated in the presence of carboxylated multi-walled CNTs and chromium (Cr(III)) using two of the most ecologically and economically relevant filter feeder organisms: the clam species Ruditapes decussatus and R. philippinarum. Results indicated that although Cr, either alone or in combination with CNTs, was found in a similar concentration level in both species, a species-specific Cr accumulation was observed, with higher values in R. decussatus in comparison with R. philippinarum. Inhibition of antioxidant defenses and neurotoxic effects were detected only in R. philippinarum. The interaction between contaminants seems to have no effect in terms of antioxidant enzyme activities and neuro status. Nevertheless, synergistic activation of responses to both contaminants may have altered the metabolic capacity of bivalves, particularly evident in R. decussatus. While both clams are tolerant to both contaminants (alone and together), they showed a relevant accumulation capacity, which may represent a possible contaminant transfer to humans.</t>
  </si>
  <si>
    <t>[Lompre, Julieta Sturla] Natl Patagonian Ctr, Ctr Study Marine Syst CESIMAR, CONICET, Bv Almte Brown 2915, RA-9120 Puerto Madryn, Argentina; [Lompre, Julieta Sturla; De Marchi, Lucia; Soares, Amadeu M. V. M.; Freitas, Rosa] Univ Aveiro, Dept Biol, P-3810193 Aveiro, Portugal; [Lompre, Julieta Sturla; De Marchi, Lucia; Soares, Amadeu M. V. M.; Freitas, Rosa] Univ Aveiro, CESAM, P-3810193 Aveiro, Portugal; [Pinto, Joao; Pereira, Eduarda] Univ Aveiro, Dept Chem, P-3810193 Aveiro, Portugal; [Pinto, Joao; Pereira, Eduarda] Univ Aveiro, LAQV REQUIMTE, P-3810193 Aveiro, Portugal; [Pretti, Carlo] Interuniv Consortium Marine Biol Leghorn G Bacci, I-57128 Livorno, Italy; [Chielini, Federica] Univ Pisa, Dept Chem &amp; Ind Chem, Udr INSTM Pisa, I-56126 Pisa, Italy</t>
  </si>
  <si>
    <t>Consejo Nacional de Investigaciones Cientificas y Tecnicas (CONICET); Universidade de Aveiro; Universidade de Aveiro; Universidade de Aveiro; Universidade de Aveiro; Consorzio per il Centro Interuniversitario di Biologia Marina ed Ecologia Applicata G. Bacci; University of Pisa</t>
  </si>
  <si>
    <t>Freitas, R (corresponding author), Univ Aveiro, Dept Biol, P-3810193 Aveiro, Portugal.;Freitas, R (corresponding author), Univ Aveiro, CESAM, P-3810193 Aveiro, Portugal.</t>
  </si>
  <si>
    <t>rosafreitas@ua.pt</t>
  </si>
  <si>
    <t>Sturla Lompré, Julieta/ITU-5021-2023; Pretti, Carlo/K-5948-2017; Pinto, João/ABF-8890-2021; Pereira, Eduarda/A-5907-2012; De Marchi, Lucia/ABG-1246-2021; Soares, Amadeu/A-8304-2008; Freitas, Rosa/A-7539-2012</t>
  </si>
  <si>
    <t>Soares, Amadeu/0000-0003-0879-9470; STURLA LOMPRE, Julieta/0000-0002-3378-1179; De Marchi, Lucia/0000-0001-6899-4476; Freitas, Rosa/0000-0003-4900-3897; Pinto, Joao/0000-0002-6175-2906</t>
  </si>
  <si>
    <t>Portuguese Science Foundation (Fundacao para a Ciencia e a Tecnologia, FCT) [2020.05323.BD]; CESAM [UIDP/50017/2020+UIDB/50017/2020 + LA/P/0094/2020]; REQUIMTE [UIDB/50006/2020]</t>
  </si>
  <si>
    <t>Portuguese Science Foundation (Fundacao para a Ciencia e a Tecnologia, FCT)(Fundacao para a Ciencia e a Tecnologia (FCT)); CESAM; REQUIMTE</t>
  </si>
  <si>
    <t>Joao Pinto benefited from a Ph.D. grant (2020.05323.BD) by the National Fundsthrough the Portuguese Science Foundation (Fundacao para a Ciencia e a Tecnologia, FCT). Thanksare due to CESAM and REQUIMTE (UIDP/50017/2020+UIDB/50017/2020 + LA/P/0094/2020 and UIDB/50006/2020, respectively)</t>
  </si>
  <si>
    <t>10.3390/nano13040690</t>
  </si>
  <si>
    <t>9L8BZ</t>
  </si>
  <si>
    <t>WOS:000941770900001</t>
  </si>
  <si>
    <t>Nunes, M; Coelho, JP; Cardoso, PG; Pereira, ME; Duarte, AC; Pardal, MA</t>
  </si>
  <si>
    <t>Nunes, M.; Coelho, J. P.; Cardoso, P. G.; Pereira, M. E.; Duarte, A. C.; Pardal, M. A.</t>
  </si>
  <si>
    <t>The macrobenthic community along a mercury contamination in a temperate estuarine system (Ria de Aveiro, Portugal)</t>
  </si>
  <si>
    <t>Mercury; Macrobenthic community; Intertidal areas; Ria de Aveiro</t>
  </si>
  <si>
    <t>COASTAL LAGOON RIA; CALCASIEU ESTUARY; TROPHIC STRUCTURE; SEDIMENTS; ACCUMULATION; GRADIENTS; ISOPODA; SHORE</t>
  </si>
  <si>
    <t>Mercury is a widely distributed environmental pollutant and a toxic element to all living organisms. This study represents an attempt to evaluate its correlation with the macrobenthic community structure in a temperate estuarine system, the Ria de Aveiro (Portugal). The macrobenthic community structure showed significant differences along the mercury gradient. Overall, the increase of mercury contamination was associated with reduced total abundance, lower species richness, and dominance of tolerant taxa. The polychaetes Hediste diversicolor and Alkmaria romijni, and the isopod Cyathura carinata were associated with high levels of mercury in sediment, while the bivalves Scrobicularia plana, Cerastoderma edule and Abra alba showed higher density in lesser contaminated sites. Furthermore, highly contaminated sites showed substantially lower abundances of surface-deposit feeders and herbivores, and higher abundances of subsurface-deposit feeders and omnivores. Salinity was also a significant factor affecting the community, being responsible for seasonal variations in the macrobenthic assemblages. (C) 2008 Elsevier B.V. All rights reserved.</t>
  </si>
  <si>
    <t>[Nunes, M.; Cardoso, P. G.; Pardal, M. A.] Univ Coimbra, Dept Zool, IMAR Inst Marine Res, P-3004517 Coimbra, Portugal; [Coelho, J. P.; Pereira, M. E.; Duarte, A. C.] Univ Aveiro, Dept Chem, P-3810193 Aveiro, Portugal; [Coelho, J. P.; Pereira, M. E.; Duarte, A. C.] Univ Aveiro, CESAM, P-3810193 Aveiro, Portugal</t>
  </si>
  <si>
    <t>Universidade de Coimbra; Universidade de Aveiro; Universidade de Aveiro</t>
  </si>
  <si>
    <t>Nunes, M (corresponding author), Univ Coimbra, Dept Zool, IMAR Inst Marine Res, P-3004517 Coimbra, Portugal.</t>
  </si>
  <si>
    <t>mnc@ci.uc.pt</t>
  </si>
  <si>
    <t>Pereira, Eduarda/A-5907-2012; Coelho, João/C-1699-2008; Duarte, Armando/C-1424-2008; Teixeira, Patricia/I-6863-2013; Pardal, Miguel Angelo/C-3984-2009; Cardoso, Margarida/R-8288-2017</t>
  </si>
  <si>
    <t>Coelho, Joao Pedro/0000-0003-1975-8308; Duarte, Armando/0000-0002-4868-4099; Teixeira, Patricia/0000-0003-4653-4705; Pereira, Eduarda/0000-0002-6046-5243; Pardal, Miguel Angelo/0000-0001-6048-7007; Cardoso, Margarida/0000-0001-9552-1703</t>
  </si>
  <si>
    <t>10.1016/j.scitotenv.2008.07.009</t>
  </si>
  <si>
    <t>WOS:000260941300020</t>
  </si>
  <si>
    <t>Sudsandee, S; Tantrakarnapa, K; Tharnpoophasiam, P; Limpanont, Y; Mingkhwan, R; Worakhunpiset, S</t>
  </si>
  <si>
    <t>Sudsandee, Suntorn; Tantrakarnapa, Kraichat; Tharnpoophasiam, Prapin; Limpanont, Yanin; Mingkhwan, Ratchaneekorn; Worakhunpiset, Suwalee</t>
  </si>
  <si>
    <t>Evaluating health risks posed by heavy metals to humans consuming blood cockles (Anadara granosa) from the Upper Gulf of Thailand</t>
  </si>
  <si>
    <t>Heavy metals; Anadara granosa; Upper Gulf of Thailand; Health risk; Hazard quotient (HQ); Hazard index (HI)</t>
  </si>
  <si>
    <t>MUSSELS; MERCURY; POLLUTION; LEAD</t>
  </si>
  <si>
    <t>There is global concern about heavy metal contamination in the environment. Adverse health effects can be caused by heavy metals in contaminated food and water. Therefore, environmental monitoring studies and risk assessments should be conducted periodically. In this study, we measured levels of Cd, Cr, Cu, Hg, Mn, Ni, Pb, and Zn in blood cockles (Anadara granosa) collected from three locations in the Upper Gulf of Thailand. Hazard quotients and hazard indices were calculated to evaluate the health risks posed by heavy metals in consumed blood cockles. Heavy metal concentrations in all of the blood cockle samples were lower than the relevant food standards. The hazard quotients and hazard indices were &lt; 1 in all three sampling areas, indicating that adverse health effects were not likely to be caused by exposure to heavy metals in blood cockles over a human lifetime.</t>
  </si>
  <si>
    <t>[Sudsandee, Suntorn; Tantrakarnapa, Kraichat; Tharnpoophasiam, Prapin; Limpanont, Yanin; Mingkhwan, Ratchaneekorn; Worakhunpiset, Suwalee] Mahidol Univ, Fac Trop Med, Dept Social &amp; Environm Med, 420-6 Ratchathewi Rd, Bangkok 10400, Thailand</t>
  </si>
  <si>
    <t>Worakhunpiset, S (corresponding author), Mahidol Univ, Fac Trop Med, Dept Social &amp; Environm Med, 420-6 Ratchathewi Rd, Bangkok 10400, Thailand.</t>
  </si>
  <si>
    <t>suwalee.wor@mahidol.ac.th</t>
  </si>
  <si>
    <t>Tantrakarnapa, Kraichat/AAO-5663-2020; Sudsandee, Suntorn/ABH-8362-2022</t>
  </si>
  <si>
    <t>Tantrakarnapa, Kraichat/0000-0003-1943-6202</t>
  </si>
  <si>
    <t>10.1007/s11356-017-9014-5</t>
  </si>
  <si>
    <t>EX1PS</t>
  </si>
  <si>
    <t>WOS:000402997700006</t>
  </si>
  <si>
    <t>Gao, M; Klerks, PL; Wu, X; Chen, HX; Xie, LT</t>
  </si>
  <si>
    <t>Gao, Mi; Klerks, Paul L.; Wu, Xing; Chen, Hongxing; Xie, Lingtian</t>
  </si>
  <si>
    <t>Metal Concentrations in Sediment And Biota of the Huludao Coast in Liaodong Bay and Associated Human and Ecological Health Risks</t>
  </si>
  <si>
    <t>CHINESE BOHAI SEA; HEAVY-METALS; SPATIAL-DISTRIBUTION; POLLUTION STATUS; LEAD-EXPOSURE; CONTAMINATION; OYSTERS; WATER; ZINC; BIOACCUMULATION</t>
  </si>
  <si>
    <t>This study assessed the contamination extent and potential ecological and human health impacts for chromium (Cr), manganese (Mn), nickel (Ni), copper (Cu), zinc (Zn), cadmium (Cd), and lead (Pb) in sediments and indigenous benthic organisms along the coastal area of Huludao, China. We analyzed a total of eight species: two benthic fish species, two bivalves, two snails, and two decapod crustaceans. Cu, Zn, and Cd levels in sediment exceeded the Chinese marine sediment quality criteria. The geoaccumulation index was highest for Cd followed in a decreasing order by Zn, Pb, Cu, Ni, and Cr. Metal levels were highest in the four mollusk species. The oyster and veined rapa whelk had the highest bioaccumulation factors, indicating that these two species would be well suited for monitoring the metal pollution in this area. Our comparison of estimated daily intake values for human consumption of the seafood species to the Food and Agricultural Organization-recommended daily dietary allowances indicate potential health risks from the intake of Cd from all shellfish other than our crab species and Zn intake from oyster consumption. An analysis of target hazard quotients identified noncarcinogenic health risks from Cd (in all shellfish analyzed except for our crab species), Cu, and Zn (in oysters and veined rapa whelks). Moreover, an analysis of cancer risk from Pb ingestion detected an increased risk for consumption of all shellfish except for the crab species. Health risks seem especially pronounced for the consumption of oysters and the veined rapa whelks; a seafood advisory may be warranted for these mollusks.</t>
  </si>
  <si>
    <t>[Gao, Mi; Wu, Xing; Chen, Hongxing; Xie, Lingtian] Chinese Acad Sci, Inst Appl Ecol, Key Lab Pollut Ecol &amp; Environm Engn, 72 Wenhua Rd, Shenyang 110016, Liaoning, Peoples R China; [Klerks, Paul L.] Univ Louisiana Lafayette, Dept Biol, POB 42451, Lafayette, LA 70504 USA</t>
  </si>
  <si>
    <t>Chinese Academy of Sciences; Shenyang Institute of Applied Ecology, CAS; University of Louisiana Lafayette</t>
  </si>
  <si>
    <t>Xie, LT (corresponding author), Chinese Acad Sci, Inst Appl Ecol, Key Lab Pollut Ecol &amp; Environm Engn, 72 Wenhua Rd, Shenyang 110016, Liaoning, Peoples R China.</t>
  </si>
  <si>
    <t>xielt@iae.ac.cn</t>
  </si>
  <si>
    <t>Klerks, Paul/B-6135-2011; Xie, Lingtian/AAE-3407-2019; Chen, Hongxing/IVV-5109-2023</t>
  </si>
  <si>
    <t>Xie, Lingtian/0000-0002-6962-3957; Chen, Hongxing/0000-0002-1413-6051</t>
  </si>
  <si>
    <t>National Natural Science Foundation of China Grant (NSFC) [31270549, 41303087]; Chinese Academy of Sciences</t>
  </si>
  <si>
    <t>National Natural Science Foundation of China Grant (NSFC); Chinese Academy of Sciences(Chinese Academy of Sciences)</t>
  </si>
  <si>
    <t>The authors thank Professor Peiwen Liang from the South China Sea Fishery Research Institute and Fangcan Chen from the Pearl River Fisheries Research Institute, Chinese Academy of Fishery Sciences, for their help with species identification. This work was financially supported by National Natural Science Foundation of China Grant (NSFC Nos. 31270549 and 41303087) and the One-Hundred Talent program of the Chinese Academy of Sciences to L. Xie.</t>
  </si>
  <si>
    <t>10.1007/s00244-016-0274-8</t>
  </si>
  <si>
    <t>DO7ZD</t>
  </si>
  <si>
    <t>WOS:000378000900010</t>
  </si>
  <si>
    <t>Zhan, JF; Wang, S; Li, F; Ji, CL; Wu, HF</t>
  </si>
  <si>
    <t>Zhan, Junfei; Wang, Shuang; Li, Fei; Ji, Chenglong; Wu, Huifeng</t>
  </si>
  <si>
    <t>Global characterization of dose-dependent effects of cadmium in clam Ruditapes philippinarum</t>
  </si>
  <si>
    <t>Benchmark dose; Cadmium; Dose-dependent effects; Ruditapes philippinarum; Transcriptomics</t>
  </si>
  <si>
    <t>MUSSEL MYTILUS-GALLOPROVINCIALIS; INTESTINAL-ABSORPTION; MARINE-ENVIRONMENT; OXIDATIVE STRESS; METAL POLLUTION; HEAVY-METALS; TOXICITY; APOPTOSIS; RESPONSES; CALCIUM</t>
  </si>
  <si>
    <t>Cadmium (Cd) is being frequently detected in marine organisms. However, dose-dependent effects of Cd challenged unraveling the toxicological mechanisms of Cd to marine organisms and developing biomarkers. Here, the dose-dependent effects of Cd on clams Ruditapes philippinarum following exposure to 5 doses of Cd (3, 9, 27, 81, 243 mg/L) were investigated using benchmark dose (BMD) method. By model fitting, calculation of BMD values was performed on transcriptomic profiles, metals concentrations, and antioxidant indices. Cd exposure induced not only significant Cd accumulation in clams, but also marked alterations of essential metals such as Ca, Cu, Zn, Mn, and Fe. Gene regulation posed little influence on essential metal homeostasis, indicated by poor enrichment of differentially expressed genes (DEGs) associated with metal binding and metal transport in lower concentrations of Cd-treated groups. BMD analysis on biological processes and pathways showed that peptide cross-linking was the most sensitive biological process to Cd exposure, followed by focal adhesion, ubiquitin mediated proteolysis, and apoptosis. Occurrence of apoptosis was also confirmed by TUENL-positive staining in gills and hepatopancreas of clams treated with Cd. Furthermore, many DEGs, such as transglutaminases (TGs), metallothionein (MT), STEAP2-like and laccase, which presented linear or monotonic curves and relatively low BMD values, were potentially preferable biomarkers in clams to Cd. Overall, BMD analysis on transcriptomic profiles, metals concentrations and biochemical endpoints unraveled the sensitiveness of key events in response to Cd treatments, which provided new insights in exploring the toxicological mechanisms of Cd in clams as well as biomarker selection. (C) 2021 Elsevier Ltd. All rights reserved.</t>
  </si>
  <si>
    <t>[Zhan, Junfei; Wang, Shuang; Li, Fei; Ji, Chenglong; Wu, Huifeng] Chinese Acad Sci, CAS Key Lab Coastal Environm Proc &amp; Ecol Remediat, Yantai Inst Coastal Zone Res YIC, Yantai 264003, Peoples R China; [Zhan, Junfei; Wang, Shuang; Li, Fei; Ji, Chenglong; Wu, Huifeng] YICCAS, Shandong Key Lab Coastal Environm Proc, Yantai 264003, Peoples R China; [Ji, Chenglong; Wu, Huifeng] Qingdao Natl Lab Marine Sci &amp; Technol, Lab Marine Fisheries Sci &amp; Food Prod Proc, Qingdao 266237, Peoples R China; [Li, Fei; Ji, Chenglong; Wu, Huifeng] Chinese Acad Sci, Ctr Ocean Mega Sci, Qingdao 266071, Peoples R China; [Zhan, Junfei; Wang, Shuang] Univ Chinese Acad Sci, Beijing 100049, Peoples R China</t>
  </si>
  <si>
    <t>Chinese Academy of Sciences; Yantai Institute of Coastal Zone Research, CAS; Laoshan Laboratory; Chinese Academy of Sciences; Chinese Academy of Sciences; University of Chinese Academy of Sciences, CAS</t>
  </si>
  <si>
    <t>Wu, HF (corresponding author), Chinese Acad Sci, CAS Key Lab Coastal Environm Proc &amp; Ecol Remediat, Yantai Inst Coastal Zone Res YIC, Yantai 264003, Peoples R China.;Wu, HF (corresponding author), YICCAS, Shandong Key Lab Coastal Environm Proc, Yantai 264003, Peoples R China.</t>
  </si>
  <si>
    <t>National Natural Science Foundation of China [42076164, 41676114]; Young Taishan Scholars Program of Shandong Province [tsqn201812115]</t>
  </si>
  <si>
    <t>National Natural Science Foundation of China(National Natural Science Foundation of China (NSFC)); Young Taishan Scholars Program of Shandong Province</t>
  </si>
  <si>
    <t>This research was supported by the grants from National Natural Science Foundation of China (42076164 and 41676114) and the Young Taishan Scholars Program of Shandong Province for Prof. Huifeng Wu (tsqn201812115).</t>
  </si>
  <si>
    <t>10.1016/j.envpol.2021.116443</t>
  </si>
  <si>
    <t>QR7DX</t>
  </si>
  <si>
    <t>WOS:000625376600033</t>
  </si>
  <si>
    <t>Zhang, L; Wang, LL; Song, LS; Zhao, JM; Qiu, LM; Dong, CH; Li, FM; Zhang, H; Yang, GP</t>
  </si>
  <si>
    <t>Zhang, Lei; Wang, Lingling; Song, Linsheng; Zhao, Jianmin; Qiu, Limei; Dong, Chaohua; Li, Fengmei; Zhang, Huan; Yang, Guanpin</t>
  </si>
  <si>
    <t>The involvement of HSP22 from bay scallop Argopecten irradians in response to heavy metal stress</t>
  </si>
  <si>
    <t>MOLECULAR BIOLOGY REPORTS</t>
  </si>
  <si>
    <t>HSP22; Argopecten irradians; Gene cloning; Biomarker; Heavy metals</t>
  </si>
  <si>
    <t>MESSENGER-RNA EXPRESSION; MUSSEL MYTILUS-EDULIS; COMMON MARINE MUSSEL; SHOCK-PROTEIN; MOLECULAR CHAPERONES; CDNA CLONING; CADMIUM; OYSTER; GENES; HEAT-SHOCK-PROTEIN-70</t>
  </si>
  <si>
    <t>Heat shock protein 22 (HSP22) is an important member of small heat shock protein (sHSP) subfamily which plays a key role in the process of protecting cells, facilitating the folding of nascent peptides, and responding to stress. In the present study, the cDNA of HSP22 was cloned from Argopecten irradians (designated as AiHSP22) by rapid amplification cDNA end (RACE) based on the expressed sequence tags (ESTs). The full-length cDNA of AiHSP22 was of 1,112 bp, with an open reading frame of 588 bp encoding a polypeptide of 195 amino acids. The deduced amino acid sequence of AiHSP22 showed high similarity to previously identified HSP22s. The expression patterns of AiHSP22 mRNA in different tissues and in haemocytes of scallops exposed to Cd2+, Pb2+ or Cu2+ were investigated by real-time quantitative RT-PCR. The mRNA of AiHSP22 was constitutively expressed in all examined tissues, including haemocyte, muscle, kidney, gonad, gill and heart. The expression level in heart and muscle was higher than that in other tissues. The mRNA level of AiHSP22 in haemocytes was up-regulated after a 10 days exposure of scallops to Cu2+, Pb2+ and Cd2+. However, the expression of AiHSP22 did not increase linearly along with the rise of heavy metal concentration. Different concentrations of the same metal resulted in different effects on AiHSP22 expression. The sensitive response of AiHSP22 to Cu2+, Pb2+ and Cd2+ stress indicated that it could be developed as an indicator of exposure to heavy metals for the pollution monitoring programs in aquatic environment.</t>
  </si>
  <si>
    <t>[Zhang, Lei; Dong, Chaohua; Yang, Guanpin] Ocean Univ China, Coll Marine Life, Qingdao 266003, Peoples R China; [Zhang, Lei; Wang, Lingling; Song, Linsheng; Zhao, Jianmin; Qiu, Limei; Dong, Chaohua; Li, Fengmei; Zhang, Huan] Chinese Acad Sci, Key Lab Expt Marine Biol, Inst Oceanol, Qingdao 266071, Peoples R China</t>
  </si>
  <si>
    <t>Ocean University of China; Chinese Academy of Sciences; Institute of Oceanology, CAS</t>
  </si>
  <si>
    <t>Wang, LL (corresponding author), Chinese Acad Sci, Key Lab Expt Marine Biol, Inst Oceanol, 7 Nanhai Rd, Qingdao 266071, Peoples R China.</t>
  </si>
  <si>
    <t>wanglingling@ms.qdio.ac.cn; lshsong@ms.qdio.ac.cn</t>
  </si>
  <si>
    <t>Yang, Ya-Li/GYU-4320-2022</t>
  </si>
  <si>
    <t>Dong, Chaohua/0009-0008-6492-3855</t>
  </si>
  <si>
    <t>Chinese Ministry of Science and Technology [2006AA10A402]; Chinese Ministry of Agriculture [nyhyzx07-047]; NSFC [30730070]</t>
  </si>
  <si>
    <t>Chinese Ministry of Science and Technology(Ministry of Science and Technology, China); Chinese Ministry of Agriculture(Ministry of Agriculture &amp; Rural Affairs); NSFC(National Natural Science Foundation of China (NSFC))</t>
  </si>
  <si>
    <t>The authors would like to thank all laboratory members for technical advice and helpful discussions. This research was supported by 863 High Technology Project (No. 2006AA10A402) from the Chinese Ministry of Science and Technology, and a commonweal project (No. nyhyzx07-047) from the Chinese Ministry of Agriculture, and grants (No. 30730070) from NSFC to Dr. Linsheng Song.</t>
  </si>
  <si>
    <t>0301-4851</t>
  </si>
  <si>
    <t>1573-4978</t>
  </si>
  <si>
    <t>MOL BIOL REP</t>
  </si>
  <si>
    <t>Mol. Biol. Rep.</t>
  </si>
  <si>
    <t>10.1007/s11033-009-9603-6</t>
  </si>
  <si>
    <t>563UZ</t>
  </si>
  <si>
    <t>WOS:000275161700012</t>
  </si>
  <si>
    <t>Lin, HM; Luo, XR; Yu, DE; He, CH; Cao, WT; He, LM; Liang, ZN; Zhou, J; Fang, GH</t>
  </si>
  <si>
    <t>Lin, Huimin; Luo, Xinru; Yu, De'e; He, Changhua; Cao, Wenting; He, Limin; Liang, Zhennuan; Zhou, Jing; Fang, Guihong</t>
  </si>
  <si>
    <t>Risk assessment of As, Cd, Cr, and Pb via the consumption of seafood in Haikou</t>
  </si>
  <si>
    <t>SCIENTIFIC REPORTS</t>
  </si>
  <si>
    <t>Heavy metals; Seafood; Health risk</t>
  </si>
  <si>
    <t>HEAVY-METAL POLLUTION; HEALTH-RISK; YANGTZE-RIVER; AQUATIC ORGANISMS; SOUTH CHINA; FISH; BIOACCUMULATION; ACCUMULATION; CRUSTACEANS; CONTAMINATION</t>
  </si>
  <si>
    <t>In order to mitigate the risk of excessive heavy metal intake, a study was conducted to assess the levels of arsenic (As), cadmium (Cd), chromium (Cr), and lead (Pb) contamination in 23 edible seafood species obtained from markets in Haikou. The findings were analyzed to evaluate the potential health hazards posed to the local population through consumption. The metals were detected via inductively coupled plasma mass spectrometry (ICP-MS) for quantification. The non-carcinogenic and carcinogenic health risks in humans were assessed via target hazard quotient (THQ), combined target hazard quotient (CTHQ), and target cancer risk (TR). The results indicated that the rank order based on the median metal concentration was As &gt; Cd &gt; Cr &gt; Pb. THQ and CTHQ showed that nine seafood species posed a non-carcinogenic risk regarding from As and Cd consumption separately, or the four targeted metals ingestion together. TR assessment indicated that the InAs in all the species presented a carcinogenic risk to coastal residents. The Cd content in bivalves, algae, and several crustacean (Mantis Shrimp, Orchid Crab, Red spot Swimming Crab) and fish species (Japanese Scad, Pacific Saury), and Cr levels in most bivalve species (Razor Clams, White Clams, Fan Shells, Oysters, Blood Clams) presented a carcinogenic risk. The As, Cd, Pb, and Cr levels of seafood in Haikou were assessed species presented a potential health risk. Necessitating stricter risk should be management and detection capability and monitoring will be improved.</t>
  </si>
  <si>
    <t>[Lin, Huimin; Luo, Xinru; Yu, De'e; Cao, Wenting; He, Limin; Zhou, Jing; Fang, Guihong] Hainan Med Univ, Sch Publ Hlth, Dept Nutr &amp; Food Hyg, Lab Trop Environm &amp; Hlth, Haikou 571199, Hainan, Peoples R China; [Liang, Zhennuan] Wenchang Hlth Serv Ctr, Wenchang 571300, Hainan, Peoples R China; [He, Changhua] Hainan Prov Ctr Dis Control &amp; Prevent, Haikou 570203, Hainan, Peoples R China</t>
  </si>
  <si>
    <t>Hainan Medical University</t>
  </si>
  <si>
    <t>Zhou, J; Fang, GH (corresponding author), Hainan Med Univ, Sch Publ Hlth, Dept Nutr &amp; Food Hyg, Lab Trop Environm &amp; Hlth, Haikou 571199, Hainan, Peoples R China.</t>
  </si>
  <si>
    <t>jingzhou@hainmc.edu.cn; fgh19801206@163.com</t>
  </si>
  <si>
    <t>Cultivation Research Foundation of Hainan Medical University [HY2018-13]; College Students' Innovation and Entrepreneurship Training Plan Program of Hainan Medical University [S202011810027]; Natural Science Foundation of Hainan Province [321RC665]</t>
  </si>
  <si>
    <t>Cultivation Research Foundation of Hainan Medical University; College Students' Innovation and Entrepreneurship Training Plan Program of Hainan Medical University; Natural Science Foundation of Hainan Province</t>
  </si>
  <si>
    <t>This project is funded by the Cultivation Research Foundation of Hainan Medical University (HY2018-13), College Students' Innovation and Entrepreneurship Training Plan Program of Hainan Medical University S202011810027; Natural Science Foundation of Hainan Province(321RC665).</t>
  </si>
  <si>
    <t>NATURE PORTFOLIO</t>
  </si>
  <si>
    <t>BERLIN</t>
  </si>
  <si>
    <t>HEIDELBERGER PLATZ 3, BERLIN, 14197, GERMANY</t>
  </si>
  <si>
    <t>2045-2322</t>
  </si>
  <si>
    <t>SCI REP-UK</t>
  </si>
  <si>
    <t>Sci Rep</t>
  </si>
  <si>
    <t>AUG 22</t>
  </si>
  <si>
    <t>10.1038/s41598-024-70409-3</t>
  </si>
  <si>
    <t>E7B2A</t>
  </si>
  <si>
    <t>WOS:001304514000003</t>
  </si>
  <si>
    <t>Carrasco, L; Díez, S; Soto, DX; Catalan, J; Bayona, JM</t>
  </si>
  <si>
    <t>Carrasco, Luis; Diez, Sergi; Soto, David X.; Catalan, Jordi; Bayona, Josep M.</t>
  </si>
  <si>
    <t>Assessment of mercury and methylmercury pollution with zebra mussel (Dreissena polymorpha) in the Ebro River (NE Spain) impacted by industrial hazardous dumps</t>
  </si>
  <si>
    <t>Mercury; Methylmercury; Zebra mussel; Bioavailability; Trophic transfer; Ebro River</t>
  </si>
  <si>
    <t>CARP CYPRINUS-CARPIO; FRESH-WATER LAKES; METAL CONTAMINATION; SEDIMENT TRANSPORT; IBERIAN PENINSULA; NIAGARA RIVER; GREAT-LAKES; BIVALVIA; FISH; PREDATION</t>
  </si>
  <si>
    <t>Large amounts of industrial waste containing high concentrations of mercury (up to 436 mu g/g) are dumped in a reservoir adjacent to a chlor-alkali plant in Flix (Catalonia, Spain), on the lower Ebro River. In order to assess the spatial redistribution of mercury from the point source and its bioavailability to the aquatic food web, zebra mussels (Dreissena polymorpha) were collected at several sites. The highest total Hg (THg) and methylmercury (MeHg) concentrations ever reported for zebra mussels were found (THg: 0.02 to 0.81 mu g/g ww; MeHg: 0.22 to 0.60 mu g/g ww). At the most polluted site, close to the waste dump, the mean values were 20 times greater than the local background level. Concentrations decreased with increasing mussel size at all sites. The MeHg/THg ratio was ca. 60% (range: 50-80%). A comparison of similar size classes clearly indicated the hot spots of Hg bioavailability to the aquatic food web and downstream transport. (C) 2008 Elsevier B.V. All rights reserved.</t>
  </si>
  <si>
    <t>[Diez, Sergi] ICTJA CSIC, Environm Geol Dept, E-08028 Barcelona, Spain; [Carrasco, Luis; Diez, Sergi; Bayona, Josep M.] IDAEA CSIC, Dept Environm Chem, E-08034 Barcelona, Spain; [Soto, David X.; Catalan, Jordi] CEAB CSIC, Limnol Unit, Ctr Adv Studies Blanes, Blanes 17300, Spain</t>
  </si>
  <si>
    <t>Consejo Superior de Investigaciones Cientificas (CSIC); CSIC - Geociencias Barcelona (GEO3BCN); Consejo Superior de Investigaciones Cientificas (CSIC); CSIC - Centro de Investigacion y Desarrollo Pascual Vila (CID-CSIC); CSIC - Instituto de Diagnostico Ambiental y Estudios del Agua (IDAEA); Consejo Superior de Investigaciones Cientificas (CSIC); CSIC - Centre d'Estudis Avancats de Blanes (CEAB)</t>
  </si>
  <si>
    <t>Díez, S (corresponding author), ICTJA CSIC, Environm Geol Dept, Lluis Sole &amp; Sabaris S-N, E-08028 Barcelona, Spain.</t>
  </si>
  <si>
    <t>sdiez@ija.csic.es</t>
  </si>
  <si>
    <t>Soto, David/B-2017-2018; Díez, Sergi/B-7601-2019; Carrasco, Luis/AAH-8811-2019; , Josep/A-6185-2008; Diez, Sergi/L-3236-2014; Catalan, Jordi/A-5420-2008</t>
  </si>
  <si>
    <t>, Josep/0000-0001-5042-837X; Diez, Sergi/0000-0002-9870-2179; Soto, David X./0000-0003-4210-293X; Catalan, Jordi/0000-0002-2934-4013</t>
  </si>
  <si>
    <t>Spanish Ministry of Environment; ACA (Generalitat de Catalunya); Consejo Superior de Investigaciones Cientificas; MCyT</t>
  </si>
  <si>
    <t>Spanish Ministry of Environment(Spanish Government); ACA (Generalitat de Catalunya)(Generalitat de Catalunya); Consejo Superior de Investigaciones Cientificas(Spanish Government); MCyT(Spanish Government)</t>
  </si>
  <si>
    <t>Financial support was obtained from the Spanish Ministry of Environment and the ACA (Generalitat de Catalunya). L. Carrasco acknowledges the Consejo Superior de Investigaciones Cientificas for an I3P fellowship, S. Diez would like to express his gratitude for the financial support of the MCyT through the Ramon y Cajal program. Authors acknowledge the collaboration of Grup Natura Freire at Flix for their help during sampling campaigns. Special thanks are also due to C. Barata, for supplying some samples.</t>
  </si>
  <si>
    <t>10.1016/j.scitotenv.2008.07.031</t>
  </si>
  <si>
    <t>386IW</t>
  </si>
  <si>
    <t>WOS:000261877900017</t>
  </si>
  <si>
    <t>Vidyalakshmi, D; Yesudas, A; Sivan, G; Prakash, EA; Priyaja, P</t>
  </si>
  <si>
    <t>Vidyalakshmi, D.; Yesudas, Aneena; Sivan, Gopika; Prakash, E. Akhil; Priyaja, P.</t>
  </si>
  <si>
    <t>Heavy metal accumulation analysis using bivalve, sponge, sea urchin, and gastropod species as bioindicators</t>
  </si>
  <si>
    <t>Heavy metal pollution; Bioindicators; Bioaccumulation; Filter feeders; Grazers</t>
  </si>
  <si>
    <t>TRACE-METALS; SOFT-TISSUES; BIOACCUMULATION; CONTAMINATION; SEDIMENTS; MOLLUSKS; GULF; BIOMONITORS; COAST; CD</t>
  </si>
  <si>
    <t>A comparative assessment of heavy metal accumulation potential in four distinct marine benthic bioindicators: the bivalve Perna perna, the sponge Callyspongia fibrosa, the sea urchin Tripneustes gratilla, and the gastropod Purpura bufo were conducted. These organisms were collected from the same location, and the concentration of ten heavy metals was analyzed in water, sediment and various body parts of the organisms. The bioaccumulation potential was evaluated using the bio-water accumulation factor and bio-sediment accumulation factor. There was significant variation in the bioaccumulation potential of each organism with respect to different metals. The sponge proved to be a reliable indicator of Cd with a highest concentration of 2.60 mu g/g. Sea urchin accumulated high concentrations of Cr (16.98 mu g/g) and Pb (4.80 mu g/g), whereas Cu was predominant (21.05 mu g/g) in gastropod, followed by bivalve (17.67 mu g/g). The concentration of metals in hard parts was found to be lower than in the tissues.</t>
  </si>
  <si>
    <t>[Vidyalakshmi, D.; Yesudas, Aneena; Sivan, Gopika; Prakash, E. Akhil; Priyaja, P.] Cochin Univ Sci &amp; Technol, Dept Marine Biol Microbiol &amp; Biochem, Kochi, Kerala, India</t>
  </si>
  <si>
    <t>Priyaja, P (corresponding author), Cochin Univ Sci &amp; Technol, Dept Marine Biol Microbiol &amp; Biochem, Kochi, Kerala, India.</t>
  </si>
  <si>
    <t>priyaja@cusat.ac.in</t>
  </si>
  <si>
    <t>Council for Scientific and Industrial Research (CSIR) , Ministry of Science and Technology, India</t>
  </si>
  <si>
    <t>The first author is thankful to the Council for Scientific and Industrial Research (CSIR) , Ministry of Science and Technology, India for the award of Junior Research Fellowship.</t>
  </si>
  <si>
    <t>10.1016/j.marpolbul.2024.116374</t>
  </si>
  <si>
    <t>APR 2024</t>
  </si>
  <si>
    <t>PZ2O1</t>
  </si>
  <si>
    <t>WOS:001217836500001</t>
  </si>
  <si>
    <t>Taylor, DA; Thompson, EL; Nair, SV; Raftos, DA</t>
  </si>
  <si>
    <t>Taylor, Daisy A.; Thompson, Emma L.; Nair, Sham V.; Raftos, David A.</t>
  </si>
  <si>
    <t>Differential effects of metal contamination on the transcript expression of immune- and stress-response genes in the Sydney Rock oyster, Saccostrea glomerata</t>
  </si>
  <si>
    <t>Saccostrea glomerata; Molecular biomonitoring; Real-time PCR; Gene transcription; Metals</t>
  </si>
  <si>
    <t>MESSENGER-RNA EXPRESSION; CRASSOSTREA-GIGAS; PACIFIC OYSTER; CDNA CLONING; MOLECULAR CHARACTERIZATION; DREISSENA-POLYMORPHA; PORT-JACKSON; HEAVY-METALS; PEARL OYSTER; HEMOCYTES</t>
  </si>
  <si>
    <t>Environmental contamination by metals is a serious threat to the biological sustainability of coastal ecosystems. Our current understanding of the potential biological effects of metals in these ecosystems is limited. This study tested the transcriptional expression of immune- and stress-response genes in Sydney Rock oysters (Saccostrea glomerata). Oysters were exposed to four metals (cadmium, copper, lead and zinc) commonly associated with anthropogenic pollution in coastal waterways. Seven target genes (superoxide dismutase, ferritin, ficolin, defensin, HSP70, HSP90 and metallothionein) were selected. Quantitative (real-time) PCR analyses of the transcript expression of these genes showed that each of the different metals elicited unique transcriptional profiles. Significant changes in transcription were found for 18 of the 28 combinations tested (4 metals x 7 genes). Of these, 16 reflected down-regulation of gene transcription. HSP90 was the only gene significantly up-regulated by metal contamination (cadmium and zinc only), while defensin expression was significantly down-regulated by exposure to all four metals. This inhibition could have a significant negative effect on the oyster immune system, promoting susceptibility to opportunistic infections and disease. (C) 2013 Elsevier Ltd. All rights reserved.</t>
  </si>
  <si>
    <t>[Taylor, Daisy A.; Thompson, Emma L.; Raftos, David A.] Sydney Inst Marine Sci, Chowder Bay, NSW 2088, Australia; [Taylor, Daisy A.; Thompson, Emma L.; Nair, Sham V.; Raftos, David A.] Macquarie Univ, Dept Biol Sci, N Ryde, NSW 2109, Australia</t>
  </si>
  <si>
    <t>Sydney Institute of Marine Science; Macquarie University</t>
  </si>
  <si>
    <t>Thompson, EL (corresponding author), Sydney Inst Marine Sci, Chowder Bay, NSW 2088, Australia.</t>
  </si>
  <si>
    <t>emma.thompson@mq.edu.au</t>
  </si>
  <si>
    <t>Thompson, Emma/0000-0003-0850-0547</t>
  </si>
  <si>
    <t>Macquarie University; iMQRes</t>
  </si>
  <si>
    <t>The authors would like to thank the Sydney Institute of Marine Science for use of the aquarium facilities. SIMS manuscript number 0082. D. Taylor is the recipient of an iMQRes and IPRS postgraduate scholarship from Macquarie University.</t>
  </si>
  <si>
    <t>10.1016/j.envpol.2013.02.027</t>
  </si>
  <si>
    <t>165MJ</t>
  </si>
  <si>
    <t>WOS:000320487700009</t>
  </si>
  <si>
    <t>Schoonover, CM; Wieker, J; Pope, R; Brown, C; Cooper, E; DeWitt, J; Gunselman, S; Jensen, C; Stevens, W; Yri, J; Nezat, C; Joyner-Matos, J</t>
  </si>
  <si>
    <t>Schoonover, Cody M.; Wieker, Jessica; Pope, Rachelle; Brown, Chelsea; Cooper, Emily; DeWitt, Jariel; Gunselman, Samuel; Jensen, Cory; Stevens, Whitney; Yri, Jenae; Nezat, Carmen; Joyner-Matos, Joanna</t>
  </si>
  <si>
    <t>Development of functional trait biomarkers for trace metal exposure in freshwater clams (Musculium spp.)</t>
  </si>
  <si>
    <t>2nd International Conference on Oxidative Stress in Aquatic Ecosystems</t>
  </si>
  <si>
    <t>NOV 11-14, 2015</t>
  </si>
  <si>
    <t>Centro Investigaciones Biologicas Noroeste, La Paz, MEXICO</t>
  </si>
  <si>
    <t>Centro Investigaciones Biologicas Noroeste</t>
  </si>
  <si>
    <t>Biomarker; Bivalve; Locomotion; Pollution; Reproduction; Metal</t>
  </si>
  <si>
    <t>COEUR-DALENE RIVER; CORBICULA-FLUMINEA; HEAVY-METALS; FINGERNAIL CLAM; ASIATIC CLAM; SUBCELLULAR COMPARTMENTALIZATION; BIOCHEMICAL-COMPOSITION; SPHAERIUM-TRANSVERSUM; AQUATIC INVERTEBRATES; REPRODUCTIVE ACTIVITY</t>
  </si>
  <si>
    <t>Exposure to trace metals typically causes oxidative stress; these consequences are better-characterized in estuarine and marine species than in freshwater species. How cellular-level responses to metal pollution influence whole-organism and population-level traits is poorly understood. We tested whether exposure to single metals (zinc and cadmium) and to metal mixtures (water in equilibrium with sediment from a highly polluted lake) alters two ecologically-relevant traits in freshwater clams, locomotion and reproduction. Fingernail clams (Musculium spp.) from unimpacted habitats were exposed to single metals and the metal mixture for up to 49 days. The single metal doses (&lt;= 5 mg/L Zn and &lt;= 20 mu g/L Cd) were not toxicologically meaningful as clam survival, burial, and climbing activity did not differ across treatments. Water in equilibrium with the lake sediment contained cadmium, copper, lead, and zinc. Clams exposed to this metal mixture had decreased climbing activity but no change in burial activity. Metal-exposed clams had lower fecundity (number of shelled juveniles extruded by adult clams) and patterns in metal accumulation corresponded with lake sediment dose and clam activity. In contrast to the functional traits, stress protein expression and whole-clam glycogen content did not vary across treatment groups. These results indicate that fingernail clams of the genus Musculium are appropriate for development as sentinel species for metal pollution and can serve as a model for determining how metal pollution alters metabolic allocation patterns in freshwater organisms. (C) 2016 Elsevier Inc. All rights reserved.</t>
  </si>
  <si>
    <t>[Schoonover, Cody M.; Wieker, Jessica; Pope, Rachelle; Brown, Chelsea; Cooper, Emily; DeWitt, Jariel; Gunselman, Samuel; Jensen, Cory; Stevens, Whitney; Yri, Jenae; Joyner-Matos, Joanna] Eastern Washington Univ, Dept Biol, 258 Sci Bldg, Cheney, WA 99004 USA; [Nezat, Carmen] Eastern Washington Univ, Dept Geol, 132 Sci Bldg, Cheney, WA 99004 USA</t>
  </si>
  <si>
    <t>Eastern Washington University; Eastern Washington University</t>
  </si>
  <si>
    <t>Joyner-Matos, J (corresponding author), Eastern Washington Univ, Dept Biol, 258 Sci Bldg, Cheney, WA 99004 USA.</t>
  </si>
  <si>
    <t>jmatos@ewu.edu</t>
  </si>
  <si>
    <t>Joyner-Matos, Joanna/0000-0002-0289-5982; Nezat, Carmen/0000-0002-0432-4163</t>
  </si>
  <si>
    <t>10.1016/j.cbpa.2016.04.012</t>
  </si>
  <si>
    <t>DW8WR</t>
  </si>
  <si>
    <t>WOS:000383936700004</t>
  </si>
  <si>
    <t>Liu, JH; Cao, L; Dou, SZ</t>
  </si>
  <si>
    <t>Liu, Jinhu; Cao, Liang; Dou, Shuozeng</t>
  </si>
  <si>
    <t>Bioaccumulation of heavy metals and health risk assessment in three benthic bivalves along the coast of Laizhou Bay, China</t>
  </si>
  <si>
    <t>Aquatic contamination; Heavy metals; Health risks; Bivalves; Laizhou Bay</t>
  </si>
  <si>
    <t>TRACE-METALS; INTERSPECIFIC VARIATION; ARSENIC SPECIATION; MOLLUSKS; SEDIMENTS; CONTAMINATION; ACCUMULATION; ORGANISMS; ZN; CD</t>
  </si>
  <si>
    <t>This study investigated the tissue-and species-specific bioaccumulation of heavy metals (Cr, Cu, Hg, Zn, As, Cd, and Pb) in three benthic bivalves (the ark shell, Scapharca subcrenata; the surf clam, Mactra veneriformis; and the Manila clam, Ruditapes philippinarum) collected from the coast of Laizhou Bay in the Bohai Sea. The results demonstrated that the visceral masses of the bivalves tended to accumulate heavy metals more efficiently than their muscles. The capacities of the bivalves to bioaccumulate metals followed a similar order: Cd &gt; Hg &gt; Zn = As &gt; Cu &gt; Cr = Pb. The conditions of metal contamination in the bivalves tended to be worse along the eastern coast than in other regions. Overall, the Manila clam was more severely contaminated by heavy metals than the surf clam and ark shell. Judging by the hazard quotients (HQ) of the metals in the muscles of the bivalves, the greatest hazard risk to human health comes primarily from As. (C) 2017 Published by Elsevier Ltd.</t>
  </si>
  <si>
    <t>[Liu, Jinhu; Cao, Liang; Dou, Shuozeng] Chinese Acad Sci, Inst Oceanol, Key Lab Marine Ecol &amp; Environm Sci, Qingdao 266071, Peoples R China; [Dou, Shuozeng] Univ Chinese Acad Sci, Beijing 100039, Peoples R China; [Dou, Shuozeng] Qingdao Natl Lab Marine Sci &amp; Technol, Lab Marine Ecol &amp; Environm Sci, Qingdao 266071, Peoples R China</t>
  </si>
  <si>
    <t>Chinese Academy of Sciences; Institute of Oceanology, CAS; Chinese Academy of Sciences; University of Chinese Academy of Sciences, CAS; Laoshan Laboratory</t>
  </si>
  <si>
    <t>Dou, SZ (corresponding author), Chinese Acad Sci, Inst Oceanol, Key Lab Marine Ecol &amp; Environm Sci, Qingdao 266071, Peoples R China.</t>
  </si>
  <si>
    <t>szdou@qdio.ac.cn</t>
  </si>
  <si>
    <t>National Key Basic Research Program [2015CB453302]; National Natural Science Foundation of China (NSFC) [41406176]; NSFC-Shandong Joint Fund for Marine Science Research Centres [U1606404]</t>
  </si>
  <si>
    <t>National Key Basic Research Program(National Basic Research Program of China); National Natural Science Foundation of China (NSFC)(National Natural Science Foundation of China (NSFC)); NSFC-Shandong Joint Fund for Marine Science Research Centres</t>
  </si>
  <si>
    <t>This study was financially supported by the National Key Basic Research Program (Contract No. 2015CB453302), the National Natural Science Foundation of China (NSFC, Contract No. 41406176) and the NSFC-Shandong Joint Fund for Marine Science Research Centres (Contract No. U1606404).</t>
  </si>
  <si>
    <t>10.1016/j.marpolbul.2017.01.062</t>
  </si>
  <si>
    <t>ES0ZV</t>
  </si>
  <si>
    <t>WOS:000399258600024</t>
  </si>
  <si>
    <t>García-Luque, E; DelValls, TA; Casado-Martínez, C; Forja, JM; Gómez-Parra, A</t>
  </si>
  <si>
    <t>Simulating a heavy metal spill under estuarine conditions:: Effects on the clam Scrobicularia plana</t>
  </si>
  <si>
    <t>bioassay; chemical speciation; clams; effects-biochemical; estuaries; heavy metals; simulation</t>
  </si>
  <si>
    <t>AZNALCOLLAR MINING SPILL; GUADALQUIVIR ESTUARY</t>
  </si>
  <si>
    <t>We describe the effect of heavy metals Zn, Cd, Pb and Cu on the induction of methallothioneins on the clam Scrobicularia plana along a salinity gradient simulated under laboratory conditions. The clams were exposed to constant heavy metal concentrations in a dynamic estuary simulator during a 15-day assay to investigate possible induction of metal-binding proteins in them. The concentration of heavy metals in water was analysed. Clams were analysed for methallothionein concentrations. The speciation of Zn, Cd, Pb and Cu along the salinity gradient was modelled. Zn showed the highest concentrations and its prevalent species was the free ion. Intersite differences have been observed in methallothionein concentration and related to the salinity gradient. It seems that synthesis of methallothioneins is the result of physiological forces acting in concert with the changes in the chemical speciation of metals, owing to the trace metals uptake is controlled by means of an interaction of physiology and physicochemistry. (C) 2004 Elsevier Ltd. All rights reserved.</t>
  </si>
  <si>
    <t>Univ Cadiz, Dept Quim Fis, Fac Ciencias Mar, Cadiz 11510, Spain</t>
  </si>
  <si>
    <t>Universidad de Cadiz</t>
  </si>
  <si>
    <t>Univ Cadiz, Dept Quim Fis, Fac Ciencias Mar, Campus Rio San Pedro S-N, Cadiz 11510, Spain.</t>
  </si>
  <si>
    <t>enrique.luque@uca.es</t>
  </si>
  <si>
    <t>CasadoGalan, Carmen/KLC-8204-2024; Del Valls, T. Angel/K-9664-2014; Garcia-Luque, Enrique/L-8743-2014</t>
  </si>
  <si>
    <t>Gomez-Parra, Abelardo/0000-0002-9814-4218; Del Valls, T. Angel/0000-0001-7674-9278; Casado, Carmen/0000-0002-2291-5856; Forja Pajares, Jesus/0000-0003-3780-059X; Garcia-Luque, Enrique/0000-0002-8218-1583</t>
  </si>
  <si>
    <t>10.1016/j.marenvres.2004.03.060</t>
  </si>
  <si>
    <t>WOS:000222199100081</t>
  </si>
  <si>
    <t>Traoré, A; Bonini, M; Dano, SD; Creppy, EE</t>
  </si>
  <si>
    <t>Synergistic effects of some metals contaminating mussels on the cytotoxicity of the marine toxin okadaic acid</t>
  </si>
  <si>
    <t>ARCHIVES OF TOXICOLOGY</t>
  </si>
  <si>
    <t>okadaic acid; metals in mussels; cytotoxicity; synergistic effects; Vero cells</t>
  </si>
  <si>
    <t>CADMIUM ABSORPTION; HEAVY-METALS; TOXICITY; MICE; ALUMINUM; CHLORIDE; MEMBRANE; EXPOSURE; BINDING; MERCURY</t>
  </si>
  <si>
    <t>Okadaic acid (OA), a marine toxin is cytotoxic and promotes tumours in mouse skin. It is a specific and potent inhibitor of protein synthesis and also inhibits phosphatases A1 and A2 in vitro. In the present study, we investigated the influence of metals found at acceptable levels in mussels as environmental pollutants on the cytotoxicity of OA in Vero cells. Among the metals found in mussels (Mytilus edulis), the most represented, in terms of molar quantities per gram of dried weight are aluminium (230 nmol/g), copper (58 nmol/g), lead (16 nmol/g), mercury (14 nmol/g) and cadmium (7.4 nmol/g). A solution containing these five metals Al3+, Cu2+, Pb2+, Hg2+ and Cd2+ combined at the concentrations detected in mussels, stimulated protein synthesis (+25%, P &lt; 0.01), whereas different dilutions of this solution in the presence of okadaic acid (15 ng/ml, i.e. 18.7 x 10(-9) M) increased the percentage of protein synthesis inhibition from 35 to 79%. The metals also increased the lactate dehydrogenase (LDH) release into the medium and the lipid peroxidation induced by this algal toxin. In addition, these metals reduced the cell viability for an incubation period of 24 h especially at the two higher concentrations. These results indicate that metals (Al3+ Cu2+, Pb2+, Hg2+, Cd2+) in concentration ranges largely below the acceptable levels, synergistically increase the cytotoxicity of low concentrations of OA in cultured cells.</t>
  </si>
  <si>
    <t>Univ Bordeaux 2, Fac Pharmaceut Sci, Lab Toxicol &amp; Appl Hyg, F-33076 Bordeaux, France; Univ Abidjan, Fac Pharm, Abidjan, Cote Ivoire</t>
  </si>
  <si>
    <t>Universite de Bordeaux</t>
  </si>
  <si>
    <t>Creppy, EE (corresponding author), Univ Bordeaux 2, Fac Pharmaceut Sci, Lab Toxicol &amp; Appl Hyg, 146 Rue Leo-siagnat, F-33076 Bordeaux, France.</t>
  </si>
  <si>
    <t>0340-5761</t>
  </si>
  <si>
    <t>ARCH TOXICOL</t>
  </si>
  <si>
    <t>Arch. Toxicol.</t>
  </si>
  <si>
    <t>10.1007/s002040050620</t>
  </si>
  <si>
    <t>231EB</t>
  </si>
  <si>
    <t>WOS:000082294200001</t>
  </si>
  <si>
    <t>Xia, PH; Ma, L; Yi, Y; Lin, T</t>
  </si>
  <si>
    <t>Xia, Pinhua; Ma, Li; Yi, Yin; Lin, Tao</t>
  </si>
  <si>
    <t>Assessment of heavy metal pollution and exposure risk for migratory birds- A case study of Caohai wetland in Guizhou Plateau (China)</t>
  </si>
  <si>
    <t>Heavy metal; Exposure risk; Waterbirds; Wetland; Model</t>
  </si>
  <si>
    <t>Increasing heavy metal pollution in wetland ecosystems around the world pose significant health risks to waterbirds, especially the endangered species. We analyzed heavy metal pollution in bird foraging area of Caohai wetland in Guizhou Plateau (China), and used an integrated exposure risk model for assessing heavy metal (Cd, Pb, Cr, Ni, Zn, Sb) exposure risk in birds from the soil, water, plants and benthic invertebrates. There is considerable variation in the extent of heavy metal contamination across the different sampling sites, and Cd and Sb are the main contaminants. The mussel Anodonta showed greater heavy metal accumulation (except for Zn) compared to the snail species C. cathayensis. The different plant species also varied in terms of amount for accumulated heavy metals. The phytophagous together with omnivorous birds were exposed to Cd, Pb, Zn and Ni through plants rather than the soil, whereas the maximum Zn exposure in the omnivorous and carnivorous birds was through consumption of benthic invertebrates. Furthermore, the phytophagous black-necked cranes (Grus nigricollis) were less risk to heavy metal exposure compared to the omnivorous bar-headed goose (Anser indicus) and carnivorous ruddy shelducks (Tadorna ferruginea). The exposure risk of Cr (8.1) was highest, followed by Pb (5.1), Zn (3.8), Sb (1.0), Cd (0.33) and Ni (0.28). The heavy metal assessment heavy metal exposure risk for migratory birds should take into account the exposure from food and soil. Our findings provide new insights into developing measures to minimize heavy metal contamination in migratory birds. (C) 2021 Elsevier Ltd. All rights reserved.</t>
  </si>
  <si>
    <t>[Xia, Pinhua; Ma, Li; Lin, Tao] Guizhou Normal Univ, Guizhou Key Lab Mountainous Environm Informat &amp; E, Guiyang 550001, Peoples R China; [Yi, Yin] Guizhou Normal Univ, State Key Lab Southwest Karst Mt Biodivers Conser, Guiyang 550001, Peoples R China</t>
  </si>
  <si>
    <t>Guizhou Normal University; Guizhou Normal University</t>
  </si>
  <si>
    <t>Xia, PH; Lin, T (corresponding author), 116 Baoshan Rd N, Guiyang 550001, Guizhou, Peoples R China.</t>
  </si>
  <si>
    <t>pinhuaxia@gznu.edu.cn; lintao1113@163.com</t>
  </si>
  <si>
    <t>Lin, Tao/KRO-9146-2024</t>
  </si>
  <si>
    <t>National Natural Science Foundation of China; Karst Science Research Center of Guizhou Province [U1812401]; Major Project of Science and Technology of Guizhou Province [20163022]</t>
  </si>
  <si>
    <t>National Natural Science Foundation of China(National Natural Science Foundation of China (NSFC)); Karst Science Research Center of Guizhou Province; Major Project of Science and Technology of Guizhou Province</t>
  </si>
  <si>
    <t>This work was financially supported by the Joint Fund of the National Natural Science Foundation of China and the Karst Science Research Center of Guizhou Province (No. U1812401). Major Project of Science and Technology of Guizhou Province (No. 20163022). We acknowledge Chao Zhou for helps with English language editing.</t>
  </si>
  <si>
    <t>10.1016/j.envpol.2021.116564</t>
  </si>
  <si>
    <t>QR7FK</t>
  </si>
  <si>
    <t>WOS:000625380600016</t>
  </si>
  <si>
    <t>Sun, T; Ji, CL; Li, F; Wu, HF</t>
  </si>
  <si>
    <t>Sun, Tao; Ji, Chenglong; Li, Fei; Wu, Huifeng</t>
  </si>
  <si>
    <t>Bioaccumulation and human health implications of trace metals in oysters from coastal areas of China</t>
  </si>
  <si>
    <t>Oyster; Metal pollution; Biomonitoring; Health risk; China</t>
  </si>
  <si>
    <t>MARINE ECOSYSTEMS; HEAVY-METALS; MUSSEL WATCH; ESTUARINE; CONTAMINATION; POLLUTION; SEDIMENT; RIVER; ZN; CD</t>
  </si>
  <si>
    <t>This study recompiled a national dataset to characterize the pollution level and health risk of cadmium (Cd), copper (Cu), lead (Pb) and zinc (Zn) in oysters along the coastal areas of China. Results showed that the median concentrations of Cd, Cu, Pb and Zn in nationwide oysters were 5.5, 335, 1.3 and 1280 mg/kg dry weight, respectively. Generally, oysters from the north coasts presented lower metal pollution and higher quality than those from the south. The regional characteristics of trace metals in oysters might be contributed by the inter-specific differences. Nationally, the noncarcinogenic risk posed by these four metals in oysters was relatively low, with the risk only occurring in a few hotspots such as the Pearl River Estuary and the Jiulong River Estuary. However, more attention should be paid to the carcinogenic risk of Cd, and priority should be given to formulating control measures to mitigate Cd pollution.</t>
  </si>
  <si>
    <t>[Sun, Tao; Ji, Chenglong; Li, Fei; Wu, Huifeng] Chinese Acad Sci, Yantai Inst Coastal Zone Res YIC, CAS Key Lab Coastal Environm Proc &amp; Ecol Remediat, Shandong Key Lab Coastal Environm Proc,YICCAS, Yantai 264003, Peoples R China; [Ji, Chenglong; Wu, Huifeng] Qingdao Natl Lab Marine Sci &amp; Technol, Lab Marine Fisheries Sci &amp; Food Prod Proc, Qingdao 266237, Peoples R China; [Sun, Tao] Univ Chinese Acad Sci, Beijing 100049, Peoples R China; [Ji, Chenglong; Li, Fei; Wu, Huifeng] Chinese Acad Sci, Ctr Ocean Mega Sci, Qingdao 266071, Peoples R China</t>
  </si>
  <si>
    <t>Chinese Academy of Sciences; Yantai Institute of Coastal Zone Research, CAS; Laoshan Laboratory; Chinese Academy of Sciences; University of Chinese Academy of Sciences, CAS; Chinese Academy of Sciences</t>
  </si>
  <si>
    <t>Wu, HF (corresponding author), Chinese Acad Sci, Yantai Inst Coastal Zone Res YIC, CAS Key Lab Coastal Environm Proc &amp; Ecol Remediat, Shandong Key Lab Coastal Environm Proc,YICCAS, Yantai 264003, Peoples R China.</t>
  </si>
  <si>
    <t>Sun, Tao/ABI-9387-2022</t>
  </si>
  <si>
    <t>National Natural Science Foundation of China [42076164]; Young Taishan Scholars Program of Shandong Province [tsqn201812115]</t>
  </si>
  <si>
    <t>This research was supported by the grants from National Natural Science Foundation of China (42076164) and the Young Taishan Scholars Program of Shandong Province for Prof. Huifeng Wu (tsqn201812115) .</t>
  </si>
  <si>
    <t>10.1016/j.marenvres.2022.105872</t>
  </si>
  <si>
    <t>8L2YC</t>
  </si>
  <si>
    <t>WOS:000923651600001</t>
  </si>
  <si>
    <t>Nair, PS; Robinson, WE</t>
  </si>
  <si>
    <t>Cadmium speciation and transport in the blood of the bivalve Mytilus edulis</t>
  </si>
  <si>
    <t>10th international Symposium on Pollutant Responses in Marine Organisms (PRIMO 10)</t>
  </si>
  <si>
    <t>APR 25-29, 1999</t>
  </si>
  <si>
    <t>COLL WILLIAM &amp; MARY, WILLIAMSBURG, VIRGINIA</t>
  </si>
  <si>
    <t>COLL WILLIAM &amp; MARY</t>
  </si>
  <si>
    <t>cadmium; speciation; metal binding; tissue uptake; mussels</t>
  </si>
  <si>
    <t>HISTIDINE-RICH GLYCOPROTEIN; PLASMA</t>
  </si>
  <si>
    <t>Cadmium (Cd) speciation in the blood plasma of Mytilus edulis was investigated using the metal speciation model MINTEQA2, In the presence of inorganic ions alone, Cd-chloro complexes dominated the speciation (97% of total Cd), with 3% as Cd2+. Inclusion Of a novel Cd-binding histidine-rich glycoprotein (HRG) purified from mussel blood plasma decreased the contribution of chloro-complexes to 11.9%, with 86.8% of the Cd bound to the HRG and 1.3% present as Cd2+. Cd transfer from the blood plasma to the kidneys in vivo was studied by injecting Cd-109 (both with and without additional chelation) into mussels. Oxine and EDTA complexed a significant amount of blood-borne Cd (23.7% CdOxine; 57.1% CdEDTA). In the presence of each chelator, plasma retained significantly more Cd, although there was no significant difference in Cd uptake by tissues (kidney, gill-mantle, and remaining visceral. (C) 2000 Elsevier Science Ltd. All rights reserved.</t>
  </si>
  <si>
    <t>Univ Massachusetts, Dept Environm Coastal &amp; Ocean Sci Dept, Boston, MA 02125 USA</t>
  </si>
  <si>
    <t>University of Massachusetts System; University of Massachusetts Boston</t>
  </si>
  <si>
    <t>Nair, PS (corresponding author), Univ Massachusetts, Dept Environm Coastal &amp; Ocean Sci Dept, 100 Morrissey Blvd, Boston, MA 02125 USA.</t>
  </si>
  <si>
    <t>1-5</t>
  </si>
  <si>
    <t>10.1016/S0141-1136(00)00097-0</t>
  </si>
  <si>
    <t>376ZG</t>
  </si>
  <si>
    <t>WOS:000165486700018</t>
  </si>
  <si>
    <t>Ory, P; Hamani, V; Bodet, PE; Murillo, L; Graber, M</t>
  </si>
  <si>
    <t>Ory, P.; Hamani, V; Bodet, P-E; Murillo, L.; Graber, M.</t>
  </si>
  <si>
    <t>The variegated scallop, Mimachlamys varia, undergoes alterations in several of its metabolic pathways under short-term zinc exposure</t>
  </si>
  <si>
    <t>COMPARATIVE BIOCHEMISTRY AND PHYSIOLOGY D-GENOMICS &amp; PROTEOMICS</t>
  </si>
  <si>
    <t>Zinc; UHPLC/QToF mass spectrometry; Metabolomics; Mimachlamys varia</t>
  </si>
  <si>
    <t>The variegated scallop (Mimachlamys varia) is a filter feeder bivalve encountered in marine regions of the Atlantic coast. In particular, it is present in the La Rochelle marina (France), where it is used for the bio-monitoring of marine pollution, due to its ability to strongly bioaccumulate pollutants. In this semi-closed environment, contamination generated by port activities leads to an accumulation of both organic and metal pollutants. Zinc is one of these pollutants, present at a dose of up to 150 mu g.L-1. This study investigated the effects of 48 h zinc exposure upon the metabolic profiles of Mimachlamys varia using UHPLC/QToF (ultra-high performance liquid chromatography-quadrupole time-of-flight) tandem mass spectrometry metabolomics. After acclimation in mesocosms recreating in situ conditions, both controls and exposed with Zn2+ (150 mu g.L-1) bi-valves were dissected to recover the gills after 48 h and stored at 80 degrees C before metabolites extraction. UHPLC/QToF tandem mass spectrometry was performed to study metabolite composition of samples. Statistical analysis of results using multivariate techniques showed a good classification between control and exposed groups. Eleven identified metabolites were found to be down-modulated in exposed scallops. These variations could reflect potential zinc effects on several of the biological processes, such as energy metabolism, osmoregulation and defense against oxidative stress. Among the eleven metabolites highlighted, four were reported for the first time in an aquatic organism exposed to Zn. This study demonstrates once again the diversity of interactions between bivalves and metals and the complexity of the physiological response of marine bivalves to pollutants.</t>
  </si>
  <si>
    <t>[Ory, P.; Hamani, V; Bodet, P-E; Murillo, L.; Graber, M.] Univ La Rochelle, Littoral Environm &amp; Soc LIENSs, UMR 7266, CNRS, 2 Rue Olympe Gouges, F-17042 La Rochelle 01, France</t>
  </si>
  <si>
    <t>Centre National de la Recherche Scientifique (CNRS); La Rochelle Universite</t>
  </si>
  <si>
    <t>Graber, M (corresponding author), Univ La Rochelle, Littoral Environm &amp; Soc LIENSs, UMR 7266, CNRS, 2 Rue Olympe Gouges, F-17042 La Rochelle 01, France.</t>
  </si>
  <si>
    <t>mgraber@univ-lr.fr</t>
  </si>
  <si>
    <t>; Graber, Marianne/O-1702-2014</t>
  </si>
  <si>
    <t>MURILLO, Laurence/0000-0002-0934-4227; Graber, Marianne/0000-0002-5696-2407; Bodet, Pierre-Edouard/0000-0003-1904-4823</t>
  </si>
  <si>
    <t>Contrat de Plan Etat-Region FEDER and the CNRS ECONAT Axe 1 Ressources Marines Littorales: qualite eteco-valorisation and Axe 2 Gestion Integree des Zones Littorales et Portuaires; French Ministry of Higher Education, Research and Innovation</t>
  </si>
  <si>
    <t>Funding for this work came from the following separate sources: (i) Contrat de Plan Etat-Region FEDER and the CNRS ECONAT Axe 1 Ressources Marines Littorales: qualite eteco-valorisation and Axe 2 Gestion Integree des Zones Littorales et Portuaires (ii) French Ministry of Higher Education, Research and Innovation for doctoral grant of V. Hamani (Ministere de l'Enseignement superieur, de la Recherche et de l'Innovation, MESRI).</t>
  </si>
  <si>
    <t>1744-117X</t>
  </si>
  <si>
    <t>1878-0407</t>
  </si>
  <si>
    <t>COMP BIOCHEM PHYS D</t>
  </si>
  <si>
    <t>Comp. Biochem. Physiol. D-Genomics Proteomics</t>
  </si>
  <si>
    <t>10.1016/j.cbd.2020.100779</t>
  </si>
  <si>
    <t>Biochemistry &amp; Molecular Biology; Genetics &amp; Heredity</t>
  </si>
  <si>
    <t>QQ2FP</t>
  </si>
  <si>
    <t>Green Submitted, Bronze</t>
  </si>
  <si>
    <t>WOS:000624341400004</t>
  </si>
  <si>
    <t>Angulo, E</t>
  </si>
  <si>
    <t>The Tomlinson Pollution Load Index applied to heavy metal, 'Mussel-Watch' data: A useful index to assess coastal pollution</t>
  </si>
  <si>
    <t>pollution index; heavy metals; Mussels</t>
  </si>
  <si>
    <t>MYTILUS-EDULIS L; TRACE-METAL; ZINC CONCENTRATIONS; COMMON MUSSEL; WATERS; CANADA; PCB; SEA</t>
  </si>
  <si>
    <t>The Tomlinson Pollution Load Index (PLI) is calculated as the chemical product concentrations that are measured in marine mussels. It can be used as an index of bioavailability of pollutants for mussels in coastal waters. For the computations, published data from 'Mussel-Watch' programs have been used. The PLI standardizes the data by using the quotients obtained by dividing each concentration by a baseline concentration for each chemical, that is, by the lowest concentration of each chemical found in mussels and listed in the literature. The results indicate that the PLI has a normal distribution with a marked positive asymmetry. The exceptional values that surpass a PLI of 100 correspond to very contaminated sites and require immediate intervention; a PLI &gt; 50 requires a detailed survey. The PLI does not show any relationship with either the year when specimens were sampled or with mussel species but it does detect an annual cycle in metal concentrations in mussels. It is also observed that the number of measured metals influences the PLI, because the pollution of a site is usually due to the presence of a few pollutants in large concentrations. The PLI is proposed as a standardized system for detecting pollution which permits a comparison of pollution levels between different sites and at different times.</t>
  </si>
  <si>
    <t>Angulo, E (corresponding author), UNIV BASQUE COUNTRY,DEPT CELL BIOL &amp; MORPHOL SCI,POB 644,E-48080 BILBAO,SPAIN.</t>
  </si>
  <si>
    <t>10.1016/0048-9697(96)05128-5</t>
  </si>
  <si>
    <t>UV658</t>
  </si>
  <si>
    <t>WOS:A1996UV65800003</t>
  </si>
  <si>
    <t>Ragi, AS; Leena, PP; Cheriyan, E; Nair, SM</t>
  </si>
  <si>
    <t>Ragi, A. S.; Leena, P. P.; Cheriyan, Eldhose; Nair, S. M.</t>
  </si>
  <si>
    <t>Heavy metal concentrations in some gastropods and bivalves collected from the fishing zone of South India</t>
  </si>
  <si>
    <t>Heavy metals; Fishing zone; Gastropods; Bivalves</t>
  </si>
  <si>
    <t>TRACE-ELEMENTS; MYTILUS-GALLOPROVINCIALIS; ATLANTIC COAST; ARABIAN SEA; WEST-COAST; RIVER; MOLLUSKS; POLLUTION; SEDIMENTS; ESTUARY</t>
  </si>
  <si>
    <t>The present study investigates heavy metal concentrations in gastropods and bivalves collected from major fishing centers in South India. Three gastropods, Bursa spinosa, Tibia curta, and Murex trapa, and two bivalves, Perna viridis and Villoritta cyprinoids, were collected for the analysis of heavy metals. The metals in the present study followed the order Mg &gt; Ca &gt; Zn &gt; Fe &gt; Cu &gt; Mn &gt; Cr &gt; Pb &gt; Ni &gt; Co &gt; Cd. Trace metal concentrations in the soft tissue of the molluscs varied as follows: for Cd: 0.04-5.33, Co: 0.09-0.87, Cr: 2.18-7.59, Cu: 9.54-37.02, Mn: 1.30-8.50, Ni: 0.94-3.21, Pb: 1.16-2.64 and Zn: 68.16-113.64 mg kg(-1). Metal concentrations in all the species were below the limits proposed by the World Health Organization, except for Pb and Cd. This baseline study suggests that the levels of toxic metals in M. trapa, T. curta, and B. spinosa should be continuously monitored to assess the fate and effects of these metals in this fragile ecosystem. (C) 2017 Elsevier Ltd. All rights reserved.</t>
  </si>
  <si>
    <t>[Ragi, A. S.; Leena, P. P.; Cheriyan, Eldhose; Nair, S. M.] Cochin Univ Sci &amp; Technol, Sch Marine Sci, Dept Chem Oceanog, Cochin 682016, Kerala, India</t>
  </si>
  <si>
    <t>Ragi, AS (corresponding author), Cochin Univ Sci &amp; Technol, Sch Marine Sci, Dept Chem Oceanog, Cochin 682016, Kerala, India.</t>
  </si>
  <si>
    <t>ragi@cusat.ac.in; eldhosecheriyan@cusat.ac.in; muralis@cusat.ac.in</t>
  </si>
  <si>
    <t>Department of Science and Technology, Government of India [DST/INSPIRE Fellowship/2011/411]</t>
  </si>
  <si>
    <t>Department of Science and Technology, Government of India(Department of Science &amp; Technology (India))</t>
  </si>
  <si>
    <t>Ragi A.S. is grateful to the financial assistance by the Department of Science and Technology, Government of India, through DST/INSPIRE Fellowship/2011/411. The authors thank Dr. Prabhakaran M.P., Kerala University of Fisheries and Ocean Studies; Jyothishkumar T., Sree Narayana College for Women, Kollam; and Ajin A.M., Department of Marine Biology Microbiology and Biochemistry, Cochin University of Science and Technology, for their assistance in the collection and taxonomic identification of the gastropod samples. The authors would like to thank the editor and the anonymous reviewer for their constructive comments and suggestions.</t>
  </si>
  <si>
    <t>10.1016/j.marpolbul.2017.03.029</t>
  </si>
  <si>
    <t>WOS:000402217300068</t>
  </si>
  <si>
    <t>Sures, B; Jürges, G; Taraschewski, H</t>
  </si>
  <si>
    <t>Accumulation and distribution of lead in the archiacanthocephalan Moniliformis moniliformis from experimentally infected rats</t>
  </si>
  <si>
    <t>Moniliformis moniliformis; acanthocephalans; lead accumulation; rats; bioindication</t>
  </si>
  <si>
    <t>POMPHORHYNCHUS-LAEVIS; ACANTHOCEPHALUS-LUCII; DREISSENA-POLYMORPHA; HEAVY-METALS; ZEBRA-MUSSEL; PARASITES; FISH; INDICATORS; POLLUTION; HOSTS</t>
  </si>
  <si>
    <t>It recently became clear that adult eo- and palaeacanthocephalans parasitizing fish can bioconcentrate several heavy metals to significantly higher concentrations than the tissues of their definitive hosts. Following this discovery the lead accumulation of the archiacanthocephalan Moniliformis moniliformis was investigated using experimentally infected male Wistar rats of the CD-M-strain. The worms were allowed Co grow up for 4 weeks post-infection followed by a 3 weeks oral lead exposure of the rats. After the exposure period the rats were killed and the metal levels were determined in muscle, liver, intestine and kidney of the rats as well as in different organs of female and male acanthocephalans. Lead concentrations were found to be highest in female M. moniliformis followed by the kidneys of the rats. Male worms contained approximately the same lead concentration as the hosts' kidneys. Lead analysis of the worms' organs revealed the highest lead concentration in the eggs of female acanthocephalans, followed by the cement gland of male Worms. Whilst the lead burden of the presoma was higher than that detected in the kidneys of the rats, the lead content of the metasoma was even lower than in the kidneys. A lead uptake of M. moniliformis from the intestinal lumen of the host became apparent as the faeces of infected rats contained significantly less lead compared to the uninfected conspecifics. Thus, this study reveals that lead accumulation also occurs in archiacanthocephalans parasitizing mammals. But the degree of metal bioconcentration is considerably lower compared to eo- and palaeacanthocephalans in fish. Anyway, due to a lack of adequate sentinel species in terrestrial biotopes the host-parasite system rat- M. moniliformis appears to be a useful and promising bioindication system especially in urban ecosystems in temperate regions.</t>
  </si>
  <si>
    <t>Univ Karlsruhe, Zool Inst Okol Parasitol 1, D-76128 Karlsruhe, Germany</t>
  </si>
  <si>
    <t>Helmholtz Association; Karlsruhe Institute of Technology</t>
  </si>
  <si>
    <t>Sures, B (corresponding author), Univ Karlsruhe, Zool Inst Okol Parasitol 1, Kaiserstr 12,Gebaude 30-43, D-76128 Karlsruhe, Germany.</t>
  </si>
  <si>
    <t>Sures, Bernd/0000-0001-6865-6186</t>
  </si>
  <si>
    <t>40 WEST 20TH STREET, NEW YORK, NY 10011-4211 USA</t>
  </si>
  <si>
    <t>10.1017/S003118209900654X</t>
  </si>
  <si>
    <t>367QA</t>
  </si>
  <si>
    <t>WOS:000090071900011</t>
  </si>
  <si>
    <t>Rajeshkumar, S; Liu, Y; Zhang, XY; Ravikumar, B; Bai, G; Li, XY</t>
  </si>
  <si>
    <t>Rajeshkumar, Sivakumar; Liu, Yang; Zhang, Xiangyang; Ravikumar, Boopalan; Bai, Ge; Li, Xiaoyu</t>
  </si>
  <si>
    <t>Studies on seasonal pollution of heavy metals in water, sediment, fish and oyster from the Meiliang Bay of Taihu Lake in China</t>
  </si>
  <si>
    <t>Heavy metals; Water; Sediment; Carassius carassius; Crassostrea gigas; Taihu Lake</t>
  </si>
  <si>
    <t>POLYCYCLIC AROMATIC-HYDROCARBONS; SUSPENDED PARTICULATE MATTER; ECOLOGICAL RISK-ASSESSMENT; SURFACE SEDIMENTS; TRACE-ELEMENTS; RIVER SEDIMENTS; YANGTZE-RIVER; HEALTH-RISK; ORGANOCHLORINE PESTICIDES; ENVIRONMENTAL-FACTORS</t>
  </si>
  <si>
    <t>The present study, seasonal pollution of heavy metals (Pb, Cd, Cr and Cu) in water, sediment, tissues of fish Carassius carassius and oyster Crassostrea gigas were determined at seven sampling sites from Meiliang Bay, Taihu Lake during one year calendar, 2016. The total heavy metal concentrations in water samples were higher in winter and summer than in spring and autumn season, whereas in sediment they were higher in winter and summer seasons, respectively. The trend of metal mean contents found in the fish and oyster were in decreasing order of Pb &gt; Cu &gt; Cr &gt; Cd and Pb &gt; Cu &gt; Cr &gt; Cd, respectively. The tissues of fish and oyster captured during winter and summer accumulated a higher significant different amount of metals relative to other season, which was attributed to a higher influx of agricultural waste, sewage and sludge by heavy rainfall and floods. In addition, the pollution load index (PLI) values were above one (&gt;1), indicating an advanced decline of the sediment quality, and contamination factor (CF) confirmed that the sediment samples were moderate to high contamination by Pb and Cr. Thus, comparative studies with seasonal pollution of heavy metals in Meiliang Bay of Lake Taihu regions indicate considerable heavy metal enrichment in water, sediments as well as in various organs of fish and oyster. Finally, our results indicated that the metal concentration values increased statistically significaht different related to season (p &lt; 0.001). The determination of heavy metal stress biomarkers in fish along with seasonal variations may serve as a convenient approach during pollution bio-monitoring programme. (C) 2017 Elsevier Ltd. All rights reserved.</t>
  </si>
  <si>
    <t>[Rajeshkumar, Sivakumar; Liu, Yang; Zhang, Xiangyang; Bai, Ge; Li, Xiaoyu] Henan Normal Univ, Coll Life Sci, Xinxiang 453007, Henan, Peoples R China; [Ravikumar, Boopalan] VIT Univ, Dept Stat Trainer &amp; Stat Consultant, Vellore 632014, Tamil Nadu, India</t>
  </si>
  <si>
    <t>Henan Normal University; Vellore Institute of Technology (VIT); VIT Vellore</t>
  </si>
  <si>
    <t>Li, XY (corresponding author), Henan Normal Univ, Coll Life Sci, Xinxiang 453007, Henan, Peoples R China.</t>
  </si>
  <si>
    <t>lixiaoyu65@263.net</t>
  </si>
  <si>
    <t>li, xiao/GSN-6181-2022; Sivakumar, Rajeshkumar/AAZ-8268-2020; Zhang, Xiangyang/AAO-9347-2021; yang, liu/N-8925-2018</t>
  </si>
  <si>
    <t>National Natural Science Foundation of China [31472285]; Innovation Scientists and Technicians Troop Construction Projects of Henan Province, China [164200510001]; Project for Innovative Talent of Science and Technology in University of Henan Province, China [17HAS-TIT034]; College Students' Innovative Entrepreneurial Training Program Project in Henan Normal University, China [2016-B31]</t>
  </si>
  <si>
    <t>National Natural Science Foundation of China(National Natural Science Foundation of China (NSFC)); Innovation Scientists and Technicians Troop Construction Projects of Henan Province, China; Project for Innovative Talent of Science and Technology in University of Henan Province, China; College Students' Innovative Entrepreneurial Training Program Project in Henan Normal University, China</t>
  </si>
  <si>
    <t>The study is supported by the National Natural Science Foundation of China (No. 31472285), the Innovation Scientists and Technicians Troop Construction Projects of Henan Province, China (No. 164200510001), the Project for Innovative Talent of Science and Technology in University of Henan Province, China (17HAS-TIT034), and the College Students' Innovative Entrepreneurial Training Program Project in Henan Normal University, China (2016-B31).</t>
  </si>
  <si>
    <t>10.1016/j.chemosphere.2017.10.078</t>
  </si>
  <si>
    <t>FQ2SJ</t>
  </si>
  <si>
    <t>WOS:000418208000072</t>
  </si>
  <si>
    <t>Wright, DA; Mason, RP</t>
  </si>
  <si>
    <t>Biological and chemical influences on trace metal toxicity and bioaccumulation in the marine and estuarine environment</t>
  </si>
  <si>
    <t>bioavailability; copper; mercury; toxicity; trace metals</t>
  </si>
  <si>
    <t>SHRIMP ARTEMIA-FRANCISCANA; LIPID BILAYER-MEMBRANES; CUPRIC ION ACTIVITY; INORGANIC MERCURY; COASTAL DIATOM; CRASSOSTREA-VIRGINICA; PALAEMON-ELEGANS; HUMIC SUBSTANCES; CARCINUS-MAENAS; AMERICAN OYSTER</t>
  </si>
  <si>
    <t>For several trace metals, bioavailability and toxicity are controlled by both chemical (free ion) and physiological effects. The role of salinity in trace metal uptake (particularly cadmium) could be explained by a mixture of free ion and biological effects. Mercury (Hg) and methylmercury (MMHg) bioaccumulation is different from that of other metals because uptake of the free metal ion via facilitated transport is not an important mechanism. For microorganisms, it appears that passive uptake of neutral complexes is the controlling accumulation mechanism. However, the observed accumulation in the presence of large organic compounds suggests that other mechanisms of uptake besides passive diffusion are occurring. Complexation with DOC reduces the bioavailability of Cu and both Hg and MMHg such that bioaccumulation factors decrease with increasing organic content of the exposure medium.</t>
  </si>
  <si>
    <t>Univ Maryland, Chesapeake Biol Lab, Ctr Environm Sci, Solomons, MD 20688 USA</t>
  </si>
  <si>
    <t>University System of Maryland; University of Maryland Center for Environmental Science</t>
  </si>
  <si>
    <t>Wright, DA (corresponding author), Univ Maryland, Chesapeake Biol Lab, Ctr Environm Sci, POB 38, Solomons, MD 20688 USA.</t>
  </si>
  <si>
    <t>GENEVA AEROPORT</t>
  </si>
  <si>
    <t>WORLD TRADE CENTER BLDG 110 AVE LOUSIS CASAI CP 306, CH-1215 GENEVA AEROPORT, SWITZERLAND</t>
  </si>
  <si>
    <t>1-6</t>
  </si>
  <si>
    <t>10.1504/IJEP.2000.002317</t>
  </si>
  <si>
    <t>336AQ</t>
  </si>
  <si>
    <t>WOS:000088280100012</t>
  </si>
  <si>
    <t>Strungaru, SA; Nicoara, M; Teodosiu, C; Micu, D; Plavan, G</t>
  </si>
  <si>
    <t>Strungaru, Stefan-Adrian; Nicoara, Mircea; Teodosiu, Carmen; Micu, Dragos; Plavan, Gabriel</t>
  </si>
  <si>
    <t>Toxic metals biomonitoring based on prey-predator interactions and environmental forensics techniques: A study at the Romanian-Ukraine cross border of the Black Sea</t>
  </si>
  <si>
    <t>Biomonitoring; Toxic metals; Bioaccumulation; Black Sea; Forensics techniques; Cross-border</t>
  </si>
  <si>
    <t>MUSSELS MYTILUS-GALLOPROVINCIALIS; VOLUME DECREASE RVD; HEAVY-METALS; EXPOSURE; BIOACCUMULATION; POLLUTION; RAPANA; STRESS; BIOINDICATOR; WORKSHOPS</t>
  </si>
  <si>
    <t>Marine cross-border areas are ideal for monitoring pollutants so as to increase ecosystems protection. This study was conducted at the Romanian-Ukraine border of the Black Sea to reveal evidence of contamination with toxic metals based on biomonitoring of: cadmium, lead, total chromium, nickel and copper at different water depths and prey-predator interactions, combined with environmental forensics techniques of biological sampling and separation in witnesses size groups. The species used were Mytilus galloprovincialis L. and Rapana venosa V. collected at 17.5 m, 28 m and 35 m depth. An atomic absorption spectrometer with a high-resolution continuum source and graphite furnace was used for toxic metals quantification in various samples: sediments, soft tissue, stomach content, muscular leg, hepatopancreas. The best sample type, based on the pathology of metal location and bioaccumulation, is the hepatopancreas from R. venosa that proved a significant decrease of cadmium and lead at lower depths.</t>
  </si>
  <si>
    <t>[Strungaru, Stefan-Adrian] Alexandru Ioan Cuza Univ, Fac Biol, Dept Res, Iasi 700505, Romania; [Nicoara, Mircea; Plavan, Gabriel] Alexandru Ioan Cuza Univ, Fac Biol, Dept Biol, Iasi 700505, Romania; [Teodosiu, Carmen] Gheorghe Asachi Tech Univ Iasi, Dept Environm Engn &amp; Management, 73 Prof Dr D Mangeron St, Iasi 700050, Romania; [Micu, Dragos] Natl Inst Marine Res &amp; Dev Grigore Antipa, Constanta 900581, Romania</t>
  </si>
  <si>
    <t>Alexandru Ioan Cuza University; Alexandru Ioan Cuza University; GH Asachi Technical University; National Institute for Marine Research &amp; Development Grigore Antipa</t>
  </si>
  <si>
    <t>Teodosiu, C (corresponding author), Gheorghe Asachi Tech Univ Iasi, Dept Environm Engn &amp; Management, 73 Prof Dr D Mangeron St, Iasi 700050, Romania.</t>
  </si>
  <si>
    <t>cteo@tuiasi.ro</t>
  </si>
  <si>
    <t>Plavan, Gabriel-Ionut/H-9147-2019; MICU, DRAGOS/Z-5776-2019; Mircea, Nicoara/J-3886-2019; Teodosiu, Carmen/E-2693-2012</t>
  </si>
  <si>
    <t>Strungaru, Stefan-Adrian/0000-0001-7958-4923; Nicoara, Mircea/0000-0002-9755-6771; Plavan, Gabriel Ionut/0000-0002-1194-1768; Teodosiu, Carmen/0009-0003-8058-6282</t>
  </si>
  <si>
    <t>project Resources pilot centre for cross-border preservation of the aquatic biodiversity of Prut River, Romania - Ukraine - Republic of Moldova [MIS ETC 1150]</t>
  </si>
  <si>
    <t>project Resources pilot centre for cross-border preservation of the aquatic biodiversity of Prut River, Romania - Ukraine - Republic of Moldova</t>
  </si>
  <si>
    <t>This study was financial supported by the project Resources pilot centre for cross-border preservation of the aquatic biodiversity of Prut River MIS ETC 1150, Romania - Ukraine - Republic of Moldova. We are grateful to EU-FP7 COCONET project that organised the expedition on the Black Sea and made possible the sampling from the study area.</t>
  </si>
  <si>
    <t>10.1016/j.marpolbul.2017.07.052</t>
  </si>
  <si>
    <t>FM9CI</t>
  </si>
  <si>
    <t>WOS:000415391200049</t>
  </si>
  <si>
    <t>Zuykov, M; Kolyuchkina, G; Spiers, G; Gosselin, M; Archambault, P; Schindler, M</t>
  </si>
  <si>
    <t>Zuykov, Michael; Kolyuchkina, Galina; Spiers, Graeme; Gosselin, Michel; Archambault, Philippe; Schindler, Michael</t>
  </si>
  <si>
    <t>Pre-exposure to Cu2+and CuO NPs leads to infection of caged blue mussels, Mytilus edulis L., by pathogenic microalga: Pilot study in the Lower St. Lawrence Estuary (Qu?ebec, Canada)</t>
  </si>
  <si>
    <t>Mussel caging; Blue mussels; Pre-exposure; Dissolved copper; Copper oxide nanoparticles; Coccomyxa algae</t>
  </si>
  <si>
    <t>COPPER-OXIDE NANOPARTICLES; DIGESTIVE GLAND; COCCOMYXA SP; SEASONAL-VARIATIONS; CONCEPTUAL-MODEL; RESPONSES; TOXICITY; EXPOSURE; IMPACT; CONTAMINATION</t>
  </si>
  <si>
    <t>As evidenced from literature, exposure to non-lethal concentrations of dissolved copper (Cu2+) and copper nanoparticles (CuO NPs) promotes blue mussels susceptibility to various bacterial infections. We study whether pre-exposure (3.5 h) with CuSO4 (100 ?g Cu L-1) and CuO NPs (1000 ?g Cu L-1) will result in infection of M. edulis L. with pathogenic microalga Coccomyxa sp. under field conditions. In May ? September 2019, cages were installed in the site Metis-sur-Mer, St. Lawrence Estuary (QC, Canada) where the native mussel population is known to be infected with the pathogen. Untreated and pre-exposed mussels were grown for up to 130 days. Only the mussels pre-exposed to copper were infected by Coccomyxa. This finding allows proposing that occurrences of Coccomyxa-infected mussels worldwide might have an association with water pollution with xenobiotics. Pre-exposure of caged mussels to copper, as a protocol monitoring for other infectious agents, can be recommended to test.</t>
  </si>
  <si>
    <t>[Zuykov, Michael; Spiers, Graeme] Laurentian Univ, Sch Environm, Sudbury, ON P3E 2C6, Canada; [Kolyuchkina, Galina] Russian Acad Sci, Shirshov Inst Oceanol, Moscow 117997, Russia; [Gosselin, Michel] Univ Quebec Rimouski, Inst Sci Rimouski, Rimouski, PQ G5L 3A1, Canada; [Archambault, Philippe] Univ Laval, Dept Biol, Quebec City, PQ G1V 0A6, Canada; [Schindler, Michael] Univ Manitoba, Dept Geol Sci, Winnipeg, MB R3T 2N2, Canada</t>
  </si>
  <si>
    <t>Laurentian University; Russian Academy of Sciences; Shirshov Institute of Oceanology; University of Quebec; Universite du Quebec a Rimouski; Laval University; University of Manitoba</t>
  </si>
  <si>
    <t>Zuykov, M (corresponding author), Laurentian Univ, Sch Environm, Sudbury, ON P3E 2C6, Canada.</t>
  </si>
  <si>
    <t>Michael.zuykov@yahoo.com</t>
  </si>
  <si>
    <t>Kolyuchkina, Galina/R-5154-2019; Gosselin, Michel/B-4477-2014</t>
  </si>
  <si>
    <t>Gosselin, Michel/0000-0002-1044-0793; Kolyuchkina, Galina/0000-0001-6010-0765; Archambault, Philippe/0000-0001-5986-6149</t>
  </si>
  <si>
    <t>VETAC Mining and Environment Doctoral Bursary; NSERC discovery grant</t>
  </si>
  <si>
    <t>VETAC Mining and Environment Doctoral Bursary; NSERC discovery grant(Natural Sciences and Engineering Research Council of Canada (NSERC))</t>
  </si>
  <si>
    <t>The authors are grateful to D. Cossa, F. Wang and E. Pelletier for helpful discussion and assistance with the manuscript preparation. We would like to thank Alexander Zuykov for his volunteering during field work and Debbie Armstrong for the analysis of copper concentrations in the mussel samples. Financial support to M.Z. was provided by the VETAC Mining and Environment Doctoral Bursary. M.S. was supported by a NSERC discovery grant.</t>
  </si>
  <si>
    <t>10.1016/j.marpolbul.2021.112180</t>
  </si>
  <si>
    <t>RZ2OE</t>
  </si>
  <si>
    <t>WOS:000648437500011</t>
  </si>
  <si>
    <t>Savoy, L; Flint, P; Zwiefelhofer, D; Brant, H; Perkins, C; Taylor, R; Lane, O; Hall, J; Evers, D; Schamber, J</t>
  </si>
  <si>
    <t>Savoy, Lucas; Flint, Paul; Zwiefelhofer, Denny; Brant, Heather; Perkins, Christopher; Taylor, Robert; Lane, Oksana; Hall, Jeff; Evers, David; Schamber, Jason</t>
  </si>
  <si>
    <t>Geographic and temporal patterns of variation in total mercury concentrations in blood of harlequin ducks and blue mussels from Alaska</t>
  </si>
  <si>
    <t>Harlequin duck; Histrionicus histrionicus; Alaska; Mercury; Blue mussel</t>
  </si>
  <si>
    <t>EIDERS SOMATERIA-MOLLISSIMA; NORTHEASTERN NORTH-AMERICA; PUFFIN FRATERCULA-CIRRHATA; HOODED MERGANSER EGGS; BERGEN HARBOR AREA; COMMON EIDERS; MYTILUS-EDULIS; TRACE-ELEMENTS; SEA DUCKS; ALEUTIAN CHAIN</t>
  </si>
  <si>
    <t>We compared total mercury (Hg) concentrations in whole blood of harlequin ducks (Histrionicus histrionicus) sampled within and among two geographically distinct locations and across three years in southwest Alaska. Blue mussels were collected to assess correlation between Hg concentrations in locally available forage and birds. Mercury concentrations in harlequin duck blood were significantly higher at Unalaska Island (0.31 +/- 0.19 mean +/- SD, mu g/g blood) than Kodiak Island (0.04 +/- 0.02 mean +/- SD, mu g/g blood). We found no evidence for annual variation in blood Hg concentration between years at Unalaska Island. However, blood Hg concentration did vary among specific sampling locations (i.e., bays) at Unalaska Island. Findings from this study demonstrate harlequin ducks are exposed to environmental sources of Hg, and whole blood Hg concentrations are associated with their local food source. (C) 2017 Elsevier Ltd. All rights reserved.</t>
  </si>
  <si>
    <t>[Savoy, Lucas; Lane, Oksana; Evers, David] Biodivers Res Inst, 276 Canco Rd, Portland, ME 04103 USA; [Flint, Paul; Schamber, Jason] US Geol Survey, Alaska Sci Ctr, 4210 Univ Dr, Anchorage, AK 99508 USA; [Zwiefelhofer, Denny] USFWS, Kodiak Isl Natl Wildlife Refuge, 1390 Buskin River Rd, Kodiak, AK 99615 USA; [Brant, Heather] Univ Georgia, Savannah River Ecol Lab, Aiken, SC 29802 USA; [Perkins, Christopher] Univ Connecticut, Ctr Environm Sci &amp; Engn, 3107 Horsebarn Hill Rd, Storrs, CT 06269 USA; [Taylor, Robert] Texas A&amp;M Univ, Trace Element Res Lab, College Stn, TX 77843 USA; [Hall, Jeff] Utah State Univ, Vet Diagnost Lab, 5700 Old Main Hill, Logan, UT 84322 USA; [Zwiefelhofer, Denny] POB 2100, Kodiak, AK 99615 USA; [Brant, Heather] Savannah River Natl Lab, Aiken, SC 29808 USA; [Schamber, Jason] Alaska Dept Fish &amp; Game, 525 W 67th Ave, Anchorage, AK 99518 USA</t>
  </si>
  <si>
    <t>United States Department of the Interior; United States Geological Survey; United States Department of the Interior; US Fish &amp; Wildlife Service; University System of Georgia; University of Georgia; United States Department of Energy (DOE); Savannah River Ecology Laboratory; University of Connecticut; Texas A&amp;M University System; Texas A&amp;M University College Station; Utah System of Higher Education; Utah State University; United States Department of Energy (DOE); Savannah River National Laboratory; Alaska Department of Fish &amp; Game</t>
  </si>
  <si>
    <t>Savoy, L; Lane, O (corresponding author), Biodivers Res Inst, 276 Canco Rd, Portland, ME 04103 USA.</t>
  </si>
  <si>
    <t>lucas.savoy@briloon.org</t>
  </si>
  <si>
    <t>10.1016/j.marpolbul.2017.01.084</t>
  </si>
  <si>
    <t>WOS:000399258600034</t>
  </si>
  <si>
    <t>Kumar, A; Mathur, RP</t>
  </si>
  <si>
    <t>Bioconcentration kinetics and organ distribution of cadmium in a fresh water teleost, Colisa fasciatus</t>
  </si>
  <si>
    <t>cadmium; bioconcentration; biomagnification; kinetics; Colisa fasciatus</t>
  </si>
  <si>
    <t>MUSSEL MYTILUS-EDULIS; SCANDINAVIAN WATERS; METAL POLLUTION; TRACE-METALS; FISH; INDICATOR</t>
  </si>
  <si>
    <t>The study of the bioconcentration kinetics of the accumulation and distribution of cadmium in tissue of a teleost fish, Colisa fasciatus was undertaken in a laboratory ecosystem. The system was exposed to test water with sublethal concentrations of cadmium and the variability of cadmium (Cd+2) in tissue (gills, liver and muscles) was evaluated. Measurements of Cd+2 contained in individual organs expound high concentrations in gills and liver, indicating that the latter are major sites for bioconcentration. The uptake kinetics of Cd+2 in fish tissues evaluated as a function of time showed an initial rapid phase and a later slow phase of accumulation.</t>
  </si>
  <si>
    <t>UNIV ROORKEE,DEPT CIVIL ENGN,ROORKEE 246667,UTTAR PRADESH,INDIA; UNIV ROORKEE,INDERJEET KAUR DEPT BIOSCI &amp; BIOTECHNOL,ROORKEE 246667,UTTAR PRADESH,INDIA</t>
  </si>
  <si>
    <t>Indian Institute of Technology System (IIT System); Indian Institute of Technology (IIT) - Roorkee; Indian Institute of Technology System (IIT System); Indian Institute of Technology (IIT) - Roorkee</t>
  </si>
  <si>
    <t>SELPER LTD, PUBLICATIONS DIV</t>
  </si>
  <si>
    <t>79 RUSTHALL AVENUE, LONDON, ENGLAND W4 1BN</t>
  </si>
  <si>
    <t>10.1080/09593331708616398</t>
  </si>
  <si>
    <t>UG951</t>
  </si>
  <si>
    <t>WOS:A1996UG95100006</t>
  </si>
  <si>
    <t>Abdel-Halim, KY; El-Saad, AMA; Talha, MM; Hussein, AA; Bakry, NM</t>
  </si>
  <si>
    <t>Abdel-Halim, K. Y.; El-Saad, A. M. Abo; Talha, M. M.; Hussein, A. A.; Bakry, N. M.</t>
  </si>
  <si>
    <t>Oxidative stress on land snail Helix aspersa as a sentinel organism for ecotoxicological effects of urban pollution with heavy metals</t>
  </si>
  <si>
    <t>Atmospheric pollution; Biomarkers; Heavy metals; Oxidative stress; Metallothioneins</t>
  </si>
  <si>
    <t>ANTIOXIDANT ENZYMES; METALLOTHIONEIN; GLUTATHIONE; MUSSEL; EXPOSURE; CADMIUM; LUNG</t>
  </si>
  <si>
    <t>The oxidative stress in the digestive gland of the land snail Helix aspersa was considered as a bioindicator for atmospheric pollution with heavy metals from several industries and vehicular traffic in Kafr El-Zayat city. Regional means of heavy metals concentration of all sites were 0.71, 7.09, 0.71, 2.68, 41.44 and 18.01 mg kg(-1) wet mass for Cd, Mn, Ni, Pb, Zn and Cu, respectively. In addition, the highest values of Cd concentrations were found 1.22 and 1.73 mg kg(-1), wet mass in S1 (Potato International Center) and S4 (The Nile bank), respectively. Lactate dehydrogenase (D-LDH(and recorded lipid peroxidation (LPO) levels were significantly high in S1 and S2 (Traffic station). On the other hand, the highest activity of catalase (CAT) was found in S2 (194.04% of control), while the activity of glutathione peroxidase (GP(x)) reached the highest significant value in S1. As a matter of fact, glutathione-S-transferase (GST) and glutathione reductase (GR) activities were significantly higher in polluted sites than in reference zone. In contrast, the glutathione (GSH) concentration of exposed animals showed significant decrease in all sites, with the lowest value in S1 (57.61% of control). However, metallothioneins concentration (MT) showed no significant difference in all sites except in S1 which accounted for 127.81% of control. Therefore, the overall results of this study showed the importance of H. aspersa as a sentinel organism for biomonitoring the biologic impact of atmospheric pollution in urban areas. (C) 2013 Published by Elsevier Ltd.</t>
  </si>
  <si>
    <t>[Abdel-Halim, K. Y.; Talha, M. M.; Hussein, A. A.] Minist Agr, Cent Agr Pesticides Lab, Mammalian &amp; Aquat Toxicol Dept, Giza 12611, Egypt; [El-Saad, A. M. Abo] Univ Alexandria, Fac Sci, Dept Zool, Alexandria 21545, Egypt; [Bakry, N. M.] Univ Alexandria, Fac Agr, Dept Pesticide Chem &amp; Technol, Alexandria 21545, Egypt</t>
  </si>
  <si>
    <t>Egyptian Knowledge Bank (EKB); Agricultural Research Center - Egypt; Ministry of Agriculture &amp; Land Reclamation - Egypt; Egyptian Knowledge Bank (EKB); Alexandria University; Egyptian Knowledge Bank (EKB); Alexandria University</t>
  </si>
  <si>
    <t>Abdel-Halim, KY (corresponding author), Minist Agr, Cent Agr Pesticides Lab, Mammalian &amp; Aquat Toxicol Dept, Giza 12611, Egypt.</t>
  </si>
  <si>
    <t>khaled_yassen68@yahoo.com</t>
  </si>
  <si>
    <t>10.1016/j.chemosphere.2013.06.042</t>
  </si>
  <si>
    <t>250MW</t>
  </si>
  <si>
    <t>WOS:000326857900040</t>
  </si>
  <si>
    <t>Walker, TR</t>
  </si>
  <si>
    <t>Walker, Tony R.</t>
  </si>
  <si>
    <t>Mercury concentrations in marine sediments near a former mercury cell chlor-alkali plant in eastern Canada</t>
  </si>
  <si>
    <t>Chlor-alkali plant; Total mercury (THg); Sediment; Ecological risk</t>
  </si>
  <si>
    <t>MUSSELS MYTILUS-EDULIS; SYDNEY TAR PONDS; NOVA-SCOTIA; NEW-BRUNSWICK; BLUE MUSSELS; WATER-QUALITY; HARBOR; REMEDIATION; CONTAMINATION; RECOVERY</t>
  </si>
  <si>
    <t>Concentrations of total mercury (THg) were measured in coastal marine sediments near a former chlor-alkali plant in Chaleur Bay, New Brunswick. The chlor-alkali plant has been a local point source of THg since operation began in 1963. Historical THg contamination of marine sediments and biota has been widely reported. No baseline assessment has been conducted following plant closure in 2008. Surface (0-2 cm) oxidized marine sediments were sampled along a single 5.2 km transect radiating from the former plant and analysed for THg. THg concentrations ranged from 0.04-0.28 mu g g(-1). Some localised THg concentrations exceeded Canadian marine sediment quality guidelines (n = 4), but all samples (n = 14) were significantly lower than previous studies conducted during plant operation. Plant closure (source control) and natural sediment recovery likely responsible for attenuating THg concentrations, but burial in deeper anoxic sediments may increase bioavilability of Hg that could pose ecological risks to marine biota. (C) 2016 Elsevier Ltd. All rights reserved.</t>
  </si>
  <si>
    <t>[Walker, Tony R.] Dalhousie Univ, Sch Resource &amp; Environm Studies, Halifax, NS, Canada</t>
  </si>
  <si>
    <t>Dalhousie University</t>
  </si>
  <si>
    <t>Walker, TR (corresponding author), Dalhousie Univ, Sch Resource &amp; Environm Studies, Halifax, NS, Canada.</t>
  </si>
  <si>
    <t>tonyrobertwalker@gmail.com</t>
  </si>
  <si>
    <t>Walker BSc, MPhil, PhD, Tony/ABA-4581-2020</t>
  </si>
  <si>
    <t>Walker, Tony/0000-0001-9008-0697</t>
  </si>
  <si>
    <t>10.1016/j.marpolbul.2016.03.033</t>
  </si>
  <si>
    <t>WOS:000377726700063</t>
  </si>
  <si>
    <t>Kiliç, Ö; Belivermis, M</t>
  </si>
  <si>
    <t>Kilic, Onder; Belivermis, Murat</t>
  </si>
  <si>
    <t>Spatial and Seasonal Distribution of Trace Metal Concentrations in Mussel (Mytilus galloprovincialis) and Sediment of Bosphorus and Golden Horn</t>
  </si>
  <si>
    <t>Bivalve mollusc; Monitoring; Marine; ICP-AES; Istanbul; Turkey</t>
  </si>
  <si>
    <t>HEAVY-METALS; BLACK-SEA; SURFACE SEDIMENTS; TURKISH COAST; MARMARA SEA; POLLUTION; ESTUARY; WATER; ELEMENTS; TURKEY</t>
  </si>
  <si>
    <t>The Golden Horn Estuary and Bosphorus Strait are two major marine environments of metropolitan Istanbul which have been exposed to intensive industrial discharges for more than 50 years. In the present study, concentrations of cadmium (Cd), chromium (Cr), copper (Cu), lead (Pb) and zinc (Zn) were measured in mussel tissue and sediment samples by using inductively coupled plasma-atomic emission spectroscopy to assess the current status of metal pollution in the Golden Horn and Bosphorus Strait. Ranges of Cd, Cr, Cu, Pb and Zn concentrations in soft parts of the mussels were BDL-2.59; BDL-7.35; 3.96-20.90; BDL-10.0; and 124.8-293.2 mu g g(-1) dry weight (dw), respectively, while the ranges of Cd, Cr, Cu, Pb and Zn in &lt; 63 mu m sediment fractions were BDL, 19.5-300.3, 16.9-724.7, 10.5-260.9, and 39.3-793.1 mu g g(-1) dw, respectively. Ranges of Cd, Cr, Cu, Pb and Zn in &gt; 63 mu m sediment fractions were BDL, 4.73-52.81, 3.45-481.87, 3.13-174.67 and 10.7-241.2 mu g g(-1) dw, respectively. Trace metal concentrations found in sediment of the Golden Horn were 5-10 times higher than average literature values obtained in Mediterranean marine environment, whereas those of the Bosphorus Strait were consistent with or slightly higher than average literature values.</t>
  </si>
  <si>
    <t>[Kilic, Onder; Belivermis, Murat] Istanbul Univ, Fac Sci, Dept Biol, TR-34134 Istanbul, Turkey</t>
  </si>
  <si>
    <t>Istanbul University</t>
  </si>
  <si>
    <t>KILIÇ, ÖNDER/AAC-5645-2020; Belivermis, Murat/AAC-8059-2020</t>
  </si>
  <si>
    <t>Belivermis, Murat/0000-0003-4826-5246; Kilic, Onder/0000-0002-1765-6036</t>
  </si>
  <si>
    <t>Scientific Research Projects Coordination Unit of Istanbul University [9144]</t>
  </si>
  <si>
    <t>The authors are thankful to Sayhan Topcuoglu, Yavuz Cotuk and Cem Dalyan for their excellent cooperation. This work was supported by Scientific Research Projects Coordination Unit of Istanbul University. Project Number: 9144.</t>
  </si>
  <si>
    <t>10.1007/s00128-013-1077-5</t>
  </si>
  <si>
    <t>224IX</t>
  </si>
  <si>
    <t>WOS:000324878500008</t>
  </si>
  <si>
    <t>Quintáns-Fondo, A; Ferreira-Coelho, G; Arias-Estévez, M; Nóvoa-Muñoz, JC; Fernández-Calviño, D; Alvarez-Rodríguez, E; Fernández-Sanjurjo, MJ; Núñez-Delgado, A</t>
  </si>
  <si>
    <t>Quintans-Fondo, Ana; Ferreira-Coelho, Gustavo; Arias-Estevez, Manuel; Carlos Novoa-Munoz, Juan; Fernandez-Calvino, David; Alvarez-Rodriguez, Esperanza; Fernandez-Sanjurjo, Maria J.; Nunez-Delgado, Avelino</t>
  </si>
  <si>
    <t>Chromium VI and Fluoride Competitive Adsorption on Different Soils and By-Products</t>
  </si>
  <si>
    <t>PROCESSES</t>
  </si>
  <si>
    <t>adsorption; chromium; competition; fluoride; soil and water pollution</t>
  </si>
  <si>
    <t>FT-IR SPECTROSCOPY; AQUEOUS-SOLUTION; CR(VI) SORPTION/DESORPTION; PINE BARK; REMOVAL; ALUMINUM; BIOSORPTION; WATER; PH; FRACTIONATION</t>
  </si>
  <si>
    <t>Chromium (as Cr(VI)) and fluoride (F-) are frequently found in effluents from different industrial activities. In cases where these effluents reach soil, it can play an important role in retaining those pollutants. Similarly, different byproducts could act as bio-adsorbents to directly treat polluted waters or to enhance the purging potential of soil. In this work, we used batch-type experiments to study competitive Cr(VI) and F- adsorption in two different soils and several kinds of byproducts. Both soils, as well as mussel shell, oak ash, and hemp waste showed higher adsorption for F-, while pyritic material, pine bark, and sawdust had a higher affinity for Cr(VI). Considering the binary competitive system, a clear competition between both elements in anionic form is shown, with decreases in adsorption of up to 90% for Cr(VI), and of up to 30% for F-. Adsorption results showed better fitting to Freundlich's than to Langmuir's model. None of the individual soils or byproducts were able to adsorbing high percentages of both pollutants simultaneously, but it could be highly improved by adding pine bark to increase Cr(VI) adsorption in soils, thus drastically reducing the risks of pollution and deleterious effects on the environment and on public health.</t>
  </si>
  <si>
    <t>[Quintans-Fondo, Ana; Ferreira-Coelho, Gustavo; Alvarez-Rodriguez, Esperanza; Fernandez-Sanjurjo, Maria J.; Nunez-Delgado, Avelino] Univ Santiago de Compostela, Engn Polytech Sch, Dept Soil Sci &amp; Agr Chem, Lugo 27002, Spain; [Arias-Estevez, Manuel; Carlos Novoa-Munoz, Juan; Fernandez-Calvino, David] Univ Vigo, Fac Sci, Dept Plant Biol &amp; Soil Sci, Campus Ourense, Orense 32004, Spain</t>
  </si>
  <si>
    <t>gf_coelho@yahoo.com.br; gf_coelho@yahoo.com.br; mastevez@uvigo.es; edjuanca@uvigo.es; davidfc@uvigo.es; esperanza.alvarez@usc.es; mf.sanjurjo@usc.es; avelino.nunez@usc.es</t>
  </si>
  <si>
    <t>Coelho, Gustavo/F-4986-2015; Fernández-Sanjurjo, María/ABC-6938-2020; Nóvoa-Muñoz, J. C./A-9181-2009; Arias-Estevez, Manuel/M-8629-2016; Alvarez, Esperanza/B-3154-2018; Nunez-Delgado, Avelino/K-3964-2013; Fernandez-Calvino, David/C-5756-2015</t>
  </si>
  <si>
    <t>Arias-Estevez, Manuel/0000-0002-9162-1587; Novoa-Munoz, Juan Carlos/0000-0003-3062-4191; Fernandez-Sanjurjo, Maria J./0000-0001-6728-7147; Alvarez, Esperanza/0000-0003-3470-2679; Nunez-Delgado, Avelino/0000-0001-5373-1606; Fernandez-Calvino, David/0000-0003-0864-7039</t>
  </si>
  <si>
    <t>SPANISH MINISTRY OF ECONOMY AND COMPETITIVENESS [CGL2012-36805-C02-01, CGL2012-36805-C02-02]; European Regional Development Fund (FEDER in Spain)</t>
  </si>
  <si>
    <t>SPANISH MINISTRY OF ECONOMY AND COMPETITIVENESS(Spanish Government); European Regional Development Fund (FEDER in Spain)(Marie Curie ActionsEuropean Union (EU))</t>
  </si>
  <si>
    <t>This research was funded by the SPANISH MINISTRY OF ECONOMY AND COMPETITIVENESS by means of the research projects CGL2012-36805-C02-01 and CGL2012-36805-C02-02. It was also partially financed by the European Regional Development Fund (FEDER in Spain). The APC was not funded but waived by MDPI.</t>
  </si>
  <si>
    <t>2227-9717</t>
  </si>
  <si>
    <t>Processes</t>
  </si>
  <si>
    <t>10.3390/pr7100748</t>
  </si>
  <si>
    <t>Engineering, Chemical</t>
  </si>
  <si>
    <t>JL3MV</t>
  </si>
  <si>
    <t>WOS:000495436200110</t>
  </si>
  <si>
    <t>de Almeida, EA; Miyamoto, S; Bainy, ACD; Medeiros, MHG; Di Mascio, P</t>
  </si>
  <si>
    <t>Protective effect of phospholipid hydroperoxide glutathione peroxidase (PHGPx) against lipid peroxidation in mussels Perna perna exposed to different metals</t>
  </si>
  <si>
    <t>pollution monitoring; mussel Perna perna; oxidative stress; antioxidant; heavy metal; biomarkers</t>
  </si>
  <si>
    <t>ANTIOXIDANT ENZYMES; DIGESTIVE GLAND; UNIO-TUMIDUS; BIOMARKERS; TISSUES; COPPER; GILLS; RATS; CLAM</t>
  </si>
  <si>
    <t>Levels of antioxidant defenses and lipid peroxidation were evaluated in mussels exposed to lead (200 mg/1), iron (500 mug/l), cadmium (200 mug/1) and copper (40 mug/1), for 12, 24, 72 and 120 h. Glutathione S-transferase (GST) activity was unchanged with all treatments. Catalase (CAT) increased after 120 h of exposure to all metals. Mussels exposed to Cd for 12 h, and to Cu and Fe for 120 h had increased lipid peroxidation, which might be associated to decreased levels of reduced glutathione (GSH) and glutathione peroxidase (GPx) activity. Pb exposure caused GSH depletion after 12 h and increased GPx activity after 120 h. Negative correlations were observed between the enzyme phospholipid hydroperoxide glutathione peroxidase (PHGPx) and malonaldehyde (MDA) levels after Fe and Cu exposure, indicating a protective role of PHGPx against lipid peroxidation, and suggesting the use of this enzyme as a new potential biomarker of toxicity associated with contaminant exposure in mussels. (C) 2004 Elsevier Ltd. All rights reserved.</t>
  </si>
  <si>
    <t>Univ Sao Paulo, Inst Quim, Dept Bioquim, Sao Paulo, SP, Brazil; Univ Fed Santa Catarina, Ctr Ciencias Biol, Dept Bioquim, BR-88040900 Florianopolis, SC, Brazil</t>
  </si>
  <si>
    <t>Universidade de Sao Paulo; Universidade Federal de Santa Catarina (UFSC)</t>
  </si>
  <si>
    <t>Univ Sao Paulo, Inst Quim, Dept Bioquim, CP 26-077, Sao Paulo, SP, Brazil.</t>
  </si>
  <si>
    <t>pdmascio@iq.usp.br</t>
  </si>
  <si>
    <t>Bainy, Afonso/J-6097-2012; Miyamoto, Sayuri/A-2144-2008; Medeiros, Marisa Helena Gennari de/A-5212-2008; Di Mascio, Paolo/D-1264-2014; Alves de Almeida, Eduardo/B-7630-2012</t>
  </si>
  <si>
    <t>Miyamoto, Sayuri/0000-0002-5714-8984; Bainy, Afonso/0000-0002-3885-7718; Medeiros, Marisa Helena Gennari de/0000-0002-5438-1174; Di Mascio, Paolo/0000-0003-4125-8350; Alves de Almeida, Eduardo/0000-0002-4604-9104</t>
  </si>
  <si>
    <t>10.1016/j.marpolbul.2004.02.020</t>
  </si>
  <si>
    <t>WOS:000223817200016</t>
  </si>
  <si>
    <t>Huang, XZ; Jiang, XY; Sun, M; Dupont, S; Huang, W; Hu, MH; Li, QZ; Wang, YJ</t>
  </si>
  <si>
    <t>Huang, Xizhi; Jiang, Xiaoyu; Sun, Meng; Dupont, Sam; Huang, Wei; Hu, Menghong; Li, Qiongzhen; Wang, Youji</t>
  </si>
  <si>
    <t>Effects of copper on hemocyte parameters in the estuarine oyster Crassostrea rivularis under low pH conditions</t>
  </si>
  <si>
    <t>Copper; Low pH; Oyster; Hemocyte; Immune response; Flow cytometry</t>
  </si>
  <si>
    <t>OCEAN ACIDIFICATION; SEAWATER ACIDIFICATION; PACIFIC OYSTER; OXIDATIVE STRESS; TRACE-METALS; IMMUNE FUNCTIONS; MUSSEL; RESPONSES; EXPOSURE; CADMIUM</t>
  </si>
  <si>
    <t>With the development of industry and agriculture, the metal pollutants (e.g., Cu) are inevitably released into the aquatic environment. In addition, ocean acidification (OA) as a major environmental stress is affecting marine organisms. In this study, we investigated the hemocyte responses of the estuarine oyster Crassostrea rivularis exposed to six combinations of two pH levels (8.1 and 7.7) and three Cu concentrations (0, 10 and 50 mu g/l) using flow cytometry in vitro and in vivo. In both experiments, Cu and low pH jointly affected the hemocyte parameters of oyster. High Cu exposure resulted in decreased total hemocyte count (THC), esterase activity (EA) and lysosomal content (LC) and increased hemocyte mortality (HM), phagocytosis activity (PA) and reactive oxygen species (ROS) production, especially under low pH conditions. The immune suppression of metal-exposure was more significant than low pH exposure with a 28-d experimental period in oysters. A slight recovery of the immune parameters was observed in THC, HM, PA, ROS and LC. During the depuration period, the modulatory effects of pH were still obvious. In addition, carry-over effects of high Cu and low pH were still observed. Overall, our results showed that copper and low pH weaken immune functions of hemocyte in oysters, with synergistic effects. This work provides new evidence of sublethal negative effects of metals on marine animals under global change scenarios, and copper likely leads to reduced fitness of oysters under low pH conditions.</t>
  </si>
  <si>
    <t>[Huang, Xizhi; Jiang, Xiaoyu; Sun, Meng; Hu, Menghong; Wang, Youji] Shanghai Ocean Univ, Natl Demonstrat Ctr Expt Fisheries Sci Educ, Shanghai 201306, Peoples R China; [Huang, Xizhi; Jiang, Xiaoyu; Sun, Meng; Hu, Menghong; Wang, Youji] Shanghai Ocean Univ, Minist Sci &amp; Technol, Int Res Ctr Marine Biosci, Shanghai, Peoples R China; [Huang, Xizhi; Jiang, Xiaoyu; Sun, Meng; Hu, Menghong; Wang, Youji] Shanghai Ocean Univ, Minist Educ, Key Lab Explorat &amp; Utilizat Aquat Genet Resources, Shanghai, Peoples R China; [Li, Qiongzhen] Guangxi Acad Fishery Sci, Nanning, Peoples R China; [Huang, Wei] State Ocean Adm, Inst Oceanog 2, Lab Marine Ecosyst &amp; Biogeochem, Hangzhou 310058, Zhejiang, Peoples R China; [Dupont, Sam; Wang, Youji] Univ Gothenburg, Sven Lovett Ctr Marine Infrastruct Kristineberg, Dept Biol &amp; Environm Sci, Fiskebackskil, Sweden</t>
  </si>
  <si>
    <t>Shanghai Ocean University; Shanghai Ocean University; Shanghai Ocean University; Ministry of Natural Resources of the People's Republic of China; Second Institute of Oceanography, Ministry of Natural Resources; University of Gothenburg</t>
  </si>
  <si>
    <t>Wang, YJ (corresponding author), Shanghai Ocean Univ, Natl Demonstrat Ctr Expt Fisheries Sci Educ, Shanghai 201306, Peoples R China.;Li, QZ (corresponding author), Guangxi Acad Fishery Sci, Nanning, Peoples R China.</t>
  </si>
  <si>
    <t>310687878@qq.com; yj_wang@shou.edu.cn</t>
  </si>
  <si>
    <t>Huang, Wei/L-7090-2019; Dupont, Sam/F-5527-2013; Wang, Youji/B-8086-2011</t>
  </si>
  <si>
    <t>Wang, Youji/0000-0003-3011-1919; hu, menghong/0000-0003-1382-8571</t>
  </si>
  <si>
    <t>China-ASEAN Maritime Cooperation Fund (China-ASEAN Center for Joint Research and Promotion of Marine Aquaculture Technology); Shanghai Municipal Natural Science Foundation [17ZR1412900]; National Science &amp; Technology Pillar Program [2015BADO8B01]; China-APEC Cooperation Fund [2029901]; open fund of Zhejiang provincial first class discipline of biological engineering [KF2018006]; open fund of Guangxi key laboratory of aquatic genetic breeding and healthy aquaculture; Shanghai Pujiang Program [18PJ1404000]</t>
  </si>
  <si>
    <t>China-ASEAN Maritime Cooperation Fund (China-ASEAN Center for Joint Research and Promotion of Marine Aquaculture Technology); Shanghai Municipal Natural Science Foundation; National Science &amp; Technology Pillar Program; China-APEC Cooperation Fund; open fund of Zhejiang provincial first class discipline of biological engineering; open fund of Guangxi key laboratory of aquatic genetic breeding and healthy aquaculture; Shanghai Pujiang Program(Shanghai Pujiang Program)</t>
  </si>
  <si>
    <t>This work was supported by the China-ASEAN Maritime Cooperation Fund (China-ASEAN Center for Joint Research and Promotion of Marine Aquaculture Technology), the grant (project no. 17ZR1412900) from Shanghai Municipal Natural Science Foundation, the Shanghai Pujiang Program (18PJ1404000), the National Science &amp; Technology Pillar Program (2015BADO8B01) and the China-APEC Cooperation Fund (2029901). This work was also supported by the open fund of Zhejiang provincial first class discipline of biological engineering (KF2018006) and the open fund of Guangxi key laboratory of aquatic genetic breeding and healthy aquaculture.</t>
  </si>
  <si>
    <t>10.1016/j.aquatox.2018.08.003</t>
  </si>
  <si>
    <t>GV5MY</t>
  </si>
  <si>
    <t>WOS:000446147500007</t>
  </si>
  <si>
    <t>Haraguchi, K; Ando, T; Sato, M; Kawaguchi, C; Tomiyasu, T; Horvat, M; Akagi, H</t>
  </si>
  <si>
    <t>Detection of localized methylmercury contamination by use of the mussel adductor muscle in Minamata Bay and Kagoshima Bay, Japan</t>
  </si>
  <si>
    <t>mercury pollution; methylmercury; total mercury; biological indicator; mussel; adductor muscle; coastal areas</t>
  </si>
  <si>
    <t>TAPAJOS RIVER BASIN; MYTILUS-EDULIS; MERCURY POLLUTION; HUMAN HAIR; WATER; SIZE; ENVIRONMENT; INDICATOR; PROJECT; BRAZIL</t>
  </si>
  <si>
    <t>Based on our previous finding that the concentrations of total mercury in mussel adductor muscle approximated those of methylmercury, we compared concentrations of total mercury in the adductor muscle of the mussel Mytilus galloprovincialis, collected from four sites around Minamata City from 1993 to 1995 and four sites in Kagoshima Bay from 1997 to 1998, to assess the level of localized methylmercury contamination. Though the input of mercury from the chemical plant had stopped by around 1970, concentrations of total mercury in the mussel adductor muscle were higher at two sites (26-121 ng/g, n = 135) near the main fallout of wastewater from the chemical plant in Minamata Bay than at the other sites, i.e. two sites 1-5 km from the former sites in Minamata City (6-28 ng/g, n = 52), and all sites in Kagoshima Bay (2-30 ng/g, n = 287). The localized methylmercury contamination around the chemical plant in Minamata Bay was documented also by our sensitive analysis of mercury concentrations in seawater and sediment samples. The survey of concentrations of total mercury in the mussel adductor muscle seems to be useful for monitoring the methylmercury contamination in coastal areas. (C) 2000 Elsevier Science B.V. All rights reserved.</t>
  </si>
  <si>
    <t>Natl Inst Minamata Dis, Kumamoto 867, Japan; Kagoshima Univ, Fac Med, Dept Publ Hlth, Kagoshima 890, Japan; Kagoshima Univ, Fac Sci, Dept Earth &amp; Environm Sci, Kagoshima 890, Japan; Jozef Stefan Inst, Dept Environm Sci, Ljubljana 1000, Slovenia</t>
  </si>
  <si>
    <t>Kagoshima University; Kagoshima University; Slovenian Academy of Sciences &amp; Arts (SASA); Jozef Stefan Institute</t>
  </si>
  <si>
    <t>Natl Inst Minamata Dis, Kumamoto 867, Japan.</t>
  </si>
  <si>
    <t>koh@bios.tohoku.ac.jp</t>
  </si>
  <si>
    <t>10.1016/S0048-9697(00)00626-4</t>
  </si>
  <si>
    <t>WOS:000089587200008</t>
  </si>
  <si>
    <t>Cizdziel, JV; Hinners, TA; Heithmar, EM</t>
  </si>
  <si>
    <t>Determination of total mercury in fish tissues using combustion atomic absorption spectrometry with gold amalgamation</t>
  </si>
  <si>
    <t>atomic absorption spectrometry; combustion; fish; gold amalgamation; mercury</t>
  </si>
  <si>
    <t>GAS-CHROMATOGRAPHY; BIOLOGICAL SAMPLES; FLUORESCENCE DETECTION; METHYLMERCURY; SELENIUM; TOXICITY; MUSCLE; WATER</t>
  </si>
  <si>
    <t>A simple and rapid procedure for measuring total mercury in fish tissues is evaluated and compared with conventional techniques. Using an automated instrument incorporating combustion, preconcentration by amalgamation with gold, and atomic absorption spectrometry (AAS), milligram quantities of wet fish tissue were analyzed directly for mercury (i.e., without acid digestion). Seven tissue types (skeletal muscle, liver, blood, gonad, brain, gill, and heart) from five species (340 fish) were analyzed. Because of the small quantities of tissue needed for analysis, we document the homogeneity of mercury within the tissues and determine a preferred sampling technique and location for skeletal muscle. The precision was found to be generally &gt; 10% (rsd), and the accuracy was determined by using certified reference materials (dogfish muscle, dogfish liver, and oyster tissue). Comparisons to conventional cold-vapor AAS (CV-AAS) and isotope dilution inductively coupled plasma mass spectrometry found that the methods give statistically equivalent (p &gt; 0.05) results. Because the combustion-AAS method is faster than conventional CV-AAS and produces no waste reagents, it should be particularly useful for laboratories that analyze large numbers of fish for mercury. The method detection limit for fish-muscle homogenate was estimated at 0.9 ng g(-1).</t>
  </si>
  <si>
    <t>Univ Nevada, Harry Reid Ctr Environm Studies, Las Vegas, NV 89154 USA; US EPA, Natl Exposure Res Lab, Environm Chem Branch, Las Vegas, NV 89193 USA</t>
  </si>
  <si>
    <t>Nevada System of Higher Education (NSHE); University of Nevada Las Vegas; United States Environmental Protection Agency</t>
  </si>
  <si>
    <t>Cizdziel, JV (corresponding author), Univ Nevada, Harry Reid Ctr Environm Studies, Las Vegas, NV 89154 USA.</t>
  </si>
  <si>
    <t>Cizdziel, James/AAA-5897-2019</t>
  </si>
  <si>
    <t>10.1023/A:1014798012212</t>
  </si>
  <si>
    <t>532UH</t>
  </si>
  <si>
    <t>WOS:000174493100023</t>
  </si>
  <si>
    <t>Kang, CH; Shin, Y; Yu, H; Kim, S; So, JS</t>
  </si>
  <si>
    <t>Kang, Chang-Ho; Shin, YuJin; Yu, HongSik; Kim, SuKyung; So, Jae-Seong</t>
  </si>
  <si>
    <t>Antibiotic and heavy-metal resistance of Vibrio parahaemolyticus isolated Check for from oysters in Korea</t>
  </si>
  <si>
    <t>Vibrio parahaemolyticus; Oyster; Antibiotic; Heavy metal; Virulence genes</t>
  </si>
  <si>
    <t>REAL-TIME PCR; ANTIMICROBIAL SUSCEPTIBILITY; SHELLFISH; PREVALENCE; VULNIFICUS; STRAINS; SEAFOOD; CONTAMINATION; SOIL</t>
  </si>
  <si>
    <t>Vibrio parahaemolyticus, found frequently in oysters and other seafoods, is the most prevalent gastroenteritis-causing pathogen in Korea and other Asian countries. It is associated exclusively with the consumption of raw or improperly cooked contaminated seafood, especially oysters. In this study, we isolated and characterized 59 V. parahaemolyticus strains (toxR-positive) from May to October 2016 in shellfish-harvesting areas off the west coast of Korea. The results revealed that none of the isolates contained the tdh and trh toxicity genes. The multiple antibiotic resistance (MAR) value of most isolates was 0.32, but it was as high as 0.69 in one isolate strain. Moreover, when resistance to heavy metals was examined, the majority of the isolates displayed resistance to Ba2+ (98.3%), Co3+ (28.8%), Cd2+ (16.9%), and Cu2+ (13.6%). Interestingly our data revealed that tolerance to heavy metals was prevalent in the V. parahaemolyticus strains with more than two antibiotic resistance phenotypes.</t>
  </si>
  <si>
    <t>[Kang, Chang-Ho; Shin, YuJin; So, Jae-Seong] Inha Univ, Dept Biol Engn, 100 Inha Ro, Incheon 22212, South Korea; [Yu, HongSik; Kim, SuKyung] NFRDI, West Sea Fisheries Inst, Incheon, South Korea</t>
  </si>
  <si>
    <t>Inha University</t>
  </si>
  <si>
    <t>Kang, Chang-Ho/0000-0001-6466-8550</t>
  </si>
  <si>
    <t>National Institute of Fisheries Science in Korea [R2017057]</t>
  </si>
  <si>
    <t>National Institute of Fisheries Science in Korea</t>
  </si>
  <si>
    <t>This work was supported by a grant from the National Institute of Fisheries Science in Korea (R2017057).</t>
  </si>
  <si>
    <t>10.1016/j.marpolbul.2018.07.007</t>
  </si>
  <si>
    <t>GX9BT</t>
  </si>
  <si>
    <t>WOS:000448094200009</t>
  </si>
  <si>
    <t>Abdoul, HH; Khalloufi, N; Bejaoui, M; Al-Hoshani, N; Boufahja, F; Mahmoudi, E</t>
  </si>
  <si>
    <t>Abdoul, Hassan Hadi; Khalloufi, Noureddine; Bejaoui, Mustapha; Al-Hoshani, Nawal; Boufahja, Fehmi; Mahmoudi, Ezzeddine</t>
  </si>
  <si>
    <t>Bioaccumulation of heavy metals in water, sediments, and tissues and their histopathological effects on Unio tigridis (Bourguignat 1852)</t>
  </si>
  <si>
    <t>ACTA GEOPHYSICA</t>
  </si>
  <si>
    <t>Al-Hammar marsh; Unio tigridis; Heavy metals; Digestive glands</t>
  </si>
  <si>
    <t>CADMIUM; MUSSEL; COPPER; GALLOPROVINCIALIS; BIOMARKERS; POLLUTION; RESPONSES; FISH</t>
  </si>
  <si>
    <t>The current study assessed the accumulation rate of four heavy metals (i.e., Cu, Zn, Cd, and Pb) in water, sediment, and tissues of the freshwater mussels Unio tigridis. The trace metal concentrations in water, sediment, and tissues showed the following decreasing trend: Zn (mean W: 31.08 mg/L; mean S: 10.495 mg/g; and mean T:4.925 mg/g) &gt; Cu (mean W: 6.538 mg/L; mean S: 46.712 mg/g; and mean T: 17.127) &gt; Pb (mean W: 31.08 mg/L; mean S: 10.495 mg/g; and mean T:4.925 mg/g) &gt; Cd (mean W: 0.277 mg/L; mean S: 0.77 mg/g; and mean T: 0.674 mg/g), and the toxic metal concentrations exceeded the recommended acceptable limits. Necrosis, blood cell infiltration, atrophy, epithelium damage, brown cells, and fat agglomerates were the most common histological changes found in the digestive glands of mussels. These histopathological lesions can be considered reliable biomarkers in biomonitoring programs for heavy metal contamination in aquatic ecosystems.</t>
  </si>
  <si>
    <t>[Abdoul, Hassan Hadi] Univ Sfax, Fac Sci Sfax, Dept Life Sci, Sfax, Tunisia; [Abdoul, Hassan Hadi; Khalloufi, Noureddine; Bejaoui, Mustapha; Mahmoudi, Ezzeddine] Univ Carthage, Fac Sci Bizerte, Lab Environm Biomonitoring LR01ES14, Zarzouna, Tunisia; [Al-Hoshani, Nawal] Princess Nourah bint Abdulrahman Univ, Coll Sci, Dept Biol, POB 84428, Riyadh 11671, Saudi Arabia; [Boufahja, Fehmi] Imam Mohammad Ibn Saud Islamic Univ IMSIU, Coll Sci, Biol Dept, Riyadh 11623, Saudi Arabia</t>
  </si>
  <si>
    <t>Universite de Sfax; Faculty of Sciences Sfax; Universite de Carthage; Princess Nourah bint Abdulrahman University; Imam Mohammad Ibn Saud Islamic University (IMSIU)</t>
  </si>
  <si>
    <t>Abdoul, HH (corresponding author), Univ Sfax, Fac Sci Sfax, Dept Life Sci, Sfax, Tunisia.;Abdoul, HH (corresponding author), Univ Carthage, Fac Sci Bizerte, Lab Environm Biomonitoring LR01ES14, Zarzouna, Tunisia.</t>
  </si>
  <si>
    <t>hasan231arb@gmail.com</t>
  </si>
  <si>
    <t>MAHMOUDI, Ezzeddine/ISS-6035-2023</t>
  </si>
  <si>
    <t>Princess Nourah bint Abdulrahman University, Riyadh, Saudi Arabia [PNURSP2023R437]</t>
  </si>
  <si>
    <t>Princess Nourah bint Abdulrahman University, Riyadh, Saudi Arabia(Princess Nourah bint Abdulrahman University)</t>
  </si>
  <si>
    <t>The authors extend their appreciation to the Princess Nourah bint Abdulrahman University Researchers Supporting Project number (PNURSP2023R437), Princess Nourah bint Abdulrahman University, Riyadh, Saudi Arabia.</t>
  </si>
  <si>
    <t>1895-6572</t>
  </si>
  <si>
    <t>1895-7455</t>
  </si>
  <si>
    <t>ACTA GEOPHYS</t>
  </si>
  <si>
    <t>Acta Geophys.</t>
  </si>
  <si>
    <t>10.1007/s11600-023-01120-6</t>
  </si>
  <si>
    <t>Geochemistry &amp; Geophysics</t>
  </si>
  <si>
    <t>UV8V5</t>
  </si>
  <si>
    <t>WOS:001033664000001</t>
  </si>
  <si>
    <t>Rhee, JS; Won, EJ; Kim, RO; Lee, J; Shin, KH; Lee, JS</t>
  </si>
  <si>
    <t>Rhee, Jae-Sung; Won, Eun-Ji; Kim, Ryeo-Ok; Lee, Jehee; Shin, Kyung-Hoon; Lee, Jae-Seong</t>
  </si>
  <si>
    <t>Expression of superoxide dismutase (SOD) genes from the copper-exposed polychaete, Neanthes succinea</t>
  </si>
  <si>
    <t>Polychaete; Neanthes succinea; Copper and zinc superoxide dismutase; Manganese superoxide dismutase; Oxidative stress; Copper</t>
  </si>
  <si>
    <t>AMYOTROPHIC-LATERAL-SCLEROSIS; SCALLOP ADAMUSSIUM COLBECKI; OXIDATIVE STRESS RESPONSES; TRANSFERASE GST-T; ENVIRONMENTAL-POLLUTION; MOLECULAR-CLONING; NEARBY AREAS; KYEONGGI BAY; LAKE SHIHWA; SEDIMENT</t>
  </si>
  <si>
    <t>To evaluate the superoxide dismutase (SOD) genes as a potential indicator of environmental stress, we cloned and sequenced the full-length cDNA of a Cu/Zn-SOD and Mn-SOD genes from the marine polychaete, Neanthes succinea. Ns-Cu/Zn- and Mn-SOD expression was measured using quantitative real-time RT-PCR in response to the oxidative stress induced by copper in the form of CuCl2. Ns-Cu/Zn-SOD expression increased in a dose dependent manner but the increase of Mn-SOD expression was evident only at a high concentration of copper. Particularly, Ns-Mn-SOD dramatically increased in the 72 mu g/L CuCl2-exposed groups, indicating that both Ns-SOD genes were induced by copper exposure. These results suggest that Ns-Cu/Zn- and Ns-Mn-SOD would play important roles in the detoxification of cellular oxidative stresses in the polychaete, N. succinea. Furthermore, as part of field work, the marine polychaete, N. succinea Cu/Zn-SOD mRNA collected from the polluted area was accordingly upregulated in expression but not for NS-Mn-SOD. (C) 2011 Elsevier Ltd. All rights reserved.</t>
  </si>
  <si>
    <t>[Won, Eun-Ji; Shin, Kyung-Hoon] Hanyang Univ, Coll Sci &amp; Technol, Dept Environm Marine Sci, Ansan 426791, South Korea; [Rhee, Jae-Sung] Hanyang Univ, Grad Sch, Dept Marine Mol &amp; Environm Biosci, Seoul 133791, South Korea; [Kim, Ryeo-Ok; Lee, Jae-Seong] Hanyang Univ, Coll Nat Sci, Dept Chem, Seoul 133791, South Korea; [Kim, Ryeo-Ok; Lee, Jae-Seong] Hanyang Univ, Coll Nat Sci, Res Inst Nat Sci, Seoul 133791, South Korea; [Lee, Jehee] Cheju Natl Univ, Coll Ocean Sci, Dept Marine Life Sci, Cheju 690756, South Korea</t>
  </si>
  <si>
    <t>Hanyang University; Hanyang University; Hanyang University; Hanyang University; Jeju National University</t>
  </si>
  <si>
    <t>Shin, KH (corresponding author), Hanyang Univ, Coll Sci &amp; Technol, Dept Environm Marine Sci, Ansan 426791, South Korea.</t>
  </si>
  <si>
    <t>shinkh@hanyang.ac.kr; jslee2@hanyang.ac.kr</t>
  </si>
  <si>
    <t>Lee, Jehee/AAS-3229-2021; Shin, Kyung-Hoon/AAD-6999-2021; Won, Eun-Ji/ABI-5949-2020; Lee, Jae-Seong/H-6013-2015</t>
  </si>
  <si>
    <t>Shin, Kyung-Hoon/0000-0002-3169-4274; Lee, Jae-Seong/0000-0003-0944-5172; Lee, Jehee/0000-0001-9144-3648; Rhee, Jae-Sung/0000-0003-3313-8850</t>
  </si>
  <si>
    <t>National Research Foundation [2010-0015903]</t>
  </si>
  <si>
    <t>National Research Foundation</t>
  </si>
  <si>
    <t>We thank Mr. Winson K. Chan for his comments on the manuscript. This work was supported by a grant of National Research Foundation (2010-0015903) funded to Kyung-Hoon Shin.</t>
  </si>
  <si>
    <t>5-12</t>
  </si>
  <si>
    <t>10.1016/j.marpolbul.2011.04.023</t>
  </si>
  <si>
    <t>809YN</t>
  </si>
  <si>
    <t>WOS:000294092700032</t>
  </si>
  <si>
    <t>LUKYANOVA, ON</t>
  </si>
  <si>
    <t>SOME BIOCHEMICAL PARAMETERS OF MARINE-INVERTEBRATES FROM A REGION OF ANTHROPOGENIC POLLUTION</t>
  </si>
  <si>
    <t>RUSSIAN JOURNAL OF ECOLOGY</t>
  </si>
  <si>
    <t>The author investigated the concentrations of glutathione, carotenoids, and the adenylate energy charge (AEC) of Swift's scallop and intermediate sea urchin from Rudnaya Bay, which is polluted with wastes from enterprises processing lead and zinc ores. Increased contents of heavy metals (lead, zinc, cadmium) were shown in the animals' organs. A reduction in AEC for scallop and sea urchin indicates that the animals have experienced a stressful action caused by pollution.</t>
  </si>
  <si>
    <t>LUKYANOVA, ON (corresponding author), RUSSIAN ACAD SCI, FAR EASTERN BRANCH, INST MARINE BIOL, MOSCOW 117901, RUSSIA.</t>
  </si>
  <si>
    <t>Lukyanova, Olga/M-1346-2014</t>
  </si>
  <si>
    <t>1067-4136</t>
  </si>
  <si>
    <t>RUSS J ECOL+</t>
  </si>
  <si>
    <t>Russ. J. Ecol.</t>
  </si>
  <si>
    <t>TB232</t>
  </si>
  <si>
    <t>WOS:A1994TB23200007</t>
  </si>
  <si>
    <t>Li, DD; Wang, PF; Wang, C; Fan, XL; Wang, X; Hu, B</t>
  </si>
  <si>
    <t>Li, Dandan; Wang, Peifang; Wang, Chao; Fan, Xiulei; Wang, Xun; Hu, Bin</t>
  </si>
  <si>
    <t>Combined toxicity of organophosphate flame retardants and cadmium to Corbicula fluminea in aquatic sediments</t>
  </si>
  <si>
    <t>Organophosphate flame retardants; Heavy metal; Bivalve; Physiological response; Sediments</t>
  </si>
  <si>
    <t>S-TRANSFERASE ACTIVITIES; OXIDATIVE STRESS; GENE-EXPRESSION; HEAVY-METALS; MULTIXENOBIOTIC RESISTANCE; ENVIRONMENTAL-POLLUTION; BIOMARKER RESPONSE; ASIAN CLAM; EXPOSURE; METALLOTHIONEIN</t>
  </si>
  <si>
    <t>Organophosphate flame retardants (OPFRs), as alternatives to polybrominated biphenyl ethers (PBDEs), are frequently detected in various environmental matrices. Owing to urbanization and industrial pollution, co-contamination of OPFRs and heavy metals is ubiquitous in the environment. The toxicity of OPFRs in aqueous phase is a significant concern, but uncertainty still exists regarding the co-toxicity to benthic organisms of OPFRs and metals in sediments. Hence, we explored the physiological response of Corbicula fluminea to OPFRs and Cd in sediments. The results indicated that the antioxidant system in the clams was stimulated in the presence of OPFRs and Cd, and the oxidative stress increased with increasing concentrations of OPFRs. In contrast, the cytochrome P450 (CYP450) content and acetylcholinesterase (AChE) activity were reduced by exposure to both OPFRs and Cd. The cytochrome P450 4 family (CYP4) mRNA expression and OPFR toxicity were lower than those in previously reported experiments conducted in the water phase. Moreover, the expression levels of metallothionein (MT) and AChE mRNA decreased when OPFRs and Cd were present together. The highest integrated biomarker response (IBR) index (IBR = 15.41) was observed in the presence of 45 mg kg(-1) Cd + 200 mg kg(-1) OPFRs, rather than the 45 mg kg(-1) Cd + 400 mg kg(-1) OPFRs treatment (IBR = 9.48). In addition, CYP450 and AChE in the digestive glands of C. fluminea exhibited significant correlations with the concentration of the OPFR/Cd mixture (p &lt; 0.01) and could be effective biomarkers for OPFR and Cd co-contamination. The results potentially contribute to more realistic predictions and evaluations of the environmental risks posed by OPFRs in aquatic sediments contaminated with heavy metals, particularly with respect to the risk to benthic organisms. (C) 2018 Elsevier Ltd. All rights reserved.</t>
  </si>
  <si>
    <t>[Li, Dandan; Wang, Peifang; Wang, Chao; Fan, Xiulei; Wang, Xun; Hu, Bin] Hohai Univ, Coll Environm, Key Lab Integrated Regulat &amp; Resource Dev Shallow, Minist Educ, Nanjing 210098, Jiangsu, Peoples R China; [Wang, Peifang] 1 Xikang Rd, Nanjing 210098, Jiangsu, Peoples R China</t>
  </si>
  <si>
    <t>Wang, PF (corresponding author), Hohai Univ, Coll Environm, Key Lab Integrated Regulat &amp; Resource Dev Shallow, Minist Educ, Nanjing 210098, Jiangsu, Peoples R China.;Wang, PF (corresponding author), 1 Xikang Rd, Nanjing 210098, Jiangsu, Peoples R China.</t>
  </si>
  <si>
    <t>Wang, Chao/GXF-8353-2022; Li, Dan/HJA-0406-2022</t>
  </si>
  <si>
    <t>Li, Dandan/0009-0001-9611-3645</t>
  </si>
  <si>
    <t>National Science Funds for Creative Research Groups of China [51421006]; Key Program of National Natural Science Foundation of China [91647206, 41430751]; National Key Plan for Research and Development of China [2016YFC0502203]; National Natural Science Foundation of China [51579073]; PAPD</t>
  </si>
  <si>
    <t>National Science Funds for Creative Research Groups of China(Science Fund for Creative Research Groups); Key Program of National Natural Science Foundation of China(National Natural Science Foundation of China (NSFC)); National Key Plan for Research and Development of China; National Natural Science Foundation of China(National Natural Science Foundation of China (NSFC)); PAPD</t>
  </si>
  <si>
    <t>We are grateful for the grants for Project supported by the National Science Funds for Creative Research Groups of China (No.51421006), the Key Program of National Natural Science Foundation of China (No. 41430751, 91647206), the National Key Plan for Research and Development of China (2016YFC0502203), the Key Program of National Natural Science Foundation of China (No. 91647206), the National Natural Science Foundation of China (No. 51579073), and PAPD.</t>
  </si>
  <si>
    <t>10.1016/j.envpol.2018.08.076</t>
  </si>
  <si>
    <t>WOS:000449891800070</t>
  </si>
  <si>
    <t>Araújo, DF; Ponzevera, E; Briant, N; Knoery, J; Bruzac, S; Sireau, T; Brach-Papa, C</t>
  </si>
  <si>
    <t>Araujo, Daniel F.; Ponzevera, Emmanuel; Briant, Nicolas; Knoery, Joel; Bruzac, Sandrine; Sireau, Teddy; Brach-Papa, Christophe</t>
  </si>
  <si>
    <t>Copper, zinc and lead isotope signatures of sediments from a mediterranean coastal bay impacted by naval activities and urban sources</t>
  </si>
  <si>
    <t>APPLIED GEOCHEMISTRY</t>
  </si>
  <si>
    <t>Metal isotopes; Isotope tracers; Geochemical isotopes; Environmental pollution; Coastal pollution; Toulon bay</t>
  </si>
  <si>
    <t>SUSPENDED PARTICULATE MATTER; OCEANIC MASS-BALANCE; ZN ISOTOPE; STABLE-ISOTOPES; ANTHROPOGENIC SOURCES; METAL POLLUTION; CU ISOTOPES; TOULON BAY; VINEYARD CATCHMENT; BIVALVE MOLLUSKS</t>
  </si>
  <si>
    <t>Toulon bay is severely impacted by metal contamination induced by past and recent naval activities. In this work, Cu, Zn and Pb isotope compositions and elemental concentrations of fifty-five surface sediments were determined in order to map the spatial distribution of anthropogenic and natural sources along this land-sea continuum. Two sub-systems of Toulon Bay, the Small and Large bays, showed well-marked patterns on metal contamination levels and isotope signatures for Cu and Pb. The Small bay had the highest metal concentrations, and displayed average Pb and Cu isotope compositions of 1.1664 +/- 0.0043 (1s, expressed as Pb-206/Pb-207 ratios) and -0.17 +/- 0.19 parts per thousand (1s, expressed as delta Cu-66(NIST) values), respectively. It contrasted with the Large bay, with moderate to pristine metal concentrations and average Pb and Cu isotope compositions of 1.1763 +/- 0.0079 (1s) and +0.08 +/- 0.23 parts per thousand (1s), respectively. Lead isotope systematics indicated a binary source mixing process involving industrial and natural sources, while Cu isotope systematics showed a ternary mixing process involving two distinct anthropogenic signatures, interpreted as associated to new diffuse anthropogenic sources and old warfare material. In contrast, Zn isotope compositions in the Small and Large bays were practically the same: +0.06 +/- 0.05 parts per thousand and +0.06 +/- 0.11 parts per thousand (1s, expressed delta(66) Zn-JMC values), respectively, denoting an overlap between isotope signatures of natural and anthropogenic sources. This study presents the first detailed spatial distributions of Cu and Zn isotope compositions for an aquatic system, and demonstrates the feasibility to use Cu isotopes as tracers of anthmpogenic sources in coastal environments.</t>
  </si>
  <si>
    <t>[Araujo, Daniel F.; Ponzevera, Emmanuel; Briant, Nicolas; Knoery, Joel; Bruzac, Sandrine; Sireau, Teddy] IFREMER, Lab Biogeochim Contaminants Met, Ctr Atlantique, F-44311 Nantes, France; [Brach-Papa, Christophe] IFREMER, Lab Environm Ressources Provence Azur Corse, Ctr Mediterranee, Zone Portuaire Bregaillon, CS20 330, F-83507 La Seyne Sur Mer, France</t>
  </si>
  <si>
    <t>Ifremer; Ifremer</t>
  </si>
  <si>
    <t>Araújo, DF (corresponding author), IFREMER, Lab Biogeochim Contaminants Met, Ctr Atlantique, F-44311 Nantes, France.</t>
  </si>
  <si>
    <t>knoery, joel/B-3898-2012</t>
  </si>
  <si>
    <t>knoery, joel/0000-0003-2826-6436; Brach-Papa, Christophe/0009-0008-4171-4743; Ponzevera, Emmanuel/0000-0001-6481-7309</t>
  </si>
  <si>
    <t>regional government of the Pays de la Loire (France); AERMC (Agence de l'Eau Rhone M.editerran.ee Corse); Toulon-Provence-M.editerran.ee (TPM); Agence de L'Eau Rhone M.editerran.ee Corse</t>
  </si>
  <si>
    <t>This work was conducted within the framework of the POLLUSOLS and SCOTTTI projects. They were funded by the regional government of the Pays de la Loire (France) and AERMC (Agence de l'Eau Rhone M.editerran.ee Corse), respectively. A part of this research is also a contribution to the MERMEX-Merite research program. This study benefits from sediment sample collection occurring from the CARTOCHIM project funded by Toulon-Provence-M.editerran.ee (TPM), and Agence de L'Eau Rhone M.editerran.ee Corse. The authors thank the anonymous reviewers for their helpful suggestions and comments on earlier drafts of the manuscript.</t>
  </si>
  <si>
    <t>0883-2927</t>
  </si>
  <si>
    <t>APPL GEOCHEM</t>
  </si>
  <si>
    <t>Appl. Geochem.</t>
  </si>
  <si>
    <t>10.1016/j.apgeochem.2019.104440</t>
  </si>
  <si>
    <t>JT5FT</t>
  </si>
  <si>
    <t>Green Published, Bronze, Green Submitted</t>
  </si>
  <si>
    <t>WOS:000501016300001</t>
  </si>
  <si>
    <t>His, E; Heyvang, I; Geffard, O; De Montaudouin, X</t>
  </si>
  <si>
    <t>A comparison between oyster (Crassostrea gigas) and sea urchin (Paracentrotus lividus) larval bioassays for toxicological studies</t>
  </si>
  <si>
    <t>larval bioassays; interspecific comparison; Paracentrotus lividus; Crassostrea gigas; heavy metals; pesticides; polluted sediments</t>
  </si>
  <si>
    <t>WATER-QUALITY; POLLUTION; EMBRYOGENESIS; EMBRYOS; METALS; BAY</t>
  </si>
  <si>
    <t>respective sensitivity of oyster (Crassostrea gigas) and sea urchin (Palacentrotus lividus) embryos and larvae to The salinity, and to various micropollutants (four heavy metals, three pesticides) and to two polluted sediments were compared with a simplified bioassay method. C. gigas embryos and larvae were more sensitive to copper; the sensitivity of both species to tributyltin (TBT) was practically the same; P. lividus was more sensitive to lead and mercury. The only pesticide found to be toxic was a herbicide, Dinoterbe, to which oyster larvae were more sensitive than sea urchin plutei. OF the two sediments tested, the first one had effects on P. lividus embryogenesis only; C. gigas embryos and larvae were more affected by the second sediment which was originated from a harbour and was polluted by heavy-metals. The choice of species for biomonitoring may be based on biological considerations, such as the availability of mature adults for obtaining gametes, or on the salinity of the studied area; the oyster bioassay seems to be more suitable for coastal and estuarine brackish waters, because of the broader salinity tolerance of estuarine bivalve larvae as compared to sea urchin larvae. (C) 1999 Elsevier Science Ltd. Ail rights reserved.</t>
  </si>
  <si>
    <t>IFREMER, F-33120 Arcachon, France; Lab Oceanog Biol, F-33120 Arcachon, France</t>
  </si>
  <si>
    <t>IFREMER, Quai Commandant Silhouette, F-33120 Arcachon, France.</t>
  </si>
  <si>
    <t>ehis@ifremer.fr</t>
  </si>
  <si>
    <t>Geffard, olivier/0000-0001-7760-4644</t>
  </si>
  <si>
    <t>10.1016/S0043-1354(98)00381-9</t>
  </si>
  <si>
    <t>183TM</t>
  </si>
  <si>
    <t>WOS:000079569600016</t>
  </si>
  <si>
    <t>Sun, M; Liu, GB; Lin, H; Zhang, TW; Guo, W</t>
  </si>
  <si>
    <t>Sun Ming; Liu Guangbin; Lin Hong; Zhang Tianwen; Guo Wen</t>
  </si>
  <si>
    <t>Effect of Feeding Strategies on Molecular Responses of Biotransformation Genes in Crassostrea gigas Exposed to Cadmium</t>
  </si>
  <si>
    <t>JOURNAL OF OCEAN UNIVERSITY OF CHINA</t>
  </si>
  <si>
    <t>cadmium; metallothionein; P-glycoprotein; heat shock protein 70; Crassostrea gigas; feeding strategies</t>
  </si>
  <si>
    <t>SYDNEY ROCK OYSTER; METAL CONTAMINATION; P-GLYCOPROTEIN; PACIFIC OYSTER; EXPRESSION; ACCUMULATION; PROTEINS; IDENTIFICATION; VIRGINICA; HSP70</t>
  </si>
  <si>
    <t>Heavy metals, including cadmium (Cd), are widespread pollutants of great environmental concern because of their accumulation and toxicity. Environmental conditions can affect the accumulation and elimination of Cd in organisms. The aim of this study is to understand the respective responses of metallothioneins (MTs), P-glycoprotein (P-gp), and heat shock protein 70 (hsp70) genes in the mantle and digestive gland of the oyster Crassostrea gigas exposed to 10 mu g L-1 Cd for 28 days, followed by a depuration period of 35 days under different feeding strategies. The MT expression in the digestive gland was higher than in mantle, and was induced in a fluctuating pattern throughout the time of the whole experiment when the oyster was exposed to Cd. The results indicated an enhanced MT activity is required for Cd detoxification. Expression levels of P-gp in the mantle of Cd-exposed oysters fed with algae increased in the first two weeks of the accumulation phase. Then the induction weakened, but the expression still increased significantly compared with the control group fed without algae. The P-gp levels in the digestive gland were under-regulated during both the contamination and decontamination periods except in the group fed with Dicrateria inornata at day 0.083. The induction of P-gp is possibly related to the important role of pumping Cd out of the cell, while a major implication of P-gp expression inhibition would be a disruption of the protein synthesis. Hsp70 expression exhibited an overall decreasing trend. The highest relative hsp70 inhibition occurred during day 42 to day 63, with approximately 4-fold and 10-fold lower hsp70 levels as compared to the C.gigas feeding with no algae in the mantle and digestive gland, respectively. The induction of hsp70 may be explained by the refolding of protein in presence of Cd, followed by the inhibition of hsp70 when the protein synthesis was disrupted.</t>
  </si>
  <si>
    <t>[Sun Ming; Liu Guangbin; Zhang Tianwen; Guo Wen] Marine Biol Inst Shandong Prov, Qingdao 266104, Shandong, Peoples R China; [Sun Ming; Lin Hong] Ocean Univ China, Coll Food Sci &amp; Engn, Qingdao 266003, Shandong, Peoples R China</t>
  </si>
  <si>
    <t>Ocean University of China</t>
  </si>
  <si>
    <t>Guo, W (corresponding author), Marine Biol Inst Shandong Prov, Qingdao 266104, Shandong, Peoples R China.</t>
  </si>
  <si>
    <t>guowen1963@126.com</t>
  </si>
  <si>
    <t>zhang, tian/GZK-6001-2022; Gong, Wenbin/AAE-1537-2020</t>
  </si>
  <si>
    <t>Earmarked Fund for Modern Agro-industry Technology Research System in Shandong Province [SDAIT-14]; major Agricultural Applied Technological Innovation Program in Shandong Province: Construction and Demonstration of Ecological Farming Model of Monomeric Triploid Oyster</t>
  </si>
  <si>
    <t>Earmarked Fund for Modern Agro-industry Technology Research System in Shandong Province; major Agricultural Applied Technological Innovation Program in Shandong Province: Construction and Demonstration of Ecological Farming Model of Monomeric Triploid Oyster</t>
  </si>
  <si>
    <t>This project was supported by the Earmarked Fund for Modern Agro-industry Technology Research System in Shandong Province (No. SDAIT-14) and the major Agricultural Applied Technological Innovation Program in Shandong Province: Construction and Demonstration of Ecological Farming Model of Monomeric Triploid Oyster.</t>
  </si>
  <si>
    <t>OCEAN UNIV CHINA</t>
  </si>
  <si>
    <t>QINGDAO</t>
  </si>
  <si>
    <t>5 YUSHAN RD, QINGDAO, 266003, PEOPLES R CHINA</t>
  </si>
  <si>
    <t>1672-5182</t>
  </si>
  <si>
    <t>1993-5021</t>
  </si>
  <si>
    <t>J OCEAN U CHINA</t>
  </si>
  <si>
    <t>J. OCEAN UNIV.</t>
  </si>
  <si>
    <t>10.1007/s11802-019-3898-2</t>
  </si>
  <si>
    <t>IH4HC</t>
  </si>
  <si>
    <t>WOS:000474451500013</t>
  </si>
  <si>
    <t>Liu, Q; Xu, XQ; Zeng, JN; Shi, XL; Liao, YB; Du, P; Tang, YB; Huang, W; Chen, QZ; Shou, L</t>
  </si>
  <si>
    <t>Liu, Qiang; Xu, Xiaoqun; Zeng, Jiangning; Shi, Xiaolai; Liao, Yibo; Du, Ping; Tang, Yanbin; Huang, Wei; Chen, Quanzhen; Shou, Lu</t>
  </si>
  <si>
    <t>Heavy metal concentrations in commercial marine organisms from Xiangshan Bay, China, and the potential health risks</t>
  </si>
  <si>
    <t>Heavy metal; Mollusk; Crustacean; Fish; Health risk; Xiangshan Bay</t>
  </si>
  <si>
    <t>MUSSELS MYTILUS-GALLOPROVINCIALIS; OYSTER CRASSOSTREA-HONGKONGENSIS; BLACK-SEA; RAPANA-VENOSA; BIOACCUMULATION; SEDIMENTS; FISHES; WATER; WILD; CD</t>
  </si>
  <si>
    <t>Commercial marine organisms were collected from the coast of Xiangshan Bay to investigate the concentrations of eight heavy metals (As, Cd, Cr, Cu, Hg, Ni, Pb, and Zn) and evaluate the potential health risks. The results indicated considerable variations in the heavy metal concentrations among six species groups, of them mollusks (seasnail, benthic bivalve, and oyster) generally contained relative high levels of most metals, followed by crustaceans (crab and shrimp), by contrast, fish had low concentrations of all metals, except Hg. Three heavy metal groups were identified to interpret the accumulative characteristics in the marine organisms. Spatial distributions illustrated the geographical variations of heavy metal concentrations in the sampling areas. Moreover, maricultured organisms demonstrated lower heavy metal concentrations than did the wild. Health risks of most heavy metals exposed from marine organism consumption were safe, except for As which is associated with the high target cancer risk values.</t>
  </si>
  <si>
    <t>[Liu, Qiang; Xu, Xiaoqun; Zeng, Jiangning; Shi, Xiaolai; Liao, Yibo; Du, Ping; Tang, Yanbin; Huang, Wei; Chen, Quanzhen; Shou, Lu] Minist Nat Resources, Inst Oceanog 2, 36 Baochu North Rd, Hangzhou 310012, Zhejiang, Peoples R China; [Liu, Qiang; Xu, Xiaoqun; Zeng, Jiangning; Shi, Xiaolai; Liao, Yibo; Du, Ping; Tang, Yanbin; Huang, Wei; Chen, Quanzhen; Shou, Lu] State Ocean Adm, Key Lab Marine Ecosyst &amp; Biogeochem, Hangzhou 310012, Zhejiang, Peoples R China; [Zeng, Jiangning] Zhejiang Univ, Ocean Coll, Zhoushan 316000, Peoples R China</t>
  </si>
  <si>
    <t>Ministry of Natural Resources of the People's Republic of China; Second Institute of Oceanography, Ministry of Natural Resources; Ministry of Natural Resources of the People's Republic of China; Second Institute of Oceanography, Ministry of Natural Resources; Zhejiang University</t>
  </si>
  <si>
    <t>Zeng, JN; Shou, L (corresponding author), Minist Nat Resources, Inst Oceanog 2, 36 Baochu North Rd, Hangzhou 310012, Zhejiang, Peoples R China.;Zeng, JN; Shou, L (corresponding author), State Ocean Adm, Key Lab Marine Ecosyst &amp; Biogeochem, Hangzhou 310012, Zhejiang, Peoples R China.</t>
  </si>
  <si>
    <t>jiangningz@126.com; shoulu981@sina.com</t>
  </si>
  <si>
    <t>Huang, Wei/L-7090-2019; Du, Pingwu/G-3329-2010; liu, qiang/HCH-3916-2022; Tang, Yanbin/J-7041-2015</t>
  </si>
  <si>
    <t>Liu, Qiang/0000-0001-7668-622X</t>
  </si>
  <si>
    <t>National Key R&amp;D Program of China [2018YFD0900901]; National Marine Public Welfare Research Project of China [201505008-2, 201505004-3]; National Natural Science Foundation of China [41806136, 41806149]; Scientific Research Fund of the Second Institute of Oceanography, State Oceanic Administration [JG1526, JG1616]</t>
  </si>
  <si>
    <t>National Key R&amp;D Program of China; National Marine Public Welfare Research Project of China; National Natural Science Foundation of China(National Natural Science Foundation of China (NSFC)); Scientific Research Fund of the Second Institute of Oceanography, State Oceanic Administration</t>
  </si>
  <si>
    <t>This work was supported by the National Key R&amp;D Program of China (2018YFD0900901), National Marine Public Welfare Research Project of China (201505008-2 and 201505004-3), the National Natural Science Foundation of China (No. 41806136 and 41806149), and the Grants from Scientific Research Fund of the Second Institute of Oceanography, State Oceanic Administration (No. JG1526 and JG1616). We are also grateful to anonymous reviewers and editor for their constructive comments on the manuscript.</t>
  </si>
  <si>
    <t>10.1016/j.marpolbul.2019.02.058</t>
  </si>
  <si>
    <t>HU8CK</t>
  </si>
  <si>
    <t>WOS:000465509700026</t>
  </si>
  <si>
    <t>Lettieri, G; Notariale, R; Ambrosino, A; Di Bonito, A; Giarra, A; Trifuoggi, M; Manna, C; Piscopo, M</t>
  </si>
  <si>
    <t>Lettieri, Gennaro; Notariale, Rosaria; Ambrosino, Alessia; Di Bonito, Alfredo; Giarra, Antonella; Trifuoggi, Marco; Manna, Caterina; Piscopo, Marina</t>
  </si>
  <si>
    <t>Spermatozoa Transcriptional Response and Alterations in PL Proteins Properties after Exposure of Mytilus galloprovincialis to Mercury</t>
  </si>
  <si>
    <t>mussel; HgCl2; sperm nuclear basic proteins; sperm chromatin; male gametes; reproduction</t>
  </si>
  <si>
    <t>Mercury (Hg) is an environmental pollutant that impacts human and ecosystem health. In our previous works, we reported alterations in the properties of Mytilus galloprovincialis protamine-like (PL) proteins after 24 h of exposure to subtoxic doses of toxic metals such as copper and cadmium. The present work aims to assess the effects of 24 h of exposure to 1, 10, and 100 pM HgCl2 on spermatozoa and PL proteins of Mytilus galloprovincialis. Inductively coupled plasma-mass spectrometry indicated accumulation of this metal in the gonads of exposed mussels. Further, RT-qPCR analyses showed altered expression levels of spermatozoa mt10 and hsp70 genes. In Mytilus galloprovincialis, PL proteins represent the major basic component of sperm chromatin. These proteins, following exposure of mussels to HgCl2, appeared, by SDS-PAGE, partly as aggregates and showed a decreased DNA-binding capacity that rendered them unable to prevent DNA damage, in the presence of CuCl2 and H2O2. These results demonstrate that even these doses of HgCl2 exposure could affect the properties of PL proteins and result in adverse effects on the reproductive system of this organism. These analyses could be useful in developing rapid and efficient chromatin-based genotoxicity assays for pollution biomonitoring programs.</t>
  </si>
  <si>
    <t>[Lettieri, Gennaro; Ambrosino, Alessia; Di Bonito, Alfredo; Piscopo, Marina] Univ Naples Federico II, Dept Biol, Via Cinthia 21, I-80126 Naples, Italy; [Notariale, Rosaria; Manna, Caterina] Univ Campania Luigi Vanvitelli, Sch Med, Dept Precis Med, Via Luigi Crecchio, I-80138 Naples, Italy; [Giarra, Antonella; Trifuoggi, Marco] Univ Naples Federico II, Dept Chem Sci, Via Cinthia 21, I-80126 Naples, Italy</t>
  </si>
  <si>
    <t>University of Naples Federico II; Universita della Campania Vanvitelli; University of Naples Federico II</t>
  </si>
  <si>
    <t>Piscopo, M (corresponding author), Univ Naples Federico II, Dept Biol, Via Cinthia 21, I-80126 Naples, Italy.</t>
  </si>
  <si>
    <t>gennarole@outlook.com; notarialer@gmail.com; alessia.ambrosino@gmail.com; alfredo.db@hotmail.it; antonella.giarra@unina.it; marco.trifuoggi@unina.it; caterina.manna@unicampania.it; marina.piscopo@unina.it</t>
  </si>
  <si>
    <t>PISCOPO, MARINA/AAU-5505-2020; Lettieri, Gennaro/AAZ-1164-2020</t>
  </si>
  <si>
    <t>Notariale, Rosaria/0000-0002-6048-9480; trifuoggi, marco/0000-0002-6424-8676; Lettieri, Gennaro/0000-0002-0141-3320; Giarra, Antonella/0000-0003-1623-164X</t>
  </si>
  <si>
    <t>10.3390/ijms22041618</t>
  </si>
  <si>
    <t>QP3VJ</t>
  </si>
  <si>
    <t>WOS:000623764900001</t>
  </si>
  <si>
    <t>Vasileva, E; Azemard, S; Oh, J; Bustamante, P; Betti, M</t>
  </si>
  <si>
    <t>Vasileva, E.; Azemard, S.; Oh, J.; Bustamante, P.; Betti, M.</t>
  </si>
  <si>
    <t>Certification for trace elements and methyl mercury mass fractions in IAEA-452 scallop (Pecten Maximus) sample</t>
  </si>
  <si>
    <t>ACCREDITATION AND QUALITY ASSURANCE</t>
  </si>
  <si>
    <t>International Conference on Future of Reference - Science and Innovation</t>
  </si>
  <si>
    <t>NOV 23-25, 2010</t>
  </si>
  <si>
    <t>Inst Reference Mat &amp; Measurements, Geel, BELGIUM</t>
  </si>
  <si>
    <t>Inst Reference Mat &amp; Measurements</t>
  </si>
  <si>
    <t>Trace elements; Methyl mercury; Marine biota sample; CRM; Seafood safety; Certification</t>
  </si>
  <si>
    <t>A marine certified reference material (CRM), IAEA-452, prepared with scallop (Pecten maximus) sample was recently produced by the International Atomic Energy Agency (IAEA) and certified for trace elements and methyl mercury (MeHg). The Scallop (Pecten maximus) sample is commonly found and consumed seafood and is also used as bio-indicators for trace metal contamination in marine pollution studies. This paper presents the sample preparation methodology, material homogeneity and stability studies, evaluation of certification campaign results, the assignment of property values and their associated uncertainty. The reference values and associated expanded uncertainty for 9 trace elements (As, Cd, Cr, Cu, Fe, Hg, Mn, Pb and Zn) and MeHg in scallop sample are established. The informative value for one more element (Ni) is also given. The new CRM can be used for the development and validation of analytical methods for determination of trace elements and methyl mercury in seafood and also for quality assurance/quality control purposes.</t>
  </si>
  <si>
    <t>[Vasileva, E.; Azemard, S.; Oh, J.; Betti, M.] IAEA, Environm Labs, MC-98000 Monaco, Monaco; [Bustamante, P.] Univ La Rochelle, Littoral Environm &amp; Soc LIENSs, UMR CNRS 6250, F-17042 La Rochelle, France</t>
  </si>
  <si>
    <t>La Rochelle Universite</t>
  </si>
  <si>
    <t>Vasileva, E (corresponding author), IAEA, Environm Labs, 4 Quai Antoine 1Er, MC-98000 Monaco, Monaco.</t>
  </si>
  <si>
    <t>e.vasileva-veleva@iaea.org</t>
  </si>
  <si>
    <t>Vassileva, Emilia/AAE-3065-2020; Azemard, Sabine/AGG-4505-2022; Vassileva, Emilia/AAF-6775-2019; Bustamante, Paco/G-5833-2011</t>
  </si>
  <si>
    <t>Vassileva, Emilia/0000-0002-7835-5640; Bustamante, Paco/0000-0003-3877-9390</t>
  </si>
  <si>
    <t>0949-1775</t>
  </si>
  <si>
    <t>1432-0517</t>
  </si>
  <si>
    <t>ACCREDIT QUAL ASSUR</t>
  </si>
  <si>
    <t>Accredit. Qual. Assur.</t>
  </si>
  <si>
    <t>8-9</t>
  </si>
  <si>
    <t>10.1007/s00769-011-0793-y</t>
  </si>
  <si>
    <t>Chemistry, Analytical; Instruments &amp; Instrumentation</t>
  </si>
  <si>
    <t>Chemistry; Instruments &amp; Instrumentation</t>
  </si>
  <si>
    <t>799LL</t>
  </si>
  <si>
    <t>WOS:000293288100008</t>
  </si>
  <si>
    <t>Rivera-Hernández, JR; Fernández, B; Santos-Echeandia, J; Garrido, S; Morante, M; Santos, P; Albentosa, M</t>
  </si>
  <si>
    <t>Rivera-Hernandez, Jose R.; Fernandez, Beatriz; Santos-Echeandia, Juan; Garrido, Soledad; Morante, Maria; Santos, Pablo; Albentosa, Marina</t>
  </si>
  <si>
    <t>Biodynamics of mercury in mussel tissues as a function of exposure pathway: natural vs microplastic routes</t>
  </si>
  <si>
    <t>Mercury; Routes of exposure; Metal depuration; Microplastics; Mussels</t>
  </si>
  <si>
    <t>EUROPEAN SEA-BASS; DICENTRARCHUS-LABRAX LINNAEUS; PLASTIC RESIN PELLETS; MYTILUS-EDULIS; PLACOPECTEN-MAGELLANICUS; INORGANIC MERCURY; POSTINGESTIVE SELECTION; DREISSENA-POLYMORPHA; ORGANIC POLLUTANTS; METAL ACCUMULATION</t>
  </si>
  <si>
    <t>In the marine environment, metals can be present dissolved or adsorbed to suspended particles. In the last decades a new type of particle has been introduced, microplastics (MPs). The exposure route of pollutants influences their accumulation and distribution into tissues. A pulse-chase experiment was conducted in which mussels were exposed to Hg: adsorbed onto MPs and microalgae (MA) and dissolved (WB). Mussels accumulated the same amount of Hg independently of particle, due to the Hg loading in both particles and their acceptability were similar. The highest Hg accumulation occurred in gill when the Hg exposure was through water and in digestive gland when Hg was adsorbed to particles. More than 70% of the Hg uptake through MPs was quickly eliminated due to: i) part of the cleared MPs might not really be ingested but adhered to body surfaces of mussels, ii) MPs ingested were eliminated through faeces as they are non-nutritive particles which may be rejected in stomach preventing their entry into digestive gland and iii) high affinity of Hg on surface of MPs which meant that Hg was mainly eliminated jointly to MPs. The organic nature of MA facilitates the entry of Hg into digestive gland where MA are intracellularly digested releasing the Hg adsorbed onto their surfaces. In this case, Hg may reach deeper levels by translocation of the Hg incorporated into gland towards foot and remaining tissues, a process that might occur through haemolymph. All of the Hg accumulated in WB during the exposure was internally absorbed into tissues, and later translocated from gill to gland. Although Hg elimination rate in MPs mussels was greater than in the other exposure pathways, an important amount of Hg was maintained through the depuration period, thus we cannot and should not neglect the risk of MPs as vectors for mercury. (C) 2019 Elsevier B.V. All rights reserved.</t>
  </si>
  <si>
    <t>[Rivera-Hernandez, Jose R.] Univ Politecn Sinaloa, Unidad Acad Ingn Tecnol Ambiental, Carretera Municipal Libre Mazatlan Higueras Km 3, Mazatlan 82199, Sinaloa, Mexico; [Rivera-Hernandez, Jose R.; Fernandez, Beatriz; Santos-Echeandia, Juan; Garrido, Soledad; Morante, Maria; Santos, Pablo; Albentosa, Marina] Spanish Inst Oceanog IEO, C Varadero 1, Murcia 30740, Spain</t>
  </si>
  <si>
    <t>Albentosa, M (corresponding author), Spanish Inst Oceanog IEO, C Varadero 1, Murcia 30740, Spain.</t>
  </si>
  <si>
    <t>jrivera@upsin.edu.mx; juan.santos@ieo.es; marina.albentosa@ieo.es</t>
  </si>
  <si>
    <t>Santos Echeandia, Juan/HMD-1503-2023; Fernandez, Beatriz/KDN-9121-2024</t>
  </si>
  <si>
    <t>Fernandez, Beatriz/0000-0002-9594-0366; Rivera-Hernandez, Jose R./0000-0002-6813-6671; Albentosa, Marina/0000-0003-4771-5137; SANTOS-ECHEANDIA, JUAN/0000-0001-9101-7307</t>
  </si>
  <si>
    <t>Spanish Ministry of Economy and Competitiveness through the 2015-International Joint Planning Accions [PCIN-2015-187-C03-01]; CONACYT (Mexico) [336649]; Youth Employment and Implementation of the Youth Guarantee Program from the Spanish Ministry of Economy and Competitiveness [PEJ-2014-A-05040]</t>
  </si>
  <si>
    <t>Spanish Ministry of Economy and Competitiveness through the 2015-International Joint Planning Accions; CONACYT (Mexico)(Consejo Nacional de Ciencia y Tecnologia (CONACyT)); Youth Employment and Implementation of the Youth Guarantee Program from the Spanish Ministry of Economy and Competitiveness</t>
  </si>
  <si>
    <t>This study has been carried out in the framework of the EPHEMARE Project: Ecotoxicological effects of microplastics in marine ecosystems from the 2015 JPI Oceans Pilot Call on Ecological Effects of Microplastics. Fundings were provided by the Spanish Ministry of Economy and Competitiveness through the 2015-International Joint Planning Accions (reference: PCIN-2015-187-C03-01). The authors acknowledge Francisco Gomez for his valuable technical assistance during the experiments. During the development of this study, Jose R. Rivera-Hernandezwas recipient of a postdoctoral fellowship from CONACYT (Mexico, reference: CVU No. 336649) and Soledad Garrido of a grant from the Youth Employment and Implementation of the Youth Guarantee Program from the Spanish Ministry of Economy and Competitiveness (reference: PEJ-2014-A-05040).</t>
  </si>
  <si>
    <t>10.1016/j.scitotenv.2019.04.175</t>
  </si>
  <si>
    <t>HW1TQ</t>
  </si>
  <si>
    <t>WOS:000466465800043</t>
  </si>
  <si>
    <t>Birch, GF; Hogg, TD</t>
  </si>
  <si>
    <t>Birch, G. F.; Hogg, T. D.</t>
  </si>
  <si>
    <t>Sediment quality guidelines for copper and zinc for filter-feeding estuarine oysters?</t>
  </si>
  <si>
    <t>Oysters; Sydney Rock Oyster; Saccostrea commercialis; Metals; Sediments; Tissue; Sediment quality guidelines</t>
  </si>
  <si>
    <t>SYDNEY ROCK OYSTER; NEW-SOUTH-WALES; HEAVY-METALS; PORT-JACKSON; SACCOSTREA-GLOMERATA; LAKE MACQUARIE; TRACE-METALS; BOTANY BAY; CONTAMINATION; MARINE</t>
  </si>
  <si>
    <t>Sediment quality guidelines (SQGs) assess the ability of bottom sediment to sustain healthy infauna and water quality guidelines (WQGs) provide protection for a designated percentage of aquatic species. Filter-feeding marine species, e.g. oysters and mussels, acquire food from particles in the water column and protection of these animals is not provided by SQGs or WQGs. The current work investigated the relationship between metal (Cu, Zn) concentrations in total and fine-fraction (&lt;62.5 mu m) surficial sediment digested in a range of acids and chelating agents and oyster tissue metal concentrations. A strong correlation between oyster tissue Cu and Zn concentrations and fine-fraction surficial sediment digested in 1 M HCl provided a sedimentary guideline which predicted tissue metal concentrations in oysters and established a level (&lt;45 mu g g(-1) and &lt;1000 mu g g(-1), respectively) for protecting oysters from exceeding human consumption levels (70 mu g g(-1) and 1000 mu g g(-1), respectively). (C) 2010 Elsevier Ltd. All rights reserved.</t>
  </si>
  <si>
    <t>[Birch, G. F.; Hogg, T. D.] Univ Sydney, Environm Geol Grp, Sch Geosci, Sydney, NSW 2006, Australia</t>
  </si>
  <si>
    <t>Birch, GF (corresponding author), Univ Sydney, Environm Geol Grp, Sch Geosci, Sydney, NSW 2006, Australia.</t>
  </si>
  <si>
    <t>gavin.birch@sydney.edu.au</t>
  </si>
  <si>
    <t>10.1016/j.envpol.2010.09.015</t>
  </si>
  <si>
    <t>WOS:000285129600015</t>
  </si>
  <si>
    <t>Lai, RWS; Zhou, GJ; Yung, MMN; Djurisic, AB; Leung, KMY</t>
  </si>
  <si>
    <t>Lai, Racliffe Weng Seng; Zhou, Guang-Jie; Yung, Mana Man Na; Djurisic, Aleksandra B.; Leung, Kenneth Mei Yee</t>
  </si>
  <si>
    <t>Interactive effects of temperature and salinity on toxicity of zinc oxide nanoparticles towards the marine mussel Xenostrobus securis</t>
  </si>
  <si>
    <t>Multiple stressors; Nanotoxicity; ZnO; Filter feeder; Bivalve; Zinc bioaccumulation</t>
  </si>
  <si>
    <t>ENGINEERED NANOMATERIALS; RUDITAPES-PHILIPPINARUM; STRESS RESPONSES; CELLULAR STRESS; UNIO-TUMIDUS; LIFE-CYCLE; EXPOSURE; GILLS</t>
  </si>
  <si>
    <t>Growing application of zinc oxide nanoparticles (ZnO-NPs) in global market has led to the concern over their potential environmental impacts. Filter feeders like mussels are prone to nanoparticles due to their superior filter-feeding ability. Temperature and salinity of coastal and estuarine seawaters often vary seasonally and spatially, and their changes may jointly influence physicochemical properties of ZnO-NPs and thus their toxicity. This study, therefore, aimed to inves-tigate the interactive effect of temperatures (15, 25 and 30 center dot C) and salinities (12 and 32 PSU) on physicochemical prop-erties and sublethal toxicity of ZnO-NPs towards a marine mussel Xenostrobus securis, and to compare that with the toxicity caused by Zn2 +/- ions (zinc sulphate heptahydrate). The results revealed increased particle agglomeration but decreased zinc ion release of ZnO-NPs at the highest temperature and salinity condition (30 center dot C and 32 PSU). After exposure, ZnO-NPs significantly reduced survival, byssal attachment rate and filtration rate of the mussels at high temperature and salinity (30 center dot C and 32 PSU). Glutathione S-transferase and superoxide dismutase activities in the mussels were suppressed at 30 center dot C. These aligned with the augmented zinc accumulation with increasing tempera-ture and salinity which could likely be attributable to increased particle agglomeration of ZnO-NP and enhanced intrin-sic filtration rate of the mussels under these conditions. Together with the observed lower toxic potency of Zn2 +/- compared to ZnO-NPs, our results suggested that the mussels might accumulate more zinc through particle filtration under higher temperature and salinity, eventually resulting in elevated toxicity of ZnO-NPs. Overall, this study dem-onstrated the necessity to consider the interactive effect of environmental factors such as temperature and salinity dur-ing the toxicity assessment of nanoparticles.</t>
  </si>
  <si>
    <t>[Lai, Racliffe Weng Seng; Zhou, Guang-Jie; Leung, Kenneth Mei Yee] City Univ Hong Kong, State Key Lab Marine Pollut, Hong Kong, Peoples R China; [Lai, Racliffe Weng Seng; Zhou, Guang-Jie; Leung, Kenneth Mei Yee] City Univ Hong Kong, Dept Chem, Hong Kong, Peoples R China; [Lai, Racliffe Weng Seng; Yung, Mana Man Na] Univ Hong Kong, Swire Inst Marine Sci, Hong Kong, Peoples R China; [Lai, Racliffe Weng Seng; Yung, Mana Man Na] Univ Hong Kong, Sch Biol Sci, Hong Kong, Peoples R China; [Lai, Racliffe Weng Seng] Univ Macau, Fac Sci &amp; Technol, Dept Ocean Sci &amp; Technol, Taipa, Peoples R China; [Djurisic, Aleksandra B.] Univ Hong Kong, Dept Phys, Hong Kong, Peoples R China; [Leung, Kenneth Mei Yee] City Univ Hong Kong, State Key Lab Marine Pollut, Kowloon, Tat Chee Ave, Hong Kong, Peoples R China</t>
  </si>
  <si>
    <t>City University of Hong Kong; City University of Hong Kong; University of Hong Kong; University of Hong Kong; University of Macau; University of Hong Kong; City University of Hong Kong</t>
  </si>
  <si>
    <t>Leung, KMY (corresponding author), City Univ Hong Kong, State Key Lab Marine Pollut, Kowloon, Tat Chee Ave, Hong Kong, Peoples R China.</t>
  </si>
  <si>
    <t>kmyleung@cityu.edu.hk</t>
  </si>
  <si>
    <t>djurisic, aleksandra/C-1491-2009; Zhou, Guangjie/Y-8164-2019; Leung, Kenneth Mei Yee/C-1055-2009</t>
  </si>
  <si>
    <t>Leung, Kenneth Mei Yee/0000-0002-2164-4281; Zhou, Guangjie/0000-0001-7343-2902</t>
  </si>
  <si>
    <t>Research Grants Council of the Hong Kong Special Administrative Region (HKSAR) Government [17305715]; University of Hong Kong; Innovation and Technology Commission (ITC) of the HKSAR Government</t>
  </si>
  <si>
    <t>Research Grants Council of the Hong Kong Special Administrative Region (HKSAR) Government; University of Hong Kong(University of Hong Kong); Innovation and Technology Commission (ITC) of the HKSAR Government</t>
  </si>
  <si>
    <t>This project was funded by the Research Grants Council of the Hong Kong Special Administrative Region (HKSAR) Government via a General Research Fund (no. 17305715) to KMYL. The research postgraduate studentship of RWSL was partially funded the University of Hong Kong. During the preparation of this manuscript, both RWSL and GJZ were supported by Innovation and Technology Commission (ITC) of the HKSAR Government which provided regular research funding to the State Key Laboratory of Marine Pollution. However, any opinions, findings, conclusions or recommendations expressed in this publication do not reflect the views of the HKSAR Government or the ITC. RWSL appreciates the volunteering efforts of Drs. Juan C. Astudillo, Ronia C.T. Sham, Chi-Chiu Lo and Thea E. Bradford in assisting with mussel collection and pre-treatment.</t>
  </si>
  <si>
    <t>10.1016/j.scitotenv.2023.164254</t>
  </si>
  <si>
    <t>J5YB8</t>
  </si>
  <si>
    <t>WOS:001010359600001</t>
  </si>
  <si>
    <t>Meng, CY; Wang, KW; Zhang, XJ; Zhu, XY</t>
  </si>
  <si>
    <t>Meng, Chunying; Wang, Kuiwu; Zhang, Xiaojun; Zhu, Xinyue</t>
  </si>
  <si>
    <t>Effect of cadmium in the gonads of mussel (Mytilus coruscus): an ionomics and proteomics study</t>
  </si>
  <si>
    <t>Cd-treated; Ionomics; Proteomics; Mussel gonads</t>
  </si>
  <si>
    <t>OXIDATIVE STRESS; DIFFERENTIAL PROTEINS; IN-VITRO; RESPONSES; SUCCINATE; MUTATIONS; EXPOSURE; CITRATE; METALS; ACTIN</t>
  </si>
  <si>
    <t>The mussel Mytilus coruscus is an important and very popular seafood in China and widespread along the eastern coast of China. In this study, we investigated the molecular response of mussel gonads to cadmium accumulation at two concentrations (80 and 200 mu g/L) for 30 days using ionomics and proteomics techniques. The shrinkage of the cells and moderate hemocytic infiltration were observed in the Cd-treated groups. The strontium, selenium (Se), and zinc contents were significantly altered, and the relationships between iron, copper, Se, manganese, calcium, sodium, and magnesium were also significantly altered. Label-free quantitative proteomics analysis revealed a total of 227 differentially expressed proteins. These proteins were associated with multiple biological processes, including the tricarboxylic acid cycle, structural reorganization of cells, biosynthesis of amino acids, inflammatory response of cells, and tumorigenesis. Nonetheless, our ionomics and proteomics analysis revealed that mussels could partly alleviate the adverse effects of Cd by altering the metal contents and correlations between minerals, thereby enhancing the biosynthesis of some amino acids and activity of antioxidant enzymes. Overall, this study provides an insight into the mechanism underlying Cd toxicity in mussel gonads from a metal and protein perspective.</t>
  </si>
  <si>
    <t>[Meng, Chunying; Zhang, Xiaojun] Zhejiang Marine Fisheries Res Inst, Lab Aquat Prod Proc &amp; Qual Safety, Zhoushan 316100, Peoples R China; [Meng, Chunying; Wang, Kuiwu; Zhu, Xinyue] Zhejiang Gongshang Univ, Sch Food Sci &amp; Biotechnol, Hangzhou 310018, Peoples R China</t>
  </si>
  <si>
    <t>Zhejiang Gongshang University</t>
  </si>
  <si>
    <t>Meng, CY (corresponding author), Zhejiang Marine Fisheries Res Inst, Lab Aquat Prod Proc &amp; Qual Safety, Zhoushan 316100, Peoples R China.;Meng, CY (corresponding author), Zhejiang Gongshang Univ, Sch Food Sci &amp; Biotechnol, Hangzhou 310018, Peoples R China.</t>
  </si>
  <si>
    <t>mengchunying1@126.com</t>
  </si>
  <si>
    <t>China's National Key R D plan [2016YFF020230]</t>
  </si>
  <si>
    <t>China's National Key R D plan</t>
  </si>
  <si>
    <t>This research has been supported by China's National Key R &amp; D plan (2016YFF020230).</t>
  </si>
  <si>
    <t>10.1007/s11356-023-27208-6</t>
  </si>
  <si>
    <t>I0DA9</t>
  </si>
  <si>
    <t>WOS:000983703400001</t>
  </si>
  <si>
    <t>Benaltabet, T; Gutner-Hoch, E; Torfstein, A</t>
  </si>
  <si>
    <t>Benaltabet, Tal; Gutner-Hoch, Eldad; Torfstein, Adi</t>
  </si>
  <si>
    <t>Heavy Metal, Rare Earth Element and Pb Isotope Dynamics in Mussels During a Depuration Experiment in the Gulf of Aqaba, Northern Red Sea</t>
  </si>
  <si>
    <t>biomonitoring; mussels; depuration; heavy metals; Pb isotopes; rare earth elements; red sea; pollution</t>
  </si>
  <si>
    <t>SAN-FRANCISCO BAY; BRACHIDONTES-PHARAONIS FISCHER; TRACE-METAL; ATMOSPHERIC LEAD; MYTILUS-EDULIS; PERNA-VIRIDIS; SOURCE SIGNATURES; RISK-ASSESSMENT; SAHARAN DUST; CORAL-REEFS</t>
  </si>
  <si>
    <t>Mussels are considered highly efficient marine biomonitors, tracing anthropogenic and natural variations in heavy metals and various organic compounds. While heavy metals depuration processes in biomonitors are of growing interest, less knowledge is available regarding their Pb isotopes and rare earth elements (REEs) accumulationrelease dynamics, and their response to short-term anthropogenic and terrigenous perturbations. Here, we report the results of a relocation experiment where a group of mussels (Brachidontes pharaonis) were extracted from a contaminated lagoon in the Gulf of Aqaba, northern Red Sea, and placed in water tanks that were flushed continuously with fresh, uncontaminated seawater. Specimens were removed periodically from the water table over a period of 13 weeks and trace and REEs and Pb isotopic compositions were determined separately for mussel's shells and soft tissues. The results display a clear decrease over time in the concentrations of various heavy metals and REEs in the soft tissue, in concert with a similar shift in the Pb isotopic compositions toward seawater values. By contrast, the elemental and Pb isotopic composition of the shell presents little change over time. Coupling between the Pb isotopic composition of corresponding soft tissue and shell samples allows back-calculation of the timing and magnitude of abrupt pollution events and presents a novel approach for monitoring short-term pollution events. Nevertheless, given the coastal setting of the studied samples, it is important to consider the effects of terrigenous material on the results. Accordingly, Al-normalized element concentrations, Pb isotopes and calculated Ce anomalies, are used to identify two distinct terrigenous end members controlling the contaminated lagoon and the pristine site. The study demonstrates the potential of using mussels as robust biomonitors of natural and anthropogenic environmental perturbations through the combination between elemental concentrations and the isotopic composition of Pb.</t>
  </si>
  <si>
    <t>[Benaltabet, Tal; Torfstein, Adi] Hebrew Univ Jerusalem, Fredy &amp; Nadine Herrmann Inst Earth Sci, Jerusalem, Israel; [Benaltabet, Tal; Gutner-Hoch, Eldad; Torfstein, Adi] Interuniv Inst Marine Sci, Elat, Israel; [Gutner-Hoch, Eldad] Tel Aviv Univ, George S Wise Fac Life Sci, Sch Zool, Tel Aviv, Israel</t>
  </si>
  <si>
    <t>Hebrew University of Jerusalem; Tel Aviv University</t>
  </si>
  <si>
    <t>Benaltabet, T (corresponding author), Hebrew Univ Jerusalem, Fredy &amp; Nadine Herrmann Inst Earth Sci, Jerusalem, Israel.;Benaltabet, T (corresponding author), Interuniv Inst Marine Sci, Elat, Israel.</t>
  </si>
  <si>
    <t>tal.benaltabet@mail.huji.ac.il</t>
  </si>
  <si>
    <t>Torfstein, Adi/C-5816-2017</t>
  </si>
  <si>
    <t>Torfstein, Adi/0000-0003-3918-8410</t>
  </si>
  <si>
    <t>Israel Science Foundation [927/15, 834/19]; Hebrew University Ring Foundation; Bester and Pfeifer scholarships</t>
  </si>
  <si>
    <t>Israel Science Foundation(Israel Science Foundation); Hebrew University Ring Foundation; Bester and Pfeifer scholarships</t>
  </si>
  <si>
    <t>Funding was provided by the Israel Science Foundation grants 927/15 and 834/19 and the Hebrew University Ring Foundation to AT, and the Bester and Pfeifer scholarships to TB.</t>
  </si>
  <si>
    <t>JUN 28</t>
  </si>
  <si>
    <t>10.3389/fmars.2021.669329</t>
  </si>
  <si>
    <t>TH0TQ</t>
  </si>
  <si>
    <t>WOS:000671808300001</t>
  </si>
  <si>
    <t>Ochoa, V; Barata, C; Riva, MC</t>
  </si>
  <si>
    <t>Ochoa, Victoria; Barata, Carlos; Carmen Riva, M.</t>
  </si>
  <si>
    <t>Heavy metal content in oysters (Crassostrea gigas) cultured in the Ebro Delta in Catalonia, Spain</t>
  </si>
  <si>
    <t>Metal; Oyster; Ebro; Human health; Agriculture; Pollution</t>
  </si>
  <si>
    <t>TRACE-METALS; NE SPAIN; PESTICIDE POLLUTION; CHESAPEAKE BAY; RIVER DELTA; COAST; MEXICO; BIOACCUMULATION; CONTAMINATION; MERCURY</t>
  </si>
  <si>
    <t>The aim of this study was to determine heavy metal content (As, Cd, Cu, Hg, Cd, Pb, and Zn) in oysters transplanted in Ebro Delta bays (Alfacs and Fangar) where oysters are traditionally cultured for human consumption. Metal body burdens were monitored weekly during the period of maximal agriculture activity from May to June in 2008 and 2009. Results indicate that regardless of the high levels of metals reported in biota living in Ebro River, metal levels in oysters from both bays were similar to those found in unpolluted areas and far below the maximum limits of tolerance recommended by the European Commission. Nevertheless, metal accumulation patterns in oysters differentiate two sources of pollution: one coming from agriculture activities within the Ebro's delta for As, Cd, Cu, and Zn and other coming from Ebro River probably related to industrial activities upstream (Hg, Pb) or to lead shot pellets form hunting activities (Pb). Reported results, thus, are in concern with previous studies and indicate that metallic pollutants do not affect oysters cultures in Ebro Delta associated bays.</t>
  </si>
  <si>
    <t>[Ochoa, Victoria; Carmen Riva, M.] Tech Univ Catalonia, Ctr Res &amp; Innovat Toxicol, Terrassa 08227, Spain; [Barata, Carlos] IDAEA CSIC, Dept Environm Chem, Barcelona 08034, Spain</t>
  </si>
  <si>
    <t>Universitat Politecnica de Catalunya; Consejo Superior de Investigaciones Cientificas (CSIC); CSIC - Centro de Investigacion y Desarrollo Pascual Vila (CID-CSIC); CSIC - Instituto de Diagnostico Ambiental y Estudios del Agua (IDAEA)</t>
  </si>
  <si>
    <t>Ochoa, V (corresponding author), Tech Univ Catalonia, Ctr Res &amp; Innovat Toxicol, Campus Terrassa Zona IPCT Ctra Nac 150 Km 15, Terrassa 08227, Spain.</t>
  </si>
  <si>
    <t>ochoa@crit.upc.edu</t>
  </si>
  <si>
    <t>Barata, Carlos/K-8232-2014</t>
  </si>
  <si>
    <t>Barata, Carlos/0000-0002-3360-0729</t>
  </si>
  <si>
    <t>[MEC-MICINN CTM2007-62436]; [CTM2010-18167]</t>
  </si>
  <si>
    <t>;</t>
  </si>
  <si>
    <t>The authors would like to thank the Research Grant of the Projects MEC-MICINN CTM2007-62436 and CTM2010-18167.</t>
  </si>
  <si>
    <t>10.1007/s10661-013-3064-z</t>
  </si>
  <si>
    <t>174AA</t>
  </si>
  <si>
    <t>WOS:000321123800045</t>
  </si>
  <si>
    <t>Copes, R; Clark, NA; Rideout, K; Palaty, J; Teschke, K</t>
  </si>
  <si>
    <t>Copes, Ray; Clark, Nina Annika; Rideout, Karen; Palaty, Jan; Teschke, Kay</t>
  </si>
  <si>
    <t>Uptake of cadmium from Pacific oysters (Crassostrea gigas) in British Columbia oyster growers</t>
  </si>
  <si>
    <t>ENVIRONMENTAL RESEARCH</t>
  </si>
  <si>
    <t>cadmium; biomarkers; oysters; diet</t>
  </si>
  <si>
    <t>1998 GERES-III; ENVIRONMENTAL-POLLUTANTS; GENERAL-POPULATION; DIETARY EXPOSURE; IRON-ABSORPTION; URINE; BLOOD; WOMEN; METALLOTHIONEIN; BURDEN</t>
  </si>
  <si>
    <t>Background: Pacific oysters along the North American coast from Washington to Alaska contain concentrations of cadmium (Cd) that are high by comparison with Atlantic oysters, frequently exceeding 2 mu g/g wet weight, but it is unclear whether this Cd is absorbed by consumers. Objectives: To determine the effect of oyster consumption on Cd in blood and urine among a group with high oyster consumption. Methods: Sixty-one non-smoking oyster growers and family members with a mean age of 47.3 +/- 7.6 years (range 33-64) were interviewed by telephone to assess their oyster consumption and other sources of Cd exposure at present and 5 years prior to the start of oyster farming. Their blood and urine Cd concentrations were measured. Results: The geometric mean Cd concentration in blood was 0.83 mu g/L and in urine was 0.76 mu g/g creatinine. Thirty-six percent of participants had urinary Cd levels above 1 mu g/g creatinine and 5% were above 2 mu g/g creatinine. Recent (last 12 months) and long-term oyster consumptions were positive predictors of blood Cd but did not directly predict urinary Cd. The optimal model for predicting the variance in blood Cd included recent intake of oyster-derived Cd, serum iron concentration and recent ketchup consumption (R-2 = 0.34, p = 0.00004), with the latter two variables showing a protective effect. The factors found to predict urinary Cd were blood Cd concentration and duration of oyster farming. A rise in blood Cd was observed after 12 years of farming oysters, likely caused by higher consumption of oysters during this period. Conclusions: Oyster-derived Cd is bioavailable and affects body stores of the metal. (C) 2008 Elsevier Inc. All rights reserved.</t>
  </si>
  <si>
    <t>[Copes, Ray] BC Ctr Dis Control, Vancouver, BC V5Z 4R4, Canada; [Copes, Ray; Clark, Nina Annika; Teschke, Kay] Univ British Columbia, Dept Hlth Care &amp; Epidemiol, Vancouver, BC V5Z 1M9, Canada; [Copes, Ray; Teschke, Kay] Univ British Columbia, Sch Occupat &amp; Environm Hyg, Vancouver, BC V5Z 1M9, Canada; [Copes, Ray] Univ British Columbia, Dept Med, Vancouver, BC V5Z 1M9, Canada; [Rideout, Karen] Univ British Columbia, Fac Land &amp; Food Syst, Vancouver, BC V5Z 1M9, Canada; [Palaty, Jan] Childrens &amp; Womens Hlth Ctr BC, Vancouver, BC, Canada</t>
  </si>
  <si>
    <t>University of British Columbia; University of British Columbia; University of British Columbia; University of British Columbia; BC Women's Hospital &amp; Health Centre</t>
  </si>
  <si>
    <t>Copes, R (corresponding author), BC Ctr Dis Control, 655 W 12th Ave, Vancouver, BC V5Z 4R4, Canada.</t>
  </si>
  <si>
    <t>ray.copes@bccdc.ca</t>
  </si>
  <si>
    <t>0013-9351</t>
  </si>
  <si>
    <t>1096-0953</t>
  </si>
  <si>
    <t>ENVIRON RES</t>
  </si>
  <si>
    <t>Environ. Res.</t>
  </si>
  <si>
    <t>10.1016/j.envres.2008.01.014</t>
  </si>
  <si>
    <t>Environmental Sciences; Public, Environmental &amp; Occupational Health</t>
  </si>
  <si>
    <t>Environmental Sciences &amp; Ecology; Public, Environmental &amp; Occupational Health</t>
  </si>
  <si>
    <t>307PQ</t>
  </si>
  <si>
    <t>WOS:000256331200004</t>
  </si>
  <si>
    <t>Ferreira, CP; Moreira, RS; Bastolla, CLV; Saldaña-Serrano, M; Lima, D; Gomes, CHAM; Bainy, ACD; Lüchmann, KH</t>
  </si>
  <si>
    <t>Ferreira, Clarissa P.; Moreira, Renato S.; Bastolla, Camila L. V.; Saldana-Serrano, Miguel; Lima, Daina; Gomes, Carlos H. A. M.; Bainy, Afonso C. D.; Luchmann, Karim H.</t>
  </si>
  <si>
    <t>Transcriptomic investigation and biomarker discovery for zinc response in oysters Crassostrea gasar</t>
  </si>
  <si>
    <t>MARINE GENOMICS</t>
  </si>
  <si>
    <t>Metal pollution; Bioinformatics; Gene expression; Zinc exposure; Ecotoxicology</t>
  </si>
  <si>
    <t>CADMIUM; BIOACCUMULATION; EXPRESSION; GIGAS; POLLUTION; PROTEINS; EXPOSURE; PLATFORM; METALS; ZN</t>
  </si>
  <si>
    <t>In an era of unprecedented industrial and agricultural growth, metal contamination in marine environments is a pressing concern. Sentinel organisms such as the mangrove oyster Crassostrea gasar provide valuable insights into these environments' health. However, a comprehensive understanding of the molecular mechanisms underlying their response to metal exposure remains elusive. To address this gap, we reanalyzed the 454-sequencing data of C. gasar, utilizing an array of bioinformatics workflow of CDTA (Combined De Novo Transcriptome Assembly) to generate a more representative assembly. In parallel, C. gasar individuals were exposed to two concentrations of zinc (850 and 4500 mu g L-1 Zn) for 48 h to understand their molecular responses. We utilized Trinotate workflow for the 11,684-CDTA unigenes annotation, with most transcripts aligning with the genus Crassostrea. Our analysis indicated that 67.3% of transcript sequences showed homology with Pfam, while 51.4% and 54.5%, respectively had GO and KO terms annotated. We identified potential metal pollution biomarkers, focusing on metal-related genes, such as those related to the GSH biosynthesis (CHAC1 and GCLC-like), to zinc transporters (ZNT2-like), and metallothionein (MT-like). The evolutionary conservation of these genes within the Crassostrea genus was assessed through phylogenetic analysis. Further, these genes were evaluated by qPCR in the laboratory exposed oysters. All target genes exhibited significant upregulation upon exposure to Zn at both 850 and 4500 mu g L-1, except for GCLC-like, which showed upregulation only at the higher concentration of 4500 mu g L-1. This result suggests distinct activation thresholds and complex interactions among these genes in response to varying Zn concentrations. Our study provides insights into the molecular responses of C. gasar to Zn, adding valuable tools for monitoring metal pollution in marine ecosystems using the mangrove oyster as a sentinel organism.</t>
  </si>
  <si>
    <t>[Ferreira, Clarissa P.] Santa Catarina State Univ, Multicentr Postgrad Program Biochem &amp; Mol Biol PMB, BR-88520000 Lages, Brazil; [Moreira, Renato S.] Fed Inst St Catarina, BR-89111009 Gaspar, Brazil; [Moreira, Renato S.] Univ Fed Santa Catarina, Bioinformat Lab, BR-88040970 Florianopolis, Brazil; [Bastolla, Camila L. V.; Saldana-Serrano, Miguel; Lima, Daina; Bainy, Afonso C. D.] Univ Fed Santa Catarina, Lab Biomarkers Aquat Contaminat &amp; Immunochem, LABCAI, BR-88034257 Florianopolis, Brazil; [Gomes, Carlos H. A. M.] Univ Fed Santa Catarina, Ctr Agr Sci, Dept Aquaculture, Lab Marine Mollusks LMM, Florianopolis, SC, Brazil; [Luchmann, Karim H.] Santa Catarina State Univ, Dept Sci &amp; Technol Educ, BR-88035001 Florianopolis, Brazil</t>
  </si>
  <si>
    <t>Universidade do Estado de Santa Catarina; Universidade Federal de Santa Catarina (UFSC); Universidade Federal de Santa Catarina (UFSC); Universidade Federal de Santa Catarina (UFSC); Universidade do Estado de Santa Catarina</t>
  </si>
  <si>
    <t>Lüchmann, KH (corresponding author), Santa Catarina State Univ, Dept Sci &amp; Technol Educ, BR-88035001 Florianopolis, Brazil.</t>
  </si>
  <si>
    <t>Bainy, Afonso/J-6097-2012; Simões Moreira, Renato/HGV-1223-2022; Lima, Daína/G-8008-2019</t>
  </si>
  <si>
    <t>Bainy, Afonso/0000-0002-3885-7718; SALDANA SERRANO, MIGUEL ANGEL/0000-0003-4992-8996; Lima, Daina/0000-0003-0018-9360; Simoes Moreira, Renato/0000-0002-4246-8045</t>
  </si>
  <si>
    <t>State of Santa Catarina Innovation (PAP-FAPESC) [2021TR1009]; Postgraduate Monitoring Scholarship Program (PROMOP); CNPq productivity fellowship</t>
  </si>
  <si>
    <t>State of Santa Catarina Innovation (PAP-FAPESC)(Fundacao de Amparo a Pesquisa e Inovacao do Estado de Santa Catarina (FAPESC)); Postgraduate Monitoring Scholarship Program (PROMOP); CNPq productivity fellowship(Conselho Nacional de Desenvolvimento Cientifico e Tecnologico (CNPQ))</t>
  </si>
  <si>
    <t>The authors acknowledge the financial support of the Program to Support Research-Foundation for Research and the State of Santa Catarina Innovation (PAP-FAPESC #2021TR1009 to K.H. Luchmann). CPF was a recipient of the Postgraduate Monitoring Scholarship Program (PROMOP) offered by Santa Catarina State University (UDESC). ACDB is a recipient of the CNPq productivity fellowship.</t>
  </si>
  <si>
    <t>1874-7787</t>
  </si>
  <si>
    <t>1876-7478</t>
  </si>
  <si>
    <t>MAR GENOM</t>
  </si>
  <si>
    <t>Mar. Genom.</t>
  </si>
  <si>
    <t>10.1016/j.margen.2024.101109</t>
  </si>
  <si>
    <t>Genetics &amp; Heredity; Marine &amp; Freshwater Biology</t>
  </si>
  <si>
    <t>RC0U2</t>
  </si>
  <si>
    <t>WOS:001225363200001</t>
  </si>
  <si>
    <t>Strungaru, SA; Nicoara, M; Teodosiu, C; Baltag, E; Ciobanu, C; Plavan, G</t>
  </si>
  <si>
    <t>Strungaru, Stefan-Adrian; Nicoara, Mircea; Teodosiu, Carmen; Baltag, Emanuel; Ciobanu, Cristian; Plavan, Gabriel</t>
  </si>
  <si>
    <t>Patterns of toxic metals bioaccumulation in a cross-border freshwater reservoir</t>
  </si>
  <si>
    <t>Toxic metals; Fish community; Freshwater; Biocircuits; Molluscs</t>
  </si>
  <si>
    <t>MUSSEL DREISSENA-POLYMORPHA; CARP CYPRINUS-CARPIO; EARLY-LIFE STAGES; TRACE-ELEMENTS; HEAVY-METALS; ZEBRA MUSSEL; PERCA-FLUVIATILIS; LAKE BALATON; BLACK-SEA; FISH</t>
  </si>
  <si>
    <t>In freshwater ecosystems toxic metals can follow different routes of bioaccumulation in the organisms' body mass, routes that are similar to electronic circuits, but far more complex due to their hierarchy levels. Reservoirs located on river courses have positive impacts on economic and social development because they concentrate large water volumes used for electrical energy production, water supply, irrigation, industry, aquaculture, providing ecosystems for migratory birds and aquatic species. The aim of the study was to assess the contamination with copper (Cu), cadmium (Cd), lead (Pb), chromium (Cr) and nickel (Ni) of a cross-border reservoir located on River Prut (border between Romania and Republic of Moldova) in a temperate climate zone. Several aspects were considered: seasonal variation of water parameters and toxic metals, bioconcentration in eight fish species and transfer from prey to predator through the food chain, bioaccumulation by two freshwater molluscs separated in size groups and their role as bioindicators of toxic metals pollution. Metals concentrations were measured with an atomic absorption spectrometer (HR-CS GF-AAS). Cadmium, lead, nickel and chromium concentrations limits in water samples were below the detection limits (0.005 mu g L-1Cd, 0.013 mu g L-1Pb and 0.011 mu g (LCr)-Cr-_1) during the monitoring period, suggesting that anthropogenic contamination was insignificant in the studied ecosystem. Fish liver and kidney had specific selectivity for copper (0.9-55.56 mu g g(-1)) and cadmium (0.097-1.031 mu g g(-1)) in case of pike-perch and bighead carp. The separation of molluscs in size groups did not prove that toxic metals increase in concentration with the organism age. (C) 2018 Elsevier Ltd. All rights reserved.</t>
  </si>
  <si>
    <t>[Strungaru, Stefan-Adrian] Alexandru Ioan Cuza Univ, Fac Biol, Dept Res, Iasi 700505, Romania; [Nicoara, Mircea; Ciobanu, Cristian; Plavan, Gabriel] Alexandru Ioan Cuza Univ, Fac Biol, Dept Biol, Iasi 700505, Romania; [Teodosiu, Carmen] Gheorghe Asachi Tech Univ Iasi, Dept Environm Engn &amp; Management, 73 Prof Dr D Mangeron St, Iasi 700050, Romania; [Baltag, Emanuel] Alexandru Ioan Cuza Univ, Marine Biol Stn Prof Dr I Borcea, Nicolae Titulescu St 163, Agigea 907018, Constanta, Romania</t>
  </si>
  <si>
    <t>Alexandru Ioan Cuza University; Alexandru Ioan Cuza University; GH Asachi Technical University; Alexandru Ioan Cuza University</t>
  </si>
  <si>
    <t>Nicoara, M (corresponding author), Alexandru Ioan Cuza Univ, Fac Biol, Dept Biol, Iasi 700505, Romania.;Teodosiu, C (corresponding author), Gheorghe Asachi Tech Univ Iasi, Dept Environm Engn &amp; Management, 73 Prof Dr D Mangeron St, Iasi 700050, Romania.</t>
  </si>
  <si>
    <t>mirmag@uaic.ro; cteo@tuiasi.ro</t>
  </si>
  <si>
    <t>Plavan, Gabriel-Ionut/H-9147-2019; Mircea, Nicoara/J-3886-2019; Teodosiu, Carmen/E-2693-2012</t>
  </si>
  <si>
    <t>Nicoara, Mircea/0000-0002-9755-6771; Plavan, Gabriel Ionut/0000-0002-1194-1768; Teodosiu, Carmen/0009-0003-8058-6282; Strungaru, Stefan-Adrian/0000-0001-7958-4923</t>
  </si>
  <si>
    <t>project Resources pilot centre for cross-border preservation of the aquatic biodiversity of Prut River Romania - Ukraine - Republic of Moldova [MIS-ETC 1150]</t>
  </si>
  <si>
    <t>project Resources pilot centre for cross-border preservation of the aquatic biodiversity of Prut River Romania - Ukraine - Republic of Moldova</t>
  </si>
  <si>
    <t>This study was supported by the project Resources pilot centre for cross-border preservation of the aquatic biodiversity of Prut River MIS-ETC 1150 Romania - Ukraine - Republic of Moldova.</t>
  </si>
  <si>
    <t>10.1016/j.chemosphere.2018.05.079</t>
  </si>
  <si>
    <t>GL2AX</t>
  </si>
  <si>
    <t>WOS:000436916500023</t>
  </si>
  <si>
    <t>Jedruch, A; Beldowska, M; Kwasigroch, U</t>
  </si>
  <si>
    <t>Jedruch, Agnieszka; Beldowska, Magdalena; Kwasigroch, Urszula</t>
  </si>
  <si>
    <t>Forms of mercury in the Baltic mussel (Mytilus trossulus): Human and ecosystem health risk assessment</t>
  </si>
  <si>
    <t>Mercury; Edible mussel; Seafood safety; Health risk assessment; Baltic sea</t>
  </si>
  <si>
    <t>BERGEN HARBOR AREA; FOOD-WEB STRUCTURE; FISH LIZA-AURATA; HEAVY-METALS; TRACE-METALS; BLUE MUSSELS; MARINE-ENVIRONMENT; EDULIS-TROSSULUS; SOFT-TISSUE; GALLOPROVINCIALIS</t>
  </si>
  <si>
    <t>Mercury (Hg) is one of the most dangerous environmental pollutants. A significant source of this toxic element to the human body is the consumption of seafood - including the increasingly popular mussels. Mussels also play an important role in the marine ecosystem, providing a food base for fish and birds. The study aimed to determine the level of total Hg and its labile and stable forms in the Baltic mussel (Mytilus trossulus), as well as to indicate the factors that shape them. The research was conducted in the Puck Bay (Polish part of the southern Baltic Sea) in 2012-2013. The study material consisted of M. trossulus mussels, the components of their diet (suspended matter and phytoplankton), and surface sediments. Concentrations of total Hg (Hg-TOT) and the individual Hg forms were established using the thermodesorption method on a DMA-80 analyser (Milestone). The obtained results showed that the level of Hg concentration in M. trossulus from the Puck Bay was shaped by the individual features of specimens, related to the growth and reproductive cycle of mussels, as well as the quality of food consumed by them. The total share of labile Hg forms in M. trossulus was high, exceeding 90% of Hg-TOT, and the predominant form was the most dangerous organic Hg. This means that almost all of the Hg accumulated in mussels can be transferred to higher trophic levels. The obtained results showed that Baltic mussels were characterised by levels of Hg-TOT and organic Hg deemed to be safe for humans. A positive relationship was noted between the Hg-TOT concentration in a mussel's tissues and the length of its shell. Smaller sized organisms demonstrated not only by lower Hg concentrations, but also by better condition and, consequently, higher nutritional value.</t>
  </si>
  <si>
    <t>[Jedruch, Agnieszka; Beldowska, Magdalena; Kwasigroch, Urszula] Univ Gdynia, Inst Oceanog, Pilsudskiego 46, PL-81378 Gdynia, Poland</t>
  </si>
  <si>
    <t>Jedruch, A (corresponding author), Univ Gdynia, Inst Oceanog, Pilsudskiego 46, PL-81378 Gdynia, Poland.</t>
  </si>
  <si>
    <t>agnieszka.jedruch@ug.edu.pl; m.beldowska@ug.edu.pl; urszula.kwasigroch@gmail.com</t>
  </si>
  <si>
    <t>Bełdowska, Magdalena/AFZ-2912-2022</t>
  </si>
  <si>
    <t>Jedruch, Agnieszka/0000-0002-3421-7115; Beldowska, Magdalena/0000-0002-3585-9283</t>
  </si>
  <si>
    <t>National Science Centre [2014/13/B/ST10/02807]</t>
  </si>
  <si>
    <t>National Science Centre(National Science Centre, Poland)</t>
  </si>
  <si>
    <t>This study was supported by the National Science Centre (grant No. 2014/13/B/ST10/02807).</t>
  </si>
  <si>
    <t>10.1016/j.envres.2019.108755</t>
  </si>
  <si>
    <t>JO0DY</t>
  </si>
  <si>
    <t>WOS:000497259100034</t>
  </si>
  <si>
    <t>Anzano, J; Lasheras, RJ; Bonilla, B; Bonilla, A; Lanaja, J; Peribañez, MA; Gracia-Salinas, MJ; Anwar, J; Shafique, U</t>
  </si>
  <si>
    <t>Anzano, Jesus; Lasheras, Roberto-Jesus; Bonilla, Beatriz; Bonilla, Angel; Lanaja, Javier; Peribanez, Miguel A.; Gracia-Salinas, Maria-Jesus; Anwar, Jamil; Shafique, Umer</t>
  </si>
  <si>
    <t>Determination of trace metals by voltamperometry in zebra mussel (Dreissena polymorpha) employed as environmental bio-indicator</t>
  </si>
  <si>
    <t>GREEN CHEMISTRY LETTERS AND REVIEWS</t>
  </si>
  <si>
    <t>Dreissena polymorpha; Ebro River; metal determination; voltamperometry; zebra mussel</t>
  </si>
  <si>
    <t>ATOMIC-ABSORPTION-SPECTROMETRY; ULTRASOUND-ASSISTED EXTRACTION; CADMIUM; SEAFOOD; SAMPLES; LAKES; CD</t>
  </si>
  <si>
    <t>In the present work, metals (cadmium, lead, copper, nickel, tin, selenium, and mercury) have been estimated in the Ebro River (Spain) using the zebra mussel (Dreissena polymorpha) as an environmental bio-indicator. In two sequential studies, in 2006 and 2008, concentrations of metals were calculated in water as well as in the shells and fleshes of the zebra mussels. Samples were collected from assorted locations of the river. Metals were determined successfully at trace levels through voltamperometry, a sensitive technique. It has been noted that analysis of bioaccumulators like zebra mussels can be helpful in evaluating metal pollution in water.</t>
  </si>
  <si>
    <t>[Anzano, Jesus; Lasheras, Roberto-Jesus; Bonilla, Beatriz; Bonilla, Angel] Univ Zaragoza, Fac Sci, Dept Analyt Chem, Laser Lab, E-50009 Zaragoza, Spain; [Lanaja, Javier] EUITI, Dept Inorgan Chem, Zaragoza, Spain; [Peribanez, Miguel A.; Gracia-Salinas, Maria-Jesus] Fac Vet, Dept Anim Pathol, Zaragoza 50013, Spain; [Anwar, Jamil; Shafique, Umer] Univ Punjab, Ctr Undergrad Studies, Inst Chem, Lahore 54590, Pakistan</t>
  </si>
  <si>
    <t>University of Zaragoza; University of Punjab</t>
  </si>
  <si>
    <t>Anzano, J (corresponding author), Univ Zaragoza, Fac Sci, Dept Analyt Chem, Laser Lab, Pedro Cerbuna 12, E-50009 Zaragoza, Spain.</t>
  </si>
  <si>
    <t>janzano@unizar.es</t>
  </si>
  <si>
    <t>, Miguel/ABF-5399-2020; Anzano, Jesús/AAL-3814-2020; Anwar, Jamil/AAE-6518-2021; Shafique, Umer/P-7097-2016</t>
  </si>
  <si>
    <t>Anwar, Jamil/0000-0002-9969-051X; Peribanez, Miguel A/0000-0003-3436-776X; Shafique, Umer/0000-0001-9178-8857</t>
  </si>
  <si>
    <t>Spanish Electric Company Endesa; Aragon Regional Government</t>
  </si>
  <si>
    <t>Spanish Electric Company Endesa; Aragon Regional Government(Gobierno de Aragon)</t>
  </si>
  <si>
    <t>The authors would like to thank the members of Grupo Especial de Actividades Subacuaticas de la Guardia Civil for diving in the Ebro River and collecting the mussels for this study; the Spanish Electric Company Endesa for financial help for this project and also the Aragon Regional Government for financing our research group E 75.</t>
  </si>
  <si>
    <t>1751-8253</t>
  </si>
  <si>
    <t>GREEN CHEM LETT REV</t>
  </si>
  <si>
    <t>Green Chem. Lett. Rev.</t>
  </si>
  <si>
    <t>10.1080/17518253.2010.528050</t>
  </si>
  <si>
    <t>Chemistry, Multidisciplinary; Green &amp; Sustainable Science &amp; Technology</t>
  </si>
  <si>
    <t>796QK</t>
  </si>
  <si>
    <t>WOS:000293066500011</t>
  </si>
  <si>
    <t>Meiller, JC; Bradley, BP</t>
  </si>
  <si>
    <t>Zinc concentration effect at the organismal, cellular and subcellular levels in the eastern oyster</t>
  </si>
  <si>
    <t>protein signature; zinc; oyster; lysosomal destabilization</t>
  </si>
  <si>
    <t>The purpose of this research was to demonstrate a concentration effect of Zinc exposure at organismal, cellular and sub-cellular levels in the eastern oyster and to find associated protein expression signatures (PES) for each concentration of zinc. Oysters were exposed to six concentrations of zinc for 48 h in a controlled environment. At the organismal level, fecal material was observed as a measure of physiological health during metal exposures. At the cellular level, lysosomal destabilization was measured using hemolymph. This cellular response was significant only at the highest concentration, when the fecal index was lowest. Protein responses were monitored in the oyster following exposure to zinc. Gill tissue was excised and homogenized, and then analyzed using two-dimensional polyacrylamide gel electrophoresis (2D-PAGE) and digital image analysis. Protein expression signatures were found to be specific to each concentration. The protein responses were linked to the other biological parameters measured, each of which followed a concentration gradient of zinc. (C) 2002 Elsevier Science Ltd. All rights reserved.</t>
  </si>
  <si>
    <t>Univ Maryland, Dept Sci Biol, Baltimore, MD 21250 USA</t>
  </si>
  <si>
    <t>University System of Maryland; University of Maryland Baltimore</t>
  </si>
  <si>
    <t>Univ Maryland, Dept Sci Biol, 1000 Hilltop Circle, Baltimore, MD 21250 USA.</t>
  </si>
  <si>
    <t>bbradley@umbc.edu</t>
  </si>
  <si>
    <t>Meiller, Jessica/0000-0002-0094-8788</t>
  </si>
  <si>
    <t>PII S0141-1136(02)00165-4</t>
  </si>
  <si>
    <t>10.1016/S0141-1136(02)00165-4</t>
  </si>
  <si>
    <t>WOS:000178360100036</t>
  </si>
  <si>
    <t>Al Solami, L; Satheesh, S</t>
  </si>
  <si>
    <t>Al Solami, Lafi; Satheesh, Sathianeson</t>
  </si>
  <si>
    <t>Spatio-Temporal Variations in Macrobenthic Community Distribution on the Central Red Sea Coast: Role of Heavy Metal Content of the Sediment</t>
  </si>
  <si>
    <t>CONTEMPORARY PROBLEMS OF ECOLOGY</t>
  </si>
  <si>
    <t>Marine pollution; heavy metals; benthic fauna; marine ecosystems; Red Sea</t>
  </si>
  <si>
    <t>CORE SEDIMENTS; SOFT SEDIMENTS; SAUDI; POLLUTION; GULF; CONTAMINATION; COPPER; ENRICHMENT; ORGANISMS; ESTUARIES</t>
  </si>
  <si>
    <t>The aim of the present study was to assess the heavy metal pollution and benthic macrofauna distribution in central Red sea coast of Saudi Arabia. Sediment samples were collected from four stations around the Jeddah harbour during October 2018 and November 2019 for the analysis of heavy metals such as Cd, Cu, Pb and Zn. The distribution of macrobenthic communities was also analysed from the samples. The results indicated that the concentrations of Cd, Cu and Pb were high at stations near to the harbour. Metal content in sediment samples showed significant variation between the sampling stations. The density of bivalves showed a significant negative correlation with the concentration of Cu, Pb and Cd in the sediment. Polychaetes were abundant in stations which recorded high concentration of heavy metals such as Cu, Pb and Cd. Further, amphipods exhibited a positive relationship with Pb concentration of the sediment. In conclusion, this study outlined the significance of heavy metal pollution on structuring benthic biodiversity of the coastal ecosystems.</t>
  </si>
  <si>
    <t>[Al Solami, Lafi; Satheesh, Sathianeson] King Abdulaziz Univ, Fac Marine Sci, Dept Marine Biol, Jeddah, Saudi Arabia</t>
  </si>
  <si>
    <t>King Abdulaziz University</t>
  </si>
  <si>
    <t>Al Solami, L (corresponding author), King Abdulaziz Univ, Fac Marine Sci, Dept Marine Biol, Jeddah, Saudi Arabia.</t>
  </si>
  <si>
    <t>ssathianeson@kau.edu.sa; satheesh_s2005@yahoo.co.in</t>
  </si>
  <si>
    <t>Al Sulami, Lafi/AAY-2758-2020; Sathianeson, Satheesh/D-4692-2012</t>
  </si>
  <si>
    <t>Sathianeson, Satheesh/0000-0001-7809-720X</t>
  </si>
  <si>
    <t>Deanship of Scientific Research (DSR), King Abdulaziz University, Jeddah [G: 88-150-41]; DSR</t>
  </si>
  <si>
    <t>Deanship of Scientific Research (DSR), King Abdulaziz University, Jeddah; DSR</t>
  </si>
  <si>
    <t>This project was funded by the Deanship of Scientific Research (DSR), King Abdulaziz University, Jeddah, under the grant no. (G: 88-150-41). The authors, therefore, gratefully acknowledge the DSR for technical and financial support.</t>
  </si>
  <si>
    <t>1995-4255</t>
  </si>
  <si>
    <t>1995-4263</t>
  </si>
  <si>
    <t>CONTEMP PROBL ECOL+</t>
  </si>
  <si>
    <t>Contemp. Probl. Ecol.</t>
  </si>
  <si>
    <t>10.1134/S1995425522030027</t>
  </si>
  <si>
    <t>2A9VS</t>
  </si>
  <si>
    <t>WOS:000809844900011</t>
  </si>
  <si>
    <t>Silva, CO; Simoes, T; Novais, SC; Pimparel, I; Granada, L; Soares, AMVM; Barata, C; Lemos, MFL</t>
  </si>
  <si>
    <t>Silva, Carla O.; Simoes, Tiago; Novais, Sara C.; Pimparel, Ines; Granada, Luana; Soares, Amadeu M. V. M.; Barata, Carlos; Lemos, Marco F. L.</t>
  </si>
  <si>
    <t>Fatty acid profile of the sea snail Gibbula umbilicalis as a biomarker for coastal metal pollution</t>
  </si>
  <si>
    <t>Biomarkers; Cadmium; Lipid peroxidation; Marine environmental risk assessment; Mercury; Nickel</t>
  </si>
  <si>
    <t>OXIDATIVE STRESS; MARINE ORGANISMS; LIPID-PEROXIDATION; ACUTE TOXICITIES; BLUE MUSSELS; ROCKY SHORE; CADMIUM; MEMBRANE; COPPER; CONTAMINATION</t>
  </si>
  <si>
    <t>Metals are among the most common environmental pollutants with natural or anthropogenic origin that can be easily transferred through the food chain. Marine gastropods are known to accumulate high concentrations of these metals in their tissues. Gibbula umbilicalis ecological importance and abundant soft tissues, which enables extent biochemical assessments, makes this particular organism a potentially suitable species for marine ecotoxicological studies. Fatty acids are carbon-rich compounds that are ubiquitous in all organisms and easy to metabolize. Their biological specificity, relatively well-studied functions and importance, and the fact that they may alter when stress is induced, make fatty acids prospect biomarkers. This work aimed to assess fatty acid profile changes in the gastropod G. umbilicalis exposed to three metal contaminants. After a 168 h exposure to cadmium, mercury, and nickel, the following lipid related endpoints were measured: total lipid content; lipid peroxidation; and fatty acid profile (FAP). The analysis of the FAP suggested an alteration in the fatty acid metabolism and indicated a link between metals exposure and homeoviscous adaptation and immune response. In particular, five fatty acids (palmitic, eicosatrienoic, arachidonic, eicosapentaenoic, and docosahexaenoic acids), demonstrated to be especially good indicators of G. umbilicalis responses to the array of metals used, having thus the potential to be used as biomarkers for metal contamination in this species. This work represents a first approach for the use of FAP signature as a sensitive and informative parameter and novel tool in environmental risk assessment (ERA) of coastal environments, using G. umbilicalis as model species. (C) 2017 Elsevier B.V. All rights reserved.</t>
  </si>
  <si>
    <t>[Silva, Carla O.; Simoes, Tiago; Novais, Sara C.; Pimparel, Ines; Granada, Luana; Lemos, Marco F. L.] Inst Politecn Leiria, MARE Marine &amp; Environm Sci Ctr, ESTM, P-2520641 Peniche, Portugal; [Simoes, Tiago; Novais, Sara C.] Vnje Univ, Dept Ecol Sci, De Boelelaan 1085, NL-1081 HV Amsterdam, Netherlands; [Simoes, Tiago] Univ Coimbra, Dept Life Sci, P-3000456 Coimbra, Portugal; [Soares, Amadeu M. V. M.] Univ Aveiro, Dept Biol, Aveiro, Portugal; [Soares, Amadeu M. V. M.] Univ Aveiro, CESAM Ctr Environm &amp; Marine Studies, Aveiro, Portugal; [Barata, Carlos] IDAEA CSIC, Environm Chem Dept, Jordi Girona 18-26, Barcelona 08034, Spain</t>
  </si>
  <si>
    <t>Polytechnic Institute of Leiria; Universidade de Coimbra; Universidade de Aveiro; Universidade de Aveiro; Consejo Superior de Investigaciones Cientificas (CSIC); CSIC - Centro de Investigacion y Desarrollo Pascual Vila (CID-CSIC); CSIC - Instituto de Diagnostico Ambiental y Estudios del Agua (IDAEA)</t>
  </si>
  <si>
    <t>Silva, CO (corresponding author), Edificio CETEMARES,Ave Porto de Pesca, P-2520630 Peniche, Portugal.</t>
  </si>
  <si>
    <t>carla.o.silva@ipleiria.pt</t>
  </si>
  <si>
    <t>Simões, Tiago/B-2961-2015; Silva, Carla/M-6339-2019; Granada, Luana/AAC-1220-2020; Barata, Carlos/K-8232-2014; Soares, Amadeu/A-8304-2008; Lemos, Marco/F-7951-2011; Almeida, Luana/U-5644-2018; Novais, Sara/A-9032-2012</t>
  </si>
  <si>
    <t>Barata, Carlos/0000-0002-3360-0729; Soares, Amadeu/0000-0003-0879-9470; Pimparel, Ines/0000-0003-1078-1552; Silva, Carla/0000-0002-4613-1132; Lemos, Marco/0000-0001-9887-1864; Almeida, Luana/0000-0002-1382-9243; Simoes, Tiago/0000-0002-6107-9790; Novais, Sara/0000-0003-1306-3396</t>
  </si>
  <si>
    <t>Fundacao para a Ciencia e Tecnologia (FCT), through the strategic project [UID/MAR/04292/2013, SFRH/BD/87030/2012, SFRH/BD/98266/2013, SFRH/BD/ 102036/2014, SFRH/BPD/94500/2013]; Fundação para a Ciência e a Tecnologia [SFRH/BD/87030/2012, SFRH/BD/102036/2014, SFRH/BD/98266/2013] Funding Source: FCT</t>
  </si>
  <si>
    <t>Fundacao para a Ciencia e Tecnologia (FCT), through the strategic project(Fundacao para a Ciencia e a Tecnologia (FCT)); Fundação para a Ciência e a Tecnologia(Fundacao para a Ciencia e a Tecnologia (FCT))</t>
  </si>
  <si>
    <t>This study had the support of Fundacao para a Ciencia e Tecnologia (FCT), through the strategic project UID/MAR/04292/2013 granted to MARE, and the grants awarded to Carla Silva (SFRH/BD/87030/2012), Tiago Simoes (SFRH/BD/98266/2013), Luana Granada (SFRH/BD/ 102036/2014), and Sara Novais (SFRH/BPD/94500/2013).</t>
  </si>
  <si>
    <t>10.1016/j.scitotenv.2017.02.015</t>
  </si>
  <si>
    <t>ER4HD</t>
  </si>
  <si>
    <t>WOS:000398758800054</t>
  </si>
  <si>
    <t>Cardoso, PG; Pereira, E; Duarte, AC; Azeiteiro, UM</t>
  </si>
  <si>
    <t>Cardoso, P. G.; Pereira, E.; Duarte, A. C.; Azeiteiro, U. M.</t>
  </si>
  <si>
    <t>Temporal characterization of mercury accumulation at different trophic levels and implications for metal biomagnification along a coastal food web</t>
  </si>
  <si>
    <t>Mercury; Temporal variation; Food web; Biomagnification; Environmental quality; Food safety</t>
  </si>
  <si>
    <t>CARCINUS-MAENAS L.; LAGOON RIA; POPULATION-DYNAMICS; FEEDING ECOLOGY; CONTAMINATION GRADIENT; SEASONAL-VARIATION; LIFE-CYCLE; SALT-MARSH; ESTUARY; AVEIRO</t>
  </si>
  <si>
    <t>The main goal of this study was to assess temporal mercury variations along an estuarine food web to evaluate the mercury contamination level of the system and the risks that humans are exposed to, due to mercury biomagnification. The highest mercury concentrations in the sediments and primary producers (macrophytes) were observed during winter sampling. Instead, the highest mercury concentrations in the water, suspended particulate matter as well as in the zooplanktonic and suprabenthic communities were observed during summer sampling. Evidences of mercury biomagnification along the food web were corroborated by the positive biomagnification factors, particularly for omnivorous macrobenthic species. Comparing the mercury levels at distinct components with several environmental quality criteria it suggests that sediments, water and edible species (e.g., bivalve Scrobicularia plane and the crustacean Carcinus maenas) presented higher mercury levels than the values accepted by legislation which represent a matter of concern for the environment and human health. (C) 2014 Elsevier Ltd. All rights reserved.</t>
  </si>
  <si>
    <t>[Cardoso, P. G.] Univ Coimbra, Dept Life Sci, MARE Marine &amp; Environm Sci Ctr, P-3004517 Coimbra, Portugal; [Pereira, E.; Duarte, A. C.] Univ Aveiro, Dept Chem, CESAM Ctr Environm &amp; Marine Studies, P-3810193 Aveiro, Portugal; [Azeiteiro, U. M.] Univ Coimbra, Dept Life Sci, CFE Ctr Funct Ecol, P-3001401 Coimbra, Portugal; [Azeiteiro, U. M.] Univ Aberta, Dept Sci &amp; Technol, P-4200055 Oporto, Portugal</t>
  </si>
  <si>
    <t>Universidade de Coimbra; Universidade de Aveiro; Universidade de Coimbra; Universidade Aberta</t>
  </si>
  <si>
    <t>Cardoso, PG (corresponding author), Univ Coimbra, Dept Life Sci, MARE Marine &amp; Environm Sci Ctr, P-3004517 Coimbra, Portugal.</t>
  </si>
  <si>
    <t>Pereira, Eduarda/A-5907-2012; Duarte, Armando/C-1424-2008; Azeiteiro, Ulisses/C-5933-2008; Teixeira, Patricia/I-6863-2013</t>
  </si>
  <si>
    <t>Duarte, Armando/0000-0002-4868-4099; Pereira, Eduarda/0000-0002-6046-5243; Azeiteiro, Ulisses/0000-0002-5252-1700; Teixeira, Patricia/0000-0003-4653-4705</t>
  </si>
  <si>
    <t>FCT (Fundacao para a Ciencia e Tecnologia) [FCOMP-01-0124-FEDER-010598]; MERCOAST [FCT PTDC/MAR/101906/2008]; POPH and QREN - Promotion of Scientific Job - European Social Fund; National funds of MEC; Fundação para a Ciência e a Tecnologia [PTDC/MAR/101906/2008] Funding Source: FCT</t>
  </si>
  <si>
    <t>FCT (Fundacao para a Ciencia e Tecnologia)(Fundacao para a Ciencia e a Tecnologia (FCT)); MERCOAST; POPH and QREN - Promotion of Scientific Job - European Social Fund; National funds of MEC(National Health &amp; Medical Research Council (NHMRC) of Australia); Fundação para a Ciência e a Tecnologia(Fundacao para a Ciencia e a Tecnologia (FCT))</t>
  </si>
  <si>
    <t>This work was supported by FCT (Fundacao para a Ciencia e Tecnologia) through a project no. FCOMP-01-0124-FEDER-010598 (MERCOAST, Ref (a) under bar. FCT PTDC/MAR/101906/2008) and by POPH and QREN - Promotion of Scientific Job funded by European Social Fund and National funds of MEC. The authors are indebted to all the colleagues that assisted in the field and lab work.</t>
  </si>
  <si>
    <t>10.1016/j.marpolbul.2014.08.013</t>
  </si>
  <si>
    <t>AS0ET</t>
  </si>
  <si>
    <t>WOS:000343951800021</t>
  </si>
  <si>
    <t>Dvorák, T; Száková, J; Vondrácková, S; Kosnár, Z; Holecková, Z; Najmanová, J; Tlustos, P</t>
  </si>
  <si>
    <t>Dvorak, Tomas; Szakova, Jirina; Vondrackova, Stanislava; Kosnar, Zdenek; Holeckova, Zlata; Najmanova, Jana; Tlustos, Pavel</t>
  </si>
  <si>
    <t>Content of Inorganic and Organic Pollutants and Their Mobility in Bottom Sediment from the Orlik Water Reservoir (Vltava River, Czech Republic)</t>
  </si>
  <si>
    <t>SOIL &amp; SEDIMENT CONTAMINATION</t>
  </si>
  <si>
    <t>Dam reservoir; risk element; organic pollutant; sediment; bioaccessibility; bioavailability</t>
  </si>
  <si>
    <t>POLYCYCLIC AROMATIC-HYDROCARBONS; HEAVY-METALS; BIVALVE MOLLUSKS; BED SEDIMENTS; EXTRACTION; SOIL; PAHS; LAKE; BIOACCUMULATION; BIOAVAILABILITY</t>
  </si>
  <si>
    <t>The content of both inorganic and organic pollutants, in sediment from the Orlik reservoir (Vltava river, Czech Republic), and the main tributaries, was determined to assess the total loads of the pollutants in the upper layer of sediment (0-30cm), and the potential bioaccessibility and bioavailability of these pollutants. Organic pollutants showed non-hazardous levels of polycyclic aromatic hydrocarbons and polychlorinated biphenyls. Elevated phosphorus content indicated the possible eutrophization potential; however, significant correlation of phosphorus with iron and aluminum suggested a high immobilization rate of this element with iron and aluminum cations. Risk elements in the sediment were separated according to their potential environmental risk: (1) cobalt, nickel, copper, lead, vanadium, and chromium showed both low levels and relatively low mobility, i.e. low environmental risk; (2) the arsenic levels were significantly elevated (exceeding the maximum allowable limits for land application of sediment) but its mobility was low; (3) cadmium and zinc exceeded the limits and showed high mobility and bioaccessibility. These two elements also showed high bioavailability for the bivalves Unio tumidus and Anodonta anatina. The results showed differences in pollutant loads in sediment along the lake, and different input of pollutants via the individual tributaries.</t>
  </si>
  <si>
    <t>[Dvorak, Tomas; Szakova, Jirina; Vondrackova, Stanislava; Kosnar, Zdenek; Holeckova, Zlata; Najmanova, Jana; Tlustos, Pavel] Czech Univ Life Sci Prague, Fac Agrobiol Food &amp; Nat Resources, Prague, Czech Republic</t>
  </si>
  <si>
    <t>Czech University of Life Sciences Prague</t>
  </si>
  <si>
    <t>Száková, J (corresponding author), Czech Univ Life Sci Prague, Fac Agrobiol Food &amp; Nat Resources, Dept Agroenvironm Chem &amp; Plant Nutr, Kamycka 129, Prague 16521, Czech Republic.</t>
  </si>
  <si>
    <t>szakova@af.czu.cz</t>
  </si>
  <si>
    <t>Száková, Jiřina/K-6296-2019; Tlustos, Pavel/L-5312-2019; Dvořák, Tomáš/JKI-9583-2023; Kosnar, Zdenek/V-4552-2018</t>
  </si>
  <si>
    <t>Szakova, Jirina/0000-0002-3390-6365; Tlustos, Pavel/0000-0003-1274-0658; Kosnar, Zdenek/0000-0002-9259-9983; Kroulikova, Stanislava/0000-0003-4721-1158</t>
  </si>
  <si>
    <t>Czech University of Life Sciences Prague [CIGA 20152015]</t>
  </si>
  <si>
    <t>This work was funded by Czech University of Life Sciences Prague, Project no. CIGA 20152015.</t>
  </si>
  <si>
    <t>1532-0383</t>
  </si>
  <si>
    <t>1549-7887</t>
  </si>
  <si>
    <t>SOIL SEDIMENT CONTAM</t>
  </si>
  <si>
    <t>Soil. Sediment. Contam.</t>
  </si>
  <si>
    <t>10.1080/15320383.2017.1364222</t>
  </si>
  <si>
    <t>FP4PC</t>
  </si>
  <si>
    <t>WOS:000417597900002</t>
  </si>
  <si>
    <t>Chen, LF; Cai, XY; Cao, MX; Liu, HW; Liang, Y; Hu, LG; Yin, YG; Li, YB; Shi, JB</t>
  </si>
  <si>
    <t>Chen, Lufeng; Cai, Xiaoyan; Cao, Mengxi; Liu, Hongwei; Liang, Yong; Hu, Ligang; Yin, Yongguang; Li, Yanbin; Shi, Jianbo</t>
  </si>
  <si>
    <t>Long-term investigation of heavy metal variations in mollusks along the Chinese Bohai Sea</t>
  </si>
  <si>
    <t>Heavy metals; Mollusks; Seafood safety; Spatiotemporal variations; Chinese Bohai Sea</t>
  </si>
  <si>
    <t>PEARL RIVER DELTA; HEALTH-RISK; COASTAL WATERSHEDS; NORTHERN BOHAI; TRACE-METALS; CONTAMINATION; POLLUTION; MUSSELS; BAY; SEDIMENTS</t>
  </si>
  <si>
    <t>Biomonitoring is an effective way to assess the effects of pollutants on marine ecosystems. As an important fishing region in China, the Chinese Bohai Sea has been contaminated with heavy metals, posing great risks to seafood safety and human health. Herein, the spatiotemporal variations in the concentrations of seven heavy metals (As, Cd, Cr, Cu, Ni, Pb, and Zn) in 11 species of mollusks (658 samples) collected from the Chinese Bohai Sea were studied during 2006-2016. The concentrations of Cr, As, Cd, and Pb in approximately 41%, 100%, 71%, and 18% of the sampled mollusks exceeded the maximum permissible levels in aquatic products set by China, indicating that the mollusks were contaminated with varied concentrations of heavy metals. Except for slight fluctuations, no significant temporal variations were observed during the sampling period, suggesting a relatively stable status of these metals. Cluster analysis showed that oyster had higher bioaccumulation potential for Zn and Cu, whereas Mactra veneriformis, Rapana venosa, Meretrix meretrix, Chlamys farreri, and Mya arenaria had higher bioaccumulation potentials for Cr, As, Ni, Cd, and Pb, respectively. These findings are useful for biomonitoring and developing guidelines for seafood consumption in coastal regions. Significant relationships were observed between heavy metal concentrations in mollusks and socioeconomic indices (gross domestic product, per capita gross domestic product, and population amount), suggesting the effects of anthropogenic activities on heavy metal contamination. Our study established a good model to evaluate the risks of heavy metals and provided a sound scientific basis for controlling seafood safety in coastal regions.</t>
  </si>
  <si>
    <t>[Chen, Lufeng; Cao, Mengxi; Liang, Yong] Jianghan Univ, State Key Lab Precis Blasting, Wuhan 430056, Peoples R China; [Chen, Lufeng; Cai, Xiaoyan; Cao, Mengxi; Liang, Yong; Shi, Jianbo] Jianghan Univ, Sch Environm &amp; Hlth, Hubei Key Lab Environm &amp; Hlth Effects Persistent, Wuhan 430056, Peoples R China; [Chen, Lufeng; Cai, Xiaoyan; Cao, Mengxi; Liu, Hongwei; Hu, Ligang; Yin, Yongguang; Shi, Jianbo] Chinese Acad Sci, Res Ctr Ecoenvironm Sci, State Key Lab Environm Chem &amp; Ecotoxicol, Beijing 100085, Peoples R China; [Hu, Ligang; Yin, Yongguang; Shi, Jianbo] Univ Chinese Acad Sci, Hangzhou Inst Adv Study, Sch Environm, Hangzhou 310000, Peoples R China; [Li, Yanbin] Ocean Univ China, Key Lab Marine Chem Theory &amp; Technol, Minist Educ, Qingdao 266100, Peoples R China</t>
  </si>
  <si>
    <t>Jianghan University; Jianghan University; Chinese Academy of Sciences; Research Center for Eco-Environmental Sciences (RCEES); Chinese Academy of Sciences; University of Chinese Academy of Sciences, CAS; Ocean University of China</t>
  </si>
  <si>
    <t>Liang, Y; Shi, JB (corresponding author), Jianghan Univ, Sch Environm &amp; Hlth, Hubei Key Lab Environm &amp; Hlth Effects Persistent, Wuhan 430056, Peoples R China.</t>
  </si>
  <si>
    <t>ly76@263.net; jbshi@rcees.ac.cn</t>
  </si>
  <si>
    <t>Liang, Yong/AAB-3942-2021; Yin, Yongguang/D-1695-2010; chen, qiang/JXY-6982-2024; Shi, Jianbo/B-1785-2012; Hu, Ligang/A-6991-2008</t>
  </si>
  <si>
    <t>Shi, Jianbo/0000-0003-2637-1929; Yin, Yongguang/0000-0002-7287-8598; Hu, Ligang/0000-0002-6213-4720</t>
  </si>
  <si>
    <t>National Key Research and Development Program of China [2020YFA0907400]; National Nat-ural Science Foundation of China [42025704]; CAS Interdisciplinary Innovation Team [JCTD-2018-04]; State Key Laboratory of Environmental Chemistry [KF2018-01]; Research Center for Eco-Environmental Sciences, Chinese Academy of Sciences</t>
  </si>
  <si>
    <t>National Key Research and Development Program of China(National Key Research &amp; Development Program of China); National Nat-ural Science Foundation of China(National Natural Science Foundation of China (NSFC)); CAS Interdisciplinary Innovation Team; State Key Laboratory of Environmental Chemistry; Research Center for Eco-Environmental Sciences, Chinese Academy of Sciences</t>
  </si>
  <si>
    <t>This research was supported by the National Key Research and Development Program of China (2020YFA0907400) , the National Nat-ural Science Foundation of China (42025704) , the CAS Interdisciplinary Innovation Team (JCTD-2018-04) , and the Opening Funding of State Key Laboratory of Environmental Chemistry and Ecotoxicology (KF2018-01) , Research Center for Eco-Environmental Sciences, Chinese Academy of Sciences.</t>
  </si>
  <si>
    <t>MAY 1</t>
  </si>
  <si>
    <t>10.1016/j.ecoenv.2022.113443</t>
  </si>
  <si>
    <t>1B9PU</t>
  </si>
  <si>
    <t>WOS:000792763000004</t>
  </si>
  <si>
    <t>Akkajit, P; Khongsang, A; Thongnonghin, B</t>
  </si>
  <si>
    <t>Akkajit, Pensiri; Khongsang, Audomlak; Thongnonghin, Boonnisa</t>
  </si>
  <si>
    <t>Microplastics accumulation and human health risk assessment of heavy metals in Marcia opima and Lingula anatina, Phuket</t>
  </si>
  <si>
    <t>Heavy metals; Lingula anatina; Marcia optima; Microplastic; Risk assessment; Phuket</t>
  </si>
  <si>
    <t>SHELLFISH; CADMIUM; FISH; POLLUTION; BIVALVES; THAILAND; COAST; CLAM; AREA; BAY</t>
  </si>
  <si>
    <t>The concerns over potential health risk from the consumption of Marcia opima (M. optima) and lingulata (Lingula anatina) contaminated by heavy metals (Cd, Pb and Zn) and microplastics in the eastern part of Phuket, Southern Thailand has been assessed. The abundance of microplastics in Marcia opima and Lingulata were 1.86 and 1.24 items/individual, respectively and followed the order: polyethylene terephthalate &gt; polyester &gt; polyvinyl alcohol and polyvinyl chloride. Integrated risk indices using the daily intake (EDIs) for heavy metals consumption (from 0.00001 to 0.00712 mg kg-1 per day) are not exceeded the standards set by the ministry of public health Thailand to pose potential carcinogenic health risk individually. The bioaccumulations and hazard quotient values (&lt;1) showed no risk exists concerning the levels of exposure, however, monitoring heavy metals concentration and microplastic contaminations on a regular basis are necessary to prioritize the local people health from pollutants exposure.</t>
  </si>
  <si>
    <t>[Akkajit, Pensiri; Khongsang, Audomlak; Thongnonghin, Boonnisa] Prince Songkla Univ, Fac Technol &amp; Environm, Phuket Campus, Phuket, Thailand; [Thongnonghin, Boonnisa] Prince Songkla Univ, Grad Sch, Hat Yai campus, Hat Yai 90110, Thailand</t>
  </si>
  <si>
    <t>Prince of Songkla University; Prince of Songkla University</t>
  </si>
  <si>
    <t>Akkajit, P (corresponding author), Prince Songkla Univ, Fac Technol &amp; Environm, Phuket Campus, Phuket, Thailand.</t>
  </si>
  <si>
    <t>pensiri.a@phuket.psu.ac.th</t>
  </si>
  <si>
    <t>Potential scholar in research and innovation to enhance the economic, social and community sectors (Talent Utilization); Fac-ulty of Technology and Environment, Prince of Songkla University, Phuket Campus</t>
  </si>
  <si>
    <t>The authors would like to express sincere thanks to Scholarship Supports of Potential scholar in research and innovation to enhance the economic, social and community sectors (Talent Utilization) , and Fac-ulty of Technology and Environment, Prince of Songkla University, Phuket Campus in terms of facilities and scientific equipment.</t>
  </si>
  <si>
    <t>10.1016/j.marpolbul.2022.114404</t>
  </si>
  <si>
    <t>7U3OU</t>
  </si>
  <si>
    <t>WOS:000912044600003</t>
  </si>
  <si>
    <t>Saber, TM; Khedr, MHE; Darwish, WS</t>
  </si>
  <si>
    <t>Saber, Taghred M.; Khedr, Mariam H. E.; Darwish, Wageh Sobhy</t>
  </si>
  <si>
    <t>RESIDUAL LEVELS OF ORGANOCHLORINE PESTICIDES AND HEAVY METALS IN SHELLFISH FROM EGYPT WITH ASSESSMENT OF HEALTH RISKS</t>
  </si>
  <si>
    <t>SLOVENIAN VETERINARY RESEARCH</t>
  </si>
  <si>
    <t>organochlorine pesticides; heavy metals; shellfish; health risks; Egypt</t>
  </si>
  <si>
    <t>PERSISTENT ORGANIC POLLUTANTS; POLYCHLORINATED-BIPHENYLS; FISH; RIVER; LAKE; SEA; ENVIRONMENT; EXPOSURE; LAGOONS; MERCURY</t>
  </si>
  <si>
    <t>This study investigated the levels of organochlorine pesticides (OCPs) and heavy metal residues in shellfish (shrimp, oyster and crab) collected from three Egyptian governorates (Ismailia, Damietta and Alexandria). Levels of 12 OCPs such as hexachlorocyclohexanes (HCHs), aldrin, endrin and dichlorodiphenyltrichloroethanes (DDTs) residues were determined. The dominant detected OCPs were beta-HCH, p,p-DDE and endrin. The contamination pattern of OCPs was in the order of other OCPs (HCB, heptachlor, heptachlor-epoxide, aldrin, endrin and gamma chlordane) &gt; HCHs &gt; DDTs. Residual levels of some heavy metals and trace elements were also estimated. The highest residual levels of OCPs and heavy metals were found in oysters collected from Damietta. The health risk assessment was determined by calculating hazard ratio and hazard index. Concentrations of OCPs and heavy metals in examined shellfish were below the maximum residual level set by United States Food and Drug Administration and FAO. Therefore, shellfish collected from these studied sites could be considered safe for human consumption.</t>
  </si>
  <si>
    <t>[Saber, Taghred M.] Zagazig Univ, Fac Vet Med, Forens Med &amp; Toxicol Dept, Zagazig 44519, Egypt; [Khedr, Mariam H. E.] Zagazig Univ, Fac Vet Med, Dept Vet Publ Hlth, Zagazig 44519, Egypt; [Darwish, Wageh Sobhy] Zagazig Univ, Fac Vet Med, Food Control Dept, Zagazig 44519, Egypt</t>
  </si>
  <si>
    <t>Egyptian Knowledge Bank (EKB); Zagazig University; Egyptian Knowledge Bank (EKB); Zagazig University; Egyptian Knowledge Bank (EKB); Zagazig University</t>
  </si>
  <si>
    <t>Saber, TM (corresponding author), Zagazig Univ, Fac Vet Med, Forens Med &amp; Toxicol Dept, Zagazig 44519, Egypt.</t>
  </si>
  <si>
    <t>taghred_saber@yahoo.com</t>
  </si>
  <si>
    <t>Darwish, Wageh/N-6136-2019; Saber, Taghred/AAN-8414-2021</t>
  </si>
  <si>
    <t>Saber, Taghred/0000-0003-3949-2148; Darwish, Wageh/0000-0002-4399-1401; Khedr, Mariam/0000-0001-6991-6226</t>
  </si>
  <si>
    <t>UNIV LJUBLJANA, VETERINARY FACULTY</t>
  </si>
  <si>
    <t>LJUBLJANA</t>
  </si>
  <si>
    <t>GERBICEVA 60, LJUBLJANA, 1000, SLOVENIA</t>
  </si>
  <si>
    <t>1580-4003</t>
  </si>
  <si>
    <t>SLOV VET RES</t>
  </si>
  <si>
    <t>Slov. Vet. Res.</t>
  </si>
  <si>
    <t>10.26873/SVR-453-2017</t>
  </si>
  <si>
    <t>GN9CV</t>
  </si>
  <si>
    <t>WOS:000439481400005</t>
  </si>
  <si>
    <t>Mahmoud, N; Dellali, M; Aissa, P; Mahmoudi, E</t>
  </si>
  <si>
    <t>Mahmoud, Naima; Dellali, Mohamed; Aissa, Patricia; Mahmoudi, Ezzeddine</t>
  </si>
  <si>
    <t>Acute toxicities of cadmium and permethrin on the pre-spawning and post-spawning phases of Hexaplex trunculus from Bizerta Lagoon, Tunisia</t>
  </si>
  <si>
    <t>Hexaplex trunculus; Pre-spawning; Post-spawning; Cadmium; Permethrin; Bizerta Lagoon</t>
  </si>
  <si>
    <t>MUSSEL MYTILUS-GALLOPROVINCIALIS; CELLULAR DEFENSE-MECHANISMS; CLAM RUDITAPES-DECUSSATUS; BIOCHEMICAL RESPONSES; CRASSOSTREA-VIRGINICA; AROMATIC-HYDROCARBONS; ANTIOXIDANT ENZYMES; LITTORINA-LITTOREA; OXIDATIVE STRESS; HEAVY-METALS</t>
  </si>
  <si>
    <t>Marine gastropods, exposed to anthropogenic pollution, accumulate high chemical concentrations in their tissues, especially in the digestive glands. An evaluation of the impacts of cadmium (Cd) and permethrin (Perm), coupled with reproductive events (pre-spawning and post-spawning phase) throughout the year, was attempted by measuring catalase (CAT), a biomarker of defence, on Hexaplex trunculus experimentally exposed for 48 or 96 h. Specimens of gastropods were sampled from Bizerta Lagoon (Tunisia). The results show that CAT activity increased in gastropods exposed to the three cadmium concentrations (C1 Cd, 100 mu g L-1; C2 Cd, 200 mu g L-1; and C3 Cd, 300 mu g L-1) and to the three permethrin doses (C1 Perm, 100 mu g L-1; C2 Perm, 150 mu g L-1; and C3 Perm, 200 mu g L-1) tested. A decrease in CAT was noted in the digestive gland of the H. trunculus exposed to permethrin at the concentration of 200 mu g L-1 during the pre-spawning and post-spawning phases. H. trunculus in post-spawning was more sensitive to cadmium and permethrin than in the pre-spawning phase. The biochemical responses to pollutants (cadmium and permethrin) represented by CAT may act as a biomarker of exposure in this species.</t>
  </si>
  <si>
    <t>[Mahmoud, Naima; Dellali, Mohamed; Aissa, Patricia; Mahmoudi, Ezzeddine] Univ Carthage, Fac Sci Bizerta, Coastal Ecol Unit, Lab Environm Biomonitoring, Zarzouna 7021, Tunisia</t>
  </si>
  <si>
    <t>Universite de Carthage</t>
  </si>
  <si>
    <t>Mahmoudi, E (corresponding author), Univ Carthage, Fac Sci Bizerta, Coastal Ecol Unit, Lab Environm Biomonitoring, Zarzouna 7021, Tunisia.</t>
  </si>
  <si>
    <t>ezzeddine.mahmoudi@laposte.net</t>
  </si>
  <si>
    <t>DELLALI, Mohamed/JVZ-2120-2024; MAHMOUDI, Ezzeddine/ISS-6035-2023</t>
  </si>
  <si>
    <t>10.1007/s10661-011-2385-z</t>
  </si>
  <si>
    <t>001DI</t>
  </si>
  <si>
    <t>WOS:000308439900002</t>
  </si>
  <si>
    <t>Kesavan, K; Murugan, A; Venkatesan, V; Kumar, BSV</t>
  </si>
  <si>
    <t>Kesavan, K.; Murugan, A.; Venkatesan, V.; Kumar, B. S. Vijay</t>
  </si>
  <si>
    <t>HEAVY METAL ACCUMULATION IN MOLLUSCS AND SEDIMENT FROM UPPANAR ESTUARY, SOUTHEAST COAST OF INDIA</t>
  </si>
  <si>
    <t>THALASSAS</t>
  </si>
  <si>
    <t>Uppanar; Heavy metals; sediment; gastropod; bivalve</t>
  </si>
  <si>
    <t>TRACE-METALS; GASTROPOD; MUSSEL; FIELD</t>
  </si>
  <si>
    <t>The concentration of (Cd, Co, Cu, Fe, Mg, Mn, Pb, Zn) were analyzed in sediments, shells and tissues of the molluscs Meretrix meretrix, Crassostrea madrasensis and Cerithidea cingulata from two stations of Uppanar Estuary, southeast coast of India. The concentrations of the heavy metals analyzed exhibited variations in sediments, tissues and shells of the study animal from all the two stations. Zn and Cu concentration were below the alarming level. In the present study Mg content was found to be higher in shell and tissue. The Fe content was found to be higher in sediment in both the stations, but it was the second highest metal recorded in shell and tissue. Cd and Co was minimum accumulated of all the metals estimated in sediment and animal whereas Mg was recorded maximum (548.3 +/- 5) in C. cingulata shell. All the metals analysed were within the safety level. The combined correlation of both the stations between the sediment vs. sediment, tissue vs. tissue, shell vs. shell were positively correlated and significant at P &lt; 0.001 and P &lt; 0.05 level. In addition to continuous contribution of pollutants due to human activities, industries may have a significant contribution of these metals in all the stations. As suggested by many reported studies found in the literature, regular biomonitoring of heavy metal concentrations at these sites is needed since Meretrix meretrix, Crassostrea madrasensis are a popular commercial bivalve in India.</t>
  </si>
  <si>
    <t>[Kesavan, K.] Annamalai Univ, Fac Marine Sci, CAS Marine Biol, Parangipettai 608502, India; [Venkatesan, V.] Cent Marine Fisheries Res Inst, Kochi 682018, Kerala, India; [Kumar, B. S. Vijay] Khadir MohideenColl, PG &amp; Res Dept Zool, Adirampattinam 614701, India</t>
  </si>
  <si>
    <t>Annamalai University; Indian Council of Agricultural Research (ICAR); ICAR - Central Marine Fisheries Research Institute</t>
  </si>
  <si>
    <t>Kesavan, K (corresponding author), Annamalai Univ, Fac Marine Sci, CAS Marine Biol, Parangipettai 608502, India.</t>
  </si>
  <si>
    <t>k7til@yahoo.co.in</t>
  </si>
  <si>
    <t>0212-5919</t>
  </si>
  <si>
    <t>2366-1674</t>
  </si>
  <si>
    <t>Thalassas</t>
  </si>
  <si>
    <t>152KW</t>
  </si>
  <si>
    <t>WOS:000319531600002</t>
  </si>
  <si>
    <t>Chandurvelan, R; Marsden, ID; Gaw, S; Glover, CN</t>
  </si>
  <si>
    <t>Chandurvelan, Rathishri; Marsden, Islay D.; Gaw, Sally; Glover, Chris N.</t>
  </si>
  <si>
    <t>Impairment of green-lipped mussel (Perna canaliculus) physiology by waterborne cadmium: Relationship to tissue bioaccumulation and effect of exposure duration</t>
  </si>
  <si>
    <t>Perna canaliculus; Cadmium; Physiological biomarkers; Bioindicator species; Scope for growth</t>
  </si>
  <si>
    <t>HEAVY-METALS; DREISSENA-POLYMORPHA; OXYGEN-CONSUMPTION; RISK-ASSESSMENT; MYTILUS-EDULIS; TOXICITY; ACCUMULATION; COPPER; EXCRETION; RATES</t>
  </si>
  <si>
    <t>Laboratory studies were performed to assess the impact of acute and subchronic cadmium (Cd) exposure on the green-lipped mussel, Perna canaliculus. A 96 h median lethal concentration (LC50) value of 8160 mu g L-1 was determined, characterising this species as relatively tolerant to Cd exposure. Acute (96 h; at 2000 and 4000 mu g Cd L-1) and subchronic (28 d; at 200 and 2000 mu g Cd L-1) waterborne exposures were then conducted to investigate the impact of Cd exposure on physiological responses (e.g. clearance (feeding) rate, absorption efficiency, oxygen uptake, ammonia production, oxygen to nitrogen ratio, scope for growth) and tissue Cd accumulation. Cd accumulation in digestive gland showed saturation with respect to increasing exposure concentration, while the gill tissue Cd accumulation followed a positive linear relationship with Cd exposure level. Clearance rates declined during both acute and subchronic exposures at levels of 2000 mu g Cd L-1 or higher. Impairments of clearance rates were strongly correlated with tissue Cd accumulation. Coupled with their importance as a food source, and their wide coastal distribution, these data suggests that P. canaliculus may be a species useful as an indicator species for trace metal pollution in coastal environments. (C) 2012 Elsevier B.V. All rights reserved.</t>
  </si>
  <si>
    <t>[Chandurvelan, Rathishri; Marsden, Islay D.; Glover, Chris N.] Univ Canterbury, Sch Biol Sci, Christchurch 8140, New Zealand; [Gaw, Sally] Univ Canterbury, Dept Chem, Christchurch 8140, New Zealand</t>
  </si>
  <si>
    <t>University of Canterbury; University of Canterbury</t>
  </si>
  <si>
    <t>Chandurvelan, R (corresponding author), Univ Canterbury, Sch Biol Sci, Private Bag 4800, Christchurch 8140, New Zealand.</t>
  </si>
  <si>
    <t>rch118@uclive.ac.nz; islay.marsden@canterbury.ac.nz; sally.gaw@canterbury.ac.nz; chris.glover@canterbury.ac.nz</t>
  </si>
  <si>
    <t>Glover, Chris/0000-0001-9170-5759</t>
  </si>
  <si>
    <t>Brian Mason Scientific and Technical Trust; University of Canterbury Doctoral scholarship</t>
  </si>
  <si>
    <t>We are indebted to Dr Andrea M. Contreras for providing excellent research help and guidance, and to Dr. Jonathan Hill for statistical advice. We thank Rennie Bishop, Gavin Robinson, Jan McKenzie, and Rob Stainthorpe for technical assistance. This study was funded by the Brian Mason Scientific and Technical Trust. RC is supported by a University of Canterbury Doctoral scholarship.</t>
  </si>
  <si>
    <t>10.1016/j.aquatox.2012.07.013</t>
  </si>
  <si>
    <t>036VG</t>
  </si>
  <si>
    <t>WOS:000311059800015</t>
  </si>
  <si>
    <t>PIPE, RK; COLES, JA</t>
  </si>
  <si>
    <t>ENVIRONMENTAL CONTAMINANTS INFLUENCING IMMUNE FUNCTION IN MARINE BIVALVE MOLLUSKS</t>
  </si>
  <si>
    <t>Session on Fish and Invertebrate Immunology, at the Society-for-Experimental-Biology Annual Spring Meeting</t>
  </si>
  <si>
    <t>APR 05, 1995</t>
  </si>
  <si>
    <t>ST ANDREWS, SCOTLAND</t>
  </si>
  <si>
    <t>BIVALVES; MOLLUSKS; IMMUNITY; HOST DEFENSE; POLLUTION; ENVIRONMENT; PHAGOCYTES</t>
  </si>
  <si>
    <t>The increased observation of pollution induced disease conditions in marine organisms has led to a growing interest on the effects of environmental contaminants on the immune system. Most studies on modulation of the immune system in bivalves by pollutants have concentrated on the effects of heavy metals and polycyclic aromatic hydrocarbons (PAHs). The current literature on contaminant effects on specific components of the bivalve immune system is reviewed together with the effects on susceptibility to infection. Data are presented showing the effects on immune parameters of exposure to Vibrio tubiashi following pre-exposure to copper or cadmium. Mussels exposed to cadmium for 7 days followed by 7 days exposure to V. tubiashi demonstrated significantly higher numbers of circulating haemocytes compared with non-Vibrio-exposed groups. Similar experiments conducted with copper exposure for both 7 days and 7 weeks followed by V. tubiashi for 7 days demonstrated a significant decrease in the percentage of circulating eosinophils compared with basophilic cells for both short and long term exposures. The intracellular release of superoxide (NET reduction) by haemocytes was stimulated in Vibrio-challenged mussels with no copper pre-exposure but was significantly reduced in mussels pre-exposed to 0.2 ppm of copper for 7 weeks. The mortalities for the copper experiments showed increased levels with increasing copper concentration and were consistently higher in the V. tubiashi challenged mussels which had also been exposed to copper. (C) 1995 Academic Press Limited</t>
  </si>
  <si>
    <t>PIPE, RK (corresponding author), NERC,PLYMOUTH MARINE LAB,CITADEL HILL,PLYMOUTH PL1 2PB,DEVON,ENGLAND.</t>
  </si>
  <si>
    <t>ACADEMIC PRESS (LONDON) LTD</t>
  </si>
  <si>
    <t>24-28 OVAL RD, LONDON, ENGLAND NW1 7DX</t>
  </si>
  <si>
    <t>10.1016/S1050-4648(95)80043-3</t>
  </si>
  <si>
    <t>TJ989</t>
  </si>
  <si>
    <t>WOS:A1995TJ98900005</t>
  </si>
  <si>
    <t>Belcheva, N; Istomina, A; Dovzhenko, N; Lishavskaya, T; Chelomin, V</t>
  </si>
  <si>
    <t>Belcheva, Nina; Istomina, Alexandra; Dovzhenko, Nadezhda; Lishavskaya, Tatiana; Chelomin, Victor</t>
  </si>
  <si>
    <t>Using Heavy Metal Content and Lipid Peroxidation Indicators in the Tissues of the Mussel Crenomytilus grayanus for Pollution Assessment After Marine Environmental Remediation</t>
  </si>
  <si>
    <t>Pollution; Seawater; Crenomytilus grayanus; Oxidative stress; Heavy metals</t>
  </si>
  <si>
    <t>OXIDATIVE STRESS; ACCUMULATION; DAMAGE</t>
  </si>
  <si>
    <t>We examined the effects of environmental remediation on the heavy metal concentration and lipid peroxidation activity in the digestive gland and gills of the marine mussel Crenomytilus grayanus. Changes in heavy metal concentrations and lipid peroxidation biomarkers in the tissues of mussels collected at a contaminated site were compared with those obtained from a reference site. Prior to remediation the concentration of Pb, Cu, Cd, Fe and Zn and the levels of malondialdehyde, conjugated dienes and lipofuscin in mussels collected from the contaminated site were significantly increased compared with those obtained from the reference site. Three years after remediation, these parameters did not significantly exceed the reference site parameters, except Pb, whose concentration, though markedly decreased, yet was much higher than in tissues of mussels from the reference site.</t>
  </si>
  <si>
    <t>[Belcheva, Nina; Istomina, Alexandra; Dovzhenko, Nadezhda; Chelomin, Victor] Russian Acad Sci, VI Ilichev Pacific Oceanol Inst, Far Eastern Branch, Lab Marine Ecotoxicol, Vladivostok 690041, Russia; [Lishavskaya, Tatiana] Far Eastern Reg Hydrometeorol Res Inst, Vladivostok 690091, Russia; [Chelomin, Victor] Far Eastern Fed Univ, Vladivostok 690950, Russia</t>
  </si>
  <si>
    <t>Ilichev Pacific Oceanological Institute; Russian Academy of Sciences; Far Eastern Federal University</t>
  </si>
  <si>
    <t>Istomina, A (corresponding author), Russian Acad Sci, VI Ilichev Pacific Oceanol Inst, Far Eastern Branch, Lab Marine Ecotoxicol, Ul Baltiyskaya 43, Vladivostok 690041, Russia.</t>
  </si>
  <si>
    <t>s-istomina1@mail.ru</t>
  </si>
  <si>
    <t>Chelomin, Viktor/W-3277-2017; Dovzhenko, Nadezhda/AAN-8800-2020</t>
  </si>
  <si>
    <t>Chelomin, Victor/0000-0002-1840-3057; Dovzhenko, Nadezhda/0000-0002-4106-0777</t>
  </si>
  <si>
    <t>10.1007/s00128-015-1624-3</t>
  </si>
  <si>
    <t>CR8LV</t>
  </si>
  <si>
    <t>WOS:000361604900011</t>
  </si>
  <si>
    <t>Zhang, JS; He, YH; Yan, XJ; Qu, CK; Li, JJ; Zhao, S; Wang, XY; Guo, BY; Liu, HH; Qi, PZ</t>
  </si>
  <si>
    <t>Zhang, Jianshe; He, Yuehua; Yan, Xiaojun; Qu, Chengkai; Li, Jiji; Zhao, Sheng; Wang, Xiaoyan; Guo, Baoying; Liu, Huihui; Qi, Pengzhi</t>
  </si>
  <si>
    <t>Two novel CYP3A isoforms in marine mussel Mytilus coruscus: Identification and response to cadmium and benzo[a]pyrene</t>
  </si>
  <si>
    <t>Mytilus coruscus; CYP3A; Cadmium; Benzo[a]pyrene; qRT-PCR; Erythromycin N-demethylase</t>
  </si>
  <si>
    <t>POLYCYCLIC AROMATIC-HYDROCARBONS; RETINOID-X-RECEPTOR; MESSENGER-RNA; CYTOCHROME-P450 GENES; DNA-DAMAGE; RUDITAPES-PHILIPPINARUM; EXPRESSION PROFILE; PERINEREIS-NUNTIA; DIGESTIVE GLAND; EXPOSURE</t>
  </si>
  <si>
    <t>CYP3A enzymes play a crucial role in metabolic clearance of a variety of xenobiotics. However, their genetic information and function remain unclear in molluscs. In the present study, two novel CYP3A genes i.e. McCYP3A-1 and McCYP3A-2 were identified and characterized from the thick shell mussel Mytilus coruscus, and their tissue distribution as well as the response to cadmium (Cd) and benzo[a]pyrene (B[alpha]P) exposure were addressed using real time quantitative RT-PCR (qRT-PCR) and erythromycin N-demethylase (ERND) assay. McCYP3A-1 and McCYP3A-2 possess typically domains of CYP family such as helix-C, helix-I, helix-K, PERF and the heme binding domain as well as the characteristic domains of CYP3s including six SRS motifs. McCYP3A-1 and McCYP3A-2 transcripts were constitutively expressed in all examined tissues with high expression level in digestive glands, hepatopancreas and gonads. Upon B[alpha]P exposure, McCYP3A-1 and McCYP3A-2 mRNA expression in digestive glands showed a pattern of up-regulation followed by down-regulation, while under Cd exposure, showed a time-dependent induction profile. In addition, ERND activity, generally used as an indicator of CYP3, increased in a time-dependent manner after exposure to Cd and B[alpha]P. These results collectively indicated that McCYP3A-1 and McCYP3A-2 are CYP3A family member and may play a potential role in metabolic clearance of xenobiotics. Meanwhile, the current results may provide some baseline data to support McCYP3A-1 and McCYP3A-2 as candidate biomarkers for monitoring of PAHs and heavy metal pollution.</t>
  </si>
  <si>
    <t>[Zhang, Jianshe; He, Yuehua; Yan, Xiaojun; Li, Jiji; Zhao, Sheng; Wang, Xiaoyan; Guo, Baoying; Liu, Huihui; Qi, Pengzhi] Zhejiang Ocean Univ, Marine Sci &amp; Technol Coll, Natl Engn Res Ctr Marine Facil Aquacult, Zhoushan 316004, Peoples R China; [Qu, Chengkai] Northwest Univ, Coll Urban &amp; Environm Sci, Shaanxi Key Lab Earth Surface Syst &amp; Environm Car, Xian 710127, Shaanxi, Peoples R China</t>
  </si>
  <si>
    <t>Zhejiang Ocean University; Northwest University Xi'an</t>
  </si>
  <si>
    <t>Qi, PZ (corresponding author), Zhejiang Ocean Univ, Marine Sci &amp; Technol Coll, Natl Engn Res Ctr Marine Facil Aquacult, Zhoushan 316004, Peoples R China.</t>
  </si>
  <si>
    <t>qpz2004@sina.com</t>
  </si>
  <si>
    <t>wang, xiaoyan/ABE-3431-2021; Li, Jiji/AAA-1042-2022; Qu, Chengkai/P-1239-2019</t>
  </si>
  <si>
    <t>Qi, Pengzhi/0000-0001-8037-2899; Yan, Xiaojun/0000-0003-0257-0157</t>
  </si>
  <si>
    <t>Zhejiang public welfare project [2017C32009]; Special Fund for the Key Research and Development Project of Zhejiang Province [2019CO2056]; Zhoushan science and technology planning project [2019E12004]; NSFC-Zhejiang Joint Fund for the Integration of Industrialization and Informatization [U1609204]</t>
  </si>
  <si>
    <t>Zhejiang public welfare project; Special Fund for the Key Research and Development Project of Zhejiang Province; Zhoushan science and technology planning project; NSFC-Zhejiang Joint Fund for the Integration of Industrialization and Informatization</t>
  </si>
  <si>
    <t>This research was supported by Zhejiang public welfare project (2017C32009), the Special Fund for the Key Research and Development Project of Zhejiang Province (2019CO2056), Zhoushan science and technology planning project (2019E12004) and NSFC-Zhejiang Joint Fund for the Integration of Industrialization and Informatization (U1609204).</t>
  </si>
  <si>
    <t>10.1016/j.aquatox.2019.105239</t>
  </si>
  <si>
    <t>IY4JK</t>
  </si>
  <si>
    <t>WOS:000486357100006</t>
  </si>
  <si>
    <t>Sekhar, KC; Chary, NS; Kamala, CT; Raj, DSS; Rao, AS</t>
  </si>
  <si>
    <t>Fractionation studies and bioaccumulation of sediment-bound heavy metals in Kolleru lake by edible fish</t>
  </si>
  <si>
    <t>heavy metals; fractionation; bioavailable; sediments</t>
  </si>
  <si>
    <t>SEQUENTIAL EXTRACTION PROCEDURE; MUSSEL PERNA-VIRIDIS; PLATICHTHYS-FLESUS; TRACE-METALS; SPECIATION; ESTUARY; RIVER; ZN; CD; COAST</t>
  </si>
  <si>
    <t>Kolleru lake is the largest fresh water lake in the districts of East and West Godavari of Andhra Pradesh, India. Many anthropogenic sources contribute to the heavy metal pollution in the lake and the bioaccumulation of heavy metals in fish helps in assessing the aquatic pollution. Total contents and fractionation of selected heavy metals, viz., Zn, Cu, Cd, Pb, Cr, Ni and Co were measured in sediment sample and three edible fish. The investigation aimed at revealing differences in the accumulation pattern of heavy metals in fish inhabiting sediments characterized by varying metal bioavailability. The metal concentrations were found to be greater than the background concentrations of sediments indicating the anthropogenic origin of metals. Good recovery values were obtained for metal contents in sediments and fish. Large fractions of Zn, Cd and Cu were associated with mobile fraction of sediment and showed greater bioaccumulation in fish whereas Ni and Co were least mobilisable. The results clearly indicate that the fish of Kolleru lake are contaminated with metals and not advisable for human consumption. (C) 2003 Elsevier Science Ltd. All rights reserved.</t>
  </si>
  <si>
    <t>Indian Inst Chem Technol, Hyderabad 500028, Andhra Pradesh, India; Jawaharlal Nehru Technol Univ, IPGSR, Ctr Environm, Hyderabad 500028, Andhra Pradesh, India; GITAM, Coll Engn, Dept Appl Environm Chem, Vishakapatnam 530045, Andhra Pradesh, India</t>
  </si>
  <si>
    <t>Council of Scientific &amp; Industrial Research (CSIR) - India; CSIR - Indian Institute of Chemical Technology (IICT); Jawaharlal Nehru Technological University - Hyderabad; Gandhi Institute of Technology &amp; Management (GITAM)</t>
  </si>
  <si>
    <t>Sekhar, KC (corresponding author), Indian Inst Chem Technol, Hyderabad 500028, Andhra Pradesh, India.</t>
  </si>
  <si>
    <t>Kalidindi, Chandra/AAR-2751-2020</t>
  </si>
  <si>
    <t>10.1016/S0160-4120(03)00094-1</t>
  </si>
  <si>
    <t>758WQ</t>
  </si>
  <si>
    <t>WOS:000187674900014</t>
  </si>
  <si>
    <t>MacFarlane, GR; Markich, SJ; Linz, K; Gifford, S; Dunstan, RH; O'Connor, W; Russell, RA</t>
  </si>
  <si>
    <t>MacFarlane, G. R.; Markich, S. J.; Linz, K.; Gifford, S.; Dunstan, R. H.; O'Connor, W.; Russell, R. A.</t>
  </si>
  <si>
    <t>The Akoya pearl oyster shell as an archival monitor of lead exposure</t>
  </si>
  <si>
    <t>lead (Pb); pearl oyster; shell; secondary ion mass spectrometry (SIMS); biomonitor</t>
  </si>
  <si>
    <t>PINCTADA-RADIATA; TRACE-METALS; MYTILUS-EDULIS; HEAVY-METALS; POLLUTION; BIOACCUMULATION; BIVALVE; CADMIUM; GROWTH; COPPER</t>
  </si>
  <si>
    <t>The Akoya pearl oyster (Pinctada imbricata) was experimentally exposed to (a) constant levels of lead (Pb) at 180 mu g L-I for nine weeks, or (b) two short term (pulse) exposures of Pb at 180 mu g L-1 (three weeks each) with an intervening deputation period (three weeks), to assess its utility as an (i) accumulative monitor of Pb contamination and an (ii) archival monitor for discriminating constant versus pulsed Pb exposure events. P. imbricata showed similar reductions in growth (based on shell morphology and wet weight) and Pb accumulation patterns for whole tissue and shell in response to both Pb exposure regimes. Thus the whole oyster was deemed an inappropriate accumulative monitor for assessing short-term temporal variation of Pb exposure and effect. However, using secondary ion mass spectrometry, Pb was shown to accumulate in the successively deposited nacreous layers of the shell of P. imbricata, documenting the exposure history of constant versus pulsed Pb events. Patterns of Pb deposition not only reflected the frequency of Pb exposure events but also their relative durations. Thus, the shell of P. imbricata may be employed as a suitable biological archive of Pb exposure. (c) 2005 Elsevier Ltd. All rights reserved.</t>
  </si>
  <si>
    <t>Univ Newcastle, Sch Environm &amp; Life Sci, Callaghan, NSW 2308, Australia; Aquat Solut Int, Telopea, NSW 2117, Australia; New S Wales Dept Primary Ind, Port Stephens Fisheries Ctr, Nelson Bay, NSW 2315, Australia; Australian Nucl Sci &amp; Technol Org, Menai, NSW 2234, Australia</t>
  </si>
  <si>
    <t>University of Newcastle; NSW Department of Primary Industries; Australian Nuclear Science &amp; Technology Organisation</t>
  </si>
  <si>
    <t>Russell, Robert/0000-0002-6819-8194; O'Connor, Wayne/0000-0002-0972-4668; MacFarlane, Geoff R./0000-0002-5090-6236</t>
  </si>
  <si>
    <t>10.1016/j.envpol.2005.10.042</t>
  </si>
  <si>
    <t>051SO</t>
  </si>
  <si>
    <t>WOS:000238181400021</t>
  </si>
  <si>
    <t>HUNG, TC; HAN, BC</t>
  </si>
  <si>
    <t>RELATIONSHIPS AMONG THE SPECIES OF COPPER, ORGANIC-COMPOUNDS AND BIOACCUMULATION ALONG THE MARICULTURE AREA IN TAIWAN</t>
  </si>
  <si>
    <t>2ND INTERNATIONAL CONF ON TRACE METALS IN THE ENVIRONMENT</t>
  </si>
  <si>
    <t>JUL, 1990</t>
  </si>
  <si>
    <t>UNIV TECHNOL SYDNEY, SYDNEY, AUSTRALIA</t>
  </si>
  <si>
    <t>UNIV TECHNOL SYDNEY</t>
  </si>
  <si>
    <t>COPPER SPECIES; COPPER ASSIMILATIVE CAPACITY; DISSOLVED ORGANIC COMPOUNDS; COPPER BIOACCUMULATION IN OYSTERS; ECOLOGICAL PARAMETERS</t>
  </si>
  <si>
    <t>In Taiwan the first incident of green discoloration in the oysters Crassostrea gigas was observed in the Charting coastal area in January 1986 and the mortality reports appeared 3 months later. The cause of green oysters was identified as copper pollution. The copper content of the oysters was extremely high (2100 mug/g and 4400 mug/g of dry weight in January 1986 and January 1989, respectively). In this paper some recent data on distribution of copper species (complexed by inorganic and organic ligands, labile and non-labile, polar and nonpolar) and forms (dissolved and particulate), dissolved organic compounds (such as lipids, acid- and base-mobile organic compounds) and copper assimilative capacity in sea water are reported. In general, high concentrations of particulate copper (range from 3.09 to 732 mug/1) and non-labile organic copper (over 70% of total dissolved copper) were observed. Relatively low values of polar organic copper (less than about 48% of the total organic copper) indicated that non-polar organic complexes from man-made organic pollutants were the major complexes in the study area.</t>
  </si>
  <si>
    <t>NATL TAIWAN UNIV,INST OCEANOG,TAIPEI 10764,TAIWAN; TAIPEI MED COLL,DEPT PUBL HLTH,TAIPEI,TAIWAN</t>
  </si>
  <si>
    <t>National Taiwan University; Taipei Medical University</t>
  </si>
  <si>
    <t>HUNG, TC (corresponding author), ACAD SINICA,INST CHEM,TAIPEI 11529,TAIWAN.</t>
  </si>
  <si>
    <t>SEP 7</t>
  </si>
  <si>
    <t>10.1016/0048-9697(92)90401-D</t>
  </si>
  <si>
    <t>JR723</t>
  </si>
  <si>
    <t>WOS:A1992JR72300026</t>
  </si>
  <si>
    <t>Jorge, RADLVC; Moreira, GS</t>
  </si>
  <si>
    <t>Use of sodium dodecyl sulfate and zinc sulfate as reference substances for toxicity tests with the mussel Perna perna (Linnaeus, 1758) (Mollusca: Bivalvia)</t>
  </si>
  <si>
    <t>toxicity test; mussel; larvae; Perna perna; sodium dodecyl sulfate; zinc</t>
  </si>
  <si>
    <t>ABALONE HALIOTIS-RUFESCENS; MYSID MYSIDOPSIS-INTII; CRASSOSTREA-GIGAS; DISSOLVED MERCURY; HEAVY-METALS; GROWTH; LARVAE; SURVIVAL; EMBRYOGENESIS; EMBRYOS</t>
  </si>
  <si>
    <t>Effects of anthropogenic pollution have been observed at different trophic levels in the oceans, and toxicity tests constitute one way of monitoring these alterations. The present assay proposes the use of two reference substances, sodium dodecyl sulfate (SDS) and zinc sulfate, for Perna perna larvae. This common mussel on the Brazilian coast is used as a bioindicator and is of economic interest. The chronic static embryo-larval test of short duration (48 h) was employed to determine the NOEC, LOEC, and IC50 for SDS and zinc sulfate, as well as the coefficient of variation. Salinity, pH and un-ionized ammonia (NH3) and dissolved oxygen (DO) concentrations were measured to monitor water quality. The results demonstrated that the main alterations in veliger larvae are the development of only one shell, protruded mantle, malformed shell, formation of only part of a valve.. clipped edges, uneven sizes and presence of a concave or convex hinge. NOEC values were lower than 0.25 mg L-1 for zinc sulfate and 0.68 mg L-1 for SDS. The coefficient of variation was 17.63% and 2.50% for zinc sulfate and SDS, respectively. (c) 2004 Elsevier Inc. All rights reserved.</t>
  </si>
  <si>
    <t>Univ Sao Paulo, Ctr Recursos Hidr &amp; Ecol Aplicada, BR-05508 Sao Paulo, Brazil; Univ Sao Paulo, Inst Biociencias, BR-05508 Sao Paulo, Brazil</t>
  </si>
  <si>
    <t>Universidade de Sao Paulo; Universidade de Sao Paulo</t>
  </si>
  <si>
    <t>Rua Joaoj Gioiellii 51-44, BR-05540070 Butanta, SP, Brazil.</t>
  </si>
  <si>
    <t>robertaadriana@yahoo.com.br</t>
  </si>
  <si>
    <t>10.1016/j.ecoenv.2004.09.005</t>
  </si>
  <si>
    <t>929ZQ</t>
  </si>
  <si>
    <t>WOS:000229385800014</t>
  </si>
  <si>
    <t>Azizi, G; Layachi, M; Akodad, M; Yáñez-Ruiz, DR; Martín-García, AI; Baghour, M; Mesfioui, A; Skalli, A; Moumen, A</t>
  </si>
  <si>
    <t>Azizi, Ghizlane; Layachi, Mostafa; Akodad, Mustapha; Yanez-Ruiz, David R.; Ignacio Martin-Garcia, Antonio; Baghour, Mourad; Mesfioui, Abdelhakim; Skalli, Ali; Moumen, Abdelmajid</t>
  </si>
  <si>
    <t>Seasonal variations of heavy metals content in mussels (Mytilus galloprovincialis) from Cala Iris offshore (Northern Morocco)</t>
  </si>
  <si>
    <t>Cala Iris offshore; Mussel farming; Mytilus galloprovincialis; Heavy metal; Sentinel organisms; Seasonal variation</t>
  </si>
  <si>
    <t>COASTAL WATERS; ORGANOCHLORINE COMPOUNDS; TRACE-ELEMENTS; PERNA-VIRIDIS; SOFT-TISSUE; BIOACCUMULATION; CD; BIOMARKERS; GULF; METALLOTHIONEIN</t>
  </si>
  <si>
    <t>Heavy metal concentrations of Cd, Cr, Cu, Fe, Ni, Zn, Co, and Pb were investigated in soft tissues of Mytilus galloprovincialis coming from an aquaculture farm in Cala Iris sea of AlHoceima. Mytilus galloprovincialis were collected monthly during the period January to December 2016. The seasonal variations were affected significantly the concentrations of metals (Cd, Fe and Cr) in M. galloprovincialis. The highest heavy metal concentrations were recorded in winter (0.89 mg/kg, 673.2 and 3.330 mg/kg; for Cd, Fe and Cr, respectively) and the lowest values were founded in summer for Cd (0.646 mg/kg), and in autumn for Fe (340.1 mg/kg) and Cr (1.959 mg/kg). A significant effect of seasons on metal concentrations can be attributed to a number of biological and environmental inter-related factors. Data from this study may provide information on the use of M. galloprovincialis as a bioindicator for heavy metals pollution in the Cala Iris Sea.</t>
  </si>
  <si>
    <t>[Azizi, Ghizlane; Akodad, Mustapha; Baghour, Mourad; Skalli, Ali; Moumen, Abdelmajid] Univ Mohammed 1, FPN, OLMAN RL, BP 300, Selouane 62700, Nador, Morocco; [Layachi, Mostafa; Mesfioui, Abdelhakim] Ctr Reg INRH Nador, 13 Blvd Zerktouni BP 493, Nador, Morocco; [Yanez-Ruiz, David R.; Ignacio Martin-Garcia, Antonio] CSIC, EEZ, Dept Fisiol &amp; Bioquim Nutr Anim, Camino Jueves S-N, Granada 18100, Spain</t>
  </si>
  <si>
    <t>Mohammed First University of Oujda; Consejo Superior de Investigaciones Cientificas (CSIC); CSIC - Estacion Experimental del Zaidin (EEZ)</t>
  </si>
  <si>
    <t>Moumen, A (corresponding author), Univ Mohammed 1, FPN, OLMAN RL, BP 300, Selouane 62700, Nador, Morocco.</t>
  </si>
  <si>
    <t>abelm127@hotmail.com</t>
  </si>
  <si>
    <t>Yanez-Ruiz, David/Q-4963-2019; Martín-García, Ignacio/ADF-1356-2022; baghour, mourad/H-9480-2015</t>
  </si>
  <si>
    <t>Martin-Garcia, A. Ignacio/0000-0002-5366-3938; Moumen, Abdelmajid/0000-0002-4575-0871; baghour, mourad/0000-0001-8976-7731</t>
  </si>
  <si>
    <t>10.1016/j.marpolbul.2018.06.052</t>
  </si>
  <si>
    <t>HE6CG</t>
  </si>
  <si>
    <t>WOS:000453490300077</t>
  </si>
  <si>
    <t>Meyer, U; Hagen, W; Medeiros, C</t>
  </si>
  <si>
    <t>Mercury in a northeastern Brazilian mangrove area, a case study:: potential of the mangrove oyster Crassostrea rhizophorae as bioindicator for mercury</t>
  </si>
  <si>
    <t>BIVALVE MACOMA-BALTHICA; MYTILUS-EDULIS; OSTREA-EDULIS; SEASONAL-VARIATION; METAL POLLUTION; TRACE-METALS; MUSSEL WATCH; BODY SIZE; INDICATOR; VIRGINICA</t>
  </si>
  <si>
    <t>The Channel of Santa Cruz is a mangrove area in northeastern Brasil 40 km north of Recife. Until 1991 a chlor-alkali factory discharged large amounts of mercury into the main tributary of the channel, the Rio Botafogo. The objective of this study was to assess the potential of the mangrove oyster Crassostrea rhizophorae as a bioindicator for mercury in this area and to examine the influence of condition on mercury concentrations in the oysters. The investigation was carried out in the late rainy season (July to September) 1993, in the rainy season (April to June) 1994 and in the dry season (November/December) 1994. At 11 stations in the channel, mangrove oysters, surface sediments and suspended matter were sampled, representing different compartments of the system. The distribution of mercury in the Channel of Santa Cruz exhibited for all compartments the same distinct spatial pattern with maxima in the Rio Botafogo. Seasonal variations were small and revealed no clear tendencies. In addition, mangrove oysters were transplanted from more contaminated stations to less contaminated stations and vice versa. These experiments were designed to study the oysters' capability to adjust their mercury concentrations to a changing bioavailability of mercury. The transplantation experiments suggest that the oysters are capable to adjust to changing ambient mercury availability within a few months. The transplantation experiments also revealed the importance of condition changes on the mercury concentration of the oysters. This factor should not be ignored during pollution studies. However, condition had apparently no strong influence on the spatial or seasonal mercury variations of the oysters. The mangrove oyster is a suitable bioindicator for long-term changes in mercury availability.</t>
  </si>
  <si>
    <t>Univ Kiel, Inst Polar Ecol, D-24148 Kiel, Germany; Ctr Trop Marine Ecol, D-28359 Bremen, Germany; Fed Univ Recife, Dept Oceanog, BR-50739 Recife, PE, Brazil</t>
  </si>
  <si>
    <t>University of Kiel; Leibniz Zentrum fur Marine Tropenforschung (ZMT)</t>
  </si>
  <si>
    <t>Hagen, W (corresponding author), Univ Kiel, Inst Polar Ecol, Wischhofstr 1-3,Geb 12, D-24148 Kiel, Germany.</t>
  </si>
  <si>
    <t>Limongi, Carmen/B-5481-2013</t>
  </si>
  <si>
    <t>Hagen, Wilhelm/0000-0002-7462-9931</t>
  </si>
  <si>
    <t>10.1007/s002270050302</t>
  </si>
  <si>
    <t>ZN136</t>
  </si>
  <si>
    <t>WOS:000073613500013</t>
  </si>
  <si>
    <t>Ge, JY; Tang, N; Guo, JY; Yu, MD; Zhang, YF; Li, XD; Liang, J</t>
  </si>
  <si>
    <t>Ge, Jiangyue; Tang, Ning; Guo, Jiayin; Yu, Mengdie; Zhang, Yafei; Li, Xiaodong; Liang, Jie</t>
  </si>
  <si>
    <t>Mussel-inspired magnetic adsorbent MnO2/PDA@Fe3O4 for removing heavy metal ions contaminants in single and mixed systems</t>
  </si>
  <si>
    <t>Magnetic nanoparticles; MnO2; Adsorption; Heavy metals; Natural organic matter</t>
  </si>
  <si>
    <t>EFFICIENT REMOVAL; CHEMICAL PRECIPITATION; ADSORPTION BEHAVIOR; AQUEOUS-SOLUTIONS; SHELL; CORE; NANOPARTICLES; URANIUM; PB2+; COPPER</t>
  </si>
  <si>
    <t>Heavy metal pollution has been a magnificent concern for a long period. A novel magnetic material, MnO2/PDA@Fe3O4, was prepared in this paper. With the assistance of multiple characterization methods, it was confirmed that polydopamine coated the magnetic nucleus and acted as a dense intermediate layer for MnO2 attachment. Having superior adsorption performance, MnO2/PDA@Fe3O4 could remove heavy metal cations efficiently no matter in single or mixed systems. The maximum adsorption capacities calculated by the Langmuir model for Pb(II), Cu(II), and Cd(II) were 295.01 mg/g, 130.30 mg/g, and 115.16 mg/g, respectively. In mixed systems, the adsorbent showed obvious selectivity for Pb(II). And the variation of Cu(II) concentration was more responsible for Pb(II) adsorption than that of Cd(II). The kinetic and thermodynamic data revealed that the polluted ions immobilizations by MnO2/PDA@Fe3O4 were chemisorption and were endothermic, entropy increase, spontaneous process. The presence of humic acid and coexisting ions induced only a very limited interference. In addition, MnO2/PDA@Fe3O4 maintained excellent adsorption performance and stability after five cycles of adsorption and removed 98.33% Pb(II) and 71.24% Cu(II) from actual water, respectively. This study confirmed that the MnO2/PDA@Fe3O4 had great potential and broad prospects to remediate the heavy metal contaminants in water.</t>
  </si>
  <si>
    <t>[Ge, Jiangyue; Tang, Ning; Guo, Jiayin; Yu, Mengdie; Zhang, Yafei; Li, Xiaodong; Liang, Jie] Hunan Univ, Coll Environm Sci &amp; Engn, Changsha 410082, Peoples R China; [Ge, Jiangyue; Tang, Ning; Guo, Jiayin; Yu, Mengdie; Zhang, Yafei; Li, Xiaodong; Liang, Jie] Hunan Univ, Key Lab Environm Biol &amp; Pollut Control, Minist Educ, Changsha 410082, Peoples R China</t>
  </si>
  <si>
    <t>Hunan University; Hunan University</t>
  </si>
  <si>
    <t>Liang, J (corresponding author), Hunan Univ, Coll Environm Sci &amp; Engn, Changsha 410082, Peoples R China.;Liang, J (corresponding author), Hunan Univ, Key Lab Environm Biol &amp; Pollut Control, Minist Educ, Changsha 410082, Peoples R China.</t>
  </si>
  <si>
    <t>liangjie@hnu.edu.cn</t>
  </si>
  <si>
    <t>Zhang, Yafei/JFA-4731-2023; , 米立小子/AHA-7181-2022</t>
  </si>
  <si>
    <t>National Natural Science Foundation of China [51979101, 51679082, 51479072, 51521006]; Hunan Science &amp; Technology Innovation Program [2018RS3037]; Hunan Provincial Natural Science Foundation [2019JJ20002]</t>
  </si>
  <si>
    <t>National Natural Science Foundation of China(National Natural Science Foundation of China (NSFC)); Hunan Science &amp; Technology Innovation Program; Hunan Provincial Natural Science Foundation(Natural Science Foundation of Hunan Province)</t>
  </si>
  <si>
    <t>This work was supported by the National Natural Science Foundation of China (51979101, 51679082, 51479072, 51521006), the Hunan Science &amp; Technology Innovation Program (2018RS3037), and the Hunan Provincial Natural Science Foundation (2019JJ20002).</t>
  </si>
  <si>
    <t>10.1007/s11356-022-25094-y</t>
  </si>
  <si>
    <t>I3OD1</t>
  </si>
  <si>
    <t>WOS:000933550100022</t>
  </si>
  <si>
    <t>El-Sorogy, AS; Youssef, M</t>
  </si>
  <si>
    <t>El-Sorogy, Abdelbaset S.; Youssef, Mohamed</t>
  </si>
  <si>
    <t>Assessment of heavy metal contamination in intertidal gastropod and bivalve shells from central Arabian Gulf coastline, Saudi Arabia</t>
  </si>
  <si>
    <t>JOURNAL OF AFRICAN EARTH SCIENCES</t>
  </si>
  <si>
    <t>Gastropoda; Bivalvia; Heavy metal contamination; Arabian Gulf; Saudi Arabia</t>
  </si>
  <si>
    <t>SEDIMENTS; BIOACCUMULATION; POLLUTION; WATER; ACCUMULATION; MOLLUSKS; SEAWATER; IMPACTS; ISLAND; BASIN</t>
  </si>
  <si>
    <t>In order to assess pollutants and impact of environmental changes along the Saudi Arabian Gulf coast, forty specimens of gastropod and bivalve shells belonging to Diodora funiculata, Lunella coronata, Cerithium caeruleum, Barbatia parva, Pinctada margaritifera, Amiantis umbonella, Acrosterigma assimile and Asaphis violascens from five localities are selected for Fe, Cu, Pb, Mn, Cd, Se, As, Co, B, Cr, Hg, Mo analysis. The analysis indicated that heavy metal values (except Fe) were less than those recorded in molluscan shells from Gulf of Oman, Red Sea and Indian Ocean. D. funiculate, L coronata, B. parva and P. margaritifera are good accumulators of Cu, As, Cr. The other species gave a nearly constant concentration in all the studied areas. Al Jubail coast recorded the highest heavy metal concentrations (except Mn at Ras Al-Ghar and Se at Al Jubail industrial city). Heavy metal contamination is mostly attributed to anthropogenic sources, especially effluents from petrochemical industries, sewage and desalination plants. (C) 2015 Elsevier Ltd. All rights reserved.</t>
  </si>
  <si>
    <t>[El-Sorogy, Abdelbaset S.; Youssef, Mohamed] King Saud Univ, Coll Sci, Dept Geol &amp; Geophys, Riyadh 11451, Saudi Arabia; [El-Sorogy, Abdelbaset S.] Zagazig Univ, Fac Sci, Dept Geol, Zagazig, Egypt; [Youssef, Mohamed] South Valley Univ, Fac Sci, Dept Geol, Qena, Egypt</t>
  </si>
  <si>
    <t>King Saud University; Egyptian Knowledge Bank (EKB); Zagazig University; Egyptian Knowledge Bank (EKB); South Valley University Egypt</t>
  </si>
  <si>
    <t>El-Sorogy, AS (corresponding author), King Saud Univ, Coll Sci, Dept Geol &amp; Geophys, POB 2455, Riyadh 11451, Saudi Arabia.</t>
  </si>
  <si>
    <t>elsorogyabd@yahoo.com; asmohamed@ksu.edu.sa</t>
  </si>
  <si>
    <t>Youssef, Mohamed/AAA-2918-2022; El-Sorogy, Abdelbaset/C-9445-2014; Youssef, Mohamed/C-9389-2014</t>
  </si>
  <si>
    <t>El-Sorogy, Abdelbaset/0000-0003-0283-1433; Youssef, Mohamed/0000-0001-6465-6293</t>
  </si>
  <si>
    <t>Deanship of Scientific Research at King Saud University [RG-1435-033]</t>
  </si>
  <si>
    <t>The authors would like to extend their sincere appreciation to the Deanship of Scientific Research at King Saud University for its funding this research group No. (RG-1435-033).</t>
  </si>
  <si>
    <t>1464-343X</t>
  </si>
  <si>
    <t>1879-1956</t>
  </si>
  <si>
    <t>J AFR EARTH SCI</t>
  </si>
  <si>
    <t>J. Afr. Earth Sci.</t>
  </si>
  <si>
    <t>10.1016/j.jafrearsci.2015.07.012</t>
  </si>
  <si>
    <t>Geosciences, Multidisciplinary</t>
  </si>
  <si>
    <t>CU8WD</t>
  </si>
  <si>
    <t>WOS:000363823900004</t>
  </si>
  <si>
    <t>Ma, BG; Zhao, XL; Zhang, XN; Yang, BW; Cai, ZM; Xing, ZH; Xu, MZ; Mi, LY; Zhang, JN; Wang, L; Zhao, YC; Liu, XL</t>
  </si>
  <si>
    <t>Ma, Bangguo; Zhao, Xiaoli; Zhang, Xiaoning; Yang, Bowen; Cai, Zimin; Xing, Zihan; Xu, Mingzhe; Mi, Liuya; Zhang, Jianning; Wang, Lei; Zhao, Yancui; Liu, Xiaoli</t>
  </si>
  <si>
    <t>The acute neurotoxicity of inorganic mercury in Mactra chinensis philippi</t>
  </si>
  <si>
    <t>Neurotoxicity; Inorganic mercury; Neurotransmitter; Bivalves</t>
  </si>
  <si>
    <t>LIQUID-CHROMATOGRAPHY; ACCUMULATION; GLUTAMATE; GLYCINE; TANDEM; NMR</t>
  </si>
  <si>
    <t>Inorganic mercury (IHg) is hazardous to marine organisms especially resulting in neurotoxicity, bivalves are sensitive to pollutants as ocean sentinel, but data on the neurotoxicity of IHg in bivalves are sparse. So we chosed M. chinensis philippi with typical neural structures in bivalves to investigate the neurotoxicity of IHg, which could be helpful to understand the specificity of neural regulation and the response characteristics of bivalves. After acute exposed to IHg (HgCl2) for 24 h, the metabolites of ganglion tissues in M. chinensis philippi were evaluated using 1H-nuclear magnetic resonance based metabolomics; Ca2+, neurotransmitters (nitric oxide, glutamate, acetylcholine) and related enzymes (calcineurin, nitric oxide synthase and acetylcholinesterase) were measured using biochemical detection. Compared to the control group, the levels of the nitric oxide (81.04 +/- 12.84 mu mol/g prot) and acetylcholine (30.93 +/- 12.57 mu g/mg prot) in M. chinensis philippi of IHg-treated were decreased, while glutamate (2.11 +/- 0.61 mmol/L) increased significantly; the activity of nitric oxide synthase (679.34 +/- 135.33 U/mg prot) was increased, while acetylcholinesterase (1.39 +/- 0.44 U/mg prot) decreased significantly, and the activity of calcineurin (0.52 +/- 0.02 U/mg prot) had a statistically insignificant increasing tendency. The concentration of Ca2+ (0.92 +/- 0.46 mmol/g prot) in the IHg-treated group was significantly higher than that in the control group. OPLS-DA was performed to reveal the difference in metabolites between the control and IHg-challenged groups, the metabolites of glucose, glutamine, inosine, succinate, glutamate, homarine, and alanine were sensitive to IHg, subsequently metabolic pathways that were affected including glucose metabolism, glutamine metabolism, nucleotide metabolism, Krebs cycle, amino acid metabolism and osmotic regulation. In our study, IHg interfered with metabolites in M. chinensis philippi, thus the corresponding metabolic pathways were changed, which influenced the neurotransmitters subsequently. Furthermore, Ca2+overload affected the synthesis or degradation of the neurotransmitters, and then the altered neurotransmitters involved in changes in metabolic pathways again. Overall, we hypothesized that the neurotoxic effects of IHg on bivalve were in close contact with metabolism, neurotransmitters, related enzymes and Ca2+, which could be effective neurotoxic biomarkers for marine environmental quality assessment, and also provide effective data for the study of the regulatory mechanism of the nervous system in response to IHg in bivalves.</t>
  </si>
  <si>
    <t>[Ma, Bangguo; Cai, Zimin; Xing, Zihan; Xu, Mingzhe; Mi, Liuya; Wang, Lei; Zhao, Yancui; Liu, Xiaoli] Ludong Univ, Sch Life Sci, Yantai 264025, Peoples R China; [Zhao, Xiaoli] Yantai Yuhuangding Hosp, Ctr Reprod Med, Yantai 264000, Peoples R China; [Zhang, Xiaoning] Ocean Univ China, Fisheries Coll, Key Lab Mariculture, Minist Educ, Qingdao 266003, Peoples R China; [Yang, Bowen] Univ Alberta, Dept Chem, Edmonton, AB T6G 2G2, Canada; [Zhang, Jianning] Yantai Vocat Coll, Yantai 264670, Peoples R China</t>
  </si>
  <si>
    <t>Ludong University; Ocean University of China; University of Alberta</t>
  </si>
  <si>
    <t>Liu, XL (corresponding author), Ludong Univ, Sch Life Sci, Yantai 264025, Peoples R China.</t>
  </si>
  <si>
    <t>lxlshz2006@163.com</t>
  </si>
  <si>
    <t>xing, zihan/HLV-7616-2023; Bowen, Yang/ABY-5847-2022; zhang, xiaoning/G-7018-2012; xu, mingzhe/HDM-5708-2022</t>
  </si>
  <si>
    <t>Yang, Bowen/0009-0006-9859-731X</t>
  </si>
  <si>
    <t>National Natural Science Foundation of China [32070126, 41506190]; Talent Induction Pro- gram for Youth Innovation Teams in Colleges and Universities of Shandong Province [2022 - 2024]</t>
  </si>
  <si>
    <t>National Natural Science Foundation of China(National Natural Science Foundation of China (NSFC)); Talent Induction Pro- gram for Youth Innovation Teams in Colleges and Universities of Shandong Province</t>
  </si>
  <si>
    <t>Acknowledgements This work was supported by the National Natural Science Foundation of China (grant number 32070126; 41506190) , Talent Induction Pro- gram for Youth Innovation Teams in Colleges and Universities of Shandong Province (2022 - 2024) .</t>
  </si>
  <si>
    <t>10.1016/j.aquatox.2024.106896</t>
  </si>
  <si>
    <t>PV8Y0</t>
  </si>
  <si>
    <t>WOS:001216961300001</t>
  </si>
  <si>
    <t>Baudrimont, M; Gonzalez, P; Mesmer-Dudons, N; Legeay, A</t>
  </si>
  <si>
    <t>Baudrimont, Magalie; Gonzalez, Patrice; Mesmer-Dudons, Nathalie; Legeay, Alexia</t>
  </si>
  <si>
    <t>Sensitivity to cadmium of the endangered freshwater pearl mussel Margaritifera margaritifera from the Dronne River (France): experimental exposure</t>
  </si>
  <si>
    <t>14th International Francophone Symposium on Aquatic Ecotoxicology (EcoBIM) - From Legacy Pollutants to Emerging Contaminants</t>
  </si>
  <si>
    <t>MAY 22-25, 2018</t>
  </si>
  <si>
    <t>Univ Bordeaux, Bordeaux, FRANCE</t>
  </si>
  <si>
    <t>Univ Bordeaux</t>
  </si>
  <si>
    <t>Margaritifera margaritifera; Cadmium; Metallothionein; Gene expression; Endocrine disruption; Gonad histology</t>
  </si>
  <si>
    <t>BIVALVE CORBICULA-FLUMINEA; INDUCED OXIDATIVE STRESS; METALLOTHIONEIN RESPONSE; METAL CONTAMINATION; FIELD TRANSPLANTATION; DREISSENA-POLYMORPHA; ENDOCRINE DISRUPTION; ELLIPTIO-COMPLANATA; GENE-EXPRESSION; DNA-DAMAGE</t>
  </si>
  <si>
    <t>Margaritifera margaritifera is a critically endangered species in Europe. Among the causes explaining its decline, metal pollution had never been deeply studied. Thus, an ecotoxicological investigation was developed on this species which comes from the Dronne River (South-West of France). Cadmium (Cd) exposure of mussels at 2 and 5 mu g/L for 7 days was conducted to test their vulnerability to this metal, and also the potential endocrine disruption power of Cd. Morphometric analyses, gonad histological observations, metal bioaccumulation, metallothionein (MTs) production, measures of malondialdehyde (MDA), and finally quantitative relative expression analysis of genes involved in various metabolic functions were performed. The main results showed Cd accumulation increasing in a dose-dependent manner, especially in the gills. The same trend was observed for gene expression relative to oxidative stress. Histological analysis of the gonads highlighted a predominance of hermaphrodite individuals, but after 7 days of exposure to Cd, the percentage of female was largely increased compared with controls, from 17 to 33%. These results demonstrate the endocrine disruption effect of Cd on freshwater pearl mussels. The pearl mussel Margaritifera margaritifera is sensitive to cadmium since the metallothioneins are poorly induced, gene expression reveals oxidative stress, and gonads tend to be feminized.</t>
  </si>
  <si>
    <t>[Baudrimont, Magalie; Gonzalez, Patrice; Mesmer-Dudons, Nathalie; Legeay, Alexia] Univ Bordeaux, Aquat Ecotoxicol Team, CNRS, UMR EPOC 5805, Pl Dr Peyneau, F-33120 Arcachon, France</t>
  </si>
  <si>
    <t>Baudrimont, M (corresponding author), Univ Bordeaux, Aquat Ecotoxicol Team, CNRS, UMR EPOC 5805, Pl Dr Peyneau, F-33120 Arcachon, France.</t>
  </si>
  <si>
    <t>magalie.baudrimont@u-bordeaux.fr</t>
  </si>
  <si>
    <t>Gonzalez, Patrice/0000-0003-2628-2993; Baudrimont, Magalie/0000-0001-9901-8435; Legeay, Alexia/0000-0002-1052-142X</t>
  </si>
  <si>
    <t>10.1007/s11356-019-05025-0</t>
  </si>
  <si>
    <t>KU4TJ</t>
  </si>
  <si>
    <t>WOS:000519703100017</t>
  </si>
  <si>
    <t>Erk, M; Ruus, A; Ingebrigtsen, K; Hylland, K</t>
  </si>
  <si>
    <t>Cadmium accumulation and Cd-binding proteins in marine invertebrates - A radiotracer study</t>
  </si>
  <si>
    <t>blue mussel Mytilus edulis; sea star Asterias rubens; sea squirt Ciona intestinalis; cadmium; metallothioneins</t>
  </si>
  <si>
    <t>ASTERIAS-RUBENS ECHINODERMATA; MYTILUS-GALLOPROVINCIALIS; METALLOTHIONEIN INDUCTION; METAL ACCUMULATION; DIGESTIVE GLAND; HEAVY-METALS; MUSSELS; QUANTIFICATION; POLLUTION; EXPOSURE</t>
  </si>
  <si>
    <t>Tissue and subcellular accumulation of cadmium were studied in different tissues of three marine invertebrates (blue mussel Mytilus edulis, the tunicate Ciona intestinalis and the sea star Asterias rubens) using radioactive Cd-109 as a tracer. The organisms were exposed to 0.05, 2 and 50 mu g Cd l(-1) for 21 days. Quantitative data were obtained by dissecting, weighing and subsequently measuring radioactivity in organs and tissues. Differences between each exposure and each tissue with regard to the amount of radioactivity and metallothionein (MT) content were evaluated. Obvious interspecies differences in Cd accumulation were observed, as well as differences between tissues of the three species. The highest concentrations of Cd in all exposure treatments were found in the hepatopancreas of M. edulis and body wall of A. rubens. Taking all treatments into account, Cd accumulation in the tunic of C. intestinalis was high compared to other tissues from this species. Over 60% of Cd was present in the S50 fraction in all treatments in all three species. Metallothionein levels were increased at the highest Cd-exposure in all species and tissues, except in branchial pharynx of C. intestinalis where the highest NIT level was reached following exposure to 2 mu g Cd l(-1). The most surprising finding was that even the lowest Cd exposure concentration (0.05 mu g Cd l(-1)) caused MT induction in pyloric caeca of A. rubens, but there was no dose-dependent increase in MT at higher exposure levels. (c) 2005 Elsevier Ltd. All rights reserved.</t>
  </si>
  <si>
    <t>Ctr Marine &amp; Environm Res, Rudjer Boskovic Inst, HR-10002 Zagreb, Croatia; NIVA, N-0411 Oslo, Norway; Norwegian Sch Vet Sci, Sect Pharmacol &amp; Toxicol, N-0033 Oslo, Norway; Univ Oslo, Dept Biol, N-0316 Oslo, Norway</t>
  </si>
  <si>
    <t>Rudjer Boskovic Institute; Norwegian Institute for Water Research (NIVA); Norwegian University of Life Sciences; University of Oslo</t>
  </si>
  <si>
    <t>Ctr Marine &amp; Environm Res, Rudjer Boskovic Inst, POB 180,Bijenicka C 54, HR-10002 Zagreb, Croatia.</t>
  </si>
  <si>
    <t>erk@irb.hr</t>
  </si>
  <si>
    <t>Erk, Marijana/0000-0001-7221-5551; Ruus, Anders/0000-0002-4374-7871</t>
  </si>
  <si>
    <t>10.1016/j.chemosphere.2005.04.038</t>
  </si>
  <si>
    <t>996RV</t>
  </si>
  <si>
    <t>WOS:000234193100012</t>
  </si>
  <si>
    <t>Zhou, J; Cai, HQ; Zhong, YN; Zheng, Y; Wu, YN; Chang, AK; Ying, XP</t>
  </si>
  <si>
    <t>Zhou, Jian; Cai, Huiqi; Zhong, Yuning; Zheng, Yu; Wu, Yinuo; Chang, Alan Kueichieh; Ying, Xueping</t>
  </si>
  <si>
    <t>Reversal of cadmium-induced toxicity in Meretrix meretrix as determined by alleviation of oxidative damage following short-term depuration</t>
  </si>
  <si>
    <t>Meretrix meretrix; cadmium; bioaccumulation; oxidative stress; depuration; apoptosis</t>
  </si>
  <si>
    <t>LIPID-PEROXIDATION; FRESH-WATER; STRESS; INHIBITION; EXPOSURE; REPAIR</t>
  </si>
  <si>
    <t>Cadmium (Cd) is a toxic heavy metal that, when present as a pollutant in the marine environment, is readily accumulated by marine bivalves, causing oxidative stress and tissue damage. This study explored whether short-term depuration could reverse Cd2+-induced toxicity in the ovary of the clam Meretrix meretrix. Clams exposed to 3 mgL-1 Cd2+ for three days showed increased accumulated Cd2+ in their ovaries with obvious tissue damage as shown by loose structure and some apoptotic cells compared with non-exposed clams. Increased oxidative stress in the ovarian tissue was also obvious, as revealed by increased levels of oxidative indicators such as reactive oxygen species (ROS), malondialdehyde (MDA), DNA-protein crosslinking (DPC), and protein carbonylation (PCO) and increased expression levels of genes related to oxidative stress and apoptosis, which included the Bax, Bcl-2, caspase-3, HO-1, Hsp70, NQO1, Nrf2, and MT genes. When the clams were exposed to Cd2+ for three more days, the accumulated Cd2+ level in the ovary increased to more than 10-fold the level in the control clams, accompanied by more severe damage and cell death as well as oxidative stress. However, when the initial three-day Cd2+ exposure was followed by three days of depuration in Cd2+-free seawater, the Cd2+ level in the ovary was reduced by as much as 20%, accompanied by some recovery of tissue damage and reduced oxidative stress, suggesting that short-term depuration may mitigate Cd2+-induced toxicity in M. meretrix, allowing the clams to recover and potentially reducing the risk of Cd2+ exposure from consuming contaminated clams.</t>
  </si>
  <si>
    <t>[Zhou, Jian; Cai, Huiqi; Zhong, Yuning; Zheng, Yu; Wu, Yinuo; Chang, Alan Kueichieh; Ying, Xueping] Wenzhou Univ, Coll Life &amp; Environm Sci, Wenzhou, Zhejiang, Peoples R China; [Ying, Xueping] Wenzhou Univ, Natl &amp; Local Joint Engn Res Ctr Ecol Treatment Tec, Wenzhou, Peoples R China</t>
  </si>
  <si>
    <t>Wenzhou University; Wenzhou University</t>
  </si>
  <si>
    <t>Chang, AK; Ying, XP (corresponding author), Wenzhou Univ, Coll Life &amp; Environm Sci, Wenzhou, Zhejiang, Peoples R China.;Ying, XP (corresponding author), Wenzhou Univ, Natl &amp; Local Joint Engn Res Ctr Ecol Treatment Tec, Wenzhou, Peoples R China.</t>
  </si>
  <si>
    <t>akcchang@163.com; xpying2008@wzu.edu.cn</t>
  </si>
  <si>
    <t>National Natural Science Foundation of China [32071514]; Nature Science Foundation of Zhejiang Province (CN) [LY18C030005]; National Student Innovation Training Project [JWXC2023136]; Student Innovation Training Project of Zhejiang Province [2023R020]; Graduate Scientific Research Foundation of Wenzhou University [3162024004087]</t>
  </si>
  <si>
    <t>National Natural Science Foundation of China(National Natural Science Foundation of China (NSFC)); Nature Science Foundation of Zhejiang Province (CN); National Student Innovation Training Project; Student Innovation Training Project of Zhejiang Province; Graduate Scientific Research Foundation of Wenzhou University</t>
  </si>
  <si>
    <t>The author(s) declare that financial support was received for the research, authorship, and/or publication of this article. This study was supported by the National Natural Science Foundation of China under Grant number 32071514 (to XY), the Nature Science Foundation of Zhejiang Province (CN) under Grant number LY18C030005 (to XY), the National Student Innovation Training Project under Grant number JWXC2023136 (to YNZ), the Student Innovation Training Project of Zhejiang Province under Grant number 2023R020 (to HC) and the 2024 Graduate Scientific Research Foundation of Wenzhou University Grant number 3162024004087 (to JZ).</t>
  </si>
  <si>
    <t>10.3389/fmars.2024.1444061</t>
  </si>
  <si>
    <t>F0M1D</t>
  </si>
  <si>
    <t>WOS:001306838000001</t>
  </si>
  <si>
    <t>Uc-Peraza, RG; Gutiérrez-Galindo, EA; Delgado-Blas, VH; Muñoz-Barbosa, A</t>
  </si>
  <si>
    <t>Uc-Peraza, Russell Giovanni; Abraham Gutierrez-Galindo, Efrain; Hugo Delgado-Blas, Victor; Munoz-Barbosa, Albino</t>
  </si>
  <si>
    <t>Total mercury content in the California ribbed sea mussel Mytilus californianus from the west coast of Baja California, M acute accent exico: Levels of contamination and human health risk</t>
  </si>
  <si>
    <t>Mercury; Bivalves; Sentinels; Coastal contamination; Health risk; Food safety</t>
  </si>
  <si>
    <t>HEAVY-METALS; TRACE-METALS; BLUE MUSSELS; GALLOPROVINCIALIS LAMARCK; TRANSPLANTED MUSSELS; SEASONAL-VARIATIONS; TEMPORAL TRENDS; UPWELLING AREA; HUMAN EXPOSURE; ADRIATIC SEA</t>
  </si>
  <si>
    <t>We analyzed spatial and temporal variations in total mercury concentration (THg) in Mytilus californianus from the west coast of Baja California, Me ' xico, and assessed the potential risk for human health. The sites from the northern zone showed the highest levels of THg over the entire three years of study, however, no significant differences among years were found. The highest level of THg (0.110 mu g/g d.w.) was recorded in 2010 at Bajamar (SS2), and the lowest (0.011 mu g/g d.w.) in 2007 and 2008 at Ere ' ndira (SS4) and Los Ojitos (SS7), respectively. The estimated daily intake (EDI) values for adults through mussel consumption were lower than the oral reference dose (RfDo) and the acceptable daily intake (ADI) values established by the USEPA and the FAO/WHO, respectively. The target hazard quotient (THQ) values were &lt;1.0, indicating that mercury concentrations in M. californianus are not likely to pose a risk for human health.</t>
  </si>
  <si>
    <t>[Uc-Peraza, Russell Giovanni] Univ Fed Rio Grande, Inst Oceanog, Av Italia S-N,Campus Carreiros, BR-96203900 Rio Grande, RS, Brazil; [Uc-Peraza, Russell Giovanni; Munoz-Barbosa, Albino] Univ Autonoma Baja California, Inst Invest Oceanol, Carretera Ensenada Tijuana 3917, Ensenada 22860, Baja California, Mexico; [Abraham Gutierrez-Galindo, Efrain] Ctr Estudios Tecnol Mar 11, Unidad Educ Media Super Tecnol Agr &amp; Ciencias Mar, Carretera Ensenada Tijuana, Ensenada 22800, Baja California, Mexico; [Hugo Delgado-Blas, Victor] Univ Quintana Roo, Div Ciencias &amp; Ingn, Chetmal 77010, Quintana Roo, Mexico</t>
  </si>
  <si>
    <t>Universidade Federal do Rio Grande; Universidad Autonoma de Baja California; Universidad de Quintana Roo</t>
  </si>
  <si>
    <t>Uc-Peraza, RG (corresponding author), Univ Fed Rio Grande, Inst Oceanog, Av Italia S-N,Campus Carreiros, BR-96203900 Rio Grande, RS, Brazil.</t>
  </si>
  <si>
    <t>russell.peraza@gmail.com</t>
  </si>
  <si>
    <t>Delgado-Blas, Víctor/AAJ-8179-2021; Uc-Peraza, Russell/AAJ-9741-2021</t>
  </si>
  <si>
    <t>Delgado Blas, Victor Hugo/0000-0003-0393-5218; UC PERAZA, RUSSELL GIOVANNI/0000-0003-4014-3172</t>
  </si>
  <si>
    <t>Coordinacion de Posgrado e Investigacion, Universidad Autonoma de Baja California [0601/08]</t>
  </si>
  <si>
    <t>Coordinacion de Posgrado e Investigacion, Universidad Autonoma de Baja California</t>
  </si>
  <si>
    <t>This research was supported by Grants from the Coordinacion de Posgrado e Investigacion, Universidad Autonoma de Baja California (0601/08). The authors would like to thank an anonymous reviewer for offering comments that substantially improved the content of this manuscript.</t>
  </si>
  <si>
    <t>10.1016/j.marpolbul.2021.112585</t>
  </si>
  <si>
    <t>UA9RF</t>
  </si>
  <si>
    <t>WOS:000685490700006</t>
  </si>
  <si>
    <t>Sánchez-Marín, P; Beiras, R</t>
  </si>
  <si>
    <t>Sanchez-Marin, Paula; Beiras, Ricardo</t>
  </si>
  <si>
    <t>Lead concentrations and size dependence of lead accumulation in the clam Dosinia exoleta from shellfish extraction areas in the Galician Rias (NW Spain)</t>
  </si>
  <si>
    <t>metal accumulation; pollution; size effect; lead; clam; Dosinia exoleta</t>
  </si>
  <si>
    <t>METAL CONCENTRATIONS; MACOMA-BALTHICA; MYTILUS-GALLOPROVINCIALIS; IBERIAN PENINSULA; MARINE POLLUTION; ORGANISMS; SEDIMENTS; BIOASSAYS; GDANSK; COAST</t>
  </si>
  <si>
    <t>To protect public health, the European Commission established maximum levels of certain contaminants permitted in foodstuffs. The maximum amount of lead allowed in bivalve mollusc is 1.5 mu g g(-1) wet weight. In the Galician Rias, which are important areas of shellfish production in Spain, high levels of lead have been detected in the commercial bivalve Dosinia exoleta ( Veneridae). Given the environmental and socio- economical problems this could represent, Pb concentration was tested in D. exoleta from two R as, and the relation of lead accumulation with body size studied in detail. Implications for fisheries management are also discussed in this paper. Results showed a strong dependence of Pb accumulation on body size, with lead concentrations increasing exponentially with shell length. Larger animals presented a 5- fold increase in lead concentrations above the maximum permitted level. The size limit ( length beyond which D. exoleta should not be extracted for commercial purposes) was initially established at 40 mm; but a more comprehensive geographical study of Pb concentrations in individuals from 35 to 40 mm long revealed that this size limit was not protective enough, and 35 mm is proposed as a safer limit.</t>
  </si>
  <si>
    <t>[Sanchez-Marin, Paula; Beiras, Ricardo] Univ Vigo, LEM, Fac Ciencias Mar, Vigo 36310, Galicia, Spain</t>
  </si>
  <si>
    <t>Universidade de Vigo</t>
  </si>
  <si>
    <t>Sánchez-Marín, P (corresponding author), Univ Vigo, LEM, Fac Ciencias Mar, Campus Univ, Vigo 36310, Galicia, Spain.</t>
  </si>
  <si>
    <t>paulasanchez@uvigo.es</t>
  </si>
  <si>
    <t>Beiras, Ricardo/M-1680-2019; Sanchez Marin, Paula/B-7567-2013</t>
  </si>
  <si>
    <t>Beiras, Ricardo/0000-0002-1010-2647; Sanchez Marin, Paula/0000-0001-6466-0284</t>
  </si>
  <si>
    <t>10.1051/alr:2008012</t>
  </si>
  <si>
    <t>283YI</t>
  </si>
  <si>
    <t>WOS:000254672000007</t>
  </si>
  <si>
    <t>Wong, KW; Yap, CK; Nulit, R; Hamzah, MS; Chen, SK; Cheng, WH; Karami, A; Al-Shami, SA</t>
  </si>
  <si>
    <t>Wong, Koe Wei; Yap, Chee Kong; Nulit, Rosimah; Hamzah, Mohd Suhaimi; Chen, Soo Kien; Cheng, Wan Hee; Karami, Ali; Al-Shami, Salman Abdo</t>
  </si>
  <si>
    <t>Effects of anthropogenic activities on the heavy metal levels in the clams and sediments in a tropical river</t>
  </si>
  <si>
    <t>Anthropogenic activities; Heavy metals; Corbicula javanica; Langat River; Ecological risk assessment</t>
  </si>
  <si>
    <t>MUSSEL PERNA-VIRIDIS; SURFACE SEDIMENTS; CORBICULA-FLUMINEA; RISK-ASSESSMENT; TRACE-METALS; LANGAT RIVER; WEST-COAST; CONTAMINATION; POLLUTION; ENRICHMENT</t>
  </si>
  <si>
    <t>The present study aimed to assess the effects of anthropogenic activities on the heavy metal levels in the Langat River by transplantation of Corbicula javanica. In addition, potential ecological risk indexes (PERI) of heavy metals in the surface sediments of the river were also investigated. The correlation analysis revealed that eight metals (As, Co, Cr, Fe, Mn, Ni, Pb and Zn) in total soft tissue (TST) while five metals (As, Cd, Cr, Fe and Mn) in shell have positively and significantly correlation with respective metal concentration in sediment, indicating the clams is a good biomonitor of the metal levels. Based on clustering patterns, the discharge of dam impoundment, agricultural activities and urban domestic waste were identified as three major contributors of the metals in Pangsun, Semenyih and Dusun Tua, and Kajang, respectively. Various geochemical indexes for a single metal pollutant (geoaccumulation index (I (geo)), enrichment factors (EF), contamination factor (C (f)) and ecological risk (Er)) all agreed that Cd, Co, Cr, Cu, Fe, Mn, Ni and Zn are not likely to cause adverse effect to the river ecosystem, but As and Pb could pose a potential ecological risk to the river ecosystem. All indexes (degree of contamination (C (d)), combined pollution index (CPI) and PERI) showed that overall metal concentrations in the tropical river are still within safe limit. River metal pollution was investigated. Anthropogenic activities were contributors of the metal pollution. Geochemical indexes showed that metals are within the safe limit.</t>
  </si>
  <si>
    <t>[Wong, Koe Wei; Yap, Chee Kong; Nulit, Rosimah] Univ Putra Malaysia, Dept Biol, Fac Sci, Serdang 43400, Selangor, Malaysia; [Hamzah, Mohd Suhaimi] Agensi Nuklear Malaysia, Kajang 43000, Selangor, Malaysia; [Chen, Soo Kien] Univ Putra Malaysia, Dept Phys, Fac Sci, Serdang 43400, Selangor, Malaysia; [Cheng, Wan Hee] Inti Int Univ, Persiaran Perdana BBN, Nilai 71800, Negeri Sembilan, Malaysia; [Karami, Ali] Univ Putra Malaysia, Lab Aquat Toxicol, Fac Med &amp; Hlth Sci, Serdang 43400, Selangor, Malaysia; [Al-Shami, Salman Abdo] Univ Coll Taymma, Dept Biol, POB 714, Taymma, Tabuk, Saudi Arabia</t>
  </si>
  <si>
    <t>Universiti Putra Malaysia; Agensi Nuklear Malaysia; Universiti Putra Malaysia; INTI International University; Universiti Putra Malaysia</t>
  </si>
  <si>
    <t>Yap, CK (corresponding author), Univ Putra Malaysia, Dept Biol, Fac Sci, Serdang 43400, Selangor, Malaysia.</t>
  </si>
  <si>
    <t>Al-Shami, Salman/G-4301-2010; Karami, Ali/F-4620-2010; Saleem, Muhammad/GQZ-8483-2022; Yap, Chee Kong/N-1318-2015</t>
  </si>
  <si>
    <t>Yap, Chee Kong/0000-0003-0317-0999; Cheng, Wan Hee/0000-0002-2311-2377; Nulit, Rosimah/0000-0002-5251-7568; Chen, S K/0000-0003-3327-1475; Al-Shami, Salman/0000-0001-9134-4172; Wong, Koe Wei/0000-0003-0408-1592</t>
  </si>
  <si>
    <t>MyBrain15 of Malaysia's MoHe and Graduate Research Fellowship of UPM</t>
  </si>
  <si>
    <t>The authors wish to acknowledge the financial supports to Mr. WKW under MyBrain15 of Malaysia's MoHe and Graduate Research Fellowship of UPM for his Master study in UPM, which are greatly appreciated.</t>
  </si>
  <si>
    <t>10.1007/s11356-016-7951-z</t>
  </si>
  <si>
    <t>EH9QK</t>
  </si>
  <si>
    <t>WOS:000392105700012</t>
  </si>
  <si>
    <t>Duarte, CA; Giarratano, E; Amin, OA; Comoglio, LI</t>
  </si>
  <si>
    <t>Duarte, Claudia A.; Giarratano, Erica; Amin, Oscar A.; Comoglio, Laura I.</t>
  </si>
  <si>
    <t>Heavy metal concentrations and biomarkers of oxidative stress in native mussels (Mytilus edulis chilensis) from Beagle Channel coast (Tierra del Fuego, Argentina)</t>
  </si>
  <si>
    <t>Mussels; Heavy metals; Beagle Channel; Oxidative stress biomarkers</t>
  </si>
  <si>
    <t>ANTIOXIDANT DEFENSE SYSTEMS; LIPID-PEROXIDATION; SEASONAL-VARIATION; DIGESTIVE GLAND; MARINE-SEDIMENTS; BAHIA-BLANCA; GALLOPROVINCIALIS; POLLUTION; BIOACCUMULATION; RESPONSES</t>
  </si>
  <si>
    <t>The aim of this study was to evaluate the usefulness of oxidative stress biomarkers of pollution in native mussels Mytilus edulis chilensis from the Beagle Channel. Spatial and seasonal variations of catalase, glutathione-S-transferase and lipid peroxidation in gills and digestive gland were analyzed in relation to environmental parameters, heavy metals in sediment and in tissue. Four sites with anthropogenic impact and a control site were selected and monitored during the four seasons of 2007. We found significant differences among sites in concentrations of dissolved nutrients and heavy metals in sediments, with the highest values recorded at sites with anthropogenic pressure. Different patterns were observed between concentrations of metals in tissues and in sediments suggesting differences in bioavailability. There were also significant differences in biomarker responses among sites, despite the strong seasonal variability. Our results showed relatively moderate levels of pollution in the study area as a result of urban influences. (C) 2011 Elsevier Ltd. All rights reserved.</t>
  </si>
  <si>
    <t>[Duarte, Claudia A.; Amin, Oscar A.; Comoglio, Laura I.] Ctr Austral Invest Cient CADIC CONICET, Ushuaia, Tierra Fuego, Argentina; [Giarratano, Erica] Ctr Nacl Patagon CENPAT CONICET, RA-9120 Puerto Madryn, Chubut, Argentina</t>
  </si>
  <si>
    <t>Consejo Nacional de Investigaciones Cientificas y Tecnicas (CONICET); Centro Nacional Patagonico (CENPAT); Consejo Nacional de Investigaciones Cientificas y Tecnicas (CONICET)</t>
  </si>
  <si>
    <t>Duarte, CA (corresponding author), Ctr Austral Invest Cient CADIC CONICET, Av B Houssay 200,V9410BFD, Ushuaia, Tierra Fuego, Argentina.</t>
  </si>
  <si>
    <t>bioclaudiaduarte@yahoo.com.ar</t>
  </si>
  <si>
    <t>Agencia Nacional Promocion Cientifica y Tecnologica (ANPCyT-PICT) [PICT06 1261, PICTR 090]; Global Environmental Foundation; Proyecto de Naciones Unidas para el Desarrollo - GEF-PNUD [ARG 02/018-B-CB-05]</t>
  </si>
  <si>
    <t>Agencia Nacional Promocion Cientifica y Tecnologica (ANPCyT-PICT)(ANPCyT); Global Environmental Foundation; Proyecto de Naciones Unidas para el Desarrollo - GEF-PNUD</t>
  </si>
  <si>
    <t>This study was supported with funds from grants by the Agencia Nacional Promocion Cientifica y Tecnologica (ANPCyT-PICT. PICT06 1261 and PICTR 090), Global Environmental Foundation, Proyecto de Naciones Unidas para el Desarrollo - GEF-PNUD ARG 02/018-B-CB-05. We are grateful to Sandra Botte, Nedda Chiarello, Raul Asteasuain and Ricardo Saenz Samaniego for their valuable collaboration. We also wish to thank the reviewers for their comments which allowed to improve the manuscript.</t>
  </si>
  <si>
    <t>10.1016/j.marpolbul.2011.05.031</t>
  </si>
  <si>
    <t>809GE</t>
  </si>
  <si>
    <t>WOS:000294039000051</t>
  </si>
  <si>
    <t>Ladhar-Chaabouni, R; Machreki-Ajmi, M; Hamza-Chaffai, A</t>
  </si>
  <si>
    <t>Ladhar-Chaabouni, Rim; Machreki-Ajmi, Monia; Hamza-Chaffai, Amel</t>
  </si>
  <si>
    <t>Spatial distribution of cadmium and some biomarkers in Cerastoderma glaucum living in a polluted area</t>
  </si>
  <si>
    <t>Biomarkers; cadmium; Cerastoderma glaucum; interpolation; pollution; spatial distribution</t>
  </si>
  <si>
    <t>CLAM RUDITAPES-DECUSSATUS; MYTILUS-GALLOPROVINCIALIS; LIPID-PEROXIDATION; DIGESTIVE GLAND; CRASSOSTREA-GIGAS; OXIDATIVE STRESS; METALLOTHIONEIN; BAY; ACETYLCHOLINESTERASE; EXPOSURE</t>
  </si>
  <si>
    <t>Elevated cadmium concentrations were observed at the southern part of Sfax which received direct contamination via water discharge from the crude phosphate treatment plant and indirect contamination by the stock of phosphogypsum. In this area the ecosystem is completely destroyed therefore it was necessary for sample collection to move toward the south. In order to determine a spatial distribution of pollution in this area and the consequences of this contamination on the cockles Cerastoderma glaucum, contour maps of cadmium (Cd), metallothionein like protein (MTLP), malondialdehyde (MDA) concentrations and acetylcholinesterase (AChE) activity were established. Contour mapping techniques showed elevated concentrations of Cd, MTLP and MDA in samples from Zarb El Ain toward the south and decreasing concentrations from the coast toward the east. The distribution pattern of AChE activity was opposite to the Cd concentrations. Our results showed that the area studied suffered from severe problems caused by the pollution transported from the phosphate treatment plant by the north-south streams.</t>
  </si>
  <si>
    <t>[Ladhar-Chaabouni, Rim; Machreki-Ajmi, Monia; Hamza-Chaffai, Amel] IPEIS, Sfax, Tunisia</t>
  </si>
  <si>
    <t>Universite de Sfax</t>
  </si>
  <si>
    <t>Ladhar-Chaabouni, R (corresponding author), IPEIS, BP 805-3018, Sfax, Tunisia.</t>
  </si>
  <si>
    <t>10.1080/17451000802683985</t>
  </si>
  <si>
    <t>494CB</t>
  </si>
  <si>
    <t>WOS:000269785900007</t>
  </si>
  <si>
    <t>Machreki-Ajmi, M; Ketata, I; Ladhar-Chaabouni, R; Hamza-Chaffai, A</t>
  </si>
  <si>
    <t>Machreki-Ajmi, M.; Ketata, I.; Ladhar-Chaabouni, R.; Hamza-Chaffai, A.</t>
  </si>
  <si>
    <t>The effect of in situ cadmium contamination on some biomarkers in Cerastoderma glaucum</t>
  </si>
  <si>
    <t>acetylcholinesterase; cadmium; C. glaucum; condition index; malondialdehyde; metallothionein like protein; subcellular distribution</t>
  </si>
  <si>
    <t>CLAM RUDITAPES-DECUSSATUS; ANTIOXIDANT ENZYME-ACTIVITIES; METALLOTHIONEIN-LIKE PROTEIN; MYTILUS-GALLOPROVINCIALIS; LIPID-PEROXIDATION; METAL CONTAMINATION; TRACE-METALS; GILLS; POLLUTION; COPPER</t>
  </si>
  <si>
    <t>The present study was designed to detect in situ effects of cadmium on marine organisms Cerastoderma glaucum from the gulf of Gabes (Tunisia). Six sampling stations were chosen: one site, relatively far from known local source of pollution, was considered as uncontaminated site and five sites clearly exposed to anthropogenic impact. Metallothionein like protein (MTLP) and sub-cellular metal partitioning were measured in cockles (C. glaucum) gills and digestive gland. Various biomarkers were also measured, including malondialdehyde (MDA) in the digestive gland and acetylcholinesterase activity (AChE) in the remainder. The health status of the cockles was assessed by using the condition index (CI). Significant differences between sites were noted for Cd concentrations, (CI) and also for the three studied biomarkers. Significant higher biomarkers response was measured in cockles from stations located in the northern part of the gulf, which are exposed directly to industrial and urban effluents, whereas the response of most biomarkers was minimal at the reference station. Positive and significant correlations were observed between MTLP and Cd concentrations in the digestive gland and in the gills. However, it must be noted that these correlations were more significant in the digestive gland, suggesting that compared to the gills, the digestive gland of C. glaucum is more suitable for monitoring metal pollution. The subcellular distribution of Cd showed that the soluble fraction was the major compartment for Cd storage, a pattern which is due to the role of MTLP in Cd detoxication. But at the most contaminated site (EH), cadmium in the digestive gland was preferentially accumulated in the insoluble fraction (P1) suggesting that the MTLP capacity in binding metals was not sufficient to avoid the binding of Cd to the insoluble fraction. Furthermore, the MTLP concentrations in the cockles from this site are lower than expected. So in highly polluted sites, MTLP in C. glaucum should not be used as a useful biomarker for metal pollution. The lipid peroxidation as presented by malondialdehyde levels, and MT-like protein concentrations increased in cockles exposed to cadmium contamination. We can, therefore, hypothesize that Cd could induce MTLP synthesis and MDA increase. While AChE had distinct and specific pattern showing that cadmium is not the only factor of the inhibition of cholinesterase activity. There are other polluting inputs engendering this inhibition.</t>
  </si>
  <si>
    <t>[Machreki-Ajmi, M.; Ketata, I.; Ladhar-Chaabouni, R.; Hamza-Chaffai, A.] Univ Sfax, IPEIS, UR 0903, Sfax 3018, Tunisia</t>
  </si>
  <si>
    <t>Machreki-Ajmi, M (corresponding author), Univ Sfax, IPEIS, UR 0903, BP 805, Sfax 3018, Tunisia.</t>
  </si>
  <si>
    <t>monia.machreki@fss.rnu.tn</t>
  </si>
  <si>
    <t>10.1007/s10646-007-0166-9</t>
  </si>
  <si>
    <t>245WS</t>
  </si>
  <si>
    <t>WOS:000251970100001</t>
  </si>
  <si>
    <t>Bigas, M; Durfort, M; Poquet, M</t>
  </si>
  <si>
    <t>Bigas, Montserrat; Durfort, Merce; Poquet, Montserrat</t>
  </si>
  <si>
    <t>Cytological response of hemocytes in the European flat oyster, Ostrea edulis, experimentally exposed to mercury</t>
  </si>
  <si>
    <t>mercury; hemocytes subpopulations; oyster; flow cytometry; X-ray microanalysis</t>
  </si>
  <si>
    <t>FLOW-CYTOMETRIC ANALYSIS; CRASSOSTREA-VIRGINICA; MYTILUS-GALLOPROVINCIALIS; IN-VITRO; MYA-ARENARIA; MERCENARIA-MERCENARIA; TAPES-PHILIPPINARUM; PHAGOCYTIC-ACTIVITY; AMERICAN OYSTER; MARINE MUSSEL</t>
  </si>
  <si>
    <t>Molluscs bivalves have been widely used as bioindicators to monitor contamination levels in coastal waters. In addition, many studies have attempted to analyze bivalve organs, considered pollutant-targets, to understand the bio-accumulation process and to characterize the effects of pollutants on the organisms. Here we analyzed the effects of mercury exposure on flat oyster hemocytes. Optical and electronic microscope procedures were used to characterize hemocyte morphology. In addition, cell solutions treated with acridine orange were analyzed by flow cytometry and laser scanning cytometry in order to evaluate the variations of cytoplasmic granules (red fluorescence, ARF) and cell size (green fluorescence, AGF) of hemocyte populations over time. Light and electron microscopical studies enabled us to differentiate four hemocyte subpopulations, agranulocytes (Types I and II) and granulocytes (Types I and II). Slight morphological differences were observed between control and Hg-exposed cells only in granulocytes exposed to Hg for 30 days, where condensed chromatin and partially lysed cytoplasmic regions were detected. Flow and laser scanning cytometry studies allowed us to differentiate three hemocyte populations, agranulocytes (R1) and granulocytes (R2 and R3). The exposure time to Hg increased the average red fluorescence (ARF) of agranulocytes and small granulocytes, while there was no change in large granulocytes, which showed a loss of membrane integrity. In control oysters, the three hemocyte populations showed an increase of ARF after 19 days of exposure although initial values were restored after 30 days. The average green fluorescence (AGF) was more stable than the ARF throughout the experiment. In Hg-exposed oysters, the values of AGF of agranulocytes showed an increase at half Hg-exposure period while the AGF values of large granulocytes decreased throughout the experiment, confirming the instability of these types of cells. The relative percentage of small granulocytes and granulocytes showed time variations in both control and exposed oysters. However, the values of small granulocytes remained constant during the whole experiment. The fact that there were only changes in agranulocytes and large granulocytes suggested a possible relationship between these two types of cells. In a quantitative study, we found a significant linear relationship between the agranulocytes and large granulocytes.</t>
  </si>
  <si>
    <t>Univ Barcelona, Fac Biol, Dept Cellular Biol, E-08028 Barcelona, Spain; C Referencia I Desenvolupament Aquicultura Gen Ca, Barcelona, Spain</t>
  </si>
  <si>
    <t>University of Barcelona</t>
  </si>
  <si>
    <t>Poquet, M (corresponding author), Univ Barcelona, Fac Biol, Dept Cellular Biol, Diagonal 645, E-08028 Barcelona, Spain.</t>
  </si>
  <si>
    <t>mpoquet@ub.edu</t>
  </si>
  <si>
    <t>DURFORT, M./0000-0003-3640-9580</t>
  </si>
  <si>
    <t>1572-8773</t>
  </si>
  <si>
    <t>10.1007/s10534-006-9003-5</t>
  </si>
  <si>
    <t>102DN</t>
  </si>
  <si>
    <t>WOS:000241791300007</t>
  </si>
  <si>
    <t>Zhan, SF; Peng, ST; Liu, CG; Chang, Q; Xu, J</t>
  </si>
  <si>
    <t>Zhan, Shuifen; Peng, Shitao; Liu, Chunguang; Chang, Qing; Xu, Jian</t>
  </si>
  <si>
    <t>Spatial and Temporal Variations of Heavy Metals in Surface Sediments in Bohai Bay, North China</t>
  </si>
  <si>
    <t>Heavy metals; Bohai Bay; Marine sediment quality; Assessment</t>
  </si>
  <si>
    <t>TRACE-METALS; YELLOW-RIVER; CONTAMINATION; POLLUTION; WATER; SEA; CD; CU; MUSSEL; ISLAND</t>
  </si>
  <si>
    <t>Characteristics of the spatial and temporal distributions of selected heavy metals (Cu, Zn, Cd, Pb and Hg) in Bohai Bay, north China was examined. Surface sediment samples from 15 sites were collected and analyzed for the selected metals with atomic absorption spectrometry (AAS) from the year of 1997-2007. Mean concentrations of metals in the 11-year period showed that Hg and Zn concentrations slightly fluctuated, while Cu, Cd and Pb concentrations in sediments varied with time. High levels of heavy metals occurred not only along the shoreline but also at some site in the inner part of the bay, suggesting the contamination sources of heavy metals from both terrestrial inputs and the atmospheric deposition. Compared with the environmental background values of selected heavy metals it indicated that anthropogenic activities influenced the sediment quality. The contamination factor C-f(i), which is used to evaluate the pollution of the environment, showed that the contamination by selected heavy metals was moderate. Cd, Zn and Pb were the main polluting elements in this area.</t>
  </si>
  <si>
    <t>[Xu, Jian] Chinese Res Inst Environm Sci, River Estuarine &amp; Coastal Environm Res Ctr, Beijing 100012, Peoples R China; [Zhan, Shuifen; Chang, Qing] Lanzhou Jiaotong Univ, Sch Environm &amp; Municipal Engn, Lanzhou 730070, Peoples R China; [Zhan, Shuifen; Peng, Shitao] Tianjin Res Inst Water Transport Engn, Tianjin 300456, Peoples R China; [Peng, Shitao; Liu, Chunguang] Nankai Univ, Coll Environm Sci &amp; Engn, Minist Educ, Key Lab Pollut Proc &amp; Environm Criteria, Tianjin 300071, Peoples R China</t>
  </si>
  <si>
    <t>Chinese Research Academy of Environmental Sciences; Lanzhou Jiaotong University; Tianjin Research Institute for Water Transport Engineering; Nankai University</t>
  </si>
  <si>
    <t>Xu, J (corresponding author), Chinese Res Inst Environm Sci, River Estuarine &amp; Coastal Environm Res Ctr, Beijing 100012, Peoples R China.</t>
  </si>
  <si>
    <t>xujian@craes.org.cn</t>
  </si>
  <si>
    <t>Xu, Jian/I-7019-2012</t>
  </si>
  <si>
    <t>Xu, Jian/0000-0001-5287-1009</t>
  </si>
  <si>
    <t>Ministry of Science and Technology of the People's Republic of China [2008 EG124218]</t>
  </si>
  <si>
    <t>Ministry of Science and Technology of the People's Republic of China(Ministry of Science and Technology, China)</t>
  </si>
  <si>
    <t>This research is supported by the Ministry of Science and Technology of the People's Republic of China (2008 EG124218).</t>
  </si>
  <si>
    <t>10.1007/s00128-010-9971-6</t>
  </si>
  <si>
    <t>584GS</t>
  </si>
  <si>
    <t>WOS:000276740000024</t>
  </si>
  <si>
    <t>Islam, MN; Taki, G; Nguyen, XP; Jo, YT; Kim, J; Park, JH</t>
  </si>
  <si>
    <t>Islam, Mohammad Nazrul; Taki, Golam; Xuan Phuc Nguyen; Jo, Young-Tae; Kim, Jun; Park, Jeong-Hun</t>
  </si>
  <si>
    <t>Heavy metal stabilization in contaminated soil by treatment with calcined cockle shell</t>
  </si>
  <si>
    <t>Heavy metals; Contaminated soil; Calcined cockle shell (CCS); Immobilization; CaO; Soil pH</t>
  </si>
  <si>
    <t>OYSTER SHELLS; ORGANIC-CARBON; RANGE SOILS; IMMOBILIZATION; WASTE; LEAD; PB; CD; CU; PHYTOAVAILABILITY</t>
  </si>
  <si>
    <t>In several previous studies, the efficacy of various liming waste materials on the immobilization of heavy metals has been tested and it was found that soils contaminated with heavy metals can be stabilized using this technique. Since lime (CaO) has been identified as the main phase of calcined cockle shell (CCS), it was hypothesized that CCS could be used as a soil amendment to immobilize heavy metals in soil. However, to date, no studies have been conducted using CCS. In this study, the effectiveness of CCS powder on the immobilization of Cd, Pb, and Zn in mine tailing soilwas evaluated. After 28 days of incubation, the treated soil samples were exposed to weathering (four cycles of freezing-thawing and four cycles of wetting-drying) for 8 days before being subjected to a leaching test. The results of this study revealed that the soil pH increased from 7.5 to 12.2 with the addition of 5% CCS. A similar soil pH was obtained when the soil was amended with 5% pure CaO. By leaching with 0.1 M HCl, extracted Cd, Pb, and Zn were reduced by up to 85, 85, and 91%, respectively. Therefore, CCS is suggested as a low-cost lime-based soil amendment for stabilizing heavy metals in abandoned mining sites.</t>
  </si>
  <si>
    <t>[Islam, Mohammad Nazrul; Taki, Golam; Xuan Phuc Nguyen; Jo, Young-Tae; Kim, Jun; Park, Jeong-Hun] Chonnam Natl Univ, Dept Environm &amp; Energy Engn, Kwangju 500757, South Korea</t>
  </si>
  <si>
    <t>Chonnam National University</t>
  </si>
  <si>
    <t>Park, JH (corresponding author), Chonnam Natl Univ, Dept Environm &amp; Energy Engn, Kwangju 500757, South Korea.</t>
  </si>
  <si>
    <t>parkjeo1@jnu.ac.kr</t>
  </si>
  <si>
    <t>Islam, Mohammad Nazrul/GVT-9912-2022</t>
  </si>
  <si>
    <t>Taki, Golam/0000-0003-0548-5687; Park, Jeong-Hun/0000-0002-0661-0059</t>
  </si>
  <si>
    <t>Chonnam National University; BK21 PLUS project - National Research Foundation of The Republic of Korea</t>
  </si>
  <si>
    <t>This work was financially supported by Chonnam National University (2016) and BK21 PLUS project funded by the National Research Foundation of The Republic of Korea.</t>
  </si>
  <si>
    <t>10.1007/s11356-016-8330-5</t>
  </si>
  <si>
    <t>ER9RQ</t>
  </si>
  <si>
    <t>WOS:000399164600026</t>
  </si>
  <si>
    <t>Kocabas, FK; Basaran, E; Kocabas, M</t>
  </si>
  <si>
    <t>Kutluyer Kocabas, Filiz; Basaran, Ertugrul; Kocabas, Mehmet</t>
  </si>
  <si>
    <t>Seasonal Monitoring of Heavy Metal Pollution in Water and Zebra Mussels Dreissena polymorpha as a Potential Bioindicator Species from Lake Habitat</t>
  </si>
  <si>
    <t>Dreissena polymorpha; Heavy metal; Zebra mussel; Environmental contamination</t>
  </si>
  <si>
    <t>MYTILUS-EDULIS; TRACE-ELEMENTS; BIOACCUMULATION; FISH; TISSUES; CONSUMPTION; SIZE</t>
  </si>
  <si>
    <t>In aquatic ecosystem, metal pollution is an important environmental hazard. Mussels as a bioindicator species are often used for assessment the presence of potentially toxic metals. Hence, the present study aimed to assess the effect of seasonal variations on some heavy metals (Cd, Cr, Pb, As, Zn and Cu) accumulation in water and Dreissena polymorpha from lake habitat. Our result indicated that Zn accumulated at a very high level in the zebra mussels while As accumulated at a high level in water samples. Seasonal variations significantly affected Cu concentration in the water samples (P &lt; 0.05) while Cr concentration in the mussel samples was significantly affected by seasonal variations (P &lt; 0.05). According to the water analysis, mean concentrations of metals are below the maximum limits established by the World Health Organization and USEPA, except As. Overall, our data emphasize anthropogenic pollution in the Turkish aquatic environment and confirm the use of D. polymorpha as a prospective biomonitor for metal polluted sites'.</t>
  </si>
  <si>
    <t>[Kutluyer Kocabas, Filiz; Basaran, Ertugrul] Munzur Univ, Fisheries Fac, TR-62000 Tunceli, Turkiye; [Kocabas, Mehmet] Karadeniz Tech Univ, Dept Wildlife Ecol &amp; Management, Fac Forestry, TR-61080 Trabzon, Turkiye</t>
  </si>
  <si>
    <t>Munzur University; Karadeniz Technical University</t>
  </si>
  <si>
    <t>Kocabas, FK (corresponding author), Munzur Univ, Fisheries Fac, TR-62000 Tunceli, Turkiye.</t>
  </si>
  <si>
    <t>Scientific Research Project Coordination Unit of Munzur University [YLMUB020-17]</t>
  </si>
  <si>
    <t>Scientific Research Project Coordination Unit of Munzur University</t>
  </si>
  <si>
    <t>This work was supported by Scientific Research Project Coordination Unit of Munzur University (Project number: YLMUB020-17) and summarized from Ertugrul BASARAN's master thesis.</t>
  </si>
  <si>
    <t>10.1007/s00128-024-03869-y</t>
  </si>
  <si>
    <t>JF8L2</t>
  </si>
  <si>
    <t>WOS:001171843100001</t>
  </si>
  <si>
    <t>O'Connor, TP</t>
  </si>
  <si>
    <t>Mussel Watch results from 1986 to 1996</t>
  </si>
  <si>
    <t>trace elements; organochlorines; PAHs; mollusks; trends</t>
  </si>
  <si>
    <t>MYTILUS-EDULIS; TRACE-METALS; OYSTERS</t>
  </si>
  <si>
    <t>Mussel Watch results from coastal waters of the United States for 1986 through 1996 show decreasing trends in molluscan concentrations of chlorinated hydrocarbons, butyltins; and cadmium. Weaker cases for decreases exist for topper, zinc, and silver. Concentrations of polycyclic aromatic hydrocarbons, arsenic, mercury, nickel, lead, and selenium show no overall trend. (C) 1998 Published by Elsevier Science Ltd. All rights reserved.</t>
  </si>
  <si>
    <t>NOAA, Natl Status &amp; Trends Program, N ORCA21, Silver Spring, MD 20910 USA</t>
  </si>
  <si>
    <t>National Oceanic Atmospheric Admin (NOAA) - USA</t>
  </si>
  <si>
    <t>NOAA, Natl Status &amp; Trends Program, N ORCA21, 1305 E West Highway, Silver Spring, MD 20910 USA.</t>
  </si>
  <si>
    <t>tom.oconnor@noaa.gov</t>
  </si>
  <si>
    <t>10.1016/S0025-326X(98)00126-X</t>
  </si>
  <si>
    <t>168UC</t>
  </si>
  <si>
    <t>WOS:000078710700004</t>
  </si>
  <si>
    <t>Ji, CL; Cao, LL; Li, F</t>
  </si>
  <si>
    <t>Ji, Chenglong; Cao, Lulu; Li, Fei</t>
  </si>
  <si>
    <t>Toxicological evaluation of two pedigrees of clam Ruditapes philippinarum as bioindicators of heavy metal contaminants using metabolomics</t>
  </si>
  <si>
    <t>Ruditapes philippinarum; Bioindicators; Ecotoxicology; Heavy metals; Metabolomics; NMR</t>
  </si>
  <si>
    <t>MYTILUS-GALLOPROVINCIALIS; VENERUPIS-PHILIPPINARUM; DIFFERENTIAL RESPONSES; ANTIOXIDANT ENZYMES; NMR; CADMIUM; GLUTATHIONE; EXPRESSION; EXPOSURE; MUSSEL</t>
  </si>
  <si>
    <t>Heavy metal pollution has been of great concern in the Bohai marine environment. Manila clam Ruditapes philippinarum has been used as a bioindicator in marine toxicology. In this study, NMR-based metabolomics was used to ascertain whether there were significant biological differences between two dominant pedigrees (White and Zebra) of clam and evaluate the suitability of two pedigrees for marine environmental toxicology, together with antioxidant enzymatic analysis. Our results indicated that there were significant biological differences between White and Zebra clams based on the metabolic profiles and antioxidant enzyme activities. In details, the metabolic profiles showed higher levels of amino acids and succinate in Zebra clam digestive glands and higher levels of ATP in White clam digestive glands, respectively. The superoxide dismutase activities in control White and Zebra clam samples were significantly different. Additionally, White clam was more sensitive to Cd based on the significant accumulation of Cd, antioxidant enzymatic alterations and sensitive metabolic changes. Overall, we concluded that White clam could be a preferable bioindicator for marine environmental toxicology. (C) 2015 Elsevier B.V. All rights reserved.</t>
  </si>
  <si>
    <t>[Ji, Chenglong; Cao, Lulu; Li, Fei] Chinese Acad Sci, Yantai Inst Coastal Zone Res YIC, Key Lab Coastal Zone Environm Proc, Yantai 264003, Peoples R China; [Ji, Chenglong; Cao, Lulu; Li, Fei] YICCAS, Shandong Prov Key Lab Coastal Zone Environm Proc, Yantai 264003, Peoples R China; [Cao, Lulu] Univ Chinese Acad Sci, Beijing 100049, Peoples R China</t>
  </si>
  <si>
    <t>Li, F (corresponding author), Chinese Acad Sci, Yantai Inst Coastal Zone Res YIC, Key Lab Coastal Zone Environm Proc, Yantai 264003, Peoples R China.</t>
  </si>
  <si>
    <t>fli@yic.ac.cn</t>
  </si>
  <si>
    <t>Natural Science Foundation of Shandong Province [JQ201310]; National Natural Science Foundation of China [21107136]; International Foundation for Science [F/5230-1]</t>
  </si>
  <si>
    <t>Natural Science Foundation of Shandong Province(Natural Science Foundation of Shandong Province); National Natural Science Foundation of China(National Natural Science Foundation of China (NSFC)); International Foundation for Science(International Foundation for Science)</t>
  </si>
  <si>
    <t>This research was supported by the Natural Science Foundation of Shandong Province (JQ201310), National Natural Science Foundation of China (21107136) and the International Foundation for Science (F/5230-1). We thank Dr. Mark Viant (School of Bioscience, The University of Birmingham) for use of the software ProMetab.</t>
  </si>
  <si>
    <t>10.1016/j.etap.2015.01.004</t>
  </si>
  <si>
    <t>CH3KP</t>
  </si>
  <si>
    <t>WOS:000353929900008</t>
  </si>
  <si>
    <t>Lowes, HM; Eliason, EJ; Snihur, KN; Alessi, DS; Blewett, TA</t>
  </si>
  <si>
    <t>Lowes, Hannah M.; Eliason, Erika J.; Snihur, Katherine N.; Alessi, Daniel S.; Blewett, Tamzin A.</t>
  </si>
  <si>
    <t>Copper toxicity does not affect low tide emersion tolerance of Mytilus galloprovincialis</t>
  </si>
  <si>
    <t>Marine; Copper; Toxicity; Invertebrate; California; Mussel</t>
  </si>
  <si>
    <t>FRESH-WATER BIVALVE; ANAEROBIC METABOLISM; ENVIRONMENTAL-STRESS; AMMONIA EXCRETION; EDULIS-L; PHYSIOLOGICAL-RESPONSES; NITROGEN-METABOLISM; CARBONIC-ANHYDRASE; THREAD FORMATION; CARCINUS-MAENAS</t>
  </si>
  <si>
    <t>Intertidal mussels are well adapted to withstand emersion from water during low tide, but they may be inter-mittently exposed to waterborne toxicants such as copper, which targets physiological processes including metabolism, ammonia excretion, and osmoregulation. To determine if copper exposure damages intertidal or-ganisms' ability to tolerate tidal emersion, Mediterranean mussels (Mytilus galloprovincialis) were exposed to copper for 96 h followed by 6 h of emersion. Oxygen uptake increased after copper exposure which suggests that copper accumulation caused moderate stress in the mussels, but ammonia excretion and anaerobic metabolism were unaffected by mixed copper and emersion exposures. Shell composition analyses indicate that cycles of copper exposure and tidal emersion may affect bivalve shell growth, but copper deposition into shells may decrease the metal's overall toxicity. Results suggest that copper does not damage M. galloprovincialis's tolerance to tidal emersion, and insight is provided into the mussel's ability to overcome mixed stressor exposures.</t>
  </si>
  <si>
    <t>[Lowes, Hannah M.; Blewett, Tamzin A.] Univ Alberta, Dept Biol Sci, Edmonton, AB T6G 2R3, Canada; [Eliason, Erika J.] Univ Calif Santa Barbara, Dept Ecol Evolut &amp; Marine Biol, Santa Barbara, CA 93106 USA; [Snihur, Katherine N.; Alessi, Daniel S.] Univ Alberta, Dept Earth &amp; Atmospher Sci, Edmonton, AB T6G 2R3, Canada</t>
  </si>
  <si>
    <t>University of Alberta; University of California System; University of California Santa Barbara; University of Alberta</t>
  </si>
  <si>
    <t>Blewett, TA (corresponding author), Univ Alberta, Dept Biol Sci, Edmonton, AB T6G 2R3, Canada.</t>
  </si>
  <si>
    <t>tamzin@ualberta.ca</t>
  </si>
  <si>
    <t>Alessi, Daniel/AAI-9106-2020</t>
  </si>
  <si>
    <t>Blewett, Tamzin/0000-0001-6834-1571</t>
  </si>
  <si>
    <t>Natural Sciences and Engineering Research Council (NSERC) [04153]; NSERC CGS-M and CGS-M MSFSS</t>
  </si>
  <si>
    <t>Natural Sciences and Engineering Research Council (NSERC)(Natural Sciences and Engineering Research Council of Canada (NSERC)); NSERC CGS-M and CGS-M MSFSS</t>
  </si>
  <si>
    <t>This research was funded by the Natural Sciences and Engineering Research Council (NSERC) Discovery Grant to T.A.B (04153) . H.M.L was supported by an NSERC CGS-M and CGS-M MSFSS.</t>
  </si>
  <si>
    <t>10.1016/j.marpolbul.2023.114750</t>
  </si>
  <si>
    <t>FEB 2023</t>
  </si>
  <si>
    <t>9X6DC</t>
  </si>
  <si>
    <t>WOS:000949857100001</t>
  </si>
  <si>
    <t>Hardy, A; Skrabal, SA; Addison, L; Emslie, SD</t>
  </si>
  <si>
    <t>Hardy, Anna; Skrabal, Stephen A.; Addison, Lindsay; Emslie, Steven D.</t>
  </si>
  <si>
    <t>Biomagnification of mercury in an estuarine food web</t>
  </si>
  <si>
    <t>Mercury; Trophic level; Food web; Eastern oyster; American oystercatcher; Royal Tern</t>
  </si>
  <si>
    <t>TROPHIC MAGNIFICATION FACTORS; STABLE-ISOTOPE ANALYSIS; NORTH-CAROLINA; FRESH-WATER; SEABIRD FEATHERS; ORGANIC MATERIAL; DOSE-RESPONSE; BASE-LINE; BIOACCUMULATION; FISH</t>
  </si>
  <si>
    <t>Methylmercury is a toxin of local, regional, and global concern, with estuarine habitats possessing ecological characteristics that support conversion of inorganic mercury into this methylated form. We monitored Hg concentrations in species within the food web of the lower Cape Fear River (CFR) estuary in 2018-2020. Samples were analyzed for Hg concentrations and nitrogen isotopes (a measure of trophic level), and we found a positive relationship within this food web each year (p &lt; 0.0001), indicating biomagnification is occurring. The highest Hg concentrations were among the upper trophic level species (Royal Terns, 4.300 ppm). While the Hg concentrations we documented are below assumed thresholds for toxic effects, we found spikes in Hg concentrations after Hurricane Florence in 2018 and with other disturbances to the CFR that resuspended bottom sediments. Continued monitoring is needed to understand the cause of annual variations, health implications, and conservation needs.</t>
  </si>
  <si>
    <t>[Hardy, Anna; Emslie, Steven D.] Univ N Carolina, Dept Biol &amp; Marine Biol, Wilmington, NC 28403 USA; [Skrabal, Stephen A.] Univ N Carolina, Dept Chem &amp; Biochem, Wilmington, NC 28403 USA; [Addison, Lindsay] Audubon North Carolina, 7741 Market St, Wilmington, NC 28411 USA</t>
  </si>
  <si>
    <t>University of North Carolina; University of North Carolina Wilmington; University of North Carolina; University of North Carolina Wilmington</t>
  </si>
  <si>
    <t>Hardy, A (corresponding author), Univ N Carolina, Dept Biol &amp; Marine Biol, Wilmington, NC 28403 USA.</t>
  </si>
  <si>
    <t>amzarn@gmail.com</t>
  </si>
  <si>
    <t>National Fish and Wildlife Foundation - National Fish and Wildlife Foundation; Department of Biology and Marine Biology at UNCW</t>
  </si>
  <si>
    <t>Steven Emslie and Stephen Skrabal report financial support was provided by National Fish and Wildlife Foundation. If there are other authors, they declare that they have no known competing financial in- terests or personal relationships that could have appeared to influence the work reported in this paper. This research was funded by a grant from the National Fish and Wildlife Foundation. We thank R. Danner, T. Lankford, and S. Schweitzer for their valuable comments and advice throughout the course of this research. We also thank Kim Duernberger for her assis- tance with stable isotope analyses. The Department of Biology and Marine Biology at UNCW provided additional support for this research.</t>
  </si>
  <si>
    <t>10.1016/j.marpolbul.2024.116604</t>
  </si>
  <si>
    <t>XO1G2</t>
  </si>
  <si>
    <t>WOS:001262527800001</t>
  </si>
  <si>
    <t>Cledon, M; Tremblay, LA; Griffiths, C; Fadhlaoui, M; Champeau, O; Albentosa, M; Besada, V; Fernandez, VH; McKindsey, CW; Bendell, LI; Zhang, B; Garcia-Esquivel, Z; Curiel, S; Brar, SK; Kumar, P; Laroche, O; Couture, P</t>
  </si>
  <si>
    <t>Cledon, Maximiliano; Tremblay, Louis A.; Griffiths, Charles; Fadhlaoui, Mariem; Champeau, Olivier; Albentosa, Marina; Besada, Victoria; Fernandez, Victor H.; McKindsey, Christopher W.; Bendell, Leah, I; Zhang, Bin; Garcia-Esquivel, Zaul; Curiel, Sergio; Brar, Satinder K.; Kumar, Pratik; Laroche, Olivier; Couture, Patrice</t>
  </si>
  <si>
    <t>Trace Metal Residues in Marine Mussels: A Global Survey</t>
  </si>
  <si>
    <t>Marine mussels; Mytilus; Metals; International survey; Pollution; Bioaccumulation</t>
  </si>
  <si>
    <t>MYTILUS-GALLOPROVINCIALIS; HEAVY-METALS; PRIORITY POLLUTANTS; WILD MUSSELS; POLLUTION; BIOACCUMULATION; ATLANTIC</t>
  </si>
  <si>
    <t>Pressures from anthropogenic activities are causing degradation of estuarine and coastal ecosystems around the world. Trace metals are key pollutants that are released and can partition in a range of environmental compartments, to be ultimately accumulated in exposed biota. The level of pressure varies with locations and the range and intensity of anthropogenic activities. The present study measured residues of trace metals in Mytilus mussel species collected from a range of locations around the world in areas experiencing a gradient of anthropogenic pressures that we classified as low, moderate, or high impact. The data showed no grouping/impact level when sampling sites in all countries were incorporated in the analysis, but there was significant clustering/impact level for most countries. Overall, high-impact areas were characterized by elevated concentrations of zinc, lead, nickel, and arsenic, whereas copper and silver were detected at higher concentrations in medium-impact areas. Finally, whereas most metals were found at lower concentrations in areas classified as low impact, cadmium was typically elevated in these areas. The present study provides a unique snapshot of worldwide levels of coastal metal contamination through the use of Mytilus species, a well-established marine biomonitoring tool. Environ Toxicol Chem 2021;00:1-7. (c) 2021 SETAC</t>
  </si>
  <si>
    <t>[Cledon, Maximiliano; Fernandez, Victor H.] UnComa, CONICET, INIDEP,Gobierno Prov Rio Negro, Ctr Invest Aplicada &amp; Transferencia Tecnol Recurs, San Carlos De Bariloche, Rio Negro, Argentina; [Tremblay, Louis A.; Champeau, Olivier; Laroche, Olivier] Cawthron Inst, Nelson, New Zealand; [Tremblay, Louis A.] Univ Auckland, Sch Biol Sci, Auckland, New Zealand; [Griffiths, Charles] Univ Cape Town, Marine Res Inst, Dept Biol Sci, Rondebosch, South Africa; [Fadhlaoui, Mariem; Couture, Patrice] Inst Natl Rech Sci, Ctr Eau Terre Environm, Quebec City, PQ, Canada; [Albentosa, Marina] Inst Espanol Oceanog, Ctr Oceanog Murcia, Murcia, Spain; [Besada, Victoria] Inst Espanol Oceanog, Ctr Oceanog Vigo, Murcia, Spain; [McKindsey, Christopher W.] Fisheries &amp; Oceans Canada, Mont Joli, PQ, Canada; [McKindsey, Christopher W.] Inst Sci Mer, Rimouski, PQ, Canada; [Bendell, Leah, I] Simon Fraser Univ, Dept Biol Sci, Burnaby, BC, Canada; [Zhang, Bin] Zhejiang Ocean Univ, Coll Food Sci &amp; Pharm, Key Lab Hlth Risk Factors Seafood Zhejiang Prov, Zhoushan, Peoples R China; [Garcia-Esquivel, Zaul; Curiel, Sergio] Univ Autonoma Baja California, Inst Invest Oceanol, Ensenada, Baja California, Mexico; [Brar, Satinder K.] York Univ, Lassonde Sch Engn, Dept Civil Engn, Toronto, ON, Canada; [Kumar, Pratik] Indian Inst Technol Jammu, Dept Civil Engn, Jammu, India</t>
  </si>
  <si>
    <t>Consejo Nacional de Investigaciones Cientificas y Tecnicas (CONICET); National Fisheries Research &amp; Development Institute (INIDEP); Cawthron Institute; University of Auckland; University of Cape Town; University of Quebec; Institut national de la recherche scientifique (INRS); Spanish Institute of Oceanography; Spanish Institute of Oceanography; Fisheries &amp; Oceans Canada; Simon Fraser University; Zhejiang Ocean University; Universidad Autonoma de Baja California; York University - Canada; Indian Institute of Technology System (IIT System); Indian Institute of Technology (IIT) Jammu</t>
  </si>
  <si>
    <t>Couture, P (corresponding author), Inst Natl Rech Sci, Ctr Eau Terre Environm, Quebec City, PQ, Canada.</t>
  </si>
  <si>
    <t>patrice.couture@inrs.ca</t>
  </si>
  <si>
    <t>McKindsey, Chris/AAH-6773-2020; Besada, Victoria/H-4532-2015; Garcia-Esquivel, Zaul/AAV-8565-2021; Zhang, Bin/AAW-5334-2021; Couture, Patrice/HSE-9805-2023</t>
  </si>
  <si>
    <t>Curiel Ramirez Gutierrez, Sergio/0009-0001-2352-8516; Garcia-Esquivel, Zaul/0000-0002-2629-7995; Tremblay, Louis/0000-0002-3586-3995; Laroche, Olivier/0000-0003-0755-0083; Couture, Patrice/0000-0002-1944-5136</t>
  </si>
  <si>
    <t>Canadian National Sciences and Engineering Research Council Discovery Grant; New Zealand Ministry of Business, Innovation and Employment (MBIE Contract) [CAWX1708]; University of Cape Town Research Committee grant; Universidad Autonoma de Baja California [403/1828]; Instituto Espanol de Oceanografia; Spanish Ministry of Agriculture, Food and Environment; BIOCOM project (Spanish Ministry of Economy and Competitiveness) [CTM2012-30737]</t>
  </si>
  <si>
    <t>Canadian National Sciences and Engineering Research Council Discovery Grant; New Zealand Ministry of Business, Innovation and Employment (MBIE Contract)(New Zealand Ministry of Business, Innovation and Employment (MBIE)); University of Cape Town Research Committee grant; Universidad Autonoma de Baja California; Instituto Espanol de Oceanografia; Spanish Ministry of Agriculture, Food and Environment(Spanish Government); BIOCOM project (Spanish Ministry of Economy and Competitiveness)</t>
  </si>
  <si>
    <t>Metal analyses performed at the Institut National de la Recherche Scientifique, Centre Eau Terre Environnement, were funded by a Canadian National Sciences and Engineering Research Council Discovery Grant to P. Couture. Sampling in New Zealand was supported by the New Zealand Ministry of Business, Innovation and Employment (MBIE Contract CAWX1708). Sampling in South Africa was funded by a University of Cape Town Research Committee grant to C. Griffiths. Sampling and preprocessing of Mexican samples were funded by the Universidad Autonoma de Baja California through a grant (403/1828) to Z. Garcia-Esquivel. Spanish collection and analyses were done in the framework of the Fund Management Agreement (2013-2016) between the Instituto Espanol de Oceanografia and the Spanish Ministry of Agriculture, Food and Environment and BIOCOM project (CTM2012-30737, Spanish Ministry of Economy and Competitiveness).</t>
  </si>
  <si>
    <t>10.1002/etc.5228</t>
  </si>
  <si>
    <t>NOV 2021</t>
  </si>
  <si>
    <t>XA5IZ</t>
  </si>
  <si>
    <t>WOS:000715440800001</t>
  </si>
  <si>
    <t>Rani, V; Vilvest, J; Yagoo, A</t>
  </si>
  <si>
    <t>Rani, Varshitha; Vilvest, Jelin; Yagoo, Alex</t>
  </si>
  <si>
    <t>Bioaccumulation of heavy metals in commercial fishes from Adyar estuary (Mugil cephalus and Megalops cyprinoides)</t>
  </si>
  <si>
    <t>Adyar Estuary; Heavy metals; Bioaccumulation; Mugil cephalus; Megalops cyprinoides</t>
  </si>
  <si>
    <t>RISK-ASSESSMENT; TRACE-METALS; WATER; ORGANS; RIVER; POLLUTION; OYSTER; LAKE; PB</t>
  </si>
  <si>
    <t>The Adyar Estuary in Chennai, India, is facing pollution from urban sewage and industrial effluents. This study aimed to investigate heavy metal bioaccumulation in brackish water fishes, Mugil cephalus and Megalops cyprinoides, as well as heavy metal concentrations in water samples from the Adyar River. The objective was to assess the risks associated with heavy metal accumulation in the edible parts of these fishes and evaluate their suitability for human consumption. The heavy metal concentrations in water samples from the Adyar River were found in the following order: Zn &gt; Fe &gt; Cu &gt; Cd &gt; Cr. In M. cephalus, the heavy metal accumulation detection in muscles shows Fe being the most accumulated metal and Cd being the least accumulated in the muscles in the following order; (0.29 mu g/g), &gt;Cu (0.09 mu g/g), &gt; Cr (0.08 mu g/g), &gt; Cd (0.01 mu g/g). similarly, In M. cyprinoides, heavy metal accumulation in the muscles is observed in the following order: Cu (0.40 mu g/g) &gt; Fe (0.21 mu g/g) &gt; Zn (0.08 mu g/g) &gt; Cr (0.01 mu g/g). In M. cephalus, the brain and heart showed the highest metal concentrations compared to the liver and gills. Conversely, the muscle tended to accumulate lower levels of metals. In M. cyprinoides, heavy metal accumulation is highest in the heart, followed by the brain. Alternatively, the muscle tended to have lower levels of metal accumulation. Despite metal concentrations surpassing recommended limits, the edible fish parts remain safe for human consumption, indicating no significant threat to public health. Continuous monitoring of heavy metal levels in both water and fish samples over time is crucial to ensure sustained safety for human consumption, with future studies potentially focusing on specific pathways of heavy metal uptake by fish and their potential long-term effects on human health.</t>
  </si>
  <si>
    <t>[Rani, Varshitha; Vilvest, Jelin; Yagoo, Alex] Loyola Coll Autonomous, PG &amp; Res Dept Adv Zool &amp; Biotechnol, Chennai 600034, India</t>
  </si>
  <si>
    <t>Loyola College - Chennai</t>
  </si>
  <si>
    <t>Vilvest, J (corresponding author), Loyola Coll Autonomous, PG &amp; Res Dept Adv Zool &amp; Biotechnol, Chennai 600034, India.</t>
  </si>
  <si>
    <t>jelin@loyolacollege.edu</t>
  </si>
  <si>
    <t>10.1016/j.rsma.2024.103512</t>
  </si>
  <si>
    <t>SC8O1</t>
  </si>
  <si>
    <t>WOS:001232352300001</t>
  </si>
  <si>
    <t>Jeong, H; Araujo, DF; Garnier, J; Mulholland, D; Machado, W; Cunha, B; Ponzevera, E</t>
  </si>
  <si>
    <t>Jeong, Hyeryeong; Araujo, Daniel F.; Garnier, Jeremie; Mulholland, Daniel; Machado, Wilson; Cunha, Bruno; Ponzevera, Emmanuel</t>
  </si>
  <si>
    <t>Copper and lead isotope records from an electroplating activity in sediments and biota from Sepetiba Bay (southeastern Brazil)</t>
  </si>
  <si>
    <t>Environmental forensics; Heavy metal contamination; Metal stable isotopes; Isotope tracers; Isotope source tracing; Isotope fingerprint</t>
  </si>
  <si>
    <t>ANTHROPOGENIC SOURCES; HEAVY-METALS; STABLE CU; SE BRAZIL; ENVIRONMENTAL-CHANGES; BIVALVE MOLLUSKS; ZN ISOTOPES; PB; ZINC; FRACTIONATION</t>
  </si>
  <si>
    <t>An old electroplating plant in Sepetiba Bay discharged metal-enriched wastes into the surrounding mangroves for 30 years (from the 1960s to 1990s), resulting in a hotspot zone of legacy sediments highly concentrated in toxic trace metals. This study applies Cu and Pb isotope systems to investigate the contributions of past punctual sources relative to emerging modern diffuse sources. The electroplating activity imprinted particular isotopic signatures (average delta 65CuSRM-976: 0.4 parts per thousand and 206Pb/207Pb: 1.14) distinct from the natural baseline and urban fluvial sediments. The isotopic compositions of tidal flat sediments show intermediate isotope compositions reflecting the mixing of Cu and Pb from the hotspot zone and terrigenous materials carried by rivers. Oyster isotope fingerprints match legacy sediments, attesting that anthropogenic Cu and Pb are bioavailable to the biota. These findings confirm the interest in combining two or more metal isotope systems to discriminate be-tween modern and past metal source emissions in coastal environments.</t>
  </si>
  <si>
    <t>[Jeong, Hyeryeong; Araujo, Daniel F.; Ponzevera, Emmanuel] Ifremer, CCEM Contaminat Chim Ecosyst Marins, F-44000 Nantes, France; [Garnier, Jeremie] Univ Brasilia, Inst Geociencias, Campus Darcy Ribeiro L2, Brasilia, DF, Brazil; [Mulholland, Daniel] Univ Fed Tocantins, Lab Aguas &amp; Efluentes, Rua Badejos, Gurupi, TO, Brazil; [Machado, Wilson] Univ Fed Fluminense, Dept Geoquim, Campus Valonguinho, Niteroi, RJ, Brazil; [Cunha, Bruno] Univ Sao Paulo, Inst Geociencias, Cidade Univ, BR-05508 Sao Paulo, SP, Brazil</t>
  </si>
  <si>
    <t>Ifremer; Universidade de Brasilia; Universidade Federal do Tocantins (UFT); Universidade Federal Fluminense; Universidade de Sao Paulo</t>
  </si>
  <si>
    <t>Jeong, H (corresponding author), Ifremer, CCEM Contaminat Chim Ecosyst Marins, F-44000 Nantes, France.</t>
  </si>
  <si>
    <t>hrjeong617@gmail.com</t>
  </si>
  <si>
    <t>Cunha, Bruno/T-8432-2019; Jeong, Hyeryeong/JTV-6299-2023</t>
  </si>
  <si>
    <t>Ponzevera, Emmanuel/0000-0001-6481-7309</t>
  </si>
  <si>
    <t>10.1016/j.marpolbul.2023.114848</t>
  </si>
  <si>
    <t>E4ZO9</t>
  </si>
  <si>
    <t>WOS:000975641700001</t>
  </si>
  <si>
    <t>Singer, C; Zimmermann, S; Sures, B</t>
  </si>
  <si>
    <t>Induction of heat shock proteins (hsp70) in the zebra mussel (Dreissena polymorpha) following exposure to platinum group metals (platinum, palladium and rhodium):: Comparison with lead and cadmium exposures</t>
  </si>
  <si>
    <t>platinum group elements; bioavailability; bioaccumulation; biomarker; metal pollution</t>
  </si>
  <si>
    <t>ATOMIC-ABSORPTION-SPECTROMETRY; GROUP ELEMENTS; AIRBORNE PARTICULATE; STRESS-PROTEINS; RH; PD; WATER; HEAT-SHOCK-PROTEIN-70; BIOACCUMULATION; EXPRESSION</t>
  </si>
  <si>
    <t>An increasing number of papers concentrate on the availability and uptake of platinum group elements (PGE) by different organisms. These metals are discharged into the environment from different anthropogenic sources, such as automobile catalytic converters, hospitals and other medical institutions. As the effects of these precious metals on organisms remain unclear, the induction of heat shock proteins (hsp70) in zebra mussels (Dreissena polymorpha) following exposure to soluble salts of platinum, palladium and rhodium was compared with the hsp70 induction in mussels following exposure to cadmium and lead. Mussels were sampled weekly during a period of 10 weeks and analyzed for their metal concentration and their hsp70 level. Highest metal uptake was found for Cd, followed by Pt, Pb and Pd. Rh demonstrated the lowest uptake rate. A clear time-dependent increase of hsp70 levels occurred in all exposed mussels. Concentrations of hsp70 started to rise between days 18 and 25, except for the Pt-exposed group, where the initial increase was between days 25 and 32. All groups reached maximal hsp70 concentrations at day 39. Subsequently, hsp70 levels decreased to initial levels for the remaining exposure period. Threshold metal levels for the hsp70 induction varied among the metals and increased in the order: Rh &lt; Pd &lt;= Pb &lt; Pt &lt; Cd. Highest hsp70 values were found for mussels exposed to Pd, with a 25-fold higher level than in the controls, followed by Pt- and Rh-exposed mussels, which showed a 19-fold increase. The hsp70 levels of the mussels exposed to Cd and Pb were much lower, showing 6- and 12-fold higher values than the control, respectively. The clear induction of hsp70 due to exposure to Pt, Pd and Rh gives evidence for strong cellular effects of these metals, especially, when compared with lead and cadmium. Among the metals tested, Pd seems to have the highest potential as inducer for hsp70 production due to its low threshold level in combination with the strongest effect. (c) 2005 Elsevier B.V. All rights reserved.</t>
  </si>
  <si>
    <t>Univ Karlsruhe, Zool Inst Okol 1, D-76131 Karlsruhe, Germany</t>
  </si>
  <si>
    <t>Univ Karlsruhe, Zool Inst Okol 1, Geb 07-01,Kornblumenstr 13, D-76131 Karlsruhe, Germany.</t>
  </si>
  <si>
    <t>dc11@rz.uni-karlsruhe.de</t>
  </si>
  <si>
    <t>10.1016/j.aquatox.2005.07.004</t>
  </si>
  <si>
    <t>WOS:000232434300006</t>
  </si>
  <si>
    <t>Ji, CL; Lu, Z; Xu, LL; Li, F; Cong, M; Shan, XJ; Wu, HF</t>
  </si>
  <si>
    <t>Ji, Chenglong; Lu, Zhen; Xu, Lanlan; Li, Fei; Cong, Ming; Shan, Xiujuan; Wu, Huifeng</t>
  </si>
  <si>
    <t>Evaluation of mitochondrial toxicity of cadmium in clam Ruditapes philippinarum using iTRAQ-based proteomics</t>
  </si>
  <si>
    <t>Cadmium; iTRAQ; Proteomics; Mitochondrial toxicity; Ruditapes philippinarum</t>
  </si>
  <si>
    <t>MUSSELS MYTILUS-GALLOPROVINCIALIS; VIRGINICA GMELIN BIVALVIA; SHRIMP CRANGON-AFFINIS; METABOLIC-RESPONSES; OXIDATIVE STRESS; METAL POLLUTION; MEMBRANE; INSIGHTS; FISSION; BOHAI</t>
  </si>
  <si>
    <t>Cadmium is one of the most serious metal pollutants in the Bohai Sea. Previous studies revealed that mitochondrion might be the target organelle of Cd toxicity. However, there is a lack of a global view on the mitochondrial responses in marine animals to Cd. In this work, the mitochondrial responses were characterized in clams Ruditapes philippinarum treated with two concentrations (5 and 50 mu g/L) of Cd for 5 weeks using tetraethylbenzimidazolylcarbocyanine iodide (JC-1) staining, ultrastructural observation and quantitative proteomic analysis. Basically, a significant decrease of mitochondrial membrane potential (Delta Psi m) was observed in clams treated with the high concentration (50 mu g/L) of Cd. Cd treatments also induced specific morphological changes indicated by elongated mitochondria. Furthermore, iTRAQ-based mitochondrial proteomics showed that a total of 97 proteins were significantly altered in response to Cd treatment. These proteins were closely associated with multiple biological processes in mitochondria, including tricarboxylic acid (TCA) cycle, oxidative phosphorylation, fatty acid beta-oxidation, stress resistance and apoptosis, and mitochondrial fission. These findings confirmed that mitochondrion was one of the key targets of Cd toxicity. Moreover, dynamical regulations, such as reconstruction of energy homeostasis, induction of stress resistance and apoptosis, and morphological alterations, in mitochondria might play essential roles in Cd tolerance. Overall, this work provided a deep insight into the mitochondrial toxicity of Cd in clams based on a global mitochondrial proteomic analysis. (C) 2019 Elsevier Ltd. All rights reserved.</t>
  </si>
  <si>
    <t>[Ji, Chenglong; Lu, Zhen; Xu, Lanlan; Li, Fei; Cong, Ming; Wu, Huifeng] Chinese Acad Sci, CAS Key Lab Coastal Environm Proc &amp; Ecol Remediat, Yantai Inst Coastal Zone Res YIC, Shandong Key Lab Coastal Environm Proc,YICCAS, Yantai 264003, Peoples R China; [Ji, Chenglong; Shan, Xiujuan; Wu, Huifeng] Qingdao Natl Lab Marine Sci &amp; Technol, Lab Marine Fisheries Sci &amp; Food Prod Proc, Qingdao 266237, Shandong, Peoples R China; [Lu, Zhen; Xu, Lanlan] Univ Chinese Acad Sci, Beijing 100049, Peoples R China</t>
  </si>
  <si>
    <t>Chinese Academy of Sciences; Yantai Institute of Coastal Zone Research, CAS; Laoshan Laboratory; Chinese Academy of Sciences; University of Chinese Academy of Sciences, CAS</t>
  </si>
  <si>
    <t>Wu, HF (corresponding author), Chinese Acad Sci, CAS Key Lab Coastal Environm Proc &amp; Ecol Remediat, Yantai Inst Coastal Zone Res YIC, Shandong Key Lab Coastal Environm Proc,YICCAS, Yantai 264003, Peoples R China.</t>
  </si>
  <si>
    <t>Li, Fei/B-2056-2014; Ji, Chenglong/U-5411-2017; lu, zhen/U-5477-2017</t>
  </si>
  <si>
    <t>lu, zhen/0000-0002-7113-7448</t>
  </si>
  <si>
    <t>National Natural Science Foundation of China [41676114]; Young Taishan Scholars Program of Shandong Province [tsqn201812115]; Qingdao National Laboratory for Marine Science and Technology [QNLM201701]; Youth Innovation Promotion Association CAS [2015169]</t>
  </si>
  <si>
    <t>National Natural Science Foundation of China(National Natural Science Foundation of China (NSFC)); Young Taishan Scholars Program of Shandong Province; Qingdao National Laboratory for Marine Science and Technology; Youth Innovation Promotion Association CAS</t>
  </si>
  <si>
    <t>This research was supported by the grants from National Natural Science Foundation of China (41676114), the Young Taishan Scholars Program of Shandong Province for Prof. Huifeng Wu (tsqn201812115), Qingdao National Laboratory for Marine Science and Technology (QNLM201701) and the Youth Innovation Promotion Association CAS (2015169).</t>
  </si>
  <si>
    <t>10.1016/j.envpol.2019.05.046</t>
  </si>
  <si>
    <t>IH2MU</t>
  </si>
  <si>
    <t>WOS:000474329700088</t>
  </si>
  <si>
    <t>Bi, DX; Yuan, GD; Wei, J; Xiao, L; Feng, LR</t>
  </si>
  <si>
    <t>Bi, Dongxue; Yuan, Guodong; Wei, Jing; Xiao, Liang; Feng, Lirong</t>
  </si>
  <si>
    <t>Conversion of Oyster Shell Waste to Amendment for Immobilising Cadmium and Arsenic in Agricultural Soil</t>
  </si>
  <si>
    <t>Oyster shell waste; Soil remediation; Cadmium; Arsenic; Bioavailability</t>
  </si>
  <si>
    <t>REMEDIATION; CONTAMINATION; BIOCHAR; IMMOBILIZATION; CONSEQUENCES; ACCUMULATION; REMOVAL; GROWTH; RICE</t>
  </si>
  <si>
    <t>A bulky waste, oyster shell (OS), was calcinated at 400-800 degrees C to produce Ca-rich products (OS400-OS800) to reduce the human health risk of soil cadmium (Cd) and arsenic (As). Thermogravimetric analysis, X-ray diffraction (XRD), scanning electron microscopy (SEM), and BET method were used to characterize OS and its calcined products. OS and OS400-OS(700)removed little Cd and As from water, whereas OS(800)removed 1508 mg Cd or 514 mg As per kg of OS(800)from solutions of 1032 mg Cd/L or 257 mg As/L via adsorption and precipitation. Adding OS(800)at a 2% dose to a Cd- and As-contaminated soil lowered its exchangeable Cd from 60% to 27%, and reduced Cd content in the edible part of vegetable Bok Choy from 2.80 to 0.048 mg/kg and As from 1.73 to 0.47 mg/kg. Converting OS to soil amendment has the dual benefits to soil remediation and sustainable oyster aquaculture.</t>
  </si>
  <si>
    <t>[Bi, Dongxue; Wei, Jing; Xiao, Liang; Feng, Lirong] Chinese Acad Sci, Yantai Inst Coastal Zone Res, Yantai 264003, Shandong, Peoples R China; [Bi, Dongxue] Univ Chinese Acad Sci, Beijing 100049, Peoples R China; [Yuan, Guodong] Zhaoqing Univ, Sch Environm &amp; Chem Engn, Guangdong Prov Key Lab Environm Hlth &amp; Land Resou, Zhaoqing 526061, Guangdong, Peoples R China</t>
  </si>
  <si>
    <t>Chinese Academy of Sciences; Yantai Institute of Coastal Zone Research, CAS; Chinese Academy of Sciences; University of Chinese Academy of Sciences, CAS; Zhaoqing University</t>
  </si>
  <si>
    <t>Yuan, GD (corresponding author), Zhaoqing Univ, Sch Environm &amp; Chem Engn, Guangdong Prov Key Lab Environm Hlth &amp; Land Resou, Zhaoqing 526061, Guangdong, Peoples R China.</t>
  </si>
  <si>
    <t>yuanguodong@zqu.edu.cn</t>
  </si>
  <si>
    <t>Yuan, Guodong/ABF-3171-2020</t>
  </si>
  <si>
    <t>Yuan, Guodong/0000-0002-2008-3099</t>
  </si>
  <si>
    <t>Chinese National Key Research and Development Program [2016YFD0200303]; National Natural Science Foundation of China [41501522]; Guangdong Technology and Equipment Research Center for Soil and Water Pollution Control</t>
  </si>
  <si>
    <t>Chinese National Key Research and Development Program(National Key Research &amp; Development Program of China); National Natural Science Foundation of China(National Natural Science Foundation of China (NSFC)); Guangdong Technology and Equipment Research Center for Soil and Water Pollution Control</t>
  </si>
  <si>
    <t>This work was supported by the Chinese National Key Research and Development Program (2016YFD0200303) and the National Natural Science Foundation of China (41501522), and Guangdong Technology and Equipment Research Center for Soil and Water Pollution Control. Three anonymous reviewers are appreciated for comments and suggestions.</t>
  </si>
  <si>
    <t>10.1007/s00128-020-02906-w</t>
  </si>
  <si>
    <t>JUN 2020</t>
  </si>
  <si>
    <t>MW9ZL</t>
  </si>
  <si>
    <t>WOS:000542848100002</t>
  </si>
  <si>
    <t>Li, J; Huang, ZYY; Hu, Y; Yang, H</t>
  </si>
  <si>
    <t>Li, Jian; Huang, Zhiyong Y.; Hu, Yue; Yang, Hong</t>
  </si>
  <si>
    <t>Potential risk assessment of heavy metals by consuming shellfish collected from Xiamen, China</t>
  </si>
  <si>
    <t>Heavy metal; Shellfish; Determination; Estimated daily intake (EDI); Target hazard quotients (THQ); Risk assessment</t>
  </si>
  <si>
    <t>TARGET HAZARD QUOTIENTS; HEALTH-RISKS; FISH; CONSUMPTION; BIVALVES; CADMIUM; SEAFOOD; PB; CD; POPULATION</t>
  </si>
  <si>
    <t>Concentrations of Hg, Pb, Cd, and Cr in 240 shellfish including oyster, short-necked clam, razor clam, and mud clam collected from six administrative regions in Xiamen of China were measured. The daily intakes of heavy metals through the consumption of shellfish were estimated based on both of the metal concentrations in shellfish and the consuming amounts of shellfish. In addition, the target hazard quotients (THQ) were used to evaluate the potential risk of heavy metals in shellfish on human body. Results showed that the concentrations of heavy metals in shellfish ranged at the following sequence: Cr &gt; Cd &gt; Pb &gt; Hg. The concentrations of Hg and Pb in most samples were below the limits (0.3 mg kg(-1) for Hg and 0.5 mg kg(-1) for Pb) of national standard (GB 18406.4-2001) set in China. About 57 % of samples were found to contain more than 0.1 mg kg(-1) of Cd, in which the highest level was found in oyster from Xiangan with a value of 1.21 mg kg(-1). The average concentrations of Cd in oyster and mud clam samples were 0.338 and 0.369 mg kg(-1), respectively, which were significantly higher (p &lt; 0.05) than those in the samples of short-necked clam and razor clam. The highest concentration of Cr was found to present in short-necked clam from Jimei with a value of 10.4 mg kg(-1), but a mean value of 1.95 mg kg(-1) in all the shellfish was observed, and no significant difference was found among the different sampling regions. The calculated daily intakes of Hg, Pb, Cd, and Cr through consuming the shellfish were 0.005, 0.122, 0.137, and 1.20 mu g kg(-1) day(-1), respectively, which accounted for 2.19, 3.42, 13.7, and 40.1 % of the corresponding tolerable limits suggested by the Joint FAO/WHO Expert Committee on Food Additives. The THQ values of the four metals were far below 1 for most samples, except for those of Cd and Cr in the four shellfish species with the mean values of 0.132 and 0.385, respectively. The highest THQ values of Cd were observed in the species of oyster (0.719) and mud clam (0.568). But the high THQ values of Cr observed in all the four species were derived from the applied reference dose (RfD) data of Cr(VI) due to the unavailable RfD value of total Cr. The results indicate that the intakes of heavy metals by consuming shellfish collected from Xiamen of China do not present an appreciable hazard risk on human health, but attention should be paid to consuming those with relatively high THQ values, such as oyster, mud clam, and short-necked clam.</t>
  </si>
  <si>
    <t>[Li, Jian; Huang, Zhiyong Y.; Hu, Yue; Yang, Hong] Jimei Univ, Coll Bioengn, Xiamen 361021, Peoples R China</t>
  </si>
  <si>
    <t>Huang, ZYY (corresponding author), Jimei Univ, Coll Bioengn, Xiamen 361021, Peoples R China.</t>
  </si>
  <si>
    <t>National Natural Science Foundation of China [40771185]; Natural Science Foundation of Fujian Province of China [2012J01046]; Science and Technology Planning Project of Fujian Province, China [2012Y0052]; Science and Technology Planning Project of Xiamen, China [3502Z20113024]; Foundation of the Key Project Laboratory of Urban Environment and Health, Institute of Urban Environment, Chinese Academy of Sciences [KLUEH201006]; Foundation for Innovative Research Team of Jimei University [2010A007]</t>
  </si>
  <si>
    <t>National Natural Science Foundation of China(National Natural Science Foundation of China (NSFC)); Natural Science Foundation of Fujian Province of China(Natural Science Foundation of Fujian Province); Science and Technology Planning Project of Fujian Province, China; Science and Technology Planning Project of Xiamen, China; Foundation of the Key Project Laboratory of Urban Environment and Health, Institute of Urban Environment, Chinese Academy of Sciences; Foundation for Innovative Research Team of Jimei University</t>
  </si>
  <si>
    <t>The work was supported by grants from the National Natural Science Foundation of China (no. 40771185), the Natural Science Foundation of Fujian Province of China (2012J01046), the Science and Technology Planning Project of Fujian Province, China (2012Y0052), the Science and Technology Planning Project of Xiamen, China (3502Z20113024), the Foundation of the Key Project Laboratory of Urban Environment and Health, Institute of Urban Environment, Chinese Academy of Sciences (KLUEH201006), and the Foundation for Innovative Research Team of Jimei University (2010A007).</t>
  </si>
  <si>
    <t>10.1007/s11356-012-1207-3</t>
  </si>
  <si>
    <t>WOS:000318175400022</t>
  </si>
  <si>
    <t>Goswami, P; Hariharan, G; Godhantaraman, N; Munuswamy, N</t>
  </si>
  <si>
    <t>Goswami, Prasun; Hariharan, G.; Godhantaraman, Nallamuthu; Munuswamy, Natesan</t>
  </si>
  <si>
    <t>An integrated use of multiple biomarkers to investigate the individual and combined effect of copper and cadmium on the marine green mussel (Perna viridis)</t>
  </si>
  <si>
    <t>Antioxidant enzymes; biomarker; metal-metal interaction; histology; ultrastructure; genotoxicity; DNA damage; sub-lethal toxicity; Perna viridis</t>
  </si>
  <si>
    <t>ANTIOXIDANT ENZYME-ACTIVITIES; FRESH-WATER MUSSEL; MYTILUS-GALLOPROVINCIALIS; LIPID-PEROXIDATION; OXIDATIVE STRESS; TRACE-METALS; DNA-DAMAGE; SUPEROXIDE DISMUTASES; SURFACE-MORPHOLOGY; ESCHERICHIA-COLI</t>
  </si>
  <si>
    <t>The present study documents individual and combined sub-lethal effect of one redox active (copper) and one non-redox active (cadmium) metal on green mussel (Perna viridis). The mussels were exposed to 60 mu g L-1 of Cu and 150 mu g L-1 of Cd (individually and in combination) for 21 days. Histopathological and ultrastructural studies revealed significant metal induced alterations such as vacuolization, fusion of gill lamellae, enhance mucous deposition, hyperplasia and necrosis in gills. Antioxidant enzyme assays revealed significant increase in superoxide dismutase (SOD), glutathione S-transferase (GST) and glutathione peroxidase (GPx) activity. Similarly, single exposure to Cd and Cu caused significant induction in Malate dehydrogenase (MDH) activity. However, combined Cu+Cd exposure modulated suppression in MDH activity. Unlike MDH, Cu and Cd individual exposure resulted in a decrease in esterase (EST) activity, but their combined exposure caused an induction. Non-enzymatic biomarkers such as lipid peroxidation (LPO) and metallothionein (MT) levels showed no significant change in response to Cu exposure, whereas, individual Cd exposure or Cd exposure in combination with Cu caused significant changes in their levels. Comet assay revealed a significant increase in DNA damage upon metal exposure. These results indicate that Cu (redox active) and Cd (non-redox active) can induce measurable physiological, biochemical as well as genotoxic perturbations in mussels even at sub-lethal concentrations. A monitoring programme based on the biomarkers discussed here would be useful to study the effect of metal pollutants reaching the coastal waters.</t>
  </si>
  <si>
    <t>[Goswami, Prasun; Munuswamy, Natesan] Univ Madras, Dept Zool, Unit Aquaculture &amp; Cryobiol, Madras 600025, Tamil Nadu, India; [Hariharan, G.] Anna Univ, Inst Ocean Management, Madras 600025, Tamil Nadu, India; [Godhantaraman, Nallamuthu] Univ Madras, UGC Acad Staff Coll, Madras 600025, Tamil Nadu, India</t>
  </si>
  <si>
    <t>University of Madras; Anna University; Anna University Chennai; University of Madras</t>
  </si>
  <si>
    <t>Munuswamy, N (corresponding author), Univ Madras, Dept Zool, Unit Aquaculture &amp; Cryobiol, Guindy Campus, Madras 600025, Tamil Nadu, India.</t>
  </si>
  <si>
    <t>Goswami, Prasun/AAC-4209-2021; Govindasamy, Hariharan/B-2973-2018</t>
  </si>
  <si>
    <t>Govindasamy, Hariharan/0000-0003-1315-3180; Goswami, Prasun/0000-0003-1567-6479; Natesan, Munuswamy/0009-0002-1079-5495</t>
  </si>
  <si>
    <t>University Grants Commission (UGC) [F. 39-564/2010 (SR)]</t>
  </si>
  <si>
    <t>University Grants Commission (UGC)(University Grants Commission, India)</t>
  </si>
  <si>
    <t>This work was financially supported by University Grants Commission (UGC) (Proj. No. F. 39-564/2010 (SR).</t>
  </si>
  <si>
    <t>10.1080/10934529.2014.938534</t>
  </si>
  <si>
    <t>AO2GO</t>
  </si>
  <si>
    <t>WOS:000341136200012</t>
  </si>
  <si>
    <t>Hassan, J; Elmetwalli, A; Helal, M; Al Munajer, EA; Hussien, TM; Saad, AAA; El-Sikaily, A</t>
  </si>
  <si>
    <t>Hassan, Jihan; Elmetwalli, Alaa; Helal, Mohamed; Al Munajer, Eyad Abdulrahim; Hussien, Tarek Mahmoud; Saad, Aziza Abdel Azem; El-Sikaily, Amany</t>
  </si>
  <si>
    <t>Cadmium exposure and its association with oxidative stress, MT1A methylation, and idiopathic male infertility in Egypt: A case-control study</t>
  </si>
  <si>
    <t>Infertility; Cadmium; Metallothionein; MT1A; Epigenetics; DNA methylation</t>
  </si>
  <si>
    <t>DNA METHYLATION; SEMINAL PLASMA; HEAVY-METAL; REPRODUCTIVE-PERFORMANCE; GENERAL-POPULATION; HEALTH-RISK; METALLOTHIONEIN; SPERMATOZOA; BLOOD; LEAD</t>
  </si>
  <si>
    <t>Idiopathic male infertility, a significant health concern, lacks a clear etiology. Cadmium (Cd), a widespread environmental pollutant known to impact male reproductive health negatively, can accumulate in mussels, a common food source in Egypt. This study investigated the link between ecological Cd exposure, oxidative stress, MT1A methylation, and idiopathic male infertility in two regions of Alexandria. Thirty-three infertile men and 33 fertile controls were included. Cd levels were measured in mussels from the study sites and in participants' blood and semen. Biomarkers reflecting Cd exposure and its effects were assessed. Mussel Cd levels exceeded regulatory limits. Infertile men revealed significantly higher blood and semen Cd levels, reduced semen quality, increased oxidative stress, and elevated MT1A methylation compared to controls. MT1A methylation was inversely correlated with sperm count and is the strongest predictor of idiopathic male infertility, demonstrating the lowest p-value and considerable effect size. This study suggests that environmental Cd exposure, potentially through mussel consumption, may contribute to idiopathic male infertility in Egypt by increasing oxidative stress, inducing epigenetic modifications, and impairing semen quality. These findings underscore the need for further research into the mechanisms underlying Cd-induced male infertility and the development of preventative strategies.</t>
  </si>
  <si>
    <t>[Hassan, Jihan; Al Munajer, Eyad Abdulrahim; Saad, Aziza Abdel Azem] Alexandria Univ, Med Res Inst, Dept Appl Med Chem, Alexandria, Egypt; [Elmetwalli, Alaa] Egyptian Liver Res Inst &amp; Hosp ELRIAH, Dept Clin Trial Res Unit &amp; Drug Discovery, Mansoura, Egypt; [Elmetwalli, Alaa] Egyptian Liver Res Inst &amp; Hosp ELRIAH, Higher Technol Inst Appl Hlth Sci, Microbiol Div, Mansoura, Egypt; [Helal, Mohamed; El-Sikaily, Amany] Natl Inst Oceanog &amp; Fisheries NIOF, Cairo 11865, Egypt; [Helal, Mohamed] Univ Southern Denmark, Dept Biol, DK-5230 Odense, Denmark; [Hussien, Tarek Mahmoud] Alexandria Univ, Fac Med, Dept Dermatol Venerol &amp; Androl, Alexandria, Egypt</t>
  </si>
  <si>
    <t>Egyptian Knowledge Bank (EKB); Alexandria University; Egyptian Knowledge Bank (EKB); National Institute of Oceanography &amp; Fisheries (NIOF); University of Southern Denmark; Egyptian Knowledge Bank (EKB); Alexandria University</t>
  </si>
  <si>
    <t>Elmetwalli, A (corresponding author), Egyptian Liver Res Inst &amp; Hosp ELRIAH, Dept Clin Trial Res Unit &amp; Drug Discovery, Mansoura, Egypt.</t>
  </si>
  <si>
    <t>dr.prof2011@gmail.com</t>
  </si>
  <si>
    <t>Elmetwalli, Alaa/0000-0001-5372-4297; Helal, Mohamed/0000-0001-6170-4907</t>
  </si>
  <si>
    <t>10.1016/j.fct.2024.114925</t>
  </si>
  <si>
    <t>AUG 2024</t>
  </si>
  <si>
    <t>D7D0N</t>
  </si>
  <si>
    <t>WOS:001297738400001</t>
  </si>
  <si>
    <t>Zapata-Vívenes, E; de Astudillo, LR; Sánchez, G; Barreto, M</t>
  </si>
  <si>
    <t>Zapata-Vivenes, E.; Rojas de Astudillo, L.; Sanchez, G.; Barreto, M.</t>
  </si>
  <si>
    <t>Heavy metals and related biomarkers in Perna viridis (Bivalvia: Mytilidae) collected on the coast of Sucre State, Venezuela</t>
  </si>
  <si>
    <t>antioxidant defenses; hemocytes; lysozymes; heavy metals; Perna viridis</t>
  </si>
  <si>
    <t>ANTIOXIDATIVE RESPONSES; TISSUE CONCENTRATIONS; MARINE MUSSELS; SUBLETHAL; HYDROCARBONS; MECHANISMS; POLLUTION; CHROMIUM; EXPOSURE; MOLLUSCA</t>
  </si>
  <si>
    <t>The green mussel Perna viridis has been used as a sentinel organism in marine and coastal ecosystem health assessments. In this study the degree of contamination at three sites on the coast of Sucre State (Venezuela) was analyzed using molecular, cellular, and immunological biomarkers in P viridis. Specimens were collected from Chacopata-Guayacan (CG, Araya Peninsula), Rio Caribe (RC, Paria Peninsula), and San Antonio del Golfo (SAG, southern Gulf of Cariaco). We determined the concentration of heavy metals in the soft tissue of each individual, as well as the total number, viability, phagocytosis, and stability of the lysosomal membranes in hemocytes. The oxidative damage to lipids (TBARS), sulfhydryl group levels, total proteins, and lysozyme activity were quantified in the digestive gland. The results revealed high concentrations of Zn, Cr, and Cd in the organisms from CG. The total hemolymph cell count was lower in organisms from RC and CG A slight increase in the number of phagocytes was observed in the organisms from RC and CG relative to those from SAG. The highest percentage of hemocytes with destabilized lysosomal membranes was recorded for the organisms from CG, followed by RC, indicating a weak association with the content of peroxidized lipids (TBARS); these values could be associated with the body loads of heavy metals.. According to the results, the mussels from CG show slight signs of contamination by heavy metals, likely originated by human activities. The use of biological markers to estimate the effect of heavy metals on sentinel organisms is recommended.</t>
  </si>
  <si>
    <t>[Zapata-Vivenes, E.] Univ Oriente, Nucleo Sucre, Escuela Ciencias, Dept Biol, Cerro Colorado, Cumana, Venezuela; [Rojas de Astudillo, L.] Univ Oriente, Nucleo Sucre, Escuela Ciencias, Dept Quim, Cerro Colorado, Cumana, Venezuela</t>
  </si>
  <si>
    <t>Zapata-Vívenes, E (corresponding author), Univ Oriente, Nucleo Sucre, Escuela Ciencias, Dept Biol, Cerro Colorado, Cumana, Venezuela.</t>
  </si>
  <si>
    <t>edzapata2002@yahoo.com</t>
  </si>
  <si>
    <t>Vívenes, Edgar/AAC-9854-2020; Rojas de Astudillo, Luisa/B-5620-2019</t>
  </si>
  <si>
    <t>Sanchez, Gabriela/0000-0002-0124-8011; Rojas de Astudillo, Luisa/0000-0001-6667-1673; Zapata Vivenes, Edgar/0000-0003-3720-5416</t>
  </si>
  <si>
    <t>10.7773/cm.v38i3.2046</t>
  </si>
  <si>
    <t>013MM</t>
  </si>
  <si>
    <t>WOS:000309309500004</t>
  </si>
  <si>
    <t>Ivanina, AV; Sokolova, IM</t>
  </si>
  <si>
    <t>Ivanina, Anna V.; Sokolova, Inna M.</t>
  </si>
  <si>
    <t>Effects of cadmium exposure on expression and activity of P-glycoprotein in eastern oysters, Crassostrea virginica Gmelin</t>
  </si>
  <si>
    <t>cadmium; P-glycoprotein; mitochondria; cell membrane; activity; energy demand; respiration; protein and mRNA expression</t>
  </si>
  <si>
    <t>MULTIXENOBIOTIC RESISTANCE MECHANISM; RENAL EPITHELIAL-CELLS; MULTIDRUG-RESISTANCE; TRANSEPITHELIAL TRANSPORT; SUBCELLULAR-LOCALIZATION; ACCLIMATION TEMPERATURE; DEFENSE-MECHANISM; GOLGI-APPARATUS; STRESS-PROTEINS; MESSENGER-RNA</t>
  </si>
  <si>
    <t>Heavy metal pollution is a worldwide problem, and cadmium (Cd) is one of the most noxious pollutants in aquatic environments. We studied P-glycoprotein (P-gp) expression and function in control and Cd exposed (50 mu g L-1 Cd, 30-40 days) oysters Crassostrea virginica as a possible mechanism of cell protection against Cd. Our data show that P-gp is expressed on cell membrane and in mitochondria of oyster gills and hepatopancreas. Inhibitor studies with verapamil, cyclosporine A and JS-2190 suggest that in the gills, mitochondrial P-gp pumps substrates from cytosol into the mitochondria, while cell membrane P-gp pumps substrates from cytosol out of the cell. Cd exposure resulted in a 2-2.5-fold increase in P-gp protein expression in cell membranes and a 3.5-7-fold increase in transport activity measured as the inhibitor-sensitive rhodamine B extrusion rate. In contrast, p-gp mRNA levels were similar in control and Cd-exposed oysters. No difference in P-gp protein expression was observed between mitochondria of control and Cd-exposed oysters but the apparent transport activity was higher in mitochondria from Cd-exposed oysters. Overall, a stronger increase in substrate transport activity in Cd-exposed oysters compared to a relatively weaker change in P-gp protein levels suggests that P-gp activity is post-translationally regulated. Our data show that direct determination of P-gp transport activity may be the best measure of the xenobiotic-resistant phenotype, whereas p-gp mRNA levels are not a good marker due to the likely involvement of multiple post-transcriptional regulatory steps. Cd exposure resulted in a significantly elevated rate of oxygen consumption of isolated oyster gills by 46%. Specific inhibitors of ATPase function of P-gp (cyclosporine A and JS-2190) had no significant effect on tissue oxygen consumption indicating that P-gp contribution to energy budget is negligible and supporting indirect estimates based on the ATP stoichiometry of substrate transport that also suggest low energy demand for P-gp function. (C) 2008 Elsevier B.V. All rights reserved.</t>
  </si>
  <si>
    <t>[Ivanina, Anna V.; Sokolova, Inna M.] Univ N Carolina, Dept Biol, Charlotte, NC 28223 USA</t>
  </si>
  <si>
    <t>Sokolova, IM (corresponding author), Univ N Carolina, Dept Biol, 381C Woodward Hall,9201 Univ City Blvd, Charlotte, NC 28223 USA.</t>
  </si>
  <si>
    <t>JUN 2</t>
  </si>
  <si>
    <t>10.1016/j.aquatox.2008.02.014</t>
  </si>
  <si>
    <t>317FP</t>
  </si>
  <si>
    <t>WOS:000257005700003</t>
  </si>
  <si>
    <t>Kesavan, K; Rajagopal, S; Ravi, V; Shanmugam, A</t>
  </si>
  <si>
    <t>Kesavan, Kaila; Rajagopal, Santhanam; Ravi, Velayudham; Shanmugam, Annaian</t>
  </si>
  <si>
    <t>HEAVY METALS IN THREE MOLLUSCS AND SEDIMENTS FROM VELLAR ESTUARY, SOUTHEAST COAST OF INDIA</t>
  </si>
  <si>
    <t>Heavy metals; Mollusc; Gastropod; Bivalves; Vellar</t>
  </si>
  <si>
    <t>TRACE-METALS; SHELL MORPHOLOGY; ASSOCIATIONS; ACCUMULATION; GASTROPOD; MUSSEL; HARBOR</t>
  </si>
  <si>
    <t>The intensity of heavy metals (Mg, Fe, Mn, Zn, Cd, Co, Cu, Pb) were estimated in sediment, shell and tissue of the molluscs Cerithidea cingulata, Crassostrea madrasensis and Meretrix meretrix from two stations of Vellar Estuary, Southeast coast of India. The concentrations of the heavy metals analyzed exhibited variations in sediments, tissue and shell of the study animal from the 2 stations. Zn and Cu concentration were below the alarming level, whereas Mg (274.0 +/- 12) content was higher in shell and tissue. The Fe (416.6 +/- 1.7) content was higher in sediment in Station 1, but it was the second highest metal to be recorded in sediment, shell and tissue. To understand the background concentration the level of these metals were studied in the sediment. Cd and Co were minimum accumulated in all the metals estimated in sediment and animal whereas Mg was maximum in sediment. Similarly all the metals analysed were within the safety level. The combined correlation of both the stations between the sediment verses, sediment, tissue verses, tissue, shell verses. Shells were positively correlated and significant at P&lt;0.001 and P &lt;0.05 level. The result revealed that continuous input of pollutant due to human activities, industries might have a significant contribution of these metals in all the stations.</t>
  </si>
  <si>
    <t>[Kesavan, Kaila; Rajagopal, Santhanam; Ravi, Velayudham; Shanmugam, Annaian] Annamalai Univ, Ctr Adv Study Marine Biol, Parangipettai 608502, India</t>
  </si>
  <si>
    <t>Annamalai University</t>
  </si>
  <si>
    <t>Kesavan, K (corresponding author), Annamalai Univ, Ctr Adv Study Marine Biol, Parangipettai 608502, India.</t>
  </si>
  <si>
    <t>Annaian, Shanmugam/B-6264-2016</t>
  </si>
  <si>
    <t>Ministry of Environment &amp; Forests, New Delhi</t>
  </si>
  <si>
    <t>Authors are thankful to the Director, CAS in Marine Biology and authorities of Annamalai University for providing with necessary facilities. The author (KK) is also thankful to the Ministry of Environment &amp; Forests, New Delhi for the financial assistance.</t>
  </si>
  <si>
    <t>672WX</t>
  </si>
  <si>
    <t>WOS:000283618800005</t>
  </si>
  <si>
    <t>Meng, XL; Liu, M; Jiang, KY; Wang, BJ; Tian, X; Sun, SJ; Luo, ZY; Qiu, CW; Wang, L</t>
  </si>
  <si>
    <t>Meng, Xiao-lin; Liu, Mei; Jiang, Ke-yong; Wang, Bao-jie; Tian, Xue; Sun, Shu-juan; Luo, Zuo-yong; Qiu, Chu-wen; Wang, Lei</t>
  </si>
  <si>
    <t>De Novo Characterization of Japanese Scallop Mizuhopecten yessoensis Transcriptome and Analysis of Its Gene Expression following Cadmium Exposure</t>
  </si>
  <si>
    <t>PLOS ONE</t>
  </si>
  <si>
    <t>PATINOPECTEN-YESSOENSIS; LIPID-PEROXIDATION; RNA-SEQ; ENVIRONMENTAL-POLLUTION; HEAVY-METAL; CYTOCHROME-P450; CONTAMINATION; TRANSPORTERS; POLYMORPHISM; POPULATION</t>
  </si>
  <si>
    <t>Background: Japanese scallop has been cultured on a large-scale in China for many years. However, serious marine pollution in recent years has resulted in considerable loss to this industry. Moreover, due to the lack of genomic resources, limited research has been carried out on this species. To facilitate the understanding at molecular level immune and stress response mechanism, an extensive transcriptomic profiling and digital gene expression (DGE) database of Japanese scallop upon cadmium exposure was carried out using the Illumina sequencing platform. Results: RNA-seq produced about 112 million sequencing reads from the tissues of adult Japanese scallops. These reads were assembled into 194,839 non-redundant sequences with open reading frame (ORF), of which 14,240 putative amino acid sequences were assigned biological function annotation and were annotated with gene ontology and eukaryotic orthologous group terms. In addition, we identified 720 genes involved in response to stimulus and 302 genes involved in immune-response pathways. Furthermore, we investigated the transcriptomic changes in the gill and digestive gland of Japanese scallops following cadmium exposure using a tag-based DGE system. A total of 7,556 and 3,002 differentially expressed genes were detected, respectively, and functionally annotated with KEGG pathway annotations. Conclusion: This study provides a comprehensive transcripts sequence resource for the Japanese scallop and presents a survey of gene expression in response to heavy metal exposure in a non-model marine invertebrate via the Illumina sequencing platform. These results may contribute to the in-depth elucidation of the molecular mechanisms involved in bivalve responses to marine pollutants.</t>
  </si>
  <si>
    <t>[Meng, Xiao-lin; Liu, Mei; Jiang, Ke-yong; Wang, Bao-jie; Sun, Shu-juan; Luo, Zuo-yong; Qiu, Chu-wen; Wang, Lei] Chinese Acad Sci, Inst Oceanol, R&amp;D Ctr Marine, Qingdao, Peoples R China; [Meng, Xiao-lin; Luo, Zuo-yong; Qiu, Chu-wen] Univ Chinese Acad Sci, Beijing, Peoples R China; [Meng, Xiao-lin; Tian, Xue] Shanxi Agr Univ, Coll Anim Sci &amp; Vet Med, Taigu, Peoples R China</t>
  </si>
  <si>
    <t>Chinese Academy of Sciences; Institute of Oceanology, CAS; Chinese Academy of Sciences; University of Chinese Academy of Sciences, CAS; Shanxi Agricultural University</t>
  </si>
  <si>
    <t>Wang, L (corresponding author), Chinese Acad Sci, Inst Oceanol, R&amp;D Ctr Marine, Qingdao, Peoples R China.</t>
  </si>
  <si>
    <t>wanglei@ms.qdio.ac.cn</t>
  </si>
  <si>
    <t>Wang, Lei/A-7836-2018; Jiang, Keyong/A-6512-2015; wang, jie/GRS-0942-2022</t>
  </si>
  <si>
    <t>Chinese Academy of Sciences [KZCX2-EW-Q215]</t>
  </si>
  <si>
    <t>Chinese Academy of Sciences(Chinese Academy of Sciences)</t>
  </si>
  <si>
    <t>Financial support for this study was provided by the Main Direction Program of Knowledge Innovation of Chinese Academy of Sciences (KZCX2-EW-Q215). The funders had no role in study design, data collection and analysis, decision to publish, or preparation of the manuscript.</t>
  </si>
  <si>
    <t>PUBLIC LIBRARY SCIENCE</t>
  </si>
  <si>
    <t>SAN FRANCISCO</t>
  </si>
  <si>
    <t>1160 BATTERY STREET, STE 100, SAN FRANCISCO, CA 94111 USA</t>
  </si>
  <si>
    <t>1932-6203</t>
  </si>
  <si>
    <t>PLoS One</t>
  </si>
  <si>
    <t>MAY 31</t>
  </si>
  <si>
    <t>e64485</t>
  </si>
  <si>
    <t>10.1371/journal.pone.0064485</t>
  </si>
  <si>
    <t>156DC</t>
  </si>
  <si>
    <t>gold, Green Submitted, Green Published</t>
  </si>
  <si>
    <t>WOS:000319799900044</t>
  </si>
  <si>
    <t>Michel, J; Zengel, S</t>
  </si>
  <si>
    <t>Monitoring of oysters and sediments in Acajutla, El Salvador</t>
  </si>
  <si>
    <t>trace metals; polynuclear aromatic hydrocarbons; chlorinated hydrocarbons; oysters; sediments; El Salvador</t>
  </si>
  <si>
    <t>Oysters (Ostrea irridescens) and fine-grained sediments from Acajutla, El Salvador were analysed for petroleum hydrocarbons, chlorinated organic compounds, pesticides and trace elements. Most oysters contained only background levels of PAHs, with the exception of those collected very close to an industrial discharge canal which were up to 100 times background levels. Only black mud accumulating in the main harbour contained PAHs at levels of environmental concern. Pesticides in oysters and fine-grained sediments were below the detection levels in most samples. PCBs were also low. Trace elements in sediments and oysters varied widely, reflecting differences in loadings and degree of bioavailability. Zinc and copper in oysters were elevated to levels normally considered representative of moderately polluted sites, whereas arsenic, cadmium, chromium, lead and nickel were not elevated at most sites. These results were generally associated with potential sources of contamination identified through a questionnaire on product storage, handling and waste disposal from facilities operating in the area. (C) 1998 Elsevier Science Ltd. All rights reserved.</t>
  </si>
  <si>
    <t>Res Planning Inc, Columbia, SC 29201 USA</t>
  </si>
  <si>
    <t>Res Planning Inc, 1200 Pk St, Columbia, SC 29201 USA.</t>
  </si>
  <si>
    <t>10.1016/S0025-326X(98)80009-X</t>
  </si>
  <si>
    <t>ZU636</t>
  </si>
  <si>
    <t>WOS:000074217900010</t>
  </si>
  <si>
    <t>Vinot, I; Pihan, JC</t>
  </si>
  <si>
    <t>Circulation of copper in the biotic compartments of a freshwater dammed reservoir</t>
  </si>
  <si>
    <t>food chain; copper; ecotoxicity; freshwater; biotransference</t>
  </si>
  <si>
    <t>MUSSEL MYTILUS-EDULIS; TALITRID AMPHIPODS CRUSTACEA; DISSOLVED ORGANIC-CARBON; ACUTE TOXICITY TESTS; SEDIMENT-BOUND CD; HEAVY-METALS; DREISSENA-POLYMORPHA; TRACE-ELEMENTS; METABOLIC REQUIREMENTS; RELATIVE IMPORTANCE</t>
  </si>
  <si>
    <t>This study concerns a chronic copper release in an aquatic ecosystem: Mirgenbach reservoir; which is characterized by high salinity, conductivity and hardness, a eutrophic state and a high temperature. To study the bioavailability of copper in the biotic compartments, the sampling covered the entire food chain (phyto- and zooplankton, macroalgae, aquatic plants, crustaceans, mollusks, and fish). Of the organisms present, the filter feeder Dreissena polymorpha, the detritivorous Bithynia tentaculata and Orconectes limosus were most contaminated by copper. The level of copper found in fish was the lowest. Body copper concentrations recorded in the present study show large variability between species even in some that are closely related. In most cases, however, the metal handling strategy, feeding habits, morphology and ecology can, at least partially, explain the metal content recorded. Pollution factors have been used to assess the state of contamination of the food chain. This study showed finally that the copper in the lake is bioavailable and bioaccumulated by organisms up to high levels and some effects of long-term toxicity of copper on benthic community and planktonic biomass were pointed out. (C) 2004 Elsevier Ltd. All rights reserved.</t>
  </si>
  <si>
    <t>Univ Metz, Lab BFE, Equipe Pe, UFR SciFA, F-57070 Metz, France</t>
  </si>
  <si>
    <t>Vinot, I (corresponding author), Univ Metz, Lab BFE, Equipe Pe, UFR SciFA, Campus Bridoux,Rue Gen Delestraint, F-57070 Metz, France.</t>
  </si>
  <si>
    <t>VINOT@sciences.univ-metz.fr</t>
  </si>
  <si>
    <t>10.1016/j.envpol.2004.03.002</t>
  </si>
  <si>
    <t>856CU</t>
  </si>
  <si>
    <t>WOS:000224022000020</t>
  </si>
  <si>
    <t>Rial, D; Bellas, J; Vidal-Linán, L; Santos-Echeandía, J; Campillo, JA; León, VM; Albentosa, M</t>
  </si>
  <si>
    <t>Rial, Diego; Bellas, Juan; Vidal-Linan, Leticia; Santos-Echeandia, Juan; Campillo, Juan A.; Leon, Victor M.; Albentosa, Marina</t>
  </si>
  <si>
    <t>Microplastics increase the toxicity of mercury, chlorpyrifos and fluoranthene to mussel and sea urchin embryos</t>
  </si>
  <si>
    <t>Microplastics; Mercury; Chlorpyrifos; Fluoranthene; Mixture toxicity; Invertebrate embryos</t>
  </si>
  <si>
    <t>POLYCYCLIC AROMATIC-HYDROCARBONS; PERSISTENT ORGANIC POLLUTANTS; MYTILUS-GALLOPROVINCIALIS; RUDITAPES-DECUSSATUS; LARVAL GROWTH; MARINE; EMBRYOGENESIS; DESORPTION; INGESTION; SEAWATER</t>
  </si>
  <si>
    <t>The objective of this study was to determine whether and to what extent microplastics (MPs) enhance the toxicity of pollutants as well as whether pollutant-loaded MPs act as relevant vectors of chemical pollutants. With this aim, the toxicity for mussel and sea urchin embryos of: 1) three dissolved pollutants (Pol): chlorpyrifos (CPF), fluoranthene (FLT) and mercury (Hg); 2) their mixture with Microplastics (MP + Pol); and 3) pollutant-loaded MPs (MPPol), was assessed. Analyses of CPF, FLT and Hg were also performed to evaluate the transfer among dissolved and particulate phases. In general, the 'MP + Pol' treatments were more toxic as 48-h EC50 (mu g/L) than the 'Pol' treatments for sea urchin or mussel. The 48-h and 120-h EC(50)s (mu g/L) for sea urchin showed little variation for CPF and MP + CPF, and no clear pattern was found for FLT and MP + FLT. The performed chemical analysis in the MPPol tests indicated that desorption was the main route to explain the observed toxicity of Hg and a relevant route for CPF and FLT. This study contributes to improve the knowledge about the interactions between MPs and chemical pollutants, which is fundamental for a more realistic ecological risk assessment in aquatic ecosystems.</t>
  </si>
  <si>
    <t>[Rial, Diego; Bellas, Juan; Vidal-Linan, Leticia; Santos-Echeandia, Juan] Inst Espanol Oceanog IEO CSIC, Ctr Oceanog, Vigo Subida Radio Faro 50-52, Vigo 36390, Galicia, Spain; [Campillo, Juan A.; Leon, Victor M.; Albentosa, Marina] Inst Espanol Oceanog IEO CSIC, Ctr Oceanog Murcia, Calle Varadero 1, Murcia 30740, Spain; [Rial, Diego] Inst Espan ol Oceanog IEO CSIC, Ctr Oceanog, Vigo Subida Radio Faro 50, Vigo 36390, Spain</t>
  </si>
  <si>
    <t>Spanish Institute of Oceanography</t>
  </si>
  <si>
    <t>Rial, D (corresponding author), Inst Espan ol Oceanog IEO CSIC, Ctr Oceanog, Vigo Subida Radio Faro 50, Vigo 36390, Spain.</t>
  </si>
  <si>
    <t>diego.rial@ieo.csic.es</t>
  </si>
  <si>
    <t>Bellas, Juan/N-1594-2015; Santos Echeandia, Juan/HMD-1503-2023; Leon, Victor M./L-2351-2017; Rial, Diego/D-3308-2014</t>
  </si>
  <si>
    <t>Leon, Victor M./0000-0003-4968-4442; SANTOS-ECHEANDIA, JUAN/0000-0001-9101-7307; Rial, Diego/0000-0002-3218-2756</t>
  </si>
  <si>
    <t>JPI-Oceans EPHEMARE Project through Spanish Government (Spanish Ministry of Economy, Industry and Competitiveness, MINECO) [PCIN-2015-187-C03-01]; MINECO [FJCI-2014-20563, PTA2014-09510-I]</t>
  </si>
  <si>
    <t>JPI-Oceans EPHEMARE Project through Spanish Government (Spanish Ministry of Economy, Industry and Competitiveness, MINECO); MINECO(Spanish Government)</t>
  </si>
  <si>
    <t>This work was funded by the JPI-Oceans EPHEMARE Project, through the PCIN-2015-187-C03-01 project of Spanish Government (Spanish Ministry of Economy, Industry and Competitiveness, MINECO). D. Rial was supported by a Juan de la Cierva postdoctoral contract (FJCI-2014-20563) and L. Vidal-Linan by a Personal Tecnico de Apoyo contract (PTA2014-09510-I), from the MINECO.</t>
  </si>
  <si>
    <t>10.1016/j.envpol.2023.122410</t>
  </si>
  <si>
    <t>U0VL1</t>
  </si>
  <si>
    <t>WOS:001082069200001</t>
  </si>
  <si>
    <t>Lopes-Lima, M; Moura, G; Pratoomchat, B; Machado, J</t>
  </si>
  <si>
    <t>Lopes-Lima, Manuel; Moura, Gabriela; Pratoomchat, Boonyarath; Machado, Jorge</t>
  </si>
  <si>
    <t>Correlation between the morpho-cytohistochemistry of the outer mantle epithelium of Anodonta cygnea with seasonal variations and following pollutant exposure</t>
  </si>
  <si>
    <t>MARINE AND FRESHWATER BEHAVIOUR AND PHYSIOLOGY</t>
  </si>
  <si>
    <t>Anodonta cygnea; outer mantle epithelium; morphology; seasonal variation; pollutants</t>
  </si>
  <si>
    <t>TRACE-METALS; SHELL; WATER; CALCIUM; CALCIFICATION; MARINE; CD-109; FLUIDS; CELLS; CLAM</t>
  </si>
  <si>
    <t>Seasonal and experimental conditions induce morphological and cytochemical variations in the outer mantle epithelium (OME) of the freshwater bivalve Anodonta cygnea, probably influencing the shell calcification mechanism. In this study, OME samples were taken from untreated animals in autumn, winter, spring and summer as well as from animals exposed to divalent metals (cadmium, chromium, lead, copper and zinc) and pesticides (setoxidim and dimethoate) and observed by light microscopy. The present results showed that OME cells have larger cell volumes and increased amounts of secreted macromolecules during spring and summer than in autumn and winter. This correlates with higher shell calcification rates in spring and summer and lower shell calcification rates in autumn and winter. The experiments showed that incubation with pollutants for 8 months dramatically reduced the cellular volume so that the density of cytoplasmic material appeared higher that in the control samples. The pronounced changes in OME cells suggest a significant decrease in secretory activity following exposure to toxic agents and this has implications for the shell calcification process.</t>
  </si>
  <si>
    <t>Univ Porto, Inst Ciencias Biomed Abel Salazar, Lab Fisiol Aplicada, P-4099003 Oporto, Portugal; Univ Porto, Ctr Interdisciplinar Invest Maritima &amp; Ambiental, P-4099003 Oporto, Portugal; Burapha Univ, Dept Aquat Sci, Fac Sci, Chon Buri, Thailand</t>
  </si>
  <si>
    <t>Universidade do Porto; Universidade do Porto; Burapha University</t>
  </si>
  <si>
    <t>Machado, J (corresponding author), Univ Porto, Inst Ciencias Biomed Abel Salazar, Lab Fisiol Aplicada, Lg Prof Abel Salazar,2, P-4099003 Oporto, Portugal.</t>
  </si>
  <si>
    <t>; Moura, Gabriela/E-6717-2010; Lopes-Lima, Manuel/N-1222-2014</t>
  </si>
  <si>
    <t>Machado, Jorge/0000-0003-4570-5445; Moura, Gabriela/0000-0003-2243-6123; Lopes-Lima, Manuel/0000-0002-2761-7962</t>
  </si>
  <si>
    <t>1023-6244</t>
  </si>
  <si>
    <t>1029-0362</t>
  </si>
  <si>
    <t>MAR FRESHW BEHAV PHY</t>
  </si>
  <si>
    <t>Mar. Freshw. Behav. Physiol.</t>
  </si>
  <si>
    <t>10.1080/10236240600842691</t>
  </si>
  <si>
    <t>074WA</t>
  </si>
  <si>
    <t>WOS:000239841300005</t>
  </si>
  <si>
    <t>Liu, QM; Li, YY; Chen, HF; Lu, J; Yu, GS; Möslang, M; Zhou, YB</t>
  </si>
  <si>
    <t>Liu, Qiming; Li, Yaoyue; Chen, Huafeng; Lu, Jian; Yu, Guangsuo; Moslang, Maxim; Zhou, Yanbo</t>
  </si>
  <si>
    <t>Superior adsorption capacity of functionalised straw adsorbent for dyes and heavy-metal ions</t>
  </si>
  <si>
    <t>Straw; Dyeing wastewater; Dye; Heavy metals; Adsorption</t>
  </si>
  <si>
    <t>MUSSEL INSPIRED CHEMISTRY; CITRIC-ACID; AQUEOUS-SOLUTIONS; METHYLENE-BLUE; SIMULTANEOUS REMOVAL; FACILE PREPARATION; BETA-CYCLODEXTRIN; ANIONIC DYES; COMPETITIVE ADSORPTION; CARBON NANOTUBES</t>
  </si>
  <si>
    <t>Dyes and heavy-metal ions are common pollutants in printing and dyeing wastewater, and are thus attracting considerable attention. Herein, an eco-friendly straw-based adsorbent, WS-CA-AM, was prepared by grafting with acrylamide (AM) and citric acid (CA) groups to remove representative dyes and heavy metals from aqueous solution. The adsorption capacities of WS-CA-AM for methyl orange (MO) and methylene blue (MB) were 3053.48 and 120.84 mg/g, which were 54 and 3 times those of unmodified straw, respectively. Moreover, the adsorption capacities for MB, MO, Cr2O72- and Cu2+ in the mixed system increased by 210%, 133%, 196% and 151%, respectively, compared with those in the single system. The significant increase in adsorption capacity can be attributed to the collaborative effect through electrostatic attraction. The functional groups and adsorbed pollutants all served as adsorption sites for pollutants. These results indicate that WS-CA-AM is a potential applicant for the removal of dyes and heavy-metal ions from mixed aqueous solution.</t>
  </si>
  <si>
    <t>[Liu, Qiming; Li, Yaoyue; Chen, Huafeng; Lu, Jian; Zhou, Yanbo] East China Univ Sci &amp; Technol, State Environm Protect Key Lab Environm Risk Asse, 130 Meilong Rd, Shanghai 200237, Peoples R China; [Yu, Guangsuo] East China Univ Sci &amp; Technol, Inst Clean Coal Technol, 130 Meilong Rd, Shanghai 200237, Peoples R China; [Moslang, Maxim] HSR Univ Appl Sci Rapperswil, Inst Umwelt &amp; Verfahrenstech UMTEC, Oberseestr 10, CH-8640 Rapperswil, Switzerland; [Zhou, Yanbo] Shanghai Inst Pollut Control &amp; Ecol Secur, 1515 Zhongshan Second North Rd, Shanghai 200092, Peoples R China</t>
  </si>
  <si>
    <t>East China University of Science &amp; Technology; East China University of Science &amp; Technology</t>
  </si>
  <si>
    <t>Zhou, YB (corresponding author), East China Univ Sci &amp; Technol, State Environm Protect Key Lab Environm Risk Asse, 130 Meilong Rd, Shanghai 200237, Peoples R China.</t>
  </si>
  <si>
    <t>zhouyanbo@ecust.edu.cn</t>
  </si>
  <si>
    <t>zhou, yanbo/M-1733-2015</t>
  </si>
  <si>
    <t>Lu, Jian/0000-0003-3629-1500; zhou, yanbo/0000-0003-1756-7073</t>
  </si>
  <si>
    <t>National Natural Science Foundation of China [51778230]; National key research and development program [2017YFB06026]; Shanghai Rising-Star Program [17QA1401000]; Fundamental Research Funds for the Central Universities</t>
  </si>
  <si>
    <t>National Natural Science Foundation of China(National Natural Science Foundation of China (NSFC)); National key research and development program(National Key Research &amp; Development Program of China); Shanghai Rising-Star Program; Fundamental Research Funds for the Central Universities(Fundamental Research Funds for the Central Universities)</t>
  </si>
  <si>
    <t>The authors would like to express their sincere gratitude to the National Natural Science Foundation of China (51778230), National key research and development program (2017YFB06026), Shanghai Rising-Star Program (17QA1401000), and the Fundamental Research Funds for the Central Universities for their financial support.</t>
  </si>
  <si>
    <t>1873-3336</t>
  </si>
  <si>
    <t>10.1016/j.jhazmat.2019.121040</t>
  </si>
  <si>
    <t>JU0RO</t>
  </si>
  <si>
    <t>WOS:000501387100047</t>
  </si>
  <si>
    <t>Gao, SK; Zhang, R; Zhang, H; Zhang, S</t>
  </si>
  <si>
    <t>Gao, Shike; Zhang, Rui; Zhang, Hu; Zhang, Shuo</t>
  </si>
  <si>
    <t>The seasonal variation in heavy metal accumulation in the food web in the coastal waters of Jiangsu based on carbon and nitrogen isotope technology</t>
  </si>
  <si>
    <t>Stable isotope; Heavy metals; Food web; Seasonal variation</t>
  </si>
  <si>
    <t>TRACE-ELEMENTS; MERCURY CONCENTRATIONS; RATIOS DELTA-C-13; STABLE-ISOTOPES; FISH; BAY; DELTA-N-15; SEDIMENTS; CADMIUM; BIOMAGNIFICATION</t>
  </si>
  <si>
    <t>Research on food web structures in marine ecosystems is an important field in ecology where the interaction of structure and function contributes to understanding biodiversity. The coastal waters of Jiangsu are one of the important fishing bases in China. In recent years, with the development of industry in the coastal waters of Jiangsu, heavy metal (HM) pollution in this region has become more serious. In this study, all samples (including macroalgae, bivalves, cephalopods, gastropods, crustaceans and fish) were collected in the coastal waters of Jiangsu in spring, summer and autumn. Based on the construction of the food web structure using carbon and nitrogen isotope technology, the main methods of material circulation and energy flow were quantified, and the accumulation regularity and seasonal variation characteristics of HMs in the food web were analysed. The results showed that (1) among all the trophic groups, bivalves had the highest enrichment level of HMs, while fish had the lowest. However, fish have a strong ability to enrich Hg, and the main source of Hg enrichment in the human body is edible fish, so more attention should be given to Hg concentrations in fish. (2) In spring, the mean HM concentrations of marine organisms in the coastal waters of Jiangsu were Zn &gt; Cu &gt; As &gt; Cd &gt; Cr &gt; Pb &gt; Ni &gt; Hg, and they were Zn &gt; Cu &gt; As &gt; Pb &gt; Cd &gt; Ni &gt; Cr &gt; Hg in summer and Zn &gt; Cu &gt; As &gt; Pb &gt; Cd &gt; Cr &gt; Ni &gt; Hg in autumn. In total, the concentrations of Zn, Cu and As were the highest, while the mean concentration of Hg in organisms was the lowest. (3) No significant biomagnification of HMs was found in the three seasons. We speculated that overfishing leads to miniaturization and a younger age of organisms, which makes the concentration of highly enriched HMs in organisms with high trophic levels (TLs) lower.</t>
  </si>
  <si>
    <t>[Gao, Shike; Zhang, Rui; Zhang, Shuo] Shanghai Ocean Univ, Coll Marine Sci, Shanghai 201306, Peoples R China; [Zhang, Hu] Jiangsu Res Inst Marine Fisheries, Nantong 226007, Jiangsu, Peoples R China; [Zhang, Shuo] Joint Lab Monitoring &amp; Conservat Aquat Living Res, Shanghai 200000, Peoples R China</t>
  </si>
  <si>
    <t>Shanghai Ocean University</t>
  </si>
  <si>
    <t>Zhang, S (corresponding author), Shanghai Ocean Univ, Coll Marine Sci, Shanghai 201306, Peoples R China.</t>
  </si>
  <si>
    <t>s-zhang@shou.edu.cn</t>
  </si>
  <si>
    <t>Jiangsu Haizhou Bay National Sea Ranching Demonstration Project [D-8005-18-0188]; Local capacity building project of Shanghai Science and Technology Commission [21010502200]</t>
  </si>
  <si>
    <t>Jiangsu Haizhou Bay National Sea Ranching Demonstration Project; Local capacity building project of Shanghai Science and Technology Commission</t>
  </si>
  <si>
    <t>This study was financed by the Jiangsu Haizhou Bay National Sea Ranching Demonstration Project (D-8005-18-0188) and Local capacity building project of Shanghai Science and Technology Commission (21010502200).</t>
  </si>
  <si>
    <t>10.1016/j.envpol.2021.118649</t>
  </si>
  <si>
    <t>ZG2KZ</t>
  </si>
  <si>
    <t>WOS:000760091100003</t>
  </si>
  <si>
    <t>Islam, MN; Nguyen, XP; Jung, HY; Park, JH</t>
  </si>
  <si>
    <t>Islam, Mohammad Nazrul; Xuan Phuc Nguyen; Jung, Ho-Young; Park, Jeong-Hun</t>
  </si>
  <si>
    <t>Chemical Speciation and Quantitative Evaluation of Heavy Metal Pollution Hazards in Two Army Shooting Range Backstop Soils</t>
  </si>
  <si>
    <t>Heavy metals; Shooting range; Backstop soil; Speciation; Ecological risk</t>
  </si>
  <si>
    <t>CONTAMINATED SOIL; SEWAGE-SLUDGE; OYSTER SHELLS; ANTIMONY SB; SEDIMENTS; LEAD; IMMOBILIZATION; WASTE; RIVER; PB</t>
  </si>
  <si>
    <t>The chemical speciation and ecological risk assessment of heavy metals in two shooting range backstop soils in Korea were studied. Both soils were highly contaminated with Cd, Cu, Pb, and Sb. The chemical speciation of heavy metals reflected the present status of contamination, which could help in promoting management practices. We-rye soil had a higher proportion of exchangeable and carbonate bound metals and water-extractable Cd and Sb than the Cho-do soil. Bioavailable Pb represented 42 % of the total Pb content in both soils. A significant amount of Sb was found in the two most bioavailable fractions, amounting to similar to 32 % in the soil samples, in good agreement with the batch leaching test using water. Based on the values of ecological risk indices, both soils showed extremely high potential risk and may represent serious environmental problems.</t>
  </si>
  <si>
    <t>[Islam, Mohammad Nazrul; Xuan Phuc Nguyen; Jung, Ho-Young; Park, Jeong-Hun] Chonnam Natl Univ, Dept Environm &amp; Energy Engn, 77 Yongbong Ro, Gwangju 500757, South Korea</t>
  </si>
  <si>
    <t>Park, JH (corresponding author), Chonnam Natl Univ, Dept Environm &amp; Energy Engn, 77 Yongbong Ro, Gwangju 500757, South Korea.</t>
  </si>
  <si>
    <t>Park, Jeong-Hun/0000-0002-0661-0059; Jung, Ho-Young/0000-0002-3421-1055</t>
  </si>
  <si>
    <t>Korea Environment Industry and Technology Institute through GAIA Project [2014000540011]</t>
  </si>
  <si>
    <t>Korea Environment Industry and Technology Institute through GAIA Project</t>
  </si>
  <si>
    <t>This work was supported financially by a Grant (No. 2014000540011) from the Korea Environment Industry and Technology Institute through the GAIA Project.</t>
  </si>
  <si>
    <t>10.1007/s00128-015-1689-z</t>
  </si>
  <si>
    <t>DB7SQ</t>
  </si>
  <si>
    <t>WOS:000368716700009</t>
  </si>
  <si>
    <t>Shen, H; Nzabanita, D; Grist, S; Miranda, A; Long, SM; Nugegoda, D</t>
  </si>
  <si>
    <t>Shen, Hao; Nzabanita, Damien; Grist, Stephen; Miranda, Ana; Long, Sara M.; Nugegoda, Dayanthi</t>
  </si>
  <si>
    <t>Trends in bioaccumulation and metabolite profiles in Mediterranean mussels with sub lethal exposure to mixtures of trace metals</t>
  </si>
  <si>
    <t>JOURNAL OF ENVIRONMENTAL CHEMICAL ENGINEERING</t>
  </si>
  <si>
    <t>Heavy metals; Metabolites; Trends; Bioaccumulation; Ecotoxicology; Pyruvic acid; Amino acid; Tricarboxylic acid</t>
  </si>
  <si>
    <t>MYTILUS-GALLOPROVINCIALIS; HEAVY-METALS; OXIDATIVE STRESS; RUDITAPES-PHILIPPINARUM; COPPER EXPOSURE; MOUSE-BRAIN; LEAD PB; ZINC; POLLUTION; METABOLOMICS</t>
  </si>
  <si>
    <t>Trace metals are major environmental contaminants, and the accumulation of trace metals could cause changes to the metabolism of marine organisms. In order to understand trends in bioaccumulation and changes in metabolic pathways in marine mussels during short-term and long-term exposure to trace metal mixtures, wild Mediterranean mussels (Mytilus galloprovincialis) were exposed to natural seawater spiked with two sub lethal concentrations of a mixture of copper (Cu), zinc (Zn), and lead (Pb) for 30 days. Mussels were collected every 5 days and trace metal levels in the whole bodies were measured. The gills of mussels collected on day 5 and day 30 were sampled separately. Trace metal levels in whole bodies of these samples were measured and metabolites in the gill tissue extracted, profiled, identified, and compared between groups with different exposure time and trace metal levels. The results showed continuous increase in body burdens of Cu and Pb in mussels throughout the exposure period, while Zn accumulation reached a plateau after day 10 in the whole body and gills. The metabolomics analysis demonstrated that multiple metabolites were down-regulated and multiple metabolic pathways possibly interrupted by exposure to the mixture of trace metals. This study provides extensive knowledge that the effects of Cu, Zn, and Pb exposure on the metabolic pathways have the potential to result in reduced fitness of Mediterranean mussels and demonstrates potential of GC-MS based untargeted metabolomics to be used as a part of trace metal pollution evaluation and ecosystem health monitoring.</t>
  </si>
  <si>
    <t>[Shen, Hao; Nzabanita, Damien; Miranda, Ana; Long, Sara M.; Nugegoda, Dayanthi] RMIT Univ, Sch Sci, Melbourne, Vic, Australia; [Grist, Stephen] RMIT Univ, Sch Appl Sci, Melbourne, Vic, Australia</t>
  </si>
  <si>
    <t>Royal Melbourne Institute of Technology (RMIT); Royal Melbourne Institute of Technology (RMIT)</t>
  </si>
  <si>
    <t>Shen, H (corresponding author), RMIT Univ, Sch Sci, Melbourne, Vic, Australia.</t>
  </si>
  <si>
    <t>s3638754@student.rmit.edu.au; s3362989@student.rmit.edu.au; stephen.grist@rmit.edu.au; ana.miranda@rmit.edu.au; sara.long@rmit.edu.au; dayanthi.nugegoda@rmit.edu.au</t>
  </si>
  <si>
    <t>Nugegoda, Dayanthi/R-9770-2019; Miranda, Ana/AAI-6109-2020; Shen, Hao/JCE-4715-2023</t>
  </si>
  <si>
    <t>NZABANITA, Damien/0000-0001-6035-663X; LONG, SARA/0000-0001-5323-8846; Nugegoda, Dayanthi/0000-0002-6327-4581; Miranda, Ana F/0000-0003-3941-975X; Shen, Hao/0000-0002-9190-5299</t>
  </si>
  <si>
    <t>2213-2929</t>
  </si>
  <si>
    <t>2213-3437</t>
  </si>
  <si>
    <t>J ENVIRON CHEM ENG</t>
  </si>
  <si>
    <t>J. Environ. Chem. Eng.</t>
  </si>
  <si>
    <t>10.1016/j.jece.2021.106825</t>
  </si>
  <si>
    <t>XP6SI</t>
  </si>
  <si>
    <t>WOS:000730992700007</t>
  </si>
  <si>
    <t>Blanc, JM; Molinet, C; Subiabre, R; Díaz, PA</t>
  </si>
  <si>
    <t>Max Blanc, J.; Molinet, Carlos; Subiabre, Ricardo; Diaz, Patricio A.</t>
  </si>
  <si>
    <t>Cadmium determination in Chilean blue mussels Mytilus chilensis: Implications for environmental and agronomic interest</t>
  </si>
  <si>
    <t>Cadmium; Valves; Mussel culture; Mytilus chilensis; Agriculture fertilizer; Southern Chile</t>
  </si>
  <si>
    <t>SHELL; SOIL</t>
  </si>
  <si>
    <t>Cadmium is present in agricultural soil composition and is assimilated by plants. The mussel industry generates large volumes of calcareous valves as a byproduct of processing in factories. This solid waste is ground, stored and disposed of in the form of agricultural supplies near production areas in almost all regions of the world. Cd content was recorded in these calcareous substrate by-products of industrial processes. In this study, mussel shells were investigated in three areas in the sea of Chile; two areas with high aquaculture activity and one in a non-production area. Mass Spectrometry was used for [Cd] readings. There are no significant differences (p = 0.92) in [Cd] between the studied areas. Additionally, the [Cd] observed in valves was also similar relative to different depths. The low [Cd] observed in valves (similar to 0.014 +/- 0.0049 mg Cd kg(-1) dry) suggests the potential use of this industrial byproduct in agricultural applications.</t>
  </si>
  <si>
    <t>[Max Blanc, J.] Univ Austral Chile, Programa Doctorado Ciencias Acuicultura, Los Pinos S-N, Balneario Pelluco, Puerto Montt, Chile; [Molinet, Carlos] Univ Austral Chile, Programa Invest Pesquera, Los Pinos S-N, Balneario Pelluco, Puerto Montt, Chile; [Molinet, Carlos] Univ Austral Chile, Inst Acuicultura, Los Pinos S-N, Balneario Pelluco, Puerto Montt, Chile; [Subiabre, Ricardo] Univ Austral Chile, Ctr Docencia Super Ciencias Basicas, Los Pinos S-N, Balneario Pelluco, Puerto Montt, Chile; [Diaz, Patricio A.] Univ Los Lagos, Ctr I Mar, Casilla 557, Puerto Montt, Chile</t>
  </si>
  <si>
    <t>Universidad Austral de Chile; Universidad Austral de Chile; Universidad Austral de Chile; Universidad Austral de Chile; Universidad de Los Lagos</t>
  </si>
  <si>
    <t>Blanc, JM (corresponding author), Univ Austral Chile, Programa Doctorado Ciencias Acuicultura, Los Pinos S-N, Balneario Pelluco, Puerto Montt, Chile.</t>
  </si>
  <si>
    <t>National Commission for Scientific and Technological Research (CONICYT), Chile [PAI781301009]; CONICYT, Chile [PAI79160065]</t>
  </si>
  <si>
    <t>National Commission for Scientific and Technological Research (CONICYT), Chile(Comision Nacional de Investigacion Cientifica y Tecnologica (CONICYT)); CONICYT, Chile(Comision Nacional de Investigacion Cientifica y Tecnologica (CONICYT))</t>
  </si>
  <si>
    <t>We thank H. Troncoso (INTEMIT) for providing the data on Chilean blue mussels. We are also grateful to the Orizon S.A and Camanchaca S.A. companies, both associated to AMI-Chile AG, for the use of their farms for this study. J. Max Blanc was supported by project PAI781301009, National Commission for Scientific and Technological Research (CONICYT), Chile. Patricio A. Diaz is funded by Project PAI79160065, CONICYT, Chile.</t>
  </si>
  <si>
    <t>10.1016/j.marpolbul.2017.10.048</t>
  </si>
  <si>
    <t>GG2HM</t>
  </si>
  <si>
    <t>WOS:000432510800052</t>
  </si>
  <si>
    <t>Parisi, MG; Pirrera, J; La Corte, C; Dara, M; Parrinello, D; Cammarata, M</t>
  </si>
  <si>
    <t>Parisi, Maria Giovanna; Pirrera, Jessica; La Corte, Claudia; Dara, Mariano; Parrinello, Daniela; Cammarata, Matteo</t>
  </si>
  <si>
    <t>Effects of organic mercury on Mytilus galloprovincialis hemocyte function and morphology</t>
  </si>
  <si>
    <t>JOURNAL OF COMPARATIVE PHYSIOLOGY B-BIOCHEMICAL SYSTEMS AND ENVIRONMENTAL PHYSIOLOGY</t>
  </si>
  <si>
    <t>Bivalve; Bioindicators; Hemocytes; Biomarkers; Phagocytosis; Toxic metals</t>
  </si>
  <si>
    <t>STYELA-PLICATA HEMOCYTES; INNATE IMMUNITY; HEAVY-METALS; BIOMARKERS; POLLUTION; MUSSEL; BIVALVES; BIOACCUMULATION; METHYLMERCURY; ACCUMULATION</t>
  </si>
  <si>
    <t>Filter-feeding organisms accumulate xenobiotics and other substances in their tissues. They can be useful as sentinel organisms in biomonitoring of the marine compartment. Bivalve cellular immunity is ensured by phagocytosis and cytotoxic reactions carried out by hemocytes in a network with humoral responses. These can be affected by chemical contaminants in water that can be immunosuppressors also at a low concentration increasing the sensibility to pathogens. This work is an attempt to individuate cellular markers for pollution detection, investigating the effect of methylmercury (CH3HgCl) at different concentrations on the activity and hemocyte morphology of the Mediterranean mussel,Mytilus galloprovincialis. We assessed the effect of three sub-lethal concentrations of the organometal on the cellular morphology, the efficacy of phagocytosis toward yeast cells, the alteration of the lysosomal membrane and the ability to release cytotoxic molecules. The results provide information on the alteration of hemocyte viability, modification of the morphological and cytoskeletal features and besides the cellular spreading, intrinsic ability of motile cells was used as a complementary investigation method. Exposure to the contaminant affected the percentage of phagocytosis and the phagocytosis index. Moreover, morphological and cytoskeleton alteration, caused by the pollutant, leads to reduced ability to incorporate the target and adhere to the substrate and the low ability of cells to retain neutral red could depend on the effects of methylmercury on membrane permeability. These results reinforce the use of the Mediterranean mussel as model for the evaluation of environmental quality in aquatic ecosystems integrating the novel information about hemocyte functions and morphology sensibility to organic mercury. [GRAPHICS] .</t>
  </si>
  <si>
    <t>[Parisi, Maria Giovanna; Pirrera, Jessica; La Corte, Claudia; Dara, Mariano; Parrinello, Daniela; Cammarata, Matteo] Univ Palermo, Marine Immunobiol Lab, Dept Earth &amp; Marine Sci, Viale Sci,Edificio 16, I-90128 Palermo, Italy</t>
  </si>
  <si>
    <t>University of Palermo</t>
  </si>
  <si>
    <t>Parisi, MG (corresponding author), Univ Palermo, Marine Immunobiol Lab, Dept Earth &amp; Marine Sci, Viale Sci,Edificio 16, I-90128 Palermo, Italy.</t>
  </si>
  <si>
    <t>mariagiovanna.parisi@unipa.it</t>
  </si>
  <si>
    <t>parisi, maria giovanna/ABW-1289-2022; CAMMARATA, Matteo/AAK-7616-2021</t>
  </si>
  <si>
    <t>CAMMARATA, Matteo/0000-0002-5497-1246; PARISI, Maria Giovanna/0000-0001-5462-0596; Dara, Mariano/0000-0002-1122-6131; La Corte, Claudia/0000-0002-5816-2657</t>
  </si>
  <si>
    <t>Universita degli Studi di Palermo within the CRUI-CARE Agreement; University of Palermo, Italy [PJ_RIC_FFABR_2017_ 004312 MC, PJ_RIC_FFABR_2017_161753 MGP]; MC RITMARE Project [SP2-WP4-AZ3-UO3]; MC RITMARE Project (CNR); MC RITMARE Project (CONISMA)</t>
  </si>
  <si>
    <t>Universita degli Studi di Palermo within the CRUI-CARE Agreement; University of Palermo, Italy; MC RITMARE Project; MC RITMARE Project (CNR); MC RITMARE Project (CONISMA)</t>
  </si>
  <si>
    <t>Open access funding provided by Universita degli Studi di Palermo within the CRUI-CARE Agreement. This study was funded by the FFR-Cammarata (PJ_RIC_FFABR_2017_ 004312 MC, Ministero dell'Istruzione, dell'Universita e della Ricerca) and FFR-Parisi (PJ_RIC_FFABR_2017_161753 MGP, Ministero dell'Istruzione, dell'Universita e della Ricerca) for Scientific Research from the University of Palermo, Italy, and the MC RITMARE Project (SP2-WP4-AZ3-UO3; CNR and CONISMA).</t>
  </si>
  <si>
    <t>0174-1578</t>
  </si>
  <si>
    <t>1432-136X</t>
  </si>
  <si>
    <t>J COMP PHYSIOL B</t>
  </si>
  <si>
    <t>J. Comp. Physiol. B-Biochem. Syst. Environ. Physiol.</t>
  </si>
  <si>
    <t>10.1007/s00360-020-01306-0</t>
  </si>
  <si>
    <t>SEP 2020</t>
  </si>
  <si>
    <t>Physiology; Zoology</t>
  </si>
  <si>
    <t>PU7PK</t>
  </si>
  <si>
    <t>WOS:000572956900002</t>
  </si>
  <si>
    <t>Franco-Martinez, L; Romero, D; García-Navarro, JA; Tecles, F; Teles, M; Tvarijonaviciute, A</t>
  </si>
  <si>
    <t>Franco-Martinez, Lorena; Romero, Diego; Garcia-Navarro, Jose A.; Tecles, Fernando; Teles, Mariana; Tvarijonaviciute, Asta</t>
  </si>
  <si>
    <t>Measurement of p-nitrophenyl acetate esterase activity (EA), total antioxidant capacity (TAC), total oxidant status (TOS) and acetylcholinesterase (AChE) in gills and digestive gland of Mytilus galloprovincialis exposed to binary mixtures of Pb, Cd and Cu</t>
  </si>
  <si>
    <t>Acetylcholinesterase; Cadmium; Copper; Lead; Oxidative stress; Wild mussels</t>
  </si>
  <si>
    <t>OXIDATIVE STRESS; CHOLINESTERASE ACTIVITY; BIOCHEMICAL BIOMARKERS; ASSAY CONDITIONS; TRACE-METALS; MUSSEL; POLLUTION; TISSUES; GLUTATHIONE; RESPONSES</t>
  </si>
  <si>
    <t>The aims of the present work were (1) to evaluate oxidative stress biomarkers and AChE in two tissues of wild mussel (Mytilus galloprovincialis) of high biochemical activity and accumulation capacity (gills and digestive gland) and (2) to study the behaviour of these biomarkers in presence of heavy metals. For this, EA, TOS, TAC and AChE were measured in tissues of mussels exposed to binary combination of Pb, Cd and Cu. Mussels (n = 36) were exposed to one of the binary mixtures of Pb (1000 mu g L-1), Cd (100 mu g L-1) and Cu (100 mu g L-1) for 7 days, under controlled conditions. Gills and digestive gland were extracted and frozen at -80 A degrees C until analysis. The automatic methods employed for the measurement of EA, TAC, TOS and AChE in M. galloprovincialis revealed higher levels of these biomarkers in digestive gland than gills. Study results suggest that gills would be the tissue of election for study oxidative stress markers, whereas digestive tissue should be selected for AChE measurements in case of evaluation of combined metal toxicity in mussels.</t>
  </si>
  <si>
    <t>[Franco-Martinez, Lorena; Romero, Diego; Garcia-Navarro, Jose A.] Univ Murcia, Area Toxicol, Sch Vet, Campus Excellence Mare Nostrum, Murcia 30100, Spain; [Tecles, Fernando] Univ Murcia, Interdisciplinary Lab Clin Anal Interlab UMU, Sch Vet, Campus Excellence Mare Nostrum, Murcia 30100, Spain; [Teles, Mariana] Univ Autonoma Barcelona, Dept Biol Cellular Fisiol &amp; Immunol, Campus Excel Lencia UAB CEI, E-08193 Bellaterra, Spain; [Tvarijonaviciute, Asta] Univ Autonoma Barcelona, Dept Med &amp; Cirugia Anim, Campus Excel Lencia UAB CEI, E-08193 Bellaterra, Spain</t>
  </si>
  <si>
    <t>University of Murcia; University of Murcia; Autonomous University of Barcelona; Autonomous University of Barcelona</t>
  </si>
  <si>
    <t>Tvarijonaviciute, A (corresponding author), Univ Autonoma Barcelona, Dept Med &amp; Cirugia Anim, Campus Excel Lencia UAB CEI, E-08193 Bellaterra, Spain.</t>
  </si>
  <si>
    <t>Tecles, Fernando/Z-4602-2019; Tvarijonaviciute, Asta/U-4303-2017; Teles, Mariana/I-5561-2014; Romero, Diego/F-7187-2016</t>
  </si>
  <si>
    <t>Tvarijonaviciute, Asta/0000-0002-5323-5001; Teles, Mariana/0000-0001-5525-4049; Franco Martinez, Lorena/0000-0003-3375-4274; Romero, Diego/0000-0002-9666-0382; Tecles, Fernando/0000-0002-7635-533X</t>
  </si>
  <si>
    <t>10.1007/s11356-016-7677-y</t>
  </si>
  <si>
    <t>EE0XA</t>
  </si>
  <si>
    <t>WOS:000389301700079</t>
  </si>
  <si>
    <t>Winter, S</t>
  </si>
  <si>
    <t>Cadmium uptake kinetics by freshwater mollusc soft body under hard and soft water conditions</t>
  </si>
  <si>
    <t>cadmium uptake capacity; kinetics; bioaccumulation; upper Rhine; Anodonta; Corbicula; Dreissena; Ancylus</t>
  </si>
  <si>
    <t>CLAM CORBICULA-FLUMINEA; ASIATIC CLAM; PHOXINUS-PHOXINUS; ANODONTA-ANATINA; BIOAVAILABILITY; BIOACCUMULATION; ACCUMULATION; POLLUTION; EXPOSURE; TOXICITY</t>
  </si>
  <si>
    <t>The kinetics of cadmium bioaccumulation were studied in four freshwater mollusc species from the Rhine river system. Cadmium uptake was measured under hard and soft water conditions as well as under original Rhine water conditions. Special attention was paid to interspecific variations of cadmium uptake. Under laboratory conditions the estimated bioaccumulation factor amounted to 1300-19000 for the whole soft body, calculated on a dry mass basis. Concentrations were highest in Dreissena polymorpha, followed by those in Corbicula fluviatilis, Ancylus fluviatilis and Anodonta anatina. Copyright (C) 1996 Elsevier Science Ltd</t>
  </si>
  <si>
    <t>Winter, S (corresponding author), UNIV FRANKFURT,DEPT ECOL &amp; EVOLUT,SIESMAYERSTR 70,D-60054 FRANKFURT,GERMANY.</t>
  </si>
  <si>
    <t>10.1016/0045-6535(96)00101-4</t>
  </si>
  <si>
    <t>UN451</t>
  </si>
  <si>
    <t>WOS:A1996UN45100006</t>
  </si>
  <si>
    <t>Edward, FB; Yap, CK; Ismail, A; Tan, SG</t>
  </si>
  <si>
    <t>Edward, Franklin Berandah; Yap, Chee Kong; Ismail, Ahmad; Tan, Soon Guan</t>
  </si>
  <si>
    <t>Interspecific Variation of Heavy Metal Concentrations in the Different Parts of Tropical Intertidal Bivalves</t>
  </si>
  <si>
    <t>Heavy metal; Different parts; Bivalves; Malaysian coast; Bioavailabilities; Contamination</t>
  </si>
  <si>
    <t>MUSSEL PERNA-VIRIDIS; DIFFERENT SOFT-TISSUES; TRACE-METALS; ANADARA-GRANOSA; WEST-COAST; NATURAL-POPULATION; MYA-ARENARIA; SHELL; CLAM; PB</t>
  </si>
  <si>
    <t>The concentrations of Cd, Cu, Fe, Ni, Pb and Zn in the different parts of six bivalves species were determined. From the study conducted, it was found that the byssus of Perna viridis, Scpharca broughtonii and Trisidos kiyonoi; the gill of Polymesoda erosa and Donax faba; and the foot of Gelonia expansa were highly accumulative of Cu. High levels of Cd were found in the gills of Scpharca broughtonii and the byssus of Trisidos kiyonoi; and also the shells of the four remaining bivalve species. As for Zn, the mantles of P. erosa and T. kiyonoi, and the gills of D. faba, G. expansa and S. broughtonii were highly accumulative of Zn. High level of Pb and Ni were found in the shells of all the species which indicated that the shells of the bivalves were highly accumulative of Pb and Ni. Elevated levels of Fe however were found in the different parts of the bivalve since Fe is an essential metal in metabolic activities and an abundant element in nature. The heavy metals in the total tissues and the different soft tissues of the bivalves were compared with the maximum permissible limits set by five different countries. From the comparison, it was found that most of the bivalves contained metal concentrations which were below the maximum permissible limits and should pose no toxicological risk to consumers.</t>
  </si>
  <si>
    <t>[Edward, Franklin Berandah; Yap, Chee Kong; Ismail, Ahmad] Univ Putra Malaysia, Fac Sci, Dept Biol, Serdang 43400, Selangor, Malaysia; [Tan, Soon Guan] Univ Putra Malaysia, Fac Biotechnol &amp; Biomol Sci, Dept Cell &amp; Mol Biol, Serdang 43400, Selangor, Malaysia</t>
  </si>
  <si>
    <t>Universiti Putra Malaysia; Universiti Putra Malaysia</t>
  </si>
  <si>
    <t>Edward, FB (corresponding author), Univ Putra Malaysia, Fac Sci, Dept Biol, Serdang 43400, Selangor, Malaysia.</t>
  </si>
  <si>
    <t>franklin_dwrd@yahoo.com; yapckong@hotmail.com</t>
  </si>
  <si>
    <t>Tan, S/0000-0001-9960-4493; Ismail, Ahmad/0000-0002-7669-5641; Yap, Chee Kong/0000-0003-0317-0999</t>
  </si>
  <si>
    <t>Research University Grant Scheme (RUGS) [91229]; Universiti Putra Malaysia and e-Science Fund [5450338]; Ministry of Science, Technology and Innovation, Malaysia</t>
  </si>
  <si>
    <t>Research University Grant Scheme (RUGS); Universiti Putra Malaysia and e-Science Fund; Ministry of Science, Technology and Innovation, Malaysia(Ministry of Energy, Science, Technology, Environment and Climate Change (MESTECC), Malaysia)</t>
  </si>
  <si>
    <t>The authors wish to acknowledge the financial support provided through the Research University Grant Scheme (RUGS), [Vote no.: 91229], by Universiti Putra Malaysia and e-Science Fund [Vote no.: 5450338], by the Ministry of Science, Technology and Innovation, Malaysia.</t>
  </si>
  <si>
    <t>10.1007/s11270-008-9777-x</t>
  </si>
  <si>
    <t>401HH</t>
  </si>
  <si>
    <t>WOS:000262931300025</t>
  </si>
  <si>
    <t>Catsiki, VA; Florou, H</t>
  </si>
  <si>
    <t>Study on the behavior of the heavy metals Cu, Cr, Ni, Zn, Fe, Mn and 137Cs in an estuarine ecosystem using Mytilus galloprovincialis as a bioindicator species:: the case of Thermaikos gulf, Greece</t>
  </si>
  <si>
    <t>JOURNAL OF ENVIRONMENTAL RADIOACTIVITY</t>
  </si>
  <si>
    <t>heavy metals; radionuclides; caesium; mussels; bioindicators; accumulation; North Aegean Sea</t>
  </si>
  <si>
    <t>MUSSEL-WATCH; TRACE-METALS; EDULIS; COAST; SEA; CONTAMINATION; POLLUTION; CADMIUM</t>
  </si>
  <si>
    <t>Mussels are worldwide recognized as pollution bioindicators and used ill Mussel Watch programs, because they accumulate pollutants in their tissues at elevated levels ill relation to pollutant biological availability in the marine environment. The present study deals with the use of Mytilus galloprovincialis as a local bioindicator of heavy metal and Cs-137 contamination in an estuarine ecosystem (Thermaikos gulf, Greece in Eastern Mediterranean). M. galloprovincialis samples were collected monthly from two aquaculture farms during the period April to October 2000. Analyses for the heavy metals Cu, Cr, Ni, Zn, Fe, Mn and Cs-137 showed that the concentrations measured were low and similar to those from other non-polluted Mediterranean areas. In terms of the two sampling stations, there were no statistically significant differences between them. On the contrary, the seasonal evolution of either heavy metals or Cs-137 levels presented high variation. The levels were found to increase during the cold period of the year, especially for Cu, Zn, Mn and Cr which are essential for life. Stable metals were positively inter-related and moreover, metals more involved in biochemical activities seem to present more correlations than others with less significant role in the metabolism of the organisms. (C) 2005 Elsevier Ltd. All rights reserved.</t>
  </si>
  <si>
    <t>Mavro Lithari, Hellen Ctr Marine Res, Anavyssos Attikis 19013, Greece; Demokritos Natl Ctr Sci Res, GR-15310 Athens, Greece</t>
  </si>
  <si>
    <t>Hellenic Centre for Marine Research; National Centre of Scientific Research Demokritos</t>
  </si>
  <si>
    <t>Catsiki, VA (corresponding author), Mavro Lithari, Hellen Ctr Marine Res, 46-7 Km Athens Sounio, Anavyssos Attikis 19013, Greece.</t>
  </si>
  <si>
    <t>cats@ath.hcmr.gr</t>
  </si>
  <si>
    <t>0265-931X</t>
  </si>
  <si>
    <t>J ENVIRON RADIOACTIV</t>
  </si>
  <si>
    <t>J. Environ. Radioact.</t>
  </si>
  <si>
    <t>10.1016/j.jenvrad.2005.07.005</t>
  </si>
  <si>
    <t>015TB</t>
  </si>
  <si>
    <t>WOS:000235572700003</t>
  </si>
  <si>
    <t>Thongsaw, A; Sananmuang, R; Udnan, Y; Ross, GM; Chaiyasith, WC</t>
  </si>
  <si>
    <t>Thongsaw, Arnon; Sananmuang, Ratana; Udnan, Yuthapong; Ross, Gareth M.; Chaiyasith, Wipharat Chuachuad</t>
  </si>
  <si>
    <t>Dual-cloud point extraction for speciation of mercury in water and fish samples by electrothermal atomic absorption spectrometry</t>
  </si>
  <si>
    <t>SPECTROCHIMICA ACTA PART B-ATOMIC SPECTROSCOPY</t>
  </si>
  <si>
    <t>Dual-cloud point extraction; Electrothermal atomic absorption spectrometry; Mercury; Speciation; Fish</t>
  </si>
  <si>
    <t>SOLID-PHASE MICROEXTRACTION; PERFORMANCE LIQUID-CHROMATOGRAPHY; FLUORESCENCE SPECTROMETRY; CLEANUP TECHNIQUE; PRECONCENTRATION; SEPARATION; ENRICHMENT; POLLUTION; CADMIUM; COMPLEX</t>
  </si>
  <si>
    <t>A dual-cloud point extraction (d-CPE) technique was established for preconcentration and speciation of mercury ions (Hg(II) and CH3Hg) in water and fresh water fish samples by electrothermal atomic absorption spectrometry (ETAAS). In the first step of d-CPE, Hg(II) was complexed with Dithizone (DTZ) and transferred into a nonionic surfactant (Triton X-114) solution. In the second step, the complexes of Hg(II)-DTZ in the surfactant phase were back-extracted with an aqueous solution of thiourea in nitric acid combined with heating and ultrasonication. Then, final amount of Hg(II) was detected by ETAAS. The CH3Hg concentration was calculated by subtracting the concentration of Hg(II) from the total mercury concentration after the conversion of CH3Hg to Hg(II) by acid microwave-assisted digestion. The conditions affecting the extraction of Hg(II) were investigated in detail and fully optimized. The enrichment factor for this method was 17.8, with a linear range of 0.40-15.0 mu g L-1 and a correlation coefficient of 0.9997 along with a detection limit of 0.23 mu g L-1. Relative standard deviations (RSDs, when concentration = 1.0 mu g L-1 and n = 6) was 4.85%. Standard reference materials (SRM-1566b, oyster tissue) was used to find out the accuracy of the proposed method, and the developed method was successfully applied for speciation and determination of mercury within several water and freshwater fish samples.</t>
  </si>
  <si>
    <t>[Thongsaw, Arnon; Sananmuang, Ratana; Udnan, Yuthapong; Ross, Gareth M.; Chaiyasith, Wipharat Chuachuad] Naresuan Univ, Res Ctr Acad Excellence Petr Petrochem &amp; Adv Mat, Fac Sci, Dept Chem, Phitsanulok 65000, Thailand</t>
  </si>
  <si>
    <t>Naresuan University</t>
  </si>
  <si>
    <t>Chaiyasith, WC (corresponding author), Naresuan Univ, Res Ctr Acad Excellence Petr Petrochem &amp; Adv Mat, Fac Sci, Dept Chem, Phitsanulok 65000, Thailand.</t>
  </si>
  <si>
    <t>wipharatc@nu.ac.th</t>
  </si>
  <si>
    <t>Ross, Gareth/ABD-3089-2021; Ross, Gareth/I-3307-2017</t>
  </si>
  <si>
    <t>Ross, Gareth/0000-0002-2340-9568</t>
  </si>
  <si>
    <t>Science Achievement Scholarship of Thailand and Research Center for Academic Excellence in Petroleum, Petrochemical and Advanced Materials, Faculty of science, Naresuan University, Thailand</t>
  </si>
  <si>
    <t>The authors acknowledge the financial support from Science Achievement Scholarship of Thailand and Research Center for Academic Excellence in Petroleum, Petrochemical and Advanced Materials, Faculty of science, Naresuan University, Thailand.</t>
  </si>
  <si>
    <t>0584-8547</t>
  </si>
  <si>
    <t>1873-3565</t>
  </si>
  <si>
    <t>SPECTROCHIM ACTA B</t>
  </si>
  <si>
    <t>Spectroc. Acta Pt. B-Atom. Spectr.</t>
  </si>
  <si>
    <t>10.1016/j.sab.2019.105685</t>
  </si>
  <si>
    <t>Spectroscopy</t>
  </si>
  <si>
    <t>JG6LR</t>
  </si>
  <si>
    <t>WOS:000492183200004</t>
  </si>
  <si>
    <t>Verstijnen, YJM; Lucassen, ECHET; Wagenvoort, AJ; Ketelaars, HAM; van der Velde, G; Smolders, AJP</t>
  </si>
  <si>
    <t>Verstijnen, Yvon J. M.; Lucassen, Esther C. H. E. T.; Wagenvoort, Arco J.; Ketelaars, Henk A. M.; van der Velde, Gerard; Smolders, Alfons J. P.</t>
  </si>
  <si>
    <t>Trophic Transfer of Cd, Cu, Pb, Zn, P and Se in Dutch Storage Water Reservoirs</t>
  </si>
  <si>
    <t>MUSSEL DREISSENA-POLYMORPHA; HEAVY-METAL POLLUTION; STREAM FOOD WEBS; TRACE-METALS; AQUATIC MACROINVERTEBRATES; RISK-ASSESSMENT; LAKE-ERIE; FISH; BIOACCUMULATION; CADMIUM</t>
  </si>
  <si>
    <t>Heavy metals are naturally omnipresent in aquatic systems. Excess amounts of heavy metals can accumulate in organisms of pollution impacted systems and transfer across a food web. Analysing the food web structure and metal contents of the organisms can help unravel the pathways of biomagnification or biodilution and gain insight in trophic linkages. We measured heavy metals and other elements in mussel bank detritus and organisms of the Biesbosch reservoirs (the Netherlands) and linked those to stable isotopic signatures. The heavy metal contents (cadmium, copper, lead, and zinc) were often lowest in benthivorous, omnivorous and piscivorous species (mainly fish); whereas, phosphorus contents were lower in the autotrophs. Mussel bank detritus contained the highest amounts of heavy metals. The heavy metals were negatively correlated with delta 15N values. For selenium no clear trend was observed. Furthermore, there was a negative correlation between fish length and some heavy metals. Based on all 20 analysed elemental contents, similarities between species became apparent, related to niche or habitat. This study confirms that elemental contents of species can differ between feeding guilds and/or species, which can be attributed to metabolic and physiological processes. The organisms in higher trophic levels have adaptations preventing metal accumulation, resulting in lower contents. Within the fish species biodilution occurs, as most metal contents were lowest in bigger fish. Overall, the metals did not seem to biomagnify, but biodilute in the food web. Metal analyses combined with isotopic signatures could thus provide insights in metal transfer and possible trophic linkages within a system.</t>
  </si>
  <si>
    <t>[Verstijnen, Yvon J. M.; Lucassen, Esther C. H. E. T.; Smolders, Alfons J. P.] Radboud Univ Nijmegen, B WARE Res Ctr, Nijmegen, Netherlands; [Verstijnen, Yvon J. M.; Smolders, Alfons J. P.] Radboud Univ Nijmegen, Dept Aquat Ecol &amp; Environm Biol, Radboud Inst Biol &amp; Environm Sci, Nijmegen, Netherlands; [Wagenvoort, Arco J.] AqWa, Goes, Netherlands; [Ketelaars, Henk A. M.] Evides Water Co, Rotterdam, Netherlands; [Ketelaars, Henk A. M.] Rubiconsult, Dordrecht, Netherlands; [van der Velde, Gerard] Radboud Univ Nijmegen, Radboud Inst Biol &amp; Environm Sci, Dept Anim Ecol &amp; Physiol, Nijmegen, Netherlands; [van der Velde, Gerard] Nat Biodivers Ctr, Leiden, Netherlands; [van der Velde, Gerard] Netherlands Ctr Expertise Exot Species NEC E, Nijmegen, Netherlands</t>
  </si>
  <si>
    <t>Radboud University Nijmegen; Radboud University Nijmegen; Radboud University Nijmegen; Naturalis Biodiversity Center</t>
  </si>
  <si>
    <t>Verstijnen, YJM (corresponding author), Radboud Univ Nijmegen, B WARE Res Ctr, Nijmegen, Netherlands.;Verstijnen, YJM (corresponding author), Radboud Univ Nijmegen, Dept Aquat Ecol &amp; Environm Biol, Radboud Inst Biol &amp; Environm Sci, Nijmegen, Netherlands.</t>
  </si>
  <si>
    <t>yvonverstijnen@hotmail.com</t>
  </si>
  <si>
    <t>van der Velde, Gerard/C-7776-2011; Lucassen, Esther/H-8992-2012; Smolders, Alfons/H-2583-2012</t>
  </si>
  <si>
    <t>van der Velde, Gerard/0000-0001-9355-7577</t>
  </si>
  <si>
    <t>Evides Water Company</t>
  </si>
  <si>
    <t>This work was partially supported financially by Evides Water Company, albeit the authors have no relevant financial or non-financial interest to declare.</t>
  </si>
  <si>
    <t>10.1007/s00244-023-01041-x</t>
  </si>
  <si>
    <t>OC6W8</t>
  </si>
  <si>
    <t>WOS:001145761000001</t>
  </si>
  <si>
    <t>Nicholson, S</t>
  </si>
  <si>
    <t>Cardiac and lysosomal responses to periodic copper in the mussel Perna viridis (Bivalvia: Mytilidae)</t>
  </si>
  <si>
    <t>Perna viridis; copper; cardiac activity; lysosome membrane stability</t>
  </si>
  <si>
    <t>MYTILUS-EDULIS; CELLULAR-RESPONSES; MEMBRANE DAMAGE; FILTRATION-RATE; HEART-RATE; IN-VITRO; CELLS; GALLOPROVINCIALIS; POLLUTANTS; POLLUTION</t>
  </si>
  <si>
    <t>Biological monitoring of metals in marine waters often employs tissue residue analyses from bivalves. Chemical residues in tissues do not elucidate biological injury, however, whereas biomarkers, do afford sensitive stress indices. Physiological and cytological responses were evaluated in laboratory experiments from the mussel Perna viridis in order to assess the species' suitability for pollution monitoring in the tropics. Periodic copper exposure increased tissue residues but failed to perturb cardiac activity. Copper destabilized haemocyte lysosomal membranes in a exposure-dependent relationship showing a sensitive, rapid, indication of stress. Cytological biomarkers from P. viridis have potential as indices of pollutant exposure and could facilitate effective biomonitoring of water quality throughout South-east Asia. (C) 1999 Elsevier Science Ltd. All rights reserved.</t>
  </si>
  <si>
    <t>Univ Hong Kong, Dept Ecol &amp; Biodivers, Swire Inst Marine Sci, Hong Kong, Peoples R China</t>
  </si>
  <si>
    <t>University of Hong Kong</t>
  </si>
  <si>
    <t>Univ Hong Kong, Dept Ecol &amp; Biodivers, Swire Inst Marine Sci, Hong Kong, Peoples R China.</t>
  </si>
  <si>
    <t>10.1016/S0025-326X(99)00148-4</t>
  </si>
  <si>
    <t>271HA</t>
  </si>
  <si>
    <t>WOS:000084587100024</t>
  </si>
  <si>
    <t>Anjos, VA; da Silva, FMR; Souza, MM</t>
  </si>
  <si>
    <t>Anjos, Vanessa A.; da Silva-Junior, Flavio M. R.; Souza, Marta M.</t>
  </si>
  <si>
    <t>Cell damage induced by copper: An explant model to study anemone cells</t>
  </si>
  <si>
    <t>Anemone's cell; Copper; Cytotoxicity; MXR; ROS and DNA damage</t>
  </si>
  <si>
    <t>FRESH-WATER BIVALVE; SEA-ANEMONE; OXIDATIVE STRESS; HEAVY-METALS; MULTIXENOBIOTIC RESISTANCE; MYTILUS-GALLOPROVINCIALIS; REACTIVE OXYGEN; P-GLYCOPROTEIN; ACUTE TOXICITY; DNA-DAMAGE</t>
  </si>
  <si>
    <t>Sea anemones are benthic organisms, of low mobility and can be directly affected by water pollution. This work studied the defense mechanisms and DNA damage caused by copper toxicity in cells from the anemone Bunodosoma cangicum. For this, exposure of anemones cells were held, kept in primary culture through explant of podal disk to copper (7.8 and 15.6 mu g/L), and the control group, for 6 and 24 h. Cytotoxicity was seen through the viability and cell number, MXR phenotype through the accumulation of rhodamine-B, ROS generation by H2DCF-DA and DNA damage by comet assay. The results obtained show that there is a drop in viability and number of cells, especially after exposure of 24 h in 15.6 i mu g/L. There is an induction of the MXR activity only at 7.8 mu g/L for 24 h. As for ROS, there is an increase in the generation of reactive species in greatest concentration of copper for 6 h, and in both for 24 h, which leads to oxidative stress, which culminates with a DNA damage. What was evidenced by the increase of the tail size, % DNA presented and moment of tail. Therefore, the copper represents an adversity to the anemones cells, being cytotoxic and genotoxic. (C) 2013 Elsevier Ltd. All rights reserved.</t>
  </si>
  <si>
    <t>[Anjos, Vanessa A.; Souza, Marta M.] Univ Fed Rio Grande FURG, Inst Ciencias Biol, Programa Posgrad Ciencias Fisiol, BR-96203900 Rio Grande, RS, Brazil; [da Silva-Junior, Flavio M. R.; Souza, Marta M.] Univ Fed Rio Grande, Inst Ciencias Biol, Rio Grande, RS, Brazil</t>
  </si>
  <si>
    <t>Universidade Federal do Rio Grande; Universidade Federal do Rio Grande</t>
  </si>
  <si>
    <t>Souza, MM (corresponding author), Univ Fed Rio Grande FURG, Inst Ciencias Biol, BR-96203900 Rio Grande, RS, Brazil.</t>
  </si>
  <si>
    <t>martasouza@furg.br</t>
  </si>
  <si>
    <t>Souza, Marta/E-4974-2013; SILVA Junior, FLAVIO/N-6473-2017</t>
  </si>
  <si>
    <t>SILVA Junior, FLAVIO/0000-0002-7344-4679; Souza, Marta Marques/0000-0001-5996-0055</t>
  </si>
  <si>
    <t>CAPES Brazil</t>
  </si>
  <si>
    <t>CAPES Brazil(Coordenacao de Aperfeicoamento de Pessoal de Nivel Superior (CAPES))</t>
  </si>
  <si>
    <t>Authors would like to thank Julio dos Anjos Jr. for the English review of the manuscript. V.A. Anjos had support from CAPES Brazil.</t>
  </si>
  <si>
    <t>10.1016/j.tiv.2013.11.013</t>
  </si>
  <si>
    <t>AB8PZ</t>
  </si>
  <si>
    <t>WOS:000332053800004</t>
  </si>
  <si>
    <t>Nour, HE; El-Sorogy, AS</t>
  </si>
  <si>
    <t>Nour, Hamdy E.; El-Sorogy, Abdelbaset S.</t>
  </si>
  <si>
    <t>Heavy metals contamination in seawater, sediments and seashells of the Gulf of Suez, Egypt</t>
  </si>
  <si>
    <t>Heavy metals; Sediments; Seashells; Seawater; Gulf of Suez</t>
  </si>
  <si>
    <t>RED-SEA COAST; TRACE-METALS; MEDITERRANEAN SEA; ARABIAN GULF; POLLUTION; BIVALVES; ELEMENTS; MARINE; CORAL; RISK</t>
  </si>
  <si>
    <t>A comprehensive environmental assessment of the Abu Zenima coast, Egypt, was done by evaluating the heavy metal pollutant levels in sediments, marine seashells, and seawater. Environmental parameters as the geoaccumulation index, contamination factor, enrichment factor, soil pollution index and potential ecological risk index proved that the study area was very severely enriched with Cd, severely enriched with Pb, and moderately enriched with Zn. However, these pollutant levels were still lower than some standardized reference values. Furthermore, the bioaccumulation index indicated that gastropod shells had greater ability to concentrate Fe, Cd, Ni and Zn than pelecypod shells, which may be attributable to the shape of the gastropod shell. Regarding the seawater samples, Pb, Cd, Cu, and Fe levels were higher than their average oceanic metal concentrations. Moreover, the average concentrations of heavy metals in the studied area, especially those of Pb, Cd, and Zn, were higher than those the coasts of Rosetta, Kazakhstan, Russia, southeast India, and the North Adriatic Sea. The main sources of these pollutants were anthropogenic sources such as gypsum and manganese factories, kaolin deposits, sewage, industrial wastes, urban runoff and irrigation.</t>
  </si>
  <si>
    <t>[Nour, Hamdy E.; El-Sorogy, Abdelbaset S.] Zagazig Univ, Fac Sci, Geol Dept, Zagazig, Egypt; [El-Sorogy, Abdelbaset S.] King Saud Univ, Coll Sci, Dept Geol &amp; Geophys, Riyadh, Saudi Arabia</t>
  </si>
  <si>
    <t>Egyptian Knowledge Bank (EKB); Zagazig University; King Saud University</t>
  </si>
  <si>
    <t>Nour, HE (corresponding author), Zagazig Univ, Fac Sci, Geol Dept, Zagazig, Egypt.</t>
  </si>
  <si>
    <t>nour_geo@yahoo.com</t>
  </si>
  <si>
    <t>El-Sorogy, Abdelbaset/C-9445-2014; Nour, Hamdy/X-5362-2018</t>
  </si>
  <si>
    <t>Nour, Hamdy/0000-0002-6888-2818</t>
  </si>
  <si>
    <t>Deanship of Scientific Research at King Saud University [RG-1438-060]</t>
  </si>
  <si>
    <t>The authors extend their sincere appreciation to the geology department at Zagazig University and the Deanship of Scientific Research at King Saud University for its funding of this research (No. RG-1438-060).</t>
  </si>
  <si>
    <t>10.1007/s12665-020-08999-0</t>
  </si>
  <si>
    <t>LW6CV</t>
  </si>
  <si>
    <t>WOS:000539233200001</t>
  </si>
  <si>
    <t>Tanhan, P; Lansubsakul, N; Phaochoosak, N; Sirinupong, P; Yeesin, P; Imsilp, K</t>
  </si>
  <si>
    <t>Tanhan, Phanwimol; Lansubsakul, Niyada; Phaochoosak, Napasorn; Sirinupong, Pattanasuda; Yeesin, Pun; Imsilp, Kanjana</t>
  </si>
  <si>
    <t>Human Health Risk Assessment of Heavy Metal Concentration in Seafood Collected from Pattani Bay, Thailand</t>
  </si>
  <si>
    <t>TOXICS</t>
  </si>
  <si>
    <t>emerging pollutants; health risk assessment; heavy metals; Pattani Bay; seafood</t>
  </si>
  <si>
    <t>MYTILUS-GALLOPROVINCIALIS; OREOCHROMIS-MOSSAMBICUS; ISKENDERUN GULF; XIANGSHAN BAY; MARINE FISHES; LAIZHOU BAY; SHRIMP; BIOACCUMULATION; CONSUMPTION; BIVALVES</t>
  </si>
  <si>
    <t>A significant impact of marine pollution is the contamination of seafood which has raised concerns due to its potential human health risks. This current study investigated seasonal bioaccumulation of 9 heavy metals (Cd, Co, Cr, Cu, Fe, Mn, Ni, Pb, and Zn) in 14 commercially important seafood species, including 4 fish, 5 molluscs, and 5 crustacean species. Samples were collected from Pattani Bay, Pattani province, Thailand, during the dry (July 2020) and wet (February 2021) seasons. The edible samples were analyzed for heavy metal concentrations using a flame atomic absorption spectrophotometer. The bioaccumulation trend of heavy metals decreased in the sequence of molluscs &gt; crustaceans &gt; fish. The possible human health risks associated with heavy metal-contaminated seafood consumption were assessed. The parameters investigated for non-carcinogenic and carcinogenic were target hazard quotient (THQ), total hazard index (HI), and target cancer risk (TR). The average ranges of THQs (7.79 x 10(-8)-8.97 x 10(-3)), HIs (4.30 x 10(-5)-1.55 x 10(-2)), and TRs (2.70 x 10(-9)-1.34 x 10(-5)) were observed in the studied seafood species. The results revealed no non-carcinogenic and carcinogenic health risks from consuming these 14 kinds of seafood.</t>
  </si>
  <si>
    <t>[Tanhan, Phanwimol; Phaochoosak, Napasorn; Imsilp, Kanjana] Kasetsart Univ, Fac Vet Med, Dept Pharmacol, Bangkok 10900, Thailand; [Lansubsakul, Niyada] Kasetsart Univ, Fac Vet Med, Dept Anat, Bangkok 10900, Thailand; [Sirinupong, Pattanasuda] Prince Songkla Univ, Fac Sci &amp; Technol, Dept Sci, Pattani Campus, Pattani 94000, Thailand; [Yeesin, Pun] Prince Songkla Univ, Fac Sci &amp; Technol, Dept Agr &amp; Fishery Sci, Pattani Campus, Pattani 94000, Thailand</t>
  </si>
  <si>
    <t>Kasetsart University; Kasetsart University; Prince of Songkla University; Prince of Songkla University</t>
  </si>
  <si>
    <t>Imsilp, K (corresponding author), Kasetsart Univ, Fac Vet Med, Dept Pharmacol, Bangkok 10900, Thailand.</t>
  </si>
  <si>
    <t>fvetkni@ku.ac.th</t>
  </si>
  <si>
    <t>Tanhan, Phanwimol/0000-0003-1013-2894</t>
  </si>
  <si>
    <t>Faculty of Veterinary Medicine, Kasetsart University, Thailand</t>
  </si>
  <si>
    <t>Financial Support from Faculty of Veterinary Medicine, Kasetsart University, Thailand.</t>
  </si>
  <si>
    <t>2305-6304</t>
  </si>
  <si>
    <t>Toxics</t>
  </si>
  <si>
    <t>10.3390/toxics11010018</t>
  </si>
  <si>
    <t>8R1ZL</t>
  </si>
  <si>
    <t>WOS:000927696700001</t>
  </si>
  <si>
    <t>Xu, ZH; Liu, J; Wang, EM; Zhao, CY; Hu, XL; Chu, KH; Wang, L</t>
  </si>
  <si>
    <t>Xu, Zihan; Liu, Jing; Wang, Ermeng; Zhao, Chenyun; Hu, Xuelei; Chu, Ka Hou; Wang, Lan</t>
  </si>
  <si>
    <t>Detoxification and recovery after cadmium exposure in the freshwater crab Sinopotamon henanense</t>
  </si>
  <si>
    <t>Cadmium; Sinopotamon henanense; Detoxification; Recovery; Micromorphology; Biochemical parameters</t>
  </si>
  <si>
    <t>CLAM RUDITAPES-PHILIPPINARUM; OXIDATIVE STRESS; ENERGY RESERVES; RISK-ASSESSMENT; ASSESSING LEAD; HEPATOPANCREAS; TOXICITY; BIOACCUMULATION; ACCUMULATION; POLLUTION</t>
  </si>
  <si>
    <t>Cadmium (Cd) is a common pollutant in the aquatic environment, which puts the health and safety of aquatic organisms and humans at risk. In the present study, the freshwater crab Sinopotamon henanense was exposed to Cd (0, 50, 100, and 500 mu g.L-1) for 14 d (0-14th d), followed by 21 d (14-35th d) of depuration. The changes in Cd bioaccumulation, microstructure, biomacromolecules (polysaccharides, neutral lipids, DNA and total proteins), and biochemical parameters (SOD, CAT, GR, TrxR, MDA and AChE) in the gills and hepatopancreas were tested. The injured microstructure, activated antioxidant system, increased MDA, and inhibited AChE of the gills and hepatopancreas responded with progressive bioaccumulation of Cd. Meanwhile, the polysaccharides and neutral lipids in the hepatopancreas reduced and DNA synthesis enhanced. During depuration, more than 58.80 +/- 8.53% and 13.84 +/- 12.11% of Cd was excreted from the gills and hepatopancreas, respectively. Recovery of microstructure and biomacromolecules as well as alleviated oxidative damage and neurotoxicity were also found in these two organs. Additionally, based on PCA, I-his, GR and MDA were identified as the optimal biomarkers indicating the health status of crabs. In conclusion, S. henanense could resist Cd stress through antioxidant defence and self-detoxification.</t>
  </si>
  <si>
    <t>[Xu, Zihan; Liu, Jing; Wang, Ermeng; Zhao, Chenyun; Wang, Lan] Shanxi Univ, Sch Life Sci, Taiyuan 030006, Shanxi, Peoples R China; [Hu, Xuelei] Guangdong Univ Educ, Sch Biol &amp; Food Engn, Guangzhou 510303, Guangdong, Peoples R China; [Chu, Ka Hou] Chinese Univ Hong Kong, Sch Life Sci, Shatin, Hong Kong, Peoples R China</t>
  </si>
  <si>
    <t>Shanxi University; Guangdong University of Education; Chinese University of Hong Kong</t>
  </si>
  <si>
    <t>Wang, L (corresponding author), Shanxi Univ, Sch Life Sci, Taiyuan 030006, Shanxi, Peoples R China.</t>
  </si>
  <si>
    <t>xzh960118@163.com; 494113059@qq.com; Twodream920@qq.com; 2414742105@qq.com; xuelei.hu1987@gmail.com; kahouchu@cuhk.edu.hk; lanwang@sxu.edu.cn</t>
  </si>
  <si>
    <t>Chu, Ka Hou/B-8010-2011; xu, zihan/KHZ-4930-2024</t>
  </si>
  <si>
    <t>National Natural Science Foundation of China [31672293]; Shanxi Scholarship the Council of China [2016-1]; Shanxi Key Research and Development Program of China [201703D221008-3]</t>
  </si>
  <si>
    <t>National Natural Science Foundation of China(National Natural Science Foundation of China (NSFC)); Shanxi Scholarship the Council of China; Shanxi Key Research and Development Program of China</t>
  </si>
  <si>
    <t>This study was funded by the National Natural Science Foundation of China (Grant No. 31672293), Shanxi Scholarship the Council of China (No. 2016-1), and the Shanxi Key Research and Development Program of China (No. 201703D221008-3).</t>
  </si>
  <si>
    <t>10.1007/s11356-021-14528-8</t>
  </si>
  <si>
    <t>WL1MQ</t>
  </si>
  <si>
    <t>WOS:000659024900002</t>
  </si>
  <si>
    <t>Zhan, JF; Song, CL; Wang, ZY; Wu, HF; Ji, CL</t>
  </si>
  <si>
    <t>Zhan, Junfei; Song, Changlin; Wang, Zhiyu; Wu, Huifeng; Ji, Chenglong</t>
  </si>
  <si>
    <t>Low salinity influences the dose-dependent transcriptomic responses of oysters to cadmium</t>
  </si>
  <si>
    <t>Benchmark dose; Cadmium; Dose-response relationship; Low salinity; Pacific oyster</t>
  </si>
  <si>
    <t>METAL POLLUTION; HORMESIS; TOXICOLOGY</t>
  </si>
  <si>
    <t>Species in estuaries tend to undergo both cadmium (Cd) and low salinity stress. However, how low salinity affects the Cd toxicity has not been fully understood. Investigating the impacts of low salinity on the doseresponse relationships between Cd and biological endpoints has potential to enhance our understanding of the combined effects of low salinity and Cd. In this work, changes in the transcriptomes of Pacific oysters were analyzed following exposure to Cd (5, 20, 80 mu g/L Cd2+) under normal (31.4 psu) and low (15.7 psu) salinity conditions, and then the dose-response relationship between Cd and transcriptome was characterized in a highthroughput manner. The benchmark dose (BMD) of gene expression, as a point of departure (POD), was also calculated based on the fitted dose-response model. We found that low salinity treatment significantly influenced the dose-response relationships between Cd and transcripts in oysters indicated by altered dose-response curves. In details, a total of 219 DEGs were commonly fitted to best models under both normal and low salinity conditions. Nearly three quarters of dose-response curves varied with salinity condition. Some monotonic doseresponse curves in normal salinity condition even were replaced by nonmonotonic curves in low salinity condition. Low salinity treatment decreased the PODs of differentially expressed genes induced by Cd, suggesting</t>
  </si>
  <si>
    <t>[Zhan, Junfei] Ludong Univ, Key Lab Ecol Restorat &amp; Conservat Coastal Wetlands, Inst Adv Study Coastal Ecol, Yantai 264025, Peoples R China; [Song, Changlin; Wang, Zhiyu; Wu, Huifeng; Ji, Chenglong] Chinese Acad Sci, Yantai Inst Coastal Zone Res YIC, CAS Key Lab Coastal Environm Proc &amp; Ecol Remediat, Yantai 264003, Peoples R China; [Song, Changlin; Wang, Zhiyu; Wu, Huifeng; Ji, Chenglong] YICCAS, Shandong Key Lab Coastal Environm Proc, Yantai 264003, Peoples R China; [Song, Changlin] Univ Chinese Acad Sci, Beijing 100049, Peoples R China; [Wang, Zhiyu] Yantai Univ, Sch Ocean, Yantai 264005, Peoples R China</t>
  </si>
  <si>
    <t>Ludong University; Chinese Academy of Sciences; Yantai Institute of Coastal Zone Research, CAS; Chinese Academy of Sciences; University of Chinese Academy of Sciences, CAS; Yantai University</t>
  </si>
  <si>
    <t>Ji, CL (corresponding author), Chinese Acad Sci, Yantai Inst Coastal Zone Res YIC, CAS Key Lab Coastal Environm Proc &amp; Ecol Remediat, Yantai 264003, Peoples R China.;Ji, CL (corresponding author), YICCAS, Shandong Key Lab Coastal Environm Proc, Yantai 264003, Peoples R China.</t>
  </si>
  <si>
    <t>National Natural Science Foundation of China [42306158, 42076164]; Shandong Provincial Natural Science Foundation, China [ZR2022QD148]; Fundamental Research Projects of Science and Technology Innovation and Development Plan in Yantai City [2023JCYJ102]</t>
  </si>
  <si>
    <t>National Natural Science Foundation of China(National Natural Science Foundation of China (NSFC)); Shandong Provincial Natural Science Foundation, China(Natural Science Foundation of Shandong Province); Fundamental Research Projects of Science and Technology Innovation and Development Plan in Yantai City</t>
  </si>
  <si>
    <t>This research was supported by the grants from National Natural Science Foundation of China (42306158, 42076164) , Shandong Provincial Natural Science Foundation, China (ZR2022QD148) , Fundamental Research Projects of Science and Technology Innovation and Development Plan in Yantai City (No. 2023JCYJ102) .</t>
  </si>
  <si>
    <t>JUN 25</t>
  </si>
  <si>
    <t>10.1016/j.scitotenv.2024.172919</t>
  </si>
  <si>
    <t>MAY 2024</t>
  </si>
  <si>
    <t>TE2C7</t>
  </si>
  <si>
    <t>WOS:001239510300001</t>
  </si>
  <si>
    <t>Ahmad, I; Coelho, JP; Mohmood, I; Pacheco, M; Santos, MA; Duarte, AC; Pereira, E</t>
  </si>
  <si>
    <t>Ahmad, Iqbal; Coelho, Joao P.; Mohmood, Iram; Pacheco, Mario; Santos, Maria A.; Duarte, Armando C.; Pereira, Eduarda</t>
  </si>
  <si>
    <t>Immunosuppression in the infaunal bivalve Scrobicularia plana environmentally exposed to mercury and association with its accumulation</t>
  </si>
  <si>
    <t>Mercury; Scrobicularia plana; Immunomodulation; Agglutination; Oxidative burst activity</t>
  </si>
  <si>
    <t>IN-VITRO EXPOSURE; SUPEROXIDE ANION; MYTILUS-EDULIS; NITRIC-OXIDE; HEMOCYTES; PHAGOCYTOSIS; GENERATION; PORTUGAL; METALS; CHALLENGE</t>
  </si>
  <si>
    <t>This study aimed to test the hypothesis whether mercury (Hg) activates or suppresses inappropriately the immunity of the bivalve Scrobicularia piano inhabiting a Hg contaminated area (Laranjo basin, Ria de Aveiro. Portugal). Immunity endpoints. as well as lipid peroxidation (LPO) as a sign of damage, were evaluated in parallel with total Hg burden. Bivalves from both moderately (MO) and highly (HI) contaminated sites displayed higher haemolymph Hg load and reduced plasma agglutination. Increased haemocytes density and decreased phagocytosis were observed at HI, whereas increased oxidative burst activity (OBA) was observed at MO, pointing out that the immunotoxicity is a result of Hg direct contact involving no ROS intervention. OBA observed at MO was concomitantly associated to peroxidative damage as depicted by LPO increase in haemocytes and haemolymph plasma. Thus, S. plana can be suggested as a suitable bioindicator of metal pollution in coastal areas on the basis of Hg bioaccumulation and immunotoxicity responses. (C) 2010 Elsevier Ltd. All rights reserved.</t>
  </si>
  <si>
    <t>[Ahmad, Iqbal; Coelho, Joao P.; Mohmood, Iram; Pacheco, Mario; Santos, Maria A.; Duarte, Armando C.; Pereira, Eduarda] Univ Aveiro, CESAM, P-3810193 Aveiro, Portugal; [Ahmad, Iqbal; Coelho, Joao P.; Mohmood, Iram; Duarte, Armando C.; Pereira, Eduarda] Univ Aveiro, Dept Chem, P-3810193 Aveiro, Portugal; [Ahmad, Iqbal; Pacheco, Mario; Santos, Maria A.] Univ Aveiro, Dept Biol, P-3810193 Aveiro, Portugal</t>
  </si>
  <si>
    <t>Universidade de Aveiro; Universidade de Aveiro; Universidade de Aveiro</t>
  </si>
  <si>
    <t>Ahmad, I (corresponding author), Univ Aveiro, CESAM, P-3810193 Aveiro, Portugal.</t>
  </si>
  <si>
    <t>ahmadr@ua.pt</t>
  </si>
  <si>
    <t>Ahmad, Iqbal/I-1887-2013; Coelho, João/C-1699-2008; Santos, Ana/KHY-6833-2024; Pereira, Eduarda/A-5907-2012; Duarte, Armando/C-1424-2008; Pacheco, Mario/G-5620-2016</t>
  </si>
  <si>
    <t>Duarte, Armando/0000-0002-4868-4099; Pacheco, Mario/0000-0003-0552-9643; Coelho, Joao Pedro/0000-0003-1975-8308; Pereira, Eduarda/0000-0002-6046-5243; Ahmad, Iqbal/0000-0002-8364-8579</t>
  </si>
  <si>
    <t>Portuguese FCT (Foundation for Science and Technology)</t>
  </si>
  <si>
    <t>Portuguese FCT (Foundation for Science and Technology)(Fundacao para a Ciencia e a Tecnologia (FCT))</t>
  </si>
  <si>
    <t>The financial support provided by the Portuguese FCT (Foundation for Science and Technology) to CESAM (Centre for Environmental and Marine Studies) is gratefully acknowledged.</t>
  </si>
  <si>
    <t>10.1016/j.chemosphere.2010.11.064</t>
  </si>
  <si>
    <t>737SG</t>
  </si>
  <si>
    <t>WOS:000288587900004</t>
  </si>
  <si>
    <t>Hosseini, M; Soleimani, M; Moradi, H</t>
  </si>
  <si>
    <t>Hosseini, M.; Soleimani, M.; Moradi, H.</t>
  </si>
  <si>
    <t>The potential application of sea cucumber (Holothuria leucospilota) as a bioindicator of heavy metals contamination: a case study from Chabahar Bay, Oman Sea, Iran</t>
  </si>
  <si>
    <t>Heavy metals; Sea cucumber; Marine pollution; Biomonitoring; Chabahar Bay</t>
  </si>
  <si>
    <t>TEMPORAL DISTRIBUTION; MEDITERRANEAN SEA; COASTAL AREAS; SEDIMENTS; TUBULOSA; CADMIUM; OYSTERS; MARINE; WATER; GULF</t>
  </si>
  <si>
    <t>Biomonitoring is an interesting approach to evaluate the ecological risk of marine environmental pollutants. This study was carried out to investigate the application of sea cucumber (Holothuria leucospilota) in heavy metals bioaccumulation in Chabahar Bay, Oman Sea, Iran. The concentrations and ecological risks of heavy metals including Pb, Cd, Cr and Ni were determined in the sediments, water and various tissues of Holothuria leucospilota in four different locations in Chabahar Bay. The results showed that the bioaccumulation of the heavy metals in all studied sea cucumber's tissues, including respiratory tree, derm and gonad were 45.83, 39.65 and 43.18 mg/kg, respectively. The metal accumulation in the tissues of H. leucospilota was in the following descending order: Pb &gt; Cr &gt; Ni &gt; Cd. However, a high potential ecological risk factor for Cd was observed in the region. The results reveals that due to high metal bioaccumulation, the respiratory tree of sea cucumbers is a suitable indicator of heavy metals, in particular Cd with bioaccumulation factor &gt; 1, and can be used in biomonitoring studies in the region.</t>
  </si>
  <si>
    <t>[Hosseini, M.; Soleimani, M.; Moradi, H.] Isfahan Univ Technol, Dept Nat Resources, Esfahan 8415683111, Iran</t>
  </si>
  <si>
    <t>Isfahan University of Technology</t>
  </si>
  <si>
    <t>Soleimani, M (corresponding author), Isfahan Univ Technol, Dept Nat Resources, Esfahan 8415683111, Iran.</t>
  </si>
  <si>
    <t>m.soleimani@iut.ac.ir</t>
  </si>
  <si>
    <t>Moradi, Hossein/KJM-1689-2024; Soleimani, Mohsen/AAE-6984-2020</t>
  </si>
  <si>
    <t>By Isfahan University of Technology.</t>
  </si>
  <si>
    <t>10.1007/s13762-022-04048-4</t>
  </si>
  <si>
    <t>3W3QN</t>
  </si>
  <si>
    <t>WOS:000765670900004</t>
  </si>
  <si>
    <t>Phillips, NR; Hickey, CW</t>
  </si>
  <si>
    <t>Phillips, N. R.; Hickey, C. W.</t>
  </si>
  <si>
    <t>Genotype-dependent recovery from acute exposure to heavy metal contamination in the freshwater clam Sphaerium novaezelandiae</t>
  </si>
  <si>
    <t>Resilience; Zinc; Genetic; Stormwater; Resistance; Allozyme</t>
  </si>
  <si>
    <t>HEDISTE-DIVERSICOLOR POLYCHAETA; FLOUNDER PLATICHTHYS-FLESUS; GENETIC DIVERSITY; ALLOZYME GENOTYPES; AQUATIC ORGANISMS; TOLERANCE; POPULATIONS; RESISTANCE; STRESS; POLLUTION</t>
  </si>
  <si>
    <t>The ability to recover from environmental perturbations is essential for the sustainability of ecological systems. Variation in the ability of individual organisms to recover from stressors influences overall resilience at higher levels of biological organisation. Such variation is likely to be genetically based. To investigate this hypothesis we examined the genetic basis of both resistance to and recovery from zinc, a common stormwater contaminant, in the New Zealand freshwater clam Sphaerium novaezelandiae. We undertook a 4-day toxicity test using zinc exposure concentrations ranging from 0.31 to 5.00 mg/L These concentrations are consistent with levels recorded in urban streams during the first flush of storms. As our response measures we recorded mortality at the end of the 4-day period, as well as reburial rate (time to rebury in sediment) following the 4-day exposure (exposure) and then again following a 24 h period of recovery (recovery). Genotypic composition was determined using allozyme electrophoresis, focusing on the enzyme Pgm (phosphoglucomutase). Overall, a significant effect on mortality was observed, with an average value of 78.6% (7.9) at 5.00 mg/L zinc, compared with only 3.8% ( 3.8) mortality at 0.31 mg/L zinc. An inhibition concentration (IC50) of 1.16 mg/L was recorded, when considered regardless of genotypes. There was no significant genotype-specific differences in mortality. There was a significant difference in reburial rates across all genotypes at the end of the exposure period with an average reburial time of 83.0 +/- 3.6 min at 5.00 mg/L (22.8 +/- 2.9 min at 0.31 mg/L). There was a near-significant (p = 0.058) difference in time taken to rebury when comparing between genotypes at the exposure stage for any concentration. Significant differences in reburial rates across all genotypes were also observed following 24 h recovery. When individual genotypes were compared at this stage, genotype 33 reburied on average significantly faster (24.0 4.5 min) than other genotypes at the highest exposure concentration and was also significantly faster than genotype 44 at 1.25 mg/L. Studies investigating the genetic basis to recovery from stressors at an individual level are limited. This study has shown that populations of organisms display genetically-based variation in their ability to recover from zinc exposure in the laboratory and that such variation is linked to a physiological trait (reburial). The potential effects on other life history traits (e.g. feeding), possible physiological trade-offs and the implications for such variation on ecosystem resilience requires further investigation. (C) 2010 Elsevier B.V. All rights reserved.</t>
  </si>
  <si>
    <t>[Phillips, N. R.; Hickey, C. W.] Natl Inst Water &amp; Atmospher Res, Hamilton 3216, New Zealand</t>
  </si>
  <si>
    <t>Phillips, NR (corresponding author), Natl Inst Water &amp; Atmospher Res, Gate 10,Silverdale Rd,POB 11-111, Hamilton 3216, New Zealand.</t>
  </si>
  <si>
    <t>nr.phillips@niwa.co.nz</t>
  </si>
  <si>
    <t>Hickey, Christopher/E-9931-2013</t>
  </si>
  <si>
    <t>Phillips, Ngaire/0000-0002-6919-4830; HICKEY, CHRISTOPHER/0000-0002-2305-1009</t>
  </si>
  <si>
    <t>New Zealand Foundation for Science, Technology</t>
  </si>
  <si>
    <t>New Zealand Foundation for Science, Technology(New Zealand Foundation for Research, Science and Technology)</t>
  </si>
  <si>
    <t>We are grateful to Mayur Chauhan and Rebecca Pullon for their technical support. Ian Hogg provided useful discussion on genetic analysis. This research was funded by a New Zealand Foundation for Science, Technology and Research Capability Fund. We appreciate the comments of two anonymous reviewers on a draft of this manuscript.</t>
  </si>
  <si>
    <t>10.1016/j.aquatox.2010.07.004</t>
  </si>
  <si>
    <t>660DX</t>
  </si>
  <si>
    <t>WOS:000282621000009</t>
  </si>
  <si>
    <t>Cevik, U; Koz, B; Makarovska, Y</t>
  </si>
  <si>
    <t>Cevik, U.; Koz, B.; Makarovska, Y.</t>
  </si>
  <si>
    <t>Heavy metal analysis around Iskenderun Bay in Turkey</t>
  </si>
  <si>
    <t>X-RAY SPECTROMETRY</t>
  </si>
  <si>
    <t>TEMPORAL TRENDS; TRACE-METALS; MUSSEL; MOSSES; LEAD; CONTAMINATION; SEDIMENTS; POLLUTION; CADMIUM; COPPER</t>
  </si>
  <si>
    <t>The heavy metal analysis around Iskenderun Bay in Turkey was carried out using mosses, soils, mussels, and sediments. This region is one of the most industrial areas of Turkey, including iron-steel plants, beverage, liquefied petroleum gas (LPG) plants, and oil transfer docks. Energy dispersive X-ray fluorescence spectrometry (Epsilon 5, PANalytical, Almelo, The Netherlands) was used to analyze all samples. V, Cr, Mn, Fe, Ni, Cu, Zn, As, and Pb elements were observed in all samples studied. Although Ce was detected in some mosses and soils, Sn was detected only in some moss samples. Pb concentrations in the moss samples are higher than the soil, the mussel, and the sediment samples. This can be attributed to the mosses that absorb heavy metals such as Pb easily from the air. As the aim of this study was to analyze heavy metals, the evaluation of these elements with their potential hazards for ecology and humans is briefly discussed. Copyright (C) 2010 John Wiley &amp; Sons, Ltd.</t>
  </si>
  <si>
    <t>[Cevik, U.] Karadeniz Tech Univ, Dept Phys, TR-61080 Trabzon, Turkey; [Koz, B.] Giresun Univ, Elementary Teaching Dept, TR-28049 Giresun, Turkey; [Makarovska, Y.] Univ Antwerp, Dept Chem, B-2610 Antwerp, Belgium</t>
  </si>
  <si>
    <t>Karadeniz Technical University; Giresun University; University of Antwerp</t>
  </si>
  <si>
    <t>Cevik, U (corresponding author), Karadeniz Tech Univ, Dept Phys, TR-61080 Trabzon, Turkey.</t>
  </si>
  <si>
    <t>ugurc@ktu.edu.tr</t>
  </si>
  <si>
    <t>Cevik, U./AAW-2997-2020</t>
  </si>
  <si>
    <t>0049-8246</t>
  </si>
  <si>
    <t>1097-4539</t>
  </si>
  <si>
    <t>X-RAY SPECTROM</t>
  </si>
  <si>
    <t>X-Ray Spectrom.</t>
  </si>
  <si>
    <t>10.1002/xrs.1250</t>
  </si>
  <si>
    <t>595TZ</t>
  </si>
  <si>
    <t>WOS:000277637400006</t>
  </si>
  <si>
    <t>Sharov, AN; Berezina, NA; Kuprijanov, I; Sladkova, SV; Kamardin, NN; Shigaeva, TD; Kudryavtseva, VA; Kholodkevich, SV</t>
  </si>
  <si>
    <t>Sharov, A. N.; Berezina, N. A.; Kuprijanov, I; Sladkova, S., V; Kamardin, N. N.; Shigaeva, T. D.; Kudryavtseva, V. A.; Kholodkevich, S., V</t>
  </si>
  <si>
    <t>Cadmium in the Eastern Gulf of Finland: Concentrations and Effects on the Mollusk Limecola balthica</t>
  </si>
  <si>
    <t>GEOCHEMISTRY INTERNATIONAL</t>
  </si>
  <si>
    <t>cadmium; effect concentrations; bioaccumulation; oxygen consumption rate; behavior; bivalve mollusks; Gulf of Finland</t>
  </si>
  <si>
    <t>DONAX-TRUNCULUS BIVALVIA; OXYGEN-CONSUMPTION; HEAVY-METALS; AMMONIA EXCRETION; CONTAMINATION; BIOACCUMULATION; SEDIMENTS; MUSSEL; FILTRATION; EXPOSURE</t>
  </si>
  <si>
    <t>A challenging current task is the monitoring of cadmium (Cd) concentrations in natural environments, assessment of its effects on the biotas, and selection of new bioindicators for environmental monitoring. The aim of this work was to estimate the content of Cd in water, bottom sediments, and aquatic animals (mollusks, polychaetes, and crustaceans) in the eastern part of the Gulf of Finland, Baltic Sea, and to experimentally study the effect of different Cd concentrations in water (from 0.1 to 5 mg/L) on the physiological state of the Baltic mollusks Limecola balthica and the level of accumulation of this metal in the digestive gland of the mollusk. Data acquired in 2019-2020 at 31 stations in the Gulf of Finland showed that the Cd content in the water varied from 0.003 to 0.058 mu g/L, and in bottom sediments contained from 0.1 to 3.4 mg/kg Cd. The content of Cd in the tissues of aquatic animals in the deep-water part of the Gulf of Finland was below the detection threshold, but this content was as high as 1 to 50 mu g/kg of the wet weight of animals in the coastal areas. Experimental evidence suggests that Cd affects the behavior and rate of aerobic metabolism in mollusks. The rate of oxygen consumption by mollusks after ten days of exposure to 0.1 mg/L Cd and 48 h of exposure to 0.5 mg/L Cd significantly decreased compared to the control. At 5 mg/L Cd, the following toxic effects were observed: pathological changes in the state of mollusks, such as decreased respiration intensity, abnormal behavior, and a high mortality rate (&gt;50%). In the course of the experiments, the accumulation of Cd in the digestive gland of the mollusks increased from 12 to 99 mu g/kg with increasing exposure time and Cd concentration of in the water. At most stations, Cd concentrations in bottom sediments did not exceed the threshold value of a good ecological status. Thus, at present, the problem of Cd pollution is not critical to the eastern part of the Gulf of Finland; however, the data obtained indicate that the content of Cd &gt; 0.1 mg/L in water can lead to the suppression of the populations of aquatic animals.</t>
  </si>
  <si>
    <t>[Sharov, A. N.; Sladkova, S., V; Kamardin, N. N.; Shigaeva, T. D.; Kudryavtseva, V. A.; Kholodkevich, S., V] Russian Acad Sci, St Petersburg Res Ctr Ecol Safety, St Petersburg 197110, Russia; [Sharov, A. N.] Russian Acad Sci, Papanin Inst Biol Inland Waters, Borok 152742, Russia; [Berezina, N. A.] Russian Acad Sci, Zool Inst, St Petersburg 199034, Russia; [Kuprijanov, I] Tallinn Univ Technol, EE-19086 Tallinn, Estonia; [Sladkova, S., V; Kholodkevich, S., V] St Petersburg State Univ, St Petersburg 199034, Russia</t>
  </si>
  <si>
    <t>Russian Academy of Sciences; St. Petersburg Federal Research Center of the Russian Academy of Sciences; Papanin Institute for Biology of Inland Waters; Russian Academy of Sciences; Russian Academy of Sciences; Zoological Institute of the Russian Academy of Sciences; Tallinn University of Technology; Saint Petersburg State University</t>
  </si>
  <si>
    <t>Sharov, AN (corresponding author), Russian Acad Sci, St Petersburg Res Ctr Ecol Safety, St Petersburg 197110, Russia.;Sharov, AN (corresponding author), Russian Acad Sci, Papanin Inst Biol Inland Waters, Borok 152742, Russia.</t>
  </si>
  <si>
    <t>sharov_an@mail.ru</t>
  </si>
  <si>
    <t>Shigaeva, Tatiana/Q-5075-2016; Berezina, Nadezhda/R-1968-2016; Kuprijanov, Ivan/AAT-3588-2021; Kudryavtseva, Valentina/AAF-1374-2021; Sharov, Andrey/K-4222-2013</t>
  </si>
  <si>
    <t>Berezina, Nadezhda/0000-0003-3057-5596; Kuprijanov, Ivan/0000-0003-0334-2316; Sharov, Andrey/0000-0001-7581-2538</t>
  </si>
  <si>
    <t>Ministry of Science and Education of the Russian Federation [ER90 HAZLESS]; [1021051403065-4]; [FFZF-2022-0011]</t>
  </si>
  <si>
    <t>Ministry of Science and Education of the Russian Federation(Ministry of Education and Science, Russian Federation); ;</t>
  </si>
  <si>
    <t>This study was supported by Project ER90 HAZLESS of the Russia-Estonia Program for Cross-Border Cooperation in 2014-2020 and the Ministry of Science and Education of the Russian Federation (1021051403065-4 and FFZF-2022-0011).</t>
  </si>
  <si>
    <t>0016-7029</t>
  </si>
  <si>
    <t>1556-1968</t>
  </si>
  <si>
    <t>GEOCHEM INT+</t>
  </si>
  <si>
    <t>Geochem. Int.</t>
  </si>
  <si>
    <t>10.1134/S0016702922060076</t>
  </si>
  <si>
    <t>2Q8FE</t>
  </si>
  <si>
    <t>WOS:000820652900007</t>
  </si>
  <si>
    <t>Devos, A; Voiseux, C; Caplat, C; Fievet, B</t>
  </si>
  <si>
    <t>Devos, Alexandre; Voiseux, Claire; Caplat, Christelle; Fievet, Bruno</t>
  </si>
  <si>
    <t>Effect of chronic exposure to zinc in young spats of the Pacific oyster (Crassostrea gigas)</t>
  </si>
  <si>
    <t>Zinc; Chronic exposure; Metallothionein; Gene expression; Oyster spat</t>
  </si>
  <si>
    <t>METALLOTHIONEIN GENE-EXPRESSION; METAL BIOACCUMULATION; INVERSE RELATIONSHIP; LARVAE; GROWTH; CADMIUM; ENVIRONMENT; INDUCTION; SEAWATER; ESTUARY</t>
  </si>
  <si>
    <t>The marine coastal environment is exposed to a mixture of environmental pollutants of anthropogenic origin, resulting in chronic low concentrations of contaminants. As a consequence, most coastal marine species are exposed to low doses of such pollutants during their entire life. Many marine species live for years in their natural environment, whereas they do not under laboratory exposure conditions. Using early stages of development in laboratory work allows animals to be chronically exposed from an early age over a reasonable experiment period. In the present study, the authors investigated the effect of chronic exposure to zinc in spats of the Pacific oyster (Crassostrea gigas), from metamorphosis up to 10 weeks. The authors investigated integrated biological endpoints that would account for the apparent general health of the animals as well as molecular markers showing more subtle effects that could potentially go unnoticed at a biologically integrated level. The authors measured in parallel both growth and the transcriptional level of target stress genes. Growth was monitored by image analysis of large samples to avoid high variability and ensure statistical robustness. A doseresponse relationship was derived from growth data, yielding a median effective concentration (EC50) of 7.55?mu M. Stress genes selected on the basis of available RNA sequences in C. gigas included genes involved in chaperone proteins, oxidative stress, detoxification, and cell cycle regulation. Out of nine stress target genes, only metallothionein displayed overexpression in response to high levels of zinc. Environ. Toxicol. Chem. 2012; 31: 28412847. (c) 2012 SETAC</t>
  </si>
  <si>
    <t>[Devos, Alexandre; Voiseux, Claire; Fievet, Bruno] Inst Radioprotect &amp; Nucl Safety PRP ENV SERIS, Radioecol Lab Cherbourg Octeville, Octeville, France; [Caplat, Christelle] Univ Caen Basse Normandie, IBFA SFR ICORE, BioMEA CNRS INEE FRE3484, Octeville, France</t>
  </si>
  <si>
    <t>Universite de Caen Normandie; Centre National de la Recherche Scientifique (CNRS); CNRS - Institute of Ecology &amp; Environment (INEE)</t>
  </si>
  <si>
    <t>Fievet, B (corresponding author), Inst Radioprotect &amp; Nucl Safety PRP ENV SERIS, Radioecol Lab Cherbourg Octeville, Octeville, France.</t>
  </si>
  <si>
    <t>bruno.fievet@irsn.fr</t>
  </si>
  <si>
    <t>European Regional Development Fund, Interreg IVa [4059]</t>
  </si>
  <si>
    <t>European Regional Development Fund, Interreg IVa(European Union (EU)Interreg Europe)</t>
  </si>
  <si>
    <t>The present study was funded in part by the European Regional Development Fund, Interreg IVa (Grant 4059). We are much indebted to B. Diss from the Societe Atlantique de Mariculture (SATMAR) hatchery and her colleagues, who kindly provided the young spats as well as the microalgae cultures to feed them. The professional consistency of SATMAR's constant high-quality biological material production was essential to carry out this long-term experiment.</t>
  </si>
  <si>
    <t>10.1002/etc.2012</t>
  </si>
  <si>
    <t>040AO</t>
  </si>
  <si>
    <t>WOS:000311291200022</t>
  </si>
  <si>
    <t>Liu, FJ; Wang, DZ; Wang, WX</t>
  </si>
  <si>
    <t>Liu, Fengjie; Wang, Da-Zhi; Wang, Wen-Xiong</t>
  </si>
  <si>
    <t>Cadmium-induced changes in trace element bioaccumulation and proteomics perspective in four marine bivalves</t>
  </si>
  <si>
    <t>Bivalve cadmium metal; Metal interaction; Proteomics; Galectin</t>
  </si>
  <si>
    <t>MUSSEL MYTILUS-EDULIS; METALLOTHIONEIN-LIKE PROTEINS; SCALLOP CHLAMYS-NOBILIS; PERNA-VIRIDIS; EXPRESSION PROFILES; METAL ACCUMULATION; EXPOSURE; POLLUTION; TOXICITY; ZN</t>
  </si>
  <si>
    <t>Bivalves are employed widely as biomonitors of metal pollution and proteomics has increasingly been applied to solve ecotoxicological issues. This study aimed to investigate the effects of Cd exposure on the bioaccumulation of other trace elements and reveal the molecular mechanisms using proteomics technologies. The results showed that Cd exposure resulted in remarkable changes in body concentrations of Zn, Cu, Ag, Co, Ni, Pb, and Se in four marine bivalves (scallop Chlamys nobilis, clam Ruditapes philippinarum, mussel Perna viridis, and oyster Saccostrea cucullata). Generally, the bivalves exposed to higher Cd concentration accumulated higher concentrations of Zn, Cu, and Se, but a lower concentration of Co. The accumulation of Ag, Ni, and Pb was specific for different species. The data strongly suggest that the influences of one metal exposure on the bioaccumulation of other metals/metalloids need to be considered in interpreting body concentrations of the elements in the biomonitors. Cd exposure had little effect on bivalve proteomes, and the identified proteins were insufficient to explain the observed disruption of trace element metabolism. However, protein expression signatures composed of the altered proteins could distinguish the clams and the mussels with different body Cd levels. The strong up-regulation of galectin in Cd-exposed oysters indicated the protein as a novel biomarker in environmental monitoring. Environ. Toxicol. Chem. 2012;31:12921300. (c) 2012 SETAC</t>
  </si>
  <si>
    <t>[Liu, Fengjie; Wang, Wen-Xiong] Hong Kong Univ Sci &amp; Technol, Div Life Sci, Kowloon, Hong Kong, Peoples R China; [Wang, Da-Zhi] Xiamen Univ, State Key Lab Marine Environm Sci, Xiamen, Peoples R China</t>
  </si>
  <si>
    <t>Hong Kong University of Science &amp; Technology; Xiamen University</t>
  </si>
  <si>
    <t>Wang, WX (corresponding author), Hong Kong Univ Sci &amp; Technol, Div Life Sci, Kowloon, Hong Kong, Peoples R China.</t>
  </si>
  <si>
    <t>Wang, Da-Zhi/G-3412-2010; Wang, Wenxiong/E-7254-2011</t>
  </si>
  <si>
    <t>LIU, Fengjie/0000-0002-2359-5022; Wang, Wenxiong/0000-0001-9033-0158</t>
  </si>
  <si>
    <t>program for Changjiang Scholars and Innovative Research Team at the university (PCSIRT) [IRT0941]; Hong Kong Research Grant Council [663009]</t>
  </si>
  <si>
    <t>program for Changjiang Scholars and Innovative Research Team at the university (PCSIRT)(Program for Changjiang Scholars &amp; Innovative Research Team in University (PCSIRT)); Hong Kong Research Grant Council(Hong Kong Research Grants Council)</t>
  </si>
  <si>
    <t>We greatly appreciate the thoughtful comments of two anonymous reviewers. This study was supported by the program for Changjiang Scholars and Innovative Research Team at the university (PCSIRT, IRT0941) and a General Research Fund grant from the Hong Kong Research Grant Council (663009) to W.-X. Wang.</t>
  </si>
  <si>
    <t>10.1002/etc.1823</t>
  </si>
  <si>
    <t>943UL</t>
  </si>
  <si>
    <t>WOS:000304150700016</t>
  </si>
  <si>
    <t>Kir, I; Engin, MS; Uyanik, A</t>
  </si>
  <si>
    <t>Kir, Ismail; Engin, Mehmet Soner; Uyanik, Ahmet</t>
  </si>
  <si>
    <t>AN INVESTIGATION ON THE HEAVY METAL CONTENTS OF Myriophyllum verticillatum, Dreissena polymorpha, Potamon fluviatilis AND THEIR SEASONAL VARIATION IN LAKE KOVADA</t>
  </si>
  <si>
    <t>Myriophyllum verticillatum; Dreissena polymorpha; Potamon fluviatilis; heavy metals; wetland</t>
  </si>
  <si>
    <t>SOFT-TISSUE; WATER; REMOVAL; RIVER; COMMUNITIES; POLLUTION; TOXICITY; ZINC; SOIL</t>
  </si>
  <si>
    <t>In this study, concentrations of heavy metal ions (Cd, Cr, Cu, Fe, Mn, Pb, Zn, Al and Ni) were determined in Myriophyllum verticillatum (plant), Dreissena polymorpha (mussel) and Potamon fluviatilis (crab) by using ICP-OES in different seasons. Many taxa are benthic and, therefore, they are closely related to sediments, accumulate metals and tolerate up to low-moderate concentrations. Average annual rate of the heavy metal accumulation in Myriophyllum verticillatum plant followed the order of Al&gt;Fe&gt; Mn&gt;Zn&gt;Ni&gt;Cr&gt;Cu&gt;Pb&gt;Cd. Al, Fe and Mn were deposited at a high percentage, but the plant could tolerate this level of values. In Dreissena polymorpha, annual rate of the heavy metal accumulation in the muscle tissues was found to be Al&gt;Fe&gt;Zn&gt;Ni&gt;Mn&gt;Cr &gt;Cu&gt;Cd&gt;Pb but Al&gt; Fe&gt;Mn&gt;Zn&gt;Ni&gt;Cr in the shell part. Al, Fe and Mn were also accumulated at a high proportion in invertebrate organisms. The rate of heavy metals accumulated in Potamon fluviatilis was determined to be Al&gt;Fe&gt;Mn&gt;Zn&gt;Cu&gt;Cr&gt;Ni. However, a significant correlation was observed between certain heavy metals in each season, but no heavy metal concentration reached the toxic level for living organisms.</t>
  </si>
  <si>
    <t>[Engin, Mehmet Soner; Uyanik, Ahmet] Ondokuz Mayis Univ, Fac Sci &amp; Art, Dept Chem, Samsun, Turkey; [Kir, Ismail] Suleyman Demirel Univ, Fac Sci &amp; Art, Dept Biol, TR-32200 Isparta, Turkey</t>
  </si>
  <si>
    <t>Ondokuz Mayis University; Suleyman Demirel University</t>
  </si>
  <si>
    <t>Uyanik, A (corresponding author), Ondokuz Mayis Univ, Fac Sci &amp; Art, Dept Chem, Samsun, Turkey.</t>
  </si>
  <si>
    <t>auyanik@omu.edu.tr</t>
  </si>
  <si>
    <t>Kir, Ismail/0000-0002-8700-1174</t>
  </si>
  <si>
    <t>013SK</t>
  </si>
  <si>
    <t>WOS:000309326000005</t>
  </si>
  <si>
    <t>NELSON, WG; BERGEN, BJ; COBB, DJ</t>
  </si>
  <si>
    <t>COMPARISON OF PCB AND TRACE-METAL BIOACCUMULATION IN THE BLUE MUSSEL, MYTILUS-EDULIS, AND THE RIBBED MUSSEL, MODIOLUS-DEMISSUS, IN NEW-BEDFORD HARBOR, MASSACHUSETTS</t>
  </si>
  <si>
    <t>BIOACCUMULATION; MYTILUS EDULIS; MODIOLUS DEMISSUS; PCBS; METALS</t>
  </si>
  <si>
    <t>ORGANIC CONTAMINANTS; CADMIUM; WATER; WATCH; DEPURATION; POLLUTION; CONGENERS; BAY</t>
  </si>
  <si>
    <t>The accumulation of PCBs and trace metals was compared at 14-d intervals between two filter-feeding bivales, the blue mussel, Mytilus edulis, and the ribbed mussel, Modiolus demissus, after deployment in New Bedford Harbor, Massachusetts, for up to 56 d. Contaminant uptake in deployed organisms also was compared with indigenous ribbed mussels. Significant mortality (&gt; 80%) occurred in blue mussels after 28 d, when water temperatures exceeded 25 degrees C. Therefore, tissue-residue comparisons between species are presented only up to day 28, while those between deployed and indigenous ribbed mussels continue to day 56. Results indicated that total PCB tissue residues and cogener distributions were not statistically different (p &gt; 0.05) in the two mussel species on day 28. Total PCB concentrations in both deployed mussel species reached approximately 30 mu g g(-1) dry weight by day 28. Additionally, total PCB concentrations and congener distributions in the deployed ribbed mussels were not statistically different from the indigenous ribbed mussels on day 28, demonstrating that steady state was attained within 28 d. With respect to metal uptake, no signal accumulation pattern occurred for the eight metals quantified. After 28 d, lead, cadmium, and iron concentrations in deployed blue and ribbed mussels were statistically similar. However, nickel and zinc accumulations were significantly greater in the blue mussels, and copper, chromium, and manganese were accumulated to significantly higher concentrations in the ribbed mussels. The comparison between the ribbed mussels indicated that cadmium and lead concentrations were significantly higher in indigenous than in deployed mussels after 28 d.</t>
  </si>
  <si>
    <t>US EPA, SCI APPLICAT INT CORP, NARRAGANSETT, RI 02882 USA; NE LAB, WATERVILLE, ME 04903 USA</t>
  </si>
  <si>
    <t>Science Applications International Corporation (SAIC); United States Environmental Protection Agency</t>
  </si>
  <si>
    <t>US EPA, ENVIRONM RES LAB, 27 TARZWELL DR, NARRAGANSETT, RI 02882 USA.</t>
  </si>
  <si>
    <t>10.1002/etc.5620140321</t>
  </si>
  <si>
    <t>QH199</t>
  </si>
  <si>
    <t>WOS:A1995QH19900021</t>
  </si>
  <si>
    <t>Wang, S; Ji, CL; Li, F; Wu, HF</t>
  </si>
  <si>
    <t>Wang, Shuang; Ji, Chenglong; Li, Fei; Wu, Huifeng</t>
  </si>
  <si>
    <t>Toxicological responses of juvenile Chinese shrimp Fenneropenaeus chinensis and swimming crab Portunus trituberculatus exposed to cadmium</t>
  </si>
  <si>
    <t>Cadmium; Fenneropenaeus chinensis; Portunus trituberculatus; Toxicological effects</t>
  </si>
  <si>
    <t>LAIZHOU BAY; METABOLOMIC RESPONSES; OXIDATIVE DAMAGE; CRANGON-AFFINIS; METAL POLLUTION; HEAVY-METALS; HEPATOPANCREAS; APOPTOSIS; SALINITY; OYSTERS</t>
  </si>
  <si>
    <t>Cadmium (Cd) is one of the typical metal pollutants in the Bohai Sea. To evaluate the acute toxicological effects of Cd on marine crustaceans, juvenile Fenneropenaeus chinensis and Portunus trituberculatus were exposed to Cd at environmentally relevant concentrations (5 and 50 mu g/L) for 96 h. Cd accumulation, antioxidants and metabolite profiles were characterized to elucidate the responses of juvenile crustaceans to Cd stress. Significant Cd accumulation was observed in both juvenile crustaceans in 50 mu g/L Cd-treated group. Results showed that Cd exposure induced hormesis based on the alterations of GSH, SOD and CAT activities (i.e. increased levels in the low concentration of Cd treatment and recovered levels in the high concentration of Cd treatment) in juvenile P. trituberculatus. Similarly, the responses of GSH contents presented hormesis pattern in Cd-treated juvenile F. chinensis. Na+-K+-ATPase contents were significantly elevated in 50 mu g/L Cd-treated group. In addition, untargeted NMR-based metabolomics indicated Cd caused the disturbance in osmotic regulation and energy consumption in both juvenile F. chinensis and P. trituberculatus via different pathways. The immunotoxicity and movement disorder were uniquely demonstrated in juvenile P. trituberculatus after Cd exposure.</t>
  </si>
  <si>
    <t>[Wang, Shuang; Ji, Chenglong; Li, Fei; Wu, Huifeng] Chinese Acad Sci, Yantai Inst Coastal Zone Res YIC, CAS Key Lab Coastal Environm Proc &amp; Ecol Remediat, Yantai 264003, Peoples R China; [Wang, Shuang; Ji, Chenglong; Li, Fei; Wu, Huifeng] YICCAS, Shandong Key Lab Coastal Environm Proc, Yantai 264003, Peoples R China; [Ji, Chenglong; Wu, Huifeng] Qingdao Natl Lab Marine Sci &amp; Technol, Lab Marine Fisheries Sci &amp; Food Prod Proc, Qingdao 266237, Peoples R China; [Wang, Shuang] Univ Chinese Acad Sci, Beijing 100049, Peoples R China; [Ji, Chenglong; Li, Fei; Wu, Huifeng] Chinese Acad Sci, Ctr Ocean Megasci, Qingdao 266071, Peoples R China</t>
  </si>
  <si>
    <t>National Natural Science Foundation of China [42076164]; Young Taishan Scholars Program of Shandong Province [tsqn201812115]; Qingdao National Laboratory for Marine Science and Technology [QNLM201701]</t>
  </si>
  <si>
    <t>National Natural Science Foundation of China(National Natural Science Foundation of China (NSFC)); Young Taishan Scholars Program of Shandong Province; Qingdao National Laboratory for Marine Science and Technology</t>
  </si>
  <si>
    <t>Acknowledgments This work was supported by the grants from National Natural Science Foundation of China (42076164) , the Young Taishan Scholars Program of Shandong Province for Prof. Huifeng Wu (tsqn201812115) and Qingdao National Laboratory for Marine Science and Technology (QNLM201701) .</t>
  </si>
  <si>
    <t>10.1016/j.ecoenv.2022.113416</t>
  </si>
  <si>
    <t>0K9JZ</t>
  </si>
  <si>
    <t>WOS:000781104700006</t>
  </si>
  <si>
    <t>Cao, RW; Zhang, YL; Ju, YH; Wang, W; Xi, CX; Liu, WL; Liu, K</t>
  </si>
  <si>
    <t>Cao, Ruiwen; Zhang, Yiling; Ju, Yuhao; Wang, Wei; Xi, Chenxiang; Liu, Wenlin; Liu, Kai</t>
  </si>
  <si>
    <t>Exacerbation of copper pollution toxicity from ocean acidification: A comparative analysis of two bivalve species with distinct sensitivities</t>
  </si>
  <si>
    <t>Ocean acidification; Copper; Ruditapes philippinarum; Chlamys farreri; Environmental risk</t>
  </si>
  <si>
    <t>MUSSELS MYTILUS-GALLOPROVINCIALIS; INTEGRATED BIOMARKER RESPONSE; OXIDATIVE STRESS; CRASSOSTREA-VIRGINICA; ENVIRONMENTAL HYPERCAPNIA; RUDITAPES-PHILIPPINARUM; METAL BIOACCUMULATION; SUPEROXIDE-DISMUTASE; ACTIN CYTOSKELETON; PROTEOMIC RESPONSE</t>
  </si>
  <si>
    <t>In estuarine ecosystems, bivalves experience large pH fluctuations caused by the anthropogenic elevation of atmospheric CO2 and Cu pollution. This study investigates whether Cu toxicity increases indiscriminately in two bivalve species from different estuarine habitats as a result of elevated Cu bioaccumulation in acidified seawater. This was carried out by evaluating the effects of Cu exposure on two bivalve species (clams and scallops) for 28 d, at a series of gradient pH levels (pH 8.1, 7.8, and 7.6). The results demonstrated an increase in the Cu content in the soft tissues of clams and scallops in acidified seawater. Cu toxicity increased under acidified seawater by affecting the molecular pathways, physiological function, biochemical responses, and health status of clams and scallops. An iTRAQ-based quantitative proteomic analysis showed increased protein turnover, disturbed cytoskeleton and signal transduction pathways, apoptosis, and suppressed energy metabolism pathways in the clams and scallops under joint exposure to ocean acidification and Cu. The integrated biomarker response results suggested that scallops were more sensitive to Cu toxicity and/or ocean acidification than clams. The proteomic results suggested that the increased energy metabolism and suppressed protein turnover rates may contribute to a higher resistivity to ocean acidification in clams than scallops. Overall, this study provides molecular insights into the distinct sensitivities between two bivalve species from different habitats under exposure to ocean acidification and/or Cu. The findings emphasize the aggravating impact of ocean acidification on Cu toxicity in clams and scallops. The results show that ocean acidification and copper pollution may reduce the long-term viability of clams and scallops, and lead to the degradation of estuarine ecosystems.</t>
  </si>
  <si>
    <t>[Cao, Ruiwen; Zhang, Yiling; Ju, Yuhao; Wang, Wei; Xi, Chenxiang; Liu, Wenlin; Liu, Kai] Qilu Univ Technol, Shandong Acad Sci, State Key Lab Biobased Mat &amp; Green Papermaking, Jinan, Peoples R China</t>
  </si>
  <si>
    <t>Qilu University of Technology</t>
  </si>
  <si>
    <t>Cao, RW (corresponding author), Qilu Univ Technol, Shandong Acad Sci, State Key Lab Biobased Mat &amp; Green Papermaking, Jinan, Peoples R China.</t>
  </si>
  <si>
    <t>rwcao@qlu.edu.cn</t>
  </si>
  <si>
    <t>Li, Ye/JBS-2949-2023; Liu, Wenlin/ABE-6651-2020; ju, yuhao/IWV-1999-2023</t>
  </si>
  <si>
    <t>Cao, Ruiwen/0000-0001-7274-7988</t>
  </si>
  <si>
    <t>Foundation of State Key Laboratory of Biobased Material and Green Papermaking [ZZ20190302]; Foundation of Shandong Provincial Key Laboratory of Biosensors [SWCG 2018-01]; Natural Science Foundation of Shandong Province, China [ZR2012CM019]; Foundation of Qilu University of Technology of Cultivating Subject for Biology and Biochemistry, Science, Education [202002]; Industry Integration Innovation Pilot Project of Qilu University of Technology (Shandong Academy of Sciences) [2020KJC-ZD08]</t>
  </si>
  <si>
    <t>Foundation of State Key Laboratory of Biobased Material and Green Papermaking; Foundation of Shandong Provincial Key Laboratory of Biosensors; Natural Science Foundation of Shandong Province, China(Natural Science Foundation of Shandong Province); Foundation of Qilu University of Technology of Cultivating Subject for Biology and Biochemistry, Science, Education; Industry Integration Innovation Pilot Project of Qilu University of Technology (Shandong Academy of Sciences)</t>
  </si>
  <si>
    <t>This research was supported by the Foundation of State Key Labo-ratory of Biobased Material and Green Papermaking (No. ZZ20190302) , the Foundation of Shandong Provincial Key Laboratory of Biosensors (SWCG 2018-01) , the Natural Science Foundation of Shandong Prov-ince, China (ZR2012CM019) , and the Foundation (No. 202002) of Qilu University of Technology of Cultivating Subject for Biology and Biochemistry, Science, Education and Industry Integration Innovation Pilot Project of Qilu University of Technology (Shandong Academy of Sciences) (2020KJC-ZD08) .</t>
  </si>
  <si>
    <t>10.1016/j.envpol.2021.118525</t>
  </si>
  <si>
    <t>YJ0PC</t>
  </si>
  <si>
    <t>WOS:000744240200009</t>
  </si>
  <si>
    <t>Wu, X; Jia, YF; Zhu, HJ</t>
  </si>
  <si>
    <t>Wu, Xing; Jia, Yongfeng; Zhu, Huijie</t>
  </si>
  <si>
    <t>Bioaccumulation of cadmium bound to ferric hydroxide and particulate organic matter by the bivalve M. meretrix</t>
  </si>
  <si>
    <t>Bioaccumulation; Cadmium; Ferric hydroxide; Particulate organic matter; Meretrix meretrix Linnaeus</t>
  </si>
  <si>
    <t>MUSSEL MYTILUS-EDULIS; RELEVANT SESTON MATRICES; METAL ACCUMULATION; MACOMA-BALTHICA; MARINE BIVALVES; POTAMOCORBULA-AMURENSIS; RELATIVE IMPORTANCE; FEEDING-BEHAVIOR; HYDROBIA-ULVAE; TRACE-ELEMENTS</t>
  </si>
  <si>
    <t>Ferric hydroxide and particulate organic matter are important pools of trace metals in sediments and control their accumulation by benthic animals. We investigated bioaccumulation of cadmium in bivalve Meretrix meretrix by using a simplified system of laboratory synthesized iron oxides and commercially obtained humic acids to represent the inorganic and organic matrix found in nature. The results showed that bioaccumulation characteristics were distinctly different for these two substrates. Bioaccumulation from ferric hydroxide was not observed at 70 and 140 mg/kg, while the clams started to absorb Cd at 140 mg/kg from organic matter and the bioaccumulation rate was faster than that from ferric hydroxide. Within 28 d, accumulation of Cd from organic matter appeared to reach a steady state after rising to a certain level, while absorption from ferric hydroxide appeared to follow a linear profile. The findings have implications about the assimilation of trace metals from sediments by benthic animals. (C) 2012 Elsevier Ltd. All rights reserved.</t>
  </si>
  <si>
    <t>[Wu, Xing; Jia, Yongfeng; Zhu, Huijie] Chinese Acad Sci, Key Lab Pollut Ecol &amp; Environm Engn, Inst Appl Ecol, Shenyang 110016, Peoples R China; [Wu, Xing] Shandong Acad Agr Sci, Cent Lab, Shandong Key Lab Test Tech Food Qual &amp; Safety, Jinan 250100, Peoples R China</t>
  </si>
  <si>
    <t>Chinese Academy of Sciences; Shenyang Institute of Applied Ecology, CAS; Shandong Academy of Agricultural Sciences</t>
  </si>
  <si>
    <t>Jia, YF (corresponding author), Chinese Acad Sci, Key Lab Pollut Ecol &amp; Environm Engn, Inst Appl Ecol, Shenyang 110016, Peoples R China.</t>
  </si>
  <si>
    <t>yongfeng.jia@iae.ac.cn</t>
  </si>
  <si>
    <t>Jia, Yongfeng/HGF-2271-2022</t>
  </si>
  <si>
    <t>Wu, Xing/0000-0003-3887-9172; zhu, huijie/0000-0002-4361-8105</t>
  </si>
  <si>
    <t>National Nature Science Foundation of China (NSFC) [40925011]; Chinese Academy of Sciences [KZCX2-YW-JS405]</t>
  </si>
  <si>
    <t>National Nature Science Foundation of China (NSFC)(National Natural Science Foundation of China (NSFC)); Chinese Academy of Sciences(Chinese Academy of Sciences)</t>
  </si>
  <si>
    <t>The supports to this work by National Nature Science Foundation of China (NSFC, 40925011) and Chinese Academy of Sciences (KZCX2-YW-JS405) are gratefully acknowledged.</t>
  </si>
  <si>
    <t>10.1016/j.envpol.2012.02.023</t>
  </si>
  <si>
    <t>936ZO</t>
  </si>
  <si>
    <t>WOS:000303629000014</t>
  </si>
  <si>
    <t>Mai, H; Cachot, J; Clerandeau, C; Martin, C; Mazzela, N; Gonzalez, P; Morin, B</t>
  </si>
  <si>
    <t>Mai, Huong; Cachot, Jerome; Clerandeau, Christelle; Martin, Caroline; Mazzela, Nicolas; Gonzalez, Patrice; Morin, Benedicte</t>
  </si>
  <si>
    <t>An environmentally realistic pesticide and copper mixture impacts embryonic development and DNA integrity of the Pacific oyster, Crassostrea gigas</t>
  </si>
  <si>
    <t>Pesticide mixture; Copper; Gene expression; Genotoxicity; Embryotoxicity; Pacific oyster</t>
  </si>
  <si>
    <t>LARVAL DEVELOPMENT; METAL-COMPLEXES; SEA-URCHIN; METALLOTHIONEIN EXPRESSION; VIBRIO-FISCHERI; S-METOLACHLOR; HEAVY-METALS; TOXICITY; DIURON; EXPOSURE</t>
  </si>
  <si>
    <t>Frequent occurrences of pesticides in the environment have raised concerns that combined exposure to these chemicals may result in enhanced toxicity through additive or synergistic interaction between compounds. Spermatozoa and embryos of the Pacific oyster, Crassostrea gigas, were exposed to different concentrations of a pesticide mixture with and without copper, mimicking the cocktail of pollutants occurring in the oyster culture area of Arcachon Bay. For the 1x exposure condition, measured concentration corresponds to a total concentration of 1.083 mu g L-1 for the mixture of 14 pesticides and to 6.330 mu g L-1 for copper (Cu). Several endpoints including larval abnormalities, DNA damage to spermatozoa and embryo and gene expression in D-larvae were investigated. Results demonstrated that pesticide mixtures in combination with or without copper induced a dose-dependent increase in embryotoxic and genotoxic effects on D-larvae from the lowest tested dose of 0.1x. Transcription of genes involved in anti-oxidative stress (cat), respiratory chain (coxI), metal detoxification (mt1 and mt2), and cell cycle arrest and apoptosis (p53) was found to be significantly downregulated while the xenobiotic biotransformation gene gst was significantly upregulated in embryos exposed to pesticide mixture with and without Cu. These findings raise the question of the possible impacts of mixtures of pesticides and metals on wild or farmed oyster populations from polluted coastal marine areas.</t>
  </si>
  <si>
    <t>[Mai, Huong; Cachot, Jerome; Clerandeau, Christelle; Gonzalez, Patrice; Morin, Benedicte] Univ Bordeaux, EPOC, UMR 5805, F-33400 Talence, France; [Mai, Huong] Univ Sci &amp; Technol Hanoi, Vietnam Acad Sci &amp; Technol, 18 Hoang Quoc Viet, Hanoi, Vietnam; [Martin, Caroline; Mazzela, Nicolas] IRSTEA, UR EABX, F-33612 Cestas, France</t>
  </si>
  <si>
    <t>Universite de Bordeaux; Centre National de la Recherche Scientifique (CNRS); CNRS - National Institute for Earth Sciences &amp; Astronomy (INSU); Vietnam Academy of Science &amp; Technology (VAST); University of Science &amp; Technology of Hanoi (USTH); INRAE</t>
  </si>
  <si>
    <t>Morin, B (corresponding author), Univ Bordeaux, EPOC, UMR 5805, F-33400 Talence, France.</t>
  </si>
  <si>
    <t>benedicte.morin@u-bordeaux.fr</t>
  </si>
  <si>
    <t>Gonzalez, Patrice/0000-0003-2628-2993; Mazzella, Nicolas/0000-0002-8499-9688; Cachot, Jerome/0000-0002-1492-9684; Morin, Benedicte/0000-0003-4583-4319</t>
  </si>
  <si>
    <t>French National Research Agency [ANR-09-CESA-005]; Aquitaine region (OSQUAR project); CPER A2E; European Union with the European fund of regional development</t>
  </si>
  <si>
    <t>French National Research Agency(Agence Nationale de la Recherche (ANR)); Aquitaine region (OSQUAR project)(Region Nouvelle-Aquitaine); CPER A2E; European Union with the European fund of regional development</t>
  </si>
  <si>
    <t>This study was supported by the French National Research Agency, under reference ANR-09-CESA-005, Aquitaine region (OSQUAR project), and CPER A2E. This project is co-financed by the European Union with the European fund of regional development.</t>
  </si>
  <si>
    <t>10.1007/s11356-018-3586-6</t>
  </si>
  <si>
    <t>WOS:000519703100007</t>
  </si>
  <si>
    <t>Yang, C; Liu, QK; Li, GZ; Meng, XH; Liu, BJ</t>
  </si>
  <si>
    <t>Yang, Chao; Liu, Qingkang; Li, Guangzhen; Meng, Xianghong; Liu, Bingjie</t>
  </si>
  <si>
    <t>Effect of P-glycoprotein regulation on cadmium exhaustion from Crassostrea gigas</t>
  </si>
  <si>
    <t>P-glycoprotein; Crassostrea gigas; Cadmium; Exhaustion; Rifampicin induce</t>
  </si>
  <si>
    <t>METAL DETOXIFICATION; GENE-EXPRESSION; EASTERN OYSTERS; METALLOTHIONEIN; EXPOSURE; ACID; VIRGINICA; REMOVAL; CELLS; ZINC</t>
  </si>
  <si>
    <t>P-glycoprotein (P-gp) is a molecular pump, responsible for extruding xenobiotics. The aim of the study was to demonstrate the role of P-glycoprotein (P-gp) in cadmium (Cd) exhaustion. The activity of P-gp was regulated in Crassostrea gigas, which was previously exposed to Cd by using rifampicin (inducer) and verapamil (inhibitor), respectively. Comparing with Crassostrea gigas depurated in natural seawater, Cd content increased significantly from 14.28 mg/kg dw to 17.49 mg/kg dw accompanied by a changed metallothionein level from 9.84 mu g/g fw to 10.67 mu g/g fw after 25 mu g/L verapamil treatment, while Cd content after 25 mu g/L rifampicin treatment reduced to 12.21 mg/kg dw. Moreover, after treatment with rifampicin and verapamil, beneficial metal elements, fats, and proteins were maintained, and the tissue-dependent difference was found in the variation of antioxidant defenses and oxidative damage in Crassostrea gigas. In brief, the study provided new evidence on possibility of Cd removal by inducing P-glycoprotein.</t>
  </si>
  <si>
    <t>[Yang, Chao; Liu, Qingkang; Li, Guangzhen; Meng, Xianghong; Liu, Bingjie] Ocean Univ China, Coll Food Sci &amp; Engn, Qingdao 266003, Peoples R China</t>
  </si>
  <si>
    <t>Liu, BJ (corresponding author), Ocean Univ China, Coll Food Sci &amp; Engn, Qingdao 266003, Peoples R China.</t>
  </si>
  <si>
    <t>liubj@ouc.edu.cn</t>
  </si>
  <si>
    <t>Yang, Chao/AAL-5830-2020; meng, xianghong/KLZ-0971-2024</t>
  </si>
  <si>
    <t>Liu, Bingjie/0000-0002-7115-8695; MENG, XIANGHONG/0000-0003-2470-7046</t>
  </si>
  <si>
    <t>National Natural Science Foundation of China [31302162]</t>
  </si>
  <si>
    <t>This work was financially supported by National Natural Science Foundation of China (No. 31302162).</t>
  </si>
  <si>
    <t>10.1016/j.marpolbul.2019.02.042</t>
  </si>
  <si>
    <t>WOS:000465509700035</t>
  </si>
  <si>
    <t>Fang, Y; Yang, HS; Wang, TM; Liu, BZ; Zhao, HL; Chen, MY</t>
  </si>
  <si>
    <t>Fang, Yan; Yang, Hongsheng; Wang, Tianming; Liu, Baozhong; Zhao, Heling; Chen, Muyan</t>
  </si>
  <si>
    <t>Metallothionein and superoxide dismutase responses to sublethal cadmium exposure in the clam Mactra veneriformis</t>
  </si>
  <si>
    <t>Cadmium; Mactra veneriformis; Metallothionein; mRNA expression; Superoxide dismutase</t>
  </si>
  <si>
    <t>MESSENGER-RNA EXPRESSION; OYSTER CRASSOSTREA-GIGAS; DIFFERENTIAL EXPRESSION; ANTIOXIDANT ENZYMES; DIGESTIVE GLAND; PACIFIC OYSTER; SUBCELLULAR-DISTRIBUTION; LIPID-PEROXIDATION; HYDROGEN-PEROXIDE; OXIDATIVE STRESS</t>
  </si>
  <si>
    <t>The objective of this study was to identify the relationship between cadmium (Cd) and stress responses in the clam Mactra veneriformis. Metallothionein (MT) and Cu-Zn superoxide dismutase (SOD) cDNAs from the clam were isolated and characterized. The full-length cDNA of MvMT and MvSOD contained 830 and 689 nucleotides encoding 59 and 159 amino acids, respectively. Multiple alignments indicated that deduced amino acid sequences of MvMT and MvSOD shared high homology with MT and SOD sequences of other mollusks. Clams were exposed to 0, 50, 100, and 200 mu g/L Cd for 21 days. The mRNA transcripts of the two genes, MT protein content and SOD activity in the digestive gland were examined. Cd treatment significantly elevated MvMT and MvSOD mRNA expression in a dose-dependent manner and MT protein level in a dose-and time-dependent manner. SOD activity significantly increased at the start of CA exposure, then decreased and finally returned to the normal level. These results indicate that MT and SOD play an important role in maintaining cellular metabolism homeostasis and protecting M. veneriformis from Cd toxicity. MT and SOD could be used as biomarkers; of CA pollution in aquatic environment for the studied species. (C) 2009 Elsevier Inc. All rights reserved.</t>
  </si>
  <si>
    <t>[Yang, Hongsheng] Chinese Acad Sci, Inst Oceanol, Key Lab Marine Ecol &amp; Environm Sci, Qingdao 266071, Shandong, Peoples R China; [Fang, Yan; Wang, Tianming; Zhao, Heling] Chinese Acad Sci, Grad Univ, Beijing 100049, Peoples R China</t>
  </si>
  <si>
    <t>Yang, HS (corresponding author), Chinese Acad Sci, Inst Oceanol, Key Lab Marine Ecol &amp; Environm Sci, Nanhai Rd 7, Qingdao 266071, Shandong, Peoples R China.</t>
  </si>
  <si>
    <t>hshyang@ms.qdio.ac.cn</t>
  </si>
  <si>
    <t>Wang, Tianming/N-9029-2016; Liu, Liu/JXM-8208-2024</t>
  </si>
  <si>
    <t>Wang, Tianming/0000-0002-4499-4882; Liu, Baozhong/0000-0002-6090-4867</t>
  </si>
  <si>
    <t>10.1016/j.cbpc.2009.12.005</t>
  </si>
  <si>
    <t>569UK</t>
  </si>
  <si>
    <t>WOS:000275627400009</t>
  </si>
  <si>
    <t>Liu, JH; Kueh, CSW</t>
  </si>
  <si>
    <t>Biomonitoring of heavy metals and trace organics using the intertidal mussel Perna viridis in Hong Kong coastal waters</t>
  </si>
  <si>
    <t>4th International Conference on Marine Pollution and Ecotoxicology</t>
  </si>
  <si>
    <t>JUN, 2004</t>
  </si>
  <si>
    <t>Hong Kong, PEOPLES R CHINA</t>
  </si>
  <si>
    <t>biomonitoring; Hong kong; mussels; Perna viridis; heavy metals; trace organics</t>
  </si>
  <si>
    <t>GREEN MUSSEL; ORGANOCHLORINE PESTICIDES; POLLUTION; INDICATOR; SEDIMENTS; OYSTERS; CONTAMINATION; ESTUARY; MARINE; WATCH</t>
  </si>
  <si>
    <t>This paper presents the results of a 6-year (1998-2003) survey of trace toxics in the intertidal mussel Perna viridis conducted by the Hong Kong Environmental Protection Department. Concentrations of heavy metals and trace organics were measured in the soft bodies of P. viridis collected from five sites in Hong Kong waters, i.e. Wu Kai Sha (Tolo Harbour), Ma Wan (Northwest), Tsim Sha Tsui (Victoria Harbour), Tai Tam (Hong Kong South) and Lamma Island (Southern Waters) in order to establish the spatial patterns of contaminants in mussels. Among the metals analysed, Cd showed a significant concentration gradient in Hong Kong waters. The levels of Cd in P. viridis were significantly higher at Ma Wan as compared to the other sites studied. Ma Wan also had relatively higher concentrations of Pb. Mn concentrations were particularly prominent at Wu Kai Sha. Significantly higher concentrations of Hg and Cu were recorded at Tai Tam and Tsim Sha Tsui. Tai Tam and Wit Kai Sha had higher levels of V; whereas higher Ni concentrations were recorded at Lamma Island and Tai Tam. No clear spatial patterns for Al, As, Cr, Fe and Zn were observed. Higher concentrations of PAHs in P. viridis were observed around urban centres impacted by sewage discharges (e.g. Tsim Sha Tsui); whereas higher PCB levels were found not only in Tsim Sha Tsui but also in less urbanised areas such as Lamma Island and Tai Tam, suggesting that these may be due to non-sewage related inputs. The study also shows that Northwest and Southern waters are subject to a higher degree of DDT pollution compared with other sites. Of the 17 dioxin compounds analysed, positive data were mostly recorded for two compounds which are of low toxicity (i.e. OCDD and I,2,3,4,6,7,8-HpCDD) whereas the most toxic congeners (i.e. 2,3,7,.8-TCDD and 1,2,3,7,8-PeCDD) were not detected in the 6 years of monitoring. In general, the levels of OCDD in P. viridis were found to be higher in Tai Tam and Lamma Island in Southern Waters of Hong Kong. This study found that the levels of some highly toxic heavy metals (i.e. Cd, Hg and Pb) in the mussel P. viridis did not exceed the recommended limits for shellfish as food in Hong Kong (i.e. Cd: 2.0 ppm; Hg: 0.5 ppm; Pb: 6.0 ppm wet weight). The levels of As and Ni in P. viridis were also well below the action limits set by the US FDA (i.e. As: 86 ppm; Ni: 80 ppm wet weight). DDT and PCB contaminations in P. viridis were below the concentrations of concern. Compared with data obtained in the 1980s, the current levels of DDTs in P. viridis were 4-16 times lower; whereas Pb concentrations recorded in Tsim Sha Tsui have also been lowered significantly. This is mainly related to reduction in local and regional pollution sources in the past 20 years. (c) 2005 Elsevier Ltd. All rights reserved.</t>
  </si>
  <si>
    <t>Govt Hong Kong Special Adm Reg, Environm Protect Dept, Water Policy &amp; Planning Grp, Hong Kong, Hong Kong, Peoples R China</t>
  </si>
  <si>
    <t>Govt Hong Kong Special Adm Reg, Environm Protect Dept, Water Policy &amp; Planning Grp, Hong Kong, Hong Kong, Peoples R China.</t>
  </si>
  <si>
    <t>jianhua@epd.gov.hk</t>
  </si>
  <si>
    <t>8-12</t>
  </si>
  <si>
    <t>10.1016/j.marpolbul.2005.04.014</t>
  </si>
  <si>
    <t>995DI</t>
  </si>
  <si>
    <t>WOS:000234079700030</t>
  </si>
  <si>
    <t>Ratkaj, I; Zurga, P; Bulog, A; Peter-Katalinic, J; Pavelic, SK</t>
  </si>
  <si>
    <t>Ratkaj, Ivana; Zurga, Paula; Bulog, Aleksandar; Peter-Katalinic, Jasna; Pavelic, Sandra Kraljevic</t>
  </si>
  <si>
    <t>70-kDa heat shock cognate protein expression as a putative biomarker of heavy-metal burden in Mytilus galloprovincialis</t>
  </si>
  <si>
    <t>SPRINGERPLUS</t>
  </si>
  <si>
    <t>Heavy metals; Mytilus galloprovincialis; HSC-70</t>
  </si>
  <si>
    <t>MULTIXENOBIOTIC RESISTANCE; EDULIS; WATERS</t>
  </si>
  <si>
    <t>Background: Heavy metals naturally occur in the marine environment and ecosystems. Due to anthropogenic influence they became common waters and coastal regions pollutants in particular where their concentrations remain hazardously high. We therefore tested a protocol for combined analysis of 6 heavy metal (Pb, Cd, Cr, Zn, Fe and Hg) concentrations in mussels Mytilus galloprovincialis collected from a coastal industrial zone (shipyard locality) and mariculture facilities in combination with expression analysis of multi xenobiotic resistance related genes and stress-related gene (HSC-70). Findings: In this paper we tested a protocol for heavy-metal levels assessment by use of a highly sensitive analytical method, ICP-OES, combined with expression analysis of multi xenobiotic resistance related genes, including the stress-related gene encoding 70-kDa heat shock cognate protein on mussels (Mytillus Galloprovincialis). Mussels from the shipyard locality had higher heavy metal concentrations, except Fe. Higher metal concentrations did not influence expression of multi xenobiotic resistance related genes with exception of stress-related gene (HSC-70) encoding 70-kDa heat shock cognate protein. Conclusions: Our results indicate that mussels sampled in the industrial area have increased metal concentrations in comparison with the aquaculture locality, that are accompanied by increased transcript levels of HSC-70.</t>
  </si>
  <si>
    <t>[Ratkaj, Ivana; Peter-Katalinic, Jasna; Pavelic, Sandra Kraljevic] Univ Rijeka, Dept Biotechnol, Rijeka 51000, Croatia; [Zurga, Paula; Bulog, Aleksandar] Teaching Inst Publ Hlth Primorskogoranska Cty, Rijeka 51000, Croatia</t>
  </si>
  <si>
    <t>University of Rijeka; University of Rijeka</t>
  </si>
  <si>
    <t>Pavelic, SK (corresponding author), Univ Rijeka, Dept Biotechnol, Radmile Matejcic 2, Rijeka 51000, Croatia.</t>
  </si>
  <si>
    <t>sandrakp@biotech.uniri.hr</t>
  </si>
  <si>
    <t>Bulog, Aleksandar/M-5328-2019; Zurga, Paula/S-6501-2018; Kraljevic Pavelic, Sandra/J-3864-2012; Bulog, Aleksandar/P-7831-2018; Ratkaj, Ivana/S-6340-2018</t>
  </si>
  <si>
    <t>Zurga, Paula/0000-0002-7489-4073; Kraljevic Pavelic, Sandra/0000-0003-0491-673X; Bulog, Aleksandar/0000-0001-6283-9248; Ratkaj, Ivana/0000-0002-5813-0487</t>
  </si>
  <si>
    <t>Croatian Science Foundation; University of Rijeka [511-21]</t>
  </si>
  <si>
    <t>Croatian Science Foundation; University of Rijeka</t>
  </si>
  <si>
    <t>Presented work was supported by the Croatian Science Foundation project High throughput analytical platforms for Adriatic-brand food quality and authenticity and University of Rijeka research grant 511-21. We greatly acknowledge the help of Dr. Elitza Markova-Car in the primer design.</t>
  </si>
  <si>
    <t>2193-1801</t>
  </si>
  <si>
    <t>SpringerPlus</t>
  </si>
  <si>
    <t>JUL 14</t>
  </si>
  <si>
    <t>10.1186/s40064-015-1007-6</t>
  </si>
  <si>
    <t>CO7WU</t>
  </si>
  <si>
    <t>WOS:000359375000002</t>
  </si>
  <si>
    <t>Zhang, YN; Chu, CL; Li, T; Xu, SG; Liu, L; Ju, MT</t>
  </si>
  <si>
    <t>Zhang, Yinan; Chu, Chunli; Li, Tong; Xu, Shengguo; Liu, Lei; Ju, Meiting</t>
  </si>
  <si>
    <t>A water quality management strategy for regionally protected water through health risk assessment and spatial distribution of heavy metal pollution in 3 marine reserves</t>
  </si>
  <si>
    <t>Heavy metal Nemerow index; USEPA model; Clustering analysis; GIS visualization; Watershed management</t>
  </si>
  <si>
    <t>POLYCYCLIC AROMATIC-HYDROCARBONS; SURFACE SEDIMENTS; SHANDONG PENINSULA; POTENTIAL HEALTH; TRACE-ELEMENTS; BOHAI BAY; RIVER; INDEX; GIS; CONTAMINATION</t>
  </si>
  <si>
    <t>Severe water pollution and resource scarcity is a major problem in China, where it is necessary to establish water quality-oriented monitoring and intelligent watershed management. In this study, an effective watershed management method is explored, in which water quality is first assessed using the heavy metal pollution index and the human health risk index, and then by classifying the pollution and management grade based on cluster analysis and GIS visualization. Three marine reserves in Tianjin were selected and analyzed, namely the Tianjin Ancient Coastal Wetland National Nature Reserve (Qilihai Natural Reserve), the Tianjin DaShentang Oyster Reef National Marine Special Reserve (DaShentang Reserve), and the Tianjin Coastal Wetland National Marine Special Reserve (BinHai Wetland Reserve) which is under construction. The water quality and potential human health risks of 5 heavy metals (Pb, As, Cd, Hg, Cr) in the three reserves were assessed using the Nemerow index and USEPA methods. Moreover, ArcGIS10.2 software was used to visualize the heavy metal index and display their spatial distribution. Cluster analysis enabled classification of the heavy metals into 4 categories, which allowed for identification of the heavy metals whose pollution index and health risks were highest, and, thus, whose control in the reserve is a priority. Results indicate that heavy metal pollution exists in the Qilihai Natural Reserve and in the north and east of the DaShentang Reserve; furthermore, human health risks exist in the Qilihai Natural Reserve and in the BinHai Wetland Reserve. In each reserve, the main factor influencing the pollution and health risk were high concentrations of As and Pb that exceed the corresponding standards. Measures must be adopted to control and remediate the pollutants. Furthermore, to protect the marine reserves, management policies must be implemented to improve water quality, which is an urgent task for both local and national governments. (C) 2017 Elsevier B.V. All rights reserved.</t>
  </si>
  <si>
    <t>[Zhang, Yinan; Chu, Chunli; Li, Tong; Xu, Shengguo; Liu, Lei; Ju, Meiting] Nankai Univ, Coll Environm Sci &amp; Engn, Tianjin, Peoples R China</t>
  </si>
  <si>
    <t>Nankai University</t>
  </si>
  <si>
    <t>Chu, CL (corresponding author), Nankai Univ, Coll Environm Sci &amp; Engn, Tianjin, Peoples R China.</t>
  </si>
  <si>
    <t>zhangyn2011@whu.edu.cn; chucl@nankai.edu.cn; xushengguo@mail.nankai.edu.cn; helenbooster@163.com; jumeit@nankai.edu.cn</t>
  </si>
  <si>
    <t>Chu, Chunli/AAC-9383-2020</t>
  </si>
  <si>
    <t>Chu, Chunli/0000-0001-6128-9168</t>
  </si>
  <si>
    <t>National Science AMP; Technology Pillar Program of China [2015BAJ01B03]</t>
  </si>
  <si>
    <t>National Science AMP; Technology Pillar Program of China</t>
  </si>
  <si>
    <t>The authors would like to acknowledge the National Science &amp; Technology Pillar Program of China (2015BAJ01B03) for the funding support. The authors would also like to thank the editors and anonymous reviewers for their insightful comments and suggestions.</t>
  </si>
  <si>
    <t>10.1016/j.scitotenv2017.04.232</t>
  </si>
  <si>
    <t>FA2DW</t>
  </si>
  <si>
    <t>WOS:000405252000075</t>
  </si>
  <si>
    <t>KRAAK, MHS; LAVY, D; PEETERS, WHM; DAVIDS, C</t>
  </si>
  <si>
    <t>CHRONIC ECOTOXICITY OF COPPER AND CADMIUM TO THE ZEBRA MUSSEL DREISSENA-POLYMORPHA</t>
  </si>
  <si>
    <t>MYTILUS-EDULIS; FILTRATION-RATE; HEAVY-METALS; BIOACCUMULATION; ACCUMULATION; CHIRONOMIDAE; POPULATION; RESPONSES; POLLUTION; EXPOSURE</t>
  </si>
  <si>
    <t>In order to evaluate ecological consequences of the long-term presence of metals in aquatic ecosystems, we investigated the filtration rate and survival of zebra mussels (Dreissena polymorpha) during chronic exposure to Cu and Cd. The filtration rate was measured once a week in laboratory experiments lasting 9-11 weeks. The lowest Cu concentration tested (13-mu-g/L) did not affect the filtration rate and survival of D. polymorpha, but the lowest Cd concentration (9-mu-g/L) did affect the filtration rate, but had no effect on survival. The EC50 for Cd decreased markedly from 388-mu-g/L to 27-mu-g/L when the exposure time was lengthened from 48 hours to 10 weeks. The largest decrease in EC50 for Cd was observed during the first week of exposure. In contrast, the EC50 for Cu did not decrease with increasing exposure time (chronic EC50: 43-mu-g/L). Since the chronic LC50 for Cd was 130-mu-g/L, the filtration rate appeared to be a far more sensitive endpoint for ecotoxicological laboratory experiments than mortality. D. polymorpha was capable of regulating the body concentration of the essential metal Cu at low concentrations in the water (13-mu-g/L). Cd was accumulated at every Cd concentration in the water, suggesting that Cd could not be regulated by D. polymorpha. It is concluded that the relation between short-term and long-term ecotoxicity was different for each metal and could not be predicted from the results of the short-term experiments.</t>
  </si>
  <si>
    <t>UNIV AMSTERDAM, DEPT AQUAT ECOTOXICOL, KRUISLAAN 320, 1098 SM AMSTERDAM, NETHERLANDS.</t>
  </si>
  <si>
    <t>Kraak, Michiel/K-6928-2012</t>
  </si>
  <si>
    <t>10.1007/BF00216246</t>
  </si>
  <si>
    <t>JM340</t>
  </si>
  <si>
    <t>WOS:A1992JM34000014</t>
  </si>
  <si>
    <t>Kumar, MR; Krishnan, KA; Vimexen, V; Faisal, AK; Mohind, M; Arun, V</t>
  </si>
  <si>
    <t>Kumar, Muralidharan Ratheesh; Krishnan, Krishnan Anoop; Vimexen, Varghese; Faisal, Abdul Kareem; Mohind, Mohan; Arun, Vijayan</t>
  </si>
  <si>
    <t>Heavy metal impression in surface sediments and factors governing the fate of macrobenthic communties in tropical estuarine ecosystem, India</t>
  </si>
  <si>
    <t>Heavy metals; Macrobenthos; Season; Sediments</t>
  </si>
  <si>
    <t>POTENTIAL ECOLOGICAL RISK; FRESH-WATER MUSSELS; SEASONAL-CHANGES; COASTAL WATER; POLLUTION; COMMUNITY; IMPACT; LAKES; SOIL; CONTAMINATION</t>
  </si>
  <si>
    <t>The present study aims to investigate the contamination of heavy metals in the sediments of a tropical ecosystem, India, and to evaluate the factors responsible for the dominance of specific macrobenthic communities, particularly in estuarine sediments. For the analysis of Cu, Cr, Ni, Zn, Pb and Cd in sediments, acid digestion and subsequent quantification by microwave plasma atomic emission spectroscopy was performed, whereas for Hg determination, cold vapour atomic absorption spectrophotometry was used. The general trend of the heavy metal concentration was observed as Cr &gt; Cu &gt; Zn &gt; Ni &gt; Pb &gt; Cd &gt; Hg, regardless of any seasonal alteration. The estuarine region was considerably contaminated by Cu and Cr (C.F. &gt; 2) irrespective of any seasonal difference, and by Cd in 2017 non-monsoon (CF &gt; 3). Heavy metal contamination was most pronounced during the monsoon (2018). Estuarine and marine zone together considered as deteriorated zone especially during monsoon seasons (PLI &gt; 1, 2018 monsoon) while riverine zone remained poorly contaminated (PLI &lt; 1). Clay Loam/Clay/Heavy Clay textures preferred polychaetes and bivalves in the estuarine and marine zone as compared to other macrobenthic communities (OMC). Among the hydrochemical parameters, total dissolved solids in general and euryhaline and slightly alkaline pH preferred domination of bivalves followed by polychaetes in non-monsoon seasons. The trace metal contamination in estuarine sediments increases the concern of bioaccumulation tendency of dominant bivalves of the estuarine and coastal sediments.</t>
  </si>
  <si>
    <t>[Kumar, Muralidharan Ratheesh; Krishnan, Krishnan Anoop; Vimexen, Varghese; Faisal, Abdul Kareem; Mohind, Mohan; Arun, Vijayan] Natl Ctr Earth Sci Studies, Biogeochem Grp, Thiruvananthapuram, Kerala, India</t>
  </si>
  <si>
    <t>Ministry of Earth Sciences (MoES) - India; National Centre for Earth Science Studies (NCESS)</t>
  </si>
  <si>
    <t>Kumar, MR (corresponding author), Natl Ctr Earth Sci Studies, Biogeochem Grp, Thiruvananthapuram, Kerala, India.</t>
  </si>
  <si>
    <t>ratheesh9767@gmail.com</t>
  </si>
  <si>
    <t>Krishnan, K./AAQ-9101-2021</t>
  </si>
  <si>
    <t>Central Chemical Laboratory &amp; erstwhile COMAPS laboratory, NCESS, Thiruvananthapuram; MoES (Ministry of Earth Science), Govt. of India</t>
  </si>
  <si>
    <t>The latest instrumentation facilities and support received from Central Chemical Laboratory &amp; erstwhile COMAPS laboratory, NCESS, Thiruvananthapuram, are highly acknowledged. The authors are thankful to the Director, National Centre for Earth Science Studies (NCESS), Thiruvananthapuram. The authors also express gratitude to MoES (Ministry of Earth Science), Govt. of India, for the financial assistance.</t>
  </si>
  <si>
    <t>10.1007/s11356-021-18394-2</t>
  </si>
  <si>
    <t>1G1XB</t>
  </si>
  <si>
    <t>WOS:000749091700006</t>
  </si>
  <si>
    <t>Andersen, V; Maage, A; Johannessen, PJ</t>
  </si>
  <si>
    <t>Heavy metals in blue mussels (Mytilus edulis) in the Bergen Harbor area, western Norway</t>
  </si>
  <si>
    <t>CADMIUM; SHELLFISH; INDICATOR; POLLUTION; COPPER; ZINC; SIZE</t>
  </si>
  <si>
    <t>Heavy metal discharges to the marine environment are of great concern all over the world. Both essential (e.g., Fe, Zn, Cu) and non essential (e.g., Hg, Cd, Pb) metals are toxic to living organisms when subjected to high concentrations (Underwood and Mertz 1987). Many heavy metals accumulate in organisms and some also accumulate in the food chain (Ruiter 1995). The anthropogenic heavy metal outlets can in this way both reduce marine species diversity and ecosystems. Further, by consuming seafood, humans will be exposed to the metals with a potential danger to human health. Goldberg (1975) proposed to use marine mussels to monitor contamination levels of coastal waters. Since then marine mussels, especially the blue mussel (Mytilus edulis), has been used widely as a surveillance organism (Claisse 1989; Cossa 1988). The blue mussel is regarded a suitable species for this purpose because it accumulates metals, is sessile, has a relatively long life span, is large enough for individual analysis, can tolerate a relatively wide range of temperature and salinity regimes (Phillips 1977), and can also synthesize the metal-binding protein, metallothionein, for metal detoxification (Kohler and Riisgard 1982). Furthermore, the blue mussel is a popular and tasteful food source and is suitable for culturing. The world-wide annual yield of mussels during the period 1988 to 1992 was about 1.3 million tons, of which about 0.5 million tons was Mytilus edulis. In Norway, the annual production was 77 tons in 1990 (FAG 1994). The interest of culturing mussels has increased in recent years, but the consumption of mussels has been hampered both by toxic algae and high levels of heavy metals. The latter is of special concern to those close to urban or industrial areas. The Bergen Harbor area (Byfjorden, Western Norway) is highly urbanized and has several industrial plants that discharge waste directly to the fjord. There is also heavy loading of municipal and industrial sewage to this area. It has been estimated that 9 tons of the heavy metals Zn, Cu, Pb, Hg and Cd were discharged from several small outlets to the southern part of Byfjord in 1992 Investigations have revealed that the sediments in the area are loaded with very high metal levels (Skei et al. 1994). Even though the fjord is deep (350 m) it is a rather closed water system with limited water exchange, connected to the coastal water by several narrow sounds. The present study was conducted to investigate whether blue mussels in the Bergen Harbor area were contaminated with the heavy metals Zn, Cu, Pb, Cd and Hg, thereby evaluating whether the mussels could be used for human consumption.</t>
  </si>
  <si>
    <t>INST NUTR, DIRECTORATE FISHERIES, N-5002 BERGEN, NORWAY; UNIV BERGEN, DEPT FISHERIES &amp; MARINE BIOL, N-5020 BERGEN, NORWAY</t>
  </si>
  <si>
    <t>10.1007/s001289900231</t>
  </si>
  <si>
    <t>VC898</t>
  </si>
  <si>
    <t>WOS:A1996VC89800013</t>
  </si>
  <si>
    <t>Chiu, JMY; Degger, N; Leung, JYS; Po, BHK; Zheng, GJ; Richardson, BJ; Lau, TC; Wu, RSS</t>
  </si>
  <si>
    <t>Chiu, Jill M. Y.; Degger, Natalie; Leung, Jonathan Y. S.; Po, Beverly H. K.; Zheng, Gene J.; Richardson, Bruce J.; Lau, T. C.; Wu, Rudolf S. S.</t>
  </si>
  <si>
    <t>A novel approach for estimating the removal efficiencies of endocrine disrupting chemicals and heavy metals in wastewater treatment processes</t>
  </si>
  <si>
    <t>Artificial Mussel; Endocrine disrupting chemical; Heavy metal; Removal efficiency; Semi-permeable membrane device</t>
  </si>
  <si>
    <t>MEMBRANE DEVICES SPMDS; ACTIVATED-SLUDGE TREATMENT; SEWAGE-TREATMENT PLANT; MUSSELS PERNA-VIRIDIS; KONG COASTAL WATERS; CARE PRODUCTS PPCPS; MUNICIPAL SEWAGE; ARTIFICIAL MUSSEL; AQUATIC ENVIRONMENT; MARINE ENVIRONMENTS</t>
  </si>
  <si>
    <t>The wide occurrence of endocrine disrupting chemicals (EDCs) and heavy metals in coastal waters has drawn global concern, and thus their removal efficiencies in sewage treatment processes,should be estimated. However, low concentrations coupled with high temporal fluctuations of these pollutants present a monitoring challenge. Using semi-permeable membrane devices (SPMDs) and Artificial Mussels (AMs), this study investigates a novel approach to evaluating the removal efficiency of five EDCs and six heavy metals in primary treatment, secondary treatment and chemically enhanced primary treatment (CEPT) processes. In general, the small difference between maximum and minimum values of individual EDCs and heavy metals measured from influents/effluents of the same sewage treatment plant suggests that passive sampling devices can smooth and integrate temporal fluctuations, and therefore have the potential to serve as cost-effective monitoring devices for the estimation of the removal efficiencies of EDCs and heavy metals in sewage treatment works. (C) 2016 Elsevier Ltd. All rights reserved.</t>
  </si>
  <si>
    <t>[Chiu, Jill M. Y.; Leung, Jonathan Y. S.; Po, Beverly H. K.; Zheng, Gene J.] Hong Kong Baptist Univ, Dept Biol, Kowloon, Hong Kong, Peoples R China; [Degger, Natalie; Po, Beverly H. K.; Wu, Rudolf S. S.] Univ Hong Kong, Ctr Marine Environm Res &amp; Innovat Technol, Hong Kong, Hong Kong, Peoples R China; [Degger, Natalie; Po, Beverly H. K.; Wu, Rudolf S. S.] Univ Hong Kong, Sch Biol Sci, Hong Kong, Hong Kong, Peoples R China; [Richardson, Bruce J.; Lau, T. C.] City Univ Hong Kong, Dept Biol &amp; Chem, Hong Kong, Hong Kong, Peoples R China; [Wu, Rudolf S. S.] Educ Univ Hong Kong, Dept Sci &amp; Environm Studies, Hong Kong, Hong Kong, Peoples R China</t>
  </si>
  <si>
    <t>Hong Kong Baptist University; University of Hong Kong; University of Hong Kong; City University of Hong Kong; Education University of Hong Kong (EdUHK)</t>
  </si>
  <si>
    <t>Chiu, JMY (corresponding author), Hong Kong Baptist Univ, Dept Biol, Kowloon, Hong Kong, Peoples R China.;Wu, RSS (corresponding author), Univ Hong Kong, Ctr Marine Environm Res &amp; Innovat Technol, Hong Kong, Hong Kong, Peoples R China.;Wu, RSS (corresponding author), Univ Hong Kong, Sch Biol Sci, Hong Kong, Hong Kong, Peoples R China.;Wu, RSS (corresponding author), Educ Univ Hong Kong, Dept Sci &amp; Environm Studies, Hong Kong, Hong Kong, Peoples R China.</t>
  </si>
  <si>
    <t>jillchiu@hkbu.edu.hk; rudolfwu@ied.edu.hk</t>
  </si>
  <si>
    <t>Wu, Rudolf/B-4203-2010; Leung, Jonathan/AAF-9321-2019; Richardson, Bruce/A-6186-2009; Chiu, Man/E-9857-2010</t>
  </si>
  <si>
    <t>Lau, Tai-Chu/0000-0002-0867-9746; Leung, Jonathan/0000-0001-5846-3401; Richardson, Bruce/0000-0001-9339-6996</t>
  </si>
  <si>
    <t>Areas of Excellence Grant [AoE P04/04]; Research Grant Council of the Hong Kong SAR government</t>
  </si>
  <si>
    <t>Areas of Excellence Grant; Research Grant Council of the Hong Kong SAR government(Hong Kong Research Grants Council)</t>
  </si>
  <si>
    <t>The authors acknowledge the help of the Sewage Department of the HKSAR Government in this study. This study was supported by an Areas of Excellence Grant (AoE P04/04) awarded to Jill M.Y. Chiu and Rudolf S.S. Wu by the Research Grant Council of the Hong Kong SAR government.</t>
  </si>
  <si>
    <t>10.1016/j.marpolbul.2016.08.043</t>
  </si>
  <si>
    <t>DZ9IQ</t>
  </si>
  <si>
    <t>WOS:000386188900016</t>
  </si>
  <si>
    <t>Bernardello, M; Secco, T; Pellizzato, F; Chinellato, M; Sfriso, A; Pavoni, B</t>
  </si>
  <si>
    <t>Bernardello, Marco; Secco, Tommaso; Pellizzato, Francesca; Chinellato, Michele; Sfriso, Adriano; Pavoni, Bruno</t>
  </si>
  <si>
    <t>The changing state of contamination in the Lagoon of Venice. Part 2: Heavy metals</t>
  </si>
  <si>
    <t>Lagoon of Venice; heavy metals; sediments; erosion; concentration factor</t>
  </si>
  <si>
    <t>SEDIMENTS; NORTHERN; PHYTOPLANKTON; FLUXES; AREA</t>
  </si>
  <si>
    <t>In order to verify whether pollution is increasing or decreasing, in 25 locations uniformly distributed in the central part of the Lagoon of Venice, a transitional environment suffering from man's urban and industrial activities, the same sampling scheme was repeated three times (in 1987, 1993 and 1998) over a 12-year period during which the lagoonal environment underwent substantial changes. Superficial sediments were sampled and analysed for heavy metals and total organic carbon contents, grain size and density. In general heavy metal contents were found to be correlated, with concentrations above the background level, e.g., for Hg, a concentration factor of 24 was observed in 1987. A temporal decrease in concentrations was observed for most of the metals. Detailed analysis on a smaller spatial scale showed that contamination significantly decreases from the inner border of the lagoon seawards, as highlighted in contour maps. The role of the Porto Marghera industrial zone as a source of pollutants at the border of the Lagoon was confirmed. The decrease in contamination could not be attributed only to a decrease in the intensity of sources, but also to erosion processes, worsened by intensive harvesting of clams with hydraulic dredges. (c) 2005 Elsevier Ltd. All rights reserved.</t>
  </si>
  <si>
    <t>Univ Venice, Dipartimento Sci Ambientali, I-30123 Venice, Italy; Venezia Tecnol, I-30175 Porto Marghera, VE, Italy</t>
  </si>
  <si>
    <t>Pavoni, B (corresponding author), Univ Venice, Dipartimento Sci Ambientali, Calle Larga Santa Marta 2137, I-30123 Venice, Italy.</t>
  </si>
  <si>
    <t>brown@unive.it</t>
  </si>
  <si>
    <t>Pavoni, Bruno/F-4686-2012</t>
  </si>
  <si>
    <t>Pavoni, Bruno/0000-0002-0128-7512</t>
  </si>
  <si>
    <t>10.1016/j.chemosphere.2005.12.033</t>
  </si>
  <si>
    <t>085CO</t>
  </si>
  <si>
    <t>WOS:000240581000010</t>
  </si>
  <si>
    <t>Lanceleur, L; Schäfer, J; Chiffoleau, JF; Blanc, G; Auger, D; Renault, S; Baudrimont, M; Audry, S</t>
  </si>
  <si>
    <t>Lanceleur, Laurent; Schaefer, Joerg; Chiffoleau, Jean-Francois; Blanc, Gerard; Auger, Dominique; Renault, Sophie; Baudrimont, Magalie; Audry, Stephane</t>
  </si>
  <si>
    <t>Long-term records of cadmium and silver contamination in sediments and oysters from the Gironde fluvial-estuarine continuum - Evidence of changing silver sources</t>
  </si>
  <si>
    <t>Silver; Cadmium; Estuary; Oyster; Biomonitoring</t>
  </si>
  <si>
    <t>SAN-FRANCISCO BAY; HEAVY-METAL CD; TRACE-METAL; GEOCHEMICAL SIGNALS; FRENCH COASTS; GARONNE RIVER; SYSTEM FRANCE; SW FRANCE; FLUXES; ZN</t>
  </si>
  <si>
    <t>The Gironde fluvial estuarine system is impacted by historic metal pollution (e.g. Cd, Zn, Hg) and oysters (Crassostrea gigas) from the estuary mouth have shown extremely high Cd concentrations for decades. Based on recent work (Chiffoleau et al., 2005) revealing anomalously high Ag concentrations (up to 65 mg kg(-1); dry weight) in Gironde oysters, we compared long-term (similar to 1955-2001) records of Ag and Cd concentrations in reservoir sediment with the respective concentrations in oysters collected between 1979 and 2010 to identify the origin and historical trend of the recently discovered Ag anomaly. Sediment cores from two reservoirs upstream and downstream from the main metal pollution source provided information on (i) geochemical background (upstream; Ag: similar to 0.3 mg kg(-1); Cd: similar to 0.8 mg kg(-1)) and (ii) historical trends in Ag and Cd pollution. The results showed parallel concentration-depth profiles of Ag and Cd supporting a common source and transport. Decreasing concentrations since 1986 (Cd: from 300 to 11 mg kg(-1); Ag: from 6.7 to 0.43 mg kg(-1)) reflected the termination of Zn ore treatment in the Decazeville basin followed by remediation actions. Accordingly, Cd concentrations in oysters decreased after 1988 (from 109 to 26 mg kg(-1), dry weight (dw)), while Ag bioaccumulation increased from 38 up to 116 mg kg(-1), dw after 1993. Based on the Cd/Ag ratio (Cd/Ag similar to 2) in oysters sampled before the termination of zinc ore treatment (1981-1985) and assuming that nearly all Cd in oysters originated from the metal point source, we estimated the respective contribution of Ag from this source to Ag concentrations in oysters. The evolution over the past 30 years clearly suggested that the recent, unexplained Ag concentrations in oysters are due to increasing contributions (&gt; 70% after 1999) by other sources, such as photography, electronics and emerging Ag applications/materials. (C) 2011 Elsevier Ltd. All rights reserved.</t>
  </si>
  <si>
    <t>[Lanceleur, Laurent; Schaefer, Joerg; Blanc, Gerard] Univ Bordeaux, UMR EPOC 5805, F-33405 Talence, France; [Chiffoleau, Jean-Francois; Auger, Dominique] IFREMER, Ctr Nantes, Dept DCN BE, F-44311 Nantes 3, France; [Renault, Sophie; Baudrimont, Magalie] Univ Bordeaux, UMR EPOC 5805, F-33120 Arcachon, France; [Audry, Stephane] Univ Toulouse, UPS OMP, LMTG, F-31400 Toulouse, France</t>
  </si>
  <si>
    <t>Centre National de la Recherche Scientifique (CNRS); Universite de Bordeaux; CNRS - National Institute for Earth Sciences &amp; Astronomy (INSU); Nantes Universite; Ifremer; Centre National de la Recherche Scientifique (CNRS); CNRS - National Institute for Earth Sciences &amp; Astronomy (INSU); Universite de Bordeaux; Universite de Toulouse; Universite Toulouse III - Paul Sabatier; Centre National de la Recherche Scientifique (CNRS); Institut de Recherche pour le Developpement (IRD)</t>
  </si>
  <si>
    <t>Schäfer, J (corresponding author), Univ Bordeaux, UMR EPOC 5805, Av Fac, F-33405 Talence, France.</t>
  </si>
  <si>
    <t>j.schaefer@epoc.u-bordeaux1.fr</t>
  </si>
  <si>
    <t>Audry, Stéphane/ABF-8717-2020</t>
  </si>
  <si>
    <t>Schafer, Jorg/0000-0003-2631-908X; Baudrimont, Magalie/0000-0001-9901-8435; Audry, Stephane/0000-0002-5075-1262; Blanc, Gerard/0009-0005-9814-0427</t>
  </si>
  <si>
    <t>French National Research Agency ANR Vulnerabilite, Milieu et Climat [ANR-07-VULN-003]; Agence de l'Eau Adour-Garonne; Ministere de l'Ecologie, de l'Energie, du Developpement durable et de la Mer</t>
  </si>
  <si>
    <t>French National Research Agency ANR Vulnerabilite, Milieu et Climat(Agence Nationale de la Recherche (ANR)); Agence de l'Eau Adour-Garonne; Ministere de l'Ecologie, de l'Energie, du Developpement durable et de la Mer</t>
  </si>
  <si>
    <t>The authors greatly acknowledge the thoughtful comments by two anonymous reviewers and Prof. Dr. M. Oehme. This work was supported by the French National Research Agency ANR Vulnerabilite, Milieu et Climat (ANR-07-VULN-003), the Agence de l'Eau Adour-Garonne and the Ministere de l'Ecologie, de l'Energie, du Developpement durable et de la Mer.</t>
  </si>
  <si>
    <t>10.1016/j.chemosphere.2011.07.036</t>
  </si>
  <si>
    <t>873HS</t>
  </si>
  <si>
    <t>WOS:000298872300013</t>
  </si>
  <si>
    <t>Karadede-Akin, H; Ünlü, E</t>
  </si>
  <si>
    <t>Karadede-Akin, Huelya; Uenlue, Erhan</t>
  </si>
  <si>
    <t>Heavy metal concentrations in water, sediment, fish and some benthic organisms from tigris river, Turkey</t>
  </si>
  <si>
    <t>Heavy metals; Tigris River; Sediment; Fish; Benthic organisms</t>
  </si>
  <si>
    <t>DAM LAKE; BLACK-SEA; LIZA-ABU; TISSUES; ACCUMULATION; POLLUTION; MULLET; ZINC; BIOACCUMULATION; CONTAMINANTS</t>
  </si>
  <si>
    <t>In this study concentrations of heavy metals, such as Cd, Co, Cu, Fe, Mn, Ni, Pb and Zn were determined in water, sediment, muscle, liver and gill of fish (Silurus triostegus, Mastacembelus simack, Mystus halepensis, Orthrias euphraticus) the muscle and liver of crab (Potamon fluviatilis), the internal organs of fresh water snail (Physa acuta), and mussel (Unio elongatulus), and in whole biomass of green algae (Spirogyra sp.) examples collected seasonally from three selected sites (I, II, and III) of Tigris River and from a reference site on Resan Creek. In general, the average Cd, Cu, Mn, Ni, Zn, and Fe values in Sites I, II, and III were found to be high in spring and summer. The concentrations of heavy metals in the Tigris River are compared with previous studies in the same sites. The results showed that Cu levels have gradually decreased during recent years. In Tigris River, among the living organisms, i. e., those which are living in benthic region and showing biomonitor characteristic, crab, snail, green algae, mussel and fish are seen to be formed in sequence. Cu, Fe, Mn and Zn values obtained from the muscle of fish and from the mass of internal organs of mussel and snail were found to be under the acceptable values suggested.</t>
  </si>
  <si>
    <t>Dicle Univ, Fac Art &amp; Sci, Dept Biol, TR-21280 Diyarbakir, Turkey</t>
  </si>
  <si>
    <t>Dicle University</t>
  </si>
  <si>
    <t>Karadede-Akin, H (corresponding author), Dicle Univ, Fac Art &amp; Sci, Dept Biol, TR-21280 Diyarbakir, Turkey.</t>
  </si>
  <si>
    <t>hkdede@dicle.edu.tr</t>
  </si>
  <si>
    <t>Unlu, Erhan/AAD-9715-2022</t>
  </si>
  <si>
    <t>Unlu, Erhan/0000-0001-5453-6140</t>
  </si>
  <si>
    <t>10.1007/s10661-006-9478-0</t>
  </si>
  <si>
    <t>181WV</t>
  </si>
  <si>
    <t>WOS:000247467900027</t>
  </si>
  <si>
    <t>Vlahogianni, T; Dassenakis, M; Scoullos, MJ; Valavanidis, A</t>
  </si>
  <si>
    <t>Vlahogianni, Thomais; Dassenakis, Manos; Scoullos, Michael J.; Valavanidis, Athanasios</t>
  </si>
  <si>
    <t>Integrated use of biomarkers (superoxide dismutase, catalase and lipid peroxidation) in mussels Mytilus galloprovincialis for assessing heavy metals' pollution in coastal areas from the Saronikos Gulf of Greece</t>
  </si>
  <si>
    <t>heavy metals; biomarkers; oxidative stress; antioxidant defence enzymes; lipid peroxidation; mussel Mytilus galloprovincialis</t>
  </si>
  <si>
    <t>OXIDATIVE STRESS; ANTIOXIDANT ENZYMES; DIGESTIVE GLAND; WATCH; BIOTRANSFORMATION; BIOAVAILABILITY; SUSCEPTIBILITY; EXPOSURE; SYSTEMS; IMPACT</t>
  </si>
  <si>
    <t>Mussels are used as sentinel organisms and bioindicators to evaluate the toxic effects of chemical pollutants in marine organisms, especially heavy metals, representing an important toot for biomonitoring environmental pollution in coastal areas. Antioxidant defence enzymes play an important role in cellular antioxidant defence systems and protect from oxidative damage by reactive oxygen species (ROS). Indigenous mussels Mytilus galloprovincialis of the Saronikos Gulf of Greece were used for monitoring heavy metal pollution in three polluted sites in the area and in one unpolluted site. Seasonal variations of the activity of antioxidant defence enzymes, superoxide dismutase (SOD) and catalase (CAT), as well as lipid peroxidation (LP) were measured as biomarkers in a period of three years in relation to concentrations of trace metals in their gills and mantle and compared to mussels from an unpolluted sampling site. SOD activity increased at least 2 fold at the polluted sites when compared to the control site (the high activity was recorded in the spring time). CAT activity was increased 2-3 times at the polluted sites, with high activity in the winter and spring time, compared to the control site. LP concentration was twice higher at the polluted sites, following the same seasonal pattern. Trace metals contents in mussels collected at polluted sites were 3-4 fold higher compared to the control site and showed moderate variations along the months, with a winter maximum followed by a summer pre-spawning minimum matching the seasonal trends of temperature and salinity. Our results showed that metal pollution in the Elefsis Bay (the most polluted coastal area) causes relatively medium levels of oxidative stress in tissues of mussels due to cellular oxy-radical generation. This study, which is the first in the area, showed that seasonal variations of the activity of antioxidant defence enzymes and LP concentrations in mussels can be used as potential biomarkers of toxicity for long-term monitoring in marine coastal ecosystems. (c) 2007 Elsevier Ltd. All rights reserved.</t>
  </si>
  <si>
    <t>Univ Athens, Organ Chem Lab, Dept Chem, Athens 15784, Greece; Univ Athens, Environm Chem Lab, Dept Chem, Athens 15784, Greece</t>
  </si>
  <si>
    <t>National &amp; Kapodistrian University of Athens; National &amp; Kapodistrian University of Athens</t>
  </si>
  <si>
    <t>Valavanidis, A (corresponding author), Univ Athens, Organ Chem Lab, Dept Chem, Univ Campus Zografou, Athens 15784, Greece.</t>
  </si>
  <si>
    <t>valavanidis@chem.uoa.gr</t>
  </si>
  <si>
    <t>Dassenakis, Manos/AAA-7788-2020</t>
  </si>
  <si>
    <t>Valavanidis, Athanasios/0000-0003-2449-6939; Scoullos, Michael/0000-0002-6122-2921; Vlachogianni, Thomais/0000-0002-3244-1842</t>
  </si>
  <si>
    <t>10.1016/j.marpolbul.2007.05.018</t>
  </si>
  <si>
    <t>218KH</t>
  </si>
  <si>
    <t>WOS:000250013900018</t>
  </si>
  <si>
    <t>Mbandzi-Phorego, N; Puccinelli, E; Pieterse, PP; Ndaba, J; Porri, F</t>
  </si>
  <si>
    <t>Mbandzi-Phorego, Nokubonga; Puccinelli, Eleonora; Pieterse, Petrus Philippus; Ndaba, Jabulani; Porri, Francesca</t>
  </si>
  <si>
    <t>Metal bioaccumulation in marine invertebrates and risk assessment in sediments from South African coastal harbours and natural rocky shores</t>
  </si>
  <si>
    <t>BSAF; BWAF; Bioindicator; Bioremediation; Metal pollution; Intertidal</t>
  </si>
  <si>
    <t>MUSSEL MYTILUS-GALLOPROVINCIALIS; TROPHIC MAGNIFICATION FACTORS; RICHARDS BAY HARBOR; HEAVY-METAL; TRACE-METAL; CRASSOSTREA-GIGAS; WATER-POLLUTION; SYDNEY HARBOR; NOVA-SCOTIA; OYSTER</t>
  </si>
  <si>
    <t>Industrial and urban activities are major contributors to metal contamination in coastal systems, often impacting the physiology, distribution and diversity of marine invertebrates. This study assessed metal contaminations in sediments, seawater, algae and invertebrates across four armoured systems (harbours) and two natural sites along the south coast of South Africa. Bioaccumulation factors such as Biosediment (BSAF), Biowater (BWAF), Bioaccumulation (BAF) and bioremediation of metals by invertebrate bioindicators were also determined. Spatial variation in metal concentrations were observed, however, bioaccumulation of metals was site and species-specific. Invertebrates bioaccumulated higher metal concentrations in armoured than natural sites, with filter feeders exhibiting higher concentrations than grazers. Among filter feeders, Octomeris angulosa and Crassostrea gigas bioaccumulated elevated aluminium (Al), arsenic (As), chromium (Cr), zinc (Zn) and copper (Cu), while, Perna perna accumulated elevated nickel (Ni), cadmium (Cd) and lead (Pb). Among grazers, Siphonaria serrata and Scutellastra longicosta bioaccumulated elevated Al, Cr, Cd, cobalt (Co), Cu, Ni and Zn. Bioaccumulation factors indicated that (As, Ni, Zn) were bioaccumulated by algae, and invertebrates from sediment (BSAF&gt;1) and from seawater (BWAF&gt;1). Additionally, invertebrates bioaccumulated metals from their prey item, algae as indicated by (BAF&gt;1). Arsenic Cd and Pb in invertebrates were above the maximum limit set for human consumption by various regulatory bodies. Our findings underscore the significant role of coastal invertebrates in bioaccumulating and bioremediating metals, suggesting a natural mechanism for water quality enhancement, especially in urbanised coastal areas.</t>
  </si>
  <si>
    <t>[Mbandzi-Phorego, Nokubonga; Puccinelli, Eleonora; Ndaba, Jabulani; Porri, Francesca] South African Inst Aquat Biodivers, Somerset St,Private Bag 1015, ZA-6139 Makhanda, South Africa; [Mbandzi-Phorego, Nokubonga; Ndaba, Jabulani; Porri, Francesca] Rhodes Univ, Dept Ichthyol &amp; Fisheries Sci, Makhanda, South Africa; [Puccinelli, Eleonora] Royal Netherlands Inst Sea Res NIOZ, Dept Coastal Syst, Texel, Netherlands; [Puccinelli, Eleonora] Univ Cape Town, Dept Oceanog, ZA-7701 Cape Town, South Africa; [Pieterse, Petrus Philippus] Univ Johannesburg, Analyt Facil, POB 524, ZA-2006 Auckland Pk, South Africa</t>
  </si>
  <si>
    <t>National Research Foundation - South Africa; South African Institute for Aquatic Biodiversity; Rhodes University; Utrecht University; Royal Netherlands Institute for Sea Research (NIOZ); University of Cape Town; University of Johannesburg</t>
  </si>
  <si>
    <t>Mbandzi-Phorego, N (corresponding author), South African Inst Aquat Biodivers, Somerset St,Private Bag 1015, ZA-6139 Makhanda, South Africa.</t>
  </si>
  <si>
    <t>bongac03@gmail.com</t>
  </si>
  <si>
    <t>Puccinelli, Eleonora/M-3562-2018; Porri, Francesca/M-4258-2017; Mbandzi, Nokubonga/IVH-9381-2023</t>
  </si>
  <si>
    <t>Mbandzi, Nokubonga/0000-0002-0376-6613; Ndaba, Jabulani/0000-0002-3360-9141</t>
  </si>
  <si>
    <t>National Research Founda-tion (NRF) [136486, MCR210218586984]</t>
  </si>
  <si>
    <t>National Research Founda-tion (NRF)</t>
  </si>
  <si>
    <t>This research project was funded by the National Research Founda-tion (NRF) (Grant No: 136486; Reference: MCR210218586984) .</t>
  </si>
  <si>
    <t>10.1016/j.envpol.2024.124230</t>
  </si>
  <si>
    <t>UP3K4</t>
  </si>
  <si>
    <t>WOS:001249219100001</t>
  </si>
  <si>
    <t>Guo, Y; Wang, Y; Huang, B</t>
  </si>
  <si>
    <t>Guo, Y.; Wang, Y.; Huang, B.</t>
  </si>
  <si>
    <t>The acute toxicity effects of hexavalent chromium in antioxidant system and gonad development to male clamGeloina coaxans</t>
  </si>
  <si>
    <t>EUROPEAN ZOOLOGICAL JOURNAL</t>
  </si>
  <si>
    <t>Chromium; oxidative stress; Geloina coaxans; gonad development</t>
  </si>
  <si>
    <t>AUTOPHAGIC CELL-DEATH; OXIDATIVE STRESS; GENE-EXPRESSION; MANGROVE SEDIMENTS; PROTECTIVE ROLE; EROSA SOLANDER; CYCLIN B3; EXPOSURE; APOPTOSIS; CLONING</t>
  </si>
  <si>
    <t>Hexavalent chromium (Cr(VI)) is a harmful environmental pollutant, which is widely distributed in the marine environment. However, the mechanisms underlying Cr-induced oxidative stress and reproductive toxicity in clams remain largely unknown. The objective of this study was to explore the acute toxic effects of Cr(VI) and estimate the applicability of male clamGeloina coaxansas a bioindicator in mangrove ecosystems. In this study,G. coaxanswere exposed to 4.34, 8,69, 17.38 and 34.76 mg/L Cr(VI) for 24, 48 and 72 h. The activities of catalase (CAT), glutathioneS-transferase (GST) and the content of malondialdehyde (MDA) were determined. The gene expression of CAT, GST, autophagy-related gene 5 (ATG5), cyclin B3 and spermatogenesis associated protein 4 (SAP4) were measured by RT-qPCR. Furthermore, histological alteration of the gonad and sperm was observed by light microscopy and transmission electron microscopy. The results showed that Cr(VI) exposure induced the accumulation of MDA and activities of enzymes. Cr(VI) exposure also inhibited the mRNA expression of ATG5, cyclin B3 and SAP4 in a dose-dependent manner, which might suggest that Cr(VI) caused reproductive toxicity by affecting gene expression. Significant changes in the histological structure of gonad were observed. The results demonstrate that Cr(VI) significantly affected functional and molecular parameters inGeloina coaxans, and indicate that gonad represents the target of exposure to Cr(VI).</t>
  </si>
  <si>
    <t>[Guo, Y.; Wang, Y.; Huang, B.] Hainan Univ, Ocean Coll, Room 205, Haikou 570228, Hainan, Peoples R China; [Guo, Y.; Wang, Y.; Huang, B.] Hainan Univ, State Key Lab Marine Resource Utilizat South Chin, Haikou, Hainan, Peoples R China</t>
  </si>
  <si>
    <t>Hainan University; Hainan University</t>
  </si>
  <si>
    <t>Huang, B (corresponding author), Hainan Univ, Ocean Coll, Room 205, Haikou 570228, Hainan, Peoples R China.</t>
  </si>
  <si>
    <t>huangbohb1@163.com</t>
  </si>
  <si>
    <t>State Ministry of Science and Technology special investigation on science and technology basic resources [2017FY100703]; Outstanding young teachers program of the State Ministry of Education [002007007]; Global Environmental Facility Study on degradation mechanism of mangrove wetland in Dongzhai harbor, Hainan province [41176084]; Midwestern construction projects in Hainan University [ZXBJH-XK006]; Key Science and Technology Projects of Hainan Province [080137]</t>
  </si>
  <si>
    <t>State Ministry of Science and Technology special investigation on science and technology basic resources; Outstanding young teachers program of the State Ministry of Education; Global Environmental Facility Study on degradation mechanism of mangrove wetland in Dongzhai harbor, Hainan province; Midwestern construction projects in Hainan University; Key Science and Technology Projects of Hainan Province</t>
  </si>
  <si>
    <t>This study was supported by The State Ministry of Science and Technology special investigation on science and technology basic resources (Project Number: 2017FY100703), Outstanding young teachers program of the State Ministry of Education (Project Number: 002007007), Global Environmental Facility Study on degradation mechanism of mangrove wetland in Dongzhai harbor, Hainan province (Project Number: 41176084), Midwestern construction projects in Hainan University (ZXBJH-XK006) and Key Science and Technology Projects of Hainan Province (Project Number: 080137).</t>
  </si>
  <si>
    <t>2475-0263</t>
  </si>
  <si>
    <t>EUR ZOOL J</t>
  </si>
  <si>
    <t>Eur. Zool. J.</t>
  </si>
  <si>
    <t>JAN 1</t>
  </si>
  <si>
    <t>10.1080/24750263.2020.1775318</t>
  </si>
  <si>
    <t>MH5IH</t>
  </si>
  <si>
    <t>WOS:000546762100001</t>
  </si>
  <si>
    <t>Zhang, AG; Lu, YL; Li, CH; Zhang, P; Su, XR; Li, Y; Wang, CL; Li, TW</t>
  </si>
  <si>
    <t>Zhang, Anguo; Lu, Yali; Li, Chenghua; Zhang, Peng; Su, Xiurong; Li, Ye; Wang, Chunlin; Li, Taiwu</t>
  </si>
  <si>
    <t>A small heat shock protein (sHSP) from Sinonovacula constricta against heavy metals stresses</t>
  </si>
  <si>
    <t>Sinonovacula constricta; Small heat shock protein; qPCR; Heavy metal</t>
  </si>
  <si>
    <t>EXPRESSION; LEAD; GENE; MECHANISMS; HEMOCYTES; CLONING</t>
  </si>
  <si>
    <t>Small heat shock proteins (sHSPs) are ATP-independent molecular chaperones and involved into many physiological and stress processes. In the present study, the full-length cDNA of sHSP was cloned from razor clam Sinonovacula constricta (denoted as ScsHSP) through cDNA library and PCR approaches. Some feature motifs like the typical alpha-crystalline domain with six beta strands, three susceptible phosphorylation serines (S-15, S-78, and S-82) were conserved in the deduce amino acid of ScsHSP. Tissue distribution analysis of the ScsHSP revealed that the mRNA transcripts of ScsHSP were constitutively expressed in all examined tissues with the highest expressions in the haemocytes. The temporal expression of ScsHSP in gill and haemocytes after PbCl2 and CdCl2 exposure were recorded by qPCR. The suppressed expression patterns were detected in CdCl2 stress at both tissues, and the minimum expression were detected at 36 h with 0.58-fold decrease in haemocytes and 0.30-fold in gill compared to each control group. During the PbCl2 exposure experiment, the expression level of ScsHSP increased significantly with larger amplitude in haemocytes. As time progressed, the mRNA transcripts of ScsHSP recovered almost to the original level at 36 h. All our results indicated that ScsHSP was involved into mediating environmental pollutants exposure and considered to be a promising candidate bio-mark for heavy metals monitoring. (C) 2013 Elsevier Ltd. All rights reserved.</t>
  </si>
  <si>
    <t>[Zhang, Anguo; Lu, Yali; Li, Chenghua; Zhang, Peng; Su, Xiurong; Li, Ye; Wang, Chunlin] Ningbo Univ, Sch Marine Sci, Ningbo 315211, Zhejiang, Peoples R China; [Zhang, Anguo] Liaoning Med Univ, Coll Anim Husb &amp; Vet, Jinzhou 121001, Liaoning Provin, Peoples R China; [Li, Taiwu] Ningbo City Coll Vocat Technol, Ningbo 315100, Zhejiang, Peoples R China</t>
  </si>
  <si>
    <t>Ningbo University; Jinzhou Medical University; Ningbo City College of Vocational Technology</t>
  </si>
  <si>
    <t>Li, CH (corresponding author), Ningbo Univ, Sch Marine Sci, 818 Fenghua Rd, Ningbo 315211, Zhejiang, Peoples R China.</t>
  </si>
  <si>
    <t>chli@yic.ac.cn</t>
  </si>
  <si>
    <t>Wang, Guanhua/JXM-6373-2024; li, yansong/JXL-5023-2024; Li, Chenghua/I-6342-2015</t>
  </si>
  <si>
    <t>Li, Chenghua/0000-0003-2978-8762</t>
  </si>
  <si>
    <t>Project of Marine Public Benefit Research Foundation of State Oceanic Administration [201005106-2]; Chinese Key Technology RD Program [2011BAD1-3B0903]; K.C.Wong Magna Fund at Ningbo University; NSFC [31101919, 41216120]</t>
  </si>
  <si>
    <t>Project of Marine Public Benefit Research Foundation of State Oceanic Administration; Chinese Key Technology RD Program; K.C.Wong Magna Fund at Ningbo University; NSFC(National Natural Science Foundation of China (NSFC))</t>
  </si>
  <si>
    <t>This work was financially supported by the Project of Marine Public Benefit Research Foundation of State Oceanic Administration (201005106-2), Chinese Key Technology R&amp;D Program (2011BAD1-3B0903), and K.C.Wong Magna Fund at Ningbo University. Partially supported was provided by NSFC grant (31101919 and 41216120).</t>
  </si>
  <si>
    <t>10.1016/j.fsi.2013.03.005</t>
  </si>
  <si>
    <t>154BI</t>
  </si>
  <si>
    <t>WOS:000319646100025</t>
  </si>
  <si>
    <t>Mhungu, F; Chen, KC; Wang, YY; Liu, YF; Zhang, YH; Pan, XH; Cheng, YF; Liu, YG; Zhang, WW</t>
  </si>
  <si>
    <t>Mhungu, Florence; Chen, Kuncai; Wang, Yanyan; Liu, Yufei; Zhang, Yuhua; Pan, Xinhong; Cheng, Yanfang; Liu, Yungang; Zhang, Weiwei</t>
  </si>
  <si>
    <t>Probabilistic Risk Assessment of Dietary Exposure to Cadmium in Residents of Guangzhou, China-Young Children Potentially at a Health Risk</t>
  </si>
  <si>
    <t>INTERNATIONAL JOURNAL OF ENVIRONMENTAL RESEARCH AND PUBLIC HEALTH</t>
  </si>
  <si>
    <t>cadmium; dietary exposure; @RISK; margin of exposure (MOE)</t>
  </si>
  <si>
    <t>MASS-SPECTROMETRY; HEAVY-METALS; FOOD; PENTACHLOROPHENOL; ACCUMULATION; POPULATION; INDUSTRIAL; BIVALVES; TOXICITY; BLOOD</t>
  </si>
  <si>
    <t>Cadmium (Cd) and its compounds are hazardous environmental pollutants with renal toxicity and human carcinogenicity, with ingestion of contaminated foods representing the major mode of exposure. There have been a number of reports evaluating the Cd content in various foods; however, regarding the actual risk posed by dietary cadmium exposure, only a few reports are available in which single point evaluation (less accurate than multiple point evaluation) was employed. In this study, we used a margin of exposure (MOE) model and @RISK software (for multiple evaluation) to evaluate Cd-related health risk in the local Guangzhou residents at varying ages, through a comparison between the estimated monthly exposures and the provisional tolerable monthly intake (0.025 mg/kg body weight (b.w.)), based on the Cd contents in various food categories available locally (a total of 3964 food samples were collected from each of the 13 districts of Guangzhou between 2015 and 2019), which were determined by using inductively coupled plasma mass spectrometry. In this study, Cd was detected in 69.6% of the samples (averaged 0.120 mg/kg), and rice and its products, leafy vegetables, bivalves, and shrimp and crabs contributed most to Cd exposure (8.63, 3.18, 2.79, and 1.48 ng/kg b.w./day, respectively). The MOE values demonstrated the following tendency: the younger age group, the lower MOE, and its 95% confidence range for the (youngest) 3-6 year old group started from 0.92, indicating a health risk of young children, while that for the other age groups were all above 1.0. Our preliminary findings warrant further clarification using biomarker assays in the relevant population.</t>
  </si>
  <si>
    <t>[Mhungu, Florence; Liu, Yungang] Southern Med Univ, Sch Publ Hlth, Dept Toxicol, Guangdong Prov Key Lab Trop Dis Res, Guangzhou 510515, Peoples R China; [Chen, Kuncai; Wang, Yanyan; Liu, Yufei; Zhang, Yuhua; Pan, Xinhong; Cheng, Yanfang; Zhang, Weiwei] Guangzhou Ctr Dis Control &amp; Prevent, Guangzhou 510440, Peoples R China; [Chen, Kuncai; Wang, Yanyan; Liu, Yufei; Zhang, Yuhua; Pan, Xinhong; Cheng, Yanfang; Zhang, Weiwei] Guangzhou Med Univ, Inst Publ Hlth, Guangzhou 510440, Peoples R China</t>
  </si>
  <si>
    <t>Southern Medical University - China; Guangzhou Medical University</t>
  </si>
  <si>
    <t>Liu, YG (corresponding author), Southern Med Univ, Sch Publ Hlth, Dept Toxicol, Guangdong Prov Key Lab Trop Dis Res, Guangzhou 510515, Peoples R China.;Zhang, WW (corresponding author), Guangzhou Ctr Dis Control &amp; Prevent, Guangzhou 510440, Peoples R China.;Zhang, WW (corresponding author), Guangzhou Med Univ, Inst Publ Hlth, Guangzhou 510440, Peoples R China.</t>
  </si>
  <si>
    <t>yungliu@126.com; gzcdczhangww@foxmail.com</t>
  </si>
  <si>
    <t>LIU, JIALIN/JXN-8034-2024; zhang, jiayue/JUF-0129-2023</t>
  </si>
  <si>
    <t>Liu, Yungang/0000-0002-2636-6479</t>
  </si>
  <si>
    <t>Science and Technology Program of Guangzhou [201904010219]; Key Medicine Discipline Construction of Guangzhou Municipality [2017-2019-07]; Science and Technology Key Programof Guangzhou [202103000039]</t>
  </si>
  <si>
    <t>Science and Technology Program of Guangzhou; Key Medicine Discipline Construction of Guangzhou Municipality; Science and Technology Key Programof Guangzhou</t>
  </si>
  <si>
    <t>This work was supported by three projects, from the Science and Technology Program of Guangzhou (grant number 201904010219), the Key Medicine Discipline Construction of Guangzhou Municipality (grant number 2017-2019-07), and the Science and Technology Key Programof Guangzhou (grant number 202103000039).</t>
  </si>
  <si>
    <t>1660-4601</t>
  </si>
  <si>
    <t>INT J ENV RES PUB HE</t>
  </si>
  <si>
    <t>Int. J. Environ. Res. Public Health</t>
  </si>
  <si>
    <t>10.3390/ijerph19159572</t>
  </si>
  <si>
    <t>Science Citation Index Expanded (SCI-EXPANDED); Social Science Citation Index (SSCI)</t>
  </si>
  <si>
    <t>3R6QT</t>
  </si>
  <si>
    <t>WOS:000839035400001</t>
  </si>
  <si>
    <t>Vasile, GG; Gheorghe, S; Ene, C; Serban, EA; Stoica, C</t>
  </si>
  <si>
    <t>Vasile, Gabriela Geanina; Gheorghe, Stefania; Ene, Corina; Serban, Ecaterina Anca; Stoica, Catalina</t>
  </si>
  <si>
    <t>Total Mercury in Fish and Benthic Invertebrates Collected from Olt River, Romania</t>
  </si>
  <si>
    <t>REVISTA DE CHIMIE</t>
  </si>
  <si>
    <t>mercury; fish; mollusks; contamination; surface water; Olt</t>
  </si>
  <si>
    <t>DANUBE DELTA SYSTEMS; HUNEDOARA COUNTY; MADEIRA RIVER; WATER; POLLUTION; BIOAVAILABILITY; SPECTROMETRY; SEDIMENTS; QUALITY; METALS</t>
  </si>
  <si>
    <t>The paper presents an assessment study on the determination of total mercury from biological samples, using Cold-Vapour Atomic Absorption Spectrometry technique which was applied on three certified reference materials: Tuna Fish ERM-CE464, Fly ash BcR-176R and Sandy Soil ERM-CC018. Recovery rates ranged from 100 to 108.8%. The method was applied on contaminated biological real samples, respectively various fish organs (Cyprinus carpio and Carrasius gibelio) as well as two types of bivalves (Dreissena sp. and Anodonta sp) collected from Olt River after the wastewater discharge of a chemical platform. The preliminary results showed that total Hg content was above the limit allowed by the World Health Organization (0.5 mg/kg) in muscle and spleen samples harvested from carp specimens. In benthic invertebrate specimens, the Hg content ranged from 0.19 to 0.52 mg/kg dry matter in internal organs, while Hg value in shells was below the method quantification limit.</t>
  </si>
  <si>
    <t>[Vasile, Gabriela Geanina; Gheorghe, Stefania; Serban, Ecaterina Anca; Stoica, Catalina] Natl Res &amp; Dev Inst Ind Ecol ECOIND, 71-73 Drumul Podul Dambovitei Str, Bucharest 060652, Romania; [Ene, Corina] Petr Gas Univ Ploiesti, Fac Econ Sci, 39 Bucharest Blvd, Ploiesti 100680, Romania; [Serban, Ecaterina Anca] Univ Politehn Bucuresti, Fac Appl Chem &amp; Mat Sci, 1-7 Polizu Str, Bucharest 011061, Romania</t>
  </si>
  <si>
    <t>National Research &amp; Development Institute Industrial Ecology; Oil &amp; Gas University of Ploiesti; National University of Science &amp; Technology POLITEHNICA Bucharest</t>
  </si>
  <si>
    <t>Stoica, C (corresponding author), Natl Res &amp; Dev Inst Ind Ecol ECOIND, 71-73 Drumul Podul Dambovitei Str, Bucharest 060652, Romania.</t>
  </si>
  <si>
    <t>catalina.stoica@incdecoind.ro</t>
  </si>
  <si>
    <t>Gheorghe, Stefania/ABA-4171-2020; Stoica, Catalina/L-6424-2013; Serban, Ecaterina/ABA-7228-2020; Ene, Corina/S-8361-2019; Vasile, Gabriela Geanina/F-6683-2016</t>
  </si>
  <si>
    <t>Stefania, Gheorghe/0000-0002-3582-7695; Serban, Ecaterina Anca/0000-0001-7728-0440; Vasile, Gabriela Geanina/0000-0001-7876-4420</t>
  </si>
  <si>
    <t>National Research Program Nucleu [38N/2018, PN 18 05 01 01]</t>
  </si>
  <si>
    <t>National Research Program Nucleu</t>
  </si>
  <si>
    <t>The authors acknowledge the financial support offered by The National Research Program Nucleu through Agreement no. 38N/2018, Project code PN 18 05 01 01.</t>
  </si>
  <si>
    <t>REVISTA CHIMIE SRL</t>
  </si>
  <si>
    <t>CALES PLEVNEI NR 139A, SECTOR 6, BUCURESTI, ROMANIA</t>
  </si>
  <si>
    <t>0034-7752</t>
  </si>
  <si>
    <t>REV CHIM-BUCHAREST</t>
  </si>
  <si>
    <t>Rev. Chim.</t>
  </si>
  <si>
    <t>Chemistry, Multidisciplinary; Engineering, Chemical</t>
  </si>
  <si>
    <t>Chemistry; Engineering</t>
  </si>
  <si>
    <t>HN8EP</t>
  </si>
  <si>
    <t>WOS:000460428100058</t>
  </si>
  <si>
    <t>Bayramoglu, EE; Özçelik, A; Çetin, M; Eren, E</t>
  </si>
  <si>
    <t>Bayramoglu, Eser Eke; Ozcelik, Anil; Cetin, Mehmet; Eren, Erkan</t>
  </si>
  <si>
    <t>Investigation on Reducing Chromium Quantity in Chromium Containing Wastes from Leather Industry Using Oyster Mushroom (Pleurotus ostreatus)</t>
  </si>
  <si>
    <t>JOURNAL OF THE AMERICAN LEATHER CHEMISTS ASSOCIATION</t>
  </si>
  <si>
    <t>SOLID-WASTES</t>
  </si>
  <si>
    <t>In the leather industry, the wastes after the wet blue phase, which are created by the shaving process, are one of the substances that cause environmental pollution. Most of the time, these wastes are buried and may, under some circumstances, cause serious environmental pollution problems. In this study, the chromium in wet blue shaved waste is to be minimized by using oyster mushrooms (Pleurotus ostreatus). Wet blue shaved wastes were mixed with 0.5%, 1%, 1.5% and 2% doses into the growth medium. After the oyster mushroom growth, the consumption of chromium from the growth media and uptaken by the mushrooms were investigated with Ege University Argefar Lab.'s House Method using a ICP-MS.</t>
  </si>
  <si>
    <t>[Bayramoglu, Eser Eke; Ozcelik, Anil] Ege Univ, Fac Engn, Dept Leather Engn, TR-35100 Bornova, Turkey; [Cetin, Mehmet; Eren, Erkan] Ege Univ, Bergama Tech &amp; Business Coll, Mushroom Programme, Bergama Izmir, Turkey</t>
  </si>
  <si>
    <t>Ege University; Ege University</t>
  </si>
  <si>
    <t>Bayramoglu, EE (corresponding author), Ege Univ, Fac Engn, Dept Leather Engn, TR-35100 Bornova, Turkey.</t>
  </si>
  <si>
    <t>eserekebay@gmail.com</t>
  </si>
  <si>
    <t>Bayramoğlu, Eser Eke/HTQ-6876-2023; Eren, Erkan/JXN-4144-2024; CETİN, Mehmet/IAR-0560-2023</t>
  </si>
  <si>
    <t>CETIN, MEHMET/0000-0003-4813-1598</t>
  </si>
  <si>
    <t>Ege University Scientific Research Project Department Directorate [16-MUH-102]; T.R. Ministry of Development. [2007 DPT 001]</t>
  </si>
  <si>
    <t>Ege University Scientific Research Project Department Directorate(Ege University); T.R. Ministry of Development.(Turkiye Cumhuriyeti Kalkinma Bakanligi)</t>
  </si>
  <si>
    <t>The authors would like to thank to Ege University Scientific Research Project Department Directorate for the financial support they provided (Project No: 16-MUH-102). The authors also acknowledge the project of Industrial Doctorate Program of Textile and Leather-2007 DPT 001 supported by T.R. Ministry of Development.</t>
  </si>
  <si>
    <t>AMER LEATHER CHEMISTS ASSOC</t>
  </si>
  <si>
    <t>LUBBOCK</t>
  </si>
  <si>
    <t>1314 50 ST, STE 103, LUBBOCK, TX 79412 USA</t>
  </si>
  <si>
    <t>0002-9726</t>
  </si>
  <si>
    <t>J AM LEATHER CHEM AS</t>
  </si>
  <si>
    <t>J. Am. Leather Chem. Assoc.</t>
  </si>
  <si>
    <t>Chemistry, Applied; Materials Science, Textiles</t>
  </si>
  <si>
    <t>Chemistry; Materials Science</t>
  </si>
  <si>
    <t>JY4DX</t>
  </si>
  <si>
    <t>WOS:000504368400001</t>
  </si>
  <si>
    <t>VALIELA, I; BANUS, MD; TEAL, JM</t>
  </si>
  <si>
    <t>RESPONSE OF SALT-MARSH BIVALVES TO ENRICHMENT WITH METAL-CONTAINING SEWAGE SLUDGE AND RETENTION OF LEAD, ZINC AND CADMIUM BY MARSH SEDIMENTS</t>
  </si>
  <si>
    <t>BOSTON UNIV,MARINE PROGRAM,MARINE BIOL LAB,WOODS HOLE,MA 02543; WOODS HOLE OCEANOG INST,WOODS HOLE,MA 02543</t>
  </si>
  <si>
    <t>Marine Biological Laboratory - Woods Hole; Boston University; Woods Hole Oceanographic Institution</t>
  </si>
  <si>
    <t>10.1016/0013-9327(74)90082-2</t>
  </si>
  <si>
    <t>U7897</t>
  </si>
  <si>
    <t>WOS:A1974U789700008</t>
  </si>
  <si>
    <t>Weng, NY; Wang, WX</t>
  </si>
  <si>
    <t>Weng, Nanyan; Wang, Wen-Xiong</t>
  </si>
  <si>
    <t>Improved tolerance of metals in contaminated oyster larvae</t>
  </si>
  <si>
    <t>Crassostrea sikamea; Exposure history; Copper; Zinc; Tolerance; Metallothionein</t>
  </si>
  <si>
    <t>MESSENGER-RNA EXPRESSION; MYTILUS-EDULIS EMBRYOS; METALLOTHIONEIN EXPRESSION; COPPER TOLERANCE; LOCAL ADAPTATION; FATHEAD MINNOWS; SEA; CADMIUM; BIOACCUMULATION; EXPOSURE</t>
  </si>
  <si>
    <t>Environmental stress experienced by parents may make a significant difference in the response of their offspring. However, relevant studies on marine bivalves are very limited especially for the field populations. In the present study, we examined the relative metal tolerance of offspring produced by four natural populations of oyster Crassostrea sikamea that were contaminated by metals to different degrees. We demonstrated that the resistance of oyster offspring to copper and zinc was correlated with the level of metal pollution experienced by the parent oysters. Specifically, the oyster embryo and larvae produced by adult oysters from contaminated sites had a much higher tolerance to metal stress than those from the reference sites. Furthermore, tissue concentration-dependent maternal transfer of Cu and Zn was found in this study, and the metallothionein concentrations in eggs were positively related to the total concentrations of maternally transferred Cu and Zn. Thus, the maternally transferred metals inducing high level of MT synthesis in eggs was one of the possible mechanisms responsible for the enhanced metal tolerance of oyster embryos and larvae from heavily contaminated sites. We concluded that environmental exposure history of adult oysters significantly influenced the ability of their offspring to cope with metal stress. Our findings offered the field evidence of the possible transfer of metal tolerance from adults to offspring in marine bivalves. (C) 2013 Elsevier B.V. All rights reserved.</t>
  </si>
  <si>
    <t>[Weng, Nanyan; Wang, Wen-Xiong] Xiamen Univ, Coll Environm &amp; Ecol, State Key Lab Marine Environm Sci, Xiamen 361005, Peoples R China; [Wang, Wen-Xiong] Hong Kong Univ Sci &amp; Technol, Div Life Sci, Kowloon, Hong Kong, Peoples R China</t>
  </si>
  <si>
    <t>Xiamen University; Hong Kong University of Science &amp; Technology</t>
  </si>
  <si>
    <t>General Research Fund from the Hong Kong Research Grants Council [662813]; National Natural Science Foundation [21237004]; SKLMP Seed Collaborative Research Fund</t>
  </si>
  <si>
    <t>General Research Fund from the Hong Kong Research Grants Council; National Natural Science Foundation(National Natural Science Foundation of China (NSFC)); SKLMP Seed Collaborative Research Fund</t>
  </si>
  <si>
    <t>We thank the anonymous reviewers for their comments. This study was supported by the General Research Fund from the Hong Kong Research Grants Council (662813), the Key Project from the National Natural Science Foundation (21237004), and a SKLMP Seed Collaborative Research Fund.</t>
  </si>
  <si>
    <t>10.1016/j.aquatox.2013.10.036</t>
  </si>
  <si>
    <t>AA9NV</t>
  </si>
  <si>
    <t>WOS:000331421100008</t>
  </si>
  <si>
    <t>De Guglielmo, V; Puoti, R; Notariale, R; Maresca, V; Ausió, J; Troisi, J; Verrillo, M; Basile, A; Febbraio, F; Piscopo, M</t>
  </si>
  <si>
    <t>De Guglielmo, Virgilia; Puoti, Raffaela; Notariale, Rosaria; Maresca, Viviana; Ausio, Juan; Troisi, Jacopo; Verrillo, Mariavittoria; Basile, Adriana; Febbraio, Ferdinando; Piscopo, Marina</t>
  </si>
  <si>
    <t>Alterations in the properties of sperm protamine-like II protein after exposure of Mytilus galloprovincialis (Lamarck 1819) to sub-toxic doses of cadmium</t>
  </si>
  <si>
    <t>Cadmium; Mytilus galloprovincialis L.; Metal pollution; Sperm chromatin; Protamine-like proteins; Metal bioaccumulation</t>
  </si>
  <si>
    <t>CHAETOPTERUS-VARIOPEDATUS; HEAVY-METALS; SEA-URCHIN; DNA; EXPRESSION; POLLUTION; CHROMATIN; RELEVANCE; TOXICITY; H1</t>
  </si>
  <si>
    <t>Protamine-like proteins (PL-II, PL-III and PL-IV) represent the major basic nuclear component of Mytilus galloprovincialis L sperm chromatin. The present study investigates the effects induced on the properties of PL-II protein after exposure of Mytilus galloprovincialis L for 24 h to 1.5 and 5 mu M CdCl2. We found cadmium accumulation in protamine-like proteins with a linear grow up with the exposition dose. In particular, after 5 mu M CdCl2 mussels exposure, the mobility of PL-II band changed in SDS-PAGE, suggesting structural rearrangement in presence of cadmium. Structural analysis using fluorescent probes, indicated that at 5 mu M CdCl2 the complete conformational change of PL-II protein was reached. In the same condition of mussels exposure of 5 mu M CdCl2, PL-II protein changed its DNA binding mode, which determined a closer DNA binding, because higher amount of NaCl were required for PL-II protein release by sperm nuclei. These results supported the hypothesis that mussel exposure to this CdCl2 dose, although lower to toxic ones, affects the properties of this protein and as a consequence chromatin organization of spermatozoa that is essential for the success of fertilization.</t>
  </si>
  <si>
    <t>[De Guglielmo, Virgilia; Puoti, Raffaela; Notariale, Rosaria; Maresca, Viviana; Basile, Adriana; Piscopo, Marina] Univ Naples Federico II, Dept Biol, Complesso Univ Monte S Angelo,Via Cinthia, I-80126 Naples, Italy; [Ausio, Juan] Univ Victoria, Dept Biochem &amp; Microbiol, Victoria, BC, Canada; [Troisi, Jacopo] Univ Salerno, Theoreo Srl Spin Off, I-84090 Salerno, Italy; [Verrillo, Mariavittoria] Univ Naples Federico II, Dept Agr Sci, Via Univ 100, I-84055 Portici, Italy; [Febbraio, Ferdinando] CNR, Inst Prot Biochem, Via Pietro Castellino 111, I-80131 Naples, Italy</t>
  </si>
  <si>
    <t>University of Naples Federico II; University of Victoria; University of Salerno; University of Naples Federico II; Consiglio Nazionale delle Ricerche (CNR); Istituto di Biochimica delle Proteine (IBP-CNR)</t>
  </si>
  <si>
    <t>Piscopo, M (corresponding author), Univ Naples Federico II, Dept Biol, Complesso Univ Monte S Angelo,Via Cinthia, I-80126 Naples, Italy.;Febbraio, F (corresponding author), CNR, Inst Prot Biochem, Via Pietro Castellino 111, I-80131 Naples, Italy.</t>
  </si>
  <si>
    <t>f.febbraio@ibp.cnr.it; marina.piscopo@unina.it</t>
  </si>
  <si>
    <t>Maresca, Viviana/AEP-6443-2022; Verrillo, Mariavittoria/AAZ-8891-2021; PISCOPO, MARINA/AAU-5505-2020; Febbraio, Ferdinando/AAX-8255-2020; Troisi, Jacopo/ABC-1348-2021; BASILE, Adriana/ABC-8500-2021</t>
  </si>
  <si>
    <t>Notariale, Rosaria/0000-0002-6048-9480; Maresca, Viviana/0000-0002-4656-320X; Febbraio, Ferdinando/0000-0002-3653-9847; Piscopo, Marina/0000-0003-0560-6952; BASILE, Adriana/0000-0002-2001-8959; Troisi, Jacopo/0000-0003-2962-7379; Verrillo, Mariavittoria/0000-0003-0083-7372</t>
  </si>
  <si>
    <t>[000020 PRD-2017-M-PISCOPO_001_001]</t>
  </si>
  <si>
    <t>The authors want to thank the EUROFISH NAPOLI S.R.L. (Bacoli, Italy) for kindly provide the mussels used for this study. The present work was supported by departmental funding 000020 PRD-2017-M-PISCOPO_001_001.</t>
  </si>
  <si>
    <t>10.1016/j.ecoenv.2018.11.069</t>
  </si>
  <si>
    <t>HI1SZ</t>
  </si>
  <si>
    <t>WOS:000456226600071</t>
  </si>
  <si>
    <t>Cariou, E; Guivel, C; La, C; Lenta, L; Elliot, M</t>
  </si>
  <si>
    <t>Cariou, Elsa; Guivel, Christele; La, Carole; Lenta, Laurent; Elliot, Mary</t>
  </si>
  <si>
    <t>Lead accumulation in oyster shells, a potential tool for environmental monitoring</t>
  </si>
  <si>
    <t>Metals; Molluscs; Ostrea edulis; Lead anthropogenic contamination; Proxy record; European coasts</t>
  </si>
  <si>
    <t>MYTILUS-EDULIS; ANTHROPOGENIC LEAD; TRACE-ELEMENTS; MYA-ARENARIA; GROWTH-RATE; NORTH-SEA; POLLUTION; CONTAMINATION; BIOINDICATOR; PROFILES</t>
  </si>
  <si>
    <t>Pb/Ca profiles were measured on ten live collected Ostrea edulis from three sites characterized by different levels of lead content. Intra-shell and inter-shell reproducibility were tested comparing several Pb/Ca profiles measured by LA-ICP-MS within a specimen, and within specimens from the same site. Results indicate that signals recorded are reproducible and mean shell Pb/Ca values are site-dependent. Second order variability is explained either by smoothing effects, biological effects or micro-environmental heterogeneities in lead distribution. Mean Pb contents measured in marine bivalve shells are reviewed here. Ranging from 0 to 50 ppm, they show a strong relationship with the environmental level of local lead contamination, and do not appear species-dependent. Our measurements show a linear relationship between mean shell Pb/Ca and surface sediment Pb concentrations, making marine bivalves and particularly O. edulis a potential accurate bio-monitoring tool able to monitor bioavailable lead along European coasts since Mesolithic, with an annual resolution.</t>
  </si>
  <si>
    <t>[Cariou, Elsa; Guivel, Christele; La, Carole; Lenta, Laurent; Elliot, Mary] Nantes Univ, LPG, UMR CNRS 6112, 2 Rue Houssiniere BP92208, F-44322 Nantes 3, France</t>
  </si>
  <si>
    <t>Nantes Universite; Centre National de la Recherche Scientifique (CNRS)</t>
  </si>
  <si>
    <t>Cariou, E (corresponding author), Nantes Univ, LPG, UMR CNRS 6112, 2 Rue Houssiniere BP92208, F-44322 Nantes 3, France.</t>
  </si>
  <si>
    <t>elsa.cariou@univ-nantes.fr</t>
  </si>
  <si>
    <t>Elliot, Mary/E-4314-2012</t>
  </si>
  <si>
    <t>Elliot, Mary/0000-0001-5322-6941; LA, Carole/0000-0003-1081-1897</t>
  </si>
  <si>
    <t>Observatory of the Sciences of the Universe Nantes Atlantique (OSUNA); Projet Region-Jeune equipe des Pays de la Loire</t>
  </si>
  <si>
    <t>The authors wish to thank Stephane Pouvreau, Christian Mingant (IFREMER) and Philippe Glize (Syndicat Mixte pour le Developpement de l'Aquaculture et de la Peche en Pays de la Loire) for providing the oysters and for their encouragement of this project. We are grateful to the Observatory of the Sciences of the Universe Nantes Atlantique (OSUNA) and the Projet Region-Jeune equipe des Pays de la Loire for financial support.</t>
  </si>
  <si>
    <t>10.1016/j.marpolbul.2017.07.075</t>
  </si>
  <si>
    <t>FR0BV</t>
  </si>
  <si>
    <t>WOS:000418727000016</t>
  </si>
  <si>
    <t>Hop, NV; Dieu, HTQ; Phong, NH</t>
  </si>
  <si>
    <t>Nguyen Van Hop; Hoang Thi Quynh Dieu; Nguyen Hai Phong</t>
  </si>
  <si>
    <t>Metal speciation in sediment and bioaccumulation in Meretrix lyrata in the Tien Estuary in Vietnam</t>
  </si>
  <si>
    <t>Bioaccumulation; Metal speciation; Meretrix lyrata; Sediment; Tien Estuary</t>
  </si>
  <si>
    <t>SEQUENTIAL EXTRACTION PROCEDURES; ECOLOGICAL RISK-ASSESSMENT; HEAVY-METALS; SURFACE SEDIMENTS; MEDITERRANEAN SEA; MARINE-SEDIMENTS; BIVALVE MOLLUSKS; SOUTHWEST COAST; RIVER SEDIMENTS; TRACE-ELEMENTS</t>
  </si>
  <si>
    <t>The concentrations of seven toxic metals (cadmium (Cd), nickel (Ni), chromium (Cr), arsenic (As), lead (Pb), copper (Cu), and zinc (Zn)) were determined in sediments and the soft tissues of a bivalve species (Meretrix lyrata) collected from the Tien Estuary in Tien Giang Province, South Vietnam. The total metal concentrations in sediments (mg/kg dry weight) increased as Cd (0.06) &lt; Cu (5.0) &lt; Pb (13.9) &lt; As (16.3) &lt; Ni (24) &lt; Cr (50) &lt; Zn (62). Speciation analysis revealed that these metals existed mainly in the residual fraction (43-94%), followed by the Fe-Mn oxide-bound (5-35%) and organic/sulfide-bound (0.6-9.2%) fractions. The metal concentrations in M. lyrata (mg/kg dry weight) were in the ranges of 1.3-1.9 (Cd), 1.5-2.8 (Ni), 1.8-3.4 (Cr), 11-16 (As), 0.3-0.6 (Pb), 6.9-8.7 (Cu), and 95-128 (Zn), which are safe for human consumption. The order of the mean biota-sediment accumulation factor (BSAF) of the metals in the non-residual fractions of the sediment for M. lyrata was Cd &gt; Cu &gt; As &gt; Zn &gt; Cr &gt; Ni &gt; Pb. The Risk Assessment Codes (RACs) suggest that the highest mobility of Cd (with RAC = 37%) poses greater environmental risk to aquatic biota. Correlation analysis results show that M. lyrata can be used as a biomonitor of Cd and Cu pollution in the exchangeable, acid-soluble, and non-residual sediment fractions.</t>
  </si>
  <si>
    <t>[Nguyen Van Hop; Hoang Thi Quynh Dieu; Nguyen Hai Phong] Hue Univ, Dept Chem, Coll Sci, 77 Nguyen Hue Str, Hue City, Vietnam</t>
  </si>
  <si>
    <t>Hue University</t>
  </si>
  <si>
    <t>Hop, NV (corresponding author), Hue Univ, Dept Chem, Coll Sci, 77 Nguyen Hue Str, Hue City, Vietnam.</t>
  </si>
  <si>
    <t>ngvanhopkh@gmail.com</t>
  </si>
  <si>
    <t>Nguyen Thi, Phuong/AAY-7363-2021</t>
  </si>
  <si>
    <t>Preventive Medicine Center of Tien Giang province, Vietnam</t>
  </si>
  <si>
    <t>This work was supported by the Preventive Medicine Center of Tien Giang province, Vietnam.</t>
  </si>
  <si>
    <t>10.1007/s10661-017-5995-2</t>
  </si>
  <si>
    <t>EX2UN</t>
  </si>
  <si>
    <t>WOS:000403083300056</t>
  </si>
  <si>
    <t>Liu, XF; Dong, XQ; Chang, SQ; Xu, X; Li, JS; Pu, HF</t>
  </si>
  <si>
    <t>Liu, Xiaofeng; Dong, Xiaoqiang; Chang, Shiqi; Xu, Xin; Li, Jiashi; Pu, Hefu</t>
  </si>
  <si>
    <t>Remediation of lead-contaminated groundwater by oyster shell powder-peanut shell biochar mixture</t>
  </si>
  <si>
    <t>Permeable reactive barrier; Peanut shell biochar; Oyster shell powder; Lead-contaminated groundwater; Adsorption</t>
  </si>
  <si>
    <t>HEAVY-METAL IONS; AQUEOUS-SOLUTION; ADSORPTION CHARACTERISTICS; SOLUTE TRANSPORT; METHYLENE-BLUE; PARTICLE-SIZE; REMOVAL; COLUMN; HUSK; PERMEABILITY</t>
  </si>
  <si>
    <t>Groundwater pollution caused by lead ions has become a widespread issue worldwide due to the ever-increasing development of industrial activities. Such pollution poses significant threats to both humans and the environment. Oyster shell powder-peanut shell biochar mixture (OSP-PSB mixture) was used for lead-contaminated groundwater treatment by permeable reactive barrier (PRB) technology. Basic characteristics of materials proved that OSP-PSB mixture has good adsorption properties; OSP with particle sizes ranging from 0.85 to 1.18 mm was used in this research; according to engineering and adsorption characteristics, OSP-PSB mixture (5:1) showed excellent permeability (4.35 x 10-4 cm/s) and lead adsorption capacity(27 mg/g); long-term permeability of the OSP-PSB mixture slightly decreased over time and met the permeability requirements for PRB; the removal mechanisms of lead ions by OSP-PSB mixture include precipitation, surface complexation, ion exchange, and physical adsorption. The experiment results showed that the OSP-PSB mixture fulfills the actual project requirements of PRB.</t>
  </si>
  <si>
    <t>[Liu, Xiaofeng; Dong, Xiaoqiang; Chang, Shiqi; Li, Jiashi; Pu, Hefu] Taiyuan Univ Technol, Coll Civil Engn, Taiyuan 030024, Peoples R China; [Xu, Xin] Jilin Univ, Coll Construct Engn, Jilin 130021, Peoples R China; [Pu, Hefu] Huazhong Univ Sci &amp; Technol, Sch Civil &amp; Hydraul Engn, Wuhan 430074, Peoples R China</t>
  </si>
  <si>
    <t>Taiyuan University of Technology; Jilin University; Huazhong University of Science &amp; Technology</t>
  </si>
  <si>
    <t>Liu, XF; Dong, XQ (corresponding author), Taiyuan Univ Technol, Coll Civil Engn, Taiyuan 030024, Peoples R China.</t>
  </si>
  <si>
    <t>liuxiaofeng02@tyut.edu.cn; dongxiaoqiang@tyut.edu.cn; 114431449@qq.com; xuxinjlu@jlu.edu.cn; 1281413546@qq.com; puh@hust.edu.cn</t>
  </si>
  <si>
    <t>Zhang, Tianyi/KHV-3716-2024</t>
  </si>
  <si>
    <t>This research was financially supported by National Natural Science Foundation of China (No.51978438) (No.52281340410); Natural Science Foundation of Shanxi, China (No.202103021223122); School Foundation of Taiyuan University of Technology (No.2022QN044). [51978438, 52281340410]; National Natural Science Foundation of China [202103021223122]; Natural Science Foundation of Shanxi, China [2022QN044]; School Foundation of Taiyuan University of Technology</t>
  </si>
  <si>
    <t>This research was financially supported by National Natural Science Foundation of China (No.51978438) (No.52281340410); Natural Science Foundation of Shanxi, China (No.202103021223122); School Foundation of Taiyuan University of Technology (No.2022QN044).; National Natural Science Foundation of China(National Natural Science Foundation of China (NSFC)); Natural Science Foundation of Shanxi, China(Natural Science Foundation of Shanxi Province); School Foundation of Taiyuan University of Technology</t>
  </si>
  <si>
    <t>This research was financially supported by National Natural Science Foundation of China (No.51978438) (No.52281340410); Natural Science Foundation of Shanxi, China (No.202103021223122); School Foundation of Taiyuan University of Technology (No.2022QN044).</t>
  </si>
  <si>
    <t>10.1007/s10653-023-01756-9</t>
  </si>
  <si>
    <t>KA2X5</t>
  </si>
  <si>
    <t>WOS:001075429500001</t>
  </si>
  <si>
    <t>Marisa, I; Matozzo, V; Munari, M; Binelli, A; Parolini, M; Martucci, A; Franceschinis, E; Brianese, N; Marin, MG</t>
  </si>
  <si>
    <t>Marisa, Ilaria; Matozzo, Valerio; Munari, Marco; Binelli, Andrea; Parolini, Marco; Martucci, Alessandro; Franceschinis, Erica; Brianese, Nicola; Marin, Maria Gabriella</t>
  </si>
  <si>
    <t>In vivo exposure of the marine clam Ruditapes philippinarum to zinc oxide nanoparticles: responses in gills, digestive gland and haemolymph</t>
  </si>
  <si>
    <t>Nanoparticles; Zinc oxide nanoparticles; Zinc; Clams; Biomarkers; Bioaccumulation</t>
  </si>
  <si>
    <t>MULTI-BIOMARKER APPROACH; FRESH-WATER MUSSELS; ZEBRA MUSSEL; DNA-DAMAGE; SCROBICULARIA-PLANA; TAPES-PHILIPPINARUM; ZNO NANOPARTICLES; OXIDATIVE STRESS; IMMUNE-SYSTEM; METAL</t>
  </si>
  <si>
    <t>Potential nanoparticle (NP) toxicity poses a growing concern in marine coastal environments. Among NPs, zinc oxide nanoparticles (nZnO) are widely used in many common products that ultimately become deposited in coastal habitats from multiple non-point sources. In this study, we evaluated the in vivo effects of nZnO in the clam Ruditapes philippinarum. Animals were exposed to nZnO (1 and 10 mu g/L) and ZnCl2 (10 mu g/L) for 7 days. ZnCl2 was used to compare the effects of the NPs to those of Zn2+ and to ascertain whether nZnO toxicity is attributable to the release of ions into the aquatic medium. At differing time intervals during the exposure, several biochemical and cellular responses were evaluated in the clam gills, digestive gland, and haemolymph. The results showed that nZnO, at concentrations close to the predicted environmental levels, significantly affected various parameters in clam tissues. Significant increases in catalase and superoxide dismutase activities and a decreasing trend of glutathione S-transferase activity indicated the involvement of oxidative stress in nZnO toxicity. In clams exposed to ZnCl2, slight variations in antioxidant enzyme activities were detected with respect to nZnO-treated clams. However, no damage to lipids, proteins or DNA was revealed in all exposure conditions, suggesting a protection of antioxidant enzymes in the tissues. Of the various haemolymph parameters measured, haemocyte proliferation increased significantly, in ZnCl2-treated clams in particular. Under nZnO (10 mu g/L) and ZnCl2 exposure, DNA damage in haemocytes was also revealed, but it was lower in clams exposed to ZnCl2. A decreasing trend in gill AChE activity of treated clams proposed a possible role of zinc ions in nZnO toxicity. However, the dissimilar modulation of the responses in the nZnO- and ZnCl2-exposed clams suggested different mechanisms of action, with nZnO toxicity possibly depending not only on the release of zinc ions but also on NP-specific features. Changes in the biological parameters measured in the clams were consistent with Zn accumulation in their gills and digestive glands.</t>
  </si>
  <si>
    <t>[Marisa, Ilaria; Matozzo, Valerio; Munari, Marco; Marin, Maria Gabriella] Univ Padua, Dept Biol, Via Ugo Bassi 58-B, I-35131 Padua, Italy; [Binelli, Andrea; Parolini, Marco] Univ Milan, Dept Biosci, Via Celoria 26, I-20133 Milan, Italy; [Martucci, Alessandro] Univ Padua, Dept Ind Engn, Via Marzolo 9, I-35131 Padua, Italy; [Martucci, Alessandro] Univ Padua, INSTM, Via Marzolo 9, I-35131 Padua, Italy; [Franceschinis, Erica] Univ Padua, Dept Pharmaceut &amp; Pharmacol Sci, Via Marzolo 5, I-35131 Padua, Italy; [Brianese, Nicola] CNR, Inst Energet &amp; Interphases IENI, Corso Stati Uniti 4, I-35127 Padua, Italy</t>
  </si>
  <si>
    <t>University of Padua; University of Milan; University of Padua; University of Padua; University of Padua; Consiglio Nazionale delle Ricerche (CNR)</t>
  </si>
  <si>
    <t>Marin, MG (corresponding author), Univ Padua, Dept Biol, Via Ugo Bassi 58-B, I-35131 Padua, Italy.</t>
  </si>
  <si>
    <t>mgmar@bio.unipd.it</t>
  </si>
  <si>
    <t>Matozzo, Valerio/D-6999-2017; Munari, Marco/ABI-7729-2020; Martucci, Alessandro/AAM-6138-2021; Marin, Maria Gabriella/KDN-0381-2024; Munari, Marco/M-2952-2016; Binelli, Andrea/B-2685-2017</t>
  </si>
  <si>
    <t>Parolini, Marco/0000-0003-0226-1709; MARIN, MARIA/0000-0002-1479-5428; FRANCESCHINIS, ERICA/0000-0002-3915-5144; Munari, Marco/0000-0002-2702-5393; Binelli, Andrea/0000-0001-9953-7315</t>
  </si>
  <si>
    <t>10.1007/s11356-016-6690-5</t>
  </si>
  <si>
    <t>DS1QB</t>
  </si>
  <si>
    <t>WOS:000380369900055</t>
  </si>
  <si>
    <t>Latire, T; Le Pabic, C; Mottin, E; Mottier, A; Costil, K; Koueta, N; Lebel, JM; Serpentini, A</t>
  </si>
  <si>
    <t>Latire, Thomas; Le Pabic, Charles; Mottin, Elmina; Mottier, Antoine; Costil, Katherine; Koueta, Noussithe; Lebel, Jean-Marc; Serpentini, Antoine</t>
  </si>
  <si>
    <t>Responses of primary cultured haemocytes from the marine gastropod Haliotis tuberculata under 10-day exposure to cadmium chloride</t>
  </si>
  <si>
    <t>Haemocytes; Immune parameters; Mollusc; Abalone; Haliotis tuberculata; Cadmium chloride</t>
  </si>
  <si>
    <t>IN-VITRO EXPOSURE; CRASSOSTREA-GIGAS THUNBERG; MUSSELS MYTILUS-GALLOPROVINCIALIS; LYSOSOMAL MEMBRANE DAMAGE; PACIFIC OYSTER; DIVERSICOLOR-SUPERTEXTA; IMMUNE-RESPONSE; PHENOLOXIDASE ACTIVITY; ACTIN CYTOSKELETON; DIGESTIVE CELLS</t>
  </si>
  <si>
    <t>Among metals, cadmium, a non-essential element, is an important pollutant that is released into aquatic environments. Due to its persistence and bioaccumulation, this metal has been shown to exert immunological effects on organisms. The objective of the present study was to investigate the in vitro effects of cadmium chloride using a haemocyte primary culture from the European abalone, Haliotis tuberculata. Most studies have maintained viable haemocytes in vitro for periods ranging from several hours to several days during acute exposures. Few investigations have reported the effects of metals using longer in vitro exposures, which are more realistic with regard to mimicking environmental conditions. In this study, we exposed abalone haemocytes to concentrations from 0.5 to 50,000 mu g L-1 of CdCl2 for 10 days. The effects of cadmium chloride were reflected in a significant decrease in the number of viable cells and morphological modifications in a concentration-dependent manner beginning at a concentration of 500 mu g L-1 as well as in some physiological processes, such as phagocytotic activity and the number of lysosome-positive cells. In contrast, phenoloxidase (PO) activity and reactive oxygen species (ROS) production were increased beginning at a concentration of 5 mu g L-1, which is consistent with environmental concentrations in polluted sites. For PO activity and ROS production, maximally 9-fold and 130% inductions, respectively, were recorded under the highest dose. These results thus indicate that cadmium chloride alters immune parameters of abalone haemocytes and that the long-term (10 days) primary culture system used here represents a suitable, sensitive in vitro model for assessing cytotoxic responses. (C) 2011 Elsevier B.V. All rights reserved.</t>
  </si>
  <si>
    <t>[Latire, Thomas; Le Pabic, Charles; Mottin, Elmina; Mottier, Antoine; Costil, Katherine; Koueta, Noussithe; Lebel, Jean-Marc; Serpentini, Antoine] Univ Caen Basse Normandie, IBFA, IFR ICORE 146, UMR IFREMER Physiol &amp; Ecophysiol Mollusques Marin, F-14032 Caen, France</t>
  </si>
  <si>
    <t>Universite de Caen Normandie; Ifremer</t>
  </si>
  <si>
    <t>Serpentini, A (corresponding author), Univ Caen Basse Normandie, IBFA, IFR ICORE 146, UMR IFREMER Physiol &amp; Ecophysiol Mollusques Marin, Campus 1, F-14032 Caen, France.</t>
  </si>
  <si>
    <t>Koueta, Noussithe/0000-0003-1791-2930; Mottier, Antoine/0000-0001-7040-1836; Le Pabic, Charles/0000-0002-1337-2781</t>
  </si>
  <si>
    <t>EU-Commission via the INTEREG IV A</t>
  </si>
  <si>
    <t>The authors would like to thank the EU-Commission for financial support via the INTEREG IV A Programme CHRONEXPO. The authors thank L. Poulain and M. Duval (Plateau Technique de Cytometrie en Flux, IFR 146 ICORE, Universite de Caen Basse-Normandie) for their helpful technical assistance in flow cytometry studies, the technical staff of the C.R.E.C. for their assistance in animal care and Elsevier Language Editing Services for English revision.</t>
  </si>
  <si>
    <t>10.1016/j.aquatox.2011.09.017</t>
  </si>
  <si>
    <t>911AZ</t>
  </si>
  <si>
    <t>WOS:000301691000024</t>
  </si>
  <si>
    <t>Aslam, S; Chan, MWH; Siddiqui, G; Boczkaj, G; Kazmi, SJH; Kazmi, MR</t>
  </si>
  <si>
    <t>Aslam, Sadar; Chan, Malik Wajid Hussain; Siddiqui, Ghazala; Boczkaj, Grzegorz; Kazmi, Syed Jamil Hasan; Kazmi, Mohib Reza</t>
  </si>
  <si>
    <t>A comprehensive assessment of environmental pollution by means of heavy metal analysis for oysters' reefs at Hab River Delta, Balochistan, Pakistan</t>
  </si>
  <si>
    <t>Metal pollution; Bioaccumulation; Food chain; Risk index</t>
  </si>
  <si>
    <t>HUMAN HEALTH-RISK; TRACE-METAL; SURFICIAL SEDIMENTS; COASTAL AREAS; MARINE-ENVIRONMENT; URBAN STREAM; KARACHI; CONTAMINATION; ELEMENTS; CADMIUM</t>
  </si>
  <si>
    <t>The heavy metal pollution status of oyster reefs has been assessed with respect to ten metals pollutants in seawater, sediments, and tissues of above two oysters (soft tissues and shells) for assessing the pollution status in a short food chain in Hab River Delta. The results showed that heavy metals accumulated in M. bilineata were higher than those in M. cuttackensis. Simultaneously, the population of M. bilineata species has been ironically decreasing as a results of high pollution. The determined concentrations revealed a significant differences in their profiles among sediments, seawater and bioaccumulation in tissues and shells of two native oysters. The present study also compared these metal concentrations with national and international database by applying different pollution indices. Heavy metals in all samples were above the national environmental quality standards (NEQS-Pakistan). High level of pollution with an alarming condition of Hab River Delta need more attention for coastal management.</t>
  </si>
  <si>
    <t>[Aslam, Sadar; Chan, Malik Wajid Hussain; Siddiqui, Ghazala] Univ Karachi, Ctr Excellence Marine Biol, Karachi 75270, Pakistan; [Boczkaj, Grzegorz] Gdansk Univ Technol, Fac Chem, Dept Proc Engn &amp; Chem Technol, Gdansk, Poland; [Kazmi, Syed Jamil Hasan] Univ Karachi, Dept Geog, Univ Rd, Karachi 75270, Pakistan; [Kazmi, Mohib Reza] Univ Karachi, Fac Sci, Dept Appl Chem, Karachi 75270, Pakistan</t>
  </si>
  <si>
    <t>University of Karachi; Fahrenheit Universities; Gdansk University of Technology; University of Karachi; University of Karachi</t>
  </si>
  <si>
    <t>Aslam, S (corresponding author), Univ Karachi, Ctr Excellence Marine Biol, Karachi 75270, Pakistan.</t>
  </si>
  <si>
    <t>sadaraslam@gmail.com</t>
  </si>
  <si>
    <t>ASLAM, SADAR/ABA-2907-2020; Chan, Malik Wajid Hussain/ADV-4935-2022; Boczkaj, Grzegorz/D-4901-2011</t>
  </si>
  <si>
    <t>ASLAM, SADAR/0000-0002-4340-7885; Kazmi, Jamil/0000-0001-5309-4432; Chan, Malik Wajid Hussain/0000-0003-4260-3494; Boczkaj, Grzegorz/0000-0002-5874-7591</t>
  </si>
  <si>
    <t>'Access to Scientific Instrumentation Program (ASIP)' grant - Higher Education Commission (HEC), Pakistan [20 2(15)/ASIP/R&amp;D/HEC/18/001105(HEJ)/43]</t>
  </si>
  <si>
    <t>'Access to Scientific Instrumentation Program (ASIP)' grant - Higher Education Commission (HEC), Pakistan</t>
  </si>
  <si>
    <t>SA was supported by 'Access to Scientific Instrumentation Program (ASIP)' grant No. 20 2(15)/ASIP/R&amp;D/HEC/18/001105(HEJ)/43) funded by national funds through the Higher Education Commission (HEC), Pakistan.</t>
  </si>
  <si>
    <t>10.1016/j.marpolbul.2020.110970</t>
  </si>
  <si>
    <t>WOS:000523640200001</t>
  </si>
  <si>
    <t>Adjei-Boateng, D; Obirikorang, KA; Amisah, S</t>
  </si>
  <si>
    <t>Adjei-Boateng, D.; Obirikorang, K. A.; Amisah, S.</t>
  </si>
  <si>
    <t>Bioaccumulation of Heavy Metals in the Tissue of the Clam Galatea paradoxa and Sediments from the Volta Estuary, Ghana</t>
  </si>
  <si>
    <t>INTERNATIONAL JOURNAL OF ENVIRONMENTAL RESEARCH</t>
  </si>
  <si>
    <t>Bioaccumulation; Heavy metals; Sediments; Galatea paradoxa</t>
  </si>
  <si>
    <t>TRACE-METALS; QUALITY; BAY; CD; BIVALVES; OYSTERS; MUSSELS; RIVER; ZN; PB</t>
  </si>
  <si>
    <t>The concentrations of heavy metals, Mn, Zn, Fe and Hg were determined in sediments and in the whole soft tissue of the clam Galatea paradoxa from two clam fishing locations, Ada and Aveglo at the Volta estuary in Ghana from March to September 2008. Thirty clams were obtained from each sampling location monthly and grouped into three size classes of 10 individuals each based on shell lengths as follows: small (25 -40mm), medium (41-55mm), and large (above 55mm). Metal concentrations in the tissues of the different clam size-classes from the two stations were similar and did not vary significantly. A comparative evaluation of the metal concentrations in the clams and sediments however, revealed significant variations in concentrations for Zn, Fe and, Hg. Concentration of Fe in the sediment from Ada for June was 18 times higher than the concentration in the clams similarly, Hg concentrations were approximately 5 times higher in the clam tissues than in the sediments. On the basis of calculated BSAFs the metal enrichment in the tissues of the clams rank in the following order Hg&gt;Mn&gt;Fe. The BSAFs indicated a significant accumulation of Hg in the clam tissues relative to the concentrations of other metals in the sediments. The concentrations of the studied metal in the clam and sediment samples are similar to those observed in areas under low pollution impact and the current the levels of contamination of these metals in the estuary do not exceed the clams' capacity of regulation.</t>
  </si>
  <si>
    <t>[Adjei-Boateng, D.; Obirikorang, K. A.; Amisah, S.] Kwame Nkrumah Univ Sci &amp; Technol, Fac Renewable Nat Resources, Dept Fisheries &amp; Watershed Management, Kumasi, Ghana</t>
  </si>
  <si>
    <t>Kwame Nkrumah University Science &amp; Technology</t>
  </si>
  <si>
    <t>Adjei-Boateng, D (corresponding author), Kwame Nkrumah Univ Sci &amp; Technol, Fac Renewable Nat Resources, Dept Fisheries &amp; Watershed Management, Kumasi, Ghana.</t>
  </si>
  <si>
    <t>adjeiboat@yahoo.com</t>
  </si>
  <si>
    <t>Adjei-Boateng, Daniel/V-3939-2019; Obirikorang, Kwasi/H-8819-2019</t>
  </si>
  <si>
    <t>Adjei-Boateng, Daniel/0000-0003-4847-3221</t>
  </si>
  <si>
    <t>International Foundation for Science (IFS) [A/4421-1]</t>
  </si>
  <si>
    <t>International Foundation for Science (IFS)(International Foundation for Science)</t>
  </si>
  <si>
    <t>The authors are grateful to the International Foundation for Science (IFS) for providing financial support (A/4421-1) to conduct this research work, Volta Basin Research project (VBRP), University of Ghana for the use of facilities at Aquaculture Research Centre, Ada, and the Department of Fisheries and Watershed Management of the Kwame Nkrumah University of Science and Technology, Kumasi for logistical support.</t>
  </si>
  <si>
    <t>1735-6865</t>
  </si>
  <si>
    <t>2008-2304</t>
  </si>
  <si>
    <t>INT J ENVIRON RES</t>
  </si>
  <si>
    <t>Int. J. Environ. Res.</t>
  </si>
  <si>
    <t>SUM</t>
  </si>
  <si>
    <t>626MZ</t>
  </si>
  <si>
    <t>WOS:000279971400020</t>
  </si>
  <si>
    <t>Tenjing, SY; Narasimhaiah, N; Hemachandra; Ciabotti, C</t>
  </si>
  <si>
    <t>Tenjing, S. Y.; Narasimhaiah, N.; Hemachandra; Ciabotti, C.</t>
  </si>
  <si>
    <t>Seasonal concentrations of heavy metals and environmental parameters with reference to the Indian largest wedge clam, Donax scortum (Linnaeus, 1758)</t>
  </si>
  <si>
    <t>INDIAN JOURNAL OF GEO-MARINE SCIENCES</t>
  </si>
  <si>
    <t>Dendrogram; Environmental parameters; Heavy metals; Padukere; Principal Component Analysis</t>
  </si>
  <si>
    <t>MEDITERRANEAN SEA; COASTAL WATERS; PERNA-VIRIDIS; MOLLUSKS; MUSSEL; DELTOIDES; SEDIMENTS; TRUNCULUS; KARNATAKA; VICTORIA</t>
  </si>
  <si>
    <t>Karnataka coast is subjected to several factors of pollution due to several anthropogenic activities. Such activities vary between other development aspects and fishing harbour. Studies on water quality parameters in seawater and heavy metals in wedge clam, Donax scortum (Family: Donacidae) were carried out from Padukere beach. Significant variability in the water quality parameters and heavy metals was observed in Padukere. The concentration of Mn was lower during premonsoon followed by post monsoon and monsoon, whereas the concentration of Zn was found to be high during post monsoon season followed by monsoon and pre-monsoon. Zn concentration was the highest in D. scortum compared to earlier studies from other geographical regions. The dendrogram indicated that the pattern clustering showed that seasonal variations in environmental variables and metals were determined by seasonal effects, and the influx and nature of water from Udayawara river. The dendrogram of temporal clustering of monitoring periods at Padukere showed that variation in the environmental parameters and metals in D. scortum were only determined by seasonal effects with transition months. PCA was used to interpret relationships between variables. Perhaps the distribution of metal concentrations is by the nature and frequency of discharge.</t>
  </si>
  <si>
    <t>[Tenjing, S. Y.] Mangalore Univ, Dept Biosci, Mangalagangothri 574199, Karnataka, India; [Narasimhaiah, N.] Mangalore Univ, Dept Appl Zool, Mangalagangothri 574199, Karnataka, India; [Hemachandra] St Aloysius Coll, Dept Zool, Mangalore 575006, Karnataka, India; [Ciabotti, C.] Via G Rossini 3, I-61024 Monteciccardo, PU, Italy</t>
  </si>
  <si>
    <t>Mangalore University; Mangalore University</t>
  </si>
  <si>
    <t>Tenjing, SY (corresponding author), Mangalore Univ, Dept Biosci, Mangalagangothri 574199, Karnataka, India.</t>
  </si>
  <si>
    <t>yambemtenjing@gmail.com</t>
  </si>
  <si>
    <t>NARASIMHAIAH, NARASIMHAIAH/JWL-8463-2024</t>
  </si>
  <si>
    <t>BSR-UGC Fellowship [UGC No.4-1/2008(BSR)]; University Grant Commission, New Delhi, India</t>
  </si>
  <si>
    <t>BSR-UGC Fellowship; University Grant Commission, New Delhi, India(University Grants Commission, India)</t>
  </si>
  <si>
    <t>The first author is grateful to the authorities of Mangalore University for facilities provided. The research work was supported by BSR-UGC Fellowship [UGC No.4-1/2008(BSR)] from the University Grant Commission, New Delhi, India.</t>
  </si>
  <si>
    <t>0975-1033</t>
  </si>
  <si>
    <t>INDIAN J GEO-MAR SCI</t>
  </si>
  <si>
    <t>Indian J. Geo-Mar. Sci.</t>
  </si>
  <si>
    <t>OP8IX</t>
  </si>
  <si>
    <t>WOS:000588335100003</t>
  </si>
  <si>
    <t>Lannig, G; Cherkasov, AS; Pörtner, HO; Bock, C; Sokolova, IM</t>
  </si>
  <si>
    <t>Lannig, Gisela; Cherkasov, Anton S.; Poertner, Hans-O.; Bock, Christian; Sokolova, Inna M.</t>
  </si>
  <si>
    <t>Cadmium-dependent oxygen limitation affects temperature tolerance in eastern oysters (Crassostrea virginica Gmelin)</t>
  </si>
  <si>
    <t>aerobic metabolism; cardiac performance; magnetic resonance imaging; hemolymph PO2; anaerobiosis</t>
  </si>
  <si>
    <t>FRESH-WATER; ACID-BASE; PHYSIOLOGICAL-RESPONSES; MITOCHONDRIAL-FUNCTION; ACCLIMATION TEMPERATURE; CALLINECTES-SAPIDUS; CARBONIC-ANHYDRASE; THERMAL TOLERANCE; ENERGY-METABOLISM; MARINE ECTOTHERM</t>
  </si>
  <si>
    <t>Marine ectotherms, including oysters are exposed to variable environmental conditions in coastal shallow waters and estuaries. In the light of global climate change, additional stressors like pollution might pose higher risk to populations. On the basis of the concept of oxygen- and capacity-limited thermal tolerance in aquatic ectotherms (40), we show that a persistent pollutant, cadmium, can have detrimental effects on oysters (Crassostrea virginica). During acute warming from 20 to 28 degrees C (4 degrees C/48 h) standard metabolic rate (SMR) rose in control and cadmium-exposed (50 mu g Cd2+/l) animals, with a consistently higher SMR in Cd-exposed oysters. Additionally, Cd-exposed oysters showed a stronger temperature-dependent decrease in hemolymph oxygen partial pressures. This observation indicates that the effect of temperature on aerobic metabolism was exacerbated due to the additional Cd stress. The oxygen delivery systems could not provide enough oxygen to cover Cd-induced elevated metabolic demands at high temperatures. Interestingly, cardiac performance (measured as the heart rate and hemolymph supply to tissues) rose to a similar extent in control and Cd-exposed oysters with warming indicating that cardiac output was unable to compensate for elevated energy demand in Cd-exposed oysters. Together with the literature data on metal-induced reduction of ventilatory capacity, these findings suggest that synergistic effects of elevated temperatures and cadmium exposure led to oxygen limitation by impaired performance in oxygen supply through ventilation and circulation. Overall, cadmium exposure resulted in progressive hypoxemia in oysters at high temperatures, suggesting that the thermal tolerance window is narrowed in marine ectotherms inhabiting polluted areas compared with pristine environments.</t>
  </si>
  <si>
    <t>[Cherkasov, Anton S.; Sokolova, Inna M.] Univ N Carolina, Dept Biol, Charlotte, NC 28223 USA; [Lannig, Gisela; Poertner, Hans-O.; Bock, Christian] Alfred Wegener Inst Polar &amp; Marine Res, D-2850 Bremerhaven, Germany</t>
  </si>
  <si>
    <t>University of North Carolina; University of North Carolina Charlotte; Helmholtz Association; Alfred Wegener Institute, Helmholtz Centre for Polar &amp; Marine Research</t>
  </si>
  <si>
    <t>Lannig, Gisela/D-5793-2017; Portner, Hans-O./K-9429-2016; Sokolova, Inna/B-4955-2009; Bock, Christian/B-4421-2017</t>
  </si>
  <si>
    <t>Portner, Hans-O./0000-0001-6535-6575; Lannig, Gisela/0000-0002-9210-256X; Sokolova, Inna/0000-0002-2068-4302; Bock, Christian/0000-0003-0052-3090</t>
  </si>
  <si>
    <t>1522-1490</t>
  </si>
  <si>
    <t>R1338</t>
  </si>
  <si>
    <t>R1346</t>
  </si>
  <si>
    <t>10.1152/ajpregu.00793.2007</t>
  </si>
  <si>
    <t>282NN</t>
  </si>
  <si>
    <t>WOS:000254574600029</t>
  </si>
  <si>
    <t>Zhang, XS; Xu, D; Huang, SJ; Wang, SH; Han, WT; Liang, CW; Zhang, Y; Fan, X; Zhang, XW; Wang, YT; Wang, W; Egan, S; Saha, M; Li, F; Ye, NH</t>
  </si>
  <si>
    <t>Zhang, Xiansheng; Xu, Dong; Huang, Shujie; Wang, Shaohua; Han, Wentao; Liang, Chengwei; Zhang, Yan; Fan, Xiao; Zhang, Xiaowen; Wang, Yitao; Wang, Wei; Egan, Suhelen; Saha, Mahasweta; Li, Fang; Ye, Naihao</t>
  </si>
  <si>
    <t>The effect of elevated pCO2 on cadmium resistance of a globally important diatom</t>
  </si>
  <si>
    <t>Ocean acidification (OA); Phaeodactyium tricornutum; Cd toxicity; Heavy metal toxicity; Heavy metal resistance</t>
  </si>
  <si>
    <t>OCEAN ACIDIFICATION; PHAEODACTYLUM-TRICORNUTUM; SEAWATER ACIDIFICATION; MARINE-PHYTOPLANKTON; CO2; TOXICITY; BIOACCUMULATION; SPECIATION; EFFICIENCY; RESPONSES</t>
  </si>
  <si>
    <t>Cadmium (Cd) pollution is a widespread threat to marine life, and ongoing ocean acidification (OA) is predicted to impact bio-toxicity of Cd compounds. However, the cascading effects of changed Cd toxicity to marine primary producers are not well characterized. Here, we studied the impact of OA on Cd toxicity responses in a globally important diatom Phaeodactylum tricornutum under both ambient and elevated pCO(2) conditions. We found that increased pCO(2) alleviated the impact of additive Cd toxicity on P. tricornutum not only under controlled indoor experiments but also in outdoor mesocosm experiments that reflect more natural growth conditions. Transcriptome analysis suggested that genes involved in Cd efflux and phytochelatin production were up-regulated and genes involved in Cd influx were down-regulated in long-term selected lineages under elevated pCO(2). We further found a significant reduction of Cd transfer across trophic level, when the scallop Argopecten irradians was fed with Cd-exposed P. tricornutum previously cultured under elevated pCO(2). Our results indicate that after long-term selection of P. tricornutum exposed to future OA conditions (i.e. elevated pCO(2)), the diatom alters its Cd detoxification strategy, which could have broader impacts on the bio-geochemical cycle of Cd in the marine ecosystem.</t>
  </si>
  <si>
    <t>[Zhang, Xiansheng; Xu, Dong; Huang, Shujie; Han, Wentao; Zhang, Yan; Fan, Xiao; Zhang, Xiaowen; Wang, Yitao; Wang, Wei; Ye, Naihao] Chinese Acad Fishery Sci, Yellow Sea Fisheries Res Inst, Qingdao, Peoples R China; [Xu, Dong; Ye, Naihao] Qingdao Natl Lab Marine Sci &amp; Technol, Funct Lab Marine Fisheries Sci &amp; Food Prod Proc, Qingdao, Peoples R China; [Wang, Shaohua] Rongcheng Comprehens Technol Transfer Ctr, Rongcheng, Peoples R China; [Liang, Chengwei; Li, Fang] Qingdao Univ Sci &amp; Technol, Qingdao, Peoples R China; [Egan, Suhelen] UNSW Sydney, Ctr Marine Sci &amp; Innovat, Sch Biol Earth &amp; Environm Sci, Sydney, NSW 2052, Australia; [Saha, Mahasweta] Plymouth Marine Lab, Marine Ecol &amp; Biodivers, Plymouth PL1 3DH, Devon, England</t>
  </si>
  <si>
    <t>Chinese Academy of Fishery Sciences; Yellow Sea Fisheries Research Institute, CAFS; Laoshan Laboratory; Qingdao University of Science &amp; Technology; University of New South Wales Sydney; Plymouth Marine Laboratory</t>
  </si>
  <si>
    <t>Li, F; Ye, NH (corresponding author), Chinese Acad Fishery Sci, Yellow Sea Fisheries Res Inst, Qingdao, Peoples R China.;Li, F; Ye, NH (corresponding author), Qingdao Univ Sci &amp; Technol, Qingdao, Peoples R China.</t>
  </si>
  <si>
    <t>qustlf@126.com; yenh@ysfri.ac.cn</t>
  </si>
  <si>
    <t>shaohua, wang/AAB-7904-2022; Xu, Dongpo/AFS-0185-2022; Zhang, xiaohui/KEE-5747-2024; zhang, xian/JAC-5480-2023; Saha, Mahasweta/K-4867-2014</t>
  </si>
  <si>
    <t>Han, Wentao/0000-0003-1423-3975; Egan, Suhelen/0000-0003-3286-4279; Saha, Mahasweta/0000-0001-9308-1054</t>
  </si>
  <si>
    <t>Marine S&amp;T Fund of Shandong Province for Pilot National Laboratory for Marine Science and Technology (Qingdao) [2018SDKJ0406-3]; National key research and development program of China [2018YFD0900703, 2018YFD0901503, 2016YFC1402102, 2019YFC1509102]; Major Scientific and Technological Innovation Project of Shandong Provincial Key Research and Development Program [2019JZZY020706]; Central Public-interest Scientific Institution Basal Research Fund, CAFS [2020TD27]; Special Scientific Research Funds for Central Non-Profit Institutes, Yellow Sea Fisheries Research Institute, Chinese Academy of Fishery Sciences [20603022019006, 20603022016001]; Laboratory for Marine Fisheries Science and Food Production Processes, Pilot National Laboratory for Marine Science and Technology (Qingdao) [2018-MFS-01]; Financial Fund of the Ministry of Agriculture and Rural Affairs, P. R. of China (NFZX2018); China Agriculture Research System [CARS-50]; Talent Projects of Distinguished Scientific Scholars in Agriculture; Taishan Scholars Funding; Shandong Provincial Natural Science Foundation, China [ZR2017MD025]; National Natural Science Foundation of China [41676145, 41976110]</t>
  </si>
  <si>
    <t>Marine S&amp;T Fund of Shandong Province for Pilot National Laboratory for Marine Science and Technology (Qingdao); National key research and development program of China(National Key Research &amp; Development Program of China); Major Scientific and Technological Innovation Project of Shandong Provincial Key Research and Development Program; Central Public-interest Scientific Institution Basal Research Fund, CAFS; Special Scientific Research Funds for Central Non-Profit Institutes, Yellow Sea Fisheries Research Institute, Chinese Academy of Fishery Sciences; Laboratory for Marine Fisheries Science and Food Production Processes, Pilot National Laboratory for Marine Science and Technology (Qingdao); Financial Fund of the Ministry of Agriculture and Rural Affairs, P. R. of China (NFZX2018); China Agriculture Research System; Talent Projects of Distinguished Scientific Scholars in Agriculture; Taishan Scholars Funding; Shandong Provincial Natural Science Foundation, China(Natural Science Foundation of Shandong Province); National Natural Science Foundation of China(National Natural Science Foundation of China (NSFC))</t>
  </si>
  <si>
    <t>This work was funded by Marine S&amp;T Fund of Shandong Province for Pilot National Laboratory for Marine Science and Technology (Qingdao) (NO. 2018SDKJ0406-3); National key research and development program of China (2018YFD0900703, 2018YFD0901503, 2016YFC1402102, 2019YFC1509102); Major Scientific and Technological Innovation Project of Shandong Provincial Key Research and Development Program(2019JZZY020706); Central Public-interest Scientific Institution Basal Research Fund, CAFS(2020TD27); Special Scientific Research Funds for Central Non-Profit Institutes, Yellow Sea Fisheries Research Institute, Chinese Academy of Fishery Sciences (20603022019006, 20603022016001); Youth Talent Program Supported by Laboratory for Marine Fisheries Science and Food Production Processes, Pilot National Laboratory for Marine Science and Technology (Qingdao) (2018-MFS-01); China Agriculture Research System (CARS-50); Financial Fund of the Ministry of Agriculture and Rural Affairs, P. R. of China (NFZX2018); Taishan Scholars Funding; Talent Projects of Distinguished Scientific Scholars in Agriculture; Shandong Provincial Natural Science Foundation, China (ZR2017MD025); National Natural Science Foundation of China (41676145, 41976110).</t>
  </si>
  <si>
    <t>SEP 5</t>
  </si>
  <si>
    <t>10.1016/j.jhazmat.2020.122749</t>
  </si>
  <si>
    <t>MA4ZT</t>
  </si>
  <si>
    <t>WOS:000541924000077</t>
  </si>
  <si>
    <t>Kanduc, T; Medakovic, D; Hamer, B</t>
  </si>
  <si>
    <t>Kanduc, Tjasa; Medakovic, Davorin; Hamer, Bojan</t>
  </si>
  <si>
    <t>Mytilus galloprovincialis as a bioindicator of environmental conditions: the case of the eastern coast of the Adriatic Sea</t>
  </si>
  <si>
    <t>ISOTOPES IN ENVIRONMENTAL AND HEALTH STUDIES</t>
  </si>
  <si>
    <t>Mytilus galloprovincialis; bioindicator; mussel shells; carbon-13; oxygen-18; biogeochemistry; isotope ecology; heavy metals; Adriatic Sea</t>
  </si>
  <si>
    <t>CARBON ISOTOPIC COMPOSITION; METAL CONCENTRATIONS; STABLE CARBON; TRACE-ELEMENTS; BIOLOGICAL CARBONATES; SURFACE TEMPERATURE; OXYGEN ISOTOPES; PATELLA-VULGATA; MOLLUSK SHELLS; ORGANIC-CARBON</t>
  </si>
  <si>
    <t>The marine mussel Mytilus galloprovincialis lives attached to the surface of hard substrata, where its exposure and relative immobility allow it to record changes in ambient seawater. It is also found along the eastern coast of the Adriatic Sea. Oxygen and carbon isotopes were analysed for calcite and aragonite in separate shell layers, while major, minor and trace elements in the bulk shell were analysed to evaluate environmental conditions such as the temperature of carbonate deposition, freshwater influence and locations of anthropogenic pollution. We found that, on average, aragonite is enriched by 1.1 parts per thousand in 13C and by 0.2 parts per thousand in 18O compared with calcite. The calculated temperatures for M. galloprovincialis shell growth from the investigated area range from 13.4 to 20.9 degrees C for calcite and from 16.6 to 23.1 degrees C for aragonite. According to the 18O and 13C values of shell layers, we can separate the investigated area into three locations: those with more influence of freshwater, those with less influence of freshwater and those with marine environments. The highest concentrations of manganese, barium, boron, arsenic, nickel and chromium were observed in shells from Omis, Bacvice and Zablace (Central Adriatic) and Sv. Ivan (South Adriatic), where chemical and heavy industries are located and where sewage is known to be discharged into coastal areas. The highest concentrations of zinc, lead and copper were measured in samples from Pula, Rijeka and Gruz, where there are also ports in addition to industry.</t>
  </si>
  <si>
    <t>[Kanduc, Tjasa] Jozef Stefan Inst, Ljubljana, Slovenia; [Medakovic, Davorin; Hamer, Bojan] Ctr Marine Res, Ruder Boskovic Inst, Rovinj, Croatia</t>
  </si>
  <si>
    <t>Slovenian Academy of Sciences &amp; Arts (SASA); Jozef Stefan Institute; Rudjer Boskovic Institute</t>
  </si>
  <si>
    <t>Kanduc, T (corresponding author), Jozef Stefan Inst, Ljubljana, Slovenia.</t>
  </si>
  <si>
    <t>tjasa.kanduc@gmail.com</t>
  </si>
  <si>
    <t>Hamer, Bojan/P-2279-2015</t>
  </si>
  <si>
    <t>Hamer, Bojan/0000-0002-3142-8128</t>
  </si>
  <si>
    <t>National Monitoring Programme 'Project Adriatic'; Croatian-Slovenian bilateral cooperation</t>
  </si>
  <si>
    <t>This work was supported by the National Monitoring Programme 'Project Adriatic' and Croatian-Slovenian bilateral cooperation. The authors are grateful to Mr Stojan Zigon for technical support during stable isotope analysis and Dr Natasa Mori for help with statistical processing of data. Sincere thanks to Dr Anthony Byrne and Dr Jennifer McIntosh from University of Arizona for improving the English of the manuscript.</t>
  </si>
  <si>
    <t>1025-6016</t>
  </si>
  <si>
    <t>1477-2639</t>
  </si>
  <si>
    <t>ISOT ENVIRON HEALT S</t>
  </si>
  <si>
    <t>Isot. Environ. Health Stud.</t>
  </si>
  <si>
    <t>PII 932808904</t>
  </si>
  <si>
    <t>10.1080/10256016.2011.548866</t>
  </si>
  <si>
    <t>Chemistry, Inorganic &amp; Nuclear; Environmental Sciences</t>
  </si>
  <si>
    <t>733RH</t>
  </si>
  <si>
    <t>WOS:000288280000005</t>
  </si>
  <si>
    <t>Götze, S; Matoo, OB; Beniash, E; Saborowski, R; Sokolova, IM</t>
  </si>
  <si>
    <t>Goetze, Sandra; Matoo, Omera B.; Beniash, Elia; Saborowski, Reinhard; Sokolova, Inna M.</t>
  </si>
  <si>
    <t>Interactive effects of CO2 and trace metals on the proteasome activity and cellular stress response of marine bivalves Crassostrea virginica and Mercenaria mercenaria</t>
  </si>
  <si>
    <t>Ubiquitin proteasome system; Protein turnover; Ocean acidification; Hypercapnia; Cadmium; Copper</t>
  </si>
  <si>
    <t>EASTERN OYSTERS; OCEAN ACIDIFICATION; CADMIUM EXPOSURE; OXIDATIVE STRESS; ELEVATED-TEMPERATURE; MITOCHONDRIAL ACONITASE; ACCLIMATION TEMPERATURE; PROTEIN-DEGRADATION; ENERGY-METABOLISM; AMERICAN OYSTER</t>
  </si>
  <si>
    <t>Increased anthropogenic emission of CO2 changes the carbonate chemistry and decreases the pH of the ocean. This can affect the speciation and the bioavailability of metals in polluted habitats such as estuaries. However, the effects of acidification on metal accumulation and stress response in estuarine organisms including bivalves are poorly understood. We studied the interactive effects of CO2 and two common metal pollutants, copper (Cu) and cadmium (Cd), on metal accumulation, intracellular ATP/ubiquitin-dependent protein degradation, stress response and energy metabolism in two common estuarine bivalves Crassostrea virginica (eastern oyster) and Mercenaria mercenaria (hard shell clam). Bivalves were exposed for 4-5 weeks to clean seawater (control) and to either 50 mu g L-1 Cu or 50 mu g L-1 Cd at one of three partial pressures of CO2 (P-co2 similar to 395, similar to 800 and similar to 1500 ilatm) representative of the present-day conditions and projections of the Intergovernmental Panel for Climate Change (IPCC) for the years 2100 and 2250, respectively. Clams accumulated lower metal burdens than oysters, and elevated Pco, enhanced the Cd and Cu accumulation in mantle tissues in both species. Higher Cd and Cu burdens were associated with elevated mRNA expression of metal binding proteins metallothionein and ferritin. In the absence of added metals, proteasome activities of clams and oysters were robust to elevated Pm,, but P-cO2 modulated the proteasome response to metals. Cd exposure stimulated the chymotrypsin-like activity of the oyster proteasome at all CO2 levels. In contrast, typsin- and caspase-like activities of the oyster proteasome were slightly inhibited by Cd exposure in normocapnia but this inhibition was reversed at elevated P-cO2. Cu exposure inhibited the chymotrypsin-like activity of the oyster proteasome regardless of the exposure P-cO2. The effects of metal exposure on the proteasome activity were less pronounced in clams, likely due to the lower metal accumulation. However, the general trends (i.e. an increase during Cd exposure, inhibition during exposure to Cu, and overall stimulatory effects of elevated P-cO2) were similar to those found in oysters. Levels of mRNA for ubiquitin and tumor suppressor p53 were suppressed by metal exposures in normocapnia in both species but this effect was alleviated or reversed at elevated P-co2. Cellular energy status of oysters was maintained at all metal and CO2 exposures, while in clams the simultaneous exposure to Cu and moderate hypercapnia (similar to 800 patm P-co2) led to a decline in glycogen, ATP and ADP levels and an increase in AMP indicating energy deficiency. These data suggest that environmental CO2 levels can modulate accumulation and physiological effects of metals in bivalves in a species-specific manner which can affect their fitness and survival during the global change in estuaries. Published by Elsevier BM.</t>
  </si>
  <si>
    <t>[Goetze, Sandra; Saborowski, Reinhard] Alfred Wegener Inst, Helmholtz Ctr Polar, D-27570 Bremerhaven, Germany; [Goetze, Sandra; Matoo, Omera B.; Sokolova, Inna M.] Univ N Carolina, Dept Biol, Charlotte, NC 28223 USA; [Beniash, Elia] Univ Pittsburgh, Dept Oral Biol, Pittsburgh, PA USA</t>
  </si>
  <si>
    <t>Helmholtz Association; Alfred Wegener Institute, Helmholtz Centre for Polar &amp; Marine Research; University of North Carolina; University of North Carolina Charlotte; Pennsylvania Commonwealth System of Higher Education (PCSHE); University of Pittsburgh</t>
  </si>
  <si>
    <t>Sokolova, IM (corresponding author), Univ N Carolina, Dept Biol, Charlotte, NC 28223 USA.</t>
  </si>
  <si>
    <t>Gotze, Sandra/0000-0001-7463-9104; Saborowski, Reinhard/0000-0003-0289-6501; Sokolova, Inna/0000-0002-2068-4302</t>
  </si>
  <si>
    <t>National Science Foundation [IOS-095107]; Charlotte Research Institute; UNC Charlotte's Faculty Research Grant; Division Of Environmental Biology; Direct For Biological Sciences [0951079] Funding Source: National Science Foundation; Division Of Integrative Organismal Systems; Direct For Biological Sciences [0951139] Funding Source: National Science Foundation</t>
  </si>
  <si>
    <t>National Science Foundation(National Science Foundation (NSF)); Charlotte Research Institute; UNC Charlotte's Faculty Research Grant; Division Of Environmental Biology; Direct For Biological Sciences(National Science Foundation (NSF)NSF - Directorate for Biological Sciences (BIO)); Division Of Integrative Organismal Systems; Direct For Biological Sciences(National Science Foundation (NSF)NSF - Directorate for Biological Sciences (BIO)NSF - Division of Integrative Organismal Systems (IOS))</t>
  </si>
  <si>
    <t>This work was supported by funds provided by the National Science Foundation award IOS-095107 to I.M.S. and E.B., and Charlotte Research Institute and UNC Charlotte's Faculty Research Grant to I.M.S. The authors thank Bushra Khan, Amy Ringwood and Anna Ivanina for assistance with the metal analyses, and Chelsea Hawkins for the help with Cd exposures of the second experimental batch.</t>
  </si>
  <si>
    <t>10.1016/j.aquatox.2014.01.027</t>
  </si>
  <si>
    <t>AF8TU</t>
  </si>
  <si>
    <t>WOS:000334989300009</t>
  </si>
  <si>
    <t>MERSCH, J; MORHAIN, E; MOUVET, C</t>
  </si>
  <si>
    <t>LABORATORY ACCUMULATION AND DEPURATION OF COPPER AND CADMIUM IN THE FRESH-WATER MUSSEL DREISSENA-POLYMORPHA AND THE AQUATIC MOSS RHYNCHOSTEGIUM-RIPARIOIDES</t>
  </si>
  <si>
    <t>HEAVY-METAL ACCUMULATION; MYTILUS-EDULIS; ASIATIC CLAM; ION-EXCHANGE; POLLUTION; BIOACCUMULATION; ENVIRONMENTS; SPHAGNACEAE; INDICATOR; CORBICULA</t>
  </si>
  <si>
    <t>This work assessed the potentialities of the zebra mussel Dreissena polymorpha and the aquatic moss Rhynchostegium riparioides as indicators of freshwater heavy metal contamination. Simultaneous exposure of the two species was performed in the same experimental system developed to fulfill the food requirements of the mussels. The exposure to Cu (4.5, 9, 21 and 50 mug L-1) and Cd (0.3, 6, 15 and 44 mug L-1) over a 27-day period was followed by a 14-day post-exposure phase. Acccumulation of both metals was rapid in the mosses and reached a plateau after 18 days for Cu and 6 days for Cd; it was slower for the mussels and no steady state was observed, except for the lowest Cu treatment (9 mug L-1). The filtration rate of the bivalves and consequently bioaccumulation was reduced at the highest Cu concentration and in the absence of food. At the end of the depuration phase, the mosses had lost 50 +/- 4% of Cu and 88 +/- 1% of Cd, while the mussels had eliminated 18 +/- 11% of Cu and 5 +/- 7% of Cd. Highly significant linear relationships were observed at the end of both the accumulation and depuration phases (i) between the average aqueous Cu and Cd concentrations and the metal levels in the two organisms, and (ii) between the metal concentrations in the mussels and those in the mosses.</t>
  </si>
  <si>
    <t>BUR RECH GEOL &amp; MINIERES,NATL GEOL SURVEY,DEPT GEOCHEM,F-45060 ORLEANS 2,FRANCE</t>
  </si>
  <si>
    <t>Bureau de Recherches Geologiques et Minieres (BRGM)</t>
  </si>
  <si>
    <t>MERSCH, J (corresponding author), UNIV METZ,ECOL LAB,BP 4116,F-57040 METZ 01,FRANCE.</t>
  </si>
  <si>
    <t>10.1016/0045-6535(93)90242-W</t>
  </si>
  <si>
    <t>MF760</t>
  </si>
  <si>
    <t>WOS:A1993MF76000017</t>
  </si>
  <si>
    <t>Lettieri, G; Carusone, N; Notariale, R; Prisco, M; Ambrosino, A; Perrella, S; Manna, C; Piscopo, M</t>
  </si>
  <si>
    <t>Lettieri, Gennaro; Carusone, Nadia; Notariale, Rosaria; Prisco, Marina; Ambrosino, Alessia; Perrella, Shana; Manna, Caterina; Piscopo, Marina</t>
  </si>
  <si>
    <t>Morphological, Gene, and Hormonal Changes in Gonads and In-Creased Micrococcal Nuclease Accessibility of Sperm Chromatin Induced by Mercury</t>
  </si>
  <si>
    <t>BIOMOLECULES</t>
  </si>
  <si>
    <t>mercury; Mytilus galloprovincialis; protamine-like proteins genes; gonad; spermatozoa; micrococcal nuclease digestion; hormones; morphology</t>
  </si>
  <si>
    <t>MYTILUS-GALLOPROVINCIALIS LAMARCK; METHYL MERCURY; QUANTITATIVE PCR; EXPRESSION; EXPOSURE; MUSSEL; TOXICITY; CHLORIDE; PROTEIN; STRESS</t>
  </si>
  <si>
    <t>Mercury is one of the most dangerous environmental pollutants. In this work, we analysed the effects of exposure of Mytilus galloprovincialis to 1, 10 and 100 pM HgCl2 for 24 h on the gonadal morphology and on the expression level of three stress genes: mt10, hsp70 and pi gst. In this tissue we also evaluated the level of steroidogenic enzymes 3 beta-HSD and 17 beta-HSD and the expression of PL protein genes. Finally, we determined difference in sperm chromatin accessibility to micrococcal nuclease. We found alterations in gonadal morphology especially after exposure to 10 and 100 pM HgCl2 and hypo-expression of the three stress genes, particularly for hsp70. Furthermore, decreased labelling with both 3 beta-HSD and 17 beta-HSD antibodies was observed following exposure to 1 and 10 pM HgCl2 and complete absence at 100 pM HgCl2 exposure. Gonads of mussels exposed to all HgCl2 doses showed decreased expression of PL protein genes especially for PLIII. Finally, micrococcal nuclease digestions showed that all doses of HgCl2 exposure resulted in increased sperm chromatin accessibility to this enzyme, indicative of improper sperm chromatin structure. All of these changes provide preliminary data of the potential toxicity of mercury on the reproductive health of this mussel.</t>
  </si>
  <si>
    <t>[Lettieri, Gennaro; Carusone, Nadia; Prisco, Marina; Ambrosino, Alessia; Perrella, Shana; Piscopo, Marina] Univ Naples Federico II, Dept Biol, Via Cinthia 21, I-80126 Naples, Italy; [Notariale, Rosaria; Manna, Caterina] Univ Campania Luigi Vanvitelli, Sch Med, Dept Precis Med, Via Luigi Crecchio, I-80138 Naples, Italy</t>
  </si>
  <si>
    <t>University of Naples Federico II; Universita della Campania Vanvitelli</t>
  </si>
  <si>
    <t>gennarole@outlook.com; nadia.carusone@libero.it; notarialer@gmail.com; marina.prisco@unina.it; alessia.ambrosino@gmail.com; shana.perrella@yahoo.it; caterina.manna@unicampania.it; marina.piscopo@unina.it</t>
  </si>
  <si>
    <t>MANNA, Caterina/0000-0001-9603-0017; Perrella, Shana/0000-0001-5062-7889; Lettieri, Gennaro/0000-0002-0141-3320; Notariale, Rosaria/0000-0002-6048-9480</t>
  </si>
  <si>
    <t>2218-273X</t>
  </si>
  <si>
    <t>Biomolecules</t>
  </si>
  <si>
    <t>10.3390/biom12010087</t>
  </si>
  <si>
    <t>YN1ZA</t>
  </si>
  <si>
    <t>WOS:000747062100001</t>
  </si>
  <si>
    <t>Parra, S; Varandas, S; Santos, D; Félix, L; Fernandes, L; Cabecinha, E; Gago, J; Monteiro, SM</t>
  </si>
  <si>
    <t>Parra, Susana; Varandas, Simone; Santos, Dercia; Felix, Luis; Fernandes, Lisete; Cabecinha, Edna; Gago, Jesus; Monteiro, Sandra Mariza</t>
  </si>
  <si>
    <t>Multi-Biomarker Responses of Asian Clam Corbicula fluminea (Bivalvia, Corbiculidea) to Cadmium and Microplastics Pollutants</t>
  </si>
  <si>
    <t>bioindicator; stress responses; freshwater bivalves; gill; digestive gland; gonad</t>
  </si>
  <si>
    <t>One of the most widespread aquatic organisms in the rivers and estuarine ecosystems, in the world, is Asian clam Corbicula fluminea. This clam, that can adapt to environmental changes, is an invasive species in several areas and it was adopted as a model for toxicity tests. This study evaluated the effects of the exposure to cadmium (Cd), to microplastics (MPs) and their mixtures on C. fluminea. The oxidative stress responses, lipid peroxidation (LPO), changes in the activity of energy-related enzymes and neurotoxicity were assessed on the gill, digestive gland and gonad. The results show that Cd, MPs and their mixtures cause oxidative stress, damage and neurotoxicity. The enzymes superoxide dismutase (SOD), glutathione S-transferase (GST), acetylcholinesterase (AChE) and the LPO levels could be chosen as biomarkers of Cd pollution. Exposure to MPs induced an increase in reduced/oxidized glutathione (GSH/GSSG) ratio and increased AChE activity. The combined exposure to Cd and MPs caused a synergetic effect in gill and gonad, while an antagonism response was recorded in the digestive gland. The results provide new insights for unveiling the biologic effects of heavy metal, microplastics and their mixtures on C. fluminea. Besides, we demonstrated that the Asian clam is a good bioindicator of microplastic pollution that can occur in aquatic environments.</t>
  </si>
  <si>
    <t>[Parra, Susana; Varandas, Simone; Santos, Dercia; Felix, Luis; Fernandes, Lisete; Cabecinha, Edna; Monteiro, Sandra Mariza] Univ Tras Os Montes &amp; Alto Douro UTAD, Ctr Res &amp; Technol Agroenvironm &amp; Biol Sci CITAB, P-5000801 Vila Real, Portugal; [Felix, Luis] Univ Porto, Inst Res &amp; Innovat Hlth, Lab Anim Sci, Inst Mol &amp; Cell Biol, P-4200135 Porto, Portugal; [Gago, Jesus] Inst Espanol Oceanog IEO, Subida Radio Faro 50, Vigo 36390, Spain</t>
  </si>
  <si>
    <t>University of Tras-os-Montes &amp; Alto Douro; Universidade do Porto; i3S - Instituto de Investigacao e Inovacao em Saude, Universidade do Porto</t>
  </si>
  <si>
    <t>Varandas, S (corresponding author), Univ Tras Os Montes &amp; Alto Douro UTAD, Ctr Res &amp; Technol Agroenvironm &amp; Biol Sci CITAB, P-5000801 Vila Real, Portugal.</t>
  </si>
  <si>
    <t>susanaparra222@gmail.com; simonev@utad.pt; dsantos@utad.pt; luis.felix@ibmc.up.pt; lisfernandes@utad.pt; edna@utad.pt; jesus.gago@ieo.es; smonteir@utad.pt</t>
  </si>
  <si>
    <t>Félix, Luis/G-5426-2011; Santos, Dércia/HZL-2014-2023; Varandas, Simone/AAN-7277-2020; Varandas, Simone/H-9364-2013; Monteiro, Sandra Mariza/A-8007-2013; Gago, Jesus/N-6786-2019; Cabecinha, Edna/F-2692-2012; Fernandes, Lisete Sofia Gomes/GZK-4443-2022</t>
  </si>
  <si>
    <t>Varandas, Simone/0000-0001-5038-6085; Santos, Dercia/0000-0002-2827-9221; Felix, Luis/0000-0001-9870-6666; Monteiro, Sandra Mariza/0000-0002-4026-5965; Gago, Jesus/0000-0003-0188-9844; Cabecinha, Edna/0000-0001-7308-5840; Fernandes, Lisete Sofia Gomes/0000-0002-2986-7818</t>
  </si>
  <si>
    <t>DoMar [BD/Do*Mar/1016/2016]; FCT-Portuguese Foundation for Science and Technology [UIDB/04033/2020]</t>
  </si>
  <si>
    <t>DoMar; FCT-Portuguese Foundation for Science and Technology(Fundacao para a Ciencia e a Tecnologia (FCT))</t>
  </si>
  <si>
    <t>This research was funded by DoMar (BD/Do*Mar/1016/2016) and National Funds by FCT-Portuguese Foundation for Science and Technology, under the project UIDB/04033/2020.</t>
  </si>
  <si>
    <t>10.3390/w13040394</t>
  </si>
  <si>
    <t>QR0GI</t>
  </si>
  <si>
    <t>WOS:000624893000001</t>
  </si>
  <si>
    <t>Pinto, R; Acosta, V; Segnini, MI; Brito, L; Martínez, G</t>
  </si>
  <si>
    <t>Pinto, Rafael; Acosta, Vanessa; Isabel Segnini, Mary; Brito, Leonor; Martinez, Gregorio</t>
  </si>
  <si>
    <t>Temporal variations of heavy metals levels in Perna viridis, on the Chacopata-Bocaripo lagoon axis, Sucre State, Venezuela</t>
  </si>
  <si>
    <t>Heavy metals; Perna viridis; Venezuela</t>
  </si>
  <si>
    <t>GREEN MUSSEL; ORGANOCHLORINE PESTICIDES; RUDITAPES-PHILIPPINARUM; BAJA-CALIFORNIA; TRACE-ELEMENTS; COAST; DEPURATION; BIVALVIA; MOLLUSCA; CADMIUM</t>
  </si>
  <si>
    <t>Perna viridis was used as biomonitor to assess heavy metal levels in the Chacopata-Bocaripo lagoon axis, Venezuela, during rain and drought seasons. The mussels were weighed and measured. The metal concentrations were determined by atomic absorption spectrophotometry. For rain period, the order of bioavailability was: Cu &gt; Ni &gt; Mn &gt; Co &gt; Cd &gt; Pb, and for drought: Cu &gt; Mn &gt; Ni &gt; Co &gt; Pb &gt; Cd. The concentrations of Ni, Co, Cd and Pb showed significant differences (P &lt; 0.05) in both periods. There was higher metal accumulation during drought season, possibly related to upwelling, since it produces an increase in primary productivity, which translates more food into organisms, making metals bioavailable for mussels. Only Cu and Mn showed significant relationships between the size and metal concentration, during drought period, it may be because of the organisms need for these essential metals in different physiological processes. (C) 2014 Elsevier Ltd. All rights reserved.</t>
  </si>
  <si>
    <t>[Pinto, Rafael; Acosta, Vanessa] Univ Oriente, Dept Biol, Escuela Ciencias, Cumana, Venezuela; [Isabel Segnini, Mary; Brito, Leonor; Martinez, Gregorio] Univ Oriente, Inst Oceanog Venezuela, Cumana, Venezuela</t>
  </si>
  <si>
    <t>Pinto, R (corresponding author), Univ Oriente, Dept Biol, Escuela Ciencias, Cumana, Venezuela.</t>
  </si>
  <si>
    <t>Rafha-go@hotmail.com</t>
  </si>
  <si>
    <t>Martinez, Gregorio/0000-0002-1882-752X; Pinto, Rafael/0000-0002-1251-5007</t>
  </si>
  <si>
    <t>FEB 28</t>
  </si>
  <si>
    <t>10.1016/j.marpolbul.2014.09.059</t>
  </si>
  <si>
    <t>CE6VU</t>
  </si>
  <si>
    <t>WOS:000351977100004</t>
  </si>
  <si>
    <t>Company, R; Serafim, A; Lopes, B; Cravo, A; Kalman, J; Riba, I; DelValls, TA; Blasco, J; Delgado, J; Sarmiento, AM; Nieto, JM; Shepherd, TJ; Nowell, G; Bebianno, MJ</t>
  </si>
  <si>
    <t>Company, R.; Serafim, A.; Lopes, B.; Cravo, A.; Kalman, J.; Riba, I.; DelValls, T. A.; Blasco, J.; Delgado, J.; Sarmiento, A. M.; Nieto, J. M.; Shepherd, T. J.; Nowell, G.; Bebianno, M. J.</t>
  </si>
  <si>
    <t>Source and impact of lead contamination on δ-aminolevulinic acid dehydratase activity in several marine bivalve species along the Gulf of Cadiz</t>
  </si>
  <si>
    <t>Lead; Lead isotopes; ALAD; Bivalves; Contamination; Gulf of Cadiz; Iberia</t>
  </si>
  <si>
    <t>IBERIAN PYRITE BELT; MASSIVE SULFIDE DEPOSITS; ODIEL RIVERS; ISOTOPIC COMPOSITION; MINE DRAINAGE; HEAVY-METALS; TRACE-METALS; BASIN SW; HEMOCYANIN; POLLUTION</t>
  </si>
  <si>
    <t>Coastal areas and estuaries are particularly sensitive to metal contamination from anthropogenic sources and in the last few decades the study of space-time distribution and variation of metals has been extensively researched. The Gulf of Cadiz is no exception, with several rivers draining one of the largest concentrations of sulphide deposits in the world, the Iberian Pyrite Belt (IPB). Of these rivers, the Guadiana, one of the most important in the Iberian Peninsula, together with smaller rivers like the Tinto and Odiel, delivers a very high metal load to the adjacent coastal areas. The purpose of this work was to study the source and impact of lead (Pb) drained from historical or active mining areas in the IPB on the activity of a Pb inhibited enzyme (delta-aminolevulinic acid dehydratase. ALAD) in several bivalve species along the Gulf of Cadiz. Seven marine species (Chamelea gallina, Mactra corallina, Donax trunculus, Cerastoderma edule, Mytilus galloprovincialis, Scrobicularia plana and Crassostrea angulata) were collected at 12 sites from Mazagon, near the mouth of the rivers Tinto and Odiel (Spain), to Cacela Velha (Ria Formosa lagoon system, Portugal). Lead concentrations, ALAD activity and lead isotope ratios (Pb-206/Pb-204, Pb-207/Pb-204 and Pb-208/Pb-204) were determined in the whole soft tissues. The highest Pb concentrations were determined in S. plana (3.50 +/- 1.09 mu g g(-1) Pb d.w.) and D. trunculus (1.95 +/- 0.10 mu g g(-1) Pb d.w.), while M. galloprovincialis and C angulata showed the lowest Pb levels (&lt;0.38 mu g g(-1) Pb d.w.). In general, ALAD activity is negatively correlated with total Pb concentration. However this relationship is species dependent (e.g. linear for C. gallina ALAD = -0.36[Pb] + 0.79; r = 0.837; or exponential for M. galloprovincialis ALAD = 2.48e(-8.3[Pb]); r = 0.911). This indicates that ALAD activity has considerable potential as a biomarker of Pb and moreover, in marine bivalve species with different feeding habits. Lead isotope data showed significant seasonal and spatial changes in bivalve isotopic composition reflecting seasonal and geographic differences in bioaccumulation. Within the study area, Pb can be modelled as a mixing between geogenic Pb and mine-related, discharges of Pb from the IPB. For some sites at the mouth of the Guadiana River, the bivalves show contamination from other anthropogenic sources, such as leaded boat/aviation fuel and/or leaded paint. Finally, the study demonstrates convincingly the need to consider species-specific variation when using bivalve ALAD activity as a biomarker for Pb. (C) 2010 Elsevier B.V. All rights reserved.</t>
  </si>
  <si>
    <t>[Company, R.; Serafim, A.; Lopes, B.; Cravo, A.; Bebianno, M. J.] Univ Algarve, CIMA, P-8005139 Faro, Portugal; [Blasco, J.] CSIC, Inst Ciencias Marinas Andalucia, Cadiz 11510, Spain; [Kalman, J.; Riba, I.; DelValls, T. A.; Sarmiento, A. M.] Univ Cadiz, Catedra UNESCO UNITWIN WiCop, Dept Phys Chem, Fac Marine &amp; Environm Sci, Cadiz 11510, Spain; [Delgado, J.; Sarmiento, A. M.; Nieto, J. M.] Univ Huelva, Dept Geol, Huelva 21071, Spain; [Shepherd, T. J.; Nowell, G.] Univ Durham, Sci Labs, Dept Earth Sci, Durham DH1 3LE, England</t>
  </si>
  <si>
    <t>Universidade do Algarve; Consejo Superior de Investigaciones Cientificas (CSIC); CSIC - Instituto de Ciencias Marinas de Andalucia (ICMAN); Universidad de Cadiz; Universidad de Huelva; Durham University</t>
  </si>
  <si>
    <t>Bebianno, MJ (corresponding author), Univ Algarve, CIMA, Campus Gambelas, P-8005139 Faro, Portugal.</t>
  </si>
  <si>
    <t>Bebianno, Maria/L-3761-2014; Del Valls, T. Angel/K-9664-2014; Nieto, Jose Miguel/K-1935-2014; Miguel Sarmiento, Aguasanta/K-1168-2014; Cravo, Alexandra/I-8948-2014; Kalman, Judit/L-7274-2015; Blasco, Julian/A-5319-2008; Delgado Rodriguez, Joaquin/B-5274-2016</t>
  </si>
  <si>
    <t>Del Valls, T. Angel/0000-0001-7674-9278; Nieto, Jose Miguel/0000-0002-0086-252X; Miguel Sarmiento, Aguasanta/0000-0002-8496-3124; Serafim, Angela/0000-0002-1165-0645; Cravo, Alexandra/0000-0002-2569-3929; Bebianno, Maria/0000-0003-1492-8566; Kalman, Judit/0000-0002-3610-1968; Nowell, Geoff/0000-0003-3229-128X; Riba, Inmaculada/0000-0003-1271-2534; Blasco, Julian/0000-0002-9750-383X; Company, Rui/0000-0001-9947-254X; Delgado Rodriguez, Joaquin/0000-0002-6906-5713; Lopes, Belisandra/0000-0003-3565-4795</t>
  </si>
  <si>
    <t>The present research was carried out in the framework of an INTERREG III Programme between Portugal and Spain that was financially supported by the EU (UTPIA/SP5.P9/02-INTERREG IIIA) and Centre for Marine and Environmental Research, University of Algarve (CIMA).</t>
  </si>
  <si>
    <t>JAN 17</t>
  </si>
  <si>
    <t>10.1016/j.aquatox.2010.09.012</t>
  </si>
  <si>
    <t>715BR</t>
  </si>
  <si>
    <t>WOS:000286855900016</t>
  </si>
  <si>
    <t>The pericardial glands of the zebra mussel: Ultrastructure and implication in lead detoxication process</t>
  </si>
  <si>
    <t>BIOLOGY OF THE CELL</t>
  </si>
  <si>
    <t>zebra mussel; pericardial gland; detoxication; lead; ultrastructure; X-ray microanalysis</t>
  </si>
  <si>
    <t>TRACE-METAL POLLUTION; DREISSENA-POLYMORPHA; MYTILUS-EDULIS; MERCENARIA-MERCENARIA; EXCRETORY SYSTEM; BIVALVE MOLLUSKS; DIGESTIVE CELLS; BROWN CELLS; CADMIUM; CONTAMINATION</t>
  </si>
  <si>
    <t>Ultrastructural and microanalytical investigations of the pericardial gland of the freshwater mussel, Dreissena polymorpha have been performed to investigate the possible functional role of this organ in the detoxication process of lead. The cell-type of this organ exhibits the feature characteristics of podocytes, ie the typical pedicel-basal lamina complex and the well developed lysosomal-vacuolar system. X-ray microanalysis demonstrated that large electron-dense granules referred to as lysosomes are the main target organelles in these cells to accumulate and sequestrate lead where the metal was associated with phosphorus and sulphur. Consequently, the pericardial gland plays an important role in the detoxication process and allows the organism to tolerate high lead concentration without suffering severe cell injury.</t>
  </si>
  <si>
    <t>Giamberini, L (corresponding author), UNIV METZ,CTR RECH ECOL,EQUIPE ECOTOXICOL,1 RUE RECOLLETS,BP 4116,F-57040 METZ 01,FRANCE.</t>
  </si>
  <si>
    <t>EDITIONS SCIENTIFIQUES ELSEVIER</t>
  </si>
  <si>
    <t>PARIS CEDEX 15</t>
  </si>
  <si>
    <t>141 RUE JAVEL, 75747 PARIS CEDEX 15, FRANCE</t>
  </si>
  <si>
    <t>0248-4900</t>
  </si>
  <si>
    <t>BIOL CELL</t>
  </si>
  <si>
    <t>Biol. Cell</t>
  </si>
  <si>
    <t>10.1016/0248-4900(96)89525-6</t>
  </si>
  <si>
    <t>Cell Biology</t>
  </si>
  <si>
    <t>UY392</t>
  </si>
  <si>
    <t>WOS:A1996UY39200008</t>
  </si>
  <si>
    <t>CHIN, TS; CHEN, HC</t>
  </si>
  <si>
    <t>BIOACCUMULATION AND DISTRIBUTION OF MERCURY IN THE HARD CLAM, MERETRIX-LUSORIA (BIVALVIA, VENEIDAE)</t>
  </si>
  <si>
    <t>OYSTER CRASSOSTREA-VIRGINICA; MYTILUS-EDULIS; INORGANIC MERCURY; ACCUMULATION; MUSSEL; ELIMINATION; POLLUTION; PROTEINS; BINDING; METALS</t>
  </si>
  <si>
    <t>1. Total mercury concentration in whole soft parts of the hard clam, Meretrix lusoria, increased significantly with increasing exposure concentrations. It reached 4.247-7.084 and 9.956-13.643 mug T-Hg/g dry weight in 5 and 50 mug/l Hg mercury solution, respectively, against a background level of 1.824-0.577 mug T-Hg/g dry weight. 2. Bioconcentration factor was 4-6 times higher in 5 mug/l Hg than that of 50 mug/l Hg. An estimated biological half-life of 20.2 and 18.4 days in 5 and 50 mug/l Hg, respectively, were also obtained after 14 days uptake. 3. Accumulation of mercury in tissues of the clams was greater in the gills and viscera than in the mantle, adductor, foot, or hemolymph. 4. The amount of mercury present in the gills is related to be a linear relationship with the mercury content of viscera.</t>
  </si>
  <si>
    <t>NATL TAIWAN UNIV, INST FISHERY BIOL,DEPT ZOOL, WATER POLLUT BIOL &amp; AQUACULTURE LAB,ROOM 301, TAIPEI 10764, TAIWAN</t>
  </si>
  <si>
    <t>MA392</t>
  </si>
  <si>
    <t>WOS:A1993MA39200015</t>
  </si>
  <si>
    <t>BIOACCUMULATION AND TEMPORAL TRENDS OF TRACE ELEMENTS IN FLOUNDER FROM THE SOUTHERN BALTIC SEA FOR THE 1996-2003 PERIOD</t>
  </si>
  <si>
    <t>PLATICHTHYS-FLESUS; COASTAL WATERS; HEAVY-METALS; BLUE MUSSEL; MERCURY; FISH; CONTAMINATION; POLLUTANTS; ESTUARIES; POLLUTION</t>
  </si>
  <si>
    <t>This study determined the concentrations of copper (Cu), zinc (Zn), cadmium (Cd), lead (Pb), mercury (Hg), and arsenic (As) in flounder from the southern Baltic for the 1996-2003 period. Analysis of more than 200 samples was used to determine the following: (1) concentrations of Hg and As in muscle tissue of flounder from different regions of the southern Baltic; (2) concentrations of Hg in the muscle tissue of flounder of different sizes; and (3) temporal trends in the concentrations of trace metals during the 1996-2003 period. A positive correlation between fish length and Hg concentration was noted. Further, the concentrations of Hg and As in flounder were correlated with sampling site. The most heavily polluted region of the Polish Baltic zone was the eastern region of the Baltic Sea. The temporal trend analyses showed significant downward trends in concentrations of Cd, Hg, and Pb in the flounder from the 1996-2003 period. Data suggest a decrease in the concentration of these elements in the environment of the Polish zone of the Baltic. It is noteworthy that no upward trends were noted in the concentrations of trace metals in the fish studied. If the flounder selected for the study are recognized as bioindicators of environmental pollution, then it is possible to conclude that the changes in trace metals concentrations in the Polish zone of the Baltic Sea are being reduced.</t>
  </si>
  <si>
    <t>Sea Fisheries Inst Gdynia, Dept Food &amp; Environm Chem, PL-81332 Gdynia, Poland</t>
  </si>
  <si>
    <t>Polak-Juszczak, L (corresponding author), Sea Fisheries Inst Gdynia, Dept Food &amp; Environm Chem, 1 Kollataja St, PL-81332 Gdynia, Poland.</t>
  </si>
  <si>
    <t>Polish Ministry of Agriculture and Rural Development</t>
  </si>
  <si>
    <t>The author acknowledges the financial support for these studies from the Polish Ministry of Agriculture and Rural Development. I am also grateful to all crew members of the R/V Baltic for the collection of fish samples.</t>
  </si>
  <si>
    <t>17-18</t>
  </si>
  <si>
    <t>10.1080/15287394.2010.491776</t>
  </si>
  <si>
    <t>640UE</t>
  </si>
  <si>
    <t>WOS:000281078000010</t>
  </si>
  <si>
    <t>Chaudhary, DK; Kim, H; Reible, D; Lee, M; Kim, S; Kim, LH; Kim, S; Hong, Y</t>
  </si>
  <si>
    <t>Chaudhary, Dhiraj Kumar; Kim, Hwansuk; Reible, Danny; Lee, Mikyung; Kim, Sunyoung; Kim, Lan Hee; Kim, Sungpyo; Hong, Yongseok</t>
  </si>
  <si>
    <t>Seasonal trends of mercury bioaccumulation and assessment of toxic effects in Asian clams and microbial community from field study of estuarine sediment</t>
  </si>
  <si>
    <t>Seasonal effects; Corbicula fluminea; Bioaccumulation factors; Biomarker genes; Mercury toxicity; Benthic microbiota</t>
  </si>
  <si>
    <t>HEAVY-METAL; GENE-EXPRESSION; TRACE-METALS; METHYLMERCURY; RIVER; POLLUTION; METHYLATION; SOIL; FLAVOBACTERIA; DIVERSITY</t>
  </si>
  <si>
    <t>This study investigated seasonal trends in bioaccumulation potential and toxic effects of mercury (Hg) in Asian clams (Corbicula fluminea) and microbial community. For this, a clam-exposure experiment was performed during summer, fall, and winter seasons in four different sites (HS1: control/clean site; HS2, HS3, and HS4: contaminated sites) of Hyeongsan River estuary, South Korea. Total mercury (THg) and methylmercury (MeHg) in whole sediments were highest at HS4 site during fall, sustained similar levels during winter, but decreased during summer. Unlike whole sediment, pore water reported higher levels in summer, and gradually declined during fall and winter. Asian clams from HS4 site collected during summer presented highest bioaccumulations of THg (521.52 mu g/kg, dry weight) and MeHg (161.04 mu g/kg, dry weight), which also correlated with the higher levels of Hg present in pore water in the same season. Moreover, biota-sediment-pore water accumulation factor (BSpAF) were comparatively greater in clams collected from HS2~HS4 compared to HS1 sites, suggesting that porewater was a better indicator of accumulation of Hg. Upregulation of biomarker genes responsible for detoxifying process (gsts1), scavenging oxidative stress (cat), and protein reparation (hsp70 and hsp90) were observed in clams collected from HS2~HS4. The overexpression of these biomarkers implied that Asian clams can be considered as promising warning tools for Hg-contamination. Both bacterial and metabolic diversities were negatively affected by higher levels of THg and MeHg. Phylum Proteobacteria was enriched in HS2~HS4 compared to HS1. In contrast, phylum Bacteroidetes showed a reverse trend. The metabolic profile was highest in HS1 and lowest in HS4, revealing higher stress of Hg in HS4 site. Overall, the outcomes of this field study broaden the information on seasonal trends of bioaccumulation of Hg and its toxic effects. These findings may be helpful in Hg monitoring and management programs in other river systems.</t>
  </si>
  <si>
    <t>[Chaudhary, Dhiraj Kumar; Kim, Hwansuk; Kim, Lan Hee; Kim, Sungpyo; Hong, Yongseok] Korea Univ Sejong Campus, Dept Environm Engn, 2511 Sejong Ro, Sejong City 30019, South Korea; [Reible, Danny] Texas Tech Univ, Dept Civil Environm &amp; Construct Engn, Lubbock, TX 79409 USA; [Lee, Mikyung; Kim, Sunyoung] Natl Inst Environm Res, Water Environm Engn Res Div, Hwangyong Ro 42, Incheon 22689, South Korea</t>
  </si>
  <si>
    <t>Texas Tech University System; Texas Tech University; National Institute of Environmental Research (NIER), Republic of Korea</t>
  </si>
  <si>
    <t>Hong, Y (corresponding author), Korea Univ Sejong Campus, Dept Environm Engn, 2511 Sejong Ro, Sejong City 30019, South Korea.</t>
  </si>
  <si>
    <t>Kim, Hwansuk/JAC-1162-2023; Reible, Danny/M-9819-2017; Chaudhary, Dhiraj Kumar/S-7772-2016</t>
  </si>
  <si>
    <t>Chaudhary, Dhiraj Kumar/0000-0003-4845-3933</t>
  </si>
  <si>
    <t>Korea Environmental Industry &amp; Technology Institute (KEITI) - Korea Ministry of Environment (MOE) [1485017197]; National Institute of Environmental Research (NIER) - Ministry of Environment (MOE) of the Republic of Korea [NIER-2020-04-02073]; Korea University [K2111371]</t>
  </si>
  <si>
    <t>Korea Environmental Industry &amp; Technology Institute (KEITI) - Korea Ministry of Environment (MOE)(Korea Environmental Industry &amp; Technology Institute (KEITI)Ministry of Environment (ME), Republic of Korea); National Institute of Environmental Research (NIER) - Ministry of Environment (MOE) of the Republic of Korea(Ministry of Environment (ME), Republic of KoreaNational Institute of Environmental Research (NIER), Republic of Korea); Korea University</t>
  </si>
  <si>
    <t>This work was supported by Korea Environmental Industry &amp; Technology Institute (KEITI) through Aquatic Ecosystem Conservation Research Program, funded by Korea Ministry of Environment (MOE) (1485017197) , National Institute of Environmental Research (NIER) , funded by the Ministry of Environment (MOE) of the Republic of Korea (NIER-2020-04-02073) , and Korea University grant (K2111371) .</t>
  </si>
  <si>
    <t>C</t>
  </si>
  <si>
    <t>10.1016/j.envres.2022.113439</t>
  </si>
  <si>
    <t>1M5FW</t>
  </si>
  <si>
    <t>WOS:000799995700001</t>
  </si>
  <si>
    <t>Yabanli, M; Katalay, S; Yozukmaz, A; Inanan, BE</t>
  </si>
  <si>
    <t>Yabanli, Murat; Katalay, Selma; Yozukmaz, Aykut; Inanan, Burak Evren</t>
  </si>
  <si>
    <t>Comparative study of heavy metals and selenium accumulation in the digestive gland and gills of Mytilus galloprovincialis (Lamarck, 1819) caught in Izmir Bay (Turkey)</t>
  </si>
  <si>
    <t>TURKISH JOURNAL OF BIOCHEMISTRY-TURK BIYOKIMYA DERGISI</t>
  </si>
  <si>
    <t>Mytilus galloprovincialis; gill; digestive gland; heavy metal; selenium; Izmir Bay</t>
  </si>
  <si>
    <t>IRON SPECIATION; TRACE-METALS; BLACK-SEA; POLLUTION; MERCURY; MUSSELS; COAST; CADMIUM; GULF; BIOACCUMULATION</t>
  </si>
  <si>
    <t>Objective: The aim of this study was to evaluate heavy metals (Cr, Fe, Ni, Cu, Zn, As, Cd, Hg, Pb) and selenium levels in digestive gland and gill tissues of wild Mediterranean mussel Mytilus galloprovincialis (Lamarck, 1819) collected from four locations in Izmir Bay. Methods: A total of 180 samples of the wild Mediterranean mussel M. galloprovincialis with shell length of 50-60 mm were collected from four locations. Inductively coupled plasmamass spectroscopy was used to determine heavy metals and selenium concentrations in mussel samples after microwave digestion process. Results: The highest values (mg kg(-1) dry weight) obtained for digestive gland and gills were 0.17 and 0.15 for Cr, 28.62 and 29.49 for Fe, 0.25 and 0.29 for Ni, 2.53 and 1.78 for Cu, 18.52 and 22.03 for Zn, 1.26 and 1.08 for As, 0.04 and 0.04 for Cd, 0.02 and 0.02 for Hg, 0.19 and 0.16 for Pb, 0.40 and 0.48 for Se, respectively. Statistically significant differences among digestive gland and gills (p&lt;0.05) were found for Cr, Ni, Zn, As, Se and Cd. In general, the levels of the studied elements were higher for the Karsiyaka than for other three stations. Conclusion: The low levels of toxic metals (Cd, Hg, Pb, Cr, Ni) found in tissues of M. galloprovincialis, comparing with the other studies including taken place in the Inner of Izmir Bay. M. galloprovincialis can be used as a sensitive biomonitor for the availabilities of studied elements in the Inner Bay of Izmir, Turkey.</t>
  </si>
  <si>
    <t>[Yabanli, Murat; Yozukmaz, Aykut] Mugla Sitki Kocman Univ, Fac Fisheries, Dept Hydrobiol, TR-48000 Mugla, Turkey; [Katalay, Selma] Celal Bayar Univ, Fac Sci &amp; Art, Deparment Biol, Manisa, Turkey; [Inanan, Burak Evren] Mugla Sitki Kocman Univ, Fac Sci, Dept Biol, TR-48000 Mugla, Turkey</t>
  </si>
  <si>
    <t>Mugla Sitki Kocman University; Celal Bayar University; Mugla Sitki Kocman University</t>
  </si>
  <si>
    <t>Yabanli, M (corresponding author), Mugla Sitki Kocman Univ, Su Urunleri Fak, Temel Bilimler Bolumu, TR-48000 Mugla, Turkey.</t>
  </si>
  <si>
    <t>myabanli@gmail.com</t>
  </si>
  <si>
    <t>İnanan, Burak/AAI-4870-2020; Yabanli, Murat/X-1829-2018; YOZUKMAZ, Aykut/V-3555-2017</t>
  </si>
  <si>
    <t>Inanan, Burak/0000-0002-2888-8457; YABANLI, Murat/0000-0002-9615-2222; YOZUKMAZ, Aykut/0000-0003-2575-3044</t>
  </si>
  <si>
    <t>WALTER DE GRUYTER GMBH</t>
  </si>
  <si>
    <t>GENTHINER STRASSE 13, D-10785 BERLIN, GERMANY</t>
  </si>
  <si>
    <t>0250-4685</t>
  </si>
  <si>
    <t>1303-829X</t>
  </si>
  <si>
    <t>TURK J BIOCHEM</t>
  </si>
  <si>
    <t>Turk. J. Biochem.</t>
  </si>
  <si>
    <t>10.5505/tjb.2015.32448</t>
  </si>
  <si>
    <t>CN3EE</t>
  </si>
  <si>
    <t>WOS:000358306200007</t>
  </si>
  <si>
    <t>Cai, MY; Ma, T; Que, HY; Shi, B; Liu, XD; Ke, YZ; Minguez, L; Louis, F</t>
  </si>
  <si>
    <t>Cai, Mingyi; Ma, Tian; Que, Huayong; Shi, Bo; Liu, Xiande; Ke, Yizhou; Minguez, Laetitia; Louis, Fanny</t>
  </si>
  <si>
    <t>Investigating the Impact of Humic Acid on Copper Accumulation in Sinonovacula constricta Using a Toxicokinetic-Toxicodynamic Model</t>
  </si>
  <si>
    <t>copper; humic acid; toxicokinetic-toxicodynamic model; Sinonovacula constricta</t>
  </si>
  <si>
    <t>DISSOLVED ORGANIC-CARBON; BIOTIC LIGAND MODEL; MYTILUS-EDULIS; TOXICITY; ESTUARINE; METALS; ENVIRONMENTS; POLLUTION; SALINITY; MATTER</t>
  </si>
  <si>
    <t>In aquatic ecosystems, the interaction between heavy metals and dissolved organic carbon (DOC) plays a pivotal role in modifying the bioavailability of these metals. This study, employing a toxicokinetic-toxicodynamic model, delves into the interactive effects of humic acid (HA), a significant component of DOC, on the bioaccumulation and toxicity of copper (Cu) in the estuarine economic bivalve Sinonovacula constricta. Utilizing the stable isotope Cu-65 as a tracer, we evaluated Cu uptake in S. constricta under varied DOC concentrations in a controlled laboratory setting. Our findings reveal that at DOC concentrations below 3.05 mg L-1, the bioavailability of Cu is reduced due to shifts in the speciation distribution of Cu, resulting in decreased bioaccumulation within S. constricta. Conversely, at DOC levels exceeding 3.05 mg L-1, the formation of colloidal Cu-HA complexes allows its entry into the bivalves' digestive system. Moreover, toxicity assays demonstrate an increase in S. constricta survival rates with higher DOC concentrations, suggesting a protective effect of DOC against Cu toxicity. The integration of accumulation and toxicity data infers that Cu-HA complexes, when ingested via the digestive tract, exhibit lower toxicity compared to Cu directly assimilated from the water phase. These findings emphasize the need to consider environmental DOC levels in assessing Cu pollution risks and provide insights for managing heavy metal toxicity in estuarine aquaculture.</t>
  </si>
  <si>
    <t>[Cai, Mingyi; Ma, Tian; Que, Huayong; Shi, Bo; Liu, Xiande; Ke, Yizhou] Jimei Univ, Key Lab Hlth Mariculture East China Sea, Minist Agr &amp; Rural Affairs, Xiamen 361102, Peoples R China; [Cai, Mingyi; Ma, Tian; Que, Huayong; Shi, Bo; Liu, Xiande; Ke, Yizhou] Jimei Univ, State Key Lab Mariculture Breeding, Fisheries Coll, Xiamen 361102, Peoples R China</t>
  </si>
  <si>
    <t>Jimei University; Ministry of Agriculture &amp; Rural Affairs; Jimei University</t>
  </si>
  <si>
    <t>Ke, YZ (corresponding author), Jimei Univ, Key Lab Hlth Mariculture East China Sea, Minist Agr &amp; Rural Affairs, Xiamen 361102, Peoples R China.;Ke, YZ (corresponding author), Jimei Univ, State Key Lab Mariculture Breeding, Fisheries Coll, Xiamen 361102, Peoples R China.</t>
  </si>
  <si>
    <t>myicai@jmu.edu.cn; hque@jmu.edu.cn; shibo@jmu.edu.cn; xdliu@jmu.edu.cn; yzke@jmu.edu.cn</t>
  </si>
  <si>
    <t>National Natural Science Foundation of China</t>
  </si>
  <si>
    <t>No Statement Available</t>
  </si>
  <si>
    <t>10.3390/toxics12010074</t>
  </si>
  <si>
    <t>GL5E6</t>
  </si>
  <si>
    <t>WOS:001152829000001</t>
  </si>
  <si>
    <t>Ruelas-Inzunza, J; Páez-Osuna, F; Zamora-Arellano, N; Amezcua-Martínez, F; Bojórquez-Leyva, H</t>
  </si>
  <si>
    <t>Ruelas-Inzunza, Jorge; Paez-Osuna, Federico; Zamora-Arellano, Nydia; Amezcua-Martinez, Felipe; Bojorquez-Leyva, Humberto</t>
  </si>
  <si>
    <t>Mercury in Biota and Surficial Sediments from Coatzacoalcos Estuary, Gulf of Mexico: Distribution and Seasonal Variation</t>
  </si>
  <si>
    <t>Seasonal variation; Mercury; Biota; Surficial sediments; Gulf of Mexico; Human consumption</t>
  </si>
  <si>
    <t>HEAVY-METALS; BAJA-CALIFORNIA; POLLUTION; LAGOON; FISH; BAY; CLAMS; WATER</t>
  </si>
  <si>
    <t>Variation of mercury (Hg) in sediments and biota from Coatzacoalcos estuary during the dry, rainy and windy seasons was estimated. In sediments, Hg concentrations ranged from 0.07 mu g g(-1) in site 13 (Ixhuatepec) located upstream, to 1.06 mu g g(-1) in site 3 (Coatzacoalcos river), located in the industrialized area. Highest enrichment factor (EF) and index of geoaccumulation (I (geo)) in surficial sediments were 53 and 5.1 respectively. From EF and I (geo), it is considered that Coatzacoalcos estuary is from moderately contaminated to contaminated. In most fish species from Coatzacoalcos estuary, the sequence of Hg concentration was liver &gt; muscle &gt; gills. Average Hg concentrations in soft tissue of bivalves ranged from 0.09 mu g g(-1) in Corbicula fluminea to 0.18 mu g g(-1) in Polymesoda caroliniana. Biota-sediment accumulation factor (BSAF) ranged from 0.9 in P. caroliniana during the rainy season (site 4) to 3.8 in P. caroliniana from the same site during the windy season.</t>
  </si>
  <si>
    <t>[Ruelas-Inzunza, Jorge] Technol Inst Mazatlan, Mazatlan 82070, Sinaloa, Mexico; [Paez-Osuna, Federico; Zamora-Arellano, Nydia; Amezcua-Martinez, Felipe; Bojorquez-Leyva, Humberto] Univ Nacl Autonoma Mexico, Inst Ciencias Mar &amp; Limnol, Mazatlan 82040, Sinaloa, Mexico</t>
  </si>
  <si>
    <t>Universidad Nacional Autonoma de Mexico</t>
  </si>
  <si>
    <t>Ruelas-Inzunza, J (corresponding author), Technol Inst Mazatlan, Calle Corsario 1 203, Mazatlan 82070, Sinaloa, Mexico.</t>
  </si>
  <si>
    <t>ruelas@ola.icmyl.unam.mx</t>
  </si>
  <si>
    <t>Zamora-Arellano, Nydia/AAD-4360-2022; Páez-Osuna, Federico/AAM-3029-2020</t>
  </si>
  <si>
    <t>Zamora-Arellano, Nydia Yuriana/0000-0002-6501-8119</t>
  </si>
  <si>
    <t>Consejo Nacional de Ciencia y Tecnologia (CONACYT) through project SEMARNAT [CONACYT-2004-C01-32]</t>
  </si>
  <si>
    <t>Consejo Nacional de Ciencia y Tecnologia (CONACYT) through project SEMARNAT(Consejo Nacional de Ciencia y Tecnologia (CONACyT))</t>
  </si>
  <si>
    <t>The authors thank Z. Castillo-Rodrguez, for mollusc identification; A. Castro del Rio, for granulometric analyses; C. Ramrez-J~uregui and P. Allende-Rosales for bibliographic support. Thanks are due to Consejo Nacional de Ciencia y Tecnologia (CONACYT) for the financial support through project SEMARNAT- CONACYT-2004-C01-32.</t>
  </si>
  <si>
    <t>10.1007/s11270-008-9799-4</t>
  </si>
  <si>
    <t>395VG</t>
  </si>
  <si>
    <t>WOS:000262551000015</t>
  </si>
  <si>
    <t>COLEMAN, N; MANN, TF; MOBLEY, M; HICKMAN, N</t>
  </si>
  <si>
    <t>MYTILUS-EDULIS PLANULATUS - AN INTEGRATOR OF CADMIUM POLLUTION</t>
  </si>
  <si>
    <t>Mussels, Mytilus edulis planulatus, were collected from Port Phillip Bay, Victoria, Australia, in February 1984, to test the assumption that they are integrators of cadmium pollution. Groups of mussels were subjected to the same average dose of cadmium (21 .mu.g l-1), administered according to different dosing regimes over 4 wk (Regimes 1, 2, 3, 5); other groups received twice the average dose (42 .mu.g l-1) in half the time (Regime 4). During each regime, the mussels were exposed to the different cadmium concentrations for one week at each concentration. Nominally, the regimes were: (1) 36 .mu.g (Wk 1) to 26 .mu.g (Wk 2) to 16 .mu.g (Wk 3) to 6 .mu.g (Wk 4) Cd l-1; (2) 6 to 16 to 26 to 36 .mu.g Cd l-1; (3) 21 to 21 to 21 to 21 .mu.g Cd l-1; (4) 42 to 42 .mu.g Cd l-1; (5) 42 to 42 .mu.g Cd l-1 to background (&lt; 0.5 .mu.g) to background. Differences in cadmium accumulation by mussels from Regimes 1 and 4 were not statistically significant, nor were differences in accumulation between mussels from Regimes 2 and 3. However, mussels from Regimes 1 and 4 had accumulated significantly more cadmium than had mussels from Regimes 2 and 3. Accumulation by mussels from Regime 5 was not significantly different from that by mussels from any of the other regimes. These results suggest that, at least for cadmium, the assumption that mussels are integrators of pollution should be treated with caution. They also have implications with regard to the quantitative biological monitoring of pollution. For example, even in a carefully controlled monitoring program, using mussels of standard size and condition, significant differences in cadmium content between mussels need not indicate exposure to different levels of contamination. Rather, these differences could reflect differences in the regime by which the contamination was received.</t>
  </si>
  <si>
    <t>DEPT CONSERVAT FORESTS &amp; LANDS, MARINE SCI LABS, POB 114, QUEENSCLIFF, VIC 3225, AUSTRALIA.</t>
  </si>
  <si>
    <t>10.1007/BF00392738</t>
  </si>
  <si>
    <t>WOS:A1986D420500001</t>
  </si>
  <si>
    <t>Ahmad, I; Mohmood, I; Coelho, JP; Pacheco, M; Santos, MA; Duarte, AC; Pereira, E</t>
  </si>
  <si>
    <t>Ahmad, I.; Mohmood, I.; Coelho, J. P.; Pacheco, M.; Santos, M. A.; Duarte, A. C.; Pereira, E.</t>
  </si>
  <si>
    <t>Role of non-enzymatic antioxidants on the bivalves' adaptation to environmental mercury: Organ-specificities and age effect in Scrobicularia plana inhabiting a contaminated lagoon</t>
  </si>
  <si>
    <t>Mercury; Scrobicularia plana; Age; Organ-specificities; Adaptation; Non-enzymatic antioxidants</t>
  </si>
  <si>
    <t>ASCORBIC-ACID; GLUTATHIONE-REDUCTASE; DEHYDROASCORBIC ACID; OXIDATIVE STRESS; DEGRADATION; METABOLISM; POLLUTION; PROTEINS; BLOOD; ASSAY</t>
  </si>
  <si>
    <t>This study aimed to investigate the role of non-enzymatic antioxidants on adaptive skills over time in the bivalve Scrobicularia piano environmentally exposed to mercury. Inter-age (2(+), 3(+), 4(+), 5(+) year old) and organ-specific (gills, digestive gland) approaches were applied in bivalves collected from moderately and highly contaminated sites at Ria de Aveiro (Portugal). S. piano's adaptive skills were dependent on the contamination extent; under moderate contamination scenario, the intervention of the different antioxidants took place harmoniously, evidencing an adjustment capacity increasing with the age. Under higher contamination degree, S. plana failed to cope with mercury threat, showing an age-dependent deterioration of the defense abilities. In organ-specific approach, the differences were particularly evident for thiol-compounds, since only gills displayed the potential to respond to moderate levels by increasing non-protein thiols and total glutathione. Under high contamination degree, both organs were unable to increase thiol-compounds, which were compensated by the ascorbic acid elevation. (C) 2011 Elsevier Ltd. All rights reserved.</t>
  </si>
  <si>
    <t>[Ahmad, I.; Mohmood, I.; Coelho, J. P.; Duarte, A. C.; Pereira, E.] Univ Aveiro, Dept Chem, P-3810193 Aveiro, Portugal; [Ahmad, I.; Mohmood, I.; Coelho, J. P.; Pacheco, M.; Santos, M. A.; Duarte, A. C.; Pereira, E.] Univ Aveiro, CESAM, P-3810193 Aveiro, Portugal; [Ahmad, I.; Pacheco, M.; Santos, M. A.] Univ Aveiro, Dept Biol, P-3810193 Aveiro, Portugal</t>
  </si>
  <si>
    <t>Ahmad, I (corresponding author), Univ Aveiro, Dept Chem, P-3810193 Aveiro, Portugal.</t>
  </si>
  <si>
    <t>Ahmad, Iqbal/I-1887-2013; Coelho, João/C-1699-2008; Pereira, Eduarda/A-5907-2012; Santos, Ana/KHY-6833-2024; Pacheco, Mario/G-5620-2016; Duarte, Armando/C-1424-2008</t>
  </si>
  <si>
    <t>Pacheco, Mario/0000-0003-0552-9643; Coelho, Joao Pedro/0000-0003-1975-8308; Ahmad, Iqbal/0000-0002-8364-8579; Duarte, Armando/0000-0002-4868-4099; Pereira, Eduarda/0000-0002-6046-5243</t>
  </si>
  <si>
    <t>10.1016/j.envpol.2011.12.023</t>
  </si>
  <si>
    <t>907CM</t>
  </si>
  <si>
    <t>WOS:000301395400028</t>
  </si>
  <si>
    <t>Ivanina, AV; Taylor, C; Sokolova, IM</t>
  </si>
  <si>
    <t>Ivanina, A. V.; Taylor, C.; Sokolova, I. M.</t>
  </si>
  <si>
    <t>Effects of elevated temperature and cadmium exposure on stress protein response in eastern oysters Crassostrea virginica (Gmelin)</t>
  </si>
  <si>
    <t>Metallothioneins; Heat shock proteins; Temperature; Cadmium; Interactions; Mollusks; Bivalves</t>
  </si>
  <si>
    <t>HEAT-SHOCK PROTEINS; METALLOTHIONEIN MESSENGER-RNA; HSP70 GENE-EXPRESSION; PACIFIC OYSTER; MITOCHONDRIAL-FUNCTION; THERMAL TOLERANCE; MYTILUS-GALLOPROVINCIALIS; PHYSIOLOGICAL STRESS; SEASONAL-CHANGES; METAL POLLUTION</t>
  </si>
  <si>
    <t>Stress proteins such as heat shock proteins (HSPs) and metallothioneins (MTs) play a key role in cellular protection against environmental stress. Marine ectotherms such as eastern oysters Crassostrea virginica are commonly exposed to multiple stressors including temperature and pollution by metals such as cadmium (Cd) in estuaries and coastal zones: however, the combined effects of these stressors on their cellular protection mechanisms are poorly understood. We acclimated C. virginica from populations adapted to different thermal regimes (Washington, North Carolina and Texas) at a common temperature of 12 C,and analyzed their expression of MTs and HSPs (cytosolic HSP69, HSC72-77, HSP90 and mitochondrial HSP60) in response to the combined acute temperature stress and long-term Cd exposure. Overall, HSP and MT induction patterns were similar in oysters from the three studied geographically distant populations. HSP69 and MTs were significantly up-regulated by Cd and temperature stress implying their important role in cellular stress protection. In contrast, HSC72-77, HSP60 and HSP90 were not consistently induced by either acute heat or Cd exposure. The induction temperature for MTs was higher than for HSP69 (&gt;28 C vs. 20 C, respectively), and MTs were more strongly induced by Cd than by temperature stress (to up to 38-94-fold compared by 3.5-7.5-fold, respectively) consistent with their predominant role in metal detoxification. Notably, heat stress did not result in an additional increase in metallothionein expression in Cd-exposed oysters suggesting a capacity limitation during the combined exposure to Cd and temperature stress. Levels of HSP69 and in some cases, HSC72-77 and HSP90 were lower in Cd-exposed oysters as compared to their control counterparts during heat stress indicating that simultaneous exposure to these two stressors may have partially suppressed the cytoprotective upregulation of molecular chaperones. These limitations of stress protein response may contribute to the reduced thermotolerance of oysters from metal-polluted environments. (C) 2008 Elsevier B.V. All rights reserved.</t>
  </si>
  <si>
    <t>[Ivanina, A. V.; Taylor, C.; Sokolova, I. M.] Univ N Carolina, Dept Biol, Charlotte, NC 28223 USA; [Taylor, C.] Johnson C Smith Univ, Charlotte, NC 28216 USA</t>
  </si>
  <si>
    <t>National Science Foundation [IBN-0347238, 0548401]; United Negro College Fund SEEDS program; UNC Charlotte; UNC Charlotte ADVANCE program Bonnie Cone Fellowship; Johnson C. Smith University MBRS-RISE Program [NIGMS 58042]; Division Of Human Resource Development; Direct For Education and Human Resources [0548401] Funding Source: National Science Foundation</t>
  </si>
  <si>
    <t>National Science Foundation(National Science Foundation (NSF)); United Negro College Fund SEEDS program; UNC Charlotte; UNC Charlotte ADVANCE program Bonnie Cone Fellowship(National Science Foundation (NSF)); Johnson C. Smith University MBRS-RISE Program; Division Of Human Resource Development; Direct For Education and Human Resources(National Science Foundation (NSF)NSF - Directorate for STEM Education (EDU))</t>
  </si>
  <si>
    <t>The authors wish to thank John R. Schwarz (Seafood Safety Laboratory, Texas A&amp;M University at Galveston, TX) and James Swartzenberg U &amp; B Aquafood, Jacksonville, NC, USA) for assistance with oyster collection, Edna Zamparelli (UNC Charlotte) for help with pilot experiments on the time-course of mRNA expression of HSPs and MTs, and Amy Ringwood (UNC Charlotte) for assistance with Cd determinations. This work was supported by funds provided the National Science Foundation CAREER award (IBN-0347238), United Negro College Fund SEEDS program. Faculty Research Grant from UNC Charlotte and a UNC Charlotte ADVANCE program Bonnie Cone Fellowship (through an NSF ADVANCE Institutional Transformation Program Grant, NSF-0548401) to I.M.S., and Johnson C. Smith University MBRS-RISE Program NIGMS 58042 to C.T.</t>
  </si>
  <si>
    <t>10.1016/j.aquatox.2008.11.016</t>
  </si>
  <si>
    <t>413AV</t>
  </si>
  <si>
    <t>WOS:000263766200007</t>
  </si>
  <si>
    <t>PELLETIER, E; LAROCQUE, R</t>
  </si>
  <si>
    <t>BIOACCUMULATION OF MERCURY IN STARFISH FROM CONTAMINATED MUSSELS</t>
  </si>
  <si>
    <t>In the course of our works on mercury metabolism in marine organisms, we investigated in laboratory the technical feasibility and the scientific relevance of simple benthic food chain ''particles-mussel-starfish''. Mature starfish, Leptasterias polaris, fed over 45 days with contaminated mussels (Mytilus edulis), bioaccumulated organic mercury in all their tissues. The absorption rate of mercury in the first weeks of the experiment was respectively 0.238, 0.094, and 0.015 .mu.g.cntdot.g-1 d-1 (wet wt) in pyloric caeca, stomachs and body walls. Starfish retained about 50% of the organic mercury ingested mostly in pyloric caeca and calcerous skeleton (96-98%). After four weeks of regular accumulation, an auto-depuration process took place and mercury concentration in digestive organs was reduced even if the contaminated food was still provided. Coelomic fluid seems to be a barrier to the rapid dispersion of methylmercury into the whole animal and may play a role in the depuration process. These results provide evidence for the strong interest in the mussel-starfish food chain for fundamental studies of metal biotransfer in invertebrate marine organisms.</t>
  </si>
  <si>
    <t>INRS OCEANOL, INST NATL RECH SCI, 310 AVE URSULINES, RIMOUSKI G5L 3A1, QUEBEC, CANADA.</t>
  </si>
  <si>
    <t>10.1016/0025-326X(87)90358-4</t>
  </si>
  <si>
    <t>K5510</t>
  </si>
  <si>
    <t>WOS:A1987K551000004</t>
  </si>
  <si>
    <t>Liu, Y; Sun, CB; Xu, J; Li, YZ</t>
  </si>
  <si>
    <t>Liu, Yang; Sun, Changbin; Xu, Jin; Li, Youzhi</t>
  </si>
  <si>
    <t>The use of raw and acid-pretreated bivalve mollusk shells to remove metals from aqueous solutions</t>
  </si>
  <si>
    <t>Heavy metal; Electroplating wastewater; Bivalve mollusk shell</t>
  </si>
  <si>
    <t>LOW-COST ADSORBENTS; HEAVY-METALS; SACCHAROMYCES-CEREVISIAE; YEAST BIOMASS; LEAD IONS; BIOSORPTION; COMPONENTS; EFFLUENTS; WATER</t>
  </si>
  <si>
    <t>Heavy metal removal from industrial wastewater is not only to protect living organisms in the environment but also to conserve resources such as metals and water by enabling their reuse. To overcome the disadvantage of high cost and secondary pollution by the conventional physico-chemical treatment techniques, environmentally benign and low-cost adsorbents are in demand. In this study, the use of raw and acid-pretreated bivalve mollusk shells (BMSs) to remove metals from aqueous solutions with single or mixed metal was evaluated at different BMSs doses, pH and temperatures in batch shaking experiments in laboratory conditions. When the BMSs were used to treat CuSO4 center dot 5H(2)O solution, the copper sorption capacities of the raw and acid-pretreated BMSs were approximately 38.93 mg/g and 138.95 mg/g, respectively. The copper removal efficiency (CRE) of the raw BMSs became greatly enhanced with increasing initial pH. reaching 99.51% at the initial PH 5. Conversely, the CRE of the acid-pretreated BMSs was maintained at 99.48-99.52% throughout the pH range of 1-5. Furthermore, the CRE values of the raw and acid-pretreated BMSs were not greatly changed when the temperature was varied from 15 degrees C to 40 degrees C. In addition, the CRE value of the raw BMSs was maintained for 12 cycles of sorption-desorption with a CRE of 98.4% being observed in the final cycle. Finally, when the BMSs were used to treat electroplating wastewater. the removal efficiencies (REs) of the raw BMSs were 99.97%, 98.99% and 87% for Fe, Zn and Cu, respectively, whereas the REs of the acid-pretreated BMSs were 99.98%, 99.43% and 92.13%, respectively. Ion exchange experiments revealed that one of mechanisms for metal sorption by the BMSs from aqueous solution is related to ion exchange, especially between the metal ions in the treated solution and Ca2+ from BMSs. Infrared absorbance spectra analysis indicated that the acid pretreatment led to occurrence of the groups (i.e. -OH, -NH, C=O and S=O) of negative charge in treated BMSs. Scanning electron microscopy revealed that acid pretreatment enabled the used BMSs to form the flake-shaped structure with smooth surfaces that can supply a better interface for binding metal ions. (C) 2009 Published by Elsevier B.V.</t>
  </si>
  <si>
    <t>[Liu, Yang; Sun, Changbin; Xu, Jin; Li, Youzhi] Guangxi Univ, Coll Life Sci &amp; Technol, Nanning 530005, Guangxi, Peoples R China; [Liu, Yang; Sun, Changbin; Xu, Jin; Li, Youzhi] Guangxi Univ, Key Lab Minist Educ Microbial &amp; Plant Genet Engn, Nanning 530005, Guangxi, Peoples R China</t>
  </si>
  <si>
    <t>Guangxi University; Guangxi University</t>
  </si>
  <si>
    <t>Li, YZ (corresponding author), Guangxi Univ, Coll Life Sci &amp; Technol, Nanning 530005, Guangxi, Peoples R China.</t>
  </si>
  <si>
    <t>dyzl@gxu.edu.cn</t>
  </si>
  <si>
    <t>Development Program for Guangxi Science and Technology [0895003-8, 0443001-20]; Guangxi Key Laboratory of Subtropical Bioresource Conservation and Utilization [07-04]; Ministry of Education for Microbial and Plant Genetic Engineering [J0701]</t>
  </si>
  <si>
    <t>Development Program for Guangxi Science and Technology; Guangxi Key Laboratory of Subtropical Bioresource Conservation and Utilization; Ministry of Education for Microbial and Plant Genetic Engineering</t>
  </si>
  <si>
    <t>We thank the members of our laboratory for suggestions and advice during the preparation of this manuscript. This research was supported by grants from the Development Program for Guangxi Science and Technology (0895003-8 and 0443001-20), the Director's Fund of the Guangxi Key Laboratory of Subtropical Bioresource Conservation and Utilization (07-04) and the Science Foundation of the Key Laboratory of the Ministry of Education for Microbial and Plant Genetic Engineering (J0701).</t>
  </si>
  <si>
    <t>AUG 30</t>
  </si>
  <si>
    <t>10.1016/j.jhazmat.2009.02.009</t>
  </si>
  <si>
    <t>465FK</t>
  </si>
  <si>
    <t>WOS:000267567600022</t>
  </si>
  <si>
    <t>Krupnova, TG; Mashkova, IV; Kostryukova, AM; Schelkanova, EE; Gavrilkina, SV</t>
  </si>
  <si>
    <t>Krupnova, Tatyana G.; Mashkova, Irina V.; Kostryukova, Anastasiya M.; Schelkanova, Elena E.; Gavrilkina, Svetlana V.</t>
  </si>
  <si>
    <t>Gastropods as potential biomonitors of contamination caused by heavy metals in South Ural lakes, Russia</t>
  </si>
  <si>
    <t>Gastropods; Biomonitor; Heavy metals (HMs); Lake</t>
  </si>
  <si>
    <t>TRACE-METALS; ARTIFICIAL MUSSELS; DIGESTION METHODS; ACCUMULATION; WATER; BIOACCUMULATION; POLLUTION; MOUNTAINS; SEDIMENTS; MOLLUSKS</t>
  </si>
  <si>
    <t>Gastropods have long been used as biomonitors of the contamination caused by heavy metals (HMs) in aquatic environments. The main aim of this study was to investigate the possibility of using three species of gastropods (Contectiana listen, Lymnaea stagnalis and Bithynia tentaculata) to monitor HMs (Cu, Zn, Mn and Fe) concentration in the lakes of South Ural. Samples were taken from two lakes (in June-July 2015): (1) Lake Ilmenskoe (a reference area), and (2) Lake Tabankul (considered disturbed). Heavy metal concentration in the three species of gastropods was measured using X-ray fluorescence (XRF) analysis. The highest values of bioaccumulation factors (BAFs) were found for Cu and Zn in the gastropods' soft tissues. A significant correlation coefficient of Cu, Zn, Mn and Fe concentration in the soft tissues and shells and HM concentration in water was found for all the studied species.</t>
  </si>
  <si>
    <t>[Krupnova, Tatyana G.; Mashkova, Irina V.; Kostryukova, Anastasiya M.; Schelkanova, Elena E.] South Ural State Univ, Chem Dept, 76 Lenin Prospect, Chelyabinsk 76454080, Russia; [Gavrilkina, Svetlana V.] Ilmen State Reserve UrB RAS, Miass, Russia</t>
  </si>
  <si>
    <t>South Ural State University</t>
  </si>
  <si>
    <t>Krupnova, TG (corresponding author), South Ural State Univ, Chem Dept, 76 Lenin Prospect, Chelyabinsk 76454080, Russia.</t>
  </si>
  <si>
    <t>krupnovatg@susu.ru; mashkovaiv@susu.ru; kostriukovaam@susu.ru; shchelkanovaee@susu.ru; gidrosv@mail.ru</t>
  </si>
  <si>
    <t>Krupnova, Tatyana/N-4304-2014; Kostryukova, Anastasiya/U-3924-2018; Gavrilkina, Svetlana/I-9842-2018</t>
  </si>
  <si>
    <t>Krupnova, Tatyana/0000-0003-0862-710X; Gavrilkina, Svetlana/0000-0002-9892-226X</t>
  </si>
  <si>
    <t>Act 211 Government of the Russian Federation [02, A03.21.0011]</t>
  </si>
  <si>
    <t>Act 211 Government of the Russian Federation</t>
  </si>
  <si>
    <t>The work was supported by Act 211 Government of the Russian Federation, contract No 02.A03.21.0011. The authors wish to thank D. Uchaev (ERC Nanotechnology, SUSU) for XRF quantification measurements. We are grateful to anonymous reviewers who provided useful comments to improve this manuscript.</t>
  </si>
  <si>
    <t>10.1016/j.ecolind.2017.12.005</t>
  </si>
  <si>
    <t>HJ1FO</t>
  </si>
  <si>
    <t>WOS:000456907500005</t>
  </si>
  <si>
    <t>Zhan, JF; Sun, T; Wang, XH; Wu, HF; Yu, JB</t>
  </si>
  <si>
    <t>Zhan, Junfei; Sun, Tao; Wang, Xuehong; Wu, Huifeng; Yu, Junbao</t>
  </si>
  <si>
    <t>Meta-analysis reveals the species-, dose- and duration-dependent effects of cadmium toxicities in marine bivalves</t>
  </si>
  <si>
    <t>Adaptive mechanism; Dose -response; Marine bivalves; Toxicological endpoints; Trace metal</t>
  </si>
  <si>
    <t>VIRGINICA GMELIN BIVALVIA; OXIDATIVE STRESS; CRASSOSTREA-GIGAS; GIRONDE ESTUARY; EASTERN OYSTERS; HEAVY-METALS; MUSSEL; RESPONSES; TOLERANCE; PROTEINS</t>
  </si>
  <si>
    <t>Cadmium (Cd) is a typical pollutant in marine environment. Increasing studies have focused on the toxicological effects of Cd in marine bivalves. However, there were many conflicting findings of toxicological effects of Cd in marine bivalves. An integrated analysis performed on the published data of Cd toxicity in marine bivalves is still absent. In this study, a meta-analysis was performed on the toxic endpoints in bivalves exposed to aqueous-phase Cd from 87 studies screened from 1519 papers. Subgroup analyses were conducted according to the categories of species, tissue, exposure dose and duration. The results showed significant species-, duration-and dose-dependent responses in bivalves to aqueous-phase Cd exposure. In details, clams were more sensitive to Cd than oysters, mussels and scallops, indicated by the largest effect size in clams. Gill, hepatopancreas and hemolymph were top three tissues used to indicate Cd-induced toxicity and did not present a significant tissue-specific manner among them. With regard to toxicological ef-fect subgroups, oxidative stress and detoxification were top two subgroups indicating Cd toxicities. Detoxification and genotoxicity subgroups presented higher response magnitudes. What is more, toxicological effect subgroups presented multiple dose-and duration-dependent curves. Oxidative stress and genotoxicity related endpoints presented signifi-cant increase trends with Cd exposure dose and were preferable biomarkers to marine Cd pollution. Detoxification and energy metabolism related endpoints showed inverted U-shaped and U-shaped dose-response curves, both of which could be explained by hormesis. The linear decrease in oxidative stress and energy metabolism related end-points over time suggested their involvement into the adaptive mechanism in bivalves. Overall, this study provided not only a better understanding the responsive mechanisms of marine bivalves to Cd stress, but also a selection reference for biomarkers to aqueous-phase Cd pollution in marine environment.</t>
  </si>
  <si>
    <t>[Zhan, Junfei; Wang, Xuehong; Yu, Junbao] Ludong Univ, Inst Adv Study Coastal Ecol, Key Lab Ecol Restorat &amp; Conservat Coastal Wetlands, Yantai 264025, Peoples R China; [Sun, Tao; Wu, Huifeng] Chinese Acad Sci, Yantai Inst Coastal Zone Res YIC, CAS Key Lab Coastal Environm Proc &amp; Ecol Remediat, Shandong Key Lab Coastal Environm Proc,YICCAS, Yantai 264003, Peoples R China</t>
  </si>
  <si>
    <t>Ludong University; Chinese Academy of Sciences; Yantai Institute of Coastal Zone Research, CAS</t>
  </si>
  <si>
    <t>Yu, JB (corresponding author), Ludong Univ, Inst Adv Study Coastal Ecol, Key Lab Ecol Restorat &amp; Conservat Coastal Wetlands, Yantai 264025, Peoples R China.;Wu, HF (corresponding author), Chinese Acad Sci, Yantai Inst Coastal Zone Res YIC, CAS Key Lab Coastal Environm Proc &amp; Ecol Remediat, Shandong Key Lab Coastal Environm Proc,YICCAS, Yantai 264003, Peoples R China.</t>
  </si>
  <si>
    <t>hfwu@yic.ac.cn; junbao.yu@gmail.com</t>
  </si>
  <si>
    <t>Key Program from the National Natural Science Foundation of China [U1806218]; National Natural Science Foundation of China [42076164]; Young Taishan Scholars Program of Shandong Province [tsqn201812115]; Shandong Provincial Natural Science Foundation, China [ZR2022QD148]; Key Program from the National Natural Science Foundation of China [U1806218]; [U2006215]</t>
  </si>
  <si>
    <t>Key Program from the National Natural Science Foundation of China(National Natural Science Foundation of China (NSFC)); National Natural Science Foundation of China(National Natural Science Foundation of China (NSFC)); Young Taishan Scholars Program of Shandong Province; Shandong Provincial Natural Science Foundation, China(Natural Science Foundation of Shandong Province); Key Program from the National Natural Science Foundation of China(National Natural Science Foundation of China (NSFC));</t>
  </si>
  <si>
    <t>This research was supported by the Key Program from the National Natural Science Foundation of China (U1806218) , National Natural Science Foundation of China (42076164) , the Young Taishan Scholars Program of Shandong Province for Prof. Huifeng Wu (tsqn201812115) , Shandong Provincial Natural Science Foundation, China (ZR2022QD148) and the Key Program from the National Natural Science Foundation of China (U2006215) .</t>
  </si>
  <si>
    <t>10.1016/j.scitotenv.2022.160164</t>
  </si>
  <si>
    <t>7B0MD</t>
  </si>
  <si>
    <t>WOS:000898837900005</t>
  </si>
  <si>
    <t>Lee, KM; Johnston, EL</t>
  </si>
  <si>
    <t>Lee, Ka-Man; Johnston, Emma L.</t>
  </si>
  <si>
    <t>Low levels of copper reduce the reproductive success of a mobile invertebrate predator</t>
  </si>
  <si>
    <t>copper; reproductive success; flatworms; barnacles; Stylochus pygmaeus</t>
  </si>
  <si>
    <t>BALANUS-AMPHITRITE; STYLOCHID FLATWORM; PREY BEHAVIOR; RESPONSES; PLATYHELMINTHES; POLYCLADIDA; AUSTRALIA; COMPETITION; ORGANISMS; CADMIUM</t>
  </si>
  <si>
    <t>Marine organisms that occur in urbanised bays can be exposed to low-level chronic pollution that results in sublethal changes to behavior or reproduction. The effects of low levels of copper on the reproductive success of a mobile invertebrate were assessed. Free living flatworms are common predators of bivalves and barnacles. Flatworms (Stylochus pygmaeus) were exposed to low levels of copper ranging from 0 to 25 mu g L-1 in the presence and absence of their barnacle prey (Balanus variegatus). Flatworms laid fewer egg batches when exposed to copper and the hatching success of the eggs was also reduced. Exposure to 25 mu g L-1 copper for 10 d reduced the reproductive success of flatworms by up to 80%. Results were consistent regardless of the presence or absence of prey (barnacles). Barnacles were only moderately affected by copper but exhibited major avoidance behavior (feeding inhibition) in the presence of flatworm predators. This is the first ecotoxicological study on marine flatworms. Experiments are required to quantify the effects of flatworm predator populations on sessile invertebrate community structure in the field. Crown Copyright (c) 2007 Published by Elsevier Ltd. All rights reserved.</t>
  </si>
  <si>
    <t>Univ New S Wales, Sch Biol Earth &amp; Environm Sci, Sydney, NSW 2052, Australia</t>
  </si>
  <si>
    <t>University of New South Wales Sydney</t>
  </si>
  <si>
    <t>Lee, KM (corresponding author), Univ Hong Kong, Dept Ecol &amp; Biodivers, Hong Kong, Hong Kong, Peoples R China.</t>
  </si>
  <si>
    <t>karen21@hkucc.hku.hk</t>
  </si>
  <si>
    <t>LEE, KA-MAN/C-1998-2008; Johnston, Emma/B-7210-2009</t>
  </si>
  <si>
    <t>Johnston, Emma/0000-0002-2117-366X</t>
  </si>
  <si>
    <t>10.1016/j.marenvres.2007.02.004</t>
  </si>
  <si>
    <t>205XC</t>
  </si>
  <si>
    <t>WOS:000249147000006</t>
  </si>
  <si>
    <t>Haap, T; Köhler, HR</t>
  </si>
  <si>
    <t>Haap, Timo; Koehler, Heinz-R.</t>
  </si>
  <si>
    <t>Cadmium tolerance in seven Daphnia magna clones is associated with reduced hsp70 baseline levels and induction</t>
  </si>
  <si>
    <t>Adaptation; Resistance; Heavy metals; Microevolution; Heat shock proteins</t>
  </si>
  <si>
    <t>HEAT-SHOCK-PROTEIN; ONISCUS-ASELLUS ISOPODA; MUSSEL MYTILUS-EDULIS; STRESS-PROTEINS; DROSOPHILA-BUZZATII; NATURAL-POPULATIONS; ENVIRONMENTAL-STRESS; GENETIC-VARIABILITY; FIELD POPULATIONS; AQUATIC ORGANISMS</t>
  </si>
  <si>
    <t>The stress protein hsp70 is part of the intracellular alarm and repair system which enables organisms to counteract negative effects of toxicants on protein integrity. Under long-term selection pressure exerted by environmental pollution, in particular heavy metals, this system may be expected to play a major role in the course of local, microevolutionary events leading to the acquisition of toxicant resistance. Seven clones of Daphnia magna from different geographical regions were characterized regarding their sensitivity to Cd, their hsp70 expression, and Cd accumulation. In an acute immobilisation assay, the tested clones showed remarkable differences in their sensitivity to Cd. The highest EC50 values by far were obtained for the clone displaying lowest hsp70 expression. In general, hsp70 levels reflected the order of sensitivity to Cd among the seven clones reciprocally. Clonal variations in sensitivity and hsp70 expression could not be related to differential accumulation of Cd, though. In summary, the association of stress insensitivity with low hsp70 induction which has been exemplarily reported for populations of different invertebrates under strong selection pressure could be affirmed for a largely parthenogenetic species for the first time. Furthermore, our observation has serious consequences for the interpretation of toxicological assays using a single D. magna clone solely. (C) 2009 Elsevier B.V. All rights reserved.</t>
  </si>
  <si>
    <t>[Haap, Timo; Koehler, Heinz-R.] Univ Tubingen, D-72072 Tubingen, Germany</t>
  </si>
  <si>
    <t>Eberhard Karls University of Tubingen</t>
  </si>
  <si>
    <t>Haap, T (corresponding author), Univ Tubingen, Konrad Adenauer Str 20, D-72072 Tubingen, Germany.</t>
  </si>
  <si>
    <t>timo.haap@uni-tuebingen.de</t>
  </si>
  <si>
    <t>Köhler, Heinz-R./AAL-1350-2021</t>
  </si>
  <si>
    <t>AUG 31</t>
  </si>
  <si>
    <t>10.1016/j.aquatox.2009.06.006</t>
  </si>
  <si>
    <t>500IC</t>
  </si>
  <si>
    <t>WOS:000270291300007</t>
  </si>
  <si>
    <t>O'Bryhim, JR; Adams, DH; Spaet, JLY; Mills, G; Lance, SL</t>
  </si>
  <si>
    <t>O'Bryhim, Jason R.; Adams, Douglas H.; Spaet, Julia L. Y.; Mills, Gary; Lance, Stacey L.</t>
  </si>
  <si>
    <t>Relationships of mercury concentrations across tissue types, muscle regions and fins for two shark species</t>
  </si>
  <si>
    <t>Non-invasive techniques; Shark health; Human health; Total mercury</t>
  </si>
  <si>
    <t>SPHYRNA-TIBURO; BONNETHEAD SHARK; CARCHARHINUS-FALCIFORMIS; DIETARY METHYLMERCURY; SCALLOPED HAMMERHEAD; METAL CONCENTRATIONS; PRIONACE-GLAUCA; FEEDING-HABITS; SILKY SHARK; L. 1758</t>
  </si>
  <si>
    <t>Mercury (Hg) exposure poses a threat to both fish and human health. Sharks are known to bioaccumulate Hg, however, little is known regarding how Hg is distributed between different tissue groups (e.g. muscle regions, organs). Here we evaluated total mercury (THg) concentrations from eight muscle regions, four fins (first dorsal, left and right pectorals, caudal-from both the inner core and trailing margin of each fin), and five internal organs (liver, kidney, spleen, heart, epigonal organ) from two different shark species, bonnethead (Sphyrna tiburo) and silky shark (Carcharhinus falciformis) to determine the relationships of THg concentrations between and within tissue groups. Total Hg concentrations were highest in the eight muscle regions with no significant differences in THg concentrations between the different muscle regions and muscle types (red and white). Results from tissue collected from any muscle region would be representative of all muscle sample locations. Total Hg concentrations were lowest in samples taken from the fin inner core of the first dorsal, pectoral, and caudal (lower lobe) fins. Mercury concentrations for samples taken from the trailing margin of the dorsal, pectoral, and caudal fins (upper and lower lobe) were also not significantly different from each other for both species. Significant relationships were found between THg concentrations in dorsal axial muscle tissue and the fin inner core, liver, kidney, spleen and heart for both species as well as the THg concentrations between the dorsal fin trailing margin and the heart for the silky shark and all other sampled tissue types for the bonnethead shark. Our results suggest that biopsy sampling of dorsal muscle can provide data that can effectively estimate THg concentrations in specific organs without using more invasive, or lethal methods. (C) 2017 Elsevier Ltd. All rights reserved.</t>
  </si>
  <si>
    <t>[O'Bryhim, Jason R.; Mills, Gary; Lance, Stacey L.] Univ Georgia, Savannah River Ecol Lab, Aiken, SC 29802 USA; [O'Bryhim, Jason R.] George Mason Univ, Dept Environm Sci &amp; Policy, Fairfax, VA 22030 USA; [Adams, Douglas H.] Florida Fish &amp; Wildlife Conservat Commiss, Fish &amp; Wildlife Res Inst, Melbourne, FL 32901 USA; [Spaet, Julia L. Y.] King adbullah Univ Sci &amp; Technol, Red Sea Res Ctr, Div Biol &amp; Environm Sci &amp; Engn, Thuwal 239556900, Saudi Arabia; [Spaet, Julia L. Y.] Univ Cambridge, Dept Zool, Cambridge CB2 3EJ, England</t>
  </si>
  <si>
    <t>University System of Georgia; University of Georgia; United States Department of Energy (DOE); Savannah River Ecology Laboratory; George Mason University; Florida Fish &amp; Wildlife Conservation Commission; King Abdulaziz University; University of Cambridge</t>
  </si>
  <si>
    <t>O'Bryhim, JR (corresponding author), Univ Georgia, Savannah River Ecol Lab, Aiken, SC 29802 USA.</t>
  </si>
  <si>
    <t>jobryhim@masonlive.gmu.edu</t>
  </si>
  <si>
    <t>Lance, Stacey/K-9203-2013; Spaet, Julia/A-4263-2015</t>
  </si>
  <si>
    <t>Lance, Stacey/0000-0003-2686-1733; Spaet, Julia/0000-0001-8703-1472; Adams, Douglas/0000-0002-3539-6629</t>
  </si>
  <si>
    <t>U.S. Department of Energy [DE-FC09-07SR22506]; State of Florida saltwater recreational fishing licenses; U.S. Department of the Interior, U.S. Fish and Wildlife Service, Federal Aid for Sportfish Restoration Project [F12AF00222]</t>
  </si>
  <si>
    <t>U.S. Department of Energy(United States Department of Energy (DOE)); State of Florida saltwater recreational fishing licenses; U.S. Department of the Interior, U.S. Fish and Wildlife Service, Federal Aid for Sportfish Restoration Project</t>
  </si>
  <si>
    <t>We would like to thank everyone who helped make this research possible including: Dr. Bruce Saul and his undergraduates at Augusta University for helping collect bonnethead sharks, Dr. Scott Weir, Angela Lindell, Kimberly Price, Amanda Holland and scientists from the Florida Fish &amp; Wildlife Conservation Commission-Fish and Wildlife Research Institute's Fisheries, Independent Monitoring program. This research was partially supported by the U.S. Department of Energy under Award Numbers DE-FC09-07SR22506 to the University of Georgia Research Foundation. It was also supported in part by proceeds from State of Florida saltwater recreational fishing licenses, and by funding from the U.S. Department of the Interior, U.S. Fish and Wildlife Service, Federal Aid for Sportfish Restoration Project Number F12AF00222.</t>
  </si>
  <si>
    <t>10.1016/j.envpol.2017.01.029</t>
  </si>
  <si>
    <t>EP4OJ</t>
  </si>
  <si>
    <t>Green Published, Green Submitted, Bronze</t>
  </si>
  <si>
    <t>WOS:000397359500035</t>
  </si>
  <si>
    <t>Piscopo, M; Trifuoggi, M; Notariale, R; Labar, S; Troisi, J; Giarra, A; Rabbito, D; Puoti, R; de Benedictis, D; Brundo, MV; Basile, A; Good, KV; Ausió, J; Guerriero, G</t>
  </si>
  <si>
    <t>Piscopo, Marina; Trifuoggi, Marco; Notariale, Rosaria; Labar, Sofiane; Troisi, Jacopo; Giarra, Antonella; Rabbito, Dea; Puoti, Raffaela; de Benedictis, Domenico; Brundo, Maria Violetta; Basile, Adriana; Good, Katrina V.; Ausio, Juan; Guerriero, Giulia</t>
  </si>
  <si>
    <t>Protamine-like proteins' analysis as an emerging biotechnique for cadmium impact assessment on male mollusk Mytilus galloprovincialis (Lamarck 1819)</t>
  </si>
  <si>
    <t>ACTA BIOCHIMICA POLONICA</t>
  </si>
  <si>
    <t>5th European Joint Theoretical/Experimental Meeting on Membranes (EJTEMM)</t>
  </si>
  <si>
    <t>DEC 06-08, 2017</t>
  </si>
  <si>
    <t>Krakow, POLAND</t>
  </si>
  <si>
    <t>Mytilus galloprovincialis; cadmium impact assessment; emerging biotechniques; testis metallothionein; Protamine-like proteins; spermatozoa</t>
  </si>
  <si>
    <t>CHAETOPTERUS-VARIOPEDATUS; SEMEN QUALITY; REPRODUCTIVE-SYSTEM; QUANTITATIVE PCR; SPERM; METALLOTHIONEIN; DNA; EXPRESSION; POLLUTION; EXPOSURE</t>
  </si>
  <si>
    <t>Here we report the industrial pollution effects due to cadmium on the reproductive health of Mytilus galloprovincialis. Mussels were removed from the biofouling of a Conatex panel after one year exposition at a polluted site near a disposal metallurgical factory. A high cadmium bioaccumulation was observed in the testis of mussels housed at the polluted site, with respect to a control site, as determined by inductively coupled plasma-mass spectrometry, along with a 10 fold increase in metallothionein 20 kDa gene (mt20) expression levels determined by qPCR. Furthermore, mussels transferred into laboratory tanks from the reference site, and exposed to 1.5, 5 and 10 mu M CdCl2, revealed a 1.7, 3.2 and 4.5 fold expression increase in the testis mt20, respectively, and a positive correlation with cadmium bioaccumulation was found. To evaluate a potential detrimental risk of such alterations on spermatozoa, we carried out electrophoretic analyses on their protamine-like proteins. As determined by AU-PAGE, after 1.5 mu M CdCl2 exposure, protamine-like proteins also display major alterations with respect to those obtained after 5 and 10 mu M CdCl2 exposure. All protamine-like proteins isolated from the polluted biofouling were in an aggregated form and displayed the same reduced DNA binding affinity of the protamine-like proteins obtained after 1.5 mu M CdCl2 as demonstrated EMSA with sperm genomic DNA. Our results contribute to the studies concerning cadmium induced testis alterations and highlight protamine-like proteins' analysis as an emerging biotechnique for cadmium impact assessment on Mytilus galloprovincialis, for the sensitivity of the in vivo and in vitro changes of protamine-like proteins' state and their DNA binding affinity.</t>
  </si>
  <si>
    <t>[Piscopo, Marina; Notariale, Rosaria; Rabbito, Dea; Puoti, Raffaela; de Benedictis, Domenico; Basile, Adriana; Guerriero, Giulia] Univ Napoli Federico II, Dipartimento Biol, Naples, Italy; [Trifuoggi, Marco; Giarra, Antonella] Univ Napoli Federico II, Dipartimento Sci Chim, Naples, Italy; [Labar, Sofiane] El Tarf Univ, Dept Biol, El Tarf, Algeria; [Troisi, Jacopo] Theoreo Srl, I-84090 Salerno, Italy; [Brundo, Maria Violetta] Univ Catania, Dipartimento Sci Biol Geol &amp; Ambientali, Catania, Italy; [Good, Katrina V.; Ausio, Juan] Univ Victoria, Dept Biochem &amp; Microbiol, Victoria, BC, Canada; [Guerriero, Giulia] Univ Napoli Federico II, Interdept Res Ctr Environm IRC Env, Naples, Italy</t>
  </si>
  <si>
    <t>University of Naples Federico II; University of Naples Federico II; Universite d'El Tarf; University of Catania; University of Victoria; University of Naples Federico II</t>
  </si>
  <si>
    <t>Piscopo, M (corresponding author), Univ Napoli Federico II, Dipartimento Biol, Naples, Italy.</t>
  </si>
  <si>
    <t>piscopo@unina.it</t>
  </si>
  <si>
    <t>Troisi, Jacopo/ABC-1348-2021; BASILE, Adriana/ABC-8500-2021; PISCOPO, MARINA/AAU-5505-2020; GUERRIERO, Giulia/M-1058-2019</t>
  </si>
  <si>
    <t>Notariale, Rosaria/0000-0002-6048-9480; BASILE, Adriana/0000-0002-2001-8959; GUERRIERO, Giulia/0000-0002-5018-072X; Troisi, Jacopo/0000-0003-2962-7379; Giarra, Antonella/0000-0003-1623-164X; Good, Katrina/0000-0002-9889-4852; Piscopo, Marina/0000-0003-0560-6952</t>
  </si>
  <si>
    <t>Department of Biology; University of Napoli Federico II; Italy [000020-PRD-2017-M-PISCOPO_001_001]</t>
  </si>
  <si>
    <t>Department of Biology; University of Napoli Federico II; Italy</t>
  </si>
  <si>
    <t>This work was performed with departmental funds number: 000020-PRD-2017-M-PISCOPO_001_001 awarded to Marina Piscopo (Department of Biology; University of Napoli Federico II; Italy)</t>
  </si>
  <si>
    <t>WARSAW</t>
  </si>
  <si>
    <t>PASTEURA 3, 02-093 WARSAW, POLAND</t>
  </si>
  <si>
    <t>0001-527X</t>
  </si>
  <si>
    <t>1734-154X</t>
  </si>
  <si>
    <t>ACTA BIOCHIM POL</t>
  </si>
  <si>
    <t>Acta Biochim. Pol.</t>
  </si>
  <si>
    <t>10.18388/abp.2017_2533</t>
  </si>
  <si>
    <t>GL2QL</t>
  </si>
  <si>
    <t>WOS:000436968500013</t>
  </si>
  <si>
    <t>Lee, CL; Chen, HY; Chuang, MY</t>
  </si>
  <si>
    <t>Use of oyster, Crassostrea gigas, and ambient water to assess metal pollution status of the charting coastal area, Taiwan, after the 1986 green oyster incident</t>
  </si>
  <si>
    <t>green oyster; metals; biomonitoring; sediment; Erjin Chi</t>
  </si>
  <si>
    <t>HEAVY-METALS; BIVALVES; MARINE; RIVER</t>
  </si>
  <si>
    <t>Most of the oyster mariculture beds in Taiwan are in areas located along the west of the island. One of these areas is the Charting coast, where green oysters were found in 1986. During this incident, which became internationally notorious, mass mortality occurred in the Charting oyster beds. After this discovery, measures were taken by the authorities to counter pollution which lead to the problem. The effectiveness of these pollution control actions was evaluated in this study. Two water column indicators, particulate and sediment, and oysters were sampled and analyzed for metals (Cu, Zn, Pb, Ni) in Charting and its neighboring areas, Kuen-Shen Lake and Shin-Da Harbor, and the control area/station; Dah-Pen Wan. The current study shows that copper and zinc concentrations in both oysters and particulates significantly decreased in the Charting area, compared with concentrations found during the period of the green oyster incident. Six years after the incident, the copper concentration in oysters had fallen from a high of 4400 mu g/g dry weight to an average of 300+/-69 mu g/g dry weight, figures similar to the copper concentration in 1982. The pollution control actions taken after the incident are believed to be the cause of this recovery of the coastal environment. Nevertheless, Charting still produced oysters with the highest copper and zinc concentrations among the areas investigated. Further measures currently being taken by the government, including removing the sediment of some portions of Erhjin Chi, should be able to bring the oyster copper concentrations down to the levels similar to those observed in the neighboring area, (average concentration below 200 mu g/g dry weight or all time maximum concentration below 500 mu g/g dry weight). Copyright (C) 1996 Elsevier Science Ltd</t>
  </si>
  <si>
    <t>Lee, CL (corresponding author), NATL SUN YAT SEN UNIV,DEPT MARINE ENVIRONM,KAOHSIUNG 80424,TAIWAN.</t>
  </si>
  <si>
    <t>Lee, Chon-Lin/0000-0003-0521-1440</t>
  </si>
  <si>
    <t>10.1016/S0045-6535(96)00344-X</t>
  </si>
  <si>
    <t>VX087</t>
  </si>
  <si>
    <t>WOS:A1996VX08700014</t>
  </si>
  <si>
    <t>Ahmad, I; Singh, MK; Pereira, ML; Pacheco, M; Santos, MA; Duarte, AC; Pereira, E; Grácio, J</t>
  </si>
  <si>
    <t>Ahmad, Iqbal; Singh, Manoj K.; Pereira, Maria L.; Pacheco, Mario; Santos, Maria A.; Duarte, Armando C.; Pereira, Eduarda; Gracio, Jose</t>
  </si>
  <si>
    <t>Morphological, compositional and ultrastructural changes in the Scrobicularia plana shell in response to environmental mercury - An indelible fingerprint of metal exposure?</t>
  </si>
  <si>
    <t>Scrobicularia plana; Nacre; Mercury; Scanning electron microscopy; Transmission electron microscopy</t>
  </si>
  <si>
    <t>MYTILUS-EDULIS; POLLUTION; AVEIRO; RIA</t>
  </si>
  <si>
    <t>The study aimed to assess morphological, structural and compositional alterations in Scrobicularia plana nacre environmentally exposed to mercury in order to seek out the possibility of the assessed alterations as a monitoring tool to handle complexity and interactions of metals in the environment involving a non-invasive methodology. Bivalves were collected from a mercury contaminated site (Laranjo basin - Ria de Aveiro, Portugal) and a reference site in the same aquatic system. The combination of scanning electron microscopy (SEM) with energy-dispersive X-ray spectroscopy (EDS) technique depicted a sheet like morphology of bivalve nacre collected from the reference site. Moreover, EDS plot exhibited the presence of potassium, oxygen, calcium, and carbon elements. Shells collected from the contaminated area depicted lamellar patches like structures with particle like morphology composition. SEM images corresponding to the elemental analysis by EDS plot clearly denoted the presence of mercury. SEM images from the other locations of the contaminated shells depicted large surface area, a broken or ruptured symmetry of organic matrix as well as crack-like gaps. The influence of environmental mercury affecting the surface morphology of S. plana nacre showed dimple like morphology (as proved by transmission electron microscopy, TEM). The possible explanation may be the replacement of calcium elements with other elements or alloys from the nacre composite collected from contaminated region. Therefore, the nacre fingerprint may be useful as innovative knowledge and applicable tool aiming at risk reduction from noxious mercury present in the environment. Overall results suggested the use of shell as an indelible fingerprint of metal exposure. (c) 2012 Elsevier Ltd. All rights reserved.</t>
  </si>
  <si>
    <t>[Ahmad, Iqbal; Duarte, Armando C.; Pereira, Eduarda] Univ Aveiro, Dept Chem, P-3810193 Aveiro, Portugal; [Ahmad, Iqbal; Pacheco, Mario; Santos, Maria A.; Duarte, Armando C.; Pereira, Eduarda] Univ Aveiro, CESAM, P-3810193 Aveiro, Portugal; [Ahmad, Iqbal; Pereira, Maria L.; Pacheco, Mario; Santos, Maria A.] Univ Aveiro, Dept Biol, P-3810193 Aveiro, Portugal; [Singh, Manoj K.; Gracio, Jose] Univ Aveiro, Ctr Mech Technol &amp; Automat TEMA, P-3810193 Aveiro, Portugal; [Pereira, Maria L.] Univ Aveiro, CICECO, P-3810193 Aveiro, Portugal</t>
  </si>
  <si>
    <t>Universidade de Aveiro; Universidade de Aveiro; Universidade de Aveiro; Universidade de Aveiro; Universidade de Aveiro</t>
  </si>
  <si>
    <t>Pereira, Eduarda/A-5907-2012; Ahmad, Iqbal/I-1887-2013; Singh, Manoj/D-1366-2012; Santos, Ana/KHY-6833-2024; Singh, Manoj/AAM-7012-2020; Pacheco, Mario/G-5620-2016; Duarte, Armando/C-1424-2008; Pereira, Maria de Lourdes/H-4537-2019</t>
  </si>
  <si>
    <t>Gracio, Jose/0000-0002-0343-4387; Ahmad, Iqbal/0000-0002-8364-8579; Pereira, Eduarda/0000-0002-6046-5243; Singh, Manoj/0000-0003-3044-1010; Pacheco, Mario/0000-0003-0552-9643; Duarte, Armando/0000-0002-4868-4099; Pereira, Maria de Lourdes/0000-0001-6703-7869</t>
  </si>
  <si>
    <t>Foundation of Science and Technology (FCT - Portugal) through CESAM - Aveiro University Research Institute; Ciencia Program</t>
  </si>
  <si>
    <t>The financial support from Foundation of Science and Technology (FCT - Portugal) provided through CESAM - Aveiro University Research Institute (I. Ahmad) and Ciencia 2007 Program (M.K. Singh) is gratefully acknowledged. The authors are thankful to J.P. Coelho, Department of Chemistry, University of Aveiro for his valuable help during field campaign.</t>
  </si>
  <si>
    <t>10.1016/j.chemosphere.2012.11.049</t>
  </si>
  <si>
    <t>095DR</t>
  </si>
  <si>
    <t>WOS:000315315400010</t>
  </si>
  <si>
    <t>Yaroslavtseva, LM; Sergeeva, EP</t>
  </si>
  <si>
    <t>Yaroslavtseva, L. M.; Sergeeva, E. P.</t>
  </si>
  <si>
    <t>Effect of temperature on early development of the pacific mussel Mytilus trossulus (Bivalvia: Mytilidae) in sea water polluted by copper ions</t>
  </si>
  <si>
    <t>temperature; pollution; copper ions; blastula; veliger; Pacific mussel</t>
  </si>
  <si>
    <t>COMPARATIVE SENSITIVITY; VERTICAL-DISTRIBUTION; LARVAE; EDULIS; URCHINS; BAY</t>
  </si>
  <si>
    <t>The effects of water temperatures of 7, 15 and 20 degrees C and pollution of sea water by copper ions in concentrations of 0.005 and 0.01 mg/l on the early development of the Pacific mussel Mytilus trossulus were studied. It was shown that copper additives were most toxic at the initial stages of development, from fertilization up to the veliger stage. It was determined that larvae of the Pacific mussel were able to adapt to copper at a concentration of 0.005 mg/l. The copper toxicity increased to a greater extent with an increase in water temperature from its average value of 15 degrees C, than with a temperature decrease.</t>
  </si>
  <si>
    <t>[Yaroslavtseva, L. M.; Sergeeva, E. P.] Russian Acad Sci, Inst Marine Biol, Far E Div, Vladivostok 690041, Russia</t>
  </si>
  <si>
    <t>Yaroslavtseva, LM (corresponding author), Russian Acad Sci, Inst Marine Biol, Far E Div, Vladivostok 690041, Russia.</t>
  </si>
  <si>
    <t>inmarbio@mail.primorye.ru</t>
  </si>
  <si>
    <t>10.1134/S106307400706003X</t>
  </si>
  <si>
    <t>286EH</t>
  </si>
  <si>
    <t>WOS:000254828100003</t>
  </si>
  <si>
    <t>Tian, J; Jiao, ZX; Fu, HR; Qi, L; Li, Q; Liu, NN; Liu, SK</t>
  </si>
  <si>
    <t>Tian, Jing; Jiao, Zexin; Fu, Huiru; Qi, Lu; Li, Qi; Liu, Nannan; Liu, Shikai</t>
  </si>
  <si>
    <t>Genome-wide identification and expression profiling revealed tissue-specific inducible expression of cytochrome P450s conferring cadmium tolerance in the Pacific oyster, Crassostrea gigas</t>
  </si>
  <si>
    <t>AQUACULTURE REPORTS</t>
  </si>
  <si>
    <t>Cytochrome P450; Pacific oyster; Cadmium; Sequence analyses; Expression</t>
  </si>
  <si>
    <t>MESSENGER-RNA EXPRESSION; OYSTER CRASSOSTREA-GIGAS; POLYCYCLIC AROMATIC-HYDROCARBONS; CYP GENES; OXIDATIVE STRESS; DIGESTIVE GLAND; FULL COMPLEMENT; TRANSCRIPTOME; SUPERFAMILY; MODULATION</t>
  </si>
  <si>
    <t>Cytochrome P450s (CYPs) are present in almost all organisms and play critical roles in metabolism of endogenous substrates and detoxification of xenobiotic compounds. Oysters are a group of bivalves that are important in marine ecosystem and aquaculture program, adapting to the harsh environment in intertidal zones. The studies on CYPs and their potential involvement in dealing with toxic xenobiotics in oysters were limited. In the present study, we performed a multiple omics analyses and identified a full-set of 123 CYP genes in the Pacific oyster, Crassostrea gigas. These CYP genes were classified into 5 clans and 16 families. The phylogenetic tree constructed with other species showed extensive gene expansion of CYPs in the clan 2 and mitochondrial clan in the C. gigas. The amino acid sequence analysis showed conserved typical motifs of CYP genes. The expression profiles of CYPs quantified across different tissues (gill and digestive gland) at various time points (0d, 0.5d, 7d, 14d, 28d) revealed their roles in response to Cd exposure. Notably, CYP17A1-like_6 and CYP2C50 were expressed at significantly higher levels compared with other CYP genes, suggesting their crucial roles in the detoxification of Cd in the C. gigas. This work provides valuable information toward understanding of CYP-mediated detoxification of cadmium in mollusks, and will be important for surveillance of marine environment pollution and seafood safety.</t>
  </si>
  <si>
    <t>[Tian, Jing; Jiao, Zexin; Fu, Huiru; Qi, Lu; Li, Qi; Liu, Shikai] Ocean Univ China, Key Lab Mariculture, Minist Educ, Qingdao 266003, Peoples R China; [Tian, Jing; Jiao, Zexin; Fu, Huiru; Qi, Lu; Li, Qi; Liu, Shikai] Ocean Univ China, Coll Fisheries, Qingdao 266003, Peoples R China; [Li, Qi; Liu, Shikai] Qingdao Natl Lab Marine Sci &amp; Technol, Lab Marine Fisheries Sci &amp; Food Prod Proc, Qingdao 266237, Peoples R China; [Liu, Nannan] Auburn Univ, Dept Entomol &amp; Plant Pathol, Auburn, AL 36849 USA</t>
  </si>
  <si>
    <t>Ocean University of China; Ocean University of China; Laoshan Laboratory; Auburn University System; Auburn University</t>
  </si>
  <si>
    <t>Liu, SK (corresponding author), Ocean Univ China, Key Lab Mariculture, Minist Educ, Qingdao 266003, Peoples R China.;Liu, SK (corresponding author), Ocean Univ China, Coll Fisheries, Qingdao 266003, Peoples R China.</t>
  </si>
  <si>
    <t>liushk@ouc.edu.cn</t>
  </si>
  <si>
    <t>Liu, Shikai/AAO-2247-2021; Liu, Shikai/D-4664-2013</t>
  </si>
  <si>
    <t>Liu, Shikai/0000-0001-5777-489X</t>
  </si>
  <si>
    <t>National Natural Science Foundation of China [31802293, 41976098]; Young Talent Program of Ocean University of China [201812013]; Ocean University of China-Auburn University Joint Research Center for Aquaculture and Environmental Science [861901154277]</t>
  </si>
  <si>
    <t>National Natural Science Foundation of China(National Natural Science Foundation of China (NSFC)); Young Talent Program of Ocean University of China; Ocean University of China-Auburn University Joint Research Center for Aquaculture and Environmental Science</t>
  </si>
  <si>
    <t>This work was supported by the grants from National Natural Science Foundation of China (Nos. 31802293 and 41976098) , the Young Talent Program of Ocean University of China (No. 201812013) and the Ocean University of China-Auburn University Joint Research Center for Aquaculture and Environmental Science (No. 861901154277) .</t>
  </si>
  <si>
    <t>2352-5134</t>
  </si>
  <si>
    <t>AQUACULT REP</t>
  </si>
  <si>
    <t>Aquacult. Rep.</t>
  </si>
  <si>
    <t>10.1016/j.aqrep.2020.100582</t>
  </si>
  <si>
    <t>QR6HO</t>
  </si>
  <si>
    <t>WOS:000625317500002</t>
  </si>
  <si>
    <t>Ruelas-Inzunza, J; Gárate-Viera, Y; Páez-Osuna, F</t>
  </si>
  <si>
    <t>Ruelas-Inzunza, J.; Garate-Viera, Y.; Paez-Osuna, F.</t>
  </si>
  <si>
    <t>Lead in clams and fish of dietary importance from Coatzacoalcos estuary (Gulf of Mexico), an industrialized tropical region</t>
  </si>
  <si>
    <t>lead; fish; clams; coatzacoalcos estuary</t>
  </si>
  <si>
    <t>OYSTER CRASSOSTREA-VIRGINICA; HEAVY-METALS; TRACE; POLLUTION; WATER</t>
  </si>
  <si>
    <t>With the aim of knowing seasonal variability of lead in fish and bivalve species from Coatzacoalcos estuary, biota collected during three seasons was examined. In muscle tissue of fish, the highest level (5.4 mu g g(-1)) was found in the longnose gar Lepisosteus osseus from San Francisco stream (a highly impacted site); the lowest value (0.2 mu g g(-1)) was registered in yellowfin mojarra Gerres cinereus from Ostion lagoon (control site). In bivalves, concentrations in soft tissue ranged from 1.5 mu g g(-1) in Polymesoda caroliniana from Calzadas river, to 0.1 mu g g(-1) in Corbicula fluminea from Hidalgotitlan (control site).</t>
  </si>
  <si>
    <t>Technol Inst Mazatlan, Environm Sect, Mazatlan, Mexico; Univ Nacl Autonoma Mexico, Inst Ciencias Mar &amp; Limnol, Mazatlan, Mexico</t>
  </si>
  <si>
    <t>Ruelas-Inzunza, J (corresponding author), Technol Inst Mazatlan, Environm Sect, PO Box 757, Mazatlan, Mexico.</t>
  </si>
  <si>
    <t>Páez-Osuna, Federico/AAM-3029-2020</t>
  </si>
  <si>
    <t>10.1007/s00128-007-9285-5</t>
  </si>
  <si>
    <t>234DU</t>
  </si>
  <si>
    <t>WOS:000251141700006</t>
  </si>
  <si>
    <t>Wang, XN; Gu, YG; Wang, ZH; Ke, CL; Mo, MS</t>
  </si>
  <si>
    <t>Wang, Xu-Nuo; Gu, Yang-Guang; Wang, Zeng-Huan; Ke, Chang-Liang; Mo, Meng-Song</t>
  </si>
  <si>
    <t>Biological risk assessment of heavy metals in sediments and health risk assessment in bivalve mollusks from Kaozhouyang Bay, South China</t>
  </si>
  <si>
    <t>Heavy metals; Biological risk; Health risk; Sediments; Bivalves; Kaozhouyang Bay</t>
  </si>
  <si>
    <t>YANGTZE-RIVER ESTUARY; GIS-BASED APPROACH; QUALITY GUIDELINES; COASTAL WATERS; TRACE-METALS; CONTAMINATED SEDIMENTS; SURFACE SEDIMENTS; MARICULTURE BASE; MARINE-SEDIMENTS; GUANGDONG COAST</t>
  </si>
  <si>
    <t>The concentrations of heavy metals (Cd, Pb, Cr, Ni, Cu, Zn, Hg and As) in surface sediments and bivalve mollusks in Kaozhouyang Bay were investigated. A biological risk analysis of the sediments indicated that ten sites (about 76.92% of the total number of sites) had a 21% incidence probability of toxicity. A health risk analysis of the bivalve mollusks indicated that Cu and As posed low risks to consumer health. On the basis of the target hazard quotient (THQ), adverse effects may occur based on total THQ (TTHQ). The highest TTHQ was found in the species, Ostrea rivularis, which had the highest capacity for the bioaccumulation (factor &gt; 38) of Cd.</t>
  </si>
  <si>
    <t>[Wang, Xu-Nuo; Gu, Yang-Guang; Wang, Zeng-Huan; Ke, Chang-Liang; Mo, Meng-Song] Chinese Acad Fishery Sci, South China Sea Fisheries Res Inst, Guangzhou 510300, Guangdong, Peoples R China; [Gu, Yang-Guang] Key Lab Fishery Ecol &amp; Environm, Guangzhou 510300, Guangdong, Peoples R China; [Gu, Yang-Guang] Minist Agr, Key Lab South China Sea Fishery Resources &amp; Explo, Guangzhou 510300, Guangdong, Peoples R China; [Wang, Xu-Nuo; Wang, Zeng-Huan; Ke, Chang-Liang; Mo, Meng-Song] Minist Agr, Key Lab Aquat Prod Proc, 213 Huadu Ave East, Guangzhou 510800, Guangdong, Peoples R China</t>
  </si>
  <si>
    <t>Chinese Academy of Fishery Sciences; South China Sea Fisheries Research Institute, CAFS; Ministry of Agriculture &amp; Rural Affairs; Chinese Academy of Fishery Sciences; South China Sea Fisheries Research Institute, CAFS; Ministry of Agriculture &amp; Rural Affairs</t>
  </si>
  <si>
    <t>Gu, YG (corresponding author), Chinese Acad Fishery Sci, South China Sea Fisheries Res Inst, Guangzhou 510300, Guangdong, Peoples R China.</t>
  </si>
  <si>
    <t>hydrobio@163.com</t>
  </si>
  <si>
    <t>Gu, Yang-Guang/C-8275-2009</t>
  </si>
  <si>
    <t>Gu, Yang-Guang/0000-0003-2314-0463</t>
  </si>
  <si>
    <t>Central Public-interest Scientific Institution Basal Research Fund, South China Sea Fisheries Research Institute, CAFS [2016TS13]; National Key Project for Agro-product Quality &amp; Safety Risk Assessment, PRC [GJFP201700903]</t>
  </si>
  <si>
    <t>Central Public-interest Scientific Institution Basal Research Fund, South China Sea Fisheries Research Institute, CAFS; National Key Project for Agro-product Quality &amp; Safety Risk Assessment, PRC</t>
  </si>
  <si>
    <t>We gratefully acknowledge the Central Public-interest Scientific Institution Basal Research Fund, South China Sea Fisheries Research Institute, CAFS (2016TS13) and the National Key Project for Agro-product Quality &amp; Safety Risk Assessment, PRC (GJFP201700903)</t>
  </si>
  <si>
    <t>10.1016/j.marpolbul.2018.05.059</t>
  </si>
  <si>
    <t>WOS:000441853600032</t>
  </si>
  <si>
    <t>Bellas, J; Granmo, Å; Beiras, R</t>
  </si>
  <si>
    <t>Embryotoxicity of the antifouling biocide zinc pyrithione to sea urchin (Paracentrotus lividus) and mussel (Mytilus edulis)</t>
  </si>
  <si>
    <t>zinc pyrithione; antifouling; biocide; sea urchin; mussel; embryo-larval bioassay</t>
  </si>
  <si>
    <t>COPPER PYRITHIONE; TOXICITY</t>
  </si>
  <si>
    <t>The effects of the new antifouling compound zinc pyrithione (Zpt) on the embryonic development of sea urchin (Paracentrotus lividus) and mussel (Mytilus edulis) were investigated in laboratory toxicity tests. The median effective concentrations (EC50) were 7.7 nM for sea urchin embryos and 8 nM for mussel embryos. Toxic effects of Zpt on the larval growth of the sea urchin were detected at 0.5 nM. Predicted environmental concentrations of Zpt in pleasure craft harbours. are higher than the predicted no effect concentrations for sea urchin and mussel embryos, indicating that Zpt may pose a threat to those species from exposure in the field. (c) 2005 Elsevier Ltd. All rights reserved.</t>
  </si>
  <si>
    <t>Univ Vigo, Dept Ecol &amp; Biol Anim, Vigo 36310, Spain; Univ Gothenburg, Dept Marine Ecol, Kristineberg Marine Res Stn, SE-45034 Fiskebackskil, Sweden</t>
  </si>
  <si>
    <t>Universidade de Vigo; University of Gothenburg</t>
  </si>
  <si>
    <t>Univ Vigo, Dept Ecol &amp; Biol Anim, Ctra Colexio Univ S-N, Vigo 36310, Spain.</t>
  </si>
  <si>
    <t>juan.bellas@uvigo.es</t>
  </si>
  <si>
    <t>Beiras, Ricardo/M-1680-2019; Bellas, Juan/N-1594-2015</t>
  </si>
  <si>
    <t>Bellas, Juan/0000-0001-6179-8528; Beiras, Ricardo/0000-0002-1010-2647</t>
  </si>
  <si>
    <t>10.1016/j.marpolbul.2005.06.010</t>
  </si>
  <si>
    <t>995KC</t>
  </si>
  <si>
    <t>WOS:000234098200034</t>
  </si>
  <si>
    <t>Omrane, F; Gargouri, I; Khadhraoui, M; Elleuch, B; Zmirou-Navier, D</t>
  </si>
  <si>
    <t>Omrane, Fatma; Gargouri, Imed; Khadhraoui, Moncef; Elleuch, Boubaker; Zmirou-Navier, Denis</t>
  </si>
  <si>
    <t>Risk assessment of occupational exposure to heavy metal mixtures: a study protocol</t>
  </si>
  <si>
    <t>BMC PUBLIC HEALTH</t>
  </si>
  <si>
    <t>Occupational exposure; Heavy metals; Indoor pollution; Modeling; Mixture; Air monitoring; Biomonitoring</t>
  </si>
  <si>
    <t>CLAM RUDITAPES-DECUSSATUS; NATURAL-POPULATIONS; CHEMICAL-MIXTURES; MEDITERRANEAN KILLIFISH; APHANIUS-FASCIATUS; TUNISIAN COAST; NECK-CANCER; CADMIUM; MODEL; POLLUTION</t>
  </si>
  <si>
    <t>Background: Sfax is a very industrialized city located in the southern region of Tunisia where heavy metals (HMs) pollution is now an established matter of fact. The health of its residents mainly those engaged in industrial metals-based activities is under threat. Indeed, such workers are being exposed to a variety of HMs mixtures, and this exposure has cumulative properties. Whereas current HMs exposure assessment is mainly carried out using direct air monitoring approaches, the present study aims to assess health risks associated with chronic occupational exposure to HMs in industry, using a modeling approach that will be validated later on. Methods: To this end, two questionnaires were used. The first was an identification/descriptive questionnaire aimed at identifying, for each company: the specific activities, materials used, manufactured products and number of employees exposed. The second related to the job-task of the exposed persons, workplace characteristics (dimensions, ventilation, etc.), type of metals and emission configuration in space and time. Indoor air HMs concentrations were predicted, based on the mathematical models generally used to estimate occupational exposure to volatile substances (such as solvents). Later on, and in order to validate the adopted model, air monitoring will be carried out, as well as some biological monitoring aimed at assessing HMs excretion in the urine of workers volunteering to participate. Lastly, an interaction-based hazard index HIint and a decision support tool will be used to predict the cumulative risk assessment for HMs mixtures. Discussion: One hundred sixty-one persons working in the 5 participating companies have been identified. Of these, 110 are directly engaged with HMs in the course of the manufacturing process. This model-based prediction of occupational exposure represents an alternative tool that is both time-saving and cost-effective in comparison with direct air monitoring approaches. Following validation of the different models according to job processes, via comparison with direct measurements and exploration of correlations with biological monitoring, these estimates will allow a cumulative risk characterization.</t>
  </si>
  <si>
    <t>[Omrane, Fatma; Gargouri, Imed; Khadhraoui, Moncef; Elleuch, Boubaker] Sfax Univ, Lab Environm Engn &amp; EcoTechnol, Natl Engn Sch Sfax ENIS LR16ES19, Sfax, Tunisia; [Omrane, Fatma; Zmirou-Navier, Denis] Lorraine Univ, Med Sch, INGRES EA 7298, Nancy, France; [Omrane, Fatma; Zmirou-Navier, Denis] EHESP Sch Publ Hlth, Rennes, France; [Gargouri, Imed] Sfax Univ, Fac Med, Sfax, Tunisia; [Zmirou-Navier, Denis] INSERM U1085 IRSET, Rennes, France</t>
  </si>
  <si>
    <t>Universite de Sfax; Ecole Nationale dIngenieurs de Sfax (ENIS); Universite de Lorraine; Universite de Sfax; Universite de Rennes; Institut National de la Sante et de la Recherche Medicale (Inserm)</t>
  </si>
  <si>
    <t>Omrane, F (corresponding author), Sfax Univ, Lab Environm Engn &amp; EcoTechnol, Natl Engn Sch Sfax ENIS LR16ES19, Sfax, Tunisia.;Omrane, F; Zmirou-Navier, D (corresponding author), Lorraine Univ, Med Sch, INGRES EA 7298, Nancy, France.;Omrane, F; Zmirou-Navier, D (corresponding author), EHESP Sch Publ Hlth, Rennes, France.;Zmirou-Navier, D (corresponding author), INSERM U1085 IRSET, Rennes, France.</t>
  </si>
  <si>
    <t>fatma.omrane@ehesp.fr; denis.zmirou@inserm.fr</t>
  </si>
  <si>
    <t>Khadhraoui, Moncef/AAJ-1421-2021</t>
  </si>
  <si>
    <t>Khadhraoui, Moncef/0000-0002-0216-4549</t>
  </si>
  <si>
    <t>Sfax University, Tunisia; EHESP (Ecole des Hautes Etudes en Sante Publique, France)</t>
  </si>
  <si>
    <t>The study was funded by Sfax University, Tunisia in collaboration with EHESP (Ecole des Hautes Etudes en Sante Publique, France).</t>
  </si>
  <si>
    <t>BIOMED CENTRAL LTD</t>
  </si>
  <si>
    <t>236 GRAYS INN RD, FLOOR 6, LONDON WC1X 8HL, ENGLAND</t>
  </si>
  <si>
    <t>1471-2458</t>
  </si>
  <si>
    <t>BMC Public Health</t>
  </si>
  <si>
    <t>MAR 5</t>
  </si>
  <si>
    <t>10.1186/s12889-018-5191-5</t>
  </si>
  <si>
    <t>Public, Environmental &amp; Occupational Health</t>
  </si>
  <si>
    <t>FY7WQ</t>
  </si>
  <si>
    <t>WOS:000427074800002</t>
  </si>
  <si>
    <t>Jiang, WW; Fang, JH; Du, MR; Gao, YP; Fang, JG; Jiang, ZJ</t>
  </si>
  <si>
    <t>Jiang, Weiwei; Fang, Jinghui; Du, Meirong; Gao, Yaping; Fang, Jianguang; Jiang, Zengjie</t>
  </si>
  <si>
    <t>Integrated transcriptomics and metabolomics analyses reveal benzo[a] pyrene enhances the toxicity of mercury to the Manila clam, Ruditapes philippinarum</t>
  </si>
  <si>
    <t>Mercury; Benzo[a]pyrene; Ruditapes philippinarum; Toxicological responses; Transcriptomics; Metabolomics</t>
  </si>
  <si>
    <t>ARYL-HYDROCARBON RECEPTOR; POLYCYCLIC AROMATIC-HYDROCARBONS; SHRIMP LITOPENAEUS-VANNAMEI; ENERGY-METABOLISM; OCEAN ACIDIFICATION; CHLAMYS-FARRERI; BIOCHEMICAL RESPONSES; BIOMARKER RESPONSES; CRASSOSTREA-GIGAS; BLOOD CLAM</t>
  </si>
  <si>
    <t>Mercury (Hg2+) and benzo[a]pyrene (BaP) are ubiquitous and persistent pollutants with multiple toxicities in bivalve molluscs. Here, the toxicological responses in the gills of Manila clams, Ruditapes philippinarum, to Hg2+ (10 mu g L-1), BaP (3 mu g L-1),and their mixture were analysed using transcriptomics and metabolomics approaches. Comparisons of the transcriptomes and metabolomes of Hg2+- and/or BaP-treated clams with control animals revealed the involvement of the detoxification metabolism, immune defence, energy-related pathways, and osmotic regulation in the stress response of R. philippinarum. Exposure to Hg2+ alone primarily enhanced the detoxification and energy metabolic pathways by significantly increasing the expression of genes associated with heat-shock proteins and oxidative phosphorylation. However, co-exposure to Hg2+ and BaP caused greater immunotoxicity and disrupted detoxification metabolism, the TCA cycle, glycolysis, and ATP generation. The expression levels of cytochrome P450 1A1 (CYP1A1), multidrug resistance-associated protein 1 (MRP1), and myosin (MYO), and the activity of electron transport system (ETS) in gills were detected, supporting the underlying toxic mechanisms of Hg2+ and BaP. We suggest that the presence of BaP enhances the toxicity of Hg2+ by 1) hampering the detoxification of Hg2+, 2) increasing the immunotoxicity of Hg2+, and 3) constraining energy availability for clams.</t>
  </si>
  <si>
    <t>[Jiang, Weiwei; Fang, Jinghui; Du, Meirong; Gao, Yaping; Fang, Jianguang; Jiang, Zengjie] Chinese Acad Fishery Sci, Yellow Sea Fisheries Res Inst, Key Lab Sustainable Dev Marine Fisheries, Minist Agr, Qingdao 266071, Peoples R China; [Fang, Jianguang; Jiang, Zengjie] Qingdao Pilot Natl Lab Marine Sci &amp; Technol, Lab Marine Fisheries Sci &amp; Food Prod Proc, Qingdao 266200, Peoples R China</t>
  </si>
  <si>
    <t>Chinese Academy of Fishery Sciences; Yellow Sea Fisheries Research Institute, CAFS; Ministry of Agriculture &amp; Rural Affairs; Laoshan Laboratory</t>
  </si>
  <si>
    <t>Jiang, ZJ (corresponding author), Chinese Acad Fishery Sci, Yellow Sea Fisheries Res Inst, Key Lab Sustainable Dev Marine Fisheries, Minist Agr, Qingdao 266071, Peoples R China.</t>
  </si>
  <si>
    <t>National Key RAMP;D Program of China [2019YFE0103800]; Key Programme for International Cooperation on Scientific and Technological Innovation, Ministry of Science and Technology [2017YFE0118300]; Qingdao National Laboratory for Marine Science and Technology [QNLM201707]; Central Public-interest Scientific Institution Basal Research Fund, CAFS [2020TD50]; Young Taishan Scholars Program of Shandong Province [tsqn201909166]; Earmarked Fund for Modern Agro-industry Technology Research System [CARS-49]</t>
  </si>
  <si>
    <t>National Key RAMP;D Program of China; Key Programme for International Cooperation on Scientific and Technological Innovation, Ministry of Science and Technology; Qingdao National Laboratory for Marine Science and Technology; Central Public-interest Scientific Institution Basal Research Fund, CAFS; Young Taishan Scholars Program of Shandong Province; Earmarked Fund for Modern Agro-industry Technology Research System</t>
  </si>
  <si>
    <t>The research was supported by the National Key R&amp;D Program of China (2019YFE0103800), Key Programme for International Cooperation on Scientific and Technological Innovation, Ministry of Science and Technology (2017YFE0118300), Director Project Financially Supported by Qingdao National Laboratory for Marine Science and Technology (QNLM201707), Central Public-interest Scientific Institution Basal Research Fund, CAFS (2020TD50), Young Taishan Scholars Program of Shandong Province (tsqn201909166) and Earmarked Fund for Modern Agro-industry Technology Research System (CARS-49).</t>
  </si>
  <si>
    <t>10.1016/j.ecoenv.2021.112038</t>
  </si>
  <si>
    <t>RB8XY</t>
  </si>
  <si>
    <t>WOS:000632390400001</t>
  </si>
  <si>
    <t>Pytharopoulou, S; Grintzalis, K; Sazakli, E; Leotsinidis, M; Georgiou, CD; Kalpaxis, DL</t>
  </si>
  <si>
    <t>Pytharopoulou, Sofia; Grintzalis, Konstantinos; Sazakli, Eleni; Leotsinidis, Michel; Georgiou, Christos D.; Kalpaxis, Dimitrios L.</t>
  </si>
  <si>
    <t>Translational responses and oxidative stress of mussels experimentally exposed to Hg, Cu and Cd: One pattern does not fit at all</t>
  </si>
  <si>
    <t>Mussels; Translation; Oxidative Stress; ROS; Cadmium; Copper; Mercury</t>
  </si>
  <si>
    <t>MYTILUS-GALLOPROVINCIALIS; DIGESTIVE GLAND; METALLOTHIONEIN SYNTHESIS; SUPEROXIDE-DISMUTASE; LIPID-PEROXIDATION; PROTEIN-SYNTHESIS; EXPRESSION; BIOMARKERS; POLLUTION; CADMIUM</t>
  </si>
  <si>
    <t>Certain metals, like Hg, Cu and Cd, are capable of down-regulating protein synthesis in several marine organisms, including Mytilus galloprovincialis. Nevertheless, due to the complexity of the environmental stress, it is difficult to evaluate the influence of individual metals on protein synthesis via field studies. To bypass this difficulty, experimental studies were carried out on M. galloprovincialis exposed in aquarium for 15 days to one of three selected metal salts, HgCl2, CuCl2 and CdCl2. Polysome profile was determined in digestive gland extracts of the exposed mussels as a way of measuring the functional status of ribosomes, superoxide radical production and lipid peroxidation as indicators of oxidative stress, metallothionein content as a metal detoxification index, and superoxide dismutase activity as a free radicals-scavenging index. Exposure of mussels to Hg2+ or Cu2+ resulted in a concentration- and time-dependent decrease in the polysome content of digestive gland cells, which at 15th day of exposure and at the highest metal concentrations tested, was 32% and 19% of the control, respectively. Both metals, at the concentrations used (&lt;40 mu g/L), did not significantly influence the oxidative stress biomarkers. By contrast, Cd2+ treatment significantly induced superoxide radical production and lipid peroxidation in digestive gland cells, hinting that mussels suffered from oxidative stress. Polysome levels in Cd2+-exposed mussels were initially decreased by day 5 in digestive gland cells and then elevated to reach nearly the control levels by 15 days of exposure. Elevated protein synthesis was associated with significantly increased production of metallothioneins, whereas such increase was not recorded in Hg2+- or Cu2+-exposed mussels. Interestingly, the ribosome efficiency at initiating protein synthesis followed a similar pattern of polysome alterations, a fact suggesting that regulation of protein synthesis mainly occurred at the initiation phase of translation. Overall, these results suggest that the effect of each metal on protein synthesis is idiosyncratic and depends on its ability to induce specific cellular defense mechanisms against oxidative stress. (C) 2011 Elsevier B.V. All rights reserved.</t>
  </si>
  <si>
    <t>[Pytharopoulou, Sofia; Kalpaxis, Dimitrios L.] Univ Patras, Sch Med, Biochem Lab, Patras 26504, Greece; [Grintzalis, Konstantinos; Georgiou, Christos D.] Univ Patras, Dept Biol, Sect Genet Cell Biol &amp; Dev, Patras 26504, Greece; [Sazakli, Eleni; Leotsinidis, Michel] Univ Patras, Sch Med, Publ Hlth Lab, Patras 26504, Greece</t>
  </si>
  <si>
    <t>University of Patras; University of Patras; University of Patras</t>
  </si>
  <si>
    <t>Kalpaxis, DL (corresponding author), Univ Patras, Sch Med, Biochem Lab, Patras 26504, Greece.</t>
  </si>
  <si>
    <t>dimkal@med.upatras.gr</t>
  </si>
  <si>
    <t>Kalpaxis, Dimitrios/A-5195-2008; Sazakli, Eleni/A-2798-2013; Grintzalis, Konstantinos/I-5124-2014; Georgiou, Christos/B-8354-2013</t>
  </si>
  <si>
    <t>Leotsinidis, Michalis/0000-0002-0345-9410; Grintzalis, Konstantinos/0000-0002-6276-495X; Pytharopoulou, Sofia/0000-0003-3923-1554; Sazakli, Eleni/0000-0002-5673-2214; Georgiou, Christos/0000-0001-9707-0109</t>
  </si>
  <si>
    <t>University of Patras</t>
  </si>
  <si>
    <t>The authors are grateful to Georgia Kournoutou for skilful assistance in analyses and Konstantina Mandros for her gracious donation of mussels. The authors also like to thank the University of Patras for funding the above work.</t>
  </si>
  <si>
    <t>10.1016/j.aquatox.2011.06.007</t>
  </si>
  <si>
    <t>WOS:000294317500017</t>
  </si>
  <si>
    <t>Zhang, XH; Ruan, ZQ; You, XX; Wang, JT; Chen, JM; Peng, C; Shi, Q</t>
  </si>
  <si>
    <t>Zhang, Xinhui; Ruan, Zhiqiang; You, Xinxin; Wang, Jintu; Chen, Jieming; Peng, Chao; Shi, Qiong</t>
  </si>
  <si>
    <t>De novo assembly and comparative transcriptome analysis of the foot from Chinese green mussel (Perna viridis) in response to cadmium stimulation</t>
  </si>
  <si>
    <t>MYTILUS-EDULIS; RNA-SEQ; ASPERGILLUS-FLAVUS; GENE-EXPRESSION; HEAVY-METALS; BINDING; PROTEIN; COLLAGEN; BYSSUS; TOOL</t>
  </si>
  <si>
    <t>The Chinese green mussel, Perna viridis, is a marine bivalve with important economic values as well as biomonitoring roles for aquatic pollution. Byssus, secreted by the foot gland, has been proved to bind heavy metals effectively. In this study, using the RNA sequencing technology, we performed comparative transcriptomic analysis on the mussel feet with or without inducing by cadmium (Cd). Our current work is aiming at providing insights into the molecular mechanisms of byssus binding to heavy metal ions. The transcriptome sequencing generated a total of 26.13-Gb raw data. After a careful assembly of clean data, we obtained a primary set of 105,127 unigenes, in which 32,268 unigenes were annotated. Based on the expression profiles, we identified 9,048 differentially expressed genes (DEGs) between Cd treatment (50 or 100 mu g/L) at 48 h and the control, suggesting an extensive transcriptome response of the mussels during the Cd stimulation. Moreover, we observed that the expression levels of 54 byssus protein coding genes increased significantly after the 48-h Cd stimulation. In addition, 16 critical byssus protein coding genes were picked for profiling by quantitative real-time PCR (qRT-PCR). Finally, we reached a primary conclusion that high content of tyrosine (Tyr), cysteine (Cys), histidine (His) residues or the special motif plays an important role in the accumulation of heavy metals in byssus. We also proposed an interesting model for the confirmed byssal Cd accumulation, in which biosynthesis of byssus proteins may play simultaneously critical roles since their transcription levels were significantly elevated.</t>
  </si>
  <si>
    <t>[Zhang, Xinhui; Shi, Qiong] Shenzhen Univ, Coll Life Sci &amp; Oceanog, Lab Aquat Genom, Shenzhen, Peoples R China; [Zhang, Xinhui; Ruan, Zhiqiang; You, Xinxin; Chen, Jieming; Peng, Chao; Shi, Qiong] BGI, BGI Acad Marine Sci, Shenzhen Key Lab Marine Genom,BGI Fisheries, Guangdong Prov Key Lab Mol Breeding Marine Econ A, Shenzhen, Peoples R China; [Wang, Jintu] BGI, BGI Shenzhen, Shenzhen, Peoples R China</t>
  </si>
  <si>
    <t>Shenzhen University; Beijing Genomics Institute (BGI); Beijing Genomics Institute (BGI)</t>
  </si>
  <si>
    <t>Shi, Q (corresponding author), Shenzhen Univ, Coll Life Sci &amp; Oceanog, Lab Aquat Genom, Shenzhen, Peoples R China.;Shi, Q (corresponding author), BGI, BGI Acad Marine Sci, Shenzhen Key Lab Marine Genom,BGI Fisheries, Guangdong Prov Key Lab Mol Breeding Marine Econ A, Shenzhen, Peoples R China.</t>
  </si>
  <si>
    <t>shiqiong@genomics.cn</t>
  </si>
  <si>
    <t>You, Xinxin/AAL-2095-2020; Hu, Xin/JEP-4891-2023</t>
  </si>
  <si>
    <t>Ruan, Zhiqiang/0000-0002-6071-3315</t>
  </si>
  <si>
    <t>BGI-Shenzhen; Special Fund For State Oceanic Administration Scientific Research in the Public Interest [201305018]; Shenzhen Special Program for Future Industrial Development [JSGG20141020113728803]; Zhenjiang Leading Talent Program for Innovation and Entrepreneurship; [2014AA093501]</t>
  </si>
  <si>
    <t>BGI-Shenzhen; Special Fund For State Oceanic Administration Scientific Research in the Public Interest; Shenzhen Special Program for Future Industrial Development; Zhenjiang Leading Talent Program for Innovation and Entrepreneurship;</t>
  </si>
  <si>
    <t>BGI-Shenzhen provided support in the form of salaries for authors for authors X. Zhang, Z. Ruan, J. Wang, J. Chen, CP, X. You and Q. Shi but did not have any additional role in the study design, data collection and analysis, decision to publish, or preparation of the manuscript. The specific roles of these authors are articulated in the 'author contributions' section. The work is supported by China Project (No. 2014AA093501), Special Fund For State Oceanic Administration Scientific Research in the Public Interest (No. 201305018), Shenzhen Special Program for Future Industrial Development (No. JSGG20141020113728803), and Zhenjiang Leading Talent Program for Innovation and Entrepreneurship.</t>
  </si>
  <si>
    <t>MAY 17</t>
  </si>
  <si>
    <t>e0176677</t>
  </si>
  <si>
    <t>10.1371/journal.pone.0176677</t>
  </si>
  <si>
    <t>EV1DX</t>
  </si>
  <si>
    <t>gold, Green Published, Green Submitted</t>
  </si>
  <si>
    <t>WOS:000401487700026</t>
  </si>
  <si>
    <t>Timpano, AJ; Jones, JW; Beaty, B; Hull, M; Soucek, DJ; Zipper, CE</t>
  </si>
  <si>
    <t>Timpano, Anthony J.; Jones, Jess W.; Beaty, Braven; Hull, Matthew; Soucek, David J.; Zipper, Carl E.</t>
  </si>
  <si>
    <t>Combined effects of copper, nickel, and zinc on growth of a freshwater mussel (Villosa iris) in an environmentally relevant context</t>
  </si>
  <si>
    <t>Freshwater mussels; Metal mixture toxicity; Coal mining; Multiple stressors; Water quality criteria</t>
  </si>
  <si>
    <t>DISSOLVED ORGANIC-CARBON; SEDIMENT QUALITY; METAL MIXTURES; LIFE STAGES; TOXICITY; SENSITIVITY; TEMPERATURE; POLLUTANTS; STRATEGIES; MODEL</t>
  </si>
  <si>
    <t>Trace metals rarely contaminate freshwaters independently, hence regulatory limits based on single-metal toxicity may be underprotective of aquatic life. This could be especially the case for rare and sensitive fauna like freshwater mussels, such as those suppressed in the Clinch and Powell Rivers in eastern USA where trace metals are long-term contaminants but at concentrations below regulatory limits. We hypothesized metal mixtures may be exerting combined effects on mussels, resulting in greater toxicity than would be predicted based on single-metal exposures. To test that hypothesis, we conducted two experiments exposing juvenile rainbow mussels (Villosa iris) for 42 days to dissolved copper, nickel, and zinc, individually and in three-metal mixtures, in an environmentally-relevant context of water with chemistry (hardness 155 mg/L as CaCO3, dissolved organic carbon 1.7-2.3 mg/L, pH 8.4) similar to that of the Clinch River, which receives alkaline mine drainage. We used a toxic unit approach, selecting test concentrations based on literature values for the lower of 28-day survival or growth (length) effect concentrations for Villosa iris or Lampsilis siliquoidea (fatmucket). Our first experiment confirmed survival and growth effects when acute and chronic water quality criteria, respectively, are approached and/or exceeded. Our second experiment, at lower concentrations, showed no effects on survival but combined effects on growth were evident: a mixture of Cu, Ni, and Zn (7.2 +/- 1.2, 65.3 +/- 6.1, 183 +/- 32 mu g/L, respectively) inhibited growth (dry weight) by 95% versus 73%, 74%, and 83% inhibition for single-metal exposures to Cu, Ni, and Zn of similar concentration (8.0 +/- 1.1, 63.5 +/- 4.8, 193 +/- 31 mu g/L, respectively). Furthermore, a mixture of Cu, Ni, and Zn with individual concentrations 21%, 29%, and 37% of their water quality criteria (3.4 +/- 1.2, 21.8 +/- 1.8, and 62.1 +/- 8.4 mu g/L, respectively) inhibited growth (dry weight) by 61% relative to controls. Our observation of combined effects suggests that regulatory limits based on single-metal toxicity may be underprotective of freshwater mussels when multiple metals are present.</t>
  </si>
  <si>
    <t>[Timpano, Anthony J.; Jones, Jess W.] Virginia Tech, Dept Fish &amp; Wildlife Conservat, 310 West Campus Dr,Rm 101, Blacksburg, VA 24061 USA; [Jones, Jess W.] US Fish &amp; Wildlife Serv, Blacksburg, VA USA; [Beaty, Braven] Nature Conservancy, Abingdon, VA USA; [Hull, Matthew] Virginia Tech, Inst Crit Technol &amp; Appl Sci, Natl Ctr Earth &amp; Environm Nanotechnol Infrastruct, Blacksburg, VA USA; [Soucek, David J.] Univ Illinois, Illinois Nat Hist Survey, Champaign, IL USA; [Zipper, Carl E.] Virginia Tech, Sch Plant &amp; Environm Sci, Blacksburg, VA USA</t>
  </si>
  <si>
    <t>Virginia Polytechnic Institute &amp; State University; United States Department of the Interior; US Fish &amp; Wildlife Service; Nature Conservancy; Virginia Polytechnic Institute &amp; State University; University of Illinois System; University of Illinois Urbana-Champaign; Illinois Natural History Survey; Virginia Polytechnic Institute &amp; State University</t>
  </si>
  <si>
    <t>Timpano, AJ (corresponding author), Virginia Tech, Dept Fish &amp; Wildlife Conservat, 310 West Campus Dr,Rm 101, Blacksburg, VA 24061 USA.</t>
  </si>
  <si>
    <t>atimpano@vt.edu</t>
  </si>
  <si>
    <t>Zipper, Carl E./0000-0003-2138-4165; Soucek, David/0000-0002-7741-0193</t>
  </si>
  <si>
    <t>Powell River Project; Nature Conservancy</t>
  </si>
  <si>
    <t>The authors thank The Nature Conservancy and the Powell River Project for funding this research. We appreciate the advice and assistance of Serena Ciparis, Bill Henley, and Andrew Phipps. We are grateful to Athan Anderson, Rebecca Belcher, Dawn Mercer, Peter Sorensen, and Skye Thomas for their assistance with this study.</t>
  </si>
  <si>
    <t>10.1016/j.aquatox.2021.106038</t>
  </si>
  <si>
    <t>ZO1TT</t>
  </si>
  <si>
    <t>WOS:000765515700001</t>
  </si>
  <si>
    <t>Baltas, H; Dalgic, G; Bayrak, EY; Sirin, M; Cevik, U; Apaydin, G</t>
  </si>
  <si>
    <t>Baltas, H.; Dalgic, G.; Bayrak, E. Y.; Sirin, M.; Cevik, U.; Apaydin, G.</t>
  </si>
  <si>
    <t>Experimental study on copper uptake capacity in the Mediterranean mussel (Mytilus galloprovincialis)</t>
  </si>
  <si>
    <t>International Conference on Contaminated Sediments (ContaSed-2015)</t>
  </si>
  <si>
    <t>MAR 08-13, 2015</t>
  </si>
  <si>
    <t>Ascona, SWITZERLAND</t>
  </si>
  <si>
    <t>Mussel (Mytilus galloprovincialis); Uptake; Exposure time; Copper; EDXRF analysis</t>
  </si>
  <si>
    <t>TRACE-METAL LEVELS; PERNA-VIRIDIS; BODY-SIZE; BIOACCUMULATION; EXPOSURE; SEX; DISEASE; EDULIS; SEASON; ZN</t>
  </si>
  <si>
    <t>To investigate the effect of different sizes, sex, and exposure time on Cu uptake capacity, mussels Mytilus galloprovincialis of different shell sizes were exposed to different Cu concentrations in different aquariums. In another experiment, mussels were exposed to stable dissolved Cu for 6 days in the laboratory. All mussels tissue concentrations were analyzed using energy dispersive X-ray fluorescence (EDXRF) spectrometry. At the end of uptake, the rate of increase of Cu level in the soft tissues of mussels in different aquariums was 3.84-7.92 times higher than before exposure. While the results of Cu concentrations were negatively correlated with the shell sizes in the control and second groups (r (control) = -0.862, r (second) = -0.851 p &lt; 0.05), this relation was not observed in the other groups (p &gt; 0.05). Also, results showed no significant difference between male and female (p &gt; 0.05). On the other hand, Cu concentration values in soft tissue were monitored daily and observed to be increasing up to the third day but afterwards to be descending, thus indicating a significant effect of the exposure time-related Cu uptake by mussels. Therefore, the exposure time to Cu metal of the mussel should be taken into account in the marine pollution investigations. In addition, by using the obtained Cu heavy metal concentration results, the heavy metal intake by the human population was calculated by taking into account daily mussel consumption. The results were examined for potential human health risks and discussed. These results would be helpful to understand factors controlling Cu accumulation in mussels.</t>
  </si>
  <si>
    <t>[Baltas, H.; Bayrak, E. Y.; Sirin, M.] Recep Tayyip Erdogan Univ, Dept Phys, TR-53100 Rize, Turkey; [Dalgic, G.] Recep Tayyip Erdogan Univ, Fac Fisheries, TR-53100 Rize, Turkey; [Cevik, U.; Apaydin, G.] Karadeniz Tech Univ, Dept Phys, TR-61080 Trabzon, Turkey</t>
  </si>
  <si>
    <t>Recep Tayyip Erdogan University; Recep Tayyip Erdogan University; Karadeniz Technical University</t>
  </si>
  <si>
    <t>Baltas, H (corresponding author), Recep Tayyip Erdogan Univ, Dept Phys, TR-53100 Rize, Turkey.</t>
  </si>
  <si>
    <t>hasanbaltas01@hotmail.com</t>
  </si>
  <si>
    <t>Cevik, U./AAW-2997-2020; Dalgıç, Göktuğ/AAK-9485-2020; Apaydin, Gokhan/AAG-5692-2019</t>
  </si>
  <si>
    <t>Apaydin, Gokhan/0000-0002-4647-344X; DALGIC, GOKTUG/0000-0001-8619-6160; Sirin, Murat/0000-0001-6864-752X</t>
  </si>
  <si>
    <t>Scientific and Technical Research Council of Turkey (TUBITAK) (CAYDAG) [113Y148]</t>
  </si>
  <si>
    <t>Scientific and Technical Research Council of Turkey (TUBITAK) (CAYDAG)(Turkiye Bilimsel ve Teknolojik Arastirma Kurumu (TUBITAK))</t>
  </si>
  <si>
    <t>This work was supported by the Scientific and Technical Research Council of Turkey (TUBITAK) (CAYDAG, Project No: 113Y148)</t>
  </si>
  <si>
    <t>10.1007/s11356-016-6306-0</t>
  </si>
  <si>
    <t>DN4GJ</t>
  </si>
  <si>
    <t>WOS:000377021500062</t>
  </si>
  <si>
    <t>Laouati, I; Rouane-Hacene, O; Derbal, F; Ouali, K</t>
  </si>
  <si>
    <t>Laouati, Imen; Rouane-Hacene, Omar; Derbal, Farid; Ouali, Kheireddine</t>
  </si>
  <si>
    <t>The mussel caging approach in the assessment of trace metal contamination in southern Mediterranean coastal waters: a multi-biomarker study</t>
  </si>
  <si>
    <t>Gulf of Annaba; Biomonitoring; Mussels; Perna perna; Transplantation; Trace metals; Biomarkers</t>
  </si>
  <si>
    <t>OXIDATIVE STRESS RESPONSES; ECOLOGICAL RISK-ASSESSMENT; MYTILUS-GALLOPROVINCIALIS; CAGED MUSSELS; HEAVY-METALS; ENVIRONMENTAL-POLLUTION; GENOTOXICITY BIOMARKERS; SPATIAL-DISTRIBUTION; SEASONAL-VARIATIONS; DONAX-TRUNCULUS</t>
  </si>
  <si>
    <t>In the framework of the biomonitoring programme of the Gulf of Annaba (north-eastern Algeria), this study aims to assess the health status of the Gulf by transplanting the brown mussel Perna perna (Linnaeus 1758) for 12 weeks (June 2017-August 2017) at three sites. The concentrations of copper (Cu), zinc (Zn), lead (Pb) and cadmium (Cd) and as well as a battery of enzymatic and non-enzymatic biomarkers were measured in mussels before and after the transplantation period. Furthermore, analysis of trace metals was performed on the surface layer of the sediment of all the sites. A significant increase in the Cu and Pb concentrations in the mussel dry tissues was observed after the transplantation period and followed the order of metal contamination of the surface layer sediments, indicating a relationship between the bioaccumulation of metals and their bioavailability at each site. Unlike those of Cu and Pb, Cd and Zn concentrations did not reach significant levels of bioaccumulation at any of the three study sites. The biomarker response results were complementary to the measured metal concentrations in the mussel tissues and were associated with the metal accumulation index. Metal bioaccumulation in mussels and supporting biomarker response results identified the most important pollution point sources in the area.</t>
  </si>
  <si>
    <t>[Laouati, Imen; Ouali, Kheireddine] Badji Mokhtar Univ, Environm Biomonitoring Lab LBSE, Dept Biol, Fac Sci, 12 El Hadjar, Annaba 23000, BP, Algeria; [Rouane-Hacene, Omar] Univ Oran1 Ahmed Ben Bella, Environm Monitoring Network Lab LRSE, Dept Biol, Oran, Algeria; [Derbal, Farid] Univ Badji Mokhtar, Marine Bioresoturos Lab BIOMAR, 12 El Hadjar, Annaba 23000, BP, Algeria</t>
  </si>
  <si>
    <t>Ouali, K (corresponding author), Badji Mokhtar Univ, Environm Biomonitoring Lab LBSE, Dept Biol, Fac Sci, 12 El Hadjar, Annaba 23000, BP, Algeria.</t>
  </si>
  <si>
    <t>imen.laouati@yahoo.com; rouaneho@yahoo.fr; mfderbal@yahoo.fr; kheireddine.ouali@univ-annaba.dz</t>
  </si>
  <si>
    <t>Farid, DERBAL/AAA-8941-2020; ouali, kheireddine/AAT-4555-2020</t>
  </si>
  <si>
    <t>ouali, kheireddine/0000-0002-5842-0767; Farid, DERBAL/0000-0003-2459-1813</t>
  </si>
  <si>
    <t>National Fund for Scientific Research of Algeria DGSRTD (Laboratory of Environmental Biosurveillance); Ministry of Higher Education and Scientific Research of Algeria (PRFU) [D01N01UN230120180020]</t>
  </si>
  <si>
    <t>National Fund for Scientific Research of Algeria DGSRTD (Laboratory of Environmental Biosurveillance); Ministry of Higher Education and Scientific Research of Algeria (PRFU)</t>
  </si>
  <si>
    <t>This research was supported by the National Fund for Scientific Research of Algeria DGSRTD (Laboratory of Environmental Biosurveillance) and by the Ministry of Higher Education and Scientific Research of Algeria (PRFU project D01N01UN230120180020 to Pr. K. OUALI).</t>
  </si>
  <si>
    <t>10.1007/s11356-021-15203-8</t>
  </si>
  <si>
    <t>JUL 2021</t>
  </si>
  <si>
    <t>WW6JV</t>
  </si>
  <si>
    <t>WOS:000669305500013</t>
  </si>
  <si>
    <t>Mlouka, R; Cachot, J; Boukadida, K; Clérandeau, C; Gourves, PY; Banni, M</t>
  </si>
  <si>
    <t>Mlouka, Rania; Cachot, Jerome; Boukadida, Khouloud; Clerandeau, Christelle; Gourves, Pierre-Yves; Banni, Mohamed</t>
  </si>
  <si>
    <t>Compared responses to copper and increased temperatures of hybrid and pure offspring of two mussel species</t>
  </si>
  <si>
    <t>Mussel D-larvae; Hybrids; Developmental defects; Oxidative stress; Temperature increase; Copper bioaccumulation</t>
  </si>
  <si>
    <t>REAL-TIME PCR; MYTILUS-GALLOPROVINCIALIS; OXIDATIVE STRESS; TRACE-METALS; BIOCHEMICAL MARKERS; LARVAL DEVELOPMENT; AQUATIC ORGANISMS; DIGESTIVE GLAND; HEAVY-METALS; TOXICITY</t>
  </si>
  <si>
    <t>This study investigates the combined effects of increased temperatures and copper on the early live stages of the Mediterranean mussel Mytilus galloprovincialis and the blue mussel Mytilus edulis as well as their hybrids. For this purpose, developmental abnormalities was measured after 48 h of exposure as well as a battery of oxidative stress markers such as, antioxidant enzyme activities, lipid peroxidation measured as malondialdehyde accumulation (MDA) and metallothionein contents (MT) and related gene expression pattern. Embryotoxicity and metal accumulation in tissues of mussel larvae exposed to a sublethal concentration of copper (10 mu g/L) along with a slight temperature increase from 18 degrees C to 22 degrees C were significantly increased after 48 h of exposure. Coexposure to Cu and elevated temperatures significantly increased the antioxidant enzyme activities termed as, glutathione-S-transferase (GST), catalase (CAT). superoxide dismutase (SOD) and being maintained at 22 degrees C only in pure M. galloprovincialis (PG) larvae and female galloprovincialis x male edulis hybrid larvae (HFG). A significant decrease in mRNA abundance of cat, sod, gst gene transcription levels was showed in the same species. Furthermore, metallothionein accumulation increased significantly in PG D-larvae exposed to copper at 22 degrees C. The same pattern was observed in term of gene expression of MTs cognates (mt-10 and mt-20). Significant increase of MDA levels in pure M. edulis (PE) larvae and their female M. edulis x male M. galloprovincialis hybrid larvae (HFE) combined with a low MTs content were observed. Overall, this study provides clues about the relatively higher resistance and resilience of M. galloprovincialis species compared to M. edulis species under environmental pollution and future climate change scenarios. (C) 2019 Elsevier B.V. All rights reserved.</t>
  </si>
  <si>
    <t>[Mlouka, Rania; Cachot, Jerome; Boukadida, Khouloud; Clerandeau, Christelle; Gourves, Pierre-Yves] Univ Bordeaux, Lab EPOC, UMR 5805, Allee Geoffoy St Hilaire, F-33600 Pessac, France; [Mlouka, Rania; Boukadida, Khouloud; Banni, Mohamed] ISA, Lab Biochem &amp; Environm Toxicol, Chott Mariem 4042, Sousse, Tunisia</t>
  </si>
  <si>
    <t>Centre National de la Recherche Scientifique (CNRS); CNRS - National Institute for Earth Sciences &amp; Astronomy (INSU); Universite de Bordeaux; Universite de Tunis-El-Manar; Institut Salah Azaiez</t>
  </si>
  <si>
    <t>Banni, M (corresponding author), ISA, Lab Biochem &amp; Environm Toxicol, Chott Mariem 4042, Sousse, Tunisia.</t>
  </si>
  <si>
    <t>m_banni@yahoo.fr</t>
  </si>
  <si>
    <t>; Banni, Mohamed/M-2144-2014</t>
  </si>
  <si>
    <t>BOUKADIDA, Khouloud/0000-0003-3876-9862; Banni, Mohamed/0000-0001-9764-0343; Cachot, Jerome/0000-0002-1492-9684</t>
  </si>
  <si>
    <t>Tunisian Ministry of Higher Education and Scientific Research, Research Unit Biochemistry and Ecotoxicology ISA Chott-Mariem [UR13AGR08]</t>
  </si>
  <si>
    <t>Tunisian Ministry of Higher Education and Scientific Research, Research Unit Biochemistry and Ecotoxicology ISA Chott-Mariem</t>
  </si>
  <si>
    <t>This work was part of the LABEX COTE cluster of excellence Continental to coastal Ecosystems: evolution, adaptability and governance France. This work was supported by funds from the Tunisian Ministry of Higher Education and Scientific Research, Research Unit Biochemistry and Ecotoxicology ISA Chott-Mariem (UR13AGR08).</t>
  </si>
  <si>
    <t>10.1016/j.scitotenv.2019.05.466</t>
  </si>
  <si>
    <t>IM4GE</t>
  </si>
  <si>
    <t>WOS:000477951900075</t>
  </si>
  <si>
    <t>Mubiana, VK; Qadah, D; Meys, J; Blust, R</t>
  </si>
  <si>
    <t>Temporal and spatial trends in heavy metal concentrations in the marine mussel Mytilus edulis from the Western Scheldt estuary (The Netherlands)</t>
  </si>
  <si>
    <t>heavy metals; mussels; Scheldt estuary; salinity and pollution gradient; bioavailability; temporal and seasonal variations</t>
  </si>
  <si>
    <t>BIVALVE MACOMA-BALTHICA; TRACE-METALS; SUSPENDED MATTER; NORTH-SEA; BIOGEOCHEMICAL BEHAVIOR; WESTERSCHELDE ESTUARY; LITTORINA-LITTOREA; ORGANIC-CARBON; HUMIC ACIDS; BODY-WEIGHT</t>
  </si>
  <si>
    <t>Since the first North Sea Conference (1984, Bremen), all countries bordering the North Sea made commitments to reduce discharge of hazardous substances into the North Sea. From Belgium and The Netherlands, large reductions (upto 90%) in heavy metal emissions from land-based sources have been reported between 1985 and 2000. Recently, some studies in the Western Scheldt estuary (WS) have shown that total metal concentration in the water, sediments and suspended particles have decreased compared to levels in the 70s. However, data on aquatic organisms is still very limited and it is therefore difficult to confirm whether the reductions in pollution input and generally improving water quality in the WS have a corresponding impact on the levels of heavy metals in aquatic organisms. The current study measured metal concentrations in the soft tissues of mussels, Mytilus edulis (known to be good indicators of environmental metal pollution) during the period 1996-2002. Spatial (salinity and pollution gradients), temporal and seasonal variations were also studied. Results showed a down-stream decreasing trend for the metals studied (Cd, Co, Cr, Cu, Fe, Mn, Ni, Pb and Zn) during all sampling campaigns. There was also a significant seasonal effect on tissue metal concentrations, with a peak observed around spring in both WS and the nearby less polluted Eastern Scheldt (ES). On temporal trends, a clear drop of metals in mussels was observed in the early 80s coinciding with the start of the efforts to reduce chemical pollution input into the North Sea. Since those early reductions, metal concentrations in mussels generally remained unchanged upto mid 90s. However, in recent times metal concentration in mussels have increased significantly, for example Cd in 2002 was almost 10 times the values in 1983 and similar to levels seen during the peak in the 70s. Other metals also increased in the 90s also reaching levels seen in the 70s. As there is no indication of recent increase in metal input into the estuary, we suggest that increased metal concentrations observed in mussels in recent years especially in the upper estuary are most likely a result of changes in physical and chemical speciation and metal bioavailability. Such changes may be caused by changes in some water quality parameters in the estuary (i.e. increased dissolved oxygen, concentration of organic matter), resulting in conditions that favour releases of sediment-bound metals into the water column. The relationship between metal content and season showed very similar annual profiles in the polluted WS and less polluted ES. Thus, seasonal variations in metal concentrations appear to be largely controlled by biological processes, while total body burdens are dependent on environmental levels and bioavailability.</t>
  </si>
  <si>
    <t>Univ Antwerp, Lab Ecophysiol Biochem &amp; Toxicol, Dept Biol, B-2020 Antwerp, Belgium</t>
  </si>
  <si>
    <t>Mubiana, VK (corresponding author), Univ Antwerp, Lab Ecophysiol Biochem &amp; Toxicol, Dept Biol, Groenenborgerlaan 171, B-2020 Antwerp, Belgium.</t>
  </si>
  <si>
    <t>Kayawe.Mubiana@ua.ae.be</t>
  </si>
  <si>
    <t>10.1007/s10750-004-7134-7</t>
  </si>
  <si>
    <t>963KY</t>
  </si>
  <si>
    <t>WOS:000231804400012</t>
  </si>
  <si>
    <t>Wu, HF; Xu, LL; Ji, CL; Yu, DL</t>
  </si>
  <si>
    <t>Wu, Huifeng; Xu, Lanlan; Ji, Chenglong; Yu, Deliang</t>
  </si>
  <si>
    <t>Proteomic and metabolomic responses in D-shape larval mussels Mytilus galloprovincialis exposed to cadmium and arsenic</t>
  </si>
  <si>
    <t>Mytilus galloprovincialis; Cadmium; Arsenic; Biological effects; Proteomics; Metabolomics</t>
  </si>
  <si>
    <t>LASER-DESORPTION/IONIZATION-TIME; GENDER-SPECIFIC RESPONSES; NMR-BASED METABOLOMICS; BATHYMODIOLUS-AZORICUS; CELL-CYCLE; PROTEINS; GEL; IDENTIFICATION; SENSITIVITY; EXPRESSION</t>
  </si>
  <si>
    <t>Cadmium (Cd) and arsenic (As) are the main metal/metalloid contaminants in the coastal environments of the Bohai Sea, China. In this work, a combined proteomic and metabolomic approach was applied to investigate the biological effects of Cd and As(V) in the early life stage (D-shape larvae) of mussel Mytilus galloprovincialis. Results indicated that Cd was a potential immune toxicant to D-shape larval mussel because of the numerous proteomic responses related to immune system. Additionally, Cd induced oxidative stress, cellular injury and disturbance in nucleic acid metabolism in D-shape larval mussels. However, only two identified proteins were significantly altered in As (V)-treated group, suggesting that D-shape larval mussel was less sensitive to As (V) than to Cd at protein level. These two proteins in response to As (V) suggested that As (V) influenced anti-oxidative system and cell proliferation in D-shape larval mussels. Metabolic responses indicated that Cd and As (V) induced disturbances in osmotic regulation and energy metabolism in D-shape larval mussels via different metabolic pathways. In addition, Cd reduced lipid metabolism as well. This work demonstrated that a combination of proteomics and metabolomics could provide an insightful view in the biological effects of pollutants in mussel M. galloprovincialis at an early life stage. (C) 2016 Published by Elsevier Ltd.</t>
  </si>
  <si>
    <t>[Wu, Huifeng; Xu, Lanlan; Ji, Chenglong; Yu, Deliang] Chinese Acad Sci, Shandong Prov Key Lab Coastal Zone Environm Proc, YICCAS, Key Lab Coastal Zone Environm Proc,Yantai Inst Co, Yantai 264003, Peoples R China; [Xu, Lanlan; Yu, Deliang] Univ Chinese Acad Sci, Beijing 700049, Peoples R China</t>
  </si>
  <si>
    <t>Chinese Academy of Sciences; Chinese Academy of Sciences; University of Chinese Academy of Sciences, CAS</t>
  </si>
  <si>
    <t>Wu, HF (corresponding author), Chinese Acad Sci, Shandong Prov Key Lab Coastal Zone Environm Proc, YICCAS, Key Lab Coastal Zone Environm Proc,Yantai Inst Co, Yantai 264003, Peoples R China.</t>
  </si>
  <si>
    <t>This work was supported by NSFC (41676114) and Natural Science Foundation of Shandong Province (JQ201310). We thank Prof. Mark Viant (School of Bioscience, The University of Birmingham) for the use of ProMetab software.</t>
  </si>
  <si>
    <t>10.1016/j.fsi.2016.09.064</t>
  </si>
  <si>
    <t>EB6VG</t>
  </si>
  <si>
    <t>WOS:000387523100061</t>
  </si>
  <si>
    <t>Li, YQ; Chen, CM; Liu, N; Wang, L</t>
  </si>
  <si>
    <t>Li, Yong Quan; Chen, Chien M.; Liu, Na; Wang, Lan</t>
  </si>
  <si>
    <t>Cadmium-induced ultrastructural changes and apoptosis in the gill of freshwater mussel Anodonta woodiana</t>
  </si>
  <si>
    <t>Heavy metal; Acute toxicity; Caspase; Ca-ATPase; H2O2; Morphological change; DNA fragmentation</t>
  </si>
  <si>
    <t>CASPASE-INDEPENDENT APOPTOSIS; CYTOCHROME-C RELEASE; OXIDATIVE STRESS; TAIHU LAKE; CELLS; CRAB; BIVALVE; PATHWAY; HEPATOPANCREAS; CONTAMINATION</t>
  </si>
  <si>
    <t>This study investigated the acute toxicity of cadmium (Cd) to the freshwater mussel Anodonta woodiana. The freshwater mussels were exposed to five concentrations of Cd (0 mg/L, 8.43 mg/L, 16.86 mg/L, 33.72 mg/L, and 67.45 mg/L) for up to 96 h. The 24-h, 48-h, 72-h, and 96-h LC50 values for Cd were estimated as 562.3 mg/L, 331.1 mg/L, 182.0 mg/L, and 134.9 mg/L, respectively. Caspase-3, caspase-8, caspase-9, and Ca-ATPase activities; protein and H2O2 levels; DNA fragmentation; and ultrastructure of the gill were also investigated. The activities of caspase-3 and caspase-9 in mussels were increased by Cd in a dose-dependent manner, where higher doses of Cd (33.72 mg/L and 67.45 mg/L) significantly increased the enzyme activities compared to the controls (P &lt; 0.05). The caspase-8 activity was significantly depressed by a low dose of Cd (8.43 mg/L) but was clearly induced by higher doses of Cd (16.86 mg/L, 33.72 mg/L, and 67.45 mg/L) (P &lt; 0.05). The Ca-ATPase activity and H2O2 levels were elevated and reached maximum values under the medium dose of Cd (16.86 mg/L). However, protein levels were decreased by Cd in an inverse dose-dependent manner. In the gills of the mussels, Cd treatment induced DNA fragmentation as demonstrated by DNA ladders observed via agarose gel electrophoresis. Moreover, ultrastructural alterations in gill cells of mussels treated with Cd (16.86 mg/L and 67.45 mg/L) for 96 h were observed by electronic microscopy. The ultrastructure abnormalities were characterized by the following features: (1) a disordered arrangement and breaking off of microvilli of epithelial cells; (2) chromatin condensed near the nuclear membrane and the appearances of extremely irregular nuclei, some with a fingerlike shape and an unclear, swollen, invaginated, or ruptured nuclear membrane and apoptotic bodies; (3) swollen and vacuolating mitochondria, some with disintegrated or missing cristae; (4) a disintegrated rough endoplasmic reticulum containing different sizes of vesicles; and (5) shrinking and deformation of Golgi bodies with decreased vesicle numbers. Our results demonstrated that Cd could activate caspase-3, caspase-8, caspase-9, and Ca-ATPase; cause ultrastructural changes; and produce DNA fragmentation in the mussels investigated. Based on the information obtained through this study, it is reasonable to conclude that Cd can induce apoptosis in the gills of the mussels, eventually leading to tissue damage.</t>
  </si>
  <si>
    <t>[Li, Yong Quan; Liu, Na; Wang, Lan] Shanxi Univ, Sch Life Sci, Taiyuan 030006, Shanxi, Peoples R China; [Chen, Chien M.] Chia Nan Univ Pharm &amp; Sci, Dept Environm Resources Management, Tainan, Taiwan</t>
  </si>
  <si>
    <t>Shanxi University; Chia Nan University of Pharmacy &amp; Science</t>
  </si>
  <si>
    <t>National Natural Science Foundation of China [31672293]; Key Research and Development (R&amp;D) Projects of Shanxi Province [201803D221019-4, 201803D31026]; Applied Basic Research Project of Shanxi Province [201801D121194]</t>
  </si>
  <si>
    <t>National Natural Science Foundation of China(National Natural Science Foundation of China (NSFC)); Key Research and Development (R&amp;D) Projects of Shanxi Province; Applied Basic Research Project of Shanxi Province</t>
  </si>
  <si>
    <t>This study was sponsored by the National Natural Science Foundation of China (No. 31672293), the Key Research and Development (R&amp;D) Projects of Shanxi Province (201803D221019-4; 201803D31026), and Applied Basic Research Project of Shanxi Province (201801D121194).</t>
  </si>
  <si>
    <t>10.1007/s11356-021-16877-w</t>
  </si>
  <si>
    <t>0H8WJ</t>
  </si>
  <si>
    <t>WOS:000721458500008</t>
  </si>
  <si>
    <t>Schneider, L; Maher, WA; Potts, J; Taylor, AM; Batley, GE; Krikowa, F; Adamack, A; Chariton, AA; Gruber, B</t>
  </si>
  <si>
    <t>Schneider, Larissa; Maher, William A.; Potts, Jaimie; Taylor, Anne M.; Batley, Graeme E.; Krikowa, Frank; Adamack, Aaron; Chariton, Anthony A.; Gruber, Bernd</t>
  </si>
  <si>
    <t>Trophic transfer of metals in a seagrass food web: Bioaccumulation of essential and non-essential metals</t>
  </si>
  <si>
    <t>Lake Macquarie; Australia; Biomagnification; Clam; Benthic microalgae; Yabbies</t>
  </si>
  <si>
    <t>NEW-SOUTH-WALES; LAKE MACQUARIE; HEAVY-METALS; NITROGEN ISOTOPES; STABLE-ISOTOPE; TRACE-ELEMENTS; LEAD TOXICITY; BIOMAGNIFICATION; CADMIUM; AUSTRALIA</t>
  </si>
  <si>
    <t>Metal concentrations are reported for a seagrass ecosystem receiving industrial inputs. delta C-13 and delta N-15 isotope ratios were used to establish trophic links. Copper concentrations (dry mass) ranged from &lt; 0.01 mu g/g in fish species to 570 mu g/g (mu = 49 +/- SD = 90 mu g/g) in the oyster Saccostrea glomerata. Zinc concentrations ranged from 0.6 mu g/g in the seagrass Zostera capricorni to 10,800 mu g/g in the mud oyster Ostrea angasi (mu = 434 +/- 1390 mu g/g). Cadmium concentrations ranged from &lt; 0.01 mu g/g in fish species to 268 mu g/g in Ostrea angasi (mu = 6 +/- 25 mu g/g). Lead concentrations ranged from &lt; 0.01 mu g/g for most fish species to 20 mu g/g in polychaetes (mu = 2 +/- 3 mu g/g). Biomagnification of metals did not occur. Organisms that fed on particulate organic matter and benthic microalgae had higher metal concentrations than those that fed on detritus. Species physiology also played an important role in the bioaccumulation of metals.</t>
  </si>
  <si>
    <t>[Schneider, Larissa] Australian Natl Univ, Coll Asia &amp; Pacific, Archaeol &amp; Nat Hist, Canberra, ACT 2601, Australia; [Schneider, Larissa; Maher, William A.; Taylor, Anne M.; Krikowa, Frank; Adamack, Aaron; Gruber, Bernd] Univ Canberra, Inst Appl Ecol, Canberra, ACT 2617, Australia; [Potts, Jaimie] New South Wales Off Environm &amp; Heritage, Lidcombe, NSW 2141, Australia; [Batley, Graeme E.] CSIRO Land &amp; Water, Lucas Heights, NSW 2234, Australia; [Adamack, Aaron] Northwest Atlantic Fisheries Ctr, St John, NF A1C 5X1, Canada; [Chariton, Anthony A.] Macquarie Univ, Dept Biol Sci, N Ryde, NSW 2113, Australia</t>
  </si>
  <si>
    <t>Australian National University; University of Canberra; Office of Environment &amp; Heritage - New South Wales; Commonwealth Scientific &amp; Industrial Research Organisation (CSIRO); Fisheries &amp; Oceans Canada; Macquarie University</t>
  </si>
  <si>
    <t>Schneider, L (corresponding author), Australian Natl Univ, Coll Asia &amp; Pacific, Fellows Rd,Coombs Bldg 9, Canberra, ACT 2601, Australia.</t>
  </si>
  <si>
    <t>Larissa.Schneider@anu.edu.au</t>
  </si>
  <si>
    <t>BATLEY, Graeme/A-4805-2008; Chariton, Anthony/F-2373-2011</t>
  </si>
  <si>
    <t>Adamack, Aaron/0000-0002-9746-5351; Chariton, Anthony/0000-0002-5809-3372; Schneider, Larissa/0000-0001-5276-2531; Gruber, Bernd/0000-0003-0078-8179</t>
  </si>
  <si>
    <t>International Postgraduate Research Scholarship (IPRS) - Australian Government</t>
  </si>
  <si>
    <t>International Postgraduate Research Scholarship (IPRS) - Australian Government(Australian GovernmentDepartment of Industry, Innovation and Science)</t>
  </si>
  <si>
    <t>We thank Y. Kobayashi, A. Wright and C. Ramsay of the NSW Office of Environment and Heritage for providing substantial field and logistical support. L. Schneider was financed by an International Postgraduate Research Scholarship (IPRS) funded by the Australian Government. All biological samples were collected by the NSW Office of Environment and Heritage using collection procedures approved under its state act. No conflict of interest is declared for this manuscript.</t>
  </si>
  <si>
    <t>10.1016/j.marpolbul.2018.04.046</t>
  </si>
  <si>
    <t>WOS:000437060300055</t>
  </si>
  <si>
    <t>Elfwing, T; Tedengren, M</t>
  </si>
  <si>
    <t>Effects of copper on the metabolism of three species of tropical oysters, Saccostrea cucullata, Crassostrea lugubris and C-belcheri</t>
  </si>
  <si>
    <t>physiological; oyster; aquaculture; copper; pollution; habitat selection; tropical</t>
  </si>
  <si>
    <t>MYTILUS-EDULIS-L; GENETIC DIVERSITY; POPULATIONS; FILTRATION; POLLUTION; THAILAND; PATTERNS; STRESS; MUSSEL; RATES</t>
  </si>
  <si>
    <t>The rapid industrial development in Southeast Asia, in combination with increased population pressure, has in many places caused degradation of natural resources that many people in the region highly depend on. Attempts to evaluate environmental impacts and changes in the ecosystem due to pollution suffer from lack of data, since most knowledge about marine pollution is based on experiences from temperate areas. In the present work, physiological effects of enhanced copper concentrations on three oyster species of commercial interest were studied in laboratory experiments. Two of the species are intertidal, Saccostrea cucullata and Crassostrea lugubris, and one species is subtidal, C belcheri. After a short-term (12 h) exposure to 20 mug copper/l, the oxygen consumption, ammonia excretion, clearance rate and absorption efficiency were measured and scope for growth calculated. The results from this study indicate that the two intertidal species are far more tolerant than the subtidal species. This is probably because they inhabit a more variable environment and have to be able to handle constantly changing environmental conditions. The subtidal habitat is normally less variable, why the copper exposure was a more severe stress, seen mainly as decreased filtration activity. The final result, i.e. changes in scope for growth, indicates that for the specific stress factor studied here, habitat selection seemed to be more important than genus. (C) 2002 Elsevier Science B.V. All rights reserved.</t>
  </si>
  <si>
    <t>Univ Stockholm, Dept Syst Ecol, S-10691 Stockholm, Sweden</t>
  </si>
  <si>
    <t>Stockholm University</t>
  </si>
  <si>
    <t>Univ Stockholm, Dept Syst Ecol, S-10691 Stockholm, Sweden.</t>
  </si>
  <si>
    <t>tina@system.ecology.su.se</t>
  </si>
  <si>
    <t>JAN 21</t>
  </si>
  <si>
    <t>10.1016/S0044-8486(01)00638-X</t>
  </si>
  <si>
    <t>515NJ</t>
  </si>
  <si>
    <t>WOS:000173501800013</t>
  </si>
  <si>
    <t>Cenov, A; Linsak, DT; Peric, L; Zurga, P; Lusic, DV; Traven, L; Linsak, Z; Pupavac, SM; Hamer, B; Pelikan, J; Glad, M</t>
  </si>
  <si>
    <t>Cenov, Arijana; Linsak, Dijana Tomic; Peric, Lorena; Zurga, Paula; Lusic, Darija Vukic; Traven, Luka; Linsak, Zeljko; Pupavac, Sandra Marinac; Hamer, Bojan; Pelikan, Jadranka; Glad, Marin</t>
  </si>
  <si>
    <t>Acetylcholinesterase activity in muscle tissue of Norway lobster Nephrops norvegicus: Importance of body size, season, sex and naturally occurring metals</t>
  </si>
  <si>
    <t>Crustaceans; Northern Adriatic; Biomarker; Neurotoxicity; Pollution</t>
  </si>
  <si>
    <t>MUSSELS MYTILUS-GALLOPROVINCIALIS; BIOMARKER RESPONSES; ADRIATIC SEA; HEAVY-METALS; MEDITERRANEAN SEA; BOILED PORTIONS; RIJEKA BAY; MERCURY; STRESS; ORGANISMS</t>
  </si>
  <si>
    <t>The aim of the present study was to determine the levels of acetylcholinesterase (AChE) activity in the tail muscle tissue of wild populations of Nephrops norvegicus from the Northern Adriatic, and correlate it to body size, seasons, sex and the content of mercury, arsenic, cadmium, lead and copper. The animals of both sexes were collected in spring and autumn from two relatively distant fishing grounds. A marked variability of muscle AChE activity was found (0.49 to 11.22 nmol/min/mg prot.), displaying the opposite seasonal trend between two sampling sites. Small, but significant negative correlation has been found between AChE activity and carapace length (r(s) = - 0.35, p &lt; 0.05). Data reported here provide an essential baseline for future studies of neurotoxicity in crustaceans. The study highlights the necessity for continuous monitoring of potentially toxic metals in edible marine species to avoid possible repercussions of seafood consumption on human health.</t>
  </si>
  <si>
    <t>[Cenov, Arijana; Linsak, Dijana Tomic; Zurga, Paula; Lusic, Darija Vukic; Traven, Luka; Linsak, Zeljko; Pupavac, Sandra Marinac; Pelikan, Jadranka; Glad, Marin] Teaching Inst Publ Hlth Primorje Gorski Kotar Cty, Kresimirova 52a, Rijeka 51000, Croatia; [Cenov, Arijana; Linsak, Dijana Tomic; Lusic, Darija Vukic; Traven, Luka; Linsak, Zeljko; Glad, Marin] Univ Rijeka, Fac Med, Dept Environm Hlth, Brace Branchetta 20, Rijeka 51000, Croatia; [Peric, Lorena] Rudjer Boskovic Inst, Div Marine &amp; Environm Res, Bijenicka cesta 54, Zagreb 10000, Croatia; [Zurga, Paula] Univ Rijeka, Fac Med, Dept Med Chem, Biochem &amp; Clin Chem, Brace Branchetta 20, Rijeka 51000, Croatia; [Hamer, Bojan; Pelikan, Jadranka] Rudjer Boskovic Inst, Ctr Marine Res Rovinj, G Paliaga 5, Rovinj 52210, Croatia; [Linsak, Dijana Tomic] Teaching Inst Publ Hlth Cty Primorje Gorski Kotar, Dept Sci &amp; Teaching Act, Kresimirova 52a, Rijeka 51000, Croatia; [Linsak, Dijana Tomic] Univ Rijeka, Fac Med, Dept Environm Hlth, Brace Branchetta 20, Rijeka 51000, Croatia</t>
  </si>
  <si>
    <t>University of Rijeka; University of Rijeka; Rudjer Boskovic Institute; University of Rijeka; Rudjer Boskovic Institute; University of Rijeka</t>
  </si>
  <si>
    <t>Peric, L (corresponding author), Rudjer Boskovic Inst, Div Marine &amp; Environm Res, Bijenicka cesta 54, Zagreb 10000, Croatia.;Linsak, DT (corresponding author), Teaching Inst Publ Hlth Cty Primorje Gorski Kotar, Dept Sci &amp; Teaching Act, Kresimirova 52a, Rijeka 51000, Croatia.;Linsak, DT (corresponding author), Univ Rijeka, Fac Med, Dept Environm Hlth, Brace Branchetta 20, Rijeka 51000, Croatia.</t>
  </si>
  <si>
    <t>dijanatl@uniri.hr; lorena.peric@irb.hr</t>
  </si>
  <si>
    <t>Vukić Lušić, Darija/R-4335-2018; Cenov, Arijana/S-8048-2018; Žurga, Paula/S-6501-2018; Traven, Luka/R-7708-2018; Linšak, Željko/AAX-1764-2020; Hamer, Bojan/P-2279-2015; Tomic Linsak, Dijana/S-1297-2018; Linsak, Zeljko/R-4873-2018</t>
  </si>
  <si>
    <t>Hamer, Bojan/0000-0002-3142-8128; Tomic Linsak, Dijana/0000-0002-8379-5675; Linsak, Zeljko/0000-0003-2389-1128</t>
  </si>
  <si>
    <t>Teaching Institute of Public Health of Primorje-Gorski Kotar County institutional budget</t>
  </si>
  <si>
    <t>This research did not receive any specific grant from funding agencies in the public, commercial, or not-for-profit sectors. Financial support was provided by Teaching Institute of Public Health of Primorje-Gorski Kotar County institutional budget.</t>
  </si>
  <si>
    <t>10.1016/j.marpolbul.2024.116067</t>
  </si>
  <si>
    <t>KN7K6</t>
  </si>
  <si>
    <t>WOS:001180708400001</t>
  </si>
  <si>
    <t>BHATTACHARYA, B; SARKAR, SK; MAJI, PK</t>
  </si>
  <si>
    <t>BIOACCUMULATION OF HEAVY-METALS IN FLORA AND FAUNA OF HOOGHLY ESTUARY, EAST-COAST OF INDIA</t>
  </si>
  <si>
    <t>BIOACCUMULATION; HEAVY METALS; AQUATIC POLLUTION</t>
  </si>
  <si>
    <t>PLEURONECTES-PLATESSA L; MUSSEL MYTILUS-EDULIS; TRACE-METALS; ELEMENTAL COMPOSITION; MARINE-ALGAE; COPPER; WATER; ZINC; ACCUMULATION; POLLUTION</t>
  </si>
  <si>
    <t>Spectroscopic determinations of Fe, Zn, Mn, Cu, Co and Ni were carried out in 23 organisms including seaweeds, zooplankters, molluscs and fishes from Hooghly estuary at the confluence of Bay of Bengal. Seaweeds and gastropods were more efficient in accumulating levels while zooplankters bivalves and fishes showed intermediate levels. Analyses were performed on the sediment, water and on the individual dissected organs of a mussel, oyster and teleost fish. Bioaccumulation of Fe, Zn, Mn and Cu in the soft body parts (gills, mantle, liver etc.) of the three species showed a high degree of organ specificity in some cases. Major sources of the micropollutants include natural weathering, catchment runoff, urban and industrial discharges that may pose an ecological risk to the local estuarine ecosystem.</t>
  </si>
  <si>
    <t>UNIV CALCUTTA,DEPT MARINE SCI,CALCUTTA 700019,W BENGAL,INDIA</t>
  </si>
  <si>
    <t>BHATTACHARYA, B (corresponding author), UNIV JADAVPUR,DEPT MET ENGN,CALCUTTA 700032,W BENGAL,INDIA.</t>
  </si>
  <si>
    <t>GORDON BREACH SCI PUBL LTD</t>
  </si>
  <si>
    <t>READING</t>
  </si>
  <si>
    <t>C/O STBS LTD PO BOX 90, READING, BERKS, ENGLAND RG1 8JL</t>
  </si>
  <si>
    <t>10.1080/02772249409357994</t>
  </si>
  <si>
    <t>PZ693</t>
  </si>
  <si>
    <t>WOS:A1994PZ69300013</t>
  </si>
  <si>
    <t>Sakatoku, A; Ishikawa, M; Yamazaki, K; Nakamachi, T; Kamachi, H; Tanaka, D; Nakamura, S</t>
  </si>
  <si>
    <t>Sakatoku, Akihiro; Ishikawa, Masahito; Yamazaki, Kanna; Nakamachi, Tomoya; Kamachi, Hiroyuki; Tanaka, Daisuke; Nakamura, Shogo</t>
  </si>
  <si>
    <t>Molecular Identification, Characterization, and Expression Analysis of a Metallothionein Gene from Septifer virgatus</t>
  </si>
  <si>
    <t>MARINE BIOTECHNOLOGY</t>
  </si>
  <si>
    <t>Septifer virgatus; Metallothionein; Heavy metal; Biomarker</t>
  </si>
  <si>
    <t>MYTILUS-EDULIS; CADMIUM EXPOSURE; QUANTITATIVE PCR; MESSENGER-RNA; MUSSEL WATCH; CLONING; ZINC; BIVALVIA; CRAB; SEQUENCES</t>
  </si>
  <si>
    <t>This study provides a preliminary characterization of a metallothionein (MT) gene in Septifer virgatus and highlights its potential use in biomonitoring. The full-length SvMT cDNA and the complete sequence of the SvMT gene were identified using reverse transcriptase PCR coupled with the rapid amplification of cDNA ends and the primer walking method. The SvMT cDNA encodes a protein of 72 amino acids having nine classical Cys-X-Cys motifs. Moreover, the deduced amino acids contained the conserved motif (Cys-x-Cys-x(3)-Cys-Thr-Gly-x(3)-Cys-x-Cys-x(3)-Cys-x-Cys-Lys) of MT family 2. Its molecular mass and isoelectric point were estimated to be 7.01 kDa and 7.00, respectively. BLAST-based searching indicated that SvMT shared 81.0% amino acid sequence identity with Mytilus edulis MT-20-II. The SvMT gene has three coding exons and two introns. After exposure to 1 mg/L cadmium chloride, the expression of SvMT increased 15-fold by 3 days (d), with a maximum expression of 27-fold by 5 d compared with the pre-exposure level. After exposure to 2 mg/L zinc chloride, the expression of SvMT increased 2.5-fold by 3 d and 4.7-fold by 5 d compared with the pre-exposure level. A significant increase in the expression level of SvMT mRNA was observed after the exposure of S. virgatus to the combination of 0.003 mg/L cadmium chloride and 0.2 mg/L zinc chloride compared with the pre-exposure level. Our work indicates that the SvMT gene is associated with stress responses and could be a potential biomarker for marine pollution.</t>
  </si>
  <si>
    <t>[Sakatoku, Akihiro; Ishikawa, Masahito; Yamazaki, Kanna; Nakamachi, Tomoya; Kamachi, Hiroyuki; Tanaka, Daisuke; Nakamura, Shogo] Univ Toyama, Dept Environm &amp; Energy Sci, Grad Sch Sci &amp; Engn, Fac Earth &amp; Environm Syst, Toyama 9308555, Japan</t>
  </si>
  <si>
    <t>University of Toyama</t>
  </si>
  <si>
    <t>Sakatoku, A (corresponding author), Univ Toyama, Dept Environm &amp; Energy Sci, Grad Sch Sci &amp; Engn, Fac Earth &amp; Environm Syst, Toyama 9308555, Japan.</t>
  </si>
  <si>
    <t>sakatoku@sci.u-toyama.ac.jp</t>
  </si>
  <si>
    <t>Tanaka, Daisuke/0000-0001-7542-0323</t>
  </si>
  <si>
    <t>1436-2228</t>
  </si>
  <si>
    <t>1436-2236</t>
  </si>
  <si>
    <t>MAR BIOTECHNOL</t>
  </si>
  <si>
    <t>Mar. Biotechnol.</t>
  </si>
  <si>
    <t>10.1007/s10126-020-09970-7</t>
  </si>
  <si>
    <t>Biotechnology &amp; Applied Microbiology; Marine &amp; Freshwater Biology</t>
  </si>
  <si>
    <t>ML6UQ</t>
  </si>
  <si>
    <t>WOS:000535211700001</t>
  </si>
  <si>
    <t>Gentès, S; Maury-Brachet, R; Guyoneaud, R; Monperrus, M; André, JM; Davail, S; Legeay, A</t>
  </si>
  <si>
    <t>Gentes, Sophie; Maury-Brachet, Regine; Guyoneaud, Remy; Monperrus, Mathilde; Andre, Jean-Marc; Davail, Stephane; Legeay, Alexia</t>
  </si>
  <si>
    <t>Mercury bioaccumulation along food webs in temperate aquatic ecosystems colonized by aquatic macrophytes in south western France</t>
  </si>
  <si>
    <t>Mercury; Stable isotope; Trophic guild; Freshwater lake; Fish; Invertebrates</t>
  </si>
  <si>
    <t>STABLE-ISOTOPE ANALYSIS; TROPHIC POSITION; CARBON ISOTOPES; FLOODPLAIN LAKE; TAPAJOS RIVER; FISH; WATER; METHYLMERCURY; METHYLATION; NITROGEN</t>
  </si>
  <si>
    <t>Mercury (Hg) is considered as an important pollutant for aquatic systems as its organic form, methylmercury (MeHg), is easily bioaccumulated and bioamplified along food webs. In various ecosystems, aquatic periphyton associated with macrophyte was identified as an important place for Hg storage and methylation by microorganisms. Our study concerns temperate aquatic ecosystems (South Western France) colonized by invasive macrophytes and characterized by high mercury methylation potentials. This work establishes original data concerning Hg bioaccumulation in organisms (plants, crustaceans, molluscs and fish) from five contrasting ecosystems. For low trophic level species, total Hg (THg) concentrations were low (from 27 +/- 2 ng THg g(-1) dw in asiatic clam Corbicula fluminea to 418 +/- 114 ng THg g(-1) dw in crayfish Procambarus clarkii). THg concentrations in some carnivorous fish (high trophic level) were close to or exceeded the International Marketing Level (IML) with values ranging from 1049 +/- 220 ng THg g(-1) dw in pike perch muscle (Sander lucioperca) to 3910 1307 ng THg g(-1) dw in eel muscle (Anguilla Anguilla). Trophic levels for the individuals were also evaluated through stable isotope analysis, and linked to Hg concentrations of organisms. A significant Hg biomagnification (r(2) = 0.9) was observed in the Aureilhan lake, despite the absence of top predator fish. For this site, Ludwigia sp. periphyton, as an entry point of Hg into food webs, is a serious hypothesis which remains to be confirmed. This study provides a first investigation of Hg transfer in the ecosystems of south western France and allows the assessment of the risk associated with the presence of Hg in aquatic food webs. (C) 2013 Elsevier Inc. All rights reserved.</t>
  </si>
  <si>
    <t>[Gentes, Sophie; Guyoneaud, Remy] Univ Pau &amp; Pays Adour, Equipe Environm &amp; Microbiol, UMR IPREM5254, F-64013 Pau, France; [Maury-Brachet, Regine; Legeay, Alexia] Univ Bordeaux, EPOC, UMR 5805, F-33120 Arcachon, France; [Monperrus, Mathilde] Univ Pau &amp; Pays Adour, Lab Chim Analyt Bioinorgan &amp; Environm, UMR IPREM5254, F-64053 Pau, France; [Andre, Jean-Marc; Davail, Stephane] IUT Pays Adour, Equipe Environm &amp; Microbiol, UMR IPREM5254, F-40004 Mt De Marsan, France</t>
  </si>
  <si>
    <t>Universite de Pau et des Pays de l'Adour; Centre National de la Recherche Scientifique (CNRS); CNRS - National Institute for Earth Sciences &amp; Astronomy (INSU); Universite de Bordeaux; Universite de Pau et des Pays de l'Adour; Universite de Pau et des Pays de l'Adour</t>
  </si>
  <si>
    <t>Legeay, A (corresponding author), Univ Bordeaux, EPOC, UMR 5805, F-33120 Arcachon, France.</t>
  </si>
  <si>
    <t>alexia.legeay@u-bordeaux1.fr</t>
  </si>
  <si>
    <t>monperrus, mathilde/B-7946-2009</t>
  </si>
  <si>
    <t>Gentes, Sophie/0000-0002-5392-793X; ANDRE, jean-marc/0000-0001-9844-4694; Legeay, Alexia/0000-0002-1052-142X; Guyoneaud, Remy/0000-0001-6278-0872; monperrus, mathilde/0000-0002-6337-1672</t>
  </si>
  <si>
    <t>Conseil General des Landes; INSU through EC2CO project DIRECT; ANR CES through IDEA project</t>
  </si>
  <si>
    <t>Conseil General des Landes(Region Nouvelle-Aquitaine); INSU through EC2CO project DIRECT; ANR CES through IDEA project(Agence Nationale de la Recherche (ANR))</t>
  </si>
  <si>
    <t>Sophie Gentes received a doctoral grant from the Conseil General des Landes. The authors acknowledge the financial support of the INSU through EC2CO project DIRECT and the ANR CES through IDEA project. The authors also acknowledge the Office National de l'Eau et des Milieux Aquatiques (ONEMA), the Federation de Peche des Landes, the association Les Amis de Navarosse, the Reserve Nature Ile du Courant d'Huchet for their help in the sampling of aquatic organisms and the isotopic platform of the university of La Rochelle for stables isotopes analyzes.</t>
  </si>
  <si>
    <t>10.1016/j.ecoenv.2013.02.001</t>
  </si>
  <si>
    <t>118MU</t>
  </si>
  <si>
    <t>WOS:000317030400024</t>
  </si>
  <si>
    <t>Gillikin, DP; Dehairs, F; Baeyens, W; Navez, J; Lorrain, A; André, L</t>
  </si>
  <si>
    <t>Inter- and intra-annual variations of Pb/Ca ratios in clam shells (Mercenaria mercenaria):: A record of anthropogenic lead pollution?</t>
  </si>
  <si>
    <t>lead; anthropogenic pollution; proxy record; metals; mollusk; coastal sediments; North Carolina</t>
  </si>
  <si>
    <t>MUSSEL PERNA-VIRIDIS; TRACE-ELEMENT; MYTILUS-EDULIS; BIVALVE MOLLUSK; PORITES CORALS; UNITED-STATES; SOFT-TISSUES; HARD CLAMS; METALS; RADIONUCLIDES</t>
  </si>
  <si>
    <t>In this study, we re-assess the use of bivalve shells as a proxy of lead pollution. Previous studies have stressed that shells display little variability compared to soft tissues and thus are better for pollution biomonitoring. However, in this manuscript we illustrate that there is large inter- and intra-annual Ph variability between shells of the clam Mercenaria mercenaria collected in North Carolina, USA. Therefore, year to year, as well as intra-annual variations in Pb/Ca ratios should be interpreted with caution. Despite this variability, we were able to obtain an annual Pb chronology from 1949 to 2002 using 11 shells collected at different times which clearly exhibited the late 1970's peak in Pb from leaded gasoline use. This indicates that when enough specimens are pooled together, bivalve shells can be used to reconstruct large, long term changes in environmental Pb concentrations. Our data compare well with other studies of aragonite clams from sites with low regional lead pollution. From this we conclude that the Cape Lookout region of North Carolina has not received extensive pollution over the 1949-2002 period. The Pb concentration in shells growing in the 19491976 period was not significantly different from those growing in the 1982-2002 period, although other proxies suggest that the 1949-1976 period should be considerably higher. Therefore, our data suggest that there is still a modern low-level source of Pb in the coastal North Carolina environment. (c) 2005 Elsevier Ltd. All rights reserved.</t>
  </si>
  <si>
    <t>Free Univ Brussels, Dept Analyt &amp; Environm Chem, B-1050 Brussels, Belgium; Royal Museum Cent Africa, Sect Mineral &amp; Petrog, B-3080 Tervuren, Belgium</t>
  </si>
  <si>
    <t>Universite Libre de Bruxelles; Royal Museum for Central Africa</t>
  </si>
  <si>
    <t>Free Univ Brussels, Dept Analyt &amp; Environm Chem, Pleinlaan 2, B-1050 Brussels, Belgium.</t>
  </si>
  <si>
    <t>david.gillikin@vub.ac.be</t>
  </si>
  <si>
    <t>Gillikin, David/F-9011-2011; Baeyens, Willy/A-9366-2010; Lorrain, Anne/A-4152-2009</t>
  </si>
  <si>
    <t>Lorrain, Anne/0000-0002-1289-2072; Andre, Luc/0000-0002-7286-0072; Baeyens, Willy/0000-0002-5281-903X</t>
  </si>
  <si>
    <t>10.1016/j.marpolbul.2005.06.020</t>
  </si>
  <si>
    <t>WOS:000234236600019</t>
  </si>
  <si>
    <t>Buddo, DSA; Steele, RD; Webber, MK</t>
  </si>
  <si>
    <t>Buddo, Dayne St. A.; Steele, Russell D.; Webber, Mona K.</t>
  </si>
  <si>
    <t>Public health risks posed by the invasive Indo-Pacific green mussel, Perna viridis (Linnaeus, 1758) in Kingston Harbour, Jamaica</t>
  </si>
  <si>
    <t>BIOINVASIONS RECORDS</t>
  </si>
  <si>
    <t>The control strategies for any marine invasive species that is edible may include their use as food for human consumption. The potential and realized use of the invasive Indo-Pacific green mussel, Perna viridis (Linnaeus, 1758) for food in Jamaica, from wild populations in Kingston Harbour, underscored the importance of investigating the potential public health risks to consumers from mussels fished from different areas of Kingston Harbour. Levels of bacterial coliforms and heavy metals were examined during this investigation due to the nature of pollutants already documented in Kingston Harbour. Bacterial coliforms showed high levels (15 - &gt;16,000 MPN/100mL) at five stations during the investigation, with the highest values at the station located adjacent to the Hunts Bay Power station (HBPS). Heavy metals, especially chromium and cadmium were also high (43.3-70.3 mg/kg (chromium) and 17-60 mg/kg (cadmium)), with highest value at the station GC (Goodbody's Channel) for chromium and Station DT (Kingston Waterfront) for cadmium. The risks to public health through consumption of these green mussels, Perna viridis from Kingston Harbour are significant. If consumption of wild populations from Kingston Harbour is to be promoted to reduce the population number of this invasive species, then depuration of the mussels prior to consumption should be carried out.</t>
  </si>
  <si>
    <t>[Buddo, Dayne St. A.] Univ W Indies, Dept Life Sci, Ctr Marine Sci, Discovery Bay Marine Lab, Discovery Bay, St Ann, Jamaica</t>
  </si>
  <si>
    <t>Buddo, DSA (corresponding author), Univ W Indies, Dept Life Sci, Ctr Marine Sci, Discovery Bay Marine Lab, Discovery Bay, St Ann, Jamaica.</t>
  </si>
  <si>
    <t>daynebuddo@gmail.com; rds.2007@hotmail.com; mona.webber@uwimona.edu.jm</t>
  </si>
  <si>
    <t>Holder, Alvin/B-6329-2016</t>
  </si>
  <si>
    <t>Holder, Alvin/0000-0001-9618-5297; Buddo, Dayne/0000-0002-1595-9500</t>
  </si>
  <si>
    <t>REGIONAL EURO-ASIAN BIOLOGICAL INVASIONS CENTRE-REABIC</t>
  </si>
  <si>
    <t>PL 3, HELSINKI, 00981, FINLAND</t>
  </si>
  <si>
    <t>2242-1300</t>
  </si>
  <si>
    <t>BIOINVASIONS REC</t>
  </si>
  <si>
    <t>BioInvasions Rec.</t>
  </si>
  <si>
    <t>10.3391/bir.2012.1.3.03</t>
  </si>
  <si>
    <t>Biodiversity Conservation</t>
  </si>
  <si>
    <t>Biodiversity &amp; Conservation</t>
  </si>
  <si>
    <t>111YA</t>
  </si>
  <si>
    <t>gold, Green Submitted</t>
  </si>
  <si>
    <t>WOS:000316556700003</t>
  </si>
  <si>
    <t>Rahnama, R; Javanshir, A; Mashinchian, A</t>
  </si>
  <si>
    <t>Rahnama, Reza; Javanshir, Arash; Mashinchian, Ali</t>
  </si>
  <si>
    <t>The Effect of Lead Bioaccumulation on Condition Indices of Zebra Mussel (Dreissena polymorpha) From Anzali Wetland-Caspian Sea</t>
  </si>
  <si>
    <t>Condition index; Dreissena polymorpha; bival ve bioaccumulation; lead contamination</t>
  </si>
  <si>
    <t>FRESH-WATER MUSSELS; FILTRATION-RATE; METALS; COPPER; RIVER; ECOTOXICITY; BIOMARKERS; EXPOSURE; QUALITY; PB</t>
  </si>
  <si>
    <t>In this study the effect of lead on condition indices of zebra mussel (Dreissena polymorpha) together with the accumulation of lead in the soft tissue of mussels, were investigated. Studies showed no significant differences in condition indices (TCI and SCI) among the mussels in control and lead treatments. Mussels condition indices decreased during the experimental period, that it caused by function of time, not by metal accumulation. Besides the metal pollution, other environmental factors, such as food availability, could affect the mussel's condition. In our experiment we removed the effect of food by providing same food availability for mussels in control and lead treatments during the experiment. Therefore lead is the main effective factor on mussel's condition indices. Lead accumulation only observed in the soft tissue of mussels. Significant differences in lead accumulation in each treatment (based on time) and among treatments were observed. Our results suggest that the accumulation of lead in the soft tissue of mussels was affected by exposure time and lead concentration in the ambient water. In each treatment highest accumulation at longest exposure time (15 days) and lowest accumulation at shortest exposure time (5 days) were observed. Besides, among treatments, most accumulation of lead in the soil tissue of mussels at concentration of (455 mu g L-1) and lowest accumulation were observed at concentration of (2 mu g L-1).</t>
  </si>
  <si>
    <t>[Rahnama, Reza; Mashinchian, Ali] Islamic Azad Univ, Sci &amp; Res Branch, Fac Marine Sci &amp; Technol, Tehran, Iran; [Javanshir, Arash] Univ Tehran, Dept Fisheries &amp; Environm, Fac Nat Resources, Tehran 14174, Iran</t>
  </si>
  <si>
    <t>Islamic Azad University; University of Tehran</t>
  </si>
  <si>
    <t>Rahnama, R (corresponding author), Islamic Azad Univ, Sci &amp; Res Branch, Fac Marine Sci &amp; Technol, Tehran, Iran.</t>
  </si>
  <si>
    <t>rezam_bio79@yahoo.com</t>
  </si>
  <si>
    <t>Moradi, Ali/AAO-9198-2021</t>
  </si>
  <si>
    <t>Javanshir khoei, Arash/0000-0002-7098-5648; Mashinchian Moradi, Ali/0000-0002-9000-3883</t>
  </si>
  <si>
    <t>10.4194/1303-2712-v11_4_09</t>
  </si>
  <si>
    <t>922XC</t>
  </si>
  <si>
    <t>WOS:000302580800007</t>
  </si>
  <si>
    <t>Falfushynska, H; Dellwig, O; Kohler, A; Sokolova, IM</t>
  </si>
  <si>
    <t>Falfushynska, Halina; Dellwig, Olaf; Kohler, Anne; Sokolova, Inna M.</t>
  </si>
  <si>
    <t>Adverse outcome pathways as a tool for optimization of the biomarker-based assessment of pollutant toxicity: A case study of cadmium in the blue mussels Mytilus edulis</t>
  </si>
  <si>
    <t>Cadmium; Mussels; Immune-related biomarkers; Metabolic dysfunction biomarkers; Metallothioneins; Adverse outcome pathway</t>
  </si>
  <si>
    <t>CRASSOSTREA-VIRGINICA GMELIN; OXIDATIVE STRESS; EASTERN OYSTERS; TEMPERATURE TOLERANCE; CONCEPTUAL-FRAMEWORK; METAL POLLUTION; METALLOTHIONEINS; EXPOSURE; ACCUMULATION; MITOCHONDRIA</t>
  </si>
  <si>
    <t>Technogenic metals like cadmium (Cd) are discharged into the environment posing significant ecological risks to wildlife and contributing to a decline in biodiversity. Recent developments in toxicity testing and environmental risk assessment have shifted the focus towards prioritizing biological effects. To ensure effective environmental risk assessment, it is essential to develop sensitive sub-organismal biomarkers correlated with ecologically relevant organismal-level responses. Our study proposes a novel approach to enhance the evaluation of biomarker-based toxicity based on adverse outcome pathways (AOP) concept. We exposed the blue mussels M. edulis to Cd concentrations ranging from 200 to 600 mu g l(-1) (10-30 % of LC50) for 14 days, and assessed a comprehensive panel of 26 biomarkers related to molecular initiation events (Cd uptake and binding), key cellular events (oxidative stress, metabolic disturbances, and cytotoxicity), and adverse organismal outcomes (survival, energy metabolism, and reef-building capacity) in the putative AOP of Cd. Tissue Cd burdens increased linearly with exposure concentrations in the mussels. Although the condition index of the mussels remained unaffected, their biofiltration activity was suppressed at the highest Cd concentration. The negative effects of Cd exposure on the mussels' feeding were linked to reduced energetic scope for growth, impaired byssus production, increased hemocyte mortality, and altered functional traits of hemocytes. Additionally, Cd exposure induced oxidative stress, as evidenced by lower total antioxidant capacity and thiol pool, along with increased lipid peroxidation, leading to enhanced autophagy. Through Random Forest Analysis, we identified a minimal set of sensitive Cd effect biomarkers, including hemocyte mortality (contributing similar to 0.32 to classification accuracy), hemocyte acid phosphatase activity, nitric oxide and metallothionein levels in the digestive gland, and wholeorganism clearance rate and scope for growth (each contributing -0.02-0.08 to classification accuracy). These biomarkers collectively achieved a high accuracy of 90-100 % in distinguishing between control and Cdexposed groups. Increasing the number of biomarkers did not improve classification accuracy. These findings suggest that using a smaller number of optimized biomarkers based on Adverse Outcome Pathways (AOP) can enhance the assessment of contaminant-induced negative effects while reducing testing costs in environmental risk assessments.</t>
  </si>
  <si>
    <t>[Falfushynska, Halina; Sokolova, Inna M.] Univ Rostock, Inst Biol Sci, Dept Marine Biol, Rostock, Germany; [Falfushynska, Halina] Anhalt Univ Appl Sci, Dept Elect Mech &amp; Ind Engn, Kothen, Germany; [Dellwig, Olaf; Kohler, Anne] Leibniz Inst Balt Sea Res, Rostock, Germany; [Sokolova, Inna M.] Univ Rostock, Interdisciplinary Fac, Dept Maritime Syst, Rostock, Germany</t>
  </si>
  <si>
    <t>University of Rostock; Leibniz Institut fur Ostseeforschung Warnemunde; University of Rostock</t>
  </si>
  <si>
    <t>Sokolova, IM (corresponding author), Univ Rostock, Inst Biol Sci, Dept Marine Biol, Rostock, Germany.;Sokolova, IM (corresponding author), Univ Rostock, Interdisciplinary Fac, Dept Maritime Syst, Rostock, Germany.</t>
  </si>
  <si>
    <t>inna.sokolova@uni-rostock.de</t>
  </si>
  <si>
    <t>Falfushynska, Halina/B-6518-2015; Sokolova, Inna/AAE-4150-2019; Sokolova, Inna/B-4955-2009</t>
  </si>
  <si>
    <t>Alexander von Humboldt Foundation; Federal Ministry of Education and Research of Germany (BMBF) [03F0954K]</t>
  </si>
  <si>
    <t>Alexander von Humboldt Foundation(Alexander von Humboldt Foundation); Federal Ministry of Education and Research of Germany (BMBF)(Federal Ministry of Education &amp; Research (BMBF))</t>
  </si>
  <si>
    <t>The work was supported by the Alexander von Humboldt Foundation in the framework of the Georg Foster and Philipp Schwartz Initiative to HF and by the Federal Ministry of Education and Research of Germany (BMBF) in the framework of the project DAM-ElbeXtreme Impacts of physical-oceanographic extremes events on ecosystem services in the marine Elbe realm-assessment of risks and development of adaptation strategies (URO-ElbeXtreme #03F0954K) of the Deutsche Allianz Meeresforschung to IMS.</t>
  </si>
  <si>
    <t>10.1016/j.ecolind.2023.111431</t>
  </si>
  <si>
    <t>FQ5M8</t>
  </si>
  <si>
    <t>WOS:001147329400001</t>
  </si>
  <si>
    <t>Banni, M; Bouraoui, Z; Clerandeau, C; Narbonne, JF; Boussetta, H</t>
  </si>
  <si>
    <t>Banni, M.; Bouraoui, Z.; Clerandeau, C.; Narbonne, J. F.; Boussetta, H.</t>
  </si>
  <si>
    <t>Mixture toxicity assessment of cadmium and benzo[a]pyrene in the sea worm Hediste diversicolor</t>
  </si>
  <si>
    <t>Cadmium; Benzo[a]pyrene; Mixture; Biomarkers; Hediste diversicolor</t>
  </si>
  <si>
    <t>NEREIS-DIVERSICOLOR; ACETYLCHOLINESTERASE ACTIVITY; METAL CONTAMINATION; BIOMARKER; METABOLISM; ORGANISMS; QUALITY; MUSSELS; COPPER</t>
  </si>
  <si>
    <t>In the present study, Hediste diversicolor biotransformation and anti-oxidant responses to acute exposure to cadmium (Cd) and to the polycyclic aromatic hydrocarbons benzo[a]pyrene (B[a]P) were investigated. Worms were submitted to 0.2, 0.4 and 1 mu M of each contaminant and to their mixture during a period of test of 48 h. Following biological responses were measured: (1) NADPH cytochrome c reductase (NADPH cyt c) activity, as phase I biotransformation parameter; (2) gluthathione-S-transferase (GST) activity as a phase II conjugation enzyme, (3) catalase activity as anti-oxidant response and (4) malondialdehyde accumulation (MIDA) as lipid peroxydation marker. The cholinergic system was evaluated using the acetylcholinesterase activity (AChE). Exposure to the mixture resulted in low dose level additive effects on the investigated biomarkers. However, worms exposed to 1 mu M of the single compounds and to their mixture exhibited the highest MDA accumulation and the lowest enzymatic biomarkers activities suggesting severe toxicological effects. These data should be carefully considered in view of the biological effects of mixture pollutants and particularly in marine sediment ecosystems. (C) 2009 Elsevier Ltd. All rights reserved.</t>
  </si>
  <si>
    <t>[Banni, M.; Bouraoui, Z.; Boussetta, H.] Inst Super Agron, Lab Biochim &amp; Toxicol Environm, Chott Mariem, Sousse, Tunisia; [Clerandeau, C.; Narbonne, J. F.] Univ Bordeaux 1, Lab Physicotoxico Chim Syst Nat, F-33405 Talence, France</t>
  </si>
  <si>
    <t>Banni, M (corresponding author), Higher Inst Agron 4042, Lab Biochem &amp; Ecotoxicol, Chott Mariem, Sousse, Tunisia.</t>
  </si>
  <si>
    <t>Banni, Mohamed/M-2144-2014</t>
  </si>
  <si>
    <t>Banni, Mohamed/0000-0001-9764-0343; BOURAOUI, Zied/0000-0003-4710-1039</t>
  </si>
  <si>
    <t>Ministere de l'Enseignement Superieur et de la Recherche Scientifique; UR. Biochimie et Toxicologie Environnementale; Cooperation Inter- Universitaire Franco-Tunisienne (CMCU) [04G0907]</t>
  </si>
  <si>
    <t>Ministere de l'Enseignement Superieur et de la Recherche Scientifique; UR. Biochimie et Toxicologie Environnementale; Cooperation Inter- Universitaire Franco-Tunisienne (CMCU)</t>
  </si>
  <si>
    <t>This work was supported by founds from Ministere de l'Enseignement Superieur et de la Recherche Scientifique; UR. Biochimie et Toxicologie Environnementale  and the project Cooperation Inter- Universitaire Franco-Tunisienne (CMCU) N degrees 04G0907.</t>
  </si>
  <si>
    <t>10.1016/j.chemosphere.2009.08.041</t>
  </si>
  <si>
    <t>522IX</t>
  </si>
  <si>
    <t>WOS:000271992200004</t>
  </si>
  <si>
    <t>Baudrimont, M; Andrès, S; Metivaud, J; Lapaquellerie, Y; Ribeyre, F; Maillet, N; Latouche, C; Boudou, A</t>
  </si>
  <si>
    <t>Field transplantation of the freshwater bivalve Corbicula fluminea along a polymetallic contamination gradient (river Lot, France):: II.: Metallothionein response to metal exposure</t>
  </si>
  <si>
    <t>metallothionein; cadmium; zinc; Asiatic clam</t>
  </si>
  <si>
    <t>CADMIUM; MERCURY; FISH</t>
  </si>
  <si>
    <t>Specimens of the Asiatic clam Corbicula fluminea were transplanted from a clean lacustrine site to lour stations along a polymetallic pollution gradient in the river Lot, France, downstream from an old Zn ore treatment facility (sce Part I). From April to September 1996. we studied Cd and Zn bioaccumulation and the metallothionein-like metal-binding protein (MT) concentrations by subsampling the cages at t = 0, 21, 49, 85, 120, and 150 d. Marked differences were observed among the four stations. At the most polluted station Riou-Mort, MT concentrations did not increase despite very rapid metal accumulation; all mollusks died between days 49 and 85, suggesting that the metal detoxification mechanisms were overwhelmed at this station. At the next station downstream, the final levels of bioaccumulated metal after 150 d were as high as those at the Riou-Mort station (t = 21 d). but in this case the MT concentrations also increased progressively with positive correlations between MT and metal concentrations; no mortality was observed, but a significant growth inhibition was revealed in comparison to the reference site, with a lack of correlation between MT las a stress response) and reduced growth. Subcellular metal partitioning, as determined by size-exclusion chromatography, revealed that most of the Cd was sequestered by MT (70% of cytosolic Cd). In contrast, most of the Zn was bound to low molecular weight proteins (70% less than or equal to 6.5 kD), the MT fraction representing only 12% of cytosolic Zn. These data show the marked role of MT toward Cd bioaccumulation and toxic effects on this freshwater bivalve species.</t>
  </si>
  <si>
    <t>Universite de Bordeaux; Centre National de la Recherche Scientifique (CNRS); CNRS - National Institute for Earth Sciences &amp; Astronomy (INSU); Centre National de la Recherche Scientifique (CNRS); CNRS - National Institute for Earth Sciences &amp; Astronomy (INSU); Universite de Bordeaux</t>
  </si>
  <si>
    <t>10.1002/etc.5620181113</t>
  </si>
  <si>
    <t>WOS:000083271100013</t>
  </si>
  <si>
    <t>Avelar, WEP; Mantelatto, FLM; Tomazelli, AC; Silva, DML; Shuhama, T; Lopes, JLC</t>
  </si>
  <si>
    <t>The marine mussel Perna perna (Mollusca, Bivalvia, Mytilidae) as an indicator of contamination by heavy metals in the Ubatuba Bay, Sao Paulo, Brazil</t>
  </si>
  <si>
    <t>biomonitoring; Brazilian coast; heavy metals; mussel; Perna perna</t>
  </si>
  <si>
    <t>WATER; VARIABLES; FIELD</t>
  </si>
  <si>
    <t>Heavy metal levels were determined in marine mussels Perna perna collected from Ubatuba Bay, northern coast of the State of Sao Paulo, Brazil, during the period from January to October 1995. The objective of the present study was to analyze the seasonal concentrations of some metals of toxicological interest (Cd, Cu, Cr, Pb and Zn) in Ubatuba Bay using the bivalve Perna perna (Linnaeus, 1758) as a biological monitor. Collections were performed at three month intervals at Itagua beach. In the laboratory, the frozen specimens were thawed at room temperature, removed from their shells, partially dried on filter paper, weighed and individually submitted to acid digestion with sulfuric acid and hidrogen peroxide. The analyses for the detection of Cd, Cu, Cr, Pb and Zn were carried out by flame atomic absorption spectrophotometer. The results showed higher metal accumulation during July. The values detected for Pb and Cr were relatively high in all seasons, especially in January and July (vacation periods) in Ubatuba Bay, with the consequent risk of contamination by mussel ingestion for the local population and for tourists from other regions.</t>
  </si>
  <si>
    <t>Univ Sao Paulo, Fac Filosofia Ciencias &amp; Letras Ribeirao Pret, Dept Biol, BR-14040901 Ribeirao Preto, Brazil; Univ Sao Paulo, Ctr Energia Nucl Agr, Curso Pos Grad, BR-05508 Sao Paulo, Brazil; Univ Sao Paulo, Fac Ciencias Farmaceut Ribeirao Preto, Dept Quim &amp; Fis, BR-05508 Sao Paulo, Brazil</t>
  </si>
  <si>
    <t>Universidade de Sao Paulo; Universidade de Sao Paulo; Universidade de Sao Paulo</t>
  </si>
  <si>
    <t>Avelar, WEP (corresponding author), Univ Sao Paulo, Fac Filosofia Ciencias &amp; Letras Ribeirao Pret, Dept Biol, Av Bandeirantes 3900, BR-14040901 Ribeirao Preto, Brazil.</t>
  </si>
  <si>
    <t>waavelar@ffclrp.usp.br</t>
  </si>
  <si>
    <t>Mantelatto, Fernando L./H-2695-2012; Callegari Lopes, Joao Luis/F-5982-2013; Silva, D.M.L./G-3563-2012</t>
  </si>
  <si>
    <t>Mantelatto, Fernando L./0000-0002-8497-187X; Callegari Lopes, Joao Luis/0000-0002-4105-4756; Silva, D.M.L./0000-0002-9741-6170</t>
  </si>
  <si>
    <t>10.1023/A:1005109801683</t>
  </si>
  <si>
    <t>284CU</t>
  </si>
  <si>
    <t>WOS:000085313800006</t>
  </si>
  <si>
    <t>Chang, CH; Cheng, HL; Cheng, CA; Chang, EC</t>
  </si>
  <si>
    <t>Chang, C. H.; Cheng, H. L.; Cheng, C. A.; Chang, E. C.</t>
  </si>
  <si>
    <t>A Color LED Driver Implemented by the Active Clamp Forward Converter</t>
  </si>
  <si>
    <t>JOURNAL OF APPLIED RESEARCH AND TECHNOLOGY</t>
  </si>
  <si>
    <t>Light emitting diode (LED); active clamp forward converter; sequential color display (SCD)</t>
  </si>
  <si>
    <t>DESIGN; ILLUMINATION; ZVS</t>
  </si>
  <si>
    <t>Because light emitting diodes (LEDs) have the advantages of dc working voltage, high luminescent efficiency, short ignition time, high reliability and pollution free, they have substituted for incandescent bulbs and fluorescent lamps gradually. In order to simplify circuit complexity, an active clamp forward converter with the sequential color display (SCD) control is proposed to drive red, green and blue (RGB) LED arrays. The proposed converter has zero-voltage switching (ZVS) operations of both the main switch and the auxiliary switch, resulting in high system efficiency. Driving RGB LED arrays sequentially by one converter can save components and reduce cost significantly. Additionally, the pulse-width modulation (PWM) control is applied to achieve a large chromaticity variation. The circuit operations are analyzed in detail and the circuit parameters are designed based on the practical considerations. Finally, an illustrative example is implemented to demonstrate the feasibility and validity of the proposed LED driver.</t>
  </si>
  <si>
    <t>[Chang, C. H.; Cheng, H. L.; Cheng, C. A.; Chang, E. C.] I Shou Univ, Dept Elect Engn, Power Elect Lab, Kaohsiung 84001, Taiwan</t>
  </si>
  <si>
    <t>I Shou University</t>
  </si>
  <si>
    <t>Chang, CH (corresponding author), I Shou Univ, Dept Elect Engn, Power Elect Lab, Kaohsiung 84001, Taiwan.</t>
  </si>
  <si>
    <t>enchihchang@isu.edu.tw</t>
  </si>
  <si>
    <t>Cheng, Chun-An/W-8502-2019</t>
  </si>
  <si>
    <t>National Science Council of Taiwan, Republic of China [NSC 101-2221-E-214-059]</t>
  </si>
  <si>
    <t>National Science Council of Taiwan, Republic of China(Ministry of Science and Technology, Taiwan)</t>
  </si>
  <si>
    <t>This work was supported by the National Science Council of Taiwan, Republic of China, under grant contract NSC 101-2221-E-214-059.</t>
  </si>
  <si>
    <t>UNIV NACIONAL AUTONOMA MEXICO</t>
  </si>
  <si>
    <t>MEXICO CITY</t>
  </si>
  <si>
    <t>APARTADO POSTAL 70-399, MEXICO CITY, D.F. 21, MEXICO</t>
  </si>
  <si>
    <t>1665-6423</t>
  </si>
  <si>
    <t>J APPL RES TECHNOL</t>
  </si>
  <si>
    <t>J. Appl. Res. Technol.</t>
  </si>
  <si>
    <t>10.1016/S1665-6423(13)71538-4</t>
  </si>
  <si>
    <t>134KA</t>
  </si>
  <si>
    <t>WOS:000318207900012</t>
  </si>
  <si>
    <t>Cooper, S; Hare, L; Campbell, PGC</t>
  </si>
  <si>
    <t>Cooper, Sophie; Hare, Landis; Campbell, Peter G. C.</t>
  </si>
  <si>
    <t>Subcellular partitioning of cadmium in the freshwater bivalve, Pyganodon grandis, after separate short-term exposures to waterborne or diet-borne metal</t>
  </si>
  <si>
    <t>Subcellular partitioning; Bivalve; Cadmium; Metallothionein; Granules</t>
  </si>
  <si>
    <t>PERCH PERCA-FLAVESCENS; POLYMETALLIC GRADIENT; RUDITAPES-DECUSSATUS; CALCIUM CONCRETIONS; ANODONTA-GRANDIS; CD; METALLOTHIONEIN; ZN; ACCUMULATION; GILLS</t>
  </si>
  <si>
    <t>The dynamics of cadmium uptake and subcellular partitioning were studied in laboratory experiments conducted on Pyganodon grandis, a freshwater unionid bivalve that shows promise as a biomonitor for metal pollution. Bivalves were collected from an uncontaminated lake, allowed to acclimate to laboratory conditions (&gt;= 25 days), and then either exposed to a low, environmentally relevant, concentration of dissolved Cd (5 nM; 6, 12 and 24 h), or fed Cd-contaminated algae (similar to 70 nmol Cd g(-1) dry weight; 4 x 4 h). In this latter case, the bivalves were allowed to depurate for up to 8 days after the end of the feeding phase. As anticipated, the gills were the main target organ during the aqueous Cd exposure whereas the intestine was the initial site of Cd accumulation during the dietary exposure; during the subsequent depuration period, the dietary Cd accumulated in both the digestive gland and in the gills. For the gills, the distribution of Cd among the subcellular fractions (i.e., granules &gt; heat-denatured proteins (HOP) similar to heat-stable proteins (HSP) &gt; mitochondria similar to lysosomes + microsomes) was insensitive to the exposure route; both waterborne and diet-borne Cd ended up largely bound to the granule fraction. The subcellular distribution of Cd in the digestive gland differed markedly from that in the gills (HDP &gt; HSP similar to granules similar to mitochondria &gt; lysosomes + microsomes), but as in the case of the gills, this distribution was relatively insensitive to the exposure route. For both the gills and the digestive gland, the subcellular distributions of Cd differed from those observed in native bivalves that are chronically exposed to Cd in the field - in the short-term experimental exposures of P. grandis, metal detoxification was less effective than in chronically exposed native bivalves. (C) 2010 Elsevier B.V. All rights reserved.</t>
  </si>
  <si>
    <t>[Cooper, Sophie; Hare, Landis; Campbell, Peter G. C.] Univ Quebec, INRS Eau Terre &amp; Environm, Quebec City, PQ G1K 9A9, Canada</t>
  </si>
  <si>
    <t>University of Quebec; Institut national de la recherche scientifique (INRS)</t>
  </si>
  <si>
    <t>Campbell, PGC (corresponding author), Univ Quebec, INRS Eau Terre &amp; Environm, 490 Rue Couronne, Quebec City, PQ G1K 9A9, Canada.</t>
  </si>
  <si>
    <t>peter.campbell@ete.inrs.ca</t>
  </si>
  <si>
    <t>Campbell, Peter/H-4348-2011</t>
  </si>
  <si>
    <t>Natural Sciences and Engineering Research Council of Canada (NSERC); COREM (Quebec, Canada); Canada Research Chair</t>
  </si>
  <si>
    <t>Natural Sciences and Engineering Research Council of Canada (NSERC)(Natural Sciences and Engineering Research Council of Canada (NSERC)); COREM (Quebec, Canada); Canada Research Chair(Natural Resources CanadaCanadian Forest ServiceCanada Research Chairs)</t>
  </si>
  <si>
    <t>This research was supported by the Natural Sciences and Engineering Research Council of Canada (NSERC) and COREM (Quebec, Canada). The assistance of P. Marcoux, S. Masson, A. Michaud, O. Perceval, C. Porcher, M. Truchon and R. Rodrigue in the field is gratefully acknowledged, as are the technical contributions of M. Theroux, S. Duval, P. Fournier, M. Geoffroy-Bordeleau, L Rancourt and S. Premont. The authors also thank the two anonymous reviewers who helped improve the original manuscript. P.G.C. Campbell is supported by the Canada Research Chair Program.</t>
  </si>
  <si>
    <t>10.1016/j.aquatox.2010.07.027</t>
  </si>
  <si>
    <t>WOS:000284787200001</t>
  </si>
  <si>
    <t>Sures, B; Franken, M; Taraschewski, H</t>
  </si>
  <si>
    <t>Element concentrations in the archiacanthocephalan Macracanthorhynchus hirudinaceus compared with those in the porcine definitive host from a slaughterhouse in La Paz, Bolivia</t>
  </si>
  <si>
    <t>INTERNATIONAL JOURNAL FOR PARASITOLOGY</t>
  </si>
  <si>
    <t>Macracanthorhynchus hirudinaceus; acanthocephalans; pig; heavy metals; pollution; bioaccumulation; atomic absorption spectrometry; inductively coupled plasma mass spectrometry; Bolivia</t>
  </si>
  <si>
    <t>CHUB LEUCISCUS-CEPHALUS; PERCH PERCA-FLUVIATILIS; POMPHORHYNCHUS-LAEVIS; ACANTHOCEPHALUS-LUCII; DREISSENA-POLYMORPHA; ZEBRA-MUSSEL; PARASITES; FISH; LEAD; POLLUTION</t>
  </si>
  <si>
    <t>Concentrations of lead and cadmium, determined by electrothermal atomic absorption spectrometry, and concentrations of the elements barium, cadmium, copper, iron, magnesium, manganese, nickel, lead, selenium and strontium, determined by inductively coupled plasma mass spectrometry, in the acanthocephalan Macracanthorhynchus hirudinaceus and its porcine final host, sampled at a slaughterhouse in La Pat, Bolivia, were compared. Inductively coupled plasma mass spectrometry analysis revealed that most of the elements were found at higher concentrations in the acanthocephalan than in different tissues of its host. The bioconcentration of elements in M. hirudinaceus compared with the host intestine, listed in order of decreasing values, was as follows: Cd &gt; Pb &gt; Ni &gt; Sr = Cu &gt; Mg &gt; Se &gt; Fe = Mn = Ba. Analysis by electrothermal atomic absorption spectrometry showed that M, hirudinaceus contained 85, 85, 56 and 24 times higher lead levels compared with hosts muscle, liver, kidney and intestine, respectively. The mean cadmium concentration of the parasite was 32 times higher than that of the liver and five times higher compared with porcine kidney. The metal distribution within the body of M. hirudinaceus was as follows: cement gland &gt; testes &gt; lemnisci &gt; eggs = tegument for lead and lemnisci &gt; testes &gt; cement gland &gt; tegument &gt; eggs for cadmium. Therefore, the hypothesis that parasites excrete toxic metals with the shells of their eggs seems not to be valid for nil. hirudinaceus. It is concluded, that not only eoacanthocephalans and palaeacanthocephalans parasitising fish, but also archiacanthocephalans from mammalian hosts, are able to bioaccumulate metals. (C) 2000 Australian Society for Parasitology Inc. Published by Elsevier Science Ltd. All rights reserved.</t>
  </si>
  <si>
    <t>Univ Karlsruhe, Inst Zool 1, D-76128 Karlsruhe, Germany; Univ Mayor San Andres, Inst Ecol, La Paz, Bolivia</t>
  </si>
  <si>
    <t>Helmholtz Association; Karlsruhe Institute of Technology; Universidad Mayor de San Andres</t>
  </si>
  <si>
    <t>Sures, B (corresponding author), Univ Karlsruhe, Inst Zool 1, Geb 30-43,Kaiserstr 12, D-76128 Karlsruhe, Germany.</t>
  </si>
  <si>
    <t>0020-7519</t>
  </si>
  <si>
    <t>INT J PARASITOL</t>
  </si>
  <si>
    <t>Int. J. Parasit.</t>
  </si>
  <si>
    <t>10.1016/S0020-7519(00)00094-1</t>
  </si>
  <si>
    <t>360KD</t>
  </si>
  <si>
    <t>WOS:000089665800002</t>
  </si>
  <si>
    <t>Tang, YB; Liu, Q; Liao, YB; Zhou, KL; Shou, L</t>
  </si>
  <si>
    <t>Tang, Yanbin; Liu, Qiang; Liao, Yibo; Zhou, Konglin; Shou, Lu</t>
  </si>
  <si>
    <t>Responses of macrobenthic communities to patchy distributions of heavy metals and petroleum hydrocarbons in sediments: A study in China's Zhoushan Archipelago</t>
  </si>
  <si>
    <t>ACTA OCEANOLOGICA SINICA</t>
  </si>
  <si>
    <t>macrobenthos; heavy metal; petroleum hydrocarbon; contaminant effect; Zhoushan Archipelago</t>
  </si>
  <si>
    <t>HANGZHOU BAY; SURFACE SEDIMENTS; ECOLOGICAL RISK; CHANGJIANG ESTUARY; ORGANIC-CARBON; TRACE-METALS; POLLUTION; TRANSPORT; COAST; CONTAMINATION</t>
  </si>
  <si>
    <t>This study conducted four cruises during 2014-2017 to investigate relationships between macrobenthic communities and sediment contaminations in sea area around the Zhoushan Archipelago. Fourteen sites were categorized into three groups: high total heavy metal contamination content (HHMC), high total petroleum hydrocarbon content (HTPH), and low content ratio of heavy metal contamination content to total petroleum hydrocarbon content (HMC/TPH) areas. Four main taxa of macrofauna (polychaetes, bivalves, gastropods, and crustaceans) were determined to respond to environmental factors differently. While tolerant polychaetes being the minimal impact by environmental factors, bivalves were threated by heavy metal pollutions in sediment. Additionally, body size distribution frequency demonstrated that macrofauna in the low HMC/TPH areas were less disturbed by contamination than those in the HHMC and HTPH areas. The result represented the presentation of sensitive species while tolerant species are usually considered as small size organisms. Overall, this study confirmed the hypothesis that the contamination levels of small-scale patches is indicated by the condition of macrobenthic communities.</t>
  </si>
  <si>
    <t>[Tang, Yanbin; Liu, Qiang; Liao, Yibo; Shou, Lu] Minist Nat Resources, Key Lab Marine Ecosyst Dynam, Inst Oceanog 2, Hangzhou 310012, Peoples R China; [Zhou, Konglin] Minjiang Univ, Inst Oceanog, Fuzhou 350108, Peoples R China</t>
  </si>
  <si>
    <t>Ministry of Natural Resources of the People's Republic of China; Second Institute of Oceanography, Ministry of Natural Resources; Minjiang University</t>
  </si>
  <si>
    <t>Shou, L (corresponding author), Minist Nat Resources, Key Lab Marine Ecosyst Dynam, Inst Oceanog 2, Hangzhou 310012, Peoples R China.</t>
  </si>
  <si>
    <t>shoulu981@sio.org.cn</t>
  </si>
  <si>
    <t>Zhou, Konglin/GZB-1439-2022; Tang, Yanbin/J-7041-2015; liu, qiang/HCH-3916-2022</t>
  </si>
  <si>
    <t>Wei, Yongjun/0000-0002-1554-1999</t>
  </si>
  <si>
    <t>0253-505X</t>
  </si>
  <si>
    <t>1869-1099</t>
  </si>
  <si>
    <t>ACTA OCEANOL SIN</t>
  </si>
  <si>
    <t>Acta Oceanol. Sin.</t>
  </si>
  <si>
    <t>10.1007/s13131-021-1892-1</t>
  </si>
  <si>
    <t>WN6JR</t>
  </si>
  <si>
    <t>WOS:000711873300013</t>
  </si>
  <si>
    <t>Fan, XL; Wang, PF; Wang, C; Hu, B; Wang, X</t>
  </si>
  <si>
    <t>Fan, Xiulei; Wang, Peifang; Wang, Chao; Hu, Bin; Wang, Xun</t>
  </si>
  <si>
    <t>Lead accumulation (adsorption and absorption) by the freshwater bivalve Corbicula fluminea in sediments contaminated by TiO2 nanoparticles</t>
  </si>
  <si>
    <t>TiO2 nanoparticle; Lead; Accumulation; Corbicula fluminea; Sediment</t>
  </si>
  <si>
    <t>TITANIUM-DIOXIDE NANOPARTICLES; CARBON NANOTUBES; HEAVY-METALS; METALLOTHIONEIN RESPONSE; ENGINEERED NANOPARTICLES; CADMIUM ACCUMULATION; IONIC-STRENGTH; TOXICITY; BIOAVAILABILITY; RIVER</t>
  </si>
  <si>
    <t>With the increasing production and applications of TiO2 nanoparticles (NPs), their presence in aquatic environments, especially in sediments, will inevitably increase over time. Most studies investigating the influence of TiO2 NPs on the bioaccumulation of co-existing contaminants have focused on the aqueous phase; however, few have examined the sediment phase, which contains more TiO2 NPs and contaminants. We investigated the effects of TiO2 NPs on Pb accumulation by Corbicula fluminea in sediments, and explored extracellular and intracellular Pb concentrations in the various soft tissues of the bivalve. Pb was spiked with 50 mg/kg in sediment and TiO2 NPs/sediments ratios were within the range 0.2-3.0%. The results showed that TiO2 NPs presented larger adsorption capacity and affinity to Pb ions than the sediments. In addition, the large adsorption capacity of TiO2 NPs and the strong adsorption affinity to Pb ions caused part of the Pb ions released from sediments to aqueous phase were re-adsorbed by TiO2 NPs in sediments. The concentration of TiO2 NPs in C. fluminea tissues significantly increased with increasing TiO2 NP content in sediments, following the order: gill &gt; mantle &gt; foot &gt; visceral mass, which differed from the results found in the aqueous phase. In addition, the proportions of extracellular and intracellular Pb concentrations changed significantly in all the tissues as a result of TiO2 NP contamination of sediments. TiO2 NPs promote increased extracellular Pb in foot, mantle, and gill tissues, and increased intracellular Pb in the visceral mass. These results may be beneficial to more scientifically evaluate and predict the environmental risks of TiO2 NPs to benthic organisms in sediments contaminated by heavy metals. (C) 2017 Elsevier Ltd. All rights reserved.</t>
  </si>
  <si>
    <t>[Fan, Xiulei; Wang, Peifang; Wang, Chao; Hu, Bin; Wang, Xun] Hohai Univ, Minist Educ, Key Lab Integrated Regulat &amp; Resources Dev Shallo, Nanjing 210098, Jiangsu, Peoples R China; [Fan, Xiulei; Wang, Peifang; Wang, Chao; Hu, Bin; Wang, Xun] Hohai Univ, Coll Environm, Nanjing 210098, Jiangsu, Peoples R China</t>
  </si>
  <si>
    <t>Wang, PF (corresponding author), Hohai Univ, Minist Educ, Key Lab Integrated Regulat &amp; Resources Dev Shallo, Nanjing 210098, Jiangsu, Peoples R China.</t>
  </si>
  <si>
    <t>National Science Funds for Creative Research Groups of China [51421006]; Key Program of National Natural Science Foundation of China [91647206, 41430751]; National Key Plan for Research and Development of China [2016YFC0502203]; Fundamental Research Funds for the Central Universities [2015B25314]; PAPD</t>
  </si>
  <si>
    <t>National Science Funds for Creative Research Groups of China(Science Fund for Creative Research Groups); Key Program of National Natural Science Foundation of China(National Natural Science Foundation of China (NSFC)); National Key Plan for Research and Development of China; Fundamental Research Funds for the Central Universities(Fundamental Research Funds for the Central Universities); PAPD</t>
  </si>
  <si>
    <t>The authors are grateful for financial support from the National Science Funds for Creative Research Groups of China (No. 51421006), The Key Program of National Natural Science Foundation of China (Nos. 91647206, 41430751), the National Key Plan for Research and Development of China (2016YFC0502203), the Fundamental Research Funds for the Central Universities (No. 2015B25314), and PAPD.</t>
  </si>
  <si>
    <t>10.1016/j.envpol.2017.08.080</t>
  </si>
  <si>
    <t>FM3CD</t>
  </si>
  <si>
    <t>WOS:000414881000071</t>
  </si>
  <si>
    <t>Giusti, L; Zhang, H</t>
  </si>
  <si>
    <t>Heavy metals and arsenic in sediments, mussels and marine water from Murano (Venice, Italy)</t>
  </si>
  <si>
    <t>arsenic; heavy metals; marine water; Mytilus galloprovincialis; sediments; Venetian lagoon</t>
  </si>
  <si>
    <t>MYTILUS-GALLOPROVINCIALIS; TRACE-METALS; ESTUARINE ENVIRONMENTS; BIOLOGICAL INDICATOR; LAGOON; POLLUTION</t>
  </si>
  <si>
    <t>This paper describes a study of the trace element distribution in sediments, marine water and mussel Mytilus galloprovincialis of the Venetian Lagoon around the Island of Murano, an island with a long tradition of glassmaking. Trace elements analysed include Fe, Mn, Zn, Cu, Cr, Pb, Ni, Ag and As. Sediments are contaminated with Zn, Cu, Ag, As and Pb, with levels in the &lt;2 m fraction that are likely to cause adverse biological effects to marine organisms. The pelite (&lt;63 mum) is the main carrier of heavy metals at most sites. However, the fine-grained and coarse sand on the southern coast of Murano accounts for a significant proportion of Fe, Mn, Zn, Cr, Ag, Ni and Pb. Most trace element concentrations found in soft tissue of mussels appear to be within recommended Italian and international guidelines for shellfish for human consumption, the only exception being relatively high As levels. The bioaccumulation of Ag and Cr is more pronounced in the shell of these organisms. In the marine water of the lagoon, trace elements are more enriched than in other areas of the Mediterranean, with particular reference to the dissolved labile species of Zn, Mn, As, Cu, Ni and Cr.</t>
  </si>
  <si>
    <t>Univ W England, Dept Environm Sci, Bristol BS16 1QY, Avon, England</t>
  </si>
  <si>
    <t>University of West England</t>
  </si>
  <si>
    <t>Giusti, L (corresponding author), Univ W England, Dept Environm Sci, Bristol BS16 1QY, Avon, England.</t>
  </si>
  <si>
    <t>Zhang, Hao/E-5375-2010</t>
  </si>
  <si>
    <t>10.1023/A:1013945117549</t>
  </si>
  <si>
    <t>516XX</t>
  </si>
  <si>
    <t>WOS:000173583000004</t>
  </si>
  <si>
    <t>Javanshir, A; Shapoori, M; Moëzzi, F</t>
  </si>
  <si>
    <t>Javanshir, Arash; Shapoori, Maryam; Moezzi, Fateh</t>
  </si>
  <si>
    <t>Impact of water hardness on cadmium absorption by four freshwater mollusks Physa fontinalis, Anodonta cygnea, Corbicula fluminea and Dreissena polymorpha from south Caspian Sea region</t>
  </si>
  <si>
    <t>JOURNAL OF FOOD AGRICULTURE &amp; ENVIRONMENT</t>
  </si>
  <si>
    <t>Cadmium; biosorption; bioaccumulation; freshwater mollusk; freshwater pulmonate snail; freshwater bivalves</t>
  </si>
  <si>
    <t>MYTILUS-EDULIS; ASIATIC CLAM; METAL; BIOAVAILABILITY; ACCUMULATION; POLLUTION; TOXICITY; EXPOSURE; KINETICS; BINDING</t>
  </si>
  <si>
    <t>The modalities of cadmium biosorption were studied in four freshwater mollusk species from south Caspian Sea region. Cadmium absorption was measured under hard and soft water conditions as well as under original Tajan River water conditions. Special attention was paid to inter-specific variations of cadmium absorption. Under laboratory conditions the estimated bioaccumulation efficiency was 1350-20,000 for the whole soft body, calculated on a dry mass basis. Concentrations were highest in Dreissena polymorpha, followed by those in Corbicula fluminea,Physa fontinalis and Anodonta cygnea.</t>
  </si>
  <si>
    <t>[Javanshir, Arash; Moezzi, Fateh] Univ Tehran, Fac Nat Resources, Dept Fisheries &amp; Environm Sci, Karaj, Iran; [Shapoori, Maryam] Islamic Azad Univ, Savadkooh Branch, Tehran, Mazandaran Prov, Iran</t>
  </si>
  <si>
    <t>University of Tehran; Islamic Azad University</t>
  </si>
  <si>
    <t>Javanshir, A (corresponding author), Univ Tehran, Fac Nat Resources, Dept Fisheries &amp; Environm Sci, POB 4314, Karaj, Iran.</t>
  </si>
  <si>
    <t>arashjavanshir@hotmail.com</t>
  </si>
  <si>
    <t>shapoori, maryam/F-7405-2011; Moëzzi, Fateh/ABZ-3879-2022</t>
  </si>
  <si>
    <t>WFL PUBL</t>
  </si>
  <si>
    <t>MERI-RASTILANTIE 3 C, HELSINKI, FI-00980, FINLAND</t>
  </si>
  <si>
    <t>1459-0255</t>
  </si>
  <si>
    <t>J FOOD AGRIC ENVIRON</t>
  </si>
  <si>
    <t>J. Food Agric. Environ.</t>
  </si>
  <si>
    <t>771UG</t>
  </si>
  <si>
    <t>WOS:000291185600060</t>
  </si>
  <si>
    <t>Yuan, Y; Sun, T; Wang, HJ; Liu, YF; Pan, Y; Xie, YJ; Huang, HH; Fan, ZQ</t>
  </si>
  <si>
    <t>Yuan, Yuan; Sun, Ting; Wang, Huijuan; Liu, Yafeng; Pan, Ye; Xie, Yujing; Huang, Honghui; Fan, Zhengqiu</t>
  </si>
  <si>
    <t>Bioaccumulation and health risk assessment of heavy metals to bivalve species in Daya Bay (South China Sea): Consumption advisory</t>
  </si>
  <si>
    <t>Heavy metals; Bioaccumulation; Filter feeder; Bivalves; Health risk assessment; Maximum allowable consumption rate</t>
  </si>
  <si>
    <t>MUSSELS MYTILUS-GALLOPROVINCIALIS; TRACE-METALS; SEASONAL-VARIATIONS; COASTAL POLLUTION; CRASSOSTREA-GIGAS; SURFACE SEDIMENTS; FISH; RIVER; WATER; CONTAMINATION</t>
  </si>
  <si>
    <t>Bivalves are one of the key components of the biogeochemical cycle in the marine system, and respond to heavy metal (HM) sensitively as filter feeders. To determine relationship of HMs in edible bivalve and seawater and HM effects on human health when digesting bivalves, HMs were analyzed in bivalves and seawater. The results showed that the mean HM concentrations in bivalves decreased in the order of Zn &gt; Cu &gt; Cr &gt; Pb &gt; As &gt; Cd &gt; Hg. Generally, all the bioconcentration factor values of bivalves were higher than 100, suggesting that bivalves have a high bioaccumulation ability. Nonmetric multidimensional scaling analysis indicated that all bivalves have a high bioaccumulation capacity for Cu and Zn. It was found that there are health risks associated with consuming bivalves, and children are more vulnerable than adults. Finally, the maximum allowable consumption rates of non-carcinogenic and carcinogenic risk were determined. These results provide the underlying insights needed to guide the consumption of seafood.</t>
  </si>
  <si>
    <t>[Yuan, Yuan; Sun, Ting; Liu, Yafeng; Pan, Ye; Xie, Yujing; Fan, Zhengqiu] Fudan Univ, Dept Environm Sci &amp; Engn, Shanghai 200438, Peoples R China; [Wang, Huijuan; Huang, Honghui] Chinese Acad Fishery Sci, South China Sea Fisheries Res Inst, Guangdong Prov Key Lab Fishery Ecol &amp; Environm, Guangzhou 510300, Peoples R China</t>
  </si>
  <si>
    <t>Fudan University; Chinese Academy of Fishery Sciences; South China Sea Fisheries Research Institute, CAFS</t>
  </si>
  <si>
    <t>Fan, ZQ (corresponding author), Fudan Univ, Dept Environm Sci &amp; Engn, Shanghai 200438, Peoples R China.;Huang, HH (corresponding author), Chinese Acad Fishery Sci, South China Sea Fisheries Res Inst, Guangdong Prov Key Lab Fishery Ecol &amp; Environm, Guangzhou 510300, Peoples R China.</t>
  </si>
  <si>
    <t>huanghh@scsfri.ac.cn; zhqfan@fudan.edu.cn</t>
  </si>
  <si>
    <t>Fan, zhengqiu/AAF-8705-2021; yuan, yuan/GQZ-0389-2022; wang, hui/GRS-4730-2022</t>
  </si>
  <si>
    <t>Yuan, Yuan/0009-0005-0332-4961; huang, hong hui/0000-0001-9207-1583; Fan, Zhengqiu/0000-0002-2908-811X</t>
  </si>
  <si>
    <t>Shanghai Pujiang Program; National Key Research and Development Program of China [2016YFC0502705]; Key Laboratory Open Fund of Fishery Ecology Environment, Ministry of Agriculture, China</t>
  </si>
  <si>
    <t>Shanghai Pujiang Program(Shanghai Pujiang Program); National Key Research and Development Program of China(National Key Research &amp; Development Program of China); Key Laboratory Open Fund of Fishery Ecology Environment, Ministry of Agriculture, China</t>
  </si>
  <si>
    <t>This work was supported by the Shanghai Pujiang Program, the National Key Research and Development Program of China (No. 2016YFC0502705), and the Key Laboratory Open Fund of Fishery Ecology Environment, Ministry of Agriculture, China.</t>
  </si>
  <si>
    <t>10.1016/j.marpolbul.2019.110717</t>
  </si>
  <si>
    <t>KG0DF</t>
  </si>
  <si>
    <t>WOS:000509611200135</t>
  </si>
  <si>
    <t>King, MD; Elliott, JE; Idowu, I; Tomy, GT; Williams, TD</t>
  </si>
  <si>
    <t>King, Mason D.; Elliott, John E.; Idowu, Ifeoluwa; Tomy, Gregg T.; Williams, Tony D.</t>
  </si>
  <si>
    <t>Polycyclic aromatic compound and trace metal element residues in Mytilus mussels at marine wildlife hotspots on the Pacific coast of Canada</t>
  </si>
  <si>
    <t>Mollusc; Marine monitoring; Contaminant; PAH; Hydrocarbon; Heavy metal</t>
  </si>
  <si>
    <t>BRITISH-COLUMBIA; PETROLEUM-HYDROCARBONS; TEMPORAL TRENDS; ZEBRA MUSSEL; HEAVY-METAL; OIL-SPILL; SEA; PAH; SEDIMENTS; POLLUTION</t>
  </si>
  <si>
    <t>The Pacific coast of Canada has a rich marine fauna and a growing human population with increasing potential for pollution releases, but there is currently little overlap between marine wildlife hotspots and ongoing bio-monitoring efforts for less bioaccumulative contaminants such as polycyclic aromatic compounds (PAC) and trace metals (metals). We surveyed PACs and metals at marine bird breeding colonies in coastal British Columbia in 2018 by analyzing chemical residues in the soft tissue of bivalve Mytilus sp. mussels collected from stations (n = 3) at seven sites. The concentration of sum PACs ( n-expressionry sumexpressiontion (43)PAC) and high molecular weight (HMW) PACs were highest at the Second Narrows colony in Vancouver Harbour, a highly urbanized and industrialized port within the Salish Sea. For conservation areas, two Salish Sea and three Pacific Ocean coast colonies, PACs were generally lower. However, n-expressionry sumexpressiontion (43)PAC, n-expressionry sumexpressiontion (HMW)PAC, and several HMW congeners at the remote site of Triangle Island, a Marine National Wildlife Area, were not significantly different from Second Narrows. The dominant PAC sources at all sites are likely pyrogenic rather than petrogenic, as suggested by PAC profiles, proportion of parent PACs, and source-indicator congeners. For metals, site differences were found for seven out of eight priority metals, but principal component analysis indicated that site differences, such as high mercury and cadmium at offshore sites, are likely related to environmental and biological variables including salinity, condition index, water temper-ature, and shell length. Our survey across a broad coastal region shows that PAC and metal biomonitoring programs with mussels should include wildlife hotspots where the exposure of protected vertebrate species to pollutants with low bioaccumulation potential would be less obvious, and shows that collection of data on key covariates (e.g. lipid content, salinity) will be critical to tracking long-term trends and detecting pollution release events.</t>
  </si>
  <si>
    <t>[King, Mason D.; Elliott, John E.; Williams, Tony D.] Simon Fraser Univ, Dept Biol Sci, 8888 Univ Dr, Burnaby, BC V5A 156, Canada; [Elliott, John E.] Environm &amp; Climate Change Canada, Sci &amp; Technol Div, 5421 Robertson Rd, Delta, BC V4K 3N2, Canada; [Idowu, Ifeoluwa; Tomy, Gregg T.] Univ Manitoba, Dept Chem, 144 Dysart Rd, Winnipeg, MB R3T 2N2, Canada</t>
  </si>
  <si>
    <t>Simon Fraser University; Environment &amp; Climate Change Canada; University of Manitoba</t>
  </si>
  <si>
    <t>King, MD (corresponding author), Simon Fraser Univ, Dept Biol Sci, 8888 Univ Dr, Burnaby, BC V5A 156, Canada.</t>
  </si>
  <si>
    <t>mason_king@sfu.ca</t>
  </si>
  <si>
    <t>King, Mason/HLQ-7631-2023</t>
  </si>
  <si>
    <t>King, Mason/0000-0003-0729-9773; IDOWU, IFEOLUWA G./0000-0003-2823-9323</t>
  </si>
  <si>
    <t>Natural Sciences and Engineering Research Council of Canada [RGPIN-2016-04583]; Environment and Climate Change Canada research program [3000686444]; Centre for Oil and Gas Research and Development; Anne Vallee Ecological Fund Scholarship</t>
  </si>
  <si>
    <t>Natural Sciences and Engineering Research Council of Canada(Natural Sciences and Engineering Research Council of Canada (NSERC)CGIAR); Environment and Climate Change Canada research program; Centre for Oil and Gas Research and Development; Anne Vallee Ecological Fund Scholarship</t>
  </si>
  <si>
    <t>This work was supported by a Natural Sciences and Engineering Research Council of Canada Discovery Grant [RGPIN-2016-04583], Environment and Climate Change Canada research program funds [including contract #3000686444 with the Centre for Oil and Gas Research and Development], and the Anne Vallee Ecological Fund Scholarship 2020.</t>
  </si>
  <si>
    <t>10.1016/j.envpol.2022.120624</t>
  </si>
  <si>
    <t>7I2TA</t>
  </si>
  <si>
    <t>WOS:000903744500001</t>
  </si>
  <si>
    <t>Göksu, MZL; Akar, M; Çevik, F; Findik, Ö</t>
  </si>
  <si>
    <t>Bioaccumulation of some heavy metals (Cd, Fe, Zn, Cu) in two bivalvia species (Pinctada radiata Leach, 1814 and Brachidontes pharaonis Fischer, 1870)</t>
  </si>
  <si>
    <t>TURKISH JOURNAL OF VETERINARY &amp; ANIMAL SCIENCES</t>
  </si>
  <si>
    <t>bivalvia; Pinctada radiata; Brachidontes pharaonis; heavy metal</t>
  </si>
  <si>
    <t>PEARL OYSTER; ACCUMULATION; POLLUTION</t>
  </si>
  <si>
    <t>Bioaccumulation of some heavy metals (Cd, Fe, Zn and Cu) in fresh parts of 2 bivalvia species (Pinctada radiata Leach, 1814 and Brachidontes pharaonis Fischer, 1870) was examined in samples collected between May, 1999, and April, 2000, in Akkuyu Bay (Icel, Turkey). Heavy metal contents in soft bodies were measured by an atomic absorption spectrophometer. The means of the amounts of heavy metals with standard errors were estimated as follows: 0.0605 +/- 0.00467 mu gg(-1) Cd. 2.8227 +/- 0.24486 mu gg(-1) Fe, 0.2979 +/- 0.02368 mu gg(-1) Zn, and 0.0355 +/- 0.00303 mu gg(-1) Cu (wet weight) for B. pharaonis, but for P. radiata the means were 0.0058 +/- 0.00034 mu gg(-1) Cd, 0.3682 +/- 0.04252 mu gg(-1) Fe, 0.1579 +/- 0.00628 mu gg(-1) Zn, and 0.0027 +/- 0.00018 mu gg(-1) Cu. In a comparison of the means, the order of magnitude will be Fe, Zn, Cd and Cu for B. pharaonis, and Fe, Zn, Cu and Cd for P. radiata these results were below Turkish legal standards. Therefore, we may conclude that there is no heavy metal pollution in Akkuyu Bay.</t>
  </si>
  <si>
    <t>Cukurova Univ, Fac Fisheries, TR-01330 Adana, Turkey</t>
  </si>
  <si>
    <t>Cukurova University</t>
  </si>
  <si>
    <t>Cukurova Univ, Fac Fisheries, TR-01330 Adana, Turkey.</t>
  </si>
  <si>
    <t>Göksu, Münir/G-6905-2018; FINDIK, Özlem/AAY-2116-2021; Çevik, Fatma/A-8063-2016</t>
  </si>
  <si>
    <t>Tubitak Scientific &amp; Technological Research Council Turkey</t>
  </si>
  <si>
    <t>ANKARA</t>
  </si>
  <si>
    <t>ATATURK BULVARI NO 221, KAVAKLIDERE, TR-06100 ANKARA, TURKIYE</t>
  </si>
  <si>
    <t>1300-0128</t>
  </si>
  <si>
    <t>TURK J VET ANIM SCI</t>
  </si>
  <si>
    <t>Turk. J. Vet. Anim. Sci.</t>
  </si>
  <si>
    <t>917KA</t>
  </si>
  <si>
    <t>WOS:000228458700015</t>
  </si>
  <si>
    <t>Lopes-Lima, M; Freitas, S; Pereira, L; Gouveia, E; Hinzmann, M; Checa, A; Machado, J</t>
  </si>
  <si>
    <t>Lopes-Lima, Manuel; Freitas, Susana; Pereira, Liliana; Gouveia, Eugenia; Hinzmann, Mariana; Checa, Antonio; Machado, Jorge</t>
  </si>
  <si>
    <t>Ionic regulation and shell mineralization in the bivalve Anodonta cygnea (swan mussel) following heavy-metal exposure</t>
  </si>
  <si>
    <t>CANADIAN JOURNAL OF ZOOLOGY-REVUE CANADIENNE DE ZOOLOGIE</t>
  </si>
  <si>
    <t>FRESH-WATER MUSSELS; CADMIUM KINETICS; CARCINUS-MAENAS; SHORE CRAB; ACCUMULATION; CALCIUM; LEAD; L.; POPULATION; POLLUTION</t>
  </si>
  <si>
    <t>Freshwater mussels are one of the most imperiled faunistic groups in the world and environmental exposure to toxic heavy metals, which result in deregulation of calcium absorption and deposition in the laboratory, may be a contributing factor in their decline. To address potential effects of heavy-metal exposure on calcium transport and metabolism in freshwater bivalves, adult Anodonta cygnea (L., 1758) were exposed to a sublethal concentration (1.0 x 10(-6) mol/L) of essential (Zn2+ and Cu2+) or nonessential (Pb2+ and Cr3+) metal for 30 days in the laboratory. Inorganic composition of extrapallial, haemolymph, heart, and pericardium fluids, and kidney tissue, as well as shell morphology by scanning electron microscopy, were compared in treated and untreated mussels. Calcium levels in fluids varied after exposure to any of the metals investigated, although the magnitude and threshold of effect were metal- and compartment-specific. Ca2+ levels increased robustly in all fluids following exposure to Zn2+, Cu2+, or Cr3+, whereas levels decreased significantly in heart fluid alone following Pb2+ exposure (p &lt; 0.05). In constrast to exposure to the other metals, Cu2+ revealed an interesting reverse-accumulation pattern, decreasing in the fluids but not in the kidney, where it clearly accumulates for excretion. In addition, whereas essential Cu2+ and Zn2+ are closely regulated, the nonessential metals Pb2+ and Cr3+ increase to very high levels. Drastic alterations in shell morphology, specifically the structure of border and inner pallial regions of the nacreous layer, were observed after Cu2+ or Cr3+ exposure. Collectively, data suggest that prolonged exposure to a sublethal concentration of these heavy metals can adversely affect compartmental calcium availability and shell composition in A. cygnea.</t>
  </si>
  <si>
    <t>[Lopes-Lima, Manuel; Freitas, Susana; Pereira, Liliana; Gouveia, Eugenia; Hinzmann, Mariana; Checa, Antonio; Machado, Jorge] Univ Porto, Dept Aquat Prod, Inst Biomed Sci Abel Salazar, P-4099003 Oporto, Portugal</t>
  </si>
  <si>
    <t>Universidade do Porto</t>
  </si>
  <si>
    <t>Machado, J (corresponding author), Univ Porto, Dept Aquat Prod, Inst Biomed Sci Abel Salazar, Lg Abel Salazar 2, P-4099003 Oporto, Portugal.</t>
  </si>
  <si>
    <t>Pereira, Liliana/JLL-6867-2023; Hinzmann, Mariana/L-5415-2019; Lopes-Lima, Manuel/N-1222-2014; Checa, Antonio/A-6157-2008</t>
  </si>
  <si>
    <t>Lopes-Lima, Manuel/0000-0002-2761-7962; Hinzmann, Mariana/0000-0002-9983-5512; Checa, Antonio/0000-0001-7873-7545; Machado, Jorge/0000-0003-4570-5445</t>
  </si>
  <si>
    <t>FEDER [PROTEUS-INTERREG III A - SP1.13151/03]; Fundacao para a Ciencia e Tecnologia (FCT) [SYNERG - PTDC/MAR/098066/2008]; Fundação para a Ciência e a Tecnologia [PTDC/MAR/098066/2008] Funding Source: FCT</t>
  </si>
  <si>
    <t>FEDER(European Union (EU)Spanish Government); Fundacao para a Ciencia e Tecnologia (FCT)(Fundacao para a Ciencia e a Tecnologia (FCT)); Fundação para a Ciência e a Tecnologia(Fundacao para a Ciencia e a Tecnologia (FCT))</t>
  </si>
  <si>
    <t>We thank the support provided by project PROTEUS-INTERREG III A - SP1.13151/03 of FEDER, as well as by project SYNERG - PTDC/MAR/098066/2008 of Fundacao para a Ciencia e Tecnologia (FCT). We also express our gratitude to A. Rocha for his expertise in the laboratory.</t>
  </si>
  <si>
    <t>CANADIAN SCIENCE PUBLISHING, NRC RESEARCH PRESS</t>
  </si>
  <si>
    <t>OTTAWA</t>
  </si>
  <si>
    <t>1200 MONTREAL ROAD, BUILDING M-55, OTTAWA, ON K1A 0R6, CANADA</t>
  </si>
  <si>
    <t>0008-4301</t>
  </si>
  <si>
    <t>CAN J ZOOL</t>
  </si>
  <si>
    <t>Can. J. Zool.-Rev. Can. Zool.</t>
  </si>
  <si>
    <t>10.1139/Z11-129</t>
  </si>
  <si>
    <t>901LC</t>
  </si>
  <si>
    <t>WOS:000300967400013</t>
  </si>
  <si>
    <t>EFFECTS OF DISSOLVED MERCURY ON EMBRYOGENESIS, SURVIVAL AND GROWTH OF MYTILUS-GALLOPROVINCIALIS MUSSEL LARVAE</t>
  </si>
  <si>
    <t>MERCURY; MYTILUS; MUSSEL; LARVA; GROWTH; EMBRYO; BIOASSAY; ECOTOXICOLOGY</t>
  </si>
  <si>
    <t>CRASSOSTREA-VIRGINICA; HEAVY-METALS; TOXICITY; EMBRYOS; MERCENARIA; AMERICAN; GIGAS</t>
  </si>
  <si>
    <t>The effects of Hg concentrations ranging from 0 (control) to 1024 mu g l(-1) upon embryogenesis, survival and growth of Mytilus galloprovincialis mussel larvae were investigated. Embryogenesis was abnormal in 50% of the individuals at 10 mu g l(-1). The 48 h LC(50) for D-shaped, early umbonate, late umbonate and eyed larvae were 51, 164, 322 and 383 pg l(-1) respectively. The LC(50) was an allometric function of ash-free dry weight with exponent b = 0.60. Larval growth was significantly reduced after 6 d exposure to 4 mu g Hg l(-1) and after 10 d exposure to 2 mu g l(-1). No significant differences in lethal or sublethal sensitivity to Hg were found between M. galloprovincialis and previously studied Crassostrea gigas embryos and larvae. The implications of these findings for monitoring pollution by utilising different bivalve species are discussed.</t>
  </si>
  <si>
    <t>BEIRAS, R (corresponding author), IFREMER, STN ARCACHON, QUAI SILHOUETTE, F-33120 ARCACHON, FRANCE.</t>
  </si>
  <si>
    <t>10.3354/meps126185</t>
  </si>
  <si>
    <t>TD598</t>
  </si>
  <si>
    <t>WOS:A1995TD59800016</t>
  </si>
  <si>
    <t>Elfwing, T; Blidberg, E; Tedengren, M</t>
  </si>
  <si>
    <t>Physiological responses to copper in giant clams: a comparison of two methods in revealing effects on photosynthesis in zooxanthellae</t>
  </si>
  <si>
    <t>copper; fluorescence; giant clam; photosynthesis; physiology; zooxanthellae</t>
  </si>
  <si>
    <t>CHLOROPHYLL FLUORESCENCE; PHOTOSYSTEM-II; HEAVY-METALS; GROWTH; CONTAMINANTS; ENERGETICS; GRADIENT; STRESS; SCOPE</t>
  </si>
  <si>
    <t>In the present work physiological responses to a short term, sub-lethal exposure to copper (5 mug Cu-2 l(-1)) were studied on two species of giant clams, Tridacna gigas and Hippopus hippopus. All giant clams (fam. Tridacnidae) maintain a symbiotic relationship with photosynthesising microalgae (zooxanthellae) and the phytotoxic effects of this copper concentration were approached with two different end points changes in oxygen production and maximal quantum yield (Fife,). Additionally we measured respiration, whereby P :R ratios could be calculated for the system (algae and clam) and used as an indicator of stress. Cu accumulation was only determined for T. gigras and showed significantly higher tissue concentrations in exposed specimens (11.3 mug CU g(-1) dry wt) compared to the controls (4.2 mug Cu g(-1)). Both species displayed significantly reduced P :R ratios due to exposure, mainly explained by lowered gross production. No indication of stress was shown in the fluorescence measurements and possible explanations are discussed in the paper. We propose that inhibitions in the slow kinetics of photosynthesis were not captured by this fluorescence parameter. Accordingly we suggest that measurements of maximum fluorescence yield should be accompanied by complementary parameters when studying pollutants with unclear phytotoxic mechanisms. (C) 2002 Published by Elsevier Science Ltd.</t>
  </si>
  <si>
    <t>Stockholm Univ, Dept Syst Ecol, SE-10691 Stockholm, Sweden</t>
  </si>
  <si>
    <t>Elfwing, T (corresponding author), Stockholm Univ, Dept Syst Ecol, SE-10691 Stockholm, Sweden.</t>
  </si>
  <si>
    <t>PII S0141-1136(02)00100-9</t>
  </si>
  <si>
    <t>10.1016/S0141-1136(02)00100-9</t>
  </si>
  <si>
    <t>576NE</t>
  </si>
  <si>
    <t>WOS:000177010700003</t>
  </si>
  <si>
    <t>Priya, SL; Senthilkumar, B; Hariharan, G; Selvam, AP; Purvaja, R; Ramesh, R</t>
  </si>
  <si>
    <t>Priya, S. Laxmi; Senthilkumar, B.; Hariharan, G.; Selvam, A. Paneer; Purvaja, R.; Ramesh, R.</t>
  </si>
  <si>
    <t>Bioaccumulation of heavy metals in mullet (Mugil cephalus) and oyster (Crassostrea madrasensis) from Pulicat lake, south east coast of India</t>
  </si>
  <si>
    <t>TOXICOLOGY AND INDUSTRIAL HEALTH</t>
  </si>
  <si>
    <t>Accumulation; heavy metals; Mugil cephalus; Crassostrea madrasensis; Pulicat lake</t>
  </si>
  <si>
    <t>TRACE-METALS; MARINE-SEDIMENTS; FISH; WATER; GULF; ELEMENTS; POLLUTION; RIVER; ACCUMULATION; SHELLFISH</t>
  </si>
  <si>
    <t>The accumulation of six heavy metals (Cr, Cd, Cu, Zn, Pb and Ni) in sediment, water and in tissue parts of Mugil cephalus and Crassostrea madrasensis was studied in two locations of Pulicat lake, Southeast coast of India, which receives considerable quantity of effluents from industries located in North Chennai coastal region. The results reveal that the metal concentration in water is decreasing in the following order of Zn &gt; Ni &gt; Cu &gt; Cr &gt; Pb &gt; Cd both in lake and barmouth and highest concentration was observed for Zn (32.5 mu g L-1 in lake and 25.2 mg L-1 in bar mouth). Metals were highly concentrated in sediments when compared to water and biota. Metals abundance in sediments has following sequential order of Cr &gt; Ni &gt; Zn &gt; Cu &gt; Pb &gt; Cd and the accumulation pattern in barmouth showed minor variation indicating the following pattern of Zn &gt; Ni &gt; Cr &gt; Cu &gt; Pb &gt; Cd. The geoaccumulation index (I-geo) for Pulicat lake sediments indicate that the sediments are extremely contaminated with Cd and moderately contaminated with Cu and Ni. Bioaccumulation of heavy metals in Mugil cephalus and Crassostrea madrasensis showed marked differences in the accumulation patterns. It is observed that Zn, Cu and Pb are accumulated in elevated concentrations in various parts of the fish and oyster when compared with other metals.</t>
  </si>
  <si>
    <t>[Priya, S. Laxmi; Senthilkumar, B.; Hariharan, G.; Selvam, A. Paneer; Purvaja, R.; Ramesh, R.] Anna Univ, Inst Ocean Management, Chennai 600025, Tamil Nadu, India</t>
  </si>
  <si>
    <t>Priya, SL (corresponding author), Anna Univ, Inst Ocean Management, Chennai 600025, Tamil Nadu, India.</t>
  </si>
  <si>
    <t>lakshmepriya@gmail.com</t>
  </si>
  <si>
    <t>Ramachandran, Ramesh/B-4814-2018; Govindasamy, Hariharan/B-2973-2018; Ramachandran, Purvaja/K-5522-2018</t>
  </si>
  <si>
    <t>Govindasamy, Hariharan/0000-0003-1315-3180; Ramachandran, Ramesh/0000-0003-2471-7746; Ramachandran, Purvaja/0000-0001-7937-3763</t>
  </si>
  <si>
    <t>Tamil Nadu State Council for Science and Technology</t>
  </si>
  <si>
    <t>This work was supported by funding from Tamil Nadu State Council for Science and Technology under Students Project Scheme.</t>
  </si>
  <si>
    <t>SAGE PUBLICATIONS INC</t>
  </si>
  <si>
    <t>THOUSAND OAKS</t>
  </si>
  <si>
    <t>2455 TELLER RD, THOUSAND OAKS, CA 91320 USA</t>
  </si>
  <si>
    <t>0748-2337</t>
  </si>
  <si>
    <t>1477-0393</t>
  </si>
  <si>
    <t>TOXICOL IND HEALTH</t>
  </si>
  <si>
    <t>Toxicol. Ind. Health</t>
  </si>
  <si>
    <t>10.1177/0748233710381892</t>
  </si>
  <si>
    <t>Public, Environmental &amp; Occupational Health; Toxicology</t>
  </si>
  <si>
    <t>725UR</t>
  </si>
  <si>
    <t>WOS:000287672200003</t>
  </si>
  <si>
    <t>Dose-dependent responses of metabolism and tissue injuries in clam Ruditapes philippinarum after subchronic exposure to cadmium</t>
  </si>
  <si>
    <t>Cadmium; Dose-response; Hormesis; Metabolomics; Ruditapes philippinarum; Tissue injuries</t>
  </si>
  <si>
    <t>VIRGINICA GMELIN BIVALVIA; SHRIMP CRANGON-AFFINIS; SUCCINATE-DEHYDROGENASE; METAL POLLUTION; EASTERN OYSTER; MARINE BIVALVE; COMPLEX II; BAY; HEXOKINASE; SEAWATER</t>
  </si>
  <si>
    <t>Marine cadmium (Cd) pollution has been globally occurring, which creates a pressing need to characterize toxicological effects and develop biomarkers for Cd. However, the dose-response relationships challenge toxicity characterization and biomarkers selection. Metabolic processes have been frequently targeted by Cd. In this work, we investigated the dose-dependent effects of Cd on metabolic endpoints in whole soft tissues as well as gill and hepatopancreas injuries in clam Ruditapes philippinarum, aiming to better understand the metabolic responses and develop biomarkers. Nuclear magnetic resonance (NMR)-based metabolomic analysis was conducted on clam whole soft tissues to identify metabolites. The enzymes and metabolites associated with tricarboxylic acid (TCA) cycle, glycolysis, and oxidative phosphorylation showed both monotonic and nonmonotonic curves with the increase of Cd dose. In details, glutamine, glucose-1-phosphate, hexokinase (HK), and citrate synthase (CS) presented monotonic decreases with the increase of Cd dose, among which glutamine and CS were preferable biomarkers to Cd exposure based on lower benchmark dose (BMD) values. The monotonic decreases of HK and CS activities suggested Cd exposure potentially disrupted glycolysis and TCA cycle via inhibiting rate-limiting enzymes. In contrast, the non-monotonic responses of succinate dehydrogenase (SDH), alanine aminotransferase (ALT), and their substrates (succinate and alanine) were approximate to Uor J-shaped curves, suggesting the adaptive strategy of metabolic responses to different degrees of Cd stress, like induction of anaerobiosis as energy compensation. Especially, the alterations of succinate and SDH presented &amp; nbsp;typical hormetic dose-response curves. What is more, clam hepatopancreas was more sensitive to Cd than gill in terms of injury occurrence. Overall, characterization of dose-dependent effect of Cd on metabolism and tissue injuries provides a new insight into understanding the metabolic adaptation in marine clams and risk assessment of Cd pollution. (c) 2021 Elsevier B.V. All rights reserved.</t>
  </si>
  <si>
    <t>[Zhan, Junfei; Wang, Shuang; Li, Fei; Ji, Chenglong; Wu, Huifeng] Chinese Acad Sci, Yantai Inst Coastal Zone Res YIC, CAS Key Lab Coastal Environm Proc &amp; Ecol Remediat, Yantai 264003, Shandong, Peoples R China; [Zhan, Junfei; Wang, Shuang; Li, Fei; Ji, Chenglong; Wu, Huifeng] YICCAS, Shandong Key Lab Coastal Environm Proc, Yantai 264003, Shandong, Peoples R China; [Ji, Chenglong; Wu, Huifeng] Qingdao Natl Lab Marine Sci &amp; Technol, Lab Marine Fisheries Sci &amp; Food Prod Proc, Qingdao 266237, Peoples R China; [Li, Fei; Ji, Chenglong; Wu, Huifeng] Chinese Acad Sci, Ctr Ocean Mega Sci, Qingdao 266071, Peoples R China; [Zhan, Junfei; Wang, Shuang] Univ Chinese Acad Sci, Beijing 100049, Peoples R China</t>
  </si>
  <si>
    <t>Wu, HF (corresponding author), Chinese Acad Sci, Yantai Inst Coastal Zone Res YIC, CAS Key Lab Coastal Environm Proc &amp; Ecol Remediat, Yantai 264003, Shandong, Peoples R China.</t>
  </si>
  <si>
    <t>This research was supported by the grants from National Natural Science Foundation of China (42076164 and 41676114) and the Young Taishan Scholars Program of Shandong Province for Prof. Huifeng Wu (tsqn201812115) .</t>
  </si>
  <si>
    <t>JUL 20</t>
  </si>
  <si>
    <t>10.1016/j.scitotenv.2021.146479</t>
  </si>
  <si>
    <t>SJ7BE</t>
  </si>
  <si>
    <t>WOS:000655685000012</t>
  </si>
  <si>
    <t>Cao, RW; Liu, YL; Wang, Q; Dong, ZJ; Yang, DL; Liu, H; Ran, W; Qu, Y; Zhao, JM</t>
  </si>
  <si>
    <t>Cao, Ruiwen; Liu, Yongliang; Wang, Qing; Dong, Zhijun; Yang, Dinglong; Liu, Hui; Ran, Wen; Qu, Yi; Zhao, Jianmin</t>
  </si>
  <si>
    <t>Seawater acidification aggravated cadmium toxicity in the oyster Crassostrea gigas: Metal bioaccumulation, subcellular distribution and multiple physiological responses</t>
  </si>
  <si>
    <t>Ocean acidification; Cadmium; Crassostrea gigas; Physiological response; Apoptosis; Bioconcentration</t>
  </si>
  <si>
    <t>OCEAN ACIDIFICATION; OXIDATIVE STRESS; CLIMATE-CHANGE; IMMUNE-RESPONSES; PACIFIC OYSTERS; ELEVATED CO2; TRACE-METALS; BLOOD CLAM; APOPTOSIS; POLLUTION</t>
  </si>
  <si>
    <t>Mounting evidence has demonstrated the combined effects of ocean acidification (OA) and other environmental stressors on marine organisms. Although metal pollution is widely distributed in coasts and estuaries, the combined effects of OA and metal pollution have received little attention until recent years. In this study, the accumulation and subcellular distribution of cadmium (Cd) and the physiological responses of the oyster Crassostrea gigas were investigated after 31 days of exposure to OA and Cd, either alone or in combination. Increased Cd accumulation was found both in gills (about 57% increase at pH 7.8, 22% increase at pH 7.6) and digestive glands (about 38% increase at pH 7.8.22% increase at pH 7.6) of C. gigas under elevated pCO(2) exposure. Although a similar total Cd accumulation pattern was seen in oyster gills and digestive glands, a higher partition of Cd in the BIM (biologically inactive metal) fractions of gills (about 60%) was found in Cd-exposed treatments compared to the digestive glands (about 45%), which might correspond to the generally lower toxicity in gills. Moreover, synergetic effects of Cd and OA on the oxidative stresses, histopathological damage, and apoptosis of exposed oysters were observed in this study, which might be explained by significant interactions of these two factors on increased generation of ROS. These findings demonstrated that OA could aggravate the toxicity of metals in marine organisms, with significant implications for coastal benthic ecosystems regarding the widespread metal contamination and the concurrent increase of acidified seawater. (C) 2018 Elsevier B.V. All rights reserved.</t>
  </si>
  <si>
    <t>[Cao, Ruiwen; Liu, Yongliang; Wang, Qing; Dong, Zhijun; Yang, Dinglong; Liu, Hui; Ran, Wen; Qu, Yi; Zhao, Jianmin] Chinese Acad Sci, Muping Coastal Environm Res Stn, Yantai Inst Coastal Zone Res, Yantai 264117, Shandong, Peoples R China; [Cao, Ruiwen; Wang, Qing; Dong, Zhijun; Yang, Dinglong; Liu, Hui; Ran, Wen; Qu, Yi; Zhao, Jianmin] Chinese Acad Sci, Key Lab Coastal Biol &amp; Biol Resources Utilizat, Yantai Inst Coastal Zone Res, Yantai 264117, Shandong, Peoples R China; [Cao, Ruiwen; Ran, Wen; Qu, Yi] Univ Chinese Acad Sci, Beijing 100049, Peoples R China</t>
  </si>
  <si>
    <t>Zhao, JM (corresponding author), Chinese Acad Sci, Muping Coastal Environm Res Stn, Yantai Inst Coastal Zone Res, Yantai 264117, Shandong, Peoples R China.</t>
  </si>
  <si>
    <t>jmzhao@yic.ac.cn</t>
  </si>
  <si>
    <t>Wang, Qing/O-1991-2013; Dong, Zhijun/B-9172-2009</t>
  </si>
  <si>
    <t>Dong, Zhijun/0000-0001-7692-5892</t>
  </si>
  <si>
    <t>Strategic Priority Research Program of the Chinese Academy of Sciences [XDA11020305]; National Natural Science Foundation of China [31172388]; Key Research Program of the Chinese Academy of Sciences [KZZDEW-14]; Youth Innovation Promotion Association, CAS [2016196]</t>
  </si>
  <si>
    <t>Strategic Priority Research Program of the Chinese Academy of Sciences(Chinese Academy of Sciences); National Natural Science Foundation of China(National Natural Science Foundation of China (NSFC)); Key Research Program of the Chinese Academy of Sciences(Chinese Academy of Sciences); Youth Innovation Promotion Association, CAS</t>
  </si>
  <si>
    <t>This research was supported by grants from the Strategic Priority Research Program of the Chinese Academy of Sciences (XDA11020305), the National Natural Science Foundation of China (No. 31172388), the Key Research Program of the Chinese Academy of Sciences (Grant No. KZZDEW-14) and the Youth Innovation Promotion Association, CAS (2016196).</t>
  </si>
  <si>
    <t>10.1016/j.scitotenv.2018.06.126</t>
  </si>
  <si>
    <t>GN8JE</t>
  </si>
  <si>
    <t>WOS:000439405600080</t>
  </si>
  <si>
    <t>Sobral, P; Widdows, J</t>
  </si>
  <si>
    <t>Effects of copper exposure on the scope for growth of the clam Ruditapes decussatus from southern Portugal</t>
  </si>
  <si>
    <t>copper accumulation; sublethal exposure; physiological energetics; Scope for Growth; Ruditapes decussatus; Portugal</t>
  </si>
  <si>
    <t>MUSSEL MYTILUS-EDULIS; PHYSIOLOGICAL ENERGETICS; BINDING PROTEINS; CADMIUM; METALLOTHIONEIN; ACCUMULATION; STRESS; GILLS; CONTAMINATION; FILTRATION</t>
  </si>
  <si>
    <t>The clam Ruditapes decussatus L. was collected from Ria Formosa, Fare, southern Portugal, and exposed to a sublethal copper concentration of 0.01 mg l(-1) for 20 days, Physiological measurements, respiration rates, clearance rates and absorption efficiency, were undertaken initially and after 2, 5, 9, 14 and 20 days and used to calculate Scope for Growth, Copper accumulation rate was calculated through the analysis of copper in the tissues at the same sampling times, The experiment showed two phases, Initially, copper was rapidly accumulated (1.95 mu g Cu g(-1) dw day(-1) in the first 48 h), clearance rates declined markedly (lowest value 13.5% of control) and respiration rates increased (116% of control), resulting in a rapid decline of Scope for Growth, which showed a negative value after 5 days, In the second phase, (from day 9 on), the rate of copper uptake declined to 0.55 mu g Cu g(-1) day(-1) and g physiological responses were more stable, After 20 days, copper concentration in the tissues was 38.4 mu g Cu g(-1) dw (bioconcentration factor 3840), Clearance rates were 50% of control rates and respiration rates were still high, 145% of control rates, Therefore, Scope for Growth and performance of the clams was still greatly affected (ca. 23% of the control values), indicating that though animals partially recovered through detoxifying mechanisms, excess copper caused sustained impairment of physiological functions, This experiment confirms that the physiological energetics approach and the integrated Scope for Growth measurement is a sensitive methodology to detect deviations from normal performance and assess stress at environmental realistic copper concentrations, (C) 1997 Elsevier Science Ltd. All rights reserved.</t>
  </si>
  <si>
    <t>Univ Nova Lisboa, Fac Ciencias &amp; Tecnol, Dept Ciencias &amp; Engn Ambiente, P-2825 Monte De Caparica, Portugal; Plymouth Marine Lab, Plymouth PL1 3DH, Devon, England</t>
  </si>
  <si>
    <t>Universidade Nova de Lisboa; Plymouth Marine Laboratory</t>
  </si>
  <si>
    <t>Univ Nova Lisboa, Fac Ciencias &amp; Tecnol, Dept Ciencias &amp; Engn Ambiente, Quinta Torre, P-2825 Monte De Caparica, Portugal.</t>
  </si>
  <si>
    <t>Sobral, Paula/ABD-9206-2020; Sobral, Paula/E-7187-2013</t>
  </si>
  <si>
    <t>Sobral, Paula/0000-0003-0834-6789</t>
  </si>
  <si>
    <t>10.1016/S0025-326X(97)00116-1</t>
  </si>
  <si>
    <t>YY498</t>
  </si>
  <si>
    <t>WOS:000072153500010</t>
  </si>
  <si>
    <t>MAHAJAN, BA; SRINIVASAN, M</t>
  </si>
  <si>
    <t>MERCURY POLLUTION IN THE ESTUARINE REGION AROUND BOMBAY-ISLAND</t>
  </si>
  <si>
    <t>ENVIRONMENTAL TECHNOLOGY LETTERS</t>
  </si>
  <si>
    <t>Quantitative estimation of mercury in sediments and organisms from two estuarine regions around Bombay is presented. These estuarine regions wherein effluents from majority of the chemical industries are let off, serves also as a source for sea-food for a limited population around this region. Mercury analysis was done for two major seasons viz. post-monsoon and pre-monsoon. One of the regions (Thana Creek) showed higher mercury content in sediments and organisms than has been reported previously, showing that there is a steady build up of this metal in the biota due to anthropogenic influence. The quantitative pattern of mercury in the organisms can be ranked as follows: bivalve &gt; benthic fish &gt; crab &gt; prawn &gt; gastropod &gt; pelagic fish.</t>
  </si>
  <si>
    <t>INDIAN INST TECHNOL, CTR ENVIRONM EPIDEMIOL, BOMBAY 400076, INDIA</t>
  </si>
  <si>
    <t>Indian Institute of Technology System (IIT System); Indian Institute of Technology (IIT) - Bombay</t>
  </si>
  <si>
    <t>UNIT 55, 2 OLD BROMPTON ROAD, LONDON SW7 3DQ, ENGLAND</t>
  </si>
  <si>
    <t>0143-2060</t>
  </si>
  <si>
    <t>ENVIRON TECHNOL LETT</t>
  </si>
  <si>
    <t>10.1080/09593338809384574</t>
  </si>
  <si>
    <t>N0893</t>
  </si>
  <si>
    <t>WOS:A1988N089300009</t>
  </si>
  <si>
    <t>Okoro, HK; Fatoki, OS; Adekola, FA; Ximba, BJ; Snyman, RG</t>
  </si>
  <si>
    <t>Okoro, Hussein K.; Fatoki, Olalekan S.; Adekola, Folahan A.; Ximba, Bhekumusa J.; Snyman, Reinette G.</t>
  </si>
  <si>
    <t>PHYSICO-CHEMICAL CHARACTERISTICS AND 1-YEAR MONITORING OF HEAVY METAL POLLUTION AND ITS SEASONAL VARIATION IN SEAWATER OF CAPE TOWN HARBOUR, SOUTH AFRICA</t>
  </si>
  <si>
    <t>Cape Town harbour; ICP-MS; heavy metals; seawater; contamination; physico-chemical properties</t>
  </si>
  <si>
    <t>WATER; CONTAMINATION; MUSSELS; RIVERS; CANAKKALE; SEDIMENTS</t>
  </si>
  <si>
    <t>A 1-year monitoring of priority heavy metals As, Cd, Hg, Pb and Sn in seawater from Cape Town harbour, South Africa with respect to their seasonal variations and their pollution levels were studied. The concentrations of heavy metals were determined using ICP-MS analysis. In addition, the physicochemical parameters, such as pH, temperature, total dissolved solids and conductivity, were measured with a view to obtain a baseline or bankable data of their levels, and to access the seawater quality. High significant variation (P &lt;= 0.05) was observed for all metals between seasons and across locations. Seasonal variations of heavy metals showed that Sn and Cd are more prevalent during summer while Hg, Pb and As are more prevalent during winter season. According to EEC and ANZECC guidelines, the values recorded for Cd across all locations were within the permissible limit for aquatic life. According to WHO, EPA, TSE 266 guidelines for Pb in seawater, the concentration values recorded in locations 1, 3, 5, 6, 9 and 10 were more than the permissible value (10 mu g/L). High values of heavy metals recorded could be due to anthropogenic and natural sources.</t>
  </si>
  <si>
    <t>[Okoro, Hussein K.; Fatoki, Olalekan S.; Ximba, Bhekumusa J.] Cape Peninsula Univ Technol, Fac Sci Appl, Environm Analyt Res Lab, ZA-7535 Cape Town, South Africa; [Okoro, Hussein K.; Fatoki, Olalekan S.; Ximba, Bhekumusa J.] Cape Peninsula Univ Technol, Fac Sci Appl, Dept Chem, ZA-7535 Cape Town, South Africa; [Okoro, Hussein K.; Adekola, Folahan A.] Univ Ilorin, Fac Sci, Environm Analyt Res Lab, Ilorin, Nigeria; [Okoro, Hussein K.; Adekola, Folahan A.] Univ Ilorin, Fac Sci, Dept Chem, Ilorin, Nigeria; [Snyman, Reinette G.] Cape Peninsula Univ Technol, Fac Sci Appl, Dept Biodivers &amp; Conservat Management, ZA-8000 Cape Town, South Africa</t>
  </si>
  <si>
    <t>Cape Peninsula University of Technology; Cape Peninsula University of Technology; University of Ilorin; University of Ilorin; Cape Peninsula University of Technology</t>
  </si>
  <si>
    <t>Okoro, HK (corresponding author), Cape Peninsula Univ Technol, Dept Chem, Environm Analyt Res Lab, POB 1906, ZA-7535 Cape Town, South Africa.</t>
  </si>
  <si>
    <t>okoroowo@yahoo.com</t>
  </si>
  <si>
    <t>Snyman, Reinette G./ADY-1385-2022; Okoro, Hussein Kehinde/JZC-6816-2024; Adekola, Folahan/AAY-1780-2020</t>
  </si>
  <si>
    <t>OKORO, HUSSSEIN/0000-0003-4598-558X; Adekola, Folahan/0000-0003-4411-669X; Fatoki, Olalekan/0000-0002-4310-8180; Snyman, Reinette G./0000-0001-6933-0866; Ximba, Bhekumusa/0000-0002-5402-5583</t>
  </si>
  <si>
    <t>Cape Peninsular University of Technology, Cape Town, South Africa</t>
  </si>
  <si>
    <t>The authors wish to thank the management of Cape Peninsular University of Technology, Cape Town, South Africa for the URF grant 2011/2012 offered for this study. Okoro H. K. also acknowledges University of Ilorin, Ilorin, Nigeria for supplementation staff development awarded him through his Doctoral studies. Acknowledgement also goes to Mr. Sebastian Brown, Alistair Aldonis and Ashley Davids of CSIR, South Africa for being part of the sampling team. Special thanks to Mr. Erick O. Jondicko, Dr. Rasheeda Toefy and Professor Van Schalkwyk for the assistance they rendered for my stastical analysis.</t>
  </si>
  <si>
    <t>253RW</t>
  </si>
  <si>
    <t>WOS:000327108000008</t>
  </si>
  <si>
    <t>Blasco, J; Arias, AM; Sáenz, V</t>
  </si>
  <si>
    <t>Heavy metals in organisms of the River Guadalquivir estuary:: possible incidence of the Aznalcollar disaster</t>
  </si>
  <si>
    <t>heavy metals; contamination; fauna; biomonitoring; the River Guadalquivir</t>
  </si>
  <si>
    <t>POLLUTION</t>
  </si>
  <si>
    <t>On the 25 April 1998, the giant holding pool of the Aznalcollar mine, owned by the Canadian-Swedish Company Boliden Ltd burst its banks; 5 million cubic meters (6.7 million cubic yards) of sludge poured into the nearby River Guadiamar, which is a tributary of the River Guadalquivir (the main river of the south Iberian Peninsula). Within hours of the accident, approximately 2.5 Hm(3) of acidic water with high concentrations of metals, especially Zn, had entered the River Guadalquivir. A biomonitoring program has been carried out to evaluate the incidence of this spill on the fauna of the River Guadalquivir. Six sampling stations within the estuary of were established and six species of molluscs (Crassostrea angulata, Scrobicularia plana), crustaceans (Palameon longirostris, Uca tangeri, Melicertus kerathurus) and fish (Liza ramada) were chosen for analysis. In the Portuguese oyster, Crassostrea angulata, Cd and Cu concentrations were above the maximum allowed by the Spanish legislation for bivalves for human consumption (60 mu g.g(-1) wet wt. for Cu and 1.0 mu g.g(-1) wet wt. for Cd). The crustaceans Palaemon longirostris and Uca tangeri, also showed values above the legal limits for Cu (20 mu g.g(-1) wet wt.). An increase of the Zn levels was observed, as Zn concentrations in C. angulata were higher than those reported 30 years ago. The heavy metal concentrations in some of the organisms collected in the River Guadalquivir were higher than in the Bay of Cadiz or the Mediterranean Sea (clean sites), showing that this estuary was subjected to a heavy metal load. One month after the accident, concentrations of Zn were higher in C. angulata and in Palaemon longirostris compared with levels recorded on the 25 April. Nevertheless, some organisms did not show a clear tendency during the sampling period, probably due to the fluctuations of environmental (salinity, temperature) and physiological variables that affect bioaccumulation. (C) 1999 Elsevier Science B.V. All rights reserved.</t>
  </si>
  <si>
    <t>Inst Ciencias Marinas Andalucia, Cadiz 11510, Spain</t>
  </si>
  <si>
    <t>Blasco, J (corresponding author), Inst Ciencias Marinas Andalucia, Campus Univ Rio S Pedro, Cadiz 11510, Spain.</t>
  </si>
  <si>
    <t>DEC 6</t>
  </si>
  <si>
    <t>10.1016/S0048-9697(99)00394-0</t>
  </si>
  <si>
    <t>270YU</t>
  </si>
  <si>
    <t>WOS:000084565400018</t>
  </si>
  <si>
    <t>Knopf, B; Fliedner, A; Radermacher, G; Rüdel, H; Paulus, M; Pirntke, U; Koschorreck, J</t>
  </si>
  <si>
    <t>Knopf, Burkhard; Fliedner, Annette; Radermacher, Georg; Ruedel, Heinz; Paulus, Martin; Pirntke, Ulrike; Koschorreck, Jan</t>
  </si>
  <si>
    <t>Seasonal variability in metal and metalloid burdens of mussels: using data from the German Environmental Specimen Bank to evaluate implications for long-term mussel monitoring programs</t>
  </si>
  <si>
    <t>ENVIRONMENTAL SCIENCES EUROPE</t>
  </si>
  <si>
    <t>Heavy metals; Metalloid; Seasonal variability; Monitoring; Mussels</t>
  </si>
  <si>
    <t>MYTILUS-EDULIS; BLUE MUSSELS; TRACE-METAL; ORGANOTIN COMPOUNDS; HEAVY-METALS; FRESH-WATER; FISH; ESTUARINE; CONTAMINATION; POLLUTION</t>
  </si>
  <si>
    <t>Background Metal and metalloid concentrations in mussels can vary between seasons. In biota monitoring, the sampling time is therefore an important issue. Within the German Environmental Specimen Bank (ESB) program blue mussels (Mytilus edulis Complex) are sampled regularly since the 1980s. The samples are collected in two-monthly intervals at two North Sea sites and in 6-month intervals at one Baltic Sea site. All samples from one site and year are combined to annual composite samples and archived as sub-samples under cryogenic conditions. In order to investigate a possible reduction of the number of annual sampling intervals while maintaining comparability with the long-term composite sample data, the seasonal variability of metals/metalloids was analyzed based on the half-yearly and bimonthly samples of 2013, 2015 and 2017. Results In mussels from the North Sea site Eckwarderhoerne seasonality of metals/metalloids was comparable in all 3 years (arsenic being the only exception). At the North Sea site Koenigshafen seasonality of cobalt, nickel, cadmium, copper, lead, and arsenic was comparable in 2013 and 2015 but not in 2017, while selenium showed the same seasonality in all 3 years. Within 1 year, concentrations of metals and metalloids can vary by the same order of magnitude as observed between annual composite samples of different years making it impossible to select just one representative sampling time point per year that would provide the same information as the respective annual composite sample. Conclusions The findings highlight the importance of carefully selecting the sampling time point when using mussels in biota monitoring. For the German ESB program it is recommended to continue with the current sampling strategy and analyze annual composite samples in order to maintain comparability with the long-term data series, which are a special feature of the ESB.</t>
  </si>
  <si>
    <t>[Knopf, Burkhard; Fliedner, Annette; Radermacher, Georg; Ruedel, Heinz] Fraunhofer Inst Mol Biol &amp; Appl Ecol Fraunhofer I, Dept Environm Specimen Bank &amp; Elemental Anal, D-57392 Schmallenberg, Germany; [Paulus, Martin] Univ Trier, Biogeog, D-54286 Trier, Germany; [Pirntke, Ulrike; Koschorreck, Jan] German Environm Agcy Umweltbundesamt, D-06813 Dessau Rosslau, Germany</t>
  </si>
  <si>
    <t>Fraunhofer Gesellschaft; Universitat Trier</t>
  </si>
  <si>
    <t>Knopf, B (corresponding author), Fraunhofer Inst Mol Biol &amp; Appl Ecol Fraunhofer I, Dept Environm Specimen Bank &amp; Elemental Anal, D-57392 Schmallenberg, Germany.</t>
  </si>
  <si>
    <t>burkhard.knopf@ime.fraunhofer.de</t>
  </si>
  <si>
    <t>German Environment Agency within the scope of the Environment Specimen Bank program</t>
  </si>
  <si>
    <t>This work was funded by the German Environment Agency within the scope of the Environment Specimen Bank program.</t>
  </si>
  <si>
    <t>SPRINGEROPEN</t>
  </si>
  <si>
    <t>2190-4707</t>
  </si>
  <si>
    <t>2190-4715</t>
  </si>
  <si>
    <t>ENVIRON SCI EUR</t>
  </si>
  <si>
    <t>Environ. Sci Eur.</t>
  </si>
  <si>
    <t>10.1186/s12302-020-0289-7</t>
  </si>
  <si>
    <t>KJ4KH</t>
  </si>
  <si>
    <t>WOS:000512026500001</t>
  </si>
  <si>
    <t>Strady, E; Blanc, G; Baudrimont, M; Baudrimont, J; Schäfer, J; Robert, S; Lafon, V</t>
  </si>
  <si>
    <t>Strady, Emilie; Blanc, Gerard; Baudrimont, Magalie; Baudrimont, Joerg; Schaefer, Joerg; Robert, Serge; Lafon, Virginie</t>
  </si>
  <si>
    <t>Roles of regional hydrodynamic and trophic contamination in cadmium bioaccumulation by Pacific oysters in the Marennes-Oleron Bay (France)</t>
  </si>
  <si>
    <t>Cadmium; Oysters; Bioaccumulation; Metallothioneins; Trophic contamination; Regional hydrodynamic</t>
  </si>
  <si>
    <t>CRASSOSTREA-GIGAS THUNBERG; GIRONDE ESTUARY; METAL BIOACCUMULATION; TEMPORAL VARIATIONS; FLUVIAL SYSTEM; TRACE-METALS; SEDIMENT; METALLOTHIONEIN; PHYTOPLANKTON; DYNAMICS</t>
  </si>
  <si>
    <t>The Marennes-Oleron Bay, hosting the largest oyster production in France, is influenced by the historic polymetallic pollution of the Gironde Estuary. Despite management efforts and decreasing emissions in the Gironde watershed, cadmium levels in oysters from the bay are close to the consumption limit (5 mu g g(-1), dw, EC). From mid April to mid July 2009, we investigated the role of tidal resuspension and regional hydrodynamics on Cd speciation (seawater, SPM, phytoplankton, sediment, microphytobenthos) and bioaccumulation in 18 month-old oysters (gills, digestive glands, rests of tissues) reared under natural conditions (i) at similar to 60 cm above the sediment and (ii) on the sediment surface. Dissolved and particulate Cd concentrations in surface and bottom waters were similar and constant over tidal cycle suggesting the absence of Cd release during sediment resuspension. Temporal dissolved and particulate Cd concentrations were closely related to Gironde Estuary water discharges, showing increasing concentrations during flood situations and decreasing concentrations afterwards. Cd depletion in the water column was associated with increasing Cd in the [20-100 mu m] plankton fraction, suggesting Cd bioaccumulation. After 3 months, enrichment factors of Cd in tissues of oysters exposed in the water column and directly on the sediment were respectively 3.0 and 2.2 in gills, 4.7 and 3.2 in digestive glands and 4.9 and 3.4 in remaining tissues. Increasing Cd bioaccumulation in gills, digestive glands and remaining tissues can be related to elevated dissolved Cd in the bay, suggesting gill contamination via the direct pathway and subsequent internal redistribution of Cd to other organs and tissues. Elevated Cd contents in oysters reared on tables could be attributed to different trophic Cd transfer (phytoplankton versus microphytobenthos) or to different oyster metabolisms between the rearing conditions as suggested by metallothionein concentrations. (C) 2011 Elsevier Ltd. All rights reserved.</t>
  </si>
  <si>
    <t>[Strady, Emilie; Blanc, Gerard; Baudrimont, Magalie; Baudrimont, Joerg; Schaefer, Joerg; Lafon, Virginie] Univ Bordeaux, UMR EPOC 5805, GEMA Team, F-33405 Talence, France; [Robert, Serge] IFREMER, LER PC, F-17137 Gaby Coll, Lhoumeau, France</t>
  </si>
  <si>
    <t>Centre National de la Recherche Scientifique (CNRS); CNRS - National Institute for Earth Sciences &amp; Astronomy (INSU); Universite de Bordeaux; Ifremer</t>
  </si>
  <si>
    <t>Strady, E (corresponding author), CEREGE, UMR 6635, BP80, F-13545 Aix En Provence, France.</t>
  </si>
  <si>
    <t>e.strady@epoc.u-bordeaux1.fr</t>
  </si>
  <si>
    <t>; strady, emilie/O-1219-2016</t>
  </si>
  <si>
    <t>Robert, Serge/0000-0003-3785-8935; Baudrimont, Magalie/0000-0001-9901-8435; strady, emilie/0000-0001-5683-0810; Schafer, Jorg/0000-0003-2631-908X; Blanc, Gerard/0009-0005-9814-0427</t>
  </si>
  <si>
    <t>CYTRIX EC2CO VOTRTRAM project; French Ministry of Research</t>
  </si>
  <si>
    <t>CYTRIX EC2CO VOTRTRAM project; French Ministry of Research(Ministry of Research, France)</t>
  </si>
  <si>
    <t>The authors thank H. Derriennic, G. Oggian, C. Bossy, L Dutruch and E. Maneux for their support during sampling, laboratory analysis and L Lanceleur for his advices for statistical analysis. This study was supported by CYTRIX EC2CO VOTRTRAM project and a grant from the French Ministry of Research.</t>
  </si>
  <si>
    <t>10.1016/j.chemosphere.2011.02.051</t>
  </si>
  <si>
    <t>787ZY</t>
  </si>
  <si>
    <t>WOS:000292416400011</t>
  </si>
  <si>
    <t>Sures, B; Dezfuli, BS; Krug, HF</t>
  </si>
  <si>
    <t>The intestinal parasite Pomphorhynchus laevis (Acanthocephala) interferes with the uptake and accumulation of lead (210Pb) in its fish host chub (Leuciscus cephalus)</t>
  </si>
  <si>
    <t>Pomphorhynchus laevis; acanthocephalans; parasites; Chub; lead; bioindicator; accumulation; metal pollution</t>
  </si>
  <si>
    <t>MUSSEL DREISSENA-POLYMORPHA; ZEBRA MUSSEL; METAL POLLUTION; PALAEACANTHOCEPHALA; ELEMENTS; CADMIUM; MERCURY; WATER; LUCII; CLAM</t>
  </si>
  <si>
    <t>Uninfected chub as well as fish experimentally infected with the acanthocephalan parasite Pomphorhynchus laevis were exposed to (210) mPb(2+) for up to 38 days and the uptake and distribution of lead within different fish organs and the parasites was determined at various time points. Highest metal concentrations were detected in the acanthocephalans, followed by intestine, bile, liver, gill and muscle of the fish host. Infected chub had significantly lower Pb-210 levels in the gills on day 17 (P less than or equal to 0.01), in the bile on day 24 (P less than or equal to 0.05) and in the gills as well as in the intestine on day 38 compared with uninfected fish. A subsequent polynomial regression revealed that lead levels for the infected fish ranged below the levels determined for uninfected fish during most of the exposure period. This is the first proof that P. laevis reduces lead levels in the bile thereby diminishing or even impeding the hepatic intestinal cycling of lead, which may reduce the amount of metals available for the fish organs. This is especially important for ecotoxicological research. For example, organisms used as accumulation indicators may erroneously indicate low levels of pollution if they are infected with parasites which alter their pollutant uptake mechanisms. Additionally, the results gave further experimental evidence for acanthocephalans as accumulation indicators for metals. (C) 2003 Australian Society for Parasitology Inc. Published by Elsevier Ltd. All rights reserved.</t>
  </si>
  <si>
    <t>Univ Karlsruhe, Zool Inst Okol Parasitol 1, D-76128 Karlsruhe, Germany; Forschungszentrum Karlsruhe, Inst Genet &amp; Toxikol, D-76021 Karlsruhe, Germany; Univ Ferrara, Dipartimento Biol, Sez Biol Evolut, I-44100 Ferrara, Italy</t>
  </si>
  <si>
    <t>Helmholtz Association; Karlsruhe Institute of Technology; Helmholtz Association; Karlsruhe Institute of Technology; University of Ferrara</t>
  </si>
  <si>
    <t>Sures, B (corresponding author), Univ Karlsruhe, Zool Inst Okol Parasitol 1, Kornblumenstr 13, D-76128 Karlsruhe, Germany.</t>
  </si>
  <si>
    <t>Sures, Bernd/B-6652-2013; Sayyaf Dezfuli, Bahram/G-4184-2015</t>
  </si>
  <si>
    <t>Sayyaf Dezfuli, Bahram/0000-0002-9778-5937; Sures, Bernd/0000-0001-6865-6186</t>
  </si>
  <si>
    <t>10.1016/S0020-7519(03)00251-0</t>
  </si>
  <si>
    <t>753KJ</t>
  </si>
  <si>
    <t>WOS:000187230300006</t>
  </si>
  <si>
    <t>Mottin, E; Caplat, C; Latire, T; Mottier, A; Mahaut, ML; Costil, K; Barillier, D; Lebel, JM; Serpentini, A</t>
  </si>
  <si>
    <t>Mottin, Elmina; Caplat, Christelle; Latire, Thomas; Mottier, Antoine; Mahaut, Marie-Laure; Costil, Katherine; Barillier, Daniel; Lebel, Jean-Marc; Serpentini, Antoine</t>
  </si>
  <si>
    <t>Effect of zinc sacrificial anode degradation on the defence system of the Pacific oyster, Crassostrea gigas: Chronic and acute exposures</t>
  </si>
  <si>
    <t>Zinc; Sacrificial anode; Crassostrea gigas; Laboratory exposures; Immune parameters; mRNA expression</t>
  </si>
  <si>
    <t>IN-VITRO EXPOSURE; MESSENGER-RNA EXPRESSION; HEAVY-METALS; MULTIXENOBIOTIC RESISTANCE; ANTIOXIDANT ENZYMES; IMMUNE-RESPONSE; MYTILUS-EDULIS; METALLOTHIONEIN RESPONSE; INDUCED IMMUNOMODULATION; AQUATIC INVERTEBRATES</t>
  </si>
  <si>
    <t>Two types of exposures were performed to assess the effects of zinc released from sacrificial anode degradation: a chronic exposure, in which oysters were exposed to 0.53 +/- 0.04 mg Zn L-1 for 10 weeks, and an acute exposure, where oysters were exposed to 10.2 +/- 1.2 mg Zn L-1 for 1 week. At the end of the acute exposure experiment, 81.8% mortality was recorded. In contrast, no mortality was detected after 10 weeks exposure. Moreover, all of the immune system biomarkers studied, except the number of circulating haemocytes, were stimulated by a moderate level of zinc and inhibited by a high level. Our exposure conditions did not induce SOD or MXR mRNA expression in gills and digestive gland. However, an increase of MT mRNA is observed in these tissues. The results indicate that oysters are sensitive to acute zinc toxicity but are only moderately affected by a mild zinc concentration. (c) 2012 Elsevier Ltd. All rights reserved.</t>
  </si>
  <si>
    <t>[Mottin, Elmina; Latire, Thomas; Mottier, Antoine; Costil, Katherine; Lebel, Jean-Marc; Serpentini, Antoine] Univ Caen Basse Normandie, FRE BioMEA 3484, CNRS INEE, F-14032 Caen, France; [Mottin, Elmina; Latire, Thomas; Mottier, Antoine; Costil, Katherine; Lebel, Jean-Marc; Serpentini, Antoine] Univ Caen Basse Normandie, IFREMER Physiol &amp; Ecophysiol Mollusques Marins, UMR 100, IFR ICORE IBFA 146, F-14032 Caen, France; [Mottin, Elmina; Caplat, Christelle; Mahaut, Marie-Laure; Barillier, Daniel] Univ Caen Basse Normandie, Equipe Rech Physicochim &amp; Biotechnol, EA 3914, F-50130 Cherbourg Ocreville, France; [Mottin, Elmina] CNAM Intechmer, F-50103 Tourlaville, France</t>
  </si>
  <si>
    <t>Universite de Caen Normandie; Centre National de la Recherche Scientifique (CNRS); CNRS - Institute of Ecology &amp; Environment (INEE); Universite de Caen Normandie; Ifremer; Universite de Caen Normandie; heSam Universite; Conservatoire National Arts &amp; Metiers (CNAM)</t>
  </si>
  <si>
    <t>Serpentini, A (corresponding author), Univ Caen Basse Normandie, FRE BioMEA 3484, CNRS INEE, Campus 1,Bat M, F-14032 Caen, France.</t>
  </si>
  <si>
    <t>Mottier, Antoine/0000-0001-7040-1836</t>
  </si>
  <si>
    <t>E. Mottin's work was supported by a fellowship from the Ministere de l'Enseignement Superieur et de la Recherche. The authors thank Corrodys for the Hall des Flamands, L. Poulain and M. Duval (Plateau Technique de Cytometrie en Flux, IFR 146 ICORE, Universite de Caen Basse-Normandie) for their helpful technical assistance in flow cytometry studies and, finally, Elsevier Language Editing Services for English revision.</t>
  </si>
  <si>
    <t>10.1016/j.marpolbul.2012.06.017</t>
  </si>
  <si>
    <t>WOS:000308851400031</t>
  </si>
  <si>
    <t>Kuang, ZX; Fan, ZQ; Wang, HJ; Gu, YG; Zhang, WR; Wang, SB; Huang, HH</t>
  </si>
  <si>
    <t>Kuang, Zexing; Fan, Zhengqiu; Wang, Huijuan; Gu, Yangguang; Zhang, Wanru; Wang, Shoubing; Huang, Honghui</t>
  </si>
  <si>
    <t>Heavy metal(loid)s in multiple media within a mussel mariculture area of Shangchuan Island, China: Partition, transfer and health risks</t>
  </si>
  <si>
    <t>Heavy metal(loid); Bioaccumulation; Ecological risk; Probabilistic health risk; Mussel mariculture</t>
  </si>
  <si>
    <t>SURFACE SEDIMENTS; ECOLOGICAL RISK; METAL CONTAMINATION; TRACE-ELEMENTS; DAYA BAY; WILD; BIODEPOSITION; AQUACULTURE; ORGANISMS; POLLUTION</t>
  </si>
  <si>
    <t>Limited research has been conducted on the heavy metal (loid) (HM) exchanges among seawater, sediments and cultured mussels in mariculture areas. To determine the impacts of mussel mariculture on the transfer and risks of HMs in coastal environments, samples of seawater, sediments and cultured mussels from a typical mariculture area in the South China Sea were analysed. The logarithmic partition coefficients of sediment/water indicated that HMs were preferentially retained by sediments. There were relatively low ecological risks in mussel raft mariculture areas. Principal component analysis and correlation analysis revealed the influences of terrestrial input and ocean circulation on the HMs in seawater, and the bioaccumulation factors reflected the possible accumulation of HMs in seawater by cultured mussels. Mussel farming was the indirect source of HMs in sediments, and the biochemical processes of cultured mussels promoted the transfer and accumulation of HMs into sediments. Health risk assessment revealed that children were more susceptible than adults, and Cd, As and Cr were among the threatening elements. Nonetheless, the health risks that were possibly caused by the daily consumption of farmed mussels were still within safe limits. Thus, the potential pollution remediation and biomonitoring functions of mussel aquaculture in coastal water environments will be further studied in the future.</t>
  </si>
  <si>
    <t>[Kuang, Zexing; Gu, Yangguang; Zhang, Wanru; Huang, Honghui] Chinese Acad Fishery Sci, South China Sea Fisheries Res Inst, Guangdong Prov Key Lab Fishery Ecol &amp; Environm, Guangzhou 510300, Peoples R China; [Kuang, Zexing; Fan, Zhengqiu; Wang, Shoubing] Fudan Univ, Dept Environm Sci &amp; Engn, Shanghai 200438, Peoples R China; [Gu, Yangguang; Huang, Honghui] Southern Marine Sci &amp; Engn Guangdong Lab Guangzho, Guangzhou 511458, Peoples R China; [Wang, Huijuan] Minist Ecol &amp; Environm, South China Inst Environm Sci, Guangzhou 510530, Peoples R China</t>
  </si>
  <si>
    <t>Chinese Academy of Fishery Sciences; South China Sea Fisheries Research Institute, CAFS; Fudan University; Southern Marine Science &amp; Engineering Guangdong Laboratory; Southern Marine Science &amp; Engineering Guangdong Laboratory (Guangzhou)</t>
  </si>
  <si>
    <t>Huang, HH (corresponding author), Chinese Acad Fishery Sci, South China Sea Fisheries Res Inst, Guangdong Prov Key Lab Fishery Ecol &amp; Environm, Guangzhou 510300, Peoples R China.;Wang, SB (corresponding author), Fudan Univ, Dept Environm Sci &amp; Engn, Shanghai 200438, Peoples R China.</t>
  </si>
  <si>
    <t>bswang@fudan.edu.cn; huanghh@scsfri.ac.cn</t>
  </si>
  <si>
    <t>Kuang, Zexing/CAA-4243-2022; Fan, zhengqiu/AAF-8705-2021; wang, hui/GRS-4730-2022; Chen, Bowen/KFB-3986-2024; Gu, Yang-Guang/C-8275-2009</t>
  </si>
  <si>
    <t>Kuang, Zexing/0000-0002-8775-2613; wang, shoubing/0000-0003-2696-2083; Fan, Zhengqiu/0000-0002-2908-811X; huang, hong hui/0000-0001-9207-1583; Gu, Yang-Guang/0000-0003-2314-0463</t>
  </si>
  <si>
    <t>Key Special Project for Introduced Talents Team of Southern Marine Science and Engineering Guangdong Laboratory (Guangzhou) [GML2019ZD0402]; Central Public-interest Scientific Institution Basal Research Fund, CAFS [2020TD15]; Central Public-interest Scientific Institution Basal Research Fund, South China Sea Fisheries Research Institute, CAFS [2021SD03]</t>
  </si>
  <si>
    <t>Key Special Project for Introduced Talents Team of Southern Marine Science and Engineering Guangdong Laboratory (Guangzhou); Central Public-interest Scientific Institution Basal Research Fund, CAFS; Central Public-interest Scientific Institution Basal Research Fund, South China Sea Fisheries Research Institute, CAFS</t>
  </si>
  <si>
    <t>The authors thank the anonymous editors and reviewers for their comments. This work was supported by the Key Special Project for Introduced Talents Team of Southern Marine Science and Engineering Guangdong Laboratory (Guangzhou) (Grant number GML2019ZD0402) , Central Public-interest Scientific Institution Basal Research Fund, CAFS (Grant number 2020TD15) , and the Central Public-interest Scientific Institution Basal Research Fund, South China Sea Fisheries Research Institute, CAFS (Grant number 2021SD03) .</t>
  </si>
  <si>
    <t>10.1016/j.envres.2022.113100</t>
  </si>
  <si>
    <t>0N1FZ</t>
  </si>
  <si>
    <t>WOS:000782593600004</t>
  </si>
  <si>
    <t>Rouane-Hacene, O; Boutiba, Z; Bethaouari, B; Guibbotini-Sabatier, ME; Francour, P; Faverney, CRD</t>
  </si>
  <si>
    <t>Rouane-Hacene, Omar; Boutiba, Zitouni; Bethaouari, Benkhedda; Guibbotini-Sabatier, Marlette E.; Francour, Patrice; Faverney, Christine Risso-de</t>
  </si>
  <si>
    <t>Seasonal assessment of biological indices, bioaccumulation and bioavailability of heavy metals in mussels Mytilus galloprovincialis from Algerian west coast, applied to environmental monitoring</t>
  </si>
  <si>
    <t>OCEANOLOGIA</t>
  </si>
  <si>
    <t>Environmental monitoring; Biological indices; Bioaccumulation; Heavy metals; Mussels; Mediterranean Sea</t>
  </si>
  <si>
    <t>PERNA-VIRIDIS; GREEN MUSSEL; TRACE-ELEMENTS; SHELL GROWTH; BODY-WEIGHT; EDULIS L.; SEA; POLLUTION; COPPER; CD</t>
  </si>
  <si>
    <t>The aim of the present work is to broaden our knowledge on the variability of trace metals in mussel tissues, focusing on seasonal fluctuations in the three different sampling sites of Algerian west coast (Oran Harbor (Si), Ain Defla (S2) and Hadjaj (S3)). For this purpose, the bioavailability (metal indices) and bioaccumulation (metal concentrations in soft tissues) of heavy metals (Zn, Cu, Pb, and Cd), and the physiological characteristics (e.g. biological indices such as condition index (CI)) of mussels Mytilus galloprovincialis have been assessed and related to seasons and sites. In Si, the highest levels of metal concentrations and indices were obtained in mussels sampled in winter for Zn, Cu and Cd, but in summer for Pb. The biological indices significantly decreased in winter. In S2, the levels of concentrations and indices of all metals varied whatever the seasons, excepting in summer where the values were the lowest. In summer and spring, the biological indices were lower than in autumn and winter. The low growth of organisms in spring and summer might be correlated to the reproductive period and the low trophic level known in S2. S3, considered as a pristine area, showed low metal concentrations and indices, and high biological indices, reflecting the favorable physiological conditions for the mussel growth. This approach might be used in the monitoring of the quality of coastal waters and the present work provided a useful data set for Mediterranean monitoring network. (C) 2015 Institute of Oceanology of the Polish Academy of Sciences. Production and hosting by Elsevier Sp. z o.o.</t>
  </si>
  <si>
    <t>[Rouane-Hacene, Omar; Boutiba, Zitouni; Bethaouari, Benkhedda] Univ Oran 1 Ahmed Ben Bella, LRSE, Dept Biol, BP 1524, El Mnaouer 31000, Oran, Algeria; [Guibbotini-Sabatier, Marlette E.; Francour, Patrice; Faverney, Christine Risso-de] Univ Nice Sophia Antipolis, EA ECOMERS 4228, UFR Sci, F-06108 Nice 2, France</t>
  </si>
  <si>
    <t>Universite Cote d'Azur</t>
  </si>
  <si>
    <t>Rouane-Hacene, O (corresponding author), Univ Oran 1 Ahmed Ben Bella, LRSE, Dept Biol, BP 1524, El Mnaouer 31000, Oran, Algeria.</t>
  </si>
  <si>
    <t>rouaneho@gmail.com</t>
  </si>
  <si>
    <t>POLISH ACAD SCIENCES INST OCEANOLOGY</t>
  </si>
  <si>
    <t>SOPOT</t>
  </si>
  <si>
    <t>POWSTANCOW WASZAWY 55, PL-81-712 SOPOT, POLAND</t>
  </si>
  <si>
    <t>0078-3234</t>
  </si>
  <si>
    <t>2300-7370</t>
  </si>
  <si>
    <t>Oceanologia</t>
  </si>
  <si>
    <t>10.1016/j.oceano.2015.07.004</t>
  </si>
  <si>
    <t>CR5XB</t>
  </si>
  <si>
    <t>WOS:000361416600007</t>
  </si>
  <si>
    <t>Arini, A; Daffe, G; Gonzalez, P; Feurtet-Mazel, A; Baudrimont, M</t>
  </si>
  <si>
    <t>Arini, A.; Daffe, G.; Gonzalez, P.; Feurtet-Mazel, A.; Baudrimont, M.</t>
  </si>
  <si>
    <t>Detoxification and recovery capacities of Corbicula fluminea after an industrial metal contamination (Cd and Zn): A one-year depuration experiment</t>
  </si>
  <si>
    <t>Depuration; Cadmium; Zinc; Metallothionein; Gene expression; Corbicula fluminea</t>
  </si>
  <si>
    <t>INDUCED VENTILATORY ACTIVITY; METALLOTHIONEIN RESPONSE; CRASSOSTREA-VIRGINICA; ZINC BIOACCUMULATION; RUDITAPES-DECUSSATUS; AMERICAN OYSTER; HEAVY-METALS; CADMIUM; ACCUMULATION; EXPOSURE</t>
  </si>
  <si>
    <t>This study aimed to assess the recovery capacity of the freshwater bivalve Corbicula fluminea subjected to industrial metal discharges (Cd, Zn). After a 24-day exposure in a metal-contaminated river, bivalves were transferred and maintained in the laboratory for one year under metal-free conditions. Metal accumulation, metallothionein production and genetic expressions of genes involved in metal stress were studied. Results demonstrated the high persistence of Cd in tissues (only 73% eliminated after 365 days) whereas Zn was rapidly depurated. The Cd half-life was estimated around 240 days. Metallothioneins were strongly induced within the 28 first days of decontamination, then decreased by 45% after 365 days. The metal exposure of bivalves led to a significant gene induction. After 28 days, most of the genes were no longer overexpressed, suggesting that the bivalves may withstand small amounts of non-essential metals in their tissues without showing signs of detrimental effects on the tested genes. (C) 2014 Elsevier Ltd. All rights reserved.</t>
  </si>
  <si>
    <t>[Arini, A.; Feurtet-Mazel, A.; Baudrimont, M.] Univ Bordeaux 1, UMR CNRS EPOC 5805, F-33120 Arcachon, France; [Daffe, G.; Gonzalez, P.] CNRS, UMR 5805, EPOC, F-33405 Talence, France</t>
  </si>
  <si>
    <t>Universite de Bordeaux; Centre National de la Recherche Scientifique (CNRS); CNRS - National Institute for Earth Sciences &amp; Astronomy (INSU); Centre National de la Recherche Scientifique (CNRS); CNRS - National Institute for Earth Sciences &amp; Astronomy (INSU)</t>
  </si>
  <si>
    <t>Baudrimont, M (corresponding author), Univ Bordeaux 1, UMR CNRS EPOC 5805, Pl Docteur Peyneau, F-33120 Arcachon, France.</t>
  </si>
  <si>
    <t>Gonzalez, Patrice/0000-0003-2628-2993; Baudrimont, Magalie/0000-0001-9901-8435</t>
  </si>
  <si>
    <t>Agence Nationale de la Recherche (ANR) through its program CES (Contamination Ecosystemes Sante) [ANR 08-CES-014]</t>
  </si>
  <si>
    <t>Agence Nationale de la Recherche (ANR) through its program CES (Contamination Ecosystemes Sante)(Agence Nationale de la Recherche (ANR))</t>
  </si>
  <si>
    <t>This work was supported by the Agence Nationale de la Recherche (ANR) through its program CES (Contamination Ecosystemes Sante) under the reference ANR 08-CES-014 and developed in the RE-SYST project. We would like to thank Veronique Duflo from the EPOC laboratory for her support in fieldwork. Finally we thank the UMICORE group (Viviez site) for their collaboration.</t>
  </si>
  <si>
    <t>10.1016/j.envpol.2014.04.012</t>
  </si>
  <si>
    <t>AM3SX</t>
  </si>
  <si>
    <t>WOS:000339774200010</t>
  </si>
  <si>
    <t>Aguilar-Martínez, R; Greenwood, R; Mills, GA; Vrana, B; Palacios-Corvillo, MA; Gómez-Gómez, MM</t>
  </si>
  <si>
    <t>Aguilar-Martinez, Rocio; Greenwood, Richard; Mills, Graham A.; Vrana, Branislav; Palacios-Corvillo, Maria A.; Gomez-Gomez, Maria M.</t>
  </si>
  <si>
    <t>Assessment of Chemcatcher passive sampler for the monitoring of inorganic mercury and organotin compounds in water</t>
  </si>
  <si>
    <t>water monitoring; passive sampling; Chemcatcher; mercury; organotin compounds; GC-ICP/MS</t>
  </si>
  <si>
    <t>SEMIPERMEABLE-MEMBRANE DEVICES; ORGANIC POLLUTANTS; SPECIATION ANALYSIS; BUTYLTIN COMPOUNDS; BLUE MUSSELS; SEA-WATER; METALS; CONTAMINANTS; SYSTEM; DGT</t>
  </si>
  <si>
    <t>Several configurations of receiving disks and diffusion membranes were tested for monitoring mercury and organotin compounds (monobutyltin, dibutyltin, tributyltin, and triphenyltin) in water with a passive sampler. This passive sampler is based on the diffusion of these compounds through a specific diffusion-limiting membrane and their subsequent accumulation on a specific receiving phase, all materials being commercially available. The proposed sampler for inorganic mercury comprises a 47-mm Empore(TM) chelating disk as receiving phase and polyethersulfone as diffusion membrane. For monitoring organotins, the receiving phase is a 47-mm Empore(TM) C-18 disk, and the diffusion membrane is cellulose acetate. ICP-MS and GC-ICPMS/GC-FPD were used for inorganic mercury and the organotins analysis, respectively. The effects of environmental variables such as pH and salinity that could influence accumulation of test substances in receiving phase were studied. Linear uptake for all compounds was observed for at least 14 days of exposure at a constant aqueous analyte concentration in a flow-through system under controlled conditions of temperature, turbulence, and analyte concentration. Compound-specific sampling rates at 11 degrees C and simulated water turbulence of 40cms(-1) varied between 0.018 and 0.137Ld(-1). Compounds collected by the sampler exhibited detection limits ranging between 0.7 and 5.9ngL(-1). The feasibility of using these samplers in the field was tested in a polluted commercial harbour. The behaviour of the samplers to monitor target compounds was compared with those obtained from spot samples of water taken throughout the field deployment period. Data from laboratory studies and field trial support the feasibility of these samplers to measure the freely dissolved fraction of these important target analytes in water.</t>
  </si>
  <si>
    <t>[Aguilar-Martinez, Rocio; Palacios-Corvillo, Maria A.] Univ Complutense Madrid, Dept Analyt Chem, E-28040 Madrid, Spain; [Greenwood, Richard; Vrana, Branislav] Univ Portsmouth, Sch Biol Sci, Portsmouth PO1 2DY, Hants, England; [Mills, Graham A.] Univ Portsmouth, Sch Pharm &amp; Biomed Sci, Portsmouth PO1 2DT, Hants, England</t>
  </si>
  <si>
    <t>Complutense University of Madrid; University of Portsmouth; University of Portsmouth</t>
  </si>
  <si>
    <t>Palacios-Corvillo, MA (corresponding author), Univ Complutense Madrid, Dept Analyt Chem, Ciudad Univ, E-28040 Madrid, Spain.</t>
  </si>
  <si>
    <t>Vrana, Branislav/J-1905-2019; Gomez-Gomez, M. Milagros/H-8589-2017</t>
  </si>
  <si>
    <t>Gomez-Gomez, M. Milagros/0000-0002-9904-4681; Vrana, Branislav/0000-0003-4221-5774</t>
  </si>
  <si>
    <t>10.1080/03067310701461870</t>
  </si>
  <si>
    <t>250YC</t>
  </si>
  <si>
    <t>WOS:000252336200001</t>
  </si>
  <si>
    <t>LARSEN, LF; BJERREGAARD, P</t>
  </si>
  <si>
    <t>THE EFFECT OF SELENIUM ON THE HANDLING OF MERCURY IN THE SHORE CRAB CARCINUS-MAENAS</t>
  </si>
  <si>
    <t>3rd International Conference on Trace Metals in the Aquatic Environment</t>
  </si>
  <si>
    <t>MAY 16-20, 1994</t>
  </si>
  <si>
    <t>AARHUS, DENMARK</t>
  </si>
  <si>
    <t>CADMIUM; FOOD</t>
  </si>
  <si>
    <t>By means of the Hg-203 the effects of selenite on accumulation, elimination and tissue distribution of low levels of organic and inorganic mercury in the shore crab Carcinus maenas were investigated, Selenite in food or seawater seemed to prompt C. maenas to eat more food contaminated with organic mercury, but did not consistently alter the assimilation efficiency of organic mercury, However, assimilation of organic mercury was higher from homogenized mussel in gelatinous cubes with added organic mercury, than from mussels exposed to organic mercury in seawater. Elimination of injected inorganic mercury from the haemolymph was initially speeded up by selenite in seawater, whereas elimination of injected organic mercury from the haemolymph seemed to be slowed down initially. Selenite in seawater was found to promote translocation of injected organic mercury to the muscles. Selenite given in the food, but not selenite in the seawater, had the same effect on ingested organic mercury.</t>
  </si>
  <si>
    <t>ODENSE UNIV, INST BIOL, ECOTOXICOL GRP, DK-5230 ODENSE M, DENMARK</t>
  </si>
  <si>
    <t>10.1016/0025-326X(95)00028-L</t>
  </si>
  <si>
    <t>RU551</t>
  </si>
  <si>
    <t>WOS:A1995RU55100012</t>
  </si>
  <si>
    <t>Davies, NA; Simkiss, K</t>
  </si>
  <si>
    <t>The uptake of zinc from artificial, sediments by Mytilus edulis</t>
  </si>
  <si>
    <t>JOURNAL OF THE MARINE BIOLOGICAL ASSOCIATION OF THE UNITED KINGDOM</t>
  </si>
  <si>
    <t>HEAVY-METALS; MUSSEL; ACCUMULATION; CADMIUM; WATER; SEA</t>
  </si>
  <si>
    <t>The mussel Mytilus edulis (Mollusca: Bivalvia) feeds on suspended matter filtered from the sea-water by cilia on the gill surfaces. The bivalve will clear the inhalant water of all particles &gt;2-3 mu m including both sediment and organic matter. Marine sediments act as sinks for a variety of pollutants which may be concentrated up to 1000 fold above water levels. In a series of experiments, the uptake of zinc by M. edulis from filtered sea-water was compared with that from sea-water containing particulate matter acting as model sediments. The materials were two different ion-exchange resins, inorganic granules and hydroxyapatite particles. The accumulation of zinc from the particles was related to the amount of zinc adsorbed by the particles and to their surface properties.</t>
  </si>
  <si>
    <t>Davies, NA (corresponding author), UNIV READING, SCH ANIM &amp; MICROBIAL SCI, POB 228, READING RG6 6AJ, BERKS, ENGLAND.</t>
  </si>
  <si>
    <t>0025-3154</t>
  </si>
  <si>
    <t>J MAR BIOL ASSOC UK</t>
  </si>
  <si>
    <t>J. Mar. Biol. Assoc. U.K.</t>
  </si>
  <si>
    <t>10.1017/S0025315400040960</t>
  </si>
  <si>
    <t>VW189</t>
  </si>
  <si>
    <t>WOS:A1996VW18900015</t>
  </si>
  <si>
    <t>Muñoz-Barbosa, A; Gutiérrez-Galindo, EA; Flores-Muñoz, G</t>
  </si>
  <si>
    <t>Mytilus californianus as an indicator of heavy metals on the northwest coast of Baja California, Mexico</t>
  </si>
  <si>
    <t>Mytilus californianus; heavy metals; Mexico</t>
  </si>
  <si>
    <t>LEAD; CADMIUM; MUSSEL; EDULIS; POLLUTION; WATERS; COPPER; TRENDS; MARINE; BORDER</t>
  </si>
  <si>
    <t>Samples of Mytilus californianus were analyzed to determine the spatial and temporal distribution of Ag, Al, Cd, Cr, Cu, Mn, Pb and Zn concentrations on the northwest coast of Baja California and to compare the results with levels reported for California, USA. The samples were collected at eight sites from the US-Mexican border to San Quintin, BC (300 km south of the border) in February and July 1982 and 1994. During both years, north-south gradients in the concentration of Ag and Pb were observed. with the highest values close to the US-Mexican border (Ag = 0.60-1.54 and Pb = 0.21-2.89 mu g g(-1)) and the lowest in the southern part of the study area (Ag = 0.05-0.10 and Pb = not detectable 0.03 mu g g(-1)). The Ag and Pb gradients suggest that their distributions are affected by anthropogenic activities close to the US-Mexican border. South-north gradients in the concentration of Cd (minimum = 0.59-2.16 and maximum = 2.61-12.93 mu g g(-1)), for both 1982 and 1994, were observed. The geographic annual means of Pb for California (average of six stations along the entire state) were significantly higher than those of this study (average of the eight sampling sites) in 1982 and 1994. Cu in California was significantly greater than that of this study only in 1994. Cluster analyses on all metals indicate three similar geographic zones in 1982 and 1994, suggesting a relative consistency in the processes that determine the spatial variability of the concentration of some metals in M. californianus on the northwest coast of Baja California. (C) 2000 Elsevier Science Ltd. All rights reserved.</t>
  </si>
  <si>
    <t>Univ Autonoma Baja California, Inst Invest Oceanol, Ensenada, Baja California, Mexico</t>
  </si>
  <si>
    <t>Universidad Autonoma de Baja California</t>
  </si>
  <si>
    <t>Muñoz-Barbosa, A (corresponding author), Univ Autonoma Baja California, Inst Invest Oceanol, POB 2516, Ensenada, Baja California, Mexico.</t>
  </si>
  <si>
    <t>10.1016/S0141-1136(99)00052-5</t>
  </si>
  <si>
    <t>294DD</t>
  </si>
  <si>
    <t>WOS:000085895000002</t>
  </si>
  <si>
    <t>ETXEBERRIA, M; SASTRE, I; CAJARAVILLE, MP; MARIGOMEZ, I</t>
  </si>
  <si>
    <t>DIGESTIVE LYSOSOME ENLARGEMENT INDUCED BY EXPERIMENTAL EXPOSURE TO METALS (CU, CD, AND ZN) IN MUSSELS COLLECTED FROM A ZINC-POLLUTED SITE</t>
  </si>
  <si>
    <t>MYTILUS-EDULIS; QUANTITATIVE ALTERATIONS; LITTORINA-LITTOREA; RESPONSES; CELLS; SYSTEM; HYDROCARBONS; LATENCY; WINKLES; CADMIUM</t>
  </si>
  <si>
    <t>This investigation was carried out to quantify changes in the structure of the digestive lysosomes of mussels, Mytilus galloprovincialis, exposed to sublethal concentrations of metals, in both field and laboratory conditions. Digestive lysosomes were automatically measured in an image analysis system to calculate several stereological parameters (volume density, surface density, surface to volume ratio, and numerical density) after the histochemical demonstration of beta-glucuronidase activity on cryotome sections. The field study revealed that increasing environmental levels of bioavailable zinc (Zn) are associated with enlarged digestive lysosomes in mussels living in their natural habitat. When these Zn-polluted mussels were depurated in clean seawater for short time periods (1-week acclimation plus 6 experimental days), the digestive lysosomal size was reduced significantly. After longer depuration periods (over 20 experimental days), the stress due to laboratory handling provoked reduced numbers of large digestive lysosomes. On the other hand, the subsequent laboratory exposure to Zn and to other metals (copper, Cu, and cadmium, Cd) caused an enlargement in the digestive lysosomes of Zn-polluted mussels beyond that produced by Zn-pollution in the field. In summary, the enlargement of digestive lysosomes reactive to beta-glucuronidase is a sensitive biomarker for non-specific environmental stress induced by sublethal concentrations of bioavailable metals. In addition, we propose the four studied stereological parameters, calculated by means of automated image analysis, as quick, reliable, and useful measurements of such lysosomal enlargement.</t>
  </si>
  <si>
    <t>EUSKAL HERRIKO UNIBERTSITATEA,FAK ZIENTZI,BIOL ZELULARRA &amp; ZIENTZIA MORFOL SAILA,E-48080 BILBAO,SPAIN</t>
  </si>
  <si>
    <t>Cajaraville, Miren/I-4757-2015; MARIGOMEZ ALLENDE, Ionan/C-3909-2017</t>
  </si>
  <si>
    <t>MARIGOMEZ ALLENDE, Ionan/0000-0001-6274-541X</t>
  </si>
  <si>
    <t>PD585</t>
  </si>
  <si>
    <t>WOS:A1994PD58500009</t>
  </si>
  <si>
    <t>Vélez, N; Bessudo, S; Barragán-Barrera, DC; Ladino, F; Bustamante, P; Luna-Acosta, A</t>
  </si>
  <si>
    <t>Velez, Natalia; Bessudo, Sandra; Barragan-Barrera, Dalia C.; Ladino, Felipe; Bustamante, Paco; Luna-Acosta, Andrea</t>
  </si>
  <si>
    <t>Mercury concentrations and trophic relations in sharks of the Pacific Ocean of Colombia</t>
  </si>
  <si>
    <t>Sharks; Total mercury; Stable isotopes; Human health risks; Trophic ecology; Colombian Pacific</t>
  </si>
  <si>
    <t>SCALLOPED HAMMERHEAD SHARK; GULF-OF-CALIFORNIA; SPHYRNA-LEWINI; STABLE-ISOTOPE; FEEDING-HABITS; FIN; MUSCLE; COAST; FISH; GOLD</t>
  </si>
  <si>
    <t>Sharks are fished for human consumption in Colombia, and fins are exported illegally to international markets. The goal was to identify differences in total mercury (THg) concentrations in fins and muscles of shark species seized in the Buenaventura port (Colombian Pacific), and to assess potential human health risks related to shark consumption. Seven species were considered in this study: Pelagic Thresher (Alopias pelagicus), Pacific Smalltail Shark (Carcharhinus cerdale), Brown Smoothhound (Mustelus henlei), Sicklefin Smoothhound (Mustelus lunulatus), Scalloped Bonnethead (Sphyrna corona), Scalloped Hammerhead (Sphyrna lewini), and Bonnethead Shark (Sphyrna tiburo), and THg was analyzed in shark tissues. 24% muscle samples concentrations were above international recommended limits for human consumption, especially for A. pelagicus and S. lewini. Stable isotopes (delta 13C and delta 15N) analysis showed a foraging overlapping in coastal habitats, where overfishing usually occurs. This study provides useful scientific information to develop management plans for sharks in Colombia and neighboring countries.</t>
  </si>
  <si>
    <t>[Velez, Natalia; Bessudo, Sandra; Ladino, Felipe] Fdn Malpelo &amp; Otros Ecosistemas Marinos, Parques Nacl Nat Colombia, Carrera 11 87-51, Bogota, Colombia; [Velez, Natalia; Luna-Acosta, Andrea] Pontificia Univ Javeriana, Fac Estudios Ambientales &amp; Rurales, Dept Ecol &amp; Terr, Transversal 4 42-00, Bogota, Colombia; [Barragan-Barrera, Dalia C.] Ctr Invest Oceanog &amp; Hidrog Caribe CIOH, Sect Manzanillo Escuela Naval Cadetes Almirante P, Direcc Gen Maritima, Cartagena De Indias, Colombia; [Barragan-Barrera, Dalia C.] Corp Ctr Excellence Marine Sci CEMarin, Carrera 21 35-53, Bogota, Colombia; [Barragan-Barrera, Dalia C.] Fdn Macuat Colombia, Calle 27 79-167, Medellin, Colombia; [Bustamante, Paco] La Rochelle Univ, Littoral Environm &amp; Soc LIENSs, UMR 7266 CNRS, 2 Rue Olympe Gouges, F-17000 La Rochelle, France; [Bustamante, Paco] Inst Univ France IUF, 1 Rue Descartes, F-75005 Paris, France</t>
  </si>
  <si>
    <t>Pontificia Universidad Javeriana; Centre National de la Recherche Scientifique (CNRS); CNRS - Institute of Ecology &amp; Environment (INEE); Institut Universitaire de France</t>
  </si>
  <si>
    <t>Vélez, N (corresponding author), Fdn Malpelo &amp; Otros Ecosistemas Marinos, Parques Nacl Nat Colombia, Carrera 11 87-51, Bogota, Colombia.;Vélez, N (corresponding author), Pontificia Univ Javeriana, Fac Estudios Ambientales &amp; Rurales, Dept Ecol &amp; Terr, Transversal 4 42-00, Bogota, Colombia.</t>
  </si>
  <si>
    <t>n.velez858@gmail.com</t>
  </si>
  <si>
    <t>Barragán-Barrera, Dalia/ABA-2913-2020; Bustamante, Paco/G-5833-2011</t>
  </si>
  <si>
    <t>Bustamante, Paco/0000-0003-3877-9390; Barragan-Barrera, Dalia C./0000-0003-4023-9908</t>
  </si>
  <si>
    <t>CPER (Contrat de Projet Etat-Region); FEDER (Fonds Europeen de Developpement Regional); Corporation Center of Excellence in Marine Sciences -CEMarin; IUF (Institut Universitaire de France); Colombian Sciences Ministry [848]</t>
  </si>
  <si>
    <t>CPER (Contrat de Projet Etat-Region); FEDER (Fonds Europeen de Developpement Regional)(European Union (EU)); Corporation Center of Excellence in Marine Sciences -CEMarin; IUF (Institut Universitaire de France); Colombian Sciences Ministry</t>
  </si>
  <si>
    <t>We appreciate support of C. Churlaud and M. Brault-Favrou from the Plateforme Analyses Elementaires of the LIENSs laboratory for their support during THg analyses, and G. Guillou from the Plateforme Analyses Isotopiques of the LIENSs laboratory for running stable isotope analyses. Thanks to the CPER (Contrat de Projet Etat-Region) and the FEDER (Fonds Europeen de Developpement Regional) for funding the AMA, and the IRMS of LIENSs laboratory. We thank the Malpelo and Other Marine Ecosystems Foundation, the Unit of National Natural Parks of Colombia, and Fondo Patrimonial Fundacion Malpelo for their support in collecting and providing the samples. The Corporation Center of Excellence in Marine Sciences -CEMarin also supported part of this study (D. Barragan, 2018). Special thanks to Dr. Andrea Paz for her essential help with the statistical analyses using the R platform. The IUF (Institut Universitaire de France) is acknowledged for its support to P. Bustamante as a Senior Member, and the Colombian Sciences Ministry for granting a Postdoctoral Fellowship to D. Barrag ' an through the Francisco Jose de Caldas Fund (Call No 848 of 2019).</t>
  </si>
  <si>
    <t>B</t>
  </si>
  <si>
    <t>10.1016/j.marpolbul.2021.113109</t>
  </si>
  <si>
    <t>WZ2HM</t>
  </si>
  <si>
    <t>WOS:000719792800015</t>
  </si>
  <si>
    <t>Hamani, V; Ory, P; Bodet, PE; Murillo, L; Graber, M</t>
  </si>
  <si>
    <t>Hamani, Vincent; Ory, Pascaline; Bodet, Pierre-Edouard; Murillo, Laurence; Graber, Marianne</t>
  </si>
  <si>
    <t>Untargeted Metabolomics Reveals a Complex Impact on Different Metabolic Pathways in Scallop Mimachlamys varia (Linnaeus, 1758) after Short-Term Exposure to Copper at Environmental Dose</t>
  </si>
  <si>
    <t>copper; metabolomics; UHPLC; QToF mass spectrometry; scallop</t>
  </si>
  <si>
    <t>CHLAMYS-VARIA; SUBTIDAL EPIBIOTA; LIPID-COMPOSITION; OXIDATIVE STRESS; MARINE BIVALVE; MANILA CLAM; RESPONSES; GLUTATHIONE; CYCLES; EDULIS</t>
  </si>
  <si>
    <t>Ports are a good example of how coastal environments, gathering a set of diverse ecosystems, are subjected to pollution factors coming from human activities both on land and at sea. Among them, trace element as copper represents a major factor. Abundant in port ecosystem, copper is transported by runoff water and results from diverse port features (corrosion of structures, fuel, anti-fouling products, etc.). The variegated scallop Mimachlamys varia is common in the Atlantic port areas and is likely to be directly influenced by copper pollution, due to its sessile and filtering lifestyle. Thus, the aim of the present study is to investigate the disruption of the variegated scallop metabolism, under a short exposure (48 h) to a copper concentration frequently encountered in the waters of the largest marina in Europe (82 mu g/L). For this, we chose a non-targeted metabolomic approach using ultra-high performance liquid chromatography coupled to high resolution mass spectrometry (UHPLC-HRMS), offering a high level of sensitivity and allowing the study without a priori of the entire metabolome. We described 28 metabolites clearly modulated by copper. They reflected the action of copper on several biological functions such as osmoregulation, oxidative stress, reproduction and energy metabolism.</t>
  </si>
  <si>
    <t>[Hamani, Vincent; Ory, Pascaline; Bodet, Pierre-Edouard; Murillo, Laurence; Graber, Marianne] La Rochelle Univ, CNRS, UMR 7266, LIENSs, 2 Rue Olympe Gouges, F-17000 La Rochelle, France</t>
  </si>
  <si>
    <t>Hamani, V (corresponding author), La Rochelle Univ, CNRS, UMR 7266, LIENSs, 2 Rue Olympe Gouges, F-17000 La Rochelle, France.</t>
  </si>
  <si>
    <t>vincent.hamani@univ-lr.fr; pascaline.ory01@univ-lr.fr; pierreedouard.bodet@univ-lr.fr; laurence.murillo@univ-lr.fr; marianne.graber@univ-lr.fr</t>
  </si>
  <si>
    <t>MURILLO, Laurence/0000-0002-0934-4227; Bodet, Pierre-Edouard/0000-0003-1904-4823; Graber, Marianne/0000-0002-5696-2407; HAMANI, Vincent/0000-0003-0695-8933</t>
  </si>
  <si>
    <t>10.3390/metabo11120862</t>
  </si>
  <si>
    <t>XW3YU</t>
  </si>
  <si>
    <t>WOS:000735559700001</t>
  </si>
  <si>
    <t>Auernheimer, C; Chinchon, S; Pina, JA</t>
  </si>
  <si>
    <t>Lead pollution in bivalve shells. Mar Menor, Spain</t>
  </si>
  <si>
    <t>ARCHIVES DES SCIENCES</t>
  </si>
  <si>
    <t>lead pollution; bivalve shells; Mediterranean sea; Spain</t>
  </si>
  <si>
    <t>`Mar Menor is a coastal lagoon situated in the SE oi Spain (Mediterranean Sea) with high concentrations of Ph, especially in the south. The shells of the Cerastoderma edule and Venerupis aurea bivalves demonstrate a significant difference in Ph concentrations amongst the shellfish living in the south (100 and 47ppm), and those living in the north with relatively cleaner water (13 and 7 ppm). Nevertheless, both of these sampling points have greater concentrations of Ph than other points in the Mediterranean, which have been taken as ''controls'' for comparison (3 and 3 ppm). The calcareous exoskeletons of these organisms are good indicators of the presence of minor elements in the waters.</t>
  </si>
  <si>
    <t>Auernheimer, C (corresponding author), UNIV ALICANTE,EARTH &amp; ENVIRONM SCI DEPT,E-03080 ALICANTE,SPAIN.</t>
  </si>
  <si>
    <t>chinchon-yepes, servando/Q-8191-2019</t>
  </si>
  <si>
    <t>chinchon-yepes, servando/0000-0002-3881-9869</t>
  </si>
  <si>
    <t>SOC PHYS HIST NATURELLE GENEVE</t>
  </si>
  <si>
    <t>GENEVA 6</t>
  </si>
  <si>
    <t>MUSEUM HIST NATURELLE 1 ROUTE DE MALAGNOU CASE POSTALE 6434, CH-1211 GENEVA 6, SWITZERLAND</t>
  </si>
  <si>
    <t>0252-9289</t>
  </si>
  <si>
    <t>ARCH SCI</t>
  </si>
  <si>
    <t>Arch. Sci.</t>
  </si>
  <si>
    <t>VR923</t>
  </si>
  <si>
    <t>WOS:A1996VR92300001</t>
  </si>
  <si>
    <t>Koutsogiannaki, S; Franzellitti, S; Kalogiannis, S; Fabbri, E; Dimitriadis, VK; Kaloyianni, M</t>
  </si>
  <si>
    <t>Koutsogiannaki, Sophia; Franzellitti, Silvia; Kalogiannis, Stavros; Fabbri, Elena; Dimitriadis, Vasileios K.; Kaloyianni, Martha</t>
  </si>
  <si>
    <t>Effects of cadmium and 17β-estradiol on Mytilus galloprovincialis redox status. Prooxidant-antioxidant balance (PAB) as a novel approach in biomonitoring of marine environments</t>
  </si>
  <si>
    <t>Mussels; Hemocytes; Cadmium; 17 beta-Estradiol; Prooxidant-antioxidant balance; ROS; mRNA expression levels; Apoptosis</t>
  </si>
  <si>
    <t>OXIDATIVE STRESS; ENDOCRINE DISRUPTION; CAGED MUSSELS; DNA-DAMAGE; APOPTOSIS; RESPONSES; BIOMARKERS; ASSAY; PARAMETERS; HEMOCYTES</t>
  </si>
  <si>
    <t>Cadmium and 17 beta-estradiol are rapidly accumulated in mussel tissues, making mussels excellent pollution sentinel organisms. The aim of the present study was to compare the oxidative responses of the mussels after I, 3 and 7 days of exposure to cadmium with those to 17 beta-estradiol and subsequently, to suggest a multi-parametric approach for biomonitoring studies. Our results showed that environmentally relevant concentrations of either cadmium or 17 beta-estradiol for 1, 3 and 7 days induced oxidative stress in hemocytes of exposed mussels. The latter was determined by significantly increased ROS levels and apoptosis, by suppression of antioxidant enzymes catalase (CAT), superoxide dismutase (SOD) and glutathione-S-transferase (GST) expression levels and subsequent increased prooxidant levels, as measured by prooxidant-antioxidant balance (PAB) assay. To our knowledge this is the first time that prooxidant-antioxidant balance is evaluated in invertebrates as an index of oxidative stress. The simultaneous use of the parameters of prooxidant-antioxidant balance and antioxidant enzymes expression patterns, in combination with ROS production levels and apoptosis, in mussel hemocytes is suggested as an approach that may help to better evaluate the impact of environmental pollution on marine organisms and thereupon ecosystems. (C) 2014 Elsevier Ltd. All rights reserved.</t>
  </si>
  <si>
    <t>[Koutsogiannaki, Sophia; Kaloyianni, Martha] Aristotle Univ Thessaloniki, Physiol Anim Lab, Dept Zool, Sch Biol,Fac Sci, Thessaloniki 54124, Greece; [Franzellitti, Silvia; Fabbri, Elena] Univ Bologna, Interdept Ctr Environm Sci Res, I-48123 Ravenna, Italy; [Kalogiannis, Stavros] Alexander Technol Educ Inst Thessaloniki, Dept Nutr &amp; Dietet, Thessaloniki, Greece; [Franzellitti, Silvia; Fabbri, Elena] Univ Bologna, Dept Biol Geol &amp; Environm Sci, I-40100 Bologna, Italy; [Dimitriadis, Vasileios K.] Aristotle Univ Thessaloniki, Sch Biol, Dept Genet Dev &amp; Mol Biol, Thessaloniki 54124, Greece</t>
  </si>
  <si>
    <t>Aristotle University of Thessaloniki; University of Bologna; International Hellenic University; University of Bologna; Aristotle University of Thessaloniki</t>
  </si>
  <si>
    <t>Koutsogiannaki, S (corresponding author), Aristotle Univ Thessaloniki, Physiol Anim Lab, Dept Zool, Sch Biol,Fac Sci, 422 Curie Blvd, Thessaloniki 54124, Greece.</t>
  </si>
  <si>
    <t>skout@upenn.edu</t>
  </si>
  <si>
    <t>Fabbri, Elena/KAM-0365-2024</t>
  </si>
  <si>
    <t>Franzellitti, Silvia/0000-0001-6104-7812; FABBRI, Elena/0000-0002-9957-8202; Kalogiannis, Stavros/0000-0001-6127-6930; Koutsogiannaki, Sophia/0000-0003-3555-1681</t>
  </si>
  <si>
    <t>European Union (European Social Fund - ESF); Greek National Funds through the Operational Program Education and Lifelong Learning of the National Strategic Reference Framework (NSRF) - Research Funding Program: Heracleitus II. Investing in knowledge society through the European Social Fund</t>
  </si>
  <si>
    <t>European Union (European Social Fund - ESF)(European Union (EU)European Social Fund (ESF)); Greek National Funds through the Operational Program Education and Lifelong Learning of the National Strategic Reference Framework (NSRF) - Research Funding Program: Heracleitus II. Investing in knowledge society through the European Social Fund</t>
  </si>
  <si>
    <t>This research has been co-financed by the European Union (European Social Fund - ESF) and Greek National Funds through the Operational Program Education and Lifelong Learning of the National Strategic Reference Framework (NSRF) - Research Funding Program: Heracleitus II. Investing in knowledge society through the European Social Fund.</t>
  </si>
  <si>
    <t>10.1016/j.marenvres.2014.11.007</t>
  </si>
  <si>
    <t>AZ5JU</t>
  </si>
  <si>
    <t>WOS:000348258300010</t>
  </si>
  <si>
    <t>Merad, I; Bellenger, S; Hichami, A; Khan, NA; Soltani, N</t>
  </si>
  <si>
    <t>Merad, Isma; Bellenger, Sandrine; Hichami, Aziz; Khan, Naim Akhtar; Soltani, Noureddine</t>
  </si>
  <si>
    <t>Effect of cadmium exposure on essential omega-3 fatty acids in the edible bivalve Donax trunculus</t>
  </si>
  <si>
    <t>Donax trunculus; Cadmium; Omega-3 fatty acids; EPA; DHA</t>
  </si>
  <si>
    <t>FATTY-ACID-COMPOSITION; MUSSEL MYTILUS-GALLOPROVINCIALIS; ARGOPECTEN-PURPURATUS LAMARCK; BIOCHEMICAL-COMPOSITION; SEASONAL-VARIATION; LIPID CLASSES; CRASSOSTREA-VIRGINICA; RUDITAPES-DECUSSATUS; SCROBICULARIA-PLANA; MARINE ORGANISMS</t>
  </si>
  <si>
    <t>Donax trunculus is the most consumed bivalve by the local population of the Northeast Algeria for its nutritional value. Therefore, the aim of the current study was to determine the effects of cadmium (Cd), a known toxic metal, on the alterations in main essential omega-3 fatty acids, i.e., eicosapentaenoic acid (EPA; C20:5n-3) and docosahexaenoic acid (DHA; C22:6n-3), in male and female gonads of D. trunculus during the reproduction period at spring (before spawning). Additionally, this work seeks to describe the relation between EPA and DHA with non-methylene-interrupted dienoic (NMID) fatty acids, and explores their possible contribution of to protect against Cd stress. The samples were collected at El Battah, a relatively clean sea shore, and reared in the laboratory. Physico-chemical parameters such as temperature, pH, salinity, and dissolved oxygen were measured. Cd was added to the rearing water at two sublethal concentrations (LC io and LC25-96h, as determined previously). A two-way ANOVA analysis indicated significant effects of concentrations and genders for both fatty acids. Our results showed a significant reduction in EPA and DHA concentrations in the both genders, with a strong effect in females. There was also a negative correlation between NMID fatty acids and the two essential omega-3 fatty acids for each gender.</t>
  </si>
  <si>
    <t>[Merad, Isma; Soltani, Noureddine] Univ Badji Mokhtar Annaba, Lab Appl Anim Biol, Annaba 23000, Algeria; [Bellenger, Sandrine] UBFC, UFR SVTE, INSERM UMR Equipe Lipoprot &amp; Lipid Transfers Ster, 6 Blvd Gabriel, F-21000 Dijon, France; [Hichami, Aziz; Khan, Naim Akhtar] UFR SVTE, INSERM UMR Equipe Physiol Nutr &amp; Toxicol NUTox 12, 6 Blvd Gabriel, F-21000 Dijon, France</t>
  </si>
  <si>
    <t>Universite Badji Mokhtar - Annaba; Universite de Bourgogne; Institut National de la Sante et de la Recherche Medicale (Inserm); Universite de Bourgogne; Institut National de la Sante et de la Recherche Medicale (Inserm); Institut Agro; AgroSup Dijon</t>
  </si>
  <si>
    <t>Merad, I (corresponding author), Univ Badji Mokhtar Annaba, Lab Appl Anim Biol, Annaba 23000, Algeria.</t>
  </si>
  <si>
    <t>meradisma@hotmail.fr; naim.khan@u-bourgogne.fr; noureddine.soltani@univ-annaba.org</t>
  </si>
  <si>
    <t>SOLTANI, noureddine/Z-4919-2019</t>
  </si>
  <si>
    <t>Algerian Fund for Scientific Research of Algeria (Laboratory Applied Animal Biology); Ministry of High Education and Scientific Research of Algeria (CNEPRU) [F01120140104]</t>
  </si>
  <si>
    <t>Algerian Fund for Scientific Research of Algeria (Laboratory Applied Animal Biology); Ministry of High Education and Scientific Research of Algeria (CNEPRU)</t>
  </si>
  <si>
    <t>We are grateful to the members of Physiologie de Nutrition &amp; Toxicologie (NUTox) laboratory (Pr. N. Khan) for technical assistance with GC analyzes. This research was supported by the Algerian Fund for Scientific Research of Algeria (Laboratory Applied Animal Biology to Pr. N. Soltani) and by the Ministry of High Education and Scientific Research of Algeria (CNEPRU Project No F01120140104 to Pr. N. Soltani).</t>
  </si>
  <si>
    <t>10.1007/s11356-017-9031-4</t>
  </si>
  <si>
    <t>GL6CH</t>
  </si>
  <si>
    <t>WOS:000437264700003</t>
  </si>
  <si>
    <t>Sarkar, A; Bhagat, J; Ingole, BS; Rao, DP; Markad, VL</t>
  </si>
  <si>
    <t>Sarkar, Anupam; Bhagat, Jacky; Ingole, Baban S.; Rao, Durga P.; Markad, Vijaykumar L.</t>
  </si>
  <si>
    <t>Genotoxicity of Cadmium Chloride in the Marine Gastropod Nerita chamaeleon Using Comet Assay and Alkaline Unwinding Assay</t>
  </si>
  <si>
    <t>genotoxicity; comet assay; alkaline unwinding assay; gastropods; DNA integrity; cadmium chloride</t>
  </si>
  <si>
    <t>INDUCED DNA-DAMAGE; POLLUTION STRAND BREAKS; IN-VIVO; MYTILUS-GALLOPROVINCIALIS; DREISSENA-POLYMORPHA; DIGESTIVE GLAND; ASTERIAS-RUBENS; HEAVY-METALS; BIOMARKER; MUSSEL</t>
  </si>
  <si>
    <t>This paper presents an evaluation of the genotoxic effects of cadmium chloride (CdCl2) on marine gastropod, Nerita chamaeleon following the technique of comet assay and the DNA alkaline unwinding assay (DAUA). In this study, the extent of DNA damage in gill cells of N. chamaeleon was measured after in vivo exposure to four different concentrations (10, 25, 50, and 75 mu g/L) of CdCl2. In vitro exposure of hydrogen peroxide (H2O2; 1, 10, 25, and 50 mu M) of the gill cells showed a significant increase in the percentage tail DNA, Olive tail moment, and tail length (TL). Significant changes in percentage tail DNA by CdCl2 exposure were observed in all exposed groups of snails with respect to those in control. Exposure to 75 mu g/L of CdCl2 produced significant decrease in DNA integrity as measured by DAUA at all duration with respect to control. In vivo exposure to different concentrations of CdCl2 (10, 25, 50, and 75 mu g/L) to N. chamaeleon showed considerable increase in DNA damage as observed by both alkaline comet assay and the DAUA. The extent of DNA damage in marine gastropods determined by the application of alkaline comet assay and DAUA clearly indicated the genotoxic responses of marine gastropod, N. chamaeleon to a wide range of cadmium concentration in the marine environment. (c) 2013 Wiley Periodicals, Inc. Environ Toxicol 30: 177-187, 2015.</t>
  </si>
  <si>
    <t>[Sarkar, Anupam; Bhagat, Jacky; Rao, Durga P.] Natl Inst Oceanog Dona Paula, CSIR, Chem Oceanog Div, Panaji 403004, Goa, India; [Ingole, Baban S.] Natl Inst Oceanog Dona Paula, CSIR, Div Biol Oceanog, Panaji 403004, Goa, India; [Markad, Vijaykumar L.] Univ Pune, Div Biochem, Dept Chem, Pune 411007, Maharashtra, India</t>
  </si>
  <si>
    <t>Council of Scientific &amp; Industrial Research (CSIR) - India; CSIR - National Institute of Oceanography (NIO); Council of Scientific &amp; Industrial Research (CSIR) - India; CSIR - National Institute of Oceanography (NIO); Savitribai Phule Pune University</t>
  </si>
  <si>
    <t>Bhagat, J (corresponding author), Natl Inst Oceanog Dona Paula, CSIR, Chem Oceanog Div, Panaji 403004, Goa, India.</t>
  </si>
  <si>
    <t>asarkar52@gmail.com; jbhagat@nio.org</t>
  </si>
  <si>
    <t>Ingole, Baban/GLR-9722-2022; bhagat, jacky/A-3892-2019</t>
  </si>
  <si>
    <t>Ingole, Baban/0000-0001-6096-6980; bhagat, jacky/0000-0001-9490-4534</t>
  </si>
  <si>
    <t>Department of Biotechnology, New Delhi, India</t>
  </si>
  <si>
    <t>Department of Biotechnology, New Delhi, India(Department of Biotechnology (DBT) India)</t>
  </si>
  <si>
    <t>Contract grant sponsor: Department of Biotechnology, New Delhi, India</t>
  </si>
  <si>
    <t>10.1002/tox.21883</t>
  </si>
  <si>
    <t>CA1GO</t>
  </si>
  <si>
    <t>WOS:000348661100006</t>
  </si>
  <si>
    <t>Gao, Y; Fang, L; Xiang, QQ; Wang, D; Ding, LY; Ding, CZ; Chen, LQ</t>
  </si>
  <si>
    <t>Gao, Ying; Fang, Li; Xiang, Qian Qian; Wang, Di; Ding, Liu Yong; Ding, Cheng Zhi; Chen, Li Qiang</t>
  </si>
  <si>
    <t>Ecological risk assessment of heavy metals in fish from the Dianchi Lake, China using the integrated biomarker response approach</t>
  </si>
  <si>
    <t>Integrated biomarker response; Biological monitoring; Dianchi Lake; Heavy metals; Ecological risk assessment; Carassius auratus</t>
  </si>
  <si>
    <t>YANGTZE-RIVER; TAIHU LAKE; SEDIMENTS; WATER; POLLUTION; MUSSELS; EUTROPHICATION; INDEX; BIOAVAILABILITY; ACCUMULATION</t>
  </si>
  <si>
    <t>This study used the integrated biomarker response (IBR) index approach to assess the ecological risks of heavy metals in different regions of Dianchi Lake, combined with active monitoring and passive monitoring. The contents of five heavy metals (Cu, As, Cd, Hg, and Pb) and six biomarkers (acetylcholinesterase, sodium-potassium ATPase, metallothionein, superoxide dismutase, glutathione peroxidase, and malondialdehyde) in the muscles of crucians (Carassius auratus) were measured to calculate the IBR value. The results indicate that the contents of heavy metal in the fish under active monitoring and passive monitoring were rather low and did not exceed the National Food Safety Standards of China. The IBR value of day 14 of active monitoring correlated with the heavy metal Cd content in the fish, suggesting a potential risk of Cd pollution in the aquatic environment of Dianchi Lake. The IBR values obtained for different regions of the lake on day 14 can be arranged in the following order: West S3 (9.24) &gt; East S1 (3.97) &gt; South S2 (2.39) &gt; North S4 (0.36). These results suggest a potential risk of heavy metal contamination in the western part of Dianchi Lake.</t>
  </si>
  <si>
    <t>[Gao, Ying; Xiang, Qian Qian] Yunnan Univ, Sch Ecol &amp; Environm Sci, Kunming 650091, Yunnan, Peoples R China; [Gao, Ying; Fang, Li; Wang, Di; Ding, Liu Yong; Ding, Cheng Zhi; Chen, Li Qiang] Yunnan Univ, Yunnan Key Lab Int Rivers &amp; Trans Boundary Ecosec, Inst Int Rivers &amp; Ecosecur, Kunming 650091, Yunnan, Peoples R China; [Xiang, Qian Qian; Ding, Cheng Zhi; Chen, Li Qiang] Yunnan Univ, Yunnan Int Joint Res Ctr Hydro Ecol Sci Engn, Kunming 650091, Yunnan, Peoples R China</t>
  </si>
  <si>
    <t>Yunnan University; Yunnan University; Yunnan University</t>
  </si>
  <si>
    <t>Chen, LQ (corresponding author), Yunnan Univ, Yunnan Key Lab Int Rivers &amp; Trans Boundary Ecosec, Inst Int Rivers &amp; Ecosecur, Kunming 650091, Yunnan, Peoples R China.;Chen, LQ (corresponding author), Yunnan Univ, Yunnan Int Joint Res Ctr Hydro Ecol Sci Engn, Kunming 650091, Yunnan, Peoples R China.</t>
  </si>
  <si>
    <t>chenlq@ynu.edu.cn</t>
  </si>
  <si>
    <t>Chen, Liqiang/0000-0001-5430-4585</t>
  </si>
  <si>
    <t>National Natural Science Foundation of China [21567029]</t>
  </si>
  <si>
    <t>This work was supported by the National Natural Science Foundation of China (Grant No. 21567029).</t>
  </si>
  <si>
    <t>10.1007/s11356-020-10434-7</t>
  </si>
  <si>
    <t>PP6OD</t>
  </si>
  <si>
    <t>WOS:000559954300029</t>
  </si>
  <si>
    <t>Yurchenko, OV; Radashevsky, VI; Hsieh, HL; Reunov, AA</t>
  </si>
  <si>
    <t>Yurchenko, Olga V.; Radashevsky, Vasily I.; Hsieh, Hwey-Lian; Reunov, Arkadiy A.</t>
  </si>
  <si>
    <t>Ultrastructural comparison of the spermatozoa of the Pacific oyster Crassostrea gigas inhabiting polluted and relatively clean areas in Taiwan</t>
  </si>
  <si>
    <t>AQUATIC ECOLOGY</t>
  </si>
  <si>
    <t>Bivalve mollusks; Pollution; Reproduction; Spermatozoa; Taiwan</t>
  </si>
  <si>
    <t>MARINE MOLLUSKS; GREEN OYSTER; SEA-URCHIN; METALS; WATER; ACCUMULATION; APOPTOSIS; EXPOSURE; CADMIUM; COASTAL</t>
  </si>
  <si>
    <t>The ultrastructure of spermatozoa of the Pacific oysters Crassostrea gigas from an industrially polluted area on the Hsinchu City coast and a relatively clean aquaculture area on Penghu Island, Taiwan, was studied. Oyster gonads were sectioned and examined with light and transmission electron microscopes. The number of spermatozoa in the acinus lumen was significantly lower in oysters from the polluted area than that from the relatively clean area (160 +/- A 33 cells per 0.01 mm(2) against 280 +/- A 42 cells per 0.01 mm(2), respectively, P &lt; 0.01). Oysters from the polluted area on the Hsinchu City coast had 26.6% spermatozoa with damaged acrosome, coarsely granular chromatin and electron-lucent areas in the nucleus; cell membrane, mitochondria and flagellum were frequently absent in these spermatozoa. By contrast, oysters from the clean area on Penghu Island had 0.4% spermatozoa with the same impairments. Sea water temperature and salinity were similar in the two areas, whereas concentrations of nitrogenous nutrients and heavy metals (e.g., cadmium, copper, and zinc) were higher in the industrially polluted area. It is suggested that high percentage of impairments in the spermatozoa of oysters from the industrial area is attributable to environmental pollution.</t>
  </si>
  <si>
    <t>[Yurchenko, Olga V.; Radashevsky, Vasily I.; Reunov, Arkadiy A.] Russian Acad Sci, AV Zhirmunsky Inst Marine Biol, Far Eastern Branch, Vladivostok 690041, Russia; [Hsieh, Hwey-Lian] Acad Sinica, Res Ctr Biodivers, Taipei 115, Taiwan</t>
  </si>
  <si>
    <t>Russian Academy of Sciences; National Scientific Center of Marine Biology, Far East Branch of the Russian Academy of Sciences; Academia Sinica - Taiwan</t>
  </si>
  <si>
    <t>Yurchenko, OV (corresponding author), Russian Acad Sci, AV Zhirmunsky Inst Marine Biol, Far Eastern Branch, Paltchevsky St 17, Vladivostok 690041, Russia.</t>
  </si>
  <si>
    <t>olyurchenko@yandex.ru</t>
  </si>
  <si>
    <t>Yurchenko, Olga/O-8452-2015; Radashevsky, Vasily/L-5276-2019</t>
  </si>
  <si>
    <t>Yurchenko, Olga/0000-0001-6499-0195; Radashevsky, Vasily/0000-0003-1578-4904</t>
  </si>
  <si>
    <t>National Science Council of Taiwan (NSC) [94-2621-B-001-014]; Russian Foundation for Basic Research (RFBR) [05-04-90589, RP05B11]; FEB RAS [06-III-A-06-158]; Russian Science Support Foundation</t>
  </si>
  <si>
    <t>National Science Council of Taiwan (NSC)(Ministry of Science and Technology, Taiwan); Russian Foundation for Basic Research (RFBR)(Russian Foundation for Basic Research (RFBR)); FEB RAS(Russian Academy of Sciences); Russian Science Support Foundation(Russian Science Foundation (RSF))</t>
  </si>
  <si>
    <t>Our sincere thanks are due to Denis Fomin for the assistance with electron microscope and to Yana Alexandrova for the help with the preparation of the materials. Financial support was provided by the National Science Council of Taiwan (NSC 94-2621-B-001-014) and Russian Foundation for Basic Research (RFBR 05-04-90589) through Taiwan Russian Joint Research Cooperative Programme (Contract RP05B11), by the grant FEB RAS (06-III-A-06-158), and Russian Science Support Foundation (to A. A. Reunov).</t>
  </si>
  <si>
    <t>1386-2588</t>
  </si>
  <si>
    <t>1573-5125</t>
  </si>
  <si>
    <t>AQUAT ECOL</t>
  </si>
  <si>
    <t>Aquat. Ecol.</t>
  </si>
  <si>
    <t>10.1007/s10452-007-9161-8</t>
  </si>
  <si>
    <t>Ecology; Limnology; Marine &amp; Freshwater Biology</t>
  </si>
  <si>
    <t>436TU</t>
  </si>
  <si>
    <t>WOS:000265439800028</t>
  </si>
  <si>
    <t>Masiol, M; Facca, C; Visin, F; Sfriso, A; Pavoni, B</t>
  </si>
  <si>
    <t>Masiol, Mauro; Facca, Chiara; Visin, Flavia; Sfriso, Adriano; Pavoni, Bruno</t>
  </si>
  <si>
    <t>Interannual heavy element and nutrient concentration trends in the top sediments of Venice Lagoon (Italy)</t>
  </si>
  <si>
    <t>Heavy metals; Nutrients; Factor analysis; Lagoons; Venice</t>
  </si>
  <si>
    <t>OF-VENICE; SURFICIAL SEDIMENTS; CHANGING STATE; METALS; CONTAMINATION; AREA; PHYTOPLANKTON; MERCURY</t>
  </si>
  <si>
    <t>The elemental composition of surficial sediments of Venice Lagoon (Italy) in 1987, 1993, 1998 and 2003 were investigated. Zn and Cr concentrations resulted in higher than background levels, but only Cd and Hg were higher than legal quality standards (Italian Decree 2010/260 and Water Framework Directive 2000/60/EC). Contaminants with similar spatial distribution are sorted into three groups by means of correlation analysis: (i) As, Co, Cd, Cu, Fe, Pb, Zn; (ii) Ni, Cr; (iii) Hg. Interannual concentrations are compared by applying a factor analysis to the matrix of differences between subsequent samplings. A general decrease of heavy metal levels is observed from 1987 to 1993, whereas particularly high concentrations of Ni and Cr are recorded in 1998 as a consequence of intense clam fishing, subsequently mitigated by better prevention of illegal harvesting. Due to the major role played by anthropogenic sediment resuspension, bathymetric variations are also considered. (C) 2014 Elsevier Ltd. All rights reserved.</t>
  </si>
  <si>
    <t>[Masiol, Mauro; Facca, Chiara; Visin, Flavia; Sfriso, Adriano; Pavoni, Bruno] Univ Ca Foscari Venezia, Dipartimento Sci Ambientali Informat &amp; Stat, I-30123 Venice, Italy; [Masiol, Mauro] Univ Birmingham, Sch Geog Earth &amp; Environm Sci, Div Environm Hlth &amp; Risk Management, Birmingham B15 2TT, W Midlands, England</t>
  </si>
  <si>
    <t>Universita Ca Foscari Venezia; University of Birmingham</t>
  </si>
  <si>
    <t>Pavoni, B (corresponding author), Univ Ca Foscari Venezia, Dipartimento Sci Ambientali Informat &amp; Stat, Dorsoduro 2137, I-30123 Venice, Italy.</t>
  </si>
  <si>
    <t>Masiol, Mauro/D-4819-2014; Facca, Chiara/D-4368-2013</t>
  </si>
  <si>
    <t>Masiol, Mauro/0000-0003-0809-9212; Facca, Chiara/0000-0001-5185-9024</t>
  </si>
  <si>
    <t>10.1016/j.marpolbul.2014.10.036</t>
  </si>
  <si>
    <t>AY3PG</t>
  </si>
  <si>
    <t>WOS:000347494700022</t>
  </si>
  <si>
    <t>Otieno, D; Drouillard, KG; Campbell, L; McKay, RM; Achiya, J; Getabu, A; Mwamburi, J; Sitoki, L; Omondi, R; Shitandi, A; Owuor, B; Njiru, J; Otiso, KM; Bullerjahn, GS</t>
  </si>
  <si>
    <t>Otieno, Dennis; Drouillard, Ken G.; Campbell, Linda; McKay, R. Michael; Achiya, James; Getabu, Albert; Mwamburi, Job; Sitoki, Lewis; Omondi, Reuben; Shitandi, Anakalo; Owuor, Bethwell; Njiru, James; Otiso, Kefa M.; Bullerjahn, George S.</t>
  </si>
  <si>
    <t>Spatio-temporal Trends of Mercury and Stable Isotopes in Lower Food Web of Winam Gulf, Lake Victoria</t>
  </si>
  <si>
    <t>Bioaccumulation; Bioavailability; African Great Lakes; Mercury</t>
  </si>
  <si>
    <t>CARIDINA-NILOTICA; MWANZA GULF; WATER; KENYA; BIOMAGNIFICATION; METHYLMERCURY; MANAGEMENT; FISHERIES; POLLUTION; IMPACTS</t>
  </si>
  <si>
    <t>Components of the lower food web (mussels, Caridina and Omena) were collected from stations from Winam Gulf, Lake Victoria, Kenya in 2022 and 2023 to analyze for stable isotopes and total mercury (THg). Temporal comparisons were made with data generated for the same species in 1998. Values of delta 15N in mussels and Caridina were similar (6.89 parts per thousand vs. 6.78 +/- 0.13 parts per thousand), while Omena occupied an elevated trophic position (9.97 +/- 0.24 parts per thousand) with minor shifts in delta 15N over time. All species had elevated delta 13C values in 2022-2023 versus 1998 supportive of enhanced eutrophication in the Gulf. THg concentrations exhibited modest spatial differences between sites (&lt; 2.6 fold), but not between Caridina and Omena. Larger temporal differences were apparent relative to spatial patterns with THg concentrations decreasing in study species by 2.8 to 4.1-fold between years. An exposure assessment indicated that Omena, commonly found in local markets, can be consumed up to 0.74 kg/month without generating excess THg exposures.</t>
  </si>
  <si>
    <t>[Otieno, Dennis; Drouillard, Ken G.; McKay, R. Michael] Univ Windsor, Great Lakes Inst Environm Res, Windsor, ON, Canada; [Campbell, Linda] St Marys Univ, Sch Environm, Halifax, NS, Canada; [Achiya, James; Mwamburi, Job; Njiru, James] Kenya Marine &amp; Fisheries Res Inst, Mombasa, Kenya; [Getabu, Albert; Omondi, Reuben; Shitandi, Anakalo; Owuor, Bethwell] Kisii Univ, Kisii, Kenya; [Sitoki, Lewis] Tech Univ Kenya, Nairobi, Kenya; [Otiso, Kefa M.] Bowling Green State Univ, Sch Earth Environm &amp; Soc, Bowling Green, OH USA; [Bullerjahn, George S.] Bowling Green State Univ, Biol Sci, Bowling Green, OH USA</t>
  </si>
  <si>
    <t>University of Windsor; Saint Marys University - Canada; Technical University of Kenya; University System of Ohio; Bowling Green State University; University System of Ohio; Bowling Green State University</t>
  </si>
  <si>
    <t>Drouillard, KG (corresponding author), Univ Windsor, Great Lakes Inst Environm Res, Windsor, ON, Canada.</t>
  </si>
  <si>
    <t>kgd@uwindsor.ca</t>
  </si>
  <si>
    <t>McKay, Robert/P-3759-2017; Mwamburi, Job/ABE-4512-2021</t>
  </si>
  <si>
    <t>Otieno, Dennis/0000-0003-3292-039X</t>
  </si>
  <si>
    <t>U.S. National Science Foundation Grant (NSF-IRES) [1953468]; Natural Sciences and Engineering Research Council grant</t>
  </si>
  <si>
    <t>U.S. National Science Foundation Grant (NSF-IRES); Natural Sciences and Engineering Research Council grant</t>
  </si>
  <si>
    <t>The authors would like to thank Mr. J.C. Barrette, University of Windsor for assistance with Hg analysis and Dr. A.T. Fisk and Ms. L. Paulic, University of Windsor, for performing stable isotope analyses. Funding for this study was provided by a U.S. National Science Foundation Grant (NSF-IRES Project# 1953468) to GSB, KMO and RMM. Additional funding in support was provided by a Natural Sciences and Engineering Research Council grant (NSERC-Discovery Grant) to KGD.</t>
  </si>
  <si>
    <t>10.1007/s00128-024-03938-2</t>
  </si>
  <si>
    <t>D6G3E</t>
  </si>
  <si>
    <t>WOS:001297136200002</t>
  </si>
  <si>
    <t>Rocha, TL; Gomes, T; Pinheiro, JP; Sousa, VS; Nunes, LM; Teixeira, MR; Bebianno, MJ</t>
  </si>
  <si>
    <t>Rocha, Thiago Lopes; Gomes, Tania; Pinheiro, Jose Paulo; Sousa, Vania Serrao; Nunes, Luis Miguel; Teixeira, Margarida Ribau; Bebianno, Maria Joao</t>
  </si>
  <si>
    <t>Toxicokinetics and tissue distribution of cadmium-based Quantum Dots in the marine mussel Mytilus galloprovincialis</t>
  </si>
  <si>
    <t>Nanoparticles; Nanotoxicology; Cadmium; Bioaccumulation; Bivalve</t>
  </si>
  <si>
    <t>METAL-OXIDE NANOPARTICLES; BLUE MUSSEL; SILVER NANOPARTICLES; ORGANIC-MATTER; COPPER-OXIDE; BIOACCUMULATION; ACCUMULATION; KINETICS; TOXICITY; EXPOSURE</t>
  </si>
  <si>
    <t>Environmental health hazards of Quantum Dots (QDs) are of emergent concern, but limited data is available about their toxicokinetics (TIC) and tissue distribution in marine bivalves. This study investigated the QDs behavior in seawater, their TIC and tissue distribution in Mytilus galloprovincialis, in comparison with soluble Cd. Mussels were exposed to CdTe QDs and soluble Cd for 21 days at 10 mu gCd L-1 followed by a 50 days depuration. TIC of QDs in mussels is related to the homo-aggregate uptake, surface charge, aggregation and precipitation as key factors. There were tissue- and time-dependent differences in the TIC of both Cd forms, and soluble Cd is the most bioavailable form. Digestive gland is a preferential site for QDs storage and both Cd forms are not eliminated by mussels (t(1/2)&gt;50 days). Results indicate that the TIC model of CdTe QDs in marine mussels is distinct from their soluble counterparts. (C) 2015 Elsevier Ltd. All rights reserved.</t>
  </si>
  <si>
    <t>[Rocha, Thiago Lopes; Gomes, Tania; Bebianno, Maria Joao] Univ Algarve, Fac Sci &amp; Technol, CIMA, P-8005139 Faro, Portugal; [Pinheiro, Jose Paulo] Univ Algarve, Fac Sci &amp; Technol, IBB CBME, P-8005139 Faro, Portugal; [Sousa, Vania Serrao; Teixeira, Margarida Ribau] Univ Algarve, Fac Sci &amp; Technol, CENSE, P-8005139 Faro, Portugal; [Nunes, Luis Miguel] Univ Algarve, CERIS IST, P-8005139 Faro, Portugal</t>
  </si>
  <si>
    <t>Universidade do Algarve; Universidade do Algarve; Universidade do Algarve; Universidade do Algarve</t>
  </si>
  <si>
    <t>Bebianno, MJ (corresponding author), Univ Algarve, Fac Sci &amp; Technol, CIMA, Campus Gambelas, P-8005139 Faro, Portugal.</t>
  </si>
  <si>
    <t>Pinheiro, Jose Paulo/AFM-6635-2022; Nunes, Luis/D-7229-2016; Bebianno, Maria/L-3761-2014; Gomes, Tânia/X-7771-2019; Sousa, Vânia/AAF-9184-2020; Ribau Teixeira, Margarida/B-9012-2012; Nunes, Luis/M-4647-2013; Pinheiro, Jose Paulo/E-8402-2013; Lopes Rocha, Thiago/A-3864-2015</t>
  </si>
  <si>
    <t>Ribau Teixeira, Margarida/0000-0002-2153-3282; Bebianno, Maria/0000-0003-1492-8566; Nunes, Luis/0000-0001-5606-970X; Pinheiro, Jose Paulo/0000-0001-7925-9733; Lopes Rocha, Thiago/0000-0003-0551-6842; Serrao Sousa, Vania/0000-0002-3800-1688</t>
  </si>
  <si>
    <t>Portuguese Foundation for Science and Technology (FCT) project (NANOECOTOX) [PTDC/AAC-AMB/121650/2010]; Science Without Borders Program from the Brazilian National Council for Scientific and Technological Development (CNPq) [239524/2012-8]; Fundação para a Ciência e a Tecnologia [PTDC/AAC-AMB/121650/2010] Funding Source: FCT</t>
  </si>
  <si>
    <t>Portuguese Foundation for Science and Technology (FCT) project (NANOECOTOX); Science Without Borders Program from the Brazilian National Council for Scientific and Technological Development (CNPq); Fundação para a Ciência e a Tecnologia(Fundacao para a Ciencia e a Tecnologia (FCT))</t>
  </si>
  <si>
    <t>This work was funded by the Portuguese Foundation for Science and Technology (FCT) project (NANOECOTOX; PTDC/AAC-AMB/121650/2010) and by the Science Without Borders Program (239524/2012-8) from the Brazilian National Council for Scientific and Technological Development (CNPq).</t>
  </si>
  <si>
    <t>10.1016/j.envpol.2015.05.008</t>
  </si>
  <si>
    <t>CT2BZ</t>
  </si>
  <si>
    <t>WOS:000362608300027</t>
  </si>
  <si>
    <t>Levallois, A; Costil, K; Caplat, C; Basuyaux, O; Lebel, JM; Guegan, C; Serpentini, A</t>
  </si>
  <si>
    <t>Levallois, Alexandre; Costil, Katherine; Caplat, Christelle; Basuyaux, Olivier; Lebel, Jean-Marc; Guegan, Claire; Serpentini, Antoine</t>
  </si>
  <si>
    <t>Comparative effects of trace metal elements released from dissolution of aluminum-based galvanic anodes, aluminum chloride, zinc chloride, and their mixture on the development of the Pacific oyster D-larvae, Crassostrea gigas</t>
  </si>
  <si>
    <t>Oyster larvae; Crassostrea gigas; Cocktail effect; Galvanic anode; Aluminum; Zinc</t>
  </si>
  <si>
    <t>SEA-URCHIN EMBRYOS; CORROSION PROTECTION; DISSOLVED ALUMINUM; SACRIFICIAL ANODES; AMERICAN OYSTER; MYTILUS-EDULIS; HEAVY-METALS; TOXICITY; IMPACT; WATERS</t>
  </si>
  <si>
    <t>As the most abundant metal in the earth's crust, aluminum (Al) is used in many sectors, and nowadays, there is an increase in anthropogenic releases to aquatic ecosystems. This is particularly true in the context of corrosion protection systems involving galvanic anodes, which are mostly made of Al. Corroded instead of the steel structures they protect, galvanic anodes are described as sacrificial anodes. In contact with seawater, they undergo oxidation and release various metals in the form of ions or oxy-hydroxides into the marine environment, mainly Al and zinc (Zn). Several studies agree that Al increases the incidence of abnormal development in bivalve larvae from 150 mu g L-1 which is close to the highest Al concentrations recorded in coastal waters. Therefore, we studied the impact of the cocktail of metals released by aluminum-based galvanic anodes on the development of Crassostrea gigas larvae, which we compared to the effects of aluminum chloride hexahydrate and zinc chloride alone and their mixture. The anode solution was realized thanks to an experimental device simulating the dissolution of a galvanic anode in the marine environment in order to reproduce the cocktail of metal species. We calculated an EC50 of 193.55 mu g L-1 and 100.05 mu g L-1 for Al and Zn chloride alone, respectively, and we highlighted an EC50 of 190.22 mu g L-1 for the galvanic anode based on Al concentration. The mixture of the two metals in their chloride form resulted in the observation of additive and synergistic effects, which underlines the importance of considering the cocktail effect in ecotoxicological studies.</t>
  </si>
  <si>
    <t>[Levallois, Alexandre; Costil, Katherine; Caplat, Christelle; Lebel, Jean-Marc; Guegan, Claire; Serpentini, Antoine] UPMC Univ Paris 06, Biol Organismes &amp; Ecosyst Aquat BOREA, Univ Caen Normandie UNICAEN, Sorbonne Univ,MNHN,UA,CNRS 8067,IRD, F-14032 Caen, France; [Basuyaux, Olivier] Synergie Mer &amp; Littoral SMEL, F-50560 Blainville Sur Mer, France</t>
  </si>
  <si>
    <t>Institut de Recherche pour le Developpement (IRD); Museum National d'Histoire Naturelle (MNHN); Universite de Caen Normandie; Sorbonne Universite</t>
  </si>
  <si>
    <t>Serpentini, A (corresponding author), UPMC Univ Paris 06, Biol Organismes &amp; Ecosyst Aquat BOREA, Univ Caen Normandie UNICAEN, Sorbonne Univ,MNHN,UA,CNRS 8067,IRD, F-14032 Caen, France.</t>
  </si>
  <si>
    <t>Normandy region</t>
  </si>
  <si>
    <t>This work was supported by the Normandy region.</t>
  </si>
  <si>
    <t>10.1007/s11356-023-29566-7</t>
  </si>
  <si>
    <t>X0WG8</t>
  </si>
  <si>
    <t>WOS:001065226700011</t>
  </si>
  <si>
    <t>Araújo, PRM; Biondi, CM; do Nascimento, CWA; da Silva, FBV; Alvarez, AM</t>
  </si>
  <si>
    <t>Muniz Araujo, Paula Renata; Biondi, Caroline Miranda; Araujo do Nascimento, Clistenes Williams; Vieira da Silva, Fernando Bruno; Alvarez, Alfredo Montero</t>
  </si>
  <si>
    <t>Bioavailability and sequential extraction of mercury in soils and organisms of a mangrove contaminated by a chlor-alkali plant</t>
  </si>
  <si>
    <t>Trace element; heavy metal; biogeochemistry; estuary; soil fractionation</t>
  </si>
  <si>
    <t>CRASSOSTREA-RHIZOPHORAE; METHYL MERCURY; SEDIMENTS; METHYLMERCURY; MATTER; FRACTIONATION; POLLUTION; SPECIATION; BINDING; OYSTER</t>
  </si>
  <si>
    <t>Botafogo river estuary poses the highest Hg concentration reported for mangrove soils in Brazil. Such high contamination took place owing to the improper waste disposal for 24 years from a chlor-alkali plant nearby the estuary. Here we determined Hg concentrations in soils, mangrove plants (Rhizophora mangle and Laguncularia racemosa), and an aquatic organism (the oyster species Crassostrea rhizophorae) to assess Hg bioavailability. Besides, a sequential extraction procedure was used to separate soil Hg into five fractions: water-soluble; 'human stomach acid' soluble; organically bound; elemental Hg; mercuric sulfide. Results showed that environmentally available concentration of Hg in the mangrove soils were up to 150-fold higher than a pristine mangrove under the same geological context used as a reference. Additionally, Hg concentration in soils was also above sediment quality guidelines and Hg adverse effects towards sensitive estuarine organisms are likely. Mercury concentrations in oysters were the highest reported in Brazil, but within safety standards according to the country food security agency. It seems that Hg stocks in the studied soils are governed by organic matter and redox conditions, but changing on environmental conditions and land use can alter this balance and convert these mangrove areas from sink to source of Hg to the environment.</t>
  </si>
  <si>
    <t>[Muniz Araujo, Paula Renata; Biondi, Caroline Miranda; Araujo do Nascimento, Clistenes Williams; Vieira da Silva, Fernando Bruno; Alvarez, Alfredo Montero] Univ Fed Rural Pernambuco, Dept Agron, Dom Manuel Medeiros St S-N, BR-52171900 Recife, PE, Brazil</t>
  </si>
  <si>
    <t>Universidade Federal Rural de Pernambuco (UFRPE)</t>
  </si>
  <si>
    <t>Biondi, CM (corresponding author), Univ Fed Rural Pernambuco, Dept Agron, Dom Manuel Medeiros St S-N, BR-52171900 Recife, PE, Brazil.</t>
  </si>
  <si>
    <t>paula.cienciasolo@gmail.com; caroline.biondi@ufrpe.br; cwanascimento@hotmail.com; ferbruno01@yahoo.com.br; amlopez3000@hotmail.com</t>
  </si>
  <si>
    <t>Nascimento, Clístenes/AAB-7638-2019</t>
  </si>
  <si>
    <t>BRUNO VIEIRA DA SILVA, FERNANDO/0000-0001-7830-9946; Biondi, Caroline/0000-0002-7420-8133; Montero Alvarez, Alfredo/0000-0001-6778-6050; Nascimento, Clistenes/0000-0002-5103-5524</t>
  </si>
  <si>
    <t>Fundacao de Amparo a Ciencia e Tecnologia de Pernambuco [APQ - 1070-5.01/15]; Coordination for the Improvement of Higher Education Personnel (CAPES); National Council for Scientific and Technological Development (CNPQ) [151120/2018-8]</t>
  </si>
  <si>
    <t>Fundacao de Amparo a Ciencia e Tecnologia de Pernambuco(Fundacao de Amparo a Ciencia e Tecnologia do Estado de Pernambuco (FACEPE)); Coordination for the Improvement of Higher Education Personnel (CAPES)(Coordenacao de Aperfeicoamento de Pessoal de Nivel Superior (CAPES)); National Council for Scientific and Technological Development (CNPQ)(Conselho Nacional de Desenvolvimento Cientifico e Tecnologico (CNPQ))</t>
  </si>
  <si>
    <t>This work was supported by the Fundacao de Amparo a Ciencia e Tecnologia de Pernambuco (APQ - 1070-5.01/15), Coordination for the Improvement of Higher Education Personnel (CAPES) and National Council for Scientific and Technological Development (CNPQ 151120/2018-8).</t>
  </si>
  <si>
    <t>10.1016/j.ecoenv.2019.109469</t>
  </si>
  <si>
    <t>IZ6FU</t>
  </si>
  <si>
    <t>WOS:000487178000046</t>
  </si>
  <si>
    <t>Wepener, V; Degger, N</t>
  </si>
  <si>
    <t>Wepener, V; Degger, N.</t>
  </si>
  <si>
    <t>Monitoring metals in South African harbours between 2008 and 2009, using resident mussels as indicator organisms</t>
  </si>
  <si>
    <t>AFRICAN ZOOLOGY</t>
  </si>
  <si>
    <t>metal accumulation; pollution monitoring; bivalves; Perna perna</t>
  </si>
  <si>
    <t>CAPE-TOWN HARBOR; PERNA-PERNA; MYTILUS-GALLOPROVINCIALIS; ARTIFICIAL MUSSELS; RICHARDS BAY; SEDIMENTS; POLLUTION; BIOACCUMULATION; CONTAMINATION; ESTUARY</t>
  </si>
  <si>
    <t>More than 65% of the South African coastline is threatened as a result of pollution, a large proportion of which is land derived. To date the majority of published data on metal monitoring has been on limited regions or once-off sampling events. In this paper, we present the first data on metal exposure at sites along the eastern seaboard of South Africa in resident brown mussels (Perna perna) from six harbour sites (Cape Town, Durban, East London, Mossel Bay, Port Elizabeth and Richards Bay Harbours) over a two-year period (2008 and 2009). These data do not represent historical or the current metal exposure levels, but rather an indication of the degree of metal exposure fluctuations over two years at the same site. Metal accumulation of aluminium, arsenic, cadmium, cobalt, chromium, copper, iron, manganese, molybdenum, nickel, lead, selenium, strontium, uranium and zinc was determined by thermo-inductive coupled plasma mass spectrophotometry. The results showed marked fluctuations in metal concentrations between years and identified Cape Town, Mossel Bay and Port Elizabeth Harbours as those sites where mussels had the highest metal levels. Statistically significant variations in metal concentrations were observed between the two sampling periods and the six harbours. Metal concentrations decreased from 2008 to 2009, which was largely attributed to changes in ambient metal concentrations, as a result of variable non-point discharges of metals into the harbours and larger-scale oceanographic changes in upwelling events. The results further emphasise the necessity for annual monitoring of the South African marine environment.</t>
  </si>
  <si>
    <t>[Wepener, V] North West Univ, Unit Environm Sci &amp; Management, Water Res Grp, Potchefstroom, South Africa; [Degger, N.] UNESCO Intergovt Oceanog Commiss, Paris, France</t>
  </si>
  <si>
    <t>North West University - South Africa</t>
  </si>
  <si>
    <t>Wepener, V (corresponding author), North West Univ, Unit Environm Sci &amp; Management, Water Res Grp, Potchefstroom, South Africa.</t>
  </si>
  <si>
    <t>victor.wepener@nwu.ac.za</t>
  </si>
  <si>
    <t>Wepener, Victor/AAV-2116-2020</t>
  </si>
  <si>
    <t>Wepener, Victor/0000-0002-9374-7191</t>
  </si>
  <si>
    <t>National Research Foundation (NRF) of South Africa (NRF Project) [79738]</t>
  </si>
  <si>
    <t>National Research Foundation (NRF) of South Africa (NRF Project)</t>
  </si>
  <si>
    <t>This study forms part of the SEAChange Programme supported by the National Research Foundation (NRF) of South Africa (NRF Project 79738; V Wepener, PI). Opinions, findings, conclusions and recommendations expressed in this publication are that of the authors, and the NRF accepts no liability whatsoever in this regard. This is contribution number 468 of the North-West University (NWU) Water Research Group.</t>
  </si>
  <si>
    <t>1562-7020</t>
  </si>
  <si>
    <t>2224-073X</t>
  </si>
  <si>
    <t>AFR ZOOL</t>
  </si>
  <si>
    <t>Afr. Zool.</t>
  </si>
  <si>
    <t>10.1080/15627020.2020.1799720</t>
  </si>
  <si>
    <t>OCT 2020</t>
  </si>
  <si>
    <t>OV9GM</t>
  </si>
  <si>
    <t>WOS:000582975800001</t>
  </si>
  <si>
    <t>Gregory, MA; George, RC; Marshall, DJ; Anandraj, A; McClurg, TP</t>
  </si>
  <si>
    <t>The effects of mercury exposure on the surface morphology of gill filaments in Perna perna (Mollusca: Bivalvia)</t>
  </si>
  <si>
    <t>2nd International Conference on Marine Pollution and Ecotoxicology</t>
  </si>
  <si>
    <t>JUN, 1998</t>
  </si>
  <si>
    <t>MUSSEL MYTILUS-EDULIS; METAL CONCENTRATIONS; BROWN MUSSEL; COPPER; CADMIUM; GALLOPROVINCIALIS; BIOACCUMULATION; POLLUTANTS; ZINC; CD</t>
  </si>
  <si>
    <t>This study investigated the possibility that changes in the surface morphology of mussel (Perna perna) gill filaments may be used to indicate the relative toxicity of pollutants in the marine environment. Healthy, adult P. perna were collected and immersed in 2 free-flow tanks. Mercury was added to seawater as it entered tank 1 to achieve a constant level of 50 mu g/1(-1) over 24 days. Uncontaminated sea,vater was circulated over the mussels in tank 2 (control) for the same period. A 25 mm(2) area of gill filament was removed from each of the 5 specimens before and after 24 days immersion in tank 2, and after immersion for 1, 2, 4, 8, 16 and 24 days in tank I. These mere examined using a scanning electron microscope. The remaining soft tissues from each animal were analysed for mercury using an atomic absorption spectrometer. Mercury concentration increased from 0.13 (pre-immersion) to 87 mu g/g after day 24. Surface morphology remained normal for all animals in tank 2 and for those exposed to Hg for up to 8 days, However, from 16 to 24 days exposure there was a gradual increase in the diameters of microvilli, a depletion of abfrontal cilia, an increase in abnormal, perhaps necrotic cells and an unusual increase in the number of cilia on the lateral surfaces. These results confirm that P. perna is an efficient bio-accumulator and suggest that their gill pathomorphology mag be a useful indicator of toxicity (C) 1999 Elsevier Science Ltd. All rights reserved.</t>
  </si>
  <si>
    <t>Univ Durban Westville, Electron Microscope Unit, ZA-4000 Durban, South Africa; Univ Durban Westville, Dept Zool, ZA-4000 Durban, South Africa; Div Water Environm &amp; Forestry Technol, ZA-4000 Durban, South Africa; CSIR, Durban, South Africa</t>
  </si>
  <si>
    <t>University of Kwazulu Natal; University of Kwazulu Natal; Council for Scientific &amp; Industrial Research (CSIR) - South Africa</t>
  </si>
  <si>
    <t>Univ Durban Westville, Electron Microscope Unit, ZA-4000 Durban, South Africa.</t>
  </si>
  <si>
    <t>mrgegory@pixie.udw.ac.za</t>
  </si>
  <si>
    <t>Anandraj, Akash/X-9305-2019; Marshall, Dustin/C-3450-2016; Anandraj, Akash/L-5485-2013</t>
  </si>
  <si>
    <t>Anandraj, Akash/0000-0002-2125-9957; Marshall, David/0000-0003-3771-5950</t>
  </si>
  <si>
    <t>JAN-DEC</t>
  </si>
  <si>
    <t>10.1016/S0025-326X(99)00119-8</t>
  </si>
  <si>
    <t>249WP</t>
  </si>
  <si>
    <t>WOS:000083356500016</t>
  </si>
  <si>
    <t>Zhang, XY; Li, F; Ji, CL; Wu, HF</t>
  </si>
  <si>
    <t>Zhang, Xiaoyu; Li, Fei; Ji, Chenglong; Wu, Huifeng</t>
  </si>
  <si>
    <t>Toxicological mechanism of cadmium in the clam Ruditapes philippinarum using combined ionomic, metabolomic and transcriptomic analyses</t>
  </si>
  <si>
    <t>Cadmium; Ruditapes philippinarum; Toxic effects; Ionomics; Metabolomics; Transcriptomics</t>
  </si>
  <si>
    <t>ANTIOXIDANT ENZYMES; IN-VITRO; METAL; EXPOSURE; STRESS; GENE; AMINOPEPTIDASE; BIOSYNTHESIS; PROTEOLYSIS; MOLYBDENUM</t>
  </si>
  <si>
    <t>Cadmium (Cd) contamination in marine environment poses great risks to the organisms due to its potential adverse effects. In the present study, the toxicological effects and mechanisms of Cd at environmentally relevant concentrations (5 and 50 mu g/L) on clam Ruditapes philippinarum after 21 days were investigated by combined ionomic, metabolomic, and transcriptomic analyses. Results showed that the uptake of Cd significantly decreased the concentrations of Cu, Zn, Sr, Se, and Mo in the whole soft tissue from 50 mu g/L Cd-treated clams. Significantly negative correlations were observed between Cd and essential elements (Zn, Sr, Se, and Mo). Altered essential elements homeostasis was associated with the gene regulation of transport and detoxification, including ATP-binding cassette protein subfamily B member 1 (ABCB1) and metallothioneins (MT). The crucial contribution of Se to Cd detoxification was also found in clams. Additionally, gene set enrichment analysis showed that Cd could interfere with proteolysis by peptidases and decrease the translation efficiency at 50 mu g/L. Cd inhibited lipid metabolism in clams and increased energy demand by up-regulating glycolysis and TCA cycle. Osmotic pressure was regulated by free amino acids, including alanine, glutamate, taurine, and homarine. Meanwhile, significant alterations of some differentially expressed genes, such as dopamine-beta-hydroxylase (DBH), neuroligin (NLGN), NOTCH 1 , and chondroitin sulfate proteoglycan 1 (CSPG1) were observed in clams, which implied potential interference with synaptic transmission. Overall, through integrating multiple omics, this study provided new insights into the toxicological mechanisms of Cd, particularly in those mediated by dysregulation of essential element homeostasis.</t>
  </si>
  <si>
    <t>[Zhang, Xiaoyu; Li, Fei; Ji, Chenglong; Wu, Huifeng] Chinese Acad Sci, Yantai Inst Coastal Zone Res, CAS Key Lab Coastal Environm Proc &amp; Ecol Remediat, Shandong Key Lab Coastal Environm Proc,YICCAS, Yantai 264003, Peoples R China; [Ji, Chenglong; Wu, Huifeng] Qingdao Natl Lab Marine Sci &amp; Technol, Lab Marine Fisheries Sci &amp; Food Prod Proc, Qingdao 266237, Peoples R China; [Zhang, Xiaoyu; Li, Fei] Univ Chinese Acad Sci, Beijing 100049, Peoples R China; [Ji, Chenglong; Wu, Huifeng] Chinese Acad Sci, Ctr Ocean Mega Sci, Qingdao 266071, Peoples R China</t>
  </si>
  <si>
    <t>Wu, HF (corresponding author), Chinese Acad Sci, Yantai Inst Coastal Zone Res, CAS Key Lab Coastal Environm Proc &amp; Ecol Remediat, Shandong Key Lab Coastal Environm Proc,YICCAS, Yantai 264003, Peoples R China.</t>
  </si>
  <si>
    <t>Zhang, xiaoyu/GXA-3206-2022</t>
  </si>
  <si>
    <t>10.1016/j.envpol.2023.121286</t>
  </si>
  <si>
    <t>9R8IZ</t>
  </si>
  <si>
    <t>WOS:000945891400001</t>
  </si>
  <si>
    <t>Perceval, O; Pinel-Alloul, B; Méthot, G; Couillard, Y; Giguère, A; Campbell, PGC; Hare, L</t>
  </si>
  <si>
    <t>Cadmium accumulation and metallothionein synthesis in freshwater bivalves (Pyganodon grandis):: relative influence of the metal exposure gradient versus limnological variability</t>
  </si>
  <si>
    <t>cadmium; bioaccumulation; metallothionein (MT); biomonitoring; multivariate statistical analysis</t>
  </si>
  <si>
    <t>MUSSEL ELLIPTIO-COMPLANATA; ST-LAWRENCE-RIVER; TRACE-METALS; ANODONTA-GRANDIS; CORBICULA-FLUMINEA; CALCIUM-CHANNEL; WATER BIVALVES; ZEBRA MUSSELS; LAKES; TOXICITY</t>
  </si>
  <si>
    <t>The relative influence of limnological confounding factors on cadmium (Cd) bioaccumulation and metallothionein (NIT) synthesis was quantified in natural populations of freshwater bivalves (Pyganodon grandis) living in lakes along a Cd concentration gradient. During the ice-free period, we measured 15 environmental variables in the water compartment and determined total concentrations of Cd and MT in the gills of bivalves at 37 littoral stations in 20 lakes distributed across the mining area of Rouyn-Noranda in northwestern Quebec. A multiple linear regression model including pH ( +), dissolved Ca concentrations (-) and free Cd 2 1 concentrations at the sediment -water interface ( +) explained 74% of the variability in Cd concentrations in the bivalve gills. Dissolved Ca (-) and free Cd2+ ( +) together explained 62% of the variation in MT concentrations in the bivalve gills. Partial linear regression analyses indicated that the limnological factors' pure and shared effects together accounted for 48 and 45% of the total variation in Cd and NIT concentrations in the gills, respectively. A lake selection procedure that could be applied in monitoring programs is proposed to minimise the relative influence of these confounding variables. (C) 2002 Elsevier Science Ltd. All rights reserved.</t>
  </si>
  <si>
    <t>Univ Montreal, GRIL, Dept Sci Biol, Montreal, PQ H3C 3J7, Canada; Univ Quebec, INRS Eau, Inst Natl Rech Sci, St Foy, PQ G1V 4C7, Canada; Environm Canada, Div Evaluat Prod Chim, Ottawa, ON K1A 0H3, Canada</t>
  </si>
  <si>
    <t>Universite de Montreal; University of Quebec; Institut national de la recherche scientifique (INRS); Environment &amp; Climate Change Canada</t>
  </si>
  <si>
    <t>Perceval, O (corresponding author), Univ Montreal, GRIL, Dept Sci Biol, CP 6128,Succursale Ctr Ville, Montreal, PQ H3C 3J7, Canada.</t>
  </si>
  <si>
    <t>Campbell, Peter/H-4348-2011; Pinel-Alloul, Bernadette/U-9107-2019</t>
  </si>
  <si>
    <t>Giguere, Anik/0000-0001-9928-7395; Pinel-Alloul, Bernadette/0000-0002-1070-2968</t>
  </si>
  <si>
    <t>PII S0269-7491(01)00282-2</t>
  </si>
  <si>
    <t>10.1016/S0269-7491(01)00282-2</t>
  </si>
  <si>
    <t>527EX</t>
  </si>
  <si>
    <t>WOS:000174174700002</t>
  </si>
  <si>
    <t>Sepúlveda, CH; Sotelo-Gonzalez, MI; Osuna-Martínez, CC; Frías-Espericueta, MG; Sánchez-Cárdenas, R; Bergés-Tiznado, ME; Góngora-Gómez, AM; García-Ulloa, M</t>
  </si>
  <si>
    <t>Humberto Sepulveda, Carlos; Isabel Sotelo-Gonzalez, Maria; Cristina Osuna-Martinez, Carmen; Gabriel Frias-Espericueta, Martin; Sanchez-Cardenas, Rebeca; Elizabeth Berges-Tiznado, Magdalena; Martin Gongora-Gomez, Andres; Garcia-Ulloa, Manuel</t>
  </si>
  <si>
    <t>Biomonitoring of potentially toxic elements through oysters (Saccostrea palmula and Crassostrea corteziensis) from coastal lagoons of Southeast Gulf of California, Mexico: health risk assessment</t>
  </si>
  <si>
    <t>Bivalves; Biomonitors; Anthropogenic sources; Metal and metalloid pollution; Risk assessment</t>
  </si>
  <si>
    <t>CLAM MEGAPITARIA-SQUALIDA; HEAVY-METALS; TRACE-METALS; BIVALVE MOLLUSKS; MANGROVE OYSTERS; ORGANIC-MATTER; POLLUTION; GIGAS; BIOACCUMULATION; CADMIUM</t>
  </si>
  <si>
    <t>The coastal lagoons of the Gulf of California support important traditional fisheries and mollusc cultures (generally oysters) and receive important volumes of agricultural, industrial and urban effluents, consumption of the oysters could pose risk to human health. The concentrations of arsenic (As), cadmium (Cd), copper (Cu), iron (Fe), lead (Pb), and zinc (Zn) in the oysters Saccostrea palmula and Crassostrea corteziensis, from four coastal lagoons (Altata, AL; Macapule, ML; Navachiste, NL; El Colorado, ECL) in the Southeast Gulf of California, were seasonally evaluated (summer 2019-spring 2020). The order of magnitude of potentially toxic elements concentrations in the soft tissue in both oyster species and at all sites was Zn &gt;Fe &gt; Cu&gt; As &gt; Cd &gt;Pb. Cadmium, Cu, Pb, and Zn exceeded the maximum permissible limits in more than one sampling site. The highest concentrations (mg kg(-1), wet weight) of As (4.2 +/- 1.1, spring) and Cd (3.3 +/- 0.7, autumn) were registered in S. palmula et al. and NL sampling sites, respectively. Crassostrea corteziensis presented higher levels of Cu (40.5 +/- 6.7, spring), Pb (2.0 +/- 0.4, spring), and Zn (96.9 +/- 20.4, spring) in ECL and Fe (62.2 +/- 25.4, autumn) in ML. The hazard quotient (HQ) values exceeded the safe level of 1 for Cd in S. palmula and C. corteziensis in NL for children (similar to 16 kg weight). In addition, in children, the hazard index (HI) values in both species of oysters ranged from 0.7 to 2.1 and 0.6 to 1.9, respectively. On the other hand, the intake of the studied elements through the consumption of oysters would not induce adverse effects to human health (men and women weighing 70 and 60 kg, respectively); HQ and HI values were &lt; 1.</t>
  </si>
  <si>
    <t>[Humberto Sepulveda, Carlos; Isabel Sotelo-Gonzalez, Maria] Univ Autonoma Sinaloa, Fac Ciencias Mar, Doctorado Ciencias Recursos Acuat, Ave Deportes S-N Ciudad Univ, Mazatlan 82017, Sinaloa, Mexico; [Cristina Osuna-Martinez, Carmen; Gabriel Frias-Espericueta, Martin; Sanchez-Cardenas, Rebeca] Univ Autonoma Sinaloa, Fac Ciencias Mar, Paseo Claussen S-N Col Los Pinos, Mazatlan 82000, Sinaloa, Mexico; [Elizabeth Berges-Tiznado, Magdalena] Univ Politecn Sinaloa, Ingn Tecnol Ambiental, Carretera Municipal Libre Mazatlan Higueras Km 3, Mazatlan 82199, Sinaloa, Mexico; [Martin Gongora-Gomez, Andres; Garcia-Ulloa, Manuel] Inst Politecn Nacl, Ctr Interdisciplinario Invest Desarrollo Integr, Unidad Sinaloa, Blvd Juan de Dios Batiz Paredes 250, Guasave 81101, Sinaloa, Mexico</t>
  </si>
  <si>
    <t>Universidad Autonoma de Sinaloa; Universidad Autonoma de Sinaloa; Instituto Politecnico Nacional - Mexico</t>
  </si>
  <si>
    <t>García-Ulloa, M (corresponding author), Inst Politecn Nacl, Ctr Interdisciplinario Invest Desarrollo Integr, Unidad Sinaloa, Blvd Juan de Dios Batiz Paredes 250, Guasave 81101, Sinaloa, Mexico.</t>
  </si>
  <si>
    <t>Bergés Tiznado, Magdalena/K-6724-2019; Osuna-Martinez, Carmen Cristina/H-3224-2017</t>
  </si>
  <si>
    <t>SANCHEZ-CARDENAS, REBECA/0000-0001-9568-8757; Osuna-Martinez, Carmen Cristina/0000-0003-4934-5790; Frias-Espericueta, Martin/0000-0002-3729-1986; Garcia-Ulloa, Manuel/0000-0001-5357-8891; Berges Tiznado, Magdalena Elizabeth/0000-0002-3993-763X; Sepulveda, Carlos Humberto/0000-0003-4400-4559</t>
  </si>
  <si>
    <t>Secretaria de Investigacion y Posgrado (SIP) of the Instituto Politecnico Nacional (IPN) [SIP 20200526, SIP 20200527]</t>
  </si>
  <si>
    <t>Secretaria de Investigacion y Posgrado (SIP) of the Instituto Politecnico Nacional (IPN)</t>
  </si>
  <si>
    <t>This work was funded by the Secretaria de Investigacion y Posgrado (SIP) of the Instituto Politecnico Nacional (IPN) through the projects: SIP 20200526 Incidencia estacional de nematodos y Perkinsus marinus de la Almeja venus Chione undatella de bahia de La Paz y del Puerto Minero de Santa Rosalia, Baja California Sur, Mexico and SIP 20200527 Morfometria y fisiologia de la Almeja venus Chione undatella de bahia de La Paz y del Puerto Minero de Santa Rosalia, Baja California Sur, Mexico.</t>
  </si>
  <si>
    <t>10.1007/s10653-022-01347-0</t>
  </si>
  <si>
    <t>AUG 2022</t>
  </si>
  <si>
    <t>Y4BH6</t>
  </si>
  <si>
    <t>WOS:000839547800001</t>
  </si>
  <si>
    <t>Miura, S; Takahashi, K; Imagawa, T; Uchida, K; Saito, S; Tominaga, M; Ohta, T</t>
  </si>
  <si>
    <t>Miura, Saeko; Takahashi, Kenji; Imagawa, Toshiaki; Uchida, Kunitoshi; Saito, Shigeru; Tominaga, Makoto; Ohta, Toshio</t>
  </si>
  <si>
    <t>Involvement of TRPA1 activation in acute pain induced by cadmium in mice</t>
  </si>
  <si>
    <t>MOLECULAR PAIN</t>
  </si>
  <si>
    <t>Cadmium; Intracellular calcium; Mouse; Pain; Patch-clamp; Sensory neuron; TRPA1</t>
  </si>
  <si>
    <t>CAPSAICIN RECEPTOR TRPV1; ION-CHANNEL TRPA1; CALCIUM-CHANNELS; CIGARETTE-SMOKE; CD2+; SYMPORTER; MECHANISM; TOXICITY; NEURONS; BLOOD</t>
  </si>
  <si>
    <t>Background: Cadmium (Cd) is an environmental pollutant and acute exposure to it causes symptoms related to pain and inflammation in the airway and gastrointestinal tract, but the underlying mechanisms are still unclear. TRPA1 is a nonselective cation channel expressed in sensory neurons and acts as a nociceptive receptor. Some metal ions such as Ca, Mg, Ba and Zn are reported to modulate TRPA1 channel activity. In the present study, we investigated the effect of Cd on cultured mouse dorsal root ganglion neurons and a heterologous expression system to analyze the effect of Cd at the molecular level. In addition, we examined whether Cd caused acute pain in vivo. Results: In wild-type mouse sensory neurons, Cd evoked an elevation of the intracellular Ca concentration ([Ca2+](i)) that was inhibited by external Ca removal and TRPA1 blockers. Most of the Cd-sensitive neurons were also sensitive to cinnamaldehyde (a TRPA1 agonist) and [Ca2+](i) responses to Cd were absent in TRPA1(-/-) mouse neurons. Heterologous expression of TRPA1 mutant channels that were less sensitive to Zn showed attenuation of Cd sensitivity. Intracellular Cd imaging revealed that Cd entered sensory neurons through TRPA1. The stimulatory effects of Cd were confirmed in TRPA1-expressing rat pancreatic cancer cells (RIN-14B). Intraplantar injection of Cd induced pain-related behaviors that were largely attenuated in TRPA1(-/-) mice. Conclusions: Cd excites sensory neurons via activation of TRPA1 and causes acute pain, the mechanism of which may be similar to that of Zn. The present results indicate that TRPA1 is involved in the nociceptive or inflammatory effects of Cd.</t>
  </si>
  <si>
    <t>[Miura, Saeko; Takahashi, Kenji; Ohta, Toshio] Tottori Univ, Dept Vet Pharmacol, Fac Agr, Tottori 6808553, Japan; [Imagawa, Toshiaki] Hokkaido Univ, Fac Sci, Dept Chem, Sapporo, Hokkaido 0600810, Japan; [Uchida, Kunitoshi; Saito, Shigeru; Tominaga, Makoto] Natl Inst Nat Sci, Div Cell Signaling, Okazaki Inst Integrat Biosci, Natl Inst Physiol Sci, Okazaki, Aichi 4448787, Japan</t>
  </si>
  <si>
    <t>Tottori University; Hokkaido University; National Institutes of Natural Sciences (NINS) - Japan; National Institute for Physiological Sciences (NIPS); Okazaki Institute for Integrative Bioscience (OIIB)</t>
  </si>
  <si>
    <t>Ohta, T (corresponding author), Tottori Univ, Dept Vet Pharmacol, Fac Agr, Tottori 6808553, Japan.</t>
  </si>
  <si>
    <t>tohta@muses.tottori-u.ac.jp</t>
  </si>
  <si>
    <t>Imagawa, Toshiaki/A-4255-2012; Saito, Shigeru/B-4698-2015</t>
  </si>
  <si>
    <t>Imagawa, Toshiaki/0000-0003-4447-4649</t>
  </si>
  <si>
    <t>KAKENHI from the Ministry of Education, Culture, Sports, Science and Technology of Japan</t>
  </si>
  <si>
    <t>KAKENHI from the Ministry of Education, Culture, Sports, Science and Technology of Japan(Ministry of Education, Culture, Sports, Science and Technology, Japan (MEXT)Japan Society for the Promotion of ScienceGrants-in-Aid for Scientific Research (KAKENHI))</t>
  </si>
  <si>
    <t>This work was supported by KAKENHI, Grants-in-Aid for Scientific Research from the Ministry of Education, Culture, Sports, Science and Technology of Japan.</t>
  </si>
  <si>
    <t>1744-8069</t>
  </si>
  <si>
    <t>MOL PAIN</t>
  </si>
  <si>
    <t>Mol. Pain</t>
  </si>
  <si>
    <t>10.1186/1744-8069-9-7</t>
  </si>
  <si>
    <t>Neurosciences</t>
  </si>
  <si>
    <t>Neurosciences &amp; Neurology</t>
  </si>
  <si>
    <t>109IS</t>
  </si>
  <si>
    <t>WOS:000316360900001</t>
  </si>
  <si>
    <t>Çevik, U; Damla, N; Kobya, AI; Bulut, VN; Duran, C; Dalgic, G; Bozaci, R</t>
  </si>
  <si>
    <t>Cevik, U.; Damla, N.; Kobya, A. I.; Bulut, V. N.; Duran, C.; Dalgic, G.; Bozaci, R.</t>
  </si>
  <si>
    <t>Assessment of metal element concentrations in mussel (M. Galloprovincialis) in Eastern Black Sea, Turkey</t>
  </si>
  <si>
    <t>EDXRF; FAAS; Mussel; Eastern Black Sea</t>
  </si>
  <si>
    <t>FRESH-WATER MUSSELS; MYTILUS-GALLOPROVINCIALIS; TRACE-METALS; EDXRF SPECTROMETRY; HEAVY-METALS; RIVER; FISH; COAST</t>
  </si>
  <si>
    <t>The main goal of this work is to determine the effects of pollution of copper, lead and zinc mines on the Eastern Black Sea. Metal and heavy metal concentrations in the Eastern Black Sea mussels were measured using Energy Dispersive X-ray Fluorescence (EDXRF) and Flame Atomic Absorption Spectroscopy (FAAS). The analytical results showed that the tissue of mussel in Eastern Black Sea contains K, Ca, Fe, Cu, Zn, and Sr elements, and the shell of mussel contains Ca, Cu, Sr, and Ba elements. Due to the detection limit of EDXRF, the mussels were analyzed with FAAS for Cr, Mn, Ni, Cd and Pb elements. An ANOVA and Pearson correlation analyses were performed The results showed although that the mean concentrations of Cu. and Zn for the tissue of the mussels were markedly above the permissible levels of the Turkish regulations Zn concentration is in the limits of the Food and Agriculture Organization (FAO). (C) 2008 Elsevier B.V. All rights reserved.</t>
  </si>
  <si>
    <t>[Cevik, U.; Damla, N.; Kobya, A. I.; Bozaci, R.] Karadeniz Tech Univ, Dept Phys, TR-61080 Trabzon, Turkey; [Bulut, V. N.] Giresun Univ, Dept Chem, TR-28049 Giresun, Turkey; [Duran, C.] Karadeniz Tech Univ, Dept Chem, TR-61080 Trabzon, Turkey; [Dalgic, G.] Rize Univ, Fac Fisheries, TR-53100 Rize, Turkey</t>
  </si>
  <si>
    <t>Karadeniz Technical University; Giresun University; Karadeniz Technical University; Recep Tayyip Erdogan University</t>
  </si>
  <si>
    <t>Çevik, U (corresponding author), Karadeniz Tech Univ, Dept Phys, TR-61080 Trabzon, Turkey.</t>
  </si>
  <si>
    <t>berrenazli@yahoo.com</t>
  </si>
  <si>
    <t>Bulut, Volkan/AAT-5433-2020; Duran, Celal/AAS-2323-2020; Dalgıç, Göktuğ/AAK-9485-2020; Cevik, U./AAW-2997-2020</t>
  </si>
  <si>
    <t>Duran, Celal/0000-0002-1306-9061; DALGIC, GOKTUG/0000-0001-8619-6160</t>
  </si>
  <si>
    <t>DEC 30</t>
  </si>
  <si>
    <t>10.1016/j.jhazmat.2008.03.010</t>
  </si>
  <si>
    <t>377ML</t>
  </si>
  <si>
    <t>WOS:000261255200020</t>
  </si>
  <si>
    <t>Chahouri, A; Lamine, I; Ouchene, H; Yacoubi, B; Moukrim, A; Banaoui, A</t>
  </si>
  <si>
    <t>Chahouri, Abir; Lamine, Imane; Ouchene, Hanan; Yacoubi, Bouchra; Moukrim, Abdellatif; Banaoui, Ali</t>
  </si>
  <si>
    <t>Assessment of heavy metal contamination and ecological risk in Morocco's marine and estuarine ecosystems through a combined analysis of surface sediment and bioindicator species: Donax trunculus and Scrobicularia plana</t>
  </si>
  <si>
    <t>Heavy metals; Donax trunculus; Scrobicularia plana; Sediment; Pollution risk</t>
  </si>
  <si>
    <t>MYTILUS-GALLOPROVINCIALIS; ATLANTIC COAST; ORGANIC-CARBON; TRACE-METALS; PERNA-PERNA; POLLUTION; WATER; BIOACCUMULATION; MUSSEL; COPPER</t>
  </si>
  <si>
    <t>Morocco is one of the most affected regions by heavy metal pollution worldwide. In this study, two ecosystems in Agadir Bay, southern Morocco, were studied seasonally, using surface sediment and bivalve species. The con-centrations of Cu, Pb and Cd were determined using the Shimadzu AAS 7000 flame atomic absorption spec-trophotometer method. Our results marked average levels corresponding to an unpolluted sediment with a low contamination degree, low ecological risk associated with metal contamination, and levels that did not exceed the thresholds set by EC, USEPA, INERIS and INRH, except for Pb in tourist beach. The principal component analysis findings revealed a positive correlation in the bioaccumulation between the two compartments, with an influence of abiotic parameters. Thus, to better manage environmental pollution in these ecosystems, authorities must implement waste treatment strategies in the surrounding harbor and tourist complexes and prohibit the use of these toxic metals in the coastal areas.</t>
  </si>
  <si>
    <t>[Chahouri, Abir; Lamine, Imane; Ouchene, Hanan; Yacoubi, Bouchra; Banaoui, Ali] Ibn Zohr Univ, Fac Sci Agadir, Dept Biol, Aquat Syst Lab Marine &amp; Continental Environm, Agadir, Morocco; [Moukrim, Abdellatif] Hassan I Univ, Settat, Morocco</t>
  </si>
  <si>
    <t>Ibn Zohr University of Agadir; Hassan First University of Settat</t>
  </si>
  <si>
    <t>Chahouri, A (corresponding author), Ibn Zohr Univ, Fac Sci Agadir, Dept Biol, Aquat Syst Lab Marine &amp; Continental Environm, Agadir, Morocco.</t>
  </si>
  <si>
    <t>abir.chahouri@gmail.com</t>
  </si>
  <si>
    <t>Lamine, Imane/0000-0001-9123-5638</t>
  </si>
  <si>
    <t>10.1016/j.marpolbul.2023.115076</t>
  </si>
  <si>
    <t>J9QA1</t>
  </si>
  <si>
    <t>WOS:001012887000001</t>
  </si>
  <si>
    <t>Gaber, I; Al-Mahasneh, A</t>
  </si>
  <si>
    <t>Gaber, I; Al-Mahasneh, A.</t>
  </si>
  <si>
    <t>Histological and immunocytochemical study on the detoxification of cadmium chloride in Anadara notabilis (Roding 1798) (Bivalvia, Arcidae)</t>
  </si>
  <si>
    <t>Cytokines; Cadmium chloride; Encapsulation; Hemocytes; Mantle retraction; Nucleic acids; Phagocytosis</t>
  </si>
  <si>
    <t>NITRIC-OXIDE PRODUCTION; MYTILUS-GALLOPROVINCIALIS; IMMUNE-RESPONSES; SUPEROXIDE ANION; HEMOCYTES; PHAGOCYTOSIS; GENERATION; MOLLUSK; ACTIVATION; APOPTOSIS</t>
  </si>
  <si>
    <t>Marine organisms are subjected to pathogens and xenobiotics in their natural ecosystem. The objective of this study was to test the role of hemocytes in Anadara notabilis subjected to cadmium chloride pollution. The clams were collected from the Mediterranean Sea off Alexandria, Egypt, in summer and winter 2019 for morphological and immunocytotoxic studies. Sodium Dodecyl sulfate polyacrylamide gel electrophoresis was carried out to separate the proteins of hemolymph lysate. Immunodetection was performed with anti-inducible and anti-endothelial nitric oxide synthesis and anti-p105 antibody. Nitric oxide production in hemocytes was tested. Nucleic acids were extracted and quantified. Clams subjected to cadmium chloride pollution (100 mu g/L, 250 mu g/L and 500 mu g/L) showed a multifocal inflammatory reaction in the columnar epithelia and the connective tissue with mantle retraction in an active encapsulation. During summer hemocytes incubated with interleukin-2 released more nitric oxide than control cells while the use of the protein kinase C inhibitor caused a slight increase in the nitric oxide synthesis compared to hemocytes incubated in interleukin-2. The use of monoclonal antibodies in hemocytes lysate incubated with the different inducers revealed the presence of 140 and 145 kDa bands in both control and treated clams during summer and winter. The proportion of SH hemocytes (spreading cells with phagocytic activities) exceeded that of RH cells (round cells with non-phagocytic activities) in summer and winter. During winter, the DNA fragments appeared characteristic of apoptosis. This study concludes that interleukin-2 causes notable increases in NO production irrespective of season. During summer hemocytes produce an amount of NO double than those observed during winter.</t>
  </si>
  <si>
    <t>[Gaber, I] Alexandria Univ, Fac Sci, Dept Zool, Alexandria 21547, Egypt; [Al-Mahasneh, A.] Tafila Tech Univ, Fac Sci, Pob 179, Tafila 66110, Jordan</t>
  </si>
  <si>
    <t>Egyptian Knowledge Bank (EKB); Alexandria University; Tafila Technical University</t>
  </si>
  <si>
    <t>Gaber, I (corresponding author), Alexandria Univ, Fac Sci, Dept Zool, Alexandria 21547, Egypt.</t>
  </si>
  <si>
    <t>saadg3733@gmail.com</t>
  </si>
  <si>
    <t>Gaber, Ibrahim/JOZ-4545-2023; ibrahim, Gaber/A-5214-2015</t>
  </si>
  <si>
    <t>ibrahim, Gaber/0000-0002-0567-9951</t>
  </si>
  <si>
    <t>Alexandria University, Faculty of Science, Zoology department; Faculty of Science, Tafila Technical University</t>
  </si>
  <si>
    <t>The authors thank Alexandria University, Faculty of Science, Zoology department and the Faculty of Science, Tafila Technical University, for supporting this research. Ethical clearance for this study was obtained from Alexandria University ethics committee. The authors wish to thank all who assisted in conducting this work.</t>
  </si>
  <si>
    <t>10.1007/s13762-022-04421-3</t>
  </si>
  <si>
    <t>G9VZ0</t>
  </si>
  <si>
    <t>WOS:000832570400001</t>
  </si>
  <si>
    <t>Antón, A; Serrano, T; Angulo, E; Ferrero, G; Rallo, A</t>
  </si>
  <si>
    <t>The use of two species of crayfish as environmental quality sentinels:: the relationship between heavy metal content, cell and tissue biomarkers and physico-chemical characteristics of the environment</t>
  </si>
  <si>
    <t>2nd Iberian Congress on Environmental Contamination and Toxicology</t>
  </si>
  <si>
    <t>JUN 08-12, 1998</t>
  </si>
  <si>
    <t>BASQUE COUNTRY, SPAIN</t>
  </si>
  <si>
    <t>freshwater crustaceans; toxicology; heavy metals; cellular biomarkers; tissue biomarkers; water quality</t>
  </si>
  <si>
    <t>QUANTITATIVE ALTERATIONS; LYSOSOMAL STRUCTURE; MUSSELS; CADMIUM; EXPOSURE; POLLUTION; SYSTEM; INDEX</t>
  </si>
  <si>
    <t>In systems as heavily disturbed as rivers, the use of biological sentinels is a most interesting way of obtaining continuous assessment of environmental quality. This study seeks to establish the value of such sentinels of two species of crayfish: the native crayfish (Austropotnmobius pallipes, Lereboullet 1858) and an introduced species, signal crayfish (Pacifastacus leniusculus, Dana 1852), by comparing the habitat quality (water and sediments) and heavy metal contents in crayfish with the degree of stress manifested by the animals, measured by cell and tissue biomarkers. For this purpose a histological study of the digestive gland was carried out together with measurements of heavy metal contents in samples from various points of the river network of Bizkaia (Spain), selected on the basis of their degree of disturbance. The results establish a positive correlation between these environmental conditions, the cell and tissue biomarkers of the digestive gland (thinning of the digestive epithelium, enlargement of digestive lysosomes) and the heavy metal contents of the animals (converted to an index of pollutant load). (C) 2000 Elsevier Science B.V. All rights reserved.</t>
  </si>
  <si>
    <t>Univ Basque Country, EHU, Fac Ciencias, Dept Zool &amp; Dinam Celular Anim, E-48080 Bilbao, Spain</t>
  </si>
  <si>
    <t>Univ Basque Country, EHU, Fac Ciencias, Dept Zool &amp; Dinam Celular Anim, Apdo 644, E-48080 Bilbao, Spain.</t>
  </si>
  <si>
    <t>zopsemot@lg.ehu.es</t>
  </si>
  <si>
    <t>Anton, Alvaro/O-3333-2019</t>
  </si>
  <si>
    <t>Anton, Alvaro/0000-0003-4108-6122</t>
  </si>
  <si>
    <t>10.1016/S0048-9697(99)00493-3</t>
  </si>
  <si>
    <t>305JW</t>
  </si>
  <si>
    <t>WOS:000086537200015</t>
  </si>
  <si>
    <t>Zou, HX; Pang, QY; Lin, LD; Zhang, AQ; Li, N; Lin, YQ; Li, LM; Wu, QQ; Yan, XF</t>
  </si>
  <si>
    <t>Zou, Hui-Xi; Pang, Qiu-Ying; Lin, Li-Dong; Zhang, Ai-Qin; Li, Nan; Lin, Yan-Qing; Li, Lu-Min; Wu, Qin-Qin; Yan, Xiu-Feng</t>
  </si>
  <si>
    <t>Behavior of the Edible Seaweed Sargassum fusiforme to Copper Pollution: Short-Term Acclimation and Long-Term Adaptation</t>
  </si>
  <si>
    <t>CLAM RUDITAPES-PHILIPPINARUM; INDUCED OXIDATIVE STRESS; BROWN ALGA; NITRATE REDUCTASE; D-ASPARTATE; DIFFERENTIAL RESPONSES; METABOLIC-RESPONSES; NITROGEN-METABOLISM; ANTIOXIDANT ENZYMES; HIZIKIA-FUSIFORMIS</t>
  </si>
  <si>
    <t>Aquatic agriculture in heavy-metal-polluted coastal areas faces major problems due to heavy metal transfer into aquatic organisms, leading to various unexpected changes in nutrition and primary and/or secondary metabolism. In the present study, the dual role of heavy metal copper (Cu) played in the metabolism of photosynthetic organism, the edible seaweed Sargassum fusiforme, was evaluated by characterization of biochemical and metabolic responses using both H-1 NMR and GC-MS techniques under acute (47 mu M, 1 day) and chronic stress (8 mu M, 7 days). Consequently, photosynthesis may be seriously inhibited by acute Cu exposure, resulting in decreasing levels of carbohydrates, e. g., mannitol, the main products of photosynthesis. Ascorbate may play important roles in the antioxidant system, whose content was much more seriously decreased under acute than that under chronic Cu stress. Overall, these results showed differential toxicological responses on metabolite profiles of S. fusiforme subjected to acute and chronic Cu exposures that allowed assessment of impact of Cu on marine organisms.</t>
  </si>
  <si>
    <t>[Zou, Hui-Xi; Li, Nan; Lin, Yan-Qing; Li, Lu-Min; Wu, Qin-Qin; Yan, Xiu-Feng] Wenzhou Univ, Coll Life &amp; Environm Sci, Zhejiang Prov Key Lab Subtrop Water Environm &amp; Ma, Wenzhou, Peoples R China; [Pang, Qiu-Ying; Lin, Li-Dong; Zhang, Ai-Qin] Northeast Forest Univ, Key Lab Saline Alkali Vegetat Ecol Restorat Oil F, Harbin, Peoples R China</t>
  </si>
  <si>
    <t>Wenzhou University; Northeast Forestry University - China</t>
  </si>
  <si>
    <t>Yan, XF (corresponding author), Wenzhou Univ, Coll Life &amp; Environm Sci, Zhejiang Prov Key Lab Subtrop Water Environm &amp; Ma, Wenzhou, Peoples R China.</t>
  </si>
  <si>
    <t>yanxiufeng@wzu.edu.cn</t>
  </si>
  <si>
    <t>Zou, Hui-Xi/GPS-6496-2022</t>
  </si>
  <si>
    <t>Zou, Hui-Xi/0000-0002-8141-8059; Yan, Xiufeng/0000-0001-5127-494X</t>
  </si>
  <si>
    <t>Zhejiang Provincial Natural Science Foundation of China [LQ13C030005]; Natural Science Foundation of China [31270541]; Plan for Qianjiang Talent of Zhejiang [QJD1202014]; Program for Wenzhou Science &amp; Technology Innovative Research Team of China [C20120007-08]</t>
  </si>
  <si>
    <t>Zhejiang Provincial Natural Science Foundation of China(Natural Science Foundation of Zhejiang Province); Natural Science Foundation of China(National Natural Science Foundation of China (NSFC)); Plan for Qianjiang Talent of Zhejiang; Program for Wenzhou Science &amp; Technology Innovative Research Team of China</t>
  </si>
  <si>
    <t>This material is based upon work funded by Zhejiang Provincial Natural Science Foundation of China (LQ13C030005, http://www.zjnsf.gov.cn), Natural Science Foundation of China (31270541, http://www.nsfc.gov.cn), Plan for Qianjiang Talent of Zhejiang (QJD1202014), and Program for Wenzhou Science &amp; Technology Innovative Research Team of China (C20120007-08). The funders had no role in study design, data collection and analysis, decision to publish, or preparation of the manuscript.</t>
  </si>
  <si>
    <t>e101960</t>
  </si>
  <si>
    <t>10.1371/journal.pone.0101960</t>
  </si>
  <si>
    <t>AM6RN</t>
  </si>
  <si>
    <t>Green Submitted, gold, Green Published</t>
  </si>
  <si>
    <t>WOS:000339992400029</t>
  </si>
  <si>
    <t>Guitart, C; Hernández-del-Valle, A; Marín, JM; Benedicto, J</t>
  </si>
  <si>
    <t>Guitart, Carlos; Hernandez-del-Valle, Adrian; Miguel Marin, J.; Benedicto, Jose</t>
  </si>
  <si>
    <t>Tracking Temporal Trend Breaks of Anthropogenic Change in Mussel Watch (MW) Databases</t>
  </si>
  <si>
    <t>MYTILUS-GALLOPROVINCIALIS; CHEMICAL CONCENTRATIONS; ARTIFICIAL MUSSEL; BAYESIAN-ANALYSIS; STRUCTURAL-CHANGE; TRACE-METALS; WILD MUSSELS; US COAST; FISH; PB</t>
  </si>
  <si>
    <t>The potential for structural changes in time trend concentrations of mercury (Hg), lead (Pb), cadmium (Cd), zinc (Zn), and copper (Cu) in the Mediterranean mussel, Mytilus galloprovincialis, was examined in Mussel Watch (MW) databases of metal pollution at eighteen coastal stations over a decadal period, from 1992 to 2007. Simultaneously, by using two statistical methods representing both the classical hypothesis-testing and the Bayesian approaches, we found single and multiple trend breaks for Hg (28% of the stations), Cd (17%), and Pb (11%) within trends in connection with anthropogenic and subtle natural environmental changes. Also called change point problems, if not accounted for, these could bias time trend investigations and interpretations. We calculated trend rate differences of 39% and switches up to 1 order of magnitude from classical linear trend assessments. We discuss sampling, analytical, and environmental (both natural and anthropogenic) sources of data set variabilities, showing that, in practice, the overall 16-year analytical performance could be as elevated as the yearly sampling reproducibility. We demonstrate that environmental time trend interpretations benefit from undertaking prior structural change analysis. After decades of MW marine chemical pollution assessments these have proven extremely useful, although the occurrence of trend breaks directly affects the long-term marine environmental monitoring strategies. Our results suggest a broader concept to design monitoring programs in agreement with rapid global anthropogenic and environmental changes.</t>
  </si>
  <si>
    <t>[Guitart, Carlos; Benedicto, Jose] Murcia Oceanog Ctr, Spanish Inst Oceanog, Murcia 30740, Spain; [Hernandez-del-Valle, Adrian] Natl Polytech Inst, Dept Econ, Mexico City 07738, DF, Mexico; [Miguel Marin, J.] Univ Carlos III Madrid, Dept Stat, Madrid 28903, Spain</t>
  </si>
  <si>
    <t>Spanish Institute of Oceanography; Instituto Politecnico Nacional - Mexico; Universidad Carlos III de Madrid</t>
  </si>
  <si>
    <t>Guitart, C (corresponding author), Murcia Oceanog Ctr, Spanish Inst Oceanog, Murcia 30740, Spain.</t>
  </si>
  <si>
    <t>carlos.guitart@mu.ieo.es</t>
  </si>
  <si>
    <t>MARIN, JUAN MIGUEL/H-6398-2015</t>
  </si>
  <si>
    <t>MARIN, JUAN MIGUEL/0000-0002-6744-6475</t>
  </si>
  <si>
    <t>Spanish Ministry of the Environment, and Rural and Marine Environments through the Spanish Institute of Oceanography - Marine Pollution Monitoring Program</t>
  </si>
  <si>
    <t>We sincerely thank the life-work of laboratory manager Mr. Juan Guerrero (deceased in 2009) who performed the majority of the metal analyses in mussel samples included in this work. Support grants were received from the Spanish Ministry of the Environment, and Rural and Marine Environments to conduct the Mediterranean Pollution (MEDPOL) Programme, through the Spanish Institute of Oceanography - Marine Pollution Monitoring Program. We are grateful to Scott W. Fowler and J.W. Readman for valuable comments.</t>
  </si>
  <si>
    <t>NOV 6</t>
  </si>
  <si>
    <t>10.1021/es3021183</t>
  </si>
  <si>
    <t>031TK</t>
  </si>
  <si>
    <t>WOS:000310665000005</t>
  </si>
  <si>
    <t>Sarker, S; Vashistha, D; Sarker, MS; Sarkar, A</t>
  </si>
  <si>
    <t>Sarker, Subhodeep; Vashistha, Deepti; Sarker, Munmun Saha; Sarkar, A.</t>
  </si>
  <si>
    <t>DNA damage in marine rock oyster (Saccostrea Cucullata) exposed to environmentally available PAHs and heavy metals along the Arabian Sea coast</t>
  </si>
  <si>
    <t>Genetic ecotoxicology; DNA damage; Saccostrea cucullata; Environmental exposure; PAHs; Heavy metals</t>
  </si>
  <si>
    <t>POLYCYCLIC AROMATIC-HYDROCARBONS; ELECTROPHORESIS COMET ASSAY; MUSSELS PERNA-VIRIDIS; BIOMARKER RESPONSES; CRASSOSTREA-GIGAS; STRAND BREAKS; OIL-SPILL; MYTILUS-GALLOPROVINCIALIS; ORGANOCHLORINE PESTICIDES; INDUCED GENOTOXICITY</t>
  </si>
  <si>
    <t>Molecular biomarkers are used world wide for quick assessment of the immediate effect of environmental pollution on marine ecosystems. Recently, we evaluated oxidative stress responses of marine rock oyster, Saccostrea cucullata impacted due to polycyclic aromatic hydrocarbons (PAHs) accumulated in their tissues at a few sampling sites along the coast of Goa around the region of the Arabian sea coast, India (Sarkar et al., 2017). Using a combination of partial alkaline unwinding and comet assays, we now report a comprehensive study on the impairment of DNA integrity (DI) in S. cucullata due to exposure to environmentally available PAHs and also heavy metals (Pb, Cd, Cu, Fe and Mn) along the Arabian Sea coast, Goa, India exclusively around the entire coast of Goa. First, we determined significant correlation between DI in S. cucullata and the extent of exposure to and bioaccumulation of different PAH compounds including 2-3 aromatic ring PAHs (R-2, 0.95), 4-6 aromatic ring PAHs (R-2, 0.85), oxygenated-PAHs (oxy-PAHs, R-2, 0.84) and total PAHs (t-PAHs, R-2, 0.98). Second, we observed dose-dependent decrease in DI in S. cucullata with increasing concentrations of different PAH components in oyster tissues. We substantiated our field observations with appropriate laboratory controls using benzo[a] pyrene (BaP). Third, we performed stepwise multiple regression analyses of different water quality parameters including pH, salinity, temperature, dissolved oxygen (DO), biochemical oxygen demand (BOD), nitrite (NO2), nitrate (NO3), phosphate (PO4), turbidity and also t-PAH-biota, t-PAH-water with DI as the dependent variable. Among all these parameters, only four parameters such as t-PAH-biota in combination with DO, BOD and NO2 showed significant correlation ((R) over bar (2) = 0.95) with loss in DI in S. cucullata. Based on these results, we created a map indicating the percentage of DNA damage in S. cucullata exposed to PAHs and heavy metals at each sampling location along the west coast of India around Goa, India.</t>
  </si>
  <si>
    <t>[Sarker, Subhodeep] Univ Sydney, Sydney Med Sch, Sch Med Sci, Discipline Pharmacol, Sydney, NSW 2006, Australia; [Vashistha, Deepti; Sarkar, A.] CSIR, Natl Inst Oceanog, Panaji 403004, Goa, India; [Sarker, Subhodeep; Vashistha, Deepti; Sarker, Munmun Saha; Sarkar, A.] Global Envirocare, Caranzalem 403002, Goa, India; [Sarker, Munmun Saha] Rabindra Bharati Univ, Emerald Bower Campus, Kolkata 700050, India</t>
  </si>
  <si>
    <t>University of Sydney; Council of Scientific &amp; Industrial Research (CSIR) - India; CSIR - National Institute of Oceanography (NIO)</t>
  </si>
  <si>
    <t>Sarker, S (corresponding author), Univ Sydney, Sydney Med Sch, Sch Med Sci, Discipline Pharmacol, Sydney, NSW 2006, Australia.;Sarkar, A (corresponding author), Global Envirocare, Caranzalem 403002, Goa, India.</t>
  </si>
  <si>
    <t>ssarker007k@gmail.com; msahasarker@gmail.com; asarkar52@gmail.com</t>
  </si>
  <si>
    <t>, Deepti/0000-0002-5704-7649; Sarker, Subhodeep/0000-0002-2222-2072</t>
  </si>
  <si>
    <t>Council of Scientific and Industrial Research, New Delhi [RF81745]; National Institute of Oceanography, Goa [OLP-0009]</t>
  </si>
  <si>
    <t>Council of Scientific and Industrial Research, New Delhi(Council of Scientific &amp; Industrial Research (CSIR) - India); National Institute of Oceanography, Goa</t>
  </si>
  <si>
    <t>The authors are thankful to the Director, CSIR-NIO, Goa and the Director General, CSIR, New Delhi for their encouragement and the infrastructural facilities. The research was funded by the Council of Scientific and Industrial Research, New Delhi (RF81745) and the National Institute of Oceanography, Goa (OLP-0009).</t>
  </si>
  <si>
    <t>APR 30</t>
  </si>
  <si>
    <t>10.1016/j.ecoenv.2018.01.004</t>
  </si>
  <si>
    <t>FZ7UZ</t>
  </si>
  <si>
    <t>WOS:000427810900019</t>
  </si>
  <si>
    <t>Smaoui-Damak, W; Rebai, T; Berthet, B; Hamza-Chaffai, A</t>
  </si>
  <si>
    <t>Smaoui-Damak, W.; Rebai, T.; Berthet, B.; Hamza-Chaffai, A.</t>
  </si>
  <si>
    <t>Does cadmium pollution affect reproduction in the clam Ruditapes decussatus?: A one-year case study</t>
  </si>
  <si>
    <t>condition index; field study; gametogenesis scale; Gulf of Gabes; hermaphroditic species; histology; maturity index; reproduction; sexual maturation</t>
  </si>
  <si>
    <t>MYA-ARENARIA; GAMETOGENIC CYCLE; SAGUENAY FJORD; BIOCHEMICAL-COMPOSITION; SEASONAL-VARIATION; TRACE-METALS; IN-SITU; METALLOTHIONEINS; ESTUARY; OYSTER</t>
  </si>
  <si>
    <t>The effect of cadmium (Cd) on the reproduction of Ruditapes decussatus was monitored over a period of 12 months, from June 2001 to June 2002. Two sites Bordj d'Ungha and El Hofta differing by their degree of cadmium contamination were chosen in the Gulf of Gabes area (Tunisia). Annual mean concentrations of Cd in the whole soft tissues of clams from the site El Hofra were more than 4 times higher than those from the site Bordj d'Ungha (reference site). The gametogenic cycle of the clam R. decussatus was also investigated by histological examination and monthly observations of gonadal sections in a population of clams from both sites. The results show that gametogenesis occurred from March to December in clams from both sites. Nevertheless, spawning and emission of gametes were synchronized in both sexes from only the clams of the reference site. Although this species is considered as gonochoristic, 6.6% of hermaphroditic cases were observed in clams from both sites in which gametes of both males and females were in ripe stage. Moreover, the period of ripening of sexual products led to an increase of condition index and to a decrease of Cd concentrations in the whole soft tissues of clams from both sites, hence reflecting the phenomenon of biological dilution. (c) 2006 Elsevier Inc. All rights reserved.</t>
  </si>
  <si>
    <t>Univ Sfax, IPEIS, Sfax 3018, Tunisia; Fac Med Sfax, Histol Lab, Sfax 3029, Tunisia; SMAB, Serv Ecotoxicol, F-44322 Nantes 3, France; ICES, La Roche sur Yon, France</t>
  </si>
  <si>
    <t>Universite de Sfax; Universite de Sfax</t>
  </si>
  <si>
    <t>Smaoui-Damak, W (corresponding author), Univ Sfax, IPEIS, UR 09-03,BP 805, Sfax 3018, Tunisia.</t>
  </si>
  <si>
    <t>wafa.damak@tunet.tn</t>
  </si>
  <si>
    <t>10.1016/j.cbpc.2006.02.009</t>
  </si>
  <si>
    <t>046UJ</t>
  </si>
  <si>
    <t>WOS:000237836300015</t>
  </si>
  <si>
    <t>Jin, JL; Zhao, XG; Zhang, L; Hu, YR; Zhao, JF; Tian, JJ; Ren, J; Lin, KF; Cui, CZ</t>
  </si>
  <si>
    <t>Jin, Jialu; Zhao, Xiuge; Zhang, Lei; Hu, Yaru; Zhao, Jianfeng; Tian, Junjie; Ren, Jing; Lin, Kuangfei; Cui, Changzheng</t>
  </si>
  <si>
    <t>Heavy metals in daily meals and food ingredients in the Yangtze River Delta and their probabilistic health risk assessment</t>
  </si>
  <si>
    <t>Heavy metals; Ingestion rate investigation; Probabilistic health risk; Food ingredients; Daily meals</t>
  </si>
  <si>
    <t>TRACE-ELEMENTS; SOIL; CONTAMINATION; EXPOSURE; RICE; BIOACCESSIBILITY; CONSUMPTION; POLLUTION; FISHES; MARKET</t>
  </si>
  <si>
    <t>Heavy metal exposure via food consumption is inadequately investigated and deserves considerable attention. We col-lected hundreds of food ingredients and daily meals and assessed their probabilistic health risk using a Monte Carlo simulation based on an ingestion rate investigation. The detected concentrations of four heavy metals (Cr, Cd, Pb, and Hg) in all daily meal samples were within the limits stipulated in the National Food Safety Standard (GB 2762-2017), while that for As level was excessive in 0.3 % of daily meal samples. The same results were also observed in most food ingredient samples, and a standard-exceeding ratio of 23 % of As was observed in aquatic food or products, especially seafood, which was with the highest concentration reaching 1.24 mg/kg. Combining the detected heavy metal amounts with the ingestion rate investigation, the hazard quotients (HQs) of As, Cr, Cd, Pb, and Hg in daily meals and food ingredients were all calculated as lower than 1 (no obvious harm), while the incremental lifetime can-cer risk (ILCR) of As and Cr (&gt; 1 x 10-4), indicating that the residual As posed potential health effects to human health. It was noteworthy that the proportion of aquatic foods only accounted for 6.3 % of daily meals, but they occu-pied 41.1 % of the heavy metal exposure, which could be attributed to the high amounts of heavy metals in aquatic foods. This study not only provided basic data of heavy metal exposure and potential health risks through daily oral dietary intake, but also illuminated the contribution of different kinds of food ingredients. Specifically, the study high-lighted the contamination of aquatic foods with As, especially seafood such as shellfish and bivalves.</t>
  </si>
  <si>
    <t>[Jin, Jialu; Zhang, Lei; Hu, Yaru; Zhao, Jianfeng; Tian, Junjie; Ren, Jing; Lin, Kuangfei; Cui, Changzheng] East China Univ Sci &amp; Technol, Sch Resources &amp; Environm Engn, State Environm Protect Key Lab Environm Risk Asses, Shanghai 200237, Peoples R China; [Zhao, Xiuge] Chinese Res Inst Environm Sci, State Key Lab Environm Criteria &amp; Risk Assessment, Beijing 100012, Peoples R China; [Hu, Yaru; Cui, Changzheng] Shanghai Inst Pollut Control &amp; Ecol Secur, Shanghai 200092, Peoples R China</t>
  </si>
  <si>
    <t>East China University of Science &amp; Technology; Chinese Research Academy of Environmental Sciences</t>
  </si>
  <si>
    <t>Cui, CZ (corresponding author), East China Univ Sci &amp; Technol, Sch Resources &amp; Environm Engn, State Environm Protect Key Lab Environm Risk Asses, Shanghai 200237, Peoples R China.</t>
  </si>
  <si>
    <t>cuichangzheng@ecust.edu.cn</t>
  </si>
  <si>
    <t>sun, yuan/KBD-3926-2024; Li, Yuanyuan/KEH-6935-2024; Hu, Yaru/GRR-6504-2022</t>
  </si>
  <si>
    <t>Ministry of Ecology and Environment of the People's Republic of China [EH201111]</t>
  </si>
  <si>
    <t>Ministry of Ecology and Environment of the People's Republic of China</t>
  </si>
  <si>
    <t>Acknowledgments This study was supported by the Ministry of Ecology and Environment of the People's Republic of China (EH201111) .</t>
  </si>
  <si>
    <t>10.1016/j.scitotenv.2022.158713</t>
  </si>
  <si>
    <t>5A2YV</t>
  </si>
  <si>
    <t>WOS:000862758300011</t>
  </si>
  <si>
    <t>Chalkiadaki, O; Dassenakis, M; Lydakis-Simantiris, N</t>
  </si>
  <si>
    <t>Chalkiadaki, Olga; Dassenakis, Manos; Lydakis-Simantiris, Nikos</t>
  </si>
  <si>
    <t>Bioconcentration of Cd and Ni in various tissues of two marine bivalves living in different habitats and exposed to heavily polluted seawater</t>
  </si>
  <si>
    <t>nickel; cadmium; bioaccumulation; Mytilus galloprovincialis; Callista chione; marine pollution</t>
  </si>
  <si>
    <t>MYTILUS-GALLOPROVINCIALIS; BINDING PROTEINS; CADMIUM ACCUMULATION; RUDITAPES-DECUSSATUS; DIGESTIVE GLAND; SARONIKOS GULF; METAL LEVELS; MUSSELS; METALLOTHIONEINS; BIOACCUMULATION</t>
  </si>
  <si>
    <t>Two marine bivalves, Mytilus galloprovincialis and Callista chione, were exposed to various concentrations of cadmium and nickel (0.5, 1.0, 2.5 and 20ppm), for 20 days, plus 10 days' depuration period, in a laboratory experiment. Animals from each experimental condition were dissected and the bioaccumulation and distribution of Cd and Ni were determined in their gills, mantles and remaining bodies. The concentrations of Fe and Zn were also measured. Heavy metal tolerance, bioconcentration and distribution of heavy metals in tissues were considerably different in M. galloprovincialis and C. chione: (i) both animals were tolerant to Ni pollution, even at the highest concentration used; (ii) C. chione was more tolerant to Cd; (iii) M. galloprovincialis was a better Cd and Ni accumulator, with the exception of the highest Cd concentration tested, where C. chione accumulated more Cd; (iv) Fe and Zn levels were much more affected in M. galloprovincialis; (v) in general, accumulation and distribution of Ni and Cd in the tissues were metal-, species- and time of exposure- dependent; (vi) significant amounts of heavy metals remained in the tissues after 10 days' depuration. Our results support a hypothesis for a two competing processes mechanism for metal accumulation and detoxification.</t>
  </si>
  <si>
    <t>[Chalkiadaki, Olga; Lydakis-Simantiris, Nikos] Technol Educ Inst Crete, Dept Environm &amp; Nat Resources Engn, Lab Environm Chem &amp; Biochem Proc, Khania 73135, Crete, Greece; [Chalkiadaki, Olga; Dassenakis, Manos] Univ Athens, Fac Chem, Environm Chem Lab, Athens 15771, Greece</t>
  </si>
  <si>
    <t>Hellenic Mediterranean University; National &amp; Kapodistrian University of Athens</t>
  </si>
  <si>
    <t>Lydakis-Simantiris, N (corresponding author), Technol Educ Inst Crete, Dept Environm &amp; Nat Resources Engn, Lab Environm Chem &amp; Biochem Proc, POB 89, Khania 73135, Crete, Greece.</t>
  </si>
  <si>
    <t>lydakis@chania.teicrete.gr</t>
  </si>
  <si>
    <t>Dassenakis, Manos/AAA-7788-2020; Lydakis-Simantiris, Nikos/E-8567-2013</t>
  </si>
  <si>
    <t>Lydakis-Simantiris, Nikos/0000-0002-4592-0404</t>
  </si>
  <si>
    <t>European Union (European Social Fund - ESF); Greek national funds through the Operational Program 'Education and Lifelong Learning' of the National Strategic Reference Framework (NSRF) - Research Funding Program: Heracleitus II. Investing in knowledge society through the European Social Fund</t>
  </si>
  <si>
    <t>European Union (European Social Fund - ESF)(European Union (EU)European Social Fund (ESF)); Greek national funds through the Operational Program 'Education and Lifelong Learning' of the National Strategic Reference Framework (NSRF) - Research Funding Program: Heracleitus II. Investing in knowledge society through the European Social Fund</t>
  </si>
  <si>
    <t>Excellent technical assistance on the atomic absorption spectrometry by Dr. Vicky Paraskevopoulou is acknowledged. This research has been co-financed by the European Union (European Social Fund - ESF) and Greek national funds through the Operational Program 'Education and Lifelong Learning' of the National Strategic Reference Framework (NSRF) - Research Funding Program: Heracleitus II. Investing in knowledge society through the European Social Fund.</t>
  </si>
  <si>
    <t>NOV 17</t>
  </si>
  <si>
    <t>10.1080/02757540.2014.917172</t>
  </si>
  <si>
    <t>AR2LP</t>
  </si>
  <si>
    <t>WOS:000343418600004</t>
  </si>
  <si>
    <t>Ahmad, I; Coelho, JP; Mohmood, I; Anjum, NA; Pacheco, M; Santos, MA; Duarte, AC; Pereira, E</t>
  </si>
  <si>
    <t>Ahmad, Iqbal; Coelho, Joao P.; Mohmood, Iram; Anjum, Naser A.; Pacheco, Mario; Santos, Maria A.; Duarte, Armando C.; Pereira, E.</t>
  </si>
  <si>
    <t>Mercury contaminated systems under recovery can represent an increased risk to seafood human consumers - A paradox depicted in bivalves' body burdens</t>
  </si>
  <si>
    <t>Mercury; Scrobicularia plana; Legacy; Health risk; Ecosystem recovery</t>
  </si>
  <si>
    <t>ATOMIC-ABSORPTION-SPECTROMETRY; SCROBICULARIA-PLANA; SEDIMENTS; PORTUGAL; SAMPLES; FISH; CONSUMPTION; POLLUTION; AVEIRO; LAGOON</t>
  </si>
  <si>
    <t>The present study, carried out in a mercury (Hg) contaminated estuary, aimed to investigate: (i) the long-term evolution of the Hg bioavailability in the environmental matrices, in a period of 5 years (2003-2008). without new anthropogenic inputs; (ii) the temporal evolution of Hg load (organic and inorganic forms) in the native bivalve Scrobicularia piano, inferring the progression of human health risk associated to its consumption and the dependence on the animals' size. The area selected was Laranjo basin of Ria de Aveiro (Portugal), where a Hg gradient was identified because of past discharges from a chlor-alkali plant. Two sites termed M (moderately contaminated) and H (highly contaminated) were compared with an uncontaminated reference (R) site. Results displayed a persistence of Hg in the environment, though the levels in sediment decreased at site H, confirming the ecosystem recovery. The risk associated to clam consumption remained stable in 2008 considering their total Hg (T-Hg) load and the limits established by public health authorities, though T-Hg levels significantly decreased at H site for size classes C3 (2 year) and C4 (4 year). Organic Hg (O-Hg) accumulation increased from 2003 to 2008, reaching threatening levels and suggesting an increased bioavailability of this Hg form. This evolution towards an increase of O-Hg accumulation was particularly prominent under a moderate contamination scenario (site M). Overall, it was demonstrated that a period of 5 years of ecosystem recovery was not enough to eliminate the risk to human consumers, highlighting Hg contamination in estuaries as a long-lasting legacy. Paradoxically, it was pointed out that in a given step of the long-term restoration process, occurring naturally in aquatic systems, the risk associated to bivalves' consumption can appear augmented due to O-Hg accumulation increments. (C) 2012 Elsevier Ltd. All rights reserved.</t>
  </si>
  <si>
    <t>[Ahmad, Iqbal; Coelho, Joao P.; Mohmood, Iram; Anjum, Naser A.; Pacheco, Mario; Santos, Maria A.; Duarte, Armando C.; Pereira, E.] Univ Aveiro, CESAM, P-3810193 Aveiro, Portugal; [Ahmad, Iqbal; Coelho, Joao P.; Mohmood, Iram; Anjum, Naser A.; Duarte, Armando C.; Pereira, E.] Univ Aveiro, Dept Chem, P-3810193 Aveiro, Portugal; [Ahmad, Iqbal; Pacheco, Mario; Santos, Maria A.] Univ Aveiro, Dept Biol, P-3810193 Aveiro, Portugal</t>
  </si>
  <si>
    <t>Anjum, Naser/F-7415-2011; Santos, Ana/KHY-6833-2024; Ahmad, Iqbal/I-1887-2013; Pereira, Eduarda/A-5907-2012; Coelho, João/C-1699-2008; Pacheco, Mario/G-5620-2016; Duarte, Armando/C-1424-2008</t>
  </si>
  <si>
    <t>Coelho, Joao Pedro/0000-0003-1975-8308; Anjum, Naser A./0000-0001-9953-0703; Pereira, Eduarda/0000-0002-6046-5243; Ahmad, Iqbal/0000-0002-8364-8579; Pacheco, Mario/0000-0003-0552-9643; Duarte, Armando/0000-0002-4868-4099</t>
  </si>
  <si>
    <t>Financial support provided by the Portuguese FCT (Foundation for Science and Technology) to CESAM (Centre for Environmental and Marine Studies) is gratefully acknowledged.</t>
  </si>
  <si>
    <t>10.1016/j.foodchem.2012.01.047</t>
  </si>
  <si>
    <t>928MH</t>
  </si>
  <si>
    <t>WOS:000302986400008</t>
  </si>
  <si>
    <t>Lu, J; Lin, YC; Wu, J; Zhang, C</t>
  </si>
  <si>
    <t>Lu, Jian; Lin, Yichen; Wu, Jun; Zhang, Cui</t>
  </si>
  <si>
    <t>Continental-scale spatial distribution, sources, and health risks of heavy metals in seafood: challenge for the water-food-energy nexus sustainability in coastal regions?</t>
  </si>
  <si>
    <t>Water-food-energy nexus; Heavy metal; Seafood safety; Health risk; Source apportionment; Mariculture; Coastal zone</t>
  </si>
  <si>
    <t>ORAL BIOAVAILABILITY; STABLE-ISOTOPES; TRACE-ELEMENTS; CONSUMPTION; FISH; CHINA; PB; SHELLFISH; POLLUTION; SEDIMENT</t>
  </si>
  <si>
    <t>Rare information on the seafood safety and the coastal water-food-energy nexus sustainability in terms of seafood safety is available. This study investigated the distribution of heavy metals in 3 kinds of seafood (bivalve molluscs, fish, and crustaceans) collected from coastal areas along the 18,000 km coastline of China. Risk assessment and source apportionment of heavy metals, and the coastal water-food-energy nexus sustainability in terms of heavy metal pollution were also performed. The results showed that total concentrations of 8 heavy metals (Cu, Pb, Zn, Cd, Cr, Hg, As, and Ni) in seafood varied with sampling sites and species by following the order of bivalve molluscs &gt; crustaceans &gt; fish. Estimated daily intake (EDI) analysis indicated that it was safe for humans to consume seafood in all sampling sites. Non-cancer risks posed by heavy metals were acceptable for 99.1% of adult and 97.7% of children. However, Cr and As in 72% of fish samples caused high cancer risks for children. The farmed fish posed relatively low risk in comparison with the wild fish suggested that it might be safer to consume farmed fish than wild fish. Source apportionment demonstrated that the fossil energy consumption (coal combustion and vehicle exhaust), seawater, and metallurgic dust might serve as the possible main sources of heavy metals in seafood. Based on the policy scenario analysis, the fossil-energy-controlling policy and clean coastal water action were beneficial to the seafood safety by reducing target heavy metals in seafood. These findings provided comprehensive information on seafood safety and the water-food-energy nexus sustainability in coastal regions at continental-scale in terms of heavy metal pollution.</t>
  </si>
  <si>
    <t>[Lu, Jian; Lin, Yichen; Zhang, Cui] Chinese Acad Sci, Yantai Inst Coastal Zone Res YIC, CAS Key Lab Coastal Environm Proc &amp; Ecol Remediat, Yantai 264003, Shandong, Peoples R China; [Lu, Jian; Lin, Yichen; Zhang, Cui] YICCAS, Shandong Key Lab Coastal Environm Proc, Yantai 264003, Shandong, Peoples R China; [Lu, Jian; Lin, Yichen; Wu, Jun] Univ Chinese Acad Sci, Beijing 100049, Peoples R China; [Lu, Jian] Chinese Acad Sci, Ctr Ocean Megasci, 7 Nanhai Rd, Qingdao 266071, Peoples R China</t>
  </si>
  <si>
    <t>Chinese Academy of Sciences; Yantai Institute of Coastal Zone Research, CAS; Chinese Academy of Sciences; University of Chinese Academy of Sciences, CAS; Chinese Academy of Sciences</t>
  </si>
  <si>
    <t>Lu, J (corresponding author), Chinese Acad Sci, Yantai Inst Coastal Zone Res YIC, CAS Key Lab Coastal Environm Proc &amp; Ecol Remediat, Yantai 264003, Shandong, Peoples R China.;Lu, J (corresponding author), YICCAS, Shandong Key Lab Coastal Environm Proc, Yantai 264003, Shandong, Peoples R China.;Lu, J (corresponding author), Univ Chinese Acad Sci, Beijing 100049, Peoples R China.;Lu, J (corresponding author), Chinese Acad Sci, Ctr Ocean Megasci, 7 Nanhai Rd, Qingdao 266071, Peoples R China.</t>
  </si>
  <si>
    <t>Zhang, Cui/AAW-6043-2020; LU, Jian/J-9045-2012</t>
  </si>
  <si>
    <t>National Natural Science Foundation of China [41671319]; Taishan Scholars Program of Shandong Province [tsqn201812116]; Science and Technology Service Network Initiative of the Chinese Academy of Sciences [KFJ-STS-QYZX-114]; One Hundred-Talent Plan of Chinese Academy of Sciences [Y629041021]; Two-Hundred Talents Plan of Yantai [Y739011021]; Youth Innovation Team Project for Talent Introduction and Cultivation in Universities of Shandong Province</t>
  </si>
  <si>
    <t>National Natural Science Foundation of China(National Natural Science Foundation of China (NSFC)); Taishan Scholars Program of Shandong Province; Science and Technology Service Network Initiative of the Chinese Academy of Sciences; One Hundred-Talent Plan of Chinese Academy of Sciences(Chinese Academy of Sciences); Two-Hundred Talents Plan of Yantai; Youth Innovation Team Project for Talent Introduction and Cultivation in Universities of Shandong Province</t>
  </si>
  <si>
    <t>This work was supported by the National Natural Science Foundation of China (41671319), Taishan Scholars Program of Shandong Province (No. tsqn201812116), Science and Technology Service Network Initiative of the Chinese Academy of Sciences (KFJ-STS-QYZX-114), One Hundred-Talent Plan of Chinese Academy of Sciences (Grant numbers of Y629041021), Two-Hundred Talents Plan of Yantai (No. Y739011021), and Youth Innovation Team Project for Talent Introduction and Cultivation in Universities of Shandong Province.</t>
  </si>
  <si>
    <t>10.1007/s11356-020-11904-8</t>
  </si>
  <si>
    <t>XC3XH</t>
  </si>
  <si>
    <t>WOS:000605128900003</t>
  </si>
  <si>
    <t>Gilbert, E; Dodoo, DK; Okai-Sam, F; Essuman, K; Quagraine, EK</t>
  </si>
  <si>
    <t>Gilbert, E.; Dodoo, D. K.; Okai-Sam, F.; Essuman, K.; Quagraine, E. K.</t>
  </si>
  <si>
    <t>Characterization and source assessment of heavy metals and polycyclic aromatic hydrocarbons (PAHs) in sediments of the Fosu lagoon, Ghana</t>
  </si>
  <si>
    <t>heavy metals; PAHs; Fosu lagoon; sediments; Ghana; pollution</t>
  </si>
  <si>
    <t>SURFACE SEDIMENTS; MARINE-SEDIMENTS; CONTAMINATION; CLAMS; WATER</t>
  </si>
  <si>
    <t>The first results ever obtained on polycyclic aromatic hydrocarbon (PAHs) concentrations in the Fosu lagoon surface sediments are presented together with corresponding heavy metal (Fe, Mn, Cd, Zn and Ni) concentrations. Samples collected on a monthly basis from November 2003-April 2004 (Heavy metals) and December 2003-January 2004 (PAHs) at 8 locations, representing different anthropogenic sources of contamination to the lagoon, were analyzed. Concentrations of Cd and Ni in the lagoon sediment suggest greater contamination to the lagoon from industrial activities in the vicinity of the lagoon; 50% of the sediment samples exceeded some established sediment Cd guidelines for the protection of aquatic lives. Then, 15 PAHs were detected among the sediments from the different locations and the compositional pattern in decreasing order was 3-ring &gt; 5-ring &gt; 4-ring &gt; 6-ring &gt; 2-ring PAH compounds. Sigma PAH concentrations in the sediment samples ranged from 254 to 558 mg/kg, with a mean of 359.4 mg/kg. Two distinct areas were identified to be a major source of anthropogenic load of both heavy metals and PAH; the mechanical shop in the northeastern sector of the lagoon is the main location for the input of Cd and it's associated PAH compounds (e.g., acenapthylene, acenaphthene, naphthalene and benzo[a]fluoranthene) and to a lesser extent Ni. Both combustion and petroleum sources may account for PAH loads from this area. The residential area in the northern sector is responsible for high loads of Mn and its associated PAH compounds (e.g., phenanthrene, benzo[a]pyrene and anthracene). These chemicals seem to enter the lagoon mainly by the combustion of especially wood or coal.</t>
  </si>
  <si>
    <t>SaskPower, Shand Power Stn, Estevan, SK S4A 2K9, Canada; Univ Cape Coast, Dept Chem, Cape Coast, Ghana; Univ Bradford, Dept Geog &amp; Environm Sci, Bradford BD7 1DP, W Yorkshire, England</t>
  </si>
  <si>
    <t>University of Cape Coast; University of Bradford</t>
  </si>
  <si>
    <t>Quagraine, EK (corresponding author), SaskPower, Shand Power Stn, POB 1310, Estevan, SK S4A 2K9, Canada.</t>
  </si>
  <si>
    <t>ekquagraine@yahoo.com</t>
  </si>
  <si>
    <t>10.1080/10934520600966649</t>
  </si>
  <si>
    <t>106ZR</t>
  </si>
  <si>
    <t>WOS:000242141000006</t>
  </si>
  <si>
    <t>Kucuksezgin, F; Kacar, A; Kucuksezgin, G; Uluturhan, E</t>
  </si>
  <si>
    <t>Kucuksezgin, Filiz; Kacar, Asli; Kucuksezgin, Gokhan; Uluturhan, Esin</t>
  </si>
  <si>
    <t>Monitoring metal contamination levels and fecal pollution in clam (Tapes decussatus) collected from Izmir Bay (Turkey)</t>
  </si>
  <si>
    <t>Contamination; Heavy metals; Clam; Tapes decussatus; Anthropogenic input; Fecal coliform; Culturable heterotrophic bacteria; Izmir Bay(Aegean)</t>
  </si>
  <si>
    <t>MYTILUS-GALLOPROVINCIALIS; BIVALVE MOLLUSKS; PATHOGENIC BACTERIA; MARINE POLLUTION; ADRIATIC SEA; HEAVY-METAL; MUSSELS; VIBRIO; CU; CADMIUM</t>
  </si>
  <si>
    <t>The aim of this study was to monitor the heavy metal contents and fecal pollution in Tapes decussatus (carpet shell clam) from Izmir Bay (Eastern Aegean). Bivalve mollusks were sampled on January, March, July, and October 2007 in the Izmir Bay. Izmir Bay is one of the great natural bays of the Mediterranean. Concentrations of heavy metals were determined in the clams from the different seasons. Fecal coliform densities were determined to evaluate the degree of water pollution and clams' microbiological accumulation of the classical microbial pollution indicators. The concentration of heavy metals in T. decussatus from Izmir Bay were Hg 0.044-0.13; Cd 0.026-0.24; Pb 0.38-1.2; Cr 2.3-3.7; Cu 6.4-8.4; Zn 56.0-81.8, and Ni 8.1-9.6 mu g/g (dry weight). The maximum values were generally obtained in July and March except Ni. This study found that the levels of heavy metals except Cr in T. decussatus were below Spanish and European Communities legislations for shellfish as food. Microbial pollution indicators (heterotrophic bacteria and fecal coliform) were measured in T. decussatus. Maximum heterotrophic bacteria and fecal coliforms were recorded in the winter while the lowest were detected in summer.</t>
  </si>
  <si>
    <t>[Kucuksezgin, Filiz; Kacar, Asli; Uluturhan, Esin] Dokuz Eylul Univ, Inst Marine Sci &amp; Technol, TR-35340 Izmir, Turkey; [Kucuksezgin, Gokhan] Karsiyaka Anatolian High Sch, Izmir, Turkey</t>
  </si>
  <si>
    <t>Dokuz Eylul University; Ministry of National Education - Turkey</t>
  </si>
  <si>
    <t>Kucuksezgin, F (corresponding author), Dokuz Eylul Univ, Inst Marine Sci &amp; Technol, TR-35340 Izmir, Turkey.</t>
  </si>
  <si>
    <t>KACAR, ASLI/AAS-5245-2020; Küçüksezgin, Gökhan/HMV-0542-2023; Kucuksezgin, Filiz/P-3788-2019; SUZER, Esin/Q-1793-2019</t>
  </si>
  <si>
    <t>Kucuksezgin, Filiz/0000-0001-9030-5227; SUZER, ESIN/0000-0002-7886-922X</t>
  </si>
  <si>
    <t>10.1007/s10661-009-0805-0</t>
  </si>
  <si>
    <t>552YR</t>
  </si>
  <si>
    <t>WOS:000274331700035</t>
  </si>
  <si>
    <t>Falfushynska, H; Gnatyshyna, L; Yurchak, I; Sokolova, I; Stoliar, O</t>
  </si>
  <si>
    <t>Falfushynska, Halina; Gnatyshyna, Lesya; Yurchak, Irina; Sokolova, Inna; Stoliar, Oksana</t>
  </si>
  <si>
    <t>The effects of zinc nanooxide on cellular stress responses of the freshwater mussels Unio tumidus are modulated by elevated temperature and organic pollutants</t>
  </si>
  <si>
    <t>Metallothionein; Apoptosis; Zinc nanooxide; Nifedipine; Thiocarbamate; Stressor interactions</t>
  </si>
  <si>
    <t>OYSTERS CRASSOSTREA-GIGAS; SITU EXPOSURE HISTORY; OXIDE NANOPARTICLES; OXIDATIVE STRESS; CATHEPSIN-D; MYTILUS-GALLOPROVINCIALIS; SPECTROPHOTOMETRIC METHOD; ENVIRONMENTAL-STRESS; MOLECULAR RESPONSES; BIOCHEMICAL MARKERS</t>
  </si>
  <si>
    <t>Nanoparticle toxicity is a growing concern in freshwater habitats. However, understanding of the nanoparticle effects on aquatic organisms is impeded by the lack of the studies of the nanoparticles effects in the environmentally relevant context of multiple stress exposures. Zinc oxide nanoparticles (n-ZnO) are widely used metal-based nanoparticles in electronics and personal care products that accumulate in aquatic environments from multiple non-point sources. In this study, we evaluated the effects of n-ZnO in a model organism, a mussel Unit) tumidus, and the potential modulation of these effects by common co-occurring environmental stressors. Male U. tumidus were exposed for 14 days to n-ZnO (3.1 mu M), Zn2+ (3.1 mu M), Ca-channel blocker nifedipine (Nfd 10 mu M), combinations of n-ZnO and Nfd or n-ZnO and thiocarbamate fungicide Tattoo (Ta, 91 mu g L-1) at 18 degrees C, and n-ZnO at 25 degrees C (n-ZnO + t degrees). Total and metallothionein-bound Zn levels as well as levels of metallothioneins (MT), cellular stress responses and cytotoxicity biomarkers were assessed in the mussels. The key biomarkers that showed differential responses to different single and combined stressors in this study were activities of caspase-3 and lysosomal cathepsin D, as well as protein carbonyl content. At 18 degrees C, exposures to n-ZnO, organic pollutants and their combinations led to a prominent up-regulation of MT levels (by similar to 30%) and oxidative stress response including up-regulation of superoxide dismutase activity, an increase in oxyradical production, and a 2-3-fold decrease in the levels of protein carbonyls in all exposures except nZnO +Ta. Exposure to n-ZnO in the absence of other stressors also led to a strong (similar to 7-fold) elevation of cathepsin D activity. Cellular responses to Zn2+ and n-ZnO were different indicating that n-ZnO was not due exclusively to Zn release. Ca-channel blocker Nfd affected intracellular Zn distribution (reflected in the prominent elevation of Zn-MT levels) and caused reductive stress indicated by elevated levels of reduced glutathione levels and an increase in lactate/pyruvate ratio (reflecting higher NADH/NAD ratio). Elevated temperature (25 degrees C) abolished most of the typical responses to n-ZnO and induced oxidative injury, DNA fragmentation and caspase-3 mediated apoptosis in n-ZnO-exposed mussels. DNA fragmentation was also induced by exposure to organic toxins (alone and in combination with n-ZnO) but not by n-ZnO alone. These data indicate that n-ZnO toxicity to freshwater organisms is modulated by organic pollutants and enhanced by elevated temperatures. (C) 2015 Elsevier B.V. All rights reserved.</t>
  </si>
  <si>
    <t>[Falfushynska, Halina; Gnatyshyna, Lesya; Yurchak, Irina; Stoliar, Oksana] Ternopil Natl Pedag Univ, Res Lab Comparat Biochem &amp; Mol Biol, UA-46027 Ternopol, Ukraine; [Sokolova, Inna] Univ N Carolina, Dept Biol Sci, Charlotte, NC 28223 USA</t>
  </si>
  <si>
    <t>Ministry of Education &amp; Science of Ukraine; Ternopil Volodymyr Hnatiuk National Pedagogical University; University of North Carolina; University of North Carolina Charlotte</t>
  </si>
  <si>
    <t>Sokolova, I (corresponding author), Univ N Carolina, Dept Biol Sci, 9201 Univ City Blvd, Charlotte, NC 28223 USA.</t>
  </si>
  <si>
    <t>Gnatyshyna, Lesya/AAA-6868-2021; Gnatyshyna, Lesya/M-7993-2015; Stoliar, Oksana/I-7397-2018; Sokolova, Inna/B-4955-2009; Falfushynska, Halina/B-6518-2015</t>
  </si>
  <si>
    <t>Gnatyshyna, Lesya/0000-0002-5205-1585; Stoliar, Oksana/0000-0002-8579-2881; Sokolova, Inna/0000-0002-2068-4302; Falfushynska, Halina/0000-0003-3058-4919</t>
  </si>
  <si>
    <t>Ministry of Education and Science of Ukraine [125B]; U.S. Civilian Research and Development Foundation (CRDF) [UKB1-7109-TE-13]; Faculty Research Grant of UNC Charlotte</t>
  </si>
  <si>
    <t>Ministry of Education and Science of Ukraine; U.S. Civilian Research and Development Foundation (CRDF); Faculty Research Grant of UNC Charlotte</t>
  </si>
  <si>
    <t>This work was supported by the Ministry of Education and Science of Ukraine (#125B, O.B.S.), the award of the U.S. Civilian Research and Development Foundation (CRDF) Cooperative Grants Program (UKB1-7109-TE-13) to O.B.S. and I.M.S., and by Faculty Research Grant of UNC Charlotte to I.M.S. The authors are grateful to State Agency of Environment Protection and State Agency of Fishery Supervision in Ternopil Region for the technical assistance.</t>
  </si>
  <si>
    <t>10.1016/j.aquatox.2015.03.006</t>
  </si>
  <si>
    <t>CH2NA</t>
  </si>
  <si>
    <t>WOS:000353860700010</t>
  </si>
  <si>
    <t>Gregory, MA; Marshall, DJ; George, RC; Anandraj, A; McClurg, TP</t>
  </si>
  <si>
    <t>Correlations between metal uptake in the soft tissue of Perna perna and gill filament pathology after exposure to mercury</t>
  </si>
  <si>
    <t>mussels; bioindicators; pollution; electron microscopy</t>
  </si>
  <si>
    <t>MYTILUS-EDULIS-L; TRACE-METALS; FILTRATION-RATE; BROWN MUSSEL; HEAVY-METALS; PETROLEUM-HYDROCARBONS; SURFACE-MORPHOLOGY; FILTERING RATE; BLUE MUSSELS; CADMIUM</t>
  </si>
  <si>
    <t>The accumulation of metal in soft tissues, filtration rate and gill filament morphology are correlated in the southern African rock mussel, Perna perna, during exposure to mercury (24 days) and recovery (24 days). The amount of Hg in soft tissues increased from 0.13 to 87.5 mug/g dry weight after 24 days exposure, and declined to 13 mug/g during recovery. Mean filtration rate fell from 3979 to 1818 ml/h/g dry weight by day 2, but recovered slightly through days 4 and 8 (3037 ml/h/g), with a higher average rate (5030 ml/h/g) being maintained over the 24-48 days recovery period. The initial decline in filtration coincided with epithelial cell deterioration presented as interstitial oedema, neural and epithelial cell degeneration and reduced ciliation. Between days 8 and 24, cilia regenerated and there was a general improvement in cell morphology. Gill filament morphology returned to near normal during the metal-free recovery period. The usefulness of P. perna as an indicator of pollution is discussed. (C) 2002 Elsevier Science Ltd. All rights reserved.</t>
  </si>
  <si>
    <t>Univ KwaZulu Natal, Electron Microscope Unit, ZA-4000 Durban, South Africa; Univ KwaZulu Natal, Dept Zool, ZA-4000 Durban, South Africa; CSIR, Div Water Environm &amp; Forestry Technol, ZA-4000 Durban, South Africa</t>
  </si>
  <si>
    <t>Univ KwaZulu Natal, Electron Microscope Unit, Private Bag X54001, ZA-4000 Durban, South Africa.</t>
  </si>
  <si>
    <t>mgregory@pixie.udw.ac.za</t>
  </si>
  <si>
    <t>PII S0025-326X(01)00325-3</t>
  </si>
  <si>
    <t>10.1016/S0025-326X(01)00325-3</t>
  </si>
  <si>
    <t>WOS:000178336300015</t>
  </si>
  <si>
    <t>Chen, YQ; Huang, LM; Wu, WH; Ruan, YJ; Wu, ZJ; Xue, ZM; Fu, FF</t>
  </si>
  <si>
    <t>Chen, Yiquan; Huang, Limei; Wu, Weihua; Ruan, Yajuan; Wu, Zujian; Xue, Zhimin; Fu, FengFu</t>
  </si>
  <si>
    <t>Speciation analysis of lead in marine animals by using capillary electrophoresis couple online with inductively coupled plasma mass spectrometry</t>
  </si>
  <si>
    <t>ELECTROPHORESIS</t>
  </si>
  <si>
    <t>CE-ICP-MS; Lead; Marine animal; Organolead; Speciation analysis</t>
  </si>
  <si>
    <t>PERFORMANCE LIQUID-CHROMATOGRAPHY; FLUORESCENCE SPECTROMETRY; EXTRACTION; INTERFACE; MERCURY; FISH</t>
  </si>
  <si>
    <t>We herein reported a environment-friendly microwave-assisted extraction used to extract trace lead compounds from marine animals and a ultrasensitive method for the analysis of Pb2+, trimethyl lead chloride (TML) and triethyl lead chloride (TEL) by using CE-ICP-MS. The extraction method is simple and has a high extracting efficiency. It can be used to completely extract both inorganic lead and organolead in marine animal samples without altering its species. The analytical method has a detection limit as low as 0.012-0.084ng Pb/mL for Pb2+, TML, and TEL, and can be used to determine ultratrace Pb2+, TML, and TEL in marine animals directly without any preconcentration. With the help of above methods, we have successfully determined Pb2+, TML, and TEL in clam and oyster tissue within 20min with a RSD (n = 6) &lt; 5% and a recovery of 91-104%. Our results showed that Pb2+ was the main species of lead in clam and oyster, and organolead (TML) was only found in oyster. The proposed method provides a realistic approach for the accurate evaluation of lead pollution in seafood.</t>
  </si>
  <si>
    <t>[Chen, Yiquan; Huang, Limei; Wu, Weihua; Ruan, Yajuan; Fu, FengFu] Fuzhou Univ, Fujian Prov Key Lab Anal &amp; Detect Food Safety, Key Lab Anal &amp; Detect Food Safety, Minist Educ,Dept Chem, Fuzhou 350108, Fujian, Peoples R China; [Wu, Zujian] Fujian Agr &amp; Forest Univ, Dept Plant Protect, Fuzhou, Fujian, Peoples R China; [Xue, Zhimin] Fujian Entry Exit Inspect &amp; Quarantine Bur, Fuzhou, Fujian, Peoples R China</t>
  </si>
  <si>
    <t>Fuzhou University; Fujian Agriculture &amp; Forestry University</t>
  </si>
  <si>
    <t>Fu, FF (corresponding author), Fuzhou Univ, Fujian Prov Key Lab Anal &amp; Detect Food Safety, Key Lab Anal &amp; Detect Food Safety, Minist Educ,Dept Chem, Fuzhou 350108, Fujian, Peoples R China.</t>
  </si>
  <si>
    <t>fengfu@fzu.edu.cn</t>
  </si>
  <si>
    <t>he, xi/JXN-3817-2024; liu, yuanyuan/GWZ-5838-2022; fu, fu/KCJ-8833-2024</t>
  </si>
  <si>
    <t>Fu, FengFu/0000-0002-8823-7672</t>
  </si>
  <si>
    <t>NSFC [21377025]; Fujian Provincial Department of Science and Technology [K5212007, 2012J01035, 2011Y0016]; Ministry of Education, Science and Technology Development Center [20123514110001]; Program for Changjiang Scholars and Innovative Research Team in University [IRT1116]; National Key Technologies R &amp; D Program of China [2012BAD29B06, 2012BAK01B01]</t>
  </si>
  <si>
    <t>NSFC(National Natural Science Foundation of China (NSFC)); Fujian Provincial Department of Science and Technology; Ministry of Education, Science and Technology Development Center; Program for Changjiang Scholars and Innovative Research Team in University(Program for Changjiang Scholars &amp; Innovative Research Team in University (PCSIRT)); National Key Technologies R &amp; D Program of China(National Key Technology R&amp;D Program)</t>
  </si>
  <si>
    <t>The authors gratefully acknowledge the financial support of NSFC (21377025), Fujian Provincial Department of Science and Technology (K5212007, 2012J01035, 2011Y0016), Ministry of Education, Science and Technology Development Center (20123514110001), the Program for Changjiang Scholars and Innovative Research Team in University (No. IRT1116), and National Key Technologies R &amp; D Program of China during the 12th Five-Year Plan Period (No. 2012BAD29B06, No. 2012BAK01B01). We also thank Prof. GuiBin Jiang and Dr Qinghua Zhang (The Research Center for Eco-Environmental Sciences, Chinese Academy of Sciences) for providing us with certified reference materials GBW10050.</t>
  </si>
  <si>
    <t>0173-0835</t>
  </si>
  <si>
    <t>1522-2683</t>
  </si>
  <si>
    <t>Electrophoresis</t>
  </si>
  <si>
    <t>10.1002/elps.201300410</t>
  </si>
  <si>
    <t>Biochemical Research Methods; Chemistry, Analytical</t>
  </si>
  <si>
    <t>AF5XE</t>
  </si>
  <si>
    <t>WOS:000334786600017</t>
  </si>
  <si>
    <t>Breygina, M; Abramochkin, DV; Maksimov, N; Yermakov, I</t>
  </si>
  <si>
    <t>Breygina, Maria; Abramochkin, Denis V.; Maksimov, Nikita; Yermakov, Igor</t>
  </si>
  <si>
    <t>Effects of Ni2+ and Cu2+ on K+ and H+ currents in lily pollen protoplasts</t>
  </si>
  <si>
    <t>FUNCTIONAL PLANT BIOLOGY</t>
  </si>
  <si>
    <t>copper; heavy metal; H+-ATPase; ion channel; nickel</t>
  </si>
  <si>
    <t>HYDROGEN-PEROXIDE; OXIDATIVE STRESS; PROTON EXTRUSION; ATPASE ACTIVITY; ION CHANNELS; IN-VIVO; COPPER; TRANSPORT; GERMINATION; GROWTH</t>
  </si>
  <si>
    <t>Heavy metals affect plant development and reproduction if they are present in excessive amounts, a situation that is becoming increasingly common. Pollen is a convenient object for pollution assessment as it is in most cases a 2- or 3-cellular organism exposed to the environment. At the same time, pollen is a key stage in the life cycle of seed plants; pollen viability and efficiency of germination are crucial for reproductive success and crop yield. In the present study we reveal for the first time, to our knowledge, targets for heavy metals (Cu2+ and Ni2+) in the pollen grain plasma membrane using the patch-clamp technique. Ni2+ dramatically decreases K+ current in pollen grain protoplasts, whereas Cu2+ does not alter the current density. Instead, Cu2+ strongly enhances H+ current driven by H+-ATPase, whereas Ni2+ fails to affect this current. The short-term treatment with Cu2+ also leads to reactive oxygen species (ROS) accumulation in pollen grain protoplasts but intracellular pH and membrane potential remain unchanged. Ni2+ had no significant effect on ROS content or membrane potential. Thus, plasmalemma K+ channels in pollen grains are sensitive to Ni2+ and H+-ATPase is sensitive to Cu2+, possibly, in a ROS-mediated way. Both metals leave pollen viable since membrane potential is maintained at the control level.</t>
  </si>
  <si>
    <t>[Breygina, Maria; Abramochkin, Denis V.; Maksimov, Nikita; Yermakov, Igor] Lomonosov Moscow State Univ, Leninskiye Gory 1-12, Moscow 119991, Russia; [Breygina, Maria; Abramochkin, Denis V.] Pirogov Russian Natl Res Med Univ, Ostrovitjanova St 1, Moscow 117997, Russia</t>
  </si>
  <si>
    <t>Lomonosov Moscow State University; Pirogov Russian National Research Medical University</t>
  </si>
  <si>
    <t>Breygina, M (corresponding author), Lomonosov Moscow State Univ, Leninskiye Gory 1-12, Moscow 119991, Russia.;Breygina, M (corresponding author), Pirogov Russian Natl Res Med Univ, Ostrovitjanova St 1, Moscow 117997, Russia.</t>
  </si>
  <si>
    <t>pollen-ions@yandex.ru</t>
  </si>
  <si>
    <t>Abramochkin, Denis/ABF-3443-2020; Breygina, Maria/F-1935-2017</t>
  </si>
  <si>
    <t>Abramochkin, Denis/0000-0001-5751-8853; Maksimov, Nikita/0000-0003-0458-2979; Breygina, Maria/0000-0002-0588-6731</t>
  </si>
  <si>
    <t>1445-4408</t>
  </si>
  <si>
    <t>1445-4416</t>
  </si>
  <si>
    <t>FUNCT PLANT BIOL</t>
  </si>
  <si>
    <t>Funct. Plant Biol.</t>
  </si>
  <si>
    <t>10.1071/FP17033</t>
  </si>
  <si>
    <t>Plant Sciences</t>
  </si>
  <si>
    <t>FM0OO</t>
  </si>
  <si>
    <t>WOS:000414666800003</t>
  </si>
  <si>
    <t>Morel, G; Koffi, PK</t>
  </si>
  <si>
    <t>Implementation of an environmental monitoring network and a pollution combating unit in Cote d'Ivoire</t>
  </si>
  <si>
    <t>International Symposium on Pollution of the Mediterranean Sea</t>
  </si>
  <si>
    <t>NOV 02-04, 1994</t>
  </si>
  <si>
    <t>NICOSIA, CYPRUS</t>
  </si>
  <si>
    <t>ammonia; copper; hydrocarbons; microbiology; oysters; sediment; tropical lagoons, zinc</t>
  </si>
  <si>
    <t>Aquatic pollution in Cote d'Ivoire is severe in several places. The Ivorian government therefore requested and later obtained technical assistance from the Danish government for the training of personnel and the equipment of an environmental central laboratory and of a pollution combating unit. The structure CIAPOL (Centre Ivorian Anti-Pollution) in charge of setting up the two components of the project, was created by the government of Cote d'Ivoire in May 1991. A coastal and a continental monitoring network have been implemented. Nutrients, heavy metals, pesticides, hydrocarbons and microbiological methods have been adapted for the survey programs of water, sediment and biota. Results presented in this paper show spatio-temporal variations of the ammonia concentrations in the lagoon waters. Very high concentrations in the Bietry bay of hydrocarbons in sediment and zinc in oysters trace petroleum refinery pollution. The extremely high microbiological contamination of the lagoon water around Abidjan should preclude its use for any purpose. The staff of the centre has been trained in the use of the oil spill recovery equipment. Alert procedures and communications have bean introduced. Today the CIAPOL is involved in national conventions and international projects. It is designated to become the Reference Laboratory in the region and will be in charge of training and intercalibration sessions within these projects.</t>
  </si>
  <si>
    <t>CIAPOL,MINIST ENVIRONNEMENT,ABIDJAN,COTE IVOIRE</t>
  </si>
  <si>
    <t>Morel, G (corresponding author), VKI,FORKSNINGSCENTRET,11 AGERN ALLEE,HORSHOLM,DENMARK.</t>
  </si>
  <si>
    <t>9-10</t>
  </si>
  <si>
    <t>10.2166/wst.1995.0679</t>
  </si>
  <si>
    <t>UC240</t>
  </si>
  <si>
    <t>WOS:A1995UC24000018</t>
  </si>
  <si>
    <t>RIISGARD, HU; FAMME, P</t>
  </si>
  <si>
    <t>ACCUMULATION OF INORGANIC AND ORGANIC MERCURY IN SHRIMP, CRANGON-CRANGON</t>
  </si>
  <si>
    <t>Organic mercury is accumulated to a greater degree than inorganic mercury in shrimps, both when these are fed mussels collected in mercury polluted waters or exposed to sea-water added the two chemical forms of mercury. Thus, shrimps fed mussels, Mytilus edulis, accumulated (retained) about 4% of the inorganic and 75% of the organic mercury ingested. The accumulation rate of organic mercury from sea-water (added 0.98 ppb Hg+ and 0.02 ppb CH3Hg+) was about 30 times higher than for inorganic mercury. Analysis of the mercury content in carnivore shrimps collected in a mercury polluted area showed that about 73% of the total mercury was on the organic form in contrast to only 17% in the suspension feeding M. edulis from the same area. The results emphasize the need to distinguish between organic and inorganic mercury in studies on the biomagnification of mercury in marine food chains.</t>
  </si>
  <si>
    <t>ODENSE UNIV, INST BIOL, CAMPUSVEJ 55, DK-5230 ODENSE, DENMARK.</t>
  </si>
  <si>
    <t>Riisgard, Hans Ulrik/G-2568-2010</t>
  </si>
  <si>
    <t>Riisgard, Hans Ulrik/0000-0002-8188-2951</t>
  </si>
  <si>
    <t>D3702</t>
  </si>
  <si>
    <t>WOS:A1986D370200005</t>
  </si>
  <si>
    <t>Bayen, S; Koroleva, E; Lee, HK; Obbard, JP</t>
  </si>
  <si>
    <t>Persistent organic pollutants and heavy metals in typical seafoods consumed in Singapore</t>
  </si>
  <si>
    <t>POLYBROMINATED DIPHENYL ETHERS; ORGANOCHLORINE PESTICIDES; POLYCHLORINATED-BIPHENYLS; FARMED SALMON; HUMAN-MILK; FISH; MERCURY; EXPOSURE; CONTAMINANTS; CADMIUM</t>
  </si>
  <si>
    <t>In this study, the levels of several heavy metals and persistent organic pollutants (POPs) were measured in the edible portions of 20 different seafood types consumed in Singapore (2 &lt; n &lt; 12). The mean heavy metal concentrations among the seafood types ranged from below detection limits (BID) to 14.2 mug/g wet weight (ww) for As (shark), to 0.50 mug/g ww for Cd (kunning), to 25.5 mug/g ww for Cu (gray prawn), to 0.58 mug/g ww for Hg (eel), and to 1.21 mug/g ww for Pb (salmon). Chlordane, polychlorinated biphenyls (PCBs), and p, p'-DDT [2,2-bis(p-chlorophenyl)1, 1,1-trichloroethane] and its related metabolites (sum noted as DDTs) were the main POPs found among the seafood types, with highest concentrations in salmon fillets and green mussels. Polybrominated diphenyl ether (PBDE) concentrations in salmon fillets (2.75 ng/g ww) were one order of magnitude lower than the highest concentration of PCBs (28.5 ng/g ww). The mean daily intake of contaminants from seafood was calculated for the general population of Singapore. Daily intakes of heavy metals and POPs from seafood are below the oral reference dose set by the U.S. Food and Drug Administration (FDA), except for As, although our study did not characterize the species of As present. Daily intake of As, DDTs, heptachlor, and PCBs in seafood exceeded the conservative cancer benchmark concentrations set by the U.S. Environmental Protection Agency (EPA), suggesting that a significant number of people are potentially at risk in Singapore over a lifetime from seafood consumption.</t>
  </si>
  <si>
    <t>Natl Univ Singapore, Trop Marine Sci Inst, Singapore 119223, Singapore; Natl Univ Singapore, Dept Chem, Singapore 117548, Singapore; Natl Univ Singapore, Dept Chem &amp; Biomol Engn, Singapore 119223, Singapore; Moscow MV Lomonosov State Univ, Dept Biogeog, Moscow, Russia</t>
  </si>
  <si>
    <t>National University of Singapore; National University of Singapore; National University of Singapore; Lomonosov Moscow State University</t>
  </si>
  <si>
    <t>Natl Univ Singapore, Trop Marine Sci Inst, 14 Kent Ridge Rd, Singapore 119223, Singapore.</t>
  </si>
  <si>
    <t>scip0l53@nus.edu.sg</t>
  </si>
  <si>
    <t>Koroleva, Elena/L-8654-2015; Lee, Hian/B-3993-2018; OBBARD, Jeff/D-4630-2009; Lee, Hian Kee/B-3983-2018</t>
  </si>
  <si>
    <t>FEB 13</t>
  </si>
  <si>
    <t>10.1080/15287390590890437</t>
  </si>
  <si>
    <t>886ZG</t>
  </si>
  <si>
    <t>WOS:000226271200001</t>
  </si>
  <si>
    <t>Comparison of heavy metal bioaccumulation in freshwater molluscs of urban river habitats in Vienna</t>
  </si>
  <si>
    <t>heavy metals; urban waters; bioaccumulation; feeding behaviour; Unio; Anodonta; Viviparus; Radix</t>
  </si>
  <si>
    <t>WATER MOLLUSKS; ACCUMULATION; CADMIUM; BIOAVAILABILITY; POPULATION; MUSSELS; LEAD</t>
  </si>
  <si>
    <t>Two bivalve species (Anodonta sp. and Unio pictorum) and two gastropod species (Radix ovata and Viviparus sp.) were tested as bioindicators in moderately metal-polluted Danube River habitats of Vienna. Molluscs, two sediment fractions and water samples were collected between April 1993 and May 1994 at six sampling sites located at five waters in Vienna. The unionid clams were dissected into viscera, gill, mantle, adductor muscle and shell, gastropods into soft body and shell. Analyses of Cd, Pb, Cu and Zn were carried out with atomic absorption spectrophotometry. Bioaccumulation of metals varied strongly according to sampling site, metal and mollusc species. Cd, Cu and Zn loads of the molluscs exceeded environmental concentrations, but not so for the apparently less bioavailable Pb. Sampling site had a significant influence on metal bioconcentrations, e.g. the Neue Donau sampling sites, where traffic emissions probably caused increased metal contents. High environmental metal concentrations in Danube harbours were poorly reflected by the bioindicator species. The gastropods showed about 20-fold higher concentrations than the bivalves. This may indicate a higher Cu regulation capacity of bivalves. The suitability of the investigated mollusc species as bioindicators depends on their specific relationship to the environmental compartment. Anodonta sp. and R. ovata concentrations were more likely related to the contents of the fine sediment fraction, which may be explained by their close association to the sediments. The metal concentrations of the deposit- and filter-feeder I Viviparus sp. correlated more closely with suspended matter and filtrate contents. (C) 2000 Elsevier Science Ltd. All rights reserved.</t>
  </si>
  <si>
    <t>Univ Vienna, Inst Med Biol, Labor Okophysiol &amp; Okotoxikol, A-1090 Vienna, Austria</t>
  </si>
  <si>
    <t>Univ Vienna, Inst Med Biol, Labor Okophysiol &amp; Okotoxikol, Schwarzspanierstr 17, A-1090 Vienna, Austria.</t>
  </si>
  <si>
    <t>10.1016/S0269-7491(99)00286-9</t>
  </si>
  <si>
    <t>325VC</t>
  </si>
  <si>
    <t>WOS:000087696300007</t>
  </si>
  <si>
    <t>Ünsal, M</t>
  </si>
  <si>
    <t>Land-based sources of copper along the Turkish coast of the Black Sea</t>
  </si>
  <si>
    <t>metal; concentration; mussel; sediment; station</t>
  </si>
  <si>
    <t>MUSSEL MYTILUS-EDULIS; SEDIMENTS; POLLUTION; METALS; ZINC; INDICATOR; SURFACE; CADMIUM; SHELF; LEAD</t>
  </si>
  <si>
    <t>The land-based sources of copper have been studied along the Turkish Black Sea coast. Total copper concentrations were determined in surface sediments and mussels collected from 29 stations in the western and eastern parts of the southern Black Sea between 1992 and 1996. The results strong suggest that the copper pollution is of terrigenous origin and that the mines and refineries are its main sources in the Black Sea.</t>
  </si>
  <si>
    <t>Canakkale Onsekiz Mart Univ, Fac Fisheries, TR-17100 Canakkale, Turkey</t>
  </si>
  <si>
    <t>Canakkale Onsekiz Mart University</t>
  </si>
  <si>
    <t>Ünsal, M (corresponding author), Canakkale Onsekiz Mart Univ, Fac Fisheries, PK 56, TR-17100 Canakkale, Turkey.</t>
  </si>
  <si>
    <t>461VL</t>
  </si>
  <si>
    <t>WOS:000170384100005</t>
  </si>
  <si>
    <t>Tornimbeni, O; Galvez, R; Le Triffault-Bouchet, G; Dassylva, N; Roberge, S</t>
  </si>
  <si>
    <t>Tornimbeni, Ombretta; Galvez, Rosa; Le Triffault-Bouchet, Gael; Dassylva, Nathalie; Roberge, Steeve</t>
  </si>
  <si>
    <t>Heavy metal concentrations in Cipangopaludina chinensis (Reeve, 1863) and relationships with sediments in Saint-Augustin Lake, Quebec City (Qc, Canada)</t>
  </si>
  <si>
    <t>ANNALES DE LIMNOLOGIE-INTERNATIONAL JOURNAL OF LIMNOLOGY</t>
  </si>
  <si>
    <t>Alloctone species; invasion; bioaccumulation; heavy metals; freshwater; gastropods</t>
  </si>
  <si>
    <t>CORBICULA-FLUMINEA; ACCUMULATION; GASTROPODA; POPULATIONS; RECORD; MODEL; CLAMS</t>
  </si>
  <si>
    <t>Saint-Augustin Lake is an urban lake in Quebec, Canada that has been subjected to long periods of direct human impact, mainly due to agricultural and urban activities, with great changes in trophic status and chemistry occurring within the last few decades. In 2009, during an examination of the lake bottom substrate, the presence of the invasive species Cipangopaludina chinensis (Reeve, 1863) was found on floor bottom sediments. The gastropods soft tissues were mineralized and analyzed by ICP-OES. The purpose of this study was to estimate concentrations of heavy metals in C. chinensis, describing the relations of these values with the sediment metal. In gastropod soft tissues the overall common trend in the heavy metal concentrations was revealed in the following order: Fe &gt; Mn &gt; Zn &gt; Cu &gt; As &gt; Ni &gt; Pb &gt; Cd &gt; Cr. Biota-sediment accumulation factors (BSAFs) have shown that C. chinensis cannot be used as a bioindicator of heavy metal pollution and exposure in the Canadian lakes where it is present. In fact, while the sediments of Saint-Augustin Lake are characterized by high metal concentrations, C. chinensis does not have high bioaccumulation factors (BSAFs &lt; 1.0). By literature comparison with other aquatic organisms in polluted ecosystems at different latitudes it was possible to affirm that the concentrations of Fe, Mn and Zn in C. chinensis tissues are considerable if compared with these sites.</t>
  </si>
  <si>
    <t>[Tornimbeni, Ombretta] CNR, Inst Ecosyst Study, I-28922 Verbania, Italy; [Galvez, Rosa] Univ Laval, Dept Civil Engn, Quebec City, PQ G1K 7P4, Canada; [Le Triffault-Bouchet, Gael] Div Ecotoxicol &amp; Evaluat Risque, Ctr Expertise Analyse Environnem Quebec, Minist Dev Durable, Quebec City, PQ G1P 3W8, Canada; [Dassylva, Nathalie; Roberge, Steeve] Ctr Expertise Analyse Environnem Quebec, Direct Analyse &amp; Etude Qualite Milieu, Quebec City, PQ G1P 3W8, Canada</t>
  </si>
  <si>
    <t>Consiglio Nazionale delle Ricerche (CNR); Istituto per lo Studio degli Ecosistemi (ISE-CNR); Laval University</t>
  </si>
  <si>
    <t>Tornimbeni, O (corresponding author), CNR, Inst Ecosyst Study, Largo Tonolli 50, I-28922 Verbania, Italy.</t>
  </si>
  <si>
    <t>o.tornimbeni@ise.cnr.it</t>
  </si>
  <si>
    <t>Galvez, Rosa/0000-0001-7357-1582</t>
  </si>
  <si>
    <t>0003-4088</t>
  </si>
  <si>
    <t>2100-000X</t>
  </si>
  <si>
    <t>ANN LIMNOL-INT J LIM</t>
  </si>
  <si>
    <t>Ann. Limnol.-Int. J. Limnol.</t>
  </si>
  <si>
    <t>10.1051/limn/2013034</t>
  </si>
  <si>
    <t>Limnology</t>
  </si>
  <si>
    <t>172VD</t>
  </si>
  <si>
    <t>WOS:000321032100003</t>
  </si>
  <si>
    <t>von Storch, H; Costa-Cabral, M; Hagner, C; Feser, F; Pacyna, J; Pacyna, E; Kolb, S</t>
  </si>
  <si>
    <t>Four decades of gasoline lead emissions and control policies in Europe: a retrospective assessment</t>
  </si>
  <si>
    <t>retrospective analysis; lead; gasoline; policy evaluation; regional modelling</t>
  </si>
  <si>
    <t>Over decades, large amounts of the neurotoxin lead were released into the European environment, mostly from Gasoline lead additives. Emissions were growing unabatedly until the 1970s, when a series of regulations on the allowed gasoline lead content were adopted. As a result, in the 1990s most gasoline contained only small amounts of lead. We have examined this case of environmental pollution and regulation, and performed a retrospective assessment of the extent of regional-scale lead pollution and the effects of gasoline lead regulations in Europe. With the help of a regional climate model, NCEP re-analyses, spatially disaggregated lead emissions from road traffic and point sources. and various local data, the airborne pathways and depositions of gasoline lead in Europe since 1958 were reconstructed. It turns out that this approach is successful in describing the time-variable, spatially disaggregated deposition of gasoline lead. Additional data from analyses of concentrations in biota, including plant leaves, mussels and human blood, allows an assessment about the impact of the lead phase-out on the quality of the environment. Demonstrating the success of the lead policies, concentrations in leaves and human blood have steadily declined since the early 1980s. At the same time, the economic repercussions that had been feared did not emerge. Instead, the affected mineral oil and car manufacturing industries in Germany (our case-study) were able to deal with the effort without incurring significant extra costs. We suggest that our method of quantitatively reconstructing and anticipating fluxes and depositions of substances can be applied to other relevant substances as well, such as, for example, Persistent Organic Pollutants, radioactive substances or pollens. (C) 2003 Elsevier Science B.V. All rights reserved.</t>
  </si>
  <si>
    <t>GKSS Forschungszentrum Geesthacht GmbH, Inst Coastal Res, D-21502 Geesthacht, Germany; Univ Hamburg, Inst Journalism &amp; Commun Res, Hamburg, Germany</t>
  </si>
  <si>
    <t>Helmholtz Association; Helmholtz-Zentrum Hereon; University of Hamburg</t>
  </si>
  <si>
    <t>GKSS Forschungszentrum Geesthacht GmbH, Inst Coastal Res, D-21502 Geesthacht, Germany.</t>
  </si>
  <si>
    <t>storch@gkss.de</t>
  </si>
  <si>
    <t>Kolb, Steffen/AAW-4866-2021; Feser, Frauke/C-1605-2014; von Storch, Hans/J-4165-2012</t>
  </si>
  <si>
    <t>Kolb, Steffen/0009-0008-9674-0703; Feser, Frauke/0000-0002-0252-468X; von Storch, Hans/0000-0002-5825-8069</t>
  </si>
  <si>
    <t>10.1016/S0048-9697(03)00051-2</t>
  </si>
  <si>
    <t>700AW</t>
  </si>
  <si>
    <t>WOS:000184091300012</t>
  </si>
  <si>
    <t>Khristoforova, NK; Gnetetskiy, AV</t>
  </si>
  <si>
    <t>Khristoforova, N. K.; Gnetetskiy, A., V</t>
  </si>
  <si>
    <t>The Contents of Heavy Metals in Long-Lived Mytilids from Ussuriisky Bay</t>
  </si>
  <si>
    <t>Crenomytilus grayanus; Modiolus kurilensis; Ussuriisky Bay; Sea of Japan; heavy metals</t>
  </si>
  <si>
    <t>POLLUTION; MARINE; SEA</t>
  </si>
  <si>
    <t>The contents of heavy metals (HM) Fe, Cu, Mn, Zn, Cd, and Ni were determined in common species of long-lived mussels Crenomytilus grayanus (Dunker, 1853) and Modiolus kurilensis F.R. Bernard, 1983 from Ussuriisky Bay. Fe and Mn are indicators of the influence of terrigenous runoff; Cu and Zn, industrial and municipal waste pollution; and Cd and Ni, technogenic impacts. C. grayanus was sampled at eight stations, M. kurilensis was collected at one station (Cape Basargin); therefore, the HM content in organisms and the environment was mainly assessed from analysis of Gray's mussel samples. The current distribution of HM levels in mollusks of Ussuriisky Bay was generally more or less uniform. The concentration of Cu was only increased in Gray's mussel from Cape Telyakovsky, and increased Cd and Ni levels were found in mollusks collected from the pier of the port of Vera. In comparison with 2006, the upper values of the concentration ranges increased 1.5 times for Zn, more than 2 times for Cu, and almost 1.5 times for Cd. In mollusks from Lazurnaya Bay (a popular recreation site), the concentrations of Zn and Cu, tracers of anthropogenic impacts, increased by 10 and 20%, respectively. Since the mollusks studied are commercially valuable their HM content was compared with the maximum permissible concentration levels (MPCL). The content of Cd exceeded the MPCL in two specimens of Gray's mussels from the pier of the port of Vera and in a single specimen from Cape Sedlovidny.</t>
  </si>
  <si>
    <t>[Khristoforova, N. K.] Far Eastern Fed Univ, Vladivostok 690091, Russia; [Khristoforova, N. K.] Russian Acad Sci, Pacific Inst Geog, Far Eastern Branch, Vladivostok 690041, Russia; [Gnetetskiy, A., V] Russian Acad Sci, Zhirmunsky Natl Sci Ctr Marine Biol, Far Eastern Branch, Vladivostok 690041, Russia</t>
  </si>
  <si>
    <t>Far Eastern Federal University; Pacific Geographical Institute of the Far Eastern Branch of the Russian Academy of Sciences; Russian Academy of Sciences; Russian Academy of Sciences; National Scientific Center of Marine Biology, Far East Branch of the Russian Academy of Sciences</t>
  </si>
  <si>
    <t>Gnetetskiy, AV (corresponding author), Russian Acad Sci, Zhirmunsky Natl Sci Ctr Marine Biol, Far Eastern Branch, Vladivostok 690041, Russia.</t>
  </si>
  <si>
    <t>jamper22@mail.ru</t>
  </si>
  <si>
    <t>Khristoforova, Nadezhda/J-3500-2013</t>
  </si>
  <si>
    <t>Russian Science Foundation [1450-00034]</t>
  </si>
  <si>
    <t>Russian Science Foundation(Russian Science Foundation (RSF))</t>
  </si>
  <si>
    <t>This study was performed with the financial support from the Russian Science Foundation (agreement no. 1450-00034).</t>
  </si>
  <si>
    <t>10.1134/S1063074022010060</t>
  </si>
  <si>
    <t>ZT9GB</t>
  </si>
  <si>
    <t>WOS:000769455800004</t>
  </si>
  <si>
    <t>ROSEMAN, EF; MILLS, EL; RUTZKE, M; GUTENMANN, WH; LISK, DJ</t>
  </si>
  <si>
    <t>ABSORPTION OF CADMIUM FROM WATER BY NORTH-AMERICAN ZEBRA AND QUAGGA MUSSELS (BIVALVIA, DREISSENIDAE)</t>
  </si>
  <si>
    <t>POLYMORPHA PALLAS; BIOACCUMULATION</t>
  </si>
  <si>
    <t>A laboratory study was conducted to determine the rates of absorption of cadmium, a common industrial pollutant, by Zebra mussels (Dreissena polymorpha) and quagga mussels (Dreissona rostriformis bugensis) when exposed to relatively high concentrations of this metal for short periods of time. The rate of absorption of cadmium was directly related to length of mussel and cadmium concentrations declined with time for large (20 and 30 mm) but not mall (10 mm) zebra and quagga mussels. During a 24 hour exposure, zebra mussels of approximate lengths of 20 and 30 mm absorbed cadmium at average rates of 0.22 and 0.45 mug cadmium/mussel/hour, respectively. Quagga mussels of similar size and exposure time absorbed at average rates of 0.29 mug (20 mm) and 0.49 mug (30 mm) cadmium/mussel/hour. For 10 mm mussels of both species, absorption of cadmium was negligible.</t>
  </si>
  <si>
    <t>CORNELL UNIV,NEW YORK STATE COLL AGR &amp; LIFE SCI,TOXIC CHEM LAB,ITHACA,NY 14853</t>
  </si>
  <si>
    <t>Cornell University</t>
  </si>
  <si>
    <t>ROSEMAN, EF (corresponding author), CORNELL BIOL FIELD STN,BRIDGEPORT,NY 13030, USA.</t>
  </si>
  <si>
    <t>Roseman, Edward/0000-0002-5315-9838</t>
  </si>
  <si>
    <t>10.1016/0045-6535(94)90227-5</t>
  </si>
  <si>
    <t>MZ425</t>
  </si>
  <si>
    <t>WOS:A1994MZ42500012</t>
  </si>
  <si>
    <t>Larreta, J; Franco, J; Valencia, V</t>
  </si>
  <si>
    <t>Larreta, Joana; Franco, Javier; Valencia, Victoriano</t>
  </si>
  <si>
    <t>Evolution of lead concentrations in the Nervion Estuary, southeastern Bay of Biscay</t>
  </si>
  <si>
    <t>SCIENTIA MARINA</t>
  </si>
  <si>
    <t>15th Iberian Seminar on Marine Chemistry</t>
  </si>
  <si>
    <t>FEB 22-24, 2010</t>
  </si>
  <si>
    <t>Vigo, SPAIN</t>
  </si>
  <si>
    <t>lead; pollutants; sediments; water; biomonitors; Nervion estuary</t>
  </si>
  <si>
    <t>TRACE-METALS; BILBAO ESTUARY; SEDIMENTS; CD; MARINE; CU; PRECONCENTRATION; FRACTIONATION; CONTAMINANTS; SALINITY</t>
  </si>
  <si>
    <t>Over many years the Nervion estuary has received an intense lead input from various sources in relation to different human activities. This input has produced lead accumulation in some compartments of the estuarine system, which is mainly reflected in the sediments. In recent years, the closure and/or transformation of some contaminating industries, in addition to the implementation of a sewerage scheme, have considerably reduced these inputs into the system. The lead concentration in the sediments has shown a general decreasing trend since 1995. Although this trend is neither progressive nor statistically significant for all the studied stations, lead concentrations in surficial sediment are significantly lower in recent years than at the beginning of the study period. Regarding potential adverse effects on biota, although one third of the values measured during the study period are above concentrations associated with toxicity, in recent years very few values exceed these references. Time series of lead concentrations in biomonitors (mussels) do not show statistically significant temporal trends, and most of the values fulfil the quality objective proposed for this region.</t>
  </si>
  <si>
    <t>[Larreta, Joana; Franco, Javier; Valencia, Victoriano] AZTI Tecnalia, Div Marine Res, Pasaia 20110, Gipuzkoa, Spain</t>
  </si>
  <si>
    <t>AZTI</t>
  </si>
  <si>
    <t>Larreta, J (corresponding author), AZTI Tecnalia, Div Marine Res, Pasaia 20110, Gipuzkoa, Spain.</t>
  </si>
  <si>
    <t>jlarreta@azti.es</t>
  </si>
  <si>
    <t>Franco, Javier/0000-0002-8629-3558; Larreta, Joana/0000-0001-8276-9232</t>
  </si>
  <si>
    <t>CONSEJO SUPERIOR INVESTIGACIONES CIENTIFICAS-CSIC</t>
  </si>
  <si>
    <t>MADRID</t>
  </si>
  <si>
    <t>VITRUVIO 8, 28006 MADRID, SPAIN</t>
  </si>
  <si>
    <t>0214-8358</t>
  </si>
  <si>
    <t>1886-8134</t>
  </si>
  <si>
    <t>SCI MAR</t>
  </si>
  <si>
    <t>Sci. Mar.</t>
  </si>
  <si>
    <t>10.3989/scimar.03729.27I</t>
  </si>
  <si>
    <t>070ZB</t>
  </si>
  <si>
    <t>WOS:000313553100011</t>
  </si>
  <si>
    <t>Gamain, P; Gonzalez, P; Cachot, J; Clérandeau, C; Mazzella, N; Gourves, PY; Morin, B</t>
  </si>
  <si>
    <t>Gamain, Perrin; Gonzalez, Patrice; Cachot, Jerome; Clerandeau, Christelle; Mazzella, Nicolas; Gourves, Pierre Yves; Morin, Benedicte</t>
  </si>
  <si>
    <t>Combined effects of temperature and copper and S-metolachlor on embryo-larval development of the Pacific oyster, Crassostrea gigas</t>
  </si>
  <si>
    <t>Pacific oyster; Copper; Herbicide; Embryotoxicity; Climate change</t>
  </si>
  <si>
    <t>EARLY-LIFE STAGES; COMPARATIVE RESPONSES; ELEVATED-TEMPERATURE; OCEAN ACIDIFICATION; SALINITY; TOXICITY; STRESSORS; MORTALITY; CHEMICALS; IMPACTS</t>
  </si>
  <si>
    <t>This study evaluates the combined effects of two contaminants (copper and a herbicide S-metolachlor) and temperature on the early life stages of the Pacific oyster Crasssotrea gigas, which is native to Arcachon Bay (southwest France). The responses of D-larvae, obtained from wild and cultivated oysters, were investigated for one year during the,oyster breeding period at different sampling sites and compared with the response of D-larvae from a commercial hatchery. Embryotoxicity was measured by considering the percentage of abnormal D-shaped larvae. Normal development of embryos occurred only from 22 degrees C to 26 degrees C. There were synergistic effects of copper at low and high temperatures. Native oysters appear particularly sensitive to an increase in water temperature, suggesting a future increase in the percentage of larval abnormalities as a result of global climate change. Hatchery oysters represent a good alternative model for studying the effects of both pollutants and climate change stressors. (C) 2016 Elsevier Ltd. All rights reserved.</t>
  </si>
  <si>
    <t>[Gamain, Perrin; Gonzalez, Patrice; Cachot, Jerome; Clerandeau, Christelle; Gourves, Pierre Yves; Morin, Benedicte] Univ Bordeaux, EPOC, UMR 5805, F-33400 Talence, France; [Mazzella, Nicolas] IRSTEA, URBEX Water Res Unit, F-33612 Gazinet, Cestas, France</t>
  </si>
  <si>
    <t>Centre National de la Recherche Scientifique (CNRS); Universite de Bordeaux; CNRS - National Institute for Earth Sciences &amp; Astronomy (INSU); INRAE</t>
  </si>
  <si>
    <t>Aquitaine Region (OSQUAR Project); CPER A2E; Intermunicipal Union of Arcachon Bay (SIBA); Water Agency Adour Garonne (AEAG)</t>
  </si>
  <si>
    <t>Aquitaine Region (OSQUAR Project)(Region Nouvelle-Aquitaine); CPER A2E; Intermunicipal Union of Arcachon Bay (SIBA); Water Agency Adour Garonne (AEAG)</t>
  </si>
  <si>
    <t>This study was funded by the Aquitaine Region (OSQUAR Project), CPER A2E, Intermunicipal Union of Arcachon Bay (SIBA) and Water Agency Adour Garonne (AEAG).</t>
  </si>
  <si>
    <t>10.1016/j.marpolbul.2016.12.018</t>
  </si>
  <si>
    <t>WOS:000394399800036</t>
  </si>
  <si>
    <t>Jo, PG; Choi, YK; Choi, CY</t>
  </si>
  <si>
    <t>Jo, Pil Gue; Choi, Yong Ki; Choi, Cheol Young</t>
  </si>
  <si>
    <t>Cloning and mRNA expression of antioxidant enzymes in the Pacific oyster, Crassostrea gigas in response to cadmium exposure</t>
  </si>
  <si>
    <t>CAT; gene expression; GPX; hemolymph; pacific oyster; SOD</t>
  </si>
  <si>
    <t>OXIDATIVE STRESS; GLUTATHIONE-PEROXIDASE; SUPEROXIDE-DISMUTASE; LIPID-PEROXIDATION; COPPER; BIOMARKERS; MECHANISM; TOXICITY; CATALASE; GOLDFISH</t>
  </si>
  <si>
    <t>Cadmium (Cd) is one of the most toxic heavy metal pollutants in the aquatic environment and can induce the formation of reactive oxygen species (ROS) that cause oxidative stress. In present study, we cloned catalase (CAT) and glutathione peroxidase (GPX) cDNA, and investigated its time- and dose-related effects of three Cd concentrations (0.01, 0.05 or 0.1 ppm) on mRNA levels of antioxidant enzymes (superoxide dismutase (SOD), CAT, GPX) in the gill and changes enzyme levels in the hemolymph of the Pacific oyster, Crassostrea gigas. The cDNA indentified encoded proteins of 516 and 244 amino acids corresponding to CAT and GPX, respectively. BLAST analysis from other species indicated that the residues essential to the enzymatic function of CAT and GPX proteins of C. gigas are highly conserved. Cd treatment significantly increased antioxidant enzyme mRNA expression in the gill in a time- and dose-dependent manner. The mRNA expression at 0.1 ppm Cd concentration increased up to 3 days (CAT, GPX) or 7 days (SOD) and then decreased by 7 days (CAT, GPX) or 11 days (SOD). Aspartate aminotransferase, alanine amintransferase and hydrogen peroxide (H2O2) concentrations levels increased significantly with exposure to 0.05 or 0.1 ppm Cd for 7 days. These results suggest that antioxidant enzymes play important roles in the physiological changes related to metabolism and cell protection that occur in Pacific oysters exposed to Cd. (c) 2008 Elsevier Inc. All rights reserved.</t>
  </si>
  <si>
    <t>[Jo, Pil Gue; Choi, Yong Ki; Choi, Cheol Young] Korea Maritime Univ, Div Marine Environm &amp; Biosci, Pusan 606791, South Korea</t>
  </si>
  <si>
    <t>Korea Maritime &amp; Ocean University</t>
  </si>
  <si>
    <t>Choi, CY (corresponding author), Korea Maritime Univ, Div Marine Environm &amp; Biosci, Pusan 606791, South Korea.</t>
  </si>
  <si>
    <t>choic@hhu.ac.kr</t>
  </si>
  <si>
    <t>10.1016/j.cbpc.2008.02.001</t>
  </si>
  <si>
    <t>295XB</t>
  </si>
  <si>
    <t>WOS:000255506400008</t>
  </si>
  <si>
    <t>DSILVA, C; KUREISHY, TW</t>
  </si>
  <si>
    <t>EXPERIMENTAL STUDIES ON ACCUMULATION OF COPPER AND ZINC IN GREEN MUSSEL</t>
  </si>
  <si>
    <t>Toxicity of Cu and Zn [environmental pollutants] to the green mussel, Mytilus viridis, was evaluated by short-term bioassays. Probit analysis was used for calculating 48 h median tolerance limits, 95% fiducial limits and slope functions (S). The rates of Cu and Zn accumulation were determined by analyzing the metal content in the soft parts of the mussels at fixed intervals of time by atomic absorption spectrometry. Bioaccumulation was determined as a function of metal concentration in the experimental medium. The correlations for the regression lines (P &lt; 0.1%) indicate that the uptake of metal is linear at least for the first 5 wk. During a more extended experimental period, adjustment to a steady state probably occurs.</t>
  </si>
  <si>
    <t>NATL INST OCEANOG, DONA PAULA 403004, GOA DAMEN &amp; DIV, INDIA.</t>
  </si>
  <si>
    <t>10.1016/0025-326X(78)90176-5</t>
  </si>
  <si>
    <t>FK782</t>
  </si>
  <si>
    <t>WOS:A1978FK78200005</t>
  </si>
  <si>
    <t>Tsangaris, C; Papathanasiou, E; Cotou, E</t>
  </si>
  <si>
    <t>Tsangaris, Catherine; Papathanasiou, Evangelos; Cotou, Efthimia</t>
  </si>
  <si>
    <t>Assessment of the impact of heavy metal pollution from a ferro-nickel smelting plant using biomarkers</t>
  </si>
  <si>
    <t>biomarker; metals; pollution effects; scope for growth; glutathione peroxidase; acetylcholinesterase; X-ray microanalysis; Mytilus galloprovincialis</t>
  </si>
  <si>
    <t>MUSSEL MYTILUS-GALLOPROVINCIALIS; ANTIOXIDANT ENZYMES; ACETYLCHOLINESTERASE INHIBITION; SUBCELLULAR-DISTRIBUTION; TISSUE CONCENTRATIONS; CONTAMINANT LEVELS; MARINE MUSSELS; 2 POPULATIONS; TRACE-METALS; EDULIS L</t>
  </si>
  <si>
    <t>A set of biomarkers was used to assess the impact of heavy metal pollution by a ferro-nickel smelting plant in Larymna bay (North Evoikos Gulf, Greece). These included a biomarker reflecting health status of an organism (scope for growth, SFG), a cellular biomarker of heavy metal exposure (composition of metal-containing granules), and two biochemical biomarkers reflecting oxidative stress (glutathione peroxidase, GPX) and neurotoxicity (acetylcholinesterase, AChE) measured in mussels (Mytilus galloprovincialis) both native and transplanted for 1 and 6 months at the coastal area of Larymna. All biomarkers in mussels at Larymna revealed differences from mussels at a reference site, signaling effects of the increased heavy metal levels on the biota. While effects on SFG and GPX in Larymna mussels were obvious on short-term exposure and persistent during chronic exposure, only chronic exposure induced a possibly cumulative effect on AChE. To validate the causal relationship between heavy metal exposure and effects observed in Larymna, SFG, GPX, and ACHE were examined in mussels exposed to a mixture of heavy metals (Ni, Cr, and Fe) under controlled laboratory conditions. The laboratory experiment verified the causal relationship between SFG and GPX responses and heavy metals but this was not demonstrated for AChE. Results from field-collected and laboratory-exposed mussels indicated a potential of GPX as predictive biomarker of population-level effects of heavy metal exposure. (c) 2006 Elsevier Inc. All rights reserved.</t>
  </si>
  <si>
    <t>Hellen Ctr Marine Res, Anavyssos 19013, Greece</t>
  </si>
  <si>
    <t>Hellenic Centre for Marine Research</t>
  </si>
  <si>
    <t>Tsangaris, C (corresponding author), Hellen Ctr Marine Res, 46-7 Klm,Athinon Souniou Ave,POB 712, Anavyssos 19013, Greece.</t>
  </si>
  <si>
    <t>Cotou, Efthimia/AAX-7157-2020; Tsangaris, Catherine/G-4378-2011</t>
  </si>
  <si>
    <t>Tsangaris, Catherine/0000-0001-6724-9394; COTOU, EFTHIMIA/0000-0003-1480-8257</t>
  </si>
  <si>
    <t>10.1016/j.ecoenv.2006.03.011</t>
  </si>
  <si>
    <t>121WF</t>
  </si>
  <si>
    <t>WOS:000243187000014</t>
  </si>
  <si>
    <t>Geng, N; Xia, YF; Lu, DB; Bai, Y; Zhao, YF; Wang, H; Ren, LX; Xu, CD; Hua, ET; Sun, GJ; Chen, XY</t>
  </si>
  <si>
    <t>Geng, Nan; Xia, Yinfeng; Lu, Debao; Bai, Yu; Zhao, Yufeng; Wang, Hui; Ren, Lingxiao; Xu, Cundong; Hua, Ertian; Sun, Guojin; Chen, Xiaoyang</t>
  </si>
  <si>
    <t>The bacterial community structure in epiphytic biofilm on submerged macrophyte Potamogetom crispus L. and its contribution to heavy metal accumulation in an urban industrial area in Hangzhou</t>
  </si>
  <si>
    <t>Bacterial community; Heavy metal; Bioaccumulation; Adsorption; Epiphytic biofilm</t>
  </si>
  <si>
    <t>BIVALVE CORBICULA-FLUMINEA; CADMIUM ACCUMULATION; MECHANISMS; DIVERSITY; SEDIMENT; LAKE</t>
  </si>
  <si>
    <t>Submerged macrophytes and their epiphytic biofilms are important media for metal transport/transformation in aquatic environment. However, the bacterial community structure and the contribution of the epiphytic biofilm to the heavy metal accumulation remain unclear. Therefore, in this study, water, sediment, submerged macrophyte (Potamogeton crispus L.) and its epiphytic biofilm samples in three sites of the moat in the industrial area of Hangzhou were collected for analyzing. The bacterial community structure was significantly impacted by the TN concentrations, and Genus Aeromonas (24.5-41.8%), Acinetobacter (16.2-29.8%) and Pseudomonas (12.6-23.6%) dominated in all epiphytic biofilm samples, which had the heavy metal pollutant resistibility. The contents of Cr in biofilms (7.4-8.3 mg/kg, DW) were significantly higher than those in leaves (1.0-2.4 mg/kg, DW), while the contents of Cu (11.0-13.9 mg/kg, DW) in leaves were significantly higher than those in biofilms (0.7-3.9 mg/kg, DW) in all the three sites. The BCF values of metals in the biofilm were followed the order of YF &lt; IC &lt; ETS. The results indicated that the epiphytic biofilm had positive effects on the metal bioaccumulation, and the metal accumulation ability increased with the hydrodynamic forces. Bioaccumulation by the epiphytic biofilm may be an effective way for metal (especially Cr) remediation.</t>
  </si>
  <si>
    <t>[Geng, Nan; Xia, Yinfeng; Lu, Debao; Bai, Yu; Zhao, Yufeng; Wang, Hui; Xu, Cundong; Hua, Ertian; Sun, Guojin; Chen, Xiaoyang] Zhejiang Univ Water Resources &amp; Elect Power, Key Lab Technol Rural Water Management Zhejiang P, Hangzhou 310018, Peoples R China; [Geng, Nan; Xia, Yinfeng; Lu, Debao; Bai, Yu; Zhao, Yufeng; Wang, Hui; Xu, Cundong; Sun, Guojin; Chen, Xiaoyang] Zhejiang Univ Water Resources &amp; Elect Power, Coll Water Conservancy &amp; Environm Engn, Hangzhou 310018, Peoples R China; [Ren, Lingxiao] Nanjing Inst Technol, Sch Environm Engn, Nanjing 211167, Peoples R China</t>
  </si>
  <si>
    <t>Zhejiang University of Water Resources and Electric Power; Zhejiang University of Water Resources and Electric Power; Nanjing Institute of Technology</t>
  </si>
  <si>
    <t>Chen, XY (corresponding author), Zhejiang Univ Water Resources &amp; Elect Power, 518 Xuelin St, Hangzhou 310018, Peoples R China.</t>
  </si>
  <si>
    <t>chenxy@zjweu.edu.cn</t>
  </si>
  <si>
    <t>SUN, Guojin/LFS-4190-2024</t>
  </si>
  <si>
    <t>National Natural Science Foundation of China [22006138]; Natural Science Foundation of Zhejiang province [LHY19E090003, LZJWD22E090001]; Zhejiang Province Public Welfare Technology Application Research Project [LGF21D020002]; Key Technology Research and Development Program of Zhejiang [2021C03019, 2021C03196]; Zhejiang Basic Public Welfare Research Project [LGF19E090001]; Natural Science Foundation of Jiangsu Province [BK20210933]</t>
  </si>
  <si>
    <t>National Natural Science Foundation of China(National Natural Science Foundation of China (NSFC)); Natural Science Foundation of Zhejiang province(Natural Science Foundation of Zhejiang Province); Zhejiang Province Public Welfare Technology Application Research Project; Key Technology Research and Development Program of Zhejiang; Zhejiang Basic Public Welfare Research Project; Natural Science Foundation of Jiangsu Province(Natural Science Foundation of Jiangsu Province)</t>
  </si>
  <si>
    <t>The work was sponsored by the National Natural Science Foundation of China [Grant number 22006138], Natural Science Foundation of Zhejiang province [Grant numbers LHY19E090003, LZJWD22E090001], Zhejiang Province Public Welfare Technology Application Research Project [Grant number LGF21D020002], Key Technology Research and Development Program of Zhejiang [Grant numbers 2021C03019, 2021C03196], Zhejiang Basic Public Welfare Research Project [Grant number LGF19E090001] and Natural Science Foundation of Jiangsu Province [Grant number BK20210933].</t>
  </si>
  <si>
    <t>10.1016/j.jhazmat.2022.128455</t>
  </si>
  <si>
    <t>ZJ9TB</t>
  </si>
  <si>
    <t>WOS:000762640800005</t>
  </si>
  <si>
    <t>Zarykhta, VV; Zhang, ZH; Kuznetsova, TV; Ozerski, PV; Feng, YJ</t>
  </si>
  <si>
    <t>Zarykhta, V. V.; Zhang, Z. H.; Kuznetsova, T. V.; Ozerski, P. V.; Feng, Y. J.</t>
  </si>
  <si>
    <t>Differential Accumulation of Heavy Metals in Soft Tissues of Three Bivalvian Species from the Songhua River near Harbin (China)</t>
  </si>
  <si>
    <t>JOURNAL OF EVOLUTIONARY BIOCHEMISTRY AND PHYSIOLOGY</t>
  </si>
  <si>
    <t>heavy metals; bioaccumulation; bioindicators; bivalves; bottom sediments; Northern China</t>
  </si>
  <si>
    <t>SURFACE SEDIMENTS; WATER; BIOAVAILABILITY; CONTAMINATION; TOXICITY</t>
  </si>
  <si>
    <t>Concentrations of heavy metals (HM) in water, bottom sediments and soft tissues of native bivalves were determined to indicate the level of anthropogenic pressure on the Songhua River near Harbin, China. It was found that concentrations of six HM (Cd, Cr, Cu, Mn, Pb, Zn) ranged from 0.001 to 0.007 (mg/L) in water and from 0.07 to 5617.13 (mg/kg) in bottom sediments. At the study site of the river exposed to severe anthropogenic pollution, different bivalves exhibited different rates of HM accumulation in their soft tissues. The bioconcentration factors (BCF) were calculated for each metal and proved to be significantly different in the tissues studied (gills and hepatopancreas). The obtained data confirmed the existence of inter-species differences in metal accumulation in tissues of the native bivalves. This approach can be useful both in comparative physiological studies of the Bivalvia and in choosing optimal indicator organisms to assess anthropogenic pollution of natural waters of Northern China and the Russian Far East.</t>
  </si>
  <si>
    <t>[Zarykhta, V. V.; Zhang, Z. H.; Feng, Y. J.] Harbin Inst Technol, Harbin, Peoples R China; [Kuznetsova, T. V.] Russian Acad Sci, St Petersburg Sci Res Ctr Ecol Safety, St Petersburg, Russia; [Ozerski, P. V.] Herzen State Pedag Univ, St Petersburg, Russia</t>
  </si>
  <si>
    <t>Harbin Institute of Technology; Russian Academy of Sciences; St. Petersburg Scientific Centre of the Russian Academy of Sciences; St. Petersburg Federal Research Center of the Russian Academy of Sciences; Herzen State Pedagogical University of Russia</t>
  </si>
  <si>
    <t>Zhang, ZH (corresponding author), Harbin Inst Technol, Harbin, Peoples R China.</t>
  </si>
  <si>
    <t>hitzzh@hit.edu.cn</t>
  </si>
  <si>
    <t>Kuznetsova, Tatiana/ABD-1741-2020</t>
  </si>
  <si>
    <t>Ministry of Education and Science of the Russian Federation [AAAA-A19-119020190122-6]; National Key Research and Development Program of China [2017YFA0207204]; Heilongjiang Province Natural Science Foundation [LH2019E042]; State Key Laboratory of Urban Water Resource and Environment, Harbin Institute of Technology [2019TS06]</t>
  </si>
  <si>
    <t>Ministry of Education and Science of the Russian Federation(Ministry of Education and Science, Russian Federation); National Key Research and Development Program of China(National Key Research &amp; Development Program of China); Heilongjiang Province Natural Science Foundation(Natural Science Foundation of Heilongjiang Province); State Key Laboratory of Urban Water Resource and Environment, Harbin Institute of Technology(Harbin Institute of Technology)</t>
  </si>
  <si>
    <t>This study was supported by the Ministry of Education and Science of the Russian Federation (theme reg. no. AAAA-A19-119020190122-6) and in part by the National Key Research and Development Program of China (2017YFA0207204), Heilongjiang Province Natural Science Foundation (LH2019E042) and State Key Laboratory of Urban Water Resource and Environment, Harbin Institute of Technology (No.2019TS06).</t>
  </si>
  <si>
    <t>0022-0930</t>
  </si>
  <si>
    <t>1608-3202</t>
  </si>
  <si>
    <t>J EVOL BIOCHEM PHYS+</t>
  </si>
  <si>
    <t>J. Evol. Biochem. Physiol.</t>
  </si>
  <si>
    <t>10.1134/S0022093020020040</t>
  </si>
  <si>
    <t>Biochemistry &amp; Molecular Biology; Evolutionary Biology; Physiology</t>
  </si>
  <si>
    <t>LR4PL</t>
  </si>
  <si>
    <t>WOS:000535678800004</t>
  </si>
  <si>
    <t>Hossain, MF; Islam, MS; Kashem, MA; Osman, KT; Zhou, YB</t>
  </si>
  <si>
    <t>Hossain, Md Faysal; Islam, Md Shoffikul; Kashem, Md Abul; Osman, Khan Towhid; Zhou, Yanbo</t>
  </si>
  <si>
    <t>Lead immobilization in soil using new hydroxyapatite-like compounds derived from oyster shell and its uptake by plant</t>
  </si>
  <si>
    <t>Lead uptake; Hydroxyapatite-like compounds; Oyster shell; Indian spinach; Remediation</t>
  </si>
  <si>
    <t>POTENTIALLY TOXIC ELEMENTS; CONTAMINATED SOIL; SYNTHETIC HYDROXYAPATITES; NANO-HYDROXYAPATITE; HEAVY-METALS; CADMIUM; REMOVAL; IONS; REMEDIATION; WATER</t>
  </si>
  <si>
    <t>Protecting the natural environment and ecological systems from the inorganic pollutants such as lead (Pb) has highlighted the urgent need to develop new and effective approaches for this substance's immobilization in soil. In this study, new, low-cost, and eco-friendly hydroxyapatite (HAp)-like compounds were prepared by reacting oyster shell (Oys) with diammonium phosphate ((NH4)(2)HPO4) (DAP) and calcium hydroxide (Ca(OH)(2)) at 25-28 degrees C (OyOHr) and 100 degrees C (OyOHh). Furthermore, OyOHr and OyOHh were assessed for their effectiveness to immobilize Pb in soil and suppress Pb uptake by Indian spinach (Basella Alba L.). Application of 0.5% OyOHr and OyOHh to soil (by weight) reduced Pb concentration in the shoots by 76.9-78.0% compared to control (CK), to a level that was slightly higher (by 15.5-21.5%) than the recommended food safety level (2 mg kg(-1)) suggested by WHO. The changes in Pb fractions revealed that the total contents of oxidizable and residual forms in OyOHr or OyOHh after harvest was &gt;415.0 mg kg(-1), which indicated that &gt;92% of Pb when added to the soil, was immobilized and not able to be taken up by plants. The proposed Pb immobilization mechanism might be the dissolution of OyOHr or OyOHh followed by hydroxypyromorphite (Pb-10(PO4)(6)(OH)(2)) (HP) formation. Due to their facile preparation and eco-friendly and excellent Pb immobilizing characteristics, OyOHr or OyOHh could be readily integrated into current farming systems to mitigate the risk of Pb transferring to plants. However, OyOHr seemed a better immobilizing agent correspond to OyOHh in terms of cost and efficiency. (C) 2021 Elsevier Ltd. All rights reserved.</t>
  </si>
  <si>
    <t>[Hossain, Md Faysal; Islam, Md Shoffikul; Kashem, Md Abul; Osman, Khan Towhid] Univ Chittagong, Dept Soil Sci, Chittagong 4331, Bangladesh; [Hossain, Md Faysal; Zhou, Yanbo] East China Univ Sci &amp; Technol, State Environm Protect Key Lab Environm Risk Asse, 130 Meilong Rd, Shanghai 200237, Peoples R China; [Zhou, Yanbo] East China Univ Sci &amp; Technol, Natl Engn Lab Ind Wastewater Treatment, 130 Meilong Rd, Shanghai 200237, Peoples R China</t>
  </si>
  <si>
    <t>University of Chittagong; East China University of Science &amp; Technology; East China University of Science &amp; Technology</t>
  </si>
  <si>
    <t>Islam, MS (corresponding author), Univ Chittagong, Dept Soil Sci, Chittagong 4331, Bangladesh.;Zhou, YB (corresponding author), East China Univ Sci &amp; Technol, State Environm Protect Key Lab Environm Risk Asse, 130 Meilong Rd, Shanghai 200237, Peoples R China.;Zhou, YB (corresponding author), East China Univ Sci &amp; Technol, Natl Engn Lab Ind Wastewater Treatment, 130 Meilong Rd, Shanghai 200237, Peoples R China.</t>
  </si>
  <si>
    <t>msislam@cu.ac.bd; zhouyanbo@ecust.edu.cn</t>
  </si>
  <si>
    <t>zhou, yanbo/M-1733-2015; Islam, Md. Shoffikul/ACV-4355-2022</t>
  </si>
  <si>
    <t>Islam, Md. shoffikul/0000-0003-2386-068X; Hossain, Md Faysal/0000-0002-9508-4918; Kashem, Md. Abul/0000-0003-2379-2277</t>
  </si>
  <si>
    <t>University of Chittagong, Bangladesh [112/PD/5-14(12)/2016]; National Natural Science Foundation of China [51778230]; Shanghai Rising-Star Program [17QA1401000]</t>
  </si>
  <si>
    <t>University of Chittagong, Bangladesh; National Natural Science Foundation of China(National Natural Science Foundation of China (NSFC)); Shanghai Rising-Star Program</t>
  </si>
  <si>
    <t>The authors would like to express their sincere gratitude to the authority of the University of Chittagong, Bangladesh (No. 112/P&amp;D/5-14(12)/2016, CU), National Natural Science Foundation of China (No. 51778230), and the Shanghai Rising-Star Program (No. 17QA1401000) for their financial support.</t>
  </si>
  <si>
    <t>10.1016/j.chemosphere.2021.130570</t>
  </si>
  <si>
    <t>APR 2021</t>
  </si>
  <si>
    <t>SP9GO</t>
  </si>
  <si>
    <t>WOS:000659971200091</t>
  </si>
  <si>
    <t>GEORGE, SG; CARPENE, E; COOMBS, TL; OVERNELL, J; YOUNGSON, A</t>
  </si>
  <si>
    <t>CHARACTERIZATION OF CADMIUM-BINDING PROTEINS FROM MUSSELS, MYTILUS-EDULIS (L), EXPOSED TO CADMIUM</t>
  </si>
  <si>
    <t>BIOCHIMICA ET BIOPHYSICA ACTA</t>
  </si>
  <si>
    <t>Three Cd2+-binding proteins [protective chemicals against heavy metal pollution] were purified and partially characterized from the digestive gland of the bivalve mollusk, M. edulis, after exposure to Cd2+. The major protein, which was judged to be pure by polyacrylamide gel electrophoresis, showed many of the characteristics of mammalian metallothionein; it had a high -SH content, few aromatic amino acids and a high A250/A280 nm ratio [absorption at 250 nm/absorption at 280 nm] which disappeared on acidification. It also contained Zn and Cu, but differed in its higher apparent MW of about 25,000 and high glycine content (12-19%). The 2 additional Cd2+-binding proteins had lower cysteine contents and different molar proportions of Cd2+, Zn2+ and Cu2+.</t>
  </si>
  <si>
    <t>FM VET BOLOGNA, INST BIOCHEM, BOLOGNA, ITALY</t>
  </si>
  <si>
    <t>NERC, INST MARINE BIOCHEM, ST FITTICKS RD, ABERDEEN, SCOTLAND.</t>
  </si>
  <si>
    <t>Carpene, Ettore/A-9162-2013</t>
  </si>
  <si>
    <t>0006-3002</t>
  </si>
  <si>
    <t>BIOCHIM BIOPHYS ACTA</t>
  </si>
  <si>
    <t>Biochim. Biophys. Acta</t>
  </si>
  <si>
    <t>10.1016/0005-2795(79)90135-1</t>
  </si>
  <si>
    <t>Biochemistry &amp; Molecular Biology; Biophysics</t>
  </si>
  <si>
    <t>HR951</t>
  </si>
  <si>
    <t>WOS:A1979HR95100001</t>
  </si>
  <si>
    <t>Wang, YW; Liang, L; Shi, JB; Jiang, GB</t>
  </si>
  <si>
    <t>Study on the contamination of heavy metals and their correlations in mollusks collected from coastal sites along the Chinese Bohai Sea</t>
  </si>
  <si>
    <t>heavy metals; mollusks; principal component analysis; correlation analysis; ANOVA; Bohai Sea</t>
  </si>
  <si>
    <t>TRACE-METALS; SOFT-TISSUE; MYTILUS-EDULIS; MUSSEL-WATCH; BIOLOGICAL INDICATOR; KYUSHU-ISLAND; EAST-COAST; BYSSUS; POLLUTION; MARINE</t>
  </si>
  <si>
    <t>Mollusks living in seas can accumulate heavy metals, and may serve as excellent passive biomonitors. During a period of I year, bioaccumulation of As, Cd, Co, Cr, Cu, Fe, Hg, Mn, Ni, Pb, Se, and Zn was examined in nine kinds of mollusks (Rapana venosa, Neverita didyma, Scapharca subcrenata, Mytilus edulis, Aniusium, Crassostrea talienwhanensis, Meretix meretrix, Ruditapes philippinarum, and Mactra veneriformis), which were collected at eight coastal sites along the Chinese Bohai Sea. Metal concentrations were directly determined by inductively coupled plasma mass spectrometer (ICP-MS). Two certified reference materials, dogfish muscle (DORM-2) and mussel (GBW 08571), were used to validate the methods, and the recoveries were within 83.72-112.30% of the certified values. Bioaccumulation of metals varied strongly among sampling sites and species. Statistical analysis (one-way ANOVA) indicated that different species examined showed different bioaccumulation of metals, and perhaps they could be used as potential biomonitors to investigate the contamination levels of heavy metals. Principal component analysis (PCA) and correlation analysis were used to study the relationships between these heavy metals. The results showed that, in nine mollusks' tissues, there are significant correlations between these elements in adjacent main group or subgroup in periodic table of elements. (C) 2005 Elsevier Ltd. All rights reserved.</t>
  </si>
  <si>
    <t>Chinese Acad Sci, State Key Lab Environm Chem &amp; Ecotoxicol, Res Ctr Ecoenvironm Sci, Beijing 100085, Peoples R China</t>
  </si>
  <si>
    <t>Chinese Acad Sci, State Key Lab Environm Chem &amp; Ecotoxicol, Res Ctr Ecoenvironm Sci, POB 2871, Beijing 100085, Peoples R China.</t>
  </si>
  <si>
    <t>gbjiang@mail.rcees.ac.cn</t>
  </si>
  <si>
    <t>10.1016/j.envint.2005.02.005</t>
  </si>
  <si>
    <t>967FW</t>
  </si>
  <si>
    <t>WOS:000232077900001</t>
  </si>
  <si>
    <t>REGOLI, F</t>
  </si>
  <si>
    <t>LYSOSOMAL RESPONSES AS A SENSITIVE STRESS INDEX IN BIOMONITORING HEAVY-METAL POLLUTION</t>
  </si>
  <si>
    <t>MUSSEL MYTILUS-EDULIS; DIGESTIVE CELLS; QUANTITATIVE ALTERATIONS; COMMON MUSSEL; EXPOSURE; COPPER; DETOXICATION; PHENANTHRENE; POLLUTANTS; BIVALVES</t>
  </si>
  <si>
    <t>Lysosomal responses in digestive cells of Mytilus galloprovincialis, collected from a relatively clean area [La Spezia, Italy] and a heavy metal polluted one [Scarlino, Italy], were tested over 1 yr. Lysosomal characteristics were also measured in mussels transferred for 6 mo to the polluted site and in mussels from both populations kept for 4 wk in indoor tanks with clean running seawater. Organisms exposed to high environmental levels of heavy metals showed a reduced lysosomal membrane stability and an enhanced production of lipofuscin. Enlarged secondary lysosomes were observed in transplanted mussels. Depuration in clean water caused a slight but significant increase in lysosomal membrane stability of contaminated animals from Scarlino, which, however, remained below the levels observed in the controls. Lipid content in digestive cells of transplanted organisms was lower than in natural mussels from both populations. No evidence of fatty degeneration was observed as a result of heavy metal exposure. These observations confirm the sensitivity of lysosomes to environmental metal pollutants and support the utility of stress indices based on the responses of these organelles in biomonitoring studies.</t>
  </si>
  <si>
    <t>REGOLI, F (corresponding author), UNIV PISA, DIPARTIMENTO BIOMED SPERIMENTALE INFETTIVA &amp; PUBBL, I-56100 PISA, ITALY.</t>
  </si>
  <si>
    <t>Regoli, Francesco/K-2719-2018</t>
  </si>
  <si>
    <t>Regoli, Francesco/0000-0001-6084-6188</t>
  </si>
  <si>
    <t>10.3354/meps084063</t>
  </si>
  <si>
    <t>JF728</t>
  </si>
  <si>
    <t>WOS:A1992JF72800007</t>
  </si>
  <si>
    <t>Boisson, F; Cotret, O; Teyssié, JL; El-Baradeï, M; Fowler, SW</t>
  </si>
  <si>
    <t>Relative importance of dissolved and food pathways for lead contamination in shrimp</t>
  </si>
  <si>
    <t>lead; radiotracer; bioaccumulation; depuration; shrimp; human health</t>
  </si>
  <si>
    <t>MUSSEL MYTILUS-EDULIS; BIOACCUMULATION; TOXICITY; TURNOVER; WATER</t>
  </si>
  <si>
    <t>The relative importance of dissolved and food pathways and the influence of food type in the bioaccumulation and retention of lead in the shrimp Palaemonetes varians were examined using a radiotracer method. Shrimp were exposed to Pb-210-labelled seawater or fed two types of Pb-210-labelled food, viz. mussels or worms. The amount of radiotracer accumulated by shrimp was examined over a 7-day period, followed by a 1-month and a 7-day depuration period for the dissolved and food source, respectively. Steady state in the uptake was reached after 2 days exposure to dissolved lead, with a resultant estimated concentration factor of 98 +/- 3. Transfer factors following ingestion of contaminated mussels and worms were lower than unity for both food types, with lead transfer from worms being significantly higher than that from mussels. Accumulation of dissolved Pb by shrimp was found to occur mainly through adsorption on the exoskeleton with a minor accumulation in the internal tissues probably resulting from the intake of seawater for osmoregulation. In contrast, lead taken up from contaminated food was readily absorbed and bound in the internal tissues of P. varians. Although the transfer of lead to P. varians through the ingestion of contaminated food was low (TF &lt; 1%), it still represented 4 to 8% of the lead content in the prey which is a significant additional contribution of lead to the shrimp body burden. Independent of food type, following ingestion of contaminated food, approximately 23-27% of total lead accumulated in shrimp was located in the edible parts (e.g. muscle). Therefore, the food pathway is suggested to be a significant contributor to the lead transfer to humans through ingestion of contaminated shrimp. After exposure to contaminated food, lead loss kinetics were described by a two-component model, whereas Pb loss following direct uptake from seawater was best described by a three-component model. The additional compartment representing 64% of total Pb retained and characterized by a turnover &lt; 10 min, corresponded to lead weakly adsorbed on the exoskeleton and incorporated in the hepatopancreas. Nevertheless, a significant fraction of lead accumulated from the dissolved (2%) and food (52-57%) pathways remained irreversibly retained in the tissues, suggesting that this organism could also serve as an effective long-term bioindicator of lead contamination in marine waters. (C) 2003 Elsevier Ltd. All rights reserved.</t>
  </si>
  <si>
    <t>Int Atom Energy Agcu, Marine Environm Lab, MC-98012 Monaco, Monaco</t>
  </si>
  <si>
    <t>Int Atom Energy Agcu, Marine Environm Lab, 4 Quai Antoine 1er,BP 800, MC-98012 Monaco, Monaco.</t>
  </si>
  <si>
    <t>f.boisson@iaca.org</t>
  </si>
  <si>
    <t>10.1016/S0025-326X(03)00316-3</t>
  </si>
  <si>
    <t>754VW</t>
  </si>
  <si>
    <t>WOS:000187353900016</t>
  </si>
  <si>
    <t>PITTS, LC; WALLACE, GT</t>
  </si>
  <si>
    <t>LEAD DEPOSITION IN THE SHELL OF THE BIVALVE, MYA-ARENARIA - AN INDICATOR OF DISSOLVED LEAD IN SEAWATER</t>
  </si>
  <si>
    <t>MYA; BIVALVES; SHELLS; LEAD; INDICATOR SPECIES; POLLUTION; CAPE COD; BOSTON HARBOR</t>
  </si>
  <si>
    <t>STATES-MUSSEL-WATCH; BENTHIC FORAMINIFERA; NORTH-ATLANTIC; CIRCULATION; CADMIUM; CORALS; METAL</t>
  </si>
  <si>
    <t>UNIV MASSACHUSETTS,ENVIRONM SCI PROGRAM,BOSTON,MA 02125</t>
  </si>
  <si>
    <t>Wallace, Gordon/H-1123-2011</t>
  </si>
  <si>
    <t>Wallace, Gordon/0000-0002-0381-7273</t>
  </si>
  <si>
    <t>ACADEMIC PRESS LTD</t>
  </si>
  <si>
    <t>10.1006/ecss.1994.1051</t>
  </si>
  <si>
    <t>PA777</t>
  </si>
  <si>
    <t>WOS:A1994PA77700007</t>
  </si>
  <si>
    <t>Fan, WH; Yang, XP; Shi, ZW; Ren, JQ</t>
  </si>
  <si>
    <t>Fan, Wenhong; Yang, Xiuping; Shi, Zhiwei; Ren, Jinqian</t>
  </si>
  <si>
    <t>EFFECT OF HUMIC ACID ON COPPER UPTAKE AND METALLOTHIONEIN INDUCTION IN DAPHNIA MAGNA</t>
  </si>
  <si>
    <t>copper toxicity; humic acid (HA); biotic ligand model (BLM); bioavailability; metallothionein (MT)</t>
  </si>
  <si>
    <t>BIOTIC LIGAND MODEL; HEAVY-METAL CONTAMINATION; DISSOLVED ORGANIC-MATTER; TOXICITY; BIOAVAILABILITY; WATERS; ACCUMULATION; SEDIMENTS; POLLUTION; MUSSEL</t>
  </si>
  <si>
    <t>Daphnia magna was used to study the influence of humic acid (HA) on the biological effect of copper (Cu) in water. Cu species in reconstituted water with different HA concentrations was calculated using MINTEQA2. The lethal concentration 50 (LC50) was predicted by the biotic ligand model (BLM). Mortality, Cu bioaccumulation, and metallothionein (MT) in D. magna exposed to Cu and HA for 3 d were measured. All indicators were proven using LC50. As the HA concentration increased from 0 mg/L to 6 mg/L, the content of free Cu2+ decreased and the content of Cu and HA complexes (Cu-HA) increased. Mortality, Cu bioaccumulation, and MT decreased significantly, indicating that the existence of HA in the water reduced the uptake and toxicity of Cu. The uptake of Cu-HA complexes was significantly lower than that of free Cu ions. Their mechanisms of bioavailability were different because the Cu-HA complexes were not involved in the synthesis of MT in vivo.</t>
  </si>
  <si>
    <t>[Fan, Wenhong; Yang, Xiuping; Shi, Zhiwei; Ren, Jinqian] Beihang Univ, Sch Chem &amp; Environm, Dept Environm Sci &amp; Engn, Beijing 100191, Peoples R China</t>
  </si>
  <si>
    <t>Beihang University</t>
  </si>
  <si>
    <t>Fan, WH (corresponding author), Beihang Univ, Sch Chem &amp; Environm, Dept Environm Sci &amp; Engn, 37 Xueyuan Rd, Beijing 100191, Peoples R China.</t>
  </si>
  <si>
    <t>fanwh@buaa.edu.cn</t>
  </si>
  <si>
    <t>fan, wen hong/F-6415-2012</t>
  </si>
  <si>
    <t>fan, wenhong/0000-0001-5047-1714</t>
  </si>
  <si>
    <t>China's National Basic Research Program [2008CB418201]; Natural Science Foundation of China [40871215]; Natural Science Foundation of Beijing [8092019]</t>
  </si>
  <si>
    <t>China's National Basic Research Program(National Basic Research Program of China); Natural Science Foundation of China(National Natural Science Foundation of China (NSFC)); Natural Science Foundation of Beijing(Beijing Natural Science Foundation)</t>
  </si>
  <si>
    <t>This work was supported by China's National Basic Research Program (No. 2008CB418201), Natural Science Foundation of China (no: 40871215) and Natural Science Foundation of Beijing (no. 8092019).</t>
  </si>
  <si>
    <t>WOS:000309326000008</t>
  </si>
  <si>
    <t>Rainbow, PS</t>
  </si>
  <si>
    <t>Biomonitoring of heavy metal availability in the marine environment</t>
  </si>
  <si>
    <t>TALITRID AMPHIPODS CRUSTACEA; BIVALVE MACOMA-BALTHICA; MUSSEL MYTILUS-EDULIS; SAN-FRANCISCO BAY; HONG-KONG WATERS; TRACE-METALS; SCANDINAVIAN WATERS; ZINC CONCENTRATIONS; AQUATIC ORGANISMS; ECOLOGICAL SERIES</t>
  </si>
  <si>
    <t>Biomonitors can be used to establish geographical and/or temporal variations in the bioavailabilities of heavy metals in the marine environment, offering time-integrated measures of those portions of the total ambient metal load that are of direct ecotoxicological relevance. Heavy metal biomonitors need to conform to certain required characteristics, not least being metal accumulators, Use of a suite of biomonitors allows recognition of the presence and relative magnitude of different metal sources, For example, a macrophytic alga responds essentially to dissolved metal sources only, a suspension feeder like a mussel responds to metal sources in dissolved and suspended phases, and a deposit feeder responds to metal available in the sediment. Examples are given of suitable heavy metal biomonitors in the coastal waters of Europe, New Zealand, Hong Kong and China, It is not valid to compare absolute accumulated metal concentrations in biomonitors interspecifically, although interspecific comparisions of rank orders do allow cross correlations of relative bioavailabilities of heavy metals to different biomonitors at the same sites. There is a need to identify widespread cosmopolitan biomonitors to allow intraspecific comparisons of bioavailabilities between geographical areas. Such cosmopolitan biomonitors may include the alga Ulva lactuca, mussels of the genera Mytilus and Perna, the oysters Ostrea and Crassostrea, barnacles Like Balanus amphitrite and Tetraclita squamosa, and the talitrid amphipod Platorchestia platensis, A major caveat in the use of such cosmopolitan biomonitors remains the need for reliable, specific taxonomic identification.</t>
  </si>
  <si>
    <t>UNIV LONDON QUEEN MARY &amp; WESTFIELD COLL, SCH BIOL SCI, MILE END RD, LONDON E1 4NS, ENGLAND.</t>
  </si>
  <si>
    <t>10.1016/0025-326X(95)00116-5</t>
  </si>
  <si>
    <t>WOS:A1995TM84200007</t>
  </si>
  <si>
    <t>REGOLI, F; ORLANDO, E</t>
  </si>
  <si>
    <t>ACCUMULATION AND SUBCELLULAR-DISTRIBUTION OF METALS (CU, FE, MN, PB AND ZN) IN THE MEDITERRANEAN MUSSEL MYTILUS-GALLOPROVINCIALIS DURING A FIELD TRANSPLANT EXPERIMENT</t>
  </si>
  <si>
    <t>OYSTER OSTREA-EDULIS; UNEXPOSED MOLLUSKS; DIGESTIVE-SYSTEM; MINOR ELEMENTS; WESTERN NORWAY; TRACE-METALS; BINDING PROTEINS; COPPER; CADMIUM; ZINC</t>
  </si>
  <si>
    <t>Marine mussels are generally used as biomonitors of heavy metal pollution in coastal areas. However, the time-integration capacity of these molluscs may vary from different metals and this fact should be considered when interpreting heavy metal concentrations in natural mussel populations. The aim of this work was to investigate the uptake-excretion kinetics and the subcellular distribution of metals in field conditions: the results were expected to provide useful information on the different time-integration capacities of mussels for various elements. Mussels from a clean site were transplanted to a heavy metal polluted environment where they acumulated Pb, Fe, and Mn. The accumulation was not linear but a steady state was reached after only 2 weeks, indicating that mussels can rapidly equilibrate with enhanced environmental levels of these pollutants. Copper and zinc were not accumulated by transplanted mussels, suggesting a similar bioavailability in the two environments or a certain regulation capability of molluscs for these essential elements. Polluted mussels, allowed to depurate in clean seawater, showed excretion rates which were different between elements. Moreover the subcellular distribution was characteristic for each metal but the patterns were similar in wild populations as well as in transplanted and depurating mussels, indicating that the same subcellular fractions are involved in the uptake, storage and excretion of metals. From the results, the different time-integration capacities of mussels for various elements appear to be related to the cellular mechanisms involved in their detoxification and/or excretion.</t>
  </si>
  <si>
    <t>UNIV PISA, DIPARTIMENTO BIOMED SPERIMENTALE INFETTIVA &amp; PUBBL, VIA A VOLTA 4, I-56100 PISA, ITALY.</t>
  </si>
  <si>
    <t>10.1016/0025-326X(94)90360-3</t>
  </si>
  <si>
    <t>PT345</t>
  </si>
  <si>
    <t>WOS:A1994PT34500004</t>
  </si>
  <si>
    <t>Zhang, HY; Guo, CQ; Feng, HR; Shen, YT; Wang, YT; Zeng, T; Song, S</t>
  </si>
  <si>
    <t>Zhang, Haiyan; Guo, Chenqi; Feng, Hongru; Shen, Yanting; Wang, Yaotian; Zeng, Tao; Song, Shuang</t>
  </si>
  <si>
    <t>Total mercury, methylmercury, and selenium in aquatic products from coastal cities of China: Distribution characteristics and risk assessment</t>
  </si>
  <si>
    <t>Total mercury (THg); Methylmercury (MeHg); Selenium (Se); Fish; Shellfish</t>
  </si>
  <si>
    <t>MARINE FISH; SEAFOOD CONSUMPTION; HEALTH-RISK; TRACE-ELEMENTS; MOLAR RATIOS; FARMED FISH; EXPOSURE; BIOACCUMULATION; ACCUMULATION; POLLUTION</t>
  </si>
  <si>
    <t>This study analyzed total mercury (THg), methylmercury (MeHg) and selenium (Se) in 114 aquatic product samples (representing 39 species) from eight coastal cities of China. The THg and MeHg levels in different parts of the same sample species were in the order of muscle skin/shell &gt; roe, whereas Se levels were much higher in roe. Concentrations of THg. MeHg. and Se in the muscles were between 2.27-154, 0.36-135, and 57.8-1.20 x 10(3) ng g(-1) wet weight (ww), respectively. Although significant differences in analyte concentrations were not observed among cities, they existed among three species; marine fish, freshwater fish, and shellfish. Shellfish had generally lower Hg content (mean: 20.2 ng g(-1) ww THg, 6.71 ng g-(1 )ww MeHg, and 30.9% MeHg/THg ratio); however it had higher Se content (528 ng g(-1) ww) than the other types of fish (mean: 33.3 ng ww THg, 282 ng g(-1) ww MeHg, and 792% MeHg/THg ratio, 257 ng g(-1) ww Se). In addition to spe- cies, the individual growth and Hg-Se interaction influenced Hg distribution. Evident correlations were observed between several individual body features and Hg content, and between Se and THg concentrations (p &lt; 0.05). The greater correlation coefficient between two elements for fish indicated stronger Hg-Se antagonism through Hg-Se compound formation in fish. Relatively low THg daily intakes (mean 0.013-0.080 mu g kg(-1) day(-1)) and MeHg daily intakes (0.006-0.065 mu g kg(-1) day(-1)) along with Se:Hg molar ratios &gt;1 and positive HBVse values suggest that aquatic products from these sites will not pose immediate health problems to consumers. Fish was the dominating contributor for MeHg intake whereas shellfish was the dominating contributor for Se intake. To safeguard against mercury exposure, residents in these areas can appropriately increase shellfish intake (especially bivalves), rather than exclusively consuming marine fish. (C) 2020 Elsevier B.V. All rights reserved.</t>
  </si>
  <si>
    <t>[Zhang, Haiyan; Guo, Chenqi; Shen, Yanting; Zeng, Tao; Song, Shuang] Zhejiang Univ Technol, Coll Environm, Hangzhou 310032, Peoples R China; [Feng, Hongru] Zhejiang Univ, Dept Chem, Hangzhou 310027, Peoples R China; [Wang, Yaotian] Northeastern Univ, Coll Sci, Res Ctr Analyt Sci, Dept Chem, Shenyang 110819, Peoples R China</t>
  </si>
  <si>
    <t>Zhejiang University of Technology; Zhejiang University; Northeastern University - China</t>
  </si>
  <si>
    <t>Song, S (corresponding author), Zhejiang Univ Technol, Coll Environm, Hangzhou 310032, Peoples R China.</t>
  </si>
  <si>
    <t>ss@zjut.edu.cn</t>
  </si>
  <si>
    <t>Zhang, Haiyan/GMW-7284-2022</t>
  </si>
  <si>
    <t>SONG, Shuang/0000-0001-8033-6839</t>
  </si>
  <si>
    <t>National Natural Science Foundation of China [21976159, 21906137, 21876156]; Zhejiang Provincial Ten Thousand Talent Program [2018R52013]</t>
  </si>
  <si>
    <t>National Natural Science Foundation of China(National Natural Science Foundation of China (NSFC)); Zhejiang Provincial Ten Thousand Talent Program</t>
  </si>
  <si>
    <t>This study was jointly supported by the National Natural Science Foundation of China (No. 21976159, 21906137, 21876156), and the Zhejiang Provincial Ten Thousand Talent Program (No. 2018R52013).</t>
  </si>
  <si>
    <t>10.1016/j.scitotenv.2020.140034</t>
  </si>
  <si>
    <t>ND3HA</t>
  </si>
  <si>
    <t>WOS:000561793600020</t>
  </si>
  <si>
    <t>WIKFORS, GH; TWAROG, JW; FERRIS, GE; SMITH, BC; UKELES, R</t>
  </si>
  <si>
    <t>SURVIVAL AND GROWTH OF POST-SET OYSTERS AND CLAMS ON DIETS OF CADMIUM-CONTAMINATED MICROALGAL CULTURES</t>
  </si>
  <si>
    <t>MUSSEL MYTILUS-EDULIS; MERCENARIA-MERCENARIA; CRASSOSTREA-VIRGINICA; HARD CLAM; CHEMICAL-COMPOSITION; COPPER TOLERANCE; TRACE-METALS; HEAVY-METALS; FOOD-CHAIN; ALGAL FOOD</t>
  </si>
  <si>
    <t>Young post-set oysters, Crassostrea virginica, and clams, Mercenaria mercenaria, were reared in groups of 50 on diets consisting of one or more of the following species of microalgae: Isochrysis galbana, Phaeodactylum tricornutum, and Dunaliella tertiolecta. Strains of these species that had been induced to tolerate high Cd concentrations were cultured axenically in artificial seawater media with 15, 60, and 60 mg liter-1 Cd, respectively. Algal diets consisting of strains of these species cultured in Cd-free medium and containing no measurable Cd served as controls. Algal cells were harvested in a nitrogen deficient stationary phase from semi-continuous cultures and analyzed for Cd uptake. Daily feeding rations of the three algal species listed above contained known quantities of Cd: 41.0, 20.2, and 15.2 mug bivalve-1 day-1, respectively. Daily algal rations were also analyzed for nutritional components (protein, carbohydrate, and lipid), and significant effects of Cd on algal composition were found. Oysters fed cadmium-contaminated P. tricornutum, D. tertiolecta, or a 50/50 mix of these two species exhibited varied responses. Diets including Cd-contaminated D. tertiolecta caused mortality and weight losses of oysters whereas, oysters fed P. tricornutum cultured in Cd showed no significant effect. Clams fed unialgal diets of Cd-contaminated I. galbana, D. tertiolecta, or P. tricornutum did not grow, but mortality was observed only in clams fed Cd-contaminated P. tricornutum. Differences in bivalve responses to the various algal diets may reflect interactions between CD toxicity and nutritional factors, especially for oysters in which the toxic effects of Cd were more severe when more digestible diets were fed. These results demonstrate detrimental effects of pollutant-contaminated algae upon consumer species' survival and growth, parameters of fundamental importance to population structure.</t>
  </si>
  <si>
    <t>ENSIGN BICKFORD ANALYT SERV,SIMSBURY,CT 06070</t>
  </si>
  <si>
    <t>WIKFORS, GH (corresponding author), NOAA,NATL MARINE FISHERIES SERV,NE FISHERIES SCI CTR,MILFORD LAB,212 ROGERS AVE,MILFORD,CT 06460, USA.</t>
  </si>
  <si>
    <t>10.1016/0141-1136(94)90054-X</t>
  </si>
  <si>
    <t>MW970</t>
  </si>
  <si>
    <t>WOS:A1994MW97000002</t>
  </si>
  <si>
    <t>Dondero, F; Dagnino, A; Jonsson, H; Capri, F; Gastaldi, L; Viarengo, A</t>
  </si>
  <si>
    <t>Dondero, Francesco; Dagnino, Alessandro; Jonsson, Henrik; Capri, Flavia; Gastaldi, Laura; Viarengo, Aldo</t>
  </si>
  <si>
    <t>Assessing the occurrence of a stress syndrome in mussels (Mytilus edulis) using a combined biomarker/gene expression approach</t>
  </si>
  <si>
    <t>biomarkers; copper; heavy metals; microarray; mussel; risk assessment</t>
  </si>
  <si>
    <t>DIGESTIVE GLAND; PEROXISOME PROLIFERATION; BIOCHEMICAL MARKERS; POLLUTION; METALLOTHIONEIN; CLASSIFICATION; CELLS; ACCUMULATION; RESPONSES; MOLLUSK</t>
  </si>
  <si>
    <t>A combination of biomarkers and gene expression analyses was used to investigate the occurrence of a stress syndrome in mussels (Mytilus edulis) caged along a copper pollution gradient in the Visnes fjord, Norway. The stress level in mussels, as calculated by a novel algorithm (the Expert System) from a set of seven biomarkers, was compared with gene expression changes utilising a low-density oligonucleotide microarray, employing 24 different genes involved in both cellular homeostasis and stress-related responses. The biomarker battery included lysosomal membrane stability, lysosomal accumulation of neutral lipids and lipofuscin, lysosomal/cytoplasm volume ratio, Ca2+ -ATPase and catalase activities, and total metallothionein content. Integration of the biomarkers into the Expert System ranked individuals sampled at site 2 as unstressed, mussels sampled at site 3 as being subject to low stress, and those from site 4, which is adjacent to what used to be a copper mine, as being highly stressed, with respect to specimens sampled from the reference site. Microarray analyses demonstrated that at-the two innermost and mostly polluted sites. gene expression patterns where severely altered. In particular, some genes exhibited a linear activation response along the copper gradient, e.g. metallothioneins mt 20 and mt 10, and catalase. In addition, stress responsive kinase (krs), glutathione transferase (gst), major vault protein and histones (h1, h2a and h4) were significantly up-regulated at the innermost site. In conclusion, these results demonstrated that sites could be discriminated using both a physiological and a molecular approach. The development of a stress syndrome along the pollution gradient was evidenced with a novel mussel microarray, both in terms of numbers of regulated genes and level of gene response. (c) 2006 Elsevier B.V. All rights reserved.</t>
  </si>
  <si>
    <t>Univ Eastern Piemonte Amedeo Avogadro, Dept Environm &amp; Life Sci, I-15100 Alessandria, Italy</t>
  </si>
  <si>
    <t>University of Eastern Piedmont Amedeo Avogadro</t>
  </si>
  <si>
    <t>Dondero, F (corresponding author), Univ Piemonte Orientale, Dept Environm &amp; Life Sci, Via Bellini 25G, I-15100 Alessandria, Italy.</t>
  </si>
  <si>
    <t>gastaldi, laura/AGG-0272-2022; Dagnino, Alessandro/D-3060-2013; Dondero, Francesco/J-1528-2012</t>
  </si>
  <si>
    <t>Dondero, Francesco/0000-0001-7945-3712; Viarengo, Aldo/0000-0002-1557-6526; Dagnino, Alessandro/0000-0003-3779-9891</t>
  </si>
  <si>
    <t>S13</t>
  </si>
  <si>
    <t>S24</t>
  </si>
  <si>
    <t>10.1016/j.aquatox.2006.02.025</t>
  </si>
  <si>
    <t>050ZT</t>
  </si>
  <si>
    <t>WOS:000238130600003</t>
  </si>
  <si>
    <t>Pawar, N; Gireesh-Babu, P; Sabnis, S; Rasal, K; Murthy, R; Zaidi, SGS; Sivasubbu, S; Chaudhari, A</t>
  </si>
  <si>
    <t>Pawar, Nilambari; Gireesh-Babu, P.; Sabnis, Supriya; Rasal, Kiran; Murthy, Renuka; Zaidi, S. G. S.; Sivasubbu, Sridhar; Chaudhari, Aparna</t>
  </si>
  <si>
    <t>Development of a fluorescent transgenic zebrafish biosensor for sensing aquatic heavy metal pollution</t>
  </si>
  <si>
    <t>TRANSGENIC RESEARCH</t>
  </si>
  <si>
    <t>Tol2 transposon vector; Fluorescent reporter; Metallothionein; Bioreporter; Perna viridis</t>
  </si>
  <si>
    <t>NEMATODE CAENORHABDITIS-ELEGANS; TOL2 TRANSPOSABLE ELEMENT; GFP; EXPRESSION; GENE; PROMOTER; PROTEIN; METALLOTHIONEIN; CADMIUM; MODEL</t>
  </si>
  <si>
    <t>We report a transgenic zebrafish (Danio rerio) designed to respond to heavy metals using a metal-responsive promoter linked to a fluorescent reporter gene (DsRed2). The metallothionein MT-Ia1 promoter containing metal-responsive elements was derived from the Asian green mussel, Perna viridis. The promoter is known to be induced by a broad spectrum of heavy metals. The promoter-reporter cassette cloned into the Tol2 transposon vector was microinjected into zebrafish embryos that were then reared to maturity. A transgene integration rate of 28 % was observed. The confirmed transgenics were mated with wild-type counterparts, and pools of F-1 embryos were exposed to sub-lethal doses of Cd2+, Cu2+, Hg2+, Pb2+ and Zn2+. The red fluorescence response of zebrafish embryos was observed 8 h post- exposure to these sub-lethal doses of heavy metals using a fluorescence microscope. Reporter expression estimated by real-time PCR revealed eightfold, sixfold and twofold increase on exposure to highest concentrations of Hg2+, Cd2+ and Cu2+, while Pb2+ and Zn2+ had no effect. This biosensor could be a first-level screening method for confirming aquatic heavy metal bio-toxicity to eukaryotes.</t>
  </si>
  <si>
    <t>[Pawar, Nilambari; Gireesh-Babu, P.; Sabnis, Supriya; Rasal, Kiran; Murthy, Renuka; Zaidi, S. G. S.; Chaudhari, Aparna] ICAR Cent Inst Fisheries Educ, Dept Fish Genet &amp; Biotechnol, Bombay 400061, Maharashtra, India; [Sivasubbu, Sridhar] CSIR Inst Genom &amp; Integrat Biol, New Delhi, India</t>
  </si>
  <si>
    <t>Indian Council of Agricultural Research (ICAR); ICAR - Central Institute of Fisheries Education; Council of Scientific &amp; Industrial Research (CSIR) - India; CSIR - Institute of Genomics &amp; Integrative Biology (IGIB)</t>
  </si>
  <si>
    <t>Chaudhari, A (corresponding author), ICAR Cent Inst Fisheries Educ, Dept Fish Genet &amp; Biotechnol, Bombay 400061, Maharashtra, India.</t>
  </si>
  <si>
    <t>achaudhari67@gmail.com</t>
  </si>
  <si>
    <t>; Babu, Gireesh/E-5428-2010</t>
  </si>
  <si>
    <t>Rasal, Kiran/0000-0002-0971-286X; Babu, Gireesh/0000-0001-6249-1624</t>
  </si>
  <si>
    <t>0962-8819</t>
  </si>
  <si>
    <t>1573-9368</t>
  </si>
  <si>
    <t>TRANSGENIC RES</t>
  </si>
  <si>
    <t>Transgenic Res.</t>
  </si>
  <si>
    <t>10.1007/s11248-016-9959-z</t>
  </si>
  <si>
    <t>Biochemical Research Methods; Biochemistry &amp; Molecular Biology; Biotechnology &amp; Applied Microbiology</t>
  </si>
  <si>
    <t>DW5RT</t>
  </si>
  <si>
    <t>WOS:000383705300005</t>
  </si>
  <si>
    <t>FARRIS, JL; GRUDZIEN, JL; BELANGER, SE; CHERRY, DS; CAIRNS, J</t>
  </si>
  <si>
    <t>MOLLUSCAN CELLULOLYTIC ACTIVITY RESPONSES TO ZINC EXPOSURE IN LABORATORY AND FIELD STREAM COMPARISONS</t>
  </si>
  <si>
    <t>ZINC; CELLULOLYTIC ACTIVITY; MOLLUSKS; MONITORING; ARTIFICIAL STREAMS</t>
  </si>
  <si>
    <t>CLAM CORBICULA-FLUMINEA; MUSSEL MYTILUS-EDULIS; FRESH-WATER CLAM; ASIATIC CLAM; ARTIFICIAL STREAMS; METAL POLLUTION; CADMIUM; GROWTH; ACCUMULATION; INDICATOR</t>
  </si>
  <si>
    <t>Changes in cellulolytic activity of Asiatic clams (Corbicula fluminea) and snails (Mudalia dilatata) were monitored throughout 30-d exposures to constant additions (0.0, 0.025, 0.05, 0.50, and 1.0 mg l-1) of zinc (Zn). All exposures of 0.05 mg Zn l-1 or greater significantly reduced enzyme activity (exo- and endocellulase) in both molluscs as early as 10 d following exposures in outdoor laboratory streams incorporating New River water as diluent. More sterile laboratory stream exposures were less consistent in yielding quantifiable differences that could be attributed to metal induced stress apart from effects of nutritional stress. Tests conducted under natural field conditions during all seasons did not differ significantly with respect to changes in annual energetics of either clams or snails. However, evidence of differing uptake routes, with respect to two ecologically and physiologically distinct molluscs, was apparent in bioaccumulation, growth, and enzyme activity throughout exposure and following 60-d recovery.</t>
  </si>
  <si>
    <t>VIRGINIA POLYTECH INST &amp; STATE UNIV,DEPT BIOL,BLACKSBURG,VA 24061; VIRGINIA POLYTECH INST &amp; STATE UNIV,CTR ENVIRONM &amp; HAZARDOUS MAT STUDIES,BLACKSBURG,VA 24061; GRACE BIOONCOL INC,PONTIAC,MI 48342; PROCTER &amp; GAMBLE CO,IVORYDALE TECH CTR,DEPT ENVIRONM SAFETY,CINCINNATI,OH 45217</t>
  </si>
  <si>
    <t>Virginia Polytechnic Institute &amp; State University; Virginia Polytechnic Institute &amp; State University; Procter &amp; Gamble</t>
  </si>
  <si>
    <t>Belanger, Scott/0000-0003-0369-9673</t>
  </si>
  <si>
    <t>JUL 22</t>
  </si>
  <si>
    <t>10.1007/BF00010732</t>
  </si>
  <si>
    <t>PD068</t>
  </si>
  <si>
    <t>WOS:A1994PD06800002</t>
  </si>
  <si>
    <t>Boboria, D; Maata, M; Mani, FS</t>
  </si>
  <si>
    <t>Boboria, Dickson; Maata, Matakite; Mani, Francis S.</t>
  </si>
  <si>
    <t>Metal pollution in sediments and bivalves in Marovo Lagoon, Solomon Islands</t>
  </si>
  <si>
    <t>Pollution; Heavy metals; Bivalve; Sediment; Marovo Lagoon</t>
  </si>
  <si>
    <t>HEAVY-METALS; SURFACE SEDIMENTS; SUVA HARBOR; SOILS</t>
  </si>
  <si>
    <t>Heavy metal concentrations were determined in sediment and bivalve samples from Marovo Lagoon in the Solomon Islands. In the sediments, heavy metal levels ranged from 10 ? 3?47 ? 2 ?g/g Cd, 25 ? 4?351 ? 5 ?g/g Cr, 145 ? 3?418 ? 7 ?g/g Cu and 20 ? 3?371 ? 5 ?g/g Pb. When compared to the baseline values measured in a 1991 study of the same lagoon, a simple relative ratio in the range of 2?43 was noted for all metals in sediments as compared to baseline and confirms significant anthropogenic influence. The heavy metal contamination of bivalves showed level ranges of 2.00 ? 0.01?10 ? 1 ?g/g Cd, 9 ? 3?42 ? 2 ?g/g Cr, 47 ? 3?76 ? 3 ?g/g Cu and 24 ? 11?86 ? 14 ?g/g Pb. The higher levels of metals in the Marovo Lagoon sediments when compared to other Pacific studies are attributed to intense logging activities around the bay and other potential anthropogenic sources such as mining and discharge of waste into the lagoon.</t>
  </si>
  <si>
    <t>[Boboria, Dickson; Maata, Matakite; Mani, Francis S.] Univ South Pacific, Fac Sci Technol &amp; Environm, Sch Biol &amp; Chem Sci, Pacific, Fiji; [Boboria, Dickson; Maata, Matakite; Mani, Francis S.] Univ South Pacific, Private Mail Bag,Laucala Campus, Suva, Fiji</t>
  </si>
  <si>
    <t>University of the South Pacific; University of the South Pacific</t>
  </si>
  <si>
    <t>Mani, FS (corresponding author), Univ South Pacific, Fac Sci Technol &amp; Environm, Sch Biol &amp; Chem Sci, Pacific, Fiji.</t>
  </si>
  <si>
    <t>francis.mani@usp.ac.fj</t>
  </si>
  <si>
    <t>10.1016/j.marpolbul.2021.112026</t>
  </si>
  <si>
    <t>RB7BW</t>
  </si>
  <si>
    <t>WOS:000632264200005</t>
  </si>
  <si>
    <t>Gamain, P; Feurtet-Mazel, A; Maury-Brachet, R; Auby, I; Pierron, F; Belles, A; Budzinski, H; Daffe, G; Gonzalez, P</t>
  </si>
  <si>
    <t>Gamain, Perrine; Feurtet-Mazel, Agnes; Maury-Brachet, Regine; Auby, Isabelle; Pierron, Fabien; Belles, Angel; Budzinski, Helene; Daffe, Guillemine; Gonzalez, Patrice</t>
  </si>
  <si>
    <t>Can pesticides, copper and seasonal water temperature explain the seagrass Zostera noltei decline in the Arcachon bay?</t>
  </si>
  <si>
    <t>Zostera noltei; Arcachon Bay; Pesticides; Copper; Cellular impacts</t>
  </si>
  <si>
    <t>PHYSIOLOGICAL-RESPONSES; PHOTOSYSTEM-II; GROWTH; TOXICITY; DYNAMICS; HORNEM; DIURON</t>
  </si>
  <si>
    <t>Dwarf eelgrasses (Zostera noltei) populations have decreased since 2005 in Arcachon Bay (southwest France). Various stressors have been pointed out, however the role of xenobiotics like pesticides or copper (Cu) and of parameters like water temperature warming have not yet been explored. To determine their impact, 1 noltei individuals were collected in a pollution-free site and transferred to the laboratory in seawater microcosms. This dwarf eelgrass was exposed to a pesticide cocktail and copper, alone or simultaneously, at temperatures (10 degrees C, 20 degrees C, 28 degrees C) representative of different seasons. After a two-week contamination, leaf growth, leaf bioaccumulation of Cu, and differential expression of target genes were studied. Eelgrasses bioaccumulated Cu regardless of the temperature, with reduced efficiency in the presence of the Cu and pesticide cocktail at the two higher temperatures. High temperature also exacerbated the effect of contaminants, leading to growth inhibition and differential gene expression. Mitochondrial activity was strongly impacted and higher mortality rates occurred. Experimental results have been confirmed during field survey. This is the first report on the impacts on Z. noltei of pesticides and Cu associate to temperature.</t>
  </si>
  <si>
    <t>[Gamain, Perrine; Feurtet-Mazel, Agnes; Maury-Brachet, Regine; Pierron, Fabien; Daffe, Guillemine; Gonzalez, Patrice] Univ Bordeaux, UMR EPOC CNRS 5805, Aquat Ecotoxicol Team, F-33120 Arcachon, France; [Belles, Angel; Budzinski, Helene] Univ Bordeaux, UMR EPOC CNRS 5805, LPTC Team, F-33615 Pessac, France; [Auby, Isabelle] IFREMER Arcachon, Quaff Cdt Silhouette, Lab Environm Ressources, F-33120 Arcachon, France</t>
  </si>
  <si>
    <t>Centre National de la Recherche Scientifique (CNRS); Universite de Bordeaux; Centre National de la Recherche Scientifique (CNRS); CNRS - National Institute for Earth Sciences &amp; Astronomy (INSU); Universite de Bordeaux; Ifremer</t>
  </si>
  <si>
    <t>Gonzalez, P (corresponding author), Univ Bordeaux, UMR EPOC CNRS 5805, Aquat Ecotoxicol Team, F-33120 Arcachon, France.</t>
  </si>
  <si>
    <t>Patrice.gonzalez@u-bordeaux.fr</t>
  </si>
  <si>
    <t>Pierron, Fabien/0000-0001-6176-3050; AUBY, Isabelle/0000-0002-2589-9767; Gonzalez, Patrice/0000-0003-2628-2993; BUDZINSKI, Helene/0000-0001-5282-9011</t>
  </si>
  <si>
    <t>Aquitaine Region (OSQUAR Project) [CRA OSQUAR 2 : 7040R/7041R/CV: 2013-0044]; Cluster of Excellence COTE Continental To coastal Ecosystems: evolution, adaptability and gouvernance [ANR-10-LABX-45]</t>
  </si>
  <si>
    <t>Aquitaine Region (OSQUAR Project)(Region Nouvelle-Aquitaine); Cluster of Excellence COTE Continental To coastal Ecosystems: evolution, adaptability and gouvernance</t>
  </si>
  <si>
    <t>The authors thank the Aquitaine Region (OSQUAR Project) (CRA OSQUAR 2 : 7040R/7041R/CV: 2013-0044) for its financial support. This work was part of the OSQUAR project (oyster farming and water quality: dynamic approach in Arcachon Bay). This study was carried out in the framework of the Cluster of Excellence COTE Continental To coastal Ecosystems: evolution, adaptability and gouvernance (ANR-10-LABX-45).</t>
  </si>
  <si>
    <t>10.1016/j.marpolbul.2017.10.024</t>
  </si>
  <si>
    <t>GW7AS</t>
  </si>
  <si>
    <t>WOS:000447116800008</t>
  </si>
  <si>
    <t>Che, Y; He, Q; Lin, WQ</t>
  </si>
  <si>
    <t>The distributions of particulate heavy metals and its indication to the transfer of sediments in the Changjiang Estuary and Hangzhou Bay, China</t>
  </si>
  <si>
    <t>heavy metals; suspended sediments; bed load; Changjiang Estuary; Hangzhou Bay; bulk density</t>
  </si>
  <si>
    <t>TRACE-METALS; SUSPENDED MATTER; MOBILIZATION; PARTICLES; RIVERS; CLAMS</t>
  </si>
  <si>
    <t>Particulate heavy metals (Cu, Pb, Cd) were measured following intensive sampling in June and October 1994 at 70 stations in the Changjiang Estuary and Hangzhou Bay, China. In the study area, particulate Cu and Pb have a similar level that is higher than the concentration of particulate Cd. Cu, Pb and Cd concentrations in suspended sediments are higher than those in bed load. In the middle of Hangzhou Bay, heavy metal concentrations in suspended sediments and bed load are similar. This may be the result of the frequent exchange between them, which is due to the strong dynamic condition. A negative relationship was observed between concentrations of heavy metals in bed load and bulk density. Fine-grained sediments were the main carriers of heavy metals. Sedimentary dynamics dominate the fate of heavy metals in these sites. The distributions of metals (especially Cu) in suspended sediments can indicate the transfer of sediments in this area. (C) 2002 Elsevier Science Ltd. All rights reserved.</t>
  </si>
  <si>
    <t>E China Normal Univ, Dept Environm Sci &amp; Technol, Shanghai 200062, Peoples R China; E China Normal Univ, State Key Lab Estuarine &amp; Coastal Res, Shanghai 200062, Peoples R China; Shanghai Acad Environm Sci, Shanghai 200233, Peoples R China</t>
  </si>
  <si>
    <t>East China Normal University; East China Normal University</t>
  </si>
  <si>
    <t>E China Normal Univ, Dept Environm Sci &amp; Technol, Shanghai 200062, Peoples R China.</t>
  </si>
  <si>
    <t>jealousyche@sina.com; qhel@lsu.edu; wqlin@envir.gov.cn</t>
  </si>
  <si>
    <t>Che, Yue/AGH-1786-2022</t>
  </si>
  <si>
    <t>PII S0025-326X(02)00355-7</t>
  </si>
  <si>
    <t>10.1016/S0025-326X(02)00355-7</t>
  </si>
  <si>
    <t>646BH</t>
  </si>
  <si>
    <t>WOS:000181014600027</t>
  </si>
  <si>
    <t>Kalman, J; Riba, I; Blasco, J; Delvalls, TA</t>
  </si>
  <si>
    <t>Kalman, Judit; Riba, Inmaculada; Blasco, Julian; Delvalls, T. Angel</t>
  </si>
  <si>
    <t>Is δ-aminolevulinic acid dehydratase activity in bivalves from south-west Iberian Peninsula a good biomarker of lead exposure?</t>
  </si>
  <si>
    <t>14th International Symposium on Pollutant Responses in Marine Organisms (PRIMO 14)</t>
  </si>
  <si>
    <t>MAY 06-09, 2007</t>
  </si>
  <si>
    <t>Florianopolis, BRAZIL</t>
  </si>
  <si>
    <t>ALA-D activity; bivalve; lead; coast of huelva</t>
  </si>
  <si>
    <t>BLOOD</t>
  </si>
  <si>
    <t>The coast of Huelva is considered as a heavily contaminated area where the Tinto and Odiel rivers discharge after running through a metalliferous mining area in the Iberian Pyrite Belt and end in common estuary called Ria of Huelva. Lead is a highly toxic and widely distributed element in the aquatic environment; therefore there is a great interest in assessing the impact ofthis contaminant on aquatic organisms. To study the bioavailability and sources of lead, the bivalve species Chamelea gallina was collected from six sampling sites along the coast of Huelva. Besides the effect of this metal on the enzyme activity, delta-aminolevulinic acid dehydratase (ALA-D) was determined in the whole tissue. Results show the inverse relationship between the lead concentration and the activity of ALA-D measured in whole tissues (r(2) = 0.7). Individuals collected from the Ria of Huelva estuary had the highest levels of total lead concentrations and the lowest activity of ALA-D. Lead isotope analyses demonstrated the different sources of lead contamination and also confirmed the influence of Ria of Huelva on the metal input to the marine environment. (C) 2008 Elsevier Ltd. All rights reserved.</t>
  </si>
  <si>
    <t>[Kalman, Judit; Riba, Inmaculada; Blasco, Julian] CSIC, Inst Ciencias Marinas Andalucia, Puerto Real 11510, Spain; [Kalman, Judit; Riba, Inmaculada; Delvalls, T. Angel] Univ Cadiz, Fac Ciencias Mar &amp; Ambientales, Catedra UNESCO UNITWIN WiCop, Puerto Real 11510, Spain</t>
  </si>
  <si>
    <t>Consejo Superior de Investigaciones Cientificas (CSIC); CSIC - Instituto de Ciencias Marinas de Andalucia (ICMAN); Universidad de Cadiz</t>
  </si>
  <si>
    <t>Kalman, J (corresponding author), CSIC, Inst Ciencias Marinas Andalucia, Puerto Real 11510, Spain.</t>
  </si>
  <si>
    <t>judit.kalman@vcd.es</t>
  </si>
  <si>
    <t>Del Valls, T. Angel/K-9664-2014; Blasco, Julian/A-5319-2008; Kalman, Judit/L-7274-2015</t>
  </si>
  <si>
    <t>Del Valls, T. Angel/0000-0001-7674-9278; Blasco, Julian/0000-0002-9750-383X; Kalman, Judit/0000-0002-3610-1968</t>
  </si>
  <si>
    <t>10.1016/j.marenvres.2008.02.016</t>
  </si>
  <si>
    <t>325FX</t>
  </si>
  <si>
    <t>Green Submitted, Green Accepted</t>
  </si>
  <si>
    <t>WOS:000257575400035</t>
  </si>
  <si>
    <t>Shulkin, VM; Kavun, VI</t>
  </si>
  <si>
    <t>The use of marine bivalves in heavy metal monitoring near Vladivostok, Russia</t>
  </si>
  <si>
    <t>MYTILUS</t>
  </si>
  <si>
    <t>The industrial and domestic wastes of Vladivostok, the biggest city in the Russian Far East, have led to the increasing pollution of neighbouring coastal waters by heavy metals (Zn, Cn, Pb and Cd), The seasonal and spatial variability of Zn, Cu, Pb, and Cd concentrations in the common molluscs Mizuchopecten yessoensis, Crenomytilus grayanus and Modiolus kurilensis around Vladivostok were studied, There are large seasonal changes in the metal contents of the molluscs resulting from variations of filtration rate (for Zn and Cd) and differences in physiological state (for Cn and Pb), For Modiolus kurilensis the change in tissue weight during the reproductive cycle is also significant. Simultaneous sampling during the summer showed that agreement between pollution levels in sediments and in tin molluscs was observed for Cu only, The Pb and Cd concentrations in molluscs reached maximum values in the outer zones of the polluted region, but Pb and Cd contents in the molluscs decreased in the harbour localities where sediment metal loads indicated heavy pollution. It is supposed that: in such localities with high inputs of metals and organic substances, the molluscs may filter smaller volumes of the contaminated water and thus accumulate smaller quantities of metals.</t>
  </si>
  <si>
    <t>INST MARINE BIOL, VLADIVOSTOK 690041, RUSSIA</t>
  </si>
  <si>
    <t>PACIFIC INST GEOG, RADIO ST 7, VLADIVOSTOK 690041, RUSSIA.</t>
  </si>
  <si>
    <t>Vladimir, Shulkin/AAD-5861-2020; Kavun, Victor/AAC-1238-2020</t>
  </si>
  <si>
    <t>10.1016/0025-326X(95)00169-N</t>
  </si>
  <si>
    <t>WOS:A1995TM84200026</t>
  </si>
  <si>
    <t>Moukrim, A; Kaaya, A; Najimi, S; Roméo, M; Gnassia-Barelli, M; Narbonne, JF</t>
  </si>
  <si>
    <t>Assessment of the trace metal levels in two species of mussels from the Agadir Marine Bay, south of Morocco</t>
  </si>
  <si>
    <t>MYTILUS-GALLOPROVINCIALIS; PERNA-PERNA; BODY SIZE; BIOMARKER; POLLUTION; CADMIUM</t>
  </si>
  <si>
    <t>The southern Atlantic coasts of Morocco are known for their fisheries resources and touristic beaches. Although, part of this ecosystem received several types of pollutants which are discharged in the seawater without any treatment. In previous studies, in which acetylcholinesterase and glutathione S-transferase activities were used as biomarkers of pollution in Agadir Bay, we demonstrated that marine organisms (Donax trunculus, Mytilus galloprovincialis, Perna perna) living at the sites receiving domestic and industrial wastewater were affected (Najimi et al. 1997; Kaaya et al. 1999; Lagbouri, 1997). The study of these organism's biology showed many perturbations in the reproductive cycle and growth (Id-Halla et al. 1997; Lagbouri, 1997). In order to determinate whether metallic pollution was responsible for these perturbations, three heavy metals (zinc as essential metal, cadmium and copper known to have toxic effects) were analyzed in mussels. In fact, heavy metals were waste products of many industrial processes and were important causes of environmental pollution (Viarengo, 1985; Viarengo, 1989). Data about heavy metals in marine organisms from Moroccan coasts were rare and limited to the north Atlantic coasts (El Hraiki et al. 1994, Cheggour et al. 1999). The purpose of the present study was to assess the trace-metal content (Cd, Cu and Zn) in two species of mussels, the Mediterranean mussel M. galloprovincialis and the Africans mussel P. perna, collected in the Agadir bay (South of Morocco). The accumulation and transformation capabilities of pollutants make these sentinel organisms suitable for marine pollution monitoring (Lower and Kendall, 1990). The choice of Cd, Cu and Zn in this study, resided in the fact that they were the most heavy metals present in the wastewater in the area studied (Bari, 1994). Otherwise, this work constituted also a contribution in the assessment of the heavy metal level in the African North-West coasts which were characterized by an important upwelling. It completes the studies realized in the Mauritanian part of these coasts, by Romeo and Gnassia-Barelli (1988) and Sidoumou et al. (1992, 1999). Considering that many factors could affect the trace metals bioaccumulation in mollusks, e.g. physiological state, size and season (Romeo and Gnassia-Barelli 1988), our study investigated the metallic concentrations according to the season, animal size and distribution in organs. It was realized in two different sites of the Agadir bay.</t>
  </si>
  <si>
    <t>Univ Ibn Zohr, Fac Sci, Dept Biol, Lab Water &amp; Environm, Agadir, Morocco; Fac Med, Lab Marine Technol, INSERM, U303, Nice, France; Univ Bordeaux 1, Lab Food Toxicol, F-33405 Talence, France</t>
  </si>
  <si>
    <t>Ibn Zohr University of Agadir; Universite Cote d'Azur; Institut National de la Sante et de la Recherche Medicale (Inserm); Universite de Bordeaux</t>
  </si>
  <si>
    <t>Moukrim, A (corresponding author), Univ Ibn Zohr, Fac Sci, Dept Biol, Lab Water &amp; Environm, BP 28-S, Agadir, Morocco.</t>
  </si>
  <si>
    <t>10.1007/s001280000149</t>
  </si>
  <si>
    <t>353EV</t>
  </si>
  <si>
    <t>WOS:000089262600010</t>
  </si>
  <si>
    <t>Leung, KMY; Furness, RW</t>
  </si>
  <si>
    <t>Survival, growth, metallothionein and glycogen levels of Nucella lapillus (L.) exposed to subchronic cadmium stress:: the influence of nutritional state and prey type</t>
  </si>
  <si>
    <t>Nucella lapillus; dogwhelk; cadmium; mortality; growth; mussels barnacles; nutritional state; metallothionein; biomarker</t>
  </si>
  <si>
    <t>ENVIRONMENTAL ASSESSMENT; TOXICITY; CONSUMPTION; BIOMARKERS; DOGWHELK; FOOD; ACCUMULATION; REPRODUCTION; POPULATIONS; BEHAVIOR</t>
  </si>
  <si>
    <t>Dogwhelks Nucella lapillus feed mainly on mussels and barnacles, and may experience periods of starvation. We report effects of nutritional state and prey type on the survival, growth, cadmium (Cd) accumulation, metallothionein (NIT) induction and glycogen stores in N. lapillus exposed to Cd in water. Adult dogwhelks, with similar shell length (30.0 +/-1.5 mm), were either starved or fed to satiation with barnacles Semibalanus balanoides, mussels Mytilus edulis or Cd-dosed M. edulis, and kept in filtered natural seawater ( &lt; 0.01 mug Cd l(-1)) or Cd-contaminated (400 mug Cd l(-1)) seawater for 80 days. Mortality and individual growth rate were determined. Cd, MT and glycogen were measured in different tissues. Prolonged starvation and exposure to Cd significantly reduced the survivorship of N. lapillus, but feeding could help dogwhelks to combat Cd toxicity and minimise mortality. Extended starvation also caused tissue wastage, leading to higher concentrations of Cd and NIT in tissues, whereas fed animals increased in weight and had lower Cd and NIT concentrations because of the tissue dilution effect. Prey type significantly affected growth rate of dogwhelks and indirectly influenced Cd accumulation, NIT induction and glycogen stores. Eating mussels promoted better growth and higher glycogen reserves than eating barnacles. Individual growth rate decreased with increasing Cd accumulation. Cd-exposed survivors grew faster and consumed more than control animals, implying that these survivors may have better fitness and greater tolerance to Cd toxicity. The use of growth, condition index, MT and glycogen as biomarkers of environmental pollution are discussed. These results indicate a need to incorporate biological data including growth (or at least condition index) and prey type into biomonitoring programmes to allow sound interpretation. (C) 2001 Elsevier Science Ltd. All rights reserved.</t>
  </si>
  <si>
    <t>Univ Glasgow, Inst Biomed &amp; Life Sci, Glasgow G12 8QQ, Lanark, Scotland; Univ London Royal Holloway &amp; Bedford New Coll, Sch Biol Sci, Egham TW20 0EX, Surrey, England</t>
  </si>
  <si>
    <t>University of Glasgow; University of London; Royal Holloway University London</t>
  </si>
  <si>
    <t>Univ Glasgow, Inst Biomed &amp; Life Sci, Graham Kerr Bldg, Glasgow G12 8QQ, Lanark, Scotland.</t>
  </si>
  <si>
    <t>k.leung@rhbnc.ac.uk</t>
  </si>
  <si>
    <t>Leung, Kenneth Mei Yee/C-1055-2009</t>
  </si>
  <si>
    <t>Leung, Kenneth Mei Yee/0000-0002-2164-4281</t>
  </si>
  <si>
    <t>10.1016/S0141-1136(00)00271-3</t>
  </si>
  <si>
    <t>457RF</t>
  </si>
  <si>
    <t>WOS:000170150000005</t>
  </si>
  <si>
    <t>Yee-Duarte, JA; Racotta, IS; Camacho-Mondragón, MA; Roldán-Wong, NT; Carreño-León, DP; Shumilin, E; Kidd, KA; Arellano-Martínez, M</t>
  </si>
  <si>
    <t>Yee-Duarte, Josue Alonso; Racotta, Ilie S.; Camacho-Mondragon, Marian Alejandra; Roldan-Wong, Nefertiti Tayde; Carreno-Leon, Diana Patricia; Shumilin, Evgueni; Kidd, Karen A.; Arellano-Martinez, Marcial</t>
  </si>
  <si>
    <t>Contrasting reproductive health of female clams Megapitaria squalida from two nearby metal-polluted sites in the Gulf of California: Potential effects of copper, lead, and cobalt</t>
  </si>
  <si>
    <t>Metal pollution; Reproductive impairment; Oocyte alterations; Low energy reserves; Bivalves</t>
  </si>
  <si>
    <t>HEAVY-METALS; MYTILUS-GALLOPROVINCIALIS; POTAMOCORBULA-AMURENSIS; DELAYED GAMETOGENESIS; BAJA-CALIFORNIA; RISK-ASSESSMENT; MARINE ANIMALS; MYA-ARENARIA; BIOACCUMULATION; EXPOSURE</t>
  </si>
  <si>
    <t>We studied the effects of chronic exposure to metals on energy reserves and reproduction in the clam Megapitaria squalida in two nearby populations exposed to different levels of pollution from mining operations in the Gulf of California, Mexico. Female M. squalida from San Lucas beach had good reproductive health status, whereas Santa Rosalia specimens consistently showed low energy reserves, massive oocyte resorption throughout the year, high frequencies of undifferentiated individuals, low proportions of ripe and spawning organisms, smaller and fewer oocytes per follicle, and significantly lower follicular areas. Ovarian levels of Co, Cu, Pb, Mn, and Zn were consistently higher in clams from Santa Rosalia. The poor reproductive health of clams inhabiting this site may be attributed to their long-term exposure to high Co, Cu, and Pb concentrations, as these have been shown to cause toxicity and reproductive impairments in other marine organisms.</t>
  </si>
  <si>
    <t>[Yee-Duarte, Josue Alonso; Roldan-Wong, Nefertiti Tayde; Shumilin, Evgueni; Arellano-Martinez, Marcial] Inst Politecn Nacl, Ctr Interdisciplinario Ciencias Marinas, Av Inst Politecn Nacl S-N, La Paz 23096, Baja Calif Sur, Mexico; [Yee-Duarte, Josue Alonso; Camacho-Mondragon, Marian Alejandra] Inst Nacl Pesca &amp; Acuacultura, Ctr Reg Invest Acuicola &amp; Pesquera La Paz, Carretera Pichilingue Km 1, La Paz 23096, Baja Calif Sur, Mexico; [Racotta, Ilie S.; Carreno-Leon, Diana Patricia] Ctr Invest Biol Noroeste, Mar Bermejo 195, La Paz 23000, Baja Calif Sur, Mexico; [Kidd, Karen A.] Univ New Brunswick, Dept Biol Sci, St John, NB E2L 4L5, Canada; [Kidd, Karen A.] Univ New Brunswick, Canadian Rivers Inst, St John, NB E2L 4L5, Canada; [Kidd, Karen A.] McMaster Univ, Dept Biol, 1280 Main St, West Hamilton, ON L85 4K1, Canada; [Kidd, Karen A.] McMaster Univ, Sch Geog &amp; Earth Sci, 1280 Main St, West Hamilton, ON L85 4K1, Canada</t>
  </si>
  <si>
    <t>Instituto Politecnico Nacional - Mexico; CIBNOR - Centro de Investigaciones Biologicas del Noroeste; Telefonica SA; University of New Brunswick; University of New Brunswick; McMaster University; McMaster University</t>
  </si>
  <si>
    <t>Arellano-Martínez, M (corresponding author), Inst Politecn Nacl, Ctr Interdisciplinario Ciencias Marinas, Av Inst Politecn Nacl S-N, La Paz 23096, Baja Calif Sur, Mexico.</t>
  </si>
  <si>
    <t>casayee1234@gmail.com; iracotta@cibnor.mx; marian.camacho@inapesca.gob.mx; ntrw88@gmail.com; dcarreno04@cibnor.mx; eshumili@ipn.mx; kiddk@unb.ca; marellam@ipn.mx</t>
  </si>
  <si>
    <t>Carreño, Diana/ACL-8562-2022; Kidd, Karen A/ABG-3237-2020; Yee-Duarte, Josue Alonso/F-3627-2019</t>
  </si>
  <si>
    <t>Carreno, Diana/0000-0001-5607-6790; Kidd, Karen A/0000-0002-5619-1358; Yee-Duarte, Josue Alonso/0000-0002-7302-8974; Arellano-Martinez, Marcial/0000-0002-9344-2128</t>
  </si>
  <si>
    <t>SIP (Secretaria de Investigacion y Posgrado) of Instituto Politecnico Nacional, Mexico [1535, 1698, 2023]; CONACyT (Consejo Nacional de Ciencia y Tecnologia), Mexico [284289]; COFAA; EDI; SNI-CONACyT</t>
  </si>
  <si>
    <t>SIP (Secretaria de Investigacion y Posgrado) of Instituto Politecnico Nacional, Mexico; CONACyT (Consejo Nacional de Ciencia y Tecnologia), Mexico(Consejo Nacional de Ciencia y Tecnologia (CONACyT)); COFAA; EDI; SNI-CONACyT(Consejo Nacional de Ciencia y Tecnologia (CONACyT))</t>
  </si>
  <si>
    <t>This research was funded by SIP (Secretaria de Investigacion y Posgrado) of Instituto Politecnico Nacional, Mexico (projects 1535, 1698, 2023) and CONACyT (Consejo Nacional de Ciencia y Tecnologia), Mexico (project 284289). Josue Alonso Yee-Duarte was a fellow student of BEIFI and CONACyT, the results presented here are part of his PhD dissertation. E. Shumilin and Marcial Arellano-Martinez received grants from COFAA, EDI, and SNI-CONACyT. Marian Alejandra Camacho-Mondragon and Ilie S. Racotta received grants from SNI-CONACyT. We thank Maria Elena Sanchez-Salazar for editing the English manuscript.</t>
  </si>
  <si>
    <t>10.1016/j.marpolbul.2020.111583</t>
  </si>
  <si>
    <t>OO8MH</t>
  </si>
  <si>
    <t>WOS:000587628400003</t>
  </si>
  <si>
    <t>Kehrig, HDA; Costa, M; Moreira, I; Malm, O</t>
  </si>
  <si>
    <t>Methylmercury and total mercury in estuarine organisms from Rio de Janeiro, Brazil</t>
  </si>
  <si>
    <t>7th FECS Conference on Chemistry and the Environment</t>
  </si>
  <si>
    <t>AUG 27-30, 2000</t>
  </si>
  <si>
    <t>OPORTO, PORTUGAL</t>
  </si>
  <si>
    <t>biomagnification; biomonitoring; bivalve; Brazil; carnivorous fish; chlor-alkali industry; detritivorous fish; eutrophic ecosystem; filter-feeding; fish; Guanabara Bay; marine organisms; methyl-mercury; mollusc; Rio de Janeiro state; total mercury; tropical estuary</t>
  </si>
  <si>
    <t>GUANABARA BAY; ACCUMULATION; FISH</t>
  </si>
  <si>
    <t>Guanabara Bay (GB), located in the Rio de Janeiro State, is still a productive estuary on the south-eastern Brazilian coast. It is an ecosystem heavily impacted by organic matter, oil and a number of other toxic compounds, including Hg. The present study aimed to comparatively evaluate the aquatic total mercury (THg) and MeHg contamination, and the ratios of MeHg to THg (% MeHg), in 3 species of marine organisms, Micropogonias furnieri-carnivorous fish (N=81), Mugil spp. - detritivorous fish (N=20) and Perna perna- filter-feeding bivalves (N=190), which are widely consumed by the population. A total of 291 specimens were collected at the bay in different periods between 1988 and 1998. THg concentrations were determined by cold vapour AAS with stannous chloride as a reducing agent. MeHg was extracted by dithizone-benzene and measured by GC-ECD. Analytical quality was checked through certified standards. All organisms presented both low THg and MeHg concentrations and they were below the maximum limit of 1,000 mug Hg(.)kg(-1) wet wt. as established for human intake of predatory fish by the new Brazilian legislation. Carnivorous fish showed higher THg and MeHg concentrations, and also % MeHg in muscle tissues, than organisms with other feeding habits and lower trophic levels. The average of THg concentrations in carnivorous fish was 108.9 +/- 58.6 mug(.)kg(-1) wet wt. (N=61) in 1990 and 199.5 +/- 116.2 mug(.)kg(-1) wet wt. (N=20) in 1998, but they presented different total length and body weights. The average THg content in detritivorous fish was 15.4 +/-5.8 mug(.)kg(-1) wet wt., whereas THg concentrations ranged from 4.1 to 53.5 mug(.)kg(-1) wet wt. for the molluscs. The THg and MeHg contents of mussel varied according to the sampling point and water quality. MeHg concentration in detritivorous fish was similar to MeHg concentration in molluscs, but there was a significant difference in the MeHg/THg ratio: the carnivorous fish presented higher MeHg percentages (98 %) than the detritivorous fish (54%) and the molluscs (33%). Weight-normalised average concentration of THg in carnivorous fish collected in 1990 (0.18 0.08 mug(.)g(-1)/0.7 kg wet wt.) and in 1998 (0.16 +/-0.09 mug(.)g(-1)/0.7 kg wet wt.) presented no significant difference (t=1.34; P &lt;0.5). In conclusion, the low THg and MeHg concentrations in the organisms from the GB ecosystem, are related to its eutrophic conditions and elevated amounts of suspended matter. In this situation, Hg could be strongly complexed or adsorbed by the particulate, which would dilute the Hg inputs and reduce its residence time in the water column, with a consequent decrease in its availability to organisms.</t>
  </si>
  <si>
    <t>Univ Fed Rio de Janeiro, Ctr Ciencias Saude, Inst Biofis Carlos Chagas Filho, Lab Radiosotropos Eduardo Penna Franca, BR-21949900 Rio de Janeiro, RJ, Brazil; Univ Fed Pernambuco, Ctr Tecnol &amp; Geociencias, Dept Oceanografia, BR-50740550 Recife, PE, Brazil; Pontificia Univ Catolica Rio de Janeiro, Dept Quim, BR-22453900 Rio De Janeiro, Brazil</t>
  </si>
  <si>
    <t>Universidade Federal do Rio de Janeiro; Universidade Federal de Pernambuco; Pontificia Universidade Catolica do Rio de Janeiro</t>
  </si>
  <si>
    <t>Univ Fed Rio de Janeiro, Ctr Ciencias Saude, Inst Biofis Carlos Chagas Filho, Lab Radiosotropos Eduardo Penna Franca, BR-21949900 Rio de Janeiro, RJ, Brazil.</t>
  </si>
  <si>
    <t>kehrig@domain.com.br</t>
  </si>
  <si>
    <t>Kehrig, Helena/AAG-6252-2020; Malm, Olaf/H-1724-2012; Moreira, Icaro/J-2040-2015; Costa, Monica F./J-9879-2012</t>
  </si>
  <si>
    <t>Malm, Olaf/0000-0002-4116-7160; Costa, Monica F./0000-0002-7673-3089</t>
  </si>
  <si>
    <t>10.1007/BF02987407</t>
  </si>
  <si>
    <t>475NZ</t>
  </si>
  <si>
    <t>WOS:000171172000008</t>
  </si>
  <si>
    <t>Sun, FH; Zhou, QX</t>
  </si>
  <si>
    <t>Sun, Fu-hong; Zhou, Qi-xing</t>
  </si>
  <si>
    <t>Oxidative stress biomarkers of the polychaete Nereis diversicolor exposed to cadmium and petroleum hydrocarbons</t>
  </si>
  <si>
    <t>polychaete Nereis diversicolor; antioxidant biomarker; superoxide dismutase; peroxidase; soluble protein; cadmium; petroleum hydrocarbons</t>
  </si>
  <si>
    <t>LAEONEREIS-ACUTA POLYCHAETA; FRESH-WATER BIVALVES; HEDISTE-DIVERSICOLOR; CHLORIMURON-ETHYL; ENVIRONMENTAL-QUALITY; SCROBICULARIA-PLANA; ENERGY RESERVES; UNIO-TUMIDUS; HEAVY-METALS; RESPONSES</t>
  </si>
  <si>
    <t>Changes in the activity of antioxidant enzymes including superoxide dismutase (SOD) and peroxidase (POD) and in the content of soluble protein (SP) in Nereis diversicolor exposed to cadmium (Cd) and petroleum hydrocarbons (PHCs) were investigated under a laboratory condition. The results indicated that SOD activity in N. diversicolor exposed to Cd and PHCs significantly (P&lt;0.05) increased with exposure time. This increase of SOD activity can be considered a sensitive biomarker of oxidative stress by Cd and PHCs. The decrease in POD activity and SP content in N. diversicolor could also sensitively reflect oxidative stress induced by Cd and PHCs. Concentration combination of Cd and PHCs had significant (P&lt;0.05) influences on the activity of SOD and POD, as called double-dose dependent effects. There were highly significant (P&lt;0.01) effects of exposure time on SOD activity in N. diversicolor at single or joint exposure of Cd and PHCs. Exposure time also resulted in significant differences in POD activity (P&lt;0.05) and SP content (P&lt;0.01) in N. diversicolor which was simultaneously exposed to Cd and PHCs, as called time-dependent effects. Compared with day 0, SOD activity in non-exposed N. diversicolor increased, possibly due to the effects of temperature. Therefore, the effects of pollutants with emphasis on abiotic parameters on the antioxidant defense system should be considered in future studies. (C) 2007 Elsevier Inc. All rights reserved.</t>
  </si>
  <si>
    <t>[Sun, Fu-hong; Zhou, Qi-xing] Chinese Acad Sci, Inst Appl Ecol, Key Lab Terr Ecol Proc, Shenyang 110016, Peoples R China; [Sun, Fu-hong] Chinese Acad Sci, Grad Sch, Beijing 100039, Peoples R China; [Zhou, Qi-xing] Nankai Univ, Coll Environm Sci &amp; Engn, Tianjin 300071, Peoples R China</t>
  </si>
  <si>
    <t>Chinese Academy of Sciences; Shenyang Institute of Applied Ecology, CAS; Chinese Academy of Sciences; University of Chinese Academy of Sciences, CAS; Nankai University</t>
  </si>
  <si>
    <t>Zhou, QX (corresponding author), Chinese Acad Sci, Inst Appl Ecol, Key Lab Terr Ecol Proc, Shenyang 110016, Peoples R China.</t>
  </si>
  <si>
    <t>Zhouqx@iae.ac.cn</t>
  </si>
  <si>
    <t>Sun, Fuhong/HME-3205-2023; zhou, qi/JEF-7253-2023</t>
  </si>
  <si>
    <t>10.1016/j.ecoenv.2007.04.014</t>
  </si>
  <si>
    <t>305WC</t>
  </si>
  <si>
    <t>WOS:000256207500013</t>
  </si>
  <si>
    <t>Hu, MH; Chen, XJ; Ye, PC; Chen, X; Shi, YJ; Zhai, GT; Yang, XK</t>
  </si>
  <si>
    <t>Hu, Meng-Han; Chen, Xiao-Jing; Ye, Peng-Chao; Chen, Xi; Shi, Yi-Jian; Zhai, Guang-Tao; Yang, Xiao-Kang</t>
  </si>
  <si>
    <t>Combination of multiple model population analysis and mid-infrared technology for the estimation of copper content in Tegillarca granosa</t>
  </si>
  <si>
    <t>INFRARED PHYSICS &amp; TECHNOLOGY</t>
  </si>
  <si>
    <t>Blood clam; Chemometrics; Multivariable calibration; Heavy metal pollution; Marine food product</t>
  </si>
  <si>
    <t>ATOMIC-ABSORPTION-SPECTROMETRY; HEAVY-METALS; MULTIVARIATE CALIBRATION; IDENTIFICATION; SPECTROSCOPY; ELIMINATION; VARIABLES; LINNAEUS; SAMPLES; SUBSET</t>
  </si>
  <si>
    <t>The aim of this study was to use mid-infrared spectroscopy coupled with multiple model population analysis based on Monte Carlo-uninformative variable elimination for rapidly estimating the copper content of Tegillarca granosa. Copper-specific wavelengths were first extracted from the whole spectra, and subsequently, a least square-support vector machine was used to develop the prediction models. Compared with the prediction model based on full wavelengths, models that used 100 multiple MC-UVE selected wavelengths without and with bin operation showed comparable performances with Rp (root mean square error of Prediction) of 0.97 (14.60 mg/kg) and 0.94 (20.85 mg/kg) versus 0.96 (17.27 mg/kg), as well as ratio of percent deviation (number of wavelength) of 2.77 (407) and 1.84 (45) versus 2.32 (1762). The obtained results demonstrated that the mid-infrared technique could be used for estimating copper content in T. granosa. In addition, the proposed multiple model population analysis can eliminate uninformative, weakly informative and interfering wavelengths effectively, that substantially reduced the model complexity and computation time. (C) 2016 Elsevier B.V. All rights reserved.</t>
  </si>
  <si>
    <t>[Chen, Xiao-Jing; Ye, Peng-Chao; Chen, Xi; Shi, Yi-Jian] Wenzhou Univ, Coll Phys &amp; Elect Engn Informat, Wenzhou, Peoples R China; [Hu, Meng-Han; Zhai, Guang-Tao; Yang, Xiao-Kang] Shanghai Jiao Tong Univ, Inst Image Commun &amp; Informat Proc, Shanghai 200240, Peoples R China; [Hu, Meng-Han] Univ Shanghai Sci &amp; Technol, Sch Med Instrument &amp; Food Engn, 516 Jun Gong Rd, Shanghai 200093, Peoples R China</t>
  </si>
  <si>
    <t>Wenzhou University; Shanghai Jiao Tong University; University of Shanghai for Science &amp; Technology</t>
  </si>
  <si>
    <t>Chen, XJ (corresponding author), Wenzhou Univ, Coll Phys &amp; Elect Engn Informat, Wenzhou, Peoples R China.</t>
  </si>
  <si>
    <t>chenxj@wzu.edu.cn</t>
  </si>
  <si>
    <t>Yang, Xiaokang/C-6137-2009; Zhai, Guangtao/X-5949-2019; Hu, Menghan/AAK-7153-2021</t>
  </si>
  <si>
    <t>Hu, Menghan/0000-0002-8557-8930</t>
  </si>
  <si>
    <t>National Natural Science Foundation of China [31201355, 31571920]; Science and Technology Project of Zhejiang Province [2015F50057]</t>
  </si>
  <si>
    <t>National Natural Science Foundation of China(National Natural Science Foundation of China (NSFC)); Science and Technology Project of Zhejiang Province</t>
  </si>
  <si>
    <t>This study was supported by the National Natural Science Foundation of China (NO. 31201355, 31571920) and the Science and Technology Project of Zhejiang Province (Project No. 2015F50057).</t>
  </si>
  <si>
    <t>1350-4495</t>
  </si>
  <si>
    <t>1879-0275</t>
  </si>
  <si>
    <t>INFRARED PHYS TECHN</t>
  </si>
  <si>
    <t>Infrared Phys. Technol.</t>
  </si>
  <si>
    <t>10.1016/j.infrared.2016.10.009</t>
  </si>
  <si>
    <t>Instruments &amp; Instrumentation; Optics; Physics, Applied</t>
  </si>
  <si>
    <t>Instruments &amp; Instrumentation; Optics; Physics</t>
  </si>
  <si>
    <t>EF7JV</t>
  </si>
  <si>
    <t>WOS:000390506800027</t>
  </si>
  <si>
    <t>Cravo, A; Bebianno, MJ; Foster, P</t>
  </si>
  <si>
    <t>Partitioning of trace metals between soft tissues and shells of Patella aspera</t>
  </si>
  <si>
    <t>partitioning; Patella aspera; soft tissues; shells; trace metals</t>
  </si>
  <si>
    <t>HEAVY-METALS; LITTORINA-LITTOREA; MUSSEL SHELLS; SEA-WATER; POLLUTION; ELEMENTS; VULGATA; COAST; BIOACCUMULATION; ACCUMULATION</t>
  </si>
  <si>
    <t>This paper describes the partitioning of iron, manganese, zinc, copper, cadmium, cobalt, nickel and lead between the soft tissues and the shells of the gastropod mollusc Patella aspera. Specimens of the limpet P aspera were collected from a clean coastal marine site (CMS) and from an estuarine contaminated site (ECS) on the south coast of Portugal. Fe and Zn concentrations were significantly lower on both populations and less variable in the shells than in the soft tissues. In contrast Mn concentrations were higher in the shells than in the soft tissues at ECS. The partitioning factor (PF), defined as the ratio between the mean metal concentrations in soft tissues and in the shells, was maximum for iron and minimum for manganese. Between the soft tissues and the shells, only manganese at ECS recorded a significant relationship between metal concentrations, suggesting that the mechanism that controls the accumulation of this essential metal in both tissues was different from the others. From the obtained data, in biomonitoring sewage contamination studies, shells of P. aspera can be considered as a good indicator for Mn while the soft tissues for Zn. As copper, cadmium, nickel and cobalt concentrations were much higher in the soft tissues than in the shells ( &lt; 0.1 mug g(-1)), this indicates that the shells were not a good indicator for these metals because they do not reflect the environmental bioavailability as do the soft tissues. (C) 2003 Elsevier Ltd. All rights reserved.</t>
  </si>
  <si>
    <t>Univ Algarve, Ctr Marine &amp; Environm Res, CIMA, FCMA, P-8000 Faro, Portugal; Univ Wales, Sch Ocean Sci, Menai Bridge LL59 5EY, Gwynedd, Wales</t>
  </si>
  <si>
    <t>Universidade do Algarve</t>
  </si>
  <si>
    <t>Univ Algarve, Ctr Marine &amp; Environm Res, CIMA, FCMA, Campus Gambelas, P-8000 Faro, Portugal.</t>
  </si>
  <si>
    <t>acravo@ualg.pt</t>
  </si>
  <si>
    <t>Cravo, Alexandra/0000-0002-2569-3929; Bebianno, Maria/0000-0003-1492-8566</t>
  </si>
  <si>
    <t>10.1016/S0160-4120(03)00154-5</t>
  </si>
  <si>
    <t>WOS:000187974100011</t>
  </si>
  <si>
    <t>Barhoumi, S; Messaoudi, I; Deli, T; Saïd, K; Kerkeni, A</t>
  </si>
  <si>
    <t>Barhoumi, Sana; Messaoudi, Imed; Deli, Tmim; Said, Khaled; Kerkeni, Abdelhamid</t>
  </si>
  <si>
    <t>Cadmium bioaccumulation in three benthic fish species, Salaria basilisca, Zosterisessor ophiocephalus and Solea vulgaris collected from the Gulf of Gabes in Tunisia</t>
  </si>
  <si>
    <t>bioaccumulation; cadmium; Gulf of Gabes; Salaria basilisca; Solea vulgaris; Zosterisessor ophiocephalus; Tunisia</t>
  </si>
  <si>
    <t>CLAM RUDITAPES-DECUSSATUS; HEAVY-METALS; POLLUTION GRADIENT; DIFFERENT TISSUES; IN-SITU; METALLOTHIONEIN; CONTAMINATION; COAST; SEDIMENT; COPPER</t>
  </si>
  <si>
    <t>To select a marine teleost fish which can be used as a bioindicator of cadmium (Cd) pollution in the Gulf of Gabes in Tunisia, Cd concentrations in liver and gill were compared in three benthic fish species including Salaria basilisca, Zosterisessor ophiocephalus and Solea vulgaris. Fish samples were collected from three selected sites in the Gulf of Gabes, with different degrees of Cd contamination: the industrialized coast of Sfax (S 1), the coast of Douar Chatt (S2) and the coast of Luza (S3). The results shows that Cd concentrations in both sediment and water collected from S I were significantly higher (p &lt; 0.0001) than those from S2 and S3. For each species, Cd concentrations, in both liver and gill, showed the decreasing order: S1 &gt; S2 &gt; S3. The highest concentration of Cd was detected in the liver of S. basilisca, and only S. basilisca showed bioaccumulation factors (BAF) greater than I in all studied sites. In S1 and S2, BAF values respect the following order: S. basilisca &gt; Z. ophiocephalus &gt; S. vulgaris. These results of significant bioaccumulation of Cd, in terms of hepatic concentrations and bioaccumulation factors, indicated that S. basilisca can be used as bioindicator to evaluate the evolution of Cd pollution in the Gulf of Gabes.</t>
  </si>
  <si>
    <t>[Messaoudi, Imed; Deli, Tmim; Said, Khaled] Inst Biotechnol, UR Genet &amp; Biodiversity 09 30, Monastir 5000, Tunisia; [Barhoumi, Sana; Kerkeni, Abdelhamid] Fac Med, Monastir 5000, Tunisia</t>
  </si>
  <si>
    <t>Centre de Biotechnologie de Borj Cedria; Universite de Monastir</t>
  </si>
  <si>
    <t>Messaoudi, I (corresponding author), Inst Biotechnol, UR Genet &amp; Biodiversity 09 30, Monastir 5000, Tunisia.</t>
  </si>
  <si>
    <t>sanabarhoumi20@yahoo.fr; imed_messaoudi@yahoo.fr</t>
  </si>
  <si>
    <t>Messaoudi, Imed/0000-0002-4025-8765</t>
  </si>
  <si>
    <t>J ENVIRON SCI-CHINA</t>
  </si>
  <si>
    <t>10.1016/S1001-0742(08)62371-2</t>
  </si>
  <si>
    <t>469OH</t>
  </si>
  <si>
    <t>WOS:000267908700018</t>
  </si>
  <si>
    <t>Cohen, T; Hee, SSQ; Ambrose, RF</t>
  </si>
  <si>
    <t>Trace metals in fish and invertebrates of three California coastal wetlands</t>
  </si>
  <si>
    <t>California; estuaries; metals; pollution monitoring; wetlands</t>
  </si>
  <si>
    <t>SILVER</t>
  </si>
  <si>
    <t>Metal concentrations were measured in selected fish and invertebrate species from Mugu Lagoon, Malibu Lagoon and Ballona Wetlands in southern California in order to assess the extent of metal contamination in these three wetlands. Ranges of element concentrations (in mug/g) found in biota were: Zn 12-650; Cu 1.9-440; Ni &lt; 1-37; Cr &lt; 1-55; Pb &lt; 0.5-6.8; As &lt; 1-8.5; Se &lt; 1-3.8; Cd &lt; 0.2-0.90; and Ag &lt; 0.3-5.9, Relative to previous studies of California biota, the highest metal concentrations found were for chromium and nickel, The highest levels were in one of the two bottom-dwelling fish (juvenile Leptocottus armatus) (55 g/g) and the two water-column fish sampled (Fundulus parvipinnis and Atherinops affinis) (30 and 24 mug/g). At Ballona Lagoon, elevated levels of copper and silver were found in the bivalve Tagelus californianus (440 and 5.9 mug/g). Chromium and nickel appeared to be most persistent in fish from Mugu (4.6-55 and 2.6-37 mug/g), the most northern site and an active military base, and Ballona (&lt;1-30 and &lt;1-16 mug/g), believed to be the most metal-contaminated site. Compared to previously measured metal concentrations in species of California coastal waters, these regions revealed higher levels of chromium, nickel, silver, arsenic, zinc, copper and, to a lesser extent, cadmium and selenium, Chromium and silver were present at high enough levels at all three sites to be considered environmental health hazards. (C) 2001 Elsevier Science Ltd. All rights reserved.</t>
  </si>
  <si>
    <t>Univ Calif Los Angeles, Dept Environm Hlth Sci, Los Angeles, CA 90095 USA; Univ Calif Los Angeles, Ctr Environm &amp; Occupat Hlth, Los Angeles, CA 90095 USA; Univ Calif Los Angeles, Environm Sci &amp; Engn Program, Los Angeles, CA 90095 USA</t>
  </si>
  <si>
    <t>University of California System; University of California Los Angeles; University of California System; University of California Los Angeles; University of California System; University of California Los Angeles</t>
  </si>
  <si>
    <t>Univ Calif Los Angeles, Dept Environm Hlth Sci, Los Angeles, CA 90095 USA.</t>
  </si>
  <si>
    <t>rambrose@ucla.edu</t>
  </si>
  <si>
    <t>Ambrose, Richard/AAQ-1192-2020</t>
  </si>
  <si>
    <t>10.1016/S0025-326X(00)00146-6</t>
  </si>
  <si>
    <t>415BJ</t>
  </si>
  <si>
    <t>WOS:000167700400018</t>
  </si>
  <si>
    <t>Dominik, J; Tagliapietra, D; Bravo, AG; Sigovini, M; Spangenberg, JE; Amouroux, D; Zonta, R</t>
  </si>
  <si>
    <t>Dominik, Janusz; Tagliapietra, Davide; Bravo, Andrea G.; Sigovini, Marco; Spangenberg, Jorge E.; Amouroux, David; Zonta, Roberto</t>
  </si>
  <si>
    <t>Mercury in the food chain of the Lagoon of Venice, Italy</t>
  </si>
  <si>
    <t>Methylmercury; Biomagnification; Nitrogen isotope; Food web; Bivalve; Sediment</t>
  </si>
  <si>
    <t>SUBMARINE GROUNDWATER DISCHARGE; PARTICULATE ORGANIC-MATTER; NITROGEN ISOTOPE RATIOS; SHALLOW-WATER AREA; STABLE-ISOTOPE; TROPHIC POSITION; MEDITERRANEAN SEA; CARBON; SEDIMENTS; BIOMAGNIFICATION</t>
  </si>
  <si>
    <t>Sediments and biota samples were collected in a restricted area of the Lagoon of Venice and analysed for total mercury, monomethyl mercury (MMHg), and nitrogen and carbon isotopes. Results were used to examine mercury biomagnification in a complex food chain. Sedimentary organic matter (SOM) proved to be a major source of nutrients and mercury to primary consumers. Contrary to inorganic mercury, MMHg was strongly biomagnified along the food chain, although the lognormal relationship between MMHg and delta N-15 was less constrained than generally reported from lakes or coastal marine ecosystems. The relationship improved when logMMHg concentrations were plotted against trophic positions derived from baseline delta N-15 estimate for primary consumers. From the regression slope a mean MMHg trophic magnification factor of 10 was obtained. Filter-feeding benthic bivalves accumulated more MMHg than other primary consumers and were probably important in MMHg transfer from sediments to higher levels of the food chain. (C) 2014 Elsevier Ltd. All rights reserved.</t>
  </si>
  <si>
    <t>[Dominik, Janusz; Tagliapietra, Davide; Sigovini, Marco; Zonta, Roberto] CNR, Ist Sci Marine, I-30122 Venice, Italy; [Dominik, Janusz; Bravo, Andrea G.] Univ Geneva, Inst FA Forel, CH-1290 Versoix, Switzerland; [Spangenberg, Jorge E.] Univ Lausanne, Inst Earth Surface Dynam, CH-1015 Lausanne, Switzerland; [Amouroux, David] Univ Pau &amp; Pays Adour, CNRS, UMR 5254, IPREM LCABIE, F-64053 Pau, France</t>
  </si>
  <si>
    <t>Consiglio Nazionale delle Ricerche (CNR); Istituto di Scienze Marine (ISMAR-CNR); University of Geneva; University of Lausanne; Universite de Pau et des Pays de l'Adour; Centre National de la Recherche Scientifique (CNRS); CNRS - Institute of Chemistry (INC)</t>
  </si>
  <si>
    <t>Dominik, J (corresponding author), CNR, Ist Sci Marine, Arsenale Tesa 104,Castello 2737-F, I-30122 Venice, Italy.</t>
  </si>
  <si>
    <t>janusz.dominik@ve.ismar.cnr.it</t>
  </si>
  <si>
    <t>BRAVO, ANDREA/O-8687-2019; Dominik, Janusz/G-3707-2018; CNR, Ismar/P-1247-2014; Sigovini, Marco/P-7992-2018; Tagliapietra, Davide/AAW-8744-2020; BRAVO, ANDREA G/L-8378-2014</t>
  </si>
  <si>
    <t>Amouroux, David/0000-0002-0056-8590; Garcia Bravo, Andrea/0000-0001-6673-1568; CNR, Ismar/0000-0001-5351-1486; Sigovini, Marco/0000-0002-1193-8120; Spangenberg, Jorge E./0000-0001-8636-6414; Tagliapietra, Davide/0000-0002-3394-4089; BRAVO, ANDREA G/0000-0002-8341-3462</t>
  </si>
  <si>
    <t>Swiss National Science Foundation [IZKOZ2 136134/1]</t>
  </si>
  <si>
    <t>Swiss National Science Foundation(Swiss National Science Foundation (SNSF))</t>
  </si>
  <si>
    <t>This work was conceived during a research visit of the senior author at the ISMAR, Venice, supported by the Swiss National Science Foundation (Grant No. IZKOZ2 136134/1). The authors express their gratitude to Benoit Bellot for help in sample preparation for isotopic analyses, Mauro Bastianini and Fabrizio Bernardi Aubry (CNR-ISMAR, Venice) for seston and zooplankton sampling and to Richard Thomas for critical reading. We thank Anne Kallerman for editorial improvements.</t>
  </si>
  <si>
    <t>10.1016/j.marpolbul.2014.09.005</t>
  </si>
  <si>
    <t>WOS:000345489800035</t>
  </si>
  <si>
    <t>Meski, S; Tazibt, N; Khireddine, H; Ziani, S; Biba, W; Yala, S; Sidane, D; Boudjouan, F; Moussaoui, N</t>
  </si>
  <si>
    <t>Meski, S.; Tazibt, N.; Khireddine, H.; Ziani, S.; Biba, W.; Yala, S.; Sidane, D.; Boudjouan, F.; Moussaoui, N.</t>
  </si>
  <si>
    <t>Synthesis of hydroxyapatite from mussel shells for effective adsorption of aqueous Cd(II)</t>
  </si>
  <si>
    <t>cadmium; isotherm; mussel shell; pollution; sorption</t>
  </si>
  <si>
    <t>HEAVY-METAL REMOVAL; CADMIUM SORPTION; WASTE; PHOSPHATE; IONS; IMMOBILIZATION; RETENTION; TOXICITY; DOLOMITE; WATER</t>
  </si>
  <si>
    <t>We report the synthesis of hydroxyapatite (HAP) powder from waste mussel shells (decomposed to CaO) and phosphoric acid at room temperature without pH control. The powder synthesized was utilized for cadmium removal from aqueous solutions using the batch technique. The effects of solution pH, adsorbent dose; initial Cd2+ concentration, contact time, and temperatures were examined. Furthermore, the adsorption process revealed a pseudo-second-order reaction model and the Langmuir isotherm is the best-fit model to predict the experimental data and adsorption capacity was found to be 62.5 mg/g. Thermodynamic analysis revealed that because of the negative values of Delta G(o) and the positive value of Delta H-o, the adsorption process was spontaneous and endothermic. Cadmium immobilization occurs through a two step mechanism: rapid ion exchange followed by partial dissolution of hydroxapatite and precipitation of cadmium containing hydroxyapatite.</t>
  </si>
  <si>
    <t>[Meski, S.; Tazibt, N.; Khireddine, H.; Ziani, S.; Biba, W.; Yala, S.; Sidane, D.; Boudjouan, F.; Moussaoui, N.] Univ A Mira Bejaia, Fac Technol, Dept Genie Proc, Lab Genie Environm, Bejaia, Algeria</t>
  </si>
  <si>
    <t>Universite de Bejaia</t>
  </si>
  <si>
    <t>Meski, S (corresponding author), Univ A Mira Bejaia, Fac Technol, Dept Genie Proc, Lab Genie Environm, Bejaia, Algeria.</t>
  </si>
  <si>
    <t>meskisamira@yahoo.fr</t>
  </si>
  <si>
    <t>ziani, salima/AAD-8908-2019; Sidane, Djahida/L-4279-2018</t>
  </si>
  <si>
    <t>ZIANI, Salima/0000-0002-1198-7336; Sidane, Djahida/0000-0001-5604-6743</t>
  </si>
  <si>
    <t>IWA PUBLISHING</t>
  </si>
  <si>
    <t>ALLIANCE HOUSE, 12 CAXTON ST, LONDON SW1H0QS, ENGLAND</t>
  </si>
  <si>
    <t>1996-9732</t>
  </si>
  <si>
    <t>10.2166/wst.2019.366</t>
  </si>
  <si>
    <t>JX1EG</t>
  </si>
  <si>
    <t>WOS:000503485300002</t>
  </si>
  <si>
    <t>Luo, YL; Wang, WX</t>
  </si>
  <si>
    <t>Luo, Yali; Wang, Wen-Xiong</t>
  </si>
  <si>
    <t>Increasing Intercellular Communication and Directional Organelle Transfer in Oyster Hemocytes under Copper Stress</t>
  </si>
  <si>
    <t>ENVIRONMENTAL SCIENCE &amp; TECHNOLOGY LETTERS</t>
  </si>
  <si>
    <t>Copper; Intercellular communication; tunnelingnanotubes; mitochondria transfer; oyster hemocytesubtypes</t>
  </si>
  <si>
    <t>TUNNELING NANOTUBES; MITOCHONDRIAL TRANSFER; STROMAL CELLS; MEMBRANE</t>
  </si>
  <si>
    <t>Copper (Cu) is a common marine pollutant and can impair many physiological processes in the innate immune systems of invertebrates. Tunneling nanotubes (TNTs) are a novel route of intercellular communication in mammalian cells, but their important roles in invertebrate immunocytes are unknown. Bivalve hemocytes are unique and sensitive innate immune systems comprising different subpopulations with various functions. In this study, we, for the first time, demonstrated that Cu caused an increased formation of TNTs with elongation to facilitate the intercellular communication. Surprisingly, directional mitochondria transfer was induced under Cu stress from low to high phagocytic subpopulations via TNTs, which provided an enhanced energy and phagocytic function of granular hemocytes. Despite its low proportion, agranulocytes played a vital role in intercellular communication, and granulocytes were impaired in cell-to-cell communication under Cu exposure. These results revealed a new and novel cell survival strategy by directional organelle transfer in stressful environments.</t>
  </si>
  <si>
    <t>[Luo, Yali; Wang, Wen-Xiong] City Univ Hong Kong, Sch Energy &amp; Environm, Kowloon, Hong Kong 999077, Peoples R China; [Luo, Yali; Wang, Wen-Xiong] City Univ Hong Kong, State Key Lab Marine Pollut, Kowloon, Hong Kong 999077, Peoples R China; [Luo, Yali; Wang, Wen-Xiong] Univ Hong Kong, Shenzhen Res Inst, Res Ctr Oceans &amp; Human Hlth, Shenzhen 518057, Peoples R China</t>
  </si>
  <si>
    <t>City University of Hong Kong; City University of Hong Kong; University of Hong Kong</t>
  </si>
  <si>
    <t>Wang, WX (corresponding author), City Univ Hong Kong, Sch Energy &amp; Environm, Kowloon, Hong Kong 999077, Peoples R China.;Wang, WX (corresponding author), City Univ Hong Kong, State Key Lab Marine Pollut, Kowloon, Hong Kong 999077, Peoples R China.;Wang, WX (corresponding author), Univ Hong Kong, Shenzhen Res Inst, Res Ctr Oceans &amp; Human Hlth, Shenzhen 518057, Peoples R China.</t>
  </si>
  <si>
    <t>wx.wang@cityu.edu.hk</t>
  </si>
  <si>
    <t>ya li, luo/0000-0002-0417-4222; Wang, Wenxiong/0000-0001-9033-0158</t>
  </si>
  <si>
    <t>Hong Kong Research Grants Council [CityU 11102321]; Shenzhen Municipal Science and Technology Innovation Commission [JCYJ20210324134000001]</t>
  </si>
  <si>
    <t>Hong Kong Research Grants Council(Hong Kong Research Grants Council); Shenzhen Municipal Science and Technology Innovation Commission</t>
  </si>
  <si>
    <t>We thank Prof. Christopher J. Chang (University of California,Berkeley, USA) for his helpful discussion. This study was supportedby the Hong Kong Research Grants Council (CityU 11102321) and theShenzhen Municipal Science and Technology Innovation Commission (JCYJ20210324134000001).</t>
  </si>
  <si>
    <t>2328-8930</t>
  </si>
  <si>
    <t>ENVIRON SCI TECH LET</t>
  </si>
  <si>
    <t>Environ. Sci. Technol. Lett.</t>
  </si>
  <si>
    <t>SEP 27</t>
  </si>
  <si>
    <t>10.1021/acs.estlett.3c00625</t>
  </si>
  <si>
    <t>T5GD6</t>
  </si>
  <si>
    <t>WOS:001074233300001</t>
  </si>
  <si>
    <t>Cima, F; Varello, R</t>
  </si>
  <si>
    <t>Cima, Francesca; Varello, Roberta</t>
  </si>
  <si>
    <t>Immunotoxic effects of exposure to the antifouling copper(I) biocide on target and nontarget bivalve species: a comparative in vitro study between Mytilus galloprovincialis and Ruditapes philippinarum</t>
  </si>
  <si>
    <t>FRONTIERS IN PHYSIOLOGY</t>
  </si>
  <si>
    <t>antifouling paints; bivalves; copper(I) chloride; hemocytes; immunotoxicity; mollusks; Mytilus galloprovincialis; Ruditapes philippinarum</t>
  </si>
  <si>
    <t>TAPES-PHILIPPINARUM; VENICE LAGOON; MARINE MUSSEL; ENVIRONMENTAL-POLLUTION; HEMOCYTE AGGREGATION; NUCELLA-LAPILLUS; OXIDATIVE STRESS; DIGESTIVE GLAND; HEAVY-METALS; TRACE-METALS</t>
  </si>
  <si>
    <t>Edible bivalves constitute an important bioresource from an economic point of view, and studies on their immune responses to environmental pollutants are crucial for both the preservation of biodiversity and economic reasons. The worldwide diffusion of copper(I)-based antifouling paints has increased copper leaching into coastal environments and its potential impact on both target and nontarget organisms. In this study, immunotoxicity assays were carried out with short-term (60 min) cultures of hemocytes from the bivalves Mytilus galloprovincialis-a mussel dominant in the macrofouling community-and Ruditapes philippinarum-a clam dominant in the soft-sediment community-exposed to CuCl to compare the toxic effects on their immune responses. The LC50 values were similar, 40 mu M (3.94 mg L-1) for the mussel and 44 mu M (4.33 mg L-1) for the clam. In both species, apoptosis occurred after exposure to 1 mu M (98.9 mu g L-1) CuCl, the concentration able to significantly increase the intracellular Ca2+ content. Biomarkers of cell morphology and motility revealed microfilament disruption, a significant decrease in yeast phagocytosis and lysosome hydrolase (ss-glucuronidase) inhibition beginning from 0.5 mu M (49.5 mu g L-1) CuCl in both the mussel and clam. The same concentration of CuCl affected biomarkers of oxidative stress, as a significant decrease in reduced glutathione content in the cytoplasm and inhibition of mitochondrial cytochrome-c oxidase (COX) were detected in both species. Comparison of the biomarkers showed that clam is more sensitive than the mussel regarding alterations to the lysosomal membrane and reactive oxygen species (ROS) production, which supports the potential harmful effects of antifouling biocides on the survival of nontarget pivotal species in the coastal community.</t>
  </si>
  <si>
    <t>[Cima, Francesca; Varello, Roberta] Univ Padua, Dept Biol DiBio, Lab Biol Ascidians, Padua, Italy</t>
  </si>
  <si>
    <t>Cima, F (corresponding author), Univ Padua, Dept Biol DiBio, Lab Biol Ascidians, Padua, Italy.</t>
  </si>
  <si>
    <t>francesca.cima@unipd.it</t>
  </si>
  <si>
    <t>Cima, Francesca/D-6408-2011</t>
  </si>
  <si>
    <t>Cima, Francesca/0000-0001-5232-3918</t>
  </si>
  <si>
    <t>Italian MIUR; P. Zarantonello's Resimix s. r. l. (Brendola, Vicenza, Italy); University of Padova, Italy [1488, 186788]</t>
  </si>
  <si>
    <t>Italian MIUR(Ministry of Education, Universities and Research (MIUR)); P. Zarantonello's Resimix s. r. l. (Brendola, Vicenza, Italy); University of Padova, Italy</t>
  </si>
  <si>
    <t>This research was supported by grants from the Italian MIUR (DOR 2021) to FC and by a funding agreement between P. Zarantonello's Resimix s. r. l.  (Brendola, Vicenza, Italy, http:// www.resimix.com/it/ (accessed on 20 May 2023)) and the University of Padova, Italy for a Ph.D. fellowship in Biosciences to RV (Rep. #1488, Prot. #186788, 6 May 2019).</t>
  </si>
  <si>
    <t>1664-042X</t>
  </si>
  <si>
    <t>FRONT PHYSIOL</t>
  </si>
  <si>
    <t>Front. Physiol.</t>
  </si>
  <si>
    <t>10.3389/fphys.2023.1230943</t>
  </si>
  <si>
    <t>Q5BK3</t>
  </si>
  <si>
    <t>WOS:001057669000001</t>
  </si>
  <si>
    <t>DUQUESNE, SJ; COLL, JC</t>
  </si>
  <si>
    <t>METAL ACCUMULATION IN THE CLAM TRIDACNA-CROCEA UNDER NATURAL AND EXPERIMENTAL CONDITIONS</t>
  </si>
  <si>
    <t>TRIDACNA CROCEA; METAL; COPPER; ZINC; CADMIUM; MINING; POLLUTION; ZOOXANTHELLAE; METALLOTHIONEIN</t>
  </si>
  <si>
    <t>MYTILUS-EDULIS; METALLOTHIONEIN INDUCTION; LITTORINA-LITTOREA; DIGESTIVE GLAND; MUSSEL MYTILUS; CADMIUM; COPPER; DETOXICATION; LYSOSOMES; KIDNEY</t>
  </si>
  <si>
    <t>Clams (Tridacna crocea) were collected from three sites in the Torres Strait along a transect from the mouth of the heavily polluted Fly River towards the south. The concentrations of Cu, Cd and Zn in different organs of the clams were determined and, with the exception of Cd levels in the gills and mantle, were found to decrease with increasing distance from the river outfall. The levels of metals in the clam tissues, however, fall within a similar range of values found in control clams collected from Orpheus Island. In addition, the rates of metal bioaccumulation in clams were studied under laboratory conditions. Experiments carried out with either Cd (0.20 mg/l) or Cu (0.06 mg/l) in seawater revealed a linear uptake of metal throughout the experimental period in different clam organs. The highest accumulation rates were found in the kidney and the lowest in the muscle. The accumulation rate of Cd was higher in the mantle than in the gills, whereas the inverse was found for Cu. Cu treatment resulted in significant expulsion of the symbiotic zooxanthellae from the mantle, a recognized stress response. In clams collected from the wild, the concentration of renal metal-binding proteins (metallothionein-like proteins) increased with the levels of total metal in the kidneys, and indirectly reflected the environmental levels.</t>
  </si>
  <si>
    <t>CENT QUEENSLAND UNIV,ROCKHAMPTON,QLD 4702,AUSTRALIA</t>
  </si>
  <si>
    <t>Central Queensland University</t>
  </si>
  <si>
    <t>Duquesne, Sabine/H-5575-2011</t>
  </si>
  <si>
    <t>Duquesne, Sabine/0000-0001-9874-8540</t>
  </si>
  <si>
    <t>10.1016/0166-445X(94)00089-9</t>
  </si>
  <si>
    <t>RE408</t>
  </si>
  <si>
    <t>WOS:A1995RE40800010</t>
  </si>
  <si>
    <t>Brown, RJ; Galloway, TS; Lowe, D; Browne, MA; Dissanayake, A; Jones, MB; Depledge, MH</t>
  </si>
  <si>
    <t>Differential sensitivity of three marine invertebrates to copper assessed using multiple biomarkers</t>
  </si>
  <si>
    <t>biomarkers; differential sensitivity; copper; heart rate; acetylchlinesterase; metallothionein</t>
  </si>
  <si>
    <t>CRAB CARCINUS-MAENAS; LIMPETS PATELLA-VULGATA; MYTILUS-EDULIS; SHORE CRAB; CARDIAC ACTIVITY; LIPID-PEROXIDATION; ACHE ACTIVITY; TRACE-METALS; ACETYLCHOLINESTERASE; EXPOSURE</t>
  </si>
  <si>
    <t>Understanding how biomarkers relate to each other on exposure to particular contaminants in different species is key to their widespread application in environmental management. However, few studies have systematically used multiple biomarkers in more than a single species to determine the variability of sublethal effects of a particular contaminant. In this study, three marine invertebrates, the shore crab Carcinus maenas, the common limpet Patella vulgata and the blue mussel Mytilus edulis, were, exposed over 7 days in the laboratory to environmentally realistic concentrations of the priority pollutant copper. A combination of molecular, cellular and physiological biomarkers was measured in each organism to detect the toxic effects of copper. Biomarkers included lysosomal stability (neutral red retention), neurotoxicity (acetylcholinesterase activity), metabolic impairment (total haemolymph protein), physiological status (heart rate) and induction of protective metallothionein proteins. P. vulgata was the most sensitive to copper with significant effects measured in all biomarkers at concentrations of 6.1 mug Cu l(-1). In C maenas, cellular and neurotoxic endpoints were affected significantly only at 68.1 mug Cu l(-1). Exposure to copper also induced metallothionein production in crabs. Over a 7-day exposure period, M. edulis was the most tolerant species to copper with significant effects being observed at the cellular level only at 68.1 mug Cu l(-1). In all three species, cellular and neurotoxic pathways were more sensitive to disruption than physiological processes (protein and heart rate). Results illustrate how a suite of biomarkers applied to different sentinel species can provide a 'diagnosis of stress', whereby, effects at the molecular level can be used to interpret the level of physiological impairment of the organism. (C) 2003 Elsevier B.V. All rights reserved.</t>
  </si>
  <si>
    <t>Univ Plymouth, Sch Biol Sci, Plymouth Environm Res Ctr, Plymouth PL4 8AA, Devon, England; Plymouth Marine Lab, Plymouth PL1 3DH, Devon, England; Environm Agcy, Bristol BS32 4UD, Avon, England</t>
  </si>
  <si>
    <t>University of Plymouth; Plymouth Marine Laboratory</t>
  </si>
  <si>
    <t>Univ Plymouth, Sch Biol Sci, Plymouth Environm Res Ctr, Drake Circus, Plymouth PL4 8AA, Devon, England.</t>
  </si>
  <si>
    <t>Galloway, Tamara/C-1662-2009; Dissanayake, Awantha/G-7017-2011</t>
  </si>
  <si>
    <t>Depledge, Michael/0000-0002-7216-0439; Brown, Becky/0000-0003-0131-6157; Browne, Mark Anthony/0000-0002-7508-1015; Dissanayake, Awantha/0000-0001-8758-8959; Galloway, Tamara/0000-0002-7466-6775</t>
  </si>
  <si>
    <t>FEB 25</t>
  </si>
  <si>
    <t>10.1016/j.aquatox.2003.10.001</t>
  </si>
  <si>
    <t>776DE</t>
  </si>
  <si>
    <t>WOS:000189100800004</t>
  </si>
  <si>
    <t>Khoma, V; Martinyuk, V; Matskiv, T; Yunko, K; Gnatyshyna, L; Stoliar, O</t>
  </si>
  <si>
    <t>Khoma, Vira; Martinyuk, Viktoria; Matskiv, Tetyana; Yunko, Kateryna; Gnatyshyna, Lesya; Stoliar, Oksana</t>
  </si>
  <si>
    <t>Does roundup affect zinc functions in a bivalve mollusk in ex vivo exposure?</t>
  </si>
  <si>
    <t>Roundup; Zinc; TPEN; Bivalve mollusk; Ex vivo exposure; Metallothioneins</t>
  </si>
  <si>
    <t>ACTIVATION; GLYPHOSATE</t>
  </si>
  <si>
    <t>Roundup (Rn), a glyphosate-based formulation, is one of the most commonly used herbicides in the world. It affects non-targeted organisms in several ways, including adhesive activity towards metal ions. Zinc (Zn) plays a crucial role in a number of biochemical processes. In this study, we aim to elucidate the direct impact of Rn on Zn accumulation and Zn-dependent activities in the ex vivo system. To this end, we exposed the samples of the digestive gland of a bivalve mollusk Unio tumidus to 3 mu M of Rn (calculated as 3 mu M of glyphosate), Zn, Zn chelator (N,N,N ',N '-Tetrakis(2-pyridylmethyl)ethylenediamine) (TPEN, Tp), and their combinations ZnTp and ZnRn for 17 h. We determined the levels of Zn in the tissue (Zn t) and metallothioneins (Zn-MT), metallothioneins (MTSH), and glutathione (GSH &amp; GSSG), total antioxidant capacity (TAC), lysosomal membrane integrity, and caspase-3 activity. Our study demonstrated that Rn and Tp had different effects on the accumulation and functionality of Zn. Rn did not affect the accumulation of Zn (Zn t, Zn-MT) in the Zn- and ZnRn-groups. On the contrary, Tp produced effects antagonistic to Zn on caspase-3 activity, lysosomal stability, and MTSH concentration. Rn caused particular pro-oxidative effect that decreased GSH level (Rn- and ZnRn-groups) and lysosomal stability (Rn-group). The shared affected index was the GSH/GSSG ratio, which decreased by 2-8 times in each exposure. As the first experience with the application of Tp to indicate Zn activity in mollusks, the study concluded that the ex vivo approach could be useful in the study of numeral aquatic pollutants.</t>
  </si>
  <si>
    <t>[Khoma, Vira; Martinyuk, Viktoria; Matskiv, Tetyana; Yunko, Kateryna; Gnatyshyna, Lesya; Stoliar, Oksana] Temopil Volodymyr Hnatiuk Natl Pedag Univ, M Kryvonosa Str 2, UA-46027 Temopil, Ukraine; [Matskiv, Tetyana; Gnatyshyna, Lesya] I Horbachevsky Ternopil Natl Med Univ, Maidan Voli 1, UA-46001 Temopil, Ukraine</t>
  </si>
  <si>
    <t>Ministry of Education &amp; Science of Ukraine; Ternopil Volodymyr Hnatiuk National Pedagogical University; I. Horbachevsky Ternopil State Medical University</t>
  </si>
  <si>
    <t>Stoliar, O (corresponding author), Temopil Volodymyr Hnatiuk Natl Pedag Univ, M Kryvonosa Str 2, UA-46027 Temopil, Ukraine.</t>
  </si>
  <si>
    <t>Oksana.Stolyar@tnpu.edu.ua</t>
  </si>
  <si>
    <t>Gnatyshyna, Lesya/AAA-6868-2021; Stoliar, Oksana/I-7397-2018; Gnatyshyna, Lesya/M-7993-2015</t>
  </si>
  <si>
    <t>Stoliar, Oksana/0000-0002-8579-2881; Khoma, Vira/0000-0002-1148-7323; Matskiv, Tetiana/0000-0003-0987-1489; Gnatyshyna, Lesya/0000-0002-5205-1585; Yunko, Kateryna/0000-0001-8249-0266</t>
  </si>
  <si>
    <t>Ministry of Education and Science of Ukraine [M19/2020]</t>
  </si>
  <si>
    <t>Ministry of Education and Science of Ukraine</t>
  </si>
  <si>
    <t>This work has been granted by the Ministry of Education and Science of Ukraine to Oksana Stoliar (Ukrainian-Lithuanian R&amp;D Project No M19/2020).</t>
  </si>
  <si>
    <t>10.1007/s10646-021-02512-4</t>
  </si>
  <si>
    <t>ZO5YF</t>
  </si>
  <si>
    <t>WOS:000740151400001</t>
  </si>
  <si>
    <t>Fraysse, B; Baudin, JP; Garnier-Laplace, J; Adam, C; Boudou, A</t>
  </si>
  <si>
    <t>Effects of Cd and Zn waterborne exposure on the uptake and depuration of 57Co, 110mAg and 134Cs by the Asiatic clam (Corbicula fluminea) and the zebra mussel (Dreissena polymorpha) -: whole organism study</t>
  </si>
  <si>
    <t>radionuclide; metal; mollusc; freshwater; bioaccumulation</t>
  </si>
  <si>
    <t>CADMIUM; TOXICITY; METALS; MODEL; ZINC; INVERTEBRATES; TEMPERATURE; SILVER; FISH; PH</t>
  </si>
  <si>
    <t>Groups of zebra mussels (Dreissena polymorpha) and asiatic clams (Corbicula fluminea) were exposed to cadmium and zinc with the aim of studying the effect of these metals on the Co-57, Ag-110m and Cs-134 uptake and depuration by these freshwater bivalves. In the presence of zinc, the Co-57 concentration factor for the whole organism of the two species was halved, notably because of a decrease of the uptake parameter. Conversely, Zinc and the Cd + Zn mixture increased the Ag-110m uptake process by clams and mussels. The two metals also increased the depuration of this radionuclide in mussels, whereas this phenomenon was only observed in clams exposed to cadmium, In comparison with Co-57 and Ag-110m, the Cs-134 bioconcentration was 5-10 times lower in D. polymorpha and not detected in C. fluminea. This weak contamination by this radionuclide resulted from a lower uptake and a higher depuration parameters. (C) 2002 Elsevier Science Ltd. All rights reserved.</t>
  </si>
  <si>
    <t>Inst Protect &amp; Surete Nucl, Lab Radioecol Expt, DPRE, SERLAB,Ctr Cadarache, F-13108 St Paul Les Durance, France; CNRS, Lab Radioecol Expt, DPRE, SERLAB,Ctr Cadarache, F-13108 St Paul Les Durance, France; Univ Bordeaux 1, Lab Ecophysiol &amp; Ecotoxicol Syst Aquat, F-33405 Talence, France</t>
  </si>
  <si>
    <t>Centre National de la Recherche Scientifique (CNRS); Universite de Bordeaux</t>
  </si>
  <si>
    <t>Baudin, JP (corresponding author), Inst Protect &amp; Surete Nucl, Lab Radioecol Expt, DPRE, SERLAB,Ctr Cadarache, F-13108 St Paul Les Durance, France.</t>
  </si>
  <si>
    <t>ADAM, Christelle/JAN-9314-2023</t>
  </si>
  <si>
    <t>Jacqueline, Garnier-Laplace/0000-0002-3486-147X</t>
  </si>
  <si>
    <t>PII S0269-7491(01)00305-0</t>
  </si>
  <si>
    <t>10.1016/S0269-7491(01)00305-0</t>
  </si>
  <si>
    <t>545QV</t>
  </si>
  <si>
    <t>WOS:000175229700002</t>
  </si>
  <si>
    <t>Moraga, D; Mdelgi-Lasram, E; Romdhane, MS; El Abed, A; Boutet, I; Tanguy, A; Auffret, M</t>
  </si>
  <si>
    <t>Genetic responses to metal contamination in two clams:: Ruditapes decussatus and Ruditapes philippinarum</t>
  </si>
  <si>
    <t>genetic markers; metallothionein; heavy metals; pollution; clams</t>
  </si>
  <si>
    <t>Coastal ecosystems are subjected to a wide variety of disturbances, including those due to xenobiotics of agricultural and industrial origin. These pollutants as heavy metals can modify the genetic diversity of populations by favouring or counter-selecting certain, alleles or genotypes by differential mortality. In the present,study, two genetic markers (phosphoglucomutase and glucosephosphate isomerase) and a protein marker (metallothionein) were monitored in order to determine the impact of heavy metals in different clam populations. Analysis of the genetic structure of the clam populations examined reveals that those inhabiting environments contaminated by heavy metals exhibit a higher allelic diversity and possess alleles at PGM loci that could be selected by the presence of heavy metals' The evaluation of metallothionein levels using a specific polyclonal antibody developed in the Pacific oyster (Crassostrea gigas) demonstrated the existence of a relationship between metallothionein concentrations and the level of metal pollution for clam populations sampled from different sites. An inter-specific difference was also detected between Ruditapes decussatus and Ruditapes philippinarum living in sympatry at the same site, suggesting a differential response of these two species upon exposure to an identical heavy metal concentration. (C) 2002 Elsevier Science Ltd. All rights reserved.</t>
  </si>
  <si>
    <t>Univ Bretagne Occidentale, UMR CNRS 6539, Inst Europeen Mer, LEMAR, F-29280 Plouzane, France; Univ 7 Novembre Carthage, Inst Natl Agron Tunisie, Lab Aquacutlure &amp; Milieu, Tunis 1082, Mahrajene, Tunisia; INSTM Salammbe, Salammbe 2025, Tunisia</t>
  </si>
  <si>
    <t>Centre National de la Recherche Scientifique (CNRS); Ifremer; Institut de Recherche pour le Developpement (IRD); Universite de Bretagne Occidentale; Institut Universitaire Europeen de la Mer (IUEM); Universite de Carthage; Institut National des Sciences et Technologies de la Mer</t>
  </si>
  <si>
    <t>Moraga, D (corresponding author), Univ Bretagne Occidentale, UMR CNRS 6539, Inst Europeen Mer, LEMAR, F-29280 Plouzane, France.</t>
  </si>
  <si>
    <t>Munoz, Daniel/IXD-6516-2023</t>
  </si>
  <si>
    <t>Boutet, Isabelle/0000-0003-0619-9316</t>
  </si>
  <si>
    <t>PII S0141-1136(02)00125-3</t>
  </si>
  <si>
    <t>10.1016/S0141-1136(02)00125-3</t>
  </si>
  <si>
    <t>WOS:000178360100057</t>
  </si>
  <si>
    <t>Bourgeault, A; Gourlay-Francé, C; Priadi, C; Ayrault, S; Tusseau-Vuillemin, MH</t>
  </si>
  <si>
    <t>Bourgeault, Adeline; Gourlay-France, Catherine; Priadi, Cindy; Ayrault, Sophie; Tusseau-Vuillemin, Marie-Helene</t>
  </si>
  <si>
    <t>Bioavailability of particulate metal to zebra mussels: Biodynamic modelling shows that assimilation efficiencies are site-specific</t>
  </si>
  <si>
    <t>Bioaccumulation; Active biomonitoring; Bioavailability of particulate metals; Assimilation efficiency; Chemical sequential extraction</t>
  </si>
  <si>
    <t>SEQUENTIAL EXTRACTION PROCEDURE; RELEVANT SESTON MATRICES; WATER-QUALITY MANAGEMENT; SEDIMENT-BOUND METALS; SEINE RIVER-BASIN; DREISSENA-POLYMORPHA; AQUATIC INVERTEBRATES; MYTILUS-TROSSULUS; FEEDING-BEHAVIOR; FILTRATION-RATE</t>
  </si>
  <si>
    <t>This study investigates the ability of the biodynamic model to predict the trophic bioaccumulation of cadmium (Cd), chromium (Cr), copper (Cu), nickel (Ni) and zinc (Zn) in a freshwater bivalve. Zebra mussels were transplanted to three sites along the Seine River (France) and collected monthly for 11 months. Measurements of the metal body burdens in mussels were compared with the predictions from the biodynamic model. The exchangeable fraction of metal particles did not account for the bioavailability of particulate metals, since it did not capture the differences between sites. The assimilation efficiency (AE) parameter is necessary to take into account biotic factors influencing particulate metal bioavailability. The biodynamic model, applied with AEs from the literature, overestimated the measured concentrations in zebra mussels, the extent of overestimation being site-specific. Therefore, an original methodology was proposed for in situ AE measurements for each site and metal. (C) 2011 Elsevier Ltd. All rights reserved.</t>
  </si>
  <si>
    <t>[Bourgeault, Adeline; Gourlay-France, Catherine] Irstea, Unite Rech Hydrosyst &amp; Bioprocedes, F-92761 Antony, France; [Bourgeault, Adeline; Gourlay-France, Catherine] FIRE, FR 3020, F-75005 Paris, France; [Priadi, Cindy; Ayrault, Sophie] CEA CNRS UVSQ, LSCE IPSL, F-91198 Gif Sur Yvette, France; [Tusseau-Vuillemin, Marie-Helene] IFREMER, F-92138 Issy Les Moulineaux, France</t>
  </si>
  <si>
    <t>INRAE; Universite Paris Saclay; Universite Paris Cite; CEA; Centre National de la Recherche Scientifique (CNRS); Universite Paris Saclay; Ifremer</t>
  </si>
  <si>
    <t>Gourlay-Francé, C (corresponding author), Irstea, Unite Rech Hydrosyst &amp; Bioprocedes, 1 Rue Pierre Gilles de Gennes, F-92761 Antony, France.</t>
  </si>
  <si>
    <t>bourgeault@ensil.unilim.fr; catherine.gourlay@cemagref.fr; cindy.priadi@eng.ui.ac.id; Sophie.Ayrault@lsce.ipsl.fr; Marie-helene.tusseau@ifremer.fr</t>
  </si>
  <si>
    <t>Priadi, Cindy Rianti/0000-0002-5423-3446; Ayrault, Sophie/0000-0001-8320-6917</t>
  </si>
  <si>
    <t>Ile-de-France Regional Council</t>
  </si>
  <si>
    <t>Ile-de-France Regional Council(Region Ile-de-France)</t>
  </si>
  <si>
    <t>The authors thank Emmanuelle Uher and Aurelie Germain for their support in field work and sample analysis, Julien Guieu for his linguistic support and the S.I.A.A.P. for providing access to Site 2 (Bougival). This work is part of the Piren-Seine research program and the MEDISIS (Metaux dissous en Seine) project, in the context of the EC2CO (Ecosphere Continentale et Cotiere) program. A. Bourgeault acknowledged a PhD grant from the Ile-de-France Regional Council (R2DS program). We are grateful to the helpful and insightful comments from two referees.</t>
  </si>
  <si>
    <t>10.1016/j.envpol.2011.08.034</t>
  </si>
  <si>
    <t>839VJ</t>
  </si>
  <si>
    <t>Green Submitted, Green Published</t>
  </si>
  <si>
    <t>WOS:000296397300014</t>
  </si>
  <si>
    <t>Ferreira, AG; Machado, ALD; Zalmon, IR</t>
  </si>
  <si>
    <t>Temporal and spatial variation on heavy metal concentrations in the bivalve Perna perna (LINNAEUS, 1758) on the northern coast of Rio de Janeiro State, Brazil</t>
  </si>
  <si>
    <t>BRAZILIAN ARCHIVES OF BIOLOGY AND TECHNOLOGY</t>
  </si>
  <si>
    <t>heavy metals; mollusk; spatial variation and temporal variation</t>
  </si>
  <si>
    <t>TRACE-METALS; HONG-KONG; SEASONAL-VARIATION; MYTILUS-EDULIS; SOFT-TISSUE; MUSSELS; ACCUMULATION; ASSOCIATION; BYSSUS; SIZE</t>
  </si>
  <si>
    <t>Heavy, metal (Cd. Cr, Cu. Fe. Mn, Ni, Pb and Zn) concentrations were studied in Perna perna from three beaches (Barra do Furado. Buena and Ponta do Retiro) on the northern coast of Rio de Janeiro State by, ICP-AES. The average concentration was 0.3 +/- 0.04 (Cd): 1.9 +/- 0.6 (Cr); 6.1 +/- 0.7 (Cu); 1,130 +/- 113 (Fe); 22 +/- 3.2 (W); 9.3 +/- 44.6 (Ni); 0.4 +/- 0.2 (Pb): 44 +/- 5.8 (Zn) mug.g(-1) dry weight. There were no significant difference for almost all the studied metals in relation to sex. Although. significant spatial variations (p &lt; 0.05) occurred for Cr, Pb and Ni with higher values for Barra do Fitrado. Temporal variations were significant (p &lt; 0.05) at the three beaches, however, no treiia's of accumulation were observed. The metal concentrations were similar to areas under low pollution impact except for Fe, which was probably due to the local substrates enriched in iron oxides.</t>
  </si>
  <si>
    <t>Univ Estadual Norte Fluminense, Ctr Biociencias &amp; Biotecnol, Lab Ciencias Ambientais, Av Alberto Lamego 2000, BR-28015620 Campos Dos Goytacazes, RJ, Brazil</t>
  </si>
  <si>
    <t>Universidade Estadual do Norte Fluminense</t>
  </si>
  <si>
    <t>Univ Estadual Norte Fluminense, Ctr Biociencias &amp; Biotecnol, Lab Ciencias Ambientais, Av Alberto Lamego 2000, BR-28015620 Campos Dos Goytacazes, RJ, Brazil.</t>
  </si>
  <si>
    <t>alexandre@uenf.br</t>
  </si>
  <si>
    <t>Zalmon, Ilana/I-1266-2015; Ferreira, Andressa/JAX-8008-2023; Machado, André/AAN-2748-2020</t>
  </si>
  <si>
    <t>Zalmon, Ilana/0000-0001-5888-9875</t>
  </si>
  <si>
    <t>INST TECNOLOGIA PARANA</t>
  </si>
  <si>
    <t>CURITIBA-PARANA</t>
  </si>
  <si>
    <t>RUA PROF ALGACYR MUNHOZ MADER 3775-CIC, 81350-010 CURITIBA-PARANA, BRAZIL</t>
  </si>
  <si>
    <t>1516-8913</t>
  </si>
  <si>
    <t>1678-4324</t>
  </si>
  <si>
    <t>BRAZ ARCH BIOL TECHN</t>
  </si>
  <si>
    <t>Braz. Arch. Biol. Technol.</t>
  </si>
  <si>
    <t>10.1590/S1516-89132004000200020</t>
  </si>
  <si>
    <t>828TT</t>
  </si>
  <si>
    <t>WOS:000221996900020</t>
  </si>
  <si>
    <t>Hadibarata, T; Abdullah, F; Yusoff, ARM; Ismail, R; Azman, S; Adnan, N</t>
  </si>
  <si>
    <t>Hadibarata, Tony; Abdullah, Faizuan; Yusoff, Abdull Rahim Mohd; Ismail, Razali; Azman, Shamila; Adnan, Norliyana</t>
  </si>
  <si>
    <t>Correlation Study between Land Use, Water Quality, and Heavy Metals (Cd, Pb, and Zn) Content in Water and Green Lipped Mussels Perna viridis (Linnaeus.) at the Johor Strait</t>
  </si>
  <si>
    <t>Land use; Satellite images; P. viridis; Johor Strait; Water quality; Heavy metals</t>
  </si>
  <si>
    <t>COASTAL WATERS; WEST-COAST; WATCH; CU</t>
  </si>
  <si>
    <t>In order to observe the variation in land use changes, satellite images from the Landsat Thematic Mapper (TM) and the Enhanced Thematic Mapper (ETM) for 1991, 2000, 2005, and 2008 were used to compare the differences between selected water quality parameters, including heavy metal (Cd, Pb, and Zn) content in both water and green mussels or Perna viridis (Linnaeus.) before and after the increase in land use activities beginning from 2006. The samples were collected at 11 points for water and 4 points for green mussels between the Second Link and the Causeway Link at the Johor Strait in 2009 and were analyzed for pH, temperature degrees Celsius), dissolved oxygen, ammoniacal nitrogen, and heavy metal (Cd, Pb, and Zn) content.</t>
  </si>
  <si>
    <t>[Hadibarata, Tony; Abdullah, Faizuan; Yusoff, Abdull Rahim Mohd; Ismail, Razali; Azman, Shamila; Adnan, Norliyana] Univ Teknol Malaysia, Inst Environm &amp; Water Resource Management IPASA, Johor Baharu 81310, Johor, Malaysia; [Abdullah, Faizuan; Yusoff, Abdull Rahim Mohd; Ismail, Razali] Univ Teknol Malaysia, Dept Chem, Fac Sci, Johor Baharu 81310, Johor, Malaysia</t>
  </si>
  <si>
    <t>Universiti Teknologi Malaysia; Universiti Teknologi Malaysia</t>
  </si>
  <si>
    <t>Hadibarata, T (corresponding author), Univ Teknol Malaysia, Inst Environm &amp; Water Resource Management IPASA, Johor Baharu 81310, Johor, Malaysia.</t>
  </si>
  <si>
    <t>hadibarata@utm.my</t>
  </si>
  <si>
    <t>Abdullah, Faizuan/A-1042-2017; Yusoff, Abdull/A-7357-2011; Hadibarata, Tony/E-1670-2012; Ismail, Razali/A-1042-2013; Azman, Shamila/O-1818-2013</t>
  </si>
  <si>
    <t>Abdullah, Faizuan/0000-0002-9545-0316; Hadibarata, Tony/0000-0002-1060-994X; Ismail, Razali/0000-0002-5704-902X; Azman, Shamila/0000-0002-7041-6437</t>
  </si>
  <si>
    <t>Ministry of Higher Education, Malaysia (MOHE); Research Management Centre, Universiti Teknologi Malaysia (UTM); Department of Environment, Malaysia; [Q.J13000.7122.00H90]</t>
  </si>
  <si>
    <t>Ministry of Higher Education, Malaysia (MOHE)(Ministry of Education, Malaysia); Research Management Centre, Universiti Teknologi Malaysia (UTM); Department of Environment, Malaysia;</t>
  </si>
  <si>
    <t>We acknowledge the financial support received from the Ministry of Higher Education, Malaysia (MOHE); the Research Management Centre, Universiti Teknologi Malaysia (UTM); Johor Bahru under vote number Q.J13000.7122.00H90; and the Department of Environment, Malaysia for the research data pertaining to the studied area.</t>
  </si>
  <si>
    <t>10.1007/s11270-012-1095-7</t>
  </si>
  <si>
    <t>954DH</t>
  </si>
  <si>
    <t>WOS:000304926200023</t>
  </si>
  <si>
    <t>Akkajit, P; Fajriati, P; Assawadithalerd, M</t>
  </si>
  <si>
    <t>Akkajit, Pensiri; Fajriati, Putri; Assawadithalerd, Mongkolchai</t>
  </si>
  <si>
    <t>Metal accumulation in the marine bivalve, Marcia optima collected from the coastal area of Phuket Bay, Thailand</t>
  </si>
  <si>
    <t>Marcia optima; Metals; Risk assessment; Phuket; Sediment</t>
  </si>
  <si>
    <t>RISK-ASSESSMENT; HEAVY-METALS; BIOACCUMULATION; WATER; FISH; SHELLFISH; SEDIMENTS; CD; PB; BIOAVAILABILITY</t>
  </si>
  <si>
    <t>Metal contamination in seafood has raised public health concerns, especially for local residents who live in coastal areas. In this study, the levels of cadmium (Cd), lead (Pb), mercury (Hg), and zinc (Zn) were determined in the marine bivalve, Marcia optima, as well as in water, and sediment samples collected from the coastal area of Phuket Bay, Thailand. The results showed that metal concentrations in sediments (4.05-7.14, 16.68-18.13, 164-213mgkg(-1) for Cd, Pb, and Zn, respectively) and water samples (0.16-0.44, 0.15-0.26, and 0.32-0.48mgL(-1) for Cd, Pb, and Zn, respectively) were below the threshold effects concentration of the sediment quality guidelines for adverse effects to occur and the marine water quality standards of Thailand. A human risk assessment was performed and the results showed that the risks associated with M. optima consumption at Saphan Hin and Paklok were negligible for most of the metals studied, with the maximum estimated daily intake value being observed for Zn (0.00663mgkg(-1) per day) at Saphan Hin. In addition, Cd, Zn, Pb, and Hg would be unlikely to pose a risk to human health with a hazard quotient of less than 1, with only the bioaccumulation factor of Zn being detectable in both locations (0.034 and 0.026 at Saphan Hin and Paklok, respectively). However, continuous monitoring is encouraged to prevent the risks associated with the consumption of metal-contaminated seafood.</t>
  </si>
  <si>
    <t>[Akkajit, Pensiri; Fajriati, Putri] Prince Songkla Univ, Integrated Sci &amp; Technol Res Ctr Appl Chem Enviro, Phuket Campus, Phuket 83120, Thailand; [Akkajit, Pensiri] Prince Songkla Univ, Fac Technol &amp; Environm, Phuket Campus, Phuket 83120, Thailand; [Akkajit, Pensiri] Ctr Excellence Hazardous Subst Management HSM, Res Program Tox Subst Management Min Ind, Bangkok 10330, Thailand; [Akkajit, Pensiri] Chulalongkorn Univ, Res Unit Site Remediat Met Management Ind &amp; Min S, Bangkok 10330, Thailand; [Assawadithalerd, Mongkolchai] Chulalongkorn Univ, Ctr Excellence Hazardous Subst Management HSM, Bangkok, Thailand</t>
  </si>
  <si>
    <t>Prince of Songkla University; Prince of Songkla University; Chulalongkorn University; Chulalongkorn University</t>
  </si>
  <si>
    <t>Akkajit, P (corresponding author), Prince Songkla Univ, Integrated Sci &amp; Technol Res Ctr Appl Chem Enviro, Phuket Campus, Phuket 83120, Thailand.;Akkajit, P (corresponding author), Prince Songkla Univ, Fac Technol &amp; Environm, Phuket Campus, Phuket 83120, Thailand.;Akkajit, P (corresponding author), Ctr Excellence Hazardous Subst Management HSM, Res Program Tox Subst Management Min Ind, Bangkok 10330, Thailand.;Akkajit, P (corresponding author), Chulalongkorn Univ, Res Unit Site Remediat Met Management Ind &amp; Min S, Bangkok 10330, Thailand.</t>
  </si>
  <si>
    <t>pensiri.a@phuket.psu.ac.th; putrifajriati@gmail.com; mongkolchai.a@gmail.com</t>
  </si>
  <si>
    <t>Assawadithalerd, Mongkolchai/AAQ-1871-2020</t>
  </si>
  <si>
    <t>assawadithalerd, mongkolchai/0000-0002-2908-6261</t>
  </si>
  <si>
    <t>Office of the Higher Education Commission (OHEC); S&amp;T Postgraduate Education and Research Development Office (PERDO); Faculty of Technology and Environment, Prince of Songkla University, Phuket Campus</t>
  </si>
  <si>
    <t>The authors thank the Office of the Higher Education Commission (OHEC) and the S&amp;T Postgraduate Education and Research Development Office (PERDO) for financial support of the Research Program and thank the Ratchadaphiseksomphot Endowment Fund, Chulalongkorn University for the Research Unit. We would like to express our sincere thanks to the Environmental Research Institute (ERIC) and the Center of Excellence on Hazardous Substance Management (HSM), Chulalongkorn University for their invaluable support in terms of facilities and scientific equipment. Special thanks to the Faculty of Technology and Environment, Prince of Songkla University, Phuket Campus for partial financial support.</t>
  </si>
  <si>
    <t>10.1007/s11356-018-3488-7</t>
  </si>
  <si>
    <t>HD4HZ</t>
  </si>
  <si>
    <t>WOS:000452489500036</t>
  </si>
  <si>
    <t>Tang, QC; Liu, WJ; Huang, H; Peng, ZH; Deng, LJ</t>
  </si>
  <si>
    <t>Tang, Qichao; Liu, Weijia; Huang, Han; Peng, Zhaohui; Deng, Liangji</t>
  </si>
  <si>
    <t>Responses of Crop Yield, Soil Fertility, and Heavy Metals to Spent Mushroom Residues Application</t>
  </si>
  <si>
    <t>PLANTS-BASEL</t>
  </si>
  <si>
    <t>mushroom residue; crop yield; soil fertility; heavy metal; agro-ecosystems</t>
  </si>
  <si>
    <t>SUBSTRATE; MANAGEMENT; POLLUTION; NITROGEN</t>
  </si>
  <si>
    <t>Waste mushroom residues are often returned to fields as organic amendments. Here, we estimated the effects of the continuous applications of different spent mushroom substrates for 2 years on crop yields, soil nutrients, and heavy metals in paddy fields. The study comprised seven treatments: no fertilization (CK) and mineral NPK fertilizer (CF), as well as NPK fertilizer combined with Enoki mushroom residue (EMR50), Oyster mushroom residue (OMR50), Auricularia polytricha mushroom residue (APR50), Shiitake mushroom residue (SMR50), and Agaricus bisporus residue (ABR50). The grain yield was highest under the APR50 treatment. The short-term application of waste mushroom residue significantly increased SOC, TN, TP, and TK content relative to the CK treatment. The SOC, TP, and TK were highest under ABR50. Both total Cr and Cd contents were highest under CF treatment. The highest cumulative ecological risk was observed under OMR50 treatment. In addition, crop yield was positively correlated with SOC, TN, TP, and TP. Our results highlight that further research and innovation are needed to optimize the benefits and overcome the challenges of mushroom residue application.</t>
  </si>
  <si>
    <t>[Tang, Qichao; Liu, Weijia; Deng, Liangji] Sichuan Agr Univ, Coll Resources, Chengdu 611130, Peoples R China; [Liu, Weijia; Peng, Zhaohui] Chengdu Acad Agr &amp; Forestry Sci, Inst Agr Bioenvironm &amp; Energy, Chengdu 611130, Peoples R China; [Huang, Han] Xinjiang Agr Univ, Coll Econ &amp; Management, Urumqi 830052, Peoples R China</t>
  </si>
  <si>
    <t>Sichuan Agricultural University; Xinjiang Agricultural University</t>
  </si>
  <si>
    <t>Deng, LJ (corresponding author), Sichuan Agr Univ, Coll Resources, Chengdu 611130, Peoples R China.</t>
  </si>
  <si>
    <t>tangqichao0125@163.com; liuweijia27@163.com; 18328717493@163.com; pengp0780@163.com; auh6@sicau.edu.cn</t>
  </si>
  <si>
    <t>Liu, Weijia/GRY-1493-2022</t>
  </si>
  <si>
    <t>Sichuan Provincial Department of Science and Technology Achievement Transformation Project</t>
  </si>
  <si>
    <t>We thank Assistant Researcher Xiangyang Shu of Sichuan Normal University for his help and guidance. Meanwhile, we appreciate the anonymous reviewers for their comments and suggestions to improve the quality of our paper for publication.</t>
  </si>
  <si>
    <t>2223-7747</t>
  </si>
  <si>
    <t>Plants-Basel</t>
  </si>
  <si>
    <t>10.3390/plants13050663</t>
  </si>
  <si>
    <t>KW1V5</t>
  </si>
  <si>
    <t>WOS:001182917000001</t>
  </si>
  <si>
    <t>Licata, P; Trombetta, D; Cristani, M; Martino, D; Naccari, F</t>
  </si>
  <si>
    <t>Organochlorine compounds and heavy metals in the soft tissue of the mussel Mytilus galloprovincialis collected from Lake Faro (Sicily, Italy)</t>
  </si>
  <si>
    <t>organochlorines; heavy metals; Mytilus galloprovincialis; Lake Faro</t>
  </si>
  <si>
    <t>PESTICIDES; POLLUTANTS; PCBS</t>
  </si>
  <si>
    <t>Three hundred samples of Mytilus galloprovincialis were collected from five stations (north, south, east, west and centre) of Lake Faro to evaluate the concentrations of organochlorine compounds and heavy metals. Quantitative determinations of organochlorine pesticides and PCBs were made by GC-ECD and confirmed with GC-MS. Concentrations of essential (Cu, Se and Zn) and toxic (As, Cd, Hg and Pb) metals were determined by an atomic absorption spectrophotometer. The results obtained show the low residue levels of p,p'-DDE in six samples of M. galloprovincialis from southern (7.00-11.00 ng/g w.w. and 148.3-275 ng/g l.w.) and western (7.60-15.37 ng/g w.w. and 126.7-256.2 ng/g l.w.) areas of Lake Faro. No appreciable residues of PCBs were found in any of the samples examined. Zn concentrations (range 11.0-18.5 mug/g w.w.) were higher than Cu (range 188.3-396.0 ng/g w.w.) and Se (range 93.5-288.9 ng/g w.w.) in all areas of origin. Cd (range 41.9-63.8 ng/g. w.w.), Pb (range 64.8-93.0 ng/g w.w.) and Hg levels (range 5.7-13.1 ng/g w.w.) showed lower concentrations than permitted MRLs. The As levels were below detection limits for the all mussel samples. In conclusion, the absence of PCBs, the low levels of p,p'-DDE, the concentrations of Cd, Hg and Pb below permitted MRLs in M. galloprovincialis, used as a biological indicator, show that Lake Faro is not at contamination risk from these contaminants and moreover is free from health problems for the consumer of mussel products. (C) 2004 Elsevier Ltd. All rights reserved.</t>
  </si>
  <si>
    <t>Univ Messina, Fac Pharm, Dept Biol Pharm, I-98168 Messina, Italy; Univ Messina, Fac Vet Med, Sect Vet Pharmacol &amp; Toxicol, Dept Vet Publ Hlth, I-98168 Messina, Italy</t>
  </si>
  <si>
    <t>University of Messina; University of Messina</t>
  </si>
  <si>
    <t>Univ Messina, Fac Pharm, Dept Biol Pharm, Polo SS Annunziata, I-98168 Messina, Italy.</t>
  </si>
  <si>
    <t>trombett@phartna.unime.it; fnaccari@unime.it</t>
  </si>
  <si>
    <t>Licata, Patrizia/AAM-5842-2020; Trombetta, Domenico/AAC-7758-2022</t>
  </si>
  <si>
    <t>TROMBETTA, Domenico/0000-0003-4358-5224</t>
  </si>
  <si>
    <t>10.1016/j.envint.2004.01.007</t>
  </si>
  <si>
    <t>823CO</t>
  </si>
  <si>
    <t>WOS:000221587500006</t>
  </si>
  <si>
    <t>Baltas, H; Kiris, E; Sirin, M</t>
  </si>
  <si>
    <t>Baltas, Hasan; Kiris, Erkan; Sirin, Murat</t>
  </si>
  <si>
    <t>Determination of radioactivity levels and heavy metal concentrations in seawater, sediment and anchovy (Engraulis encrasicolus) from the Black Sea in Rize, Turkey</t>
  </si>
  <si>
    <t>Black Sea; Anchovy; Heavy metal; Radioactivity</t>
  </si>
  <si>
    <t>NATURAL RADIOACTIVITY; MEDITERRANEAN SEA; ISKENDERUN BAY; TURKISH COAST; GOLDEN HORN; SAMPLES; MUSSEL; GALLOPROVINCIALIS; BOSPORUS; WATERS</t>
  </si>
  <si>
    <t>Seawater, sediment and fish (anchovy) samples consumed in the Rize province of the Eastern Black Sea region of Turkey were collected from five different stations. The radioactivity levels (Ra-226, Th-232. K-40 and Cs-137) were determined in all the samples using a high-purity germanium detector. While Ra-226, Th-232 and (4)0(K) radionuclides were detected in all samples, the radionuclide concentration of C-137.s, except for the sediment samples (mean activity is 9 +/- 1.4 Bq kg(-1)), was not detected for the seawater and fish samples. The total annual effective dose rates from the ingestion of these radionuclides for fish were calculated using the measured activity concentrations in radionuclides and their ingested dose conversion factor. Also, the concentrations of some heavy metals in all the samples were determined. The activity and heavy metal concentration values that were determined for the seawater, sediment and fish samples were compared among the locations themselves and with literature values. (C) 2017 Elsevier Ltd. All rights reserved.</t>
  </si>
  <si>
    <t>[Baltas, Hasan; Kiris, Erkan; Sirin, Murat] Recep Tayyip Endogan Univ, Fac Art &amp; Sci, Dept Phys, TR-53100 Rize, Turkey</t>
  </si>
  <si>
    <t>Recep Tayyip Erdogan University</t>
  </si>
  <si>
    <t>Baltas, H (corresponding author), Recep Tayyip Endogan Univ, Fac Art &amp; Sci, Dept Phys, TR-53100 Rize, Turkey.</t>
  </si>
  <si>
    <t>hasan.baltas@erdogan.edu.tr</t>
  </si>
  <si>
    <t>Kırıs, Erkan/AAL-5055-2021</t>
  </si>
  <si>
    <t>Sirin, Murat/0000-0001-6864-752X</t>
  </si>
  <si>
    <t>10.1016/j.marpolbul.2017.01.016</t>
  </si>
  <si>
    <t>ES4LU</t>
  </si>
  <si>
    <t>WOS:000399507600072</t>
  </si>
  <si>
    <t>ROBERTS, DF; ELLIOTT, M; READ, PA</t>
  </si>
  <si>
    <t>CADMIUM CONTAMINATION, ACCUMULATION AND SOME EFFECTS OF THIS METAL IN MUSSELS FROM A POLLUTED MARINE-ENVIRONMENT</t>
  </si>
  <si>
    <t>Results are presented for the effect of two variables on cadmium uptake in the common blue mussel, namely shore height and distance from the point of source of cadmium contamination. A significant increase in cadmium concentration with distance downshore was demonstrated. A cadmium pollution gradient was detected over short horizontal distances away from the source of contamination. Calculation of flesh condition factors for the populations sampled suggested that condition was not affected by the high cadmium levels detected. investigations to determine the rate of uptake of cadmium in transplanted mussels indicated: (1) that young animals should be used in accumulation experiments because they grow more quickly and, therefore, respond more rapidly to their environment; and (ii) transplanted animals should be given a minimum of 30 days to regain condition and resume growth following the stress effects due to relocation. Attempts to correlate shell thickness with cadmium concentration were inconclusive. The study confirmed that Mytilus edulis is an excellent bioindicator of local pollution by cadmium.</t>
  </si>
  <si>
    <t>FORTH RIVER PURIFICAT BOARD, ESTUARY LAB, S QUEENSFERRY, W LOTHIAN, SCOTLAND; NAPIER COLL, DEPT BIOL SCI, EDINBURGH, SCOTLAND</t>
  </si>
  <si>
    <t>Edinburgh Napier University</t>
  </si>
  <si>
    <t>ARFON BOROUGH COUNCIL, DEPT ENVIRONM HLTH, CAERNARFON, WALES.</t>
  </si>
  <si>
    <t>Elliott, Michael/M-9819-2019; Read, Paul/ISU-0291-2023; Elliott, Michael/B-4312-2013</t>
  </si>
  <si>
    <t>Elliott, Michael/0000-0002-2519-4871</t>
  </si>
  <si>
    <t>10.1016/0141-1136(86)90031-0</t>
  </si>
  <si>
    <t>A6513</t>
  </si>
  <si>
    <t>WOS:A1986A651300002</t>
  </si>
  <si>
    <t>Kurochkin, IO; Ivanina, AV; Eilers, S; Downs, CA; May, LA; Sokolova, IM</t>
  </si>
  <si>
    <t>Kurochkin, I. O.; Ivanina, A. V.; Eilers, S.; Downs, C. A.; May, L. A.; Sokolova, I. M.</t>
  </si>
  <si>
    <t>Cadmium affects metabolic responses to prolonged anoxia and reoxygenation in eastern oysters (Crassostrea virginica)</t>
  </si>
  <si>
    <t>air exposure; recovery; mitochondrial function; oxidative damage; mollusks</t>
  </si>
  <si>
    <t>ANAEROBIC METABOLISM; GMELIN BIVALVIA; MITOCHONDRIAL RESPIRATION; SUBSTRATE PREFERENCES; HYPOXIA-REOXYGENATION; TEMPERATURE TOLERANCE; MERCENARIA-MERCENARIA; LITTORINA-SAXATILIS; ENERGY-METABOLISM; OXIDATIVE STRESS</t>
  </si>
  <si>
    <t>Kurochkin IO, Ivanina AV, Eilers S, Downs CA, May LA, Sokolova IM. Cadmium affects metabolic responses to prolonged anoxia and reoxygenation in eastern oysters (Crassostrea virginica). Am J Physiol Regul Integr Comp Physiol 297: R1262-R1272, 2009. First published September 2, 2009; doi: 10.1152/ajpregu.00324.2009.-Benthic marine organisms such as mollusks are often exposed to periodic oxygen deficiency (due to the tidal exposure and/or seasonal expansion of the oxygen-deficient dead zones) and pollution by metals [e. g., cadmium, (Cd)]. These stressors can strongly affect mollusks' survival; however, physiological mechanisms of their combined effects are not fully understood. We studied the effects of Cd exposure on metabolic responses to prolonged anoxia and subsequent recovery in anoxia-tolerant intertidal mollusks Crassostrea virginica (eastern oysters). Anoxia led to an onset of anaerobiosis indicated by accumulation of L-alanine, acetate, and succinate. Prolonged anoxia (for 6 days) caused a decline in the maximum activity of electron transport chain and ADP-stimulated (state 3) oxygen uptake by mitochondria (MO2), but no change in the resting (state 4) MO2 of oyster mitochondria, along with a slight but significant reduction of mitochondrial respiratory control ratio. During reoxygenation, there was a significant overshoot of mitochondrial MO2 (by up to 70% above the normoxic steady-state values) in control oysters. Mild mitochondrial uncoupling during prolonged shutdown in anoxic tissues and a subsequent strong stimulation of mitochondrial flux during recovery may help to rapidly restore redox status and protect against elevated reactive oxygen species formation in oysters. Exposure to Cd inhibits anaerobic metabolism, abolishes reoxygenation-induced stimulation of mitochondrial MO2, and leads to oxidative stress (indicated by accumulation of DNA lesions) and a loss of mitochondrial capacity during postanoxic recovery. This may result in increased sensitivity to intermittent hypoxia and anoxia in Cd-exposed mollusks and will have implications for their survival in polluted estuaries and coastal zones.</t>
  </si>
  <si>
    <t>[Kurochkin, I. O.; Ivanina, A. V.; Eilers, S.; Sokolova, I. M.] Univ N Carolina, Dept Biol, Charlotte, NC 28223 USA; [Eilers, S.] Hsch Bremen, Bremen, Germany; [Downs, C. A.] Haereticus Environm Lab, Clifford, VA USA; [May, L. A.] Natl Ocean Serv, JHT Inc, Natl Ocean &amp; Atmospher Adm, Ctr Coastal Environm Hlth &amp; Biomol Res,Hollings M, Charleston, SC USA</t>
  </si>
  <si>
    <t>University of North Carolina; University of North Carolina Charlotte; Bremen University of Applied Sciences; National Oceanic Atmospheric Admin (NOAA) - USA; National Ocean Service, NOAA</t>
  </si>
  <si>
    <t>May, Lisa/0000-0002-5050-1474; Sokolova, Inna/0000-0002-2068-4302</t>
  </si>
  <si>
    <t>National Science Foundation CAREER award [IBN-0347238]; University of North Carolina, Charlotte, ADVANCE program Bonnie Cone Fellowship (through a National Science Foundation ADVANCE Institutional Transformation Program) [NSF-0548401]; NOAA CCEHBR; NOAA's Coral Reef Conservation Program via the Coral Disease and Health Consortium</t>
  </si>
  <si>
    <t>National Science Foundation CAREER award(National Science Foundation (NSF)); University of North Carolina, Charlotte, ADVANCE program Bonnie Cone Fellowship (through a National Science Foundation ADVANCE Institutional Transformation Program)(National Science Foundation (NSF)); NOAA CCEHBR(National Oceanic Atmospheric Admin (NOAA) - USA); NOAA's Coral Reef Conservation Program via the Coral Disease and Health Consortium(National Oceanic Atmospheric Admin (NOAA) - USA)</t>
  </si>
  <si>
    <t>This work was supported by funds provided the National Science Foundation CAREER award (IBN-0347238), and a University of North Carolina, Charlotte, ADVANCE program Bonnie Cone Fellowship (through a National Science Foundation ADVANCE Institutional Transformation Program Grant NSF-0548401) to I. M. Sokolova. L. A. May was supported by NOAA CCEHBR, NOAA's Coral Reef Conservation Program via the Coral Disease and Health Consortium.</t>
  </si>
  <si>
    <t>R1262</t>
  </si>
  <si>
    <t>R1272</t>
  </si>
  <si>
    <t>10.1152/ajpregu.00324.2009</t>
  </si>
  <si>
    <t>514CR</t>
  </si>
  <si>
    <t>WOS:000271371900006</t>
  </si>
  <si>
    <t>Herut, B; Hornung, H; Kress, N; Cohen, Y</t>
  </si>
  <si>
    <t>Environmental relaxation in response to reduced contaminant input: The case of mercury pollution in Haifa Bay, Israel</t>
  </si>
  <si>
    <t>SHALLOW SEDIMENTS; FISHES</t>
  </si>
  <si>
    <t>Environmental relaxation, defined as the rate of return of a polluted environment to an acceptable state following a reduction in the input of contamination, was evaluated for the case of mercury pollution in northern Haifa Bay (Israel) on the basis of the longterm record of mercury levels in sediment cores and biota, Mercury was found to decrease with a half-time of 2, 5 and 6-33 years in filter-feeding bivalves, fish and sediments, respectively, after the influx of mercury into the area (from a chlor-alkali plant) was drastically reduced, The present levels of mercury in edible fish do not represent a risk to human health, The removal of mercury from the sediments is probably by particle resuspension and subsequent seaward transport, Although the mercury concentrations in the sediments will probably remain above background for a long time, the associated ecological risk does not appear to be high. It is concluded that evaluations of the environmental relaxation of different types of ecosystems, with respect to various contaminants, may provide important input to decision-making on marine waste disposal. Copyright (C) 1996 Elsevier Science Ltd</t>
  </si>
  <si>
    <t>NATL INST OCEANOG, ISRAEL OCEANOG &amp; LIMNOL RES, TEL SHIKMONA, POB 8030, IL-31080 HAIFA, ISRAEL.</t>
  </si>
  <si>
    <t>Herut, Barak/0000-0002-7093-8753</t>
  </si>
  <si>
    <t>10.1016/0025-326X(95)00206-3</t>
  </si>
  <si>
    <t>UL153</t>
  </si>
  <si>
    <t>WOS:A1996UL15300020</t>
  </si>
  <si>
    <t>Chine, HJ; Nachev, M; Sures, B; Gargouri, L</t>
  </si>
  <si>
    <t>Chine, H. Jmii; Nachev, M.; Sures, B.; Gargouri, L.</t>
  </si>
  <si>
    <t>Trace element assessment in Neoechinorhynchus agilis (Rudolphi, 1918) (Acanthocephala: Neoechinorhynchidae) and its fish hosts, Mugil cephalus (Linnaeus, 1758) and Chelon ramada (Risso, 1827) from Ichkeul Lagoon, Tunisia</t>
  </si>
  <si>
    <t>JOURNAL OF HELMINTHOLOGY</t>
  </si>
  <si>
    <t>Neoechinorhynchus agilis; metal uptake; mullets; pollution; brackish water</t>
  </si>
  <si>
    <t>PARATENUISENTIS-AMBIGUUS ACANTHOCEPHALA; HEAVY-METALS; POMPHORHYNCHUS-LAEVIS; LEAD ACCUMULATION; ENVIRONMENTAL PARASITOLOGY; ZEBRA MUSSEL; ANGUILLA; PALAEACANTHOCEPHALA; BIOACCUMULATION; BIOINDICATORS</t>
  </si>
  <si>
    <t>Acanthocephalans belonging to the species Neoechinorhynchus agilis were collected from two mullets, Mugil cephalus and Chelon ramada from Ichkeul Lagoon in northern Tunisia. Collected parasites, as well as tissues of their hosts (muscle, liver and intestine), were analysed for trace elements (silver, arsenic, cadmium, cobalt, copper, iron, manganese, nickel (Ni), lead (Pb), selenium, vanadium (V), zinc) using inductively coupled plasma mass spectrometry. Our results showed different accumulation patterns of trace elements in fish tissues and parasites. Among the host tissues, liver accumulated the highest metal amounts. Acanthocephalans showed Ni, Pb and V in significantly higher concentrations compared to their host's tissues. Further, the calculated bioconcentration factors demonstrated a 390-fold higher Pb accumulation in the parasite compared to fish muscle. This study is the first field survey in Tunisia dealing with elements' uptake in parasites and their hosts. Our results corroborate the usefulness of the acanthocephalans for biomonitoring of metal pollution in aquatic ecosystems and promote more research in order to understand host-parasite systems in brackish waters of the Mediterranean area.</t>
  </si>
  <si>
    <t>[Chine, H. Jmii; Gargouri, L.] Univ Tunis El Manar, Fac Sci Tunis, Lab Divers Management &amp; Conservat Biol Syst, LR18ES06, Tunis, Tunisia; [Nachev, M.; Sures, B.] Univ Duisburg Essen, Dept Aquat Ecol, Univ Str 5, D-45141 Essen, Germany; [Nachev, M.; Sures, B.] Univ Duisburg Essen, Ctr Water &amp; Environm Res, Univ Str 5, D-45141 Essen, Germany</t>
  </si>
  <si>
    <t>Universite de Tunis-El-Manar; Faculte des Sciences de Tunis (FST); University of Duisburg Essen; University of Duisburg Essen</t>
  </si>
  <si>
    <t>Chine, HJ (corresponding author), Univ Tunis El Manar, Fac Sci Tunis, Lab Divers Management &amp; Conservat Biol Syst, LR18ES06, Tunis, Tunisia.</t>
  </si>
  <si>
    <t>halimajmii@hotmail.com</t>
  </si>
  <si>
    <t>EDINBURGH BLDG, SHAFTESBURY RD, CB2 8RU CAMBRIDGE, ENGLAND</t>
  </si>
  <si>
    <t>0022-149X</t>
  </si>
  <si>
    <t>1475-2697</t>
  </si>
  <si>
    <t>J HELMINTHOL</t>
  </si>
  <si>
    <t>J. Helminthol.</t>
  </si>
  <si>
    <t>NOV 2</t>
  </si>
  <si>
    <t>e61</t>
  </si>
  <si>
    <t>10.1017/S0022149X21000572</t>
  </si>
  <si>
    <t>Parasitology; Zoology</t>
  </si>
  <si>
    <t>XB4HT</t>
  </si>
  <si>
    <t>WOS:000721292200001</t>
  </si>
  <si>
    <t>Tanguy, A; Boutet, I; Bonhomme, FY; Boudry, P; Moraga, D</t>
  </si>
  <si>
    <t>Polymorphism of metallothionein genes in the Pacific oyster Crassostrea gigas as a biomarker of response to metal exposure</t>
  </si>
  <si>
    <t>metallothionein; polymorphism; type; heavy metals</t>
  </si>
  <si>
    <t>I GENE; CADMIUM-RESISTANT; GEL-ELECTROPHORESIS; AMPLIFICATION; EXPRESSION; CELLS; DNA; CDNA; ZINC; SUBSTITUTIONS</t>
  </si>
  <si>
    <t>Quantification of metallothioneins (MTs) is classically associated with a cellular response to heavy metal contamination and is used in the monitoring of disturbed ecosystems. Despite the characterization of several MT genes in marine bivalves, only a few genetic Studies have used MT genes as potential biomarkers of pollution, The aim of this study as to assess whether MT gene polymorphism could be used to monitor exposure of the Pacific oyster Crassostrea gigas to heavy metals and to develop specific genetic markers for population genetic studies in relation to environmental stress, The polymorphism of two exons of the C. gigas MT gene CgMT1 were studied using polymerase chain reaction single-strand conformation polymorphism (PCR-SSCP) in both field populations exposed to various metals concentrations and in experimentally exposed Populations. High frequencies of two SSCP types in exons 2 and 3 of the CgMT1 gene have found to be significantly associated with tolerance to metals in experimental and field oyster populations. The use of MT1 gene polymorphism C. gigas as in the present study should therefore be of high ecological relevance. In conclusion, the analysis of the type in these two CgMT1 gene exons, which can confer a greater tolerance to heavy metals, can constitute a good biomarker of effect of the presence of heavy Metals in ecosystems.</t>
  </si>
  <si>
    <t>Univ Bretagne Occidentale, Inst Univ Europeen Mer, LEMAR, CNRS,UMR 6539, F-29280 Plouzane, France; Haskin Shellfish Res Lab, Port Norris, NJ 08349 USA; Univ Montpellier 2, CNRS, UMR 5000, Lab Genome Populat Interact, F-34095 Montpellier, France; IFREMER La Tremblade, Lab Genet &amp; Pathol, F-17390 La Tremblade, France</t>
  </si>
  <si>
    <t>Centre National de la Recherche Scientifique (CNRS); CNRS - Institute of Ecology &amp; Environment (INEE); Ifremer; Institut de Recherche pour le Developpement (IRD); Universite de Bretagne Occidentale; Institut Universitaire Europeen de la Mer (IUEM); Centre National de la Recherche Scientifique (CNRS); Universite de Montpellier; Ifremer</t>
  </si>
  <si>
    <t>Moraga, D (corresponding author), Univ Bretagne Occidentale, Inst Univ Europeen Mer, LEMAR, CNRS,UMR 6539, Technopole Brest Iroise,Pl Nicolas Copern, F-29280 Plouzane, France.</t>
  </si>
  <si>
    <t>Boudry, Pierre/M-3213-2019; Boudry, Pierre/G-2406-2010; Bonhomme, Francois/C-6290-2012</t>
  </si>
  <si>
    <t>Boudry, Pierre/0000-0002-5150-2276; Bonhomme, Francois/0000-0002-8792-9239; Boutet, Isabelle/0000-0003-0619-9316</t>
  </si>
  <si>
    <t>4 PARK SQUARE, MILTON PARK,, ABINGDON OX14 4RN, OXON, ENGLAND</t>
  </si>
  <si>
    <t>10.1080/13547500210157531</t>
  </si>
  <si>
    <t>WOS:000180120600001</t>
  </si>
  <si>
    <t>COSSA, D; RONDEAU, JG</t>
  </si>
  <si>
    <t>SEASONAL, GEOGRAPHICAL AND SIZE-INDUCED VARIABILITY IN MERCURY CONTENT OF MYTILUS-EDULIS IN AN ESTUARINE ENVIRONMENT - A RE-ASSESSMENT OF MERCURY POLLUTION LEVEL IN THE ESTUARY AND GULF OF ST-LAWRENCE</t>
  </si>
  <si>
    <t>Seasonal variability of mercury content of M. edulis (L.) was studied at monthly intervals for 18 mo. (June 1978-December 1979) in a natural population from a typical estuarine environment (St. Lawrence Estuary). Body-size-induced variability was observed in the same population in spring 1980. The regression coefficients of log-log relationships between mercury content and body site of the mussels varied with time. However, the regression coefficients were never higher than 1; this indicates, therefore, no net accumulation of mercury with age of the bivalve. A normalization method, taking into account shell length and soft-tissue dry weight, is proposed to minimize the metal variations due to size differences of the mussels. The normalized mercury contents vary seasonally by a factor of two. Minimum values were observed during summer. This factor (2) is taken as the minimal difference which can be accepted as indicating a significant geographical trend in a mussel watch-type study in estuarine environments. In the St. Lawrence Estuary and Gulf, size-normalized concentrations range from 69 to 378 ng Hg g-1 (dry weigth); highest levels were observed in areas where freshwater influence is maximum, while lower contents were encountered in regions of highest Atlantic influence. In the Gulf, mercury in mussel soft tissue is 3 .times. 104 times that of the seawater. There is some indication of a decrease in the previous measured levels near the mouth of the Saguenay fjord in the Lower St. Lawrence estuary.</t>
  </si>
  <si>
    <t>MINIST PECHES &amp; OCEANS, CTR RECH ECOL PECHES, OCEANOL RIMOUSKI LAB, RIMOUSKI G5L 3AI, QUEBEC, CANADA; MINIST PECHES &amp; OCEANS, CTR CHAMPLAIN SCI MER, QUEBEC CITY G1K 7Y7, QUEBEC, CANADA</t>
  </si>
  <si>
    <t>Fisheries &amp; Oceans Canada; Fisheries &amp; Oceans Canada</t>
  </si>
  <si>
    <t>10.1007/BF00393042</t>
  </si>
  <si>
    <t>APF23</t>
  </si>
  <si>
    <t>WOS:A1985APF2300006</t>
  </si>
  <si>
    <t>Kournoutou, GG; Giannopoulou, PC; Sazakli, E; Leotsinidis, M; Kalpaxis, DL; Dinos, GP</t>
  </si>
  <si>
    <t>Kournoutou, Georgia G.; Giannopoulou, Panagiota C.; Sazakli, Eleni; Leotsinidis, Michalis; Kalpaxis, Dimitrios L.; Dinos, George P.</t>
  </si>
  <si>
    <t>Oxidative Damage of Mussels Living in Seawater Enriched with Trace Metals, from the Viewpoint of Proteins Expression and Modification</t>
  </si>
  <si>
    <t>copper; mercury; cadmium; oxidative stress; protein carbonylation; translation factors; oxidative stress biomarkers</t>
  </si>
  <si>
    <t>GENE-EXPRESSION; MYTILUS-EDULIS; DIGESTIVE GLANDS; RIBOSOMAL-RNA; CADMIUM; STRESS; COPPER; BIOMARKERS; TOXICITY; POLLUTION</t>
  </si>
  <si>
    <t>The impact of metals bioaccumulation in marine organisms is a subject of intense investigation. This study was designed to determine the association between oxidative stress induced by seawater enriched with trace metals and protein synthesis using as a model the mussels Mytilus galloprovincialis. Mussels were exposed to 40 mu g/L Cu, 30 mu g/L Hg, or 100 mu g/L Cd for 5 and 15 days, and the pollution effect was evaluated by measuring established oxidative biomarkers. The results showed damage on the protein synthesis machine integrity and specifically on translation factors and ribosomal proteins expression and modifications. The exposure of mussels to all metals caused oxidative damage that was milder in the cases of Cu and Hg and more pronounced for Cd. However, after prolonged exposure of mussels to Cd (15 days), the effects receded. These changes that perturb protein biosynthesis can serve as a great tool for elucidating the mechanisms of toxicity and could be integrated in biomonitoring programs.</t>
  </si>
  <si>
    <t>[Kournoutou, Georgia G.; Giannopoulou, Panagiota C.; Kalpaxis, Dimitrios L.; Dinos, George P.] Univ Patras, Sch Med, Dept Biochem, Patras 26504, Greece; [Sazakli, Eleni; Leotsinidis, Michalis] Univ Patras, Sch Med, Lab Publ Hlth, Patras 26504, Greece</t>
  </si>
  <si>
    <t>University of Patras; University of Patras</t>
  </si>
  <si>
    <t>Kournoutou, GG; Dinos, GP (corresponding author), Univ Patras, Sch Med, Dept Biochem, Patras 26504, Greece.</t>
  </si>
  <si>
    <t>gkurnutu@upatras.gr; p.giannopoulou@upnet.gr; elsazak@upatras.gr; micleon@upatras.gr; dim.kalpax@gmail.com; dinosg@upatras.gr</t>
  </si>
  <si>
    <t>Kalpaxis, Dimitrios/A-5195-2008; Dinos, George/AAR-8444-2020; Sazakli, Eleni/A-2798-2013</t>
  </si>
  <si>
    <t>Giannopoulou, Panagiota/0000-0003-1083-2751; Sazakli, Eleni/0000-0002-5673-2214; Kournoutou, Georgia/0000-0002-7901-7432</t>
  </si>
  <si>
    <t>University of Patras; Hellenic State Scholarships Foundation (IKY), through the Operational Programme Human Resources Development, Education and Lifelong Learning; European Union (European Social Fund-ESF)</t>
  </si>
  <si>
    <t>University of Patras; Hellenic State Scholarships Foundation (IKY), through the Operational Programme Human Resources Development, Education and Lifelong Learning; European Union (European Social Fund-ESF)(European Union (EU)European Social Fund (ESF))</t>
  </si>
  <si>
    <t>This research was funded by the University of Patras. G.G. Kournoutou is a Research Fellow supported by the Hellenic State Scholarships Foundation (IKY), through the Operational Programme Human Resources Development, Education and Lifelong Learning, co-financed by Greece and the European Union (European Social Fund-ESF).</t>
  </si>
  <si>
    <t>10.3390/toxics8040089</t>
  </si>
  <si>
    <t>PK2MW</t>
  </si>
  <si>
    <t>WOS:000602286200001</t>
  </si>
  <si>
    <t>Zhao, WY; Zhou, T; Zhu, JX; Sun, X; Xu, Y</t>
  </si>
  <si>
    <t>Zhao, Wenyu; Zhou, Ting; Zhu, Junxiang; Sun, Xun; Xu, Ying</t>
  </si>
  <si>
    <t>Adsorption of cadmium ions using the bioadsorbent of Pichia kudriavzevii YB5 immobilized by polyurethane foam and alginate gels</t>
  </si>
  <si>
    <t>P. kudriavzevii YB5; Immobilization; Polyurethane foam; Alginate gels; Cadmium ions; Bioadsorption</t>
  </si>
  <si>
    <t>HEAVY-METAL IONS; CA-ALGINATE; AQUEOUS-SOLUTIONS; ZYGOSACCHAROMYCES-ROUXII; SACCHAROMYCES-CEREVISIAE; ISSATCHENKIA-ORIENTALIS; ETHANOL-PRODUCTION; EFFICIENT REMOVAL; METHYLENE-BLUE; WASTE-WATER</t>
  </si>
  <si>
    <t>Pichia kudriavzevii YB5, mutated from Pichia kudriavzevii A16 with a strong ability to remove cadmium ions, was immobilized by polyurethane foam and alginate gels in this work. The immobilization conditions were optimized as follows: sodium alginate concentration of 2% (w/v), calcium chloride concentration of 2% (w/v), biomass dose of 1 x 10(9) cell/mL, and cross-linking time for 4 h. Then, the results of batch adsorption experiments showed that the removal capacity of prepared bioadsorbent was significantly affected by the pH of media, contact time, and the initial Cd(II) concentration, and a suitable adsorption conditions of Cd(II) could be achieved with a pH value of 6.0 at 20 A degrees C for 90 min. Kinetic and isothermal results indicated the behavior of Cd(II) adsorption onto immobilized P. kudriavzevii YB5 fitted to the pseudo-second-order kinetic equation and the Langmuir adsorption model. Thermodynamic results showed that the Cd(II) adsorption process was endothermic and spontaneous in nature. Besides, the Cd(II) removing capacity of the prepared bioadsorbent was also tested in the oyster hydrolysates, showing an average removal rate of 54.35%. Thus, the immobilized P. kudriavzevii YB5 adsorbent had great potential for application in aquatic products to ensure the food safety.</t>
  </si>
  <si>
    <t>[Zhao, Wenyu; Zhou, Ting; Zhu, Junxiang; Sun, Xun; Xu, Ying] Ocean Univ China, Coll Food Sci &amp; Engn, Qingdao 266003, Peoples R China; [Zhu, Junxiang] Marine Fisheries Res Inst Zhejiang, Zhoushan 316021, Peoples R China</t>
  </si>
  <si>
    <t>Xu, Y (corresponding author), Ocean Univ China, Coll Food Sci &amp; Engn, Qingdao 266003, Peoples R China.</t>
  </si>
  <si>
    <t>xuying209@yahoo.com</t>
  </si>
  <si>
    <t>Zhu, Junxiang/0000-0001-9659-7021</t>
  </si>
  <si>
    <t>National Key Technology Research and Development Program of the Ministry of Science and Technology of China [2015BAD17B02]</t>
  </si>
  <si>
    <t>National Key Technology Research and Development Program of the Ministry of Science and Technology of China(National Key Technology R&amp;D Program)</t>
  </si>
  <si>
    <t>This study was supported by the National Key Technology Research and Development Program of the Ministry of Science and Technology of China (2015BAD17B02).</t>
  </si>
  <si>
    <t>10.1007/s11356-017-0785-5</t>
  </si>
  <si>
    <t>FW0TR</t>
  </si>
  <si>
    <t>WOS:000425008900069</t>
  </si>
  <si>
    <t>Kumar, V; Sinha, AK; Rodrigues, PP; Mubiana, VK; Blust, R; De Boeck, G</t>
  </si>
  <si>
    <t>Kumar, Vikas; Sinha, Amit Kumar; Rodrigues, Paulo Pinheiro; Mubiana, Valentine K.; Blust, Ronny; De Boeck, Gudrun</t>
  </si>
  <si>
    <t>Linking environmental heavy metal concentrations and salinity gradients with metal accumulation and their effects: A case study in 3 mussel species of Vitoria estuary and Espirito Santo bay, Southeast Brazil</t>
  </si>
  <si>
    <t>Biomonitoring; Mussels; Perna perna; Mytella falcata; Mytella guyanensis; Suspended particulate matter; Energy store; Condition index</t>
  </si>
  <si>
    <t>CELLULAR-ENERGY ALLOCATION; TRANSPLANTED ZEBRA MUSSELS; TRACE-METALS; MYTILUS-EDULIS; CONDITION INDEXES; ZINC; POLLUTION; CADMIUM; COPPER; BIOMAGNIFICATION</t>
  </si>
  <si>
    <t>The present study was conducted to link the heavy metal load in three species of mussels (Perna perna, Mytella falcata and Mytella guyanensis) from the estuaries and bays around Vitoria island, south-east of Brazil, with the salinity gradient and the heavy metal levels in the abiotic environment (including water, suspended particulate matter (SPM) and sediment). Primarily based on the salinity gradient, a total of 26 sites around Vitoria Island were selected for sampling of water, SPM, sediments and organisms. Besides tissue metal levels, the condition index and energy stores (glycogen, lipid and protein) were quantified as an indicator of fitness in response to metal pollution. Dissolved metals in water indicate that Cd and Mn content was higher along Espirito Santo Bay, while Al, Co, Cu, Cr and Fe were elevated in the sites with low salinity such as river mouths, estuarine and sewage canals. Likewise, suspended matter sampled from low salinity sites showed a higher heavy metal load compared to moderate and high salinity sites. Though mussels were sampled from different sites, the contamination for Cd, Cu, Fe and Mn was higher in mussels inhabiting low salinity sites (M. guyanensis and M. falcata) compared to P. perna, a high saline water inhabitant. However, a higher Zn body burden was observed for P. perna compared to Mytella species. Tissue Fe accumulation (but not Mn and Zn) correlated with heavy metal levels in suspended material for all three species, and for M. falcata this correlation also existed for Cd and Cu. Energy store and condition index in allmussels varied depending on the sampling sites and correlated with salinity gradient rather than tissue metal concentration. Overall, metal concentration in mussels did not exceed the safe levels as per the international standards for metals, and would be of no risk for human consumption. (C) 2015 Elsevier B.V. All rights reserved.</t>
  </si>
  <si>
    <t>[Kumar, Vikas; Sinha, Amit Kumar; Rodrigues, Paulo Pinheiro; Mubiana, Valentine K.; Blust, Ronny; De Boeck, Gudrun] Univ Antwerp, Dept Biol, Syst Physiol &amp; Ecotoxicol Res, BE-2020 Antwerp, Belgium; [Kumar, Vikas] Kentucky State Univ, Aquaculture Div, Coll Agr Food Sci &amp; Sustainable Syst, Frankfort, KY USA</t>
  </si>
  <si>
    <t>University of Antwerp; Kentucky State University</t>
  </si>
  <si>
    <t>Sinha, AK (corresponding author), Univ Antwerp, Dept Biol, Syst Physiol &amp; Ecotoxicol Res, Groenenborgerlaan 171, BE-2020 Antwerp, Belgium.</t>
  </si>
  <si>
    <t>vikaskr.mhn@googlemail.com; sinha_cife@rediffmail.com</t>
  </si>
  <si>
    <t>Kumar, Vikas/N-8955-2018; De Boeck, Gudrun/A-1938-2015</t>
  </si>
  <si>
    <t>De Boeck, Gudrun/0000-0003-0941-3488; Sinha, Amit Kumar/0000-0003-0419-7640</t>
  </si>
  <si>
    <t>Fonds Wetenschappelijk Onderzoek - Vlaanderen (FWO) [G.0123.07N]; Fonds Wetenschappelijk Onderzoek - Vlaanderen [FWO] [12A8814N]</t>
  </si>
  <si>
    <t>Fonds Wetenschappelijk Onderzoek - Vlaanderen (FWO)(FWO); Fonds Wetenschappelijk Onderzoek - Vlaanderen [FWO](FWO)</t>
  </si>
  <si>
    <t>The technical assistance of Adrian Covaci, Steven Joosen, Karin Van den Bergh and Nemo Maes is gratefully acknowledged. This research was funded by the Fonds Wetenschappelijk Onderzoek - Vlaanderen (FWO) - Project G.0123.07N. Amit Kumar Sinha is a research fellow supported by the Fonds Wetenschappelijk Onderzoek - Vlaanderen [FWO Grant12A8814N].</t>
  </si>
  <si>
    <t>10.1016/j.scitotenv.2015.03.139</t>
  </si>
  <si>
    <t>CH3ER</t>
  </si>
  <si>
    <t>WOS:000353910900001</t>
  </si>
  <si>
    <t>Solomon, FN; Nelson, W</t>
  </si>
  <si>
    <t>Solomon, Farahnaz N.; Nelson, Wendy</t>
  </si>
  <si>
    <t>Occurrence and Health Risk Assessment of Heavy Metals in the Blue Land Crab (Cardisoma guanhumi) from a Tropical Mangrove Swamp</t>
  </si>
  <si>
    <t>Heavy metals; Cardisoma guanhumi; Mangrove swamp; Caribbean; Health risk assessment</t>
  </si>
  <si>
    <t>CARONI SWAMP; CRASSOSTREA-RHIZOPHORAE; CALLINECTES-SAPIDUS; RAMSAR SITE; MERSIN BAY; TRINIDAD; SEDIMENTS; OYSTERS; PARIA; GULF</t>
  </si>
  <si>
    <t>Coastal ecosystems in the Caribbean are vulnerable to pollution from land-based activities with possible impacts to human health. Ten heavy metals in the blue land crab, Cardisoma guanhumi, harvested from the Caroni Swamp, Trinidad, were investigated in the wet and dry seasons. Metal concentrations (mu g g(-1) dry weight) in crab tissue were: As (0.15-6.46), Ba (0.69-19.64), Cd (&lt; 0.001-3.36), Cr (0.63-3.64), Cu (26.64-120.31), Hg (0.09-1.83), Ni (1.21-9.33), Se (0.19-1.55), V (0.16-0.69) and Zn (121.06-494.3). There were seasonal differences in the concentration of some heavy metals and, Cu and Zn exceeded the local maximum permissible levels for fish and shellfish at several sites in either one or both seasons. Health risk assessment based on estimated daily intake, target hazard quotient and hazard index revealed that Cardisoma guanhumi harvested from the Caroni Swamp, does not pose a health risk to consumers.</t>
  </si>
  <si>
    <t>[Solomon, Farahnaz N.; Nelson, Wendy] Inst Marine Affairs, Hilltop Lane, Chaguaramas, Trinidad Tobago</t>
  </si>
  <si>
    <t>Nelson, W (corresponding author), Inst Marine Affairs, Hilltop Lane, Chaguaramas, Trinidad Tobago.</t>
  </si>
  <si>
    <t>fsolomon@ima.gov.tt; wnorville@ima.gov.tt</t>
  </si>
  <si>
    <t>Solomon, Farahnaz/KFT-2124-2024</t>
  </si>
  <si>
    <t>Nelson, Wendy/0000-0001-7072-4985</t>
  </si>
  <si>
    <t>10.1007/s00128-023-03702-y</t>
  </si>
  <si>
    <t>9V7FQ</t>
  </si>
  <si>
    <t>WOS:000948554800001</t>
  </si>
  <si>
    <t>Bach, L; Nielsen, MH; Bollwerk, SM</t>
  </si>
  <si>
    <t>Bach, Lis; Nielsen, Morten Holtegaard; Bollwerk, Sandra M.</t>
  </si>
  <si>
    <t>Environmental Impact of Submarine Rock Blasting and Dredging Operations in an Arctic Harbor Area: Dispersal and Bioavailability of Sediment-Associated Heavy Metals</t>
  </si>
  <si>
    <t>Underwater blasting and dredging; Heavy metals remobilization; Bioavailability; Arctic; Environmental monitoring</t>
  </si>
  <si>
    <t>MUSSELS MYTILUS-EDULIS; THIN-FILMS DGT; DIFFUSIVE GRADIENTS; BLUE MUSSELS; TRANSPLANTATION EXPERIMENTS; BIOMARKER RESPONSES; MARINE-ENVIRONMENT; WEST GREENLAND; CAGED MUSSELS; MINE WASTE</t>
  </si>
  <si>
    <t>In order to determine the possible impact on the marine environment, we present a study on the dispersal and bioavailability of sediment-associated heavy metals related to underwater blasting and dredging of bedrock operations during a quay construction. The environmental impact was primarily assessed by deploying a buoy setup including sediment traps, blue mussels, and passive samplers (diffusive gradient in thin films, DGTs) in a gradient from the construction site during the operations. Samplings were made during five separate periods covering a total span of about 2.5 months. Analyses included sedimentation rates, organic content, and metal concentrations of the material collected in the sediment traps and metal concentrations of the mussels and passive samplers. The construction work was associated with a considerable dispersion of sediments, organic material, and associated heavy metals. The major fraction of the sediment settled in the vicinity of the construction site. While the mussels were found to accumulate some metals in a distancerelated manner to the construction site and no such accumulation in the DGTs occurred, we conclude that most of the dispersed metals were particle associated. It was found that while a large part of the material settled in the vicinity of the construction site, most of the finegrained and/or organic sediment that was brought into suspension was transported further away from the construction site (beyond the 350 m) most likely carrying contaminants including heavy metals. For future studies of risks and monitoring of underwater blasting and dredging, we recommend to include a larger monitoring area and more importantly water samples of the suspended plumes.</t>
  </si>
  <si>
    <t>[Bach, Lis] Aarhus Univ, Arctic Res Ctr, Dept Biosci, Frederiksborgvej 399, DK-4000 Roskilde, Denmark; [Nielsen, Morten Holtegaard] Marine Sci &amp; Consulting, Peder Lykkes Vej 8,4 Th, DK-2300 Copenhagen, Denmark; [Bollwerk, Sandra M.] GEO Mare, Peder Lykkes Vej 8,4 Th, DK-2300 Copenhagen, Denmark</t>
  </si>
  <si>
    <t>Bach, L (corresponding author), Aarhus Univ, Arctic Res Ctr, Dept Biosci, Frederiksborgvej 399, DK-4000 Roskilde, Denmark.</t>
  </si>
  <si>
    <t>lb@bios.au.dk</t>
  </si>
  <si>
    <t>Bach, Lis/J-6567-2013</t>
  </si>
  <si>
    <t>Bach, Lis/0000-0003-2891-4202</t>
  </si>
  <si>
    <t>Qeqqata Kommunia, the Municipality of Sisimiut</t>
  </si>
  <si>
    <t>Qeqqata Kommunia, the Municipality of Sisimiut, and especially Hans Holt Poulsen, is greatly acknowledged for collaboration and funding. The fieldwork described here was carried out while MHN and SMB were affiliated with Arctic Technology Centre, Technical University of Denmark. We like to thank Rasmus Kruse-Nielsen, Stefan Mulvad, and Jens Bach Olsen for assistance at sea.</t>
  </si>
  <si>
    <t>10.1007/s11270-017-3363-z</t>
  </si>
  <si>
    <t>EX9JL</t>
  </si>
  <si>
    <t>WOS:000403574100002</t>
  </si>
  <si>
    <t>García-Navarro, JA; Franco, L; Romero, D</t>
  </si>
  <si>
    <t>Garcia-Navarro, Jose A.; Franco, Lorena; Romero, Diego</t>
  </si>
  <si>
    <t>Differences in the accumulation and tissue distribution of Pb, Cd, and Cu in Mediterranean mussels (Mytilus galloprovincialis) exposed to single, binary, and ternary metal mixtures</t>
  </si>
  <si>
    <t>Accumulation; Distribution; Heavy metals; Mixture; Mussel</t>
  </si>
  <si>
    <t>DIFFERENT SOFT-TISSUES; PERNA-VIRIDIS; HEAVY-METALS; SUBCELLULAR COMPARTMENTALIZATION; COPPER CONCENTRATIONS; CRASSOSTREA-GIGAS; BINDING PROTEINS; SOUTHEAST COAST; ZINC MIXTURES; WILD MUSSELS</t>
  </si>
  <si>
    <t>Heavy metals often accumulate in complex mixtures in the environment and are currently a source of concern in many marine ecosystems. Pb, Cd, and Cu are regarded as priority hazardous metals due to their great persistence, bioaccumulation, and toxicity. The aim of the present study was to investigate the tissue accumulation and distribution of these heavy metals in Mediterranean mussels (Mytilus galloprovincialis) exposed to binary and ternary mixtures of metals as opposed to only single exposures. Heavy metal concentrations in the digestive gland, gills, and the other soft tissues were determined by inductively coupled plasma optical emission spectrometry (ICP-OES), and the distribution of each metal was analyzed according to compartments. The concentrations of Pb, Cd, and Cu increased significantly in the group exposed to the ternary mixture; however, there was no common response pattern to exposure in single and binary mixtures. Above all, the metals concentrated in the digestive gland, although the percentages of each element varied between compartments and varied between tissues according to the treatment.</t>
  </si>
  <si>
    <t>[Garcia-Navarro, Jose A.; Franco, Lorena; Romero, Diego] Univ Murcia, Fac Vet, Area Toxicol, Campus Reg Excelencia Int Campus Mare Nostrum, E-30071 Murcia, Spain</t>
  </si>
  <si>
    <t>University of Murcia</t>
  </si>
  <si>
    <t>Romero, Diego/F-7187-2016</t>
  </si>
  <si>
    <t>Romero, Diego/0000-0002-9666-0382; Franco Martinez, Lorena/0000-0003-3375-4274</t>
  </si>
  <si>
    <t>10.1007/s11356-016-8349-7</t>
  </si>
  <si>
    <t>ER9RI</t>
  </si>
  <si>
    <t>WOS:000399163700065</t>
  </si>
  <si>
    <t>Medas, D; Carlomagno, I; Meneghini, C; Aquilanti, G; Araki, T; Bedolla, DE; Buosi, C; Casu, MA; Gianoncelli, A; Kuncser, AC; Maraloiu, VA; De Giudici, G</t>
  </si>
  <si>
    <t>Medas, Daniela; Carlomagno, Ilaria; Meneghini, Carlo; Aquilanti, Giuliana; Araki, Tohru; Bedolla, Diana E.; Buosi, Carla; Casu, Maria Antonietta; Gianoncelli, Alessandra; Kuncser, Andrei C.; Maraloiu, V. Adrian; De Giudici, Giovanni</t>
  </si>
  <si>
    <t>Zinc incorporation in marine bivalve shells grown in mine-polluted seabed sediments: a case study in the Malfidano mining area (SW Sardinia, Italy)</t>
  </si>
  <si>
    <t>Bivalve; Biomineralization; Detoxification; Synchrotron x-ray techniques; Trace metals; Zinc</t>
  </si>
  <si>
    <t>JAPANESE PEARL OYSTER; X-RAY TRANSMISSION; HEAVY-METAL LEVELS; PRISMATIC LAYER; MATRIX PROTEIN; BIOMINERALIZATION PROCESSES; ZN BIOMINERALIZATION; CORBICULA-FLUMINEA; CIGARETTE BUTTS; MUSSEL SHELLS</t>
  </si>
  <si>
    <t>Zinc incorporation into marine bivalve shells belonging to different genera (Donax, Glycymeris, Lentidium, and Chamelea) grown in mine-polluted seabed sediments (Zn up to 1% w/w) was investigated using x-ray diffraction (XRD), chemical analysis, soft x-ray microscopy combined with low-energy x-ray fluorescence (XRF) mapping, x-ray absorption spectroscopy (XAS), and transmission electron microscopy (TEM). These bivalves grew their shells, producing aragonite as the main biomineral and they were able to incorporate up to 2.0-80mg/kg of Zn, 5.4-60mg/kg of Fe and 0.5-4.5mg/kg of Mn. X-ray absorption near edge structure (XANES) analysis revealed that for all the investigated genera, Zn occurred as independent Zn mineral phases, i.e., it was not incorporated or adsorbed into the aragonitic lattice. Overall, our results indicated that Zn coordination environment depends on the amount of incorporated Zn. Zn phosphate was the most abundant species in Donax and Lentidium genera, whereas, Chamelea shells, characterized by the highest Zn concentrations, showed the prevalence of Zn-cysteine species (up to 56% of total speciation). Other Zn coordination species found in the investigated samples were Zn hydrate carbonate (hydrozincite) and Zn phosphate. On the basis of the coordination environments, it was deduced that bivalves have developed different biogeochemical mechanisms to regulate Zn content and its chemical speciation and that cysteine plays an important role as an active part of detoxification mechanism. This work represents a step forward for understanding bivalve biomineralization and its significance for environmental monitoring and paleoreconstruction.</t>
  </si>
  <si>
    <t>[Medas, Daniela; Buosi, Carla; De Giudici, Giovanni] Univ Cagliari, Dept Chem &amp; Geol Sci, Cagliari, Italy; [Carlomagno, Ilaria; Meneghini, Carlo] Univ Roma Tre, Dept Sci, Rome, Italy; [Carlomagno, Ilaria; Aquilanti, Giuliana; Bedolla, Diana E.; Gianoncelli, Alessandra] Elettra Sincrotrone Trieste, Trieste, Italy; [Araki, Tohru] Diamond Light Source, Diamond House,Harwell Sci &amp; Innovat Campus, Didcot, Oxon, England; [Casu, Maria Antonietta] CNR, UOS Cagliari, Inst Translat Pharmacol, Sci &amp; Technol Pk Sardinia POLARIS, Pula, Italy; [Kuncser, Andrei C.; Maraloiu, V. Adrian] Natl Inst Mat Phys, Lab Atom Struct &amp; Defects Adv Mat, Atomistilor 405A, Magurele, Romania</t>
  </si>
  <si>
    <t>University of Cagliari; Italfarmaco; Roma Tre University; Elettra Sincrotrone Trieste; Diamond Light Source; Consiglio Nazionale delle Ricerche (CNR); Istituto di Farmacologia Traslazionale (IFT-CNR); National Institute of Materials Physics - Romania</t>
  </si>
  <si>
    <t>Medas, D (corresponding author), Univ Cagliari, Dept Chem &amp; Geol Sci, Cagliari, Italy.</t>
  </si>
  <si>
    <t>dmedas@unica.it</t>
  </si>
  <si>
    <t>Buosi, Carla/AAF-2994-2020; De Giudici, Giovanni/AAI-4763-2020; Aquilanti, Giuliana/AFI-0942-2022; Kuncser, Andrei Cristian/AAS-8214-2021; Meneghini, Carlo/F-7761-2013; Maraloiu, Valentin-Adrian/E-9476-2010; Araki, Tohru/K-9301-2015</t>
  </si>
  <si>
    <t>Gianoncelli, Alessandra/0000-0002-2457-3618; Meneghini, Carlo/0000-0003-4846-8422; Medas, Daniela/0000-0002-9540-4635; Maraloiu, Valentin-Adrian/0000-0002-4400-5060; Kuncser, Andrei/0000-0003-2841-5809; Carlomagno, Ilaria/0000-0003-3736-1558; Araki, Tohru/0000-0002-2689-4642; Buosi, Carla/0000-0003-0530-1825; Bedolla Orozco, Diana Eva/0000-0003-1902-1517</t>
  </si>
  <si>
    <t>CERIC-ERIC Consortium [20152041, 20162061, 20167045]; Romanian Ministry of Education [PN16-480102]; project CALIPSOplus from EU Framework Programme for Research and Innovation HORIZON 2020 [730872]; RAS [E58C16000080003]; RAS/FBS [F72F16003080002]; MIUR</t>
  </si>
  <si>
    <t>CERIC-ERIC Consortium; Romanian Ministry of Education(Ministry of Education and Research - Romania); project CALIPSOplus from EU Framework Programme for Research and Innovation HORIZON 2020; RAS(Russian Academy of SciencesRegione Sardegna); RAS/FBS; MIUR(Ministry of Education, Universities and Research (MIUR))</t>
  </si>
  <si>
    <t>The authors acknowledge the CERIC-ERIC Consortium (grant numbers: 20152041, 20162061, 20167045) for the access to experimental facilities and financial support and the Romanian Ministry of Education (through the Core Program, Project PN16-480102). XAFS (Elettra) 20160254 beamtime, Diamond SP 16496 beamtime, and grant are acknowledged. The research leading to this result has been supported by the project CALIPSOplus under the Grant Agreement 730872 from the EU Framework Programme for Research and Innovation HORIZON 2020. GDG and DM acknowledge RAS (grant number: E58C16000080003) and RAS/FBS (grant number: F72F16003080002). The Grant of Excellence Departments, MIUR (ARTICOLO 1, COMMI 314-337 LEGGE 232/2016), is gratefully acknowledged. We also thank three anonymous Journal Reviewers for their excellent constructive comments.</t>
  </si>
  <si>
    <t>10.1007/s11356-018-3504-y</t>
  </si>
  <si>
    <t>WOS:000452489500077</t>
  </si>
  <si>
    <t>Smaoui-Damak, W; Berthet, B; Hamza-Chaffai, A</t>
  </si>
  <si>
    <t>Smaoui-Damak, W.; Berthet, B.; Hamza-Chaffai, A.</t>
  </si>
  <si>
    <t>In situ potential use of metallothionein as a biomarker of cadmium contamination in Ruditapes decussatus</t>
  </si>
  <si>
    <t>Abiotic factors; Cadmium; Digestive gland; Biomarkers; Gametogenesis scale; Gills; Gulf of Gabes; Metallothioneins; Protein; Ruditapes decussatus</t>
  </si>
  <si>
    <t>OYSTERS CRASSOSTREA-GIGAS; ANTIOXIDANT ENZYME-ACTIVITIES; NATURAL FACTORS SALINITY; DIGESTIVE GLAND; MYTILUS-GALLOPROVINCIALIS; METAL CONCENTRATIONS; SEASONAL-VARIATIONS; LIPID-PEROXIDATION; DETOXIFICATION; GILLS</t>
  </si>
  <si>
    <t>Cadmium (Cd) and metallothionein (MT) concentrations were analysed in the gills and digestive gland of clams Ruditapes decussatus collected from two sites of the Gulf of Gabes (Tunisia) which differ by their degree of pollution. The effect of biotic (maturity stages, protein, sex and body mass) and abiotic factors (temperature, salinity, site and season) on Cd and MT concentrations showed that in the reference site Bordj d'Ungha physiological changes caused by gamete development and maturity contributed more to changes in MT concentrations than the bioavailable Cd concentrations; whereas, in the contaminated site El Hofra, MT induction responded to raised Cd bioavailabilities rather than to physiological changes. With a view to using MTs as metal exposure biomarker in monitoring program, our results show that the analysis in the digestive gland seem to be more relevant than in gills, and that males appear as the most promising candidates compared to females in the determination of this biomarker. (C) 2009 Elsevier Inc. All rights reserved.</t>
  </si>
  <si>
    <t>[Smaoui-Damak, W.; Hamza-Chaffai, A.] Univ Sfax, UR 09 03, IPEIS, Sfax 3018, Tunisia; [Berthet, B.] SMAB, Serv Ecotoxicol, Nantes 3, France; [Berthet, B.] ICES, La Roche Sur Yon, France</t>
  </si>
  <si>
    <t>Smaoui-Damak, W (corresponding author), Univ Sfax, UR 09 03, IPEIS, BP 805, Sfax 3018, Tunisia.</t>
  </si>
  <si>
    <t>10.1016/j.ecoenv.2009.01.005</t>
  </si>
  <si>
    <t>455KU</t>
  </si>
  <si>
    <t>WOS:000266759200023</t>
  </si>
  <si>
    <t>Geffard, O; Geffard, A; His, E; Budzinski, H</t>
  </si>
  <si>
    <t>Assessment of the bioavailability and toxicity of sediment-associated polycyclic aromatic hydrocarbons and heavy metals applied to Crassostrea gigas embryos and larvae</t>
  </si>
  <si>
    <t>sediments; oyster larvae; embryo toxicity; contaminant body burdens; biomarkers; PAHs; heavy metals</t>
  </si>
  <si>
    <t>BIVALVE MULINIA-LATERALIS; MYTILUS-GALLOPROVINCIALIS; PARACENTROTUS-LIVIDUS; CHIRONOMUS-RIPARIUS; MARINE-SEDIMENTS; AMMONIA; PAH; BIOACCUMULATION; CONTAMINATION; RIVER</t>
  </si>
  <si>
    <t>Sediments represent a vast sink for contaminants in aquatic systems, and may pose a threat to pelagic and benthic organisms. The objective of this research was to determine the bioavailability and toxicity of sediment-associated PAHs and heavy metals, using embryos and larvae of the oyster Crassostrea gigas, exposed to two sediment fractions: the whole sediment and the elutriate. The percentages of abnormal larvae, the contaminant accumulation and, (in the case of metal contamination), the induction of metallothionein in the larvae, were investigated. Sediment-associated PAHs and heavy metals were available for exposure, as indicated by their accumulation in C gigas larvae and by the abnormalities induced during larval development. The critical body burden of PAHs (Fluo, Pyr, BaA, Triph, Chrys, BbF, BkF, BjK, BeP, BaP, Per, IP, BPer and the DahA) in the larvae was 0.3 mug g(-1), above which abnormalities were observed. This value corresponds to concentrations observed for most vertebrate and invertebrate species. The bioavailability of PAHs is determined by their solubility; only the soluble fraction of PAHs is accumulated by the embryos. The bioavailability of metals for the larvae is substantiated by MT induction, correlated with cytosolic metal concentrations. MT induction provided a better early-warning response than the embryotoxicity test currently used for evaluating environmental contamination by metals. This study recommends choosing oyster embryos as a particularly sensitive tool for evaluating sediment quality. (C) 2003 Elsevier Science Ltd. All rights reserved.</t>
  </si>
  <si>
    <t>Univ Bordeaux 1, Lab Phys Toxicochim Syst Nat, F-33405 Talence, France; Univ Nantes, CNRS, GDR 1117, SMAB,Serv Ecotoxicol, F-44322 Nantes 3, France; Univ Nantes, CNRS, GDR 1117, Serv Ecotoxicol SMAB,ISOMer, F-44322 Nantes 3, France; IFREMER, DEL PC, F-33120 Arcachon, France</t>
  </si>
  <si>
    <t>Universite de Bordeaux; Nantes Universite; Centre National de la Recherche Scientifique (CNRS); Nantes Universite; Centre National de la Recherche Scientifique (CNRS); Ifremer</t>
  </si>
  <si>
    <t>Univ Bordeaux 1, Lab Phys Toxicochim Syst Nat, 351 Cours Liberat, F-33405 Talence, France.</t>
  </si>
  <si>
    <t>ogeffard@lptc.u-bordeaux.fr</t>
  </si>
  <si>
    <t>Geffard, olivier/0000-0001-7760-4644; Geffard, Alain/0000-0001-9236-2890; BUDZINSKI, Helene/0000-0001-5282-9011</t>
  </si>
  <si>
    <t>10.1016/S0025-326X(02)00451-4</t>
  </si>
  <si>
    <t>680GP</t>
  </si>
  <si>
    <t>WOS:000182968200027</t>
  </si>
  <si>
    <t>Holan, JR; King, CK; Proctor, AH; Davis, AR</t>
  </si>
  <si>
    <t>Holan, Jessica R.; King, Catherine K.; Proctor, Abigael H.; Davis, Andrew R.</t>
  </si>
  <si>
    <t>Increased sensitivity of subantarctic marine invertebrates to copper under a changing climate - Effects of salinity and temperature</t>
  </si>
  <si>
    <t>Multiple stressors; Macquarie island; Toxicity; Temperature; Salinity; Copper</t>
  </si>
  <si>
    <t>URCHIN STERECHINUS-NEUMAYERI; SOUTHERN-OCEAN; OXYGEN-CONSUMPTION; METAL ACCUMULATION; MACQUARIE ISLAND; TOXICITY; CONTAMINANTS; STRESSORS; COPEPOD; ECOSYSTEMS</t>
  </si>
  <si>
    <t>Stressors associated with climate change and contaminants, resulting from the activities of humans, are affecting organisms and ecosystems globally. Previous studies suggest that the unique characteristics of polar biota, such as slower metabolisms and growth, and the generally stable conditions in their natural environment, cause higher susceptibility to contamination and climate change than those in temperate and tropical areas. We investigated the effects of increased temperature and decreased salinity on copper toxicity in four subantarctic marine invertebrates using realistic projected conditions under a future climatic change scenario for this region. We hypothesised that these relatively subtle shifts in environmental stressors would impact the sensitivity of cold-adapted species to copper. The four test species were: a copepod Harpacticus sp.; isopod Limnoria stephenseni; flatworm Obrimoposthia ohlini; and bivalve Gaimardia trapesina. These species occupy a range of ecological niches, spanning intertidal and subtidal nearshore zones. We predicted that species would differ in their tolerance to stressors, depending on where they occurred within this ecological gradient. Organisms were exposed to the multiple stressors in a factorial design in laboratory based toxicity tests. Sensitivity estimates for copper (LC50) were calculated using a novel statistical approach which directly assessed the impacts of the multiple stressors. In three of the four species tested, sensitivity to copper was amplified by small increases in temperature (2-4 degrees C). The effects of salinity were more variable but a decrease of as little as 2 ppt caused a significant effect in one species. This study provides some of the first evidence that high latitude species may be at increased risk from contaminants under projected future climate conditions. This interaction, between contaminants and the abiotic environment, highlights a potential pathway to biodiversity loss under a changing climate. Crown Copyright (C) 2019 Published by Elsevier Ltd. All rights reserved.</t>
  </si>
  <si>
    <t>[Holan, Jessica R.] Univ Wollongong, Ctr Sustainable Ecosyst Solut, Wollongong, NSW, Australia; [Holan, Jessica R.] Univ Wollongong, Sch Biol Sci, Wollongong, NSW, Australia; [King, Catherine K.] Australian Antarctic Div, Kingston, Tas, Australia; [Proctor, Abigael H.; Davis, Andrew R.] Univ Tasmania, Inst Marine &amp; Antarctic Studies, Hobart, Tas, Australia</t>
  </si>
  <si>
    <t>University of Wollongong; University of Wollongong; Australian Antarctic Division; University of Tasmania</t>
  </si>
  <si>
    <t>Holan, JR (corresponding author), Univ Wollongong, Ctr Sustainable Ecosyst Solut, Wollongong, NSW, Australia.</t>
  </si>
  <si>
    <t>jrh951@uowmail.edu.au</t>
  </si>
  <si>
    <t>Davis, Andy/H-3607-2011; Holan, Jessica/J-5399-2019; King, Catherine/G-7059-2017</t>
  </si>
  <si>
    <t>Holan, Jessica/0000-0003-0080-4909; Davis, Andrew/0000-0002-8146-7424; King, Catherine/0000-0003-3356-0381</t>
  </si>
  <si>
    <t>Australian government through Australian Antarctic Science Grants [AAS 4100]; Australian government through Australian Postgraduate Award Scholarship</t>
  </si>
  <si>
    <t>Australian government through Australian Antarctic Science Grants(Australian Government); Australian government through Australian Postgraduate Award Scholarship</t>
  </si>
  <si>
    <t>Funding and support for this work was provided by the Australian government through Australian Antarctic Science Grants (AAS 4100) to CK, an Australian Postgraduate Award Scholarship to JH. We thank J Wasley and T. Raymond (AAD) for their reviewers and comments which significantly improved the manuscript. A full metadata record for this study is available from the Australian Antarctic Data Centre (Holan et al., 2018) which includes all toxicity test data and all measured copper concentrations in test solutions.</t>
  </si>
  <si>
    <t>10.1016/j.envpol.2019.02.016</t>
  </si>
  <si>
    <t>IC6KP</t>
  </si>
  <si>
    <t>WOS:000471081300006</t>
  </si>
  <si>
    <t>KING, DG; DAVIES, IM</t>
  </si>
  <si>
    <t>LABORATORY AND FIELD STUDIES OF THE ACCUMULATION OF INORGANIC MERCURY BY THE MUSSEL MYTILUS-EDULIS (L)</t>
  </si>
  <si>
    <t>Laboratory and field experiments have been used to indicate the relative importance of mercury in dissolved and particulate phases as sources of mercury to mussels in a contaminated estuary. Labortory experiments have demonstrated that mussels can accumulate inorganic mercury from sea-water, phytoplankton, and suspended sediment. Following exposure, concentrations were normally higher in the gills, digestive gland, and kidneys than in the adductor muscle, mantle, and foot, and the distribution of mercury between organs varied according to source. The relative bioavailabilities of inorganic mercury in water, phytoplankton, and sediment are estimated to be in the ratios of 10:5:1. Mussels exposed for four weeks in a mercury-contaminated estuary accumulated primarily inorganic mercury from suspended sediment at the seaward end of the estuary, but further upstream from solution and of methylmercury compounds were more important.</t>
  </si>
  <si>
    <t>DEPT AGR &amp; FISHERIES SCOTLAND, MARINE LAB, ABERDEEN, SCOTLAND</t>
  </si>
  <si>
    <t>DEPT AGR &amp; FISHERIES SCOTLAND, FRESHWATER FISHERIES LAB, FASKALLY HOUSE, PITLOCHRY, PERTH, SCOTLAND.</t>
  </si>
  <si>
    <t>10.1016/0025-326X(87)90657-6</t>
  </si>
  <si>
    <t>F8656</t>
  </si>
  <si>
    <t>WOS:A1987F865600015</t>
  </si>
  <si>
    <t>Blidberg, E</t>
  </si>
  <si>
    <t>Effects of copper and decreased salinity on survival rate and development of Tridacna gigas larvae</t>
  </si>
  <si>
    <t>copper; development; giant clam; larvae; salinity; survival; Tridacna gigas</t>
  </si>
  <si>
    <t>GIANT CLAMS; RESPONSES</t>
  </si>
  <si>
    <t>Giant clams (Family: Tridacnidae) are endangered species distributed in the Indo-Pacific region. In this study, survival rate and development of Tridacna gigas larvae were studied for three days in ambient water (32 psu), copper (2.5 mug cu(2+) L-1), reduced salinities (25 and 20 psu) and the combination of copper and 25 psu salinity. No significant differences were found in larval development between treatments. The survival rates decreased considerably with reduced salinities although the combination of copper and reduced salinity gave synergistic effects. As a consequence, this could limit population growth of giant clams in coastal areas and could also explain the absence of larval settlement on reefs close to harbours or river mouths. More research is needed to understand the basic requirements and stress tolerance in giant clam larvae for reef restoration and other management actions to be successful. (C) 2004 Elsevier Ltd. All rights reserved.</t>
  </si>
  <si>
    <t>Stockholm Univ, Dept Syst Ecol, SE-10691 Stockholm, Sweden.</t>
  </si>
  <si>
    <t>eva@ecology.su.se</t>
  </si>
  <si>
    <t>10.1016/j.marenvres.2004.03.095</t>
  </si>
  <si>
    <t>WOS:000222199100099</t>
  </si>
  <si>
    <t>Ahn, IY; Lee, SH; Kim, KT; Shim, JE; Kim, DY</t>
  </si>
  <si>
    <t>Baseline heavy metal concentrations in the Antarctic clam, Laternula elliptica in Maxwell Bay, King George Island, Antarctica</t>
  </si>
  <si>
    <t>MUSSEL WATCH PROGRAM; TRACE-METAL</t>
  </si>
  <si>
    <t>Baseline heavy metal concentrations were determined in various tissues of the Antarctic soft-shelled clam Laternula elliptica and compared with literature values for temperate and Antarctic bivalve species, Laternula elliptica tends to strongly accumulate most heavy metals with tissue concentrations being comparable to those of mussels and oysters in temperate waters, For the majority of the metals, significantly higher concentrations were measured in the kidney than in any other soft tissues, In addition, Cd concentration in the kidney was positively correlated with that of Zn, Pb and Mn, reflecting the detoxification of the accumulated heavy metals, Thus, these results suggest that L. elliptica can be used as a suitable biomonitor for long-term monitoring of heavy metal contamination in the Antarctic coastal waters, However, habitat sediment is highly elevated with Cu (77 mu g g(-1) dry weight), which has apparently been derived from lithogenic sources in the surrounding land via meltwater inflow during austral summer, No comparative data, however, are yet available for L. elliptica in other regions, and possible influence of the Cu elevation in this region on the body burden of L. elliptica is discussed in comparison with those of another common Antarctic bivalve, Adamussium colbecki. Copyright (C) 1996 Elsevier Science Ltd</t>
  </si>
  <si>
    <t>KOREA OCEAN RES &amp; DEV INST, DIV CHEM OCEANOG, ANSAN, SOUTH KOREA</t>
  </si>
  <si>
    <t>Korea Institute of Ocean Science &amp; Technology (KIOST)</t>
  </si>
  <si>
    <t>KOREA OCEAN RES &amp; DEV INST, POLAR RES CTR, POB 29, KYEONGGI DO, ANSAN, SOUTH KOREA.</t>
  </si>
  <si>
    <t>Shim, JeongHee/0000-0003-0699-9145</t>
  </si>
  <si>
    <t>AUG-SEP</t>
  </si>
  <si>
    <t>10.1016/0025-326X(95)00247-K</t>
  </si>
  <si>
    <t>VN045</t>
  </si>
  <si>
    <t>WOS:A1996VN04500013</t>
  </si>
  <si>
    <t>Biochemical biomarker responses of green-lipped mussel, Perna canaliculus, to acute and subchronic waterborne cadmium toxicity</t>
  </si>
  <si>
    <t>Perna canaliculus; Cadmium; Metallothionein-like protein; Oxidative stress; Enzyme biomarkers; Glycogen</t>
  </si>
  <si>
    <t>ANTIOXIDANT DEFENSE SYSTEMS; METAL EXPOSURE; ALKALINE-PHOSPHATASE; LIPID-PEROXIDATION; OXIDATIVE STRESS; MYTILUS-GALLOPROVINCIALIS; BEHAVIORAL-RESPONSES; DIGESTIVE GLAND; K+-ATPASE; METALLOTHIONEIN</t>
  </si>
  <si>
    <t>The biochemical responses of the green-lipped mussel, Perna canaliculus, to waterborne cadmium (Cd) were investigated in order to delineate toxic mechanisms, and the impacts of exposure dose and duration, of this important toxicant in a potential sentinel species. Mussels were exposed for either 96 h (acute: 0, 2000, 4000 mu g L-1 Cd) or for 28 d (subchronic: 0, 200, 2000 mu g L-1 Cd), and the digestive gland, gill and haemolymph were examined for impacts. Biochemical responses measured included those associated with metal detoxification (metallothionein-like protein; MTLP), oxidative stress (catalase, lipid peroxidation), cellular homeostasis (alkaline phosphatase, Na+, K+-ATPase; NKA), and energy utilisation (glycogen, haemolymph protein). Following acute exposure, digestive gland glycogen and gill NKA activity were significantly altered by Cd exposure relative to levels in mussels exposed to Cd-free seawater. Subchronic Cd exposure resulted in a significant increase in MTLP levels in both the gill and the digestive gland. This increase was correlated strongly with the levels of Cd accumulation measured in these tissues (R = 0.957 for gill, 0.964 for digestive gland). Catalase activity followed a similar pattern, although the correlation with tissue Cd accumulation was not as strong (R = 0.907 for gill, 0.708 for digestive gland) as that for MTLP. Lipid peroxidation increased in the digestive gland at Days 7 and 14 at both subchronic Cd levels tested, but this effect had largely dissipated by Days 21 and 28 (with the exception of the 2000 mu g L-1 group at Day 28). Alkaline phosphatase activity decreased significantly with Cd exposure in both tissues. This effect was observed at both tested concentrations in the gill, but only at the highest concentration for digestive gland. A decrease in digestive gland glycogen levels was observed in Cd-exposed mussels (Days 14 and 21 at 2000 mu g L-1), while haemolymph protein levels increased as a result of subchronic Cd exposure. These findings indicated that biochemical responses in Cd-exposed mussels were tissue-specific, dose- and time-dependent, with duration of exposure being the predominant effect. This study shows that biochemical changes in Cd-exposed green-lipped mussels can be linked to tissue metal accumulation and are consistent with previously reported physiological effects. It also suggests that green-lipped mussels are amenable to a multiple biomarker approach and may be of use as a bioindicator species for monitoring coastal metal pollution. (C) 2013 Elsevier B.V. All rights reserved.</t>
  </si>
  <si>
    <t>Brian Mason Scientific &amp; Technical Trust; University of Canterbury Doctoral Scholarship</t>
  </si>
  <si>
    <t>This study was funded by the Brian Mason Scientific &amp; Technical Trust. Jackie Healy is thanked for technical assistance. Our special thanks to Robert Alumbaugh and members of the Department of Pharmacology and Toxicology, University of Otago for their help towards completion of this study. We are grateful to Jacqui Lee for help with, and to Mauricio Urbina for initial consultation regarding, the NKA assay. RC is supported by a University of Canterbury Doctoral Scholarship.</t>
  </si>
  <si>
    <t>10.1016/j.aquatox.2013.06.015</t>
  </si>
  <si>
    <t>WOS:000324900800033</t>
  </si>
  <si>
    <t>MICALLEF, S; TYLER, PA</t>
  </si>
  <si>
    <t>PRELIMINARY-OBSERVATIONS OF THE INTERACTIONS OF MERCURY AND SELENIUM IN MYTILUS-EDULIS</t>
  </si>
  <si>
    <t>Acute lethal toxicity tests with mussels using mercury and mercury-selenium treatments showed that best protection was obtained by simultaneous addition of selenium on an equimolar basis with mercury. Simultaneous addition of a high concentration of selenium proved to be more toxic than the Hg alone treatment. Analyses of the mercury in the soft-tissues in the mussels showed that some form of Hg/Se interaction did take place whilst simultaneous addition of a low concentration of selenium on an equimolar basis with mercury did not produce a redistribution of mercury in the three different tissues analysed for mercury accumulation.</t>
  </si>
  <si>
    <t>UNIV WALES UNIV COLL SWANSEA, DEPT OCEANOG, SINGLETON PK, SWANSEA SA2 8PP, W GLAM, WALES.</t>
  </si>
  <si>
    <t>10.1016/0025-326X(87)90243-8</t>
  </si>
  <si>
    <t>H5236</t>
  </si>
  <si>
    <t>WOS:A1987H523600007</t>
  </si>
  <si>
    <t>Dragun, Z; Erk, M; Ivankovic, D; Zaja, R; Marijic, VF; Raspor, B</t>
  </si>
  <si>
    <t>Dragun, Zrinka; Erk, Marijana; Ivankovic, Dusica; Zaja, Roko; Marijic, Vlatka Filipovic; Raspor, Biserka</t>
  </si>
  <si>
    <t>Assessment of low-level metal contamination using the Mediterranean mussel gills as the indicator tissue</t>
  </si>
  <si>
    <t>Mytilus galloprovincialis; Gill cytosol; Metallothioneins; Copper; Zinc; Cadmium</t>
  </si>
  <si>
    <t>MYTILUS-GALLOPROVINCIALIS LMK; CLAM RUDITAPES-DECUSSATUS; DIGESTIVE GLAND; METALLOTHIONEIN INDUCTION; TRANSPLANTED MUSSELS; MARINE-INVERTEBRATES; ADRIATIC-SEA; TRACE-METALS; RED MULLET; COPPER</t>
  </si>
  <si>
    <t>The aim of this study was to compare the level of metal contamination in two bays in the middle part of the Eastern Adriatic coastal zone in Croatia using the gills of mussels Mytilus galloprovincialis as indicator tissue. Despite the existing sources of contamination, previous studies with caged mussels only indicated moderate metal contamination of the Katela Bay, contrary to the Trogir Bay in which marina and shipyard present a probable source of Cu- and Zn-contamination. The measurements of metallothioneins (MTs) and metals that induce MT synthesis (Cu, Zn, and Cd) were performed in the heat-treated gill cytosol and total proteins (TPs) in the untreated gill cytosol. MTs were determined by differential pulse voltammetry, Cu and Zn by flame atomic absorption spectrometry (AAS), Cd by graphite furnace AAS, and TPs by Bradford spectrophotometric procedure. The results collected in four sampling campaigns (autumn periods from 2001 to 2004) indicated that MT levels in mussel gills (expressed on dry mass basis 2.3 +/- 0.3 mg g(-1)) were comparable with basal levels reported in the literature (2.5 +/- 0.8 mg g(-1)). Observed interindividual, temporal, and spatial MT variability could be associated with different confounding factors, such as the time of sampling, total protein concentration, and mussel size rather than cytosolic levels of Cu and Zn. Metal levels, expressed on wet mass basis, in the heat-treated gill cytosol ranged from 1.33 to 11.31 mu g g(-1) for Zn, from 0.72 to 2.96 mu g g(-1) for Cu, and from 0.036 to 0.100 mu g g(-1) for Cd. The highest Zn level was measured at Vranjic (Katela Bay)-the site influenced by untreated domestic wastewater, while somewhat increased Zn and the highest Cu levels were found at marina and shipyard locations (Trogir Bay). The highest Cd level was measured at Inavinil (Katela Bay). The observed association of gill MT levels with several biotic and abiotic factors limits its use as the biomarker of low-level metal exposure. Therefore, the use of the metal concentrations in the heat-treated gill cytosol of Mediterranean mussels should be considered for the assessment of the low-level metal contamination of coastal marine areas.</t>
  </si>
  <si>
    <t>[Dragun, Zrinka; Erk, Marijana; Ivankovic, Dusica; Marijic, Vlatka Filipovic; Raspor, Biserka] Rudjer Boskovic Inst, Div Marine &amp; Environm Res, Lab Biol Effects Met, HR-10002 Zagreb, Croatia; [Zaja, Roko] Rudjer Boskovic Inst, Div Marine &amp; Environm Res, Lab Mol Ecotoxicol, HR-10002 Zagreb, Croatia</t>
  </si>
  <si>
    <t>Rudjer Boskovic Institute; Rudjer Boskovic Institute</t>
  </si>
  <si>
    <t>Dragun, Z (corresponding author), Rudjer Boskovic Inst, Div Marine &amp; Environm Res, Lab Biol Effects Met, Bijenicka C 54,POB 180, HR-10002 Zagreb, Croatia.</t>
  </si>
  <si>
    <t>zdragun@irb.hr</t>
  </si>
  <si>
    <t>Marijić, Vlatka/AAE-5365-2021</t>
  </si>
  <si>
    <t>Dragun, Zrinka/0000-0002-1289-0114; Zaja, Roko/0000-0003-3944-0153; Ivankovic, Dusica/0000-0003-0349-7908; Erk, Marijana/0000-0001-7221-5551</t>
  </si>
  <si>
    <t>Ministry of Science, Education and Sport of the Republic of Croatia [098-0982934-2721]</t>
  </si>
  <si>
    <t>Ministry of Science, Education and Sport of the Republic of Croatia(Ministry of Science, Education and Sports, Republic of Croatia)</t>
  </si>
  <si>
    <t>We acknowledge the financial support by the Ministry of Science, Education and Sport of the Republic of Croatia for project number 098-0982934-2721.</t>
  </si>
  <si>
    <t>10.1007/s11356-009-0270-x</t>
  </si>
  <si>
    <t>583EO</t>
  </si>
  <si>
    <t>WOS:000276656300017</t>
  </si>
  <si>
    <t>Liu, JW; Zhang, JB; Lu, SL; Zhang, D; Tong, ZC; Yan, Y; Hu, BQ</t>
  </si>
  <si>
    <t>Liu, Jianwei; Zhang, Jianbing; Lu, Shuanglong; Zhang, Dong; Tong, Zhicheng; Yan, Yan; Hu, Baoqing</t>
  </si>
  <si>
    <t>Interannual variation, ecological risk and human health risk of heavy metals in oyster-cultured sediments in the Maowei Estuary, China, from 2011 to 2018</t>
  </si>
  <si>
    <t>Heavy metal; Sediment; Interannual variation; Ecological risk; Human health risk</t>
  </si>
  <si>
    <t>YANGTZE-RIVER ESTUARY; SURFACE SEDIMENTS; SOURCE IDENTIFICATION; SPATIAL-DISTRIBUTION; COASTAL AREA; CONTAMINATION ASSESSMENT; GEOCHEMICAL SPECIATION; SOURCE APPORTIONMENT; POLLUTION STATUS; SOUTHEAST COAST</t>
  </si>
  <si>
    <t>Heavy metals (HMs) in aquaculture-influenced sediments pose a threat to both aquatic ecosystems and human health via aquatic product intake. Based on a long-term (from 2011 to 2018) study, the concentrations of five HMs in oyster-cultured sediments in the Maowei Estuary, China, were ranked as follows: Pb (17.58 +/- 10.82 mg/kg) &gt; Cu (17.15 +/- 8.61 mg/kg) &gt; As (10.27 +/- 5.24 mg/kg) &gt; Cd (0.16 +/- 0.14 mg/kg) &gt; Hg (0.067 +/- 0.033 mg/kg). These concentrations were all close to the guide values in China and those reported in other studies. However, through the Mann-Kendall test, Cu showed obvious increasing interannual trends, and according to ecological risk assessment, the sediments were highly contaminated with Cu and Hg. The health risks to local residents via oyster intake showed that both noncarcinogenic and carcinogenic risk did not exceed the safety criteria (THQ = 1, TCR = 10(-6)). The current study suggests that ecological and human health risks be integrated to control HMs in the Maowei Estuary.</t>
  </si>
  <si>
    <t>[Liu, Jianwei] Henan Agr Univ, Coll Resources &amp; Environm Sci, Zhengzhou 450002, Peoples R China; [Liu, Jianwei; Zhang, Jianbing; Lu, Shuanglong; Yan, Yan; Hu, Baoqing] Nanning Normal Univ, Key Lab Environm Change &amp; Resources Use Beibu Gul, Minist Educ, Nanning 530001, Peoples R China; [Zhang, Jianbing; Lu, Shuanglong; Yan, Yan; Hu, Baoqing] Nanning Normal Univ, Guangxi Key Lab Earth Surface Proc &amp; Intelligent, Nanning 530001, Peoples R China; [Zhang, Dong; Tong, Zhicheng] Qinzhou Marine Environm Monitoring &amp; Forecasting, Qinzhou 535000, Peoples R China; [Zhang, Dong] Guangxi Univ, Sch Marine Sci, Nanning 530004, Peoples R China</t>
  </si>
  <si>
    <t>Henan Agricultural University; Nanning Normal University; Nanning Normal University; Guangxi University</t>
  </si>
  <si>
    <t>Zhang, JB (corresponding author), Nanning Normal Univ, Key Lab Environm Change &amp; Resources Use Beibu Gul, Minist Educ, Nanning 530001, Peoples R China.</t>
  </si>
  <si>
    <t>zjb1166@163.com</t>
  </si>
  <si>
    <t>Liu, Jianwei/AFT-0717-2022; Lu, Shuanglong/AAB-7498-2019</t>
  </si>
  <si>
    <t>liu, jianwei/0000-0002-0680-2501</t>
  </si>
  <si>
    <t>Key R&amp;D Program Projects in Guangxi [AB16380247]; National Natural Science Foundation of China [4136022]</t>
  </si>
  <si>
    <t>Key R&amp;D Program Projects in Guangxi; National Natural Science Foundation of China(National Natural Science Foundation of China (NSFC))</t>
  </si>
  <si>
    <t>This work was supported by Key R&amp;D Program Projects in Guangxi (AB16380247) and the National Natural Science Foundation of China (NO. 4136022).</t>
  </si>
  <si>
    <t>10.1016/j.marpolbul.2020.111039</t>
  </si>
  <si>
    <t>LG6JW</t>
  </si>
  <si>
    <t>WOS:000528205900014</t>
  </si>
  <si>
    <t>Beiras, R; Albentosa, M</t>
  </si>
  <si>
    <t>Inhibition of embryo development of the commercial bivalves Ruditapes decussatus and Mytilus galloprovincialis by trace metals;: implications for the implementation of seawater quality criteria</t>
  </si>
  <si>
    <t>bivalve; embryo; toxicity; bioassay; metals; water quality</t>
  </si>
  <si>
    <t>DISSOLVED MERCURY; CRASSOSTREA-GIGAS; EMBRYOGENESIS; COPPER; GROWTH; SURVIVAL; TOXICITY; CADMIUM; LEAD</t>
  </si>
  <si>
    <t>This study evaluates the risk posed by trace metals on the culture of bivalves in the Galician coast (NW Iberian Peninsula), which depends on collection of natural seed and larval rearing with natural seawater in hatcheries. With this aim, toxicity tests were carried out with embryos of the commercial bivalves Ruditapes decussatus and Mytilus galloprovincialis, and the toxicity of Hg, Cu, Zn, Cd and Pb was quantified in terms of median effective concentration (EC50) and toxicity threshold, using embryogenesis success as endpoint. The EC50 values ranged from 4 to 10 mug/l for Hg and Cu, from 100 to 300 mug/l for Zn and Pb, and from 400 to 2000 mug/l for Cd. The toxicity of copper and zinc combinations could be predicted using a strictly additive model. Effective concentrations found were compared to measured metal concentrations in the Galician Rias, and to local and international seawater quality criteria, in an attempt to evaluate the risk posed by metals to these commercial species. Zinc and especially copper pollution were found to represent a serious threat in certain areas. Furthermore, local seawater quality criteria recently implemented are, in the case of copper and zinc, two orders of magnitude too high to offer any protection for these sensitive early life stages of bivalves. (C) 2004 Elsevier B.V. All rights reserved.</t>
  </si>
  <si>
    <t>Inst Espanol Oceanog, Ctr Oceanog A Coruna, E-15001 La Coruna, Galicia, Spain; Univ Vigo, Area Ecol, Lab Ecol Marina, E-36200 Vigo, Galicia, Spain</t>
  </si>
  <si>
    <t>Inst Espanol Oceanog, Ctr Oceanog A Coruna, Muelle Animas S-N, E-15001 La Coruna, Galicia, Spain.</t>
  </si>
  <si>
    <t>marina.albentosa@co.ieo.es</t>
  </si>
  <si>
    <t>Beiras, Ricardo/0000-0002-1010-2647; Albentosa, Marina/0000-0003-4771-5137</t>
  </si>
  <si>
    <t>FEB 16</t>
  </si>
  <si>
    <t>10.1016/S0044-8486(03)00432-0</t>
  </si>
  <si>
    <t>768ZX</t>
  </si>
  <si>
    <t>WOS:000188602600017</t>
  </si>
  <si>
    <t>RINGWOOD, AH</t>
  </si>
  <si>
    <t>AGE-SPECIFIC DIFFERENCES IN CADMIUM SENSITIVITY AND BIOACCUMULATION IN BIVALVE MOLLUSKS</t>
  </si>
  <si>
    <t>6th International Symp on Responses of Marine Organisms to Pollutants</t>
  </si>
  <si>
    <t>APR 24-26, 1991</t>
  </si>
  <si>
    <t>WOODS HOLE OCEANOG INST, WOODS HOLE, MA</t>
  </si>
  <si>
    <t>WOODS HOLE OCEANOG INST</t>
  </si>
  <si>
    <t>ISOGNOMON-CALIFORNICUM; EMBRYOS; TOXICITY; METALS; LARVAE</t>
  </si>
  <si>
    <t>Age-specific differences in sensitivity to and bioaccumulation of cadmium are demonstrated in a range of life-history stages of the bivalve Isognomon californicum. An acute-toxicity assay was used to document the relative sensitivities of embryos, young veligers, older veligers, pediveligers, juveniles, and adults. There was an inverse relationship between age and sensitivity, so the scale of relative sensitivity was embryos &gt; veligers &gt; pediveligers &gt; juveniles &gt; adults. The bioaccumulation of cadmium by the various life-history stages was measured over a 24-h period by using a radioactive isotope of cadmium. With embryos, there was an 8-h lag phase before accumulation of cadmium was observed. Onset of accumulation coincided with hatching, which supported the hypothesis that embryonic membranes are impermeable to metal ions. The relative rates of accumulation of the various life-history stages did not reflect the relative sensitivities. In these experiments, embryos did have the highest accumulation rates, and adults had the lowest. However, the rates of accumulation of pediveligers were greater than veliger rates. It is therefore interesting to realize that the stages with the highest rates of Cd accumulation were embryos and pediveligers. These two stages can be regarded as developmental hurdles, requiring profound morphological and physiological changes for transformation into the next stage. These results suggest that metal ions and perhaps metallothioneins may play important roles in gene expression and inductive processes and are the basis for continued research.</t>
  </si>
  <si>
    <t>RINGWOOD, AH (corresponding author), DUKE UNIV,MARINE LAB,BEAUFORT,NC 28516, USA.</t>
  </si>
  <si>
    <t>10.1016/0141-1136(93)90010-W</t>
  </si>
  <si>
    <t>KJ063</t>
  </si>
  <si>
    <t>WOS:A1993KJ06300008</t>
  </si>
  <si>
    <t>Roméo, M; Mourgaud, Y; Geffard, A; Gnassia-Barelli, M; Amiard, JC; Budzinski, H</t>
  </si>
  <si>
    <t>Multimarker approach in transplanted mussels for evaluating water quality in Charentes, France, coast areas exposed to different anthropogenic conditions</t>
  </si>
  <si>
    <t>mussels; biomarkers; transplantation; heavy metals; PAHs; PCBs; Charentes coasts; northwest Atlantic</t>
  </si>
  <si>
    <t>CLAM RUDITAPES-DECUSSATUS; GLUTATHIONE S-TRANSFERASES; MYTILUS-GALLOPROVINCIALIS; LIPID-PEROXIDATION; ACETYLCHOLINESTERASE ACTIVITY; ORGANIC-COMPOUNDS; DIGESTIVE GLAND; TRACE-METALS; BIOMARKERS; POLLUTION</t>
  </si>
  <si>
    <t>An active biomonitoring experiment was performed using mussels collected at a clean site, Fier d'Ars, and transplanted to two locations, outside the harbor of La Rochelle and in the Baie de L'Aiguillon along the coast of Charentes (French Atlantic coast) beginning in April for several months. Mussels were collected in June and October. The cadmium, copper, and zinc concentrations of all resident and transplanted mussel samples and the polycyclic aromatic hydrocarbon and polychlorinated biphenyl concentrations in some mussel samples and in the sediment samples were determined. Mussel response was evaluated for several biochemical biomarkers: concentrations of metallothionein, activities of glutathione S-transferase and acetylcholinesterase (AChE) and levels of thiobarbituric reactive substance (TBARS). The physiological status of the animals was assessed using the condition index. A principal component analysis performed with the chemical and biochemical results of the evaluations of the resident and transplanted mussels collected in June allowed them to be separated into three groups: resident mussels from la Rochelle with high metal and TBARS levels, resident mussels from Baie de L'Aiguillon with a very high condition index, and resident mussels from Fier d'Ars and transplanted mussels at La Rochelle and Baie de L'Aiguillon with low TBARS and AChE activities. Strong seasonal variation from June to October of all parameters was noted. Mussels transplanted to La Rochelle appeared to be the most polluted in their pollutant concentrations and biochemical responses; moreover, the La Rochelle site had the highest concentration of organics in sediments of all the sites. The choice of Fier d'Ars as a reference site may be questionable because some of the biomarker responses of the mussels were higher than expected there, although these pollutants in mussels and sediment were present at the lowest concentrations measured. (C) 2003 Wiley Periodicals, Inc.</t>
  </si>
  <si>
    <t>Fac Sci, INRA, UMR UNSA ROSE 1112, F-06108 Nice 2, France; Fac Sci, SMAB, ISOMer, F-44322 Nantes 3, France; Univ Bordeaux 1, UPRESA 5472, LPTC, F-33405 Talence, France</t>
  </si>
  <si>
    <t>INRAE; Universite de Bordeaux</t>
  </si>
  <si>
    <t>BUDZINSKI, Helene/0000-0001-5282-9011; Geffard, Alain/0000-0001-9236-2890</t>
  </si>
  <si>
    <t>10.1002/tox.10128</t>
  </si>
  <si>
    <t>728CN</t>
  </si>
  <si>
    <t>WOS:000185697800004</t>
  </si>
  <si>
    <t>Costa, BGB; Soares, TM; Torres, RF; Lacerda, LD</t>
  </si>
  <si>
    <t>Costa, B. G. B.; Soares, T. M.; Torres, R. F.; Lacerda, L. D.</t>
  </si>
  <si>
    <t>Mercury Distribution in a Mangrove Tidal Creek Affected by Intensive Shrimp Farming</t>
  </si>
  <si>
    <t>Mercury; Shrimp aquaculture; Mangrove</t>
  </si>
  <si>
    <t>CRASSOSTREA-RHIZOPHORAE; EMISSION FACTORS; SEPETIBA BAY; AQUACULTURE; BRAZIL; SPECIATION; SEDIMENTS; SYSTEMS; OYSTER; COPPER</t>
  </si>
  <si>
    <t>In this study, the Hg distributions in water and sediments from a mangrove creek that receives intensive shrimp farming effluents were determined. The average dissolved and particulate Hg concentrations in the water varied from 3.1 to 9.2 ng L-1 and from 4.4 to 9.4 ng L-1, respectively. However, the Hg concentrations in the suspended particulate matter and the bottom sediments varied from 95.4 to 115.7 ng g(-1) and from 1.6 to 10.3 ng g(-1), respectively. A Ward quadratic distance cluster analysis based on the Hg concentrations and hydro- and geochemical parameters (oxygen, salinity, temperature, pH, and organic matter and aluminum content) showed the effects of shrimp farming effluents on the Hg distribution pattern. Furthermore, these results were supported by the Hg distribution in the sediment cores. This study emphasizes the necessity of including Hg as a potential pollutant when monitoring the environmental impacts of intensive shrimp farming.</t>
  </si>
  <si>
    <t>[Costa, B. G. B.; Soares, T. M.; Torres, R. F.; Lacerda, L. D.] Univ Fed Ceara, Inst Ciencias Mar, BR-60165081 Fortaleza, Ceara, Brazil</t>
  </si>
  <si>
    <t>Universidade Federal do Ceara</t>
  </si>
  <si>
    <t>Lacerda, LD (corresponding author), Univ Fed Ceara, Inst Ciencias Mar, Av Abolicao 3207, BR-60165081 Fortaleza, Ceara, Brazil.</t>
  </si>
  <si>
    <t>ldrude@pq.cnpq.br</t>
  </si>
  <si>
    <t>de Lacerda, Luiz/X-9100-2019</t>
  </si>
  <si>
    <t>Lacerda, Luiz/0000-0002-3496-0785</t>
  </si>
  <si>
    <t>10.1007/s00128-012-0957-4</t>
  </si>
  <si>
    <t>119CK</t>
  </si>
  <si>
    <t>WOS:000317074500005</t>
  </si>
  <si>
    <t>Digilio, G; Sforzini, S; Cassino, C; Robotti, E; Oliveri, C; Marengo, E; Musso, D; Osella, D; Viarengo, A</t>
  </si>
  <si>
    <t>Digilio, Giuseppe; Sforzini, Susanna; Cassino, Claudio; Robotti, Elisa; Oliveri, Caterina; Marengo, Emilio; Musso, Davide; Osella, Domenico; Viarengo, Aldo</t>
  </si>
  <si>
    <t>Haemolymph from Mytilus galloprovincialis: Response to copper and temperature challenges studied by 1H-NMR metabonomics</t>
  </si>
  <si>
    <t>Copper; Temperature; Ecotoxicology; Haemolymph; H-1-NMR; Metabonomics; Mytilus galloprovincialis</t>
  </si>
  <si>
    <t>MAGNETIC-RESONANCE SPECTROSCOPY; CLAM RUDITAPES-PHILIPPINARUM; METAL-BINDING PROTEIN; ANTIMICROBIAL PEPTIDES; METABOLIC-RESPONSES; NMR-SPECTROSCOPY; INNATE IMMUNITY; STRESS SYNDROME; HEALTH-STATUS; BLOOD-PLASMA</t>
  </si>
  <si>
    <t>Numerous studies on molluscs have been carried out to clarify the physiological roles of haemolymph serum proteins and haemocytes. However, little is known about the presence and functional role of the serum metabolites. In this study, Nuclear Magnetic Resonance (NMR) was used to assess whether changes of the metabolic profile of Mytilus galloprovincialis haemolymph may reflect alterations of the physiological status of the organisms due to environmental stressors, namely copper and temperature. Mussel haemolymph was taken from the posterior adductor muscle after a 4-day exposure to ambient (16 degrees C) or high temperature (24 degrees C) and in the absence or presence (5 mu g/L, 20 mu g/L, or 40 mu g/L) of sublethal copper (Cu2+). The total glutathione (GSH) concentration in the haemolymph of both control and treated mussels was minimal, indicating the absence of significant contaminations by muscle intracellular metabolites due to the sampling procedure. In the H-1-NMR spectrum of haemolymph, 27 metabolites were identified unambiguously. The separate and combined effects of exposure to copper and temperature on the haemolymph metabolic profile were assessed by Principal Component Analysis (PCA) and Ranking-PCA multivariate analysis. Changes of the metabolomic profile due to copper exposure at 16 degrees C became detectable at a dose of 20 mu g/L copper. Alanine, lysine, serine, glutamine, glycogen, glucose and protein aliphatics played a major role in the classification of the metabolic changes according to the level of copper exposition. High temperature (24 degrees C) and high copper levels caused a coherent increase of a common set of metabolites (mostly glucose, serine, and lysine), indicating that the metabolic impairment due to high temperature is enforced by the presence of copper. Overall, the results demonstrate that, as for human blood plasma, the analysis of haemolymph metabolites represents a promising tool for the diagnosis of pollutant-induced stress syndrome in marine mussels. (C) 2016 Elsevier Inc. All rights reserved.</t>
  </si>
  <si>
    <t>[Digilio, Giuseppe; Sforzini, Susanna; Cassino, Claudio; Robotti, Elisa; Oliveri, Caterina; Marengo, Emilio; Musso, Davide; Osella, Domenico; Viarengo, Aldo] Univ Piemonte Orientale Amedeo Avogadro, Dept Sci &amp; Technol Innovat DiSIT, Viale T Michel 11, I-15121 Alessandria, Italy</t>
  </si>
  <si>
    <t>Viarengo, A (corresponding author), Univ Piemonte Orientale, Dept Sci &amp; Technol Innovat DiSIT, Vle T Michel 11, I-15121 Alessandria, Italy.</t>
  </si>
  <si>
    <t>viarengo@uniupo.it</t>
  </si>
  <si>
    <t>Digilio, Giuseppe/HGU-5278-2022; ROBOTTI, ELISA/H-7319-2016; Cassino, Claudio/O-3722-2019; ROBOTTI, ELISA/J-4072-2012; osella, domenico/E-6389-2015</t>
  </si>
  <si>
    <t>ROBOTTI, ELISA/0000-0002-8788-7729; osella, domenico/0000-0002-6706-9454; Sforzini, Susanna/0000-0002-7310-7605; Cassino, Claudio/0000-0002-7785-2717; Digilio, Giuseppe/0000-0003-2397-2913; Viarengo, Aldo/0000-0002-1557-6526</t>
  </si>
  <si>
    <t>EC [212085]</t>
  </si>
  <si>
    <t>EC(European Union (EU)European Commission Joint Research Centre)</t>
  </si>
  <si>
    <t>This work was partially funded by Theme 6 of the EC seventh framework programme through the Marine Ecosystem Evolution in a Changing Environment (MEECE no. 212085) Collaborative Project.</t>
  </si>
  <si>
    <t>10.1016/j.cbpc.2016.02.003</t>
  </si>
  <si>
    <t>DI3QO</t>
  </si>
  <si>
    <t>WOS:000373413800008</t>
  </si>
  <si>
    <t>WIKFORS, GH; UKELES, R</t>
  </si>
  <si>
    <t>GROWTH AND ADAPTATION OF ESTUARINE UNICELLULAR ALGAE IN MEDIA WITH EXCESS COPPER, CADMIUM OR ZINC, AND EFFECTS OF METAL-CONTAMINATED ALGAL FOOD ON CRASSOSTREA-VIRGINICA LARVAE</t>
  </si>
  <si>
    <t>Responses of the estuarine unicellular algae Monochrysis lutheri, Isochrysis, galbana, Dunaliella euchlora and Phaeodactylum tricornutum to excess CuCl2, CdCl2 and ZnCl2 in growth media were determined. Tolerance to metals in artificial seawater was greater than in enriched natural seawater, because of the higher concentration of metal ligands in the former. Growth differences between species in media containing excess Cu or Cd were observed in both media. Growth of M. lutheri and I. galbana was inhibited more than that of the other test organisms. This difference did not occur in media with excess Zn. After extended periods of subculture in sublethal concentrations of Cu and Cd, algae developed tolerances to metal concentrations that were inhibitory upon initial exposure. Strains of I. galbana adapted to grow in a medium with 10 mg% CuCl2 (47.3 ppm Cu) or 2.5 mg% CdCl2 (15.3 ppm Cd) were fed to laboratory-reared veliger larvae of the oyster C. virginica. These algal foods induced poor growth and high mortalities in grazing larvae. Pollution of estuarine waters with high concentrations of metals decreased primary productivity and altered algal species dominance. With continued exposure to sublethal concentrations, phytoplankters exhibited a limited increase in tolerance and adaptation to the metals. These populations were potentially toxic for grazing species at higher trophic levels.</t>
  </si>
  <si>
    <t>NOAA, NATL MARINE FISHERIES SERV, NE FISHERIES CTR, MILFORD LAB, MILFORD, CT 06460 USA.</t>
  </si>
  <si>
    <t>10.3354/meps007191</t>
  </si>
  <si>
    <t>NB844</t>
  </si>
  <si>
    <t>WOS:A1982NB84400009</t>
  </si>
  <si>
    <t>Varol, M; Sunbul, MR</t>
  </si>
  <si>
    <t>Varol, Memet; Sunbul, Muhammet Rasit</t>
  </si>
  <si>
    <t>Organochlorine pesticide, antibiotic and heavy metal residues in mussel, crayfish and fish species from a reservoir on the Euphrates River, Turkey</t>
  </si>
  <si>
    <t>Organochlorine pesticides; Antibiotics; Heavy metals; Biota; Keban dam reservoir; Food safety</t>
  </si>
  <si>
    <t>HUMAN HEALTH-RISK; POLYBROMINATED DIPHENYL ETHERS; POLYCHLORINATED-BIPHENYLS PCBS; TANDEM MASS-SPECTROMETRY; TRACE-METALS; EDIBLE FISH; TISSUE DISTRIBUTION; MARINE-ENVIRONMENT; CULTURED FISH; EAST CHINA</t>
  </si>
  <si>
    <t>This study investigated the residues of 19 organochlorine pesticides, 37 antibiotics and 5 heavy metals in biota samples (one mussel species, one crayfish species, six wild fish species and one farmed fish species) from the Keban Dam Reservoir on the Euphrates River, Turkey. Among monitored OCPs, only p,p'-DDE was detected in biota samples. It was found only in mussel, fish muscle and fish gill samples. The highest concentration of p,p'-DDE (0.032 mg/kg ww) was determined in the gill of common carp, which was found to be below the maximum residue limit (MRL). Only sulfadimethoxine was detected among antibiotics in biota samples. Its maximum concentration (0.0044 mg/kg ww) did not exceed the MRL of 0.1 mg/kg. Sulfadimethoxine was found only in muscle and gill of common carp collected from site S6, where there are many rainbow trout cage farms. However, no detectable residue of sulfadimethoxine was found in farmed rainbow trout. The highest concentrations of As, Cd and Pb were detected in mussels, while the highest concentrations Cu and Zn were determined in crayfish. Metal concentrations in biota samples did not exceed the maximum permissible levels. According to these results, the consumption of biota samples from the Keban Dam Reservoir is safe for human health. (C) 2017 Elsevier Ltd. All rights reserved.</t>
  </si>
  <si>
    <t>[Varol, Memet] Inonu Univ, Fac Fisheries, Dept Basic Aquat Sci, Malatya, Turkey; [Sunbul, Muhammet Rasit] Aquaculture Res Inst, Elazig, Turkey</t>
  </si>
  <si>
    <t>Inonu University</t>
  </si>
  <si>
    <t>Varol, M (corresponding author), Inonu Univ, Fac Fisheries, Dept Basic Aquat Sci, Malatya, Turkey.</t>
  </si>
  <si>
    <t>mvarol23@gmail.com; memet.varol@inonu.edu.tr</t>
  </si>
  <si>
    <t>Varol, Memet/F-6797-2013</t>
  </si>
  <si>
    <t>Varol, Memet/0000-0001-6475-0570</t>
  </si>
  <si>
    <t>Scientific Projects Coordination Department, Inonu University [2015/50]</t>
  </si>
  <si>
    <t>Scientific Projects Coordination Department, Inonu University</t>
  </si>
  <si>
    <t>This study was supported by Scientific Projects Coordination Department, Inonu University (Project Number: 2015/50). Special thanks are given to the anonymous reviewers and editor Prof. Maria Cristina Fossi for their constructive comments for improving the manuscript. We would also like to thank Ibrahim Tunik for his contribution to the revision of English of the manuscript.</t>
  </si>
  <si>
    <t>10.1016/J.envpol.2017.06.066</t>
  </si>
  <si>
    <t>FI8KG</t>
  </si>
  <si>
    <t>WOS:000412250900033</t>
  </si>
  <si>
    <t>Méndez, L; Palacios, E; Acosta, B; Monsalvo-Spencer, P; Alvarez-Castañeda, T</t>
  </si>
  <si>
    <t>Mendez, Lia; Palacios, Elena; Acosta, Baudillo; Monsalvo-Spencer, Pablo; Alvarez-Castaneda, Ticul</t>
  </si>
  <si>
    <t>Heavy metals in the clam Megapitaria squalida collected from wild and phosphorite mine-impacted sites in Baja California, Mexico -: Considerations for human health effects</t>
  </si>
  <si>
    <t>heavy metals; bivalves; clam; contamination; mollusk; nutrition; toxicology</t>
  </si>
  <si>
    <t>MUSSEL PERNA-VIRIDIS; TRACE-ELEMENTS; CADMIUM; COAST; BIOACCUMULATION; BIOAVAILABILITY; INDICATOR; SHELLFISH; POLLUTION; SOILS</t>
  </si>
  <si>
    <t>The chocolate clam Megapitaria squalida, is widely consumed by the population of several localities along the Pacific coast. Clams collected from seven stations in Bahia de la Paz, a bay within the Gulf of California, before and after the summer rainy season were analyzed for Pb, Ni, Cd, Mn, Zn, Cu, and Fe. The location of the sampling sites significantly affected the concentration of metals in clam tissues, but not in relation to the proximity to alleged contaminated sites. Clams from a site close to a phosphate mine had the highest levels of Pb, but only in April, and the hi-hest concentrations of Cd were recorded in clams collected in areas with no anthropogenic activities. Clams from sites considered clean had higher levels of Cd, Fe, Zn, and Mn. The mean concentrations (mu g/g dry weight) ranged from 0.1 to 7.8 for Pb, from 1.9 to 8.8 for Ni, from 1.5 to 11.1 for Cd, from 2.5 to 14.1 for Mn, from 47.2 to 64.6 for Zn, from 5.4 to 18.7 for Cu, and from 154 to 558 for Fe. Collecting clams in sites apparently pristine is no guarantee that metals will be in low concentrations.</t>
  </si>
  <si>
    <t>CIBNOR, La Paz 23090, Baja California, Mexico</t>
  </si>
  <si>
    <t>Méndez, L (corresponding author), CIBNOR, Mar Bermejo 195, La Paz 23090, Baja California, Mexico.</t>
  </si>
  <si>
    <t>Palacios, Elena/AAE-8240-2020; Mendez, Lia/AAF-2271-2020</t>
  </si>
  <si>
    <t>Palacios Mechetnov, Elena/0000-0002-3055-2880</t>
  </si>
  <si>
    <t>10.1385/BTER:110:3:275</t>
  </si>
  <si>
    <t>051DJ</t>
  </si>
  <si>
    <t>WOS:000238140600007</t>
  </si>
  <si>
    <t>Jupp, BP; Fowler, SW; Dobretsov, S; van der Wiele, H; Al-Ghafri, A</t>
  </si>
  <si>
    <t>Jupp, Barry P.; Fowler, Scott W.; Dobretsov, Sergey; van der Wiele, Henk; Al-Ghafri, Ahmed</t>
  </si>
  <si>
    <t>Assessment of heavy metal and petroleum hydrocarbon contamination in the Sultanate of Oman with emphasis on harbours, marinas, terminals and ports</t>
  </si>
  <si>
    <t>Heavy metals; TBT; Hydrocarbons; Sediments; Biota; Oman</t>
  </si>
  <si>
    <t>TRACE-METALS; SEDIMENTS; GULF; VICINITY; BIOTA; COAST; WAR</t>
  </si>
  <si>
    <t>The assessment here includes data on levels of contaminants (petroleum hydrocarbons and heavy metals) in sediments and biomonitor organisms, including the eulittoral rock oyster Saccostrea cucullata and subtidal biomonitors, the barnacle Balanus trigonus and the antipatharian coral Antipathes sp., at harbours, marinas, terminals and large ports along the coastline of Oman. TBT levels in harbour and port sediments up to a maximum of 100 ppb TBT dry weight are highlighted. Oysters contained concentrations up to 367 ppm mg TPH/kg dry weight. The maximum levels of Cd, Cu, Pb and Zn were found in the subtidal sediments and barnacles at the oil tanker loading Single Buoy Mooring stations in Mina Al Fahal. In general, the levels of most of the contaminants analysed are at low to moderate concentrations compared to those in highly contaminated sites such as shipyards and dry docks, but continued monitoring is recommended especially during any dredging campaigns.</t>
  </si>
  <si>
    <t>[Jupp, Barry P.] POB 389, Puerto Princesa 5300, Palawan, Philippines; [Fowler, Scott W.] 8 Allee Orangers, F-06320 Cap Dail, France; [Dobretsov, Sergey] Sultan Qaboos Univ, Dept Marine Sci &amp; Fisheries, POB 34, Al Khoud 123, Oman; [Dobretsov, Sergey] Sultan Qaboos Univ, Ctr Excellence Marine Biotechnol, POB 50, Al Khoud 123, Oman; [van der Wiele, Henk; Al-Ghafri, Ahmed] GEO Resources Consultants, POB 1127, Muscat 111, Oman</t>
  </si>
  <si>
    <t>Sultan Qaboos University; Sultan Qaboos University</t>
  </si>
  <si>
    <t>Jupp, BP (corresponding author), POB 389, Puerto Princesa 5300, Palawan, Philippines.;Dobretsov, S (corresponding author), Sultan Qaboos Univ, Dept Marine Sci &amp; Fisheries, POB 34, Al Khoud 123, Oman.</t>
  </si>
  <si>
    <t>drbpjupp@yahoo.co.uk; sergey@squ.edu.om</t>
  </si>
  <si>
    <t>Fowler, Scott/I-4663-2019; Dobretsov, Sergey/C-9733-2012</t>
  </si>
  <si>
    <t>Dobretsov, Sergey/0000-0002-1769-6388</t>
  </si>
  <si>
    <t>HM Sultan Qaboos Research Trust Fund [SR/AGR/FISH/10/01]</t>
  </si>
  <si>
    <t>HM Sultan Qaboos Research Trust Fund</t>
  </si>
  <si>
    <t>The authors acknowledge all who helped in the various projects. S.D. would like to acknowledge financial support by HM Sultan Qaboos Research Trust Fund (SR/AGR/FISH/10/01). We thank R. Jerez, surveyor at GRC for the production of Fig. 1. Special thanks go to Joe Fenech Conti (Datatrak Solutions Ltd., Malta), Martin Scicluna and Chariot Dimech (Loqus Group, Malta) for assistance in producing the kmz and kml files.</t>
  </si>
  <si>
    <t>10.1016/j.marpolbul.2017.05.015</t>
  </si>
  <si>
    <t>FD4VB</t>
  </si>
  <si>
    <t>WOS:000407529200040</t>
  </si>
  <si>
    <t>Visha, A; Gandhi, N; Bhavsar, SP; Arhonditsis, GB</t>
  </si>
  <si>
    <t>Visha, Ariola; Gandhi, Nilima; Bhavsar, Satyendra P.; Arhonditsis, George B.</t>
  </si>
  <si>
    <t>Assessing mercury contamination patterns of fish communities in the Laurentian Great Lakes: A Bayesian perspective</t>
  </si>
  <si>
    <t>TROUT SALVELINUS-NAMAYCUSH; WALLEYE SANDER-VITREUS; TEMPORAL TRENDS; ROUND GOBY; ORGANIC CONTAMINANTS; SURFICIAL SEDIMENTS; TROPHIC TRANSFER; ZEBRA MUSSEL; SPORT-FISH; FOOD-WEB</t>
  </si>
  <si>
    <t>We examine the spatio-temporal trends of mercury, a well-known global legacy contaminant, in eleven fish species across all of the Canadian Great Lakes. These particular fish species are selected based on their ecological, commercial, and recreational importance to the biodiversity and fishing industry of the Great Lakes. We present a two-pronged Bayesian methodological framework to rigorously assess mercury temporal trends across multiple fish species and locations. In the first part of our analysis, we develop dynamic linear models to delineate the total mercury levels and rates of change, while explicitly accounting for the covariance between fish length and mercury levels in fish tissues. We then use hierarchical modelling to evaluate the spatial variability of mercury contamination between nearshore and offshore locations, as well as to examine the hypothesis that invasive species have induced distinct shifts on fish mercury contamination trends. Our analysis suggests that the general pattern across the Great Lakes was that the elevated mercury concentrations during the 1970s had been subjected to a declining trend throughout the late 1980s/early 1990s, followed by a gradual stabilization after the late 1990s/early 2000s. The declining trend was more pronounced with top fish predators, whereas benthivorous fish species mainly underwent wax-and-wane cycles with a weaker evidence of a long-term declining trend. Historically contaminated regions, designated as Areas of Concern, and bays receiving riverine inputs are still characterized by mercury concentrations that can lead to consumption restrictions. Lake Erie displayed the lowest mercury levels across all the fish species examined. However, several species of commercial importance showed a reversing (increasing) trend in the 2000s, although their current levels do not pose any major concerns for consumption advisories. These recent trend reversals can be linked with systematic shifts in energy trophodynamics along with the food web alterations induced from the introduction of non-native species, and the potentially significant fluxes from the atmosphere. (C) 2018 Elsevier Ltd. All rights reserved.</t>
  </si>
  <si>
    <t>[Visha, Ariola; Gandhi, Nilima; Bhavsar, Satyendra P.; Arhonditsis, George B.] Univ Toronto, Dept Phys &amp; Environm Sci, Toronto, ON M1C 1A4, Canada; [Bhavsar, Satyendra P.] Ontario Minist Environm Conservat &amp; Pk, Toronto, ON M9P 3V6, Canada</t>
  </si>
  <si>
    <t>University of Toronto</t>
  </si>
  <si>
    <t>Arhonditsis, GB (corresponding author), Univ Toronto, Dept Phys &amp; Environm Sci, Toronto, ON M1C 1A4, Canada.</t>
  </si>
  <si>
    <t>georgea@utsc.utoronto.ca</t>
  </si>
  <si>
    <t>Arhonditsis, George/C-6980-2009</t>
  </si>
  <si>
    <t>Arhonditsis, George/0000-0001-5359-8737</t>
  </si>
  <si>
    <t>National Sciences and Engineering Research Council of Canada (NSERC); Ontario Graduate Scholarship (OGS) Program</t>
  </si>
  <si>
    <t>National Sciences and Engineering Research Council of Canada (NSERC)(Natural Sciences and Engineering Research Council of Canada (NSERC)); Ontario Graduate Scholarship (OGS) Program(Ontario Graduate Scholarship)</t>
  </si>
  <si>
    <t>Funding for this study was provided by the National Sciences and Engineering Research Council of Canada (NSERC) through a Discovery Grant (George Arhonditsis). Ariola Visha received additional funding support from the Ontario Graduate Scholarship (OGS) Program.</t>
  </si>
  <si>
    <t>10.1016/j.envpol.2018.07.070</t>
  </si>
  <si>
    <t>WOS:000449891800085</t>
  </si>
  <si>
    <t>Mahat, NA; Muktar, NK; Ismail, R; Razak, FIA; Wahab, RA; Keyon, ASA</t>
  </si>
  <si>
    <t>Mahat, Naji Arafat; Muktar, Nor Kamilah; Ismail, Razali; Razak, Fazira Ilyana Abdul; Wahab, Roswanira Abdul; Keyon, Aemi Syazwani Abdul</t>
  </si>
  <si>
    <t>Toxic metals in Perna viridis mussel and surface seawater in Pasir Gudang coastal area, Malaysia, and its health implications</t>
  </si>
  <si>
    <t>P; viridis mussel; Toxic metals; Risk assessment; Surface seawater; Flame atomic absorption spectrometry; Flow injection mercury; hydride system</t>
  </si>
  <si>
    <t>FRESH-WATER FISH; HEAVY-METALS; RISK-ASSESSMENT; ACCUMULATION; COPPER; QUANTIFICATION; TEMPERATURE; CONSUMPTION; MYTILIDAE; POLLUTION</t>
  </si>
  <si>
    <t>Contamination of toxic metals in P. viridis mussels has been prevalently reported; hence, health risk assessment for consuming this aquaculture product as well as the surrounding surface seawater at its harvesting sites appears relevant. Since Kampung Pasir Puteh, Pasir Gudang is the major harvesting site in Malaysia, and because the last heavy metal assessment was done in 2009, its current status remains unclear. Herein, flame atomic absorption spectrometry and flow injection mercury/hydride system were used to determine the concentrations of Pb, Cd, Cu and total Hg in P. viridis mussels and surface seawater (January-March 2015), respectively. Significantly higher concentrations of these metals were found in P. viridis mussels (p&lt;0.05) than that of surface seawater samples. The concentrations for Pb (4.27-6.55g/g) and Cd (1.55-2.21g/g) in P. viridis mussels exceeded the maximum permitted proportion prescribed by the Malaysian law. The concentrations of all metals in surface seawater also violated the Malaysia Marine Water Quality Criteria and Standards. Significant (p&lt;0.05) and high strength of association (r=0.787) observed between Pb concentration in P. viridis mussel with the surface seawater indicates its possible application for inferring Pb concentrations in the mussel. Since both the calculated target hazard quotient and hazard index for Pb and Cd exceeded 1, the possible detrimental health impacts on human for consuming P. viridis mussels from this rearing site cannot be ignored. Hence, promoting continuous monitoring programmes and developing efficient toxic metal removal techniques prior to entering the market are required.</t>
  </si>
  <si>
    <t>[Mahat, Naji Arafat; Muktar, Nor Kamilah; Ismail, Razali; Razak, Fazira Ilyana Abdul; Wahab, Roswanira Abdul; Keyon, Aemi Syazwani Abdul] Univ Teknol Malaysia, Fac Sci, Dept Chem, Johor Baharu 81310, Johor, Malaysia</t>
  </si>
  <si>
    <t>Universiti Teknologi Malaysia</t>
  </si>
  <si>
    <t>Mahat, NA; Keyon, ASA (corresponding author), Univ Teknol Malaysia, Fac Sci, Dept Chem, Johor Baharu 81310, Johor, Malaysia.</t>
  </si>
  <si>
    <t>naji@kimia.fs.utm.my; aemi@kimia.fs.utm.my</t>
  </si>
  <si>
    <t>MAHAT, NAJI/AAT-8875-2021; Ismail, Razali/A-1042-2013; Abdul Keyon, Aemi Syazwani/KGK-4372-2024; Wahab, Roswanira/AAB-6983-2020; abdul razak, fazira ilyana/F-7515-2015</t>
  </si>
  <si>
    <t>abdul razak, fazira ilyana/0000-0002-9013-5923; abdul keyon, aemi syazwani/0000-0003-1130-0167; Abdul Wahab, Roswanira/0000-0002-9982-6587</t>
  </si>
  <si>
    <t>Universiti Teknologi Malaysia [Q.J130000.2526.12H51, Q.J130000.2526.16H14]</t>
  </si>
  <si>
    <t>Universiti Teknologi Malaysia for provided research grants (Q.J130000.2526.12H51 and Q.J130000.2526.16H14).</t>
  </si>
  <si>
    <t>10.1007/s11356-018-3033-8</t>
  </si>
  <si>
    <t>GW3XZ</t>
  </si>
  <si>
    <t>WOS:000446844400044</t>
  </si>
  <si>
    <t>Zhou, YY; Jing, WX; Dahms, HU; Hwang, JS; Wang, L</t>
  </si>
  <si>
    <t>Zhou, Yanying; Jing, Weixin; Dahms, Hans-Uwe; Hwang, Jiang-Shiou; Wang, Lan</t>
  </si>
  <si>
    <t>Oxidative damage, ultrastructural alterations and gene expressions of hemocytes in the freshwater crab Sinopotamon henanense exposed to cadmium</t>
  </si>
  <si>
    <t>Oxidative damage; Ultrastructural alterations; Gene expressions; Cadmium; Sinopotamon henanense</t>
  </si>
  <si>
    <t>PROPHENOLOXIDASE-ACTIVATING SYSTEM; METALLOTHIONEIN MESSENGER-RNA; SCALLOP ARGOPECTEN-IRRADIANS; MOLECULAR-WEIGHT-CHITOSAN; BLACK TIGER SHRIMP; IMMUNE-RESPONSES; STRESS; APOPTOSIS; HEPATOPANCREAS; ACCUMULATION</t>
  </si>
  <si>
    <t>Toxicity of Cd was tested with the hemocytes of the freshwater crab, Sinopotamon henanense, which were exposed to concentrations of 0, 0.725, 1.450, and 2.900 mgL(-1) Cd for 7, 14 and 21 d. We investigated the effects of Cd on the total antioxidant capacity (TAC), and oxidative damage of biomarkers, such as malondialdehyde (MDA), protein carbonyl derivates (PCO), and DNA protein crosslink (DPC). Transmission electron microscopy (TEM) was applied to assess ultrastructural changes of hemocytes. The mRNA expression levels of prophenoloxidase (proPO), lysozyme (LSZ), metallothionein (MT), and the activity of phenoloxidase (PO) were also determined. Our results showed that TAC was inhibited by Cd, resulting in an increase of MDA contents, PCO contents, and DPC levels in hemocytes, respectively. Ultrastructural observations revealed that chromatin condensation, nucleus deformation, mitochondria' dilation, rough endoplasmatic reticulum (rER) degranulation and secondary or tertiary lysosomes were observed in hemocytes of crabs exposed to Cd. Meanwhile, the expression levels of proPO were down-regulated, while the activity of PO was up-regulated in hemocytes. The expression levels of LSZ and MT were up-regulated to some extent. Our findings suggest these parameters could be used as biomarkers in the monitoring of heavy metal pollution and quantitative risk assessments of pollutant exposure.</t>
  </si>
  <si>
    <t>[Zhou, Yanying; Jing, Weixin; Wang, Lan] Shanxi Univ, Coll Life Sci, Taiyuan 030006, Shanxi, Peoples R China; [Dahms, Hans-Uwe] Kaohsiung Med Univ, Dept Biomed Sci &amp; Environm Biol, Kaohsiung 80708, Taiwan; [Hwang, Jiang-Shiou] Natl Taiwan Ocean Univ, Inst Marine Biol, Keelung 20224, Taiwan; [Dahms, Hans-Uwe] Natl Sun Yat Sen Univ, Dept Marine Biotechnol &amp; Resources, 70,Lienhai Rd, Kaohsiung 80424, Taiwan</t>
  </si>
  <si>
    <t>Shanxi University; Kaohsiung Medical University; National Taiwan Ocean University; National Sun Yat Sen University</t>
  </si>
  <si>
    <t>jing, weixin/HNP-9599-2023</t>
  </si>
  <si>
    <t>National Natural Science Foundation of China [31272319]</t>
  </si>
  <si>
    <t>This work was supported by the National Natural Science Foundation of China (No. 31272319) to Lan Wang and the Hundred Talent Project of Shanxi Province in 2013 to Hans -Uwe Dahms.</t>
  </si>
  <si>
    <t>10.1016/j.ecoenv.2016.12.030</t>
  </si>
  <si>
    <t>EL4AF</t>
  </si>
  <si>
    <t>WOS:000394561600018</t>
  </si>
  <si>
    <t>Shiel, AE; Weis, D; Cossa, D; Orians, KJ</t>
  </si>
  <si>
    <t>Shiel, Alyssa E.; Weis, Dominique; Cossa, Daniel; Orians, Kristin J.</t>
  </si>
  <si>
    <t>Determining provenance of marine metal pollution in French bivalves using Cd, Zn and Pb isotopes</t>
  </si>
  <si>
    <t>GEOCHIMICA ET COSMOCHIMICA ACTA</t>
  </si>
  <si>
    <t>OYSTERS CRASSOSTREA-GIGAS; OLERON BAY FRANCE; CADMIUM CONCENTRATIONS; TEMPORAL VARIATIONS; TRACING CADMIUM; GIRONDE ESTUARY; GARONNE RIVER; LEAD ISOTOPES; SW FRANCE; ZINC</t>
  </si>
  <si>
    <t>Cadmium, Zn and Pb isotopic compositions (MC-ICP-MS) and elemental concentrations (HR-ICP-MS) have been used to distinguish between natural and anthropogenic sources of these metals in bivalves collected from the coastlines of France (English Channel, Atlantic and Mediterranean coasts). The Cd isotopic signatures (delta Cd-114 = -1.08 parts per thousand to -0.52 parts per thousand) exhibited by bivalves from the coastlines of France, excluding those from NE France, are within the range of those exhibited by bivalves from the USA East coast (delta Cd-114 = -1.20 parts per thousand to -0.54 parts per thousand). This indicates the high prevalence of industry, as well as the low natural contributions of Cd from North Atlantic waters in both regions. Thus, the significance of anthropogenic Cd sources is similar. These significant anthropogenic contributions are identified for bivalves with a large range in tissue Cd concentrations. Importantly, French bivalves from the Gironde estuary and Marennes-Oleron basin (regions of historic and modern importance for oyster farming, respectively) exhibited the highest Cd levels of the study. Their Cd isotopic signatures indicate historical smelting emissions remain the primary Cd source despite the cessation of local smelting activities in 1986 and subsequent remedial efforts. No significant variability is observed in the delta Zn-66 values of the French bivalves (similar to 0.53 parts per thousand), with the exception of the much heavier compositions exhibited by oysters from the polluted Gironde estuary (1.19-1.27 parts per thousand. Lead isotopes do not fractionate during processing like Cd and Zn. They can, therefore, be used to identify emissions from industrial processes and the consumption of unleaded gasoline and diesel fuel as metal sources to French bivalves. Cadmium and Zn isotopes are successfully used here as tracers of anthropogenic processing emissions and are combined with Pb isotope fingerprinting techniques to identify metal sources. (c) 2013 Elsevier Ltd. All rights reserved.</t>
  </si>
  <si>
    <t>[Shiel, Alyssa E.; Weis, Dominique; Orians, Kristin J.] Univ British Columbia, Pacific Ctr Isotop &amp; Geochem Res, Dept Earth &amp; Ocean Sci, Vancouver, BC V6T 1Z4, Canada; [Cossa, Daniel] IFREMER, Ctr Mediterranean Sea, F-83507 La Seyne Sur Mer, France</t>
  </si>
  <si>
    <t>University of British Columbia; Ifremer</t>
  </si>
  <si>
    <t>Shiel, AE (corresponding author), Univ Illinois, Dept Geol, 208 Nat Hist Bldg,1301 W Green St, Urbana, IL 61801 USA.</t>
  </si>
  <si>
    <t>ashiel@illinois.edu</t>
  </si>
  <si>
    <t>; Weis, Dominique/Q-7658-2016</t>
  </si>
  <si>
    <t>Orians, Kristin/0000-0002-3217-6778; Weis, Dominique/0000-0002-6638-5543</t>
  </si>
  <si>
    <t>NSERC; NSF ADVANCE [0620101, 0620087]; Direct For Education and Human Resources; Division Of Human Resource Development [0620087] Funding Source: National Science Foundation; Direct For Education and Human Resources; Division Of Human Resource Development [0620101] Funding Source: National Science Foundation</t>
  </si>
  <si>
    <t>NSERC(Natural Sciences and Engineering Research Council of Canada (NSERC)); NSF ADVANCE(National Science Foundation (NSF)NSF - Office of the Director (OD)); Direct For Education and Human Resources; Division Of Human Resource Development(National Science Foundation (NSF)NSF - Directorate for STEM Education (EDU)); Direct For Education and Human Resources; Division Of Human Resource Development(National Science Foundation (NSF)NSF - Directorate for STEM Education (EDU))</t>
  </si>
  <si>
    <t>We thank Didier Claisse at IFREMER for providing the bivalve samples. We are grateful to Jane Barling for her assistance with the Nu Plasma MC-ICP-MS and to Vivian Lai for her assistance with the ELEMENT2 HR-ICP-MS. We are greatly appreciative of the constructive reviews by three anonymous reviewers and to Claudine Stirling for editorial handling. This study was funded by NSERC Discovery grants to Dominique Weis and Kristin J. Orians. Alyssa E. Shiel also gratefully acknowledges support from NSF ADVANCE Grants 0620101 and 0620087.</t>
  </si>
  <si>
    <t>0016-7037</t>
  </si>
  <si>
    <t>1872-9533</t>
  </si>
  <si>
    <t>GEOCHIM COSMOCHIM AC</t>
  </si>
  <si>
    <t>Geochim. Cosmochim. Acta</t>
  </si>
  <si>
    <t>10.1016/j.gca.2013.07.005</t>
  </si>
  <si>
    <t>226ZR</t>
  </si>
  <si>
    <t>WOS:000325077100011</t>
  </si>
  <si>
    <t>Xu, YY; Wu, CH; Jin, JY; Tang, WH; Chen, YT; Chang, AK; Ying, XP</t>
  </si>
  <si>
    <t>Xu, Yiyuan; Wu, Chenghui; Jin, Jianyu; Tang, Wenhan; Chen, Yuting; Chang, Alan Kueichieh; Ying, Xueping</t>
  </si>
  <si>
    <t>Transcriptome Analysis and Identification of Cadmium-Induced Oxidative Stress Response Genes in Different Meretrix meretrix Developmental Stages</t>
  </si>
  <si>
    <t>ANIMALS</t>
  </si>
  <si>
    <t>cadmium; Meretrix meretrix larvae; transcriptome sequencing; oxidative stress</t>
  </si>
  <si>
    <t>MUSSELS MYTILUS-GALLOPROVINCIALIS; POLLUTION; ESTUARY; SHAPE; NRF2; RNA</t>
  </si>
  <si>
    <t>Cadmium (Cd) is one of the major pollutants in the aquatic environment, and it can easily accumulate in aquatic animals and result in toxic effects by changing the metabolism of the body, causing a serious impact on the immune system, reproductive system, and the development of offspring. The clam Meretrix meretrix is one of the commercially important species that is cultivated in large-scale aquaculture in China. To elucidate the underlying molecular mechanisms of Cd2+ in the developmental processes, fertilized eggs and larvae of M. meretrix at different developmental stages were exposed to Cd2+ (27.2 mg L-1 in natural seawater) or just natural seawater without Cd2+ (control), and high-throughput transcriptome sequencing and immunohistochemistry techniques were used to analyze the toxic effects of Cd on larvae at different early developmental stages. The results revealed 31,914 genes were differentially expressed in the different stages of M. meretrix development upon treatment with Cd2+. Ten of these genes were differentially expressed in all stages of development examined, but they comprised only six unigenes (CCO, Ndh, HPX, A2M, STF, and pro-C3), all of which were related to the oxidative stress response. Under Cd exposure, the expression levels of CCO and Ndh were significantly upregulated in D-shaped and pediveliger larvae, while pro-C3 expression was significantly upregulated in the fertilized egg, D-shaped larva, and pediveliger. Moreover, HPX, A2M, and STF expression levels in the fertilized egg and pediveliger larvae were also significantly upregulated. In contrast, CCO, Ndh, HPX, A2M, STF, and pro-C3 expression levels in the postlarva were all downregulated under Cd exposure. Besides the genes with changes in expression identified by the transcriptome, the expression of two other oxidative stress-related genes (MT and Nfr2) was also found to change significantly in the different developmental stages of M. meretrix upon Cd exposure, confirming their roles in combating oxidative stress. Overall, the findings of this study indicated that Cd would interfere with cellular respiration, ion transport, and immune response through inducing oxidative stress, and changes in the expression of oxidative stress-related genes might be an important step for M. meretrix to deal with the adverse effects of Cd at different stages of its development.</t>
  </si>
  <si>
    <t>[Xu, Yiyuan; Wu, Chenghui; Jin, Jianyu; Tang, Wenhan; Chen, Yuting; Chang, Alan Kueichieh; Ying, Xueping] Wenzhou Univ, Coll Life &amp; Environm Sci, Wenzhou 325035, Peoples R China; [Ying, Xueping] Wenzhou Univ, Natl &amp; Local Joint Engn Res Ctr, Ecol Treatment Technol Urban Water Pollut, Wenzhou 325035, Peoples R China</t>
  </si>
  <si>
    <t>Chang, AK; Ying, XP (corresponding author), Wenzhou Univ, Coll Life &amp; Environm Sci, Wenzhou 325035, Peoples R China.;Ying, XP (corresponding author), Wenzhou Univ, Natl &amp; Local Joint Engn Res Ctr, Ecol Treatment Technol Urban Water Pollut, Wenzhou 325035, Peoples R China.</t>
  </si>
  <si>
    <t>21451335051@stu.wzu.edu.cn; akcchang@163.com; xpying2008@wzu.edu.cn</t>
  </si>
  <si>
    <t>金, 建钰/JJC-7240-2023</t>
  </si>
  <si>
    <t>2076-2615</t>
  </si>
  <si>
    <t>ANIMALS-BASEL</t>
  </si>
  <si>
    <t>Animals</t>
  </si>
  <si>
    <t>10.3390/ani14020352</t>
  </si>
  <si>
    <t>Agriculture, Dairy &amp; Animal Science; Veterinary Sciences; Zoology</t>
  </si>
  <si>
    <t>Agriculture; Veterinary Sciences; Zoology</t>
  </si>
  <si>
    <t>GH1Z7</t>
  </si>
  <si>
    <t>WOS:001151698100001</t>
  </si>
  <si>
    <t>Strizak, Z; Ivankovic, D; Pröfrock, D; Helmholz, H; Cindric, AM; Erk, M; Prange, A</t>
  </si>
  <si>
    <t>Strizak, Zeljka; Ivankovic, Dusica; Proefrock, Daniel; Helmholz, Heike; Cindric, Ana-Marija; Erk, Marijana; Prange, Andreas</t>
  </si>
  <si>
    <t>Characterization of the cytosolic distribution of priority pollutant metals and metalloids in the digestive gland cytosol of marine mussels: Seasonal and spatial variability</t>
  </si>
  <si>
    <t>Mytilus galloprovincialis; Digestive gland cytosol; Trace elements; SE-HPLC-ICP-MS</t>
  </si>
  <si>
    <t>MYTILUS-GALLOPROVINCIALIS; LIQUID-CHROMATOGRAPHY; OXIDATIVE STRESS; METALLOTHIONEIN; LEAD; CADMIUM; BINDING; EXPRESSION; TOXICITY; EDULIS</t>
  </si>
  <si>
    <t>Cytosolic profiles of several priority pollutant metals (Cu, Cd, Zn, Pb) and metalloid As were analyzed in the digestive gland of the mussel (Mytilus galloproyincialis) sampled at locations with different environmental pollution levels along the Croatian coast in the spring and summer season. Size-exclusion chromatography (SEC) connected to inductively coupled plasma mass spectrometry (ICP-MS) was used to determine selected elements bound to cytosolic biomolecules separated based on their molecular size. Copper, cadmium and zinc eluted mostly associated with high molecular weight (HMW) and medium molecular weight (MMW) biomolecules, but with a more prominent elution in the MMW peak at polluted locations which were probably associated with the 20 kDa metallothionein (MT). Elution of all three metals within this peak was also strongly correlated with cytosolic Cd as strong inducer of MT. Lead mostly eluted in HMW biomolecule range, but in elevated cytosolic Pb concentrations, significant amount eluted in low molecular weight (LMW) biomolecules. Arsenic, on the other hand eluted almost completely in LMW range, but we could not distinguish specific molecular weight biomolecules which would be predominant in detoxification mechanism. Seasonal variability in element abundance within specific peaks was present, although not in the same extent, for all elements and locations, especially for As. The results confirm the suitability of the distribution of selected metals/metalloids among different cytosolic ligands as potential indicator for metal exposure. Obtained findings can also serve as guidelines for further separation and characterization of specific cytosolic metal-binding biomolecules. (c) 2013 Elsevier B.V. All rights reserved.</t>
  </si>
  <si>
    <t>[Strizak, Zeljka; Ivankovic, Dusica; Cindric, Ana-Marija; Erk, Marijana] Rudjer Boskovic Inst, Div Marine &amp; Environm Res, Zagreb 10002, Croatia; [Proefrock, Daniel; Helmholz, Heike; Prange, Andreas] Helmholtz Zentrum Geesthacht, Zentrum Mat &amp; Kustenforsch, Inst Coastal Res, D-21502 Geesthacht, Germany</t>
  </si>
  <si>
    <t>Rudjer Boskovic Institute; Helmholtz Association; Helmholtz-Zentrum Hereon</t>
  </si>
  <si>
    <t>Strizak, Z (corresponding author), Rudjer Boskovic Inst, Div Marine &amp; Environm Res, Bijenicka C 54, Zagreb 10002, Croatia.</t>
  </si>
  <si>
    <t>zstrizak@irb.hr; Dusica.lvankovic@irb.hr; daniel.proefrock@hzg.de; heike.helmholz@hzg.de; Ana-Marija.Cindric@irb.hr; erk@irb.hr; andreas.prange@hzg.de</t>
  </si>
  <si>
    <t>Helmholz, Heike/AAB-6193-2022; Cindric, Ana-Marija/ABD-3347-2020; Pröfrock, Daniel/P-8919-2019</t>
  </si>
  <si>
    <t>Cindric, Ana-Marija/0000-0002-4894-7952; Erk, Marijana/0000-0001-7221-5551; Ivankovic, Dusica/0000-0003-0349-7908</t>
  </si>
  <si>
    <t>Ministry of Science, Education and Sport of the Republic of Croatia [098-0982934-2721]; Deutscher Akademischer Austausch Dienst (DAAD) [50752021]</t>
  </si>
  <si>
    <t>Ministry of Science, Education and Sport of the Republic of Croatia(Ministry of Science, Education and Sports, Republic of Croatia); Deutscher Akademischer Austausch Dienst (DAAD)(Deutscher Akademischer Austausch Dienst (DAAD))</t>
  </si>
  <si>
    <t>The financial support by the Ministry of Science, Education and Sport of the Republic of Croatia (project no. 098-0982934-2721) and the Deutscher Akademischer Austausch Dienst (DAAD, project no. 50752021) is acknowledged. We wish to thank the anonymous reviewers whose useful suggestions improved the quality of this paper.</t>
  </si>
  <si>
    <t>FEB 1</t>
  </si>
  <si>
    <t>10.1016/j.scitotenv.2013.09.051</t>
  </si>
  <si>
    <t>AA9LS</t>
  </si>
  <si>
    <t>WOS:000331415600018</t>
  </si>
  <si>
    <t>Youssef, M; Otaibi, SA; El-Sorogy, AS</t>
  </si>
  <si>
    <t>Youssef, Mohamed; Otaibi, Sami Al; El-Sorogy, Abdelbaset S.</t>
  </si>
  <si>
    <t>Distribution, Source, and Contamination of Heavy Metals in Coastal Sediments of Jeddah, Red Sea, Saudi Arabia</t>
  </si>
  <si>
    <t>Heavy metals; Distribution; Contamination; Red sea; Jeddah; Saudi Arabia</t>
  </si>
  <si>
    <t>ECOLOGICAL RISK-ASSESSMENT; INTERTIDAL GASTROPOD; SURFACE SEDIMENTS; MARINE-SEDIMENTS; BIVALVE SHELLS; TARUT ISLAND; GULF; POLLUTION; AREA; COASTLINE</t>
  </si>
  <si>
    <t>The study investigates heavy metal (HM) contamination in coastal sediments of Jeddah along Red Sea coast, analyzing spatial distribution and sources. 24 samples underwent (ICP-AES) for Fe, Al, Mn, Ni, Pb, Zn, Cu, Cr, Co, Sr, V, and As. HM averages followed Fe &gt; Al &gt; Sr &gt; Mn &gt; Zn &gt; V &gt; Cu &gt; Ni &gt; Cr &gt; As &gt; Co &gt; Pb. Contamination indices revealed severe Sr enrichment, minor As and Co enrichment, and no enrichment for other HMs. Sediment quality guidelines suggest Ni, Cu, Zn, and As risks to benthic communities at some sites, while Cr and Pb pose minimal risk. Multivariate analysis indicates natural sources for Fe, Al, Mn, Ni, Zn, Cu, Cr, Co, and V, and anthropogenic sources for Sr, As, and Pb, linked to agriculture, industry, and urbanization. Increased Sr values may stem from seawater acidification impacting calcitic corals and molluscs.</t>
  </si>
  <si>
    <t>[Youssef, Mohamed; El-Sorogy, Abdelbaset S.] King Saud Univ, Coll Sci, Geol &amp; Geophys Dept, Riyadh, Saudi Arabia; [Otaibi, Sami Al] King Saud Univ, Coll Food &amp; Agr Sci, Dept Soil Sci, Riyadh, Saudi Arabia</t>
  </si>
  <si>
    <t>King Saud University; King Saud University</t>
  </si>
  <si>
    <t>Youssef, M (corresponding author), King Saud Univ, Coll Sci, Geol &amp; Geophys Dept, Riyadh, Saudi Arabia.</t>
  </si>
  <si>
    <t>myousefgeology@gmail.com</t>
  </si>
  <si>
    <t>King Saud University, Riyadh, Saudi Arabia [RSPD2024R1044]</t>
  </si>
  <si>
    <t>The authors extend their appreciation to Researchers Supporting Project number (RSPD2024R1044), King Saud University, Riyadh, Saudi Arabia. Moreover, the authors thank the anonymous reviewers for their valuable suggestions and constructive comments, and the editor to improve the quality of the manuscript.</t>
  </si>
  <si>
    <t>10.1007/s00128-024-03923-9</t>
  </si>
  <si>
    <t>ZA4H9</t>
  </si>
  <si>
    <t>WOS:001272552600002</t>
  </si>
  <si>
    <t>Stewart, BD; Jenkins, SR; Boig, C; Sinfield, C; Kennington, K; Brand, AR; Lart, W; Kröger, R</t>
  </si>
  <si>
    <t>Stewart, Bryce D.; Jenkins, Stuart R.; Boig, Charlotte; Sinfield, Catherine; Kennington, Kevin; Brand, Andrew R.; Lart, William; Kroger, Roland</t>
  </si>
  <si>
    <t>Metal pollution as a potential threat to shell strength and survival in marine bivalves</t>
  </si>
  <si>
    <t>Scallops; Shell strength; Biomineralization; Calcification; Fisheries; Ecotoxicology</t>
  </si>
  <si>
    <t>SCALLOP PECTEN-MAXIMUS; ISLE-OF-MAN; HEAVY-METALS; OCEAN ACIDIFICATION; MYTILUS-EDULIS; POPULATION; TOXICITY; FISHERY; MINERALIZATION; IMPURITIES</t>
  </si>
  <si>
    <t>Marine bivalve molluscs, such as scallops, mussels and oysters, are crucial components of coastal ecosystems, providing a range of ecosystem services, including a quarter of the world's seafood. Unfortunately, coastal marine areas often suffer from high levels of metals due to dumping and disturbance of contaminated material. We established that increased levels of metal pollution (zinc, copper and lead) in sediments near the Isle of Man, resulting from historical mining, strongly correlated with significant weakening of shell strength in king scallops, Pecten maximus. This weakness increased mortality during fishing and left individuals more exposed to predation. Comparative structural analysis revealed that shells from the contaminated area were thinner and exhibited a pronounced mineralisation disruption parallel to the shell surface within the foliated region of both the top and bottom valves. Our data suggest that these disruptions caused reduced fracture strength and hence increased mortality, even at subcritical contamination levels with respect to current international standards. This hitherto unreported effect is important since such non-apical responses rarely feed into environmental quality assessments, despite potentially significant implications for the survival of organisms exposed to contaminants. Hence our findings highlight the impact of metal pollution on shell mineralisation in bivalves and urge a reappraisal of currently accepted critical contamination levels. (C) 2020 The Authors. Published by Elsevier B.V.</t>
  </si>
  <si>
    <t>[Stewart, Bryce D.] Univ York, Dept Environm &amp; Geog, York, N Yorkshire, England; [Jenkins, Stuart R.] Bangor Univ, Sch Ocean Sci, Menai Bridge, Gwynedd, Wales; [Boig, Charlotte; Kroger, Roland] Univ York, Dept Phys, York, N Yorkshire, England; [Sinfield, Catherine] Mt Sinai Hosp, New York, NY 10029 USA; [Kennington, Kevin] Isle Man Govt, Dept Environm Food &amp; Agr, Isle Of Man, England; [Brand, Andrew R.] Univ Liverpool, Sch Environm Sci, Liverpool, Merseyside, England; [Lart, William] Sea Fish Ind Author, Grimsby, Scotland</t>
  </si>
  <si>
    <t>University of York - UK; Bangor University; University of York - UK; Icahn School of Medicine at Mount Sinai; University of Liverpool</t>
  </si>
  <si>
    <t>Stewart, BD (corresponding author), Univ York, Dept Environm &amp; Geog, York, N Yorkshire, England.;Kröger, R (corresponding author), Univ York, Dept Phys, York, N Yorkshire, England.</t>
  </si>
  <si>
    <t>bryce.beukers-stewart@york.ac.uk; roland.kroger@york.ac.uk</t>
  </si>
  <si>
    <t>Stewart, Bryce/ABC-2440-2021; Kröger, Roland/D-5321-2012</t>
  </si>
  <si>
    <t>Kroger, Roland/0000-0002-5070-0297; Stewart, Bryce Donald/0000-0001-5103-5041</t>
  </si>
  <si>
    <t>EU [FAIR CT98-4465]; Isle of Man Government; Nuffield Vacation Research Bursary; UK Engineering and Physical Sciences Research Council (EPSRC) [EP/I001514/1]; Material Interface with Biology (MIB) consortium; EPSRC [EP/I001514/1] Funding Source: UKRI</t>
  </si>
  <si>
    <t>EU(European Union (EU)); Isle of Man Government; Nuffield Vacation Research Bursary; UK Engineering and Physical Sciences Research Council (EPSRC)(UK Research &amp; Innovation (UKRI)Engineering &amp; Physical Sciences Research Council (EPSRC)); Material Interface with Biology (MIB) consortium; EPSRC(UK Research &amp; Innovation (UKRI)Engineering &amp; Physical Sciences Research Council (EPSRC))</t>
  </si>
  <si>
    <t>Funding: EU Project - ECODREDGE (FAIR CT98-4465); Isle of Man Government; Nuffield Vacation Research Bursary 2012/13 (CB). This work was further supported by the UK Engineering and Physical Sciences Research Council (EPSRC) (grant EP/I001514/1), funding the Material Interface with Biology (MIB) consortium (RK). We wish to thank all of the crew and volunteers on board the Isle of Man research, fishing and government vessels (the RV Roagan, FV De Bounty, FV Spaven Mor and FPV Barrule), especially Matthew Mosley and Belinda Vause, who helped collect scallop and sediment samples. We are also indebted to the Isle of Man College who provided access to an Instron Universal strength testing machine in 2004. Likewise, we wish to thank the Chemistry department at the University of York for providing access to the Tinius Olsen strength testing machine in 2013. Mark Hodson and Alistair Boxall provided comments on the manuscript.</t>
  </si>
  <si>
    <t>10.1016/j.scitotenv.2020.143019</t>
  </si>
  <si>
    <t>PH6RN</t>
  </si>
  <si>
    <t>Green Accepted, Green Published, hybrid</t>
  </si>
  <si>
    <t>WOS:000600537400045</t>
  </si>
  <si>
    <t>Hagner, C</t>
  </si>
  <si>
    <t>Regional and long-term patterns of lead concentrations in riverine, marine and terrestrial systems and humans in northwest Europe</t>
  </si>
  <si>
    <t>abiotic lead contamination; biotic lead contamination; fish; human blood lead level; marine system; mussel; riverine system; sediment core; suspended matter</t>
  </si>
  <si>
    <t>Lead contamination of abiotic and biotic systems has been studied closely since the early 1970s, when lead was first perceived as an environmental problem. Lead emission reduction policies were implemented throughout Europe during that time. Nonetheless, analyses of lead loads in aquatic systems, such as the River Elbe, showed no decline over time in either suspended matter or surface sediments. Regional differences in lead concentrations of fluvial, i.e. riverine systems were found, due to tidal influence, runoff and local emissions. Lead contamination of sediments from the North Sea was highest in estuaries. Concentrations in sediment cores were quite stable down to the depth of background values, due to bioturbation, flow, waves and meandering channels. Terrestrial soils in Europe were highly polluted in industrial and ore mining areas and large cities. No decline in lead concentrations was evident in foraminifera, bladder wrack or fish. It was found that contamination in sediments, mammals and fish livers was higher in coastal zones than in the open sea. In contrast to aquatic organisms, positive impacts of lead reduction regulations were detected in terrestrial plants, which adsorbed or took up lead mainly through atmospheric lead deposition. European lead concentrations in plants decreased coincidently with lead emissions. That trend could also be identified in the blood lead levels of the human population in Europe: since 1979 they have declined in every group of the population. Mainly influenced by age, sex and the living environment, overall, the lead loads of humans had never been high enough to cause health effects.</t>
  </si>
  <si>
    <t>GKSS Forschungszentrum Geesthacht GmbH, Inst Hydrophys, D-21502 Geesthacht, Germany</t>
  </si>
  <si>
    <t>Helmholtz Association; Helmholtz-Zentrum Hereon</t>
  </si>
  <si>
    <t>Hagner, C (corresponding author), GKSS Forschungszentrum Geesthacht GmbH, Inst Hydrophys, D-21502 Geesthacht, Germany.</t>
  </si>
  <si>
    <t>10.1023/A:1014191519871</t>
  </si>
  <si>
    <t>WOS:000173803800001</t>
  </si>
  <si>
    <t>Zhu, H; Xu, YY; Yan, BX; Guan, JN; Zhou, QW; Liang, YX</t>
  </si>
  <si>
    <t>Zhu, Hui; Xu, Yingying; Yan, Baixing; Guan, Jiunian; Zhou, Qingwei; Liang, Yinxiu</t>
  </si>
  <si>
    <t>Risk assessment of heavy metals contamination in sediment and aquatic animals in downstream waters affected by historical gold extraction in Northeast China</t>
  </si>
  <si>
    <t>gold field; heavy metals; index of geo-accumulation; fish consuming; target hazard quotient</t>
  </si>
  <si>
    <t>2ND SONGHUA RIVER; HEALTH-RISKS; SCALP HAIR; POLLUTION; IMPACT; AREA; ACCUMULATION; VEGETABLES; EXPOSURE; SYSTEM</t>
  </si>
  <si>
    <t>To assess the risk of heavy metals contamination on the aquatic ecosystem in downstream waters of a gold field in Northeast China, samples of sediment, fish, shrimp, and mussels were collected to determine heavy metals concentrations. According to I-geo, more attention should be given to Hg, Pb, and Cu pollution in sediment of Weisha River. For aquatic animals, the greatest contents of Hg, Cu, and Pb were found in samples collected from Weisha River, while the maximum values of Zn, Cd, and Cr were found in Hongshi Reservoir, Banmiao River, and Songhua Lake, respectively. The Hg and Pb contents in fish were found in the order of predatory fish &gt; omnivorous fish &gt; herbivorous fish, although for other metals no significant difference was observed among the three trophic levels. The contents of metals in Oriental river prawn and Chinese pond mussel were greater than that in fish, except for Pb. The Target Hazard Quotient and Hazard Index of metals showed that the Carnivorous and Omnivorous fish from Songhua Lake and Hongshi Reservoir, as well as all fish from Banmiao River and Weisha River, were not suitable for consuming in the view of the combined risk of all metals.</t>
  </si>
  <si>
    <t>[Zhu, Hui; Yan, Baixing; Guan, Jiunian; Zhou, Qingwei; Liang, Yinxiu] Chinese Acad Sci, Northeast Inst Geog &amp; Agroecol, Key Lab Wetland Ecol &amp; Environm, 4888 Shengbei St, Changchun 130102, Jilin Province, Peoples R China; [Xu, Yingying] Jilin Jianzhu Univ, Minist Educ, Key Lab Songliao Aquat Environm, Changchun, Jilin Province, Peoples R China</t>
  </si>
  <si>
    <t>Chinese Academy of Sciences; Northeast Institute of Geography &amp; Agroecology, CAS; Jilin Jianzhu University</t>
  </si>
  <si>
    <t>Zhu, H (corresponding author), Chinese Acad Sci, Northeast Inst Geog &amp; Agroecol, Key Lab Wetland Ecol &amp; Environm, 4888 Shengbei St, Changchun 130102, Jilin Province, Peoples R China.</t>
  </si>
  <si>
    <t>zhuhui@iga.ac.cn</t>
  </si>
  <si>
    <t>National Natural Science Foundation of China [41101470]</t>
  </si>
  <si>
    <t>The authors express their gratitude to the National Natural Science Foundation of China (No. 41101470) for funding the present work.</t>
  </si>
  <si>
    <t>APR 2</t>
  </si>
  <si>
    <t>10.1080/10807039.2015.1104626</t>
  </si>
  <si>
    <t>DG2RE</t>
  </si>
  <si>
    <t>WOS:000371914500008</t>
  </si>
  <si>
    <t>SADIQ, M; ALAM, IA; ZAIDI, TH</t>
  </si>
  <si>
    <t>CADMIUM BIOACCUMULATION BY CLAMS DWELLING IN DIFFERENT SALINITY REGIMES ALONG THE SAUDI COAST OF THE ARABIAN GULF</t>
  </si>
  <si>
    <t>CHEMICAL SPECIATION; HEAVY-METALS; MARINE; SEDIMENTS; ORGANISMS; TOXICITY</t>
  </si>
  <si>
    <t>The objective of this study was to investigate Cd bioaccumulation in clams living in different salinities. Several hundred clams (Maritrix maritrix) and sediment samples were collected during 1985-1986 from 12 locations on the Saudi coastal areas of the Arabian Gulf. Soft tissue from each clam was removed and digested in HNO3. Sediments were also digested in HNO3. Cadmium in the recently collected seawater samples was extracted using pyrrolidine carbodithioic acid-chloroform system. Cadmium in all the collected samples was determined using an inductively coupled argon plasma analyzer. Concentrations of Cd in the sediments varied insignificantly between 0.1 and 0.22 mg kg-1. Significant geographical variations in the mean Cd concentrations in clams (P &lt; 0.05) were found. Intrastation differences in Cd bioaccumulation were also significant. Correlation between biometric observations and Cd concentrations in clams was not significant (P &lt; 0.05). Seawater salinity was significantly (P &lt; 0.05) correlated to the mean Cd concentrations in clams and seawater. Cadmium accumulation in the clams was supported by the chemical behavior of Cd in seawater.</t>
  </si>
  <si>
    <t>KING FAHD UNIV PETR &amp; MINERALS, RES INST, DIV WATER RESOURCES &amp; ENVIRONM, DHAHRAN 31261, SAUDI ARABIA.</t>
  </si>
  <si>
    <t>57-8</t>
  </si>
  <si>
    <t>10.1007/BF00282881</t>
  </si>
  <si>
    <t>GP121</t>
  </si>
  <si>
    <t>WOS:A1991GP12100020</t>
  </si>
  <si>
    <t>Mallick, D; Kibria, G; Hossain, MMM; Lau, TC; Wu, RD</t>
  </si>
  <si>
    <t>Mallick, Debbrota; Kibria, Golam; Hossain, Md M. Maruf; Lau, T. C.; Wu, Rudolf</t>
  </si>
  <si>
    <t>A first field evaluation of heavy metals uptake by innovative artificial mussel (AM) technology versus live mussel (LM) from inshore of the Bay of Bengal, Bangladesh and the application of AM technology for global pollution study</t>
  </si>
  <si>
    <t>Artificial mussel; Live mussel; Perna viridis; Heavy metals; Chittagong; Bangladesh</t>
  </si>
  <si>
    <t>CONTAMINATION; WATER; VALIDATION; INDICATORS; ESTUARY; URANIUM</t>
  </si>
  <si>
    <t>The comparative application of innovative artificial mussel (AM) technology together with live mussel (LM) has yet to be performed in the coastal waters of Bangladesh. Here, we report the accumulation of targeted metals (Cd, Cu, Fe, Mn, Ni, Pb, U and Zn) in both AM and LM (Perna viridis) from inshore of the Bay of Bengal, Bangladesh. AMs and LMs were deployed in two sites (MaheshKhali Channel and Reju Khal mouth, Cox's Bazar district), in the Bay of Bengal, Bangladesh for this research study. Our data suggest that the uptake of Cu, Pb and Ni have correlated positively between AM and LM. The first equilibrium phase of metal uptake in AMs was achieved around day 7 for most of the metals, and the kinetics of uptake from day 0 to day 7 is descended as follows: Zn&gt;Fe&gt;Mn&gt;Ni&gt;U&gt;Cu&gt;Cd&gt;Pb. In contrast, the concentration of metals in LM has not been changed a lot from its background level and found highly enriched in Fe, Pb and U compared to AMs. The overall uptake patterns show that AM can provide precise and time-integrated metal concentrations without any biological influence associated with LMs. Based on our research, AM technology can be a good replacement for bioindicator (live mussel) to monitor heavy metals in waterways since a) all of our targeted metals were accumulated in both AM and LM; and b) both AM and LM show a similar metal uptake, in particular, the uptake of Cu, Pb, and Ni in AM was found positively correlated with LM.</t>
  </si>
  <si>
    <t>[Mallick, Debbrota] Univ S Alabama, Stokes Sch Marine &amp; Environm Sci, Mobile, AL 36688 USA; [Mallick, Debbrota] Dauphin Isl Sea Lab, Dauphin Isl, AL 36528 USA; [Kibria, Golam] RMIT Univ, Sch Sci, Ecotoxicol Res Grp, Melbourne, Australia; [Kibria, Golam] Global AM Pollut Watch Program, Melbourne, Australia; [Hossain, Md M. Maruf] Univ Chittagong, Fac Marine Sci &amp; Fisheries, Dept Marine Sci, Chittagong 4331, Bangladesh; [Lau, T. C.] City Univ Hong Kong, Dept Chem, Kowloon, Hong Kong, Peoples R China; [Wu, Rudolf] Educ Univ Hong Kong, Dept Sci &amp; Environm Studies, Ting Kok, Hong Kong, Peoples R China</t>
  </si>
  <si>
    <t>University of South Alabama; Dauphin Island Sea Lab; Royal Melbourne Institute of Technology (RMIT); University of Chittagong; City University of Hong Kong; Education University of Hong Kong (EdUHK)</t>
  </si>
  <si>
    <t>Mallick, D (corresponding author), Univ S Alabama, Stokes Sch Marine &amp; Environm Sci, Mobile, AL 36688 USA.;Kibria, G (corresponding author), RMIT Univ, Sch Sci, Ecotoxicol Res Grp, Melbourne, Australia.;Kibria, G (corresponding author), Global AM Pollut Watch Program, Melbourne, Australia.</t>
  </si>
  <si>
    <t>devmallick073@gmail.com; kibriagolam0@gmail.com</t>
  </si>
  <si>
    <t>University Grants Committee of the Hong Kong Special Administrative Region, China [AoE/P-04/04]; Food and Agriculture Organisation of the United Nations (FAO) /Bay of Bengal Large Marine Ecosystems (BoBLME) Project [FAOBGDLOA-0312014-031]</t>
  </si>
  <si>
    <t>University Grants Committee of the Hong Kong Special Administrative Region, China; Food and Agriculture Organisation of the United Nations (FAO) /Bay of Bengal Large Marine Ecosystems (BoBLME) Project</t>
  </si>
  <si>
    <t>The work described in this paper was partly supported by a grant from the University Grants Committee of the Hong Kong Special Administrative Region, China (AoE/P-04/04 supported AM supply and analysis, shipment of AM to and from Hong Kong). The rest of the field components including (deployment/retrieval, field, and other incidental costs, etc.) were supported by the Food and Agriculture Organisation of the United Nations (FAO) /Bay of Bengal Large Marine Ecosystems (BoBLME) Project supported project (FAOBGDLOA-0312014-031). The authors would also like to thank Tarikul Islam, Didarul Alam and Hillol Barua for their help during the field work (deployment and retrieval of AM and LM). Constructive comments by Associated Editor Seongjin Hong and anonymous reviewers are greatly appreciated.</t>
  </si>
  <si>
    <t>10.1016/j.rsma.2023.103337</t>
  </si>
  <si>
    <t>IH5L8</t>
  </si>
  <si>
    <t>WOS:001165449200001</t>
  </si>
  <si>
    <t>Renson, V; Glascock, MD</t>
  </si>
  <si>
    <t>Renson, Virginie; Glascock, Michael D.</t>
  </si>
  <si>
    <t>Lead Isotopes to Identify Underwater Ceramic Contamination: The Example of the Kyrenia Shipwreck (Cyprus)</t>
  </si>
  <si>
    <t>MINERALS</t>
  </si>
  <si>
    <t>lead isotopes; ceramics; shipwreck; seawater; weathering</t>
  </si>
  <si>
    <t>SEAWATER; POLLUTION; POTTERY; COAST; SHIP; PB; SPECIATION; BIVALVES; SITES; SEA</t>
  </si>
  <si>
    <t>We present the lead isotopic composition of ceramic fragments from the Kyrenia shipwreck (Cyprus), selected from three chemical groups related to the Rhodes and Alimos regions (Greece). Fragments of the lead sheathing covering the ship's hull and biogenic material formed on some of the ceramic sherds, were analyzed along with sherds from the Rhodes and Alimos source areas for comparison. The objective of this paper was to evaluate the impact of the seawater environment on the isotopic signature of the ceramics, and on our ability to use lead isotopes to source ceramics recovered from seawater. The results showed that the lead isotopic composition of the shipwreck ceramics was modified by its prolonged proximity to the lead hull sheathing. The lead signature of filtering marine organisms encrusted on the ceramics provided support for this hypothesis.</t>
  </si>
  <si>
    <t>[Renson, Virginie; Glascock, Michael D.] Univ Missouri, Res Reactor Ctr, Archaeometry Lab, 1513 Res Pk Dr, Columbia, MO 65211 USA</t>
  </si>
  <si>
    <t>University of Missouri System; University of Missouri Columbia</t>
  </si>
  <si>
    <t>Renson, V (corresponding author), Univ Missouri, Res Reactor Ctr, Archaeometry Lab, 1513 Res Pk Dr, Columbia, MO 65211 USA.</t>
  </si>
  <si>
    <t>rensonv@missouri.edu; glascockm@missouri.edu</t>
  </si>
  <si>
    <t>Glascock, Michael D./O-8951-2014</t>
  </si>
  <si>
    <t>Glascock, Michael D./0000-0003-0686-7556</t>
  </si>
  <si>
    <t>NATIONAL SCIENCE FOUNDATION [BCS-1912776, BCS-0922374]; BELGIAN AMERICAN EDUCATIONAL FOUNDATION</t>
  </si>
  <si>
    <t>NATIONAL SCIENCE FOUNDATION(National Science Foundation (NSF)); BELGIAN AMERICAN EDUCATIONAL FOUNDATION</t>
  </si>
  <si>
    <t>The Nu Plasma II acquisition was funded by the NATIONAL SCIENCE FOUNDATION (grant BCS-0922374). The Archaeometry Laboratory at MURR is supported by the NATIONAL SCIENCE FOUNDATION (grant BCS-1912776). V.R. was partly supported by a postdoctoral fellowship of the BELGIAN AMERICAN EDUCATIONAL FOUNDATION.</t>
  </si>
  <si>
    <t>2075-163X</t>
  </si>
  <si>
    <t>MINERALS-BASEL</t>
  </si>
  <si>
    <t>Minerals</t>
  </si>
  <si>
    <t>10.3390/min11060625</t>
  </si>
  <si>
    <t>Geochemistry &amp; Geophysics; Mineralogy; Mining &amp; Mineral Processing</t>
  </si>
  <si>
    <t>SY7XM</t>
  </si>
  <si>
    <t>WOS:000666096100001</t>
  </si>
  <si>
    <t>Dizman, S; Görür, FK; Keser, R</t>
  </si>
  <si>
    <t>Dizman, Serdar; Gorur, Filiz Korkmaz; Keser, Recep</t>
  </si>
  <si>
    <t>Assessment of human health risk from heavy metals levels in water and tissues of two trout species (Oncorhynchus mykiss and Salmo coruhensis) from the Frtna and Guneysu Rivers in Turkey</t>
  </si>
  <si>
    <t>TOXIN REVIEWS</t>
  </si>
  <si>
    <t>Fish; heavy metals; water; daily intake; food safety; THQ</t>
  </si>
  <si>
    <t>TRACE-METALS; FISH; ELEMENTS; ACCUMULATION; POLLUTION; SEDIMENT; MUSSELS; MUSCLE; LIVER; SEA</t>
  </si>
  <si>
    <t>Human health risks were evaluated from consumption of heavy metal contaminated fish from the Firtina and Guneysu Rivers in Rize. The study was aimed to assess heavy metal load in water and two fish species. The potential human health risk due to consumption of Oncorhynchus mykiss and Salmo coruhensis was assessed by estimating average daily intake (EDI), target hazard quotient (THQ) and hazard index (HI) of metals. Our results showed that the levels of heavy metals in both water and two fish species are lower than the acceptable limit recommended by Food and Agricultural Organization (FAO) and World Health Organization (WHO).</t>
  </si>
  <si>
    <t>[Dizman, Serdar; Keser, Recep] Recep Tayyip Erdogan Univ, Dept Phys, Rize, Turkey; [Gorur, Filiz Korkmaz] Abant Izzet Baysal Univ, Dept Phys, TR-14280 Bolu, Turkey</t>
  </si>
  <si>
    <t>Recep Tayyip Erdogan University; Abant Izzet Baysal University</t>
  </si>
  <si>
    <t>Görür, FK (corresponding author), Abant Izzet Baysal Univ, Dept Phys, TR-14280 Bolu, Turkey.</t>
  </si>
  <si>
    <t>filizkorkmaz@yahoo.com</t>
  </si>
  <si>
    <t>Görür, Filiz/AAG-4348-2019; KESER, Recep/JQW-8075-2023; Dizman, Serdar/I-8638-2019</t>
  </si>
  <si>
    <t>Dizman, Serdar/0000-0002-6511-9526</t>
  </si>
  <si>
    <t>1556-9543</t>
  </si>
  <si>
    <t>1556-9551</t>
  </si>
  <si>
    <t>TOXIN REV</t>
  </si>
  <si>
    <t>Toxin Rev.</t>
  </si>
  <si>
    <t>10.1080/15569543.2017.1312452</t>
  </si>
  <si>
    <t>FO2KR</t>
  </si>
  <si>
    <t>WOS:000416606800008</t>
  </si>
  <si>
    <t>Hauser-Davis, RA; Bordon, ICAC; Oliveira, TF; Ziolli, RL</t>
  </si>
  <si>
    <t>Hauser-Davis, Rachel Ann; Bordon, Isabella C. A. C.; Oliveira, Terezinha F.; Ziolli, Roberta Lourenco</t>
  </si>
  <si>
    <t>Metal bioaccumulation in edible target tissues of mullet (Mugil liza) from a tropical bay in Southeastern Brazil</t>
  </si>
  <si>
    <t>Metals; Human risk assessment; Mullet; Southeastern Brazil; Tropical bay; Environmental monitoring</t>
  </si>
  <si>
    <t>GUANABARA BAY; FISH; POLLUTION; EXPOSURE; MUSSELS; HEALTH</t>
  </si>
  <si>
    <t>The present study aimed to investigate metal bioaccumulation in mullet (M. liza) from a tropical bay located in Southeastern Brazil, comparing a previously considered reference site to a known contaminated area of the bay, as well as to conduct human health risk assessments with regard to the consumption of this species. The metal concentrations were compared to the maximum residue level (MRL) in foods established by the different national and international regulatory agencies, and the Provisional Tolerable Daily Intake (PTDI) was determined and compared to reference values. Chromium (Cr), Zinc (Zn), Copper (Cu), Manganese (Mn), Nickel (Ni), Cadmium (Cd) and Lead (Pb) concentrations were determined in the gills, muscle and liver of 28 mullet by ICP-MS after acid digestion. Certain metals exceeded MRL guidelines established by different regulatory agencies, indicating human health risks associated to these metals. PTDI values, however, did not exceed corresponding metal values proposed by the World Health Organization. The metal concentrations found in the mullet samples indicate that the previously considered reference site is now showing signs of anthropogenic contamination. (C) 2016 Elsevier GmbH. All rights reserved.</t>
  </si>
  <si>
    <t>[Hauser-Davis, Rachel Ann] Univ Fed Estado Rio De Janeiro UNIRIO, Posgrad Ciencias Biol Biodiversidade Neotrop, Av Pasteur 458, BR-22290240 Rio De Janeiro, RJ, Brazil; [Bordon, Isabella C. A. C.] UNESP, Campus Litoral Paulista Praca Infante Dom Henriqu, BR-11330900 Sao Vicente, SP, Brazil; [Oliveira, Terezinha F.; Ziolli, Roberta Lourenco] UFPA, Inst Ciencias Exatas &amp; Nat, Fac Estat, Rua Augusto Correa 01, BR-66075110 Belem, PA, Brazil; [Oliveira, Terezinha F.; Ziolli, Roberta Lourenco] UFPA, Inst Ciencias Exatas &amp; Nat, Fac Ciencias Comp, Rua Augusto Correa 01, BR-66075110 Belem, PA, Brazil</t>
  </si>
  <si>
    <t>Universidade Federal do Estado do Rio de Janeiro; Universidade Estadual Paulista; Universidade Federal do Para; Universidade Federal do Para</t>
  </si>
  <si>
    <t>Hauser-Davis, RA (corresponding author), Univ Fed Estado Rio De Janeiro UNIRIO, Posgrad Ciencias Biol Biodiversidade Neotrop, Av Pasteur 458, BR-22290240 Rio De Janeiro, RJ, Brazil.</t>
  </si>
  <si>
    <t>rachel.hauser.davis@gmail.com</t>
  </si>
  <si>
    <t>Hauser-Davis, Rachel/C-7970-2013; Bordon, Isabella/F-7028-2012</t>
  </si>
  <si>
    <t>Oliveira, Terezinha/0000-0002-9841-7378; Hauser-Davis, Rachel/0000-0002-9451-471X; Bordon, Isabella/0000-0001-9413-8227</t>
  </si>
  <si>
    <t>Brazilian National Counsel of Technological and Scientific Development - CNPq</t>
  </si>
  <si>
    <t>Brazilian National Counsel of Technological and Scientific Development - CNPq(Conselho Nacional de Desenvolvimento Cientifico e Tecnologico (CNPQ))</t>
  </si>
  <si>
    <t>R.A. Hauser-Davis would like to thank the Brazilian National Counsel of Technological and Scientific Development - CNPq - for her doctorate scholarship. Special thanks go to Gabriella Marques de Campos and Raquel Lavradas for their technical support in the. ICP-MS analyses and fish dissections, respectively.</t>
  </si>
  <si>
    <t>ELSEVIER GMBH, URBAN &amp; FISCHER VERLAG</t>
  </si>
  <si>
    <t>JENA</t>
  </si>
  <si>
    <t>OFFICE JENA, P O BOX 100537, 07705 JENA, GERMANY</t>
  </si>
  <si>
    <t>10.1016/j.jtemb.2016.03.016</t>
  </si>
  <si>
    <t>DQ7EB</t>
  </si>
  <si>
    <t>WOS:000379368600006</t>
  </si>
  <si>
    <t>Green-Ruiz, C; Ruelas-Inzunza, J; Páez-Osuna, F</t>
  </si>
  <si>
    <t>Mercury in surface sediments and benthic organisms from Guaymas Bay, east coast of the Gulf of California</t>
  </si>
  <si>
    <t>accumulation factor; clam; enrichment factor; geoaccumulation index; macroalgae; oyster; sediments</t>
  </si>
  <si>
    <t>LA-PAZ LAGOON; BAJA-CALIFORNIA; HEAVY-METALS; MARINE-SEDIMENTS; MEXICO; CONTAMINATION; MACROALGAE; POLLUTION; SEA; BIOACCUMULATION</t>
  </si>
  <si>
    <t>In order to know the concentration of mercury in surface sediments, macroalgae and clams from Guaymas Bay, Mexico, 20 surface sediment samples and several individuals of Codium amplivesciculatum (3), Enteromorpha clathrata (4), Gracilaria subsecundata (2), Ulva lactuca (2), Chione subrugosa (80) and Crassostrea gigas (40) were collected and their Hg concentration was measured by a cold vapor Hg analyzer, after acid digestion. In addition, granulometric analysis and quantification of total organic carbon, aluminum, iron and manganese contents in sediments were performed. A Pearsons correlation matrix was determined and, the enrichment factor, the geoaccumulation index and the biota-sediment accumulation factor were calculated. Mercury concentrations in sediments ranged from 0.3 to 2.3 mu g g(-1), with the central and northern portions showing the highest values. Macroalgae had a content of Hg that oscillated from 0.058 to 0.134 mu g g(-1), while the average concentrations of this metal for clams and oysters were 0.063 and 0.230 mu g g(-1), respectively. A clear effect of Guaymas City and the anthropogenic activities carried out around the Guaymas Bay has been observed and the enrichment factor and the geochemical index suggest that sediments from this coastal ecosystem are moderately to strongly contaminated with Hg. However, according to the figure of the maximum human consumption of Hg per week recommended by the World Health Organization, people can ingest clams without risk to their health.</t>
  </si>
  <si>
    <t>Univ Nacl Autonoma Mexico, Inst Marine Sci &amp; Limnol, Mazatlan Acad Unit, Mazatlan 82000, Sinaola, Mexico; Technol Inst Sea, Mazatlan 82000, Sinaola, Mexico</t>
  </si>
  <si>
    <t>Univ Nacl Autonoma Mexico, Inst Marine Sci &amp; Limnol, Mazatlan Acad Unit, Av Joel Montes Camarena S-N,Col Ctr, Mazatlan 82000, Sinaola, Mexico.</t>
  </si>
  <si>
    <t>cgreen@ola.icmyl.unam.mx</t>
  </si>
  <si>
    <t>10.1007/s10653-004-5741-x</t>
  </si>
  <si>
    <t>947DY</t>
  </si>
  <si>
    <t>WOS:000230624800005</t>
  </si>
  <si>
    <t>Gaete, H; Guerra, R; Espinoza, P; Fernández, D</t>
  </si>
  <si>
    <t>Gaete, Hernan; Guerra, Rosa; Espinoza, Patricio; Fernandez, Daniel</t>
  </si>
  <si>
    <t>Lysosomal Membrane Stability in Hemocytes and Micronuclei in Gills of Perumytilus purpuratus Lamarck 1819 (Bivalvia: Mytilidae) Exposed to Copper</t>
  </si>
  <si>
    <t>Copper; Hemocytes; Cytotoxicity; Micronucleus</t>
  </si>
  <si>
    <t>NEUTRAL RED RETENTION; SAN-JORGE BAY; MYTILUS-GALLOPROVINCIALIS; GENOTOXICITY BIOMARKERS; NUCLEAR ABNORMALITIES; MUSSEL; INDUCTION; POLLUTION; ANTOFAGASTA; POPULATIONS</t>
  </si>
  <si>
    <t>The aim of this study was to determine the cytotoxic and genotoxic effects of copper on the bivalve Perumytilus purpuratus. The individuals were exposed to three copper concentrations: 1, 30 and 45 mu g L-1 for 24, 48 and 96 h. Lysosomal membrane stability in hemocytes was determined through the neutral red retention time (NRRT) and micronucleus (MN) frequency tests in hemocytes and gills. The results show that the NRRT decreased significantly at 30 mu g L-1 after 48 h of exposure. The frequency of MN was significantly greater in gills after 24 h in all concentrations tested. Copper is cytotoxic from 30 mu g L-1 and genotoxic from 1 mu g L-1. The use of these biomarkers of effects in P. purpuratus is proposed as an early warning tool for monitoring in environmental assessment of coastal ecosystems impacted by mining activities.</t>
  </si>
  <si>
    <t>[Gaete, Hernan; Espinoza, Patricio; Fernandez, Daniel] Univ Valparaiso, Fac Ingn, Escuela Ingn Medioambiente, Av Brasil 2140, Valparaiso, Chile; [Gaete, Hernan] Univ Valparaiso, Ctr Invest &amp; Gest Recursos Nat CIGREN, Av Gran Bretana 1111, Valparaiso, Chile; [Guerra, Rosa] Univ Valparaiso, Fac Ciencias, Inst Biol, Av Gran Bretana 1111, Valparaiso, Chile</t>
  </si>
  <si>
    <t>Universidad de Valparaiso; Universidad de Valparaiso; Universidad de Valparaiso</t>
  </si>
  <si>
    <t>Gaete, H (corresponding author), Univ Valparaiso, Fac Ingn, Escuela Ingn Medioambiente, Av Brasil 2140, Valparaiso, Chile.;Gaete, H (corresponding author), Univ Valparaiso, Ctr Invest &amp; Gest Recursos Nat CIGREN, Av Gran Bretana 1111, Valparaiso, Chile.</t>
  </si>
  <si>
    <t>hernan.gaete@uv.cl</t>
  </si>
  <si>
    <t>Direction of Research DIUV, Universidad de Valparaiso, Chile</t>
  </si>
  <si>
    <t>The study was funded by Direction of Research DIUV, Universidad de Valparaiso, Chile.</t>
  </si>
  <si>
    <t>10.1007/s00128-019-02737-4</t>
  </si>
  <si>
    <t>NOV 2019</t>
  </si>
  <si>
    <t>JM6IM</t>
  </si>
  <si>
    <t>WOS:000493629000001</t>
  </si>
  <si>
    <t>Ruiz, MD; Iriel, A; Yusseppone, MS; Ortiz, N; Di Salvatore, P; Cirelli, AF; de Molina, MCR; Calcagno, JA; Sabatini, SE</t>
  </si>
  <si>
    <t>Ruiz, M. D.; Iriel, A.; Yusseppone, M. S.; Ortiz, N.; Di Salvatore, P.; Fernandez Cirelli, A.; Rios de Molina, M. C.; Calcagno, J. A.; Sabatini, S. E.</t>
  </si>
  <si>
    <t>Trace metals and oxidative status in soft tissues of caged mussels (Aulacomya atra) on the North Patagonian coastline</t>
  </si>
  <si>
    <t>Transplanted mussels; Metal bioaccumulation; Lipid peroxidation; ROS; TOSC; Antioxidant system</t>
  </si>
  <si>
    <t>MYTILUS-GALLOPROVINCIALIS; HEAVY-METALS; LIPID-PEROXIDATION; STRESS RESPONSES; DIGESTIVE GLAND; ENVIRONMENTAL-POLLUTION; SUPEROXIDE-DISMUTASE; SCAVENGING CAPACITY; ANTIOXIDANT ENZYMES; AQUATIC ORGANISMS</t>
  </si>
  <si>
    <t>This study investigated metal accumulation and oxidative effects in mantle, gill and digestive gland of the ribbed mussel Aulacomya atra from the Argentinean North Patagonian coastline. Mussels were transplanted over an 18-month period from a site with low anthropogenic impact to a harbor site with higher seawater concentration of aluminum, chromium, copper, manganese, nickel and zinc. Total trace metal concentration in seawater did not change throughout the 18-month transplant in either site. A. atra bioaccumulated metals in digestive gland, gills and mantle at different levels. Digestive gland had the highest concentration of metals, especially towards the end of the transplant experiment in the harbor area. Mussels transplanted to the harbor site experienced an upregulation in their antioxidant system, which likely explains the lack of oxidative damage to lipids despite higher metal accumulation. These results demonstrate that A. atra selectively accumulates metals from the water column and their prooxidant effects depend on the tissue antioxidant defenses and the exposure time.</t>
  </si>
  <si>
    <t>[Ruiz, M. D.] Consejo Nacl Invest Cient &amp; Tecn, Inst Ciencia &amp; Tecnol Dr Cesar Milstein, Saladillo 2468,C144OFFX, Buenos Aires, DF, Argentina; [Iriel, A.; Fernandez Cirelli, A.] Univ Buenos Aires, Fac Ciencias Vet, Inst Invest Prod Anim, INPA,UBA CONICET,CETA, Av Chorroarin 280,C1427CWO, Buenos Aires, DF, Argentina; [Yusseppone, M. S.] UNMDP, CONICET, IIMyC, CC 1260 Correo Cent B7600WAG, Mar Del Plata, Buenos Aires, Argentina; [Ortiz, N.] IBIOMAR CCT CONICET CENPAT, Inst Biol Organismos Marinos, Blvd Brown 2915, RA-9120 Puerto Madryn, Argentina; [Ortiz, N.] Univ Tecnol Nacl, Fac Reg Chubut, Av Trabajo 1536, RA-9120 Puerto Madryn, Argentina; [Di Salvatore, P.] Consejo Nacl Invest Cient &amp; Tecn, CADIC, Houssay 200,V9410CAB, Ushuaia, Argentina; [Rios de Molina, M. C.; Sabatini, S. E.] Univ Buenos Aires, Fac Ciencias Exactas &amp; Nat, Dept Quim Biol, Pab 2,Intendente Guiraldes 2160,C1428EHA, Buenos Aires, DF, Argentina; [Rios de Molina, M. C.; Sabatini, S. E.] Univ Buenos Aires, CONICET, Inst Quim Biol, Fac Ciencias Exactas &amp; Nat IQUIBICEN, Pab 2,Intendente Guiraldes 2160,C1428EHA, Buenos Aires, DF, Argentina; [Calcagno, J. A.] Univ Maimonides, CEBBAD, Dept Ciencias Nat &amp; Antropol, Hidalgo 775,C1405BCK, Buenos Aires, DF, Argentina; [Calcagno, J. A.] Consejo Nacl Invest Cient &amp; Tecn, Buenos Aires, DF, Argentina; [Sabatini, S. E.] Univ Buenos Aires, Fac Ciencias Exactas &amp; Nat, Dept Biodiversidad &amp; Biol Expt, Pab 2,Intendente Guiraldes 2160,C1428EHA, Buenos Aires, DF, Argentina</t>
  </si>
  <si>
    <t>Consejo Nacional de Investigaciones Cientificas y Tecnicas (CONICET); Consejo Nacional de Investigaciones Cientificas y Tecnicas (CONICET); University of Buenos Aires; Consejo Nacional de Investigaciones Cientificas y Tecnicas (CONICET); National University of Mar del Plata; Centro Nacional Patagonico (CENPAT); Consejo Nacional de Investigaciones Cientificas y Tecnicas (CONICET); University of Buenos Aires; Consejo Nacional de Investigaciones Cientificas y Tecnicas (CONICET); University of Buenos Aires; Consejo Nacional de Investigaciones Cientificas y Tecnicas (CONICET); University of Buenos Aires</t>
  </si>
  <si>
    <t>Sabatini, SE (corresponding author), Univ Buenos Aires, Fac Ciencias Exactas &amp; Nat, Dept Quim Biol, Lab Enzimol Estres &amp; Metab,IQUIBICEN, Pab 2,Intendente Guiraldes 2160,C1428EHA, Buenos Aires, DF, Argentina.</t>
  </si>
  <si>
    <t>Di Salvatore, Pablo/0000-0002-7447-2727; Ortiz, Nicolas/0000-0003-0872-1788</t>
  </si>
  <si>
    <t>UBACYT [20020100300055, 20020100100985]; ANPCYT [PICT-2010-0260]</t>
  </si>
  <si>
    <t>UBACYT; ANPCYT(ANPCyT)</t>
  </si>
  <si>
    <t>This work was supported by grants: UBACYT 20020100300055 and ANPCYT PICT-2010-0260 to SES, UBACYT 20020100100985 to MCRM.</t>
  </si>
  <si>
    <t>10.1016/j.ecoenv.2018.02.064</t>
  </si>
  <si>
    <t>GB1UA</t>
  </si>
  <si>
    <t>WOS:000428834500019</t>
  </si>
  <si>
    <t>Menezes, RM; Oliveira, RV; de Oliveira, DM; Lemos, VA</t>
  </si>
  <si>
    <t>Menezes, Rebeca Moraes; Oliveira, Rafael Vasconcelos; de Oliveira, Djalma Menezes; Lemos, Valfredo Azevedo</t>
  </si>
  <si>
    <t>A Method Using Liquid-Liquid Microextraction in a Dynamic System for Preconcentration and Determination of Lead in Food Samples</t>
  </si>
  <si>
    <t>Preconcentration; Liquid-liquid microextraction; Lead; Spectrophotometry; Shrimp; Oyster</t>
  </si>
  <si>
    <t>SINGLE-DROP MICROEXTRACTION; PHASE MICROEXTRACTION; BIOLOGICAL SAMPLES; MICRO-EXTRACTION; NATURAL-WATERS; COPPER(II); SEPARATION; MANGANESE; IONS; RIVER</t>
  </si>
  <si>
    <t>In this paper, a method using liquid-liquid microextraction in a dynamic system combined with spectrophotometry was developed for preconcentration and determination of lead in samples of shrimp and oyster. In the procedure, a system is proposed in which the organic drop is maintained at the bottom of a glass tube, with the passage of a stream of aqueous solution, avoiding the use of a microsyringe. The method is based on the transfer of metal species present in the aqueous phase in the form of complexes with the ligand 2-(5-bromo-2-pyridylazo)-5-dimethylaminophenol (5-Br-PADAP) to the organic phase trichloroethylene. Experimental conditions, such as sample flow rate, concentration of the complexing reagent, extraction solvent, time of extraction, and pH, were optimized. Under optimized conditions, the limit of detection and quantification obtained were 0.48 and 1.60 mu g L-1, respectively. The accuracy was evaluated by the determination of lead in the certified reference material BCR-414, Plankton. The procedure was applied to the determination of lead in samples of shellfish, with recoveries ranging from 92 to 103 %. The method enabled a fast, accurate, and simple alternative for the determination of lead in seafood samples.</t>
  </si>
  <si>
    <t>[Menezes, Rebeca Moraes; Oliveira, Rafael Vasconcelos; Lemos, Valfredo Azevedo] Univ Estadual Sudoeste Bahia, LQA, Campus Jequie, BR-45208091 Jequie, BA, Brazil; [Menezes, Rebeca Moraes; Oliveira, Rafael Vasconcelos] Univ Fed Bahia, Inst Quim, Dept Quim Analit, Campus Univ Ondina, BR-40170280 Salvador, BA, Brazil; [Oliveira, Rafael Vasconcelos] Inst Fed Educ Ciencia &amp; Tecnol Bahia, Campus Irece, BR-44900000 Irece, BA, Brazil</t>
  </si>
  <si>
    <t>Universidade Estadual do Sudoeste da Bahia; Universidade Federal da Bahia; Instituto Federal da Bahia (IFBA)</t>
  </si>
  <si>
    <t>Lemos, VA (corresponding author), Univ Estadual Sudoeste Bahia, LQA, Campus Jequie, BR-45208091 Jequie, BA, Brazil.</t>
  </si>
  <si>
    <t>vlemos@uesb.edu.br</t>
  </si>
  <si>
    <t>LEMOS, VALFREDO/I-7647-2014; de Oliveira, Djalma/A-1824-2012</t>
  </si>
  <si>
    <t>de Oliveira, Djalma/0000-0002-7765-9853; LEMOS, VALFREDO/0000-0002-6029-3218</t>
  </si>
  <si>
    <t>Conselho Nacional de Desenvolvimento Cientifico e Tecnologico (CNPq); Fundacao de Amparo a Pesquisa do Estado da Bahia (FAPESB)</t>
  </si>
  <si>
    <t>Conselho Nacional de Desenvolvimento Cientifico e Tecnologico (CNPq)(Conselho Nacional de Desenvolvimento Cientifico e Tecnologico (CNPQ)); Fundacao de Amparo a Pesquisa do Estado da Bahia (FAPESB)(Fundacao de Amparo a Pesquisa do Estado da Bahia (FAPESB))</t>
  </si>
  <si>
    <t>The authors acknowledge the financial support of the Conselho Nacional de Desenvolvimento Cientifico e Tecnologico (CNPq) and the Fundacao de Amparo a Pesquisa do Estado da Bahia (FAPESB).</t>
  </si>
  <si>
    <t>10.1007/s11270-016-2842-y</t>
  </si>
  <si>
    <t>DM3VZ</t>
  </si>
  <si>
    <t>WOS:000376276100009</t>
  </si>
  <si>
    <t>Baldermann, A; Preissegger, V; Simic, S; Letofsky-Papst, I; Mittermayr, F; Dietzel, M</t>
  </si>
  <si>
    <t>Baldermann, Andre; Preissegger, Veronika; Simic, Sanja; Letofsky-Papst, Ilse; Mittermayr, Florian; Dietzel, Martin</t>
  </si>
  <si>
    <t>Uptake of aqueous heavy metal ions (Co2+, Cu2+ and Zn2+) by calcium-aluminium-silicate-hydrate gels</t>
  </si>
  <si>
    <t>CEMENT AND CONCRETE RESEARCH</t>
  </si>
  <si>
    <t>C-A-S-H phase; Environment; Pollution; Heavy metals; crystal chemistry</t>
  </si>
  <si>
    <t>C-S-H; MSWI FLY-ASH; NUCLEAR-MAGNETIC-RESONANCE; PORTLAND-CEMENT; OYSTER SHELLS; IMMOBILIZATION; CONCRETE; SOLIDIFICATION; STABILIZATION; MECHANISMS</t>
  </si>
  <si>
    <t>Calcium-aluminium-silicate-hydrate (C-A-S-H) gels containing heavy metal ions (Me: Co2+, Cu2+ or Zn2+) were precipitated at different Me/Si molar ratios to study the uptake mechanism and immobilization capacity. Aqueous solution chemistry and solid-phase characterization using XRD, FTIR, ESEM-EDX, TEM-HAADF and TGDSC methods reveal threshold values for ion substitution of -55-60 mol% for Zn, -30-40 mol% for Co and -25-30 mol% for Cu in defective tobermorite-type C-A-S-H with (Ca + Me)/(Si + Al) molar ratios from 0.86 to 1.04. At higher aqueous Me concentrations, Me (chloride) hydroxides start to co-precipitate. The uptake mechanism of Me ions by C-A-S-H is based on (i) isomorphous substitution of Me for Ca in the CaO layer, (ii) ion exchange in the interlayer, (iii) tetrahedral substitution (Zn) within the dreierketten chains and (iv) surface adsorption onto the C-A-S-H gel structure. Systematics in crystal-chemistry of Me-bearing C-A-S-H and implications for application and performance in natural and man-made settings are discussed.</t>
  </si>
  <si>
    <t>[Baldermann, Andre; Dietzel, Martin] Graz Univ Technol, Inst Appl Geosci, NAWI Graz, Rechbauerstr 12, A-8010 Graz, Austria; [Preissegger, Veronika] Mjp Ziviltechniker GmbH, Burostandort Oberalm, Halleiner Landesstr 84, A-5411 Oberalm, Austria; [Simic, Sanja; Letofsky-Papst, Ilse] Graz Univ Technol, Inst Electron Microscopy &amp; Nanoanal, NAWI Graz, Steyrergasse 17, A-8010 Graz, Austria; [Simic, Sanja; Letofsky-Papst, Ilse] Graz Univ Technol, Graz Ctr Electron Microscopy ZFE, NAWI Graz, Steyrergasse 17, A-8010 Graz, Austria; [Mittermayr, Florian] Graz Univ Technol, Inst Technol &amp; Testing Bldg Mat, Inffeldgasse 24, A-8010 Graz, Austria</t>
  </si>
  <si>
    <t>Graz University of Technology; Graz University of Technology; Graz University of Technology; Graz University of Technology</t>
  </si>
  <si>
    <t>Baldermann, A (corresponding author), Graz Univ Technol, Inst Appl Geosci, Rechbauerstr 12, A-8010 Graz, Austria.</t>
  </si>
  <si>
    <t>baldermann@tugraz.at; v.preissegger@mjp-zt.at; sanja.simic@felmi-zfe.at; ilse.papst@felmi-zfe.at; f.mittermayr@tugraz.at; martin.dietzel@tugraz.at</t>
  </si>
  <si>
    <t>Baldermann, Andre/0000-0002-2319-4640</t>
  </si>
  <si>
    <t>NAWI Graz Geocenter (Graz Uni-versity of Technology); Austrian Research Promotion Agency FFG [ASSpC Project 871055]; Austrian Society for Construction Technology OdBV</t>
  </si>
  <si>
    <t>NAWI Graz Geocenter (Graz Uni-versity of Technology); Austrian Research Promotion Agency FFG; Austrian Society for Construction Technology OdBV</t>
  </si>
  <si>
    <t>This research was funded by the NAWI Graz Geocenter (Graz Uni-versity of Technology) and by the Austrian Research Promotion Agency FFG (ASSpC ProjectNo. 871055) , the Austrian Society for Construction Technology OdBV and the industry partners.</t>
  </si>
  <si>
    <t>0008-8846</t>
  </si>
  <si>
    <t>1873-3948</t>
  </si>
  <si>
    <t>CEMENT CONCRETE RES</t>
  </si>
  <si>
    <t>Cem. Concr. Res.</t>
  </si>
  <si>
    <t>10.1016/j.cemconres.2021.106521</t>
  </si>
  <si>
    <t>Construction &amp; Building Technology; Materials Science, Multidisciplinary</t>
  </si>
  <si>
    <t>Construction &amp; Building Technology; Materials Science</t>
  </si>
  <si>
    <t>TR7DA</t>
  </si>
  <si>
    <t>WOS:000679120100004</t>
  </si>
  <si>
    <t>JENSEN, K; RANDLOV, A; RIISGARD, HU</t>
  </si>
  <si>
    <t>HEAVY-METAL POLLUTION FROM A POINT-SOURCE DEMONSTRATED BY MEANS OF MUSSELS, MYTILUS-EDULIS</t>
  </si>
  <si>
    <t>Heavy metal pollution from a point source was demonstrated by the levels of Hg in flesh of mussels, M. edulis.</t>
  </si>
  <si>
    <t>MARINE POLLUT LAB, KAVALERGAARDEN 6, DK-2920 CHARLOTTENLUND, DENMARK.</t>
  </si>
  <si>
    <t>10.1016/0045-6535(81)90007-2</t>
  </si>
  <si>
    <t>MD893</t>
  </si>
  <si>
    <t>WOS:A1981MD89300006</t>
  </si>
  <si>
    <t>Liao, CM; Lin, CM; Jou, LJ; Chiang, KC</t>
  </si>
  <si>
    <t>Liao, Chung-Min; Lin, Chieh-Ming; Jou, Li-John; Chiang, Kuo-Chin</t>
  </si>
  <si>
    <t>Linking valve closure behavior and sodium transport mechanism in freshwater clam Corbicula fluminea in response to copper</t>
  </si>
  <si>
    <t>22nd World Congress of the International-Union-of-Forest-Research-Organizations</t>
  </si>
  <si>
    <t>AUG 08-13, 2005</t>
  </si>
  <si>
    <t>Brisbane, AUSTRALIA</t>
  </si>
  <si>
    <t>clam; Corbicula fluminea; biotic ligand model; valve closure behavior; sodium transport; copper</t>
  </si>
  <si>
    <t>BIOTIC LIGAND MODEL; MUSSEL MYTILUS-EDULIS; RAINBOW-TROUT; ACUTE TOXICITY; METAL SPECIATION; BIVALVE; ACCUMULATION; ORNITHINE; CADMIUM; RISK</t>
  </si>
  <si>
    <t>The purpose of this study is to develop a mechanistic model to describe a conceptually new flux-biological response approach based on biotic ligand model (BLM) and Michaelis -Menten (M-M) kinetics to allow the linkage between valve closure behavior and sodium (Na) transport mechanism in freshwater clam Corbicula, flurninea in response to waterbome copper (Cu). We test the proposed model against published data regarding Na uptake kinetics in rainbow trout and Na uptake profile in C. fluminea, confirming that the predictive model is robust. Here, we show that the predicted M-M maximum Cu internalization flux in C. flurninea is 0.369 mu mol g(-1) h(-1) with a half-saturation affinity constant of 7.87 x 10(-3) mu M. Dynamics of Na uptake and valve closure daily rhythm driven by external Cu can also be predicted simultaneously. We suggest that this Na transport-valve closure behavior approach might provide the basis of a future design of biomonitoring tool. (c) 2006 Elsevier Ltd. All rights reserved.</t>
  </si>
  <si>
    <t>Natl Taiwan Univ, Dept Bioenvironm Syst Engn, Taipei 10617, Taiwan; Natl Ilan Univ, Dept Biomechatron Engn, Ilan 260, Taiwan</t>
  </si>
  <si>
    <t>National Taiwan University; National Ilan University</t>
  </si>
  <si>
    <t>Liao, CM (corresponding author), Natl Taiwan Univ, Dept Bioenvironm Syst Engn, 1 Sec 4 Roosevelt Rd, Taipei 10617, Taiwan.</t>
  </si>
  <si>
    <t>10.1016/j.envpol.2006.09.017</t>
  </si>
  <si>
    <t>174DS</t>
  </si>
  <si>
    <t>WOS:000246922000027</t>
  </si>
  <si>
    <t>Vlahogianni, TH; Valavanidis, A</t>
  </si>
  <si>
    <t>Vlahogianni, T. H.; Valavanidis, A.</t>
  </si>
  <si>
    <t>Heavy-metal effects on lipid peroxidation and antioxidant defence enzymes in mussels Mytilus galloprovincialis</t>
  </si>
  <si>
    <t>antioxidant enzymes; toxicity; superoxide dismutase; catalase; lipid peroxidation; heavy metals; Mytilus galloprovincialis</t>
  </si>
  <si>
    <t>OXIDATIVE STRESS; DIGESTIVE GLAND; SUPEROXIDE-DISMUTASE; PERNA-VIRIDIS; CADMIUM; GILLS; ACCUMULATION; GLUTATHIONE; TOXICITIES; MECHANISMS</t>
  </si>
  <si>
    <t>The use of lipid peroxidation and antioxidant defence enzyme activities in aquatic organisms as molecular biomarkers of environmental pollution has been proved to be of great diagnostic value. Toxicities of Cu(II), Cd(H), Pb(II), and Fe(II) were investigated in mussels Mytilus galloprovincialis with a 24-h short-term bioassays (lethal concentration 50%, LC50) using end-point mortality. Results showed that the LC50 values were: 0.35 mg l(-1) for Cu, 1.6 mg l(-1) for Cd, 4.5 mg l(-1) for Pb, and &gt; 6 mg l(-1) for Fe. The same metals were used at sub-lethal concentrations to study the modulation of lipid peroxidation and antioxidant enzyme activities in the gills and the mantle of M. galloprovincialis (exposed for a period of 10 d) and compared with a control (unexposed) group. Superoxide dismutase activities increased for Cu and displayed a high variability for Cd, Pb, and Fe, compared with control. Catalase (CAT) activities decreased for Cu, Cd, and Pb, but increased for Fe in both tissues. Lipid peroxidation (measured as MDA levels) increased for all metals in both tissues and were associated with equivalent decreases in antioxidant enzyme activities (especially CAT). These results indicated that mussels stimulated the increase in antioxidant enzyme activities as an adaptive response to metals' oxidative damage. However, these increases were not adequate to prevent oxidation of membrane lipids of soft tissues.</t>
  </si>
  <si>
    <t>Univ Athens, Dept Chem, Organ Chem Lab, Athens 15784, Greece</t>
  </si>
  <si>
    <t>National &amp; Kapodistrian University of Athens</t>
  </si>
  <si>
    <t>Valavanidis, A (corresponding author), Univ Athens, Dept Chem, Organ Chem Lab, Univ Campus Zografou, Athens 15784, Greece.</t>
  </si>
  <si>
    <t>Vlachogianni, Thomais/0000-0002-3244-1842; Valavanidis, Athanasios/0000-0003-2449-6939</t>
  </si>
  <si>
    <t>10.1080/02757540701653285</t>
  </si>
  <si>
    <t>231IY</t>
  </si>
  <si>
    <t>WOS:000250941500002</t>
  </si>
  <si>
    <t>Boisson, F; Cotret, O; Fowler, SW</t>
  </si>
  <si>
    <t>Transfer and distribution of lead in the asteroid Asterias rubens following ingestion of contaminated food:: a radiotracer study</t>
  </si>
  <si>
    <t>lead; bioindicator; elimination; radionuclides; mussels; Asterias rubens</t>
  </si>
  <si>
    <t>ECHINODERMATA; BIOACCUMULATION; FIELD; INVERTEBRATES; RETENTION; MUSSELS; METALS; WATER; PB</t>
  </si>
  <si>
    <t>A radiotracer technique using Pb-210 was applied to quantify the transfer and distribution of lead in the asteroid Asterias rubens following a single ingestion of radio-labelled mussels under controlled laboratory conditions. Approximately 50% of the Pb-210 accumulated by mussels in their soft tissues from seawater was transferred to the asteroid through the food pathway resulting in a transfer factor less than unity. Loss kinetics of Pb-210 in the asteroid were best described by a two-component exponential model. A. rubens eliminated 56% +/- 5% of the ingested Pb-210 in a few days while the remaining fraction (42% +/- 5%), was absorbed and eliminated very slowly. Following ingestion, Pb-210 was accumulated in the pyloric caeca and the body wall with little radioisotope found in the coelomic fluid. Lead-210 was then transferred to the organic matrix of the body wall through the general body cavity via the coelomic fluid, and then to the skeleton. In this way, lead appears to be progressively eliminated From the organic matrix of the body wall while it is efficiently trapped in the calcite skeleton. The sequestration and retention of lead in the skeleton is considered as a detoxification process, but it also prevents lead transfer to higher trophic levels of the marine food chain since the skeleton is not digested by higher consumers. In addition, the skeleton of asteroids can be regarded as a bioindicator of long-term dietary lead contamination. (C) 2002 Elsevier Science Ltd. All rights reserved.</t>
  </si>
  <si>
    <t>IAEA, Marine Environm Lab, 4 Quai Antoine Ier,BP 800, MC-98012 Monaco, Monaco.</t>
  </si>
  <si>
    <t>F.Boisson@iaea.org</t>
  </si>
  <si>
    <t>PII S0025-326X(02)00138-8</t>
  </si>
  <si>
    <t>10.1016/S0025-326X(02)00138-8</t>
  </si>
  <si>
    <t>616GW</t>
  </si>
  <si>
    <t>WOS:000179296900013</t>
  </si>
  <si>
    <t>Nardi, A; Mincarelli, LF; Benedetti, M; Fattorini, D; d'Errico, G; Regoli, F</t>
  </si>
  <si>
    <t>Nardi, Alessandro; Mincarelli, Luana Fiorella; Benedetti, Maura; Fattorini, Daniele; d'Errico, Giuseppe; Regoli, Francesco</t>
  </si>
  <si>
    <t>Indirect effects of climate changes on cadmium bioavailability and biological effects in the Mediterranean mussel Mytilus galloprovincialis</t>
  </si>
  <si>
    <t>Mytilus galloprovincialis; Ocean acidification; Global warming; Metal contamination; Bioaccumulation; Cellular biomarkers</t>
  </si>
  <si>
    <t>VIRGINICA GMELIN BIVALVIA; CO2-INDUCED SEAWATER ACIDIFICATION; INCREASES COPPER TOXICITY; OCEAN ACIDIFICATION; CRASSOSTREA-VIRGINICA; MARINE-INVERTEBRATES; EASTERN OYSTERS; TRACE-METALS; MITOCHONDRIAL-FUNCTION; BIOMARKERS RESPONSES</t>
  </si>
  <si>
    <t>Despite the great interest in the consequences of climate change on the physiological functioning of marine organisms, indirect and interactive effects of rising temperature and pCO(2) on bioaccumulation and responsiveness to environmental pollutants are still poorly explored, particularly in terms of cellular mechanisms. According to future projections of temperature and pH/pCO(2), this study investigated the main cellular pathways involved in metal detoxification and oxidative homeostasis in Mediterranean mussels, Mytilus galloprovincialis, exposed for 4 weeks to various combinations of two levels of pH/pCO(2) (8.2/similar to 400 mu atm and 7.4/similar to 3000 mu atm), temperature (20 and 25 degrees C), and cadmium addition (0 and 20 mu g/L). Bioaccumulation was increased in metal exposed organisms but it was not further modulated by different temperature and pH/pCO(2) combinations. However, interactions between temperature, pH and cadmium had significant effects on induction of metallothioneins, responses of the antioxidant system and the onset of oxidative damages, which was tissue dependent. Multiple stressors increased metallothioneins concentrations in the digestive gland revealing different oxidative effects: while temperature and cadmium enhanced glutathione-dependent antioxidant protection and capability to neutralize peroxyl radicals, the metal increased the accumulation of lipid peroxidation products under acidified conditions. Gills did not reveal specific effects for different combinations of factors, but a general stress condition was observed in this tissue after various treatments. Significant variations of immune system were mainly caused by increased temperature and low pH, while co-exposure to acidification and cadmium enhanced metal genotoxicity and the onset of permanent DNA damage in haemocytes. Elaboration of the whole biomarker data in a cellular hazard index, corroborated the synergistic effects of temperature and acidification which increased the toxicological effects of cadmium. The overall results confirmed that climate change could influence ecotoxicological effects of environmental contaminants, highlighting the importance of a better knowledge of cellular mechanisms to understand and predict responsiveness of marine organisms to such multiple stressors. (C) 2016 Elsevier Ltd. All rights reserved.</t>
  </si>
  <si>
    <t>[Nardi, Alessandro; Mincarelli, Luana Fiorella; Benedetti, Maura; Fattorini, Daniele; d'Errico, Giuseppe; Regoli, Francesco] Univ Politecn Marche, Dipartimento Sci Vita &amp; Ambiente DiSVA, Via Brecce Bianche, I-60131 Ancona, Italy; [Benedetti, Maura; Regoli, Francesco] Consorzio Interuniv Sci Mare, CoNISMa, Rome, Italy</t>
  </si>
  <si>
    <t>Marche Polytechnic University; CoNISMa</t>
  </si>
  <si>
    <t>Regoli, F (corresponding author), Univ Politecn Marche, Dipartimento Sci Vita &amp; Ambiente DiSVA, Via Brecce Bianche, I-60131 Ancona, Italy.</t>
  </si>
  <si>
    <t>Mincarelli, Luana Fiorella/GQB-3878-2022; Nardi, Alessandro/AAH-1535-2021; Fattorini, Daniele/A-2969-2010; Benedetti, Maura/K-5399-2016; Regoli, Francesco/K-2719-2018</t>
  </si>
  <si>
    <t>Benedetti, Maura/0000-0003-0803-3846; d'Errico, Giuseppe/0000-0003-1667-8038; Nardi, Alessandro/0000-0002-9978-1411; Mincarelli, Luana Fiorella/0000-0001-5436-7738; Regoli, Francesco/0000-0001-6084-6188</t>
  </si>
  <si>
    <t>10.1016/j.chemosphere.2016.11.093</t>
  </si>
  <si>
    <t>EJ1XH</t>
  </si>
  <si>
    <t>WOS:000393003300059</t>
  </si>
  <si>
    <t>Kehrig, HA; Costa, M; Moreira, I; Malm, O</t>
  </si>
  <si>
    <t>Total and methylmercury in a Brazilian estuary, Rio de Janeiro</t>
  </si>
  <si>
    <t>methylmercury; total mercury; Guanabara bay; water; mussel; fish; Brazil</t>
  </si>
  <si>
    <t>INORGANIC MERCURY; GUANABARA BAY; PERNA-PERNA; BIOAVAILABILITY; ORGANISMS; FISH</t>
  </si>
  <si>
    <t>Guanabara Bay, in Rio de Janeiro state, is impacted by organic matter, oil and heavy metals. The present study evaluated the total mercury (THg) and methylmercury (MeHg) concentrations and the MeHg to THg ratio (%McHg) in water samples from different points of the bay and in 245 organisms of three different trophic levels sampled between 1990 and 2000. Dissolved mercury concentration in estuarine water samples ranged from 0.72 to 5.23 ng l(-1). THg and MeHg in mussel, ranging from 11.6 to 53.5 mugTHgkg(-1) wet wt. and 4.5-21.0 mug MeHgkg(-1) wet wt., varied according to sampling point and water quality. Planktivorous fish and mussel presented similar MeHg concentrations, meanwhile THg in planktivorous fish were lower than in mussel. Carnivorous fish showed higher THg and MeHg concentrations (199.5 +/- 119.3, 194.7 +/- 112.7 mug kg(-1) wet wt. respectively) than organisms from other feeding habits and lower trophic levels. There was a significant difference in the %MeHg among trophic levels: mussel presented lower MeHg percentage (33%) than planktivorous fish (54%) and carnivorous fish (98%). (C) 2002 Elsevier Science Ltd. All rights reserved.</t>
  </si>
  <si>
    <t>Univ Fed Rio de Janeiro, IBCCF, Lab Radioisotopos Eduardo Penna Franca, BR-21949900 Rio de Janeiro, Brazil; Univ Fed Pernambuco, Dept Oceanog, BR-50740550 Recife, PE, Brazil; PUC Rio De Janeiro, Dept Quim, BR-22453900 Rio De Janeiro, Brazil</t>
  </si>
  <si>
    <t>Univ Fed Rio de Janeiro, IBCCF, Lab Radioisotopos Eduardo Penna Franca, BR-21949900 Rio de Janeiro, Brazil.</t>
  </si>
  <si>
    <t>Moreira, Icaro/J-2040-2015; Kehrig, Helena/AAG-6252-2020; Malm, Olaf/H-1724-2012; Costa, Monica F./J-9879-2012</t>
  </si>
  <si>
    <t>Costa, Monica F./0000-0002-7673-3089; Malm, Olaf/0000-0002-4116-7160</t>
  </si>
  <si>
    <t>PII S0025-326X(02)00140-6</t>
  </si>
  <si>
    <t>10.1016/S0025-326X(02)00140-6</t>
  </si>
  <si>
    <t>WOS:000179296900015</t>
  </si>
  <si>
    <t>Astani, M; Moradi, AM; Mostafavi, PG</t>
  </si>
  <si>
    <t>Astani, Mahsa; Moradi, Ali Mashinchian; Mostafavi, Pargol Ghavam</t>
  </si>
  <si>
    <t>Using biomarkers to assess the toxicity of environmental concentrations of heavy metals to the marine gastropod Thais mutabilis</t>
  </si>
  <si>
    <t>Enzymatic activity; Thais mutabilis; Superoxidize dismutase; Metallothionein; Glutathione S -transferase; Metal pollution</t>
  </si>
  <si>
    <t>OXIDATIVE STRESS; MYTILUS-GALLOPROVINCIALIS; MEDITERRANEAN MUSSEL; ACCUMULATION; GULF; PB; TRUNCULUS; MOLLUSKS; CADMIUM; HEALTH</t>
  </si>
  <si>
    <t>This study investigated the effects of environmentally relevant concentration of heavy metals on the antioxidant, metabolic, and detoxifying enzymes activity of marine gastropod Thais mutabilis in Bandar Abbas (north of Persian Gulf). In this study, gastropod samples were collected from five transects in the coastal line, and in each transect, three sampling points were selected. Sampling was conducted in both cold season (autumn 2020) with temperatures of 13-25 degrees C and warm season (summer 2021) with temperatures of 29 and 40 degrees C, respectively. Sampled animals had an average weight of 15.38 +/- 3.75 and 13.54 +/- 4.44 g in cold and warm seasons, respectively. Soft tissues of T. mutabilis were collected and dried using the freeze drier. Inductively Coupled Plasma Mass Spectrometry (ICP-MS) was used to evaluate the concentration of heavy metals (Al, As, Ba, Fe, Pb, Cu, Cr, Cd, Hg, Mn, Ni, Ti, V, Zn). The activity of metallothionein, superoxidase dismutase, and Glutathione S-transferase were examined and possible correlations between heavy metals and enzymes were tested through this study. Results showed that the concentration of heavy metals in the body of T. mutabilis exceeded the values suggested by WHO, FAO, and USEPA. Heavy metals concentration showed the highest values for Fe and Al at transect 1 (cold and warm seasons), As, Ba and Cu at transect four (cold and warm seasons), Ni, Cr and Hg at transect four (warm season). SOD showed the highest activity at transect five in warm and cold seasons at 69.50 +/- 9.59 and 64.88 +/- 13.92 U/g protein, respectively. Transect three had the greatest values for SOD levels in warm and cold seasons at 41.50 +/- 7.58 and 48.01 +/- 20.60 U/g protein, respectively. GST demonstrated the largest activity at transect five in warm and cold seasons at 3.76 +/- 1.15 U/g protein. MT had the highest levels at transect five in cold and warm seasons at 1.79 +/- 0.30 and 1.96 +/- 0.29 U/g protein. Oxidative, metabolic and detoxifying enzymes play a leading role as viable biomarkers in assessing the toxicity of hazardous compounds. In this study significant correlations were observed between MT activity and heavy metals (Pb, Al, Ba, Fe, and Zn) as well as SOD and Fe, so T.mutabilis could be a good bioindicator in the polluted marine biota.(c) 2022 Elsevier B.V. All rights reserved.</t>
  </si>
  <si>
    <t>[Astani, Mahsa; Moradi, Ali Mashinchian; Mostafavi, Pargol Ghavam] Islamic Azad Univ, Dept Nat Resources &amp; Environm, Sci &amp; Res Branch, Tehran, Iran</t>
  </si>
  <si>
    <t>Moradi, AM (corresponding author), Islamic Azad Univ, Dept Nat Resources &amp; Environm, Sci &amp; Res Branch, Tehran, Iran.</t>
  </si>
  <si>
    <t>mahsaastani@yahoo.com; ali2m@yahoo.com; gh.mostafavi@gmail.com</t>
  </si>
  <si>
    <t>Ghavam Mostafavi, Pargol/ADP-3776-2022; Moradi, Ali/AAO-9198-2021</t>
  </si>
  <si>
    <t>Mashinchian Moradi, Ali/0000-0002-9000-3883</t>
  </si>
  <si>
    <t>10.1016/j.rsma.2022.102803</t>
  </si>
  <si>
    <t>8F1IY</t>
  </si>
  <si>
    <t>WOS:000919423300001</t>
  </si>
  <si>
    <t>Kavun, VY; Podgurskaya, OV</t>
  </si>
  <si>
    <t>Kavun, Victor Ya.; Podgurskaya, Olga, V</t>
  </si>
  <si>
    <t>Spatial variation of cadmium concentration in the bivalve Beguina semiorbiculata (Linnaeus, 1758) from coastal coral reefs of Vietnam</t>
  </si>
  <si>
    <t>Trace metals; Spatial distribution; Cadmium; Upwelling; Coral reefs</t>
  </si>
  <si>
    <t>OYSTER CRASSOSTREA-GIGAS; SOUTH CHINA SEA; TRACE-METALS; OCEAN ACIDIFICATION; HEAVY-METALS; SOFT-TISSUE; MYTILUS-GALLOPROVINCIALIS; CRENOMYTILUS-GRAYANUS; CLIMATE-CHANGE; PERNA-PERNA</t>
  </si>
  <si>
    <t>The spatial distribution of trace metals (Fe, Zn, Cu, Cd, Mn, Pb and Ni) in the soft tissues of Beguina semiorbiculata from coastal reefs of Vietnam was studied. Bivalves were collected in May 2013 from 22 sites along the southeastern coast from Gulf of Thailand to Ha Long Bay. The most increased concentrations of studied metals (excluding Cd) were shown in the B. semiorbiculata living in Ha Long Bay characterized by terrestrial runoff and anthropogenic effects. In contrast, the maximal Cd concentrations were found in the bivalves from coastal reefs of central Vietnam and Gulf of Thailand. Apparently, Cd concentration depends on seasonal upwellings (central part of Vietnam coast) and composition of suspended matter (Gulf of Thailand). Consequently, Cd distribution in the coastal waters of Vietnam should be strongly controlled in relation with predicted risk of climate change that may further significantly increased Cd bioavailability for habitants of coral reefs.</t>
  </si>
  <si>
    <t>[Kavun, Victor Ya.; Podgurskaya, Olga, V] Russian Acad Sci, AV Zhirmunsky Natl Sci Ctr Marine Biol, Far Eastern Brunch, Palchevskogo Str 17, Vladivostok 690041, Russia</t>
  </si>
  <si>
    <t>Podgurskaya, OV (corresponding author), Russian Acad Sci, AV Zhirmunsky Natl Sci Ctr Marine Biol, Far Eastern Brunch, Palchevskogo Str 17, Vladivostok 690041, Russia.</t>
  </si>
  <si>
    <t>olgavlpod@gmail.com</t>
  </si>
  <si>
    <t>Podgurskaya, Olga/AAU-9455-2021; Kavun, Victor/AAC-1238-2020</t>
  </si>
  <si>
    <t>10.1016/j.marpolbul.2023.114837</t>
  </si>
  <si>
    <t>F1KI4</t>
  </si>
  <si>
    <t>WOS:000980001000001</t>
  </si>
  <si>
    <t>Conners, DE; Ringwood, AH</t>
  </si>
  <si>
    <t>Effects of glutathione depletion on copper cytotoxicity in oysters (Crassostrea virginica)</t>
  </si>
  <si>
    <t>glutathione; metallothionein; copper; buthionine sulfoximine; oysters</t>
  </si>
  <si>
    <t>MYTILUS-GALLOPROVINCIALIS; CADMIUM TOXICITY; METAL CONCENTRATIONS; LIPID-PEROXIDATION; DIGESTIVE CELLS; METALLOTHIONEIN; LYSOSOMES; DETOXICATION; ACCUMULATION; BIOMARKERS</t>
  </si>
  <si>
    <t>Glutathione is a tripeptide that plays an important role in ameliorating metal toxicity. Depletion of glutathione has been associated with an increased risk of metal toxicity in mammals. An understanding of the toxicological significance of glutathione depletion in oysters would be of considerable importance given the widespread use of bivalves in biological monitoring. Laboratory studies were conducted by using an inhibitor of glutathione synthesis (buthionine sulfoximine) to investigate the effects of glutathione depletion on metallothionein expression, lysosomal membrane destabilization, and lipid peroxidation in Cu-exposed oysters. In oysters exposed to Cu (20 and 80 mu g/l) and buthionine sulfoximine (20 mg/l), metallothionein induction was suppressed and cellular stress responses were frequently higher than those observed in oysters exposed singly to Cu. Together, these results suggest that environmental conditions that cause glutathione depletion may increase the potential for adverse effects to pollutants during in situ exposures. (C) 2000 Elsevier Science B.V. All rights reserved.</t>
  </si>
  <si>
    <t>Med Univ S Carolina, Charleston, SC 29425 USA; Marine Resources Res Inst, Charleston, SC 29412 USA</t>
  </si>
  <si>
    <t>Medical University of South Carolina</t>
  </si>
  <si>
    <t>Univ Georgia, Dept Environm Hlth Sci, 206 Environm Hlth Sci Bldg, Athens, GA 30602 USA.</t>
  </si>
  <si>
    <t>dconners@arches.uga.edu</t>
  </si>
  <si>
    <t>Conners, Deanna/0000-0001-9717-0871</t>
  </si>
  <si>
    <t>10.1016/S0166-445X(00)00092-8</t>
  </si>
  <si>
    <t>353PZ</t>
  </si>
  <si>
    <t>WOS:000089285800005</t>
  </si>
  <si>
    <t>Norum, U; Lai, VWM; Cullen, WR</t>
  </si>
  <si>
    <t>Trace element distribution during the reproductive cycle of female and male spiny and Pacific scallops, with implications for biomonitoring</t>
  </si>
  <si>
    <t>Strait of Georgia; scallops; trace elements; pollution monitoring; bioaccumulation; biomonitoring</t>
  </si>
  <si>
    <t>METAL CONCENTRATIONS; MUSSEL WATCH; CHEMICAL CONCENTRATIONS; BRITISH-COLUMBIA; MYTILUS-EDULIS; UNITED-STATES; PROGRAMS; OYSTERS; AVAILABILITY; CADMIUM</t>
  </si>
  <si>
    <t>Trace element concentrations and contents in gills, gonad, kidneys, mantle, muscle and remainder during the reproductive cycle of female and male spiny and Pacific scallops, from the Strait of Georgia, BC, Canada, were quantified by using ICPMS. The elements investigated were chromium, manganese, iron, cobalt, nickel, selenium, molybdenum, cadmium, tin and mercury. For all ten elements, the tissue distribution was to some extent influenced by species, sex and reproductive status. The implications of the present study in relation to the design of biomonitoring programmes are: (1) care should be taken to ensure an equal/constant sex composition when making interannual comparisons of pooled samples. Preferably the sexes should be monitored separately. (2) the practice of obtaining pooled samples in the interspawn phase is applicable only to monitoring long-term trends in contaminant levels, while the reproductive status should be heeded when studying short-term changes. (3) the present study confirms that direct temporal or spatial comparisons of absolute accumulated element concentrations are only valid intraspecifically. (c) 2004 Elsevier Ltd. All rights reserved.</t>
  </si>
  <si>
    <t>Univ So Denmark, Inst Biol, DK-5230 Odense, Denmark; Univ British Columbia, Dept Chem, Environm Chem Grp, Vancouver, BC V6T 1Z1, Canada</t>
  </si>
  <si>
    <t>University of Southern Denmark; University of British Columbia</t>
  </si>
  <si>
    <t>Univ So Denmark, Inst Biol, Campusvej 55, DK-5230 Odense, Denmark.</t>
  </si>
  <si>
    <t>ulrik@biology.sdu.dk</t>
  </si>
  <si>
    <t>10.1016/j.marpolbul.2004.10.007</t>
  </si>
  <si>
    <t>908BK</t>
  </si>
  <si>
    <t>WOS:000227762000018</t>
  </si>
  <si>
    <t>Wu, RSS; Lau, TC; Fung, WKM; Ko, PH; Leung, KMY</t>
  </si>
  <si>
    <t>Wu, Rudolf S. S.; Lau, T. C.; Fung, Wendy K. M.; Ko, P. H.; Leung, Kenneth M. Y.</t>
  </si>
  <si>
    <t>An 'artificial mussel' for monitoring heavy metals in marine environments</t>
  </si>
  <si>
    <t>metal monitoring; Cd; Cr; Cu; Pb; Zn; artificial mussels</t>
  </si>
  <si>
    <t>DOGWHELK NUCELLA-LAPILLUS; MYTILUS-EDULIS; TRACE-METALS; WATERS; SPECIATION; CADMIUM; OYSTERS; LEAD; LIGANDS; COPPER</t>
  </si>
  <si>
    <t>A new chemical sampling device, artificial mussel (AM), has been developed for monitoring metals in marine environments. This device consists of a polymer ligand suspended in artificial seawater within a Perspex tubing, and enclosed with semi-permeable gel at both ends. Laboratory and field experiments were carried out to examine the uptake of five metals (Cd, Cr, Cu, Pb and Zn) by the AM. Uptake of metals by AM was proportional to the exposure metal concentrations, and the AM was able to accumulate the ASV labile fractions of metals. Uptake and release of the metals of AM are similar to those of the mussel Perna viridis, but less affected by salinity and temperature. Field studies demonstrated that the AM can not only provide a time-integrated estimate of metals concentrations, but also allows comparisons of metal levels in different environments and geographical areas beyond the natural distribution limits of biomonitors. (c) 2006 Elsevier Ltd. All rights reserved.</t>
  </si>
  <si>
    <t>City Univ Hong Kong, Ctr Coastal Pollut &amp; Conservat, Kowloon, Hong Kong, Peoples R China; Univ Hong Kong, Swire Inst Marine Sci, Dept Ecol &amp; Biodivers, Hong Kong, Hong Kong, Peoples R China</t>
  </si>
  <si>
    <t>City University of Hong Kong; University of Hong Kong</t>
  </si>
  <si>
    <t>Wu, RSS (corresponding author), City Univ Hong Kong, Ctr Coastal Pollut &amp; Conservat, Tat Chee Ave, Kowloon, Hong Kong, Peoples R China.</t>
  </si>
  <si>
    <t>bhrswu@cityu.edu.hk</t>
  </si>
  <si>
    <t>Wu, Rudolf/B-4203-2010; Leung, Kenneth Mei Yee/C-1055-2009</t>
  </si>
  <si>
    <t>Lau, Tai-Chu/0000-0002-0867-9746; Leung, Kenneth Mei Yee/0000-0002-2164-4281</t>
  </si>
  <si>
    <t>10.1016/j.envpol.2006.03.053</t>
  </si>
  <si>
    <t>109ZR</t>
  </si>
  <si>
    <t>WOS:000242348600013</t>
  </si>
  <si>
    <t>Gomez-Ariza, JL; Giraldez, I; Sanchez-Rodas, D; Acuña, T; Morales, E</t>
  </si>
  <si>
    <t>The use of transplanted Venerupis decussata to evaluate the pollution of heavy metals and tributyltin in marinas</t>
  </si>
  <si>
    <t>2nd Euroconfernce on Environmental Analytical Chemistry</t>
  </si>
  <si>
    <t>NOV 01-06, 1998</t>
  </si>
  <si>
    <t>CORDOBA, SPAIN</t>
  </si>
  <si>
    <t>metals; organotin; Venerupis decussata; bioaccumulation</t>
  </si>
  <si>
    <t>MUSSEL MYTILUS-EDULIS; CLAM RUDITAPES DECUSSATA; CRASSOSTREA-VIRGINICA; DREISSENA-POLYMORPHA; IRON CONCENTRATIONS; BIVALVE MOLLUSKS; TRACE-METALS; CADMIUM; COPPER; ACCUMULATION</t>
  </si>
  <si>
    <t>Live specimens of the clam Venerupis decussata were suspended in seawater of the Mazagon Marina, located in a heavy metal polluted area at the mouth of Huelva Estuary (SW Spain). Clams were preserved in plastic cages and subsamples were recovered every 5 days over a period of 40 days. Water from the marina was sampled every two days during the time course of the experiment. Clams and water were analyzed for metals and organotins. Results showed the accumulation of Mn, Cu, Fe, V, Zn and tributyltin in the bivalves reaching an equilibrium with the surrounding water. Bioconcentration factors ranged from 10(2) (for V) to 4x10(3) (for Cu). Clams also accumulated Al and Pb but a steady state was not reached. A first-order kinetic model was applied to the data and results indicated that rates of accumulation differed in relation to clam size class. Clam mortality increased during the experiment and was total after 42 days which was attributed to the high concentration of Cu in seawater.</t>
  </si>
  <si>
    <t>Univ Huelva, Escuela Politecn Super, Dept Quim &amp; Ciencia Mat, La Rabida 21819, Huelva, Spain</t>
  </si>
  <si>
    <t>Universidad de Huelva</t>
  </si>
  <si>
    <t>Gomez-Ariza, JL (corresponding author), Univ Huelva, Escuela Politecn Super, Dept Quim &amp; Ciencia Mat, La Rabida 21819, Huelva, Spain.</t>
  </si>
  <si>
    <t>de Albornoz, Emilio/AAB-3846-2020; Giráldez Díaz, Inmaculada/Z-5768-2019; Gomez-Ariza, Jose Luis/G-5525-2015; Sanchez-Rodas, Daniel/C-3904-2013</t>
  </si>
  <si>
    <t>Giraldez Diaz, Inmaculada/0000-0002-6277-0161; Gomez-Ariza, Jose Luis/0000-0001-7997-7444; Morales Carrillo de Albornoz, Emilio Felipe/0000-0003-1781-9250; Sanchez-Rodas, Daniel/0000-0002-4803-4248</t>
  </si>
  <si>
    <t>C/O STBS LTD, PO BOX 90, READING RG1 8JL, BERKS, ENGLAND</t>
  </si>
  <si>
    <t>10.1080/03067319908047304</t>
  </si>
  <si>
    <t>373PR</t>
  </si>
  <si>
    <t>WOS:000165298300010</t>
  </si>
  <si>
    <t>Sljivic-Ivanovic, M; Smiciklas, I; Jovic, M; Dimovic, S; Onjia, A</t>
  </si>
  <si>
    <t>Sljivic-Ivanovic, Marija; Smiciklas, Ivana; Jovic, Mihajlo; Dimovic, Slavko; Onjia, Antonije</t>
  </si>
  <si>
    <t>Amendment Type and Dose Effects onto Coexisting Copper, Lead, and Nickel Ions Distribution in Soil</t>
  </si>
  <si>
    <t>Soil remediation; Toxic metals; Mobility; Waste valorization; Soil additives; Sequential extraction</t>
  </si>
  <si>
    <t>SEQUENTIAL EXTRACTION PROCEDURE; HEAVY-METALS; RED MUD; CONTAMINATED SOILS; MUSSEL SHELL; MINE SOILS; SORPTION; FRACTIONATION; ADSORPTION; IMMOBILIZATION</t>
  </si>
  <si>
    <t>The use of soil additives for toxic metals chemical stabilization aims to decrease in situ the pollutants' mobility and availability. In this study, the effectiveness of rinsed red mud (RBRM) and annealed animal bones (B400) was compared in terms of Cu, Pb and Ni stabilization in two contaminated soils with contrasting properties Dystric Cambisol (CM dy) and Rendzic Leptosol (LP rz). The mobility of metals in unamended soil samples (control) and samples amended with 1% and 5% of selected additives were compared using sequential extraction protocol. The relative content of metals in readily and potentially available fractions was higher in CM dy (62% Pb, 13% Cu, and 31% Ni in exchangeable fraction) than in LP rz (&lt; 5% of Pb, Cu, Ni in exchangeable fraction). In CM dy, both additives have caused a decrease in metal mobility with an increase of their doses. The effect of 5% sorbent addition was most pronounced related to Pb immobilization, provoking decrease of exchangeable Pb content to &lt; 10%. Furthermore, B400 addition has redistributed investigated metals from the exchangeable to the residual phase more effectively than RBRM, and its effect on metal mobility decreased in the order Pb &gt; Cu &gt; Ni. Amending of LP rz soil had limited effects with no apparent decrease in exchangeable metal content. The effects of soil type variation, the type of additive and the additive dose onto metal mobility were compared according to ANOVA results. The content of readily and potentially available forms of metals was found to be (i) significantly correlated with all investigated variables for Pb, (ii) significantly correlated with soil type for Cu, and (iii) not in significant correlation with selected variables for Ni. Complex impacts of soil properties and treatment conditions on the mobility of co-contaminants emphasize the need for an individual approach to each case of contamination.</t>
  </si>
  <si>
    <t>[Sljivic-Ivanovic, Marija; Smiciklas, Ivana; Jovic, Mihajlo; Dimovic, Slavko] Univ Belgrade, Vinca Inst Nucl Sci, POB 522, Belgrade 11000, Serbia; [Onjia, Antonije] Univ Belgrade, Fac Technol &amp; Met, Karnegijeva 4, Belgrade 11000, Serbia</t>
  </si>
  <si>
    <t>Sljivic-Ivanovic, M (corresponding author), Univ Belgrade, Vinca Inst Nucl Sci, POB 522, Belgrade 11000, Serbia.</t>
  </si>
  <si>
    <t>marijasljivic@vin.bg.ac.rs</t>
  </si>
  <si>
    <t>Sljivic-Ivanovic, Marija/AAG-5070-2020; Smičiklas, Ivana/JMQ-0135-2023; Onjia, Antonije/AAA-6417-2021; Jovic, Mihajlo/U-8340-2017</t>
  </si>
  <si>
    <t>Onjia, Antonije/0000-0002-5694-7960; Sljivic-Ivanovic, Marija/0000-0001-5897-0083; Smiciklas, Ivana/0000-0002-7384-7312; Jovic, Mihajlo/0000-0002-3293-5797</t>
  </si>
  <si>
    <t>10.1007/s11270-018-3981-0</t>
  </si>
  <si>
    <t>GV9ZX</t>
  </si>
  <si>
    <t>WOS:000446522400002</t>
  </si>
  <si>
    <t>Warnau, M; Teyssie, JL; Fowler, SW</t>
  </si>
  <si>
    <t>Cadmium bioconcentration in the echinoid Paracentrotus lividus: Influence of the cadmium concentration in seawater</t>
  </si>
  <si>
    <t>MUSSEL MYTILUS-EDULIS; POLLUTION; INVERTEBRATES; ACCUMULATION; INDICATOR; METALS</t>
  </si>
  <si>
    <t>Uptake and loss kinetics of cadmium were studied in Paracentrotus lividus exposed for 24 d to different stable Cd concentrations (0 to 1.14 mu g Cd l(-1)) and Cd-109 tracer added to seawater. The whole-body uptake kinetics were linear over the time course of the experiment. The whole-body Cd-109 concentration factor was independent of the stable Cd concentration in ambient seawater. Bioconcentration of Cd in whole individuals and their body compartments was directly proportional to the Cd concentration added to the seawater. The echinoid digestive tract wall showed the highest degree of Cd uptake. Whole-body loss kinetics were described by a 2-component exponential equation. The loss kinetics were similar for each of the treatments examined. Cadmium was found to display a long biological half-life in echinoid tissues; the major fraction (73 to 85%) of the Cd taken up by echinoids was eliminated following a loss component whose biological half-life was of the order of 1 year, regardless of the absolute Cd concentration accumulated by the echinoid. Paracentrotus lividus is suggested as a valuable biomonitor of Cd, particularly where knowledge of Cd concentration variations over long-term is of interest. Copyright (C) 1996 Elsevier Science Ltd.</t>
  </si>
  <si>
    <t>IAEA,MARINE ENVIRONM LAB,MC-98012 MONACO,MONACO</t>
  </si>
  <si>
    <t>Warnau, M (corresponding author), FREE UNIV BRUSSELS,BIOL MARINE LAB,50 AV FD ROOSEVELT,CP 160-15,B-1050 BRUSSELS,BELGIUM.</t>
  </si>
  <si>
    <t>10.1016/S0141-1136(96)00093-1</t>
  </si>
  <si>
    <t>WD621</t>
  </si>
  <si>
    <t>WOS:A1997WD62100005</t>
  </si>
  <si>
    <t>Lim, PE; Lee, CK; Din, Z</t>
  </si>
  <si>
    <t>Accumulation of heavy metals by cultured oysters from Merbok Estuary, Malaysia</t>
  </si>
  <si>
    <t>NORTH ADRIATIC SEA; CRASSOSTREA-VIRGINICA; TRACE-METALS; COPPER; BIVALVES; BIOCONCENTRATION; BIOACCUMULATION; WATER</t>
  </si>
  <si>
    <t>The Merbok Estuary in Malaysia has a good potential of developing into a rich bivalve culture area. However, there is some concern on the likelihood of bio-accumulation of heavy metal by the oysters cultured there, since Merbok River is classified as very polluted. The accumulation of Cu and Zn in oysters (Crassostrea iredalei and Crassostrea belcheri) cultured at two locations in the estuary was studied. The results indicated that the Cu levels in oysters reaching marketable size are within the limit of 40 ppm specified in the Malaysian Food Regulations 1985, whereas Zn levels exceeded the limit of 100 ppm. The metal concentration data were fitted to a first-order kinetic model, and good agreement was found between the predicted and observed Cu concentrations using the chi(2) test. The Zn data, however, did not fit the model. The Cu bioconcentration factors (BCF) for C. belcheri cultured at the two locations were found to be about 4.5 x 10(3), which is close to that for C. iredalei. The results suggests that BCF value is site-specific.</t>
  </si>
  <si>
    <t>UNIV SAINS MALAYSIA, SCH CHEM SCI, CTR MARINE &amp; COASTAL STUDIES, GEORGE TOWN 11800, MALAYSIA.</t>
  </si>
  <si>
    <t>10.1016/0025-326X(95)00144-C</t>
  </si>
  <si>
    <t>WOS:A1995TM84200041</t>
  </si>
  <si>
    <t>Wang, H; Yang, HS; Liu, JH; Li, YH; Liu, ZG</t>
  </si>
  <si>
    <t>Wang Hui; Yang Hongshuai; Liu Jiahui; Li Yanhong; Liu Zhigang</t>
  </si>
  <si>
    <t>Combined effects of water temperature and copper ion concentration on catalase activity in Crassostrea ariakensis</t>
  </si>
  <si>
    <t>Crassostrea ariakensis; catalase; temperature; copper ion concentration; combined effects</t>
  </si>
  <si>
    <t>MUSSELS MYTILUS-GALLOPROVINCIALIS; INDUCED OXIDATIVE STRESS; LIPID-PEROXIDATION; DIGESTIVE GLAND; ANTIOXIDANT DEFENSE; ENZYME-ACTIVITIES; GLUTATHIONE-PEROXIDASE; SUPEROXIDE-DISMUTASE; BIOCHEMICAL MARKERS; SEASONAL-VARIATION</t>
  </si>
  <si>
    <t>A central composite experimental design and response surface method were used to investigate the combined effects of water temperature (18-34A degrees C) and copper ion concentration (0.1-1.5 mg/L) on the catalase (CAT) activity in the digestive gland of Crassostrea ariakensis. The results showed that the linear effects of temperature were significant (P &lt; 0.01), the quadratic effects of temperature were significant (P &lt; 0.05), the linear effects of copper ion concentration were not significant (P &gt; 0.05), and the quadratic effects of copper ion concentration were significant (P &lt; 0.05). Additionally, the synergistic effects of temperature and copper ion concentration were not significant (P &gt; 0.05), and the effect of temperature was greater than that of copper ion concentration. A model equation of CAT enzyme activity in the digestive gland of C. ariakensis toward the two factors of interest was established, with R (2), Adj. R (2) and Pred. R (2) values as high as 0.943 7, 0.887 3 and 0.838 5, respectively. These findings suggested that the goodness of fit to experimental data and predictive capability of the model were satisfactory, and could be practically applied for prediction under the conditions of the study. Overall, the results suggest that the simultaneous variation of temperature and copper ion concentration alters the activity of the antioxidant enzyme CAT by modulating active oxygen species metabolism, which may be utilized as a biomarker to detect the effects of copper pollution.</t>
  </si>
  <si>
    <t>[Wang Hui] Huaiyin Normal Univ, Sch Life Sci, Huaian 223300, Peoples R China; [Yang Hongshuai; Liu Jiahui; Li Yanhong; Liu Zhigang] Guangdong Ocean Univ, Coll Fisheries, Zhanjiang 524088, Peoples R China</t>
  </si>
  <si>
    <t>Huaiyin Normal University; Guangdong Ocean University</t>
  </si>
  <si>
    <t>Liu, ZG (corresponding author), Guangdong Ocean Univ, Coll Fisheries, Zhanjiang 524088, Peoples R China.</t>
  </si>
  <si>
    <t>liuzg919@126.com</t>
  </si>
  <si>
    <t>li, yao/IYJ-1364-2023</t>
  </si>
  <si>
    <t>Guangdong Province Science &amp; Technology Project [2010B020201014]; Guangdong Province Education Department [GCZX-A0909]; Guangdong Province Ocean and Fisheries Science &amp; Technology Extension Project [20120980]; Guangdong Province Industry-University-Science Partnership Project [20110908]; Sci &amp; Tech Plan of Huaiyin Normal University [00wh0031]</t>
  </si>
  <si>
    <t>Guangdong Province Science &amp; Technology Project; Guangdong Province Education Department; Guangdong Province Ocean and Fisheries Science &amp; Technology Extension Project; Guangdong Province Industry-University-Science Partnership Project; Sci &amp; Tech Plan of Huaiyin Normal University</t>
  </si>
  <si>
    <t>Supported by the Guangdong Province Science &amp; Technology Project (No. 2010B020201014), the Guangdong Province Education Department (No. GCZX-A0909), the Guangdong Province Ocean and Fisheries Science &amp; Technology Extension Project (No. 20120980), the Guangdong Province Industry-University-Science Partnership Project (No. 20110908), and the Sci &amp; Tech Plan of Huaiyin Normal University (No. 00wh0031)</t>
  </si>
  <si>
    <t>10.1007/s00343-015-4212-9</t>
  </si>
  <si>
    <t>CL5XI</t>
  </si>
  <si>
    <t>WOS:000357037100011</t>
  </si>
  <si>
    <t>Angelo, RT; Cringan, MS; Chamberlain, DL; Stahl, AJ; Haslouer, SG; Goodrich, CA</t>
  </si>
  <si>
    <t>Angelo, Robert T.; Cringan, M. Steve; Chamberlain, Diana L.; Stahl, Anthony J.; Haslouer, Stephen G.; Goodrich, Clint A.</t>
  </si>
  <si>
    <t>Residual effects of lead and zinc mining on freshwater mussels in the Spring River Basin (Kansas, Missouri, and Oklahoma, USA)</t>
  </si>
  <si>
    <t>bioindicators; Corbicula fluminea; ecological risk assessment; freshwater mussels; metals; mining; natural resource damage assessment; sediment quality guidelines; surface water quality standards</t>
  </si>
  <si>
    <t>UNIONID MUSSELS; DREISSENA-POLYMORPHA; METAL POLLUTION; ZEBRA MUSSEL; BIVALVIA; FISH; EXTINCTIONS; UNIONOIDA; VERDIGRIS; MOLLUSKS</t>
  </si>
  <si>
    <t>Concentrations of selected trace elements in surface water and fluvial sediment were investigated as possible factors limiting the distribution and abundance of freshwater mussels in the Spring River Basin, a 6600 km(2) watershed overlapping a former Ph and Zn mining and ore processing district in the central USA. Mussel taxa richness surveys and supporting physical habitat assessments were performed in 23 stream reaches dispersed throughout the basin and above and below former mining sites. Quantitative mussel density surveys were performed in the Spring River at one upstream reference location and one downstream location. Concentrations of 16 trace elements in the soft tissues of mussels and Asian clams (Corbicula fluminea) were determined at most survey sites. Comparable analyses were performed on surface water samples collected during base flow and peak flow synoptic surveys and sediment samples collected during base flow periods. Sites on the Spring River immediately upstream of heavily mined areas supported at least 21-25 species of mussels, whereas sites near the lower terminus of the river yielded evidence of 6-8 extant species. Between the upper and lower quantitative survey sites, mean mussel and clam densities declined by 89% and 97%, respectively. Tributary reaches below heavily mined areas lacked evident bivalve communities and contained concentrations of Cd, Ph, and Zn that continually or sporadically exceeded hardness-dependent water quality criteria and consensus-based sediment quality guidelines (probable effect concentrations). In less contaminated stream reaches supporting bivalves, concentrations of Cd, Pb, and Zn in mussels and clams were correlated spatially with the levels occurring in surficial sediment (0.50 &lt;= tau &lt;= 0.64, p &lt;= 0.03). In non-headwater perennial stream reaches, sediment Cd, Pb, and Zn levels were related inversely to mussel taxa richness (-0.80 &lt;= tau &lt;= -0.64, p &lt;= 0.004). Metal contaminant burdens in mussels and clams fluctuated measurably in association with variable stream flow conditions and accompanying changes in surface water and sediment chemistry. Concentrations of Cd, Pb, and Zn in mussels approximately paralleled the levels measured in composite clam samples (0.74 &lt;= tau &lt;= 0.79, p &lt; 0.001), implying C fluminea could serve as a possible surrogate for native mussels in future metal bioaccumulation studies. Overall, streams draining heavily mined areas exhibited depauperate (or fully extirpated) mussel assemblages and correspondingly elevated concentrations of Cd, Pb, and Zn in water, sediment, and bivalve tissue. Other evaluated environmental chemistry parameters, and physical habitat conditions assessed at the stream reach scale, demonstrated little general relationship to the degraded status of these assemblages. We conclude that pollution attributable to former mining operations continues to adversely influence environmental quality and impede the recovery of mussel communities in a large portion of the Spring River Basin. (C) 2007 Elsevier B.V. All rights reserved.</t>
  </si>
  <si>
    <t>Kansas Dept Hlth &amp; Environm, Topeka, KS 66612 USA</t>
  </si>
  <si>
    <t>Angelo, RT (corresponding author), Kansas Dept Hlth &amp; Environm, 1000 SW Jackson St,Suite 430, Topeka, KS 66612 USA.</t>
  </si>
  <si>
    <t>bangelo@kdhe.state.ks.us</t>
  </si>
  <si>
    <t>10.1016/j.scitotenv.2007.05.045</t>
  </si>
  <si>
    <t>219DA</t>
  </si>
  <si>
    <t>WOS:000250063700039</t>
  </si>
  <si>
    <t>Lettieri, G; Mollo, V; Ambrosino, A; Caccavale, F; Troisi, J; Febbraio, F; Piscopo, M</t>
  </si>
  <si>
    <t>Lettieri, Gennaro; Mollo, Velia; Ambrosino, Alessia; Caccavale, Filomena; Troisi, Jacopo; Febbraio, Ferdinando; Piscopo, Marina</t>
  </si>
  <si>
    <t>Molecular effects of copper on the reproductive system of mytilus galloprovincialis</t>
  </si>
  <si>
    <t>copper; Mytilus galloprovincialis; protamine-like proteins; reproduction; sperm chromatin</t>
  </si>
  <si>
    <t>DNA-DAMAGE; CHAETOPTERUS-VARIOPEDATUS; OXIDATIVE STRESS; QUANTITATIVE PCR; HUMAN OOCYTES; HISTONE H1; L-ARGININE; SPERM; EXPRESSION; TOXICITY</t>
  </si>
  <si>
    <t>This study aims to assess the effects induced by 24hr exposure to a subtoxic copper concentration on the reproductive system (gonads, spermatozoa, and protamine-like [PL] proteins) of Mytilus galloprovincialis. Inductively coupled plasma-mass spectrometry indicated accumulation of this metal in gonads, spermatozoa, and PL proteins of exposed mussels. Further, real-time polymerase chain reaction analyses showed altered expression levels of mt10 and PL proteins genes in spermatozoa and gonads, respectively, of exposed mussels. Protamine-like proteins, which represent the main basic component of sperm chromatin of this organism, showed a higher DNA binding affinity and a different DNA binding mode in exposed mussels. Moreover, an increased amount of NaCl was required for the release from sperm nuclei of PL-III, the main PL protein component. Finally, PL proteins extracted from exposed mussels promoted DNA oxidative damage in the presence of H O-2 (2.) These results demonstrate that the tolerable copper amount could also affect the properties of PL proteins and determine the negative effects on the reproductive system of this organism. These analyses could be useful to develop quick and efficient chromatin-based genotoxicity tests for pollution biomonitoring programs.</t>
  </si>
  <si>
    <t>[Lettieri, Gennaro; Mollo, Velia; Ambrosino, Alessia; Caccavale, Filomena; Piscopo, Marina] Univ Naples Federico II, Dept Biol, Naples, Italy; [Caccavale, Filomena] Stn Zool Anton Dohrn, Dept Biol &amp; Evolut Marine Organisms, Naples, Italy; [Troisi, Jacopo] Univ Salerno, Theoreo Srl Spin Off, Salerno, Italy; [Febbraio, Ferdinando] Natl Res Council Italy, Inst Prot Biochem, Naples, Italy</t>
  </si>
  <si>
    <t>University of Naples Federico II; Stazione Zoologica Anton Dohrn di Napoli; University of Salerno; Consiglio Nazionale delle Ricerche (CNR); Istituto di Biochimica delle Proteine (IBP-CNR)</t>
  </si>
  <si>
    <t>Febbraio, F (corresponding author), CNR, Inst Prot Biochem, Via Pietro Castellino 111, I-80131 Naples, Italy.;Piscopo, M (corresponding author), Univ Naples Federico II, Dept Biol, Mol Biol, Via Cinthia, I-80126 Naples, Italy.</t>
  </si>
  <si>
    <t>Febbraio, Ferdinando/AAX-8255-2020; PISCOPO, MARINA/AAU-5505-2020; caccavale, filomena/AAT-9316-2020; Troisi, Jacopo/ABC-1348-2021; Lettieri, Gennaro/AAZ-1164-2020</t>
  </si>
  <si>
    <t>Febbraio, Ferdinando/0000-0002-3653-9847; Troisi, Jacopo/0000-0003-2962-7379; Lettieri, Gennaro/0000-0002-0141-3320</t>
  </si>
  <si>
    <t>10.1002/mrd.23114</t>
  </si>
  <si>
    <t>WOS:000494150000010</t>
  </si>
  <si>
    <t>SALANKI, J; VBALOGH, K</t>
  </si>
  <si>
    <t>PHYSIOLOGICAL BACKGROUND FOR USING FRESH-WATER MUSSELS IN MONITORING COPPER AND LEAD POLLUTION</t>
  </si>
  <si>
    <t>INTERNATIONAL CONF ON ENVIRONMENTAL BIOASSAY TECHNIQUES AND THEIR APPLICATION</t>
  </si>
  <si>
    <t>JUL 11-14, 1988</t>
  </si>
  <si>
    <t>UNIV LANCASTER, LANCASTER, ENGLAND</t>
  </si>
  <si>
    <t>UNIV LANCASTER</t>
  </si>
  <si>
    <t>SALANKI, J (corresponding author), HUNGARIAN ACAD SCI,BALATON LIMNOL RES INST,H-8237 TIHANY,HUNGARY.</t>
  </si>
  <si>
    <t>DEC 27</t>
  </si>
  <si>
    <t>10.1007/BF00027812</t>
  </si>
  <si>
    <t>CK355</t>
  </si>
  <si>
    <t>WOS:A1989CK35500047</t>
  </si>
  <si>
    <t>Liu, X; Wang, WX</t>
  </si>
  <si>
    <t>Liu, Xuan; Wang, Wen-Xiong</t>
  </si>
  <si>
    <t>Physiological and cellular responses of oysters (Crassostrea hongkongensis) in a multimetal-contaminated estuary</t>
  </si>
  <si>
    <t>Estuary; Metal pollution; Biomarker; Bioaccumulation; Biomonitor</t>
  </si>
  <si>
    <t>PEARL RIVER ESTUARY; TRACE-METAL CONTAMINATION; MUSSEL MYTILUS-EDULIS; BIOMARKER RESPONSES; LYSOSOMAL DESTABILIZATION; BIOCHEMICAL BIOMARKERS; ALKALINE-PHOSPHATASE; COASTAL ENVIRONMENTS; ANTIOXIDANT ENZYMES; SOUTH CHINA</t>
  </si>
  <si>
    <t>The Pearl River estuary, southern China, suffers from multiple sources of metal contamination as a result of the rapid industrial development in the region; but the biological impacts of contamination remain unknown. In the present study, a euryhaline oyster, Crassostrea hongkongensis, was collected from different sites of the Pearl River estuary; and various physiological (heart rate, alkaline phosphatase as homeostatic regulation, and glycogen as energy reserve) and cytological (lysosomal membrane stability) biomarkers were quantified to assess this species as a potential bioindicator of metal pollution in contaminated areas. Large variations of metal accumulation levels in the oysters were documented, especially for copper (Cu), zinc (Zn), cadmium (Cd), chromium, and nickel (Ni). Among these metals, the authors demonstrated significant correlations between the digestive gland metal accumulation of Cu, Zn, and Ni and the cellular homeostasis (alkaline phosphatase) and glycogen reserves. Heart rate was positively correlated with Cd but negatively correlated with Cu and Zn concentrations in the gills. Lysosomal membrane stability was significantly inhibited at the most contaminated sites but had no relationship with the accumulated metal concentrations. These measurements indicate that multimetal contamination in the Pearl River estuary impacts the physiological and cytological performance of oysters. Environ Toxicol Chem 2016;35:2577-2586. (c) 2016 SETAC</t>
  </si>
  <si>
    <t>[Liu, Xuan; Wang, Wen-Xiong] Hong Kong Univ Sci &amp; Technol, Div Life Sci, Kowloon, Hong Kong, Peoples R China; [Wang, Wen-Xiong] Hong Kong Univ Sci &amp; Technol, Shenzhen Res Inst, Shenzhen, Peoples R China</t>
  </si>
  <si>
    <t>Hong Kong University of Science &amp; Technology; Hong Kong University of Science &amp; Technology</t>
  </si>
  <si>
    <t>Wang, WX (corresponding author), Hong Kong Univ Sci &amp; Technol, Div Life Sci, Kowloon, Hong Kong, Peoples R China.;Wang, WX (corresponding author), Hong Kong Univ Sci &amp; Technol, Shenzhen Res Inst, Shenzhen, Peoples R China.</t>
  </si>
  <si>
    <t>National Natural Science Foundation [21237004]; Hong Kong Research Grants Council [662813]</t>
  </si>
  <si>
    <t>National Natural Science Foundation(National Natural Science Foundation of China (NSFC)); Hong Kong Research Grants Council(Hong Kong Research Grants Council)</t>
  </si>
  <si>
    <t>The present study was supported by a Key Project from the National Natural Science Foundation (21237004) and a General Research Fund grant from the Hong Kong Research Grants Council (662813).</t>
  </si>
  <si>
    <t>10.1002/etc.3426</t>
  </si>
  <si>
    <t>DY0UD</t>
  </si>
  <si>
    <t>WOS:000384810800025</t>
  </si>
  <si>
    <t>Hansen, G; Shumway, SE; Mason, RP; Baumann, Z</t>
  </si>
  <si>
    <t>Hansen, Gunnar; Shumway, Sandra E.; Mason, Robert P.; Baumann, Zofia</t>
  </si>
  <si>
    <t>A Comparative Study of Mercury Bioaccumulation in Bivalve Molluscs from a Shallow Estuarine Embayment</t>
  </si>
  <si>
    <t>MUSSEL MYTILUS-EDULIS; OYSTERS CRASSOSTREA-VIRGINICA; MERCENARIA-MERCENARIA; GEUKENSIA-DEMISSA; TROPHIC TRANSFER; HARD CLAM; METAL BIOACCUMULATION; METHYLMERCURY UPTAKE; ATLANTIC SILVERSIDE; FEEDING-BEHAVIOR</t>
  </si>
  <si>
    <t>In estuarine food webs, bivalve molluscs transfer nutrients and pollutants to higher trophic levels. Mercury (Hg) pollution is ubiquitous, but it is especially elevated in estuaries historically impacted by industrial activities, such as those in the U.S. Northeast. Monomethylmercury (MeHg), the organic form of Hg, is highly bioaccumulative and transferable in the food web resulting in the highest concentrations in the largest and oldest marine predators. Patterns of Hg concentrations in marine bivalve molluscs, however, are poorly understood. In this study, inorganic Hg (iHg), MeHg, and the total Hg (THg) in soft tissues of the northern quahogs (Mercenaria mercenaria), eastern oysters (Crassostrea virginica), and ribbed mussels (Geukensia demissa) from eastern Long Island sound, a temperate estuary of the western North Atlantic Ocean was investigated. In all three species, concentrations of THg remained similar between the four sampling months (May, June, July, and September), and were mostly independent of animal size. In quahogs, MeHg and iHg displayed significant (p &lt; 0.05) positive (iHg in May and June) and negative (MeHg in July and September) changes with shell height. Variability in concentrations of THg, MeHg, and iHg, both inter- and intra-specifically was high and greater in quahogs and oysters (THg: 37, 39%, MeHg: 28, 39%, respectively) than in mussels (THg: 13%, MeHg: 20%). The percentage of THg that was MeHg (%MeHg) was also highly variable in the three species (range: 10-80%), highlighting the importance of measuring MeHg and not only THg in molluscs.</t>
  </si>
  <si>
    <t>[Hansen, Gunnar; Shumway, Sandra E.; Mason, Robert P.; Baumann, Zofia] Univ Connecticut, Dept Marine Sci, 1080 Shennecossett Rd, Groton, CT 06340 USA</t>
  </si>
  <si>
    <t>University of Connecticut</t>
  </si>
  <si>
    <t>Baumann, Z (corresponding author), Univ Connecticut, Dept Marine Sci, 1080 Shennecossett Rd, Groton, CT 06340 USA.</t>
  </si>
  <si>
    <t>zofia.baumann@uconn.edu</t>
  </si>
  <si>
    <t>shumway, sandra/0000-0003-1494-6297; Baumann, Zofia/0000-0002-1641-0202; Mason, Robert/0000-0003-0589-2629</t>
  </si>
  <si>
    <t>Connecticut Sea Grant, University of Connecticut [R/P-4]</t>
  </si>
  <si>
    <t>Connecticut Sea Grant, University of Connecticut</t>
  </si>
  <si>
    <t>This research was funded by the 2016-2018 Connecticut Sea Grant Omnibus Grant-award no. R/P-4 (PIs: R.P. Mason and Z. Baumann). We would like to thank Tessa Getchis for her assistance in identifying the sampling location and supporting shellfish collection in the field. Sampling would not be possible without the support of the Groton Shellfish Commission, especially the late warden Al Potter Sr. and his son, Al Potter Jr. who located areas suitable for oysters and quahog sampling. Others who supported the shellfish collections included James Harrington, Erika Edmiston, Wesley Huffman, and Katie Lund. We thank Dr. Nashat Mazrui and Prentiss Balcom for assistance in sampling sediments and water.</t>
  </si>
  <si>
    <t>10.1007/s00244-024-01058-w</t>
  </si>
  <si>
    <t>WOS:001191071100001</t>
  </si>
  <si>
    <t>Liu, HB; Chen, XB; Kang, IJ; Shimasaki, Y; Oshima, Y; Yang, J</t>
  </si>
  <si>
    <t>Liu, Hongbo; Chen, Xiubao; Kang, Ik Joon; Shimasaki, Yohei; Oshima, Yuji; Yang, Jian</t>
  </si>
  <si>
    <t>The valve movement response of three freshwater mussels Corbicula fluminea Muller 1774, Hyriopsis cumingii Lea 1852, and Anodonta woodiana Lea 1834 exposed to copper</t>
  </si>
  <si>
    <t>Valve movement; Hall element sensor system; Copper; Freshwater mussels</t>
  </si>
  <si>
    <t>HETEROCAPSA-CIRCULARISQUAMA; TAIHU LAKE; BEHAVIOR; CONTAMINATION; BIVALVES; METALLOTHIONEIN; BIOSENSOR; POLLUTION; UNIONIDAE; CLOSURE</t>
  </si>
  <si>
    <t>Biological early warning system (BEWS) is an innovative system for real-time water quality monitoring based on different behavioral responses of aquatic organisms. Mussels easily meet the requirement for optimal organisms in BEWS. However, little emphasis has been placed on freshwater mussels. In this study, the Hall element sensor system has been used to investigate exposure-response relationships of valve movement in freshwater Corbicula fluminea, Hyriopsis cumingii, and Anodonta woodiana exposed to a copper (Cu2+) gradient of 0, 0.01, 0.1, 1, and 10 mg l(-1). The measured behavioral parameters were compared to determine if a response could be elucidated, including the amplitude of valve opening (AVO) and frequency of valve adduction (FVA). The results suggest that the mean AVO was significantly decreased in C. fluminea exposed to 0.1 and 1 mg l(-1), and decreased for H. cumingii and A. woodiana after exposure to 10 mg l(-1). The mean FVA was significantly decreased in H. cumingii exposed to 1 and 10 mg l(-1), while A. woodiana revealed lower frequencies only at 10 mg l(-1). The three species showed inherent rhythms of valve movements and dose-dependent responses upon copper exposure, and H. cumingii showed the most obvious profile of a copper dose-valve movement response.</t>
  </si>
  <si>
    <t>[Liu, Hongbo; Chen, Xiubao; Yang, Jian] Chinese Acad Fishery Sci, Freshwater Fisheries Res Ctr, Key Lab Fishery Ecol Environm Assessment &amp; Resour, Wuxi 214081, Peoples R China; [Kang, Ik Joon] Kyushu Univ, Int Student Ctr, Fukuoka 8128581, Japan; [Shimasaki, Yohei; Oshima, Yuji] Kyushu Univ, Fac Agr, Dept Biosci &amp; Biotechnol, Aquat Biomonitoring &amp; Environm Lab, Fukuoka 8128581, Japan</t>
  </si>
  <si>
    <t>Chinese Academy of Fishery Sciences; Freshwater Fisheries Research Center, CAFS; Kyushu University; Kyushu University</t>
  </si>
  <si>
    <t>Yang, J (corresponding author), Chinese Acad Fishery Sci, Freshwater Fisheries Res Ctr, Key Lab Fishery Ecol Environm Assessment &amp; Resour, Wuxi 214081, Peoples R China.</t>
  </si>
  <si>
    <t>jiany@ffrc.cn</t>
  </si>
  <si>
    <t>Lu, Rui/KCJ-8212-2024; Liu, Hongbo/JTT-8388-2023</t>
  </si>
  <si>
    <t>xiong zhi, da dao/0000-0002-7682-9611</t>
  </si>
  <si>
    <t>National Natural Science Foundation of China [31072214]; JSPS RONPAKU Program [CSC11315]</t>
  </si>
  <si>
    <t>National Natural Science Foundation of China(National Natural Science Foundation of China (NSFC)); JSPS RONPAKU Program(Ministry of Education, Culture, Sports, Science and Technology, Japan (MEXT)Japan Society for the Promotion of Science)</t>
  </si>
  <si>
    <t>This work was supported by the National Natural Science Foundation of China (Grant No. 31072214) and JSPS RONPAKU (CSC11315) Program. The authors would like to thank Drs. Jason C. Raine, Martin Reichard, Katya E. Kovalenko, Luigi Naselli-Flores and anonymous reviewers for critically reading and comments that improved the manuscript.</t>
  </si>
  <si>
    <t>10.1007/s10750-015-2560-2</t>
  </si>
  <si>
    <t>DH1OS</t>
  </si>
  <si>
    <t>WOS:000372555100001</t>
  </si>
  <si>
    <t>Han, BC; Jeng, WL; Chen, RY; Fang, GT; Hung, TC; Tseng, RJ</t>
  </si>
  <si>
    <t>Estimation of target hazard quotients and potential health risks for metals by consumption of seafood in Taiwan</t>
  </si>
  <si>
    <t>DISEASE ENDEMIC AREA; FISH CONSUMPTION; POLYCHLORINATED-BIPHENYLS; MALIGNANT NEOPLASMS; INTERNAL CANCERS; DOSE-RESPONSE; COPLANAR PCBS; EXPOSURE; MERCURY; SELENIUM</t>
  </si>
  <si>
    <t>The purpose of this paper is to describe the impact of metal pollution on the main seafood and assess the potential health risk from consuming the contaminated seafood in Taiwan. The results of geometric mean (GM) metal concentrations in various seafood showed that the copper, zinc, and arsenic concentrations in oysters were significantly (p &lt; 0.001) higher than those in the other seafood by about 1,057, 74.3, and 56.2 times, respectively The green color found in the oysters was due to high GM copper and zinc concentrations of 909 (ranging from 113-2,805) and 1,293 (ranging from 303-3,593) mu g/g dry wt, respectively. In addition, using a maximum consumption rate of 139 g/day of oysters for individuals, calculations yield target hazard quotients (daily intake/reference dose) of below 1 for cadmium and mercury and high values of 1.61, 9.33, and 1.77 for inorganic arsenic, copper, and zinc in adults, respectively. The various lifetime cancer risks for inorganic arsenic (maximum exposed individuals risk ranging from 9.93 x 10(-6) to 3.11 x 10(-4)) might be caused by consuming different seafood in Taiwan. The highest risk estimate for inorganic arsenic was 5.10 x 10-4 for consumption of oysters by Machu Islands residents. The long-term exposure of metals through consumption of oysters, especially for some high-risk groups, could be dangerous. Taking inorganic arsenic for example, a 10-6 upper limit on lifetime risk as the health protection standard would require maximum oyster residue levels of approximately 0.0076-0.056 mu g/g wet wt, for consumption rates of 139-18.6 g/d. In the light of known risks to public health, the government should issue an immediate warning to the public to refrain from eating all seafood harvested from the Taiwan coastal areas, especially the Hsiangshan area and the Machu Islands.</t>
  </si>
  <si>
    <t>Taipei Med Coll, Sch Publ Hlth, Taipei, Taiwan; Natl Taiwan Univ, Inst Oceanog, Taipei 10764, Taiwan; Natl Taiwan Univ, Inst Toxicol, Taipei 10764, Taiwan; Chinese Cultural Univ, Dept Biol, Taipei, Taiwan</t>
  </si>
  <si>
    <t>Taipei Medical University; National Taiwan University; National Taiwan University; Chinese Culture University</t>
  </si>
  <si>
    <t>Han, BC (corresponding author), Taipei Med Coll, Sch Publ Hlth, 250 Wu Hsing St, Taipei, Taiwan.</t>
  </si>
  <si>
    <t>10.1007/s002449900535</t>
  </si>
  <si>
    <t>133ZA</t>
  </si>
  <si>
    <t>WOS:000076716400021</t>
  </si>
  <si>
    <t>Jou, LJ; Chen, BC; Chen, WY; Liao, CM</t>
  </si>
  <si>
    <t>Jou, Li-John; Chen, Bo-Ching; Chen, Wei-Yu; Liao, Chung-Min</t>
  </si>
  <si>
    <t>Sensory determinants of valve rhythm dynamics provide in situ biodetection of copper in aquatic environments</t>
  </si>
  <si>
    <t>Freshwater clam; Valve rhythm; Valvometry technique; Copper; Environmental monitoring; Biological early warning system</t>
  </si>
  <si>
    <t>CLAM CORBICULA-FLUMINEA; HETEROCAPSA-CIRCULARISQUAMA; CLOSURE BEHAVIOR; TOXICITY; MOVEMENT; RESPONSES; CADMIUM; SYSTEM; IMPACT</t>
  </si>
  <si>
    <t>This study successfully applied an improved valvometry technique to measure waterborne copper (Cu), based on valve activity dynamics of the freshwater clam Corbicula fluminea. The improved valvometry technique allows the use of free-range bivalves and avoids causing stresses from experimental artifacts. The proposed daily valve rhythm models and a toxicodynamics-based Hill model were linked to predict valve dynamic responses under different Cu exposures with a circadian valve rhythm endpoint. Cu-specific detection threshold was 5.6 (95 % CI 2.1-9.3) and 19.5 (14.6-24.3) mu g L-1 for C. fluminea, based on response times of 300 and 30 min, respectively. Upon exposure to Cu concentrations in excess of 50 mu g L-1, the alteration of valve rhythm behavior was correlated with Cu concentration within 30 min, indicating notable sensing ability. This study outlines the feasibility of an in situ early warning dynamic biomonitoring system for detection of waterborne Cu based on circadian valve activities of C. fluminea.</t>
  </si>
  <si>
    <t>[Jou, Li-John] Natl Ilan Univ, Dept Biomechatron Engn, Ilan 26047, Taiwan; [Chen, Bo-Ching] MingDao Univ, Dept Postmodern Agr, Changhua 52345, Taiwan; [Chen, Wei-Yu] Kaohsiung Med Univ, Dept Biomed Sci &amp; Environm Biol, Kaohsiung 80708, Taiwan; [Liao, Chung-Min] Natl Taiwan Univ, Dept Bioenvironm Syst Engn, Taipei 10617, Taiwan</t>
  </si>
  <si>
    <t>National Ilan University; Mingdao University; Kaohsiung Medical University; National Taiwan University</t>
  </si>
  <si>
    <t>Liao, CM (corresponding author), Natl Taiwan Univ, Dept Bioenvironm Syst Engn, Taipei 10617, Taiwan.</t>
  </si>
  <si>
    <t>Chen, weiyu/KXQ-9873-2024</t>
  </si>
  <si>
    <t>CHEN, WEI-YU/0000-0001-6975-1759</t>
  </si>
  <si>
    <t>Ministry of Science and Technology of the Republic of China [MOST 100-2313-B197-005]</t>
  </si>
  <si>
    <t>Ministry of Science and Technology of the Republic of China(Ministry of Science and Technology, Taiwan)</t>
  </si>
  <si>
    <t>This work was supported by the Ministry of Science and Technology of the Republic of China under Grant MOST 100-2313-B197-005. The authors acknowledge two anonymous reviewers for making significant contributions to improve the quality of the final manuscript.</t>
  </si>
  <si>
    <t>10.1007/s11356-015-5735-5</t>
  </si>
  <si>
    <t>DI6LB</t>
  </si>
  <si>
    <t>WOS:000373609300036</t>
  </si>
  <si>
    <t>Benedetti, M; Lanzoni, I; Nardi, A; d'Errico, G; Di Carlo, M; Fattorini, D; Nigro, M; Regoli, F</t>
  </si>
  <si>
    <t>Benedetti, Maura; Lanzoni, Ilaria; Nardi, Alessandro; d'Errico, Giuseppe; Di Carlo, Marta; Fattorini, Daniele; Nigro, Marco; Regoli, Francesco</t>
  </si>
  <si>
    <t>Oxidative responsiveness to multiple stressors in the key Antarctic species, Adamussium colbecki: Interactions between temperature, acidification and cadmium exposure</t>
  </si>
  <si>
    <t>18th International Symposium on Pollutant Responses in Marine Organisms (PRIMO)</t>
  </si>
  <si>
    <t>MAY 24-27, 2015</t>
  </si>
  <si>
    <t>Trondheim, NORWAY</t>
  </si>
  <si>
    <t>Antarctic scallop; Multiple stressors; Climate change; Cadmium; Oxidative stress; Antioxidant defences</t>
  </si>
  <si>
    <t>ANTIOXIDANT DEFENSE SYSTEMS; FISH TREMATOMUS-BERNACCHII; OCEAN ACIDIFICATION; SOUTHERN-OCEAN; TRACE-METALS; BIOCHEMICAL-CHARACTERIZATION; CRASSOSTREA-VIRGINICA; BIOMARKERS RESPONSES; SEDIMENT CHEMISTRY; GENE-EXPRESSION</t>
  </si>
  <si>
    <t>High-latitude marine ecosystems are ranked to be among the most sensitive regions to climate change since highly stenothermal and specially adapted organisms might be seriously affected by global warming and ocean acidification. The present investigation was aimed to provide new insights on the sensitivity to such environmental stressors in the key Antarctic species, Adamussium colbecki, focussing also on their synergistic effects with cadmium exposure, naturally abundant in this area for upwelling phenomena. Scallops were exposed for 2 weeks to various combinations of Cd (0 and 40 mu gL-1), pH (8.05 and 7.60) and temperature (-1 and +1 degrees C). Beside Cd bioaccumulation, a wide panel of early warning biomarkers were analysed in digestive glands and gills including levels of metallothioneins, individual antioxidants and total oxyradical scavenging capacity, onset of oxidative cell damage like lipid peroxidation, lysosomal stability, DNA integrity and peroxisomal proliferation. Results indicated reciprocal interactions between multiple stressors and their elaboration by a quantitative hazard model based on the relevance and magnitude of effects, highlighted a different sensitivity of analysed tissues. Due to cellular adaptations to high basal Cd content, digestive gland appeared more tolerant toward other prooxidant stressors, but sensitive to variations of the metal. On the other hand, gills were more affected by various combinations of stressors occurring at higher temperature. (C) 2016 Elsevier Ltd. All rights reserved.</t>
  </si>
  <si>
    <t>[Benedetti, Maura; Lanzoni, Ilaria; Nardi, Alessandro; d'Errico, Giuseppe; Di Carlo, Marta; Fattorini, Daniele; Regoli, Francesco] Univ Politecn Marche, Dipartimento Sci Vita &amp; Ambiente, Ancona, Italy; [Nigro, Marco] Univ Pisa, Dipartimento Med Clin &amp; Sperimentale, I-56100 Pisa, Italy</t>
  </si>
  <si>
    <t>Marche Polytechnic University; University of Pisa</t>
  </si>
  <si>
    <t>Regoli, F (corresponding author), Univ Politecn Marche, Dipartimento Sci Vita &amp; Ambiente, Ancona, Italy.</t>
  </si>
  <si>
    <t>Nardi, Alessandro/AAH-1535-2021; Fattorini, Daniele/A-2969-2010; Benedetti, Maura/K-5399-2016; Regoli, Francesco/K-2719-2018</t>
  </si>
  <si>
    <t>Benedetti, Maura/0000-0003-0803-3846; Nardi, Alessandro/0000-0002-9978-1411; Di Carlo, Marta/0000-0003-3609-8313; Regoli, Francesco/0000-0001-6084-6188</t>
  </si>
  <si>
    <t>10.1016/j.marenvres.2016.03.011</t>
  </si>
  <si>
    <t>DZ1ML</t>
  </si>
  <si>
    <t>WOS:000385602400004</t>
  </si>
  <si>
    <t>EFFECT OF MERCURY AND SELENIUM ON THE GILL FUNCTION OF MYTILUS-EDULIS</t>
  </si>
  <si>
    <t>The effect of selenium and mercury on the filtration, oxygen cosumption and associated process of ciliary activity of Mytilus edulis was studied. Mussels were exposed to mercury (50 .mu.g Hg l-1) and selenium (50 .mu.g Se l-1) or to a combination of mercury (50 .mu.g Hg l-1) and selenium in an equidosal (50 .mu.g Se l-1) or equimolar (19.7 .mu.g Se l-1) ratio for 120 h. The filtration rate in mussels exposed to mercury and combined treatments was severely affected within 24 h. Mussels exposed to selenium showed a reduced filtration rate intermediate between the controls and the other treatments. The effect of the individual and combined treatments on ciliary activity was transient whilst the effect on oxygen consumption was not significant. Under these laboratory conditions selenium in its reduced chemical form failed to protect mussels against mercury toxicity.</t>
  </si>
  <si>
    <t>UNIV COLL SWANSEA, DEPT EARTH SCI, SWANSEA SA2 8PP, W GLAM, WALES</t>
  </si>
  <si>
    <t>Swansea University</t>
  </si>
  <si>
    <t>10.1016/0025-326X(90)90592-V</t>
  </si>
  <si>
    <t>DN571</t>
  </si>
  <si>
    <t>WOS:A1990DN57100028</t>
  </si>
  <si>
    <t>Di Salvatore, P; Calcagno, JA; Ortíz, N; de Molina, MDR; Sabatini, SE</t>
  </si>
  <si>
    <t>Di Salvatore, Pablo; Calcagno, Javier A.; Ortiz, Nicolas; del Carmen Rios de Molina, Maria; Sabatini, Sebastian E.</t>
  </si>
  <si>
    <t>Effect of seasonality on oxidative stress responses and metal accumulation in soft tissues of Aulacomya atra, a mussel from the South Atlantic Patagonian coast</t>
  </si>
  <si>
    <t>Aulacomya atra; Trace metals; Metal bioaccumulation; Temperature effects; Oxidative stress; Antioxidant defenses</t>
  </si>
  <si>
    <t>ANTIOXIDANT DEFENSE SYSTEMS; MYTILUS-GALLOPROVINCIALIS; LIPID-PEROXIDATION; HEAVY-METALS; SUPEROXIDE-DISMUTASE; TRACE-ELEMENTS; POLYCHLORINATED-BIPHENYLS; LATERNULA-ELLIPTICA; AQUATIC ORGANISMS; PROTEIN OXIDATION</t>
  </si>
  <si>
    <t>This study investigated the effects of pollution and its interaction with temperature on the oxidative status of the ribbed mussel Aulacomya atra in the southern Atlantic Patagonian coast. Animals were collected from four sites with different degree and type of human activity impact, during the summer and winter of 2011. Seawater chromium, copper, manganese, nickel and zinc concentrations were measured, as well as metal accumulation, lipid peroxidation, protein oxidation, reduced glutathione levels, and enzymatic activities of superoxide dismutase and glutathione-S-transferase in gills and digestive glands. Metal bioaccumulation and oxidative stress responses in both tissues were generally higher in mussels from harbor areas. Water temperature had a remarkable effect on gill SOD activity and protein oxidation during winter in mussels from all locations. Methodologically, we conclude that measuring both metal bioaccumulation and oxidative stress responses allowed for a more accurate assessment of the biological effects of metal present in seawater. (C) 2013 Elsevier Ltd. All rights reserved.</t>
  </si>
  <si>
    <t>[Di Salvatore, Pablo; del Carmen Rios de Molina, Maria; Sabatini, Sebastian E.] Univ Buenos Aires, Fac Ciencias Exactas &amp; Nat, IQUIBICEN Dept Quim Biol, Buenos Aires, DF, Argentina; [Calcagno, Javier A.] Univ Maimonides, ISI, CEBBAD Dept Ciencias Nat &amp; Antropol, Buenos Aires, DF, Argentina; [Ortiz, Nicolas] Consejo Nacl Invest Cient &amp; Tecn, CENPAT, Puerto Madryn, Argentina; [Sabatini, Sebastian E.] Univ Buenos Aires, Fac Ciencias Exactas &amp; Nat, Dept Biodiversidad &amp; Biol Expt, Buenos Aires, DF, Argentina</t>
  </si>
  <si>
    <t>University of Buenos Aires; Centro Nacional Patagonico (CENPAT); Consejo Nacional de Investigaciones Cientificas y Tecnicas (CONICET); University of Buenos Aires</t>
  </si>
  <si>
    <t>Sabatini, SE (corresponding author), Univ Buenos Aires, Fac Ciencias Exactas &amp; Nat, IQUIBICEN Dept Quim Biol, Lab Enzimol Estres &amp; Metab, Pabellon 2,Intendente Guiraldes 2160,C1428EHA, Buenos Aires, DF, Argentina.</t>
  </si>
  <si>
    <t>This work was supported by grants: UBACYT 20020100300055 and ANPCYT PICT-2010-0260 to SES, UBACYT 20020100100985 to MCRM. We thank Martin Fea for his kind help and Martin Tresguerres for his helpful comments.</t>
  </si>
  <si>
    <t>10.1016/j.marenvres.2013.10.004</t>
  </si>
  <si>
    <t>260BC</t>
  </si>
  <si>
    <t>WOS:000327569000026</t>
  </si>
  <si>
    <t>Antognelli, C; Baldracchini, F; Frosini, R; Piazzoli, A; Talesa, V; Giovannini, E</t>
  </si>
  <si>
    <t>Effects of exposure to sublethal copper concentration on glyoxalase system enzymes in specimens of Scapharca inaequivalvis</t>
  </si>
  <si>
    <t>BIOCHEMICAL SYSTEMATICS AND ECOLOGY</t>
  </si>
  <si>
    <t>glyoxalase I; glyoxalase II; lactate dehydrogenase; copper toxicity; environmental pollution; Scapharca inaequivalvis</t>
  </si>
  <si>
    <t>MYTILUS-GALLOPROVINCIALIS; HEAVY-METALS; ACCUMULATION; CADMIUM; CONTAMINATION; GLUTATHIONE; METABOLISM; METALLOTHIONEIN; METHYLGLYOXAL; PURIFICATION</t>
  </si>
  <si>
    <t>The present investigation relates the changes in the activity of glyoxalase enzymes (glyoxalase I, G I, and glyoxalase U, G II) in certain tissues (foot, gills and digestive gland) of the bivalve mollusc Scapharca inaequivalvis after a two-week exposure to a sublethal concentration (1.6 mu M, 0.1 ppm) of Cu++ and untreated control specimens in marine water. The trials also included determination of Cu content in the tissues and measurements of lactate dehydrogenase (LDH) activity, to estimate either possible Cu accumulation or alterations in glycolytic activity. Copper accumulation was present in all the studied organs, being 45-fold increased in the gills. G I, G II and LDH activities were unchanged in the digestive gland after Cu exposure. G I activity in foot and gills of Cu-exposed animals decreased, likely due to a drop in the glycolytic rate, as pointed out by the parallel decrease of LDH activity. After Cu exposure, G II activity was unchanged in the gills, maybe to secure enough levels of GSH; however, in the foot G II activity decreased, likely giving an increased intracellular amount Of S-D-lactoylglutathione as energy supplier. (C) 2006 Elsevier Ltd. All rights reserved.</t>
  </si>
  <si>
    <t>Univ Perugia, Dept Expt Med, Div Cellular &amp; Mol Biol, I-06122 Perugia, Italy</t>
  </si>
  <si>
    <t>University of Perugia</t>
  </si>
  <si>
    <t>Antognelli, C (corresponding author), Univ Perugia, Dept Expt Med, Div Cellular &amp; Mol Biol, Via Giochetto, I-06122 Perugia, Italy.</t>
  </si>
  <si>
    <t>cinzia.antognelli@libero.it</t>
  </si>
  <si>
    <t>ANTOGNELLI, Cinzia/0000-0002-8259-680X</t>
  </si>
  <si>
    <t>0305-1978</t>
  </si>
  <si>
    <t>BIOCHEM SYST ECOL</t>
  </si>
  <si>
    <t>Biochem. Syst. Ecol.</t>
  </si>
  <si>
    <t>10.1016/j.bse.2005.11.008</t>
  </si>
  <si>
    <t>Biochemistry &amp; Molecular Biology; Ecology; Evolutionary Biology</t>
  </si>
  <si>
    <t>Biochemistry &amp; Molecular Biology; Environmental Sciences &amp; Ecology; Evolutionary Biology</t>
  </si>
  <si>
    <t>029LH</t>
  </si>
  <si>
    <t>WOS:000236563400001</t>
  </si>
  <si>
    <t>Fiorati, A; Grassi, G; Graziano, A; Liberatori, G; Pastori, N; Melone, L; Bonciani, L; Pontorno, L; Punta, C; Corsi, I</t>
  </si>
  <si>
    <t>Fiorati, Andrea; Grassi, Giacomo; Graziano, Aurora; Liberatori, Giulia; Pastori, Nadia; Melone, Lucio; Bonciani, Lisa; Pontorno, Lorenzo; Punta, Carlo; Corsi, Ilaria</t>
  </si>
  <si>
    <t>Eco-design of nanostructured cellulose sponges for sea-water decontamination from heavy metal ions</t>
  </si>
  <si>
    <t>Eco-design; Sea water remediation; Nanocellulose; Nanosponges; Polyethyleneimine</t>
  </si>
  <si>
    <t>DIGESTIVE CELLS; NANOMATERIALS; RESPONSES; TOXICITY; SEDIMENTS; MUSSEL; BAY</t>
  </si>
  <si>
    <t>The growing human activity on the sea coasts is more and more associated to a progressively increasing of seawater pollution. Ship operational discharges (such as bilge water), together with local accidents or illegal activities, often lead to detect ppm concentrations of heavy metal ions in marine waters. For this reason, highly efficient remediation technologies are required to guarantee the abatement of these contaminants. The use of engineered nanomaterials (ENMs) is emerging as a valuable alternative for environmental remediation. However, the concerns related to ENMs potential ecotoxicity still limit their use in real scenarios, in spite of the good to excellent remediation performances. The correct choice of the starting material and of the synthetic protocol could provide new safe-by-design solutions for this purpose. Following this approach, we herein report the eco-design strategy used for the development of eco-friendly cellulose-based nanostructured sponges (CNS). The latter resulted to be effective sorbent units for heavy metals removal from seawater. The materials were obtained following a two-step protocol, consisting first in the production of TEMPO-oxidized cellulose nanofibers, followed by their cross-linking in the presence of branched polyethyleneimine. CNSs herein described exhibit high performances in removing a wide range of heavy metal ions (Zn(II), Cd(II), Cr(III), Hg(II), Ni(II), and Cu(II)) from artificial sea water (ASW) in a concentration range of 1-250 ppm. Environmental safety of materials (ecosafety) was investigated by using a standardized ecotoxicity bioassay as algal growth inhibition test (OECD 201) coupled with an in vivo exposure study using a filter-feeder marine bivalve species in which immune cells viability (neutral red retention time) and genotoxicity (micronucleus test) were investigated. The results in terms of eco-safety evaluation led to the optimization of the material synthetic strategy (ecodesign) and allow to combine the best decontamination efficiency with no risk for aquatic biota. (C) 2019 Elsevier Ltd. All rights reserved.</t>
  </si>
  <si>
    <t>[Fiorati, Andrea; Graziano, Aurora; Pastori, Nadia; Melone, Lucio; Punta, Carlo] Politecn Milan, Dept Chem Mat &amp; Chem Engn G Natta, Piazza Leonardo da Vinci 32, I-20133 Milan, Italy; [Fiorati, Andrea; Graziano, Aurora; Pastori, Nadia; Melone, Lucio; Punta, Carlo] Politecn Milan, INSTM Local Unit, Piazza Leonardo da Vinci 32, I-20133 Milan, Italy; [Grassi, Giacomo; Liberatori, Giulia; Corsi, Ilaria] Univ Siena, Dept Phys Earth &amp; Environm Sci, Siena, Italy; [Grassi, Giacomo; Liberatori, Giulia; Corsi, Ilaria] Univ Siena, INSTM Local Unit, Siena, Italy; [Bonciani, Lisa; Pontorno, Lorenzo] BIOCHEM LAB Srl, Via Limite 27G, I-50013 Campi Bisenzio, FI, Italy</t>
  </si>
  <si>
    <t>Polytechnic University of Milan; Polytechnic University of Milan; University of Siena; University of Siena</t>
  </si>
  <si>
    <t>Punta, C (corresponding author), Politecn Milan, Dept Chem Mat &amp; Chem Engn G Natta, Piazza Leonardo da Vinci 32, I-20133 Milan, Italy.;Punta, C (corresponding author), Politecn Milan, INSTM Local Unit, Piazza Leonardo da Vinci 32, I-20133 Milan, Italy.;Corsi, I (corresponding author), Univ Siena, Dept Phys Earth &amp; Environm Sci, Siena, Italy.;Corsi, I (corresponding author), Univ Siena, INSTM Local Unit, Siena, Italy.</t>
  </si>
  <si>
    <t>carlo.punta@polimi.it; ilaria.corsi@unisi.it</t>
  </si>
  <si>
    <t>Punta, CARLO/AAS-4413-2020; Fiorati, Andrea/AGW-0722-2022; corsi, ilaria/D-3795-2012</t>
  </si>
  <si>
    <t>Grassi, Giacomo/0000-0002-9907-0636; Fiorati, Andrea/0000-0002-2260-0563; corsi, ilaria/0000-0002-1811-3041</t>
  </si>
  <si>
    <t>Regione Toscana, Italy (POR CReO FESR Toscana) [30/07/2014-LA 1.1.5 CUP 3389.3007 2014.067000007]</t>
  </si>
  <si>
    <t>Regione Toscana, Italy (POR CReO FESR Toscana)</t>
  </si>
  <si>
    <t>This work was supported by the project NANOBOND (Nanomaterials for Remediation of Environmental Matrices associated to Dewatering, Nanomateriali per la Bonifica associata a Dewatering di matrici ambientali), funded by Regione Toscana, Italy (POR CReO FESR Toscana 2014-2020 - 30/07/2014-LA 1.1.5 CUP 3389.3007 2014.067000007).</t>
  </si>
  <si>
    <t>10.1016/j.jclepro.2019.119009</t>
  </si>
  <si>
    <t>JY8BF</t>
  </si>
  <si>
    <t>WOS:000504632600065</t>
  </si>
  <si>
    <t>Golestaninasab, M; Malek, M; Roohi, A; Karbassi, AR; Amoozadeh, E; Rashidinejad, R; Ghayoumi, R; Sures, B</t>
  </si>
  <si>
    <t>Golestaninasab, M.; Malek, M.; Roohi, A.; Karbassi, A. R.; Amoozadeh, E.; Rashidinejad, R.; Ghayoumi, R.; Sures, B.</t>
  </si>
  <si>
    <t>A survey on bioconcentration capacities of some marine parasitic and free-living organisms in the Gulf of Oman</t>
  </si>
  <si>
    <t>Cadmium; Lead; Gulf of Oman; Parasites; Rays; Marine organisms; Bioindicators</t>
  </si>
  <si>
    <t>MICROWAVE-ASSISTED DIGESTION; BIOINDICATORS; INDICATORS; SEDIMENTS</t>
  </si>
  <si>
    <t>During the course of the present study 21 rays including Himantura cf.gerrardi and Glaucostegus granulatus infected with the four cestode species Tetragonocephalum sp., Polypocephalus sp., Rhinebothrium sp1., and Rhinebothrium sp2. as well as three species of free living animals including the barnacle Amphibalanus amphitrite, and the two bivalve species Saccostrea cucullata and Barbatia obliquata were studied from the Gulf of Oman in respect to their cadmium and lead concentrations. All specimens were analyzed using graphite furnace atomic absorption spectrometry (GFAAS) for metal concentrations. In all cases, Cd and Pb concentrations in cestodes were higher than those in the tissues of the respective fish. The cosmopolitan barnacle species A. amphitrite showed the highest bioconcentration for all metals. However, the cestode species and especially Polypocephalus sp. could be an additional reliable metal indicator. The combination of mobile parasites together with sedentary species (i.e. barnacles) might be the most effective way to indicate local pollution levels and to relate this to an estimation of the average pollution level in larger geographical zones. (C) 2013 Elsevier Ltd. All rights reserved.</t>
  </si>
  <si>
    <t>[Golestaninasab, M.; Malek, M.; Roohi, A.; Amoozadeh, E.; Rashidinejad, R.] Univ Tehran, Coll Sci, Sch Biol, Tehran, Iran; [Golestaninasab, M.; Malek, M.; Roohi, A.; Amoozadeh, E.; Rashidinejad, R.] Univ Tehran, Coll Sci, Ctr Excellence Phylogeny Living Organisms, Tehran, Iran; [Sures, B.] Univ Duisburg, Dept Aquat Ecol, Essen, Germany; [Sures, B.] Univ Duisburg, Ctr Water &amp; Environm Res ZWU, Essen, Germany</t>
  </si>
  <si>
    <t>Sures, Bernd/B-6652-2013; Roohi Aminjan, Atabak/B-5139-2019; Karbassi, AR/ACE-6492-2022; Golestaninasab, Mehdi/AAY-7499-2021; Malek, Masoumeh/AAG-3851-2020; Karbassi, Abdolreza/H-6332-2016</t>
  </si>
  <si>
    <t>Golestaninasab, Mehdi/0000-0003-2456-6378; Karbassi, Abdolreza/0000-0002-9408-908X; Roohi Aminjan, Atabak/0000-0002-6785-0259; Sures, Bernd/0000-0001-6865-6186</t>
  </si>
  <si>
    <t>Department of Environment of Iran and the University of Tehran</t>
  </si>
  <si>
    <t>The authors would like thank Department of Environment of Iran and the University of Tehran for financial support, Mr. Abbas Kazemi for his help during the specimen collections.</t>
  </si>
  <si>
    <t>10.1016/j.ecolind.2013.09.039</t>
  </si>
  <si>
    <t>285HT</t>
  </si>
  <si>
    <t>WOS:000329385300011</t>
  </si>
  <si>
    <t>Gómez, M; Patrón, S; Fajardo-Herrera, R; Mendoza, DD; Martínez-Pájaro, C; Pasqualino, J; Lambis-Miranda, HA</t>
  </si>
  <si>
    <t>Gomez, Margareth; Patron, Santiago; Fajardo-Herrera, Reinaldo; Mendoza, Dina del C.; Martinez-Pajaro, Cesar; Pasqualino, Jorgelina; Lambis-Miranda, Henry A.</t>
  </si>
  <si>
    <t>Preliminary Characterization of Chromium (VI) Solution Adsorption with Mytella charruana in Semi-Artificial Environments</t>
  </si>
  <si>
    <t>Hexavalent chromium; Mytella charruana; Biofilter; Adsorption</t>
  </si>
  <si>
    <t>ZERO-VALENT IRON; HEXAVALENT CHROMIUM; REMOVAL; REDUCTION; DORBIGNY; HYDROCARBONS; SEDIMENTS; VARIANCE; MUSSELS; RISK</t>
  </si>
  <si>
    <t>The bivalve specie Mytella charruana has shown great potential as a bioindicator in natural waters and a biofilter for the adsorption of metals, such as Cr(VI). This species has been found in important densities in Cartagena de Indias Bay, where high concentrations of Cr(VI) have also been reported. Thus, the purpose of this paper is to study the potential of the bivalve specie Mytella charruana, grown in Cr(VI) rich media, as a bio-adsorption treatment for Cr(VI) removal in aquatic environments such as mangrove ecosystems. For the experimental setup the bivalves collected from the mangrove roots were distributed into 5 L glass containers filled with unfiltered water from the media, and additional Cr(VI) solutions to reach 20, 30 and 50 mu g/L concentrations. The containers, prepared by triplicate and with 3 control tanks, were aerated for 4 days and samples were daily taken to follow the pH, conductivity, total dissolved solids, and Cr(VI) concentration in both water and biomass. The bivalve species demonstrated biological activity through the presence of feces and pseudofeces settled in the tanks, the reduction of Cr(VI) concentration in the water phase, with and efficiency that improved with the initial concentration, and the survivability of the individuals. The bivalves acted as biofilters for the removal of Cr(VI) in the media, and, although they are not accumulating the contaminant in their organisms but eliminating it through their feces and pseudofeces.</t>
  </si>
  <si>
    <t>[Gomez, Margareth; Patron, Santiago] Fdn Univ Tecnol Comfenalco Cartagena, Proc Engn Program, Cartagena 080001, Colombia; [Fajardo-Herrera, Reinaldo] Univ Cartagena, Biol Program, Appl Biol Res Grp, Cartagena 080001, Colombia; [Mendoza, Dina del C.] Univ Cartagena, Res Grp Modelling Particles &amp; Proc, Dept Chem Engn, Cartagena 080001, Colombia; [Martinez-Pajaro, Cesar] Fdn Univ Tecnol Comfenalco Cartagena, Qual Control Technol Program, Cartagena 080001, Colombia; [Pasqualino, Jorgelina] Univ Tecnol Bolivar, Environm Engn Program, GISAH Res Grp, Campus Tecnol,Km 1 Via Turbaco Cartagena, Cartagena, Colombia; [Lambis-Miranda, Henry A.] Fdn Univ Tecnol Comfenalco, CIPTEC Res Grp, Cartagena, Colombia</t>
  </si>
  <si>
    <t>Fundacion Universitaria Tecnologico Comfenalco; Universidad de Cartagena; Universidad de Cartagena; Fundacion Universitaria Tecnologico Comfenalco; Universidad Tecnologica de Bolivar; Fundacion Universitaria Tecnologico Comfenalco</t>
  </si>
  <si>
    <t>Pasqualino, J (corresponding author), Univ Tecnol Bolivar, Environm Engn Program, GISAH Res Grp, Campus Tecnol,Km 1 Via Turbaco Cartagena, Cartagena, Colombia.</t>
  </si>
  <si>
    <t>jpasqualino@utb.edu.co</t>
  </si>
  <si>
    <t>Pasqualino, Jorgelina/IWM-6540-2023; Lambis Miranda, Henry Adolfo/AAT-7194-2020</t>
  </si>
  <si>
    <t>Pasqualino, Jorgelina/0000-0002-8731-762X; Lambis Miranda, Henry Adolfo/0000-0002-6261-4062; Fajardo Herrera, Reinaldo Jose/0000-0001-5936-8561; /0000-0003-2997-5293</t>
  </si>
  <si>
    <t>Fundacion Universitaria Tecnologico Comfenalco Cartagena (Colombia); Fundacion Universitaria Tecnologico Comfenalco - Cartagena [318]</t>
  </si>
  <si>
    <t>Fundacion Universitaria Tecnologico Comfenalco Cartagena (Colombia); Fundacion Universitaria Tecnologico Comfenalco - Cartagena</t>
  </si>
  <si>
    <t>The authors would like to thank the support given by Fundacion Universitaria Tecnologico Comfenalco Cartagena (Colombia), the members of the CIPTEC Research Group, Universidad de Cartagena, and Universidad Tecnologica de Bolivar. This work was funded by the Fundacion Universitaria Tecnologico Comfenalco - Cartagena (Resolution #318 from October 28th 2014).</t>
  </si>
  <si>
    <t>JAN 4</t>
  </si>
  <si>
    <t>10.1007/s11270-019-4349-9</t>
  </si>
  <si>
    <t>KL0UG</t>
  </si>
  <si>
    <t>WOS:000513147500001</t>
  </si>
  <si>
    <t>GRAS, N; THIECK, M; MUNOZ, L; HURTADO, S</t>
  </si>
  <si>
    <t>SEASONAL AND GEOGRAPHICAL VARIABILITY IN SOME TRACE-ELEMENTS OF PACIFIC OYSTERS (CRASSOSTREA GIGAS) CULTURED IN 2 DIFFERENT BAYS OF NORTHERN CHILE</t>
  </si>
  <si>
    <t>JOURNAL OF RADIOANALYTICAL AND NUCLEAR CHEMISTRY-ARTICLES</t>
  </si>
  <si>
    <t>The present study contributes preliminary data concerning the concentrations of eleven trace elements contained in Pacific Oysters (Crassostrea gigas) cultured in two different bays of Northern Chile, where heavy-metal pollution is already recognized as a problem. The trace element contents of this mollusc were studied at monthly intervals for 12 months (September 1987-August 1988). Copper and cadmium content was determined using radiochemical neutron activation analysis. Instrumental neutron activation analysis was used for the analysis of As, Br, Na, Se, Cr, Ag, Fe, Zn and Co. Various Standard Reference Materials were used to determine the accuracy of both methods. Significant differences were found comparing the contents of copper, cadmium and other elements during different seasons and in different locations of capture.</t>
  </si>
  <si>
    <t>GRAS, N (corresponding author), CHILEAN NUCL ENERGY COMMISS,LA REINA NUCL CTR,ACTIVAT ANAL LAB,POB 188D,SANTIAGO,CHILE.</t>
  </si>
  <si>
    <t>AKADEMIAI KIADO</t>
  </si>
  <si>
    <t>PO BOX 245, H-1519 BUDAPEST, HUNGARY</t>
  </si>
  <si>
    <t>0236-5731</t>
  </si>
  <si>
    <t>J RADIOAN NUCL CH AR</t>
  </si>
  <si>
    <t>J. Radioanal. Nucl. Chem.-Artic.</t>
  </si>
  <si>
    <t>10.1007/BF02034887</t>
  </si>
  <si>
    <t>Chemistry, Analytical; Chemistry, Inorganic &amp; Nuclear; Nuclear Science &amp; Technology</t>
  </si>
  <si>
    <t>Chemistry; Nuclear Science &amp; Technology</t>
  </si>
  <si>
    <t>JP684</t>
  </si>
  <si>
    <t>WOS:A1992JP68400014</t>
  </si>
  <si>
    <t>Neira, C; Levin, LA; Mendoza, G; Zirino, A</t>
  </si>
  <si>
    <t>Neira, Carlos; Levin, Lisa A.; Mendoza, Guillermo; Zirino, Alberto</t>
  </si>
  <si>
    <t>Alteration of benthic communities associated with copper contamination linked to boat moorings</t>
  </si>
  <si>
    <t>Benthos; California; community; copper contamination; diversity; macrofauna; marina; recreational boats; San Diego Bay sediment</t>
  </si>
  <si>
    <t>SAN-DIEGO BAY; ION-SELECTIVE ELECTRODE; MARINE SOFT-SEDIMENTS; COMPLEXATION CAPACITY; CHEMOSENSORY FUNCTION; ESTUARINE SEDIMENTS; ANTIFOULING PAINTS; REGRESSION TREES; NATURAL-WATERS; MYTILUS-EDULIS</t>
  </si>
  <si>
    <t>Although copper (Cu) is an essential element for life, leaching from boat paint can cause excess environmental loading in enclosed marinas. The effects of copper contamination on benthic macrofaunal communities were examined in three San Diego Bay marinas (America's Cup, Harbor Island West and East) in Southern California, USA. The distribution of Cu concentration in sediments exhibited a clear spatial gradient, with hotspots created by the presence of boats, which in two marinas exceeded the effect range medium (ERM). Elevated sediment Cu was associated with differences in benthic assemblages, reduced species richness and enhanced dominance in America's Cup and Harbor Island West, whereas Harbor Island East did not appear to be affected. At sites without boats there were greater abundances of some amphipods such as the species Desdimelita sp., Harpinia sp., Aoroides sp., Corophium sp., Podocerus sp., bivalves such as Lyonsia californica, Musculista senhousia, Macoma sp., and polychaetes such as Diplocirrus sp. In contrast, at sites with boats, densities of Pseudopolydora paucibranchiata, Polydora nuchalis, Euchone limnicola, Exogone lourei, Tubificoides spp. were enhanced. The limited impact on Harbor Island East suggests not only lower Cu input rates and increased water flushing and mixing, but also the presence of adequate defense mechanisms that regulate availability and mitigate toxic impacts. At all three marinas, Cu in tissues of several macrobenthic species exhibited Cu bioaccumulation above levels found in the surrounding environment. The annelids Lumbrineris sp. and Tubificoides spp., and the amphipod Desdimelita sp. contained high levels of Cu, suggesting they function as Cu bioaccumulators. The spionid polychaetes Polydora nuchalis and Pseudopolydora paucibranchiata had much lower Cu concentrations than surrounding sediments, suggesting they function as Cu bioregulators. The macrobenthic invertebrates in San Diego Bay marinas that tolerate Cu pollution (e.g. P.nuchalis, P.paucibranchiata, Euchone limnicola, Typosyllis sp., Tubificoides sp.) may function as indicators of high-Cu conditions, whereas the presence of Cu-sensitive species (e.g. Podocerus sp., Aoroides sp., Harpinia sp., Macoma sp., Lyonsia californica) may indicate healthier conditions (less Cu-stressed). Parallel responses by faunas of Shelter Island Yacht Basin, also in San Diego Bay, suggest potential for development of regional Cu contamination assessment criteria, and call for functional comparisons with other marinas and coastal water bodies.</t>
  </si>
  <si>
    <t>[Neira, Carlos; Levin, Lisa A.; Mendoza, Guillermo; Zirino, Alberto] Univ Calif San Diego, Scripps Inst Oceanog, Div Integrat Oceanog, La Jolla, CA 92093 USA; [Levin, Lisa A.] Univ Calif San Diego, Scripps Inst Oceanog, Ctr Marine Biodivers &amp; Conservat, La Jolla, CA 92093 USA; [Zirino, Alberto] Univ San Diego, Dept Marine &amp; Environm Sci, San Diego, CA 92110 USA</t>
  </si>
  <si>
    <t>University of California System; University of California San Diego; Scripps Institution of Oceanography; University of California System; University of California San Diego; Scripps Institution of Oceanography; University of San Diego</t>
  </si>
  <si>
    <t>Neira, C (corresponding author), Univ Calif San Diego, Scripps Inst Oceanog, Div Integrat Oceanog, 9500 Gilman Dr, La Jolla, CA 92093 USA.</t>
  </si>
  <si>
    <t>cneira@coast.ucsd.edu</t>
  </si>
  <si>
    <t>Levin, Lisa/0000-0002-2858-8622</t>
  </si>
  <si>
    <t>San Diego Unified Port District [53247]; California Department of Boating and Waterways [07-106-113]</t>
  </si>
  <si>
    <t>San Diego Unified Port District; California Department of Boating and Waterways</t>
  </si>
  <si>
    <t>The authors would like to thank F. Delgadillo-Hinojosa (UABC) who conducted the analysis of dissolved copper, D. Deheyn who generously provided laboratory facilities, M. Porrachia who assisted with the determination of copper in sediment and macrofauna and E. Kisfaludy who safely operated the boat during sample collection and assisted in the field. We thank the following people for assistance in the field and in the laboratory: S. Maezumi, J. Gonzalez, S. Perez, P. Lopez, D. Wang, M. Boland, B. Shoemaker and P. Cross. We thank S. Duncan and B. Deck (SIO Analytical Facility) for assistance with the analysis on the ICP-OES. We appreciate useful dialogue maintained with J. Gieskes during the course of this study. We thank two anonymous reviewers who provided valuable comments on an earlier version of our manuscrip. This study was funded by the San Diego Unified Port District (Contract 53247) and the California Department of Boating and Waterways (Contract 07-106-113).</t>
  </si>
  <si>
    <t>1439-0485</t>
  </si>
  <si>
    <t>10.1111/maec.12054</t>
  </si>
  <si>
    <t>AA5HT</t>
  </si>
  <si>
    <t>WOS:000331127400004</t>
  </si>
  <si>
    <t>Eraso-Ordoñez, JF; Yee-Duarte, JA; Roldán-Wong, NT; García-Ulloa, M; Góngora-Gómez, AM; Arellano-Martínez, M</t>
  </si>
  <si>
    <t>Eraso-Ordonez, Jessica F.; Yee-Duarte, Josue Alonso; Roldan-Wong, Nefertiti Tayde; Garcia-Ulloa, Manuel; Gongora-Gomez, Andres M.; Arellano-Martinez, Marcial</t>
  </si>
  <si>
    <t>Histopathological alterations in the gonads of wild white clams Dosinia ponderosa inhabiting a former copper mine locality in the Gulf of California</t>
  </si>
  <si>
    <t>bivalve mollusks; histopathology; metal pollution; reproductive health</t>
  </si>
  <si>
    <t>CRASSOSTREA-GIGAS THUNBERG; BAJA-CALIFORNIA; MARINE BIVALVES; MYTILUS-GALLOPROVINCIALIS; ENVIRONMENTAL STATUS; PACIFIC OYSTERS; EASTERN OYSTERS; SANTA ROSALIA; HEAVY-METALS; BIOACCUMULATION</t>
  </si>
  <si>
    <t>Objective: Prolonged exposure to heavy metals, such as Pb, Hg, or Cu, has multiple adverse effects on marine organisms at the cellular, physiological, and population levels. Bivalves' histopathology provides a sensitive biomarker of pollutant-induced stress and environmental health. Gonad tissue deterioration is of particular concern, as it affects the reproductive success of a species. This study aimed to examine the histopathological alterations caused by metal exposure in the gonad of the white clam Dosinia ponderosa.Methods: Organisms were sampled from three locations in the Gulf of California: Santa Rosalia (SR), a former Cu mining town; San Lucas beach (SL), a nearby site influenced by pollution; and Escondida beach (EB), which served as a control site. Histological and histochemical stains were used, and the prevalence and intensity level of each alteration were calculated.Result: The prevalence of alterations was higher in the ovaries of SR clams (92% compared to 60% in SL clams and 32.7% in EB clams), during spawning (91.4% com-pared to 20% in SL clams and 4.7% in EB clams), and in winter (93.5% compared to 30% in SL clams and 17.4% in EB clams).Conclusion: These findings suggest a significant deterioration in the gonads of white clams from SR, probably linked to the chronic exposure to high concentrations of Cu and possibly other heavy metals; hence, the reproductive health of the clams is likely compromised.</t>
  </si>
  <si>
    <t>[Eraso-Ordonez, Jessica F.; Arellano-Martinez, Marcial] Inst Politecn Nacl, Ctr Interdisciplinario Ciencias Marinas, La Paz, Baja California, Mexico; [Yee-Duarte, Josue Alonso; Roldan-Wong, Nefertiti Tayde] Univ Autonoma Baja California Sur, Dept Acad Ciencias Marinas &amp; Costeras, La Paz, Baja California, Mexico; [Garcia-Ulloa, Manuel; Gongora-Gomez, Andres M.] Inst Politecn Nacl, Ctr Interdisciplinario Invest Desarrollo Integral, Unidad Sinaloa, Guasave, Sinaloa, Mexico; [Roldan-Wong, Nefertiti Tayde] Univ Ottawa, Dept Biol, Ottawa, ON, Canada</t>
  </si>
  <si>
    <t>Instituto Politecnico Nacional - Mexico; Universidad Autonoma de Baja California; Instituto Politecnico Nacional - Mexico; University of Ottawa</t>
  </si>
  <si>
    <t>Arellano-Martínez, M (corresponding author), Inst Politecn Nacl, Ctr Interdisciplinario Ciencias Marinas, La Paz, Baja California, Mexico.</t>
  </si>
  <si>
    <t>arellano.marcial@gmail.com</t>
  </si>
  <si>
    <t>Yee-Duarte, Josue Alonso/F-3627-2019</t>
  </si>
  <si>
    <t>Yee-Duarte, Josue Alonso/0000-0002-7302-8974</t>
  </si>
  <si>
    <t>Secretaria de Investigacion y Posgrado [20220371]; Comision de Operacion y Fomento de Actividades Academicas del Instituto Politecnico Nacional; Estimulo al Desempeno de la Investigacion; Sistema Nacional de Investigadores</t>
  </si>
  <si>
    <t>Secretaria de Investigacion y Posgrado; Comision de Operacion y Fomento de Actividades Academicas del Instituto Politecnico Nacional; Estimulo al Desempeno de la Investigacion; Sistema Nacional de Investigadores</t>
  </si>
  <si>
    <t>This research was funded by Secretaria de Investigacion y Posgrado (projects 2023 and 20220371). J. F. Eraso-Ordonez is a fellow student of Beca de Estudios Institucional de Formacion de Investigadores (BEIFI) and Consejo Nacional de Ciencia y Tecnologia, and the results presented here are part of his doctoral dissertation. M. Garcia-Ulloa, A. M. Gongora-Gomez, and M. Arellano-Martinez received grants from Comision de Operacion y Fomento de Actividades Academicas del Instituto Politecnico Nacional, Estimulo al Desempeno de la Investigacion, and Sistema Nacional de Investigadores. J. Yee-Duarte received grants from Sistema Nacional de Investigadores. We thank Maria Elena Sanchez-Salazar for editing the English manuscript.</t>
  </si>
  <si>
    <t>10.1002/aah.10184</t>
  </si>
  <si>
    <t>J7ZL2</t>
  </si>
  <si>
    <t>WOS:000995807100001</t>
  </si>
  <si>
    <t>Ke, YZ; Wang, WX</t>
  </si>
  <si>
    <t>Ke, Yizhou; Wang, Wen-Xiong</t>
  </si>
  <si>
    <t>Dynamics of copper regulation in a marine clam Sinonovacula constricta at the organ level: Insight from a physiologically based pharmacokinetic model</t>
  </si>
  <si>
    <t>Copper; Physiologically based pharmacokinetic model; Razor clam; Transfer rate</t>
  </si>
  <si>
    <t>OYSTER CRASSOSTREA-HONGKONGENSIS; MUSSEL PERNA-VIRIDIS; TRACE-METALS; SUBCELLULAR-DISTRIBUTION; DIGESTIVE GLAND; RAZOR CLAM; CD; ACCUMULATION; ESTUARINE; BIOACCUMULATION</t>
  </si>
  <si>
    <t>Copper (Cu) is a common pollutant in estuaries and has received considerable attention worldwide. To gain an insight into the physiological mechanisms of waterborne Cu absorption, tissue distribution, storage, metabolism, and excretion in an estuarine razor clam Sinonovacula constricta, we developed a physiologically-based pharmacokinetic model based on prolonged Cu exposure with two exposure treatments. The tissues of S. constricta were divided into four parts: blood, digestive gland, gill, and other tissues. Our results showed that the waterborne Cu entered and exchanged with the gills and digestive gland, whereas digestive gland and other tissues were the main storage sites for Cu. Gills of S. constricta were able to maintain their Cu concentrations under both exposure treatments. Additionally, the gills exhibited a remarkable ability to remove Cu from water, with a transfer rate constant of 1.73 d-1 from the gills to water, while restricting its transfer from the blood with a transfer rate constant of 0.0131 d-1 from blood to gills. These results highlighted the crucial role of gills in regulating Cu levels in S. constricta as well as the detoxification and maintenance of metal homeostasis. Cu uptake rate constant in gill from waterborne was similar to that of digestive gland (0.294 vs. 0.364 L g-1 d-1), thus water entering the digestive tract was considered as another route of waterborne Cu absorption in bivalves. A significant amount of Cu in the blood was transferred to the digestive glands. These two factors explained the relatively higher Cu accumulation in the digestive glands than in other tissues in clams. The findings of this study enhanced our understanding of the homeostatic regulation and transportation mechanisms in marine bivalves.</t>
  </si>
  <si>
    <t>[Ke, Yizhou] Jimei Univ, Coll Fisheries, Yindou Rd 43, Xiamen 361021, Peoples R China; [Wang, Wen-Xiong] City Univ Hong Kong, Sch Energy &amp; Environm, Hong Kong, Peoples R China; [Wang, Wen-Xiong] City Univ Hong Kong, State Key Lab Marine Pollut, Kowloon, Hong Kong, Peoples R China; [Wang, Wen-Xiong] City Univ Hong Kong, Res Ctr Oceans &amp; Human Hlth, Shenzhen Res Inst, Shenzhen 518057, Peoples R China</t>
  </si>
  <si>
    <t>Jimei University; City University of Hong Kong; City University of Hong Kong; City University of Hong Kong; Shenzhen Research Institute, City University of Hong Kong</t>
  </si>
  <si>
    <t>Wang, WX (corresponding author), City Univ Hong Kong, Sch Energy &amp; Environm, Hong Kong, Peoples R China.;Wang, WX (corresponding author), City Univ Hong Kong, State Key Lab Marine Pollut, Kowloon, Hong Kong, Peoples R China.</t>
  </si>
  <si>
    <t>National Natural Science Foundation of China [32002379]</t>
  </si>
  <si>
    <t>We thank Xun Wang and Qiaoguo Tan for their assistance in using the software for modeling, and the anonymous reviewers for their constructive comments on this work. This study was supported by the National Natural Science Foundation of China (Grant Number: 32002379).</t>
  </si>
  <si>
    <t>10.1016/j.envpol.2023.122421</t>
  </si>
  <si>
    <t>R9QX6</t>
  </si>
  <si>
    <t>WOS:001067635700001</t>
  </si>
  <si>
    <t>Donaher, SE; Estes, SL; Dunn, RP; Gonzales, AK; Powell, BA; Martinez, NE</t>
  </si>
  <si>
    <t>Donaher, Sarah E.; Estes, Shanna L.; Dunn, Robert P.; Gonzales, Annelise K.; Powell, Brian A.; Martinez, Nicole E.</t>
  </si>
  <si>
    <t>Site- and species-specific metal concentrations, mobility, and bioavailability in sediment, flora, and fauna of a southeastern United States salt marsh</t>
  </si>
  <si>
    <t>Heavy metals; Halophytes; Bivalves; Salt marsh; Sequential extraction; Bioaccumulation factor (BAF)</t>
  </si>
  <si>
    <t>SPARTINA-ALTERNIFLORA CORDGRASS; HEAVY-METALS; ORGANIC-MATTER; PLANT ZONATION; 2 ESTUARIES; URANIUM; ACCUMULATION; BEHAVIOR; RADIONUCLIDES; MACROPHYTES</t>
  </si>
  <si>
    <t>Salt marshes are highly productive and valuable coastal ecosystems that act as filters for nutrients and pollutants at the land-sea interface. The salt marshes of the mid-Atlantic United States often exhibit geochemical behavior that varies significantly from other estuaries around the world, but our understanding of metal mobility and bioavailability remains incomplete for these systems. We sampled abiotic (water and sediment) and native biotic (three halophyte and two bivalve species) compartments of a southeastern United States salt marsh to understand the site- and species-specific metal concentrations, fractionation, and bioavailability for 16 metals and metalloids, including two naturally occurring radionuclides. Location on the marsh platform greatly influenced metal concentrations in sediment and metal bioaccumulation in halophytes, with sites above the mean high-water mark (i.e., high marsh zone) having lower concentrations in sediment but plants exhibiting greater biota sediment accumulation factors (BSAFs). Transition metal concentrations in the sediment were an average of 6x higher in the low marsh zone compared to the high marsh zone and heavy metals were on average 2x higher. Tissue- and species -specific preferential accumulation in bivalves provide opportunities for tailored biomonitoring programs. For example, mussel byssal threads accumulated ten of the sixteen studied elements to significantly greater concentrations compared to soft tissues and oysters had remarkably high soft tissue zinc concentrations (similar to 5000 mg/kg) compared to all other species and element combinations studied. Additionally, some of our results have important implications for understanding metal mobility and implementing effective remediation (specifically phytoremediation) strategies, including observations that (1) heavy metals exhibit distinct concentration spatial distributions and metal fractionation patterns which vary from the transition metals and (2) sediment organic matter fraction appears to play an important role in controlling sediment metal concentrations, fractionation, and plant bioavailability.</t>
  </si>
  <si>
    <t>[Donaher, Sarah E.; Gonzales, Annelise K.; Powell, Brian A.; Martinez, Nicole E.] Clemson Univ, Environm Engn &amp; Earth Sci, Anderson, SC 29625 USA; [Estes, Shanna L.] Clemson Univ, Dept Chem, Anderson, SC 29625 USA; [Dunn, Robert P.] North Inlet Winyah Bay Natl Estuarine Res Reserve, Georgetown, SC 29442 USA; [Dunn, Robert P.] Univ South Carolina, Baruch Marine Field Lab, Georgetown, SC 29442 USA; [Estes, Shanna L.; Powell, Brian A.; Martinez, Nicole E.] Ctr Nucl Environm Engn Sci &amp; Radioact Waste Manage, Clemson, SC 29634 USA</t>
  </si>
  <si>
    <t>Clemson University; Clemson University</t>
  </si>
  <si>
    <t>Donaher, SE (corresponding author), Clemson Univ, Environm Engn &amp; Earth Sci, Anderson, SC 29625 USA.</t>
  </si>
  <si>
    <t>sdonahe@clemson.edu</t>
  </si>
  <si>
    <t>Martinez, Nicole E/M-7538-2015; Estes, Shanna/M-2834-2013</t>
  </si>
  <si>
    <t>Martinez, Nicole E/0000-0002-7184-3043; Estes, Shanna/0000-0002-5210-3365</t>
  </si>
  <si>
    <t>Clemson University; Navy Environmental Sustainability Development through the US Department of the Navy, NAVFAC EXWC; [N39430-21-C-2203]</t>
  </si>
  <si>
    <t>Clemson University; Navy Environmental Sustainability Development through the US Department of the Navy, NAVFAC EXWC;</t>
  </si>
  <si>
    <t>We thank Reid Williams (Clemson University) for valuable guidance in the laboratory and collaboration on the sediment digestions. This work was supported by a Call Me Doctor Fellowship awarded to S. Donaher through Clemson University and a Navy Environmental Sustainability Development to Integration (NESDI) grant through the US Department of the Navy, NAVFAC EXWC (Award No. N39430-21-C-2203) to N. Martinez and B. Powell.</t>
  </si>
  <si>
    <t>10.1016/j.scitotenv.2024.171262</t>
  </si>
  <si>
    <t>PA7K3</t>
  </si>
  <si>
    <t>WOS:001211422400001</t>
  </si>
  <si>
    <t>Knigge, T; Monsinjon, T; Andersen, OK</t>
  </si>
  <si>
    <t>Surface-enhanced laser desorption/ionization-time of flight-mass spectrometry approach to biomarker discovery in blue mussels (Mytilus edulis) exposed to polyaromatic hydrocarbons and heavy metals under field conditions</t>
  </si>
  <si>
    <t>biomarker; heavy metals; Mytilus edulis; polyaromatic hydrocarbons; surface-enhanced laser desorption/ionization-time of flight</t>
  </si>
  <si>
    <t>PROTEIN EXPRESSION SIGNATURES; IDENTIFICATION; PROTEOMICS</t>
  </si>
  <si>
    <t>Proteomics provide potential in the discovery of new sensitive biomarkers for environmental pollution. To evaluate this potential, we have utilized ProteinChip(R) technology to analyze the proteomic profile of blue mussels (Mytilus edulis) from polluted marine habitats surrounding the island of Karmoy, Norway. Two different types of contamination, heavy metals and polyaromatic hydrocarbons (PAHs), were compared to a clean reference site. Differentially expressed proteins/peptides were found, which showed a specific induction or a general suppression associated with the field site of origin. By combining sets of protein markers in a tree-building algorithm, we were able to correctly classify samples from these sites with an accuracy of 90%.</t>
  </si>
  <si>
    <t>RF Akvamiljo, Marine Environm Ecotoxicol, Stavanger, Norway</t>
  </si>
  <si>
    <t>RF Rogaland Res Marine Environm Ecotoxicol, Mekjarvik 12, N-4070 Randaberg, Norway.</t>
  </si>
  <si>
    <t>Thomas.Knigge@rf.no</t>
  </si>
  <si>
    <t>Knigge, Thomas/B-4098-2014</t>
  </si>
  <si>
    <t>monsinjon, Tiphaine/0000-0001-6959-5522; Knigge, Thomas/0000-0002-6835-1080</t>
  </si>
  <si>
    <t>10.1002/pmic.200300828</t>
  </si>
  <si>
    <t>853BN</t>
  </si>
  <si>
    <t>WOS:000223801300022</t>
  </si>
  <si>
    <t>Odzak, N; Zvonaric, T</t>
  </si>
  <si>
    <t>Odzak, Niksa; Zvonaric, Tomislav</t>
  </si>
  <si>
    <t>THE USE OF THE MYTILUS GALLOPROVINCIALIS FOOT AS BIOLOGICAL INDICATOR OF LEAD CONTAMINATION IN COASTAL WATERS</t>
  </si>
  <si>
    <t>Bioindicator; Mytilus galloprovincialis; foot; lead contamination; experiment</t>
  </si>
  <si>
    <t>With a possibilities to use the foot of the mussel Mytilus galloprovincialis as a quantitative bioindicator of lead pollution of an aquatic area, three age groups (A=1, B=1.5 and C=2 years) were kept seven days in a tank with increased Pb levels. After seven days of Pb solution supply the rate of lead loss from mussel foot was observed. The process of metal accumulation versus time has showed slight exponential increase, whereas the metal excretion has been linear.</t>
  </si>
  <si>
    <t>[Odzak, Niksa; Zvonaric, Tomislav] Inst Oceanog &amp; Fisheries, Split, Croatia</t>
  </si>
  <si>
    <t>Odzak, N (corresponding author), Inst Oceanog &amp; Fisheries, Split, Croatia.</t>
  </si>
  <si>
    <t>V27ZL</t>
  </si>
  <si>
    <t>WOS:000208651000005</t>
  </si>
  <si>
    <t>Usero, J; Morillo, J; Gracia, I</t>
  </si>
  <si>
    <t>Heavy metal concentrations in molluscs from the Atlantic coast of southern Spain</t>
  </si>
  <si>
    <t>trace heavy metals; bivalve molluscs; Donax trunculus; Chanielea gallina; marine sediments</t>
  </si>
  <si>
    <t>TRACE-METALS; MYTILUS-GALLOPROVINCIALIS; PERNA-PERNA; HONG-KONG; SEDIMENTS; MUSSELS; GULF; POLLUTION; CU; CONTAMINATION</t>
  </si>
  <si>
    <t>Trace metals were determined in the two most abundant species of bivalve molluscs along the Atlantic coast of southern Spain (Donax trunculus and Chamelea gallina) and in the sediments where they live. The results show that the area near the mouth of the Huelva estuary is where the highest metal concentrations are found in sediments and in the two bivalve species. This is not surprising, considering that the Huelva estuary is the mouth of the Tinto and Odiel rivers, which have one of the highest levels of metal pollution of all the rivers of Europe. The two species of bivalves have different amounts of metals in their tissues. The concentrations of Cr, Cu, Pb, Zn, As and Hg in D. trunculus were significantly higher (p &lt; 0.05) than in C gallina; however, C. gallina contained more Ni and Cd. In both species the most abundant elements were Cu and Zn, while Hg showed the lowest values. There is a significant correlation (&lt; 0.05) for concentrations of Cu, Pb, Zn and Hg in D. trunculus and C gallina relative to their concentrations in surface sediments. (c) 2005 Elsevier Ltd. All rights reserved.</t>
  </si>
  <si>
    <t>Univ Seville, Dept Chem &amp; Environm Engn, Seville 41092, Spain</t>
  </si>
  <si>
    <t>University of Sevilla</t>
  </si>
  <si>
    <t>Univ Seville, Dept Chem &amp; Environm Engn, Camino Descubrimientos S-N, Seville 41092, Spain.</t>
  </si>
  <si>
    <t>jmorillo@esi.us.es</t>
  </si>
  <si>
    <t>Usero, José/AAC-6523-2020; Usero, Jose/L-8102-2014; Morillo, Jose/I-3205-2015</t>
  </si>
  <si>
    <t>Usero, Jose/0000-0002-2529-3722; Morillo, Jose/0000-0003-2578-0368</t>
  </si>
  <si>
    <t>10.1016/j.chemosphere.2004.11.089</t>
  </si>
  <si>
    <t>932EW</t>
  </si>
  <si>
    <t>WOS:000229538000013</t>
  </si>
  <si>
    <t>Werner, I; Teh, SJ; Datta, S; Lu, XQ; Young, TM</t>
  </si>
  <si>
    <t>Biomarker responses in Macoma nasuta (Bivalvia) exposed to sediments from northern San Francisco Bay</t>
  </si>
  <si>
    <t>sediments; biomarkers; stress proteins; histopathology; lysosomal membrane damage; Macoma nasuta; San Francisco Bay</t>
  </si>
  <si>
    <t>STRESS; SEA; INDEXES</t>
  </si>
  <si>
    <t>Our study investigates biomarker responses and survival of Macoma nasuta exposed to sediments collected from six locations in northern San Francisco Bay. Biomarkers analyzed were stress proteins (hsp70) in gill, mantle and digestive gland, lysosomal membrane damage and histopathologic lesions. Sediments and clam tissues were analyzed for a comprehensive suite of heavy metals and trace organic pollutants. Sediment grain size and organic carbon content were determined. Clams accumulated metals, polyaromatic hydrocarbons (PAHs) and organochlorine pesticides (aldrin and p,p'-DDT and its metabolites p,p'-DDD and p,p'-DDE). Pearson and Spearman correlation analysis revealed that mortality, hsp70 in gill and histopathologic lesion scores in gonads, and lysosomal membrane damage were significantly correlated with tissue concentrations of DDT and/or its metabolites. Tissue concentrations of metals, in particular nickel, chromium, and copper, were associated with macrophage aggregates in digestive gland and germ cell necrosis. Cadmium was linked to mortality and lysosomal membrane damage. (C) 2004 Elsevier Ltd. All rights reserved.</t>
  </si>
  <si>
    <t>Univ Calif Davis, Aquat Toxicol Program, Dept Anat Physiol &amp; Cell Biol, Sch Vet Med, Davis, CA 95616 USA; Univ Calif Davis, Dept Civil &amp; Environm Engn, Davis, CA 95616 USA</t>
  </si>
  <si>
    <t>University of California System; University of California Davis; University of California System; University of California Davis</t>
  </si>
  <si>
    <t>Univ Calif Davis, Aquat Toxicol Program, Dept Anat Physiol &amp; Cell Biol, Sch Vet Med, Davis, CA 95616 USA.</t>
  </si>
  <si>
    <t>iwerner@ucdavis.edu</t>
  </si>
  <si>
    <t>Young, Thomas/A-4786-2008</t>
  </si>
  <si>
    <t>10.1016/j.marenvres.2004.03.075</t>
  </si>
  <si>
    <t>WOS:000222199100032</t>
  </si>
  <si>
    <t>Campoy-Diaz, AD; Arribére, MA; Guevara, SR; Vega, IA</t>
  </si>
  <si>
    <t>Campoy-Diaz, Alejandra D.; Arribere, Maria A.; Ribeiro Guevara, Sergio; Vega, Israel A.</t>
  </si>
  <si>
    <t>Bioindication of mercury, arsenic and uranium in the apple snail Pomacea canaliculata (Caenogastropoda, Ampullariidae): Bioconcentration and depuration in tissues and symbiotic corpuscles</t>
  </si>
  <si>
    <t>Biomonitor; Water pollution; Symbiosis; Cyanobacteria; Heavy metal; Environmental health</t>
  </si>
  <si>
    <t>FRESH-WATER SNAILS; DIGESTIVE GLAND; MIDGUT GLAND; MYTILUS-GALLOPROVINCIALIS; PROSOBRANCH GASTROPODS; PIGMENTED CORPUSCLES; METAL CONTAMINATION; CAGED MUSSELS; CYANOBACTERIUM; OSMOREGULATION</t>
  </si>
  <si>
    <t>Pomacea canaliculata is a mollusk potentially useful as a biomonitor species of freshwater quality. This work explores the ability of snail tissues and symbiotic corpuscles to bioconcentrate and depurate mercury, arsenic, and uranium. Adult snails cultured in metal-free reconstituted water were exposed for eight weeks (bioaccumulation phase) to water with Hg (2 mu gL(-1)), As (10 mu gL(-1)), and U (30 mu gL(-1)) and then returned to the reconstituted water for other additional eight weeks (depuration phase). Elemental concentrations in digestive gland, kidney, symbiotic corpuscles and particulate excreta were determined by neutron activation analysis. The glandular symbiotic occupancy was measured by morphometric analysis. After exposure, the kidney showed the highest concentration of Hg, while the digestive gland accumulated mainly As and U. The subcellular distribution in symbiotic corpuscles was similar to 71%, similar to 48%, and similar to 11% for U, Hg, and As, respectively. Tissue depuration between weeks 8 and 16 was variable amongst elements. At week 16, the tissue depuration of U was the highest (digestive gland = 92%; kidney = 80%), while it was lower for Hg (digestive gland = 51%; kidney = 53%). At week 16, arsenic showed a differential pattern of tissue depuration (digestive gland = 23%; kidney = 88%). The symbiotic detoxification of the three elements in excreta was fast between weeks 8 and 10 and it was slower after on. At the end of the depuration, each element distributed differentially in digestive gland and symbiotic corpuscles. Our findings show that symbiotic corpuscles, digestive gland and kidney P. canaliculata are sensitive places for biomonitoring of Hg, As and U. (C) 2017 Elsevier Ltd. All rights reserved.</t>
  </si>
  <si>
    <t>[Campoy-Diaz, Alejandra D.; Vega, Israel A.] Univ Nacl Cuyo, CONICET, IHEM, RA-5500 Mendoza, Argentina; [Campoy-Diaz, Alejandra D.; Vega, Israel A.] Univ Nacl Cuyo, Fac Ciencias Med, Inst Fisiol, RA-5500 Mendoza, Argentina; [Arribere, Maria A.; Ribeiro Guevara, Sergio] Univ Nacl Cuyo, Inst Balseiro, Comis Nacl Energia Atom, RA-8400 San Carlos De Bariloche, Rio Negro, Argentina; [Vega, Israel A.] Univ Nacl Cuyo, Fac Ciencias Exactas &amp; Nat, Dept Biol, RA-5500 Mendoza, Argentina</t>
  </si>
  <si>
    <t>Consejo Nacional de Investigaciones Cientificas y Tecnicas (CONICET); University Nacional Cuyo Mendoza; University Nacional Cuyo Mendoza; Comision Nacional de Energia Atomica (CNEA); University Nacional Cuyo Mendoza; Instituto Balseiro; University Nacional Cuyo Mendoza</t>
  </si>
  <si>
    <t>Vega, IA (corresponding author), IHEM CONICET, Lab Fisiol, Casilla Correo 33, RA-5500 Mendoza, Argentina.</t>
  </si>
  <si>
    <t>ivega@mendoza-conicet.gob.ar</t>
  </si>
  <si>
    <t>Vega, Israel/ABB-1303-2020; Guevara, Sergio/I-9241-2019</t>
  </si>
  <si>
    <t>Ribeiro Guevara, Sergio/0000-0001-7203-7687; Arribere, Maria Angelica/0000-0003-1137-8466; Campoy-Diaz, Alejandra Daniela/0000-0001-9284-3686; Vega, Israel/0000-0002-1398-3611</t>
  </si>
  <si>
    <t>Universidad Nacional de Cuyo, Consejo Nacional de Investigaciones Cientificas y Tecnicas [PIP 112 201101 00052]; Fondo Nacional de Ciencia y Tecnica of Argentina [PICT 2013 1190]</t>
  </si>
  <si>
    <t>Universidad Nacional de Cuyo, Consejo Nacional de Investigaciones Cientificas y Tecnicas; Fondo Nacional de Ciencia y Tecnica of Argentina</t>
  </si>
  <si>
    <t>This work was supported by grants from Universidad Nacional de Cuyo, Consejo Nacional de Investigaciones Cientificas y Tecnicas (PIP 112 201101 00052) and Fondo Nacional de Ciencia y Tecnica of Argentina (PICT 2013 1190). The funders had no role in study design, data collection, and analysis, decision to publish, or preparation of the manuscript.</t>
  </si>
  <si>
    <t>10.1016/j.chemosphere.2017.12.145</t>
  </si>
  <si>
    <t>FW1QW</t>
  </si>
  <si>
    <t>WOS:000425075500023</t>
  </si>
  <si>
    <t>Lannig, G; Flores, JF; Sokolova, IM</t>
  </si>
  <si>
    <t>Lannig, Gisela; Flores, Jason F.; Sokolova, Inna M.</t>
  </si>
  <si>
    <t>Temperature-dependent stress response in oysters, Crassostrea virginica:: Pollution reduces temperature tolerance in oysters</t>
  </si>
  <si>
    <t>oyster; temperature; cadmium; aerobic scope; lipid peroxidation; RNA/DNA ratios</t>
  </si>
  <si>
    <t>ANTIOXIDANT ENZYME-ACTIVITIES; MYTILUS-GALLOPROVINCIALIS; LIPID-PEROXIDATION; THERMAL TOLERANCE; METALLOTHIONEIN SYNTHESIS; GLUTATHIONE DISULFIDE; OXYGEN-CONSUMPTION; OXIDATIVE STRESS; GMELIN BIVALVIA; ENERGY-BALANCE</t>
  </si>
  <si>
    <t>Combined effects of temperature and a toxic metal, cadmium (Cd), on energy metabolism were studied in a model marine bivalve, the eastern oyster Crassostrea virginica, acclimated at 20, 24 and 28 degrees C and exposed to 50 mu g l(-1) of Cd. Both increasing temperature and Cd exposure led to a rise in standard metabolic rates, and combined stressors appeared to override the capability for aerobic energy production resulting in impaired stress tolerance. Oysters exposed to elevated temperature but not Cd showed no significant change in condition, survival rate and lipid peroxidation, whereas those exposed to both Cd and temperature stress suffered high mortality accompanied by low condition index and elevated lipid peroxidation. Furthermore, RNA/DNA ratios indicative of protein synthesis rate, and levels of glutathione, which is involved in metal detoxification, increased in Cd-exposed oysters at 20 degrees C but not at 28 degrees C. Implications of the synergism between elevated temperatures and cadmium stress on energy metabolism of oysters are discussed in the light of the potential effects of climate change on oyster populations in polluted areas. (c) 2006 Elsevier B.V. All rights reserved.</t>
  </si>
  <si>
    <t>Lannig, G (corresponding author), Alfred Wegener Inst Polar &amp; Marine Res, Handelshafen 12, D-27570 Bremerhaven, Germany.</t>
  </si>
  <si>
    <t>glannig@awi-bremerhaven.de</t>
  </si>
  <si>
    <t>Lannig, Gisela/0000-0002-9210-256X; Sokolova, Inna/0000-0002-2068-4302</t>
  </si>
  <si>
    <t>SEP 12</t>
  </si>
  <si>
    <t>10.1016/j.aquatox.2006.06.017</t>
  </si>
  <si>
    <t>084XH</t>
  </si>
  <si>
    <t>WOS:000240567200008</t>
  </si>
  <si>
    <t>HOARE, K; DAVENPORT, J; BEAUMONT, AR</t>
  </si>
  <si>
    <t>EFFECTS OF EXPOSURE AND PREVIOUS EXPOSURE TO COPPER ON GROWTH OF VELIGER LARVAE AND SURVIVORSHIP OF MYTILUS-EDULIS JUVENILES</t>
  </si>
  <si>
    <t>MUSSELS; LARVAE; COPPER; POLLUTION; PREEXPOSURE; LONG-TERM; MYTILUS EDULIS; THE NETHERLANDS; UNITED KINGDOM</t>
  </si>
  <si>
    <t>DIGESTIVE GLAND; BIOCHEMICAL-CHARACTERIZATION; MUSSELS; ESTUARIES; STRESS; ADULT; METAL; ACCUMULATION; EGGS; SEA</t>
  </si>
  <si>
    <t>Exposure of Mytilus edulis L. (Mollusca: Bivalvia) to 8 ppb (ppb = mu g l(-1)) added copper during the veliger larval or post-larval (spat) stages has no significant effects on survivorship or shell growth. However, previous exposure to 8 ppb added copper during the embryo stage significantly increases veliger growth rate and decreases spat survivorship in a population from the Menai Strait, Wales, UK, in which this level of copper causes a significant increase in embryo abnormality. No such effects of pre-exposure are seen in a population from the Westerschelde, The Netherlands, where 8 ppb added copper does not constitute a stress on the embryo. These 'pre-incubation' (embryo exposure) effects far outweigh any direct influence of 8 ppb copper exposure during the later stages and have a substantial effect on estimates of the toxicity of copper over the life cycle of M. edulis.</t>
  </si>
  <si>
    <t>10.3354/meps120163</t>
  </si>
  <si>
    <t>WOS:A1995QY53700015</t>
  </si>
  <si>
    <t>Liu, FJ; Rainbow, PS; Wang, WX</t>
  </si>
  <si>
    <t>Liu, Fengjie; Rainbow, Philip S.; Wang, Wen-Xiong</t>
  </si>
  <si>
    <t>Inter-site differences of zinc susceptibility of the oyster Crassostrea hongkongensis</t>
  </si>
  <si>
    <t>Crassostrea hongkongensis; Bioaccumulation; Subcellular partitioning; Toxicity; Zinc; Metabolically available metal</t>
  </si>
  <si>
    <t>TRACE-METAL CONTAMINATION; POLYCHAETE NEREIS-DIVERSICOLOR; BIOTIC LIGAND MODEL; ESTUARINE SEDIMENTS; CADMIUM TOXICITY; MARINE DIATOM; BIOACCUMULATION; ADAPTATION; COPPER</t>
  </si>
  <si>
    <t>Understanding the underlying mechanisms governing metal toxicity is crucial for predicting the risks and effects of metal pollutants. We hypothesized that metal toxicity is related to a threshold concentration of metabolically available metal but not to the total body metal concentration. Following a two-month laboratory Zn exposure, we characterized mortality and Zn bioaccumulation and subcellular partitioning in the oyster Crassostrea hongkongensis sampled from three sites with contrasting histories of Zn exposure and one multiple-metal contaminated site. Large differences in Zn sensitivity, lethal body concentration, and detoxification capability between sites were observed. Specifically, the oysters from the highly Zn-contaminated site were more tolerant to Zn exposure than those from the relatively clean ones, and the former accumulated and detoxified more Zn and had a significantly higher lethal body Zn concentration. The accumulation of Zn in the metabolically available pool (operationally defined as the metal-sensitive fraction) in the oysters from the multiple-metal contaminated site was relatively fast, and correspondingly they were highly sensitive to Zn exposure. The lethal threshold concentration of total body Zn varied significantly within the four sites, and thus total body Zn concentration could not serve as a suitable toxicity indicator. Importantly, Zn accumulation within the operationally defined metabolically available pool better explained variances in mortality than Zn accumulation in the whole body. Our results suggested that Zn toxicity is governed by its accumulation in the metabolically available pool, not the total accumulated Zn concentration. (C) 2013 Elsevier B.V. All rights reserved.</t>
  </si>
  <si>
    <t>[Liu, Fengjie; Wang, Wen-Xiong] Hong Kong Univ Sci &amp; Technol, State Key Lab Marine Pollut, Div Life Sci, Kowloon, Hong Kong, Peoples R China; [Rainbow, Philip S.] Nat Hist Museum, Dept Life Sci, London SW7 5BD, England</t>
  </si>
  <si>
    <t>Hong Kong University of Science &amp; Technology; Natural History Museum London</t>
  </si>
  <si>
    <t>Wang, WX (corresponding author), Hong Kong Univ Sci &amp; Technol, State Key Lab Marine Pollut, Div Life Sci, Kowloon, Hong Kong, Peoples R China.</t>
  </si>
  <si>
    <t>National Natural Science Foundation [21237004]; SKLMP; Hong Kong Research Grants Council [662610]</t>
  </si>
  <si>
    <t>National Natural Science Foundation(National Natural Science Foundation of China (NSFC)); SKLMP; Hong Kong Research Grants Council(Hong Kong Research Grants Council)</t>
  </si>
  <si>
    <t>We thank the two anonymous reviewers for their comments, and Prof. Huai-Ping Zheng, Ke Pan and Kam-Sum Lam for their help in oyster collection. This study was supported by a Key Project from the National Natural Science Foundation (21237004), a SKLMP Seed Collaborative Research Fund, and a General Research Fund from the Hong Kong Research Grants Council (662610).</t>
  </si>
  <si>
    <t>10.1016/j.aquatox.2013.01.022</t>
  </si>
  <si>
    <t>136TT</t>
  </si>
  <si>
    <t>WOS:000318387000004</t>
  </si>
  <si>
    <t>Shepard, JL; Olsson, B; Tedengren, M; Bradley, BP</t>
  </si>
  <si>
    <t>Protein expression signatures identified in Mytilus edulis exposed to PCBs, copper and salinity stress</t>
  </si>
  <si>
    <t>proteome; mussels; PCBs; copper; salinity</t>
  </si>
  <si>
    <t>Applied to environmental toxicology, proteome analysis may be used ti isolate chemical-specific protein expression signatures (PES). In this project specific PES were isolated in mussels, Mytilus edulis, from the Baltic Sea subjected in the laboratory to treatment with copper (70 ppb), Aroclor 1248 (1 ppb), and to lowered salinity. Four mussels in each treatment group were acclimated in the laboratory for 24 h before beginning the 7-day exposure. Whole body tissue was homogenized and separated using two-dimensional gel electrophoresis. The protein gels were scanned to TIFF files and compared using MELANIE II 2D gel analysis software (BioRad). Protein expression signatures including proteins induced and repressed by exposure were isolated for each treatment group. The specificity of PES due to environmental changes sows promise bioindication, toxicity testing and in helping identify possible toxicity mechanisms. (C) 2000 Elsevier Science Ltd. All rights reserved.</t>
  </si>
  <si>
    <t>Univ Maryland Baltimore Cty, Dept Biol Sci, Baltimore, MD 21250 USA; Stockholm Univ, Dept Syst Ecol, S-010691 Stockholm, Sweden</t>
  </si>
  <si>
    <t>University System of Maryland; University of Maryland Baltimore County; Stockholm University</t>
  </si>
  <si>
    <t>Bradley, BP (corresponding author), Univ Maryland Baltimore Cty, Dept Biol Sci, 1000 Hilltop Circle, Baltimore, MD 21250 USA.</t>
  </si>
  <si>
    <t>10.1016/S0141-1136(00)00065-9</t>
  </si>
  <si>
    <t>WOS:000165486700054</t>
  </si>
  <si>
    <t>Joux-Arab, L; Berthet, B; Robert, JM</t>
  </si>
  <si>
    <t>Distribution of copper in the diatom Haslea ostrearia Simonsen</t>
  </si>
  <si>
    <t>9th International Symposium on Responses of Marine Organisms to Pollutants (PRIMO 9)</t>
  </si>
  <si>
    <t>APR 27-30, 1997</t>
  </si>
  <si>
    <t>BERGEN, NORWAY</t>
  </si>
  <si>
    <t>PHYTOCHELATINS; CADMIUM</t>
  </si>
  <si>
    <t>Haslea ostrearia is a pennate diatom important for oysters culture. This species was selected to study experimentally the distribution of copper in algal cells since the phytoplankton exhibits a high capacity for metal accumulation and thus influences metal transfer to consumers. This alga was grown lit batch culture and exposed to copper (30 mu g/l) added in the medium on the first day of experiment. In order to separate the soluble and insoluble fractions binding copper algal cells were centrifuged after homogenization with Tris NaCl buffer (pH 8.6). A part of the cytosol was heat-denatured and then centrifuged again to separate heat-stable and heat denaturable compounds. Gel filtration Sephadex (G-75SF:10(3)-7x10(4) Da) was used to determine the molecular weight of soluble compounds binding copper. In controls, insoluble compounds were preponderant (63%) versus soluble compounds whereas in contaminated cells, soluble compounds became preponderant (66%). In the cytosol of both controls and contamined cells, copper was mainly associated with thermoresistant compounds (about 80%). In contamined cells, gel filtration have shown that copper binning compounds had low molecular weights less than 3 KDa associated with sulfhydrl groups represented 65% of total cytosolic copper and few minority (8%) compounds binding copper between 3 and 9 KDa. In conclusion, contamination of Haslea ostrearia by copper induces an increase of copper-binding to cytosolic, heat stable, thiol-rich compounds of low molecular weight with characteristics of phytochelatins. (C) 1998 Elsevier Science Ltd. All rights reserved.</t>
  </si>
  <si>
    <t>Univ Nantes, EP 61 CNRS, ISOMer, Lab Ecotoxicol Marine, F-44035 Nantes 1, France; Univ Nantes, EP 61 CNRS, ISOMer, Marine Biol Lab, F-44035 Nantes 1, France</t>
  </si>
  <si>
    <t>Nantes Universite; Nantes Universite</t>
  </si>
  <si>
    <t>Joux-Arab, L (corresponding author), Univ Nantes, EP 61 CNRS, ISOMer, Lab Ecotoxicol Marine, 1 Rue Gaston Veil, F-44035 Nantes 1, France.</t>
  </si>
  <si>
    <t>10.1016/S0141-1136(97)00037-8</t>
  </si>
  <si>
    <t>117WR</t>
  </si>
  <si>
    <t>WOS:000075806100114</t>
  </si>
  <si>
    <t>Rank, J; Jensen, K; Jespersen, PH</t>
  </si>
  <si>
    <t>Monitoring DNA damage in indigenous blue mussels (Mytilus edulis) sampled from coastal sites in Denmark</t>
  </si>
  <si>
    <t>MUTATION RESEARCH-GENETIC TOXICOLOGY AND ENVIRONMENTAL MUTAGENESIS</t>
  </si>
  <si>
    <t>DNA damage; comet assay; Mytilus edulis; biomonitoring; genotoxic chemicals</t>
  </si>
  <si>
    <t>STRAND BREAKS; COMET ASSAY; SEASONAL-VARIATION; ZEBRA MUSSEL; L.; EXPOSURE; GENOTOXICITY; HEMOCYTES; ADDUCTS; CELLS</t>
  </si>
  <si>
    <t>Damage to DNA detected by use of the single-cell gel electrophoresis (comet) assay was monitored in blue mussels, Mytilus edulis, sampled from coastal waters in Denmark. Mussels from five locations in Koge Bay, an area receiving wastewater from many industries and municipalities, were collected five times during 1999 and six times in 2001. In 1999, both gill cells and haemolymph cells were examined, and sediments were sampled on three dates from the same five locations. In the autumn of 1999, mussels were also collected at six reference sites without known pollution. Results showed a significantly higher level of DNA damage in gill cells compared with haemolymph cells. Because of this, only gill cells were sampled for the monitoring in 2001. Levels of DNA damage, expressed as tail moments, were significantly higher for the mussels in Koge Bay when compared with levels of DNA damage in mussels from the non-polluted coastal areas. No clear seasonal variation was demonstrated. Analysis of the correlation between chromium, nickel, cadmium and mercury in sediments and tail moments in haemolymph and gill cells from the five sites showed a statistically significant positive correlation between tail moments and chromium, nickel and cadmium (P &lt; 0.01). The overall conclusion was that the comet assay on blue mussels could be useful for screening of genotoxic pollution in marine waters. (c) 2005 Elsevier B.V. All rights reserved.</t>
  </si>
  <si>
    <t>Roskilde Univ, Dept Environm Technol &amp; Social Studies, DK-4000 Roskilde, Denmark</t>
  </si>
  <si>
    <t>Roskilde University</t>
  </si>
  <si>
    <t>Roskilde Univ, Dept Environm Technol &amp; Social Studies, Bldg 11-2, DK-4000 Roskilde, Denmark.</t>
  </si>
  <si>
    <t>jr@ruc.dk</t>
  </si>
  <si>
    <t>1383-5718</t>
  </si>
  <si>
    <t>1879-3592</t>
  </si>
  <si>
    <t>MUTAT RES-GEN TOX EN</t>
  </si>
  <si>
    <t>Mutat. Res. Genet. Toxicol. Environ. Mutagen.</t>
  </si>
  <si>
    <t>10.1016/j.mrgentox.2005.04.008</t>
  </si>
  <si>
    <t>Biotechnology &amp; Applied Microbiology; Genetics &amp; Heredity; Toxicology</t>
  </si>
  <si>
    <t>951SV</t>
  </si>
  <si>
    <t>WOS:000230952100004</t>
  </si>
  <si>
    <t>Fernández-Calviño, D; Pérez-Armada, L; Cutillas-Barreiro, L; Paradelo-Núñez, R; Núñez-Delgado, A; Fernández-Sanjurjo, MJ; Alvarez-Rodriguez, E; Arias-Estévez, M</t>
  </si>
  <si>
    <t>Fernandez-Calvino, David; Perez-Armada, Lorena; Cutillas-Barreiro, Laura; Paradelo-Nunez, Remigio; Nunez-Delgado, Avelino; Fernandez-Sanjurjo, Maria J.; Alvarez-Rodriguez, Esperanza; Arias-Estevez, Manuel</t>
  </si>
  <si>
    <t>CHANGES IN CD, CU, NI, PB AND ZN FRACTIONATION AND LIBERATION DUE TO MUSSEL SHELL AMENDMENT ON A MINE SOIL</t>
  </si>
  <si>
    <t>LAND DEGRADATION &amp; DEVELOPMENT</t>
  </si>
  <si>
    <t>heavy metal mobility; metal fractionation; mine tailings; metal release; mussel shell</t>
  </si>
  <si>
    <t>ABANDONED MINE; HEAVY-METALS; COPPER; ADSORPTION; CADMIUM; IMMOBILIZATION; RESTORATION; IMPROVEMENT; SEDIMENTS; SORPTION</t>
  </si>
  <si>
    <t>Mining activities are related to relevant environmental pollution issues that should be controlled. We used sequential extractions to fractionate Cd, Cu, Ni, Pb and Zn retained on unamended or mussel shell-amended mine soil samples, all of them treated with a mixture of the five heavy metals (total metal concentration of 1.57 mmol L-1), after 1, 7 and 30 days of incubation. In addition, we used the stirred flow chamber technique to study the release of each of the five heavy metals from these different unamended and shell-amended soil samples. The results indicate that the shell amendment caused a decrease in the most soluble fraction, while increasing the most recalcitrant (least mobile) fraction. With equivalent implications, the stirred flow chamber experiments showed that mussel shell amendment was associated to a decrease in heavy metal release and increased retention. The highest mussel shell dose and incubation time caused the most relevant changes in pH values and thus in metal retention, also indicating the importance of pH modifications in the mechanism of retention acting in the amended samples. In view of these results, the use of mussel shell amendment can be encouraged to increase heavy metal retention in acid mine soils, in order to minimise risks of environmental pollution. Copyright (C) 2016 John Wiley &amp; Sons, Ltd.</t>
  </si>
  <si>
    <t>[Fernandez-Calvino, David; Perez-Armada, Lorena; Cutillas-Barreiro, Laura; Paradelo-Nunez, Remigio; Arias-Estevez, Manuel] Univ Vigo, Fac Ciencias, Dept Biol Vexetal &amp; Ciencia Solo, Area Edafoloxia &amp; Quim Agr, Campus Lagoas S-N, Orense 32004, Spain; [Nunez-Delgado, Avelino; Fernandez-Sanjurjo, Maria J.; Alvarez-Rodriguez, Esperanza] Univ Santiago de Compostela, Dept Edafol &amp; Quim Agr, Escola Politecn Super, Campus Univ S-N, Lugo 27002, Spain</t>
  </si>
  <si>
    <t>Arias-Estévez, M (corresponding author), Fac Ciencias, Dept Biol Vexetal &amp; Ciencia Solo, Area Edafoloxia &amp; Quim Agr, Campus Lagoas S-N, Orense 32004, Spain.</t>
  </si>
  <si>
    <t>Fernández-Sanjurjo, María/ABC-6938-2020; Estévez, Manuel/M-8629-2016; Paradelo, Remigio/H-8296-2019; Fernandez-Calvino, David/C-5756-2015; Alvarez, Esperanza/B-3154-2018; Nunez-Delgado, Avelino/K-3964-2013</t>
  </si>
  <si>
    <t>Paradelo Nunez, Remigio/0000-0002-4165-177X; Fernandez-Calvino, David/0000-0003-0864-7039; Alvarez, Esperanza/0000-0003-3470-2679; Fernandez-Sanjurjo, Maria J./0000-0001-6728-7147; Nunez-Delgado, Avelino/0000-0001-5373-1606</t>
  </si>
  <si>
    <t>Spanish Ministry of Economy and Competitiveness [CGL2012-36805-C02-01, CGL2012-36805-C02-02]; European Regional Development Fund (FEDER in Spain); Juan de la Cierva post-doctoral contract [JCI-2012-11778]</t>
  </si>
  <si>
    <t>Spanish Ministry of Economy and Competitiveness(Spanish Government); European Regional Development Fund (FEDER in Spain)(European Union (EU)); Juan de la Cierva post-doctoral contract</t>
  </si>
  <si>
    <t>This study was funded by the Spanish Ministry of Economy and Competitiveness by means of the research projects CGL2012-36805-C02-01 and CGL2012-36805-C02-02. It was also partially financed by the European Regional Development Fund (FEDER in Spain). Dr Remigio Paradelo-Nunez holds a Juan de la Cierva post-doctoral contract (JCI-2012-11778).</t>
  </si>
  <si>
    <t>1085-3278</t>
  </si>
  <si>
    <t>1099-145X</t>
  </si>
  <si>
    <t>LAND DEGRAD DEV</t>
  </si>
  <si>
    <t>Land Degrad. Dev.</t>
  </si>
  <si>
    <t>10.1002/ldr.2505</t>
  </si>
  <si>
    <t>Environmental Sciences; Soil Science</t>
  </si>
  <si>
    <t>Environmental Sciences &amp; Ecology; Agriculture</t>
  </si>
  <si>
    <t>DS7LB</t>
  </si>
  <si>
    <t>WOS:000380963900037</t>
  </si>
  <si>
    <t>Koudenoukpo, ZC; Odountan, OH; Agboho, PA; Dalu, T; Van Bocxlaer, B; de Bistoven, LJ; Chikou, A; Backeljau, T</t>
  </si>
  <si>
    <t>Koudenoukpo, Zinsou Cosme; Odountan, Olaniran Hamed; Agboho, Prudenciene Ablawa; Dalu, Tatenda; Van Bocxlaer, Bert; de Bistoven, Luc Janssens; Chikou, Antoine; Backeljau, Thierry</t>
  </si>
  <si>
    <t>Using self?organizing maps and machine learning models to assess mollusc community structure in relation to physicochemical variables in a West Africa river?estuary system</t>
  </si>
  <si>
    <t>Artificial neural network; Ecology; Freshwater biodiversity; Modelling; Mollusc community; Tropical river systems</t>
  </si>
  <si>
    <t>SELF-ORGANIZING MAP; WATER-QUALITY; ENVIRONMENTAL-FACTORS; SCHISTOSOMIASIS; ASSEMBLAGES; DIVERSITY; PATTERNS; ECOLOGY; URBAN; COAST</t>
  </si>
  <si>
    <t>The poor understanding of changes in mollusc ecology along rivers, especially in West Africa, hampers the implementation of management measures. We used a self?organizing map, indicator species analysis, linear discriminant analysis and a random forest model to distinguish mollusc assemblages, to determine the ecological preferences of individual mollusc species and to associate major physicochemical variables with mollusc assemblages and occurrences in the So? River Basin, Benin. We identified four mollusc assemblages along an upstream?downstream gradient. Dissolved oxygen (DO), biochemical oxygen demand (BOD), salinity, calcium (Ca), total nitrogen (TN), copper (Cu), lead (Pb), nickel (Ni), cadmium (Cd) and mercury (Hg) were the major physicochemical variables responsible for structuring these mollusc assemblages. However, the physicochemical factors responsible for shaping the distribution of individual species varied per species. Upstream sites (assemblage I) showed high DO and low BOD and mineral compounds (i.e., TN, salinity, and Ca), which are primarily responsible for structuring the occurrences of bivalves (Afropisidium pirothi, Etheria elliptica, Sphaerium hartmanni) and the gastropod Lanistes varicus. Sites along the middle reach (assemblage II) were characterised by a high degree of organic pollution but low heavy metal pollution; we detected no specific mollusc indicator species. Downstream sites (assemblage III) displayed high mineral and heavy metal concentrations and a fauna without specific indicator species. Finally, downstream sites associated with brackish water (assemblage IV) displayed important levels of organic and heavy metal pollution. These sites are dominated by diverse gastropods (i.e., Bulinus spp., Gabbiella africana, Indoplanorbis exustus, Pachymelania fusca, Radix natalensis, Stenophysa marmorata and Tympanotonos fuscatus). Our results highlight that mollusc communities in the So? River Basin are structured by key physicochemical variables related to the river?estuary continuum. Habitats that are progressively more downstream are confronted with increasing anthropogenic stress. Conservation and management plans should focus on downstream habitats.</t>
  </si>
  <si>
    <t>[Koudenoukpo, Zinsou Cosme; Chikou, Antoine] Univ Abomey Calavi, Fac Agron Sci, Lab Hydrobiol &amp; Aquaculture, 01 BP 526, Cotonou, Benin; [Koudenoukpo, Zinsou Cosme; Odountan, Olaniran Hamed] Cercle Act Protect Environm &amp; Biodiversite CAPE B, Cotonou, Abomey Calavi, Benin; [Odountan, Olaniran Hamed] Univ Abomey Calavi, Fac Sci &amp; Tech, Dept Zool, Lab Ecol &amp; Aquat Ecosyst Management, 01 BP 526, Cotonou, Benin; [Agboho, Prudenciene Ablawa] Ctr Rech Entomol Cotonou CREC, 06 BP 2604, Cotonou, Benin; [Dalu, Tatenda] Univ Mpumalanga, Sch Biol &amp; Environm Sci, ZA-1201 Nelspruit, South Africa; [Dalu, Tatenda] South African Inst Aquat Biodivers, ZA-6140 Grahamstown, South Africa; [Van Bocxlaer, Bert] Univ Lille, UMR EvoEcoPaleo 8198, CNRS, F-59000 Lille, France; [de Bistoven, Luc Janssens; Backeljau, Thierry] Royal Belgian Inst Nat Sci, Vautierstr 29, B-1000 Brussels, Belgium; [Backeljau, Thierry] Univ Antwerp, Evolutionary Ecol Grp, Univ Pl 1, B-2610 Antwerp, Belgium</t>
  </si>
  <si>
    <t>University of Abomey Calavi; University of Abomey Calavi; University of Abomey Calavi; Entomological Research Center of Cotonou (CREC); National Research Foundation - South Africa; South African Institute for Aquatic Biodiversity; Centre National de la Recherche Scientifique (CNRS); Universite de Lille; Royal Belgian Institute of Natural Sciences; University of Antwerp</t>
  </si>
  <si>
    <t>Odountan, OH (corresponding author), Univ Abomey Calavi, Fac Sci &amp; Tech, Dept Zool, Lab Ecol &amp; Aquat Ecosyst Management, 01 BP 526, Cotonou, Benin.</t>
  </si>
  <si>
    <t>Odountan.hamed@gmail.com</t>
  </si>
  <si>
    <t>; Dalu, Tatenda/K-3089-2012</t>
  </si>
  <si>
    <t>Odountan, Olaniran Hamed/0000-0001-6947-0308; Dalu, Tatenda/0000-0002-9019-7702</t>
  </si>
  <si>
    <t>ministry of higher education and scientific research of Benin; Belgian cooperation for development (DGD); French Agence Nationale de la Recherche [ANR17CE020015]</t>
  </si>
  <si>
    <t>ministry of higher education and scientific research of Benin; Belgian cooperation for development (DGD); French Agence Nationale de la Recherche(Agence Nationale de la Recherche (ANR))</t>
  </si>
  <si>
    <t>This study was financially supported by the ministry of higher education and scientific research of Benin. ZCK and OHO thank the Belgian National Focal Point to the Global Taxonomy Initiative of the CEBioS programme, at the Royal Belgian Institute of Natural Sciences, and financed by the Belgian cooperation for development (DGD) . BVBthanks the French Agence Nationale de la Recherche (ANR17CE020015) .</t>
  </si>
  <si>
    <t>10.1016/j.ecolind.2021.107706</t>
  </si>
  <si>
    <t>RY3GR</t>
  </si>
  <si>
    <t>WOS:000647804300004</t>
  </si>
  <si>
    <t>Al-Aasm, IS; Clarke, JD; Fryer, BJ</t>
  </si>
  <si>
    <t>Stable isotopes and heavy metal distribution in Dreissena polymorpha (Zebra mussels) from western basin of Lake Erie, Canada</t>
  </si>
  <si>
    <t>ENVIRONMENTAL GEOLOGY</t>
  </si>
  <si>
    <t>stable isotopes; heavy metals; zebra mussels; Lake Erie</t>
  </si>
  <si>
    <t>DISSOLVED INORGANIC CARBON; SHELLS</t>
  </si>
  <si>
    <t>Dreissena polymorpha is an exotic freshwater bivalve species which was introduced into the Great Lakes system in the fall of 1985 through the release of ballast water from European freighters. Utilizing individual growth rings of the shells, the stable isotope distribution (delta(18)O and delta(13)C) was determined for the life history of selected samples which were collected from the western basin of Lake Erie. These bivalves deposit their shell in near equilibrium with the ambient water and thus reflect any annual variation of the system in the isotopic records held within their shells. Observed values for delta(18)O range from -6.64 to -9.46 parts per thousand with an average value of -7.69 parts per thousand PDB, while carbon values ranged from -0.80 to -4.67 parts per thousand with an average value of -1.76 parts per thousand PDB. Dreissena polymorpha shells incorporate metals into their shells during growth. Individual shell growth increments were analyzed for Pb, Fe, Mg, Mn, Cd, Cu, and V concentrations. The shells show increased uptake of certain metals during periods of isotopic enrichment which correspond with warmer water temperatures. Since metals are incorporated into the shells, the organism may be useful as a biomonitor of metal pollution within aquatic environments.</t>
  </si>
  <si>
    <t>Univ Windsor, Dept Earth Sci, Windsor, ON N9B 3P4, Canada</t>
  </si>
  <si>
    <t>University of Windsor</t>
  </si>
  <si>
    <t>Al-Aasm, IS (corresponding author), Univ Windsor, Dept Earth Sci, Windsor, ON N9B 3P4, Canada.</t>
  </si>
  <si>
    <t>FRYER, BRIAN/AAF-2128-2019</t>
  </si>
  <si>
    <t>0943-0105</t>
  </si>
  <si>
    <t>ENVIRON GEOL</t>
  </si>
  <si>
    <t>Environ. Geol.</t>
  </si>
  <si>
    <t>10.1007/s002540050232</t>
  </si>
  <si>
    <t>ZB129</t>
  </si>
  <si>
    <t>WOS:000072439200006</t>
  </si>
  <si>
    <t>Comparison of the 2000 and 2005 spatial distributions of heavy metals in wild mussels from the North-Atlantic Spanish coast</t>
  </si>
  <si>
    <t>Wild mussels; Heavy metals; Spain; Coastal pollution; Procrustes rotation</t>
  </si>
  <si>
    <t>MYTILUS-GALLOPROVINCIALIS; TRACE-METAL; CHEMICAL CONCENTRATIONS; CONTAMINANT LEVELS; BAJA-CALIFORNIA; TEMPORAL TRENDS; MINING AREA; BODY-SIZE; US COAST; NW SPAIN</t>
  </si>
  <si>
    <t>Spatial distributions of Cd, Cu, Hg, Pb and Zn in Mytilus galloprovincialis in 41 sampling sites in the North-Atlantic Spanish coast were monitored in 2000 and 2005 to assess the coastal environmental pollution. A pool of mussel soft tissue was prepared using 50 or more individuals representing the available size range. Samples were grounded, homogenised and quantified by atomic absorption spectrometry. Quality of the chemical analyses was assessed by participation in periodic interlaboratory exercises. Univariate and multivariate statistical studies, Principal Components Analysis and Procrustes rotation (a technique intended to compare several data spaces) were carried out. Some decreasing trends were observed for the concentrations throughout the 2000-2005 period, mainly for Hg and Pb. In general, the Northern area showed higher median concentrations (e.g., 3.79 and 4.28 mg Pb/kg dry weight, and 0.160 and 0.191 mg Hg/kg dry weight, for 2000 and 2005, respectively) than the Atlantic ones (e.g., 1.47 and 1.44 mg Pb/kg dry weight, and 0.097 and 0.084 mg Hg/kg dry weight, for 2000 and 2005, respectively). Nevertheless, some Atlantic sampling points, located far from human inputs (cities, industries, rivers, etc.) exhibited high concentrations of Cd, which was attributed to the influence of the natural upwelling processes which occur annually in that geographical region. (C) 2010 Elsevier Inc. All rights reserved.</t>
  </si>
  <si>
    <t>[Besada, Victoria; Schultze, Fernando; Jose Gonzalez, Juan] IEO, Ctr Oceanog Vigo, Vigo 36390, Spain; [Manuel Andrade, Jose] Univ A Coruna, Dept Quim Analit, La Coruna 15071, Spain</t>
  </si>
  <si>
    <t>Besada, V (corresponding author), IEO, Ctr Oceanog Vigo, Subida Radio Faro 50, Vigo 36390, Spain.</t>
  </si>
  <si>
    <t>victoria.besada@vi.ieo.es</t>
  </si>
  <si>
    <t>Andrade-Garda, Jose/M-6247-2018; Castellon Gonzalez, Juan Jose/AAF-4732-2020; Besada, Victoria/H-4532-2015</t>
  </si>
  <si>
    <t>Andrade-Garda, Jose Manuel/0000-0003-1020-5213; Besada, Victoria/0000-0003-2039-6498</t>
  </si>
  <si>
    <t>Institut Espanol de Oceanografia (IEO)</t>
  </si>
  <si>
    <t>This study was financed by the Institut Espanol de Oceanografia (IEO) and performed within its Marine Pollution Program. The assistant technicians of the IEO's pollution laboratory in Vigo (particularly B. Cambeiro) are acknowledged by their collaboration in sample collection and preparation.</t>
  </si>
  <si>
    <t>10.1016/j.ecoenv.2010.10.002</t>
  </si>
  <si>
    <t>732YX</t>
  </si>
  <si>
    <t>WOS:000288226700023</t>
  </si>
  <si>
    <t>CALABRESE, A; MACINNES, JR; NELSON, DA; MILLER, JE</t>
  </si>
  <si>
    <t>SURVIVAL AND GROWTH OF BIVALVE LARVAE UNDER HEAVY-METAL STRESS</t>
  </si>
  <si>
    <t>In a study of the toxicity of Hg, Ag, Cu, Ni and Zn to larvae of the American oyster Crassostrea virginica and hard clam Mercenaria mercenaria, the concentrations at which 5% (LC5), 50% (LC50), and 95% (LC95) of the larvae died were determined, as well as growth at the LC5 and LC50 values. The order or toxicity for oyster larvae was Hg &gt; Ag &gt; Cu &gt; Ni, and for clam larvae Hg &gt; Cu &gt; Ag &gt; Zn &gt; Ni. Growth of larvae of both species, with the exception of clam larvae in Ni-treated water, was not reduced at the LC5 values, but was markedly reduced at the LC50 values. [Heavy metals are major pollutants.].</t>
  </si>
  <si>
    <t>NATL MARINE FISHERIES SERV, NE FISHERIES CTR, MILFORD LAB, MILFORD, CT 06460 USA</t>
  </si>
  <si>
    <t>Miller, Jonathan/HOC-2272-2023</t>
  </si>
  <si>
    <t>10.1007/BF00394024</t>
  </si>
  <si>
    <t>DH761</t>
  </si>
  <si>
    <t>WOS:A1977DH76100007</t>
  </si>
  <si>
    <t>Faria, M; López, MA; Fernández-Sanjuan, M; Lacorte, S; Barata, C</t>
  </si>
  <si>
    <t>Faria, Melissa; Angel Lopez, Miguel; Fernandez-Sanjuan, Maria; Lacorte, Silvia; Barata, Carlos</t>
  </si>
  <si>
    <t>Comparative toxicity of single and combined mixtures of selected pollutants among larval stages of the native freshwater mussels (Unio elongatulus) and the invasive zebra mussel (Dreissena polymorpha)</t>
  </si>
  <si>
    <t>Antifouling; Biocide; Embryo; Glochidia; Zebra mussel; Freshwater mussels; Bioassay</t>
  </si>
  <si>
    <t>MARGARITIFERA-AURICULARIA SPENGLER; DISSOLVED ORGANIC-CARBON; DAPHNIA-MAGNA STRAUS; LIFE-STAGES; EBRO RIVER; HEAVY-METALS; GLOCHIDIA; SENSITIVITY; JUVENILES; BIVALVIA</t>
  </si>
  <si>
    <t>This study evaluated the impact of biocides (tributyltin, chlorthalonil and Irgarol 1051) and of pollutants (copper, inorganic and methyl mercury and 4-nonylphenol) occurring in Ebro River (NE Spain) on early developmental stages of native Spanish freshwater and invasive zebra mussels. Toxicity tests were conducted with embryos and glochidia of zebra mussel (Dreissena polymorpha) and the naiad species Unio elongatulus, respectively. Toxicity was quantified in terms of median effective concentration (EC50) impairing embryogenesis and glochidia viability in single and combined mixture exposures. Irgarol 1051 was not toxic at concentrations below 40 x 10(3) nM. Zebra mussel embryos were on average 50 fold more sensitive to the studied pollutants than glochidia. Tributyltin was the most toxic compound with EC50s for zebra mussel embryos and glochidia, respectively, of 1.24 and 47.93 nM, followed by chlorothalonil (3.65, 176.58 nM), methyl mercury (7.06, 156.4 nM), inorganic mercury (3.64, 518.28 nM), copper (19.73, 1358.55 nM) and 4-nonylphenol (33.99, 1221.48 nM). Combined toxicity of Ebro River pollutants (copper, inorganic and methyl mercury and 4-nonylphenol) was greater than additive in zebra mussel embryos and additive in glochidia. These results indicated that contaminant levels that affect zebra mussel embryos are not toxic to early life stages of the naiad mussel species U. elongatulus. (C) 2010 Elsevier B.V. All rights reserved.</t>
  </si>
  <si>
    <t>[Faria, Melissa; Fernandez-Sanjuan, Maria; Lacorte, Silvia; Barata, Carlos] IDAEA CSIC, Dept Environm Chem, Barcelona 08034, Spain; [Angel Lopez, Miguel] Environm Agcy, Barcelona 08028, Spain</t>
  </si>
  <si>
    <t>Barata, C (corresponding author), IDAEA CSIC, Dept Environm Chem, Jordi Girona 18, Barcelona 08034, Spain.</t>
  </si>
  <si>
    <t>Faria, Melissa/ABI-2225-2020; Lacorte, Silvia/M-5649-2014; Barata, Carlos/K-8232-2014</t>
  </si>
  <si>
    <t>Lacorte, Silvia/0000-0001-7192-4057; Barata, Carlos/0000-0002-3360-0729; Faria, Melissa/0000-0003-1451-4427</t>
  </si>
  <si>
    <t>Ministrerio de Medio Ambiente, Medio Rural y Marino [041/SGTB/2007/1.1, 042/RN08/03.4]; Generalitat de Catalunya [4225-2008, 4636-2009/12]</t>
  </si>
  <si>
    <t>Ministrerio de Medio Ambiente, Medio Rural y Marino; Generalitat de Catalunya(Generalitat de Catalunya)</t>
  </si>
  <si>
    <t>This study was funded by the Ministrerio de Medio Ambiente, Medio Rural y Marino projects 041/SGTB/2007/1.1 and 042/RN08/03.4. Collection and handling of U. elongatulus individuals were performed on behalf of the Generalitat de Catalunya environmental project , 4225-2008; 4636-2009/12 - study actions, conservation and management of the protected authochthonous bivalves of Catalonia. Management and conservation of Margaritifera auricularia and other naids of the Ebro River. Dr. Jordi Lopez is acknowledged for the loan of the LC-DAD.</t>
  </si>
  <si>
    <t>10.1016/j.scitotenv.2010.02.047</t>
  </si>
  <si>
    <t>598ZK</t>
  </si>
  <si>
    <t>WOS:000277879100004</t>
  </si>
  <si>
    <t>Scanes, E; Parker, LM; O'Connor, WA; Gibbs, MC; Ross, PM</t>
  </si>
  <si>
    <t>Scanes, Elliot; Parker, Laura M.; O'Connor, Wayne A.; Gibbs, Mitchell C.; Ross, Pauline M.</t>
  </si>
  <si>
    <t>Copper and ocean acidification interact to lower maternal investment, but have little effect on adult physiology of the Sydney rock oyster Saccostrea glomerata</t>
  </si>
  <si>
    <t>Copper; Ocean acidification; Mollusc; Oysters; Lipids; Eggs; Transgenerational effects; Resilience; Climate change</t>
  </si>
  <si>
    <t>PINCTADA-FUCATA-MARTENSII; CRASSOSTREA-VIRGINICA; MARINE-INVERTEBRATES; PROTEIN-SYNTHESIS; METAL POLLUTION; CLIMATE-CHANGE; TRACE-METALS; PEARL OYSTER; TEMPERATURE; FERTILIZATION</t>
  </si>
  <si>
    <t>It remains unknown how molluscs will respond to oceans which are increasingly predicted to be warmer, more acidic, and heavily polluted. Ocean acidification and trace metals will likely interact to increase the energy demands of marine organisms, especially oysters. This study tested the interactive effect of exposure to elevated pCO(2) and copper on the energetic demands of the Sydney rock oyster (Saccostrea glomerata) during reproductive conditioning and determined whether there were any positive or negative effects on their offspring. Oysters were exposed to elevated pCO(2) (1000 mu atm) and elevated copper (Cu 50 mu g L-1 [0.787 mu M]) in an orthogonal design for eight weeks during reproductive conditioning. After eight weeks, energetic demands on oysters were measured including standard metabolic rate (SMR), nitrogen excretion, molar oxygen to nitrogen (O:N) ratio, and pH, of adult oysters as well as the size and total lipid content of their eggs. To determine egg viability, the gametes were collected and fertilised from adult oysters, the percentage of embryos that had reached the trochophore stage after 24 h was recorded. Elevated pCO(2) caused a lower extracellular pH and there was a greater O:N ratio in adult oysters exposed to copper. While the two stressors did not interact to cause significant effects on adult physiology, they did interact to reduce the size and lipid content of eggs indicating that energy demand on adult oysters was greater when both elevated pCO(2) and copper were combined. Despite the lower energy, there were no negative effects on early embryonic development. In conclusion, elevated pCO(2) can interact with metals and cause greater energetic demands on oysters; in response oysters may lower maternal investment to offspring.</t>
  </si>
  <si>
    <t>[Scanes, Elliot; Parker, Laura M.; Gibbs, Mitchell C.; Ross, Pauline M.] Univ Sydney, Sch Life &amp; Environm Sci, Bldg A11, Camperdown, NSW 2006, Australia; [Scanes, Elliot; O'Connor, Wayne A.] Port Stephens Fisheries Inst, Dept Primary Ind, Taylors Beach Rd, Taylors Beach, NSW 2316, Australia</t>
  </si>
  <si>
    <t>University of Sydney; NSW Department of Primary Industries</t>
  </si>
  <si>
    <t>Scanes, E (corresponding author), Univ Sydney, Sch Life &amp; Environm Sci, Bldg A11, Camperdown, NSW 2006, Australia.</t>
  </si>
  <si>
    <t>elliot.scanes@sydney.edu.au</t>
  </si>
  <si>
    <t>O'Connor, Wayne/AAL-8097-2020; Ross, Pauline/GNH-4973-2022; Scanes, Elliot/W-1244-2018</t>
  </si>
  <si>
    <t>Scanes, Elliot/0000-0001-7520-3804; Ross, Pauline/0000-0002-8714-5194; Parker, Laura/0000-0003-3139-1844</t>
  </si>
  <si>
    <t>10.1016/j.aquatox.2018.07.020</t>
  </si>
  <si>
    <t>http://dx.doi.org/10.1016/j.aquatox.2018.07.020</t>
  </si>
  <si>
    <t>WOS:000446147500006</t>
  </si>
  <si>
    <t>View Full Record in Web of Science</t>
  </si>
  <si>
    <t>COMMON MUSSEL MYTILUS-EDULIS AS AN INDICATOR OF TRACE-METALS IN SCANDINAVIAN WATERS .1. ZINC AND CADMIUM</t>
  </si>
  <si>
    <t>Concentrations of Zn and Cd in whole soft parts of mussels, M. edulis (L.), collected from 54 locations in Scandinavian waters were determined. Local variations in concentrations of the 2 metals found in samples taken close to industrial sources of Zn and Cd confirmed the ability of the mussel to act as an accurate indicator of pollution by these metals over the entire range of salinities in which this species can exist. Offshore samples remote from industrial discharges revealed higher concentrations of Zn and Cd in mussels from low-salinity areas (Gulf of Finland, Southern Bothnian Sea, Baltic proper) than in those from high-salinity areas (Kattegat, Eastern Skagerrak). Major decreases in metal concentrations present in the mussel were apparent in the regions of the Sound and the Great Belt, which are areas of rapid salinity change due to mixing of Baltic water with water from Kattegat. Comparison of these results with those reported for Zn and Cd in water throughout the study area suggested the existence of a higher biological availability of these metals in regions of low salinity; possible reasons for this are discussed. Data from the present survey are also compared to those reported formussels taken elsewhere. This comparison reveals the Baltic area to be considerably polluted by trace metals; the waters of Kattegat and Skagerrak are relatively unpolluted.</t>
  </si>
  <si>
    <t>UNIV UPPSALA, INST ZOOL, S-75122 UPPSALA, SWEDEN</t>
  </si>
  <si>
    <t>10.1007/BF00396922</t>
  </si>
  <si>
    <t>http://dx.doi.org/10.1007/BF00396922</t>
  </si>
  <si>
    <t>DY374</t>
  </si>
  <si>
    <t>WOS:A1977DY37400001</t>
  </si>
  <si>
    <t>Jia, YY; Wang, L; Qu, ZP; Yang, ZG</t>
  </si>
  <si>
    <t>Jia, Yuyu; Wang, Lin; Qu, Zhipeng; Yang, Zhaoguang</t>
  </si>
  <si>
    <t>Distribution, contamination and accumulation of heavy metals in water, sediments, and freshwater shellfish from Liuyang River, Southern China</t>
  </si>
  <si>
    <t>ICP-MS; Coefficient of variation; Pearson's correlation analysis; Source identification; Bioconcentration factor; Metal pollution index</t>
  </si>
  <si>
    <t>MINE-IMPACTED CITY; RISK-ASSESSMENT; SPATIAL-DISTRIBUTION; SURFACE SEDIMENTS; HUNAN PROVINCE; SOILS; POLLUTION; COAST; IDENTIFICATION; ENVIRONMENT</t>
  </si>
  <si>
    <t>Heavy metal distributions in water, sediments, and freshwater shellfish collected from Liuyang River in China have been investigated. The concentrations of heavy metals including Cr, Mn, Fe, Co, Ni, Cu, Zn, As, Cd, and Pb were determined by ICP-MS. The distribution pattern of heavy metals in sediments was different from that in water. Large coefficients of variation of heavy metal concentrations were observed in water due to the susceptibility to discharge fluctuation and seasonal variation. Multivariate statistical analysis such as Pearson's correlation analysis, hierarchical cluster analysis (HCA), and principal component analysis (PCA) were employed to identify the possible sources of heavy metals in sediments. These heavy metals were categorized into three distinct groups, one was derived from natural existence and two were associated with anthropogenic activities. Five shellfish species including three species of gastropod mollusks (Parafossarulus eximius, Semisulcospira cancellata, and Pomacea canaliculata) and two species of bivalve mollusks (Corbicula fluminea and Anodonta woodiana) were collected and investigated. The distribution pattern of heavy metals in shellfish species was visualized by the nonmetric multidimensional scaling (NMDS) plot. The metal pollution index (MPI) values for the shellfish species were in the descending order of C. fluminea &gt; A. woodiana &gt; S. cancellata &gt; P. eximius &gt; P. canaliculata.</t>
  </si>
  <si>
    <t>[Jia, Yuyu; Wang, Lin; Qu, Zhipeng; Yang, Zhaoguang] Cent S Univ, Coll Chem &amp; Chem Engn, Changsha 410083, Hunan, Peoples R China; [Wang, Lin; Yang, Zhaoguang] Cent S Univ, Hunan Prov Key Lab Efficient &amp; Clean Utilizat Man, Changsha 410083, Hunan, Peoples R China; [Yang, Zhaoguang] Cent S Univ, Ctr Environm &amp; Water Resources, Changsha 410083, Hunan, Peoples R China</t>
  </si>
  <si>
    <t>Central South University; Central South University; Central South University</t>
  </si>
  <si>
    <t>Wang, L; Yang, ZG (corresponding author), Cent S Univ, Coll Chem &amp; Chem Engn, Changsha 410083, Hunan, Peoples R China.;Wang, L; Yang, ZG (corresponding author), Cent S Univ, Hunan Prov Key Lab Efficient &amp; Clean Utilizat Man, Changsha 410083, Hunan, Peoples R China.;Yang, ZG (corresponding author), Cent S Univ, Ctr Environm &amp; Water Resources, Changsha 410083, Hunan, Peoples R China.</t>
  </si>
  <si>
    <t>linwang@csu.edu.cn; zgyang3@gmail.com</t>
  </si>
  <si>
    <t>Yang, Zhaoguang/0000-0002-3696-3146</t>
  </si>
  <si>
    <t>Special Fund for Agro-scientific Research in the Public Interest of China [201503108]; Natural Science Foundation of China [21607175]; Hunan Provincial Science and Technology Plan Project, China [2016TP1007]</t>
  </si>
  <si>
    <t>Special Fund for Agro-scientific Research in the Public Interest of China; Natural Science Foundation of China(National Natural Science Foundation of China (NSFC)); Hunan Provincial Science and Technology Plan Project, China</t>
  </si>
  <si>
    <t>This work was financially supported by Special Fund for Agro-scientific Research in the Public Interest of China (No. 201503108), the Natural Science Foundation of China (Grant No. 21607175) and the Hunan Provincial Science and Technology Plan Project, China (No. 2016TP1007).</t>
  </si>
  <si>
    <t>10.1007/s11356-017-1068-x</t>
  </si>
  <si>
    <t>http://dx.doi.org/10.1007/s11356-017-1068-x</t>
  </si>
  <si>
    <t>FY1KN</t>
  </si>
  <si>
    <t>WOS:000426571000081</t>
  </si>
  <si>
    <t>Ferrat, L; Pergent-Martini, C; Fernandez, C; Roméo, M</t>
  </si>
  <si>
    <t>Is glutathione transferase (GST) activity in Posidonia oceanica a stress response to mercury exposure?</t>
  </si>
  <si>
    <t>BULLETIN OF MARINE SCIENCE</t>
  </si>
  <si>
    <t>4th International Seagrass Biology Workshop</t>
  </si>
  <si>
    <t>SEP 26-OCT 02, 2000</t>
  </si>
  <si>
    <t>CORSICA, FRANCE</t>
  </si>
  <si>
    <t>ZOSTERA-MARINA L; S-TRANSFERASE; TRACE-METALS; MUSSEL; CONTAMINATION; INDICATOR; LIMFJORD; PROTEIN; GULF</t>
  </si>
  <si>
    <t>Today, efficient monitoring of the environment is increasingly depend on the use of bio-indicator species. Marine phanerogams, and in particular Posidonia oceanica, would appear to be potentially valuable bioindicators of metal pollutants. Although correlations have been found between the mercury levels accumulated in the plant tissue and the concentrations of this metal in the water column, it would be of interest to identify early signs of the stress response induced by this xenobiotic. Thus, mercury concentrations and GST activity in Posidonia oceanica (L.) Delile from contaminated and pristine sites were measured. These results demonstrate that an increase in mercury level is correlated with an increase in GST activity, particularly in the sheaths of P oceanica shoots. The sites contaminated by mercury were also those sites for which the highest enzyme activity was recorded. An even better correlation was found between the mercury levels and GST activity, if a 2 mo lag in the effect of mercury on GST activity is assumed.</t>
  </si>
  <si>
    <t>Univ Corsica, F-20250 Corte, France; Univ Nice, ROSE, F-06000 Nice, France</t>
  </si>
  <si>
    <t>Univ Corsica, BP 52, F-20250 Corte, France.</t>
  </si>
  <si>
    <t>; FERNANDEZ, Catherine/A-2556-2009</t>
  </si>
  <si>
    <t>Pergent-Martini, Christine/0000-0002-9098-6867; FERNANDEZ, Catherine/0000-0002-6868-4774</t>
  </si>
  <si>
    <t>ROSENSTIEL SCH MAR ATMOS SCI</t>
  </si>
  <si>
    <t>MIAMI</t>
  </si>
  <si>
    <t>4600 RICKENBACKER CAUSEWAY, MIAMI, FL 33149 USA</t>
  </si>
  <si>
    <t>0007-4977</t>
  </si>
  <si>
    <t>1553-6955</t>
  </si>
  <si>
    <t>B MAR SCI</t>
  </si>
  <si>
    <t>Bull. Mar. Sci.</t>
  </si>
  <si>
    <t>696BM</t>
  </si>
  <si>
    <t>WOS:000183865300004</t>
  </si>
  <si>
    <t>HAN, BC; HUNG, TC</t>
  </si>
  <si>
    <t>GREEN OYSTERS CAUSED BY COPPER POLLUTION ON THE TAIWAN COAST</t>
  </si>
  <si>
    <t>The first case of green oysters (Crassostrea gigas) broke out along the Charting mariculture area of south-western Taiwan in January 1986. The green color was found to be due to high copper content in the oyster tissue. Since then, a long-term survey around this area shows that total dissolved copper range from 4.cntdot.99 to 23.cntdot.6 .mu.g/liter and particulate copper ranges from 1.cntdot.09 to 5.cntdot.51 .mu.g/liter in sea-water. The green oysters collected from the Erhjin Chi estuary on 26 January, 1989 gave the highest copper content, 4401 .+-. 79 ppm dry wt. Other green oyster cases were occasionally observed in the Hsiangsan and Anpin mariculture areas. Meanwhile, an experiment of copper accumulation in oysters was conducted at three stations (south-western Taiwan) for up to 90 days. Multiple regression analysis indicates that the food pathway may predominate in copper accumulation by green oysters. This bioaccumulation experiment shows that the total uptake of copper per oyster is an exponential function of exposure time for the first 2 weeks with an accumulation rate of 214 ppm Cu/day and then levels off. The average values of concentration factors for oysters (about 5 .times. 105) were very close to steady-state values under the natural conditions at each station.</t>
  </si>
  <si>
    <t>ACAD SINICA, INST CHEM, TAIPEI 115, TAIWAN</t>
  </si>
  <si>
    <t>Academia Sinica - Taiwan</t>
  </si>
  <si>
    <t>NATL TAIWAN UNIV, INST OCEANOG, TAIPEI, TAIWAN.</t>
  </si>
  <si>
    <t>10.1016/0269-7491(90)90126-W</t>
  </si>
  <si>
    <t>http://dx.doi.org/10.1016/0269-7491(90)90126-W</t>
  </si>
  <si>
    <t>DV082</t>
  </si>
  <si>
    <t>WOS:A1990DV08200005</t>
  </si>
  <si>
    <t>Aoun, M; Arnaudguilhem, C; El Samad, O; Khozam, RB; Lobinski, R</t>
  </si>
  <si>
    <t>Aoun, Maria; Arnaudguilhem, Carine; El Samad, Omar; Khozam, Rola Bou; Lobinski, Ryszard</t>
  </si>
  <si>
    <t>Impact of a phosphate fertilizer plant on the contamination of marine biota by heavy elements</t>
  </si>
  <si>
    <t>Bioaccumulation; Heavy metals; Biota; Metal fractionation; Size exclusion; LC-ICP-MS</t>
  </si>
  <si>
    <t>TRACE-METALS; SUBCELLULAR COMPARTMENTALIZATION; BIVALVES; CADMIUM; BIOACCUMULATION; ACCUMULATION; NICKEL; LEAD; SEA; ZN</t>
  </si>
  <si>
    <t>Due to their toxicity, persistence, and bioaccumulation, metals are important marine environment pollutants, especially in low renewal rate water such as the Mediterranean Sea, receiving a lot of untreated industrial waste. The impact of a phosphate fertilizer plant on the marine biota metal contamination was studied. Several types of organisms: crabs, mussels, patella and fish were collected from two areas of the Lebanese coast, one subjected to the impact of the plant and another away from it; samples were analyzed for Zn, U, Cr, V, Mn, Ni, Co, Cu, As, Cd and Pb by ICP-MS. Higher accumulation was in crabs, patella, and mussels. Fish accumulated principally Zn, Cu, and Cd; a difference was observed between species and tissues. Cytosol metal fractionation using size-exclusion LC-ICP-MS showed principally Pb, As, Co, and Mn in the low molecular weight fraction (&lt;1.8 Da); Cd, Zn, and Cu in the metallothionein fraction (1.8-18 k Da), and Ni in high molecular weight fraction (&gt;20 kDa).</t>
  </si>
  <si>
    <t>[Aoun, Maria; El Samad, Omar; Khozam, Rola Bou] Natl Council Sci Res, Lebanese Atom Energy Commiss, Beirut, Lebanon; [Aoun, Maria; Arnaudguilhem, Carine; Lobinski, Ryszard] Helioparc, CNRS UPPA, Lab Chim Analyt Bioinorgan &amp; Environm, Pau, France</t>
  </si>
  <si>
    <t>Centre National de la Recherche Scientifique (CNRS) - Lebanon; Lebanese Atomic Energy Commission (CNRSL); Centre National de la Recherche Scientifique (CNRS); Universite de Pau et des Pays de l'Adour</t>
  </si>
  <si>
    <t>Aoun, M (corresponding author), Natl Council Sci Res, Lebanese Atom Energy Commiss, POB 11-8281, Beirut, Lebanon.</t>
  </si>
  <si>
    <t>maria.aoun@cnrs.edu.lb</t>
  </si>
  <si>
    <t>Lobinski, Ryszard/0000-0003-1908-2029</t>
  </si>
  <si>
    <t>Lebanese National Council of Scientific Research</t>
  </si>
  <si>
    <t>We would like to thank the Lebanese National Council of Scientific Research for their support to achieve this work and the laboratory of Analytic Bio-inorganic Chemistry and Environment LCABIE CNRS/UPPA, France.</t>
  </si>
  <si>
    <t>10.1007/s11356-015-4691-4</t>
  </si>
  <si>
    <t>http://dx.doi.org/10.1007/s11356-015-4691-4</t>
  </si>
  <si>
    <t>CS8IB</t>
  </si>
  <si>
    <t>WOS:000362329300053</t>
  </si>
  <si>
    <t>Qu, Y; Zhang, TY; Zhang, RL; Wang, X; Zhang, QQ; Wang, Q; Dong, ZJ; Zhao, JM</t>
  </si>
  <si>
    <t>Qu, Yi; Zhang, Tianyu; Zhang, Rongliang; Wang, Xin; Zhang, Qianqian; Wang, Qing; Dong, Zhijun; Zhao, Jianmin</t>
  </si>
  <si>
    <t>Integrative assessment of biomarker responses in Mytilus galloprovincialis exposed to seawater acidification and copper ions</t>
  </si>
  <si>
    <t>Mytilus galloprovincialis; Oceanacidification; Copper ion; Physiological response; Integrated biomarker response index</t>
  </si>
  <si>
    <t>BIVALVES CRASSOSTREA-VIRGINICA; OCEAN ACIDIFICATION; OXIDATIVE STRESS; ACETYLCHOLINESTERASE ACTIVITY; MARINE BIVALVES; PHYSIOLOGICAL-RESPONSES; ANTIOXIDANT RESPONSES; OXIDE NANOPARTICLES; METAL ACCUMULATION; POLLUTION</t>
  </si>
  <si>
    <t>The interactive effects of ocean acidification (OA) and copper (Cu) ions on the mussel Mytilus galloprovincialis are not well understood. The underlying mechanisms also remain obscure. In this study, individuals of M. galloprovincialis were exposed for 28 days to 25 mu g/L and 50 mu g/L Cu ions at two pH levels (ambient level -pH 8.1; acidified level -pH 7.6). The mussels were then monitored for 56 days to determine their recovery ability. Physiological parameters (clearance rate and respiration rate), oxidative stress and neurotoxicity biomarkers (activities of superoxide dismutase, lipid peroxidation, catalase, and acetylcholinesterase), as well as the recovery ability of these parameters, were inves-tigated in two typical tissues (i.e., gills and digestive glands). Results showed that (1) OA affected the bioconcentration of Cu in the gills and digestive glands of the mussels; (2) both OA and Cu can lead to physiological disturbance, oxida-tive stress, cellular damage, energy metabolism disturbance, and neurotoxicity on M. galloprovincialis; (3) gill is more sensitive to OA and Cu than digestive gland; (4) Most of the biochemical and physiological alternations caused by Cu and OA exposures in M. galloprovincialis can be repaired by the recovery experiments; (5) integrated biomarker response (IBR) analysis demonstrated that both OA and Cu ions exposure caused survival stresses to the mussels, with the highest effect shown in the co-exposure treatment. This study highlights the necessity to include OA along with pollutants in future studies to better elucidate the risks of ecological perturbations. The work also sheds light on the recovery of marine animals after short-term environmental stresses when the natural environment has recovered.</t>
  </si>
  <si>
    <t>[Qu, Yi; Zhang, Tianyu; Zhang, Rongliang; Wang, Xin; Zhang, Qianqian; Wang, Qing; Dong, Zhijun; Zhao, Jianmin] Chinese Acad Sci, Yantai Inst Coastal Zone Res, Muping Coastal Environm Res Stn, Yantai 264117, Shandong, Peoples R China; [Qu, Yi; Zhang, Tianyu; Zhang, Rongliang; Wang, Xin; Zhang, Qianqian; Wang, Qing; Dong, Zhijun; Zhao, Jianmin] Chinese Acad Sci, Yantai Inst Coastal Zone Res, Key Lab Coastal Biol &amp; Biol Resources Utilizat, Yantai 264003, Shandong, Peoples R China; [Qu, Yi; Zhang, Tianyu; Zhang, Rongliang; Wang, Xin] Univ Chinese Acad Sci, Beijing 100049, Peoples R China; [Dong, Zhijun; Zhao, Jianmin] Chinese Acad Sci, Ctr Ocean Mega Sci, Qingdao 266071, Shandong, Peoples R China</t>
  </si>
  <si>
    <t>Chinese Academy of Sciences; Yantai Institute of Coastal Zone Research, CAS; Chinese Academy of Sciences; Yantai Institute of Coastal Zone Research, CAS; Chinese Academy of Sciences; University of Chinese Academy of Sciences, CAS; Chinese Academy of Sciences</t>
  </si>
  <si>
    <t>Zhang, QQ; Zhao, JM (corresponding author), Chinese Acad Sci, Yantai Inst Coastal Zone Res, Muping Coastal Environm Res Stn, Yantai 264117, Shandong, Peoples R China.</t>
  </si>
  <si>
    <t>Dong, Zhijun/B-9172-2009; Wang, Qing/O-1991-2013; Zhang, Qianqian/HHZ-6216-2022</t>
  </si>
  <si>
    <t>Wang, Xin/0000-0003-3902-9524; Dong, Zhijun/0000-0001-7692-5892</t>
  </si>
  <si>
    <t>Strategic Priority Research Program of the Chinese Academy of Sciences [XDA23050303]; National Natural Science Foundation of China [42176163]; Youth Innovation Promotion Association, Chinese Academy of Sciences [2019216]</t>
  </si>
  <si>
    <t>Strategic Priority Research Program of the Chinese Academy of Sciences(Chinese Academy of Sciences); National Natural Science Foundation of China(National Natural Science Foundation of China (NSFC)); Youth Innovation Promotion Association, Chinese Academy of Sciences</t>
  </si>
  <si>
    <t>This research was supported by the grants from the Strategic Priority Research Program of the Chinese Academy of Sciences (XDA23050303) , the National Natural Science Foundation of China (project numbers: 42176163) and the Youth Innovation Promotion Association, Chinese Academy of Sciences (No. 2019216) .</t>
  </si>
  <si>
    <t>DEC 10</t>
  </si>
  <si>
    <t>10.1016/j.scitotenv.2022.158146</t>
  </si>
  <si>
    <t>http://dx.doi.org/10.1016/j.scitotenv.2022.158146</t>
  </si>
  <si>
    <t>4X8JW</t>
  </si>
  <si>
    <t>WOS:000861084200006</t>
  </si>
  <si>
    <t>Barbour, EK; Shaib, HA; Yaghi, RH; Sabra, AH</t>
  </si>
  <si>
    <t>Barbour, Elie K.; Shaib, Houssam A.; Yaghi, Ryan H.; Sabra, Alia H.</t>
  </si>
  <si>
    <t>Regression of the Level of Different Heavy Metals to Size of Marine Organisms Harvested from the Jiyeh Oil Spill Zone of the Eastern Mediterranean Sea</t>
  </si>
  <si>
    <t>Oil spill; Heavy metals; Fish; Oysters</t>
  </si>
  <si>
    <t>This study aimed to establish a baseline data on regression of the levels of Lead (Pb), Nickel (Ni) and Vanadium (V) to specific size dimensions of selected marine organisms harvested from an oil spill zone of the Eastern Mediterranean Sea. Twenty samples of each of Siganus rivulatus, Mullets and oysters were collected from each of six harvest sites. A total of 1, 3, and 3 respective significant regression equations (p &lt; 0.01) were established between Pb, Ni, V and specific size dimensions of the selected marine organisms. The significant correlation associated with the highest R (2) value was obtained between the Pb (y) level and the width (x) of the Siganus rivulatus (y = -86.833x + 417.72). The other six statistically significant correlations were associated with lower values of R (2) ranging between 0.338 and 0.380. This baseline data will be used in the future to evaluate the self-purification process of pollutants in different sizes of indicator-marine organisms in this part of the Mediterranean Sea.</t>
  </si>
  <si>
    <t>[Barbour, Elie K.; Shaib, Houssam A.; Yaghi, Ryan H.] Amer Univ Beirut, Dept Anim &amp; Vet Sci, Fac Agr &amp; Food Sci, Beirut, Lebanon; [Sabra, Alia H.] Amer Univ Beirut, Ecosyst Management Program, Fac Agr &amp; Food Sci, Beirut, Lebanon</t>
  </si>
  <si>
    <t>American University of Beirut; American University of Beirut</t>
  </si>
  <si>
    <t>Barbour, EK (corresponding author), Amer Univ Beirut, Dept Anim &amp; Vet Sci, Fac Agr &amp; Food Sci, Riad El Solh 1107-2020,POB 11-0236, Beirut, Lebanon.</t>
  </si>
  <si>
    <t>eb01@aub.edu.lb</t>
  </si>
  <si>
    <t>barbour, elie/P-6166-2014</t>
  </si>
  <si>
    <t>10.1007/s00128-009-9685-9</t>
  </si>
  <si>
    <t>http://dx.doi.org/10.1007/s00128-009-9685-9</t>
  </si>
  <si>
    <t>456BK</t>
  </si>
  <si>
    <t>WOS:000266812800015</t>
  </si>
  <si>
    <t>Pennec, JP; Gallet, M; Gioux, M; Dorange, G</t>
  </si>
  <si>
    <t>Cell culture of bivalves: Tool for the study of the effects of environmental stressors</t>
  </si>
  <si>
    <t>CELLULAR AND MOLECULAR BIOLOGY</t>
  </si>
  <si>
    <t>oyster; heart; cell culture; electrophysiology; tributyltin; cadmium</t>
  </si>
  <si>
    <t>SPONGE SUBERITES-DOMUNCULA; SINGLE-STRAND BREAKS; CRASSOSTREA-GIGAS; CADMIUM; HEART; EXPRESSION; CURRENTS; RAT; METALLOTHIONEIN; CYTOTOXICITY</t>
  </si>
  <si>
    <t>Spontaneous beating cells can be isolated from the heart of the oyster (Crassostrea gigas) and cultured for more than two months. They form adherent contractile networks in culture conditions. They show muscarinic and beta-adrenergic reactivity thus showing that they are functional cardio-myocytes: Acetylcholine induced a dose dependent decrease in spontaneous beating rate via an increase in potassium conductance, this effect being blocked by atropine. Epinephrine induced a dramatic increase in calcium conductance Which was blocked by high concentrations of propranolol but not by sotalol and reversed by verapamil. Tributyltin and cadmium induced a dose and time dependent decrease mainly in inward ionic conductances, leading to a decrease or even a total suppression of the beating rate. Present study indicates that this model could be used as a sensitive test to study the effects of some marine pollutants at the cellular level in molluscs.</t>
  </si>
  <si>
    <t>Inst Synergies Sci &amp; Sante, Facteurs Environm &amp; Fonct Musculaire, F-29285 Brest, France</t>
  </si>
  <si>
    <t>Inst Synergies Sci &amp; Sante, Facteurs Environm &amp; Fonct Musculaire, 22 Ave Camille Desmoulins,EA 2217,BP 806, F-29285 Brest, France.</t>
  </si>
  <si>
    <t>jpennec@univ-brest.fr</t>
  </si>
  <si>
    <t>C M B ASSOC</t>
  </si>
  <si>
    <t>POITIERS</t>
  </si>
  <si>
    <t>34 BOULEVARD SOLFERINO, 86000 POITIERS, FRANCE</t>
  </si>
  <si>
    <t>0145-5680</t>
  </si>
  <si>
    <t>1165-158X</t>
  </si>
  <si>
    <t>CELL MOL BIOL</t>
  </si>
  <si>
    <t>Cell. Mol. Biol.</t>
  </si>
  <si>
    <t>Biochemistry &amp; Molecular Biology; Cell Biology</t>
  </si>
  <si>
    <t>559BV</t>
  </si>
  <si>
    <t>WOS:000176005500003</t>
  </si>
  <si>
    <t>Troncoso, L; Galleguillos, R; Larrain, A</t>
  </si>
  <si>
    <t>Effects of copper on the fitness of the Chilean scallop Argopecten purpuratus (Mollusca: Bivalvia)</t>
  </si>
  <si>
    <t>International Workshop on Marine Genetics</t>
  </si>
  <si>
    <t>SEP, 1998</t>
  </si>
  <si>
    <t>allozymes; toxicity; mollusks; pollution; heterozygosity</t>
  </si>
  <si>
    <t>ALLOZYME GENOTYPES; MARINE GASTROPODS; MERCURY SELECTION; GENETIC-VARIATION</t>
  </si>
  <si>
    <t>Exposure to high concentrations of metals can affect populations and individuals at morphological, physiological, biochemical or genetic levels. Metal pollution is a source of environmental stress that can have deleterious effects on organisms and generate selective pressure upon populations. This work attempts to establish whether concentrations of copper, above physiological requirements, can affect the genetic structure of a cohort of Chilean scallop Argopecten purpuratus. Following the determination of LC50 for 96 h experiments, other acute toxicity tests were carried out, exposing the juveniles to solutions of 150 ppb copper for 120 h. Dead, surviving and control individuals from these bioassays were genetically characterized for five polymorphic loci, Isocitrate dehydrogenase (Idh), Octopine dehydrogenase (Ocdh), Phosphogluconate dehydrogenase (Pgd), Leucine aminopeptidase (Lap) and Phosphoglucose isomerase (Pgi). Results showed no significant differences in allele and genotypic frequencies between surviving and dead individuals, although for the same groups significant differences were found in estimated mean heterozygosity. Pgi and Ocdh showed significantly different heterozygosity values for dead and surviving individuals. A positive relationship between multilocus heterozygosity and survival was found for young A. purpuratus exposed to high copper concentrations; thus, we found evidence of a differential response to exposure to high copper concentrations, related to degree of heterozygosity.</t>
  </si>
  <si>
    <t>Univ Concepcion, Fac Nat Sci &amp; Oceanog, Dept Zool, Lab Bioassays, Concepcion, Chile; Univ Concepcion, Fac Nat Sci &amp; Oceanog, Dept Oceanog, Concepcion, Chile; Univ Concepcion, Ctr EULA, Concepcion, Chile</t>
  </si>
  <si>
    <t>Universidad de Concepcion; Universidad de Concepcion; Universidad de Concepcion</t>
  </si>
  <si>
    <t>Univ Concepcion, Fac Nat Sci &amp; Oceanog, Dept Zool, Lab Bioassays, POB 160-C, Concepcion, Chile.</t>
  </si>
  <si>
    <t>ltronco@udec.cl; rgalleg@udec.cl</t>
  </si>
  <si>
    <t>10.1023/A:1003947407939</t>
  </si>
  <si>
    <t>http://dx.doi.org/10.1023/A:1003947407939</t>
  </si>
  <si>
    <t>305LN</t>
  </si>
  <si>
    <t>WOS:000086541700019</t>
  </si>
  <si>
    <t>Rouhi, A; Sif, J; Chemaa, A</t>
  </si>
  <si>
    <t>Rouhi, Abdelali; Sif, Jamila; Chemaa, Abdeljalil</t>
  </si>
  <si>
    <t>The evaluation of metal pollution on the littoral of El Jadida city (Morocco, Atlantic Ocean): using Arenicola grubii (Polychaeta: Nereididae) as biological indicator</t>
  </si>
  <si>
    <t>CAHIERS DE BIOLOGIE MARINE</t>
  </si>
  <si>
    <t>Pollution; Heavy metals; Arenicola grubii; Littoral of El Jadida; Morocco</t>
  </si>
  <si>
    <t>NEREIS-DIVERSICOLOR; CADMIUM; MYTILUS; MUSSEL; COPPER; ZINC</t>
  </si>
  <si>
    <t>This study allows the presentation of health condition of littoral of El jadida city by the analysis of the four heavy metals (Cd, Cu, Zn and Cr) for the polychaete Arenicola grubii. Samplings were carried out monthly from September 2003 to August 2004. Three physicochemical parameters of the seawater were also measured: pH, temperature and salinity. The obtained results show that there is a variation in space and time of the bioaccumulation. The site of Jorf Lasfar shows the most important values. Also this variation depends on seasons: the high values are registrated during dry season.</t>
  </si>
  <si>
    <t>[Rouhi, Abdelali] Ctr Reg Metiers Educ &amp; Format, Beni Mellal, Morocco; [Sif, Jamila; Chemaa, Abdeljalil] Univ Chouaib Doukkali, Fac Sci, Lab Etude &amp; Anal Environm, El Jadida 24000, Morocco</t>
  </si>
  <si>
    <t>Chouaib Doukkali University of El Jadida</t>
  </si>
  <si>
    <t>Rouhi, A (corresponding author), Ctr Reg Metiers Educ &amp; Format, Beni Mellal, Morocco.</t>
  </si>
  <si>
    <t>rouhiabdelali@gmail.com</t>
  </si>
  <si>
    <t>ROSCOFF</t>
  </si>
  <si>
    <t>STATION BIOLOGIQUE PLACE GEORGES TEISSIER, 29680 ROSCOFF, FRANCE</t>
  </si>
  <si>
    <t>0007-9723</t>
  </si>
  <si>
    <t>2262-3094</t>
  </si>
  <si>
    <t>CAH BIOL MAR</t>
  </si>
  <si>
    <t>Cah. Biol. Mar.</t>
  </si>
  <si>
    <t>140PQ</t>
  </si>
  <si>
    <t>WOS:000318667800004</t>
  </si>
  <si>
    <t>Rodrigues, PD; de Pinho, JV; Ramos, AM; Neves, GL; Conte-Junior, CA</t>
  </si>
  <si>
    <t>Rodrigues, Paloma de Almeida; de Pinho, Julia Vianna; Ramos-Filho, Alexandre Mendes; Neves, Gustavo Lata; Conte-Junior, Carlos Adam</t>
  </si>
  <si>
    <t>Mercury contamination in seafood from an aquatic environment impacted by anthropic activity: seasonality and human health risk</t>
  </si>
  <si>
    <t>Mussel; Fish; Swimming crab; Risk assessment; Oil spill; Seasonality</t>
  </si>
  <si>
    <t>MICROPOGONIAS-FURNIERI; CALLINECTES-SAPIDUS; HEAVY-METALS; FISH; METHYLMERCURY; MUSSEL; CRABS; BIOACCESSIBILITY; ACCUMULATION; CONSUMPTION</t>
  </si>
  <si>
    <t>Petroleum activity and the dumping of domestic and industrial sewage are important sources of mercury (Hg) contamination in the aquatic environment. Thus, this article aimed to biomonitor the Hg concentration in fish, mussels, and swimming crabs of commercial importance in southeastern Brazil. The quantifications were carried out over a year to verify the influence of seasonality. Finally, a risk assessment was applied to identify whether the concentrations found could lead to long-term damage to the population. Our results indicate that the contaminations were higher in spring, summer, and winter than in autumn, mainly among fish and swimming crabs. The results of quantification in the animal and estimated monthly intake, despite being below the limit established nationally and internationally, were indicative of risk for these two animals after calculating the Hazard quotient. The highest risk values were attributed to the infant population. Based on the data generated by this work, the consumption of mussels is encouraged throughout the year, to the detriment of the other types of seafood studied, especially during summer, spring, and winter. Our work reinforces the importance of risk assessment for a more reliable understanding of the impact of contaminants in seafood on the population's health.</t>
  </si>
  <si>
    <t>[Rodrigues, Paloma de Almeida; de Pinho, Julia Vianna; Conte-Junior, Carlos Adam] Fed Univ Rio Janeiro UFRJ, Cidade Univ, Inst Chem IQ, Analyt &amp; Mol Laboratorial Ctr CLAn, BR-21941909 Rio De Janeiro, RJ, Brazil; [Rodrigues, Paloma de Almeida; de Pinho, Julia Vianna; Ramos-Filho, Alexandre Mendes; Neves, Gustavo Lata; Conte-Junior, Carlos Adam] Fed Univ Rio Janeiro UFRJ, Cidade Univ, Ctr Food Anal NAL, Technol Dev Support Lab LADETEC, BR-21941598 Rio De Janeiro, RJ, Brazil; [Rodrigues, Paloma de Almeida; de Pinho, Julia Vianna; Conte-Junior, Carlos Adam] Fed Univ Rio Janeiro UFRJ, Cidade Univ, Dept Biochem, Lab Adv Anal Biochem &amp; Mol Biol LAABBM, BR-21941909 Rio De Janeiro, RJ, Brazil; [de Pinho, Julia Vianna; Conte-Junior, Carlos Adam] Fundacao Oswaldo Cruz, Natl Inst Hlth Qual Control, BR-21040900 Rio De Janeiro, Brazil; [de Pinho, Julia Vianna; Conte-Junior, Carlos Adam] Oswaldo Cruz Fdn FIOCRUZ, Natl Inst Hlth Qual Control INCQS, Grad Program Sanit Surveillance PPGVS, BR-21040900 Rio De Janeiro, RJ, Brazil; [Conte-Junior, Carlos Adam] Fluminense Fed Univ UFF, Fac Vet Med, Grad Program Vet Hyg PPGHV, BR-24220000 Niteroi, RJ, Brazil; [Conte-Junior, Carlos Adam] Fed Univ Rio Janeiro UFRJ, Cidade Univ, Inst Chem IQ, Grad Program Food Sci PPGCAL, BR-21941909 Rio De Janeiro, RJ, Brazil; [Conte-Junior, Carlos Adam] Fed Univ Rio Janeiro UFRJ, Cidade Univ, Inst Chem IQ, Grad Program Chem PGQu, BR-21941909 Rio De Janeiro, RJ, Brazil</t>
  </si>
  <si>
    <t>Fundacao Oswaldo Cruz; Fundacao Oswaldo Cruz; Universidade Federal Fluminense</t>
  </si>
  <si>
    <t>Rodrigues, PD (corresponding author), Fed Univ Rio Janeiro UFRJ, Cidade Univ, Inst Chem IQ, Analyt &amp; Mol Laboratorial Ctr CLAn, BR-21941909 Rio De Janeiro, RJ, Brazil.;Rodrigues, PD (corresponding author), Fed Univ Rio Janeiro UFRJ, Cidade Univ, Ctr Food Anal NAL, Technol Dev Support Lab LADETEC, BR-21941598 Rio De Janeiro, RJ, Brazil.;Rodrigues, PD (corresponding author), Fed Univ Rio Janeiro UFRJ, Cidade Univ, Dept Biochem, Lab Adv Anal Biochem &amp; Mol Biol LAABBM, BR-21941909 Rio De Janeiro, RJ, Brazil.</t>
  </si>
  <si>
    <t>paloma_almeida@id.uff.br</t>
  </si>
  <si>
    <t>Rodrigues, Paloma/B-5856-2018; Conte-Junior, Carlos/J-5815-2014</t>
  </si>
  <si>
    <t>Conte-Junior, Carlos/0000-0001-6133-5080; de Almeida Rodrigues, Paloma/0000-0002-3544-2584; de Pinho, Julia Vianna/0000-0003-3148-0273</t>
  </si>
  <si>
    <t>Fundacao de Amparo a Pesquisa do Estado do Rio de Janeiro (FAPERJ) Brazil [E-26/200.891/2021, E-26/200.077/2022]; Conselho Nacional de Desenvolvimento Cientifico e Tecnologico (CNPq) [313119/20201]; Coordenacao de Aperfeicoamento de Pessoal de Nivel Superior (CAPES) Brazil [001]</t>
  </si>
  <si>
    <t>Fundacao de Amparo a Pesquisa do Estado do Rio de Janeiro (FAPERJ) Brazil(Fundacao Carlos Chagas Filho de Amparo a Pesquisa do Estado do Rio De Janeiro (FAPERJ)); Conselho Nacional de Desenvolvimento Cientifico e Tecnologico (CNPq)(Conselho Nacional de Desenvolvimento Cientifico e Tecnologico (CNPQ)); Coordenacao de Aperfeicoamento de Pessoal de Nivel Superior (CAPES) Brazil(Coordenacao de Aperfeicoamento de Pessoal de Nivel Superior (CAPES))</t>
  </si>
  <si>
    <t>The authors are thankful for the financial support provided by the Fundacao de Amparo a Pesquisa do Estado do Rio de Janeiro (FAPERJ) Brazil -&amp; nbsp;grant number [E-26/200.891/2021 (C.A.C.J); E-26/200.077/2022 (P.A.R.)], the Conselho Nacional de Desenvolvimento Cientifico e Tecnologico (CNPq)-grant number [313119/2020-1], and the Coordenacao de Aperfeicoamento de Pessoal de Nivel Superior (CAPES) Brazil - Finance Code001, for the granted scholarship to J.VdeP.</t>
  </si>
  <si>
    <t>10.1007/s11356-023-28435-7</t>
  </si>
  <si>
    <t>http://dx.doi.org/10.1007/s11356-023-28435-7</t>
  </si>
  <si>
    <t>N9OS6</t>
  </si>
  <si>
    <t>WOS:001022110100007</t>
  </si>
  <si>
    <t>Sadraddini, S; Azim, ME; Shimoda, Y; Mahmood, M; Bhavsar, SP; Backus, SM; Arhonditsis, GB</t>
  </si>
  <si>
    <t>Sadraddini, Somayeh; Azim, M. Ekram; Shimoda, Yuko; Mahmood, Maryam; Bhavsar, Satyendra P.; Backus, Sean M.; Arhonditsis, George B.</t>
  </si>
  <si>
    <t>Temporal PCB and mercury trends in Lake Erie fish communities: A dynamic linear modeling analysis</t>
  </si>
  <si>
    <t>Polychlorinated biphenyls; Mercury; Bayesian inference; Bioaccumulation; Dynamic linear modeling; Lake Erie; Fish contamination; Invasive species</t>
  </si>
  <si>
    <t>PERSISTENT ORGANIC POLLUTANTS; MUSSEL DREISSENA-POLYMORPHA; TROUT SALVELINUS-NAMAYCUSH; GREAT-LAKES; ZEBRA MUSSEL; POLYCHLORINATED-BIPHENYLS; TROPHIC TRANSFER; ROUND GOBY; NEOGOBIUS-MELANOSTOMUS; ATMOSPHERIC TRANSPORT</t>
  </si>
  <si>
    <t>We performed dynamic linear modeling analysis on fish contaminant data collected from the Ontario Ministry of the Environment and Environment Canada to examine long-term trends of total mercury (THg) and polychlorinated biphenyls (PCBs) in Lake Erie. Several sport fish species (walleye, smallmouth bass, rainbow trout) with differences in their diet habits, food competition strategies and foraging patterns are characterized by weakly increasing trends of their THg levels in Lake Erie after the mid- or late 1990s. Similarly, our analysis shows that the decline rates of the PCB body burdens in white bass, smallmouth bass, freshwater drum and whitefish have slowed down or have switched to weakly increasing rates over the last decade. Our analysis also provides evidence that the rainbow trout and coho salmon PCB concentrations have been decreasing steadily but the associated rates were fairly weak. The systematic shifts in energy trophodynamics along with the food web alterations induced from the introduction of non-native species, the new role of the sediments as a net contaminant source, and the potentially significant fluxes from the atmosphere stand out as some of the hypotheses proposed to explain the limited Lake Erie response in recent years to the various contamination mitigation strategies. (C) 2011 Elsevier Inc. All rights reserved.</t>
  </si>
  <si>
    <t>[Bhavsar, Satyendra P.] Ontario Minist Environm, Environm Monitoring &amp; Reporting Branch, Toronto, ON M9P 3V6, Canada; [Bhavsar, Satyendra P.; Arhonditsis, George B.] Univ Toronto, Ctr Environm, Toronto, ON M5S 3E8, Canada; [Backus, Sean M.] Environm Canada, Water Qual Monitoring &amp; Surveillance Div, Water Sci &amp; Technol Directorate, Burlington, ON L7R 4A6, Canada; [Sadraddini, Somayeh; Azim, M. Ekram; Shimoda, Yuko; Mahmood, Maryam; Arhonditsis, George B.] Univ Toronto, Dept Phys &amp; Environm Sci, Ecol Modeling Lab, Toronto, ON M1C 1A4, Canada</t>
  </si>
  <si>
    <t>University of Toronto; Environment &amp; Climate Change Canada; University of Toronto</t>
  </si>
  <si>
    <t>Arhonditsis, GB (corresponding author), Univ Toronto, Dept Phys &amp; Environm Sci, Ecol Modeling Lab, Toronto, ON M1C 1A4, Canada.</t>
  </si>
  <si>
    <t>Arhonditsis, George/C-6980-2009; Shimoda, Yuko/I-3521-2017</t>
  </si>
  <si>
    <t>Ontario Ministry of the Environment [89002]</t>
  </si>
  <si>
    <t>Ontario Ministry of the Environment</t>
  </si>
  <si>
    <t>This project has received funding support from the Ontario Ministry of the Environment (Best in Science Research Program-Grant Funding Agreement 89002). Such support does not indicate endorsement by the Ministry of the contents of the study. All the model codes pertinent to this analysis are available upon request from the corresponding author. We wish to thank Maryam Ramin and Alex Gudimov for insightful comments on an earlier version of the manuscript.</t>
  </si>
  <si>
    <t>10.1016/j.ecoenv.2011.07.031</t>
  </si>
  <si>
    <t>http://dx.doi.org/10.1016/j.ecoenv.2011.07.031</t>
  </si>
  <si>
    <t>846YS</t>
  </si>
  <si>
    <t>WOS:000296939700009</t>
  </si>
  <si>
    <t>Fdil, MA; Mouabad, A; Outzourhit, A; Benhra, A; Maarouf, A; Pihan, JC</t>
  </si>
  <si>
    <t>Fdil, Mohamed Ait; Mouabad, Abdelfattah; Outzourhit, Abdelkader; Benhra, Ali; Maarouf, Abdelmalek; Pihan, Jean Claude</t>
  </si>
  <si>
    <t>Valve movement response of the mussel Mytilus galloprovincialis to metals (Cu, Hg, Cd and Zn) and phosphate industry effluents from Moroccan Atlantic coast</t>
  </si>
  <si>
    <t>mussel; Mytilus galloprovincialis; valve activity; metals; effluent; phosphate industry; toxicity; Morocco</t>
  </si>
  <si>
    <t>AGADIR MARINE BAY; EARLY WARNING SYSTEM; PERNA-PERNA; FRESH-WATER; FILTRATION-RATE; POLLUTION; COPPER; SOUTH; VENTILATION; BIOMARKER</t>
  </si>
  <si>
    <t>Valve activity was measured in the Mediterranean mussel Mytilus galloprovincialis in response to sublethal concentrations of four metals (Hg, Cu, Zn and Cd) and two phosphate industry effluents from the Atlantic coast of Morocco. Valve movements were monitored using a proximity inductive sensor which could display all activity figures from full closure to wide opening of the shell valves. In a I It exposure experiments, all metals induced a decrease in the time of normal opening and the appearance of sequences of stress behaviour, including enhanced valve adductions and complete closure at high concentrations. Mercury (tested from 5 to 75 mu g, Hg l(-1)) was the most toxic to the valve activity, with a threshold effective concentration at 10 mu g Hg l(-1) and full valve closure occurring at 50 mu g Hg l(-1). Copper (15-150 mu g Cu l(-1)) showed a toxic effect starting at threshold concentration of 20 mu g Cu l(-1) and induced full valve closure at 150 mu g Cu l(-1). Zinc (100-500 mu g Zn l(-1)) was effective in reducing the time of normal opening (threshold concentration at 100 mu g Zn l(-1)) but no complete closure was recorded in any of the tested concentrations. For cadmium (1000-5000 mu g Cd l(-1)), the valve activity was insensitive for exposures under 2000 mu g Cd l(-1). Results for the testing of several samplings of the phosphate industry effluents (Safi and Jorf Lasfar) showed that their toxicity varied over the time. The effluent of the Jorf Lasfar plant (2-9.4%) was, however, more toxic than that of Safi (1-25%). In the light of these results, the sensitivity of the valve activity of Mytilus galloprovincialis to pollutants and its usefulness for in situ monitoring of coastal pollution in Morocco are discussed.</t>
  </si>
  <si>
    <t>Cadi Ayyad Univ, Fac Sci &amp; Tech, Lab Biosurveillance Environm, Marrakech, Morocco; Cadi Ayyad Univ, Fac Sci Semlalia, Lab Phys Solide &amp; Couches Minces, Marrakech, Morocco; INRH, Lab Ecoltoxicol, Casablanca, Morocco; Metz Univ, LBFE, F-57070 Metz, France</t>
  </si>
  <si>
    <t>Cadi Ayyad University of Marrakech; Cadi Ayyad University of Marrakech; Universite de Lorraine</t>
  </si>
  <si>
    <t>Mouabad, A (corresponding author), Cadi Ayyad Univ, Fac Sci &amp; Tech, Lab Biosurveillance Environm, POb 549, Marrakech, Morocco.</t>
  </si>
  <si>
    <t>mouabad@fstg-marrakech.ac.ma</t>
  </si>
  <si>
    <t>Outzourhit, Abdelkader/GRY-0321-2022</t>
  </si>
  <si>
    <t>abdelkader, outzourhit/0000-0002-6871-4670</t>
  </si>
  <si>
    <t>10.1007/s10646-006-0083-3</t>
  </si>
  <si>
    <t>http://dx.doi.org/10.1007/s10646-006-0083-3</t>
  </si>
  <si>
    <t>074VJ</t>
  </si>
  <si>
    <t>WOS:000239839600009</t>
  </si>
  <si>
    <t>RIEDEL, GF; ABBE, GR; SANDERS, JG</t>
  </si>
  <si>
    <t>SILVER AND COPPER ACCUMULATION IN 2 ESTUARINE BIVALVES, THE EASTERN OYSTER (CRASSOSTREA-VIRGINICA) AND THE HOOKED MUSSEL (ISCHADIUM-RECURVUM) IN THE PATUXENT RIVER ESTUARY, MARYLAND</t>
  </si>
  <si>
    <t>AMERICAN OYSTER; MYTILUS-EDULIS; TRACE-METALS; CHESAPEAKE BAY; POLLUTION; CONTAMINATION; SPECIATION; SALINITY; MOLLUSKS; HARBOR</t>
  </si>
  <si>
    <t>In order to assess the source of trace elements and to compare uptake between different bivalve species, oysters and mussels were transplanted to five sites in the upper Patuxent River estuary during 1988. Transplant sites were located above and below the discharge of Chalk Point Steam Electric Station (CPSES)-a historic point source for copper. Organisms were sampled approximately monthly for 1 yr and analyzed for copper and silver. During spring and summer, concentrations of silver and copper increased in oysters at the upstream stations. There was very little change in silver and copper concentrations in the mussels with either time or among stations. Copper concentrations accumulated by oysters approached those found during previous periods when CPSES used Cu-Ni alloy condenser tubes (1966-1987), suggesting that corrosion from the Cu-Ni condenser tubes was only a minor contributor to the copper burdens of oysters in the river nearby. The lack of accumulation by mussels at the same sites suggests that part of the reason for the accumulation by oysters may be a taxonomically specific physiological effect caused by the salinity regime in the upper Patuxent.</t>
  </si>
  <si>
    <t>RIEDEL, GF (corresponding author), ACAD NAT SCI,BENEDICT ESTUARINE RES CTR,ST LEONARD,MD 20685, USA.</t>
  </si>
  <si>
    <t>ESTUARINE RES FEDERATION</t>
  </si>
  <si>
    <t>PO BOX 368, LAWRENCE, KS 66044</t>
  </si>
  <si>
    <t>10.2307/1352363</t>
  </si>
  <si>
    <t>http://dx.doi.org/10.2307/1352363</t>
  </si>
  <si>
    <t>RV913</t>
  </si>
  <si>
    <t>WOS:A1995RV91300002</t>
  </si>
  <si>
    <t>Telahigue, K; Rabeh, I; Chouba, L; Mdaini, Z; El Cafsi, M; Mhadhbi, L; Hajji, T</t>
  </si>
  <si>
    <t>Telahigue, Khaoula; Rabeh, Imen; Chouba, Lassaad; Mdaini, Zied; El Cafsi, M'hamed; Mhadhbi, Lazhar; Hajji, Tarek</t>
  </si>
  <si>
    <t>Assessment of the heavy metal levels and biomarker responses in the smooth scallop Flexopecten glaber from a heavily urbanized Mediterranean lagoon (Bizerte lagoon)</t>
  </si>
  <si>
    <t>Bizerte lagoon; Metallic pollution; Pectinids; Biomarkers; Oxidative stress</t>
  </si>
  <si>
    <t>OXIDATIVE STRESS BIOMARKERS; FATTY-ACID-COMPOSITION; DIGESTIVE GLAND; POLLUTION BIOMARKERS; CHLAMYS-FARRERI; TRACE-METALS; METALLOTHIONEIN; GLUTATHIONE; CADMIUM; FOOD</t>
  </si>
  <si>
    <t>Marine heavy metal pollution is a worldwide serious issue. Like almost all Mediterranean lagoons, the Bizerte lagoon is highly urbanized and suffers from intensive anthropogenic pressure. In the present study, we screened the metal contamination and biomarker responses in the smooth scallop Flexopecten glaber inhabiting this vulnerable ecosystem. To this end, the concentrations of six heavy metals (HM) (i.e., Cu, Pb, Zn, Cd, Hg, and Fe) and a panel of biochemical endpoints including malondialdehyde (MDA), metallothioneins (MT), reduced glutathione (GSH), glutathione peroxidase (GPx), superoxide dismutase (SOD), and catalase (CAT) were determined in the gills and digestive gland across seasons (warm and cold) and sites (S1 and S2). The distribution of almost all analyzed metals in E glaber tissues varied significantly between sites, seasons, and organs. The highest levels were recorded at S2 during the warm period. Moreover, the digestive gland was found to accumulate greater concentrations of HM than the gills. Marked spatio-temporal variations were also observed for oxidative stress biomarkers, mainly in the gills, while the digestive gland seems to be rather sensitive to seasonal variability. Particularly, we noticed that among the used biomarkers, MT did not show significant variations in the two tested organs across seasons and sites. From the obtained results, F. glaber appears as a sensitive organism to anthropogenic metal contamination and can be proposed as a promising bioindicator species for marine pollution.</t>
  </si>
  <si>
    <t>[Telahigue, Khaoula; Rabeh, Imen; Mdaini, Zied; El Cafsi, M'hamed; Mhadhbi, Lazhar] Univ Tunis El Manar, Fac Sci Tunis, LR18ES41 Lab Ecol Biol &amp; Physiol Aquat Organisms, Tunis 2092, Tunisia; [Chouba, Lassaad] La Goulette Ctr, Natl Inst Marine Sci &amp; Technol INSTM, Tunis 2060, Tunisia; [Chouba, Lassaad] Univ Carthage, Tunis 2025, Tunisia; [Mdaini, Zied] Univ Quebec Rimouski, Inst Sci Mer Rimouski, 310 Allee Ursulines, Rimouski, PQ G5L 3A1, Canada; [Hajji, Tarek] Higher Inst Biotechnol Sidi Thabet, BVBGR LR11ES31, Biotechpole Sidi Thabet, Manouba 2020, Ariana, Tunisia</t>
  </si>
  <si>
    <t>Universite de Tunis-El-Manar; Faculte des Sciences de Tunis (FST); Universite de Carthage; University of Quebec; Universite du Quebec a Rimouski; Institut National de Recherche d'Analyse Physico-Chimique</t>
  </si>
  <si>
    <t>Telahigue, K (corresponding author), Univ Tunis El Manar, Fac Sci Tunis, LR18ES41 Lab Ecol Biol &amp; Physiol Aquat Organisms, Tunis 2092, Tunisia.</t>
  </si>
  <si>
    <t>ka.telahigue@gmail.com</t>
  </si>
  <si>
    <t>Hajji, Tarek/GYI-8952-2022; AYMEN, EL/R-4337-2019</t>
  </si>
  <si>
    <t>Hajji, Tarek/0000-0002-3869-8876; telahigue, Khaoula/0000-0001-8841-9911; Mhadhbi, Lazhar/0000-0001-5498-4349; El Cafsi, M'hamed/0000-0002-9771-1110</t>
  </si>
  <si>
    <t>10.1007/s10661-022-10071-2</t>
  </si>
  <si>
    <t>http://dx.doi.org/10.1007/s10661-022-10071-2</t>
  </si>
  <si>
    <t>0W2PW</t>
  </si>
  <si>
    <t>WOS:000788876500001</t>
  </si>
  <si>
    <t>Ghribi, F; Richir, J; Bejaoui, S; Boussoufa, D; Marengo, M; El Cafsi, M; Gobert, S</t>
  </si>
  <si>
    <t>Ghribi, Feriel; Richir, Jonathan; Bejaoui, Safa; Boussoufa, Dhouha; Marengo, Michel; El Cafsi, M'hamed; Gobert, Sylvie</t>
  </si>
  <si>
    <t>Trace elements and oxidative stress in the Ark shell Arca noae from a Mediterranean coastal lagoon (Bizerte lagoon, Tunisia): are there health risks associated with their consumption?</t>
  </si>
  <si>
    <t>Arca noae; Southern Mediterranean Sea; Trace elements; Contamination; Redox status; Human health</t>
  </si>
  <si>
    <t>MUSSEL MYTILUS-EDULIS; OYSTER CRASSOSTREA-GIGAS; HEAVY-METALS; DIGESTIVE GLAND; POLYCHLORINATED-BIPHENYLS; RUDITAPES-DECUSSATUS; SEASONAL VARIABILITY; BIOMARKER RESPONSES; BIOCHEMICAL MARKERS; REPRODUCTIVE-CYCLE</t>
  </si>
  <si>
    <t>The current study examined the concentrations of ten trace elements (TE) (nickel, chromium, cadmium, iron, zinc, manganese, aluminum, copper, selenium and lead) in the edible tissue of the Ark shell Arca noae (L. 1758) from a Mediterranean coastal lagoon, the Bizerte lagoon during 2013-2014. The analysis of several redox status biomarkers, metallothioneins (MTs), malondialdehyde (MDA), glutathione peroxidase (GPx), reduced glutathione (GSH) and acetylcholinesterase (AChE), was monitored as a response to TE bioaccumulation and environmental parameters variability. Significant differences (p &lt; 0.05) were observed between mean seasonal TE concentrations in A. noae soft tissue. The highest TE concentrations in A. noae soft tissues were recorded during summer, which coincided with the increase of body dry weight (BDW) and the gonad index (GI). During this season, biomarker responses were enhanced, revealing significant increases of MTs, MDA and GSH levels as well as GPx activity in A. noae tissues, while a decrease of AChE activity was observed. The levels of TE analyzed in A. noae and several parameters used to assess the potential human risk (estimated weekly intake, target hazard quotient and target hazard risk) were lower than the permissible limits for safe seafood consumption. Consequently, this shellfish can be considered safe for human consumption. This preliminary study presents prospects for the valorization of this seafood product in Tunisia's food sector. It also gives basal information for future environmental assessment studies in which A. noae could be used as early warning tools in the field of biomonitoring programs and confirms the usefulness of biomarkers to monitor the health status of aquatic organisms.</t>
  </si>
  <si>
    <t>[Ghribi, Feriel; Bejaoui, Safa; Boussoufa, Dhouha; El Cafsi, M'hamed] Univ Tunis El Manar, Fac Sci Tunis, Lab Ecol Biol &amp; Physiol Aquat Organisms, Tunis, Tunisia; [Richir, Jonathan] Univ Liege, Chem Oceanog Unit AGO, Quartier Agora, Liege, Belgium; [Richir, Jonathan; Marengo, Michel; Gobert, Sylvie] Univ Liege, MARE Ctr, Lab Oceanol, Liege, Belgium; [Marengo, Michel; Gobert, Sylvie] Stn Rech Marines &amp; Oceanog STARESO, Calvi, France</t>
  </si>
  <si>
    <t>Universite de Tunis-El-Manar; Faculte des Sciences de Tunis (FST); University of Liege; University of Liege</t>
  </si>
  <si>
    <t>Ghribi, F (corresponding author), Univ Tunis El Manar, Fac Sci Tunis, Lab Ecol Biol &amp; Physiol Aquat Organisms, Tunis, Tunisia.</t>
  </si>
  <si>
    <t>ferielghribi@yahoo.fr</t>
  </si>
  <si>
    <t>BOUSSOUFA, Dhouha/ADJ-2348-2022; Richir, Jonathan/AAB-1982-2021</t>
  </si>
  <si>
    <t>Richir, Jonathan/0000-0001-5890-5724</t>
  </si>
  <si>
    <t>10.1007/s11356-020-07967-2</t>
  </si>
  <si>
    <t>http://dx.doi.org/10.1007/s11356-020-07967-2</t>
  </si>
  <si>
    <t>FEB 2020</t>
  </si>
  <si>
    <t>LP3KX</t>
  </si>
  <si>
    <t>WOS:000518073100001</t>
  </si>
  <si>
    <t>Irkin, LC</t>
  </si>
  <si>
    <t>Irkin, Latife Ceyda</t>
  </si>
  <si>
    <t>Investigation of Apoptotic and Inflammatory Activity in Liver Tissue of Rats Fed with Clam (Pecten maximus, Linnaeus 1758)</t>
  </si>
  <si>
    <t>REVISTA ROMANA DE MEDICINA DE LABORATOR</t>
  </si>
  <si>
    <t>great clam; apoptosis; inflammation; liver; heavy metals</t>
  </si>
  <si>
    <t>CRASSOSTREA-GIGAS; KAPPA-B; CADMIUM; BIOACCUMULATION; BIOAVAILABILITY; METHYLMERCURY; MECHANISMS; TOXICITY; MERCURY; ZINC</t>
  </si>
  <si>
    <t>One of the most important threats for living things in aquatic ecosystems is environmental pollution. The changes in water quality caused by environmental pollution also reduce the quality of life for organisms in the environment. Among these, the crustaceans which are most affected by the negative changes of environment, fed by the filtration method, are seen as pollution indicator. The consumption of these creatures reaches all steps of the pyramid, especially humans, through the food chain. People who frequently use seafood in their diets may be affected by these negative changes. Heavy metal contents of the clams obtained from Dardanelles were determined by the ICP-OES. Twenty-four female Wistar albino rats were fed for 30 days with the experimental diet using clams (Pecten maximus), which was dried and formed into pellets and added to the food in certain proportions. At the end of the study, the subjects were sacrificed under anesthesia, liver tissues were taken, and histochemical examination was performed. TUNEL method was performed to detect apoptotic activity, and immunohistochemical staining with TNF-alpha and NF-kappa B antibodies to determine inflammation. Concluding from the results, it was observed that the degeneration of vital digestive system tissues such as liver was inevitable in living creatures that frequently consume seafood obtained from unhealthy environment in their daily diets. The high analysis values of the heavy metal (P. maximus) in food additive can be considered as a reason for histopathological results.</t>
  </si>
  <si>
    <t>[Irkin, Latife Ceyda] Canakkale Onsekiz Mart Univ, Dept Fisheries Technol, Fac Sci Appl, Canakkale, Turkey</t>
  </si>
  <si>
    <t>Irkin, LC (corresponding author), Canakkale Onsekiz Mart Univ, Dept Fisheries Technol, Fac Sci Appl, Canakkale, Turkey.</t>
  </si>
  <si>
    <t>UNIV PRESS</t>
  </si>
  <si>
    <t>TIRES MURES</t>
  </si>
  <si>
    <t>UNIV MED FARMACIE TIRGU MURES, DISCIPLINA BIOCHIMIE CLIN, STR GHEORGHE MARINESCU, NR 38, TIRES MURES, 00000, ROMANIA</t>
  </si>
  <si>
    <t>1841-6624</t>
  </si>
  <si>
    <t>2284-5623</t>
  </si>
  <si>
    <t>REV ROMANA MED LAB</t>
  </si>
  <si>
    <t>Rev. Romana Med. Lab.</t>
  </si>
  <si>
    <t>10.2478/rrlm-2021-0013</t>
  </si>
  <si>
    <t>http://dx.doi.org/10.2478/rrlm-2021-0013</t>
  </si>
  <si>
    <t>Medicine, Research &amp; Experimental</t>
  </si>
  <si>
    <t>Research &amp; Experimental Medicine</t>
  </si>
  <si>
    <t>SM7GR</t>
  </si>
  <si>
    <t>WOS:000657769600006</t>
  </si>
  <si>
    <t>Yu, T; Zhang, Y; Hu, XN; Meng, W</t>
  </si>
  <si>
    <t>Yu Tao; Zhang Yuan; Hu Xiaona; Meng Wei</t>
  </si>
  <si>
    <t>Distribution and bioaccumulation of heavy metals in aquatic organisms of different trophic levels and potential health risk assessment from Taihu lake, China</t>
  </si>
  <si>
    <t>Heavy metal; Aquatic organism; Food chain; Spatial distribution; Bioaccumulation; Risk assessment; Taihu lake</t>
  </si>
  <si>
    <t>ORGANOCHLORINE PESTICIDES; FISH; RIVER; WATER; SEDIMENTS; ACCUMULATION; INDUSTRIAL; POLLUTION; TINTO; ZN</t>
  </si>
  <si>
    <t>Aquatic organisms of different trophic levels were taken from Taihu lake. Heavy metals (Cu, Zn, Cr, Ni, Ccl, Pb) were measured in phytoplankton, zooplankton, in two species of zoobenthos, and in eight fish species, as well as in the water column and bottom sediments. Results showed that the concentration of Cu and Zn for all organisms was much higher than for other metals, and Cd was the lowest in all species. Generally, heavy metal concentrations in phytoplankton were higher than in zooplankton. In zoobenthos, the concentration in Bellamya sp.(human edible snail) was higher than that in Corbiculidae (bivalve). Metal concentrations had no significant difference between fish species but tended to be higher in predator fish such as Collie ectenes and Erythroculter ilishaeformis than in herbivorous fish. The level of measured metals in Taihu fish was moderate-low compared with that of fresh water fishes from international results. Spatially, metal concentrations in organisms were higher in the north and west Taihu lake but lower in south and east lake and this appears to be related to river inputs that are heavily influenced by anthropogenic activities. The bio-concentration factor (BCF) for all aquatic organisms in the food chain indicated that it was generally highest in planktons, followed by zoobenthos, and lowest in fish. Health risk assessment and comparison with national and international standards showed that consumption of aquatic products from the lake was generally safe but fishermen were a higher risk group especially through dietary intake of Bellamya sp. (C) 2012 Elsevier Inc. All rights reserved.</t>
  </si>
  <si>
    <t>[Yu Tao; Zhang Yuan; Hu Xiaona; Meng Wei] Chinese Res Inst Environm Sci, State Key Lab Environm Criteria &amp; Risk Assessment, Beijing 100012, Peoples R China</t>
  </si>
  <si>
    <t>Chinese Research Academy of Environmental Sciences</t>
  </si>
  <si>
    <t>Meng, W (corresponding author), Chinese Res Inst Environm Sci, State Key Lab Environm Criteria &amp; Risk Assessment, Beijing 100012, Peoples R China.</t>
  </si>
  <si>
    <t>mengwei@craes.org.cn</t>
  </si>
  <si>
    <t>Zhang, Yuan/P-1011-2014; wang, wei/JYP-7819-2024</t>
  </si>
  <si>
    <t>China's National Basic Research Program (973 program): Water environmental quality evolution and water quality criteria in lakes [2008CB418201]</t>
  </si>
  <si>
    <t>China's National Basic Research Program (973 program): Water environmental quality evolution and water quality criteria in lakes</t>
  </si>
  <si>
    <t>This work was financially supported by China's National Basic Research Program (973 program): Water environmental quality evolution and water quality criteria in lakes (2008CB418201). We are grateful to the editor and three anonymous reviewers for their insightful comments to improve the manuscript. Dr. Ongley kindly edited English language of the whole text and gave helpful suggestions on our previous manuscript.</t>
  </si>
  <si>
    <t>JUL 1</t>
  </si>
  <si>
    <t>10.1016/j.ecoenv.2012.04.014</t>
  </si>
  <si>
    <t>http://dx.doi.org/10.1016/j.ecoenv.2012.04.014</t>
  </si>
  <si>
    <t>966MV</t>
  </si>
  <si>
    <t>WOS:000305842900008</t>
  </si>
  <si>
    <t>Ajala, M; Ben Ameur, W; Annabi, A</t>
  </si>
  <si>
    <t>Ajala, Marwa; Ben Ameur, Walid; Annabi, Ali</t>
  </si>
  <si>
    <t>First evidence of the utility of cephalopods for biomonitoring program in the field: case of Sepia officinalis south west of Mediterranean Sea (Gulf of Gabes, Tunisia)</t>
  </si>
  <si>
    <t>Trace elements; Bioaccumulation; Sepia officinalis; Gulf of Gabes</t>
  </si>
  <si>
    <t>CLAM RUDITAPES-DECUSSATUS; HEAVY-METALS; OCTOPUS-VULGARIS; TRACE-ELEMENTS; IN-SITU; TISSUES; SQUID; CADMIUM; BIOACCUMULATION; ZN</t>
  </si>
  <si>
    <t>This study was carried out to determine the concentration of selected heavy metals in common cuttlefish (Sepia officinalis) caught in the south west of Mediterranean Sea (Gulf of Gabes, Tunisia). To reach this objective, cuttlefish samples were collected from each area (Sfax and Djerba) situated along the Gulf of Gabes, and the concentrations of heavy metals (Cu, Zn, Pb, and Cd) were measured in the gills, gonads, digestive glands, and muscles. Sample preparation and quantification of the metals were accomplished via the wet digestion method and atomic absorption spectroscopy. The levels of heavy metals varied significantly among organs and sites. In fact, the population from Sfax (Gargour) shows the highest concentrations of copper, zinc, and lead compared to the population from Djerba. Globally, recorded metal concentrations were within the range or below the levels in similar species from other regions across the world. To our knowledge, this study is the first that interests to the bioaccumulation of metals in this cuttlefish species from the two investigated areas and to the evaluation of their levels in different tissues.</t>
  </si>
  <si>
    <t>[Ajala, Marwa; Ben Ameur, Walid; Annabi, Ali] Univ Gabes, Fac Sci Gabes, Dept Sci La Vie, Ecol La Faune Terr UR17ES44, Gabes, Tunisia</t>
  </si>
  <si>
    <t>Annabi, A (corresponding author), Univ Gabes, Fac Sci Gabes, Dept Sci La Vie, Ecol La Faune Terr UR17ES44, Gabes, Tunisia.</t>
  </si>
  <si>
    <t>10.1007/s11356-021-17804-9</t>
  </si>
  <si>
    <t>http://dx.doi.org/10.1007/s11356-021-17804-9</t>
  </si>
  <si>
    <t>0L6YU</t>
  </si>
  <si>
    <t>WOS:000739288200007</t>
  </si>
  <si>
    <t>Paul-Pont, I; de Montaudouin, X; Gonzalez, P; Jude, F; Raymond, N; Paillard, C; Baudrimont, M</t>
  </si>
  <si>
    <t>Paul-Pont, Ika; de Montaudouin, Xavier; Gonzalez, Patrice; Jude, Florence; Raymond, Natalie; Paillard, Christine; Baudrimont, Magalie</t>
  </si>
  <si>
    <t>Interactive effects of metal contamination and pathogenic organisms on the introduced marine bivalve Ruditapes philippinarum in European populations</t>
  </si>
  <si>
    <t>Manila clam; Pathogens; Cadmium; Metallothionein; Immune defense</t>
  </si>
  <si>
    <t>BROWN RING DISEASE; COCKLE CERASTODERMA-EDULE; MUSSEL PERNA-VIRIDIS; MANILA CLAM; VIBRIO-TAPETIS; CRASSOSTREA-GIGAS; METALLOTHIONEIN INDUCTION; HEMOCYTE PARAMETERS; DIGESTIVE GLAND; TREMATODE PARASITES</t>
  </si>
  <si>
    <t>in natural environment, marine organisms are concomitantly exposed to pollutants and multiple disease agents resulting in detrimental interactions The present study evaluated interactive effects of metal contamination (cadmium) and pathogenic organisms (trematode parasites Himasthla elongata and pathogenic bacteria Vibrio tapetis) singularly and in combination on the bivalve Ruditapes philippmarum, an introduced species to Europe, under laboratory controlled conditions. After 7 days, metal bio-accumulation and pathogen load were analyzed as well as metallothionein (MT) response and hemocyte concentrations and activities. Results showed that infection by opportunistic pathogens affects metal accumulation. leading to maximal Cd accumulation in co-infected clams. Among stressors only V tapetis induced significant effects on Immune parameters whereas a particular interaction trematode-bacteria was shown on MT responses. Despite low trematode infection in agreement with the resistant status of R philippinarum to these macroparasites, significant interaction with bacteria and metal occurred Such results highlight the necessity of taking pathogens into account in ecotoxicological studies (C) 2010 Published by Elsevier Ltd.</t>
  </si>
  <si>
    <t>[Paul-Pont, Ika; de Montaudouin, Xavier; Gonzalez, Patrice; Jude, Florence; Raymond, Natalie; Baudrimont, Magalie] Univ Bordeaux 1, UMR CNRS 5805, Stn Marine Arcachon, F-33120 Arcachon, France; [Paillard, Christine] Univ Bretagne Occidentale IUEM, LEMAR UMR CNRS 6539, F-29280 Plouzane, France</t>
  </si>
  <si>
    <t>Universite de Bordeaux; Centre National de la Recherche Scientifique (CNRS); CNRS - National Institute for Earth Sciences &amp; Astronomy (INSU); Universite de Bretagne Occidentale; Institut Universitaire Europeen de la Mer (IUEM); Centre National de la Recherche Scientifique (CNRS); Ifremer; Institut de Recherche pour le Developpement (IRD)</t>
  </si>
  <si>
    <t>Paul-Pont, I (corresponding author), Univ Bordeaux 1, UMR CNRS 5805, Stn Marine Arcachon, Pl Dr Peyneau, F-33120 Arcachon, France.</t>
  </si>
  <si>
    <t>Gonzalez, Patrice/0000-0003-2628-2993; Baudrimont, Magalie/0000-0001-9901-8435; Paillard, Christine/0000-0002-3812-0724; Paul-Pont, Ika/0000-0003-3734-0909</t>
  </si>
  <si>
    <t>Region Aquitaine; French National Research Agency (ANR)</t>
  </si>
  <si>
    <t>Region Aquitaine(Region Nouvelle-Aquitaine); French National Research Agency (ANR)(Agence Nationale de la Recherche (ANR)Norwegian Agency for Development Cooperation - NORAD)</t>
  </si>
  <si>
    <t>This work was carried out with the financial support of the Region Aquitaine and the French National Research Agency (ANR - Multistress project). Authors are grateful to Francis Prince, Pascal Lebleu, Henri Bouillard and Frances Haynes for their help and their technical support before and during the experiment. Authors thank Sarah Culloty. University of Cork (Ireland) for improving the manuscript.</t>
  </si>
  <si>
    <t>10.1016/j.envpol.2010.07.028</t>
  </si>
  <si>
    <t>http://dx.doi.org/10.1016/j.envpol.2010.07.028</t>
  </si>
  <si>
    <t>659JQ</t>
  </si>
  <si>
    <t>WOS:000282563200007</t>
  </si>
  <si>
    <t>Coppola, F; Soares, AMVM; Figueira, E; Pereira, E; Marques, PAAP; Polese, G; Freitas, R</t>
  </si>
  <si>
    <t>Coppola, Francesca; Soares, Amadeu M. V. M.; Figueira, Etelvina; Pereira, Eduarda; Marques, Paula A. A. P.; Polese, Gianluca; Freitas, Rosa</t>
  </si>
  <si>
    <t>The Influence of Temperature Increase on the Toxicity of Mercury Remediated Seawater Using the Nanomaterial Graphene Oxide on the Mussel Mytilus galloprovincialis</t>
  </si>
  <si>
    <t>metals; warming; bivalves; oxidative stress; nanomaterial; histopathology</t>
  </si>
  <si>
    <t>OXIDATIVE STRESS; RUDITAPES-PHILIPPINARUM; CRASSOSTREA-VIRGINICA; HEAVY-METALS; HISTOPATHOLOGICAL INDEXES; MEDITERRANEAN MUSSEL; ELEVATED-TEMPERATURE; CONTAMINATED WATER; THERMAL-STRESS; REMOVAL</t>
  </si>
  <si>
    <t>Mercury (Hg) has been increasing in waters, sediments, soils and air, as a result of natural events and anthropogenic activities. In aquatic environments, especially marine systems (estuaries and lagoons), Hg is easily bioavailable and accumulated by aquatic wildlife, namely bivalves, due to their lifestyle characteristics (sedentary and filter-feeding behavior). In recent years, different approaches have been developed with the objective of removing metal(loid)s from the water, including the employment of nanomaterials. However, coastal systems and marine organisms are not exclusively challenged by pollutants but also by climate changes such as progressive temperature increment. Therefore, the present study aimed to (i) evaluate the toxicity of remediated seawater, previously contaminated by Hg (50 mg/L) and decontaminated by the use of graphene-based nanomaterials (graphene oxide (GO) functionalized with polyethyleneimine, 10 mg/L), towards the mussel Mytilus galloprovincialis; (ii) assess the influence of temperature on the toxicity of decontaminated seawater. For this, alterations observed in mussels' metabolic capacity, oxidative and neurotoxic status, as well as histopathological injuries in gills and digestive tubules were measured. This study demonstrated that mussels exposed to Hg contaminated seawater presented higher impacts than organisms under remediated seawater. When comparing the impacts at 21 degrees C (present study) and 17 degrees C (previously published data), organisms exposed to remediated seawater at a higher temperature presented higher injuries than organisms at 17 degrees C. These results indicate that predicted warming conditions may negatively affect effective remediation processes, with the increasing of temperature being responsible for changes in organisms' sensitivity to pollutants or increasing pollutants toxicity.</t>
  </si>
  <si>
    <t>[Coppola, Francesca; Soares, Amadeu M. V. M.; Figueira, Etelvina; Freitas, Rosa] Univ Aveiro, CESAM, Dept Biol, P-3810193 Aveiro, Portugal; [Pereira, Eduarda] Univ Aveiro, Dept Chem, LAQV REQUIMTE, P-3810193 Aveiro, Portugal; [Marques, Paula A. A. P.] Univ Aveiro, Dept Mech Engn TEMA, P-3810193 Aveiro, Portugal; [Polese, Gianluca] Univ Naples Federico II, Dept Biol, I-80126 Naples, Italy</t>
  </si>
  <si>
    <t>Universidade de Aveiro; Universidade de Aveiro; Universidade de Aveiro; University of Naples Federico II</t>
  </si>
  <si>
    <t>Freitas, R (corresponding author), Univ Aveiro, CESAM, Dept Biol, P-3810193 Aveiro, Portugal.</t>
  </si>
  <si>
    <t>c.francesca@ua.pt; asoares@ua.pt; efigueira@ua.pt; eduper@ua.pt; paulam@ua.pt; gianluca.polese@unina.it; rosafreitas@ua.pt</t>
  </si>
  <si>
    <t>Coppola, Francesca/U-8869-2018; Pereira, Eduarda/A-5907-2012; Soares, Amadeu/A-8304-2008; Polese, Gianluca/F-3496-2013; Freitas, Rosa/A-7539-2012; Marques, Paula/A-7371-2008; Figueira, Etelvina/M-6116-2013</t>
  </si>
  <si>
    <t>Soares, Amadeu/0000-0003-0879-9470; Coppola, Francesca/0000-0002-7039-9630; Polese, Gianluca/0000-0002-6322-7769; Freitas, Rosa/0000-0003-4900-3897; Marques, Paula/0000-0002-7498-452X; Figueira, Etelvina/0000-0002-6763-2665</t>
  </si>
  <si>
    <t>National Funds through the Portuguese Science Foundation (FCT) [SFRH/BD/118582/2016]; FSE; Programa Operacional Capital Humano (POCH) e da Uniao Europeia; Fundação para a Ciência e a Tecnologia [SFRH/BD/118582/2016] Funding Source: FCT</t>
  </si>
  <si>
    <t>National Funds through the Portuguese Science Foundation (FCT)(Fundacao para a Ciencia e a Tecnologia (FCT)); FSE(European Social Fund (ESF)); Programa Operacional Capital Humano (POCH) e da Uniao Europeia; Fundação para a Ciência e a Tecnologia(Fundacao para a Ciencia e a Tecnologia (FCT))</t>
  </si>
  <si>
    <t>Francesca Coppola benefited from a PhD grant (SFRH/BD/118582/2016) given by the National Funds through the Portuguese Science Foundation (FCT), supported by FSE and Programa Operacional Capital Humano (POCH) e da Uniao Europeia.</t>
  </si>
  <si>
    <t>10.3390/nano11081978</t>
  </si>
  <si>
    <t>http://dx.doi.org/10.3390/nano11081978</t>
  </si>
  <si>
    <t>UH7JY</t>
  </si>
  <si>
    <t>WOS:000690103400001</t>
  </si>
  <si>
    <t>PATEL, B; BANGERA, VS; PATEL, S; BALANI, MC</t>
  </si>
  <si>
    <t>HEAVY-METALS IN THE BOMBAY HARBOR AREA</t>
  </si>
  <si>
    <t>Bombay harbor is a major sink on the western peninsula of the Indian subcontinent, receiving anthropogenic pollutants including heavy metals, radionuclides and hydrocarbons in addition to sewage. To evaluate possible impacts of heavy metals on the harbor ecosystem, the distribution patterns of Zn, Mn, Cu, Fe, Co, Ni, Cd, Cr, Pb and Sr in water, sediment and 2 benthic species, the blood clam Anadara granosa and gobiid mudskipper Boleophthalmus boddaerti were studied in 1976-1980. The present levels of the 10 elements in biotic and abiotic matrices were below those known to affect adversely the life and quality of benthic communities. The concentrations of these elements in various compartments did not reveal systematic temporal or spatial fluctuations or reflect the substantial increase in the total budget over the past 8-12 yr. These levels were within the range reported in the nearshore and oceanic environs along the west coast. The poor growth and high percentage mortality observed in the clam A. granosa fished from the Sewri clam bed compared to that of the stock harvested from the Trombay region in the harbor may have been due to anoxic conditions caused by organic pollutants present in the domestic sewage and industrial wastes released in the vicinity of the Sewri clam bed.</t>
  </si>
  <si>
    <t>BHABHA ATOM RES CTR, DIV HLTH PHYS, BOMBAY 400085, INDIA.</t>
  </si>
  <si>
    <t>10.1016/0025-326X(85)90255-3</t>
  </si>
  <si>
    <t>http://dx.doi.org/10.1016/0025-326X(85)90255-3</t>
  </si>
  <si>
    <t>ABS79</t>
  </si>
  <si>
    <t>WOS:A1985ABS7900005</t>
  </si>
  <si>
    <t>Dirrigl, FJ; Badaoui, Z; Tamez, C; Vitek, CJ; Parsons, JG</t>
  </si>
  <si>
    <t>Dirrigl, Frank J., Jr.; Badaoui, Zachariah; Tamez, Carlos; Vitek, Christopher J.; Parsons, Jason G.</t>
  </si>
  <si>
    <t>Use of the sea hare (Aplysia fasciata) in marine pollution biomonitoring of harbors and bays</t>
  </si>
  <si>
    <t>Bioaccumulation; Harbors; Heavy metals; Sea hares; Texas</t>
  </si>
  <si>
    <t>HEAVY-METALS; BIVALVE MOLLUSKS; MEDITERRANEAN COAST; CADMIUM; BIOACCUMULATION; TISSUES; LEAD; CONTAMINATION; GASTROPODA; SEDIMENTS</t>
  </si>
  <si>
    <t>Our study evaluated heavy metal concentrations in soft tissues of sea hare, Aplysia fasciata, from the Lower Laguna Madre, Texas. Heavy metals in tissues followed Se &gt; As &gt; Pb &gt; Cd. Concentrations ranged As (BDL-28.08), Cd (BDL-5.50), Pb (BDL-12.85) and Se (4.25-93A3 ppm). Median As, Cd, Pb, and Se tissue levels exceeded exposure levels. Significant relationships occurred in metal-metal (As-Cd, As-Pb, Cd-Pb, Cd-Se, and Pb-Se), metal-tissue (significant Se uptake by inhalant and exhalant siphons and As in the hepatopancreas), and metal-metal within tissue (As-Pb in the hepatopancreas and Cd-Pb in the digestive cecum) analyses (p &lt; 0.05). Bioaccumulation factors (BAF) suggested the inhalant siphon, hepatopancreas, and digestive cecum function as macroconcentrators of Cd, hepatopancreas and digestive cecum as macroconcentrators of Pb, and all tissues were deconcentrators for As and Se. As a bioaccumulator of heavy metals, Aplysia was evaluated as a bioindicator of marine pollution in harbors and bays.</t>
  </si>
  <si>
    <t>[Dirrigl, Frank J., Jr.; Badaoui, Zachariah; Vitek, Christopher J.] Univ Texas Rio Grande Valley, Dept Biol, 1201 W Univ Dr, Edinburg, TX 78539 USA; [Tamez, Carlos; Parsons, Jason G.] Univ Texas Rio Grande Valley, Dept Chem, 1201 W Univ Dr, Edinburg, TX 78539 USA; [Tamez, Carlos] Univ Texas El Paso, Dept Chem, 500 W Univ Ave, El Paso, TX 79902 USA</t>
  </si>
  <si>
    <t>University of Texas System; University of Texas Rio Grande Valley; University of Texas System; University of Texas Rio Grande Valley; University of Texas System; University of Texas El Paso</t>
  </si>
  <si>
    <t>Dirrigl, FJ (corresponding author), Univ Texas Rio Grande Valley, Dept Biol, 1201 W Univ Dr, Edinburg, TX 78539 USA.</t>
  </si>
  <si>
    <t>frank.dirrigl@utrgv.edu; ctamez@miners.utep.edu; christopher.vitek@utrgv.edu; jason.parsons@utrgv.edu</t>
  </si>
  <si>
    <t>Dirrigl, Frank/AAB-9481-2021; Vitek, Chris/JTS-4067-2023</t>
  </si>
  <si>
    <t>Dirrigl Jr, Frank/0000-0003-0206-3454; Parsons, Jason/0000-0002-2487-885X</t>
  </si>
  <si>
    <t>National Science Foundation Undergraduate Research &amp; Mentoring in the Biological Sciences (URM) Program [DBI-0934013]</t>
  </si>
  <si>
    <t>National Science Foundation Undergraduate Research &amp; Mentoring in the Biological Sciences (URM) Program</t>
  </si>
  <si>
    <t>This paper is published posthumously after Zach Badaoui recently passed and to honor his contribution to the research presented in the sequence of authorship. Funding was provided by the National Science Foundation Undergraduate Research &amp; Mentoring in the Biological Sciences (URM) Program (Award #DBI-0934013). Conflicts of interest: none. We thank Hudson DeYoe for his field assistance in collecting specimens. The manuscript was improved from the assistance of several anonymous reviewers. Outline maps in Fig. 1 provided by d-maps.com.</t>
  </si>
  <si>
    <t>10.1016/j.marpolbul.2017.10.056</t>
  </si>
  <si>
    <t>http://dx.doi.org/10.1016/j.marpolbul.2017.10.056</t>
  </si>
  <si>
    <t>WOS:000432510800027</t>
  </si>
  <si>
    <t>Veiga, K; Pedro, CA; Ferreira, SMF; Gonçalves, SC</t>
  </si>
  <si>
    <t>Veiga, Kelly; Pedro, Carmen A.; Ferreira, Susana M. F.; Goncalves, Silvia C.</t>
  </si>
  <si>
    <t>Monitoring metal pollution on coastal lagoons using Cerastoderma edulea report from a moderately impacted system in Western Portugal (bidos Lagoon)</t>
  </si>
  <si>
    <t>Biomonitor; Bivalve; Cadmium; Cerastoderma edule; Coastal lagoon; Lead; Nickel; PTWI</t>
  </si>
  <si>
    <t>OBIDOS LAGOON; HEAVY-METALS; MYTILUS-GALLOPROVINCIALIS; TRACE-METALS; CADMIUM; CONTAMINATION; RESPONSES; SCALLOP; BIOACCUMULATION; SEDIMENTS</t>
  </si>
  <si>
    <t>The main goal of this monitoring program was to evaluate the contamination in the intertidal environment of bidos Lagoon by the metals Cd, Pb, and Ni on water, sediments, and on biological samples, using the bivalve Cerastoderma edule (common name: cockle) as a biomonitor. Since C. edule is an edible mollusc, the risk of their consumption by humans from this lagoon was also evaluated. The study was performed in a restricted area of the lagoonthe ML stationwhere human activities, such as shellfish harvesting, intersect with the natural processes occurring in this system. The results obtained revealed that the water samples were polluted with Cd and Pb with concentrations (0.00025mgl(-1) and 0.0072mgl(-1)) above the maximum legislated on the Directive 2008/105/EC, while for Ni, this occurred only on one of the seasons sampled (summer 2010: 0.029mgl(-1)). The sediments were not contaminated with Cd and Ni, and the contamination detected for the metal Pb, allowed the classification of this station as an unpolluted site ([Pbmin]=7.477mg.kg(-1) and [Pbmax]=19.875mg.kg(-1)). On biological samples, comparing the results of metal contaminations with the values of the maximum levels fixed by European Commission Regulation (EC) No 1881/2006 and USFDA, all the results were below the legal value. Therefore, during the period of study, the consumption of this bivalve by humans was safe. Also, BAF and CF calculations suggest that C. edule can be used as a biomonitor to determine the source of the contaminations. This study supported the use of C. edule as a biomonitor to assess the contamination by the metals Pb and Ni at the bidos Lagoon and allowed to predict the potential transfer of metals to higher trophic levels with potential impacts on the natural and human communities.</t>
  </si>
  <si>
    <t>[Veiga, Kelly; Pedro, Carmen A.; Ferreira, Susana M. F.; Goncalves, Silvia C.] Polytechn Inst Leiria, ESTM, MARE Marine &amp; Environm Sci Ctr, P-2520641 Peniche, Portugal; [Ferreira, Susana M. F.] Univ Coimbra, Dept Life Sci, CFE, Apartado 3046, P-3001401 Coimbra, Portugal; [Goncalves, Silvia C.] Univ Coimbra, Fac Sci &amp; Technol, Dept Life Sci, MARE Marine &amp; Environm Sci Ctr, P-3004517 Coimbra, Portugal</t>
  </si>
  <si>
    <t>Universidade de Coimbra; Universidade de Coimbra</t>
  </si>
  <si>
    <t>Gonçalves, SC (corresponding author), Polytechn Inst Leiria, ESTM, MARE Marine &amp; Environm Sci Ctr, P-2520641 Peniche, Portugal.</t>
  </si>
  <si>
    <t>scgoncalves@ipleiria.pt</t>
  </si>
  <si>
    <t>Gonçalves, Sílvia/U-1591-2019; de Freitas Ferreira, Susana/ABE-5330-2020</t>
  </si>
  <si>
    <t>Pedro, Carmen/0000-0002-2010-5243; Goncalves, Silvia/0000-0003-1970-0181</t>
  </si>
  <si>
    <t>INDEA-IPL (Polytechnic Institute of Leiria); IMAR-CMA, Marine and Environmental Research Centre; Fundacao para a Ciencia e Tecnologia (FCT) [UID/MAR/04292/2013]</t>
  </si>
  <si>
    <t>INDEA-IPL (Polytechnic Institute of Leiria); IMAR-CMA, Marine and Environmental Research Centre; Fundacao para a Ciencia e Tecnologia (FCT)(Fundacao para a Ciencia e a Tecnologia (FCT))</t>
  </si>
  <si>
    <t>This work was carried out within the scope of the research projects Monitoring of Coastal Habitats, funded by INDEA-IPL (Polytechnic Institute of Leiria) and Seasonal evaluation of the environmental quality of the Obidos Lagoon funded by IMAR-CMA, Marine and Environmental Research Centre. This study had also the support of Fundacao para a Ciencia e Tecnologia (FCT), through the strategic project UID/MAR/04292/2013 granted to MARE.</t>
  </si>
  <si>
    <t>10.1007/s11356-018-3705-4</t>
  </si>
  <si>
    <t>http://dx.doi.org/10.1007/s11356-018-3705-4</t>
  </si>
  <si>
    <t>HI1II</t>
  </si>
  <si>
    <t>WOS:000456198400057</t>
  </si>
  <si>
    <t>Dorey, N; Maboloc, E; Chan, KYK</t>
  </si>
  <si>
    <t>Dorey, Narimane; Maboloc, Elizaldy; Chan, Kit Yu Karen</t>
  </si>
  <si>
    <t>Development of the sea urchin Heliocidaris crassispina from Hong Kong is robust to ocean acidification and copper contamination</t>
  </si>
  <si>
    <t>Ocean acidification; Metallic pollution; Developmental biology; Invertebrates; Larvae; Bioaccumulation</t>
  </si>
  <si>
    <t>BIVALVES CRASSOSTREA-VIRGINICA; PARACENTROTUS-LIVIDUS LARVAL; HEAVY-METALS; TRACE-METALS; ECHINODERMATA ECHINOIDEA; MARINE-INVERTEBRATES; COMMON CUTTLEFISH; INCREASED PCO(2); GENE-EXPRESSION; SWIMMING SPEED</t>
  </si>
  <si>
    <t>Metallic pollution is of particular concern in coastal cities. In the Asian megacity of Hong Kong, despite water qualities have improved over the past decade, some local zones are still particularly affected and could represent sinks for remobilization of labile toxic species such as copper. Ocean acidification is expected to increase the fraction of the most toxic form of copper (Cu2+) by 2.3-folds by 2100 (pH approximate to 7.7), increasing its bioavailability to marine organisms. Additionally, multiple stressors are likely to exert concomitant effects (additive, synergic or antagonist) on the organisms living in the sea. Here, we tested the hypothesis that copper-contaminated waters are more toxic to sea urchin larvae under future pH conditions. We exposed sea urchin embryos and larvae to two low-pH and two copper treatments (0.1 and 1.0 mu M) in three separate experiments. Over the short time typically used for toxicity tests (up to 4-arm plutei, i.e. 3 days), larvae of the sea urchin Heliocidaris crassispina were robust and survived the copper levels present in Hong Kong waters today (&lt;= 0.19 mu M) as well as the average pH projected for 2100. We, however, observed significant mortality with lowering pH in the longer, single-stressor experiment (Expt A: 8-arm plutei, i.e. 9 days). Abnormality and arm asymmetry were significantly increased by pH or/and by copper presence (depending on the experiment and copper level). Body size (d3; but not body growth rates in Expt A) was significantly reduced by both lowered pH and added copper. Larval respiration (Expt A) was doubled by a decrease at pH(T) from 8.0 to 7.3 on d6. In Expt B1.0 and B0.1, larval morphology (relative arm lengths and stomach volume) were affected by at least one of the two investigated factors. Although the larvae appeared robust, these sub-lethal effects may have indirect consequences on feeding, swimming and ultimately survival. The complex relationship between pH and metal speciation/uptake is not well-characterized and further investigations are urgently needed to detangle the mechanisms involved and to identify possible caveats in routinely used toxicity tests.</t>
  </si>
  <si>
    <t>[Dorey, Narimane; Chan, Kit Yu Karen] Hong Kong Univ Sci &amp; Technol, Div Life Sci, Kowloon, Hong Kong, Peoples R China; [Maboloc, Elizaldy] Hong Kong Univ Sci &amp; Technol, Sch Sci, Kowloon, Hong Kong, Peoples R China</t>
  </si>
  <si>
    <t>Dorey, N (corresponding author), Inst Marine Res, Nordnesgaten 50, N-5020 Bergen, Norway.</t>
  </si>
  <si>
    <t>narimane.dorey@gmail.com</t>
  </si>
  <si>
    <t>Maboloc, Elizaldy/AAK-5793-2021; Chan, Karen/E-4041-2015</t>
  </si>
  <si>
    <t>Maboloc, Elizaldy Acebu/0000-0002-4685-1551; Chan, Kit Yu Karen/0000-0002-7775-4383; Dorey, Narimane/0000-0003-2814-1406</t>
  </si>
  <si>
    <t>VPRG, HKUST; Research Grant Council [26102515]; Croucher Foundation, Hong Kong</t>
  </si>
  <si>
    <t>VPRG, HKUST; Research Grant Council(Hong Kong Research Grants Council); Croucher Foundation, Hong Kong</t>
  </si>
  <si>
    <t>We thank Abby Lo, Jenny Ngo, Esther Wong, Antoine Pecquet and Dr. Tam Yi Ki for their kind assistance in the lab. We are grateful to Prof. W. Wang and Dr. Jian Wang from HKUST for running the copper analyses. We thank Sam Dupont for valuable feedback on the manuscript and Ceri Lewis for interesting discussion on the data. ND is partially supported by VPRG, HKUST. Funding for the project comes from the Research Grant Council [Project Number: 26102515] to KC. KC is additionally supported by the Croucher Foundation, Hong Kong.</t>
  </si>
  <si>
    <t>10.1016/j.aquatox.2018.09.006</t>
  </si>
  <si>
    <t>http://dx.doi.org/10.1016/j.aquatox.2018.09.006</t>
  </si>
  <si>
    <t>HC0NB</t>
  </si>
  <si>
    <t>WOS:000451494000001</t>
  </si>
  <si>
    <t>Kavun, VY</t>
  </si>
  <si>
    <t>Kavun, V. Ya.</t>
  </si>
  <si>
    <t>A Comparative Assessment of Content of a Number of Heavy Metals in Soft Tissues of Mytilus trossulus A. Gould, 1850, Mytilus galloprovincialis Lamarck, 1819 (Bivalvia, Mytilidae) and their Hybrid Forms from Minonosok Bay of Peter the Great Bay (Sea of Japan)</t>
  </si>
  <si>
    <t>Sea of Japan; Peter the Great Bay; Mytilus trossulus; Mytilus galloprovincialis; hybrid forms; heavy metals; monitoring</t>
  </si>
  <si>
    <t>BLUE MUSSEL MYTILUS; TRACE-METALS; BODY-SIZE; EDULIS; ACCUMULATION; VARIABILITY; INDICATOR; POLLUTION; LINNAEUS; COPPER</t>
  </si>
  <si>
    <t>A comparative assessment of the contents of Fe, Zn, Cu, Cd, Mn, Pb, and Ni in the soft tissues of bivalve mollusks Mytilus trossulus, Mytilus galloprovincialis, and their hybrid forms from Minonosok Bay of Peter the Great Bay (Sea of Japan) has been made. No significant differences in the accumulation of Fe and Cd in the tissues of all studied groups of mollusks were found. It has been shown that the hybrid forms of these species had more intensive growth, and against this background they accumulated significantly lower concentrations of such metals as Cu, Mn, Pb, and Ni in their soft tissues compared to the parental species. A significant negative correlation has been found between the accumulation of these metals in the tissues of mollusks and the length and weight of their shells and whole soft tissues M. trossulus, which had a significantly lower weight of valves and soft tissues, differed from M. galloprovincialis in the accumulation of significantly higher concentrations of Zn, for which no relationship has been found between its content and all the studied size and weight characteristics. The conducted testing did not reveal any significant dependence of the accumulation of all studied metals, with the exception of Pb, in the tissues of mollusks on their condition index. The results we obtained indicate the need to take the above features of the trace metal composition of the soft tissues of the studied species into account when using them in monitoring environmental pollution with heavy metals.</t>
  </si>
  <si>
    <t>[Kavun, V. Ya.] Russian Acad Sci, Zhirmunsky Natl Sci Ctr Marine Biol, Far Eastern Branch, Vladivostok 690041, Russia</t>
  </si>
  <si>
    <t>Kavun, VY (corresponding author), Russian Acad Sci, Zhirmunsky Natl Sci Ctr Marine Biol, Far Eastern Branch, Vladivostok 690041, Russia.</t>
  </si>
  <si>
    <t>vkavun11@mail.ru</t>
  </si>
  <si>
    <t>Far Eastern Branch, Russian Academy of Sciences E.B. Lebedev</t>
  </si>
  <si>
    <t>The author is grateful to the staff of the National Scientific Center of Marine Biology, Far Eastern Branch, Russian Academy of Sciences E.B. Lebedev and A.A. Kepel for sampling mollusks and their species identification, as well as for assistance provided in preparing the manuscript for publication. The author expresses sincere gratitude to the head of the Center for Landscape Ecodiagnostics and GIS Center for collective use of the Pacific Geological Institute, Far Eastern Branch of the Russian Academy of Sciences Prof. V.M. Shulkin and Chief Engineer of the Laboratory of Geochemistry G.A. Vlasova for assistance in analyzing mollusk samples for the contents of heavy metals.</t>
  </si>
  <si>
    <t>10.1134/S1063074024010048</t>
  </si>
  <si>
    <t>http://dx.doi.org/10.1134/S1063074024010048</t>
  </si>
  <si>
    <t>OB1A3</t>
  </si>
  <si>
    <t>WOS:001204696300002</t>
  </si>
  <si>
    <t>Fan, BB; Ding, S; Peng, YT; Yin, JH; Liu, YL; Cui, SH; Zhou, X; Mu, KG; Ru, SH; Chen, Q</t>
  </si>
  <si>
    <t>Fan, Beibei; Ding, Shuai; Peng, Yutao; Yin, Junhui; Liu, Yanli; Cui, Shihao; Zhou, Xue; Mu, Kangguo; Ru, Shuhua; Chen, Qing</t>
  </si>
  <si>
    <t>Supplying amendments alleviates aluminum toxicity and regulates cadmium accumulation by spinach in strongly acidic soils</t>
  </si>
  <si>
    <t>JOURNAL OF ENVIRONMENTAL MANAGEMENT</t>
  </si>
  <si>
    <t>Soil amendments; Aluminum toxicity; Spinach; Regulation; Cadmium accumulation</t>
  </si>
  <si>
    <t>DISSOLVED ORGANIC-MATTER; AGRICULTURAL SOILS; PLANT-CELLS; HEALTH-RISK; BIOCHAR; CD; PH; ACIDIFICATION; PHOSPHORUS; LIGANDS</t>
  </si>
  <si>
    <t>Al toxicity and Cd pollution are key limiting factors for agricultural production in the acidic soils in China. The application of amendments is an effective and promising measure for remediating strongly acidic Cdcontaminated soils. However, the information on applying amendments for alleviating Al toxicity and regulating plant Cd accumulation is still rare. Here, oyster shell (OS), red mud (RM), hydroxyapatite (HAP), and biochar (BC) at 30 g kg-1 were investigated for alleviating Al toxicity and decreasing Cd accumulation in spinach plants. The results showed that four amendments significantly increased soil pH, and reduced soil exchangeable Al3+ and DTPA-Cd, promoted spinach growth (P &lt; 0.05). Al(OH)30 and Al-HA were the main forms of active Al in soil. The BC and OS were more effective to alleviate Al toxicity but significantly (P &lt; 0.05) increased Cd accumulation in spinach. RM and HAP effectively reduced the uptake of Cd by spinach plants as well as alleviated Al toxicity (P &lt; 0.05). Bivariate correlation analysis and the partial least squares path modeling analysis indicated that soil exchangeable Al3+ was the main limiting factor for biomass production. Our study demonstrated that HAP could significantly alleviate Al toxicity, promote spinach growth, and decrease Cd accumulation in strongly acidic Cd-contaminated soils. Besides, OS and BC effectively alleviated soil Al toxicity leading to promoting the growth of spinach. Compared with CK, RM treatment significantly reduced soil Cd bioavailability (61.2%) and decreased Cd concentration and uptake of spinach plants by 90.0% and 50.7%. These results indicated that RM could be used as an efficient amendment in Cd contaminated.</t>
  </si>
  <si>
    <t>[Fan, Beibei; Ding, Shuai; Yin, Junhui; Liu, Yanli; Cui, Shihao; Zhou, Xue; Mu, Kangguo; Chen, Qing] China Agr Univ, Coll Resources &amp; Environm Sci, Beijing Key Lab Farmland Soil Pollut Prevent &amp; Rem, Beijing 100193, Peoples R China; [Peng, Yutao] Sun Yat sen Univ, Sch Agr, Shenzhen 523758, Guangdong, Peoples R China; [Ru, Shuhua] Hebei Acad Agr &amp; Forestry Sci, Inst Agr Resources &amp; Environm, Shijiazhuang 050051, Hebei, Peoples R China</t>
  </si>
  <si>
    <t>China Agricultural University; Sun Yat Sen University; Hebei Academy of Agricultural &amp; Forestry Sciences</t>
  </si>
  <si>
    <t>Chen, Q (corresponding author), China Agr Univ, Coll Resources &amp; Environm Sci, Beijing Key Lab Farmland Soil Pollut Prevent &amp; Rem, Beijing 100193, Peoples R China.</t>
  </si>
  <si>
    <t>qchen@cau.edu.cn</t>
  </si>
  <si>
    <t>Shuai, Ding/JVP-1737-2024; Peng, Yutao/HCH-2854-2022; Cui, Shihao/HGV-2065-2022</t>
  </si>
  <si>
    <t>China Agriculture Research System of Ministry of Finance (MOF) and Ministry of Agriculture and Rural Affairs (MARA) [CARS -23-B15]; Chinese Universities Scientific Fund [2021TC117]</t>
  </si>
  <si>
    <t>China Agriculture Research System of Ministry of Finance (MOF) and Ministry of Agriculture and Rural Affairs (MARA); Chinese Universities Scientific Fund</t>
  </si>
  <si>
    <t>We gratefully acknowledge the financial support of China Agricul- ture Research System of Ministry of Finance (MOF) and Ministry of Agriculture and Rural Affairs (MARA) (CARS -23-B15) and Chinese Universities Scientific Fund (Grant No. 2021TC117) . We appreciate Professor A. K. Alva, Former Research Leader and Location Coordinator, United States Department of Agriculture, Agricultural Research Service (USDA-ARS) for technical and language editing of this manuscript.</t>
  </si>
  <si>
    <t>0301-4797</t>
  </si>
  <si>
    <t>1095-8630</t>
  </si>
  <si>
    <t>J ENVIRON MANAGE</t>
  </si>
  <si>
    <t>J. Environ. Manage.</t>
  </si>
  <si>
    <t>10.1016/j.jenvman.2022.116340</t>
  </si>
  <si>
    <t>http://dx.doi.org/10.1016/j.jenvman.2022.116340</t>
  </si>
  <si>
    <t>5T4PK</t>
  </si>
  <si>
    <t>WOS:000875850400004</t>
  </si>
  <si>
    <t>Arumugam, G; Rajendran, R; Shanmugam, V; Sethu, R; Krishnamurthi, M</t>
  </si>
  <si>
    <t>Arumugam, Ganeshkumar; Rajendran, Rajaram; Shanmugam, Vinothkumar; Sethu, Rameshkumar; Krishnamurthi, Mathivanan</t>
  </si>
  <si>
    <t>Flow of toxic metals in food-web components of tropical mangrove ecosystem, Southern India</t>
  </si>
  <si>
    <t>heavy metals; food-web components; bioconcentration factor; ecological risk assessment; principal component analysis</t>
  </si>
  <si>
    <t>HEAVY-METALS; RISK-ASSESSMENT; SURFACE SEDIMENTS; TRACE-ELEMENTS; WATER-QUALITY; SPATIAL-DISTRIBUTION; EAST-COAST; II IONS; ESTUARINE; RIVER</t>
  </si>
  <si>
    <t>The concentration of heavy metals in water, sediment, and various food-web components like plankton, shrimp, bivalve, and fishes were collected from Muthupet mangrove ecosystem. Heavy metal concentration in water samples was relatively lesser than the biological and sediment samples. Among the heavy metals studied, zinc showed highest concentration ranged from 1.81 to 81.5 mg/kg or mg/L, whereas Cd (0-26.06 mg/kg or mg/L) was found to be lesser in all the samples except a few organisms viz. Anadara sp. (26.06 mg/kg), Coilia sp. (10.09 mg/kg), Anguila sp. (9.14 mg/kg), and Tachysurus maculates (6.95 mg/kg) observed during this study. Pb and Cu were ranged from 10.29 to 14.99 mg/kg and 0.59 to 16.06 mg/kg, respectively. The reported values of heavy metals were several folds higher than permissible levels of international regulatory agencies like WHO, FAO, and USEPA. The order of accumulation of heavy metals in biological samples are as follows: Pb &gt; Cu &gt; Zn &gt; Cd. All the biota showed a higher degree of bioconcentration factor for Zn, in the range of 3.90-34.39. Principal component analysis concluded that Muthupet was contaminated by lithogenic as well as anthropogenic activities. Therefore, field observation and sample analysis clearly indicated that sampling sites were polluted with both point and nonpoint source of pollution.</t>
  </si>
  <si>
    <t>[Arumugam, Ganeshkumar; Rajendran, Rajaram; Shanmugam, Vinothkumar; Sethu, Rameshkumar] Bharathidasan Univ, Dept Marine Sci, Tiruchirappalli 620024, Tamil Nadu, India; [Krishnamurthi, Mathivanan] Manonmaniam Sundaranar Univ, Sri Paramakalyani Ctr Excellence Environm Sci, Aalwarkurichi, Tirunelveli, India</t>
  </si>
  <si>
    <t>Bharathidasan University; Manonmaniam Sundaranar University</t>
  </si>
  <si>
    <t>Rajendran, R (corresponding author), Bharathidasan Univ, Dept Marine Sci, Tiruchirappalli 620024, Tamil Nadu, India.</t>
  </si>
  <si>
    <t>rajaramdms@bdu.ac.in</t>
  </si>
  <si>
    <t>Rajaram, Rajendran/ABE-5535-2021; Arumugam, Ganeshkumar/ABC-5218-2020</t>
  </si>
  <si>
    <t>RAJARAM, RAJENDRAN/0000-0003-2621-1677</t>
  </si>
  <si>
    <t>Ministry of Earth Science, Government of India [MoES/36/OOIS/Extra./9/2013]</t>
  </si>
  <si>
    <t>Ministry of Earth Science, Government of India</t>
  </si>
  <si>
    <t>The authors are thankful to the Ministry of Earth Science, Government of India (Ref. No.: MoES/36/OOIS/Extra./9/2013) for providing financial assistance.</t>
  </si>
  <si>
    <t>10.1080/10807039.2017.1412819</t>
  </si>
  <si>
    <t>http://dx.doi.org/10.1080/10807039.2017.1412819</t>
  </si>
  <si>
    <t>GB8CQ</t>
  </si>
  <si>
    <t>WOS:000429302700014</t>
  </si>
  <si>
    <t>Tavoloni, T; Miniero, R; Bacchiocchi, S; Brambilla, G; Ciriaci, M; Griffoni, F; Palombo, P; Stecconi, T; Stramenga, A; Piersanti, A</t>
  </si>
  <si>
    <t>Tavoloni, Tamara; Miniero, Roberto; Bacchiocchi, Simone; Brambilla, Gianfranco; Ciriaci, Martina; Griffoni, Francesco; Palombo, Paolo; Stecconi, Tommaso; Stramenga, Arianna; Piersanti, Arianna</t>
  </si>
  <si>
    <t>Heavy metal spatial and temporal trends (2008-2018) in clams and mussel from Adriatic Sea (Italy): Possible definition of forecasting models</t>
  </si>
  <si>
    <t>Mytilus galloprovincialis; Chamelea gallina; Heavy metals; Time-trends; Food safety; Environmental security</t>
  </si>
  <si>
    <t>MYTILUS-GALLOPROVINCIALIS; TRACE-METALS; MOLLUSKS; SAMPLES; COAST</t>
  </si>
  <si>
    <t>In 2008-2018, 1458 georeferenced samples of clams and 343 of mussels were harvested in Italy from classified areas along Marche coast and analyzed within food-safety monitoring plans. Pb, Cd, V, Ni, Cr, and As median levels (mg kg(-1)) were 0.09, 0.08, 0.29, 0.77, 0.35, and 2.35 in clams and 0.16, 0.15, 0.46, 0.48, 0.25, and 3.34 in mussels. The reported levels were comparable with the published ones, and Hg always fell below LOQ (0.025 mg kg(-1)). Pb and Cd datasets, based on quarterly results, show a decreasing trend in clams and constant baseline value for mussels. Time-trends and forecasting models represent an asset to predict emerging food safety/security risks. The metal levels in mussels and clams from the same area allow environmental safety assessment and thus enable the evaluation of contaminants in both water column and sediment. Monitoring of elements that are not regulated may help in preserving food and environmental safety.</t>
  </si>
  <si>
    <t>[Tavoloni, Tamara; Bacchiocchi, Simone; Ciriaci, Martina; Griffoni, Francesco; Palombo, Paolo; Stecconi, Tommaso; Stramenga, Arianna; Piersanti, Arianna] Ist Zooprofilatt Sperimentale Umbria &amp; Marche Tog, Via Cupa Posatora 3, I-60131 Ancona, Italy; [Miniero, Roberto; Brambilla, Gianfranco] Ist Super Sanita, Viale Regina Elena 299, I-00161 Rome, Italy</t>
  </si>
  <si>
    <t>Istituto Superiore di Sanita (ISS)</t>
  </si>
  <si>
    <t>Piersanti, A (corresponding author), Ist Zooprofilatt Sperimentale Umbria &amp; Marche Tog, Via Cupa Posatora 3, I-60131 Ancona, Italy.</t>
  </si>
  <si>
    <t>t.tavoloni@izsum.it; roberto.miniero@iss.it; s.bacchiocchi@izsum.it; gianfranco.brambilla@iss.it; m.ciriaci@izsum.it; f.griffoni@izsum.it; p.palombo@izsum.it; t.stecconi@izsum.it; a.stramenga@izsum.it; a.piersanti@izsum.it</t>
  </si>
  <si>
    <t>Ciriaci, Martina/AAC-9597-2021</t>
  </si>
  <si>
    <t>Miniero, Roberto/0000-0002-9041-9547; Stecconi, Tommaso/0000-0001-7135-8497</t>
  </si>
  <si>
    <t>Italian Health Ministry [IZSUM 05 2016]</t>
  </si>
  <si>
    <t>Italian Health Ministry(Ministry of Health, Italy)</t>
  </si>
  <si>
    <t>This work was supported by the Italian Health Ministry [Ricerca Corrente IZSUM 05 2016].</t>
  </si>
  <si>
    <t>10.1016/j.marpolbul.2020.111865</t>
  </si>
  <si>
    <t>http://dx.doi.org/10.1016/j.marpolbul.2020.111865</t>
  </si>
  <si>
    <t>QK3FM</t>
  </si>
  <si>
    <t>WOS:000620266400008</t>
  </si>
  <si>
    <t>Gu, YG; Huang, HH; Liu, Y; Gong, XY; Liao, XL</t>
  </si>
  <si>
    <t>Gu, Yang-Guang; Huang, Hong-Hui; Liu, Yong; Gong, Xiu-Yu; Liao, Xiu-Li</t>
  </si>
  <si>
    <t>Non-metric multidimensional scaling and human risks of heavy metal concentrations in wild marine organisms from the Maowei Sea, the Beibu Gulf, South China Sea</t>
  </si>
  <si>
    <t>Heavy metals; Marine organisms; Non-metric multidimensional scaling; Health risk; The Beibu Gulf; South China Sea</t>
  </si>
  <si>
    <t>HUMAN HEALTH IMPLICATIONS; AQUATIC ORGANISMS; FISH; SEDIMENTS; BIOACCUMULATION; POLLUTION; CONSUMPTION; SHELLFISH; MUSSELS; TURKEY</t>
  </si>
  <si>
    <t>We investigated heavy metal concentrations in wild marine organisms from Maowei Sea, a significant gulf of low-latitude developing regions of the Beibu Gulf, South China Sea. Twenty species, comprising fish, cephalopods, and crustaceans were collected and analyzed for heavy metals. Heavy metal levels (mg/kg, wet weight) in the aquatic organism samples were: 0.003-1.800 for Cd, 0.02-0.14 for Pb, 0.10-0.63 for Cr, 0.20-77.50 for Cu, 9.50-64.60 for Zn, 0.006-0.066 for Hg, and 0.10-1.50 for As. Non -metric multidimensional scaling coupled with cluster analysis revealed two groupings that mainly resulted from different species of the metals in marine organisms. The highest concentrations of Cd, Pb, Cr, Ni, Cu, Zn, Hg, and As were found in species of cephalopods. Health risk assessment based on the target hazard quotients (THQ) and total THQ indicated no significant adverse health effects from consumption of marine organisms.</t>
  </si>
  <si>
    <t>[Gu, Yang-Guang; Huang, Hong-Hui; Liu, Yong; Gong, Xiu-Yu; Liao, Xiu-Li] Chinese Acad Fishery Sci, South China Sea Fisheries Res Inst, Guangzhou 510300, Guangdong, Peoples R China; [Gu, Yang-Guang; Huang, Hong-Hui; Liu, Yong; Gong, Xiu-Yu; Liao, Xiu-Li] Key Lab Fishery Ecol &amp; Environm, Guangzhou 510300, Guangdong, Peoples R China; [Gu, Yang-Guang; Huang, Hong-Hui; Liu, Yong; Gong, Xiu-Yu; Liao, Xiu-Li] Minist Agr, Key Lab Open Sea Fishery Dev, Guangzhou 510300, Guangdong, Peoples R China</t>
  </si>
  <si>
    <t>Chinese Academy of Fishery Sciences; South China Sea Fisheries Research Institute, CAFS; Ministry of Agriculture &amp; Rural Affairs</t>
  </si>
  <si>
    <t>Huang, HH (corresponding author), Chinese Acad Fishery Sci, South China Sea Fisheries Res Inst, Guangzhou 510300, Guangdong, Peoples R China.</t>
  </si>
  <si>
    <t>hydrobio@163.com; huanghh@scsfri.ac.cn</t>
  </si>
  <si>
    <t>Gu, Yang-Guang/0000-0003-2314-0463; huang, hong hui/0000-0001-9207-1583</t>
  </si>
  <si>
    <t>Science and Technology Program of Guangzhou, China [201707010368]; Central Public-interest Scientific Institution Basal Research Fund; South China Sea Fisheries Research Institute, CAFS [2016TS13]</t>
  </si>
  <si>
    <t>Science and Technology Program of Guangzhou, China; Central Public-interest Scientific Institution Basal Research Fund; South China Sea Fisheries Research Institute, CAFS</t>
  </si>
  <si>
    <t>We gratefully acknowledge Science and Technology Program of Guangzhou, China (201707010368) and the Central Public-interest Scientific Institution Basal Research Fund, South China Sea Fisheries Research Institute, CAFS (2016TS13).</t>
  </si>
  <si>
    <t>10.1016/j.etap.2018.03.002</t>
  </si>
  <si>
    <t>http://dx.doi.org/10.1016/j.etap.2018.03.002</t>
  </si>
  <si>
    <t>GG2GI</t>
  </si>
  <si>
    <t>WOS:000432507800016</t>
  </si>
  <si>
    <t>Calle, P; Monserrate, L; Medina, F; Delgado, MC; Tirapé, A; Montiel, M; Barzola, OR; Cadena, OA; Dominguez, GA; Alava, JJ</t>
  </si>
  <si>
    <t>Calle, Paola; Monserrate, Lorena; Medina, Francisco; Calle Delgado, Madeleine; Tirape, Ana; Montiel, Marynes; Ruiz Barzola, Omar; Alvarado Cadena, Omar; Dominguez, Gustavo A.; Alava, Juan Jose</t>
  </si>
  <si>
    <t>Mercury assessment, macrobenthos diversity and environmental quality conditions in the Salado Estuary (Gulf of Guayaquil, Ecuador) impacted by anthropogenic influences</t>
  </si>
  <si>
    <t>Environmental assessment; Metal concentrations; Macrobenthos; Salado Estuary; Ecuador</t>
  </si>
  <si>
    <t>MYTILUS-GALLOPROVINCIALIS; SURFACE SEDIMENTS; HEAVY-METALS; CONTAMINATION; COMMUNITY; RESPONSES; MUSSEL; RIVER; ACCUMULATION; CALIFORNIA</t>
  </si>
  <si>
    <t>Water and sediment quality, macrobenthos diversity and mercury levels were assessed in the Salado Estuary, Gulf of Guayaquil (Ecuador) during 2008, 2009 and 2014. Severe hypoxia, anoxia and large fluctuations of salinity occurred in an impacted sector within Guayaquil city relative to a mangrove area within the Salado Mangroves Faunal Production Reserve. Significant inter-site and temporal differences were observed for dissolved oxygen, salinity, total dissolved solids, percentage of silts and clays, and species diversity. Macrobenthos' species richness for both sectors was greater during 2008. Sediments revealed high concentrations of total mercury (THg) (1.20-2.76 mg kg(-1) dw), exceeding Ecuador's SQG (0.1 mg kg(-1) dw). Sediment THg were significantly lower in 2014 than 2008/09. Biota sediment sccumulation factor values for mussels (3.0 to 34), indicate high bioaccumulation potential from mercury-contaminated sediments. This work highlights the need to develop stronger environmental policies to protect the Salado Estuary from anthropogenic stressors.</t>
  </si>
  <si>
    <t>[Calle, Paola; Monserrate, Lorena; Medina, Francisco; Calle Delgado, Madeleine; Tirape, Ana; Montiel, Marynes; Ruiz Barzola, Omar; Alvarado Cadena, Omar; Dominguez, Gustavo A.] ESPOL Polytech Univ, Escuela Super Politecn Litoral ESPOL, Fac Ciencias Vida, Campus Gustavo Galindo,Km 30-5 Via Perimetral, Guayaquil, Ecuador; [Monserrate, Lorena] ESPOL Polytech Univ, Escuela Super Politecn Litoral ESPOL, CIBE, Campus Gustavo Galindo,Km 30-5 Via Perimetral, Guayaquil, Ecuador; [Alava, Juan Jose] Univ British Columbia, Inst Oceans &amp; Fisheries, 2202 Main Mall, Vancouver, BC V6T 1Z4, Canada</t>
  </si>
  <si>
    <t>Escuela Superior Politecnica del Litoral; Escuela Superior Politecnica del Litoral; University of British Columbia</t>
  </si>
  <si>
    <t>Calle, P (corresponding author), Escuela Super Politecn Litoral ESPOL, Fac Ciencias Vida, Campus Gustavo Galindo Km 30-5 Via Perimetral, Guayaquil, Ecuador.</t>
  </si>
  <si>
    <t>pcalle@espol.edu.ec</t>
  </si>
  <si>
    <t>Delgado, Maria/F-7038-2013; Mesa, Francisco/E-9499-2010; ESCOUBAS, Jean-Michel/G-4027-2010; Alava, Juan/Q-3968-2019; Ruiz-Barzola, Omar/F-5389-2015; Alava, Juan Jose/A-7731-2015</t>
  </si>
  <si>
    <t>Montiel, Marynes/0000-0002-6249-0362; Tirape, Ana/0000-0001-5666-2933; Ruiz-Barzola, Omar/0000-0001-8206-1744; Monserrate-Maggi, Lorena/0000-0001-9161-9471; Calle, Paola/0000-0002-0236-2000; Dominguez Cazco, Gustavo Adolfo/0000-0001-7729-5036; Alava, Juan Jose/0000-0002-6312-7776</t>
  </si>
  <si>
    <t>Centro de Investigation Cientifica y Tecnologica of Escuela Superior Politecnica del Litoral (ESPOL) [PEC-08-06]</t>
  </si>
  <si>
    <t>Centro de Investigation Cientifica y Tecnologica of Escuela Superior Politecnica del Litoral (ESPOL)</t>
  </si>
  <si>
    <t>The authors would like to give special thanks to Dr. Windsor Aguirre for reviewing this article for its usage of English. Many thanks to Karina Gonzalez for helping us identify macrobenthic species and to David Altamirano and Daniel Garces for helping plot the land use and impervious surface data. We also thank the Ministry of Environment (MAE) of Ecuador, for granting permission to do research in the Salado Estuary. This research was partially conducted as part of the undergraduate thesis of Lorena Monserrate and Francisco Medina. Funding was provided by the Centro de Investigation Cientifica y Tecnologica of Escuela Superior Politecnica del Litoral (ESPOL) (PEC-08-06).</t>
  </si>
  <si>
    <t>10.1016/j.marpolbul.2018.09.018</t>
  </si>
  <si>
    <t>http://dx.doi.org/10.1016/j.marpolbul.2018.09.018</t>
  </si>
  <si>
    <t>HA6IJ</t>
  </si>
  <si>
    <t>WOS:000450382900038</t>
  </si>
  <si>
    <t>Bao, MM; Huo, LP; Wu, J; Ge, DL; Lv, ZM; Chi, CF; Liao, Z; Liu, HH</t>
  </si>
  <si>
    <t>Bao, Miaomiao; Huo, Liping; Wu, Jiong; Ge, Delong; Lv, Zhenming; Chi, Changfeng; Liao, Zhi; Liu, Huihui</t>
  </si>
  <si>
    <t>A novel biomarker for marine environmental pollution of CAT from Mytilus coruscus</t>
  </si>
  <si>
    <t>Bacterial infection; Heavy metals; Environmental stress</t>
  </si>
  <si>
    <t>GLUTATHIONE-S-TRANSFERASE; MESSENGER-RNA EXPRESSION; CU/ZN-SUPEROXIDE-DISMUTASE; HALIOTIS-DISCUS-DISCUS; MOLECULAR-CLONING; OXIDATIVE STRESS; CDNA CLONING; HEAVY-METALS; ANTIOXIDANT ENZYMES; CATALASE GENE</t>
  </si>
  <si>
    <t>Bivalves use anti-oxidative enzyme systems to defend themselves against excessive reactive oxygen species, which are often catalyzed by environmental pollution. As a key member of anti-oxidative enzyme family, catalase plays a crucial role in scavenging the high level of reactive oxygen species to protect organisms against various oxidative stresses. In this study, a catalase homologue was identified from Mytilus coruscus (named McCAT, 10(957929). The open reading frame of McCAT was 1844 bp with a 5' untranslated region of 341 bp and a 3' untranslated region of 927 bp. The deduced amino acid sequence was 512 residues in length with theoretical pI/MW 8.02/57.91 kDa. BLASTn and phylogenetic analyses strongly suggested that it was a member of catalase, also known as CAT family for its conserved catalytic site motif and proximal heme-ligand signature motif. Real-time fluorescence quantitative PCR showed that constitutive expression of McCAT was occurred, with increasing order in mantle, adductor, gill, hemocyte, gonad and hepatopancreas. It was observed that bacterial infection and heavy metals stimulation up-regulated McCAT mRNA expression in hepatopancreas with time-dependent manners. The maximum expression appeared at 8 h after pathogenic bacteria injecting, with 15-fold in Vibrio parahemolyticus and 60-fold in Aeromonas hydrophila than that of 0 h. The highest point of McCAT mRNA appeared at different times for exposure to heavy metals with copper at day 5 (0.1 mg/L 30-fold, 0.5 mg/L 15-fold, 1.5 mg/L 6-fold) and plumbum at day 3 (3.0 mg/L 20-fold). The enzymatic activity analysis found that McCAT activity in the gill of M. coruscus was affected by heavy metals concentration. The results suggested that McCAT plays a significant role in antioxidation and the expression of McCAT can be used as a biomarker for detection of marine environmental pollution.</t>
  </si>
  <si>
    <t>[Bao, Miaomiao; Huo, Liping; Wu, Jiong; Ge, Delong; Lv, Zhenming; Chi, Changfeng; Liao, Zhi; Liu, Huihui] Zhejiang Ocean Univ, Natl Engn Res Ctr Marine Facil Aquaculture, Zhoushan 316022, Peoples R China</t>
  </si>
  <si>
    <t>Chinese Academy of Sciences; Zhejiang Ocean University</t>
  </si>
  <si>
    <t>Liu, HH (corresponding author), Zhejiang Ocean Univ, Natl Engn Res Ctr Marine Facil Aquaculture, Zhoushan 316022, Peoples R China.</t>
  </si>
  <si>
    <t>liuhuihui@zjou.edu.cn</t>
  </si>
  <si>
    <t>National Natural Science Fund [41606418, 31671009]; Zhoushan Science and Technology Project [2015C41014]; Open Foundation from Marine Sciences in the Most Important Subjects of Zhejiang [20160112]</t>
  </si>
  <si>
    <t>National Natural Science Fund(National Natural Science Foundation of China (NSFC)); Zhoushan Science and Technology Project; Open Foundation from Marine Sciences in the Most Important Subjects of Zhejiang</t>
  </si>
  <si>
    <t>This research was supported by grants from the National Natural Science Fund (41606418, 31671009), Zhoushan Science and Technology Project (2015C41014), and Project supported by the Open Foundation from Marine Sciences in the Most Important Subjects of Zhejiang (20160112).</t>
  </si>
  <si>
    <t>10.1016/j.marpolbul.2018.01.003</t>
  </si>
  <si>
    <t>http://dx.doi.org/10.1016/j.marpolbul.2018.01.003</t>
  </si>
  <si>
    <t>FZ1JM</t>
  </si>
  <si>
    <t>WOS:000427332900079</t>
  </si>
  <si>
    <t>Zaidi, M; Athmouni, K; Metais, I; Ayadi, H; Leignel, V</t>
  </si>
  <si>
    <t>Zaidi, Mariem; Athmouni, Khaled; Metais, Isabelle; Ayadi, Habib; Leignel, Vincent</t>
  </si>
  <si>
    <t>The Mediterranean limpet Patella caerulea (Gastropoda, Mollusca) to assess marine ecotoxicological risk: a case study of Tunisian coasts contaminated by metals</t>
  </si>
  <si>
    <t>Gastropoda; Patella; Trace metals; Biosentinel; Coastal pollution; Antioxidant enzymes; Genetic variability; Biomarkers</t>
  </si>
  <si>
    <t>MUSSELS MYTILUS-GALLOPROVINCIALIS; KING-GEORGE ISLAND; TRACE-METALS; LIPID-PEROXIDATION; ANTIOXIDANT ENZYMES; OXIDATIVE STRESS; HEAVY-METALS; DIGESTIVE GLAND; GLUTATHIONE-PEROXIDASE; SUPEROXIDE-DISMUTASE</t>
  </si>
  <si>
    <t>Participants in the coastal socio-economy of the Mediterranean Sea, such as industries, aquaculture, urban populations, conglomerates, and tourists, create intense anthropogenic pressures on marine ecosystems (such as the release of trace metals). This raises concerns about their impact on the surrounding environment and on marine organisms, including those collected for human consumption. This study introduces the possibility of using Patella caerulea (Linnaeus 1758), indigenous to the Mediterranean Sea, as a biosentinel of marine pollution. This study proposes coupling environmental (bioaccumulation) and toxicological (redox homeostasis) measures of bioavailability with genetic variability (COI mtDNA) assessments. Concentrations of six trace metals (cadmium, copper, iron, lead, nickel, and zinc) were measured in surface seawater and in P. caerulea individuals collected from four coastal stations on the Tunisian coast where different levels of metal contamination have occurred. The quantified biomarkers involved the determination of antioxidant defense enzymes, catalase (CAT), glutathione peroxidase (GPX), superoxide dismutase (SOD), and the measurement of lipid peroxidation indicated by malondialdehyde (MDA) levels. Our study identified critical levels of metal contamination among locations in the Gulf of Gabes. Concomitantly, the induction of antioxidant biomarkers (especially SOD and GPX) was observed, highlighting the potential of P. caerulea to acclimate to stressful pollution conditions. Molecular analysis of COI (mtDNA) revealed low discrimination between the four P. caerulea populations, highlighting the role of marine currents in the Mediterranean Sea in the dispersal and passive transportation of limpet larvae, allowing an exchange of individuals among physically separated, P. caerulea populations.</t>
  </si>
  <si>
    <t>[Zaidi, Mariem; Leignel, Vincent] Le Mans Univ, EA2160 Lab MMS Water Mol &amp; Hlth, Ave Olivier Messiaen, F-72000 Le Mans, France; [Zaidi, Mariem; Athmouni, Khaled; Ayadi, Habib] Sfax Univ, UR 11ES72 Lab Biodivers &amp; Aquat Ecosyst, Sfax, Tunisia; [Metais, Isabelle] Catholic Univ West, EA2160 Lab MMS Water Mol &amp; Hlth, F-49000 Angers, France</t>
  </si>
  <si>
    <t>Le Mans Universite; Universite de Sfax</t>
  </si>
  <si>
    <t>Zaidi, M (corresponding author), Le Mans Univ, EA2160 Lab MMS Water Mol &amp; Hlth, Ave Olivier Messiaen, F-72000 Le Mans, France.;Zaidi, M (corresponding author), Sfax Univ, UR 11ES72 Lab Biodivers &amp; Aquat Ecosyst, Sfax, Tunisia.</t>
  </si>
  <si>
    <t>zaidi.mariem2007@gmail.com</t>
  </si>
  <si>
    <t>Eiffel Scholarship Program of Excellence</t>
  </si>
  <si>
    <t>Part of the PhD is financed by the Eiffel Scholarship Program of Excellence to insure MZ's (PhD student) stay in Le Mans University, France. Otherwise, no funding was received to assist with the preparation of this manuscript.</t>
  </si>
  <si>
    <t>10.1007/s11356-021-18490-3</t>
  </si>
  <si>
    <t>http://dx.doi.org/10.1007/s11356-021-18490-3</t>
  </si>
  <si>
    <t>WOS:000740587300006</t>
  </si>
  <si>
    <t>Abdel-Azeem, HH; Osman, GY</t>
  </si>
  <si>
    <t>Abdel-Azeem, Hoda H.; Osman, Gamalat Y.</t>
  </si>
  <si>
    <t>Oxidative stress and histopathological effect of zinc oxide nanoparticles on the garden snail Helix aspersa</t>
  </si>
  <si>
    <t>Biomarkers of oxidative stress; Helix aspersa; Histology; Zinc nanoparticles</t>
  </si>
  <si>
    <t>ANTIOXIDANT ENZYMES; LIPID-PEROXIDATION; GLUTATHIONE; BIOMARKERS; MUSSEL; GASTROPODA; TOXICITY; EXPOSURE; CADMIUM; TISSUES</t>
  </si>
  <si>
    <t>Nanoparticles have many applications in medicine and biology but they have adverse toxic effects on the biosystem. Therefore, this study aimed to evaluate the toxicity of zinc nanoparticles (ZnO NPs) on the garden snail Helix aspersa. ZnO NPs were used at different concentrations for 7 days. The biomarkers of the oxidative stress and histopathology of the hepatopancreas were estimated. ZnO NPs significantly (p &lt;= 0.05) increased catalase (CAT) with time- and concentration-dependent manner. Glutathione S-transferase (GST) activity was significantly (p &lt;= 0.05) increased at the concentrations 35 mu g/ml and 45 mu g/ml after 1 and 3 days of exposure. The present results recorded also a significant elevation in malondialdehyde (MDA) level (time-/concentration-dependent), it was 3.2 +/- 0.1, at concentration 45 mu g/ml. ZnO NPs induced significant decrease in glutathione (GSH) content (8.7 +/- 0.2 at 45 mu g/ml) (p &lt;= 0.05) at 7 days. Moreover, ZnO NPs induced histopathological alterations in the digestive gland of Helix aspersa. From these results, such biochemical and histopathological alterations in Helix aspersa is a suitable bioindicator of nanoecotoxicological effects.</t>
  </si>
  <si>
    <t>[Abdel-Azeem, Hoda H.; Osman, Gamalat Y.] Menoufia Univ, Zool Dept, Fac Sci, Shibin Al Kawm, Egypt</t>
  </si>
  <si>
    <t>Egyptian Knowledge Bank (EKB); Menofia University</t>
  </si>
  <si>
    <t>Abdel-Azeem, HH (corresponding author), Menoufia Univ, Zool Dept, Fac Sci, Shibin Al Kawm, Egypt.</t>
  </si>
  <si>
    <t>Hodaelsheikh483@gmail.com</t>
  </si>
  <si>
    <t>10.1007/s11356-020-11438-z</t>
  </si>
  <si>
    <t>http://dx.doi.org/10.1007/s11356-020-11438-z</t>
  </si>
  <si>
    <t>NOV 2020</t>
  </si>
  <si>
    <t>QH6EB</t>
  </si>
  <si>
    <t>WOS:000586379600004</t>
  </si>
  <si>
    <t>DAVIES, IM; PIRIE, JM</t>
  </si>
  <si>
    <t>EVALUATION OF A MUSSEL WATCH PROJECT FOR HEAVY-METALS IN SCOTTISH COASTAL WATERS</t>
  </si>
  <si>
    <t>Results are presented of an extensive survey of the heavy metal content of intertidal mussels, M. edulis from around the Scottish coasts. An important first conclusion is that areas can be identified in which mussels acquire relatively elevated concentrations of certain heavy metals. Areas of known pollution display elevated concentrations of several metals, but some areas not greatly influenced by man''s activities also show elevated concentrations of a single metal. Comparisons are made of the strategies employed in this and other similar surveys and suggestions made for the design of future exercises.</t>
  </si>
  <si>
    <t>DEPT AGR &amp; FISHERIES SCOTLAND, MARINE LAB, VICTORIA RD, TORRY AB9 8DB, ABERDEENSHIRE, SCOTLAND</t>
  </si>
  <si>
    <t>10.1007/BF00387374</t>
  </si>
  <si>
    <t>http://dx.doi.org/10.1007/BF00387374</t>
  </si>
  <si>
    <t>KH514</t>
  </si>
  <si>
    <t>WOS:A1980KH51400004</t>
  </si>
  <si>
    <t>Bai, BB; Yang, YQ; Wei, JY; Zheng, Q; Wang, MC; Chang, AK; Ying, XP</t>
  </si>
  <si>
    <t>Bai, Binbin; Yang, Yuqing; Wei, Jinyan; Zheng, Qi; Wang, Mengci; Chang, Alan Kueichieh; Ying, Xueping</t>
  </si>
  <si>
    <t>Cadmium-induced toxicity in Meretrix meretrix ovary is characterized by oxidative damage with changes in cell morphology and apoptosis-related factors</t>
  </si>
  <si>
    <t>Meretrix meretrix; cadmium; ovary; oxidative damage; apoptosis-related factors</t>
  </si>
  <si>
    <t>TOTAL ANTIOXIDANT CAPACITY; MESSENGER-RNA EXPRESSION; OXYGEN SPECIES ROS; STRESS; EXPOSURE; METALLOTHIONEIN; GENES; P53; HEPATOPANCREAS; MECHANISMS</t>
  </si>
  <si>
    <t>Cadmium (Cd) is one of the most common pollutants in the environment. It can cause irreversible tissue damage and apoptosis in invertebrates. This study investigated the relationship between Cd exposure and oxidative damage and apoptosis in the ovarian cell of the clam Meretrix meretrix. The clams were exposed to different concentrations of Cd2+ (0, 1.5, 3, 6 and 12 mg L-1) for 5 days, and the accumulated level of Cd2+ in the ovarian tissue, and the degree of oxidative damage, changes in morphology and the response of apoptosis-related factors in the ovarian cell were determined. The bioaccumulation of Cd2+ and the levels of reactive oxygen species (ROS), malondialdehyde (MDA), protein carbonylation (PCO), and DNA-protein crosslinking (DPC) in the ovary were found to increase significantly when the clams were exposed to increasing concentrations of Cd2+. The structure of the ovarian tissue was severely damaged, and the ovarian cells displayed an irregular arrangement. The results of AO/EB staining and flow cytometry showed that the apoptotic rate of the ovarian cells increased with increasing Cd2+ concentrations. The activities of caspase-3, -8, -9, and the mRNA levels of p53, Bax and Caspase-3 in the ovary were also significantly increased. Furthermore, the level of p53 mRNA was positively correlated with the levels of MDA, PCO, DPC and ROS, but negatively correlated with the levels of total antioxidant capacity (T-AOC) and Bcl-2 mRNA. Taken together, these results indicated that Cd2+ exposure would result in oxidative damage and apoptosis for the ovarian cells, suggesting that Cd2+ toxicity could negatively affect the reproductive capacity of M. meretrix, thus threatening the reproductive development of the shellfish.</t>
  </si>
  <si>
    <t>[Bai, Binbin; Yang, Yuqing; Wei, Jinyan; Zheng, Qi; Wang, Mengci; Chang, Alan Kueichieh; Ying, Xueping] Wenzhou Univ, Coll Life &amp; Environm Sci, Wenzhou, Zhejiang, Peoples R China; [Ying, Xueping] Wenzhou Univ, Natl &amp; Local Joint Engn Res Ctr Ecol Treatment Tec, Wenzhou, Zhejiang, Peoples R China</t>
  </si>
  <si>
    <t>Chang, AK; Ying, XP (corresponding author), Wenzhou Univ, Coll Life &amp; Environm Sci, Wenzhou, Zhejiang, Peoples R China.;Ying, XP (corresponding author), Wenzhou Univ, Natl &amp; Local Joint Engn Res Ctr Ecol Treatment Tec, Wenzhou, Zhejiang, Peoples R China.</t>
  </si>
  <si>
    <t>yang, yuqing/GRJ-8747-2022</t>
  </si>
  <si>
    <t>National Natural Science Foundation of China; Nature Science Foundation of Zhejiang Province (CN); Innovation Program of Wenzhou University; Student Innovation Training Project of Zhejiang province; [32071514]; [LY18C030005]; [JWXC2021104]; [2021R]</t>
  </si>
  <si>
    <t>National Natural Science Foundation of China(National Natural Science Foundation of China (NSFC)); Nature Science Foundation of Zhejiang Province (CN); Innovation Program of Wenzhou University; Student Innovation Training Project of Zhejiang province; ; ; ;</t>
  </si>
  <si>
    <t>Funding This study was supported by the National Natural Science Foundation of China under Grant number 32071514 (to XY), the Nature Science Foundation of Zhejiang Province (CN) under Grant number LY18C030005 (to XY), the Innovation Program of Wenzhou University under Grant number JWXC2021104 (to YY) and the Student Innovation Training Project of Zhejiang province under Grant number 2021R (to JW).</t>
  </si>
  <si>
    <t>10.3389/fmars.2022.1080516</t>
  </si>
  <si>
    <t>http://dx.doi.org/10.3389/fmars.2022.1080516</t>
  </si>
  <si>
    <t>6Y6AM</t>
  </si>
  <si>
    <t>WOS:000897175700001</t>
  </si>
  <si>
    <t>GARDNER, GR; PRUELL, RJ; MALCOLM, AR</t>
  </si>
  <si>
    <t>CHEMICAL INDUCTION OF TUMORS IN OYSTERS BY A MIXTURE OF AROMATIC AND CHLORINATED HYDROCARBONS, AMINES AND METALS</t>
  </si>
  <si>
    <t>SEDIMENT</t>
  </si>
  <si>
    <t>Tumors were induced in eastern oysters (Crassostrea virginica) by a mixture of aromatic hydrocarbons, an aromatic amine, polychlorinated biphenyls, chlorinated hydrocarbons, a nitrosoamine and heavy metals. Kidney and enteric tumors developed in oysters following exposure to a mixture containing 3,4-benzopyrene, 1,2-benzanthracene, 2-aminofluorene, N-nitrosodiethylamine, technical chlordane, Aroclors 1242 and 1254, p,p'-DDE, cadmium (CdCl2), chromium (K2CrO4) and lead (Pb(NO3)2). The chemical concentrations added to a reference sediment from Long Island Sound were 1 x and 10 x the measured level in sediment from Black Rock Harbor (BRH), Bridgeport, Connecticut (normalized for total organic carbon and acid volatile sulfide content for organic and inorganic compounds, respectively). 2-Aminoflourene and N-nitrosodiethylamine, not measured in BRH sediment, were both added at 0.6 and 6.0 mug/g dry sediment. A 3% prevalence of low-grade renal and gastrointestinal tumors developed after 30 days in oysters fed water-column suspended sediment particulate spiked with the mixture of chemicals. Disease progression was most advanced in enteric adenomas. Both types are comparable to those produced after 30 days in the same organs by chemically contaminated Black Rock Harbor sediment. The action of chemical pollutants reported here represents initial findings in a series of studies designed to test sediment contaminants as causal factors for tumors in oysters.</t>
  </si>
  <si>
    <t>GARDNER, GR (corresponding author), US EPA, ENVIRONM RES LAB, NARRAGANSETT, RI 02882 USA.</t>
  </si>
  <si>
    <t>10.1016/0141-1136(92)90083-X</t>
  </si>
  <si>
    <t>http://dx.doi.org/10.1016/0141-1136(92)90083-X</t>
  </si>
  <si>
    <t>KB005</t>
  </si>
  <si>
    <t>WOS:A1992KB00500011</t>
  </si>
  <si>
    <t>Gabbianelli, R; Lupidi, G; Villarini, M; Falcioni, G</t>
  </si>
  <si>
    <t>DNA damage induced by copper on erythrocytes of gilthead sea bream Sparus aurata and mollusk Scapharca inaequivalvis</t>
  </si>
  <si>
    <t>TROUT ONCORHYNCHUS-MYKISS; COMET ASSAY; IN-VITRO; STRAND BREAKS; NUCLEATED ERYTHROCYTES; GLUTATHIONE-PEROXIDASE; INDIVIDUAL CELLS; BLOOD-CELLS; GENOTOXICITY; FISH</t>
  </si>
  <si>
    <t>Heavy metal pollution in rivers and its impact on aquatic ecosystems is a dynamic process. Fish are ideal indicators of heavy metal contamination in aquatic systems because they occupy different trophic levels and are of different sizes and ages. In particular, copper is an essential trace metal for living organisms and it is present in all natural waters and sediments. In this paper, we report data on the effect of copper on DNA erythrocytes from the teleost gilthead sea bream Sparus aurata and the bivalve mollusk Scapharca inaequivalvis. In particular, the effect of 0.1 ppm of Cu2+ on the nucleated erythrocytes was analyzed using the comet assay. This test is a promising tool for estimation of DNA damage at the single cell level. The data obtained show that the in vivo treatment with 0.1 ppm of copper increased the susceptibility of DNA to be damaged. Exposure to Cu2+ produces a more evident effect on Sparus aurata, as all three comet parameters significantly increased (tail length, tail intensity, and tail moment). The higher comet parameters measured in Scapharca inaequivalvis compared to Sparus aurata could be due to the difference in stability of the respective hemoglobins. The comet assay could represent a useful test to evaluate the biological consequences of environmental contamination by metals on marine organisms.</t>
  </si>
  <si>
    <t>Univ Camerino, Dipartimento Biol Mol Cellulare Anim, I-62032 Camerino, Italy; Univ Perugia, Dipartimento Igiene, I-06100 Perugia, Italy</t>
  </si>
  <si>
    <t>University of Camerino; University of Perugia</t>
  </si>
  <si>
    <t>Gabbianelli, R (corresponding author), Univ Camerino, Dipartimento Biol Mol Cellulare Anim, Via Camerini 2, I-62032 Camerino, Italy.</t>
  </si>
  <si>
    <t>Villarini, Milena/L-3857-2019; Gabbianelli, Rosita/J-8217-2015</t>
  </si>
  <si>
    <t>Gabbianelli, Rosita/0000-0003-0037-7740; Villarini, Milena/0000-0002-8769-883X; Lupidi, Giulio/0000-0001-9452-0741</t>
  </si>
  <si>
    <t>10.1007/s00244-003-2171-1</t>
  </si>
  <si>
    <t>http://dx.doi.org/10.1007/s00244-003-2171-1</t>
  </si>
  <si>
    <t>722HY</t>
  </si>
  <si>
    <t>WOS:000185370400009</t>
  </si>
  <si>
    <t>Sondergaard, J; Bach, L; Gustavson, K</t>
  </si>
  <si>
    <t>Sondergaard, Jens; Bach, Lis; Gustavson, Kim</t>
  </si>
  <si>
    <t>Measuring bioavailable metals using diffusive gradients in thin films (DGT) and transplanted seaweed (Fucus vesiculosus), blue mussels (Mytilus edulis) and sea snails (Littorina saxatilis) suspended from monitoring buoys near a former lead-zinc mine in West Greenland</t>
  </si>
  <si>
    <t>Bioavailable metals; Environmental monitoring; Mining; Greenland; Monitoring species; DGT</t>
  </si>
  <si>
    <t>MARINE; BIOACCUMULATION; MAARMORILIK; DISPERSION; SEDIMENTS; DISPOSAL; RELEASE; TRENDS; WATERS; WASTE</t>
  </si>
  <si>
    <t>Measuring loads of bioavailable metals is important for environmental assessment near mines and other industrial sources. In this study, a setup of monitoring buoys was tested to assess loads of bioavailable metals near a former Pb-Zn mine in West Greenland using transplanted seaweed, mussels and sea snails. In addition, passive DGT samplers were installed. After a 9-day deployment period, concentrations of especially Pb, Zn and Fe in the species were all markedly elevated at the monitoring sites closest to the mine. Lead concentrations in all three species and the DGT-Pb results showed a significant linear correlation. Zinc and Fe concentrations were less correlated indicating that the mechanisms for Zn and Fe accumulation in the three species are more complex. The results show that there is still a significant load of metals from the mine and that such buoys can be an adequate method to assess present loads of bioavailable metals. (C) 2013 Elsevier Ltd. All rights reserved.</t>
  </si>
  <si>
    <t>[Sondergaard, Jens; Bach, Lis; Gustavson, Kim] Aarhus Univ, Dept Biosci, DK-4000 Roskilde, Denmark</t>
  </si>
  <si>
    <t>Sondergaard, J (corresponding author), Aarhus Univ, Dept Biosci, Frederiksborgvej 399, DK-4000 Roskilde, Denmark.</t>
  </si>
  <si>
    <t>Gustavson, Kim/J-7851-2013; Søndergaard, Jens/AAZ-1079-2020; Bach, Lis/J-6567-2013</t>
  </si>
  <si>
    <t>Bach, Lis/0000-0003-2891-4202; Gustavson, Kim/0000-0001-8242-0276; Sondergaard, Jens/0000-0001-7680-9920</t>
  </si>
  <si>
    <t>10.1016/j.marpolbul.2013.10.054</t>
  </si>
  <si>
    <t>http://dx.doi.org/10.1016/j.marpolbul.2013.10.054</t>
  </si>
  <si>
    <t>AA9OP</t>
  </si>
  <si>
    <t>WOS:000331423100026</t>
  </si>
  <si>
    <t>Cipro, CVZ; Cherel, Y; Bocher, P; Caurant, F; Miramand, P; Bustamante, P</t>
  </si>
  <si>
    <t>Cipro, Caio V. Z.; Cherel, Y.; Bocher, P.; Caurant, F.; Miramand, P.; Bustamante, P.</t>
  </si>
  <si>
    <t>Trace elements in invertebrates and fish from Kerguelen waters, southern Indian Ocean</t>
  </si>
  <si>
    <t>POLAR BIOLOGY</t>
  </si>
  <si>
    <t>Plankton; Myctophid; Food web; Metals; Trace elements; Kerguelen</t>
  </si>
  <si>
    <t>HEAVY-METAL CONCENTRATIONS; SILVERFISH PLEURAGRAMMA-ANTARCTICUM; PERSISTENT ORGANIC POLLUTANTS; KING GEORGE ISLAND; STABLE-ISOTOPES; MERCURY CONCENTRATIONS; FOOD-WEB; TROPHIC POSITION; FEEDING ECOLOGY; ICEFISHES CHANNICHTHYIDAE</t>
  </si>
  <si>
    <t>Given the lack of background data on essential and non-essential trace elements in invertebrates and fish known to be the predominant prey of marine mammals and seabirds breeding at the Kerguelen Islands, this study intends to provide these results of great influence for predators in higher trophic levels. To this end, plankton organisms (9 species/4 phyla), mollusks (2 bivalves and 2 squid species) and fishes (8 benthic and 10 pelagic species) from Kerguelen waters were analysed for cadmium (Cd), copper (Cu), mercury (Hg) and zinc (Zn). Individual concentrations of non-essential elements (particularly Cd) showed larger variation in comparison with essential ones likely due to their homeostasis. Thus Cd ranged over 4 orders of magnitude; however, Hg ranged only 1, without significant correlation to trophic level. Instead, ecological parameters (benthic/mesopelagic habitat and feeding ecology) showed a more important influence on the results. Concerning seashore organisms, bivalves collected inside the Gulf of Morbihan had higher Cd concentrations compared to those from the Kerguelen shelf, suggesting a local source of Cd, such as runoff water from bird colonies. Comparison with the literature showed metal concentrations in invertebrates and fishes from Kerguelen Islands somewhat lower than those in the Antarctic area, with Hg prevailing in benthic species and Cd in pelagic ones. In contrast to Hg, Cd values of squids, jellyfish and the amphipod Themisto gaudichaudii were significantly higher than all other species. Finally, top predators foraging in this area that can be subject to potentially high Hg and Cd exposure through their diet at Kerguelen are reviewed.</t>
  </si>
  <si>
    <t>[Cipro, Caio V. Z.; Bocher, P.; Caurant, F.; Miramand, P.; Bustamante, P.] Univ La Rochelle, Littoral Environm &amp; Soc LIENSs, CNRS, UMR 7266, 2 Rue Olympe Gouges, F-17042 La Rochelle 01, France; [Cipro, Caio V. Z.] Univ Sao Paulo, Inst Oceanog, Lab Quim Organ Marinha, BR-05508120 Sao Paulo, SP, Brazil; [Cherel, Y.] Univ La Rochelle, Ctr Etud Biol Chize, CNRS, UMR 7372, BP 14, F-79360 Villiers En Bois, France</t>
  </si>
  <si>
    <t>Centre National de la Recherche Scientifique (CNRS); La Rochelle Universite; Universidade de Sao Paulo; La Rochelle Universite; Centre National de la Recherche Scientifique (CNRS); CNRS - Institute of Ecology &amp; Environment (INEE)</t>
  </si>
  <si>
    <t>Cipro, CVZ (corresponding author), Univ La Rochelle, Littoral Environm &amp; Soc LIENSs, CNRS, UMR 7266, 2 Rue Olympe Gouges, F-17042 La Rochelle 01, France.;Cipro, CVZ (corresponding author), Univ Sao Paulo, Inst Oceanog, Lab Quim Organ Marinha, BR-05508120 Sao Paulo, SP, Brazil.</t>
  </si>
  <si>
    <t>caiovzc@usp.br</t>
  </si>
  <si>
    <t>Bustamante, Paco/G-5833-2011; Zecchin Cipro, Caio Vinicius/C-6338-2014</t>
  </si>
  <si>
    <t>Bustamante, Paco/0000-0003-3877-9390; Zecchin Cipro, Caio Vinicius/0000-0002-7028-6353</t>
  </si>
  <si>
    <t>Agence Nationale de la Recherche (Program POLARTOP); Institut Paul Emile Victor(IPEV) [109]; Terres Australes et Antarctiques Francaises (TAAF); CPER (Contrat de Projet Etat-Region); University of La Rochelle; CNRS (French acronym for National Council of Scientific Research); CAPES (Coordination for the Improvement of Higher Education Personnel via the Science without Borders programme, Brazil); FAPESP (Sao Paulo Research Foundation, Brazil); IUF (Institut Universitaire de France)</t>
  </si>
  <si>
    <t>Agence Nationale de la Recherche (Program POLARTOP)(Agence Nationale de la Recherche (ANR)); Institut Paul Emile Victor(IPEV); Terres Australes et Antarctiques Francaises (TAAF); CPER (Contrat de Projet Etat-Region); University of La Rochelle; CNRS (French acronym for National Council of Scientific Research); CAPES (Coordination for the Improvement of Higher Education Personnel via the Science without Borders programme, Brazil); FAPESP (Sao Paulo Research Foundation, Brazil)(Fundacao de Amparo a Pesquisa do Estado de Sao Paulo (FAPESP)); IUF (Institut Universitaire de France)</t>
  </si>
  <si>
    <t>We thank G. Duhamel and the crew of the RV 'La Curieuse' for their help in the collection of the fish specimens. This work was financially supported by the Agence Nationale de la Recherche (Program POLARTOP, O. Chastel), the Institut Paul Emile Victor(IPEV, Programme No. 109, H. Weimerskirch), the Terres Australes et Antarctiques Francaises (TAAF) and the CPER (Contrat de Projet Etat-Region) for funding the AMA of the Plateforme Analyses Elementaires of LIENSs. C.V.Z. Cipro was supported financially through a post-doctoral grant from the University of La Rochelle and the CNRS (French acronym for National Council of Scientific Research), and also scholarships from CAPES (Coordination for the Improvement of Higher Education Personnel via the Science without Borders programme, Brazil) and FAPESP (Sao Paulo Research Foundation, Brazil) during the course of this work and its publication. The IUF (Institut Universitaire de France) is acknowledged for its support to Paco Bustamante.</t>
  </si>
  <si>
    <t>0722-4060</t>
  </si>
  <si>
    <t>1432-2056</t>
  </si>
  <si>
    <t>POLAR BIOL</t>
  </si>
  <si>
    <t>Polar Biol.</t>
  </si>
  <si>
    <t>10.1007/s00300-017-2180-6</t>
  </si>
  <si>
    <t>http://dx.doi.org/10.1007/s00300-017-2180-6</t>
  </si>
  <si>
    <t>Biodiversity Conservation; Ecology</t>
  </si>
  <si>
    <t>FR1PM</t>
  </si>
  <si>
    <t>WOS:000418839500016</t>
  </si>
  <si>
    <t>Abhilash, KR; Gireeshkumar, TR; Venu, S; Raveendran, TV</t>
  </si>
  <si>
    <t>Abhilash, K. R.; Gireeshkumar, T. R.; Venu, S.; Raveendran, T., V</t>
  </si>
  <si>
    <t>Bioconcentration of trace metals by Saccostrea cucullata (von Born 1778) from Andaman waters</t>
  </si>
  <si>
    <t>Andaman Sea; Trace metals; Zinc; Saccostrea cucullata; Bioconcentration factor</t>
  </si>
  <si>
    <t>HEAVY-METAL; MARINE; ZINC; COPPER; POLLUTION; OYSTERS; COASTAL; SEAGRASSES; ORGANISMS; SEDIMENT</t>
  </si>
  <si>
    <t>Assessment of trace metals (Zn, Cu, Fe, Pb and Ni) in water, sediment and an oyster, Saccostrea cucullata, was carried out in five stations around Port Blair. Concentration of these metals in water, sediment and the oyster exhibited wide variations. Among the selected locations, Fisheries Jetty exhibited the highest concentration of trace metals, as a consequence of the numerous fishing vessels harboured at this station. Zinc was the highest bioconcentrated trace metal (BCFmw,460.39 - 2474.72; BCFms, 24.60 - 641.96) in all the five stations, probably due to the role of several zinc metalloenzymes in shell mineralization of oysters. Unlike this, the bioconcentration factor of Pb was very low in spite of its relatively high concentrations in both, water as well as sediment.</t>
  </si>
  <si>
    <t>[Abhilash, K. R.; Raveendran, T., V] Natl Inst Oceanog, Council Sci &amp; Ind Res, Reg Ctr, Kochi 682018, Kerala, India; [Gireeshkumar, T. R.] Cochin Univ Sci &amp; Technol, Sch Marine Sci, Dept Chem Oceanog, Kochi 682016, Kerala, India; [Venu, S.] Pondicherry Univ, Dept Ocean Studies &amp; Marine Biol, Port Blair, Andamans, India</t>
  </si>
  <si>
    <t>Council of Scientific &amp; Industrial Research (CSIR) - India; CSIR - National Institute of Oceanography (NIO); Cochin University Science &amp; Technology; Pondicherry University</t>
  </si>
  <si>
    <t>Raveendran, TV (corresponding author), Natl Inst Oceanog, Council Sci &amp; Ind Res, Reg Ctr, Dr Salim Ali Rd, Kochi 682018, Kerala, India.</t>
  </si>
  <si>
    <t>tvravi@nio.org</t>
  </si>
  <si>
    <t>TR, Gireeshkumar/KHC-5853-2024; K R, ABHILASH/F-5249-2016</t>
  </si>
  <si>
    <t>K R, ABHILASH/0000-0002-4542-8516</t>
  </si>
  <si>
    <t>212PA</t>
  </si>
  <si>
    <t>WOS:000323994100007</t>
  </si>
  <si>
    <t>Immune responses of oyster hemocyte subpopulations to in vitro and in vivo zinc exposure</t>
  </si>
  <si>
    <t>Hemocyte subpopulations; Zn; granulocytes; immune defense; detoxification</t>
  </si>
  <si>
    <t>CRASSOSTREA-GIGAS; ANTIMICROBIAL PEPTIDES; OXIDATIVE STRESS; LYSOSOMAL PH; MUSSEL; MARINE; COPPER; METALS; MODULATION; VIRGINICA</t>
  </si>
  <si>
    <t>Oysters are an excellent biomonitor of coastal pollution and the hyper-accumulator of toxic metals such as copper and zinc (Zn). One unique feature of molluscs is their hemocytes which are mainly involved in immune defenses. Different subpopulations of hemocytes have been identified, but their functions in metal transport and detoxification are not clear. In this study, we examined the immune responses of different subpopulations of oyster Crassostrea hongkongensis hemocytes under different periods of Zn exposure by using flow cytometer and confocal microscopy. In vitro exposure to Zn resulted in acute immune responses by increasing the reactive oxygen species (ROS) production and phagocytosis and decreased number of granulocytes and mitochondrial membrane potential (MMP) within 3 h. Granulocyte mortality and lysosomal pH increased whereas glutathione (GSH) decreased within 1 h of in vitro exposure, indicating the immune stimulation of granulocytes. Within the first 7 days of in vivo exposure, immunocompetence of granulocytes was inhibited with increasing granulocyte mortality but decreasing ROS production and phagocytosis. However, with a further extension of Zn exposure to 14 days, both phagocytosis and lysosomal content increased with an increasing number of granulocytes, indicating the increase of hemocyte-mediated immunity. Our study demonstrated that granulocytes played important roles in oyster immune defenses while other subpopulations may also participate in immune functions. The degranulation and granulation due to transition between semigranulocytes and granulocytes after Zn exposure were important in metal detoxification. The study contributed to our understanding of the immune phenomena and the adaptive capability of oysters in metal contaminated environments.</t>
  </si>
  <si>
    <t>[Luo, Yali; Wang, Wen-Xiong] City Univ Hong Kong, Southern Marine Sci &amp; Engn Guangdong Lab Guangzho, State Key Lab Marine Pollut, Sch Energy &amp; Environm,Kowloon, Hong Kong, Peoples R China; [Luo, Yali; Wang, Wen-Xiong] City Univ Hong Kong, Southern Marine Sci &amp; Engn Guangdong Lab Guangzho, State Key Lab Marine Pollut, Hong Kong Branch,Kowloon, Hong Kong, Peoples R China; [Luo, Yali; Wang, Wen-Xiong] City Univ Hong Kong, Res Ctr Oceans &amp; Human Hlth, Shenzhen Res Inst, Shenzhen 518057, Peoples R China</t>
  </si>
  <si>
    <t>Southern Marine Science &amp; Engineering Guangdong Laboratory; Southern Marine Science &amp; Engineering Guangdong Laboratory (Guangzhou); City University of Hong Kong; City University of Hong Kong; Southern Marine Science &amp; Engineering Guangdong Laboratory; Southern Marine Science &amp; Engineering Guangdong Laboratory (Guangzhou); City University of Hong Kong; Shenzhen Research Institute, City University of Hong Kong</t>
  </si>
  <si>
    <t>Wang, WX (corresponding author), City Univ Hong Kong, Southern Marine Sci &amp; Engn Guangdong Lab Guangzho, State Key Lab Marine Pollut, Sch Energy &amp; Environm,Kowloon, Hong Kong, Peoples R China.;Wang, WX (corresponding author), City Univ Hong Kong, Southern Marine Sci &amp; Engn Guangdong Lab Guangzho, State Key Lab Marine Pollut, Hong Kong Branch,Kowloon, Hong Kong, Peoples R China.;Wang, WX (corresponding author), City Univ Hong Kong, Res Ctr Oceans &amp; Human Hlth, Shenzhen Res Inst, Shenzhen 518057, Peoples R China.</t>
  </si>
  <si>
    <t>Hong Kong Research Grants Council [CityU 16102918, CityU 16103120]; Natural Science Foundation of China [21777134]</t>
  </si>
  <si>
    <t>Hong Kong Research Grants Council(Hong Kong Research Grants Council); Natural Science Foundation of China(National Natural Science Foundation of China (NSFC))</t>
  </si>
  <si>
    <t>We thank the anonymous reviewers for their comments. This study was supported by the Hong Kong Research Grants Council (CityU 16102918 and CityU 16103120) and the Natural Science Foundation of China (No. 21777134) .</t>
  </si>
  <si>
    <t>10.1016/j.aquatox.2021.106022</t>
  </si>
  <si>
    <t>http://dx.doi.org/10.1016/j.aquatox.2021.106022</t>
  </si>
  <si>
    <t>XA5AQ</t>
  </si>
  <si>
    <t>WOS:000720659900004</t>
  </si>
  <si>
    <t>Haus, N; Zimmermann, S; Wiegand, J; Sures, B</t>
  </si>
  <si>
    <t>Haus, N.; Zimmermann, S.; Wiegand, J.; Sures, B.</t>
  </si>
  <si>
    <t>Occurrence of platinum and additional traffic related heavy metals in sediments and biota</t>
  </si>
  <si>
    <t>field study; bioindicators; macroinvertebrates; fauna; environmental metal pollution; aquatic environment</t>
  </si>
  <si>
    <t>MUSSEL DREISSENA-POLYMORPHA; CATHODIC STRIPPING VOLTAMMETRY; ATOMIC-ABSORPTION-SPECTROMETRY; ISOPOD ASELLUS-AQUATICUS; FRESH-WATER ECOSYSTEMS; TRACE-METALS; GROUP ELEMENTS; BIOLOGICAL SAMPLES; MOTORWAY RUNOFF; ROAD DUST</t>
  </si>
  <si>
    <t>Non-point sources play an important role in metal emissions into surface waters. One of the most important non-point sources is automobile traffic. Recent studies determining traffic related heavy metals in surface waters have concentrated mainly on worst case scenarios by analyzing heavy metal loads in waters and sediments close to storm-water overflow inlets. The present study aims at identifying traffic related heavy metals in moderately polluted sites, as they occur in highly urbanized regions. Therefore, the concentrations of eight traffic related metals (Pt, Sb, Mo, Cd, Pb, Cu, Cr and Zn) were determined in sediment and crustacean samples from eight different aquatic habitats in the Ruhr district, Germany. Traffic related heavy metals could be identified in sediment and biota samples as a combination of heavy metals (Pt, Sb, Cd, Pb for sediments and Pt and Sb for crustacean samples). Pt concentrations received special attention due to the relatively recent occurrence of anthropogenically emitted Pt in the environment. At six sampling sites, Pt was detected in sediment and/or biota samples. The uptake of Pt compared to other traffic related heavy metals by Asellus aquaticus and Gammarus pulex is relatively high and can be compared with the uptake rates of essential metals like Zn. (c) 2006 Elsevier Ltd. All rights reserved.</t>
  </si>
  <si>
    <t>Univ Duisburg Essen, Dept Appl Zool Hydrobiol, D-45147 Essen, Germany; Univ Duisburg Essen, Inst Geog, Dept Geol, D-45141 Essen, Germany</t>
  </si>
  <si>
    <t>University of Duisburg Essen; University of Duisburg Essen</t>
  </si>
  <si>
    <t>Haus, N (corresponding author), Univ Duisburg Essen, Dept Appl Zool Hydrobiol, Univ Str 5, D-45147 Essen, Germany.</t>
  </si>
  <si>
    <t>nadine-haus@gmx.de</t>
  </si>
  <si>
    <t>10.1016/j.chemosphere.2006.07.097</t>
  </si>
  <si>
    <t>http://dx.doi.org/10.1016/j.chemosphere.2006.07.097</t>
  </si>
  <si>
    <t>132SL</t>
  </si>
  <si>
    <t>WOS:000243962400005</t>
  </si>
  <si>
    <t>TISSUE-SPECIFIC TOXICOLOGICAL EFFECTS OF CADMIUM IN GREEN MUSSELS (PERNA VIRIDIS): NUCLEAR MAGNETIC RESONANCE-BASED METABOLOMICS STUDY</t>
  </si>
  <si>
    <t>Cadmium; Toxicity; Mussels; Nuclear magnetic resonance; Metabolomics</t>
  </si>
  <si>
    <t>PATTERN-RECOGNITION; NMR-SPECTROSCOPY; H-1-NMR METABOLOMICS; MYTILUS-EDULIS; METABONOMICS; EXTRACTION; BIOMARKER; EXPOSURE; KIDNEY; URINE</t>
  </si>
  <si>
    <t>Toxicity tests for metals have traditionally focused on selected biomarkers to characterize the biological stress induced by metals in marine organisms. Here nuclear magnetic resonance (NMR)-based metabolomics, a system biology tool, was applied to the marine green mussel. Perna viridis, to investigate the toxicological effects of Cd in both digestive gland and adductor muscle tissues. After Cd exposure for either two or four weeks, there was no significant metabolic change in the mussels exposed to Cd at 2 mu g/L. At 20 mu g/L, there were major metabolite changes related to amino acids, osmolytes, and energy metabolites. Digestive gland tissue was more sensitive to Cd than adductor muscle tissue. The adductor muscle tissue showed elevated levels of glutamine, glutamate, and lactate, and reduced levels of branched chain amino acids, aspartate, phenylalanine, and tyrosine. Overall, four weeks of Cd exposure produced neurotoxicity and metabolic disturbances and disturbed osmoregulation. These results suggest that the adductor muscle tissue of mussels may be a suitable supplemental biomarker for exposure to toxicants. In addition, the results demonstrate that H-1-NMR-based metabolomic analysis can provide a systematic view of the toxicological effects of metals on mussels, suggesting that it might be employed to investigate the toxicological effects of other marine pollutants. Environ. Toxicol. Chem. 2011;30:806-812. (C) 2011 SETAC</t>
  </si>
  <si>
    <t>[Wu, Huifeng; Wang, Wen-Xiong] Hong Kong Univ Sci &amp; Technol, State Key Lab Marine Pollut, Kowloon, Hong Kong, Peoples R China</t>
  </si>
  <si>
    <t>Wang, WX (corresponding author), Hong Kong Univ Sci &amp; Technol, State Key Lab Marine Pollut, Kowloon, Hong Kong, Peoples R China.</t>
  </si>
  <si>
    <t>Wang, Wenxiong/0000-0001-9033-0158; Wu, Huifeng/0000-0002-4042-8103</t>
  </si>
  <si>
    <t>Hong Kong Research Grants Council [662610]</t>
  </si>
  <si>
    <t>We thank Jianghua Feng (Wuhan Institute of Physics and Mathematics, Chinese Academy of Sciences) for assistance with the NMR analysis, Mark Viant (The University of Birmingham) for use of the ProMetab software, and two anonymous reviewers for their comments on this work. This study was supported by a GRF grant from the Hong Kong Research Grants Council (662610) to W.-X. Wang.</t>
  </si>
  <si>
    <t>10.1002/etc.446</t>
  </si>
  <si>
    <t>http://dx.doi.org/10.1002/etc.446</t>
  </si>
  <si>
    <t>737TP</t>
  </si>
  <si>
    <t>WOS:000288591400005</t>
  </si>
  <si>
    <t>Esposito, G; Meloni, D; Abete, MC; Colombero, G; Mantia, M; Pastorino, P; Prearo, M; Pais, A; Antuofermo, E; Squadrone, S</t>
  </si>
  <si>
    <t>Esposito, Giuseppe; Meloni, Domenico; Abete, Maria Cesarina; Colombero, Giorgio; Mantia, Martino; Pastorino, Paolo; Prearo, Marino; Pais, Antonio; Antuofermo, Elisabetta; Squadrone, Stefania</t>
  </si>
  <si>
    <t>The bivalve Ruditapes decussatus: A biomonitor of trace elements pollution in Sardinian coastal lagoons (Italy)</t>
  </si>
  <si>
    <t>Pollution; Trace elements; Food safety; Bivalve mollusc; Ruditapes decussatus; Aluminium</t>
  </si>
  <si>
    <t>RISK-ASSESSMENT; SCIENTIFIC OPINION; HEAVY-METALS; FISH; BIOACCUMULATION; PHILIPPINARUM; POPULATIONS; BIOMARKERS; SHELLFISH; SEDIMENTS</t>
  </si>
  <si>
    <t>The anthropogenic contamination of water bodies with metals via fertilizer, industrial sewage and urban wastewater has resulted in widespread problems in aquatic organisms, but also poses a risk to consumer health. Shellfish from coastal and estuarine environments bioaccumulate toxic metals in their tissues due to their ability to concentrate inorganic contaminants several orders of magnitude above ambient levels. The aim of this study was to evaluate the presence of trace elements in adult specimens of indigenous clams (Ruditapes decussatus). To this end, wild clams were collected from four different brackish areas of Sardinia (Western Mediterranean Sea, Italy) devoted to extensive aquacultural practices. The concentration of 16 trace elements (Al, Ag, As, Cd, Co, Cr, Cu, Fe, Hg, Mn, Ni, Pb, Se, Sn, Tl and Zn) in the tissues of the clams was quantified. The legal limits set by European Regulations for cadmium; mercury and lead were never exceeded. However, unexpectedly high values for aluminium and iron (mean 207 mg kg(-1) and 113 mg kg(-1) wet weight) were found in Santa Gilla lagoon, which is close to industrial settlements and had the highest values for the majority of chemical elements investigated. The highest values of the metalloid arsenic (As) were reported in the Porto Pozzo and San Teodoro lagoons (9.6 and 6.8 mg kg(-1) w.w., respectively). The clam R. decussatus confirmed the capacity of bivalves as suitable bioindicators of trace elements pollution. Further investigations are necessary for constant monitoring of clams, 32 which constitute an important traditional resource for the fishing activity in Sardinia. (C) 2018 Elsevier Ltd. All rights reserved.</t>
  </si>
  <si>
    <t>[Esposito, Giuseppe; Meloni, Domenico; Antuofermo, Elisabetta] Univ Sassari, Dept Vet Med, Via Vienna 2, I-07100 Sassari, Italy; [Abete, Maria Cesarina; Colombero, Giorgio; Mantia, Martino; Pastorino, Paolo; Prearo, Marino; Squadrone, Stefania] Ist Zooprofilatt Sperimentale Piemonte Liguria &amp;, Via Bologna 148, I-10154 Turin, Italy; [Pastorino, Paolo] Univ Trieste, Dept Life Sci, Via Giorgieri 10, I-34127 Trieste, Italy; [Pais, Antonio] Univ Sassari, Dept Agr, Viale Italia 39, I-07100 Sassari, Italy</t>
  </si>
  <si>
    <t>University of Sassari; IZS Piemonte Liguria e Valle D'aosta; University of Trieste; University of Sassari</t>
  </si>
  <si>
    <t>Squadrone, S (corresponding author), Ist Zooprofilatt Sperimentale Piemonte Liguria &amp;, Via Bologna 148, I-10154 Turin, Italy.</t>
  </si>
  <si>
    <t>cesarina, maria/AAY-7548-2020; Prearo, Marino/AAF-3369-2021; Pastorino, Paolo/T-5288-2019; Esposito, Giuseppe/HKE-1040-2023; PAIS, Antonio/D-2209-2012</t>
  </si>
  <si>
    <t>PAIS, Antonio/0000-0003-4370-8423; ANTUOFERMO, Elisabetta/0000-0002-1193-7777; Esposito, Giuseppe/0000-0001-6665-2712; Pastorino, Paolo/0000-0002-0585-1168</t>
  </si>
  <si>
    <t>10.1016/j.envpol.2018.07.098</t>
  </si>
  <si>
    <t>http://dx.doi.org/10.1016/j.envpol.2018.07.098</t>
  </si>
  <si>
    <t>GV7DQ</t>
  </si>
  <si>
    <t>WOS:000446282600074</t>
  </si>
  <si>
    <t>Shue, MF; Chen, WD; Su, CC; Lu, MC</t>
  </si>
  <si>
    <t>Shue, Meei-Fang; Chen, Wen-Der; Su, Chia-Chi; Lu, Ming-Chun</t>
  </si>
  <si>
    <t>Heavy Metals in Bivalve Mollusks Collected From Da-Peng Bay Lagoon in South-Southwestern Taiwan</t>
  </si>
  <si>
    <t>MUSSEL PERNA-VIRIDIS; TRACE-METALS; CRASSOSTREA-GIGAS; TAPENG LAGOON; WATER-QUALITY; COASTAL AREA; GREEN OYSTER; BOHAI SEA; POLLUTION; ZN</t>
  </si>
  <si>
    <t>In this study, concentrations of several heavy metals (Cu, Pb, Zn, Ni, Cr, and Cd) were measured in Katelysia hiantina, Anomalocardia squamosa, Perna viridis, Anadara antiquata, Paphia undulata, and Sanguinolaria diphos bivalve mollusks from Da-Peng Bay Lagoon near the south-southwestern coast of Taiwan. The metal pollution index (MPI) values were highest and lowest in winter and autumn, respectively. The MPI value in the viscera of P. viridis was higher than in muscles. In all four seasons, Zn concentrations in viscera and muscles of P. viridis were higher than for other metals. The capacities of A. squamosa to accumulate the concentrations of Cu, Ni, and Cr and of A. antiquata to accumulate concentrations of Pb, Zn, and Cd were significant. Analytical results suggested that A. squamosa and A. antiquata may be used as bioindicators for monitoring Cu, Ni, Cr, Pb, Zn, and Cd heavy-metal pollution in Da-Peng Bay Lagoon throughout the year.</t>
  </si>
  <si>
    <t>[Shue, Meei-Fang; Chen, Wen-Der] Tajen Univ, Dept Environm Sci &amp; Occupat Safety &amp; Hyg, Pingtung, Taiwan; [Su, Chia-Chi; Lu, Ming-Chun] Chia Nan Univ Pharm &amp; Sci, Dept Environm Resources Management, Tainan 71710, Taiwan</t>
  </si>
  <si>
    <t>mmclu@mail.chan.edu.tw</t>
  </si>
  <si>
    <t>Lu, Ming-Chun/E-1431-2018</t>
  </si>
  <si>
    <t>10.1080/15287394.2013.861377</t>
  </si>
  <si>
    <t>http://dx.doi.org/10.1080/15287394.2013.861377</t>
  </si>
  <si>
    <t>AB0YZ</t>
  </si>
  <si>
    <t>WOS:000331519700005</t>
  </si>
  <si>
    <t>STRONKHORST, J</t>
  </si>
  <si>
    <t>TRENDS IN POLLUTANTS IN BLUE MUSSEL MYTILUS-EDULIS AND FLOUNDER PLATICHTHYS-FLESUS FROM 2 DUTCH ESTUARIES, 1985-1990</t>
  </si>
  <si>
    <t>COD GADUS-MORHUA; TRACE-METALS; NORTH-SEA; BODY; LENGTH</t>
  </si>
  <si>
    <t>Temporal trends and length-concentration relationships are presented for data from the Joint Monitoring Programme for microcontaminants in the blue mussel Mytilus edulis and flounder Platichthys flesus from the Ems Dollard and Western Scheldt estuaries in the Netherlands over the period 1985 to 1990. Statistical analyses were carried out in conformity with ICES procedures. The analyses show only a decrease in levels of dieldrin in mussels from the Western Scheldt. Cadmium concentrations in flounders from the Ems Dollard have increased. No linear trend has been detected in either estuary for the other contaminants (PCB, PAH, pp'DDE, lindane, Hg, As, Cu, Cr, Zn, Pb, Ni). The importance of taking the fat weight into account in analysing PCB trend and length relationship is illustrated. Concentrations of PCB, PAH, chromium and nickel in mussels and PCB in livers of flounders decrease with increasing size. Mercury concentrations in flounders increase with length.</t>
  </si>
  <si>
    <t>MINIST TRANSPORT PUBL WORKS &amp; WATER MANAGEMENT, DIV TIDAL WATERS, POB 8039, 4330 EA MIDDELBURG, NETHERLANDS.</t>
  </si>
  <si>
    <t>10.1016/0025-326X(92)90563-L</t>
  </si>
  <si>
    <t>http://dx.doi.org/10.1016/0025-326X(92)90563-L</t>
  </si>
  <si>
    <t>HY174</t>
  </si>
  <si>
    <t>WOS:A1992HY17400009</t>
  </si>
  <si>
    <t>SCANES, P</t>
  </si>
  <si>
    <t>TRACE-METAL UPTAKE IN COCKLES ANADARA-TRAPEZIUM FROM LAKE MACQUARIE, NEW-SOUTH-WALES</t>
  </si>
  <si>
    <t>ANADARA-TRAPEZIUM; BIOACCUMULATION; MANAGEMENT; POWER; SEDIMENTS; TRACE METALS</t>
  </si>
  <si>
    <t>STATISTICAL POWER; SEDIMENTS; MANAGEMENT; INDICATOR; COMMUNITY; ORGANISMS; POLLUTION; WATERS; DESIGN; FIELD</t>
  </si>
  <si>
    <t>Trace metal contamination of waters, sediments and animals in northern Lake Macquarie has been identified as a matter of concern by regulatory authorities. Experimental procedures using the benthic bivalve Anadara trapezium (Sydney cockle) were developed to examine hypotheses relating to whether the cockle accumulated trace metals free in the water or from the sediment in which it is partially buried. Experiments were done in 1989 and 1991 to determine whether the concentration of trace metals in cockles was related to the concentration of metals in surrounding water or sediments. Pilot experiments indicated that it was possible to translocate tubs of sediments from impacted areas to unimpacted areas with no loss of trace metals from contaminated sediments and conversely with no increase m metals in uncontaminated sediments. Other experiments showed clearly that the presence of elevated levels of lead, copper and zinc in the water led to much greater levels in the cockles, irrespective of the concentration in surrounding sediments. There were no significant trends for cadmium. It was concluded that the sediments in which a cockle was living had little bearing on the levels of zinc, copper and lead that were accumulated in the cockle, whereas the surrounding waters had a considerable effect.</t>
  </si>
  <si>
    <t>SCANES, P (corresponding author), ENVIRONM PROTECT AUTHOR, LOCKED BAG 1502, BANKSTOWN, NSW 2200, AUSTRALIA.</t>
  </si>
  <si>
    <t>Scanes, Peter/0000-0002-6722-168X</t>
  </si>
  <si>
    <t>10.3354/meps102135</t>
  </si>
  <si>
    <t>http://dx.doi.org/10.3354/meps102135</t>
  </si>
  <si>
    <t>MH484</t>
  </si>
  <si>
    <t>WOS:A1993MH48400013</t>
  </si>
  <si>
    <t>Bouzahouane, H; Barour, C; Sleimi, N; Ouali, K</t>
  </si>
  <si>
    <t>Bouzahouane, Hana; Barour, Choukri; Sleimi, Noomene; Ouali, Kheireddine</t>
  </si>
  <si>
    <t>Multi-biomarkers approach to the assessment of the southeastern Mediterranean Sea health status: Preliminary study on Stramonita haemastoma used as a bioindicator for metal contamination</t>
  </si>
  <si>
    <t>Catalase; Glutathione; Glutathione S-Transferase; Malondialdehyde; Metallothionein; Trace metal elements</t>
  </si>
  <si>
    <t>MUSSELS MYTILUS-GALLOPROVINCIALIS; URCHIN PARACENTROTUS-LIVIDUS; BIVALVE CERASTODERMA-EDULE; POLYCHAETE-DIOPATRA-NEAPOLITANA; OXIDATIVE STRESS BIOMARKERS; GLUTATHIONE S-TRANSFERASES; DONAX-TRUNCULUS MOLLUSCA; PERNA-PERNA MUSSELS; SEASONAL-VARIATION; COASTAL AREAS</t>
  </si>
  <si>
    <t>The present study aimed to evaluate the responses of different biochemicals parameters associated with environmental pollution in the digestive gland of the gastropod mollusc Stramonita haemastoma. Physiochemical parameters and trace metal elements (Copper (Cu), Zinc (Zn), Chromium (Cr), Cadmium (Cd) and Lead (Pb)) were measured in seawater. Spatiotemporal variations in reduced glutathione (GSH), malondialdehyde (MDA) and metallothionein (Mt) as well as the specific activities of glutathione S-transferase (GST) and catalase (CAT) were evaluated in digestive gland of this species during a one-year period in 2013-2014. Samples collection was conducted at three sites. The results obtained showed seasonal fluctuations in GST and CAT activities and in the rate of Mt content. In addition, intersite variations in GSH, MDA, Mt and CAT were recorded in individuals. Also, trace metal elements concentrations determined by season in the digestive gland revealed spatial and temporal variations for Cu and Zn but they are below the limit of detection for Cd and Pb. The highest values were generally recorded in spring for Cu and in winter for Zn. In this first regional study using in S. haemastoma as a model, the biomarkers measured were seen to be inducible parameters to evaluate the health state of the organism and the overall quality of the study sites. (C) 2018 Elsevier Ltd. All rights reserved.</t>
  </si>
  <si>
    <t>[Bouzahouane, Hana; Barour, Choukri] Mohamed Cherif Messaadia Univ, Dept Biol, Fac Nat &amp; Life Sci, Souk Ahras 41000, Algeria; [Sleimi, Noomene] Univ Carthage, UR Mat Nanomat &amp; Ecosyst, Fac Sci Bizerte, Tunis, Tunisia; [Bouzahouane, Hana; Ouali, Kheireddine] Badji Mokhtar Univ, Fac Sci, Dept Biol, Lab Environm Biosurveillance, BP 12, El Hadjar 23000, Annaba, Algeria</t>
  </si>
  <si>
    <t>Universite de Souk Ahras Mohammed Cherif Messaadia; Universite de Carthage; Universite Badji Mokhtar - Annaba</t>
  </si>
  <si>
    <t>Bouzahouane, H (corresponding author), Mohamed Cherif Messaadia Univ, Dept Biol, Fac Nat &amp; Life Sci, Souk Ahras 41000, Algeria.</t>
  </si>
  <si>
    <t>hana_microbiologie@yahoo.fr</t>
  </si>
  <si>
    <t>ouali, kheireddine/AAT-4555-2020; SLEIMI, Noomene/ABF-1710-2021; Barour, Choukri/P-3021-2019</t>
  </si>
  <si>
    <t>SLEIMI, Noomene/0000-0001-7187-0386; Barour, Choukri/0000-0002-0968-2015; BOUZAHOUANE, Hana/0000-0002-0782-8981; ouali, kheireddine/0000-0002-5842-0767</t>
  </si>
  <si>
    <t>Directorate General for Scientific Research and Technological Development (DGRSDT)</t>
  </si>
  <si>
    <t>This study was supported by Directorate General for Scientific Research and Technological Development (DGRSDT).</t>
  </si>
  <si>
    <t>10.1016/j.chemosphere.2018.05.118</t>
  </si>
  <si>
    <t>http://dx.doi.org/10.1016/j.chemosphere.2018.05.118</t>
  </si>
  <si>
    <t>WOS:000436916500081</t>
  </si>
  <si>
    <t>Abkenar, AM; Yahyavi, M; Esmaeili, N; Rombenso, A</t>
  </si>
  <si>
    <t>Abkenar, Ali Mahdi; Yahyavi, Maziar; Esmaeili, Noah; Rombenso, Artur</t>
  </si>
  <si>
    <t>High bioaccumulation factors and ecological risk index of Cd and Hg in Indian white shrimp, hooded oyster, brown algae, and Sediment in northern coasts of the Gulf of Oman before and after a monsoon</t>
  </si>
  <si>
    <t>Bioaccumulation; Contamination; Hooded oyster; Indian white shrimp; Metals; Monsoon; Oman Sea; Risk assessment</t>
  </si>
  <si>
    <t>HEAVY-METAL CONCENTRATIONS; PERSIAN-GULF; TRACE-METALS; SACCOSTREA-CUCULLATA; MARINE ORGANISMS; FISHED SHRIMPS; SOFT-TISSUE; CONTAMINATION; POLLUTION; SEA</t>
  </si>
  <si>
    <t>This study analyzed the concentrations (dry weight basis) and bioaccumulation factors (BAF) of copper (Cu), lead (Pb), cadmium (Cd), and mercury (Hg) in pre- and post-monsoon samples at five stations (Chabahar, Darak, Gowatr, Jask, and Pozm) in the Gulf of Oman. For this purpose, ten samples of hooded oyster Saccostrea cucullata, brown algae Sargassum ilicifolium, and Indian white shrimp Penaeus indicus were collected once a month during fall and spring (a total of 60 samples were obtained from each species per station). Additionally, sediment samples were collected three times a month during these two seasons (ten samples per each season). Our results indicated that metal concentrations were lower than the maximum permitted limit in the sediment across the tested stations (&lt;0.42 ppm). In both seasons, the highest concentrations of metals in the sediment were found in Chabahar, followed by Jask. The concentration of Hg was higher in the Indian white shrimp (0.16 ppm) and hooded oyster (0.20 ppm) than in the standard (0.10 ppm), while for other metals and tissues the concentrations were lower than the standard level. Also, BAF of Hg was higher than the standard permissible level in Jask(spring: 109.71%) and Pozm station (spring: 123.12%, fall: 125.76%). Except for Cd and Cu at the Chabahar station, the monsoon did not have any significant effect on metal concentrations and bioaccumulation. Preventive measures and management strategies are required as these concentrations and BAF of metals can become an actual threat to the environment and human health in this area. Crown Copyright (C) 2020 Published by Elsevier B.V. All rights reserved.</t>
  </si>
  <si>
    <t>[Abkenar, Ali Mahdi] Islamic Azad Univ, Chabahar Branch, Dept Fisheries, POB 5871743671, Chabahar, Iran; [Yahyavi, Maziar] Islamic Azad Univ, Bandar Abbas Branch, Dept Fisheries, Bandar Abbas, Iran; [Esmaeili, Noah] Univ Tasmania, Inst Marine &amp; Antarctic Studies IMAS, Hobart, Tas, Australia; [Rombenso, Artur] CSIRO, Aquaculture Program, Woorim, Qld, Australia</t>
  </si>
  <si>
    <t>Islamic Azad University; Islamic Azad University; University of Tasmania; Commonwealth Scientific &amp; Industrial Research Organisation (CSIRO)</t>
  </si>
  <si>
    <t>Abkenar, AM (corresponding author), Islamic Azad Univ, Chabahar Branch, Dept Fisheries, POB 5871743671, Chabahar, Iran.</t>
  </si>
  <si>
    <t>aliabkenar@gmail.com; maziar_yahyavi@yahoo.com; noah.esmaeili@utas.edu.au; Artur.Rombenso@csiro.au</t>
  </si>
  <si>
    <t>yahyavi, maziar/AAO-1662-2021; Rombenso, Artur/B-6978-2019; Mahdi Abkenar, Ali/ABC-3944-2021; Esmaeili, Noah/Q-4536-2019</t>
  </si>
  <si>
    <t>Yahyavi, Maziar/0000-0001-5682-4365; Mahdi Abkenar, Ali/0000-0003-4357-4234; Esmaeili, Noah/0000-0001-8704-939X</t>
  </si>
  <si>
    <t>Department of Natural Resources Engineering of Islamic Azad University of Bandar Abbas</t>
  </si>
  <si>
    <t>The authors would like to express their gratitude to the Department of Natural Resources Engineering of Islamic Azad University of Bandar Abbas for their kind supports and financial resources. Also, they would like to thank Amir Hoshang Bahri for his assistance and support.</t>
  </si>
  <si>
    <t>10.1016/j.rsma.2020.101552</t>
  </si>
  <si>
    <t>http://dx.doi.org/10.1016/j.rsma.2020.101552</t>
  </si>
  <si>
    <t>SA4KS</t>
  </si>
  <si>
    <t>WOS:000649269800015</t>
  </si>
  <si>
    <t>Liehr, GA; Zettler, ML; Leipe, T; Witt, G</t>
  </si>
  <si>
    <t>The ocean quahog Arctica islandica L.:: a bioindicator for contaminated sediments</t>
  </si>
  <si>
    <t>HEAVY-METALS; TRACE-ELEMENTS; NORTH-SEA; MOLLUSCA; CARBONATES; ESTUARINE; ABUNDANCE; HISTORY; MUSSELS; COASTAL</t>
  </si>
  <si>
    <t>The use of benthic organisms as bioindicators in the aquatic environment is a suitable method for assessing the effects of contaminants in coastal waters. The accumulation of heavy metals in body tissues due to lifestyle and feeding mechanisms makes it possible to reveal contamination rates and recovery trends within polluted areas. Comparing a polluted historical dumping site in the inner Mecklenburg Bight (western Baltic Sea) with a less-contaminated reference site at the edge of the Mecklenburg Bight, representing the background contamination of the western Baltic Sea, the present study discusses the population structure and heavy metal exposure of the ocean quahog Arctica islandica L. (Mollusca, Bivalvia) and evaluates this organism as a bioindicator for contaminated sediments. The organism density was higher at the reference site in comparison to the dumping site. The absence of juvenile and adult individuals at the dumping site seems to be a sign that this ecological environment has not completely regenerated since the dumping event in the late 1950s to early 1960s. Heavy metal concentrations of copper, lead, and zinc in the soft body tissue of A. islandica were analysed using atomic absorption spectrometry (AAS). Shell measurements were carried out using laser ablation-inductively coupled plasma-mass spectrometry. Particularly the concentrations of copper and lead were significantly higher in the soft body tissue as well as in the shell from the dumping site than from the reference site. For pollutant biomonitoring research, the shells of the ocean quahog can be used as an indicator for heavy metal accumulation. They are more suitable for reflecting historical contamination events than the soft body tissue.</t>
  </si>
  <si>
    <t>Baltic Sea Res Inst, D-18119 Rostock, Germany</t>
  </si>
  <si>
    <t>Leibniz Institut fur Ostseeforschung Warnemunde</t>
  </si>
  <si>
    <t>Baltic Sea Res Inst, Seestr 15, D-18119 Rostock, Germany.</t>
  </si>
  <si>
    <t>gladys.liehr@io-warnemuende.de</t>
  </si>
  <si>
    <t>Zettler, Michael/R-3186-2019; Zettler, Michael Lothar/KII-5311-2024</t>
  </si>
  <si>
    <t>Zettler, Michael Lothar/0000-0002-5437-5495</t>
  </si>
  <si>
    <t>10.1007/s00227-005-1612-y</t>
  </si>
  <si>
    <t>http://dx.doi.org/10.1007/s00227-005-1612-y</t>
  </si>
  <si>
    <t>942RO</t>
  </si>
  <si>
    <t>WOS:000230299700011</t>
  </si>
  <si>
    <t>Wang, C; Duan, HY; Teng, JW</t>
  </si>
  <si>
    <t>Wang, Chao; Duan, Han-Ying; Teng, Jiu-Wei</t>
  </si>
  <si>
    <t>Assessment of Microwave Cooking on the Bioaccessibility of Cadmium from Various Food Matrices Using an In Vitro Digestion Model</t>
  </si>
  <si>
    <t>Cadmium; Bioaccessibility; Microwave cooking; In vitro digestion</t>
  </si>
  <si>
    <t>SUBCELLULAR-DISTRIBUTION; RADIOTRACER TECHNIQUES; TRACE-ELEMENTS; HEAVY-METALS; FISH; EXPOSURE; MERCURY; BIOAVAILABILITY; CONTAMINANTS; CONSUMPTION</t>
  </si>
  <si>
    <t>Bioaccessibility represents the maximum amount of pollutant ingested with food that is available for intestinal absorption. The measurement of bioaccessibility can achieve a more accurate risk assessment. Thus, in this study, the bioaccessibility of raw/microwave-cooked store-bought food including carrot, potato, white radish, lotus root, sweet corn, long grain rice, soybean, fleshy prawn, eastern oyster, kelp, and common carp were investigated by applying an in vitro digestion method. A validated microwave digestion/ICP-MS method was applied for determining the concentration of Cd. In this study, the concentration of Cd ranged 3.7-215.8 mu g/kg fw in which carrot contained the lowest Cd while the fleshy prawn contained the highest Cd. There are no statistical differences of Cd content in microwave-cooked food and raw food except potato, lotus root, and eastern oyster. Cd in most of the cooked food materials was less bioaccessible than in raw food except sweet corn, potato, and kelp. The bioaccessibility of Cd was around 100 % in either raw or cooked potatoes. Microwave cooking caused the decreasing of bioaccessibility around 0-68 %, depending on different food matrix. Maximal decreasing of Cd bioaccessibility occurred in common carp. Thus, microwave cooking could be a feasible strategy for decreasing Cd bioaccessibility. In addition, the Cd dissolution in oral, gastric, and small intestine phase was different in different food matrix. For most of the investigated food items, Cd was largely migrated either into the oral phase (carrot, potato, white radish, lotus root, raw soybean, kelp, and common carp) or into the gastric phase (sweet corn, cooked soybean, rice, fleshy prawn, and eastern oyster). Our findings will have significant implications for food processing aiming to decrease the absorption of Cd and risk assessment analysis improvements. Further study is needed to use the animal model to validate these results.</t>
  </si>
  <si>
    <t>[Wang, Chao; Duan, Han-Ying; Teng, Jiu-Wei] Jinan Univ, Dept Food Sci &amp; Technol, Guangzhou 510632, Guangdong, Peoples R China</t>
  </si>
  <si>
    <t>Jinan University</t>
  </si>
  <si>
    <t>Wang, C (corresponding author), Jinan Univ, Dept Food Sci &amp; Technol, Guangzhou 510632, Guangdong, Peoples R China.</t>
  </si>
  <si>
    <t>chao_wang@jnu.edu.cn</t>
  </si>
  <si>
    <t>Natural Science Foundation of Guangdong Province [S2012040006809]</t>
  </si>
  <si>
    <t>Natural Science Foundation of Guangdong Province(National Natural Science Foundation of Guangdong Province)</t>
  </si>
  <si>
    <t>This study was financially supported by the Natural Science Foundation of Guangdong Province (Grant No. S2012040006809).</t>
  </si>
  <si>
    <t>10.1007/s12011-014-0047-z</t>
  </si>
  <si>
    <t>http://dx.doi.org/10.1007/s12011-014-0047-z</t>
  </si>
  <si>
    <t>AL7VC</t>
  </si>
  <si>
    <t>WOS:000339343300016</t>
  </si>
  <si>
    <t>Britto, RS; Nascimento, JP; Serode, T; Santos, AP; Soares, AMVM; Figueira, E; Furtado, C; Lima-Ventura, J; Monserrat, JM; Freitas, R</t>
  </si>
  <si>
    <t>Britto, Roberta Socoowski; Nascimento, Jefferson Patricio; Serode, Tiago; Santos, Adelina P.; Soares, Amadeu M. V. M.; Figueira, Etelvina; Furtado, Clascidia; Lima-Ventura, Juliane; Monserrat, Jose M.; Freitas, Rosa</t>
  </si>
  <si>
    <t>The effects of co-exposure of graphene oxide and copper under different pH conditions in Manila clam Ruditapes philippinarum</t>
  </si>
  <si>
    <t>Oxidative stress; Nanotoxicology; Aquatic environment; Acidification; Copper</t>
  </si>
  <si>
    <t>OCEAN ACIDIFICATION; SEAWATER ACIDIFICATION; BIOCHEMICAL RESPONSES; OXIDATIVE STRESS; ENGINEERED NANOPARTICLES; REDUCED GRAPHENE; FULLERENE C-60; CLIMATE-CHANGE; CARBONIC-ACID; ADSORPTION</t>
  </si>
  <si>
    <t>Carbon nanomaterials (CNM), such as graphene oxide (GO), have been the focus of study in several areas of science mostly due to their physical-chemical properties. However, data concerning the potential toxic effects of these CNM in bivalves are still scarce. When present in the aquatic systems, the combination with other contaminants, as well as pH environmental variations, can influence the behavior of these nanomaterials and, consequently, their toxicity. Thus, the main goal of this study was to evaluate the effect of exposure of clam Ruditapes philippinarum to GO when acting alone and in the combination with copper (Cu), under two pH levels (control 7.8 and 7.3). A 28-day exposure was performed and metabolism and oxidative stress-related parameters were evaluated. The effects caused by GO and Cu exposures, either isolated or co-exposed, showed a direct and dependent relationship with the pH in which the organisms were exposed. In clams maintained at control pH (7.8), Cu and GO + Cu treatments showed lower lipid peroxidation (LPO) and lower electron transport system (ETS) activity, respectively. In clams maintained at low pH, glutathione-S-transferases (GSTs) activities were increased in Cu and Cu + GO treatments, whereas reduced glutathione (GSH) levels were increased in Cu treatment and ETS activity was higher in GO + Cu. Thus, it can be observed that clams responses to Cu and GO were strongly modulated by pH in terms of their defense system and energy production, although this does not result into higher LPO levels.</t>
  </si>
  <si>
    <t>[Britto, Roberta Socoowski; Lima-Ventura, Juliane; Monserrat, Jose M.] Univ Fed Rio Grande FURG, Rio Grande, RS, Brazil; [Britto, Roberta Socoowski; Lima-Ventura, Juliane; Monserrat, Jose M.] Fundacao Univ Fed Rio Grande, Inst Ciencias Biol, Programa Posgrad Ciencias Fisiol, Rio Grande, Brazil; [Britto, Roberta Socoowski; Soares, Amadeu M. V. M.; Figueira, Etelvina; Freitas, Rosa] Univ Aveiro, Dept Biol, Aveiro, Portugal; [Britto, Roberta Socoowski; Soares, Amadeu M. V. M.; Figueira, Etelvina; Freitas, Rosa] Univ Aveiro, CESAM, Aveiro, Portugal; [Nascimento, Jefferson Patricio; Serode, Tiago; Santos, Adelina P.; Furtado, Clascidia] CDTN, Minas Gerais, MG, Brazil</t>
  </si>
  <si>
    <t>Universidade Federal do Rio Grande; Universidade Federal do Rio Grande; Universidade de Aveiro; Universidade de Aveiro; Centro de Desenvolvimento da Tecnologia Nuclear (CDTN)</t>
  </si>
  <si>
    <t>Monserrat, JM (corresponding author), Univ Fed Rio Grande FURG, Rio Grande, RS, Brazil.;Freitas, R (corresponding author), Univ Aveiro, Dept Biol, Aveiro, Portugal.;Freitas, R (corresponding author), Univ Aveiro, CESAM, Aveiro, Portugal.</t>
  </si>
  <si>
    <t>monserrat_jm@furg.br; rosafreitas@ua.pt</t>
  </si>
  <si>
    <t>Patrício Nascimento, Jefferson/GRY-0102-2022; Santos, Adelina/V-3087-2019; Furtado, Clascidia/AAE-2801-2020; Figueira, Etelvina/M-6116-2013; Freitas, Rosa/A-7539-2012; Soares, Amadeu/A-8304-2008; Monserrat, Jose/L-1154-2014</t>
  </si>
  <si>
    <t>Freitas, Rosa/0000-0003-4900-3897; Soares, Amadeu/0000-0003-0879-9470; Patricio Nascimento, Jefferson/0000-0002-8756-011X; Monserrat, Jose/0000-0002-9463-3049</t>
  </si>
  <si>
    <t>FCT-Fundacao para a Ciencia e a Tecnologia, I.P.; CESAM [UID/AMB/50017/2019]; FEDER, within the PT2020 Partnership Agreement; FEDER, within Compete 2020; project BISPECIAl: BIvalveS under Polluted Environment and ClImate chAnge - FEDER, through COMPETE2020-Programa Operacional Competitividade e Internacionalizacao (POCI) [POCI-01-0145-FEDER-028425]; FCT/MCTES; Instituto Nacional de Ciencia e Tecnologia Nanomaterial de Carbono (MCTI/CNPq) [421701/2017-0]; CYTED through the RED Iberoanericana RIESCOS [419RT0578]</t>
  </si>
  <si>
    <t>FCT-Fundacao para a Ciencia e a Tecnologia, I.P.(Fundacao para a Ciencia e a Tecnologia (FCT)); CESAM; FEDER, within the PT2020 Partnership Agreement(Marie Curie Actions); FEDER, within Compete 2020(European Union (EU)Marie Curie Actions); project BISPECIAl: BIvalveS under Polluted Environment and ClImate chAnge - FEDER, through COMPETE2020-Programa Operacional Competitividade e Internacionalizacao (POCI); FCT/MCTES(Fundacao para a Ciencia e a Tecnologia (FCT)); Instituto Nacional de Ciencia e Tecnologia Nanomaterial de Carbono (MCTI/CNPq); CYTED through the RED Iberoanericana RIESCOS</t>
  </si>
  <si>
    <t>R.S. Britto was fellow of the Brazilian Agency CNPq (Conselho Nacional de Desenvolvimento Cientifico e Tecnologico) in the Program Ciencia sem Fronteiras (process number 234818/2014-0). Rosa Freitas was funded by national funds (OE), through FCT-Fundacao para a Ciencia e a Tecnologia, I.P., in the scope of the framework contract foreseen in the numbers 4, 5, and 6 of the article 23, of the Decree-Law 57/2016, of August 29, changed by Law 57/2017, of July 19. Thanks are due for the financial support to CESAM (UID/AMB/50017/2019) to FCT/MEC through national funds, and the co-funding by the FEDER, within the PT2020 Partnership Agreement and Compete 2020. This work was also financially supported by the project BISPECIAl: BIvalveS under Polluted Environment and ClImate chAnge (POCI-01-0145-FEDER-028425) funded by FEDER, through COMPETE2020-Programa Operacional Competitividade e Internacionalizacao (POCI), and by national funds (OE), through FCT/MCTES. J.M. Monserrat is a productivity fellow from CNPq (process number PQ 308539/2016-8). J.M. Monserrat is grateful to Instituto Nacional de Ciencia e Tecnologia Nanomaterial de Carbono (MCTI/CNPq) (Proc. 421701/2017-0) for financial and logistic support. Jose Monserrate and Rosa Freitas are also funded by CYTED through the RED Iberoanericana RIESCOS (419RT0578).</t>
  </si>
  <si>
    <t>10.1007/s11356-019-06643-4</t>
  </si>
  <si>
    <t>http://dx.doi.org/10.1007/s11356-019-06643-4</t>
  </si>
  <si>
    <t>DEC 2019</t>
  </si>
  <si>
    <t>MT2KO</t>
  </si>
  <si>
    <t>WOS:000501134700001</t>
  </si>
  <si>
    <t>Montz, GR; Hirsch, J; Rezanka, R; Staples, DF</t>
  </si>
  <si>
    <t>Montz, Gary R.; Hirsch, Jodene; Rezanka, Richard; Staples, David F.</t>
  </si>
  <si>
    <t>Impacts of Copper on a Lotic Benthic Invertebrate Community: Response and Recovery</t>
  </si>
  <si>
    <t>JOURNAL OF FRESHWATER ECOLOGY</t>
  </si>
  <si>
    <t>HEAVY-METALS; ARKANSAS RIVER; STREAM; DISTURBANCE; COLORADO; ABUNDANCE; POLLUTION; INSECTS</t>
  </si>
  <si>
    <t>We examined the impact of copper on invertebrate community composition in a small stream (Pelican Brook) originating from a zebra mussel infested lake in central Minnesota. One bay of the lake was treated weekly with chelated copper during the summers of 2004 and 2005, resulting in copper levels in Pelican Brook ranging from 0.1 to 0.8 mg/L for three months each summer. Benthic macroinvertebrates were collected from two sites in Pelican Brook in spring and fall over four years (2004-2007), including one pretreatment collection (spring 2004). Samples were also collected from two reference streams (2005-2007). Ephemeroptera, Trichoptera, and Plecoptera comprised over half of the community in pre-treatment and reference stream samples. During treatment seasons, mayflies were eliminated and the community shifted to only a few taxa (Hydropsychidae and Chironomidae, primarily Orthocladiinae). Reference stream communities showed seasonal fluctuations but not the massive shifts in taxa abundance seen in the impacted sites. Invertebrate communities began to recover in the first year post-treatment (2006), and by fall 2007 Ephemeroptera and Trichoptera again accounted for over half of the taxa collected. Ephemeroptera, particularly Heptageniidae, appear to be good signal taxa for copper impacts.</t>
  </si>
  <si>
    <t>[Montz, Gary R.; Hirsch, Jodene] Minnesota Dept Nat Resources, Div Ecol Resources, St Paul, MN 55155 USA; [Rezanka, Richard] Minnesota Dept Nat Resources, Div Ecol Resources, Grand Rapids, MN 55744 USA; [Staples, David F.] Minnesota Dept Nat Resources, Div Fish &amp; Wildlife, Forest Lake, MN 55025 USA</t>
  </si>
  <si>
    <t>Minnesota Department of Natural Resources; Minnesota Department of Natural Resources; Minnesota Department of Natural Resources</t>
  </si>
  <si>
    <t>Montz, GR (corresponding author), Minnesota Dept Nat Resources, Div Ecol Resources, 500 Lafayette Rd, St Paul, MN 55155 USA.</t>
  </si>
  <si>
    <t>Gary.montz@state.mn.us</t>
  </si>
  <si>
    <t>Minnesota Department of Natural Resources, Division of Ecological Resources</t>
  </si>
  <si>
    <t>Our thanks go to Charles Anderson and David Wright, who provided much helpful constructive review in the early drafts of this paper. This paper benefited from comments by anonymous reviewers. We also thank Karrie Johnson for her work in copper monitoring in Pelican Brook. This research was supported by the Minnesota Department of Natural Resources, Division of Ecological Resources.</t>
  </si>
  <si>
    <t>OIKOS PUBL INC</t>
  </si>
  <si>
    <t>LA CROSSE</t>
  </si>
  <si>
    <t>PO BOX 2558, LA CROSSE, WI 54601 USA</t>
  </si>
  <si>
    <t>0270-5060</t>
  </si>
  <si>
    <t>J FRESHWATER ECOL</t>
  </si>
  <si>
    <t>J. Freshw. Ecol.</t>
  </si>
  <si>
    <t>10.1080/02705060.2010.9664407</t>
  </si>
  <si>
    <t>http://dx.doi.org/10.1080/02705060.2010.9664407</t>
  </si>
  <si>
    <t>Ecology; Limnology</t>
  </si>
  <si>
    <t>680OA</t>
  </si>
  <si>
    <t>WOS:000284243100010</t>
  </si>
  <si>
    <t>Luengen, AC; Foslund, HM; Greenfield, BK</t>
  </si>
  <si>
    <t>Luengen, Allison C.; Foslund, Heather M.; Greenfield, Ben K.</t>
  </si>
  <si>
    <t>Decline in methylmercury in museum-preserved bivalves from San Francisco Bay, California</t>
  </si>
  <si>
    <t>Mercury; Carbon isotopes; Nitrogen isotopes; Historical trends; Estuary; Mining</t>
  </si>
  <si>
    <t>MERCURY CONCENTRATIONS; FOOD WEBS; POTAMOCORBULA-AMURENSIS; PHYTOPLANKTON BIOMASS; GAS-CHROMATOGRAPHY; METHYL MERCURY; STABLE CARBON; FISH; CONTAMINATION; TRENDS</t>
  </si>
  <si>
    <t>There are ongoing efforts to manage mercury and nutrient pollution in San Francisco Bay (California, USA), but historical data on biological responses are limited. We used bivalves preserved in formalin or ethanol from museum collections to investigate long-term trends in methylmercury (MeHg) concentrations and carbon and nitrogen isotopic signatures. In the southern reach of the estuary, South Bay, MeHg in the Asian date mussel (Musculista senhousia) significantly declined over the study duration (1970 to 2012). Mean MeHg concentrations were highest (218 ng/g dry weight, dw) in 1975 and declined 3.8-fold (to 57 ng/g dw) by 2012. This decrease corresponded with closure of the New Almaden Mercury Mines and was consistent with previously observed declines in sediment core mercury concentrations. In contrast, across all sites, MeHg in the overbite clam (Potamocorbula amurensis) increased 1.3-fold from 64 ng/g dw before 2000 to 81 ng/g dw during the 2000s and was higher than in M. senhousia. Pearson correlation coefficients of the association between MeHg and delta C-13 or delta N-15 provided no evidence that food web alterations explained changing MeHg concentrations. However, isotopic composition shifted temporally. South Bay bivalve delta N-15 increased from 12 parts per thousand in the 1970s to 18 parts per thousand in 2012. This increase corresponded with increasing nitrogen loadings from wastewater treatment plants until the late 1980s and increasing phytoplankton biomass from the 1990s to 2012. Similarly, a 3 parts per thousand decline in delta C-13 from 2002 to 2012 may represent greater utilization of planktonic food sources. In a complimentary 90 day laboratory study to validate use of these preserved specimens, preservation had only minor effects (&lt;0.5 parts per thousand) on delta C-13 and delta N-15. MeHg increased following preservation but then stabilized. These are the first documented long-term trends in biota MeHg and stable isotopes in this heavily impacted estuary and support the utility of preserved specimens to infer contaminant and biogeochemical trends. (C) 2016 The Authors. Published by Elsevier B.V.</t>
  </si>
  <si>
    <t>[Luengen, Allison C.; Foslund, Heather M.] Univ San Francisco, Dept Environm Sci, 2130 Fulton St, San Francisco, CA 94117 USA; [Greenfield, Ben K.] Univ Calif Berkeley, Sch Publ Hlth Univ, Environm Hlth Sci Div, 50 Univ Hall 7360, Berkeley, CA 94720 USA; [Greenfield, Ben K.] Southern Illinois Univ, Dept Biol, Edwardsville, IL 62026 USA; [Greenfield, Ben K.] Southern Illinois Univ, Environm Sci Program, Edwardsville, IL 62026 USA</t>
  </si>
  <si>
    <t>University of San Francisco; University of California System; University of California Berkeley; Southern Illinois University System; Southern Illinois University Edwardsville; Southern Illinois University System; Southern Illinois University Edwardsville</t>
  </si>
  <si>
    <t>Luengen, AC (corresponding author), Univ San Francisco, Dept Environm Sci, 2130 Fulton St, San Francisco, CA 94117 USA.</t>
  </si>
  <si>
    <t>aluengen@usfca.edu; hmfoslund@gmail.com; greenfieldben1@gmail.com</t>
  </si>
  <si>
    <t>Greenfield, Ben/A-2029-2015</t>
  </si>
  <si>
    <t>Greenfield, Ben/0000-0003-1038-7635; Luengen, Allison/0000-0002-6896-3650</t>
  </si>
  <si>
    <t>University of San Francisco Faculty Development Fund; STAR Fellowship (U.S. Environmental Protection Agency); SAGE-IGERT Fellowship (U.S. National Science Foundation)</t>
  </si>
  <si>
    <t>University of San Francisco Faculty Development Fund; STAR Fellowship (U.S. Environmental Protection Agency); SAGE-IGERT Fellowship (U.S. National Science Foundation)(National Science Foundation (NSF))</t>
  </si>
  <si>
    <t>Elizabeth Kools, Christina Piotrowski, and Terry Gosliner at the California Academy of Sciences and Jeffrey Crauder at the USGS kindly provided preserved bivalve specimens. Francis Parchaso and Amy Kleckner at the United States Geology Survey (USGS) and the crew of the R/V Polaris made it possible to obtain live bivalves for the preservation study. Undergraduate students at the University of San Francisco (USF) contributed to this project, including Morgan Campbell, Brandon Oldham, and especially Matthew V. Slasten, who also helped with bivalve collection. Megan Danielson at the USF GeoSpatial Analysis Lab produced the map shown in Fig. 1. Dyke Andreasen, Vincent Meligne, and Timothy Lambert at the University of California Santa Cruz analyzed the stable isotope samples. Robin Stewart and David Senn offered constructive feedback on data interpretation. Thomas MacDonald, Mae Gustin, and three anonymous reviewers provided many helpful suggestions on the manuscript. Funding was provided by the University of San Francisco Faculty Development Fund to Allison Luengen and the STAR Fellowship (U.S. Environmental Protection Agency) and SAGE-IGERT Fellowship (U.S. National Science Foundation) to Ben Greenfield.</t>
  </si>
  <si>
    <t>10.1016/j.scitotenv.2016.07.070</t>
  </si>
  <si>
    <t>http://dx.doi.org/10.1016/j.scitotenv.2016.07.070</t>
  </si>
  <si>
    <t>EC0RA</t>
  </si>
  <si>
    <t>WOS:000387807200075</t>
  </si>
  <si>
    <t>Radenac, G; Miramand, P; Tardy, J</t>
  </si>
  <si>
    <t>Search for impact of a dredged material disposal site on growth and metal contamination of Mytilus edulis (L.) in Charente Maritime (France)</t>
  </si>
  <si>
    <t>dredged sediment; dumping operations; farming zone; Mytilus edulis; growth; metals</t>
  </si>
  <si>
    <t>TRACE-METALS; BLUE MUSSEL; BIOLOGICAL INDICATORS; POLLUTION; CADMIUM; COPPER; FIELD; GALLOPROVINCIALIS; BIOACCUMULATION; FECUNDITY</t>
  </si>
  <si>
    <t>Transplanted mussels, Mytilus edulis (L.), were used as bioindicators to assess the metal contamination and biological effects of the dredging activities in the harbour of La Rochelle-La Pallice which result in the dumping of sediment in the site of the 'Le Lavardin' located in the vicinity of two economically important shellfish farming zones, Immersion of dredged material appeared to have no influence on the growth of mussels within their first year of development, when compared to the size of individuals sampled from neighbouring farming zones (40 mm), The Dry Condition Indexes calculated from individuals present in the disposal site were similar to those found in mussels sampled from a natural population. After three months of immersion around the disposal site, copper and zinc concentrations were similar to those recorded in individuals from a natural population. In contrast, the cadmium concentration was lower, Mussels from the northern stations of the site exhibited lead contamination, However, the respective roles of both dredged material and coastal inputs in the disposal site could not be distinguished. (C) 1997 Elsevier Science Ltd.</t>
  </si>
  <si>
    <t>UNIV ROCHELLE, EA 1220, LAB BIOL &amp; BIOCHIM MARINES, 15 RUE VAUX FOLETIER, F-17026 LA ROCHELLE, FRANCE.</t>
  </si>
  <si>
    <t>Radenac, Gilles/O-9760-2014</t>
  </si>
  <si>
    <t>Radenac, Gilles/0000-0002-7906-6453</t>
  </si>
  <si>
    <t>10.1016/S0025-326X(97)00011-8</t>
  </si>
  <si>
    <t>http://dx.doi.org/10.1016/S0025-326X(97)00011-8</t>
  </si>
  <si>
    <t>YF823</t>
  </si>
  <si>
    <t>WOS:A1997YF82300018</t>
  </si>
  <si>
    <t>Bosse, C; Rosen, G; Colvin, M; Earley, P; Santore, R; Rivera-Duarte, I</t>
  </si>
  <si>
    <t>Bosse, Casey; Rosen, Gunther; Colvin, Marienne; Earley, Patrick; Santore, Robert; Rivera-Duarte, Ignacio</t>
  </si>
  <si>
    <t>Copper bioavailability and toxicity to Mytilus galloprovincialis in Shelter Island Yacht Basin, San Diego, CA</t>
  </si>
  <si>
    <t>Copper bioavailability; Mytilus sp.; Biotic Ligand Model; Copper complexation; Water effect ratio</t>
  </si>
  <si>
    <t>ION-SELECTIVE ELECTRODE; BIOTIC LIGAND MODEL; BIOEQUIVALENCE; COMPLEXATION; CALIFORNIA; BIVALVE; WATERS; METALS; MEDIA; TESTS</t>
  </si>
  <si>
    <t>The bioavailability and toxicity of copper (Cu) in Shelter Island Yacht Basin (SIYB), San Diego, CA, USA, was assessed with simultaneous toxicological, chemical, and modeling approaches. Toxicological measurements included laboratory toxicity testing with Mytilus galloprovincialis (Mediterranean mussel) embryos added to both site water (ambient) and site water spiked with multiple Cu concentrations. Chemical assessment of ambient samples included total and dissolved Cu concentrations, and Cu complexation capacity measurements. Modeling was based on chemical speciation and predictions of bioavailability and toxicity using a marine Biotic Ligand Model (BLM). Cumulatively, these methods assessed the natural buffering capacity of Cu in SIYB during singular wet and dry season sampling events. Overall, the three approaches suggested negligible bioavailability, and isolated observed or predicted toxicity, despite an observed gradient of increasing Cu concentration, both horizontally and vertically within the water body, exceeding current water quality criteria for saltwater. Published by Elsevier Ltd.</t>
  </si>
  <si>
    <t>[Bosse, Casey] Univ San Diego, San Diego, CA 92110 USA; [Rosen, Gunther; Colvin, Marienne; Earley, Patrick; Rivera-Duarte, Ignacio] Space &amp; Naval Warfare SPAWAR Syst Ctr Pacific, San Diego, CA 92152 USA; [Santore, Robert] HDR HydroQual, Syracuse, NY 13212 USA</t>
  </si>
  <si>
    <t>University of San Diego; Naval Information Warfare Center Pacific</t>
  </si>
  <si>
    <t>Rivera-Duarte, I (corresponding author), Space &amp; Naval Warfare SPAWAR Syst Ctr Pacific, 53475 Strothe Rd, San Diego, CA 92152 USA.</t>
  </si>
  <si>
    <t>gunther.rosen@navy.mil; ignacio.rivera@navy.mil</t>
  </si>
  <si>
    <t>Bosse, Casey/0000-0002-4077-2473; Colvin, Marienne/0000-0002-0699-9965</t>
  </si>
  <si>
    <t>Naval Sea Systems Command (NAVSEA)</t>
  </si>
  <si>
    <t>The authors gratefully acknowledge Naval Sea Systems Command (NAVSEA) for funding this effort. We also thank Drs. Ronald Kaufmann and Bethany O'Shea of the University of San Diego for guidance and technical support, and Brandon Swope for assistance in sample collection and ICP-MS support.</t>
  </si>
  <si>
    <t>10.1016/j.marpolbul.2014.05.045</t>
  </si>
  <si>
    <t>http://dx.doi.org/10.1016/j.marpolbul.2014.05.045</t>
  </si>
  <si>
    <t>AO6NH</t>
  </si>
  <si>
    <t>WOS:000341468300037</t>
  </si>
  <si>
    <t>KRAAK, MHS; SCHOLTEN, MCT; PEETERS, WHM; DEKOCK, WC</t>
  </si>
  <si>
    <t>BIOMONITORING OF HEAVY-METALS IN THE WESTERN-EUROPEAN RIVERS RHINE AND MEUSE USING THE FRESH-WATER MUSSEL DREISSENA-POLYMORPHA</t>
  </si>
  <si>
    <t>MYTILUS-EDULIS; TRACE-METAL; BIOCHEMICAL-COMPOSITION; SEASONAL-CHANGES; POLLUTION; INDICATOR; WEIGHT; GAMETOGENESIS; CADMIUM; MARINE</t>
  </si>
  <si>
    <t>Since 1976, active and passive biological monitoring programs using the freshwater mussel Dreissena polymorpha have been carried out to study trends in the bioavailability of heavy metals in the rivers Rhine and Meuse. The Cd concentration in mussels exposed in the river Rhine has decreased from 74 mg kg-1 in 1976 to 1.5 mg kg-1 in 1988. In the river Meuse, however, the Cd concentration in Dreissena polymorpha has increased from 6 mg/kg-1 to 22 mg kg-1. Cu concentrations in mussels have not changed. Comparison of heavy metal concentrations in mussels from Lake Heerhugowaard, Lake Markermeer, Lake Maarsseveen and the rive Dieze demonstrated that background concentrations for Cu, Zn, Cd and Pb in Dreissena polymorpha are about 12, 110, 1 and 0.5 mg kg-1, respectively. Mussels from these four locations showed seasonal variation in heavy metal concentrations. This may be caused by both changes in the bioavailability of the metals and by the annual growth and reproductive cycle of the mussels. Therefore, one should take care that animals are collected at the same location and in the same season in long-term active biological monitoring programs.</t>
  </si>
  <si>
    <t>MT TNO, DEPT BIOL, APPL MARINE RES LAB, 1780 AB DEN HELDER, NETHERLANDS</t>
  </si>
  <si>
    <t>Netherlands Organization Applied Science Research</t>
  </si>
  <si>
    <t>UNIV AMSTERDAM, DEPT AQUAT ECOL, 1098 SM AMSTERDAM, NETHERLANDS.</t>
  </si>
  <si>
    <t>10.1016/0269-7491(91)90107-8</t>
  </si>
  <si>
    <t>http://dx.doi.org/10.1016/0269-7491(91)90107-8</t>
  </si>
  <si>
    <t>GH011</t>
  </si>
  <si>
    <t>WOS:A1991GH01100002</t>
  </si>
  <si>
    <t>Fabbri, E; Capuzzo, A</t>
  </si>
  <si>
    <t>Adenylyl cyclase activity and its modulation in the gills of Mytilus galloprovincialis exposed to Cr6+ and Cu2+</t>
  </si>
  <si>
    <t>Mytilus galloprovincialis; gills; adenylyl cyclase; 5-HT; cAMP; chromium; copper</t>
  </si>
  <si>
    <t>HEAVY-METALS; CYCLIC-AMP; IN-VITRO; GLUCOSE-RELEASE; DIGESTIVE GLAND; ZEBRA MUSSEL; PROTEIN; MANTLE; CAMP; 5-HYDROXYTRYPTAMINE</t>
  </si>
  <si>
    <t>The adenylyl cyclase (AC)/cAMP system regulates a large number of physiological functions in bivalve mussels, although its basal properties and the potential effects of environmental pollutants are scarcely studied. We characterized some properties of AC and measured both the enzyme activity and the cAMP levels in the gills of the filter-feeding sea mussel Mytilus galloprovincialis. Basal AC activity was 5.6 +/- 0.8 pmol cAMP 10 min(-1) mg protein(-1) and showed a K-m, value of 0.82 +/- 0.06 mM for ATP in the presence of 5 mM Mg2+. It was stimulated up to 2.5- and 3.5-fold by 5-HT and GTP gamma S, respectively. Similarly to what was found in other bivalves, forskolin is a poor activator that reached significant stimulation only at 100 mu M. Both basal and 5-HT-stimulated AC activity were significantly increased in the gills of mussels exposed for 7 days in aquaria to Cr6+ (10 ng/l) and CU2+ (5 mu g/l). The cAMP content of the gill under these conditions was also si,significantly higher than in control animals. In vitro exposure of gill membrane preparations to Cr6+ and CU2+, induced a bimodal effect. Cu2+ significantly stimulated AC activity at nanomolar concentrations, but a strong inhibition was displayed in the micromolar range. A similar bell-shaped curve was obtained in the presence of Cr6+ with maximal AC stimulation at 10(-8) M and inhibition at 10(-5) M. Overall, these data suggest that the mussel AC/cAMP system can be affected with different patterns by heavy metals. AC activity is strongly affected by acute exposure to heavy metals in vitro, probably through a direct interaction of the pollutants with the enzyme molecule, while AC activity and cAMP content increase in organisms exposed for 7 days in vivo, probably as a defense response to acclimate the physiological functions to the environmental challenge. (c) 2005 Elsevier B.V. All rights reserved.</t>
  </si>
  <si>
    <t>Univ Ferrara, Dept Biol, Sect Gen Physiol, I-44100 Ferrara, Italy; Univ Bologna, Interdept Ctr Res Environm Sci, CIRSA, I-48100 Ravenna, Italy</t>
  </si>
  <si>
    <t>University of Ferrara; University of Bologna</t>
  </si>
  <si>
    <t>Univ Ferrara, Dept Biol, Sect Gen Physiol, Via Borsari 46, I-44100 Ferrara, Italy.</t>
  </si>
  <si>
    <t>cpzntn@unife.it</t>
  </si>
  <si>
    <t>FABBRI, Elena/0000-0002-9957-8202</t>
  </si>
  <si>
    <t>JAN 5</t>
  </si>
  <si>
    <t>10.1016/j.aquatox.2005.09.007</t>
  </si>
  <si>
    <t>http://dx.doi.org/10.1016/j.aquatox.2005.09.007</t>
  </si>
  <si>
    <t>002OP</t>
  </si>
  <si>
    <t>WOS:000234621100006</t>
  </si>
  <si>
    <t>Geret, F; Serafim, A; Barreira, L; Bebianno, MJ</t>
  </si>
  <si>
    <t>Response of antioxidant systems to copper in the gills of the clam Ruditapes decussatus</t>
  </si>
  <si>
    <t>antioxidant enzymes; superoxide dismutase; catalase; glutathion peroxidase; metallothionein; lipid peroxidation; clam; copper</t>
  </si>
  <si>
    <t>LIPID-PEROXIDATION; DIGESTIVE GLAND; ENZYMES; GLUTATHIONE; TISSUES; METALS</t>
  </si>
  <si>
    <t>Copper (Cu) is an essential element for biological systems, however, when present in excess, is toxic. Metallothioneins can play an important role in Cu homeostasis and detoxification. Moreover, Cu can catalyse the production of toxic hydroxyl radicals that cause lipid peroxidation but defence systems in the cells can limit the oxidative damage. The present study was performed to investigate the effect of three Cu concentrations (0.5, 2.5 and 25 mug l(-1)) on the response of antioxidant enzyme activities (superoxide dismutase (SOD), catalase (CAT), selenium-dependent glutathion peroxidase and total glutathion peroxidase), total proteins, metallothioneins (MT), malondialdehyde (MDA) concentrations in the gills of the clam, Ruditapes decussatus. The activity of antioxidant enzymes and total proteins, MT and MDA concentrations were measured in the gills of the clams after 1, 3, 7, 14, 21 and 28 days of Cu exposure. Results indicate that Cu only induces an imbalance in the oxygen metabolism during the first week of Cu exposure due to a decrease in mitochondrial SOD and CAT, selenium-dependent and total glutathion peroxidase activities. Cu also causes lipid peroxidation, measured by the MDA formation, that was Cu dependent. In the gills of clams exposed to 25 mug Cu/l, the excess of Cu triggers the induction of MT synthesis after 3 days. of exposure. (C) 2002 Elsevier Science Ltd. All rights reserved.</t>
  </si>
  <si>
    <t>Univ Algarve, Fac Marine &amp; Environm Sci, CIMA, P-8000 Faro, Portugal</t>
  </si>
  <si>
    <t>Bebianno, MJ (corresponding author), Univ Algarve, Fac Marine &amp; Environm Sci, CIMA, Campus Gambelas, P-8000 Faro, Portugal.</t>
  </si>
  <si>
    <t>Bebianno, Maria/L-3761-2014; Barreira, Luisa/M-4164-2013</t>
  </si>
  <si>
    <t>Bebianno, Maria/0000-0003-1492-8566; Barreira, Luisa/0000-0002-4077-855X; Serafim, Angela/0000-0002-1165-0645</t>
  </si>
  <si>
    <t>PII S0141-1136(02)00164-2</t>
  </si>
  <si>
    <t>10.1016/S0141-1136(02)00164-2</t>
  </si>
  <si>
    <t>http://dx.doi.org/10.1016/S0141-1136(02)00164-2</t>
  </si>
  <si>
    <t>WOS:000178360100038</t>
  </si>
  <si>
    <t>Do toxicity and accumulation of copper change during size reduction in the marine pennate diatom Haslea ostrearia?</t>
  </si>
  <si>
    <t>GREEN-ALGA; HEAVY-METALS; PHYTOPLANKTON; ZINC; PHOTOSYNTHESIS; TOLERANCE; SEAWATER; CHLOROPHYCEAE; ADSORPTION; MICROALGAE</t>
  </si>
  <si>
    <t>One of the best-known features of diatom biology is the reduction in mean cell size during vegetative multiplication by binary fission. We examined changes in copper toxicity and copper accumulation during cell-size reduction in Haslea ostrearia (Simonsen), a pennate diatom responsible for greening in oyster-ponds. We selected three strains with apical axes of different lengths: 40 mu m (S40), 65 mu m (S65) and 85 mu m (S85). Each strain was grown separately in batch culture and exposed to a range of copper overloads (0 to 1.57 mu M) that were added to the culture immediately after cell inoculation. Significant differences in sensitivity to copper were observed among the three strains. S85 exhibited highest sensitivity, followed by S40, while S65 displayed the highest tolerance. After 5 to 6 d exposure to 0.47 mu M copper, chlorophyll a, carbohydrate, protein and lipid content per g dry weight had not changed in any of the three strains studied, except for a decrease of 16% in chlorophyll a in S85. At the end of the growth period with 0.47 mu M copper, the amount of metal per unit surface area was similar for all strains, but the quantity of intracellular copper per g dry weight was lower in S65 cells than in S40 and S85 cells. Notable differences in the kinetics of both adsorbed and intracellular copper were observed between S40 and S85. Our results suggest that tolerance mechanisms may change during the vegetative life of H. ostrearia. The differential sensitivities of the strains suggest that copper pollution may alter the cell composition of natural populations of H. ostrearia by inducing selection for smaller cell size. Since auxosporulation results in the formation of larger cells with a higher sensitivity to copper, H. ostrearia could gradually disappear from copper-contaminated environments. In addition, by inducing smaller cell size, copper contamination would have an impact on filter-feeders such as oysters, whose diet is largely composed of diatoms.</t>
  </si>
  <si>
    <t>Fac Pharm Nantes, ISOMer, Serv Ecotoxicol, F-44035 Nantes 01, France; ICES, F-85000 La Roche Sur Yon, France; Univ Nantes, ISOMer, Biol Marine Lab, F-44072 Nantes 03, France</t>
  </si>
  <si>
    <t>Joux-Arab, L (corresponding author), Fac Pharm Nantes, ISOMer, Serv Ecotoxicol, 1 Rue Gaston Veil, F-44035 Nantes 01, France.</t>
  </si>
  <si>
    <t>10.1007/s002270050690</t>
  </si>
  <si>
    <t>http://dx.doi.org/10.1007/s002270050690</t>
  </si>
  <si>
    <t>303ZK</t>
  </si>
  <si>
    <t>WOS:000086457900015</t>
  </si>
  <si>
    <t>Faubel, D; Lopes-Lima, M; Freitas, S; Pereira, L; Andrade, J; Checa, A; Frank, H; Matsuda, T; Machado, J</t>
  </si>
  <si>
    <t>Faubel, D.; Lopes-Lima, M.; Freitas, S.; Pereira, L.; Andrade, J.; Checa, A.; Frank, H.; Matsuda, T.; Machado, J.</t>
  </si>
  <si>
    <t>Effects of Cd2+ on the calcium metabolism and shell mineralization of bivalve Anodonta cygnea</t>
  </si>
  <si>
    <t>freshwater mussels; calcium metabolism; cadmium; Anodonta cygnea; osmoregulation; biomineralization; cadmium pollution</t>
  </si>
  <si>
    <t>NA+-CA2+ EXCHANGER; URINE FORMATION; CADMIUM UPTAKE; METALLOTHIONEIN; WATER; ULTRAFILTRATION; ABSORPTION; LIGANDS; SEA0400; METALS</t>
  </si>
  <si>
    <t>The survival of freshwater mussels is affected by cadmium ions because they accumulate in tissues and fluids and displace calcium ions in transport and regulation mechanisms. A preliminary study of the freshwater bivalve Anodonta cygnea under enriched Ca(2+) (2 mM) water for different periods (3, 4, and 18 days), showed significant increase in calcium levels (p&lt;0.05) in the ventricular fluid with concentration proportional to time of exposure. Groups of A. cygnea were then exposed to different treatments for 4 days: Group 1 to Ca(2+) (2 mM) enriched water as a control; Group 2 to a sub-lethal concentration (10(-6) M) of Cd(2+); Group 3 to an injection of vitamin D (1340 IU mL(-1)); Group 4 to an injection of SEA0400 (950 g mL(-1)), a sodium/calcium exchanger (NCX) inhibitor. Fluid samples from different compartments of the animals were analyzed for Ca(2+) and Cd(2+) composition as well as for other ions relevant to the osmoregulation (Na(+), Mg(2+), K(+), and Cl(-)) and their osmolarity. The treatment groups had significantly higher calcium concentrations in their ventricular fluid (p&lt;0.05) under Cd(2+) and vitamin D, also in pericardium fluid under Cd(2+), vitamin D, and SEA0400. We infer a specific transport mechanism from the intestinal to the ventricular fluid that may be induced by vitamin D. A general internal acidosis by Cd(2+), releasing calcium from the calcareous concretions and a specific inhibition of calcium resorption, by the SEA0400, from the pericardium towards the ventricle is discussed. Cd(2+) incubation significantly augmented (p&lt;0.05) the cadmium contents of all experimental fluids and tissues. Scanning electron microscope (SEM) imaging of the border regions of the shell showed clear ultrastructural changes in respone to Cd(2+) incubation, suggesting a direct influence of this ion on the shell biomineralization mechanisms.</t>
  </si>
  <si>
    <t>[Lopes-Lima, M.; Freitas, S.; Pereira, L.; Machado, J.] Univ Porto, Ctr Interdisciplinar Invest Marinha &amp; Ambiental, P-4100 Oporto, Portugal; [Faubel, D.; Frank, H.] Univ Bayreuth, Dept Environm Chem &amp; Ecotoxicol, Bayreuth, Germany; [Lopes-Lima, M.; Andrade, J.; Machado, J.] Univ Porto, Inst Ciencias Biomed Abel Salazar, P-4100 Oporto, Portugal; [Checa, A.] Univ Granada, Dept Estratigrafia &amp; Palentol, Granada, Espana, Spain; [Matsuda, T.] Osaka Univ, Grad Sch Pharmaceut Sci, Lab Med Pharmacol, Osaka, Japan</t>
  </si>
  <si>
    <t>Universidade do Porto; University of Bayreuth; Universidade do Porto; University of Granada; Osaka University</t>
  </si>
  <si>
    <t>Machado, J (corresponding author), Univ Porto, Ctr Interdisciplinar Invest Marinha &amp; Ambiental, Rua Campo Alegre 823, P-4100 Oporto, Portugal.</t>
  </si>
  <si>
    <t>Frank, Hartmut/D-1460-2013; Checa, Antonio/A-6157-2008; Lopes-Lima, Manuel/N-1222-2014</t>
  </si>
  <si>
    <t>Checa, Antonio/0000-0001-7873-7545; Machado, Jorge/0000-0003-4570-5445; Lopes-Lima, Manuel/0000-0002-2761-7962</t>
  </si>
  <si>
    <t>10.1080/10236240802194123</t>
  </si>
  <si>
    <t>http://dx.doi.org/10.1080/10236240802194123</t>
  </si>
  <si>
    <t>317JF</t>
  </si>
  <si>
    <t>WOS:000257015300002</t>
  </si>
  <si>
    <t>Campillo-Cora, C; Soto-Gómez, D; Arias-Estévez, M; Fernández-Calviño, D</t>
  </si>
  <si>
    <t>Campillo-Cora, Claudia; Soto-Gomez, Diego; Arias-Estevez, Manuel; Fernandez-Calvino, David</t>
  </si>
  <si>
    <t>Assessment of Polluted Soil Remediation Using Bacterial Community Tolerance to Heavy Metals as an Indicator</t>
  </si>
  <si>
    <t>AGRONOMY-BASEL</t>
  </si>
  <si>
    <t>metal pollution; soil bioremediation; risk assessment; bacterial growth; Pollution-Induced Community Tolerance (PICT); bio-sorbents; soil washing</t>
  </si>
  <si>
    <t>IN-SITU REMEDIATION; MICROBIAL BIOMASS; PINE BARK; LEUCINE INCORPORATION; ENZYME-ACTIVITIES; CONTAMINATED SOILS; VINEYARD SOILS; CU; COPPER; EDTA</t>
  </si>
  <si>
    <t>The assessment of remediation on metal-polluted soils is usually focused on total and/or bioavailable metal content. However, these chemical variables do not provide direct information about reductions in heavy metals pressure on soil microorganisms. We propose the use of bacterial communities to evaluate the efficiency of three remediation techniques: crushed mussel shell (CMS) and pine bark (PB) as soil amendments and EDTA-washing. A soil sample was polluted with different doses of Cu, Ni, and Zn (separately). After 30 days of incubation, the remediation techniques were applied, and bacterial community tolerance to heavy metals determined. If bacterial communities develop tolerance, it is an indicator that the metal is exerting toxicity on them. Soil bacterial communities developed tolerance to Cu, Ni, and Zn in response to metal additions. After remediation, bacterial communities showed decreases in bacterial community tolerance to Cu, Ni, and Zn for all remediation techniques. For Cu and Ni, soil EDTA-washing showed the greatest reduction of bacterial community tolerance to Cu and Ni, respectively, while for Zn the soil amendment with PB was the most effective remediation technique. Thus, bacterial community tolerance to heavy metals successfully detect differences in the effectiveness of the three remediation techniques.</t>
  </si>
  <si>
    <t>[Campillo-Cora, Claudia; Arias-Estevez, Manuel; Fernandez-Calvino, David] Univ Vigo, Fac Ciencias, Dept Biol Vexetal &amp; Ciencia Solo, As Lagoas S-N, Orense 32004, Spain; [Soto-Gomez, Diego] Tech Univ Cartagena, Dept Agr Engn, Paseo Alfonso XIII 48, Cartagena 30203, Spain; [Soto-Gomez, Diego] Lund Univ, Dept Biol, Microbial Ecol MEMEG, Ecol Bldg, SE-22362 Lund, Sweden</t>
  </si>
  <si>
    <t>Universidade de Vigo; Universidad Politecnica de Cartagena; Lund University</t>
  </si>
  <si>
    <t>Campillo-Cora, C (corresponding author), Univ Vigo, Fac Ciencias, Dept Biol Vexetal &amp; Ciencia Solo, As Lagoas S-N, Orense 32004, Spain.</t>
  </si>
  <si>
    <t>ccampillo@uvigo.es</t>
  </si>
  <si>
    <t>Soto Gómez, Diego/JFK-1351-2023; Fernandez-Calvino, David/C-5756-2015; Arias-Estevez, Manuel/M-8629-2016</t>
  </si>
  <si>
    <t>Fernandez-Calvino, David/0000-0003-0864-7039; Arias-Estevez, Manuel/0000-0002-9162-1587; Soto Gomez, Diego/0000-0001-7439-1356; Campillo-Cora, Claudia/0000-0001-8239-3896</t>
  </si>
  <si>
    <t>Spanish Ministry of Economy and Competitiveness [CTM2015-73422-JIN]; Spanish Ministry of Economy, Industry and Competitiveness [RYC-2016-20411]; European Union-Next Generation EU; Seneca Foundation [21525/EE/21]; Conselleria de Educacion, Universidade e Formacion Profesional [ED401A-2020/084]</t>
  </si>
  <si>
    <t>Spanish Ministry of Economy and Competitiveness(Spanish Government); Spanish Ministry of Economy, Industry and Competitiveness(Spanish Government); European Union-Next Generation EU; Seneca Foundation(Fundacion Seneca); Conselleria de Educacion, Universidade e Formacion Profesional</t>
  </si>
  <si>
    <t>This study has been funded by the Spanish Ministry of Economy and Competitiveness through the project CTM2015-73422-JIN (FEDER Funds) David Fernandez Calvino holds a Ramon y Cajal contract (RYC-2016-20411) financed by the Spanish Ministry of Economy, Industry and Competitiveness. Diego Soto-Gomez has a post-doctoral contract Margarita Salas funded by European Union-NextGenerationEU, and a Seneca Foundation grant for research stays in international centres (21525/EE/21). Claudia Campillo-Cora holds a predoctoral fellowship with Xunta de Galicia (ED401A-2020/084) funded by Conselleria de Educacion, Universidade e Formacion Profesional.</t>
  </si>
  <si>
    <t>2073-4395</t>
  </si>
  <si>
    <t>Agronomy-Basel</t>
  </si>
  <si>
    <t>10.3390/agronomy12102280</t>
  </si>
  <si>
    <t>http://dx.doi.org/10.3390/agronomy12102280</t>
  </si>
  <si>
    <t>Agronomy; Plant Sciences</t>
  </si>
  <si>
    <t>Agriculture; Plant Sciences</t>
  </si>
  <si>
    <t>5N9SG</t>
  </si>
  <si>
    <t>WOS:000872125100001</t>
  </si>
  <si>
    <t>Jung, K; Stelzenmüller, V; Zauke, GP</t>
  </si>
  <si>
    <t>Jung, Kristine; Stelzenmueller, Vanessa; Zauke, Gerd-Peter</t>
  </si>
  <si>
    <t>Spatial distribution of heavy metal concentrations and biomass indices in Cerastoderma edule Linnaeus (1758) from the German Wadden Sea:: An integrated biomonitoring approach</t>
  </si>
  <si>
    <t>JOURNAL OF EXPERIMENTAL MARINE BIOLOGY AND ECOLOGY</t>
  </si>
  <si>
    <t>biomonitoring; Cerastoderma edule; geostatistic; heavy metals; spatial analysis</t>
  </si>
  <si>
    <t>TRACE-METALS; BENTHIC INVERTEBRATES; TEMPORAL VARIATION; BLACK SPOTS; BIOACCUMULATION; BIVALVES; PATTERNS; SCALE; ESTUARINE; DYNAMICS</t>
  </si>
  <si>
    <t>The spatial distribution of heavy metal concentrations (Cu, Pb, Cd, Ni and Zn) and biomass indices (total, soft-body and standardised soft-body weight, TW, SBW and SSBW) in the cockle Cerastoderma edule from the German Wadden Sea has been investigated at an intermediate ecological scale of 300 x 300 m to evaluate the range of spatial autocorrelations for the different variables under study and to assess the extent to which biological properties of the organisms may be related to the spatial distribution of metal concentrations in C. edule from the sampling area. Semivariogram models obtained by geostatistical procedures indicate a distinct increase in variability for most variables with sampling distance: exceptions are Cd, Pb and Ni, for which a pure nugget-effect model is found. Only if samples are taken at distances above the estimated values for the practical range of the semivariogram, can stochastic independence of the data be assumed. These distances are 30 m for Cu, 122 rn for Zn, 132 m for SBW, 156 m for SSBW and 170 m for TW. The contour plots of the mapped spatial distribution show a clear coincidence of increasing values for TW, SBW and SSBW with increasing relative height above sea level (RH) from shoreline to the sea (viz. from south to north). The spatial distribution of SSBW indicates the cumulation of larger-sized cockles in the northern part of the sampling area, while Cu concentrations in cockles decreased with increasing distance from shoreline. This spatial correlation is supported by results of Mantel's test, taking the relative distance among sample locations into account. In future studies such an approach might be useful when addressing the problem of trophic transfer of energy or pollutants from food (e.g. cockles) to higher trophic levels like fish and seabirds. (c) 2006 Elsevier B.V. All rights reserved.</t>
  </si>
  <si>
    <t>Carl von Ossietzky Univ Oldenburg, Inst Chem &amp; Biol Meeres, D-26111 Oldenburg, Germany</t>
  </si>
  <si>
    <t>Carl von Ossietzky Universitat Oldenburg</t>
  </si>
  <si>
    <t>Zauke, GP (corresponding author), Carl von Ossietzky Univ Oldenburg, Inst Chem &amp; Biol Meeres, Postfach 2503, D-26111 Oldenburg, Germany.</t>
  </si>
  <si>
    <t>gerd.p.zauke@uni-oldenburg.de</t>
  </si>
  <si>
    <t>Stelzenmuller, Vanessa/0000-0002-6419-8357</t>
  </si>
  <si>
    <t>0022-0981</t>
  </si>
  <si>
    <t>1879-1697</t>
  </si>
  <si>
    <t>J EXP MAR BIOL ECOL</t>
  </si>
  <si>
    <t>J. Exp. Mar. Biol. Ecol.</t>
  </si>
  <si>
    <t>OCT 24</t>
  </si>
  <si>
    <t>10.1016/j.jembe.2006.06.036</t>
  </si>
  <si>
    <t>http://dx.doi.org/10.1016/j.jembe.2006.06.036</t>
  </si>
  <si>
    <t>091GX</t>
  </si>
  <si>
    <t>WOS:000241016200008</t>
  </si>
  <si>
    <t>Ivanina, AV; Kurochkin, IO; Leamy, L; Sokolova, IM</t>
  </si>
  <si>
    <t>Ivanina, Anna V.; Kurochkin, Ilya O.; Leamy, Larry; Sokolova, Inna M.</t>
  </si>
  <si>
    <t>Effects of temperature and cadmium exposure on the mitochondria of oysters (Crassostrea virginica) exposed to hypoxia and subsequent reoxygenation</t>
  </si>
  <si>
    <t>hypoxia; metal pollution; mitochondria; mollusc; proton leak; temperature</t>
  </si>
  <si>
    <t>POTATO-TUBER MITOCHONDRIA; SKELETAL-MUSCLE MITOCHONDRIA; DOWN ELASTICITY ANALYSIS; GASTROPOD LITTORINA-LITTOREA; OXYGEN SPECIES PRODUCTION; FRESH-WATER EXPOSURE; WHITE SEA LITTORINA; OXIDATIVE-PHOSPHORYLATION; GMELIN BIVALVIA; EASTERN OYSTERS</t>
  </si>
  <si>
    <t>Intertidal bivalves are commonly exposed to multiple stressors including periodic hypoxia, temperature fluctuations and pollution, which can strongly affect energy metabolism. We used top-down control and elasticity analyses to determine the interactive effects of intermittent hypoxia, cadmium (Cd) exposure and acute temperature stress on mitochondria of the eastern oyster Crassostrea virginica. Oysters were acclimated at 20 degrees C for 30 days in the absence or presence of 50 mu g l(-1) Cd and then subjected to a long-term hypoxia (6 days at &lt;0.5% O-2 in seawater) followed by normoxic recovery. Mitochondrial function was assessed at the acclimation temperature (20 degrees C), or at elevated temperature (30 degrees C) mimicking acute temperature stress in the intertidal zone. In the absence of Cd or temperature stress, mitochondria of oysters showed high resilience to transient hypoxia. In control oysters at 20 degrees C, hypoxia/reoxygenation induced elevated flux capacity of all three studied mitochondrial subsystems (substrate oxidation, phosphorylation and proton leak) and resulted in a mild depolarization of resting mitochondria. Elevated proton conductance and enhanced capacity of phosphorylation and substrate oxidation subsystems may confer resistance to hypoxia/reoxygenation stress in oyster mitochondria by alleviating production of reactive oxygen species and maintaining high aerobic capacity and ATP synthesis rates during recovery. Exposure to environmental stressors such as Cd and elevated temperatures abolished the putative adaptive responses of the substrate oxidation and phosphorylation subsystems, and strongly enhanced proton leak in mitochondria of oysters subjected to hypoxia/reoxygenation stress. Our findings suggest that Cd exposure and acute temperature stress may lead to the loss of mitochondrial resistance to hypoxia and reoxygenation and thus potentially affect the ability of oysters to survive periodic oxygen deprivation in coastal and estuarine habitats.</t>
  </si>
  <si>
    <t>[Ivanina, Anna V.; Kurochkin, Ilya O.; Leamy, Larry; Sokolova, Inna M.] Univ N Carolina, Dept Biol, Charlotte, NC 28223 USA</t>
  </si>
  <si>
    <t>National Science Foundation [IOS-0921367]; UNC Charlotte Faculty Research Grant</t>
  </si>
  <si>
    <t>National Science Foundation(National Science Foundation (NSF)); UNC Charlotte Faculty Research Grant</t>
  </si>
  <si>
    <t>This work was supported by funds provided by the National Science Foundation award IOS-0921367 and UNC Charlotte Faculty Research Grant to I.M.S.</t>
  </si>
  <si>
    <t>10.1242/jeb.071357</t>
  </si>
  <si>
    <t>http://dx.doi.org/10.1242/jeb.071357</t>
  </si>
  <si>
    <t>995VH</t>
  </si>
  <si>
    <t>WOS:000308041400007</t>
  </si>
  <si>
    <t>Ons, B; Abdelhafidh, K; Zeineb, H; Amine, M; Samir, T</t>
  </si>
  <si>
    <t>Ons, Bacha; Abdelhafidh, Khazri; Zeineb, Hammami; Amine, Mezni; Samir, Touaylia</t>
  </si>
  <si>
    <t>Biochemical and behavioral effects of zinc oxide nanorods on the freshwater mussel Potomida littoralis</t>
  </si>
  <si>
    <t>INTERNATIONAL JOURNAL OF ENVIRONMENTAL HEALTH RESEARCH</t>
  </si>
  <si>
    <t>Bivalve; ZnO naorods; Biomarkers; Oxidative status; Filtration rate</t>
  </si>
  <si>
    <t>OXIDATIVE STRESS; RUDITAPES-DECUSSATUS; DIGESTIVE GLAND; TIO2 NPS; NANOPARTICLES; GLUTATHIONE; RESPONSES; TOXICITY; CLAM; BIOMARKERS</t>
  </si>
  <si>
    <t>Our study aimed to investigate the impact of nano-zinc oxide (nZnO), a widely used pollutant in industry, pharmaceuticals, and personal care products, on the behavior and oxidative stress of freshwater mussels (Potomida littoralis) an indicator species and also a model non-target organism in ecotoxicology. To this end mussels were exposed to nZnO (50 and 100 mu g/L) and Zn2+ from ZnSO4 (50 and 100 mu g/L) for 7 days. ZnSO4 was used for comparison purposes and to determine if the toxicity of nZnO was due to the release of ions into the aquatic environment. We evaluated changes in oxidative stress markers, including catalase (CAT), glutathione-S-transferase (GST), acetylcholinesterase (AChE), and malondialdehyde (MDA) levels, on the mussel gills and digestive glands. Additionally, the effect of nZnO on the filtration rate of bivalves was studied. The findings showed that the mussel tissue's different parameters were significantly affected by exposure to various concentrations of nZnO, causing changes in their behavior that led to a decrease in filtration rate. Additionally, noteworthy increments were observed in CAT activity, AChE activity, and MDA levels, whereas GST activity displayed a decreasing trend, implying that oxidative stress contributes to the toxicity of nZnO. The purpose of this review is to present a framework for comprehending the toxicological impacts of nanoparticles from an environmental standpoint. Additionally, it includes novel information about the connections between nanoparticles (NPs) and bivalve species.</t>
  </si>
  <si>
    <t>[Ons, Bacha; Abdelhafidh, Khazri; Samir, Touaylia] Univ Carthage, Fac Sci Bizerte, Lab Biosurveillance Environm LBE, Zarzouna, Bizerte, Tunisia; [Zeineb, Hammami] Univ Carthage, Lab Composes Heteroorgan &amp; Mat Nanostruct, Zarzouna, Bizerte, Tunisia; [Amine, Mezni] Taif Univ, Coll Sci, Dept Chem, Taif, Saudi Arabia; [Abdelhafidh, Khazri] Univ Carthage, Fac Sci Bizerte, Lab Biosurveillance Environm LBE, Zarzouna 7021, Bizerte, Tunisia</t>
  </si>
  <si>
    <t>Universite de Carthage; Universite de Carthage; Taif University; Universite de Carthage</t>
  </si>
  <si>
    <t>Abdelhafidh, K (corresponding author), Univ Carthage, Fac Sci Bizerte, Lab Biosurveillance Environm LBE, Zarzouna 7021, Bizerte, Tunisia.</t>
  </si>
  <si>
    <t>khazri27@gmail.com</t>
  </si>
  <si>
    <t>Faculty of Sciences of Bizerte, University of Carthage Tunisia and Taif University Researchers Supporting Project [TURSP-2020/28]; Taif University, Taif, Saudi Arabia</t>
  </si>
  <si>
    <t>Faculty of Sciences of Bizerte, University of Carthage Tunisia and Taif University Researchers Supporting Project; Taif University, Taif, Saudi Arabia</t>
  </si>
  <si>
    <t>The conducted study was funded through grants from the the Faculty of Sciences of Bizerte, University of Carthage Tunisia and Taif University Researchers Supporting Project number (TURSP-2020/28), Taif University, Taif, Saudi Arabia.</t>
  </si>
  <si>
    <t>0960-3123</t>
  </si>
  <si>
    <t>1369-1619</t>
  </si>
  <si>
    <t>INT J ENVIRON HEAL R</t>
  </si>
  <si>
    <t>Int. J. Environ. Health Res.</t>
  </si>
  <si>
    <t>10.1080/09603123.2023.2210073</t>
  </si>
  <si>
    <t>http://dx.doi.org/10.1080/09603123.2023.2210073</t>
  </si>
  <si>
    <t>KA9G0</t>
  </si>
  <si>
    <t>WOS:000982888400001</t>
  </si>
  <si>
    <t>Taylor, DL; Calabrese, NM</t>
  </si>
  <si>
    <t>Taylor, David L.; Calabrese, Nicholas M.</t>
  </si>
  <si>
    <t>Mercury content of blue crabs (Callinectes sapidus) from southern New England coastal habitats: Contamination in an emergent fishery and risks to human consumers</t>
  </si>
  <si>
    <t>Mercury; Accumulation; Blue crab; Callinectes sapidus; Prey; Sediment; Consumption advisory</t>
  </si>
  <si>
    <t>LONG-ISLAND SOUND; CHESAPEAKE BAY; POPULATION-DYNAMICS; AQUATIC ECOSYSTEMS; BENTHIC ORGANISMS; ESTUARINE SYSTEM; UCA-PUGILATOR; FIDDLER-CRAB; HUMAN HEALTH; SEDIMENTS</t>
  </si>
  <si>
    <t>Total mercury (Hg; ppm dry weight) was measured in blue crabs, Callinectes sapidus, collected from Narraganset Bay and adjacent coastal lagoons and tidal rivers (Rhode Island/Massachusetts, USA) from May to August 2006-2016. For juvenile crabs (21-79 mm carapace width, CW), total Hg was significantly greater in chelae muscle tissue (mean +/- 1 SD = 0.32 +/- 0.21 ppm; n = 65) relative to whole bodies (0.21 +/- 0.16 ppm; n = 19), and irrespective of tissue-type, crab Hg was positively related to CW indicating bioaccumulation of the toxicant. Across a broader range of crab sizes (43-185 mm CW; n = 465), muscle Hg concentrations were significantly higher in crabs from the Taunton River relative to other locations (0.71 +/- 0.35 ppm and 0.20 +/- 0.10 ppm, respectively). Spatial variations in crab Hg dynamics were attributed to habitat-specific Hg burdens of their prey, including bivalves, gastropods, polychaetes, and shrimp. Prey Hg, in turn, was directly related to localized sediment Hg and methylmercury conditions. Biota-sediment accumulation factors for crabs and prey were negatively correlated with sediment organic content, verifying that organically-enriched substrates reduce Hg bioavailability. From a human health perspective, frequent consumption of crabs from the Taunton River may pose a human health risk (23% of legal-size crabs exceeded US EPA threshold level); thus justifying spatially-explicit Hg advisories for this species.</t>
  </si>
  <si>
    <t>[Taylor, David L.; Calabrese, Nicholas M.] Roger Williams Univ, Dept Marine Biol, One Old Petty Rd, Bristol, RI 02809 USA</t>
  </si>
  <si>
    <t>Taylor, DL (corresponding author), Roger Williams Univ, Dept Marine Biol, One Old Petty Rd, Bristol, RI 02809 USA.</t>
  </si>
  <si>
    <t>dtaylor@rwu.edu</t>
  </si>
  <si>
    <t>Rhode Island (RI) National Science Foundation Experimental Program to Stimulate Competitive Research Award [EPS-1004057]; RI Science &amp; Technology Advisory Council Research Alliance Collaborative Grant Award [5000125]; RWU Foundation Fund Based Research Grant; National Center for Research Resources [P20RR016457]; Office of Integrative Activities; Office Of The Director [1004057] Funding Source: National Science Foundation</t>
  </si>
  <si>
    <t>Rhode Island (RI) National Science Foundation Experimental Program to Stimulate Competitive Research Award; RI Science &amp; Technology Advisory Council Research Alliance Collaborative Grant Award; RWU Foundation Fund Based Research Grant; National Center for Research Resources(United States Department of Health &amp; Human ServicesNational Institutes of Health (NIH) - USANIH National Center for Research Resources (NCRR)); Office of Integrative Activities; Office Of The Director(National Science Foundation (NSF)NSF - Office of the Director (OD)NSF - Office of Integrative Activities (OIA))</t>
  </si>
  <si>
    <t>We are grateful to J. McNamee, J. Lake, and N. Ares (Rhode Island Department of Environmental Management, Jamestown, RI) and numerous undergraduate research assistants (Roger Williams University, Bristol, RI) for their efforts in field sampling and tissue preparations. The project described herein was supported in part by the Rhode Island (RI) National Science Foundation Experimental Program to Stimulate Competitive Research Award #EPS-1004057, the RI Science &amp; Technology Advisory Council Research Alliance Collaborative Grant Award 5000125, the RWU Foundation Fund Based Research Grant, and by Award P20RR016457 from the National Center for Research Resources. The content is solely the responsibility of the authors and does not necessarily represent the official views of the National Center for Research Resources or the National Institutes of Health.</t>
  </si>
  <si>
    <t>10.1016/j.marpolbul.2017.10.089</t>
  </si>
  <si>
    <t>http://dx.doi.org/10.1016/j.marpolbul.2017.10.089</t>
  </si>
  <si>
    <t>Bronze, Green Accepted</t>
  </si>
  <si>
    <t>WOS:000425569400020</t>
  </si>
  <si>
    <t>García-Navarro, JA; Vera-Sánchez, MA; Romero, D</t>
  </si>
  <si>
    <t>Garcia-Navarro, Jose A.; Vera-Sanchez, Miguel A.; Romero, Diego</t>
  </si>
  <si>
    <t>Concentration and distribution of macrominerals in tissues of Mediterranean mussel Mytilus galloprovincialis exposed to Cd and Cd-mixtures</t>
  </si>
  <si>
    <t>REVISTA DE BIOLOGIA MARINA Y OCEANOGRAFIA</t>
  </si>
  <si>
    <t>Accumulation; distribution; heavy metals; macrominerals; mussels</t>
  </si>
  <si>
    <t>BIOTIC LIGAND MODEL; HEAVY-METALS; CRASSOSTREA-VIRGINICA; ESSENTIAL ELEMENTS; CARCINUS-MAENAS; CADMIUM UPTAKE; PERNA-VIRIDIS; MARINE MUSSEL; TRACE-METALS; TOXICITY</t>
  </si>
  <si>
    <t>Marine ecosystems are under great pressure due to heavy metals pollution, and mussels remain an important knowledge source in this regard. In this study, Mediterranean mussels (Mytilus galloprovincialis) were exposed for 7 days to Cd and three Cdmacrominerals) that are usually not taken into consideration in field studies on in bioassays were evaluated. Regarding concentration, the element which differed the most with respect to the control group was K, while Mg was the only one which showed no significant statistical difference with the control group. The group exposed to ternary mixture was the one in which there were more alterations in concentration and distribution of these macrominerals with respect to control, whereas in the group exposed to single Cd no significant differences in the concentration of these inorganic elements were found. The concentration and distribution of macrominerals in the compartments studied (digestive gland, gill and remaining soft tissues) is susceptible to the presence of Cd and heavy metal Cd-mixtures, with percentages of changes until 28.7%. Study results suggest that macrominerals composition in mussel tissues could be useful in studies of heavy metal contamination in marine ecosystems.</t>
  </si>
  <si>
    <t>[Garcia-Navarro, Jose A.; Vera-Sanchez, Miguel A.; Romero, Diego] Univ Murcia, Fac Vet, Area Toxicol, Campus Reg Excelencia Int, Campus Mare Nostrum, E-30071 Murcia, Spain</t>
  </si>
  <si>
    <t>Romero, D (corresponding author), Univ Murcia, Fac Vet, Area Toxicol, Campus Reg Excelencia Int, Campus Mare Nostrum, E-30071 Murcia, Spain.</t>
  </si>
  <si>
    <t>Romero, Diego/0000-0002-9666-0382</t>
  </si>
  <si>
    <t>UNIV VALPARAISO</t>
  </si>
  <si>
    <t>VINA DEL MAR</t>
  </si>
  <si>
    <t>FACULTAD CIENCIAS MAR RECURSOS NATURALES, CASILLA 5080 - RENACA, VINA DEL MAR, 00000, CHILE</t>
  </si>
  <si>
    <t>0717-3326</t>
  </si>
  <si>
    <t>0718-1957</t>
  </si>
  <si>
    <t>REV BIOL MAR OCEANOG</t>
  </si>
  <si>
    <t>Rev. Biol. Mar. Oceanogr.</t>
  </si>
  <si>
    <t>10.22370/rbmo.2021.56.2.3060</t>
  </si>
  <si>
    <t>http://dx.doi.org/10.22370/rbmo.2021.56.2.3060</t>
  </si>
  <si>
    <t>YG3NC</t>
  </si>
  <si>
    <t>WOS:000742398200008</t>
  </si>
  <si>
    <t>Waterborne cadmium impacts immunocytotoxic and cytogenotoxic endpoints in green-lipped mussel, Perna canaliculus</t>
  </si>
  <si>
    <t>Genotoxic; Immune system; Haemocytes; Gill; Micronucleus test; Comet assay</t>
  </si>
  <si>
    <t>MYTILUS-EDULIS; DNA-REPAIR; MARINE MUSSEL; HEAVY-METALS; INDUCED IMMUNOMODULATION; CRASSOSTREA-VIRGINICA; CONTAMINATED SITES; MICRONUCLEUS ASSAY; GILL CELLS; HEMOCYTES</t>
  </si>
  <si>
    <t>Mussels are sentinel species that can be used to monitor coastal metal pollution through the application of biomarkers. Among the several important metal toxicants in coastal settings, cadmium (Cd) is of particular concern, being a non-essential metal that is known to cause harmful impacts in aquatic organisms at low concentrations. The aim of the present study was to examine the immunocytotoxic and cytogenotoxic effects of Cd on the green-lipped mussel, Perna canaliculus, under laboratory conditions. The acute (96 h; 0, 2000 and 4000 mu g Cd L-1) and subchronic (28 d; 0, 200 and 2000 mu g Cd L-1) toxic effects of waterborne Cd were measured in haemocytes and gill cells using differential haemocyte cell count, the micronucleus test and the comet assay. During subchronic exposure to Cd the relative counts of eosinophils and hyalinocytes increased significantly in Cd-exposed mussels while the proportion of basophils decreased. All of these effects were time- and concentration-dependent. Conversely, the relative numbers of basophils and eosinophils increased significantly during acute Cd exposure. Nuclear aberrations such as the formation of micronuclei, nuclear buds, fragmented-apoptotic cells and binuclei were observed in gill cells of Cd-exposed mussels. All of these parameters increased significantly at 2000 mu g Cd L-1 during subchronic exposure to Cd, and all showed a strong and significant correlation to gill Cd accumulation. Comet assay results demonstrated a significant increase in DNA damage in the haemocytes of mussels exposed to subchronic Cd concentrations. The results indicate that Cd has the capacity to induce immune system and genotoxic damage in green-lipped mussels, an impact that may have implications such as reduced disease resistance and compromised survival. These data also suggest that immunocytotoxic and cytogenotoxic biomarkers would be a valuable addition to environmental monitoring programmes using green-lipped mussels. (C) 2013 Elsevier B.V. All rights reserved.</t>
  </si>
  <si>
    <t>Brian Mason Scientific and Technical Trust; University of Canterbury Doctoral Scholarship</t>
  </si>
  <si>
    <t>Graeme Bull, Manfred Ingerfeld, Jan McKenzie, Gavin Robinson, Rennie Bishop and Rob Stainthorpe are thanked for technical assistance. We are grateful to Maggie Tisch and Linda Morris for providing access to equipment. We acknowledge the Brian Mason Scientific and Technical Trust for funding this study. RC is supported by a University of Canterbury Doctoral Scholarship.</t>
  </si>
  <si>
    <t>10.1016/j.aquatox.2013.09.002</t>
  </si>
  <si>
    <t>http://dx.doi.org/10.1016/j.aquatox.2013.09.002</t>
  </si>
  <si>
    <t>267JM</t>
  </si>
  <si>
    <t>WOS:000328093900029</t>
  </si>
  <si>
    <t>MO, C; NEILSON, B</t>
  </si>
  <si>
    <t>WEIGHT AND SALINITY EFFECTS ON ZINC UPTAKE AND ACCUMULATION FOR THE AMERICAN OYSTER (CRASSOSTREA-VIRGINICA GMELIN)</t>
  </si>
  <si>
    <t>MYTILUS-EDULIS L; BODY SIZE; FILTRATION-RATE; BIVALVES; COPPER; SHELLFISH; MOLLUSKS; METALS</t>
  </si>
  <si>
    <t>The power relationships of short-term net uptake and Of in-situ body burden with body weight were examined. The accumulation of soft tissue zinc in the American oyster (Crassostrea virginica) was related to time integration of uptake. Short term uptake of Zn-65 was measured in the laboratory. It was (i) a function of the (dry soft-tissue) weight of the oyster, (ii) inversely related to the salinity of the ambient water, and (iii) increased linearly with ambient concentrations. When in-situ soft-tissue zinc body burdens of oysters from the James River and the Rappahannock River were fit to power functions of body weights (y = aW(b)), the values of b for all sites were larger by 1 than the powers for Zn-65 uptake when b was adjusted for the oyster-bed salinities. The soft-tissue zinc concentration (y/W) of an oyster increased continuously, but the rate of the increase was reduced as the oyster grows larger. Both short-term uptake and in-situ body burden varied with salinity. The soft-tissue zinc concentrations of hooked mussels (Ischadium recurvum) from the Rappahannock River oyster beds, contrary to the oysters, appeared to be in equilibrium with ambient concentrations.</t>
  </si>
  <si>
    <t>COLL WILLIAM &amp; MARY,SCH MARINE SCI,VIRGINIA INST MARINE SCI,GLOUCESTER POINT,VA 23062</t>
  </si>
  <si>
    <t>William &amp; Mary; Virginia Institute of Marine Science</t>
  </si>
  <si>
    <t>10.1016/0269-7491(93)90116-6</t>
  </si>
  <si>
    <t>http://dx.doi.org/10.1016/0269-7491(93)90116-6</t>
  </si>
  <si>
    <t>LV929</t>
  </si>
  <si>
    <t>WOS:A1993LV92900008</t>
  </si>
  <si>
    <t>Emili, A; Acquavita, A; Covelli, S; Spada, L; Di Leo, A; Giandomenico, S; Cardellicchio, N</t>
  </si>
  <si>
    <t>Emili, Andrea; Acquavita, Alessandro; Covelli, Stefano; Spada, Lucia; Di Leo, Antonella; Giandomenico, Santina; Cardellicchio, Nicola</t>
  </si>
  <si>
    <t>Mobility of heavy metals from polluted sediments of a semi-enclosed basin: in situ benthic chamber experiments in Taranto's Mar Piccolo (Ionian Sea, Southern Italy)</t>
  </si>
  <si>
    <t>Heavy metals; Sediments; Porewater; Benthic fluxes; Speciation</t>
  </si>
  <si>
    <t>SURFACE SEDIMENTS; MERCURY SPECIATION; MONOMETHYL MERCURY; WATER EXCHANGE; ORGANIC-MATTER; TRACE-METALS; THAU LAGOON; BAY; COPPER; RIVER</t>
  </si>
  <si>
    <t>In situ benthic flux experiments were conducted at two stations in the Mar Piccolo of Taranto (Italy), one of the most industrialised and contaminated coastal areas of the Mediterranean. Sediments of the two stations are notably different in their trace metal content, with a station closer to a Navy harbour showing higher mean concentrations of almost all investigated metals (Al, As, Cd, Cr, Cu, Fe, Hg, Mn, Ni, Pb, V and Zn). Conversely, both stations are characterised by significant Hg contamination, compared to the local baseline. Results of a sequential extraction scheme on surface sediments suggest a relatively scarce mobility of the examined metals (Zn &gt; Ni &gt; Cr &gt; As &gt; Cu &gt; Pb). A Hg-specific extraction procedure showed that most of the element (93.1 %) occurs in a fraction comprising Hg bound to Fe/Mn oxi-hydroxides. Reduction of these oxides may affect Hg remobilisation and redistribution. Porewater profiles of dissolved trace metals were quite similar in the two sites, although significant differences could be observed for Al, Cu, Fe and Hg. The highest diffusive fluxes were observed for As, Fe and Mn. Mobility rates of several trace elements (Al, As, Cd, Cr, Cu, Fe, Hg, Mn, Ni, Pb, V and Zn) were directly measured at the sediment-water interface. Results from benthic in situ incubation experiments showed increasing dissolved metal concentrations with time, resulting in higher fluxes for Cu, Fe, Hg, V and Zn in the most contaminated site. Conversely, fluxes of Mn, Ni and Pb were comparable between the two stations. The estimated flux of Hg (97 mu g m(-2) day(-1)) was the highest observed among similar experiments conducted in other highly contaminated Mediterranean coastal environments. Benthic fluxes could be partially explained by considering rates of organic matter remineralisation, dissolution of Fe/Mn oxy-hydroxides and metal speciation in sediments. Seasonal and spatial variation of biogeochemical parameters can influence metal remobilisation in the Mar Piccolo area. In particular, metals could be promptly remobilised as a consequence of oxygen depletion, posing a serious concern for the widespread fishing and mussel farming activities in the area.</t>
  </si>
  <si>
    <t>[Emili, Andrea; Covelli, Stefano] Univ Trieste, Dept Math, Via Weiss 2, I-34128 Trieste, Italy; [Emili, Andrea; Covelli, Stefano] Univ Trieste, Dept Geosci, Via Weiss 2, I-34128 Trieste, Italy; [Acquavita, Alessandro] Environm Protect Agcy Friuli Venezia Giulia ARPA, I-33057 Palmanova, UD, Italy; [Covelli, Stefano] CoNIS Ma Consorzio Nazl Interuniv Sci Mare, Piazzale Flaminio 9, I-00196 Rome, Italy; [Spada, Lucia; Di Leo, Antonella; Giandomenico, Santina; Cardellicchio, Nicola] CNR, Inst Coastal Marine Environm, I-74123 Taranto, Italy</t>
  </si>
  <si>
    <t>University of Trieste; University of Trieste; Regional Environmental Protection Agency - Italy; Consiglio Nazionale delle Ricerche (CNR)</t>
  </si>
  <si>
    <t>Covelli, S (corresponding author), Univ Trieste, Dept Math, Via Weiss 2, I-34128 Trieste, Italy.;Covelli, S (corresponding author), Univ Trieste, Dept Geosci, Via Weiss 2, I-34128 Trieste, Italy.</t>
  </si>
  <si>
    <t>covelli@units.it</t>
  </si>
  <si>
    <t>Di Leo, Antonella/AAX-9345-2020; giandomenico, santina/AEE-9520-2022; Acquavita, Alessandro/HJA-7574-2022; COVELLI, STEFANO/P-8796-2015</t>
  </si>
  <si>
    <t>COVELLI, STEFANO/0000-0002-0038-6658; ACQUAVITA, Alessandro/0000-0003-3990-3744; GIANDOMENICO, SANTINA/0000-0001-8231-1301</t>
  </si>
  <si>
    <t>Italian Ministry of University and Research (MIUR)</t>
  </si>
  <si>
    <t>Italian Ministry of University and Research (MIUR)(Ministry of Education, Universities and Research (MIUR))</t>
  </si>
  <si>
    <t>The research was carried out in the framework of the RITMARE - la Ricerca ITaliana per il MARE (2012-2016) Flagship Project, financed by the Italian Ministry of University and Research (MIUR). The authors would like to thank Roberto Cattelan of Veritas Chemical Laboratory for trace element analyses in waters.</t>
  </si>
  <si>
    <t>10.1007/s11356-015-5281-1</t>
  </si>
  <si>
    <t>http://dx.doi.org/10.1007/s11356-015-5281-1</t>
  </si>
  <si>
    <t>DP9LI</t>
  </si>
  <si>
    <t>WOS:000378817300008</t>
  </si>
  <si>
    <t>Lettieri, G; Notariale, R; Carusone, N; Giarra, A; Trifuoggi, M; Manna, C; Piscopo, M</t>
  </si>
  <si>
    <t>Lettieri, Gennaro; Notariale, Rosaria; Carusone, Nadia; Giarra, Antonella; Trifuoggi, Marco; Manna, Caterina; Piscopo, Marina</t>
  </si>
  <si>
    <t>New Insights into Alterations in PL Proteins Affecting Their Binding to DNA after Exposure of Mytilus galloprovincialis to Mercury-A Possible Risk to Sperm Chromatin Structure?</t>
  </si>
  <si>
    <t>mussel; HgCl2; spermatozoa; PL proteins; sperm nuclei; fluorescence spectroscopy; turbidity assays; reproduction</t>
  </si>
  <si>
    <t>RUDITAPES-DECUSSATUS; CRASSOSTREA-GIGAS; DISSOLVED MERCURY; METHYLMERCURY; INHIBITION; POLLUTION; TOXICITY; QUALITY; GROWTH; ECOTOXICOLOGY</t>
  </si>
  <si>
    <t>Mercury (Hg) is a highly toxic and widespread pollutant. We previously reported that the exposure of Mytilus galloprovincialis for 24 h to doses of HgCl2 similar to those found in seawater (range 1-100 pM) produced alterations in the properties of protamine-like (PL) proteins that rendered them unable to bind and protect DNA from oxidative damage. In the present work, to deepen our studies, we analyzed PL proteins by turbidimetry and fluorescence spectroscopy and performed salt-induced release analyses of these proteins from sperm nuclei after the exposure of mussels to HgCl2 at the same doses. Turbidity assays indicated that mercury, at these doses, induced PL protein aggregates, whereas fluorescence spectroscopy measurements showed mercury-induced conformational changes. Indeed, the mobility of the PLII band changed in sodium dodecyl sulphate-polyacrylamide gel electrophoresis, particularly after exposure to 10-pM HgCl2, confirming the mercury-induced structural rearrangement. Finally, exposure to HgCl2 at all doses produced alterations in PL-DNA binding, detectable by DNA absorption spectra after the PL protein addition and by a decreased release of PLII and PLIII from the sperm nuclei. In conclusion, in this paper, we reported Hg-induced PL protein alterations that could adversely affect mussel reproductive activity, providing an insight into the molecular mechanism of Hg-related infertility.</t>
  </si>
  <si>
    <t>[Lettieri, Gennaro; Carusone, Nadia; Piscopo, Marina] Univ Naples Federico II, Dept Biol, Via Cinthia 21, I-80126 Naples, Italy; [Notariale, Rosaria; Manna, Caterina] Univ Campania Luigi Vanvitelli, Sch Med, Dept Precis Med, Via Luigi de Crecchio, I-80138 Naples, Italy; [Giarra, Antonella; Trifuoggi, Marco] Univ Naples Federico II, Dept Chem Sci, Via Cinthia 21, I-80126 Naples, Italy</t>
  </si>
  <si>
    <t>gennarole@outlook.com; notarialer@gmail.com; nadia.carusone@libero.it; antonella.giarra@unina.it; marco.trifuoggi@unina.it; caterina.manna@unicampania.it; marina.piscopo@unina.it</t>
  </si>
  <si>
    <t>Giarra, Antonella/0000-0003-1623-164X; Notariale, Rosaria/0000-0002-6048-9480; Lettieri, Gennaro/0000-0002-0141-3320; trifuoggi, marco/0000-0002-6424-8676</t>
  </si>
  <si>
    <t>10.3390/ijms22115893</t>
  </si>
  <si>
    <t>http://dx.doi.org/10.3390/ijms22115893</t>
  </si>
  <si>
    <t>SQ2ZZ</t>
  </si>
  <si>
    <t>WOS:000660226900001</t>
  </si>
  <si>
    <t>Parsons, ECM</t>
  </si>
  <si>
    <t>Trace metal pollution in Hong Kong: Implications for the health of Hong Kong's Indo-Pacific hump-backed dolphins (Sousa chinensis)</t>
  </si>
  <si>
    <t>Indo-Pacific hump-backed dolphins; Hong Kong; trace metal contamination</t>
  </si>
  <si>
    <t>MARINE MAMMALS; HEAVY-METALS; INDICATOR; MUSSELS; TISSUE; LIVERS; WATERS</t>
  </si>
  <si>
    <t>The territorial waters of Hong Kong are highly contaminated with anthropogenic pollutants, including trace metals. Hong Kong's population of Indo-Pacific hump-backed dolphins (Sousa chinensis) inhabits an area where a high volume of sewage waste discharge and the close proximity of contaminated mud pits mean a considerable potential for trace metal contamination. Trace metal concentrations in the muscle tissue of fish caught from areas of high dolphin abundance are notable. However, in order to gauge the amount of trace metal consumed by dolphins, whole fish must be analysed. Whole fish from areas of high dolphin abundance have considerably higher trace metal loads than muscle tissue alone. Considering the consumption of prey items by dolphins, a daily intake of trace metals was estimated as As, 410-518; Cd, 34-44; Co, 4-5; Cr, 40-50; Cu, 44-56; Hg, 51-66; Mo, 22-27; Ni, 19-24; Pb, 320-403; Se, 99-125 and Zn, 388-490 (mu g kg(-1) body wt. per day). Concentrations of arsenic, chromium, lead, molybdenum and nickel in dolphin tissues were an order of magnitude lower than in prey items, suggesting these elements may be excreted by this species. Mercury concentrations in dolphin tissues were, however, an order of magnitude higher than in prey items and could be considered potentially health threatening (mau: 906 mu g kg(-1) dry wt.). Hong Kong's Indo-Pacific hump-backed dolphin population has a high dietary intake of trace metals which may, especially in the case of mercury, be a cause for concern. (C) 1998 Elsevier Science B.V.</t>
  </si>
  <si>
    <t>Swire Inst Marine Sci, Shek O, Hong Kong</t>
  </si>
  <si>
    <t>Parsons, ECM (corresponding author), SEAQUEST, 7 Highfield, Wells BA5 3NX, Somerset, England.</t>
  </si>
  <si>
    <t>Parsons, Edward Christien Michael/C-2409-2011</t>
  </si>
  <si>
    <t>Parsons, Edward Christien Michael/0000-0002-0464-1046</t>
  </si>
  <si>
    <t>JUN 18</t>
  </si>
  <si>
    <t>10.1016/S0048-9697(98)00063-1</t>
  </si>
  <si>
    <t>http://dx.doi.org/10.1016/S0048-9697(98)00063-1</t>
  </si>
  <si>
    <t>ZV201</t>
  </si>
  <si>
    <t>WOS:000074280500015</t>
  </si>
  <si>
    <t>Al-Subiai, SN; Moody, AJ; Mustafa, SA; Jha, AN</t>
  </si>
  <si>
    <t>Al-Subiai, Sherain N.; Moody, A. John; Mustafa, Sanaa A.; Jha, Awadhesh N.</t>
  </si>
  <si>
    <t>A multiple biomarker approach to investigate the effects of copper on the marine bivalve mollusc, Mytilus edulis</t>
  </si>
  <si>
    <t>Copper; Genotoxicity; Total glutathione; Histopathology; Clearance rate; Biomarkers; Bivalve mollusc</t>
  </si>
  <si>
    <t>MUSSEL DREISSENA-POLYMORPHA; CELLULAR IMMUNE-RESPONSES; DOUBLE-STRAND BREAKS; DNA-DAMAGE; GLUTATHIONE METABOLISM; LABORATORY CONDITIONS; METAL ACCUMULATION; CHLORIDE EXPOSURE; PERNA-VIRIDIS; TISSUE-INJURY</t>
  </si>
  <si>
    <t>While copper (Cu) is considered to be an essential trace element for many organisms, overexposure to this metal can induce a wide spectrum of effects including DNA damage. Given that Cu is a highly relevant contaminant in the marine environment, we aimed to evaluate the induction of DNA strand breaks (using the comet assay) in haemocytes and concurrently also determined biological responses at higher levels of biological organisation in bivalve molluscs, Mytilus edulis, following exposure for 5 days to a range of environmentally realistic levels of Cu (18-56 mu g l(-1)). Prior to evaluation of genetic damage, the maximum tolerated concentration (MTC) was also determined, which was found to be (100 mu g l(-1)) above which complete mortality over the exposure period was observed. In addition to DNA damage, levels of glutathione in adductor muscle extracts, histopathological examination of various organs (viz., adductor muscle, gills and digestive glands) and clearance rates as a physiological measure at individual level were also determined. Furthermore, tissue-specific accumulation and levels of Cu in water samples were also determined using ICP-MS. There was a strong concentration-dependant induction for DNA damage and total glutathione levels increased by 1.8-fold at 56 mu g l(-1) Cu. Histological examination of the organs showed qualitatively distinct abnormalities. Clearance rate also showed a significant decrease compared to controls even at the lowest concentration (i.e. 18 mu g l(-1); P=0.003). Cu levels in adductor muscle (P=0.012), digestive gland (P=0.008) and gills (P=0.002) were significantly higher than in the control. The multi-biomarker approach used here suggests that in some cases clear relationships exist between genotoxic and higher level effects, which could be adopted as an integrated tool to evaluate different short and long-term toxic effects of pollutants. (C) 2011 Elsevier Inc. All rights reserved.</t>
  </si>
  <si>
    <t>[Al-Subiai, Sherain N.; Moody, A. John; Mustafa, Sanaa A.; Jha, Awadhesh N.] Univ Plymouth, Ecotoxicol Res &amp; Innovat Ctr, Sch Biomed &amp; Biol Sci, Plymouth PL4 8AA, Devon, England</t>
  </si>
  <si>
    <t>University of Plymouth</t>
  </si>
  <si>
    <t>Jha, AN (corresponding author), Univ Plymouth, Ecotoxicol Res &amp; Innovat Ctr, Sch Biomed &amp; Biol Sci, Plymouth PL4 8AA, Devon, England.</t>
  </si>
  <si>
    <t>a.jha@plymouth.ac.uk</t>
  </si>
  <si>
    <t>Moody, John/E-5699-2012</t>
  </si>
  <si>
    <t>Moody, John/0000-0002-1994-7419; Mustafa, Sanaa/0000-0002-5679-6242; Jha, Awadhesh/0000-0001-9660-4308</t>
  </si>
  <si>
    <t>Kuwait Institute for Scientific Research, State of Kuwait; European Regional Development Fund, INTERREG IVA [4059]</t>
  </si>
  <si>
    <t>Kuwait Institute for Scientific Research, State of Kuwait; European Regional Development Fund, INTERREG IVA(European Union (EU)Interreg Europe)</t>
  </si>
  <si>
    <t>S. Al-Subiai is financially supported by the Kuwait Institute for Scientific Research, State of Kuwait. ANJ would like to acknowledge the support received from European Regional Development Fund, INTERREG IVA (Grant no. 4059). We would like to thank John Bignell, Cefas, Weymouth, UK for helpful discussion and suggestions, for histopathological studies.</t>
  </si>
  <si>
    <t>10.1016/j.ecoenv.2011.07.012</t>
  </si>
  <si>
    <t>http://dx.doi.org/10.1016/j.ecoenv.2011.07.012</t>
  </si>
  <si>
    <t>827OO</t>
  </si>
  <si>
    <t>WOS:000295438000015</t>
  </si>
  <si>
    <t>Krata, AA; Vassileva, E</t>
  </si>
  <si>
    <t>Krata, Agnieszka Anna; Vassileva, Emilia</t>
  </si>
  <si>
    <t>Cold vapour matrix-independent generation and isotope dilution inductively coupled plasma mass spectrometry for reference measurements of Hg in marine environmental samples</t>
  </si>
  <si>
    <t>Mercury; Marine samples; Reference measurement; Cold vapour generation; Isotope dilution mass spectrometry</t>
  </si>
  <si>
    <t>TOTAL MERCURY; VALIDATION; WATER; CADMIUM; LEAD; QUANTIFICATION; SYSTEM</t>
  </si>
  <si>
    <t>The analytical procedure for reference measurements of Hg in marine environmental samples based on cold vapour generation (CVG) inductively coupled plasma quadrupole mass spectrometry (ICP-QMS) and isotope dilution calibration strategy (ID) is described in the present study. The procedure was applied on different matrices and varying mass fractions for mercury in oyster, marine sediment and costal seawater samples. The use of CVG for sample introduction resulted in sensitivity enhancement, reduction of blank levels, minimization of matrix interferences and the elimination of memory effects. The entire measurement process was described by mathematical equations, and all factors influencing the final results were systematically investigated. The expanded uncertainty on results was estimated following the ISO/Guide to the Expression of Uncertainty in Measurement guidelines, and all major contributions were identified. Modelling of the entire measurement process and the use of primary method of measurements ID ICP-MS related obtained values for total mercury in different types of marine matrices to the international system of units SI. Obtained results for mercury mass fractions in biota and marine sediments were used as the International Atomic Energy Agency's contribution in the certification campaigns for marine reference materials and were in excellent agreement with the assigned reference values.</t>
  </si>
  <si>
    <t>[Krata, Agnieszka Anna; Vassileva, Emilia] IAEA, Environm Labs, 4 Quai Antoine 1er, MC-98000 Monaco, Principality Of, Monaco; [Krata, Agnieszka Anna] Univ Warsaw, Biol &amp; Chem Res Ctr, Fac Chem, Zwirki &amp; Wigury 101, PL-02089 Warsaw, Poland</t>
  </si>
  <si>
    <t>University of Warsaw</t>
  </si>
  <si>
    <t>Vassileva, E (corresponding author), IAEA, Environm Labs, 4 Quai Antoine 1er, MC-98000 Monaco, Principality Of, Monaco.</t>
  </si>
  <si>
    <t>Vassileva, Emilia/AAF-6775-2019</t>
  </si>
  <si>
    <t>Vassileva, Emilia/0000-0002-7835-5640; Krata, Agnieszka/0000-0001-9824-3219</t>
  </si>
  <si>
    <t>International Atomic Energy Agency Peaceful Uses Initiative (IAEA PUI)</t>
  </si>
  <si>
    <t>The proposed development was done in the frame of the International Atomic Energy Agency Peaceful Uses Initiative (IAEA PUI) funded project Seafood safety: Developing tools for improved monitoring and assessment of regulated and emerging contaminants and biotoxins.</t>
  </si>
  <si>
    <t>10.1007/s11356-019-05423-4</t>
  </si>
  <si>
    <t>http://dx.doi.org/10.1007/s11356-019-05423-4</t>
  </si>
  <si>
    <t>IS5RV</t>
  </si>
  <si>
    <t>WOS:000482211100082</t>
  </si>
  <si>
    <t>Chakraborty, P; Jayachandran, S; Lekshmy, J; Padalkar, P; Sitlhou, L; Chennuri, K; Shetye, S; Sardar, A; Khandeparker, R</t>
  </si>
  <si>
    <t>Chakraborty, Parthasarathi; Jayachandran, Saranya; Lekshmy, Jyothi; Padalkar, Prasad; Sitlhou, Lamjahao; Chennuri, Kartheek; Shetye, Suhas; Sardar, Areef; Khandeparker, Rakhee</t>
  </si>
  <si>
    <t>Seawater intrusion and resuspension of surface sediment control mercury (Hg) distribution and its bioavailability in water column of a monsoonal estuarine system</t>
  </si>
  <si>
    <t>Tropical estuarine system; Oyster; Mercury pollution; Resuspension, particulate bound mercury; Mandovi estuary</t>
  </si>
  <si>
    <t>DISSOLVED ORGANIC-CARBON; CENTRAL WEST-COAST; MOLECULAR-WEIGHT; MANDOVI ESTUARY; ZUARI ESTUARIES; SPECIATION; MATTER; FISH; WAVELENGTH; ABSORBENCY</t>
  </si>
  <si>
    <t>There is limited knowledge regarding seawater intrusion on Hg distribution in monsoon fed tropical estuarine systems during dry season (February to May). This study examined the influence of resuspension of estuarine sediment and intrusion of Hg bound SPM (Hg-SPM) (by the tide) from the outside of an estuary in controlling distribution, mobility, and bioavailability of Hg within the estuarine systems during the dry season. This investigation was carried out in the Mandovi estuary, a monsoon fed tropical estuary from the central west coast of India. Total Hg concentrations in the water column showed an increasing trend from upstream to downstream of the estuary. The concentration of Hg in the water column of the estuary was much below the concentration recommended by the EPA for aquatic life ambient water quality. Dissolved Hg (Hg-Dissolved) was found to associate mainly with the higher molecular weight fraction of dissolved organic matter (DOM). A significant portion of the total Hg in the water columnwas present as Hg-SPM. The average bio-accumulated Hg concentration in edible oyster was high (collected from the estuary) during the dry season compared to the wet season (June to September). This study reveals that resuspension of Hg associated finer sediment particles and intrusion of Hg-SPM from the outside of the estuarymay increase bioavailability of Hg in the Mandovi estuarine systems during the dry season. It is suggested that Hg bioaccumulation in commercially important biological species from different tropical estuarine system may increase during the dry season. The outcome of this research can be useful for policy making and to take proper decision to reduce and control Hg/toxic metals pollution (if any) in tropical estuarine system. (C) 2019 Elsevier B.V. All rights reserved.</t>
  </si>
  <si>
    <t>[Chakraborty, Parthasarathi] Indian Inst Technol Kharagpur, Ctr Oceans Rivers Atmosphere &amp; Land Sci, Kharagpur 721302, W Bengal, India; [Chakraborty, Parthasarathi; Jayachandran, Saranya; Lekshmy, Jyothi; Padalkar, Prasad; Sitlhou, Lamjahao; Chennuri, Kartheek; Sardar, Areef] CSIR Natl Inst Oceanog, Geol Oceanog Div, Panaji 403004, Goa, India; [Shetye, Suhas] CSIR Natl Inst Oceanog, Chem Oceanog Div, Panaji 403004, Goa, India; [Khandeparker, Rakhee] CSIR Natl Inst Oceanog, Biol Oceanog Div, Panaji 403004, Goa, India</t>
  </si>
  <si>
    <t>Indian Institute of Technology System (IIT System); Indian Institute of Technology (IIT) - Kharagpur; Council of Scientific &amp; Industrial Research (CSIR) - India; CSIR - National Institute of Oceanography (NIO); Council of Scientific &amp; Industrial Research (CSIR) - India; CSIR - National Institute of Oceanography (NIO); Council of Scientific &amp; Industrial Research (CSIR) - India; CSIR - National Institute of Oceanography (NIO)</t>
  </si>
  <si>
    <t>Chakraborty, P (corresponding author), Indian Inst Technol Kharagpur, Ctr Oceans Rivers Atmosphere &amp; Land Sci, Kharagpur 721302, W Bengal, India.</t>
  </si>
  <si>
    <t>pchak@coral.iitkgp.ac.in</t>
  </si>
  <si>
    <t>Khandeparker, Rakhee/AAL-1010-2020; chennuri, kartheek/AAA-9963-2021</t>
  </si>
  <si>
    <t>Chennuri, Kartheek/0000-0001-9372-4961</t>
  </si>
  <si>
    <t>Council of Scientific and Industrial Research (CSIR)-NIO [OLP1712]</t>
  </si>
  <si>
    <t>Council of Scientific and Industrial Research (CSIR)-NIO</t>
  </si>
  <si>
    <t>Authors are thankful to the Director, NIO, Goa, for his encouragement and support. Authors also thank Dr. M. Kocherlar, (for proving the LPSA facility) and Dr. D. Sundar (for providing CTD facility) for their help and support. The authors are very grateful to Prof. Mae Gustin for her appropriate and constructive suggestions and proposed corrections to improve the paper. This work is a part of the Council of Scientific and Industrial Research (CSIR)-NIO supported OLP1712 project. This article bears NIO contribution number 6338.</t>
  </si>
  <si>
    <t>APR 10</t>
  </si>
  <si>
    <t>10.1016/j.scitotenv.2018.12.477</t>
  </si>
  <si>
    <t>http://dx.doi.org/10.1016/j.scitotenv.2018.12.477</t>
  </si>
  <si>
    <t>HK2FV</t>
  </si>
  <si>
    <t>WOS:000457725700139</t>
  </si>
  <si>
    <t>Yap, CK; Ismail, A; Tan, SG</t>
  </si>
  <si>
    <t>Can the byssus of green-lipped mussel Perna viridis (Linnaeus) from the west coast of Peninsular Malaysia be a biomonitoring organ for Cd, Pb and Zn?: Field and laboratory studies</t>
  </si>
  <si>
    <t>byssus; biomonitoring organ; Perna viridis; heavy metals; west coast of Peninsular Malaysia</t>
  </si>
  <si>
    <t>MYTILUS-GALLOPROVINCIALIS LAM; TRACE-METALS; SOFT-TISSUE; KYUSHU-ISLAND; EAST-COAST; HONG-KONG; ACCUMULATION; ASSOCIATION; ELEMENTS; EDULIS</t>
  </si>
  <si>
    <t>Concentrations of cadmium (Cd), lead (Pb) and zinc (Zn) in total soft tissues (ST) and byssus (BYS) of the green-lipped mussel Perna viridis from I I different geographical locations off the west coast of Peninsular Malaysia were determined. The metal concentrations distributed between the BYS and ST were compared. The results of this study indicated that higher levels of Cd (1.31 mug/g), Pb (38.49 mug/g) and Zn (206.52 mug/g) were accumulated in the BYS than in the total ST (Cd: 0.29 mug/g; Pb: 8.27 mug/g; Zn: 102.6 mug/g). Semi-static and short period controlled laboratory experiments were also conducted for the accumulation and depuration of Cd, Pb and Zn in the total ST and BYS of P viridis. The ratios (BYS/ST) for Pb and Cd from the laboratory experiments showed that the total ST accumulated more metals than the BYS. Therefore, these laboratory results disagreed with those found for the field samples. However, the laboratory results for the Zn ratio (BYS/ST) agreed with those of the field samples. It was evident that when compared to the ST, the BYS was a more sensitive biomonitoring organ for Zn while it could be a complementary organ for Cd and Pb in the total ST. Since total ST of P. viridis had been reported to have regulative mechanism for Zn, its BYS can be used as a biomonitoring organ for the identification of coastal areas exposed to Zn pollution. (C) 2003 Elsevier Science Ltd. All rights reserved.</t>
  </si>
  <si>
    <t>Univ Putra Malaysia, Fac Sci &amp; Environm Studies, Dept Biol, Serdang 43400, Malaysia</t>
  </si>
  <si>
    <t>Univ Putra Malaysia, Fac Sci &amp; Environm Studies, Dept Biol, Serdang 43400, Malaysia.</t>
  </si>
  <si>
    <t>yapckong@hotmail.com; aismail@fsas.upm.edu.my</t>
  </si>
  <si>
    <t>Tan, Soon/V-1782-2019; Yap, Chee Kong/N-1318-2015; Tan, S/B-2448-2010</t>
  </si>
  <si>
    <t>Yap, Chee Kong/0000-0003-0317-0999; Ismail, Ahmad/0000-0002-7669-5641; Tan, S/0000-0001-9960-4493</t>
  </si>
  <si>
    <t>10.1016/S0160-4120(03)00008-4</t>
  </si>
  <si>
    <t>http://dx.doi.org/10.1016/S0160-4120(03)00008-4</t>
  </si>
  <si>
    <t>674JK</t>
  </si>
  <si>
    <t>WOS:000182633500012</t>
  </si>
  <si>
    <t>Koutsogiannaki, S; Franzellitti, S; Fabbri, E; Kaloyianni, M</t>
  </si>
  <si>
    <t>Koutsogiannaki, Sophia; Franzellitti, Silvia; Fabbri, Elena; Kaloyianni, Martha</t>
  </si>
  <si>
    <t>Oxidative stress parameters induced by exposure to either cadmium or 17β-estradiol on Mytilus galloprovincialis hemocytes. The role of signaling molecules</t>
  </si>
  <si>
    <t>Mytilus galloprovincialis; ROS production; DNA damage; Protein carbonylation; mRNA expression; Biomarkers</t>
  </si>
  <si>
    <t>PROTEIN-KINASE-C; FRESH-WATER BIVALVE; NA+/H+ EXCHANGER; ESTROGEN ACTION; ENDOCRINE DISRUPTION; IMMUNE-RESPONSES; DIGESTIVE GLAND; GILL CELLS; MUSSEL; MECHANISMS</t>
  </si>
  <si>
    <t>The aim of the present study was to determine and compare the possible effects of exposure to an estrogen, 17 beta-estradiol and to a metal, cadmium on oxidative parameters of Mytilus galloprovincialis hemocytes and to elucidate the signaling pathways that probably mediate the studied effects exerted by these two chemicals. In addition, it was of interest to investigate if the studied parameters could constitute biomarkers for aquatic pollution monitoring. Our results suggest that micromolar concentrations of either cadmium or 17 beta-estradiol affected the redox status of mussels by modulating oxidative parameters and antioxidant enzymes gene expression in mussel M. galloprovincialis hemocytes. In particular, our results showed that treatment of hemocytes with either 5 mu M of cadmium chloride or with 25 nM of 17 beta-estradiol for 30 min caused significant increased ROS production; this led to oxidative damage exemplified by significant increased DNA damage, protein carbonylation and lipid peroxidation, as well as increased mRNA levels of the antioxidant enzymes catalase (CAT), superoxide dismoutase (SOD) and glutathione S-transferase (GST). Furthermore, our results suggest that either cadmium or 17 beta-estradiol signal is mediated either through one of the already known pathways initiated by photatidyl-inositol 3-kinase (PI3 K) and reaching Na+/H+ exchanger (NHE) probably through protein kinase C (PKC) or a kinase-mediated signaling pathway that involves in most of the cases NHE, PKC, Ca2+-dependent PKC isoforms, PI3-K, NADPH oxidase, nitric oxide (NO) synthase, c-Jun N-terminal kinase (JNK) and cyclic adenosine-3'-5'-monophosphate (cAMP). Our results also attribute a protective role to cAMP, since pre-elevated intracellular cAMP levels inhibited the signal induced by each exposure. Finally, since aquatic invertebrates have been the most widely used monitoring organisms for pollution impact evaluation in marine environments and taking under consideration the positive correlation obtained between the studied parameters, we can suggest the simultaneous use of these oxidative stress parameters offering an effective early warning system in biomonitoring of aquatic environments. (C) 2013 Elsevier B.V. All rights reserved.</t>
  </si>
  <si>
    <t>[Koutsogiannaki, Sophia; Kaloyianni, Martha] Aristotle Univ Thessaloniki, Fac Sci, Sch Biol, Lab Anim Physiol,Zool Dept, Thessaloniki 54124, Greece; [Franzellitti, Silvia; Fabbri, Elena] Univ Bologna, Interdept Ctr Environm Sci Res, I-48123 Ravenna, Italy; [Franzellitti, Silvia; Fabbri, Elena] Univ Bologna, Dept Biol Geol &amp; Environm Sci, I-40100 Bologna, Italy</t>
  </si>
  <si>
    <t>Aristotle University of Thessaloniki; University of Bologna; University of Bologna</t>
  </si>
  <si>
    <t>Kaloyianni, M (corresponding author), Aristotle Univ Thessaloniki, Fac Sci, Sch Biol, Lab Anim Physiol,Zool Dept, Thessaloniki 54124, Greece.</t>
  </si>
  <si>
    <t>kaloyian@bio.auth.gr</t>
  </si>
  <si>
    <t>FABBRI, Elena/0000-0002-9957-8202; Franzellitti, Silvia/0000-0001-6104-7812; Koutsogiannaki, Sophia/0000-0003-3555-1681</t>
  </si>
  <si>
    <t>European Union (European Social Fund - ESF); Greek national funds through the Operational Program Education and Lifelong Learning of the National Strategic Reference Framework (NSRF); Research Funding Program: Heracleitus II. Investing in knowledge society through the European Social Fund</t>
  </si>
  <si>
    <t>European Union (European Social Fund - ESF)(European Union (EU)European Social Fund (ESF)); Greek national funds through the Operational Program Education and Lifelong Learning of the National Strategic Reference Framework (NSRF); Research Funding Program: Heracleitus II. Investing in knowledge society through the European Social Fund</t>
  </si>
  <si>
    <t>This research has been co-financed by the European Union (European Social Fund - ESF) and Greek national funds through the Operational Program Education and Lifelong Learning of the National Strategic Reference Framework (NSRF) - Research Funding Program: Heracleitus II. Investing in knowledge society through the European Social Fund.</t>
  </si>
  <si>
    <t>10.1016/j.aquatox.2013.11.005</t>
  </si>
  <si>
    <t>http://dx.doi.org/10.1016/j.aquatox.2013.11.005</t>
  </si>
  <si>
    <t>WOS:000331421100021</t>
  </si>
  <si>
    <t>Pougnet, F; Gil-Díaz, T; Blanc, G; Coynel, A; Bossy, C; Schäfer, J</t>
  </si>
  <si>
    <t>Pougnet, Frederique; Gil-Diaz, Teba; Blanc, Gerard; Coynel, Alexandra; Bossy, Cecile; Schafer, Jorg</t>
  </si>
  <si>
    <t>Historical mass balance of cadmium decontamination trends in a major European continent-ocean transition system: Case study of the Gironde Estuary</t>
  </si>
  <si>
    <t>Continent-ocean interface; Suspended particulate matter; Monitoring; Cadmium fluxes; Remediation</t>
  </si>
  <si>
    <t>MARENNES-OLERON BAY; SUSPENDED SEDIMENT TRANSPORT; GARONNE RIVER; MACROTIDAL ESTUARY; SEASONAL-VARIATIONS; TURBIDITY MAXIMUM; FLUVIAL SYSTEM; TRACE-METAL; FRANCE; CONTAMINATION</t>
  </si>
  <si>
    <t>Despite the effective remediation efforts following the end of the metallurgic activity thirty years ago upstream the Lot River watershed, the levels of cadmium (Cd) accumulated in wild oysters from the downstream Gironde Estuary still exceed nowadays the admissible human consumption limit (5 mg/kg, d.w.). The main goal of this work is to quantify the role of sediments as long-term intra-estuarine sources or sinks of Cd and the transport of this contaminant towards the estuary mouth taking as case study the example of the highly turbid Gironde Estuary. The original estimation for the annual net fluxes of the suspended particulate matter (F-netSPM(year ) ) and particulate Cd (F-netCd(pyear) ) presented in this work between 1990 and 2020 indicates that 80% of the Cd discharged into the ocean is in dissolved form (Cd-d). The values of F(net)(Cdp)( yea)r vary proportionally to those of F-netSPM(year) and ranged between 0.1 and 1.4 t/y, with a ten-year average decreasing from 0.8 to 0.6 t/y for the past 30 years. The differences between ten-year total (Cdp + Cdd) gross and net fluxes show that Cd has effectively been stored in estuarine sediments. This Cd storage was of about 43, 22 and 13 t for the 1990s, 2000s and 2010s, respectively. However, during years of low gross fluxes, estuarine sediments act as additional, secondary sources of bioavailable/dissolved Cd into the water column, potentially relating to the continued observations of high Cd concentrations in wild oysters at the estuary mouth. In addition to the natural solubility of Cd-p along the salinity and turbidity gradients of the estuary, natural and anthropogenic remobilization of bottom sediment particles further contribute to its mobilization from the particle phase, along with other numerous inorganic/organic pollutants. The mass balances presented in this work could support a new sediment management policy potentially more beneficial to the estuarine ecosystem.</t>
  </si>
  <si>
    <t>[Pougnet, Frederique; Gil-Diaz, Teba; Blanc, Gerard; Coynel, Alexandra; Bossy, Cecile; Schafer, Jorg] Univ Bordeaux, EPHE, EPOC, CNRS,UMR 5805, F-33600 Pessac, France</t>
  </si>
  <si>
    <t>Centre National de la Recherche Scientifique (CNRS); Universite de Bordeaux; CNRS - National Institute for Earth Sciences &amp; Astronomy (INSU); Universite PSL; Ecole Pratique des Hautes Etudes (EPHE)</t>
  </si>
  <si>
    <t>Pougnet, F (corresponding author), Univ Bordeaux, EPHE, EPOC, CNRS,UMR 5805, F-33600 Pessac, France.</t>
  </si>
  <si>
    <t>frederique.pougnet@u-bordeaux.fr</t>
  </si>
  <si>
    <t>Pougnet, Frederique/0000-0002-3309-9305; Gil-Diaz, Teba/0000-0003-2320-2708; Blanc, Gerard/0009-0005-9814-0427</t>
  </si>
  <si>
    <t>ANR Program TWINRIVERS [ANR-11-IS56-0003]; FEDER [Aquitaine-1999-Z0061]; Regional Water Agency (Agence de l'Eau Adour-Garonne -AEAG); Agence Nationale de la Recherche (ANR) [ANR-11-IS56-0003] Funding Source: Agence Nationale de la Recherche (ANR)</t>
  </si>
  <si>
    <t>ANR Program TWINRIVERS(Agence Nationale de la Recherche (ANR)); FEDER(European Union (EU)Spanish Government); Regional Water Agency (Agence de l'Eau Adour-Garonne -AEAG); Agence Nationale de la Recherche (ANR)(Agence Nationale de la Recherche (ANR))</t>
  </si>
  <si>
    <t>This work was partially funded by the ANR Program TWINRIVERS (ANR-11-IS56-0003) and the FEDER Aquitaine-1999-Z0061. The authors greatly acknowledge support from the Regional Water Agency (Agence de l'Eau Adour-Garonne -AEAG) to Metaux Gironde Transferts et Speciation (MGTS) project. We are also grateful to all the researchers, in particular E. Strady and M. Masson, J. Petit, S. Audry, K. Kessaci, and crew members of the French Oceanographic R/V Cote de la Manche and Thalia vessels over the years. The authors acknowledge Master's and PhD students that have contributed along these years to field work.</t>
  </si>
  <si>
    <t>10.1016/j.marenvres.2022.105594</t>
  </si>
  <si>
    <t>http://dx.doi.org/10.1016/j.marenvres.2022.105594</t>
  </si>
  <si>
    <t>0J2VJ</t>
  </si>
  <si>
    <t>WOS:000779963600001</t>
  </si>
  <si>
    <t>Moon, DH; Wazne, M; Cheong, KH; Chang, YY; Baek, K; Ok, YS; Park, JH</t>
  </si>
  <si>
    <t>Moon, Deok Hyun; Wazne, Mahmoud; Cheong, Kyung Hoon; Chang, Yoon-Young; Baek, Kitae; Ok, Yong Sik; Park, Jeong-Hun</t>
  </si>
  <si>
    <t>Stabilization of As-, Pb-, and Cu-contaminated soil using calcined oyster shells and steel slag</t>
  </si>
  <si>
    <t>Stabilization; Contaminated soil; Arsenic; Lead; Copper; Oyster shell; Steel slag</t>
  </si>
  <si>
    <t>CEMENT KILN DUST; PORTLAND-CEMENT; FLY-ASH; STABILIZED/SOLIDIFIED SOILS; EGGSHELL WASTE; IMMOBILIZATION; LEAD; STABILIZATION/SOLIDIFICATION; COPPER; CR</t>
  </si>
  <si>
    <t>In this study, As-, Pb-, and Cu-contaminated soil was stabilized using calcined oyster shells (COS) and steel slag (SS). The As-contaminated soil was obtained from a timber mill site where chromate copper arsenate (CCA) was used as a preservative. On the other hand, Pb- and Cu-contaminated soil was obtained from a firing range. These two soils were thoroughly mixed to represent As-, Pb-, and Cu-contaminated soil. Calcined oyster shells were obtained by treating waste oyster shells at a high temperature using the calcination process. The effectiveness of stabilization was evaluated by 1-N HCl extraction for As and 0.1-N HCl extraction for Pb and Cu. The treatment results showed that As, Pb, and Cu leachability were significantly reduced upon the combination treatment of COS and SS. The sole treatment of SS (10 wt%) did not show effective stabilization. However, the combination treatment of COS and SS showed a significant reduction in As, Pb, and Cu leachability. The best stabilization results were obtained from the combination treatment of 15 wt% COS and 10 wt% SS. The SEM-EDX results suggested that the effective stabilization of As was most probably achieved by the formation of Ca-As and Fe-As precipitates. In the case of Pb and Cu, stabilization was most probably associated with the formation of pozzolanic reaction products such as CSHs and CAHs.</t>
  </si>
  <si>
    <t>[Moon, Deok Hyun; Cheong, Kyung Hoon] Chosun Univ, Dept Environm Engn, Gwangju 501759, South Korea; [Wazne, Mahmoud] Lebanese Amer Univ, Sch Engn, Byblos, Lebanon; [Chang, Yoon-Young] Kwangwoon Univ, Dept Environm Engn, Seoul 139701, South Korea; [Baek, Kitae] Chonbuk Natl Univ, Dept Environm Engn, Jeonju 570752, South Korea; [Ok, Yong Sik] Kangwon Natl Univ, Dept Environm Biol, Chunchon 200701, South Korea; [Park, Jeong-Hun] Chonnam Natl Univ, Dept Environm &amp; Energy Engn, Gwangju 500757, South Korea</t>
  </si>
  <si>
    <t>Chosun University; Lebanese American University; Kwangwoon University; Jeonbuk National University; Kangwon National University; Chonnam National University</t>
  </si>
  <si>
    <t>Park, JH (corresponding author), Chonnam Natl Univ, Dept Environm &amp; Energy Engn, Gwangju 500757, South Korea.</t>
  </si>
  <si>
    <t>Ok, Yong/R-6739-2016; Ok, Yong Sik/C-8624-2019; Baek, Kitae/F-1515-2011</t>
  </si>
  <si>
    <t>Wazne, Mahmoud/0000-0002-9838-8394; Ok, Yong Sik/0000-0003-3401-0912; Baek, Kitae/0000-0002-7976-6484; Park, Jeong-Hun/0000-0002-0661-0059</t>
  </si>
  <si>
    <t>Korean Ministry of Environment as the GAIA (Geo-Advanced Innovative Action) project [2014000540011]</t>
  </si>
  <si>
    <t>Korean Ministry of Environment as the GAIA (Geo-Advanced Innovative Action) project</t>
  </si>
  <si>
    <t>This study was supported by the Korean Ministry of Environment as the GAIA (Geo-Advanced Innovative Action) project (No. 2014000540011).</t>
  </si>
  <si>
    <t>10.1007/s11356-015-4612-6</t>
  </si>
  <si>
    <t>http://dx.doi.org/10.1007/s11356-015-4612-6</t>
  </si>
  <si>
    <t>CM0BX</t>
  </si>
  <si>
    <t>WOS:000357344300074</t>
  </si>
  <si>
    <t>Bergés-Tiznado, ME; Márquez-Farías, JF; Torres-Rojas, Y; Galván-Magaña, F; Páez-Osuna, F</t>
  </si>
  <si>
    <t>Berges-Tiznado, Magdalena E.; Fernando Marquez-Farias, J.; Torres-Rojas, Yassir; Galvan-Magana, Felipe; Paez-Osuna, Federico</t>
  </si>
  <si>
    <t>Mercury and selenium in tissues and stomach contents of the migratory sailfish, Istiophorus platypterus, from the Eastern Pacific: Concentration, biomagnification, and dietary intake</t>
  </si>
  <si>
    <t>Mercury; Selenium; Istiophorus platypterus; Diet composition; Biomagnification; Gulf of California</t>
  </si>
  <si>
    <t>GULF-OF-CALIFORNIA; SCALLOPED HAMMERHEAD SHARK; MOLAR RATIOS; FOOD-WEB; PELAGIC FISH; THIOREDOXIN REDUCTASE; COMMERCIAL FISH; RISK-ASSESSMENT; SPHYRNA-LEWINI; FEEDING-HABITS</t>
  </si>
  <si>
    <t>Mercury and selenium were assessed in the sailfish, Istiophorus platypterus, from the Eastern Pacific. Sixty-seven individuals were sampled, muscle, liver, kidney, gonads and the prey found in the stomach contents were isolated during fishing 2011-2013 tournaments. Hg exhibited the following pattern (mu g g(-1) wet weight): liver (0.57 +/- 0.07) &gt; muscle (0.56 +/- 0.04) &gt; kidney (0.44 +/- 0.08) &gt; gonad (0.14 +/- 0.01). The maximum concentration of Se was found in kidneys (14.1 +/- 1.9 mu g g(-1)), and the minimum in muscles (0.67 +/- 0.03 mu g g(-1)). High Se:Hg ratios were found for muscle (4.1 +/- 03), kidney (132.4 +/- 12.1), liver (54.0 +/- 4.4) and gonads (88.2 +/- 7.9); Hg;Se molar ratios were several orders of magnitude lower (muscle &lt; 0.4 and liver, kidney and gonad &lt; 0.03). Sailfish feed mainly on fishes and cephalopods with low Hg levels (&lt; 0.13 mu g g(-1)), these results indicate biomagnification of Hg and Se. The muscle of L platypterus should be consumed (according the provisional tolerable weekly intake) by people cautiously so as not to exceed the recommended intake of 215 g per week. (C) 2015 Elsevier Ltd. All rights reserved.</t>
  </si>
  <si>
    <t>[Berges-Tiznado, Magdalena E.] Univ Nacl Autonoma Mexico, Posgrad Ciencias Mar &amp; Limnol, Mazatlan 82000, Sinaloa, Mexico; [Fernando Marquez-Farias, J.] Univ Autonoma Sinaloa, Fac Ciencias Mar, Mazatlan 82000, Sinaloa, Mexico; [Torres-Rojas, Yassir] Univ Autonoma Campeche EPOMEX UAC, Inst Ecol Pesquerias &amp; Oceanog Golfo Mexico, Campeche 24029, Campeche, Mexico; [Galvan-Magana, Felipe] Inst Politecn Nacl, Ctr Interdisciplinario Ciencias Marinas, La Paz 23096, Baja California, Mexico; [Paez-Osuna, Federico] Univ Nacl Autonoma Mexico, Unidad Acad Mazatlan, Inst Ciencias Mar &amp; Limnol, Mazatlan 82000, Sinaloa, Mexico; [Paez-Osuna, Federico] Miembro El Colegio Sinaloa, Culiacan, Sinaloa, Mexico</t>
  </si>
  <si>
    <t>Universidad Nacional Autonoma de Mexico; Universidad Autonoma de Sinaloa; Instituto Politecnico Nacional - Mexico; Universidad Nacional Autonoma de Mexico</t>
  </si>
  <si>
    <t>Páez-Osuna, F (corresponding author), Univ Nacl Autonoma Mexico, Unidad Acad Mazatlan, Inst Ciencias Mar &amp; Limnol, POB 811, Mazatlan 82000, Sinaloa, Mexico.</t>
  </si>
  <si>
    <t>paezos@ola.icmyl.unam.mx</t>
  </si>
  <si>
    <t>Páez-Osuna, Federico/AAM-3029-2020; Bergés Tiznado, Magdalena/K-6724-2019</t>
  </si>
  <si>
    <t>Berges Tiznado, Magdalena Elizabeth/0000-0002-3993-763X; Marquez-Farias, J. Fernando/0000-0001-7625-3440</t>
  </si>
  <si>
    <t>PAPIIT (Programa de Apoyo a Proyectos de Investigacion e Innovacion) by Universidad Nacional Autonoma de Mexico [IN208813]; DGIP-UAS (Direccion General de Investigacion y Posgrado-Universidad Autonoma de Sinaloa); Proyecto CONACYT [204818]; Academy of Finland (AKA) [204818] Funding Source: Academy of Finland (AKA)</t>
  </si>
  <si>
    <t>PAPIIT (Programa de Apoyo a Proyectos de Investigacion e Innovacion) by Universidad Nacional Autonoma de Mexico; DGIP-UAS (Direccion General de Investigacion y Posgrado-Universidad Autonoma de Sinaloa); Proyecto CONACYT(Consejo Nacional de Ciencia y Tecnologia (CONACyT)); Academy of Finland (AKA)(Research Council of Finland)</t>
  </si>
  <si>
    <t>This work received financial support from PAPIIT (Programa de Apoyo a Proyectos de Investigacion e Innovacion) IN208813 by the Universidad Nacional Autonoma de Mexico, DGIP-UAS (Direccion General de Investigacion y Posgrado-Universidad Autonoma de Sinaloa) and from Proyecto CONACYT 204818. The authors thank R. Hernandez-Guzman for assistance with the figures and map. Special thanks are owed to H. Bojorquez-Leyva for assistance with analytical work and R. Lara-Mendoza, D. Moreno-Sierra, K. Berges-Garcia and J. Mora-Carrillo for sampling and field work.</t>
  </si>
  <si>
    <t>10.1016/j.marpolbul.2015.10.021</t>
  </si>
  <si>
    <t>http://dx.doi.org/10.1016/j.marpolbul.2015.10.021</t>
  </si>
  <si>
    <t>DA2MV</t>
  </si>
  <si>
    <t>WOS:000367630700051</t>
  </si>
  <si>
    <t>VIARENGO, A; PERTICA, M; MANCINELLI, G; PALMERO, S; ZANICCHI, G; ORUNESU, M</t>
  </si>
  <si>
    <t>EVALUATION OF GENERAL AND SPECIFIC STRESS INDEXES IN MUSSELS COLLECTED FROM POPULATIONS SUBJECTED TO DIFFERENT LEVELS OF HEAVY-METAL POLLUTION</t>
  </si>
  <si>
    <t>The rate of protein synthesis was significantly decreased in various tissues of mussels gathered from a coastal area characterized by a high level of pollution when compared with animals collected in the reference unpolluted area. Such a decrease may represent a general stress index. Additional biological parameters such as amino acid uptake and RNA synthesis were similarly decreased in mussels collected from the polluted area. In the digestive gland of animals sampled from the heavy metal polluted area, the level of low MW thionein-like Cu-binding proteins was 3 times higher than in the digestive gland of controls. The increase in the level of metallothionein-like proteins in the digestive gland of the mussels represented a specific stress index directly related to the presence in the seawater of high concentrations of heavy metals.</t>
  </si>
  <si>
    <t>UNIV GENOA, IST CHIM GEN, I-16132 GENOA, ITALY</t>
  </si>
  <si>
    <t>University of Genoa</t>
  </si>
  <si>
    <t>UNIV GENOA, IST FISIOL GEN, I-16132 GENOA, ITALY.</t>
  </si>
  <si>
    <t>Viarengo, Aldo/0000-0002-1557-6526; Zanicchi, Gilda/0000-0002-9536-9921</t>
  </si>
  <si>
    <t>10.1016/0141-1136(82)90057-5</t>
  </si>
  <si>
    <t>http://dx.doi.org/10.1016/0141-1136(82)90057-5</t>
  </si>
  <si>
    <t>NL767</t>
  </si>
  <si>
    <t>WOS:A1982NL76700006</t>
  </si>
  <si>
    <t>Yingprasertchai, T; Yu, RMK; O'Connor, WA; Hopwood, T; MacFarlane, GR</t>
  </si>
  <si>
    <t>Yingprasertchai, Thanvapon; Yu, Richard Man Kit; O'Connor, Wayne A.; Hopwood, Tegan; MacFarlane, Geoff R.</t>
  </si>
  <si>
    <t>Acclimatory processes are likely responsible for metal tolerance in oyster embryos</t>
  </si>
  <si>
    <t>Acclimation; Copper; Metals; Sydney rock oyster; Zinc</t>
  </si>
  <si>
    <t>NEW-SOUTH-WALES; MYTILUS-EDULIS EMBRYOS; SYDNEY ROCK OYSTER; LAKE MACQUARIE; HEAVY-METALS; SACCOSTREA-GLOMERATA; CRASSOSTREA-GIGAS; TRACE-METALS; POLLUTION; BIOACCUMULATION</t>
  </si>
  <si>
    <t>We aimed to determine if offspring of oysters from contaminated locations were more tolerant to metals, and whether this tolerance could be attributed to acclimation. Oysters from 10 estuaries were sampled, representing a gradient in metal contamination. Tolerance to metals of the F-1 offspring from adults residing in these estuaries was assessed. Then, adults from these estuaries were translocated to a single estuary and their offspring tolerance reassessed. No linear relationship was found between the Cu concentrations of adults and their offspring's tolerance to Cu. A positive linear relationship was found between the Zn concentration of adults and the Zn EC50's of their offspring. Zn tolerance was lost after translocation. Zn EC50 values of offspring from transplanted adults bore no relation to the Zn EC50's of their location of origin. Thus the initial tolerance observed could be attributed to acclimation transferred to the F-1 generation. (C) 2017 Elsevier Ltd. All rights reserved.</t>
  </si>
  <si>
    <t>[Yingprasertchai, Thanvapon; Yu, Richard Man Kit; Hopwood, Tegan; MacFarlane, Geoff R.] Univ Newcastle, Sch Environm &amp; Life Sci, Callaghan, NSW 2308, Australia; [Yingprasertchai, Thanvapon] Kanchanaburi Rajabhat Univ, Fac Sci &amp; Technol, Kanchanaburi 7100, Thailand; [O'Connor, Wayne A.] Port Stephens Fisheries Inst, New South Wales Dept Primary Ind, Taylors Beach, NSW 2316, Australia</t>
  </si>
  <si>
    <t>University of Newcastle; Kanchanaburi Rajabhat University; NSW Department of Primary Industries</t>
  </si>
  <si>
    <t>Geoff.MacFarlane@newcastle.edu.au</t>
  </si>
  <si>
    <t>YU, MAN/G-8085-2013; O'Connor, Wayne/AAL-8097-2020</t>
  </si>
  <si>
    <t>MacFarlane, Geoff R./0000-0002-5090-6236; Yu, Richard Man Kit/0000-0003-1995-2880; O'Connor, Wayne/0000-0002-0972-4668</t>
  </si>
  <si>
    <t>10.1016/j.marenvres.2017.03.005</t>
  </si>
  <si>
    <t>http://dx.doi.org/10.1016/j.marenvres.2017.03.005</t>
  </si>
  <si>
    <t>EW0WR</t>
  </si>
  <si>
    <t>WOS:000402212400006</t>
  </si>
  <si>
    <t>Petersen, A; Jensen, KS; Sloth, JJ; Duedahl-Olesen, L</t>
  </si>
  <si>
    <t>Petersen, A.; Jensen, K. S.; Sloth, J. J.; Duedahl-Olesen, L.</t>
  </si>
  <si>
    <t>Monitoring of polycyclic aromatic hydrocarbons and toxic metals in blue mussels and oysters for human consumption from Danish waters (2005-2019)</t>
  </si>
  <si>
    <t>PAHs; Toxic metals; Mytilus edulis; Ostrea edulis; PCA; PRNN</t>
  </si>
  <si>
    <t>MYTILUS-EDULIS; PAHS; OPTIMIZATION; ORGANISMS; POLLUTION; EXPOSURE; MARINE; SEA</t>
  </si>
  <si>
    <t>Bivalve molluscs have for many years been used as indicator organisms for environmental pollution with various chemical substances. However, limited information is available on the levels of chemical contaminants in mussels and oysters intended for human consumption. Polycyclic aromatic hydrocarbons (PAHs) and toxic metals, such as cadmium (Cd), mercury (Hg) and lead (Pb) have been analysed in edible bivalve samples and the present study provides the results from samples collected in Danish waters from 2005 to 2019. Principal Component Analysis (PCA) and Pattern Recognition Neural Network (PRNN) analysis were applied to data to identify any differences according to organism, locality, and contaminant levels. Differences were confirmed for Pb concentrations being generally higher in mussels than oysters. Based on toxic metals results, the PCA and PRNN analyses made it possible to categorise samples as a mussel or an oyster, as well as make decisions on the origin of a specific sample. All concentrations in mussels and oysters were below the current European Union maximum levels for the contaminants.</t>
  </si>
  <si>
    <t>[Petersen, A.; Sloth, J. J.; Duedahl-Olesen, L.] Tech Univ Denmark, Natl Food Inst, DK-2800 Lyngby, Denmark; [Jensen, K. S.] Tech Univ Denmark, Novo Nord Fdn Ctr Biosustainabil, DK-2800 Lyngby, Denmark; [Petersen, A.] Tech Univ Denmark, DK-2620 Lyngby, Denmark</t>
  </si>
  <si>
    <t>Technical University of Denmark; Technical University of Denmark; Technical University of Denmark</t>
  </si>
  <si>
    <t>Petersen, A (corresponding author), Tech Univ Denmark, DK-2620 Lyngby, Denmark.</t>
  </si>
  <si>
    <t>annp@food.dtu.dk</t>
  </si>
  <si>
    <t>Sloth, Jens/H-6283-2017; Duedahl-Olesen, Lene/A-2941-2010</t>
  </si>
  <si>
    <t>Petersen, Annette/0000-0003-3996-2701; Duedahl-Olesen, Lene/0000-0002-3162-0101; Sloth, Jens Jorgen/0000-0002-3636-8769</t>
  </si>
  <si>
    <t>10.1016/j.foodcont.2023.109943</t>
  </si>
  <si>
    <t>http://dx.doi.org/10.1016/j.foodcont.2023.109943</t>
  </si>
  <si>
    <t>Q7BP5</t>
  </si>
  <si>
    <t>WOS:001059042300001</t>
  </si>
  <si>
    <t>WONG, MH; CHOY, CK; LAU, WM; CHEUNG, YH</t>
  </si>
  <si>
    <t>HEAVY-METAL CONTAMINATION OF THE PACIFIC OYSTERS (CRASSOSTREA-GIGAS) CULTURED IN DEEP-BAY, HONG-KONG</t>
  </si>
  <si>
    <t>Samples of Pacific oysters, C. gigas, cultured in Deep Bay, Hong Kong, were collected for analysis of various heavy metal contents: Fe, Cu, Pb, Cd, Mn, Cr and Zn. The gill had the highest metal contents, followed by the mantle, viscera, with the smallest amount being observed in the adductor muscle. All metal contents were within the range reported for the same species in areas where heavy metal pollution was already recognized as a problem. A long-term monitoring program measuring the contents of various metals in seawater, sediment and oysters is essential.</t>
  </si>
  <si>
    <t>CHINESE UNIV HONG KONG, DEPT BIOL, SHATIN, HONG KONG</t>
  </si>
  <si>
    <t>Wong, Ming Hung/AAC-6507-2022</t>
  </si>
  <si>
    <t>CHEUNG, Yun Hing Richard/0000-0002-1022-9402; Wong, Ming Hung/0009-0002-6077-4369</t>
  </si>
  <si>
    <t>10.1016/0013-9351(81)90032-3</t>
  </si>
  <si>
    <t>http://dx.doi.org/10.1016/0013-9351(81)90032-3</t>
  </si>
  <si>
    <t>LZ572</t>
  </si>
  <si>
    <t>WOS:A1981LZ57200008</t>
  </si>
  <si>
    <t>GUERRERO, NRV; KESTEN, EM</t>
  </si>
  <si>
    <t>LEVELS OF HEAVY-METALS IN BIOTA FROM THE LA-PLATA RIVER</t>
  </si>
  <si>
    <t>ENVIRONMENTAL TOXICOLOGY AND WATER QUALITY</t>
  </si>
  <si>
    <t>In this study levels of five heavy metals-Cd, Cu, Ni, Pb, and Zn-were quantified in selected tissues of aquatic organisms and in sediments from the La Plata River. Fishes (Odontesthes bonariensis and Pimelodus clarias), snails (Ampullaria insularum), and bivalve molluscs (Neocorbicula limosa) were collected from a Recreational Fishing Association, nearby Buenos Aires harbor, during 1988 and 1989. Samples of snail hepatopancreas showed higher levels of metal concentrations than samples of fish livers, regarding the five metals quantified. In general, lower levels of heavy metals were observed in whole body samples of bivalves, with or without the gut contents, except for Cd. Both species of macroinvertebrates have demonstrated a great ability to bioaccumulate Cd. Many physical, chemical, and biological factors regulate the intake and accumulation of heavy metals by aquatic organisms. Therefore, it is difficult to assess the extent of pollution in biota from the La Plata River by direct comparisons with data previously reported in the literature. However, our results may be useful as reference levels of heavy metal contamination in selected organisms from this particular aquatic system. (C) 1993 John Wiley &amp; Sons, Inc.</t>
  </si>
  <si>
    <t>GUERRERO, NRV (corresponding author), UNIV BUENOS AIRES,FAC EXACT &amp; NAT SCI,TOXICOL &amp; LEGAL CHEM LAB,40 P PAB 2,RA-1428 BUENOS AIRES,ARGENTINA.</t>
  </si>
  <si>
    <t>JOHN WILEY &amp; SONS INC</t>
  </si>
  <si>
    <t>605 THIRD AVE, NEW YORK, NY 10158-0012</t>
  </si>
  <si>
    <t>1053-4725</t>
  </si>
  <si>
    <t>ENVIRON TOXIC WATER</t>
  </si>
  <si>
    <t>Environ. Toxicol. Water Quality</t>
  </si>
  <si>
    <t>LP261</t>
  </si>
  <si>
    <t>WOS:A1993LP26100009</t>
  </si>
  <si>
    <t>Labonne, M; Ben Othman, D; Luck, JM</t>
  </si>
  <si>
    <t>Pb isotopes in mussels as tracers of metal sources and water movements in a lagoon (Thau Basin, S. France)</t>
  </si>
  <si>
    <t>CHEMICAL GEOLOGY</t>
  </si>
  <si>
    <t>Pb isotopes; heavy metals; Mytilus; Thau lagoon; anthropogenic impact</t>
  </si>
  <si>
    <t>MYTILUS-EDULIS; UNITED-STATES; SOUTHERN FRANCE; LEAD POLLUTION; LAKE-SEDIMENTS; ZEBRA MUSSELS; NORTH-AMERICA; SR ISOTOPES; BODY SIZE; CADMIUM</t>
  </si>
  <si>
    <t>Metal concentrations (Cu, Zn, Cd, Pb) and lead isotopic compositions have been determined in mussel's fleshes from the Thau lagoon (S. France). Mussel spat from sea was introduced at different locations in the lagoon in June 1995, and subsequently sampled in October 1995, and January, May, and July 1996. Each location was chosen for its particular environment: (1) an industrial harbour at sea, (2) water treatment plant effluents. (3) nearby city with no seawater entries. and (4) the middle of the lagoon. A reference point was also kept at sea. Variations in heavy metal concentrations generally correlate with weight of the animals, but some could be linked to particular local and temporal events such as outflows or tourist activity. The Pb isotopic compositions of the soft parts allow: (1) to identify the predominant sources of Pb and their seasonal variations; (2) to estimate their respective impact; and (3) to present a dynamic vision of the water movements in the lagoon comparing with climatic observations (wind), and their mixing with seawater entries. The possible use of isotopic tools in understanding the capture and the storage of metal in different organs in the mussels is also discussed. (C) 2001 Elsevier Science B.V. All rights reserved.</t>
  </si>
  <si>
    <t>Univ Montpellier 2, UMR 5573, Lab GTS, F-34095 Montpellier 5, France</t>
  </si>
  <si>
    <t>Universite de Montpellier</t>
  </si>
  <si>
    <t>Labonne, M (corresponding author), Univ Montpellier 2, UMR 5573, Lab GTS, Case 060,Pl E Bataillon, F-34095 Montpellier 5, France.</t>
  </si>
  <si>
    <t>0009-2541</t>
  </si>
  <si>
    <t>CHEM GEOL</t>
  </si>
  <si>
    <t>Chem. Geol.</t>
  </si>
  <si>
    <t>10.1016/S0009-2541(01)00281-9</t>
  </si>
  <si>
    <t>http://dx.doi.org/10.1016/S0009-2541(01)00281-9</t>
  </si>
  <si>
    <t>485FU</t>
  </si>
  <si>
    <t>WOS:000171743500012</t>
  </si>
  <si>
    <t>Boukadida, K; Banni, M; Gourves, PY; Cachot, J</t>
  </si>
  <si>
    <t>Boukadida, Khouloud; Banni, Mohamed; Gourves, Pierre-Yves; Cachot, Jerome</t>
  </si>
  <si>
    <t>High sensitivity of embryo-larval stage of the Mediterranean mussel, Mytilus galloprovincialis to metal pollution in combination with temperature increase</t>
  </si>
  <si>
    <t>Copper; Silver; Global warming; Mediterranean mussel; Embryotoxicity</t>
  </si>
  <si>
    <t>EARLY-LIFE STAGES; PACIFIC OYSTER; CRASSOSTREA-GIGAS; CLIMATE-CHANGE; WATER-QUALITY; HEAVY-METALS; TRACE-METALS; TOXICITY; COPPER; SILVER</t>
  </si>
  <si>
    <t>The present work aimed to assess the effects of two widespread metallic pollutants, copper and silver, along with environmentally-realistic temperature increases, on embryo-larval development of the Mediterranean mussel Mytilus galloprovincialis. First, mussel embryos upon fertilization were exposed for 48 h to increasing concentrations of Cu (0.5-500 mu g/L) and Ag (0.1-100 mu g/L) at different temperatures (18, 20, 22 or 24 degrees C) in order to characterize toxicity of each toxicant at the different tested temperatures. Increasing concentrations of a Cu-Ag mixture were then tested in order to assess the mixture effect at different temperatures (18, 20 or 22 degrees C). Embryotoxicity was measured after 48 h of exposure (D-larvae stage) considering both the percentage of abnormalities and developmental arrest in D-larvae. The results suggest that the optimum temperature for mussel larvae development is 18 degrees C (12.65 +/- 1.6% malformations) and beyond 20 degrees C a steep increase of abnormal larvae was observed up to 100% at 24 degrees C. Ag was more toxic than Cu with a 50% effective concentration (EC50) at 18 C of 6.58 mu g/L and 17.6 mu g/L, respectively. Temperature increased the toxicity of both metals as proved with the EC50 at 20 degrees C at 3.86 mu g/L and 16.28 mu g/L for Ag and Cu respectively. Toxic unit calculation suggests additive effects of Cu and Ag in mixture at 18 and 20 degrees C. These results highlight a possible impairment of M. galloprovincialis reproduction in the Mediterranean Sea in relation to increase of both pollutants and water temperature due to global warming. (C) 2016 Elsevier Ltd. All rights reserved.</t>
  </si>
  <si>
    <t>[Boukadida, Khouloud; Gourves, Pierre-Yves; Cachot, Jerome] Univ Bordeaux, Lab Ocean &amp; Continental Environm &amp; Paleoenvironm, EPOC, CNRS,UMR 5805, F-33600 Pessac, France; [Boukadida, Khouloud; Banni, Mohamed] ISA, Lab Biochem &amp; Environm Toxicol, Chott Mariem 4042, Sousse, Tunisia</t>
  </si>
  <si>
    <t>Centre National de la Recherche Scientifique (CNRS); Universite de Bordeaux; CNRS - National Institute for Earth Sciences &amp; Astronomy (INSU); Universite de Tunis-El-Manar; Institut Salah Azaiez</t>
  </si>
  <si>
    <t>Cachot, J (corresponding author), Univ Bordeaux, Lab Ocean &amp; Continental Environm &amp; Paleoenvironm, EPOC, CNRS,UMR 5805, F-33600 Pessac, France.</t>
  </si>
  <si>
    <t>jerome.cachot@u-bordeaux.fr</t>
  </si>
  <si>
    <t>Banni, Mohamed/0000-0001-9764-0343; Cachot, Jerome/0000-0002-1492-9684; BOUKADIDA, Khouloud/0000-0003-3876-9862</t>
  </si>
  <si>
    <t>European Union in the framework of the Erasmus Mundus EU Metallic II Program</t>
  </si>
  <si>
    <t>European Union in the framework of the Erasmus Mundus EU Metallic II Program(European Union (EU))</t>
  </si>
  <si>
    <t>The authors would like to acknowledge the French and Tunisian Governments. This study was supported by the European Union in the framework of the Erasmus Mundus EU Metallic II Program. This work was part of the LABEX COTE cluster of excellence Continental to coastal Ecosystems: evolution, adaptability and governance. We thank James Emery for English proofreading.</t>
  </si>
  <si>
    <t>10.1016/j.marenvres.2016.09.007</t>
  </si>
  <si>
    <t>http://dx.doi.org/10.1016/j.marenvres.2016.09.007</t>
  </si>
  <si>
    <t>ED8CC</t>
  </si>
  <si>
    <t>WOS:000389098500006</t>
  </si>
  <si>
    <t>Holland, HA; Schöne, BR; Marali, S; Jochum, KP</t>
  </si>
  <si>
    <t>Holland, Hilmar A.; Schoene, Bernd R.; Marali, Soraya; Jochum, Klaus P.</t>
  </si>
  <si>
    <t>History of bioavailable lead and iron in the Greater North Sea and Iceland during the last millennium - A bivalve sclerochronological reconstruction</t>
  </si>
  <si>
    <t>Lead; Iron; Eutrophication; Redox potential; Anthropogenic pollution; Retrospective environmental biomonitoring</t>
  </si>
  <si>
    <t>ARCTICA-ISLANDICA BIVALVIA; TRACE-ELEMENT ANALYSIS; GERMAN BIGHT; ICP-MS; SHELLS; OCEAN; POLLUTION; PACIFIC; COASTAL; DEPOSITION</t>
  </si>
  <si>
    <t>We present the first annually resolved record of biologically available Pb and Fe in the Greater North Sea and Iceland during 1040-2004 AD based on shells of the long-lived marine bivalve Arctica islandica. The iron content in pre-industrial shells from the North Sea largely remained below the detection limit. Only since 1830, shell Fe levels rose gradually reflecting the combined effect of increased terrestrial runoff of iron-bearing sediments and eutrophication. Although the lead gasoline peak of the 20th century was well recorded by the shells, bivalves that lived during the medieval heyday of metallurgy showed four-fold higher shell Pb levels than modern specimens. Presumably, pre-industrial bivalves were offered larger proportions of resuspended (Pb-enriched) organics, whereas modern specimens receive fresh increased amounts of (Pb-depleted) phytoplankton. As expected, metal loads in the shells from Iceland were much lower. Our study confirms that bivalve shells provide a powerful tool for retrospective environmental biomonitoring. (C) 2014 Elsevier Ltd. All rights reserved.</t>
  </si>
  <si>
    <t>[Holland, Hilmar A.; Schoene, Bernd R.; Marali, Soraya] Johannes Gutenberg Univ Mainz, Inst Geosci, D-55128 Mainz, Germany; [Jochum, Klaus P.] Max Planck Inst Chem, D-55020 Mainz, Germany</t>
  </si>
  <si>
    <t>Johannes Gutenberg University of Mainz; Max Planck Society</t>
  </si>
  <si>
    <t>Holland, HA (corresponding author), Johannes Gutenberg Univ Mainz, Inst Geosci, Johann Joachim Becher Weg 21, D-55128 Mainz, Germany.</t>
  </si>
  <si>
    <t>Schöne, Bernd/B-6294-2011</t>
  </si>
  <si>
    <t>Schone, Prof. Dr. Bernd R./0000-0002-6879-1633</t>
  </si>
  <si>
    <t>Earth System Research Center Geocycles; German Research Foundation (DFG) [SCHO793/10]</t>
  </si>
  <si>
    <t>Earth System Research Center Geocycles; German Research Foundation (DFG)(German Research Foundation (DFG))</t>
  </si>
  <si>
    <t>Shells used in this study were kindly provided by Wolfgang Dreyer (Univ. of Kiel, Germany), Ingrid Kroncke (Senckenberg am Meer, Wilhelmshaven, Germany), Ronald Janssen and Michael Tuerkay (Senckenberg Research Institute and Natural History Museum, Frankfurt/Main, Germany), Heye Rumohr (Geomar/Helmholtz Centre for Ocean Research, Kiel, Germany), and Annemiek Vink (Bundesanstalt fur Geowissenschaften und Rohstoffe, Hannover, Germany). Our special thanks go to Brigitte Stoll and Ulrike Weis (Max-Planck-Institute for Chemistry, Mainz) for their help during the LA-ICP-MS measurements. We gratefully acknowledge the help of Amy Prendergast for improving the English grammar and style. This study has been made possible by a PhD scholarship of the Earth System Research Center Geocycles (to HAH) and a Grant by the German Research Foundation (DFG) (to BRS: SCHO793/10).</t>
  </si>
  <si>
    <t>10.1016/j.marpolbul.2014.08.005</t>
  </si>
  <si>
    <t>http://dx.doi.org/10.1016/j.marpolbul.2014.08.005</t>
  </si>
  <si>
    <t>WOS:000343951800028</t>
  </si>
  <si>
    <t>ROSAS, I; BAEZ, A; BELMONT, R</t>
  </si>
  <si>
    <t>OYSTER (CRASSOSTREA-VIRGINICA) AS INDICATOR OF HEAVY-METAL POLLUTION IN SOME LAGOONS OF THE GULF OF MEXICO</t>
  </si>
  <si>
    <t>The littoral lagoons of the Gulf of Mexico were investigated to determine the amount of heavy metal pollution. Some lagoons have been contaminated by liquid wastes mainly originating from sugar refining and petrochemical industries, as well as petroleum exploitation and refining. Since mollusks concentrate trace elements, determination of levels of Cd, Cr, Hg and Pb in oysters (C. virginica) were measured in some of these lagoons. Apparently, the concentrations of these metals in lagoon water were below the recommended levels to protect aquatic life, and it was found that oysters are able to concentrate metals, mainly Cd and Pb above the maximum permissible limits for edible consumption.</t>
  </si>
  <si>
    <t>UNIV NACL AUTONOMA MEXICO, CTR CIENCIAS ATMOSFERA, DEPT QUIM ATMOSFERA &amp; ESTUDIOS AGUA, MEXICO CITY 04510, DF, MEXICO.</t>
  </si>
  <si>
    <t>Belmont, Rachel/HPD-4361-2023</t>
  </si>
  <si>
    <t>Rosas Perez, Irma Aurora/0000-0003-0149-8931</t>
  </si>
  <si>
    <t>10.1007/BF00279623</t>
  </si>
  <si>
    <t>http://dx.doi.org/10.1007/BF00279623</t>
  </si>
  <si>
    <t>QX410</t>
  </si>
  <si>
    <t>WOS:A1983QX41000001</t>
  </si>
  <si>
    <t>Geffard, A; Amiard, JC; Amiard-Triquet, C</t>
  </si>
  <si>
    <t>Use of metallothionein in gills from oysters (Crassostrea gigas) as a biomarker:: seasonal and intersite fluctuations</t>
  </si>
  <si>
    <t>metallothionein; biomarker; metallic pollution; oyster; translocation</t>
  </si>
  <si>
    <t>FRESH-WATER BIVALVE; METAL CONTAMINATION GRADIENT; FIELD TRANSPLANTATION; PYGANODON-GRANDIS; NATURAL-POPULATION; CORBICULA-FLUMINEA; BINDING PROTEINS; MACOMA-BALTHICA; PACIFIC OYSTER; CADMIUM</t>
  </si>
  <si>
    <t>The use of oyster gills for the analytical determination of metallothionein (MT) concentration as a biomarker of metal exposure was investigated. Temporal variations in MT and metal concentrations (which can interfere with inter-site differences) were examined over a 7 month period (from spring to autumn) in Japanese oysters from a clean site (Bay of Bourgneuf, France) and a metal-rich site (Gironde estuary, France) as well as in individuals translocated from the clean to the contaminated area. The ratio between the annual average of MT concentrations in specimens from the clean and the metal-rich sites was 1.3. During the last 3 months of the experiment, significant differences were no longer registered between transplants and residents from the Gironde estuary. Metals concentrations in oyster gills differed consistently between the clean and the metal-rich sites (annual average ratios of 1.5, 2.7 and 9. 8, respectively, for zinc, copper and cadmium) and a fast increase in metal concentrations (over a few months) was observed in transplants, mainly for cadmium. MT and soluble metal concentrations were found to be positively and significantly correlated over the period of the study. This relationship is a positive argument for a possible use of gill MT concentration as a biomarker of metal pollution in contrast to previous findings on the digestive gland, there being a smaller amount of seasonal variability in the weight of oyster gills.</t>
  </si>
  <si>
    <t>SMAB, ISOMer, Serv Ecotoxicol, CNRS,GDR 1117, F-44322 Nantes 2, France</t>
  </si>
  <si>
    <t>SMAB, ISOMer, Serv Ecotoxicol, CNRS,GDR 1117, 2 Rue Houssiniere,BP 92208, F-44322 Nantes 2, France.</t>
  </si>
  <si>
    <t>Geffard, Alain/0000-0001-9236-2890</t>
  </si>
  <si>
    <t>10.1080/13547500110091292</t>
  </si>
  <si>
    <t>http://dx.doi.org/10.1080/13547500110091292</t>
  </si>
  <si>
    <t>538RA</t>
  </si>
  <si>
    <t>WOS:000174827800003</t>
  </si>
  <si>
    <t>Protasowicki, M; Dural, M; Jaremek, J</t>
  </si>
  <si>
    <t>Protasowicki, Mikolaj; Dural, Meltem; Jaremek, Joanna</t>
  </si>
  <si>
    <t>Trace metals in the shells of blue mussels (Mytilus edulis) from the Poland coast of Baltic sea</t>
  </si>
  <si>
    <t>heavy metals; Mytilus edulis; shell; Baltic sea</t>
  </si>
  <si>
    <t>SCANDINAVIAN WATERS; HEAVY-METALS; PUGET-SOUND; INDICATOR; POLLUTION; ELEMENTS; OYSTERS; WATCH; LEAD; CONTAMINANTS</t>
  </si>
  <si>
    <t>In this study, bioaccumulation of the heavy metals (Hg, Pb, Cd, Cu, Zn, Cr, Ni, Fe, Mn, V, Li, Al) in the shells of Mytilus edulis were investigated. Shells of Mytilus edulis were collected in May to September 2005 from 12 stations on the Polish coast of Baltic Sea. At each sampling sites 17-330 different size of shells were collected during 2005, respectively. Due to heavy industrial activities in the region, the bay has the polluted coastal waters of Poland. Shells were analysed by ICP AES and Coleman MAS 50 CV atomic absorption spectrometer. As expected from the similarity found between the relationships of metal content length and dry the concentrations of the different metals in the shells did not seem to depend on the shell length. No significant differences were detected in metal concentration between different shell lengths. Given their geographical distributions, as well as their abilities to show up spatial and temporal changes in metal bioavailabilities confirmed here, it is concluded that the mussel M. edulis a suitable candidate to be used in biomonitoring surveys of the Poland coast of Baltic.</t>
  </si>
  <si>
    <t>[Dural, Meltem] Mustafa Kemal Univ, Urunleri Fak, TR-31040 Antakya, Hatay, Turkey; [Protasowicki, Mikolaj; Jaremek, Joanna] Univ Agr, Dept Toxicol, Szczecin, Poland</t>
  </si>
  <si>
    <t>Mustafa Kemal University; West Pomeranian University of Technology</t>
  </si>
  <si>
    <t>Dural, M (corresponding author), Mustafa Kemal Univ, Urunleri Fak, Tayfur Sokmen Kampusu, TR-31040 Antakya, Hatay, Turkey.</t>
  </si>
  <si>
    <t>duralmeltem@yahoo.com</t>
  </si>
  <si>
    <t>Eken, Meltem/V-4772-2017</t>
  </si>
  <si>
    <t>10.1007/s10661-007-9899-4</t>
  </si>
  <si>
    <t>http://dx.doi.org/10.1007/s10661-007-9899-4</t>
  </si>
  <si>
    <t>297OY</t>
  </si>
  <si>
    <t>WOS:000255627200028</t>
  </si>
  <si>
    <t>Mensi, GS; Moukha, S; Creppy, EE; Maaroufi, K</t>
  </si>
  <si>
    <t>Mensi, Gh. S.; Moukha, S.; Creppy, E. E.; Maaroufi, K.</t>
  </si>
  <si>
    <t>Metals accumulation in marine bivalves and seawater from the lagoon of Boughrara in Tunisia (North Africa)</t>
  </si>
  <si>
    <t>algal bloom; bivalves; heavy metal; marine pollution</t>
  </si>
  <si>
    <t>MYTILUS-GALLOPROVINCIALIS; TRACE-ELEMENTS; HEAVY-METALS; GULF; BIOACCUMULATION; POLLUTION; MUSSELS; BYSSUS; EDULIS; MN</t>
  </si>
  <si>
    <t>Since 1994 the lagoon of Boughrara located in the south western coast of Tunisia was a seat of repeated episodes of harmful algal proliferation. Due to intoxications by shellfish harvested in this region the area was banned. In order to estimate the metal contribution to this phenomenon, seawater and bivalves collected from Boughrara during the algal bloom period were analysed for Cd, Cr, Hg, Pb, Cu and Al content using the atomic absorption spectrometry. The average of the metals and heavy metals concentrations in clams flesh and shells were lower or in the range of the European Union regularity limits and exhibited the following decreasing order: AI&gt;Cu&gt;Cd&gt;Cr&gt;Pb&gt;Hg. Levels were ranging between 11.541 mg/kg and 0.025 mg/kg wet weights. For seawater and inter-shell water the order was approximately the same. The lagoon of Boughrara might be considered relatively unpolluted with metals and repeated toxic algal proliferations remained unexplained.</t>
  </si>
  <si>
    <t>[Mensi, Gh. S.; Maaroufi, K.] Fac Pharm, Res Unit Mycotoxins Phycotoxins &amp; Associated Path, Monastir 5000, Tunisia; [Mensi, Gh. S.; Creppy, E. E.] Univ Victor Segalen Bordeaux, Lab Toxicol &amp; Appl Hyg, F-33706 Bordeaux, France; [Moukha, S.] INRA, Ctr Rech Bordeaux Aquitaine, UPR MycSA 1264, F-33883 Villenave Dornon, France</t>
  </si>
  <si>
    <t>Universite de Monastir; Universite de Bordeaux; INRAE</t>
  </si>
  <si>
    <t>Maaroufi, K (corresponding author), Fac Pharm, Res Unit Mycotoxins Phycotoxins &amp; Associated Path, Monastir 5000, Tunisia.</t>
  </si>
  <si>
    <t>souid_tn@yahoo.fr</t>
  </si>
  <si>
    <t>319AQ</t>
  </si>
  <si>
    <t>WOS:000257134500010</t>
  </si>
  <si>
    <t>FISCHER, H</t>
  </si>
  <si>
    <t>CADMIUM IN SEAWATER RECORDED BY MUSSELS - REGIONAL DECLINE ESTABLISHED</t>
  </si>
  <si>
    <t>The mussel Mytilus edulis is used as a quantitative indicator of dissolved cadmium in the water of the Kieler Forde in comparison with a reference site in the Kieler Bucht (Western Baltic Sea). As recorded by the mussel, the baseline Cd concentration in the Kieler Bucht declined from ca 65 ng l-1 in 1980 to 35 ng l-1 in 1984. Recalculations of literature data suggest that the 1975-1976 Kieler Bucht level was ca 110 ng l-1. ''The normal'' distribution of dissolved Cd in the Kieler Forde was characterized by ca 140% of the baseline in the harbour area, 85% in the inner fjord, and 120 to 140% in the outer fjord. Other patterns indicated by the mussel are considered to reflect occasional coincidence of hydrographic stagnation and specific events (harbour dredging, sewage pollution, industrial discharges). After collapses of oxybiotic life the mussel indicated approximately half normal Cd levels, but there is doubt that ''mussel watch'' records may be relied upon if the mussels had been affected by anoxic conditions. ''Mussel watch'' estimates of chemical water quality documented a downward trend of dissolved Cd in the SW Kieler Bucht, which corresponds to the information available from analytical seawater chemistry. According to the regional hydrography, this is conceived to reflect a decline of dissolved Cd and possibly other metals on a broader geographical scale. Implications suggested relate to the following of natural fluxes in the management of chemically similar wastes.</t>
  </si>
  <si>
    <t>JUL 27</t>
  </si>
  <si>
    <t>10.3354/meps055159</t>
  </si>
  <si>
    <t>http://dx.doi.org/10.3354/meps055159</t>
  </si>
  <si>
    <t>AH405</t>
  </si>
  <si>
    <t>WOS:A1989AH40500007</t>
  </si>
  <si>
    <t>Berezina, NA; Sharov, AN; Yurchenko, VV; Morozov, AA; Malysheva, OA; Kukhareva, GI; Zhakovskaya, ZA</t>
  </si>
  <si>
    <t>Berezina, Nadezhda A.; Sharov, Andrey N.; V. Yurchenko, Victoria; Morozov, Alexey A.; Malysheva, Olga A.; Kukhareva, Galina I.; Zhakovskaya, Zoya A.</t>
  </si>
  <si>
    <t>Responses of zebra and quagga mussels to copper and tribytiltin exposure: Bioconcentration, metabolic and cardiac biomarkers</t>
  </si>
  <si>
    <t>Biomarkers; Oxidative stress; Neurotoxic effects; Metabolic rate; Cardiac activity; Tin compounds; Copper; Biocide; Bivalve mollusks</t>
  </si>
  <si>
    <t>DREISSENA-POLYMORPHA; OXIDATIVE STRESS; BLUE MUSSEL; MARINE-ENVIRONMENT; MYTILUS-EDULIS; ACUTE TOXICITY; TRIBUTYLTIN; BUGENSIS; BIOACCUMULATION; CONTAMINATION</t>
  </si>
  <si>
    <t>One of the top ecological priorities is to find sensitive indicators for pollution monitoring. This study focuses on the bioconcentration and responses (condition index, survival, oxygen consumption, heart rates, and oxidative stress and neurotoxic effect biomarkers) of mussels from the Volga River basin, Dreissena polymorpha and Dreissena bugensis, to long-term exposure to toxic chemicals such as tributyltin (TBT, 25 and 100 ng/L) and copper (Cu, 100 and 1000 mu g/L). We found that TBT was present in the tissues of zebra and quagga mussels in comparable amounts, whereas the bioconcentration factor of Cu varied depending on its concentration in water. Differences in responses between the two species were revealed. When exposed to high Cu concentrations or a Cu-TBT mixture, quagga mussels had a lower survival rate and a longer heart rate recovery time than zebra mussels. TBT treatment caused neurotoxicity (decreased acetylcholinesterase activity) and oxidative stress (increased levels of thiobarbituric acid reactive substances) in both species. TBT and Cu levels in mussel tissues correlated positively with the condition index, but correlated with the level of acetylcholinesterase in the mussel gills. The principal component analysis revealed three main components: the first consists of linear combinations of 14 variables reflecting TBT water pollution, TBT and Cu levels in mussel tissues, and biochemical indicators; the second includes Cu water concentration, cardiac tolerance, and mussel size; and the third combines weight, metabolic rate, and heart rates. Quagga mussels are less tolerable to contaminants than zebra mussels, so they may be used as a sensitive indicator.</t>
  </si>
  <si>
    <t>[Berezina, Nadezhda A.] Russian Acad Sci, Zool Inst, St Petersburg, Russia; [Sharov, Andrey N.; Kukhareva, Galina I.; Zhakovskaya, Zoya A.] Russian Acad Sci, St Petersburg Fed Res Ctr, St Petersburg, Russia; [Sharov, Andrey N.] Tyumen State Univ, AquaBioSafe, Tyumen, Russia; [Morozov, Alexey A.; Malysheva, Olga A.] Russian Acad Sci, Papanin Inst Biol Inland Waters, Borok, Russia</t>
  </si>
  <si>
    <t>Russian Academy of Sciences; Zoological Institute of the Russian Academy of Sciences; Russian Academy of Sciences; St. Petersburg Federal Research Center of the Russian Academy of Sciences; Tyumen State University; Papanin Institute for Biology of Inland Waters; Russian Academy of Sciences</t>
  </si>
  <si>
    <t>Berezina, NA (corresponding author), Univ embankment 1-3, St Petersburg 199034, Russia.</t>
  </si>
  <si>
    <t>nadezhda.berezina@zin.ru</t>
  </si>
  <si>
    <t>Zhakovskaya, Zoya/A-4711-2015; Sharov, Andrey/K-4222-2013; Berezina, Nadezhda/R-1968-2016; Yurchenko, Victoria/R-3656-2016</t>
  </si>
  <si>
    <t>Zhakovskaya, Zoya/0000-0002-5620-1317</t>
  </si>
  <si>
    <t>Ministry of Science and Education of the Russian Federation [122031100274-7, 122041100085-8, 121051100109-1, 121050500046-8, 122041100086-5, 124032500015-7]; Government of Tyumen region (West Siberian Interregional Scientific and Educational Center) [89 -DON (2)]</t>
  </si>
  <si>
    <t>Ministry of Science and Education of the Russian Federation(Ministry of Education and Science, Russian Federation); Government of Tyumen region (West Siberian Interregional Scientific and Educational Center)</t>
  </si>
  <si>
    <t>This research was funded by the Ministry of Science and Education of the Russian Federation, state tasks 122031100274-7 (N.B.) , 122041100085-8 (A.S.) 121051100109-1 (O.M.) , 121050500046-8 (A. M., V.Y.) , 122041100086-5 (G.K., Z.Z.) , 124032500015-7 (A.M., O.M., V.Y.) and financial support from the Government of Tyumen region (a project of the West Siberian Interregional Scientific and Educational Center, grant number 89 -DON (2) (A.S., V.Y.) .</t>
  </si>
  <si>
    <t>10.1016/j.cbpc.2024.109967</t>
  </si>
  <si>
    <t>http://dx.doi.org/10.1016/j.cbpc.2024.109967</t>
  </si>
  <si>
    <t>XL3Q1</t>
  </si>
  <si>
    <t>WOS:001261804100001</t>
  </si>
  <si>
    <t>Cao, RW; Zhang, TY; Li, X; Zhao, YT; Wang, Q; Yang, DL; Qu, Y; Liu, H; Dong, ZJ; Zhao, JM</t>
  </si>
  <si>
    <t>Cao, Ruiwen; Zhang, Tianyu; Li, Xiao; Zhao, Yuting; Wang, Qing; Yang, Dinglong; Qu, Yi; Liu, Hui; Dong, Zhijun; Zhao, Jianmin</t>
  </si>
  <si>
    <t>Seawater acidification increases copper toxicity: A multi-biomarker approach with a key marine invertebrate, the Pacific Oyster Crassostrea gigas</t>
  </si>
  <si>
    <t>Ocean acidification; Copper; Crassostrea gigas; Bioconcentration; Oxidative stress; Multi-biomarker</t>
  </si>
  <si>
    <t>LONG-TERM EXPOSURE; ISOPOD PORCELLIONIDES-PRUINOSUS; OCEAN ACIDIFICATION; OXIDATIVE STRESS; MYTILUS-GALLOPROVINCIALIS; PHYSIOLOGICAL ENERGETICS; RUDITAPES-PHILIPPINARUM; SUPEROXIDE-DISMUTASE; ENVIRONMENTAL-STRESS; ENZYME-ACTIVITIES</t>
  </si>
  <si>
    <t>Ocean acidification (OA) has been found to increase the release of free Cu2+ in seawater. However, only a handful of studies have investigated the influence of OA on Cu accumulation and cellular toxicity in bivalve species. In this study, Pacific oysters, Crassostrea gigas, were exposed to 25 mu g/L Cu2+ at three pH levels (8.1, 7.8 and 7.6) for 14 and 28 days. Physiological and histopathological parameters [(clearance rate (CR), respiration rate (RR), histopathological damage and condition index (CI)), oxidative stress and neurotoxicity biomarkers [superoxide dismutase (SOD) and glutathione transferase (GST) activities, lipid peroxidation (LPO) and acetylcholinesterase (AChE) activity], combined with glycolytic enzyme activities [pyruvate kinase (PK) and hexokinase (HK)] were investigated in C. gigas. The bioconcentration of Cu was increased in soft tissues of Cuexposed oysters under OA. Our results suggest that both OA and Cu could lead to physiological disturbance, oxidative stress, cellular damage, disturbance in energy metabolism and neurotoxicity in oysters. The inhibited CR, increased glycolytic enzymes activities and decreased CI suggested that the energy metabolism strategy adopted by oysters was not sustainable in the long term. Furthermore, integrated biomarker response (IBR) results found that OA and Cu exposure lead to severe stress to oysters, and co-exposure was the most stressful condition. Results from this study highlight the need to include OA in future environmental assessments of pollutants and hazardous materials to better elucidate the risks of those environmental perturbations.</t>
  </si>
  <si>
    <t>[Cao, Ruiwen; Zhang, Tianyu; Li, Xiao; Wang, Qing; Yang, Dinglong; Qu, Yi; Liu, Hui; Dong, Zhijun; Zhao, Jianmin] Chinese Acad Sci, Yantai Inst Coastal Zone Res, Muping Coastal Environm Res Stn, Yantai 264117, Shandong, Peoples R China; [Cao, Ruiwen; Zhang, Tianyu; Li, Xiao; Wang, Qing; Yang, Dinglong; Qu, Yi; Liu, Hui; Dong, Zhijun; Zhao, Jianmin] Chinese Acad Sci, Ctr Ocean Mega Sci, Qingdao 266071, Shandong, Peoples R China; [Cao, Ruiwen; Zhang, Tianyu; Li, Xiao; Qu, Yi; Zhao, Jianmin] Chinese Acad Sci, Yantai Inst Coastal Zone Res, Key Lab Coastal Biol &amp; Biol Resources Utilizat, Yantai 264003, Shandong, Peoples R China; [Cao, Ruiwen; Zhang, Tianyu; Li, Xiao] Univ Chinese Acad Sci, Beijing 100049, Peoples R China; [Zhao, Yuting] Shandong Marine Resource &amp; Environm Res Inst, Yantai 264006, Peoples R China</t>
  </si>
  <si>
    <t>Chinese Academy of Sciences; Yantai Institute of Coastal Zone Research, CAS; Chinese Academy of Sciences; Chinese Academy of Sciences; Yantai Institute of Coastal Zone Research, CAS; Chinese Academy of Sciences; University of Chinese Academy of Sciences, CAS</t>
  </si>
  <si>
    <t>Zhao, JM (corresponding author), Chinese Acad Sci, Yantai Inst Coastal Zone Res, Muping Coastal Environm Res Stn, Yantai 264117, Shandong, Peoples R China.</t>
  </si>
  <si>
    <t>Wang, Qing/O-1991-2013; wang, lili/HDL-7210-2022; Dong, Zhijun/B-9172-2009</t>
  </si>
  <si>
    <t>zhang, tianyu/0000-0002-1094-0827; Dong, Zhijun/0000-0001-7692-5892</t>
  </si>
  <si>
    <t>National Key Research and Development Program of China [2018YFC1406503]; National Natural Science Foundation of China [31172388]; Youth Foundation of Shandong Natural Science Foundation [ZR2016DP06]; Two-Hundred Talents Plan of Yantai [Y839081021]; Instrument Developing Project of the Chinese Academy of Sciences [YJKYYQ20170071]; Youth Innovation Promotion Association, CAS [2016196]</t>
  </si>
  <si>
    <t>National Key Research and Development Program of China(National Key Research &amp; Development Program of China); National Natural Science Foundation of China(National Natural Science Foundation of China (NSFC)); Youth Foundation of Shandong Natural Science Foundation; Two-Hundred Talents Plan of Yantai; Instrument Developing Project of the Chinese Academy of Sciences; Youth Innovation Promotion Association, CAS</t>
  </si>
  <si>
    <t>This research was supported by grants from the National Key Research and Development Program of China (2018YFC1406503), the National Natural Science Foundation of China (No. 31172388), Youth Foundation of Shandong Natural Science Foundation (ZR2016DP06), Two-Hundred Talents Plan of Yantai (Y839081021), the Instrument Developing Project of the Chinese Academy of Sciences (YJKYYQ20170071) and the Youth Innovation Promotion Association, CAS (2016196).</t>
  </si>
  <si>
    <t>10.1016/j.aquatox.2019.03.002</t>
  </si>
  <si>
    <t>http://dx.doi.org/10.1016/j.aquatox.2019.03.002</t>
  </si>
  <si>
    <t>HT3RV</t>
  </si>
  <si>
    <t>WOS:000464481800016</t>
  </si>
  <si>
    <t>Lohrer, AM; Townsend, M; Rodil, IF; Hewitt, JE; Thrush, SF</t>
  </si>
  <si>
    <t>Lohrer, Andrew M.; Townsend, Michael; Rodil, Ivan F.; Hewitt, Judi E.; Thrush, Simon F.</t>
  </si>
  <si>
    <t>Detecting shifts in ecosystem functioning: The decoupling of fundamental relationships with increased pollutant stress on sandflats</t>
  </si>
  <si>
    <t>Austrovenus stutchburyi; Ecosystem functioning; Heavy metal contamination; New Zealand estuarine sediments; Nucula hartvigiana; Organic matter enrichment</t>
  </si>
  <si>
    <t>SPECIES-ABUNDANCE DISTRIBUTIONS; ESTUARINE BENTHIC INDEX; BIOTIC INTEGRITY; MARINE; BIODIVERSITY; SEDIMENT; DISTURBANCE; PRODUCTIVITY; COMMUNITIES; ASSEMBLAGES</t>
  </si>
  <si>
    <t>In this study, we investigated the influence of low level contamination by copper, lead and zinc on the functioning of estuarine sandflat ecosystems by comparing the strength and variability of relationships between benthic macrofauna and fluxes (oxygen and nutrients) at three clean and three mildly contaminated sites. Specifically, as indicators of ecosystem functioning, we examined relationships between bivalve biomass, total benthic respiration and ammonium release, and ammonium uptake and benthic primary production. Furthermore, a small amount of organic matter was added to experimental plots at all sites (35 g/0.2 m(2)) to evaluate stress-on-stress responses relative to controls. Relationships were strongest at the clean sites (steepest slopes, highest r(2) values, lowest p-values) and weakest at the mildly contaminated sites and in organically enriched plots. Our results suggest that changes in ecosystem functioning may be occurring at mild (</t>
  </si>
  <si>
    <t>[Lohrer, Andrew M.; Townsend, Michael; Rodil, Ivan F.; Hewitt, Judi E.; Thrush, Simon F.] Natl Inst Water &amp; Atmospher Res NIWA, Hamilton 3216, New Zealand; [Rodil, Ivan F.] Univ Vigo, Dept Ecol &amp; Biol Anim, Vigo 36310, Spain</t>
  </si>
  <si>
    <t>National Institute of Water &amp; Atmospheric Research (NIWA) - New Zealand; Universidade de Vigo</t>
  </si>
  <si>
    <t>Lohrer, AM (corresponding author), Natl Inst Water &amp; Atmospher Res NIWA, POB 11-115, Hamilton 3216, New Zealand.</t>
  </si>
  <si>
    <t>d.lohrer@niwa.co.nz</t>
  </si>
  <si>
    <t>Rodil, Iván/I-5305-2013</t>
  </si>
  <si>
    <t>Rodil, Ivan/0000-0001-6375-1598; Thrush, Simon/0000-0002-4005-3882</t>
  </si>
  <si>
    <t>New Zealand's Foundation for Research Science and Technology (FRST) [C01X0504]; programa Angeles Alvarino, XUGA</t>
  </si>
  <si>
    <t>New Zealand's Foundation for Research Science and Technology (FRST)(New Zealand Foundation for Research, Science and Technology); programa Angeles Alvarino, XUGA</t>
  </si>
  <si>
    <t>Funding was provided by New Zealand's Foundation for Research Science and Technology (FRST Contract No. C01X0504). Additional funding to I.F.R. was provided by a post-doctoral grant (programa Angeles Alvarino, XUGA). The Department of Conservation, Auckland Conservancy, granted us permission to work at the Pollen Island site. We thank C. Kraan, M. Emmerson and two reviewers for their insightful comments on an earlier draft of this manuscript.</t>
  </si>
  <si>
    <t>10.1016/j.marpolbul.2012.09.012</t>
  </si>
  <si>
    <t>http://dx.doi.org/10.1016/j.marpolbul.2012.09.012</t>
  </si>
  <si>
    <t>WOS:000313380800033</t>
  </si>
  <si>
    <t>Wu, HF; Ji, CL; Wang, Q; Liu, XL; Zhao, JM; Feng, JH</t>
  </si>
  <si>
    <t>Wu Huifeng; Ji Chenglong; Wang Qing; Liu Xiaoli; Zhao Jianmin; Feng Jianghua</t>
  </si>
  <si>
    <t>Manila clam Venerupis philippinarum as a biomonitor to metal pollution</t>
  </si>
  <si>
    <t>Manila clam; Venerupis philippinarum; biomonitor; biomarker; metabolomics</t>
  </si>
  <si>
    <t>MYTILUS-GALLOPROVINCIALIS; RUDITAPES-PHILIPPINARUM; ANTIOXIDANT ENZYMES; DIGESTIVE GLAND; HEAVY-METALS; NMR; CADMIUM; MUSSEL; METABOLOMICS; RESPONSES</t>
  </si>
  <si>
    <t>The Manila clam Venerupis philippinarum is a good biomonitor/bioindicator to marine metal pollution and is frequently used in aquatic toxicology. Two dominant pedigrees (white and zebra) of clam are distributed in the Bohai Sea; however, little attention has been paid to potential biological differences between these two pedigrees. In this study, we tested the sensitivity of both pedigrees to marine metal (cadmium and zinc) pollution biomonitoring and marine environmental toxicology. Results demonstrate significant biological differences in gills of white and zebra clams based on metabolic profiles and antioxidant enzyme activities. In addition, we found that hypotaurine, malonate and homarine were relatively high in white clam gills, while alanine, arginine, glutamate, succinate, 4-aminobutyrate, taurine and betaine were high in zebra clam gills. Zebra clam gills were also more sensitive to a mixture of Cd and Zn, as shown by antioxidant enzyme activities and metabolic profiles, but white clam gills could accumulate more Zn. Therefore, we suggest that the white pedigree can be used as a biomonitor to marine Zn pollution, whereas the zebra pedigree can be used for toxicology studies on Cd and Zn mixed pollution.</t>
  </si>
  <si>
    <t>[Wu Huifeng; Ji Chenglong; Wang Qing; Liu Xiaoli; Zhao Jianmin] Chinese Acad Sci, Key Lab Coastal Zone Environm Proc, Yantai Inst Coastal Zone Res YIC,YICCAS, Shandong Prov Key Lab Coastal Zone Environm Proc, Yantai 264003, Peoples R China; [Ji Chenglong; Liu Xiaoli] Chinese Acad Sci, Grad Univ, Beijing 100049, Peoples R China; [Feng Jianghua] Xiamen Univ, Dept Elect Sci, Fujian Key Lab Plasma &amp; Magnet Resonance, State Key Lab Phys Chem Solid Surfaces, Xiamen 361005, Peoples R China</t>
  </si>
  <si>
    <t>Chinese Academy of Sciences; Yantai Institute of Coastal Zone Research, CAS; Chinese Academy of Sciences; University of Chinese Academy of Sciences, CAS; Xiamen University</t>
  </si>
  <si>
    <t>Wu, HF (corresponding author), Chinese Acad Sci, Key Lab Coastal Zone Environm Proc, Yantai Inst Coastal Zone Res YIC,YICCAS, Shandong Prov Key Lab Coastal Zone Environm Proc, Yantai 264003, Peoples R China.</t>
  </si>
  <si>
    <t>Wang, Qing/O-1991-2013; Ji, Chenglong/U-5411-2017; Liu, Xiaoli/HGE-7614-2022</t>
  </si>
  <si>
    <t>National Natural Science Foundation of China [41106102]; Shandong Science Foundation of China [ZR2009CZ008]; Chinese Academy of Sciences</t>
  </si>
  <si>
    <t>National Natural Science Foundation of China(National Natural Science Foundation of China (NSFC)); Shandong Science Foundation of China; Chinese Academy of Sciences(Chinese Academy of Sciences)</t>
  </si>
  <si>
    <t>Supported by the National Natural Science Foundation of China (No. 41106102), Shandong Science Foundation of China (No. ZR2009CZ008), and the 100 Talents Program of the Chinese Academy of Sciences</t>
  </si>
  <si>
    <t>10.1007/s00343-013-2037-y</t>
  </si>
  <si>
    <t>http://dx.doi.org/10.1007/s00343-013-2037-y</t>
  </si>
  <si>
    <t>072FG</t>
  </si>
  <si>
    <t>WOS:000313654000007</t>
  </si>
  <si>
    <t>Chou, J; Clement, G; Bursavich, B; Elbers, D; Cao, BB; Zhou, WL</t>
  </si>
  <si>
    <t>Chou, Ju; Clement, Garret; Bursavich, Bradley; Elbers, Don; Cao, Baobao; Zhou, Weilie</t>
  </si>
  <si>
    <t>Rapid detection of toxic metals in non-crushed oyster shells by portable X-ray fluorescence spectrometry</t>
  </si>
  <si>
    <t>Portable XRF; Lead (Pb); Contamination; Oyster shells; SEM; EDX</t>
  </si>
  <si>
    <t>AKOYA PEARL OYSTER; NEW-ORLEANS; HEAVY-METALS; TRACE-METALS; LEAD; SEDIMENTS; SOILS; KATRINA; MUSSELS; EDULIS</t>
  </si>
  <si>
    <t>The aim of this study was the multi-elemental detection of toxic metals such as lead (Pb) in non-crushed oyster shells by using a portable X-ray fluorescence (XRF) spectrometer. A rapid, simultaneous multi-element analytical methodology for non-crushed oyster shells has been developed using a portable XRF which provides a quick, quantitative, non-destructive, and cost-effective mean for assessment of oyster shell contamination from Pb. Pb contamination in oyster shells was further confirmed by scanning electron microscopy with energy dispersive spectroscopy (SEM-EDS). The results indicated that Pb is distributed in-homogeneously in contaminated shells. Oyster shells have a lamellar structure that could contribute to the high accumulation of Pb on oyster shells. Published by Elsevier Ltd.</t>
  </si>
  <si>
    <t>[Chou, Ju; Clement, Garret; Bursavich, Bradley; Elbers, Don] SE Louisiana Univ, Dept Chem &amp; Phys, Hammond, LA 70402 USA; [Cao, Baobao; Zhou, Weilie] Univ New Orleans, Adv Mat Res Inst, New Orleans, LA 70148 USA</t>
  </si>
  <si>
    <t>University of Louisiana System; Southeastern Louisiana University; University of Louisiana System; University of New Orleans</t>
  </si>
  <si>
    <t>Chou, J (corresponding author), SE Louisiana Univ, Dept Chem &amp; Phys, Hammond, LA 70402 USA.</t>
  </si>
  <si>
    <t>Ju.Chou@selu.edu</t>
  </si>
  <si>
    <t>Cao, Baobao/E-9110-2011</t>
  </si>
  <si>
    <t>Cao, Baobao/0000-0002-2517-9903</t>
  </si>
  <si>
    <t>Southeastern Louisiana University; Innov-X Systems (Woburn, MA); Louisiana Board of Regents [LEQSF(2007-12)-ENH-PKSFI-PRS-04]</t>
  </si>
  <si>
    <t>Southeastern Louisiana University; Innov-X Systems (Woburn, MA); Louisiana Board of Regents</t>
  </si>
  <si>
    <t>The authors would like to acknowledge Lead Grant and the Faculty Development Grant (Southeastern Louisiana University) for financial support and Innov-X Systems (Woburn, MA) for generous loan of a portable XRF for this work. L Zhou acknowledges partial support from Louisiana Board of Regents Contract No. LEQSF(2007-12)-ENH-PKSFI-PRS-04.</t>
  </si>
  <si>
    <t>10.1016/j.envpol.2010.02.015</t>
  </si>
  <si>
    <t>http://dx.doi.org/10.1016/j.envpol.2010.02.015</t>
  </si>
  <si>
    <t>605JE</t>
  </si>
  <si>
    <t>WOS:000278343000031</t>
  </si>
  <si>
    <t>Yancheva, V; Georgieva, E; Stoyanova, S; Tsvetanova, V; Todorova, K; Mollov, I; Velcheva, I</t>
  </si>
  <si>
    <t>Yancheva, Vesela; Georgieva, Elenka; Stoyanova, Stela; Tsvetanova, Vesela; Todorova, Kostadinka; Mollov, Ivelin; Velcheva, Iliana</t>
  </si>
  <si>
    <t>Short-and Long-term Toxicity of Cadmium and Polyaromatic Hydrocarbons on Zebra Mussel Dreissena polymorpha (Pallas, 1771) (Bivalvia: Dreissenidae)</t>
  </si>
  <si>
    <t>ACTA ZOOLOGICA BULGARICA</t>
  </si>
  <si>
    <t>mussels; Cd; PAH; lysosomes; haemocytes</t>
  </si>
  <si>
    <t>LYSOSOMAL MEMBRANE STABILITY; MYTILUS-GALLOPROVINCIALIS; RESPIRATION RATE; MARINE MUSSELS; EXPOSURE; COPPER; CHLORPYRIFOS; BIOMARKERS; POLLUTION; IMPACTS</t>
  </si>
  <si>
    <t>This study was designed to examine the possible negative effects, which cadmium (Cd) and polyaromatic hydrocarbons (PAHs) could have on the lysosomal membrane stability in haemocytes of the invasive mollusk zebra mussel (Dreissena polymorpha) by applying the neutral red retention assay (NRRA). The mussels were exposed to different concentrations of Cd and PAHs in laboratory conditions for 96 hours (acute exposure) and 31 days (chronic exposure). These are considered as priority substances in surface waters according to DIRECTIVE 2008/105/EC. We found lysosomal membrane destabilisation in all mussels treated with Cd and PAHs, including concentrations, which were lower than the allowable ones. In addition, we determined a trend of lower retention time in the mussels treated with Cd as compared to the ones treated with PAHs, although these differences were not significant (p&gt;0.05). Our results confirmed that the neutral red retention assay could be used as a cheap, fast and reliable biomarker for Cd and PAHs effects on freshwater mollusks and that zebra mussel could be suggested as a freshwater bioindicator for water contamination. However, further studies are required in order to better understand the negative effects of Cd and PAHs on this bivalve species.</t>
  </si>
  <si>
    <t>[Yancheva, Vesela; Georgieva, Elenka; Stoyanova, Stela; Mollov, Ivelin; Velcheva, Iliana] Paisij Hilendarski Univ Plovdiv, Fac Biol, 24 Tsar Asen St, Plovdiv 4000, Bulgaria; [Tsvetanova, Vesela] Minist Environm &amp; Water, Execut Environm Agcy, Reg Accredited Lab, Plovdiv, Bulgaria; [Todorova, Kostadinka] Paisij Hilendarski Univ Plovdiv, Lyuben Karavelov Branch, Kardzhali, Bulgaria</t>
  </si>
  <si>
    <t>Plovdiv University; Plovdiv University</t>
  </si>
  <si>
    <t>Stoyanova, S (corresponding author), Paisij Hilendarski Univ Plovdiv, Fac Biol, 24 Tsar Asen St, Plovdiv 4000, Bulgaria.</t>
  </si>
  <si>
    <t>stela.st@bv.bg</t>
  </si>
  <si>
    <t>Yancheva, Vesela/AAJ-3251-2020; Stoyanova, Stela/GYJ-7435-2022; Georgieva, Elenka/GXG-8061-2022; Mollov, Ivelin/A-5896-2015</t>
  </si>
  <si>
    <t>Mollov, Ivelin/0000-0002-9022-896X; Yancheva, Vesela/0000-0001-8316-1990</t>
  </si>
  <si>
    <t>NPD-Plovdiv University [SP17-BF003, 1771]</t>
  </si>
  <si>
    <t>NPD-Plovdiv University</t>
  </si>
  <si>
    <t>This study was supported by the NPD-Plovdiv University under Grant No SP17-BF003 Integrated biomarkers for priority toxic substances in aquatic ecosystems by using zebra mussel (Dressena polymorpha Pallas, 1771) as bioindicator.</t>
  </si>
  <si>
    <t>INST ZOOLOGY, BAS</t>
  </si>
  <si>
    <t>1000 SOFIA, 1, TSAR OSVOBODITEL BLVD, SOFIA, 00000, BULGARIA</t>
  </si>
  <si>
    <t>0324-0770</t>
  </si>
  <si>
    <t>ACTA ZOOL BULGAR</t>
  </si>
  <si>
    <t>Acta Zool. Bulg.</t>
  </si>
  <si>
    <t>HF8DY</t>
  </si>
  <si>
    <t>WOS:000454472300016</t>
  </si>
  <si>
    <t>Thompson, EL; Taylor, DA; Nair, SV; Birch, G; Haynes, PA; Raftos, DA</t>
  </si>
  <si>
    <t>Thompson, Emma L.; Taylor, Daisy A.; Nair, Sham V.; Birch, Gavin; Haynes, Paul A.; Raftos, David A.</t>
  </si>
  <si>
    <t>Proteomic discovery of biomarkers of metal contamination in Sydney Rock oysters (Saccostrea glomerata)</t>
  </si>
  <si>
    <t>Metal contamination; Molecular biomarkers; Saccostrea glomerata; Sydney Rock oysters; Proteomics; Two-dimensional electrophoresis</t>
  </si>
  <si>
    <t>CRASSOSTREA-VIRGINICA; MYTILUS-EDULIS; OXIDATIVE STRESS; CHAMAELEA-GALLINA; MARINE POLLUTANTS; BINDING-PROTEINS; GENE-EXPRESSION; PACIFIC OYSTER; MESSENGER-RNA; RIVER ESTUARY</t>
  </si>
  <si>
    <t>In the current study we examined the effects of metal contamination on the protein complement of Sydney Rock oysters. Saccostrea glomerata were exposed for 4 days to three environmentally relevant concentrations (100 mu g/l, 50 mu g/l and 5 mu g/l) of cadmium, copper, lead and zinc. Protein abundances in oyster haemolymph from metal-exposed oysters were compared to those from non-exposed controls using two-dimensional electrophoresis to display differentially expressed proteins. Differentially expressed proteins were subsequently identified using tandem mass spectrometry (LC-MS/MS), to assign their putative biological functions. Unique sets of differentially expressed proteins were affected by each metal, in addition to proteins that were affected by more than one metal. The proteins identified included some that are commonly associated with environmental monitoring, such as HSP 70, and other novel proteins not previously considered as candidates for molecular biomonitoring. The most common biological functions of proteins were associated with stress response, cytoskeletal activity and protein synthesis. (C) 2011 Elsevier B.V. All rights reserved.</t>
  </si>
  <si>
    <t>[Thompson, Emma L.; Taylor, Daisy A.; Nair, Sham V.; Raftos, David A.] Macquarie Univ, Dept Biol Sci, N Ryde, NSW 2109, Australia; [Thompson, Emma L.; Taylor, Daisy A.; Raftos, David A.] Sydney Inst Marine Sci, Chowder Bay, NSW 2088, Australia; [Birch, Gavin] Univ Sydney, Dept Geochem, Sydney, NSW 2006, Australia; [Haynes, Paul A.] Macquarie Univ, Dept Chem &amp; Biomol Sci, N Ryde, NSW 2109, Australia</t>
  </si>
  <si>
    <t>Macquarie University; Sydney Institute of Marine Science; University of Sydney; Macquarie University</t>
  </si>
  <si>
    <t>Thompson, EL (corresponding author), Macquarie Univ, Dept Biol Sci, N Ryde, NSW 2109, Australia.</t>
  </si>
  <si>
    <t>Thompson, Emma/0000-0003-0850-0547; Haynes, Paul/0000-0003-1472-8249</t>
  </si>
  <si>
    <t>Australian Research Council; Macquarie University</t>
  </si>
  <si>
    <t>Australian Research Council(Australian Research Council); Macquarie University</t>
  </si>
  <si>
    <t>This research is supported by an Australian Research Council Linkage Grant in collaboration with the Department of Environment, Climate Change and Water. Research has been facilitated by access to the Sydney Institute of Marine Science (manuscript reference number 55), and to the Australian Proteome Facility established under the Australian Government's Major National Research Program. E Thompson is the recipient of an MQRes post-graduate scholarship from Macquarie University.</t>
  </si>
  <si>
    <t>10.1016/j.aquatox.2011.09.018</t>
  </si>
  <si>
    <t>http://dx.doi.org/10.1016/j.aquatox.2011.09.018</t>
  </si>
  <si>
    <t>WOS:000301691000023</t>
  </si>
  <si>
    <t>Sunny, S; Kesavan, M; Reghunath, S</t>
  </si>
  <si>
    <t>Sunny, Syam; Kesavan, Maya; Reghunath, Sreelesh</t>
  </si>
  <si>
    <t>Seasonal Assessment of Sedimentological Parameters in the Estuarine and Coastal Compartments of Southwest India</t>
  </si>
  <si>
    <t>Seasons; Sediment; Texture; Estuary; Heavy metals</t>
  </si>
  <si>
    <t>HEAVY-METAL CONTAMINATION; EAST CHINA SEA; ORGANIC-MATTER; INNER SHELF; WEST-COAST; SEDIMENTS; RIVER; POLLUTION; WATER; RESERVOIR</t>
  </si>
  <si>
    <t>A comprehensive seasonal sedimentological study comprising pre-monsoon, monsoon, and post-monsoon was conducted along estuarine and marine transects near Kadinamkulam Estuary, Kerala, Southwest India. Physico-chemical parameters of bottom waters; sediment texture; organic carbon; heavy metals such as Cu, Cr, Ni, Zn, Pb, and Hg; and macrobenthic composition were analysed. Severe heavy metal contamination was not recorded from any of the sampling transects (CF &lt; 1). Retting of coconut husk in the estuary resulted in hypoxic conditions of bottom waters (D.O &gt; 3 MgL-1) during pre- and post-monsoon seasons. We identified salinity (&gt; 20 psu) and alkaline pH favoured metabolic activity of bivalves and clay/heavy clay texture pattern with comparatively high organic matter preferred growth of bivalves in estuarine-marine mixing zone and coastal transects. PCA studies concluded further uncontrolled anthropogenic activities in the estuary would intensify the heavy metal concentration of Cu, Cr, and Ni in the surface sediments which would lead to probable bioaccumulation in bivalves.</t>
  </si>
  <si>
    <t>[Sunny, Syam; Kesavan, Maya; Reghunath, Sreelesh] Natl Ctr Earth Sci Studies, Trivandrum 695031, India; [Sunny, Syam] Univ Kerala, Dept Environm Sci, Thiruvananthapuram 695581, India</t>
  </si>
  <si>
    <t>Ministry of Earth Sciences (MoES) - India; National Centre for Earth Science Studies (NCESS); University of Kerala</t>
  </si>
  <si>
    <t>Sunny, S (corresponding author), Natl Ctr Earth Sci Studies, Trivandrum 695031, India.;Sunny, S (corresponding author), Univ Kerala, Dept Environm Sci, Thiruvananthapuram 695581, India.</t>
  </si>
  <si>
    <t>syamsunny123@gmail.com</t>
  </si>
  <si>
    <t>, Dr. Maya K./0009-0002-3109-7776</t>
  </si>
  <si>
    <t>10.1007/s11270-023-06457-8</t>
  </si>
  <si>
    <t>http://dx.doi.org/10.1007/s11270-023-06457-8</t>
  </si>
  <si>
    <t>K5IP1</t>
  </si>
  <si>
    <t>WOS:001016776900003</t>
  </si>
  <si>
    <t>PHELPS, HL; PEARSON, WH; HARDY, JT</t>
  </si>
  <si>
    <t>CLAM BURROWING BEHAVIOR AND MORTALITY RELATED TO SEDIMENT COPPER</t>
  </si>
  <si>
    <t>Gravel sediment freshly enriched with over 4.4 .mu.g Cu g-1 significantly increased the burrowing and reburrowing times of Littleneck marine clams (Protothaca staminea). Abnormal burrowing behavior was observed with time-lapse video. Aged (1 day) copper-enriched sediment did not affect clam burrowing time. Copper in sediment porewater declined three days after sediment enrichment to background levels without change in total sediment copper. In a long-term experiment, clams with increased burrowing time into copper-enriched sediment had up to 25% mortality after 12-29 days burial in the sediment. The majority of clam mortality was found in clams burrowing within the first 48 h. Over 7 weeks there was blackening of sediment and clam shells proportional to sediment copper enrichment.</t>
  </si>
  <si>
    <t>PACIFIC NW LAB, MARINE RES LABS, SEQUIM, WA 98382 USA</t>
  </si>
  <si>
    <t>United States Department of Energy (DOE); Pacific Northwest National Laboratory</t>
  </si>
  <si>
    <t>UNIV DIST COLUMBIA, DEPT BIOL, 4200 CONNECTICUT AVE NW, WASHINGTON, DC 20008 USA.</t>
  </si>
  <si>
    <t>10.1016/0025-326X(85)90445-X</t>
  </si>
  <si>
    <t>http://dx.doi.org/10.1016/0025-326X(85)90445-X</t>
  </si>
  <si>
    <t>AQF14</t>
  </si>
  <si>
    <t>WOS:A1985AQF1400003</t>
  </si>
  <si>
    <t>Tyurin, AN</t>
  </si>
  <si>
    <t>Choice of biotests and bioindicators for evaluation of the quality of the marine environment</t>
  </si>
  <si>
    <t>bioindicator; biotest; cadmium; chiton; copper; detergent; marine (sea) pollution; sea urchin; zinc</t>
  </si>
  <si>
    <t>HEAVY-METALS; ISOGNOMON-CALIFORNICUM; SEA-URCHINS; TOXICITY; EMBRYOS; CADMIUM; LARVAE; SENSITIVITY; BIVALVE</t>
  </si>
  <si>
    <t>Approaches to the analysis of marine environmental conditions using the embryos, larvae and juveniles of marine invertebrates are discussed. A general approach to the choice of biotests and bioindicators is described.</t>
  </si>
  <si>
    <t>Inst Marine Biol, Far E Fed Marine Reserve, Vladivostok 690041, Russia</t>
  </si>
  <si>
    <t>Tyurin, AN (corresponding author), Inst Marine Biol, Far E Fed Marine Reserve, Vladivostok 690041, Russia.</t>
  </si>
  <si>
    <t>10.1504/IJEP.2000.002310</t>
  </si>
  <si>
    <t>http://dx.doi.org/10.1504/IJEP.2000.002310</t>
  </si>
  <si>
    <t>WOS:000088280100004</t>
  </si>
  <si>
    <t>Sun, X; Li, BS; Liu, XL; Li, CX</t>
  </si>
  <si>
    <t>Sun, Xia; Li, Bao-Shi; Liu, Xuan-Li; Li, Cheng-Xuan</t>
  </si>
  <si>
    <t>Spatial Variations and Potential Risks of Heavy Metals in Seawater, Sediments, and Living Organisms in Jiuzhen Bay, China</t>
  </si>
  <si>
    <t>JOURNAL OF CHEMISTRY</t>
  </si>
  <si>
    <t>SURFACE SEDIMENTS; ECOLOGICAL RISK; POLLUTION; RIVER; EAST; SEA; SEAFOOD; ESTUARY; TRANSPORT; REGIONS</t>
  </si>
  <si>
    <t>Coastal waters are polluted by heavy metals to varying degrees, posing potential risks to marine ecology and human health. In May 2006, the pollution levels, sources, and ecological risks of heavy metals (Cu, Pb, Zn, Cd, Hg, and As) in seawater, surface sediments, and living organisms were studied in Jiuzhen Bay in Fujian, China. This study identified Hg (0.26-0.72 mu g/L) and As (20.3-31.5 mu g/L) pollution in the seawater of Jiuzhen Bay. In sediments, heavy Pb pollution (946 mu g/g dw) was only detected at one station at a level posing very serious potential risk, while Hg pollution (0.052-0.087 mu g/g dw) was observed at three stations at a level posing serious potential risk. No heavy metal pollution was detected in sediments at other stations. The concentrations of five heavy metals (Cu, Zn, As, Cd, and Pb) exceeded the corresponding National Quality Standards for oysters, indicating heavy pollution, based on an ecological risk assessment. In clams, two heavy metals (Pb and As) exceeded the standards, indicating light pollution, based on an ecological risk assessment. No heavy metal pollution was found in fish or shrimps. The heavy metals in the seawater and sediments of Jiuzhen Bay are mainly derived from the river discharges of Luxi and Wujiang Rivers although sewage discharge along the coast of Jiuzhen Bay is another source of heavy metal pollution at some stations. Given the pollution of Pb, Hg, and As in seawater and sediments at some stations within the bay, the potential risks of Pb, Hg, and As in living organisms to both the marine ecology and human health deserve increased attention.</t>
  </si>
  <si>
    <t>[Sun, Xia; Li, Bao-Shi; Liu, Xuan-Li] Minist Nat Resources China, Inst Oceanog 1, Marine Ecol Res Ctr, Qingdao 266061, Peoples R China; [Li, Cheng-Xuan] Qingdao Natl Lab Marine Sci &amp; Technol, Lab Marine Ecol &amp; Environm Sci, Qingdao 266237, Peoples R China; [Li, Cheng-Xuan] Minist Nat Resources China, Key Lab Sci &amp; Technol Marine Ecol Environm, Inst Oceanog 1, Qingdao 266061, Shandong, Peoples R China</t>
  </si>
  <si>
    <t>Ministry of Natural Resources of the People's Republic of China; First Institute of Oceanography, Ministry of Natural Resources; Laoshan Laboratory; Ministry of Natural Resources of the People's Republic of China; First Institute of Oceanography, Ministry of Natural Resources</t>
  </si>
  <si>
    <t>Li, CX (corresponding author), Qingdao Natl Lab Marine Sci &amp; Technol, Lab Marine Ecol &amp; Environm Sci, Qingdao 266237, Peoples R China.;Li, CX (corresponding author), Minist Nat Resources China, Key Lab Sci &amp; Technol Marine Ecol Environm, Inst Oceanog 1, Qingdao 266061, Shandong, Peoples R China.</t>
  </si>
  <si>
    <t>cxli@fio.org.cn</t>
  </si>
  <si>
    <t>Liu, Xuanli/ISU-3238-2023</t>
  </si>
  <si>
    <t>, Li BaoShi/0000-0001-8457-6397; Li, Chengxuan/0000-0002-9233-9532</t>
  </si>
  <si>
    <t>National Natural Science Foundation of China [41676074]; National Key Research and Development Program of China [2018YFC140707600]; Basic Scientific Fund for the National Public Research Institutes of China [2016Q04]</t>
  </si>
  <si>
    <t>National Natural Science Foundation of China(National Natural Science Foundation of China (NSFC)); National Key Research and Development Program of China(National Key Research &amp; Development Program of China); Basic Scientific Fund for the National Public Research Institutes of China</t>
  </si>
  <si>
    <t>This work was financially supported by the National Natural Science Foundation of China (Grant no. 41676074), the National Key Research and Development Program of China (no. 2018YFC140707600), and the Basic Scientific Fund for the National Public Research Institutes of China (Grant no. 2016Q04).</t>
  </si>
  <si>
    <t>HINDAWI LTD</t>
  </si>
  <si>
    <t>ADAM HOUSE, 3RD FLR, 1 FITZROY SQ, LONDON, W1T 5HF, ENGLAND</t>
  </si>
  <si>
    <t>2090-9063</t>
  </si>
  <si>
    <t>2090-9071</t>
  </si>
  <si>
    <t>J CHEM-NY</t>
  </si>
  <si>
    <t>J. Chem.</t>
  </si>
  <si>
    <t>FEB 3</t>
  </si>
  <si>
    <t>10.1155/2020/7971294</t>
  </si>
  <si>
    <t>http://dx.doi.org/10.1155/2020/7971294</t>
  </si>
  <si>
    <t>KQ0FK</t>
  </si>
  <si>
    <t>WOS:000516605700001</t>
  </si>
  <si>
    <t>Ivanina, AV; Froelich, B; Williams, T; Sokolov, EP; Oliver, JD; Sokolova, IM</t>
  </si>
  <si>
    <t>Ivanina, Anna V.; Froelich, Brett; Williams, Tiffany; Sokolov, Eugene P.; Oliver, James D.; Sokolova, Inna M.</t>
  </si>
  <si>
    <t>Interactive effects of cadmium and hypoxia on metabolic responses and bacterial loads of eastern oysters Crassostrea virginica Gmelin</t>
  </si>
  <si>
    <t>Bivalves; Aerobic metabolism; Glycolysis; Energy status; Transcript expression; Vibrio spp.</t>
  </si>
  <si>
    <t>GENE-EXPRESSION; MITOCHONDRIAL ACONITASE; ACCLIMATION TEMPERATURE; ENZYME-ACTIVITIES; MARINE ECTOTHERM; OXYGEN; EXPOSURE; INHIBITION; BIVALVIA; STRESS</t>
  </si>
  <si>
    <t>Pollution by toxic metals including cadmium (Cd) and hypoxia are important stressors in estuaries and coastal waters which may interactively affect sessile benthic organisms, such as oysters. We studied metabolic responses to prolonged hypoxic acclimation (2 weeks at 5% O-2) in control and Cd-exposed (30 d at 50 mu g L-1 Cd) oysters Crassostrea virginica, and analyzed the effects of these stressors on abundance of Vibrio spp. in oysters. Hypoxia-acclimated oysters retained normal standard metabolic rates (SMR) at 5% O-2, in contrast to a decline of SMR observed during acute hypoxia. However, oysters spent more time actively ventilating in hypoxia than normoxia resulting in enhanced Cd uptake and 2.7-fold higher tissue Cd burdens in hypoxia. Cd exposure led to a significant decrease in tissue glycogen stores, increase in free glucose levels and elevated activity of glycolytic enzymes (hexokinase and aldolase) indicating a greater dependence on carbohydrate catabolism. A compensatory increase in activities of two key mitochondrial enzymes (citrate synthase and cytochrome c oxidase) was found during prolonged hypoxia in control oysters but suppressed in Cd-exposed ones. Cd exposure also resulted in a significant increase in abundance of Vibrio parahaemolyticus and Vibrio vulnificus levels during normoxia and hypoxia, respectively. Overall, Cd- and hypoxia-induced changes in metabolic profile, Cd accumulation and bacterial flora of oysters indicate that these stressors can synergistically impact energy homeostasis, performance and survival of oysters in polluted estuaries and have significant consequences for transfer of Cd and bacterial pathogens to the higher levels of the food chain. (C) 2010 Elsevier Ltd. All rights reserved.</t>
  </si>
  <si>
    <t>[Ivanina, Anna V.; Froelich, Brett; Williams, Tiffany; Oliver, James D.; Sokolova, Inna M.] Univ N Carolina, Dept Biol, Charlotte, NC 28223 USA; [Sokolov, Eugene P.] Carolinas Med Ctr, Dept Gen Surg, Charlotte, NC 28203 USA</t>
  </si>
  <si>
    <t>University of North Carolina; University of North Carolina Charlotte; Carolinas Medical Center</t>
  </si>
  <si>
    <t>Froelich, Brett/AAD-9486-2020; Sokolova, Inna/B-4955-2009</t>
  </si>
  <si>
    <t>Sokolova, Inna/0000-0002-2068-4302; Froelich, Brett/0000-0003-0402-2357</t>
  </si>
  <si>
    <t>National Science Foundation [IOS-0921367]; US Department of Agriculture [2007-35201-18381]; USDA Agriculture and Food Research Initiative [2009-2331-01]</t>
  </si>
  <si>
    <t>National Science Foundation(National Science Foundation (NSF)); US Department of Agriculture(United States Department of Agriculture (USDA)); USDA Agriculture and Food Research Initiative(United States Department of Agriculture (USDA))</t>
  </si>
  <si>
    <t>This work was in part supported by the National Science Foundation award IOS-0921367 to I.M.S., the US Department of Agriculture award # 2007-35201-18381 to J.D.O and I.M.S, and USDA Agriculture and Food Research Initiative Competitive Grant # 2009-2331-01 to J.D.O. The authors thank Brianna Frink for her assistance during determination of PcO2, and Michael D. Murphy for assistance with Cd determination. We also thank two anonymous reviewers for their helpful comments on the earlier version of this manuscript.</t>
  </si>
  <si>
    <t>10.1016/j.chemosphere.2010.09.075</t>
  </si>
  <si>
    <t>http://dx.doi.org/10.1016/j.chemosphere.2010.09.075</t>
  </si>
  <si>
    <t>710EN</t>
  </si>
  <si>
    <t>WOS:000286493800011</t>
  </si>
  <si>
    <t>Podgurskaya, OV; Kavun, VY</t>
  </si>
  <si>
    <t>Podgurskaya, O. V.; Kavun, V. Ya.</t>
  </si>
  <si>
    <t>Assessment of the adaptation capabilities of the bivalves Modiolus modiolus (Linnaeus, 1758) and Crenomytilus grayanus (Dunker, 1853) under increased levels of heavy metals in the environment</t>
  </si>
  <si>
    <t>Crenomytilus grayanus; Modiolus modiolus; active biomonitoring; subcellular distribution; metallothionein-like proteins</t>
  </si>
  <si>
    <t>SUBCELLULAR-DISTRIBUTION; UPWELLING REGIONS; KURIL ISLANDS; ACCUMULATION; CADMIUM; COPPER; IRON; BIOACCUMULATION; CONTAMINATION; BIOMARKERS</t>
  </si>
  <si>
    <t>The active biomonitoring method was used to examine the changes in heavy-metal (Fe, Zn, Cu, Cd, Mn, Pb, and Ni) contents in the organs (muscle, gonads, mantle, gills, digestive gland, and kidney) of the mussels Crenomytilus grayanus and Modiolus modiolus. The dynamics of trace element concentrations in mussel organs during the experiment were compared with their subcellular distribution. The defense strategy of M. modiolus consisted of the threshold accumulation of toxic metals in all organs followed by their excretion, whereas the strategy of C. grayanus involved short-term isolation from adverse environmental influence. Under chronic pollution, in C. grayanus the main loads occurred in the digestive gland and kidney. Under acute changes in environmental conditions, the processes of regulation (detoxification/excretion) of Fe, Mn, and Pb in this species were impaired substantially.</t>
  </si>
  <si>
    <t>[Podgurskaya, O. V.; Kavun, V. Ya.] Russian Acad Sci, Zhirmunsky Inst Marine Biol, Far E Div, Vladivostok 690059, Russia; [Podgurskaya, O. V.] Far Eastern Fed Univ, Vladivostok 690950, Russia</t>
  </si>
  <si>
    <t>Russian Academy of Sciences; National Scientific Center of Marine Biology, Far East Branch of the Russian Academy of Sciences; Far Eastern Federal University</t>
  </si>
  <si>
    <t>Podgurskaya, OV (corresponding author), Russian Acad Sci, Zhirmunsky Inst Marine Biol, Far E Div, Vladivostok 690059, Russia.</t>
  </si>
  <si>
    <t>olga_pod@mail.ru</t>
  </si>
  <si>
    <t>Podgurskaya, Olga/0000-0002-9100-7069; Kavun, Victor/0000-0003-4739-4951</t>
  </si>
  <si>
    <t>Far Eastern Division of the Russian Academy of Sciences [11-III-V-06-062, 09-1-P16-04]; Russian Government [11.G34.31.0010]</t>
  </si>
  <si>
    <t>Far Eastern Division of the Russian Academy of Sciences(Russian Academy of Sciences); Russian Government</t>
  </si>
  <si>
    <t>This study was supported by grants from the Far Eastern Division of the Russian Academy of Sciences (no. 11-III-V-06-062, no. 09-1-P16-04) and a grant from the Russian Government (no. 11.G34.31.0010).</t>
  </si>
  <si>
    <t>10.1134/S1063074012020101</t>
  </si>
  <si>
    <t>http://dx.doi.org/10.1134/S1063074012020101</t>
  </si>
  <si>
    <t>945XV</t>
  </si>
  <si>
    <t>WOS:000304311000009</t>
  </si>
  <si>
    <t>Desideri, D; Meli, MA; Roselli, C; Feduzi, L</t>
  </si>
  <si>
    <t>Desideri, D.; Meli, M. A.; Roselli, C.; Feduzi, L.</t>
  </si>
  <si>
    <t>A biomonitoring study: 210Po and heavy metals in mussels</t>
  </si>
  <si>
    <t>JOURNAL OF RADIOANALYTICAL AND NUCLEAR CHEMISTRY</t>
  </si>
  <si>
    <t>MYTILUS-EDULIS; TRACE-METALS; MARINE; SEA; COAST; ORGANISMS; POLLUTION; GALLOPROVINCIALIS; ENVIRONMENTS; SEDIMENTS</t>
  </si>
  <si>
    <t>In various samples of Mytilus galloprovincialis, (210)Po was determined by alpha-spectrometry while Mn, Fe, Ni, Cu, Zn, Cd, Sn, Hg and Pb by energy dispersive, polarised X-ray fluorescence spectrometry (EDPXRF). The mussels of different sizes were taken from 7 sites in the central Adriatic Sea along the Marche coastal region during the four seasons of the year. (210)Po activity concentration ranged between 57 and 343 Bq center dot kg(-1) dry weight. The concentration ranges of heavy metals (A mu g center dot g(-1) dry weight) were as follows: Mn: 72.9-83.1; Fe: 45.1-754; Ni: 1.3-7.6; Cu: 17.9-156; Zn: 60.9-189; Cd: 0.6-1.0; Sn: 0.6-3.9; Hg always &lt; 0.5; Pb: 2.0-9.0. The data obtained depend upon the site and the period of the sampling and they are also compared with those obtained by other authors for the same organism in the Mediterranean and other Italian seas.</t>
  </si>
  <si>
    <t>[Desideri, D.; Meli, M. A.; Roselli, C.; Feduzi, L.] Urbino Univ Carlo Bo, Inst Gen Chem, I-61029 Urbino, Italy</t>
  </si>
  <si>
    <t>University of Urbino</t>
  </si>
  <si>
    <t>Desideri, D (corresponding author), Urbino Univ Carlo Bo, Inst Gen Chem, Pzza Rinascimento 6, I-61029 Urbino, Italy.</t>
  </si>
  <si>
    <t>donatella.desideri@uniurb.it</t>
  </si>
  <si>
    <t>J RADIOANAL NUCL CH</t>
  </si>
  <si>
    <t>J. Radioanal. Nucl. Chem.</t>
  </si>
  <si>
    <t>10.1007/s10967-008-7334-0</t>
  </si>
  <si>
    <t>http://dx.doi.org/10.1007/s10967-008-7334-0</t>
  </si>
  <si>
    <t>397PB</t>
  </si>
  <si>
    <t>WOS:000262673500030</t>
  </si>
  <si>
    <t>LEE, W; SWINEHART, JH; CROWE, JH</t>
  </si>
  <si>
    <t>THE EFFECTS OF COPPER(II), MERCURY(II) AND IRON(III) ON PRIMARY AMINES AND DIVALENT-CATION LOSSES FROM AND GLYCINE INCORPORATION INTO THE GILLS OF THE BIVALVE MOLLUSK, MYTILUS-CALIFORNIANUS</t>
  </si>
  <si>
    <t>MOLECULAR PHYSIOLOGY</t>
  </si>
  <si>
    <t>The effects of Cu2+, Hg2+ and Fe3+ on the losses of Ca2+, Mg2+ and primary amines from gills of M. californianus were studied. The losses of Ca2+ and Mg2+ are unaffected by Cu2+, Hg2+ and Fe3+, but the loss of primary amines increases in the order Fe3+, Cu2+ and Hg2+. Mercury(II) has a dramatic effect on primary amines loss and physical observations of short-term, metal-incubated gills show that Hg2+ causes cilia action to cease while Cu2+ and Fe3+ do not. The potential exists to use the loss of primary amines from gills or other biological material as a measure of water quality with respect to pollutants such as Hg2+. Glycine incorporation by the gills, as measured with [14C]glycine, is dramatically decreased when gills are incubated with Cu2+, Hg2+ or Fe3+. Also, glycine incorporation is decreased when these metals are added to glycine-containing artificial seawater. The experiments were carried out at 1 .cntdot. 10-4 M glycine, which exceeds the levels of total dissolved amino acids found in coastal waters, and metal concentrations from 10-6 to 10-3 M, except for Fe3+ where the maximum concentration was 1 .cntdot. 10-4 M. The inhibitory effects of these metals on glycine transport are consistent with the postulate that a Mg2+-glycine complex forms on the gill surface before glycine transport into the gill occurs.</t>
  </si>
  <si>
    <t>UNIV CALIF DAVIS, DEPT CHEM, DAVIS, CA 95616 USA; UNIV CALIF DAVIS, DEPT ZOOL, DAVIS, CA 95616 USA; BODEGA MARINE LAB, BODEGA BAY, CA 94823 USA</t>
  </si>
  <si>
    <t>0166-3178</t>
  </si>
  <si>
    <t>MOL PHYSIOL</t>
  </si>
  <si>
    <t>QE835</t>
  </si>
  <si>
    <t>WOS:A1983QE83500008</t>
  </si>
  <si>
    <t>Tepe, Y; Süer, N</t>
  </si>
  <si>
    <t>Tepe, Yalcin; Suer, Nilgun</t>
  </si>
  <si>
    <t>The levels of heavy metals in the Mediterranean mussel (Mytilus Galloprovincialis Lamarck, 1819); Example of Giresun coasts of the Black Sea, Turkey</t>
  </si>
  <si>
    <t>Mussel; Public health; Pollution; Metal accumulation; Bio-indicator</t>
  </si>
  <si>
    <t>ISKENDERUN BAY; FISH; SEDIMENTS; BIOTA</t>
  </si>
  <si>
    <t>Heavy metal accumulation levels in the soft tissue of mussel (Mytilus galloprovincialis Lamarck, 1819) individuals, collected from eight stations along the 122 km long Giresun coast, were investigated. Heavy metal levels (Co, Cr, Cu, Fe, Mn, Ni, Pb, Zn, As, and Se) were determined by using Inductively Coupled Plasma - Mass Spectrometer (ICP MS). Results were given as mu g/g in wet weight mean +/- SE; Cr; 0.56 +/- 0.03, Mn; 6.23 +/- 0.38, Ni; 12.70 +/- 1.01, Zn; 69.06 +/- 4.20, Co; 1.97 +/- 0.07, Cu; 2.65 +/- 0.18, Fe; 161.08 +/- 15.89, Pb; 3.16 +/- 0.08, As; 3.16 +/- 0.11, and Se; 0.62 +/- 0.05. Metal concentrations in descending order were as follow; Fe &gt; Zn &gt; Ni &gt; Mn &gt; As &gt; Pb &gt; Cu &gt; Co &gt; Se &gt; Cr, respectively. Length and weight distribution of mussel samples were significantly different between some stations (p&lt;0.05). The mean Pb and Zn concentrations were higher than the acceptable limit proposed by International Turkish standards.</t>
  </si>
  <si>
    <t>[Tepe, Yalcin; Suer, Nilgun] Giresun Univ, Fac Sci &amp; Arts, Dept Biol, TR-28200 Giresun, Turkey</t>
  </si>
  <si>
    <t>Giresun University</t>
  </si>
  <si>
    <t>Tepe, Y (corresponding author), Giresun Univ, Fac Sci &amp; Arts, Dept Biol, TR-28200 Giresun, Turkey.</t>
  </si>
  <si>
    <t>yalcintepe@hotmail.com</t>
  </si>
  <si>
    <t>TEPE, Yalçın/B-6587-2015</t>
  </si>
  <si>
    <t>TEPE, Yalcin/0000-0002-8415-3754</t>
  </si>
  <si>
    <t>DS6BQ</t>
  </si>
  <si>
    <t>WOS:000380867100013</t>
  </si>
  <si>
    <t>Gifford, S; Dunstan, RH; O'Connor, W; Roberts, T; Toia, R</t>
  </si>
  <si>
    <t>Pearl aquaculture - profitable environmental remediation?</t>
  </si>
  <si>
    <t>bioremediation; pollutant cycling; Pinctada; heavy metals; water quality; hydrocarbons; bioaccumulation; eutrophication</t>
  </si>
  <si>
    <t>CRASSOSTREA-GIGAS; HEAVY-METALS; MYTILUS-GALLOPROVINCIALIS; SEASONAL-VARIATION; MUSSEL CULTURE; NITROGEN-CYCLE; TRACE-METALS; MARINE; OYSTERS; SHELL</t>
  </si>
  <si>
    <t>Bivalve molluscs are filter feeders, with pearl oysters able to filter water at rates up to 25 1 h(-1) g(-1) of dry wt. tissue. Since this process leads to rapid bioaccumulation of recalcitrant pollutants such as heavy metals, organochlorine pesticides and hydrocarbons from impacted sites, it has prompted the widespread use of molluscs as biomonitors to quantify levels of marine pollution. This paper proposes pearl oyster deployment as a novel bioremediation technology for impacted sites to remove toxic contaminants, reduce nutrient loads and lower concentrations of microbial pathogens. Estimates extrapolated from the literature suggest that a modest pearl oyster farm of 100 t oyster material per year could remove 300 kg heavy metals plus 24 kg of organic contaminants via deposition into the tissue and shell. Furthermore, it was estimated that up to 19 kg of nitrogen may be removed from the coastal ecosystem per tonne of pearl oyster harvested. Pearl oysters are also likely to filter substantial amounts of sewage associated microbial pathogens from the water column. Method of cultivation and site selection are the key to minimising negative environmental impacts of bivalve cultivation. Deployment of oysters at sites with high nutrient and contaminant loadings would be advantageous, as these compounds would be removed from the ecosystem whilst generating a value-added product. Future potential may exist for harvesting bio-concentrated elements for commercial production. (C) 2003 Elsevier B.V. All rights reserved.</t>
  </si>
  <si>
    <t>Univ Newcastle, Sch Environm &amp; Life Sci, Newcastle, NSW 2308, Australia; NSW Fisheries, Port Stephens Fisheries Ctr, Taylors Beach, Australia</t>
  </si>
  <si>
    <t>Univ Newcastle, Sch Environm &amp; Life Sci, Newcastle, NSW 2308, Australia.</t>
  </si>
  <si>
    <t>Roberts, Tim/A-4286-2009; O'Connor, Wayne/AAL-8097-2020</t>
  </si>
  <si>
    <t>O'Connor, Wayne/0000-0002-0972-4668</t>
  </si>
  <si>
    <t>FEB 5</t>
  </si>
  <si>
    <t>10.1016/S0048-9697(03)00437-6</t>
  </si>
  <si>
    <t>http://dx.doi.org/10.1016/S0048-9697(03)00437-6</t>
  </si>
  <si>
    <t>776QM</t>
  </si>
  <si>
    <t>WOS:000189128000003</t>
  </si>
  <si>
    <t>Sevilla, NPM; Villanueva-Fonseca, BP; Góngora-Gómez, AM; García-Ulloa, M; Domínguez-Orozco, AL; Ortega-Izaguirre, R; Villegas, LEC</t>
  </si>
  <si>
    <t>Munoz Sevilla, Norma Patricia; Paulina Villanueva-Fonseca, Brenda; Martin Gongora-Gomez, Andres; Garcia-Ulloa, Manuel; Laura Dominguez-Orozco, Ana; Ortega-Izaguirre, Rogelio; Campos Villegas, Lorena Elizabeth</t>
  </si>
  <si>
    <t>Heavy metal concentrations in diploid and triploid oysters (Crassostrea gigas) from three farms on the north-central coast of Sinaloa, Mexico</t>
  </si>
  <si>
    <t>Metal pollution; Bivalves; Agrochemicals; Gulf of California; Oyster culture</t>
  </si>
  <si>
    <t>SACCOSTREA-GLOMERATA; BIVALVE MOLLUSKS; PACIFIC OYSTER; BIOACCUMULATION; CONTAMINATION; RISK; ORGANISMS; EXPOSURE; CADMIUM; SONORA</t>
  </si>
  <si>
    <t>The concentrations of Cu, Cd, Pb, Zn, and Hg in diploid and triploid oysters from three farms (Guasave, Ahome, and Navolato) on the north-central coast of Sinaloa, Mexico, were assessed based on samples recovered during a single culture cycle 2013-2014. Metal burdens were more strongly correlated (p &lt; 0.05) with the location of the farm than with either the ploidy or the interaction of both variables. The metal concentration ranking for oysters of both ploidies from the three farms was Zn &gt; Cu &gt; Cd &gt; Pb &gt; Hg. For all three farms, the mean concentrations of Cd and Pb in Crassostrea gigas were high, ranging from 2.52 to 7.98 mu g/g wet weight for Cd and from 0.91 to 2.83 mu g/g wet weight for Pb. Diploid and triploid oysters from the Guasave farm contained high levels of Cu (76.41 and 68.97 mu g/g wet weight, respectively). Cu, Cd, and Zn were highly correlated (p &lt; 0.05), and their concentrations may be influenced by agrochemical inputs. The mean levels of Cu for the Guasave farm and of Cd and Pb for all three farms exceeded permissible limits and represented a threat to human health during the sampling period (July 2014 to July 2014).</t>
  </si>
  <si>
    <t>[Munoz Sevilla, Norma Patricia; Campos Villegas, Lorena Elizabeth] IPN, CIIEMAD, Calle 30 Junio 1520, Ciudad De Mexico 07340, Mexico; [Paulina Villanueva-Fonseca, Brenda; Martin Gongora-Gomez, Andres; Garcia-Ulloa, Manuel; Laura Dominguez-Orozco, Ana] IPN, Ctr Interdisciplinario Invest Desarrollo Integral, Blvd Juan de Dios Batiz Paredes 250, Guasave 81101, Sinaloa, Mexico; [Ortega-Izaguirre, Rogelio] IPN, Ctr Invest Ciencia Aplicada &amp; Tecnol Avanzada CIC, Dept Ingn Desarrollo Sustentable, Altamira 89600, Tamaulipas, Mexico</t>
  </si>
  <si>
    <t>Sevilla, NPM (corresponding author), IPN, CIIEMAD, Calle 30 Junio 1520, Ciudad De Mexico 07340, Mexico.</t>
  </si>
  <si>
    <t>nmunozs@ipn.mx</t>
  </si>
  <si>
    <t>Garcia-Ulloa, Manuel/0000-0001-5357-8891; Dominguez-Orozco, Ana Laura/0000-0002-9685-7505; Munoz, Patricia/0000-0002-2863-3323</t>
  </si>
  <si>
    <t>Instituto Politecnico Nacional (IPN, National Polytechnic Institute); Comision de Operaciones y Fomento de Actividades Academicas (COFAA, Commission for the Advancement of Academic Activities) [IPN SIP-16354]</t>
  </si>
  <si>
    <t>Instituto Politecnico Nacional (IPN, National Polytechnic Institute); Comision de Operaciones y Fomento de Actividades Academicas (COFAA, Commission for the Advancement of Academic Activities)</t>
  </si>
  <si>
    <t>The authors thank the Instituto Politecnico Nacional (IPN, National Polytechnic Institute) for the logistic and financial support provided for the Secretaria de Investigacion y Posgrado (SIP, Secretariat of Research and Postgraduate Studies) and the Comision de Operaciones y Fomento de Actividades Academicas (COFAA, Commission for the Advancement of Academic Activities) to the Project IPN SIP-16354: Concentracion de metales pesados en un cultivo de organismos triploides de ostion japones Crassostrea gigas en isla Los Redos, Ensenada Pabellones, Navolato, Sinaloa (Heavy metal concentration in the culture of triploid Japanese oysters Crassostrea gigas on Los Redos Island, Ensenada-Pabellones, Navolato, Sinaloa).</t>
  </si>
  <si>
    <t>10.1007/s10661-017-6223-9</t>
  </si>
  <si>
    <t>http://dx.doi.org/10.1007/s10661-017-6223-9</t>
  </si>
  <si>
    <t>FK6HV</t>
  </si>
  <si>
    <t>WOS:000413605000006</t>
  </si>
  <si>
    <t>Yilmaz, A; Karacik, B; Yakan, SD; Henkelmann, B; Schramm, KW; Okay, OS</t>
  </si>
  <si>
    <t>Yilmaz, Atilla; Karacik, Burak; Yakan, Sevil D.; Henkelmann, Bernhard; Schramm, Karl-Werner; Okay, Oya S.</t>
  </si>
  <si>
    <t>Organic and heavy metal pollution in shipbreaking yards</t>
  </si>
  <si>
    <t>OCEAN ENGINEERING</t>
  </si>
  <si>
    <t>Shipbreaking; Marine pollution; Sediments; Organic pollutants; Metals</t>
  </si>
  <si>
    <t>POLYCYCLIC AROMATIC-HYDROCARBONS; ORGANOCHLORINE PESTICIDES; MARINE-SEDIMENTS; HUMAN HEALTH; MUSSELS; TURKEY; RIVER; PAHS; PCBS; CONTAMINATION</t>
  </si>
  <si>
    <t>Sediment samples were collected from five stations in Aliaga Shipbreaking Yard which is located in the coastal area of the Aegean Sea. To determine the pollution levels in marine environment resulting from the shipbreaking activities, organic pollutant and metal levels were investigated in the collected samples. Organic pollutants of polycyclic aromatic hydrocarbons (PAHs), polychlorinated biphenyls (PCBs) and organochlorine pesticides (OCPs) were analysed and found between the concentrations of 585-25000, 17-847 and 11-118 mu g/kg in dry weight, respectively. In addition, eight metals (Cd, Cr, Cu, Fe, Mn, Ni, Pb, and Zn) were determined in the sediment samples. The metal concentrations were found relatively higher compared to the values measured in the reference sampling station. The pollutant levels were compared with the concentrations in the sediment quality guidelines to assess the probable effects on marine ecosystems. (C) 2016 Elsevier Ltd. All rights reserved.</t>
  </si>
  <si>
    <t>[Yilmaz, Atilla; Karacik, Burak; Yakan, Sevil D.; Okay, Oya S.] Istanbul Tech Univ, Dept Naval Architecture &amp; Ocean Engn, TR-34469 Istanbul, Turkey; [Henkelmann, Bernhard; Schramm, Karl-Werner] Helmholtz Zentrum Munchen, Mol Expos MEX, D-85764 Munich, Germany; [Schramm, Karl-Werner] Tech Univ Munich, Dept Biowissensch, D-80333 Munich, Germany</t>
  </si>
  <si>
    <t>Istanbul Technical University; Helmholtz Association; Helmholtz-Center Munich - German Research Center for Environmental Health; Technical University of Munich</t>
  </si>
  <si>
    <t>Yilmaz, A (corresponding author), Istanbul Tech Univ, Dept Naval Architecture &amp; Ocean Engn, TR-34469 Istanbul, Turkey.</t>
  </si>
  <si>
    <t>atillayilmaz@itu.edu.tr</t>
  </si>
  <si>
    <t>Henkelmann, Bernhard/B-3321-2013; Okay, Oya/A-8327-2015; KARACIK, BURAK/S-4870-2016; Yakan, Sevil Deniz/ABA-7426-2020</t>
  </si>
  <si>
    <t>Yakan Dundar, Sevil Deniz/0000-0003-2493-680X; Yilmaz, Atilla/0000-0003-4215-8140</t>
  </si>
  <si>
    <t>Scientific and Technological Research Council of Turkey (TUBITAK) [110Y194]; German Federal Ministry of Education and Research (BMBF) [PT-DLR 01DL12016]</t>
  </si>
  <si>
    <t>Scientific and Technological Research Council of Turkey (TUBITAK)(Turkiye Bilimsel ve Teknolojik Arastirma Kurumu (TUBITAK)); German Federal Ministry of Education and Research (BMBF)(Federal Ministry of Education &amp; Research (BMBF))</t>
  </si>
  <si>
    <t>This study was supported by joint research projects between The Scientific and Technological Research Council of Turkey (TUBITAK) and German Federal Ministry of Education and Research (BMBF). The projects are coded as 110Y194 in Turkey and PT-DLR 01DL12016 in Germany.</t>
  </si>
  <si>
    <t>0029-8018</t>
  </si>
  <si>
    <t>OCEAN ENG</t>
  </si>
  <si>
    <t>Ocean Eng.</t>
  </si>
  <si>
    <t>10.1016/j.oceaneng.2016.06.036</t>
  </si>
  <si>
    <t>http://dx.doi.org/10.1016/j.oceaneng.2016.06.036</t>
  </si>
  <si>
    <t>Engineering, Marine; Engineering, Civil; Engineering, Ocean; Oceanography</t>
  </si>
  <si>
    <t>DU6QB</t>
  </si>
  <si>
    <t>WOS:000382338600036</t>
  </si>
  <si>
    <t>ODZAK, N; MARTINCIC, D; ZVONARIC, T; BRANICA, M</t>
  </si>
  <si>
    <t>BIOACCUMULATION RATE OF CD AND PB IN MYTILUS-GALLOPROVINCIALIS FOOT AND GILLS</t>
  </si>
  <si>
    <t>MARINE CHEMISTRY</t>
  </si>
  <si>
    <t>EDULIS-PLANULATUS LAMARCK; NORTH-ADRIATIC-SEA; HEAVY-METALS; CADMIUM; ACCUMULATION; COPPER; POLLUTION; WATER; LEAD; ZINC</t>
  </si>
  <si>
    <t>The aim of this experimental study was to investigate the bioaccumulation rate of cadmium and lead in the mussel foot and gills and the possibility to use these organs as quantitative bioindicators of the pollution of near-shore marine environments. Therefore, our experiment has been designed to provide conditions as close as possible to those found in nature. Three age groups of the mussel Mytilus galloprovincialis (1, 1.5 and 2 yr) were kept in tanks with elevated cadmium and lead concentrations (Cd, 5.1, 9.6 and 13.9 nM; Pb, 5.2, 9.9, 14.7 nM) for seven days. To study the interaction effects of Cd and Pb during accumulations, the mussels were also exposed to a mixture of these metals with concentrations of 9.5 nM Cd and 5.1 nM Pb. Even though the concentrations of metals in the experimental medium were relatively low, compared with the concentrations used by other authors is similar experiments, a significant increase of Cd and Pb concentrations in foot and especially in gills, as a function of time, was observed (particularly in younger age groups). This study also confirms the fact that Cd and Pb concentrations in mussel foot and gills depend on their size and age as well as on the metal levels in a particular environment and on the exposure time to evaluate metal concentrations in the experimental media. In addition, the mussels in the tanks with higher metal concentrations accumulated greater metal quantities. It is interesting that metal accumulation in foot and gills during the experiment (seven days) showed slight exponential increase. Iteractions between Cd and Pb were not observed with reference to bioaccumulation. Apart from known comparative advantages with respect to other organs (invariability of weight with reproductive cycle, easy removal from the rest of the soft tissue), this study confirms the assumption that the mussel foot and gills may be used as quantitative bioindicators for assessing the degree of cadmium and lead pollution in a particular marine environment.</t>
  </si>
  <si>
    <t>RUDJER BOSKOVIC INST, CTR MARINE RES, ZAGREB, CROATIA</t>
  </si>
  <si>
    <t>Rudjer Boskovic Institute</t>
  </si>
  <si>
    <t>ODZAK, N (corresponding author), INST OCEANOG &amp; FISHERIES, POB 500, SPLIT, CROATIA.</t>
  </si>
  <si>
    <t>0304-4203</t>
  </si>
  <si>
    <t>MAR CHEM</t>
  </si>
  <si>
    <t>Mar. Chem.</t>
  </si>
  <si>
    <t>10.1016/0304-4203(94)90050-7</t>
  </si>
  <si>
    <t>http://dx.doi.org/10.1016/0304-4203(94)90050-7</t>
  </si>
  <si>
    <t>Chemistry, Multidisciplinary; Oceanography</t>
  </si>
  <si>
    <t>Chemistry; Oceanography</t>
  </si>
  <si>
    <t>NF585</t>
  </si>
  <si>
    <t>WOS:A1994NF58500011</t>
  </si>
  <si>
    <t>Chelazzi, G; De Pirro, M; Williams, GA</t>
  </si>
  <si>
    <t>Different cardiac response to copper in limpets from metal polluted and clean shores of Hong Kong</t>
  </si>
  <si>
    <t>cardiac activity; heart rate; trace metals; copper; molluscs; gastropods; Cellana</t>
  </si>
  <si>
    <t>CRABS CARCINUS-MAENAS; COASTAL WATERS; HEART-RATE; TROPICAL LIMPET; MYTILUS-EDULIS; PHYSIOLOGY; MUSSEL; FIELD</t>
  </si>
  <si>
    <t>The gastropod limpet, Cellana grata, is common on moderately exposed to exposed Hong Kong rocky shores. On the basis of the existing literature on trace metal contamination in Hong Kong, four sites were identified, representative of highly polluted (Aberdeen and Lei Yue Mun) and clean (Cape d'Aguilar and Clear Water Bay) conditions. Limpets from the two polluted sites showed similar, but significantly higher body concentrations of copper than limpets from the two clean sites, which were also similar. Non-invasive measurements of cardiac activity of limpets from the four sites showed between site differences in baseline heart rates under standard seawater, irrespective of pollution level. When acutely exposed to water borne copper (2 h, 0.5 +/- 0.06 SD ppm), however, limpets from clean sites showed a significantly higher increase in inter-beating time (bradycardia) than those from polluted sites. These results highlight the potential use of cardiac activity to assess the exposure of natural populations of limpets to trace metal pollution. (C) 2004 Elsevier Ltd. All rights reserved.</t>
  </si>
  <si>
    <t>Univ Florence, Dipartimento Biol Animale &amp; Genet, I-50125 Florence, Italy; Swire Inst Marine Sci, Dept Ecol &amp; Biodivers, Hong Kong, Hong Kong, Peoples R China</t>
  </si>
  <si>
    <t>University of Florence; University of Hong Kong</t>
  </si>
  <si>
    <t>Univ Florence, Dipartimento Biol Animale &amp; Genet, Via Romana 17, I-50125 Florence, Italy.</t>
  </si>
  <si>
    <t>maurizio.depirro@unifi.it</t>
  </si>
  <si>
    <t>De Pirro, Maurizio/B-2276-2013; Williams, Gray/D-3139-2009</t>
  </si>
  <si>
    <t>Williams, Gray Argust/0000-0003-0193-6591</t>
  </si>
  <si>
    <t>10.1016/j.marenvres.2004.01.001</t>
  </si>
  <si>
    <t>http://dx.doi.org/10.1016/j.marenvres.2004.01.001</t>
  </si>
  <si>
    <t>810CN</t>
  </si>
  <si>
    <t>WOS:000220682500005</t>
  </si>
  <si>
    <t>Almeida, MJ; Moura, G; Pinheiro, T; Machado, J; Coimbra, J</t>
  </si>
  <si>
    <t>Modifications in Crassostrea gigas shell composition exposed to high concentrations of lead</t>
  </si>
  <si>
    <t>lead; shell elemental composition; shell amino acids; Crassostrea gigas; PIXE</t>
  </si>
  <si>
    <t>MYTILUS-EDULIS; SEA-WATER; VIRGINICA; ELEMENTS; OYSTERS; POLLUTION; METALS; PROBE</t>
  </si>
  <si>
    <t>Oysters Crassostrea gigas were exposed to two different lead concentrations, 470 and 790 mu g l(-1), with the main objective of finding any alterations on shell biochemical composition, namely amino acids and metal ions. Whole shell elemental composition showed that Pb levels are higher and Ca, Na and Co levels are lower in contaminated than in control oysters. Elemental analyses using Proton induced X-ray emission (PIXE) showed lower Zn levels in the foliated layer and higher Cl in the prismatic layer in contaminated rather than in the control oysters. Mantle Pb content seems to be proportional to foliated shell layer Pb content. Pb levels of the whole soft tissue showed that this trace metal is similar for both concentrations, suggesting a possible regulatory mechanism that sends the excess Pb to the shell through the mantle. Shell amino acid composition is altered in treated oysters, mainly in the ones submitted to 470 mu g l(-1), having higher asparagine, glycine and cystine and lower threonine, proline, valine, isoleucine, leucine, phenylalanine and arginine. Pb seems to affect shell amino acids secretion. (C) 1998 Elsevier Science B.V. All rights reserved.</t>
  </si>
  <si>
    <t>Inst Ciencias Biomed Abel Salazar, Lab Fisiol Aplicada, P-4050 Oporto, Portugal; Inst Tecnol &amp; Nucl, Sacavem, Portugal</t>
  </si>
  <si>
    <t>Universidade do Porto; Universidade de Lisboa</t>
  </si>
  <si>
    <t>Inst Ciencias Biomed Abel Salazar, Lab Fisiol Aplicada, Lg Escola Med 2, P-4050 Oporto, Portugal.</t>
  </si>
  <si>
    <t>; Moura, Gabriela/E-6717-2010; Pinheiro, Teresa/O-8984-2019</t>
  </si>
  <si>
    <t>Coimbra, Joao/0000-0001-6199-6727; Moura, Gabriela/0000-0003-2243-6123; Pinheiro, Teresa/0000-0002-1836-2603; Machado, Jorge/0000-0003-4570-5445</t>
  </si>
  <si>
    <t>10.1016/S0166-445X(97)00062-3</t>
  </si>
  <si>
    <t>http://dx.doi.org/10.1016/S0166-445X(97)00062-3</t>
  </si>
  <si>
    <t>ZD547</t>
  </si>
  <si>
    <t>WOS:000072697500002</t>
  </si>
  <si>
    <t>Silva-Aciares, F; Zapata, M; Tournois, J; Moraga, D; Riquelme, C</t>
  </si>
  <si>
    <t>Silva-Aciares, Fernando; Zapata, Manuel; Tournois, Jennifer; Moraga, Dario; Riquelme, Carlos</t>
  </si>
  <si>
    <t>Identification of genes expressed in juvenile Haliotis rufescens in response to different copper concentrations in the north of Chile under controlled conditions</t>
  </si>
  <si>
    <t>Haliotis rufescens; Copper stress; Suppression subtractive hybridization (SSH); Gene expression; Real time PCR</t>
  </si>
  <si>
    <t>OYSTER CRASSOSTREA-GIGAS; TRANSCRIPTOMIC RESPONSE; ABALONE; HEMOCYTES; EXPOSURE; GROWTH; CADMIUM; MANGANESE; FERRITIN; CLONING</t>
  </si>
  <si>
    <t>This study reports molecular markers potentially associated with resistance or sensitivity to the impact of copper in juvenile red abalone, Haliotis rufescens, in the north of Chile under experimental conditions. Genomic analysis was made applying subtractive hybridization libraries (SSH) to identify genes up-and down regulated during cooper exposure in abalone over periods of 12 and 168 h exposed to 2.5 and 10 mu g/L of Cu+2. Results obtained from the SSH library revealed 368 different sequences regulated by copper, that correspond to eight major physiological functions. The validation of these sequences obtained by SSH as well as their expression kinetics were made by PCR in real time on 14 potential genes regulated by metal stress. This study provides information for the characterization of potential genomic markers that may be used in future environmental monitoring and to investigate new mechanisms of stress to copper in this commercially important marine species. Crown Copyright (C) 2011 Published by Elsevier Ltd. All rights reserved.</t>
  </si>
  <si>
    <t>[Silva-Aciares, Fernando; Riquelme, Carlos] Univ Antofagasta 170, Lab Ecol Microbiana, Antofagasta, Chile; [Zapata, Manuel; Riquelme, Carlos] Ctr Invest Cient &amp; Tecnol Min CICITEM, Antofagasta, Chile; [Tournois, Jennifer; Moraga, Dario] Univ Bretagne Occidentale, Lab Sci Environm Marin, Inst Univ Europeen Mer, F-29280 Plouzane, France</t>
  </si>
  <si>
    <t>Universite de Bretagne Occidentale; Institut Universitaire Europeen de la Mer (IUEM); Centre National de la Recherche Scientifique (CNRS); Ifremer; Institut de Recherche pour le Developpement (IRD)</t>
  </si>
  <si>
    <t>Silva-Aciares, F (corresponding author), Univ Antofagasta 170, Lab Ecol Microbiana, Antofagasta, Chile.</t>
  </si>
  <si>
    <t>fsaciares@uantof.cl</t>
  </si>
  <si>
    <t>10.1016/j.marpolbul.2011.09.023</t>
  </si>
  <si>
    <t>http://dx.doi.org/10.1016/j.marpolbul.2011.09.023</t>
  </si>
  <si>
    <t>868JU</t>
  </si>
  <si>
    <t>WOS:000298520400026</t>
  </si>
  <si>
    <t>Sheir, SK; Handy, RD; Henry, TB</t>
  </si>
  <si>
    <t>Sheir, Sherin K.; Handy, Richard D.; Henry, Theodore B.</t>
  </si>
  <si>
    <t>Effect of Pollution History on Immunological Responses and Organ Histology in the Marine Mussel Mytilus edulis Exposed to Cadmium</t>
  </si>
  <si>
    <t>PERNA-VIRIDIS; HEAVY-METALS; TRACE-METALS; IMMUNE-RESPONSES; QUANTITATIVE PCR; BIVALVE MOLLUSKS; MESSENGER-RNA; METALLOTHIONEIN; HEMOCYTES; OYSTER</t>
  </si>
  <si>
    <t>The effect of previous toxicant exposure (i.e., exposure history) on an organism's response to re-exposure to the toxicant is of considerable interest. The marine mussel Mytilus edulis was collected from reference and polluted sites in southwest England, and groups of mussels from each site were exposed to 20 mu g/L CdCl2 for 0, 1, 4, and 8 days and compared with unexposed controls. End points evaluated were tissue metal and electrolyte concentrations, haemolymph chemistry, haemocyte characteristics [counts, neutral red uptake (NRU), and phagocytosis], histology, and expression of metallothionein gene (mt10) expression in digestive glands. Field-collected animals differed by collection site for some end points at time zero, at which time tissue Fe and Pb concentrations were greater and NRU and condition index lower in mussels from the polluted site. Subsequent exposure to cadmium (Cd) in the laboratory caused Cd accumulation mainly in digestive gland, but there were no site-specific effects on tissue trace-metal concentrations. NRU, phagocytosis, and haemolymph Na+ and K+ concentrations differed among sites and Cd treatment, but there were no clear trends. Exposure to Cd resulted in lower Ca2+ concentrations in gill, digestive gland, and haemolymph in animals from the polluted site compared with controls (Kruskal-Wallis, p a parts per thousand currency sign 0.05). Lesions, including necrosis, inflammation, and neoplasia, were observed in animals from the polluted site, but the frequency of these lesions appeared to decrease unexpectedly after Cd exposure. Expression of mt10 increased 3-fold in Cd-exposed animals from the polluted site compared with all other groups (Kruskal-Wallis, p = 0.01). We conclude that Cd exposure affected some immune responses in M. edulis, but pre-exposure history influenced toxicological outcomes of Cd exposure in the laboratory.</t>
  </si>
  <si>
    <t>[Sheir, Sherin K.] Menoufia Univ, Dept Zool, Shibin Al Kawm, Egypt; [Handy, Richard D.; Henry, Theodore B.] Univ Plymouth, Sch Biol Sci, Plymouth PL4 8AA, Devon, England</t>
  </si>
  <si>
    <t>Egyptian Knowledge Bank (EKB); Menofia University; University of Plymouth</t>
  </si>
  <si>
    <t>Sheir, SK (corresponding author), Menoufia Univ, Dept Zool, Shibin Al Kawm, Egypt.</t>
  </si>
  <si>
    <t>sherin.sheir@yahoo.com</t>
  </si>
  <si>
    <t>sheir, sherin/O-9280-2018; Henry, Theodore/C-2634-2013</t>
  </si>
  <si>
    <t>Henry, Theodore/0000-0002-9675-9454</t>
  </si>
  <si>
    <t>Egyptian government</t>
  </si>
  <si>
    <t>This study was funded by a Grant from the Egyptian government through a doctoral scholarship to S. Sheir.</t>
  </si>
  <si>
    <t>10.1007/s00244-012-9868-y</t>
  </si>
  <si>
    <t>http://dx.doi.org/10.1007/s00244-012-9868-y</t>
  </si>
  <si>
    <t>122FN</t>
  </si>
  <si>
    <t>WOS:000317303600018</t>
  </si>
  <si>
    <t>MarinMezquita, L; Baeza, L; ZapataPerez, O; GoldBouchot, G</t>
  </si>
  <si>
    <t>Trace metals in the American oyster, Crassostrea virginica, and sediments from the coastal lagoons Mecoacan, Carmen and Machona, Tabasco, Mexico</t>
  </si>
  <si>
    <t>CONDITION INDEXES</t>
  </si>
  <si>
    <t>The concentrations of trace metals (Pb, Cd, Zn, Cu, Fe, and Cr), from three coastal lagoons (Mecoacan, Carmen and Machona) In the southern Gulf of Mexico, were measured in oysters and recent sediments. The mean values in oysters were lower than those found in the northern Gulf of Mexico, with the exception of copper in Mecoacan and chromium in the three lagoons. The mean values in sediments were much lower than those in the northern Gulf, with the exception of cadmium, that presented similar values in both places. Significant correlations were found between the condition index and salinity (r=0.645) and the concentration of copper (r=-0.652). It is concluded that the diminishing yields of oysters in these lagoons is due to a complex interaction of coastal zone and fisheries mismanagement, the presence of parasites and pollution. (C) 1997 Elsevier Science Ltd.</t>
  </si>
  <si>
    <t>AVANZADOS UNIDAD MERIDA,CTR INVEST &amp; ESTUDIOS,YUCATAN 97310,MEXICO</t>
  </si>
  <si>
    <t>10.1016/S0045-6535(97)00046-5</t>
  </si>
  <si>
    <t>http://dx.doi.org/10.1016/S0045-6535(97)00046-5</t>
  </si>
  <si>
    <t>XD589</t>
  </si>
  <si>
    <t>WOS:A1997XD58900016</t>
  </si>
  <si>
    <t>Orbea, A; Ortiz-Zarragoitia, M; Cajaraville, MP</t>
  </si>
  <si>
    <t>Interactive effects of benzo(a) pyrene and cadmium and effects of di(2-ethylhexyl) phthalate on antioxidant and peroxisomal enzymes and peroxisomal volume density in the digestive gland of mussel Mytilus galloprovincialis Lmk</t>
  </si>
  <si>
    <t>benzo(a) pyrene; cadmium; interactive effects; di(2-ethylhexyl) phthalate (DEHP); antioxidant enzymes; peroxisome proliferation</t>
  </si>
  <si>
    <t>WATER ACCOMMODATED FRACTION; RAT-LIVER PEROXISOMES; LIPID-PEROXIDATION; SEASONAL-VARIATION; COMMON MUSSEL; EDULIS-L; PROLIFERATORS; EXPOSURE; GLUTATHIONE; DISMUTASE</t>
  </si>
  <si>
    <t>Exposure of marine animals to certain organic and metal pollutants is thought to enhance reactive oxygen species (ROS) production with concomitant alterations of antioxidant defence mechanisms. Some of these organic pollutants cause peroxisome proliferation, a process resulting also in possible enhanced production of ROS. The aim of this study was to investigate the effects of two organic xenobiotics, benzo(a) pyrene (B(a) P) and di(2-ethylhexyl) phthalate (DEHP), as well as the effects of cadmium (Cd), on antioxidant and peroxisomal enzymes and on peroxisomal volume density in the digestive gland of mussel, Mytilus galloprovincialis Lmk., experimentally exposed for 21 days. Special attention was paid to the interactive effects of organic and metal compounds by exposing one group of mussels to a mixture of B(a) P and Cd. Exposure of mussels to Cd caused a decrease in superoxide dismutase (SOD) activity, in Mn-SOD protein levels and in volume density of peroxisomes. B(a) P exposure significantly increased catalase and glutathione peroxidase (GPX) and inhibited Mn-SOD after 21 days of exposure. B(a) P also caused a slight increase in acyl-CoA oxidase (AOX) activity and peroxisomal volume density after 21 days of exposure. Cd tended to inhibit changes provoked by B(a) P, indicating that responses to organic xenobiotics can be modulated by concomitant exposure to metal contaminants. Exposure to DEHP increased catalase and AOX and inhibited SOD activity and Mn-SOD protein levels. In conclusion, peroxisome proliferation, measured as an increase of the peroxisomal enzymes catalase and AOX (up to 1.53-fold for AOX), is a specific response to organic contaminants such as B(a) P and DEHP, whereas Cd does not cause peroxisome proliferation. Thus, peroxisome proliferation may be a specific biomarker of organic pollutants in mussels. Both organic and metal pollutants inhibited SOD activity and protein levels (up to 0.21-fold for Mn-SOD protein levels), the latter offering potential as general marker of pollution.</t>
  </si>
  <si>
    <t>Euskal Herriko Unibertsitatea Univ Pais Vasco, Zientzi Fak, Biol Zelularra &amp; Histol Lab, Zool &amp; Anim Zelulen Dinamika Saila, E-48080 Bilbao, Spain</t>
  </si>
  <si>
    <t>Euskal Herriko Unibertsitatea Univ Pais Vasco, Zientzi Fak, Biol Zelularra &amp; Histol Lab, Zool &amp; Anim Zelulen Dinamika Saila, 644 P-K, E-48080 Bilbao, Spain.</t>
  </si>
  <si>
    <t>zoopcabem@lg.ehu.es</t>
  </si>
  <si>
    <t>/I-2501-2015; Ortiz-Zarragoitia, Maren/C-3978-2017; Cajaraville, Miren P/I-4757-2015</t>
  </si>
  <si>
    <t>Ortiz-Zarragoitia, Maren/0000-0002-2664-1303; ORBEA DEL REY, AMAIA/0000-0002-0229-4482; Cajaraville, Miren P/0000-0001-6527-6137</t>
  </si>
  <si>
    <t>JAN-FEB</t>
  </si>
  <si>
    <t>10.1080/13547500110066119</t>
  </si>
  <si>
    <t>http://dx.doi.org/10.1080/13547500110066119</t>
  </si>
  <si>
    <t>505FD</t>
  </si>
  <si>
    <t>WOS:000172902000002</t>
  </si>
  <si>
    <t>Trombini, C; Rodríguez-Moro, G; Acosta, SR; Ariza, JLG; Blasco, J; García-Barrera, T</t>
  </si>
  <si>
    <t>Trombini, Chiara; Rodriguez-Moro, Gema; Ramirez Acosta, Sara; Gomez Ariza, Jose Luis; Blasco, Julian; Garcia-Barrera, Tamara</t>
  </si>
  <si>
    <t>Single and joint effects of cadmium and selenium on bioaccumulation, oxidative stress and metabolomic responses in the clam Scrobicularia plana</t>
  </si>
  <si>
    <t>Cadmium; Selenium; Antagonism; Antioxidant defense; Metabolomics; Scrobicularia plana</t>
  </si>
  <si>
    <t>MASS-SPECTROMETRY; DIETARY SELENIUM; MYTILUS-GALLOPROVINCIALIS; ENVIRONMENTAL-POLLUTION; RUDITAPES-PHILIPPINARUM; CD-TOXICITY; BIOMARKERS; TAURINE; METALLOTHIONEIN; PERFORMANCE</t>
  </si>
  <si>
    <t>Selenium (Se) is a vital trace element for many living organisms inclusive of aquatic species. Although the antagonistic action of this element against other pollutants has been previously described for mammals and birds, limited information on the join effects in bivalves is available. To this end, bivalves of the species Scrobicularia plana were exposed to Se and Cd individually and jointly. Digestive glands were analysed to determine dose-dependent effects, the potential influence of Se on Cd bioaccumulationas well as the possible recover of the oxidative stress and metabolic alterations induced by Cd. Selenium co-exposure decreased the accumulation of Cd at low concentrations. Cd exposure significantly altered the metabolome of clams such as aminoacyltRNA biosynthesis, glycerophospholipid and amino acid metabolism, while Se co-exposure ameliorated several altered metabolites such asLysoPC (14:0), LysoPE (20:4), LysoPE (22:6), PE (14:0/18:0), PE (20:3/18:4) andpropionyl-Lcarnitine.Additionally, Se seems to be able to regulate the redox status of the digestive gland of clams preventing the induction of oxidativedamage in this organ. This study shows the potential Se antagonism against Cd toxicity in S. plana and the importance to study join effects of pollutants to understand the mechanism underlined the effects.</t>
  </si>
  <si>
    <t>[Trombini, Chiara; Blasco, Julian] CSIC, Inst Ciencias Marinas Andalucia, Campus Rio San Pedro, Cadiz 11510, Spain; [Rodriguez-Moro, Gema; Ramirez Acosta, Sara; Gomez Ariza, Jose Luis; Garcia-Barrera, Tamara] Univ Huelva, Fac Expt Sci, Res Ctr Nat Resources Hlth &amp; Environm RENSMA, Dept Chem, Fuerzas Armadas Ave, Huelva 21007, Spain</t>
  </si>
  <si>
    <t>Consejo Superior de Investigaciones Cientificas (CSIC); CSIC - Instituto de Ciencias Marinas de Andalucia (ICMAN); Universidad de Huelva</t>
  </si>
  <si>
    <t>García-Barrera, T (corresponding author), Univ Huelva, Fac Expt Sci, Res Ctr Nat Resources Hlth &amp; Environm RENSMA, Dept Chem, Fuerzas Armadas Ave, Huelva 21007, Spain.</t>
  </si>
  <si>
    <t>tamara@dqcm.uhu.es</t>
  </si>
  <si>
    <t>Blasco, Julian/A-5319-2008; GARCÍA-BARRERA, TAMARA/G-4942-2015</t>
  </si>
  <si>
    <t>Spanish Ministry of Economy and Competitiveness [CTM2012-38720-C03-03, CTM2016-75908-R, BES-2013-063426]; Spanish Ministry of Science and innovation (MCIN) [PGC-2018- 096608 -B -C21]; FEDER (European Community) [UNHU13-1E-1611]; European Union [DOC_01115]; Universidad de Huelva/CBUA; Plan Andaluz de Investigacion, Desarrollo e Innovacion (PAIDI 2020)</t>
  </si>
  <si>
    <t>Spanish Ministry of Economy and Competitiveness(Spanish Government); Spanish Ministry of Science and innovation (MCIN)(Spanish Government); FEDER (European Community)(European Union (EU)); European Union(European Union (EU)); Universidad de Huelva/CBUA; Plan Andaluz de Investigacion, Desarrollo e Innovacion (PAIDI 2020)</t>
  </si>
  <si>
    <t>This study has been carried out within the research projects (CTM2012-38720-C03-03 and CTM2016-75908-R) founded by the Spanish Ministry of Economy and Competitiveness, who also provided a pre-doc grant for Chiara Trombini (BES-2013-063426), and the project PGC-2018- 096608 -B -C21 from the Spanish Ministry of Science and innovation (MCIN). (Generacion del Conocimiento. MCIN/AEI/10.13039/501100011033/FEDER Una manera de hacer Europa). Authors are grateful to FEDER (European Community) for financial support, Grant UNHU13-1E-1611. Rodriguez -Moro, G. thanks to Plan Andaluz de Investigacion, Desarrollo e Innovacion (PAIDI 2020) and European Union for a post -doctoral grant (DOC_01115). Funding for open access charge: Universidad de Huelva/CBUA.</t>
  </si>
  <si>
    <t>10.1016/j.chemosphere.2022.136474</t>
  </si>
  <si>
    <t>http://dx.doi.org/10.1016/j.chemosphere.2022.136474</t>
  </si>
  <si>
    <t>6F9VA</t>
  </si>
  <si>
    <t>WOS:000884407200006</t>
  </si>
  <si>
    <t>Moroishi, J; Kang, IJ; Nagafuchi, K; Honjo, T; Shimasaki, Y; Oshima, Y</t>
  </si>
  <si>
    <t>Moroishi, Junya; Kang, Ik Joon; Nagafuchi, Ken; Honjo, Tsuneo; Shimasaki, Yohei; Oshima, Yuji</t>
  </si>
  <si>
    <t>Biological Monitoring to Detect Both Water Pollution and Water Quality Recovery Based on Valve Movements of Freshwater Bivalves (Corbicula japonica)</t>
  </si>
  <si>
    <t>JOURNAL OF THE FACULTY OF AGRICULTURE KYUSHU UNIVERSITY</t>
  </si>
  <si>
    <t>HEAVY-METALS; MUSSEL; RESPONSES; TOXICITY; BEHAVIOR; CADMIUM; ORGANISMS; CU</t>
  </si>
  <si>
    <t>The valve movement pattern of the freshwater bivalve Corbicula japonica (C. japonica) following exposure to test chemicals was monitored. We conducted the exposure test with two heavy metal compounds, cadmium chloride (CdCl2; 0, 0.1, 1, or 10 mg/L) and copper (II) chloride (CuCl2; 0, 0.1, 1, or 10 mg/L) in a continuous flow system. After a pre-exposure period in a test chamber, which was filled with dechlorinated tap water for 1 h, the bivalves were exposed to the test chemicals for 3 h. After that, only dechlorinated tap water was released again into the test chamber for 2 h. Thus, the valve movements were continuously recorded for a total of 6 h. On exposure to CdCl2 (1 and 10 mg/L), the valve movement of C. japonica, closed. However, the valve movements of C. japonica in all CdCl2 groups recovered after termination of the exposure. C. japonica showed decreased distance between the valves on exposure to CuCl2 (0.1, 1, and 10 mg/L). However, C. japonica restarted their valve movements only in the recovery period at 0.1 mg/L CuCl2. Therefore, we conclude that real-time monitoring of the valve movement of C. japonica is a useful method to detect both the contamination with a toxicant and recovery of the water quality in an aquatic ecosystem. In addition, it can be used for the assurance of the water quality.</t>
  </si>
  <si>
    <t>[Moroishi, Junya; Kang, Ik Joon; Nagafuchi, Ken; Honjo, Tsuneo; Shimasaki, Yohei; Oshima, Yuji] Kyushu Univ, Fac Agr, Dept Biosci &amp; Biotechnol, Aquat Biomonitoring &amp; Environm Lab, Fukuoka 8128581, Japan</t>
  </si>
  <si>
    <t>Kyushu University</t>
  </si>
  <si>
    <t>Kang, IJ (corresponding author), Kyushu Univ, Fac Agr, Dept Biosci &amp; Biotechnol, Aquat Biomonitoring &amp; Environm Lab, Fukuoka 8128581, Japan.</t>
  </si>
  <si>
    <t>kangnew@agr.kyushu-u.ac.jp</t>
  </si>
  <si>
    <t>Oshima, Yuji/C-7701-2011</t>
  </si>
  <si>
    <t>KYUSHU UNIV, FACULTY AGRICULTURAL PUBLICATIONS</t>
  </si>
  <si>
    <t>FUKUOKA-SHI</t>
  </si>
  <si>
    <t>6-10-1 HAKOZAKI, HIGASHI-KU, FUKUOKA-SHI, 812-0053, JAPAN</t>
  </si>
  <si>
    <t>0023-6152</t>
  </si>
  <si>
    <t>J FAC AGR KYUSHU U</t>
  </si>
  <si>
    <t>J. Fac. Agric. Kyushu Univ.</t>
  </si>
  <si>
    <t>519RT</t>
  </si>
  <si>
    <t>WOS:000271786000024</t>
  </si>
  <si>
    <t>Palmer, TA; Klein, AG; Sweet, ST; Frazier, AJ; Montagna, PA; Wade, TL; Pollack, JB</t>
  </si>
  <si>
    <t>Palmer, Terence A.; Klein, Andrew G.; Sweet, Stephen T.; Frazier, Amanda J.; Montagna, Paul A.; Wade, Terry L.; Pollack, Jennifer Beseres</t>
  </si>
  <si>
    <t>Using epibenthic fauna as biomonitors of local marine contamination adjacent to McMurdo Station, Antarctica</t>
  </si>
  <si>
    <t>Polar; Pollution; Tissues; Persistent organic pollutants; Trematomus; Bioaccumulation</t>
  </si>
  <si>
    <t>KING-GEORGE ISLAND; POLYCYCLIC AROMATIC-HYDROCARBONS; HEAVY-METALS; ADMIRALTY BAY; POPULATION-STRUCTURE; LATERNULA-ELLIPTICA; BENTHIC COMMUNITIES; SURFACE SEDIMENTS; WEDDELL SEALS; ARTHUR HARBOR</t>
  </si>
  <si>
    <t>Ten benthic fauna taxa in a polluted marine area adjacent to McMurdo Station, Antarctica were deemed to be potential biomonitors because PCBs, DDTs, PAHs, copper, lead and/or zinc in their tissues were significantly higher than in tissues of taxa living in reference areas (p &lt; 0.05). Concentrations of PCBs and DDT were highest in Trematomus (fish). Total PAH concentrations were highest in Alcyonium antarcticum (soft coral), Isotealia antarctica (anemone) and L. elliptica. Copper and lead concentrations were highest in Laternula elliptica (bivalve) and Flabegraviera mundata (polychaete), and lowest in Trematomus and Parbolasia corrugatus (nemertean). However, copper concentrations were even higher in the asteroids Perknaster fuscus antarcticus, Odontaster validus and Psilaster charcoti. Bioaccumulation factors for different species were highest for PCBs and DDT, and lowest for lead. Bioaccumulation of some contaminants are likely prevalent in benthic taxa at McMurdo Station, but concentrations are usually low relative to human consumption standards.</t>
  </si>
  <si>
    <t>[Palmer, Terence A.; Montagna, Paul A.; Pollack, Jennifer Beseres] Texas A&amp;M Univ, Harte Res Inst, 6300 Ocean Dr,Unit 5869, Corpus Christi, TX 78412 USA; [Klein, Andrew G.] Texas A&amp;M Univ, Dept Geog, College Stn, TX 77843 USA; [Sweet, Stephen T.; Wade, Terry L.] Texas A&amp;M Univ, Geochem &amp; Environm Res Grp, College Stn, TX 77843 USA; [Frazier, Amanda J.] Univ Calif Davis, Dept Anim Sci, Davis, CA 95616 USA</t>
  </si>
  <si>
    <t>Texas A&amp;M University System; Texas A&amp;M University System; Texas A&amp;M University College Station; Texas A&amp;M University System; Texas A&amp;M University College Station; University of California System; University of California Davis</t>
  </si>
  <si>
    <t>Palmer, TA (corresponding author), Texas A&amp;M Univ, Harte Res Inst, 6300 Ocean Dr,Unit 5869, Corpus Christi, TX 78412 USA.</t>
  </si>
  <si>
    <t>terry.palmer@tamucc.edu</t>
  </si>
  <si>
    <t>Klein, Andrew/AGK-9609-2022; Palmer, Terence/J-3427-2019; Montagna, Paul/J-8208-2017</t>
  </si>
  <si>
    <t>Klein, Andrew/0000-0003-3804-8205; Wade, Terry/0000-0002-1715-3551; Montagna, Paul/0000-0003-4199-3312</t>
  </si>
  <si>
    <t>US Army Corp of Engineers Cold Regions Research and Engineering Laboratory [W913E5-05-C-0002, W913E5-06-C-0009, W913E5-07-C-0005, W913E5-08-C-0008, W913E5-07-C-0007, W913E5-19-C-0017, W913E5-11-C-0004, W913E5-12-C-0006, W913E5-13-C-0002, W913E5-15-C-0001, W913E5-16-C-0006]; Texas Sea Grant</t>
  </si>
  <si>
    <t>US Army Corp of Engineers Cold Regions Research and Engineering Laboratory; Texas Sea Grant</t>
  </si>
  <si>
    <t>We especially thank USAP divers Rob Robbins, Steve Rupp and Brenda Konar for most of the sample collection and diving logistics. We also thank the several people for assisting with laboratory analyses for tissue and sediment chemistry at the Geochemical and Environmental Research Group at Texas A&amp;M University, including Jose Sericano and Gopal Bera. The USAP staff both at McMurdo Station and in the United States were instrumental in providing support for this project, as was the parent body of USAP, the National Science Foundation's Division of Polar Programs. This study was partially funded by the US National Science Foundation [grant numbers OPP-9909445 and OPP-0354573] , the US Army Corp of Engineers Cold Regions Research and Engineering Laboratory [grant numbers W913E5-05-C-0002, W913E5-06-C-0009, W913E5-07-C-0005, W913E5-08-C-0008, W913E5-07-C-0007, W913E5-19-C-0017, W913E5-11-C-0004, W913E5-12-C-0006, W913E5-13-C-0002, W913E5-15-C-0001, W913E5-16-C-0006] , and the Texas Sea Grant. The funding sources had no involvement in study design, analysis and interpretation of data; in the writing of the manu-script; and in the decision to submit the article for publication. The images in the graphical abstract were derived from photos taken by Rob Robbins, Steve Rupp, and Michelle Brown, and the image library of the Integration and Application Network (ian.umces.edu/media-library) . This manuscript was improved after receiving constructive criticisms and suggestions from two anonymous reviewers and the Associate Edi-tor of Marine Pollution Bulletin (Geoff MacFarlane) .</t>
  </si>
  <si>
    <t>10.1016/j.marpolbul.2022.113621</t>
  </si>
  <si>
    <t>http://dx.doi.org/10.1016/j.marpolbul.2022.113621</t>
  </si>
  <si>
    <t>2Q6FU</t>
  </si>
  <si>
    <t>WOS:000820517000003</t>
  </si>
  <si>
    <t>De Pirro, M; Marshall, DJ</t>
  </si>
  <si>
    <t>Phylogenetic differences in cardiac activity, metal accumulation and mortality of limpets exposed to copper: A prosobranch-pulmonate comparison</t>
  </si>
  <si>
    <t>heart rate; cardiac activity; metal accumulation; LC50; Helcion; Cellana; Siphonaria</t>
  </si>
  <si>
    <t>ZONED MEDITERRANEAN LIMPETS; HEART-RATE; INTERTIDAL LIMPETS; TROPICAL LIMPET; PATELLA-VULGATA; CELLANA-GRATA; TRACE-METALS; HONG-KONG; SHORE; METABOLISM</t>
  </si>
  <si>
    <t>Taxonomic relationships for pollutant tolerance in marine invertebrates are surprisingly poorly known, despite being potentially useful for pollution biomonitoring. A popular view is that cellular and molecular adaptations for natural stress may be important in tolerating pollution. We compared the physiological and mortality responses to copper (Cu2+) of limpets from two different lineages: the Prosobranchia (Patellogastropoda: Helcion concolor and Cellana capensis) and the Pulmonata (Siphonaria serrata and Siphonaria capensis). Copper tolerance was apparently more closely related to phylogenetically-based physiology, than to tolerance of desiccation and or heat. The Siphonaria limpets were nearly an order of magnitude more tolerant of copper than the patellogastropod limpets, even though S. serrata has the lowest intertidal distribution. Initial copper exposure (0.25 ppm Cu2+ for 2 h) induced heart rate depression in Siphonaria (to around 50% of the baseline rate), while their tissue copper concentrations remained at the relatively high control levels. Copper exposure (0.25 ppm Cu2+ for 2 h) had no effect on heart rate of the patellogastropod limpets, but led to a significant increase in tissue copper. These results suggest that enhanced copper tolerance by Siphonaria relates to cardiac depression and'a concomitant metabolic depression. Such physiological attributes are implicated in prolonged behavioural isolation, involving pneumostome closure and shell clamping, which is likely to reduce the uptake of copper. Furthermore, better regulation of internal copper levels by Siphonaria, is suggested by their exclusive possession of blood haemocyanin. Dependence on relatively high aerobic metabolism by the patellogastropod limpets, would limit their capacity for isolation and pollutant avoidance. (c) 2005 Elsevier B.V. All rights reserved.</t>
  </si>
  <si>
    <t>Univ Brunei Darussalam, Dept Biol, BE-1410 Gadong, Brunei; Univ Florence, Dept Anim Biol &amp; Genet, I-50125 Florence, Italy</t>
  </si>
  <si>
    <t>University Brunei Darussalam; University of Florence</t>
  </si>
  <si>
    <t>Univ Brunei Darussalam, Dept Biol, Tungku Link, BE-1410 Gadong, Brunei.</t>
  </si>
  <si>
    <t>marshall@fos.ubd.edu.bn</t>
  </si>
  <si>
    <t>De Pirro, Maurizio/B-2276-2013; Marshall, Dustin/C-3450-2016</t>
  </si>
  <si>
    <t>Marshall, David/0000-0003-3771-5950</t>
  </si>
  <si>
    <t>AUG 8</t>
  </si>
  <si>
    <t>10.1016/j.jembe.2005.01.013</t>
  </si>
  <si>
    <t>http://dx.doi.org/10.1016/j.jembe.2005.01.013</t>
  </si>
  <si>
    <t>954KK</t>
  </si>
  <si>
    <t>WOS:000231153800003</t>
  </si>
  <si>
    <t>Hauser-Davis, RA; Silva, DR; Linde-Arias, AR; Vianna, M</t>
  </si>
  <si>
    <t>Hauser-Davis, R. A.; Silva-Junior, D. R.; Linde-Arias, A. R.; Vianna, M.</t>
  </si>
  <si>
    <t>Cytosolic and Metallothionein-Bound Hepatic Metals and Detoxification in a Sentinel Teleost, Dules auriga, from Southern Rio de Janeiro, Brazil</t>
  </si>
  <si>
    <t>Fish; Biomarkers; Metal contamination; Marine pollution; Metal detoxification</t>
  </si>
  <si>
    <t>PERNA-PERNA MUSSELS; PERCA-FLAVESCENS; TRACE-ELEMENTS; YELLOW PERCH; HEAVY-METALS; CADMIUM; FISH; ZINC; LIVER; TOXICITY</t>
  </si>
  <si>
    <t>Dules auriga, a native Brazilian teleost, was applied as a sentinel species regarding metal contamination at Ilha Grande Bay, previously considered a reference site in Southeastern Brazil. Cytosolic (S50) and metallothionein-bound (HTS50) hepatic iron (Fe), zinc (Zn), copper (Cu), manganese (Mn), cadmium (Cd), and silver (Ag) were determined by inductively coupled plasma optical emission spectrometry (ICP-OES), while metallothionein (MT) concentrations were determined by polarography. Ag concentrations in both cytosolic fractions were below the limit of detection. All other HTS50 metal contents were significantly lower than S50 contents. No significant associations were found for MT. Fe and Mn S50 were positively and moderately correlated to total length, as well as HTS50 Mn, while total weight was correlated to both Mn fractions, suggesting that environmental Mn and Fe concentrations may influence fish growth. A moderate correlation between the condition factor and the S50 Cu fraction was observed, also indicating that Cu may affect fish growth. Inter-element correlations were observed, including between Cd, a toxic element, and Mn and Zn, both essential elements. Calculated molar ratios indicate that both Mn and Zn are in molar excesses compared with Cd, corroborating literature assessments regarding protective Mn and Zn effects against Cd. Lack of MT correlations suggests that metal concentrations may not be high enough to reach an MT induction threshold and that MT variability is probably linked to environmental metal concentrations. Therefore, the increased environmental contaminant levels observed in the study area indicate the need for biomonitoring efforts aiming at the application of efficient mitigation measures.</t>
  </si>
  <si>
    <t>[Hauser-Davis, R. A.] Fundacao Oswaldo Cruz, Lab Avaliacao Promocao Saude Ambiental, Inst Oswaldo Cruz, Av Brasil 4-365, BR-21040360 Manguinho, RJ, Brazil; [Silva-Junior, D. R.; Vianna, M.] Univ Fed Rio de Janeiro, Lab Biol &amp; Tecnol Pesqueira, Dept Biol Marinha, Inst Biol,CCS, Av Carlos Chagas Filho 373,Bl A, BR-21941541 Rio de Janeiro, RJ, Brazil; [Linde-Arias, A. R.] Fundacao Oswaldo Cruz, Ctr Estudos Saude Trabalhador &amp; Ecol Humana, Lab Toxicol, Escola Nacl Saude Publ Sergio Arouca, BR-1480 Leopoldo Bulhoes, RJ, Brazil</t>
  </si>
  <si>
    <t>Fundacao Oswaldo Cruz; Universidade Federal do Rio de Janeiro; Fundacao Oswaldo Cruz</t>
  </si>
  <si>
    <t>Hauser-Davis, RA (corresponding author), Fundacao Oswaldo Cruz, Lab Avaliacao Promocao Saude Ambiental, Inst Oswaldo Cruz, Av Brasil 4-365, BR-21040360 Manguinho, RJ, Brazil.;Vianna, M (corresponding author), Univ Fed Rio de Janeiro, Lab Biol &amp; Tecnol Pesqueira, Dept Biol Marinha, Inst Biol,CCS, Av Carlos Chagas Filho 373,Bl A, BR-21941541 Rio de Janeiro, RJ, Brazil.</t>
  </si>
  <si>
    <t>rachel.davis@ioc.fiocruz.br; mvianna@biologia.ufrj.br</t>
  </si>
  <si>
    <t>Hauser-Davis, Rachel/C-7970-2013</t>
  </si>
  <si>
    <t>Hauser-Davis, Rachel/0000-0002-9451-471X</t>
  </si>
  <si>
    <t>Brazilian National Council for Scientific and Technological Development (CNPq)</t>
  </si>
  <si>
    <t>Brazilian National Council for Scientific and Technological Development (CNPq)(Conselho Nacional de Desenvolvimento Cientifico e Tecnologico (CNPQ))</t>
  </si>
  <si>
    <t>MV was funded by Brazilian National Council for Scientific and Technological Development (CNPq) grants.</t>
  </si>
  <si>
    <t>10.1007/s12011-020-02195-8</t>
  </si>
  <si>
    <t>http://dx.doi.org/10.1007/s12011-020-02195-8</t>
  </si>
  <si>
    <t>PG6VP</t>
  </si>
  <si>
    <t>WOS:000534983100002</t>
  </si>
  <si>
    <t>Tsangaris, C; Papathanassiou, E; Nicolaidou, A</t>
  </si>
  <si>
    <t>Tsangaris, C.; Papathanassiou, E.; Nicolaidou, A.</t>
  </si>
  <si>
    <t>Biochemical biomarkers and overall health status of mussels Mytilus galloprovincialis exposed to nickel and chromium</t>
  </si>
  <si>
    <t>biomarkers; glutathione peroxidase; acetylcholinesterase; energy budget; mussels; metals</t>
  </si>
  <si>
    <t>ECOLOGICAL RISK ASSESSMENT; DAPHNIA-MAGNA STRAUS; ANTIOXIDANT ENZYMES; ACETYLCHOLINESTERASE INHIBITION; GLUTATHIONE-PEROXIDASE; RUDITAPES-DECUSSATUS; LIPID-PEROXIDATION; POLLUTION GRADIENT; MARINE ORGANISMS; DIGESTIVE GLAND</t>
  </si>
  <si>
    <t>This study examined the effects of nickel and chromium exposure on two biochemical biomarkers, glutathione peroxidase (GPX) and acetylcholinesterase (ACHE), in parallel with an indicator of overall health, Scope for Growth (SFG), in the mussel Mytilus galloprovincialis to evaluate their ecological relevance and to assess their potential use as biomarkers of Ni and Cr pollution. SFG integrates major physiological responses into an index that represents the energy status of the animals and is considered an ecologically relevant biomarker. Following exposure to a range of Ni and Cr concentrations effects of Ni and Cr were evident on GPX and SFG but not on ACHE. Accumulation in the mussels' tissues increased according to exposure concentrations. Adverse effects on the energy status and induction of GPX were found at the higher exposure concentrations while possible hormetic effects on the energy status and moderate GPX suppression were associated with lower exposure concentrations. Nevertheless GPX was negatively correlated with SFG suggesting that GPX responses reflect the overall health of the organisms and thus show potential as an early warning signal of population level effects of Ni and Cr. On the other hand, our results indicate that ACHE is not a suitable biomarker for Ni and Cr pollution.</t>
  </si>
  <si>
    <t>[Tsangaris, C.; Papathanassiou, E.] HCMR, Inst Oceanog, Anavyssos, Greece; [Nicolaidou, A.] Univ Athens, Dept Zool Marine Biol, Athens, Greece</t>
  </si>
  <si>
    <t>Hellenic Centre for Marine Research; National &amp; Kapodistrian University of Athens</t>
  </si>
  <si>
    <t>Tsangaris, C (corresponding author), HCMR, Inst Oceanog, Anavyssos, Greece.</t>
  </si>
  <si>
    <t>ctsangar@ath.hcmr.gr</t>
  </si>
  <si>
    <t>Tsangaris, Catherine/G-4378-2011</t>
  </si>
  <si>
    <t>Tsangaris, Catherine/0000-0001-6724-9394</t>
  </si>
  <si>
    <t>10.1080/02757540802368650</t>
  </si>
  <si>
    <t>http://dx.doi.org/10.1080/02757540802368650</t>
  </si>
  <si>
    <t>360JG</t>
  </si>
  <si>
    <t>WOS:000260053200002</t>
  </si>
  <si>
    <t>Lamine, I; Elazzaoui, A; Ben-Haddad, M; Agnaou, M; Moukrim, A; Alla, AA</t>
  </si>
  <si>
    <t>Lamine, Imane; Elazzaoui, Ahmed; Ben-Haddad, Mohamed; Agnaou, Mustapha; Moukrim, Abdellatif; Ait Alla, Aicha</t>
  </si>
  <si>
    <t>Integrated biomarker responses and metal contamination survey in the wedge clam Donax trunculus from the Atlantic coast of Morocco</t>
  </si>
  <si>
    <t>Donax trunculus; Bioaccumulation; Morocco; Coast; Trace metals; Biomarkers</t>
  </si>
  <si>
    <t>MUSSEL MYTILUS-GALLOPROVINCIALIS; POLYCYCLIC AROMATIC-HYDROCARBONS; OXIDATIVE STRESS BIOMARKERS; HEAVY-METALS; TRACE-METAL; LIPID-PEROXIDATION; RISK-ASSESSMENT; PERNA-PERNA; BIOCHEMICAL BIOMARKERS; RUDITAPES-DECUSSATUS</t>
  </si>
  <si>
    <t>In Morocco, the marine environment has always been a major occupation for socioeconomic activities (industry, tourism, urbanization, etc.). Thus, this work displays a case study of Taghazout coast in the central Atlantic part of the country, which becomes the center of several development projects, such as the touristic resort Taghazout Bay. In the aim to assess the health status of this coastal ecosystem, a multi-indicator approach based on the response of biomarkers in the wedge clam Donax trunculus was adopted during two years (2016/2017). The undertaken investigations on the response of biomarkers (AChE, GST, MDA, and CAT) in the sentinel species D. trunculus showed an activation of defense mechanisms in this bivalve, which would imply exposure to chemical stress in this ecosystem. The monitoring of seasonal bioaccumulation of cadmium (Cd), lead (Pb), and copper (Cu) by D. trunculus indicates that the bivalves collected have been exposed to these metal sources in the study area. In addition, the correlation study has reported a significant effect of environmental parameters on biomarker response. Overall, the multi-indicator approach has clearly revealed the health status of Taghazout coast registered in a coastal urbanization.</t>
  </si>
  <si>
    <t>[Lamine, Imane; Elazzaoui, Ahmed; Ben-Haddad, Mohamed; Agnaou, Mustapha; Ait Alla, Aicha] Ibn Zohr Univ, Fac Sci, Dept Biol, Lab Aquat Syst Marine &amp; Continental Ecosyst, BP 8106, Agadir, Morocco; [Moukrim, Abdellatif] Abdelmalek Essaadi Univ, Fac Sci, Tetouan, Morocco</t>
  </si>
  <si>
    <t>Ibn Zohr University of Agadir; Abdelmalek Essaadi University of Tetouan</t>
  </si>
  <si>
    <t>Lamine, I (corresponding author), Ibn Zohr Univ, Fac Sci, Dept Biol, Lab Aquat Syst Marine &amp; Continental Ecosyst, BP 8106, Agadir, Morocco.</t>
  </si>
  <si>
    <t>imane.lamine@edu.uiz.ac.ma</t>
  </si>
  <si>
    <t>ALLA, Aicha/ABB-9749-2020; BEN-HADDAD, Mohamed/HTM-1558-2023; ELAZZAOUI, Ahmed/X-3830-2018</t>
  </si>
  <si>
    <t>ELAZZAOUI, Ahmed/0000-0003-3084-6966; BEN-HADDAD, Mohamed/0000-0003-1332-2036; Lamine, Imane/0000-0001-9123-5638</t>
  </si>
  <si>
    <t>Faculty of Sciences (Ibn Zohr)</t>
  </si>
  <si>
    <t>The authors would like to thank the Faculty of Sciences (Ibn Zohr) for their support throughout the sampling period, as well as the laboratory students who helped in specimen collection. We thank the anonymous reviewers for their careful reading of our manuscript and their many insightful comments and suggestions.</t>
  </si>
  <si>
    <t>10.1007/s11356-022-24943-0</t>
  </si>
  <si>
    <t>http://dx.doi.org/10.1007/s11356-022-24943-0</t>
  </si>
  <si>
    <t>F2WY1</t>
  </si>
  <si>
    <t>WOS:000905664300006</t>
  </si>
  <si>
    <t>Abdel-Mohsen, HA; Ismail, MM; Moussa, RM</t>
  </si>
  <si>
    <t>Abdel-Mohsen, Hala Ahmed; Ismail, Mona Mohamed; Moussa Moussa, Ragia</t>
  </si>
  <si>
    <t>Hazardous impacts of heavy metal pollution on biometric and biochemical composition of pearl oyster Pinctada radiata from five sites along Alexandria coast, with reference to its potential health risk assessment</t>
  </si>
  <si>
    <t>Pinctada radiata; Metal pollution; Condition index; Morphometry; Antioxidant activities</t>
  </si>
  <si>
    <t>CONDITION INDEX; ANTIOXIDANT ACTIVITY; SEASONAL-VARIATIONS; BIVALVIA PTERIIDAE; MARINE-ENVIRONMENT; SANTOS BAY; BODY-SIZE; GROWTH; LEACH; SEA</t>
  </si>
  <si>
    <t>This study investigated the effect of heavy metals on the pearl oyster Pinctada radiata from 5 sites along the coast of Alexandria, with focus on its ecological health and potential risks to human consumption. Pollution results showed that Abu-Qir had the highest Cu and Cd values. Montaza and Eastern Harbor had the highest Fe and Pb values, respectively. Statistically, differences in metal concentrations among study sites were significant (p &lt; 0.05). Non-carcinogenic risk (TTHQ) of tested metals and carcinogenic ones of Cd and Pb showed high risk on human health by consuming pearl oysters. Morphometric measurements and condition indices were studied to assess growth patterns and health in relation to heavy metals exposure. Key findings showed detectable declines in size and condition index in Eastern Harbor, whereas Abu-Qir recorded the highest values. This condition index performance presented Abu-Qir, Mammora, and Miami as ideal locations for spat collection and oyster rearing, potentially enhancing Egyptian pearl farming. Average values of spatial proximate contents of pearl oyster showed that it was rich in proteins (33.07-58.52%) with low fat content (1.39-1.87%) and carbohydrates (9.72-17.63%). Biochemical composition of pearl oyster demonstrated its high nutritional value which supported its promotion as a functional food for human consumption. The calorie content of pearl oyster was less than 2 Kcal, making this species an alternative source of healthy food to reduce obesity. Regression analysis indicated that Cu, Cd, and Pb had significant effect on 2-diphenyl-1-picrylhydrazyl (DPPH) scavenging activity, calories, vitamins, and pigment content of the collected oysters.</t>
  </si>
  <si>
    <t>[Abdel-Mohsen, Hala Ahmed] Natl Inst Oceanog &amp; Fisheries NIOF, Environm Dept, Marine Pollut Lab, Cairo, Egypt; [Ismail, Mona Mohamed] Natl Inst Oceanog &amp; Fisheries NIOF, Environm Dept, Taxon &amp; Biodivers Aquat Biota Lab, Cairo, Egypt; [Moussa Moussa, Ragia] Natl Inst Oceanog &amp; Fisheries NIOF, Aquaculture Dept, Invertebrate Aquaculture Lab, Cairo, Egypt</t>
  </si>
  <si>
    <t>Egyptian Knowledge Bank (EKB); National Institute of Oceanography &amp; Fisheries (NIOF); Egyptian Knowledge Bank (EKB); National Institute of Oceanography &amp; Fisheries (NIOF); Egyptian Knowledge Bank (EKB); National Institute of Oceanography &amp; Fisheries (NIOF)</t>
  </si>
  <si>
    <t>Moussa, RM (corresponding author), Natl Inst Oceanog &amp; Fisheries NIOF, Aquaculture Dept, Invertebrate Aquaculture Lab, Cairo, Egypt.</t>
  </si>
  <si>
    <t>rm.moussa@niof.sci.eg</t>
  </si>
  <si>
    <t>Ismail, Mona/ABD-2473-2020</t>
  </si>
  <si>
    <t>National Institute of Oceanography &amp; Fisheries (NIOF)</t>
  </si>
  <si>
    <t>National Institute of Oceanography &amp; Fisheries (NIOF)(Egyptian Knowledge Bank (EKB))</t>
  </si>
  <si>
    <t>2024 FEB 28</t>
  </si>
  <si>
    <t>10.1007/s11356-024-32571-z</t>
  </si>
  <si>
    <t>http://dx.doi.org/10.1007/s11356-024-32571-z</t>
  </si>
  <si>
    <t>JL1G7</t>
  </si>
  <si>
    <t>WOS:001173224500003</t>
  </si>
  <si>
    <t>von Hellfeld, R; Zarzuelo, M; Zaldibar, B; Cajaraville, MP; Orbea, A</t>
  </si>
  <si>
    <t>von Hellfeld, Rebecca; Zarzuelo, Maria; Zaldibar, Benat; Cajaraville, Miren P.; Orbea, Amaia</t>
  </si>
  <si>
    <t>Accumulation, Depuration, and Biological Effects of Polystyrene Microplastic Spheres and Adsorbed Cadmium and Benzo(a)pyrene on the Mussel Mytilus galloprovincialis</t>
  </si>
  <si>
    <t>polystyrene microplastics; size-dependent uptake; vectors; cadmium; benzo(a)pyrene; mussels</t>
  </si>
  <si>
    <t>DIGESTIVE GLAND; PLASTIC DEBRIS; FOOD-WEB; MARINE-ENVIRONMENT; TOXIC-CHEMICALS; BIOMARKERS; BIOACCUMULATION; POLLUTION; ZEBRAFISH; SORPTION</t>
  </si>
  <si>
    <t>Filter feeders are target species for microplastic (MP) pollution, as particles can accumulate in the digestive system, disturbing feeding processes and becoming internalized in tissues. MPs may also carry pathogens or pollutants present in the environment. This work assessed the influence of polystyrene (PS) MP size and concentration on accumulation and depuration time and the role of MPs as vectors for metallic (Cd) and organic (benzo(a)pyrene, BaP) pollutants. One-day exposure to pristine MPs induced a concentration-dependent accumulation in the digestive gland (in the stomach and duct lumen), and after 3-day depuration, 45 mu m MPs appeared between gill filaments, while 4.5 mu m MPs also occurred within gill filaments. After 3-day exposure to contaminated 4.5 mu m MPs, mussels showed increased BaP levels whilst Cd accumulation did not occur. Here, PS showed higher affinity to BaP than to Cd. Three-day exposure to pristine or contaminated MPs did not provoke significant alterations in antioxidant and peroxisomal enzyme activities in the gills and digestive gland nor in lysosomal membrane stability. Exposure to dissolved contaminants and to MP-BaP caused histological alterations in the digestive gland. In conclusion, these short-term studies suggest that MPs are ingested and internalized in a size-dependent manner and act as carriers of the persistent organic pollutant BaP.</t>
  </si>
  <si>
    <t>[von Hellfeld, Rebecca; Zarzuelo, Maria; Zaldibar, Benat; Cajaraville, Miren P.; Orbea, Amaia] Univ Basque Country UPV EHU, CBET Res Grp, Dept Zool &amp; Anim Cell Biol, Biotechnol PiE &amp; Sci &amp; Technol Fac,Res Ctr Expt M, Sarriena Z-G, Leioa 48940, Spain; [von Hellfeld, Rebecca] Univ Aberdeen, Sch Biol Sci, 23 St Machar Dr, Aberdeen AB24 3UU, Scotland</t>
  </si>
  <si>
    <t>University of Basque Country; University of Aberdeen</t>
  </si>
  <si>
    <t>Orbea, A (corresponding author), Univ Basque Country UPV EHU, CBET Res Grp, Dept Zool &amp; Anim Cell Biol, Biotechnol PiE &amp; Sci &amp; Technol Fac,Res Ctr Expt M, Sarriena Z-G, Leioa 48940, Spain.</t>
  </si>
  <si>
    <t>rebecca.vonhellfeld@abdn.ac.uk; mariazarzuelo1997@gmail.com; benat.zaldibar@ehu.eus; mirenp.cajaraville@ehu.eu; amaia.orbea@ehu.eus</t>
  </si>
  <si>
    <t>Zaldibar, Beñat/Y-6728-2018; Orbea, Amaia/AGI-5697-2022; von Hellfeld, Rebecca/IYT-0041-2023; Cajaraville, Miren P/I-4757-2015</t>
  </si>
  <si>
    <t>von Hellfeld, Rebecca/0000-0003-4283-7813; Cajaraville, Miren P/0000-0001-6527-6137; ORBEA DEL REY, AMAIA/0000-0002-0229-4482</t>
  </si>
  <si>
    <t>10.3390/toxics10010018</t>
  </si>
  <si>
    <t>http://dx.doi.org/10.3390/toxics10010018</t>
  </si>
  <si>
    <t>YL8LJ</t>
  </si>
  <si>
    <t>WOS:000746138700001</t>
  </si>
  <si>
    <t>Karouna-Renier, NK; Snyder, RA; Allison, JG; Wagner, MG; Rao, KR</t>
  </si>
  <si>
    <t>Karouna-Renier, Natalie K.; Snyder, Richard A.; Allison, Jeffrey G.; Wagner, Matthew G.; Rao, K. Ranga</t>
  </si>
  <si>
    <t>Accumulation of organic and inorganic contaminants in shellfish collected in estuarine waters near Pensacola, Florida: Contamination profiles and risks to human consumers</t>
  </si>
  <si>
    <t>blue crabs; oysters; PCBs; dioxins; metals; consumption risk</t>
  </si>
  <si>
    <t>CALLINECTES-SAPIDUS; OYSTERS; TISSUES; COASTS; PCBS</t>
  </si>
  <si>
    <t>We conducted a screening level assessment of contaminants in blue crabs (Callinectes sapidus) and oysters (Crassostrea virginica) from bays and bayous in the Pensacola, FL area. Tissue samples were analyzed for 17 dioxins/furans, 12 dioxin-like PCB (DL-PCBs) congeners, mercury, and various metals. Contaminant levels were compared to screening values (SV) calculated using U.S. EPA recommendations for establishing consumption advisories. All sampling locations exceeded the SV (0.098 pg g(-1)) for dioxins/furans/DL-PCBs, based on a Florida-specific consumption rate (46 g day(-1)). Arsenic (inorganic), mercury, cadmium, and zinc levels exceeded SVs in samples from select locations, and with the exception of mercury, these locations were generally downstream of known contaminated areas. We also assessed potential human health risks from consumption of these species. Risks to human health were greatest from consumption of crab hepatopancreas, suggesting that consumption of hepatopancreas, whether directly or indirectly, from crabs collected anywhere in the Pensacola Bay region should be avoided. (c) 2006 Elsevier Ltd. All rights reserved.</t>
  </si>
  <si>
    <t>Univ W Florida, Ctr Environm Diagnost &amp; Bioremediat, Pensacola, FL 32514 USA</t>
  </si>
  <si>
    <t>State University System of Florida; University of West Florida</t>
  </si>
  <si>
    <t>Karouna-Renier, NK (corresponding author), US Geol Survey, Patuxent Wildlife Res Ctr, Beltsville Lab, BARC E, Bldg 308,10300 Baltimore Ave, Beltsville, MD 20705 USA.</t>
  </si>
  <si>
    <t>nkarouna@usgs.gov</t>
  </si>
  <si>
    <t>Snyder, Richard/0000-0002-3787-9376; Karouna-Renier, Natalie/0000-0001-7127-033X</t>
  </si>
  <si>
    <t>PHS HHS [R04/CCR421909] Funding Source: Medline</t>
  </si>
  <si>
    <t>PHS HHS(United States Department of Health &amp; Human ServicesUnited States Public Health Service)</t>
  </si>
  <si>
    <t>10.1016/j.envpol.2006.04.035</t>
  </si>
  <si>
    <t>http://dx.doi.org/10.1016/j.envpol.2006.04.035</t>
  </si>
  <si>
    <t>122SM</t>
  </si>
  <si>
    <t>WOS:000243247100013</t>
  </si>
  <si>
    <t>Au, DWT; Chiang, MWL; Wu, RSS</t>
  </si>
  <si>
    <t>Effects of cadmium and phenol on motility and ultrastructure of sea urchin and mussel spermatozoa</t>
  </si>
  <si>
    <t>X-RAY-MICROANALYSIS; COMPARATIVE SENSITIVITY; SPERM ANALYSIS; HEAVY-METALS; TOXICITY; FERTILIZATION; INHIBITION; POLLUTION; PATTERNS; EXPOSURE</t>
  </si>
  <si>
    <t>Computer-assisted sperm analysis (CASA) was used to study the effects of Cd(II) and phenol on sperm motility of sea urchin and mussel. In parallel, ultrastructural changes of sperm induced by these two toxicants were also investigated and related to motility impairment. Spermatozoa of sea urchin were more sensitive than mussel spermatozoa to both toxicants. Sea urchin sperm motility showed a good dose-response relationship to Cd(II) levels as well as exposure time. Exposure to the two toxicants changed the size and shape of the midpiece, which might affect the balance of spermatozoa in their swimming. The plasma membrane became more convoluted, and such a change might affect the streamlining and integrity of spermatozoa and hinder their normal movement patterns. Most important, disorganization of mitochondrial membranes and cristae was observed, suggesting disruption of ATP supply for sperm movement. Cadmium also induced greater ultrastructural damages in sea urchin spermatozoa.</t>
  </si>
  <si>
    <t>City Univ Hong Kong, Dept Biol &amp; Chem, 83 Tat Chee Ave, Hong Kong, Peoples R China</t>
  </si>
  <si>
    <t>City University of Hong Kong</t>
  </si>
  <si>
    <t>City Univ Hong Kong, Dept Biol &amp; Chem, 83 Tat Chee Ave, Hong Kong, Peoples R China.</t>
  </si>
  <si>
    <t>Wu, Rudolf/B-4203-2010</t>
  </si>
  <si>
    <t>AU, Wai Ting Doris/0000-0003-4490-5971; Chiang, Michael W. L./0000-0001-7661-5560</t>
  </si>
  <si>
    <t>10.1007/s002449910060</t>
  </si>
  <si>
    <t>http://dx.doi.org/10.1007/s002449910060</t>
  </si>
  <si>
    <t>300BQ</t>
  </si>
  <si>
    <t>WOS:000086233300007</t>
  </si>
  <si>
    <t>MASNADO, RG; GEIS, SW; SONZOGNI, WC</t>
  </si>
  <si>
    <t>COMPARATIVE ACUTE TOXICITY OF A SYNTHETIC MINE EFFLUENT TO CERIODAPHNIA-DUBIA, LARVAL FATHEAD MINNOW AND THE FRESH-WATER MUSSEL ANODONTA-IMBECILIS</t>
  </si>
  <si>
    <t>AQUATIC TOXICITY; AQUATIC ORGANISMS; METALS; TOXICITY TESTS; MINE EFFLUENT</t>
  </si>
  <si>
    <t>To determine if water quality-based effluent limitations recommended for a proposed discharger would provide adequate protection of aquatic life, site-specific acute toxicity tests were performed. The proposed discharger studied was a mine to be located in northern Wisconsin. The mine's discharge would flow into the Flambeau River, a relatively pristine river that harbors endangered freshwater mussels. The toxicity effects of synthetic effluents, representing a mixture of five different metals under contrasting conditions of hardness, were tested on several different organisms. Results indicated that Ceriodaphnia dubia exhibited a much greater sensitivity to various mixtures of cadmium, hexavalent chromium, copper, nickel, and zinc than did either larval fathead minnows (Pimephales promelas) or the freshwater mussel Anodonta imbecilis. Mixtures of metals at the permitted discharge levels of individual metals were also found to be consistently toxic to C. dubia. Because C. dubia was found to be much more sensitive than A. imbecilis, an effluent safe for C. dubia should also be safe for A. imbecilis and the physiologically similar endangered mussels found in the river. Based on such testing, aquatic life toxicity-testing conditions and criteria suggested for the National Pollution Discharge Elimination System (NPDES) permit should be protective of C. dubia and, hence, other aquatic life such as endangered mussels. Overall, effluent limitations for proposed dischargers need to be based on the combined effect of complex effluents. Aquatic toxicity testing using synthetic effluents that approximate the expected discharge characteristics provides a viable approach to determining the limits for proposed dischargers of multiple pollutants.</t>
  </si>
  <si>
    <t>WISCONSIN STATE LAB HYG, ENVIRONM SCI SECT, MADISON, WI 53706 USA; WISCONSIN DEPT NAT RESOURCES, BUR WATER RESOURCES MANAGEMENT, MADISON, WI 53707 USA; WISCONSIN STATE LAB HYG, AQUAT LIFE TOX TESTING LAB, MADISON, WI 53713 USA</t>
  </si>
  <si>
    <t>10.1002/etc.5620141113</t>
  </si>
  <si>
    <t>http://dx.doi.org/10.1002/etc.5620141113</t>
  </si>
  <si>
    <t>TB369</t>
  </si>
  <si>
    <t>WOS:A1995TB36900013</t>
  </si>
  <si>
    <t>de Souza, RV; Garbossa, LHP; Campos, CJA; Vianna, LFDN; Vanz, A; Rupp, GS</t>
  </si>
  <si>
    <t>de Souza, R. V.; Garbossa, L. H. P.; Campos, C. J. A.; Vianna, L. F. de N.; Vanz, A.; Rupp, G. S.</t>
  </si>
  <si>
    <t>Metals and pesticides in commercial bivalve mollusc production areas in the North and South Bays, Santa Catarina (Brazil)</t>
  </si>
  <si>
    <t>Heavy metals; Pesticides; Oysters; Mussels; Bivalves; Santa Catarina Island</t>
  </si>
  <si>
    <t>RISK</t>
  </si>
  <si>
    <t>Concentrations of heavy metals were quantified in mussels Perna pema and Pacific oysters Crassostrea gigas in 28 cultivation sites in the North and South Bays, SC (Brazil). Concentrations of pesticides were also quantified in these bivalve, water and sediment samples collected in 14 cultivation sites on four occasions in the period October 2012-October 2013. Pesticides were not detected in any of the mussel, oyster, water or sediment samples. The South Bay was found to be generally more contaminated with As while the North Bay showed higher concentrations of Ni. Concentrations of Pb and Cd were below the limit of detection of the method (0.5 mg/kg) in all samples. Mussels accumulated more As and Ni than oysters, while the opposite was observed for Cu. Metal concentrations were below the maximum levels for foodstuffs specified in the Brazilian legislation. (C) 2016 Elsevier Ltd. All rights reserved.</t>
  </si>
  <si>
    <t>[de Souza, R. V.; Garbossa, L. H. P.; Vianna, L. F. de N.; Vanz, A.; Rupp, G. S.] Epagri, Santa Catarina State Inst Agr Res &amp; Rural Extens, Florianopolis, SC, Brazil; [Campos, C. J. A.] Cefas, Weymouth Lab, Weymouth, Dorset, England</t>
  </si>
  <si>
    <t>Centre for Environment Fisheries &amp; Aquaculture Science</t>
  </si>
  <si>
    <t>de Souza, RV (corresponding author), Epagri, Santa Catarina State Inst Agr Res &amp; Rural Extens, Florianopolis, SC, Brazil.</t>
  </si>
  <si>
    <t>robsonsouza@epagri.sc.gov.br</t>
  </si>
  <si>
    <t>Campos, Carlos/AAP-6897-2020; Vianna, Luiz/M-7988-2018</t>
  </si>
  <si>
    <t>Vianna, Luiz/0000-0002-8129-3655; Campos, Carlos/0000-0002-2070-8618; Sabino Rupp, Guilherme/0000-0002-5476-9689</t>
  </si>
  <si>
    <t>National Council for Scientific and Technological Development (CNPq) through Project CNPq/CT-Hidro/MPA [18/2010]</t>
  </si>
  <si>
    <t>National Council for Scientific and Technological Development (CNPq) through Project CNPq/CT-Hidro/MPA(Conselho Nacional de Desenvolvimento Cientifico e Tecnologico (CNPQ)Fundacao de Apoio a Pesquisa do Distrito Federal (FAPDF))</t>
  </si>
  <si>
    <t>We thank the National Council for Scientific and Technological Development (CNPq) for the financial support through Project CNPq/CT-Hidro/MPA no. 18/2010.</t>
  </si>
  <si>
    <t>10.1016/j.marpolbul.2016.02.024</t>
  </si>
  <si>
    <t>http://dx.doi.org/10.1016/j.marpolbul.2016.02.024</t>
  </si>
  <si>
    <t>WOS:000375816000058</t>
  </si>
  <si>
    <t>Briant, N; Knoery, J; Araújo, DF; Ponzevera, E; Chouvelon, T; Bruzac, S; Sireau, T; Thomas, B; Mojtahid, M; Metzger, E; Brach-Papa, C</t>
  </si>
  <si>
    <t>Briant, Nicolas; Knoery, Joel; Araujo, Daniel F.; Ponzevera, Emmanuel; Chouvelon, Tiphaine; Bruzac, Sandrine; Sireau, Teddy; Thomas, Bastien; Mojtahid, Meryem; Metzger, Edouard; Brach-Papa, Christophe</t>
  </si>
  <si>
    <t>Vanishing lead in the Loire River estuary: An example of successful environmental regulation</t>
  </si>
  <si>
    <t>Coastal environment; Inorganic element; Pb stable isotopes; Loire estuary</t>
  </si>
  <si>
    <t>ANTHROPOGENIC PB; ATMOSPHERIC LEAD; COASTAL WATERS; DISSOLVED LEAD; METAL; SEDIMENTS; ISOTOPES; CONTAMINATION; CADMIUM; FRANCE</t>
  </si>
  <si>
    <t>The behavior, and history of lead (Pb) contamination in the ecosystem of the Loire estuary was examined using elemental concentrations and Pb isotope data in water, sediment, bivalves, shrimps, and fish. In the estuary and in the surrounding coastal area, Pb concentrations in water and sediment decreased compared to concentrations determined in the 1980s, with concentrations ranging from 15.8 to 65.7 mg kg-1 in the surface sediment, 0.04-0.26 nM in the water column, and 48.0-77.9 mg kg- 1 in suspended particles. Pb biomonitoring using blue mussels collected by the French Mussel Watch Program over the last 40 years showed a concentration decrease from 3.8 to 0.8 mg kg- 1. A similar trend is observed in an estuarine sediment core. Changes in accompanying Pb isotope compositions strongly suggest a binary mixing process between Pb derived from terrigenous material and anthropogenic sources. Thus, environmental regulations restricting the release of lead into the environment contribute to a decrease in estuarine levels of this pollutant, which occurs on a decadal time scale.</t>
  </si>
  <si>
    <t>[Briant, Nicolas; Knoery, Joel; Araujo, Daniel F.; Ponzevera, Emmanuel; Chouvelon, Tiphaine; Bruzac, Sandrine; Sireau, Teddy; Thomas, Bastien] Ifremer, CCEM Contaminat Chim Ecosyst Marins, F-44000 Nantes, France; [Brach-Papa, Christophe] Ifremer, LITTORAL, F-83500 La Seyne Sur Mer, France; [Chouvelon, Tiphaine] La Rochelle Univ CNRS, Observ Pelagis, UAR 3462, F-17000 La Rochelle, France; [Mojtahid, Meryem; Metzger, Edouard] Univ Angers, Nantes Univ, Le Mans Univ, CNRS,Lab Planetol &amp; Geosci,LPG UMR 6112, F-49000 Angers, France</t>
  </si>
  <si>
    <t>Ifremer; Ifremer; Centre National de la Recherche Scientifique (CNRS); Nantes Universite; Universite d'Angers</t>
  </si>
  <si>
    <t>Briant, N (corresponding author), Ifremer, CCEM Contaminat Chim Ecosyst Marins, F-44000 Nantes, France.</t>
  </si>
  <si>
    <t>nicolas.briant@ifremer.fr</t>
  </si>
  <si>
    <t>metzger, edouard/D-1700-2010; knoery, joel/B-3898-2012</t>
  </si>
  <si>
    <t>Brach-Papa, Christophe/0009-0008-4171-4743; Chouvelon, Tiphaine/0000-0002-9497-3684; Ponzevera, Emmanuel/0000-0001-6481-7309; knoery, joel/0000-0003-2826-6436; BRIANT, Nicolas/0000-0002-8827-2259</t>
  </si>
  <si>
    <t>Region Pays de la Loire; OSUNA</t>
  </si>
  <si>
    <t>Region Pays de la Loire(Region Pays de la Loire); OSUNA</t>
  </si>
  <si>
    <t>This study is part of the RS2E - OSUNA project funded by the Region Pays de la Loire. Sediment core PV1 was sampled during the Paleovase mission conducted in 2015 by universities of Angers and Caen (France) and financed by the OSUNA. Thanks to Jean-Francois Chiffoleau, Jeanne Bretaudeau-Sanjuan, Emmanuelle Rozuel, Dominique Auger, Sylvette Crochet, the LERMPL team and the N/O Thalia crew for their help during the CAMELIA series of cruises (DOI: 10.18142/281) . We are also thankful to all participants of the Paleovase mission.</t>
  </si>
  <si>
    <t>10.1016/j.envpol.2023.122860</t>
  </si>
  <si>
    <t>http://dx.doi.org/10.1016/j.envpol.2023.122860</t>
  </si>
  <si>
    <t>Z4XE2</t>
  </si>
  <si>
    <t>WOS:001112114100001</t>
  </si>
  <si>
    <t>Polak-Juszczak, L; Szlider-Richert, J</t>
  </si>
  <si>
    <t>Polak-Juszczak, Lucyna; Szlider-Richert, Joanna</t>
  </si>
  <si>
    <t>Toxic metals in fishes, mussels, and sediments from the Puck Bay in the southern Baltic Sea</t>
  </si>
  <si>
    <t>Perch; Flounder; Mussels; Sediments; Pollution; Ecotoxicological evaluation; Southern Baltic</t>
  </si>
  <si>
    <t>PLATICHTHYS-FLESUS LINNAEUS; MYTILUS-TROSSULUS; PERCA-FLUVIATILIS; RISK-ASSESSMENT; HUMAN EXPOSURE; PUGET-SOUND; MERCURY; FLOUNDER; BIOACCUMULATION; CONTAMINANTS</t>
  </si>
  <si>
    <t>Background: The environment of the Puck Bay is under strong pressure discharged sewage and brine. Methods: Toxic metals (cadmium, lead, mercury, arsenic, bromine) were determined in fishes (flounder and perch), sediments, and mussels. Results: Toxic metals in flounder and perch from the Puck Bay occurred at varying concentrations: Cd - 0.002-0.004 mg/kg; Pb - 0.011-0.029 mg/kg; Hg - 0.050-0.070 mg/kg; iAs lower than 0.02 mg/kg. The highest concentrations of metals occurred in outer bay sediments: Cd - 0.829 mg/kg dw; Pb - 21.54 mg/kg dw; Hg - 0.305 mg/kg dw; iAs - 0.02 mg/kg dw. Metal concentrations in mussels were at low levels. High Pb content (1.915 mg/kg ww) was only determined in samples collected at the station near the brine outfall. Conclusions: Concentrations of toxic metals in the fishes, sediments, and mussels from the Puck Bay indicated that the environment of the bay was in good condition.</t>
  </si>
  <si>
    <t>[Polak-Juszczak, Lucyna; Szlider-Richert, Joanna] Natl Marine Fisheries Res Inst, Dept Food &amp; Environm Chem, Ul Kollataja 1, PL-81332 Gdynia, Poland</t>
  </si>
  <si>
    <t>lpolak@mir.gdynia.pl</t>
  </si>
  <si>
    <t>State Treasury-Ministry of Maritime Economy and Inland Navigation; Maritime Fisheries Institute-National Research Institute; [BBF. III.320.U.74.2019/511]</t>
  </si>
  <si>
    <t>State Treasury-Ministry of Maritime Economy and Inland Navigation; Maritime Fisheries Institute-National Research Institute;</t>
  </si>
  <si>
    <t>Project A study programme on the marine environment of the Puck Bay, with particular emphasis on factors relevant to fisheries in 2019-2023 in connection with the implementation of contract No. BBF. III.320.U.74.2019/511, signed on September 6, 2019 between the State Treasury-Ministry of Maritime Economy and Inland Navigation, and the Maritime Fisheries Institute-National Research Institute.</t>
  </si>
  <si>
    <t>10.1016/j.marpolbul.2024.116080</t>
  </si>
  <si>
    <t>http://dx.doi.org/10.1016/j.marpolbul.2024.116080</t>
  </si>
  <si>
    <t>JX4Q4</t>
  </si>
  <si>
    <t>WOS:001176450100001</t>
  </si>
  <si>
    <t>Menezes, RM; Santos, WNL; Silva, UN; Lemos, VA</t>
  </si>
  <si>
    <t>Menezes, Rebeca Moraes; Santos, Walter Nei Lopes; Silva, Uneliton Neves; Lemos, Valfredo Azevedo</t>
  </si>
  <si>
    <t>A Miniaturized Gas-Liquid Separator for Use in Liquid-Phase Microextraction Procedures: Determination of Mercury in Food</t>
  </si>
  <si>
    <t>Dispersive liquid-liquid microextraction; Fish oil; Ionic liquid; Preconcentration; Cold vapor</t>
  </si>
  <si>
    <t>IONIC LIQUID; SAMPLE PREPARATION; FISH OILS; SPECIATION; SYSTEMS</t>
  </si>
  <si>
    <t>A method for the preconcentration of mercury using vortex-assisted temperature-controlled dispersive liquid-phase microextraction (VA-TC-DLPME) is proposed. A miniaturized gas-liquid separator (m-GLS) was developed and applied to the determination of mercury after VA-TC-DLPME. The detection was performed using cold vapor atomic absorption spectrometry (CV AAS). Ammonium pyrrolidine dithiocarbamate (APDC) reagent was used as a complexing agent for Hg(II). The VA-TC-DLPME method consists in dispersing the ionic liquid 1-butyl-3-methylimidazolium hexafluorophosphate ([Bmim][PF6]) in the aqueous phase by vigorous vortexing, followed by heating and cooling in an ice bath. The mixture was submitted to centrifugation, and the sedimented rich phase was then dissolved in an acid solution to reduce viscosity. Mercury was quantified in the final solution using m-GLS and CV AAS. Under optimized conditions, the method presents a limit of detection of 4.5x10(-2) mu g L-1, and an enrichment factor of 54. The accuracy was evaluated by the determination of mercury in reference material-certified ERM-CE 278, mussel tissue. The method was applied to the determination of mercury in fish oil samples. The developed m-GLS can be tested for use after other LPME procedures.</t>
  </si>
  <si>
    <t>[Menezes, Rebeca Moraes; Santos, Walter Nei Lopes; Lemos, Valfredo Azevedo] Univ Fed Bahia, Programa Posgrad Quim, Campus Univ Ondina, Salvador, BA, Brazil; [Menezes, Rebeca Moraes; Silva, Uneliton Neves; Lemos, Valfredo Azevedo] Univ Estadual Sudoeste Bahia, Lab Quim Analit LQA, Campus Jequie, BR-45208091 Jequie, BA, Brazil; [Santos, Walter Nei Lopes] Univ Estado Bahia, Dept Ciencias Exatas &amp; Terra, Salvador, BA, Brazil</t>
  </si>
  <si>
    <t>Universidade Federal da Bahia; Universidade Estadual do Sudoeste da Bahia; Universidade do Estado Bahia</t>
  </si>
  <si>
    <t>Lemos, VA (corresponding author), Univ Estadual Sudoeste Bahia, Lab Quim Analit LQA, Campus Jequie, BR-45208091 Jequie, BA, Brazil.</t>
  </si>
  <si>
    <t>LEMOS, VALFREDO/I-7647-2014</t>
  </si>
  <si>
    <t>Neves Silva, Uneliton/0000-0002-5390-4973; LEMOS, VALFREDO/0000-0002-6029-3218</t>
  </si>
  <si>
    <t>Coordenacao de Aperfeicoamento de Pessoal de Nivel Superior - Brasil (CAPES) [001]; Conselho Nacional de Desenvolvimento Cientifico e Tecnologico [311419/2018-6]; Fundacao de Amparo a Pesquisa do Estado da Bahia</t>
  </si>
  <si>
    <t>Coordenacao de Aperfeicoamento de Pessoal de Nivel Superior - Brasil (CAPES)(Coordenacao de Aperfeicoamento de Pessoal de Nivel Superior (CAPES)); Conselho Nacional de Desenvolvimento Cientifico e Tecnologico(Conselho Nacional de Desenvolvimento Cientifico e Tecnologico (CNPQ)); Fundacao de Amparo a Pesquisa do Estado da Bahia</t>
  </si>
  <si>
    <t>This study was financed in part by the Coordenacao de Aperfeicoamento de Pessoal de Nivel Superior - Brasil (CAPES) Finance Code 001. The authors also acknowledge the financial support of the Conselho Nacional de Desenvolvimento Cientifico e Tecnologico (311419/2018-6) and the Fundacao de Amparo a Pesquisa do Estado da Bahia</t>
  </si>
  <si>
    <t>10.1007/s11270-020-04837-y</t>
  </si>
  <si>
    <t>http://dx.doi.org/10.1007/s11270-020-04837-y</t>
  </si>
  <si>
    <t>NO3ZE</t>
  </si>
  <si>
    <t>WOS:000569424000001</t>
  </si>
  <si>
    <t>Telahigue, K; Antit, M; Rabeh, I; Chouba, L; Kheriji, S; El Cafsi, M; Hajji, T; Mhadhbi, L</t>
  </si>
  <si>
    <t>Telahigue, Khaoula; Antit, Mouna; Rabeh, Imen; Chouba, Lassaad; Kheriji, Souhaila; El Cafsi, M'hamed; Hajji, Tarek; Mhadhbi, Lazhar</t>
  </si>
  <si>
    <t>Heavy Metal Bioaccumulation and Oxidative Stress Profile in Brachidontes pharaonis (Bivalvia: Mytilidae) from the Tunisian Coast: Insight into Its Relevance as Bioindicator of Marine Pollution</t>
  </si>
  <si>
    <t>Brachidontes pharaonis; Invasive species; Oxidative stress; Metal bioaccumulation; Biomarkers; Harbor</t>
  </si>
  <si>
    <t>METALLOTHIONEIN; GLUTATHIONE; MUSSELS; COPPER</t>
  </si>
  <si>
    <t>This study aims to verify the relevance of Brachidontes pharaonis to assess the ecotoxicological status of polluted sites. For this, the levels of some heavy metals (i.e. Zn, Cu, Pb, and Cd) and a battery of biomarkers including metallothionein (MT), malondialdehyde (MDA), reduced glutathione (GSH), glutathione peroxidase (GPx), superoxide dismutase (SOD), and catalase (CAT) were assessed in mussels collected from the harbor of Rades (North), and the harbor of Zarzis (South). Moreover, abiotic parameters including temperature, salinity, pH, and dissolved oxygen were assessed. Results from the ICP-OES showed that the southern population exhibited a higher metal pollution index with significantly higher Zn, Cu, and Pb concentrations. Moreover, the specimens from Zarzis displayed significantly higher levels of MDA, MT, GSH, GPx, SOD, and CAT reflecting higher levels of oxidative and chemical stress. These results emphasize the potential utility of B. pharaonis for the monitoring of heavily impacted sites.</t>
  </si>
  <si>
    <t>[Telahigue, Khaoula; Antit, Mouna; Rabeh, Imen; Kheriji, Souhaila; El Cafsi, M'hamed; Mhadhbi, Lazhar] Univ Tunis El Manar, Fac Sci Tunis, Lab Ecol Biol &amp; Physiol Aquat Organisms, Tunis 2092, Tunisia; [Chouba, Lassaad] 2060 Tunis Univ, La Goulette Ctr, Natl Inst Marine Sci &amp; Technol INSTM, Carthage 2025, Tunisia; [Hajji, Tarek] Univ Manouba, Higher Inst Biotechnol Sidi Thabet, BVBGR LR11ES31, Biotechpole Sidi Thabet, Ariana 2020, Tunisia</t>
  </si>
  <si>
    <t>Universite de Tunis-El-Manar; Faculte des Sciences de Tunis (FST); Universite de la Manouba; Institut National de Recherche d'Analyse Physico-Chimique</t>
  </si>
  <si>
    <t>Telahigue, K (corresponding author), Univ Tunis El Manar, Fac Sci Tunis, Lab Ecol Biol &amp; Physiol Aquat Organisms, Tunis 2092, Tunisia.</t>
  </si>
  <si>
    <t>AYMEN, EL/R-4337-2019; Hajji, Tarek/GYI-8952-2022</t>
  </si>
  <si>
    <t>telahigue, Khaoula/0000-0001-8841-9911; ANTIT, Mouna/0000-0002-0420-7119</t>
  </si>
  <si>
    <t>10.1007/s00128-022-03593-5</t>
  </si>
  <si>
    <t>http://dx.doi.org/10.1007/s00128-022-03593-5</t>
  </si>
  <si>
    <t>5Y1JT</t>
  </si>
  <si>
    <t>WOS:000839308600001</t>
  </si>
  <si>
    <t>SOTO, M; KORTABITARTE, M; MARIGOMEZ, I</t>
  </si>
  <si>
    <t>BIOAVAILABLE HEAVY-METALS IN ESTUARINE WATERS AS ASSESSED BY METAL/SHELL-WEIGHT INDEXES IN SENTINEL MUSSELS MYTILUS-GALLOPROVINCIALIS</t>
  </si>
  <si>
    <t>METALS; BIOAVAILABILITY; MUSSEL WATCH; SENTINELS; MOLLUSKS; GROWTH; CONDITION; SEASONALITY</t>
  </si>
  <si>
    <t>BIVALVE MACOMA-BALTHICA; BODY ZINC CONCENTRATION; SEASONAL-VARIATION; TRACE-METALS; SHELL-WEIGHT; EDULIS; CADMIUM; COPPER; GROWTH; SIZE</t>
  </si>
  <si>
    <t>Seasonal variations in metal concentrations in soft tissues of marine mussels can be due, to a great extent, to seasonal changes in flesh weight. Consequently, this event results in an unpredictable overestimation of metal bioavailability when the metal concentration in soft tissues is considered as an index of such metal bioavailability. The Abra estuary (Bizkaia, Bay of Biscay, Spain) was used as a natural experimental basin with well-known differences in the levels of metallic pollutants. The level of metal bioavailability was determined at various sites at different times of the year. For this purpose the conventional approach of recording metal concentrations in soft tissues and the approach based on the calculation of metal/shell-weight indices, first proposed by Fischer (1983), were applied. We concluded that seasonal changes in organism condition (Flesh Condition Index) cause unpredictable oscillations in the metal concentration in soft tissues. For this reason the direct use of metal concentration values is not recommended to assess metal bioavailability. The metal/shell-weight indices, however, were not affected by seasonal changes in the flesh weight of sentinel mussels and thus may provide a more realistic indication of metal bioavailability. In the present study, different metal bioavailabilities, assessed by metal/shell-weight indices, were found at different sampling sites, according to the influence of industrial activities. Seasonal trends in metal/shell-weight indices (attributed to different metal inputs at different times) were also recorded. In conclusion, metal/shell-weight indices, characterized by a high sensitivity and a low noise-to-signal ratio, are a simple and reliable tool for assessing metal bioavailability in 'Mussel Watch' monitoring programmes.</t>
  </si>
  <si>
    <t>SOTO, M (corresponding author), BIOL ZELULARRA ZIENTZIA MORIOLOGIKOEN, FAK ZIENTZI, ZITOL &amp; HISTOL LAB, E-48080 BILBAO, SPAIN.</t>
  </si>
  <si>
    <t>; MARIGOMEZ ALLENDE, Ionan/C-3909-2017</t>
  </si>
  <si>
    <t>soto, manu/0000-0002-4541-8182; MARIGOMEZ ALLENDE, Ionan/0000-0001-6274-541X</t>
  </si>
  <si>
    <t>10.3354/meps125127</t>
  </si>
  <si>
    <t>http://dx.doi.org/10.3354/meps125127</t>
  </si>
  <si>
    <t>TB124</t>
  </si>
  <si>
    <t>WOS:A1995TB12400013</t>
  </si>
  <si>
    <t>Krishnakumar, PK; Bhat, GS; Vaidya, NG; Pillai, VK</t>
  </si>
  <si>
    <t>Heavy metal distribution in the biotic and abiotic matrices along Karnataka coast, west coast of India</t>
  </si>
  <si>
    <t>Sediment and soft tissue of bivalve samples collected from various sites of Karnataka coast were analysed for the estimation of the natural and anthropogenic heavy metal fluxes. Seasonal variations of heavy metals in sediment and bivalves collected from selected hot spots from Binage, Karwar and Thannirbavi, Mangalore were monitored. High concentrations of Hg was observed in the environment near the vicinity of a caustic soda plant at Binage, Karwar, indicating Hg pollution. Total Hg concentration in the tissue of oysters sampled from a contaminated stream from the above site, exceeded the safe limit of 0.5 mu g g(-1) wet weight. The base-line heavy metal concentrations in sediment and bivalves from selected sites of coastal Karnataka are presented.</t>
  </si>
  <si>
    <t>Cent Marine Fisheries Res Inst, Res Ctr, Mangalore 575001, India</t>
  </si>
  <si>
    <t>Indian Council of Agricultural Research (ICAR); ICAR - Central Marine Fisheries Research Institute</t>
  </si>
  <si>
    <t>Krishnakumar, PK (corresponding author), Cent Marine Fisheries Res Inst, Res Ctr, PB 244, Mangalore 575001, India.</t>
  </si>
  <si>
    <t>P.K., Krishnakumar/E-2141-2016</t>
  </si>
  <si>
    <t>P.K., Krishnakumar/0000-0002-2488-6999</t>
  </si>
  <si>
    <t>ZZ170</t>
  </si>
  <si>
    <t>WOS:000074702600010</t>
  </si>
  <si>
    <t>HOWELL, R</t>
  </si>
  <si>
    <t>ACUTE TOXICITY OF HEAVY-METALS TO 2 SPECIES OF MARINE NEMATODES</t>
  </si>
  <si>
    <t>The acute toxicity of seawater solutions of Cu, Zn, Pb, Cd and Hg to 2 spp. of free-living marine nematodes was studied. Enoplus brevis was a euryhaline species inhabitating intertidal estuarine mud. The closely related E. communis was stenohaline and found as a commensal in the byssus threads of seed mussels. Specimens of both species were collected from 2 sites on the Northeast coast of England [UK] showing different levels of pollution by heavy metals. Both species were more susceptible to Cu, Pb and Hg than to Zb and Cd, but the order of toxicity of the metals changed with exposure concentration. The euryhaline species survived better than the strictly marine species and there was a suggestion that animals from a polluted site were more tolerant of elevated levels of heavy metals.</t>
  </si>
  <si>
    <t>UNIV NEWCASTLE UPON TYNE, DEPT ZOOL, NEWCASTLE UPON TYNE NE1 7RU, TYNE &amp; WEAR, ENGLAND.</t>
  </si>
  <si>
    <t>10.1016/0141-1136(84)90043-6</t>
  </si>
  <si>
    <t>http://dx.doi.org/10.1016/0141-1136(84)90043-6</t>
  </si>
  <si>
    <t>SD179</t>
  </si>
  <si>
    <t>WOS:A1984SD17900001</t>
  </si>
  <si>
    <t>Russell, S; Sullivan, CA; Reichelt-Brushett, AJ</t>
  </si>
  <si>
    <t>Russell, Shaina; Sullivan, Caroline A.; Reichelt-Brushett, Amanda J.</t>
  </si>
  <si>
    <t>Aboriginal Consumption of Estuarine Food Resources and Potential Implications for Health through Trace Metal Exposure; A Study in Gumbaynggirr Country, Australia</t>
  </si>
  <si>
    <t>MULLET MUGIL-CEPHALUS; HEAVY-METALS; RIVER; KNOWLEDGE; FISHERIES; POLLUTION; MERCURY; PEOPLES; TISSUES; RIGHTS</t>
  </si>
  <si>
    <t>Fishing and resource use continues to be an essential aspect of life for many Aboriginal communities throughout Australia. It is important for dietary sustenance, and also retains deep social, cultural and economic significance, playing a fundamental role in maintaining group cohesion, transferring cultural knowledge and affirming Indigenous identities. We surveyed approximately 20% of the Gumbaynggirr Aboriginal community of Nambucca Heads, New South Wales, Australia. This paper explores Gumbaynggirr Connection to Country and engagement in cultural practice. It quantifies fishing efforts and consumption of seafood within the community. We found 95% of the sample group fish, with the highest rate of fishing being 2-3 times a week (27%). Furthermore, 98% of participants eat seafood weekly or more frequently, up to more than once a day (24%). Survey results revealed that Myxus elongatus (Sand mullet) and naturally recruited Saccostrea glomerata (Sydney rock oysters) continue to be important wild resources to the Gumbaynggirr community. Trace metals were measured in M. elongatus and S. glomerata samples collected by community participants in this study. Maximum levels prescribed in the Australia New Zealand Food Standards Code were not exceeded in the edible tissue for either species, however both species exceeded the generally expected levels for zinc and copper and S. glomerata samples exceeded the generally expected level for selenium. Furthermore the average dietary exposure to trace metals from consuming seafood was calculated for the surveyed population. Trace metal intake was then compared to the provisional tolerable weekly intake prescribed by the Joint Expert Committee on Food Additives. This process revealed that copper and selenium intake were both within the provisional tolerable weekly intake, while there is no guideline for zinc. Furthermore, participants relying heavily on wild resources from the Nambucca River estuary may exceed the provisional tolerable weekly intake for cadmium. This suggests the need for further investigation of this issue to minimize any possible health risk.</t>
  </si>
  <si>
    <t>[Reichelt-Brushett, Amanda J.] So Cross Univ, Sch Environm Sci &amp; Engn, Lismore, NSW 2480, Australia; So Cross Univ, Marine Ecol Res Ctr, Lismore, NSW 2480, Australia</t>
  </si>
  <si>
    <t>Southern Cross University; Southern Cross University</t>
  </si>
  <si>
    <t>Reichelt-Brushett, AJ (corresponding author), So Cross Univ, Sch Environm Sci &amp; Engn, Lismore, NSW 2480, Australia.</t>
  </si>
  <si>
    <t>amanda.reichelt-brushett@scu.edu.au</t>
  </si>
  <si>
    <t>; Reichelt-Brushett, Amanda/Q-8348-2017; Sullivan, Caroline A./T-8668-2017</t>
  </si>
  <si>
    <t>Russell, Shaina/0000-0003-4238-958X; Reichelt-Brushett, Amanda/0000-0002-5212-7586; Sullivan, Caroline A./0000-0001-8486-0523; Chiaradia, Andre/0000-0002-6178-4211</t>
  </si>
  <si>
    <t>Marine Ecology Research Centre (support for independent post graduate student project); School of Environment, Science and Engineering (support for independent postgraduate student project)</t>
  </si>
  <si>
    <t>Funding was received from the Marine Ecology Research Centre (support for independent post graduate student project) and the School of Environment, Science and Engineering (support for independent postgraduate student project). Both are not for profit organisations and the funders had no role in the study design, data collection and analysis, decision to publish, or preparation of the manuscript.</t>
  </si>
  <si>
    <t>JUN 22</t>
  </si>
  <si>
    <t>e0130689</t>
  </si>
  <si>
    <t>10.1371/journal.pone.0130689</t>
  </si>
  <si>
    <t>http://dx.doi.org/10.1371/journal.pone.0130689</t>
  </si>
  <si>
    <t>CL3FM</t>
  </si>
  <si>
    <t>Green Submitted, Green Published, gold</t>
  </si>
  <si>
    <t>WOS:000356835800096</t>
  </si>
  <si>
    <t>LARSON, KG; ROBERSON, BS; HETRICK, FM</t>
  </si>
  <si>
    <t>EFFECT OF ENVIRONMENTAL-POLLUTANTS ON THE CHEMI-LUMINESCENCE OF HEMOCYTES FROM THE AMERICAN OYSTER CRASSOSTREA-VIRGINICA</t>
  </si>
  <si>
    <t>An assay measuring the chemiluminescent response of hemocytes from the oyster Crassostrea virginica was used to assess the effects of environmental pollutants on phagocytosis. In vivo and in vitro effects of heavy metals (copper, cadmimum, zinc, and aluminum), pesticides (dieldrin and chlordane), and organic compounds (naphthalene and 2,4-dinitrophenol) on the chemiluminescent response of stimulated oyster hemocytes were tested. In most cases, exposure to a high pollutant concentration resulted in a decreased chemiluminescent response. After in vivo treatment, the response of the hemocytes depended on the duration of exposure to the pollutant and pollutant concentration. Instances of both acclimation and cumulative toxicity of pollutants were observed.</t>
  </si>
  <si>
    <t>UNIV MARYLAND, DEPT MICROBIOL, COLLEGE PK, MD 20742 USA.</t>
  </si>
  <si>
    <t>1616-1580</t>
  </si>
  <si>
    <t>MAY 11</t>
  </si>
  <si>
    <t>10.3354/dao006131</t>
  </si>
  <si>
    <t>http://dx.doi.org/10.3354/dao006131</t>
  </si>
  <si>
    <t>U7946</t>
  </si>
  <si>
    <t>WOS:A1989U794600008</t>
  </si>
  <si>
    <t>Zhou, XL; Liu, WZ; Zhang, J; Wu, C; Ou, XW; Tian, C; Lin, Z; Dang, Z</t>
  </si>
  <si>
    <t>Zhou, Xueli; Liu, Weizhen; Zhang, Jian; Wu, Can; Ou, Xinwen; Tian, Chen; Lin, Zhang; Dang, Zhi</t>
  </si>
  <si>
    <t>Biogenic Calcium Carbonate with Hierarchical Organic Inorganic Composite Structure Enhancing the Removal of Pb(II) from Wastewater</t>
  </si>
  <si>
    <t>ACS APPLIED MATERIALS &amp; INTERFACES</t>
  </si>
  <si>
    <t>CaCO3; lead; porous structure; microstructure; functional groups; wastewater treatment</t>
  </si>
  <si>
    <t>HEAVY-METAL IONS; LEAD; ADSORPTION; CACO3; PB; BIOSORPTION; STANDARDS; SORPTION</t>
  </si>
  <si>
    <t>Calcium carbonate from geological sources (geo-CacO(3), e.g., calcite, aragonite) is used extensively in removing heavy metals from wastewater through replacement reaction. However, geo-CaCO3 has an intrinsically compact crystalline structure that results in low efficiency in pollutant removal and thus its use may produce enormous sludge. In' his work, biogenie Calcium carbonate (bio-CaCO3) derived from oyster shells was used to remove Pb(ll) from wastewater and found to significantly outperform geo-CaCO3 (calcite). The thermodynamics study revealed that the maximum adsorption capacity of bio-CaCO3 for Pb(II) was three times that of geoCaCO(3), reaching up to 1667 mg/g. The kinetics study disclosed that the dissolution kinetics and the rate of intraparticle diffusion of bio-CaCO3 were faster than those of geo-CaCO3. Extensive mechanism research through X-ray powder diffraction (XRD), scanning electron microscopy (SEM), N-2 adsorption/desorption test and mercury intrusion porosimetry showed that the hierarchical porous Organic inorganic hybrid, structure of bio-CaCO3 expedited the dissolution of CaCO3 to provide abundant CO3' active sites and facilitated the permeation and diffusion of Pb(II) into the bulk solid phases. In addition Fourier transform infrared spectroscopy (FTIR) study, X-ray photoelectron spectroscopy (XPS) analysis, and the examination of Pb(II) removal ability of bio-CaCO3 after calcination indicated that the organic functional groups of bio-CaCO3 alsO facilitated the immobilization Of Pb(ll) into CaCO3 particles, although the major contribution was from the hierarchical porous structure of bio-CaCO3.</t>
  </si>
  <si>
    <t>[Zhou, Xueli; Liu, Weizhen; Zhang, Jian; Wu, Can; Ou, Xinwen; Tian, Chen; Lin, Zhang; Dang, Zhi] South China Univ Technol, Sch Environm &amp; Energy, Minist Educ, Key Lab Pollut Control &amp; Ecosyst Restorat Ind Clu, Guangzhou 510006, Guangdong, Peoples R China; [Zhou, Xueli; Liu, Weizhen; Wu, Can; Tian, Chen; Lin, Zhang; Dang, Zhi] South China Univ Technol, Guangdong Engn &amp; Technol Res Ctr Environm Nanomat, Guangzhou 510006, Guangdong, Peoples R China</t>
  </si>
  <si>
    <t>South China University of Technology; South China University of Technology</t>
  </si>
  <si>
    <t>Liu, WZ; Lin, Z (corresponding author), South China Univ Technol, Sch Environm &amp; Energy, Minist Educ, Key Lab Pollut Control &amp; Ecosyst Restorat Ind Clu, Guangzhou 510006, Guangdong, Peoples R China.;Liu, WZ; Lin, Z (corresponding author), South China Univ Technol, Guangdong Engn &amp; Technol Res Ctr Environm Nanomat, Guangzhou 510006, Guangdong, Peoples R China.</t>
  </si>
  <si>
    <t>weizhliu@scut.edu.cn; zlin@scut.edu.cn</t>
  </si>
  <si>
    <t>Lin, Zhang/S-4070-2017; Wu, Can/R-1541-2016; Zhou, Honghao/JWO-4641-2024; OU, Xinwen/ABR-1837-2022; LIU, weizhen/G-8367-2019</t>
  </si>
  <si>
    <t>Yin, Hua/0000-0002-2793-0860; Ou, Xinwen/0000-0001-6694-7932</t>
  </si>
  <si>
    <t>National Natural Science Foundation of China [21477129, 21607045]; Outstanding Youth Fund [21125730]; Fundamental Research Funds for the Central Universities [2015ZM157]; Guangdong Innovative and Entrepreneurial Research Team Program [2016ZT06N569]</t>
  </si>
  <si>
    <t>National Natural Science Foundation of China(National Natural Science Foundation of China (NSFC)); Outstanding Youth Fund; Fundamental Research Funds for the Central Universities(Fundamental Research Funds for the Central Universities); Guangdong Innovative and Entrepreneurial Research Team Program</t>
  </si>
  <si>
    <t>This work was supported by the National Natural Science Foundation of China (Grant No. 21477129 and 21607045), the Outstanding Youth Fund (No. 21125730), the Fundamental Research Funds for the Central Universities (No. 2015ZM157), and the Guangdong Innovative and Entrepreneurial Research Team Program (No. 2016ZT06N569).</t>
  </si>
  <si>
    <t>1944-8244</t>
  </si>
  <si>
    <t>1944-8252</t>
  </si>
  <si>
    <t>ACS APPL MATER INTER</t>
  </si>
  <si>
    <t>ACS Appl. Mater. Interfaces</t>
  </si>
  <si>
    <t>OCT 18</t>
  </si>
  <si>
    <t>10.1021/acsami.7b09304</t>
  </si>
  <si>
    <t>http://dx.doi.org/10.1021/acsami.7b09304</t>
  </si>
  <si>
    <t>Nanoscience &amp; Nanotechnology; Materials Science, Multidisciplinary</t>
  </si>
  <si>
    <t>Science &amp; Technology - Other Topics; Materials Science</t>
  </si>
  <si>
    <t>FK4YJ</t>
  </si>
  <si>
    <t>WOS:000413503700028</t>
  </si>
  <si>
    <t>Boumhras, M; Ouafik, S; Nury, T; Gresti, J; Athias, A; Ragot, K; Nasser, B; Cherkaoui-Malki, M; Lizard, G</t>
  </si>
  <si>
    <t>Boumhras, M.; Ouafik, S.; Nury, T.; Gresti, J.; Athias, A.; Ragot, K.; Nasser, B.; Cherkaoui-Malki, M.; Lizard, G.</t>
  </si>
  <si>
    <t>Determination of Heavy Metal Content and Lipid Profiles in Mussel Extracts from two Sites on the Moroccan Atlantic Coast and Evaluation of their Biological Activities on MIN6 Pancreatic Cells</t>
  </si>
  <si>
    <t>flow cytometric functional tests; lipids (fatty acids; oxysterols; phospholipids; phytosterols); MIN6 pancreatic cells; toxic metal ions</t>
  </si>
  <si>
    <t>OXIDATIVE STRESS; BETA-CELL; MYTILUS-GALLOPROVINCIALIS; INSULIN-SECRETION; 7-KETOCHOLESTEROL-INDUCED APOPTOSIS; MEMBRANE PERMEABILIZATION; DIABETES-MELLITUS; 7-BETA-HYDROXYCHOLESTEROL; DEATH; PERSISTENT</t>
  </si>
  <si>
    <t>Mussels may concentrate pollutants, with possibly significant side effects on human health. Therefore, mussels (Mytilus galloprovincialis) from two sites of the Moroccan Atlantic coast (Jorf Lasfar [JL], an industrial site, and Oualidia [OL], a vegetable-growing area), were subjected to biochemical analyses to quantify the presence of heavy metals (Cd, Cr, and Pb) and to establish the lipid profile: fatty acid, cholesterol, oxysterol, phytosterol and phospholipid content. In addition, mussel lipid extracts known to accumulate numerous toxic components were tested on murine pancreatic beta-cells (MIN6), and their biological activities were measured with various flow cytometric and biochemical methods to determine their impacts on cell death induction, organelle dysfunctions (mitochondria, lysosomes, and peroxisomes), oxidative stress and insulin secretion. The characteristics of JL and OL lipid extracts were compared with those of commercially available mussels from Spain (SP) used for human consumption. OL and JL contained heavy metals, high amounts of phospholipids, and high levels of oxysterols; the [(unsaturated fatty acids)/(saturated fatty acids)] ratio, which can be considered a sign of environmental stress leading to lipid peroxidation, was low. On MIN6 cells, JL and OL lipid extracts were able to trigger cell death. This event was associated with overproduction of H2O2, increased catalase activity, a decreased GSH level, lipid peroxidation and stimulation of insulin secretion. These effects were not observed with SP lipid extracts. These data suggest that some components from OL and JL lipid extracts might predispose to pancreatic dysfunctions. Epidemiological studies would be needed to assess the global risk on human health and the metabolic disease incidence in a context of regular seafood consumption from the OL and JL areas. (C) 2013 Wiley Periodicals, Inc.</t>
  </si>
  <si>
    <t>[Boumhras, M.; Nury, T.; Ragot, K.; Cherkaoui-Malki, M.; Lizard, G.] Univ Bourgogne, INSERM, Equipe Biochim Peroxysome Inflammat &amp; Metab Lipid, Dijon, France; [Boumhras, M.; Ouafik, S.; Nasser, B.] Univ Hassan 1Er, Fac Sci &amp; Tech, Lab Biochim &amp; Neurosci, Equipe Toxicol Appl, Settat, Morocco; [Gresti, J.] Univ Bourgogne, Ctr Rech INSERM, Lipides Nutr Canc UMR866, Dijon, France; [Athias, A.] Univ Bourgogne, INSERM Sante STIC IFR100, CHU Dijon, Dijon, France</t>
  </si>
  <si>
    <t>Institut National de la Sante et de la Recherche Medicale (Inserm); Universite de Bourgogne; Hassan First University of Settat; Institut Agro; AgroSup Dijon; Universite de Bourgogne; Institut National de la Sante et de la Recherche Medicale (Inserm); Universite de Bourgogne; CHU Dijon Bourgogne; Institut National de la Sante et de la Recherche Medicale (Inserm)</t>
  </si>
  <si>
    <t>Lizard, G (corresponding author), Univ Bourgogne, INSERM, Equipe Biochim Peroxysome Inflammat &amp; Metab Lipid, Dijon, France.</t>
  </si>
  <si>
    <t>Gerard.Lizard@u-bourgogne.fr</t>
  </si>
  <si>
    <t>NURY, THOMAS/IZQ-3626-2023; Cherkaoui-Malki, Mustapha/B-2412-2012; Lizard, Gerard/B-2439-2012</t>
  </si>
  <si>
    <t>NURY, THOMAS/0000-0002-2190-9630</t>
  </si>
  <si>
    <t>PHC volubulis program, Ministere des Affaires Etrangeres, Universite de Bourgogne (Dijon, France) [AIMA/10/238]; ABASIM (Dijon, France) [AIMA/10/238]</t>
  </si>
  <si>
    <t>PHC volubulis program, Ministere des Affaires Etrangeres, Universite de Bourgogne (Dijon, France); ABASIM (Dijon, France)</t>
  </si>
  <si>
    <t>Contract grant sponsor: Action Integree of the Comite Mixte Inter-universitaire Franco-Marocain' (CMIFM, AIMA/10/238, EGIDE) from the PHC volubulis program, Ministere des Affaires Etrangeres, Universite de Bourgogne (Dijon, France), and ABASIM (Dijon, France).</t>
  </si>
  <si>
    <t>10.1002/tox.21855</t>
  </si>
  <si>
    <t>http://dx.doi.org/10.1002/tox.21855</t>
  </si>
  <si>
    <t>AS6NP</t>
  </si>
  <si>
    <t>WOS:000344380400003</t>
  </si>
  <si>
    <t>Hedge, LH; Knott, NA; Johnston, EL</t>
  </si>
  <si>
    <t>Hedge, L. H.; Knott, N. A.; Johnston, E. L.</t>
  </si>
  <si>
    <t>Dredging related metal bioaccumulation in oysters</t>
  </si>
  <si>
    <t>Saccostrea; Sediments; Bioavailability; Resuspension; BACI</t>
  </si>
  <si>
    <t>NEW-SOUTH-WALES; TRACE-METALS; HEAVY-METALS; MARINE; SEDIMENTS; ESTUARIES; BIOAVAILABILITY; CONTAMINATION; ACCUMULATION; POLLUTION</t>
  </si>
  <si>
    <t>Bivalves are regularly used as biomonitors of contaminants in coastal and estuarine waters. We used oysters to assess short term changes in metal availability caused by the resuspension of contaminated sediments. Sydney Rock Oysters, Saccostrea glomerata, were deployed at multiple sites in Port Kembla Harbour and two reference estuaries for 11 weeks before dredging and for two equivalent periods during dredging. Saccostrea experienced large increases in accumulation of zinc, copper and tin during dredging in the Port relative to oysters deployed in reference estuaries. Lead and tin were found to be permanently elevated within Port Kembla. We present a clear and un-confounded demonstration of the potential for dredging activities to cause large scale increases in water column contamination. Our results also demonstrate the usefulness of external reference locations in overcoming temporal confounding in bioaccumulation studies. (C) 2009 Elsevier Ltd. All rights reserved.</t>
  </si>
  <si>
    <t>[Hedge, L. H.; Knott, N. A.; Johnston, E. L.] Univ New S Wales, Sch Biol Earth &amp; Environm Sci, Evolut &amp; Ecol Res Ctr, Sydney, NSW 2052, Australia</t>
  </si>
  <si>
    <t>Hedge, LH (corresponding author), Univ New S Wales, Sch Biol Earth &amp; Environm Sci, Evolut &amp; Ecol Res Ctr, Sydney, NSW 2052, Australia.</t>
  </si>
  <si>
    <t>l.hedge@unsw.edu.au</t>
  </si>
  <si>
    <t>Knott, Nathan/AAA-8888-2019; Hedge, Luke/H-7048-2012; Johnston, Emma/B-7210-2009</t>
  </si>
  <si>
    <t>Johnston, Emma/0000-0002-2117-366X; Knott, Nathan/0000-0002-7873-0412; Hedge, Luke/0000-0002-6805-3462</t>
  </si>
  <si>
    <t>10.1016/j.marpolbul.2009.01.020</t>
  </si>
  <si>
    <t>http://dx.doi.org/10.1016/j.marpolbul.2009.01.020</t>
  </si>
  <si>
    <t>465CK</t>
  </si>
  <si>
    <t>WOS:000267558600018</t>
  </si>
  <si>
    <t>Nedzarek, A; Czerniejewski, P; Tórz, A</t>
  </si>
  <si>
    <t>Nedzarek, Arkadiusz; Czerniejewski, Przemyslaw; Torz, Agnieszka</t>
  </si>
  <si>
    <t>A comparison of the concentrations of heavy metals in modern and medieval shells of swollen river mussels (Unio tumidus) from the Szczecin Lagoon, SW Baltic basin</t>
  </si>
  <si>
    <t>Trace elements; Bioindicator; Bioaccumulation; Unio tumidus</t>
  </si>
  <si>
    <t>The shells of mussels, live-collected bivalves or during archaeological excavations, can be used as bioindicators of current and historical levels of heavy metal contamination. In this study, we examined the shells of Unio tumidus, commonly found in the Baltic Sea region, and determined the concentrations of Zn, Cu, Fe, Pb, Ni, and Cd in samples from the 10th, 11th, and 21st century from the area of the Szczecin Lagoon. The average levels of heavy metals (in mu g g(-1) dry weight) in the shells from the Middle Ages were: 137.5 (Fe), 3.87 (Zn), 0.789 (Cu), 0.012 (Pb), 0.047 (Ni), and 0.0009 (Cd). Shells from the 21st century were significantly (P&lt;0.05) more abundant in Fe, Cu, Ni, Pb, and Cd (rates of increase: 1.96x, 3.54x, 2.71x, 2.08x, and 3.55x, respectively) than shells from the Middle Ages. These results reflect contemporary anthropogenic pollution of the environment with heavy metals and confirm the possibility of using U. tumidus shells in the assessment of heavy metal pollution levels.</t>
  </si>
  <si>
    <t>[Nedzarek, Arkadiusz; Czerniejewski, Przemyslaw; Torz, Agnieszka] West Pomeranian Univ Technol Szczecin, Fac Food Sci &amp; Fisheries, Kazimierza Krolewicza St 4, PL-71550 Szczecin, Poland</t>
  </si>
  <si>
    <t>West Pomeranian University of Technology</t>
  </si>
  <si>
    <t>Nedzarek, A (corresponding author), West Pomeranian Univ Technol Szczecin, Fac Food Sci &amp; Fisheries, Kazimierza Krolewicza St 4, PL-71550 Szczecin, Poland.</t>
  </si>
  <si>
    <t>anedzarek@zut.edu.pl; pczerniejewski@zut.edu.pl; atorz@zut.edu.pl</t>
  </si>
  <si>
    <t>Nedzarek, Arkadiusz/F-3959-2016; Czerniejewski, Przemyslaw/F-4037-2016; Torz, Agnieszka/AAG-9251-2021</t>
  </si>
  <si>
    <t>Nedzarek, Arkadiusz/0000-0002-6094-3647; Czerniejewski, Przemyslaw/0000-0001-8553-9109; Torz, Agnieszka/0000-0003-2159-981X</t>
  </si>
  <si>
    <t>10.1016/j.marpolbul.2020.111959</t>
  </si>
  <si>
    <t>http://dx.doi.org/10.1016/j.marpolbul.2020.111959</t>
  </si>
  <si>
    <t>WOS:000620266400011</t>
  </si>
  <si>
    <t>Buzzi, NS; Oliva, AL; Arias, AH; Marcovecchio, JE</t>
  </si>
  <si>
    <t>Sol Buzzi, Natalia; Laura Oliva, Ana; Hugo Arias, Andres; Eduardo Marcovecchio, Jorge</t>
  </si>
  <si>
    <t>Assessment of trace metal accumulation in native mussels (Brachidontes rodriguezii) from a South American temperate estuary</t>
  </si>
  <si>
    <t>Coastal zone; Mussels; Sediments; Heavy metals; Pollution monitoring; Health hazard</t>
  </si>
  <si>
    <t>BAHIA BLANCA ESTUARY; MYTILUS-GALLOPROVINCIALIS; HEAVY-METALS; BEAGLE CHANNEL; COASTAL SEDIMENTS; BIVALVE MOLLUSKS; CONDITION INDEX; VENICE LAGOON; PERNA-VIRIDIS; RIVER ESTUARY</t>
  </si>
  <si>
    <t>The present work provides the first results in heavy metal bioaccumulation in the autochthonous mussel Brachidontes rodriguezii from the Bahia Blanca Estuary (Argentina), one of the most important coastal environments of South America, subjected to different anthropogenic pressure. The study is based on the detection of Cd, Cu, Pb, Mn, and Fe in mussels' soft tissue and sediments' fine fraction by means of inductively coupled plasma atomic emission spectroscopy (ICP-OES), in order to analyze the potential relationship between both components of the aquatic system. Additionally, different indices are calculated with the purpose of obtaining detailed data. The heavy metal burden in mussels varied seasonally, showing a clearer pattern for the stations located in the internal area of the estuary. Metals exhibited maximum values in summer and to a lesser extent in winter, followed by a decrease during spring. Multiple international guideline assessment allowed classifying the area as moderately polluted, including a low range for Cd and medium for Cu and Pb. Moreover, the average detected levels were within the measured ranges in other coastal areas. Regarding human health, trace metal content in mussels met the national and international standards for safe consumption.</t>
  </si>
  <si>
    <t>[Sol Buzzi, Natalia; Laura Oliva, Ana; Hugo Arias, Andres; Eduardo Marcovecchio, Jorge] UNS, CONICET, Inst Argentino Oceanog IADO, Camino Carrindanga Km 7,Edificio E1,CC 804, RA-8000 Bahia Blanca, Buenos Aires, Argentina; [Sol Buzzi, Natalia] UNS, Dept Biol Bioquim &amp; Farm, San Juan 670, RA-8000 Bahia Blanca, Buenos Aires, Argentina; [Hugo Arias, Andres] UNS, Dept Quim, San Juan 670, RA-8000 Bahia Blanca, Buenos Aires, Argentina; [Eduardo Marcovecchio, Jorge] Univ Tecnol Nacl, FRBB, 11 Abril 445, RA-8000 Bahia Blanca, Buenos Aires, Argentina; [Eduardo Marcovecchio, Jorge] Univ FASTA, Gascn 3151, Gascon 3151, RA-7600 Mar Del Plata, Argentina</t>
  </si>
  <si>
    <t>Consejo Nacional de Investigaciones Cientificas y Tecnicas (CONICET); National University of the South; National University of the South; National University of the South</t>
  </si>
  <si>
    <t>Buzzi, NS (corresponding author), UNS, CONICET, Inst Argentino Oceanog IADO, Camino Carrindanga Km 7,Edificio E1,CC 804, RA-8000 Bahia Blanca, Buenos Aires, Argentina.;Buzzi, NS (corresponding author), UNS, Dept Biol Bioquim &amp; Farm, San Juan 670, RA-8000 Bahia Blanca, Buenos Aires, Argentina.</t>
  </si>
  <si>
    <t>nbuzzi@criba.edu.ar; anaoliva@criba.edu.ar; aharias@criba.edu.ar; jorgemar@iado-conicet.gob.ar</t>
  </si>
  <si>
    <t>Buzzi, Natalia Sol/0000-0002-5179-0634; Oliva, Ana Laura/0000-0001-9620-200X; Arias, Andres Hugo/0000-0003-3322-330X</t>
  </si>
  <si>
    <t>National Council of Scientific and Technological Research (CONICET-Argentina) [PIP D738 2011]; National Agency for Promotion of Science and Technology-ANCPCyT [PICT 2010-1302, PICT 2012-1383, PICT 0709-2015]</t>
  </si>
  <si>
    <t>We would like to thank the IADO executive directors, the staff of IADO IV research vessel for the logistics and cooperation on board, and the Chemical Oceanography Area's staff. This study was funded through research grants by National Council of Scientific and Technological Research (CONICET-Argentina) (PIP D738 2011) and National Agency for Promotion of Science and Technology-ANCPCyT (PICT 2010-1302, PICT 2012-1383, and PICT 0709-2015).</t>
  </si>
  <si>
    <t>10.1007/s11356-017-9237-5</t>
  </si>
  <si>
    <t>http://dx.doi.org/10.1007/s11356-017-9237-5</t>
  </si>
  <si>
    <t>EY9ZS</t>
  </si>
  <si>
    <t>WOS:000404358200053</t>
  </si>
  <si>
    <t>Teh, SJ; Werner, I; Hinton, DE</t>
  </si>
  <si>
    <t>Sublethal effects of chromium-VI in the Asian clam (Potamocorbula amurensis)</t>
  </si>
  <si>
    <t>clams; histopathology; metals; sublethal effects; toxicity</t>
  </si>
  <si>
    <t>SAN-FRANCISCO BAY; BIOMARKERS</t>
  </si>
  <si>
    <t>Previously, we have shown that Asian clams (Potamocorbula amurensis) with highest metallic body burdens have highest prevalence of disease and lowest reproduction. The present study was designed to assess and validate potential sublethal toxicity of hexavalent chromium (Cr-VI) in clams under controlled laboratory exposure. For 7 days, three replicates of clam (n = 10 per replicate) were exposed to aqueous solution containing 0.00, 0.92, 8.40, or 25.6 mg l(-1) of Cr-VI at 15 degreesC and 15 g l(-1) salinity. Mortality reached 100% in the 25.6 mg l(-1) group within 7 days. There was no significant difference in mortality among the control, 0.92, and 8.40 mg l(-1) groups. Western blot analyses revealed significantly elevated stress protein hsp70 levels in the 8.40 mg l(-1) treatment group. Histopathologic analyses revealed mild digestive gland (DG) atrophy in the control group. Clams exposed to 0.92 mg l(-1) Cr-VI showed moderate DG atrophy, moderate granulomatous inflammation and necrosis in DG, ovary and testis. Lesions observed in the 8.40 mg l(-1) treatment group included severe DG atrophy, severe granulomatous inflammation and necrosis in byssal gland, DG, gill, kidney, ovary and testis. In gills and testes of treated groups, apoptotic cells outnumbered mitotic cells. In addition, gills from clams in the 8.40 mg l(-1) group showed enhanced hsp70 staining. Our studies support a cause-effect relationship between contaminants and reduced health in Asian clams and indicate the DGs, gills, and reproductive organs are principal targets of Cr-VI toxicity at sublethal concentrations. Results from this study suggest that Cr-VI may have played a role in the increased incidence of diseased clams seen in previous studies and these adverse effects may be working to decrease clam populations at sites with highest metallic contamination in the San Francisco Bay Estuary. (C) 2000 Elsevier Science Ltd. All rights reserved.</t>
  </si>
  <si>
    <t>Univ Calif Davis, Sch Vet Med, Dept Anat Physiol &amp; Cell Biol, Davis, CA 95616 USA</t>
  </si>
  <si>
    <t>University of California System; University of California Davis</t>
  </si>
  <si>
    <t>Teh, SJ (corresponding author), Univ Calif Davis, Sch Vet Med, Dept Anat Physiol &amp; Cell Biol, Davis, CA 95616 USA.</t>
  </si>
  <si>
    <t>NCI NIH HHS [CA-45131] Funding Source: Medline; NIEHS NIH HHS [ES-04699] Funding Source: Medline</t>
  </si>
  <si>
    <t>NCI NIH HHS(United States Department of Health &amp; Human ServicesNational Institutes of Health (NIH) - USANIH National Cancer Institute (NCI)); NIEHS NIH HHS(United States Department of Health &amp; Human ServicesNational Institutes of Health (NIH) - USANIH National Institute of Environmental Health Sciences (NIEHS))</t>
  </si>
  <si>
    <t>10.1016/S0141-1136(00)00086-6</t>
  </si>
  <si>
    <t>http://dx.doi.org/10.1016/S0141-1136(00)00086-6</t>
  </si>
  <si>
    <t>WOS:000165486700049</t>
  </si>
  <si>
    <t>Alexander, TC; Han, FXX; Arslan, Z; Tchounwou, PB</t>
  </si>
  <si>
    <t>Alexander, Turquoise C.; Han, Fengxiang X.; Arslan, Zikri; Tchounwou, Paul B.</t>
  </si>
  <si>
    <t>Toxicity of As in Crassostrea virginica (Gmelin, 1791) from the Northern Gulf of Mexico at the presence of Zn and its antioxidant defense mechanisms</t>
  </si>
  <si>
    <t>Antioxidants; Enzymes; Arsenic; Zinc; Antagonistic effect; Oysters</t>
  </si>
  <si>
    <t>LIPID-PEROXIDATION; OXIDATIVE STRESS; HEAVY-METALS; MYTILUS-GALLOPROVINCIALIS; METALLOTHIONEIN; CADMIUM; OYSTERS; ZINC; BIOMARKERS; RESPONSES</t>
  </si>
  <si>
    <t>Reactive oxygen species (ROS) such as the free radicals (e.g. hydroxyl, nitric acid, superoxide) cause damage to lipids, proteins and DNA. Increased production of ROS occurs from pollution. Process of removal or neutralization of ROS is achieved through antioxidants enzyme defense systems and provide homeostasis within biological systems. Aerobic organisms have complex antioxidant systems using enzymatic and non-enzymatic antioxidants to prevent overproduction of ROS. This study examined the toxic effects of arsenic and zinc on Eastern oysters, their interaction and resulting enzymatic responses. Cellular damage as indicated with lipid peroxidation and antioxidant defensive enzyme activities (superoxide dismutase, SOD; glutathione peroxidase, GPX and catalase, CAT) were measured in the hepatopancreas of Eastern oysters exposed to single and combined treatments of arsenic and zinc for 30 days. The results showed either arsenic or zinc exposure significantly increased the lipid peroxidation and triggered antioxidant defenses. Activities of antioxidant enzymes (SOD, GPX and CAT) were markedly elevated upon expose of As or Zn. However, at the presence of Zn, As toxicity expressed as lipid oxidation significantly decreased as well as accordingly decreased activities of antioxidant enzymes. This revealed that the presence of Zn showed a significantly antagonistic effect on arsenic toxicity in Eastern oysters from Northern Gulf of Mexico.</t>
  </si>
  <si>
    <t>[Alexander, Turquoise C.; Tchounwou, Paul B.] Jackson State Univ, Environm Sci PhD Program, 1400 JR Lynch St, Jackson, MS USA; [Han, Fengxiang X.; Arslan, Zikri] Jackson State Univ, Dept Chem &amp; Biochem, 1400 JR Lynch St, Jackson, MS 39217 USA</t>
  </si>
  <si>
    <t>Jackson State University; Jackson State University</t>
  </si>
  <si>
    <t>Han, FXX (corresponding author), Jackson State Univ, Dept Chem &amp; Biochem, 1400 JR Lynch St, Jackson, MS 39217 USA.</t>
  </si>
  <si>
    <t>fengxiang.han@jsums.edu</t>
  </si>
  <si>
    <t>han, feng/KBB-3356-2024</t>
  </si>
  <si>
    <t>United States Department of Commerce (NOAA) [NA11SEC4810001-003499, NA16SEC4810009]; United States Department of Commerce (NOAA Center for Coastal and Marine Ecosystems Grant) [G634C22]; US Nuclear Regulatory Commission [NRC-HQ-84-15-G-0042, NRC-HQ-12-G-38-0038]; United States NIH [G12MD007581]</t>
  </si>
  <si>
    <t>United States Department of Commerce (NOAA); United States Department of Commerce (NOAA Center for Coastal and Marine Ecosystems Grant); US Nuclear Regulatory Commission; United States NIH(United States Department of Health &amp; Human ServicesNational Institutes of Health (NIH) - USA)</t>
  </si>
  <si>
    <t>This research was supported by the United States Department of Commerce (NOAA) (NA11SEC4810001-003499, NA16SEC4810009, NOAA Center for Coastal and Marine Ecosystems Grant # G634C22); US Nuclear Regulatory Commission (NRC-HQ-84-15-G-0042; NRC-HQ-12-G-38-0038), and United States NIH grant (G12MD007581).</t>
  </si>
  <si>
    <t>10.1016/j.ecoenv.2019.02.009</t>
  </si>
  <si>
    <t>http://dx.doi.org/10.1016/j.ecoenv.2019.02.009</t>
  </si>
  <si>
    <t>HN5AX</t>
  </si>
  <si>
    <t>Green Published, Bronze</t>
  </si>
  <si>
    <t>WOS:000460196000065</t>
  </si>
  <si>
    <t>Lauenstein, GG; Daskalakis, KD</t>
  </si>
  <si>
    <t>US long-term coastal contaminant temporal trends determined from mollusk monitoring programs, 1965-1993</t>
  </si>
  <si>
    <t>monitoring trends; bivalve mollusks; organic contaminants; trace elements</t>
  </si>
  <si>
    <t>POLYCHLORINATED-BIPHENYLS; TRACE-METAL; MUSSEL; WATCH; CALIFORNIA; OYSTERS; WATERS; 1970S</t>
  </si>
  <si>
    <t>Data from four large-scale programs that monitored chemical concentrations in marine mollusks were assembled to determine long-term trends in U.S. coastal waters. The programs were the 1965-1972 national Environmental Protection Agency (EPA) monitoring project, the EPA 'Mussel Watch' Program of 1976-1978, the ongoing National Oceanic and Atmospheric Administration's Mussel Watch Project that began in 1986, and the ongoing State of California's Mussel Watch Program that began in 1977. When concentrations from the four projects were evaluated together at common sites, decreasing national trends were found for PCBs, DDT and its metabolites, and dieldrin. When data from three of the four large-scale monitoring projects were evaluated for trace elements, decreasing trends were found for lead, cadmium, and silver. For copper, decreasing and increasing trends were approximately equal except for California where at five sites increasing trends were indicated. No trends were found for PAHs, nickel or zinc concentrations. (C) 1998 Published by Elsevier Science Ltd. All rights reserved.</t>
  </si>
  <si>
    <t>NOAA, Natl Status &amp; Trends Program, Silver Spring, MD 20910 USA</t>
  </si>
  <si>
    <t>NOAA, Natl Status &amp; Trends Program, N-ORCA21 1305 E West Highway, Silver Spring, MD 20910 USA.</t>
  </si>
  <si>
    <t>10.1016/S0025-326X(98)00125-8</t>
  </si>
  <si>
    <t>http://dx.doi.org/10.1016/S0025-326X(98)00125-8</t>
  </si>
  <si>
    <t>WOS:000078710700003</t>
  </si>
  <si>
    <t>Diwa, RR; Elvira, MV; Deocaris, CC; Fukuyama, M; Belo, LP</t>
  </si>
  <si>
    <t>Diwa, Reymar R.; Elvira, Marlon, V; Deocaris, Custer C.; Fukuyama, Mayuko; Belo, Lawrence P.</t>
  </si>
  <si>
    <t>Transport of toxic metals in the bottom sediments and health risk assessment of Corbicula fluminea (Asiatic clam) collected from Laguna de Bay, Philippines</t>
  </si>
  <si>
    <t>Bioindicator; Heavy metals; Laguna lake; Sediment quality; Toxicity; Water pollution</t>
  </si>
  <si>
    <t>PAGSANJAN-LUMBAN CATCHMENT; HEAVY-METALS; TRACE-METALS; QUALITY GUIDELINES; SURFACE SOILS; RIVER; WATER; CONTAMINATION; POLLUTION; BIOACCUMULATION</t>
  </si>
  <si>
    <t>Laguna de Bay, the 3rd largest lake in Southeast Asia, is the most significant source of freshwater fish in the Philippines. With decades of unregulated discharge of industrial, domestic, and agricultural wastewaters into the lake, this study investigates the apportionment of heavy metals from the bottom sediments and its impact on the toxicity of Corbicula fluminea (Asiatic clam), a popular food item in the markets. The sediment samples from the western part of the lake contained higher Cd, Cu, Pb, and Zn and lower As and Cr concentrations compared to the eastern part. There were positive correlations for As, Cr, Cu, Pb, and Zn and negative correlations for Cd and Ni concentrations noted between sediments and C. fluminea. Human health risk associated with the consumption of C. fluminea collected from Laguna de Bay was attributed to the following heavy metals: Cu &gt; As &gt; Zn &gt; Cd &gt; Pb &gt; Cr &gt; Ni. Interestingly, the observed trend in toxicities of the shellfish was consistent with the transport phenomenon of heavy metals facilitated by the counterclockwise direction of the bottom current. This study strongly suggests the re-evaluation of the waste management plan in the industrial zones and policies regulating the sale of the shellfish harvest.</t>
  </si>
  <si>
    <t>[Diwa, Reymar R.; Deocaris, Custer C.] Philippine Nucl Res Inst, Atom Res Div, Dept Sci &amp; Technol, Quezon City 1101, Philippines; [Diwa, Reymar R.] Rizal Technol Univ, Res &amp; Dev Ctr, Mandaluyong City 1550, Philippines; [Elvira, Marlon, V] Caraga State Univ, Coll Forestry &amp; Environm Sci, Butuan City 8600, Philippines; [Deocaris, Custer C.] Technol Inst Philippines, Aurora Blvd, Quezon City, Philippines; [Deocaris, Custer C.; Belo, Lawrence P.] BAN Tox, Quezon City 1100, Philippines; [Fukuyama, Mayuko] Akita Univ, Grad Sch Engn Sci, Akita, Akita 0108502, Japan; [Belo, Lawrence P.] De La Salle Univ, Dept Chem Engn, Manila 1004, Philippines</t>
  </si>
  <si>
    <t>Department of Science &amp; Technology (DOST), Philippines; Philippine Nuclear Research Institute; Technological Institute of the Philippines; Akita University; De La Salle University</t>
  </si>
  <si>
    <t>Belo, LP (corresponding author), De La Salle Univ, Dept Chem Engn, 2401 Taft Ave, Manila 0922, Philippines.</t>
  </si>
  <si>
    <t>lawrence.belo@dlsu.edu.ph</t>
  </si>
  <si>
    <t>Belo, Lawrence/AAK-5046-2021; Fukuyama, Mayuko/ABI-6062-2020</t>
  </si>
  <si>
    <t>Diwa, Reymar/0000-0001-8661-334X</t>
  </si>
  <si>
    <t>Department of Science and Technology (DOST); Philippine Council for Agriculture, Aquatic and Natural Resources Research and Development (PCAARRD); University of the Philippines Office of the Vice President for Academic Affairs (OVPAA) under the Emerging Interdisciplinary Research Program(EIDR) Program Cycle 6; Akita University, Japan; Continuous Operational and Outcomes-Based Partnership for Excellence in Research and Academic Training Enhancement (COOPERATE) Program of the University of the Philippines Office of International Linkages</t>
  </si>
  <si>
    <t>Department of Science and Technology (DOST)(Department of Science &amp; Technology (India)); Philippine Council for Agriculture, Aquatic and Natural Resources Research and Development (PCAARRD); University of the Philippines Office of the Vice President for Academic Affairs (OVPAA) under the Emerging Interdisciplinary Research Program(EIDR) Program Cycle 6; Akita University, Japan; Continuous Operational and Outcomes-Based Partnership for Excellence in Research and Academic Training Enhancement (COOPERATE) Program of the University of the Philippines Office of International Linkages</t>
  </si>
  <si>
    <t>The authors would like to acknowledge the support from the research program, Ten Years After the Millennium Ecosystem Assessment of Laguna de Bay: Towards a Sustainable Future, Project 2: Exploring Pollution Monitoring Proxies for Characterizing Urban Lake Environments, funded by the Department of Science and Technology (DOST) and monitored by the Philippine Council for Agriculture, Aquatic and Natural Resources Research and Development (PCAARRD). Funding of the aforementioned project whose datasets were used in this paper was also provided by the University of the Philippines Office of the Vice President for Academic Affairs (OVPAA) under the Emerging Interdisciplinary Research Program(EIDR) Program Cycle 6. Support for geochemical analyses was provided by Akita University, Japan and the Continuous Operational and Outcomes-Based Partnership for Excellence in Research and Academic Training Enhancement (COOPERATE) Program of the University of the Philippines Office of International Linkages.</t>
  </si>
  <si>
    <t>SEP 10</t>
  </si>
  <si>
    <t>10.1016/j.scitotenv.2022.156522</t>
  </si>
  <si>
    <t>http://dx.doi.org/10.1016/j.scitotenv.2022.156522</t>
  </si>
  <si>
    <t>JUN 2022</t>
  </si>
  <si>
    <t>5V9HZ</t>
  </si>
  <si>
    <t>WOS:000877536400008</t>
  </si>
  <si>
    <t>Katalay, S; Ayhan, MM; Guler, C; Aldag, C; Kilic, T; Yavasoglu, NUK</t>
  </si>
  <si>
    <t>Katalay, Selma; Ayhan, Melike Merve; Guler, Cem; Aldag, Ceyda; Kilic, Tunay; Yavasoglu, N. Ulku Karabay</t>
  </si>
  <si>
    <t>Cellular Biomarkers in Mytilus galloprovincialis L. (Mediterranean Mussels) from Izmir Bay (Turkey)</t>
  </si>
  <si>
    <t>Mediterranean mussel; Oxidative stress; Heavy metal pollution; Micronucleus frequency</t>
  </si>
  <si>
    <t>ANTIOXIDANT ENZYMES; LIPID-PEROXIDATION; DIGESTIVE GLAND; HEAVY-METALS; SUPEROXIDE-DISMUTASE; DREISSENA-POLYMORPHA; AQUATIC ORGANISMS; OXIDATIVE STRESS; INTEGRATED USE; TRACE-METALS</t>
  </si>
  <si>
    <t>In this study, cellular biomarkers and heavy metal concentration in the Mytilus galloprovincialis L. (Mediterranean mussels) collected from eight sites of Izmir Bay (Turkey) were determined to reveal water pollution for the first time in these stations. Results show that heavy metals (As, Cu, Hg, Zn, Cd, Sn, Pb) have been specified in mussels' tissues collected from all stations. According to GST, SOD, CAT activities, and TBARS contents, mussels in the outer bay have exposed more oxidative stress than the ones in the inner bay. Digestive gland tissues of them were showed more inhibition at AChE levels than gills. Also, abnormal nucleus rates and micronucleus frequencies (MN) were found to be higher in the inner bay than in the outer bay. This study showed that heavy metal pollution in different levels is an environmental issue on the Izmir Bay. Especially the coastal regions of the bay have been extremely affected by anthropogenic effects due to growing population.</t>
  </si>
  <si>
    <t>[Katalay, Selma; Ayhan, Melike Merve] Manisa Celal Bayar Univ, Dept Biol, Fac Sci &amp; Art, Muradiye Manisa, Turkey; [Guler, Cem; Aldag, Ceyda; Yavasoglu, N. Ulku Karabay] Ege Univ, Dept Biol, Fac Sci, TR-35100 Bornova, Turkey; [Kilic, Tunay; Yavasoglu, N. Ulku Karabay] Ege Univ, Ctr Drug Res &amp; Dev &amp; Pharmacokinet Applicat, TR-35100 Bornova, Turkey</t>
  </si>
  <si>
    <t>Celal Bayar University; Ege University; Ege University</t>
  </si>
  <si>
    <t>Yavasoglu, NUK (corresponding author), Ege Univ, Dept Biol, Fac Sci, TR-35100 Bornova, Turkey.;Yavasoglu, NUK (corresponding author), Ege Univ, Ctr Drug Res &amp; Dev &amp; Pharmacokinet Applicat, TR-35100 Bornova, Turkey.</t>
  </si>
  <si>
    <t>ulku.karabay@ege.edu.tr</t>
  </si>
  <si>
    <t>Yavasoglu, N.Ulku/AFU-9719-2022</t>
  </si>
  <si>
    <t>Karabay Yavasoglu, N.Ulku/0000-0002-7483-0184; Aldag, Ceyda/0000-0003-3130-4739</t>
  </si>
  <si>
    <t>10.1007/s00128-022-03597-1</t>
  </si>
  <si>
    <t>http://dx.doi.org/10.1007/s00128-022-03597-1</t>
  </si>
  <si>
    <t>WOS:000839996600001</t>
  </si>
  <si>
    <t>Annicchiarico, C; Biandolino, F; Cardellicchio, N; Di Leo, A; Giandomenico, S; Prato, E</t>
  </si>
  <si>
    <t>Annicchiarico, Cristina; Biandolino, Francesca; Cardellicchio, Nicola; Di Leo, Antonella; Giandomenico, Santina; Prato, Ermelinda</t>
  </si>
  <si>
    <t>Predicting toxicity in marine sediment in Taranto Gulf (Ionian Sea, Southern Italy) using Sediment Quality Guidelines and a battery bioassay</t>
  </si>
  <si>
    <t>sediments; ERL; ERM; PEL; TEL; SQGs; metals; bioassay; Corophium insidiosum; Gammarus aequicauda; Idotea baltica; Mytilus galloprovincialis</t>
  </si>
  <si>
    <t>CRUSTACEA; AMPHIPOD; EMBRYOGENESIS; SURVIVAL</t>
  </si>
  <si>
    <t>The goal of this study was to assess coastal marine pollution in the Mar Piccolo and Taranto Gulf (Ionian Sea, Southern Italy) by combining chemical and toxicological data in order to compare and integrate both approaches. Pollutants levels, traditionally, have limited ability to predict adverse effects on living resources. Moreover, in order to provide information on the ecological impact of sediment contamination on aquatic biota Numerical Sediment Quality Guidelines (SQGs) and sediment toxicity bioassays were carefully recommended. In this study ERL (effect range low)/ERM (effect range medium value) and TEL (threshold effect level)/PEL (probable effect level) guidelines have been used. Bioassays were performed with two species of amphipods Gammarus aequicauda and Corophium insidiosum, one species of isopod Idotea baltica and bivalve Mytilus galloprovincialis larvae. The TEL/PEL analysis suggested that, especially for stations 1 and 2, sediments in Mar Piccolo should contain acutely toxic concentrations of metals. In particular Hg content, in station 1, was about 17 times PEL value. 96 h LC50 and 48 h EC50 values were estimated for cadmium, copper and mercury in these species using the static acute toxicity test. M. galloprovincialis larvae was more sensitive than other species to all the reference toxicants tested (EC50 determined for cadmium copper and mercury were of 0.59, 0.11 and 0.01 mg/l respectively). Significant differences in sensitivity of species tested to all reference toxicants (ANOVA p &lt; 0.001) were recorded. Bioassays with these species allowed to estimated sediment toxicity from the different studied sites. On the basis of results obtained a good agreement was reported between chemical data and response of the biological endpoints tested.</t>
  </si>
  <si>
    <t>CNR, Inst Coastal Marine Environm, Sect Taranto, I-74100 Taranto, Italy</t>
  </si>
  <si>
    <t>Prato, E (corresponding author), CNR, Inst Coastal Marine Environm, Sect Taranto, Via Roma 3, I-74100 Taranto, Italy.</t>
  </si>
  <si>
    <t>linda.prato@iamc.cnr.it</t>
  </si>
  <si>
    <t>Prato, Ermelinda/AAX-7345-2020; Di Leo, Antonella/AAX-9345-2020; giandomenico, santina/AEE-9520-2022</t>
  </si>
  <si>
    <t>GIANDOMENICO, SANTINA/0000-0001-8231-1301; BIANDOLINO, FRANCESCA/0000-0002-3654-3926</t>
  </si>
  <si>
    <t>10.1007/s10646-006-0123-z</t>
  </si>
  <si>
    <t>http://dx.doi.org/10.1007/s10646-006-0123-z</t>
  </si>
  <si>
    <t>137LL</t>
  </si>
  <si>
    <t>WOS:000244294000001</t>
  </si>
  <si>
    <t>Zhong, GS; Liu, YS; Tang, YY</t>
  </si>
  <si>
    <t>Zhong, Gansheng; Liu, Yunsong; Tang, Yuanyuan</t>
  </si>
  <si>
    <t>Oyster shell powder for Pb(II) immobilization in both aquatic and sediment environments</t>
  </si>
  <si>
    <t>Oyster shell powder; Lead; Adsorption; Aquatic environment; Stabilization; Sediment</t>
  </si>
  <si>
    <t>EGGSHELL WASTE; HEAVY-METALS; STABILIZATION; REMOVAL; LEAD; ADSORPTION; PB; CADMIUM; ZN; CD</t>
  </si>
  <si>
    <t>Heavy metal pollution has always been a serious environmental problem widely concerned by researchers all around the world. On the other side, the accumulation of biowastes has also occupied a large amount of space and caused a series of environment pollution. In this study, the waste oyster shell, was applied as a type of biogenic carbonate material for Pb(II) removal from the aquatic environment, and further as a remediation agent for metal stabilization in the contaminated river sediment. After simple pretreatment, the oyster shell powder (OSP) was characterized, and the results showed that the prepared OSP is mainly composed of calcite with particle size of micron-level. The OSP exhibited excellent Pb(II) adsorption performance, with the adsorption capacity as 639.9 mg/g through adsorption isotherm study. Furthermore, the OSP was applied to remediate the collected river sediment artificially contaminated by Pb(II). It was found that the proportion of residual Pb fraction (F4) was greatly increased from 39.6% of the original sediment to 76.7% in the 14-day incubated sediment with OSP. The Pb(II) concentration after leaching procedure was decreased from 810.7 to 108.6 mu g/L even after 5-day incubation. Therefore, this study shows the potential of using waste oyster shell as adsorbent and amendment agent for effective metal immobilization in both aquatic and sediment systems. [GRAPHICS] .</t>
  </si>
  <si>
    <t>[Zhong, Gansheng; Liu, Yunsong; Tang, Yuanyuan] Southern Univ Sci &amp; Technol, Sch Environm Sci &amp; Engn, Guangdong Prov Key Lab Soil &amp; Groundwater Pollut, Shenzhen 518055, Peoples R China; [Zhong, Gansheng; Liu, Yunsong; Tang, Yuanyuan] Southern Univ Sci &amp; Technol, Sch Environm Sci &amp; Engn, State Environm Protect Key Lab Integrated Surface, Shenzhen 518055, Peoples R China; [Liu, Yunsong] Peking Univ, Sch Urban Planning &amp; Design, Shenzhen Grad Sch, Shenzhen 518055, Peoples R China</t>
  </si>
  <si>
    <t>Southern University of Science &amp; Technology; Southern University of Science &amp; Technology; Peking University</t>
  </si>
  <si>
    <t>Tang, YY (corresponding author), Southern Univ Sci &amp; Technol, Sch Environm Sci &amp; Engn, Guangdong Prov Key Lab Soil &amp; Groundwater Pollut, Shenzhen 518055, Peoples R China.</t>
  </si>
  <si>
    <t>tangyy@sustech.edu.cn</t>
  </si>
  <si>
    <t>Tang, Yuanyuan/AAR-7478-2021; Liu, Yunsong/AAS-6801-2020; Tang, Yuanyuan/K-7666-2018</t>
  </si>
  <si>
    <t>Liu, Yunsong/0000-0003-4872-4430; Tang, Yuanyuan/0000-0003-2710-6967; Liu, Yunsong/0000-0001-8364-1898</t>
  </si>
  <si>
    <t>National Natural Science Foundation of China (NSFC) [41977329, 21707063]; Science and Technology Innovation Committee of Shenzhen Municipality [JCYJ20160429191618506]; Guangdong Provincial Key Laboratory of Soil and Groundwater Pollution Control [2017B030301012]; State Environmental Protection Key Laboratory of Integrated Surface Water-Groundwater Pollution Control</t>
  </si>
  <si>
    <t>National Natural Science Foundation of China (NSFC)(National Natural Science Foundation of China (NSFC)); Science and Technology Innovation Committee of Shenzhen Municipality; Guangdong Provincial Key Laboratory of Soil and Groundwater Pollution Control; State Environmental Protection Key Laboratory of Integrated Surface Water-Groundwater Pollution Control</t>
  </si>
  <si>
    <t>This work is supported financially by the National Natural Science Foundation of China (NSFC) (41977329; 21707063) and the Science and Technology Innovation Committee of Shenzhen Municipality (JCYJ20160429191618506). This work is also sponsored by the Guangdong Provincial Key Laboratory of Soil and Groundwater Pollution Control (No. 2017B030301012) and the State Environmental Protection Key Laboratory of Integrated Surface Water-Groundwater Pollution Control.</t>
  </si>
  <si>
    <t>10.1007/s10653-020-00768-z</t>
  </si>
  <si>
    <t>http://dx.doi.org/10.1007/s10653-020-00768-z</t>
  </si>
  <si>
    <t>RU4AZ</t>
  </si>
  <si>
    <t>WOS:000588581100001</t>
  </si>
  <si>
    <t>Nardi, A; Benedetti, M; Fattorini, D; Regoli, F</t>
  </si>
  <si>
    <t>Nardi, Alessandro; Benedetti, Maura; Fattorini, Daniele; Regoli, Francesco</t>
  </si>
  <si>
    <t>Oxidative and interactive challenge of cadmium and ocean acidification on the smooth scallop Flexopecten glaber</t>
  </si>
  <si>
    <t>Oxidative stress; Ocean acidification; Metal contamination; Bioaccumulation; Biomarkers; Scallops</t>
  </si>
  <si>
    <t>BIVALVES CRASSOSTREA-VIRGINICA; ACID-BASE-BALANCE; SEAWATER ACIDIFICATION; TRACE-METALS; ENVIRONMENTAL HYPERCAPNIA; SCAVENGING CAPACITY; ADAMUSSIUM-COLBECKI; EXAIPTASIA-PALLIDA; INCREASED PCO(2); CLIMATE-CHANGE</t>
  </si>
  <si>
    <t>Ocean acidification (OA) may affect sensitivity of marine organisms to metal pollution modulating chemical bioavailability, bioaccumulation and biological responsiveness of several cellular pathways. In this study, the smooth scallop Flexopecten glaber was exposed to various combinations of reduced pH (pH/pCO(2) 7.4/similar to 3000 mu atm) and Cd (20 mu g/L). The analyses on cadmium uptake were integrated with those of a wide battery of biomarkers including metallothioneins, single antioxidant defenses and total oxyradical scavenging capacity in digestive gland and gills, lysosomal membrane stability and onset of genotoxic damage in haemocytes. Reduced pH slightly increased concentration of Cd in scallop tissues, but no effects were measured in terms of metallothioneins. Induction of some antioxidants by Cd and/or low pH in the digestive gland was not reflected in variations of the total oxyradical scavenging capacity, while the investigated stressors caused a certain inhibition of antioxidants and reduction of the scavenging capacity toward peroxyl radical in the gills. Lysosomal membrane stability and onset of genotoxic damages showed high sensitivity with possible synergistic effects of the investigated factors. The overall results suggest that indirect effects of ocean acidification on metal accumulation and toxicity are tissue-specific and modulate oxidative balance through different mechanisms.</t>
  </si>
  <si>
    <t>[Nardi, Alessandro; Benedetti, Maura; Fattorini, Daniele; Regoli, Francesco] Polytech Univ Marche, Dept Life &amp; Environm Sci DiSVA, Via Brecce Bianche, I-60131 Ancona, Italy; [Benedetti, Maura; Regoli, Francesco] Consorzio Interuniv Sci Mare, CoNISMa, Rome, Italy</t>
  </si>
  <si>
    <t>Regoli, F (corresponding author), Polytech Univ Marche, Dept Life &amp; Environm Sci DiSVA, Via Brecce Bianche, I-60131 Ancona, Italy.</t>
  </si>
  <si>
    <t>Fattorini, Daniele/A-2969-2010; Nardi, Alessandro/AAH-1535-2021; Regoli, Francesco/K-2719-2018; Benedetti, Maura/K-5399-2016</t>
  </si>
  <si>
    <t>Regoli, Francesco/0000-0001-6084-6188; Benedetti, Maura/0000-0003-0803-3846; Nardi, Alessandro/0000-0002-9978-1411</t>
  </si>
  <si>
    <t>Italian National Program on Antarctic Research (PNRA) [2013/AZ1.14]</t>
  </si>
  <si>
    <t>Italian National Program on Antarctic Research (PNRA)(Ministry of Education, Universities and Research (MIUR))</t>
  </si>
  <si>
    <t>This study was partially supported by the Italian National Program on Antarctic Research (PNRA, project 2013/AZ1.14).</t>
  </si>
  <si>
    <t>10.1016/j.aquatox.2018.01.008</t>
  </si>
  <si>
    <t>http://dx.doi.org/10.1016/j.aquatox.2018.01.008</t>
  </si>
  <si>
    <t>FX9IJ</t>
  </si>
  <si>
    <t>WOS:000426411600007</t>
  </si>
  <si>
    <t>MCGREER, ER</t>
  </si>
  <si>
    <t>SUBLETHAL EFFECTS OF HEAVY-METAL CONTAMINATED SEDIMENTS ON THE BIVALVE MACOMA-BALTHICA (L)</t>
  </si>
  <si>
    <t>Sublethal effects of estuarine sediments containing high levels of heavy metals were studied using the marine bivalve M. balthica. Burrowing behavior was inhibited in all contaminated sediments compared to the control. The time required for 50% of the population to burrow (ET50) ranged from 0.17 h in the control to 4.8 h in the most contaminated substrate. A comparison of linear regressions of the concentrations of individual metals in the sediments vs. the burrowing response times showed the regressions for Hg and Cd to be significant (P &lt; 0.05 and &lt; 0.001, respectively). An active threshold avoidance response by burrowed M. balthica was also demonstrated as clams showed a significant (P &lt; 0.05) avoidance of the sediment containing the highest metal levels. Both behavioral responses were considered useful sublethal tests to assess the impact of polluted sediments.</t>
  </si>
  <si>
    <t>UNIV BRITISH COLUMBIA, INST OCEANOG, VANCOUVER V6T 1W5, BC, CANADA</t>
  </si>
  <si>
    <t>University of British Columbia</t>
  </si>
  <si>
    <t>10.1016/0025-326X(79)90482-X</t>
  </si>
  <si>
    <t>http://dx.doi.org/10.1016/0025-326X(79)90482-X</t>
  </si>
  <si>
    <t>HN960</t>
  </si>
  <si>
    <t>WOS:A1979HN96000008</t>
  </si>
  <si>
    <t>Zorita, I; Ortiz-Zarragoitia, M; Soto, M; Cajaraville, MP</t>
  </si>
  <si>
    <t>Zorita, Izaskun; Ortiz-Zarragoitia, Maren; Soto, Manu; Cajaraville, Miren P.</t>
  </si>
  <si>
    <t>Biomarkers in mussels from a copper site gradient (Visnes, Norway): An integrated biochemical, histochemical and histological study</t>
  </si>
  <si>
    <t>copper mine; Mytilus edulis; transplant study; biomarker responses</t>
  </si>
  <si>
    <t>PETROLEUM HYDROCARBON EXPOSURE; DIGESTIVE GLAND-CELLS; MYTILUS-EDULIS-L; LYSOSOMAL RESPONSES; SUBCELLULAR-DISTRIBUTION; METALS; AUTOMETALLOGRAPHY; GALLOPROVINCIALIS; REPRODUCTION; POLLUTION</t>
  </si>
  <si>
    <t>In the present work, mussels (Mytilus edulis) were transplanted into a copper (Cu) gradient in Visnes (Norway) for a period of 3 weeks during November 2003. Sites 1 and 2 showed similar low levels of Cu, site 3 had intermediate Cu levels and site 4 was the most polluted with Cu as confirmed by AAS of digestive gland tissue. Values of lysosomal membrane labilization period were significantly lower at sites 3 and 4 compared to sites 1 and 2. The volume density and size of lysosomes was significantly decreased at site 4. The volume density of neutral lipids was also significantly lower at site 4 compared with the rest of sites. The volume density of lipofuscins showed significantly higher values at sites 2 and 3 compared to the reference site 1. Similar results were obtained regarding bioavailable metal levels measured by autometallography. All together, results are indicative of exocytosis of metal -containing lysosomes and lipofuscins to the digestive tubule lumen in mussels from site 4. In fact, autometallogaphic metal deposits were detected in digestive tubule lumen, brown cells and stomach in site 4 mussels. In agreement, there was a loss of digestive cells in mussels from site 4 (atrophy of the digestive epithelium) and cell type replacement (diminished volume density of digestive cells and increased volume density of basophilic cells). In conclusion, selected biomarkers indicated that mussels transplanted to sites closest to the Cu mine showed significant differences in metal accumulation pattern and in organization of the digestive gland tissue. Finally, female mussels closest to the Cu mine showed advanced gametogenesis with higher gonad index and vitellogenin-like protein levels than mussels at sites 1 and 2. (c) 2006 Elsevier B.V. All rights reserved.</t>
  </si>
  <si>
    <t>Univ Basque Country, Dept Zool &amp; Cell Biol, Cell Biol &amp; Histol Lab, E-48080 Bilbao, Basque Country, Spain</t>
  </si>
  <si>
    <t>Cajaraville, MP (corresponding author), Univ Basque Country, Dept Zool &amp; Cell Biol, Cell Biol &amp; Histol Lab, POB 644, E-48080 Bilbao, Basque Country, Spain.</t>
  </si>
  <si>
    <t>mirenp.cajaraville@ehu.es</t>
  </si>
  <si>
    <t>Cajaraville, Miren P/I-4757-2015; Ortiz-Zarragoitia, Maren/C-3978-2017</t>
  </si>
  <si>
    <t>Cajaraville, Miren P/0000-0001-6527-6137; Ortiz-Zarragoitia, Maren/0000-0002-2664-1303; soto, manu/0000-0002-4541-8182; Zorita, Izaskun/0000-0003-0718-8184</t>
  </si>
  <si>
    <t>S109</t>
  </si>
  <si>
    <t>S116</t>
  </si>
  <si>
    <t>10.1016/j.aquatox.2006.02.032</t>
  </si>
  <si>
    <t>http://dx.doi.org/10.1016/j.aquatox.2006.02.032</t>
  </si>
  <si>
    <t>WOS:000238130600016</t>
  </si>
  <si>
    <t>Ciacci, C; Barmo, C; Fabbri, R; Canonico, B; Gallo, G; Canesi, L</t>
  </si>
  <si>
    <t>Ciacci, C.; Barmo, C.; Fabbri, R.; Canonico, B.; Gallo, G.; Canesi, L.</t>
  </si>
  <si>
    <t>Immunomodulation in Mytilus galloprovincialis by non-toxic doses of hexavalent Chromium</t>
  </si>
  <si>
    <t>Cr(VI); Bivalves; Hemocytes; Immune response; Gene expression</t>
  </si>
  <si>
    <t>IN-VITRO EXPOSURE; MEDITERRANEAN MUSSEL; IMMUNE-RESPONSE; GENE-EXPRESSION; MESSENGER-RNA; HEMOCYTES; PHAGOCYTOSIS; TEMPERATURE; INVOLVEMENT; ACTIVATION</t>
  </si>
  <si>
    <t>In aquatic organisms, the immune function can be affected by exposure to environmental pollutants, including heavy metals. In vertebrate systems, different forms of Cr have been shown induce either immunostimulatory or immunosuppressive processes. Hexavalent Cr, Cr(VI), is an important contaminant released from both domestic and industrial effluents, and the predominant chemical form of the metal in aquatic ecosystems. In this work, the in vitro and in vivo effects of Cr(V1) on immune parameters of the marine bivalve Mytilus galloprovincialis were evaluated. Hemocyte incubation with different concentrations of Cr(VI) (0.1-1-10-100 mu M) induced a dose-dependent decrease in lysosomal membrane stability (LMS). Decreases in extracellular lysozyme release and phagocytic activity were also observed, with stronger effects at lower metal concentrations. On the other hand, in these conditions, Cr(VI) stimulated extracellular superoxide production and nitrite accumulation. The effects of Cr(VI) were also evaluated in mussels exposed to the metal (0.1-1-10 mu g L-1 corresponding to nanomolar concentrations) for 96 h. Decreases in hemocyte LMS values and in serum lysozyme activity were observed with increasing metal concentrations. Decreased phagocytic activity and increased NO production were recorded, with stronger effects at lower concentrations. In these conditions, decreased Total Hemocyte Counts (THC), but no necrotic/apoptotic processes were observed. Moreover, Cr(VI) at both 0.1 and 1 mu g L-1 seemed to induce significant changes in transcription of immune genes (lysozyme, Mytilin C, Myticin B, defensin, MgC1q), of the serotonin receptor (5-HTR) and of the stress protein HSP70, whereas that of the anti-apoptotic gene p53 was unaffected. Overall, the results indicate that exposure to non-toxic, environmentally relevant concentrations of Cr(V1) can modulate functional and molecular immune parameters in M. galloprovincialis. (C) 2011 Elsevier Ltd. All rights reserved.</t>
  </si>
  <si>
    <t>[Barmo, C.; Fabbri, R.; Gallo, G.; Canesi, L.] Univ Genoa, Dipartimento Studio Terr &amp; Sue Risorse, I-16132 Genoa, Italy; [Ciacci, C.; Canonico, B.] Univ Carlo Bo Urbino, DISUAN, Dipartimento Sci Uomo Ambiente &amp; Nat, Urbino, Italy</t>
  </si>
  <si>
    <t>University of Genoa; University of Urbino</t>
  </si>
  <si>
    <t>Canesi, L (corresponding author), Univ Genoa, Dipartimento Studio Terr &amp; Sue Risorse, Corso Europa 26, I-16132 Genoa, Italy.</t>
  </si>
  <si>
    <t>Laura.Canesi@unige.it</t>
  </si>
  <si>
    <t>Ciacci, Caterina/H-1004-2012</t>
  </si>
  <si>
    <t>Canesi, Laura/0000-0003-2061-3819; Canonico, Barbara/0000-0003-3383-715X</t>
  </si>
  <si>
    <t>Italian Ministry of Research; Fondazione CARIGE [prot. 2009.0659-42]</t>
  </si>
  <si>
    <t>Italian Ministry of Research(Ministry of Education, Universities and Research (MIUR)); Fondazione CARIGE(Fondazione Carige)</t>
  </si>
  <si>
    <t>This work was partially supported by the Italian Ministry of Research (PRIN2007) and by Fondazione CARIGE (prot. 2009.0659-42).</t>
  </si>
  <si>
    <t>10.1016/j.fsi.2011.09.002</t>
  </si>
  <si>
    <t>http://dx.doi.org/10.1016/j.fsi.2011.09.002</t>
  </si>
  <si>
    <t>869BC</t>
  </si>
  <si>
    <t>WOS:000298569700038</t>
  </si>
  <si>
    <t>Di Bella, G; Pizzullo, G; Bua, GD; Potortì, AG; Santini, A; Giacobbe, S</t>
  </si>
  <si>
    <t>Di Bella, Giuseppa; Pizzullo, Gianluca; Bua, Giuseppe Daniel; Potorti, Angela Giorgia; Santini, Antonello; Giacobbe, Salvatore</t>
  </si>
  <si>
    <t>Mapping toxic mineral contamination: the southern oyster drill, S-haemastoma (L., 1767), as evaluable sentinel species</t>
  </si>
  <si>
    <t>Stramonita haemastoma; ICP-MS; Toxic minerals; Sentinel species; Mediterranean; Coastal environment</t>
  </si>
  <si>
    <t>HEAVY-METALS; ENVIRONMENTAL-QUALITY; GANZIRRI LAKE; TRACE-METALS; POLLUTION; MESSINA; GULF; SEA; SEDIMENTS; TRUNCULUS</t>
  </si>
  <si>
    <t>The nickel, chromium, arsenic, cadmium, and lead content have been evaluated, by ICP-MS, in digestive gland of the amphiatlantic gastropod Stramonita haemastoma, sampled along the highly anthropized Gulf of Milazzo (Central Mediterranean). Concentrations notably higher than those reported in literature for other Mediterranean Muricidae have been recorded. The results also indicated a different impact in different sites, according to distribution and typology of human activities, whilst recorded seasonal variations might relate with rapid metabolic response. Such preliminary results suggest S. haemastoma may be considered a promising sentinel species for inorganic contamination in marine environment, especially in terms of short-medium-term exposure.</t>
  </si>
  <si>
    <t>[Di Bella, Giuseppa; Bua, Giuseppe Daniel; Potorti, Angela Giorgia] Univ Messina, BioMorf Dept, Messina, Italy; [Pizzullo, Gianluca; Giacobbe, Salvatore] Univ Messina, CHIBIOFARAM Dept, Messina, Italy; [Santini, Antonello] Federico II Univ Naples, Dept Pharm, Naples, Italy</t>
  </si>
  <si>
    <t>University of Messina; University of Messina; University of Naples Federico II</t>
  </si>
  <si>
    <t>Giacobbe, S (corresponding author), Univ Messina, CHIBIOFARAM Dept, Messina, Italy.</t>
  </si>
  <si>
    <t>sgiacobbe@unime.it</t>
  </si>
  <si>
    <t>Santini, Antonello/J-4923-2019; Potorti, Angela Giorgia/M-9029-2016</t>
  </si>
  <si>
    <t>SANTINI, Antonello/0000-0001-5505-3327; Potorti, Angela Giorgia/0000-0002-8608-2435</t>
  </si>
  <si>
    <t>10.1007/s10661-017-6380-x</t>
  </si>
  <si>
    <t>http://dx.doi.org/10.1007/s10661-017-6380-x</t>
  </si>
  <si>
    <t>FS8RR</t>
  </si>
  <si>
    <t>WOS:000422680800014</t>
  </si>
  <si>
    <t>Roméo, M; Hoarau, P; Garello, G; Gnassia-Barelli, M; Girard, JP</t>
  </si>
  <si>
    <t>Mussel transplantation and biomarkers as useful tools for assessing water quality in the NW Mediterranean</t>
  </si>
  <si>
    <t>mussels; biomarkers; heavy metals; transplantation; Mediterranean</t>
  </si>
  <si>
    <t>GLUTATHIONE S-TRANSFERASES; MYTILUS-GALLOPROVINCIALIS; DIGESTIVE GLAND; POLLUTION; CHOLINESTERASE; METALS</t>
  </si>
  <si>
    <t>Mussels, coming from an aquaculture farm located in a clean open bay, were transplanted to several stations of the bays of Nice and Cannes (NW Mediterranean) including a reference site for one month at three periods. Several biomarkers: activities of glutathione S-transferase (GST; exposure to organics), of catalase (exposure to oxidative stress) and of acetylcholinesterase (inhibited by some pesticides) and the lipid peroxidation (thiobarbituric acid reactive substances: TBARS) were measured in transplanted mussels. Cd, Cu and Zn concentrations were also measured as well as their condition index. The results demonstrated some seasonal variations in GST and catalase activities with higher levels in June compared to October. The condition index was also higher in June than in October. Principal component analyses performed with the whole set of data allowed to separate stations or groups of stations according to their responses. The mussels from the harbour of Nice were characterized by high TBARS levels and catalase activity in October 1999 whereas in the harbour of Cannes, animals presented very high copper concentrations and GST activities in June 2000. At the reference site, mussels generally presented low enzymatic activities (except AChE activity) and peroxidation levels and low heavy metal concentrations. (C) 2002 Elsevier Science Ltd. All rights reserved.</t>
  </si>
  <si>
    <t>Fac Sci, UMR, INRA, UNSA 1112,ROSE, F-06108 Nice 2, France</t>
  </si>
  <si>
    <t>INRAE</t>
  </si>
  <si>
    <t>PII S0269-7491(02)00303-2</t>
  </si>
  <si>
    <t>10.1016/S0269-7491(02)00303-2</t>
  </si>
  <si>
    <t>http://dx.doi.org/10.1016/S0269-7491(02)00303-2</t>
  </si>
  <si>
    <t>655EZ</t>
  </si>
  <si>
    <t>WOS:000181539500006</t>
  </si>
  <si>
    <t>Catry, T; Vale, C; Pedro, P; Pereira, E; Mil-Homens, M; Raimundo, J; Tavares, D; Grandeiro, JP</t>
  </si>
  <si>
    <t>Catry, Teresa; Vale, Carlos; Pedro, Patricia; Pereira, Eduarda; Mil-Homens, Mario; Raimundo, Joana; Tavares, Daniela; Grandeiro, Jose. p.</t>
  </si>
  <si>
    <t>Elemental composition of whole body soft tissues in bivalves from the Bijagos Archipelago, Guinea-Bissau</t>
  </si>
  <si>
    <t>Cadmium; Intertidal habitats; Marine bivalves; Trace elements; West Africa</t>
  </si>
  <si>
    <t>HEAVY-METAL POLLUTION; SENILIA-SENILIS; MERCURY; BIOACCUMULATION; MARINE; SEDIMENT; MOLLUSKS; SELENIUM; TRACE; AVAILABILITY</t>
  </si>
  <si>
    <t>Marine bivalves are bioindicators of coastal environmental pollution, integrating monitoring programs worldwide. Nonetheless, the choice of particular species as an indicator requires validation, achieved by understanding the differences in element concentrations among and within species. The present study compares the chemical composition of whole body soft tissues of four common bivalve species from the BijagOs Archipelago, a pristine region of West Africa. Significant differences were recorded in the concentrations of various elements among studied species, which likely arise from species-specific uptake and bioaccumulation processes. Overall, there was a segregation between a group including the bloody cockle Sentha senllis and oyster Crassostrea tulipa (with high Cd and Zn concentrations) versus the two other species, Austromacoma nymphalis (with low Cu and high Mn, Se, Hg, Pb concentrations) and Diplodonta spp. (with high values of Cu, Al, Fe, V, Cr, Hg, Pb). C. tulipa was sampled in two different substrates (rock beds and mangrove roots), and the two groups revealed different chemical profiles, with significantly higher concentrations of P, Si, Zn and Cr and lower Cu in specimens fixed in mangrove roots. These results strongly suggest the influence of small-scale environmental variability on the accumulation of particular elements. We found extremely high Cd concentrations in S. senllis (27.1 +/- 7.53 mu g g(-1) DW) and identified C. tulipa as another high Cd-accumulating species (ca. 10 mu g g(-1 )DW). Our results suggest a detoxifying mechanism linked with the presence of Se to reduce the potential toxic effects of Cd in these two species. Cadmium concentrations reported for some bivalve species in this area largely exceed the maximum values proposed by the European Union, emphasizing the need for a regular contamination assessment.</t>
  </si>
  <si>
    <t>[Catry, Teresa; Pedro, Patricia; Grandeiro, Jose. p.] Univ Lisbon, CESAM Ctr Estudos Ambiente &amp; Mar, Fac Ciencias, P-1749016 Lisbon, Portugal; [Vale, Carlos; Mil-Homens, Mario; Raimundo, Joana] Inst Portugues Mar Atmosfera, IPMA Div Oceanog &amp; Ambiente Marinho, IP, Ave Doutor Alfredo Magalhaes Ramalho 6, P-1495165 Alges, Portugal; [Pedro, Patricia] Escola Basica Integrada Angra do Heroismo, P-9700179 Angra Do Heroismo, Portugal; [Pereira, Eduarda; Tavares, Daniela] Univ Aveiro, Dept Chem, LCA, Campus Santiago, P-3810193 Aveiro, Portugal; [Pereira, Eduarda; Tavares, Daniela] Univ Aveiro, REQUIMTE, Campus Santiago, P-3810193 Aveiro, Portugal</t>
  </si>
  <si>
    <t>Universidade de Lisboa; Instituto Portugues do Mar e da Atmosfera; Universidade de Aveiro; Universidade de Aveiro</t>
  </si>
  <si>
    <t>Catry, T (corresponding author), Univ Lisbon, CESAM Ctr Estudos Ambiente &amp; Mar, Fac Ciencias, P-1749016 Lisbon, Portugal.</t>
  </si>
  <si>
    <t>teresa.catry@gmail.com</t>
  </si>
  <si>
    <t>Pereira, Eduarda/A-5907-2012; Tavares, Daniela/ABF-8739-2021; Mil-Homens, Mario/D-4920-2012; Granadeiro, Jose Pedro/E-8060-2011; Pedro, Patricia/H-7878-2018; Catry, Teresa/A-8082-2012; Raimundo, Joana/G-2018-2014</t>
  </si>
  <si>
    <t>Mil-Homens, Mario/0000-0002-1570-2641; Granadeiro, Jose Pedro/0000-0002-7207-3474; Tavares, Daniela/0000-0002-3196-7922; Pedro, Patricia/0000-0002-5499-4632; Catry, Teresa/0000-0003-4047-9995; vale, carlos/0000-0003-0162-1960; Raimundo, Joana/0000-0002-5610-0903</t>
  </si>
  <si>
    <t>MAVA Foundation through the project Waders of the Bijagos; Fundacao para a Ciencia e Tecnologia (FCT) through project MigraWebs [PTDC/BIA-ECO/28205/2017]; FCT/MCTES [UIDP/50017/2020, UIDB/50017/2020, UIDB/50006/2020]; FCT [IF/00694/2015]; Fundação para a Ciência e a Tecnologia [PTDC/BIA-ECO/28205/2017] Funding Source: FCT</t>
  </si>
  <si>
    <t>MAVA Foundation through the project Waders of the Bijagos; Fundacao para a Ciencia e Tecnologia (FCT) through project MigraWebs; FCT/MCTES(Fundacao para a Ciencia e a Tecnologia (FCT)); FCT(Fundacao para a Ciencia e a Tecnologia (FCT)); Fundação para a Ciência e a Tecnologia(Fundacao para a Ciencia e a Tecnologia (FCT))</t>
  </si>
  <si>
    <t>We are deeply grateful to Justino Biai, Aissa Regalla and Samuel Pontes from the Instituto da Biodiversidade e Areas Protegidas Dr. Alfredo Simao da Silva (IBAP) and to Emanuel Ramos, Sabado Vaz and Sanha, from Tiniguena-Esta Terra E Nossa, for logistical support and permission to work in protected areas in Guinea-Bissau. Edna Correia, Mohamed Henriques and Filipe Moniz provided help during fieldwork, and Barbara Santos led the genetic identification of oysters. Four anonymous reviewers contributed to improve an earlier version of this manuscript. This study was funded by MAVA Foundation through the project Waders of the Bijagos and by the Fundacao para a Ciencia e Tecnologia (FCT) through project MigraWebs (PTDC/BIA-ECO/28205/2017) . Thanks are also due to FCT/MCTES for the financial support to CESAM (UIDP/50017/2020 and UIDB/50017/2020) and REQUIMTE (UIDB/50006/2020) , through national funds. T.C. was supported by contract IF/00694/2015 (FCT) .</t>
  </si>
  <si>
    <t>10.1016/j.envpol.2021.117705</t>
  </si>
  <si>
    <t>http://dx.doi.org/10.1016/j.envpol.2021.117705</t>
  </si>
  <si>
    <t>UR5MY</t>
  </si>
  <si>
    <t>WOS:000696794600001</t>
  </si>
  <si>
    <t>Haynes, D; Loong, D</t>
  </si>
  <si>
    <t>Antifoulant (butyltin and copper) concentrations in sediments from the Great Barrier Reef World Heritage Area, Australia</t>
  </si>
  <si>
    <t>copper; Great Barrier Reef; harbours; ship grounding; TBT</t>
  </si>
  <si>
    <t>LARVAL METAMORPHOSIS; TRIBUTYLTIN; CONTAMINATION; SURFACE; WATERS; ORGANOTINS; SETTLEMENT; INDUCTION; PAINTS; OYSTER</t>
  </si>
  <si>
    <t>Antifoulant concentrations were determined in marine sediments collected from commercial harbours, marinas, mooring locations on mid-shelf continental islands, and outer reef sites in four regions within the Great Barrier Reef World Heritage Area in 1999, Highest copper concentrations were present in sediments collected from commercial harbour sampling sites (28-233 mug Cu g(-1) dry wt.). In contrast, copper concentrations in sediments collected from boat mooring sites on mid-shelf continental islands and outer roof sites were at background concentrations (i.e. &lt;20 mug Cu g(-1) dry wt.). Butyltin was only detectable in four of the 42 sediments sampled for analysis, and was only present in sediments collected from commercial harbours (18-1275 ng Sn g(-1) dry wt.) and from marinas (4-5 ng Sn g(-1) dry wt.). The detection of tributyltin at marina sites implies that this antifoulant may continue to be used illegally on the hulls of smaller recreational vessels. Sediment samples were also collected opportunistically from the site of a 22,000 t cargo ship grounding in May 1999 at Heath Reef, in the far northern Great Barrier Reef. Butyltin concentrations were grossly elevated (660-340,000 ng Sri g(-1) dry wt.) at the grounding site. The impact of residual antifoulants at large ship grounding Sites Should be recognised as a significant, long-term environmental problem unless antfoulant clean-up strategies are undertaken. (C) 2002 Elsevier Science Ltd. All rights reserved.</t>
  </si>
  <si>
    <t>Great Barrier Reef Maine Pk Author, Townsville, Qld 4810, Australia</t>
  </si>
  <si>
    <t>Haynes, D (corresponding author), Great Barrier Reef Maine Pk Author, POB 1379, Townsville, Qld 4810, Australia.</t>
  </si>
  <si>
    <t>PII S0269-7491(02)00113-6</t>
  </si>
  <si>
    <t>10.1016/S0269-7491(02)00113-6</t>
  </si>
  <si>
    <t>http://dx.doi.org/10.1016/S0269-7491(02)00113-6</t>
  </si>
  <si>
    <t>603VZ</t>
  </si>
  <si>
    <t>WOS:000178582800028</t>
  </si>
  <si>
    <t>Wang, Z; Kong, FL; Fu, LT; Li, Y; Li, MH; Yu, ZD</t>
  </si>
  <si>
    <t>Wang, Zhen; Kong, Fanlong; Fu, Lingtao; Li, Yue; Li, Minghui; Yu, Zhengda</t>
  </si>
  <si>
    <t>Responses of Asian clams (Corbicula fluminea) to low concentration cadmium stress: Whether the depuration phase restores physiological characteristics</t>
  </si>
  <si>
    <t>Bioaccumulation; Heavy metal; Histopathology indices; Oxidative stress; Physiological characteristics</t>
  </si>
  <si>
    <t>MULTIXENOBIOTIC RESISTANCE; ENZYME-ACTIVITIES; OXIDATIVE STRESS; DAPHNIA-MAGNA; BEHAVIOR; BIOMARKERS; METABOLISM; INHIBITION; EXPRESSION; EXCRETION</t>
  </si>
  <si>
    <t>The effect of low concentration Cd stress on bivalves is unclear. In this study, Asian clams (Corbicula fluminea) were continuously exposed to 0, 0.05, 0.10, and 0.20 mg/L Cd for 14 d (exposure phase) and to artificial freshwater for 7 d (depuration phase). A total of 16 variables were measured to explore the toxic effects on C. fluminea. All physiological characteristics were significantly inhibited in the treatments (p &lt; 0.05), and the negative effects of Cd did not return to normal levels in the short term. Tissue damage was found in the feet and gills of C. fluminea in all the treatments. On the 7th day (D7), enzyme activity in all the treatments was significantly higher (p &lt; 0.05) than in the control group. Acetylcholinesterase, superoxide dismutase, and catalase activities were enhanced on D14 in all the treatments. However, only glutathione S-transferase activity was significantly higher in all the treatments (p &lt; 0.05) than in the control group on D21. The instability of the enzymes indicated that the adaptability of C. fluminea became stronger throughout the experiment. In each group, the maximum bioaccumulation of Cd followed the order: 0.20 mg/L &gt; 0.05 mg/L &gt; 0.10 mg/L, which might be caused by the filtration capacity of C. fluminea in the 0.05-mg/L group, which was higher than that of the 0.10-mg/L group. Thus, low Cd concentrations effect the physiological characteristics, tissue health, and antioxidant system of C. fluminea and may require a long recovery time to be restored to normal levels. (c) 2021 Elsevier Ltd. All rights reserved.</t>
  </si>
  <si>
    <t>[Wang, Zhen; Kong, Fanlong; Fu, Lingtao; Li, Yue; Li, Minghui; Yu, Zhengda] Qingdao Univ, Coll Environm Sci &amp; Engn, Qingdao 266071, Peoples R China</t>
  </si>
  <si>
    <t>Qingdao University</t>
  </si>
  <si>
    <t>Yu, ZD (corresponding author), Qingdao Univ, Coll Environm Sci &amp; Engn, Qingdao 266071, Peoples R China.</t>
  </si>
  <si>
    <t>yuzhengda@qdu.edu.cn</t>
  </si>
  <si>
    <t>Science and Technology Support Plan for Youth Innovation of Colleges in Shandong Province [DC2000000961]; Natural Science Foundation of Shandong Province [ZR2019BD065]</t>
  </si>
  <si>
    <t>Science and Technology Support Plan for Youth Innovation of Colleges in Shandong Province; Natural Science Foundation of Shandong Province(Natural Science Foundation of Shandong Province)</t>
  </si>
  <si>
    <t>This study was supported by Science and Technology Support Plan for Youth Innovation of Colleges in Shandong Province (grant number DC2000000961) and Natural Science Foundation of Shandong Province (grant number ZR2019BD065).</t>
  </si>
  <si>
    <t>10.1016/j.envpol.2021.117182</t>
  </si>
  <si>
    <t>http://dx.doi.org/10.1016/j.envpol.2021.117182</t>
  </si>
  <si>
    <t>TI1IA</t>
  </si>
  <si>
    <t>WOS:000672534900013</t>
  </si>
  <si>
    <t>Scheirs, J; De Coen, A; Covaci, A; Beernaert, J; Kayawe, VM; Caturla, M; De Wolf, H; Baert, P; Van Oostveldt, P; Verhagen, R; Blust, R; De Coen, W</t>
  </si>
  <si>
    <t>Scheirs, Jan; De Coen, An; Covaci, Adrian; Beernaert, Joke; Kayawe, Valentine Mubiana; Caturla, Merce; De Wolf, Hans; Baert, Philippe; Van Oostveldt, Patrick; Verhagen, Ron; Blust, Ronny; De Coen, Wim</t>
  </si>
  <si>
    <t>Genotoxicity in wood mice (Apodemus sylvaticus) along a pollution gradient:: Exposure-, age-, and gender-related effects</t>
  </si>
  <si>
    <t>DNA damage; comet assay; heavy metals; organochlorine compounds; Apodemus sylvaticus</t>
  </si>
  <si>
    <t>HEAVY-METAL POLLUTION; MUSSEL MYTILUS-EDULIS; ALKALINE COMET ASSAY; DNA STRAND BREAKS; TITS PARUS-MAJOR; POLYCHLORINATED-BIPHENYLS; SMALL MAMMALS; HUMAN-LYMPHOCYTES; MICRONUCLEUS TEST; DAMAGE</t>
  </si>
  <si>
    <t>We investigated the effects of environmental pollution on genetic damage in wood mice (Apodemus sylvaticus) by means of the comet assay, with special attention to the role of age and gender as potential confounding variables. The present study was carried out at four sites along a pollution gradient in the vicinity of Antwerp (Belgium), with a nonferrous smelter as the main pollution source. We measured the concentration of heavy metals (Cd, Co, Cr, Cu, Fe, Mn, Pb, and Zn) in mouse liver and kidney and the concentration of organochlorine compounds (polychlorinated biphenyls and 1,1-dichloro-2,2-bis(p-chlorophenyl)ethylene) in mouse muscle tissue to assess individual exposure. Cadmium exposure was very high at the sites closest to the smelter, and exposure to this metal decreased with increasing distance from the smelter. Exposure to the other pollutants was low to moderate at the different sites. Genetic damage was higher in mice from populations in the vicinity of the nonferrous smelter compared with that in the control populations. A significant increase in genetic damage with age was observed at the most polluted sites, but not at the control sites. Genetic damage was higher in male mice than in female mice at the most polluted site, but not at the other areas. Yet, no obvious relationship was found between individual pollutant levels and individual genetic damage levels. We conclude that the comet assay can be used to compare genotoxicity at the population level if the confounding variables of gender and age are taken into account. However, its use for individual health risk assessment remains questionable.</t>
  </si>
  <si>
    <t>Univ Antwerp, Dept Biol, Evolutionary Biol Grp, B-2020 Antwerp, Belgium; Univ Antwerp, Ecophysiol Biochem &amp; Toxicol Grp, B-2020 Antwerp, Belgium; Univ Antwerp, Toxicol Ctr, B-2610 Antwerp, Belgium; Univ Ghent, B-9000 Ghent, Belgium</t>
  </si>
  <si>
    <t>University of Antwerp; University of Antwerp; University of Antwerp; Ghent University</t>
  </si>
  <si>
    <t>Scheirs, J (corresponding author), Univ Antwerp, Dept Biol, Evolutionary Biol Grp, Groenenborgerlaan 171, B-2020 Antwerp, Belgium.</t>
  </si>
  <si>
    <t>jan.scheirs@ua.ac.be</t>
  </si>
  <si>
    <t>Covaci, Adrian/A-9058-2008</t>
  </si>
  <si>
    <t>Covaci, Adrian/0000-0003-0527-1136</t>
  </si>
  <si>
    <t>10.1897/05-419R.1</t>
  </si>
  <si>
    <t>http://dx.doi.org/10.1897/05-419R.1</t>
  </si>
  <si>
    <t>084AX</t>
  </si>
  <si>
    <t>WOS:000240505000023</t>
  </si>
  <si>
    <t>Hobbs, WO; McCall, M; Lanksbury, J; Seiders, K; Sandvik, P; Jones, M; Chuhran, H; Momohara, D; Norton, D</t>
  </si>
  <si>
    <t>Hobbs, William O.; McCall, Melissa; Lanksbury, Jennifer; Seiders, Keith; Sandvik, Patti; Jones, Meredith; Chuhran, Heidi; Momohara, Dean; Norton, Dale</t>
  </si>
  <si>
    <t>A baseline of copper associated with antifouling paint in marinas within a large fjord estuary</t>
  </si>
  <si>
    <t>Puget Sound; Copper; Sediment; Mussel; Biofilm; Marina; Antifouling paint</t>
  </si>
  <si>
    <t>CALIFORNIA; SEDIMENT; BIOACCUMULATION; CONTAMINATION; RESPONSES; HARBORS</t>
  </si>
  <si>
    <t>Marinas have been shown to contribute elevated concentrations of copper (Cu) to marine waters. The Cu can come primarily from antifouling paints which are designed to discourage biofouling of boat hulls. Legislation in Washington State, USA is being developed to limit or regulate the amount and rate of diffusion of Cu from antifouling paints. This study provides baseline data for Cu in five marinas of different configuration and size within Puget Sound, a large fjord estuary. Samples were collected over a year from multiple environmental media. We find strong evidence that Cu accumulates inside marinas to higher concentrations than outside marinas. Marinas that are more enclosed accumulated higher concentrations of Cu than more open marinas. Using a power analysis, we assessed the adequacy of the baseline dataset to measure progress as a result of future legislation towards the reduction of Cu to Puget Sound from marinas.</t>
  </si>
  <si>
    <t>[Hobbs, William O.; McCall, Melissa; Seiders, Keith; Sandvik, Patti; Norton, Dale] Washington State Dept Ecol, POB 47600, Olympia, WA 98502 USA; [Lanksbury, Jennifer] Washington Dept Fish &amp; Wildlife, 600 Capital Way N, Olympia, WA 98501 USA; [Jones, Meredith; Chuhran, Heidi; Momohara, Dean] Washington State Dept Ecol, Manchester Environm Lab, 7411 Beach Dr East, Port Orchard, WA 98366 USA; [Lanksbury, Jennifer] King St Ctr, Water &amp; Land Resources Div, 201 S Jackson St, Seattle, WA 98104 USA</t>
  </si>
  <si>
    <t>Washington Department of Fish &amp; Wildlife (WDFW)</t>
  </si>
  <si>
    <t>Hobbs, WO (corresponding author), Washington State Dept Ecol, POB 47600, Olympia, WA 98502 USA.</t>
  </si>
  <si>
    <t>whob461@ecy.wa.gov</t>
  </si>
  <si>
    <t>Rob Fisk; United States Environmental Protection Agency under the National Estuary Program; Puget Sound Ecosystem Restoration and Protection Cooperative Agreement Grant [PC-00J89901]</t>
  </si>
  <si>
    <t>Rob Fisk; United States Environmental Protection Agency under the National Estuary Program; Puget Sound Ecosystem Restoration and Protection Cooperative Agreement Grant</t>
  </si>
  <si>
    <t>We would like to thank all personnel at the study marinas and the University of Washington Friday Harbor Lab for their collaboration. We would also like to thank the following for field and lab assistance: Dave Serdar, Tim Zornes, Andrew Beckman, Nancy Rosenbower, Mariko Langness, Rob Fisk, Debby Sargeant, Jessica Archer, Crystal Bowlen, Daniel Baker and Edlin Nuss. Sandra Weakland, Cheryl Niemi, Brian Penttila and two anonymous reviewers provided constructive comments on this manuscript. Funding for this work was provided by the United States Environmental Protection Agency under the National Estuary Program and the Puget Sound Ecosystem Restoration and Protection Cooperative Agreement Grant #PC-00J89901. Carol Kraege and Blake Nelson assisted in the acquisition of funding.</t>
  </si>
  <si>
    <t>10.1016/j.marpolbul.2022.113547</t>
  </si>
  <si>
    <t>http://dx.doi.org/10.1016/j.marpolbul.2022.113547</t>
  </si>
  <si>
    <t>1V8RQ</t>
  </si>
  <si>
    <t>WOS:000806352600004</t>
  </si>
  <si>
    <t>Rios, JHL; Marins, RV; Oliveira, KF; Lacerda, LD</t>
  </si>
  <si>
    <t>Rios, J. H. L.; Marins, R. V.; Oliveira, K. F.; Lacerda, L. D.</t>
  </si>
  <si>
    <t>Long-Term (2002-2015) Changes in Mercury Contamination in NE Brazil Depicted by the Mangrove Oyster Crassostraea rhizophorae (Guilding, 1828)</t>
  </si>
  <si>
    <t>Monitoring; Estuaries; Metals; Oysters</t>
  </si>
  <si>
    <t>MUSSEL WATCH PROGRAM; JAGUARIBE RIVER; COAST; BAY; POLLUTION; ESTUARY; METALS; HG</t>
  </si>
  <si>
    <t>Mercury concentrations in oysters from four estuaries in northeastern Brazil varied following source changes during the past 13 years. Concentrations were higher in urban estuaries relative to rural areas, but decreased in the 13-years interval following improvements in solid wastes disposal and sewage treatment. In rural estuaries, the one located in an environmental protection area showed no changes in Hg concentrations in the period. However, in the Jaguaribe estuary, remobilization from soils and sediments due to regional environmental changes, increased Hg concentrations in oysters to values similar to the most contaminated metropolitan sites.</t>
  </si>
  <si>
    <t>[Rios, J. H. L.; Marins, R. V.; Oliveira, K. F.; Lacerda, L. D.] Univ Fed Ceara, Inst Marine Sci, Ave Abolicao 3207, BR-60165081 Fortaleza, Ceara, Brazil</t>
  </si>
  <si>
    <t>Lacerda, LD (corresponding author), Univ Fed Ceara, Inst Marine Sci, Ave Abolicao 3207, BR-60165081 Fortaleza, Ceara, Brazil.</t>
  </si>
  <si>
    <t>Lacerda, Luiz/AAI-9004-2020; Marins, Rozane/G-2144-2012</t>
  </si>
  <si>
    <t>Lacerda, Luiz/0000-0002-3496-0785; Marins, Rozane/0000-0002-3744-4006</t>
  </si>
  <si>
    <t>CNPq-INCT-TMCOcean Project [573.601/2008-9]; CNPq/ANA [445.779/2015-2]</t>
  </si>
  <si>
    <t>CNPq-INCT-TMCOcean Project; CNPq/ANA</t>
  </si>
  <si>
    <t>Funding was provided by by CNPq-INCT-TMCOcean Project (Proc. No. 573.601/2008-9), And CNPq/ANA (Proc. No. 445.779/2015-2).</t>
  </si>
  <si>
    <t>10.1007/s00128-016-1855-y</t>
  </si>
  <si>
    <t>http://dx.doi.org/10.1007/s00128-016-1855-y</t>
  </si>
  <si>
    <t>DW5RV</t>
  </si>
  <si>
    <t>WOS:000383705500006</t>
  </si>
  <si>
    <t>Bissett, W; Adams, LG; Field, R; Moyer, W; Phillips, T; Scott, HM; Wade, T; Sweet, S; Thompson, JA</t>
  </si>
  <si>
    <t>Bissett, Wesley; Adams, L. Garry; Field, Robert; Moyer, William; Phillips, Tim; Scott, H. Morgan; Wade, Terry; Sweet, Steve; Thompson, James A.</t>
  </si>
  <si>
    <t>Bayesian spatial modeling of Lavaca Bay pollutants</t>
  </si>
  <si>
    <t>Mercury; Polycyclic aromatic hydrocarbons; Bayesian geo-statistical analysis; Superfund; Locational risks; Lavaca Bay; Texas</t>
  </si>
  <si>
    <t>ORGANISMS; MERCURY; CRABS</t>
  </si>
  <si>
    <t>Locational risk of increased mercury and PAH concentrations in Lavaca Bay, Texas sediments and eastern oysters (Crassostrea virginica) harvested from Lavaca Bay, Texas were analysed. Chemical analysis results were evaluated utilizing Bayesian geo-statistical methods for comparison of the model fit of a random effects model versus a convoluted model which included both random and spatial effects. For those results fit best with the convoluted model, continuous surface maps of predicted parameter values were created. Sediment and oyster concentrations of mercury and the majority of measured PAHs were fit best with the convoluted model. The locational risks of encountering elevated concentrations of these pollutants in Lavaca Bay sediments and oysters were highest in close proximity to industrial facilities. (C) 2008 Elsevier Ltd. All rights reserved.</t>
  </si>
  <si>
    <t>[Bissett, Wesley; Field, Robert; Moyer, William; Thompson, James A.] Texas A&amp;M Univ, Coll Vet Med, Dept Large Anim Clin Sci, College Stn, TX 77843 USA; [Adams, L. Garry] Texas A&amp;M Univ, Coll Vet Med, Dept Vet Pathobiol, College Stn, TX 77843 USA; [Phillips, Tim; Scott, H. Morgan] Texas A&amp;M Univ, Coll Vet Med, Dept Vet Integrat Biosci, College Stn, TX 77843 USA; [Wade, Terry; Sweet, Steve] Texas A&amp;M Univ, Coll Vet Med, Geochem &amp; Environm Res Grp, College Stn, TX 77843 USA</t>
  </si>
  <si>
    <t>Texas A&amp;M University System; Texas A&amp;M University College Station; Texas A&amp;M University System; Texas A&amp;M University College Station; Texas A&amp;M University System; Texas A&amp;M University College Station; Texas A&amp;M University System; Texas A&amp;M University College Station</t>
  </si>
  <si>
    <t>Bissett, W (corresponding author), Texas A&amp;M Univ, Coll Vet Med, Dept Large Anim Clin Sci, 447S TAMU, College Stn, TX 77843 USA.</t>
  </si>
  <si>
    <t>wbissett@cvm.tamu.edu</t>
  </si>
  <si>
    <t>Scott, Harvey/ABC-9935-2020</t>
  </si>
  <si>
    <t>Sweet, Stephen/0000-0002-1441-8198; Scott, Harvey/0000-0002-0538-5961</t>
  </si>
  <si>
    <t>Vivian L. Smith Foundation; Point Comfort; Texas ALCOA</t>
  </si>
  <si>
    <t>We would like to express our gratitude to the Vivian L. Smith Foundation and the Point Comfort, Texas ALCOA facility for providing the financial resources for completion of this project. Also, to our colleagues in Texas A&amp;M University's Food Animal Medicine and Surgery Service, your support and encouragement are greatly appreciated.</t>
  </si>
  <si>
    <t>10.1016/j.marpolbul.2008.06.010</t>
  </si>
  <si>
    <t>http://dx.doi.org/10.1016/j.marpolbul.2008.06.010</t>
  </si>
  <si>
    <t>370EK</t>
  </si>
  <si>
    <t>WOS:000260745300022</t>
  </si>
  <si>
    <t>Barreira, J; Araújo, DF; Knoery, J; Briant, N; Machado, W; Grouhel-Pellouin, A</t>
  </si>
  <si>
    <t>Barreira, Joao; Araujo, Daniel F.; Knoery, Joel; Briant, Nicolas; Machado, Wilson; Grouhel-Pellouin, Anne</t>
  </si>
  <si>
    <t>The French Mussel Watch Program reveals the attenuation of coastal lead contamination over four decades</t>
  </si>
  <si>
    <t>Metal contamination; Pb source; Anthropogenic metal; Biomonitoring; Pb contamination</t>
  </si>
  <si>
    <t>HEAVY-METAL POLLUTION; BIVALVE MOLLUSKS; GIRONDE ESTUARY; FLUVIAL SYSTEM; ZN; PB; CD; ISOTOPES; FRANCE; ENVIRONMENTS</t>
  </si>
  <si>
    <t>The mid-20th century industrial peak caused severe global lead (Pb) marine contamination. Although Europe initiated Pb emission reduction regulations in the 1980s, the short- and long-term impacts remain unclear. This study investigates the evolution of Pb contamination on the French coast through elemental and isotope analysis in oysters and mussels from the French Mussel Watch Program. Observations at 114 monitoring stations over four decades have shown decreasing Pb levels in these bivalve mollusks. In 1988, 95 % exceeded the background reference values; this level had dropped to 39 % by 2021. The Pb isotope ratios in bivalves from eight target sites revealed a reduction in bioaccumulated anthropogenic Pb, albeit without complete elimination. The long residence time of legacy Pb combined with inputs from diffuse urban sources likely explains the persistent presence of anthropogenic Pb on the French coast. This study endorses the importance of continuous biomonitoring to evaluate environmental regulations and policies.</t>
  </si>
  <si>
    <t>[Barreira, Joao; Machado, Wilson] Univ Fed Fluminense, Dept Geoquim, Campus Valonguinho, Niteroi, RJ, Brazil; [Araujo, Daniel F.; Knoery, Joel; Briant, Nicolas; Grouhel-Pellouin, Anne] Ifremer, Ctr Atlantique, CCEM Contaminat Chim Ecosyst Marins, F-44000 Nantes, France</t>
  </si>
  <si>
    <t>Araújo, DF (corresponding author), Ifremer, Ctr Atlantique, CCEM Contaminat Chim Ecosyst Marins, F-44000 Nantes, France.</t>
  </si>
  <si>
    <t>GROUHEL, Anne/0000-0003-1879-4884; knoery, joel/0000-0003-2826-6436; Goncalves Barreira, Joao Paulo/0000-0002-1884-9083</t>
  </si>
  <si>
    <t>Coordenacao de Aperfeicoamento Pessoal de Nivel Superior (CAPES) , Brazil [001]; CAPES [88887.483826/2020-00]; Brazilian National Research Council (CNPq- Brazil); PRINT-UFF-FEEDBACKS grant CAPES [88887.310301/2018-00]</t>
  </si>
  <si>
    <t>Coordenacao de Aperfeicoamento Pessoal de Nivel Superior (CAPES) , Brazil(Coordenacao de Aperfeicoamento de Pessoal de Nivel Superior (CAPES)); CAPES(Coordenacao de Aperfeicoamento de Pessoal de Nivel Superior (CAPES)); Brazilian National Research Council (CNPq- Brazil)(Conselho Nacional de Desenvolvimento Cientifico e Tecnologico (CNPQ)); PRINT-UFF-FEEDBACKS grant CAPES</t>
  </si>
  <si>
    <t>We would like to express gratitude to the ROCCH team, which includes both current and past generations of researchers and technicians. We appreciate their consistent efforts over &gt;40 years in designing, collecting, and archiving samples. Special recognition goes to the CCEM unit (formerly the Biogeochemistry and Ecotoxicology [BE] unit) for their invaluable contributions to sampling, sample preparation, and analyses, essential components in the success of this longstanding program. This study was supported in part by the Coordenacao de Aperfeicoamento Pessoal de Nivel Superior (CAPES) , Brazil (Finance Code 001) . J.B. acknowledges the financial support from CAPES (grant number 88887.483826/2020-00) . W.M. and J.K. acknowledge the financial support from the Brazilian National Research Council (CNPq- Brazil) and PRINT-UFF-FEEDBACKS grant CAPES (grant number 88887.310301/2018-00) . The authors also wish to thank all partners involved in the SUCHIMED campaign in 2021 (https://doi.org/10 .17600/18001619) . We acknowledge the Center for Environmental Science of the University of Maryland for the graphics used in this papers; they are publicly available at https://ian.umces.edu/media-libra ry/.</t>
  </si>
  <si>
    <t>10.1016/j.marpolbul.2023.115975</t>
  </si>
  <si>
    <t>http://dx.doi.org/10.1016/j.marpolbul.2023.115975</t>
  </si>
  <si>
    <t>GG1B9</t>
  </si>
  <si>
    <t>WOS:001151409900001</t>
  </si>
  <si>
    <t>Dong, JY; Wang, XF; Zhang, XM; Bidegain, G; Zhao, LL</t>
  </si>
  <si>
    <t>Dong, Jian-Yu; Wang, Xuefeng; Zhang, Xiumei; Bidegain, Gorka; Zhao, LinLin</t>
  </si>
  <si>
    <t>Integrating multiple indices based on heavy metals and macrobenthos to evaluate the benthic ecological quality status of Laoshan Bay, Shandong Peninsula, China</t>
  </si>
  <si>
    <t>Ecological assessment; Benthic invertebrates; Trace metal pollution; Ecological indices; Sediment quality</t>
  </si>
  <si>
    <t>MARINE BIOTIC INDEX; COASTAL ECOSYSTEMS; M-AMBI; ESTUARINE; POLLUTION; HEALTH; COEFFICIENT; SUITABILITY; AGREEMENT; KAPPA</t>
  </si>
  <si>
    <t>Many different indices have been developed to evaluate habitat quality status (EcoQs) in marine ecosystems; however, few studies have concurrently considered both abiotic and biotic indices in their assessments of benthic EcoQs. Here, we propose and test a framework for integrating heavy metal pollution-related indices and macrobenthos-based indices to assess the benthic EcoQs of Laoshan Bay (Yellow Sea, China). This bay is exposed to urbanization, construction, heavy metal pollution, and land-and marine-based culturing operations for commercially valuable species like fish, scallop, and laver (seaweed). We first assessed the EcoQs of Laoshan Bay using four heavy metal pollution-related indices, i.e., the geo-accumulation index (Igeo), potential ecological risk index (RI), pollution load index (PLI), and Nemerow pollution index (Pn) and four macrobenthos-based indices, i. e., AZTI's Marine Biotic Index (AMBI), the multivariate AMBI (M-AMBI), BENTIX, and the feeding evenness index (jFD). All indices (except Igeo) were then reclassified and combined to assess the overall EcoQs of Laoshan Bay. Our results show that, while some sites in Laoshan Bay have relatively high levels of heavy metal (Hg and Cd) pollution, the benthic EcoQs is acceptable across 88.90% of the bay. Kappa analysis showed that the agreement between any two indices was very low, which suggests that the composite index used here may be more robust for assessing EcoQs and more closely represent the actual status of benthic habitats than assessments based on single indices. In addition, the assessment framework proposed here is relatively flexible and can serve as a useful tool for evaluating the benthic EcoQs of similar marine ecosystems.</t>
  </si>
  <si>
    <t>[Dong, Jian-Yu; Wang, Xuefeng] Guangdong Ocean Univ, Fisheries Coll, Zhanjiang 524088, Peoples R China; [Zhang, Xiumei] Zhejiang Ocean Univ, Fisheries Coll, Zhoushan 316022, Peoples R China; [Zhao, LinLin] Minist Nat Resources, Inst Oceanog 1, Qingdao 266061, Peoples R China; [Bidegain, Gorka] Univ Basque Country UPV EHU, Engn Sch Bilbao, Dept Appl Math, Plaza Ingeniero Torres Quevedo 1, Bilbao 48013, Spain; [Bidegain, Gorka] Univ Basque Country PiE UPV EHU, Res Ctr Expt Marine Biol &amp; Biotechnol, Plentzia Marine Stn, Areatza Pasealekua, Plentzia 48620, Spain</t>
  </si>
  <si>
    <t>Guangdong Ocean University; Zhejiang Ocean University; First Institute of Oceanography, Ministry of Natural Resources; Ministry of Natural Resources of the People's Republic of China; University of Basque Country; University of Basque Country</t>
  </si>
  <si>
    <t>Zhang, XM (corresponding author), Zhejiang Ocean Univ, Fisheries Coll, Zhoushan 316022, Peoples R China.</t>
  </si>
  <si>
    <t>zhangxiumei@zjou.edu.cn</t>
  </si>
  <si>
    <t>Bidegain, Gorka/X-6104-2019; Bidegain, Gorka/N-8811-2016; Jian-Yu, Dong/HLQ-1338-2023</t>
  </si>
  <si>
    <t>Bidegain, Gorka/0000-0002-2173-5140; Jian-Yu, Dong/0000-0003-0553-1655</t>
  </si>
  <si>
    <t>National Key Research and Devel- opment Program of China [2019YFD0901303]; Province Key Research and Development Program of Zhejiang [2021C02047]; Guangdong Basic and Applied Basic Research Foundation [2022A1515110957]</t>
  </si>
  <si>
    <t>National Key Research and Devel- opment Program of China; Province Key Research and Development Program of Zhejiang; Guangdong Basic and Applied Basic Research Foundation</t>
  </si>
  <si>
    <t>This work was supported by the National Key Research and Devel- opment Program of China [grant number 2019YFD0901303] , the Province Key Research and Development Program of Zhejiang [grant number 2021C02047] and Guangdong Basic and Applied Basic Research Foundation [grant number 2022A1515110957] .</t>
  </si>
  <si>
    <t>10.1016/j.ecolind.2023.110367</t>
  </si>
  <si>
    <t>http://dx.doi.org/10.1016/j.ecolind.2023.110367</t>
  </si>
  <si>
    <t>J6IX1</t>
  </si>
  <si>
    <t>WOS:001010641400001</t>
  </si>
  <si>
    <t>Annicchiarico, C; Assennato, G; Blonda, M; Cardellicchio, N; Di Leo, A; Giandomenico, S; Lopez, L; Spada, L; Ungaro, N</t>
  </si>
  <si>
    <t>Annicchiarico, Cristina; Assennato, Giorgio; Blonda, Massimo; Cardellicchio, Nicola; Di Leo, Antonella; Giandomenico, Santina; Lopez, Luigi; Spada, Lucia; Ungaro, Nicola</t>
  </si>
  <si>
    <t>PRELIMINARY RESULTS OF POLLUTANTS BIOMONITORING IN COASTAL MARINE AND TRANSITIONAL WATERS OF APULIA REGION (SOUTHERN ITALY)</t>
  </si>
  <si>
    <t>Mussel watch; biomonitoring; organic contaminants; heavy metals; bioaccumulation; marine pollution</t>
  </si>
  <si>
    <t>ORGANOCHLORINE PESTICIDES; MUSSELS; GULF; SEA</t>
  </si>
  <si>
    <t>The present work reports on the preliminary results from a biota monitoring program, started during 2008 by the Apulian Regional Agency for Environmental Prevention and Protection (ARPA Puglia) in collaboration with the CNR-Institute for Coastal Marine Environment of Taranto. This project is mainly targeted toward the monitoring of the coastal water quality, using mussels as bioindicators, and the identification of contamination spatial trends. Mussels were sampled in 11 stations located along the marine coastal and transitional waters of the Apulian region, including both south-western Adriatic and Ionian areas. The analyzed contaminants were heavy metals, chlorinated pesticides, chlorinated solvents, organophosphate pesticides, polychlorinated biphenyls, polybrominated diphenyl ethers (PBDEs), alkylphenols, polycyclic aromatic hydrocarbons and organotin compounds. Results were also compared with national and international regulations. The maximum concentration of mercury (0.29 mg kg(-1) d.w.) was found in the Mar Piccolo, near the mouth of Galeso River. The sum of PAR concentrations ranged from not detectable to 284.7 mu g kg(-1) d.w. (Mar Piccolo). Concerning chlorinated pesticides, only 4,4' DDE was found with the maximum concentration in the Mar Piccolo (second inlet) and near the mouth of Ofanto River (26.9 and 18.7 mu g kg(-1) d.w. respectively). The sum of PCB congeners ranged from 2.2 (mouth of Candelaro River) to 383.8 mu g kg(-1) d.w. near the mouth of Galeso River. The results show that the biota is still a relevant target of exposure to contaminants and, for this reason, biomonitoring activities are very important tools for human health and ecosystem risk assessment.</t>
  </si>
  <si>
    <t>[Annicchiarico, Cristina; Cardellicchio, Nicola; Di Leo, Antonella; Giandomenico, Santina] CNR, Inst Coastal Marine Environm, I-74100 Taranto, Italy; [Assennato, Giorgio; Blonda, Massimo; Ungaro, Nicola] ARPA Puglia, Reg Agcy Environm Prevent &amp; Protect, I-70126 Bari, Italy; [Lopez, Luigi; Spada, Lucia] Univ Bari, Dept Chem, I-70126 Bari, Italy</t>
  </si>
  <si>
    <t>Consiglio Nazionale delle Ricerche (CNR); Regional Environmental Protection Agency - Italy; Universita degli Studi di Bari Aldo Moro</t>
  </si>
  <si>
    <t>Cardellicchio, N (corresponding author), CNR, Inst Coastal Marine Environm, Via Roma 3, I-74100 Taranto, Italy.</t>
  </si>
  <si>
    <t>n.cardellicchio@iamc.cmr.it</t>
  </si>
  <si>
    <t>giandomenico, santina/AEE-9520-2022; Di Leo, Antonella/AAX-9345-2020</t>
  </si>
  <si>
    <t>672ZN</t>
  </si>
  <si>
    <t>WOS:000283627400007</t>
  </si>
  <si>
    <t>COMPARATIVE SENSITIVITY OF GAMETES AND EARLY DEVELOPMENTAL STAGES OF A SEA-URCHIN SPECIES (ECHINOMETRA-MATHAEI) AND A BIVALVE SPECIES (ISOGNOMON-CALIFORNICUM) DURING METAL EXPOSURES</t>
  </si>
  <si>
    <t>CADMIUM; MARINE; TOXICITY; EMBRYOS; LARVAE; BIOASSAY; WATERS; GROWTH; COPPER; ZINC</t>
  </si>
  <si>
    <t>Bioassays were developed using sperm of a sea urchin (Echinometra mathaei), and sperm, embryos, and larvae of a bivalve species (Isognomon californicum). Sea urchin spawning was restricted to only a few months of the year and viability of sperm throughout the year varied from 5 to 75%. Sea urchin fertilization assays were affected by temporal variation in sperm viability. Spawning in this bivalve species occurs year-round and there is little temporal variation in sperm viability. Since stringent sperm:egg ratios are not required for the bivalve embryo and larval assays, these were less affected by variation in gamete quality. The relative sensitivity of the various assays were compared during exposure to three different metal pollutants: cadmium, copper, and tributyltin. Gametes and embryos were relatively resistant to cadmium toxicity, but larvae were very sensitive. With copper and tributyltin, sea urchin and bivalve fertilization assays were the least sensitive; and bivalve growth assays were the most sensitive, followed closely by the bivalve embryo assays. On the basis of sensitivity, ease and time required to conduct the assay, and salinity tolerance, the bivalve embryo assay was recommended as the overall single most reliable toxicity bioassay. However a multispecies, multidimensional approach using sperm fertilization assays as well as embryo assays should be employed, perhaps in a hierarchal manner. Larval growth assays were deemed too tedious and time consuming to be used routinely, but due to their high sensitivity, should still be considered as a valuable comparative tool.</t>
  </si>
  <si>
    <t>HJ284</t>
  </si>
  <si>
    <t>WOS:A1992HJ28400007</t>
  </si>
  <si>
    <t>Zhao, H; Wang, MT; Pang, M; Sun, J; Huang, Y; Gao, F; Yang, DZ; Zhou, YB; Wang, B</t>
  </si>
  <si>
    <t>Zhao, Huan; Wang, Mengting; Pang, Min; Sun, Jia; Huang, Yi; Gao, Fan; Yang, Dazuo; Zhou, Yibing; Wang, Bin</t>
  </si>
  <si>
    <t>Quantitative immunodetection of metalloprotein II in Perinereis aibuhitensis after heavy metal exposure</t>
  </si>
  <si>
    <t>Perinereis aibuhitensis; MP II; Recombinant expression; Tissue distribution; Metal exposure; Protein expression</t>
  </si>
  <si>
    <t>CADMIUM-BINDING PROTEIN; MUSSELS MYTILUS-GALLOPROVINCIALIS; NEREIS-DIVERSICOLOR ANNELIDA; IN-SITU HYBRIDIZATION; METALLOTHIONEIN INDUCTION; MOLECULAR-CLONING; DIFFERENT TISSUES; MP-II; POLYCHAETE; ACCUMULATION</t>
  </si>
  <si>
    <t>The metal detoxification mechanism is essential for the accumulation activity of some polychaetes. In order to investigate the detoxification function of metalloprotein II in polychaete Perinereis aibuhitensis, a recombinant fusion protein of MP II was successfully expressed in vitro and an anti-MP II polyclonal antibody was got. The tissue distribution of MP II in P. aibuhitensis and the protein expression under Cd, Pb and Zn exposure were detected by ELISA with this antibody. The results showed that MP II was higher in the intestine of P. aibuhitensis, followed by the body wall and parapodium. Cd, Zn and Pb exposure can induced MP II expression, but the change trend of MP II under various heavy metal exposure was different. The amount of MP II induced in P. aibuhitensis increased with the rises of Cd concentration, but there is no significant relationship between Zn and Pb concentration and MP II level.</t>
  </si>
  <si>
    <t>[Zhao, Huan; Wang, Mengting; Sun, Jia; Huang, Yi; Gao, Fan; Yang, Dazuo; Zhou, Yibing; Wang, Bin] Dalian Ocean Univ, Key Lab Marine Bioresource Restorat &amp; Habitat Rep, Dalian 116023, Peoples R China; [Pang, Min] Minist Nat Resources, Inst Oceanog 1, Key Lab Sci &amp; Engn Marine Ecol Environm, Qingdao 266061, Peoples R China</t>
  </si>
  <si>
    <t>Dalian Ocean University; Ministry of Natural Resources of the People's Republic of China; First Institute of Oceanography, Ministry of Natural Resources</t>
  </si>
  <si>
    <t>Wang, B (corresponding author), Dalian Ocean Univ, Key Lab Marine Bioresource Restorat &amp; Habitat Rep, Dalian 116023, Peoples R China.</t>
  </si>
  <si>
    <t>wangbin@dlou.edu.cn</t>
  </si>
  <si>
    <t>National Natural Science Foundation of China [41306138]; National Key R&amp;D program of China [2019YFC1407704]; Key laboratory of Mariculture and Stock Enhancement in North China's Sea, Ministry of Agriculture and Rural Affairs, P.R. China [2018-KF-15]; open fund of CAS key laboratory of Marine Ecology and Environmental Science, Institute of Oceanology, Chinese Academy of Sciences [KLMEES201803]</t>
  </si>
  <si>
    <t>National Natural Science Foundation of China(National Natural Science Foundation of China (NSFC)); National Key R&amp;D program of China; Key laboratory of Mariculture and Stock Enhancement in North China's Sea, Ministry of Agriculture and Rural Affairs, P.R. China; open fund of CAS key laboratory of Marine Ecology and Environmental Science, Institute of Oceanology, Chinese Academy of Sciences</t>
  </si>
  <si>
    <t>This work was supported by the fund of the National Natural Science Foundation of China (grant number 41306138), the fund of National Key R&amp;D program of China (grant number 2019YFC1407704), the fund of the Key laboratory of Mariculture and Stock Enhancement in North China's Sea, Ministry of Agriculture and Rural Affairs, P.R. China (grant number 2018-KF-15) and the open fund of CAS key laboratory of Marine Ecology and Environmental Science, Institute of Oceanology, Chinese Academy of Sciences (grant number KLMEES201803).</t>
  </si>
  <si>
    <t>10.1016/j.marpolbul.2020.111550</t>
  </si>
  <si>
    <t>http://dx.doi.org/10.1016/j.marpolbul.2020.111550</t>
  </si>
  <si>
    <t>OO8LJ</t>
  </si>
  <si>
    <t>WOS:000587626000012</t>
  </si>
  <si>
    <t>Topcuoglu, S; Kirbasoglu, Ç; Güngör, N</t>
  </si>
  <si>
    <t>Heavy metals in organisms and sediments from Turkish Coast of the Black Sea, 1997-1998</t>
  </si>
  <si>
    <t>TRACE-METALS; MARINE-ALGAE; SAMPLES; MARMARA; LAGOON; FISH</t>
  </si>
  <si>
    <t>During the period 1997-1998, macroalgae, sea snail, mussel, fish and sediment samples were collected at different stations of the Turkish Black Sea coast in order to establish the concentration of selected heavy metals. Heavy metals analyzed were Cd, Co, Cr, Ni, Zn, Fe, Mn, Pb and Cu. The results showed that the Turkish Black Sea coast is facing heavy metal pollution. The metal concentrations in macroalgae, sea snail, mussel and sediment samples are very high. However, Cd, Pb and Cu concentrations in anchovy fish decreased, while Co, Fe, Zn, Cr, Mn and Ni contents had changed when compared previous data. The metal levels in macroalgae did not follow the same pattern as concentrations in sediments at the same station. On the other hand, concentrations of Cd, Co, Cr, Zn, Fe, Mn and Cu in sea snail, mussel and fish samples were related to sediment data in the examined stations. (C) 2002 Elsevier Science Ltd. All rights reserved.</t>
  </si>
  <si>
    <t>Cekmece Nucl Res &amp; Training Ctr, TR-34831 Istanbul, Turkey</t>
  </si>
  <si>
    <t>Turkish Energy, Nuclear &amp; Mineral Research Agency (TENMAK); Ministry of Energy &amp; Natural Resources - Turkey</t>
  </si>
  <si>
    <t>Topcuoglu, S (corresponding author), Cekmece Nucl Res &amp; Training Ctr, POB 1,Ataturk Airport, TR-34831 Istanbul, Turkey.</t>
  </si>
  <si>
    <t>GUNGOR, NURDAN/G-6547-2018</t>
  </si>
  <si>
    <t>GUNGOR, NURDAN/0000-0002-0776-8480</t>
  </si>
  <si>
    <t>10.1016/S0160-4120(01)00099-X</t>
  </si>
  <si>
    <t>http://dx.doi.org/10.1016/S0160-4120(01)00099-X</t>
  </si>
  <si>
    <t>521LB</t>
  </si>
  <si>
    <t>WOS:000173840500001</t>
  </si>
  <si>
    <t>Wang, HC; Wang, ZW; Yue, RR; Gao, F; Ren, RL; Wei, JF; Wang, XL; Kong, ZY</t>
  </si>
  <si>
    <t>Wang, Huicai; Wang, Zhenwen; Yue, Ruirui; Gao, Feng; Ren, Ruili; Wei, Junfu; Wang, Xiaolei; Kong, Zhiyun</t>
  </si>
  <si>
    <t>Rapid preparation of adsorbent based on mussel inspired chemistry and simultaneous removal of heavy metal ions in water</t>
  </si>
  <si>
    <t>CHEMICAL ENGINEERING JOURNAL</t>
  </si>
  <si>
    <t>Polydopamine; Salicylic acid groups; Coexisting metal ions; Multifunctional non-woven; Competitive adsorption</t>
  </si>
  <si>
    <t>ZERO-VALENT IRON; EFFICIENT REMOVAL; MESOPOROUS SILICA; AQUEOUS-SOLUTION; LANGMUIR ISOTHERM; ACTIVATED CARBON; CD(II) REMOVAL; II REMOVAL; ADSORPTION; PB(II)</t>
  </si>
  <si>
    <t>In order to solve the problem of coexistence pollution of heavy metal ions in real water environment, a polydopamine (PDA) modified polypropylene non-woven adsorbent was rapidly prepared by one-step method based on mussel-inspired chemistry. The mussel inspired chemical reaction was accelerated by combining oxidants with diamine. The interaction between coexisting metal ions severely inhibits the removal of adsorbents with single active site, a multifunctional non-woven absorbent (PP/PDA/ASA) was synthesized through introducing salicylic acid groups at the end of PDA to increase the type of adsorption sites and address the issue of low removal efficiency caused by competitive effects in multicomponent system. The synthesized adsorbent was characterized by SEM, FTIR spectroscopy and XPS techniques. Meanwhile, the adsorption capacity of Cu(II), Cd (II) and Pb(II) on PP/PDA/ASA was systematically studied in single and multi-target systems under various conditions. The findings indicated that the PP/PDA/ASA could remove 90% of Cu(II) and Pb(II), and 80% of Cd (II) from 5 mg/L of Cu(II)/Cd(II)/Pb(II) mixed solution at the sorbent:solution mass ratio of 1:1000. Noticeably, the adsorption capacity and rate of the metal ions in the multi-component system were reduced, indicating the strong competitive adsorption in the multi-component system. XPS analysis showed that various functional groups (amino, hydroxyl and carboxyl groups) on the surface of PP/PDA/ASA were involved in the adsorption of heavy metal ions. The adsorption mechanism included coordination and ion exchange between metal ions and functional groups, while the adsorption mechanisms of Cu(II), Cd(II) and Pb(II) were different.</t>
  </si>
  <si>
    <t>[Wang, Huicai; Yue, Ruirui; Ren, Ruili; Wei, Junfu] Tiangong Univ, Sch Chem &amp; Chem Engn, Tianjin 300387, Peoples R China; [Wang, Zhenwen; Gao, Feng; Wang, Xiaolei; Kong, Zhiyun] Tiangong Univ, Sch Environm Sci &amp; Engn, Tianjin 300387, Peoples R China; [Wang, Huicai; Wang, Zhenwen; Yue, Ruirui; Gao, Feng; Ren, Ruili; Wei, Junfu; Wang, Xiaolei; Kong, Zhiyun] Tiangong Univ, State Key Lab Separat Membranes &amp; Membrane Proc, Tianjin 300387, Peoples R China</t>
  </si>
  <si>
    <t>Tiangong University; Tiangong University; Tiangong University</t>
  </si>
  <si>
    <t>Wang, HC (corresponding author), Tiangong Univ, Sch Environm &amp; Chem Engn, Tianjin 300387, Peoples R China.</t>
  </si>
  <si>
    <t>wanghuicai@tjpu.edu.cn</t>
  </si>
  <si>
    <t>Tianjin Science and Technology Plan Project [16PTGCCX00070]; Science and Technology Plans of Tianjin [18PTSYJC00180]</t>
  </si>
  <si>
    <t>Tianjin Science and Technology Plan Project; Science and Technology Plans of Tianjin</t>
  </si>
  <si>
    <t>This work was supported by Tianjin Science and Technology Plan Project (No. 16PTGCCX00070), and the Science and Technology Plans of Tianjin (No. 18PTSYJC00180).</t>
  </si>
  <si>
    <t>ELSEVIER SCIENCE SA</t>
  </si>
  <si>
    <t>PO BOX 564, 1001 LAUSANNE, SWITZERLAND</t>
  </si>
  <si>
    <t>1385-8947</t>
  </si>
  <si>
    <t>1873-3212</t>
  </si>
  <si>
    <t>CHEM ENG J</t>
  </si>
  <si>
    <t>Chem. Eng. J.</t>
  </si>
  <si>
    <t>10.1016/j.cej.2019.123107</t>
  </si>
  <si>
    <t>http://dx.doi.org/10.1016/j.cej.2019.123107</t>
  </si>
  <si>
    <t>JY4RV</t>
  </si>
  <si>
    <t>WOS:000504404800114</t>
  </si>
  <si>
    <t>Lavilla, I; Capelo, JL; Bendicho, C</t>
  </si>
  <si>
    <t>Determination of cadmium and lead in mussels by electrothermal atomic absorption spectrometry using an ultrasound-assisted extraction method optimized by factorial design</t>
  </si>
  <si>
    <t>FRESENIUS JOURNAL OF ANALYTICAL CHEMISTRY</t>
  </si>
  <si>
    <t>A simple and rapid method is described for the quantitative extraction and determination of Cd and Pb in mussel tissue (Mytilus edulis). The method is based on the quantitative ultrasound-assisted extraction (i.e. sample mass at mg level) of the two metals using diluted nitric acid as extractant. The extraction procedure is carried out in autosampler cups of the graphite furnace (typically, less than 20 mg). A two-level full factorial design (2(4)) was applied to optimize the variables influencing the ultrasound extraction process. These variables were: extraction time, ultrasound amplitude, nitric acid concentration and particle size. Optimization results showed that acid concentration and particle size were the more significant variables. Determination of Cd and Pb in extracts obtained after ultrasound treatment was carried out by Electrothermal Atomic Absorption Spectrometry. The method was validated by statistically comparing the metal contents found with the certified ones corresponding to the BCR 278 mussel tissue. No significant differences were observed for P = 0.05. LODs for Cd and Pb in mussel tissue were 0.019 and 0.37 mu g g(-1). RSDs values (corresponding to between-batch precision for n = 5) were 2.2 and 6.7% for Cd and Pb, respectively. The method was applied to measure the contents of Cd and Pb in mussels used as pollution bioindicators from the Galician coast (Ria de Vigo, Spain).</t>
  </si>
  <si>
    <t>Univ Vigo, Fac Ciencias Quim, Dept Quim Analit &amp; Alimentaria, E-36200 Vigo, Spain</t>
  </si>
  <si>
    <t>Bendicho, C (corresponding author), Univ Vigo, Fac Ciencias Quim, Dept Quim Analit &amp; Alimentaria, As Lagoas Marcosende S-N, E-36200 Vigo, Spain.</t>
  </si>
  <si>
    <t>Capelo, Jose/C-7334-2013; Bendicho, Carlos/AAT-5181-2020</t>
  </si>
  <si>
    <t>Bendicho, Carlos/0000-0002-8507-2104; Capelo Martinez, Jose Luis/0000-0001-6276-8507</t>
  </si>
  <si>
    <t>0937-0633</t>
  </si>
  <si>
    <t>FRESEN J ANAL CHEM</t>
  </si>
  <si>
    <t>Fresenius J. Anal. Chem.</t>
  </si>
  <si>
    <t>10.1007/s002160051189</t>
  </si>
  <si>
    <t>http://dx.doi.org/10.1007/s002160051189</t>
  </si>
  <si>
    <t>169CY</t>
  </si>
  <si>
    <t>WOS:000078731000014</t>
  </si>
  <si>
    <t>TALBOT, V</t>
  </si>
  <si>
    <t>SEASONAL-VARIATION OF COPPER AND ZINC CONCENTRATIONS IN THE OYSTER SACCOSTREA-CUCCULLATA FROM THE DAMPIER ARCHIPELAGO, WESTERN-AUSTRALIA - IMPLICATIONS FOR POLLUTION MONITORING</t>
  </si>
  <si>
    <t>The intertidal rock oyster Saccostrea cuccullata, sampled at eight sites on eight occasions over a 1-year period, contained mean Cu and Zn concentrations ranging between 34 and 267 and 206 and 4078 mg kg-1 dry weight, respectively. In the study area, Cu and Zn emanate from sewage and boat slips (antifouling paints), while Zn probably also originates from coolant water from an electricity power generating station and iron ore exporting facilities. Highest oyster wet weight, Cu and Zn concentrations and loads occurred in January (spawning period), indicating that metal variation was not reciprocating wet weight. Lowest metal concentrations and loads occurred in October (period of onset of gametogenesis), while lowest wet weight occurred in April (post-spawning period). No significant (P &lt; 0.001) variation in the wet to dry weight ratio was noted temporally. However, significant, though slight, variation was noted between polluted and unpolluted oysters. Results of this study indicate that pollution control monitoring programs should consider: (i) seasonal variation of metal concentrations; (ii) portion of the year during which standards are exceeded; (iii) oyster size and avilability for human consumption; (iv) suitability of standards where shellfish are not consumed as a staple diet; (v) appropriate size indicies which can be used for selecting specimens for intersite comparisons; (vi) wet to dry weight calculations: techniques, spatial and temporal variations; and (vii) the physical dynamics of sites used.</t>
  </si>
  <si>
    <t>DEPT CONSERVAT &amp; ENVIRONM, 1 MT ST, PERTH, WA 6000, AUSTRALIA.</t>
  </si>
  <si>
    <t>10.1016/0048-9697(86)90025-2</t>
  </si>
  <si>
    <t>http://dx.doi.org/10.1016/0048-9697(86)90025-2</t>
  </si>
  <si>
    <t>F1347</t>
  </si>
  <si>
    <t>WOS:A1986F134700023</t>
  </si>
  <si>
    <t>Sures, B</t>
  </si>
  <si>
    <t>Accumulation of heavy metals by intestinal helminths in fish: an overview and perspective</t>
  </si>
  <si>
    <t>parasites; acanthocephalans; cestodes; bioindicators; pollution</t>
  </si>
  <si>
    <t>ANGUILLICOLA-CRASSUS NEMATODA; CHUB LEUCISCUS-CEPHALUS; PERCH PERCA-FLUVIATILIS; POMPHORHYNCHUS-LAEVIS PALAEACANTHOCEPHALA; PARATENUISENTIS-AMBIGUUS ACANTHOCEPHALA; MUSSEL DREISSENA-POLYMORPHA; PLATINUM-GROUP ELEMENTS; LEAD ACCUMULATION; ZEBRA MUSSEL; MONILIFORMIS-MONILIFORMIS</t>
  </si>
  <si>
    <t>Intestinal helminths of fish are of increasing interest as potential bioindicators for heavy metal contamination in aquatic habitats. Among these parasites cestodes and acanthocephalans in particular have an enormous heavy metal accumulation capacity exceeding that of established free living sentinels. Metal concentrations several thousand times higher in acanthocephalans than in host tissues were described from field and laboratory studies. Whereas larval stages inside their intermediate hosts are not able to take up high quantities of metals, young worms begin to take up metals immediately after infection of the final host. After four to five weeks of exposure, the parasites reach a steady-state concentration orders of magnitude higher than the ambient water level. Thus, acanthocephalans are not only very effective in taking up metals, but they can also respond very rapidly to changes in environmental exposure. The mechanism which enable acanthocephalans to take up metals from the intestinal lumen of the host appears to be based on the presence of bile acids, which form organo-metallic complexes that are easily absorbed by the worms due to their lipophilicity. Investigations of the environmental conditions affecting metal uptake have shown that the parasites are more consistent and reliable indicators for metal pollution than the host tissues as metal levels of the latter are much more dependent on the water chemistry. Thus, after some years of research on the uptake of metals by acanthocephalans and on the factors affecting metal accumulation in intestinal parasites it should be asked if acanthocephalans meet the criteria commonly accepted for sentinels. If parasites can be considered as promising sentinels, we need reasons for the establishment of 'new' indicators. Therefore, this review summarises the present knowledge about parasites as bioindicators and compares the accumulation properties of parasites and established free living indicators. Finally, this review presents possible answers to the question why it could be advantageous to have new and even more sensitive indicators for environmental monitoring purposes.</t>
  </si>
  <si>
    <t>Univ Karlsruhe, Inst Zool, D-76128 Karlsruhe, Germany</t>
  </si>
  <si>
    <t>Univ Karlsruhe, Inst Zool, Geb 07-01,Kaiserstr 12, D-76128 Karlsruhe, Germany.</t>
  </si>
  <si>
    <t>S53</t>
  </si>
  <si>
    <t>S60</t>
  </si>
  <si>
    <t>10.1017/S003118200300372X</t>
  </si>
  <si>
    <t>http://dx.doi.org/10.1017/S003118200300372X</t>
  </si>
  <si>
    <t>WOS:000187344700005</t>
  </si>
  <si>
    <t>Lecoeur, S; Videmann, B; Berny, P</t>
  </si>
  <si>
    <t>Evaluation of metallothionein as a biomarker of single and combined Cd/Cu exposure in Dreissena polymorpha</t>
  </si>
  <si>
    <t>metallothionein; heavy metals; bioaccumulation; biomarker; zebra mussel</t>
  </si>
  <si>
    <t>CLAM RUDITAPES-DECUSSATUS; BINDING PROTEINS; CHRONIC ECOTOXICITY; NATURAL-POPULATION; CORBICULA-FLUMINEA; CADMIUM; METALS; ISOFORMS; TISSUES; COPPER</t>
  </si>
  <si>
    <t>The effects of metal mixture (Cd + Cu) versus single-metal exposure on total MT response and bioaccumulation were investigated in the freshwater bivalve Dreissena polymorpha. A two-month exposure period, including two levels of contamination, was chosen for each of the two metals: 5, 10 mug/L for Cu, and 2, 20 mug/L for Cd, with mixtures of, respectively, 5 mug/L Cu + 2 mug/L Cd, 5 mug/L Cu + 20 mug/L Cd, 10 mug/L Cu + 2 mug/L Cd, and 10 mug/L Cu + 20 mug/L Cd. Total MT contents were assessed by an Ag-saturation method, and metals con tents were determined by atomic absorption spectrometry. Results at the whole-organism level showed a significant and early increase of total MT biosynthesis after exposure to Cd. This increase was significantly correlated with Cd bioaccumulation. By contrast, Cu did not modify total MT response, and mussels limited Cu bioaccumulation. The mixture either did not influence or only weakly influenced metal accumulation and NIT response to Cu and Cd after long-term exposure. Our results suggest that the form of MT existing in D. polymorpha was not Cu-inducible. This could limit the use of MT in D. polymorpha as a biomarker of heavy metal pollution in freshwater ecosystems. (C) 2003 Elsevier Science (USA). All rights reserved.</t>
  </si>
  <si>
    <t>Ecole Natl Vet, INRA, DGER, UMR Metab &amp; Toxicol Campares Xenobiot, F-69280 Marcy Letoile, France</t>
  </si>
  <si>
    <t>VetAgro Sup; INRAE</t>
  </si>
  <si>
    <t>Ecole Natl Vet, INRA, DGER, UMR Metab &amp; Toxicol Campares Xenobiot, 1 Av Bourgetat,BP 83, F-69280 Marcy Letoile, France.</t>
  </si>
  <si>
    <t>s.lecoeur@vet-lyon.fr</t>
  </si>
  <si>
    <t>Berny, Philippe/C-6945-2019</t>
  </si>
  <si>
    <t>Berny, Philippe/0000-0001-5007-3820</t>
  </si>
  <si>
    <t>10.1016/S0013-9351(03)00069-0</t>
  </si>
  <si>
    <t>http://dx.doi.org/10.1016/S0013-9351(03)00069-0</t>
  </si>
  <si>
    <t>771ZE</t>
  </si>
  <si>
    <t>WOS:000188815300008</t>
  </si>
  <si>
    <t>Reinecke, AJ; Mdzeke, NP; Reinecke, SA</t>
  </si>
  <si>
    <t>Reinecke, A. J.; Mdzeke, N. P.; Reinecke, S. A.</t>
  </si>
  <si>
    <t>Spatial and temporal variation in cadmium body loads of four intertidal invertebrates from False Bay, South Africa</t>
  </si>
  <si>
    <t>Cd; invertebrate body burdens; marine pollution; seasonal variations</t>
  </si>
  <si>
    <t>PERIWINKLE LITTORINA-LITTOREA; TRACE-METAL CONCENTRATIONS; HEAVY-METALS; MYTILUS-EDULIS; SCHELDT ESTUARY; ACCUMULATION; POLLUTION; BIOACCUMULATION; BARNACLES; EXPOSURE</t>
  </si>
  <si>
    <t>Increasing urbanization and industrialization along the coastal areas of False Bay in South Africa can endanger coastal ecosystems because of increasing metal pollution. To obtain baseline data on contamination levels in the intertidal zone, cadmium (Cd) body loads of four invertebrate species were measured seasonally over a period of 15 months from different sites within the bay. Specimens of Tetrachta serrata (barnacle), Oxystele sinenses (periwinlde), Cymbula oculus (limpet) and Choromytilus meridionalis (mussel) were collected and analysed to determine temporal changes in Cd body burdens. Cd concentrations were also measured in water and sediments. Cd concentrations in the intertidal animals varied considerably between sampling sites and between seasons and also occasionally between species. All four species accumulated Cd in their bodies to levels several times higher than environmental concentrations. No significant difference could be shown between the Cd concentrations in the gastropod grazers and the filter-feeders. The highest mean body load of Cd (70.67 mu g/g dry weight) for a single sampling occasion was measured in the sessile barnacles (T serrata) collected at Rooi-Els. The highest mean Cd concentration (11.95 mu g/g) for the bay as a whole was measured in the limpet C. oculus. Two-way analysis of variance indicated that spatial (location) rather than temporal (seasonal) factors affected Cd concentrations in the invertebrates. Cd concentrations in False Bay sometimes exceeded the norms or water quality standards.</t>
  </si>
  <si>
    <t>[Reinecke, A. J.; Mdzeke, N. P.; Reinecke, S. A.] Univ Stellenbosch, Dept Bot &amp; Zool, ZA-7600 Stellenbosch, South Africa</t>
  </si>
  <si>
    <t>Stellenbosch University</t>
  </si>
  <si>
    <t>Reinecke, AJ (corresponding author), Univ Stellenbosch, Dept Bot &amp; Zool, Private Bag X1, ZA-7600 Stellenbosch, South Africa.</t>
  </si>
  <si>
    <t>ajr@sun.ac.za</t>
  </si>
  <si>
    <t>This study was made possible by a grant from the National Research Foundation to the principal author. Any opinions, findings and conclusions or recommendations expressed in this material are those of the authors. This paper is dedicated to our co-author, the late Naomi R Mdzeke, who passed away in March 2011 before it was completed. We thank V Wepener for valuable comments on the manuscript.</t>
  </si>
  <si>
    <t>ZOOLOGICAL SOC SOUTHERN AFRICA</t>
  </si>
  <si>
    <t>SCOTTSVILLE</t>
  </si>
  <si>
    <t>AFRICAN ZOOLOGY CIRCULATION OFFICE, UNIV KWAZULU-NATAL, SCHOOL BIOL &amp; CONSERVATION SCI, P B X01, SCOTTSVILLE 3209, SOUTH AFRICA</t>
  </si>
  <si>
    <t>10.3377/004.047.0121</t>
  </si>
  <si>
    <t>http://dx.doi.org/10.3377/004.047.0121</t>
  </si>
  <si>
    <t>005TV</t>
  </si>
  <si>
    <t>WOS:000308773900002</t>
  </si>
  <si>
    <t>Zhou, W; Li, GJ; Wang, LY; Chen, ZF; Lin, YL</t>
  </si>
  <si>
    <t>Zhou, Wei; Li, Guangji; Wang, Liying; Chen, Zhifeng; Lin, Yinlei</t>
  </si>
  <si>
    <t>A facile method for the fabrication of a superhydrophobic polydopamine-coated copper foam for oil/water separation</t>
  </si>
  <si>
    <t>Oil/water separation; Copper foam; Polydopamine; Superhydrophobicity</t>
  </si>
  <si>
    <t>OIL-WATER SEPARATION; BUTTERFLY WINGS; EFFICIENT OIL; STEEL SURFACE; SPILL; CHEMISTRY; PURIFICATION; WETTABILITY; OPERATIONS; ADHESIVE</t>
  </si>
  <si>
    <t>A simple dip-coating method was explored to construct hierarchical structures on a 3D copper foam (CF) surface by combining the intrinsic properties of mussel-inspired polydopamine (PDA) and a 3D metal structure. The CF substrate was sequentially modified with PDA and Ag nanoparticles (NPs) and then coupled with n-dodecyl mercaptan (NDM) to create a durable superhydrophobic CF for oil/water separation. The morphology, chemical composition and wettability of the fabricated modified CF surface were characterized. The modified CF surface possesses an increased roughness and exhibits superhydrophobicity, with water contact angle values greater than 150 degrees. The PDA coating on the CF surface can reduce silver ions and anchor the formed NPs onto the surface to construct the hierarchical structure of the superhydrophobic CF. Furthermore, the oil/water separation properties were also investigated. The modified CF can separate a series of oil/water mixtures with a high efficiency and relatively high intrusion pressure. More importantly, the modified CF retains its high efficiency after 30 repeated uses (more than 98% for a dodecane/water mixture), exhibiting excellent durability. The mechanism of oil/water separation is also discussed. The results of this study indicate that the modified CF can serve as a promising candidate for the large-scale separation of oily pollutants from water. (C) 2017 Elsevier B.V. All rights reserved.</t>
  </si>
  <si>
    <t>[Zhou, Wei; Li, Guangji; Wang, Liying; Chen, Zhifeng; Lin, Yinlei] South China Univ Technol, Sch Mat Sci &amp; Engn, Guangzhou 510640, Guangdong, Peoples R China</t>
  </si>
  <si>
    <t>South China University of Technology</t>
  </si>
  <si>
    <t>Li, GJ; Lin, YL (corresponding author), South China Univ Technol, Sch Mat Sci &amp; Engn, Guangzhou 510640, Guangdong, Peoples R China.</t>
  </si>
  <si>
    <t>gjli@scut.edu.cn; djyllin@126.com</t>
  </si>
  <si>
    <t>Chen, Zhifeng/ABG-9762-2021</t>
  </si>
  <si>
    <t>Natural Science Foundation of Guangdong Province, China [2014A030313246]; Science and Technology Planning Project of Guangdong Province, China [2016A010103005]</t>
  </si>
  <si>
    <t>Natural Science Foundation of Guangdong Province, China(National Natural Science Foundation of Guangdong Province); Science and Technology Planning Project of Guangdong Province, China</t>
  </si>
  <si>
    <t>This work was supported by the Natural Science Foundation of Guangdong Province, China (Grant No. 2014A030313246) and Science and Technology Planning Project of Guangdong Province, China (Grant No. 2016A010103005).</t>
  </si>
  <si>
    <t>10.1016/j.apsusc.2017.04.004</t>
  </si>
  <si>
    <t>http://dx.doi.org/10.1016/j.apsusc.2017.04.004</t>
  </si>
  <si>
    <t>EV3SU</t>
  </si>
  <si>
    <t>WOS:000401680200018</t>
  </si>
  <si>
    <t>Liu, QQ; Wang, FF; Meng, FP; Jiang, L; Li, GJ; Zhou, RG</t>
  </si>
  <si>
    <t>Liu, Qunqun; Wang, Feifei; Meng, Fanping; Jiang, Lei; Li, Guangjing; Zhou, Rongguang</t>
  </si>
  <si>
    <t>Assessment of metal contamination in estuarine surface sediments from Dongying City, China: Use of a modified ecological risk index</t>
  </si>
  <si>
    <t>Ecological risk assessment; Heavy metals; Sediments; Geochemical speciation; Biomarkers</t>
  </si>
  <si>
    <t>SEQUENTIAL EXTRACTION PROCEDURE; SW IBERIAN PENINSULA; HEAVY-METALS; SPATIAL-DISTRIBUTION; RIVER ESTUARY; TRACE-METALS; POLLUTION ASSESSMENT; ENVIRONMENTAL RISK; COASTAL SEDIMENTS; BOHAI SEA</t>
  </si>
  <si>
    <t>Surface sediments and clam Meretrix meretrix were collected from a northern estuarine region in Dongying City, China. Sediments were analysed for heavy metals (Hg, As, Cd, Cr, Cu, Pb, and Zn) and the clams were tested for metallothioneins (MTs) and lysosomal membrane stability (LMS). The heavy metal total concentrations decreased in the order of Cr &gt; Zn &gt; Cu &gt; Pb &gt; As &gt; Cd &gt; Hg. The results of Bureau Communautaire de Reference (BCR) sequential extraction of heavy metals showed that the geochemical speciation of all heavy metals was dominated by residual fraction. According to the responses of biomarkers in M. meretrix, the modified potential ecological risk index (PERI-B) can more accurately reflect heavy metals pollution. PERI-B showed all sediment samples have low or moderate risk, except at site S10 (considerable risk), and the main contribution of ecological risk heavy metals were Cd and Hg.</t>
  </si>
  <si>
    <t>[Liu, Qunqun; Wang, Feifei; Meng, Fanping] Ocean Univ China, Coll Environm Sci &amp; Engn, Qingdao 266100, Peoples R China; [Liu, Qunqun; Wang, Feifei; Meng, Fanping] Minist Educ, Key Lab Marine Environm &amp; Ecol, Qingdao 266100, Peoples R China; [Jiang, Lei; Li, Guangjing; Zhou, Rongguang] Dongying Marine &amp; Fishery Environm Monitoring Ctr, Dongying 257091, Peoples R China</t>
  </si>
  <si>
    <t>Meng, FP (corresponding author), Minist Educ, Key Lab Marine Environm &amp; Ecol, Qingdao 266100, Peoples R China.</t>
  </si>
  <si>
    <t>mengfanping@ouc.edu.cn</t>
  </si>
  <si>
    <t>National Natural Science Foundation of China [41240040]; Shandong Marine Resource and Environment Research Institute</t>
  </si>
  <si>
    <t>National Natural Science Foundation of China(National Natural Science Foundation of China (NSFC)); Shandong Marine Resource and Environment Research Institute</t>
  </si>
  <si>
    <t>The project was supported by the National Natural Science Foundation of China (Grant No. 41240040). The Shandong Marine Resource and Environment Research Institute was also thanked for its generous financial support.</t>
  </si>
  <si>
    <t>10.1016/j.marpolbul.2017.11.017</t>
  </si>
  <si>
    <t>http://dx.doi.org/10.1016/j.marpolbul.2017.11.017</t>
  </si>
  <si>
    <t>WOS:000425569400035</t>
  </si>
  <si>
    <t>Xie, YL; Huang, Q; Liu, MY; Wang, K; Wan, Q; Deng, FJ; Lu, L; Zhang, XY; Wei, Y</t>
  </si>
  <si>
    <t>Xie, Yili; Huang, Qiang; Liu, Meiying; Wang, Ke; Wan, Qing; Deng, Fengjie; Lu, Long; Zhang, Xiaoyong; Wei, Yen</t>
  </si>
  <si>
    <t>Mussel inspired functionalization of carbon nanotubes for heavy metal ion removal</t>
  </si>
  <si>
    <t>RSC ADVANCES</t>
  </si>
  <si>
    <t>MICHAEL ADDITION-REACTION; SURFACE MODIFICATION; POLYDOPAMINE-LAYER; AQUEOUS-SOLUTIONS; CHEMISTRY; ADSORPTION; WATER; ADSORBENTS; CU2+; BIOCOMPATIBILITY</t>
  </si>
  <si>
    <t>Carbon nanotubes (CNTs) have been widely used as adsorbents to remove various environmental pollutants because of their unique one dimensional structure, large surface areas and amount of micropores. However, the adsorption capacity of unmodified CNTs toward heavy metal ions is still limited due to their poor dispersibility and lack of functional groups. In this work, a novel strategy has been developed to prepare polyethylenimine functionalized CNTs via the combination of mussel inspired chemistry and the Michael addition reaction. The successful preparation of CNTs with amine groups was confirmed by a series of characterization measurements such as transmission electron microscopy, Fourier transform infrared spectroscopy, and thermal gravimetric analysis. Furthermore, the adsorption application of these amine functionalized CNTs toward Cu2+ was also examined. The effects of various factors including contact time, pH values, temperature and initial Cu2+ concentrations on the adsorption capability of the amine functionalized CNTs were also investigated. Langmuir and Freundlich models were used for thermomechanical analysis. The pseudo-first-order, pseudo-second-order and intra-particle diffusion models were used for the kinetics analysis. The results demonstrated that CNTs can be successfully functionalized with amine groups through a rather facile and mild bioinspired strategy. These amine functionalized CNTs exhibited a much enhanced adsorption efficiency toward Cu2+. Given the strong and versatile adhesion of PDA to various materials, the bioinspired strategy described in this work could also be utilized for the fabrication of many other nanocomposites for environmental applications.</t>
  </si>
  <si>
    <t>[Xie, Yili; Lu, Long] Nanchang Univ, Dept Environm &amp; Chem Engn, Nanchang 330031, Peoples R China; [Huang, Qiang; Liu, Meiying; Wan, Qing; Deng, Fengjie; Zhang, Xiaoyong] Nanchang Univ, Dept Chem, Nanchang 330031, Peoples R China; [Huang, Qiang; Liu, Meiying; Wan, Qing; Deng, Fengjie; Zhang, Xiaoyong] Nanchang Univ, Jiangxi Prov Key Lab New Energy Chem, Nanchang 330031, Peoples R China; [Wang, Ke; Wei, Yen] Tsinghua Univ, Dept Chem, Beijing 100084, Peoples R China; [Wang, Ke; Wei, Yen] Tsinghua Univ, Tsinghua Ctr Frontier Polymer Res, Beijing 100084, Peoples R China</t>
  </si>
  <si>
    <t>Nanchang University; Nanchang University; Nanchang University; Tsinghua University; Tsinghua University</t>
  </si>
  <si>
    <t>Lu, L (corresponding author), Nanchang Univ, Dept Environm &amp; Chem Engn, 999 Xuefu Ave, Nanchang 330031, Peoples R China.</t>
  </si>
  <si>
    <t>lulong@ncu.edu.cn; xiaoyongzhang1980@gmail.com; weiyen@tsinghua.edu.cn</t>
  </si>
  <si>
    <t>zhang, xiaoyong/D-9539-2011; Wei, Yen/H-5329-2012; liu, meiying/H-7762-2013; Qiang, Huang/F-6265-2015</t>
  </si>
  <si>
    <t>Qiang, Huang/0000-0003-4992-5613</t>
  </si>
  <si>
    <t>National Science Foundation of China [21134004, 21201108, 51363016, 21474057]; National 973 Project [2011CB935700]</t>
  </si>
  <si>
    <t>National Science Foundation of China(National Natural Science Foundation of China (NSFC)); National 973 Project(National Basic Research Program of China)</t>
  </si>
  <si>
    <t>This research was supported by the National Science Foundation of China (No. 21134004, 21201108, 51363016, 21474057), and the National 973 Project (No. 2011CB935700).</t>
  </si>
  <si>
    <t>THOMAS GRAHAM HOUSE, SCIENCE PARK, MILTON RD, CAMBRIDGE CB4 0WF, CAMBS, ENGLAND</t>
  </si>
  <si>
    <t>2046-2069</t>
  </si>
  <si>
    <t>RSC ADV</t>
  </si>
  <si>
    <t>RSC Adv.</t>
  </si>
  <si>
    <t>10.1039/c5ra08908e</t>
  </si>
  <si>
    <t>http://dx.doi.org/10.1039/c5ra08908e</t>
  </si>
  <si>
    <t>CP0MC</t>
  </si>
  <si>
    <t>WOS:000359568400024</t>
  </si>
  <si>
    <t>Maar, M; Larsen, MM; Torring, D; Petersen, JK</t>
  </si>
  <si>
    <t>Maar, Marie; Larsen, Martin Mork; Torring, Ditte; Petersen, Jens Kjerulf</t>
  </si>
  <si>
    <t>Bioaccumulation of metals (Cd, Cu, Ni, Pb and Zn) in suspended cultures of blue mussels exposed to different environmental conditions</t>
  </si>
  <si>
    <t>Model-bioaccumulation; Metals; Aquaculture; Benthic mussels; EU Water Framework Directive; Climate change; Limfjorden</t>
  </si>
  <si>
    <t>MYTILUS-EDULIS; ASSIMILATION EFFICIENCIES; WATER FRAMEWORK; DEB PARAMETERS; TRACE-ELEMENTS; THIN-FILMS; MARINE; ACCUMULATION; TEMPERATURE; POLLUTION</t>
  </si>
  <si>
    <t>Farming of suspended mussels is important for generating high protein food and animal feed or for removing nutrients in eutrophic systems. However, the harvested mussels must not be severely contaminated by pollutants posing a potential health risk for the consumers. The present study estimated the bioaccumulation of cadmium, copper, nickel, lead and zinc in suspended blue mussels (Mytilus edulis L) in the Limfjorden, Denmark, based on observations and modelling. Modelling was used to assess the suitability of suspended blue mussels as animal feed and food products at sea water metal concentrations corresponding to Good Ecological Status (GES) in the European Union Water Framework Directive (WFD) and in future climate change scenarios (higher metal concentrations and higher temperatures). For this purpose, GES is interpreted as good chemical status for the metals using the Environmental Quality Standards (EQS) defined in the WFD priority substance daughter directives. Observations showed that suspended mussels were healthy with respect to metal pollution and generally less polluted than benthic mussels due to the smaller contact with the contaminated sediment. The model results showed that the WFD targets for Cd, Ni and Pb are not protective with respect to marine mussel production and probably should be reduced for marine waters. Climate changes may increase the metal contamination of mussels, but not to any critical level at the relatively unpolluted study sites. In conclusion, WFD targets should be revised to assure that the corresponding body burdens of metals in mussels are below the safety limits according to the EU Directives and the Norwegian classification for animal feed and food production. (C) 2015 Elsevier Ltd. All rights reserved.</t>
  </si>
  <si>
    <t>[Maar, Marie; Larsen, Martin Mork] Aarhus Univ, Dept Biosci, Frederiksborgvej 399,POB 358, DK-4000 Roskilde, Denmark; [Torring, Ditte; Petersen, Jens Kjerulf] DTU Aqua, Danish Shellfish Ctr, Oroddevej 80, DK-7900 Nykobing, Denmark; [Torring, Ditte] Vand Naturressourcer Aarhus, Orbicon A S,Jens Juuls Vej 16, DK-8260 Viby, Denmark</t>
  </si>
  <si>
    <t>Aarhus University; Technical University of Denmark</t>
  </si>
  <si>
    <t>Maar, M (corresponding author), Aarhus Univ, Dept Biosci, Frederiksborgvej 399,POB 358, DK-4000 Roskilde, Denmark.</t>
  </si>
  <si>
    <t>mam@bios.au.dk; mml@bios.au.dk; ditt@orbicon.dk; jkp@skaldyrcenter.dk</t>
  </si>
  <si>
    <t>Larsen, Martin/AAY-4024-2021; Maar, Marie/C-5837-2008</t>
  </si>
  <si>
    <t>Larsen, Martin M/0000-0003-4331-8548; Maar, Marie/0000-0001-8594-2993; Petersen, Jens Kjerulf/0000-0002-6412-7022</t>
  </si>
  <si>
    <t>Danish Council for Strategic Research (Mumihus, Production of mussels -mitigation and feed for husbandry) [09-066983]; EU (Vectors of Change in Oceans and Seas, Marine Life, Impact and Economic Sectors) [266445]</t>
  </si>
  <si>
    <t>Danish Council for Strategic Research (Mumihus, Production of mussels -mitigation and feed for husbandry); EU (Vectors of Change in Oceans and Seas, Marine Life, Impact and Economic Sectors)</t>
  </si>
  <si>
    <t>This study was supported by The Danish Council for Strategic Research (Mumihus, Production of mussels -mitigation and feed for husbandry, Grant no. 09-066983) and by the EU (Vectors of Change in Oceans and Seas, Marine Life, Impact and Economic Sectors, FP7-Ocean-2010, Grant Agreement no. 266445). We thank the two anonymous referees for constructive comments on the manuscript and Charlotte E. Kler for improving the style of the manuscript.</t>
  </si>
  <si>
    <t>10.1016/j.ecss.2015.10.010</t>
  </si>
  <si>
    <t>http://dx.doi.org/10.1016/j.ecss.2015.10.010</t>
  </si>
  <si>
    <t>FY9TP</t>
  </si>
  <si>
    <t>WOS:000427210100019</t>
  </si>
  <si>
    <t>Daka, ER; Allen, JR; Hawkins, SJ</t>
  </si>
  <si>
    <t>Heavy metal contamination in sediment and biomonitors from sites around the Isle of Man</t>
  </si>
  <si>
    <t>heavy metals; sediments; mussels; algae; Isle of Man</t>
  </si>
  <si>
    <t>TRACE-METALS; BIOAVAILABILITY; ESTUARIES</t>
  </si>
  <si>
    <t>Univ Liverpool, Port Erin Marine Lab, Port Erin IM9 6JA, Man, England; Univ Southampton, Sch Biol Sci, Biodivers &amp; Ecol Div, Southampton SO17 1BJ, Hants, England</t>
  </si>
  <si>
    <t>University of Liverpool; University of Southampton</t>
  </si>
  <si>
    <t>Rivers State Univ Sci &amp; Technol, Dept Biol Sci, PMB 5080, Port Harcourt, Nigeria.</t>
  </si>
  <si>
    <t>eremadaka@yahoo.com</t>
  </si>
  <si>
    <t>Daka, Erema/AIC-7546-2022</t>
  </si>
  <si>
    <t>Daka, Erema/0000-0002-6433-3096</t>
  </si>
  <si>
    <t>10.1016/S0025-326X(03)00096-1</t>
  </si>
  <si>
    <t>http://dx.doi.org/10.1016/S0025-326X(03)00096-1</t>
  </si>
  <si>
    <t>694AA</t>
  </si>
  <si>
    <t>WOS:000183749500023</t>
  </si>
  <si>
    <t>Caza, F; Betoulle, S; Auffret, M; Brousseau, P; Fournier, M; St-Pierre, Y</t>
  </si>
  <si>
    <t>Caza, France; Betoulle, Stephane; Auffret, Michel; Brousseau, Pauline; Fournier, Michel; St-Pierre, Yves</t>
  </si>
  <si>
    <t>Comparative analysis of hemocyte properties from Mytilus edulis desolationis and Aulacomya ater in the Kerguelen Islands</t>
  </si>
  <si>
    <t>Hemocytes; Kerguelen; Phagocytosis; Apoptosis; Cadmium; Flow cytometry</t>
  </si>
  <si>
    <t>CADMIUM INDUCES APOPTOSIS; FLOW-CYTOMETRIC ANALYSIS; MUSSELS GENUS MYTILUS; CLAM MYA-ARENARIA; IN-VITRO EXPOSURE; THERMAL-STRESS; HEAVY-METALS; BLUE MUSSELS; MARINE MUSSEL; TEMPERATURE</t>
  </si>
  <si>
    <t>The capability of bivalve molluscs to respond to environmental stresses largely depends upon their cellular immunity. Accordingly, shift in habitat conditions following thermal stress or exposure to pollutants may harm sensitive species differently, thereby modulating the biodiversity of a given ecosystem by favoring stress-tolerant species. Here, we have compared the sensitivity of hemocytes from Mytilus edulis desolationis (M. edulis desolationis) and Aulacomya ater (A. ater) to acute thermal stress and exposure to cadmium. The two subantarctic species are commonly found in the same habitat in the isolated Kerguelen archipelago. Our results showed that the phagocytic activity and viability of hemocytes from both species were equally sensitive to increasing concentrations of cadmium. However, although in vitro exposure to cadmium induced apoptosis in hemocytes of M. edulis desolationis and A. ater, flow cytometric analyses showed that the apoptotic profile of both species differed greatly when using Annexin V and YO-PRO-1 as apoptotic markers. We also found that the total hemocyte counts decreased strongly in A. ater but not in M. edulis desolationis following an acute thermal stress. Taken together, these results showed that stress responses differed significantly in hemocytes from both species. This suggests that the co-existence of both species may be at risk following exposure to pollutants and/or changes in temperature. (C) 2015 Elsevier Ltd. All rights reserved.</t>
  </si>
  <si>
    <t>[Caza, France; Brousseau, Pauline; Fournier, Michel; St-Pierre, Yves] INRS Inst Armand Frappier, Laval, PQ H7V 1B7, Canada; [Betoulle, Stephane] Univ Reims, UMR I SEBIO Stress Environm &amp; Biosurveillance Mil, F-51687 Reims, France; [Auffret, Michel] UMR CNRS 6539 LEMAR, Lab Sci Environm Marin, F-29280 Plouzane, France</t>
  </si>
  <si>
    <t>University of Quebec; Institut national de la recherche scientifique (INRS); Universite de Reims Champagne-Ardenne; Centre National de la Recherche Scientifique (CNRS); Ifremer; Institut de Recherche pour le Developpement (IRD)</t>
  </si>
  <si>
    <t>St-Pierre, Y (corresponding author), INRS Inst Armand Frappier, 531 Boul Prairies, Laval, PQ H7V 1B7, Canada.</t>
  </si>
  <si>
    <t>yves.st-pierre@iaf.inrs.ca</t>
  </si>
  <si>
    <t>Caza, France/0000-0002-4087-6790; St-Pierre, Yves/0000-0002-1948-2041</t>
  </si>
  <si>
    <t>National Science and Engineering Council of Canada (NSERC) STPGP [430539]; Agence Nationale de la Recherche (ANR); French Polar Institute Paul Emile Victor (IPEV) [409 IMMUNOTOXKER]; Terres Australes et Antarctiques Francaises (TAAF)</t>
  </si>
  <si>
    <t>National Science and Engineering Council of Canada (NSERC) STPGP; Agence Nationale de la Recherche (ANR)(Agence Nationale de la Recherche (ANR)); French Polar Institute Paul Emile Victor (IPEV); Terres Australes et Antarctiques Francaises (TAAF)</t>
  </si>
  <si>
    <t>Supported by the National Science and Engineering Council of Canada (NSERC) STPGP 430539, the Agence Nationale de la Recherche (ANR), the French Polar Institute Paul Emile Victor (IPEV, Project No 409 IMMUNOTOXKER), and the Terres Australes et Antarctiques Francaises (TAAF).</t>
  </si>
  <si>
    <t>10.1016/j.marenvres.2015.09.003</t>
  </si>
  <si>
    <t>http://dx.doi.org/10.1016/j.marenvres.2015.09.003</t>
  </si>
  <si>
    <t>CS7ZE</t>
  </si>
  <si>
    <t>WOS:000362304700019</t>
  </si>
  <si>
    <t>Doe, K; Mroz, R; Tay, KL; Burley, J; Teh, S; Chen, S</t>
  </si>
  <si>
    <t>Doe, K.; Mroz, R.; Tay, K. -L; Burley, J.; Teh, S.; Chen, S.</t>
  </si>
  <si>
    <t>Biological effects of gold mine tailings on the intertidal marine environment in Nova Scotia, Canada</t>
  </si>
  <si>
    <t>Biological effects; Gold mine tailings; Arsenic; Mercury; Molluscs; Bioaccumulation</t>
  </si>
  <si>
    <t>MUSSELS MYTILUS-EDULIS; ARSENIC SPECIATION; HEAVY-METALS; BIVALVES; BIOACCUMULATION; ACCUMULATION; POLLUTION; CONTAMINATION; SEDIMENTS; BAY</t>
  </si>
  <si>
    <t>From 1861 to the 1940s, gold was produced from 64 mining districts in Nova Scotia, where mercury amalgamation was the dominant method for the extraction of gold from ore until the 1880s. As a result, wastes (tailings) from the milling process were contaminated by mercury and were high in naturally occurring arsenic. In 2004 and 2005, sediments, water and mollusc tissues were collected from 29 sampling, stations at nine former gold mining areas along the Atlantic coastline and were analysed for arsenic and mercury. The resulting data were compared with environmental quality guidelines. Samples indicated high potential risk of adverse effects in the intertidal environments of Seal Harbour, Wine Harbour and Harrigan Cove. Arsenic in Seal Harbour was bio-available, resulting in high concentrations of arsenic in soft-shell clam tissues. Mercury concentrations in tissues were below guidelines. This paper presents results of the sampling programs and implications of these findings. Crown Copyright (C) 2016 Published by Elsevier Ltd. All rights reserved.</t>
  </si>
  <si>
    <t>[Doe, K.] Environm &amp; Climate Change Canada, Mt Uniacke, NS, Canada; [Mroz, R.; Tay, K. -L; Burley, J.] Environm &amp; Climate Change Canada, 45 Alderney Dr, Dartmouth, NS B2Y 2N6, Canada; [Teh, S.] Univ Calif Davis, Anat Physiol &amp; Cell Biol, One Shields Ave,1321 Haring Hall, Davis, CA 95616 USA; [Chen, S.] Canadian Food Inspect Agcy, Dartmouth Lab, 1992 Agcy Dr,POB 1060, Dartmouth, NS B2Y 3Z7, Canada</t>
  </si>
  <si>
    <t>Environment &amp; Climate Change Canada; Environment &amp; Climate Change Canada; University of California System; University of California Davis; Canadian Food Inspection Agency</t>
  </si>
  <si>
    <t>Mroz, R (corresponding author), Environm &amp; Climate Change Canada, 45 Alderney Dr, Dartmouth, NS B2Y 2N6, Canada.</t>
  </si>
  <si>
    <t>kenneth.g.doe@gmail.com; rita.mroz@canada.ca; taykokleng@eastlink.ca; jennifer.burley@canada.ca; sjteh@ucdavis.edu; chenss@inspection.gc.ca</t>
  </si>
  <si>
    <t>10.1016/j.marpolbul.2016.08.056</t>
  </si>
  <si>
    <t>http://dx.doi.org/10.1016/j.marpolbul.2016.08.056</t>
  </si>
  <si>
    <t>EI8PE</t>
  </si>
  <si>
    <t>WOS:000392768900021</t>
  </si>
  <si>
    <t>Dimitriadis, VK; Papadaki, M</t>
  </si>
  <si>
    <t>Field application of autometallography and X-ray microanalysis using the digestive gland of the common mussel</t>
  </si>
  <si>
    <t>heavy metals; autometallography; X-ray microanalysis; digestive gland; mussel; Mytilus galloprovincialis</t>
  </si>
  <si>
    <t>MYTILUS-GALLOPROVINCIALIS L.; LITTORINA-LITTOREA; ULTRASTRUCTURAL-LOCALIZATION; SILVER AMPLIFICATION; ARION-ATER; CADMIUM; MERCURY; METALS; COPPER; TISSUE</t>
  </si>
  <si>
    <t>The histological and ultrastructural localization of heavy metals in the digestive gland of the mussel, Mytilus galloprovincialis, was evaluated using autometallography and X-ray microanalysis on epoxy resin sections. Mussels were collected from two populations along Thermaikos gulf (port of Thessaloniki and Halastra) and one population in Strymonikos Gulf (Olympiada). With the use of autometallography, the light and electron microscopic observations indicated that in the digestive gland, the metals are localized in lysosomal structures, such as heterolysosomes and the residual bodies of digestive cells. Through both techniques, mussels collected from the port of Thessaloniki displayed concentrations of metals higher than those recorded in mussels from Halastra and Olympiada. This fact is consistent with other reports indicating a similar distribution of metals in Thermaikos Gulf and Strymonikos Gulf. The results of the study support the use of both techniques, autometallography and X-ray microanalysis, as a suite of stress indices for pollution biomonitoring studies. (C) 2003 Elsevier Inc. All rights reserved.</t>
  </si>
  <si>
    <t>Aristotle Univ, Sch Biol, Dept Genet Dev &amp; Mol Biol, Thessaloniki 54124, Greece</t>
  </si>
  <si>
    <t>Aristotle University of Thessaloniki</t>
  </si>
  <si>
    <t>Aristotle Univ, Sch Biol, Dept Genet Dev &amp; Mol Biol, Thessaloniki 54124, Greece.</t>
  </si>
  <si>
    <t>vdimitr@bio.auth.gr</t>
  </si>
  <si>
    <t>Papadaki, Maria/AAP-4864-2020</t>
  </si>
  <si>
    <t>Papadaki, Maria/0000-0002-7878-8868</t>
  </si>
  <si>
    <t>10.1016/j.ecoenv.2003.11.005</t>
  </si>
  <si>
    <t>http://dx.doi.org/10.1016/j.ecoenv.2003.11.005</t>
  </si>
  <si>
    <t>842DW</t>
  </si>
  <si>
    <t>WOS:000222984400005</t>
  </si>
  <si>
    <t>Visciano, P; Scortichini, G; Suzzi, G; Diletti, G; Schirone, M; Martino, G</t>
  </si>
  <si>
    <t>Visciano, Pierina; Scortichini, Giampiero; Suzzi, Giovanna; Diletti, Gianfranco; Schirone, Maria; Martino, Giuseppe</t>
  </si>
  <si>
    <t>Concentrations of Contaminants with Regulatory Limits in Samples of Clam (Chamelea gallina) Collected along the Abruzzi Region Coast in Central Italy</t>
  </si>
  <si>
    <t>HEAVY-METALS; PCBS; MUSSELS; SEA; HYDROCARBONS; SEDIMENTS; RESPONSES; SEAWATER; DIOXINS; PCDDS</t>
  </si>
  <si>
    <t>Concentrations of pollutants with regulatory limits were determined in specimens of Chamelea gallina, a species of clam collected along the Abruzzi coastal region of the central Adriatic Sea. Nine sampling sites were selected to evaluate the distribution of contaminants in the environment and the health risk for consumers. The concentrations of all the examined compounds were lower than the maximums set by European legislation. Polycyclic aromatic hydrocarbons and total mercury were below the detection limit (0.18 mu g/kg for benzo[a]anthracene, 0.30 mu g/kg for chrysene, 0.12 mu g/kg for benzo[b]fluoranthene, 0.08 mu g/kg for benzo[a]pyrene, and 0.0050 mg/kg for total mercury) in all the analyzed samples. Mean concentrations of lead and cadmium were 0.104 and 0.110 mg/kg, respectively. Of the non-dioxin-like polychlorinated biphenyls, PCB-153, PCB-180, and PCB-138 were the most abundant at all sampling sites (1a to 9a) at 0.25 mi (ca. 0.4 km) and at some sampling sites (1b, 2b, 3b, 5b and 7b) at 0.35 mi (ca. 0.56 km). Principal component analysis revealed that the concentrations of dioxin- like polychlorinated biphenyls were similar at the majority of sampling sites, and O8CDD and 2,3,7,8- T4CDF were the predominant dioxin congeners.</t>
  </si>
  <si>
    <t>[Visciano, Pierina; Suzzi, Giovanna; Schirone, Maria; Martino, Giuseppe] Univ Teramo, Fac BioSci &amp; Technol Food Agr &amp; Environm, Mosciano Sant Angelo, Italy; [Scortichini, Giampiero; Diletti, Gianfranco] Ist Zooprofilatt Sperimentale Abruzzo &amp; Molise G, Teramo, Italy</t>
  </si>
  <si>
    <t>University of Teramo; IZS Dell'abruzzo E Del Molise Giuseppe Caporale</t>
  </si>
  <si>
    <t>Schirone, M (corresponding author), Univ Teramo, Fac BioSci &amp; Technol Food Agr &amp; Environm, Mosciano Sant Angelo, Italy.</t>
  </si>
  <si>
    <t>mschirone@unite.it</t>
  </si>
  <si>
    <t>; martino, Giuseppe/T-5579-2018; Diletti, Gianfranco/E-9553-2016; Scortichini, Giampiero/I-2539-2018</t>
  </si>
  <si>
    <t>SCHIRONE, MARIA/0000-0002-0999-1854; martino, Giuseppe/0000-0002-7878-9318; Diletti, Gianfranco/0000-0002-0745-9389; Scortichini, Giampiero/0000-0003-0591-8649</t>
  </si>
  <si>
    <t>project F.E.P. - Italian Abruzzi region [01/POI/13, DH 32/24]</t>
  </si>
  <si>
    <t>project F.E.P. - Italian Abruzzi region</t>
  </si>
  <si>
    <t>This work is part of project F.E.P. 01/POI/13 (Studio di soluzioni per contrastare la flessione produttiva di vongole [Chamelea gallina] del Compartimento Marittimo di Ortona) financed by the Italian Abruzzi region with determination DH 32/24 of 5 April 2013. The authors thank Francesca Marchegiani, Francesco Chiumiento, and Lisa Grotta for their technical support.</t>
  </si>
  <si>
    <t>10.4315/0362-028X.JFP-15-082</t>
  </si>
  <si>
    <t>http://dx.doi.org/10.4315/0362-028X.JFP-15-082</t>
  </si>
  <si>
    <t>CR2JE</t>
  </si>
  <si>
    <t>WOS:000361154300012</t>
  </si>
  <si>
    <t>Nguyen, HL; Leermakers, M; Osán, J; Török, S; Baeyens, W</t>
  </si>
  <si>
    <t>Heavy metals in Lake Balaton:: water column, suspended matter, sediment and biota</t>
  </si>
  <si>
    <t>heavy metals; rainwater; dissolved phase; suspended particulate matter; zooplankton; sediment; Lake Balaton</t>
  </si>
  <si>
    <t>PLASMA-MASS SPECTROMETRY; TRACE-METALS; SCHELDT ESTUARY; BIOGEOCHEMICAL BEHAVIOR; POLLUTION SOURCES; ELEMENTS; MUSSELS; CONTAMINATION; ACCUMULATION; EXTRACTION</t>
  </si>
  <si>
    <t>During the period 1999-2002, five sampling cruises have been carried out on Lake Balaton to assess trace metal distribution in the lake and to identify major sources. Eighteen elements, including Cr, Co, Ni, Cu, Zn, Cd, Pb (trace metals) and Al, Ba, Ca, Fe, K, Mg, Mn, Na, P, S, Sr (major metals), were determined in one or more of the lake's compartments. Lower trace metal concentrations in rainwater were observed in June and February 2000, while much higher levels were present in September 2001 (during a storm event) and in snow (February 2000). In the Northern and Western parts of the lake, especially at the inflow of river Zala and the locations of the yacht harbours, metal concentrations were higher in almost all compartments. Because the lake is very shallow, storm conditions also change significantly the metal distributions in the dissolved and particulate phases. The Kis-Balaton protection system located on Zala river functions very efficiently for retaining suspended particulate matter (SPM; 72% retention) and associated metals. Metal concentrations in surface sediments of the lake showed a high variability. After normalisation for the fine sediment fraction, only a few stations including Zala mouth appeared to be enriched in trace metals. In zooplankton, Zn seemed to be much more elevated compared to the other trace metals. Based on the molar ratios of the trace metals in the various compartments and input flows of the lake, several trends could be deduced. For example, molar ratios of the trace metals in the dissolved and solid (suspended particulate matter and sediments) phases in the lake are fairly similar to those in Zala River. (c) 2004 Elsevier B.V. All rights reserved.</t>
  </si>
  <si>
    <t>Univ Libre Brussels, Lab Analyt &amp; Environm Chem, B-1050 Brussels, Belgium; Hanoi Univ Technol, Fac Chem Technol, Hanoi, Vietnam; KFKI Atom Energy Res Inst, H-1525 Budapest, Hungary</t>
  </si>
  <si>
    <t>Universite Libre de Bruxelles; Hanoi University of Science &amp; Technology (HUST); Hungarian Research Network; Hungarian Academy of Sciences; HUN-REN Centre for Energy Research</t>
  </si>
  <si>
    <t>Baeyens, W (corresponding author), Univ Libre Brussels, Lab Analyt &amp; Environm Chem, Pleinlaan 2, B-1050 Brussels, Belgium.</t>
  </si>
  <si>
    <t>wbaeyens@vub.ac.be</t>
  </si>
  <si>
    <t>Baeyens, Willy/A-9366-2010</t>
  </si>
  <si>
    <t>Nguyen, Lien/0000-0003-4444-6912; Baeyens, Willy/0000-0002-5281-903X; Osan, Janos/0000-0002-5392-1474</t>
  </si>
  <si>
    <t>10.1016/j.scitotenv.2004.07.032</t>
  </si>
  <si>
    <t>http://dx.doi.org/10.1016/j.scitotenv.2004.07.032</t>
  </si>
  <si>
    <t>915WL</t>
  </si>
  <si>
    <t>WOS:000228342000016</t>
  </si>
  <si>
    <t>Soto-Jiménez, MF; Páez-Osuna, F; Scelfo, G; Hibdon, S; Franks, R; Aggarawl, J; Flegal, AR</t>
  </si>
  <si>
    <t>Soto-Jimenez, Martin F.; Paez-Osuna, Federico; Scelfo, Genine; Hibdon, Sharon; Franks, Rob; Aggarawl, Jugdeep; Flegal, A. Russell</t>
  </si>
  <si>
    <t>Lead pollution in subtropical ecosystems on the SE Gulf of California Coast: A study of concentrations and isotopic composition</t>
  </si>
  <si>
    <t>Pb pollution; Sources and isotopic ratios; Biological indicators; Gulf of California</t>
  </si>
  <si>
    <t>TRACE-METALS; HEAVY-METALS; SEDIMENTS; ACCUMULATION; BIOACCUMULATION; BIOAVAILABILITY; BIOMONITORS; PACIFIC; OYSTERS; LAGOON</t>
  </si>
  <si>
    <t>Lead pollution was investigated in environmental matrices and biological indicators collected from two typical subtropical coastal ecosystems in the southeast Gulf of California, Mexico. Lead concentrations and isotopic compositions (Pb-206/Pb-207 and Pb-208/Pb-207) were measured using high resolution inductively-coupled plasma-mass spectrometry (HR-ICP-MS) and thermal ionization mass spectrometry (TIMS). respectively. Lead in surface estuary sediments (10.0-34.2 mu g g(-1)) and particulate Pb (25.0-128.7 mu g g(-1), &gt;98% of total Pb) in the water column were significantly higher than levels in natural bedrock soils ( 15.1 +/- 8.3 mu g g(-1)) and river runoff (1.9 +/- 1.4 mu g g(-1)). Aquatic plants had Pb concentrations between 2.5 and 7.2 mu g g(-1), while those in macroalgae ranged from 3 to 5 mu g g(-1). The ranges of mean Pb concentrations in the aquatic animals studied (ranges in mu g g(-1)) were as follows: zooplankton 32 +/- 3, mussels 2.3-3.9, oysters 1.9-7.9, snail 2.0-7.7, barnacles 0.1 -18.5, fish 1.4-8.9, crab 6.3-40.2 and polychaetae 8.5-16.7. Pb values in 20-40% of oyster and fish samples and in all samples of crab exceeded acceptable levels for a food source for human consumption. Pb isotope ratios Pb-206/Pb-207, Pb-208/Pb-207 in biota ranged from 1.188 to 1.206 and 2,448 to 2.470. respectively. A plot of Pb-206/Pb-201 versus Pb-208/Pb-207 for the environmental and biological samples collected from two study areas indicates that they contain lead from ores mined in Mexico and used in the past to produce leaded gasoline in use until 1997, natural Pb weathered from the Sierra Madre Occidental mother rock, and the later influence of inputs from a more radiogenic Source related to industrial activity in the United States. Statistical software IsoSource results revealed that the Pb contained in environmental matrices and biomonitors is mostly derived from gasoline (20-90%) and US emissions (10-40%). (C) 2008 Elsevier Ltd. All rights reserved.</t>
  </si>
  <si>
    <t>[Soto-Jimenez, Martin F.; Paez-Osuna, Federico] Univ Nacl Autonoma Mexico, Inst Limnol &amp; Marine Sci, Mazatlan 82040, Mexico; [Scelfo, Genine; Hibdon, Sharon; Flegal, A. Russell] Univ Calif Santa Cruz, WIGS, Dept Environm Toxicol, Santa Cruz, CA 95064 USA; [Franks, Rob; Aggarawl, Jugdeep] Univ Calif Santa Cruz, Dept Earth Sci, Santa Cruz, CA 95064 USA</t>
  </si>
  <si>
    <t>Universidad Nacional Autonoma de Mexico; University of California System; University of California Santa Cruz; University of California System; University of California Santa Cruz</t>
  </si>
  <si>
    <t>Soto-Jiménez, MF (corresponding author), Univ Nacl Autonoma Mexico, Inst Limnol &amp; Marine Sci, Mazatlan 82040, Mexico.</t>
  </si>
  <si>
    <t>martin@ola.icmyl.unam.mx</t>
  </si>
  <si>
    <t>Páez-Osuna, Federico/AAM-3029-2020; Franks, Rob/C-2881-2008; Soto-Jimenez, Martin F/M-4117-2017</t>
  </si>
  <si>
    <t>Franks, Rob/0000-0001-5111-8701; Soto-Jimenez, Martin F/0000-0001-7584-3684</t>
  </si>
  <si>
    <t>UCMEXUS-CONACyT; COMEXUS; PAPIIT [IN215206-3]</t>
  </si>
  <si>
    <t>UCMEXUS-CONACyT(Consejo Nacional de Ciencia y Tecnologia (CONACyT)); COMEXUS; PAPIIT(Programa de Apoyo a Proyectos de Investigacion e Innovacion Tecnologica (PAPIIT))</t>
  </si>
  <si>
    <t>The authors thank to J. Salgado-BarragAn and S. Rendon-Rodriguez for their assistance in the identification samples, F. Morales-Hernandez and H. Bojorquez-Leyva for her assistance in the laboratory and to S. McKean and G. Ramirez-Resendiz for her help in the preparation of the manuscript. Financial support was provided by Postdoctoral grant UCMEXUS-CONACyT and COMEXUS to Martin F. Soto Jimenez and the PAPIIT IN215206-3.</t>
  </si>
  <si>
    <t>10.1016/j.marenvres.2008.07.009</t>
  </si>
  <si>
    <t>http://dx.doi.org/10.1016/j.marenvres.2008.07.009</t>
  </si>
  <si>
    <t>368RO</t>
  </si>
  <si>
    <t>WOS:000260640400008</t>
  </si>
  <si>
    <t>Özden, O; Erkan, N; Dogruyol, H; Ortaboy, S; Tunçelli, IC</t>
  </si>
  <si>
    <t>Ozden, Ozkan; Erkan, Nuray; Dogruyol, Hande; Ortaboy, Sinem; Tuncelli, Idil Can</t>
  </si>
  <si>
    <t>Examination of toxic element levels in seafood from aquaculture and associated risks for European consumers</t>
  </si>
  <si>
    <t>Aquaculture; Toxic elements; Gilthead seabream; European seabass; Mediterranean mussel</t>
  </si>
  <si>
    <t>MUSSELS MYTILUS-GALLOPROVINCIALIS; HEAVY-METALS; SPARUS-AURATA; TRACE-METALS; FISH; MERCURY; RIVER; SEA</t>
  </si>
  <si>
    <t>Consumption of fish and shellfish exposed to high levels of pollutants from environmental sources and anthropogenic activities can lead to the accumulation of toxic elements in humans. Mercury (Hg), cadmium (Cd), lead (Pb), and arsenic (As) can cause serious health problems in consumers of all ages. This study examined toxic element levels and associated health risks in gilthead seabream, European seabass, and Mediterranean mussels from aquaculture farms which represent commercially important species exported from Turkiye. Fifty-one samples were analysed for Hg, Cd, Pb, and As. In general, the annual average concentrations of toxic elements in seabream, seabass, and mussel samples were generally below the established limits. On a seasonal basis, it was determined that the limit value for Cd recommended by the EU (0.05 mg/kg) was exceeded for sea bream and sea bass species of only one farm, with values of 0.080-0.088 mg/kg, respectively, in the summer season. The Total Target Hazard Quotients (TTHQ) and Target cancer Risk (TR) indexes were calculated for the European Union (EU) and Turkish populations to assess consumer health and safety. Consequently, fish and mussel samples obtained from aquaculture farms were highly reliable and found to be safe for consumption. The exceeding of Cd levels in fish beyond the established limit in a single season on one farm demonstrates the necessity for regular monitoring of parameters.</t>
  </si>
  <si>
    <t>[Ozden, Ozkan; Tuncelli, Idil Can] Istanbul Univ, Fac Aquat Sci, Dept Seafood Proc, 16 Mart Sehitleri Cad 2, TR-34134 Istanbul, Turkiye; [Erkan, Nuray; Dogruyol, Hande] Istanbul Univ, Fac Aquat Sci, Dept Food Safety, 16 Mart Sehitleri Cad 2, TR-34134 Istanbul, Turkiye; [Ortaboy, Sinem] Istanbul Univ Cerrahpasa, Fac Engn, Dept Chem, Baglarici Cad 7, TR-34320 Istanbul, Turkiye</t>
  </si>
  <si>
    <t>Istanbul University; Istanbul University; Istanbul University - Cerrahpasa</t>
  </si>
  <si>
    <t>Özden, O (corresponding author), Istanbul Univ, Fac Aquat Sci, Dept Seafood Proc, 16 Mart Sehitleri Cad 2, TR-34134 Istanbul, Turkiye.</t>
  </si>
  <si>
    <t>ozden@istanbul.edu.tr</t>
  </si>
  <si>
    <t>Erkan, Nuray/P-9866-2015; DOGRUYOL, Hande/AAE-3487-2019; Ortaboy, Sinem/AAJ-2116-2021; Can Tunçelli, İdil/A-4323-2019; Ozden, Ozkan/P-9508-2015</t>
  </si>
  <si>
    <t>Ozden, Ozkan/0000-0001-8780-480X</t>
  </si>
  <si>
    <t>Scientific Research Projects Coordi- nation Unit of Istanbul University [FDP-2020- 36582]</t>
  </si>
  <si>
    <t>Scientific Research Projects Coordi- nation Unit of Istanbul University(Istanbul University)</t>
  </si>
  <si>
    <t>This study was funded by the Scientific Research Projects Coordi- nation Unit of Istanbul University under the project number FDP-2020- 36582.</t>
  </si>
  <si>
    <t>10.1016/j.aquaculture.2024.740688</t>
  </si>
  <si>
    <t>http://dx.doi.org/10.1016/j.aquaculture.2024.740688</t>
  </si>
  <si>
    <t>MZ3R2</t>
  </si>
  <si>
    <t>WOS:001197422700001</t>
  </si>
  <si>
    <t>WEIS, P; WEIS, JS; COUCH, J; DANIELS, C; CHEN, T</t>
  </si>
  <si>
    <t>PATHOLOGICAL AND GENOTOXICOLOGICAL OBSERVATIONS IN OYSTERS (CRASSOSTREA-VIRGINICA) LIVING ON CHROMATED COPPER ARSENATE (CCA)-TREATED WOOD</t>
  </si>
  <si>
    <t>MYTILUS-GALLOPROVINCIALIS; MICRONUCLEI; CONTAMINANTS; CHROMIUM; LUMBER</t>
  </si>
  <si>
    <t>Oysters living on chromated copper arsenate (CCA)-treated wood in a residential canal were compared with oysters from a reference site 1.2 km away. Canal oysters were frequently green in color and had 15 times more copper (approximate to 200 mu g/g wet wt.) and 2-3 times more arsenic (approximate to 3 mu g/g) than reference oysters. Histological examination of soft tissues showed significantly more metaplastic degeneration in digestive gland diverticula of canal oysters. Giemsa-stained canal oyster gill cells had twice as many micronuclei as did reference oyster gill cells. Reference oysters caged by the CCA-treated wood in the canal had Cu tissue accumulations approaching that of native canal oysters by three months. These did not show increased digestive gland metaplasia but did have a nearly doubled incidence of micronuclei. Cu has been shown to cause digestive gland pathology in bivalves; thus, the treated wood could be responsible for the observed pathology. The Cr and As from the wood although not accumulated to the extent of Cu, could influence the nonspecific response which was observed, Cr may also be responsible for the observed genotoxicity. Other possible stressors in the canal (e.g. boat exhaust, gardening chemicals) could also be involved.</t>
  </si>
  <si>
    <t>RUTGERS STATE UNIV,DEPT BIOL SCI,NEWARK,NJ; US EPA,GULF BREEZE,FL; TECH RESOURCES INC,GULF BREEZE,FL 32561</t>
  </si>
  <si>
    <t>Rutgers University System; Rutgers University New Brunswick; Rutgers University Newark; United States Environmental Protection Agency</t>
  </si>
  <si>
    <t>WEIS, P (corresponding author), UNIV MED &amp; DENT NEW JERSEY,NEW JERSEY MED SCH,DEPT ANAT,NEWARK,NJ 07103, USA.</t>
  </si>
  <si>
    <t>10.1016/0141-1136(94)00074-Y</t>
  </si>
  <si>
    <t>http://dx.doi.org/10.1016/0141-1136(94)00074-Y</t>
  </si>
  <si>
    <t>WOS:A1995QR26100056</t>
  </si>
  <si>
    <t>Morosetti, B; Freitas, R; Pereira, E; Hamza, H; Andrade, M; Coppola, F; Maggioni, D; Della Torre, C</t>
  </si>
  <si>
    <t>Morosetti, Bianca; Freitas, Rosa; Pereira, Eduarda; Hamza, Hady; Andrade, Madalena; Coppola, Francesca; Maggioni, Daniela; Della Torre, Camilla</t>
  </si>
  <si>
    <t>Will temperature rise change the biochemical alterations induced in Mytilus galloprovincialis by cerium oxide nanoparticles and mercury?</t>
  </si>
  <si>
    <t>Nanoparticles; Metals; Ocean warming; Mussels; Metabolic capacity</t>
  </si>
  <si>
    <t>FLUORESCENT LAMP WASTE; OXIDATIVE STRESS; ENGINEERED NANOMATERIALS; CEO2 NANOPARTICLES; ACETYLCHOLINESTERASE ACTIVITY; TRANSLATIONAL RESPONSES; BIOMARKER RESPONSES; CARCINUS-MAENAS; IRON-OXIDE; ACCUMULATION</t>
  </si>
  <si>
    <t>It is known that, for marine coastal ecosystems, pollution and global warming are among the most threatening factors. Among emerging pollutants, nanoparticles (NPs) deserve particular attention as their possible adverse effects are significantly influenced by environmental factors such as salinity, pH and temperature, as well as by their ability to interact with other contaminants. In this framework, the present study aimed to evaluate the potential interactions between CeO2 NPs and the toxic classic metal mercury (Hg), under current and warming conditions. The marine bivalve Mytilus galloprovincialis was used as biological model and exposed to CeO2 NPs and Hg, either alone or in combination, for 28 day at 17 degrees C and 22 degrees C. A suite of biomarkers related to energetic metabolism, oxidative stress/damage, redox balance, and neurotoxicity was applied in exposed and non-exposed (control) mussels. The Hg and Ce accumulation was also assessed. Results showed that the exposure to CeO2 NPs alone did not induce toxic effects in M. galloprovincialis. On the contrary, Hg exposure determined a significant loss of energetic metabolism and a general impairment in biochemical performances. Hg accumulation in mussels was not modified by the presence of CeO2 NPs, while the biochemical alterations induced by Hg alone were partially canceled upon co-exposure with CeO2 NPs. The temperature increase induced loss of metabolic and biochemical functions and the effects of temperature prevailed on mussels exposed to pollutants acting alone or combined.</t>
  </si>
  <si>
    <t>[Morosetti, Bianca; Freitas, Rosa; Andrade, Madalena; Coppola, Francesca] Univ Aveiro, Dept Biol, P-3810193 Aveiro, Portugal; [Morosetti, Bianca; Freitas, Rosa; Andrade, Madalena; Coppola, Francesca] Univ Aveiro, CESAM, P-3810193 Aveiro, Portugal; [Pereira, Eduarda] Univ Aveiro, Dept Quim, P-3810193 Aveiro, Portugal; [Pereira, Eduarda] Univ Aveiro, REQUIMTE, P-3810193 Aveiro, Portugal; [Morosetti, Bianca; Della Torre, Camilla] Univ Milan, Dept Biosci, Via Celoria 26, I-20133 Milan, Italy; [Hamza, Hady; Maggioni, Daniela] Univ Milan, Dept Chem, Via Venezian, I-20133 Milan, Italy</t>
  </si>
  <si>
    <t>Universidade de Aveiro; Universidade de Aveiro; Universidade de Aveiro; Universidade de Aveiro; University of Milan; University of Milan</t>
  </si>
  <si>
    <t>Freitas, R (corresponding author), Univ Aveiro, Dept Biol, P-3810193 Aveiro, Portugal.;Freitas, R (corresponding author), Univ Aveiro, CESAM, P-3810193 Aveiro, Portugal.;Della Torre, C (corresponding author), Univ Milan, Dept Biosci, Via Celoria 26, I-20133 Milan, Italy.</t>
  </si>
  <si>
    <t>rosafreitas@ua.pt; Camilla.dellatorre@unimi.it</t>
  </si>
  <si>
    <t>Freitas, Rosa/A-7539-2012; Coppola, Francesca/U-8869-2018; Hamza, Hady/AAN-1181-2020; Pereira, Eduarda/A-5907-2012; Andrade, Madalena/F-1780-2019</t>
  </si>
  <si>
    <t>Coppola, Francesca/0000-0002-7039-9630; Silva Andrade, Maria Madalena/0000-0002-5704-8668</t>
  </si>
  <si>
    <t>Erasmus + traineeship Program; national funds (OE), through FCT - Fundacao para a Ciencia e a Tecnologia, I.P.; CESAM [UIDB/50017/2020+UIDP/50017/2020]; project BISPECIAl: BIvalveS under Polluted Environment and ClImate chAnge - FEDER, through COMPETE2020 - Programa Operacional Competitividade e Internacionalizacao (POCI) [PTDC/CTA-AMB/28425/2017 (POCI-01-0145-FEDER-028425)]; national funds (OE), through FCT/MCTES</t>
  </si>
  <si>
    <t>Erasmus + traineeship Program; national funds (OE), through FCT - Fundacao para a Ciencia e a Tecnologia, I.P.; CESAM; project BISPECIAl: BIvalveS under Polluted Environment and ClImate chAnge - FEDER, through COMPETE2020 - Programa Operacional Competitividade e Internacionalizacao (POCI); national funds (OE), through FCT/MCTES</t>
  </si>
  <si>
    <t>Bianca Morosetti stay at the Departamento de Biologia &amp; CESAM, Universidade de Aveiro was funded under the Erasmus + traineeship Program. Rosa Freitas was funded by national funds (OE), through FCT - Fundacao para a Ciencia e a Tecnologia, I.P., in the scope of the framework contract foreseen in the numbers 4, 5 and 6 of the article 23, of the Decree-Law 57/2016, of August 29, changed by Law 57/2017, of July 19. Thanks are due for the financial support to CESAM (UIDB/50017/2020+UIDP/50017/2020). This work was also financially supported by the project BISPECIAl: BIvalveS under Polluted Environment and ClImate chAnge PTDC/CTA-AMB/28425/2017 (POCI-01-0145-FEDER-028425) funded by FEDER, through COMPETE2020 - Programa Operacional Competitividade e Internacionalizacao (POCI), and by national funds (OE), through FCT/MCTES.</t>
  </si>
  <si>
    <t>10.1016/j.envres.2020.109778</t>
  </si>
  <si>
    <t>http://dx.doi.org/10.1016/j.envres.2020.109778</t>
  </si>
  <si>
    <t>NH4SR</t>
  </si>
  <si>
    <t>WOS:000564662200025</t>
  </si>
  <si>
    <t>Sondergaard, J; Asmund, G; Johansen, P; Elberling, B</t>
  </si>
  <si>
    <t>Sondergaard, Jens; Asmund, Gert; Johansen, Poul; Elberling, Bo</t>
  </si>
  <si>
    <t>Pb isotopes as tracers of mining-related Pb in lichens, seaweed and mussels near a former Pb-Zn mine in West Greenland</t>
  </si>
  <si>
    <t>Mining pollution; Lead isotopes; Lichens; Seaweed; Mussels</t>
  </si>
  <si>
    <t>LEAD-ISOTOPE; HEAVY-METAL; ENRICHMENT FACTORS; FJORD SYSTEM; ICP-MS; ZINC; ENVIRONMENT; SEDIMENTS; RATIOS; GEOCHEMISTRY</t>
  </si>
  <si>
    <t>Identification of mining-related contaminants is important in order to assess the spreading of contaminants from mining as well as for site remediation purposes. This study focuses on lead (Pb) contamination in biota near the abandoned 'Black Angel Mine' in West Greenland in the period 1988-2008. Stable Pb isotope ratios and total Pb concentrations were determined in lichens, seaweed and mussels as well as in marine sediments. The results show that natural background Pb ((207)Pb/(206)Pb: 0.704-0.767) and Pb originating from the mine ore ((207)pb/(206)pb: 0.955) have distinct isotopic fingerprints. Total Pb in lichens, seaweed, and mussels was measured at values up to 633, 19 and 1536 mg kg(-1) dry weight, respectively, and is shown to be a mixture of natural Pb and ore-Pb. This enables quantification of mining-related Pb and shows that application of Pb isotope data is a valuable tool for monitoring mining pollution. (C) 2010 Elsevier Ltd. All rights reserved.</t>
  </si>
  <si>
    <t>[Sondergaard, Jens; Asmund, Gert; Johansen, Poul] Aarhus Univ, Dept Arctic Environm, Natl Environm Res Inst, DK-4000 Roskilde, Denmark; [Elberling, Bo] Univ Copenhagen, Inst Geog &amp; Geol, DK-1350 Copenhagen K, Denmark; [Elberling, Bo] Univ Ctr Svalbard, NO-9171 Longyearbyen, Norway</t>
  </si>
  <si>
    <t>Aarhus University; University of Copenhagen; University Centre Svalbard (UNIS)</t>
  </si>
  <si>
    <t>Søndergaard, Jens/AAZ-1079-2020; Elberling, Bo/M-4000-2014</t>
  </si>
  <si>
    <t>Sondergaard, Jens/0000-0001-7680-9920; Elberling, Bo/0000-0002-6023-885X</t>
  </si>
  <si>
    <t>10.1016/j.envpol.2010.01.006</t>
  </si>
  <si>
    <t>http://dx.doi.org/10.1016/j.envpol.2010.01.006</t>
  </si>
  <si>
    <t>597AC</t>
  </si>
  <si>
    <t>WOS:000277726500027</t>
  </si>
  <si>
    <t>DUKE, TW</t>
  </si>
  <si>
    <t>POSSIBLE ROUTES OF ZINC 65 FROM AN EXPERIMENTAL ESTUARINE ENVIRONMENT TO MAN</t>
  </si>
  <si>
    <t>JOURNAL WATER POLLUTION CONTROL FEDERATION</t>
  </si>
  <si>
    <t>In an experimental pond connected to an estuary, less than 1% of the zinc-65 introduced into the water was accumulated by seafood organisms. The remainder was lost by water exchange with the estuary and absorption by sediments. Shellfish accumulated by isotope rapidly and to higher levels than did other organisms. Clams would be the greatest hazard to man through long-term ingestion because of their high specific activity. Oysters have the highest zinc-65 levels and would be most hazardous on the basis of short-term or single doses of radioactivity. Movement of zinc-65 could be different under other environmental conditions.</t>
  </si>
  <si>
    <t>WATER ENVIRONMENT FEDERATION</t>
  </si>
  <si>
    <t>601 WYTHE ST, ALEXANDRIA, VA 22314-1994 USA</t>
  </si>
  <si>
    <t>0043-1303</t>
  </si>
  <si>
    <t>J WATER POLLUT CON F</t>
  </si>
  <si>
    <t>WOS:A19679279100003</t>
  </si>
  <si>
    <t>Nilin, J; Santana, LMBM; Silva, A; Costa-Lotufo, LV</t>
  </si>
  <si>
    <t>Nilin, Jeamylle; Santana, Ligia M. B. M.; Silva, Allyson; Costa-Lotufo, Leticia Veras</t>
  </si>
  <si>
    <t>Biological responses of mangrove oysters (Crassostrea rhizophorae) and mercury contamination in an urban tropical estuary</t>
  </si>
  <si>
    <t>Biomarker; Catalase; Glutathione S-transferase; Carboxylesterase</t>
  </si>
  <si>
    <t>PERNA-VIRIDIS L.; BIOMARKER RESPONSES; OXIDATIVE STRESS; JAGUARIBE RIVER; TOXICITY TESTS; CEARA RIVER; POLLUTION; BRAZIL; ACETYLCHOLINESTERASE; NORTHEAST</t>
  </si>
  <si>
    <t>This study aimed to assess the biological responses of oysters from an urban estuary in Northeast Brazil, through the evaluation of biochemical and physiological biomarkers, and integrate these responses with the investigation of mercury seasonal contamination. Oysters and sediment were collected from three sites in the estuary of the Cear?a River during dry and rainy seasons. Biomarkers (AchE, CaE, GST, CAT, and Condition Index) were analyzed in different tissues. Hg bioaccumulation was higher in animals sampled in the rainy season, with increases varying from 5% to 136%, compared to the dry season. The changes in biomarkers highlight already elevated stresses for the organisms at the inner portion of the estuary, near the confluence with the Maranguapinho River, mainly during the rainy season, corroborating other studies that showed ecotoxicological effects with water and sediment samples. Finally, no correlation between Hg in sediment/oyster and biomarker results was observed.</t>
  </si>
  <si>
    <t>[Nilin, Jeamylle] Univ Fed Uberlandia, Inst Biol, Av Ceara S-N,Bloco D Sala 28, BR-38405302 Uberlandia, MG, Brazil; [Santana, Ligia M. B. M.; Silva, Allyson] Univ Fed Ceara, Inst Ciencias Mar Labomar, Av Abolicao 3205, BR-60165081 Fortaleza, Ceara, Brazil; [Santana, Ligia M. B. M.] Aveiro Univ UA, Ctr Environm &amp; Marine Studies CESAM, P-3810193 Aveiro, Portugal; [Costa-Lotufo, Leticia Veras] Univ Sao Paulo, Inst Ciencias Biomed ICB, Dept Farmacol, Av Lineu Prestes 1524,Predio Biomed 1, BR-05508900 Sao Paulo, SP, Brazil</t>
  </si>
  <si>
    <t>Universidade Federal de Uberlandia; Universidade Federal do Ceara; Universidade de Aveiro; Universidade de Sao Paulo</t>
  </si>
  <si>
    <t>Nilin, J (corresponding author), Univ Fed Uberlandia, Inst Biol, Av Ceara S-N,Bloco D Sala 28, BR-38405302 Uberlandia, MG, Brazil.</t>
  </si>
  <si>
    <t>jeamylle@gmail.com</t>
  </si>
  <si>
    <t>Costa-Lotufo, Leticia/ABC-5742-2021; Santana, Ligia/Q-4537-2019; Nilin, Jeamylle/B-3567-2013; Fapesp, Biota/F-8655-2017; Costa-Lotufo, Leticia/D-4998-2014</t>
  </si>
  <si>
    <t>Fapesp, Biota/0000-0002-9887-8449; Costa-Lotufo, Leticia/0000-0003-1861-5153</t>
  </si>
  <si>
    <t>Conselho Nacional de Desenvolvimento Cientifico e Tecnologico -CNPq; Coordenacao de Aperfeicoamento de Pessoal de Nivel Superior CAPES (Program CAPES-FCT) [240/09]</t>
  </si>
  <si>
    <t>Conselho Nacional de Desenvolvimento Cientifico e Tecnologico -CNPq(Conselho Nacional de Desenvolvimento Cientifico e Tecnologico (CNPQ)); Coordenacao de Aperfeicoamento de Pessoal de Nivel Superior CAPES (Program CAPES-FCT)</t>
  </si>
  <si>
    <t>We also the financial support of Conselho Nacional de Desenvolvimento Cientifico e Tecnologico -CNPq and Coordenacao de Aperfeicoamento de Pessoal de Nivel Superior CAPES (Program CAPES-FCT process 240/09). We would like to thank all Brazilians that support, by means of taxes, the science made at public universities.</t>
  </si>
  <si>
    <t>10.1016/j.marpolbul.2021.112233</t>
  </si>
  <si>
    <t>http://dx.doi.org/10.1016/j.marpolbul.2021.112233</t>
  </si>
  <si>
    <t>WOS:000648435800015</t>
  </si>
  <si>
    <t>Micovic, V; Bulog, A; Kucic, N; Jakovac, H; Radosevic-Stasic, B</t>
  </si>
  <si>
    <t>Micovic, Vladimir; Bulog, Aleksandar; Kucic, Natalia; Jakovac, Hrvoje; Radosevic-Stasic, Biserka</t>
  </si>
  <si>
    <t>Metallothioneins and heat shock proteins 70 in marine mussels as sensors of environmental pollution in Northern Adriatic Sea</t>
  </si>
  <si>
    <t>Biomonitoring; Ecotoxicity; Mussel Mytilus galloprovincialis; Heavy metal contamination; Metallothioneins; Heat shock protein 70</t>
  </si>
  <si>
    <t>MYTILUS-GALLOPROVINCIALIS; CADMIUM EXPOSURE; OXIDATIVE STRESS; MESSENGER-RNA; CRASSOSTREA-VIRGINICA; MOLECULAR CHAPERONES; DIGESTIVE GLAND; GENE-EXPRESSION; METAL UPTAKE; CELL-LINE</t>
  </si>
  <si>
    <t>In an attempt to assess the intensity of environmental pollution in industrial zones of Kvarnerian Bay in Northern Adriatic Sea and the reactivity of Mytilus galloprovincialis to these changes, in this study we estimated the concentration of heavy metals at four locations in both sea-sediment and in the mussels. Further we tried to correlate these changes with seasonal variations in environmental temperature, pH and salinity, as well as with the expression of metallothioneins (MTs) and heat shock proteins (HSPs) in the digestive tract of the mussels. Sampling in vivo was performed monthly, during the year 2008, while under the laboratory conditions the reactivity of acclimated mussels were tested to increasing concentrations of CdCl2 and to thermal stress. The data have shown that the induction of MTs and HSP isoforms of the 70-kDa size class were highly affected by model agents treatment including contamination of sea-sediment by Pb, Hg and Cd, implying that these stress proteins might be power biomarkers of marine pollution. (C) 2009 Elsevier B.V. All rights reserved.</t>
  </si>
  <si>
    <t>[Radosevic-Stasic, Biserka] Univ Rijeka, Sch Med, Fac Med, Dept Physiol &amp; Immunol, Rijeka 51000, Croatia; [Micovic, Vladimir; Bulog, Aleksandar] Univ Rijeka, Fac Med, Teaching Inst Publ Hlth, Rijeka 51000, Croatia</t>
  </si>
  <si>
    <t>Radosevic-Stasic, B (corresponding author), Univ Rijeka, Sch Med, Fac Med, Dept Physiol &amp; Immunol, B Branchetta 22, Rijeka 51000, Croatia.</t>
  </si>
  <si>
    <t>biserr@medri.hr</t>
  </si>
  <si>
    <t>Bulog, Aleksandar/M-5328-2019; Kucic, Natalia/S-5133-2018; Micovic, Vladimir/R-4240-2018; Jakovac, Hrvoje/P-6514-2018; Radosevic-Stasic, Biserka/Q-7051-2018</t>
  </si>
  <si>
    <t>Kucic, Natalia/0000-0003-1486-4208; Micovic, Vladimir/0000-0002-0973-4823; Jakovac, Hrvoje/0000-0001-8174-5124; Radosevic-Stasic, Biserka/0000-0002-3331-9320</t>
  </si>
  <si>
    <t>Croatian Ministry of Science [062-0621341-0308, 062-0621341-1337]</t>
  </si>
  <si>
    <t>Croatian Ministry of Science(Ministry of Science, Education and Sports, Republic of Croatia)</t>
  </si>
  <si>
    <t>This work was supported by a grant from the Croatian Ministry of Science (Projects Nos. 062-0621341-0308 and 062-0621341-1337).</t>
  </si>
  <si>
    <t>10.1016/j.etap.2009.08.005</t>
  </si>
  <si>
    <t>http://dx.doi.org/10.1016/j.etap.2009.08.005</t>
  </si>
  <si>
    <t>511PO</t>
  </si>
  <si>
    <t>WOS:000271178900019</t>
  </si>
  <si>
    <t>Weng, NY; Jiang, HB; Wang, WX</t>
  </si>
  <si>
    <t>Weng, Nanyan; Jiang, Haibo; Wang, Wen-Xiong</t>
  </si>
  <si>
    <t>In Situ Subcellular Imaging of Copper and Zinc in Contaminated Oysters Revealed by Nanoscale Secondary Ion Mass Spectrometry</t>
  </si>
  <si>
    <t>CRASSOSTREA-GIGAS; OSTREA-EDULIS; COMPLEMENTARY TECHNIQUES; PACIFIC OYSTER; TRACE-METALS; NANOSIMS; POLLUTION; TISSUES; DETOXIFICATION; HONGKONGENSIS</t>
  </si>
  <si>
    <t>Determining the in situ localization of trace elements at high lateral resolution levels in the biological system is very challenging, but critical for our understanding of metal sequestration and detoxification. Here, the cellular and subcellular distributions of Cu and Zn in contaminated oysters of Crassostrea hongkongensis were for the first time mapped using nanoscale secondary ion mass spectrometry (nanoSIMS). Three types of metal-containing cells were revealed in the gill and mantle of oysters, including Cu-specific hemocytes, Cu and Zn-containing granular hemocytes, and Cu and Zn-containing calcium cells. Obvious intercellular distribution of Cu was found in the gill tissue, indicating the potential role of hemolymph in the transportation of Cu in oysters. The distribution of Cu showed a strong colocalization with sulfur and nitrogen in Cu-specific hemocyte and intercellular hemolymph. In the Cu and Zn-containing granular hemocytes and calcium cells, the co-occurrence of Cu and Zn with phosphorus and calcium was also found. Different relationships of distributions between Cu/Zn and macronutrient elements (nitrogen, sulfur and phosphorus) implied the differential metal complexation in oysters. Interestingly, quantitative analysis of the ratios of S-32(-)/(CN-)-C-12-N-14 and P-31(-)/(CN-)-C-12-N-14 of metal-deposited sites suggested the dynamic process of transfer of Cu and Zn from the metabolized protein pool to a more thermodynamically stable and detoxified form.</t>
  </si>
  <si>
    <t>[Weng, Nanyan; Wang, Wen-Xiong] HKUST Shenzhen Res Inst, Marine Environm Lab, Shenzhen 518057, Peoples R China; [Jiang, Haibo] Univ Western Australia, Ctr Microscopy Characterisat &amp; Anal, Perth, WA 6009, Australia; [Wang, Wen-Xiong] HKUST, Div Life Sci, Kowloon, Hong Kong, Peoples R China</t>
  </si>
  <si>
    <t>Shenzhen Research Institute, The Hong Kong University of Science &amp; Technology; Hong Kong University of Science &amp; Technology; University of Western Australia; Hong Kong University of Science &amp; Technology</t>
  </si>
  <si>
    <t>Wang, WX (corresponding author), HKUST Shenzhen Res Inst, Marine Environm Lab, Shenzhen 518057, Peoples R China.;Jiang, HB (corresponding author), Univ Western Australia, Ctr Microscopy Characterisat &amp; Anal, Perth, WA 6009, Australia.;Wang, WX (corresponding author), HKUST, Div Life Sci, Kowloon, Hong Kong, Peoples R China.</t>
  </si>
  <si>
    <t>haibo.jiang@uwa.edu.au; wwang@ust.hk</t>
  </si>
  <si>
    <t>Wang, Wenxiong/E-7254-2011; Jiang, Haibo/E-6623-2015</t>
  </si>
  <si>
    <t>Wang, Wenxiong/0000-0001-9033-0158; Jiang, Haibo/0000-0002-2384-4826</t>
  </si>
  <si>
    <t>National Natural Science Foundation of China [21237004, 21777134]; China Postdoctoral Science Foundation [2016M592542]; Free Exploration Projects Funding from Shenzhen Government [JCY20160530190827545]</t>
  </si>
  <si>
    <t>National Natural Science Foundation of China(National Natural Science Foundation of China (NSFC)); China Postdoctoral Science Foundation(China Postdoctoral Science Foundation); Free Exploration Projects Funding from Shenzhen Government</t>
  </si>
  <si>
    <t>We thank Drs. Li Xixia, Sun Lei, and Zhang Jianguo for their help in sample preparation for NanoSIMS study and anonymous reviewers for their comments on this work. This study was supported by the National Natural Science Foundation of China (Grant No. 21237004, 21777134) to W.-X.W, the China Postdoctoral Science Foundation (2016M592542), and the Free Exploration Projects Funding (No. JCY20160530190827545) from Shenzhen Government to N.-Y.W. We acknowledge the Australian Microscopy &amp; Microanalysis Research Facility, the Science and Industry Endowment Fund, and the State Government of Western Australian for contributing to the Ion Probe Facility at the Centre for Microscopy, Characterisation and Analysis at the University of Western Australia.</t>
  </si>
  <si>
    <t>DEC 19</t>
  </si>
  <si>
    <t>10.1021/acs.est.7b05090</t>
  </si>
  <si>
    <t>http://dx.doi.org/10.1021/acs.est.7b05090</t>
  </si>
  <si>
    <t>FQ8PR</t>
  </si>
  <si>
    <t>WOS:000418625900046</t>
  </si>
  <si>
    <t>SIMPSON, RD</t>
  </si>
  <si>
    <t>UPTAKE AND LOSS OF ZINC AND LEAD BY MUSSELS (MYTILUS-EDULIS) AND RELATIONSHIPS WITH BODY-WEIGHT AND REPRODUCTIVE-CYCLE</t>
  </si>
  <si>
    <t>The uptake and loss of Zn and Pb from the whole soft parts of the mussel M. edulis were investigated under natural conditions in northeastern England [UK]. Mussels in which high concentration of these metals were found were transferred to an area where low concentrations were found and vice versa. Mussels from both areas were also kept in tanks and periodic measurements of metal contents were made. Indications of uptake and loss were greatly affected by changing body weight. The phase of reproductive cycle (for animals in the environment) and condition (for animals in tanks) must be closely considered when reporting on levels of metals in mussels, especially in terms of concentration.</t>
  </si>
  <si>
    <t>AUSTRALIAN ATOM ENERGY COMMISS, RES ESTAB, ENVIRONM BIOL SECT, SUTHERLAND 2232, NEW S WALES, AUSTRALIA.</t>
  </si>
  <si>
    <t>10.1016/0025-326X(79)90216-9</t>
  </si>
  <si>
    <t>http://dx.doi.org/10.1016/0025-326X(79)90216-9</t>
  </si>
  <si>
    <t>GR298</t>
  </si>
  <si>
    <t>WOS:A1979GR29800003</t>
  </si>
  <si>
    <t>Rakaj, A; Morroni, L; Grosso, L; Fianchini, A; Pensa, D; Pellegrini, D; Regoli, F</t>
  </si>
  <si>
    <t>Rakaj, Arnold; Morroni, Lorenzo; Grosso, Luca; Fianchini, Alessandra; Pensa, Davide; Pellegrini, David; Regoli, Francesco</t>
  </si>
  <si>
    <t>Towards sea cucumbers as a new model in embryo-larval bioassays: Holothuria tubulosa as test species for the assessment of marine pollution</t>
  </si>
  <si>
    <t>Sea cucumber embryo bioassay; Holothuria tubulosa; Ecotoxicology; Water Quality; Harbor sediments; Ecological risk assessment</t>
  </si>
  <si>
    <t>EARLY-LIFE STAGES; PARACENTROTUS-LIVIDUS ECHINODERMATA; PATELLA-SPP. MOLLUSCA; LAGOON-OF-VENICE; MYTILUS-GALLOPROVINCIALIS; HEAVY-METALS; TRACE-METALS; ARTIFICIAL-REPRODUCTION; TOXICITY ASSESSMENT; PACIFIC OYSTER</t>
  </si>
  <si>
    <t>Sea cucumbers are widely distributed deposit-feeders that represent an important component of benthic communities worldwide. These echinoderms were recently proposed as candidates in embryo bioassays to provide a new tool in the toxicity assessment of pollutants in marine water and sediments. The aim of this study is to evaluate the usefulness of a new species, Holothuria tubulosa (Gmelin, 1788), as a model organism for sensitive embryo bioassays, defining the acceptability of controls, minimum sample size, embryo density and salinity range. Cadmium (Cd), copper (Cu), lead (Pb), mercury (Hg), sodium dodecyl sulphate (SDS) and 4-n-nonylphenol (NP) were used as reference toxicants to assess specific embryotoxicity endpoints. Sea cucumber sensitivity to marine sediment elutriates were finally assessed by comparing their responsiveness in tandem with that of routinely employed sea urchin embryos. The results showed an acceptability threshold of 10% (abnormal embryos), a minimum sample size of 200 embryos, an embryo density of 200 embryos/mL and an optimal salinity range of 36-37 parts per thousand. The sensitivity to the environmental pollutants and matrices tested revealed values (expressed as EC50) comparable with those of embryos belonging to other marine invertebrates commonly used in bioassays, indicating that this species has a good level of responsiveness. A specific integrative toxicity index (ITI) was applied, combining the frequency of developmental anomalies and weighting their severity. ITI data demonstrated good discrimination of sample toxicity, with a dose-dependent increase of teratogenic effects for all the tested substances, indicating H. tubulosa as a promising species for future assessments of marine pollution. (C) 2021 Elsevier B.V. All rights reserved.</t>
  </si>
  <si>
    <t>[Rakaj, Arnold; Grosso, Luca; Fianchini, Alessandra; Pensa, Davide] Univ Roma Tor Vergata, Dept Biol, Expt Ecol &amp; Aquaculture Lab, Via Cracovia 1, I-00133 Rome, Italy; [Morroni, Lorenzo; Pellegrini, David] Italian Inst Environm Protect &amp; Res, ISPRA, Via Cedro C-O Dogana Acqua, I-57122 Livorno, Italy; [Grosso, Luca] Univ Roma Tor Vergata, Dept Biol, Program Evolutionary Biol &amp; Ecol, Rome, Italy; [Regoli, Francesco] Univ Politecn Marche, Dipartimento Sci Vita &amp; DellAmbiente DiSVA, Ancona, Italy</t>
  </si>
  <si>
    <t>University of Rome Tor Vergata; Italian Institute for Environmental Protection &amp; Research (ISPRA); University of Rome Tor Vergata; Marche Polytechnic University</t>
  </si>
  <si>
    <t>Morroni, L (corresponding author), Italian Inst Environm Protect &amp; Res, ISPRA, Via Cedro C-O Dogana Acqua, I-57122 Livorno, Italy.</t>
  </si>
  <si>
    <t>lorenzo.morroni@isprambiente.it</t>
  </si>
  <si>
    <t>Morroni, Lorenzo/S-6601-2018; Rakaj, Arnold/JXX-4306-2024; Regoli, Francesco/K-2719-2018</t>
  </si>
  <si>
    <t>Rakaj, Arnold/0000-0003-2213-7131; Morroni, Lorenzo/0009-0001-4426-8805; Regoli, Francesco/0000-0001-6084-6188</t>
  </si>
  <si>
    <t>10.1016/j.scitotenv.2021.147593</t>
  </si>
  <si>
    <t>http://dx.doi.org/10.1016/j.scitotenv.2021.147593</t>
  </si>
  <si>
    <t>ST6VW</t>
  </si>
  <si>
    <t>WOS:000662580300003</t>
  </si>
  <si>
    <t>Gu, SW; Wang, JQ; Gao, XM; Zheng, XB; Liu, Y; Chen, YE; Sun, LL; Zhu, JQ</t>
  </si>
  <si>
    <t>Gu, Shenwei; Wang, Jingqian; Gao, Xinming; Zheng, Xuebin; Liu, Yang; Chen, Yiner; Sun, Lianlian; Zhu, Junquan</t>
  </si>
  <si>
    <t>Expression and Functional Analysis of the Metallothionein and Metal-Responsive Transcription Factor 1 in Phascolosoma esculenta under Zn Stress</t>
  </si>
  <si>
    <t>Phascolosoma esculenta; metallothionein; metal-responsive transcription factor 1; zinc; intestine</t>
  </si>
  <si>
    <t>OYSTER CRASSOSTREA-GIGAS; MOLECULAR CHARACTERIZATION; GENE-EXPRESSION; ZINC; TESTIS; IDENTIFICATION; DETOXIFICATION; SELENIUM; CLONING; IMMUNE</t>
  </si>
  <si>
    <t>Metallothioneins (MTs) are non-enzymatic metal-binding proteins widely found in animals, plants, and microorganisms and are regulated by metal-responsive transcription factor 1 (MTF1). MT and MTF1 play crucial roles in detoxification, antioxidation, and anti-apoptosis. Therefore, they are key factors allowing organisms to endure the toxicity of heavy metal pollution. Phascolosoma esculenta is a marine invertebrate that inhabits intertidal zones and has a high tolerance to heavy metal stress. In this study, we cloned and identified MT and MTF1 genes from P. esculenta (designated as PeMT and PeMTF1). PeMT and PeMTF1 were widely expressed in all tissues and highly expressed in the intestine. When exposed to 16.8, 33.6, and 84 mg/L of zinc ions, the expression levels of PeMT and PeMTF1 in the intestine increased first and then decreased, peaking at 12 and 6 h, respectively, indicating that both PeMT and PeMTF1 rapidly responded to Zn stress. The recombinant pGEX-6p-1-MT protein enhanced the Zn tolerance of Escherichia coli and showed a dose-dependent ABTS free radical scavenging ability. After RNA interference (RNAi) with PeMT and 24 h of Zn stress, the oxidative stress indices (MDA content, SOD activity, and GSH content) and the apoptosis indices (Caspase 3, Caspase 8, and Caspase 9 activities) were significantly increased, implying that PeMT plays an important role in Zn detoxification, antioxidation, and anti-apoptosis. Moreover, the expression level of PeMT in the intestine was significantly decreased after RNAi with PeMTF1 and 24 h of Zn stress, which preliminarily proved that PeMTF1 has a regulatory effect on PeMT. Our data suggest that PeMT and PeMTF1 play important roles in the resistance of P. esculenta to Zn stress and are the key factors allowing P. esculenta to endure the toxicity of Zn.</t>
  </si>
  <si>
    <t>[Gu, Shenwei; Wang, Jingqian; Gao, Xinming; Zheng, Xuebin; Liu, Yang; Chen, Yiner; Sun, Lianlian; Zhu, Junquan] Ningbo Univ, Key Lab Aquacultural Biotechnol, Minist Educ, Ningbo 315211, Peoples R China; [Gu, Shenwei; Wang, Jingqian; Gao, Xinming; Zheng, Xuebin; Liu, Yang; Chen, Yiner; Sun, Lianlian; Zhu, Junquan] Ningbo Univ, Coll Marine Sci, Key Lab Marine Biotechnol Zhejiang Prov, Ningbo 315211, Peoples R China; [Gao, Xinming] Lishui Univ, Coll Ecol, Lishui 323000, Peoples R China</t>
  </si>
  <si>
    <t>Ningbo University; Ningbo University; Lishui University</t>
  </si>
  <si>
    <t>Sun, LL; Zhu, JQ (corresponding author), Ningbo Univ, Key Lab Aquacultural Biotechnol, Minist Educ, Ningbo 315211, Peoples R China.;Sun, LL; Zhu, JQ (corresponding author), Ningbo Univ, Coll Marine Sci, Key Lab Marine Biotechnol Zhejiang Prov, Ningbo 315211, Peoples R China.</t>
  </si>
  <si>
    <t>chenyiner@nbu.edu.cn; sunlianlian@nbu.edu.cn; zhujunquan@nbu.edu.cn</t>
  </si>
  <si>
    <t>Ningbo Science and Technology Plan Projects [2019B10016, 2016C10004]; Major Science and Technology Projects in Zhejiang Province [2011C12013]; Collaborative Innovation Center for Zhejiang Marine High-efficiency and Healthy Aquaculture, the K.C. Wong Magna Fund of Ningbo University</t>
  </si>
  <si>
    <t>Ningbo Science and Technology Plan Projects; Major Science and Technology Projects in Zhejiang Province; Collaborative Innovation Center for Zhejiang Marine High-efficiency and Healthy Aquaculture, the K.C. Wong Magna Fund of Ningbo University</t>
  </si>
  <si>
    <t>This research was funded by the Ningbo Science and Technology Plan Projects (2019B10016, 2016C10004), the Major Science and Technology Projects in Zhejiang Province (2011C12013), and the Collaborative Innovation Center for Zhejiang Marine High-efficiency and Healthy Aquaculture, the K.C. Wong Magna Fund of Ningbo University.</t>
  </si>
  <si>
    <t>1661-6596</t>
  </si>
  <si>
    <t>10.3390/ijms25137368</t>
  </si>
  <si>
    <t>http://dx.doi.org/10.3390/ijms25137368</t>
  </si>
  <si>
    <t>YR3K5</t>
  </si>
  <si>
    <t>WOS:001270168600001</t>
  </si>
  <si>
    <t>Bonacci, S; Corsi, I; Focardi, S</t>
  </si>
  <si>
    <t>Cholinesterase activities in the adductor muscle of the Antarctic scallop Adamussium colbecki</t>
  </si>
  <si>
    <t>ANTARCTIC SCIENCE</t>
  </si>
  <si>
    <t>aquatic pollutants; benthos; bivalve; Cd; ChE; DFP</t>
  </si>
  <si>
    <t>BAY ROSS SEA; HUMAN SERUM BUTYRYLCHOLINESTERASE; TRACE-METAL CONCENTRATIONS; MYTILUS-GALLOPROVINCIALIS; ORGANOPHOSPHORUS PESTICIDES; CARBAMATE PESTICIDES; INHIBITION-KINETICS; ESTERASE-ACTIVITIES; MARINE ORGANISMS; RAPID ASSESSMENT</t>
  </si>
  <si>
    <t>Antarctica is regarded as one of the most pristine parts of the Earth but even this remote ecosystem is affected by contamination and high levels of certain heavy metals, such as cadmium, which may occur naturally in Antarctic waters. The bivalve scallop Adamussium colbecki is considered a key species of Antarctic benthic ecosystems and a sensitive target for bioaccumulation of xenobiotics and metals. Since cholinesterases (ChEs) in the adductor muscle of A. colbecki presumably play a prominent physiological role through regulation of swimming movements, the main aims of this study was to characterize ChE activities in adductor Muscle of A. colbecki and to investigate their sensitivity to organophosphate pesticides and heavy metals. The results suggest that an acetylcholinesterase-like enzyme in the adductor muscle of the scallop has low sensitivity to organophosphates but was significantly inhibited by exposure to cadmium.</t>
  </si>
  <si>
    <t>Univ Siena, Dept Environm Sci, I-53100 Siena, Italy</t>
  </si>
  <si>
    <t>University of Siena</t>
  </si>
  <si>
    <t>Bonacci, S (corresponding author), Univ Siena, Dept Environm Sci, Via PA Matiioli 4, I-53100 Siena, Italy.</t>
  </si>
  <si>
    <t>bonacci@unisi.it</t>
  </si>
  <si>
    <t>Bonacci, Stefano/ABI-5676-2020; corsi, ilaria/D-3795-2012</t>
  </si>
  <si>
    <t>corsi, ilaria/0000-0002-1811-3041</t>
  </si>
  <si>
    <t>0954-1020</t>
  </si>
  <si>
    <t>1365-2079</t>
  </si>
  <si>
    <t>ANTARCT SCI</t>
  </si>
  <si>
    <t>Antarct. Sci.</t>
  </si>
  <si>
    <t>10.1017/S0954102006000022</t>
  </si>
  <si>
    <t>http://dx.doi.org/10.1017/S0954102006000022</t>
  </si>
  <si>
    <t>020QA</t>
  </si>
  <si>
    <t>WOS:000235923600003</t>
  </si>
  <si>
    <t>Beck, JN; Sneddon, J</t>
  </si>
  <si>
    <t>Use of atomic absorption spectrometry for the determination of metals in sediments in south-west Louisiana</t>
  </si>
  <si>
    <t>atomic absorption spectrometry; south-west Louisiana; metals</t>
  </si>
  <si>
    <t>TRACE-METALS; SOUTHEASTERN LOUISIANA; SELECTIVE DISSOLUTION; CHEMICAL AVAILABILITY; EXTRACTION TECHNIQUES; SOFT SEDIMENTS; UNITED-STATES; MUSSEL-WATCH; LAKE-BOEUF; MERCURY</t>
  </si>
  <si>
    <t>The relatively recent introduction of atomic absorption spectrometry has produced a rapid and relatively inexpensive method for the determination of metal concentrations in a wide variety of samples. One such application is in the determination of metal concentrations in soils and sediments. Soils and sediments represent concentrated reservoirs for these metals that serve as sinks for introduced trace metals or can become environmental sources. The coastal zone of Louisiana provides a 'living laboratory' to investigate the mechanisms of transport, deposition, and dissolution of trace metals into this fragile environment. investigations done in the coastal zone have found trace metals tend to concentrate near pollution inputs and sources and have not migrated to or significantly impacted the coastal zone of Louisiana. Common trace metals determined and their range of concentrations in coastal soil and sediments are chromium (10-30 ppm), copper (10-25 ppm), iron (0.6-2.1%), manganese (200-600 ppm), nickel (6-20 ppm), lead (8-20 ppm), and zinc (30-55 ppm). (C) 2000 Elsevier Science B.V. All rights reserved.</t>
  </si>
  <si>
    <t>Nicholls State Univ, Dept Phys Sci, Thibodaux, LA USA; McNeese State Univ, Dept Chem, Lake Charles, LA 70609 USA</t>
  </si>
  <si>
    <t>University of Louisiana System; Nicholls State University; University of Louisiana System; McNeese State University</t>
  </si>
  <si>
    <t>Beck, JN (corresponding author), Nicholls State Univ, Dept Phys Sci, Thibodaux, LA USA.</t>
  </si>
  <si>
    <t>10.1016/S0026-265X(00)00059-X</t>
  </si>
  <si>
    <t>http://dx.doi.org/10.1016/S0026-265X(00)00059-X</t>
  </si>
  <si>
    <t>382PH</t>
  </si>
  <si>
    <t>WOS:000165831100005</t>
  </si>
  <si>
    <t>Whitehead, DA; Gayford, JH; Pancaldi, F; Gobbato, J; Boldrin, G; Tringali, M; Ketchum, JT; Magaña, FG; Seveso, D; Montano, S</t>
  </si>
  <si>
    <t>Whitehead, Darren A.; Gayford, Joel H.; Pancaldi, Francesca; Gobbato, Jacopo; Boldrin, Giulia; Tringali, Maria; Ketchum, James T.; Magana, Felipe Galvan; Seveso, Davide; Montano, Simone</t>
  </si>
  <si>
    <t>Heavy metal and trace element concentrations in the blood of scalloped hammerhead sharks (Sphyrna lewini) from La Paz Bay, Mexico</t>
  </si>
  <si>
    <t>Elasmobranchii; Bioaccumulation; Turnover rate; Blood; Conservation</t>
  </si>
  <si>
    <t>GULF-OF-CALIFORNIA; POLYCHLORINATED-BIPHENYLS; MARINE PREDATORS; TOTAL MERCURY; MOLAR RATIOS; SELENIUM; FISH; BIOACCUMULATION; MUSCLE; TOXICITY</t>
  </si>
  <si>
    <t>Sharks are particularly susceptible to bioaccumulation due to their life history characteristics and trophic position within marine ecosystems. Despite this, studies of bioaccumulation cover only a small proportion of extant species. In this study we report concentrations of trace elements and heavy metals in blood samples of Sphyrna lewini for the first time. We report high concentrations of several trace elements and heavy metals, with concentrations of some elements exceeding the limit determined safe for human consumption. High elemental concentrations may reflect biochemical differences between blood plasma and other tissues; however, they may also be symptomatic of high levels of exposure triggered by anthropogenic activities. We also provide evidence of elemental accumulation through ontogeny, the nature of which differs from that previously reported. Ultimately, this baseline study increases our understanding of interspecific and intraspecific variation in bioaccumulation and ecotoxicology in elasmobranchs which may prove important in ensuring adequate management.</t>
  </si>
  <si>
    <t>[Whitehead, Darren A.] Invest Tiburones Mexico AC, La Paz, Mexico; [Whitehead, Darren A.; Pancaldi, Francesca; Magana, Felipe Galvan] Inst Politecn Nacl, Ctr Interdisciplinario Ciencias Marinas, La Paz 23096, Mexico; [Gayford, Joel H.] Imperial Coll London, Dept Life Sci, Silwood Pk Campus, London, England; [Gayford, Joel H.] Shark Measurements, London, England; [Gobbato, Jacopo; Boldrin, Giulia; Tringali, Maria; Seveso, Davide; Montano, Simone] Univ Milano Bicocca, Dept Earth &amp; Environm Sci DISAT, Piazza Sci 1, I-20126 Milan, Italy; [Gobbato, Jacopo; Seveso, Davide; Montano, Simone] MaRHE Ctr, Marine Res &amp; High Educ Ctr, Magoodhoo Isl 12030, Faafu Atoll, Maldives; [Ketchum, James T.] Pelagios Kakuna AC, La Paz 23060, Mexico; [Ketchum, James T.] Ctr Invest Biol Noroeste CIBNOR, La Paz, Bcs, Mexico; [Ketchum, James T.] MigraMar, Bodega Bay, CA USA</t>
  </si>
  <si>
    <t>Instituto Politecnico Nacional - Mexico; Imperial College London; University of Milano-Bicocca; CIBNOR - Centro de Investigaciones Biologicas del Noroeste</t>
  </si>
  <si>
    <t>Whitehead, DA (corresponding author), Invest Tiburones Mexico AC, La Paz, Mexico.</t>
  </si>
  <si>
    <t>darren.a.whitehead@gmail.com</t>
  </si>
  <si>
    <t>Gobbato, Jacopo/LBH-0622-2024; Gayford, Joel/HMD-9482-2023</t>
  </si>
  <si>
    <t>Gobbato, Jacopo/0000-0002-8199-059X</t>
  </si>
  <si>
    <t>Instituto Politecnico Nacional</t>
  </si>
  <si>
    <t>Authors would like to thank volunteers and interns of Pelagios Kakunja A.C for assisting in fieldwork and data collection procedures as well as the local artisanal fishing communities for allowing the sampling protocols of their catch to support the research and conservation of sharks in this region. Also, to the laboratory technicians from the University of Milano-Bicocca and the Centro Interdisciplinario de Ciencias Marinas for support during the analysis process. FGM thanks to Instituto Politecnico Nacional for the fellowships granted (COFAA and EDI) .</t>
  </si>
  <si>
    <t>10.1016/j.marpolbul.2024.116155</t>
  </si>
  <si>
    <t>http://dx.doi.org/10.1016/j.marpolbul.2024.116155</t>
  </si>
  <si>
    <t>NU3J1</t>
  </si>
  <si>
    <t>WOS:001202925400001</t>
  </si>
  <si>
    <t>Mouneyrac, C; Amiard-Triquet, C; Amaird, JC; Rainbow, PS</t>
  </si>
  <si>
    <t>Comparison of metallothionein concentrations and tissue distribution of trace metals in crabs (Pachygrapsus marmoratus) from a metal-rich estuary, in and out of the reproductive season</t>
  </si>
  <si>
    <t>crab; Pachygrapsus marmoratus; Gironde estuary (France); metallothionein; cadmium; copper; zinc; reproductive period</t>
  </si>
  <si>
    <t>OYSTERS CRASSOSTREA-GIGAS; NATURAL FACTORS SALINITY; CARCINUS-MAENAS L; CALLINECTES-SAPIDUS; BLUE-CRAB; LITTORINA-LITTOREA; FRESH-WATER; MOLT CYCLE; CADMIUM; COPPER</t>
  </si>
  <si>
    <t>Crabs, Pachygrapsus marmoratus, were sampled in June 1997 and February 1998 from two sites (at the mouth and 25 km upstream) in the metal-rich Gironde estuary, France. Gills and hepatopancreas were analysed for metal (Cd, Cu, Zn) and metallothionein (MT) contents, in order to examine the influence of both biological and environmental factors on the physico-chemical forms of detoxified metal storage in the crabs. The concentrations of MT and both cytosolic and insoluble metals were not greatly different between males and females, and the influence of organ weights was also minimal. Intersite differences were observed, probably resulting from the gradient of salinity in the estuary, which interacts with both the chemical speciation and bioavailability of metals, and the general protein metabolism of the crabs. Seasonal changes were also important, probably in interaction with the moult and reproductive cycles. In February, concentrations of insoluble metals were generally higher than in June, in both organs, suggesting that essential metals, particularly Zn, are stored during winter then remobilised during the breeding season. The natural variability in the concentrations of MT often concealed any relationship with accumulated metal concentrations. Thus MT in crabs cannot be considered as a useful biomarker of metal pollution. (C) 2001 Elsevier Science Inc. All rights reserved.</t>
  </si>
  <si>
    <t>IRFA, Dept Sci Vie &amp; Terre, Lab Ecol Anim, F-49100 Angers, France; ISOMer, Fac Pharm 1, Serv Ecotoxicol, CNRS,GDR 1117, F-44035 Nantes 1, France; Nat Hist Museum, Dept Zool, London SW7 5BD, England</t>
  </si>
  <si>
    <t>Centre National de la Recherche Scientifique (CNRS); Natural History Museum London</t>
  </si>
  <si>
    <t>10.1016/S1532-0456(01)00193-4</t>
  </si>
  <si>
    <t>http://dx.doi.org/10.1016/S1532-0456(01)00193-4</t>
  </si>
  <si>
    <t>454BW</t>
  </si>
  <si>
    <t>WOS:000169953400002</t>
  </si>
  <si>
    <t>Meng, M; Shi, JB; Liu, CB; Zhu, NL; Shao, JJ; He, B; Cai, Y; Jiang, GB</t>
  </si>
  <si>
    <t>Meng, Mei; Shi, Jian-bo; Liu, Cheng-bin; Zhu, Na-li; Shao, Jun-juan; He, Bin; Cai, Yong; Jiang, Gui-bin</t>
  </si>
  <si>
    <t>Biomagnification of mercury in mollusks from coastal areas of the Chinese Bohai Sea</t>
  </si>
  <si>
    <t>POLYBROMINATED DIPHENYL ETHERS; MARINE FOOD-WEB; PERSISTENT ORGANIC POLLUTANTS; POLYCHLORINATED-BIPHENYLS; HUDSON-BAY; TROPHIC TRANSFER; MUSSEL WATCH; TRACE-METAL; YELLOW SEA; METHYLMERCURY</t>
  </si>
  <si>
    <t>The multiple recognized mollusk species are usually regarded as one group lying at the second trophic level in the marine ecosystem. As a result, the virtual resolution of Hg uptake and transfer processes that occur in different mollusks would be overlooked. In this work, the concentrations of total mercury (THg) and methylmercury (MeHg), delta N-15, delta C-13 and lipid contents were comprehensively analyzed in 11 mollusk species collected from the Chinese Bohai Sea during 2007-2012. The contents of THg and MeHg were in the range 27.2-461.1 and 2.1-295.5 mu g kg(-1), respectively. The trophic levels (TLs) were in the range 1.99-4.02. The biomagnification of Hg was evident from the significant positive correlations between Hg contents and TLs, and from the trophic magnification factors (TMFs). MeHg is the main species of Hg magnification in mollusks, while growth dilution occurs in the trophic transfer of inorganic mercury (IHg). TLs showed a greater effect on Hg levels in mollusks than lipid contents.</t>
  </si>
  <si>
    <t>[Meng, Mei; Shi, Jian-bo; Liu, Cheng-bin; Zhu, Na-li; Shao, Jun-juan; He, Bin; Jiang, Gui-bin] Chinese Acad Sci, Ecoenvironm Sci Res Ctr, State Key Lab Environm Chem &amp; Ecotoxicol, Beijing 100085, Peoples R China; [Liu, Cheng-bin; Cai, Yong] Jianghan Univ, Inst Environm &amp; Hlth, Wuhan 430056, Peoples R China; [Cai, Yong] Florida Int Univ, Dept Chem &amp; Biochem, Miami, FL 33199 USA; [Cai, Yong] Florida Int Univ, Southeast Environm Res Ctr, Miami, FL 33199 USA</t>
  </si>
  <si>
    <t>Chinese Academy of Sciences; Research Center for Eco-Environmental Sciences (RCEES); Jianghan University; State University System of Florida; Florida International University; State University System of Florida; Florida International University</t>
  </si>
  <si>
    <t>Shi, JB (corresponding author), Chinese Acad Sci, Ecoenvironm Sci Res Ctr, State Key Lab Environm Chem &amp; Ecotoxicol, Beijing 100085, Peoples R China.</t>
  </si>
  <si>
    <t>jbshi@rcees.ac.cn</t>
  </si>
  <si>
    <t>Liu, Jinyu/JYQ-6274-2024; Shi, Jianbo/B-1785-2012; Cai, Yong/K-9868-2015</t>
  </si>
  <si>
    <t>Liu, Chengbin/0000-0002-3785-2616; Shi, Jianbo/0000-0003-2637-1929; Cai, Yong/0000-0002-2811-4638</t>
  </si>
  <si>
    <t>National Basic Research Program of China [2013CB430004]; National Natural Science Foundation of China [41422306, 21120102040]; Chinese Academy of Sciences [XDB14010400]; RCEES [RCEES-QN-20130007F]</t>
  </si>
  <si>
    <t>National Basic Research Program of China(National Basic Research Program of China); National Natural Science Foundation of China(National Natural Science Foundation of China (NSFC)); Chinese Academy of Sciences(Chinese Academy of Sciences); RCEES(Chinese Academy of Sciences)</t>
  </si>
  <si>
    <t>This work was supported by the National Basic Research Program of China (2013CB430004), the National Natural Science Foundation of China (41422306 and 21120102040), the Strategic Priority Research Program of the Chinese Academy of Sciences (XDB14010400), and the Young Scientists Fund of RCEES (RCEES-QN-20130007F).</t>
  </si>
  <si>
    <t>10.1039/c5ra02919h</t>
  </si>
  <si>
    <t>http://dx.doi.org/10.1039/c5ra02919h</t>
  </si>
  <si>
    <t>CH7JB</t>
  </si>
  <si>
    <t>WOS:000354211100050</t>
  </si>
  <si>
    <t>Anagha, B; Athira, PS; Anisha, P; Charles, PE; Anandkumar, A; Rajaram, R</t>
  </si>
  <si>
    <t>Anagha, Biju; Athira, Pulickal Santhosh; Anisha, Pyary; Charles, Partheeban Emmanuel; Anandkumar, Arumugam; Rajaram, Rajendran</t>
  </si>
  <si>
    <t>Biomonitoring of heavy metals accumulation in molluscs and echinoderms collected from southern coastal India</t>
  </si>
  <si>
    <t>Trace metal; Gastropod; Malabar coast; Tamil Nadu; Edible bivalves; Risk assessment</t>
  </si>
  <si>
    <t>RISK-ASSESSMENT; PERNA-VIRIDIS; TRACE-ELEMENTS; BIOACCUMULATION; CONTAMINATION; BIVALVES; SEDIMENT; BAY; ZN; CUDDALORE</t>
  </si>
  <si>
    <t>Distribution of five heavy metals (Cd, Cr, Cu, Pb, and Zn) in molluscan and echinoderm species collected from Kerala and Gulf of Mannar in Southern India is presented. Atomic absorption spectrometry was used to determine metal concentrations. Concentrations of metals showed a descending order of Zn &gt; Cu &gt; Pb &gt; Cd &gt; Cr. Zn and Cu might have originated from both natural and man-made sources. However, Cd, Cr, and Pb could have strong anthropogenic influences such as harbour activities and untreated industrial and agricultural runoff. Bio-accumulation factor (BAF) value of Cd in two edible bivalves from Munambam is slightly greater than one. Regular consumption of Cd-loaded shellfish can cause serious health hazards and concerns to humans. BAF re-sults showed that Zn, Cu, Pb, and Cd were more bioaccumulated and beyond the threshold limits in certain species. It is evident that consumption of shellfish from the Kerala coastal waters may have adverse health impacts to the consumers.</t>
  </si>
  <si>
    <t>[Anagha, Biju; Athira, Pulickal Santhosh; Anisha, Pyary; Charles, Partheeban Emmanuel; Rajaram, Rajendran] Bharathidasan Univ, Dept Marine Sci, DNA Barcoding &amp; Marine Genom Lab, Tiruchirappalli 620024, Tamil Nadu, India; [Anandkumar, Arumugam] Bar Ilan Univ, Dept Geog &amp; Environm, IL-52900 Ramat Gan, Israel; [Rajaram, Rajendran] Bharathidasan Univ, Dept Marine Sci, Tiruchirappalli, Tamil Nadu, India</t>
  </si>
  <si>
    <t>Bharathidasan University; Bar Ilan University; Bharathidasan University</t>
  </si>
  <si>
    <t>Rajaram, R (corresponding author), Bharathidasan Univ, Dept Marine Sci, Tiruchirappalli, Tamil Nadu, India.</t>
  </si>
  <si>
    <t>drrajaram69@rediffmail.com</t>
  </si>
  <si>
    <t>Rajaram, Rajendran/ACB-0783-2022</t>
  </si>
  <si>
    <t>Partheeban, Emmanuel Charles/0000-0003-1274-4106; RAJARAM, RAJENDRAN/0000-0003-2621-1677; Biju, Anagha/0009-0009-1797-9087</t>
  </si>
  <si>
    <t>Ministry of Earth Science, Government of India; [MoES/36/OOIS/Extra./9/2013]</t>
  </si>
  <si>
    <t>Ministry of Earth Science, Government of India;</t>
  </si>
  <si>
    <t>The authors are thankful to the Department of Marine Science, Bharathidasan University, Tiruchirappalli, India, for providing the facilities for the research work. Authors are also indebted to the Ministry of Earth Science, Government of India (Ref. No.: MoES/36/OOIS/Extra./9/2013) for funding the AAS facility.</t>
  </si>
  <si>
    <t>10.1016/j.marpolbul.2022.114169</t>
  </si>
  <si>
    <t>http://dx.doi.org/10.1016/j.marpolbul.2022.114169</t>
  </si>
  <si>
    <t>OCT 2022</t>
  </si>
  <si>
    <t>WOS:000876813900003</t>
  </si>
  <si>
    <t>Gallo, A</t>
  </si>
  <si>
    <t>Gallo, Alessandra</t>
  </si>
  <si>
    <t>Toxicity of marine pollutants on the ascidian oocyte physiology: an electrophysiological approach</t>
  </si>
  <si>
    <t>ZYGOTE</t>
  </si>
  <si>
    <t>Ascidian; Fertilization; Heavy metal; Ion current; Oocyte; Organic tin; Phenylurea herbicide</t>
  </si>
  <si>
    <t>EARLY DEVELOPMENTAL-STAGES; ALTERNATIVE ANTIFOULING BIOCIDES; CIONA-INTESTINALIS CHORDATA; SEA-URCHIN; ENDOCRINE DISRUPTION; MYTILUS-GALLOPROVINCIALIS; REPRODUCTIVE MECHANISMS; PARACENTROTUS-LIVIDUS; PHALLUSIA-MAMMILLATA; MODEL ORGANISMS</t>
  </si>
  <si>
    <t>In marine animals with external fertilization, gametes are released into seawater where fertilization and embryo development occur. Consequently, pollutants introduced into the marine environment by human activities may affect gametes and embryos. These xenobiotics can alter cell physiology with consequent reduction of fertilization success. Here the adverse effects on the reproductive processes of the marine invertebrate Ciona intestinalis (ascidian) of different xenobiotics: lead, zinc, an organic tin compound and a phenylurea herbicide were evaluated. By using the electrophysiological technique of whole-cell voltage clamping, the effects of these compounds on the mature oocyte plasma membrane electrical properties and the electrical events of fertilization were tested by calculating the concentration that induced 50% normal larval formation (EC50). The results demonstrated that sodium currents in mature oocytes were reduced in a concentration-dependent manner by all tested xenobiotics, with the lowest EC50 value for lead. In contrast, fertilization current frequencies were differently affected by zinc and organic tin compound. Toxicity tests on gametes demonstrated that sperm fertilizing capability and fertilization oocyte competence were not altered by xenobiotics, whereas fertilization was inhibited in zinc solution and underwent a reduction in organic tin compound solution (EC50 value of 1.7 mu M). Furthermore, fertilized oocytes resulted in a low percentage of normal larvae with an EC50 value of 0.90 mu M. This study shows that reproductive processes of ascidians are highly sensitive to xenobiotics suggesting that they may be considered a reliable biomarker and that ascidians are suitable model organisms to assess marine environmental quality.</t>
  </si>
  <si>
    <t>[Gallo, Alessandra] Stn Zool Anton Dohrn, Dept Biol &amp; Evolut Marine Organisms, I-80121 Naples, Italy</t>
  </si>
  <si>
    <t>Gallo, A (corresponding author), Stn Zool Anton Dohrn, Villa Comunale 80121, I-80121 Naples, Italy.</t>
  </si>
  <si>
    <t>alessandra.gallo@szn.it</t>
  </si>
  <si>
    <t>Stazione Zoologica Anton Dohrn institutional funds</t>
  </si>
  <si>
    <t>I thank Dr Elisabetta Tosti for her continuous support and advice. Thanks are also due to G.L. Zazo and M. Cannavacciuolo for providing ascidians, to A. Macina for maintaining the ascidians and to V. Monfrecola for technical assistance. This research received no specific grant from any funding agency, commercial or not-for-profit sectors. Alessandra Gallo's post-doctoral fellowship has been supported by Stazione Zoologica Anton Dohrn institutional funds.</t>
  </si>
  <si>
    <t>0967-1994</t>
  </si>
  <si>
    <t>1469-8730</t>
  </si>
  <si>
    <t>Zygote</t>
  </si>
  <si>
    <t>10.1017/S0967199417000612</t>
  </si>
  <si>
    <t>http://dx.doi.org/10.1017/S0967199417000612</t>
  </si>
  <si>
    <t>Cell Biology; Developmental Biology; Reproductive Biology</t>
  </si>
  <si>
    <t>FU8TK</t>
  </si>
  <si>
    <t>WOS:000424128200002</t>
  </si>
  <si>
    <t>Kolarevic, S; Knezevic-Vukcevic, J; Paunovic, M; Kracun, M; Vasiljevic, B; Tomovic, J; Vukovic-Gacic, B; Gacic, Z</t>
  </si>
  <si>
    <t>Kolarevic, Stoimir; Knezevic-Vukcevic, Jelena; Paunovic, Momir; Kracun, Margareta; Vasiljevic, Bozica; Tomovic, Jelena; Vukovic-Gacic, Branka; Gacic, Zoran</t>
  </si>
  <si>
    <t>Monitoring of DNA damage in haemocytes of freshwater mussel Sinanodonta woodiana sampled from the Velika Morava River in Serbia with the comet assay</t>
  </si>
  <si>
    <t>Comet assay; Sinanodonta woodiana; Haemocytes; Velika morava river</t>
  </si>
  <si>
    <t>DREISSENA-POLYMORPHA HEMOCYTES; ZEBRA MUSSEL; ANODONTA-WOODIANA; CRASSOSTREA-VIRGINICA; OXIDATIVE STRESS; TEMPERATURE; BIOMARKERS; ACCUMULATION; GENOTOXICITY; QUALITY</t>
  </si>
  <si>
    <t>This study was undertaken to investigate the potential of the freshwater mussel Sinanodonta woodiana for detection of genotoxic pollution of the environment. Study was performed at two sites in the Velika Morava River, from May 2010 to February 2011. The alkaline comet assay on haemocytes was used, and the olive tail moment (OTM) was chosen as a measure of DNA damage. The specimens held on acclimation under controlled laboratory conditions for 10 d were used as a control. Chemical analysis revealed the presence of phosphates and increased concentrations of zinc, copper and nickel at both sites during the entire sampling period. The values of OTM in mussels collected from the environment, significantly correlated with the concentration of zinc (r = 0.6248), temperature (r = 0.7006) and dissolved oxygen (r = 0.7738). Seasonal variations in genotoxic response were observed, with the highest OTM values obtained during summer months. Preliminary results of the in vitro study indicated the effect of water temperature on genotoxic response to zinc and cadmium in S. woodiana suggesting that the presence of genotoxic pollutants during months with lower temperature could be under-estimated. Obtained results indicate that S. woodiana could be a valuable tool for active biomonitoring of aquatic environments and emphasizes the importance of seasonal genotoxic monitoring with this organism. (C) 2013 Elsevier Ltd. All rights reserved.</t>
  </si>
  <si>
    <t>[Kolarevic, Stoimir; Knezevic-Vukcevic, Jelena; Vukovic-Gacic, Branka] Univ Belgrade, Fac Biol, Chair Microbiol, Ctr Genotoxicol &amp; Ecogenotoxicol, Studentski Trg 16, Belgrade 11000, Serbia; [Paunovic, Momir; Kracun, Margareta; Vasiljevic, Bozica; Tomovic, Jelena] Univ Belgrade, Inst Biol Res Sinisa Stankovic, Belgrade 11000, Serbia; [Gacic, Zoran] Univ Belgrade, Inst Multidisciplinary Res, Belgrade 11000, Serbia</t>
  </si>
  <si>
    <t>University of Belgrade; University of Belgrade; University of Belgrade</t>
  </si>
  <si>
    <t>Kolarevic, S (corresponding author), Univ Belgrade, Fac Biol, Chair Microbiol, Ctr Genotoxicol &amp; Ecogenotoxicol, Studentski Trg 16, Belgrade 11000, Serbia.</t>
  </si>
  <si>
    <t>stoimirk@bio.bg.ac.rs</t>
  </si>
  <si>
    <t>Kolarevic, Stoimir/JQW-3696-2023; Kračun-Kolarević, Margareta/JQT-3327-2023; Paunović, Momir/H-9177-2019; Tomovic, Jelena/GLR-2721-2022; Vasiljevic, Bozica/JQW-3117-2023</t>
  </si>
  <si>
    <t>Vukovic-Gacic, Branka/0000-0001-8767-1912; Knezevic-Vukcevic, Jelena/0000-0002-8138-6579; Kracun-Kolarevic, Margareta/0000-0002-8885-2456; Tomovic, Jelena/0000-0001-6359-0683; Vasiljevic, Bozica/0000-0002-9856-5311; Paunovic, Momir/0000-0002-6432-1191; Kolarevic, Stoimir/0000-0002-6938-8803</t>
  </si>
  <si>
    <t>European Community [265264]</t>
  </si>
  <si>
    <t>European Community</t>
  </si>
  <si>
    <t>This research has received funding from the European Community's FP7/2007-2013 agreement no. 265264.</t>
  </si>
  <si>
    <t>10.1016/j.chemosphere.2013.04.073</t>
  </si>
  <si>
    <t>http://dx.doi.org/10.1016/j.chemosphere.2013.04.073</t>
  </si>
  <si>
    <t>221OH</t>
  </si>
  <si>
    <t>WOS:000324667700007</t>
  </si>
  <si>
    <t>Dondero, F; Banni, M; Negri, A; Boatti, L; Dagnino, A; Viarengo, A</t>
  </si>
  <si>
    <t>Dondero, Francesco; Banni, Mohamed; Negri, Alessandro; Boatti, Lara; Dagnino, Alessandro; Viarengo, Aldo</t>
  </si>
  <si>
    <t>Interactions of a pesticide/heavy metal mixture in marine bivalves: a transcriptomic assessment</t>
  </si>
  <si>
    <t>BMC GENOMICS</t>
  </si>
  <si>
    <t>GM2 ACTIVATOR PROTEIN; GENE-EXPRESSION; DEVELOPMENTAL NEUROTOXICITY; MYTILUS-EDULIS; SYSTEMS TOXICOLOGY; DIGESTIVE CELLS; RISK-ASSESSMENT; MESSENGER-RNA; PCR ANALYSIS; CHLORPYRIFOS</t>
  </si>
  <si>
    <t>Background: Mixtures of chemicals present in aquatic environments may elicit toxicity due to additive or synergistic effects among the constituents or, vice versa, the adverse outcome may be reduced by antagonistic interactions. Deviations from additivity should be explained either by the perturbations of toxicokinetic parameters and/or chemical toxicodynamics. We addressed this important question in marine mussels exposed subchronically to a binary mixture made of two wide-spread pollutants: the heavy metal nickel and the organic phosphorus pesticide Chlorpyrifos. To this aim, we carried out in tissues of Mytius galloprovincialis (Lam) a systems approach based on the evaluation and integration of different disciplines, i.e. high throughput gene expression profiling, functional genomics, stress biomakers and toxicokinetics. Results: Cellular and tissue biomarkers, viz. digestive gland lysosomal membrane stability, lysosomal/cytosol volume ratio, neutral lipid content and gill acetylcholinesterase activity were, in general, altered by either the exposure to nickel and Chlorpyrifos. However, their joint action rendered (i) an overall decrease of the stress syndrome level, as evaluated through an expert system integrating biomarkers and (ii) statistically significant antagonistic deviations from the reference model systems to predict mixture toxicity. While toxicokinetic modeling did not explain mixture interactions, gene expression profiling and further Gene Ontology-based functional genomics analysis provided clues that the decrement of toxicity may arise from the development of specific toxicodynamics. Multivariate statistics of microarray data (238 genes in total, representing about 14% of the whole microarray catalogue) showed two separate patterns for the single chemicals: the one belonging to the heavy metal -135 differentially expressed genes (DEGs) was characterized by the modulation of transcript levels involved in nucleic acid metabolism, cell proliferation and lipid metabolic processes. Chlorpyrifos exposure (43 DEGs) yielded a molecular signature which was biased towards carbohydrate catabolism (indeed, chitin metabolism) and developmental processes. The exposure to the mixture (103 DEGs) elicited a composite complex profile which encompassed the core properties of the pesticide but also a relevant set of unique features. Finally, the relative mRNA abundance of twelve genes was followed by Q-PCR to either confirm or complement microarray data. These results, in general, were compatible with those from arrays and indeed confirmed the association of the relative abundance of two GM-2 ganglioside activator genes in the development of the hyperlipidosis syndrome observed in digestive gland lysosomes of single chemical exposed mussels. Conclusion: The transcriptomic assessment fitted with biological data to indicate the occurrence of different toxicodynamic events and, in general, a decrease of toxicity, driven by the mitigation or even abolition of lysosomal responses. Furthermore, our results emphasized the importance of the application of mechanistic approaches and the power of systems assessment to study toxicological responses in ecologically relevant organisms.</t>
  </si>
  <si>
    <t>[Dondero, Francesco; Banni, Mohamed; Negri, Alessandro; Boatti, Lara; Dagnino, Alessandro; Viarengo, Aldo] Univ Piemonte Orientale Amedeo Avogadro, Dept Environm &amp; Life Sci, I-15121 Alessandria, Italy; [Banni, Mohamed] ISA, Lab Biochem &amp; Environm Toxicol, Chott Mariem 4042, Sousse, Tunisia</t>
  </si>
  <si>
    <t>University of Eastern Piedmont Amedeo Avogadro; Universite de Tunis-El-Manar; Institut Salah Azaiez</t>
  </si>
  <si>
    <t>Dondero, F (corresponding author), Univ Piemonte Orientale Amedeo Avogadro, Dept Environm &amp; Life Sci, I-15121 Alessandria, Italy.</t>
  </si>
  <si>
    <t>francesco.dondero@mfn.unipmn.it</t>
  </si>
  <si>
    <t>Dagnino, Alessandro/D-3060-2013; Dondero, Francesco/J-1528-2012; Banni, Mohamed/M-2144-2014</t>
  </si>
  <si>
    <t>Dondero, Francesco/0000-0001-7945-3712; Dagnino, Alessandro/0000-0003-3779-9891; Banni, Mohamed/0000-0001-9764-0343; Viarengo, Aldo/0000-0002-1557-6526</t>
  </si>
  <si>
    <t>UE [003956]</t>
  </si>
  <si>
    <t>UE</t>
  </si>
  <si>
    <t>This research was supported by a grant from the UE 6th FW Program, NoMiracle, IP Contract number, 003956. The MytArray slides were developed and printed by CRIBI BIOTECHNOLOGY CENTER - University of Padova, Via Ugo Bassi, No. 58/B, 35121 Padova, Italy. Authors acknowledge Dr. Flavia Capri for technical assistance in cytochemical analysis. All auhors read and approved the final manuscript.</t>
  </si>
  <si>
    <t>1471-2164</t>
  </si>
  <si>
    <t>BMC Genomics</t>
  </si>
  <si>
    <t>APR 16</t>
  </si>
  <si>
    <t>10.1186/1471-2164-12-195</t>
  </si>
  <si>
    <t>http://dx.doi.org/10.1186/1471-2164-12-195</t>
  </si>
  <si>
    <t>Biotechnology &amp; Applied Microbiology; Genetics &amp; Heredity</t>
  </si>
  <si>
    <t>762YB</t>
  </si>
  <si>
    <t>WOS:000290517000001</t>
  </si>
  <si>
    <t>Zhang, XY; Zhu, QD; Zhai, AF; Ding, XW</t>
  </si>
  <si>
    <t>Zhang, Xinyi; Zhu, Qiande; Zhai, Aifeng; Ding, Xiaowen</t>
  </si>
  <si>
    <t>Development of interval transient pollution distribution model and its application in the Fenghuangshan drinking water source</t>
  </si>
  <si>
    <t>Drinking water source; Cadmium pollution; Flow velocity; Interval; Distribution model</t>
  </si>
  <si>
    <t>3 GORGES RESERVOIR; MUSSELS MYTILUS-EDULIS; OIL-SPILL; HEAVY-METALS; SIMULATION PROGRAM; RISK-ASSESSMENT; QUALITY; RIVER; ACCIDENTS; SEDIMENTS</t>
  </si>
  <si>
    <t>For the purpose of studying the spreading regularity of metal pollution accident and resolving problem of pa-rameters being difficult to obtain in the drinking water source, interval transient pollution distribution model was developed and applied to the Fenghuangshan drinking water source, Three Gorges Reservoir. After parameter calibration and model validation, the mean absolute deviation between the calculated value (data obtained by the model simulation) and the measured value (the real measured data of the Zigui drinking water source area) was less than 7%. Thence, the promoted model can be used in practical accident pollution. Relying on MATLAB 2014a, this research presented the cadmium pollution-spreading pattern in the drinking water source based on the proposed model. Under the premise of different hydrological periods and different initial pollutant quality, this study focused on forecasting and analyzing the spatial distribution of pollution accident within one hour, concentration diffusion of pollution source change with time and concentration diffusion in the drinking water source with time. The results showed that the variation of cadmium concentration was influenced by the distance between the accidental emission source and shore. Specifically, the distance increases, and the appearance of the second pollution peak is subsequently delayed. Moreover, the dilution rate of pollutant was directly proportional to water depth and flow velocity, and the flow velocity has more important influence on the diffusion of pollutants than others do. The purpose of this study is to develop an effective model to forecast and solve the metal pollution accident in drinking water sources under the condition of incomplete or uncertain parameters in order to solve the problem of difficult hydrological data acquisition. The results provide some new insights and references for researchers and decision makers to predict and respond to emergency accident pollution in drinking water sources.</t>
  </si>
  <si>
    <t>[Zhang, Xinyi; Zhai, Aifeng; Ding, Xiaowen] North China Elect Power Univ, Coll Environm Sci &amp; Engn, MOE Key Lab Resources &amp; Environm Syst Optimizat, Beijing 102206, Peoples R China; [Zhu, Qiande] State Key Lab Hydrol &amp; Water Resources &amp; Hydraul E, Nanjing 210029, Peoples R China</t>
  </si>
  <si>
    <t>North China Electric Power University</t>
  </si>
  <si>
    <t>Ding, XW (corresponding author), North China Elect Power Univ, Coll Environm Sci &amp; Engn, MOE Key Lab Resources &amp; Environm Syst Optimizat, Beijing 102206, Peoples R China.</t>
  </si>
  <si>
    <t>xinyi0306@qq.com; zhuqiandekd@163.com; zhaiaifeng@ncepu.edu.cn; binger2000dxw@hotmail.com</t>
  </si>
  <si>
    <t>National Key R&amp;D Program of China CERC-WET Project [2018YFE0196000]; National Key Research and Development Program of China [2017YFC0404503]; National Natural Science foundation of China [41601529]</t>
  </si>
  <si>
    <t>National Key R&amp;D Program of China CERC-WET Project; National Key Research and Development Program of China(National Key Research &amp; Development Program of China); National Natural Science foundation of China(National Natural Science Foundation of China (NSFC))</t>
  </si>
  <si>
    <t>This research work was funded by the National Key R &amp; D Program of China CERC-WET Project (2018YFE0196000) , the National Key Research and Development Program of China (2017YFC0404503) and National Natural Science foundation of China (41601529) . The authors gratefully acknowledge the financial support of the programs and agencies. Finally, authors declare no conflict of interest.</t>
  </si>
  <si>
    <t>10.1016/j.ecolmodel.2022.110037</t>
  </si>
  <si>
    <t>http://dx.doi.org/10.1016/j.ecolmodel.2022.110037</t>
  </si>
  <si>
    <t>3U7YQ</t>
  </si>
  <si>
    <t>WOS:000841182700001</t>
  </si>
  <si>
    <t>Mesquita, AF; Marques, SM; Marques, JC; Gonçalves, FJM; Gonçalves, AMM</t>
  </si>
  <si>
    <t>Mesquita, Andreia F.; Marques, Sergio M.; Marques, Joao C.; Goncalves, Fernando J. M.; Goncalves, Ana M. M.</t>
  </si>
  <si>
    <t>Copper sulphate impact on the antioxidant defence system of the marine bivalves Cerastoderma edule and Scrobicularia plana</t>
  </si>
  <si>
    <t>FATTY-ACIDS PROFILES; FRESH-WATER MUSSEL; MYTILUS-GALLOPROVINCIALIS; LIPID-PEROXIDATION; OXIDATIVE STRESS; SALINITY CHANGES; RISK-ASSESSMENT; ACUTE TOXICITY; HEAVY-METALS; GLUTATHIONE</t>
  </si>
  <si>
    <t>Anthropogenic activities, such as agriculture and industrial activities, are a main source of pollution contributing for the degradation of water quality and thus affecting the living organisms of aquatic systems. Copper is widely used at these practices being often released into the aquatic systems and may cause negative effects in its communities. This study proposes to determine the effects of copper in the antioxidant defence system of two size classes (big and small sizes) of Scrobicularia plana and Cerastoderma edule, two marine bivalve species with commercial interest. It was observed the behaviour activity of the organisms during the exposure to copper sulphate (CS) and was determined the enzymatic activities of glutathione-S-transferases (GST), glutathione reductase (GR) and glutathione peroxidase (GPx) (both selenium-dependent (SeGPx) and total (tGPx)) in the muscle tissue (foot). Lipid peroxidation (LPO) was evaluated through thiobarbituric acid reactive substances (TBARS) measurement in the foot. Changes in the behaviour and enzymatic activity were observed. Lipid peroxidation was observed at C. edule and S. plana big and small size classes, respectively, according to TBARS levels. The foot showed to be a good tissue to be used in biochemical analysis to detect the presence of toxicants.</t>
  </si>
  <si>
    <t>[Mesquita, Andreia F.; Marques, Sergio M.; Goncalves, Fernando J. M.; Goncalves, Ana M. M.] Univ Aveiro, Dept Biol, P-3810193 Aveiro, Portugal; [Mesquita, Andreia F.; Marques, Sergio M.; Goncalves, Fernando J. M.; Goncalves, Ana M. M.] Univ Aveiro, CESAM, P-3810193 Aveiro, Portugal; [Marques, Joao C.; Goncalves, Ana M. M.] Univ Coimbra, MARE Marine &amp; Environm Sci Ctr, Fac Sci &amp; Technol, Dept Life Sci, P-3004517 Coimbra, Portugal</t>
  </si>
  <si>
    <t>Universidade de Aveiro; Universidade de Aveiro; Universidade de Coimbra</t>
  </si>
  <si>
    <t>Gonçalves, AMM (corresponding author), Univ Aveiro, Dept Biol, P-3810193 Aveiro, Portugal.;Gonçalves, AMM (corresponding author), Univ Aveiro, CESAM, P-3810193 Aveiro, Portugal.;Gonçalves, AMM (corresponding author), Univ Coimbra, MARE Marine &amp; Environm Sci Ctr, Fac Sci &amp; Technol, Dept Life Sci, P-3004517 Coimbra, Portugal.</t>
  </si>
  <si>
    <t>Goncalves, Ana/KFA-4223-2024; Marques, Sergio/N-9574-2014; Goncalves, Fernando J. M./B-8000-2008; Goncalves, Ana Marta/A-5151-2013</t>
  </si>
  <si>
    <t>Costa Mesquita, Andreia Filipa/0000-0002-9601-943X; Marques, Sergio/0000-0002-1055-4432; Goncalves, Fernando J. M./0000-0002-9326-187X; Goncalves, Ana Marta/0000-0002-8611-7183</t>
  </si>
  <si>
    <t>Foundation for Science and Technology (FCT) [UID/AMB/50017/2013, UID/MAR/04292/2019]; PORBIOTA, E-Infrastructure Portuguese Information and Research in Biodiversity - Competitiveness and Internationalization Operational Programme through FEDER [POCI-01-0145-FEDER-022127]; Portuguese Foundation for Science and Technology (FCT), through national funds (OE); FCT [SFRH/BPD/97210/2013, SFRH/BPD/112803/2015]; program POPH/FSE; European Social Fund (EU); Human Potential Operational Programme (National Strategic Reference Framework 2007-2013); University of Coimbra [IT057-18-7253]; PORBIOTA, E-Infrastructure Portuguese Information and Research in Biodiversity - Regional Operational Programme of Lisbon, through FEDER [POCI-01-0145-FEDER-022127]; Fundação para a Ciência e a Tecnologia [SFRH/BPD/112803/2015] Funding Source: FCT</t>
  </si>
  <si>
    <t>Foundation for Science and Technology (FCT)(Fundacao para a Ciencia e a Tecnologia (FCT)); PORBIOTA, E-Infrastructure Portuguese Information and Research in Biodiversity - Competitiveness and Internationalization Operational Programme through FEDER; Portuguese Foundation for Science and Technology (FCT), through national funds (OE)(Fundacao para a Ciencia e a Tecnologia (FCT)); FCT(Fundacao para a Ciencia e a Tecnologia (FCT)); program POPH/FSE(European Social Fund (ESF)); European Social Fund (EU)(European Union (EU)European Social Fund (ESF)); Human Potential Operational Programme (National Strategic Reference Framework 2007-2013); University of Coimbra; PORBIOTA, E-Infrastructure Portuguese Information and Research in Biodiversity - Regional Operational Programme of Lisbon, through FEDER; Fundação para a Ciência e a Tecnologia(Fundacao para a Ciencia e a Tecnologia (FCT))</t>
  </si>
  <si>
    <t>This work was supported by Foundation for Science and Technology (FCT) through the strategic projects granted to MARE -Marine and Environmental Sciences Centre UID/MAR/04292/2019 and granted to CESAM Centro de Estudos do Ambiente e do Mar UID/AMB/50017/2013. This research was also partially supported by PORBIOTA, E-Infrastructure Portuguese Information and Research in Biodiversity (POCI-01-0145-FEDER-022127), supported by Competitiveness and Internationalization Operational Programme and Regional Operational Programme of Lisbon, through FEDER, and by the Portuguese Foundation for Science and Technology (FCT), through national funds (OE). A.M.M. Goncalves and S.M. Marques thank FCT for the financial support provided through the post-doctoral grants SFRH/BPD/97210/2013 and SFRH/BPD/112803/2015, respectively, co-funded by the program POPH/FSE, European Social Fund (EU) and Human Potential Operational Programme (National Strategic Reference Framework 2007-2013). A.M.M. Goncalves also acknowledges University of Coimbra for the contract IT057-18-7253. The authors also thanks Dr. Tiago Verdelhos to give permission of the use of figure 1.</t>
  </si>
  <si>
    <t>NOV 11</t>
  </si>
  <si>
    <t>10.1038/s41598-019-52925-9</t>
  </si>
  <si>
    <t>http://dx.doi.org/10.1038/s41598-019-52925-9</t>
  </si>
  <si>
    <t>JL5ZV</t>
  </si>
  <si>
    <t>WOS:000495611100050</t>
  </si>
  <si>
    <t>Pallavicini, N; Engström, E; Baxter, DC; Öhlander, B; Ingri, J; Rodushkin, I</t>
  </si>
  <si>
    <t>Pallavicini, Nicola; Engstrom, Emma; Baxter, Douglas C.; Ohlander, Bjorn; Ingri, Johan; Rodushkin, Ilia</t>
  </si>
  <si>
    <t>Cadmium isotope ratio measurements in environmental matrices by MC-ICP-MS</t>
  </si>
  <si>
    <t>JOURNAL OF ANALYTICAL ATOMIC SPECTROMETRY</t>
  </si>
  <si>
    <t>METAL POLLUTION; PRECISE DETERMINATION; NORTHEAST SWEDEN; FRACTIONATION; LEAD; SAMPLES; ZN; CONSTITUENTS; SEPARATION; BIVALVES</t>
  </si>
  <si>
    <t>Various stages of an analytical method for high-precision cadmium (Cd) isotope ratio measurements by MC-ICP-MS (sample preparation, matrix separation, instrumental analysis and data evaluation) were critically evaluated and optimized for the processing of carbon-rich environmental samples. Overall reproducibility of the method was assessed by replicate preparation and Cd isotope ratio measurements in various environmental matrices (soil, sediment, Fe-Mn nodules, sludge, kidney, liver, leaves) and was found to be better than 0.1 parts per thousand (2 sigma for delta Cd-114/Cd-110) for the majority of samples. Cd isotope ratio data for several commercially-available reference materials are presented and compared with previously published results where available. The method was used in a pilot study focusing on the assessment of factors affecting Cd isotope composition in tree leaves. A summary of results obtained for a large number (n &gt; 80) of birch (Betula pubescenes) leaves collected from different locations in Sweden and through the entire growing season is presented and potential reasons for observed variability in Cd isotope composition are discussed. Seasonal dynamics of element concentrations and isotope compositions in leaves were also compared for Os, Pb, Zn and Cd.</t>
  </si>
  <si>
    <t>[Pallavicini, Nicola; Engstrom, Emma; Ohlander, Bjorn; Ingri, Johan; Rodushkin, Ilia] Lulea Univ Technol, Div Geosci, S-97187 Lulea, Sweden; [Pallavicini, Nicola; Engstrom, Emma; Baxter, Douglas C.; Rodushkin, Ilia] ALS Scandinavia AB, ALS Lab Grp, S-97775 Lulea, Sweden</t>
  </si>
  <si>
    <t>Lulea University of Technology</t>
  </si>
  <si>
    <t>Pallavicini, N (corresponding author), Lulea Univ Technol, Div Geosci, S-97187 Lulea, Sweden.</t>
  </si>
  <si>
    <t>Nicola.Pallavicini@alsglobal.com</t>
  </si>
  <si>
    <t>Rodushkin, Ilia/JCF-0972-2023</t>
  </si>
  <si>
    <t>Rodushkin, Ilia/0000-0003-4505-4590</t>
  </si>
  <si>
    <t>European Union under the REA [290336]; European Union</t>
  </si>
  <si>
    <t>European Union under the REA; European Union(European Union (EU))</t>
  </si>
  <si>
    <t>ALS Scandinavia AB is gratefully acknowledged for technical support. MetTrans Initial Training Network (funded by the European Union under the Seventh Framework Programme) is acknowledged for financial support. We wish to thank Katerina Rodiouchkina for field assistance and Dieke Sorlin for help with sample preparation. The authors also wish to express their gratitude to Dr Frank Wombacher (Institute for Geology and Mineralogy of the University of Cologne, Cologne, Germany) and Prof. Cristophe Cloquet (CRPG - Centre de Recherches Petrographiques et Geochimiques, Vandoeuvre les Nancy, France) for providing us respectively with UM-Munster-Cd standard and NIST SRM 2711reference material. The research leading to these results has received funding from the People Programme (Marie Curie Actions) of the European Union's Seventh Framework Programme FP7 2007-2013, under the REA grant agreement no 290336. The views expressed in this article are those of the authors and may not necessarily reflect those of the European Union.</t>
  </si>
  <si>
    <t>0267-9477</t>
  </si>
  <si>
    <t>1364-5544</t>
  </si>
  <si>
    <t>J ANAL ATOM SPECTROM</t>
  </si>
  <si>
    <t>J. Anal. At. Spectrom.</t>
  </si>
  <si>
    <t>10.1039/c4ja00125g</t>
  </si>
  <si>
    <t>http://dx.doi.org/10.1039/c4ja00125g</t>
  </si>
  <si>
    <t>Chemistry, Analytical; Spectroscopy</t>
  </si>
  <si>
    <t>Chemistry; Spectroscopy</t>
  </si>
  <si>
    <t>AO1HX</t>
  </si>
  <si>
    <t>WOS:000341064300003</t>
  </si>
  <si>
    <t>Elsehly, EM; Ghonim, AZ</t>
  </si>
  <si>
    <t>Elsehly, Emad M.; Ghonim, Aml Z.</t>
  </si>
  <si>
    <t>Enhancing the aquatic conditions for the fresh water bivalves of River Nile, Egypt by functionalized carbon nanotube filters</t>
  </si>
  <si>
    <t>FUNDAMENTAL AND APPLIED LIMNOLOGY</t>
  </si>
  <si>
    <t>heavy metal removal; River Nile bivalves; functionalized carbon nanotube filters; biochemical composition; aquatic conditions enhancement; M. singularis</t>
  </si>
  <si>
    <t>CNT-BASED FILTERS; HEAVY-METAL; REMOVAL; BIOACCUMULATION; DEPURATION; ADSORPTION; EFFICIENCY</t>
  </si>
  <si>
    <t>Freshwater bivalves play a vital role in aquatic ecosystems. The pollution of water supplies with a wide variety of contaminants and bacterial diseases affect bivalve's differently according to their life stage. In the current study functionalized multi-walled carbon nanotube (F-MWCNT) filters were employed to enhance the aquatic conditions for the freshwater bivalve, Mutela singularis (M. singularis). The water samples, contaminated with the heavy metals (Cd, Co, Cr, Cu, Fe, Ni, Pb, and Zn), and bivalves were collected from Abu Hummus, River Nile, Egypt. The biochemical composition of M. singularis before and after using F-MWCNT filters was investigated. A number of Vibrio and Staphylococcus species was considered as important pathogens that were eliminated by F-MWNTs. Our findings revealed enhanced removal at high pH for the metals Co, Cu, Fe, Pb, Ni and Zn, however the exclusion at low pH for Cd, and Cr. F-MWCNTs-based filters showed 99.8 % removal efficiency of copper for 5 mu g L-1 concentration at pH = 10. M. singularis samples in the purified conditions showed high quality of structure followed by a significant increase in the amount of carbohydrate, lipid and protein. The filtration mechanisms as a function of the pH value were discussed. Our study makes a significant contribution not only to the water treatment but also for the potential feeding fields.</t>
  </si>
  <si>
    <t>[Elsehly, Emad M.] Damanhour Univ, Fac Sci, Phys Dept, Damanhour 22516, Egypt; [Ghonim, Aml Z.] Damanhour Univ, Fac Sci, Zool Dept, Damanhour 22516, Egypt</t>
  </si>
  <si>
    <t>Egyptian Knowledge Bank (EKB); Damanhour University; Egyptian Knowledge Bank (EKB); Damanhour University</t>
  </si>
  <si>
    <t>Elsehly, EM (corresponding author), Damanhour Univ, Fac Sci, Phys Dept, Damanhour 22516, Egypt.</t>
  </si>
  <si>
    <t>elsehlyfigo@yahoo.com</t>
  </si>
  <si>
    <t>ELSEHLY, EMAD/AAZ-1501-2020</t>
  </si>
  <si>
    <t>ELSEHLY, EMAD/0000-0001-8811-275X</t>
  </si>
  <si>
    <t>Academy of Scientific Research and Technology (ASRT), Egypt [6735]</t>
  </si>
  <si>
    <t>Academy of Scientific Research and Technology (ASRT), Egypt(Egyptian Academy of Scientific Research &amp; Technology (ASRT))</t>
  </si>
  <si>
    <t>This project was supported financially by the Academy of Scientific Research and Technology (ASRT), Egypt, Grant No 6735. (ASRT) is the 2nd affiliation of this research.</t>
  </si>
  <si>
    <t>E SCHWEIZERBARTSCHE VERLAGSBUCHHANDLUNG</t>
  </si>
  <si>
    <t>STUTTGART</t>
  </si>
  <si>
    <t>NAEGELE U OBERMILLER, SCIENCE PUBLISHERS, JOHANNESSTRASSE 3A, D 70176 STUTTGART, GERMANY</t>
  </si>
  <si>
    <t>1863-9135</t>
  </si>
  <si>
    <t>FUND APPL LIMNOL</t>
  </si>
  <si>
    <t>Fundam. Appl. Limnol.</t>
  </si>
  <si>
    <t>10.1127/fal/2021/1392</t>
  </si>
  <si>
    <t>http://dx.doi.org/10.1127/fal/2021/1392</t>
  </si>
  <si>
    <t>Limnology; Marine &amp; Freshwater Biology</t>
  </si>
  <si>
    <t>XE8BO</t>
  </si>
  <si>
    <t>WOS:000723607500005</t>
  </si>
  <si>
    <t>Gamain, P; Gonzalez, P; Cachot, J; Pardon, P; Tapie, N; Gourves, PY; Budzinski, H; Morin, B</t>
  </si>
  <si>
    <t>Gamain, Perrine; Gonzalez, Patrice; Cachot, Jerome; Pardon, Patrick; Tapie, Nathalie; Gourves, Pierre Yves; Budzinski, Helene; Morin, Benedicte</t>
  </si>
  <si>
    <t>Combined effects of pollutants and salinity on embryo-larval development of the Pacific oyster, Crassostrea gigas</t>
  </si>
  <si>
    <t>Copper; Metolachlor; Pacific oyster; Embryotoxicity bioassay; Salinity; Multiple stresses</t>
  </si>
  <si>
    <t>COMPARATIVE RESPONSES; S-METOLACHLOR; TEMPERATURE; TOXICITY; WATER; COPPER; EMBRYOGENESIS; PESTICIDES; MORTALITY; THUNBERG</t>
  </si>
  <si>
    <t>For several years, low larval recruitment has been observed in Arcachon Bay, in southwest France. Exposure to pollutants could partly account for the reduction of early life stages of the Pacific oyster. This study evaluated the effects of copper and S-metolachlor in combination with salinity on the early life stages of Crassostrea gigas. Embryos were exposed to concentrations of copper (1, 10 and 50 mu g L-1) or S-metolachlor (10, 100 and 1000 ng L-1) and six salinities (18, 21, 24, 27, 30 and 33 u.s.i). Embryotoxicity was measured by considering both the percentage of abnormalities and arrested development in D shaped larvae. Embryo-larval development was only affected at salinities &lt;= 24 u.s.i, which have never been observed during C. gigas reproduction period in Arcachon Bay. Both contaminants had an effect at environmental concentrations. Our results suggest that copper and metolachlor toxicity was enhanced with decreasing salinity. (C) 2015 Elsevier Ltd. All rights reserved.</t>
  </si>
  <si>
    <t>[Gamain, Perrine; Gonzalez, Patrice; Cachot, Jerome; Pardon, Patrick; Tapie, Nathalie; Gourves, Pierre Yves; Budzinski, Helene; Morin, Benedicte] Univ Bordeaux, EPOC, UMR 5805, F-33400 Talence, France</t>
  </si>
  <si>
    <t>BUDZINSKI, Helene/0000-0001-5282-9011; Gonzalez, Patrice/0000-0003-2628-2993; Cachot, Jerome/0000-0002-1492-9684; Morin, Benedicte/0000-0003-4583-4319; PARDON, Patrick/0000-0002-6244-6185</t>
  </si>
  <si>
    <t>The authors thank the Aquitaine Region (OSQUAR Project), CPER A2E, Intermunicipal Union of Arcachon Bay (SIBA) and Water Agency Adour Garonne (AEAG) for their financial support. We gratefully acknowledge the staff of the SEPANSO for their help in obtaining reference seawater. This work was part of the LABEX COTE cluster of excellence Continental To coastal Ecosystems: evolution, adaptability and governance. The authors would like to thank James Emery for providing English proofreading services.</t>
  </si>
  <si>
    <t>10.1016/j.marenvres.2015.11.002</t>
  </si>
  <si>
    <t>http://dx.doi.org/10.1016/j.marenvres.2015.11.002</t>
  </si>
  <si>
    <t>DC1BM</t>
  </si>
  <si>
    <t>WOS:000368951800004</t>
  </si>
  <si>
    <t>Yancheva, V; Velcheva, I; Georgieva, E; Stoyanova, S</t>
  </si>
  <si>
    <t>Yancheva, Vesela; Velcheva, Iliana; Georgieva, Elenka; Stoyanova, Stela</t>
  </si>
  <si>
    <t>Bioaccumulation of Polyaromatic Hydrocarbons and Cadmium and its Toxic Effects on Zebra Mussel Dreissena polymorpha (Pallas, 1771) (Bivalvia: Dreissenidae)</t>
  </si>
  <si>
    <t>bioaccumulation; contamination; Cd; PAHs; zebra mussel; gills; lysosomes</t>
  </si>
  <si>
    <t>POLLUTION; POPULATIONS; STRESS; WATER</t>
  </si>
  <si>
    <t>The possible negative effects of polyaromatic hydrocarbons (PAHs) and cadmium (Cd) on the lysosomal membrane stability (LMS) in haemocytes of the invasive mollusc zebra mussel (Dreissena polymorpha) were studied by applying the neutral red retention time assay (NRRT). In addition, the process of bioaccumulation of PAHs and Cd in the gills of zebra mussel was examined and the bioaccumulation factor (BFA) was calculated. The mussels were exposed to different concentrations of Cd and PAHs in laboratory conditions for 96 hours (acute exposure) and 31 days (chronic exposure). We found higher toxicant concentrations at the 24th as well as on the 31st day compared to the other tested time periods. These results were linked with the faster lysosomal membrane destabilisation in all mussels treated with Cd and PAHs in the beginning of the experiment.</t>
  </si>
  <si>
    <t>[Yancheva, Vesela; Velcheva, Iliana] Paisij Hilendarski Univ Plovdiv, Fac Biol, Dept Ecol &amp; Environm Conservat, Plovdiv, Bulgaria; [Georgieva, Elenka; Stoyanova, Stela] Paisij Hilendarski Univ Plovdiv, Fac Biol, Dept Dev Biol, Plovdiv, Bulgaria</t>
  </si>
  <si>
    <t>Georgieva, E (corresponding author), Paisij Hilendarski Univ Plovdiv, Fac Biol, Dept Dev Biol, Plovdiv, Bulgaria.</t>
  </si>
  <si>
    <t>e_tomova@abv.bg</t>
  </si>
  <si>
    <t>Yancheva, Vesela/AAJ-3251-2020; Stoyanova, Stela/GYJ-7435-2022; Georgieva, Elenka/GXG-8061-2022</t>
  </si>
  <si>
    <t>Yancheva, Vesela/0000-0001-8316-1990</t>
  </si>
  <si>
    <t>national program Young Researches and Postdocs, 2018 - Ministry of Education and Science, Bulgaria [MU-19-BF-014]; Ministry for Education and Science, Bulgaria [M26/6]; Scientific Research Fund [M26/6]; Department of Scientific Research, University of Plovdiv, Bulgaria [2013/39/EC]</t>
  </si>
  <si>
    <t>national program Young Researches and Postdocs, 2018 - Ministry of Education and Science, Bulgaria; Ministry for Education and Science, Bulgaria; Scientific Research Fund; Department of Scientific Research, University of Plovdiv, Bulgaria</t>
  </si>
  <si>
    <t>The study was carried out with the financial support of the national program Young Researches and Postdocs, 2018 financed by the Ministry of Education and Science, Bulgaria; project MU-19-BF-014, Assessment of the impact of Cypermethrin and Chlorpyrifos on Zebra mussels (Dreissena polymorpha Pallas, 1771) through application of complex biological approaches according to Directive 2013/39/EC, financed by the Department of Scientific Research, University of Plovdiv, Bulgaria. We also thank the Ministry for Education and Science, Bulgaria and The Scientific Research Fund for the financial support of project M26/6 (Scientific Fundamental Research for Young Scientists and Postdocs).</t>
  </si>
  <si>
    <t>JX1FZ</t>
  </si>
  <si>
    <t>WOS:000503490000012</t>
  </si>
  <si>
    <t>Linger, P; Müssig, J; Fischer, H; Kobert, J</t>
  </si>
  <si>
    <t>Industrial hemp (Cannabis sativa L.) growing on heavy metal contaminated soil:: fibre quality and phytoremediation potential</t>
  </si>
  <si>
    <t>INDUSTRIAL CROPS AND PRODUCTS</t>
  </si>
  <si>
    <t>Cannabis sativa L.; fibre quality; fibre bundle; strength; fineness; optical fibre fineness analyzer; airflow; phytoremediation; phytoextraction</t>
  </si>
  <si>
    <t>POLLUTANTS; NICKEL; PLANTS</t>
  </si>
  <si>
    <t>Hemp (Cannabis sativa L.) was used to examine its capability as a renewable resource to decontaminate heavy metal polluted soils. The influence of heavy metals on the fibre quality was of special interest, Determination of heavy metal content was carried out by means of atomic absorption spectroscopy (AAS). Four different parts of the plant were examined: seeds, leaves, fibres and hurds. In each case, the concentration relation was Ni &gt; Pb &gt; Cd. However, the heavy metal accumulation in the different parts of the plant was extremely different. All parts of hemp plants contain heavy metals and this is why their use as a commercially utilisable plant material is limited. We found that the highest concentrations of all examined metals were accumulated in the leaves. In this field trial, hemp showed a phytoremediation potential of 126 g Cd (ha vegetation period) (-1). We tested the fibre quality by measuring the pure fibre content of the stems and the fibre properties after mechanical separation. In addition, the fibre fineness was examined using airflow systems and image analysis. The strength was measured by testing single fibre bundles with a free clamping distance of 3.2 num using a universal testing device. Finally, we compared the results from the stems and fibres from trials on heavy metal polluted ground with hemp stems and fibres from non-polluted ground. Since there was no comparable unpolluted area near the polluted one. reference values were taken from an area quite far away and subsequently with a different soil composition and also exposure to different meteorological conditions, Thus, the observed differences are only partially caused by the heavy metal contamination. (C) 2002 Elsevier Science B.V. All rights reserved.</t>
  </si>
  <si>
    <t>Univ Gesamthsch Wuppertal, Dept Chem 9, D-42097 Wuppertal, Germany; FIBRE, Faserinst Bremen eV, POB 10 58 07, D-28058 Bremen, Germany</t>
  </si>
  <si>
    <t>University of Wuppertal</t>
  </si>
  <si>
    <t>Linger, P (corresponding author), Univ Gesamthsch Wuppertal, Dept Chem 9, Gauss Str 20, D-42097 Wuppertal, Germany.</t>
  </si>
  <si>
    <t>Fischer, Holger/0000-0003-1547-0833; Mussig, Jorg/0000-0002-0476-3887</t>
  </si>
  <si>
    <t>0926-6690</t>
  </si>
  <si>
    <t>IND CROP PROD</t>
  </si>
  <si>
    <t>Ind. Crop. Prod.</t>
  </si>
  <si>
    <t>PII S0926-6690(02)00005-5</t>
  </si>
  <si>
    <t>10.1016/S0926-6690(02)00005-5</t>
  </si>
  <si>
    <t>http://dx.doi.org/10.1016/S0926-6690(02)00005-5</t>
  </si>
  <si>
    <t>Agricultural Engineering; Agronomy</t>
  </si>
  <si>
    <t>562UX</t>
  </si>
  <si>
    <t>WOS:000176218300004</t>
  </si>
  <si>
    <t>Le Pabic, C; Caplat, C; Lehodey, JP; Dallas, L; Koueta, N</t>
  </si>
  <si>
    <t>Le Pabic, Charles; Caplat, Christelle; Lehodey, Jean-Paul; Dallas, Lorna; Koueta, Noussithe</t>
  </si>
  <si>
    <t>Physiological perturbations in juvenile cuttlefish Sepia officinalis induced by subchronic exposure to dissolved zinc</t>
  </si>
  <si>
    <t>Mollusc cephalopod; Juvenile stage; Zinc; Predation behavior; Growth; Sepia officinalis</t>
  </si>
  <si>
    <t>ALKALINE-PHOSPHATASE ACTIVITIES; COMMON CUTTLEFISH; DIGESTIVE GLAND; HEAVY-METALS; PACIFIC OYSTER; ACID-PHOSPHATASE; CATHEPSIN-D; LIFE-CYCLE; CADMIUM; GROWTH</t>
  </si>
  <si>
    <t>Although cephalopod early life stage development often occurs in coastal areas where contamination is real and continuous, the physiological perturbations induced by contaminants have been rarely investigated. This study focused on the Zn as it is one of the trace metals the most concentrated in coastal waters, worldwide. As Zn-tolerance limits were unknown in juvenile Sepia officinalis, the aim of this study was to estimate the threshold inducing mortality during the 2-first weeks post-hatching, and to determine its sensitivity using digestive and immune enzymatic assays, as well as growth and behavior follow-up during the first 5 weeks post-hatching. Our study highlighted a Zn-mortality threshold lying between 185 and 230 mu g l(-1), and growth reductions occurring after 5-week at 108 mu g l(-1) and above, associated with enzymatic perturbations. These results underline a relatively important sensitivity of juvenile cuttlefish to Zn, pointed out by a wide diversity of biomarkers. (C) 2015 Elsevier Ltd. All rights reserved.</t>
  </si>
  <si>
    <t>[Le Pabic, Charles; Caplat, Christelle; Lehodey, Jean-Paul; Koueta, Noussithe] Normandie Univ, F-14032 Caen, France; [Le Pabic, Charles; Caplat, Christelle; Lehodey, Jean-Paul; Koueta, Noussithe] Univ Caen Basse Normandie, UMR BOREA, MNHN, UPMC,UCBN,CNRS 7208,IRD 207,IBFA, F-14032 Caen, France; [Le Pabic, Charles; Caplat, Christelle; Lehodey, Jean-Paul; Koueta, Noussithe] Univ Caen Basse Normandie, Ctr Rech Environm Cotier, F-14530 Luc Sur Mer, France; [Dallas, Lorna] Univ Plymouth, Sch Biol Sci, Plymouth PL4 8AA, Devon, England</t>
  </si>
  <si>
    <t>Sorbonne Universite; Institut de Recherche pour le Developpement (IRD); Museum National d'Histoire Naturelle (MNHN); Universite de Caen Normandie; Universite de Caen Normandie; University of Plymouth</t>
  </si>
  <si>
    <t>Le Pabic, C (corresponding author), Univ Caen Basse Normandie, UMR BOREA, MNHN, UPMC,UCBN,CNRS 7208,IRD 207,IBFA, CS 14032, F-14032 Caen, France.</t>
  </si>
  <si>
    <t>charles.lepabic@gmx.fr</t>
  </si>
  <si>
    <t>Le Pabic, Charles/0000-0002-1337-2781; Koueta, Noussithe/0000-0003-1791-2930</t>
  </si>
  <si>
    <t>European, Interreg IV-A CHRONEXPO project</t>
  </si>
  <si>
    <t>This work was supported by the European, Interreg IV-A CHRONEXPO project. This study was partly conducted in the CREC (Centre de Recherche en Environnement Coder) at Luc-sur-mer (Normandie, France). The authors thank Dr Pierre Le Pabic for advice and help in English.</t>
  </si>
  <si>
    <t>JUN 30</t>
  </si>
  <si>
    <t>10.1016/j.marpolbul.2015.02.018</t>
  </si>
  <si>
    <t>http://dx.doi.org/10.1016/j.marpolbul.2015.02.018</t>
  </si>
  <si>
    <t>CL8RV</t>
  </si>
  <si>
    <t>WOS:000357242700015</t>
  </si>
  <si>
    <t>Roma, J; Missionário, M; Madeira, C; Matos, AR; Vinagre, C; Costa, PM; Duarte, B</t>
  </si>
  <si>
    <t>Roma, Joana; Missionario, Madalena; Madeira, Carolina; Matos, Ana Rita; Vinagre, Catarina; Costa, Pedro M.; Duarte, Bernardo</t>
  </si>
  <si>
    <t>Comparative responses and effects of exposure to metallic and nanoparticle zinc in the mussel Mytilus galloprovincialis</t>
  </si>
  <si>
    <t>Biomarker; Metal toxicity; Nanotoxicity; Mytilid mussel; IBR</t>
  </si>
  <si>
    <t>TOTAL ANTIOXIDANT CAPACITY; INTEGRATED BIOMARKER RESPONSE; OXYRADICAL SCAVENGING CAPACITY; OXIDE NANOPARTICLES; ACETYLCHOLINESTERASE ACTIVITY; RUDITAPES-DECUSSATUS; ESTERASE-ACTIVITY; OXIDATIVE STRESS; FRESH; POLLUTION</t>
  </si>
  <si>
    <t>Zinc (Zn) nanoparticles (NPs) are widely used in various industrial and commercial applications. Their intensive use in sunscreens, for instance, renders priority to understanding their effects on marine life, to which may be added the intensive use of Zn-based paints and anodes to protect submerged structures. We studied the effects of Zn nanoparticles and ions in the mussel Mytilus galloprovincialis exposed to 1, 10 and 100 mu g/L of both zinc forms for up to 28 days. Effects were determined by analysing a battery of biomarkers, from oxidative stress (total antioxidant capacity and catalase activity) to acetylcholinesterase (AChE) activity. The results revealed that mussels responded only marginally differently to ionic and Zn nanoparticles, but also that their response was concentration- and time-dependent, suggesting distinct metabolic modes of action. These variations occurred almost exclusively at the highest concentration tested and were more pronounced as the exposure period increased. An integrated biomarker index (IBR) approach was used encompassing also previous findings (lipid peroxidation and metal accumulation in tissue), which further confirmed that these filter-feeding organisms are considerable targets for zinc exposure in the two forms tested and should be included in studies evaluating the overall toxicological impact of various forms of Zn in the marine environment.</t>
  </si>
  <si>
    <t>[Roma, Joana; Vinagre, Catarina; Duarte, Bernardo] MARE, Fac Sci Univ Lisbon, Marine &amp; Environm Sci Ctr, P-1749016 Lisbon, Portugal; [Roma, Joana; Vinagre, Catarina; Duarte, Bernardo] ARNET, Fac Sci Univ Lisbon, Aquat Res Network Associated Lab, P-1749016 Lisbon, Portugal; [Missionario, Madalena; Madeira, Carolina; Costa, Pedro M.] NOVA Univ Lisbon, Inst Hlth &amp; Bioecon, NOVA Sch Sci &amp; Technol, Associate Lab i4HB, Caparica, Portugal; [Missionario, Madalena; Madeira, Carolina; Costa, Pedro M.] NOVA Univ Lisbon, NOVA Sch Sci &amp; Technol, Dept Life Sci, UCIBIO Appl Mol Biosci Unit, P-2825 Caparica, Portugal; [Missionario, Madalena] Univ Aveiro, CESAM Ctr Environm &amp; Marine Studies, Dept Biol, ECOMARE,Lab Innovat &amp; Sustainabil Marine Biol Reso, Estr Porto Pesca Costeira, P-3830565 Gafanha Da Nazare, Portugal; [Matos, Ana Rita; Duarte, Bernardo] Univ Lisbon, Dept Plant Biol, Fac Sci, Edificio C2-2-24 Campo Grande, P-1749016 Lisbon, Portugal; [Matos, Ana Rita] Fac Ciencias Univ Lisboa, BioISI Biosyst &amp; Integrat Sci Inst, Dept Biol Vegetal, Plant Funct Genom Grp, P-1749016 Lisbon, Portugal; [Vinagre, Catarina] Univ Do Algarve, Ctr Marine Sci, CCMAR, Campus Gambelas, P-8005139 Faro, Portugal</t>
  </si>
  <si>
    <t>Universidade Nova de Lisboa; Universidade Nova de Lisboa; Universidade de Aveiro; Universidade de Lisboa; Universidade de Lisboa; BIOISI</t>
  </si>
  <si>
    <t>Roma, J (corresponding author), MARE, Fac Sci Univ Lisbon, Marine &amp; Environm Sci Ctr, P-1749016 Lisbon, Portugal.;Roma, J (corresponding author), ARNET, Fac Sci Univ Lisbon, Aquat Res Network Associated Lab, P-1749016 Lisbon, Portugal.</t>
  </si>
  <si>
    <t>jcroma@ciencias.ulisboa.pt</t>
  </si>
  <si>
    <t>Vinagre, Catarina/G-1965-2015; Roma, Joana/AAL-3670-2021; Madeira, Carolina/B-1531-2019; Costa, Pedro M./J-2962-2013; Duarte, Bernardo/H-2001-2011</t>
  </si>
  <si>
    <t>Matos, Ana Rita/0000-0002-3495-2195; Roma, Joana/0000-0002-5884-4623; Madeira, Carolina/0000-0003-1632-634X; Costa, Pedro M./0000-0002-9072-3522; Duarte, Bernardo/0000-0003-1914-7435; Missionario, Madalena/0000-0002-1137-2833</t>
  </si>
  <si>
    <t>Fundacao para a Ciencia e a Tecnologia (FCT) [LA/P/0069/2020, LA/P/0101/2020, UIDB/04326/2020, CEECIND/01526/2018, 2022.01746.CEECIND]; European Union; [UIDB/04292/2020]; [10575/2022/BD]; [SFRH/BD/138318/2018]; [810139]; [LA/P/0140/2020]</t>
  </si>
  <si>
    <t>Fundacao para a Ciencia e a Tecnologia (FCT)(Fundacao para a Ciencia e a Tecnologia (FCT)); European Union(European Union (EU)); ; ; ; ;</t>
  </si>
  <si>
    <t>The authors would like to thank Fundacao para a Ciencia e a Tecnologia (FCT) for funding the present research via strategic projects LA/P/0069/2020 (Associated Laboratory ARNET) , LA/P/0140/2020 (i4HB) , UIDB/04292/2020 (MARE) , LA/P/0101/2020, UIDB/04326/2020 (CCMAR) , UIDB/04046/2020 (BioISI) , UIDB/04378/2020 (UCI-BIO) ; and project grant PTDC/CTA-AMB/30056/2017 (OPTOX) . Furthermore, FCT also awarded B. Duarte and C. Madeira with researcher contracts (2022.01746. CEECIND and CEECIND/01526/2018, respectively) , and M. Missionario and J. Roma with PhD grants (10575/2022/BD and SFRH/BD/138318/2018, respectively) . The authors also wish to thank the project PORTWIMS (Portugal Twinning for Innovation and Excellence in Marine Science and Earth Observation) , which was co-funded by the European Union's Horizon 2020 research and innovation programme under grant agreement No 810139. Last but not least, we thank Dr. Marta Dias for her assistance in the initial calculation of the IBR indexes, as well as Dr. Johannes Goessling for his assistance in nanoparticle characterization.</t>
  </si>
  <si>
    <t>10.1016/j.ecss.2024.108616</t>
  </si>
  <si>
    <t>http://dx.doi.org/10.1016/j.ecss.2024.108616</t>
  </si>
  <si>
    <t>GS1K6</t>
  </si>
  <si>
    <t>WOS:001154569200001</t>
  </si>
  <si>
    <t>Devier, MH; Augagneur, S; Budzinski, H; Le Menach, K; Mora, P; Narbonne, JF; Garrigues, P</t>
  </si>
  <si>
    <t>One-year monitoring survey of organic compounds (PAHs, PCBs, TBT), heavy metals and biomarkers in blue mussels from the Arcachon Bay, France</t>
  </si>
  <si>
    <t>MYTILUS-EDULIS; BUTYLTIN COMPOUNDS; ORGANOTIN COMPOUNDS; MARINE MUSSELS; TRIBUTYLTIN; BIOACCUMULATION; SEDIMENTS; POLLUTION; BIVALVES; TISSUES</t>
  </si>
  <si>
    <t>Marine mussels Mytilus sp. were transplanted on a monthly basis in cages over one year to oyster farms and harbours in the Arcachon Bay ( France) in order to assess the water quality of the bay. Contaminant levels (organotin compounds, trace metals, PCBs and PAHs) were measured in tissues of transplanted mussels and mussels from a reference station, along with physiological parameters of the mussels ( condition indexes, lipid content and dry weight). Four biomarkers (AChE: acetylcholinesterase activity, GST: gluthathione S-transferase activity, CAT: catalase activity and TBARS: thiobarbituric acid-reactive substance content) were also monitored. The remote stations monitored ( oyster parks) exhibited no accumulation pattern of pollutants. Their respective concentrations therefore constitute a background level of the contamination in the bay ([TBT] = 30 ng Sn g(-1) dw, [SigmaHAPs] = 100 ng g(-1) dw, [SigmaPCBs] = 35 ng g(-1) dw). The elevated chemical contamination of the largest harbour of the bay, the Arcachon harbour, can be interpreted in terms of persistence of organotin compounds ([SigmaOTs] = 1500 - 2000 ng Sn g(-1) dw) and PAHs ([SigmaHAPs] = 4500 - 5000 ng g(-1) dw) in sediments and, to a lesser extent, of direct inputs of copper ([Cu] = 20 mug g(-1) dw in harbours versus 7 in oyster parks) and petrogenic PAHs ([methylphenanthrenes] = 1600 ng g(-1) dw in the dockyard versus 170 at the gas stations), related to the use of copper-based antifouling paints and to dockyard activity, respectively. However, the Arcachon Bay presents a low contamination level by PCBs and metals, including harbour stations. Furthermore, higher levels of other PAHs ( particularly alkyl PAHs such as methylphenanthrenes/1600 ng g(-1) dw) not included in the 16 PAHs from the EPA priority list ( usually studied in biomonitoring programmes/ 1500 ng g(-1) dw) in the Arcachon harbour underline the need to integrate these compounds in biomonitoring of highly PAH-polluted areas such as harbours in order to avoid misinterpretation of the biological responses observed. Biomarker responses were not able to discriminate the different chemical contamination levels recorded in the Arcachon Bay and rather reflected changes in environmental factors. Furthermore, the strong intraspecies variability of biological responses could be due to genetic differences of mussels from the Arcachon Bay. It is the first time that such an integrated monitoring is performed in the Arcachon Bay, also taking into account seasonal variations of chemical contents and biomarkers levels in mussel tissues.</t>
  </si>
  <si>
    <t>Univ Bordeaux 1, Lab Phys &amp; Toxicochim Syst Nat LPTC, UMR 5472, CNRS, F-33405 Talence, France</t>
  </si>
  <si>
    <t>Univ Bordeaux 1, Lab Phys &amp; Toxicochim Syst Nat LPTC, UMR 5472, CNRS, 351 Cours Liberat, F-33405 Talence, France.</t>
  </si>
  <si>
    <t>mh.devier@lptc.u-bordeaux1.fr</t>
  </si>
  <si>
    <t>BUDZINSKI, Helene/0000-0001-5282-9011</t>
  </si>
  <si>
    <t>1464-0333</t>
  </si>
  <si>
    <t>10.1039/b409577d</t>
  </si>
  <si>
    <t>http://dx.doi.org/10.1039/b409577d</t>
  </si>
  <si>
    <t>901LT</t>
  </si>
  <si>
    <t>WOS:000227284700005</t>
  </si>
  <si>
    <t>Lafabrie, C; Pergent, G; Pergent-Martini, C</t>
  </si>
  <si>
    <t>Lafabrie, C.; Pergent, G.; Pergent-Martini, C.</t>
  </si>
  <si>
    <t>Utilization of the seagrass Posidonia oceanica to evaluate the spatial dispersion of metal contamination</t>
  </si>
  <si>
    <t>Trace elements; Gradient of contamination; Environmental pollution; Aquatic plant; Bio-indicator; Monitoring</t>
  </si>
  <si>
    <t>COASTAL AREA; TRACE-METALS; MERCURY; LEAD; CIRCULATION; SEDIMENTS; POLLUTION; TISSUES; MUSSEL; SEA</t>
  </si>
  <si>
    <t>Metal concentrations have been measured in blades of the endemic Mediterranean seagrass Posidonia oceanica, along transects from three different contaminant point sources (the former asbestos mine of Canari - Corsica, France; the chemical plant of Solvay/Rosignano - Livorno, Italy; and the industrial harbour of Porto-Torres - Sardinia, Italy). The aim of this study was to evaluate the spatial extent of the impact of these sources in terms of metal contamination. The results showed that metal contamination from the former mine of Canari (cobalt - Co, chromium - Cr and nickel - Ni) extends at least 5 km to the north and south. The impact of this mine, which closed in 1965, seems to be lingering still. Mercury (Hg) contamination in the Livorno location was difficult to evaluate due to the presence of others potential sources of mercury in the area (e.g. industrialized city of Livorno, natural cinnabar deposits, intense tectonic activity of the area). At any rate, mercury concentration decreased strongly with distance from the plant. Lead (Pb) contamination at the Porto-Torres harbour was very low and disappeared with distance from the harbour. However, as the Porto-Torres harbour does not appear as a substantial point source of Pb contamination and because of the ubiquitous characteristic of the Pb element, it is difficult to draw any general conclusions concerning this element. The results presented in this study demonstrated the usefulness of the seagrass P. oceanica as a tool for the evaluation of the spatial extent of metal contaminations from point sources and could, therefore, contribute to on-going efforts to manage coastal environments. (C) 2008 Elsevier B.V. All rights reserved.</t>
  </si>
  <si>
    <t>[Lafabrie, C.; Pergent, G.; Pergent-Martini, C.] Univ Corsica, Fac Sci, Equipe Ecosyst Littoraux, F-20250 Corte, France; [Pergent-Martini, C.] SPA, RAC, Tunis 1080, Tunisia</t>
  </si>
  <si>
    <t>Lafabrie, C (corresponding author), Dauphin Isl Sea Lab, 101 Bienville Blvd, Dauphin Isl, AL 36528 USA.</t>
  </si>
  <si>
    <t>clafabrie@disl.org</t>
  </si>
  <si>
    <t>Lafabrie, Celine/B-3140-2012</t>
  </si>
  <si>
    <t>Pergent-Martini, Christine/0000-0002-9098-6867</t>
  </si>
  <si>
    <t>Collectivite Territoriale de Corse and the MONIQUA Program set up within the framework of the INTERREG IIIA Convention</t>
  </si>
  <si>
    <t>Collectivite Territoriale de Corse and the MONIQUA Program set up within the framework of the INTERREG IIIA Convention(Region Corse)</t>
  </si>
  <si>
    <t>This study was supported by a grant from the Collectivite Territoriale de Corse and the MONIQUA Program set up within the framework of the INTERREG IIIA Convention. We thank B. Mimault for diving assistance. We also thank Dr. James P. Bennett (University of Wisconsin, Associate Editor of Science of the Total Environment) and the anonymous reviewers for their helpful comments and suggestions which significantly improved this manuscript.</t>
  </si>
  <si>
    <t>10.1016/j.scitotenv.2008.11.001</t>
  </si>
  <si>
    <t>http://dx.doi.org/10.1016/j.scitotenv.2008.11.001</t>
  </si>
  <si>
    <t>422WE</t>
  </si>
  <si>
    <t>WOS:000264457600033</t>
  </si>
  <si>
    <t>MacFarlane, GR; Booth, DJ</t>
  </si>
  <si>
    <t>Estuarine macrobenthic community structure in the Hawkesbury River, Australia: Relationships with sediment physicochemical and anthropogenic parameters</t>
  </si>
  <si>
    <t>estuarine; heavy metals; macrobenthic community structure; nutrients; taxonomic resolution</t>
  </si>
  <si>
    <t>TAXONOMIC RESOLUTION; SOFT-SEDIMENTS; SPATIAL VARIATION; MARINE-SEDIMENTS; TRACE-METALS; SOUTH-WALES; POLLUTION; ASSEMBLAGES; PATTERNS; COPPER</t>
  </si>
  <si>
    <t>Macrobenthic community assemblage diversity and abundance were monitored on both Cowan and Berowra Creeks in the estuarine reaches of the Hawkesbury River, Sydney Australia during 1997-1998. Natural sediment physicochemical differences were assessed, along with low-level anthropogenic contaminants including copper, lead, zinc, phosphorus and nitrogen. Contaminant levels at all sites were below sediment guideline values for biological effects. Natural physicochemical sediment differences were the main determinants in species assemblage patterns among sites. Three groupings of sites with similar assemblages were observed during February 1998. Berowra Creek sites, which were higher in organic content and silt/clay (and thus metals and nutrients), higher in pH and lower in salinity, were similar in terms of contributions by the polychaetes Ceratoneresis aequisetis, Scoloplos normalis, the isopod Cyathura hakea and the bivalve mollusc Soletellina alba. Sites on upper Cowan Creek, higher in organic content, silt/clay (nutrients and metals) and lower in salinity, were similar and separated from other sites in terms of the polychaete Carazziella victoriensis and the gastropod mollusc Nassarius jonasii. Sites lower in Cowan Creek, tended to be higher in sand content, more saline and lower in organic content and thus nutrient and metal concentrations. These sites were similar in terms of contributions of the polychaete Sigalion bandaensis and the bivalve molluscs, Mysella vitrea and Tellina deltoidalis. The biotic assemblage patterns were not maintained temporally, suggesting the importance of monitoring over time to assess possible future impacts. Aggregating species data to the family level resulted in similar site discrimination. Site differences were less distinct at higher taxonomic levels and suggests future monitoring at the family level is sufficient to detect assemblage differences among sites. The results obtained represent the difficulty in detecting responses to low-level contamination at the community level, and provide a sound anticipatory baseline for the assessment of future possible anthropogenic disturbance in the Hawkesbury River.</t>
  </si>
  <si>
    <t>Univ Technol Sydney, Ctr Ecotoxicol, Gore Hill, NSW, Australia</t>
  </si>
  <si>
    <t>University of Technology Sydney</t>
  </si>
  <si>
    <t>MacFarlane, GR (corresponding author), Univ Technol Sydney, Ctr Ecotoxicol, Westbourne St, Gore Hill, NSW, Australia.</t>
  </si>
  <si>
    <t>Booth, David/0000-0002-8256-1412; MacFarlane, Geoff R./0000-0002-5090-6236</t>
  </si>
  <si>
    <t>10.1023/A:1011959721146</t>
  </si>
  <si>
    <t>http://dx.doi.org/10.1023/A:1011959721146</t>
  </si>
  <si>
    <t>475BX</t>
  </si>
  <si>
    <t>WOS:000171142700003</t>
  </si>
  <si>
    <t>Guendouzi, Y; Soualili, DL; Boulahdid, M; Boudjellal, B</t>
  </si>
  <si>
    <t>Guendouzi, Yassine; Soualili, Dina Lila; Boulahdid, Mostefa; Boudjellal, Benyahia</t>
  </si>
  <si>
    <t>Biological Indices and Monitoring of Trace Metals in the Mussel from the Southwestern Mediterranean (Algeria): Seasonal and Geographical Variations</t>
  </si>
  <si>
    <t>Metal pollution; Algeria; Sediment; Mytilus galloprovincialis; Condition index</t>
  </si>
  <si>
    <t>MYTILUS-GALLOPROVINCIALIS; COASTAL WATERS; PERNA-VIRIDIS; GREEN MUSSEL; HEAVY-METALS; SEDIMENTS; CONTAMINATION; SEA; POLLUTION; SITES</t>
  </si>
  <si>
    <t>This study aims to evaluate the quality of coastal Southwestern Mediterranean: sea of Algeria. The study consist on a monitoring seasonal changes in biological indices (biometric and physiological) and observing the bioaccumulation of trace metals (Pb, Cu and Zn) in the flesh of mussel Mytilus galloprovincialis (Lamarck, 1819). The availability of trace metals in the sediment was determined annually, when the disturbance of the environment was minimal. Exception of the sediment which has a single summer sampling, the sampling of batch of thirty (30) individuals of mussels was collected at each site Sidi Mejdoub and Willis (Mostaganem: western region) and Bateau cass, (Algiers: center region), seasonally: November 2013 (autumn), February 2014 (winter), May 2014 (spring) and August 2014 (summer). The concentration of these metals has been determined by Atomic Absorption Spectrometry. The contamination index of sediments show that does not present high levels of metals in sediment, the trace metals studies in the site of Willis is more available than the other sites. The seasonal changes of the biometric and physiological indices on the mussel shows good growth of these species in bateau cass,, unlike the other samples taken from the two other sites. The levels of trace metals reveals that the level of copper and zinc is in the references. However, all the analyzed mussels are contaminated by lead: (Concentrations twice higher than the recommended limit).</t>
  </si>
  <si>
    <t>[Guendouzi, Yassine; Soualili, Dina Lila] Univ Abed El Hamid Ibn Badis Mostaganem, Fac Sci Nat &amp; Vie, BP 300 Ave Hossine Hamadou, Mostaganem 27000, Algeria; [Guendouzi, Yassine] Lab Natl Controle &amp; Anal Produits Peche &amp; Aquacul, Rue Colbert, El Djamila Ex Madrague, Ain Benian, Algeria; [Guendouzi, Yassine] City 18 Fevrier BT 10,05 Hadjout, Tipasa 42201, Algeria; [Soualili, Dina Lila] Cite 296 Logements,Batiment E 24, Tidjdit 27000, Mostaganem, Algeria; [Boulahdid, Mostefa; Boudjellal, Benyahia] ENSSMAL, Lab Ecosyst Marins &amp; Littoraux, BP 19,Campus Univ Dely Ibrahim, Dely Ibrahim 16320, Alger, Algeria</t>
  </si>
  <si>
    <t>Guendouzi, Y (corresponding author), Univ Abed El Hamid Ibn Badis Mostaganem, Fac Sci Nat &amp; Vie, BP 300 Ave Hossine Hamadou, Mostaganem 27000, Algeria.;Guendouzi, Y (corresponding author), Lab Natl Controle &amp; Anal Produits Peche &amp; Aquacul, Rue Colbert, El Djamila Ex Madrague, Ain Benian, Algeria.;Guendouzi, Y (corresponding author), City 18 Fevrier BT 10,05 Hadjout, Tipasa 42201, Algeria.</t>
  </si>
  <si>
    <t>yacine.guendouzi@gmail.com; soualilid@yahoo.fr; mostefaboulahdid@hotmail.com; boudjben@yahoo.fr</t>
  </si>
  <si>
    <t>Guendouzi, Yassine/AAQ-5554-2020</t>
  </si>
  <si>
    <t>Guendouzi, Yassine/0000-0003-1853-7335</t>
  </si>
  <si>
    <t>10.1007/s41208-017-0043-0</t>
  </si>
  <si>
    <t>http://dx.doi.org/10.1007/s41208-017-0043-0</t>
  </si>
  <si>
    <t>GO6QG</t>
  </si>
  <si>
    <t>WOS:000440173400008</t>
  </si>
  <si>
    <t>Grout, JA; Levings, CD</t>
  </si>
  <si>
    <t>Effects of acid mine drainage from an abandoned copper mine, Britannia Mines, Howe Sound, British Columbia, Canada, on transplanted blue mussels (Mytilus edulis)</t>
  </si>
  <si>
    <t>Mytilus edulis; transplant; bioaccumulation; metals; Cu; Zn; mining; acid mine drainage; caged mussels; Howe Sound; British Columbia; Canada</t>
  </si>
  <si>
    <t>METAL DETOXIFICATION; TRACE-METALS; GROWTH; MARINE; BIOACCUMULATION; WATER; ENERGETICS; POLLUTION; EXPOSURE; SEDIMENT</t>
  </si>
  <si>
    <t>Juvenile mussels (Mytilus edulis) were transplanted to Howe Sound, British Columbia, Canada, along an apparent pollution gradient of acid mine drainage (AMD) from an abandoned copper (Cu) mine. Cages containing 75 mussels each were placed at a total of 15 stations and were exposed to concentrations of dissolved Cu in surface waters ranging from 5 to 1009 mug/1 for a period of 41 days. Mussels located at stations closer to the source of AMD at the mouth of Britannia Creek bioaccumulated higher concentrations of Cu and zinc (Zn) in their tissues. Mussel growth was adversely affected by Cu tissue concentrations above 20 mug/g dry wt., while declines in survival and condition index occurred in mussels that bioaccumulated greater than 40 mug/g dry wt. Cu. Tissue Zn concentrations (117-192 mug/g dry wt.) were likely not high enough to have a direct impact on mussel health. Reduced survival of transplanted mussels was supported by an absence of natural mussels in contaminated areas. Phytoplankton was also severely reduced in areas contaminated by mine waters. Based on the weight of evidence, AMD from the Britannia mine had a deleterious impact on mussel survival in a zone extending at least 2.1 km to the north and 1.7 km to the south of Britannia Creek on the east shore of Howe Sound. (C) 2001 Elsevier Science Ltd. All rights reserved.</t>
  </si>
  <si>
    <t>Fisheries &amp; Oceans Canada, W Vancouver Lab, W Vancouver, BC V7V 1N6, Canada</t>
  </si>
  <si>
    <t>Fisheries &amp; Oceans Canada</t>
  </si>
  <si>
    <t>Simon Fraser Univ, Sch Resource Management, Fisheries &amp; Oceans Canada, Sci Branch, Burnaby, BC V5A 1S6, Canada.</t>
  </si>
  <si>
    <t>groutj@pac.dfo-mpo.gc.ca</t>
  </si>
  <si>
    <t>10.1016/S0141-1136(00)00104-5</t>
  </si>
  <si>
    <t>http://dx.doi.org/10.1016/S0141-1136(00)00104-5</t>
  </si>
  <si>
    <t>406JX</t>
  </si>
  <si>
    <t>WOS:000167213400005</t>
  </si>
  <si>
    <t>Peng, L; Zeng, JN; Liu, Q; Hao, Z; Zhang, DR</t>
  </si>
  <si>
    <t>Peng, Ling; Zeng, Jiangning; Liu, Qiang; Hao, Zhe; Zhang, Dongrong</t>
  </si>
  <si>
    <t>Single and Combined Effects of Cadmium and Aroclor 1254 on Oxidative Stress in Gills of Mytilus coruscus</t>
  </si>
  <si>
    <t>Mytilus coruscus; Gill; Antioxidant enzyme; Malondialdehyde (MDA); Combined stress</t>
  </si>
  <si>
    <t>ANTIOXIDANT ENZYMES; POLYCHLORINATED-BIPHENYLS; SPATIAL-DISTRIBUTION; LIPID-PEROXIDATION; HEAVY-METALS; LIVER; POLLUTION; BIOACCUMULATION; MUSSELS; DAMAGE</t>
  </si>
  <si>
    <t>Both polychlorinated biphenyls (PCBs) and cadmium (Cd) can be frequently found in marine ecosystems and have detrimental effects on marine organisms, especially on filter-feeding marine mussels. Although biological responses to single metal or PCB exposure in mussels have been well-studied, information about oxidative stress is still limited, especially in different tissues in mussels. Considering the variety of contaminants existing in the actual marine environment, the exposures of the marine mussel Mytilus coruscus to Cd2+ alone (0.194, 0.388, and 0.775 mg/L) and Aroclor 1254 alone (0.005, 0.010, and 0.050 mg/L) and the co-exposures of the marine mussel Mytilus coruscus to Cd2+ (0.194 and 0.388 mg/L) and Aroclor 1254 (0.005 and 0.010 mg/L) were tested in an 8-day exposure experiment followed by a 7-day acclimation experiment. The alterations in superoxide dismutase, catalase, glutathione peroxidase, and malondialdehyde levels in the gills of the mussels were assessed. The effects of the depressed antioxidant were induced by the exposures of Cd2+ and Aroclor 1254 and their co-exposures. All exposures resulted in an initial increase and then a reduction in antioxidant enzyme activities. The range and rate of the antioxidant enzyme activities were positively correlated with stress duration and the concentration of the stress material. The effect of combined stress was stronger than that of each individual stressor. The valuable information for future investigations of stress response mechanisms, especially in relation to tissue functions in marine organisms, has been provided by the results and experimental model. The study of combined pollution effects has more scientific significance for marine pollution monitoring.</t>
  </si>
  <si>
    <t>[Peng, Ling; Zeng, Jiangning; Liu, Qiang] State Ocean Adm, Inst Oceanog 2, Key Lab Marine Ecosyst &amp; Biogeochem, Minist Nat Resources, Hangzhou 310012, Peoples R China; [Peng, Ling; Zeng, Jiangning; Hao, Zhe; Zhang, Dongrong] Minist Nat Resources, Inst Oceanog 2, Key Lab Engn Oceanog, Hangzhou 310012, Peoples R China; [Zeng, Jiangning] Zhejiang Univ, Ocean Coll, Zhoushan 316021, Peoples R China</t>
  </si>
  <si>
    <t>Zeng, JN (corresponding author), Zhejiang Univ, Ocean Coll, Zhoushan 316021, Peoples R China.</t>
  </si>
  <si>
    <t>jiangningz@126.com</t>
  </si>
  <si>
    <t>liu, qiang/HCH-3916-2022</t>
  </si>
  <si>
    <t>Zhejiang Qingshan Lake Innovation Platform for Marine Science and Technology [2017E80001]; Scientific Research Fund of the Second Institute of Oceanography, MNR [JG1910]; National Natural Science Foundation of China [41806136, 41601560]; National Key Technology Research and Development Program of the Ministry of Science and Technology of the China [2015BAD08B01]; Project of State Key Laboratory of Satellite Ocean Environment Dynamics [SOEDZZ1902]</t>
  </si>
  <si>
    <t>Zhejiang Qingshan Lake Innovation Platform for Marine Science and Technology; Scientific Research Fund of the Second Institute of Oceanography, MNR; National Natural Science Foundation of China(National Natural Science Foundation of China (NSFC)); National Key Technology Research and Development Program of the Ministry of Science and Technology of the China; Project of State Key Laboratory of Satellite Ocean Environment Dynamics</t>
  </si>
  <si>
    <t>We also appreciate the generous financial support of this work provided by the Zhejiang Qingshan Lake Innovation Platform for Marine Science and Technology (No. 2017E80001), the Scientific Research Fund of the Second Institute of Oceanography, MNR (No. JG1910), the National Natural Science Foundation of China (No. 41601560), the National Natural Science Foundation of China (No. 41806136), the National Key Technology Research and Development Program of the Ministry of Science and Technology of the China (2015BAD08B01), and the Project of State Key Laboratory of Satellite Ocean Environment Dynamics (No. SOEDZZ1902).</t>
  </si>
  <si>
    <t>JAN 22</t>
  </si>
  <si>
    <t>10.1007/s11270-020-4397-1</t>
  </si>
  <si>
    <t>http://dx.doi.org/10.1007/s11270-020-4397-1</t>
  </si>
  <si>
    <t>KM2HH</t>
  </si>
  <si>
    <t>WOS:000513943100001</t>
  </si>
  <si>
    <t>Moura, G; Vilarinho, L; Machado, J</t>
  </si>
  <si>
    <t>The action of Cd, Cu, Cr, Zn, and Pb on fluid composition of Anodonta cygnea (L.):: organic components</t>
  </si>
  <si>
    <t>Anodonta; biomineralization; heavy metals; mussels; freshwater; proteins; amino acids; glucosamine</t>
  </si>
  <si>
    <t>MUSSEL MYTILUS-EDULIS; FRESH-WATER BIVALVE; HEAVY-METAL STRESS; LYMANTRIA-DISPAR L; FREE AMINO-ACIDS; TRACE-METALS; GLYPTAPANTELES-LIPARIDIS; CADMIUM; COPPER; ZINC</t>
  </si>
  <si>
    <t>The heavy metals, Cd, Cu, Cr, Zn, and Pb, were used to incubate healthy specimens of the freshwater mussel species, Anodonta cygnea. Afterwards, their biological fluids, either haemolymph or extrapallial fluid were analyzed for the presence of several organic constituents, known to be important for biomineralization, such as proteins, glycosaminoglycans (GAGs) and glucosamine. Proteins were subjected to further study, namely through the total amino acid determination after acid hydrolysis. The most disturbing pollutants tested seem to be Pb, Zn, and Cr, which caused highly decreased overall compositions, namely with respect to protein, and glucosamine, in comparison to the control group. This suggests that this group contributes to a decrease of the metabolic activity, and thus mineralization, in the exposed animals. (C) 2000 Elsevier Science Inc. All rights reserved.</t>
  </si>
  <si>
    <t>Inst Ciencias Biomed Able Salazar, Lab Fisiol Aplicada, P-4099003 Oporto, Portugal; Inst Genet Med Jacinto Magalhaes, Biol Lab, Oporto, Portugal; CIMAR, P-4099003 Oporto, Portugal</t>
  </si>
  <si>
    <t>Inst Ciencias Biomed Able Salazar, Lab Fisiol Aplicada, Lg Prof 2, P-4099003 Oporto, Portugal.</t>
  </si>
  <si>
    <t>Moura, Gabriela/E-6717-2010</t>
  </si>
  <si>
    <t>Moura, Gabriela/0000-0003-2243-6123; Machado, Jorge/0000-0003-4570-5445</t>
  </si>
  <si>
    <t>1879-1107</t>
  </si>
  <si>
    <t>10.1016/S0305-0491(00)00241-8</t>
  </si>
  <si>
    <t>http://dx.doi.org/10.1016/S0305-0491(00)00241-8</t>
  </si>
  <si>
    <t>351VW</t>
  </si>
  <si>
    <t>WOS:000089179700011</t>
  </si>
  <si>
    <t>Venier, P; De Pittà, C; Pallavicini, A; Marsano, F; Varotto, L; Romualdi, C; Dondero, F; Viarengo, A; Lanfranchi, G</t>
  </si>
  <si>
    <t>Venier, Paola; De Pitta, Cristiano; Pallavicini, Alberto; Marsano, Francesco; Varotto, Laura; Romualdi, Chiara; Dondero, Francesco; Viarengo, Aldo; Lanfranchi, Gerolamo</t>
  </si>
  <si>
    <t>Development of mussel mRNA profiling:: Can gene expression trends reveal coastal water pollution?</t>
  </si>
  <si>
    <t>MUTATION RESEARCH-FUNDAMENTAL AND MOLECULAR MECHANISMS OF MUTAGENESIS</t>
  </si>
  <si>
    <t>Mytilus galloprovincialis; cDNA microarray; coastal water pollution; gene expression profiles; heavy metals; aromatic and chlorinated organic compounds</t>
  </si>
  <si>
    <t>MEDITERRANEAN BLUE MUSSEL; OYSTER CRASSOSTREA-GIGAS; PRESTIGE OIL-SPILL; LAGOON-OF-VENICE; MYTILUS-EDULIS; POLYCHLORINATED-BIPHENYLS; ORGANIC POLLUTANTS; QUANTITATIVE PCR; BIVALVE MOLLUSKS; DNA-ADDUCTS</t>
  </si>
  <si>
    <t>Marine bivalves of the genus Mytilus are intertidal filter-feeders commonly used as biosensors of coastal pollution. Mussels adjust their functions to ordinary environmental changes, e.g. temperature fluctuations and emersion-related hypoxia, and react to various contaminants, accumulated from the surrounding water and defining a potential health risk for sea-food consumers. Despite the increasing use of mussels in environmental monitoring, their genome and gene functions are largely unexplored. Hence, we started the systematic identification of expressed sequence tags and prepared a cDNA microarray of Mytilus galloprovincialis including 1714 mussel probes (76% singletons, similar to 50% putatively identified transcripts) plus unrelated controls. To assess the potential use of the gene set represented in MytArray 1.0, we tested different tissues and groups of mussels. The resulting data highlighted the transcriptional specificity of the mussel tissues. Further testing of the most responsive digestive gland allowed correct classification of mussels treated with mixtures of heavy metals or organic contaminants (expression changes of specific genes discriminated the two pollutant cocktails). Similar analyses made a distinction possible between mussels living in the Venice lagoon (Italy) at the petrochemical district and mussels close to the open sea. The suggestive presence of gene markers tracing organic contaminants more than heavy metals in mussels from the industrial district is consistent with reported trends of chemical contamination. Further study is necessary in order to understand how much gene expression profiles can disclose the signatures of pollutants in mussel cells and tissues. Nevertheless, the gene expression patterns described in this paper support a wider characterization of the mussel transcriptome and point to the development of novel environmental metrics. (c) 2006 Elsevier B.V. All rights reserved.</t>
  </si>
  <si>
    <t>Univ Padua, Dept Biol, I-35131 Padua, Italy; Univ Padua, CRIBI, Ctr Biotechnol, I-35131 Padua, Italy; Univ Trieste, Dept Biol, I-34143 Trieste, Italy; Univ Piemonte Orientale Amedeo Avogadro, Dept Environm &amp; Life Sci, I-15100 Alessandria, Italy</t>
  </si>
  <si>
    <t>University of Padua; University of Padua; University of Trieste; University of Eastern Piedmont Amedeo Avogadro</t>
  </si>
  <si>
    <t>Lanfranchi, G (corresponding author), Univ Padua, Dept Biol, Via Bassi 58-B, I-35131 Padua, Italy.</t>
  </si>
  <si>
    <t>gerolamo.lanfranchi@unipd.it</t>
  </si>
  <si>
    <t>De Pitta, Cristiano/AAY-7302-2020; Venier, Paola/J-6302-2019; Romualdi, Chiara/K-1132-2016; Dondero, Francesco/J-1528-2012; Pallavicini, Alberto/J-4158-2012; Marsano, Francesco/E-6144-2010</t>
  </si>
  <si>
    <t>Romualdi, Chiara/0000-0003-4792-9047; Dondero, Francesco/0000-0001-7945-3712; Viarengo, Aldo/0000-0002-1557-6526; Pallavicini, Alberto/0000-0001-7174-4603; De Pitta, Cristiano/0000-0001-8013-8162; Marsano, Francesco/0000-0001-9471-4693; Venier, Paola/0000-0001-9634-3662</t>
  </si>
  <si>
    <t>0027-5107</t>
  </si>
  <si>
    <t>1873-135X</t>
  </si>
  <si>
    <t>MUTAT RES-FUND MOL M</t>
  </si>
  <si>
    <t>Mutat. Res.-Fundam. Mol. Mech. Mutagen.</t>
  </si>
  <si>
    <t>10.1016/j.mrfmmm.2006.08.007</t>
  </si>
  <si>
    <t>http://dx.doi.org/10.1016/j.mrfmmm.2006.08.007</t>
  </si>
  <si>
    <t>112XX</t>
  </si>
  <si>
    <t>WOS:000242562400014</t>
  </si>
  <si>
    <t>Segovia-Zavala, JA; Delgadillo-Hinojosa, F; Muñoz-Barbosa, A; Gutiérrez-Galindo, EA; Vidal-Talamantes, R</t>
  </si>
  <si>
    <t>Cadmium and silver in Mytilus californianus transplanted to an anthropogenic influenced and coastal upwelling areas in the Mexican Northeastern Pacific</t>
  </si>
  <si>
    <t>mussels; cadmium; silver; biomonitoring; coastal upwelling; Baja California</t>
  </si>
  <si>
    <t>TRACE-METAL POLLUTION; BAJA-CALIFORNIA; HEAVY-METALS; TEMPORAL VARIABILITY; CURRENT SYSTEM; BODY-WEIGHT; INDICATOR; WATERS; CD; BIOINDICATOR</t>
  </si>
  <si>
    <t>Univ Autonoma Baja California, Inst Invest Oceanol, Ensenada 22800, Baja California, Mexico</t>
  </si>
  <si>
    <t>Univ Autonoma Baja California, Inst Invest Oceanol, POB 2516, Ensenada 22800, Baja California, Mexico.</t>
  </si>
  <si>
    <t>jsegovia@uabc.mx</t>
  </si>
  <si>
    <t>Delgadillo-Hinojosa, Francisco/0000-0003-4856-2531</t>
  </si>
  <si>
    <t>10.1016/j.marpolbul.2003.08.022</t>
  </si>
  <si>
    <t>http://dx.doi.org/10.1016/j.marpolbul.2003.08.022</t>
  </si>
  <si>
    <t>801YP</t>
  </si>
  <si>
    <t>WOS:000220131500020</t>
  </si>
  <si>
    <t>Nardi, A; Benedetti, M; d'Errico, G; Fattorini, D; Regoli, F</t>
  </si>
  <si>
    <t>Nardi, Alessandro; Benedetti, Maura; d'Errico, Giuseppe; Fattorini, Daniele; Regoli, Francesco</t>
  </si>
  <si>
    <t>Effects of ocean warming and acidification on accumulation and cellular responsiveness to cadmium in mussels Mytilus galloprovincialis: Importance of the seasonal status</t>
  </si>
  <si>
    <t>BIVALVES CRASSOSTREA-VIRGINICA; BIOMARKERS RESPONSES; THERMAL-STRESS; CO2 LEAKAGE; TRACE-METALS; ENVIRONMENTAL HYPERCAPNIA; SEAWATER ACIDIFICATION; LYSOSOMAL RESPONSES; SEDIMENT CHEMISTRY; MARINE POLLUTION</t>
  </si>
  <si>
    <t>Ocean warming and acidification could represent an additional threat to marine organisms already coping with other anthropogenic impacts, such as chemical contamination in coastal areas. In this study, interactions between such multiple stressors and their synergistic effects in terms of accumulation, detoxification and biological effects of metals were investigated in the Mediterranean mussel Mytilus galloprovincialis. Organisms sampled during the winter period were exposed for 28 days to different combinations of two temperatures (10 degrees C and 15 degrees C), two pH/pCO(2) (8.20/ similar to 400 mu atm and 7.4/ similar to 3000 mu atm) and two cadmium concentrations (0 and 20 mu g/L). Cadmium concentrations increased in digestive glands and gills of metal-exposed mussels and were further enhanced by co-exposure at higher temperature. Interactive effects of temperature and/or pH were observed on Cd-mediated metallothionein induction, responsiveness of antioxidant system and onset of oxidative damages in lipids, with tissue-specific effects. Immunological effects showed a generalized sensitivity of lysosomal membrane stability toward the investigated stressors with major effects in co-exposed organisms. Cadmium and temperature affected phagocytosis efficiency and composition of haemocyte populations probably influencing the micronucleus frequency through varied mitotic rate. Several differences were highlighted between these results and those previously obtained from mussels exposed in summer, supporting the importance of season when addressing the tolerance of temperate organisms to variations of environmental factors. The elaboration of the whole biomarker results through weighted criteria allowed to summarize specific hazard indices, highlighting tissue-specific sensitivity toward multiple stressors and the need of improving the knowledge on interactions between multiple stressors.</t>
  </si>
  <si>
    <t>[Nardi, Alessandro; Benedetti, Maura; d'Errico, Giuseppe; Fattorini, Daniele; Regoli, Francesco] Univ Politecn Marche, Dipartimento Sci Vita &amp; Ambiente DiSVA, Via Brecce Bianche, I-60131 Ancona, Italy; [Benedetti, Maura; Regoli, Francesco] CoNISMa, Consorzio Interuniv Sci Mare, Rome, Italy</t>
  </si>
  <si>
    <t>Nardi, Alessandro/AAH-1535-2021; Fattorini, Daniele/A-2969-2010; Regoli, Francesco/K-2719-2018</t>
  </si>
  <si>
    <t>Regoli, Francesco/0000-0001-6084-6188; Nardi, Alessandro/0000-0002-9978-1411; d'Errico, Giuseppe/0000-0003-1667-8038</t>
  </si>
  <si>
    <t>10.1016/j.aquatox.2018.09.009</t>
  </si>
  <si>
    <t>http://dx.doi.org/10.1016/j.aquatox.2018.09.009</t>
  </si>
  <si>
    <t>GZ2TH</t>
  </si>
  <si>
    <t>WOS:000449240800016</t>
  </si>
  <si>
    <t>Jörundsdóttir, HO; Jensen, S; Hylland, K; Holth, TF; Gunnlaugsdóttir, H; Svavarsson, J; Olafsdóttir, A; El-Taliawy, H; Rigét, F; Strand, J; Nyberg, E; Bignert, A; Hoydal, KS; Halldórsson, HP</t>
  </si>
  <si>
    <t>Jorundsdottir, Hronn Olina; Jensen, Sophie; Hylland, Ketil; Holth, Tor Fredrik; Gunnlaugsdottir, Helga; Svavarsson, Jorundur; Olafsdottir, Asdis; El-Taliawy, Haitham; Riget, Frank; Strand, Jakob; Nyberg, Elisabeth; Bignert, Anders; Hoydal, Katrin S.; Halldorsson, Halldor Palmar</t>
  </si>
  <si>
    <t>Pristine Arctic: Background mapping of PAHs, PAH metabolites and inorganic trace elements in the North-Atlantic Arctic and sub-Arctic coastal environment</t>
  </si>
  <si>
    <t>Blue mussels; Atlantic cod; Bile metabolites; Large vessel traffic; Oil exploitation; Marine pollution</t>
  </si>
  <si>
    <t>POLYCYCLIC-AROMATIC-HYDROCARBONS; MUSSELS MYTILUS-GALLOPROVINCIALIS; COD GADUS-MORHUA; HORIZON OIL-SPILL; POLYCHLORINATED-BIPHENYLS; MEDITERRANEAN SEA; BLUE MUSSEL; SEDIMENT; EXPOSURE; EDULIS</t>
  </si>
  <si>
    <t>As the ice cap of the Arctic diminishes due to global warming, the polar sailing route will be open larger parts of the year. These changes are likely to increase the pollution load on the pristine Arctic due to large vessel traffic from specific contaminant groups, such as polycyclic aromatic hydrocarbons (PAHs). A well-documented baseline for PAH concentrations in the biota in the remote regions of the Nordic Seas and the sub-Arctic is currently limited, but will be vital in order to assess future changes in PAH contamination in the region. Blue mussels (Mytilus edulis) were collected from remote sites in Greenland, Iceland, the Faroe Islands, Norway and Sweden as well as from urban sites in the same countries for comparison. Cod (Gadus morhua) was caught north of Iceland and along the Norwegian coast. Sixteen priority PAH congeners and the inorganic trace elements arsenic, cadmium, mercury and lead were analysed in the blue mussel samples as well as PAH metabolites in cod bile. Sigma(16)PAHs ranged from 28 ng/g dry weight (d.w.) (Alftafjorour, NW Iceland) to 480 ng/g d.w. (Isafjorour, NW Iceland). Mussel samples from Mjoifjorour, East Iceland and Maarmorilik, West Greenland, contained elevated levels of Sigma(16)PAHs, 370 and 280 ng/g d.w., respectively. Levels of inorganic trace elements varied with highest levels of arsenic in mussels from Isafjorour, Iceland (79 ng/g d.w.), cadmium in mussels from Mjoifjorour, Iceland (4.3 ng/g d.w.), mercury in mussels from Sorenfjorden, Norway (0.23 ng/g d.w.) and lead in mussels from Maarmorilik, Greenland (21 ng/g d.w.). 1-OH-pyrene was only found above limits of quantification (0.5 ng/mL) in samples from the Norwegian coast, ranging between 44 and 140 ng/ml bile. Generally, PAR levels were low in mussels from the remote sites investigated in the study, which indicates limited current effect on the environment. (C) 2014 Elsevier B.V. All rights reserved.</t>
  </si>
  <si>
    <t>[Jorundsdottir, Hronn Olina; Jensen, Sophie; Gunnlaugsdottir, Helga; El-Taliawy, Haitham] Matis Ltd, Iceland Food &amp; Biotech R&amp;D, IS-113 Reykjavik, Iceland; [Hylland, Ketil; Holth, Tor Fredrik] Univ Oslo, Dept Biosci, N-0316 Oslo, Norway; [Svavarsson, Jorundur] Univ Iceland, Dept Life &amp; Environm Sci, IS-101 Reykjavik, Iceland; [Olafsdottir, Asdis; Halldorsson, Halldor Palmar] Univ Iceland, Res Ctr Sudurnes, IS-245 Sandgerdi, Iceland; [Riget, Frank; Strand, Jakob] Aarhus Univ, Arctic Res Ctr, Dept Biosci, DK-4000 Roskilde, Denmark; [Nyberg, Elisabeth; Bignert, Anders] Swedish Museum Nat Hist, S-10405 Stockholm, Sweden; [Hoydal, Katrin S.] Faroese Environm Agcy, FO-165 Argir, Faroe Islands, Denmark</t>
  </si>
  <si>
    <t>University of Oslo; University of Iceland; University of Iceland; Aarhus University; Swedish Museum of Natural History</t>
  </si>
  <si>
    <t>Jörundsdóttir, HO (corresponding author), Matis Ltd, Iceland Food &amp; Biotech R&amp;D, Vinlandsleid 12, IS-113 Reykjavik, Iceland.</t>
  </si>
  <si>
    <t>hronn.o.jorundsdottir@matis.is</t>
  </si>
  <si>
    <t>Holth, Tor Fredrik/C-2227-2009; Strand, Jakob/H-4181-2011; Halldorsson, Halldor Palmar/M-2778-2015</t>
  </si>
  <si>
    <t>Holth, Tor Fredrik/0000-0002-3722-3254; Hoydal, Katrin/0000-0003-2156-0843; Strand, Jakob/0000-0001-5756-9546; Gunnlaugsdottir, Helga/0000-0002-1883-6936; Halldorsson, Halldor Palmar/0000-0001-5529-1536; Jensen, Sophie/0000-0003-4161-6728; Svavarsson, Jorundur/0000-0003-1842-7515</t>
  </si>
  <si>
    <t>Nordic Council of Ministers, Aquatic Ecosystem Group; Icelandic Fisheries Project Fund</t>
  </si>
  <si>
    <t>The Marine Research Institute, Reykjavik Iceland, is acknowledged for collecting the samples of cod and cod bile from Icelandic waters. Cod bile samples from Norway were kindly provided by Norman Green and Bjornar Beylich (NIVA) and the Norwegian CEMP. The project was financed by the Nordic Council of Ministers, Aquatic Ecosystem Group and the Icelandic Fisheries Project Fund.</t>
  </si>
  <si>
    <t>10.1016/j.scitotenv.2014.06.030</t>
  </si>
  <si>
    <t>http://dx.doi.org/10.1016/j.scitotenv.2014.06.030</t>
  </si>
  <si>
    <t>AN0ZH</t>
  </si>
  <si>
    <t>WOS:000340312000078</t>
  </si>
  <si>
    <t>Gifford, S; Dunstan, H; O'Connor, W; Macfarlane, GR</t>
  </si>
  <si>
    <t>Quantification of in situ nutrient and heavy metal remediation by a small pearl oyster (Pinctada imbricata) farm at Port Stephens, Australia</t>
  </si>
  <si>
    <t>metal; pinctada; eutrophication; bioremediation; nutrient cycling; aquaculture</t>
  </si>
  <si>
    <t>WATER-QUALITY; PROXIMATE COMPOSITION; SEASONAL-VARIATION; CRASSOSTREA-GIGAS; MUSSEL; LAGOON; FRESH; RESTORATION; MOLLUSKS; FUCATA</t>
  </si>
  <si>
    <t>The use of pearl oysters has recently been proposed as an environmental remediation tool in coastal ecosystems. This study quantified the nitrogen, phosphorus and heavy metal content of the tissue and shell of pearl oysters harvested from a small pearl oyster farm at Port Stephens, Australia. Each tonne of pearl oyster material harvested resulted in approximately 703 g metals, 7452 g nitrogen, and 545 g phosphorus being removed from the waters of Port Stephens. Increasing current farm production of 9.8 t yr(-1) to 499 t yr(-1) would balance current nitrogen loads entering Port Stephens from a small Sewage Treatment Plant (STP) located on its southern shores. Furthermore, manipulation of harvest dates to coincide with oyster condition would likely remove substantially greater quantities of nutrients. This study demonstrates that pearl aquaculture may be used to assist in the removal of pollutants from coastal waters while producing a commercially profitable commodity. (c) 2004 Elsevier Ltd. All rights reserved.</t>
  </si>
  <si>
    <t>Univ Newcastle, Sch Environm &amp; Life Sci, Newcastle, NSW 2308, Australia; NSW Dept Primary Ind, Port Stephens Fisheries Ctr, Taylors Beach, NSW 2315, Australia</t>
  </si>
  <si>
    <t>hugh.dunstan@newcastle.edu.au</t>
  </si>
  <si>
    <t>O'Connor, Wayne/0000-0002-0972-4668; MacFarlane, Geoff R./0000-0002-5090-6236</t>
  </si>
  <si>
    <t>10.1016/j.marpolbul.2004.11.024</t>
  </si>
  <si>
    <t>http://dx.doi.org/10.1016/j.marpolbul.2004.11.024</t>
  </si>
  <si>
    <t>924FN</t>
  </si>
  <si>
    <t>WOS:000228964500017</t>
  </si>
  <si>
    <t>Ribeiro, EB; Noleto, KS; de Oliveira, SRS; de Jesus, WB; Serra, IMRD; de Almeida, ZD; Andrade, TDDM; Soares, RD; Antonio, IG; Santos, DMS; Jorge, MB; Neta, RNFC</t>
  </si>
  <si>
    <t>Ribeiro, Eliane Braga; Noleto, Katherine Saldanha; Sampaio de Oliveira, Suelen Rosana; de Jesus, Wanda Batista; Ribeiro de Sousa Serra, Ilka Marcia; de Almeida, Zafira da Silva; de Oliveira Mota Andrade, Ticianne de Sousa; Soares, Romulo de Araujo; Antonio, Icaro Gomes; Silva Santos, Debora Martins; Jorge, Marianna Basso; Fortes Carvalho Neta, Raimunda Nonata</t>
  </si>
  <si>
    <t>Biomarkers (glutathione S-transferase and catalase) and microorganisms in soft tissues of Crassostrea rhizophorae to assess contamination of seafood in Brazil</t>
  </si>
  <si>
    <t>Bivalve molluscs; Catalase; Coliform bacteria; Glutathione S-transferase; Microbiological quality</t>
  </si>
  <si>
    <t>SCIADES-HERZBERGII SILURIFORMES; OXIDATIVE STRESS BIOMARKERS; SAO MARCOS BAY; MARINE-ENVIRONMENT; FECAL POLLUTION; WATER-QUALITY; IN-SITU; METALS; OYSTERS; BIVALVES</t>
  </si>
  <si>
    <t>The goal of this study was to evaluate biomarkers (glutathione S-transferase and catalase) and microorganisms in soft tissues of Crassostrea rhizophorae to assess possible contamination of seafood in Brazil. The oysters were sampled from a reference area (Ports 1 and 2) and an impacted area (Ports 3 and 4) in Brazil (Sao Luis Island, Maranhao). Six attributes were examined in sampled oysters: glutathione S-transferase activity, catalase activity, concentrations of total coliforms and thermotolerant coliforms, and levels of Escherichia coli and Aeromonas hydrophila. Water samples were analysed for aluminium, cadmium, iron, manganese, lead, mercury, phenolics, and polychlorinated biphenyls. We found that Ports 3 and 4 are impacted by several contaminants (mercury, phenolics, and polychlorinated biphenyls), while Ports 1 and 2 are still relatively free of these contaminants. Changes in enzymes activity as well as the highest tissue bacterial concentrations were recorded in oysters from Ports 3 and 4 during the rainy season.</t>
  </si>
  <si>
    <t>[Ribeiro, Eliane Braga; Noleto, Katherine Saldanha; Sampaio de Oliveira, Suelen Rosana] Univ Fed Maranhao UFMA, Programa Posgrad Biodiversidade &amp; Biotecnol Rede, Campus Dom Delgado, Sao Luis, Maranhao, Brazil; [Noleto, Katherine Saldanha; Jorge, Marianna Basso] Univ Fed Maranhao UFMA, Programa Posgrad Oceanog, Campus Dom Delgado, Sao Luis, Maranhao, Brazil; [Ribeiro, Eliane Braga; Sampaio de Oliveira, Suelen Rosana; de Jesus, Wanda Batista; de Oliveira Mota Andrade, Ticianne de Sousa; Fortes Carvalho Neta, Raimunda Nonata] Univ Estadual Maranhao UEMA, Lab Biomarcadores Organismos Aquat LABOAq, Campus Paulo 6, Sao Luis, Maranhao, Brazil; [Ribeiro de Sousa Serra, Ilka Marcia; de Almeida, Zafira da Silva; Silva Santos, Debora Martins; Fortes Carvalho Neta, Raimunda Nonata] Univ Estadual Maranhao UEMA, Dept Biol DBIO, Campus Paulo 6, Sao Luis, Maranhao, Brazil; [de Jesus, Wanda Batista; de Oliveira Mota Andrade, Ticianne de Sousa; Soares, Romulo de Araujo] Univ Estadual Maranhao UEMA, Programa Posgrad Recursos Aquat &amp; Pesca PPGRAP UE, Campus Paulo 6, Sao Luis, Maranhao, Brazil; [Antonio, Icaro Gomes] Univ Estadual Maranhao UEMA, Ctr Ciencias Agr, Lab Fisioecol Reprod &amp; Cult Organismos Marinhos, Campus Paulo 6, Sao Luis, Maranhao, Brazil; [Jorge, Marianna Basso] Univ Fed Maranhao UFMA, Campus Dom Delgado, Sao Luis, Maranhao, Brazil</t>
  </si>
  <si>
    <t>Universidade Federal do Maranhao; Universidade Federal do Maranhao; Universidade Estadual do Maranhao; Universidade Estadual do Maranhao; Universidade Estadual do Maranhao; Universidade Estadual do Maranhao; Universidade Federal do Maranhao</t>
  </si>
  <si>
    <t>Ribeiro, EB (corresponding author), Univ Fed Maranhao UFMA, Programa Posgrad Biodiversidade &amp; Biotecnol Rede, Campus Dom Delgado, Sao Luis, Maranhao, Brazil.;Ribeiro, EB (corresponding author), Univ Estadual Maranhao UEMA, Lab Biomarcadores Organismos Aquat LABOAq, Campus Paulo 6, Sao Luis, Maranhao, Brazil.</t>
  </si>
  <si>
    <t>raimundaneta@professor.uema.br</t>
  </si>
  <si>
    <t>Jorge, Marianna/AAK-3898-2020; Antonio, Icaro/C-2864-2009; Carvalho-Neta, Raimunda/O-9797-2018</t>
  </si>
  <si>
    <t>Sampaio de Oliveira, Suelen Rosana/0000-0003-2119-314X; Antonio, Icaro/0000-0002-4538-3522; Carvalho-Neta, Raimunda/0000-0002-3519-5237; Jorge, Marianna/0000-0002-8459-6707; Braga Ribeiro, Eliane/0000-0002-1049-2454</t>
  </si>
  <si>
    <t>CAPES (Coordenacao de Aperfeicoamento de Pessoal de Nivel Superior) Brazilian Federal Agency for Support and Evaluation of Graduate Education within the Ministry of Education of Brazil; Fundacao de Amparo a Pesquisa e ao Desenvolvimento Cientifico e Tecnologico do Maranhao (FAPEMA)</t>
  </si>
  <si>
    <t>CAPES (Coordenacao de Aperfeicoamento de Pessoal de Nivel Superior) Brazilian Federal Agency for Support and Evaluation of Graduate Education within the Ministry of Education of Brazil(Coordenacao de Aperfeicoamento de Pessoal de Nivel Superior (CAPES)); Fundacao de Amparo a Pesquisa e ao Desenvolvimento Cientifico e Tecnologico do Maranhao (FAPEMA)(Fundacao de Amparo a Pesquisa e Desenvolvimento Cientifico do Maranhao (FAPEMA))</t>
  </si>
  <si>
    <t>This work was conducted during a scholarship supported by CAPES (Coordenacao de Aperfeicoamento de Pessoal de Nivel Superior) Brazilian Federal Agency for Support and Evaluation of Graduate Education within the Ministry of Education of Brazil. We also thank the Fundacao de Amparo a Pesquisa e ao Desenvolvimento Cientifico e Tecnologico do Maranhao (FAPEMA) for financial support.</t>
  </si>
  <si>
    <t>10.1016/j.marpolbul.2020.111348</t>
  </si>
  <si>
    <t>http://dx.doi.org/10.1016/j.marpolbul.2020.111348</t>
  </si>
  <si>
    <t>MU2JQ</t>
  </si>
  <si>
    <t>WOS:000555500000006</t>
  </si>
  <si>
    <t>Marigomez, I; Soto, M; Kortabitarte, M</t>
  </si>
  <si>
    <t>Tissue-level biomarkers and biological effect of mercury on sentinel slugs, Arion ater</t>
  </si>
  <si>
    <t>LITTORINA-LITTOREA L; GLAND-GONAD COMPLEX; DIGESTIVE GLAND; QUANTITATIVE ALTERATIONS; MYTILUS-EDULIS; COPPER TREATMENT; CADMIUM; POLLUTION; MUSSELS; CELLS</t>
  </si>
  <si>
    <t>The present investigation was to determine the extent to which mercury (HE) provokes measurable effects on the structure of the digestive gland of slugs as well as to relate the extent of these effects to the cell and tissue distribution of Hg. For this purpose, slugs (Ar-ion ater) received various dietary concentrations of Hg (from 0 to 1,000 mu g Hg/g food) as chloride for 30 days and were histologically examined every third day. Autometallography was used to demonstrate Hg as black silver deposits (BSD) in paraffin sections. The lysosomes and residual bodies of digestive cells resulted to be the major accumulation sites. In addition, Hg was also evidenced in lipofuscine granules of vacuoles in excretory cells but, however, it was rarely observed within calcium cells. Generally, the extent of BSD increased with dietary HE concentration and exposure time but, however, it became significant lowered after exposure to 1,000 mu g Hg/g food for 30 when the digestive epithelium appeared almost devoid of digestive cells. On the other hand, significant changes were recorded in the quantitative structure of digestive tubules. Mean Epithelial Thickness (MET), Mean Luminal Radius (MLR) and Mean Diverticular Radius (MDR) were recorded as measures of the sublethal biological effect of Hg. MET, MLR/MET and MET/MDR were affected by Hg concentration (C), exposure time (T) and CxT interaction, changes in MET, MLR, MLR/MET and MET/MDR being explained by regression models after logarithmic transformation of the data. In order to explain the nature of the changes in the quantitative structure of the digestive tubules this investigation was complemented with qualitative histological observations. According to them, the excretory activity in digestive cells was initially enhanced. Afterwards, the relative numbers of digestive cells declined until the extreme cases of exposure to 1,000 mu g Hg/g for 27 to 30 days in which the digestive epithelium was mostly comprised of calcium and excretory cells. Concomitantly, some changes took place in blood vessels where Leydig cells became disrupted and the connective tissue layers thickened. Finally, it is suggested to use slugs in soil quality assessment as sentinel organisms (''Slug Watch'') in which biomarkers of exposure to metallic pollutants and of biological effect are recorded.</t>
  </si>
  <si>
    <t>Marigomez, I (corresponding author), EUSKAL HERRIKO UNIBERTSITATEA,ZIENTI FAK,644 PK,E-48080 BILBAO,SPAIN.</t>
  </si>
  <si>
    <t>MARIGOMEZ ALLENDE, Ionan/C-3909-2017</t>
  </si>
  <si>
    <t>MARIGOMEZ ALLENDE, Ionan/0000-0001-6274-541X; soto, manu/0000-0002-4541-8182</t>
  </si>
  <si>
    <t>UZ295</t>
  </si>
  <si>
    <t>WOS:A1996UZ29500007</t>
  </si>
  <si>
    <t>Rosati, G; Solidoro, C; Canu, D</t>
  </si>
  <si>
    <t>Rosati, Ginevra; Solidoro, Cosimo; Canu, Donata</t>
  </si>
  <si>
    <t>Mercury dynamics in a changing coastal area over industrial and postindustrial phases: Lessons from the Venice Lagoon</t>
  </si>
  <si>
    <t>SEDIMENT-WATER INTERFACE; GRADO LAGOON; OF-VENICE; PENOBSCOT RIVER; ORGANIC-MATTER; HEAVY-METALS; METHYLMERCURY CONCENTRATIONS; DRAINAGE-BASIN; MASS-BALANCE; THAU LAGOON</t>
  </si>
  <si>
    <t>During the industrial period, significant amounts of mercury (Hg) were discharged into the Venice Lagoon. Here, a spatially explicit model was implemented to reconstruct the temporal evolution of the total mercury (Hg-T) and methylmercury (MeHgT) concentrations in lagoon water and sediments over two centuries (1900-2100), from preindustrial to postindustrial phases. The model simulates the transport and transformations of particulate and dissolved Hg species. It is forced with time-variable Hg inputs and environmental conditions, including scenarios of future atmospheric deposition, reconstructed according to local and global socioeconomic scenarios. Since 1900, similar to 36 Mg of Hg-T and similar to 380 kg of MeHgT were delivered to the lagoon, and stored in the sediments. The deposition of Hg from the water to the seafloor increased during a period of eutrophication (1980s): how- ever, the reverse fluxes increased during a period of high sediment resuspension caused by the unregulated fishing of Manila clams (1990s). In the current postindustrial phase, the lagoon sediments have acted as a secondary source to the lagoon waters, delivering Hg (similar to 38 kg y(-1)) and MeHg (similar to 0.07 kg y(-1)). The MeHg inputs from the watershed (similar to 028 kg y(-1)) appear to be higher than the secondary fluxes from the sediments. The estimated Hg-T export to the Adriatic Sea is similar to 56 kg y(-1). Since Hgr and MeHgT outputs slightly exceed inputs, the concentrations are slowly decreasing. While the decreasing trend is maintained in all scenarios, the future level of atmospheric deposition will affect Hg concentrations and sediment recovery times. Though limited by inherent simplifications, this work results show that the reconstruction of historical dynamics using a holistic approach, supported by data, can improve our understanding of the pollutants distribution and the quantification of local emissions. Downscaling from trends predicted at the global scale taking into account for regional differences seems useful to investigate the pollutants fate. (C) 2020 Elsevier B.V. All rights reserved.</t>
  </si>
  <si>
    <t>[Rosati, Ginevra; Solidoro, Cosimo; Canu, Donata] Natl Inst Oceanog &amp; Appl Geophys OGS, Trieste, Italy</t>
  </si>
  <si>
    <t>Istituto Nazionale di Oceanografia e di Geofisica Sperimentale</t>
  </si>
  <si>
    <t>Rosati, G (corresponding author), Natl Inst Oceanog &amp; Appl Geophys OGS, Trieste, Italy.</t>
  </si>
  <si>
    <t>grosati@inogs.it</t>
  </si>
  <si>
    <t>Solidoro, Cosimo/A-3997-2009; Rosati, Ginevra/AFL-7938-2022; Melaku Canu, Donata/O-9290-2015</t>
  </si>
  <si>
    <t>Rosati, Ginevra/0000-0003-1414-0488; solidoro, cosimo/0000-0003-2354-4302; Melaku Canu, Donata/0000-0002-1853-2115</t>
  </si>
  <si>
    <t>Ministry of Education, University and Research</t>
  </si>
  <si>
    <t>Ministry of Education, University and Research(Ministry of Education, Universities and Research (MIUR))</t>
  </si>
  <si>
    <t>This research activity was performed with the contribution of the Provveditorato for the Public Works of Veneto, Trentino Alto Adige and Friuli Venezia Giulia, provided through the concessionary of State Consorzio Venezia Nuova and coordinated by CORILA, and by the Flagship RITMARE - La Ricerca ITaliana per il MARE The Italian Research for the Sea, coordinated by the National Research Council and funded by the Ministry of Education, University and Research. The authors declare no conflict of interest.</t>
  </si>
  <si>
    <t>10.1016/j.scitotenv.2020.140586</t>
  </si>
  <si>
    <t>http://dx.doi.org/10.1016/j.scitotenv.2020.140586</t>
  </si>
  <si>
    <t>NU3JK</t>
  </si>
  <si>
    <t>WOS:000573537700006</t>
  </si>
  <si>
    <t>Almeida, EA; Bainy, ACD; Medeiros, MHG; Di Mascio, P</t>
  </si>
  <si>
    <t>Effects of trace metal and exposure to air on serotonin and dopamine levels in tissues of the mussel Perna perna</t>
  </si>
  <si>
    <t>mussel; heavy metal; air exposure; serotonin; dopamine; Perna perna</t>
  </si>
  <si>
    <t>LEAD; METALLOTHIONEIN; SYSTEM; MUSCLE; CELLS; DNA</t>
  </si>
  <si>
    <t>We evaluated levels of serotonin (5HT) and dopamine (DOPA) in muscle and digestive glands of the mussel, Perna perna, collected at different times of day; exposed to air for 24 h, followed by re-submersion; and after exposure to different metals. Mussels collected at different periods of day showed little oscillation in 5HT and DOPA levels. Mussels exposed to metals showed significant changes in 5HT and DOPA levels in digestive gland and muscle, as did mussels exposed to air. Our data suggest that analyses of 5HT and DOPA in tissues of mussels could serve as a tool to evaluate the presence and effects of heavy metal contamination in mussels. Care in data interpretation is required, however, since other environmental factors such as exposure of mussels to air (i.e. at low tides) can also cause changes in DOPA and 5HT levels. Additional research is necessary to separate such natural environmental effects from effects of contaminants. (C) 2003 Elsevier Ltd. All rights reserved.</t>
  </si>
  <si>
    <t>Univ Sao Paulo, Inst Quim, Dept Bioquim, BR-05513970 Sao Paulo, Brazil; Univ Fed Santa Catarina, Ctr Ciencias Biol, Dept Bioquim, BR-88040900 Florianopolis, SC, Brazil</t>
  </si>
  <si>
    <t>Univ Sao Paulo, Inst Quim, Dept Bioquim, CP 26-077, BR-05513970 Sao Paulo, Brazil.</t>
  </si>
  <si>
    <t>Bainy, Afonso/J-6097-2012; Di Mascio, Paolo/D-1264-2014; Alves de Almeida, Eduardo/B-7630-2012; Medeiros, Marisa Helena Gennari de/A-5212-2008</t>
  </si>
  <si>
    <t>Di Mascio, Paolo/0000-0003-4125-8350; Alves de Almeida, Eduardo/0000-0002-4604-9104; Bainy, Afonso/0000-0002-3885-7718; Medeiros, Marisa Helena Gennari de/0000-0002-5438-1174</t>
  </si>
  <si>
    <t>10.1016/S0025-326X(03)00256-X</t>
  </si>
  <si>
    <t>http://dx.doi.org/10.1016/S0025-326X(03)00256-X</t>
  </si>
  <si>
    <t>WOS:000186854000025</t>
  </si>
  <si>
    <t>Tudor, HEA; Gryte, CC; Harris, CC</t>
  </si>
  <si>
    <t>Tudor, Helen E. A.; Gryte, Carl C.; Harris, Colin C.</t>
  </si>
  <si>
    <t>Seashells: Detoxifying agents for metal-contaminated waters</t>
  </si>
  <si>
    <t>water remediation; water pollution; heavy metal ions; industrial effluents; toxic spills; shells; mollusks; crustaceans; clam; oyster; lobster; biomineralization; Pb; Zn; Cd; Hg; Cu; Ag; Au; Ni; Cr; metal contamination</t>
  </si>
  <si>
    <t>HEXAVALENT CHROMIUM; HEAVY-METALS; ADSORPTION; MECHANISM; REMOVAL</t>
  </si>
  <si>
    <t>Effective treatments of industrial waste streams and toxic spills containing heavy metals depend on the rapid removal of high concentrations of metal ions. Here we describe such a method using minimally-processed waste mollusk and crustacean exoskeletons. The process of metal extraction and immobilization was studied using atomic absorption, SEM/EDAX, and x-ray diffraction to investigate both solution and mineral phases. Compared to calcium carbonates of geologic origin, biomineralized shell materials exhibit extremely rapid sequestration of metal ions: a 10,000 mg L-1 Pb solution for example, can be reduced to less than about 0.5 mg L-1 in five minutes using comminuted shell of clam (M. mercenaria), while at higher initial concentrations, both clam and oyster (C. virginica) shell can extract almost twice their weight of Pb. The uptake mechanism involves the exchange of Ca for Pb in the inorganic fraction of the shell structure. Results highlight the importance of both surface area and the presence of the organic matrix of biominerals in determining the rate and quantity of metal ions abstracted, and the uniquely coherent residues produced in the process.</t>
  </si>
  <si>
    <t>Hosp Special Surg, New York, NY 10021 USA; Columbia Univ, Dept Chem Engn, New York, NY 10027 USA; Columbia Univ, Henry Krumb Sch Mines, Dept Mat Sci &amp; Mineral Engn, New York, NY 10027 USA</t>
  </si>
  <si>
    <t>Columbia University; Columbia University</t>
  </si>
  <si>
    <t>Tudor, HEA (corresponding author), Hosp Special Surg, 535 E 70th St, New York, NY 10021 USA.</t>
  </si>
  <si>
    <t>tudorh@hss.edu</t>
  </si>
  <si>
    <t>10.1007/s11270-005-9060-3</t>
  </si>
  <si>
    <t>http://dx.doi.org/10.1007/s11270-005-9060-3</t>
  </si>
  <si>
    <t>051DN</t>
  </si>
  <si>
    <t>WOS:000238141100014</t>
  </si>
  <si>
    <t>Schwantes, D; Goncalves, AC; Manfrin, J; Campagnolo, MA; Zimmermann, J; Conradi, E; Bertoldo, DC</t>
  </si>
  <si>
    <t>Schwantes, Daniel; Goncalves Junior, Affonso Celso; Manfrin, Jessica; Campagnolo, Marcelo Angelo; Zimmermann, Juliano; Conradi Junior, Elio; Bertoldo, Danieli Cristina</t>
  </si>
  <si>
    <t>Distribution of heavy metals in sediments and their bioaccumulation on benthic macroinvertebrates in a tropical Brazilian watershed</t>
  </si>
  <si>
    <t>Metal bioaccumulation; Pb contamination; Toxic metals; Water pollution; Limnology; Riverbed</t>
  </si>
  <si>
    <t>The objectives of this study were (i) to evaluate the quality of the Ouro River, a tropical Brazilian river, assessing the concentration of the metals in surface waters, sediments, and benthic macroinvertebrates; (ii) to investigate the possible sources of pollution in Ouro River basin through field research and spatial analysis (G.I.S.); (iii) to evaluate the possible occurrence of metals bioaccumulation in the trophic chain, by comparing the concentration of the metals in water, sediments (total and bioavailable) and in benthic macroinvertebrates; and (iv), to assess the biological metrics of benthic macroinvertebrates that inhabit the Ouro River, and the possible relation regarding its distribution (richness, abundance, dominance) with the human occupancy. Water, sediment, and macroinvertebrates samples were assessed in five sample sites for 9 months. The macroinvertebrates were arranged, identified, and analyzed taxonomically. The concentrations of Cu, Zn, Fe, Mn, Cd, Pb, and Cr in waters and sediments (total and Mehlich-1) were determined, the obtained results were compared to Brazilian and international standards indexes (Igeo and E.F.). According to our findings, the quality of Ouro River is directly affected by the human activities carried out in the watershed, and despite that the vast majority of the assessed metals in water was found below the legislation maximum levels, these accumulate in sediments, with extremely high enrichment of Cd, and moderately to heavily contamination of Cd, Mn, and Cu. Also, Zn and Pb high bioaccumulation in macroinvertebrates was observed, in which concentrations were 172% and 92% higher than the mean total concentration in sediment. The fit?s goodness indicates that Mehlich-1 could be used as an extractant solution for the correlation of Pb in sediments and B.M.I. On average, Pb levels in the benthic are 14.94? higher than the bioavailable fraction in sediments (Mehlich-1). Mainly for Decapoda, Bivalve, and Gastropoda, results indicate high adsorption rates of Pb and Zn. The probable metal contamination in the Ouro River basin is from diffuse sources such as agriculture erosion (fertilizers and fertilizers with heavy and toxic heavy metals).</t>
  </si>
  <si>
    <t>[Schwantes, Daniel] Pontificia Univ Catolica Chile, Fac Agron &amp; Ing Forestal, Dept Ciencias Vegetales, Vicuna Mackenna Ave 4860, Santiago, Region Metropol, Chile; [Goncalves Junior, Affonso Celso] Univ Estadual Oeste Parana UNIOESTE, Bolsista Produtividade Pesquisa 1C CNPq, BR-85960000 Marechal Candido Rodondo, Parana, Brazil; [Manfrin, Jessica; Zimmermann, Juliano; Conradi Junior, Elio] Univ Estadual Oeste Parana UNIOESTE, Pernambuco St 1777, BR-85960000 Marechal Candido Rodondo, Parana, Brazil; [Campagnolo, Marcelo Angelo] Fac Educ Medianeira UDC Medianeira, Rio Branco St 1820, BR-85884000 Medianeira, Parana, Brazil; [Bertoldo, Danieli Cristina] Pontificia Univ Catolica Parana PUCPR, Uniao Ave 500, BR-85902532 Toledo, Parana, Brazil</t>
  </si>
  <si>
    <t>Pontificia Universidad Catolica de Chile; Universidade Estadual do Oeste do Parana; Universidade Estadual do Oeste do Parana; Pontificia Universidade Catolica do Parana</t>
  </si>
  <si>
    <t>Schwantes, D (corresponding author), Pontificia Univ Catolica Chile, Fac Agron &amp; Ing Forestal, Dept Ciencias Vegetales, Vicuna Mackenna Ave 4860, Santiago, Region Metropol, Chile.</t>
  </si>
  <si>
    <t>daniel_schwantes@hotmail.com</t>
  </si>
  <si>
    <t>Goncalves Junior, Affonso Celso/B-4179-2013; Schwantes, Daniel/O-4051-2015</t>
  </si>
  <si>
    <t>Goncalves Junior, Affonso Celso/0000-0002-1699-1545; Schwantes, Daniel/0000-0002-2251-5887</t>
  </si>
  <si>
    <t>Fundacao Araucaria</t>
  </si>
  <si>
    <t>Fundacao Araucaria(Fundacao Araucaria de Apoio ao Desenvolvimento Cientifico e Tecnologico do Estado do Parana FA)</t>
  </si>
  <si>
    <t>To the Fundacao Araucaria for the scholarship support.</t>
  </si>
  <si>
    <t>10.1016/j.ecoleng.2021.106194</t>
  </si>
  <si>
    <t>http://dx.doi.org/10.1016/j.ecoleng.2021.106194</t>
  </si>
  <si>
    <t>RF6ML</t>
  </si>
  <si>
    <t>WOS:000634956300001</t>
  </si>
  <si>
    <t>Monitoring of metal pollution in waterways across Bangladesh and ecological and public health implications of pollution</t>
  </si>
  <si>
    <t>Heavy metals; Artificial mussels; Metal hot spots; Bangladesh; Buriganga River; Chittagong; Dhaka; Khulna; Pollution implications</t>
  </si>
  <si>
    <t>ARTIFICIAL MUSSELS; MARINE ENVIRONMENTS; ACCUMULATION; TEMPERATURE</t>
  </si>
  <si>
    <t>Using innovative artificial mussels technology for the first time, this study detected eight heavy metals (Cd, Cu, Fe, Mn, Ni, Pb, U, Zn) on a regular basis in waterways across Bangladesh (Chittagong, Dhaka and Khulna). Three heavy metals, viz. Co, Cr and Hg were always below the instrumental detection levels in all the sites during the study period. Through this study, seven metal pollution hot spots have been identified, of which, five hot spots (Cu, Fe, Mn, Ni, Pb) were located in the Buriganga River, close to the capital Dhaka. Based on this study, the Buriganga River can be classified as the most polluted waterway in Bangladesh compared to waterways monitored in Khulna and Chittagong. Direct effluents discharged from tanneries, textiles are, most likely, reasons for elevated concentrations of heavy metals in the Buriganga River. In other areas (Khulna), agriculture and fish farming effluents may have caused higher Cu, U and Zn in the Bhairab and Rupsa Rivers, whereas untreated industrial discharge and ship breaking activities can be linked to elevated Cd in the coastal sites (Chittagong). Metal pollution may cause significant impacts on water quality (irrigation, drinking), aquatic biodiversity (lethal and sub-lethal effects), food contamination/food security (bioaccumulation of metals in crops and seafood), human health (diseases) and livelihoods of people associated with wetlands. (C) 2016 Elsevier Ltd. All rights reserved.</t>
  </si>
  <si>
    <t>[Kibria, Golam] RMIT Univ, Sch Appl Sci, Melbourne, Vic, Australia; [Hossain, Md Maruf; Mallick, Debbrota] Univ Chittagong, Inst Marine Sci &amp; Fisheries, Chittagong, Bangladesh; [Lau, T. C.] City Univ Hong Kong, Dept Biol &amp; Chem, Hong Kong, Hong Kong, Peoples R China; [Wu, Rudolf] Hong Kong Inst Educ, Dept Sci &amp; Environm Studies, Tai Po, Hong Kong, Peoples R China</t>
  </si>
  <si>
    <t>Mallick, Debbrota/0000-0001-8954-2591; Lau, Tai-Chu/0000-0002-0867-9746</t>
  </si>
  <si>
    <t>University Grants Committee of the Hong Kong Special Administrative Region, China [AoE/P-04/04]; Hong Kong to Bangladesh; FAO-GEF/BOBLME project [FAOBGDLOA-0312014-031]</t>
  </si>
  <si>
    <t>University Grants Committee of the Hong Kong Special Administrative Region, China; Hong Kong to Bangladesh; FAO-GEF/BOBLME project</t>
  </si>
  <si>
    <t>This work was partly supported by a grant from the University Grants Committee of the Hong Kong Special Administrative Region, China (AoE/P-04/04) for AM supply and analysis, shipment of AM to and from Hong Kong to Bangladesh. Rest of the field component including deployment/retrieval, field and other incidental costs, etc. were supported by the FAO-GEF/BOBLME project (FAOBGDLOA-0312014-031). We sincerely acknowledge the personal and professional efforts of Prof. T. C. Lau and Post-Doc Researcher Dr. Ruwei Wang at City University of Hong Kong whose painstaking analysis of all the AM samples made it possible to produce this paper. Special acknowledgment to Dr. Chris O'Brien, Dr. Rudolf Hermes and Mr. C. L. Andreasson of FAO, BOBLME Project, Phuket, Thailand for their support and valuable inputs throughout the program. Lastly, we are grateful two anonymous reviewers whose valuable suggestions helped to improve this paper.</t>
  </si>
  <si>
    <t>10.1016/j.chemosphere.2016.08.121</t>
  </si>
  <si>
    <t>http://dx.doi.org/10.1016/j.chemosphere.2016.08.121</t>
  </si>
  <si>
    <t>EA2DE</t>
  </si>
  <si>
    <t>WOS:000386402200001</t>
  </si>
  <si>
    <t>Leite, LAR; Januario, FF; Padilha, PM; do Livramento, ETC; de Azevedo, RK; Abdallah, VD</t>
  </si>
  <si>
    <t>Leite, Lucas A. R.; Januario, Felipe F.; Padilha, Pedro M.; do Livramento, Emmyle T. C.; de Azevedo, Rodney K.; Abdallah, Vanessa D.</t>
  </si>
  <si>
    <t>Heavy Metal Accumulation in the Intestinal Tapeworm Proteocephalus macrophallus Infecting the Butterfly Peacock Bass (Cichla ocellaris), from Southeastern Brazil</t>
  </si>
  <si>
    <t>Bioaccumulation patterns; Environmental parasitology; Fish endoparasites; South America; Tucunare</t>
  </si>
  <si>
    <t>FISH HOST; POLLUTION; RIVER; INDICATORS; PARASITES; MUSSELS; BIOINDICATORS; CESTODES; GFAAS; LEAD</t>
  </si>
  <si>
    <t>Here we evaluate the potential of heavy metal accumulation of Proteocephalus macrophallus parasitizing the Butterfly Peacock Bass (Cichla ocellaris). A total of 19 fish specimens were collected. From the hosts, samples of intestine, liver, muscle, and parasites were taken. Heavy metal concentrations (Al, As, Ba, Cd, Cr, Fe, Hg, Mg, Mn, Ni, Pb, Ti, and Zn) were obtained using Atomic Absorption Spectrometry. All analyzed elements was found in higher concentrations in the parasites comparing to its host tissues. The bioconcentration factors were higher in the intestine, varying between 5.91 (Ti) to 8.00 (Ba), followed by the muscle, 1.88 (Mg) to 6.39 (Zn), and liver, 1.67 (Al) to 2.02 (Ba). These results show that at the infection site heavy metal concentrations are reduced, since the elements are absorbed directly from the intestinal wall by the parasites. In general, P. macrophallus presents a reasonable capacity of metal accumulation comparing to its hosts.</t>
  </si>
  <si>
    <t>[Leite, Lucas A. R.; Padilha, Pedro M.] Univ Estadual Paulista UNESP, Inst Biociencias, Botucatu, SP, Brazil; [Januario, Felipe F.] Univ Sagrado Coracao, Pesquisa &amp; Posgrad, Bauru, Brazil; [do Livramento, Emmyle T. C.; de Azevedo, Rodney K.; Abdallah, Vanessa D.] Ctr Univ CESMAC, Programa Posgrad Anal Sistemas Ambientais, Alagoas, Brazil</t>
  </si>
  <si>
    <t>Universidade Estadual Paulista; Universidade do Sagrado Coracao</t>
  </si>
  <si>
    <t>Leite, LAR (corresponding author), Univ Estadual Paulista UNESP, Inst Biociencias, Botucatu, SP, Brazil.</t>
  </si>
  <si>
    <t>leitearlucas@gmail.com</t>
  </si>
  <si>
    <t>Azevedo, Rodney/K-5277-2014; de Magalhães Padilha, Pedro/C-1377-2012; Abdallah, Vanessa/K-1782-2014; Leite, Lucas/L-5138-2015</t>
  </si>
  <si>
    <t>Azevedo, Rodney/0000-0002-0471-6079; Abdallah, Vanessa/0000-0001-6539-6091; Leite, Lucas/0000-0002-4139-7839</t>
  </si>
  <si>
    <t>Swedish Research Council [2017-00566] Funding Source: Swedish Research Council; Fundacao de Amparo a Pesquisa do Estado de Sao Paulo (FAPESP) [16/21040-9, 17/00566-5] Funding Source: FAPESP; Fundação de Amparo à Pesquisa do Estado de São Paulo [2017/00566-5, 2016/21040-9] Funding Source: Medline</t>
  </si>
  <si>
    <t>Swedish Research Council(Swedish Research Council); Fundacao de Amparo a Pesquisa do Estado de Sao Paulo (FAPESP)(Fundacao de Amparo a Pesquisa do Estado de Sao Paulo (FAPESP)); Fundação de Amparo à Pesquisa do Estado de São Paulo</t>
  </si>
  <si>
    <t>10.1007/s00128-019-02704-z</t>
  </si>
  <si>
    <t>http://dx.doi.org/10.1007/s00128-019-02704-z</t>
  </si>
  <si>
    <t>JF7EE</t>
  </si>
  <si>
    <t>WOS:000491548300004</t>
  </si>
  <si>
    <t>COSSA, D; BOURGET, E</t>
  </si>
  <si>
    <t>TRACE-ELEMENTS IN MYTILUS-EDULIS-L FROM THE ESTUARY AND GULF-OF-ST-LAWRENCE, CANADA - LEAD AND CADMIUM CONCENTRATIONS</t>
  </si>
  <si>
    <t>ENVIRONMENTAL POLLUTION SERIES A-ECOLOGICAL AND BIOLOGICAL</t>
  </si>
  <si>
    <t>Cd and Pb in mussels from the St. Lawrence estuary [Canada] and the northwestern gulf of St. Lawrence range from 1.12-3.20 .mu.g Cd/g (dry wt) and from 0.5-4.1 .mu.g Pb/g (dry wt), respectively. Geographical variations in concentrations of metals could not be related to growth rate, sexual maturation of mussels or to any point source of contamination. Geographical pattern of Cd and Pb concentrations suggested a relationship between Cd and Pb content and residual surface circulation.</t>
  </si>
  <si>
    <t>UNIV LAVAL, DEPT BIOL, GRP INTERUNIV RECH OCEANOG QUEBEC, STE FOY, QUEBEC, CANADA</t>
  </si>
  <si>
    <t>Laval University</t>
  </si>
  <si>
    <t>INST NATL RECH SCI, 310 AVE URSULINES, RIMOUSKI, QUEBEC, CANADA.</t>
  </si>
  <si>
    <t>0143-1471</t>
  </si>
  <si>
    <t>ENVIRON POLLUT A</t>
  </si>
  <si>
    <t>10.1016/0143-1471(80)90091-4</t>
  </si>
  <si>
    <t>http://dx.doi.org/10.1016/0143-1471(80)90091-4</t>
  </si>
  <si>
    <t>KN439</t>
  </si>
  <si>
    <t>WOS:A1980KN43900001</t>
  </si>
  <si>
    <t>El-Agri, AM; Emam, MA; Gaber, HS; Hassan, EA; Hamdy, SM</t>
  </si>
  <si>
    <t>El-Agri, Asmaa M.; Emam, Manal A.; Gaber, Hanan S.; Hassan, Ekrami A.; Hamdy, Soha M.</t>
  </si>
  <si>
    <t>Integrated use of biomarkers to assess the impact of heavy metal pollution on Solea aegyptiaca fish in Lake Qarun</t>
  </si>
  <si>
    <t>Anthropogenic pollution; Oxidative stress; Genotoxicity; Stress proteins; Integrated biomarker response index (IBRv2); Seasonal differences</t>
  </si>
  <si>
    <t>ACTINOPTERYGII PLEURONECTIFORMES SOLEIDAE; CLAM RUDITAPES-DECUSSATUS; INDUCED OXIDATIVE STRESS; DNA-DAMAGE; SHOCK PROTEINS; RAINBOW-TROUT; SPECTROPHOTOMETRIC METHOD; HEPATIC METALLOTHIONEIN; BIOCHEMICAL RESPONSES; OREOCHROMIS-NILOTICUS</t>
  </si>
  <si>
    <t>Background: Biomarkers have become a valuable tool in environmental assessment, since they contribute to predicting contaminants in monitoring programmes. This study aimed to investigate the toxicity of heavy metal pollution in Lake Qarun using a multibiomarker approach (morphological, oxidative stress, genotoxicity, stress proteins) in Solea aegyptiaca fish. During the winter and summer seasons, water and fish samples were collected from different locations along Lake Qarun; western and northern sectors were away from any source of pollution, while southern and eastern sectors were exposed to effluents discharged from El-Wadi and El-Bats drains, respectively. The environmental quality, as well as the accumulation of metals (Fe, Cu, Zn, Cd, Pb, Ni) in fish gills, liver, and muscles were assessed. Data were integrated using the integrated biomarker response index (IBRv2) for biomarker response interpretation. Results: Water quality and bioaccumulation of heavy metals revealed a highly significant difference between samples collected from polluted sectors and those collected far from drainage water, and, seasonal differences were detected. Growth indices revealed a significant difference between sites and seasons. Fish from the western sector had the highest total antioxidant capacity in their gills, liver, and muscles, with no seasonal differences detected. However, the maximum value of malondialdehyde, protein carbonyl, 8-hydroxy-2 ' deoxyguanosine, metallothionein, heat shock protein 70, and DNA strand breaks in gills, liver, and muscles was detected in the polluting sectors. It revealed a significant difference between seasons, with the highest value during the winter season. According to IBRv2 results, the most effective biomarkers in this study were malondialdehyde and 8-hydroxy-2 ' deoxyguanosine in gills, protein carbonyl and metallothionein in the liver, heat shock protein 70 in gills and liver, and DNA strand break in gills, liver, and muscles. Conclusions: This multibiomarker approach contributes to distinguishing between locations with varying levels of anthropogenic pollution, identifying the drainage water-exposed sectors as the most stressed and the winter season as the most critical time for Solea aegyptiaca owing to spawning. The biomarkers chosen are effective indicators in Solea aegyptiaca under stress, indicating the potential for environmental monitoring.</t>
  </si>
  <si>
    <t>[El-Agri, Asmaa M.; Gaber, Hanan S.] Natl Inst Oceanog &amp; Fisheries, Pollut Dept, Cairo, Egypt; [Emam, Manal A.; Hassan, Ekrami A.] Ain Shams Univ, Fac Sci, Biochem Dept, Cairo, Egypt; [Hamdy, Soha M.] Fayoum Univ, Fac Sci, Chem Dept, Cairo, Egypt</t>
  </si>
  <si>
    <t>Egyptian Knowledge Bank (EKB); National Institute of Oceanography &amp; Fisheries (NIOF); Egyptian Knowledge Bank (EKB); Ain Shams University; Egyptian Knowledge Bank (EKB); Fayoum University</t>
  </si>
  <si>
    <t>El-Agri, AM (corresponding author), Natl Inst Oceanog &amp; Fisheries, Pollut Dept, Cairo, Egypt.</t>
  </si>
  <si>
    <t>a.elagri@niof.sci.eg</t>
  </si>
  <si>
    <t>gaber, Hanan/K-2816-2019; ahmed, ekrami/S-4061-2017</t>
  </si>
  <si>
    <t>hamdy, soha/0000-0002-0289-8358; ahmed, ekrami/0000-0001-5535-1797</t>
  </si>
  <si>
    <t>Science, Technology &amp; Innovation Funding Authority (STDF); Egyptian Knowledge Bank (EKB)</t>
  </si>
  <si>
    <t>Science, Technology &amp; Innovation Funding Authority (STDF)(Science and Technology Development Fund (STDF)); Egyptian Knowledge Bank (EKB)(Egyptian Knowledge Bank (EKB))</t>
  </si>
  <si>
    <t>Open access funding provided by The Science, Technology &amp; Innovation Funding Authority (STDF) in cooperation with The Egyptian Knowledge Bank (EKB). This research received no external funding.</t>
  </si>
  <si>
    <t>10.1186/s12302-022-00656-6</t>
  </si>
  <si>
    <t>http://dx.doi.org/10.1186/s12302-022-00656-6</t>
  </si>
  <si>
    <t>3W0HT</t>
  </si>
  <si>
    <t>WOS:000842037800001</t>
  </si>
  <si>
    <t>Roper, JM; Cherry, DS; Simmers, JW; Tatem, HE</t>
  </si>
  <si>
    <t>Bioaccumulation of toxicants in the zebra mussel, Dreissena polymorpha, at the Times Beach Confined Disposal Facility, Buffalo, New York</t>
  </si>
  <si>
    <t>Times Beach CDF; Dreissena polymorpha; Daphnia magna; PAHs; PCBs; metals</t>
  </si>
  <si>
    <t>POLYCYCLIC AROMATIC-HYDROCARBONS; DIVING DUCKS; SEDIMENTS; CONTAMINANTS; TOXICITY; INVASION</t>
  </si>
  <si>
    <t>This study consisted of a site characterization followed by biomonitoring the zebra mussel, Dreissena polymorpha, at the Times Beach Confined Disposal Facility (CDF), located in Buffalo, New York. Concentrations of selected contaminants, polycyclic aromatic hydrocarbons (PAHs), polychlorinated biphenyls (PCBs) and metals - arsenic (As), chromium (Cr), barium (Ba), mercury (Hg), cadmium (Cd), lead (Pb), selenium (Se) and silver (Ag) - were at or below detection limits in the water column. Sediment contaminant concentrations, recorded as dry weight, were as high as 549 mg/kg for total PAHs, 9 mg/kg for PCB Aroclor 1248 and 54, 99, 6, 355, 637 and 16 mg/kg for the metals As, Ba, Cd, CI, Pb and Hg, respectively. To predict contaminant bioavailability, elutriate and whole sediment toxicity tests were performed utilizing the cladoceran, Daphnia magna. Whole sediment tests indicated significant impact. Control survival was 84%, while sediment treatment had survival ranging from I to 7%. Mean control reproduction was 86.8 neonates, whereas treatment reproduction ranged from 1.4 to 9.0. Zebra mussels placed both in the water column (Upper) and at the sediment level (Lower) survived the 34-day exposure. Contaminants that significantly accumulated in zebra mussel tissue (wet wt mg/kg) were total PAHs (6.58), fluoranthene (1.23), pyrene (1.08), chrysene (0.98), benzo(a)anthracene (0.60), PCB Aroclor 1248 (1.64), As (0.97), Cr (2.87) and Ba (7.00). Accumulation of these contaminants in zebra mussel tissue represent a potentially realistic hazard to organisms (i.e. fish and birds) that feed on them. (C) 1997 Elsevier Science Ltd.</t>
  </si>
  <si>
    <t>VIRGINIA POLYTECH INST &amp; STATE UNIV,BLACKSBURG,VA 24061</t>
  </si>
  <si>
    <t>Virginia Polytechnic Institute &amp; State University</t>
  </si>
  <si>
    <t>Roper, JM (corresponding author), USA,WATERWAYS EXPT STN,ENVIRON LAB,ARMY ENGN,ES-F,3909 HALLS FERRY RD,VICKSBURG,MS 39180, USA.</t>
  </si>
  <si>
    <t>&amp;</t>
  </si>
  <si>
    <t>10.1016/S0269-7491(96)00083-8</t>
  </si>
  <si>
    <t>http://dx.doi.org/10.1016/S0269-7491(96)00083-8</t>
  </si>
  <si>
    <t>WJ298</t>
  </si>
  <si>
    <t>WOS:A1996WJ29800002</t>
  </si>
  <si>
    <t>Castro, JM; Bianchi, VA; Felici, E; De Anna, JS; Venturino, A; Luquet, CM</t>
  </si>
  <si>
    <t>Castro, Juan M. M.; Bianchi, Virginia A. A.; Felici, Emiliano; De Anna, Julieta S. S.; Venturino, Andres; Luquet, Carlos M. M.</t>
  </si>
  <si>
    <t>Effects of Dietary Copper and Escherichia coli Challenge on the Immune Response and Gill Oxidative Balance in the Freshwater Mussel Diplodon chilensis</t>
  </si>
  <si>
    <t>Aquatic invertebrates; aquatic toxicology; immunotoxicity; environmental toxicology</t>
  </si>
  <si>
    <t>PATTERN-RECOGNITION RECEPTOR; HEAVY-METAL POLLUTION; LIPID-PEROXIDATION; MYTILUS-GALLOPROVINCIALIS; CRASSOSTREA-VIRGINICA; ALKALINE-PHOSPHATASE; ENVIRONMENTAL CONTAMINANTS; SUBLETHAL CONCENTRATIONS; GLUTATHIONE-PEROXIDASE; PHENOLOXIDASE ACTIVITY</t>
  </si>
  <si>
    <t>Copper is a water and sediment pollutant that can be biomagnified by phytoplankton, and it often co-occurs with fecal bacteria. We addressed the combined effects of copper and Escherichia coli on the immune response and gill oxidative balance of the freshwater mussel Diplodon chilensis. Bivalves were sorted into four groups fed with 1) control algae, 2) bacteria (E. coli), 3) copper-enriched algae (Cu2+) algae, and 4) copper-enriched algae followed by bacteria (Cu2+ + E. coli). Cellular and humoral immune and cytotoxic variables were analyzed in hemolymph, and detoxifying/antioxidant enzyme activities (glutathione S-transferase [GST] and catalase [CAT]) and lipid peroxidation (thiobarbituric acid reactive substances [TBARS]) were studied in gill tissue. The total hemocyte number increased after Cu2+ exposure, independently of the E. coli challenge. The proportion of hyalinocytes significantly diminished in the E. coli and Cu2+ groups but not in Cu2+ + E. coli groups; granulocytes significantly increased with E. coli but not with Cu2+ + E. coli treatments. Phagocytic activity was higher in all treatments than in control mussels. Acid phosphatase activity was increased by E. coli and inhibited by Cu2+ and Cu2+ + E. coli. Both E. coli and Cu2+ but not Cu2+ + E. coli augmented alkaline phosphatase activity. The Cu2+ and Cu2+ + E. coli treatments reduced the lysosomal membrane stability and cell viability. Humoral bacteriolytic and phenol oxidase activities were not affected by any treatment. The Cu2+ treatment induced gill CAT and GST activities and increased TBARS levels. The Cu2+ + E. coli treatment reversed this CAT and GST stimulation and increased the Cu2+ effect on TBARS. Dietary Cu2+ affects bivalves' immunological and oxidative status and impairs defensive responses against bacteria. In turn, E. coli potentiates the gill oxidative effects of Cu2+. Environ Toxicol Chem 2022;00:1-12. (c) 2022 SETAC</t>
  </si>
  <si>
    <t>[Castro, Juan M. M.; De Anna, Julieta S. S.; Luquet, Carlos M. M.] Univ Nacl Comahue, Consejo Nacl Invest Cient &amp; Tecn, Lab Ecotoxicol Acuat, Subsede Inst Invest Biodivers &amp; Medioambiente, Neuquen, Argentina; [Felici, Emiliano] Univ Nacl San Luis, Fac Quim Bioquim &amp; Farm, Dept Farm, Inst Quim San Luis, San Luis, Argentina; [Venturino, Andres] Univ Nacl Comahue, Ctr Invest Toxicol Ambiental &amp; Agrobiotecnol Comah, Consejo Nacl Invest Cient &amp; Tecn, Neuquen, Argentina</t>
  </si>
  <si>
    <t>Universidad Nacional del Comahue; Consejo Nacional de Investigaciones Cientificas y Tecnicas (CONICET); Universidad Nacional de San Luis; Consejo Nacional de Investigaciones Cientificas y Tecnicas (CONICET); Universidad Nacional del Comahue</t>
  </si>
  <si>
    <t>Luquet, CM (corresponding author), Univ Nacl Comahue, Consejo Nacl Invest Cient &amp; Tecn, Lab Ecotoxicol Acuat, Subsede Inst Invest Biodivers &amp; Medioambiente, Neuquen, Argentina.</t>
  </si>
  <si>
    <t>luquetc@comahue-conicet.gob.ar</t>
  </si>
  <si>
    <t>Luquet, Carlos/0000-0003-3951-8125; De Anna, Julieta Soledad/0000-0003-1810-0408</t>
  </si>
  <si>
    <t>Consejo Nacional de Investigaciones Cientificas y Tecnicas [PIP 220-2753]; Agencia Nacional de Promocion de la Investigacion, el Desarrollo Tecnologico y la Innovacion [PICT 2018-02653, PICT 2013-1415]; Centro de Ecologia Aplicada del Neuquen; Cooperativa de Agua Potable y Saneamiento de San Martin de los Andes; Escuela de Buceo San Martin de los Andes</t>
  </si>
  <si>
    <t>Consejo Nacional de Investigaciones Cientificas y Tecnicas(Consejo Nacional de Investigaciones Cientificas y Tecnicas (CONICET)); Agencia Nacional de Promocion de la Investigacion, el Desarrollo Tecnologico y la Innovacion; Centro de Ecologia Aplicada del Neuquen; Cooperativa de Agua Potable y Saneamiento de San Martin de los Andes; Escuela de Buceo San Martin de los Andes</t>
  </si>
  <si>
    <t>Our study was supported by grants from the Consejo Nacional de Investigaciones Cientificas y Tecnicas (PIP 220-2753) and the Agencia Nacional de Promocion de la Investigacion, el Desarrollo Tecnologico y la Innovacion (PICT 2018-02653 to Carlos. M. Luquet and PICT 2013-1415 to Andres Venturino), with permission 815 from the National Parks Administration. We are grateful for support from the Centro de Ecologia Aplicada del Neuquen, the Cooperativa de Agua Potable y Saneamiento de San Martin de los Andes, and the Escuela de Buceo San Martin de los Andes. Finally, we thank the Instituto de Quimica de San Luis; Facultad de Quimica, Bioquimica y Farmacia; Universidad Nacional de San Luis; Consejo Nacional de Investigaciones Cientificas y Tecnicas and Secretaria de Ciencia y Tecnica, Universidad Nacional de San Luis (PROIPRO 2-1914).</t>
  </si>
  <si>
    <t>10.1002/etc.5507</t>
  </si>
  <si>
    <t>http://dx.doi.org/10.1002/etc.5507</t>
  </si>
  <si>
    <t>7V8QP</t>
  </si>
  <si>
    <t>WOS:000894038200001</t>
  </si>
  <si>
    <t>Çulha, ST; Çulha, M; Karayücel, I; Çelik, MY; Isler, Y</t>
  </si>
  <si>
    <t>Culha, S. Turk; Culha, M.; Karayucel, I.; Celik, M. Y.; Isler, Y.</t>
  </si>
  <si>
    <t>Heavy metals in Mytilus galloprovincialis, suspended particulate matter and sediment from offshore submerged longline system, Black Sea</t>
  </si>
  <si>
    <t>Mytilus galloprovincialis; Sediment; Suspended particulate matter; Heavy metals; Submerged longline system; Black Sea</t>
  </si>
  <si>
    <t>TRACE-ELEMENT CONCENTRATIONS; SURFACE-WATER; MARMARA SEA; BIOCHEMICAL-COMPOSITION; SEASONAL DISTRIBUTION; CONCENTRATIONS ZN; CONDITION INDEX; HUMAN HEALTH; NW SPAIN; MUSSEL</t>
  </si>
  <si>
    <t>The study was performed between March 2009 and March 2010 at the Sinop Inner Harbor on cultured mussels at the offshore submerged longline system. The samples of mussels, sediment and suspended particulate matter were seasonally taken for the purpose of monitoring differences of metal contents. In addition, burnable organic matter, contamination factors (CF), pollution load index (PLI) in sediment samples, meat yield of mussels were seasonally determined. All metals in suspended particulate matter were found to be above the national limit. Cd concentration in sediment was above the limit according to sediment quality guidelines, and Cd concentration in mussel was above both national and international limit values. According to CF and PLI identified in sediment, it was found that Inner Harbor was under the effect of anthropogenic pollution in terms of Cd accumulation. Provisional tolerable weekly intake calculated in mussel did not exceed the tolerable consumption values. In conclusion, it can be said that this region considered for commercial mussel cultivation is not a suitable area.</t>
  </si>
  <si>
    <t>[Culha, S. Turk; Culha, M.] Izmir Katip Celebi Univ, Fac Fisheries, TR-35620 Izmir, Turkey; [Karayucel, I.; Celik, M. Y.] Sinop Univ, Fac Fisheries, Sinop, Turkey; [Isler, Y.] Izmir Katip Celebi Univ, Biomed Engn, Izmir, Turkey</t>
  </si>
  <si>
    <t>Izmir Katip Celebi University; Sinop University; Izmir Katip Celebi University</t>
  </si>
  <si>
    <t>Çulha, ST (corresponding author), Izmir Katip Celebi Univ, Fac Fisheries, TR-35620 Izmir, Turkey.</t>
  </si>
  <si>
    <t>trksanye@gmail.com</t>
  </si>
  <si>
    <t>Culha, Mehmet/GLS-8374-2022; celik, meryem/AAE-3090-2019; Isler, Yalcin/A-7399-2019; Karayucel, Ismihan/AAR-5123-2020; Turk Culha, Saniye/O-6396-2016</t>
  </si>
  <si>
    <t>Turk Culha, Saniye/0000-0003-0380-0858; Celik, Yesim/0000-0002-6270-915X; Karayucel, Ismihan/0000-0003-2520-7545</t>
  </si>
  <si>
    <t>Turkish Scientific and Technical Research Council (TUBITAK) [108Y335]</t>
  </si>
  <si>
    <t>Turkish Scientific and Technical Research Council (TUBITAK)(Turkiye Bilimsel ve Teknolojik Arastirma Kurumu (TUBITAK))</t>
  </si>
  <si>
    <t>This work was supported by the Turkish Scientific and Technical Research Council (TUBITAK) with Project Number 108Y335.</t>
  </si>
  <si>
    <t>10.1007/s13762-016-1158-1</t>
  </si>
  <si>
    <t>http://dx.doi.org/10.1007/s13762-016-1158-1</t>
  </si>
  <si>
    <t>EK1NY</t>
  </si>
  <si>
    <t>WOS:000393693700017</t>
  </si>
  <si>
    <t>Deruytter, D; Vandegehuchte, MB; Garrevoet, J; Blust, R; Vincze, L; De Schamphelaere, KAC; Janssen, CR</t>
  </si>
  <si>
    <t>Deruytter, David; Vandegehuchte, Michiel B.; Garrevoet, Jan; Blust, Ronny; Vincze, Laszlo; De Schamphelaere, Karel A. C.; Janssen, Colin R.</t>
  </si>
  <si>
    <t>SALINITY, DISSOLVED ORGANIC CARBON, AND INTERPOPULATION VARIABILITY HARDLY INFLUENCE THE ACCUMULATION AND EFFECT OF COPPER IN MYTILUS EDULIS</t>
  </si>
  <si>
    <t>Bioavailability; Dissolved organic carbon; Salinity; Marine; Physiology</t>
  </si>
  <si>
    <t>BIOTIC LIGAND MODEL; BLUE MUSSEL; DAPHNIA-MAGNA; LOCAL ADAPTATION; WATER HARDNESS; HUMIC ACIDS; NORTH-SEA; TOXICITY; METALS; POPULATIONS</t>
  </si>
  <si>
    <t>To improve the ecological relevance of environmental risk assessment, an improved understanding is needed of 1) the influence of environmental conditions on the toxicity of pollutants, and 2) the effect of these factors in combination with possible interpopulation variability. The influences of salinity and dissolved organic carbon (DOC) on the accumulation and effect of copper (Cu) to settled mussels were investigated with mussels from a North Sea and a Baltic Sea population. We found that both populations were equally Cu-sensitive, even though the Baltic Sea population lives in suboptimal conditions. Baltic Sea mussels, however, accumulated more Cu. This suggests that these populations may have different ways of coping with excess Cu. The influence of salinity on Cu toxicity to settled mussels was limited for both populations. An increase in DOC did not decrease the Cu accumulation or effect in either population. This suggests that DOC-Cu complexes are bioavailable for settled mussels. These findings are in contrast with previous research which indicated that DOC decreased the toxicity and accumulation of Cu in the D-larvae life stage. As a consequence, the mussel larval stage is not the most Cu-sensitive life stage at high DOC concentrations. Furthermore, a DOC correction factor for Cu toxicity cannot be used for settled mussels. This should be accounted for in future marine Cu environmental risk assessment. (C) 2017 SETAC</t>
  </si>
  <si>
    <t>[Deruytter, David; Vandegehuchte, Michiel B.; De Schamphelaere, Karel A. C.; Janssen, Colin R.] Univ Ghent, Dept Appl Ecol &amp; Environm Biol, Lab Environm Toxicol &amp; Aquat Ecol, Ghent, Belgium; [Garrevoet, Jan; Vincze, Laszlo] Univ Ghent, Dept Analyt Chem, Xray Microspectroscopy &amp; Imaging Grp, Ghent, Belgium; [Blust, Ronny] Univ Antwerp, Dept Biol, Syst Physiol &amp; Ecotoxicol Res, Antwerp, Belgium</t>
  </si>
  <si>
    <t>Ghent University; Ghent University; University of Antwerp</t>
  </si>
  <si>
    <t>Deruytter, D (corresponding author), Univ Ghent, Dept Appl Ecol &amp; Environm Biol, Lab Environm Toxicol &amp; Aquat Ecol, Ghent, Belgium.</t>
  </si>
  <si>
    <t>davidderuytter@hotmail.com</t>
  </si>
  <si>
    <t>Janssen, Colin/H-3122-2015; Vincze, Laszlo/AAP-3914-2020; De Schamphelaere, Karel/A-1600-2008</t>
  </si>
  <si>
    <t>Vandegehuchte, Michiel/0000-0002-3915-4416; Janssen, Colin/0000-0002-7781-6679; De Schamphelaere, Karel/0000-0002-5063-922X; Deruytter, David/0000-0001-8565-2240</t>
  </si>
  <si>
    <t>European Copper Institute; International Copper Association; BOF Ghent University research fund; Ghent University Concerted Research Action fund; Flemish Institute for the Promotion of Scientific and Technological Research in Industry; Flemish Institute for the Promotion of Scientific and Technological Research in Industry (Belgium)</t>
  </si>
  <si>
    <t>European Copper Institute; International Copper Association; BOF Ghent University research fund; Ghent University Concerted Research Action fund; Flemish Institute for the Promotion of Scientific and Technological Research in Industry(Institute for the Promotion of Innovation by Science and Technology in Flanders (IWT)); Flemish Institute for the Promotion of Scientific and Technological Research in Industry (Belgium)</t>
  </si>
  <si>
    <t>The manuscript was written with contributions from all of the authors. All of the authors gave their approval to the final version of the manuscript. Funding was obtained from the European Copper Institute, International Copper Association, the BOF Ghent University research fund, the Ghent University Concerted Research Action fund, and the Flemish Institute for the Promotion of Scientific and Technological Research in Industry. D. Deruytter and J. Garrevoet are recipients of a PhD grant provided by the Flemish Institute for the Promotion of Scientific and Technological Research in Industry (Belgium).</t>
  </si>
  <si>
    <t>10.1002/etc.3736</t>
  </si>
  <si>
    <t>http://dx.doi.org/10.1002/etc.3736</t>
  </si>
  <si>
    <t>FB8ON</t>
  </si>
  <si>
    <t>WOS:000406398400017</t>
  </si>
  <si>
    <t>Stoyanova, S; Mollov, I; Velcheva, I; Georgieva, E; Yancheva, V</t>
  </si>
  <si>
    <t>Stoyanova, Stela; Mollov, Ivelin; Velcheva, Iliana; Georgieva, Elenka; Yancheva, Vesela</t>
  </si>
  <si>
    <t>Cadmium and Polyaromatic Hydrocarbons Exposure Changes the Condition Indices in Dreissena polymorpha (Pallas, 1771): A Case Study</t>
  </si>
  <si>
    <t>3rd International Conference on Zoology, Zoonoses and Epidemiology</t>
  </si>
  <si>
    <t>OCT 21-23, 2019</t>
  </si>
  <si>
    <t>Hissar, BULGARIA</t>
  </si>
  <si>
    <t>Cd; PAHs; Zebra mussel; Biomarkers; Condition index; Soft tissue wet ratio</t>
  </si>
  <si>
    <t>ZEBRA MUSSEL; PHYSIOLOGICAL CONDITION; METAL POLLUTION; MYTILUS; BIOACCUMULATION; POPULATIONS; CONTAMINATION; BIOMARKER; RESPONSES; TOXICITY</t>
  </si>
  <si>
    <t>Cadmium (Cd) and polyaromatic hydrocarbons (PAHs) are priority pollutants in surface waters according to Directive 2013/39/EC. They are toxic, persistent and tend to accumulate in high concentrations in aquatic organisms. In the present study, zebra mussel Dreissena polymorpha was confirmed as a bio-indicator for contaminated freshwater ecosystems. We aimed to study the effects of short-term (96 h) and long-term (31 days) exposure to Cd and PAHs on the Condition index (CI) and Soft Tissue Wet Ratio (STWR) in zebra mussel. Overall, we found alterations in both CI and STWR (as compared to the control group) at all tested concentrations, including the one below the allowable concentration according to the EU legislation. These results demonstrated the toxicity of both contaminants. Furthermore, we confirmed that the studied condition indices could be successfully applied as biomarkers as they are fast and low-cost in future monitoring and risk assessment of polluted freshwater ecosystems.</t>
  </si>
  <si>
    <t>[Mollov, Ivelin; Velcheva, Iliana; Yancheva, Vesela] Paisij Hilendarski Univ Plovdiv, Fac Biol, Dept Ecol &amp; Environm Conservat, Plovdiv 4000, Bulgaria; [Stoyanova, Stela; Georgieva, Elenka] Paisij Hilendarski Univ Plovdiv, Fac Biol, Dept Dev Biol, Plovdiv 4000, Bulgaria</t>
  </si>
  <si>
    <t>Georgieva, E (corresponding author), Paisij Hilendarski Univ Plovdiv, Fac Biol, Dept Dev Biol, Plovdiv 4000, Bulgaria.</t>
  </si>
  <si>
    <t>Stoyanova, Stela/GYJ-7435-2022; Georgieva, Elenka/GXG-8061-2022; Yancheva, Vesela/AAJ-3251-2020; Mollov, Ivelin/A-5896-2015</t>
  </si>
  <si>
    <t>National program Young Researches and Postdocs, 2018 - Ministry of Education and Science, Bulgaria; Department of Scientific Research, University of Plovdiv, Bulgaria [MU-19-BF-014, 2013/39/EC]; Ministry for Education and Science, Bulgaria [M26/6]; The Scientific Research Fund [M26/6]</t>
  </si>
  <si>
    <t>National program Young Researches and Postdocs, 2018 - Ministry of Education and Science, Bulgaria; Department of Scientific Research, University of Plovdiv, Bulgaria; Ministry for Education and Science, Bulgaria; The Scientific Research Fund</t>
  </si>
  <si>
    <t>This study was funded through the National program Young Researches and Postdocs, 2018 financed by the Ministry of Education and Science, Bulgaria. The study was carried out with the financial support of project MU-19-BF-014, Assessment of the impact of Cypermethrin and Chlorpyrifos on zebra mussel (Dreissena polymorpha Pallas, 1771) through application of complex biological approaches according to Directive 2013/39/EC, financed by the Department of Scientific Research, University of Plovdiv, Bulgaria. We also thank the Ministry for Education and Science, Bulgaria and The Scientific Research Fund for the financial support of project M26/6 (Scientific Fundamental Research for Young Scientists and Postdocs).</t>
  </si>
  <si>
    <t>PH7TP</t>
  </si>
  <si>
    <t>WOS:000600610400020</t>
  </si>
  <si>
    <t>Szara-Bak, M; Baran, A; Klimkowicz-Pawlas, A; Tkaczewska, J; Wojtasik, B</t>
  </si>
  <si>
    <t>Szara-Bak, Magdalena; Baran, Agnieszka; Klimkowicz-Pawlas, Agnieszka; Tkaczewska, Joanna; Wojtasik, Barbara</t>
  </si>
  <si>
    <t>Mobility, ecotoxicity, bioaccumulation and sources of trace elements in the bottom sediments of the Ro(z) over dotnow reservoir</t>
  </si>
  <si>
    <t>Trace elements; Fractions; Risk assessment; Mussels; Biotests; Bottom sediments</t>
  </si>
  <si>
    <t>SEQUENTIAL EXTRACTION; HEAVY-METALS; BIOAVAILABILITY; TOXICITY; RIVER; FRACTIONATION; POLLUTION; BCR; PB; CU</t>
  </si>
  <si>
    <t>The aim of the study was to use of geochemical, chemical, ecotoxicological and biological indicators for a comprehensive assessment of ecological risks related to the mobility, ecotoxicity and bioavailability of trace elements in the bottom sediment of the Ro(z) over dotnow reservoir. The study found three elements deserving attention in the sediments: cadmium, nickel and chromium. Cadmium proved to be the most mobile and bioavailable, although the total cadmium content and geochemical indicators did not reveal any risk to organisms. Geochemical indicators showed that the sediments are contaminated with nickel and chromium, but both elements had a low bioaccumulation factor. Fractional analysis also revealed relatively low mobility of Cr and Ni and a higher potential risk of bioavailability for nickel. Most of the tested sediment samples had low toxicity in relation to the tested organisms. For H. incongruens, 11% of the samples were non-toxic, 50% of the samples had low toxicity, and 39% of the samples were toxic. For A. fischeri, no toxicity was found in 7% of the samples, low toxicity in 76% of the samples and toxicity in 17% of the sediment samples. The As, Cd, Cu content in the F1 fraction correlated significantly positively with the content of these metals in mussel tissues. Both biotesting and chemical analysis can reveal a potential risk to aquatic organisms. For a real assessment of the ecological risks associated with trace elements, it is necessary to use bioindicators taken from the environment and exposed to trace elements in situ.</t>
  </si>
  <si>
    <t>[Szara-Bak, Magdalena; Baran, Agnieszka] Agr Univ Krakow, Dept Agr &amp; Environm Chem, Al Mickiewicza 21, Krakow, Poland; [Klimkowicz-Pawlas, Agnieszka] Inst Soil Sci &amp; Plant Cultivat State Res Inst, Dept Soil Sci Eros &amp; Land Protect, Czartoryskich 8, PL-24100 Pulawy, Poland; [Tkaczewska, Joanna] Agr Univ Krakow, Dept Anim Prod Proc, Krakow, Poland; [Wojtasik, Barbara] Univ Gdansk, Dept Genet &amp; Biosystemat, Gdansk, Poland</t>
  </si>
  <si>
    <t>University of Agriculture in Krakow; Institute of Soil Science &amp; Plant Cultivation; University of Agriculture in Krakow; Fahrenheit Universities; University of Gdansk</t>
  </si>
  <si>
    <t>Baran, A (corresponding author), Agr Univ Krakow, Dept Agr &amp; Environm Chem, Al Mickiewicza 21, Krakow, Poland.</t>
  </si>
  <si>
    <t>Magdalena.Szara-Bak@urk.edu.pl; Agnieszka.Baran@urk.edu.pl; agnes@iung.pulawy.pl; joanna.tkaczewska@urk.edu.pl; barbara.wojtasik@ug.edu.pl</t>
  </si>
  <si>
    <t>Tkaczewska, Joanna/AAD-8125-2019; Klimkowicz-Pawlas, Agnieszka/AAA-1350-2019; Baran, Agnieszka/AAG-9583-2020</t>
  </si>
  <si>
    <t>Klimkowicz-Pawlas, Agnieszka/0000-0002-4529-5274</t>
  </si>
  <si>
    <t>National Science Centre, Poland [2016/21/B/ST10/02127]; European Social Fund [POWR.03.05.00-00-Z020/18]</t>
  </si>
  <si>
    <t>National Science Centre, Poland(National Science Centre, Poland); European Social Fund(European Social Fund (ESF))</t>
  </si>
  <si>
    <t>The study was financed by Grant No. 2016/21/B/ST10/02127: Assessment of the bottom sediment organic matter on bioavailability and toxicity of chemical compounds provided by the National Science Centre, Poland, and by Innovative program of strategic development of the University co-financed by the European Social Fund, contract no. POWR.03.05.00-00-Z020/18. We are grateful to Dr. Marek Tarnawski (University of Agriculture in Krakow) for sampling of samples (bottom sediments and mussels).</t>
  </si>
  <si>
    <t>10.1007/s10653-021-00957-4</t>
  </si>
  <si>
    <t>http://dx.doi.org/10.1007/s10653-021-00957-4</t>
  </si>
  <si>
    <t>WK0DJ</t>
  </si>
  <si>
    <t>WOS:000648492800001</t>
  </si>
  <si>
    <t>Escobedo-Fregoso, C; Mendez-Rodriguez, LC; Monsalvo-Spencer, P; Llera-Herrera, RA; Zenteno-Savin, T; Acosta-Vargas, B</t>
  </si>
  <si>
    <t>Escobedo-Fregoso, Cristina; Mendez-Rodriguez, Lia C.; Monsalvo-Spencer, Pablo; Llera-Herrera, Raul A.; Zenteno-Savin, Tania; Acosta-Vargas, Baudilio</t>
  </si>
  <si>
    <t>Assessment of Metallothioneins in Tissues of the Clam Megapitaria squalida as Biomarkers for Environmental Cadmium Pollution From Areas Enriched in Phosphorite</t>
  </si>
  <si>
    <t>OYSTERS CRASSOSTREA-GIGAS; LA-PAZ BAY; BAJA-CALIFORNIA; LIPID-PEROXIDATION; BIVALVE MOLLUSKS; METAL EXPOSURE; MYTILUS-EDULIS; QUANTIFICATION; ACCUMULATION; DETOXIFICATION</t>
  </si>
  <si>
    <t>The aim of this study was to evaluate the use of metallothionein (MT) concentrations in tissues of the clam Megapitaria squalida as biomarkers of environmental cadmium (Cd) pollution from phosphorite enrichments in the marine environment, which resulted from mining activities in La Paz Bay, Baja California Sur, Mexico. Cd and MT were quantified in gills, digestive gland, and kidney of clams exposed to 0.2 or 0.5 mg Cd l(-1) for 10, 20, or 30 days. In addition, clams from four strategically selected natural sites of La Paz Bay were collected for analysis. In tissues of bioassayed and untreated clams, the gradient of Cd concentrations was digestive gland &gt;&gt; gills &gt; kidney, whereas that of MT was digestive gland &gt; gills &gt; kidney. Digestive gland of the clams exposed to 0.5 mg Cd l(-1) for 30 days showed the highest concentrations of Cd (16.3 +/- A 3.9 mu g Cd g(-1)). The highest statistically significant MT concentrations were found in digestive gland at 10 days of exposure to Cd. In the untreated clams, one of the highest Cd concentrations, but not MT levels, was found in digestive glands of the organisms collected from the area close to phosphorite mining activities. For environmental monitoring, MT levels in digestive gland can be used as a first approximation of the presence of high levels of divalent metals in the environment. However, in this study, MT levels did not correlate with high Cd levels in clams that had been collected from areas associated with phosphorite enrichment.</t>
  </si>
  <si>
    <t>[Mendez-Rodriguez, Lia C.; Monsalvo-Spencer, Pablo; Llera-Herrera, Raul A.; Zenteno-Savin, Tania; Acosta-Vargas, Baudilio] Ctr Invest Biol Noroeste, La Paz 23090, Baja California, Mexico; [Escobedo-Fregoso, Cristina] Ctr Invest Cient &amp; Educ Super Ensenada, Ensenada 22860, Baja California, Mexico</t>
  </si>
  <si>
    <t>Telefonica SA; CIBNOR - Centro de Investigaciones Biologicas del Noroeste; CICESE - Centro de Investigacion Cientifica y de Educacion Superior de Ensenada</t>
  </si>
  <si>
    <t>Mendez-Rodriguez, LC (corresponding author), Ctr Invest Biol Noroeste, La Paz 23090, Baja California, Mexico.</t>
  </si>
  <si>
    <t>lmendez04@cibnor.mx</t>
  </si>
  <si>
    <t>Mendez, Lia/AAF-2271-2020; LLERA-HERRERA, RAUL/H-3646-2012; Escobedo, Cristina/AAF-1709-2021</t>
  </si>
  <si>
    <t>Llera-Herrera, Raul/0000-0001-9873-9732; Mendez-Rodriguez, Lia/0000-0002-4356-1305; Zenteno-Savin, Tania/0000-0002-4080-9467</t>
  </si>
  <si>
    <t>CIBNOR [P.C. 2.2]</t>
  </si>
  <si>
    <t>CIBNOR</t>
  </si>
  <si>
    <t>Authors thank Lilia Ibarra Martinez for analytic technical support. This work was funded by CIBNOR project P.C. 2.2. The authors thank Veronica Yakoleff for reviewing and editing the manuscript.</t>
  </si>
  <si>
    <t>10.1007/s00244-010-9484-7</t>
  </si>
  <si>
    <t>http://dx.doi.org/10.1007/s00244-010-9484-7</t>
  </si>
  <si>
    <t>629UR</t>
  </si>
  <si>
    <t>WOS:000280225900009</t>
  </si>
  <si>
    <t>Dahms, S; van der Bank, FH; Greenfield, R</t>
  </si>
  <si>
    <t>Dahms, S.; van der Bank, F. H.; Greenfield, R.</t>
  </si>
  <si>
    <t>A baseline study of metal contamination along the Namibian coastline for Perna perna and Choromytilus meridionalis</t>
  </si>
  <si>
    <t>Mussels; Heavy metals; Pollution; ICP-OES; Bioaccumulation; Bivalves</t>
  </si>
  <si>
    <t>INTERTIDAL MUSSELS; TRACE-METAL; HEAVY-METAL; COPPER; EXPOSURE; BIOACCUMULATION; ACCUMULATION; ASSIMILATION; MANGANESE; RESPONSES</t>
  </si>
  <si>
    <t>The use of bivalves such as the brown mussel (Perna perna) and the black mussel (Choromytilus meridionalis) is common in the study of marine pollution and the effect of these pollutants on ecosystems and are important in both economic and ecological roles. Namibian marine ecosystems are threatened by pollution from mining, commercial fishing and population growth. The aims of this study were to determine baseline metal concentrations, spatial variation and variation between species. Metal levels in C meridionalis from Guano Platform (GP) are the lowest of all the sites. The most polluted sites are Rocky Point (RP), Halifax Island (HIL) and between Walvis Bay and Swakopmund (WS). The bioaccumulation of metals between P. perna and C meridionalis were not uniform for all metals. Overall the study indicates the condition of the coastline to be mostly normal, with Cd and Pb levels being of concern. (C) 2014 Elsevier Ltd. All rights reserved.</t>
  </si>
  <si>
    <t>[Dahms, S.; van der Bank, F. H.; Greenfield, R.] Univ Johannesburg, Dept Zool, ZA-2006 Auckland Pk, South Africa</t>
  </si>
  <si>
    <t>Greenfield, R (corresponding author), Univ Johannesburg, Dept Zool, POB 524, ZA-2006 Auckland Pk, South Africa.</t>
  </si>
  <si>
    <t>rgreenfield@uj.ac.za</t>
  </si>
  <si>
    <t>Dahms-Verster, Simone/KYR-6843-2024</t>
  </si>
  <si>
    <t>Dahms-Verster, Simone/0000-0001-5488-6263; Greenfield, Richard/0000-0002-4329-3566</t>
  </si>
  <si>
    <t>National Research Foundation of South Africa</t>
  </si>
  <si>
    <t>National Research Foundation of South Africa(National Research Foundation - South Africa)</t>
  </si>
  <si>
    <t>We would like to thank the University of Johannesburg and Spectrum for the use of Facilities. We would like to thank the Namibian MFMR for assistance in field collections. We would also like to thank Mrs Eve Kroukamp from Spectrau for analytical assistance and the National Research Foundation of South Africa for funding assistance.</t>
  </si>
  <si>
    <t>10.1016/j.marpolbul.2014.05.037</t>
  </si>
  <si>
    <t>http://dx.doi.org/10.1016/j.marpolbul.2014.05.037</t>
  </si>
  <si>
    <t>WOS:000341468300049</t>
  </si>
  <si>
    <t>Soto, DX; Roig, R; Gacia, E; Catalan, J</t>
  </si>
  <si>
    <t>Soto, David X.; Roig, Romero; Gacia, Esperanca; Catalan, Jordi</t>
  </si>
  <si>
    <t>Differential accumulation of mercury and other trace metals in the food web components of a reservoir impacted by a chlor-alkali plant (Flix, Ebro River, Spain): Implications for biomonitoring</t>
  </si>
  <si>
    <t>Mercury; Trace metals; Biomonitoring; Food web; Accumulation</t>
  </si>
  <si>
    <t>DREISSENA-POLYMORPHA; SAVANNA RIVER; WATER; FISH; BIOACCUMULATION; LEAD; METHYLMERCURY; POLLUTION; CONTAMINATION; PATTERNS</t>
  </si>
  <si>
    <t>Comparative studies of biomonitors of trace metal contamination are relatively scarce. We took advantage of a point source pollution in a reservoir (Flix, Spain) to compare trace metal (Hg, Pb, Cd, Se, As, Zn, Cu, Cr) bioaccumulation patterns among 16 food web components. Our results indicate that most organisms are suitable for Hg biomonitoring, whereas other metals are better monitored by only some of them. Biofilms and zebra mussel were the organisms with larger and more diverse biomonitoring capacity. However, we show that using groups of biomonitors increase the scope and strengths of the conclusions and specific goals can be better addressed. We conclude providing an overview of the strengths and weaknesses of the main organisms considered for biomonitoring trace metals in rivers and reservoirs. (C) 2011 Elsevier Ltd. All rights reserved.</t>
  </si>
  <si>
    <t>[Soto, David X.; Roig, Romero; Gacia, Esperanca; Catalan, Jordi] Ctr Adv Studies Blanes CEAB CSIC, Blanes 17300, Spain</t>
  </si>
  <si>
    <t>Soto, DX (corresponding author), Environm Canada, 11 Innovat Blvd, Saskatoon, SK S7N 3H5, Canada.</t>
  </si>
  <si>
    <t>david.soto@ec.gc.ca</t>
  </si>
  <si>
    <t>Soto, David/B-2017-2018; Gacia, Esperanca/J-9238-2012; Catalan, Jordi/A-5420-2008</t>
  </si>
  <si>
    <t>Gacia, Esperanca/0000-0002-7687-7437; Soto, David X./0000-0003-4210-293X; Catalan, Jordi/0000-0002-2934-4013</t>
  </si>
  <si>
    <t>Spanish Ministry of the Environment and Rural and Marine Affairs; Catalan Agency of Water (ACA); Spanish Ministry of Education; GRACCIE project [CSD2007-00067]</t>
  </si>
  <si>
    <t>Spanish Ministry of the Environment and Rural and Marine Affairs(Spanish Government); Catalan Agency of Water (ACA); Spanish Ministry of Education(Spanish Government); GRACCIE project</t>
  </si>
  <si>
    <t>We thank G. de Mendoza, L Benejam and J. Benito for their assistance. Also to the Scientific-Technical Services of the University of Barcelona (SCT-UB) and Toni Padro for analytical assistance. Funding was provided by the Spanish Ministry of the Environment and Rural and Marine Affairs, the Catalan Agency of Water (ACA) and GRACCIE project (CSD2007-00067). D.X. Soto acknowledges an FPU fellowship from the Spanish Ministry of Education.</t>
  </si>
  <si>
    <t>10.1016/j.envpol.2011.03.017</t>
  </si>
  <si>
    <t>http://dx.doi.org/10.1016/j.envpol.2011.03.017</t>
  </si>
  <si>
    <t>767FE</t>
  </si>
  <si>
    <t>WOS:000290839900004</t>
  </si>
  <si>
    <t>Ruzzin, J; Petersen, R; Meugnier, E; Madsen, L; Lock, EJ; Lillefosse, H; Ma, T; Pesenti, S; Sonne, SB; Marstrand, TT; Malde, MK; Du, ZY; Chavey, C; Fajas, L; Lundebye, AK; Brand, CL; Vidal, H; Kristiansen, K; Froyland, L</t>
  </si>
  <si>
    <t>Ruzzin, Jerome; Petersen, Rasmus; Meugnier, Emmanuelle; Madsen, Lise; Lock, Erik-Jan; Lillefosse, Haldis; Ma, Tao; Pesenti, Sandra; Sonne, Si Brask; Marstrand, Troels Torben; Malde, Marian Kjellevold; Du, Zhen-Yu; Chavey, Carine; Fajas, Lluis; Lundebye, Anne-Katrine; Brand, Christian Lehn; Vidal, Hubert; Kristiansen, Karsten; Froyland, Liver</t>
  </si>
  <si>
    <t>Persistent Organic Pollutant Exposure Leads to Insulin Resistance Syndrome</t>
  </si>
  <si>
    <t>contaminants; farmed salmon; metabolic syndrome; nonalcoholic fatty liver; obesity; pollution; public health; type 2 diabetes</t>
  </si>
  <si>
    <t>FISH-OIL; MITOCHONDRIAL DYSFUNCTION; RECEPTOR SUBSTRATE-1; OXIDATIVE STRESS; ATLANTIC SALMON; SKELETAL-MUSCLE; VEGETABLE-OIL; RHO-KINASE; PROTEIN; DIOXINS</t>
  </si>
  <si>
    <t>BACKGROUND: The incidence of the insulin resistance syndrome has increased at an alarming rate worldwide, creating a serious challenge to public health care in the 21st century. Recently, epidemiological studies have associated the prevalence of type 2 diabetes with elevated body burdens of persistent organic pollutants (POPs). However, experimental evidence demonstrating a causal link between POPs and the development of insulin resistance is lacking. OBJECTIVE: We investigated whether exposure to POPs contributes to insulin resistance and metabolic disorders. METHODS: Sprague-Dawley rats were exposed for 28 days to lipophilic POPs through the consumption of a high-fat diet containing either refined or crude fish oil obtained from farmed Atlantic salmon. In addition, differentiated adipocytes were exposed to several POP mixtures that mimicked the relative abundance of organic pollutants present in crude salmon oil. We measured body weight, whole-body insulin sensitivity, POP accumulation, lipid and glucose homeostasis, and gene expression and we performed microarray analysis. RESULTS: Adult male rats exposed to crude, but not refined, salmon oil developed insulin resistance, abdominal obesity, and hepatosteatosis. The contribution of POPs to insulin resistance was confirmed in cultured adipocytes where POPs, especially organochlorine pesticides, led to robust inhibition of insulin action. Moreover, POPs induced down-regulation of insulin-induced gene-1 (Insig-1) and Lpin1, two master regulators of lipid homeostasis. CONCLUSION: Our findings provide evidence that exposure to POPs commonly present in food chains leads to insulin resistance and associated metabolic disorders.</t>
  </si>
  <si>
    <t>[Ruzzin, Jerome; Madsen, Lise; Lock, Erik-Jan; Lillefosse, Haldis; Malde, Marian Kjellevold; Du, Zhen-Yu; Lundebye, Anne-Katrine; Froyland, Liver] NIFES, Natl Inst Nutr &amp; Seafood Res, N-5817 Bergen, Norway; [Petersen, Rasmus; Ma, Tao] Univ So Denmark, Dept Biochem &amp; Mol Biol, Odense, Denmark; [Petersen, Rasmus; Madsen, Lise; Ma, Tao; Sonne, Si Brask; Kristiansen, Karsten] Univ Copenhagen, Dept Biol, Copenhagen, Denmark; [Meugnier, Emmanuelle; Pesenti, Sandra; Vidal, Hubert] Univ Lyon 1, INSERM, U870, INRA,U1235,Inst Natl Sci Appl Lyon, Oullins, France; [Meugnier, Emmanuelle; Pesenti, Sandra; Vidal, Hubert] Hosp Civils Lyon, Oullins, France; [Marstrand, Troels Torben] Univ Copenhagen, Dept Biol, Bioinformat Ctr, Copenhagen, Denmark; [Marstrand, Troels Torben] Univ Copenhagen, Biotech Res &amp; Innovat Ctr, Copenhagen, Denmark; [Chavey, Carine; Fajas, Lluis] INSERM, U896, Metab &amp; Canc Lab, Inst Rech Cancerol Montpellier, Montpellier, France; [Brand, Christian Lehn] Novo Nordisk AS, Dept Insulin Pharmacol Histol &amp; Delivery, Malov, Denmark</t>
  </si>
  <si>
    <t>University of Southern Denmark; University of Copenhagen; Institut National de la Sante et de la Recherche Medicale (Inserm); INRAE; Universite Claude Bernard Lyon 1; Institut National des Sciences Appliquees de Lyon - INSA Lyon; CHU Lyon; University of Copenhagen; University of Copenhagen; Universite de Montpellier; Institut National de la Sante et de la Recherche Medicale (Inserm); Novo Nordisk</t>
  </si>
  <si>
    <t>Ruzzin, J (corresponding author), NIFES, Natl Inst Nutr &amp; Seafood Res, N-5817 Bergen, Norway.</t>
  </si>
  <si>
    <t>jerome.ruzzin@nifes.no</t>
  </si>
  <si>
    <t>Kjellevold, Marian/Q-6334-2019; Ruzzin, Jerome/AAA-5826-2020; Coll, Lluis/C-8567-2014; Ma, Tao/HTQ-6381-2023; Lock, Erik-Jan/AAM-9766-2020; Marstrand, Troels/C-7039-2011; Madsen, Lise/JAC-6159-2023; Madsen, Lise/C-6246-2012; Sonne, Si Brask/A-4851-2012; Kjellevold, Marian/C-2973-2012; Ruzzin, Jerome/U-1688-2017; Kristiansen, Karsten/J-5148-2014</t>
  </si>
  <si>
    <t>Brand, Christian Lehn/0000-0002-7355-4448; Marstrand, Troels/0000-0002-8290-223X; Madsen, Lise/0000-0003-4468-1947; Pesenti, Sandra/0000-0003-4037-208X; Sonne, Si Brask/0000-0003-3194-3805; Ma, Tao/0000-0003-2570-9449; Kjellevold, Marian/0000-0001-7070-5784; Petersen, Rasmus Koefoed/0009-0003-6889-4899; meugnier, emmanuelle/0000-0002-2291-7691; Lock, Erik-Jan/0000-0002-8157-5249; Fajas, Lluis/0000-0002-1283-9503; Ruzzin, Jerome/0000-0003-3676-8145; Du, Zhen-Yu/0000-0001-6581-5313; Chavey, Carine/0000-0002-5267-5638; Kristiansen, Karsten/0000-0002-6024-0917</t>
  </si>
  <si>
    <t>European Research Council; Research Council of Norway; Danish Natural Science Research Council; The Diabetes Association; Novo Nordisk Foundation</t>
  </si>
  <si>
    <t>European Research Council(European Research Council (ERC)); Research Council of Norway(Research Council of Norway); Danish Natural Science Research Council(Danish Natural Science Research Council); The Diabetes Association; Novo Nordisk Foundation(Novo Nordisk FoundationNovocure Limited)</t>
  </si>
  <si>
    <t>This work was supported by grants from the European Research Council, the Research Council of Norway, the Danish Natural Science Research Council, The Diabetes Association, and the Novo Nordisk Foundation.C.L.B., employed at Novo Nordisk (a leading manufacturer of insulin analogs and diabetes management care products), holds shares in the company, and contributed independently with the clamp studies. The Novo Nordisk Foundation supports basic science independently of the company interests of Novo Nordisk A/S. The remaining authors declare they have no competing financial interest.</t>
  </si>
  <si>
    <t>10.1289/ehp.0901321</t>
  </si>
  <si>
    <t>http://dx.doi.org/10.1289/ehp.0901321</t>
  </si>
  <si>
    <t>580NA</t>
  </si>
  <si>
    <t>Green Published, Green Submitted, gold</t>
  </si>
  <si>
    <t>WOS:000276454800017</t>
  </si>
  <si>
    <t>Firth, DC; Salie, K; O'Neill, B; Hoffman, LC</t>
  </si>
  <si>
    <t>Firth, D. C.; Salie, K.; O'Neill, B.; Hoffman, L. C.</t>
  </si>
  <si>
    <t>Monitoring of trace metal accumulation in two South African farmed mussel species, Mytilus galloprovincialis and Choromytilus meridionalis</t>
  </si>
  <si>
    <t>Aquaculture; Mussels; Trace metals; Toxic metals; Pollution; South Africa</t>
  </si>
  <si>
    <t>HEAVY-METALS; CONDITION INDEX; BLUE MUSSEL; COAST; MOLLUSKS; SIZE; BIOACCUMULATION; WEIGHT; SEX; L.</t>
  </si>
  <si>
    <t>Mussels pose health risks to consumers through accumulation of trace metals from the ocean. Saldanha Bay, South Africa, has heavy industry and international shipping, creating concerns over pollution levels for aquaculture facilities. Samples of C. meridionalis and M. galloprovincialis were collected from mussel rafts over two-years and analysed for trace metal content using Inductively Coupled Plasma Mass Spectrometry. Aluminium, Cr, Fe, Zn, Cd and Pb were higher in M. galloprovincialis, while C. meridionalis accumulated more Cu and Mn. Temporal fluctuations occurred for Fe and As concentrations in C. meridionalis, and Fe, As, Hg and Pb in M. galloprovincialis. Arsenic exceeded South African regulatory limits (3 mg/kg) once in each species (max = 3.4 mg/kg w.w.). Lead concentrations in M. galloprovincialis were within EU regulatory limits for bivalves (1.5 mg/kg) but exceeded SA regulatory limits for fish (0.5 mg/kg) four times. Overall, farmed mussels from Saldanha Bay were determined to be safe for human consumption.</t>
  </si>
  <si>
    <t>[Firth, D. C.; Salie, K.; O'Neill, B.; Hoffman, L. C.] Stellenbosch Univ, Dept Anim Sci, Fac AgriSci, Private Bag X1, ZA-7600 Matieland, South Africa; [Hoffman, L. C.] Univ Queensland, Ctr Nutr &amp; Food Sci, Queensland Alliance Agr &amp; Food Innovat, Coopers Plains, Qld 4108, Australia</t>
  </si>
  <si>
    <t>Stellenbosch University; University of Queensland</t>
  </si>
  <si>
    <t>Hoffman, LC (corresponding author), Univ Queensland, Ctr Nutr &amp; Food Sci, Queensland Alliance Agr &amp; Food Innovat, Coopers Plains, Qld 4108, Australia.</t>
  </si>
  <si>
    <t>ksl@sun.ac.za; louwrens.hoffman@uq.edu.au</t>
  </si>
  <si>
    <t>; Hoffman, Louwrens/U-8467-2018</t>
  </si>
  <si>
    <t>O'Neill, Bernadette/0000-0002-6447-0445; Hoffman, Louwrens/0000-0003-2736-1933; Firth, Deborah Caitlin/0000-0001-8908-2142</t>
  </si>
  <si>
    <t>South African Research Chairs Initiative (SARChI); Department of Science and Technology, Republic of South Africa [UID: 84633]</t>
  </si>
  <si>
    <t>South African Research Chairs Initiative (SARChI); Department of Science and Technology, Republic of South Africa(Department of Science &amp; Technology (India))</t>
  </si>
  <si>
    <t>We would like to acknowledge the significant assistance and repeated samples supplied by The Imbaza Mussel Farm in Saldanha Bay. This research was supported by the South African Research Chairs Initiative (SARChI) and funded by the Department of Science and Technology, Republic of South Africa (UID: 84633), as administered by the National Research Foundation (NRF) of South Africa. The financial assistance of the NRF towards this research is hereby acknowledged. The opinions expressed, and conclusions arrived at, in this paper are those of the authors and are not necessarily to be attributed to the NRF.</t>
  </si>
  <si>
    <t>10.1016/j.marpolbul.2019.03.007</t>
  </si>
  <si>
    <t>http://dx.doi.org/10.1016/j.marpolbul.2019.03.007</t>
  </si>
  <si>
    <t>WOS:000465509700059</t>
  </si>
  <si>
    <t>Amachree, D; Moody, AJ; Handy, RD</t>
  </si>
  <si>
    <t>Amachree, Dokuboba; Moody, A. John; Handy, Richard D.</t>
  </si>
  <si>
    <t>Comparison of intermittent and continuous exposures to cadmium in the blue mussel, Mytilus edulis: Accumulation and sub-lethal physiological effects</t>
  </si>
  <si>
    <t>Pulse exposure; Cd uptake; Body distribution; Peak concentration; Physiology; Histology</t>
  </si>
  <si>
    <t>TROUT ONCORHYNCHUS-MYKISS; RAINBOW-TROUT; EPISODIC POLLUTION; OXIDATIVE STRESS; COPPER; TOXICITY; ZINC; RESPONSES; INVERTEBRATES; PESTICIDES</t>
  </si>
  <si>
    <t>Little is known about the bioaccumulation responses of shellfish to metals during intermittent compared to continuous exposure. There is also the concern that the toxicity of intermittent events may not be the same as that from the steady-state continuous exposures. The aim of the present study was to determine whether there was any difference between cadmium (Cd) accumulation, or Cd-dependent biological responses, in tissues of blue mussels (Mytilus edulis) during intermittent compared to continuous Cd exposure. Tissues and hemolymph were collected from M. edulis exposed for 14 days to either control (no added Cd, only seawater), or 50 mu g/l Cd as CdCl2 in continuous or intermittent profile (2 day exposure, 2 days in clean seawater alternately); and sub-lethal responses examined using a suite of assays including total glutathione, thiobarbituric acid reactive substances (TBARS), neutral red retention, total hemocyte counts, hemolymph Na+ and K+, plasma glucose and histopathology. A time-dependent accumulation of the Cd was observed in tissues of mussels after continuous exposure, while the intermittent exposure showed step-wise changes in the hemolymph and gonad. Tissue Cd concentration in the continuous exposure was significantly increased (&gt;= 2 fold) for most tissues compared to the intermittent exposure. No clear differences were seen between the continuous and intermittent exposure for most end points measured apart from a 2 fold significant increase in hemocyte infiltration in the digestive gland of the continuous exposure compared to the intermittent exposure. Overall, the data showed that the Cd accumulation was generally greater in the continuous exposure regime, but despite this, most of the biological responses being similar in both regimes. (C) 2013 Elsevier Inc. All rights reserved.</t>
  </si>
  <si>
    <t>[Amachree, Dokuboba; Moody, A. John; Handy, Richard D.] Univ Plymouth, Sch Biomed &amp; Biol Sci, Ecotoxicol Res &amp; Innovat Ctr, Plymouth PL4 8AA, Devon, England; [Amachree, Dokuboba] Rivers State Univ Sci &amp; Technol, Dept Fisheries &amp; Aquat Environm, Port Harcourt, Nigeria</t>
  </si>
  <si>
    <t>Handy, RD (corresponding author), Univ Plymouth, Sch Biomed &amp; Biol Sci, Ecotoxicol Res &amp; Innovat Ctr, Plymouth PL4 8AA, Devon, England.</t>
  </si>
  <si>
    <t>rhandy@plymouth.ac.uk</t>
  </si>
  <si>
    <t>Moody, John/E-5699-2012; Amachree, Dokuboba/IAR-0097-2023</t>
  </si>
  <si>
    <t>Amachree, Dokuboba/0009-0005-2666-6622; Moody, John/0000-0002-1994-7419</t>
  </si>
  <si>
    <t>Rivers State Government Nigeria</t>
  </si>
  <si>
    <t>This research was funded by the Rivers State Government Nigeria through a Ph.D. scholarship to Dokuboba Amachree.</t>
  </si>
  <si>
    <t>10.1016/j.ecoenv.2013.04.023</t>
  </si>
  <si>
    <t>http://dx.doi.org/10.1016/j.ecoenv.2013.04.023</t>
  </si>
  <si>
    <t>189RQ</t>
  </si>
  <si>
    <t>WOS:000322286400003</t>
  </si>
  <si>
    <t>Pellerin, J; Amiard, JC</t>
  </si>
  <si>
    <t>Pellerin, Jocelyne; Amiard, Jean-Claude</t>
  </si>
  <si>
    <t>Comparison of bioaccumulation of metals and induction of metallothioneins in two marine bivalves (Mytilus edulis and Mya arenaria)</t>
  </si>
  <si>
    <t>Metallothioneins; Heavy metals; Mytilus edulis; Blue mussels; Mya arenaria; Soft shell clam; Bivalves</t>
  </si>
  <si>
    <t>OYSTERS CRASSOSTREA-GIGAS; SOFT-SHELL CLAM; SAGUENAY FJORD; DIGESTIVE GLAND; TRACE-METALS; CHEMICAL CONTAMINATION; DELAYED GAMETOGENESIS; SEASONAL-VARIATIONS; CADMIUM; BIOMARKER</t>
  </si>
  <si>
    <t>The St. Lawrence maritime estuary (Quebec, Canada) is subjected to mixed inputs of pollutants and the study of the induction of metallothionein in species of economic and ecologic, importance such as Mytilus edulis and Mya arenaria was pertinent to assess the consequences of pollution in this northern estuary. Bivalves from an area devoid of anthropogenic influences but characterized by background metal contamination (Franquelin) were actively transplanted within this location and in a site contaminated by urban, industrial and endogenous pollutants, Baie-Comeau (Baie-des-Anglais). Spatial differences in metal concentrations were shown between sites. Cu and Zn concentrations were higher in mussels from Baie-des-Anglais at the beginning of the transfer and after 1 and 2 months. In clams, Zn concentrations were significantly higher in gills and digestive gland tissues for organisms transplanted in Baie-des-Anglais thus showing that spatio-temporal variations of metal concentrations were different between the two species studied. Mussels and clams partitioning of metals were shown to be different depending of the species, metal and/or tissue studied. In mussels, Cd and Cu concentrations decreased in both organs and both groups after the 3-month transfer in the polluted site. In mussels, total metal and metallothionein (MT) concentrations were positively correlated in digestive gland while in clams a positive correlation was only observed in gills. (C) 2009 Published by Elsevier Inc.</t>
  </si>
  <si>
    <t>[Pellerin, Jocelyne] Univ Quebec Rimouski, Inst Sci Mer Rimouski ISMER, Rimouski, PQ G5L 3A1, Canada; [Amiard, Jean-Claude] Univ Nantes, MMS, Serv Ecotoxicol, EA2160, Nantes, France</t>
  </si>
  <si>
    <t>University of Quebec; Universite du Quebec a Rimouski; Nantes Universite</t>
  </si>
  <si>
    <t>Pellerin, J (corresponding author), Univ Quebec Rimouski, Inst Sci Mer Rimouski ISMER, 310 Allee Ursulines, Rimouski, PQ G5L 3A1, Canada.</t>
  </si>
  <si>
    <t>Jocelyne_pellerin@uqar.qc.ca</t>
  </si>
  <si>
    <t>NSERC Discovery Grant; Fondation de l'UQAR grants</t>
  </si>
  <si>
    <t>NSERC Discovery Grant(Natural Sciences and Engineering Research Council of Canada (NSERC)); Fondation de l'UQAR grants</t>
  </si>
  <si>
    <t>The authors are indebted to AUPELF-UREF for the financing of Jean-Claude Amiard and Jocelyne Pellerin for this research program. This work was also funded by NSERC Discovery Grant and the Fondation de l'UQAR grants attributed to Jocelyne Pellerin. Authors are grateful for the technical work and the samplings carried out by Thomas Mousseau, Laurent Desbos and Aline Philibert.</t>
  </si>
  <si>
    <t>10.1016/j.cbpc.2009.04.008</t>
  </si>
  <si>
    <t>http://dx.doi.org/10.1016/j.cbpc.2009.04.008</t>
  </si>
  <si>
    <t>473LC</t>
  </si>
  <si>
    <t>WOS:000268206600009</t>
  </si>
  <si>
    <t>VEDEL, GR; DEPLEDGE, MH</t>
  </si>
  <si>
    <t>STRESS-70 LEVELS IN THE GILLS OF CARCINUS-MAENAS EXPOSED TO COPPER</t>
  </si>
  <si>
    <t>HEAT-SHOCK RESPONSE; MYTILUS-EDULIS; CADMIUM; PROTEIN; ACCUMULATION; TRIBUTYLTIN; MUSSELS; TISSUE</t>
  </si>
  <si>
    <t>Male shore crabs (Carcinus maenas) were exposed to five different copper concentrations (0, 5, 10, 50 or 100 mu g l(-1)) for 2 weeks to assess the effects of copper exposure on levels of the stress protein stress-70 in gill tissue. Considerable inter-individual variability in stress-70 levels was evident in all groups. Significantly elevated levels of stress-70 were detected only in crabs exposed to 100 mu g l(-1) (p = 0.047). It is concluded that stress-70 is not a sensitive indicator of cellular stress in the gills of Carcinus maenas exposed to copper.</t>
  </si>
  <si>
    <t>UNIV PLYMOUTH, DEPT SCI BIOL, ECOTOXICOL &amp; MARINE BIOL RES GRP, PLYMOUTH PL4 8AA, DEVON, ENGLAND</t>
  </si>
  <si>
    <t>ODENSE UNIV, INST BIOL, ECOTOXICOL GRP, CAMPUSVEJ 55, DK-5230 ODENSE M, DENMARK.</t>
  </si>
  <si>
    <t>10.1016/0025-326X(95)00037-N</t>
  </si>
  <si>
    <t>http://dx.doi.org/10.1016/0025-326X(95)00037-N</t>
  </si>
  <si>
    <t>WOS:A1995RU55100013</t>
  </si>
  <si>
    <t>Comparison of intermittent and continuous exposures to inorganic mercury in the mussel, Mytilus edulis: Accumulation and sub-lethal physiological effects</t>
  </si>
  <si>
    <t>Hg uptake; Accumulation; Pulse exposure; Body distribution; Granulocytomas; Total glutathione</t>
  </si>
  <si>
    <t>CELLULAR IMMUNE-RESPONSES; EPISODIC POLLUTION; CHLORIDE EXPOSURE; RAINBOW-TROUT; TISSUE-INJURY; BLUE MUSSEL; CADMIUM; TOXICITY; MARINE; WATER</t>
  </si>
  <si>
    <t>Aquatic organisms are often subject to intermittent exposure to pollutants in real ecosystems. This study aimed to compare mercury accumulation and the physiological responses of mussels, Mytilus edulis during continuous and intermittent exposure to the metal. Mussels were treated in a semi-static, triplicated design to either a control (no added Hg) or 50 mu g l(-1) Hg as HgCl2 in continuous (daily) or intermittent (2 day exposure, 2 days in clean seawater alternately) exposure for 14 days. A time-dependent increase in Hg accumulation was observed in the continuous exposure, while the intermittent treatment showed step-wise changes in Hg concentrations with the exposure profile, especially in the gills. At the end of the experiment, tissue Hg concentrations were significantly increased in the continuous compared to the intermittent exposure for digestive gland (4 fold), gonad and remaining soft tissue (&gt;2 fold), but not for the gill and adductor muscle. There was no observed oxidative damage at the end of the experiment as measured by the thiobarbituric acid reactive substances (TBARS) concentrations in tissues from all treatments. However, total glutathione was significantly decreased in the gill and digestive gland of both the continuous and intermittent exposure by the end of the experiment. The neutral red retention ability of the haemocytes was not affected, but total haemocyte counts were significantly decreased (&lt;2 fold) in the intermittent compared to the continuous exposure. Histopathological examinations showed less pathology in the gill, but more inflammation in the digestive gland of mussels for the intermittent compared to the continuous exposure. Overall, the results showed that Hg accumulation from intermittent exposure was less than that of the continuous exposure regime, but the sub-lethal responses are sometimes more severe than expected in the former. (C) 2014 Elsevier Inc. All rights reserved.</t>
  </si>
  <si>
    <t>[Amachree, Dokuboba; Moody, A. John; Handy, Richard D.] Univ Plymouth, Sch Biol Sci, Ecotoxicol Res &amp; Innovat Ctr, Plymouth PL4 8AA, Devon, England; [Amachree, Dokuboba] Rivers State Univ Sci &amp; Technol, Dept Fisheries &amp; Aquat Environm, Port Harcourt, Nigeria</t>
  </si>
  <si>
    <t>Amachree, D (corresponding author), Univ Plymouth, Sch Biol Sci, Ecotoxicol Res &amp; Innovat Ctr, Plymouth PL4 8AA, Devon, England.</t>
  </si>
  <si>
    <t>dokuboba.amachree@plymouth.ac.uk</t>
  </si>
  <si>
    <t>This research was funded by the Rivers State Government Nigeria through a PhD scholarship to Dokuboba Amachree.</t>
  </si>
  <si>
    <t>10.1016/j.ecoenv.2014.07.025</t>
  </si>
  <si>
    <t>http://dx.doi.org/10.1016/j.ecoenv.2014.07.025</t>
  </si>
  <si>
    <t>AR3XZ</t>
  </si>
  <si>
    <t>WOS:000343523900019</t>
  </si>
  <si>
    <t>Okay, OS; Ozmen, M; Güngördü, A; Yilmaz, A; Yakan, SD; Karacik, B; Tutak, B; Schramm, KW</t>
  </si>
  <si>
    <t>Okay, Oya S.; Ozmen, Murat; Gungordu, Abbas; Yilmaz, Atilla; Yakan, Sevil D.; Karacik, Burak; Tutak, Bilge; Schramm, Karl-Werner</t>
  </si>
  <si>
    <t>Heavy metal pollution in sediments and mussels: assessment by using pollution indices and metallothionein levels</t>
  </si>
  <si>
    <t>Sediments; Mussels; Metals; Metallothionein; Shipyards; Marinas</t>
  </si>
  <si>
    <t>ECOLOGICAL RISK-ASSESSMENT; ESTUARINE SEDIMENTS; ORGANIC-COMPOUNDS; MARINE-SEDIMENTS; MYTILUS-EDULIS; BLUE MUSSELS; WATER; CONTAMINATION; RIVER; ACCUMULATION</t>
  </si>
  <si>
    <t>In the present work, the concentration of eight metals (Cd, Cr, Cu, Fe, Mn, Ni, Pb, Zn) was determined in the sediments and transplanted and native mussels (Mytilus galloprovincialis). The study was conducted in Turkish marinas, shipyards, and shipbreaking yards. The effect of metal pollution was evaluated by determining the levels of metallothionein (MT) in the mussels. The extent of contamination for each single metal was assessed by using the geoaccumulation index (I-geo) and enrichment factor (EF). Whereas, to evaluate the overall metal pollution and effect, the pollution load index (PLI), modified contamination degree (mC(d)), potential toxicity response index (RI), mean effects range median (ERM) quotient (m-ERM-Q), and mean PEL quotient (m-PEL-Q) were calculated. The influence of different background values on the calculations was discussed. The results indicated a significant metal pollution caused by Cu, Pb, and Zn especially in shipyard and shipbreaking sites. Higher concentrations of MT were observed in the ship/breaking yard samples after the transplantation.</t>
  </si>
  <si>
    <t>[Okay, Oya S.; Yilmaz, Atilla; Yakan, Sevil D.; Karacik, Burak; Tutak, Bilge] Istanbul Tech Univ, Fac Naval Architecture &amp; Ocean Engn, TR-34469 Istanbul, Turkey; [Ozmen, Murat; Gungordu, Abbas] Inonu Univ, Dept Biol, Arts &amp; Sci Fac, Lab Environm Toxicol, TR-44069 Malatya, Turkey; [Schramm, Karl-Werner] Helmholtz Zentrum Munchen, Inst Ecol Chem, German Res Ctr Environm Hlth, Ingolstadter Landstr 1, D-85764 Neuherberg, Germany; [Schramm, Karl-Werner] TUM, Wissensch Zentrum Weihenstephan Ernahrung &amp; Landn, Dept Biowissensch, Weihenstephaner Steig 23, D-85350 Freising Weihenstephan, Germany</t>
  </si>
  <si>
    <t>Istanbul Technical University; Inonu University; Helmholtz Association; Helmholtz-Center Munich - German Research Center for Environmental Health; Technical University of Munich</t>
  </si>
  <si>
    <t>Okay, OS (corresponding author), Istanbul Tech Univ, Fac Naval Architecture &amp; Ocean Engn, TR-34469 Istanbul, Turkey.</t>
  </si>
  <si>
    <t>oya.okay@itu.edu.tr</t>
  </si>
  <si>
    <t>KARACIK, BURAK/S-4870-2016; Güngördü, Abbas/A-3009-2015; Okay, Oya/A-8327-2015; Yakan, Sevil Deniz/ABA-7426-2020; Tutak, Bilge/P-9314-2015</t>
  </si>
  <si>
    <t>Yilmaz, Atilla/0000-0003-4215-8140; Yakan Dundar, Sevil Deniz/0000-0003-2493-680X; Tutak, Bilge/0000-0003-2885-9338</t>
  </si>
  <si>
    <t>Scientific and Technological Research Council of Turkey (TUBITAK) [110Y194, PT-DLR 01DL12016]; International Bureau of the Federal Ministry of Education and Research, Germany [110Y194, PT-DLR 01DL12016]</t>
  </si>
  <si>
    <t>Scientific and Technological Research Council of Turkey (TUBITAK)(Turkiye Bilimsel ve Teknolojik Arastirma Kurumu (TUBITAK)); International Bureau of the Federal Ministry of Education and Research, Germany</t>
  </si>
  <si>
    <t>This research has been supported via joint research projects between the Scientific and Technological Research Council of Turkey (TUBITAK) and the International Bureau of the Federal Ministry of Education and Research, Germany (Project Nos: 110Y194 in Turkey and PT-DLR 01DL12016 in Germany).</t>
  </si>
  <si>
    <t>10.1007/s10661-016-5346-8</t>
  </si>
  <si>
    <t>http://dx.doi.org/10.1007/s10661-016-5346-8</t>
  </si>
  <si>
    <t>DM9KN</t>
  </si>
  <si>
    <t>WOS:000376684900036</t>
  </si>
  <si>
    <t>Sokolowski, A; Wolowicz, M; Hummel, H; Bogaards, R</t>
  </si>
  <si>
    <t>Physiological responses of Macoma balthica to copper pollution in the Baltic</t>
  </si>
  <si>
    <t>OCEANOLOGICA ACTA</t>
  </si>
  <si>
    <t>stress; copper; ecophysiology; Macoma balthica; Baltic Sea</t>
  </si>
  <si>
    <t>WADDEN SEA; METALS; SEDIMENTS; ESTUARIES; NETHERLANDS; SPECIATION; EXTRACTION; INDICATOR; BIVALVES; DIATOMS</t>
  </si>
  <si>
    <t>Physiological and behavioral responses to Cu exposure were measured in the Baltic clam Macoma balthica from the Gulf of Gdansk, southern Baltic Sea. The burrowing activity, mortality rate, glycogen content, condition index and free amino acid (FAA) composition were analysed as indicators of stress in a series of field and laboratory studies. M. balthica exposed to Cu showed clear Cu-concentration related differences in burrowing activity and mortality rate, but no consistent differences in the condition index, glycogen content, and free amino acids. The clams from a less polluted area reacted more strongly and were more sensitive to additional stress as compared to organisms from a more polluted region. The effect of Cu on the ecophysiology of Baltic clams in the field was probably obscured by reproduction-related changes in the organism. The role of sediment as a potential source of Cu in the Baltic clam was discussed. (C) Elsevier, Paris/ Ifremer / CNRS / IRD.</t>
  </si>
  <si>
    <t>Univ Gdansk, Inst Oceanog, Lab Estuarine Ecol, PL-81378 Gdynia, Poland; Netherlands Inst Ecol, Ctr Estuarine &amp; Coastal Ecol, NL-4401 NT Yerseke, Netherlands</t>
  </si>
  <si>
    <t>Fahrenheit Universities; University of Gdansk; Royal Netherlands Academy of Arts &amp; Sciences; Netherlands Institute of Ecology (NIOO-KNAW)</t>
  </si>
  <si>
    <t>Univ Gdansk, Inst Oceanog, Lab Estuarine Ecol, Al Marszalka Pilsudskiego 46, PL-81378 Gdynia, Poland.</t>
  </si>
  <si>
    <t>; Hummel, Herman/A-9610-2011</t>
  </si>
  <si>
    <t>Sokolowski, Adam/0000-0002-7551-3199; Hummel, Herman/0000-0001-6902-5773</t>
  </si>
  <si>
    <t>GAUTHIER-VILLARS/EDITIONS ELSEVIER</t>
  </si>
  <si>
    <t>PARIS</t>
  </si>
  <si>
    <t>23 RUE LINOIS, 75015 PARIS, FRANCE</t>
  </si>
  <si>
    <t>0399-1784</t>
  </si>
  <si>
    <t>OCEANOL ACTA</t>
  </si>
  <si>
    <t>Oceanol. Acta</t>
  </si>
  <si>
    <t>10.1016/S0399-1784(00)88726-5</t>
  </si>
  <si>
    <t>http://dx.doi.org/10.1016/S0399-1784(00)88726-5</t>
  </si>
  <si>
    <t>234VZ</t>
  </si>
  <si>
    <t>WOS:000082506200006</t>
  </si>
  <si>
    <t>Peña-Rodríguez, S; Fernández-Calviño, D; Nóvoa-Muñoz, JC; Arias-Estévez, M; Núñez-Delgado, A; Fernández-Sanjurjo, MJ; Alvarez-Rodríguez, E</t>
  </si>
  <si>
    <t>Pena-Rodriguez, Susana; Fernandez-Calvino, David; Carlos Novoa-Munoz, Juan; Arias-Estevez, Manuel; Nunez-Delgado, Avelino; Jose Fernandez-Sanjurjo, Maria; Alvarez-Rodriguez, Esperanza</t>
  </si>
  <si>
    <t>Kinetics of Hg(II) adsorption and desorption in calcined mussel shells</t>
  </si>
  <si>
    <t>Mussel shell; Mercury pollution; Stirred-Flow chamber</t>
  </si>
  <si>
    <t>MERCURY II; SOIL; REMOVAL; QUARTZ; IRON; INVENTORY; INDUSTRY; SORPTION; KAOLIN; WASTE</t>
  </si>
  <si>
    <t>The potential use of calcined mussel shells to purify water contaminated with mercury was evaluated. The Hg(II) adsorption and desorption kinetics were studied in batch-type and stirred-flow chamber experiments. The adsorption/desorption experiments revealed some differences between the batches of shells used. The batch of shells that displayed the greatest capacity to adsorb Hg(II), via a highly irreversible reaction, also contained more Fe and Al than the other batches. The results of the stirred-flow chamber experiments indicated a high degree of irreversibility in the process of Hg(II) adsorption in the mussel shell, and that Hg(II) was rapidly retained. The results of these experiments also revealed that the efficiency of depuration differed depending on the length of time that the system was used: when the system was operated for 55 min. depurating 162 mL of inflowing water g(-1) mussel shell, a 90% reduction in the initial concentration of Hg(II) was obtained; use of the system for 90 min, depurating 265 mL water g(-1) mussel shell, produced a 75% reduction in the initial Hg(II), and use of the system for 162.5 min, depurating 487 mL of water g(-1) mussel shell, resulted in a 50% reduction in the initial Hg(II). (C) 2010 Elsevier B.V. All rights reserved.</t>
  </si>
  <si>
    <t>[Pena-Rodriguez, Susana; Fernandez-Calvino, David; Carlos Novoa-Munoz, Juan; Arias-Estevez, Manuel] Univ Vigo, Fac Ciencias, Area Edafoloxia &amp; Quim Agr, Dept Biol Vexetal &amp; Ciencia Solo, Orense 32004, Spain; [Nunez-Delgado, Avelino; Jose Fernandez-Sanjurjo, Maria; Alvarez-Rodriguez, Esperanza] Univ Santiago de Compostela, Escola Politecn Super, Dept Edafoloxia &amp; Quim Agr, Lugo 27002, Spain</t>
  </si>
  <si>
    <t>Arias-Estévez, M (corresponding author), Univ Vigo, Fac Ciencias, Area Edafoloxia &amp; Quim Agr, Dept Biol Vexetal &amp; Ciencia Solo, Orense 32004, Spain.</t>
  </si>
  <si>
    <t>Nóvoa-Muñoz, J. C./A-9181-2009; Fernández-Sanjurjo, María/ABC-6938-2020; Arias-Estevez, Manuel/M-8629-2016; Nunez-Delgado, Avelino/K-3964-2013; Fernandez-Calvino, David/C-5756-2015; Alvarez, Esperanza/B-3154-2018</t>
  </si>
  <si>
    <t>Arias-Estevez, Manuel/0000-0002-9162-1587; Novoa-Munoz, Juan Carlos/0000-0003-3062-4191; Nunez-Delgado, Avelino/0000-0001-5373-1606; Fernandez-Calvino, David/0000-0003-0864-7039; Pena-Rodriguez, Susana/0000-0002-0823-3568; Fernandez-Sanjurjo, Maria J./0000-0001-6728-7147; Alvarez, Esperanza/0000-0003-3470-2679</t>
  </si>
  <si>
    <t>Xunta de Galicia [09MDS013291PR]</t>
  </si>
  <si>
    <t>Xunta de Galicia(Xunta de Galicia)</t>
  </si>
  <si>
    <t>This work was funded by the Xunta de Galicia within the INCITE program (Ref. 09MDS013291PR).</t>
  </si>
  <si>
    <t>10.1016/j.jhazmat.2010.04.079</t>
  </si>
  <si>
    <t>http://dx.doi.org/10.1016/j.jhazmat.2010.04.079</t>
  </si>
  <si>
    <t>619VY</t>
  </si>
  <si>
    <t>WOS:000279459600079</t>
  </si>
  <si>
    <t>PIEPPONEN, S; LINDSTROM, R</t>
  </si>
  <si>
    <t>DATA-ANALYSIS OF HEAVY-METAL POLLUTION IN THE SEA BY USING PRINCIPAL COMPONENT ANALYSIS AND PARTIAL LEAST-SQUARES REGRESSION</t>
  </si>
  <si>
    <t>CHEMOMETRICS AND INTELLIGENT LABORATORY SYSTEMS</t>
  </si>
  <si>
    <t>Environmental heavy metal pollution in the coastal waters of the Bothnian Sea near the city of Pori [Finland] was monitored by observations of mussels (Mytilus edulis L.). The concentrations of Al, As, Cd, Co, Cr, Cu, Fe, Hg, Mn, Pb, Sb, Ti, V and Zn in the soft tissues of the mussels and in different fractions of the shells were determined by wet digestion and atomic absorption spectrometry. Mussel samples were collected at twelve sampling sites at measured distances from the main contamination sources: the local titanium oxide industry and the river Kokemaenjoki. At the same sites, mussels from another area maintained in cages were exposed to the heavy metal uptake for about 2.5 months. Both the local and caged mussels were analyzed. The data, consisting of the concentrations of 13 elements, the percentages of shell deformities and the distances from the sources of pollution, were studied by SIMCA and partial least squares (PLS) methods. The shell deformities and the distances from the two pollution sources were treated as dependent variables in PLS. Calculations were made using the data of different fractions alone of many fractions together. The PLS preductions for the distances were used to estimate the size of the polluted area. Up to 20-40 kilometers from the pollution sources the prediction models fitted well to the measured distances. The study showed that the elemental variables Fe, Ti and V were most strongly related to the titanium oxide industry and Al, Co, Hg and Mn to the river Kokemaenjoki.</t>
  </si>
  <si>
    <t>TECH RES CTR FINLAND, FOOD RES LAB, BIOLOGINKUJA 1, SF-02150 ESPOO, FINLAND.</t>
  </si>
  <si>
    <t>0169-7439</t>
  </si>
  <si>
    <t>1873-3239</t>
  </si>
  <si>
    <t>CHEMOMETR INTELL LAB</t>
  </si>
  <si>
    <t>Chemometrics Intell. Lab. Syst.</t>
  </si>
  <si>
    <t>10.1016/0169-7439(89)80120-0</t>
  </si>
  <si>
    <t>http://dx.doi.org/10.1016/0169-7439(89)80120-0</t>
  </si>
  <si>
    <t>Automation &amp; Control Systems; Chemistry, Analytical; Computer Science, Artificial Intelligence; Instruments &amp; Instrumentation; Mathematics, Interdisciplinary Applications; Statistics &amp; Probability</t>
  </si>
  <si>
    <t>Automation &amp; Control Systems; Chemistry; Computer Science; Instruments &amp; Instrumentation; Mathematics</t>
  </si>
  <si>
    <t>CE784</t>
  </si>
  <si>
    <t>WOS:A1989CE78400015</t>
  </si>
  <si>
    <t>Elvira, MV; de Chavez, ER; Faustino-Eslava, DV; Espaldon, MVO; Cui, LE</t>
  </si>
  <si>
    <t>Elvira, Marlon, V; Ryan de Chavez, Emmanuel; Faustino-Eslava, Decibel, V; Espaldon, Maria Victoria O.; Cui, Loucel E.</t>
  </si>
  <si>
    <t>Morphological Changes in Corbicula fluminea (Muller 1774) Shells from Laguna de Bay, Philippines Due to Elevated Nitrate and Hexavalent Chromium</t>
  </si>
  <si>
    <t>Corbicula fluminea; Asiatic clam; Laguna de Bay; conchometrics; hexavalent chromium; nitrate</t>
  </si>
  <si>
    <t>ASIATIC CLAM; HIGH PH; MYTILUS-GALLOPROVINCIALIS; FLUCTUATING ASYMMETRY; CADMIUM ACCUMULATION; POPULATION-DYNAMICS; MACOLOD CORRIDOR; PSEUDO-NITZSCHIA; LIFE-CYCLE; BIVALVIA</t>
  </si>
  <si>
    <t>Developmental instability using fluctuating asymmetry is a tool for morphological assessment to reflect the state of species adaptation and individual fitness. This research focused on the conchological analysis of Corbicula fluminea (Muller, 1774) shells relative to key water parameters in Laguna de Bay, Philippines. Results from the western and eastern regions of the lake, characterized by marked differences in water qualities, indicate that linear shell characteristics are not significantly affected by water quality, in contrast to other geometric parameters. Geometric morphometrics of Malahanobis and Procrustes distances exhibit horizontal elongation in shells from the west, and vertical elongation in those from the east. Generalized linear mixed modelling of shell morphometry with water quality revealed an inverse relationship between NO3- and shell size, and a direct association between shell shape changes and elevated Cr (VI). The combination of NO3-, water pH and total suspended solids were the factors identified to have the most effect on shell size, with Cr (VI), NH4+, and water pressure playing significant roles in affecting shape. Results of this work demonstrate the utility of C. fluminea's fluctuating asymmetry as influenced by water quality to constitute important baselines for the management of a lake and its biological resources.</t>
  </si>
  <si>
    <t>[Elvira, Marlon, V] Caraga State Univ, Coll Forestry &amp; Environm Sci, Ampayon Butuan City 8600, Philippines; [Elvira, Marlon, V; Faustino-Eslava, Decibel, V; Espaldon, Maria Victoria O.; Cui, Loucel E.] Univ Philippines Los Banos UPLB, Sch Environm Sci &amp; Management, College Los Banos 4031, Laguna, Philippines; [Ryan de Chavez, Emmanuel] UPLB, Inst Biol Sci, College Los Banos 4030, Laguna, Philippines</t>
  </si>
  <si>
    <t>University of the Philippines System; University of the Philippines Los Banos; University of the Philippines System; University of the Philippines Los Banos</t>
  </si>
  <si>
    <t>Elvira, MV (corresponding author), Caraga State Univ, Coll Forestry &amp; Environm Sci, Ampayon Butuan City 8600, Philippines.</t>
  </si>
  <si>
    <t>mvelvira@up.edu.ph</t>
  </si>
  <si>
    <t>De Chavez, Emmanuel Ryan/HJZ-5282-2023; Eslava, Decibel/JAX-5721-2023</t>
  </si>
  <si>
    <t>Elvira, Marlon/0000-0003-1189-5308; de Chavez, Emmanuel Ryan C./0000-0002-8379-4947; Faustino-Eslava, Decibel/0000-0002-1484-0452; Cui, Loucel/0000-0003-1153-6006</t>
  </si>
  <si>
    <t>University of the Philippine's Emerging Interdisciplinary Research Program; Department of Science and Technology - Philippine Council for Agriculture, Aquatic and Natural Resources Research and Development (DOST-PCAARRD) under the program Ten Years After the Millennium Ecosystem Assessment of Laguna de Bay: Towards a Sustainable</t>
  </si>
  <si>
    <t>This research is part M. Elvira's dissertation that was funded by the University of the Philippine's Emerging Interdisciplinary Research Program and the Department of Science and Technology - Philippine Council for Agriculture, Aquatic and Natural Resources Research and Development (DOST-PCAARRD) under the program Ten Years After the Millennium Ecosystem Assessment of Laguna de Bay: Towards a Sustainable Future, Project 2: Exploring Pollution Monitoring Proxies for Characterizing Urban Lake Environments.</t>
  </si>
  <si>
    <t>UNIV PHILIPPINES LOS BANOS, COLLEGE</t>
  </si>
  <si>
    <t>MP8IS</t>
  </si>
  <si>
    <t>WOS:000552443800005</t>
  </si>
  <si>
    <t>Kovalev, NN; Kostetsky, EY; Velansky, PV; Kavun, VY; Podgurskaya, OV</t>
  </si>
  <si>
    <t>Kovalev, N. N.; Kostetsky, E. Ya; Velansky, P. V.; Kavun, V. Ya; Podgurskaya, O., V</t>
  </si>
  <si>
    <t>The Fatty Acid Composition of Major Membrane Lipids of the Mussel Crenomytilus grayanus (Dunker, 1853) (Bivalvia: Mytilidae) under Chronic Anthropogenic Pollution: Evaluation of Stability</t>
  </si>
  <si>
    <t>Gray mussel; heavy metals; adaptation; phosphatidylcholine; phosphatidylethanolamine; fatty acids; molecular species and forms of phosphatidylcholine and phosphatidylethanolamine</t>
  </si>
  <si>
    <t>ADAPTATION; ACCUMULATION; METALS; SEA; PHOSPHOLIPIDS; CONTAMINATION; JAPAN; PB</t>
  </si>
  <si>
    <t>Accumulation of heavy metals and their effect on the composition of fatty acids and molecular species of phosphatidylcholine (PC) and phosphatidylethanolamine (PE) has been studied in the molluskan organs and tissues of the Gray mussel from clean and polluted water areas of Peter the Great Bay of the Sea of Japan. The total load of heavy metals accumulated in the mussel was evaluated with the coefficient of total concentration (sigma CC), which turned out to be extremely high for all the organs studied in mollusks from a polluted site. Cu and Pb accounted for the main share in the total load. It was found that accumulation of heavy metals in the kidneys, gills, and muscles had no effect on the composition of fatty acids, molecular species, and forms of basic membrane lipids of PC and PE. It has been shown that high resistance of membrane lipids of the Gray mussel to chronic anthropogenic pollution with heavy metals allows the mussel to function under conditions of contamination.</t>
  </si>
  <si>
    <t>[Kovalev, N. N.; Kostetsky, E. Ya; Velansky, P. V.] Far Eastern Fed Univ, Vladivostok 690950, Russia; [Velansky, P. V.; Kavun, V. Ya; Podgurskaya, O., V] Russian Acad Sci, Natl Sci Ctr Marine Biol, Far East Branch, Vladivostok 690041, Russia; [Kovalev, N. N.] Far Eastern State Tech Fisheries Univ, Vladivostok 690087, Russia</t>
  </si>
  <si>
    <t>Far Eastern Federal University; Russian Academy of Sciences; National Scientific Center of Marine Biology, Far East Branch of the Russian Academy of Sciences</t>
  </si>
  <si>
    <t>Kovalev, NN (corresponding author), Far Eastern Fed Univ, Vladivostok 690950, Russia.;Kovalev, NN (corresponding author), Far Eastern State Tech Fisheries Univ, Vladivostok 690087, Russia.</t>
  </si>
  <si>
    <t>kovalevnn61@yandex.ru</t>
  </si>
  <si>
    <t>Peter, Velansky/AHC-4076-2022; Podgurskaya, Olga/AAU-9455-2021; Kovalev, Nikolay/AAF-9561-2019; Kavun, Victor/AAC-1238-2020</t>
  </si>
  <si>
    <t>Kavun, Victor/0000-0003-4739-4951; Podgurskaya, Olga/0000-0002-9100-7069</t>
  </si>
  <si>
    <t>Russian Science Foundation [14-50-00034]; Russian Science Foundation [14-50-00034] Funding Source: Russian Science Foundation</t>
  </si>
  <si>
    <t>Russian Science Foundation(Russian Science Foundation (RSF)); Russian Science Foundation(Russian Science Foundation (RSF))</t>
  </si>
  <si>
    <t>This work was supported by the Russian Science Foundation (project no. 14-50-00034 Technologies for Monitoring and Rational Use of Marine Biological Resources).</t>
  </si>
  <si>
    <t>10.1134/S1063074019020056</t>
  </si>
  <si>
    <t>http://dx.doi.org/10.1134/S1063074019020056</t>
  </si>
  <si>
    <t>HZ5JA</t>
  </si>
  <si>
    <t>WOS:000468886800006</t>
  </si>
  <si>
    <t>Crespo, EB; Pereyra, PJ; Silvestro, A; Hidalgo, K; Rossini, GB</t>
  </si>
  <si>
    <t>Balsamo Crespo, Emiliano; Javier Pereyra, Patricio; Silvestro, Anahi; Hidalgo, Keila; Bulus Rossini, Gustavo</t>
  </si>
  <si>
    <t>Acute Toxicity of Cd2+, Cr6+, and Ni2+ to the Golden Mussel Limnoperna fortunei (Dunker 1857)</t>
  </si>
  <si>
    <t>Freshwater bivalves; Heavy metals; Limnoperna fortunei; Sensitivity</t>
  </si>
  <si>
    <t>HEAVY-METAL POLLUTION; MYTILIDAE; RANGE</t>
  </si>
  <si>
    <t>In this study we test the sensitivity of three sizes of golden mussel (Limnoperna fortunei), an introduced species in Argentina, to a 96-h exposure to Cd2+Cr6+, and Ni2+. We also analysed the relative sensitivity of L. fortunei compared to other freshwater bivalve equivalent sensitivity data. The ANOVA results showed that both factors, heavy metal and size, had significant effects (p = 0.0013 and p = 0.0091, respectively) on the mortality of the golden mussel. Tukey's test showed significant differences for Cr6+ treatment and the smallest size class (7 mm +/- 1). The relative sensitivity analysis showed that LC50 values for the smallest size class of L. fortunei exposed to Ni2+ and Cd2+ were in the low range, with values of 11.40 mg/L and 12.65 mg/L, respectively. In the case of Cr6+ (1.66 mg/L), its LC50 was in the medium-low range of the freshwater bivalve sensitivity distribution.</t>
  </si>
  <si>
    <t>[Balsamo Crespo, Emiliano; Silvestro, Anahi; Hidalgo, Keila; Bulus Rossini, Gustavo] FCEx UNLP CONICET, Ctr Invest Medio Ambiente CIM, La Plata, Buenos Aires, Argentina; [Javier Pereyra, Patricio; Silvestro, Anahi] Consejo Nacl Invest Cient &amp; Tecn CONICET, Buenos Aires, DF, Argentina; [Bulus Rossini, Gustavo] Comis Invest Cient Prov Buenos Aires CIC PBA, Buenos Aires, DF, Argentina</t>
  </si>
  <si>
    <t>Consejo Nacional de Investigaciones Cientificas y Tecnicas (CONICET); Comision de Investigaciones Cientificas</t>
  </si>
  <si>
    <t>Crespo, EB (corresponding author), FCEx UNLP CONICET, Ctr Invest Medio Ambiente CIM, La Plata, Buenos Aires, Argentina.</t>
  </si>
  <si>
    <t>emilianobal@hotmail.com</t>
  </si>
  <si>
    <t>Crespo, Emiliano/ABE-6485-2020</t>
  </si>
  <si>
    <t>Balsamo Crespo, Emiliano/0000-0002-7541-8722</t>
  </si>
  <si>
    <t>10.1007/s00128-020-02854-5</t>
  </si>
  <si>
    <t>http://dx.doi.org/10.1007/s00128-020-02854-5</t>
  </si>
  <si>
    <t>LR7NY</t>
  </si>
  <si>
    <t>WOS:000532803600001</t>
  </si>
  <si>
    <t>Araújo, DF; Knoery, J; Briant, N; Ponzevera, E; Chouvelon, T; Auby, I; Yepez, S; Bruzac, S; Sireau, T; Pellouin-Grouhel, A; Akcha, F</t>
  </si>
  <si>
    <t>Araujo, Daniel F.; Knoery, Joel; Briant, Nicolas; Ponzevera, Emmanuel; Chouvelon, Tiphaine; Auby, Isabelle; Yepez, Santiago; Bruzac, Sandrine; Sireau, Teddy; Pellouin-Grouhel, Anne; Akcha, Farida</t>
  </si>
  <si>
    <t>Metal stable isotopes in transplanted oysters as a new tool for monitoring anthropogenic metal bioaccumulation in marine environments: The case for copper</t>
  </si>
  <si>
    <t>Metal bioaccumulation; Non-traditional isotopes; Bivalve mollusk; Arcachon bay; MC-ICP-MS</t>
  </si>
  <si>
    <t>TRACE-METALS; CU ISOTOPES; ZN ISOTOPES; SUBCELLULAR-DISTRIBUTION; CONTAMINATED SEDIMENTS; VINEYARD CATCHMENT; PORT-CAMARGUE; HEAVY-METALS; ZINC; FRACTIONATION</t>
  </si>
  <si>
    <t>Metal release into the environment from anthropogenic activities may endanger ecosystems and human health. However, identifying and quantifying anthropogenic metal bioaccumulation in organisms remain a challenging task. In this work, we assess Cu isotopes in Pacific oysters (C. gigas) as a new tool for monitoring anthropogenic Cu bioaccumulation into marine environments. Arcachon Bay was taken as a natural laboratory due to its increasing contamination by Cu, and its relevance as a prominent shellfish production area. Here, we transplanted 18-month old oysters reared in an oceanic neighbor area into two Arcachon Bay mariculture sites under different exposure levels to continental Cu inputs. At the end of their 12-month long transplantation period, the oysters' Cu body burdens had increased, and was shifted toward more positive delta Cu-65 values. The gradient of Cu isotope compositions observed for oysters sampling stations was consistent with relative geographic distance and exposure intensities to unknown continental Cu sources. A binary isotope mixing model based on experimental data allowed to estimate the Cu continental fraction bioaccumulated in the transplanted oysters. The positive delta Cu-65 values and high bioaccumulated levels of Cu in transplanted oysters support that continental emissions are dominantly anthropogenic. However, identifying specific pollutant coastal source remained unelucidated mostly due to their broader and overlapping isotope signatures and potential post-depositional Cu isotope fractionation processes. Further investigations on isotope fractionation of Cu-based compounds in an aqueous medium may improve Cu source discrimination. Thus, using Cu as an example, this work combines for the first time a wellknown caged bivalve approach with metal stable isotope techniques for monitoring and quantifying the bioaccumulation of anthropogenic metal into marine environments. Also, it states the main challenges to pinpoint specific coastal anthropogenic sources utilizing this approach and provides the perspectives for further studies to overcome them.</t>
  </si>
  <si>
    <t>[Araujo, Daniel F.; Knoery, Joel; Briant, Nicolas; Chouvelon, Tiphaine; Bruzac, Sandrine; Sireau, Teddy] IFREMER, Unit Biogeochimie &amp; Ecotoxicol, Lab Biogeochimie Contaminants Metalliques, Rue LIle DYeu,BP 21105, F-44311 Nantes 03, France; [Ponzevera, Emmanuel] IFREMER, Unit Biogeochimie &amp; Ecotoxicol, Rue LIle DYeu,BP 21105, F-44311 Nantes 03, France; [Chouvelon, Tiphaine] La Rochelle Univ, CNRS, UMS 3462, Observatoire Pelagis, 5 Allee Ocean, F-17000 La Rochelle, France; [Auby, Isabelle] IFREMER, Lab Environm Ressources Arcachon Littora, Unit Littoral, Quai Commandant Silhouette, F-33120 Arcachon, France; [Yepez, Santiago] Univ Concepcion, Dept Forest Management &amp; Environm, Fac Forestry, Calle Victoria,500 Concepci, Concepcion, Chile; [Pellouin-Grouhel, Anne] IFREMER, Unit Biogeochimie &amp; Ecotoxicol, Eseau Observat Contaminat Chimique, Rue LIle DYeu BP 21105, F-44311 Nantes 03, France; [Akcha, Farida] IFREMER, Unit Biogeochimie &amp; Ecotoxicol, Lab Ecotoxicol BE LEX, Rue LIle DYeu,BP 21105, F-44311 Nantes 03, France</t>
  </si>
  <si>
    <t>Ifremer; Ifremer; Centre National de la Recherche Scientifique (CNRS); CNRS - Institute of Ecology &amp; Environment (INEE); Ifremer; Universidad de Concepcion; Ifremer; Ifremer</t>
  </si>
  <si>
    <t>Araújo, DF (corresponding author), IFREMER, Unit Biogeochimie &amp; Ecotoxicol, Lab Biogeochimie Contaminants Metalliques, Rue LIle DYeu,BP 21105, F-44311 Nantes 03, France.</t>
  </si>
  <si>
    <t>daniel.ferreira.araujo@ifremer.fr</t>
  </si>
  <si>
    <t>knoery, joel/B-3898-2012; Yépez, Santiago/AAK-3558-2021</t>
  </si>
  <si>
    <t>AUBY, Isabelle/0000-0002-2589-9767; knoery, joel/0000-0003-2826-6436; Ponzevera, Emmanuel/0000-0001-6481-7309; GROUHEL, Anne/0000-0003-1879-4884; BRIANT, Nicolas/0000-0002-8827-2259</t>
  </si>
  <si>
    <t>French National Research Agency (ANR) in the frame of the Investments for the Future Programme, within the Cluster of Excellence COTE [ANR10-LABX-45]</t>
  </si>
  <si>
    <t>French National Research Agency (ANR) in the frame of the Investments for the Future Programme, within the Cluster of Excellence COTE(Agence Nationale de la Recherche (ANR))</t>
  </si>
  <si>
    <t>This study has been carried out with financial support from the French National Research Agency (ANR) in the frame of the Investments for the Future Programme, within the Cluster of Excellence COTE (ANR10-LABX-45). The authors thank to Dr. Runsheng Yin and the other anonymous reviewers for comments and corrections in the original version of this manuscript.</t>
  </si>
  <si>
    <t>10.1016/j.envpol.2021.118012</t>
  </si>
  <si>
    <t>http://dx.doi.org/10.1016/j.envpol.2021.118012</t>
  </si>
  <si>
    <t>UR5TR</t>
  </si>
  <si>
    <t>WOS:000696812200001</t>
  </si>
  <si>
    <t>CARVALHO, CEV; LACERDA, LD; GOMES, MP</t>
  </si>
  <si>
    <t>HEAVY-METAL CONTAMINATION OF THE MARINE BIOTA ALONG THE RIO-DE-JANEIRO COAST, SE-BRAZIL</t>
  </si>
  <si>
    <t>TRACE-METALS; ORGANISMS</t>
  </si>
  <si>
    <t>A survey is presented on the heavy metal contamination of benthic organisms of the Rio de Janeiro coast, SE Brazil. Metal concentrations were different depending on major pollution sources, element, and species analyzed. The highest concentrations of Zn and Cd occurred in moderately industrialized Sepetiba Bay, while Cu presented its highest content in areas receiving urban wastes. The metals Pb, Ni and Mn did not show any difference among areas. The highest concentration of metals, regardeless of site, occurred in barnacles and oysters, due to the high filtering capacity of these organisms, while the lowest concentrations of all metals occurred in algae species.</t>
  </si>
  <si>
    <t>CARVALHO, CEV (corresponding author), UNIV FED FLUMINENSE, DEPT GEOQUIM, BR-24210 NITEROI, RJ, BRAZIL.</t>
  </si>
  <si>
    <t>Lacerda, Luiz/AAI-9004-2020; Paes Gomes, Marcelo/P-4604-2014; Carvalho, Carlos/V-4734-2018</t>
  </si>
  <si>
    <t>Paes Gomes, Marcelo/0000-0002-5261-574X; Lacerda, Luiz/0000-0002-3496-0785; Carvalho, Carlos/0000-0002-7704-9588</t>
  </si>
  <si>
    <t>10.1007/BF00282928</t>
  </si>
  <si>
    <t>http://dx.doi.org/10.1007/BF00282928</t>
  </si>
  <si>
    <t>WOS:A1991GP12100067</t>
  </si>
  <si>
    <t>Ren, JH; Luo, J; Ma, HR; Wang, XR; Ma, LNQ</t>
  </si>
  <si>
    <t>Ren, Jinghua; Luo, Jun; Ma, Hongrui; Wang, Xiaorong; Ma, Lena Q.</t>
  </si>
  <si>
    <t>Bioavailability and oxidative stress of cadmium to Corbicula fluminea</t>
  </si>
  <si>
    <t>ENVIRONMENTAL SCIENCE-PROCESSES &amp; IMPACTS</t>
  </si>
  <si>
    <t>ANTIOXIDANT ENZYME-ACTIVITIES; ASIATIC CLAM; LIPID-PEROXIDATION; THIN-FILMS; METALLOTHIONEIN RESPONSE; DIFFUSIVE GRADIENTS; CARASSIUS-AURATUS; TRACE-METALS; SPECIATION MEASUREMENTS; POTENTIAL BIOMARKERS</t>
  </si>
  <si>
    <t>This work set out to study the effects of cadmium (Cd) in sediments on the antioxidant enzyme activities in the digestive gland of Asian clam Corbicula fluminea and to explore the potential for applying these responses to evaluate the Cd-contaminated sediment. Additionally, diffusive gradients in thin-films (DGT) technique was used to predict the response of its antioxidant defense system. The sediments, collected from Taihu Lake, were spiked with Cd at different concentrations (0.72, 0.91, 1.62, 2.59, 11.2, 20.4 and 40.6 mg kg(-1), dry weight). Asian clam was cultivated for 28 days. Concentrations of Cd in the body of Asian clam had a good relationship with concentrations of Cd in overlying water and sediments, as measured by DGT. Cd affected these biochemical parameters significantly, especially for superoxide (SOD), peroxidase (POD) and glutathione (GSH), which began to show higher sensitivity and have a significant difference in low dosage (0.91 mg Cd kg(-1)) compared with blank. Contents of MDA and MT, which were induced by Cd, increased with the increasing Cd concentration in sediments and reached peak values at 11.2 and 20.4 mg kg(-1), respectively, after 28 days exposure. All of these results suggested that biochemical responses cooperated in detoxifying and maintaining cellular metabolic homeostasis. The R-2 of regression analysis between the contents of MT and the concentrations of Cd measured by DGT, in sediments and soft body were 0.71, 0.94 and 0.88 after 28 days exposure. This suggested that DGT measurement could predict the response of MT. Cd accumulation, GSH and MT were indispensable biomarkers and the MDA content and DGT appeared to be promising biomarkers. The results clearly indicated that Cd could induce oxidative stress in the digestive gland of Asian clam. The combination of biomonitors with DGT can obtain different information about Cd bioavailability and confirm the significance of applying a suite of biomarkers rather than a selective index to assess the sublethal effect. It also offered theoretical methods for the prediction of sediment Cd pollution.</t>
  </si>
  <si>
    <t>[Ren, Jinghua; Luo, Jun; Wang, Xiaorong; Ma, Lena Q.] Nanjing Univ, State Key Lab Pollut Control &amp; Resource Reuse, Sch Environm, Nanjing 210046, Jiangsu, Peoples R China; [Ma, Hongrui] Shanxi Univ Sci &amp; Technol, Sch Resource &amp; Environm, Xian 710021, Peoples R China</t>
  </si>
  <si>
    <t>Nanjing University; Shaanxi University of Science &amp; Technology</t>
  </si>
  <si>
    <t>Luo, J (corresponding author), Nanjing Univ, State Key Lab Pollut Control &amp; Resource Reuse, Sch Environm, 163 Xianlin Ave, Nanjing 210046, Jiangsu, Peoples R China.</t>
  </si>
  <si>
    <t>ekxr@nju.edu.cn</t>
  </si>
  <si>
    <t>Luo, Jun/I-2293-2012; Ren, Jinghua/IST-4349-2023; Ma, Lena/E-5854-2010</t>
  </si>
  <si>
    <t>Special program on the China-EU ST cooperation [0911]; National Basic Research Program of China [2008CB418203]; National Natural Science Foundation of China [21207062]; Natural Science Foundation of Jiangsu Province [BK2012311]</t>
  </si>
  <si>
    <t>Special program on the China-EU ST cooperation; National Basic Research Program of China(National Basic Research Program of China); National Natural Science Foundation of China(National Natural Science Foundation of China (NSFC)); Natural Science Foundation of Jiangsu Province(Natural Science Foundation of Jiangsu Province)</t>
  </si>
  <si>
    <t>This work was supported by the Special program on the China-EU S&amp;T cooperation (0911), the National Basic Research Program of China (2008CB418203), the National Natural Science Foundation of China (No. 21207062) and the Natural Science Foundation of Jiangsu Province (No. BK2012311).</t>
  </si>
  <si>
    <t>2050-7887</t>
  </si>
  <si>
    <t>2050-7895</t>
  </si>
  <si>
    <t>ENVIRON SCI-PROC IMP</t>
  </si>
  <si>
    <t>Environ. Sci.-Process Impacts</t>
  </si>
  <si>
    <t>10.1039/c3em30288a</t>
  </si>
  <si>
    <t>http://dx.doi.org/10.1039/c3em30288a</t>
  </si>
  <si>
    <t>116GB</t>
  </si>
  <si>
    <t>WOS:000316869900018</t>
  </si>
  <si>
    <t>Falfushynska, H; Wu, FL; Sokolov, EP; Sokolova, IM</t>
  </si>
  <si>
    <t>Falfushynska, Halina; Wu, Fangli; Sokolov, Eugene P.; Sokolova, Inna M.</t>
  </si>
  <si>
    <t>Salinity variation modulates cellular stress response to ZnO nanoparticles in a sentinel marine bivalve, the blue mussel Mytilus sp.</t>
  </si>
  <si>
    <t>Zinc oxide nanoparticles; Osmotic stress; Mollusc; Oxidative injury; Detoxification; Inflammation; Apoptosis</t>
  </si>
  <si>
    <t>ZINC-OXIDE NANOPARTICLES; INDUCED OXIDATIVE STRESS; SPECTROPHOTOMETRIC METHOD; TOXICITY; METALLOTHIONEIN; GILL; ESTUARINE; MECHANISM; GALLOPROVINCIALIS; CYTOCHROME-P450</t>
  </si>
  <si>
    <t>Zinc oxide nanoparticles are released into marine environments from industrial, medical and consumer uses sparking concerns about their potential ecotoxicological effects. Ecological hazard assessment of nZnO in marine ecosystems is hindered by the lack of understanding of the potential interactive effects of nZnO toxicity with other common abiotic stressors, such as salinity fluctuations, in marine organisms. To close this gap in our knowledge, we carried out a comprehensive biomarker-based assessment of the combined effects of salinity and nZnO in a sentinel marine bivalve, the blue mussels Mytilus edulis. The mussels were exposed for 21 days to clean seawater (control), an environmentally relevant concentration (100 mu g Zn l- 1) of nZnO or dissolved Zn (to identify the toxic effects attributable to Zn2+ toxicity) under the normal (15), low (5) and fluctuating (5-15) salinity regimes. The selected molecular and biochemical markers focused on the oxidative stress, apoptosis, detoxification system and inflammation in the gills and the digestive gland of the mussels. Biomarker analysis showed different effects of nZnO and dissolved Zn on biomarkers of oxidative stress, xenobiotic detoxification and apoptosis but similar effects of both pollutants on the levels of metallothioneins and inflammatory markers. Exposure to nZnO led to elevated levels of lipid peroxidation, upregulation of p53 and p38 stress kinases and apoptosis-related genes, most notably in the gills. Exposure to dissolved Zn led to accumulation of protein carbonyls and activated redox-sensitive detoxification enzymes (NADPH-P450 reductase and glutathione-S-transferase) in the mussels. The ambient salinity had significant effects the cellular adverse effects of nZnO in the mussels. The nZnO-induced cellular stress was detectable under the normal (15) and fluctuating (5-15) salinity conditions in the studied brackish water population of the mussels. At low salinity (5), nZnO toxicity signal was almost completely dampened. These findings indicate that chronic osmotic stress close to the toler-ance limits of M. edulis prevails over the effects of the environmentally relevant nZnO and dissolved Zn con-centrations in combined exposures. These stressor interactions might ameliorate the cellular toxicity of nZnO in the mussels but limit applicability of cellular stress biomarkers for detecting the toxic effects of nanopollutants in low salinity habitats.</t>
  </si>
  <si>
    <t>[Falfushynska, Halina; Wu, Fangli; Sokolova, Inna M.] Univ Rostock, Inst Biol Sci, Dept Marine Biol, Rostock, Germany; [Falfushynska, Halina] Anhalt Univ Appl Sci, Kothen, Germany; [Sokolov, Eugene P.] Leibniz ScienceCampus Phosphorus Res Rostock, Leibniz Inst Baltic Sea Res, Warnemunde, Germany; [Sokolova, Inna M.] Univ Rostock, Interdisciplinary Fac, Dept Maritime Syst, Rostock, Germany</t>
  </si>
  <si>
    <t>Sokolova, IM (corresponding author), Univ Rostock, Inst Biol Sci, Dept Marine Biol, Rostock, Germany.</t>
  </si>
  <si>
    <t>Falfushynska, Halina/B-6518-2015; Sokolova, Inna/AAE-4150-2019; Wu, Fangli/JJF-7839-2023; Sokolova, Inna/B-4955-2009</t>
  </si>
  <si>
    <t>Wu, Fangli/0000-0001-6443-0649; Sokolova, Inna/0000-0002-2068-4302</t>
  </si>
  <si>
    <t>Research Training Group 'Baltic TRANSCOAST' - DFG (Deutsche Forschungsgemeinschaft) [GRK 2000]; Philip-Schwarz-Initiative of the Alexander von Humboldt Foundation; China Scholarship Council (CSC)</t>
  </si>
  <si>
    <t>Research Training Group 'Baltic TRANSCOAST' - DFG (Deutsche Forschungsgemeinschaft)(German Research Foundation (DFG)); Philip-Schwarz-Initiative of the Alexander von Humboldt Foundation(Alexander von Humboldt Foundation); China Scholarship Council (CSC)(China Scholarship Council)</t>
  </si>
  <si>
    <t>This work was in part supported by the Research Training Group 'Baltic TRANSCOAST' funded by the DFG (Deutsche Forschungsgemeinschaft) under grant number GRK 2000 (www.baltic-transcoast.uni-rostock.de) to IMS, the Philip-Schwarz-Initiative of the Alexander von Humboldt Foundation to HF, and the China Scholarship Council (CSC) to FW. We thank Lucas Hardwick, Katja Mehrwald, and Mirza Nusrat Noor for assistance with the animal maintenance and biochemical analyses.</t>
  </si>
  <si>
    <t>10.1016/j.marenvres.2022.105834</t>
  </si>
  <si>
    <t>http://dx.doi.org/10.1016/j.marenvres.2022.105834</t>
  </si>
  <si>
    <t>7E9WV</t>
  </si>
  <si>
    <t>WOS:000901510300005</t>
  </si>
  <si>
    <t>Cao, C; Wang, WX</t>
  </si>
  <si>
    <t>Cao, Chen; Wang, Wen-Xiong</t>
  </si>
  <si>
    <t>CHRONIC EFFECTS OF COPPER IN OYSTERS CRASSOSTREA HONGKONGENSIS UNDER DIFFERENT EXPOSURE REGIMES AS SHOWN BY NMR-BASED METABOLOMICS</t>
  </si>
  <si>
    <t>Oyster; Intermittent exposure; Metabolomics; Exposure regime</t>
  </si>
  <si>
    <t>CLAM RUDITAPES-PHILIPPINARUM; MYTILUS-EDULIS ACCUMULATION; INTERMITTENT EXPOSURE; METAL CONTAMINATION; RESPONSES; MUSSEL; ENVIRONMENTS; PHYSIOLOGY; ESTUARINE; POLLUTION</t>
  </si>
  <si>
    <t>Traditional metal toxicity tests on organisms have mainly focused on continuous exposure at a fixed concentration. However, organisms are more likely exposed to pollutants intermittently in estuarine environments that are significantly impacted by anthropogenic activity. The present study examined whether different copper (Cu) exposure regimes at an equivalent dose can induce different metabolomics effects on the oysters. An estuarine oyster Crassostrea hongkongensis was exposed to Cu continuously or intermittently at an equal dose (time x concentration) for 6 wk. Continuous exposure regimes included 2 doses of 3.3 mu g/L for 24 h and 20 mu g/L for 24 h, with corresponding equal doses of 2 intermittent exposure regimes of 20 mu g/L for 4 h and 120 mu g/L for 4 h, respectively. Time-course measurements suggested that Cu bioaccumulation was comparable at equal low doses between the continuous regime (3.3 mu g/L for 24 h) and the intermittent regime (20 mu g/L for 4 h), but there was considerable difference for the high dose under different regimes. Nuclear magnetic resonance (NMR)-based metabolomics suggested that continuous and intermittent Cu exposures led to similar metabolite variation pattern in gills at an equal high dose, including decreased amino acids (e.g., aspartate, glycine, isoleucine, leucine, lysine, phenylalanine, threonine, and valine), lower energy-related compounds (e.g., adenosine triphosphate/adenosine diphosphate, acetate, citrate, and glycogen), and altered osmolytes (e.g., homarine and taurine). These biomarkers indicated disturbance of osmotic regulation and energy metabolism induced by Cu exposure regardless of regime. In addition, the 4-h intermittent Cu exposure resulted in slightly fewer adverse effects compared with the corresponding equal-dose continuous exposure. Oysters appeared to recover during the intervals of Cu exposure. The results indicated that metabolomic effects induced by Cu were more dose dependent than the Cu exposure regime. (C)2017 SETAC</t>
  </si>
  <si>
    <t>[Cao, Chen; Wang, Wen-Xiong] Hong Kong Univ Sci &amp; Technol, Div Life Sci, Kowloon, Hong Kong, Peoples R China; [Cao, Chen; Wang, Wen-Xiong] HKUST Shenzhen Res Inst, Marine Environm Lab, Shenzhen, Peoples R China</t>
  </si>
  <si>
    <t>Hong Kong University of Science &amp; Technology; Hong Kong University of Science &amp; Technology; Shenzhen Research Institute, The Hong Kong University of Science &amp; Technology</t>
  </si>
  <si>
    <t>Wang, WX (corresponding author), Hong Kong Univ Sci &amp; Technol, Div Life Sci, Kowloon, Hong Kong, Peoples R China.;Wang, WX (corresponding author), HKUST Shenzhen Res Inst, Marine Environm Lab, Shenzhen, Peoples R China.</t>
  </si>
  <si>
    <t>Chinese National Natural Science Foundation [21237004]; Hong Kong Research Grants Council [16140616]</t>
  </si>
  <si>
    <t>Chinese National Natural Science Foundation(National Natural Science Foundation of China (NSFC)); Hong Kong Research Grants Council(Hong Kong Research Grants Council)</t>
  </si>
  <si>
    <t>We are very grateful to J. Feng (Xiamen University) and Z. Li for assistance with nuclear magnetic resonance. The present study was supported by a Key Project from the Chinese National Natural Science Foundation (21237004) and a General Research Fund grant from the Hong Kong Research Grants Council (16140616).</t>
  </si>
  <si>
    <t>10.1002/etc.3780</t>
  </si>
  <si>
    <t>http://dx.doi.org/10.1002/etc.3780</t>
  </si>
  <si>
    <t>FE6JX</t>
  </si>
  <si>
    <t>WOS:000408316900022</t>
  </si>
  <si>
    <t>Chenari, AD; Lak, R</t>
  </si>
  <si>
    <t>Dehghan Chenari, A.; Lak, R.</t>
  </si>
  <si>
    <t>Effects of Heavy Metals from Petroleum Pollutions on Carbonate Surface Sediments of the Persian Gulf</t>
  </si>
  <si>
    <t>Persian Gulf; Petroleum; Pollutants; Sediment; Ooids</t>
  </si>
  <si>
    <t>ARABIAN GULF; LAKE</t>
  </si>
  <si>
    <t>Persian Gulf is a tectonic intra-continental sediment basin in which 40% of global oil and gas trade carries out and is a rich oil and gas resource. Persian Gulf area is about 236000km2 that is one of the largest marine habitats including corals, sponges, crabs, fishes, clams, scaphpoodas, cephalopodas, foraminiferas, echinodermatas, ostracodas and bryozoas. some of them live in seabed sediments of Persian Gulf and their footprints of are still available and visible on the sediments. This study aimed to identify the effects of oil filters, drilling platforms and ship traffics on seabed sediments. we used 240 surface sediment, Sampled Sea cruise named (MG-2008-PG Cruise) within six fractions and sedimentary components were studied during morphoscopic and morphometric tests by Binocular Microscope as well as Electron Microscope in some cases. Chemical synthesis carried out with chemical analysis with ICP instrument and organic material proportion determination by Rock-Eval device. Results indicate that the effect of pollution in Persian Gulf has endangered fauna environments and absorption by shells has changed skin color to red, grey, and black. Some shells have deformed and lost their ornament. In addition, pollution has led to change the color of ooids. It identified that black color was due to existence of hydrous iron sulfide, organic materials, and oil pollutants, the source of elements could rather be from organic sources such as oil.</t>
  </si>
  <si>
    <t>[Dehghan Chenari, A.] Geol Survey Org Iran, Tehran, Iran; [Lak, R.] Geol Survey Iran, Res Inst Earth Sci, Tehran, Iran</t>
  </si>
  <si>
    <t>Chenari, AD (corresponding author), Geol Survey Org Iran, Tehran, Iran.</t>
  </si>
  <si>
    <t>dehghan_afsaneh@yahoo.com</t>
  </si>
  <si>
    <t>Lak, Razyeh/Y-3056-2019</t>
  </si>
  <si>
    <t>Lak, Razyeh/0000-0003-3223-5528</t>
  </si>
  <si>
    <t>management of marine geology of geological Survey of Iran</t>
  </si>
  <si>
    <t>I thank and appreciate management of marine geology of geological Survey of Iran for their support from this project. Thanks to MG2008 PG, cruise members Mr. Mohammadi, Mr. Shakiba, Mr. Karimkhani, Mr. Dadashzadeh, Mr. Salehipour, Mr. Ensani, Mr. Moeini, Mr. Ebrahimi, Mr. Chenani, Mr. Mohammadpour and Mr. Montazeri for their assistant in collecting samples. I thank Mr. Behbahani and Dr.Mohtat for helping us. Furthermore, we thank the personnel of sedimentology and ICP laboratories of Applied Research Center of Geological Survey of Iran.</t>
  </si>
  <si>
    <t>UNIV TEHRAN</t>
  </si>
  <si>
    <t>GRADUATE FAC ENV, NO 20 GHODS ST, ENGHELAB AVE, PO BOX 14155-6135, TEHRAN, 00000, IRAN</t>
  </si>
  <si>
    <t>SPR</t>
  </si>
  <si>
    <t>AF2RE</t>
  </si>
  <si>
    <t>WOS:000334558900007</t>
  </si>
  <si>
    <t>Bouraoui, Z; Banni, M; Ghedira, J; Clerandeau, C; Narbonne, JF; Boussetta, H</t>
  </si>
  <si>
    <t>Bouraoui, Zied; Banni, Mohamed; Ghedira, Jihen; Clerandeau, Christelle; Narbonne, Jean Francois; Boussetta, Hamadi</t>
  </si>
  <si>
    <t>Evaluation of enzymatic biomarkers and lipoperoxidation level in Hediste diversicolor exposed to copper and benzo[a]pyrene</t>
  </si>
  <si>
    <t>NADPH cytochrome c reductase; Glutathione-S-transferase; Catalase; Acetylcholinesterase; Malondialdehyde; Hediste diversicolor; Copper and benzo[a]pyrene</t>
  </si>
  <si>
    <t>CLAM RUDITAPES-DECUSSATUS; POLYCHAETE NEREIS-VIRENS; METAL CONTAMINATION; OXIDATIVE STRESS; ANNELIDA; MARINE; ACETYLCHOLINESTERASE; BIOACCUMULATION; METABOLISM; POLLUTANTS</t>
  </si>
  <si>
    <t>This study aims to evaluate the effects of exposure to copper, benzolalpyrene, and to their mixture on enzymatic and lipid peroxidation biomarkers in Hediste diversicolor. Worms were submitted to 1 mu M of both single compounds and to their mixture during a period of test of 12, 24, 36, and 48 h. The biomarkers selected in this work were the activities of cytochrome P450-dependent NADPH cytochrome c reductase (NADPH red) as phase I enzyme, glutathione-S-transferase (GST) as phase 11 enzyme, and the acetylcholinesterase (AChE) activity as neurotoxicity marker. Oxidative stress was evaluated using catalase activity (CAT) and malondialdehyde accumulation (MDA). The NADPH red activity was not significantly affected by copper exposure; it shows a drastic increase in both B[a]P and mixture-exposed organisms. GST activities were significant in B[a]P-exposed worms only after 36 h, and in animals exposed to the mixture after 12 and 48 h. The ACHE activity was inhibited only in B[a]P-exposed worms. (C) 2009 Elsevier Inc. All rights reserved.</t>
  </si>
  <si>
    <t>[Bouraoui, Zied; Banni, Mohamed; Ghedira, Jihen; Boussetta, Hamadi] Inst Super Agron, Lab Biochim &amp; Toxicol Environm, Chott Mariem, Sousse, Tunisia; [Clerandeau, Christelle; Narbonne, Jean Francois] Univ Bordeaux 1, CNRS, UMR5255, Lab Phys &amp; Toxicochim Environm,LPTC ISM, F-33405 Talence, France</t>
  </si>
  <si>
    <t>Universite de Bordeaux; Centre National de la Recherche Scientifique (CNRS); CNRS - Institute of Chemistry (INC)</t>
  </si>
  <si>
    <t>Banni, M (corresponding author), Inst Super Agron, Lab Biochim &amp; Toxicol Environm, Chott Mariem, Sousse, Tunisia.</t>
  </si>
  <si>
    <t>Ministere de l'Enseignement Superieur et de la Recherche Scientifique; UR Biochimie et Toxicologie Environnementale [04G0907]</t>
  </si>
  <si>
    <t>Ministere de l'Enseignement Superieur et de la Recherche Scientifique; UR Biochimie et Toxicologie Environnementale</t>
  </si>
  <si>
    <t>This work was supported by funds from Ministere de l'Enseignement Superieur et de la Recherche Scientifique; UR Biochimie et Toxicologie Environnementale and the project Cooperation Inter-Universitaire Franco-Tunisienne (CMCU) no. 04G0907.</t>
  </si>
  <si>
    <t>10.1016/j.ecoenv.2009.05.011</t>
  </si>
  <si>
    <t>http://dx.doi.org/10.1016/j.ecoenv.2009.05.011</t>
  </si>
  <si>
    <t>500IL</t>
  </si>
  <si>
    <t>WOS:000270292200011</t>
  </si>
  <si>
    <t>Pedrosa, J; Campos, D; Cocchiararo, B; Nowak, C; Soares, AMVM; Barata, C; Pestana, JLT</t>
  </si>
  <si>
    <t>Pedrosa, Joao; Campos, Diana; Cocchiararo, Berardino; Nowak, Carsten; Soares, Amadeu M. V. M.; Barata, Carlos; Pestana, Joao L. T.</t>
  </si>
  <si>
    <t>Evolutionary consequences of historical metal contamination for natural populations of Chironomus riparius (Diptera: Chironomidae)</t>
  </si>
  <si>
    <t>Cadmium; Freshwater; Metal adaptation; Genetic diversity; Invertebrates; Metal contamination</t>
  </si>
  <si>
    <t>KILLIFISH HETERANDRIA-FORMOSA; FISH FUNDULUS-HETEROCLITUS; DRIVEN GENETIC EROSION; LEAST KILLIFISH; DAPHNIA-LONGISPINA; CADMIUM RESISTANCE; WATERBORNE CADMIUM; HEAVY-METALS; RESPONSES; TOLERANCE</t>
  </si>
  <si>
    <t>Populations inhabiting metal-impacted freshwater systems located nearby industrial and urban areas may be under intense selection. The present study aims to address two fundamental microevolutionary aspects of metal contamination in the midge Chironomus riparius (Meigen): Are populations inhabiting historically metal contaminated sites genetically adapted to metals? And, are populations from these sites genetically eroded? To answer these questions, C. riparius populations were sampled from three sites with well-known histories of metal contamination and three nearby-located references. Genetic adaptation to metals was investigated through acute and chronic exposures to cadmium (Cd), after rearing all populations for at least six generations under laboratory clean conditions. Genetic diversity was estimated based on the allelic variation of seven microsatellite markers. Results showed higher acute tolerance to Cd in populations originating from metal contaminated sites compared to their respective references and significant differences in two out of three pairwise comparisons. However, there was a mismatch between acute and chronic tolerance to Cd with results of the partial life-cycle tests suggesting fitness costs under control clean conditions in two metal-adapted populations. Despite no evidences of genetic erosion in populations sampled from metal contaminated sites, our results suggest genetically inherited tolerance to Cd in populations inhabiting historically contaminated sites. These findings lend support to the use of C. riparius as a model organism in evolutionary toxicology and highlight the importance of coupling measures of neutral genetic diversity with assessments of chemical tolerance of populations for a better understanding of contaminant-induced adaptation and evolutionary processes.</t>
  </si>
  <si>
    <t>[Pedrosa, Joao; Campos, Diana; Soares, Amadeu M. V. M.; Pestana, Joao L. T.] Univ Aveiro, Dept Biol, P-3810193 Aveiro, Portugal; [Pedrosa, Joao; Campos, Diana; Soares, Amadeu M. V. M.; Pestana, Joao L. T.] Univ Aveiro, CESAM, P-3810193 Aveiro, Portugal; [Pedrosa, Joao; Cocchiararo, Berardino; Nowak, Carsten] Senckenberg Res Inst, Conservat Genet Grp, Clamecystr 12, D-63571 Gelnhausen, Germany; [Pedrosa, Joao; Cocchiararo, Berardino; Nowak, Carsten] Nat Hist Museum Frankfurt, Clamecystr 12, D-63571 Gelnhausen, Germany; [Barata, Carlos] CSIC, IDAEA, Dept Environm Chem, Jordi Girona 18-26, ES-08034 Barcelona, Spain</t>
  </si>
  <si>
    <t>Universidade de Aveiro; Universidade de Aveiro; Senckenberg Gesellschaft fur Naturforschung (SGN); Consejo Superior de Investigaciones Cientificas (CSIC); CSIC - Centro de Investigacion y Desarrollo Pascual Vila (CID-CSIC); CSIC - Instituto de Diagnostico Ambiental y Estudios del Agua (IDAEA)</t>
  </si>
  <si>
    <t>Pestana, JLT (corresponding author), Univ Aveiro, Dept Biol, P-3810193 Aveiro, Portugal.;Pestana, JLT (corresponding author), Univ Aveiro, CESAM, P-3810193 Aveiro, Portugal.</t>
  </si>
  <si>
    <t>jpestana@ua.pt</t>
  </si>
  <si>
    <t>Cocchiararo, Berardino/ABG-5283-2020; Campos, Diana M/U-9808-2018; Nowak, Carsten/A-4466-2014; Pestana, Joao/A-9279-2008; Soares, Amadeu/A-8304-2008; Barata, Carlos/K-8232-2014</t>
  </si>
  <si>
    <t>Campos, Diana M/0000-0002-3272-9360; Nowak, Carsten/0000-0002-3139-1951; Pestana, Joao/0000-0003-1322-2959; Soares, Amadeu/0000-0003-0879-9470; Barata, Carlos/0000-0002-3360-0729</t>
  </si>
  <si>
    <t>Portuguese Science Foundation (FCT) through CESAM [UID/AMB/50017/2013]; COMPETE program (Programa Operacional Fatores de Competitividade, FEDER component); National funding through FCT-Fundacao para a Ciencia e Tecnologia within the research project MIDGE - Microevolutionary Dynamics and Genetic Erosion in pollution-affected Chironomus [PTDC/BIA-BEC/104125/2008]; FCT; POPH/FSE (Programa Operacional Potencial Humano/Fundo Social Europeu) [SFRH/BPD/103897/2014, SFRH/BD/87370/2012, SFRH/BD/75606/2010]; Fundação para a Ciência e a Tecnologia [SFRH/BPD/103897/2014, SFRH/BD/75606/2010, PTDC/BIA-BEC/104125/2008] Funding Source: FCT</t>
  </si>
  <si>
    <t>Portuguese Science Foundation (FCT) through CESAM(Fundacao para a Ciencia e a Tecnologia (FCT)); COMPETE program (Programa Operacional Fatores de Competitividade, FEDER component); National funding through FCT-Fundacao para a Ciencia e Tecnologia within the research project MIDGE - Microevolutionary Dynamics and Genetic Erosion in pollution-affected Chironomus; FCT(Fundacao para a Ciencia e a Tecnologia (FCT)); POPH/FSE (Programa Operacional Potencial Humano/Fundo Social Europeu); Fundação para a Ciência e a Tecnologia(Fundacao para a Ciencia e a Tecnologia (FCT))</t>
  </si>
  <si>
    <t>This work was supported by the Portuguese Science Foundation (FCT) through CESAM: UID/AMB/50017/2013. We are thankful for the financial support of COMPETE program (Programa Operacional Fatores de Competitividade, FEDER component) and National funding through FCT-Fundacao para a Ciencia e Tecnologia within the research project MIDGE - Microevolutionary Dynamics and Genetic Erosion in pollution-affected Chironomus (Ref: PTDC/BIA-BEC/104125/2008). We are also thankful to FCT and POPH/FSE (Programa Operacional Potencial Humano/Fundo Social Europeu) for the post-doctoral fellowship of J. L. T. Pestana (SFRH/BPD/103897/2014), and the doctoral grants of Diana Campos (SFRH/BD/87370/2012) and Joao A. M. Pedrosa PhD grant (SFRH/BD/75606/2010).</t>
  </si>
  <si>
    <t>10.1007/s10646-017-1784-5</t>
  </si>
  <si>
    <t>http://dx.doi.org/10.1007/s10646-017-1784-5</t>
  </si>
  <si>
    <t>EU2IV</t>
  </si>
  <si>
    <t>WOS:000400853100007</t>
  </si>
  <si>
    <t>BENTON, MJ; GUTTMAN, SI</t>
  </si>
  <si>
    <t>ALLOZYME GENOTYPE AND DIFFERENTIAL RESISTANCE TO MERCURY POLLUTION IN THE CADDISFLY, NECTOPSYCHE-ALBIDA .1. SINGLE-LOCUS GENOTYPES</t>
  </si>
  <si>
    <t>CANADIAN JOURNAL OF FISHERIES AND AQUATIC SCIENCES</t>
  </si>
  <si>
    <t>OYSTER CRASSOSTREA-VIRGINICA; STARCH-GEL ELECTROPHORESIS; GAMBUSIA-AFFINIS BAIRD; EASTERN NORTH-AMERICA; MYTILUS-EDULIS; GENETIC-VARIATION; GROWTH-RATE; DROSOPHILA-MELANOGASTER; OVERDOMINANT PHENOTYPE; POSSIBLE EXPLANATIONS</t>
  </si>
  <si>
    <t>The caddisfly, Nectopsyche albida, was exposed to 0.6 mg mercury nitrate/L for 72 h and individual times to death recorded. All individuals were analyzed electrophoretically at six polymorphic loci. Time to death differed significantly among genotypes at the phosphoglucomutase and two alcohol dehydrogenase loci and among levels of heterozygosity. There is substantial evidence suggesting that many taxa possess allozyme genotypes exhibiting differential sensitivity to anthropogenic contaminants and natural stressors. Elimination of sensitive genotypes may reduce the ability of impacted populations to recover from additional impacts and may lessen the likelihood that they will adapt to slowly changing environmental conditions. Accordingly, we emphasize that (1) genetic standardization of bioassay organisms is necessary to assure consistency of results among testing facilities, (2) genetic monitoring may be a more sensitive method than numerical censusing to detect low levels of anthropogenic pollution, and (3) loss of genetic variation may hinder population persistence.</t>
  </si>
  <si>
    <t>MIAMI UNIV,DEPT ZOOL,OXFORD,OH 45056</t>
  </si>
  <si>
    <t>University System of Ohio; Miami University</t>
  </si>
  <si>
    <t>Benton, Michael/A-5639-2008</t>
  </si>
  <si>
    <t>Benton, Michael/0000-0002-4323-1824</t>
  </si>
  <si>
    <t>NATL RESEARCH COUNCIL CANADA</t>
  </si>
  <si>
    <t>RESEARCH JOURNALS, MONTREAL RD, OTTAWA ON K1A 0R6, CANADA</t>
  </si>
  <si>
    <t>0706-652X</t>
  </si>
  <si>
    <t>CAN J FISH AQUAT SCI</t>
  </si>
  <si>
    <t>Can. J. Fish. Aquat. Sci.</t>
  </si>
  <si>
    <t>10.1139/f92-016</t>
  </si>
  <si>
    <t>http://dx.doi.org/10.1139/f92-016</t>
  </si>
  <si>
    <t>HC985</t>
  </si>
  <si>
    <t>WOS:A1992HC98500016</t>
  </si>
  <si>
    <t>Gamain, P; Cachot, J; Gonzalez, P; Budzinski, H; Gourves, PY; Morin, B</t>
  </si>
  <si>
    <t>Gamain, Perrine; Cachot, Jerome; Gonzalez, Patrice; Budzinski, Helene; Gourves, Pierre-Yves; Morin, Benedicte</t>
  </si>
  <si>
    <t>Do Temporal and Spatial Parameters or Lifestyle of the Pacific Oyster Crasssostrea gigas Affect Pollutant Bioaccumulation, Offspring Development, and Tolerance to Pollutants?</t>
  </si>
  <si>
    <t>metolachlor; copper; pacific oyster; developmental effects; bioaccumulation</t>
  </si>
  <si>
    <t>ANCYLUS-FLUVIATILIS MULL; CRASSOSTREA-GIGAS; LARVAL DEVELOPMENT; WATER; ACCUMULATION; EUTROPHICATION; EMBRYOGENESIS; CONTAMINATION; METOLACHLOR; PESTICIDES</t>
  </si>
  <si>
    <t>This study evaluated the vulnerability of early life stages of native oysters (Crassostrea gigas) from the Arcachon Bay (SW, France) to pollutants at risk in the lagoon in particular copper and S-metolachlor. Developmental abnormalities in wild and cultivated oyster D-larvae were investigated during 2 breeding-seasons (2013 and 2014) at different sampling sites and dates. In addition, copper, and metolachlor concentrations were determined both in seawater and in mature oysters. Bioaccumulation of Cu was observed at higher levels in wild than in farmed specimens. Metolachlor was accumulated at much lower levels. After 24 h exposure, significant increases of the percentage of abnormal D-larvae were observed when exposed at 1 mu g L-1 of copper or 10 ng L-1 of metolachlor in comparison with the controls whatever the date, the site, and rearing conditions of the genitors. The current study demonstrates that environmental concentrations of copper and metolachlor can induce a significant increase of developmental abnormalities in farmed and wild populations of oysters. However, no significant differences of sensitivity were observed according to temporal, spatial parameters, and lifestyle of genitors. In addition, oyster larvae obtained from the hatchery displayed the same sensitivity to pollutants as larvae from the field, demonstrating their suitability for toxicity assays and water quality monitoring.</t>
  </si>
  <si>
    <t>[Gamain, Perrine; Cachot, Jerome; Gonzalez, Patrice; Budzinski, Helene; Gourves, Pierre-Yves; Morin, Benedicte] Univ Bordeaux, EPOC, UMR 5805, Pessac, France</t>
  </si>
  <si>
    <t>Cachot, J (corresponding author), Univ Bordeaux, EPOC, UMR 5805, Pessac, France.</t>
  </si>
  <si>
    <t>Cachot, Jerome/0000-0002-1492-9684; Morin, Benedicte/0000-0003-4583-4319; Gonzalez, Patrice/0000-0003-2628-2993; BUDZINSKI, Helene/0000-0001-5282-9011</t>
  </si>
  <si>
    <t>The authors thank the Aquitaine Region (OSQUAR Project), CPER A2E, Intermunicipal Union of Arcachon Bay (SIBA), and Water Agency Adour Garonne (AEAG) for their financial supports. We gratefully acknowledge the staff of the SEPANSO for their help to get the reference seawater. This work was part of the LABEX COTE cluster of excellence Continental To coastal Ecosystems: evolution, adaptability and gouvernance. The authors would like to thank James Emery for providing English proofreading services and Danielle Maurer and Isabelle Auby for their scientific and technical ail vices.</t>
  </si>
  <si>
    <t>10.3389/fmars.2017.00058</t>
  </si>
  <si>
    <t>http://dx.doi.org/10.3389/fmars.2017.00058</t>
  </si>
  <si>
    <t>VH8ZJ</t>
  </si>
  <si>
    <t>WOS:000457690600058</t>
  </si>
  <si>
    <t>Wu, B; Li, J; Sheng, MP; Peng, H; Peng, DH; Xu, H</t>
  </si>
  <si>
    <t>Wu, Bin; Li, Jia; Sheng, Mingping; Peng, He; Peng, Dinghua; Xu, Heng</t>
  </si>
  <si>
    <t>The application of biochar and oyster shell reduced cadmium uptake by crops and modified soil fertility and enzyme activities in contaminated soil</t>
  </si>
  <si>
    <t>SOIL</t>
  </si>
  <si>
    <t>BIOCHEMICAL-PROPERTIES; MICRO-ECOLOGY; IMMOBILIZATION; AVAILABILITY; IMPACT; RICE; LEAD; PB</t>
  </si>
  <si>
    <t>Soil pollution with cadmium (Cd) has been threatening the human health. In this study, we investigated the possibility of applying biochar and oyster shell to reduce Cd uptake by crops and modify soil quality. A field study based on the rice-oilseed rape rotation was done, and the treatments were comprised without amendments (PAO) and with 15 000 kg ha(-1 )biochar (PA1), 15 000 kg ha(-1) oyster shell (PA2), and 7500 kg ha(-1) biochar and 7500 kg ha(-1) oyster shell (PA3). Results revealed that both oyster shell and biochar reduced the HOAc-extractable Cd in soil. Compared to PAO, the HOAc-extractable Cd in the PA1, PA2, and PA3 treatments was reduced by 4.76 %-20.79 %, 17.86 %-38.61 %, and 5.95 %-10.89 %, respectively. The cooperative application of biochar and oyster shell reduced the Cd accumulation in brown rice and oilseed by 29.67 % and 19.74 %, respectively, compared to control and thus decreased the hazard quotient (HQ) from the consumption of brown rice and oilseed. The addition of biochar slightly increased soil organic matter. In addition, the available P in the PA2 and PA3 treatments was significantly (p &lt; 0.05) increased by 200.96 %-295.92 % and 187.46 %-280.04 % compared to the control. Moreover, the cooperative application of biochar and oyster shell enhanced the activities of urease, catalase, and beta-galactosidase by 139.44 %-147.56 %, 10.71 %-34.31 %, and 82.08 %-244.38 %, respectively. These results demonstrated that the utilization of biochar and oyster shell might be an effective pathway to reducing Cd uptake by crops and improving soil fertility and enzyme activities.</t>
  </si>
  <si>
    <t>[Wu, Bin; Li, Jia] Chengdu Univ Technol, Coll Ecol &amp; Environm, State Key Lab Geohazard Prevent &amp; Geoenvironm Pro, Chengdu 610059, Peoples R China; [Sheng, Mingping; Peng, He; Peng, Dinghua; Xu, Heng] Sichuan Univ, Coll Life Sci, Key Lab Bioresource &amp; Ecoenvironm, Minist Educ, Chengdu 610065, Peoples R China</t>
  </si>
  <si>
    <t>Chengdu University of Technology; Sichuan University</t>
  </si>
  <si>
    <t>Wu, B (corresponding author), Chengdu Univ Technol, Coll Ecol &amp; Environm, State Key Lab Geohazard Prevent &amp; Geoenvironm Pro, Chengdu 610059, Peoples R China.;Xu, H (corresponding author), Sichuan Univ, Coll Life Sci, Key Lab Bioresource &amp; Ecoenvironm, Minist Educ, Chengdu 610065, Peoples R China.</t>
  </si>
  <si>
    <t>wub@cdut.edu.cn; xuheng64@sina.com</t>
  </si>
  <si>
    <t>He, Peng/AAI-2369-2020; Xu, Heng/AAS-3465-2021</t>
  </si>
  <si>
    <t>Xu, Heng/0000-0003-1307-4896; Wu, Bin/0000-0002-2483-2026</t>
  </si>
  <si>
    <t>Key Technologies Research and Development Program of China [2018YFC1802605]; Science and Technology Project of Sichuan Province [2022YFN0066]; Chengdu Science and Technology Project [2021-YF05-00195-SN]; State Key Laboratory of Geohazard Prevention and Geoenvironment Protection Independent Research Project [SKLGP2021Z030]; State Environmental Protection Key Laboratory of Synergetic Control and Joint Remediation for Soil &amp; Water Pollution [GHBK-2020-012]</t>
  </si>
  <si>
    <t>Key Technologies Research and Development Program of China(National Key Technology R&amp;D Program); Science and Technology Project of Sichuan Province; Chengdu Science and Technology Project; State Key Laboratory of Geohazard Prevention and Geoenvironment Protection Independent Research Project; State Environmental Protection Key Laboratory of Synergetic Control and Joint Remediation for Soil &amp; Water Pollution</t>
  </si>
  <si>
    <t>This study has been supported by the Key Technologies Research and Development Program of China (grant no. 2018YFC1802605), Science and Technology Project of Sichuan Province (grant no. 2022YFN0066), Chengdu Science and Technology Project (grant no. 2021-YF05-00195-SN), State Key Laboratory of Geohazard Prevention and Geoenvironment Protection Independent Research Project (grant no. SKLGP2021Z030), and State Environmental Protection Key Laboratory of Synergetic Control and Joint Remediation for Soil &amp; Water Pollution (grant no. GHBK-2020-012).</t>
  </si>
  <si>
    <t>COPERNICUS GESELLSCHAFT MBH</t>
  </si>
  <si>
    <t>GOTTINGEN</t>
  </si>
  <si>
    <t>BAHNHOFSALLEE 1E, GOTTINGEN, 37081, GERMANY</t>
  </si>
  <si>
    <t>2199-3971</t>
  </si>
  <si>
    <t>2199-398X</t>
  </si>
  <si>
    <t>SOIL-GERMANY</t>
  </si>
  <si>
    <t>Soil</t>
  </si>
  <si>
    <t>10.5194/soil-8-409-2022</t>
  </si>
  <si>
    <t>http://dx.doi.org/10.5194/soil-8-409-2022</t>
  </si>
  <si>
    <t>1Q9ST</t>
  </si>
  <si>
    <t>WOS:000803020900001</t>
  </si>
  <si>
    <t>Le, TTY; Nachev, M; Grabner, D; Garcia, MR; Balsa-Canto, E; Hendriks, AJ; Peijnenburg, WJGM; Sures, B</t>
  </si>
  <si>
    <t>Le, T. T. Yen; Nachev, Milen; Grabner, Daniel; Garcia, Miriam R.; Balsa-Canto, Eva; Hendriks, A. Jan; Peijnenburg, Willie J. G. M.; Sures, Bernd</t>
  </si>
  <si>
    <t>Modelling chronic toxicokinetics and toxicodynamics of copper in mussels considering ionoregulatory homeostasis and oxidative stress</t>
  </si>
  <si>
    <t>Metals; Bivalve; Toxicokinetics; Toxicodynamics; ATPase enzyme; Oxidative stress</t>
  </si>
  <si>
    <t>STRUCTURAL IDENTIFIABILITY ANALYSIS; DREISSENA-POLYMORPHA; NA+/K+-ATPASE; RAINBOW-TROUT; PHYSIOLOGICAL-RESPONSES; LIPID-PEROXIDATION; MOLECULAR ACTIVITY; HEAVY-METALS; SODIUM PUMPS; TOXICITY</t>
  </si>
  <si>
    <t>Chronic toxicity of copper (Cu) at sublethal levels is associated with ionoregulatory disturbance and oxidative stress. These factors were considered in a toxicokinetic-toxicodynamic model in the present study. The ionoregulatory disturbance was evaluated by the activity of the Na+/K+-ATPase enzyme (NKA), while oxidative stress was presented by lipid peroxidation (LPO) and glutathione-S-transferase (GST) activity. NKA activity was related to the binding of Cu2+ and Na+ to NKA. LPO and GST activity were linked with the simulated concentration of unbound Cu. The model was calibrated using previously reported data and empirical data generated when zebra mussels were exposed to Cu. The model clearly demonstrated that Cu might inhibit NKA activity by reducing the number of functional pump sites and the limited Cu-bound NKA turnover rate. An ordinary differential equation was used to describe the relationship between the simulated concentration of unbound Cu and LPO/GST activity. Although this method could not explain the fluctuations in these biomarkers during the experiment, the measurements were within the confidence interval of estimations. Model simulation consistently shows nonsignificant differences in LPO and GST activity at two exposure levels, similar to the empirical observation.</t>
  </si>
  <si>
    <t>[Le, T. T. Yen; Nachev, Milen; Grabner, Daniel; Sures, Bernd] Univ Duisburg Essen, Fac Biol, Dept Aquat Ecol, D-45141 Essen, Germany; [Le, T. T. Yen; Nachev, Milen; Grabner, Daniel; Sures, Bernd] Univ Duisburg Essen, Fac Biol, Ctr Water &amp; Environm Res ZWU, D-45141 Essen, Germany; [Garcia, Miriam R.; Balsa-Canto, Eva] Spanish Council Sci Res, IIM CSIC, Proc Engn Grp, Vigo 36208, Spain; [Hendriks, A. Jan] Radboud Univ Nijmegen, Fac Sci, Dept Environm Sci, NL-6525 HP Nijmegen, Netherlands; [Peijnenburg, Willie J. G. M.] Natl Inst Publ Hlth &amp; Environm, Ctr Safety Subst &amp; Prod, NL-3720 BA Bilthoven, Netherlands; [Peijnenburg, Willie J. G. M.] Leiden Univ, Inst Environm Sci, NL-2311 EZ Leiden, Netherlands</t>
  </si>
  <si>
    <t>University of Duisburg Essen; University of Duisburg Essen; Consejo Superior de Investigaciones Cientificas (CSIC); CSIC - Instituto de Investigaciones Marinas (IIM); Radboud University Nijmegen; Netherlands National Institute for Public Health &amp; the Environment; Leiden University; Leiden University - Excl LUMC</t>
  </si>
  <si>
    <t>Le, TTY (corresponding author), Univ Duisburg Essen, Fac Biol, Dept Aquat Ecol, D-45141 Essen, Germany.;Le, TTY (corresponding author), Univ Duisburg Essen, Fac Biol, Ctr Water &amp; Environm Res ZWU, D-45141 Essen, Germany.</t>
  </si>
  <si>
    <t>yen.le@uni-due.de</t>
  </si>
  <si>
    <t>Hendriks, Aalbert/C-6767-2013; Peijnenburg, Willie/M-4110-2013; Sures, Bernd/B-6652-2013; Balsa-Canto, Eva/A-9339-2008; R. Garcia, Miriam/D-7185-2012</t>
  </si>
  <si>
    <t>le, yen/0000-0002-1465-4406; Balsa-Canto, Eva/0000-0002-1978-2626; R. Garcia, Miriam/0000-0001-9538-6388; Grabner, Daniel/0000-0002-1251-7096; Sures, Bernd/0000-0001-6865-6186</t>
  </si>
  <si>
    <t>Deutsche Forschungsgemeinschaft (DFG), Germany [LE 3716/2-1]</t>
  </si>
  <si>
    <t>Deutsche Forschungsgemeinschaft (DFG), Germany(German Research Foundation (DFG))</t>
  </si>
  <si>
    <t>This research was financed by the Deutsche Forschungsgemeinschaft (DFG), Germany (LE 3716/2-1).</t>
  </si>
  <si>
    <t>10.1016/j.envpol.2021.117645</t>
  </si>
  <si>
    <t>http://dx.doi.org/10.1016/j.envpol.2021.117645</t>
  </si>
  <si>
    <t>UQ8LQ</t>
  </si>
  <si>
    <t>WOS:000696310700007</t>
  </si>
  <si>
    <t>Ayuso, RA; Foley, NK; Seal, RR; Bove, M; Civitillo, D; Cosenza, A; Grezzi, G</t>
  </si>
  <si>
    <t>Ayuso, Robert A.; Foley, Nora K.; Seal, Robert R., II; Bove, Marianna; Civitillo, Diego; Cosenza, Antonio; Grezzi, Giuseppe</t>
  </si>
  <si>
    <t>Lead isotope evidence for metal dispersal at the Callahan Cu-Zn-Pb mine: Goose Pond tidal estuary, Maine, USA</t>
  </si>
  <si>
    <t>JOURNAL OF GEOCHEMICAL EXPLORATION</t>
  </si>
  <si>
    <t>Lead isotope geochemistry; Abandoned open-pit mine; Zn-Cu-Pb; Intertidal zone; Estuary; Quantitative mineralogical modeling</t>
  </si>
  <si>
    <t>PLASMA-MASS SPECTROMETRY; COASTAL ENVIRONMENTS; HOMARUS-AMERICANUS; SMELTER EMISSIONS; MARINE-SEDIMENTS; STREAM SEDIMENTS; ATMOSPHERIC LEAD; RIVER-BASIN; POLLUTION; SOILS</t>
  </si>
  <si>
    <t>The abandoned massive sulfide Callahan mine, coastal Maine, is unique because the open pit operation was sited in a drained marine estuary. About 5 million tons of sulfide-bearing waste and unprocessed ore remain on-site bordering ponds and tidal flats that comprise the estuary proper (US-EPA Superfund site). The prominence and position of the waste relative to the tidal estuary constitute key features representing point sources of heavily contaminated debris. The massive sulfides are hosted by bimodal volcanic rocks of the Cambrian Castine Volcanics (basalt and rhyolite). Sulfide minerals include pyrite, sphalerite, chalcopyrite, and minor galena. A total of 275 analyses of Pb isotopes were done to fully characterize barren volcanic and hydrothermally-altered and mineralized rocks, massive sulfides and disseminated sulfides, waste rock (and tailings) and pond sediments from drill cores, pit water, seeps, and aquatic biota (lobsters, crabs, and bivalves). Lead isotope compositions show a wide range in Pb-206/Pb-204 (17.972-20.239), Pb-207/Pb-204 (15.525-15.664), and Pb-208/Pb-204 (37.591-40.000) and extend from relatively unradiogenic massive sulfides to more radiogenic country rocks and sediments. Tailings, waste rocks, and pond sediments plot in a triangular area in standard Pb isotope diagrams, limited by the trend for the relatively unradiogenic massive sulfides (nearly constant and low Pb-206/Pb-204 ratios and somewhat variable but low Pb-207/Pb-204) and a poorly defined but relatively more radiogenic component (high Pb-206/Pb-204 and Pb-207/Pb-204). Estuary sediments adjacent to the tailings pile and waste rocks have high metal abundances and exhibit the closest resemblance to the massive sulfide isotopic compositions. Bivalve shells obtained from estuary core sediments have growth zones with contents of Pb (5-76 ppm), Zn (6-443 ppm), and Cu (0-262 ppm) that do not vary systematically from zone to zone, and that display no correlation to geographic distribution. The bivalves incorporated lead and other metals by ingesting suspended fine sulfide and silicate particles in addition to dissolved metals in the contaminated waters of the estuary. Water from the open pit and from seeps draining the tailings pile (Pb-206/Pb-204 = 17.972-18.504, Pb-207/Pb-204 = 15.501-15.590) overlaps the massive sulfide ore. The pit water maintains its isotopic resemblance to the massive sulfides partly by the influx of seeps draining the rock waste and tailings piles. Galena and other sulfides weather as acidic meteoric water filters through the waste piles. Fractures provide avenues for in-situ oxidation, redistribution of Pb++ and SO4--, and precipitation of fine-grained anglesite and/or cerussite (depending on the activities of H+, HCO3-; and sulfate) in veinlets. A rise in pH above 4.5 and reaction of fluid with calcite in the tailings results in removal of more than 65% of Pb (including anglesite precipitate) by sorption to iron-oxyhydroxide precipitates. Pb transport in the Callahan system is thus likely to occur dominantly within solid phases (galena -&gt; anglesite + Fe-oxide -&gt; cerussite/carbonate + Fe-oxide) rather than dissolved in solution. Mass wasting of such fine Pb-bearing solid particulates from the waste and tailing piles likely accounts for the largest fraction of the Pb load in the estuary. Lead-bearing water from the Callahan mine is transferred out of the site and available to lobsters and crabs; the aquatic biota thus partly reflect compositions (Pb-206/Pb-204 = 18.021-18.539, Pb-207/Pb-204 = 15.497-15.627) within the range of the ores and tailings. The contaminating effects radiating from the mine are intense adjoining the tailings piles and waste rock and adjacent to the site. These effects are significantly attenuated and essentially undistinguishable from natural background in a short distance (similar to 1 km). Published by Elsevier B.V.</t>
  </si>
  <si>
    <t>[Ayuso, Robert A.; Foley, Nora K.; Seal, Robert R., II; Bove, Marianna; Civitillo, Diego; Cosenza, Antonio; Grezzi, Giuseppe] US Geol Survey, Reston, VA 20192 USA; [Bove, Marianna; Civitillo, Diego; Cosenza, Antonio; Grezzi, Giuseppe] Univ Naples Federico II, Dipartimento Sci Terra, Naples, Italy</t>
  </si>
  <si>
    <t>United States Department of the Interior; United States Geological Survey; University of Naples Federico II</t>
  </si>
  <si>
    <t>Ayuso, RA (corresponding author), US Geol Survey, Mail Stop 954 Natl Ctr, Reston, VA 20192 USA.</t>
  </si>
  <si>
    <t>rayuso@usgs.gov</t>
  </si>
  <si>
    <t>0375-6742</t>
  </si>
  <si>
    <t>1879-1689</t>
  </si>
  <si>
    <t>J GEOCHEM EXPLOR</t>
  </si>
  <si>
    <t>J. Geochem. Explor.</t>
  </si>
  <si>
    <t>10.1016/j.gexplo.2012.12.013</t>
  </si>
  <si>
    <t>http://dx.doi.org/10.1016/j.gexplo.2012.12.013</t>
  </si>
  <si>
    <t>300YK</t>
  </si>
  <si>
    <t>WOS:000330499700001</t>
  </si>
  <si>
    <t>Tuncelli, G; Tuncelli, IC; Dagsuyu, E; Turkyilmaz, IB; Yanardag, R; Erkan, N</t>
  </si>
  <si>
    <t>Tuncelli, Gokhan; Tuncelli, Idil Can; Dagsuyu, Eda; Turkyilmaz, Ismet Burcu; Yanardag, Refiye; Erkan, Nuray</t>
  </si>
  <si>
    <t>The effect of different types of microplastic and acute cadmium exposure on the Mytilus galloprovincialis (Lamarck, 1819)</t>
  </si>
  <si>
    <t>Mediterranean mussels; Biomarkers; Food safety; Filter-feeders; Neurotoxicity; Plastic pollution</t>
  </si>
  <si>
    <t>LIPID-PEROXIDATION; ACETYLCHOLINESTERASE ACTIVITY; SUPEROXIDE-DISMUTASE; BIOMARKERS; MUSSELS; WATER; TOXICITY; BIOACCUMULATION; POLLUTION; BIVALVES</t>
  </si>
  <si>
    <t>Microplastic (MP) pollution is a pressing issue for both environmental health and the safety of human food sources. This study provides a comprehensive analysis of the effects of MPs on Mediterranean mussels ( Mytilus galloprovincialis , Lamarck 1819), focusing on the food safety risks associated with MP and cadmium (Cd) exposure in these organisms intended for consumption. The retention of different polymer types of MPs in mussels was specifically evaluated, and the influence of Cd on MP retention across these polymers was investigated. Mussels were exposed to polystyrene (PS), polypropylene (PP), and polyethylene terephthalate (PET) MPs individually and in combination with the toxic metal Cd for a duration of 7 days. Antioxidant enzymes, oxidative stress parameters, and digestive system enzyme activities, selected as biomarkers for Cd and MPs pollution, were assessed. Furthermore, human consumption risk evaluations and limits regarding mussel intake were analysed in terms of food safety. The results suggest that exposure to Cd, MPs, or their combination induces oxidative stress, tissue damage, and neurotoxicity. Alterations in digestive enzyme activities could impact the mussels ' energy acquisition from food and their capacity to conserve energy reserves. The estimated daily intake (EDI), provisional tolerable weekly intake (PTWI), target hazard quotient (THQ), and target cancer risk (TCR) levels for all groups surpassed established limits, implying a significant health risk for humans consuming these products. These results underscore the potential health risks for humans associated with consuming mussels exposed to Cd and/or MPs and provide valuable data for monitoring pollution levels and ecological risks in aquatic organisms. Additionally, our findings reveal that the retention of Cd in mussel tissues varies significantly after exposure, with combinations of PET and Cd showing lower levels of Cd accumulation compared to other groups, suggesting a differential interaction that influences Cd retention.</t>
  </si>
  <si>
    <t>[Tuncelli, Gokhan] Istanbul Univ, Fac Aquat Sci, Dept Aquaculture &amp; Fish Dis, TR-34134 Istanbul, Turkiye; [Tuncelli, Idil Can] Istanbul Univ, Fac Aquat Sci, Dept Fisheries &amp; Seafood Proc Technol, Seafood Proc Technol Programme, TR-34134 Istanbul, Turkiye; [Dagsuyu, Eda; Turkyilmaz, Ismet Burcu; Yanardag, Refiye] Istanbul Univ Cerrahpas, Fac Engn, Dept Chem, TR-34320 Istanbul, Turkiye; [Erkan, Nuray] Istanbul Univ, Fac Aquat Sci, Dept Fisheries &amp; Seafood Proc Technol, Food Safety Programme, TR-34134 Istanbul, Turkiye</t>
  </si>
  <si>
    <t>Istanbul University; Istanbul University; Istanbul University - Cerrahpasa; Istanbul University</t>
  </si>
  <si>
    <t>Tuncelli, IC (corresponding author), Istanbul Univ, Fac Aquat Sci, Dept Fisheries &amp; Seafood Proc Technol, Seafood Proc Technol Programme, TR-34134 Istanbul, Turkiye.</t>
  </si>
  <si>
    <t>idilcan@istanbul.edu.tr</t>
  </si>
  <si>
    <t>Tuncelli, Gokhan/AAB-8199-2020; Turkyilmaz Mutlu, Ismet Burcu/IXN-0429-2023; DAGSUYU, Eda/JTV-0525-2023; Can Tuncelli, Idil/A-4323-2019; Erkan, Nuray/P-9866-2015</t>
  </si>
  <si>
    <t>Can Tuncelli, Idil/0000-0002-9999-6658; Turkyilmaz, Ismet Burcu/0000-0003-2789-5943; Erkan, Nuray/0000-0002-0752-8495; Tuncelli, Gokhan/0000-0003-1708-7272</t>
  </si>
  <si>
    <t>Scientific Research Projects Co-ordination Unit of Istanbul University [FBA-2022- 39091]</t>
  </si>
  <si>
    <t>Scientific Research Projects Co-ordination Unit of Istanbul University(Istanbul University)</t>
  </si>
  <si>
    <t>This research was supported by the Scientific Research Projects Co-ordination Unit of Istanbul University with Project number FBA-2022- 39091.</t>
  </si>
  <si>
    <t>10.1016/j.scitotenv.2024.173505</t>
  </si>
  <si>
    <t>http://dx.doi.org/10.1016/j.scitotenv.2024.173505</t>
  </si>
  <si>
    <t>UK0V5</t>
  </si>
  <si>
    <t>WOS:001247843700001</t>
  </si>
  <si>
    <t>Joshy, A; Sharma, SRK; Mini, KG; Gangadharan, S; Pranav, P</t>
  </si>
  <si>
    <t>Joshy, Aswathy; Sharma, S. R. Krupesha; Mini, K. G.; Gangadharan, Suja; Pranav, P.</t>
  </si>
  <si>
    <t>Histopathological evaluation of bivalves from the southwest coast of India as an indicator of environmental quality</t>
  </si>
  <si>
    <t>Bivalves; Magallana bilineata; Perna viridis; Villorita cyprinoides; Histopathology; Heavy metal; Environment</t>
  </si>
  <si>
    <t>HEAVY-METAL CONCENTRATIONS; RICKETTSIA-LIKE ORGANISM; MUSSEL MYTILUS-EDULIS; TRACE-METALS; DIGESTIVE GLAND; DISSEMINATED NEOPLASIA; CRASSOSTREA-VIRGINICA; VILLORITA-CYPRINOIDES; BIOCHEMICAL RESPONSES; RUDITAPES-DECUSSATUS</t>
  </si>
  <si>
    <t>Bivalve molluscs have been regarded as excellent bioindicators of environmental pollution as they persistently accumulate toxic contaminants present in their ecosystem. Histological alterations in the digestive gland and gills of three bivalve sp., Viz. edible oyster (Magallana bilineata), green mussel (Perna viridis) and black clam (Villorita cyprinoides) from ecologically sensitive regions of international significance on the southwest coast of India were evaluated using a semi-quantitative histopathological index to assess the environmental quality. The prominent tissue alterations included tubular vacuolation, haemocytic infiltration, parasitosis, lamellar disorganization, and the presence of prokaryotic inclusions. The presence of ten trace metals was also evaluated in the digestive gland of bivalves. The histopathological indices were evaluated season-wise and region-wise. Seasonal variation in all the reaction patterns was observed in the digestive gland across sampling zones, with the highest indices observed during post-monsoon. The indices for all the reaction patterns in the digestive gland were significantly higher in bivalves from Vembanad Lake (Z4), followed by Periyar River (Z5). The indices for cellular changes and parasitosis in gills were the highest in the Ashtamudi estuary (Z1) and Z5, respectively. The global histopathological indices of the digestive gland and gills were also the highest in Z4, followed by Z5. Principal component analysis revealed that Z4 was distinct with the highest metal pollution index. A positive relation was observed with heavy metals, digestive gland histological alterations, and season and region of sampling.</t>
  </si>
  <si>
    <t>[Joshy, Aswathy; Sharma, S. R. Krupesha; Mini, K. G.; Gangadharan, Suja; Pranav, P.] ICAR Cent Marine Fisheries Res Inst, Marine Biotechnol Div, Fisheries Resource Assessment Div, Fish Hlth Sect, Ernakulam North PO, Kochi 682018, Kerala, India</t>
  </si>
  <si>
    <t>Sharma, SRK (corresponding author), ICAR Cent Marine Fisheries Res Inst, Marine Biotechnol Div, Fisheries Resource Assessment Div, Fish Hlth Sect, Ernakulam North PO, Kochi 682018, Kerala, India.</t>
  </si>
  <si>
    <t>krupeshsharma@gmail.com</t>
  </si>
  <si>
    <t>P, Pranav/AAV-3538-2021</t>
  </si>
  <si>
    <t>Pulukkayi, PRANAV/0000-0002-6547-3306</t>
  </si>
  <si>
    <t>ICAR-Central Marine Fisheries Research Institute [MBT/HLT/23]</t>
  </si>
  <si>
    <t>ICAR-Central Marine Fisheries Research Institute(Indian Council of Agricultural Research (ICAR))</t>
  </si>
  <si>
    <t>This work was supported by ICAR-Central Marine Fisheries Research Institute under the institutional project `Health management in selected finfish and shellfish and bioprospecting from marine resources' (MBT/HLT/23).</t>
  </si>
  <si>
    <t>10.1016/j.aquatox.2022.106076</t>
  </si>
  <si>
    <t>http://dx.doi.org/10.1016/j.aquatox.2022.106076</t>
  </si>
  <si>
    <t>ZO1YQ</t>
  </si>
  <si>
    <t>WOS:000765528400014</t>
  </si>
  <si>
    <t>Kaya, H; Akbulut, M; Selvi, K; Ileri, B; Duysak, M</t>
  </si>
  <si>
    <t>Kaya, Hasan; Akbulut, Mehmet; Selvi, Kahraman; Ileri, Burcu; Duysak, Muge</t>
  </si>
  <si>
    <t>Heavy Metal Accumulation, Biomarker Responses and Sensitivity to Oxidative Stress in Isopoda Asellus aquaticus from Saricay Creek (Canakkale-Turkey)</t>
  </si>
  <si>
    <t>EKOLOJI</t>
  </si>
  <si>
    <t>Asellus aquaticus; Biomarkers; Saricay Creek; Water pollution</t>
  </si>
  <si>
    <t>GLUTATHIONE-S-TRANSFERASE; CARP CYPRINUS-CARPIO; FRESH-WATER BIVALVES; LIPID-PEROXIDATION; UNIO-TUMIDUS; TOXICITY; GILL; MUSSEL; ATPASE; MECHANISMS</t>
  </si>
  <si>
    <t>In this study, the possible oxidative stress that water pollution may cause to Asellus aquaticus is evaluated using the physico-chemical parameters, the heavy metal concentration in the water, and organism and biochemical responses in the living organisms being combined together. For this purpose, the A. aquaticus samples are collected by choosing three stations along the Saricay Creek, some of whose regions are exposed to domestic and industrial pollution. Sampling stations are chosen from regions that are interpreted as polluted or clean according to the heavy metal content and physico-chemical parameters where the A. aquaticus individuals live. After the determination of species is performed, the heavy metal (Cu, Fe, Cd, Pb, and Zn) and biomarker (Na+/K+-ATPase, Glutathione, and TBARS) analyzes were made. According to the water quality analysis, S3 was the most polluted station, S2 was a moderately polluted station, and Si was determined as a clean station. A considerable increase in the amount of glutathione (GSH) was detected in the S2 and S3 stations in parallel with the increase of pollution. However, there were no statistical differences in the TBARS levels as an indicator of lipid peroxidation and Na+/K+-ATPase enzyme activity. The significant increase (three-fold) of the GSH levels in the polluted areas indicates that water pollution causes oxidative stress in the A. aquaticus species. These results show that ecological, physico-chemical, and biochemical parameters can be used together to identify and evaluate the water pollution in rivers that are exposed to pollution.</t>
  </si>
  <si>
    <t>[Kaya, Hasan; Akbulut, Mehmet] Canakkale Onsekiz Mart Univ, Marine Sci &amp; Technol Fac, TR-17100 Canakkale, Turkey; [Selvi, Kahraman] Canakkale Onsekiz Mart Univ, Yenice Tech Vocat Coll, TR-17550 Canakkale, Turkey; [Ileri, Burcu] Canakkale Onsekiz Mart Univ, Dept Environm Engn, TR-17100 Canakkale, Turkey; [Duysak, Muge] Canakkale Onsekiz Mart Univ, Nat &amp; Appl Sci Inst, TR-17100 Canakkale, Turkey</t>
  </si>
  <si>
    <t>Canakkale Onsekiz Mart University; Canakkale Onsekiz Mart University; Canakkale Onsekiz Mart University; Canakkale Onsekiz Mart University</t>
  </si>
  <si>
    <t>Kaya, H (corresponding author), Canakkale Onsekiz Mart Univ, Marine Sci &amp; Technol Fac, TR-17100 Canakkale, Turkey.</t>
  </si>
  <si>
    <t>hasankaya@comu.edu.tr</t>
  </si>
  <si>
    <t>Selvi, Kahraman/AAY-8130-2020</t>
  </si>
  <si>
    <t>Canakkale Onsekiz Mart University Scientific Foundation (BAP) [2013/51]</t>
  </si>
  <si>
    <t>Canakkale Onsekiz Mart University Scientific Foundation (BAP)(Canakkale Onsekiz Mart University)</t>
  </si>
  <si>
    <t>This study was supported by the Canakkale Onsekiz Mart University Scientific Foundation (BAP) (Project No: 2013/51).</t>
  </si>
  <si>
    <t>FOUNDATION ENVIRONMENTAL PROTECTION &amp; RESEARCH-FEPR</t>
  </si>
  <si>
    <t>BASMANE KONAK-IZMIR</t>
  </si>
  <si>
    <t>MURESELPASA BULVARI 1265 SOKAK 10-10, H MEVLUT SUSUZLU IS MERKESI, PK 63, BASMANE KONAK-IZMIR, 35230, TURKEY</t>
  </si>
  <si>
    <t>1300-1361</t>
  </si>
  <si>
    <t>Ekoloji</t>
  </si>
  <si>
    <t>10.5053/ekoloji.2014.912</t>
  </si>
  <si>
    <t>http://dx.doi.org/10.5053/ekoloji.2014.912</t>
  </si>
  <si>
    <t>AO7UK</t>
  </si>
  <si>
    <t>WOS:000341557900002</t>
  </si>
  <si>
    <t>Negri, A; Oliveri, C; Sforzini, S; Mignione, F; Viarengo, A; Banni, M</t>
  </si>
  <si>
    <t>Negri, Alessandro; Oliveri, Catherina; Sforzini, Susanna; Mignione, Flavio; Viarengo, Aldo; Banni, Mohamed</t>
  </si>
  <si>
    <t>Transcriptional Response of the Mussel Mytilus galloprovincialis (Lam.) following Exposure to Heat Stress and Copper</t>
  </si>
  <si>
    <t>REAL-TIME PCR; CLIMATE-CHANGE; OXIDATIVE STRESS; MEMBRANE INTEGRITY; EXPRESSION; SHOCK; TEMPERATURE; PROTEIN; CELLS; WATER</t>
  </si>
  <si>
    <t>Global warming is a major factor that may affect biological organization, especially in marine ecosystems and in coastal areas that are particularly subject to anthropogenic pollution. We evaluated the effects of simultaneous changes in temperature and copper concentrations on lysosomal membrane stability (N-acetyl-hexosaminidase activity) and malondialdehyde accumulation (MDA) in the gill of the blue mussel Mytilus galloprovincialis (Lam.). Temperature and copper exerted additive effects on lysosomal membrane stability, exacerbating the toxic effects of metal cations present in non-physiological concentrations. Mussel lysosomal membrane stability is known to be positively related to scope for growth, indicating possible effects of increasing temperature on mussel populations in metal-polluted areas. To clarify the molecular response to environmental stressors, we used a cDNA microarray with 1,673 sequences to measure the relative transcript abundances in the gills of mussels exposed to copper (40 mu g/L) and a temperature gradient (16 degrees C, 20 degrees C, and 24 degrees C). In animals exposed only to heat stress, hierarchical clustering of the microarray data revealed three main clusters, which were largely dominated by down-regulation of translation-related differentially expressed genes, drastic up-regulation of protein folding related genes, and genes involved in chitin metabolism. The response of mussels exposed to copper at 24 degrees C was characterized by an opposite pattern of the genes involved in translation, most of which were up-regulated, as well as the down-regulation of genes encoding heat shock proteins and microtubule-based movement proteins. Our data provide novel information on the transcriptomic modulations in mussels facing temperature increases and high copper concentrations; these data highlight the risk of marine life exposed to toxic chemicals in the presence of temperature increases due to climate change.</t>
  </si>
  <si>
    <t>[Negri, Alessandro; Oliveri, Catherina; Sforzini, Susanna; Mignione, Flavio; Viarengo, Aldo; Banni, Mohamed] Univ Piemonte Orientale Vercelli Novara Alessandr, Dept Environm &amp; Life Sci, Alessandria, Italy; [Banni, Mohamed] ISA, Lab Biochem &amp; Environm Toxicol, Chott Mariem, Sousse, Tunisia</t>
  </si>
  <si>
    <t>Banni, M (corresponding author), Univ Piemonte Orientale Vercelli Novara Alessandr, Dept Environm &amp; Life Sci, Alessandria, Italy.</t>
  </si>
  <si>
    <t>Banni, Mohamed/0000-0001-9764-0343; Sforzini, Susanna/0000-0002-7310-7605; Viarengo, Aldo/0000-0002-1557-6526</t>
  </si>
  <si>
    <t>Theme 6 of the EC seventh framework program through the Marine Ecosystem Evolution in a Changing Environment (MEECE) Collaborative Project [212085]</t>
  </si>
  <si>
    <t>Theme 6 of the EC seventh framework program through the Marine Ecosystem Evolution in a Changing Environment (MEECE) Collaborative Project</t>
  </si>
  <si>
    <t>This work was funded by Theme 6 of the EC seventh framework program through the Marine Ecosystem Evolution in a Changing Environment (MEECE, No 212085) Collaborative Project. The funders had no role in study design, data collection and analysis, decision to publish, or preparation of the manuscript.</t>
  </si>
  <si>
    <t>e66802</t>
  </si>
  <si>
    <t>10.1371/journal.pone.0066802</t>
  </si>
  <si>
    <t>http://dx.doi.org/10.1371/journal.pone.0066802</t>
  </si>
  <si>
    <t>175IB</t>
  </si>
  <si>
    <t>WOS:000321223000027</t>
  </si>
  <si>
    <t>MARTIN, M; STEPHENSON, MD; SMITH, DR; GUTIERREZGALINDO, EA; MUNOZ, GF</t>
  </si>
  <si>
    <t>USE OF SILVER IN MUSSELS AS A TRACER OF DOMESTIC WASTE-WATER DISCHARGE</t>
  </si>
  <si>
    <t>Critical factors that must be considered in the design of field bioaccumulation studies of silver are the selection of appropriately and consistently sized organisms as well as collection of organisms from consistent tidal elevations. The silver concentrations in mussels from reference and outfall-influenced sites vary by a factor of approximately 3-fold over time, reflecting the pattern of ''natural'' within-site variation. Wastewater mass emission rates from the major southern California wastewater discharges vary by a factor of approximately 3, without significant changes of silver input over the past decade. Concentrations of silver in mussels between reference and outfall-influenced sites in southern California characteristically vary by greater than two orders of magnitude (100-fold). The origin of silver in mussels and its use as a tracer of sewage or other silver-enriched wastes in coastal waters is supported by the following: mussels reflect unique xenobiotic discharges from outfalls (example, DDT compounds); there is strong correlation between zinc/silver outfall discharge and mussel concentrations; rapid uptake and bioconcentration of silver occurs in transplanted mussels in outfall dilution zones; outfall sites have significantly greater concentrations of silver in tissues than references or non-influenced sites; concentrations of silver in mussels are inversely proportional to distance from major municipal discharges; low correlations exist between silver and other heavy metals known to be introduced by different transport mechanisms (lead). In addition to these factors, these are different sequestration mechanisms in mussels for particular heavy metals; for example, silver behaves very differently in mussels from copper and zinc, which are regulated and apparently are required elements for mussel''s metabolism. These factors have led to the use of silver to trace the effects or impacts of a silver-enriched discharge for long distances through biomonitoring of silver concentrations in mussels. A greater than two order-to-magnitude (100-fold) decline in silver concentrations of mussels (Mytilus californianus) occurs between Point Loma, San Diego, California, USA, and Punta Abreojos, Baja California, Mexico (range of concentrations 59 ppm-0.08 ppm, dry wt). These southern-most sites in Baja California represent ''background'' or ''uninfluenced'' areas from wastewater discharge, when measured using silver as an indicator.</t>
  </si>
  <si>
    <t>UNIV AUTONOMA BAJA CALIF, INST INVEST OCEANOL, BAJA CALIF, MEXICO</t>
  </si>
  <si>
    <t>CALIF DEPT FISH GAME, MARINE POLLUT STUDIES LAB, 2201 GARDEN RD, MONTEREY, CA 93940 USA.</t>
  </si>
  <si>
    <t>10.1016/0025-326X(88)90541-3</t>
  </si>
  <si>
    <t>http://dx.doi.org/10.1016/0025-326X(88)90541-3</t>
  </si>
  <si>
    <t>R0268</t>
  </si>
  <si>
    <t>WOS:A1988R026800004</t>
  </si>
  <si>
    <t>Peric, L; Perusco, VS; Nerlovic, V</t>
  </si>
  <si>
    <t>Peric, Lorena; Perusco, Victor Stinga; Nerlovic, Vedrana</t>
  </si>
  <si>
    <t>Differential response of biomarkers in the native European flat oyster Ostrea edulis and the non-indigenous Pacific oyster Crassostrea gigas co-exposed to cadmium and copper</t>
  </si>
  <si>
    <t>Crassostrea gigas; Ostrea edulis; Metals; Stress; Co-exposure; Biomarker response</t>
  </si>
  <si>
    <t>MYTILUS-GALLOPROVINCIALIS; RUDITAPES-PHILIPPINARUM; OXIDATIVE STRESS; AQUATIC INVERTEBRATES; METAL BIOACCUMULATION; CELLULAR MECHANISMS; LIPID-PEROXIDATION; QUANTUM DOTS; PERNA-PERNA; METALLOTHIONEIN</t>
  </si>
  <si>
    <t>Marine pollution favours the invasion and spreading of non-indigenous species in their new habitats. Comparative advantages of introduced and potentially invasive bivalves over their native counterparts might be reflected in better ability to cope with chemical stressors. The objective of the present study was to investigate differences in the biochemical stress response to Cd and Cu between the flat oyster Ostrea edulis (Linnaeus, 1758), native to European coasts, and its non-indigenous congener, the Pacific oyster Crassostrea gigas (Thunberg, 1793), recently detected in the eastern Adriatic. Oysters were co-exposed in vivo to sub lethal concentrations of metals. The stress response of two oyster species was evaluated using biomarkers of neurotoxicity (acetylcholinesterase, AChE), detoxification (metallothioneins, MTs) and oxidative stress (glutathione S-transferase, GST; lipid peroxidation, LPO). Biomarkers related to oxidative stress response were the most informative and suggested comparably lower capability of the non-indigenous C. gigas for handling pro-oxidant conditions after Cu exposure. Overall, the species-specific biomarker alterations displayed by oysters exposed simultaneously to the same experimental conditions represent the first evidence of differences between these two bivalves in the ability to overcome the chemically induced stress. The present research highlights the need for monitoring of biochemical features that might determine the behaviour of oysters in newly colonised habitats under environmental challenges foreseen in the upcoming years.</t>
  </si>
  <si>
    <t>[Peric, Lorena] Rudjer Boskovic Inst, Div Marine &amp; Environm Res, Bijenicka Cesta 54, Zagreb 10000, Croatia; [Perusco, Victor Stinga] Univ Dubrovnik, Dept Aquaculture, Cira Carica 4, Dubrovnik 20000, Croatia; [Nerlovic, Vedrana] Univ Split, Univ Dept Marine Studies, Rudera Boskovica 37, Split 21000, Croatia</t>
  </si>
  <si>
    <t>Rudjer Boskovic Institute; University of Dubrovnik; University of Split</t>
  </si>
  <si>
    <t>Peric, L (corresponding author), Rudjer Boskovic Inst, Div Marine &amp; Environm Res, Bijenicka Cesta 54, Zagreb 10000, Croatia.</t>
  </si>
  <si>
    <t>Lorena.Peric@irb.hr</t>
  </si>
  <si>
    <t>Nerlović, Vedrana/P-9013-2017</t>
  </si>
  <si>
    <t>Peric, Lorena/0000-0001-6899-9605</t>
  </si>
  <si>
    <t>Croatian Academy for Science and Arts [0252Z06]</t>
  </si>
  <si>
    <t>Croatian Academy for Science and Arts</t>
  </si>
  <si>
    <t>This study was supported by the Croatian Academy for Science and Arts [grant number 0252Z06]. The authors would like to thank the owner and the employees of hatchery enterprise Rak d.o.o. (Pula, Croatia) for providing the specimens of O. edulis and C. gigas.</t>
  </si>
  <si>
    <t>10.1016/j.jembe.2019.151271</t>
  </si>
  <si>
    <t>http://dx.doi.org/10.1016/j.jembe.2019.151271</t>
  </si>
  <si>
    <t>KE7SK</t>
  </si>
  <si>
    <t>WOS:000508751200005</t>
  </si>
  <si>
    <t>Remaili, TM; Simpson, SL; Amato, ED; Spadaro, DA; Jarolimek, CV; Jolley, DF</t>
  </si>
  <si>
    <t>Remaili, Timothy M.; Simpson, Stuart L.; Amato, Elvio D.; Spadaro, David A.; Jarolimek, Chad V.; Jolley, Dianne F.</t>
  </si>
  <si>
    <t>The impact of sediment bioturbation by secondary organisms on metal bioavailability, bioaccumulation and toxicity to target organisms in benthic bioassays: Implications for sediment quality assessment</t>
  </si>
  <si>
    <t>Bioassays; Benthic invertebrates; Contaminants; Speciation; Sediment quality guidelines</t>
  </si>
  <si>
    <t>AMPHIPOD MELITA-PLUMULOSA; ACID-VOLATILE SULFIDE; CONTAMINATED SEDIMENTS; MARINE-SEDIMENTS; COPPER; WATER; RELEASE; ZINC; ACCUMULATION; OXIDATION</t>
  </si>
  <si>
    <t>Bioturbation alters the properties of sediments and modifies contaminant bioavailability to benthic organisms. These naturally occurring disturbances are seldom considered during the assessment of sediment quality. We investigated how the presence (High bioturbation) and absence (Low bioturbation) of a strongly bioturbating amphipod within three different sediments influenced metal bioavailability, survival and bioaccumulation of metals to the bivalve Tellina deltoidalis. The concentrations of dissolved copper decreased and manganese increased with increased bioturbation. For copper a strong correlation was observed between increased bivalve survival (53-100%) and dissolved concentrations in the overlying water. Increased bioturbation intensity resulted in greater tissue concentrations for chromium and zinc in some test sediments. Overall, the results highlight the strong influence that the natural bioturbation activities from one organism may have on the risk contaminants pose to other organisms within the local environment. The characterisation of field-based exposure conditions concerning the biotic or abiotic resuspension of sediments and the rate of attenuation of released contaminants through dilution or readsorption may enable laboratory-based bioassay designs to be adapted to better match those of the assessed environment. (C) 2015 Elsevier Ltd. All rights reserved.</t>
  </si>
  <si>
    <t>[Remaili, Timothy M.; Amato, Elvio D.; Jolley, Dianne F.] Univ Wollongong, Sch Chem, Wollongong, NSW 2522, Australia; [Remaili, Timothy M.; Simpson, Stuart L.; Amato, Elvio D.; Spadaro, David A.; Jarolimek, Chad V.] CSIRO Land &amp; Water, Ctr Environm Contaminants Res, Lucas Heights, NSW 2234, Australia</t>
  </si>
  <si>
    <t>University of Wollongong; Commonwealth Scientific &amp; Industrial Research Organisation (CSIRO)</t>
  </si>
  <si>
    <t>Simpson, SL (corresponding author), CSIRO Land &amp; Water, Ctr Environm Contaminants Res, Lucas Heights, NSW 2234, Australia.</t>
  </si>
  <si>
    <t>Stuart.simpson@csiro.au; djolley@uow.edu.au</t>
  </si>
  <si>
    <t>Simpson, Stuart/JCE-1589-2023; Jolley, Dianne/D-1597-2009; Simpson, Stuart/A-6044-2011</t>
  </si>
  <si>
    <t>Jolley, Dianne/0000-0003-1028-1603; Simpson, Stuart/0000-0003-1759-0564; Amato, Elvio/0000-0003-4282-8730</t>
  </si>
  <si>
    <t>CSIRO Land and Water</t>
  </si>
  <si>
    <t>CSIRO Land and Water(Commonwealth Scientific &amp; Industrial Research Organisation (CSIRO))</t>
  </si>
  <si>
    <t>Thanks are due to Rob Jung and Josh King for providing assistance with the instrumental methods of analysis and preparation of organism tissue samples. The authors also acknowledge the financial support of the CSIRO Land and Water.</t>
  </si>
  <si>
    <t>10.1016/j.envpol.2015.10.033</t>
  </si>
  <si>
    <t>http://dx.doi.org/10.1016/j.envpol.2015.10.033</t>
  </si>
  <si>
    <t>DB1YW</t>
  </si>
  <si>
    <t>WOS:000368306500034</t>
  </si>
  <si>
    <t>CLAISSE, D; ALZIEU, C</t>
  </si>
  <si>
    <t>COPPER CONTAMINATION AS A RESULT OF ANTIFOULING PAINT REGULATIONS</t>
  </si>
  <si>
    <t>ARCACHON BAY</t>
  </si>
  <si>
    <t>Results from a monitoring programme conducted in the Bay of Arcachon between 1979 and 1991 reveal an increase of copper content in oysters harvested in a zone located in the vicinity of marinas and mooring areas. This clearly perceptible increase recorded since 1982, may be attributable to the growing use of copper paints subsequent to the antifouling paint regulations adopted in 1982.</t>
  </si>
  <si>
    <t>IFREMER, CTR NANTES, BP 1049, F-44037 NANTES 01, FRANCE.</t>
  </si>
  <si>
    <t>10.1016/0025-326X(93)90188-P</t>
  </si>
  <si>
    <t>http://dx.doi.org/10.1016/0025-326X(93)90188-P</t>
  </si>
  <si>
    <t>LP461</t>
  </si>
  <si>
    <t>WOS:A1993LP46100010</t>
  </si>
  <si>
    <t>Du, Y; Lian, F; Zhu, LY</t>
  </si>
  <si>
    <t>Du, Yang; Lian, Fei; Zhu, Lingyan</t>
  </si>
  <si>
    <t>Biosorption of divalent Pb, Cd and Zn on aragonite and calcite mollusk shells</t>
  </si>
  <si>
    <t>Biogenic sorbent; Aragonite; Calcite; Heavy metals; Crystal lattice</t>
  </si>
  <si>
    <t>MODIFIED BOMBYX-MORI; METAL-CATIONS; ADSORPTION; SORPTION; SURFACE; LEAD; HYDROZINCITE; SPECTROSCOPY; DISSOLUTION; ABSORPTION</t>
  </si>
  <si>
    <t>The potential of using mollusk shell powder in aragonite (razor clam shells, RCS) and calcite phase (oyster shells, OS) to remove Pb2+, Cd2+ and Zn2+ from contaminated water was investigated. Both biogenic sorbents displayed very high sorption capacities for the three metals except for Cd on OS. XRD, SEM and XPS results demonstrated that surface precipitation leading to crystal growth took place during sorption. Calcite OS displayed a remarkably higher sorption capacity to Pb than aragonite RCS, while the opposite was observed for Cd. However, both sorbents displayed similar sorption capacities to Zn. These could be due to the different extent of matching in crystal lattice between the metal bearing precipitate and the substrates. The initial pH of the solution, sorbent's dosage and grain size affected the removal efficiency of the heavy meals significantly, while the organic matter in mollusk shells affected the removal efficiency to a lesser extent. (C) 2011 Elsevier Ltd. All rights reserved.</t>
  </si>
  <si>
    <t>[Du, Yang; Lian, Fei; Zhu, Lingyan] Nankai Univ, Key Lab Pollut Proc &amp; Environm Criteria, Tianjin Key Lab Urban Ecol Environm Remediat &amp; Po, Minist Educ,Coll Environm Sci &amp; Engn, Tianjin 300071, Peoples R China</t>
  </si>
  <si>
    <t>Zhu, LY (corresponding author), Nankai Univ, Key Lab Pollut Proc &amp; Environm Criteria, Tianjin Key Lab Urban Ecol Environm Remediat &amp; Po, Minist Educ,Coll Environm Sci &amp; Engn, Tianjin 300071, Peoples R China.</t>
  </si>
  <si>
    <t>zhuly@nankai.edu.cn</t>
  </si>
  <si>
    <t>Lian, Fei/O-3586-2014; Du, Yang/B-2257-2017</t>
  </si>
  <si>
    <t>Du, Yang/0000-0002-6732-5825; Lian, Fei/0000-0003-3958-2688</t>
  </si>
  <si>
    <t>Tianjin Municipal Science and Technology Commission [08ZCGHHZ01000, 08FDZDSF03402]; Ministry of Science and Technology [2008ZX07526-003, 2009DFA91910]; New Century Talent program; China-US Centre for Environmental Remediation and Sustainable Development</t>
  </si>
  <si>
    <t>Tianjin Municipal Science and Technology Commission; Ministry of Science and Technology(Spanish Government); New Century Talent program(Program for New Century Excellent Talents in University (NCET)); China-US Centre for Environmental Remediation and Sustainable Development</t>
  </si>
  <si>
    <t>The authors gratefully acknowledge the financial support of Tianjin Municipal Science and Technology Commission (08ZCGHHZ01000, 08FDZDSF03402), Ministry of Science and Technology (2008ZX07526-003, 2009DFA91910), New Century Talent program, and China-US Centre for Environmental Remediation and Sustainable Development.</t>
  </si>
  <si>
    <t>10.1016/j.envpol.2011.04.017</t>
  </si>
  <si>
    <t>http://dx.doi.org/10.1016/j.envpol.2011.04.017</t>
  </si>
  <si>
    <t>779JP</t>
  </si>
  <si>
    <t>WOS:000291774200003</t>
  </si>
  <si>
    <t>Giltrap, M; Macken, A; Davoren, M; McGovern, E; Foley, B; Larsen, M; White, J; McHugh, B</t>
  </si>
  <si>
    <t>Giltrap, Michelle; Macken, Ailbhe; Davoren, Maria; McGovern, Evin; Foley, Barry; Larsen, Martin; White, Jonathan; McHugh, Brendan</t>
  </si>
  <si>
    <t>Utilising caging techniques to investigate metal assimilation in Nucella lapillus, Mytilus edulis and Crassostrea gigas at three Irish coastal locations</t>
  </si>
  <si>
    <t>metal uptake; caging study; Nucella lapillus; Crassostrea gigas; Mytilus edulis; stable isotopes</t>
  </si>
  <si>
    <t>TRACE-METAL; CARBON ISOTOPES; ACCUMULATION; CADMIUM; ZN; COPPER; CD; BIVALVES; TOXICITY; CR</t>
  </si>
  <si>
    <t>Pollution by metals has been of increasing concern for a number of decades but at present, the mechanism of metal accumulation in sentinel species is not fully understood and further studies are required for environmental risk assessment of metals in aquatic environments. The use of caging techniques has proven to be useful for assessment of water quality in coastal and estuarine environments. This study investigates the application of caging techniques for monitoring uptake of 20 elements [Li, Na, Mg, Al, P, K, Ca, V, Cr, Mn, Fe, Ni, Co, Cu, As, Sb, Pb, Hg, Cd and Zn] in three marine species namely Nucella lapillus, Mytilus edulis and Crassostrea gigas. Stable isotopes were used to determine predatory effects and also used for modelling metal uptake in test species and to track nutrient assimilation. Metal levels were monitored at three different coastal locations, namely Dublin Bay, Dunmore East and Omey Island over 18 weeks. Significant differences in concentrations of Mn, Co and Zn between mussels and oysters were found. Correlations between cadmium levels in N. lapillus and delta C-13 and delta N-15 suggest dietary influences in Cd uptake. Levels of Zn were highest in C gigas compared to the other two species and levels of Zn were most elevated at the Dunmore East site. Copper levels were more elevated in all test species at both Dublin Bay and Dunmore East. Mercury was raised in all species at Dunmore East compared to the other two sites. Biotic accumulation of metals in the test species demonstrates that caging techniques can provide a valid tool for biomonitoring in metal impacted areas. (C) 2011 Elsevier Ltd. All rights reserved.</t>
  </si>
  <si>
    <t>[Giltrap, Michelle; McGovern, Evin; White, Jonathan; McHugh, Brendan] Inst Marine, Oranmore, Galway, Ireland; [Macken, Ailbhe; Davoren, Maria] Dublin Inst Technol, FOCAS Inst, Radiat &amp; Environm Sci Ctr, Dublin 2, Ireland; [Giltrap, Michelle; Foley, Barry] Dublin Inst Technol, Sch Chem &amp; Pharmaceut Sci, Dublin 2, Ireland; [Larsen, Martin] Univ Aarhus, Dept Marine Ecol, Natl Environm Res Inst, DK-4000 Roskilde, Denmark</t>
  </si>
  <si>
    <t>Marine Institute Ireland; Technological University Dublin; Technological University Dublin; Aarhus University</t>
  </si>
  <si>
    <t>Giltrap, M (corresponding author), Univ Dublin Trinity Coll, Dept Zool, Dublin 2, Ireland.</t>
  </si>
  <si>
    <t>giltrapm@tcd.ie</t>
  </si>
  <si>
    <t>Larsen, Martin/AAY-4024-2021</t>
  </si>
  <si>
    <t>McGovern, Evin/0000-0002-7565-0126; Macken, Ailbhe/0000-0002-0822-838X; Larsen, Martin M/0000-0003-4331-8548; Giltrap, Michelle/0000-0002-1004-3640</t>
  </si>
  <si>
    <t>Technology Sector Research: Strand III: Core Research Strengths; Dublin Institute of Technology's Capacity Building Scheme (CaBS) for Strategic Research</t>
  </si>
  <si>
    <t>We thank the Eastern Regional Fisheries Board and Sean Cullen and Archie Donovan of the Geological Survey of Ireland for sampling assistance. We also thank the Dublin Port Authority and the Dunmore East Harbour Authority for their cooperation, Iarfhaidh Connellan for supplying the mussels and oysters, and Paschal Whelan for providing support at Omey Island. Funding for this research was provided by the Technology Sector Research: Strand III: Core Research Strengths and from Dublin Institute of Technology's Capacity Building Scheme (CaBS) for Strategic Research.</t>
  </si>
  <si>
    <t>10.1016/j.ecss.2011.11.040</t>
  </si>
  <si>
    <t>http://dx.doi.org/10.1016/j.ecss.2011.11.040</t>
  </si>
  <si>
    <t>244VY</t>
  </si>
  <si>
    <t>WOS:000326419500008</t>
  </si>
  <si>
    <t>Joiris, CR; Azokwu, MI</t>
  </si>
  <si>
    <t>Heavy metals in the bivalve Anadara (Senilia) senilis from Nigeria</t>
  </si>
  <si>
    <t>MYTILUS-EDULIS; BODY-WEIGHT; MUSSEL; ZINC; LEAD</t>
  </si>
  <si>
    <t>Free Univ Brussels, Lab Ecotoxicol, B-1050 Brussels, Belgium; Shell Petr Dev Co, Environm Affairs Dept, Port Harcourt, Nigeria</t>
  </si>
  <si>
    <t>Universite Libre de Bruxelles; Royal Dutch Shell</t>
  </si>
  <si>
    <t>cjoiris@vub.ac.be</t>
  </si>
  <si>
    <t>10.1016/S0025-326X(99)00069-7</t>
  </si>
  <si>
    <t>http://dx.doi.org/10.1016/S0025-326X(99)00069-7</t>
  </si>
  <si>
    <t>229MK</t>
  </si>
  <si>
    <t>WOS:000082198200021</t>
  </si>
  <si>
    <t>Fuad, MM; Shazili, NAM; Faridah, M</t>
  </si>
  <si>
    <t>Fuad, M. M.; Shazili, N. A. M.; Faridah, M.</t>
  </si>
  <si>
    <t>Trace metals and rare earth elements in Rock Oyster Saccostrea cucullata along the east coast of Peninsular Malaysia</t>
  </si>
  <si>
    <t>AQUATIC ECOSYSTEM HEALTH &amp; MANAGEMENT</t>
  </si>
  <si>
    <t>heavy metals; food safety level</t>
  </si>
  <si>
    <t>HONG-KONG; MARINE ORGANISMS; SEDIMENTS; ZINC; ENVIRONMENT; POLLUTION; CU; TERENGGANU; AUSTRALIA; GLOMERATA</t>
  </si>
  <si>
    <t>Trace metals and rare earth elements (REEs) in the soft tissue of rocky shore Rock Oyster, Saccostrea cucullata, along the east coast of Peninsular Malaysia were determined. Significant inter-spatial variations (p &lt; 0.05) in trace metals and REEs were recorded. Significant positive correlations (p &lt; 0.01) were found among REEs concentrations. A few significant correlations were found for trace metals and REEs. Average distribution of metals indicated that Johor State had the highest concentrations compared with Pahang and Terengganu for all metals, except for Pb and Cu. This could most likely be attributed to the highly urbanized and industrialized activities such as sewage discharge. The metal accumulation patterns in the oyster indicated enrichment of essential metals. Sites with relatively high concentrations of the contaminant metals Hg, Cu, Pb and Zn were related to their close proximity to industrial and urban sites or to boating and aquaculture activities. Relative enrichment of Cu, Pb and Zn in oysters in the whole study even from relatively pristine areas is thought to be derived from natural sources as these metals are significantly correlated to REEs distribution. The distribution of REEs show close similarity between all sampling sites, suggesting that they are of similar origins. In all sites, typical saw-tooth chondrite-normalized patterns were observed, which strongly suggested the REEs bioaccumulated in oyster tissues is derived from geogenic sources. Typical deviations from this pattern were found for Ce and Eu and could be explained by their redox chemistry. Results of light to heavy REEs (LREE/HREE) ratios suggested REEs fractionation in coastline marine environment produced more light REEs and less heavy REEs absorbed in the soft tissue of S. cucullata. The ratio of La/Yb in the oyster of 27.3 was remarkably similar to Terengganu River basin soil of 33.0 and to Terengganu River sediment of 27.6. Comparison of metal concentration with maximum permissible limits of toxic metals in food established in different countries, as well as Malaysian Food Act 1983 and Food Regulations 1985 Fourteen Schedule, indicated values were well within safety levels, except for Cu and Zn. Along with its wide distribution on rocky shore areas along the east coast, the present results of trace metals and REEs recorded in soft tissue of S. cucullata collected from 14 sites along the east coast of Peninsular Malaysia served as baseline data for future reference.</t>
  </si>
  <si>
    <t>[Fuad, M. M.] Univ Malaysia Terengganu, Inst Oceanog, Kuala Terengganu 21030, Malaysia; [Shazili, N. A. M.] Univ Malaysia Terengganu, Fac Maritime Studies &amp; Marine Sci, Kuala Terengganu 21030, Malaysia; [Faridah, M.] Univ Malaysia Terengganu, Fac Sci &amp; Technol, Dept Biol Sci, Kuala Terengganu 21030, Malaysia</t>
  </si>
  <si>
    <t>Universiti Malaysia Terengganu; Universiti Malaysia Terengganu; Universiti Malaysia Terengganu</t>
  </si>
  <si>
    <t>Fuad, MM (corresponding author), Univ Malaysia Terengganu, Inst Oceanog, Kuala Terengganu 21030, Malaysia.</t>
  </si>
  <si>
    <t>mohdfuadmiskon@yahoo.com</t>
  </si>
  <si>
    <t>Miskon, Fuad/ADE-1108-2022; Shazili, Noor/P-1268-2019</t>
  </si>
  <si>
    <t>Miskon, Mohd Fuad/0000-0002-5190-374X</t>
  </si>
  <si>
    <t>1463-4988</t>
  </si>
  <si>
    <t>1539-4077</t>
  </si>
  <si>
    <t>AQUAT ECOSYST HEALTH</t>
  </si>
  <si>
    <t>Aquat. Ecosyst. Health Manag.</t>
  </si>
  <si>
    <t>10.1080/14634988.2013.762327</t>
  </si>
  <si>
    <t>http://dx.doi.org/10.1080/14634988.2013.762327</t>
  </si>
  <si>
    <t>Ecology; Environmental Sciences; Marine &amp; Freshwater Biology; Water Resources</t>
  </si>
  <si>
    <t>Environmental Sciences &amp; Ecology; Marine &amp; Freshwater Biology; Water Resources</t>
  </si>
  <si>
    <t>147MH</t>
  </si>
  <si>
    <t>WOS:000319171200009</t>
  </si>
  <si>
    <t>Davies, NA; Taylor, MG; Simkiss, K</t>
  </si>
  <si>
    <t>The influence of particle surface characteristics on pollutant metal uptake by cells</t>
  </si>
  <si>
    <t>adsorption constant; metals; pollution; endocytosis; particle surfaces</t>
  </si>
  <si>
    <t>ADSORPTION; BIVALVES; SEAWATER</t>
  </si>
  <si>
    <t>The phosphatic mineral, hydroxyapatite, and two ion exchange resins have been used as artificial sediment particles. The surface properties of these materials have been studied using the Langmuir adsorption isotherm to calculate the binding capacity (B-max) and the adsorption constant (K-L) for zinc and cadmium ions. Mussels (Mytilus edulis) were fed on the particles and their digestive glands were subsequently removed and subjected to cell fractionation. The supernatant fraction was used to determine cytosol metal levels as a measure of the materials absorbed from the ingested particles. The level of cytosol zinc and cadmium was correlated with the K-L values of the artificial sediments. It is suggested that phagocytosis of sediment particles plays an important part in transferring pollutants into benthic organisms and that the efficiency of this process is related to the adsorption coefficient of the particle surfaces. (C) 1997 Elsevier Science Ltd.</t>
  </si>
  <si>
    <t>Davies, NA (corresponding author), UNIV READING,SCH ANIM &amp; MICROBIAL SCI,READING RG6 6AJ,BERKS,ENGLAND.</t>
  </si>
  <si>
    <t>10.1016/S0269-7491(97)00026-2</t>
  </si>
  <si>
    <t>http://dx.doi.org/10.1016/S0269-7491(97)00026-2</t>
  </si>
  <si>
    <t>XQ897</t>
  </si>
  <si>
    <t>WOS:A1997XQ89700007</t>
  </si>
  <si>
    <t>Rodríguez-Moro, G; Román-Hidalgo, C; Ramírez-Acosta, S; Aranda-Merino, N; Gómez-Ariza, JL; Abril, N; Bello-López, MA; Fernández-Torres, R; García-Barrera, T</t>
  </si>
  <si>
    <t>Rodriguez-Moro, G.; Roman-Hidalgo, C.; Ramirez-Acosta, S.; Aranda-Merino, N.; Gomez-Ariza, J. L.; Abril, N.; Bello-Lopez, M. A.; Fernandez-Torres, R.; Garcia-Barrera, T.</t>
  </si>
  <si>
    <t>Targeted and untargeted metabolomic analysis of Procambarus clarkii exposed to a chemical cocktail of heavy metals and diclofenac</t>
  </si>
  <si>
    <t>Procambarus clarkii; Chemical cocktails; Metabolomics; Mass spectrometry; Biomarkers</t>
  </si>
  <si>
    <t>CLAM RUDITAPES-PHILIPPINARUM; MASS-SPECTROMETRY; MYTILUS-GALLOPROVINCIALIS; ENVIRONMENTAL-POLLUTION; OXIDATIVE STRESS; CADMIUM; PHARMACEUTICALS; PERFORMANCE; SIGNATURES; DISCOVERY</t>
  </si>
  <si>
    <t>Water pollution poses an important problem, but limited information is available about the joined effects of xenobiotics of different chemical groups to evaluate the real biological response. Procambarus clarkii (P. clarkii) has been demonstrated to be a good bioindicator for assessing the quality of aquatic ecosystems. In this work, we studied the bioaccumulation of cadmium (Cd), arsenic (As) and diclofenac (DCF) in different tissues of P. clarkii during 21 days after the exposure to a chemical cocktail of As, Cd and DCF, and until 28 days considering a depuration period. In addition, a combined untargeted and targeted metabolomic analysis was carried out to delve the metabolic impairments caused as well as the metabolization of DCF. Our results indicate that As and Cd were mainly accumulated in the hepatopancreas followed by gills and finally abdominal muscle. As and Cd show a general trend to increase the concentration throughout the exposure experience, while a decrease in the concentration of these elements is observed after 7 days of the depuration process. This is also the case in the abdominal muscle for Cd, but not for As and DCF, which increased the concentration in this tissue in the depuration phase. The hepatopancreas showed the greatest number of metabolic pathways affected. Thus, we observed a crucial bioaccumulation of xenobiotics and impairments of metabolites in different tissues. This is the first study combining the exposure to metals and pharmaceutically active compounds in P. clarkii by untargeted metabolomics including the biotransformation of DCF.</t>
  </si>
  <si>
    <t>[Rodriguez-Moro, G.; Ramirez-Acosta, S.; Gomez-Ariza, J. L.; Garcia-Barrera, T.] Univ Huelva, Fac Expt Sci, Res Ctr Nat Resources Hlth &amp; Environm RENSMA, Dept Chem, Fuerzas Armadas Ave, Huelva 21007, Spain; [Roman-Hidalgo, C.; Aranda-Merino, N.; Bello-Lopez, M. A.; Fernandez-Torres, R.] Univ Seville, Fac Chem, Dept Analyt Chem, Seville 41012, Spain; [Abril, N.] Univ Cordoba, Dept Biochem &amp; Mol Biol, Campus Rabanales,Edificio Severo Ochoa, E-14071 Cordoba, Spain</t>
  </si>
  <si>
    <t>Universidad de Huelva; University of Sevilla; Universidad de Cordoba</t>
  </si>
  <si>
    <t>García-Barrera, T (corresponding author), Univ Huelva, Fac Expt Sci, Res Ctr Nat Resources Hlth &amp; Environm RENSMA, Dept Chem, Fuerzas Armadas Ave, Huelva 21007, Spain.;Fernández-Torres, R (corresponding author), Univ Seville, Fac Chem, Dept Analyt Chem, Seville 41012, Spain.</t>
  </si>
  <si>
    <t>rutft@us.es; tamara@dqcm.uhu.es</t>
  </si>
  <si>
    <t>Fernandez-Torres, Rut/B-8091-2009; GARCÍA-BARRERA, TAMARA/G-4942-2015; Abril, Nieves/G-2764-2010; Aranda Merino, Noemi/I-2474-2015; Roman-Hidalgo, Cristina/I-1709-2015</t>
  </si>
  <si>
    <t>Abril, Nieves/0000-0001-8248-8561; Aranda Merino, Noemi/0000-0001-5151-4069; Roman-Hidalgo, Cristina/0000-0001-6629-1398</t>
  </si>
  <si>
    <t>Spanish Ministry of Science and innovation (MCIN) [PGC 2018-096608-B-C21, PGC 2018-096608-B-C22, MCIN/AEI/10.13039/501100011033/FEDER]; FEDER (European Community) [UNHU13-1E-1611]; Plan Andaluz de Investigacion, Desarrollo e Innovacion (PAIDI 2020); Fondo Social Europeo [DOC_01115]; Universidad de Huelva/CBUA</t>
  </si>
  <si>
    <t>Spanish Ministry of Science and innovation (MCIN)(Spanish Government); FEDER (European Community)(European Union (EU)); Plan Andaluz de Investigacion, Desarrollo e Innovacion (PAIDI 2020); Fondo Social Europeo(European Social Fund (ESF)); Universidad de Huelva/CBUA</t>
  </si>
  <si>
    <t>This work was supported by the coordinated projects PGC 2018-096608-B-C21 and PGC 2018-096608-B-C22 from the Spanish Ministry of Science and innovation (MCIN) . (Generacion del Conocimiento. MCIN/AEI/10.13039/501100011033/FEDER Una manera de hacer Europa) . Authors are grateful to FEDER (European Community) for financial support, Grant UNHU13-1E-1611. Rodriguez-Moro, G. thanks to Plan Andaluz de Investigacion, Desarrollo e Innovacion (PAIDI 2020) and Fondo Social Europeo for a postdoctoral grant (DOC_01115) . Authors are grateful to Servicio General de Investigacion de Microanalisis, CENTRO DE INVESTIGACION TECNOLOGIA E INNOVACION (CITIUS). Universidad de Sevilla, for the use of some of the chromatographic equipment. Funding for open access charge: Universidad de Huelva/CBUA.</t>
  </si>
  <si>
    <t>10.1016/j.chemosphere.2021.133410</t>
  </si>
  <si>
    <t>http://dx.doi.org/10.1016/j.chemosphere.2021.133410</t>
  </si>
  <si>
    <t>ZD5RV</t>
  </si>
  <si>
    <t>WOS:000758258100003</t>
  </si>
  <si>
    <t>Schettler, G; Pearce, NJG</t>
  </si>
  <si>
    <t>Metal pollution recorded in extinct Dreissena polymorpha communities, Lake Breitling, Havel Lakes system, Germany: A laser ablation inductively coupled plasma mass spectrometry study</t>
  </si>
  <si>
    <t>TRACE-ELEMENTS; CARBONATES</t>
  </si>
  <si>
    <t>Shells of probable former living communities of Dreissena polymorpha were found within sediments of the shallow polytrophic to hypertrophic hard water Lake Breitling (Havel-Lake system, Germany). Corresponding sediments have been deposited between approximately 1940 and 1970 and reflect increasing eutrophication and heavy metal pollution of the Lake during this period (Schettler, 1992). Single shells from various sediment depths were analysed by laser ablation inductively coupled plasma mass spectrometry (LA-ICP-MS) along a line on the outer part of the shell. The response of these freshwater mussels to increasing heavy metal pollution is clearly reflected in the distribution of Pb, Cu, Cd and Zn within their valves. In general, Cd, Cu, Pb and Zn contents are lower, and the distribution more even, in the outer harts of the deepest (oldest) shells compared to shells from higher in the cared sediments. Notably higher contents of Cu, Pb and Zn were recorded from the central (umbonal) part of the more recent shells, but this behaviour is not recorded for Cd. Metabolic changes brought an by worsening environmental conditions are proposed to explain this phenomena. Acidity produced during anaerobic metabolism can be neutralised by dissolution of the carbonate part of the shell. Copper, Zn and Pb, which show an affinity for the organic component of the shell, may thus accumulate by repeated dissolution and reprecipitation of the shell during the lifetime of an individual organism. Cadmium, which is bound mainly in the aragonite of the shells, is released during the dissolution of carbonate and is not concentrated in the umbonal area of the shell.</t>
  </si>
  <si>
    <t>UNIV WALES, INST EARTH STUDIES, ABERYSTWYTH SY23 3DB, DYFED, WALES</t>
  </si>
  <si>
    <t>Aberystwyth University</t>
  </si>
  <si>
    <t>Schettler, G (corresponding author), GEOFORSCHUNGSZENTRUM, D-14473 POTSDAM, GERMANY.</t>
  </si>
  <si>
    <t>Pearce, Nicholas J G/B-5295-2009</t>
  </si>
  <si>
    <t>Pearce, Nicholas J G/0000-0003-3157-9564</t>
  </si>
  <si>
    <t>10.1007/BF00013721</t>
  </si>
  <si>
    <t>http://dx.doi.org/10.1007/BF00013721</t>
  </si>
  <si>
    <t>TX316</t>
  </si>
  <si>
    <t>WOS:A1996TX31600001</t>
  </si>
  <si>
    <t>Lacombe, RM; Martigny, P; Pelletier, D; Barst, B; Guillemette, M; Amyot, M; Elliott, KH; Lavoie, RA</t>
  </si>
  <si>
    <t>Lacombe, R. M.; Martigny, P.; Pelletier, D.; Barst, B.; Guillemette, M.; Amyot, M.; Elliott, K. H.; Lavoie, R. A.</t>
  </si>
  <si>
    <t>Exploring the spatial variation of mercury in the Gulf of St. Lawrence using northern gannets as fish samplers</t>
  </si>
  <si>
    <t>Carbon; Sulfur; CSIA-AA; Mackerel; Rockfish</t>
  </si>
  <si>
    <t>PERSISTENT ORGANIC POLLUTANTS; NITROGEN ISOTOPIC COMPOSITION; MORUS-BASSANUS EGGS; MARINE FOOD-WEB; TROPHIC POSITION; BONAVENTURE ISLAND; AQUATIC PRODUCTS; STABLE-ISOTOPES; SEABIRDS; RISK</t>
  </si>
  <si>
    <t>Mercury (Hg) is a ubiquitous and pervasive environmental contaminant with detrimental effects on wildlife, which originates from both natural and anthropogenic sources. Its distribution within ecosystems is influenced by various biogeochemical processes, making it crucial to elucidate the factors driving this variability. To explore these factors, we employed an innovative method to use northern gannets ( Morus bassanus ) as biological samplers of regurgitated fish in the Gulf of St. Lawrence. We assessed fish total Hg (THg) concentrations in relation to their geographical catch location as well as to pertinent biotic and anthropogenic factors. In small fish species, trophic position, calculated from compound-specific stable nitrogen isotopes in amino acids, emerged as the most influential predictor of THg concentrations. For large fish species, THg concentrations were best explained by delta 13 C, indicating higher concentrations in inshore habitats. No anthropogenic factors, such as pollution, shipping traffic, or coastal development, were significantly related to THg concentrations in fish. Moreover, previously published THg data in mussels sampled nearby were positively linked with THg concentrations in gannet prey, suggesting consistent mercury distribution across trophic levels in the Gulf of St. Lawrence. Our findings point to habitat -dependent variability in THg concentrations across multiple trophic levels. Our study could have many potential uses in the future, including the identification of vulnerability hotspots for fish populations and their predators, or assessing risk factors for seabirds themselves by using biologically relevant prey.</t>
  </si>
  <si>
    <t>[Lacombe, R. M.; Elliott, K. H.] McGill Univ, Dept Nat Resource Sci, 21111 Lakeshore Rd, Montreal, PQ H9X 3V9, Canada; [Martigny, P.; Pelletier, D.; Guillemette, M.] Univ Quebec Rimouski, Dept Biol Chim &amp; Geog, 300 Allee Ursulines, Rimouski, PQ G5L 3A1, Canada; [Pelletier, D.] Cegep Rimouski, Dept Biol, 60 Rue Eveche Ouest, Rimouski, PQ G5L 4H6, Canada; [Barst, B.] Univ Alaska Fairbanks, Water &amp; Environm Res Ctr, 1764 Tanana Loop, Fairbanks, AK 99775 USA; [Amyot, M.] Univ Montreal, Dept Biol Sci, 1375 Ave Therese Lavoie Roux, Montreal, PQ H2V 0B3, Canada; [Lavoie, R. A.] Environm &amp; Climate Change Canada, Sci &amp; Technol Branch, 1550 Ave Estimauville, Quebec City, PQ G1J 0C3, Canada</t>
  </si>
  <si>
    <t>McGill University; University of Quebec; Universite du Quebec a Rimouski; University of Alaska System; University of Alaska Fairbanks; Universite de Montreal; Environment &amp; Climate Change Canada</t>
  </si>
  <si>
    <t>Lacombe, RM; Elliott, KH (corresponding author), McGill Univ, Dept Nat Resource Sci, 21111 Lakeshore Rd, Montreal, PQ H9X 3V9, Canada.;Lavoie, RA (corresponding author), Environm &amp; Climate Change Canada, Sci &amp; Technol Branch, 1550 Ave Estimauville, Quebec City, PQ G1J 0C3, Canada.</t>
  </si>
  <si>
    <t>rose.lacombe@mail.mcgill.ca; pauline.martigny@uqar.ca; david.pelletier@cegep-rimouski.qc.ca; bdbarst@alaska.edu; magella_guillemette@uqar.ca; m.amyot@umontreal.ca; kyle.elliott@mcgill.ca; raphael.lavoie@ec.gc.ca</t>
  </si>
  <si>
    <t>Lavoie, Raphael/B-4039-2011; Elliott, Kyle/S-9185-2019</t>
  </si>
  <si>
    <t>Martigny, Pauline/0009-0008-3277-4891</t>
  </si>
  <si>
    <t>Natural Sciences and Engineering Research Council of Canada (NSERC) Alexander Graham Bell Canada Graduate Scholarship - Master's award; EcotoQ scholarship supplement; Quebec Center for Biodiversity Sciences; Bird Protection Quebec; Natural Sciences and Engineering Research Council of Canada (NSERC) Discovery Grant; Fonds de recherche du Quebec Nature et Technologies (FRQNT) - Programme de recherche pour les chercheurs de college [193215]; Alexander Graham Bell Canada Graduate Scholarship - Doctoral award; Environment and Climate Change Canada</t>
  </si>
  <si>
    <t>Natural Sciences and Engineering Research Council of Canada (NSERC) Alexander Graham Bell Canada Graduate Scholarship - Master's award; EcotoQ scholarship supplement; Quebec Center for Biodiversity Sciences; Bird Protection Quebec; Natural Sciences and Engineering Research Council of Canada (NSERC) Discovery Grant(Natural Sciences and Engineering Research Council of Canada (NSERC)); Fonds de recherche du Quebec Nature et Technologies (FRQNT) - Programme de recherche pour les chercheurs de college; Alexander Graham Bell Canada Graduate Scholarship - Doctoral award; Environment and Climate Change Canada</t>
  </si>
  <si>
    <t>We would like to thank Jonathan Verreault for comments on a previous version, and the Laboratoire d'ornithologie marine de Rimouski (LOMR) at Universite du Quebec a Rimouski including Audrey Bergeron, Lea Desjardins, and Laura Patier for fieldwork and data collection during 2021. Thanks to the tissue preparation laboratory at the National Wildlife Research Centre. Thank you to the Jan Veizer Stable Isotope Laboratory and the Alaska Stable Isotope Facility for stable isotope analyses, and Dominic Belanger (UdeM) for aid in THg analysis. Thanks to Parc national de l'Ile-Bonaventure-et-du-Rocher-Perce and its staff for transportation and supportive collaboration. All animal handling permits were approved by the University of Quebec and Rimouski following the guidelines of the Canadian Council on Animal Care. Funding: This work was supported by the Natural Sciences and Engineering Research Council of Canada (NSERC) Alexander Graham Bell Canada Graduate Scholarship - Master's award, EcotoQ scholarship supplement, Quebec Center for Biodiversity Sciences, and Bird Protection Quebec awards for the analysis of data (to RML). Natural Sciences and Engineering Research Council of Canada (NSERC) Discovery Grant (to MG) and Fonds de recherche du Quebec Nature et Technologies (FRQNT) - Programme de recherche pour les chercheurs de college (to DP) , grant number: 193215. Alexander Graham Bell Canada Graduate Scholarship - Doctoral award (to DP). Funding was provided by Environment and Climate Change Canada (to RAL) .</t>
  </si>
  <si>
    <t>10.1016/j.scitotenv.2024.172152</t>
  </si>
  <si>
    <t>http://dx.doi.org/10.1016/j.scitotenv.2024.172152</t>
  </si>
  <si>
    <t>RD2X8</t>
  </si>
  <si>
    <t>WOS:001225678800001</t>
  </si>
  <si>
    <t>Feldstein, T; Kashman, Y; Abelson, A; Fishelson, L; Mokady, O; Bresler, V; Erel, Y</t>
  </si>
  <si>
    <t>Marine molluscs in environmental monitoring III. Trace metals and organic pollutants in animal tissue and sediments</t>
  </si>
  <si>
    <t>HELGOLAND MARINE RESEARCH</t>
  </si>
  <si>
    <t>chemical monitoring; marine pollution; heavy metals; trace elements; bio-concentration</t>
  </si>
  <si>
    <t>HEAVY-METALS; MEDITERRANEAN SEA; DONAX-TRUNCULUS; POLLUTION; BIOACCUMULATION; CONTAMINATION; DISCHARGE; TOXICITY; OYSTERS; MUSSELS</t>
  </si>
  <si>
    <t>Concentrations of trace elements and organic pollutants were determined in marine sediments and molluscs from the Mediterranean and Red Sea coasts of Israel. Two bivalve species (Donax trunculus, Pteria aegyptia), two gastropod species (Patella caerulea, Cellana rota) and sediments were sampled at polluted and relatively clean, reference, sites. Along the Mediterranean coast of Israel, sediments and molluscs from Haifa Bay stations were enriched with both organic and trace element contaminants. In the Red Sea, differences between the polluted and reference sites were less pronounced. Bio-concentration factors indicate a significant concentration of Zn, As, Cd, Sn and Pb in animal tissue relative to the concentrations of these elements in the sediments. In contrast, Ce, La and U were not concentrated in molluscs. The trace element results indicate a saturation of the detoxification mechanisms in molluscs from polluted sites. The concentrations of organic pollutants at the same sites are at the lower range of values recorded in other studies. However, synergistic effects between these compounds and between them and metals can lead to acute toxicity.</t>
  </si>
  <si>
    <t>Tel Aviv Univ, George S Wise Fac Life Sci, Inst Nat Conservat Res, IL-69978 Tel Aviv, Israel; Tel Aviv Univ, Sch Chem, IL-69978 Tel Aviv, Israel; Tel Aviv Univ, Fac Life Sci, Dept Zool, Tel Aviv, Israel; Hebrew Univ Jerusalem, Inst Earth Sci, IL-91904 Jerusalem, Israel</t>
  </si>
  <si>
    <t>Tel Aviv University; Tel Aviv University; Tel Aviv University; Hebrew University of Jerusalem</t>
  </si>
  <si>
    <t>Tel Aviv Univ, George S Wise Fac Life Sci, Inst Nat Conservat Res, IL-69978 Tel Aviv, Israel.</t>
  </si>
  <si>
    <t>mokady@post.tau.ac.il</t>
  </si>
  <si>
    <t>1438-387X</t>
  </si>
  <si>
    <t>1438-3888</t>
  </si>
  <si>
    <t>HELGOLAND MAR RES</t>
  </si>
  <si>
    <t>Helgoland Mar. Res.</t>
  </si>
  <si>
    <t>10.1007/s10152-003-0156-0</t>
  </si>
  <si>
    <t>http://dx.doi.org/10.1007/s10152-003-0156-0</t>
  </si>
  <si>
    <t>743ZZ</t>
  </si>
  <si>
    <t>WOS:000186604600010</t>
  </si>
  <si>
    <t>Tewari, A; Joshi, HV; Raghunathan, C; Kumar, VGS; Kotiwar, OS</t>
  </si>
  <si>
    <t>New record of Mytilus viridis Linn., its density, growth and accumulation of heavy metals on Saurashtra coast, Arabian Sea</t>
  </si>
  <si>
    <t>CURRENT SCIENCE</t>
  </si>
  <si>
    <t>The occurrence of green mussel Mytilus viridis was recorded for the first time in the Gujarat coast. The assessment of mussel density, growth and biomagnification of heavy metals from its natural beds were performed from September 1998 to June 1999, The mussel density was maximum both in number and biomass at low tide level and minimum at high tide level. The specific growth rate of mussel was 13.25 (length), 31.16 (total weight) and 3.38% per month (meat weight) during the study period, Data regarding accumulation of heavy metals reflected that the metal load was increased with increasing mussel size and the peak values were observed at an average size of 6.21 mm. The mean concentration of Cu, Fe, Ph, Cd, Zn, Co, Mn and Hg were 3.91, 9.40, 20.10, 1.53, 37.34, 67.35, 1.01 mu g g(-1) dry wt and non-detectable, respectively. Since the mussel showed considerable biomagnification of heavy metals, it can be used for marine pollution monitoring.</t>
  </si>
  <si>
    <t>Cent Salt &amp; Marine Chem Res Inst, Marine Algae &amp; Pollut Discipline, Bhavnagar 364002, Gujarat, India</t>
  </si>
  <si>
    <t>Council of Scientific &amp; Industrial Research (CSIR) - India; CSIR - Central Salt &amp; Marine Chemical Research Institute (CSMCRI)</t>
  </si>
  <si>
    <t>Joshi, HV (corresponding author), Cent Salt &amp; Marine Chem Res Inst, Marine Algae &amp; Pollut Discipline, Gijubhai Badheka Marg, Bhavnagar 364002, Gujarat, India.</t>
  </si>
  <si>
    <t>Govind Kumar, Vivek/IZP-6266-2023</t>
  </si>
  <si>
    <t>CURRENT SCIENCE ASSN</t>
  </si>
  <si>
    <t>BANGALORE</t>
  </si>
  <si>
    <t>C V RAMAN AVENUE, PO BOX 8005, BANGALORE 560 080, INDIA</t>
  </si>
  <si>
    <t>0011-3891</t>
  </si>
  <si>
    <t>CURR SCI INDIA</t>
  </si>
  <si>
    <t>Curr. Sci.</t>
  </si>
  <si>
    <t>JAN 10</t>
  </si>
  <si>
    <t>274YM</t>
  </si>
  <si>
    <t>WOS:000084792700028</t>
  </si>
  <si>
    <t>Faria, M; Huertas, D; Soto, DX; Grimalt, JO; Catalan, J; Riva, MC; Barata, C</t>
  </si>
  <si>
    <t>Faria, Melissa; Huertas, David; Soto, David X.; Grimalt, Joan O.; Catalan, Jordi; Carmen Riva, Mari; Barata, Carlos</t>
  </si>
  <si>
    <t>Contaminant accumulation and multi-biomarker responses in field collected zebra mussels (Dreissena polymorpha) and crayfish (Procambarus clarkii), to evaluate toxicological effects of industrial hazardous dumps in the Ebro river (NE Spain)</t>
  </si>
  <si>
    <t>Biomarker; Metals; Organochlorine; Zebra mussel; Crayfish; Oxidative stress</t>
  </si>
  <si>
    <t>ASSESS WATER-QUALITY; SUB-ALPINE LAKES; MYTILUS-GALLOPROVINCIALIS; OXIDATIVE STRESS; POLYCHLORINATED-BIPHENYLS; BIOCHEMICAL MARKERS; METAL CONTAMINATION; METALLOTHIONEIN; ORGANOCHLORINE; INHIBITION</t>
  </si>
  <si>
    <t>Large amounts of industrial waste containing high concentrations of mercury, cadmium and organochlorine residues were dumped in a reservoir adjacent to a chlorine-alkali plant in the village of Flix(Catalonia, Spain), situated at the shore of the lower Ebro river. Effects of these contaminants to aquatic river invertebrates were assessed by integrating analyses of metals and organochlorine residues in field collected zebra mussels and crayfish with a wide range of biomarkers. Biological responses included levels of metallothioneins, activities of ethoxyresorufin-O-deethylase, oxidative stress biomarkers (glutathione content, enzymatic activities of superoxide dismutase, catalase, glutathione s-transferase, glutathione peroxidise and glutathione reductase), levels of lipid peroxidation and of DNA strand breaks. The results obtained evidenced similar response patterns in mussels and crayfish with increasing toxic stress levels from upper parts of the river towards the meander located immediately downstream from the most polluted site, close to the waste dumps. The aforementioned stress levels could be related with concentrations of mercury, cadmium, hexachlorobenzene, polychlorobiphenyls and dichlorodiphenyltrichloroethanes from 4- to 195-fold greater than local background levels. The response of biomarkers to these pollutant concentrations differences was reflected in high activities and levels of antioxidant enzymes, metallothioneins, lipid peroxidation and DNA strand breaks and decreased levels of glutathione. (C) 2009 Elsevier Ltd. All rights reserved.</t>
  </si>
  <si>
    <t>[Faria, Melissa; Huertas, David; Grimalt, Joan O.; Barata, Carlos] CSIC, ID EA, Dept Environm Chem, ES-08034 Barcelona, Catalonia, Spain; [Soto, David X.; Catalan, Jordi] CSIC, CEAB, Ctr Adv Studies Blanes, Limnol Unit, Blanes 17300, Catalonia, Spain; [Carmen Riva, Mari] Tech Univ Catalonia UPC, CRIT, Lab Environm Toxicol, Terrassa 08227, Spain</t>
  </si>
  <si>
    <t>Consejo Superior de Investigaciones Cientificas (CSIC); Consejo Superior de Investigaciones Cientificas (CSIC); CSIC - Centre d'Estudis Avancats de Blanes (CEAB); Universitat Politecnica de Catalunya</t>
  </si>
  <si>
    <t>Barata, C (corresponding author), CSIC, ID EA, Dept Environm Chem, Jordi Girona 18, ES-08034 Barcelona, Catalonia, Spain.</t>
  </si>
  <si>
    <t>Faria, Melissa/ABI-2225-2020; Soto, David/B-2017-2018; Catalan, Jordi/A-5420-2008; Grimalt, Joan/E-2073-2011; Barata, Carlos/K-8232-2014</t>
  </si>
  <si>
    <t>Soto, David X./0000-0003-4210-293X; Catalan, Jordi/0000-0002-2934-4013; Grimalt, Joan/0000-0002-7391-5768; Faria, Melissa/0000-0003-1451-4427; Barata, Carlos/0000-0002-3360-0729</t>
  </si>
  <si>
    <t>Spanish Ministry for the Environment; Catalan Water Agency (ACA) of the Generalitat de Catalunya; [CSD2007-00067]; [041/SGTB/2007/1.1]</t>
  </si>
  <si>
    <t>Spanish Ministry for the Environment(Spanish Government); Catalan Water Agency (ACA) of the Generalitat de Catalunya; ;</t>
  </si>
  <si>
    <t>This work has been supported by the Spanish Ministry for the Environment, the Catalan Water Agency (ACA) of the Generalitat de Catalunya and the projects CSD2007-00067 and 041/SGTB/2007/1.1. The authors thanks Drs Imanol Cia and Antonio Palau (Universitat de Lleida, Catalunya, Spain) for helping us in mussel sampling.</t>
  </si>
  <si>
    <t>10.1016/j.chemosphere.2009.11.003</t>
  </si>
  <si>
    <t>http://dx.doi.org/10.1016/j.chemosphere.2009.11.003</t>
  </si>
  <si>
    <t>551QA</t>
  </si>
  <si>
    <t>WOS:000274222900004</t>
  </si>
  <si>
    <t>Shenai-Tirodkar, P; Gauns, M; Kumar, G; Ansari, Z</t>
  </si>
  <si>
    <t>Shenai-Tirodkar, Prachi; Gauns, Mangesh; Kumar, Girish; Ansari, Zakir</t>
  </si>
  <si>
    <t>Seasonal variations and relationships between environmental parameters and heavy metal concentrations in tissues of Crassostrea species and in its ambience from the tropical estuaries</t>
  </si>
  <si>
    <t>Anthropogenic activities; Metal pollution; Oysters; Bioaccumulation; Estuaries</t>
  </si>
  <si>
    <t>OYSTER SACCOSTREA-CUCULLATA; CENTRAL WEST-COAST; TRACE-METALS; AQUATIC INVERTEBRATES; MARINE-INVERTEBRATES; SUSPENDED SEDIMENT; SURFACE SEDIMENTS; SPATIAL VARIATION; MANDOVI ESTUARY; ZUARI ESTUARIES</t>
  </si>
  <si>
    <t>This study aimed to evaluate the relationship between physicochemical parameters and heavy metal (Cu, Ni, Pb, and Cd) concentrations from sediment, seawater, and its accumulation in tissues of oyster species (Crassostrea madrasensis and C. gryphoides) from the three sites (Chicalim Bay (CB), Nerul Creek (NC), Chapora Bay (ChB)) along the Goa coast (India). Results showed enrichment of Cu and Ni in sediment exceeding the effect range low (ERL) level. The higher concentrations of Cu and Ni in sediments and in suspended particulate matter (SPM) from all the study sites are indicative of severe contamination of estuarine and associated habitats. Moreover, particulate Ni (at all the sites), Cu (at NC and ChB), Pb (at NC), and Cd (at CB and NC) concentrations were recorded more than its total loadings in surface sediment. Concentration of Cu and Cd in oyster tissue was several folds higher than its concentration in ambience. Further, this study showed that the levels of metal in oysters and their ambient environment were higher during the monsoon season. Hence, the consumption of oysters needs to be considered carefully with respect to the health hazards posed by the elevated levels of metal contaminants in certain seasons. The present study concludes that metals associated with the particulate matter in water column are the main source of metal accumulation in oyster. It is also suggested that concentration of metal pollutants in coastal and estuarine water bodies should be monitored regularly to ensure the acceptable limits of metal concentrations.</t>
  </si>
  <si>
    <t>[Shenai-Tirodkar, Prachi; Gauns, Mangesh; Ansari, Zakir] CSIR Natl Inst Oceanog, Div Biol Oceanog, Panaji 403004, Goa, India; [Kumar, Girish] DAV Univ, Dept Zool, Jalandhar 144012, Punjab, India</t>
  </si>
  <si>
    <t>Council of Scientific &amp; Industrial Research (CSIR) - India; CSIR - National Institute of Oceanography (NIO); DAV University, Jalandhar</t>
  </si>
  <si>
    <t>Shenai-Tirodkar, P (corresponding author), CSIR Natl Inst Oceanog, Div Biol Oceanog, Panaji 403004, Goa, India.</t>
  </si>
  <si>
    <t>prachishenai@gmail.com</t>
  </si>
  <si>
    <t>Gauns, Mangesh/AAT-9684-2021; Kumar, Gajendra/C-5065-2018</t>
  </si>
  <si>
    <t>Kumar, Girish/0000-0002-5229-9417; Gauns, Mangesh/0000-0002-4737-9252</t>
  </si>
  <si>
    <t>CSIR, New Delhi</t>
  </si>
  <si>
    <t>CSIR, New Delhi(Council of Scientific &amp; Industrial Research (CSIR) - India)</t>
  </si>
  <si>
    <t>The authors are thankful to S.W.A. Naqvi, Former Director, CSIR-NIO for his encouragement and providing all facilities to carry out this work. Authors are also grateful to the Dr. B. N. Nath, Dr. J. N. Pattan, Mr. D. Ray, and Dr. A. Ram (RC-NIO, Mumbai) for providing the chemicals and lab facilities for sample analysis. The first author would like to acknowledge CSIR, New Delhi, for providing the fellowship to carry out the Ph.D. research. This is NIO contribution no. 6219.</t>
  </si>
  <si>
    <t>10.1007/s11356-018-2258-x</t>
  </si>
  <si>
    <t>http://dx.doi.org/10.1007/s11356-018-2258-x</t>
  </si>
  <si>
    <t>GN2MA</t>
  </si>
  <si>
    <t>WOS:000438830900062</t>
  </si>
  <si>
    <t>Romar-Gasalla, A; Santás-Miguel, V; Nóvoa-Muñoz, JC; Arias-Estévez, M; Alvarez-Rodríguez, E; Núñez-Delgado, A; Fernández-Sanjurjo, MJ</t>
  </si>
  <si>
    <t>Romar-Gasalla, Aurora; Santas-Miguel, Vanesa; Carlos Novoa-Munoz, Juan; Arias-Estevez, Manuel; Alvarez-Rodriguez, Esperanza; Nunez-Delgado, Avelino; Fernandez-Sanjurjo, Maria J.</t>
  </si>
  <si>
    <t>Chromium and fluoride sorption/desorption on un-amended and waste-amended forest and vineyard soils and pyritic material</t>
  </si>
  <si>
    <t>By-products; Cr(VI) pollution; F- pollution; Retention; Release</t>
  </si>
  <si>
    <t>VARIABLE CHARGE SOILS; GALICIA NW SPAIN; MUSSEL-SHELL; AQUEOUS-SOLUTION; PINE BARK; CR(VI) SORPTION/DESORPTION; HEXAVALENT CHROMIUM; ALUMINUM SMELTER; DRINKING-WATER; BY-PRODUCTS</t>
  </si>
  <si>
    <t>Using batch-type experiments, chromium (Cr(VI)) and fluoride (F-) sorption/desorption were studied in forest and vineyard soil samples, pyritic material, pine bark, oak ash, hemp waste and mussel shell, as well as on samples of forest and vineyard soil, and of pyritic material, individually treated with 48 t ha(-1) of pine bark, oak ash, and mussel shell. Pine bark showed the highest Cr(VI) sorption (always &gt; 97% of the concentration added) and low desorption (&lt; 1.5%). Pyritic material sorbed between 55 and 98%, and desorbed between 0.6 and 9%. Forest and vineyard soils, oak ash, mussel shell and hemp waste showed Cr(VI) sorption always &lt; 32%, and desorption between 22 and 100%. Pine bark also showed the highest F- retention (sorption between 62 and 73%, desorption between 10 and 15%), followed by oak ash (sorption 60-69%, desorption 11-14%), forest soil (sorption 60-73%, desorption 19-36%), and pyritic material (sorption 60-67%, desorption 13-15%), whereas in vineyard sorption was 49-64%, and desorption 24-27%, and in hemp waste sorption was 26-36%, and desorption 41-59%. Sorption data showed better fitting to the Freundlich than to the Langmuir model, especially in the case of Cr(VI), indicating that multilayer sorption dominated. The addition of by-products to the forest and vineyard soils, and to the pyritic material, caused an overall increase in F- sorption, and decreased desorption. Furthermore, the pine bark amendment resulted in increases in Cr(VI) retention by both soils and the pyritic material. These results could be useful to favor the recycling of the by-products studied, aiding in the management of soils and degraded areas affected by Cr(VI) and F- pollution, and in the removal of both anions from polluted waters.</t>
  </si>
  <si>
    <t>[Romar-Gasalla, Aurora; Alvarez-Rodriguez, Esperanza; Nunez-Delgado, Avelino; Fernandez-Sanjurjo, Maria J.] Univ Santiago Compostela, Engn Polytech Sch, Dept Soil Sci &amp; Agr Chem, Lugo 27002, Spain; [Santas-Miguel, Vanesa; Carlos Novoa-Munoz, Juan; Arias-Estevez, Manuel] Univ Vigo, Fac Sci, Dept Plant Biol &amp; Soil Sci, Campus Ourense, Orense 32004, Spain</t>
  </si>
  <si>
    <t>Núñez-Delgado, A (corresponding author), Univ Santiago Compostela, Engn Polytech Sch, Dept Soil Sci &amp; Agr Chem, Lugo 27002, Spain.</t>
  </si>
  <si>
    <t>Novoa-Munoz, Juan Carlos/0000-0003-3062-4191; Nunez-Delgado, Avelino/0000-0001-5373-1606; Santas-Miguel, Vanesa/0000-0002-8922-3053; Alvarez, Esperanza/0000-0003-3470-2679; Fernandez-Sanjurjo, Maria J./0000-0001-6728-7147; Arias-Estevez, Manuel/0000-0002-9162-1587</t>
  </si>
  <si>
    <t>Spanish Ministry of Economy and Competitiveness [CGL2015-67333-C2-1-R, CGL2015-67333-C2-2-R]</t>
  </si>
  <si>
    <t>Spanish Ministry of Economy and Competitiveness(Spanish Government)</t>
  </si>
  <si>
    <t>This work was supported by the Spanish Ministry of Economy and Competitiveness [grant numbers CGL2015-67333-C2-1-R and CGL2015-67333-C2-2-R]. The funding source had not involvement in the study design, collection, analysis and interpretation of data, nor in the writing of the report, and in the decision to submit the article for publication.</t>
  </si>
  <si>
    <t>10.1016/j.jenvman.2018.05.050</t>
  </si>
  <si>
    <t>http://dx.doi.org/10.1016/j.jenvman.2018.05.050</t>
  </si>
  <si>
    <t>GM8LE</t>
  </si>
  <si>
    <t>WOS:000438479300002</t>
  </si>
  <si>
    <t>Beaumont, AR; Toro, JE</t>
  </si>
  <si>
    <t>Allozyme genetics of Mytilus edulis subjected to copper and nutritive stress</t>
  </si>
  <si>
    <t>GENOTYPE-DEPENDENT MORTALITY; POPULATION-GENETICS; GLUCOSEPHOSPHATE ISOMERASE; VELIGER LARVAE; MUSSEL; POLLUTION; HETEROZYGOSITY; SURVIVORSHIP; TEMPERATURE; ADAPTATION</t>
  </si>
  <si>
    <t>Mytilus edulis (Mollusca: Bivalvia) collected as spat from the wild in 1990 and held in the laboratory for 18 months were divided into four groups: fed (control); starved; fed with 100 ppb added copper; and starved with 100 ppb added copper. Following &gt;60% mortalities in the starved and copper stressed groups (but negligible mortalities in the control) surviving mussels from all four groups were genotyped at seven allozyme loci (Gpi, Lap, Pgm, Idh, Odh, Gsr and Est). Allele frequencies did not vary significantly between any of the four groups at any loci, except Gsr where fed and starved groups differed. Mortalities were not genotype dependent at the Pgm locus but, in contrast, genotype frequencies at most other loci varied significantly between groups. At the Gpi, Lap, Gsr and Odh loci there were significant changes in proportions of heterozygotes following copper induced mortalities such that, in general, heterozygotes survived longer and homozygotes succumbed sooner. No similar pattern was evident in relation to mortalities caused by starvation; at only one locus (Idh) was there evidence of a significant effect but this was not apparently independent of the effect of copper.</t>
  </si>
  <si>
    <t>Beaumont, AR (corresponding author), UNIV WALES,SCH OCEAN SCI,MENAI BRIDGE LL59 5EY,GWYNEDD,WALES.</t>
  </si>
  <si>
    <t>Toro, Jorge/B-8829-2008</t>
  </si>
  <si>
    <t>40 WEST 20TH STREET, NEW YORK, NY 10011-4211</t>
  </si>
  <si>
    <t>10.1017/S0025315400040959</t>
  </si>
  <si>
    <t>http://dx.doi.org/10.1017/S0025315400040959</t>
  </si>
  <si>
    <t>WOS:A1996VW18900014</t>
  </si>
  <si>
    <t>Clark, NA; Teschke, K; Rideout, K; Copes, R</t>
  </si>
  <si>
    <t>Clark, Nina A.; Teschke, Kay; Rideout, Karen; Copes, Ray</t>
  </si>
  <si>
    <t>Trace element levels in adults from the west coast of Canada and associations with age, gender, diet, activities,. and levels of other trace elements</t>
  </si>
  <si>
    <t>metals; trace elements; biomonitoring; dietary exposure; occupation; hobby</t>
  </si>
  <si>
    <t>1998 GERES-III; REFERENCE VALUES; SERUM SELENIUM; ENVIRONMENTAL-POLLUTANTS; GERMAN POPULATION; NATIONAL-HEALTH; IRON-DEFICIENCY; NICKEL CONTENT; UNITED-STATES; URINE</t>
  </si>
  <si>
    <t>The purpose of this study was to assess trace element levels in whole blood, serum and urine of 61 non-smoking adults living on the west coast of Canada and to determine their association with the following variables: age, gender, diet, participation in certain hobby and/or occupational activities, and levels of other trace elements. Participants or their spouses were employed as oyster growers and were originally recruited to study the absorption of cadmium from oyster consumption. Trace elements were measured using inductively-coupled plasma mass spectrometry. A telephone interview was used to assess participant's intake of selected foods and the amount of time they have spent on certain activities over the lifetime. Comparison of results to previous studies revealed that blood lead, blood mercury, serum nickel, serum selenium and urine molybdenum levels were generally higher in this study than have previously been measured, possibly due to higher consumption of seafood in this sample. Men had statistically higher levels of serum iron, blood lead, and serum selenium, while women had statistically higher levels of serum copper and blood manganese. Blood lead levels increased with age. Diet had a statistically significant association with several elements. Consumption of spinach, seaweed, organ meats, and shellfish tended to be positively correlated with trace element concentrations and consumption of various forms of potatoes tended to be negatively correlated. Several statistically significant correlations were also observed between trace elements. (C) 2007 Elsevier Ltd. All rights reserved.</t>
  </si>
  <si>
    <t>Univ British Columbia, Dept Hlth Care &amp; Epidemiol, Vancouver, BC V5Z 4R4, Canada; BC Ctr Dis Control, Vancouver, BC, Canada; Univ British Columbia, Sch Occupat &amp; Environm Hyg, Vancouver, BC V5Z 1M9, Canada; Univ British Columbia, Fac Land &amp; Food Syst, Vancouver, BC V5Z 1M9, Canada; Univ British Columbia, Dept Med, Vancouver, BC V5Z 1M9, Canada</t>
  </si>
  <si>
    <t>University of British Columbia; University of British Columbia; University of British Columbia; University of British Columbia</t>
  </si>
  <si>
    <t>Copes, R (corresponding author), Univ British Columbia, Dept Hlth Care &amp; Epidemiol, 655 12th Ave W, Vancouver, BC V5Z 4R4, Canada.</t>
  </si>
  <si>
    <t>10.1016/j.chemosphere.2007.06.038</t>
  </si>
  <si>
    <t>http://dx.doi.org/10.1016/j.chemosphere.2007.06.038</t>
  </si>
  <si>
    <t>237XD</t>
  </si>
  <si>
    <t>WOS:000251408800018</t>
  </si>
  <si>
    <t>HUNGSPREUGS, M; SILPIPAT, S; TONAPONG, C; LEE, RF; WINDOM, HL; TENORE, KR</t>
  </si>
  <si>
    <t>HEAVY-METALS AND POLYCYCLIC-HYDROCARBON COMPOUNDS IN BENTHIC ORGANISMS OF THE UPPER GULF OF THAILAND</t>
  </si>
  <si>
    <t>Concentrations of heavy metals and polycyclic aromatic hydrocarbons (PAH) were measured in bivalves collected in the Upper Gulf of Thailand. PAH included acenaphthene, acenaphthylene, benzo[a]pyrene, fluoranthene, methylphenanthrene, phenanthrene and triphenylene. Benzo[a]pyrene was detected in all species at concentrations varying from 1.0-8.2 ng/g. Concentrations of Cd, Co, Cu, Pb and Ni were significantly lower in bivalves from the Gulf than in green mussels collected from the mouth of the Chao Phraya River. No correlation was found between metal concentrations in animals and sediment, with the exception of Cu. Cu concentrations in polychaetes and clams appeared to correlate with the Cu:Fe ratio of sediments. High rates of degradation were observed when radiolabeled chlorobenzene, phenanthrene and chrysene was added to water and sediment of the Chao Phraya Rive. Rates ewre lower in the waters and sediment of the Gulf of Thailand. The calculated half-lives of chlorobenzene in the Gulf of Thailand and the Chao Phraya River were .apprx. 130 and 68 days, respectively.</t>
  </si>
  <si>
    <t>DEPT FISHERIES, OCEANOG SECT, BANGKOK 10270, THAILAND; SKIDAWAY INST OCEANOG, SAVANNAH, GA 31416 USA</t>
  </si>
  <si>
    <t>University System of Georgia; University of Georgia; Skidaway Institute of Oceanography</t>
  </si>
  <si>
    <t>CHULALONGKORN UNIV, DEPT MARINE SCI, BANGKOK 10500, THAILAND.</t>
  </si>
  <si>
    <t>10.1016/0025-326X(84)90289-3</t>
  </si>
  <si>
    <t>http://dx.doi.org/10.1016/0025-326X(84)90289-3</t>
  </si>
  <si>
    <t>SY321</t>
  </si>
  <si>
    <t>WOS:A1984SY32100003</t>
  </si>
  <si>
    <t>Wang, L; Pan, LQ; Liu, N; Liu, D; Xu, CQ; Miao, JJ</t>
  </si>
  <si>
    <t>Wang, Lin; Pan, Luqing; Liu, Na; Liu, Dong; Xu, Chaoqun; Miao, Jingjing</t>
  </si>
  <si>
    <t>Biomarkers and bioaccumulation of clam Ruditapes philippinarum in response to combined cadmium and benzo[α]pyrene exposure</t>
  </si>
  <si>
    <t>BaP; Bioaccumulation; Cd; Enzymes activities; mRNA expression; Ruditapes philippinarum</t>
  </si>
  <si>
    <t>POLYCYCLIC AROMATIC-HYDROCARBONS; MUSSELS MYTILUS-GALLOPROVINCIALIS; FRESH-WATER MUSSEL; DIGESTIVE GLAND; RAINBOW-TROUT; DNA INTEGRITY; INDUCED METALLOTHIONEIN; MEDITERRANEAN MUSSEL; OXIDATIVE STRESS; ENZYME-ACTIVITY</t>
  </si>
  <si>
    <t>Biochemical and molecular biomarkers (the contents of metallothionein (MT), glutathione (GSH), the activities of aryl hydrocarbon hydroxylase (AHH), glutathione S-transferase (GST) and superoxide dismutase (SOD) and the mRNA expressions of GST-pi and Cu, Zn-SOD) were evaluated in clams Ruditapes philippinarum exposed to cadmium (Cd, 15 mu g/L) and benzo[alpha]pyrene (BaP, 0.01 mu g/L) individually and in combination (15 mu g/L Cd + 0.01 mu g/L BaP) for 21 days. The accumulation of Cd, BaP and the biomarkers measured in the gills and digestive glands of the clam showed significant increase in combination treatment and it was significantly higher than the Cd or BaP treatment (P &gt; 0.05). The contents of MT increased in Cd and Cd + BaP treatment, while AHH activities were increased in Bap and Cd + BaP treatment (P &gt; 0.05). GSH levels enhanced in Cd group and declined significantly in Cd + BaP treatment (P &gt; 0.05). The activities of GST, SOD, and mRNA expressions of GST-pi, Cu, Zn-SOD increased remarkably in the clams exposed to combined pollutants. In this study, a significant interaction was observed for Cd and BaP accumulation in the clam and the current findings demonstrate the differences in antioxidant response of the biomarkers in clam to single contaminant and the mixtures. (C) 2011 Elsevier Ltd. All rights reserved.</t>
  </si>
  <si>
    <t>[Pan, Luqing] Ocean Univ China, Fishery Coll, Minist Educ, Key Lab Mariculture, Qingdao 266003, Peoples R China</t>
  </si>
  <si>
    <t>Pan, LQ (corresponding author), Ocean Univ China, Fishery Coll, Minist Educ, Key Lab Mariculture, 5 Yushan Rd, Qingdao 266003, Peoples R China.</t>
  </si>
  <si>
    <t>panlq@ouc.edu.cn</t>
  </si>
  <si>
    <t>National Natural Sciences Foundation of China [30972237]; Technological Development Projects of Shandong, China [2008GG1005010]</t>
  </si>
  <si>
    <t>National Natural Sciences Foundation of China(National Natural Science Foundation of China (NSFC)); Technological Development Projects of Shandong, China</t>
  </si>
  <si>
    <t>This research was supported by the National Natural Sciences Foundation of China (30972237) and Technological Development Projects of Shandong, China (2008GG1005010). The authors are the students and professor in the Key Laboratory of Mariculture, Ministry of Education, Ocean University of China. The authors declare that there are no conflicts of interest for their work. They have no financial and personal relationships with other people or organizations that can inappropriately influence this work; there is no professional or other personal interest of any nature or kind in any product, service and/or company that could be construed as influencing the position presented in, or the review of, the manuscript entitled.</t>
  </si>
  <si>
    <t>10.1016/j.fct.2011.06.015</t>
  </si>
  <si>
    <t>http://dx.doi.org/10.1016/j.fct.2011.06.015</t>
  </si>
  <si>
    <t>863XU</t>
  </si>
  <si>
    <t>WOS:000298202400050</t>
  </si>
  <si>
    <t>Szefer, P; Ikurta, K; Frelek, K; Zdrojewska, I; Nabrzyski, M</t>
  </si>
  <si>
    <t>Mercury and other trace metals (Ag, Cr, Co, and Ni) in soft tissue and byssus of Mytilus edulis from the east coast of Kyushu Island, Japan</t>
  </si>
  <si>
    <t>Mytilus edulis; mercury; trace metals; soft tissue; byssus</t>
  </si>
  <si>
    <t>MUSSEL-WATCH; BLUE MUSSEL; ELEMENTS; NORWAY; SEA; POLLUTION; FLOUNDER; CADMIUM; THREADS; BAY</t>
  </si>
  <si>
    <t>Concentrations of Hg and other metals such as Ag, Cr, Co and Ni in soft tissues and byssi of the blue mussel (Mytilus edulis) from three sites along the east coast of Kyushu Island, Japan, were determined by a cold-vapor technique. Large inter-regional differences in metal concentrations in both soft tissues and byssi were observed. The tissue concentrations of Hg were significantly greater in M. edulis from the most contaminated locations (Saganoseki) compared to those from a non-industrialized area (Urashiro). It is evident that, compared to the soft tissue, byssus is a more sensitive biomonitor for Hg, Cr, Co and Ni. From the data obtained in the present study evidently results that the soft tissue and especially byssi of M. edulis appear to be good bioindicators for identification of coastal areas exposed to Hg contaminants. (C) 1999 Elsevier Science B.V. All rights reserved.</t>
  </si>
  <si>
    <t>Med Univ Gdansk, Dept Analyt Chem, PL-80416 Gdansk, Poland; Miyazaki Univ, Fac Agr, Dept Fisheries, Lab Aquat Environm &amp; Ecol, Miyazaki 88921, Japan; Med Univ Gdansk, Dept Food Chem, PL-80416 Gdansk, Poland</t>
  </si>
  <si>
    <t>Fahrenheit Universities; Medical University Gdansk; University of Miyazaki; Fahrenheit Universities; Medical University Gdansk</t>
  </si>
  <si>
    <t>Szefer, P (corresponding author), Med Univ Gdansk, Dept Analyt Chem, Al Gen J Hallera 107, PL-80416 Gdansk, Poland.</t>
  </si>
  <si>
    <t>Zdrojewska, Izabela/LEM-6258-2024</t>
  </si>
  <si>
    <t>Zdrojewska, Izabela/0009-0006-4620-8159</t>
  </si>
  <si>
    <t>MAY 19</t>
  </si>
  <si>
    <t>10.1016/S0048-9697(99)00079-0</t>
  </si>
  <si>
    <t>http://dx.doi.org/10.1016/S0048-9697(99)00079-0</t>
  </si>
  <si>
    <t>209WU</t>
  </si>
  <si>
    <t>WOS:000081073300007</t>
  </si>
  <si>
    <t>Avery, EL; Dunstan, RH; Nell, JA</t>
  </si>
  <si>
    <t>The detection of pollutant impact in marine environments: Condition index, oxidative DNA damage, and their associations with metal bioaccumulation in the Sydney rock oyster Saccostrea commercialis</t>
  </si>
  <si>
    <t>MAMMALIAN CHROMATIN; HYDROGEN-PEROXIDE; CARCINOGENESIS; BASES; RADICALS; LIVER; FISH</t>
  </si>
  <si>
    <t>Specimens of the Sydney rock oyster Saccostrea commercialis were deployed for a 3-month period at control and sewage disturbed marine locations in the Hunter Region, New South Wales, Australia. The DNA damage product, 8-hydroxyguanine, was measured by GC/MS-SIM from chromatin extracts of the gill tissues of oysters to assess oxidative damage. The levels ranged from 11.5 to 18.8 modified bases per 10(7) guanine bases. Although the condition indices were significantly different between the Redhead control site (178.3 +/- 3.6) and the Burwood sewage disturbed location (140.4 +/- 4.4), no significant differences in 8-hydroxyguanine concentrations were detected between the sites, and the concentration of 8-hydroxyguanine was not correlated to condition index. However, levels of the DNA base modification were correlated with the concentrations of bioaccumulated lead (r = 0.84, P = 0.036). This association provides in vivo evidence that the bioaccumulation of lead results in oxidative damage to DNA. An additional control and sewage disturbed site were included to investigate the relationship between heavy metal bioaccumulation and the condition index of deployed oysters. After the 3-month deployment period, the condition index was negatively correlated to concentrations of bioaccumulated mercury (r = -0.80, P &lt; 0.001), cobalt (r = -0.65, P &lt; 0.01), and nickel (r = -0.69, P &lt; 0.01), suggesting a strong negative influence of these metals at relatively low concentrations on the physiological condition of the oysters.</t>
  </si>
  <si>
    <t>UNIV NEWCASTLE,DEPT SCI BIOL,CALLAGHAN,NSW 2308,AUSTRALIA</t>
  </si>
  <si>
    <t>University of Newcastle</t>
  </si>
  <si>
    <t>VE112</t>
  </si>
  <si>
    <t>WOS:A1996VE11200006</t>
  </si>
  <si>
    <t>Tomazelli, AC; Martinelli, LA; Avelar, WEP; de Camargo, PB; Fostier, AH; Ferraz, ESB; Krug, FJ; Júnior, DS</t>
  </si>
  <si>
    <t>Biomonitoring of Pb and Cd in two impacted watersheds in southeast Brazil, using the freshwater mussel Anodontites trapesialis (Lamarck, 1819) (Bivalvia: Mycetopodidae) as a biological monitor</t>
  </si>
  <si>
    <t>biomonitoring; heavy metals; mussels; Piracicaba; Mogi-Guacu; Brazil</t>
  </si>
  <si>
    <t>ATOMIC-ABSORPTION-SPECTROMETRY; PIRACICABA RIVER-BASIN; PERMANENT CHEMICAL MODIFIER; HEAVY-METAL POLLUTION; RIO-DE-JANEIRO; CORBICULA-FLUMINEA; DREISSENA-POLYMORPHA; LOWER PARAIBA; TRACE-METALS; SUL RIVER</t>
  </si>
  <si>
    <t>Studies were carried out to investigate the contamination of Piracicaba and Mogi-Guacu River basins (Sao Paulo State, Southeastern, Brazil)for heavy metals (Cd and Pb), using the limnic bivalve Anodontites trapesialis as a biological Monitor. The results showed that the concentrations of Pb were higher than the control group in both basins, showing the bioavailability of this non-essential element in the basins. The concentrations were higher in the Mogi-Guacu than in the Piracicaba basin, and in the slightly contaminated sites in both basins. There was no correlation between the degree of human impact and Cd and Pb concentrations, it was not possible to infer about concentrations of these heavy metals in the bivalves based only in a broad evaluation of human impact.</t>
  </si>
  <si>
    <t>Univ Sao Paulo, Ctr Engn Nucl Agr, BR-13400970 Piracicaba, SP, Brazil; Univ Sao Paulo, Fac Filosofia Ciencias &amp; Letras Ribeirao Pret, Dept Biol, BR-14049 Ribeirao Preto, SP, Brazil; Univ Estadual Campinas, Inst Quim, Campinas, SP, Brazil</t>
  </si>
  <si>
    <t>Universidade de Sao Paulo; Universidade de Sao Paulo; Universidade Estadual de Campinas</t>
  </si>
  <si>
    <t>Univ Sao Paulo, Ctr Engn Nucl Agr, Av Centenario 303,CP 96, BR-13400970 Piracicaba, SP, Brazil.</t>
  </si>
  <si>
    <t>zebu@cena.usp.br</t>
  </si>
  <si>
    <t>Krug, Francisco/A-2798-2012; de Camargo, Plínio/D-6635-2012; Santos, Dario/E-5894-2012; Martinelli, Luiz/F-7870-2011; Fostier, Anne Helene/D-3108-2017</t>
  </si>
  <si>
    <t>Martinelli, Luiz/0000-0002-7103-7551; Krug, Francisco/0000-0002-3108-9728; Fostier, Anne Helene/0000-0002-6250-7419; Barbosa de Camargo, Plinio/0000-0002-0696-3778</t>
  </si>
  <si>
    <t>10.1590/S1516-89132003000400022</t>
  </si>
  <si>
    <t>http://dx.doi.org/10.1590/S1516-89132003000400022</t>
  </si>
  <si>
    <t>814RD</t>
  </si>
  <si>
    <t>WOS:000220990900022</t>
  </si>
  <si>
    <t>Zwolsman, JJG; vanEck, GTM; Burger, G</t>
  </si>
  <si>
    <t>Spatial and temporal distribution of trace metals in sediments from the Scheldt estuary, south-west Netherlands</t>
  </si>
  <si>
    <t>trace metals; sediments; spatial distribution; temporal variation; normalization; mobilization; Scheldt estuary; The Netherlands</t>
  </si>
  <si>
    <t>BIVALVE SCROBICULARIA-PLANA; HEAVY-METALS; MARINE-SEDIMENTS; WATER; ACCUMULATION; CONTAMINATION; DIAGENESIS; ELEMENTS; POLLUTION; MATTER</t>
  </si>
  <si>
    <t>The spatial and temporal distribution of trace metals has been studied in sediments of the Scheldt estuary, in order to identify trends in space and time. Sediment trace metal data, obtained by 11 laboratories, were considered for the period 1959-90. It was found that trace metal data obtained by complete sample digestion (e.g. HClO4-HF) were incomparable to those obtained by strong acid leaching (e.g. HNO3-HCl). However, various strong acid leaches were found to yield comparable results for sediment trace metals, except for chromium. Hence, trace metal data obtained by strong acid digestion could be merged into a comprehensive database (except for chromium), which was analysed by an ANOVA procedure. Sediment trace metal contents were normalized against a common standard, based on their grain size fraction and organic matter content. Spatial variations were investigated for four areas encompassing the entire Scheldt estuary within the periods 1978-85 and 1986-90. For one specific area, mid-estuary, trace metal data were studied from 1959 to 1987. For each area and period considered, the sediment trace metal content was calculated at the average percentage &lt; 16 mu m and organic matter content of the whole data set. The results showed that: (1) The upper Scheldt estuary is strongly polluted by trace metals, especially cadmium; (2) Viewed in historic perspective, pollution of the Scheldt estuary by trace metals was maximal at the end of the 1950s but decreased considerably through the 1970s and again in the 1980s. Monitoring data of suspended matter composition and trace metal profiles in a radiodated sediment core tend to confirm this pollution history; (3) The trace metal content of the sediments decreases in the downstream direction due to mixing of metal-rich fluvial sediments and metal-poor marine sediments; (4) Although physical mixing is the most important process that controls the trace metal content of the sediments, evidence is presented for mobilization of cadmium with increasing salinity, whilst this is suggested for arsenic. (C) 1996 Academic Press Limited</t>
  </si>
  <si>
    <t>MINIST TRANSPORT PUBL WORKS &amp; WATER MANAGEMENT,NALT INST MARINE &amp; COASTAL MANAGEMENT,RIKZ,NL-4330 EA MIDDELBURG,NETHERLANDS</t>
  </si>
  <si>
    <t>Zwolsman, JJG (corresponding author), MINIST TRANSPORT PUBL WORKS &amp; WATER MANAGEMENT,VAN LEEUWENHOEKWEG 20,NL-3316 AV DORDRECHT,NETHERLANDS.</t>
  </si>
  <si>
    <t>10.1006/ecss.1996.0057</t>
  </si>
  <si>
    <t>http://dx.doi.org/10.1006/ecss.1996.0057</t>
  </si>
  <si>
    <t>UV759</t>
  </si>
  <si>
    <t>WOS:A1996UV75900004</t>
  </si>
  <si>
    <t>Mititelu, M; Neacsu, SM; Oprea, E; Dumitrescu, DE; Nedelescu, M; Draganescu, D; Nicolescu, TO; Rosca, AC; Ghica, M</t>
  </si>
  <si>
    <t>Mititelu, Magdalena; Neacsu, Sorinel Marius; Oprea, Eliza; Dumitrescu, Denisa-Elena; Nedelescu, Mirela; Draganescu, Doina; Nicolescu, Teodor Octavian; Rosca, Adrian Cosmin; Ghica, Manuela</t>
  </si>
  <si>
    <t>Black Sea Mussels Qualitative and Quantitative Chemical Analysis: Nutritional Benefits and Possible Risks through Consumption</t>
  </si>
  <si>
    <t>NUTRIENTS</t>
  </si>
  <si>
    <t>mussels; biochemical compounds; nutritive quality; total lipid extract; polyunsaturated fatty acids; heavy metals; estimated daily intake; bioconcentration factor</t>
  </si>
  <si>
    <t>MYTILUS-GALLOPROVINCIALIS LAMARCK; HEAVY-METALS; BIOCHEMICAL-COMPOSITION; CONDITION INDEX; LIPID EXTRACT; TRACE-METALS; HUMAN HEALTH; COAST; FISH; BIOACCUMULATION</t>
  </si>
  <si>
    <t>Mussels have a particular nutritional value, representing a highly valued food source and thus sought after worldwide. Their meat is a real culinary delicacy, rich in proteins, lipids, carbohydrates, trace elements, enzymes, and vitamins. The seasonal variation of mussels' biochemical composition has been studied to determine the best harvesting period to capitalize on various biologically active fractions. In this work biochemical determinations have been performed on fresh flesh samples of Mytilus galloprovincialis specimens from the Black Sea coast to study seasonal variations in mussels' biochemical compounds. An analysis of significant lipid classes and the fatty acid composition of lipid extracts obtained from mussel flesh has also been performed. Since mussels retain pollutants from the marine environment, in parallel, the concentration of heavy metals in the meat of mussels collected for the analysis of the chemical composition was investigated. The impact and risk of heavy metal poisoning due to food consumption of mussels contaminated due to pollution of the marine harvesting area was evaluated by the bio-concentration factor of metals and estimated daily intakes of heavy metals through mussel consumption.</t>
  </si>
  <si>
    <t>[Mititelu, Magdalena] Univ Med &amp; Pharm Carol Davila, Dept Clin Lab &amp; Food Safety, Fac Pharm, Bucharest 020956, Romania; [Neacsu, Sorinel Marius] Profess Farma Line, 116 Republicii St, Baicoi 105200, Romania; [Oprea, Eliza] Univ Bucharest, Dept Organ Chem Biochem &amp; Catalysis, Fac Chem, Bucharest 030018, Romania; [Oprea, Eliza] Univ Bucharest, Microbiol Dept, Fac Biol, 1-3 Portocalilor Way, Bucharest 060101, Romania; [Dumitrescu, Denisa-Elena] Ovidius Univ Constanta, Dept Organ Chem, Fac Pharm, 6 Capitan Aviator Al Serbanescu St, Constanta 900470, Romania; [Nedelescu, Mirela] Carol Davila Univ Med &amp; Pharm, Dept Hyg &amp; Environm Hlth, Fac Med, 8 Eroii Sanitari Blvd, Bucharest 020956, Romania; [Nedelescu, Mirela] Natl Ctr Environm Hazards Monitoring, Natl Inst Publ Hlth, Dept Food Hyg &amp; Nutr, 1-3 Dr Leonte St, Bucharest 020956, Romania; [Draganescu, Doina] Carol Davila Univ Med &amp; Pharm, Dept Pharmaceut Phys &amp; Informat, Fac Pharm, 6 Traian Vuia St, Bucharest 020956, Romania; [Nicolescu, Teodor Octavian] Univ Med &amp; Pharm Carol Davila, Dept Organ Chem, Fac Pharm, Bucharest 020956, Romania; [Rosca, Adrian Cosmin] Ovidius Univ Constanta, Dept Drug Anal Biopharmacy &amp; Biol Med, Fac Pharm, 6 Capitan Aviator Al Serbanescu St, Constanta 900470, Romania; [Ghica, Manuela] Univ Med &amp; Pharm Carol Davila, Dept Biostat, Fac Pharm, Bucharest 020956, Romania</t>
  </si>
  <si>
    <t>Carol Davila University of Medicine &amp; Pharmacy; University of Bucharest; University of Bucharest; Ovidius University; Carol Davila University of Medicine &amp; Pharmacy; Carol Davila University of Medicine &amp; Pharmacy; Carol Davila University of Medicine &amp; Pharmacy; Ovidius University; Carol Davila University of Medicine &amp; Pharmacy</t>
  </si>
  <si>
    <t>Oprea, E (corresponding author), Univ Bucharest, Dept Organ Chem Biochem &amp; Catalysis, Fac Chem, Bucharest 030018, Romania.;Oprea, E (corresponding author), Univ Bucharest, Microbiol Dept, Fac Biol, 1-3 Portocalilor Way, Bucharest 060101, Romania.;Dumitrescu, DE (corresponding author), Ovidius Univ Constanta, Dept Organ Chem, Fac Pharm, 6 Capitan Aviator Al Serbanescu St, Constanta 900470, Romania.;Rosca, AC (corresponding author), Ovidius Univ Constanta, Dept Drug Anal Biopharmacy &amp; Biol Med, Fac Pharm, 6 Capitan Aviator Al Serbanescu St, Constanta 900470, Romania.</t>
  </si>
  <si>
    <t>magdalena.mititelu@umfcd.ro; sorinel.neacsu@pfarma.ro; eliza.oprea@g.unibuc.ro; denisa.dumitrescu@univ-ovidius.ro; mirela.nedelescu@umfcd.ro; doina.draganescu@umfcd.ro; teodor.nicolescu@umfcd.ro; cosmin.rosca@univ-ovidius.ro; manuela.ghica@umfcd.ro</t>
  </si>
  <si>
    <t>MAGDALENA, MITITELU/D-4500-2015; Eliza, Oprea/AAP-7731-2020; Draganescu, Doina/G-5170-2016; Nicolescu, Teodor/AAD-3957-2019; Rosca, Adrian Cosmin/HNI-1655-2023; Nedelescu, Mirela/GXZ-6310-2022; DUMITRESCU, DENISA-ELENA/AAQ-2352-2021</t>
  </si>
  <si>
    <t>Oprea, Eliza/0000-0001-7051-4136; DUMITRESCU, DENISA-ELENA/0000-0002-8424-1877; Rosca, Adrian Cosmin/0000-0002-1019-1723; Nedelescu, Mirela/0000-0001-6873-8333; Ghica, Manuela/0000-0001-9007-6938; Magdalena, Mititelu/0000-0002-8448-5054</t>
  </si>
  <si>
    <t>2072-6643</t>
  </si>
  <si>
    <t>Nutrients</t>
  </si>
  <si>
    <t>10.3390/nu14050964</t>
  </si>
  <si>
    <t>http://dx.doi.org/10.3390/nu14050964</t>
  </si>
  <si>
    <t>Nutrition &amp; Dietetics</t>
  </si>
  <si>
    <t>ZS5XU</t>
  </si>
  <si>
    <t>WOS:000768539700001</t>
  </si>
  <si>
    <t>Fiedler, S; Siebe, C; Herre, A; Roth, B; Cram, S; Stahr, K</t>
  </si>
  <si>
    <t>Fiedler, S.; Siebe, C.; Herre, A.; Roth, B.; Cram, S.; Stahr, K.</t>
  </si>
  <si>
    <t>Contribution of Oil Industry Activities to Environmental Loads of Heavy Metals in the Tabasco Lowlands, Mexico</t>
  </si>
  <si>
    <t>Soil; Sediments; Pollution; Metal fractionation; Redox</t>
  </si>
  <si>
    <t>CRASSOSTREA-VIRGINICA; AMERICAN OYSTER; TRACE-METALS; SEDIMENTS; ELEMENTS; LAGOONS</t>
  </si>
  <si>
    <t>In Tabasco the petroleum industry pollutes soil recurrently by oil spills. We analysed Pb, V, Ni and Cr concentrations in water samples, and total metal contents and metal fractions in soil samples of contaminated and non-contaminated soils and in sediments. Besides, we determined Eh, pH, DOC and major ions in water and Eh, pH, C-org in soils and sediments. Sediments contained considerably larger heavy metal (HM) concentrations than soils. Local background concentrations of V, Ni and Cr in soils are larger than global means and oil spillages have not added these metals in quantities that exceed the natural variation. Spillage of formation water increases Pb concentrations in soils, particularly in mobile fractions. The contribution of the oil industry to HM loads is diluted by large fluvial water and sediment discharges and difficult to assess by comparison of total metal contents. Therefore, easily mobile metal fractions are much better indicators.</t>
  </si>
  <si>
    <t>[Fiedler, S.; Roth, B.; Stahr, K.] Univ Hohenheim, Inst Soil Sci &amp; Land Evaluat, D-70599 Stuttgart, Germany; [Siebe, C.] Univ Nacl Autonoma Mexico, Inst Geol, Mexico City 04510, DF, Mexico; [Herre, A.] TU Berlin, Inst Ecol, Dept Soil Sci, D-10587 Berlin, Germany; [Cram, S.] Univ Nacl Autonoma Mexico, Inst Geog, Mexico City 04510, DF, Mexico</t>
  </si>
  <si>
    <t>University Hohenheim; Universidad Nacional Autonoma de Mexico; Technical University of Berlin; Universidad Nacional Autonoma de Mexico</t>
  </si>
  <si>
    <t>Fiedler, S (corresponding author), Univ Hohenheim, Inst Soil Sci &amp; Land Evaluat, Emil Wolff Str 27, D-70599 Stuttgart, Germany.</t>
  </si>
  <si>
    <t>fiedler@uni-hohenheim.de; siebe@servidor.unam.mx; andrea.herre@tu-berlin.de; silre@servidor.unam.mx; kstahr@uni-hohenheim.de</t>
  </si>
  <si>
    <t>Fiedler, Sabine/0000-0001-9696-9630; Siebe, Christina/0000-0002-2636-6778</t>
  </si>
  <si>
    <t>10.1007/s11270-008-9789-6</t>
  </si>
  <si>
    <t>http://dx.doi.org/10.1007/s11270-008-9789-6</t>
  </si>
  <si>
    <t>WOS:000262551000005</t>
  </si>
  <si>
    <t>Steen Redeker, E; van Campenhout, K; Bervoets, L; Reijnders, H; Blust, R</t>
  </si>
  <si>
    <t>Steen Redeker, Erik; van Campenhout, K.; Bervoets, L.; Reijnders, H.; Blust, R.</t>
  </si>
  <si>
    <t>Subcellular distribution of Cd in the aquatic oligochaete Tubifex tubifex, implications for trophic availability and toxicity</t>
  </si>
  <si>
    <t>fractionation; metal compartmentalization; metallothionein; detoxification; metal assimilation efficiency</t>
  </si>
  <si>
    <t>METALLOTHIONEIN-LIKE PROTEIN; TRACE-METAL CONCENTRATIONS; BIOTIC LIGAND MODEL; 2 BIVALVES; CADMIUM; ACCUMULATION; SEDIMENT; EXPOSURE; WATER; ZINC</t>
  </si>
  <si>
    <t>We studied the compartmentalization of cadmium and zinc in the oligochaete Tubifex tubifex. The subcellular distribution was followed over time and levels of metallothionein-like proteins were measured. The impact of the speciation on the trophic, transfer was studied by calculating the assimilation efficiencies of metals from Tubificidae fed to carp. It was found that carp were able to assimilate 9.8% of the cadmium. The expected assimilated amount of cadmium, based on the subcellular fractions which are thought to be trophically available, is however 72%. The zinc assimilation results suggest that the debris fraction is at least partially available to predators. Differential centrifugation techniques provide information about the tissue compartmentalization in aquatic organisms but it is not straightforward to directly link internal speciation in prey items to the actual assimilation in the predator. The possible impact that the compartmentalization of cadmium in T. tubifex will have on the toxicity to the organism is also discussed. (C) 2006 Elsevier Ltd. All rights reserved.</t>
  </si>
  <si>
    <t>Univ Antwerp, Dept Biol, Ecophysiol Biochem &amp; Toxicol Grp, B-2020 Antwerp, Belgium</t>
  </si>
  <si>
    <t>Steen Redeker, E (corresponding author), Univ Antwerp, Dept Biol, Ecophysiol Biochem &amp; Toxicol Grp, Gorenenborgerlaan 171, B-2020 Antwerp, Belgium.</t>
  </si>
  <si>
    <t>erik.steenredeker@ua.ac.be</t>
  </si>
  <si>
    <t>Vancampenhout, Karen/B-6956-2018; Steen Redeker, Erik/J-4258-2019; Bervoets, Lieven/E-5012-2015; Steen Redeker, Erik/L-8241-2014</t>
  </si>
  <si>
    <t>Steen Redeker, Erik/0000-0002-5658-5066</t>
  </si>
  <si>
    <t>10.1016/j.envpol.2006.10.031</t>
  </si>
  <si>
    <t>http://dx.doi.org/10.1016/j.envpol.2006.10.031</t>
  </si>
  <si>
    <t>174YN</t>
  </si>
  <si>
    <t>WOS:000246978900019</t>
  </si>
  <si>
    <t>Dondero, F; Piacentini, L; Marsano, F; Rebelo, M; Vergani, L; Venier, P; Viarengo, A</t>
  </si>
  <si>
    <t>Dondero, Francesco; Piacentini, Luciana; Marsano, Francesco; Rebelo, Mauro; Vergani, Laura; Venier, Paola; Viarengo, Aldo</t>
  </si>
  <si>
    <t>Gene transcription profiling in pollutant exposed mussels (Mytilus spp.) using a new low-density oligonucleotide microarray</t>
  </si>
  <si>
    <t>aquatic organism; gene expression; mercury; oil; pollutants; quantitative PCR</t>
  </si>
  <si>
    <t>ANTIMICROBIAL PEPTIDES; STRESS-RESPONSE; EXPRESSION; CLAM; P53; KINASE; METALLOTHIONEIN; IDENTIFICATION; MODULATION; TISSUES</t>
  </si>
  <si>
    <t>In this study we describe the design and implementation of a novel low-density oligonucleotide microarray (the Mytox-chip). It consists of 24 mussel genes involving both normalizing elements and stress response related genes, each represented on the array with one or two different 50 mer oligonucleotide-probe reporters spotted in replicated samples on glass-activated slides. Target genes were selected on the basis of their potential involvement in mechanisms of pollutant and xenobiotic response. They are implicated in both basic and stress related cellular processes such as shock response, biotransformation and excretion, cell-cycle regulation, immune defense, drug metabolism, etc. The microarray was tested on mussels exposed to sublethal concentrations of mercury or a crude North Sea oil mixture. RNA samples were extracted from digestive glands of control and treated mussels for the synthesis of fluorescence labeled cDNAs to be used in dual color hybridizations. Transcription rates of two metallothionein iso-genes (mt10 and mt20), ap53-like gene and actin were quantitatively estimated also by real-time PCR to confirm microarray data. Significant alterations in the gene transcription patterns were seen in response to both treatments. (c) 2006 Elsevier B.V. All rights reserved.</t>
  </si>
  <si>
    <t>Univ Piemonte Orientale, Dept Environm &amp; Life Sci, I-15100 Alessandria, Italy; Univ Geneva, Dept Biol, Genoa, Italy; Univ Padua, Dept Biol, Padua, Italy</t>
  </si>
  <si>
    <t>University of Eastern Piedmont Amedeo Avogadro; University of Genoa; University of Padua</t>
  </si>
  <si>
    <t>tdondero@unipmn.it</t>
  </si>
  <si>
    <t>Vergani, Laura/AAS-2711-2020; Venier, Paola/J-6302-2019; Marsano, Francesco/E-6144-2010; Dondero, Francesco/J-1528-2012</t>
  </si>
  <si>
    <t>Marsano, Francesco/0000-0001-9471-4693; VERGANI, Laura/0000-0002-1268-4724; Dondero, Francesco/0000-0001-7945-3712; Viarengo, Aldo/0000-0002-1557-6526</t>
  </si>
  <si>
    <t>JUL 5</t>
  </si>
  <si>
    <t>10.1016/j.gene.2006.02.015</t>
  </si>
  <si>
    <t>http://dx.doi.org/10.1016/j.gene.2006.02.015</t>
  </si>
  <si>
    <t>062SP</t>
  </si>
  <si>
    <t>WOS:000238965100003</t>
  </si>
  <si>
    <t>Ozkan, D; Dagdeviren, M; Katalay, S; Guner, A; Yavasoglu, NÜK</t>
  </si>
  <si>
    <t>Ozkan, Dilara; Dagdeviren, Melih; Katalay, Selma; Guner, Adem; Yavasoglu, N. Ulku Karabay</t>
  </si>
  <si>
    <t>Multi-Biomarker Responses After Exposure to Pollution in the Mediterranean Mussels (Mytilus galloprovincialis L.) in the Aegean Coast of Turkey</t>
  </si>
  <si>
    <t>Mytilus galloprovincialis L.; Heavy metal; Metallothionein; Oxidative stress; RT-PCR</t>
  </si>
  <si>
    <t>ANTIOXIDANT ENZYMES; DIGESTIVE GLAND; GILL CELLS; HEAVY-METALS; FIELD; METALLOTHIONEINS; GLUTATHIONE; MICRONUCLEI; EXPRESSION; ACETYLCHOLINESTERASE</t>
  </si>
  <si>
    <t>In this study, sublethal effects on the Mediterranean mussels (Mytilus galloprovincialis L.) collected from the Aegean coast of Turkey were determined. Enzymes such as glutathione-S-transferase (GST), superoxide dismutase (SOD), catalase (CAT), and acetylcholinesterase (AChE), metallothionein (MT) mRNA expressions, thiobarbituric acid reactive substances (TBARS) contents, determination of 14 heavy metals and micronucleus frequency were selected as multibiomarkers. Results show that heavy metals and an increase in the level of MT gene expression have been determined in tissues of mussels collected from all stations. The GST, SOD and CAT enzymes were increased in mussels of Aliaga and Old Foca, compared to the mussels of Urla, while it was showed inhibition at AChE levels. Extensive LP is determined on mussels of Aliaga. It was determined that mussels in Aliaga region have exposed more oxidative stress than Old Foca and Urla. These biomarkers were carried out for the first time in these stations to assess environmental quality.</t>
  </si>
  <si>
    <t>[Ozkan, Dilara; Dagdeviren, Melih; Guner, Adem; Yavasoglu, N. Ulku Karabay] Ege Univ, Dept Biol, Fac Sci, TR-35100 Bornova, Turkey; [Katalay, Selma] Celal Bayar Univ, Fac Sci &amp; Art, Dept Biol, Muradiye Manisa, Turkey; [Dagdeviren, Melih; Yavasoglu, N. Ulku Karabay] Ege Univ, Ctr Drug Res &amp; Dev &amp; Pharmacokinet Applicat, TR-35100 Bornova, Turkey</t>
  </si>
  <si>
    <t>Ege University; Celal Bayar University; Ege University</t>
  </si>
  <si>
    <t>Yavasoglu, NÜK (corresponding author), Ege Univ, Dept Biol, Fac Sci, TR-35100 Bornova, Turkey.;Yavasoglu, NÜK (corresponding author), Ege Univ, Ctr Drug Res &amp; Dev &amp; Pharmacokinet Applicat, TR-35100 Bornova, Turkey.</t>
  </si>
  <si>
    <t>Yavasoglu, N.Ulku/AFU-9719-2022; Dagdeviren, Melih/AFP-7027-2022</t>
  </si>
  <si>
    <t>Dagdeviren, Melih/0000-0001-8048-3302; GUNER, ADEM/0000-0003-3295-3538; Karabay Yavasoglu, N.Ulku/0000-0002-7483-0184</t>
  </si>
  <si>
    <t>Ege University BAP project [2012-CSUAM-003]</t>
  </si>
  <si>
    <t>Ege University BAP project(Ege University)</t>
  </si>
  <si>
    <t>The study is supported by Ege University BAP project (2012-CSUAM-003).</t>
  </si>
  <si>
    <t>10.1007/s00128-016-1988-z</t>
  </si>
  <si>
    <t>http://dx.doi.org/10.1007/s00128-016-1988-z</t>
  </si>
  <si>
    <t>EI2MK</t>
  </si>
  <si>
    <t>WOS:000392321300009</t>
  </si>
  <si>
    <t>Panchang, R</t>
  </si>
  <si>
    <t>Panchang, Rajani</t>
  </si>
  <si>
    <t>Biofouling by Saccostrea cucullata - a major threat to mangroves of Vasishthi Estuary, Maharashtra</t>
  </si>
  <si>
    <t>Saccostrea cucullata; Vasishthi Estuary; biofouling; heavy metal pollution; erosion</t>
  </si>
  <si>
    <t>OYSTERS; INDIA</t>
  </si>
  <si>
    <t>Present work reports heavy biofouling by Saccostrea cucullata on mangroves of the Vasishthi Estuary. High heavy metal concentrations in the estuary could be the cause of proliferation of these oyster species. Field observations suggest physiological impairment of mangroves due to oyster biofouling, damaging their capacity to accrue sediments. Thus, biofouling by S. cucullata is not only a major threat to the mangrove forests in the Vasishthi Estuary, but also to the tidal flats which are a haven for diverse benthic community, organic carbon sinks and natural adsorbents of pollutants.</t>
  </si>
  <si>
    <t>[Panchang, Rajani] Agharkar Res Inst MACS ARI, Geol &amp; Palaeontol Grp, GG Agharkar Rd, Pune 411004, Maharashtra, India</t>
  </si>
  <si>
    <t>Department of Science &amp; Technology (India); Agharkar Research Institute (ARI)</t>
  </si>
  <si>
    <t>Panchang, R (corresponding author), Agharkar Res Inst MACS ARI, Geol &amp; Palaeontol Grp, GG Agharkar Rd, Pune 411004, Maharashtra, India.</t>
  </si>
  <si>
    <t>rajanipanchang@gmail.com</t>
  </si>
  <si>
    <t>Department of Science and Technology, New Delhi under Woman Scientists Scheme (DST WOS-A)</t>
  </si>
  <si>
    <t>The present work has been funded by the Department of Science and Technology, New Delhi under the Woman Scientists Scheme (DST WOS-A). The Director of Agharkar Research Institute (ARI) and Dr. K.G. Kulkarni, Scientist ARI, Pune are thanked for extending all possible help and co-operation in executing and publishing this work. The invaluable support extended by Dr. J.N. Pattan, Chief Scientist and Dr. G. Parthiban, Principal Technical Officer, from the National Institute of Oceanography, Goa for analysing the heavy metal concentrations in samples used for this study, is duly acknowledged.</t>
  </si>
  <si>
    <t>DR0YV</t>
  </si>
  <si>
    <t>WOS:000379633700003</t>
  </si>
  <si>
    <t>Li, H; Xia, XY; Zang, JC; Tan, XY; Wang, ZY; Xu, XB; Du, M</t>
  </si>
  <si>
    <t>Li, Han; Xia, Xiaoyu; Zang, Jiachen; Tan, Xiaoyi; Wang, Zhenyu; Xu, Xianbing; Du, Ming</t>
  </si>
  <si>
    <t>Oyster (Crassostrea gigas) ferritin can efficiently reduce the damage of Pb2+ in vivo by electrostatic attraction</t>
  </si>
  <si>
    <t>INTERNATIONAL JOURNAL OF BIOLOGICAL MACROMOLECULES</t>
  </si>
  <si>
    <t>Ferritin; Pb2+; Structure</t>
  </si>
  <si>
    <t>HEAVY-METALS; REMOVAL EFFICIENCY; CADMIUM; STORAGE; BIOSORPTION; SIMULATION; PROTEIN; CARBON</t>
  </si>
  <si>
    <t>Heavy metal ions pollution can cause damage to human body through food, so the development of a new kind of macromolecular that can remove heavy metal ions damage has a good application prospect. The possibilities of removing heavy metal ions from food system with ferritin were studied in this paper. In this study, oyster ferritin (GF1) can resistant to denaturation induced by Pb2+, Cd2+, Cr3+ and still maintains its basic structure. GF1 can bind more Pb2+, Cd2+, Cr3+ than recombinant human H-chain ferritin (rHuHF), especially Pb2+, and the findings suggest that each GF1 can capture about 51.42 Pb2+ in solution. The hard and soft acids and base also verifies that Pb2+ have stronger binding ability to the key amino acids at the outer end of the three-fold symmetry channel. Cells preprotected by ferritin could resistant to heavy metal ions. And GF1 can reduce the high blood lead in mice and may play a role in alleviating lead poisoning in vivo. All findings demonstrated that GF1 can be used as a novel macromolecule to bind heavy metal ions, and the study can broaden the research scope of ferritin in contaminated food systems.</t>
  </si>
  <si>
    <t>[Li, Han; Xia, Xiaoyu; Wang, Zhenyu; Xu, Xianbing; Du, Ming] Dalian Polytech Univ, Natl Engn Res Ctr Seafood, Collaborat Innovat Ctr Seafood Deep Proc, Sch Food Sci &amp; Technol, Dalian 116034, Peoples R China; [Zang, Jiachen; Tan, Xiaoyi] China Agr Univ, Coll Food Sci &amp; Nutr Engn, Beijing 100083, Peoples R China</t>
  </si>
  <si>
    <t>Dalian Polytechnic University; China Agricultural University</t>
  </si>
  <si>
    <t>Du, M (corresponding author), Dalian Polytech Univ, Natl Engn Res Ctr Seafood, Collaborat Innovat Ctr Seafood Deep Proc, Sch Food Sci &amp; Technol, Dalian 116034, Peoples R China.</t>
  </si>
  <si>
    <t>duming@dlpu.edu.cn</t>
  </si>
  <si>
    <t>Du, Ming/AEQ-0613-2022</t>
  </si>
  <si>
    <t>National Natural Science Foundation of China [31730069, 31771926]; Initiative Postdocs Supporting Program of China [BX201700284]</t>
  </si>
  <si>
    <t>National Natural Science Foundation of China(National Natural Science Foundation of China (NSFC)); Initiative Postdocs Supporting Program of China</t>
  </si>
  <si>
    <t>This study was financially supported by the National Natural Science Foundation of China (31730069 and 31771926) and the Initiative Postdocs Supporting Program of China (BX201700284) .</t>
  </si>
  <si>
    <t>0141-8130</t>
  </si>
  <si>
    <t>1879-0003</t>
  </si>
  <si>
    <t>INT J BIOL MACROMOL</t>
  </si>
  <si>
    <t>Int. J. Biol. Macromol.</t>
  </si>
  <si>
    <t>10.1016/j.ijbiomac.2022.04.175</t>
  </si>
  <si>
    <t>http://dx.doi.org/10.1016/j.ijbiomac.2022.04.175</t>
  </si>
  <si>
    <t>Biochemistry &amp; Molecular Biology; Chemistry, Applied; Polymer Science</t>
  </si>
  <si>
    <t>Biochemistry &amp; Molecular Biology; Chemistry; Polymer Science</t>
  </si>
  <si>
    <t>1V2VK</t>
  </si>
  <si>
    <t>WOS:000805953500001</t>
  </si>
  <si>
    <t>MENASVETA, P; CHEEVAPARANAPIWAT, V</t>
  </si>
  <si>
    <t>HEAVY-METALS, ORGANOCHLORINE PESTICIDES AND PCBS IN GREEN MUSSELS, MULLETS AND SEDIMENTS OF RIVER MOUTHS IN THAILAND</t>
  </si>
  <si>
    <t>Levels of Pb, Zn, Cu, Cd and Hg and certain organochlorines including DDT and PCB [polychlorinated biphenyls] were determined in green mussels, mullets and bottom sediments of mouths of Mae Klong, Ta Chin, Chao Phraya and Ban Pakong Rivers [Thailand]. The 4 river mouths were contaminated by heavy metals to some extent. Pb contamination in mussels, mullets and sediments was obvious at values significantly higher than those previously reported. Contamination of the other metals in mussels and mullets was within acceptable limits, except for Hg in Chao Phraya River mouth which approached the acceptable limit. Organochlorines, especially DDT and its metabolites, were detectable in some samples of mussels, mullet and sediments. PCB were detectable in some samples of mussels and mullets but not in sediments. Levels of these organochlorines were comparable to baseline levels.</t>
  </si>
  <si>
    <t>CHULALONGKORN UNIV, INST ENVIRONM RES, BANGKOK, THAILAND</t>
  </si>
  <si>
    <t>Chulalongkorn University</t>
  </si>
  <si>
    <t>CHULALONGKORN UNIV, DEPT MARINE SCI, BANGKOK, THAILAND.</t>
  </si>
  <si>
    <t>10.1016/0025-326X(81)90135-1</t>
  </si>
  <si>
    <t>http://dx.doi.org/10.1016/0025-326X(81)90135-1</t>
  </si>
  <si>
    <t>KY484</t>
  </si>
  <si>
    <t>WOS:A1981KY48400005</t>
  </si>
  <si>
    <t>Brooks, SJ; Farmen, E; Heier, LS; Blanco-Rayón, E; Izagirre, U</t>
  </si>
  <si>
    <t>Brooks, Steven J.; Farmen, Eivind; Heier, Lene Sorlie; Blanco-Rayon, Esther; Izagirre, Urtzi</t>
  </si>
  <si>
    <t>Differences in copper bioaccumulation and biological responses in three Mytilus species</t>
  </si>
  <si>
    <t>Mussels; Biomarkers; Bioaccumulation; Mytilus edulis; Mytilus galloprovincialis; Mytilus trossulus</t>
  </si>
  <si>
    <t>TISSUE-LEVEL BIOMARKERS; DIGESTIVE CELLS; MUSSEL MYTILUS; METAL BIOACCUMULATION; EXPERIMENTAL EXPOSURE; LYSOSOMAL RESPONSES; SHELL SHAPE; GALLOPROVINCIALIS; EDULIS; POLLUTION</t>
  </si>
  <si>
    <t>Mytilus species are important organisms in marine systems being highly abundant and widely distributed along the coast of Europe and worldwide. They are typically used in biological effects studies and have a suite of biological effects endpoints that are frequently measured and evaluated for stress effects in laboratory experiments and field monitoring programmes. Differences in bioaccumulation and biological responses of the three Mytilus species following exposure to copper (Cu) were investigated. A laboratory controlled exposure study was performed with three genetically confirmed Mytilus species; M. galloprovincialis, M. edulis and M. trossulus. Chemical bioaccumulation and biomarkers were assessed in all three Mytilus species following a 4 day and a 21 day exposure to waterborne copper concentrations (0, 10, 100 and 500 mu g/L). Differences in copper bioaccumulation were measured after both 4 and 21 days, which suggests some physiological differences between the species. Furthermore, differences in response for some of the biological effects endpoints were also found to occur following exposure. These differences were discussed in relation to either real physiological differences between the species or merely confounding factors relating to the species natural habitat and seasonal cycles. Overall the study demonstrated that differences in chemical bioaccumulation and biomarker responses between the Mytilus spp. occur with potential consequences for mussel exposure studies and biological effects monitoring programmes. Consequently, the study highlights the importance of identifying the correct species when using Mytilus in biological effects studies. (C) 2014 Elsevier B.V. All rights reserved.</t>
  </si>
  <si>
    <t>[Brooks, Steven J.; Farmen, Eivind] Norwegian Inst Water Res NIVA, NO-0349 Oslo, Norway; [Farmen, Eivind] Norwegian Environm Agcy, N-0663 Oslo, Norway; [Heier, Lene Sorlie] Norwegian Univ Life Sci NMBU, Dept Environm Sci, N-1432 As, Norway; [Blanco-Rayon, Esther; Izagirre, Urtzi] Univ Basque Country, PiE, Res Ctr Expt Marine Biol &amp; Biotechnol, CBET Res Grp, Leioa, Basque Country, Spain; [Heier, Lene Sorlie] Norwegian Publ Roads Adm, N-2605 Lillehammer, Norway</t>
  </si>
  <si>
    <t>Norwegian Institute for Water Research (NIVA); Norwegian University of Life Sciences; University of Basque Country</t>
  </si>
  <si>
    <t>Brooks, SJ (corresponding author), Norwegian Inst Water Res NIVA, Gaustadalleen 21, NO-0349 Oslo, Norway.</t>
  </si>
  <si>
    <t>sbr@niva.no</t>
  </si>
  <si>
    <t>Blanco-Rayón, Esther/R-9479-2019; Izagirre, Urtzi/C-3848-2017</t>
  </si>
  <si>
    <t>Izagirre, Urtzi/0000-0002-3477-4974; , Blanco-Rayon/0000-0003-2884-059X; Brooks, Steven/0009-0009-4243-1005</t>
  </si>
  <si>
    <t>NIVA</t>
  </si>
  <si>
    <t>The authors would like to thank the technical staff at the NIVA research station at Solbergstrand, Norway for the set-up and maintenance of the exposure system, as well as the institutional grants to NIVA for funding.</t>
  </si>
  <si>
    <t>10.1016/j.aquatox.2014.12.018</t>
  </si>
  <si>
    <t>http://dx.doi.org/10.1016/j.aquatox.2014.12.018</t>
  </si>
  <si>
    <t>CD2WZ</t>
  </si>
  <si>
    <t>WOS:000350941000001</t>
  </si>
  <si>
    <t>Rainbow, PS; Smith, BD; Lau, SSS</t>
  </si>
  <si>
    <t>Biomonitoring of trace metal availabilities in the Thames estuary using a suite of littoral biomonitors</t>
  </si>
  <si>
    <t>TALITRID AMPHIPODS CRUSTACEA; UNITED-STATES; HEAVY-METALS; MUSSEL-WATCH; COPPER; BARNACLES; ZN; CD; CR</t>
  </si>
  <si>
    <t>study employed a suite of three biomonitors to investigate trace metal pollution in the Thames estuary, a region of significant clean-up of contaminants and the cumulative return of fauna and flora over the last two decades. The biomonitors chosen are the brown seaweed Fucus vesiculosus (bladder wrack), the barnacle Balanus I. improvisus and the talitrid amphipod crustacean Orchestia gammarellus, in order to obtain data on the bioavailabilities of Zn, Cu, Cd, Pb, Fe, Ag and Mn in the Thames estuary in 2001, as a basis for future comparisons as pollution is further reduced in the Thames. Accumulated metal concentrations in these organisms represent integrated records of the total bioavailabilities of the metals to that organism at that location over a previous time period, and comparisons of accumulated concentrations in a biomonitor between sites are indeed comparisons of the recent contaminant bioavailabilities to that biomonitor. All three biomonitors showed geographical differences in trace metal bioavailabilities along the Thames estuary. There was general agreement in the conclusions to be drawn from each of the three species used. Raised bioavailabilities of zinc, cadmium, lead, iron and manganese are present, particularly in the middle region of the Thames investigated, downstream of the effluent discharges of the sewage works at Beckton and Crossness.</t>
  </si>
  <si>
    <t>Nat Hist Museum, Dept Zool, London SW7 5BD, England; Univ Cambridge, Dept Geog, Cambridge CB2 3EN, England</t>
  </si>
  <si>
    <t>Natural History Museum London; University of Cambridge</t>
  </si>
  <si>
    <t>Nat Hist Museum, Dept Zool, Cromwell Rd, London SW7 5BD, England.</t>
  </si>
  <si>
    <t>p.rainbow@nhm.ac.uk</t>
  </si>
  <si>
    <t>Lau, Sam/AAG-9418-2020</t>
  </si>
  <si>
    <t>Lau, Sam/0000-0002-8806-031X</t>
  </si>
  <si>
    <t>1469-7769</t>
  </si>
  <si>
    <t>10.1017/S002531540200615X</t>
  </si>
  <si>
    <t>http://dx.doi.org/10.1017/S002531540200615X</t>
  </si>
  <si>
    <t>613RG</t>
  </si>
  <si>
    <t>WOS:000179144800008</t>
  </si>
  <si>
    <t>Tewari, A; Joshi, HV; Raghunathan, C; Kumar, VGS; Khambhaty, Y</t>
  </si>
  <si>
    <t>Effect of heavy metal pollution on growth, carotenoid content and bacterial flora in the gut of Perna viridis (L.) in in situ condition</t>
  </si>
  <si>
    <t>MUSSELS MYTILUS-EDULIS; CRASSOSTREA MADRASENSIS BIVALVIA/ANISOMYARIA; TRACE-METALS; SEASONAL-VARIATIONS; BIVALVE MOLLUSKS; GREEN MUSSEL; SCANDINAVIAN WATERS; SUNETTA-SCRIPTA; SOUTHEAST COAST; INDICATOR</t>
  </si>
  <si>
    <t>The soft tissue of females of Perna viridis showed highest concentration of Fe, Mn, Cu, Zn, Cd, Pb, Co, Ni and Hg followed by males and indeterminates. The Hg was not detected in different sexes during May. The biomagnification of all heavy metals was maximum in gonad. In general, the order of metal accumulation in the soft tissue of Perna viridis was Fe &gt; Co &gt; Zn &gt; Ph &gt; Ni &gt; Cu &gt; Mn &gt; Cd &gt; Hg. The definite correlation between biomagnification of different heavy metals in whole animal or its different organs could not be observed with that of their concentrations in sediment. However, the concentration of all heavy metals was higher in soft tissue or its different organs than sea water. The concentration of total carotenoids and unsaponifiable carotenoid were higher in females followed by males and indeterminates. Both types of carotenoids in gonads had higher concentration than other body organs. In general, the total count of pathogenic bacteria was maximum in the gut of females followed by indeterminates and males. The percentage reduction of pathogenic bacteria after five days of starvation ranged from 28.92 to 42.81 in the least reduction category to 61.59 to 75.25 for the highest reduction category.</t>
  </si>
  <si>
    <t>Cent Salt &amp; Marine Chem Res Inst, Bhavnagar 364002, Gujarat, India</t>
  </si>
  <si>
    <t>Cent Salt &amp; Marine Chem Res Inst, Bhavnagar 364002, Gujarat, India.</t>
  </si>
  <si>
    <t>salt@csir.res.in</t>
  </si>
  <si>
    <t>Khambhaty, Yasmin/C-5671-2011; Govind Kumar, Vivek/IZP-6266-2023</t>
  </si>
  <si>
    <t>INDIAN ACAD SCIENCES</t>
  </si>
  <si>
    <t>C V RAMAN AVENUE, SADASHIVANAGAR, P B #8005, BANGALORE 560 080, INDIA</t>
  </si>
  <si>
    <t>OCT 10</t>
  </si>
  <si>
    <t>483KD</t>
  </si>
  <si>
    <t>WOS:000171633800026</t>
  </si>
  <si>
    <t>Olsgard, F</t>
  </si>
  <si>
    <t>Effects of copper contamination on recolonisation of subtidal marine soft sediments - an experimental field study</t>
  </si>
  <si>
    <t>field-experiments; copper; metals; benthos; sediments; subtidal</t>
  </si>
  <si>
    <t>ACID-VOLATILE SULFIDE; COMMUNITY STRUCTURE; HEAVY-METALS; ENVIRONMENTAL VARIABLES; MULTIVARIATE ANALYSES; BOTTOM COMMUNITY; QUALITY CRITERIA; ORGANIC-CARBON; NORTH-SEA; OIL</t>
  </si>
  <si>
    <t>Recolonisation patterns of soft-bottom macrofauna on defaunated Cu-spiked sediments were studied in a field experiment at 63 m depth in the Oslofjord, Norway. Field experiments studying colonisation patterns of contaminated sediments are ecologically relevant since settling and metamorphosis of pelagic larvae are generally considered the most critical phases in the development of marine benthic assemblages. Total faunal abundance and the density of the polychaetes Pectinaria koreni and Prionospio cirrifera decreased significantly at sediment Cu-concentrations of 300 mg kg(-1). Also the polychaetes Pseudopolydora pancibranchiata, Capitella capitata, Chaetozone setosa, Harmothoe spp., the bivalve Thyasira sar si and the brittlestar Ophiura affinis were significantly negative correlated to increased sediment Cu-content, Although these species were affected negatively, most of the 116 taxa within the experimental trays showed no response over the entire range of Cu sediment concentrations. Most field studies on recolonisation have been performed in the intertidal or shallow subtidal, These environments are often dominated by robust organisms while animals living in deeper waters are more sensitive to disturbance. The experimental system developed could easily be used at depths between 20 and 100 m to study effects of toxic compounds separately or as mixtures, or colonisation and succession processes of uncontaminated sediments in general. (C) 1999 Elsevier Science Ltd. All rights reserved</t>
  </si>
  <si>
    <t>Univ Oslo, Sect Marine Zool &amp; Marine Chem, Dept Biol, N-0316 Oslo, Norway</t>
  </si>
  <si>
    <t>University of Oslo</t>
  </si>
  <si>
    <t>Univ Oslo, Sect Marine Zool &amp; Marine Chem, Dept Biol, POB 1064, N-0316 Oslo, Norway.</t>
  </si>
  <si>
    <t>10.1016/S0025-326X(98)90202-8</t>
  </si>
  <si>
    <t>http://dx.doi.org/10.1016/S0025-326X(98)90202-8</t>
  </si>
  <si>
    <t>210TD</t>
  </si>
  <si>
    <t>WOS:000081120000013</t>
  </si>
  <si>
    <t>Yee-Duarte, JA; Ceballos-Vázquez, BP; Shumilin, E; Kidd, K; Arellano-Martinez, M</t>
  </si>
  <si>
    <t>Yee-Duarte, Josue Alonso; Ceballos-Vazquez, Bertha Patricia; Shumilin, Evgueni; Kidd, Karen; Arellano-Martinez, Marcial</t>
  </si>
  <si>
    <t>Evidence of health impairment of Megapitaria squalida (Bivalvia: Veneridae) near the hot spot of a mining port, Gulf of California</t>
  </si>
  <si>
    <t>Bivalves; condition index; heavy metals pollution; physiological condition; weight-length relationship</t>
  </si>
  <si>
    <t>CONDITION INDEX; MYTILUS-GALLOPROVINCIALIS; BAJA-CALIFORNIA; SITES; MUSSELS; METALS; POLLUTION; RESPONSES; SURVIVAL; MARINE</t>
  </si>
  <si>
    <t>Background. It is known that organisms inhabiting polluted marine habitats may experience adverse physiological effects. The port of Santa Rosalia, Gulf of California, is characterized by high concentrations of heavy metals in sediments, particularly Cu, Zn, Co, Mn, Pb, and U, which are potentially toxic to the marine biota. In addition, this port receives urban wastewater that contributes mostly organic pollutants to the coastal zone. Goals. The main objective of this work was to determine whether clams in the mining region showed adverse effects because of the contamination. Methods. Through the analysis of biometric parameters, condition index, and weight-length relationship, the overall health of the chocolate clam Megapitaria squalida was evaluated in the coastal zone of the Santa Rosalia port and compared with data for clams from four mining-free areas. Results. Our findings revealed that clams from Santa Rosalia showed poor health, evidenced by their smaller size, inferior condition, and negative allometric growth compared to clams from all other sites, including San Lucas, a site located a few kilometers away from the pollution hot-spot and where the conditions of temperature and food availability are similar to those in the port area. Conclusions. All of the above suggests negative physiological effects in this species possibly caused by contamination from metals and/or organic pollutants from urban discharges. Particularly, it is likely that M. squalida at the mining site allocates more energy towards depurating or storing metals, in turn leading to poorer condition and deficient growth.</t>
  </si>
  <si>
    <t>[Yee-Duarte, Josue Alonso; Ceballos-Vazquez, Bertha Patricia; Shumilin, Evgueni; Arellano-Martinez, Marcial] Inst Politecn Nacl, Ctr Interdisciphnario Ciencias Marinas, Ave Inst Politecn Nacl S-N, La Paz 23096, Baja California, Mexico; [Kidd, Karen] Univ New Brunswick, Canadian Rivers Inst, 100 Tucker Pk Rd, St John, NB E2L 4L5, Canada; [Kidd, Karen] Univ New Brunswick, Dept Biol, 100 Tucker Pk Rd, St John, NB E2L 4L5, Canada; [Kidd, Karen] McMaster Univ, Dept Biol, 1280 Main St West, Hamilton, ON L8S 4K1, Canada; [Kidd, Karen] McMaster Univ, Sch Geog &amp; Earth Sci, 1280 Main St West, Hamilton, ON L8S 4K1, Canada</t>
  </si>
  <si>
    <t>Instituto Politecnico Nacional - Mexico; University of New Brunswick; University of New Brunswick; McMaster University; McMaster University</t>
  </si>
  <si>
    <t>Arellano-Martinez, M (corresponding author), Inst Politecn Nacl, Ctr Interdisciphnario Ciencias Marinas, Ave Inst Politecn Nacl S-N, La Paz 23096, Baja California, Mexico.</t>
  </si>
  <si>
    <t>marellam@ipn.mx</t>
  </si>
  <si>
    <t>Shumilin, Evgueni/Q-8959-2018; Ceballos-Vázquez, Bertha/AAF-8488-2021; Kidd, Karen A/ABG-3237-2020; Yee-Duarte, Josue Alonso/F-3627-2019</t>
  </si>
  <si>
    <t>Kidd, Karen A/0000-0002-5619-1358; Yee-Duarte, Josue Alonso/0000-0002-7302-8974; Ceballos-Vazquez, Bertha Patricia/0000-0003-4031-6221</t>
  </si>
  <si>
    <t>COFAA; EDI; SNI; [SIP 1535]; [1698]</t>
  </si>
  <si>
    <t>COFAA; EDI; SNI; ;</t>
  </si>
  <si>
    <t>This research was funded by projects SIP 1535 and 1698. J.A. Yee-Duarte is a fellow student of BEIFI and CONACyT; the results presented here are part of his PhD thesis. B.P. Ceballos-Vazquez, E. Shumilin, and M. Arellano-Martinez received grants from COFAA, EDI, and SNI. We thank Maria Elena Sanchez-Salazar, M. Sc., for her editorial contribution to the English manuscript.</t>
  </si>
  <si>
    <t>GO3IH</t>
  </si>
  <si>
    <t>WOS:000439882600010</t>
  </si>
  <si>
    <t>Stankovic, S; Jovic, M; Mihajlovic, ML; Joksimovic, D; Tanakovski, B</t>
  </si>
  <si>
    <t>Stankovic, Slavka; Jovic, Mihajlo; Mihajlovic, Marija L.; Joksimovic, Danijela; Tanakovski, Bojan</t>
  </si>
  <si>
    <t>METAL POLLUTION DETERMINED BY POLLUTION INDICES FOR SEA GRASS P. OCEANICA AND SURFACE SEDIMENTS</t>
  </si>
  <si>
    <t>ARCHIVES OF BIOLOGICAL SCIENCES</t>
  </si>
  <si>
    <t>heavy metals; P. oceanica; surface sediment; metal pollution index; enrichment factor</t>
  </si>
  <si>
    <t>TRACE-METALS; POSIDONIA-OCEANICA; HEAVY-METALS; BAY; SEAGRASS; MUSSELS; COAST; WATER; PHYTOPLANKTON; CONTAMINATION</t>
  </si>
  <si>
    <t>Concentrations of Fe, Mn, Cu, Zn, Pb, Ni, Co, As, Co, and Hg in the sea grass Posidonia oceanica and surface sediment samples were determined. Together with P. oceanica, surface sediment samples were collected at eight locations in the major demographic, tourist and port areas along the Montenegrin coast to assess metal pollution. The metal pollution index (MPI) and metal enrichment factor (EF) were calculated and used to evaluate the impact of heavy metals in the surface sediment on P. oceanica. The sediment MPI and EF values were lower than these values in P. oceanica at the same locations. Since the surface sediment contained lower mean concentrations of Zn, Ni, Pb, Cd and Hg, than the sea grass P. oceanic, we concluded that the sea grass absorbed some metals from the seawater column.</t>
  </si>
  <si>
    <t>[Stankovic, Slavka; Tanakovski, Bojan] Univ Belgrade, Dept Analyt Chem, TMF, Belgrade, Serbia; [Jovic, Mihajlo] Univ Belgrade, Vinca Inst Nucl Sci, Belgrade, Serbia; [Mihajlovic, Marija L.] Inst Technol Nucl &amp; Other Mineral Raw Mat, Belgrade, Serbia; [Joksimovic, Danijela] Univ Podgorica, IBM, Kotor, Montenegro</t>
  </si>
  <si>
    <t>Stankovic, S (corresponding author), Univ Belgrade, Dept Analyt Chem, TMF, Belgrade, Serbia.</t>
  </si>
  <si>
    <t>Joksimovic, Danijela/AAH-7688-2019; Jovic, Mihajlo/U-8340-2017; Ercegovic, Marija/ABA-9198-2021</t>
  </si>
  <si>
    <t>Jovic, Mihajlo/0000-0002-3293-5797; Ercegovic, Marija/0000-0002-7145-8671</t>
  </si>
  <si>
    <t>Serbian Ministry of Science [III 43009]</t>
  </si>
  <si>
    <t>Serbian Ministry of Science(Ministry of Education, Science &amp; Technological Development, Serbia)</t>
  </si>
  <si>
    <t>This work was supported by project III 43009 Serbian Ministry of Science</t>
  </si>
  <si>
    <t>INST BIOLOSKA ISTRAZIVANJA SINISA STANKOVIC</t>
  </si>
  <si>
    <t>BEOGRAD</t>
  </si>
  <si>
    <t>29 NOVEMBRA 142, BEOGRAD, 11060, SERBIA</t>
  </si>
  <si>
    <t>0354-4664</t>
  </si>
  <si>
    <t>1821-4339</t>
  </si>
  <si>
    <t>ARCH BIOL SCI</t>
  </si>
  <si>
    <t>Arch. Biol. Sci.</t>
  </si>
  <si>
    <t>10.2298/ABS140410010S</t>
  </si>
  <si>
    <t>http://dx.doi.org/10.2298/ABS140410010S</t>
  </si>
  <si>
    <t>CE7FN</t>
  </si>
  <si>
    <t>WOS:000352003500010</t>
  </si>
  <si>
    <t>Li, CH; He, JJ; Su, XR; Li, TW</t>
  </si>
  <si>
    <t>Li, Chenghua; He, Jingjing; Su, Xiurong; Li, Taiwu</t>
  </si>
  <si>
    <t>A manganese superoxide dismutase in blood clam Tegillarca granosa: Molecular cloning, tissue distribution and expression analysis</t>
  </si>
  <si>
    <t>Tegillarca granosa; mMn-SOD; Heavy metal; Western blot</t>
  </si>
  <si>
    <t>MESSENGER-RNA EXPRESSION; SCALLOP ARGOPECTEN-IRRADIANS; MN-SOD; DISK ABALONE; GENE; COPPER/ZINC; SHRIMP; RESPONSES; CATALASE; INJURY</t>
  </si>
  <si>
    <t>Superoxide dismutase (SOD, EC 1.15.1.1) is one of the central enzymes involved in scavenging the high level of reactive oxygen species (ROS) by transforming O-2(-) into hydrogen peroxide and oxygen. The full-length mitochondrial Mn-SOD cDNA of blood clam Tegillarca granosa (denoted as TgmMnSOD) was identified from haemocytes by homology cloning and rapid amplification of cDNA ends (RACE) approaches. The nucleotide sequence of TgmMnSOD consisted of 1106 bp with a 5' UTR of 195 bp, a 3' UTR of 227 bp with a candidate polyadenylation signal sequence ATTAAA and a short polyA tail, and an open reading frame (ORF) of 648 bp encoding a secreted polypeptide of 227 amino acids residues. The deduced amino acid sequence of TgmMnSOD shared significant homology to mMnSODs from other species, indicating that TgmMnSOD should be a novel member of the mMnSOD family. Several highly conserved motifs including three mMnSOD signatures, amino acid residues responsible for coordinating the manganese and the putative active center were almost completely conserved in the deduced amino acid of TgmMnSOD. The mRNA expression of TgmMnSOD in the tissues of mantle, foot, gill, haemocytes and hepatopancreas was examined by quantitative real-time PCR (qT-PCR) and mRNA transcripts of TgmMnSOD were mainly detected in hepatopancreas, haemocytes, and gill and weakly detected in the mantle and foot. The temporal expression of TgmMnSOD in haemocytes after heavy metal exposure revealed that TgmMnSOD could be induced by the three pollutants with different response profiles. The polyclonal antibodies generated from the recombinant product of TgmMnSOD could specifically identify not only the recombinant product, but also the native protein from haemocytes. The present results strongly suggested that TgmMnSOD was a cute response protein involved in marine heavy metal contaminants challenge in T. granosa. (C) 2011 Elsevier Inc. All rights reserved.</t>
  </si>
  <si>
    <t>[Li, Chenghua; He, Jingjing; Su, Xiurong; Li, Taiwu] Ningbo Univ, Fac Life Sci &amp; Biotechnol, Ningbo 315211, Zhejiang, Peoples R China; [Li, Taiwu] Ningbo City Coll Vocat Technol, Ningbo 315100, Zhejiang, Peoples R China</t>
  </si>
  <si>
    <t>Ningbo University; Ningbo City College of Vocational Technology</t>
  </si>
  <si>
    <t>Li, CH (corresponding author), Ningbo Univ, Fac Life Sci &amp; Biotechnol, Fenghua Rd, Ningbo 315211, Zhejiang, Peoples R China.</t>
  </si>
  <si>
    <t>Li, Chenghua/I-6342-2015</t>
  </si>
  <si>
    <t>National Natural Science Foundation [40776075]; Scientific Program of Zhejiang Province, China [2006C13089]; Ningbo University</t>
  </si>
  <si>
    <t>National Natural Science Foundation(National Natural Science Foundation of China (NSFC)); Scientific Program of Zhejiang Province, China; Ningbo University</t>
  </si>
  <si>
    <t>This work was financially supported by the National Natural Science Foundation (no. 40776075), and the Scientific Program of Zhejiang Province, China (no. 2006C13089), and sponsored by K.C. Wong Magna Fund in Ningbo University.</t>
  </si>
  <si>
    <t>10.1016/j.cbpb.2011.02.003</t>
  </si>
  <si>
    <t>http://dx.doi.org/10.1016/j.cbpb.2011.02.003</t>
  </si>
  <si>
    <t>749FG</t>
  </si>
  <si>
    <t>WOS:000289448600008</t>
  </si>
  <si>
    <t>Belivermis, M; Kiliç, O; Efe, E; Sezer, N; Gönülal, O; Kaya, TNA</t>
  </si>
  <si>
    <t>Belivermis, Murat; Kilic, Onder; Efe, Ebru; Sezer, Narin; Gonulal, Onur; Kaya, Tugce Nagihan Arslan</t>
  </si>
  <si>
    <t>Mercury and Po-210 in mollusc species in the island of Gokceada in the north-eastern Aegean Sea: Bioaccumulation and risk assessment for human consumers</t>
  </si>
  <si>
    <t>Bioaccumulation; Molluscs; Po-210; Hg; Seafood safety; Aegean sea</t>
  </si>
  <si>
    <t>MUSSEL MYTILUS-GALLOPROVINCIALIS; TRACE-METAL CONCENTRATIONS; SCALLOP CHLAMYS-VARIA; HG CONCENTRATIONS; OCTOPUS-VULGARIS; TROPHIC TRANSFER; DIGESTIVE GLAND; DIETARY-INTAKE; MARINE; PB-210</t>
  </si>
  <si>
    <t>Among the radioactive pollutants Po-210 is the most substantial one in terms of seafood safety due to its efficient accumulation in marine animals and high irradiation of its alpha emission. Mercury is a highly toxic metal for both marine organisms and human beings. Biomagnification of MeHg (methylmercury) through marine food chains has made Hg concern of ecotoxicology and seafood safety. In the current study, the bioaccumulation of Po-210 and THg (total mercury) were determined in 20 mollusc species, including 8 bivalves, 7 gastropods and 5 cephalopods collected from the island of Gokceada in the northeastern Aegean Sea. The highest accumulation of Po-210 and Hg was seen in bivalves and cephalopods, respectively. Elevated Hg concentrations in all body parts (arms, mantle and viscera) were observed in octopus' species. The results of this study suggests that filter feeder bivalves and gastropods have a capacity to concentrate Po-210 in their bodies, whereas predator gastropods and cephalopods have a capacity to concentrate Hg in their bodies. 7.0 kg (3.2-14.2) bivalve flesh intake is adequate due to Po-210 ingestion in the studied region to reach 1 mSv which is the annual committed effective dose. Octopus consumption of 705 g in a week alone is needed to reach Provisional Tolerable Weekly Intake (PTWI) of mercury, 5 mu g kg(-1) body weight. Due to very low non-fish seafood consumption in Turkey there is no risk of Hg intake and alpha radiation of Po-210 above the limit values through mollusc consumption. (C) 2019 Elsevier Ltd. All rights reserved.</t>
  </si>
  <si>
    <t>[Belivermis, Murat; Kilic, Onder] Istanbul Univ, Fac Sci, Dept Biol, TR-34134 Istanbul, Turkey; [Efe, Ebru; Sezer, Narin] Istanbul Univ, Inst Grad Studies Sci, Istanbul, Turkey; [Gonulal, Onur] Istanbul Univ, Gokceada Marine Res Dept, TR-17100 Canakkale, Turkey; [Kaya, Tugce Nagihan Arslan] Istanbul Univ, Inst Marine Sci &amp; Management, TR-34134 Istanbul, Turkey</t>
  </si>
  <si>
    <t>Istanbul University; Istanbul University; Istanbul University; Istanbul University</t>
  </si>
  <si>
    <t>Belivermis, M (corresponding author), Istanbul Univ, Fac Sci, Dept Biol, TR-34134 Istanbul, Turkey.</t>
  </si>
  <si>
    <t>belmurat@istanbul.edu.tr</t>
  </si>
  <si>
    <t>gönülal, onur/JAZ-0818-2023; KILIÇ, ÖNDER/AAC-5645-2020; Belivermis, Murat/AAC-8059-2020</t>
  </si>
  <si>
    <t>Kilic, Onder/0000-0002-1765-6036; Sezer, Narin/0000-0002-3659-722X; Gonulal, Onur/0000-0002-5559-3953; Belivermis, Murat/0000-0003-4826-5246</t>
  </si>
  <si>
    <t>Scientific Research Projects Coordination Unit of Istanbul University [27919]</t>
  </si>
  <si>
    <t>This study was funded by the Scientific Research Projects Coordination Unit of Istanbul University. Project Number: 27919. We are grateful to Erol Sari and Ercan Sikdokur for their technical assistance.</t>
  </si>
  <si>
    <t>10.1016/j.chemosphere.2019.06.214</t>
  </si>
  <si>
    <t>http://dx.doi.org/10.1016/j.chemosphere.2019.06.214</t>
  </si>
  <si>
    <t>JA1HB</t>
  </si>
  <si>
    <t>WOS:000487567000094</t>
  </si>
  <si>
    <t>Youssef, M; Madkour, H; Mansour, A; Alharbi, W; El-Taher, A</t>
  </si>
  <si>
    <t>Youssef, Mohamed; Madkour, Hashem; Mansour, Abbas; Alharbi, Wedad; El-Taher, Atef</t>
  </si>
  <si>
    <t>Invertebrate shells (mollusca, foraminifera) as pollution indicators, Red Sea Coast, Egypt</t>
  </si>
  <si>
    <t>Benthic foraminifera; Molluscan shell; Heavy metal; Red Sea; Egypt</t>
  </si>
  <si>
    <t>BENTHIC FORAMINIFERA; HEAVY-METALS</t>
  </si>
  <si>
    <t>To assess the degree of pollution and its impact on the environment along the Red Sea Coast, the most abundant nine species of recent benthic foraminifera and three species of molluscan shells have been selected for the analysis of Fe, Mn, Zn, Cu, Pb, Ni, Co, and Cd concentrations. The selected foraminiferal species are: Textularia agglutinans, Amphispsorus hemprichii, Sorites marginalis, Peneroplis planatus, Borelis schlumbergeri, Amphistegina lessonii, Ammonia beccarii, Operculina gaimairdi, and Operculinella The selected molluscan shells are: Lambis truncate and Strombus tricornis (gastropods) and Tridacana gigas (bivalves). The inorganic material analysis of foraminifera and molluscs from the Quseir and Safaga harbors indicates that foraminifera tests include higher concentrations of heavy metals such as Fe and Mn than molluscan shells. These results are supported by the black tests of porcelaneous foraminifera and reflect iron selectivity. The Cd and Pb concentrations in molluscan shells are high in the El Esh Area because of oil pollution at this site. The Cu, Zn, and Ni concentrations in the studied invertebrates are high at Quseir Harbor and in the El Esh Area because of the strong influence of terrigenous materials that are rich in these metals. The heavy metal contamination is mostly attributed to anthropogenic sources. (C) 2017 Elsevier Ltd. All rights reserved.</t>
  </si>
  <si>
    <t>[Youssef, Mohamed] King Saud Univ, Dept Geol, Coll Sci, Riyadh, Saudi Arabia; [Youssef, Mohamed; Mansour, Abbas] South Valley Univ, Dept Geol, Fac Sci, Qena 83523, Egypt; [Madkour, Hashem] Natl Inst Oceanog &amp; Fisheries, Red Sea Branch, Hurghada 84511, Egypt; [Alharbi, Wedad] King Abdulaziz Univ, Fac Sci Girls, Phys Dept, Jeddah, Saudi Arabia; [El-Taher, Atef] Al Azhar Univ, Assuit Branch, Phys Dept, Fac Sci, Assiut 71542, Egypt</t>
  </si>
  <si>
    <t>King Saud University; Egyptian Knowledge Bank (EKB); South Valley University Egypt; Egyptian Knowledge Bank (EKB); National Institute of Oceanography &amp; Fisheries (NIOF); King Abdulaziz University; Egyptian Knowledge Bank (EKB); Al Azhar University; Assiut University</t>
  </si>
  <si>
    <t>Youssef, M (corresponding author), King Saud Univ, Dept Geol, Coll Sci, Riyadh, Saudi Arabia.</t>
  </si>
  <si>
    <t>; Youssef, Mohamed/C-9389-2014; MADKOUR, Prof. LOUTFY/H-4810-2019</t>
  </si>
  <si>
    <t>Mansour, Abbas/0000-0002-1420-451X; El-Taher, Atef/0000-0003-0188-420X; Madkour, Hashem/0000-0002-0672-2181; Youssef, Mohamed/0000-0001-6465-6293; MADKOUR, Prof. LOUTFY/0000-0002-3101-8356</t>
  </si>
  <si>
    <t>King Saud University, Deanship of Scientific Research; King Saud University, College of Science Research Center</t>
  </si>
  <si>
    <t>King Saud University, Deanship of Scientific Research; King Saud University, College of Science Research Center(King Saud University)</t>
  </si>
  <si>
    <t>This project was supported by King Saud University, Deanship of Scientific Research, and College of Science Research Center. Some of the samples were collected based on a plan of the National Institute of Oceanography and Fisheries, Red Sea Branch. The authors wish to thank the team for participating in the present work. We would like also to thank the reviewers of the manuscript, Dr. Ali Murat KILIC and Anonymous reviewer for their comments which improved the quality of the manuscript.</t>
  </si>
  <si>
    <t>10.1016/j.jafrearsci.2017.05.013</t>
  </si>
  <si>
    <t>http://dx.doi.org/10.1016/j.jafrearsci.2017.05.013</t>
  </si>
  <si>
    <t>EY5DS</t>
  </si>
  <si>
    <t>WOS:000403998000007</t>
  </si>
  <si>
    <t>Shenai-Tirodkar, PS; Gauns, MU; Ansari, ZA</t>
  </si>
  <si>
    <t>Shenai-Tirodkar, Prachi S.; Gauns, Mangesh U.; Ansari, Zakir A.</t>
  </si>
  <si>
    <t>Concentrations of Heavy Metals in Commercially Important Oysters from Goa, Central-West Coast of India</t>
  </si>
  <si>
    <t>Metal pollution; Estuaries; Bioaccumulation; Oysters; Seafood</t>
  </si>
  <si>
    <t>TRACE-METALS; MANDOVI ESTUARY; SEASONAL-VARIATION; ACCUMULATION; SEDIMENTS</t>
  </si>
  <si>
    <t>The major beds of oyster along the central-west coast of India are exposed to different anthropogenic activities and are severely exploited for human consumption. In this viewpoint, tissues of oyster Crassostrea madrasensis, C. gryphoides and Saccostrea cucullata were analyzed for Cu, Ni, Cd and Pb concentrations (dry weight) from Chicalim Bay, Nerul Creek and Chapora Bay in pre-monsoon, monsoon and post-monsoon seasons. A higher concentration of Cu (134.4-2167.9 mg kg(-1)) and Cd (7.1-88.5 mg kg(-1)) was found, which is greater than the recommended limits in all the three species (and sites). Moreover, significant (p &lt; 0.05) variations were observed for all the metals concentrations among the species, seasons and sites. The high concentrations of Cd and Cu in tissues of edible oyster pose a threat to human health. Therefore, continuous monitoring, people awareness and a stringent government policy should be implemented to mitigate the metal pollution along the studied sites.</t>
  </si>
  <si>
    <t>[Shenai-Tirodkar, Prachi S.; Gauns, Mangesh U.; Ansari, Zakir A.] CSIR Natl Inst Oceanog, Div Biol Oceanog, Panaji 403004, Goa, India</t>
  </si>
  <si>
    <t>Council of Scientific &amp; Industrial Research (CSIR) - India; CSIR - National Institute of Oceanography (NIO)</t>
  </si>
  <si>
    <t>Shenai-Tirodkar, PS (corresponding author), CSIR Natl Inst Oceanog, Div Biol Oceanog, Panaji 403004, Goa, India.</t>
  </si>
  <si>
    <t>Gauns, Mangesh/AAT-9684-2021</t>
  </si>
  <si>
    <t>Gauns, Mangesh/0000-0002-4737-9252</t>
  </si>
  <si>
    <t>Council of Scientific and Industrial Research (CSIR), India</t>
  </si>
  <si>
    <t>Council of Scientific and Industrial Research (CSIR), India(Council of Scientific &amp; Industrial Research (CSIR) - India)</t>
  </si>
  <si>
    <t>The authors are thankful to S.W.A. Naqvi, Director, CSIR-NIO for his encouragement and providing all facilities to carry out this work. We are also grateful to Dr. B. N. Nath for providing chemicals and laboratory facilities for sample analysis. The first author would like to acknowledge Council of Scientific and Industrial Research (CSIR), India for providing the fellowship to carry out the Ph.D. research. We thank the anonymous reviewers for their insightful comments on the manuscript. This is NIO contribution no. 5954.</t>
  </si>
  <si>
    <t>10.1007/s00128-016-1956-7</t>
  </si>
  <si>
    <t>http://dx.doi.org/10.1007/s00128-016-1956-7</t>
  </si>
  <si>
    <t>EE5GH</t>
  </si>
  <si>
    <t>WOS:000389633100014</t>
  </si>
  <si>
    <t>BOURGOIN, BP; RISK, MJ; EVANS, RD; CORNETT, RJ</t>
  </si>
  <si>
    <t>RELATIONSHIPS BETWEEN THE PARTITIONING OF LEAD IN SEDIMENTS AND ITS ACCUMULATION IN THE MARINE MUSSEL, MYTILUS-EDULIS NEAR A LEAD SMELTER</t>
  </si>
  <si>
    <t>INTERNATIONAL CONF ON METALS IN SOILS, WATERS, PLANTS AND ANIMALS</t>
  </si>
  <si>
    <t>APR 30-MAY 03, 1990</t>
  </si>
  <si>
    <t>ORLANDO, FL</t>
  </si>
  <si>
    <t>SEQUENTIAL EXTRACTION PROCEDURE; TRACE-METALS; SPECIATION; AVAILABILITY; POLLUTION; CADMIUM; ZINC</t>
  </si>
  <si>
    <t>Surficial sediment samples and specimens of the filter-feeding marine mussel, Mytilus edulis, were collected at thirteen sites near a Pb/Zn ore stockpile and smelting complex (Canada). Aside from measuring the total S content in the sediment samples, each of these samples were subjected to a sequential extraction procedure designed to determine the partitioning of Fe and Pb among various geochemical phases and compared with the Pb levels measured in the mussel tissues. About one third of the Fe and more than 90% of the Pb were extracted from the sediments. Sediments collected within Belledune Harbour generally yielded the greatest amount of Pb whereas the highest levels of S were measured in Dalhousie Harbour sediments. Regression analysis indicated that the total S content in the sediments played an important role in defining the Pb accumulation in the mussel tissues.</t>
  </si>
  <si>
    <t>MCMASTER UNIV,DEPT GEOL,HAMILTON L8S 4M1,ONTARIO,CANADA; ATOM ENERGY CANADA LTD,CHALK RIVER LAB,CHALK RIVER K0J 1J0,ONTARIO,CANADA</t>
  </si>
  <si>
    <t>McMaster University; Atomic Energy of Canada Limited</t>
  </si>
  <si>
    <t>BOURGOIN, BP (corresponding author), TRENT UNIV,ENVIRONM &amp; RESOURCE STUDIES PROGRAM,PETERBOROUGH K9J 7B8,ONTARIO,CANADA.</t>
  </si>
  <si>
    <t>10.1007/BF00282901</t>
  </si>
  <si>
    <t>http://dx.doi.org/10.1007/BF00282901</t>
  </si>
  <si>
    <t>WOS:A1991GP12100040</t>
  </si>
  <si>
    <t>Liu, QK; Yang, C; He, J; Meng, XH; Cao, LM; Liu, BJ</t>
  </si>
  <si>
    <t>Liu, Qingkang; Yang, Chao; He, Jing; Meng, Xianghong; Cao, Limin; Liu, Bingjie</t>
  </si>
  <si>
    <t>Depuration cadmium on physiological status and biological response of Chlamys farreri using the combination of ZnSO4, EDTA-Na2 and sodium citrate</t>
  </si>
  <si>
    <t>Cd forms; Zn-Cdantagonism; Physiological metabolism; Glycogen change; Biochemical responses</t>
  </si>
  <si>
    <t>OXIDATIVE STRESS; HEAVY-METALS; ENVIRONMENTAL-POLLUTION; GREEN MUSSEL; REMOVAL; ZINC; BIOACCUMULATION; BIOMARKERS; EXPOSURE; COPPER</t>
  </si>
  <si>
    <t>Effective removal of cadmium (Cd) from Chlamys farreri by introducing ZnSO4, EDTA-Na-2, and sodium citrate into seawater has previously been reported. However, some mechanisms underlying this removal are not clear. To address this lack of clarity, the present study aimed to investigate the changes of Cd forms in Chlamys farreri from treatment of these additives and analyze the physiological and biochemical responses by comparing the changes over treatment time in Catalase (CAT), Superoxide dismutase (SOD), and Glutathione s-transferase (GST) activity, as well as Malonaldehyde (MDA) concentration and glycogen level. Three forms of Cd, including protein -Cd, liberated Cd, and amino acid/peptide -Cd, were found, and they were sorted according to their Cd content into the following groups: protein -Cd &gt; liberated Cd &gt; amino acid/peptide-Cd. The removal rates of the three forms of Cd were 43.2%, 59.5%, and 59.0%, respectively, using ZnSO4 and EDTA-Na-2. Additionally, a significant increase in Zn content was observed, which may suggest that reduction of bound Cd was partly due to the displacement of Cd by Zn. Moreover, Cd depuration using the additives can mitigate oxidative stress only in the first 12 h. Glycogen content continued to reduce over time, inferring that the healthy status of Chlamys farreri under treatment of the additives containing Zn can only be maintained within 12 h for excreting Cd when linking these physiological responses with the ability of the additives to remove Cd only in a short time, i.e. 12 h. The results indicated that Cd should be removed from Chlamys farreri for practical reasons. (C) 2020 Elsevier Ltd. All rights reserved.</t>
  </si>
  <si>
    <t>[Liu, Qingkang; Yang, Chao; He, Jing; Meng, Xianghong; Cao, Limin; Liu, Bingjie] Ocean Univ China, Coll Food Sci &amp; Engn, Qingdao 266003, Peoples R China</t>
  </si>
  <si>
    <t>meng, xianghong/KLZ-0971-2024; Yang, Chao/AAL-5830-2020</t>
  </si>
  <si>
    <t>MENG, XIANGHONG/0000-0003-2470-7046</t>
  </si>
  <si>
    <t>National Key RAMP;D Program of China [2017YFC1600702]; National Natural Science Foundation of China [31302162]</t>
  </si>
  <si>
    <t>National Key RAMP;D Program of China; National Natural Science Foundation of China(National Natural Science Foundation of China (NSFC))</t>
  </si>
  <si>
    <t>This work is supported by National Key R&amp;D Program of China (2017YFC1600702) and National Natural Science Foundation of China (31302162).</t>
  </si>
  <si>
    <t>10.1016/j.chemosphere.2020.127802</t>
  </si>
  <si>
    <t>http://dx.doi.org/10.1016/j.chemosphere.2020.127802</t>
  </si>
  <si>
    <t>PA7HQ</t>
  </si>
  <si>
    <t>WOS:000595802200016</t>
  </si>
  <si>
    <t>Serafim, MA; Company, RM; Bebianno, MJ; Langston, WJ</t>
  </si>
  <si>
    <t>Effect of temperature and size on metallothionein synthesis in the gill of Mytilus galloprovincialis exposed to cadmium</t>
  </si>
  <si>
    <t>cadmium; gills; metallothionein; mollusc; Mytilus galloprovincialis; temperature; size</t>
  </si>
  <si>
    <t>INDUCTION</t>
  </si>
  <si>
    <t>Although the degree of metal contamination is expected to be a primary determinant of metallothionein (MT) induction in marine mussels, at least at polluted sites, variability caused by temperature, and biotic factors such as size, may need to be considered when interpreting field data. To test the effects of these variables, mussels, Mytilus galloprovincialis, of different sizes (small: 3.5+/-0.5 cm and large: 5.2+/-0.7 cm) were exposed to Cd (100 mug 1(-1)) at different water temperatures (5, 18 and 25 degreesC) for 34 days. Resultant Cd and MT concentrations in gills were shown to be size dependent and increased significantly with temperature. At the highest temperature tested (25 degreesC) there appears to be a disproportionate effect on Cd accumulation, which raises MT synthesis to exceptionally high levels. The effect of size on MT concentrations was also temperature-dependent: at 18 and 25 degreesC, large mussels exhibited higher MT levels than smaller individuals, whilst at 5 degreesC there were no significant differences between contaminated and control mussels, in either size-group, as a result of the reduced level of MT production at this temperature. When considering the use of MT levels in mussels as a biochemical indicator of metal contamination, the potential influence of factors such as size and temperature on MT-metal relationships needs to be considered. Samples should be of uniform size as far as possible, and collection should be limited to a fixed season (avoiding climatic extremes) to ensure that the effects of these factors on baseline levels of MT is minimised. (C) 2002 Elsevier Science Ltd. All rights reserved.</t>
  </si>
  <si>
    <t>Univ Algarve, CIMA, P-8000810 Faro, Portugal; Marine Biol Assoc UK, Plymouth PL1 2PB, Devon, England</t>
  </si>
  <si>
    <t>Universidade do Algarve; Marine Biological Association United Kingdom</t>
  </si>
  <si>
    <t>Univ Algarve, CIMA, Campus Gambelas, P-8000810 Faro, Portugal.</t>
  </si>
  <si>
    <t>PII S0141-1136(02)00121-6</t>
  </si>
  <si>
    <t>10.1016/S0141-1136(02)00121-6</t>
  </si>
  <si>
    <t>http://dx.doi.org/10.1016/S0141-1136(02)00121-6</t>
  </si>
  <si>
    <t>WOS:000178360100029</t>
  </si>
  <si>
    <t>Ringwood, AH; Conners, DE; DiNovo, A</t>
  </si>
  <si>
    <t>The effects of copper exposures on cellular responses in oysters</t>
  </si>
  <si>
    <t>METALLOTHIONEINS</t>
  </si>
  <si>
    <t>Copper is art essential and toxic trace metal that can adversely affect metal- requiring enzymes and proteins, and cause oxidative damage. Oysters. Crassostrea virginica, bioconcentrate Cu front environments contaminated by a variety of point and non-point sources. The purpose of these studies was to evaluate a suite of cellular parameters (lysosomal destabilization, glutathione concentrations, lipid peroxidation, and metallothioneins) in Cu-exposed oysters (5 to 80 mu g l(-1) for two weeks) in order to distinguish between exposure and stress responses. Copper exposures caused increased lysosomal destabilization, increased lipid peroxidation, and indiction of Cu metallothioneins, but no effects on glutathione were observed. Experiments were also conducted in which BSO was used to deplete glutathione to consider how other environmental factors that affect amelioration responses may potentiate Cu toxicity. Lysosomal destabilization rates were significantly higher in glutathione-depleted oysters. Lipid peroxidation was higher initially during the first four dalls of Cu exposures, but then the levels declined to control levels. This amelioration was associated with the increased expression of metallothioneins. During the first four days of Cu exposure, no significant increases in MTs were observed, but subsequent induction of MTs was associated with reduced lipid peroxidation, Some cellular responses to Cu exposures represent normal compensatory mechanisms that may effectively ameliorate the insult. Therefore, it is important to appreciate the significance of the response or use a suite of responses to determine when effects have progressed front art exposure response to really being a signal of stress. (C) 1998 Elsevier Science Ltd. All rights reserved.</t>
  </si>
  <si>
    <t>Marine Resources Res Inst, Charleston, SC 29412 USA; Med Univ S Carolina, Charleston, SC 29425 USA</t>
  </si>
  <si>
    <t>Ringwood, AH (corresponding author), Marine Resources Res Inst, 217 Fort Johnson Rd, Charleston, SC 29412 USA.</t>
  </si>
  <si>
    <t>10.1016/S0141-1136(97)00084-6</t>
  </si>
  <si>
    <t>http://dx.doi.org/10.1016/S0141-1136(97)00084-6</t>
  </si>
  <si>
    <t>WOS:000075806100122</t>
  </si>
  <si>
    <t>Ranjbar, R; Shariati, FP; Tavakoli, O; Ehteshami, F</t>
  </si>
  <si>
    <t>Ranjbar, Reza; Shariati, Farshid Pajoum; Tavakoli, Omid; Ehteshami, Fariborz</t>
  </si>
  <si>
    <t>Fabrication of a new reactor design to apply freshwater mussel Anodonta cygnea for biological removal of water pollution</t>
  </si>
  <si>
    <t>Anodonta cygnea; Bioreactor; Freshwater mussel; Heavy metal; Microalgae; Wastewater treatment</t>
  </si>
  <si>
    <t>WASTE-WATER; NEUROENDOCRINE DISRUPTION; ACCUMULATION; OIL; CD</t>
  </si>
  <si>
    <t>Population growth increases wastewater production, enhances environmental concerns, and increases wastewater treatment costs. This study aimed to use Anodonta cygnea (freshwater mussels) exposed to some water pollution in a closed cycle to treat wastewater by consuming harmful or undesirable pollutants in water. The results demonstrated that mussels eliminated all microalgae, reduced organic pollutant concentration (chemical oxygen demand removal rate 40% faster than lacked mussels tank), and removed some water hardening minerals such as Calcium (Ca) (more than 77%) and Nickel (Ni) as heavy metal (more than 78%), confirming that freshwater mussels could be helpful in the wastewater treatment cycle. The method can be used as the practical implementation of setting up a semi-natural system for the decentralized wastewater purification relying on the recruitment of mussels. The method also suggests a favorable and eco-friendly treatment mechanism to remove chemical oxygen demand, chemical elements, biological pollutions, and microorganisms.</t>
  </si>
  <si>
    <t>[Ranjbar, Reza; Shariati, Farshid Pajoum] Islamic Azad Univ, Dept Chem Engn, Sci &amp; Res Branch, Tehran, Iran; [Tavakoli, Omid] Univ Tehran UT, Coll Engn, Sch Chem Engn, Tehran 14176, Iran; [Ehteshami, Fariborz] Agr Res Educ &amp; Extens Org AREEO, Iranian Fisheries Sci Res Inst, Tehran, Iran</t>
  </si>
  <si>
    <t>Tavakoli, O (corresponding author), Univ Tehran UT, Coll Engn, Sch Chem Engn, Tehran 14176, Iran.</t>
  </si>
  <si>
    <t>reza.ranjbar@srbiau.ac.ir; pajoum@srbiau.ac.ir; otavakoli@ut.ac.ir; F.ehteshami@areeo.ac.ir</t>
  </si>
  <si>
    <t>Pajoum shariati, Farshid/AAW-7717-2021; Ehteshami, Fariborz/I-7379-2013</t>
  </si>
  <si>
    <t>Ehteshami, Fariborz/0000-0001-9374-0902; Pajoumshariati, Farshid/0000-0003-3611-6884</t>
  </si>
  <si>
    <t>10.1016/j.aquaculture.2021.737077</t>
  </si>
  <si>
    <t>http://dx.doi.org/10.1016/j.aquaculture.2021.737077</t>
  </si>
  <si>
    <t>UA4EN</t>
  </si>
  <si>
    <t>WOS:000685114200009</t>
  </si>
  <si>
    <t>Bates, EH; Alma, L; Ugrai, T; Gagnon, A; Maher, M; McElhany, P; Padilla-Gamiño, JL</t>
  </si>
  <si>
    <t>Bates, Eileen H.; Alma, Lindsay; Ugrai, Tamas; Gagnon, Alexander; Maher, Michael; McElhany, Paul; Padilla-Gamino, Jacqueline L.</t>
  </si>
  <si>
    <t>Evaluation of the Effect of Local Water Chemistry on Trace Metal Accumulation in Puget Sound Shellfish Shows That Concentration Varies With Species, Size, and Location</t>
  </si>
  <si>
    <t>aquaculture; oyster; mussel; ocean warming; ocean acidification; trace metal; bioaccumulation; climate change</t>
  </si>
  <si>
    <t>BIVALVES CRASSOSTREA-VIRGINICA; OCEAN ACIDIFICATION; SUBCELLULAR-DISTRIBUTION; CLIMATE-CHANGE; HEAVY-METALS; ADDIS-ABABA; COPPER; MUSSEL; FISH; BIOACCUMULATION</t>
  </si>
  <si>
    <t>Global climate change is causing ocean acidification (OA), warming, and decreased dissolved oxygen (DO) in coastal areas, which can cause physiological stress and compromise the health of marine organisms. While there is increased focus on how these stressors will affect marine species, there is little known regarding how changes in water chemistry will impact the bioaccumulation of trace metals. This study compared trace metal concentrations in tissue of Mediterranean mussels (Mytilus galloprovincialis) and Olympia oysters (Ostrea lurida) in Puget Sound, Washington, a region that experiences naturally low pH, seasonal hypoxia, and is surrounded by urbanized and industrialized areas. Shellfish were held at three sites (Carr Inlet, Point Wells, and Dabob Bay) where oceanographic data was continuously collected using mooring buoys. Using inductively coupled plasma mass-spectrometry (ICP-MS) to measure trace metals in the tissue, we found differences in accumulation of trace metals based on species, location, and shellfish size. Our study found differences between sites in both the mean metal concentrations and variability around the mean of those concentrations in bivalves. However, high metal concentrations in bivalves were not associated with high concentrations of metals in seawater. Metal concentrations in shellfish were associated with size: smaller shellfish had higher concentrations of metals. Carr Inlet at 20 m depth had the smallest shellfish and the highest metal concentrations. While we could not eliminate possible confounding factors, we also found higher metal concentrations in shellfish associated with lower pH, lower temperature, and lower dissolved oxygen (conditions seen at Carr Inlet at 20 m and to a lesser extent at Point Wells at 5 m depth). There were also significant differences in accumulation of metals between oysters and mussels, most notably copper and zinc, which were found in higher concentrations in oysters. These findings increase our understanding of spatial differences in trace metal bioaccumulation in shellfish from Puget Sound. Our results can help inform the Puget Sound aquaculture industry how shellfish may be impacted at different sites as climate change progresses and coastal pollution increases.</t>
  </si>
  <si>
    <t>[Bates, Eileen H.; Alma, Lindsay; Padilla-Gamino, Jacqueline L.] Univ Washington, Sch Aquat &amp; Fishery Sci, Seattle, WA 98195 USA; [Ugrai, Tamas; Gagnon, Alexander] Univ Washington, Sch Oceanog, Seattle, WA 98195 USA; [Maher, Michael; McElhany, Paul] NOAA, Northwest Fisheries Sci Ctr, Mukilteo Res Stn, Mukilteo, WA USA</t>
  </si>
  <si>
    <t>University of Washington; University of Washington Seattle; University of Washington; University of Washington Seattle; National Oceanic Atmospheric Admin (NOAA) - USA</t>
  </si>
  <si>
    <t>Bates, EH (corresponding author), Univ Washington, Sch Aquat &amp; Fishery Sci, Seattle, WA 98195 USA.</t>
  </si>
  <si>
    <t>ehbates@uw.edu</t>
  </si>
  <si>
    <t>Padilla-Gamino, Jacqueline/AGL-6020-2022</t>
  </si>
  <si>
    <t>Gagnon, Alexander/0000-0003-0717-2916</t>
  </si>
  <si>
    <t>University of Washington; NOAA Saltonstall-Kennedy Grant [NA17NMF4270222]; UW Royalty Research Fund [FA137468/A118587]; MJ Murdock Charitable Trust</t>
  </si>
  <si>
    <t>University of Washington(University of Washington); NOAA Saltonstall-Kennedy Grant; UW Royalty Research Fund; MJ Murdock Charitable Trust</t>
  </si>
  <si>
    <t>This work was supported by the University of Washington startup funds, a NOAA Saltonstall-Kennedy Grant (NA17NMF4270222), and UW Royalty Research Fund (FA137468/A118587) grant awarded to JP-G, as well as a subaward to JP-G from an MJ Murdock Charitable Trust grant (Inductively Coupled Plasma-Mass Spectrometer). Funders supported graduate students, field work, materials and supplies, chemical analyses, and publication charges.</t>
  </si>
  <si>
    <t>MAR 4</t>
  </si>
  <si>
    <t>10.3389/fmars.2021.636170</t>
  </si>
  <si>
    <t>http://dx.doi.org/10.3389/fmars.2021.636170</t>
  </si>
  <si>
    <t>QY4EH</t>
  </si>
  <si>
    <t>WOS:000629994200001</t>
  </si>
  <si>
    <t>Mansour, C; Guibbolini, M; Hacene, OR; Mosbahi, DS; Risso-de Faverney, C</t>
  </si>
  <si>
    <t>Mansour, Chalbia; Guibbolini, Marielle; Rouane Hacene, Omar; Saidane Mosbahi, Dalila; Risso-de Faverney, Christine</t>
  </si>
  <si>
    <t>Oxidative Stress and Damage Biomarkers in Clam Ruditapes decussatus Exposed to a Polluted Site: The Reliable Biomonitoring Tools in Hot and Cold Seasons</t>
  </si>
  <si>
    <t>POLYCYCLIC AROMATIC-HYDROCARBONS; GLUTATHIONE S-TRANSFERASES; OYSTER CRASSOSTREA-GIGAS; ASSESSING WATER-QUALITY; MUSSELS MYTILUS-EDULIS; SILVER NANOPARTICLES; ANTIOXIDANT RESPONSES; SUPEROXIDE-DISMUTASE; REPRODUCTIVE-CYCLE; PERNA-VIRIDIS</t>
  </si>
  <si>
    <t>In the present study, a multi-biomarker approach was used to assess the biological effects of metal pollution in the southern lagoon of Tunis, on clam Ruditapes decussatus both in hot (in summer) and cold (in winter) seasons. Clams were collected in August 2015 and February 2016 from three sites of the lagoon and from Louza considered a reference site. The concentrations of five trace metals (cadmium, copper, iron, lead, and zinc) in the soft tissues of R. decussatus were evaluated at the sampling sites. A core of biomarkers indicative of (a) neurotoxicity (acetylcholinesterase, AChE); (b) biotransformation (glutathione S-transferase, GST); (c) oxidative stress (catalase, CAT; total glutathione peroxidase, T-GPx; total glutathione peroxidase, T-GPx; selenium-dependent glutathione peroxidase, Se-GPx; glutathione reductase, GR; superoxide dismutase, SOD) (d) lipid peroxidation (malondialdhyde, MDA level), and (e) apoptotic process (caspase 3-like, CSP3) was selected for measurements of environmental effects on the populations of clams collected from the different sampling sites. The results of metal bioaccumulation in soft tissues of Ruditapes decussatus revealed a high pollution in the South Lagoon of Tunis with spatial variation and relatively high levels at the navigation channel. Anthropogenic pollutants in the lagoon led to the activation of antioxidant defense and biotransformation enzymes to oxidative damage of the membrane and activation of apoptosis, and revealed neurotoxicity. Among this core of biomarkers, the antioxidants enzymes (CAT, SOD, GR, and GPx) were very sensitive, allowing the discrimination among sites and pointing to the navigation channel as the most impacted site in the southern lagoon of Tunis. Moreover, a significant effect of season was recorded on biomarkers responses (e.g., CAT, GR, SOD, AChE, and CSP3 activities and MDA levels) with higher levels in winter than in summer, probably influenced by the reproductive stage and food availability. Finally, the measurement of the selected core of biomarkers in the whole soft tissues of clams was considered as an integrated indicator of environmental stress. Moreover, R. decussatus proved to be a remarkable sentinel species capable to establish a reliable diagnosis of the health status of the marine environment in different areas of the southern lagoon of Tunis, both in hot and cold seasons.</t>
  </si>
  <si>
    <t>[Mansour, Chalbia; Saidane Mosbahi, Dalila] Univ Monastir, Lab Anal Treatment &amp; Valorizat Pollutants Environ, Fac Pharm, Ibn Sina St, Monastir 5000, Tunisia; [Guibbolini, Marielle; Risso-de Faverney, Christine] Univ Cote Azur, CNRS, ECOSEAS, UMR 7035, 28 Ave Valrose BP 71, F-06108 Nice 2, France; [Rouane Hacene, Omar] Univ Oran, Dept Biol, LRSE, 1 Ahmed Ben Bella, BP 1524 El Mnaouer, Oran 31000, Algeria</t>
  </si>
  <si>
    <t>Universite de Monastir; Universite Cote d'Azur; Centre National de la Recherche Scientifique (CNRS); Universite d'Oran</t>
  </si>
  <si>
    <t>Mansour, C (corresponding author), Univ Monastir, Lab Anal Treatment &amp; Valorizat Pollutants Environ, Fac Pharm, Ibn Sina St, Monastir 5000, Tunisia.</t>
  </si>
  <si>
    <t>Chalbia27@yahoo.fr</t>
  </si>
  <si>
    <t>MANSOUR, CHALBIA/0000-0003-4910-6837</t>
  </si>
  <si>
    <t>PHC Maghreb project [MAG 15MAG23]</t>
  </si>
  <si>
    <t>PHC Maghreb project</t>
  </si>
  <si>
    <t>This study was supported by the PHC Maghreb project MAG 15MAG23.</t>
  </si>
  <si>
    <t>10.1007/s00244-020-00713-2</t>
  </si>
  <si>
    <t>http://dx.doi.org/10.1007/s00244-020-00713-2</t>
  </si>
  <si>
    <t>KV4DR</t>
  </si>
  <si>
    <t>WOS:000515746000001</t>
  </si>
  <si>
    <t>Gagné, F; Blaise, C; Aoyama, I; Luo, R; Gagnon, C; Couillard, Y; Campbell, P; Salazar, M</t>
  </si>
  <si>
    <t>Biomarker study of a municipal effluent dispersion plume in two species of freshwater mussels</t>
  </si>
  <si>
    <t>10th International Symposium on Toxicity Assessment (ISTA 10)</t>
  </si>
  <si>
    <t>AUG 26-31, 2001</t>
  </si>
  <si>
    <t>QUEBEC CITY, CANADA</t>
  </si>
  <si>
    <t>mussels; biomarkers; municipal effluents; toxicity</t>
  </si>
  <si>
    <t>PYGANODON-GRANDIS; METALLOTHIONEIN; INDUCTION; DNA; BIVALVE; ESTRADIOL-17-BETA; POLLUTION; MOLLUSKS; CADMIUM; BINDING</t>
  </si>
  <si>
    <t>The toxicological effects of a primary-treated municipal effluent plume were investigated in two species of freshwater mussels, Elliptio complanata and Dreissena polymorpha, exposed for 62 days at sites upstream and downstream of an effluent outfall in the St. Lawrence River (Quebec, Canada). Levels of metallothioneins (MT), cytochrome P4501A1 activity, DNA damage, total lipids, relative levels of vitellins, and phagocytic activity (in E complanata hemocytes) were determined after the exposure period. A parallel analysis measured heavy metals and coprostanol in mussel tissues. The results show that significant levels of coprostanol and some metals (specifically, Cu, Hg, Sb, Se, and Zn) had accumulated in mussels caged 5 km downstream of the effluent plume. Mixed-function oxidase activity, MT in gills, total lipids, DNA damage (in D. polymorpha only), and total hemolymph bacteria (in E complanata only) had increased in these mussels, while levels of total cadmium (Cd), MT in digestive glands or whole soft tissues, phagocytic activity, and DNA damage in the digestive gland (in E. complanata only) were diminished. The exposure of mussels to surface waters contaminated by a municipal effluent led to many stress responses, depending on both the tissues and the species being examined. (C) 2002 Wiley Periodicals, Inc.</t>
  </si>
  <si>
    <t>Environm Canada, St Lawrence Ctr, Montreal, PQ H2Y 2E7, Canada; Okayama Univ, Res Inst Bioresources, Lab Ecol Chem &amp; Anal, Kurashiki, Okayama 7100046, Japan; Environm Canada, Chem Evaluat Div, Existing Chem Branch, Ottawa, ON K1A 0H3, Canada; Univ Quebec, Inst Natl Rech Sci Eau, Ste Foy, PQ G1V 4C7, Canada; Appl Biomonitoring, Kirkland, WA 98034 USA</t>
  </si>
  <si>
    <t>Environment &amp; Climate Change Canada; Okayama University; Environment &amp; Climate Change Canada; University of Quebec; Institut national de la recherche scientifique (INRS)</t>
  </si>
  <si>
    <t>christian.blaise@ec.gc.ca</t>
  </si>
  <si>
    <t>10.1002/tox.10046</t>
  </si>
  <si>
    <t>http://dx.doi.org/10.1002/tox.10046</t>
  </si>
  <si>
    <t>571KW</t>
  </si>
  <si>
    <t>WOS:000176717400002</t>
  </si>
  <si>
    <t>Yap, CK; Shahbazi, A; Zakaria, MP</t>
  </si>
  <si>
    <t>Yap, C. K.; Shahbazi, A.; Zakaria, M. P.</t>
  </si>
  <si>
    <t>Concentrations of Heavy Metals (Cu, Cd, Zn and Ni) and PAHs in Perna viridis Collected from Seaport and Non-seaport Waters in the Straits of Johore</t>
  </si>
  <si>
    <t>Heavy metals; Polycyclic aromatic hydrocarbons; Perna viridis</t>
  </si>
  <si>
    <t>POLYCYCLIC AROMATIC-HYDROCARBONS; DIFFERENT SOFT-TISSUES; MUSSEL WATCH; RECENT SEDIMENTS; POLLUTION; COASTAL; PB; ORGANOCHLORINES; BIOAVAILABILITY; LINNAEUS</t>
  </si>
  <si>
    <t>In this study, the ranges of pollutants found in the soft tissues of Perna viridis collected from Kg. Masai and Kg. Sg. Melayu, both located in the Straits of Johore, were 0.85-1.58 mu g/g dry weight (dw) for Cd, 5.52-12.2 mu g/g dw for Cu, 5.66-8.93 mu g/g dw for Ni and 63.4-72.3 mu g/g dw for Zn, and 36.4-244 ng/g dry weight for aPAHs. Significantly (p &lt; 0.05) higher concentrations of Cd, Cu, Ni, Zn and aPAHs in the mussels were found in the water of a seaport site at Kg. Masai than a non-seaport site at Kg. Sg. Melayu population. The ratios of low molecular weight/high molecular weight hydrocarbons (2.94-3.42) and fluoranthene/pyrene (0.43-0.45) in mussels from both sites indicated the origin of the PAHs to be mainly petrogenic. This study has demonstrated the utility of using the soft tissues of P. viridis as a biomonitor of PAH contamination and bioavailability in the coastal waters of Peninsular Malaysia.</t>
  </si>
  <si>
    <t>[Yap, C. K.] Univ Putra Malaysia, Fac Sci, Dept Biol, Serdang 43400, Selangor, Malaysia; [Shahbazi, A.; Zakaria, M. P.] Univ Putra Malaysia, Fac Environm Studies, Forens Chem Res Grp, Serdang 43400, Selangor, Malaysia</t>
  </si>
  <si>
    <t>Yap, CK (corresponding author), Univ Putra Malaysia, Fac Sci, Dept Biol, Serdang 43400, Selangor, Malaysia.</t>
  </si>
  <si>
    <t>Zakaria, Mohamad/R-8652-2019; Yap, Chee Kong/N-1318-2015</t>
  </si>
  <si>
    <t>Zakaria, Mohamed/0000-0002-2244-2139; Yap, Chee Kong/0000-0003-0317-0999</t>
  </si>
  <si>
    <t>Universiti Putra Malaysia [9316800]</t>
  </si>
  <si>
    <t>The authors wish to acknowledge the financial support provided through the Research University Grant Scheme (RUGS) [vote no.: 9316800], provided by Universiti Putra Malaysia.</t>
  </si>
  <si>
    <t>10.1007/s00128-012-0838-x</t>
  </si>
  <si>
    <t>http://dx.doi.org/10.1007/s00128-012-0838-x</t>
  </si>
  <si>
    <t>034IX</t>
  </si>
  <si>
    <t>WOS:000310867400021</t>
  </si>
  <si>
    <t>Nour, HE</t>
  </si>
  <si>
    <t>Nour, Hamdy El Sayed</t>
  </si>
  <si>
    <t>Distribution and accumulation ability of heavy metals in bivalve shells and associated sediment from Red Sea coast, Egypt</t>
  </si>
  <si>
    <t>Bio-accumulation; Trace elements; Molluscan shells; Environmental indicators</t>
  </si>
  <si>
    <t>TRACE-METALS; MYTILUS-EDULIS; MOLLUSKS; CONTAMINATION; POLLUTION; QUALITY; BAY; BIOACCUMULATION; ESTUARINE; SEAWATER</t>
  </si>
  <si>
    <t>Concentrations of Fe, Mn, Cu, Zn, Pb, Ni, Cd, and Co in molluscan shells and associated surface sediments from four sites on the Gulf of Aqaba and Red Sea coasts, Egypt, were measured by using atomic absorption spectrophotometer. The results revealed an apparent difference in the ability of each species regarding accumulating heavy metals in its shell. These results showed that Tridacna squamosa has the highest accumulation ability for Pb, Ni, and Zn, and Chama pacifica has the highest accumulation capability for Co and Cd, whereas Periglypta reticulata has the highest accumulation ability for Cu. The results also showed that there is a positive correlation between the concentration of Cu, Zn, Pb, and Ni and the size of shell. Simultaneously, there is a negative correlation with Fe, Mn, Co, and Cd. The results of bio-accumulation of molluscan species were consistent with the enrichment factors for sediments, where the Hurghada site was extremely enriched with Pb and very enriched with Cu, Zn, and Ni. Moreover, the Quseir site was extremely enriched with Cd and very enriched with Pb. The Um al-Sid site was severe enriched with Cd and Pb. Meanwhile, the Ras Mohamed site was severe enriched with Pb and nearly unpolluted with other metals. Heavy metals can enter the studied ecosystem by terrigenous and anthropogenic sources as a weathering process of the nearby beaches and mountains, ship maintenance, industrial activities, wastewater, and traffic exhaust.</t>
  </si>
  <si>
    <t>[Nour, Hamdy El Sayed] Zagazig Univ, Fac Sci, Geol Dept, Zagazig, Egypt</t>
  </si>
  <si>
    <t>Egyptian Knowledge Bank (EKB); Zagazig University</t>
  </si>
  <si>
    <t>Nour, Hamdy/X-5362-2018</t>
  </si>
  <si>
    <t>10.1007/s10661-020-08285-3</t>
  </si>
  <si>
    <t>http://dx.doi.org/10.1007/s10661-020-08285-3</t>
  </si>
  <si>
    <t>LP4ZK</t>
  </si>
  <si>
    <t>WOS:000534327000001</t>
  </si>
  <si>
    <t>Senthilnathan, S; Balasubramanian, T; Venugopalan, VK</t>
  </si>
  <si>
    <t>Metal concentration in mussel Perna viridis (Bivalvia/Anisomyaria) and oyster Crassostrea madrasensis (Bivalvia/Anisomyaria) from some parts in southeast coast of India</t>
  </si>
  <si>
    <t>MYTILUS-EDULIS; TRACE-METALS; BIOACCUMULATION; COPPER; WATERS; LEAD</t>
  </si>
  <si>
    <t>The concept of mussel watch has been applied to monitor the levels of heavy metals in the southeast coast of India covering a distance of 250 km. The data reflected a definite seasonal variation with an increased metal load during the monsoon period and decreased level during the summer period. The order of metal accumulation was found to be Zn&gt;Cu&gt;Pb&gt;Cd&gt;Hg. Salinity of the media was found to play an important role in the accumulation of metals in tissue. A linear relationship was found between the metal level in the tissues and that in the dissolved fractions. Oyster showed maximum concentration factor (CF) when compared to mussels. Both animals showed high adsorption and absorption capacity for heavy metals as revealed by the CF, suggesting that they can be used as indicator for water quality and heavy metal pollution on a long-term basis.</t>
  </si>
  <si>
    <t>Annamalai Univ, Ctr Adv Study Marine Biol, Parangipettai 608502, Tamil Nadu, India</t>
  </si>
  <si>
    <t>Senthilnathan, S (corresponding author), Salim Ali Ctr Ornithol &amp; Nat Hist, Environm Impact Assessment Div, Coimbatore 641108, Tamil Nadu, India.</t>
  </si>
  <si>
    <t>WOS:000074702600011</t>
  </si>
  <si>
    <t>Lysosomal membrane stability, phagocytosis and tolerance to emersion in the mussel Perna viridis (Bivalvia: Mytilidae) following exposure to acute, sublethal, copper</t>
  </si>
  <si>
    <t>Perna viridis; haemocyte; lysosome; phagocytosis; biomarker</t>
  </si>
  <si>
    <t>MYTILUS-GALLOPROVINCIALIS; L. BIVALVIA; HONG-KONG; RESPONSES; DETOXICATION; POLLUTION; INVITRO; STRESS; CELLS</t>
  </si>
  <si>
    <t>The mytilid mussel Perna viridis is distributed throughout the Indo-Pacific region and is potentially a suitable candidate for biological effects (biomarker) monitoring in the subtropics. A suite of cytological and physiological responses to acute (48-72 h) copper exposures of 50-200 mug 1(-1) were assessed in order to determine the suitability of P. viridis for marine pollution monitoring. Copper elicited significant destabilisation of the haemocyte lysosomal membranes and also impaired phagocytosis. Survival during emersion following exposure to copper was not related to the experimental copper exposures suggesting that higher metal concentrations may be required to interfere with anaerobic enzymes responsible for suppression of metabolism. Based on this preliminary study, cytological biomarkers evaluated in the haemocytes extracted from P. viridis should prove an effective non-destructive means of assessing metal pollution throughout the mussels subtropical range. (C) 2003 Elsevier Science Ltd. All rights reserved.</t>
  </si>
  <si>
    <t>Univ Hong Kong, Swire Inst Marine Sci, Dept Ecol &amp; Biodivers, Shek O, Hong Kong, Peoples R China</t>
  </si>
  <si>
    <t>Nicholson, S (corresponding author), Mouchel Asia Ltd, 12-F MLC Tower,248 Queens Rd E, Wanchai, Hong Kong, Peoples R China.</t>
  </si>
  <si>
    <t>10.1016/S0045-6535(03)00328-X</t>
  </si>
  <si>
    <t>http://dx.doi.org/10.1016/S0045-6535(03)00328-X</t>
  </si>
  <si>
    <t>697LW</t>
  </si>
  <si>
    <t>WOS:000183945500006</t>
  </si>
  <si>
    <t>Lozano-Bilbao, E; Méndez, S; Lozano, G; Hardisson, A; González-Weller, D; Rubio, C; Gutiérrez, A</t>
  </si>
  <si>
    <t>Lozano-Bilbao, Enrique; Mendez, Songlian; Lozano, Gonzalo; Hardisson, Arturo; Gonzalez-Weller, Dailos; Rubio, Carmen; Gutierrez, Angel</t>
  </si>
  <si>
    <t>Metals in Mytillus galloprovincialis (Lamarck 1819) and Ensis directus (Conrad 1883): Risk Assessment</t>
  </si>
  <si>
    <t>Admissible daily intakes; Bivalves; Estimated daily intakes; Heavy metals; Inductively coupled plasma optical emission spectrometry</t>
  </si>
  <si>
    <t>HEAVY-METALS; CANARY-ISLANDS; MUSSELS; POLLUTION; BIVALVES; MOLLUSKS; EXPOSURE; QUALITY; WATER</t>
  </si>
  <si>
    <t>The study has been conducted with inductively coupled plasma optical emission spectrometry to determine the content of toxic heavy metals, macroelements, and essential elements in two species of bivalves of commercial interest in the Canary Islands: the Mediterranean mussel (Mytillus galloprovincialis, Lamarck 1819) and the razor clam (Ensis directus, Conrad 1883). The study included 40 samples corresponding to 20 specimens of each species acquired from fishmongers on the island of Tenerife. E. directus had higher levels of metals, except for B, Cd, Na, and Zn (0.98, 0.02, 2,006.93, and 15.07 mg/kg, respectively) compared with those in M. galloprovincialis, B, Cd, Na, and Zn (2.67, 0.12, 2,267.7, and 22.27 mg/kg, respectively). In both bivalve molluscs, the maximum limits established by European legislation on food for human consumption were not exceeded. Likewise, the estimated daily intakes for the toxic metals Pb and Cd were below the admissible daily intakes.</t>
  </si>
  <si>
    <t>[Lozano-Bilbao, Enrique; Mendez, Songlian; Lozano, Gonzalo] Univ La Laguna, Unidad Dept Ciencias Marinas, Dept Biol Anim Edafol &amp; Geol, San Cristobal la Laguna 38206, Santa Cruz De T, Spain; [Lozano-Bilbao, Enrique; Lozano, Gonzalo; Hardisson, Arturo; Gonzalez-Weller, Dailos; Rubio, Carmen; Gutierrez, Angel] Univ La Laguna, Fac Med, Grp Interuniv Toxicol Alimentaria &amp; Ambiental, Campus Ofra, Tenerife 38071, Spain; [Hardisson, Arturo; Rubio, Carmen; Gutierrez, Angel] Univ La Laguna, Fac Ciencias Salud, Area Toxicol, Santa Cruz De Tenerife 38071, Spain; [Gonzalez-Weller, Dailos] Serv Publ Canario Salud, Lab Cent, Rambla Gen Franco 53, Santa Cruz De Tenerife 38006, Spain</t>
  </si>
  <si>
    <t>Universidad de la Laguna; Universidad de la Laguna; Universidad de la Laguna</t>
  </si>
  <si>
    <t>Gutiérrez, A (corresponding author), Univ La Laguna, Fac Med, Grp Interuniv Toxicol Alimentaria &amp; Ambiental, Campus Ofra, Tenerife 38071, Spain.;Gutiérrez, A (corresponding author), Univ La Laguna, Fac Ciencias Salud, Area Toxicol, Santa Cruz De Tenerife 38071, Spain.</t>
  </si>
  <si>
    <t>Gutiérrez, Angel J./AAE-8005-2022; Lozano-Bilbao, Enrique/AAH-4530-2019; Rubio, Carmen/AAK-9343-2021; Gutierrez, Angel J./F-3125-2016</t>
  </si>
  <si>
    <t>Gutierrez, Angel J./0000-0003-1581-0850; Hardisson, Arturo/0000-0002-5760-4687; , Gonzalez-Weller/0000-0001-7702-4404; Rubio, Carmen/0000-0001-8774-5870; Lozano-Bilbao, Enrique/0000-0001-6971-1845</t>
  </si>
  <si>
    <t>10.4315/0362-028X.JFP-18-120</t>
  </si>
  <si>
    <t>http://dx.doi.org/10.4315/0362-028X.JFP-18-120</t>
  </si>
  <si>
    <t>GU9KJ</t>
  </si>
  <si>
    <t>WOS:000445664100008</t>
  </si>
  <si>
    <t>ROESIJADI, G; DRUM, AS; THOMAS, JM; FELLINGHAM, GW</t>
  </si>
  <si>
    <t>ENHANCED MERCURY TOLERANCE IN MARINE MUSSELS AND RELATIONSHIP TO LOW-MOLECULAR WEIGHT, MERCURY-BINDING PROTEINS</t>
  </si>
  <si>
    <t>Preexposure of marine mussels to low levels of Hg (.ltoreq. 0.5 .mu.g/l) enhanced their tolerance to more toxic levels. Seawater Hg concentrations similar to these preexposure levels were reported in Hg-contaminated areas where mussels existed. A higher preexposure concentration (5 .mu.g/l) was not effective in inducing enhanced Hg tolerance. The relative effectiveness of preexposure concentration in inducing enhanced tolerance was related to induction of Hg-binding proteins, the degreee of saturation of Hg on the proteins and the extent of binding of Hg to other subcellular fractions.</t>
  </si>
  <si>
    <t>BATTELLE MEM INST, PACIFIC NW LABS, QUANTITAT ECOL SECT, RICHLAND, WA 99352 USA</t>
  </si>
  <si>
    <t>Battelle Memorial Institute; United States Department of Energy (DOE); Pacific Northwest National Laboratory</t>
  </si>
  <si>
    <t>BATTELLE MEM INST, PACIFIC NW LABS, MARINE RES LABS, SEQUIM, WA 98382 USA.</t>
  </si>
  <si>
    <t>Roesijadi, Guri/JDW-4098-2023</t>
  </si>
  <si>
    <t>Roesijadi, Guritno/0000-0001-5479-4596</t>
  </si>
  <si>
    <t>10.1016/0025-326X(82)90349-6</t>
  </si>
  <si>
    <t>http://dx.doi.org/10.1016/0025-326X(82)90349-6</t>
  </si>
  <si>
    <t>NZ682</t>
  </si>
  <si>
    <t>WOS:A1982NZ68200009</t>
  </si>
  <si>
    <t>Breitwieser, M; Barbarin, M; Plumejeaud-Perreau, C; Dubillot, E; Guyot, T; Huet, V; Churlaud, C; Coulombier, T; Brenon, I; Fichet, D; Imbert, N; Thomas, H</t>
  </si>
  <si>
    <t>Breitwieser, Marine; Barbarin, Marine; Plumejeaud-Perreau, Christine; Dubillot, Emmanuel; Guyot, Thierry; Huet, Valerie; Churlaud, Carine; Coulombier, Thibaut; Brenon, Isabelle; Fichet, Denis; Imbert, Nathalie; Thomas, Helene</t>
  </si>
  <si>
    <t>Biomonitoring of Mimachiamys varia transplanted to areas impacted by human activities (La Rochelle Marina, France)</t>
  </si>
  <si>
    <t>Biomarkers; Environmental quality; Heavy metals; Port area</t>
  </si>
  <si>
    <t>CAGED MUSSELS; OXIDATIVE STRESS; ENVIRONMENTAL-POLLUTION; BIOMARKERS; BIOACCUMULATION; CONTAMINATION; METALS; POPULATIONS; RESPONSES; SEDIMENT</t>
  </si>
  <si>
    <t>The development of human activities on French Atlantic coastlines (La Rochelle) lead to chronic pollution of the environment by organic (pesticides, hydrocarbons, agrochemicals) and inorganic (heavy metals) contaminants. These past years, several regulations have been implemented to preserve coastal environments. The purpose of this study was to perform biomonitoring of bivalve species using an outdoor caging technique. The goal of our work was to assess the impact of harbour's trace elements on the state of health of the marine bivalve Mimachlamys varia. First, various molecular defence biomarkers were measured: SOD (oxidative stress), GST (detoxification process), MDA (lipid peroxidation), and Laccase (immune reaction). Thus, in April 2016, scallops were collected at three caging sites, which differ by their levels of pollution, after transplantation into port areas (fairing, rainwater) and a control site (marsh). Bivalve samples were taken at three sampling dates (D0, D07, D21). Biomarker assays were performed in the digestive glands due to their bioaccumulation properties. The second aim was to explore the impacts of inorganic pollutants placed in environmental harbour's sites. After 21 days, the biomarker response of transplanted bivalves revealed a SOD decrease, Laccase and GST stimulations, higher concentrations in Cu, Fe, As, Co, Mn, Zn, Sn and no significant variation of MDA concentration. Our ecological relevance of biomarker approaches opens interesting perspectives to identify M. varia such as a pertinent marine sentinel species. The several selected biomarkers determined could confirm their ability to appraise the water quality of hydro-systems located in French coastlines, such as port areas. (C) 2019 Elsevier Ltd. All rights reserved.</t>
  </si>
  <si>
    <t>[Breitwieser, Marine; Barbarin, Marine; Plumejeaud-Perreau, Christine; Dubillot, Emmanuel; Guyot, Thierry; Huet, Valerie; Churlaud, Carine; Coulombier, Thibaut; Brenon, Isabelle; Fichet, Denis; Imbert, Nathalie; Thomas, Helene] Univ La Rochelle, CNRS, UMR 7266, Littoral Environm &amp; Soc LIENSs, 2 Rue Olympe de Gouges, F-17042 La Rochelle 01, France</t>
  </si>
  <si>
    <t>La Rochelle Universite; Centre National de la Recherche Scientifique (CNRS)</t>
  </si>
  <si>
    <t>Barbarin, M (corresponding author), Univ La Rochelle, CNRS, UMR 7266, Littoral Environm &amp; Soc LIENSs, 2 Rue Olympe de Gouges, F-17042 La Rochelle 01, France.</t>
  </si>
  <si>
    <t>m.breitwieser@healthymind.fr; m.barbarin@larochelle.port.fr; christine.plumejeaud@univ-lr.fr; emmanuel.dubillot@univ-lr.fr; thierry.guyot@univ-lr.fr; valerie.huet@univ-lr.fr; thibault.coulombier@univ-lr.fr; isabelle.brenon@univ-lr.fr; denis.fichet@univ-lr.fr; nathalie.imbert@univ-lr.fr; helene.thomas@univ-lr.fr</t>
  </si>
  <si>
    <t>Imbert'Auvray, Nathalie/KEI-2926-2024; THOMAS, Helene/JZW-5193-2024</t>
  </si>
  <si>
    <t>Barbarin, Marine/0000-0001-6281-6249; Plumejeaud-Perreau, Christine/0000-0001-9271-3355; THOMAS, Helene/0000-0002-7932-6841; IMBERT AUVRAY, NATHALIE/0000-0003-0445-335X</t>
  </si>
  <si>
    <t>Communaute d'Agglomeration de La Rochelle; marina of La Rochelle; Contrat de Plan Etat-Region; CNRS; European Regional Development Fund</t>
  </si>
  <si>
    <t>Communaute d'Agglomeration de La Rochelle; marina of La Rochelle; Contrat de Plan Etat-Region; CNRS(Centre National de la Recherche Scientifique (CNRS)); European Regional Development Fund(European Union (EU))</t>
  </si>
  <si>
    <t>M. Breitwieser received a doctoral grant (Communaute d'Agglomeration de La Rochelle) and financial support from the marina of La Rochelle while working with the La Rochelle University. This study is a contribution to the project ECONAT funded by the Contrat de Plan Etat-Region and the CNRS and the European Regional Development Fund. The LIENSs laboratory would like to thank the general management of the marina of La Rochelle for giving access to the harbour. The authors also thank the people working at the logistic platforms of the LIENSs laboratory (Analyses Elementaires and Donnees: Integration, Structuration et Analyse). The authors would like to thank Oriane Titeca for proofreading this paper. We are deeply indebted to A. Combaud, T. Guyot, V. Becquet, A. Viricel, M. Prineau from LIENSs (the University of La Rochelle) and J. Pigeot.</t>
  </si>
  <si>
    <t>10.1016/j.chemosphere.2019.125199</t>
  </si>
  <si>
    <t>http://dx.doi.org/10.1016/j.chemosphere.2019.125199</t>
  </si>
  <si>
    <t>KJ7EM</t>
  </si>
  <si>
    <t>WOS:000512221100004</t>
  </si>
  <si>
    <t>ShibiniMol, PA; Raveendran, R; Sujatha, CH</t>
  </si>
  <si>
    <t>ShibiniMol, P. A.; Raveendran, Ranjitha; Sujatha, C. H.</t>
  </si>
  <si>
    <t>Elucidation of Contaminant-Induced Toxic Responses in the Biota of Lake Vembanad, Kerala, India</t>
  </si>
  <si>
    <t>heavy metals; organochlorine insecticide; sediment; Lake Vembanad.; bivalve</t>
  </si>
  <si>
    <t>PERSISTENT ORGANOCHLORINE COMPOUNDS; ECOLOGICAL RISK-ASSESSMENT; PERNA-VIRIDIS; HEAVY-METALS; POLYCHLORINATED-BIPHENYLS; COASTAL WATERS; TRACE-ELEMENTS; CORE SEDIMENT; GREEN MUSSEL; PESTICIDES</t>
  </si>
  <si>
    <t>This study investigates the spatial distribution of various organochlorine insecticides (OCIs) and heavy metals in both sediment and a bivalve, Villorita cyprinoides var. Cochinensis, collected from three pristine areas of Lake Vembanad. The detected concentrations of OCIs in the bivalve and sediment are in the order DDT &gt; Heptachlor &gt; BHC and BHC &gt; DDD &gt; heptachlor, respectively. However the DDT concentration (28.5ng/g) in the bivalve at Chambakkara exceeded the limit suggested by the U.S. Geological Survey's National Water-Quality Assessment Program (NWQAP) and indicated an anthropogenic input source for the parent DDT. The maximum potential contamination indices for Zn and Ni in the bivalve were 267.8mg/kg and 22.3mg/kg, respectively. The Enrichment Factor (EF) and geoaccumulation index (I-geo) values of sediment indicated that Cd showed high pollution status and the Biota Sediment Accumulation Factor value of heavy metals suggested that Zn, Cu, and Cd were bioaccumulated in the bivalve's tissue. The concentrations of Zn and Cd were above the threshold levels and regarded as harmful according to the international standard for metals in mollusc compiled by the Food and Agriculture Organization. Therefore, they create great health risk for mussel consumers.</t>
  </si>
  <si>
    <t>[ShibiniMol, P. A.; Raveendran, Ranjitha; Sujatha, C. H.] Cochin Univ Sci &amp; Technol, Sch Marine Sci, Dept Chem Oceanog, Cochin 16, Kerala, India</t>
  </si>
  <si>
    <t>Sujatha, CH (corresponding author), Cochin Univ Sci &amp; Technol, Sch Marine Sci, Dept Chem Oceanog, Cochin 16, Kerala, India.</t>
  </si>
  <si>
    <t>drchsujatha@yahoo.co.in</t>
  </si>
  <si>
    <t>C.H, Sujatha/ABB-1621-2021</t>
  </si>
  <si>
    <t>Council of Scientific and Industrial Research (CSIR), Government of India</t>
  </si>
  <si>
    <t>Council of Scientific and Industrial Research (CSIR), Government of India(Council of Scientific &amp; Industrial Research (CSIR) - India)</t>
  </si>
  <si>
    <t>The authors thank the Council of Scientific and Industrial Research (CSIR), Government of India for the financial support given through the Junior Research Fellowship.</t>
  </si>
  <si>
    <t>AUG 18</t>
  </si>
  <si>
    <t>10.1080/10807039.2014.960722</t>
  </si>
  <si>
    <t>http://dx.doi.org/10.1080/10807039.2014.960722</t>
  </si>
  <si>
    <t>CB8TG</t>
  </si>
  <si>
    <t>WOS:000349903400008</t>
  </si>
  <si>
    <t>Boulajfene, W; Strogyloudi, E; Catsiki, VA; El Mlayah, A; Tlig-Zouari, S</t>
  </si>
  <si>
    <t>Boulajfene, Wafa; Strogyloudi, Evangelia; Catsiki, Vassiliki-Angelique; El Mlayah, Ammar; Tlig-Zouari, Sabiha</t>
  </si>
  <si>
    <t>Bio-monitoring of metal impact on metallothioneins levels in the gastropod Phorcus turbinatus (Born, 1778) in the northeastern and the eastern coasts of Tunisia</t>
  </si>
  <si>
    <t>Toxicity; Metal accumulation; Biomarker; Rocky coasts</t>
  </si>
  <si>
    <t>MUSSELS MYTILUS-GALLOPROVINCIALIS; OYSTERS CRASSOSTREA-GIGAS; NATURAL FACTORS SALINITY; DIGESTIVE GLAND; RUDITAPES-DECUSSATUS; TRACE-METALS; LITTORINA-LITTOREA; MEDITERRANEAN SEA; CADMIUM EXPOSURE; BIOMARKER</t>
  </si>
  <si>
    <t>This work is an evaluation of metal contamination degree in Phorcus turbinatus and a monitoring of metals impact on metallothioneins functioning. The gastropod was sampled from six stations along the northeastern and eastern coasts of Tunisia during four seasons (2014-2015). Our results suggested that sedimentological metallic contents (Copper, Zinc and Cadmium) vary significantly depending on stations and not significantly according to seasons except for copper. Nevertheless, differences were no significant between stations and significant between seasons as for ambient factors, metallic intrinsic contents and metallothioneins rates. The monodonta tissue seems to be enriched in the four analyzed metals (Cu, Zn, Cd and Hg) and this species seems to have an ability to accumulate metals. Metal effect on the protein induction may be linked to physicochemical factors (temperature, O-2 and Cu contents in sediment). In fact, metallothioneins levels were positively correlated to the dissolved oxygen rates and negatively linked to temperature.</t>
  </si>
  <si>
    <t>[Boulajfene, Wafa; Tlig-Zouari, Sabiha] Univ Tunis El Manar II, Unite Rech Biol Integrat &amp; Ecol Fonct &amp; Evolut Mi, Fac Sci Tunis, Tunis 2092, Tunisia; [Strogyloudi, Evangelia; Catsiki, Vassiliki-Angelique] Hellen Ctr Marine Res, Inst Oceanog, Ecotoxicol Lab, Anavyssos 19013, Greece; [El Mlayah, Ammar] Ctr Rech &amp; Technol Eaux, Lab Georessources, Technopole Bordj Cedria 273, Soliman 8020, Greece</t>
  </si>
  <si>
    <t>Universite de Tunis-El-Manar; Faculte des Sciences de Tunis (FST); Hellenic Centre for Marine Research</t>
  </si>
  <si>
    <t>Boulajfene, W (corresponding author), Univ Tunis El Manar II, Unite Rech Biol Integrat &amp; Ecol Fonct &amp; Evolut Mi, Fac Sci Tunis, Tunis 2092, Tunisia.</t>
  </si>
  <si>
    <t>wboulajfene@gmail.com; estro@hcmr.gr; cats@hcmr.gr</t>
  </si>
  <si>
    <t>Mlayah, Ammar/0000-0002-8198-3795</t>
  </si>
  <si>
    <t>10.1016/j.marpolbul.2017.05.022</t>
  </si>
  <si>
    <t>http://dx.doi.org/10.1016/j.marpolbul.2017.05.022</t>
  </si>
  <si>
    <t>FD4YY</t>
  </si>
  <si>
    <t>WOS:000407539300042</t>
  </si>
  <si>
    <t>Pessoa, I; Cunha, B; Antonioli, L; Coelho, M; Tavares, A; Romero, L; Moterani, A</t>
  </si>
  <si>
    <t>Pessoa, Igor; Cunha, Bruno; Antonioli, Luzia; Coelho, Marco; Tavares, Armando; Romero, Luiz; Moterani, Ana</t>
  </si>
  <si>
    <t>A Practical Procedure for Analysis of Lead Isotopes in Bivalve Shells Using Laser Ablation Multicollector Inductively Coupled Plasma Mass Spectrometry (LA-MC-ICP-MS)</t>
  </si>
  <si>
    <t>APPLIED SPECTROSCOPY</t>
  </si>
  <si>
    <t>Trace element uptake; bivalve mollusk shells; geochemical proxies; metal contamination; Ilha Grande Bay</t>
  </si>
  <si>
    <t>SEPETIBA BAY SE; TRACE-ELEMENTS; ANTHROPOGENIC LEAD; ARCTICA-ISLANDICA; STABLE-ISOTOPES; NORTH-SEA; POLLUTION; PB; SEDIMENTS; CONTAMINATION</t>
  </si>
  <si>
    <t>Lead, like other trace elements, is incorporated in the growing bands of bivalve shells. The chemicals stored into the shells can provide valuable information about seawater conditions during the period of shell formation. In this study, we present a practical approach to determine Pb isotopic signatures in bivalve shells as a tool for evaluating lead pollution in coastal waters. To demonstrate the applicability of the method, Pb isotopic fingerprinting in bivalve shell layers were investigated using laser ablation multicollector inductively coupled plasma mass spectrometry (LA-MC-ICP-MS). Lead isotope ratios (Pb-208/Pb-206 and Pb-206/Pb-207) were measured along distinct sections of the maximum growth axis of the shells. Calibration and quantification of Pb isotopes were performed using NIST 612 as reference material. Our results demonstrated that Pb isotope ratios in the shells ranged from 1.143 to 1.201 for Pb-206/Pb-207 and from 2.061 to 2.161 for Pb-208/Pb-206. The isotopic signatures recorded in the sample shells correspond to similar ranges of Pb signatures reported for marine sediments from the same study area. In general, this work shows that LA-MC-ICP-MS is a suitable technique for determining spatially resolved lead isotopic signatures in bivalve shells and that it can be used to estimate the origin of Pb pollution in aquatic environments.</t>
  </si>
  <si>
    <t>[Pessoa, Igor; Antonioli, Luzia; Coelho, Marco; Tavares, Armando; Romero, Luiz; Moterani, Ana] Univ Estado Rio De Janeiro, Rio De Janeiro, Brazil; [Pessoa, Igor] Univ Calif Santa Cruz, Santa Cruz, CA 95064 USA; [Cunha, Bruno] Univ Sao Paulo, Inst Geosci, Sao Paulo, Brazil</t>
  </si>
  <si>
    <t>Universidade do Estado do Rio de Janeiro; University of California System; University of California Santa Cruz; Universidade de Sao Paulo</t>
  </si>
  <si>
    <t>Pessoa, I (corresponding author), Univ Calif Santa Cruz, Paytan Biogeochem Lab Ocean Sci, Santa Cruz, CA 95064 USA.</t>
  </si>
  <si>
    <t>ipessoa@ucsc.edu</t>
  </si>
  <si>
    <t>Cunha, Bruno/T-8432-2019; Pessoa, Igor/F-2270-2018</t>
  </si>
  <si>
    <t>Pessoa, Igor/0000-0002-0624-8387</t>
  </si>
  <si>
    <t>Coordenacao de Aperfeicoamento de Pessoal de Nivel Superior - Brasil (CAPES) [001]; Funding Authority for Studies and Projects (FINEP); Brazilian National Council for Scientific and Technological Development (CNPq)</t>
  </si>
  <si>
    <t>Coordenacao de Aperfeicoamento de Pessoal de Nivel Superior - Brasil (CAPES)(Coordenacao de Aperfeicoamento de Pessoal de Nivel Superior (CAPES)); Funding Authority for Studies and Projects (FINEP)(Financiadora de Inovacao e Pesquisa (Finep)); Brazilian National Council for Scientific and Technological Development (CNPq)(Conselho Nacional de Desenvolvimento Cientifico e Tecnologico (CNPQ))</t>
  </si>
  <si>
    <t>The author(s) disclosed receipt of the following financial support for the research, authorship, and/or publication of this article: This study was financed in part by the Coordenacao de Aperfeicoamento de Pessoal de Nivel Superior -Brasil (CAPES) - Finance Code 001; the Funding Authority for Studies and Projects (FINEP); and the Brazilian National Council for Scientific and Technological Development (CNPq).</t>
  </si>
  <si>
    <t>0003-7028</t>
  </si>
  <si>
    <t>1943-3530</t>
  </si>
  <si>
    <t>APPL SPECTROSC</t>
  </si>
  <si>
    <t>Appl. Spectrosc.</t>
  </si>
  <si>
    <t>10.1177/00037028221120432</t>
  </si>
  <si>
    <t>http://dx.doi.org/10.1177/00037028221120432</t>
  </si>
  <si>
    <t>Instruments &amp; Instrumentation; Spectroscopy</t>
  </si>
  <si>
    <t>6T2VF</t>
  </si>
  <si>
    <t>WOS:000854306700001</t>
  </si>
  <si>
    <t>Dittmann, T; Becker, PH; Bakker, J; Bignert, A; Nyberg, E; Pereira, MG; Pijanowska, U; Shore, RF; Stienen, E; Toft, GO; Marencic, H</t>
  </si>
  <si>
    <t>Dittmann, Tobias; Becker, Peter H.; Bakker, Joop; Bignert, Anders; Nyberg, Elisabeth; Pereira, M. Gloria; Pijanowska, Ursula; Shore, Richard F.; Stienen, Eric; Toft, Geir Olav; Marencic, Harald</t>
  </si>
  <si>
    <t>Large-scale spatial pollution patterns around the North Sea indicated by coastal bird eggs within an EcoQO programme</t>
  </si>
  <si>
    <t>EcoQO; Mercury; Organochlorines; North Sea; Monitoring; POPs</t>
  </si>
  <si>
    <t>MORUS-BASSANUS EGGS; LONG-TERM TRENDS; LARUS-ARGENTATUS; STERNA-HIRUNDO; BODY-MASS; PCB; TISSUES; MERCURY</t>
  </si>
  <si>
    <t>To categorize the marine environmental health status, the Oslo and Paris commissions have recently formulated Ecological Quality Objectives (EcoQOs) for many ecological features including the contamination of coastal bird eggs with mercury and organochlorines. In this study, we describe spatial and temporal patterns of egg contamination around the North Sea and compared them to the EcoQOs. Concentrations of mercury, polychlorinated biphenyl (I PCB) pound congeners, dichlorodiphenyltrichloroethane (I DDT) pound and derivatives, hexachlorobenzene (HCB) and hexachlorocyclohexane (I HCH) pound isomers were analysed in two tern species (Sterna hirundo and Sterna paradisaea) and Oystercatcher (Haematopus ostralegus) eggs collected between 2008 and 2010 in a total of 21 sites in seven countries surrounding the North Sea. Hg, I PCB pound and HCB were highest in the southern sites, while I DDT pound and I HCH pound concentrations were greatest in eggs from the western North Sea and the Elbe estuary. There were rarely any consistent decreases over time for any compounds. In the terns, Hg, HCB and I HCH pound increased at most sites, I PCB pound and I DDT pound in Sweden and Norway. In the Oystercatcher, HCB and I HCH pound increased at more than the half of the sites, I PCB pound, I DDT pound and Hg at several German sites. In the terns, Hg, I PCB pound and I DDT pound exceeded the EcoQO in all, HCB in most years and sites. At most sites, I HCH pound fulfilled the EcoQO in some study years. In the Oystercatcher, Hg, I PCB pound and I DDT pound exceeded the EcoQO in all or most years and sites. HCB and I HCH pound fulfilled the EcoQO in some or all years at most sites. The EcoQO was exceeded most frequently in estuaries. We conclude that EcoQOs are suitable for drawing contamination patterns of the coastal North Sea in an easily understandable manner, offering the opportunity to harmonize the EcoQOs with coordinated environmental monitoring programmes.</t>
  </si>
  <si>
    <t>[Dittmann, Tobias; Becker, Peter H.; Pijanowska, Ursula] Inst Avian Res Vogelwarte Helgoland, D-26386 Wilhelmshaven, Germany; [Bakker, Joop] Natl Inst Coastal &amp; Marine Management RIKZ, NL-9750 AE Haren, Netherlands; [Bignert, Anders; Nyberg, Elisabeth] Swedish Museum Nat Hist, Dept Contaminant Res, S-10405 Stockholm, Sweden; [Pereira, M. Gloria; Shore, Richard F.] Lancaster Environm Ctr, NERC Ctr Ecol &amp; Hydrol, Lancaster LA1 4AP, England; [Stienen, Eric] Res Inst Nat &amp; Forest, B-1070 Brussels, Belgium; [Toft, Geir Olav] NLA Univ Coll, N-5812 Bergen, Norway; [Marencic, Harald] Common Wadden Sea Secretariat, D-26382 Wilhelmshaven, Germany</t>
  </si>
  <si>
    <t>Swedish Museum of Natural History; UK Centre for Ecology &amp; Hydrology (UKCEH); Lancaster University; Research Institute for Nature &amp; Forest; NLA University College</t>
  </si>
  <si>
    <t>Dittmann, T (corresponding author), Inst Avian Res Vogelwarte Helgoland, Vogelwarte 21, D-26386 Wilhelmshaven, Germany.</t>
  </si>
  <si>
    <t>tobias.dittmann@ifv-vogelwarte.de</t>
  </si>
  <si>
    <t>Stienen, Eric/ABC-1652-2020; Pereira, M./K-3024-2012; Shore, Richard/A-2638-2012</t>
  </si>
  <si>
    <t>Shore, Richard/0000-0002-9337-8883; Stienen, Eric/0000-0002-4315-0936</t>
  </si>
  <si>
    <t>ICBM-Terramare; Common Wadden Sea Secretariate, Wilhelmshaven, Germany; Institute of Avian Research Vogelwarte Helgoland, Wilhelmshaven, Germany; National Park Agency Lower Saxony, Wilhelmshaven, Germany; National Park Agency Schleswig-Holstein, Tonning, Germany; Centre of Water Management, Ministry of Infrastructure and Environment, Den Haag, The Netherlands; Ministry of Economic Affairs, Agriculture and Innovation, Den Haag, The Netherlands; Ministry of Environment and Energy, Copenhagen, Denmark; Centre of Ecology and Hydrology, Lancaster, UK; Norwegian Directorate for Nature Management, Trondheim, Norway; Swedish Environmental Protection Agency, Stockholm, Sweden; Research Institute for Nature and Forest, Brussels, Belgium</t>
  </si>
  <si>
    <t>We thank the following for the help with organization, sampling and obtaining licences: Matti Ahlund, Jennifer Best, P. de Boer, Richard Czeck, L. Dijksen, Hubert Farke, Thomas Grunkorn, Bernd Halterlein, Veit Hennig, Martine van den Heuvel-Greve, Hermann Heyen, G. Kasemir, Martin Kuhn, Karsten Laursen, Jurgen Ludwig, D. Lutterop, Harald Naerland, K. Oosterbeek, Gisela and Axel Rohwedder, Kolbjoern Skipnes, Gotz Wagenknecht, Lee A. Walker, Marcel van der Weijden, Hermann Wietjes and many other helpers collecting the eggs within the TMAP Wadden Sea area; the National Park Wadden Sea administrations in Tonning and Wilhelmshaven, Germany; NERI Denmark; RIKZ, The Netherlands and RSPB, UK. We acknowledge ICBM-Terramare for the support and cooperation, especially Helmut Hillebrand and Gerd Liebezeit. For the help with drawing figures, preparing tables, data and statistics we thank Katharina Weissenfels. V. Goutner helped with the references. This work and the report was funded by: Common Wadden Sea Secretariate, Wilhelmshaven, Germany; Institute of Avian Research Vogelwarte Helgoland, Wilhelmshaven, Germany; National Park Agency Lower Saxony, Wilhelmshaven, Germany; National Park Agency Schleswig-Holstein, Tonning, Germany; Ministry of Transport, Public Works and Water Management (RIKZ; currently Centre of Water Management, Ministry of Infrastructure and Environment), and Ministry of Agriculture, Nature Management and Fisheries (currently Ministry of Economic Affairs, Agriculture and Innovation), Den Haag, The Netherlands; Ministry of Environment and Energy, Copenhagen, Denmark; Centre of Ecology and Hydrology, Lancaster, UK; Norwegian Directorate for Nature Management, Trondheim, Norway; Swedish Environmental Protection Agency, Stockholm, Sweden; Research Institute for Nature and Forest, Brussels, Belgium. Three anonymous reviewers helped with their comments to improve the paper.</t>
  </si>
  <si>
    <t>10.1007/s11356-012-1070-2</t>
  </si>
  <si>
    <t>http://dx.doi.org/10.1007/s11356-012-1070-2</t>
  </si>
  <si>
    <t>015WH</t>
  </si>
  <si>
    <t>WOS:000309476600042</t>
  </si>
  <si>
    <t>Gutiérrez-Galindo, EA; Villaescusa-Celaya, JA; Arreola-Chimal, A</t>
  </si>
  <si>
    <t>Bioaccumulation of metals in mussels from four sites of the coastal region of Baja California</t>
  </si>
  <si>
    <t>heavy metals; mussels; size; Gulf of California</t>
  </si>
  <si>
    <t>MYTILUS-EDULIS; CADMIUM; SIZE; COPPER; SEASON; ZINC; SEX; INDICATOR; POLLUTION; BALANCE</t>
  </si>
  <si>
    <t>This study analyzes the concentrations and variations of Cu, Mn, Zn, Al, Cd, Ag, As and Se among different size classes of Modiolus capax, from Punta Estrella, Bahia de las Angeles and Santa Rosalia in the Gulf of California, and of Modiolus modiolus and Mytilus californianus, from Bahia Tortugas in the Pacific. During November 1988, mussels of these species were collected and 45 organisms were selected (three replicates of 15 organisms each). Their biometric variables were measured: large size (88-98 mm), medium size (70-87 mm) and small size (56-66 mm). The reference standards and procedural blanks were analyzed for each group of 15 samples. The results indicate that the geographic distribution and accumulation of metals in the different sizes are mainly influenced by the sources of input, bioavailability in each place and the biological condition of the organisms. The mussels presented Cu levels independent of size in the region, except at Santa Rosalia. Zn, Cd and Se showed strong regional variability, but no clear trend with respect to the size of the organisms. Al showed high regional variability and a tendency to accumulate in small organisms; As and Se presented higher concentrations in the large to medium mussels, regardless of the sampling site. Mn tended to accumulate in large and medium mussels and was dependent on the sampling site. In Bahia Tortugas, M. californianus accumulates Cu, Mn and Cd at a rate three times lower than M. modiolus at the same level of exposure. Within the Gulf of California, the geographic distribution of Mn, Al and Zn was similar, with higher concentrations in the northern part. This is probably because the mussels are exposed to these metals through the sedimentary material resuspended in the Colorado River Delta. Cd presented levels of 70 and 27 mu g g(-1) at Bahia Tortugas and Bahia de las Angeles, respectively; both sites are exposed to coastal upwelling. Cu presented relatively low levels (&lt;35 mu g g(-1)), except at Santa Rosalia (89 mu g g(-1)), where Cu is mined. As, Se and Ag presented low variability in the study area, with low levels that reflect natural levels at the sites studied.</t>
  </si>
  <si>
    <t>Gutiérrez-Galindo, EA (corresponding author), Univ Autonoma Baja California, Inst Invest Oceanol, Apartado Postal 453, Ensenada 22800, Baja California, Mexico.</t>
  </si>
  <si>
    <t>INSTITUTO INVESTIGACIONES OCEANOLOGICAS, U A B C</t>
  </si>
  <si>
    <t>Ceinc. Mar.</t>
  </si>
  <si>
    <t>10.7773/cm.v25i4.726</t>
  </si>
  <si>
    <t>http://dx.doi.org/10.7773/cm.v25i4.726</t>
  </si>
  <si>
    <t>266JB</t>
  </si>
  <si>
    <t>WOS:000084295900007</t>
  </si>
  <si>
    <t>Zarykhta, VV; Zhang, ZH; Kholodkevich, SV; Kuznetsova, TV; Sharov, AN; Zhang, Y; Sun, K; Lv, M; Feng, YJ</t>
  </si>
  <si>
    <t>Zarykhta, Victoria V.; Zhang, Zhaohan; Kholodkevich, Sergey V.; Kuznetsova, Tatiana V.; Sharov, Andrey N.; Zhang, Yu; Sun, Kai; Lv, Miao; Feng, Yujie</t>
  </si>
  <si>
    <t>Comprehensive assessments of ecological states of Songhua River using chemical analysis and bivalves as bioindicators</t>
  </si>
  <si>
    <t>Environmental quality; Heavy metals; Mussels as bioindicators; Cardiac activity; Metal pollution index</t>
  </si>
  <si>
    <t>CRABS CARCINUS-MAENAS; HEAVY-METALS; RUDITAPES-PHILIPPINARUM; CORBICULA-FLUMINEA; CARDIAC ACTIVITY; ATLANTIC COAST; POLLUTION; WATER; CONTAMINATION; ACCUMULATION</t>
  </si>
  <si>
    <t>The aim of this study was to compare environmental pollution and ecological states of two different areas of the Songhua River areas: near Harbin City and Tongjiang City, located at a distance of about 500 km downstream. The anthropogenic pollution concentrations of heavy metals (HM) were determined. The results showed that concentrations of eight metals (Cd, Cr, Cu, Fe, Mn, Ni, Pb, and Zn) in the water were in the range of 0.001-0.588 mg/L for Tongjiang and 0.001-0.508 mg/L for Harbin, while that in sediments were in the range of 0.67-1575.37 mg/kg for Tongjiang and 0.07-5617.13 mg/kg for Harbin, respectively. Bivalves from tested sites exposed to environmental pollution exhibited significantly different physiological states. The latter was assessed using the method of physiological loading, based on measuring the recovery time (T-rec) of heart rate (HR) after removal of the load. Trec in mussels from Harbin was recorded in the range of 151 to 234 min, while that from Tongjiang was only 115 min. Cd, Cu, Pb, and Zn in mollusk soft tissues were also determined for Harbin and Tongjiang, respectively. The metal pollution index (MPI) and bioconcentration factor (BCF) in the mollusks were calculated for each metal. BCF in the mussels from the Tongjiang area was lower than that from the Harbin area. Physiological testing, as well as the concentration of HM in water, and sediment, and also the bioaccumulation of HM in tissue showed that the ecological state of the Tongjiang area was better than that of Harbin. Apparently, after more extensive studies, a methodological approach of assessing the ecological state of water areas, based on physiological state testing of aboriginal mollusks, could be used in the monitoring of pollution effects in water bodies and streams.</t>
  </si>
  <si>
    <t>[Zarykhta, Victoria V.; Zhang, Zhaohan; Zhang, Yu; Sun, Kai; Lv, Miao; Feng, Yujie] Harbin Inst Technol, Sch Environm, State Key Lab Urban Water Resource &amp; Environm, 73 Huanghe Rd, Harbin 150090, Heilongjiang, Peoples R China; [Kholodkevich, Sergey V.; Sharov, Andrey N.] St Petersburg State Univ, 7-9 Univ Skaya Nab, St Petersburg 199034, Russia; [Kholodkevich, Sergey V.; Kuznetsova, Tatiana V.; Sharov, Andrey N.] St Petersburg Sci Res Ctr Ecol Safety RAS, 18 Korpusnaya Str, St Petersburg 197110, Russia</t>
  </si>
  <si>
    <t>Harbin Institute of Technology; Saint Petersburg State University; Russian Academy of Sciences; St. Petersburg Federal Research Center of the Russian Academy of Sciences</t>
  </si>
  <si>
    <t>Zhang, ZH; Feng, YJ (corresponding author), Harbin Inst Technol, Sch Environm, State Key Lab Urban Water Resource &amp; Environm, 73 Huanghe Rd, Harbin 150090, Heilongjiang, Peoples R China.</t>
  </si>
  <si>
    <t>Sharov, Andrey/K-4222-2013</t>
  </si>
  <si>
    <t>Sharov, Andrey/0000-0001-7581-2538; Lv, Miao/0000-0002-8280-8681</t>
  </si>
  <si>
    <t>National Key Research and Development Program of China [2017YFA0207204]; Heilongjiang Province Natural Science Foundation [LH2019E042]; Nanqi Ren Studio, Academy of Environment and Ecology, Harbin Institute of Technology [HSCJ201707]; Innovation Team in Key Areas of the Ministry of Science and Technology</t>
  </si>
  <si>
    <t>National Key Research and Development Program of China(National Key Research &amp; Development Program of China); Heilongjiang Province Natural Science Foundation(Natural Science Foundation of Heilongjiang Province); Nanqi Ren Studio, Academy of Environment and Ecology, Harbin Institute of Technology; Innovation Team in Key Areas of the Ministry of Science and Technology</t>
  </si>
  <si>
    <t>This project was supported by National Key Research and Development Program of China (2017YFA0207204), Heilongjiang Province Natural Science Foundation (LH2019E042), and the Nanqi Ren Studio, Academy of Environment and Ecology, Harbin Institute of Technology (HSCJ201707). The authors also acknowledged the support of the Innovation Team in Key Areas of the Ministry of Science and Technology.</t>
  </si>
  <si>
    <t>10.1007/s11356-019-06349-7</t>
  </si>
  <si>
    <t>http://dx.doi.org/10.1007/s11356-019-06349-7</t>
  </si>
  <si>
    <t>JU6AM</t>
  </si>
  <si>
    <t>WOS:000501757400060</t>
  </si>
  <si>
    <t>Kammann, U; Nogueira, P; Siegmund, M; Schmidt, N; Schmolke, S; Kirchgeorg, T; Hasenbein, M; Wysujack, K</t>
  </si>
  <si>
    <t>Kammann, Ulrike; Nogueira, Pedro; Siegmund, Maike; Schmidt, Nicole; Schmolke, Stefan; Kirchgeorg, Torben; Hasenbein, Matthias; Wysujack, Klaus</t>
  </si>
  <si>
    <t>Temporal trends of mercury levels in fish (dab, Limanda limanda) and sediment from the German Bight (North Sea) in the period 1995-2020</t>
  </si>
  <si>
    <t>Bioaccumulation; Marine monitoring; Flatfish; Age; Time trend</t>
  </si>
  <si>
    <t>PAH METABOLITES; FOOD-WEB; ESTUARY; BILE</t>
  </si>
  <si>
    <t>As a toxic and harmful global pollutant, mercury (Hg) enters the marine environment through natural sources, and human activities. It bioaccumulates through the food chain and therefore, Hg is of great importance for environmental monitoring. This study aims to answer the question if Hg contamination in fish and sediment from the German Bight follows temporal trends. Therefore, 496 individual female dab (Limanda limanda) were analyzed. The Hg concentrations in the muscle of dab from the German Bight showed significant increase in function of time with an annual percental change of 1.4%, leading to a 41% increase in Hg contamination level within 25 years of monitoring. At the same time, Hg concentrations in sediment-analyzed in 86 samples-significantly decreased in the nearby North Sea environment. This surprising contradiction is shown in the present study and possible causes are discussed. It could be clearly shown that contamination in sediment and biota can follow completely different time courses and therefore, different environmental matrices should be considered in future monitoring studies. Age of the fish turned out to be a biological factor of particular importance for temporal trend analysis.</t>
  </si>
  <si>
    <t>[Kammann, Ulrike; Nogueira, Pedro; Siegmund, Maike; Schmidt, Nicole; Wysujack, Klaus] Thunen Inst Fisheries Ecol, Herwigstr 31, D-27572 Bremerhaven, Germany; [Schmolke, Stefan; Kirchgeorg, Torben; Hasenbein, Matthias] Fed Maritime &amp; Hydrog Agcy, Wustland 2, D-22589 Hamburg, Germany</t>
  </si>
  <si>
    <t>Johann Heinrich von Thunen Institute</t>
  </si>
  <si>
    <t>Kammann, U (corresponding author), Thunen Inst Fisheries Ecol, Herwigstr 31, D-27572 Bremerhaven, Germany.</t>
  </si>
  <si>
    <t>utrike.kammann@thuenen.de; pedro.nogueira@thuenen.de; maike.siegmund@thuenen.de; nicole.schmidt@thuenen.de; stefan.schmolke@bsh.de; torben.kirchgeorg@bsh.de; matthias.hasenbein@bsh.de; klaus.wysujack@thuenen.de</t>
  </si>
  <si>
    <t>Nogueira, Pedro/AAN-3126-2021</t>
  </si>
  <si>
    <t>Agostinho Nogueira, Pedro Miguel/0000-0002-8681-3496; Hasenbein, Matthias/0000-0002-1036-0902</t>
  </si>
  <si>
    <t>Projekt DEAL; German Federal Ministry of Food and Agriculture; German Federal Ministry for Digital and Transport; German Federal Ministry of Education and Research [03F0862B]</t>
  </si>
  <si>
    <t>Projekt DEAL; German Federal Ministry of Food and Agriculture; German Federal Ministry for Digital and Transport; German Federal Ministry of Education and Research(Federal Ministry of Education &amp; Research (BMBF))</t>
  </si>
  <si>
    <t>Open Access funding enabled and organized by Projekt DEAL. This study was financially supported by the German Federal Ministry of Food and Agriculture and by the German Federal Ministry for Digital and Transport as well as by a grant provided by the German Federal Ministry of Education and Research (Project: MuSSeL-Multiple Stressors on North Sea life/Grant No. 03F0862B).</t>
  </si>
  <si>
    <t>10.1007/s10661-022-10655-y</t>
  </si>
  <si>
    <t>http://dx.doi.org/10.1007/s10661-022-10655-y</t>
  </si>
  <si>
    <t>5Y3GW</t>
  </si>
  <si>
    <t>WOS:000879174600002</t>
  </si>
  <si>
    <t>Chakraborty, P</t>
  </si>
  <si>
    <t>Chakraborty, Parthasarathi</t>
  </si>
  <si>
    <t>Oyster reef restoration in controlling coastal pollution around India: A viewpoint</t>
  </si>
  <si>
    <t>Oyster reef restoration; Coastal pollution; Sustainable development; Marine pollution; Nutrient and metal flux</t>
  </si>
  <si>
    <t>OXYGEN MINIMUM ZONE; TROPICAL ESTUARY; NITRATE REMOVAL; WATER; SPECIATION; SEDIMENTS; NITROGEN; RIVER; BIOACCUMULATION; BAY</t>
  </si>
  <si>
    <t>Coastal waters receive large amounts of nutrients and pollutants from different point and nonpoint sources through bays and estuaries. Excess supply of nutrients in coastal waters may have detrimental effects, leading to hypoxia and anoxia from eutrophication. Reduction in concentrations of excess nutrients/pollutants in bays/estuarine system is must for healthy coastal ecosystem functioning. Conservations of bays, estuaries and coastal zones are must for sustainable development in any maritime country. Excellent ability of oyster in removing and controlling the concentrations of nutrients, pollutants, suspended particulate matters from bays and estuarine waters stimulated me to provide a viewpoint on oyster reef restoration in controlling nutrient/heavy metals fluxes and marine coastal pollution around India. Oyster reefs restoration may decrease nutrient and heavy metals fluxes in coastal waters and reduce the intensity of oxygen depletion in the coastal Arabian Sea (seasonal) and Bay of Bengal. However, extensive research is recommended to understand the impact of oyster reef restoration in controlling coastal pollution which is essential for sustainable development around India. (C) 2016 Elsevier Ltd. All rights reserved.</t>
  </si>
  <si>
    <t>[Chakraborty, Parthasarathi] CSIR, Natl Inst Oceanog, Geol Oceanog Div, Panaji 403004, Goa, India</t>
  </si>
  <si>
    <t>Chakraborty, P (corresponding author), CSIR, Natl Inst Oceanog, Geol Oceanog Div, Panaji 403004, Goa, India.</t>
  </si>
  <si>
    <t>pchak@nio.org</t>
  </si>
  <si>
    <t>Council of Scientific and Industrial Research (CSIR) [OLP 1202]</t>
  </si>
  <si>
    <t>Council of Scientific and Industrial Research (CSIR)(Council of Scientific &amp; Industrial Research (CSIR) - India)</t>
  </si>
  <si>
    <t>Author is thankful to the Director, NIO, Goa for his encouragement and support. The discussions with Drs AC. Anil and Lidita Khandeparker of the National Institute of Oceanography, Goa, helped in improving the manuscript. This work is a part of the Council of Scientific and Industrial Research (CSIR) supported OLP 1202. This article bears NIO contribution number 5964.</t>
  </si>
  <si>
    <t>10.1016/j.marpolbul.2016.11.059</t>
  </si>
  <si>
    <t>http://dx.doi.org/10.1016/j.marpolbul.2016.11.059</t>
  </si>
  <si>
    <t>WOS:000394399800034</t>
  </si>
  <si>
    <t>Cardoso, PG; Morais, H; Crespo, D; Tavares, D; Pereira, E; Pardal, MA</t>
  </si>
  <si>
    <t>Cardoso, Patricia Goncalves; Morais, Hugo; Crespo, Daniel; Tavares, Daniela; Pereira, Eduarda; Pardal, Miguel Angelo</t>
  </si>
  <si>
    <t>Seasonal characterization of mercury contamination along the Portuguese coast: human health and environmental risk assessment</t>
  </si>
  <si>
    <t>Metal contamination; Coastal areas; Risk assessment; Seafood consumption; Edible bivalves</t>
  </si>
  <si>
    <t>POPULATION-DYNAMICS; SURFACE SEDIMENTS; WATER COLUMN; FOOD-WEB; ESTUARY; BIOMAGNIFICATION; AVEIRO; RIA; MONOMETHYLMERCURY; BIOACCUMULATION</t>
  </si>
  <si>
    <t>A seasonal characterization of mercury (Hg) accumulation in three different estuaries along the Portuguese coast (i.e. Ria de Aveiro, Tagus estuary and Ria Formosa) was done. For that, it was evaluated: (1) Hg concentrations in abiotic (water) and biotic matrices (flora and fauna); (2) the risk of consumption of local seafood species (e. g. bivalves) to human health; and (3) the environmental risk to Hg exposure. During 1 year, water and biological samples were collected during low tide, in each system for Hg quantification. Our findings revealed that total Hg concentrations in surface waters were higher in Ria de Aveiro and Tagus estuary than in Ria Formosa. In Ria de Aveiro, a particular attention should be given in autumn periods, where Hg levels (similar to 100 mu g L-1) were considered quite high according to European quality parameters. The same was observed for the Tagus estuary during spring time. Regarding macrofauna Hg levels, no clear seasonal trend was observed. Also, total Hg concentrations in edible species (&lt; 0.5 mu g. g(-1) ww) represent no risk for consumption. However, considering the environmental risk, in Ria de Aveiro, there is a moderate risk (RQ &gt; 0.1) in autumn periods, which can be a matter of concern.</t>
  </si>
  <si>
    <t>[Cardoso, Patricia Goncalves; Morais, Hugo; Crespo, Daniel] Univ Porto, CIIMAR CIMAR Interdisciplinary Ctr Marine &amp; Enviro, Matosinhos, Portugal; [Tavares, Daniela; Pereira, Eduarda] Univ Aveiro, LAQV REQUIMTE Associated Lab Green Chem, Campus Santiago, P-3810193 Aveiro, Portugal; [Pardal, Miguel Angelo] Univ Coimbra, CFE Ctr Funct Ecol, Dept Life Sci, P-3000456 Coimbra, Portugal</t>
  </si>
  <si>
    <t>Universidade do Porto; Universidade de Aveiro; Universidade de Coimbra</t>
  </si>
  <si>
    <t>Cardoso, PG (corresponding author), Univ Porto, CIIMAR CIMAR Interdisciplinary Ctr Marine &amp; Enviro, Matosinhos, Portugal.</t>
  </si>
  <si>
    <t>pteixeira@ciimar.up.pt</t>
  </si>
  <si>
    <t>Crespo, Daniel/O-2627-2017; Pereira, Eduarda/A-5907-2012; Teixeira, Patricia/I-6863-2013; Pardal, Miguel Angelo/C-3984-2009</t>
  </si>
  <si>
    <t>Teixeira, Patricia/0000-0003-4653-4705; Pardal, Miguel Angelo/0000-0001-6048-7007</t>
  </si>
  <si>
    <t>FCT|FCCN; project GLOBALED [PTDC/BIA-ECO/30552/2017]; COMPETE 2020, Portugal; European Union through the ERDF; FCT [IF/01506/2014, SFRH/BD/139762/2018]; European Social Fund; MCTES (Portuguese Ministry of Science, Technology and Higher Education), through the POPH (Human Potential Operational Program); national funds through FCT - Foundation for Science and Technology [UIDB/04423/2020, UID/BIA/04004/2013, UIDP/04423/2020]; Comissao de Coordenacao da Regiao Centro (CCDR-C) [CENTRO-010145-FEDER-000007]; European Regional Development Fund (FEDER)</t>
  </si>
  <si>
    <t>FCT|FCCN; project GLOBALED; COMPETE 2020, Portugal; European Union through the ERDF(European Union (EU)); FCT(Fundacao para a Ciencia e a Tecnologia (FCT)); European Social Fund(European Social Fund (ESF)); MCTES (Portuguese Ministry of Science, Technology and Higher Education), through the POPH (Human Potential Operational Program); national funds through FCT - Foundation for Science and Technology(Fundacao para a Ciencia e a Tecnologia (FCT)); Comissao de Coordenacao da Regiao Centro (CCDR-C); European Regional Development Fund (FEDER)(European Union (EU))</t>
  </si>
  <si>
    <t>Open access funding provided by FCT|FCCN (b-on). This work was supported by the project GLOBALED (PTDC/BIA-ECO/30552/2017), co-financed by COMPETE 2020, Portugal 2020 and the European Union through the ERDF and by FCT through national funds. PG Cardoso (IF/01506/2014) was supported by FCT investigator contract, subsidized by the European Social Fund and MCTES (Portuguese Ministry of Science, Technology and Higher Education), through the POPH (Human Potential Operational Program) and Hugo Morais by a FCT PhD grant (SFRH/BD/139762/2018). This research was also supported by national funds through FCT - Foundation for Science and Technology within the scope of UIDB/04423/2020, UID/BIA/04004/2013 and UIDP/04423/2020. Additional support was also obtained via CENTRO-01-0145-FEDER-000007, funded by the Comissao de Coordenacao da Regiao Centro (CCDR-C) and subsidized by the European Regional Development Fund (FEDER).</t>
  </si>
  <si>
    <t>10.1007/s11356-023-29495-5</t>
  </si>
  <si>
    <t>http://dx.doi.org/10.1007/s11356-023-29495-5</t>
  </si>
  <si>
    <t>WOS:001064853700016</t>
  </si>
  <si>
    <t>Clark, SL; Teh, SJ; Hinton, DE</t>
  </si>
  <si>
    <t>Tissue and cellular alterations in Asian clam (Potamocorbula amurensis) from San Francisco Bay:: toxicological indicators of exposure and effect?</t>
  </si>
  <si>
    <t>Asian clam; San Francisco Bay; cadmium; exposure; effect</t>
  </si>
  <si>
    <t>The US Geological Survey has reported the presence of a metal contamination gradient in clam tissues, decreased condition indices, and irregular reproductive patterns have been reported in the Asian clam, Potamocorbula amurensis, from San Francisco Bay. If metals are driving the observed patterns in the field, then biomarkers of exposure, and possibly deleterious effect, should show a corresponding gradient. In this study, biomarkers from sub-cellular to tissue levels of biological organization were assessed in P. amurensis collected from the Bay or exposed to cadmium in the laboratory. Cellular and tissue alterations were assessed using histopathology and enzyme histochemistry (EH). Alterations in the ovary, testis, kidney, and gill tissues were most common at the most contaminated station when data were averaged over a 12-month sampling period. EH analysis indicated decreased active transport, energy status, and glucose oxidation in kidney and digestive gland at the most contaminated site which may indicate a decreased potential for growth. Ovarian lesions observed in feral Asian clams were experimentally induced in healthy clams by cadmium exposure in laboratory exposures. Our results suggest a contaminant etiology for tissue alterations. (C) 2000 Elsevier Science Ltd. All rights reserved.</t>
  </si>
  <si>
    <t>Univ Calif Davis, Sch Vet Med, Dept Anat Physiol &amp; Cell Biol, Aquat Toxicol Lab, Davis, CA 95616 USA</t>
  </si>
  <si>
    <t>Clark, SL (corresponding author), Univ Calif Davis, Sch Vet Med, Dept Anat Physiol &amp; Cell Biol, Aquat Toxicol Lab, Davis, CA 95616 USA.</t>
  </si>
  <si>
    <t>10.1016/S0141-1136(00)00100-8</t>
  </si>
  <si>
    <t>http://dx.doi.org/10.1016/S0141-1136(00)00100-8</t>
  </si>
  <si>
    <t>WOS:000165486700050</t>
  </si>
  <si>
    <t>Pataranawat, P; Parkpian, P; Polprasert, C; Delaune, RD; Jugsujinda, A</t>
  </si>
  <si>
    <t>Pataranawat, Poranee; Parkpian, Preeda; Polprasert, Chongrak; Delaune, R. D.; Jugsujinda, A.</t>
  </si>
  <si>
    <t>Mercury emission and distribution: Potential environmental risks at a small-scale gold mining operation, Phichit province, Thailand</t>
  </si>
  <si>
    <t>small scale gold mining; amalgamation; Hg contamination in soil; water; air and biota; aquatic habitat; Hg accumulation</t>
  </si>
  <si>
    <t>ALMADEN; CONTAMINATION; METHYLATION</t>
  </si>
  <si>
    <t>Mercury (Hg) contamination was assessed in environment near an amalgamation gold recovery operation located at a small scale mining operation ( Phanom Pha) in Phichit Province, Thailand. Total mercury ( THg) concentrationswas determined in water, sediment, bivalves in the aquatic environment and as dry deposition or atmospheric fallout on surface soil and leaves of Neem tree ( Azadirachta indica Juss. var. siamensis Valeton) near the mining operation. THg in surface soil, Neem flowers ( edible part) and rice grain in surrounding terrestrial habitat and with distance from the mining area were also evaluated for possible contamination. Potential environmental risks were evaluated using the hazard quotient equation. Hg analyses conducted in the aquatic habitat showed that THg in water, sediment and bivalves ( Scabies cripata Gould) ranged from 0.4 to 4 mu g L-1, 96 to 402 mu g kg(-1)dry weight ( dw) and 15 to 584 mu g kg(-1) wet weight ( ww), respectively. High concentrations of THg in water, sediment and bivalves were observed in the receiving stream near the mining operation which was located near the Khao Chet Luk Reservoir. Whereas the THg concentration in water, sediment and bivalves from monitoring stations outside the gold mining operation ( upstream and downstream), were considerably lower with the values of 0.4 - 0.8 mu g L-1, 96 - 140 mu g kg(-1) dw and 88 - 658 mu g kg(-1) dw, respectively. The elevated concentration of Hg found in the sediment near the mining operation was consistent with Hg accumulation measured in bivalves. The elevated Hg levels found in living bivalves collected from highly contaminated sites suggested that the sediment bound Hg was bioavailable. THg in surface soils, brown rice grain ( Jasmine rice # 105) and Neem flowers of terrestrial habitats were in the range of 16 to 180 mu g kg(-1) dw, 190 to 300 mu g kg(-1) dw, and 622 to 2150 mu g kg(-1) dw, respectively. Elevated concentrations of mercury were found in Neem flowers with the concentration greater than 600 mu g kg(-1) ww, which exceeds the maximum permissible concentration reported for biota tissue ( 500 mu g kg(-1) ww). An evaluation of air and soil pollution near the mining operations showed high concentrations of THg in dry deposit from atmospheric fallout ( 139 mu g m(-2) d(-1)), and in surface soil ( 10,564 mu g kg(-1) dw) at station near where open burning of gold ore extracts using the amalgamation process occurred. High or elevated concentration of THg ( 1172 - 1301 mu g kg(-1) dw) in leaves of Neem tree was also measured near the mining operations. A survey of Hg in surface soil showed elevated Hg concentrations near the site which corresponded to the elevated THg concentration in dry deposition. These results suggested that atmospheric fallout is a major source of Hg to the area surrounding the mining or gold ore extraction. Results also suggest that Hg emitted into the air ( estimated to be 60 - 150 g d(-1)) from the gold mining activities ( over the past 10 years) contaminated air, the aquatic environment, surface soil and biota in the area surrounding the gold mining operation.</t>
  </si>
  <si>
    <t>Louisiana State Univ, Sch Coast &amp; Environm, Wetland Biogeochem Inst, Baton Rouge, LA 70803 USA</t>
  </si>
  <si>
    <t>Louisiana State University System; Louisiana State University</t>
  </si>
  <si>
    <t>Jugsujinda, A (corresponding author), Louisiana State Univ, Sch Coast &amp; Environm, Wetland Biogeochem Inst, Baton Rouge, LA 70803 USA.</t>
  </si>
  <si>
    <t>ajugsv@lsu.edu</t>
  </si>
  <si>
    <t>DeLaune, R.D./A-2058-2012</t>
  </si>
  <si>
    <t>10.1080/10934520701418573</t>
  </si>
  <si>
    <t>http://dx.doi.org/10.1080/10934520701418573</t>
  </si>
  <si>
    <t>192WN</t>
  </si>
  <si>
    <t>WOS:000248234300008</t>
  </si>
  <si>
    <t>Horvat, M; Liang, L; Azemard, S; Mandie, V; Villeneuve, JP; Coquery, M</t>
  </si>
  <si>
    <t>Certification of total mercury and methylmercury concentrations in mussel homogenate (Mytilus edulis) reference material, IAEA-142</t>
  </si>
  <si>
    <t>4th International Conference on Mercury as a Global Pollutant</t>
  </si>
  <si>
    <t>AUG 04-08, 1996</t>
  </si>
  <si>
    <t>HAMBURG, GERMANY</t>
  </si>
  <si>
    <t>ATOMIC-ABSORPTION DETERMINATION; ROOM-TEMPERATURE PRECOLLECTION; AQUEOUS-PHASE ETHYLATION; ORGANIC MERCURY; SPECTROMETRIC DETECTION; FLUORESCENCE DETECTION; LIQUID-CHROMATOGRAPHY; GAS-CHROMATOGRAPHY; INORGANIC MERCURY; SPECIATION</t>
  </si>
  <si>
    <t>Due to the increased demand for new reference materials certified for total and methylmercury (MeHg) a sample of mussel homogenate (IAEA-142) has been prepared. Thirteen experienced laboratories reported results for total Hg of which 9 laboratories also reported results for MeHg content. Laboratories reporting MeHg results used various isolation techniques (solvent extraction, saponification, acid leaching, ion-exchange separation, and distillation) and detection systems (cold vapour atomic absorption spectrometry (CV AAS), cold vapour atomic fluorescence spectrometry (CV AFS), gas chromatography with electron capture detector (GC/ECD) and HPLC with CV AAS detector). In the case of total Hg, most of the laboratories used acid digestion, only two used alkaline dissolution, followed either by CV AAS or CV AFS. One laboratory used neutron activation analyses with radiochemical separation. The data received were in good agreement. The value for total Hg was certified to be 126 ng/g, with a 95% confidence interval from 119 to 132 ng/g. For MeHg the certified value of 47 ng/g expressed as Hg was assigned, with a 95% confidence interval from 43 to 51 ng/g. Stability testing has shown that both total and MeHg are stable if samples are stored in a dry and dark place at room temperature. The sample is now available as a certified reference material and is, in particular, useful for quality control measurements of Hg and MeHg in mussel samples at low concentration levels.</t>
  </si>
  <si>
    <t>CEBAM ANALYT INC, PORTLAND, OR 97214 USA</t>
  </si>
  <si>
    <t>Horvat, M (corresponding author), INT ATOM ENERGY AGCY, MARINE ENVIRONM LAB, POB 800, MC-98012 MONACO, MONACO.</t>
  </si>
  <si>
    <t>Azemard, Sabine/AGG-4505-2022</t>
  </si>
  <si>
    <t>Coquery, Marina/0000-0002-6831-8408</t>
  </si>
  <si>
    <t>10.1007/s002160050439</t>
  </si>
  <si>
    <t>http://dx.doi.org/10.1007/s002160050439</t>
  </si>
  <si>
    <t>XF901</t>
  </si>
  <si>
    <t>WOS:A1997XF90100010</t>
  </si>
  <si>
    <t>Leung, RKL; Jin, L; Kong, HK; Su, C; Ren, XC; Liu, XS; Wang, YJ; Hu, MH; Kwok, KWH; Wu, RSS; Chui, APY; Fang, JKH</t>
  </si>
  <si>
    <t>Leung, Ryan Kar-Long; Jin, Ling; Kong, Hang-Kin; Su, Chen; Ren, Xingchao; Liu, Xiaoshou; Wang, Youji; Hu, Menghong; Kwok, Kevin Wing Hin; Wu, Rudolf Shiu Sun; Chui, Apple Pui-Yi; Fang, James Kar-Hei</t>
  </si>
  <si>
    <t>Development of a multiple-biomarker approach using the green-lipped mussel Perna viridis for marine pollution monitoring: a case study in Victoria Harbour, Hong Kong</t>
  </si>
  <si>
    <t>Lysosomal destabilisation; RNA:DNA; PAHs; Heavy metals; Biomonitoring</t>
  </si>
  <si>
    <t>POLYCYCLIC AROMATIC-HYDROCARBONS; POLYCHLORINATED-BIPHENYLS; LYSOSOMAL DESTABILIZATION; ANTIOXIDATIVE RESPONSES; TISSUE CONCENTRATIONS; DIGESTIVE CELLS; RNA/DNA RATIO; EXPOSURE; DNA; GENOTOXICITY</t>
  </si>
  <si>
    <t>Pollutants often exist as mixtures in environmental settings, creating a challenge in selecting the most effective combination of biomarkers for routine monitoring. This study was conducted seasonally in Victoria Harbour, Hong Kong, to compare the responses of nine biomarkers in the green-lipped mussel Perna viridis with respect to its tissue levels of persistent organic pollutants and heavy metals. Multivariate statistical techniques were utilised to determine the single best predictor and optimal subset of biomarkers in P. viridis for each of the four scenarios: representing overall biomarker responses in the dry season, and wet season, as well as correlating tissue levels of mixed pollutants in the dry season, and wet season. Our findings recommend lysosomal destabilisation, and the nucleic acid ratio of RNA to DNA, as the core biomarkers in P. viridis for marine pollution monitoring. The nonspecificity of these biomarkers allows effective identification of pollution hotspots and guides further detailed assessment.</t>
  </si>
  <si>
    <t>[Leung, Ryan Kar-Long] Hong Kong Polytech Univ, Dept Appl Biol &amp; Chem Technol, Hung Hom, Hong Kong, Peoples R China; [Jin, Ling] Hong Kong Polytech Univ, Dept Civil &amp; Environm Engn, Hung Hom, Hong Kong, Peoples R China; [Jin, Ling] Hong Kong Polytech Univ, Dept Hlth Technol &amp; Informat, Hung Hom, Hong Kong, Peoples R China; [Jin, Ling; Wu, Rudolf Shiu Sun; Chui, Apple Pui-Yi; Fang, James Kar-Hei] City Univ Hong Kong, State Key Lab Marine Pollut, Kowloon Tong, Hong Kong, Peoples R China; [Jin, Ling; Kong, Hang-Kin; Kwok, Kevin Wing Hin; Fang, James Kar-Hei] Hong Kong Polytech Univ, Res Inst Future Food, Hung Hom, Hong Kong, Peoples R China; [Jin, Ling; Fang, James Kar-Hei] Hong Kong Polytech Univ, Res Inst Sustainable Urban Dev, Hung Hom, Hong Kong, Peoples R China; [Kong, Hang-Kin; Su, Chen; Ren, Xingchao; Kwok, Kevin Wing Hin; Fang, James Kar-Hei] Hong Kong Polytech Univ, Dept Food Sci &amp; Nutr, Hung Hom, Hong Kong, Peoples R China; [Liu, Xiaoshou] Ocean Univ China, Coll Marine Life Sci &amp; Frontiers Sci, Ctr Deep Ocean Multispheres &amp; Earth Syst, Qingdao 266003, Peoples R China; [Wang, Youji; Hu, Menghong] Shanghai Ocean Univ, Int Res Ctr Marine Biosci, Minist Sci &amp; Technol, Shanghai 201306, Peoples R China; [Kwok, Kevin Wing Hin; Fang, James Kar-Hei] Hong Kong Polytech Univ, Res Inst Land &amp; Space, Hung Hom, Hong Kong, Peoples R China; [Wu, Rudolf Shiu Sun] Educ Univ Hong Kong, Dept Sci &amp; Environm Studies, Tai Po, Hong Kong, Peoples R China; [Chui, Apple Pui-Yi] Chinese Univ Hong Kong, Sch Life Sci, Simon FS Li Marine Sci Lab, Shatin, Hong Kong, Peoples R China</t>
  </si>
  <si>
    <t>Hong Kong Polytechnic University; Hong Kong Polytechnic University; Hong Kong Polytechnic University; City University of Hong Kong; Hong Kong Polytechnic University; Hong Kong Polytechnic University; Hong Kong Polytechnic University; Ocean University of China; Shanghai Ocean University; Hong Kong Polytechnic University; Education University of Hong Kong (EdUHK); Chinese University of Hong Kong</t>
  </si>
  <si>
    <t>Fang, JKH (corresponding author), Hong Kong Polytech Univ, Dept Food Sci &amp; Nutr, Hung Hom, Hong Kong, Peoples R China.;Chui, APY (corresponding author), Chinese Univ Hong Kong, Sch Life Sci, Simon FS Li Marine Sci Lab, Shatin, Hong Kong, Peoples R China.</t>
  </si>
  <si>
    <t>applepychui@cuhk.edu.hk; james.fang@polyu.edu.hk</t>
  </si>
  <si>
    <t>Wu, Rudolf/B-4203-2010; Kong, Hang-kin/GLT-5001-2022; Fang, James/H-2088-2017; Liu, Xiaoshou/I-3001-2019; WANG, Youji/B-8086-2011</t>
  </si>
  <si>
    <t>Leung, Ryan Kar-Long/0000-0003-3869-0329</t>
  </si>
  <si>
    <t>Environment and Conservation Fund, Hong Kong SAR [ECF66/2017]; Hong Kong Polytechnic University [P0008674]; Chinese University of Hong Kong [4053488, 4053601]</t>
  </si>
  <si>
    <t>Environment and Conservation Fund, Hong Kong SAR; Hong Kong Polytechnic University(Hong Kong Polytechnic University); Chinese University of Hong Kong(Chinese University of Hong Kong)</t>
  </si>
  <si>
    <t>This study received financial support from the Environment and Conservation Fund, Hong Kong SAR, (Reference: ECF66/2017) , as well as internal grants from The Hong Kong Polytechnic University (Refer-ence: P0008674) and The Chinese University of Hong Kong (References: 4053488 and 4053601) . The authors would like to express their grati-tude for the technical support provided by the University Research Facility in Chemical and Environmental Analysis, University Research Facility in Life Sciences, and Industrial Centre at The Hong Kong Poly-technic University.</t>
  </si>
  <si>
    <t>10.1016/j.marpolbul.2024.116684</t>
  </si>
  <si>
    <t>http://dx.doi.org/10.1016/j.marpolbul.2024.116684</t>
  </si>
  <si>
    <t>A9A6K</t>
  </si>
  <si>
    <t>WOS:001285393700001</t>
  </si>
  <si>
    <t>Kouali, H; Achtak, H; Chaouti, A; Elkalay, K; Dahbi, A</t>
  </si>
  <si>
    <t>Kouali, Hassnae; Achtak, Hafid; Chaouti, Abdellatif; Elkalay, Khalid; Dahbi, Abdallah</t>
  </si>
  <si>
    <t>Assessment of trace metal contamination in surficial fine-grained sediments and mussel, Mytilus galloprovincialis from Safi areas in the northwestern Atlantic coast of Morocco</t>
  </si>
  <si>
    <t>Bioaccumulation; Marine sediments; Mediterranean blue mussel; Metal contamination; Pollution indices; Risk assessment</t>
  </si>
  <si>
    <t>ECOLOGICAL RISK-ASSESSMENT; HEAVY-METALS; SPATIAL-DISTRIBUTION; SOURCE IDENTIFICATION; MARINE-ENVIRONMENT; SURFACE SEDIMENTS; GABES GULF; POLLUTION; BIOACCUMULATION; INDUSTRIAL</t>
  </si>
  <si>
    <t>During the spring season, trace metal concentrations of cadmium (Cd) and copper (Cu) were investigated in surficial fine-grained sediments and the blue mussel Mytilus galloprovincialis. The study was conducted on the Atlantic coast of Morocco at two selected points along Safi shores, a supposed clean station and a recognized metal-contaminated one. The main objectives were to assess the pollution status of these two stations and to highlight the environmental and human risks associated with metal contamination. The bioavailability and the bioaccumulation of the selected metals, several physiological and biometric parameters of mussels were assessed at both sampling stations. As expected, the station located near industry plants showed the highest metal concentrations in the two compartments and was associated with lower values in the physiological and biometric indices. At the mussel scale, inter-station and inter-tissue variations in metal concentrations were observed showing a preferential accumulation within the digestive gland. Besides, strong reliable negative relations of Cd and Cu concentrations were obtained with physiological indices. Surprisingly, a significant occurrence of both selected metals was recorded at the location assumed as a reference station. Therefore, the hypothesis that this station presumed to be clean and currently used as a control station must be reconsidered. As for the risk for the consumer, the estimated daily intake (EDI) of Cd and Cu indicated a potential health risk through mussel consumption since the EDI values were markedly above the international guidelines and threshold levels for human consumption. Finally, our data were compared to those previously obtained along the Safi coastline (NW Morocco) and other geographical regions, including the Mediterranean and western Atlantic areas within the temperate zone. (C) 2020 Published by Elsevier B.V.</t>
  </si>
  <si>
    <t>[Kouali, Hassnae; Achtak, Hafid; Dahbi, Abdallah] Cadi Ayyad Univ, Polydisciplinary Fac, Dept Biol, Environm &amp; Hlth,Res Team, Safi, Morocco; [Kouali, Hassnae; Elkalay, Khalid] Cadi Ayyad Univ, High Sch Technol, Lab Appl Sci Environm &amp; Sustainable Dev, Essaouira, Morocco; [Chaouti, Abdellatif] Chouaib Doukkali Univ, Lab Vegetal Biotechnol Ecol &amp; Ecosyst Valorizat, Blue Biodivers &amp; Biotechnol, Res Unit Phycol,Fac Sci,Dept Biol, El Jadida, Morocco</t>
  </si>
  <si>
    <t>Cadi Ayyad University of Marrakech; Cadi Ayyad University of Marrakech; Chouaib Doukkali University of El Jadida</t>
  </si>
  <si>
    <t>Dahbi, A (corresponding author), Cadi Ayyad Univ, Polydisciplinary Fac, Dept Biol, Environm &amp; Hlth,Res Team, Safi, Morocco.</t>
  </si>
  <si>
    <t>abdallahdahbi68@gmail.com</t>
  </si>
  <si>
    <t>Elkalay, khalid/ABT-7140-2022; ACHTAK, Hafid/JOZ-7512-2023; Abdellatif, Chaouti/GYJ-1831-2022</t>
  </si>
  <si>
    <t>ACHTAK, Hafid/0000-0001-9319-303X</t>
  </si>
  <si>
    <t>10.1016/j.rsma.2020.101535</t>
  </si>
  <si>
    <t>http://dx.doi.org/10.1016/j.rsma.2020.101535</t>
  </si>
  <si>
    <t>WOS:000603374600016</t>
  </si>
  <si>
    <t>Leung, PTY; Park, TJ; Wang, Y; Che, CM; Leung, KMY</t>
  </si>
  <si>
    <t>Leung, Priscilla T. Y.; Park, T. J.; Wang, Yu; Che, C. M.; Leung, Kenneth M. Y.</t>
  </si>
  <si>
    <t>Isoform-specific responses of metallothioneins in a marine pollution biomonitor, the green-lipped mussel Perna viridis, towards different stress stimulations</t>
  </si>
  <si>
    <t>Animal proteomics; Cadmium; Hydrogen peroxide; Metallothionein isoform; Mussel; Perna viridis</t>
  </si>
  <si>
    <t>TANDEM MASS-SPECTROMETRY; GASTROPOD HELIX-POMATIA; HYDROGEN-PEROXIDE; MYTILUS-GALLOPROVINCIALIS; DIGESTIVE GLAND; OXIDATIVE STRESS; METAL CONTAMINATION; NUCELLA-LAPILLUS; QUANTITATIVE PCR; GENE-EXPRESSION</t>
  </si>
  <si>
    <t>Metallothioneins (MTs) are commonly used as biomarker for metal pollution assessment in marine ecosystems. Using integrated genomic and proteomic analyses, this study characterized two types of MT isoform in the digestive gland of a common biomonitor, the green-lipped mussel Perna viridis, towards the challenges of a metal (cadmium; Cd) and a non-metal oxidant (hydrogen peroxide; H2O2) respectively. The two isoforms differed in their deduced protein sequences, with 73 amino acids for MT10-I and 72 for MT10-II (a novel type), but both consisted of a high percentage (27.4 to 29.2%) of cysteine. Two-dimensional gel and Western blot showed that the MT proteins were present in multiple isoform spots, and they were further validated to be MT10-I and MT10-II using MS analysis coupled with unrestricted modifications searching. Expression of mRNA revealed that MT10-I responded promptly to Cd but had a lagged induction to H2O2 treatments, while MT10-II was exclusively induced by Cd treatment over the course of exposure. Expression of the MT proteins also showed a delayed response to H2O2, compared to Cd treatments. This study uncovered the potential different functional roles of various MTs isoforms in P. viridis and thus advances the resolution of using MTs as biomarkers in future applications.</t>
  </si>
  <si>
    <t>[Leung, Priscilla T. Y.; Park, T. J.; Leung, Kenneth M. Y.] Univ Hong Kong, Swire Inst Marine Sci, Hong Kong, Hong Kong, Peoples R China; [Leung, Priscilla T. Y.; Park, T. J.; Leung, Kenneth M. Y.] Univ Hong Kong, Swire Inst Marine Sci, Pokfulam, Hong Kong, Peoples R China; [Leung, Priscilla T. Y.; Park, T. J.; Leung, Kenneth M. Y.] Univ Hong Kong, Sch Biol Sci, Pokfulam, Hong Kong, Peoples R China; [Wang, Yu] Univ Hong Kong, Dept Pharmacol &amp; Pharm, Pokfulam, Hong Kong, Peoples R China; [Che, C. M.] Univ Hong Kong, Dept Chem, Pokfulam, Hong Kong, Peoples R China; [Leung, Kenneth M. Y.] City Univ Hong Kong, State Key Lab Marine Pollut, Kowloon, Hong Kong, Peoples R China</t>
  </si>
  <si>
    <t>University of Hong Kong; University of Hong Kong; University of Hong Kong; University of Hong Kong; University of Hong Kong; City University of Hong Kong</t>
  </si>
  <si>
    <t>Leung, KMY (corresponding author), Univ Hong Kong, Sch Biol Sci, Pokfulam Rd, Hong Kong, Hong Kong, Peoples R China.</t>
  </si>
  <si>
    <t>kmyleung@hku.hk</t>
  </si>
  <si>
    <t>Wang, Yu/B-4534-2009; Leung, Kenneth Mei Yee/C-1055-2009; Che, Chi Ming/D-3055-2009</t>
  </si>
  <si>
    <t>wang, yu/0000-0001-8697-2940; Leung, Kenneth Mei Yee/0000-0002-2164-4281; Che, Chi Ming/0000-0002-2554-7219</t>
  </si>
  <si>
    <t>Research Grants Council, HKSAR [HKU7522/06M]; University of Hong Kong; State Key Laboratory in Marine Pollution, China; University Grants Committee, HKSAR [SEGHKU02]</t>
  </si>
  <si>
    <t>Research Grants Council, HKSAR(Hong Kong Research Grants Council); University of Hong Kong(University of Hong Kong); State Key Laboratory in Marine Pollution, China; University Grants Committee, HKSAR</t>
  </si>
  <si>
    <t>This project is supported by funding to Professor KMY Leung: the research General Research Fund (Project no. HKU7522/06M) from Research Grants Council, HKSAR; the Seed Funding for Basic Research from the University of Hong Kong and a Seed Collaborative Research Fund (2011) from the State Key Laboratory in Marine Pollution, China; and funding to Professor Chi-Ming Che: the Special Equipment Grant Scheme (SEGHKU02) established under University Grants Committee, HKSAR. Authors also thank Dr. Michael Eitel for suggestions on the phylogenetic analyses and Sarah Mak, Jack Ip and Edward Lau for their assistance in this project.</t>
  </si>
  <si>
    <t>10.1002/pmic.201300439</t>
  </si>
  <si>
    <t>http://dx.doi.org/10.1002/pmic.201300439</t>
  </si>
  <si>
    <t>AN2FD</t>
  </si>
  <si>
    <t>WOS:000340398600008</t>
  </si>
  <si>
    <t>Mansour, C; Esteban, MA; Hacene, OR; Mosbahi, DS; Guardiola, FA</t>
  </si>
  <si>
    <t>Mansour, Chalbia; Esteban, Maria Angeles; Hacene, Omar Rouane; Mosbahi, Dalila Saidane; Guardiola, Francisco Antonio</t>
  </si>
  <si>
    <t>Comparative study of immunological biomarkers in the carpet shell clams (Ruditapes decussatus) from metal-contaminated sites in the South Lagoon of Tunis (Tunisia)</t>
  </si>
  <si>
    <t>Biomarkers; Biomonitoring; Innate immunity; Seasonality; Metal contamination; South Lagoon of Tunis; Carpet shell clam (Ruditapes decussatus)</t>
  </si>
  <si>
    <t>POLYCYCLIC AROMATIC-HYDROCARBONS; CRASSOSTREA-GIGAS THUNBERG; HUMORAL IMMUNE-RESPONSE; PACIFIC OYSTER; OXIDATIVE STRESS; HEMOCYTE PARAMETERS; HISTOPATHOLOGICAL RESPONSES; PHENOLOXIDASE ACTIVITY; AMERICAN OYSTERS; FENUGREEK SEEDS</t>
  </si>
  <si>
    <t>The South Lagoon of Tunis (Tunisia) is a Mediterranean lagoon adversely affected by industrial contaminants, harbour activity and untreated urban sewage. In this lagoon, the clam Ruditapes decussatus has been widely used as a biomonitor of seawater pollution through measurements of parameters related to oxidative stress and neurotoxicity. However, few studies have considered parameters of the immune system of this species in the South Lagoon of Tunis. Therefore, the aim of the present work was to evaluate several immune-related parameters in the cell-free haemolymph of carpet shell clams sampled during August and February from three polluted sites in the South Lagoon of Tunis (S1, S2 and S3) and one less polluted site as a reference site (RS) in order to identify suitable biomarkers for environmental quality assessments of this ecosystem. Concerning the immune-related parameters, seasonal factors modulated phenoloxidase, lysozyme, protease and esterase activity, with lower values measured for samples collected in August than for samples collected in February. In fact, bactericidal activity against two of the pathogenic bacteria tested and the activity of most immune-related enzymes were reduced in the cell-free haemolymph of clams collected from the most sampling sites in August compared to February one. In addition, values of abiotic parameters (temperature, salinity and pH) and metal (cadmium, copper, iron, lead and zinc) concentrations in the clams' soft tissues, previously obtained and published by the authors, as well as the values of immune-related parameters were integrated using principal component analyses. Results indicated that the values of all measured immune-related parameters were negatively correlated with the temperature values and the variations most of these parameters highlighted that the chemical industrial area (S3) was the most impacted location within the South Lagoon of Tunis. The present study illustrates that the immune-related parameters measured in carpet shell clam cell-free haemolymph represent suitable biomarkers for environmental quality assessments because they provide effective seasonal and spatial discrimination.</t>
  </si>
  <si>
    <t>[Mansour, Chalbia; Mosbahi, Dalila Saidane] Univ Monastir, Lab Anal Treatment &amp; Valorizat Pollutants Environ, Fac Pharm, Monastir, Tunisia; [Esteban, Maria Angeles; Guardiola, Francisco Antonio] Univ Murcia, Immunobiol Aquaculture Grp, Fac Biol, Dept Cell Biol &amp; Histol, Reg Campus Int Excellence Campus Mare Nostrum, Murcia 30100, Spain; [Hacene, Omar Rouane] Univ Oran, Dept Biol, Lab Reseau Surveillance Environm LRSE, 1 Ahmed Ben Bella,BP 1524 El Mnaouer, Oran 31000, Algeria</t>
  </si>
  <si>
    <t>Universite de Monastir; University of Murcia; Universite d'Oran</t>
  </si>
  <si>
    <t>Guardiola, FA (corresponding author), Univ Murcia, Immunobiol Aquaculture Grp, Fac Biol, Dept Cell Biol &amp; Histol, Reg Campus Int Excellence Campus Mare Nostrum, Murcia 30100, Spain.</t>
  </si>
  <si>
    <t>faguardiola@um.es</t>
  </si>
  <si>
    <t>Esteban, María/D-6709-2011; Guardiola, Francisco Antonio/K-5544-2015</t>
  </si>
  <si>
    <t>Guardiola, Francisco Antonio/0000-0002-1018-5446; MANSOUR, CHALBIA/0000-0003-4910-6837; Esteban, Maria Angeles/0000-0002-6264-1458</t>
  </si>
  <si>
    <t>Ministry of Scientific Research and Technology (Tunisia); University of Monastir (Tunisia); Fundacion Seneca de la Region de Murcia (Grupo de Excelencia [19883/GERM/15]; CRUE-CSIC; Springer Nature</t>
  </si>
  <si>
    <t>Ministry of Scientific Research and Technology (Tunisia); University of Monastir (Tunisia)(Universite de Monastir); Fundacion Seneca de la Region de Murcia (Grupo de Excelencia(Fundacion Seneca); CRUE-CSIC; Springer Nature</t>
  </si>
  <si>
    <t>Open Access funding provided thanks to the CRUE-CSIC agreement with Springer Nature. This study received funding from (1) the Ministry of Scientific Research and Technology (Tunisia); (2) the University of Monastir (Tunisia); and (3) Fundacion Seneca de la Region de Murcia (Grupo de Excelencia Grant no. 19883/GERM/15).</t>
  </si>
  <si>
    <t>10.1007/s11356-022-22902-3</t>
  </si>
  <si>
    <t>http://dx.doi.org/10.1007/s11356-022-22902-3</t>
  </si>
  <si>
    <t>I5TD6</t>
  </si>
  <si>
    <t>WOS:000854721800002</t>
  </si>
  <si>
    <t>Pytharopoulou, S; Sazakli, E; Grintzalis, K; Georgiou, CD; Leotsinidis, M; Kalpaxis, DL</t>
  </si>
  <si>
    <t>Pytharopoulou, Sofia; Sazakli, Eleni; Grintzalis, Konstantinos; Georgiou, Christos D.; Leotsinidis, Michel; Kalpaxis, Dimitrios L.</t>
  </si>
  <si>
    <t>Translational responses of Mytilus galloprovincialis to environmental pollution:: Integrating the responses to oxidative stress and other biomarker responses into a general stress index</t>
  </si>
  <si>
    <t>protein synthesis; ribosome; oxidative stress; heavy metals; metallothionein; lysosomal membrane stability; micronucleus frequency; mussels</t>
  </si>
  <si>
    <t>SEASONAL VARIABILITY; PROTEIN-SYNTHESIS; DIGESTIVE GLAND; LIPID-PEROXIDATION; USEFUL TOOL; METALLOTHIONEIN; MUSSELS; EXPOSURE; INDUCTION; ANIMALS</t>
  </si>
  <si>
    <t>Heavy metals are commonly associated with the generation of reactive oxygen species (ROS), which may cause oxidative damage to several cellular macromolecules and organelles. In an attempt to correlate biomarker responses to oxidative stress, caged mussels (Mytilus galloprovincialis) were exposed for 30 days in a relatively clean site and two areas (Stations 1 and 2) unevenly polluted by heavy metals in Gulf of Patras (Greece). Three periods of caging; were: one in winter, the second in spring, and the third in autumn. Heavy metal content was determined in digestive glands of the exposed mussels as a measure of metal pollution, metallothionein content as an adaptive and detoxifying index, lysosomal membrane stability as a biomarker of general stress, superoxide radical production and lipid peroxidation as indicators of oxidative stress, and micronucleus frequency in gill cells as an index of chromosomal damage. Considering that protein-synthesizing machinery is one of the candidate targets for ROS, the in vivo activity of ribosomes in digestive glands was also tested. Compared with the reference samples, mussels transplanted to Station I showed increased levels of heavy metals and metallothionein in digestive glands, lower lysosomal membrane stability, higher values in oxidative stress indices, reduced activity of ribosomes, and increased chromosomal damage in gill cells. In addition, run-off ribosomes isolated from mussels transplanted to Station I were less efficient at initiating protein synthesis in a cell-free system than those from mussels in the reference site. Mussels transplanted to Station 2 exhibited similar but less pronounced responses. Statistical analysis revealed a strong positive correlation of ribosomal activity with lysosomal membrane stability, as well as a significant negative correlation with the oxidative stress indices, metallothionein content, micronucleus frequency, and the digestive gland content in Cr, Cu and Mn. Integration of all the measured biomarker responses into one general stress index demonstrated a clear distinction between the sampling sites, allowing classification along a pollution gradient (reference site &lt; Station 2 &lt; Station I), independently from the season. Moreover, this analysis allowed us to compare responses between sampling campaigns and showed that the biomarker responses show best integration in winter. It was also evident that climatic or metabolic changes could modulate bioavailability of pollutants and priming of cellular defence processes. (C) 2008 Elsevier B.V. All rights reserved.</t>
  </si>
  <si>
    <t>[Pytharopoulou, Sofia; Kalpaxis, Dimitrios L.] Univ Patras, Sch Med, Biochem Lab, Patras 26504, Greece; [Sazakli, Eleni; Leotsinidis, Michel] Univ Patras, Sch Med, Publ Hlth Lab, Patras 26504, Greece; [Grintzalis, Konstantinos; Georgiou, Christos D.] Univ Patras, Dept Biol, Sect Genet Cell Biol &amp; Dev, Patras 26504, Greece</t>
  </si>
  <si>
    <t>Sazakli, Eleni/A-2798-2013; Kalpaxis, Dimitrios/A-5195-2008; Georgiou, Christos/B-8354-2013; Grintzalis, Konstantinos/I-5124-2014</t>
  </si>
  <si>
    <t>Pytharopoulou, Sofia/0000-0003-3923-1554; Georgiou, Christos/0000-0001-9707-0109; Grintzalis, Konstantinos/0000-0002-6276-495X; Sazakli, Eleni/0000-0002-5673-2214; Leotsinidis, Michalis/0000-0002-0345-9410</t>
  </si>
  <si>
    <t>UNEP/MAP [MEL2322-2918-2664 BL2202MED POL]</t>
  </si>
  <si>
    <t>UNEP/MAP</t>
  </si>
  <si>
    <t>The authors are grateful to Natalia Makchzoumi for skilful assistance in analyses and Konstantina Mandros for her gracious donation of mussels. This work was supported by a UNEP/MAP grant (MEL2322-2918-2664 BL2202MED POL).</t>
  </si>
  <si>
    <t>AUG 11</t>
  </si>
  <si>
    <t>10.1016/j.aquatox.2008.05.013</t>
  </si>
  <si>
    <t>http://dx.doi.org/10.1016/j.aquatox.2008.05.013</t>
  </si>
  <si>
    <t>344ZA</t>
  </si>
  <si>
    <t>WOS:000258964600003</t>
  </si>
  <si>
    <t>Masaka, J; Mutambu, M; Mhindu, R; Muringaniza, K</t>
  </si>
  <si>
    <t>Masaka, Johnson; Mutambu, Marshall; Mhindu, Rangarirayi; Muringaniza, Kudakwashe</t>
  </si>
  <si>
    <t>Pyritic metals sequestration on mine dumps treated with oyster mushroom (Pleurotus ostreatus, Jacq.et Fr.)</t>
  </si>
  <si>
    <t>CHEMICAL AND BIOLOGICAL TECHNOLOGIES IN AGRICULTURE</t>
  </si>
  <si>
    <t>Contamination; Mine dumps; Bioremediation; Oyster mushroom</t>
  </si>
  <si>
    <t>HEAVY-METALS; POLLUTION</t>
  </si>
  <si>
    <t>Background: Mining activities can lead to the generation of large quantities of heavy metal laden wastes which are released into the environment in an uncontrolled manner, causing widespread contamination of the ecosystem. Bioremediation is an innovative and promising technology available for removal and recovery of heavy metals from polluted environments. Methods: Field experiments based on a Latin Square Design were employed in this study in order to determine the effectiveness of oyster mushroom (P. ostreatus) as a bioremediation agent for the sequestration of pyritic heavy metals from mine dumps. Results: Compared with the background values of heavy metals in virgin forest soil, concentrations of Mn2+; Cr2+; Pb2+; Fe3+; and Cd2+ were substantially enriched in the study sites. The propagation of oyster mushroom in wheat straw substrate and heavy metal-polluted pyritic mine waste, reduced considerably the concentrations of mobile heavy metals in the waste by 1.2 mg kg(-1) (98%); 2.0 mg kg(-1) (79%); 13.1 mg kg-1 (93%); 7.7 mg kg(-1) (78%); and 6.5 mg kg(-1) (88%) for Mn2+; Cr2+; Pb2+; Fe3+; and Cd2+, respectively. Results have shown that the greatest threat to the ecology in the mine dump sites is currently posed by Cd2+; Fe3+; and Pb2+, while the least ecological threat comes from the concentrations of Mn2+. Conclusions: The mean levels of reductions in heavy metal concentrations in pyritic mine waste after mycoremedial interventions observed in the current study clearly indicate that, in bio-sorption, P. ostreatus is more efficient in sequestering Mn2+; Fe3+; and Cd2+, in that order. The oyster mushroom is less efficient in the bio-sorption of Cr2+ and Fe3+ from heavy metal polluted mine waste.</t>
  </si>
  <si>
    <t>[Masaka, Johnson; Mutambu, Marshall; Mhindu, Rangarirayi] Midlands State Univ, Dept Land &amp; Water Resources Management, Private Bag 9055, Gweru, Zimbabwe; [Muringaniza, Kudakwashe] Midlands State Univ, Dept Geog &amp; Environm Studies, Private Bag 9055, Gweru, Zimbabwe</t>
  </si>
  <si>
    <t>Masaka, J (corresponding author), Midlands State Univ, Dept Land &amp; Water Resources Management, Private Bag 9055, Gweru, Zimbabwe.</t>
  </si>
  <si>
    <t>johnsonmasaka@yahoo.com</t>
  </si>
  <si>
    <t>Masaka, Johnson/H-3687-2019; MHINDU, RANGARIRAYI/KIC-6738-2024</t>
  </si>
  <si>
    <t>Muringaniza, Kudakwashe/0000-0003-0145-1471; Masaka, Johnson/0000-0001-8888-9315</t>
  </si>
  <si>
    <t>2196-5641</t>
  </si>
  <si>
    <t>CHEM BIOL TECHNOL AG</t>
  </si>
  <si>
    <t>Chem. Biol. Technol. Agric.</t>
  </si>
  <si>
    <t>OCT 8</t>
  </si>
  <si>
    <t>10.1186/s40538-017-0108-6</t>
  </si>
  <si>
    <t>http://dx.doi.org/10.1186/s40538-017-0108-6</t>
  </si>
  <si>
    <t>GZ1RX</t>
  </si>
  <si>
    <t>WOS:000449148800001</t>
  </si>
  <si>
    <t>Wu, RSS; Lau, TC</t>
  </si>
  <si>
    <t>Polymer-ligands: A novel chemical device for monitoring heavy metals in the aquatic environments</t>
  </si>
  <si>
    <t>TRACE-METALS; MUSSEL-WATCH; HONG-KONG; MARINE ORGANISMS; MYTILUS-EDULIS; PERNA-VIRIDIS; WATERS; INDICATOR; SEAWATER; CONTAMINATION</t>
  </si>
  <si>
    <t>Major problems involved in using bio-indicators to monitor heavy metals in the marine environment include standardizing a great variety of physical and biological factors which have a significant effect on metal accumulation. The fact that different species may have different accumulation strategies for different metals, and also that the natural distribution of indicator species is limited, often prevents comparison between monitoring results in different geographic areas and hydrographic conditions. Furthermore, environmental effects on the uptake and depuration of the metals in the biological indicators are not well understood. In the present study, uptake of Cd, Pb and Zn by four polymer-ligands (i.e. Chelex(R) 100, Poly(4-vinylpyridine), Sephadex Sp C-25 and Amberlite IR-122) were studied. Laboratory results showed that Chelex(R) 100 was most effective in taking up the soluble fractions of these three metals at low ambient concentrations (0.1-10 mg l(-1)). Equilibrium at low concentrations was reached in about 21 days. Concentration factors after 21 days exposure ranged from 2500 to 5500, depending upon the metal species and ambient concentration. Both uptake and release of metals by Chelex are directly responsive to ambient concentrations and exposure time. Results of field transplantation of Chelex and mussels (Perna virvidis) also showed that Chelex accumulated significantly higher levels of Cd, Cr and Pb, similar levels of Cu, and a lower level of Zn than those of mussels under natural field conditions. Coefficients of variations of metal uptake were also much smaller with Chelex. The suitability of using Chelex(R) 100 as a novel chemical device for monitoring metal pollution in the aquatic environment is evaluated against selection criteria established for metal bioindicators. (C) 1996 Elsevier Science Ltd</t>
  </si>
  <si>
    <t>CITY UNIV HONG KONG, DEPT BIOL &amp; CHEM, TAT CHEE AVE, KOWLOON, HONG KONG.</t>
  </si>
  <si>
    <t>Lau, Tai-Chu/0000-0002-0867-9746</t>
  </si>
  <si>
    <t>10.1016/0025-326X(95)00154-F</t>
  </si>
  <si>
    <t>http://dx.doi.org/10.1016/0025-326X(95)00154-F</t>
  </si>
  <si>
    <t>UR126</t>
  </si>
  <si>
    <t>WOS:A1996UR12600012</t>
  </si>
  <si>
    <t>Einsporn, S; Koehler, A</t>
  </si>
  <si>
    <t>Einsporn, Sonja; Koehler, Angela</t>
  </si>
  <si>
    <t>Immuno-localisations (GSSP) of subcellular accumulation sites of phenanthrene, aroclor 1254 and lead (Pb) in relation to cytopathologies in the gills and digestive gland of the mussel Mytilus edulis</t>
  </si>
  <si>
    <t>immuno-localisations; GSSP; subcellular accumulation; phenanthrene; aroclor 1254; lead; cytopathologies; gills; digestive gland; mussel; Mytilus edulis</t>
  </si>
  <si>
    <t>GALLOPROVINCIALIS L.; BIOMARKERS; RESPONSES; METALS; HG</t>
  </si>
  <si>
    <t>Cell and tissue pathology of both, gill and digestive tissue, has been the subject of many studies for the elucidation of contaminant-induced biological effects. In the present study, cellular pathological alterations were linked to subcellular sites of chemical accumulation in gills and digestive gland tissues. For this purpose, mussels (Mytilus edulis) were exposed to the organic contaminants aroclor 1254 (PCB) (20 mu g/L), phenanthrene (PAH) (150 mu g/L) or the metal lead (Pb) (2.5 mg/L). The localization of chemicals at the subcellular level was analysed by an antibody-based detection system (GSSP) by the use of commercially available antibodies specifically directed against the chemicals. Pathological changes were analysed in parallel in identical samples by transmission electron microscopy. After exposure to the different contaminants, cell organelles such as mitochondria, the endo-lysosomal system as well as endoplasmic reticulum showed clear evidence of chemically-induced alterations. Large numbers of crystalloid inclusions were found in mitochondria and in autophagic lysosomes as well as multi-lamellated whorls after PAH and aroclor exposure. Immunocytochemical detection of the chemicals showed their accumulation inside of various cell organelles such as lysosomes, mitochondria, and nuclei. Additionally, chemicals were localized in association to membranes, cilia and microvilli of gill and digestive gland cells. Furthermore, the chitinous rod and mucus secretions of gill epithelial cells were positively labelled for contaminants indicating their role in protection. Localization of contaminants by immuno-detection in combination with pathological diagnosis gives insights into the cellular targets of chemical attack. (C) 2008 Published by Elsevier Ltd.</t>
  </si>
  <si>
    <t>Angela.Koehler@awi.de</t>
  </si>
  <si>
    <t>10.1016/j.marenvres.2008.02.053</t>
  </si>
  <si>
    <t>http://dx.doi.org/10.1016/j.marenvres.2008.02.053</t>
  </si>
  <si>
    <t>WOS:000257575400220</t>
  </si>
  <si>
    <t>Freitas, R; Leite, C; Pinto, J; Costa, M; Monteiro, R; Henriques, B; Di Martino, F; Coppola, F; Soares, AMVM; Solé, M; Pereira, E</t>
  </si>
  <si>
    <t>Freitas, Rosa; Leite, Carla; Pinto, Joao; Costa, Marcelo; Monteiro, Rui; Henriques, Bruno; Di Martino, Francesco; Coppola, Francesca; Soares, Amadeu M. V. M.; Sole, Montserrat; Pereira, Eduarda</t>
  </si>
  <si>
    <t>The influence of temperature and salinity on the impacts of lead in Mytilus galloprovincialis</t>
  </si>
  <si>
    <t>Climate change; metal(oid)s; Bioaccumulation; Mussels; Oxidative stress; Metabolism</t>
  </si>
  <si>
    <t>OXIDATIVE STRESS; CRASSOSTREA-GIGAS; THERMAL-STRESS; SEAWATER ACIDIFICATION; BIOCHEMICAL RESPONSE; OCEAN ACIDIFICATION; CERASTODERMA-EDULE; PACIFIC OYSTER; CADMIUM; BIOMARKERS</t>
  </si>
  <si>
    <t>Mussels, such as the marine bivalve Mytilus galloprovincialis are sentinels for marine pollution but they are also excellent bioindicators under laboratory conditions. For that, in this study we tested the modulation of biochemical responses under realistic concentrations of the toxic metal Lead (Pb) in water for 28 days under different conditions of salinity and temperature, including control condition (temperature 17 +/- 1.0 degrees C and salinity 30 +/- 1.0) as well as those within the range expected to occur due to climate change predictions (+/- 5 in salinity and + 4 degrees C in temperature). A comprehensive set of biomarkers was applied to search on modulation of biochemical responses in terms of energy metabolism, energy reserves, oxidative stress and damage occurrence in lipids, proteins as well as neurotoxicity signs. The application of an integrative Principal Coordinates Ordination (PCO) tool was successful and demonstrated that Pb caused an increase in the detoxification activity mainly evidenced by glutathione S-transferases and that the salinities 25 and 35 were, even in un-exposed mussels, responsible for cell damage seen as increased levels of lipid peroxidation (at salinity 25) and oxidised proteins (at salinity 35). (C) 2019 Elsevier Ltd. All rights reserved.</t>
  </si>
  <si>
    <t>[Freitas, Rosa; Leite, Carla; Di Martino, Francesco; Coppola, Francesca; Soares, Amadeu M. V. M.] Univ Aveiro, Dept Biol, P-3810193 Aveiro, Portugal; [Freitas, Rosa; Leite, Carla; Pinto, Joao; Costa, Marcelo; Monteiro, Rui; Henriques, Bruno; Di Martino, Francesco; Coppola, Francesca; Soares, Amadeu M. V. M.; Pereira, Eduarda] Univ Aveiro, CESAM, P-3810193 Aveiro, Portugal; [Pinto, Joao; Costa, Marcelo; Monteiro, Rui; Henriques, Bruno; Pereira, Eduarda] Univ Aveiro, Dept Quim, P-3810193 Aveiro, Portugal; [Pinto, Joao; Costa, Marcelo; Monteiro, Rui; Henriques, Bruno; Pereira, Eduarda] Univ Aveiro, LAQV REQUIMTE, P-3810193 Aveiro, Portugal; [Sole, Montserrat] CSIC, ICM, E-08003 Barcelona, Spain; [Monteiro, Rui] Univ Porto, CIIMAR, P-4450208 Matosinhos, Portugal</t>
  </si>
  <si>
    <t>Universidade de Aveiro; Universidade de Aveiro; Universidade de Aveiro; Universidade de Aveiro; Consejo Superior de Investigaciones Cientificas (CSIC); CSIC - Centro Mediterraneo de Investigaciones Marinas y Ambientales (CMIMA); CSIC - Instituto de Ciencias del Mar (ICM); Universidade do Porto</t>
  </si>
  <si>
    <t>Monteiro, Rui/Q-6628-2018; Costa, Marcelo/AAJ-1631-2020; Coppola, Francesca/U-8869-2018; Pereira, Eduarda/A-5907-2012; Pinto, João/ABF-8890-2021; Henriques, Bruno/B-6258-2017; Leite, Carla/F-1683-2019; Soares, Amadeu/A-8304-2008; sole, montserrat/C-7398-2013; Freitas, Rosa/A-7539-2012</t>
  </si>
  <si>
    <t>Costa, Marcelo/0000-0003-0253-0905; Henriques, Bruno/0000-0002-6472-5479; Leite, Carla/0000-0001-8579-293X; Soares, Amadeu/0000-0003-0879-9470; sole, montserrat/0000-0002-9920-5051; Freitas, Rosa/0000-0003-4900-3897; Monteiro, Rui/0000-0003-4910-7282; Coppola, Francesca/0000-0002-7039-9630; Pinto, Joao/0000-0002-6175-2906</t>
  </si>
  <si>
    <t>Portuguese Science Foundation (FCT) [SFRH/BD/118582/2016, SFRH/BD/108535/2015]; FSE; Programa Operacional Capital Humano (POCH) e da Uniao Europeia; national funds (OE), through FCT - Fundacao para a Ciencia e a Tecnologia, I.P.; project BISPECIAI: BlvalveS under Polluted Environment and Climate chAnge - FEDER, through COMPETE2020 - Programa Operacional Competitividade e Internacionalizacao (FOCI) [PTDC/CTA-AMB/28425/2017 (POCI-01-0145-FEDER-028425)]; national funds (OE), through FCT/MCTES; CESAM [UID/AMB/50017/2019]; FEDER within the PT2020 Partnership Agreement; Compete 2020; Spanish Ministry of Economy, Industry and Competitivity: AimCost project [CGL2016-76332-R MINECO/FEDER/UE]; CYTED [419RT0578]; FCT/MEC; Fundação para a Ciência e a Tecnologia [SFRH/BD/108535/2015] Funding Source: FCT</t>
  </si>
  <si>
    <t>Portuguese Science Foundation (FCT)(Fundacao para a Ciencia e a Tecnologia (FCT)); FSE(European Social Fund (ESF)); Programa Operacional Capital Humano (POCH) e da Uniao Europeia; national funds (OE), through FCT - Fundacao para a Ciencia e a Tecnologia, I.P.(Fundacao para a Ciencia e a Tecnologia (FCT)); project BISPECIAI: BlvalveS under Polluted Environment and Climate chAnge - FEDER, through COMPETE2020 - Programa Operacional Competitividade e Internacionalizacao (FOCI); national funds (OE), through FCT/MCTES(Fundacao para a Ciencia e a Tecnologia (FCT)); CESAM; FEDER within the PT2020 Partnership Agreement; Compete 2020; Spanish Ministry of Economy, Industry and Competitivity: AimCost project; CYTED; FCT/MEC(Fundacao para a Ciencia e a Tecnologia (FCT)); Fundação para a Ciência e a Tecnologia(Fundacao para a Ciencia e a Tecnologia (FCT))</t>
  </si>
  <si>
    <t>Francesca Coppola, and Rui Monteiro benefited from PhD grants (SFRH/BD/118582/2016 and SFRH/BD/108535/2015, respectively), given by the National Funds through the Portuguese Science Foundation (FCT), supported by FSE and Programa Operacional Capital Humano (POCH) e da Uniao Europeia. Rosa Freitas and Bruno Henriques were funded by national funds (OE), through FCT - Fundacao para a Ciencia e a Tecnologia, I.P., in the scope of the framework contract foreseen in the numbers 4, 5 and 6 of the article 23, of the Decree-Law 57/2016, of August 29, changed by Law 57/2017, of July 19. This work was also financially supported by the project BISPECIAI: BlvalveS under Polluted Environment and Climate chAnge PTDC/CTA-AMB/28425/2017 (POCI-01-0145-FEDER-028425) funded by FEDER, through COMPETE2020 - Programa Operacional Competitividade e Internacionalizacao (FOCI), and by national funds (OE), through FCT/MCTES. Thanks are due for the financial support to CESAM (UID/AMB/50017/2019), to FCT/MEC through national funds, and the co-funding by the FEDER, within the PT2020 Partnership Agreement and Compete 2020. The Spanish Ministry of Economy, Industry and Competitivity: AimCost project (ref CGL2016-76332-R MINECO/FEDER/UE). Rosa Freitas and Montserrat Sole are members of the RED Iberoamericana RIESCOS (419RT0578) funded by CYTED.</t>
  </si>
  <si>
    <t>10.1016/j.chemosphere.2019.05.221</t>
  </si>
  <si>
    <t>http://dx.doi.org/10.1016/j.chemosphere.2019.05.221</t>
  </si>
  <si>
    <t>WOS:000487567000043</t>
  </si>
  <si>
    <t>Markich, SJ; Jeffree, RA; Burke, PT</t>
  </si>
  <si>
    <t>Freshwater bivalve shells as archival indicators of metal pollution from a copper-uranium mine in tropical northern Australia</t>
  </si>
  <si>
    <t>ION MASS-SPECTROMETRY; ESTUARINE SEDIMENTS; TRACE-METALS; ACCUMULATION; AVAILABILITY; CADMIUM; CALCITE; MODEL; RIVER; ARAGONITE</t>
  </si>
  <si>
    <t>Freshwater bivalves (Velesunio angasi) were sampled in 1996 from the Finniss River in tropical northern Australia at 10 sites a priori exposed and nonexposed to acid rock drainage (ARD), containing elevated metal concentrations, from the rehabilitated Rum Jungle copper-uranium mine. Secondary ion mass spectrometry (SIMS) was used to measure Cu, Mn, Zn, U, Ni, Co, Pb, and Fe/Ca ratios across the annual shell laminations of the longest-lived bivalves found at each site, with the aim of evaluating the ability of the shells to archive measured annual metal inputs and their temporal patterns. At sites not contaminated by ARD, relatively constant and similar (baseline) SIMS signals were found for all metals in the shell laminations of V angasi, dating as far back as 1965. At sites contaminated by ARD, relatively constant, but variably elevated, SIMS signals were evident for Cu, Mn, Zn, Ni, and Co in the shell, which extended back to the end of rehabilitation (1986) only. Since rehabilitation, the temporal patterns of Cu, Zn, and Mn observed in the shells at the most contaminated sites reflected those of the measured annual dissolved loads in the surface waters. The average concentrations of Cu, Mn, Zn, Ni, and Co in the shells decreased (3-13-fold) with increasing distance downstream of the mine site, until concentrations characteristic of the noncontaminated sites were reached. This geographic pattern of decline in pollution signal in the shell with increasing distance downstream of the pollution input is consistent with the pattern established for water and sediment chemistry. Overall, the SIMS results support the proposition that the shells of V angasi can be used as archival indicators of metal pollution in surface waters of the Finniss River over their lifetime.</t>
  </si>
  <si>
    <t>Australian Nucl Sci &amp; Technol Org, Environm Div, Menai, NSW 2234, Australia</t>
  </si>
  <si>
    <t>Australian Nuclear Science &amp; Technology Organisation</t>
  </si>
  <si>
    <t>Australian Nucl Sci &amp; Technol Org, Environm Div, Private Mail Bag 1, Menai, NSW 2234, Australia.</t>
  </si>
  <si>
    <t>sjm@ansto.gov.au</t>
  </si>
  <si>
    <t>10.1021/es011066c</t>
  </si>
  <si>
    <t>http://dx.doi.org/10.1021/es011066c</t>
  </si>
  <si>
    <t>526NK</t>
  </si>
  <si>
    <t>WOS:000174136400017</t>
  </si>
  <si>
    <t>Yap, CK; Chua, BH; Teh, CH; Tan, SG; Ismail, A</t>
  </si>
  <si>
    <t>Yap, C. K.; Chua, B. H.; Teh, C. H.; Tan, S. G.; Ismail, A.</t>
  </si>
  <si>
    <t>Patterns of RAPD markers and heavy metal concentrations in Perna viridis (L.), collected from metal-contaminated and uncontaminated coastal waters:: Are they correlated with each other?</t>
  </si>
  <si>
    <t>RUSSIAN JOURNAL OF GENETICS</t>
  </si>
  <si>
    <t>GENETIC DIVERSITY; WEST-COAST; INTERTIDAL SEDIMENTS; POPULATIONS; RESISTANCE; POLLUTION; SITES; ZN; CD; PB</t>
  </si>
  <si>
    <t>Genetic variation due to heavy metal contamination has always been an interesting topic of study. Because of the numerous contaminants being found in coastal and intertidal waters, there is always much discussion and argument as to which contaminant(s) caused the variations in the genetic structures of biomonitors. This study used a Single Primer Amplification Reaction (SPAR) technique, namely Random Amplified Polymorphic DNA (RAPD), to determine the genetic diversity of the populations of the green-lipped mussel Perna viridis collected from a metal-contaminated site at Kg. Pasir Puteh and those from four relatively uncontaminated sites (reference sites). Heavy metal levels (Cd, Cu, Ph, and Zn) were also measured in the soft tissues and byssus of the mussels from all the sites. Cluster analyses employing UPGMA based on the RAPID markers grouped the populations into two major clusters; the Bagan Tiang, Pantai Lido, Pontian, and Kg. Pasir Puteh populations were in one cluster, while the Sg. Belungkor population clustered by itself. This indicated that the genetic diversity based on bands resulting from the use of all four RAPD primers on P. viridis did not indicate its potential use as a biomarker of heavy metal pollution in coastal waters. However, based on a correlation analysis between a particular metal and a band resulting from a specific RAPD primer revealed some significant (P &lt; 0.01) correlations between the primers and the heavy metal concentrations in the byssus and soft tissues. Thus, the correlation between a particular metal and the bands resulting from the use of a specific RAPD primer on P. viridis could be used as biomonitoring tool of heavy metal pollution.</t>
  </si>
  <si>
    <t>Uni Putra Malaysia, Fac Sci, Dept Biol, Serdang, Selangor, Malaysia</t>
  </si>
  <si>
    <t>Yap, CK (corresponding author), Uni Putra Malaysia, Fac Sci, Dept Biol, Serdang, Selangor, Malaysia.</t>
  </si>
  <si>
    <t>yapckong1973@yahoo.com.sg</t>
  </si>
  <si>
    <t>1022-7954</t>
  </si>
  <si>
    <t>1608-3369</t>
  </si>
  <si>
    <t>RUSS J GENET+</t>
  </si>
  <si>
    <t>Russ. J. Genet.</t>
  </si>
  <si>
    <t>10.1134/S1022795407050109</t>
  </si>
  <si>
    <t>http://dx.doi.org/10.1134/S1022795407050109</t>
  </si>
  <si>
    <t>173QC</t>
  </si>
  <si>
    <t>WOS:000246886600010</t>
  </si>
  <si>
    <t>Liu, WX; Chen, JL; Lin, XM; Fan, YS; Tao, S</t>
  </si>
  <si>
    <t>Liu, WenXin; Chen, JiangLin; Lin, XiuMei; Fan, YongSheng; Tao, Shu</t>
  </si>
  <si>
    <t>Residual concentrations of micropollutants in benthic mussels in the coastal areas of Bohai Sea, North China</t>
  </si>
  <si>
    <t>heavy metals; organic pollutants; benthic mussels; coastal areas; Bohai Sea</t>
  </si>
  <si>
    <t>ORGANOCHLORINE PESTICIDES; CHLORINATED PESTICIDES; ORGANIC CONTAMINANTS; TRACE-METAL; BAY; SEDIMENTS; MOLLUSKS; DDT; ESTUARY; WATERS</t>
  </si>
  <si>
    <t>Studies of heavy metals and organic pollutants in different benthic mussel species from Bohai Sea show that concentrations of Cd in mussels commonly exceed national biological quality standards. In addition, a site located in Laizhou Bay exhibits higher average concentrations of As, Hg and Pb with respect to the other sites. Residual levels of petroleum hydrocarbons at several sites in Liaodong Bay also exceed quality guidelines. Contents and compositional characteristics of DDT and its metabolites in mussels suggest the probability of recent inputs and potential ecological risks to the local benthic environment. (c) 2006 Elsevier Ltd. All rights reserved.</t>
  </si>
  <si>
    <t>Peking Univ, Coll Environm Sci, Lab Earth Surface Proc Simulat &amp; Anal, Beijing 100871, Peoples R China; SOA, N China Sea Branch, Qingdao 266033, Peoples R China</t>
  </si>
  <si>
    <t>Peking University</t>
  </si>
  <si>
    <t>Liu, WX (corresponding author), Peking Univ, Coll Environm Sci, Lab Earth Surface Proc Simulat &amp; Anal, Beijing 100871, Peoples R China.</t>
  </si>
  <si>
    <t>wxliu@urban.pku.edu.cn</t>
  </si>
  <si>
    <t>wang, jing/GRS-7509-2022</t>
  </si>
  <si>
    <t>Tao, Shu/0000-0002-7374-7063</t>
  </si>
  <si>
    <t>10.1016/j.envpol.2006.07.006</t>
  </si>
  <si>
    <t>http://dx.doi.org/10.1016/j.envpol.2006.07.006</t>
  </si>
  <si>
    <t>146YR</t>
  </si>
  <si>
    <t>WOS:000244971100024</t>
  </si>
  <si>
    <t>WEBB, J; MACEY, DJ; TALBOT, V</t>
  </si>
  <si>
    <t>IDENTIFICATION OF FERRITIN AS A MAJOR HIGH MOLECULAR-WEIGHT ZINC-BINDING PROTEIN IN THE TROPICAL ROCK OYSTER, SACCOSTREA-CUCCULLATA</t>
  </si>
  <si>
    <t>The metal-binding proteins of the body mass of the tropical rock oyster S. cuccullata from the iron-ore shipping terminals near Dampier, Western Australia, were separated by gel chromatography and analyzed for Zn, Fe and Cu. Appreciable amounts of Zn (40%) and Cu (25%) were eluted in association with a high molecular weight fraction (&gt; 60,000 daltons), the major component of which was identified as the heat stable Fe-binding protein, ferritin (MW 550,000), which also contains 95% of the Fe detected. Ferritin thus accounts for significant amounts of protein-bound Zn in this species and most probably in other bivalves containing elevated tissue levels of Zn. [The effect of heavy metal pollution on rock oysters is discussed].</t>
  </si>
  <si>
    <t>MURDOCH UNIV, SCH MATH &amp; PHYS SCI, MURDOCH, WA 6150, AUSTRALIA; MURDOCH UNIV, SCH ENVIRONM &amp; LIFE SCI, MURDOCH, WA 6150, AUSTRALIA</t>
  </si>
  <si>
    <t>Murdoch University; Murdoch University</t>
  </si>
  <si>
    <t>10.1007/BF01055525</t>
  </si>
  <si>
    <t>http://dx.doi.org/10.1007/BF01055525</t>
  </si>
  <si>
    <t>AMR72</t>
  </si>
  <si>
    <t>WOS:A1985AMR7200003</t>
  </si>
  <si>
    <t>Montero, N; Belzunce-Segarra, MJ; Gonzalez, JL; Larreta, J; Franco, J</t>
  </si>
  <si>
    <t>Montero, N.; Belzunce-Segarra, M. J.; Gonzalez, J. -L.; Larreta, J.; Franco, J.</t>
  </si>
  <si>
    <t>Evaluation of diffusive gradients in thin-films (DGTs) as a monitoring tool for the assessment of the chemical status of transitional waters within the Water Framework Directive</t>
  </si>
  <si>
    <t>Diffusive gradients in thin-films; Passive sampler; Estuary; Water Framework Directive; Metal; Monitoring</t>
  </si>
  <si>
    <t>IN-SITU MEASUREMENT; TRACE-METAL LEVELS; PASSIVE SAMPLERS; PHYSICOCHEMICAL STATUS; TRANSPLANTED MUSSELS; MARINE WATERS; HEAVY-METALS; ESTUARINE; RIVER; SPECIATION</t>
  </si>
  <si>
    <t>In this contribution, the potential use of diffusive gradients in thin-films (DGTs) for the chemical evaluation of transitional water bodies within the Water Framework Directive (WFD) has been studied. The water metal concentration has been evaluated in 13 estuaries in the southeastern Bay of Biscay. The DGTs were deployed in triplicate at two stations in each estuary, delimiting the tidal influence. The DGT results were in the ranges of 2-1570 ng L-1 for cadmium, 66-515 ng L-1 for copper, 30-3650 ng L-1 for nickel and 0.8-95.5 mu g L-1 for zinc. The DGTs provided reliable average labile metal concentrations in highly dynamic systems that were comparable with DGT measurements in coastal and estuarine waters world-wide. In addition, it was possible to discriminate those estuaries more susceptible to environmental impacts, being consistent with the historical contamination of each estuary. Based on the obtained results, a sampling strategy for the monitoring of transitional water bodies using DGTs is proposed. (C) 2011 Elsevier Ltd. All rights reserved.</t>
  </si>
  <si>
    <t>[Montero, N.; Belzunce-Segarra, M. J.; Larreta, J.; Franco, J.] AZTI Tecnalia, Div Marine Res, Pasaia 20110, Spain; [Gonzalez, J. -L.] IFREMER, Dept Biogeochim &amp; Ecotoxicol, F-83507 La Seyne Sur Mer, France</t>
  </si>
  <si>
    <t>AZTI; Ifremer</t>
  </si>
  <si>
    <t>Montero, N (corresponding author), AZTI Tecnalia, Div Marine Res, Portualdea S-N, Pasaia 20110, Spain.</t>
  </si>
  <si>
    <t>nmontero@azti.es</t>
  </si>
  <si>
    <t>Montero, Natalia/0000-0003-4731-4229; Gonzalez, Jean-Louis/0000-0002-7068-8686; Larreta, Joana/0000-0001-8276-9232; Franco, Javier/0000-0002-8629-3558</t>
  </si>
  <si>
    <t>Agencia Vasca del Agua; Portonovo Project (Interreg Atlantic Area Programme); Fundacion Centros Tecnologicos- Inaki Goenaga</t>
  </si>
  <si>
    <t>The authors wish to acknowledge the financial support of the Agencia Vasca del Agua for promoting this study. This work was also supported by Portonovo Project (Interreg Atlantic Area Programme 2007-2013). The sampling campaigns were undertaken in the framework of the monitoring network of estuarine and coastal waters of the Basque Country (Agencia Vasca del Agua; URA). We wish to thank M. Lucero for her help and willingness when performing laboratory analyses, and we thank all of the sampling team members (E. Erauskin, I. Urtizberea, M. Santesteban and C. Erauskin) for their logistical support. We are grateful to an anonymous reviewer for some very constructive comments. N. Montero was supported by a Ph.D. fellowship from Fundacion Centros Tecnologicos- Inaki Goenaga. This paper is contribution number 558 from AZTI-Tecnalia (Marine Research Division).</t>
  </si>
  <si>
    <t>10.1016/j.marpolbul.2011.10.028</t>
  </si>
  <si>
    <t>http://dx.doi.org/10.1016/j.marpolbul.2011.10.028</t>
  </si>
  <si>
    <t>888CJ</t>
  </si>
  <si>
    <t>WOS:000299981100019</t>
  </si>
  <si>
    <t>Jaffe, R; Leal, I; Alvarado, J; Gardinali, P; Sericano, J</t>
  </si>
  <si>
    <t>Pollution effects of the Tuy River on the Central Venezuelan coast: Anthropogenic organic compounds and heavy metals in Tivela mactroidea</t>
  </si>
  <si>
    <t>MUSSEL WATCH</t>
  </si>
  <si>
    <t>Bivalve samples were collected at seven sampling stations located between the town of Machurucuto and the Bay of Higuerote, Venezuela, covering approximately 70 km of coastline. samples were collected both east and west of the Tuy River mouth, which has a plume known to move in a north-westerly direction. Petroleum hydrocarbons, both aliphatic (n-alkanes and UCM) and polyaromatic (PAHs), were detected and quantified in the samples. These hydrocarbons were found to be primarily derived from fossil fuels. Halogenated organics consisted mostly of polychlorinated biphenyls (PCBs) and some chlorinated pesticides, primarily of the DDT group. Heavy metals such as Pb, Cu, Ni, Zn, Cr and Cd were analysed in the samples. The results clearly show the influence of the Tuy River plume on the water quality of the coastal zone, particularly that located west of the river mouth. One sampling station, located just east of the river mouth, also showed significant influence from the river plume.</t>
  </si>
  <si>
    <t>FLORIDA INT UNIV, DEPT CHEM, MIAMI, FL 33199 USA; UNIV SIMON BOLIVAR, DEPT QUIM, CARACAS 1080A, VENEZUELA; TEXAS A&amp;M UNIV, COLL GEOSCI &amp; MARITIME STUDIES, GEOCHEM &amp; ENVIRONM RES GRP, COLLEGE STN, TX 77845 USA</t>
  </si>
  <si>
    <t>State University System of Florida; Florida International University; Simon Bolivar University; Texas A&amp;M University System; Texas A&amp;M University College Station</t>
  </si>
  <si>
    <t>FLORIDA INT UNIV, DRINKING WATER RES CTR, MIAMI, FL 33199 USA.</t>
  </si>
  <si>
    <t>LEAL, INES/JXB-6976-2024</t>
  </si>
  <si>
    <t>Gardinali, Piero/0000-0002-2868-3224</t>
  </si>
  <si>
    <t>10.1016/0025-326X(95)00087-4</t>
  </si>
  <si>
    <t>http://dx.doi.org/10.1016/0025-326X(95)00087-4</t>
  </si>
  <si>
    <t>TM627</t>
  </si>
  <si>
    <t>WOS:A1995TM62700008</t>
  </si>
  <si>
    <t>Fernández-Pazos, MT; Garrido-Rodriguez, B; Nóvoa-Muñoz, JC; Arias-Estévez, M; Fernández-Sanjurjo, MJ; Núñez-Delgado, A; Alvarez, E</t>
  </si>
  <si>
    <t>Fernandez-Pazos, M. T.; Garrido-Rodriguez, B.; Novoa-Munoz, J. C.; Arias-Estevez, M.; Fernandez-Sanjurjo, M. J.; Nunez-Delgado, A.; Alvarez, E.</t>
  </si>
  <si>
    <t>Cr(VI) Adsorption and Desorption on Soils and Biosorbents</t>
  </si>
  <si>
    <t>Chromium adsorption and desorption; Forest soil; Mussel shell; Pyritic materials; Slate processing fines; Vineyard soil</t>
  </si>
  <si>
    <t>AQUEOUS-SOLUTION; HEXAVALENT CHROMIUM; MUSSEL SHELLS; REMOVAL; SORPTION; BIOSORPTION; MECHANISM; GALICIA; PYRITE; VI</t>
  </si>
  <si>
    <t>We study the adsorption and desorption of chromium on two soils (a forest soil and a vineyard soil), both individually or after being combined with ground mussel shell, and on various materials (mussel shell, pyritic material from a dump site, and slate processing fines). The adsorption capacity depends mainly on the initial Cr concentration, on the pH, and on the abundance of noncrystalline Fe. The highest adsorption percentage (94 %) corresponds to the pyritic material, which also shows very low desorption rates (1.4 %), has the lowest pH, and has the highest concentration of noncrystalline Fe. The adsorption isotherms in most cases fit the Freundlich and Lineal models, rather than the Langmuir model, with no easily predictable maximum for chromium adsorption.</t>
  </si>
  <si>
    <t>[Fernandez-Pazos, M. T.; Fernandez-Sanjurjo, M. J.; Nunez-Delgado, A.; Alvarez, E.] Univ Santiago de Compostela, Dep Edafol &amp; Quim Agr, Escuela Politen Super, Lugo 27002, Spain; [Garrido-Rodriguez, B.; Novoa-Munoz, J. C.; Arias-Estevez, M.] Univ Vigo, Area Edafol &amp; Quim Agr, Dep Biol Vegetal &amp; Ciencia Suelo, Fac Ciencias, Orense 32004, Spain; [Fernandez-Pazos, M. T.; Fernandez-Sanjurjo, M. J.; Nunez-Delgado, A.; Alvarez, E.] Univ Santiago de Compostela, Dept Soil Sci &amp; Agr Chem, Polytech Sch, Lugo 27002, Spain; [Garrido-Rodriguez, B.; Novoa-Munoz, J. C.; Arias-Estevez, M.] Fac Ciencias, Dep Biol Vexetal &amp; Ciencia Solo, Orense 32004, Spain</t>
  </si>
  <si>
    <t>Universidade de Santiago de Compostela; Universidade de Vigo; Universidade de Santiago de Compostela; Universidade de Vigo</t>
  </si>
  <si>
    <t>Alvarez, E (corresponding author), Univ Santiago de Compostela, Dep Edafol &amp; Quim Agr, Escuela Politen Super, Campus Univ, Lugo 27002, Spain.</t>
  </si>
  <si>
    <t>mariateresa.fernandez@rai.usc.es; beatrizgarrido@uvigo.es; edjuanca@uvigo.es; mastevez@uvigo.es; mf.sanjurjo@usc.es; avelino.nunez@usc.es; esperanza.alvarez@usc.es</t>
  </si>
  <si>
    <t>Nóvoa-Muñoz, J. C./A-9181-2009; Fernández-Sanjurjo, María/ABC-6938-2020; Arias-Estevez, Manuel/M-8629-2016; Alvarez, Esperanza/B-3154-2018; Nunez-Delgado, Avelino/K-3964-2013</t>
  </si>
  <si>
    <t>Novoa-Munoz, Juan Carlos/0000-0003-3062-4191; Arias-Estevez, Manuel/0000-0002-9162-1587; Fernandez-Sanjurjo, Maria J./0000-0001-6728-7147; Alvarez, Esperanza/0000-0003-3470-2679; Nunez-Delgado, Avelino/0000-0001-5373-1606</t>
  </si>
  <si>
    <t>This research was supported by the Government of Galicia (Spain).</t>
  </si>
  <si>
    <t>10.1007/s11270-012-1366-3</t>
  </si>
  <si>
    <t>http://dx.doi.org/10.1007/s11270-012-1366-3</t>
  </si>
  <si>
    <t>063PP</t>
  </si>
  <si>
    <t>WOS:000313012500011</t>
  </si>
  <si>
    <t>Wang, YW; Liang, LN; Shi, JB; Jiang, GB</t>
  </si>
  <si>
    <t>Chemometrics methods for the investigation of methylmercury and total mercury contamination in mollusks samples collected from coastal sites along the Chinese Bohai Sea</t>
  </si>
  <si>
    <t>methylmercury; total mercury; mollusk; principal component analysis (PCA); cluster analysis; one-way ANOVA</t>
  </si>
  <si>
    <t>ATOMIC FLUORESCENCE SPECTROMETRY; LIQUID-CHROMATOGRAPHY; MUSSEL-WATCH; INORGANIC MERCURY; MYTILUS-EDULIS; KYUSHU-ISLAND; TRACE-METALS; SOFT-TISSUE; EAST-COAST; POLLUTION</t>
  </si>
  <si>
    <t>The development and application of chemometrics methods, principal component analysis (PCA), cluster analysis and correlation analysis for the determination of methylmercury (MeHg) and total mecury (HgT) in gastropod and bivalve species collected from eight coastal sites along the Chinese Bohai Sea are described. HgT is directly determined by atomic fluorescence spectrometry (AFS), while McHg is measured by a laboratory established high performance liquid chromatography-atomic fluorescence spectrometry system (HPLC-AFS). One-way ANOVA and cluster analysis indicated that the bioaccumulation of Rap to accumulate Hg was significantly (P &lt;.05) different from other mollusks. Correlation analysis shows that there is linear relationship between MeHg and HgT in mollusks samples collected from coastal sites along the Chinese Bohai Sea, while in mollusks samples collected from Hongqiao market in Beijing City, there is not any linear relationship. (c) 2005 Elsevier Ltd. All rights reserved.</t>
  </si>
  <si>
    <t>Chinese Acad Sci, Ecoenvironm Sci Res Ctr, Key Lab Environm Chem &amp; Ecotoxicol, Beijing 100083, Peoples R China</t>
  </si>
  <si>
    <t>Chinese Acad Sci, Ecoenvironm Sci Res Ctr, Key Lab Environm Chem &amp; Ecotoxicol, POB 2871, Beijing 100083, Peoples R China.</t>
  </si>
  <si>
    <t>10.1016/j.envpol.2004.11.025</t>
  </si>
  <si>
    <t>http://dx.doi.org/10.1016/j.envpol.2004.11.025</t>
  </si>
  <si>
    <t>910OO</t>
  </si>
  <si>
    <t>WOS:000227941400012</t>
  </si>
  <si>
    <t>Bogatov, VV; Prozorova, LA; Chernova, EN; Lysenko, EV; Ngo, Q; Tran, T; Hoang, S</t>
  </si>
  <si>
    <t>Bogatov, V. V.; Prozorova, L. A.; Chernova, E. N.; Lysenko, E. V.; Ngo, Q.; Tran, T.; Hoang, S.</t>
  </si>
  <si>
    <t>Bioaccumulation of Heavy Metals in Soft Tissues of Bivalve Mollusks from Natural Lakes in Eastern Sikhote Alin (Russia) and the Mekong Delta (Vietnam)</t>
  </si>
  <si>
    <t>DOKLADY EARTH SCIENCES</t>
  </si>
  <si>
    <t>CORBICULA-FLUMINEA</t>
  </si>
  <si>
    <t>The concentrations of seven heavy metals (HMs) in tissues of bivalve mollusks of the families Unionidae (genera Ensidens, Scabies, Kunashiria) and Cyrenidae (genus Corbicula) and from four natural lakes located on the eastern slope of Sikhote Alin (Primorskii krai, Russian Far East) the Mekong River delta (Vietnam) were determined. It was established that the HM concentrations in the bivalve mollusks studied, inhabiting unpolluted water reservoirs, are specific for every family and do not depend on the geographical positions of the lakes. They decrease in the following order: Mn &gt; Fe &gt; Zn &gt; Cu &gt; Ni &gt; Cd &gt; Pb for Unionidae, and Fe &gt; Zn &gt; Cu &gt; Mn &gt; Ni Cd &gt; Pb for Cyrenidae (Corbicula). It is likely that deviations from the revealed sequence are due to anthropogenic pollution of lakes with some metals or the occurrence of a natural geological anomaly.</t>
  </si>
  <si>
    <t>[Bogatov, V. V.; Prozorova, L. A.] Russian Acad Sci, Far East Branch, Fed Sci Ctr East Asian Terr Biodivers, Vladivostok 690091, Russia; [Chernova, E. N.; Lysenko, E. V.] Russian Acad Sci, Far East Branch, Pacific Inst Geog, Vladivostok 690041, Russia; [Ngo, Q.; Tran, T.; Hoang, S.] Vietnam Acad Sci &amp; Technol, Inst Trop Biol, Ho Chi Minh City, Vietnam</t>
  </si>
  <si>
    <t>Russian Academy of Sciences; Russian Academy of Sciences; Pacific Geographical Institute of the Far Eastern Branch of the Russian Academy of Sciences; Vietnam Academy of Science &amp; Technology (VAST)</t>
  </si>
  <si>
    <t>Bogatov, VV (corresponding author), Russian Acad Sci, Far East Branch, Fed Sci Ctr East Asian Terr Biodivers, Vladivostok 690091, Russia.</t>
  </si>
  <si>
    <t>vibogatov@mail.ru</t>
  </si>
  <si>
    <t>Ngo, Quang/R-4477-2019; Tran, Thai/K-3450-2019; Prozorova, Larisa/O-1596-2018; Chernova, Elena/F-3773-2014; Lysenko, Evgenia/C-6073-2016</t>
  </si>
  <si>
    <t>Prozorova, Larisa/0000-0003-2174-815X; Chernova, Elena/0000-0003-4200-6278; , Ngo Xuan Quang/0000-0003-2587-1999; Lysenko, Evgenia/0000-0002-3192-9862; Tran, Thai T./0000-0002-2866-8913</t>
  </si>
  <si>
    <t>The Far East Program of the Far East Branch, Russian Academy of Sciences [VAST17-007]; Vietnam Academy of Science and Technology [VAST.HTQT.NGA.01/17-18]</t>
  </si>
  <si>
    <t>The Far East Program of the Far East Branch, Russian Academy of Sciences; Vietnam Academy of Science and Technology</t>
  </si>
  <si>
    <t>This work was supported by The Far East Program of the Far East Branch, Russian Academy of Sciences (project no. VAST17-007) and by Vietnam Academy of Science and Technology (project no. VAST.HTQT.NGA.01/17-18).</t>
  </si>
  <si>
    <t>1028-334X</t>
  </si>
  <si>
    <t>1531-8354</t>
  </si>
  <si>
    <t>DOKL EARTH SCI</t>
  </si>
  <si>
    <t>Dokl. Earth Sci.</t>
  </si>
  <si>
    <t>10.1134/S1028334X19010094</t>
  </si>
  <si>
    <t>http://dx.doi.org/10.1134/S1028334X19010094</t>
  </si>
  <si>
    <t>HS3YF</t>
  </si>
  <si>
    <t>WOS:000463797700018</t>
  </si>
  <si>
    <t>Remaili, TM; Simpson, SL; Jolley, DF</t>
  </si>
  <si>
    <t>Remaili, Timothy M.; Simpson, Stuart L.; Jolley, Dianne F.</t>
  </si>
  <si>
    <t>Effects of enhanced bioturbation intensities on the toxicity assessment of legacy-contaminated sediments</t>
  </si>
  <si>
    <t>Organism-sediment interactions; Resuspension; Reproductive toxicity; Fluxes; Copper; Zinc; Hydrocarbon; Risk assessment</t>
  </si>
  <si>
    <t>POLYCYCLIC AROMATIC-HYDROCARBONS; AMPHIPOD MELITA-PLUMULOSA; ACID-VOLATILE SULFIDE; METAL BIOAVAILABILITY; ORGANIC CONTAMINANTS; CALLIANASSA-KRAUSSI; MONOPOREIA-AFFINIS; QUALITY ASSESSMENT; BENTHIC BIVALVES; MARINE-SEDIMENTS</t>
  </si>
  <si>
    <t>Many benthic communities within estuarine ecosystems are highly degraded due to the close proximity of urban and industrial contamination sources. The maintenance of recolonised, healthy ecosystems following remediation is a challenge, and better techniques are required for monitoring their progressive recovery. Rates of ecosystem recovery are influenced by the changes in the concentrations and forms of contaminants, the sensitivity of recolonising organisms to bioavailable contaminants, and a range of abiotic and biotic factors influencing the exposure of organisms to the contamination. Here we investigate the influence of bioturbation by an active amphipod (Victoriopisa australiensis) on the bioavailability of metals and hydrocarbons in highly contaminated sediments. Changes in contaminant bioavailability were evaluated by assessing sublethal effects to a smaller cohabiting amphipod (Melita plumulosa). For predominantly metal-contaminated sediments, the presence of V australiensis generally increased survival and reproduction of M. plumulosa when compared to treatments with only M. plumulosa present (from 42 to 93% survival and 3-61% reproduction). The decrease in toxic effects to M. plumulosa corresponded with lower dissolved copper and zinc concentrations in the overlying waters (14-9 mu g Cu L-1, and 14 to 6 mu g Zn L-1 for absence to presence of V. australiensis). For sediments contaminated with both hydrocarbons and metals, the increased bioturbation intensity by V. australiensis resulted in decreased reproduction of M. plumulosa, despite lower dissolved metal exposure, and indicated increased bioavailability of the hydrocarbon contaminants. Thus, the presence of a secondary active bioturbator can enhance or suppress toxicity to co-inhabiting organisms, and may depend on the contaminant class and form. The results highlight the need to consider both abiotic and biotic interactions when using laboratory studies to evaluate the ability of organisms to recolonise and reproduce within benthic environments degraded by contamination, or for more general extrapolation for sediment quality assessment purposes. (C) 2016 Published by Elsevier Ltd.</t>
  </si>
  <si>
    <t>[Remaili, Timothy M.; Jolley, Dianne F.] Univ Wollongong, Sch Chem, Wollongong, NSW 2522, Australia; [Remaili, Timothy M.; Simpson, Stuart L.] CSIRO Land &amp; Water, Ctr Environm Contaminants Res, Sydney, NSW 2234, Australia</t>
  </si>
  <si>
    <t>Remaili, TM (corresponding author), Univ Wollongong, Sch Chem, Wollongong, NSW 2522, Australia.</t>
  </si>
  <si>
    <t>Tim.Remaili@csiro.au</t>
  </si>
  <si>
    <t>Simpson, Stuart/JCE-1589-2023; Simpson, Stuart/A-6044-2011; Jolley, Dianne/D-1597-2009</t>
  </si>
  <si>
    <t>Simpson, Stuart/0000-0003-1759-0564; Jolley, Dianne/0000-0003-1028-1603</t>
  </si>
  <si>
    <t>The authors would like to thank David Spadaro for assistance with organism culturing and initial training on the M.plumulosa reproduction bioassay. Thanks is also due to Josh King and Chad Jarolimek for assistance with instrumental methods of analysis, and to the CSIRO Land and Water for financial support.</t>
  </si>
  <si>
    <t>10.1016/j.envpol.2016.11.038</t>
  </si>
  <si>
    <t>http://dx.doi.org/10.1016/j.envpol.2016.11.038</t>
  </si>
  <si>
    <t>WOS:000405881800036</t>
  </si>
  <si>
    <t>Klimova, YS; Chuiko, GM; Gapeeva, MV; Pesnya, DS</t>
  </si>
  <si>
    <t>Klimova, Y. S.; Chuiko, G. M.; Gapeeva, M. V.; Pesnya, D. S.</t>
  </si>
  <si>
    <t>The use of biomarkers of oxidative stress in zebra mussel Dreissena polymorpha (Pallas, 1771) for chronic anthropogenic pollution assessment of the Rybinsk Reservoir</t>
  </si>
  <si>
    <t>heavy metal; biomarkers; Dreissena polymorpha; catalase; glutathione S-transferase; glutathione reductase; malondialdehyde; glutathione</t>
  </si>
  <si>
    <t>ABRAMIS-BRAMA L.; MYTILUS-GALLOPROVINCIALIS; ORGANOCHLORINE PESTICIDES; HEAVY-METALS; GLUTATHIONE; RESPONSES; INHIBITION; METABOLISM; ENZYMES; SYSTEM</t>
  </si>
  <si>
    <t>Biomarkers of oxidative stress such as catalase (CAT), glutathione S-transferase (GST), glutathione reductase (GR) activity, and malondialdehyde and reduced glutathione content, as well as heavy metal concentrations (HM: Pb, V, Cr, Mn, Co, Ni, Cu, Zn, and Cd), were studied in Dreissena polymorpha tissues. Mussels were collected on three sites located on the Rybinskoe Reservoir different in levels of anthropogenic pressure: the most polluted sites were 1 and 2 and site 3 was relatively clean. Mussels from sites 1 and 2 had higher concentrations of HM (Pb, V, Cr, Mn, Ni, Cu, and Mn) and their response to the pollutant action was manifested in increased processes of lipid peroxidation (LPO), the activation of CAT, and elevated level of GHS.</t>
  </si>
  <si>
    <t>[Klimova, Y. S.; Chuiko, G. M.; Gapeeva, M. V.; Pesnya, D. S.] Russian Acad Sci, Inst Biol Inland Waters, Borok 152742, Russia</t>
  </si>
  <si>
    <t>Russian Academy of Sciences; Papanin Institute for Biology of Inland Waters</t>
  </si>
  <si>
    <t>Klimova, YS (corresponding author), Russian Acad Sci, Inst Biol Inland Waters, Borok 152742, Russia.</t>
  </si>
  <si>
    <t>yna.klim@mail.ru</t>
  </si>
  <si>
    <t>Pesnya, Dmitry/K-8021-2012; Gapeeva, Maria/Q-7317-2016; Chuiko, Grigorii/P-8305-2015; Klimova, Yana/B-6193-2018</t>
  </si>
  <si>
    <t>Chuiko, Grigorii/0000-0002-3334-7073; Klimova, Yana/0000-0002-9093-9403; Pesnya, Dmitry/0000-0001-9741-1313</t>
  </si>
  <si>
    <t>10.1134/S199542551702007X</t>
  </si>
  <si>
    <t>http://dx.doi.org/10.1134/S199542551702007X</t>
  </si>
  <si>
    <t>ET2UF</t>
  </si>
  <si>
    <t>WOS:000400128900010</t>
  </si>
  <si>
    <t>Viarengo, A; Burlando, B; Dondero, F; Marro, A; Fabbri, R</t>
  </si>
  <si>
    <t>Metallothionein as a tool in biomonitoring programmes</t>
  </si>
  <si>
    <t>molluscs; fish; metallothionein; biomarker of exposure; heavy metal</t>
  </si>
  <si>
    <t>PERFORMANCE LIQUID-CHROMATOGRAPHY; ANTIOXIDANT RESPONSE ELEMENT; FLOUNDER PLATICHTHYS-FLESUS; SILVER-SATURATION METHOD; RAINBOW-TROUT; HEPATIC METALLOTHIONEIN; TRANSCRIPTION FACTOR; OXIDATIVE STRESS; METAL CONTAMINATION; REGULATORY ELEMENTS</t>
  </si>
  <si>
    <t>The biochemical features of metallothioneins and their functional role in the cell are described. On this basis, the potential role of MTs as a biomarker of exposure in aquatic organisms, such as fishes and molluscs, is evaluated in the light of recent knowledge about MT gene regulation and inducibility. It appears that in fish MTs should be considered as a kind of stress protein which is particularly responsive to heavy metals. In molluscs, in particular in mussels, MTs seem more specifically involved in responses to heavy metals and they should therefore be considered a biomarker of exposure to heavy metal pollution. Common techniques for MT evaluation are listed and a simple spectrophotometric method recently developed is also reported. Finally the correct approach to the use of MTs as a biomarker of exposure in biomonitoring programmes for an assessment of the physiological status of aquatic organisms is discussed.</t>
  </si>
  <si>
    <t>Univ Piemonte Orientale, Dipartimento Sci &amp; Tecnol Avanzate, I-15100 Alessandria, Italy; Univ Genoa, Ctr Interuniv Biol &amp; Chim Met Traccia, I-16132 Genoa, Italy</t>
  </si>
  <si>
    <t>University of Eastern Piedmont Amedeo Avogadro; University of Genoa</t>
  </si>
  <si>
    <t>Viarengo, A (corresponding author), Univ Piemonte Orientale, Dipartimento Sci &amp; Tecnol Avanzate, Sede Alessandria,Corso Borsalino 54, I-15100 Alessandria, Italy.</t>
  </si>
  <si>
    <t>; Dondero, Francesco/J-1528-2012</t>
  </si>
  <si>
    <t>Burlando, Bruno/0000-0001-7545-0311; Viarengo, Aldo/0000-0002-1557-6526; Dondero, Francesco/0000-0001-7945-3712</t>
  </si>
  <si>
    <t>ONE GUNPOWDER SQUARE, LONDON EC4A 3DE, ENGLAND</t>
  </si>
  <si>
    <t>266AZ</t>
  </si>
  <si>
    <t>WOS:000084279600006</t>
  </si>
  <si>
    <t>Mubiana, VK; Vercauteren, K; Blust, R</t>
  </si>
  <si>
    <t>Mubiana, Valentine K.; Vercauteren, Kathleen; Blust, Ronny</t>
  </si>
  <si>
    <t>The influence of body size, condition index and tidal exposure on the variability in metal bioaccumulation in Mytilus edulis</t>
  </si>
  <si>
    <t>mussels; heavy metals; inter-individual variability; biomonitoring</t>
  </si>
  <si>
    <t>TRACE-METALS; MUSSEL-WATCH; ZINC; ACCUMULATION; ESTUARIES; CADMIUM; SCHELDT; WESTERN; COPPER; TRENDS</t>
  </si>
  <si>
    <t>Mussels are commonly used to monitor metal pollution despite high inter-individual variability in tissue concentrations. In this study, influences of body size, condition index and tidal height on concentrations of As, Cd, Co, Cr, Cu, Fe, Mn, Ni, Pb and Zn were investigated. Body weight was inversely related to metal concentrations and for Cd, Mn, Ph and Zn the regression was affected by tidal height. Except for As, Fe and Mn metal concentrations were inversely related to physiological status though no differences between essential and non-essential metals were obvious. After correcting for body size, tidal height was related positively to As, Cd and Zn, negatively related to Cu, Fe and Mn while Co, Cr, Ni and Ph were independent of tidal height. The study recommends stringent measures during sampling for biomonitoring or metal concentrations at each location must be normalized to a common body size, CI and tidal height. (c) 2006 Elsevier Ltd. All rights reserved.</t>
  </si>
  <si>
    <t>Mubiana, VK (corresponding author), Univ Antwerp, Dept Biol, Lab Ecophysiol Biochem &amp; Toxicol, Groenenborgerlaan 171, B-2020 Antwerp, Belgium.</t>
  </si>
  <si>
    <t>kayawevalentine.mubiana@ua.ac.be</t>
  </si>
  <si>
    <t>10.1016/j.envpol.2005.12.017</t>
  </si>
  <si>
    <t>http://dx.doi.org/10.1016/j.envpol.2005.12.017</t>
  </si>
  <si>
    <t>092ZY</t>
  </si>
  <si>
    <t>WOS:000241138100035</t>
  </si>
  <si>
    <t>Salerno, J; Gillis, PL; Khan, H; Burton, E; Deeth, LE; Bennett, CJ; Sibley, PK; Prosser, RS</t>
  </si>
  <si>
    <t>Salerno, J.; Gillis, P. L.; Khan, H.; Burton, E.; Deeth, L. E.; Bennett, C. J.; Sibley, P. K.; Prosser, R. S.</t>
  </si>
  <si>
    <t>Sensitivity of larval and juvenile freshwater mussels (unionidae) to ammonia, chloride, copper, potassium, and selected binary chemical mixtures</t>
  </si>
  <si>
    <t>Component-based approach; Lampsilis fasciola; Fixed-ratio design; Model deviation ratio; Villosa iris</t>
  </si>
  <si>
    <t>DISSOLVED ORGANIC-CARBON; EARLY-LIFE STAGES; ZEBRA MUSSEL; ACUTE TOXICITY; DREISSENA-POLYMORPHA; OXIDATIVE STRESS; QUALITY GUIDANCE; SODIUM-CHLORIDE; VILLOSA-IRIS; GLOCHIDIA</t>
  </si>
  <si>
    <t>In aquatic environments, organisms such as freshwater mussels are likely exposed to complex contaminant mixtures related to industrial, agricultural, and urban activities. With growing interest in understanding the risk that chemical mixtures pose to mussels, this investigation focused on the effects of various waterborne contaminants (ammonia, chloride, copper, and potassium) and selected binary mixtures of these chemicals following a fixed-ratio design to Villosa iris glochidia and juvenile Lampsilis fasciola. In individual exposures, 48-h EC50 values were determined for V iris glochidia exposed to ammonia chloride (7.4 [95% confidence interval (CI) 6.6-8.2] mg N/L), ammonia sulfate (8.4 [7.6-9.1] mg N/L), copper sulfate (14.2 [12.9-15.4] mu g Cu2+/L), potassium chloride (12.8 [11.9-13.7] mg K+/L), potassium sulfate (10.1 [8.9-11.2] mg K+/L), and sodium chloride (480.5 [435.5-525.5] mg Cl-/L). The 7-d LC50 values for juvenile L fasciola were determined for potassium sulfate (45.0 [18.8-71.2] mg K+/L), and sodium chloride (1738.2 [1418.6-2057.8] mg Cl-/L). In Ontario these waterborne contaminants have been reported to co-occur, with concentrations exceeding the EC10 for both life stages at some locations. Data from binary mixture exposures for V. iris glochidia (chloride-ammonia, chloride-copper, and copperammonia) and juvenile L fasciola (chloride-potassium) were analyzed using a regression-based, dose-response mixture analysis modeling framework. Results from the mixture analysis were used to determine if an additive model for mixture toxicity [concentration addition (CA) or independent action (IA)] best described the toxicity of each mixture and if deviation towards dose-ratio (DR) or dose-level (DL) synergism/antagonism (S/A) occurred. For all glochidia binary mixture exposures, CA was the best fit model with DL deviation reported for the chloride-copper mixture and DR deviation reported for the copper-ammonia mixture. Using the model deviation ratio (MDR), the observed toxicity in all three glochidia mixture exposures were adequately described by both CA (mean = 0.71) and IA (mean = 0.97) whereas the juvenile mixture exposure was only adequately described by CA (mean = 0.64; IA mean = 0.05). Keywords: Component-based approach Lampsilis fasciola Fixed-ratio design Model deviation ratio Villosa iris Crown Copyright (C) 2019 Published by Elsevier Ltd. All rights reserved.</t>
  </si>
  <si>
    <t>[Salerno, J.; Sibley, P. K.; Prosser, R. S.] Univ Guelph, Sch Environm Sci, Guelph, ON, Canada; [Salerno, J.; Gillis, P. L.; Khan, H.; Burton, E.; Bennett, C. J.] Environm &amp; Climate Change Canada, Aquat Contaminants Res Div, Burlington, ON, Canada; [Deeth, L. E.] Univ Guelph, Dept Math &amp; Stat, Guelph, ON, Canada</t>
  </si>
  <si>
    <t>University of Guelph; Environment &amp; Climate Change Canada; University of Guelph</t>
  </si>
  <si>
    <t>Prosser, RS (corresponding author), 50 Stone Rd East, Guelph, ON N1G 2W1, Canada.</t>
  </si>
  <si>
    <t>prosserr@uoguelph.ca</t>
  </si>
  <si>
    <t>Prosser, Ryan/AAC-4048-2022</t>
  </si>
  <si>
    <t>Prosser, Ryan/0000-0001-9087-5748</t>
  </si>
  <si>
    <t>Natural Sciences and Engineering Research Council Collaborative Research and Training Experience Program (CREATE) [2013-432269]; Ontario Ministry of Natural Resources and Forestry's Species-atRisk Research Fund [RF_49_16_UofGSibley]; Government of Canada's Chemical Management Plan</t>
  </si>
  <si>
    <t>Natural Sciences and Engineering Research Council Collaborative Research and Training Experience Program (CREATE); Ontario Ministry of Natural Resources and Forestry's Species-atRisk Research Fund; Government of Canada's Chemical Management Plan</t>
  </si>
  <si>
    <t>Funding for this project included the Natural Sciences and Engineering Research Council Collaborative Research and Training Experience Program (CREATE: Fund number 2013-432269), the Ontario Ministry of Natural Resources and Forestry's Species-atRisk Research Fund (RF_49_16_UofGSibley), and the Government of Canada's Chemical Management Plan. Authors would like to thank Alicia Mehlenbacher, Quintin Rochfort and Dylan Bowes (ECCC), Chris Wilson, Kevin Loftus, and the White Lake Fish Culture Station (Ontario Ministry of Natural Resources and Forestry) for their assistance on this project. This study was conducted in the mussel ecotoxicology lab at ECCC's Canada Center for Inland Waters, Burlington, ON.</t>
  </si>
  <si>
    <t>10.1016/j.envpol.2019.113398</t>
  </si>
  <si>
    <t>http://dx.doi.org/10.1016/j.envpol.2019.113398</t>
  </si>
  <si>
    <t>JY9WW</t>
  </si>
  <si>
    <t>WOS:000504757200057</t>
  </si>
  <si>
    <t>Elskus, AA; LeBlanc, LA; Latimer, JS; Page, DS; Harding, GCH; Wells, PG</t>
  </si>
  <si>
    <t>Elskus, Adria A.; LeBlanc, Lawrence A.; Latimer, James S.; Page, David S.; Harding, Gareth C. H.; Wells, Peter G.</t>
  </si>
  <si>
    <t>Monitoring chemical contaminants in the Gulf of Maine, using sediments and mussels (Mytilus edulis): An evaluation</t>
  </si>
  <si>
    <t>Polycyclic aromatic hydrocarbons; Polychlorinated biphenyls; Metals; Mussel Watch; Gulfwatch; National Coastal Condition Assessment</t>
  </si>
  <si>
    <t>POLYCYCLIC AROMATIC-HYDROCARBONS; PRINCE-WILLIAM-SOUND; TRACE-METAL; POLYCHLORINATED-BIPHENYLS; CHLORINATED PESTICIDES; HALIFAX HARBOR; HEAVY-METALS; PCBS; SEA; BAY</t>
  </si>
  <si>
    <t>The objective of this paper is to determine whether contaminant data on mussels and sediments can be used interchangeably, or not, when assessing the degree of anthropogenic contamination of a water body. To obtain adequate coverage of the entire Gulf of Maine, Bay of Fundy sediment samples were collected, analyzed and combined with similar data from four coastal monitoring programs. This required careful interpretation but provided robust results consistent with published literature. A strong correspondence was found between sediment and mussel concentrations for polycyclic aromatic hydrocarbons, moderate to weak correspondence for polychlorinated biphenyls, and except for mercury and zinc, little to no correspondence was found for metals. We conclude that mussel contaminant data are likely sufficient for providing information on the spatial and temporal distribution of chemical contaminants, in coastal waters, under a broad range of environmental conditions and contaminant levels, and unlike sediments, provide direct information on contaminant bioavailability.</t>
  </si>
  <si>
    <t>[Elskus, Adria A.] US Geol Survey, Leetown Sci Ctr, SO Conte Anadromous Fish Res Lab, 1 Migratory Way, Turners Falls, MA 01376 USA; [LeBlanc, Lawrence A.] Lawrence LeBlanc Consulting, Conway, MA USA; [Latimer, James S.] US Environm Protect Agcy, Off Res &amp; Dev, CEMM Atlantic Coastal Environm Sci Div, Narragansett, RI USA; [Page, David S.] Bowdoin Coll, Chem Dept, Brunswick, ME 04011 USA; [Harding, Gareth C. H.] Bedford Inst Oceanog, Fisheries &amp; Oceans, Dartmouth, NS, Canada; [Wells, Peter G.] Dalhousie Univ, Int Ocean Inst Canada, Halifax, NS, Canada</t>
  </si>
  <si>
    <t>United States Department of the Interior; United States Geological Survey; United States Environmental Protection Agency; Bowdoin College; Fisheries &amp; Oceans Canada; Bedford Institute of Oceanography; Dalhousie University</t>
  </si>
  <si>
    <t>Elskus, AA (corresponding author), US Geol Survey, Leetown Sci Ctr, SO Conte Anadromous Fish Res Lab, 1 Migratory Way, Turners Falls, MA 01376 USA.</t>
  </si>
  <si>
    <t>aelskus@usgs.gov</t>
  </si>
  <si>
    <t>Latimer, James/C-1632-2009</t>
  </si>
  <si>
    <t>ELSKUS, ADRIA/0000-0003-1192-5124</t>
  </si>
  <si>
    <t>Environment Canada's National Conservation Plan: Gulf of Maine Initiative; United States Geological Survey; United States Environmental Protection Agency</t>
  </si>
  <si>
    <t>Environment Canada's National Conservation Plan: Gulf of Maine Initiative; United States Geological Survey(United States Geological Survey); United States Environmental Protection Agency(United States Environmental Protection Agency)</t>
  </si>
  <si>
    <t>As former graduate students of Jim Quinn, L. LeBlanc and J. Latimer would like to acknowledge the leadership of Dr. Quinn in the field of marine organic geochemistry. He instilled in his students careful analytical expertise and a strong sense of personal responsibility. Professor Quinn expected the highest level of dedication to the work and we are all much better scientists because of him. The authors would also like to thank ESIP Program Manager, Christine Tilburg, whose efforts helped ESIP secure funding to address the lack of contaminant data for sediments in the Canadian portion of the Gulf of Maine. The authors also thank Donald Killorn of Eastern Charlotte Waterways for collection and processing of sediments from the Canadian portion of the GOM. We thank the people involved in the Mussel Watch, Gulfwatch, NCA, NCCA and ESIP programs, too numerous to mention individually, that made this analysis possible. Funding awarded to the Ecosystem Indicator Partnership through Environment Canada's National Conservation Plan: Gulf of Maine Initiative supported the 2015 collection and analysis of sediments from Gulfwatch sites in the Canadian portion of the Gulf of Maine. The United States Geological Survey provided support for A. Elskus, the United States Environmental Protection Agency provided support for J. Latimer. Any use of trade, firm, or product names is for descriptive purposes only and does not imply endorsement by the U.S. Government. The views expressed in this article are those of the United States Geological Survey (USGS) and the non-USGS author(s) but do not necessarily represent the views or policies of the United States Environmental Protection Agency.</t>
  </si>
  <si>
    <t>10.1016/j.marpolbul.2020.110956</t>
  </si>
  <si>
    <t>http://dx.doi.org/10.1016/j.marpolbul.2020.110956</t>
  </si>
  <si>
    <t>WOS:000523640200050</t>
  </si>
  <si>
    <t>de Souza, MM; Windmöller, CC; Hatje, V</t>
  </si>
  <si>
    <t>de Souza, Manuel M.; Windmoeller, Claudia C.; Hatje, Vanessa</t>
  </si>
  <si>
    <t>Shellfish from Todos os Santos Bay, Bahia, Brazil: Treat or threat?</t>
  </si>
  <si>
    <t>Seafood; Contamination; Trace elements; Metals; Health risks</t>
  </si>
  <si>
    <t>TRACE-METAL CONTAMINATION; HEAVY-METALS; ESTUARINE SYSTEM; SEDIMENTS; OYSTERS; MUSSELS; ASSEMBLAGES; CONSUMPTION; CADMIUM; RISKS</t>
  </si>
  <si>
    <t>This study determined the concentrations of major and trace elements in shellfish (oysters, clams and mussels) and conducted an assessment of the health risks due to the consumption of contaminated seafood. Samples were collected at 34 sites along Todos os Santos Bay, Brazil. The elements were determined by ICP OES and Hg by Direct Mercury Analysis. Relatively high concentrations of trace elements (As, Zn, Se and Cu) were found in seafood tissues. Potential daily intake of As, Co, Se, Zn and Cu associated to shellfish consumption suggested relevant non-carcinogenic risk for all studied locations. Copper was the element that posed the greatest non-carcinogenic risk, while Pb posed the highest carcinogenic risk. Health risks for humans were greatest from the consumption of mussels. Contaminated shellfish offer the greatest risk for children, subsistence fishers and subsistence shellfish consumers. (C) 2011 Elsevier Ltd. All rights reserved.</t>
  </si>
  <si>
    <t>[de Souza, Manuel M.; Hatje, Vanessa] Univ Fed Bahia, Lab Oceanog Quim, Inst Quim, INCT Energia &amp; Ambiente, Salvador, BA, Brazil; [Windmoeller, Claudia C.] Univ Fed Minas Gerais, ICEx, Dept Quim, Minas Gerais, Brazil</t>
  </si>
  <si>
    <t>Universidade Federal da Bahia; Universidade Federal de Minas Gerais</t>
  </si>
  <si>
    <t>Hatje, V (corresponding author), Univ Fed Bahia, Lab Oceanog Quim, Inst Quim, INCT Energia &amp; Ambiente, Salvador, BA, Brazil.</t>
  </si>
  <si>
    <t>vhatje@ufba.br</t>
  </si>
  <si>
    <t>Hatje, Vanessa/K-1317-2012; Windmoller, Claudia/H-3647-2012; de Souza, Manuel/N-9637-2017</t>
  </si>
  <si>
    <t>de Souza, Manuel/0000-0002-5467-003X; Windmolller, Claudia/0000-0001-9621-1117</t>
  </si>
  <si>
    <t>CNPq-Brazil; FAPESB [CVN 0049/2008, PET0004/2010]; CNPq [479669/2007-4]</t>
  </si>
  <si>
    <t>CNPq-Brazil(Conselho Nacional de Desenvolvimento Cientifico e Tecnologico (CNPQ)); FAPESB(Fundacao de Amparo a Pesquisa do Estado da Bahia (FAPESB)); CNPq(Conselho Nacional de Desenvolvimento Cientifico e Tecnologico (CNPQ))</t>
  </si>
  <si>
    <t>V. Hatje and Manuel M. Souza were sponsored by CNPq-Brazil. This work was supported by FAPESB (CVN 0049/2008, PET0004/2010) and CNPq (479669/2007-4).</t>
  </si>
  <si>
    <t>10.1016/j.marpolbul.2011.07.010</t>
  </si>
  <si>
    <t>http://dx.doi.org/10.1016/j.marpolbul.2011.07.010</t>
  </si>
  <si>
    <t>834IX</t>
  </si>
  <si>
    <t>WOS:000295954100039</t>
  </si>
  <si>
    <t>Anjos, VA; Sandrini, JZ; Souza, MM</t>
  </si>
  <si>
    <t>Anjos, Vanessa Abelaira; Sandrini, Juliana Zomer; Souza, Marta Marques</t>
  </si>
  <si>
    <t>MXR response in sea anemones: Effect of temperature, salinity and copper</t>
  </si>
  <si>
    <t>Abiotic factors; Bunodosoma cangicum; In vitro; In vivo; Multixenobiotic resistance; Primary cell culture</t>
  </si>
  <si>
    <t>CLAM CORBICULA-FLUMINEA; MULTIXENOBIOTIC RESISTANCE; P-GLYCOPROTEIN; ENVIRONMENTAL-FACTORS; BUNODOSOMA-CANGICUM; DEFENSE-MECHANISM; CELL-VOLUME; GILL CELLS; IN-VITRO; EXPRESSION</t>
  </si>
  <si>
    <t>Multixenobiotic resistance (MXR) phenotype is a cellular defense which can eliminate toxic substances from cells. Several studies describe the MXR activity after pollutant exposure, but little is known about the interference of abiotic factors in this mechanism. The present study aimed to evaluate MXR activity in sea anemones Bunodosoma cangicum after in vivo and in vitro exposures to different temperatures (15, 20 and 25C) and salinities (15, 30 and 45 parts per thousand) associated or not with copper (0, 7.8 and 15.6 mu g/L). Results showed that low temperature inhibited the MXR activity in vivo and in vitro, while salinity did not alter this activity. Copper could change the response, mainly at different temperatures (15 and 25 degrees C) - 7.8 mu g/L Cu activated in vivo and in vitro and 15.6 mu g/L Cu in vitro inhibited MXR activity in relation to same copper concentrations at 20 degrees C. Results for MXR activity found between in vivo and in vitro exposures were similar among temperature treatments and salinities; however, under hyperosmotic shock, in vivo exposure showed that animals has different response than isolated cells. The animals exposed to salinity 45 parts per thousand produced a mucus layer as a defense mechanism, because of this protection the response was different between in vivo and in vitro exposures. Concluding, temperature affects MXR activity independently of the presence of copper and each model of exposure contributes with different type of knowledge (cellular mechanism/systemic response).</t>
  </si>
  <si>
    <t>[Anjos, Vanessa Abelaira; Sandrini, Juliana Zomer; Souza, Marta Marques] Univ Fed Rio Grande, Inst Ciencias Biol, Programa Posgrad Ciencias Fisiol, Rio Grande, RS, Brazil; [Sandrini, Juliana Zomer; Souza, Marta Marques] Univ Fed Rio Grande, Inst Ciencias Biol, Rio Grande, RS, Brazil</t>
  </si>
  <si>
    <t>Anjos, VA (corresponding author), Univ Fed Rio Grande, Inst Ciencias Biol, Rio Grande, RS, Brazil.</t>
  </si>
  <si>
    <t>anjosbio@hotmail.com</t>
  </si>
  <si>
    <t>Souza, Marta/E-4974-2013; Sandrini, Juliana/AAG-9362-2020</t>
  </si>
  <si>
    <t>CAPES - Brazil; National Institute of Science and Technology in Aquatic Toxicology (INCT-TA) [CNPq 573949/2008-5]</t>
  </si>
  <si>
    <t>CAPES - Brazil(Coordenacao de Aperfeicoamento de Pessoal de Nivel Superior (CAPES)); National Institute of Science and Technology in Aquatic Toxicology (INCT-TA)</t>
  </si>
  <si>
    <t>V.A. Anjos had support from CAPES - Brazil. This work had the financial support of the National Institute of Science and Technology in Aquatic Toxicology (INCT-TA, CNPq 573949/2008-5).</t>
  </si>
  <si>
    <t>10.1016/j.cbpc.2019.108609</t>
  </si>
  <si>
    <t>http://dx.doi.org/10.1016/j.cbpc.2019.108609</t>
  </si>
  <si>
    <t>JN0OK</t>
  </si>
  <si>
    <t>WOS:000496603700009</t>
  </si>
  <si>
    <t>PETERSON, LK; DAURIA, JM; MCKEOWN, BA; MOORE, K; SHUM, M</t>
  </si>
  <si>
    <t>COPPER LEVELS IN THE MUSCLE AND LIVER-TISSUE OF FARMED CHINOOK SALMON, ONCORHYNCHUS-TSHAWYTSCHA</t>
  </si>
  <si>
    <t>MUSSELS MYTILUS-EDULIS; RAINBOW-TROUT; COHO SALMON; SUBLETHAL CONCENTRATIONS; CHRONIC EXPOSURE; CRASSOSTREA-VIRGINICA; GAIRDNERI RICHARDSON; METAL POLLUTION; AMERICAN OYSTER; SEA-WATER</t>
  </si>
  <si>
    <t>Farmed chinook salmon, Oncorhynchus tshawytscha, were collected from pens treated with the algicide Amercoat 675 in which the active ingredient is copper oxide, and from untreated pens, over a 3 month period (May-August 1988). The dorsal muscle and the liver of the salmon were analysed for copper by atomic absorption spectroscopy (AAS) and X-ray fluorescence spectroscopy (XRF), respectively. Results showed that the copper concentration in the muscle decreased with increasing size of the fish, while the concentration in the liver increased. There were no statistical differences in the copper levels between salmon of comparable size raised in the two types (copper-treated vs. untreated) of enclosure.</t>
  </si>
  <si>
    <t>SIMON FRASER UNIV, DEPT BIOL SCI, BURNABY V5A 1S6, BC, CANADA</t>
  </si>
  <si>
    <t>SIMON FRASER UNIV, DEPT CHEM, BURNABY V5A 1S6, BC, CANADA.</t>
  </si>
  <si>
    <t>10.1016/0044-8486(91)90291-E</t>
  </si>
  <si>
    <t>http://dx.doi.org/10.1016/0044-8486(91)90291-E</t>
  </si>
  <si>
    <t>GT726</t>
  </si>
  <si>
    <t>WOS:A1991GT72600008</t>
  </si>
  <si>
    <t>Huang, GQ; Wang, DF</t>
  </si>
  <si>
    <t>Huang Guo-Qing; Wang Dong-Feng</t>
  </si>
  <si>
    <t>Effects of lanthanum on the cadmium uptake of pacific oyster Crassostrea gigas</t>
  </si>
  <si>
    <t>rare earth element; Lanthanum; Cd bioaccumulation; Marine bivalve; Ca2+-channel blocker</t>
  </si>
  <si>
    <t>MYTILUS-EDULIS; ELEMENT UPTAKE; CALCIUM; GILLS; EPITHELIUM; VIRGINICA; STRESS; ZINC</t>
  </si>
  <si>
    <t>La3+ is a typical Ca2+-channel blocker and its effect on the bioaccumulation of Cd2+ in Crassostrea gigas was investigated in this work. The oysters were exposed to 5, 10 and 25 mu mol/L La(NO3)(3) in the presence of 25 mu g/L Cd for 12 days and the variations of Cd bioaccumulation as well as Ca and Zn contents were determined. La3+ in the three levels inhibited Cd bioaccumulation by up to 36%, 44% and 25% respectively on day 12. Organ-level analysis revealed that La3+ possibly exerted its inhibitory action by delaying the saturated absorption of Cd in the gill. La3+ antagonized the negative effects of Cd2+ on Ca content, but 25 mu mol/La3+ significantly decreased the Zn content in the oysters. It was concluded that La3+ markedly influenced the metal metabolism of Crassostrea gigas and the presence of La3+ must be considered in marine pollution assessment by using oysters as bioindicator.</t>
  </si>
  <si>
    <t>[Huang Guo-Qing] Qingdao Agr Univ, Coll Food Sci &amp; Engn, Qingdao 266109, Peoples R China; [Huang Guo-Qing; Wang Dong-Feng] Ocean Univ China, Coll Food Sci &amp; Engn, Qingdao 266003, Shandong, Peoples R China</t>
  </si>
  <si>
    <t>Huang, GQ (corresponding author), Qingdao Agr Univ, Coll Food Sci &amp; Engn, Qingdao 266109, Peoples R China.;Huang, GQ (corresponding author), Ocean Univ China, Coll Food Sci &amp; Engn, Qingdao 266003, Shandong, Peoples R China.</t>
  </si>
  <si>
    <t>hgqfood@qau.edu.cn</t>
  </si>
  <si>
    <t>EA9WN</t>
  </si>
  <si>
    <t>WOS:000386995500003</t>
  </si>
  <si>
    <t>Kösker, AR; Gündogdu, S; Ayas, D; Bakan, M</t>
  </si>
  <si>
    <t>Kosker, Ali Riza; Gundogdu, Sedat; Ayas, Deniz; Bakan, Misra</t>
  </si>
  <si>
    <t>Metal levels of processed ready-to-eat stuffed mussels sold in Turkey: Health risk estimation</t>
  </si>
  <si>
    <t>JOURNAL OF FOOD COMPOSITION AND ANALYSIS</t>
  </si>
  <si>
    <t>Food analysis; Seafood; Food composition; Toxic metals; ICP/MS</t>
  </si>
  <si>
    <t>EASTERN MEDITERRANEAN SEA; HEAVY-METALS; MYTILUS-GALLOPROVINCIALIS; ADRIATIC COAST; FISH; CONTAMINATION; POLLUTION; VANADIUM; CADMIUM; RICE</t>
  </si>
  <si>
    <t>This study analyzes the metal/metalloid levels in stuffed mussels (Mytilus galloprovincialis) sold in five cities in Turkey and evaluates the possible health risks these levels pose for children and adults. Inductively Coupled Plasma-Mass Spectrometer (ICP-MS) was used to determine the metal levels of samples. In stuffed mussels, the highest levels found elements iron (Fe), and vanadium (V) were 50.59-219.80 and 85.75-161.70 mg/kg, respectively, while the lowest levels for cadmium (Cd), arsenic (As) and lead (Pb) were 0.11-1.08, 0.52-1.20 and 0.40-1.50 mg/kg, respectively. Estimated weekly intake (EWI), target hazard quotient (THQ), and lifetime cancer risk (CR) assessments for adults and children for different consumption frequencies based on metal levels present were conducted on stuffed mussels. Based on THQ calculations, V levels were found to be &gt;1 for both children and adults. The results showed that Cr, As, and Cd levels posed a carcinogenic risk for almost all locations and consumer groups, while it was found that Pb did not pose any carcinogenic risk.</t>
  </si>
  <si>
    <t>[Kosker, Ali Riza; Gundogdu, Sedat] Cukurova Univ, Fisheries Fac, Adana, Turkey; [Ayas, Deniz; Bakan, Misra] Mersin Univ, Fisheries Fac, Mersin, Turkey</t>
  </si>
  <si>
    <t>Cukurova University; Mersin University</t>
  </si>
  <si>
    <t>Kösker, AR (corresponding author), Cukurova Univ, Fac Fisheries, TR-01330 Adana, Turkey.</t>
  </si>
  <si>
    <t>akosker@cu.edu.tr</t>
  </si>
  <si>
    <t>Ayas, Deniz/G-7371-2015; Kosker, Ali Riza/E-5684-2018; Gundogdu, Sedat/B-4475-2018</t>
  </si>
  <si>
    <t>Kosker, Ali Riza/0000-0002-4807-3546; Gundogdu, Sedat/0000-0002-4415-2837</t>
  </si>
  <si>
    <t>Cukurova University [FBA-2020-13010]</t>
  </si>
  <si>
    <t>Cukurova University(Cukurova University)</t>
  </si>
  <si>
    <t>This study was supported by the Cukurova University (Project number: FBA-2020-13010) . In addition, the authors wish to thank Greenpeace Mediterranean for their support in providing samples.</t>
  </si>
  <si>
    <t>0889-1575</t>
  </si>
  <si>
    <t>1096-0481</t>
  </si>
  <si>
    <t>J FOOD COMPOS ANAL</t>
  </si>
  <si>
    <t>J. Food Compos. Anal.</t>
  </si>
  <si>
    <t>10.1016/j.jfca.2021.104326</t>
  </si>
  <si>
    <t>http://dx.doi.org/10.1016/j.jfca.2021.104326</t>
  </si>
  <si>
    <t>Chemistry, Applied; Food Science &amp; Technology</t>
  </si>
  <si>
    <t>Chemistry; Food Science &amp; Technology</t>
  </si>
  <si>
    <t>1S1YO</t>
  </si>
  <si>
    <t>WOS:000803854200049</t>
  </si>
  <si>
    <t>Gorinstein, S; Arancibia-Avila, P; Moncheva, S; Toledo, F; Trakhtenberg, S; Gorinstein, A; Goshev, I; Namiesnik, J</t>
  </si>
  <si>
    <t>Changes in mussel Mytilus galloprovincialis protein profile as a reaction of water pollution</t>
  </si>
  <si>
    <t>Mytilus galloprovincialis; pollution; proteins; properties; metals; inhibition</t>
  </si>
  <si>
    <t>OXYRADICAL SCAVENGING CAPACITY; DIGESTIVE GLAND; ANTIOXIDANT ENZYMES; BIVALVE MOLLUSKS; HEAVY-METALS; BIOMARKER; RESPONSES; MUSCLE; EDULIS</t>
  </si>
  <si>
    <t>In the present report the changes in mussels Mytilus galloprovincialis protein profile, as a reaction of water pollution, is presented. The antioxidant capacity was determined by the efficacy to scavenge the derived radical in mussel samples using the Trolox Equivalent Antioxidant Capacity (TEAC) assay. The highest percentage of inhibition was estimated in protein mussels from the dirty area (DM) in comparison with the clean samples (CM). The amounts of both zinc and copper determined by atomic spectroscopy were significantly higher in the protein mussels from the dirty than from the clean areas (P&lt;0.05). Fourier Transform Infrared (FT-IR) spectroscopy and fluorescence revealed specific qualitative changes in secondary and tertiary structures of mussel proteins from the dirty area by the shift in the amides I and II positions and fluorescence intensity. Estimated temperature and enthalpy of denaturation in the protein mussels well correlated with fluorescence and spectroscopic measurements and showed the changes influenced by water pollution. (C) 2005 Elsevier Ltd. All rights reserved.</t>
  </si>
  <si>
    <t>Hebrew Univ Jerusalem, Hadassah Med Sch, Sch Pharm, Dept Med Chem &amp; Nat Prod, IL-91120 Jerusalem, Israel; Univ Bio Bio, Dept Basic Sci, Chillan, Chile; Bulgarian Acad Sci, Inst Oceanol, Varna 9000, Bulgaria; Kaplan Univ Med Ctr, Rehovot, Israel; Arkadi Engn Serv Co, IL-97854 Jerusalem, Israel; BAS, Inst Organ Chem, Sofia 1040, Bulgaria; BAS, Ctr Phytochem, Sofia 1040, Bulgaria; Gdansk Univ Technol, Fac Chem, PL-80952 Gdansk, Poland</t>
  </si>
  <si>
    <t>Hebrew University of Jerusalem; Universidad del Bio-Bio; Bulgarian Academy of Sciences; Bulgarian Academy of Sciences; Bulgarian Academy of Sciences; Fahrenheit Universities; Gdansk University of Technology</t>
  </si>
  <si>
    <t>Hebrew Univ Jerusalem, Hadassah Med Sch, Sch Pharm, Dept Med Chem &amp; Nat Prod, POB 12065, IL-91120 Jerusalem, Israel.</t>
  </si>
  <si>
    <t>gorin@cc.huji.ac.il</t>
  </si>
  <si>
    <t>Gorinstein, Shela/K-7753-2019; Arancibia-Avila, Patricia/K-2547-2013</t>
  </si>
  <si>
    <t>Arancibia-Avila, Patricia/0000-0002-5814-1725; Namiesnik, Jacek/0000-0001-9598-2198; TOLEDO-MONTIEL, FERNANDO/0000-0001-9435-0973</t>
  </si>
  <si>
    <t>10.1016/j.envint.2005.06.004</t>
  </si>
  <si>
    <t>http://dx.doi.org/10.1016/j.envint.2005.06.004</t>
  </si>
  <si>
    <t>000PT</t>
  </si>
  <si>
    <t>WOS:000234475000011</t>
  </si>
  <si>
    <t>Ausili, A; Gabellini, M; Cammarata, G; Fattorini, D; Benedetti, M; Pisanelli, B; Gorbi, S; Regoli, F</t>
  </si>
  <si>
    <t>Ausili, Antonella; Gabellini, Massimo; Cammarata, Giuliano; Fattorini, Daniele; Benedetti, Maura; Pisanelli, Barbara; Gorbi, Stefania; Regoli, Francesco</t>
  </si>
  <si>
    <t>Ecotoxicological and human health risk in a petrochemical district of southern Italy</t>
  </si>
  <si>
    <t>mercury; bioavailability; Mytilus galloprovincialis; Mullus barbatus; genotoxicity; human health risk; priolo petrochemical site</t>
  </si>
  <si>
    <t>MERCURY CONCENTRATIONS; LONG-TERM</t>
  </si>
  <si>
    <t>An ecotoxicological investigation has been carried in the petrochemical district of Priolo (Sicily, Italy), one of the largest in Europe. Results indicated a severe mercury contamination in sediments sampled near a chloro-alkali plant. A clear bioavailability of this element was demonstrated in mussels Mytilus galloprovincialis (both native and translocated) and the benthic fish Mullus barbatus, which also exhibited marked genotoxic damages. The elevated mercury concentrations in marine organisms are a serious concern for human health; according to the national average fish consumption, the provisional tolerable weekly intake (PTWI) of Hg would be easily exceeded by at least 4 to 12 fold. Such toxicological risk is of particular importance for pregnant women, being possibly involved in the elevated frequency of neonatal malformations. (C) 2008 Elsevier Ltd. All rights reserved.</t>
  </si>
  <si>
    <t>[Ausili, Antonella; Fattorini, Daniele; Benedetti, Maura; Pisanelli, Barbara; Gorbi, Stefania; Regoli, Francesco] Univ Politecn Marche, Ist Biol &amp; Genet, Ancona, Italy; [Gabellini, Massimo] Ist Cent Ric Sci Tecnol Applicata Mare, ICRAM, Rome, Italy; [Cammarata, Giuliano] Univ Catania, Dipartimento Ingn Ind &amp; Meccan, Catania, Italy</t>
  </si>
  <si>
    <t>Marche Polytechnic University; University of Catania</t>
  </si>
  <si>
    <t>Regoli, F (corresponding author), Univ Politecn Marche, Ist Biol &amp; Genet, Ancona, Italy.</t>
  </si>
  <si>
    <t>Fattorini, Daniele/A-2969-2010; Regoli, Francesco/K-2719-2018; gorbi, stefania/K-5662-2016; Benedetti, Maura/K-5399-2016</t>
  </si>
  <si>
    <t>Regoli, Francesco/0000-0001-6084-6188; CAMMARATA, Giuliano/0000-0002-8467-5237; gorbi, stefania/0000-0002-4232-2652; Benedetti, Maura/0000-0003-0803-3846; Fattorini, Daniele/0000-0002-5847-4722</t>
  </si>
  <si>
    <t>10.1016/j.marenvres.2008.02.062</t>
  </si>
  <si>
    <t>http://dx.doi.org/10.1016/j.marenvres.2008.02.062</t>
  </si>
  <si>
    <t>WOS:000257575400259</t>
  </si>
  <si>
    <t>Minier, C; Tutundjian, R; Galgani, F; Robert, JM</t>
  </si>
  <si>
    <t>Copper tolerance in Haslea ostrearia assessed by measurements of in vivo esterase activity</t>
  </si>
  <si>
    <t>PHYTOPLANKTON</t>
  </si>
  <si>
    <t>In vivo measurements of Haslea ostrearia esterase activity allowed to assess the effect of copper on metabolic activity. This method, when applied to the microplate reader, is effective to screen different cell stages and physiological conditions. Results showed that copper toxicity varies according to the physiological stage of the microalgae and especially in relation with the presence of a blue-green pigment synthesised by the diatom. This compound responsible for the blue-green colour of oyster gills, may play art important role in copper bio-availability in oyster ponds. (C) 1998 Elsevier Science Ltd. All rights reserved.</t>
  </si>
  <si>
    <t>Univ Le Havre, F-76058 Le Havre, France; ISOMer, F-44037 Nantes, France; IFREMER, F-44037 Nantes, France</t>
  </si>
  <si>
    <t>Universite Le Havre Normandie; Ifremer</t>
  </si>
  <si>
    <t>Univ Le Havre, 25 Rue Philippe Lebon, F-76058 Le Havre, France.</t>
  </si>
  <si>
    <t>10.1016/S0141-1136(97)00077-9</t>
  </si>
  <si>
    <t>http://dx.doi.org/10.1016/S0141-1136(97)00077-9</t>
  </si>
  <si>
    <t>WOS:000075806100119</t>
  </si>
  <si>
    <t>Yap, CK; Sharifinia, M; Cheng, WH; Al-Shami, SA; Wong, KW; Al-Mutairi, KA</t>
  </si>
  <si>
    <t>Yap, Chee Kong; Sharifinia, Moslem; Cheng, Wan Hee; Al-Shami, Salman Abdo; Wong, Koe Wei; Al-Mutairi, Khalid Awadh</t>
  </si>
  <si>
    <t>A Commentary on the Use of Bivalve Mollusks in Monitoring Metal Pollution Levels</t>
  </si>
  <si>
    <t>bivalves; shells; monitoring; chemical pollutants</t>
  </si>
  <si>
    <t>MUSSELS MYTILUS-GALLOPROVINCIALIS; DIFFERENT SOFT-TISSUES; FRESH-WATER MUSSELS; HUMAN HEALTH-RISK; TRACE-METALS; HEAVY-METALS; PERNA-VIRIDIS; COASTAL WATERS; GREEN MUSSEL; BLUE MUSSELS</t>
  </si>
  <si>
    <t>The objective of this commentary is to promote the use of bivalves as biomonitors, which is a part of the continual efforts of the International MusselWatch. This commentary is an additional discussion on Bivalve mollusks in metal pollution studies: From bioaccumulation to biomonitoring by Zuykov et al., published in Chemosphere 93, 201-208. The present discussion can serve as a platform for further insights to provide new thoughts and novel ideas on how to make better use of bivalves in biomonitoring studies. The certainty of better and more extensive applications of mollusks in environmental monitoring in the future is almost confirmed but more studies are urgently needed. With all the reported studies using bivalves as biomonitors of heavy metal pollution, the effectiveness of using Mussel Watch is beyond any reasonable doubts. The challenge is the development of more accurate methodologies for of heavy metal data interpretation, and the precision of the biomonitoring studies using bivalves as biomonitors, whether in coastal or freshwater ecosystems. Lastly, inclusion of human health risk assessment of heavy metals in commercial bivalves would make the research papers of high public interest.</t>
  </si>
  <si>
    <t>[Yap, Chee Kong; Wong, Koe Wei] Univ Putra Malaysia, Dept Biol, Fac Sci, Serdang 43400, Selangor, Malaysia; [Sharifinia, Moslem] Agr Res Educ &amp; Extens Org AREEO, Shrimp Res Ctr, Iranian Fisheries Sci Res Inst, Bushehr 7516989177, Iran; [Cheng, Wan Hee] Inti Int Univ, Fac Hlth &amp; Life Sci, Persiaran Perdana BBN, Nilai 71800, Negeri Sembilan, Malaysia; [Al-Shami, Salman Abdo] Univ Florida, Indian River Res &amp; Educ Ctr, IFAS, Ft Pierce, FL 34945 USA; [Al-Mutairi, Khalid Awadh] Univ Tabuk, Dept Biol, Fac Sci, POB 741, Tabuk 71491, Saudi Arabia</t>
  </si>
  <si>
    <t>Universiti Putra Malaysia; INTI International University; State University System of Florida; University of Florida; University of Tabuk</t>
  </si>
  <si>
    <t>yapckong@hotmail.com; moslem.sharifinia@yahoo.com; wanhee.cheng@newinti.edu.my; alshami200@gmail.com; wongkoewei@gmail.com; kmutairi@ut.edu.sa</t>
  </si>
  <si>
    <t>Al-Shami, Salman/G-4301-2010; Sharifinia, Moslem/H-4155-2019; Yap, Chee Kong/N-1318-2015</t>
  </si>
  <si>
    <t>Wong, Koe Wei/0000-0003-0408-1592; Sharifinia, Moslem/0000-0003-2969-0036; Al-Shami, Salman/0000-0001-9134-4172; Yap, Chee Kong/0000-0003-0317-0999; Cheng, Wan Hee/0000-0002-2311-2377</t>
  </si>
  <si>
    <t>UPM Journal Publication Fund</t>
  </si>
  <si>
    <t>This study was partially funded by UPM Journal Publication Fund.</t>
  </si>
  <si>
    <t>10.3390/ijerph18073386</t>
  </si>
  <si>
    <t>http://dx.doi.org/10.3390/ijerph18073386</t>
  </si>
  <si>
    <t>RK7XP</t>
  </si>
  <si>
    <t>WOS:000638504500001</t>
  </si>
  <si>
    <t>Vodopivez, C; Curtosi, A; Villaamil, E; Smichowski, P; Pelletier, E; Mac Cormack, WP</t>
  </si>
  <si>
    <t>Vodopivez, Cristian; Curtosi, Antonio; Villaamil, Edda; Smichowski, Patricia; Pelletier, Emilien; Mac Cormack, Walter P.</t>
  </si>
  <si>
    <t>Heavy metals in sediments and soft tissues of the Antarctic clam Laternula elliptica: More evidence as a ? possible biomonitor of coastal marine pollution at high latitudes?</t>
  </si>
  <si>
    <t>Antarctic clam; Metal pollution; Potter Cove; Marine sediments; Biomonitoring</t>
  </si>
  <si>
    <t>KING-GEORGE-ISLAND; SOUTH SHETLAND ISLANDS; TRACE-METALS; POTTER COVE; BODY-SIZE; ACCUMULATION; BAY; CONTAMINATION; GEOCHEMISTRY; ORGANISMS</t>
  </si>
  <si>
    <t>Studies on metal contamination in 25 de Mayo Island, Antarctica, yielded controversial results. In this work, we analyzed Antarctic marine sediments and Antarctic clam (Laternula elliptica) tissues to investigate the possible use of this mollusk as a biomonitor of metals and to identify the sources of metal pollution. Different types of paint from several buildings from Carlini Station were examined to assess their contribution to the local and random metal pollution. Five sediment samples, 105 L elliptica specimens (40.2-78.0 mm length) and four types of paint were analyzed to quantify Cd, Cr, Cu, Fe, Mn, Pb and Zn using inductively coupled plasma-optical emission spectrometry. Metal concentrations in sediments were lower than the global averages of the earth's crust, with the exception of Cd and Cu. These results were related to the contribution of the local fresh-water runoff. The different varieties of paint showed low levels of Cu, Mn, Fe and Zn, whereas a broad range of values were found in the case of Cr and Pb (20-15,100 mu g.g(-1) and 153-115,500 mu g.g(-1) respectively). The remains of the paint would be responsible for the significant increases in Cr and Pb which are randomly detected by us and by other authors. High levels of Fe and Cd, in comparison to other Antarctic areas, appear to be related to the terrigenous materials transported by the local streams. Accumulation indexes suggested that kidney tissue from L. elliptica could be an adequate material for biomonitoring pollution with Cd, Zn and probably also Pb. In general, relationships between size and metal contents reported by other authors were not verified, suggesting that this issue should be revised. (C) 2014 Elsevier B.V. All rights reserved.</t>
  </si>
  <si>
    <t>[Vodopivez, Cristian; Curtosi, Antonio; Mac Cormack, Walter P.] Inst Antartico Argentino, Buenos Aires, DF, Argentina; [Villaamil, Edda] Univ Buenos Aires, Fac Farm &amp; Bioquim, Catedra Toxicol, RA-1053 Buenos Aires, DF, Argentina; [Smichowski, Patricia] Comis Nacl Energia Atom, Unidad Actividad Quim, RA-1650 Buenos Aires, DF, Argentina; [Pelletier, Emilien] Univ Quebec, Inst Sci Mer Rimouski ISMER, Rimouski, PQ G5L 3A1, Canada; [Mac Cormack, Walter P.] Univ Buenos Aires, Fac Farm &amp; Bioquim, Inst Nanobiotecnol NANOBIOTEC UBA CONICET, RA-1053 Buenos Aires, DF, Argentina</t>
  </si>
  <si>
    <t>Instituto Antartico Argentino; University of Buenos Aires; Comision Nacional de Energia Atomica (CNEA); University of Quebec; University of Buenos Aires</t>
  </si>
  <si>
    <t>Mac Cormack, WP (corresponding author), Inst Antartico Argentino, Balcarce 290,C1091AAF Buenos Aires, Buenos Aires, DF, Argentina.</t>
  </si>
  <si>
    <t>Villaamil, Edda/AAF-5716-2020</t>
  </si>
  <si>
    <t>Agenda Nacional de Promocion Cientifica y Tecnologica (ANPCyT) [PICTO 2010-0124, PICTO 2010-0106]; Universidad de Buenos Aires [UBA 20020100100378]; European Commission through the Marie Curie Action IRSES [318718]; Canadian Research Chair in Ecotoxicology of High Latitude Ecosystems; Quebec-Ocean Strategic Network (FQRNT)</t>
  </si>
  <si>
    <t>Agenda Nacional de Promocion Cientifica y Tecnologica (ANPCyT)(ANPCyT); Universidad de Buenos Aires(University of Buenos Aires); European Commission through the Marie Curie Action IRSES; Canadian Research Chair in Ecotoxicology of High Latitude Ecosystems; Quebec-Ocean Strategic Network (FQRNT)(FQRNT)</t>
  </si>
  <si>
    <t>This research was carried out under an agreement between the Instituto Antartico Argentino and the Facultad de Farmacia y Bioquimica of the Universidad de Buenos Aires. This work was supported by grants PICTO 2010-0124 and PICTO 2010-0106 from the Agenda Nacional de Promocion Cientifica y Tecnologica (ANPCyT) and UBA 20020100100378 from Universidad de Buenos Aires. Also we had the financial support from the European Commission through the Marie Curie Action IRSES, project reference no. 318718, Activity code FP7-PEOPLE-2012-IRSES, IMCONet (Interdisciplinary Modeling of climate change in coastal Western Antarctica - Network for staff Exchange and Training), the Canadian Research Chair in Ecotoxicology of High Latitude Ecosystems (E. Pelletier) and the Quebec-Ocean Strategic Network (FQRNT). Many thanks go to personal of the Institut des Sciences de la Mer a Rimouski (ISMER/UQAR) for technical and professional assistance in chemical analysis and Cecilia Ferreiro for their revision of the English language in the manuscript</t>
  </si>
  <si>
    <t>10.1016/j.scitotenv.2014.09.031</t>
  </si>
  <si>
    <t>http://dx.doi.org/10.1016/j.scitotenv.2014.09.031</t>
  </si>
  <si>
    <t>AU6RZ</t>
  </si>
  <si>
    <t>WOS:000345730800040</t>
  </si>
  <si>
    <t>Lehtonen, KK; Leiniö, S; Schneider, R; Leivuori, M</t>
  </si>
  <si>
    <t>Lehtonen, Kari K.; Leinio, Sari; Schneider, Rolf; Leivuori, Mirja</t>
  </si>
  <si>
    <t>Biomarkers of pollution effects in the bivalves Mytilus edulis and Macoma balthica collected from the southern coast of Finland (Baltic Sea)</t>
  </si>
  <si>
    <t>biomarkers; Baltic Sea; bivalves; Macoma balthica; Mytilus edulis; organochlorines; heavy metals</t>
  </si>
  <si>
    <t>GLUTATHIONE-S-TRANSFERASES; ACETYLCHOLINESTERASE ACTIVITY; RECIPROCAL TRANSPLANTATIONS; PHENOTYPIC DIFFERENCES; METAL CONTAMINATION; OXIDATIVE STRESS; AQUATIC SITES; TRACE-METALS; METALLOTHIONEIN; POPULATIONS</t>
  </si>
  <si>
    <t>Levels of selected biomarkers in 2 bivalve species, the hard-bottom filter-feeder Mytilus edulis and the infaunal deposit/suspension-feeder Macoma balthica were measured in 2 areas (Tvarminne and Turku Archipelago) in the southern coast of Finland. The bivalves were collected for the measurement of acetylcholinesterase (AChE), glutathione-S-transferase (GST) and catalase (CAT) activities, and for the determination of metallothionein (MT) content. The content of organochlorines (8 PCB congeners, DDE, DDD, DDT, HCH, HCB, dieldrin) and selected heavy metals (Cd, Cu, Hg, Zn) were measured in the soft tissues. In M balthica collected from the Turku Archipelago region, biomarker gradients were observed in MT, GST and CAT, mostly coinciding with the tissue concentrations of total PCBs, DDTs and selected metals. In M edulis the biomarker responses were less consistent with regard to tissue pollutant concentrations. In the Tvarminne region no marked biomarker gradients were observed. The levels of all biomarkers varied significantly between the two species. The integrated biomarker response (IBR) index showed good accordance with the observed high tissue levels of organochlorines at the northern Airisto station in both species, This study is the first of its kind performed in the coastal waters of Finland, and the results clearly demonstrate the usefulness of the multibiomarker approach. Moreover, the use of 2 sessile species with markedly differing feeding modes and living habitats is considered a rational strategy for assessing the pollution status of coastal sea areas.</t>
  </si>
  <si>
    <t>Finnish Inst Marine Res, Helsinki 00561, Finland; Balt Sea Res Inst, Dept Biol Oceanog, D-18119 Rostock, Germany</t>
  </si>
  <si>
    <t>Lehtonen, KK (corresponding author), Finnish Inst Marine Res, POB 2, Helsinki 00561, Finland.</t>
  </si>
  <si>
    <t>lehtonen@fimr.fi</t>
  </si>
  <si>
    <t>Lehtonen, Kari Kullervo/0000-0002-7757-2336</t>
  </si>
  <si>
    <t>10.3354/meps322155</t>
  </si>
  <si>
    <t>http://dx.doi.org/10.3354/meps322155</t>
  </si>
  <si>
    <t>098JD</t>
  </si>
  <si>
    <t>WOS:000241515900013</t>
  </si>
  <si>
    <t>Navarro, A; Sánchez-Fontenla, J; Cordero, D; Faria, M; Peña, JB; Saavedra, C; Blázquez, M; Ruíz, O; Ureña, R; Torreblanca, A; Barata, C; Piña, B</t>
  </si>
  <si>
    <t>Navarro, Anna; Sanchez-Fontenla, Javier; Cordero, David; Faria, Melisa; Pena, Juan B.; Saavedra, Carlos; Blazquez, Mercedes; Ruiz, Olga; Urena, Rocio; Torreblanca, Amparo; Barata, Carlos; Pina, Benjamin</t>
  </si>
  <si>
    <t>Genetic and phenoptypic differentiation of zebra mussel populations colonizing Spanish river basins</t>
  </si>
  <si>
    <t>Genetic differentiation; Mitochondrial DNA; Microsatellites; Transcriptomic responses; Microarray</t>
  </si>
  <si>
    <t>CHIRONOMUS-RIPARIUS DIPTERA; DREISSENA-POLYMORPHA; WATER; POLLUTION; SYSTEM; LARVAE; BIOMARKERS; RESPONSES; CADMIUM; STRESS</t>
  </si>
  <si>
    <t>Zebra mussel populations in Ebro and Mijares Rivers (northern Spain) were analyzed to study the mechanisms by which this aquatic species deals with pollution. Variability analyses of mitochondrial cytochrome oxidase I gene and of one nuclear microsatellite were performed for ten populations from the Ebro River and one from the Mijares River. Comparison of these results with those from five additional European populations indicated that the Spanish populations constitute a homogeneous gene pool. Transcriptome analyses of gill samples from a subset of the Spanish populations showed changes on expression levels that correlated with variations in general fitness and loads of heavy metals. The less polluted upstream Ebro populations showed overexpression of mitochondrial and cell proliferation-related genes compared to the more polluted, downstream Ebro populations. Our data indicate that heavy metals were the main factors explaining these transcriptomic patterns, and that zebra mussel is resilient to pollutants (like mercury and organochlorine compounds) proved to be extremely toxic to vertebrates. We propose that zebra mussel populations sharing a common gene pool may acclimate to different levels and forms of pollution through modulations in their transcriptomic profile, although direct selection on genes showing differential expression patterns cannot be ruled out.</t>
  </si>
  <si>
    <t>[Navarro, Anna; Faria, Melisa; Barata, Carlos; Pina, Benjamin] IDAEA CSIC, Inst Environm Assessment &amp; Water Res, Dept Environm Chem, Barcelona 08034, Spain; [Sanchez-Fontenla, Javier; Cordero, David; Pena, Juan B.; Saavedra, Carlos] Inst Acuicultura Torre Sal CSIC, Castellon de La Plana, Spain; [Blazquez, Mercedes] CSIC, Inst Ciencies Mar, E-08003 Barcelona, Spain; [Ruiz, Olga; Urena, Rocio; Torreblanca, Amparo] Univ Valencia, Fac Ciencias Biol, Dept Biol Func &amp; Antropol Fis, E-46100 Valencia, Spain</t>
  </si>
  <si>
    <t>Consejo Superior de Investigaciones Cientificas (CSIC); CSIC - Centro de Investigacion y Desarrollo Pascual Vila (CID-CSIC); CSIC - Instituto de Diagnostico Ambiental y Estudios del Agua (IDAEA); Consejo Superior de Investigaciones Cientificas (CSIC); Consejo Superior de Investigaciones Cientificas (CSIC); CSIC - Centro Mediterraneo de Investigaciones Marinas y Ambientales (CMIMA); CSIC - Instituto de Ciencias del Mar (ICM); University of Valencia</t>
  </si>
  <si>
    <t>Piña, B (corresponding author), IDAEA CSIC, Inst Environm Assessment &amp; Water Res, Dept Environm Chem, Jordi Girona 18, Barcelona 08034, Spain.</t>
  </si>
  <si>
    <t>bpcbmc@cid.csic.es</t>
  </si>
  <si>
    <t>Cordero, David/L-2288-2017; Faria, Melissa/ABI-2225-2020; Blazquez, Mercedes/P-2674-2017; Pina, Benjamin/A-1671-2011; Barata, Carlos/K-8232-2014; Navarro Cuenca, Anna/F-9980-2012; Torreblanca, Amparo/E-2962-2010; Saavedra, Carlos/L-1928-2017</t>
  </si>
  <si>
    <t>Blazquez, Mercedes/0000-0003-0522-2107; Pina, Benjamin/0000-0001-9216-2768; Faria, Melissa/0000-0003-1451-4427; Barata, Carlos/0000-0002-3360-0729; Urena, Rocio/0000-0001-5897-4973; Cordero, David/0000-0003-3751-3232; Navarro Cuenca, Anna/0000-0003-3762-4135; Torreblanca, Amparo/0000-0001-5838-9635; Saavedra, Carlos/0000-0003-3798-3226</t>
  </si>
  <si>
    <t>Spanish Ministry of Environment [042/RN08/03.4]; Spanish Ministry of Science and Innovation [CTM2011-30471-C02-01]</t>
  </si>
  <si>
    <t>Spanish Ministry of Environment(Spanish Government); Spanish Ministry of Science and Innovation(Spanish Government)</t>
  </si>
  <si>
    <t>We are indebted to Csilla Balogh (Limnologial Reserach Institute of Has, Hungary), Maxence Forcellini (University of Lyon), Elena Tricarico (University of Florence) and Vera Pavlova for providing zebra mussel samples from Hungary, France, Italy and Russia, respectively. We thank also Juan Gines Garcia Navarro for technical assistance in the molecular biology lab. This work was funded by Grants from the Spanish Ministry of Environment (042/RN08/03.4) and from the Spanish Ministry of Science and Innovation (CTM2011-30471-C02-01).</t>
  </si>
  <si>
    <t>10.1007/s10646-013-1084-7</t>
  </si>
  <si>
    <t>http://dx.doi.org/10.1007/s10646-013-1084-7</t>
  </si>
  <si>
    <t>183BQ</t>
  </si>
  <si>
    <t>WOS:000321789000016</t>
  </si>
  <si>
    <t>Cardellicchio, N; Buccolieri, A; Di Leo, A; Spada, L</t>
  </si>
  <si>
    <t>Cardellicchio, Nicola; Buccolieri, Alessandro; Di Leo, Antonella; Spada, Lucia</t>
  </si>
  <si>
    <t>Heavy metals in marine sediments from the Mar Piccolo of Taranto (Ionian Sea, Southern Italy)</t>
  </si>
  <si>
    <t>ACID-VOLATILE SULFIDE; SURFACE SEDIMENTS; ESTUARINE SEDIMENTS; PARTICULATE MATTER; VENICE LAGOON; TOXICITY; CONTAMINATION; GULF; GEOCHEMISTRY; DIGESTION</t>
  </si>
  <si>
    <t>Heavy metals concentrations (Cd, Cu, Hg, Pb, Sri and Zn) have been determined monthly in surface sediments from the Mar Piccolo in Taranto (Ionian Sea, Southern Italy. a semi-enclosed marine basin very important from a mussel-culture point of view. In sediments, sulphides, percentage of organic carbon and redox potential were also determined to show possible correlations between metals levels and redox characteristics of marine sediments. Analytical results, elaborated by multivariate statistical techniques, confirm that sediments collected in the first inlet of Mar Piccolo, where shipbuilding activities are present, have a contamination level greater than those collected in the second inlet. For each metal, the geoaccumulation index (I-geo) has been calculated as criterion to evaluate both pollution levels and metals enrichment in examined sediments: I-geo values confirm that the first inlet is an moderately polluted area from Hg and Pb. In any case, high sulphide concentrations and negative values of redox potentials bring to a conclusion that metals are present in sediments, mainly as insoluble sulphides and then as not bioavailable compounds for filter feeders organisms such as mussels.</t>
  </si>
  <si>
    <t>CNR, Ist Ambiente Marino Costiero, I-74100 Taranto, Italy; Univ Lecce, Dept Mat Sci, I-73100 Lecce, Italy; Univ Bari, Dipartmento Chim, I-70126 Bari, Italy</t>
  </si>
  <si>
    <t>Consiglio Nazionale delle Ricerche (CNR); L'Istituto per l'Ambiente Marino Costiero (IAMC-CNR); University of Salento; Universita degli Studi di Bari Aldo Moro</t>
  </si>
  <si>
    <t>Cardellicchio, N (corresponding author), CNR, Ist Ambiente Marino Costiero, Via Roma 3, I-74100 Taranto, Italy.</t>
  </si>
  <si>
    <t>n.cardellicchio@iamc.cnr.it</t>
  </si>
  <si>
    <t>Di Leo, Antonella/AAX-9345-2020</t>
  </si>
  <si>
    <t>Buccolieri, Alessandro/0000-0002-8657-9468</t>
  </si>
  <si>
    <t>10.1002/adic.200690075</t>
  </si>
  <si>
    <t>http://dx.doi.org/10.1002/adic.200690075</t>
  </si>
  <si>
    <t>114MD</t>
  </si>
  <si>
    <t>WOS:000242669400010</t>
  </si>
  <si>
    <t>Gamain, P; Romero-Ramirez, A; Gonzalez, P; Mazzella, N; Gourves, PY; Compan, C; Morin, B; Cachot, J</t>
  </si>
  <si>
    <t>Gamain, Perrine; Romero-Ramirez, Alicia; Gonzalez, Patrice; Mazzella, Nicolas; Gourves, Pierre-Yves; Compan, Clemence; Morin, Benedicte; Cachot, Jerome</t>
  </si>
  <si>
    <t>Assessment of swimming behavior of the Pacific oyster D-larvae (Crassostrea gigas) following exposure to model pollutants</t>
  </si>
  <si>
    <t>Copper; Early life stage; Image analysis; Malformations; S-metolachlor; Speed; Trajectory</t>
  </si>
  <si>
    <t>ENVIRONMENTAL CONCENTRATIONS; COPPER TOXICITY; S-METOLACHLOR; FISH BEHAVIOR; CHEMISTRY; RESPONSES; SALINITY; METAL; SPEED</t>
  </si>
  <si>
    <t>This study describes an image analysis method that has been used to analyze the swimming behavior of native oyster D-larvae (Crassostrea gigas) from the Arcachon Bay (SW, France). In a second time, this study evaluated the impact of copper and S-metolachlor pollutants on D-larvae swimming activity and the possible relationship between developmental malformations and abnormal swimming behavior. Analyses in wild and cultivated oyster D-larvae were investigated during two breeding-seasons (2014 and 2015) at different sampling sites and dates. In controlled conditions, the average speed of larvae was 144 mu m s(-1) and the maximum speed was 297 mu m s(-1) while the trajectory is mainly rectilinear. In the presence of environmental concentration of copper or S-metolachlor, no significant difference in maximum or average larval speed was observed compared to the control condition but the percentage of circular trajectory increased significantly while the rectilinear swimming larvae significantly declined. The current study demonstrates that rectilinear trajectories are positively correlated to normal larvae while larvae with shell anomalies are positively correlated to circular trajectories. This abnormal behavior could affect the survival and spread of larvae, and consequently, the recruitment and colonization of new habitats.</t>
  </si>
  <si>
    <t>[Gamain, Perrine; Romero-Ramirez, Alicia; Gonzalez, Patrice; Gourves, Pierre-Yves; Compan, Clemence; Morin, Benedicte; Cachot, Jerome] Univ Bordeaux, EPOC, UMR 5805, F-33600 Pessac, France; [Mazzella, Nicolas] IRSTEA, UR EABX Water Res Unit, 50 Ave Verdun, F-33612 Gazinet, Cestas, France</t>
  </si>
  <si>
    <t>Cachot, J (corresponding author), Univ Bordeaux, EPOC, UMR 5805, F-33600 Pessac, France.</t>
  </si>
  <si>
    <t>Cachot, Jerome/0000-0002-1492-9684; Morin, Benedicte/0000-0003-4583-4319; Gonzalez, Patrice/0000-0003-2628-2993; Mazzella, Nicolas/0000-0002-8499-9688</t>
  </si>
  <si>
    <t>The authors thank the Aquitaine Region (OSQUAR Project), CPER A2E, Intermunicipal Union of Arcachon Bay (SIBA) and Water Agency Adour Garonne (AEAG) for their financial support. This work was part of the LABEX COTE cluster of excellence Continental To coastal Ecosystems: evolution, adaptability and governance. We thank James Emery for providing English proofreading.</t>
  </si>
  <si>
    <t>10.1007/s11356-019-04156-8</t>
  </si>
  <si>
    <t>http://dx.doi.org/10.1007/s11356-019-04156-8</t>
  </si>
  <si>
    <t>WOS:000519703100013</t>
  </si>
  <si>
    <t>Magnusson, K; Ekelund, R; Dave, G; Granmo, A; Forlin, L; Wennberg, L; Samuelsson, MO; Berggren, M; BrorstromLunden, E</t>
  </si>
  <si>
    <t>Contamination and correlation with toxicity of sediment samples from the Skagerrak and Kattegat</t>
  </si>
  <si>
    <t>JOURNAL OF SEA RESEARCH</t>
  </si>
  <si>
    <t>bioassay; sediment toxicity; organochlorine; PAH; heavy metal; ammonia; Nitocra; Daphnia; Mytilus; Oncorhyncus; multivariate analysis</t>
  </si>
  <si>
    <t>NORTH-SEA; CYCLIC ORGANOCHLORINES; TOXICANT; AMMONIA; SYSTEM; RIVER; WATER</t>
  </si>
  <si>
    <t>The pollution state in the Skagerrak and Kattegat was investigated by determination of pollutant concentrations and toxicity of sediment samples from 11 stations in the area. A comparison was made with the sediment from a reference site near the Faroe Islands. Polycyclic aromatic hydrocarbons (PAH) and organochlorines were determined in whole sediment and heavy metals and ammonia were analysed in filtered pore water. Toxicity was bioassayed in whole sediment with Nitocra spinipes and Daphnia magna, in pore water with Mytilus edulis larvae and in solvent extracts from sediment with tests measuring etoxyresorufin-O-deethylase (EROD) activity in Oncorhyncus mykiss and rate of denitrification. Sites close to Goteborg and in an area from the Oslo fjord to the Norwegian Trench were most polluted. Sediment from the Faroe Islands was least polluted and also least toxic. Multivariate statistical analysis indicates that the different tests were sensitive to different kinds of pollutants. Effects on mussel larvae correlated strongest with the occurrence of ammonia, manganese, cadmium and PAHs, Nitocra with alpha-hexachlorocyclohexane (HCH) and p,p'-DDD, Daphnia with arsenic and gamma-HCH, fish EROD activity with benzo[ghi]perylene and unknown compounds associated with organic carbon, and denitrification with chlordanes, dieldrin and a few PAHs. The results indicate that sampling sites close to Goteborg are so polluted that harmful effects on the ecosystem probably occur.</t>
  </si>
  <si>
    <t>GOTHENBURG UNIV, DEPT ZOOPHYSIOL, S-41390 GOTHENBURG, SWEDEN; SWEDISH ENVIRONM RES INST, S-10031 STOCKHOLM, SWEDEN; SWEDISH ENVIRONM RES INST, S-40258 GOTHENBURG, SWEDEN</t>
  </si>
  <si>
    <t>University of Gothenburg; IVL Swedish Environmental Research Institute; IVL Swedish Environmental Research Institute</t>
  </si>
  <si>
    <t>Magnusson, K (corresponding author), GOTHENBURG UNIV, KRISTINEBERG MARINE RES STN, S-45034 FISKEBACKSKIL, SWEDEN.</t>
  </si>
  <si>
    <t>1385-1101</t>
  </si>
  <si>
    <t>1873-1414</t>
  </si>
  <si>
    <t>J SEA RES</t>
  </si>
  <si>
    <t>J. Sea Res.</t>
  </si>
  <si>
    <t>10.1016/S1385-1101(96)90749-2</t>
  </si>
  <si>
    <t>http://dx.doi.org/10.1016/S1385-1101(96)90749-2</t>
  </si>
  <si>
    <t>UR702</t>
  </si>
  <si>
    <t>WOS:A1996UR70200021</t>
  </si>
  <si>
    <t>BRYAN, GW; GIBBS, PE; HUMMERSTONE, LG; BURT, GR</t>
  </si>
  <si>
    <t>COPPER, ZINC, AND ORGANOTIN AS LONG-TERM FACTORS GOVERNING THE DISTRIBUTION OF ORGANISMS IN THE FAL ESTUARY IN SOUTHWEST ENGLAND</t>
  </si>
  <si>
    <t>Evidence of long-term metal pollution in the Fal Estuary is provided by analyses of Cu in oyster (Ostrea edulis) communities extending over more than 120 yr and by analyses of Cu and Zn in sediments dating back to 1921. Indications are that levels of Cu pollution from mining have declined very slowly but that Zn pollution has not. In Restronguet Creek, the most heavily polluted area, metal levels in waters and sediments are elevated by orders of magnitude. The invertebrate fauna of the creek is limited, but far richer than might be predicted from laboratory toxicity data. The cockle Cerastoderma edule exemplifies organisms that are excluded from the creek owing to the toxicity of dissolved Cu, whereas Ostrea edulis, by virtue of its innate tolerance to Cu and Zn, grown in the lower reaches. On the other hand, the population of the ragworm Nereis diversicolor, which penetrates into the most heavily polluted areas, is demonstrably far more tolerant of Cu and Zn than populations from clean areas and appears to be a tolerant strain. To a considerable degree, therefore, the distribution of species is dependent not only on the innate ability of some species to tolerate Cu and Zn, but on the capacities of other populations to develop metal resistance and thereby maintain their original range of distribution. Present-day problems in the Fal Estuary appear to stem not only from mining wastes but also from the increased usage of tributyltins in antifouling paints. In the dogwhelk Nucella lapillus, the inidence of imposex (the appearance of a penis and other male characters in females) is virtually 100% at sites along the English Channel coast of southwest England. The degree of imposex is related to the body concentration of hexane-extractable organotin, which includes both tributyltin and dibutyltin fractions. The highest degree of imposex, where the female penis approaches that of the male in size, occurs in the Fal Estuary; also, in some males the penis becomes deformed. Population of dogwhelks have declined dramatically in this estuary, and are also characterised by the presence of relatively fewer females and by the absence of juveniles and egg capsules. Reproductive failure in females is now known to be cused by blockage of the pallial oviduct during the development of imposex.</t>
  </si>
  <si>
    <t>MARINE BIOL ASSOC LAB, CITADEL HILL, PLYMOUTH PL1 2PB, DEVON, ENGLAND.</t>
  </si>
  <si>
    <t>10.2307/1351849</t>
  </si>
  <si>
    <t>http://dx.doi.org/10.2307/1351849</t>
  </si>
  <si>
    <t>M4117</t>
  </si>
  <si>
    <t>WOS:A1987M411700004</t>
  </si>
  <si>
    <t>Rocco, L; Santonastaso, M; Nigro, M; Mottola, F; Costagliola, D; Bernardeschi, M; Guidi, P; Lucchesi, P; Scarcelli, V; Corsi, I; Stingo, V; Frenzilli, G</t>
  </si>
  <si>
    <t>Rocco, L.; Santonastaso, M.; Nigro, M.; Mottola, F.; Costagliola, D.; Bernardeschi, M.; Guidi, P.; Lucchesi, P.; Scarcelli, V.; Corsi, I.; Stingo, V.; Frenzilli, G.</t>
  </si>
  <si>
    <t>Genomic and chromosomal damage in the marine mussel Mytilus galloprovincialis: Effects of the combined exposure to titanium dioxide nanoparticles and cadmium chloride</t>
  </si>
  <si>
    <t>Mytilus galloprovincialis; NanoTiO(2); Cadmium; Genotoxicity; DNA adducts; Metal interactions; Pollution effects</t>
  </si>
  <si>
    <t>AMPLIFIED POLYMORPHIC DNA; TIO2 NANOPARTICLES; IN-VITRO; TOXICITY; GENOTOXICITY; N-TIO2; METAL; BIOACCUMULATION; INVERTEBRATES; CYTOTOXICITY</t>
  </si>
  <si>
    <t>Titanium dioxide nanoparticles (TiO2-NPs) continuously released into waters, may cause harmful effects to marine organisms and their potential interaction with conventional toxic contaminants represents a growing concern for biota. We investigated the genotoxic potential of nanosized titanium dioxide (n-TiO2) (100 mu g L-1) alone and in combination with CdCl2 (100 mu g L-1) in Mytilus galloprovincialis after 4 days of in vivo exposure. RAPD-PCR technique and Micronucleus test were used to study genotoxicity. The results showed genome template stability (GTS) being markedly reduced after single exposure to n-TiO2 and CdCl2. Otherwise, co-exposure resulted in a milder reduction of GTS. Exposure to n-TiO2 was responsible for a significant increase of micronucleated cell frequency in gill tissue, while no chromosomal damage was observed after CdCl2 exposure as well as after combined exposure to both substances. (C) 2015 Elsevier Ltd. All rights reserved.</t>
  </si>
  <si>
    <t>[Rocco, L.; Santonastaso, M.; Mottola, F.; Costagliola, D.; Stingo, V.] Univ Naples 2, Dept Environm Biol &amp; Pharmaceut Sci &amp; Technol, Caserta, Italy; [Nigro, M.; Bernardeschi, M.; Guidi, P.; Lucchesi, P.; Scarcelli, V.; Frenzilli, G.] Univ Pisa, Dept Clin &amp; Expt Med, Pisa, Italy; [Corsi, I.] Univ Siena, Dept Phys Earth &amp; Environm Sci, I-53100 Siena, Italy</t>
  </si>
  <si>
    <t>Universita della Campania Vanvitelli; University of Pisa; University of Siena</t>
  </si>
  <si>
    <t>Rocco, L (corresponding author), Univ Naples 2, Dept Environm Biol &amp; Pharmaceut Sci &amp; Technol, Caserta, Italy.</t>
  </si>
  <si>
    <t>lucia.rocco@unina2.it</t>
  </si>
  <si>
    <t>Rocco, Lucia/AAZ-4615-2020; corsi, ilaria/D-3795-2012</t>
  </si>
  <si>
    <t>ROCCO, Lucia/0000-0001-6250-4798; Santonastaso, Marianna/0000-0002-0445-4136; Mottola, Filomena/0000-0001-9228-9398; costagliola, domenico/0000-0001-6998-2696; Bernardeschi, Margherita/0000-0003-2650-1834; corsi, ilaria/0000-0002-1811-3041</t>
  </si>
  <si>
    <t>Italian Ministry of Research [PRIN2009FHHP2W]</t>
  </si>
  <si>
    <t>Italian Ministry of Research(Ministry of Education, Universities and Research (MIUR))</t>
  </si>
  <si>
    <t>This work was supported by the Italian Ministry of Research (PRIN2009FHHP2W) Marine ecotoxicology of nanomaterials: toxicity and bioaccumulation of nano titanium dioxide in edible species in the presence of metals and dioxin. The authors would like to thank Carmen Catarinella for the laboratory analyses.</t>
  </si>
  <si>
    <t>10.1016/j.marenvres.2015.09.004</t>
  </si>
  <si>
    <t>http://dx.doi.org/10.1016/j.marenvres.2015.09.004</t>
  </si>
  <si>
    <t>CW1CA</t>
  </si>
  <si>
    <t>WOS:000364726000016</t>
  </si>
  <si>
    <t>Olivier, F; Ridd, M; Klumpp, D</t>
  </si>
  <si>
    <t>The use of transplanted cultured tropical oysters (Saccostrea commercialis) to monitor Cd levels in North Queensland coastal waters (Australia)</t>
  </si>
  <si>
    <t>cadmium; metals; oysters; biomonitoring; biomonitors; marine environment</t>
  </si>
  <si>
    <t>CRASSOSTREA-VIRGINICA; POTAMOCORBULA-AMURENSIS; METAL CONCENTRATIONS; SEASONAL-VARIATION; MARINE BIVALVES; TRACE-ELEMENTS; CADMIUM UPTAKE; CLEVELAND-BAY; HEAVY-METALS; ACCUMULATION</t>
  </si>
  <si>
    <t>Bivalves are commonly used to detect metal pollution in the marine environment. Commercially cultured Milky oysters (Saccostrea commercialis) were transplanted in various sites along the North Queensland coast and analyzed for two metals of potentially anthropogenic origin (Cd, Zn). To provide additional information, naturally occurring Black Lip oysters (Saccostrea echinata) were also collected at the transplantation sites. The study demonstrated that the oysters species transplanted are good bioindicators of these metal concentrations in tropical waters, sensitive to variations in the environment at concentrations which are much smaller than pollution signals commonly reported for temperate waters. Three transplant experiments were carried out from May 1999 to February 2000. Milky oysters transplanted to offshore areas (Orpheus Is.. Kelso Reef) accumulated Cd in the soft parts whereas oysters sampled from cages placed in Ross Creek and the Herbert River estuaries showed a decrease in Cd concentration, which resulted from an increase in dry weight. Dry weight appeared to be an important covariant affecting Cd concentration in the oysters whereas it does not unambiguously affect Zn concentrations. For the duration of the experiments, oysters sampled from the Magnetic Is. reference site showed effectively constant Cd concentrations and total Cd contents which indicates that any seasonal cycle affecting metal concentration is weak. It was found that Cd accumulation in oysters increased as ambient dissolved Cd concentration decreased, from which it was concluded that for these oysters, the predominant source of Cd was from the particulate phase rather than the dissolved phase. (C) 2002 Elsevier Science Ltd. All rights reserved.</t>
  </si>
  <si>
    <t>James Cook Univ N Queensland, Sch Biomed &amp; Mol Sci, Townsville, Qld 4810, Australia; Australian Inst Marine Sci, Townsville, Qld 4810, Australia</t>
  </si>
  <si>
    <t>James Cook University; Australian Institute of Marine Science</t>
  </si>
  <si>
    <t>James Cook Univ N Queensland, Sch Biomed &amp; Mol Sci, Townsville, Qld 4810, Australia.</t>
  </si>
  <si>
    <t>michael.ridd@jcu.edu.au</t>
  </si>
  <si>
    <t>PII S0025-326X(02)00157-1</t>
  </si>
  <si>
    <t>10.1016/S0025-326X(02)00157-1</t>
  </si>
  <si>
    <t>http://dx.doi.org/10.1016/S0025-326X(02)00157-1</t>
  </si>
  <si>
    <t>WOS:000179296900020</t>
  </si>
  <si>
    <t>HUTTON, M</t>
  </si>
  <si>
    <t>ACCUMULATION OF HEAVY-METALS AND SELENIUM IN 3 SEABIRD SPECIES FROM THE UNITED-KINGDOM</t>
  </si>
  <si>
    <t>The levels of Cd, Hg and Pb, Zn and Se were measured in selected tissues of oystercatcher Haematopus ostralegus, herring gull Larus argentatus and great skua Catharacta skua. Interspecific differences existed in the contents of toxic metals and these were related to the feeding behavior of the seabirds and to the extent of habitat contamination. Cd levels in tissues of great skua and oystercatcher increased with age and kidney values in female oystercatchers were higher than in males. A Cd-binding protein with properties similar to metallothionein was present in great skua kidney. Positive correlations were obtained between Zn and Cd in kidney and between Se and Hg in kidney and liver. These associations may reflect antagonistic interactions between Zn on Cd toxicity and Se on Hg toxicity. The suitability of tissues selected for heavy metal monitoring programs in marine birds was discussed briefly.</t>
  </si>
  <si>
    <t>UNIV LONDON, CHELSEA COLL, MONITORING &amp; ASSESSMENT RES CTR, LONDON SW1O 0QX, ENGLAND.</t>
  </si>
  <si>
    <t>10.1016/0143-1471(81)90043-X</t>
  </si>
  <si>
    <t>http://dx.doi.org/10.1016/0143-1471(81)90043-X</t>
  </si>
  <si>
    <t>MH265</t>
  </si>
  <si>
    <t>WOS:A1981MH26500005</t>
  </si>
  <si>
    <t>Monteduro, RA; Pellizzato, F; Sperni, L; Pavoni, B</t>
  </si>
  <si>
    <t>Monteduro, R. A.; Pellizzato, F.; Sperni, L.; Pavoni, B.</t>
  </si>
  <si>
    <t>Contamination in Mytilus galloprovincialis by chlorinated hydrocarbons (PCBs and pesticides), PAHs and heavy metals in the lagoon of venice</t>
  </si>
  <si>
    <t>POLYCYCLIC AROMATIC COMPOUNDS</t>
  </si>
  <si>
    <t>dietary intake; lagoon of Venice; Mytilus galloprovincialis; organochlorine pesticides; PAHs; PCBs</t>
  </si>
  <si>
    <t>MUSSEL WATCH; SEDIMENTS; POLLUTION; ACCUMULATION; GROWTH; EDULIS; PCDFS; PCDDS; AREA; SEA</t>
  </si>
  <si>
    <t>Polychlorobiphenyls, chlorinated pesticides, polycyclic aromatic hydrocarbons and heavy metals ( Cd, Pb, Cr, Ni, Hg, Cu, Fe, Zn) were measured in the entire tissue of the mussel Mytilus galloprovincialis, collected at five sites in the Lagoon of Venice and one reference site outside the Lagoon, in the Adriatic Sea. Total concentrations ranged from 57.5 +/- 0.2 to 779 +/- 11 ng g(-1) d. w. for PAHs, from 52 +/- 4 to 286 +/- 1 ng g(-1) d. w. for PCBs, and from 2.6 +/- 0.8 to 37 +/- 4 ng g(-1) d. w. for pesticides, indicating significantly higher contamination in the central part of the Lagoon with respect to the northern and southern ones. As regards heavy metals, only Cd presented a pattern similar to that of organic compounds. The other metals showed peculiar distribution in the six sites of the Lagoon in relation to their sources. The risk to human health as a result of eating these mussels was evaluated by comparison of daily dietary intake with toxicological threshold limits. In mussels from Porto Marghera, Cd, hexachlorobenzene and pyrene had concentrations potentially harmful to human health.</t>
  </si>
  <si>
    <t>Univ Ca Foscari Venice, Dept Environm Sci, I-30123 Venice, Italy</t>
  </si>
  <si>
    <t>Monteduro, RA (corresponding author), Univ Ca Foscari Venice, Dept Environm Sci, Calle Larga S Marta, I-30123 Venice, Italy.</t>
  </si>
  <si>
    <t>1040-6638</t>
  </si>
  <si>
    <t>1563-5333</t>
  </si>
  <si>
    <t>POLYCYCL AROMAT COMP</t>
  </si>
  <si>
    <t>Polycycl. Aromat. Compd.</t>
  </si>
  <si>
    <t>10.1080/10406630701624416</t>
  </si>
  <si>
    <t>http://dx.doi.org/10.1080/10406630701624416</t>
  </si>
  <si>
    <t>Chemistry, Organic</t>
  </si>
  <si>
    <t>223UF</t>
  </si>
  <si>
    <t>WOS:000250397100004</t>
  </si>
  <si>
    <t>Vasanthi, LA; Revathi, P; Rajendran, RB; Munuswamy, N</t>
  </si>
  <si>
    <t>Vasanthi, Lourduraj A.; Revathi, Peranandam; Rajendran, Ramaswamy Babu; Munuswamy, Natesan</t>
  </si>
  <si>
    <t>Detection of metal induced cytopathological alterations and DNA damage in the gills and hepatopancreas of green mussel Perna viridis from Ennore Estuary, Chennai, India</t>
  </si>
  <si>
    <t>Perna viridis; Heavy metals; DNA damage; TEM; Cytopathology; Biomarker</t>
  </si>
  <si>
    <t>LONG-TERM EXPOSURE; MYTILUS-EDULIS-L; COMET ASSAY; SURFACE-MORPHOLOGY; OXIDATIVE STRESS; EPITHELIAL-CELL; BRACKISH-WATER; STRAND BREAKS; BLUE MUSSEL; TRACE-METAL</t>
  </si>
  <si>
    <t>This study report the impact of heavy metals on cytopathology and DNA damage in the gills and hepatopancreas of Perna viridis collected from Ennore estuary and the Kovalam coastal waters. Principal Component Analysis (PCA) showed significant differences among all variables at the scale of plots. The ultrastructural alterations such as lack of microvilli, distorted mitochondria, electron dense particles and the presence of large mucous droplets were common in the gill and hepatopancreatic cells of mussels from Ennore estuary. However, the gill and hepatopancreatic cells of P. viridis from Kovalam revealed normal compartmentalization of cells. The percentage of tail DNA in the mussels from Ennore estuary was recorded as 12.44 and 10.14% in the gills and hepatopancreas respectively. Overall, it has been demonstrated that the Comet and cytopathological assays are useful biomarkers to assess the level of pollution and it provide reliable information on ecotoxicology and genotoxicology of coastal waters. (C) 2017 Elsevier Ltd. All rights reserved.</t>
  </si>
  <si>
    <t>[Vasanthi, Lourduraj A.; Revathi, Peranandam; Rajendran, Ramaswamy Babu] Bharathidasan Univ, Sch Environm Sci, Dept Environm Biotechnol, Tiruchirappalli 620024, Tamil Nadu, India; [Munuswamy, Natesan] Univ Madras, Dept Zool, Guindy Campus, Chennai 600025, Tamil Nadu, India</t>
  </si>
  <si>
    <t>Bharathidasan University; University of Madras</t>
  </si>
  <si>
    <t>Vasanthi, LA (corresponding author), Bharathidasan Univ, Sch Environm Sci, Dept Environm Biotechnol, Tiruchirappalli 620024, Tamil Nadu, India.</t>
  </si>
  <si>
    <t>arockiavasanthi@gmail.com</t>
  </si>
  <si>
    <t>Ramaswamy, Babu/AAP-3875-2020</t>
  </si>
  <si>
    <t>Lourduraj, Vasanthi/0000-0001-9487-1787; Ramaswamy, Babu Rajendran/0000-0003-0997-5907; Natesan, Munuswamy/0009-0002-1079-5495</t>
  </si>
  <si>
    <t>Department of Science and Technology, Govt. of India [SR/WOS-A/LS-403/2013]</t>
  </si>
  <si>
    <t>Department of Science and Technology, Govt. of India(Department of Science &amp; Technology (India))</t>
  </si>
  <si>
    <t>The authors gratefully acknowledge the financial grant from Department of Science and Technology, Govt. of India (DST WOS-A No.SR/WOS-A/LS-403/2013 (G) dated 03.03.2014). We also express our immense gratitude to Dr. T. Satish, for his assistance in data analysis using statistical package.</t>
  </si>
  <si>
    <t>10.1016/j.marpolbul.2017.01.040</t>
  </si>
  <si>
    <t>http://dx.doi.org/10.1016/j.marpolbul.2017.01.040</t>
  </si>
  <si>
    <t>WOS:000399258600018</t>
  </si>
  <si>
    <t>Mille, T; Wessel, N; Brun, M; Bustamante, P; Chouvelon, T; Méndez-Fernandez, P; Poiriez, G; Spitz, J; Mauffret, A</t>
  </si>
  <si>
    <t>Mille, Tiphaine; Wessel, Nathalie; Brun, Melanie; Bustamante, Paco; Chouvelon, Tiphaine; Mendez-Fernandez, Paula; Poiriez, Gauthier; Spitz, Jerome; Mauffret, Aourell</t>
  </si>
  <si>
    <t>Development of an integrated indicator to assess chemical contamination in different marine species: The case of mercury on the French Atlantic continental shelf</t>
  </si>
  <si>
    <t>Integrated assessment; Contaminants; Marine; Monitoring; Biota</t>
  </si>
  <si>
    <t>HARBOR PORPOISE; TRACE-ELEMENTS; ECOSYSTEM; DOLPHIN; METALS; DIET; FOOD; METHYLMERCURY; ACCUMULATION; EXPOSURE</t>
  </si>
  <si>
    <t>Good Environmental Status (GES) for Descriptor 8 (D8) of the Marine Strategy Framework Directive (MSFD) is considered to be achieved when concentrations of contaminants are at levels not giving rise to pollution effects. This study proposes a framework to assess GES in marine waters adjacent to France, including four groups of species (bivalves, fish, birds and mammals) living on the continental shelf and covering different dimensions of the marine environment. This framework is applied to mercury (Hg) in the three marine regions along the French Atlantic coast and includes two assessment types: i) an absolute assessment by comparing contamination levels with environmental thresholds, and ii) a relative assessment by comparing contamination levels over time, performed for bivalves and mammals that had long time-series available. Mercury concentrations were higher than environmental thresholds for bivalves and fish in all the three studied regions. Plus, they significantly increased since the 2000s for most bivalve stations and for the common dolphin Delphinus delphis. Our results therefore indicate that Hg concentrations have increased in marine waters and have reached levels possibly giving rise to pollution effects in biota from the three marine regions. The present study also highlighted the complementarity of monitoring Hg concentrations in each group of species and each type of assessment, making it possible to propose a conceptual framework for assessing the environmental pressure of bioaccumulated and biomagnified contaminants over the continental shelf.</t>
  </si>
  <si>
    <t>[Mille, Tiphaine; Chouvelon, Tiphaine; Mauffret, Aourell] Ifremer, Unite Contaminat Chim Ecosyst Marins CCEM, Rue Ile Yeu, F-44980 Nantes, France; [Wessel, Nathalie; Brun, Melanie] Ifremer, Serv Valorisat Informat Gest Integre &amp; Surveillanc, Rue Ile Yeu, F-44980 Nantes, France; [Chouvelon, Tiphaine; Mendez-Fernandez, Paula; Spitz, Jerome] La Rochelle Univ, CNRS, UAR 3462, Observ Pelagis, 5 Allee Ocean, F-17000 La Rochelle, France; [Bustamante, Paco; Poiriez, Gauthier] La Rochelle Univ, Littoral Environm &amp; Soc LIENSs, CNRS, UMR 7266, 2 Rue Olympe Gouges, F-17000 La Rochelle, France; [Bustamante, Paco] Inst Univ France IUF, 1 Rue Descartes, F-75005 Paris, France; [Spitz, Jerome] La Rochelle Univ, Ctr Etud Biol Chize CEBC, CNRS, UMR 7372, 405 Route Prisse Charriere, F-79360 Villiers En Bis, France</t>
  </si>
  <si>
    <t>Ifremer; Ifremer; Centre National de la Recherche Scientifique (CNRS); Centre National de la Recherche Scientifique (CNRS); CNRS - Institute of Ecology &amp; Environment (INEE); Institut Universitaire de France; Centre National de la Recherche Scientifique (CNRS); CNRS - Institute of Ecology &amp; Environment (INEE)</t>
  </si>
  <si>
    <t>Mauffret, A (corresponding author), Ifremer, Unite Contaminat Chim Ecosyst Marins CCEM, Rue Ile Yeu, F-44980 Nantes, France.</t>
  </si>
  <si>
    <t>aourell.mauffret@ifremer.fr</t>
  </si>
  <si>
    <t>SPITZ, Jerome/JXN-8694-2024; Bustamante, Paco/G-5833-2011</t>
  </si>
  <si>
    <t>Brun, Melanie/0000-0002-4835-6976; Wessel, Nathalie/0000-0001-5984-5639; Bustamante, Paco/0000-0003-3877-9390; SPITZ, Jerome/0000-0003-2729-2413; Mauffret, Aourell/0000-0002-6007-7849</t>
  </si>
  <si>
    <t>French Ministry of Ecological Transition; French Agency for Biodiversity</t>
  </si>
  <si>
    <t>Authors gratefully acknowledge the French Mussel Watch program ROCCH, its coordinator Anne Grouhel-Pellouin and all the personnel from the numerous LER IFREMER laboratories for their continuing and systematic collection of samples. Authors express their gratitude to all the people involved in fish sample collection and the technical and scientific crews of R/V Thalassa for their work during EVHOE and CGFS surveys. We are grateful to Arianne Dufour, Nathalie Marchond, Petru Jitary from ANSES for fish sample preparation and Hg analyses. We also wish to warmly thank all members of the French national stranding network (RNE) , all members of the Pelagis observatory for their continuous effort in collecting data on stranded marine mammals and Matthieu Authier for the development of temporal trend in Hg for mammals. In addition, we are grateful to B. Lebreton, G. Guillou and F. Aubert from the platform Analyses Isotopiques of the Littoral Envi-ronnement et Socie ' te ' s (LIENSs) laboratory, as well as C. Churlaud et M. Brault-Favrou from the platform Analyses Ele ' mentaires of the LIENSs laboratory for their help with chemical analyses. The Institut Uni-versitaire de France (IUF) is acknowledged for its support to Paco &amp; nbsp;Bustamante as a Senior Member. The authors thank the French Ministry of Ecological Transition and the French Agency for Biodiversity which financially supported this study.r Bustamante as a Senior Member. The authors thank the French Ministry of Ecological Transition and the French Agency for Biodiversity which financially supported this study.</t>
  </si>
  <si>
    <t>10.1016/j.scitotenv.2023.165753</t>
  </si>
  <si>
    <t>http://dx.doi.org/10.1016/j.scitotenv.2023.165753</t>
  </si>
  <si>
    <t>S1VY1</t>
  </si>
  <si>
    <t>WOS:001069129800001</t>
  </si>
  <si>
    <t>Paul-Pont, I; de Montaudouin, X; Gonzalez, P; Soudant, P; Baudrimont, M</t>
  </si>
  <si>
    <t>Paul-Pont, Ika; de Montaudouin, Xavier; Gonzalez, Patrice; Soudant, Philippe; Baudrimont, Magalie</t>
  </si>
  <si>
    <t>How life history contributes to stress response in the Manila clam Ruditapes philippinarum</t>
  </si>
  <si>
    <t>Ruditapes philippinarum; Cadmium; Trematode parasite; Metallothionein; Immunity; Life history</t>
  </si>
  <si>
    <t>COCKLE CERASTODERMA-EDULE; ANTIOXIDANT ENZYME-ACTIVITIES; MUSSEL PERNA-VIRIDIS; CRASSOSTREA-VIRGINICA; HEAVY-METALS; METALLOTHIONEIN SYNTHESIS; TREMATODE PARASITES; GENETIC ADAPTATION; LIPID-PEROXIDATION; DEFENSE-MECHANISMS</t>
  </si>
  <si>
    <t>Within the last decade, numerous studies have investigated the role of environmental history on tolerance to stress of many organisms. This study aims to assess if Manila clams Ruditapes philippinarum may react differently to cadmium exposure and trematode parasite infection (Himasthla elongata) depending on their origin and environmental history in Arcachon Bay (France). Clams were exposed to Cd (15 A mu g L-1) and parasites (25 cercariae per clam), alone or in combination, at 15A degrees C under controlled laboratory conditions for 7 days. Metal accumulation and success of parasite infestation were examined, also physiological parameters such as metallothionein response and hemocyte counts and activities (phagocytosis, oxidative burst, viability, and adhesion). Sensitivity of Manila clams to both stressors differed from one site to another, suggesting local adaptation of populations. Clams from the more parasitized site presented better resistance to trematodes than the others in terms of first line defense, i.e., avoidance of infection. On the other hand, clams that adapted to chronic Cd contamination showed better detoxification mechanisms, both in a faster transfer of metal from gills to visceral mass and in a higher metallothionein baseline, than clams which had never experienced Cd contamination. Finally, hemocyte concentration and viability differed between clam origin site, highlighting the fact that populations living in different environments may adapt their physiological and biochemical responses to environmental stressors. It is therefore important to be cautious when extrapolating results from field studies of one species and one site, if the life history of the organisms is not taken into account.</t>
  </si>
  <si>
    <t>[Paul-Pont, Ika; de Montaudouin, Xavier; Gonzalez, Patrice; Baudrimont, Magalie] Univ Bordeaux 1, Stn Marine Arcachon, UMR CNRS 5805, F-33120 Arcachon, France; [Soudant, Philippe] Univ Bretagne Occidentale, IUEM, LEMAR UMR CNRS 6539, F-29280 Plouzane, France</t>
  </si>
  <si>
    <t>Centre National de la Recherche Scientifique (CNRS); CNRS - National Institute for Earth Sciences &amp; Astronomy (INSU); Universite de Bordeaux; Universite de Bretagne Occidentale; Institut Universitaire Europeen de la Mer (IUEM); Centre National de la Recherche Scientifique (CNRS); Ifremer; Institut de Recherche pour le Developpement (IRD)</t>
  </si>
  <si>
    <t>Paul-Pont, I (corresponding author), Univ Bordeaux 1, Stn Marine Arcachon, UMR CNRS 5805, Pl Dr Peyneau, F-33120 Arcachon, France.</t>
  </si>
  <si>
    <t>i.paulpont@epoc.u-bordeaux1.fr</t>
  </si>
  <si>
    <t>Soudant, Philippe/0000-0003-3090-5612; Baudrimont, Magalie/0000-0001-9901-8435; Paul-Pont, Ika/0000-0003-3734-0909; Gonzalez, Patrice/0000-0003-2628-2993</t>
  </si>
  <si>
    <t>Region Aquitaine; French National Research Agency</t>
  </si>
  <si>
    <t>Region Aquitaine(Region Nouvelle-Aquitaine); French National Research Agency(Agence Nationale de la Recherche (ANR))</t>
  </si>
  <si>
    <t>This work was carried out with the financial support of the Region Aquitaine and the French National Research Agency with the funds of the multistress project. The authors are grateful to sailor Francis Prince, to Pascal Lebleu, Henri Bouillard, and students Frances Haynes and Zeljka Trumbic, for their valuable help in the field, for their assistance in the laboratory, and for all technical support before and during the experiment.</t>
  </si>
  <si>
    <t>10.1007/s11356-009-0283-5</t>
  </si>
  <si>
    <t>http://dx.doi.org/10.1007/s11356-009-0283-5</t>
  </si>
  <si>
    <t>WOS:000276656300018</t>
  </si>
  <si>
    <t>Ecocytological and toxicological responses to copper in Perna viridis (L.) (Bivalvia: Mytilidae) haemocyte lysosomal membranes</t>
  </si>
  <si>
    <t>ecocytology; toxicology; haemocytes; lysosomal membrane; biomarker</t>
  </si>
  <si>
    <t>MYTILUS-EDULIS-L; DIGESTIVE CELLS; HONG-KONG; IN-VITRO; MUSSELS; STRESS; DESTABILIZATION; POLLUTION; SALINITY; DAMAGE</t>
  </si>
  <si>
    <t>Bivalve lysosomes are sites of intense intracellular digestion. Lysosomes accumulate many pollutants to high concentrations resulting in membrane destabilisation. Consequently, the elucidation of lysosomal membrane integrity utilising the neutral red assay has been used to good effect in pollution monitoring. Naturally occurring environmental stressors also have the potential to destabilise the membrane. Exposure to elevated copper concentrations and extremes of temperature, salinity, hypoxia, emersion and inadequate ration were investigated in haemocyte lysosomes from the tropical bivalve, Perna viridis. Elevated copper concentrations destabilised the membrane although responses were not entirely related to the exposure-concentration. Environmental stressors induced through higher thermal regimes (29 degreesC and 35 degreesC), hyposalinity (10-25 parts per thousand) and prolonged emersion elicited significant lysosomal membrane destabilisation. Hypoxia and inadequate ration did not significantly effect membrane stability. The haemocyte lysosomal membranes were generally resistant to exogenous alterations within normal ranges and only showed significant labilisation at environmental extremes, P. viridis haemocyte lysosomal membrane biomarkers should, therefore, prove robust to natural stressors when deployed in marine monitoring programmes and thus prove a valuable, rapid, cost-effective cytological marker of pollution. (C) 2001 Elsevier Science Ltd. All rights reserved.</t>
  </si>
  <si>
    <t>Univ Hong Kong, Swire Inst Marine Sci, Dept Ecol &amp; Biodivers, Hong Kong, Hong Kong, Peoples R China</t>
  </si>
  <si>
    <t>Nicholson, S (corresponding author), Univ Hong Kong, Swire Inst Marine Sci, Dept Ecol &amp; Biodivers, Cape Aguilar, Hong Kong, Hong Kong, Peoples R China.</t>
  </si>
  <si>
    <t>4-5</t>
  </si>
  <si>
    <t>10.1016/S0045-6535(01)00039-X</t>
  </si>
  <si>
    <t>http://dx.doi.org/10.1016/S0045-6535(01)00039-X</t>
  </si>
  <si>
    <t>480FT</t>
  </si>
  <si>
    <t>WOS:000171451900001</t>
  </si>
  <si>
    <t>Qian, G; Bao, YB; Li, CH; Xie, QQ; Lu, M; Lin, ZH</t>
  </si>
  <si>
    <t>Qian, Guang; Bao, Yongbo; Li, Chenghua; Xie, Qingqing; Lu, Meng; Lin, Zhihua</t>
  </si>
  <si>
    <t>Nfu1 Mediated ROS Removal Caused by Cd Stress in Tegillarca granosa</t>
  </si>
  <si>
    <t>blood clam; Nfu1; Fe-S clusters; ROS; Cu/ZnSOD; cadmium</t>
  </si>
  <si>
    <t>IRON-SULFUR CLUSTER; OXIDATIVE STRESS; ANTIOXIDANT ENZYMES; LIPID-PEROXIDATION; MYTILUS-GALLOPROVINCIALIS; SACCHAROMYCES-CEREVISIAE; PROTEIN BIOGENESIS; METAL POLLUTION; MESSENGER-RNA; CADMIUM</t>
  </si>
  <si>
    <t>The blood clam Tegillarca granosa, a eukaryotic bottom-dwelling bivalve species has a strong ability to tolerate and accumulate cadmium. In our previous study, Nfu1 (iron-sulfur cluster scaffold protein), which is involved in Fe-S cluster biogenesis, was shown to be significantly up-regulated under Cd stress, as determined by proteomic analysis. To investigate the function of Nfu1 in cadmium (Cd) detoxification, the function of blood clam Nfu1 (designated as Tg-Nfu1) was investigated by integrated molecular and protein approaches. The full-length cDNA of Tg-Nfu1 is 1167 bp and encodes a protein of 272 amino acid residues. The deduced Tg-Nfu1 protein is 30 kDa contains a conserved Nfu-N domain and a Fe-S cluster binding motif (C-X-X-C). qRT-PCR analysis revealed that Tg-Nfu1 was ubiquitously expressed in all examined tissues; it was up-regulated in the hepatopancreas and gill, and kept a high level from 9 to 24 h after Cd exposure (250 mu g/L). Western blot analysis further revealed that the Tg-Nfu1 protein was also highly expressed in the hepatopancreas and gill after 24 h of Cd stress. Further functional analysis showed that the production of ROS was increased and Cu/ZnSOD activity was inhibited in blood clam, treated with the specific Nfu1 siRNA and Cd stress, respectively. These results suggest that Tg-Nfu1 could protect blood clam from oxidative damage caused by Cd stress.</t>
  </si>
  <si>
    <t>[Qian, Guang; Li, Chenghua; Xie, Qingqing; Lu, Meng] Ningbo Univ, Sch Marine Sci, Ningbo, Zhejiang, Peoples R China; [Qian, Guang; Bao, Yongbo; Xie, Qingqing; Lin, Zhihua] Zhejiang Wanli Univ, Zhejiang Key Lab Aquat Germplasm Resources, Coll Biol &amp; Environm Sci, Ningbo, Zhejiang, Peoples R China</t>
  </si>
  <si>
    <t>Ningbo University; Zhejiang Wanli University</t>
  </si>
  <si>
    <t>Bao, YB; Lin, ZH (corresponding author), Zhejiang Wanli Univ, Zhejiang Key Lab Aquat Germplasm Resources, Coll Biol &amp; Environm Sci, Ningbo, Zhejiang, Peoples R China.</t>
  </si>
  <si>
    <t>bobbao2001@gmail.com; zhihua9988@126.com</t>
  </si>
  <si>
    <t>National Science Foundation of China [31672678]; Zhejiang Province Public Technology Applied Research Projects [2016C33090]; Natural Science Foundation of Ningbo [2015A610258]; Zhejiang Major Program of Science and Technology [2016C02055-9]; K. C. Wong Magna Fund at Ningbo University</t>
  </si>
  <si>
    <t>National Science Foundation of China(National Natural Science Foundation of China (NSFC)); Zhejiang Province Public Technology Applied Research Projects; Natural Science Foundation of Ningbo; Zhejiang Major Program of Science and Technology; K. C. Wong Magna Fund at Ningbo University</t>
  </si>
  <si>
    <t>This research was supported by the National Science Foundation of China (31672678), Zhejiang Province Public Technology Applied Research Projects (2016C33090), Natural Science Foundation of Ningbo (2015A610258), Zhejiang Major Program of Science and Technology (2016C02055-9) and the K. C. Wong Magna Fund at Ningbo University.</t>
  </si>
  <si>
    <t>DEC 18</t>
  </si>
  <si>
    <t>10.3389/fphys.2017.01061</t>
  </si>
  <si>
    <t>http://dx.doi.org/10.3389/fphys.2017.01061</t>
  </si>
  <si>
    <t>FQ2BP</t>
  </si>
  <si>
    <t>WOS:000418161900002</t>
  </si>
  <si>
    <t>You, WJ; Hong, MZ; Zhang, HF; Wu, QP; Zhuang, ZY; Yu, Y</t>
  </si>
  <si>
    <t>You, Weijie; Hong, Mingzhu; Zhang, HaiFeng; Wu, Qiuping; Zhuang, Zanyong; Yu, Yan</t>
  </si>
  <si>
    <t>Functionalized calcium silicate nanofibers with hierarchical structure derived from oyster shells and their application in heavy metal ions removal</t>
  </si>
  <si>
    <t>PHYSICAL CHEMISTRY CHEMICAL PHYSICS</t>
  </si>
  <si>
    <t>AQUEOUS-SOLUTIONS; ADSORPTION; ADSORBENT; NANOPARTICLES; PERFORMANCE; BIOSORBENT; NANOTUBES; SORBENTS; DESIGN; CU(II)</t>
  </si>
  <si>
    <t>Inorganic hierarchical nanostructures have remarkable potential applications in environmental metal remediation; however, their applications usually suffer from low capacity, high cost, and difficulties in the recycling of adsorbents. We previously reported a facile strategy to synthesize acid-insoluble calcium silicate hydrates (CSH) from oyster shells, a representative kind of biowaste. However, little is known of the structure, size, and morphology of the as-prepared CSH, which hampers the improvement of their adsorption capacities. In this work, systematic investigation of the structures of as-generated CSH demonstrate that they have a hierarchically porous structure composed of thin nano-sheets, where each nano-sheet is assembled by nano-fibers with width of around ten nanometers. The hierarchical nanostructures with pore size of similar to 12 nm provide a significant amount of active sites to graft polyethyleneimine (PEI), which enables the efficient extraction of both Cu(II) cations and Cr(VI) anions from the aqueous solution. Batch experiments further indicate that the PEI-modified PCSH exhibit a maximum adsorption capacity of 203 and 256 mg g(-1) for Cu(II) and Cr(VI), respectively, much higher than that of CSH, OS and many other adsorbents in literature. The adsorption of Cu(II) and Cr(VI) proved to be spontaneous and exothermic. Combining the pH-dependent experiments with X-ray photoelectron spectroscopy analysis, the underlying mechanism is discussed. PCSH derived from OS biowaste maintains an efficient extraction ability toward Cu(II) and Cr(VI) after five adsorption-desorption cycles. It is also applicable for treating various kinds of heavy metal ions and organic pollutants, showing potentially wide applications in water treatment.</t>
  </si>
  <si>
    <t>[You, Weijie; Hong, Mingzhu; Zhang, HaiFeng; Wu, Qiuping; Zhuang, Zanyong; Yu, Yan] Fujian Prov Univ, Fuzhou Univ, Key Lab Ecomat Adv Technol, Fuzhou, Peoples R China; [You, Weijie; Hong, Mingzhu; Zhang, HaiFeng; Wu, Qiuping; Zhuang, Zanyong; Yu, Yan] Fuzhou Univ, Coll Mat Sci &amp; Engn, New Campus, Minhou 350108, Fujian Province, Peoples R China</t>
  </si>
  <si>
    <t>Fuzhou University; Fuzhou University</t>
  </si>
  <si>
    <t>Zhuang, ZY; Yu, Y (corresponding author), Fujian Prov Univ, Fuzhou Univ, Key Lab Ecomat Adv Technol, Fuzhou, Peoples R China.;Zhuang, ZY; Yu, Y (corresponding author), Fuzhou Univ, Coll Mat Sci &amp; Engn, New Campus, Minhou 350108, Fujian Province, Peoples R China.</t>
  </si>
  <si>
    <t>zyzhuang@fzu.edu.cn; yuyan_1972@126.com</t>
  </si>
  <si>
    <t>zhang, lu/KGL-6144-2024; Yu, Yan/GYV-4514-2022; Zhuang, Zanyong/P-1421-2016</t>
  </si>
  <si>
    <t>Zhuang, Zanyong/0000-0002-6367-3726</t>
  </si>
  <si>
    <t>National Natural Science Foundation of China [51102047, 51472050, 51402295]</t>
  </si>
  <si>
    <t>This work was financially supported by the National Natural Science Foundation of China (No. 51102047, 51472050 and 51402295).</t>
  </si>
  <si>
    <t>1463-9076</t>
  </si>
  <si>
    <t>1463-9084</t>
  </si>
  <si>
    <t>PHYS CHEM CHEM PHYS</t>
  </si>
  <si>
    <t>Phys. Chem. Chem. Phys.</t>
  </si>
  <si>
    <t>JUN 21</t>
  </si>
  <si>
    <t>10.1039/c6cp01199c</t>
  </si>
  <si>
    <t>http://dx.doi.org/10.1039/c6cp01199c</t>
  </si>
  <si>
    <t>DP1IF</t>
  </si>
  <si>
    <t>WOS:000378243000013</t>
  </si>
  <si>
    <t>WARD, RE</t>
  </si>
  <si>
    <t>METAL CONCENTRATIONS AND DIGESTIVE GLAND LYSOSOMAL STABILITY IN MUSSELS FROM HALIFAX INLET, CANADA</t>
  </si>
  <si>
    <t>Mussels (Mytilus edulis) from the Halifax Inlet contained copper, lead, and zinc in concentrations ranging from 13.7-154.3, 3.1-12.1 and 108.8-552.0 .mu.g g-1 dry wt, respectively. Some of the variation in tissue concentrations could be attributed to the proximity of sampling sites to point sources such as sewage discharge points. In non-reproducing mussels, the stability of digestive gland lysosomal membranes was usually lower in samples containing high Zn concentrations.</t>
  </si>
  <si>
    <t>DALHOUSIE UNIV, SCH RESOURCE &amp; ENVIRONM STUDIES, HALIFAX B3H 3E2, NS, CANADA</t>
  </si>
  <si>
    <t>10.1016/0025-326X(90)90341-5</t>
  </si>
  <si>
    <t>http://dx.doi.org/10.1016/0025-326X(90)90341-5</t>
  </si>
  <si>
    <t>DG807</t>
  </si>
  <si>
    <t>WOS:A1990DG80700006</t>
  </si>
  <si>
    <t>Tanguy, A; Mura, C; Moraga, D</t>
  </si>
  <si>
    <t>Cloning of a metallothionein gene and characterization of two other cDNA sequences in the Pacific oyster Crassostrea gigas (CgMT1)</t>
  </si>
  <si>
    <t>metallothionein; detoxification; gene sequence; expression; polymorphism</t>
  </si>
  <si>
    <t>DROSOPHILA-MELANOGASTER; CAENORHABDITIS-ELEGANS; MESSENGER-RNA; EXPRESSION; INDUCTION; EXPOSURE; QUANTIFICATION; POLYMORPHISMS; PURIFICATION; ELEMENTS</t>
  </si>
  <si>
    <t>Metallothionein (MT) genes encode essential metal-binding proteins involved in metallic homeostasis and detoxification in living organisms. Here, we describe the structure of the first Pacific oyster Crassostrea gigas metallothionein (CgMT1) gene and the sequences of two other MT cDNA. The CgMT1 gene sequence contains three coding exons plus a 5' entirely non-coding exon, and the predicted protein contains 21 cysteine residues organized in Cys-X-Cys motifs as classically described for MTs, The three cDNA sequences present few substitutions in either coding sequence or UTRs. Induction of these MT-mRNA in heavy metal-treated oysters (i.e. cadmium) was confirmed by Northern blot analysis and RT-PCR and suggests a potential specific tissue expression rate. Southern blot analysis suggested the presence of multiple CgMT genes, and allowed the detection of restriction fragment length polymorphisms (RFLPs). Although the CgMT1 coding sequence showed 30-73% nucleotide identities with known sequences in other mollusks, it included the specific motif Cys-X-Cys-X(3)-Cys-Thr-Gly-X-X-X-Cys-X-Cys-X(5)-Cys-X-Cys-Lys found in Mollusk family 2. Marine bivalves are commonly used as pollution bioindicators, thus the development of genetic markers based on CgMT1 polymorphism will allow a monitoring of heavy metal exposure in anthropogenically disturbed ecosystems. (C) 2001 Elsevier Science B.V. All rights reserved.</t>
  </si>
  <si>
    <t>Univ Bretagne Occidentale, Inst Univ Europeen Mer, CNRS, UMR 6539,Lab Sci Environm Marin,LEMAR, F-29280 Plouzane, France; Univ Bretagne Occidentale, CHU, Lab Biogenet, F-29200 Brest, France</t>
  </si>
  <si>
    <t>Centre National de la Recherche Scientifique (CNRS); CNRS - Institute of Ecology &amp; Environment (INEE); Ifremer; Institut de Recherche pour le Developpement (IRD); Universite de Bretagne Occidentale; Institut Universitaire Europeen de la Mer (IUEM); CHU Brest; Universite de Bretagne Occidentale</t>
  </si>
  <si>
    <t>Univ Bretagne Occidentale, Inst Univ Europeen Mer, CNRS, UMR 6539,Lab Sci Environm Marin,LEMAR, Technopole Brest Iroise,Pl Nicolas Copern, F-29280 Plouzane, France.</t>
  </si>
  <si>
    <t>dario.moraga@univ-brest.fr</t>
  </si>
  <si>
    <t>10.1016/S0166-445X(01)00160-6</t>
  </si>
  <si>
    <t>http://dx.doi.org/10.1016/S0166-445X(01)00160-6</t>
  </si>
  <si>
    <t>483UH</t>
  </si>
  <si>
    <t>WOS:000171653900003</t>
  </si>
  <si>
    <t>TANNER, PA; JAMES, JWC; CHAN, K; LEONG, LS</t>
  </si>
  <si>
    <t>VARIATIONS IN TRACE-METAL AND TOTAL ORGANIC-CARBON CONCENTRATIONS IN MARINE-SEDIMENTS FROM HONG-KONG</t>
  </si>
  <si>
    <t>MARINE SEDIMENTS; TRACE METALS; TOTAL ORGANIC CARBON; HONG-KONG</t>
  </si>
  <si>
    <t>HEAVY-METALS; COASTAL WATERS; POLLUTION; PB; ZN; CU; ORGANOCHLORINES; ESTUARINE; MUSSELS; RIVER</t>
  </si>
  <si>
    <t>Four marine cores to depth of 2.8 m, from thy Urmston Road-Brothers Channel, Hong Kong, have been analyzed for the trace metals Cu, Zn, Cr, Ni, Mn and Pb, as well as total organic carbon and organochlorines. Most of these elements indicate enhanced concentrations due to anthropogenic inputs in the upper part of the sediment column, with an overall decrease with depth. The concentrations of these elements are lower than in surface sediment from offshore areas near the industrial and urban heart of Hong Kong. Mn and Zn appear to be distributed most evenly through the cores. However, the concentrations of the metals and total organic carbon content in sea bed samples are commonly lower than the adjacent underlying samples. This may be due to deposition of unpolluted sediment disturbed by dredging, diagenetic effects or through the sampling process. Although rank order of metal abundance is similar across cores, correlations between the metals are weak; the exceptions are chromium and copper. Concentrations for the lower part of the cores are indicative of the natural background levels for these marine sediments. The total organic carbon (TOC) content of the sediment lies between 0.5% and 0.9% with a general decrease with depth; TOC correlates most strongly with chromium and copper. Analysis of two organochlorine tracers of agricultural contamination indicated levels below the stated detection limits. Trace metal concentrations were slightly higher in the silt and clay fraction compared with the bulk sediment, but some mobilization of the analyte cations apparently occurred during the sieving process.</t>
  </si>
  <si>
    <t>HONG KONG GEOL SURVEY,OFF GEOTECH ENGN,DEPT CIVIL ENGN,KOWLOON,HONG KONG</t>
  </si>
  <si>
    <t>TANNER, PA (corresponding author), CITY POLYTECH HONG KONG,DEPT APPL SCI,TAT CHEE AVE,KOWLOON,HONG KONG.</t>
  </si>
  <si>
    <t>10.1080/09593339309385320</t>
  </si>
  <si>
    <t>http://dx.doi.org/10.1080/09593339309385320</t>
  </si>
  <si>
    <t>LH386</t>
  </si>
  <si>
    <t>WOS:A1993LH38600001</t>
  </si>
  <si>
    <t>Klimova, YS; Chuiko, GM; Gapeeva, MV; Pesnya, DS; Ivanova, EI</t>
  </si>
  <si>
    <t>Klimova, Y. S.; Chuiko, G. M.; Gapeeva, M. V.; Pesnya, D. S.; Ivanova, E. I.</t>
  </si>
  <si>
    <t>The Use of Oxidative Stress Parameters of Bivalve Mollusks Dreissena polymorpha (Pallas, 1771) as Biomarkers for Ecotoxicological Assessment of Environment</t>
  </si>
  <si>
    <t>INLAND WATER BIOLOGY</t>
  </si>
  <si>
    <t>antioxidant enzymes; lipids peroxidation; heavy metals; zebra mussel</t>
  </si>
  <si>
    <t>ABRAMIS-BRAMA L.; HEAVY-METALS; MYTILUS-GALLOPROVINCIALIS; ORGANOCHLORINE PESTICIDES; POLYCHLORINATED-BIPHENYLS; RYBINSK RESERVOIR; MUSSEL; GLUTATHIONE; RESPONSES; CONTAMINATION</t>
  </si>
  <si>
    <t>The aim of this study was to investigate biomarkers of oxidative stress: catalase (CAT), glutathione (GR), glutathione S-transferase (GST), low-molecular antioxidant-reduced glutathione (GSH) and lipid peroxide oxidation marker-malondialdehyde (MDA) and to measure heavy metal (H\M) concentrations in Dreissena polymorpha soft tissues at three different sampling sites in the Rybinsk reservoir (one of the largest in Europe) in order to assess exposure to anthropogenic pollution. The reservoir has a considerable source of pollution in its northern part due to a large industrial complex in Cherepovets. Mussels were collected at three sites which differ in the levels of anthropogenic load: more contaminated sites 1 (Cherepovets) and 2 (Koprino). Site 3 (Vesyegonsk) is relatively clean and is used as a control. In soft tissues of mussels from sites 1 and 2 significantly higher concentrations of HM (Pb, V, Cr, Ni, Cu, Mn, Zn, Cd) were detected than in mussels from site 3. Mussels from sites 1 and 2 subjected to long-term contamination from Cherepovets industry showed considerable CAT, MDA and GSH induction compared to mussels from relatively clean site 3. The correlation was found between elevated HM content and increased levels of CAT, MDA and GSH. The obtained data suggest that HM may contribute to the oxidative stress induction in mussel. MDA, CAT and GSH sensitivity in D. polymorpha demonstrated a possible use of these biomarkers in freshwater.</t>
  </si>
  <si>
    <t>[Klimova, Y. S.; Chuiko, G. M.; Gapeeva, M. V.; Pesnya, D. S.] Russian Acad Sci, Papanin Inst Biol Inland Waters, Nekouzskii Raion, Yaroslavl Oblas, Russia; [Ivanova, E. I.] Cherepovets State Univ, Cherepovets, Vologda Oblast, Russia</t>
  </si>
  <si>
    <t>Papanin Institute for Biology of Inland Waters; Russian Academy of Sciences; Cherepovets State University</t>
  </si>
  <si>
    <t>Klimova, YS (corresponding author), Russian Acad Sci, Papanin Inst Biol Inland Waters, Nekouzskii Raion, Yaroslavl Oblas, Russia.</t>
  </si>
  <si>
    <t>Klimova, Yana/B-6193-2018; Gapeeva, Maria/Q-7317-2016; Pesnya, Dmitry/GLR-5926-2022; Ivanova, Elena/F-2033-2017; Chuiko, Grigorii/P-8305-2015</t>
  </si>
  <si>
    <t>Ivanova, Elena/0000-0002-6976-1452; Pesnya, Dmitry/0000-0001-9741-1313; Chuiko, Grigorii/0000-0002-3334-7073</t>
  </si>
  <si>
    <t>[AAAA-A18-118012690123-4]; [AAAA-A18-118052590015-9]</t>
  </si>
  <si>
    <t>This work was carried out under research program no. AAAA-A18-118012690123-4, with partial financial support from the priority project Volga Rehabilitation no. AAAA-A18-118052590015-9.</t>
  </si>
  <si>
    <t>1995-0829</t>
  </si>
  <si>
    <t>1995-0837</t>
  </si>
  <si>
    <t>INLAND WATER BIOL</t>
  </si>
  <si>
    <t>Inland Water Biol.</t>
  </si>
  <si>
    <t>SUPPL 2</t>
  </si>
  <si>
    <t>10.1134/S1995082919060063</t>
  </si>
  <si>
    <t>http://dx.doi.org/10.1134/S1995082919060063</t>
  </si>
  <si>
    <t>KI9KS</t>
  </si>
  <si>
    <t>WOS:000511676400011</t>
  </si>
  <si>
    <t>Risso-de Faverney, C; Guibbolini-Sabatier, ME; Francour, P</t>
  </si>
  <si>
    <t>Risso-de Faverney, Christine; Guibbolini-Sabatier, Marielle E.; Francour, Patrice</t>
  </si>
  <si>
    <t>An ecotoxicological approach with transplanted mussels (Mytilus galloprovincialis) for assessing the impact of tyre reefs immersed along the NW Mediterranean Sea</t>
  </si>
  <si>
    <t>Ecotoxicology; Biomonitoring; Mytilus galloprovincialis; Biomarkers; Tyre reefs; NW Mediterranean sea</t>
  </si>
  <si>
    <t>ANTIOXIDANT ENZYMES; OXIDATIVE STRESS; ACETYLCHOLINESTERASE ACTIVITY; RUDITAPES-DECUSSATUS; SEASONAL-VARIATIONS; DIGESTIVE GLAND; BIOMARKERS; POLLUTION; TOXICITY; GLUTATHIONE</t>
  </si>
  <si>
    <t>Tyre artificial reefs were deposited in a marine protected area (Vallauris-Golfe Juan Bay, France) located along the NW Mediterranean coast, during the early 80's The potential toxic effects of the tyre artificial reefs were investigated using transplantation of marine mussels, Mytilus galloprovincialis. to stations located above tyre blocks (St1, St2) or reference site (StR). Mussels transplanted to different stations presented the following sequence of mortality St1 &gt; St2 &gt; StR. Principal Component Analysis, taking into account metal accumulation (cadmium, copper and zinc) and biomarker (SOD, CAT, GST and AChE activities, TBARS and MT levels, Condition Index) responses in mussel tissues indicated a clear separation between the three stations St1 organisms were significantly mote affected by tyre reefs than those from other stations. Such an integrated monitoring study represents a key approach to assess in situ the biological impact of &gt;25 year-old tyre artificial reefs. (C) 2010 Elsevier Ltd. All rights reserved.</t>
  </si>
  <si>
    <t>[Risso-de Faverney, Christine; Guibbolini-Sabatier, Marielle E.; Francour, Patrice] Univ Nice Sophia Antipolis, ECOMERS, EA 4228, UFR Sci,Ecotoxicol Team, F-06108 Nice 2, France</t>
  </si>
  <si>
    <t>Risso-de Faverney, C (corresponding author), Univ Nice Sophia Antipolis, ECOMERS, EA 4228, UFR Sci,Ecotoxicol Team, Parc Valrose,BP 71, F-06108 Nice 2, France.</t>
  </si>
  <si>
    <t>Francour, Patrice/0000-0002-8489-1319</t>
  </si>
  <si>
    <t>Conseil General des Alpes Martimes (France)</t>
  </si>
  <si>
    <t>This study was financially supported by the Conseil General des Alpes Martimes (France). Authors acknowledge C. Serre from Conseil General des Alpes Maritimes for logistic assistance in the field and F. Gilberti for boat facilities, as well as J M. Cottalorda for scuba-diving. Many thanks to J.M. Mienville for his English</t>
  </si>
  <si>
    <t>10.1016/j.marenvres.2010.03.007</t>
  </si>
  <si>
    <t>http://dx.doi.org/10.1016/j.marenvres.2010.03.007</t>
  </si>
  <si>
    <t>621FR</t>
  </si>
  <si>
    <t>WOS:000279561400010</t>
  </si>
  <si>
    <t>Gutiérrez, A; Lozano, G; Hardisson, A; Rubio, C; González, T</t>
  </si>
  <si>
    <t>Content of toxic and essential metals in canned mussels commonly consumed in Tenerife, Canary Islands, Spain</t>
  </si>
  <si>
    <t>PINCTADA-RADIATA; PEARL OYSTER; BODY-SIZE; CADMIUM; LEAD; ZINC; EXPOSURE; COPPER; ACCUMULATION; POLLUTION</t>
  </si>
  <si>
    <t>Concentrations of three toxic heavy metals (Hg, Pb, Cd) and six essential heavy metals (Fe, Zn, Mn, Cr, Cu, Ni) were determined in mussel conserves (Mytilus galloprovincialis, Bivalvia, Mollusca) consumed habitually by individuals in Tenerife (Canary Islands, Spain). A total of 600 samples were analyzed, corresponding to six different commercial brands and four different processing types: pickled sauce (mixture of olive oil, vinegar, red pepper, laurel, and salt), coquille St. Jacques sauce (coquille St. Jacques broth), nature (water and salt), and bionature (water, salt, and soluble vegetal fiber). Samples were collected weekly from markets in Santa Cruz de Tenerife during a 12-month period. All values for toxic metals were lower than the permitted maximum for human consumption as proscribed in European Community Directive 2001/22/CE (1,000 mug/kg wet weight for Pb and Cd) and European Community Decision 93/351/EEC (500 mug/kg wet weight for Hg). For the six essential heavy metals, mussels are a very good source, contributing high percentages of the recommended daily allowance.</t>
  </si>
  <si>
    <t>Univ La Laguna, Dept Anim Biol Marine Sci, Tenerife, Canary Islands, Spain; Canarian Publ Hlth Serv, Cent Lab, Santa Cruz de Tenerife, Canary Islands, Spain; Univ La Laguna, Dept Publ Hlth, Tenerife, Canary Islands, Spain</t>
  </si>
  <si>
    <t>Universidad de la Laguna; Universidad de la Laguna</t>
  </si>
  <si>
    <t>Univ La Laguna, Dept Anim Biol Marine Sci, Tenerife, Canary Islands, Spain.</t>
  </si>
  <si>
    <t>glozano@ull.es</t>
  </si>
  <si>
    <t>Rubio, Carmen/AAK-9343-2021; Gutierrez, Angel J./F-3125-2016</t>
  </si>
  <si>
    <t>Gutierrez, Angel J./0000-0003-1581-0850; Rubio, Carmen/0000-0001-8774-5870; Hardisson, Arturo/0000-0002-5760-4687</t>
  </si>
  <si>
    <t>10.4315/0362-028X-67.7.1526</t>
  </si>
  <si>
    <t>http://dx.doi.org/10.4315/0362-028X-67.7.1526</t>
  </si>
  <si>
    <t>836MK</t>
  </si>
  <si>
    <t>WOS:000222559700034</t>
  </si>
  <si>
    <t>Itziou, A; Dimitriadis, VK</t>
  </si>
  <si>
    <t>Itziou, A.; Dimitriadis, V. K.</t>
  </si>
  <si>
    <t>The potential role of cAMP as a pollution biomarker of terrestrial environments using the land snail Eobania vermiculata: Correlation with lysosomal membrane stability</t>
  </si>
  <si>
    <t>Biomonitoring; Heavy metals; Organophosphate insecticides; PAHs</t>
  </si>
  <si>
    <t>MUSSEL MYTILUS-GALLOPROVINCIALIS; ADENYLYL-CYCLASE ACTIVITY; NEUTRAL RED RETENTION; HELIX-ASPERSA; CYCLIC-AMP; METAL CONCENTRATIONS; PROTEIN-KINASE; LITTORINA-LITTOREA; COPPER-OXYCHLORIDE; DIGESTIVE GLAND</t>
  </si>
  <si>
    <t>The present study investigates the role of the signal transduction molecule cAMP, and the lysosomal membrane stability (LMS), as biomarkers of terrestrial environmental pollution using the land snail Eobania vermiculata. Snails were exposed to different concentrations of heavy metals (CA, Pb and Cu) and organic pollutants (chlorpyrifos, parathion-methyl and PAHs) in laboratory conditions for 25 days. In addition, snails were collected from various sites located at different distances away from two polluted areas in northern Greece (the road Agiou Dimitriou in Thessaloniki city and a lignite power station in the district of Kozani). The results of the current investigation showed significantly increased levels of cAMP in the digestive gland of snails, as well as decreased LMS values in all experimental groups compared to control animals. In support of our data, cAMP levels were significantly negatively correlated with the conventional biomarker LMS, thus encouraging the use of cAMP as a new potential stress index in terrestrial pollution biomonitoring studies. (C) 2009 Elsevier Ltd. All rights reserved.</t>
  </si>
  <si>
    <t>[Itziou, A.; Dimitriadis, V. K.] Aristotle Univ Thessaloniki, Sch Biol, Dept Genet Dev &amp; Mol Biol, Thessaloniki 54124, Greece</t>
  </si>
  <si>
    <t>Dimitriadis, VK (corresponding author), Aristotle Univ Thessaloniki, Sch Biol, Dept Genet Dev &amp; Mol Biol, Thessaloniki 54124, Greece.</t>
  </si>
  <si>
    <t>itziou@bio.auth.gr; vdimitr@bio.auth.gr</t>
  </si>
  <si>
    <t>Itziou, Aikaterini/0000-0001-9652-2652</t>
  </si>
  <si>
    <t>European Union-European Social Fund and National Resources - (EPEAEK-II)</t>
  </si>
  <si>
    <t>This research is co-funded by the European Union-European Social Fund and National Resources - (EPEAEK-II) program. This work is included in the Doctoral thesis of Mrs. A. Itziou to be submitted to the school of Biology of the Aristotle University of Thessaloniki. The authors gratefully thank Dr. M. Kaloyianni for her support and technical assistance in this study.</t>
  </si>
  <si>
    <t>10.1016/j.chemosphere.2009.06.032</t>
  </si>
  <si>
    <t>http://dx.doi.org/10.1016/j.chemosphere.2009.06.032</t>
  </si>
  <si>
    <t>498FR</t>
  </si>
  <si>
    <t>WOS:000270123100001</t>
  </si>
  <si>
    <t>Astorga-España, MS; Mendez, EMP; Palma, OL; Montelongo, FJG</t>
  </si>
  <si>
    <t>Heavy metals in Mytilus chilensis from the Strait of Magallenes (Chile)</t>
  </si>
  <si>
    <t>MUSSELS; EDULIS; ZINC; LEAD</t>
  </si>
  <si>
    <t>Univ La Laguna, Dept Analyt Chem Nutr &amp; Food Sci, San Cristobal la Laguna 38071, Spain; Univ Magallanes, Dept Sci &amp; Nat Resources, Punta Arenas, Chile</t>
  </si>
  <si>
    <t>Universidad de la Laguna; Universidad de Magallanes</t>
  </si>
  <si>
    <t>Univ La Laguna, Dept Analyt Chem Nutr &amp; Food Sci, San Cristobal la Laguna 38071, Spain.</t>
  </si>
  <si>
    <t>Peña Mendez, Eladia/K-9951-2014</t>
  </si>
  <si>
    <t>10.1016/S0025-326X(98)00101-5</t>
  </si>
  <si>
    <t>http://dx.doi.org/10.1016/S0025-326X(98)00101-5</t>
  </si>
  <si>
    <t>110JA</t>
  </si>
  <si>
    <t>WOS:000075376600016</t>
  </si>
  <si>
    <t>Khan, MI; Khisroon, M; Khan, A; Gulfam, N; Siraj, M; Zaidi, F; Ahmadullah; Abidullah; Fatima, SH; Noreen, S; Hamidullah; Shah, ZA; Qadir, F</t>
  </si>
  <si>
    <t>Khan, Muhammad Iftikhar; Khisroon, Muhammad; Khan, Ajmal; Gulfam, Naila; Siraj, Muhammad; Zaidi, Farrah; Ahmadullah; Abidullah; Fatima, Syeda Hira; Noreen, Shumaila; Hamidullah; Shah, Zafar Ali; Qadir, Fazli</t>
  </si>
  <si>
    <t>Bioaccumulation of Heavy Metals in Water, Sediments, and Tissues and Their Histopathological Effects on Anodonta cygnea (Linea, 1876) in Kabul River, Khyber Pakhtunkhwa, Pakistan</t>
  </si>
  <si>
    <t>BIOMED RESEARCH INTERNATIONAL</t>
  </si>
  <si>
    <t>BIVALVE MOLLUSKS; WALLAGO-ATTU; BIOMARKERS; MUSSELS; ORGANISMS; FISH; CONTAMINATION; DOWNSTREAM; ARGENTINA; HEADWORKS</t>
  </si>
  <si>
    <t>The present investigation aimed to assess the concentrations of selected heavy metals in water and sediments and their bioaccumulation in tissues of freshwater mussels and their histopathological effects on the digestive gland, gills, and gonads of Anodonta cygnea. Water, sediments, and freshwater mussel samples were collected at four sites, that is, reference and polluted sites, along the Kabul River, Khyber Pakhtunkhwa. The polluted sites were receiving effluents fromthe industrial, agricultural, municipal, and domestic sources. The order of metals in the water was Zn &gt; Pb &gt; Ni &gt; Cu &gt; Mn &gt; Fe &gt; Cr &gt; Cd, in sediments the order was Fe &gt; Zn &gt; Cr &gt; Ni &gt; Mn &gt; Pb &gt; Cu &gt; Cd, and in the soft tissues the order was Fe &gt; Zn &gt; Mn &gt; Pb &gt; Cu &gt; Cr &gt; Ni &gt; Cd. Histopathological alterations observed in polluted sites of Kabul River were inflammation, hydropic vacuolation, and lipofuscin pigments (in digestive gland), gill lamellar fusion, dilated hemolymphatic sinus, clumping, and generation of cilia and hemocytic infiltration (in gills), and atresia, necrosis, granulocytoma, hemocytic infiltration, and lipofuscin pigments (in gonads). The histopathological alterations in the organs of Anodonta cygnea can be considered as reliable biomarkers in biomonitoring of heavy metal pollution in aquatic ecosystems.</t>
  </si>
  <si>
    <t>[Khan, Muhammad Iftikhar; Khisroon, Muhammad; Khan, Ajmal; Gulfam, Naila; Siraj, Muhammad; Zaidi, Farrah; Ahmadullah; Abidullah; Noreen, Shumaila; Hamidullah] Univ Peshawar, Dept Zool, Khyber Pakhtunkhwa, Pakistan; [Fatima, Syeda Hira] Inst Space Technol, Dept Space Sci, Islamabad, Pakistan; [Shah, Zafar Ali] Univ Swabi, Dept Chem, Khyber Pakhtunkhwa, Pakistan; [Qadir, Fazli] Preston Univ, Islamabad, Pakistan</t>
  </si>
  <si>
    <t>University of Peshawar</t>
  </si>
  <si>
    <t>Khisroon, M; Khan, A (corresponding author), Univ Peshawar, Dept Zool, Khyber Pakhtunkhwa, Pakistan.</t>
  </si>
  <si>
    <t>m_khisroon@uop.edu.pk; ajmalkhan@uop.edu.pk</t>
  </si>
  <si>
    <t>ullah, Hamid/AAA-1556-2021; Shah, Zafar/AAX-5827-2020; Khan, Ajmal/KFR-6662-2024; Fatima, Syeda/KIE-2527-2024; Usman, Muhammad/KIG-9930-2024</t>
  </si>
  <si>
    <t>khan, ajmal/0000-0002-6124-7459; Fatima, Syeda Hira/0000-0002-7180-4722; Khisroon, Muhammad/0000-0002-0495-4173</t>
  </si>
  <si>
    <t>2314-6133</t>
  </si>
  <si>
    <t>2314-6141</t>
  </si>
  <si>
    <t>BIOMED RES INT</t>
  </si>
  <si>
    <t>Biomed Res. Int.</t>
  </si>
  <si>
    <t>10.1155/2018/1910274</t>
  </si>
  <si>
    <t>http://dx.doi.org/10.1155/2018/1910274</t>
  </si>
  <si>
    <t>Biotechnology &amp; Applied Microbiology; Medicine, Research &amp; Experimental</t>
  </si>
  <si>
    <t>Biotechnology &amp; Applied Microbiology; Research &amp; Experimental Medicine</t>
  </si>
  <si>
    <t>FY6UN</t>
  </si>
  <si>
    <t>WOS:000426998500001</t>
  </si>
  <si>
    <t>Matthews, J; Schipper, AM; Hendriks, AJ; Le, TTY; de Vaate, AB; van der Velde, G; Leuven, RSEW</t>
  </si>
  <si>
    <t>Matthews, Jonathan; Schipper, Aafke M.; Hendriks, A. Jan; Le, T. T. Yen; de Vaate, Abraham Bij; van der Velde, Gerard; Leuven, Rob S. E. W.</t>
  </si>
  <si>
    <t>A dominance shift from the zebra mussel to the invasive quagga mussel may alter the trophic transfer of metals</t>
  </si>
  <si>
    <t>Food-web; Non-native; Species replacement; Dreissenids; Predators</t>
  </si>
  <si>
    <t>DREISSENA-ROSTRIFORMIS-BUGENSIS; LAKE-ERIE; HEAVY-METALS; GREAT-LAKES; COMPARATIVE GROWTH; POLYMORPHA PALLAS; WATER-QUALITY; SOFT-TISSUES; RIVERS RHINE; MERCURY</t>
  </si>
  <si>
    <t>Bioinvasions are a major cause of biodiversity and ecosystem changes. The rapid range expansion of the invasive quagga mussel (Dreissena rostriformis bugensis) causing a dominance shift from zebra mussels (Dreissena polymorpha) to quagga mussels, may alter the risk of secondary poisoning to predators. Mussel samples were collected from various water bodies in the Netherlands, divided into size classes, and analysed for metal concentrations. Concentrations of nickel and copper in quagga mussels were significantly lower than in zebra mussels overall. In lakes, quagga mussels contained significantly higher concentrations of aluminium, iron and lead yet significantly lower concentrations of zinc66, cadmium111, copper, nickel, cobalt and molybdenum than zebra mussels. In the river water type quagga mussel soft tissues contained significantly lower concentrations of zinc66. Our results suggest that a dominance shift from zebra to quagga mussels may reduce metal exposure of predator species. (C) 2015 Elsevier Ltd. All rights reserved.</t>
  </si>
  <si>
    <t>[Matthews, Jonathan; Schipper, Aafke M.; Hendriks, A. Jan; Le, T. T. Yen; Leuven, Rob S. E. W.] Radboud Univ Nijmegen, Inst Water &amp; Wetland Res, Dept Environm Sci, NL-6500 GL Nijmegen, Netherlands; [de Vaate, Abraham Bij] Waterfauna Hydrobiol Adviesbureau, NL-8212 AP Lelystad, Netherlands; [van der Velde, Gerard] Nat Biodivers Ctr, NL-2300 RA Leiden, Netherlands; [van der Velde, Gerard] Radboud Univ Nijmegen, Inst Water &amp; Wetland Res, Dept Anim Ecol &amp; Ecophysiol, NL-6500 GL Nijmegen, Netherlands</t>
  </si>
  <si>
    <t>Radboud University Nijmegen; Naturalis Biodiversity Center; Radboud University Nijmegen</t>
  </si>
  <si>
    <t>Leuven, RSEW (corresponding author), Radboud Univ Nijmegen, Inst Water &amp; Wetland Res, Dept Environm Sci, POB 9010, NL-6500 GL Nijmegen, Netherlands.</t>
  </si>
  <si>
    <t>J.Matthews@science.ru.nl; A.Schipper@science.ru.nl; A.J.Hendriks@science.ru.nl; yenle@science.ru.nl; vaate@planet.nl; g.vandervelde@science.ru.nl; r.leuven@science.ru.nl</t>
  </si>
  <si>
    <t>Schipper, Aafke/C-2758-2011; van der Velde, Gerard/C-7776-2011; Hendriks, Aalbert/C-6767-2013; Leuven, Rob/A-3303-2012</t>
  </si>
  <si>
    <t>Schipper, Aafke/0000-0002-5667-0893; Leuven, Rob/0000-0001-5434-6005</t>
  </si>
  <si>
    <t>Invasive Alien Species Team (TIE) of the Netherlands Food and Consumer Product Safety Authority (NVWA); Ministry of Economic Affairs [TRCPD/2010/3092]; Schure Beijerinck-Popping fund [SBP2012/54]</t>
  </si>
  <si>
    <t>Invasive Alien Species Team (TIE) of the Netherlands Food and Consumer Product Safety Authority (NVWA); Ministry of Economic Affairs; Schure Beijerinck-Popping fund</t>
  </si>
  <si>
    <t>We would like to thank the Invasive Alien Species Team (TIE) of the Netherlands Food and Consumer Product Safety Authority (NVWA), Ministry of Economic Affairs (TRCPD/2010/3092) and the Schure Beijerinck-Popping fund (SBP2012/54) for financial support, Jelle Eygensteyn for his assistance in carrying out the ICP MS analysis, Aryan Ransijn for his help during field work and metal analyses and two anonymous reviewers who provided many constructive comments.</t>
  </si>
  <si>
    <t>10.1016/j.envpol.2015.03.032</t>
  </si>
  <si>
    <t>http://dx.doi.org/10.1016/j.envpol.2015.03.032</t>
  </si>
  <si>
    <t>CL0OW</t>
  </si>
  <si>
    <t>WOS:000356643000021</t>
  </si>
  <si>
    <t>Domouhtsidou, GP; Dailianis, S; Kaloyianni, M; Dimitriadis, VK</t>
  </si>
  <si>
    <t>Lysosomal membrane stability and metallothionein content in Mytilus galloprovincialis (L.), as biomarkers -: Combination with trace metal concentrations</t>
  </si>
  <si>
    <t>biomonitoring; heavy metals; lysosomal membrane stability; metallothionein; Mytilus galloprovincialis; North Aegean</t>
  </si>
  <si>
    <t>NATURAL FACTORS SALINITY; DIGESTIVE GLAND; EXPERIMENTAL EXPOSURE; SEASONAL-VARIATIONS; CELLULAR-RESPONSES; ANODONTA-ANATINA; BINDING PROTEINS; HEAVY-METALS; BODY-WEIGHT; CADMIUM</t>
  </si>
  <si>
    <t>The simultaneous study of two biomarkers, the lysosomal membrane stability (LMS) of the digestive gland and the metallothionein (MT) content of the digestive gland, the gills and the mantle/gonad complex of the mussel Mytilus galloprovincialis was examined in an enclosed estuarine system in June and October 2001. Mussels were collected along the Gulf of Thermaikos (northern Greece) from stations displaying a pollution gradient, while Olympiada in the Gulf of Strymonikos was used as a reference station. In addition, the heavy metal (Cd, Pb, Cu and Zn) content, using atomic absorption spectrophotometry (AAS), were evaluated in the digestive gland, the gills and the mantle/gonad complex of mussels collected from the same sites and seasons. LMS values were significantly greater, and the MT content of the studied tissues were significantly less in mussels collected from the reference station compared to mussels from more polluted stations located in the Gulf of Thermaikos. Significant correlation was observed between the MT content of the gills and the mantle/gonad complex with the LMS values. (C) 2004 Elsevier Ltd. All rights reserved.</t>
  </si>
  <si>
    <t>Aristotle Univ Thessaloniki, Sch Biol, Dept Genet Dev &amp; Mol Biol, GR-54006 Thessaloniki, Greece; Aristotle Univ Thessaloniki, Dept Zool, Thessaloniki 54124, Greece</t>
  </si>
  <si>
    <t>Aristotle University of Thessaloniki; Aristotle University of Thessaloniki</t>
  </si>
  <si>
    <t>Aristotle Univ Thessaloniki, Sch Biol, Dept Genet Dev &amp; Mol Biol, GR-54006 Thessaloniki, Greece.</t>
  </si>
  <si>
    <t>Dailianis, Stefanos/F-9076-2011</t>
  </si>
  <si>
    <t>10.1016/j.marpolbul.2004.01.013</t>
  </si>
  <si>
    <t>http://dx.doi.org/10.1016/j.marpolbul.2004.01.013</t>
  </si>
  <si>
    <t>WOS:000220131500031</t>
  </si>
  <si>
    <t>Genç, TO; Po, BHK; Yilmaz, F; Lau, TC; Wu, RSS; Chiu, JMY</t>
  </si>
  <si>
    <t>Genc, Tuncer O.; Po, Beverly H. K.; Yilmaz, Fevzi; Lau, Tai-Chu; Wu, Rudolf S. S.; Chiu, Jill M. Y.</t>
  </si>
  <si>
    <t>Differences in metal profiles revealed by native mussels and artificial mussels in Sarcay Stream, Turkey: implications for pollution monitoring</t>
  </si>
  <si>
    <t>environmental monitoring; heavy metals</t>
  </si>
  <si>
    <t>HEAVY-METALS; MYTILUS-GALLOPROVINCIALIS; MARINE ENVIRONMENTS; TRACE-METALS; BIOACCUMULATION; WATCH; PB; VALIDATION; UNIONIDAE; LINNAEUS</t>
  </si>
  <si>
    <t>Using the native mussel Unio crassus and artificial mussels (AMs), profiles of 11 metals (Cd, Co, Cr, Cu, Fe, Hg, Mn, Ni, Pb, U, Zn) were determined and compared in winter and summer along a pollution gradient in Sarcay Stream, Turkey. Principal components analysis and correlation analysis showed that metal profiles in the native mussels and AMs were different. Concentrations of most metals were significantly higher in the native mussels compared with AMs, suggesting that metals in Sarcay Stream predominantly existed in suspended particulates and food compartments, rather than in dissolved form. Although U was not readily accumulated by the native mussels, it could be taken up by AMs. Overall, the results suggest that the use of native mussels and AMs in water quality monitoring can provide complementary information and a better estimate and coverage of different metal species and forms in aquatic environments.</t>
  </si>
  <si>
    <t>[Genc, Tuncer O.; Yilmaz, Fevzi] Mugla Sitki Kocman Univ, Fac Sci, Dept Biol, TR-48000 Kotekli Mugla, Turkey; [Po, Beverly H. K.; Chiu, Jill M. Y.] Hong Kong Baptist Univ, Dept Biol, Kowloon, Hong Kong, Peoples R China; [Lau, Tai-Chu] City Univ Hong Kong, Dept Chem, Kowloon, Hong Kong, Peoples R China; [Wu, Rudolf S. S.] Educ Univ Hong Kong, State Key Lab Marine Pollut, Hong Kong, Hong Kong, Peoples R China; [Wu, Rudolf S. S.] Educ Univ Hong Kong, Dept Sci &amp; Environm Studies, Hong Kong, Hong Kong, Peoples R China</t>
  </si>
  <si>
    <t>Mugla Sitki Kocman University; Hong Kong Baptist University; City University of Hong Kong; Education University of Hong Kong (EdUHK); Education University of Hong Kong (EdUHK)</t>
  </si>
  <si>
    <t>Chiu, JMY (corresponding author), Hong Kong Baptist Univ, Dept Biol, Kowloon, Hong Kong, Peoples R China.</t>
  </si>
  <si>
    <t>jillchiu@hkbu.edu.hk</t>
  </si>
  <si>
    <t>Yilmaz, Fevzi/A-2365-2016; Chiu, Man/E-9857-2010; genc, tuncer/ADC-6308-2022; Wu, Rudolf/B-4203-2010</t>
  </si>
  <si>
    <t>genc, tuncer okan/0000-0002-2139-7655</t>
  </si>
  <si>
    <t>Scientific Research Project Office of Mugla Sitki Kocman University [13/72]; Education University of Hong Kong [R3721]</t>
  </si>
  <si>
    <t>Scientific Research Project Office of Mugla Sitki Kocman University; Education University of Hong Kong</t>
  </si>
  <si>
    <t>This work was supported by the Scientific Research Project Office of Mugla Sitki Kocman University (Project number: 13/72) awarded to Tuncer Genc, and a start-up grant from the Education University of Hong Kong (R3721) awarded to Rudolf Wu. Data in the present study were extracted from the Ph.D. thesis of Tuncer O. Genc. The authors thank Jonathan C. H. Yip, Kung-Ming Leung and Jenny C. Y. Ng for their help with manuscript preparation.</t>
  </si>
  <si>
    <t>10.1071/MF17293</t>
  </si>
  <si>
    <t>http://dx.doi.org/10.1071/MF17293</t>
  </si>
  <si>
    <t>GR2BW</t>
  </si>
  <si>
    <t>WOS:000442365500005</t>
  </si>
  <si>
    <t>Riba, I; Casado-Martínez, MC; Blasco, J; DelValls, TA</t>
  </si>
  <si>
    <t>Bioavailability of heavy metals bound to sediments affected by a mining spill using Solea senegalensis and Scrobicularia plana</t>
  </si>
  <si>
    <t>bioaccumulation; metallotioneins; sediment toxicity tests; biomarkers; Aznalcollar mining spill</t>
  </si>
  <si>
    <t>GUADALQUIVIR ESTUARY; SW SPAIN</t>
  </si>
  <si>
    <t>After the Aznalcollar mining spill (April, 1998) different ecosystems along the Guadiamar river and the Guadalquivir estuary were impacted by high concentrations of metals. The concentration of metals Zn, Cd, Pb, Cu and As has been detected as a good tracer of the pathway of the toxic spill. Different individuals of the fish Solea senegalensis and the clam Scrobicularia plana were exposed to contaminated sediments after the accidental spill in the south-west Spain. The induction of metallothioneins in fish and the bioaccumulation of metals in clams were determined in different tissues to determine the biological adverse effect associated with the heavy metals from the spill. A relationship between the enrichment of metals in the tissues and the induction of metallothioneins was determined for those assays performed using contaminated sediments. The bioaccumulation of metals indicates that the risk associated with the spill should be continuously evaluated to establish the sublethal effects related to the accident. (C) 2004 Elsevier Ltd. All rights reserved.</t>
  </si>
  <si>
    <t>CSIC, Inst Ciencias Marinas Andalucia, E-11510 Puerto Real, Spain; Fac CC Del Mar &amp; Ambientales, Dept Quim Fis, E-11510 Puerto Real, Spain</t>
  </si>
  <si>
    <t>Consejo Superior de Investigaciones Cientificas (CSIC); CSIC - Instituto de Ciencias Marinas de Andalucia (ICMAN)</t>
  </si>
  <si>
    <t>CSIC, Inst Ciencias Marinas Andalucia, Campus Rio San Pedro SN, E-11510 Puerto Real, Spain.</t>
  </si>
  <si>
    <t>inmaculada.riba@uca.es</t>
  </si>
  <si>
    <t>CasadoGalan, Carmen/KLC-8204-2024; Del Valls, T. Angel/K-9664-2014; Blasco, Julian/A-5319-2008</t>
  </si>
  <si>
    <t>Del Valls, T. Angel/0000-0001-7674-9278; Blasco, Julian/0000-0002-9750-383X; Casado, Carmen/0000-0002-2291-5856; Riba, Inmaculada/0000-0003-1271-2534</t>
  </si>
  <si>
    <t>10.1016/j.marenvres.2004.03.085</t>
  </si>
  <si>
    <t>http://dx.doi.org/10.1016/j.marenvres.2004.03.085</t>
  </si>
  <si>
    <t>WOS:000222199100043</t>
  </si>
  <si>
    <t>BORSETH, JF; AUNAAS, T; EINARSON, S; NORDTUG, T; OLSEN, AJ; ZACHARIASSEN, KE</t>
  </si>
  <si>
    <t>POLLUTANT-INDUCED DEPRESSION OF THE TRANSMEMBRANE SODIUM-GRADIENT IN MUSCLES OF MUSSELS</t>
  </si>
  <si>
    <t>MYTILUS-EDULIS; TRANSMEMBRANE POTENTIAL DIFFERENCE OF SODIUM; CALCULATION METHOD; FORMALDEHYDE AND MERCURY EXPOSURE</t>
  </si>
  <si>
    <t>FISH</t>
  </si>
  <si>
    <t>This study deals with the effects of chemical pollutants on the transmembrane potential difference for sodium (DELTA-mu(Na)) in smooth muscle cells of Mytilus edulis. A method for indirect determination of extracellular space, intracellular ion concentrations and DELTA-mu(Na) has been developed and is applied in the investigations. The determination is based on concentration data from haemolymph and muscle tissue samples. The precision of the method used was tested by direct measurements of the apparent intracellular concentration of sodium and the membrane potential. On the basis of these tests, the method was evaluated as reasonably good. The method was used to study the sensitivity of the transmembrane DELTA-mu(Na) in Mytilus edulis to 96h exposures to various sublethal concentrations of formaldehyde, methanol and mercury. Both formaldehyde and mercury induced a depression of DELTA-mu(Na). The observed depressions could be ascribed to a change in both the electrogenic and the chemical components Of DELTA-mu(Na). A depression of DELTA-mu(Na) was associated with subsequent clinical injury and death. Methanol did not cause death or any changes in DELTA-mu(Na). Because of the observed correlation between depression of DELTA-mu(Na) and clinical injury, DELTA-mu(Na) is suggested to have a potential as an indicator of toxicity.</t>
  </si>
  <si>
    <t>UNIV TRONDHEIM,DEPT ZOOL,N-7055 DRAGVOLL,NORWAY</t>
  </si>
  <si>
    <t>BORSETH, JF (corresponding author), ALLFORSK AVH,DEPT ECOTOXICOL,N-7055 DRAGVOLL,NORWAY.</t>
  </si>
  <si>
    <t>Nordtug, Trond/GZG-7597-2022</t>
  </si>
  <si>
    <t>COMPANY OF BIOLOGISTS LTD</t>
  </si>
  <si>
    <t>BIDDER BUILDING CAMBRIDGE COMMERCIAL PARK COWLEY RD, CAMBRIDGE, CAMBS, ENGLAND CB4 4DL</t>
  </si>
  <si>
    <t>JK672</t>
  </si>
  <si>
    <t>WOS:A1992JK67200001</t>
  </si>
  <si>
    <t>Suami, RB; Al Salah, DMM; Kabala, CD; Otamonga, JP; Mulaji, CK; Mpiana, PT; Poté, JW</t>
  </si>
  <si>
    <t>Suami, Robert B.; Al Salah, Dhafer Mohammed M.; Kabala, Cesar D.; Otamonga, J. -P.; Mulaji, Crispin K.; Mpiana, Pius T.; Pote, John W.</t>
  </si>
  <si>
    <t>Assessment of metal concentrations in oysters and shrimp from Atlantic Coast of the Democratic Republic of the Congo</t>
  </si>
  <si>
    <t>Environmental science; Environmental pollution; Water pollution; Water quality; Environmental risk assessment; Heavy metal; Oysters; Shrimp; Bioaccumulation; Atlantic Ocean; Congo DR</t>
  </si>
  <si>
    <t>HEAVY-METALS; PARAPENAEUS-LONGIROSTRIS; TROPHIC RELATIONSHIPS; TRACE-ELEMENTS; FOOD-WEB; FISH; WATER; TOXICITY; BIOACCUMULATION; POLLUTION</t>
  </si>
  <si>
    <t>Oysters and shrimp are abundant and commonly consumed seafood by the indigenous population of the Kongo central region of the Democratic Republic of the Congo (DRC). Literature reviews suggest that no data were available for the metal concentrations in these species. Consequently, the purpose of this study is to determine the metal concentrations in tissues of oysters (Egeria congica) and shrimp (Macrobrachium spp., Parapenaeus spp., Penaeus spp.) collected in November 2017 from the Atlantic Ocean Coast of DRC in the territory of Muanda. Metal levels in the seafood species studied here were put into context using international regulation for human consumption set by the Food and Agriculture Organization (FAO), Canadian Food Inspection Agency (CFIA), European Union (EU), and World Health Organization (WHO). Our results demonstrated that the concentration of heavy metals varied considerably between sampling sites and analyzed species (P &lt; 0.05), with the values (in mg kg(1)) ranged between 0.05-0.41, 0.03-2.25,</t>
  </si>
  <si>
    <t>[Suami, Robert B.; Mulaji, Crispin K.; Mpiana, Pius T.; Pote, John W.] Univ Kinshasa UNIKIN, Fac Sci, Dept Chem, BP 190,Kinshasa 11, Kinshasa, DEM REP CONGO; [Suami, Robert B.; Kabala, Cesar D.] Univ Kinshasa UNIKIN, Fac Pharmaceut Sci, BP 212,Kinshasa 11, Kinshasa, DEM REP CONGO; [Al Salah, Dhafer Mohammed M.; Pote, John W.] Univ Geneva, Fac Sci, Sch Earth &amp; Environm Sci, Dept FA Forel Environm &amp; Aquat Sci,Uni Carl Vogt, 66 Blvd Carl Vogt, CH-1211 Geneva 4, Switzerland; [Al Salah, Dhafer Mohammed M.; Pote, John W.] Univ Geneva, Fac Sci, Sch Earth &amp; Environm Sci, Inst Environm Sci,Uni Carl Vogt, 66 Blvd Carl Vogt, CH-1211 Geneva 4, Switzerland; [Al Salah, Dhafer Mohammed M.] King Abdulaziz City Sci &amp; Technol, Joint Ctr Excellence Program, Prince Turki 1st St, Riyadh 11442, Saudi Arabia; [Otamonga, J. -P.; Pote, John W.] UPN, Croisement Route Matadi &amp; Ave Liberat,BP 8815, Kinshasa, DEM REP CONGO</t>
  </si>
  <si>
    <t>Universite de Kinshasa; Universite de Kinshasa; University of Geneva; University of Geneva</t>
  </si>
  <si>
    <t>Poté, JW (corresponding author), Univ Kinshasa UNIKIN, Fac Sci, Dept Chem, BP 190,Kinshasa 11, Kinshasa, DEM REP CONGO.;Poté, JW (corresponding author), Univ Geneva, Fac Sci, Sch Earth &amp; Environm Sci, Dept FA Forel Environm &amp; Aquat Sci,Uni Carl Vogt, 66 Blvd Carl Vogt, CH-1211 Geneva 4, Switzerland.;Poté, JW (corresponding author), Univ Geneva, Fac Sci, Sch Earth &amp; Environm Sci, Inst Environm Sci,Uni Carl Vogt, 66 Blvd Carl Vogt, CH-1211 Geneva 4, Switzerland.</t>
  </si>
  <si>
    <t>john.pote@unige.ch</t>
  </si>
  <si>
    <t>Swiss National Science Foundation [31003A_173281/1]; Academy of Research and Higher Education of Wallonia-Brussels (ARES); Swiss National Science Foundation (SNF) [31003A_173281] Funding Source: Swiss National Science Foundation (SNF)</t>
  </si>
  <si>
    <t>Swiss National Science Foundation(Swiss National Science Foundation (SNSF)); Academy of Research and Higher Education of Wallonia-Brussels (ARES); Swiss National Science Foundation (SNF)(Swiss National Science Foundation (SNSF))</t>
  </si>
  <si>
    <t>This work was supported by the Swiss National Science Foundation (grant no. 31003A_173281/1) and the Academy of Research and Higher Education of Wallonia-Brussels (ARES).</t>
  </si>
  <si>
    <t>e03049</t>
  </si>
  <si>
    <t>10.1016/j.heliyon.2019.e03049</t>
  </si>
  <si>
    <t>http://dx.doi.org/10.1016/j.heliyon.2019.e03049</t>
  </si>
  <si>
    <t>JY4QK</t>
  </si>
  <si>
    <t>WOS:000504401100135</t>
  </si>
  <si>
    <t>Conti, ME; Stripeikis, J; Finoia, MG; Tudino, MB</t>
  </si>
  <si>
    <t>Conti, Marcelo Enrique; Stripeikis, Jorge; Finoia, Maria Grazia; Beatriz Tudino, Mabel</t>
  </si>
  <si>
    <t>Baseline trace metals in bivalve molluscs from the Beagle Channel, Patagonia (Argentina)</t>
  </si>
  <si>
    <t>Bivalve mollusks; Seawater; Trace metals; Pollution biomonitoring; Beagle channel</t>
  </si>
  <si>
    <t>HEAVY-METALS; MYTILUS-GALLOPROVINCIALIS; CADMIUM; SEAWATER; MUSSELS; ALGAE; LEAD; POLLUTION; SEAGRASS; ELEMENTS</t>
  </si>
  <si>
    <t>In order to test the aptitude of individuals of Mytilus chilensis as biomonitors of heavy metals pollution in seawater, several samples of this mollusk together with surrounding seawater samples were collected along 170 km of the coastal area of the Beagle Channel (Tierra del Fuego, Argentina) in 2005 and 2007. The study, performed in seven locations strategically selected, involved the determination of Cd, Cr, Cu, Ni, Pb and Zn in seawaters and mollusks by atomic absorption spectrometry (AAS) and the calculation of the respective concentration factors (CFs). Obtained data were standardized and analyzed by multivariate techniques in order to establish differences between sampling sites and periods. Obtained results will be shown and the bioaccumulation ability of M. chilensis will be evaluated by comparison with results obtained for Mytilus species in different geographical marine areas. A fully discussion on the possibility of employing the results as background levels for comparative purposes in other marine waters of the world will be provided. The possible harm derived from human consumption of these mollusks will be also assessed.</t>
  </si>
  <si>
    <t>[Conti, Marcelo Enrique] Univ Rome, Dept Management, I-00161 Rome, Italy; [Conti, Marcelo Enrique] Int Acad Environm Sci IAES, I-30122 Venice, Sant Elena, Italy; [Stripeikis, Jorge; Beatriz Tudino, Mabel] Univ Buenos Aires, Dept Quim Inorgan Analit &amp; Quim Fis, Fac Ciencias Exactas &amp; Nat, INQUIMAE, Buenos Aires, DF, Argentina; [Finoia, Maria Grazia] Ist Super Protez &amp; Ric Ambientale, I-00166 Rome, Italy</t>
  </si>
  <si>
    <t>Sapienza University Rome; University of Buenos Aires; Italian Institute for Environmental Protection &amp; Research (ISPRA)</t>
  </si>
  <si>
    <t>Conti, ME (corresponding author), Univ Rome, Dept Management, Via Castro Laurenziano 9, I-00161 Rome, Italy.</t>
  </si>
  <si>
    <t>marcelo.conti@uniroma1.it</t>
  </si>
  <si>
    <t>CONTI, Marcelo Enrique/0000-0001-5273-2914</t>
  </si>
  <si>
    <t>Consorzio Universitario Italia-Argentina [CUIA-2006]; Universita di Roma, Italy [C26F09TP2K-2009]</t>
  </si>
  <si>
    <t>Consorzio Universitario Italia-Argentina; Universita di Roma, Italy</t>
  </si>
  <si>
    <t>We are grateful to Javier Omar Giordano and his team for their support during our stays in Tierra del Fuego. This work was in part financially supported by project of the Consorzio Universitario Italia-Argentina (CUIA-2006)-'Biological monitoring of the Beagle Channel (Patagonia, Argentina)'. This work was also financially supported by project prot. C26F09TP2K-2009, Sapienza, Universita di Roma, Italy.</t>
  </si>
  <si>
    <t>10.1007/s10646-011-0690-5</t>
  </si>
  <si>
    <t>http://dx.doi.org/10.1007/s10646-011-0690-5</t>
  </si>
  <si>
    <t>791TS</t>
  </si>
  <si>
    <t>WOS:000292689400016</t>
  </si>
  <si>
    <t>Kádár, E; Costa, V; Segonzac, M</t>
  </si>
  <si>
    <t>Kadar, Eniko; Costa, Valentina; Segonzac, Michel</t>
  </si>
  <si>
    <t>Trophic influences of metal accumulation in natural pollution laboratories at deep-sea hydrothermal vents of the Mid-Atlantic Ridge</t>
  </si>
  <si>
    <t>hydrothermal vent; mixing zone; heavy metals; vent invertebrates; endo-symbiont bacteria</t>
  </si>
  <si>
    <t>BIVALVE BATHYMODIOLUS-AZORICUS; AZORES TRIPLE JUNCTION; LUCKY-STRIKE; RIMICARIS-EXOCULATA; SULFIDE-BINDING; TRACE-METALS; FIELD; COMMUNITIES; SHRIMP; MUSSEL</t>
  </si>
  <si>
    <t>This study reports on the concentration of both, toxic (Hg) and essential (Fe, Cu, Zn) metals in representative species, at four hydrothermal vents along the Mid-Atlantic Ridge (MAR) corresponding to the different exposure conditions that are the result of contrasted geological setting and different depths along the ridge axis. Macro fauna collected from these vent sites showed markedly different whole tissue concentration of metals reflecting exposure levels. Bio-transfer of metals within a typical hydrothermal food chain was investigated. There were trophic level-specific variations in essential metal accumulation showing a general trend within which the secondary consumers (predators/scavengers) and primary consumers (filter-feeder/symbiont reliant species like the mixotrophic mollusks and sponges all having metal concentrations above those in passive suspension-feeders such as echinoderms, gorgonians) accumulated highest concentrations of all elements followed by primary producers such as endosymbiont bacteria. Mercury accumulation followed a somewhat different sequence among the same taxonomic groups: top concentrations in the symbiont-bearing filter-feeder bivalves &gt; crustaceans &gt; sponges &gt; bacteria &gt; echinoderms, gorgonians and tunicates. There were no indications of biomagnification of Hg, Cu and Zn unlike Fe that showed positive transference factors (TF) along two trophic levels of a typical chain at Menez Gwen. (c) 2006 Elsevier B.V. All rights reserved.</t>
  </si>
  <si>
    <t>Univ Azores, Dept Oceanog &amp; Fisheries, P-9900 Horta, Portugal; IFREMER, Ctr Brest, DRO EP CENTOB, F-29280 Plouzane, France</t>
  </si>
  <si>
    <t>Universidade dos Acores; Ifremer</t>
  </si>
  <si>
    <t>Kádár, E (corresponding author), Univ Azores, Dept Oceanog &amp; Fisheries, Rua Cais Santa Cruz, P-9900 Horta, Portugal.</t>
  </si>
  <si>
    <t>enikokadar@notes.horta.uac.pt</t>
  </si>
  <si>
    <t>Kadar, Eniko/E-4568-2010</t>
  </si>
  <si>
    <t>10.1016/j.scitotenv.2006.12.022</t>
  </si>
  <si>
    <t>http://dx.doi.org/10.1016/j.scitotenv.2006.12.022</t>
  </si>
  <si>
    <t>142DJ</t>
  </si>
  <si>
    <t>WOS:000244629100004</t>
  </si>
  <si>
    <t>Leung, KMY; Morgan, IJ; Wu, RSS; Lau, TC; Svavarsson, J; Furness, RW</t>
  </si>
  <si>
    <t>Growth rate as a factor confounding the use of the dogwhelk Nucella lapillus as biomonitor of heavy metal contamination</t>
  </si>
  <si>
    <t>dogwhelk; growth; metals; metallothionein; RNA; pollution</t>
  </si>
  <si>
    <t>MUSSEL MYTILUS-EDULIS; LITTORINA-LITTOREA; PHYSIOLOGICAL-RESPONSES; FORAGING BEHAVIOR; MARINE GASTROPODS; NATURAL FACTORS; CLYDE ESTUARY; TRACE-METALS; BODY-WEIGHT; DOG-WHELK</t>
  </si>
  <si>
    <t>Growth rate of individually tagged dogwhelks Nucella lapillus (L.) was measured in free-living individuals at 3 sites of differing heavy metal contamination in the Firth of Clyde, west Scotland. Condition index (CI), concentrations of metals (Cd, Cu, Pb and Zn), metallothionein (NIT), RNA (the RNA/protein ratio) and glycogen were also measured. In general, the marine environments of Gourock and Largs were contaminated with significantly higher tributyltin, Pb and Zn than Loch Fyne, as indicated by the results of imposex indices, and metal concentrations in transplanted polymer-ligands (Chelex (R) 100) and Mytilus edulis. Further, metal concentrations of native M. edulis (Pb and Zn) and Semibalanus balanoides (Cu) from Gourock were significantly higher than those from Loch Fyne. However, metal accumulation in the dogwhelks displayed a very different pattern. At a standard size (0.5 g wet soft-body weight), N. lapillus from Largs showed higher Cd, Cu and MT in their tissues than individuals from the other 2 populations. Levels of Pb and Zn were similar among the populations despite different concentrations in Chelex and mussels. Gourock dogwhelks showed similar levels of Cu and NIT but lower Cd compared to those of Loch Fyne. These differences can be attributed primarily to differences in dogwhelk growth rate between sites. Gourock individuals had a higher Cl and RNA/protein ratio in the foot muscle and grew faster (especially at small sizes), resulting in a tissue-dilution effect on metal and NIT concentrations, In contrast, higher levels of Cd, Cu and NIT in dogwhelks from Largs can be attributed to their growth rate being relatively slow compared to the rate of metal accumulation, Slow-growing individuals in Loch Fyne had relatively high Cd, Pb Zn and NIT, although Loch Fyne has been regarded as a clean reference site, Among populations, differences in growth rate may be due to differences in prey availability, predation pressure, and/or genotype. The present results demonstrate that inter-site differences in growth rate can confound the use of the dogwhelks as a biomonitor of metals.</t>
  </si>
  <si>
    <t>Univ London Royal Holloway &amp; Bedford New Coll, Sch Biol Sci, Egham TW20 0EX, Surrey, England; Univ Glasgow, Inst Biomed &amp; Life Sci, Glasgow G12 8QQ, Lanark, Scotland; City Univ Hong Kong, Dept Biol &amp; Chem, Kowloon, Hong Kong, Peoples R China; Univ Iceland, Inst Biol, IS-108 Reykjavik, Iceland</t>
  </si>
  <si>
    <t>University of London; Royal Holloway University London; University of Glasgow; City University of Hong Kong; University of Iceland</t>
  </si>
  <si>
    <t>Univ London Royal Holloway &amp; Bedford New Coll, Sch Biol Sci, Egham TW20 0EX, Surrey, England.</t>
  </si>
  <si>
    <t>k.leung@rhul.ac.uk</t>
  </si>
  <si>
    <t>Leung, Kenneth Mei Yee/0000-0002-2164-4281; Svavarsson, Jorundur/0000-0003-1842-7515; Lau, Tai-Chu/0000-0002-0867-9746</t>
  </si>
  <si>
    <t>10.3354/meps221145</t>
  </si>
  <si>
    <t>http://dx.doi.org/10.3354/meps221145</t>
  </si>
  <si>
    <t>496EF</t>
  </si>
  <si>
    <t>WOS:000172382700013</t>
  </si>
  <si>
    <t>BIRDSALL, CW; GRUE, CE; ANDERSON, A</t>
  </si>
  <si>
    <t>LEAD CONCENTRATIONS IN BULLFROG RANA-CATESBEIANA AND GREEN FROG RANA-CLAMITANS TADPOLES INHABITING HIGHWAY DRAINAGES</t>
  </si>
  <si>
    <t>Lead concentrations were determined in sediment and tadpoles of bullfrogs Rana catesbeiana and green frogs R. calmitans from drainages along highways with different daily average traffic volumes (range, 4272 to 108,800 vehicles day-1) and from ponds .gtoreq. 0.4 km from the nearest highway. Lead concentrations (mg kg-1 dry weight) in sediment (7.8 to 940) were usually greater (4-5 times) than those in the tadpoles (bullfrog, 0.07 to 270; green frog, 0.90 to 240 mg kg-1). Lead concentrations in sediment (r = 0.63) and in both species of tadpoles (bullfrog, r = 0.69; green frog, r = 0.57) were positively correlated with average daily traffic volume. Lead concentrations in both species of tadpoles (bullfrog, r = 0.76; green frog, r = 0.75) were also positively correlated with lead concentrations in sediment. At sites where both bullfrog and green frog tadpoles were collected, lead concentrations in the two species were closely related (r = 0.84). Lead concentrations in tadpoles living near highways may contribute to the elevated lead levels reported in wildlife that are potential tadpole predators. Dietary lead concentrations similar to those in our tadpoles have been associated with physiological and reproductive effects in some species of birds and mammals. However, additional data are needed to determine the hazards to predators of lead concentrations in tadpoles.</t>
  </si>
  <si>
    <t>US FISH &amp; WILDLIFE SERV, PATUXENT WILDLIFE RES CTR, LAUREL, MD 20708 USA</t>
  </si>
  <si>
    <t>United States Department of the Interior; US Fish &amp; Wildlife Service</t>
  </si>
  <si>
    <t>10.1016/0143-1471(86)90098-X</t>
  </si>
  <si>
    <t>http://dx.doi.org/10.1016/0143-1471(86)90098-X</t>
  </si>
  <si>
    <t>A2736</t>
  </si>
  <si>
    <t>WOS:A1986A273600005</t>
  </si>
  <si>
    <t>Han, SP; Raknuzzaman, M; Naito, W; Masunaga, S</t>
  </si>
  <si>
    <t>Han, Shuping; Raknuzzaman, Mohammad; Naito, Wataru; Masunaga, Shigeki</t>
  </si>
  <si>
    <t>Assessment of Metal Levels in Sediments and Oyster (Crassostrea gigas) Tissues from Shidugawa Bay, a Closed Japanese Aquaculture Environment</t>
  </si>
  <si>
    <t>Metals; Aquaculture; Antifouling paints; Estimated daily intake (EDI); Target cancer risk (TR); Health risk</t>
  </si>
  <si>
    <t>HEAVY-METALS; TRACE-METALS; FISH; BIOAVAILABILITY; SALMON; COPPER; COAST; WATER; ZINC</t>
  </si>
  <si>
    <t>Metals are used as alternatives of antifouling paints in aquaculture and toxic to cultured fish and shellfish. To assess antifouling paints, metal levels in sediment and in oyster (Crassostrea gigas) collected from a Japanese aquaculture were investigated. Elevated metal concentrations in sediment were found in the part of the aquaculture with high density of fish nets, and significantly positive correlations among the metals in sediments indicated that source(s) of these metals were common. The levels of metals were slightly higher in oyster tissues collected near bottom than near surface of seawater of the aquaculture. The levels of Cr, Ni, and As in dry oyster tissues from the aquaculture were higher than those from most Japanese coastal areas, while Cu, Zn, and Pb in dry basis were lower than those from other areas. Estimated daily intake (EDI) for men and women followed the order of Zn &gt; Cu &gt; As&gt;Cd &gt; Cr &gt; Ni &gt; Pb. Non-carcinogenic health hazard (HQ) and hazard index values (total HQ) of Cd, Cr, Ni, Cu, Zn, As, Cd, and Pb were lower than 1, indicating that women and men would experience no risks of studied metals if they ingested the oysters collected from Shidugawa Bay, but target cancer risk (TR) of As suggested that oyster may pose potential health risk for adult men and women via oyster consumption. Thus, continuous monitoring of trace elements in sediments and seafoods influenced by antifouling paints should be recommended.</t>
  </si>
  <si>
    <t>[Han, Shuping] Natl Inst Occupat Safety &amp; Hlth JAPAN, Div Exposure Sci, Res Ctr Chem Informat &amp; Management, Tama Ku, 6-21-1 Nagao, Kawasaki, Kanagawa 2148585, Japan; [Raknuzzaman, Mohammad] Univ Dhaka, Dept Fisheries, Registrar Bldg,Nilkhet Rd, Dhaka 1000, Bangladesh; [Naito, Wataru] Natl Inst Adv Ind Sci &amp; Technol, Res Inst Sci Safety &amp; Sustainabil, 16-1 Onogawa Tsukuba, Tsukuba, Ibaraki 3058569, Japan; [Masunaga, Shigeki] Yokohama Natl Univ, Fac Environm &amp; Informat Sci, Hodogaya Ku, 79-7 Tokiwadai, Yokohama, Kanagawa 2408501, Japan</t>
  </si>
  <si>
    <t>University of Dhaka; National Institute of Advanced Industrial Science &amp; Technology (AIST); Yokohama National University</t>
  </si>
  <si>
    <t>Han, SP (corresponding author), Natl Inst Occupat Safety &amp; Hlth JAPAN, Div Exposure Sci, Res Ctr Chem Informat &amp; Management, Tama Ku, 6-21-1 Nagao, Kawasaki, Kanagawa 2148585, Japan.</t>
  </si>
  <si>
    <t>han-shuping-fe@outlook.jp; mraknuz@du.ac.bd; w-naito@aist.go.jp; masunaga-shigeki-dh@ynu.ac.jp</t>
  </si>
  <si>
    <t>Masunaga, Shigeki/F-1315-2011; Naito, Wataru/M-1928-2018</t>
  </si>
  <si>
    <t>Japanese Copper Institution</t>
  </si>
  <si>
    <t>This research was supported by the Japanese Copper Institution. The authors thank the members of the Togura Fishery Cooperative and EAC Corporation for collecting oyster and sediment samples, respectively. We also thank Prof. Nobuhiro Kaneko of Yokohama National University for his assistance with the analyses of total carbon and total nitrogen in sediments. Last but not least, we thank Prof. Muhammad Rafiqul Islam of Bangladesh Agricultural University for his constructive comments and discussions on our manuscript.</t>
  </si>
  <si>
    <t>10.1007/s11270-020-04666-z</t>
  </si>
  <si>
    <t>http://dx.doi.org/10.1007/s11270-020-04666-z</t>
  </si>
  <si>
    <t>MH8AE</t>
  </si>
  <si>
    <t>WOS:000546944000002</t>
  </si>
  <si>
    <t>Gao, HC; Sun, YM; Zhou, JJ; Xu, R; Duan, HW</t>
  </si>
  <si>
    <t>Gao, Hongcai; Sun, Yimin; Zhou, Jiajing; Xu, Rong; Duan, Hongwei</t>
  </si>
  <si>
    <t>Mussel-Inspired Synthesis of Polydopamine-Functionalized Graphene Hydrogel as Reusable Adsorbents for Water Purification</t>
  </si>
  <si>
    <t>grapheme hydrogel; bioinspired coating; polydopamine; water purification; adsorption; heavy metal ions</t>
  </si>
  <si>
    <t>CARBON NANOTUBES; AQUEOUS-SOLUTION; CADMIUM ADSORPTION; SURFACE-CHEMISTRY; METAL-IONS; OXIDE; REMOVAL; NANOPARTICLES; AEROGELS; NANOSTRUCTURES</t>
  </si>
  <si>
    <t>We present a one-step approach to polydopamine-modified graphene hydrogel, with dopamine serving as both reductant and surface functionalization agents. The synthetic method is based on the spontaneous polymerization of dopamine and the self-assembly of graphene nanosheets into porous hydrogel structures. Benefiting from the abundant functional groups of polydopamine and the high specific surface areas of graphene hydrogel with three-dimensional interconnected pores, the prepared material exhibits high adsorption capacities toward a wide spectrum of contaminants, including heavy metals, synthetic dyes, and aromatic pollutants. Importantly, the free-standing graphene hydrogel can be easily removed from water after adsorption process, and can be regenerated by altering the pH values of the solution for adsorbed heavy metals or using low-cost alcohols for synthetic dyes and aromatic molecules.</t>
  </si>
  <si>
    <t>[Gao, Hongcai; Sun, Yimin; Zhou, Jiajing; Xu, Rong; Duan, Hongwei] Nanyang Technol Univ, Sch Chem &amp; Biomed Engn, Singapore 637457, Singapore</t>
  </si>
  <si>
    <t>Nanyang Technological University</t>
  </si>
  <si>
    <t>Duan, HW (corresponding author), Nanyang Technol Univ, Sch Chem &amp; Biomed Engn, 70 Nanyang Dr, Singapore 637457, Singapore.</t>
  </si>
  <si>
    <t>hduan@ntu.edu.sg</t>
  </si>
  <si>
    <t>Duan, Hongwei/G-6228-2010; Xu, Rong/G-6204-2010; /U-4013-2019</t>
  </si>
  <si>
    <t>Gao, Hongcai/0000-0002-3671-8765; Duan, Hongwei/0000-0003-2841-3344</t>
  </si>
  <si>
    <t>program of Nanyang Assistant Professorship; Nanyang Technological University, Singapore; INSIST program at Nanyang Technological University</t>
  </si>
  <si>
    <t>program of Nanyang Assistant Professorship; Nanyang Technological University, Singapore(Nanyang Technological University); INSIST program at Nanyang Technological University(Nanyang Technological University)</t>
  </si>
  <si>
    <t>H.D. thanks the program of Nanyang Assistant Professorship for financial support. H.G. is a recipient of graduate research scholarship supported by Nanyang Technological University, Singapore. This work is also supported by the INSIST program at Nanyang Technological University.</t>
  </si>
  <si>
    <t>JAN 23</t>
  </si>
  <si>
    <t>10.1021/am302500v</t>
  </si>
  <si>
    <t>http://dx.doi.org/10.1021/am302500v</t>
  </si>
  <si>
    <t>079AV</t>
  </si>
  <si>
    <t>WOS:000314143500028</t>
  </si>
  <si>
    <t>Hariharan, G; Purvaja, R; Ramesh, R</t>
  </si>
  <si>
    <t>Hariharan, G.; Purvaja, R.; Ramesh, R.</t>
  </si>
  <si>
    <t>TOXIC EFFECTS OF LEAD ON BIOCHEMICAL AND HISTOLOGICAL ALTERATIONS IN GREEN MUSSEL (Perna viridis) INDUCED BY ENVIRONMENTALLY RELEVANT CONCENTRATIONS</t>
  </si>
  <si>
    <t>SOUTH EAST-COAST; HEAVY-METALS; LITOPENAEUS-VANNAMEI; OXIDATIVE STRESS; BIOMARKERS; POLLUTION; EXPOSURE; CADMIUM; BIOACCUMULATION; CONTAMINATION</t>
  </si>
  <si>
    <t>Acute and chronic toxicity tests were conducted on green mussel (Perna viridis) to determine the adverse effects of lead (Pb). Exposure of organisms to acute toxicity test for 96 h and lethal concentration (LC50) was the endpoint of the test. Acute toxicity for 96-h LC50 and 95% confidence intervals of P. viridis was 2.62 +/- 0.12 (2.62-3.24) mg/L Pb. Chronic toxicity tests revealed that survival of exposed organisms decreased with elevated exposure concentrations. No-observed-effect concentration (NOEC) and lowest-observed-effect concentration (LOEC) were calculated based on survival of test organisms. Results of this study demonstrated an increase in toxicity in test organisms with rise in exposure time and concentration. In this study, histology and biochemical enzymes, namely, catalase, reduced glutathione, glutathione S-transferase, and lipid peroxides, were correlated with chronic value and survival endpoints of P. viridis after chronic exposure to Pb. Biochemical and histological responses to different concentrations of Pb were assessed and significant differences were observed between control and increasing exposure concentrations. Biomarker studies in internal organs confirmed that the observed changes are due to adverse effects of Pb. This assessment of toxicity was the first step to determining the seawater quality criteria for marine organisms.</t>
  </si>
  <si>
    <t>[Hariharan, G.] Anna Univ, Inst Ocean Management, Madras 600025, Tamil Nadu, India; [Purvaja, R.; Ramesh, R.] Natl Ctr Sustainable Coastal Management, Madras, Tamil Nadu, India</t>
  </si>
  <si>
    <t>Ramesh, R (corresponding author), Minist Environm &amp; Forests, Natl Ctr Sustainable Coastal Management, Koodal Bldg,Anna Univ Campus, Madras 600025, Tamil Nadu, India.</t>
  </si>
  <si>
    <t>rramesh_au@yahoo.com</t>
  </si>
  <si>
    <t>Ramachandran, Ramesh/B-4814-2018; Ramachandran, Purvaja/K-5522-2018; Govindasamy, Hariharan/B-2973-2018</t>
  </si>
  <si>
    <t>Ramachandran, Ramesh/0000-0003-2471-7746; Ramachandran, Purvaja/0000-0001-7937-3763; Govindasamy, Hariharan/0000-0003-1315-3180</t>
  </si>
  <si>
    <t>Ministry of Earth Science, Government of India, New Delhi [OES/ICMAM-/11thPlan/ME/IOM/56/2007]</t>
  </si>
  <si>
    <t>Ministry of Earth Science, Government of India, New Delhi</t>
  </si>
  <si>
    <t>The authors express their gratitude to the Ministry of Earth Science, Government of India, New Delhi (Project Grant No. OES/ICMAM-/11thPlan/ME/IOM/56/2007), for providing funds to conduct this study.</t>
  </si>
  <si>
    <t>10.1080/15287394.2013.861777</t>
  </si>
  <si>
    <t>http://dx.doi.org/10.1080/15287394.2013.861777</t>
  </si>
  <si>
    <t>AB9VZ</t>
  </si>
  <si>
    <t>WOS:000332145100002</t>
  </si>
  <si>
    <t>Culotta, L; Gianguzza, A; Orecchio, S; Tagarelli, A</t>
  </si>
  <si>
    <t>Culotta, Loredana; Gianguzza, Antonio; Orecchio, Santino; Tagarelli, Antonio</t>
  </si>
  <si>
    <t>Sand clams of Ganzirri marine coastal lagoon in Messina (Italy). Extraction and ICP-MS analysis</t>
  </si>
  <si>
    <t>trace heavy metals; bivalve molluscs; marine sediments; speciation</t>
  </si>
  <si>
    <t>POLYCYCLIC AROMATIC-HYDROCARBONS; HEAVY-METALS; TRACE-METALS; ATLANTIC COAST; LIQUID-CHROMATOGRAPHY; CONTAMINATED SOILS; SURFACE SEDIMENTS; SOUTHERN SPAIN; MOLLUSKS; WATER</t>
  </si>
  <si>
    <t>This paper studies the possible forms or phases of heavy metals in sediments of a marine coastal lagoon, called Ganzirri, located in the Sicilian coast of the Messina's strait by using sequential extraction. To reduce the extraction time of the Tessier method, the last step of speciation was carried out by mineralization in a microwave oven. Here we report the results of the distribution of As, Be, Cd, Co, Cr, Cu, Mo, Ni, Ph, Sb, Se, Tl, V and Zn, in four fractions of sediments samples and the concentration of the same metals in clams. This study looked at three bivalve mollusc species, Tapes decussates, Chamelea gallina and Cardium edule, raised in the sediment considered and discussed the relationships between sediments and clams of same place. The metals were analyzed by means ICP-MS. To compare the total metals content at the different sampling sites, the metal pollution index (MPI) was used. The values ranged from 1.5 to 3.0. Generally, the metal content in the labile fraction of sediments is rather low and representing from 1.4 to 2.0% of the sum of four fractions. In all the sediments investigated in the present study, Fe-Mn oxides play a major role in binding As, Cu, Mo, Ni and Zn sometimes reaching about 80% of the total metals. Most of the metals (Be, Co, Tl, V, Zn) occur in the form of sulphur and/or of organic complexes that can strongly influence their mobility and availability in the environment and to a minor extent are bound to carbonates and Fe and Mn oxides. The concentrations of most of the metals in the three species of bivalves studied not vary notably depending on the location of the sampling sites and on different species. The values of MPI, calculated for tissues, range from 0.31 to 0.44. The concentrations of metals in the three species of clam from Ganzirri coastal lagoon of Southern Italy are lower than similar studies accomplished in other regions of the world consequently they may be used as baseline values.</t>
  </si>
  <si>
    <t>[Culotta, Loredana; Gianguzza, Antonio; Orecchio, Santino] Univ Palermo, Dipartimento Chim Inorgan &amp; Analit, I-90128 Palermo, Italy; [Tagarelli, Antonio] Univ Calabria, Dipartimento Chim, Areavacata Rende, CS, Italy</t>
  </si>
  <si>
    <t>University of Palermo; University of Calabria</t>
  </si>
  <si>
    <t>Orecchio, S (corresponding author), Univ Palermo, Dipartimento Chim Inorgan &amp; Analit, Parco Orleans 2, I-90128 Palermo, Italy.</t>
  </si>
  <si>
    <t>orecchio@unipa.it</t>
  </si>
  <si>
    <t>Tagarelli, Antonio/0000-0002-8811-1631; Gianguzza, Antonio/0000-0003-3993-6167; Orecchio, Santino/0000-0002-5429-5188</t>
  </si>
  <si>
    <t>279VS</t>
  </si>
  <si>
    <t>WOS:000254383900002</t>
  </si>
  <si>
    <t>ZAROOGIAN, GE; JOHNSON, M</t>
  </si>
  <si>
    <t>CHROMIUM UPTAKE AND LOSS IN THE BIVALVES CRASSOSTREA-VIRGINICA AND MYTILUS-EDULIS</t>
  </si>
  <si>
    <t>Cr uptake and loss by the bivalves C. virginica and M. edulis were studied at naturally occurring seawater temperature and salinity to determine their potential as an indicator of Cr pollution. After 12 wk treatment with 5 and 100 ppb Cr seawater, mean tissue concentration in oysters, C. virginica, was 3.12 .+-. 0.45 and 5.63 .+-. 1.15 .mu.g Cr g-1 dry weight, respectively. Mean Cr concentration in mussels, M. edulis, treated with 5 and 10 ppb Cr seawater for 12 wk were 4.83 .+-. 1.32 and 9.41 .+-. 3.37 .mu.g Cr g-1 dry weight, respectively. Significant linear relationships exist between Cr uptake by oysters and mussels and seawater Cr concentrations over the range of concentrations used in this study. A significant inverse relationship exists between tissue Cr concentration and dry wt in both oysters and mussels. Cr concentration in oysters continued to increase during spawning, whereas it decreased in mussels. After holding Cr treated mussels in ambient flowing seawater for 28 wk, a 61 and 70% loss of Cr occurred in mussels treated with 5 and 10 ppb Cr, respectively. When treated similarly, oysters from both the 5 and 10 ppb Cr treatments lost 42% of their tissue Cr after 28 wk depuration. Evidence is presented which suggests that oysters would be a better indicator of Cr pollution of the environment than mussels.</t>
  </si>
  <si>
    <t>US EPA, ENVIRONM RES LAB, S FERRY RD, NARRAGANSETT, RI 02882 USA.</t>
  </si>
  <si>
    <t>10.3354/meps012167</t>
  </si>
  <si>
    <t>http://dx.doi.org/10.3354/meps012167</t>
  </si>
  <si>
    <t>QT101</t>
  </si>
  <si>
    <t>WOS:A1983QT10100008</t>
  </si>
  <si>
    <t>Vernon, EL; Moore, MN; Bean, TP; Jha, AN</t>
  </si>
  <si>
    <t>Vernon, Emily L.; Moore, Michael N.; Bean, Tim P.; Jha, Awadhesh N.</t>
  </si>
  <si>
    <t>Evaluation of interactive effects of phosphorus-32 and copper on marine and freshwater bivalve mollusks</t>
  </si>
  <si>
    <t>INTERNATIONAL JOURNAL OF RADIATION BIOLOGY</t>
  </si>
  <si>
    <t>Bivalve; 32Phosphorus (32P); genotoxicity; gene expression; metal</t>
  </si>
  <si>
    <t>INDUCED DNA-DAMAGE; HEPATIC TRANSCRIPTIONAL RESPONSES; MEDAKA ORYZIAS-LATIPES; IONIZING-RADIATION; TRITIATED-WATER; GAMMA-RADIATION; ENVIRONMENTAL PROGNOSTICS; RELATIVE SENSITIVITY; PROTEOMIC RESPONSE; OXIDATIVE STRESS</t>
  </si>
  <si>
    <t>Purpose Contaminants seldom occur in isolation in the aquatic environment. While pollution of coastal and inland water bodies has received considerable attention to date, there is limited information on potential interactive effects between radionuclides and metals. Whether by accidental or controlled release, such contaminants co-exist in aquatic ecosystems and can pose an enhanced threat to biota. Using a range of biological responses, the study aimed to evaluate relative interactive effects on representative freshwater and marine bivalve species. Methods An integrated, multi-biomarker approach was adopted to investigate response to copper (Cu, 18 mu g L-1), a known environmentally relevant genotoxic metal and differing concentrations of phosphorus-32 (P-32; 0.1 and 1 mGy d(-1)), alone and in combination in marine (Mytilus galloprovincialis) and freshwater (Dreissena polymorpha) mussels. Genetic and molecular biomarkers were determined post-exposure and included DNA damage (as measured by the comet assay), micronuclei (MN) formation, gamma -H2AX foci induction and the expression of key stress-related genes (i.e. hsp70/90, sod, cat, gst). Results Overall, using a tissue-specific (i.e. gill and digestive gland) approach, genotoxic response was reflective of exposures where Cu had a slight additive effect on P-32-induced damage across the species (but not all), cell types and dose rates. Multivariate analysis found significant correlations between comet and gamma -H2AX assays, across both the tissues. Transcriptional expression of selected genes were generally unaltered in response to contaminant exposures, independent of species or tissues. Conclusions Our study is the first to explore the interactive effects of ionizing radiation (IR) and Cu on two bivalve species representing two ecological habitats. The complexity of IR-metal interactions demonstrate that extrapolation of findings obtained from single stressor studies into field conditions could be misrepresentative of real-world environments. In turn, environmental protective strategies deemed suitable in protecting biota from a single, isolated stressor may not be wholly adequate.</t>
  </si>
  <si>
    <t>[Vernon, Emily L.; Moore, Michael N.; Jha, Awadhesh N.] Univ Plymouth, Sch Biol &amp; Marine Sci, Plymouth, Devon, England; [Moore, Michael N.] Univ Exeter, Med Sch, European Ctr Environm &amp; Human Hlth ECEHH, Truro, England; [Moore, Michael N.] Plymouth Marine Lab, Plymouth, Devon, England; [Bean, Tim P.] Cefas Weymouth Lab, Weymouth, England; [Bean, Tim P.] Univ Edinburgh, Roslin Inst, Edinburgh, Midlothian, Scotland; [Bean, Tim P.] Univ Edinburgh, Royal Dick Sch Vet Studies, Edinburgh, Midlothian, Scotland</t>
  </si>
  <si>
    <t>University of Plymouth; University of Exeter; Plymouth Marine Laboratory; Centre for Environment Fisheries &amp; Aquaculture Science; University of Edinburgh; UK Research &amp; Innovation (UKRI); Biotechnology and Biological Sciences Research Council (BBSRC); Roslin Institute; University of Edinburgh</t>
  </si>
  <si>
    <t>Jha, AN (corresponding author), Univ Plymouth, Sch Biol &amp; Marine Sci, Plymouth, Devon, England.</t>
  </si>
  <si>
    <t>Bean, Tim/H-6792-2014</t>
  </si>
  <si>
    <t>Jha, Awadhesh/0000-0001-9660-4308</t>
  </si>
  <si>
    <t>Natural Environment Research Council (NERC); Environment Agency (EA); Radioactive Waste Management Limited (RWM) under the Radioactivity and the Environment (RATE) programme [NE/L000393/1]</t>
  </si>
  <si>
    <t>Natural Environment Research Council (NERC)(UK Research &amp; Innovation (UKRI)Natural Environment Research Council (NERC)); Environment Agency (EA); Radioactive Waste Management Limited (RWM) under the Radioactivity and the Environment (RATE) programme</t>
  </si>
  <si>
    <t>This work was funded by the Natural Environment Research Council (NERC), the Environment Agency (EA) and Radioactive Waste Management Limited (RWM) under the Radioactivity and the Environment (RATE) programme [Grant no.: NE/L000393/1].</t>
  </si>
  <si>
    <t>0955-3002</t>
  </si>
  <si>
    <t>1362-3095</t>
  </si>
  <si>
    <t>INT J RADIAT BIOL</t>
  </si>
  <si>
    <t>Int. J. Radiat. Biol.</t>
  </si>
  <si>
    <t>JUN 3</t>
  </si>
  <si>
    <t>10.1080/09553002.2020.1823032</t>
  </si>
  <si>
    <t>http://dx.doi.org/10.1080/09553002.2020.1823032</t>
  </si>
  <si>
    <t>Biology; Nuclear Science &amp; Technology; Radiology, Nuclear Medicine &amp; Medical Imaging</t>
  </si>
  <si>
    <t>Life Sciences &amp; Biomedicine - Other Topics; Nuclear Science &amp; Technology; Radiology, Nuclear Medicine &amp; Medical Imaging</t>
  </si>
  <si>
    <t>1Y1DA</t>
  </si>
  <si>
    <t>WOS:000575623300001</t>
  </si>
  <si>
    <t>DEZWAAN, A; CORTESI, P; CATTANI, O</t>
  </si>
  <si>
    <t>RESISTANCE OF BIVALVES TO ANOXIA AS A RESPONSE TO POLLUTION-INDUCED ENVIRONMENTAL-STRESS</t>
  </si>
  <si>
    <t>Regional Meeting of the Society-of-Ecotoxicology-and-Environmental-Safety on Environmental Toxicology - Hazards to the Environment and Man in the Mediterranean Region</t>
  </si>
  <si>
    <t>SEP 26-29, 1993</t>
  </si>
  <si>
    <t>ROME, ITALY</t>
  </si>
  <si>
    <t>BIVALVE; ANOXIA; POLLUTION-INDUCED RESPONSE; ENVIRONMENTAL STRESS; PHOSPHOARGININE; STROMBINE</t>
  </si>
  <si>
    <t>MUSSEL MYTILUS-EDULIS; SCAPHARCA-INAEQUIVALVIS; SURVIVAL; METABOLISM</t>
  </si>
  <si>
    <t>The effect of environmental pollution stress factors on anoxic survival time was established in three bivalve molluscs (Mytilus edulis, Scapharca inaequiualvis and Venus gallina). In order to study relationships with energy status of the cell and ATP turnover rates the accumulation of fermentative end-products and changes in the glycogen, the adenylate phosphate and the phosphoarginine pool were also estimated. The response among the different species was not consistent. In contrast to Scapharca inaequivalvis, in Mytilus edulis and Venus gallina, accumulated cadmium reduced the tolerance to anoxic conditions. In Mytilus edulis this was accompanied with enhanced metabolic activity indicating a higher anaerobic ATP utilization rate. Additional evidence from literature shows that the anoxic survival response of mussels is a simple method to judge whether environmental variables might have perturbing effects on cellular processes which lead to reduced fitness.</t>
  </si>
  <si>
    <t>UNIV BOLOGNA,DEPT BIOCHEM,VET SECT,I-40064 BOLOGNA,ITALY</t>
  </si>
  <si>
    <t>University of Bologna</t>
  </si>
  <si>
    <t>DEZWAAN, A (corresponding author), NETHERLANDS INST ECOL,CTR ESTUARINE &amp; COASTAL ECOL,VIERSTR 28,4401 EA YERSEKE,NETHERLANDS.</t>
  </si>
  <si>
    <t>OCT 27</t>
  </si>
  <si>
    <t>10.1016/0048-9697(95)04675-4</t>
  </si>
  <si>
    <t>http://dx.doi.org/10.1016/0048-9697(95)04675-4</t>
  </si>
  <si>
    <t>TB236</t>
  </si>
  <si>
    <t>WOS:A1995TB23600016</t>
  </si>
  <si>
    <t>Mauri, M; Polimeni, R; Modica, A; Ferraro, M</t>
  </si>
  <si>
    <t>Heavy metal bioaccumulation associated with drilling and production activities in middle Adriatic Sea</t>
  </si>
  <si>
    <t>platform; sacrificial anodes; bivalve molluscs; bioaccumulation</t>
  </si>
  <si>
    <t>SEDIMENTS; SHELL; POLLUTION; CADMIUM</t>
  </si>
  <si>
    <t>The results presented here constitute part of a wide-ranging research project carried out between 1992 and 1994, aiming to investigate the effects of offshore AGIP hydrocarbon production activities on the abiotic and biotic environments of the Adriatic Sea. The following data in particular allow us to carry out an assessment of the effects of the contamination - in relation to both the long term effects of past discharge of drilling muds and the release of metals from sacrificial anodes - on selected marine bivalves, located in the area influenced by a gas platform named Antares and sited off the coast of Ravenna.</t>
  </si>
  <si>
    <t>Univ Modena, Dipartimento Biol Anim, I-41100 Modena, Italy</t>
  </si>
  <si>
    <t>Universita di Modena e Reggio Emilia</t>
  </si>
  <si>
    <t>Mauri, M (corresponding author), Univ Modena, Dipartimento Biol Anim, Via Univ 4, I-41100 Modena, Italy.</t>
  </si>
  <si>
    <t>1A-2A</t>
  </si>
  <si>
    <t>199DL</t>
  </si>
  <si>
    <t>WOS:000080465100009</t>
  </si>
  <si>
    <t>Ansari, NR; Iglesias, NF; Cordeiro, RC; Fernandez, MA; Bettmer, J</t>
  </si>
  <si>
    <t>Ansari, Nafisa Rizzini; Fernandez Iglesias, Nerea; Cordeiro, Renato Campello; Fernandez, Marcos Antonio; Bettmer, Jorg</t>
  </si>
  <si>
    <t>Determination and speciation of cadmium in microcosms with Bunodosoma caissarum and Perna perna using isotopically enriched 116Cd</t>
  </si>
  <si>
    <t>Inductively coupled plasma-mass spectrometry (ICP-MS); Isotope dilution analysis (IDA); Isotope pattern deconvolution (IPD); Cadmium; Bunodosoma caissarum; Perna perna; Elemental speciation</t>
  </si>
  <si>
    <t>ANEMONE ANTHOPLEURA-ELEGANTISSIMA; TRACE-METAL CONCENTRATIONS; RIO-DE-JANEIRO; DIFFERENTIAL ACCUMULATION; AQUATIC INVERTEBRATES; SYMBIOTIC STATE; GUANABARA BAY; HEAVY-METALS; BLACK-SEA; ICP-MS</t>
  </si>
  <si>
    <t>The study of the uptake and distribution of elements in marine environments is of great interest for understanding their pathways and accumulation. Here, we investigated in laboratory experiments the accumulation behavior of Cd in the sea anemone Bunodosoma caissarum and the mussel Perna perm. Specimens were incubated with isotopically enriched Cd-116 in aquariums. Cd concentrations in the seawater and in the tissues of B. caissarum and P. perna were followed by inductively coupled plasma-mass spectrometry (ICP-MS) by means of isotope dilution analysis. Bioconcentration factors for B. caissarum and P. perm exposed to 0.9 mu g.L-1 of Cd-116 were determined to be 80.5 and 850, respectively. P. perna specimens exposed to 4.5 mu g.L-1 of Cd-116 reached 530. Cytosolic proteins associated with Cd from the tissues were extracted and further analyzed by size-exclusion chromatography coupled to ICP-MS. Cd accumulation could be detected in both organisms ranging from high-molecular to low molecular species. (C) 2016 Elsevier Ltd. All rights reserved.</t>
  </si>
  <si>
    <t>[Ansari, Nafisa Rizzini; Cordeiro, Renato Campello] Univ Fed Fluminense, Dept Geoquim, Inst Quim, Outeiro Sao Joao Batista S-N,5 Andar, BR-24020141 Niteroi, RJ, Brazil; [Fernandez Iglesias, Nerea; Bettmer, Jorg] Univ Oviedo, Dept Phys &amp; Analyt Chem, C Julian Claveria 8, E-33006 Oviedo, Spain; [Fernandez, Marcos Antonio] Univ Estado Rio de Janeiro, Fac Oceanog, Sao Francisco Xavier St 524,4018E, BR-20550013 Maracana, RJ, Brazil</t>
  </si>
  <si>
    <t>Universidade Federal Fluminense; University of Oviedo; Universidade do Estado do Rio de Janeiro</t>
  </si>
  <si>
    <t>Ansari, NR (corresponding author), Univ Fed Fluminense, Dept Geoquim, Inst Quim, Outeiro Sao Joao Batista S-N,5 Andar, BR-24020141 Niteroi, RJ, Brazil.;Bettmer, J (corresponding author), Univ Oviedo, Dept Phys &amp; Analyt Chem, C Julian Claveria 8, E-33006 Oviedo, Spain.</t>
  </si>
  <si>
    <t>nafisarizzini@yahoo.com; bettmerjorg@uniovi.es</t>
  </si>
  <si>
    <t>FERNANDEZ, MARCOS/AAH-7086-2021; Bettmer, Jorg/AFF-9874-2022; Campello Cordeiro, Renato/J-8870-2013</t>
  </si>
  <si>
    <t>Bettmer, Jorg/0000-0001-9923-9684; Rizzini Ansari, Nafisa/0000-0003-0932-9198; Campello Cordeiro, Renato/0000-0002-6785-601X</t>
  </si>
  <si>
    <t>PDSE [BEX 18799/12-4]; Spanish MICINN (Spanish Ministry for Science and Innovation) [CTQ2011-23038]</t>
  </si>
  <si>
    <t>PDSE; Spanish MICINN (Spanish Ministry for Science and Innovation)(Spanish Government)</t>
  </si>
  <si>
    <t>We thank the Brazilian research foundation CAPES (Coordination for the Improvement of Higher Education Personnel) for the PhD research grant, PDSE (Proc. BEX 18799/12-4), that made this study possible. Financial support given by the Spanish MICINN (Spanish Ministry for Science and Innovation, Grant number CTQ2011-23038) is kindly acknowledged. A special thanks to Natalia D. Lima and Cesar A. M. M. Cordeiro for their help with the sampling collection and to Janaina L. Pereira for the support with the aquarium care.</t>
  </si>
  <si>
    <t>10.1016/j.marpolbul.2016.12.010</t>
  </si>
  <si>
    <t>http://dx.doi.org/10.1016/j.marpolbul.2016.12.010</t>
  </si>
  <si>
    <t>WOS:000394399800055</t>
  </si>
  <si>
    <t>Pedrosa, J; Gravato, C; Campos, D; Cardoso, P; Figueira, E; Nowak, C; Soares, AMVM; Barata, C; Pestana, JLT</t>
  </si>
  <si>
    <t>Pedrosa, Joao; Gravato, Carlos; Campos, Diana; Cardoso, Paulo; Figueira, Etelvina; Nowak, Carsten; Soares, Amadeu M. V. M.; Barata, Carlos; Pestana, Joao L. T.</t>
  </si>
  <si>
    <t>Investigating heritability of cadmium tolerance in Chironomus riparius natural populations: A physiological approach</t>
  </si>
  <si>
    <t>Metal tolerance; Metallothioneins; Glutathione; Oxidative damage; Energy allocation; Protein profile</t>
  </si>
  <si>
    <t>ANTIOXIDANT ENZYME-ACTIVITIES; GLUTATHIONE-S-TRANSFERASE; DRIVEN GENETIC EROSION; OXIDATIVE STRESS; DAPHNIA-MAGNA; PHENOTYPIC PLASTICITY; LIPID-PEROXIDATION; HEAT-SHOCK; PTEROSTICHUS-OBLONGOPUNCTATUS; CONTAMINATED SEDIMENTS</t>
  </si>
  <si>
    <t>Physiological responses allow populations to cope with metal contamination and can be involved in the evolution of tolerance under historical metal contamination scenarios. Here we investigate physiological aspects that might be underlying the heritable high tolerance to cadmium (Cd) in two Chironomus riparius populations collected from historically metal contaminated sites in comparison to two populations from reference sites. To evaluate differences in the physiological response to short-term Cd exposure, protein expression profiles, metallothioneins [MTs] and several antioxidant defences such as total glutathione (GSH(t)), catalase (CAT) and glutathione-S-transferases [GSTs], were measured in all four populations reared for at least 8 generations under laboratory clean conditions. Cd-induced oxidative damage in lipids and energy related parameters (energy consumption and energy reserves) were also assessed. Results showed two major gradients of protein profiles according to Cd concentration and population tolerance. Furthermore, Cd-tolerant populations showed higher baseline levels of MTs and GSHt while Cd-sensitive populations, collected from reference sites, showed significant induction of GSHt levels with Cd exposure that were nonetheless insufficient to avoid increased oxidative damage to lipids. Cd exposure had no clear effects on the antioxidant enzymes or energy reserves but triggered a general increase in energy consumption. Finally, energy consumption was higher in Cd-tolerant populations across experimental conditions. Altogether, results demonstrate that inherited Cd-tolerance in these midge populations is related, at least in part, with different constitutive levels and plasticity of different defence mechanisms confirming the validity of using multiple physiological traits when studying evolution of tolerance. (C) 2016 Elsevier Ltd. All rights reserved.</t>
  </si>
  <si>
    <t>[Pedrosa, Joao; Gravato, Carlos; Campos, Diana; Cardoso, Paulo; Figueira, Etelvina; Soares, Amadeu M. V. M.; Pestana, Joao L. T.] Univ Aveiro, Dept Biol, P-3810193 Aveiro, Portugal; [Pedrosa, Joao; Gravato, Carlos; Campos, Diana; Cardoso, Paulo; Figueira, Etelvina; Soares, Amadeu M. V. M.; Pestana, Joao L. T.] Univ Aveiro, CESAM, P-3810193 Aveiro, Portugal; [Pedrosa, Joao; Nowak, Carsten] Conservat Genet Grp, Senckenberg Res Inst, Clamecystr 12, D-63571 Gelnhausen, Germany; [Pedrosa, Joao; Nowak, Carsten] Nat Hist Museum Frankfurt, Clamecystr 12, D-63571 Gelnhausen, Germany; [Barata, Carlos] IDAEA CSIC, Dept Environm Chem, Jordi Girona 18-26, Barcelona 08034, Spain</t>
  </si>
  <si>
    <t>Pedrosa, J; Pestana, JLT (corresponding author), Univ Aveiro, Dept Biol, P-3810193 Aveiro, Portugal.;Pedrosa, J; Pestana, JLT (corresponding author), Univ Aveiro, CESAM, P-3810193 Aveiro, Portugal.</t>
  </si>
  <si>
    <t>jpedrosa@ua.pt; jpestana@ua.pt</t>
  </si>
  <si>
    <t>; Pestana, Joao/A-9279-2008; Cardoso, Paulo/V-5260-2018; Figueira, Etelvina/M-6116-2013; Campos, Diana M/U-9808-2018; Barata, Carlos/K-8232-2014; Nowak, Carsten/A-4466-2014; Gravato, Carlos Alexandre Sarabando/I-6496-2019; Soares, Amadeu/A-8304-2008</t>
  </si>
  <si>
    <t>Medina Pestana, Jose/0000-0003-3912-2980; Pestana, Joao/0000-0003-1322-2959; Cardoso, Paulo/0000-0002-1234-5861; Figueira, Etelvina/0000-0002-6763-2665; Campos, Diana M/0000-0002-3272-9360; Barata, Carlos/0000-0002-3360-0729; Nowak, Carsten/0000-0002-3139-1951; Gravato, Carlos Alexandre Sarabando/0000-0003-0562-6945; Soares, Amadeu/0000-0003-0879-9470</t>
  </si>
  <si>
    <t>Portuguese Science Foundation (FCT) through CESAM [UID/AMB/50017/2013]; COMPETE program (Programa Operacional Fatores de Competitividade, FEDER component); National funding through FCT-Fundacao para a Ciencia e Tecnologia within the research project MIDGE Microevolutionary Dynamics and Genetic Erosion in pollution-affected Chironomus [PTDC/BIA-BEC/104125/2008]; FCT; POPH/FSE (Programa Operacional Potential Humano/Fundo Social Europeu) [SFRH/BPD/103897/2014]; Joao Pedrosa PhD grant [SFRH/BD/75606/2010]; Diana Campos PhD grant [SFRH/BD/87370/2012]; Paulo Cardoso PhD grant [SFRH/BD/101140/2014]; [IF/01401/2014]; Fundação para a Ciência e a Tecnologia [PTDC/BIA-BEC/104125/2008, SFRH/BD/75606/2010, SFRH/BPD/103897/2014] Funding Source: FCT</t>
  </si>
  <si>
    <t>Portuguese Science Foundation (FCT) through CESAM(Fundacao para a Ciencia e a Tecnologia (FCT)); COMPETE program (Programa Operacional Fatores de Competitividade, FEDER component); National funding through FCT-Fundacao para a Ciencia e Tecnologia within the research project MIDGE Microevolutionary Dynamics and Genetic Erosion in pollution-affected Chironomus; FCT(Fundacao para a Ciencia e a Tecnologia (FCT)); POPH/FSE (Programa Operacional Potential Humano/Fundo Social Europeu); Joao Pedrosa PhD grant; Diana Campos PhD grant; Paulo Cardoso PhD grant; ; Fundação para a Ciência e a Tecnologia(Fundacao para a Ciencia e a Tecnologia (FCT))</t>
  </si>
  <si>
    <t>This work was supported by the Portuguese Science Foundation (FCT) through CESAM: UID/AMB/50017/2013. We are thankful for the financial support of COMPETE program (Programa Operacional Fatores de Competitividade, FEDER component) and by National funding through FCT-Fundacao para a Ciencia e Tecnologia within the research project MIDGE Microevolutionary Dynamics and Genetic Erosion in pollution-affected Chironomus (Ref: PTDC/BIA-BEC/104125/2008). We are also thankful to FCT and POPH/FSE (Programa Operacional Potential Humano/Fundo Social Europeu) for the post-doctoral fellowships of Joao L.T. Pestana (SFRH/BPD/103897/2014), Joao Pedrosa PhD grant (SFRH/BD/75606/2010), Diana Campos PhD grant (SFRH/BD/87370/2012), Paulo Cardoso PhD grant (SFRH/BD/101140/2014) and for the contract of Carlos Gravato (IF/01401/2014).</t>
  </si>
  <si>
    <t>10.1016/j.chemosphere.2016.12.008</t>
  </si>
  <si>
    <t>http://dx.doi.org/10.1016/j.chemosphere.2016.12.008</t>
  </si>
  <si>
    <t>EJ0KK</t>
  </si>
  <si>
    <t>WOS:000392897100011</t>
  </si>
  <si>
    <t>Giarratano, E; Gil, MN; Malanga, G</t>
  </si>
  <si>
    <t>Giarratano, Erica; Gil, Monica N.; Malanga, Gabriela</t>
  </si>
  <si>
    <t>Seasonal and pollution-induced variations in biomarkers of transplanted mussels within the Beagle Channel</t>
  </si>
  <si>
    <t>Biomarkers; Mussels; Heavy metals; Lipid peroxidation; Seasonality</t>
  </si>
  <si>
    <t>CU/ZN-SUPEROXIDE-DISMUTASE; GLUTATHIONE S-TRANSFERASES; FRESH-WATER BIVALVES; MYTILUS-GALLOPROVINCIALIS; OXIDATIVE STRESS; ANTIOXIDANT ENZYMES; DIGESTIVE GLAND; LIPID-PEROXIDATION; VENICE LAGOON; BLUE MUSSEL</t>
  </si>
  <si>
    <t>The occurrence of biomarker variations linked to environmental factors makes it difficult to distinguish the effect of pollution. In an attempt to evaluate spatial and seasonal effects of environmental parameters on biomarker responses, mussels Mytilus edulis chilensis coming from an aquaculture farm were transplanted to several points within Ushuaia Bay (Beagle Channel) for 6 weeks in summer and winter. Activities of superoxide dismutase, catalase, glutathione-S-transferase and levels of lipid peroxidation were measured in gills and digestive gland. Cu, Zn, Fe, Cd and Pb concentrations were also assessed. Results indicated a significant effect of seasons on biological responses as well as in metal bioaccumulation showing the influence of natural factors such as dissolved oxygen, temperature and food availability. The interdependence of those environmental factors is important for the homeostasis of thermoconformers, especially regarding their oxidative metabolism and should also be taken into consideration to distinguish natural from pollution-induced variations. (C) 2011 Elsevier Ltd. All rights reserved.</t>
  </si>
  <si>
    <t>[Giarratano, Erica] Ctr Austral Invest Cient CADIC CONICET, Tierra Del Fuego, Argentina; [Gil, Monica N.] Ctr Nacl Patagon CENPAT CONICET, RA-9120 Puerto Madryn, Chubut, Argentina; [Malanga, Gabriela] Univ Buenos Aires, Fac Farm &amp; Bioquim, Fisicoquim PRALIB CONICET, RA-1113 Buenos Aires, DF, Argentina</t>
  </si>
  <si>
    <t>Consejo Nacional de Investigaciones Cientificas y Tecnicas (CONICET); Consejo Nacional de Investigaciones Cientificas y Tecnicas (CONICET); Centro Nacional Patagonico (CENPAT); University of Buenos Aires; Consejo Nacional de Investigaciones Cientificas y Tecnicas (CONICET)</t>
  </si>
  <si>
    <t>Giarratano, E (corresponding author), Los Cipreses &amp; El Algarrobo, RA-9120 Puerto Madryn, Chubut, Argentina.</t>
  </si>
  <si>
    <t>giarratanoerica@hotmail.com; monicagil@cenpat.edu.ar; gmalanga@ffyb.uba.ar</t>
  </si>
  <si>
    <t>[GEF/PNUD ARG 02/018]; [ANPCyT PICTR 0090]</t>
  </si>
  <si>
    <t>This study was carried out thanks to Dr. O. Amin and supported by GEF/PNUD ARG 02/018 and ANPCyT PICTR 0090 Grants. We are grateful to Lic. N. Chiarello for her help during heavy metal determinations and to Lic. Raul Asteasuain for the measurement of nutrients (IADO-CONICET). The authors are thankful to Lic. Claudia A. Duarte and Ricardo Saenz Samaniego for their technical support during the campaigns.</t>
  </si>
  <si>
    <t>10.1016/j.marpolbul.2011.03.037</t>
  </si>
  <si>
    <t>http://dx.doi.org/10.1016/j.marpolbul.2011.03.037</t>
  </si>
  <si>
    <t>WOS:000292677000036</t>
  </si>
  <si>
    <t>Islam, MN; Park, JH</t>
  </si>
  <si>
    <t>Islam, Mohammad Nazrul; Park, Jeong-Hun</t>
  </si>
  <si>
    <t>Immobilization and reduction of bioavailability of lead in shooting range soil through hydrothermal treatment</t>
  </si>
  <si>
    <t>Hydrothermal treatment (HT); Pb; Immobilization; Contaminated soil; Subcritical water</t>
  </si>
  <si>
    <t>SUBCRITICAL WATER EXTRACTION; CALCINED OYSTER SHELLS; INCINERATOR FLY-ASH; HEAVY-METALS; SEWAGE-SLUDGE; CONTAMINATED SOIL; RISK-ASSESSMENT; QUANTITATIVE-EVALUATION; ENVIRONMENTAL RISK; POLLUTION HAZARDS</t>
  </si>
  <si>
    <t>Immobilization of Pb in contaminated soil by hydrothermal treatment (HT) under subcritical conditions was investigated using a lab-scale apparatus. The Pb immobilization was evaluated thorough investigating the transformation of Pb fractions and by single chemical extraction. The results showed that HT and treatment temperature significantly affected the immobilization through redistribution. of Pb fractions. The results of bioavailability and eco-toxicity assessment demonstrated a drastic decrease in the bioavailable fraction from 41.33 to 14.66%, and an increase in the non-bioavailable fraction from 2.90 to 15.76%. Moreover, the leaching potential of Pb was significantly reduced after treatment Based on the risk assessment code (RAC), the treated soil residues exhibited medium risk (21.7-14.6 of RAC value for treated soil), which represented a decrease from high risk (41.3 for untreated soil). Immobilization was associated with Pb fractionation from weakly bound to stable fractions. A variety of mechanisms including adsorption and precipitation were suspected to be responsible for Pb immobilization. The findings of this study suggest that the HT may facilitate quantitative reduction of the bioavailability and eco-toxicity of Pb-contaminated soil. Considering the effectiveness of HT in remediating contaminated soil with organic pollutants, this approach might enable remediation of soil co-contaminated with organics and heavy metals. (C) 2017 Elsevier Ltd. All rights reserved.</t>
  </si>
  <si>
    <t>[Islam, Mohammad Nazrul; Park, Jeong-Hun] Chonnam Natl Univ, Dept Environm &amp; Energy Engn, 77 Yongbong Ro, Gwangju 500757, South Korea</t>
  </si>
  <si>
    <t>Park, Jeong-Hun/0000-0002-0661-0059</t>
  </si>
  <si>
    <t>Chonnam National University; National Research Foundation of the Republic of Korea [NRF-2016R1A2B4008115]</t>
  </si>
  <si>
    <t>Chonnam National University; National Research Foundation of the Republic of Korea(National Research Foundation of Korea)</t>
  </si>
  <si>
    <t>This work was financially supported by Chonnam National University (2016) and the National Research Foundation of the Republic of Korea (Grant No. NRF-2016R1A2B4008115).</t>
  </si>
  <si>
    <t>10.1016/j.jenvman.2017.01.017</t>
  </si>
  <si>
    <t>http://dx.doi.org/10.1016/j.jenvman.2017.01.017</t>
  </si>
  <si>
    <t>EO8RJ</t>
  </si>
  <si>
    <t>WOS:000396957300018</t>
  </si>
  <si>
    <t>VONBALOGH, K; MASTALA, Z</t>
  </si>
  <si>
    <t>THE INFLUENCE OF SIZE AND GLOCHIDIA BEARING UPON THE HEAVY-METAL ACCUMULATION IN GILLS OF ANODONTA-PISCINALIS (NILSS)</t>
  </si>
  <si>
    <t>FRESH-WATER CLAMS; MYTILUS-EDULIS; CADMIUM KINETICS; BODY-WEIGHT; LEAD; UNIONIDAE; POLLUTION; MUSSELS; CYGNEA; COPPER</t>
  </si>
  <si>
    <t>Fe, Mn, Ni, Cu, Zn, Cd and Pb concentrations were determined in the gills of Anodonta piscinalis (Nilss.). The collected animals had wide size (body weight) range, and about half of them carried glochidia. The influences of size and glochidia bearing on metal concentration were examined. It was suspected that a similar mechanism (e.g. 'growth dilution') must control Fe, Mn and Zn concentrations in gills, but the mechanisms for the other metals is more complex. Although a simultaneous elimination procedure for the effects of glochidia presence and the body weight dependence was outlined, a general mechanistic normalization procedure has not been found. Therefore, in some cases removing die claims bearing glochidia is the only way to eliminate the effect of glochidia bearing from monitoring surveys, when mussel gill is used as a 'monitor organ'.</t>
  </si>
  <si>
    <t>VONBALOGH, K (corresponding author), HUNGARIAN ACAD SCI,BALATON LIMNOL RES INST,POB 35,H-8237 TIHANY,HUNGARY.</t>
  </si>
  <si>
    <t>10.1016/0045-6535(94)90247-X</t>
  </si>
  <si>
    <t>http://dx.doi.org/10.1016/0045-6535(94)90247-X</t>
  </si>
  <si>
    <t>NP386</t>
  </si>
  <si>
    <t>WOS:A1994NP38600011</t>
  </si>
  <si>
    <t>Cheung, SG; Cheung, RYH</t>
  </si>
  <si>
    <t>Effects of heavy metals on oxygen consumption and ammonia excretion in green-lipped mussels (Perna viridis)</t>
  </si>
  <si>
    <t>HONG-KONG; CADMIUM; RESPONSES; GRADIENT</t>
  </si>
  <si>
    <t>Physiological responses (oxygen consumption and ammonia excretion) of the green-lipped mussel (Perna viridis) exposed to four concentrations of Cd (0.15, 0.32, 0.70 and 1.50 ppm) and four concentrations of Zn (0.60, 1.29, 2.79 and 6.00 ppm) were monitored for 21 days. Changes occurred in the ammonia excretion rates and O:N ratios with individual mussels experiencing different metal concentrations over time. Oxygen consumption rate decreased significantly with time for Cd-exposed individuals and also decreased significantly with the interaction between the concentration of Zn and time for Zn-exposed individuals. Although low O:N ratios (&lt;30) were obtained in most of the treatments, no predictable correlation was found between concentrations of metals and values of O:N obtained. The value of using O:N ratio as a stress index is questioned.</t>
  </si>
  <si>
    <t>Cheung, S./H-3809-2019</t>
  </si>
  <si>
    <t>CHEUNG, Yun Hing Richard/0000-0002-1022-9402; CHEUNG, Siu Gin/0000-0001-8091-7385</t>
  </si>
  <si>
    <t>10.1016/0025-326X(95)00137-C</t>
  </si>
  <si>
    <t>http://dx.doi.org/10.1016/0025-326X(95)00137-C</t>
  </si>
  <si>
    <t>WOS:A1995TM84200033</t>
  </si>
  <si>
    <t>Jones, MA; Stauber, J; Apte, S; Simpson, S; Vicente-Beckett, V; Johnson, R; Duivenvoorden, L</t>
  </si>
  <si>
    <t>A risk assessment approach to contaminants in Port Curtis, Queensland, Australia</t>
  </si>
  <si>
    <t>Conference for Reef Research</t>
  </si>
  <si>
    <t>MAR, 2004</t>
  </si>
  <si>
    <t>Townsville, AUSTRALIA</t>
  </si>
  <si>
    <t>Port Curtis estuary; ecological risk assessment; contaminants; human health risk assessment; metals; TBT</t>
  </si>
  <si>
    <t>NEW-SOUTH-WALES; METAL CONCENTRATIONS; HEAVY-METAL; OYSTERS; TRIBUTYLTIN</t>
  </si>
  <si>
    <t>Port Curtis is one of Australia's leading ports for which substantial industrial expansion is proposed over the next decade. However, there has been little attempt to date to assess the extent of contamination in waters, sediments and biota or to characterize the potential impacts of contaminants on aquatic biota. Contaminants of potential concern to biota and human health were investigated in the Port Curtis estuary using a screening-level risk assessment approach. Dissolved metal concentrations in waters were below [ANZECC/ARMCANZ, 2000. Australian and New Zealand Guidelines for Fresh and Marine Water Quality, Vol. 1. The Guidelines, Australian and New Zealand Environment and Conservation Council and Agriculture and Resource Management Council of Australia and New Zealand] trigger values, suggesting low risk of these contaminants. In sediments, arsenic, nickel and chromium concentrations exceeded interim sediment quality guidelines-low (ISQG-low), but were also high in the reference zone suggesting a natural origin. Historical data on naphthalene in Harbour sediments showed that it was also of potential concern. Bioaccumulation of contaminants in a range of biota was also used as an indicator of contaminant exposure. Biota were generally enriched in metals and tributyltin, which was also elevated in water and sediments. Although not unique to Port Curtis, mercury in barramundi was identified as a potential risk to human health. (c) 2004 Published by Elsevier Ltd.</t>
  </si>
  <si>
    <t>CSIRO Energy Technol, Ctr Environm Contaminants Res, CRC Coastal Zone, Menai, NSW 2234, Australia; Univ Cent Queensland, Ctr Environm Management, CRC Coastal Zone, Rockhampton, Qld 4702, Australia</t>
  </si>
  <si>
    <t>Commonwealth Scientific &amp; Industrial Research Organisation (CSIRO); Central Queensland University</t>
  </si>
  <si>
    <t>CSIRO Energy Technol, Ctr Environm Contaminants Res, CRC Coastal Zone, Menai, NSW 2234, Australia.</t>
  </si>
  <si>
    <t>mary-anne.jones@nrm.qld.gov.au</t>
  </si>
  <si>
    <t>Apte, Simon/A-4241-2012; Stauber, Jenny/G-8418-2011; Simpson, Stuart/A-6044-2011</t>
  </si>
  <si>
    <t>Apte, Simon/0000-0003-2427-413X; Duivenvoorden, Leo/0000-0001-5754-7259; Simpson, Stuart/0000-0003-1759-0564</t>
  </si>
  <si>
    <t>10.1016/j.marpolbul.2004.10.021</t>
  </si>
  <si>
    <t>http://dx.doi.org/10.1016/j.marpolbul.2004.10.021</t>
  </si>
  <si>
    <t>911DM</t>
  </si>
  <si>
    <t>WOS:000227981800042</t>
  </si>
  <si>
    <t>Hummel, H; AmiardTriquet, C; Bachelet, G; Desprez, M; Marchand, J; Sylvand, B; Amiard, JC; Rybarczyk, H; Bogaards, RH; Sinke, J; deWolf, L</t>
  </si>
  <si>
    <t>Free amino acids as a biochemical indicator of stress in the estuarine bivalve Macoma balthica</t>
  </si>
  <si>
    <t>free amino acids; Macoma balthica; stress; copper; bio-indicator; geographic dine</t>
  </si>
  <si>
    <t>MYTILUS-EDULIS-L; POLLUTION; PROTEINS; CADMIUM</t>
  </si>
  <si>
    <t>The use of free amino acids (FAA) as a stress indicator was assessed during a copper exposure experiment for specimens of the estuarine bivalve M. balthica from a geographical gradient extending from the Netherlands to its most southern limit of distribution in the Gironde, France. Changes in FAA were significant. A higher alanine content at the start of the experiment coincided with a lower mortality-rate during copper exposure. During copper exposure the tissue concentrations of alanine increased. It is concluded that especially the concentrations of alanine, and to a lesser degree the taurine/glycine (T/G) ratio, can be used as stress-indicators for M. balthica. Animals near the southern limit of their distribution showed the strongest deviations from average values. The age of the animals (2-7 years) had no influence on results.</t>
  </si>
  <si>
    <t>UNIV NANTES,CNRS,FAC PHARM,LAB ECOTOXICOL,F-44035 NANTES,FRANCE; UNIV BORDEAUX 1,LAB OCEANOG BIOL,F-33120 ARCACHON,FRANCE; GEMEL PICARDIE,STN ETUD BAIE SOMME,F-80230 ST VALERY SOMME,FRANCE; UNIV NANTES,FAC TECH SCI,BIOL MARINE LAB,F-44072 NANTES 03,FRANCE; GEMEL BASSE NORMANDIE,STN MARINE,F-14530 LUC SUR MER,FRANCE</t>
  </si>
  <si>
    <t>Nantes Universite; Centre National de la Recherche Scientifique (CNRS); Universite de Bordeaux; Nantes Universite</t>
  </si>
  <si>
    <t>Hummel, H (corresponding author), NETHERLANDS INST ECOL,CTR ESTUARINE &amp; COASTAL ECOL,VIERSTR 28,NL-4401 EA YERSEKE,NETHERLANDS.</t>
  </si>
  <si>
    <t>OCT 11</t>
  </si>
  <si>
    <t>10.1016/0048-9697(96)05177-7</t>
  </si>
  <si>
    <t>http://dx.doi.org/10.1016/0048-9697(96)05177-7</t>
  </si>
  <si>
    <t>VK898</t>
  </si>
  <si>
    <t>WOS:A1996VK89800013</t>
  </si>
  <si>
    <t>SARKAR, SK; BHATTACHARYA, B; DEBNATH, S</t>
  </si>
  <si>
    <t>THE SUITABILITY OF TROPICAL MARINE BIVALVES AS BIOMONITORS OF HEAVY-METALS IN DELTAIC SUNDARBANS, NORTHEAST INDIA</t>
  </si>
  <si>
    <t>MYTILUS-EDULIS; OYSTERS; WATER; VARIABILITY; ESTUARY; ZN-65; ZINC; AREA</t>
  </si>
  <si>
    <t>The determination of Fe, Cu, Zn, Mn, Co, Ni and Cd was carried out in the soft tissues of two bivalves, Crassostrea cucullata (Born) and Anadara qranosa (Linnaeus) from coastal regions of deltaic Sundarbans, West Bengal, India. Both species dependent variability and regional variations of metal concentrations in these molluscs were observed. Gill and mantle showed a higher bioaccumulation in the majority of the cases. The correlation coefficient between the concentrations of metal in the soft tissues was determined. Month-wise distribution of metals was significant as revealed by analysis of variance (ANOVA). C. cucullata has shown to be a potentially useful species for monitoring environmental pollution in this estuarine system.</t>
  </si>
  <si>
    <t>UNIV JADAVPUR,DEPT MET ENGN,CALCUTTA 700032,W BENGAL,INDIA</t>
  </si>
  <si>
    <t>Jadavpur University</t>
  </si>
  <si>
    <t>SARKAR, SK (corresponding author), UNIV CALCUTTA,DEPT MARINE SCI,35 BALLYGUNGE CIRCULAR RD,CALCUTTA 700019,W BENGAL,INDIA.</t>
  </si>
  <si>
    <t>10.1016/0045-6535(94)90044-2</t>
  </si>
  <si>
    <t>http://dx.doi.org/10.1016/0045-6535(94)90044-2</t>
  </si>
  <si>
    <t>PE851</t>
  </si>
  <si>
    <t>WOS:A1994PE85100010</t>
  </si>
  <si>
    <t>Duka, S; Cullaj, A</t>
  </si>
  <si>
    <t>Duka, S.; Cullaj, A.</t>
  </si>
  <si>
    <t>Determination of metallothionein in mussel samples of the Butrinti Lake (Albania)</t>
  </si>
  <si>
    <t>mussel; metallothionein; heavy metals; digestive glands; biomarker of exposure</t>
  </si>
  <si>
    <t>Mussels are generally utilised as indicator organisms for marine pollution control owing to their geographical wide spreading as well as a large capacity for accumulation and storage of trace metals. Digestive gland has been selected as the most appropriate tissue for monitoring of metallothionein (MT) level due to the highest induction capacity and extraction efficiency. The concentrations of metals in digestive gland of mussels collected in the Butrinti take were analysed by ICP-MS. Metallothionein concentration in digestive gland cells in mussel samples taken from the Butrinti lake was determined by UV-vis. spectrophotometry. It was found that higher level of MT is the response of digestive gland cells after metal exposure. Identification of metals binding metallothionein in digestive gland was obtained by SEC-ICP-MS. It is clearly shown in chromatograms that soluble metals, Zn and Cu, are associated with metallothionein fraction in the Butrinti samples after respective exposure. A spectrophotomeric method is optimised to assess the concentration of MTs in the tissue of marine organisms. The procedure takes into account precautions to obtain a complete metallothionein precipitation and to avoid the oxidation of sulphydryl groups (SH), the contamination by soluble low molecular weight thiols and enzymatic protein degradation which can occur during sample preparation. In the extract the concentration of MTs, denatured by low pH and high ionic strength. was quantified spectrophotometrically utilising the Ellman's SH reagent. The objective of these study is the determination of the MTs levels in mussels of the Butrinti lake and to evidence that they are involved in responses to heavy metals pollution.</t>
  </si>
  <si>
    <t>[Duka, S.; Cullaj, A.] Univ Tirana, Fac Nat Sci, Tirana, Albania</t>
  </si>
  <si>
    <t>University of Tirana (UT)</t>
  </si>
  <si>
    <t>Duka, S (corresponding author), Univ Tirana, Fac Nat Sci, Tirana, Albania.</t>
  </si>
  <si>
    <t>soniladuka@hotmail.com</t>
  </si>
  <si>
    <t>284ZP</t>
  </si>
  <si>
    <t>WOS:000254747400004</t>
  </si>
  <si>
    <t>Leung, RKL; Chui, APY; Liu, XS; Lee, HW; Leung, MML; Wang, YJ; Hu, MH; Kwok, KWH; Wu, RSS; Jin, L; Kong, HK; Fang, JKH</t>
  </si>
  <si>
    <t>Leung, Ryan Kar-Long; Chui, Apple Pui Yi; Liu, Xiaoshou; Lee, Hang-Wai; Leung, Matthew Ming-Lok; Wang, Youji; Hu, Menghong; Kwok, Kevin Wing Hin; Wu, Rudolf Shiu Sun; Jin, Ling; Kong, Hang-Kin; Fang, James Kar-Hei</t>
  </si>
  <si>
    <t>Bioaccumulation of pollutants in the green-lipped mussel Perna viridis: Assessing pollution abatement in Victoria Harbour and its adjacent aquaculture area, Hong Kong, and the minimal human health risks from mussel consumption</t>
  </si>
  <si>
    <t>Bivalves; Biomonitoring; Transplantation; Water quality; Greater Bay Area</t>
  </si>
  <si>
    <t>POLYCYCLIC AROMATIC-HYDROCARBONS; RABBITFISH SIGANUS-ORAMIN; PEARL RIVER DELTA; HEAVY-METALS; COASTAL WATERS; TRACE-METALS; ORGANOCHLORINE PESTICIDES; POLYCHLORINATED-BIPHENYLS; ORGANIC POLLUTANTS; ARTIFICIAL MUSSEL</t>
  </si>
  <si>
    <t>The green-lipped mussel Perna viridis was utilised for pollution biomonitoring in Victoria Harbour and its adjacent aquaculture area in Hong Kong. P. viridis was collected from a reference site and redeployed at five study sites for five weeks during the dry and wet seasons of 2019. Our study found various polycyclic aromatic hydrocarbons (PAHs) and heavy metals in the mussel tissue, while polychlorinated biphenyls (PCBs) and organochlorine pesticides (OCPs) were not detected. P. viridis at the reference site generally displayed lower levels of pollutants. Comparing with previous research in the 1980s and 2000s, we observed substantial reduction in the tissue levels of PAHs, PCBs, OCPs and heavy metals in P. viridis. The human health risks associated with consuming these mussels were determined to be insignificant. Our findings imply that the Harbour Area Treatment Scheme has been effective in improving the water quality in Victoria Harbour and its adjacent aquaculture area.</t>
  </si>
  <si>
    <t>[Leung, Ryan Kar-Long; Leung, Matthew Ming-Lok] Hong Kong Polytech Univ, Dept Appl Biol &amp; Chem Technol, Hung Hom, Hong Kong, Peoples R China; [Chui, Apple Pui Yi] Chinese Univ Hong Kong, Sch Life Sci, Simon FS Li Marine Sci Lab, Shatin, Hong Kong, Peoples R China; [Chui, Apple Pui Yi; Wu, Rudolf Shiu Sun; Jin, Ling; Fang, James Kar-Hei] City Univ Hong Kong, State Key Lab Marine Pollut, Kowloon Tong, Hong Kong, Peoples R China; [Liu, Xiaoshou] Ocean Univ China, Coll Marine Life Sci, Qingdao 266003, Peoples R China; [Liu, Xiaoshou] Ocean Univ China, Frontiers Sci Ctr Deep Ocean Multispheres &amp; Earth, Qingdao 266003, Peoples R China; [Lee, Hang-Wai; Kwok, Kevin Wing Hin; Kong, Hang-Kin; Fang, James Kar-Hei] Hong Kong Polytech Univ, Dept Food Sci &amp; Nutr, Hung Hom, Hong Kong, Peoples R China; [Wang, Youji; Hu, Menghong; Kong, Hang-Kin; Fang, James Kar-Hei] Shanghai Ocean Univ, Minist Sci &amp; Technol, Int Res Ctr Marine Biosci, Shanghai 201306, Peoples R China; [Kwok, Kevin Wing Hin; Jin, Ling; Kong, Hang-Kin; Fang, James Kar-Hei] Hong Kong Polytech Univ, Res Inst Future Food, Hung Hom, Hong Kong, Peoples R China; [Kwok, Kevin Wing Hin] Hong Kong Polytech Univ, Res Inst Land &amp; Space, Hung Hom, Hong Kong, Peoples R China; [Wu, Rudolf Shiu Sun] Educ Univ Hong Kong, Dept Sci &amp; Environm Studies, Tai Po, Hong Kong, Peoples R China; [Jin, Ling] Hong Kong Polytech Univ, Dept Civil &amp; Environm Engn, Hung Hom, Hong Kong, Peoples R China; [Jin, Ling; Fang, James Kar-Hei] Hong Kong Polytech Univ, Res Inst Sustainable Urban Dev, Hung Hom, Hong Kong, Peoples R China; [Jin, Ling] Hong Kong Polytech Univ, Dept Hlth Technol &amp; Informat, Hung Hom, Hong Kong, Peoples R China</t>
  </si>
  <si>
    <t>Hong Kong Polytechnic University; Chinese University of Hong Kong; City University of Hong Kong; Ocean University of China; Ocean University of China; Hong Kong Polytechnic University; Shanghai Ocean University; Hong Kong Polytechnic University; Hong Kong Polytechnic University; Education University of Hong Kong (EdUHK); Hong Kong Polytechnic University; Hong Kong Polytechnic University; Hong Kong Polytechnic University</t>
  </si>
  <si>
    <t>Kong, HK; Fang, JKH (corresponding author), Hong Kong Polytech Univ, Dept Food Sci &amp; Nutr, Hung Hom, Hong Kong, Peoples R China.</t>
  </si>
  <si>
    <t>hang-kin.kong@polyu.edu.hk; james.fang@polyu.edu.hk</t>
  </si>
  <si>
    <t>Wu, Rudolf/B-4203-2010; WANG, Youji/B-8086-2011; Kong, Hang-kin/GLT-5001-2022; Liu, Xiaoshou/I-3001-2019; Fang, James/H-2088-2017</t>
  </si>
  <si>
    <t>Kong, Hang-kin/0000-0002-1047-7051; Leung, Ryan Kar-Long/0000-0003-3869-0329</t>
  </si>
  <si>
    <t>Environment and Conservation Fund, Hong Kong SAR [ECF66/2017]; Hong Kong Polytechnic University [P0008674]</t>
  </si>
  <si>
    <t>Environment and Conservation Fund, Hong Kong SAR; Hong Kong Polytechnic University(Hong Kong Polytechnic University)</t>
  </si>
  <si>
    <t>This study was financially supported by the Environment and Conservation Fund, Hong Kong SAR (Reference: ECF66/2017) , and an internal grant of The Hong Kong Polytechnic University (Reference: P0008674) . The authors appreciate the technical support by the University Research Facility in Chemical and Environmental Analysis, University Research Facility in Life Sciences, and Industrial Centre, at The Hong Kong Polytechnic University.</t>
  </si>
  <si>
    <t>10.1016/j.marpolbul.2024.116086</t>
  </si>
  <si>
    <t>http://dx.doi.org/10.1016/j.marpolbul.2024.116086</t>
  </si>
  <si>
    <t>MM6K9</t>
  </si>
  <si>
    <t>WOS:001194075800001</t>
  </si>
  <si>
    <t>The interpretation of body trace metal concentrations in neogastropods from Hong Kong</t>
  </si>
  <si>
    <t>trace metals; body metal concentration; interpretation; Thais clavigera; Thais luteostoma; Hong Kong</t>
  </si>
  <si>
    <t>COASTAL WATERS; MYTILUS-EDULIS; HEAVY-METALS; MUSSELS; MARINE; INDICATOR; INVERTEBRATES; ACCUMULATION; GASTROPODA; STRATEGIES</t>
  </si>
  <si>
    <t>Three species of neogastropods, i.e., Thais clavigera, Thais luteostoma and Morala musiva, were collected from 12 sites in the coastal waters of Hong Kong, including clean and known metal-enriched ones. Accordingly, body trace metal concentrations varied greatly. Copper and zinc body concentrations compared poorly with those of accepted biomonitors and presumed metal contamination profiles. Much is known about the feeding ecology of neogastropods on local shores and where direct observational data were not available, their diets could, nevertheless, be estimated reliably. Accumulated metal concentrations can be interpreted with regard to dietary history. T. luteostoma, for example, had body copper concentrations of 51.8 mug g(-1) on an exposed shore and a diet of mainly barnacles. In contrast, on a sheltered shore (but only some 250 m distant) where the diet consisted mainly of oysters, body copper concentrations were similar to 15 times greater at 833 mug g(-1). Similar results were obtained for T. clavigera. The results of this analysis suggest that neogastropods can play a significant role in trace metal trophic transfer studies, especially as their representatives are intertidally and subtidally ubiquitous and can be spatially separated into tropical specialists and temperate generalists. (C) 2001 Elsevier Science Ltd. All rights reserved.</t>
  </si>
  <si>
    <t>Hong Kong Univ Sci &amp; Technol, Dept Biol, Hong Kong, Hong Kong, Peoples R China; Univ Hong Kong, Swire Inst Marine Sci, Hong Kong, Hong Kong, Peoples R China; Univ Hong Kong, Dept Ecol &amp; Biodivers, Hong Kong, Hong Kong, Peoples R China</t>
  </si>
  <si>
    <t>Hong Kong Univ Sci &amp; Technol, Dept Biol, Clear Water Bay, Hong Kong, Hong Kong, Peoples R China.</t>
  </si>
  <si>
    <t>10.1016/S0025-326X(01)00132-1</t>
  </si>
  <si>
    <t>http://dx.doi.org/10.1016/S0025-326X(01)00132-1</t>
  </si>
  <si>
    <t>495TR</t>
  </si>
  <si>
    <t>WOS:000172356900030</t>
  </si>
  <si>
    <t>Lind, Y; Bignert, A; Odsjö, T</t>
  </si>
  <si>
    <t>Lind, Ylva; Bignert, Anders; Odsjo, Tjelvar</t>
  </si>
  <si>
    <t>Decreasing lead levels in Swedish biota revealed by 36 years (1969-2004) of environmental monitoring</t>
  </si>
  <si>
    <t>International Environmental Specimen Bank Symposium</t>
  </si>
  <si>
    <t>NOV 14-16, 2005</t>
  </si>
  <si>
    <t>Charleston, SC</t>
  </si>
  <si>
    <t>METAL BIOAVAILABILITY; TRACE-METALS; BLOOD LEAD; POLLUTION; LAKES; DEPOSITION; CHILDREN; MUSSEL; EUROPE; GROWTH</t>
  </si>
  <si>
    <t>Since the 1980s, lead levels decreased significantly in most marine biota from the Baltic Sea, the Kattegatt and the Skagerrack and in terrestrial biota from south and central Sweden, analysed in the National Swedish Environmental Monitoring Programme. In herring and cod liver, the decrease was 4.2-7.1% annually 1981-2003 and in perch liver and guillemot eggs analysed since the middle of the 1990s the decrease was 10-13%. In kidneys of young starlings from south and central Sweden, lead levels decreased 6.2-12% annually and the annual decrease in liver and kidney from young moose was 8.8% and 6.5%, respectively. In northern Sweden, lead levels decreased in pike liver by 2.8% between 1969 and 1994 and in reindeer liver by 3.5% annually while a significant increase (5% annually 1981-1994) has been detected in arctic char. In some marine biota, there were indications of a larger decrease during the last ten years compared to the whole period. The large decline in lead emission to the atmosphere during the last twenty years, mainly because of decreasing use of leaded gasoline has obviously resulted in decreasing lead levels in biota.</t>
  </si>
  <si>
    <t>Swedish Museum Nat Hist, Contaminant Res Grp, SE-10405 Stockholm, Sweden</t>
  </si>
  <si>
    <t>Swedish Museum of Natural History</t>
  </si>
  <si>
    <t>Lind, Y (corresponding author), Swedish Museum Nat Hist, Contaminant Res Grp, POB 50007, SE-10405 Stockholm, Sweden.</t>
  </si>
  <si>
    <t>10.1039/b517867c</t>
  </si>
  <si>
    <t>http://dx.doi.org/10.1039/b517867c</t>
  </si>
  <si>
    <t>071YO</t>
  </si>
  <si>
    <t>WOS:000239640000009</t>
  </si>
  <si>
    <t>Ivanina, AV; Sokolov, EP; Sokolova, IM</t>
  </si>
  <si>
    <t>Ivanina, Anna V.; Sokolov, Eugene P.; Sokolova, Inna M.</t>
  </si>
  <si>
    <t>Effects of cadmium on anaerobic energy metabolism and mRNA expression during air exposure and recovery of an intertidal mollusk Crassostrea virginica</t>
  </si>
  <si>
    <t>Cd; Anoxia; Recovery; mRNA expression; Anaerobic end products; Energy status</t>
  </si>
  <si>
    <t>HYPOXIA-INDUCIBLE FACTOR; FRESH-WATER EXPOSURE; WHITE SEA LITTORINA; GENE-EXPRESSION; GMELIN BIVALVIA; EASTERN OYSTERS; MITOCHONDRIAL ACONITASE; SUSPENDED ANIMATION; MARINE ECTOTHERM; RATE DEPRESSION</t>
  </si>
  <si>
    <t>Marine organisms are exposed to periodical oxygen deficiency and pollution stress in estuarine and coastal zones which may strongly affect their performance and survival We studied the combined effects of exposure to a common pollutant, cadmium (Cd), and intermittent anoxia on anaerobic metabolism, energy status and mRNA expression of 13 genes involved in and/or controlled by the hypoxia inducible factor-1 (HIF-1) pathway in hepatopancreas of an intertidal bivalve, the eastern oyster Crassostrea virginica In control oysters, prolonged anoxia resulted in a selective suppression of nitric oxide synthase (NOS) and upregulanon of cytochrome c oxidase subunit IV (COX4) while the levels of other transcripts remained unchanged During post-anoxic recovery, mRNA expression of hypoxia inducible factor-la (HIF-1 alpha) was elevated, phosphoenolpyruvate carboxykinase (PEPCK), NOS and LON protease suppressed, and mRNA expression of other studied genes not changed Notably, most of the key glycolytic genes that are stimulated by HIF-1 in mammals, either remained unchanged or were downregulated in anoxic oysters suggesting a different mechanism of molecular response to oxygen deficiency Patterns of transcriptional response during anoxia and reoxygenation were significantly altered by Cd exposure in a gene-specific manner Anaerobic metabolism (indicated by accumulation of L-alanine, succinate and acetate during anoxia) was also suppressed in Cd-exposed oysters. In control oysters, ATP turnover rate (M-ATP) during anoxia was mostly sustained by anaerobic glycolysis with negligible contributions from ATP and PLA breakdown In contrast, in Cd-exposed oysters ATP breakdown contributed significantly to anaerobic M-ATP Thus, while control oysters could efficiently defend the ATP levels and tissue energy status during prolonged anoxia, Cd-exposed oysters experienced a disturbance in tissue energy balance indicated by the depletion of ATP, a rapid decline in adenylate energy charge and increase in ADP/ATP ratios. This energy deficiency combined with suppression of anaerobic metabolism may strongly affect performance and survival of oysters in polluted estuaries where metal pollution may co-occur with dead zones (C) 2010 Elsevier B V All rights reserved</t>
  </si>
  <si>
    <t>[Ivanina, Anna V.; Sokolova, Inna M.] Univ N Carolina, Dept Biol, Charlotte, NC 28223 USA; [Sokolov, Eugene P.] Carolinas Med Ctr, Dept Gen Surg, Charlotte, NC 28203 USA</t>
  </si>
  <si>
    <t>National Science Foundation [IOS-0921367]</t>
  </si>
  <si>
    <t>This work was supported by funds provided the National Science Foundation award IOS-0921367 to I M.S.</t>
  </si>
  <si>
    <t>10.1016/j.aquatox.2010.05.013</t>
  </si>
  <si>
    <t>http://dx.doi.org/10.1016/j.aquatox.2010.05.013</t>
  </si>
  <si>
    <t>645VD</t>
  </si>
  <si>
    <t>WOS:000281493400003</t>
  </si>
  <si>
    <t>Yu, ZH; Sun, HY; Huang, W; Hu, CQ; Zhou, Y</t>
  </si>
  <si>
    <t>Yu, Zonghe; Sun, Hongyan; Huang, Wen; Hu, Chaoqun; Zhou, Yi</t>
  </si>
  <si>
    <t>Sargassum henslowianum as a potential biofilter in mariculture farms of a subtropical eutrophic bay</t>
  </si>
  <si>
    <t>Aquaculture pollution; Seaweed; Biofilter; Bioaccumulation; Nutrients; Heavy metals</t>
  </si>
  <si>
    <t>DISSOLVED INORGANIC NUTRIENTS; HEAVY-METALS; FODDER POTENTIALS; ATLANTIC SALMON; TISSUE NITROGEN; COASTAL WATERS; N-P; GROWTH; AQUACULTURE; SEDIMENTS</t>
  </si>
  <si>
    <t>Mariculture has caused negative environmental impacts on the marine ecosystem in Dapeng Cove, Daya Bay, South China Sea. In this study, the brown macroalgae Sargassum henslowianum was introduced into fish and oyster farms as a biofilter to evaluate its bioremediation potential. We examined the temporal dynamics of seaweed growth, tissue nutrients (N and P), and heavy-metal contents (Cu and Zn) over a 100-day culture period (December 2012 to March 2013). The thalli of seaweed grown in the fish farm suffered greater from fouling and predation than those grown in the oyster farm. The specific growth rates by wet weight of S. henslowianum for the first three culture periods were all significantly higher in the oyster farm (at 6.30, 6.90, and 2.18% d(-1)) than the rates in the fish farm (at 2.77, 4.19, and - 1.16% d(-1)). The tissue nutrients and heavy-metal contents of the seaweed at both sites all varied significantly with time. The estimated N bioaccumulation efficiency of seaweed at the oyster farm increased with time (from -34.44 to 62.91 mg thallus(-1) d(-1)) until late February, but values for the seaweed at the fish farm (- 4.70 to 7.19 mg thallus(-1) d(-1)) increased only until late January. N bioaccumulation efficiency was significantly higher for seaweed in the oyster farm than for seaweed in the fish farm up to February 23; similar trends were found for the P, Cu, and Zn bioaccumulation efficiencies. We conclude that large-scale cultivation of S. henslowianum in the oyster farms of Dapeng Cove should be the first choice to alleviate eutrophication and improve water quality, and the seaweed biomass should be harvested by late February, allowing it to accumulate the optimum amount of nutrients and heavy metals from the water column.</t>
  </si>
  <si>
    <t>[Yu, Zonghe; Sun, Hongyan] South China Agr Univ, Coll Marine Sci, Guangzhou 510642, Guangdong, Peoples R China; [Yu, Zonghe; Huang, Wen; Hu, Chaoqun] Chinese Acad Sci, South China Sea Inst Oceanol, Guangzhou 510301, Guangdong, Peoples R China; [Zhou, Yi] Chinese Acad Sci, Inst Oceanol, Qingdao 266071, Shandong, Peoples R China; [Zhou, Yi] Qingdao Natl Lab Marine Sci &amp; Technol, Qingdao 266237, Shandong, Peoples R China; [Zhou, Yi] Chinese Acad Sci, Ctr Ocean Megasci, Qingdao 266071, Shandong, Peoples R China</t>
  </si>
  <si>
    <t>South China Agricultural University; Chinese Academy of Sciences; South China Sea Institute of Oceanology, CAS; Chinese Academy of Sciences; Institute of Oceanology, CAS; Laoshan Laboratory; Chinese Academy of Sciences</t>
  </si>
  <si>
    <t>Zhou, Y (corresponding author), Chinese Acad Sci, Inst Oceanol, Qingdao 266071, Shandong, Peoples R China.</t>
  </si>
  <si>
    <t>yizhou@qdio.ac.cn</t>
  </si>
  <si>
    <t>huang, wen/GXW-0661-2022; Zhou, Yi/F-4219-2011</t>
  </si>
  <si>
    <t>Zhou, Yi/0000-0001-7300-0173</t>
  </si>
  <si>
    <t>National Natural Science Foundation of China [41676162]; Science and Technology Service Network Initiative of Chinese Academy of Sciences [KFJ-STS-ZDTP-055]; Science and Technology Program of Guangzhou [201707010176]; Taishan Scholars Program (Distinguished Taishan Scholars); Creative Team Project of the Laboratory for Marine Ecology and Environmental Science, Qingdao National Laboratory for Marine Science and Technology [LMEES-CTSP-2018-1]</t>
  </si>
  <si>
    <t>National Natural Science Foundation of China(National Natural Science Foundation of China (NSFC)); Science and Technology Service Network Initiative of Chinese Academy of Sciences; Science and Technology Program of Guangzhou; Taishan Scholars Program (Distinguished Taishan Scholars); Creative Team Project of the Laboratory for Marine Ecology and Environmental Science, Qingdao National Laboratory for Marine Science and Technology</t>
  </si>
  <si>
    <t>This research was supported by the National Natural Science Foundation of China (41676162), the Science and Technology Service Network Initiative of Chinese Academy of Sciences (KFJ-STS-ZDTP-055), the Science and Technology Program of Guangzhou (201707010176), the Taishan Scholars Program (Distinguished Taishan Scholars), and the Creative Team Project of the Laboratory for Marine Ecology and Environmental Science, Qingdao National Laboratory for Marine Science and Technology (No. LMEES-CTSP-2018-1).</t>
  </si>
  <si>
    <t>10.1016/j.marpolbul.2019.110615</t>
  </si>
  <si>
    <t>http://dx.doi.org/10.1016/j.marpolbul.2019.110615</t>
  </si>
  <si>
    <t>JU0RQ</t>
  </si>
  <si>
    <t>WOS:000501387300106</t>
  </si>
  <si>
    <t>AUNAAS, T; EINARSON, S; SOUTHON, TE; ZACHARIASSEN, KE</t>
  </si>
  <si>
    <t>THE EFFECTS OF ORGANIC AND INORGANIC POLLUTANTS ON INTRACELLULAR PHOSPHATE-COMPOUNDS IN BLUE MUSSELS (MYTILUS-EDULIS)</t>
  </si>
  <si>
    <t>1. The effects of sublethal concentrations of organic and inorganic pollutants on intracellular energy-rich phosphates in blue mussels, Mytilus edulis, were investigated by in vivo P-31-NMR. 2. Formaldehyde (30 and 10 mg/l), phenol, pyridine, mercury and cadmium gave marked reductions in phosphoarginine and, in some cases, the ATP amounts. The reduction in high-energy phosphate was accompanied by an increase in inorganic phosphate in all groups. 3. A phosphorus index, the product of the ratios between phosphoarginine and inorganic phosphate, and ATP and inorganic phosphate, is suggested, which might serve as an early warning (alarm) parameter in environmental monitoring. 4. Diversity in the responses to different pollutants make phosphorus compounds in M. edulis also an interesting element in a finger print parameter system designed to distinguish between pollutants in the marine environment.</t>
  </si>
  <si>
    <t>UNIV TRONDHEIM, COLL ARTS &amp; SCI, DEPT ECOTOXICOL, RES FDN, N-7055 DRAGVOLL, NORWAY.</t>
  </si>
  <si>
    <t>10.1016/0742-8413(91)90129-H</t>
  </si>
  <si>
    <t>http://dx.doi.org/10.1016/0742-8413(91)90129-H</t>
  </si>
  <si>
    <t>FL621</t>
  </si>
  <si>
    <t>WOS:A1991FL62100021</t>
  </si>
  <si>
    <t>Abderrahmani, K; Dahdouh, M; Boudjema, K; Guenachi, B; Montevecchi, G</t>
  </si>
  <si>
    <t>Abderrahmani, Khaled; Dahdouh, Mouloud; Boudjema, Kamel; Guenachi, Belkacem; Montevecchi, Giuseppe</t>
  </si>
  <si>
    <t>Assessment of toxic trace elements (Cd, Pb, As, and Co) in small, medium, and large individuals of Mytilus galloprovincialis and Perna perna mussel species along the Algerian coast</t>
  </si>
  <si>
    <t>Toxic metals; Model organisms; Mussel size; Environmental bioindicators of pollution</t>
  </si>
  <si>
    <t>HEAVY-METALS; BODY-SIZE; DREISSENA-POLYMORPHA; BIOACCUMULATION; ORGANISMS</t>
  </si>
  <si>
    <t>This research paper focused on the monitoring of marine sites using mussels, which are highly valuable organisms in assessing environmental health. However, a significant challenge arises when determining the appropriate size of mussels for monitoring purposes. The objective of this study was to examine the levels of Cd, Pb, As, and Co in three different size classes of two mussel species, Mytilus galloprovincialis and Perna perna, collected from three sites along the Algerian coast, each exhibiting varying degrees of pollution.At each of the study sites, a total of thirty individuals from small, medium, and large size classes of mussels were collected during four different time periods. The mussels were then dissected, and the concentrations of Cd, Pb, As, and Co were measured in the entire flesh of the mussels using ICP-MS.Across the various study sites, the concentrations of cadmium, lead, arsenic, and cobalt ranged from 0.06 to 1.32 mg/kg, 0.09 to 12.56 mg/kg, 4.23 to 18.31 mg/kg, and 0.11 to 1.85 mg/kg, respectively. Interestingly, the distribution of these metals in the three different size classes of mussels followed a consistent pattern at all the study sites. Large mussels exhibited higher concentrations, while small and medium-sized mussels displayed lower levels. These findings highlight substantial spatial and temporal variations in metal concentrations within the studied sites.</t>
  </si>
  <si>
    <t>[Abderrahmani, Khaled; Boudjema, Kamel; Guenachi, Belkacem] Ctr Natl Rech Dev Peche Aquaculture CNRDPA, 11,Bd Colonel Amirouche,POB 67, Bou Ismail 42415, Tipaza, Algeria; [Dahdouh, Mouloud] SONATRACH, Div Technol &amp; Dev, Ave 1er Novembre 1954, Boumerdes 35000, Algeria; [Montevecchi, Giuseppe] Univ Modena &amp; Reggio Emilia, BIOGEST SITEIA Interdept Ctr, Dept Life Sci Agrofood Sci Area, Piazzale Europa 1, I-42124 Reggio Emilia, Italy</t>
  </si>
  <si>
    <t>Abderrahmani, K (corresponding author), Ctr Natl Rech Dev Peche Aquaculture CNRDPA, 11,Bd Colonel Amirouche,POB 67, Bou Ismail 42415, Tipaza, Algeria.</t>
  </si>
  <si>
    <t>; Montevecchi, Giuseppe/U-9525-2018</t>
  </si>
  <si>
    <t>ABDERRAHMANI, khaled/0000-0003-0312-6998; Montevecchi, Giuseppe/0000-0002-2483-7134</t>
  </si>
  <si>
    <t>10.1007/s11356-023-31029-y</t>
  </si>
  <si>
    <t>http://dx.doi.org/10.1007/s11356-023-31029-y</t>
  </si>
  <si>
    <t>EM8L8</t>
  </si>
  <si>
    <t>WOS:001107917200010</t>
  </si>
  <si>
    <t>MANNY, BA; KENAGA, D</t>
  </si>
  <si>
    <t>THE DETROIT RIVER - EFFECTS OF CONTAMINANTS AND HUMAN ACTIVITIES ON AQUATIC PLANTS AND ANIMALS AND THEIR HABITATS</t>
  </si>
  <si>
    <t>WATER; SEDIMENTS; OIL; HEAVY METALS; PCBS; PLANKTON; CLAMS; FISH; AND BIRDS</t>
  </si>
  <si>
    <t>LAKE ST-CLAIR; ORGANOCHLORINE CONTAMINANTS; HEAVY-METALS; SEDIMENTS; WATER; ERIE; TOXICITY; MERCURY; TRACE; CLAMS</t>
  </si>
  <si>
    <t>Despite extensive urbanization of its watershed, the Detroit River still supports diverse fish and wildlife populations. Conflicting uses of the river for waste disposal, water withdrawals, shipping, recreation, and fishing require innovative management. Chemicals added by man to the Detroit River have adversely affected the health and habitats of the river's plants and animals. In 1985, as part of an Upper Great Lakes Connecting Channels Study sponsored by Environment Canada and the U.S. Environmental Protection Agency, researchers exposed healthy bacteria, plankton, benthic macroinvertebrates, fish, and birds to Detroit River sediments and sediment porewater. Negative impacts included genetic mutations in bacteria; death of macroinvertebrates; accumulation of contaminants in insects, clams, fishes, and ducks; and tumor formation in fish. Field surveys showed areas of the river bottom that were otherwise suitable for habitation by a variety of plants and animals were contaminated with chlorinated hydrocarbons and heavy metals and occupied only by pollution-tolerant worms. Destruction of shoreline wetlands and disposal of sewage and toxic substances in the Detroit River have reduced habitat and conflict with basic biological processes, including the sustained production of fish and wildlife. Current regulations do not adequately control pollution loadings. However, remedial actions are being formulated by the U.S. and Canada to restore degraded benthic habitats and eliminate discharges of toxic contaminants into the Detroit River.</t>
  </si>
  <si>
    <t>MANNY, BA (corresponding author), US FISH &amp; WILDLIFE SERV,NATL FISHERIES RES CTR GREAT LAKES,ANN ARBOR,MI 48105, USA.</t>
  </si>
  <si>
    <t>JUL 26</t>
  </si>
  <si>
    <t>10.1007/BF00024760</t>
  </si>
  <si>
    <t>http://dx.doi.org/10.1007/BF00024760</t>
  </si>
  <si>
    <t>GK031</t>
  </si>
  <si>
    <t>WOS:A1991GK03100018</t>
  </si>
  <si>
    <t>Al-mutairi, KA; Yap, CK</t>
  </si>
  <si>
    <t>Al-mutairi, K. A.; Yap, C. K.</t>
  </si>
  <si>
    <t>HUMAN HEALTH RISK, POTENTIALS OF BIOMONITORING AND PHYTOREMEDIATION OF COPPER USING AMARANTHUS VIRIDIS</t>
  </si>
  <si>
    <t>public concern; toxic metal; phytoextraction; ecotoxicology; vegetable</t>
  </si>
  <si>
    <t>HEAVY-METAL UPTAKE; SOIL-VEGETABLE SYSTEM; MUSSEL PERNA-VIRIDIS; SPARTINA-ALTERNIFLORA; TYPHA-LATIFOLIA; TRACE-ELEMENTS; CRUENTUS L.; ACCUMULATION; PLANTS; GROWTH</t>
  </si>
  <si>
    <t>This study aimed to determine copper (Cu) levels in Amaranthus viridis collected from 11 Peninsular Malaysia sampling sites and to estimate its human health risk. In addition, it also aims to assess the potential of A. viridis as a biomonitor and phytoremediator of Cu pollution. From a biomonitoring point of view, the Cu concentrations in the leaves, stems, and roots of A. viridis ranged from 10.8 to 21.9 mu g/g dw (1.30-2.63 mu g/g ww), 5.96 to 14.60 mu g/g dw (0.36-0.88 mu g/g ww), and 9.17 to 30.68 mu g/g dw (1.013.37 mu g/g ww), respectively. From the health risk aspect, it was found that the target hazard quotient (THQ) for Cu in the edible leaves of A. viridis were all below 1.00, indicating there were no non -carcinogenic risks of Cu to consumers, regarding both children and adults. Still, routine monitoring and managing the vegetable farms are recommended and necessary. From a phytoremediation perspective, with most bioconcentration factor values&gt; 1.0 and the transfer factor&gt; 1.0, A. viridis is a very potential phytoextraction agent of Cu. The experimental greenhouse study indicated that A. viridis could be a Cu biomonitor.</t>
  </si>
  <si>
    <t>[Al-mutairi, K. A.] Univ Tabuk, Fac Sci, Dept Biol, Tabuk 741, Saudi Arabia; [Yap, C. K.] Univ Putra Malaysia, Fac Sci, Dept Biol, Upm Serdang 43400, Selangor, Malaysia</t>
  </si>
  <si>
    <t>University of Tabuk; Universiti Putra Malaysia</t>
  </si>
  <si>
    <t>Yap, CK (corresponding author), Univ Putra Malaysia, Fac Sci, Dept Biol, Upm Serdang 43400, Selangor, Malaysia.</t>
  </si>
  <si>
    <t>kmutairi@ut.edu.s; yapchee@upm.edu.my</t>
  </si>
  <si>
    <t>Yap, Chia keat/GLU-2999-2022</t>
  </si>
  <si>
    <t>2024 MAY 10</t>
  </si>
  <si>
    <t>10.15666/aeer/2204_33153346</t>
  </si>
  <si>
    <t>http://dx.doi.org/10.15666/aeer/2204_33153346</t>
  </si>
  <si>
    <t>XB9G1</t>
  </si>
  <si>
    <t>WOS:001259334600001</t>
  </si>
  <si>
    <t>Kalpaxis, DL; Theos, C; Xaplanteri, MA; Dinos, GP; Catsiki, AV; Leotsinidis, M</t>
  </si>
  <si>
    <t>Biomonitoring of Gulf of Patras, N. Peloponnesus, Greece.: Application of a biomarker suite including evaluation of translation efficiency in Mytilus galloprovincialis cells</t>
  </si>
  <si>
    <t>marine environment; biomarkers; mussels; heavy metals; translation</t>
  </si>
  <si>
    <t>MICRONUCLEUS ASSAY; PROTEIN-SYNTHESIS; COMMON MUSSEL; GILL TISSUE; METALLOTHIONEIN; CADMIUM; INDUCTION; EDULIS; GENOTOXICITY; INITIATION</t>
  </si>
  <si>
    <t>Specimens of Mytilus galloprovincialis were placed in bow nets and immersed at 3-10 m depth in a clean coastal region (reference area), Itea, and two marine stations along Gulf of Patras, N. Peloponnesus, Greece. One site is. near the estuaries of the Glafkos River, which are influenced by local industrial and urban sources (Station 1); the second site, Agios Vasilios, has no evident organic pollution but is enriched in metals, particularly zinc (Station 2). One month after immersion, digestive glands were removed from the mussels and tested for lysosomal membrane stability, metallothionein content, and translational efficiency of ribosomes. In addition, gill cells were isolated and their micronuclei content was determined. Compared with the reference samples, mussels transplanted to Gulf of Patras showed a significant increased lysosomal membrane permeability and metallothionein content, reduced polysome levels, and increased chromosomal damage in relation to the contamination burden of each sampling area. Also, runoff ribosomes from mussels transplanted to Gulf of Patras (that is, ribosomes stripped of endogenous, messengers and peptidyl- or/and aminoacyl-tRNAs) were less efficient at initiating protein synthesis in an in vitro-translation system than those prepared from reference samples. The whole set of data suggests that the degree of Gulf of Patras pollution differs between different sites and depends on the proximity of urban sewage and industrial outfalls. In addition, our results emphasize the importance of protein synthesis regulation as a component of the cellular stress response. (C) 2003 Elsevier Science (USA). All rights reserved.</t>
  </si>
  <si>
    <t>Univ Patras, Sch Med, Biochem Lab, Patras 26500, Greece; Natl Ctr Marine Res, Athens 19013, Greece; Univ Patras, Sch Med, Publ Hlth Lab, Patras 26500, Greece</t>
  </si>
  <si>
    <t>University of Patras; Hellenic Centre for Marine Research; University of Patras</t>
  </si>
  <si>
    <t>Univ Patras, Sch Med, Biochem Lab, Patras 26500, Greece.</t>
  </si>
  <si>
    <t>Kalpaxis, Dimitrios/A-5195-2008; Dinos, George/AAR-8444-2020</t>
  </si>
  <si>
    <t>Leotsinidis, Michalis/0000-0002-0345-9410</t>
  </si>
  <si>
    <t>10.1016/S0013-9351(03)00048-3</t>
  </si>
  <si>
    <t>http://dx.doi.org/10.1016/S0013-9351(03)00048-3</t>
  </si>
  <si>
    <t>WOS:000188815300011</t>
  </si>
  <si>
    <t>Shepard, JL; Bradley, BP</t>
  </si>
  <si>
    <t>Protein expression signatures and lysosomal stability in Mytilus edulis exposed to graded copper concentrations</t>
  </si>
  <si>
    <t>10th International Symposium on Pollutant Responses in Marine Organisms (PRIMO 10)</t>
  </si>
  <si>
    <t>COLL WILLIAM &amp; MARY, WILLIAMSBURG, VA</t>
  </si>
  <si>
    <t>protein expression; lysosomal stability; Mytilus edulis</t>
  </si>
  <si>
    <t>IN-VITRO; TOXICITY; CELLS</t>
  </si>
  <si>
    <t>Protein expression and lysosomal stability were observed in Mytilus edulis exposed to 0, 20, 40, 60, and 80 ppb copper sulfate for 24 h in a static exposure system. Haemolymph was removed from each mussel and analyzed for lysosomal damage using the Neutral Red retention assay expressed as the ratio of lysosomal size to cell area, the lysosomal destabilization ratio. Gill tissue from the same individuals was dissected, homogenized and the proteins extracted and then separated using two-dimensional gel electrophoresis. Two-dimensional protein maps from each concentration were analyzed using MELANIE II 2D gel analysis software (Biorad). Lysosomal damage increased with each dosage, with LDRs ranging from 0.18+/-0.01 at 0 ppb copper sulfate to 0.32+/-0.11 at 80 ppb copper sulfate. Orthogonal comparisons showed that the central, 20 and 40 ppb classes together differed significantly (P &lt; 0.05) from the 60 and 80 ppb classes together. Specific protein expression signatures were identified at each dosage. (C) 2000 Elsevier Science Ltd. All rights reserved.</t>
  </si>
  <si>
    <t>Univ Maryland Baltimore Cty, Baltimore, MD 21250 USA</t>
  </si>
  <si>
    <t>University System of Maryland; University of Maryland Baltimore County</t>
  </si>
  <si>
    <t>Shepard, JL (corresponding author), Univ Maryland Baltimore Cty, Baltimore, MD 21250 USA.</t>
  </si>
  <si>
    <t>jshepard@umbc.edu</t>
  </si>
  <si>
    <t>10.1016/S0141-1136(00)00119-7</t>
  </si>
  <si>
    <t>http://dx.doi.org/10.1016/S0141-1136(00)00119-7</t>
  </si>
  <si>
    <t>WOS:000165486700072</t>
  </si>
  <si>
    <t>Park, MS; Jo, PG; Choi, YK; An, KW; Choi, CY</t>
  </si>
  <si>
    <t>Park, Mi Seon; Jo, Pil Gue; Choi, Yong Ki; An, Kwang Wook; Choi, Cheol Young</t>
  </si>
  <si>
    <t>Characterization and mRNA expression of Mn-SOD and physiological responses to stresses in the Pacific oyster Crassostrea gigas</t>
  </si>
  <si>
    <t>Acute water temperature; cadmium; hydrogen peroxide; Mn-superoxide dismutase; TBT</t>
  </si>
  <si>
    <t>MANGANESE-SUPEROXIDE DISMUTASES; MOLECULAR EVOLUTION; OXIDATIVE STRESS; CADMIUM AFFECTS; EXPOSURE; GOLDFISH; CONTAMINATION; TEMPERATURE; CLAM</t>
  </si>
  <si>
    <t>Superoxide dismutases (SODs) are metalloenzymes that play an important role in mollusc immune defence systems by eliminating oxidative stress to reactive oxygen species. We investigated physiological changes in the Pacific oyster Crassostrea gigas caused by exposure to pollutants (cadmium, tributyltin) and acute water temperature change. We analysed mRNA expression of Mn-SOD in gills using a quantitative polymerase chain reaction (QPCR), and measured the glutamate oxaloacetate transaminase (GOT), glutamate pyruvate transaminase (GPT) and hydrogen peroxide (H2O2) levels in haemolymph based on time-and dose-related effects of pollutants and acute water temperature treatments. We cloned a cgMn-SOD full-length cDNA that included an open reading frame of 675 nucleotides that was predicted to encode proteins of 225 amino acids. BLAST analysis of other species indicated that residues essential to the enzymatic functions of Mn-SOD proteins are highly conserved. Levels of Mn-SOD mRNA expression, GOT and GPT were gradually increased and then decreased during the experimental periods. On the other hand, H2O2 levels increased continuously during the exposure periods. These results suggest that Mn-SOD plays an important role in the physiological changes related to metabolism and cell protection that occur in C. gigas when exposed to oxidative stress by pollutants and fluctuations in water temperature.</t>
  </si>
  <si>
    <t>[Jo, Pil Gue; Choi, Yong Ki; An, Kwang Wook; Choi, Cheol Young] Korea Maritime Univ, Div Marine Environm &amp; Biosci, Pusan 606791, South Korea; [Park, Mi Seon] Natl Fisheries Res &amp; Dev Inst, Aquaculture Res Dept, Pusan, South Korea</t>
  </si>
  <si>
    <t>National Fisheries Research and Development Institute [RP-2008-AQ-054]</t>
  </si>
  <si>
    <t>National Fisheries Research and Development Institute</t>
  </si>
  <si>
    <t>This work funded by a grant from the National Fisheries Research and Development Institute (RP-2008-AQ-054).</t>
  </si>
  <si>
    <t>10.1080/17451000802626554</t>
  </si>
  <si>
    <t>http://dx.doi.org/10.1080/17451000802626554</t>
  </si>
  <si>
    <t>WOS:000269785900004</t>
  </si>
  <si>
    <t>Szefer, P; Fowler, SW; Ikuta, K; Osuna, FP; Ali, AA; Kim, BS; Fernandes, HM; Belzunce, MJ; Guterstam, B; Kunzendorf, H; Wolowicz, M; Hummel, H; Deslous-Paoli, M</t>
  </si>
  <si>
    <t>A comparative assessment of heavy metal accumulation in soft parts and byssus of mussels from subarctic, temperate, subtropical and tropical marine environments</t>
  </si>
  <si>
    <t>mussel; trace metals; soft tissue; byssus; temperate; subtropical and tropical marine regions</t>
  </si>
  <si>
    <t>TRACE-METALS; MYTILUS-EDULIS; KYUSHU-ISLAND; EAST-COAST; TISSUE; SEDIMENTS; GULF; ASSOCIATION; CADMIUM; BIOMONITORS</t>
  </si>
  <si>
    <t>Existing data on metal concentrations in mussels from subarctic, temperate, subtropical and tropical waters were analyzed using multivariate statistics in order to assess regional variations in metal contamination. Potential errors were reduced by only analyzing data from surveys that employed the same protocols, analytical methodologies and analysts. Factor analysis demonstrated that mussels inhabiting extremely contaminated areas (e.g. from Japanese and Swedish metallurgy sources) could be separated from mussels from other contaminated areas, and that metals such as Cd, Pb, Cu and Zn could be used to identify heavily contaminated samples while Co, Fe, Cr and Ni concentrations were good markers for exposure to inputs from different industrial sources. Furthermore byssus, like soft tissue, selectively and sensitively reflects variations of certain metal concentrations in ambient waters and thus serves as a reliable biomonitor for these contaminants in a variety of coastal and estuarine areas. (c) 2005 Elsevier Ltd. All rights reserved.</t>
  </si>
  <si>
    <t>Med Univ Gdansk, Dept Food Sci, PL-80416 Gdansk, Poland; IAEA, Marine Environm Lab, MC-98000 Monaco, Monaco; Miyazaki Univ, Fac Agr, Dept Fisheries, Lab Aquat Environm &amp; Ecol, Miyazaki 88921, Japan; Natl Autonomous Univ Mexico, Mazatlan Stn, Inst Marine Sci &amp; Limnol, Mazatlan 82000, Sinaloa, Mexico; Univ Aden, Fac Sci Arts &amp; Educ, Aden, Yemen; Seoul Natl Univ, Sch Earth &amp; Environm Sci, Seoul 151742, South Korea; Inst Radioprotecao &amp; Dosimetria, BR-22642970 Rio De Janeiro, Brazil; Inst Tecnol Pesquero &amp; Alimentario, Dept Oceanog &amp; Medio Ambiente Marino, Pasaia 20110, Gipuzkoa, Spain; Global Water Partnership Secretariat, SE-11221 Stockholm, Sweden; Stensund Ecol Ctr, S-61991 Trosa, Sweden; Univ Copenhagen, Inst Geog, GDC, DK-1350 Copenhagen, Denmark; Univ Gdansk, Inst Oceanog, Lab Estuarine Ecol, PL-81378 Gdynia, Poland; Netherlands Inst Ecol, Ctr Estuarine &amp; Marine Ecol, NL-4401 NT Yerseke, Netherlands; IFREMER, Unite Ecol Conchylicole, F-34200 Sete, France</t>
  </si>
  <si>
    <t>Fahrenheit Universities; Medical University Gdansk; University of Miyazaki; Universidad Nacional Autonoma de Mexico; Seoul National University (SNU); Comissao Nacional de Energia Nuclear (CNEN); Instituto de Radioprotecao e Dosimetria; University of Copenhagen; Fahrenheit Universities; University of Gdansk; Royal Netherlands Academy of Arts &amp; Sciences; Netherlands Institute of Ecology (NIOO-KNAW); Ifremer</t>
  </si>
  <si>
    <t>Med Univ Gdansk, Dept Food Sci, Al Gen J Hallera 107, PL-80416 Gdansk, Poland.</t>
  </si>
  <si>
    <t>pszef@amg.gda.pl</t>
  </si>
  <si>
    <t>Páez-Osuna, Federico/AAM-3029-2020; Fowler, Scott/I-4663-2019; Hummel, Herman/A-9610-2011</t>
  </si>
  <si>
    <t>10.1016/j.envpol.2005.04.031</t>
  </si>
  <si>
    <t>http://dx.doi.org/10.1016/j.envpol.2005.04.031</t>
  </si>
  <si>
    <t>WOS:000234069100008</t>
  </si>
  <si>
    <t>Lohan, MC; Statham, PJ; Peck, L</t>
  </si>
  <si>
    <t>Trace metals in the Antarctic soft-shelled clam Laternula elliptica:: implications for metal pollution from Antarctic research stations</t>
  </si>
  <si>
    <t>STATES-MUSSEL-WATCH; KING GEORGE ISLAND; BAY</t>
  </si>
  <si>
    <t>The concentrations of Cd, Cr, Cu, Fe, Mn, Ni, Pb and Zn were measured in several soft-tissue types of the Antarctic soft-shelled clam, Laternula elliptica, which had been collected from Rothera Research Station, Adelaide Island, Antarctic Peninsula. Concentrations of Mn, Ni, Cr and Pb were significantly higher in the kidney than in any other soft tissue and highest concentrations of Cu were observed in the digestive gland. In general, the total tissue concentrations of heavy metals in L. elliptica were considered to be at baseline levels, except for Cu in organisms near the end of the runway. Copper concentrations were an order of magnitude greater (357 mug/g dry weight) than baseline levels, suggesting anthropogenic contamination or an unidentified natural source. However, there was no indication of anthropogenic metal contamination occurring close to the sewage outfall at Rothera, which is a significant metal source. The results indicate that L. elliptica is a useful long-term biomonitor of heavy metal contamination in Antarctic coastal waters.</t>
  </si>
  <si>
    <t>Univ Southampton, Southampton Oceanog Ctr, Sch Ocean &amp; Earth Sci, Southampton SO14 3ZH, Hants, England; British Antarctic Survey, Cambridge CB3 0ET, England</t>
  </si>
  <si>
    <t>NERC National Oceanography Centre; University of Southampton; UK Research &amp; Innovation (UKRI); Natural Environment Research Council (NERC); NERC British Antarctic Survey</t>
  </si>
  <si>
    <t>Univ Southampton, Southampton Oceanog Ctr, Sch Ocean &amp; Earth Sci, European Way, Southampton SO14 3ZH, Hants, England.</t>
  </si>
  <si>
    <t>mcl98@soc.soton.ac.uk</t>
  </si>
  <si>
    <t>Lohan, Maeve/0000-0002-5340-3108</t>
  </si>
  <si>
    <t>10.1007/s003000100279</t>
  </si>
  <si>
    <t>http://dx.doi.org/10.1007/s003000100279</t>
  </si>
  <si>
    <t>494HD</t>
  </si>
  <si>
    <t>WOS:000172275100002</t>
  </si>
  <si>
    <t>Zhang, SX; Zhang, YY; Bi, GM; Liu, JS; Wang, ZG; Xu, Q; Xu, H; Li, XY</t>
  </si>
  <si>
    <t>Zhang, Shengxiao; Zhang, Yuanyuan; Bi, Guoming; Liu, Junshen; Wang, Zhigang; Xu, Qiang; Xu, Hui; Li, Xiaoyan</t>
  </si>
  <si>
    <t>Mussel-inspired polydopamine biopolymer decorated with magnetic nanoparticles for multiple pollutants removal</t>
  </si>
  <si>
    <t>Fe3O4 nanoparticle; Polydopamine polymer; Heavy metal ion; Dye; Adsorption</t>
  </si>
  <si>
    <t>AQUEOUS-SOLUTION; HUMIC-ACID; FE3O4 NANOPARTICLES; EFFICIENT REMOVAL; SURFACE-CHEMISTRY; METHYLENE-BLUE; CATIONIC DYES; HEAVY-METALS; ADSORPTION; WATER</t>
  </si>
  <si>
    <t>The polydopamine polymer decorated with magnetic nanoparticles (Fe3O4/PDA) was synthesized and applied for removal of multiple pollutants. The resulted Fe3O4/PDA was characterized with elemental analysis, thermo-gravimetric analyses, vibrating sample magnetometer, high resolution transmission electron microscope, Fourier transform infrared spectra, and X-ray photoelectron spectroscopy. The selfpolymerization of dopamine could be completed within 8 h, and Fe3O4 nanoparticles were embedded into PDA polymer. Superparamagnetism and large saturation magnetization facilitated collection of sorbents with a magnet. Based on the catechol and amine groups, the PDA polymer provided multiple interactions to combine with pollutants. To investigate the adsorption ability of Fe3O4/PDA, heavy metal ions and dyes were selected as target pollutants. The adsorption of pollutants was pH dependent due to the variation of surface charges at different solution pH. The removal efficiencies of cation pollutants enhanced with solution pH increasing, and that of anion pollutant was just the opposite. Under the optimal solution pH, the maximum adsorption capacity calculated from Langmuir adsorption isotherm for methylene blue, tartrazine, Cu2+, Ag+, and Hg2+ were 204.1, 100.0, 112.9, 259.1, and 467.3 mg g(-1), respectively. The Fe3O4/PDA shows great potential for multiple pollutants removal, and this study is the first application of PDA polymer in environmental remediation. (C) 2014 Elsevier B.V. All rights reserved.</t>
  </si>
  <si>
    <t>[Zhang, Shengxiao; Zhang, Yuanyuan; Liu, Junshen; Xu, Qiang; Xu, Hui; Li, Xiaoyan] Ludong Univ, Sch Chem &amp; Mat Sci, Yantai 264025, Shandong, Peoples R China; [Bi, Guoming; Wang, Zhigang] Yantai Enironmental Monitoring Ctr, Yantai 264025, Shandong, Peoples R China</t>
  </si>
  <si>
    <t>Ludong University</t>
  </si>
  <si>
    <t>Zhang, SX (corresponding author), Ludong Univ, Sch Chem &amp; Mat Sci, Yantai 264025, Shandong, Peoples R China.</t>
  </si>
  <si>
    <t>beijingzsx@163.com</t>
  </si>
  <si>
    <t>zhang, yuanyuan/GYA-4428-2022</t>
  </si>
  <si>
    <t>National Natural Science Foundation of China [21207059, 21171085, 21104030, 21206066]; Natural Science Foundation of Shandong Province [ZR2010BMO27, ZR201113Q012]; Foundation of State Key Laboratory of Environmental Chemistry and Ecotoxicology; Research Center for Eco-Environmental Sciences [KF2011-27]</t>
  </si>
  <si>
    <t>National Natural Science Foundation of China(National Natural Science Foundation of China (NSFC)); Natural Science Foundation of Shandong Province(Natural Science Foundation of Shandong Province); Foundation of State Key Laboratory of Environmental Chemistry and Ecotoxicology; Research Center for Eco-Environmental Sciences</t>
  </si>
  <si>
    <t>This work was jointly supported by the National Natural Science Foundation of China (21207059, 21171085, 21104030, 21206066); the Natural Science Foundation of Shandong Province (ZR2010BMO27, ZR201113Q012); the Foundation of State Key Laboratory of Environmental Chemistry and Ecotoxicology, Research Center for Eco-Environmental Sciences (KF2011-27).</t>
  </si>
  <si>
    <t>10.1016/j.jhazmat.2014.01.039</t>
  </si>
  <si>
    <t>http://dx.doi.org/10.1016/j.jhazmat.2014.01.039</t>
  </si>
  <si>
    <t>AG0MI</t>
  </si>
  <si>
    <t>WOS:000335109200004</t>
  </si>
  <si>
    <t>Van Ael, E; Blust, R; Bervoets, L</t>
  </si>
  <si>
    <t>Van Ael, Evy; Blust, Ronny; Bervoets, Lieven</t>
  </si>
  <si>
    <t>Metals in the Scheldt estuary: From environmental concentrations to bioaccumulation</t>
  </si>
  <si>
    <t>Assessment; Acid volatile sulphide; Human health risk; Metal partitioning</t>
  </si>
  <si>
    <t>SIMULTANEOUSLY EXTRACTED METALS; PERSISTENT ORGANIC POLLUTANTS; ACID-VOLATILE SULFIDE; TRACE-METAL; HEAVY-METALS; ARSENIC CONCENTRATIONS; POLLUTION GRADIENT; PLATICHTHYS-FLESUS; FOOD WEBS; FISH</t>
  </si>
  <si>
    <t>To investigate the relationship between metal concentrations in abiotic compartments and in aquatic species, sediment, suspended matter and several aquatic species (Polychaeta, Oligochaeta, four crustacean species, three mollusc species and eight fish species) were collected during three seasons at six locations along the Scheldt estuary (the Netherlands-Belgium) and analysed on their metal content (Ag, Cd, Co, Cr, Cu, Ni, Pb, Zn and the metalloid As). Sediment and biota tissue concentrations were significantly influenced by sampling location, but not by season. Measurements of Acid Volatile Sulphides (AVS) concentrations in relation to Simultaneously Extracted Metals (SEM) in the sediment suggested that not all metals in the sediment will be bound to sulphides and some metals might be bioavailable. For all metals but zinc, highest concentrations were measured in invertebrate species; Ag and Ni in periwinkle, Cr, Co and Pb in Oligochaete worms and As, Cd and Cu in crabs and shrimp. Highest concentrations of Zn were measured in the kidney of European smelt. In fish, for most of the metals, the concentrations were highest in liver or kidney and lowest in muscle. For Zn however, highest concentrations were measured in the kidney of European smelt. For less than half of the metals significant correlations between sediment metal concentrations and bioaccumulated concentrations were found (liverihepatopancreas or whole organism). To calculate the possible human health risk by consumption, average and maximum metal concentrations in the muscle tissues were compared to the minimum risk levels (MRLs). Concentrations of As led to the highest risk potential for all consumable species. Cadmium and Cu posed only a risk when consuming the highest contaminated shrimp and shore crabs. Consuming blue mussel could result in a risk for the metals As, Cd and Cr. (C) 2017 Elsevier Ltd. All rights reserved.</t>
  </si>
  <si>
    <t>[Van Ael, Evy; Blust, Ronny; Bervoets, Lieven] Univ Antwerp, Dept Biol, Lab Syst Physiol &amp; Ecotoxicol Res, Groenenborgerlaan 171, B-2020 Antwerp, Belgium</t>
  </si>
  <si>
    <t>Bervoets, L (corresponding author), Univ Antwerp, Dept Biol, Lab Syst Physiol &amp; Ecotoxicol Res, Groenenborgerlaan 171, B-2020 Antwerp, Belgium.</t>
  </si>
  <si>
    <t>Lieven.bervoets@uantwerpen.be</t>
  </si>
  <si>
    <t>Bervoets, Lieven/E-5012-2015</t>
  </si>
  <si>
    <t>10.1016/j.envpol.2017.05.028</t>
  </si>
  <si>
    <t>http://dx.doi.org/10.1016/j.envpol.2017.05.028</t>
  </si>
  <si>
    <t>EZ9IA</t>
  </si>
  <si>
    <t>WOS:000405042100010</t>
  </si>
  <si>
    <t>Ochoa-acuña, H; Sepúlveda, MS; Gross, TS</t>
  </si>
  <si>
    <t>Mercury in feathers from Chilean birds:: influence of location, feeding strategy, and taxonomic affiliation</t>
  </si>
  <si>
    <t>ENVIRONMENT; SEABIRDS; REGION; GULLS; MOLT</t>
  </si>
  <si>
    <t>This study reports baseline concentrations of mercury (Hg) in feathers from different species of birds sampled at various locations off the Chilean coast (Southeastern Pacific). Hg concentrations were evaluated in relation to geographic location, taxonomic affiliation, and feeding strategies. Between January and March of 1995, we collected mature contour feathers from 116 birds belonging to 22 species, mostly seabirds. Birds were collected from 10 different locations (26degrees09'S, 70degrees40'W to 54degrees56'S, 67degrees37'W). Feather Hg concentrations ranged from 0.11 to 13 mug g(-1) dry weight. We found differences in feather Hg concentrations across taxonomic groups, with highest concentrations in petrels, shearwaters, and albatrosses (Procellaridae), followed by boobies (Sulidae), gulls, terns, skuas (Laridae) and cormorants (Phalacrocoracidae). Ibises and oystercatchers (Threskiornithidae and Charadriidae) had intermediate values, whereas ducks and geese (Anatidae) contained the least amount of Hg. Oceanic species preying on mesopelagic fish (the Procellariformes albatrosses, petrels, and fulmars) had over twice as much Hg (overall average of 3.9 mug g(-1)) when compared to the rest of the species sampled (overall average of 1.5 mug g(-1)). We did not find higher Hg concentrations in birds inhabiting the more heavily industrialized and urbanized areas of the country (central and northern regions), but in birds inhabiting the remote Juan Fernandez Archipelago. This is not surprising, since all the Procellariformes (the group with highest Hg values in this study) were collected from these islands. Except for Hg in Kermadec petrels (mean of 12 mug g(-1)), the range of Hg values reported here (0.11-7.3 mug g(-1)) fell below those known to cause adverse health and reproductive effects in birds. (C) 2002 Elsevier Science Ltd. All rights reserved.</t>
  </si>
  <si>
    <t>Univ Florida, Coll Vet Med, Dept Physiol Sci, Gainesville, FL 32611 USA; Univ Florida, Coll Vet Med, Ctr Environm &amp; Human &amp; Toxicol, Gainesville, FL 32611 USA; USGS BRD Florida Caribbean Sci Ctr, Gainesville, FL 32653 USA</t>
  </si>
  <si>
    <t>State University System of Florida; University of Florida; State University System of Florida; University of Florida; United States Department of the Interior; United States Geological Survey</t>
  </si>
  <si>
    <t>marisol_sepulveda@usgs.gov</t>
  </si>
  <si>
    <t>Sepulveda, Maria/P-3598-2014</t>
  </si>
  <si>
    <t>PII S0025-326X(01)00280-6</t>
  </si>
  <si>
    <t>10.1016/S0025-326X(01)00280-6</t>
  </si>
  <si>
    <t>http://dx.doi.org/10.1016/S0025-326X(01)00280-6</t>
  </si>
  <si>
    <t>571WY</t>
  </si>
  <si>
    <t>WOS:000176743200021</t>
  </si>
  <si>
    <t>Gedik, K</t>
  </si>
  <si>
    <t>Gedik, Kenan</t>
  </si>
  <si>
    <t>Bioaccessibility of Cd, Cr, Cu, Mn, Ni, Pb, and Zn in Mediterranean mussel (Mytilus galloprovincialis Lamarck, 1819) along the southeastern Black Sea coast</t>
  </si>
  <si>
    <t>bioaccessibility; heavy metal; health risk; mussel; hazard quotients</t>
  </si>
  <si>
    <t>HEAVY-METALS; TRACE-METALS; ELEMENT CONCENTRATIONS; ORAL BIOACCESSIBILITY; RISK-ASSESSMENT; TURKISH COAST; SEDIMENTS; SHELLFISH; FISH; POLLUTION</t>
  </si>
  <si>
    <t>The adverse effect of seafood consumption on human health is related to the bioaccessibility in contrast with the total heavy metal level in the tissues. In this study, bioaccessibility of Cd, Cr, Cu, Mn, Ni, Pb, and Zn in Mediterranean mussel (Mytilus galloprovincialis Lamarck, 1819) edible soft tissues collected along the southern Black Sea coast were investigated using in vitro digestion model. Total Pb concentration in the tissues was found to be higher than the maximum permissible limits set by European Commission. The bioaccessibility of metals in the tissues was found to be decreased in the order: Ni (83.11%) &gt; Cu (80.47%) &gt; Zn (76.86%) &gt; Cd (73.32%) &gt; Mn (69.11%) &gt; Pb (61.07%) &gt; Cr (58.44%). While significant positive linear regression was observed between total and bioaccessible concentrations for Mn, Pb, and Ni, significant negative linear regression was found for Cd (p &lt; .05). The hazard quotients (HQ) calculated using bioaccessible amount were detected lower than the limit (HQ &lt;1), which may not pose a potential hazard to humans reported by US Environmental Protection Agency. In sum, mussel consumption from sampling sites may cause a potential risk concerning human health especially for Cd and Pb in case of increased portion sizes.</t>
  </si>
  <si>
    <t>[Gedik, Kenan] Recep Tayyip Erdogan Univ, Vocat Sch Tech Sci, Dept Underwater Technol, TR-53100 Rize, Turkey</t>
  </si>
  <si>
    <t>Gedik, K (corresponding author), Recep Tayyip Erdogan Univ, Vocat Sch Tech Sci, Dept Underwater Technol, TR-53100 Rize, Turkey.</t>
  </si>
  <si>
    <t>Gedik, Kenan/HKE-2278-2023</t>
  </si>
  <si>
    <t>Gedik, Kenan/0000-0001-8244-6935</t>
  </si>
  <si>
    <t>Research Fund of Recep Tayyip Erdogan University [FBA-2016-594]</t>
  </si>
  <si>
    <t>Research Fund of Recep Tayyip Erdogan University(Recep Tayyip Erdogan University)</t>
  </si>
  <si>
    <t>This work was funded by the Research Fund of Recep Tayyip Erdogan University (Project Number: FBA-2016-594).</t>
  </si>
  <si>
    <t>10.1080/10807039.2017.1398632</t>
  </si>
  <si>
    <t>http://dx.doi.org/10.1080/10807039.2017.1398632</t>
  </si>
  <si>
    <t>FV2UI</t>
  </si>
  <si>
    <t>WOS:000424423100015</t>
  </si>
  <si>
    <t>Roper, DS; Nipper, MG; Hickey, CW; Martin, ML; Weatherhead, MA</t>
  </si>
  <si>
    <t>Burial, crawling and drifting behaviour of the bivalve Macomona liliana in response to common sediment contaminants</t>
  </si>
  <si>
    <t>WADDEN SEA; BALTHICA; SETTLEMENT; JUVENILES; MOLLUSKS; COPPER; CLAM</t>
  </si>
  <si>
    <t>To investigate the effect of sediment contamination on the tellinid bivalve Macomona liliana, juvenile shellfish (about 1.3 mm long) were exposed to copper- and zinc-dosed sand, and sediments collected from several contaminated sites. The behavioural responses measured included burial rate, crawling and drifting. In copper-dosed sediment, a significant reduction in the number of shellfish burying after 10 min occurred at 25 mg Cu kg(-1) (dry wt). After a 96-h exposure, shellfish crawled away from sediment with 10 mg Cu kg(-1) (dry wt), and when a weak current was provided they left this 10 mg Cu kg(-1) (dry wt) sediment by drifting. Zinc-dosed sediment slowed burial at 80 mg Zn kg(-1) (dry wt), and stimulated crawling and drifting at 40 mg Zn kg(-1) (dry wt). Some of the field-collected contaminated sediments slowed burial and stimulated drifting, but none affected crawling. It appears that juvenile drifting induced by sediment contamination could play a role in determining M. liliana distributions.</t>
  </si>
  <si>
    <t>NATL INST WATER &amp; ATMOSPHER RES, POB 11-115, HAMILTON, NEW ZEALAND.</t>
  </si>
  <si>
    <t>HICKEY, CHRISTOPHER/0000-0002-2305-1009</t>
  </si>
  <si>
    <t>10.1016/0025-326X(96)81928-X</t>
  </si>
  <si>
    <t>http://dx.doi.org/10.1016/0025-326X(96)81928-X</t>
  </si>
  <si>
    <t>WOS:A1995TM84200050</t>
  </si>
  <si>
    <t>Coppola, F; Bessa, A; Henriques, B; Russo, T; Soares, AMVM; Figueira, E; Marques, PAAP; Polese, G; Di Cosmo, A; Pereira, E; Freitas, R</t>
  </si>
  <si>
    <t>Coppola, Francesca; Bessa, Ana; Henriques, Bruno; Russo, Tania; Soares, Amadeu M. V. M.; Figueira, Etelvina; Marques, Paula A. A. P.; Polese, Gianluca; Di Cosmo, Anna; Pereira, Eduarda; Freitas, Rosa</t>
  </si>
  <si>
    <t>Oxidative stress, metabolic and histopathological alterations in mussels exposed to remediated seawater by GO-PEI after contamination with mercury</t>
  </si>
  <si>
    <t>Toxicity; Nanostructured materials; Mytilus galloprovincialis; Metals; Bioaccumulation; Remediated seawater</t>
  </si>
  <si>
    <t>INTEGRATED BIOMARKER RESPONSE; MYTILUS-GALLOPROVINCIALIS; HEAVY-METALS; DIGESTIVE GLAND; GRAPHENE OXIDE; CRASSOSTREA-GIGAS; BIOACCUMULATION PATTERNS; HISTOLOGICAL-CHANGES; ANTIOXIDANT ENZYMES; BIOCHEMICAL IMPACTS</t>
  </si>
  <si>
    <t>The modern technology brought new engineering materials (e.g. nanostructured materials) with advantageous characteristics such as a high capacity to decontaminate water from pollutants (for example metal(loid)s). Among those innovative materials the synthesis of nanostructured materials (NSMs) based on graphene as graphene oxide (GO) functionalized with polyethyleneimine (GO-PEI) had a great success due to their metal removal capacity from water. However, research dedicated to environmental risks related to the application of these materials is still non-existent. To evaluate the impacts of such potential stressors, benthic species can be a good model as they are affected by several environmental constraints. Particularly, the mussel Mytilus galloprovincialis has been identified by several authors as a bioindicator that responds quickly to environmental disturbances, with a wide spatial distribution and economic relevance. Thus, the present study aimed to evaluate the impacts caused in M. galloprovincialis by seawater previously contaminated by Hg and decontaminated using GO-PEI. For this, histopathological and biochemical alterations were examined. This study demonstrated that mussels exposed to the contaminant (Hg), the decontaminant (GO-PEI) and the combination of both (Hg + GO-PEI) presented an increment of histopathological, oxidative stress and metabolic alterations if compared to organisms under remediated seawater and control conditions The present findings highlight the possibility to remediate seawater with nanoparticles for environmental safety purposes.</t>
  </si>
  <si>
    <t>[Coppola, Francesca; Henriques, Bruno; Soares, Amadeu M. V. M.; Figueira, Etelvina; Pereira, Eduarda; Freitas, Rosa] Univ Aveiro, CESAM, P-3810193 Aveiro, Portugal; [Coppola, Francesca; Soares, Amadeu M. V. M.; Figueira, Etelvina; Freitas, Rosa] Univ Aveiro, Dept Biol, Campus Univ Santiago, P-3810193 Aveiro, Portugal; [Bessa, Ana; Marques, Paula A. A. P.] Univ Aveiro, TEMA, P-3810193 Aveiro, Portugal; [Bessa, Ana; Marques, Paula A. A. P.] Univ Aveiro, Dept Mech Engn, P-3810193 Aveiro, Portugal; [Henriques, Bruno; Pereira, Eduarda] Univ Aveiro, LAQV REQUIMTE, P-3810193 Aveiro, Portugal; [Henriques, Bruno; Pereira, Eduarda] Univ Aveiro, Dept Chem, P-3810193 Aveiro, Portugal; [Russo, Tania; Polese, Gianluca; Di Cosmo, Anna] Univ Naples Federico II, Dept Biol, I-80126 Naples, Italy</t>
  </si>
  <si>
    <t>Universidade de Aveiro; Universidade de Aveiro; Universidade de Aveiro; Universidade de Aveiro; Universidade de Aveiro; Universidade de Aveiro; University of Naples Federico II</t>
  </si>
  <si>
    <t>Freitas, R (corresponding author), Univ Aveiro, Dept Biol, Campus Univ Santiago, P-3810193 Aveiro, Portugal.</t>
  </si>
  <si>
    <t>Pereira, Eduarda/A-5907-2012; Figueira, Etelvina/M-6116-2013; Coppola, Francesca/U-8869-2018; Freitas, Rosa/A-7539-2012; Henriques, Bruno/B-6258-2017; Marques, Paula/A-7371-2008; Russo, Tania/AHA-0304-2022; Soares, Amadeu/A-8304-2008; Polese, Gianluca/F-3496-2013</t>
  </si>
  <si>
    <t>Pereira, Eduarda/0000-0002-6046-5243; Henriques, Bruno/0000-0002-6472-5479; Di Cosmo, Anna/0000-0002-1018-9957; Marques, Paula/0000-0002-7498-452X; Russo, Tania/0000-0002-3531-3977; Coppola, Francesca/0000-0002-7039-9630; Soares, Amadeu/0000-0003-0879-9470; Polese, Gianluca/0000-0002-6322-7769</t>
  </si>
  <si>
    <t>Portuguese Science Foundation (FCT) [SFRH/BD/118582/2016, SFRH/BD/110478/2015]; national funds (OE), through FCT -Fundacao para a Ciencia e a Tecnologia, I.P.; REQUIMTE [UIDB/50006/2020]; FCT/MEC; TEMA [UID/EMS/00481/2013-FCT]; FEDER, within the PT2020 Partnership Agreement; project BISPECIAl: BIvalveS under Polluted Environment and ClImate chAnge - FEDER, through COMPETE2020 Programa Operacional Competitividade e Internacionalizacao (POCI) [POCI-01-0145-FEDER-028425]; national funds (OE), through FCT/MCTES; Regional Operational Program of the Center; Programa Operacional Capital Humano (POCH) e da Uniao Europeia; CESAM [UID/AMB/50017/2019]; Foundation for Science and Technology [PTDC/NAN-MAT/30513/2017]; FEDER component [CENTRO-01-0145-FEDER-030513]; FSE; Compete 2020; Fundação para a Ciência e a Tecnologia [PTDC/NAN-MAT/30513/2017, SFRH/BD/110478/2015] Funding Source: FCT</t>
  </si>
  <si>
    <t>Portuguese Science Foundation (FCT)(Fundacao para a Ciencia e a Tecnologia (FCT)); national funds (OE), through FCT -Fundacao para a Ciencia e a Tecnologia, I.P.(Fundacao para a Ciencia e a Tecnologia (FCT)); REQUIMTE; FCT/MEC(Fundacao para a Ciencia e a Tecnologia (FCT)); TEMA; FEDER, within the PT2020 Partnership Agreement; project BISPECIAl: BIvalveS under Polluted Environment and ClImate chAnge - FEDER, through COMPETE2020 Programa Operacional Competitividade e Internacionalizacao (POCI); national funds (OE), through FCT/MCTES(Fundacao para a Ciencia e a Tecnologia (FCT)); Regional Operational Program of the Center; Programa Operacional Capital Humano (POCH) e da Uniao Europeia; CESAM; Foundation for Science and Technology; FEDER component; FSE(European Social Fund (ESF)); Compete 2020; Fundação para a Ciência e a Tecnologia(Fundacao para a Ciencia e a Tecnologia (FCT))</t>
  </si>
  <si>
    <t>Francesca Coppola and Ana Bessa benefited from a PhD grants (SFRH/BD/118582/2016 and SFRH/BD/110478/2015, respectively) given by the National Funds through the Portuguese Science Foundation (FCT), supported by FSE and Programa Operacional Capital Humano (POCH) e da Uniao Europeia. This work was also funded by national funds (OE), through FCT -Fundacao para a Ciencia e a Tecnologia, I.P., in the scope of the framework contract foreseen in the numbers 4, 5 and 6 of the article 23, of the Decree-Law 57/2016, of August 29, changed by Law 57/2017, of July 19. Thanks are due for the financial support to CESAM, REQUIMTE and TEMA (UID/AMB/50017/2019 and UIDB/50006/2020, UID/EMS/00481/2013-FCT respectively), to FCT/MEC through national funds, and the co-funding by the FEDER, within the PT2020 Partnership Agreement and Compete 2020. This work was also financially supported by the project BISPECIAl: BIvalveS under Polluted Environment and ClImate chAnge (POCI-01-0145-FEDER-028425) funded by FEDER, through COMPETE2020 Programa Operacional Competitividade e Internacionalizacao (POCI), and by national funds (OE), through FCT/MCTES. This work was, also supported by the budgets of the Regional Operational Program of the Center and national funds (CENTRO-01-0145-FEDER-030513) in its FEDER component and the Foundation for Science and Technology in its State Budget, PTDC/NAN-MAT/30513/2017.</t>
  </si>
  <si>
    <t>10.1016/j.cbpa.2020.110674</t>
  </si>
  <si>
    <t>http://dx.doi.org/10.1016/j.cbpa.2020.110674</t>
  </si>
  <si>
    <t>LF3QL</t>
  </si>
  <si>
    <t>WOS:000527335200005</t>
  </si>
  <si>
    <t>Salánki, J; Farkas, A; Kamardina, T; Rózsa, KS</t>
  </si>
  <si>
    <t>Molluscs in biological monitoring of water quality</t>
  </si>
  <si>
    <t>TOXICOLOGY LETTERS</t>
  </si>
  <si>
    <t>40th Congress of the European-Societies-of-Toxicology</t>
  </si>
  <si>
    <t>SEP 15-18, 2002</t>
  </si>
  <si>
    <t>mussel; pond snail; heavy metals; organic pollutants; behavior; accumulation</t>
  </si>
  <si>
    <t>Molluscs living in Lake Balaton accumulate persistent toxic substances, namely heavy metals, to a greater extent, than other organisms, and can serve as excellent passive biomonitors. Especially gills are good accumulators. Regular sampling showed that the level of Cd and Hg concentrations increased, while Pb contamination decreased during the past 20 years in mussels, corresponding probably to changes in pollution of the Lake. In functional, active monitoring various behavioral patterns of molluscs were employed. In mussels the periodicity of activity and rest (pumping activity vs. valve closure) is a sensitive indicator of unfavorable conditions and so of toxic substances. Low concentrations of inorganic and organic toxicants (heavy metals, PCBs, PAH compounds) cause reduction of the active and increase of the rest periods in a concentration dependent manner in a few hours. A second, suitable test for evaluating toxicity of chemicals is the measurement of the water flow through the exhalant siphon. Under the effect of toxicants the siphon activity, both the strength and duration of water flow changes characteristically within a few minutes. For both behavioral tests special techniques have been developed suitable for long duration recording, supported by mechano-electrical transduction and computerized data evaluation. In case of the pond snail (Lymnaea stagnalis L.) the behavior (positive/negative geotaxis and orientation) is disturbed in the presence of the above mentioned toxic chemicals. The execution and evaluation of the changes in the movement of the snail is based on video-recording and measurement of the direction and distance the animal performs in uncontaminated water and in the presence of the pollutants during the same period of time (0.5-4 h). (C) 2003 Published by Elsevier Science Ireland Ltd.</t>
  </si>
  <si>
    <t>Hungarian Research Network; Hungarian Academy of Sciences; HUN-REN Centre for Ecological Research; HUN-REN Balaton Limnological Research Institute</t>
  </si>
  <si>
    <t>Farkas, A (corresponding author), Hungarian Acad Sci, Balaton Limnol Res Inst, POB 35, H-8237 Tihany, Hungary.</t>
  </si>
  <si>
    <t>Farkas, Anna/N-8980-2019</t>
  </si>
  <si>
    <t>ELSEVIER SCI IRELAND LTD</t>
  </si>
  <si>
    <t>CLARE</t>
  </si>
  <si>
    <t>CUSTOMER RELATIONS MANAGER, BAY 15, SHANNON INDUSTRIAL ESTATE CO, CLARE, IRELAND</t>
  </si>
  <si>
    <t>0378-4274</t>
  </si>
  <si>
    <t>TOXICOL LETT</t>
  </si>
  <si>
    <t>Toxicol. Lett.</t>
  </si>
  <si>
    <t>APR 11</t>
  </si>
  <si>
    <t>10.1016/S0378-4274(03)00036-5</t>
  </si>
  <si>
    <t>http://dx.doi.org/10.1016/S0378-4274(03)00036-5</t>
  </si>
  <si>
    <t>668RX</t>
  </si>
  <si>
    <t>WOS:000182307900045</t>
  </si>
  <si>
    <t>Hédouin, L; Metian, M; Teyssie, JL; Fichez, R; Warnau, M</t>
  </si>
  <si>
    <t>Hedouin, Laetitia; Metian, Marc; Teyssie, Jean-Louis; Fichez, Renaud; Warnau, Michel</t>
  </si>
  <si>
    <t>Delineation of heavy metal contamination pathways (seawater, food and sediment) in tropical oysters from New Caledonia using radiotracer techniques</t>
  </si>
  <si>
    <t>Bioaccumulation; Metals; Biokinetics; Coral reefs; Mining</t>
  </si>
  <si>
    <t>MUSSEL MYTILUS-EDULIS; ECHINOID PARACENTROTUS-LIVIDUS; ALGA LOBOPHORA-VARIEGATA; CADMIUM UPTAKE; TRACE-METALS; CRASSOSTREA-VIRGINICA; MARINE BIVALVES; COASTAL WATERS; PERNA-VIRIDIS; SUBCELLULAR-DISTRIBUTION</t>
  </si>
  <si>
    <t>Bioaccumulation of Ag, Cd, Co, Cr and Zn was studied in the oysters Isognomon isognomon and Malleus regula, using highly sensitive radiotracer techniques. Metals were readily bioconcentrated from the dissolved phase. Sediment exposures indicated a low bioavailability of sediment-bound metals (3-5 orders of magnitude lower than dissolved metals). In both seawater and sediment experiments, the two oysters displayed similar bioaccumulation behaviour towards all metals but Ag. Indeed, Ag was much more efficiently incorporated and retained in I. isognomon. Metals ingested with food (phytoplankton) were efficiently assimilated (34-77%) and strongly retained in oyster tissues (T-b1/2 &gt;= 20 d). Estimation of the relative contribution of each exposure pathway indicated that for both species sediment was the dominant pathway for Co and Cd, whereas food was the major source of Zn. Regarding Ag, seawater was the main source for I. isognomon (86%), whereas sediment was the predominant route for M. regula (92%). (C) 2010 Elsevier Ltd. All rights reserved.</t>
  </si>
  <si>
    <t>[Hedouin, Laetitia; Metian, Marc; Teyssie, Jean-Louis; Warnau, Michel] IAEA MEL, MC-98000 Principality Monaco, Monaco; [Hedouin, Laetitia; Metian, Marc; Warnau, Michel] Univ La Rochelle, CNRS, Littoral Environm &amp; Soc LIENSs, UMR 6250, F-17042 La Rochelle 01, France; [Hedouin, Laetitia; Fichez, Renaud] Noumea Ctr, IRD, Noumea 98848, New Caledonia</t>
  </si>
  <si>
    <t>La Rochelle Universite; Centre National de la Recherche Scientifique (CNRS); Institut de Recherche pour le Developpement (IRD)</t>
  </si>
  <si>
    <t>Warnau, M (corresponding author), IAEA, Tech Cooperat Dept, Div Africa, Wagramer Str 5,POB 100, A-1400 Vienna, Austria.</t>
  </si>
  <si>
    <t>warnaumichel@yahoo.com</t>
  </si>
  <si>
    <t>Metian, Marc/F-8010-2018</t>
  </si>
  <si>
    <t>Metian, Marc/0000-0003-1485-5029; Fichez, Renaud/0000-0002-2374-1018; HEDOUIN, Laetitia/0000-0001-6565-3633</t>
  </si>
  <si>
    <t>Goro-Nickel Company, New Caledonia; National Fund for Scientific Research (NFSR, Belgium)</t>
  </si>
  <si>
    <t>Goro-Nickel Company, New Caledonia; National Fund for Scientific Research (NFSR, Belgium)(Fonds de la Recherche Scientifique - FNRS)</t>
  </si>
  <si>
    <t>The authors thank L Breau (IRD-Noumea Center) for the collection and shipment of organisms and O. Cotret and J. Paganelli (IAEA-MEL) for skilful technical assistance. LH was beneficiary of a Ph.D. grant (CIFRE, France) supported by the Goro-Nickel Company, New Caledonia. MW is an Honorary Senior Research Associate of the National Fund for Scientific Research (NFSR, Belgium) and has benefited from a 2008-2009 Invited Expert position at LIENSs (CNRS-Universite de La Rochelle), supported by the Conseil Regional de Poitou-Charente. This work was supported by the IAEA, the French PNEC Programme and IRD. The IAEA is grateful for the support provided by the Government of Monaco to its Marine Environment Laboratories.</t>
  </si>
  <si>
    <t>10.1016/j.marpolbul.2010.06.037</t>
  </si>
  <si>
    <t>http://dx.doi.org/10.1016/j.marpolbul.2010.06.037</t>
  </si>
  <si>
    <t>653RA</t>
  </si>
  <si>
    <t>WOS:000282113200021</t>
  </si>
  <si>
    <t>Alaoui, AM; Choura, M; Maanan, M; Zourarah, B; Robin, M; Conceiçao, MF; Andrade, C; Khalid, M; Carruesco, C</t>
  </si>
  <si>
    <t>Mhamdi Alaoui, Asmae; Choura, Mohamed; Maanan, Mohamed; Zourarah, Bendahhou; Robin, Marc; Conceicao, Maria Freitas; Andrade, Cesar; Khalid, Mehdi; Carruesco, Christian</t>
  </si>
  <si>
    <t>Metal fluxes to the sediments of the Moulay Bousselham lagoon, Morocco</t>
  </si>
  <si>
    <t>Moulay Bousselham lagoon; Heavy metals fluxes; Sediments; GIS; Anthropogenic input</t>
  </si>
  <si>
    <t>HEAVY-METALS; MARINE-SEDIMENTS; CONTAMINATION; POLLUTION; ELEMENTS; QUALITY; CLAMS; FATE</t>
  </si>
  <si>
    <t>The metal content in surface sediments (0-2 cm, 26 samples), in a sediment core (120, 1 cm slices), taken from Moulay Bousselham (Morocco) was investigated. Concentrations of Al, Fe, Mn, Pb, Zn, Cu, Ni, Cr, Cd, As, and Hg were evaluated in surface and cored sediments of Moulay Bousselham lagoon. Significantly high concentrations in mu g g(-1) dw of Pb (31.7-6.2), Zn (758.9-167), Cu (310.7-22), Ni (96-10.5), Cr (113-18.9), Cd (0.84-0.02), As (1-0.1), and Hg (0.61-0.02) were found in sediment samples from Moulay Bousselham lagoon. Calculated enrichment factors [EFMe = (Me/Al)(sample)/(Me/Al)(background)], using Al as a normalizer, and correlation matrices showed that metal pollution in Merja Zerga of Moulay Bousselham lagoon was the product of anthropogenic sources, while the metal content in Merja Kehla was of natural origins. The results suggest that a major change in the sedimentary regime of the lagoon, associated with internal trapping and re-distribution of heavy metal, has been occurring in the past few decades. The cause would appear to be the construction of a Nador Canal at the lagoon. Probable effects concentrations (PEC) were often exceeded for heavy metals in the lagoon sediments, especially for Zn, Cu, Ni, and Cr, and four stations, stations MZ-11, MZ-12, MZ-13, MZ-14, MZ-16, and MZ-17, had multiple metals at presumptively toxic levels. These comparisons suggest that sediment metal levels in the river are clearly high and probably pose an environmental risk at some stations. The levels of most of the metals were not greatly enriched, a consideration that is of the utmost importance when contamination issues are at stake. Metal concentrations found in Moulay Bousselham lagoon were comparable to aquatic systems classified as contaminated from other regions of the world.</t>
  </si>
  <si>
    <t>[Mhamdi Alaoui, Asmae; Zourarah, Bendahhou; Khalid, Mehdi] Fac Sci, Unite Associee CNRST URAC, Lab Geosci Marines &amp; Sci Sol, Dept Geol, El Jadida, Morocco; [Choura, Mohamed] Univ Sfax, URGEMC, ENIS Sfax, Sfax, Tunisia; [Maanan, Mohamed; Robin, Marc] Univ Nantes, UMR 6554, LETG, Nantes, France; [Conceicao, Maria Freitas; Andrade, Cesar] Univ Lisbon, Ctr Dept Geol, P-1699 Lisbon, Portugal; [Carruesco, Christian] Univ Bordeaux 1, EPOC 5805, Dept Geol &amp; Oceanog, Talence, France</t>
  </si>
  <si>
    <t>Chouaib Doukkali University of El Jadida; Centre National de la Recherche Scientifique &amp; Technologique (CNRST); Universite de Sfax; Ecole Nationale dIngenieurs de Sfax (ENIS); Centre National de la Recherche Scientifique (CNRS); CNRS - Institute of Ecology &amp; Environment (INEE); Nantes Universite; Universidade de Lisboa; Centre National de la Recherche Scientifique (CNRS); Universite de Bordeaux</t>
  </si>
  <si>
    <t>Zourarah, B (corresponding author), Fac Sci, Unite Associee CNRST URAC, Lab Geosci Marines &amp; Sci Sol, Dept Geol, El Jadida, Morocco.</t>
  </si>
  <si>
    <t>bendahhouzourarah@yahoo.fr</t>
  </si>
  <si>
    <t>MAANAN, Mohamed/F-1430-2013; Andrade, Cesar/A-4246-2013; Pombo de Freitas, Maria da Conceicao/E-4762-2010</t>
  </si>
  <si>
    <t>Andrade, Cesar/0000-0002-8451-9437; Maanan, Mohamed/0000-0003-3526-2070; Pombo de Freitas, Maria da Conceicao/0000-0002-2616-6637</t>
  </si>
  <si>
    <t>Moroccan-Tunisia [102/MT/08]; Ministry for National Education, the Higher Education and Scientific Research (Morocco); Service of Cooperation and Cultural Action (SCAC) of the Embassy of France in Rabat</t>
  </si>
  <si>
    <t>Moroccan-Tunisia; Ministry for National Education, the Higher Education and Scientific Research (Morocco); Service of Cooperation and Cultural Action (SCAC) of the Embassy of France in Rabat</t>
  </si>
  <si>
    <t>This work was supported by grants from integrated action Moroccan-Tunisia no. 102/MT/08, by GRICES Portugal/CNRST-Maroc program and LagMar/REMER program financed by the Ministry for National Education, the Higher Education and Scientific Research (Morocco) and the Service of Cooperation and Cultural Action (SCAC) of the Embassy of France in Rabat.</t>
  </si>
  <si>
    <t>10.1007/s12665-009-0341-9</t>
  </si>
  <si>
    <t>http://dx.doi.org/10.1007/s12665-009-0341-9</t>
  </si>
  <si>
    <t>614SS</t>
  </si>
  <si>
    <t>WOS:000279080600005</t>
  </si>
  <si>
    <t>de Kock, KN; Wolmarans, CT</t>
  </si>
  <si>
    <t>de Kock, K. N.; Wolmarans, C. T.</t>
  </si>
  <si>
    <t>Distribution and habitats of Corbicula fluminalis africana (Mollusca: Bivalvia) in South Africa</t>
  </si>
  <si>
    <t>Corbicula fluminalis africana; C. fluminea; geographical distribution; habitat analysis; freshwater Bivalvia; South Africa</t>
  </si>
  <si>
    <t>FRESH-WATER SNAIL; INTERMEDIATE HOST</t>
  </si>
  <si>
    <t>An account is given of the geographical distribution and habitats of the South African representative of the genus Corbicula Muhlfeld 1811, formerly known as C. africana (Krauss, 1848) but currently regarded as conspecific with the Asian clam, C. fuminalis (Muller, 1774). Data pertaining to 390 samples of C. fluminalis africana (Krauss, 1848) were extracted from the database of the National Freshwater Snail Collection (NFSC) and statistically analysed. Details of each habitat, as well as mean altitude and mean annual temperature and rainfall for each locality, were processed to determine chi-square and effect size values. An integrated decision tree constructed from the data indicated that temperature, altitude, current speed and type of water-body seemed the more important factors that significantly influenced the distribution of this species in South Africa. In spite of the fact that C. fluminalis africana is relatively widespread in South Africa and was recovered from a wide range of habitat types and water-bodies, it has, to our knowledge, not yet been reported to cause problems in cooling circuits as experienced elsewhere in the world. It is proposed that the feasibility to exploit this species for monitoring heavy metal pollution in freshwater biotopes should be investigated in view of reports from elsewhere in the world that it has the ability to accumulate metals such as copper, lead, zinc and manganese.</t>
  </si>
  <si>
    <t>NW Univ, Sch Environm Sci &amp; Dev, ZA-2520 Potchefstroom, South Africa</t>
  </si>
  <si>
    <t>de Kock, KN (corresponding author), NW Univ, Sch Environm Sci &amp; Dev, Potchefstroom Campus,Private Bag X6001, ZA-2520 Potchefstroom, South Africa.</t>
  </si>
  <si>
    <t>kenne.dekock@nwu.ac.za</t>
  </si>
  <si>
    <t>234BC</t>
  </si>
  <si>
    <t>WOS:000251134700016</t>
  </si>
  <si>
    <t>Yusof, AM; Yanta, NF; Wood, AKH</t>
  </si>
  <si>
    <t>The use of bivalves as bio-indicators in the assessment of marine pollution along a coastal area</t>
  </si>
  <si>
    <t>HEAVY-METALS; MUSSEL WATCH; ENVIRONMENTS</t>
  </si>
  <si>
    <t>The assessment of environmental pollution of the coastal areas of the Malaysian Peninsula was done by analyzing the contents of the heavy and trace elements in the bivalves blood clams (Anadara granosa) and green mussels (Perna viridis) and sediments at twenty-two sampling stations to look for prevailing trends. Heavy and trace elements analyzed in this study were As, Cd, Cr, Cu, Pb, Se and Zn. Two techniques, namely the neutron activation analysis (NAA) and atomic absorption spectrophotometry (AAS) were used in the quantitative determination of the heavy metals while Marine Sediment Reference Material (BCSS) and Lobster Hepatopancreas (TORT-1) provided the certified reference materials in the quality assurance control. The potential use of these bivalves as suitable bio-indicators was evaluated from correlation tests based on the concentrations of heavy and trace elements in the sediment-metals system to those in the bivalves.</t>
  </si>
  <si>
    <t>Univ Teknol Malaysia, Dept Chem, Skudai 81310, Malaysia; Malaysia Inst Nucl Technol Res, Bangi 43000, Malaysia</t>
  </si>
  <si>
    <t>Universiti Teknologi Malaysia; Agensi Nuklear Malaysia</t>
  </si>
  <si>
    <t>Univ Teknol Malaysia, Dept Chem, Skudai 81310, Malaysia.</t>
  </si>
  <si>
    <t>alias@kimia.fs.utm.my</t>
  </si>
  <si>
    <t>1588-2780</t>
  </si>
  <si>
    <t>10.1023/B:JRNC.0000015816.16869.6f</t>
  </si>
  <si>
    <t>http://dx.doi.org/10.1023/B:JRNC.0000015816.16869.6f</t>
  </si>
  <si>
    <t>773LF</t>
  </si>
  <si>
    <t>WOS:000188924700019</t>
  </si>
  <si>
    <t>Coppola, F; Russo, T; Soares, AMVM; Marques, PAAP; Polese, G; Pereira, E; Freitas, R</t>
  </si>
  <si>
    <t>Coppola, Francesca; Russo, Tania; Soares, Amadeu M. V. M.; Marques, Paula A. A. P.; Polese, Gianluca; Pereira, Eduarda; Freitas, Rosa</t>
  </si>
  <si>
    <t>The influence of salinity on the toxicity of remediated seawater</t>
  </si>
  <si>
    <t>Biomarkers; Mercury; Mytilus galloprovincialis; Graphene oxide functionalized with polyethyleneimine; Seawater remediation; Salinity; Bioaccumulation</t>
  </si>
  <si>
    <t>MUSSELS MYTILUS-GALLOPROVINCIALIS; CLAM CHAMELEA-GALLINA; RUDITAPES-PHILIPPINARUM; IMMUNE-RESPONSE; HISTOPATHOLOGICAL INDEXES; PHYSIOLOGICAL-RESPONSES; BIOCHEMICAL RESPONSE; OXIDATIVE STRESS; ESTUARINE WATERS; CARBON NANOTUBE</t>
  </si>
  <si>
    <t>Mercury (Hg) is one of the most hazardous pollutants, due to its toxicity, biological magnification and worldwide persistence in aquatic systems. Thus, new efficient nanotechnologies (e.g. graphene oxide functionalized with polyethyleneimine (GO-PEI)) have been developed to remove this metal from the water. Aquatic environments, in particular transitional systems, are also subjected to disturbances resulting from climate change, such as salinity shifts. Salinity is one of the most relevant factors that influences the distribution and survival of aquatic species such as mussels. To our knowledge, no studies assessed the ecotoxicological impairments induced in marine organisms exposed to remediate seawater (RSW) under different salinity levels. For this, the focus of the present study was to evaluate the effects of seawater previously contaminated with Hg and remediated with GO-PEI, using the species Mytilus galloprovincialis, maintained at three different salinities(30, 20 and 40). The results obtained demonstrated similar histopathological and metabolic alterations, oxidative stress and neurotoxicity in mussels under RSW treatment at stressful salinity conditions (20 and 40) in comparison to control salinity (30). On the other hand, the present findings revealed toxicological effects including cellular damage and histopathological impairments in mussels exposed to Hg contaminated seawater in comparison to non-contaminated ones, at each salinity level. Overall, these results confirm the high efficiency of GO-PEI to sorb Hg from water with no noticeable toxic effects even under different salinities, leading to consider it a promising eco-friendly approach to remediate contaminated water.</t>
  </si>
  <si>
    <t>[Coppola, Francesca; Soares, Amadeu M. V. M.; Freitas, Rosa] Univ Aveiro, Dept Biol, Campus Univ Santiago, P-3810193 Aveiro, Portugal; [Coppola, Francesca; Soares, Amadeu M. V. M.; Freitas, Rosa] Univ Aveiro, CESAM, Campus Univ Santiago, P-3810193 Aveiro, Portugal; [Russo, Tania; Polese, Gianluca] Univ Naples Federico II, Dept Biol, I-80126 Naples, Italy; [Marques, Paula A. A. P.] Univ Aveiro, Dept Mech Engn, P-3810193 Aveiro, Portugal; [Marques, Paula A. A. P.] Univ Aveiro, TEMA, P-3810193 Aveiro, Portugal; [Pereira, Eduarda] Univ Aveiro, Dept Chem, P-3810193 Aveiro, Portugal; [Pereira, Eduarda] Univ Aveiro, LAQV REQUIMTE, P-3810193 Aveiro, Portugal</t>
  </si>
  <si>
    <t>Universidade de Aveiro; Universidade de Aveiro; University of Naples Federico II; Universidade de Aveiro; Universidade de Aveiro; Universidade de Aveiro; Universidade de Aveiro</t>
  </si>
  <si>
    <t>Freitas, R (corresponding author), Univ Aveiro, Dept Biol, Campus Univ Santiago, P-3810193 Aveiro, Portugal.;Freitas, R (corresponding author), Univ Aveiro, CESAM, Campus Univ Santiago, P-3810193 Aveiro, Portugal.</t>
  </si>
  <si>
    <t>Coppola, Francesca/U-8869-2018; Pereira, Eduarda/A-5907-2012; Polese, Gianluca/F-3496-2013; Russo, Tania/AHA-0304-2022; Marques, Paula/A-7371-2008; Soares, Amadeu/A-8304-2008; Freitas, Rosa/A-7539-2012</t>
  </si>
  <si>
    <t>Polese, Gianluca/0000-0002-6322-7769; Russo, Tania/0000-0002-3531-3977; Coppola, Francesca/0000-0002-7039-9630; Marques, Paula/0000-0002-7498-452X; Soares, Amadeu/0000-0003-0879-9470; Freitas, Rosa/0000-0003-4900-3897</t>
  </si>
  <si>
    <t>national funds (OE), through FCT -Fundacao para a Ciencia e a Tecnologia, I.P.; project BISPECIAl: BIvalveS under Polluted Environment and ClImate chAnge - FEDER, through COMPETE2020-Programa Operacional Competitividade e Internacionalizacao (POCI) [POCI-01-0145-FEDER-028425]; national funds (OE), through FCT/MCTES; FEDER component [CENTRO-01-0145-FEDER-030513]; Foundation for Science and Technology [PTDC/NAN-MAT/30513/2017]; FSE [SFRH/BD/118582/2016]; Programa Operacional Capital Humano (POCH) e da Uniao Europeia; Fundação para a Ciência e a Tecnologia [PTDC/NAN-MAT/30513/2017] Funding Source: FCT</t>
  </si>
  <si>
    <t>national funds (OE), through FCT -Fundacao para a Ciencia e a Tecnologia, I.P.(Fundacao para a Ciencia e a Tecnologia (FCT)); project BISPECIAl: BIvalveS under Polluted Environment and ClImate chAnge - FEDER, through COMPETE2020-Programa Operacional Competitividade e Internacionalizacao (POCI); national funds (OE), through FCT/MCTES(Fundacao para a Ciencia e a Tecnologia (FCT)); FEDER component; Foundation for Science and Technology; FSE(European Social Fund (ESF)); Programa Operacional Capital Humano (POCH) e da Uniao Europeia; Fundação para a Ciência e a Tecnologia(Fundacao para a Ciencia e a Tecnologia (FCT))</t>
  </si>
  <si>
    <t>This work was funded by national funds (OE), through FCT -Fundacao para a Ciencia e a Tecnologia, I.P., in the scope of the framework contract foreseen in the numbers 4, 5 and 6 of the article 23, of the Decree-Law 57/2016, of August 29, changed by Law 57/2017, of July 19. This work was also financially supported by the project BISPECIAl: BIvalveS under Polluted Environment and ClImate chAnge (POCI-01-0145-FEDER-028425) funded by FEDER, through COMPETE2020-Programa Operacional Competitividade e Internacionalizacao (POCI), and by national funds (OE), through FCT/MCTES. This work was also supported by the budgets of the Regional Operational Program of the Center and national funds (CENTRO-01-0145-FEDER-030513) in its FEDER component and the Foundation for Science and Technology in its State Budget, PTDC/NAN-MAT/30513/2017 (project H2OValue). Francesca Coppola benefited from a PhD grant (SFRH/BD/118582/2016) given by the National Funds through the Portuguese Science Foundation (FCT), supported by FSE and Programa Operacional Capital Humano (POCH) e da Uniao Europeia.</t>
  </si>
  <si>
    <t>10.1007/s11356-021-17745-3</t>
  </si>
  <si>
    <t>http://dx.doi.org/10.1007/s11356-021-17745-3</t>
  </si>
  <si>
    <t>1A1DH</t>
  </si>
  <si>
    <t>WOS:000741964500009</t>
  </si>
  <si>
    <t>Pini, R; Siano, S; Salimbeni, R; Pasquinucci, M; Miccio, M</t>
  </si>
  <si>
    <t>Pini, Roberto; Siano, Salvatore; Salimbeni, Renzo; Pasquinucci, Marinella; Miccio, Marcello</t>
  </si>
  <si>
    <t>Tests of laser cleaning on archeological metal artefacts</t>
  </si>
  <si>
    <t>JOURNAL OF CULTURAL HERITAGE</t>
  </si>
  <si>
    <t>laser cleaning; archeological metals; bronze; silver; lead</t>
  </si>
  <si>
    <t>Previously reported experiences on laser cleaning of metal surfaces of artworks such as statues and decorations altered by atmospheric pollution demonstrated the potential advantages of this technique. Here we present a study on the use of laser cleaning on excavated metal objects that typically show alterations and corrosion processes quite different with respect to exposed metal artefacts. Tests were performed on a selection of archaeological samples, such as coins, plates, clamps and ornaments collected from Italian sites. Metals considered in this study are bronze, copper, silver and lead. Different laser systems and different irradiation conditions were employed and compared. The results, evaluated by metallurgic diagnostics and objective observations, indicated that the laser cleaning process was selective and highly precise, allowing the preservation of fine surface details. (C) 2000 Editions scientifiques et medicales Elsevier SAS</t>
  </si>
  <si>
    <t>[Pini, Roberto; Siano, Salvatore; Salimbeni, Renzo] CNR, Ist Elettron Quantist, I-50127 Florence, Italy; [Pasquinucci, Marinella] Univ Pisa, Dipartimento Sci Storiche Mondo Antico, I-56100 Pisa, Italy; [Miccio, Marcello] Ctr Restauro, Florence, Italy</t>
  </si>
  <si>
    <t>Consiglio Nazionale delle Ricerche (CNR); University of Pisa</t>
  </si>
  <si>
    <t>Pini, R (corresponding author), CNR, Ist Elettron Quantist, Via Panciatichi 56-30, I-50127 Florence, Italy.</t>
  </si>
  <si>
    <t>rpini@ieq.fi.cnr.it</t>
  </si>
  <si>
    <t>Siano, Salvatore/O-6633-2019; Siano, Salvatore/B-3847-2015</t>
  </si>
  <si>
    <t>Siano, Salvatore/0000-0001-6126-2539</t>
  </si>
  <si>
    <t>CNR</t>
  </si>
  <si>
    <t>CNR(Consiglio Nazionale delle Ricerche (CNR))</t>
  </si>
  <si>
    <t>The authors wish to thank the Special Project 'Cultural Heritage' of the CNR for financial support to this research.</t>
  </si>
  <si>
    <t>1296-2074</t>
  </si>
  <si>
    <t>1778-3674</t>
  </si>
  <si>
    <t>J CULT HERIT</t>
  </si>
  <si>
    <t>J. Cult. Herit.</t>
  </si>
  <si>
    <t>S129</t>
  </si>
  <si>
    <t>S137</t>
  </si>
  <si>
    <t>PII S1296-2074(00)00139-4/FLA</t>
  </si>
  <si>
    <t>10.1016/S1296-2074(00)00139-4</t>
  </si>
  <si>
    <t>http://dx.doi.org/10.1016/S1296-2074(00)00139-4</t>
  </si>
  <si>
    <t>Archaeology; Art; Chemistry, Analytical; Geosciences, Multidisciplinary; Materials Science, Multidisciplinary; Spectroscopy</t>
  </si>
  <si>
    <t>Science Citation Index Expanded (SCI-EXPANDED); Arts &amp; Humanities Citation Index (A&amp;HCI)</t>
  </si>
  <si>
    <t>Archaeology; Art; Chemistry; Geology; Materials Science; Spectroscopy</t>
  </si>
  <si>
    <t>V20HY</t>
  </si>
  <si>
    <t>WOS:000208132300019</t>
  </si>
  <si>
    <t>Brown, ME; Kowalewski, M; Neves, RJ; Cherry, DS; Schreiber, ME</t>
  </si>
  <si>
    <t>Freshwater mussel shells as environmental chronicles: Geochemical and taphonomic signatures of mercury-related extirpations in the North Fork Holston River, Virginia</t>
  </si>
  <si>
    <t>PERNA-VIRIDIS; PENINSULAR MALAYSIA; MYTILUS-EDULIS; COLORADO RIVER; WEST-COAST; SYSTEM; BIOAVAILABILITY; POLLUTION; PLANTS; BAY</t>
  </si>
  <si>
    <t>This study utilized freshwater mussel shells to assess mercury (Hg) contamination in the North Fork Holston River that extirpated (caused local extinctions of) a diverse mussel fauna. Shells (n = 366) were collected from five sites situated upstream (two sites), just below (one site), and downstream (two sites) of the town of Saltville, Virginia, where Hg was used to produce chlorine and caustic soda from 1950 to 1972. Shell samples were used to test the ( 1) utility of geochemical signatures of shells for assessing the spatial variation in Hg levels in the river relative to the contamination source and (2) value of taphonomy (postmortem shell alteration) for distinguishing sites that differ in extirpation histories. Geochemical signatures of 40 shells, analyzed using atomic absorption spectroscopy, indicated a strong longitudinal pattern. All shells from the two upstream sites had low Hg concentrations (&lt; 5-31 mu g/kg), shells directly below Saltville had variable, but dramatically higher concentrations (23-4637 mu g/kg), and shells from the two downstream sites displayed intermediate Hg levels (&lt; 5-115 mu g/kg) that declined with distance from Saltville. Two pre-industrial shells, collected at Saltville in 1917, yielded very low Hg estimates (5-6 mu g/kg). Hg signatures were consistent among mussel species, suggesting that Hg concentrations were invariant to species type; most likely, highly variable Hg levels, both across sites and through time, overwhelmed any interspecific differences in Hg acquisition. Also, a notable postmortem incorporation of Hg in mussel shells seemed unlikely, as the Hg content was not correlated with shell taphonomy (r= 0.18; p = 0.28). The taphonomic analysis (n = 366) showed that the degree of shell alteration reliably distinguished sites with different extirpation histories. At Saltville, where live mussels have been absent for at least 30 years, shells were most heavily altered and fragmented. Conversely, fresh-looking shells abounded upstream, where reproducing mussel populations are still present. In summary, relic shells offered valuable spatio-temporal data on Hg concentrations in a polluted ecosystem, and shell taphonomic signatures discriminated sites with different extirpation histories. The shell-based strategies exemplified here do not require sampling live specimens and may augment more standard strategies applied to environmental monitoring. The approach should prove especially useful in areas with unknown extirpation and pollution histories.</t>
  </si>
  <si>
    <t>Virginia Tech, Dept Geosci, US Geol Survey, Blacksburg, VA 24061 USA; Virginia Tech, Dept Fisheries &amp; Wildlife Sci, Blacksburg, VA 24061 USA; Virginia Tech, Dept Biol, Blacksburg, VA 24061 USA</t>
  </si>
  <si>
    <t>Virginia Polytechnic Institute &amp; State University; United States Department of the Interior; United States Geological Survey; Virginia Polytechnic Institute &amp; State University; Virginia Polytechnic Institute &amp; State University</t>
  </si>
  <si>
    <t>Virginia Tech, Dept Geosci, US Geol Survey, Blacksburg, VA 24061 USA.</t>
  </si>
  <si>
    <t>mebrown@vt.edu</t>
  </si>
  <si>
    <t>Moody, Michael/H-9377-2013; Schreiber, Madeline/A-5356-2009; Kowalewski, Michal/B-4263-2008</t>
  </si>
  <si>
    <t>Schreiber, Madeline/0000-0002-1858-7730; Kowalewski, Michal/0000-0002-8575-4711</t>
  </si>
  <si>
    <t>10.1021/es048573p</t>
  </si>
  <si>
    <t>http://dx.doi.org/10.1021/es048573p</t>
  </si>
  <si>
    <t>906JF</t>
  </si>
  <si>
    <t>WOS:000227636300017</t>
  </si>
  <si>
    <t>Araújo, DF; Ponzevera, E; Knoery, J; Briant, N; Bruzac, S; Sireau, T; Pellouin-Grouhel, A; Brach-Papa, C</t>
  </si>
  <si>
    <t>Araujo, Daniel F.; Ponzevera, Emmanuel; Knoery, Joel; Briant, Nicolas; Bruzac, Sandrine; Sireau, Teddy; Pellouin-Grouhel, Anne; Brach-Papa, Christophe</t>
  </si>
  <si>
    <t>Can copper isotope composition in oysters improve marine biomonitoring and seafood traceability?</t>
  </si>
  <si>
    <t>Anthropogenic contamination; Isotope fingerprint; Metal bioaccumulation; Marine pollution; Mussel-watch; Crassotrea gigas; Cu isotopes; Cu contamination</t>
  </si>
  <si>
    <t>ZN ISOTOPES; ANTHROPOGENIC SOURCES; BIVALVE MOLLUSKS; BIOGEOCHEMICAL PROCESSES; VINEYARD CATCHMENT; LOIRE ESTUARY; ZINC; FRACTIONATION; METALS; CU</t>
  </si>
  <si>
    <t>This study provides the first geographic and temporal large-scale analysis of Cu stable isotope compositions in indigenous oysters to biomonitor anthropogenic Cu inputs in aquatic systems. It includes oyster samples from French marine environments with distinct Cu-pollution levels and histories and extends over several decades of biomonitoring. Sample series composed of oysters from the same season and similar size/age intended to avoid biological biases. Oysters in macrotidal estuaries (Loire and Gironde, Western France) display fluctuating Cu concentrations without clear temporal trends, challenging to infer anthropogenic influence. Conversely, the time series of their Cu isotope ratios indicate a constant proportion of natural and anthropogenic Cu sources since the 1980s. In contrast, Cu isotope compositions in oysters from the progressively developing locales (urbanization and recreational boating) of Arcachon and Vilaine bays shift positively over time, along with increasing Cu concentrations. This finding suggests a gradual augmentation in the bioaccumulation of anthropogenic Cu over time. Thus, Cu isotope compositions in oysters is an unambiguous and robust approach to pinpoint anthropo-genic Cu contamination in marine biomonitoring. Furthermore, Cu concentrations combined with isotope compositions yield site-specific fingerprints allowing geographic discrimination among oysters. This two-dimensional Cu signature is promising as a tool for seafood traceability.</t>
  </si>
  <si>
    <t>[Araujo, Daniel F.; Ponzevera, Emmanuel; Knoery, Joel; Briant, Nicolas; Bruzac, Sandrine; Sireau, Teddy; Pellouin-Grouhel, Anne] Ifremer, Unite Contaminat Chim Ecosyst Marins CCEM, CCEM, F-44300 Nantes, France; [Brach-Papa, Christophe] Ifremer, Unite Littoral Lab Environm Ressources Provence A, F-83507 La Seyne Sur Mer, France</t>
  </si>
  <si>
    <t>Araújo, DF (corresponding author), Ifremer, Unite Contaminat Chim Ecosyst Marins CCEM, CCEM, F-44300 Nantes, France.</t>
  </si>
  <si>
    <t>knoery, joel/0000-0003-2826-6436; Brach-Papa, Christophe/0009-0008-4171-4743; GROUHEL, Anne/0000-0003-1879-4884; Ponzevera, Emmanuel/0000-0001-6481-7309</t>
  </si>
  <si>
    <t>Ifremer; Region Pays de la Loire (Pollusols project); Agence de l'Eau RMC (SCOTTTI project)</t>
  </si>
  <si>
    <t>We thank the financial support from Ifremer, from the Region Pays de la Loire (Pollusols project) and the Agence de l'Eau RMC (SCOTTTI project).</t>
  </si>
  <si>
    <t>10.1016/j.seares.2023.102334</t>
  </si>
  <si>
    <t>http://dx.doi.org/10.1016/j.seares.2023.102334</t>
  </si>
  <si>
    <t>8I9DD</t>
  </si>
  <si>
    <t>WOS:000922026300001</t>
  </si>
  <si>
    <t>Mishra, S; Bhalke, S; Saradhi, IV; Suseela, B; Tripathi, RM; Pandit, GG; Puranik, VD</t>
  </si>
  <si>
    <t>Mishra, S.; Bhalke, S.; Saradhi, I. V.; Suseela, B.; Tripathi, R. M.; Pandit, G. G.; Puranik, V. D.</t>
  </si>
  <si>
    <t>Trace metals and organometals in selected marine species and preliminary risk assessment to human beings in Thane Creek area, Mumbai</t>
  </si>
  <si>
    <t>risk assessment; biota consumption; tracemetals; organometals; marine environment</t>
  </si>
  <si>
    <t>HEAVY-METALS; FISH; MERCURY; METHYLMERCURY; SEDIMENTS; ELEMENTS; CADMIUM; WATERS; LEAD; CD</t>
  </si>
  <si>
    <t>Trace metals and organometals were estimated in different types of marine organisms (fish, bivalve, crab and prawn) collected from the Trans-Thane Creek area, Mumbai. Thane Creek area is considered as most polluted area due to industrial discharges. Potential risks associated with consumption of marine organisms collected from this particular area to human beings were assessed. Concentrations of ten trace elements (As, Cd, Co, Cr, Cu, Hg, Mn, Ni, Ph and Zn) in the edible part of marine organisms were analysed by atomic absorption spectrometer and differential pulse anodic stripping voltametric technique. Methyl mercury and tributyl tin were estimated using gas ch romatograph -mass spectrometer in combination with solid phase inicro extraction (SPME). An assessment of the risk on human beings due to consumption of marine organism was undertaken using toxic reference benchmark, namely the reference dose (RfD). The hazard index (HI), sum of hazard quotients calculated for all the pollutant showed that the risks from consumption of fish and marine organisms as a whole were generally low and are within safe limits. (c) 2007 Elsevier Ltd. All rights reserved.</t>
  </si>
  <si>
    <t>Bhabha Atom Res Ctr, Environm Assessment Div, Bombay 400085, Maharashtra, India</t>
  </si>
  <si>
    <t>Bhabha Atomic Research Center (BARC)</t>
  </si>
  <si>
    <t>Mishra, S (corresponding author), Bhabha Atom Res Ctr, Environm Assessment Div, Bombay 400085, Maharashtra, India.</t>
  </si>
  <si>
    <t>suchim75@yahoo.co.in</t>
  </si>
  <si>
    <t>10.1016/j.chemosphere.2007.05.013</t>
  </si>
  <si>
    <t>http://dx.doi.org/10.1016/j.chemosphere.2007.05.013</t>
  </si>
  <si>
    <t>222GZ</t>
  </si>
  <si>
    <t>WOS:000250285600018</t>
  </si>
  <si>
    <t>Velez, C; Galvao, P; Longo, R; Malm, O; Soares, AMVM; Figueira, E; Freitas, R</t>
  </si>
  <si>
    <t>Velez, Catia; Galvao, Petrus; Longo, Renan; Malm, Olaf; Soares, Amadeu M. V. M.; Figueira, Etelvina; Freitas, Rosa</t>
  </si>
  <si>
    <t>Ruditapes philippinarum and Ruditapes decussatus under Hg environmental contamination</t>
  </si>
  <si>
    <t>Ruditapes decussatus; Ruditapes philippinarum; Mercury; Methylmercury; Bivalves; Bioaccumulation; Oxidative stress; Maximum permissible limits (MPLs)</t>
  </si>
  <si>
    <t>OXIDATIVE STRESS BIOMARKERS; RIO-DE-JANEIRO; AQUATIC ENVIRONMENT; LIPID-PEROXIDATION; BIVALVE MOLLUSKS; MYTILUS-GALLOPROVINCIALIS; BIOACCUMULATION PATTERNS; MERCURY BIOACCUMULATION; CERASTODERMA-EDULE; METAL EXPOSURE</t>
  </si>
  <si>
    <t>The native species Ruditapes decussatus and the invasive species Ruditapes philippinarum have an important ecological role and socio-economic value, from the Atlantic and Mediterranean to the Indo-Pacific region. In the aquatic environment, they are subjected to the presence of different contaminants, such as mercury (Hg) and its methylated form, methylmercury (MeHg). However, few studies have assessed the impacts of Hg on bivalves under environmental conditions, and little is known on bivalve oxidative stress patterns due to Hg contamination. Therefore, this study aims to assess the Hg contamination in sediments as well as the concentration of Hg and MeHg in R. decussatus and R. philippinarum, and to identify the detoxification strategies of both species living in sympatry, in an aquatic system with historical Hg contamination. The risk to human health due to the consumption of clams was also evaluated. The results obtained demonstrated that total Hg concentration found in sediments from the most contaminated area was higher than the maximum levels established by Sediment Quality Guidelines. This study further revealed that the total Hg and MeHg accumulation in both species was strongly correlated with the total Hg contamination of the sediments. Nonetheless, the THg concentration in both species was lower than maximum permissible limits (MPLs) of THg defined by international organizations. R. decussatus and R. philippinarum showed an increase in lipid peroxidation levels along with the increase of THg accumulation by clams. Nevertheless, for both species, no clear trend was obtained regarding the activity of antioxidant (superoxide dismutase, catalase) and biotransformation (glutathione S-transferase) enzymes and metallothioneins with the increase of THg in clams. Overall, the present work demonstrated that both species can be used as sentinel species of contamination and that the consumption of these clams does not constitute a risk for human health.</t>
  </si>
  <si>
    <t>[Velez, Catia; Soares, Amadeu M. V. M.; Figueira, Etelvina; Freitas, Rosa] Univ Aveiro, Dept Biol, P-3810193 Aveiro, Portugal; [Velez, Catia; Soares, Amadeu M. V. M.; Figueira, Etelvina; Freitas, Rosa] Univ Aveiro, CESAM, P-3810193 Aveiro, Portugal; [Velez, Catia; Soares, Amadeu M. V. M.; Figueira, Etelvina; Freitas, Rosa] Univ Aveiro, CESAM Ctr Estudos Ambiente &amp; Mar, P-3810193 Aveiro, Portugal; [Galvao, Petrus; Longo, Renan; Malm, Olaf] Univ Fed Rio de Janeiro, Lab Radioisotopos Eduardo Penna Franca, BR-21941900 Rio De Janeiro, RJ, Brazil</t>
  </si>
  <si>
    <t>Universidade de Aveiro; Universidade de Aveiro; Universidade de Aveiro; Universidade Federal do Rio de Janeiro</t>
  </si>
  <si>
    <t>Malm, Olaf/H-1724-2012; Galvao, P./ABF-1623-2020; Soares, Amadeu/A-8304-2008; Freitas, Rosa/A-7539-2012; Figueira, Etelvina/M-6116-2013</t>
  </si>
  <si>
    <t>Soares, Amadeu/0000-0003-0879-9470; Freitas, Rosa/0000-0003-4900-3897; Malm, Olaf/0000-0002-4116-7160; Galvao, Petrus/0000-0002-4711-4406; Figueira, Etelvina/0000-0002-6763-2665</t>
  </si>
  <si>
    <t>National Funds through the Portuguese Science Foundation (FCT) [SFRH/BD/86356/2012]; European Funds through COMPETE; FCT [PEst-C/MAR/LA0017/2013]; Portuguese FCT (Fundacao para a Ciencia e Tecnologia) [SFRH/BPD/92258/2013]; Fundação para a Ciência e a Tecnologia [SFRH/BD/86356/2012] Funding Source: FCT</t>
  </si>
  <si>
    <t>National Funds through the Portuguese Science Foundation (FCT)(Fundacao para a Ciencia e a Tecnologia (FCT)); European Funds through COMPETE; FCT(Fundacao para a Ciencia e a Tecnologia (FCT)); Portuguese FCT (Fundacao para a Ciencia e Tecnologia)(Fundacao para a Ciencia e a Tecnologia (FCT)); Fundação para a Ciência e a Tecnologia(Fundacao para a Ciencia e a Tecnologia (FCT))</t>
  </si>
  <si>
    <t>Catia Velez benefited from a PhD grant (SFRH/BD/86356/2012) given by National Funds through the Portuguese Science Foundation (FCT), and this work was supported by European Funds through COMPETE and by FCT within project PEst-C/MAR/LA0017/2013. Rosa Freitas benefited from a post-doctoral grant (SFRH/BPD/92258/2013) given by the Portuguese FCT (Fundacao para a Ciencia e Tecnologia). We are grateful to the Laboratorio de Radioisotopos Eduardo Penna-Franca group for their invaluable help in mercury analysis. The authors would like to thank Anthony Peter Moreira for the English editing.</t>
  </si>
  <si>
    <t>10.1007/s11356-015-4397-7</t>
  </si>
  <si>
    <t>http://dx.doi.org/10.1007/s11356-015-4397-7</t>
  </si>
  <si>
    <t>CN3MM</t>
  </si>
  <si>
    <t>WOS:000358330800062</t>
  </si>
  <si>
    <t>Singaram, G; Harikrishnan, T; Chen, FY; Bo, J; Giesy, JP</t>
  </si>
  <si>
    <t>Singaram, Gopalakrishnan; Harikrishnan, Thilagam; Chen, Fang-Yi; Bo, Jun; Giesy, John P.</t>
  </si>
  <si>
    <t>Modulation of immune-associated parameters and antioxidant responses in the crab (Scylla serrata) exposed to mercury</t>
  </si>
  <si>
    <t>Physiology; Enzyme; Biomarkers; Immunomodulation; Metal; Crustacean</t>
  </si>
  <si>
    <t>PROPHENOLOXIDASE-ACTIVATING SYSTEM; MARINE MUSSEL; INDUCED IMMUNOMODULATION; OXIDATIVE DAMAGE; CARCINUS-MAENAS; GLUTATHIONE; HEMOCYTES; TOXICITY; SUPEROXIDE; METALS</t>
  </si>
  <si>
    <t>Organic and inorganic contaminants can suppress immune function in molluscs and crustaceans. It was postulated that metals could modulate immune function in marine crabs. To test this hypothesis, sublethal effects of mercury (Hg) on cellular immune and biochemical responses of crabs were determined. When crabs were exposed for 14 d to environmentally-relevant concentrations of Hg, changes in immune-associated parameters including, total haemocyte count, lysosomal membrane stability, phenoloxidase, super oxide generation and phagocytosis were observed. Oxidative stress, as measured by lipid peroxidation, antioxidant responses, including superoxide dismutase and catalase activities and glutathione-mediated antioxidant enzymes in serum, haemocyte lysate, gills, hepatopancreas and muscle were assessed in crabs exposed to Hg. Exposure to Hg resulted in significantly lesser immune-associated parameters in haemolymph and antioxidants in all tissues studied. Conversely, GST and phenoloxidase activity, were greater in crabs exposed to Hg. Responses of antioxidant parameters (SOD, CAT and GP(x)) were positively correlated with immune responses, including THC, superoxide and phagocytosis. These results were postulated to be due to an immediate response of antioxidant defense to oxygen radicals generated. Overall, the results suggest that 14 d exposure to environmentally realistic concentrations of Hg causes immunomodulation and potentially harmful lessened antioxidant defenses of crabs. (C) 2012 Elsevier Ltd. All rights reserved.</t>
  </si>
  <si>
    <t>[Singaram, Gopalakrishnan; Harikrishnan, Thilagam] Univ Madras, Presidency Coll, Dept Zool, Madras 600005, Tamil Nadu, India; [Singaram, Gopalakrishnan; Harikrishnan, Thilagam; Chen, Fang-Yi; Bo, Jun; Giesy, John P.] Xiamen Univ, State Key Lab Marine Environm Sci, Coll Oceanog &amp; Environm Sci, Xiamen 361005, Peoples R China; [Giesy, John P.] Univ Saskatchewan, Dept Vet Biomed Sci, Saskatoon, SK S7N 5B3, Canada; [Giesy, John P.] Univ Saskatchewan, Toxicol Ctr, Saskatoon, SK S7N 5B3, Canada; [Giesy, John P.] Michigan State Univ, Dept Zool, E Lansing, MI 48824 USA; [Giesy, John P.] Michigan State Univ, Ctr Integrat Toxicol, E Lansing, MI 48824 USA; [Giesy, John P.] City Univ Hong Kong, Dept Biol &amp; Chem, Kowloon, Hong Kong, Peoples R China; [Singaram, Gopalakrishnan; Giesy, John P.] Univ Hong Kong, Sch Biol Sci, Hong Kong, Hong Kong, Peoples R China</t>
  </si>
  <si>
    <t>University of Madras; Xiamen University; University of Saskatchewan; University of Saskatchewan; Michigan State University; Michigan State University; City University of Hong Kong; University of Hong Kong</t>
  </si>
  <si>
    <t>Singaram, G (corresponding author), Univ Hong Kong, Sch Biol Sci, Pokfulam Rd, Hong Kong, Hong Kong, Peoples R China.</t>
  </si>
  <si>
    <t>sing_gopal@yahoo.com</t>
  </si>
  <si>
    <t>Bo, Jun/ABG-7639-2020; Gopalakrishnan, Singaram/AEB-6454-2022</t>
  </si>
  <si>
    <t>Giesy, John/0000-0003-1931-9962</t>
  </si>
  <si>
    <t>Canada Research Chair program,; an at large Chair Professorship at the Department of Biology and Chemistry; State Key Laboratory in Marine Pollution, City University of Hong Kong; Chinese Academy of Sciences; King Saud University</t>
  </si>
  <si>
    <t>Canada Research Chair program,(Canada Research Chairs); an at large Chair Professorship at the Department of Biology and Chemistry; State Key Laboratory in Marine Pollution, City University of Hong Kong(City University of Hong Kong); Chinese Academy of Sciences(Chinese Academy of Sciences); King Saud University(King Saud University)</t>
  </si>
  <si>
    <t>We thank Prof. Kejian Wang of the State Key Laboratory of Marine Environmental Science, College of Oceanography and Environmental Science, Xiamen University, Xiamen 361005, China for critical review of this manuscript. Prof. Giesy was supported by the Canada Research Chair program, an at large Chair Professorship at the Department of Biology and Chemistry and State Key Laboratory in Marine Pollution, City University of Hong Kong, The Einstein Professor Program of the Chinese Academy of Sciences and the Visiting Professor Program of King Saud University.</t>
  </si>
  <si>
    <t>10.1016/j.chemosphere.2012.06.031</t>
  </si>
  <si>
    <t>http://dx.doi.org/10.1016/j.chemosphere.2012.06.031</t>
  </si>
  <si>
    <t>063EJ</t>
  </si>
  <si>
    <t>WOS:000312978700005</t>
  </si>
  <si>
    <t>KELLER, AE; ZAM, SG</t>
  </si>
  <si>
    <t>THE ACUTE TOXICITY OF SELECTED METALS TO THE FRESH-WATER MUSSEL, ANODONTA-IMBECILIS</t>
  </si>
  <si>
    <t>FRESH-WATER MUSSELS; METALS; ACUTE TOXICITY</t>
  </si>
  <si>
    <t>HEAVY-METALS; DAPHNIA-MAGNA; ZINC; CADMIUM; COPPER; WATER; LEAD; CLAMS; SNAIL; TROUT</t>
  </si>
  <si>
    <t>The mussel fauna of many North American waters is declining, probably due to a combination of factors. The factors may include channelization and impoundment of rivers where the mussels once thrived, as well as the influx of pesticides and metal pollution from surrounding watersheds. Much is known about the effects of metal pollution on zooplankton and aquatic insects, but little is known about the response of freshwater mussels. With more and more species of mussels being listed as threatened or endangered, it is important that we begin to determine their range of sensitivity to pollutants so we can better protect them. Mussels have been labeled insensitive to metals because they can survive while containing high body burdens. However, almost no direct measurement of metal toxicity has been reported for unionid mussels. What little we do know has come from tests with adult mussels. In response to the need for such information, a series of laboratory toxicity tests were performed to assess the sensitivity of Anodonta imbecilis to six metals, a metal-containing effluent and four metal mixtures. Acute toxicity tests were performed on juvenile mussels reared in the laboratory. Overall, mussels were found to be as sensitive to metals as zooplankton and more sensitive than commonly tested fish and aquatic insects.</t>
  </si>
  <si>
    <t>UNIV FLORIDA,INST FOOD &amp; AGR SCI,DEPT ENVIRONM ENGN SCI,GAINESVILLE,FL 32611; UNIV FLORIDA,INST FOOD &amp; AGR SCI,DEPT MICROBIOL &amp; CELL SCI,GAINESVILLE,FL 32611</t>
  </si>
  <si>
    <t>State University System of Florida; University of Florida; State University System of Florida; University of Florida</t>
  </si>
  <si>
    <t>SETAC PRESS</t>
  </si>
  <si>
    <t>PENSACOLA</t>
  </si>
  <si>
    <t>1010 NORTH 12TH AVE, PENSACOLA, FL 32501-3370</t>
  </si>
  <si>
    <t>10.1897/1552-8618(1991)10[539:TATOSM]2.0.CO;2</t>
  </si>
  <si>
    <t>http://dx.doi.org/10.1897/1552-8618(1991)10[539:TATOSM]2.0.CO;2</t>
  </si>
  <si>
    <t>FC880</t>
  </si>
  <si>
    <t>WOS:A1991FC88000015</t>
  </si>
  <si>
    <t>Guerra-García, JM; Ruiz-Tabares, A; Baeza-Rojano, E; Cabezas, MP; Díaz-Pavón, JJ; Pacios, I; Maestre, M; González, AR; Espinosa, F; García-Gómez, JC</t>
  </si>
  <si>
    <t>Guerra-Garcia, Jose M.; Ruiz-Tabares, Aurora; Baeza-Rojano, Elena; Pilar Cabezas, M.; Diaz-Pavon, Juan J.; Pacios, Isabel; Maestre, Manuel; Roi Gonzalez, A.; Espinosa, Free; Carlos Garcia-Gomez, J.</t>
  </si>
  <si>
    <t>Trace metals in Caprella (Crustacea: Amphipoda). A new tool for monitoring pollution in coastal areas?</t>
  </si>
  <si>
    <t>Caprella; Amphipoda; Peracarida; Mollusca; Heavy metals; Southern Spain; Biomonitoring; Marine Ecosystems</t>
  </si>
  <si>
    <t>MUSSELS MYTILUS-GALLOPROVINCIALIS; TALITRUS-SALTATOR MONTAGU; ALGA HALOPTERIS-SCOPARIA; BAY SOUTHERN SPAIN; ALGECIRAS BAY; HEAVY-METALS; MARINE MOLLUSKS; DANILEVSKII CRUSTACEA; PARACENTROTUS-LIVIDUS; TEMPORAL TRENDS</t>
  </si>
  <si>
    <t>The main objective of the present study was to evaluate the concentration of trace metals in eight species of Caprella from sites of different degree of pollution along Southern Spain, and compare them with nine additional species of peracaridean crustaceans (5 gammarids, 3 isopods and 1 tanaid) and three molluscs. This is the first comprehensive Study of trace metals in caprellids and other peracaridean crustaceans as a baseline work for future research. For most of the metals, values are higher in caprellids than in the rest of peracarideans and molluscs, as Mytilus or Patella, traditionally used as biomonitor in previous studies. Caprellids showed a significant higher range for Cr, Hg and Zn, while molluscs were better biomonitors for Pb; non-caprellid peracarids showed lower range of Fe and Ni than caprellids and Molluscs. Besides the wider ranges shown by caprellids for trace metals in comparison with other invertebrates, Caprella spp. is especially abundant in intertidal and shallow waters ecosystems worldwide; this genus includes species characterised by a short generation time, and a sedentary way of life as a consequence of direct development and low capacity of swimming. Consequently, the use of Caprella spp. could be an interesting tool in monitoring programmes of heavy metal pollution. (C) 2009 Elsevier Ltd. All rights reserved.</t>
  </si>
  <si>
    <t>[Guerra-Garcia, Jose M.; Ruiz-Tabares, Aurora; Baeza-Rojano, Elena; Pilar Cabezas, M.; Diaz-Pavon, Juan J.; Pacios, Isabel; Maestre, Manuel; Roi Gonzalez, A.; Espinosa, Free; Carlos Garcia-Gomez, J.] Univ Seville, Fac Biol, Dept Fisiol &amp; Zool, Lab Biol Marina, E-41012 Seville, Spain</t>
  </si>
  <si>
    <t>Guerra-García, JM (corresponding author), Univ Seville, Fac Biol, Dept Fisiol &amp; Zool, Lab Biol Marina, Avda Reina Mercedes 6, E-41012 Seville, Spain.</t>
  </si>
  <si>
    <t>jmguerra@us.es</t>
  </si>
  <si>
    <t>Pacios, Isabel/F-5835-2013; Cabezas, M. Pilar/M-4305-2013; Espinosa, Free/H-8963-2015; Guerra-Garcia, Jose Manuel/P-1700-2014</t>
  </si>
  <si>
    <t>Pacios, Isabel/0000-0002-5594-7088; Guerra, Jose M/0000-0001-5397-9177; Cabezas, M. Pilar/0000-0003-3026-9281; Espinosa, Free/0000-0002-1409-5106; Guerra-Garcia, Jose Manuel/0000-0001-6050-4997; Garcia Gomez, Jose Carlos/0000-0002-6913-1215</t>
  </si>
  <si>
    <t>Ministerio de Educacion y Ciencia [CGL2007-60044/BOS]; FEDER funds; Consejeria de Innovacion, Ciencia y Empresa, Junta de Andalucia [P07-RNM-02524]</t>
  </si>
  <si>
    <t>Ministerio de Educacion y Ciencia(Spanish Government); FEDER funds(European Union (EU)); Consejeria de Innovacion, Ciencia y Empresa, Junta de Andalucia(Junta de Andalucia)</t>
  </si>
  <si>
    <t>Financial support of this work was provided by the Ministerio de Educacion y Ciencia (Project CGL2007-60044/BOS) co-financed by FEDER funds, and by the Consejeria de Innovacion, Ciencia y Empresa, Junta de Andalucia (Project P07-RNM-02524).</t>
  </si>
  <si>
    <t>10.1016/j.ecolind.2009.12.003</t>
  </si>
  <si>
    <t>http://dx.doi.org/10.1016/j.ecolind.2009.12.003</t>
  </si>
  <si>
    <t>564NE</t>
  </si>
  <si>
    <t>WOS:000275220900020</t>
  </si>
  <si>
    <t>Leipe, T; Kersten, M; Heise, S; Pohl, C; Witt, G; Liehr, G; Zettler, M; Tauber, F</t>
  </si>
  <si>
    <t>Ecotoxicity assessment of natural attenuation effects at a historical dumping site in the western Baltic Sea</t>
  </si>
  <si>
    <t>historical dumping site; heavy metals; PAHs; sediment dynamics; Arctica islandica; microbiological toxicity tests</t>
  </si>
  <si>
    <t>AROMATIC-HYDROCARBONS; VIBRIO-FISCHERI; WHOLE-SEDIMENT; TOXICITY; BIOASSAYS; CONTAMINATION; WATER; CU; IDENTIFICATION; DISPOSAL</t>
  </si>
  <si>
    <t>During the late 1950s and early 1960s of the past century, industrial waste material highly enriched in various contaminants (heavy metals, PAHs) was dumped in the inner Mecklenburg Bay, western Baltic Sea. Large-scale shifts in the spatial distribution of heavy metals in surface sediments were mapped by geochemical monitoring in the mid-1980s and 12 years later in 1997. A further study in 2001 was designed to investigate the small-scale spatial distribution of contaminants inside, on top of, and around the historical dumping ground and to examine possible effects to benthic organisms (Arctica islandica, microbiological toxicity tests). The site is located within an area characterized by a discontinuous deposition of fine sediments, but net sedimentation rate of about 3 mm/y led ultimately to a gradual coverage of the dumped material. During the first decades after the dumping, about half of the originally dumped material was already spread over the surrounding area as a result of sediment dynamics and re-suspension processes. Recent sediments of the historical dump site are still significantly enriched in heavy metals and PAHs. Microbiological toxicity test results were positive, though uptake of contaminants in mussels was found to deviate only slightly from that of a non-contaminated reference station due to a gradual dilution and decrease in bioavailability of the contaminants. (c) 2004 Elsevier Ltd. All rights reserved.</t>
  </si>
  <si>
    <t>Inst Balt Sea Res, D-18119 Warnemunde, Germany; Johannes Gutenberg Univ Mainz, Inst Geosci, D-55099 Mainz, Germany; Univ Technol Hamburg Harburg, Dept Environm Sci &amp; Technol, D-21073 Hamburg, Germany</t>
  </si>
  <si>
    <t>Johannes Gutenberg University of Mainz; Hamburg University of Technology</t>
  </si>
  <si>
    <t>Inst Balt Sea Res, Seestr 15, D-18119 Warnemunde, Germany.</t>
  </si>
  <si>
    <t>thomas.leipe@io-warnemuende.de</t>
  </si>
  <si>
    <t>Zettler, Michael/R-3186-2019; Kersten, Michael/A-1437-2010; Heise, Susanne/AFM-8741-2022; Zettler, Michael Lothar/KII-5311-2024</t>
  </si>
  <si>
    <t>Kersten, Michael/0000-0002-6385-7031; Heise, Susanne/0000-0003-4813-1547; Zettler, Michael Lothar/0000-0002-5437-5495</t>
  </si>
  <si>
    <t>10.1016/j.marpolbul.2004.11.049</t>
  </si>
  <si>
    <t>http://dx.doi.org/10.1016/j.marpolbul.2004.11.049</t>
  </si>
  <si>
    <t>WOS:000228964500021</t>
  </si>
  <si>
    <t>An, WB; Liu, YF; Chen, H; Wang, QQ; Hu, XC; Di, JZ</t>
  </si>
  <si>
    <t>An, Wenbo; Liu, Yifan; Chen, He; Wang, Qiqi; Hu, Xuechun; Di, Junzhen</t>
  </si>
  <si>
    <t>Oyster shell-modified lignite composite in globular shape as a low-cost adsorbent for the removal of Pb2+ and Cd2+ from AMD: Evaluation of adsorption properties and exploration of potential mechanisms</t>
  </si>
  <si>
    <t>Acid mine drainage; Lignite; Oyster shell; Synthesis; Adsorption -condensation; Heavy metal pollution</t>
  </si>
  <si>
    <t>AQUEOUS-SOLUTIONS; WASTE-WATER; CALCIUM HYDROXIDE; CR(VI) IONS; METAL-IONS; LEAD IONS; CD(II); MINE; BIOCHAR; COAL</t>
  </si>
  <si>
    <t>A low-cost composite adsorption material has been synthesized from fishery wastes and natural minerals to address challenges such as ecological balance destruction caused by high concentrations of Pb and Cd in acid mine drainage (AMD), unreasonable use of low-caloric lignite, and environmental pollution caused by idle accumulation of oyster shells. This new adsorbent can effectively treat AMD by improving acidity and adsorbing Pb2+ and Cd2+. In this study, oyster shell-modified lignite composite in globular shape (OSL-G) was synthesized by using pyrolyzed oyster shell and lignite, with the addition of bentonite adhesive. The adsorption properties of OSL-G on AMD were evaluated, and the potential mechanism of OSL-G repairing AMD was explored. The results showed that when the mass ratio of oyster shell to lignite was 1:1, oyster shell-modified lignite composite (OSL) was synthesized at 900 degrees C for 20 min. When the adhesive content was 15.50 %, the roasting temperature was 640 degrees C, and the roasting time was 2.35 h, OSL-G was synthesized and the adsorption effect was the best. The OSL-G could effectively treat AMD with pH 4 similar to 5 and initial Pb2+ and Cd2+ concentrations of 10 mg/L within 600 min at a dosage of 4 g/L. The OSL-G adsorption process followed the quasi-second-order kinetic model and the Freundlich model. The maximum adsorption saturation capacities of Pb2+ and Cd2+ were 107.2821 mg/g and 8.3777 mg/g at 298.15 K, respectively. The adsorption process was a multistep controlled spontaneous endothermic process. The potential mechanism was mainly the adsorption-condensation coexistence results of electrostatic adsorption, neutralization precipitation, ion exchange, and surface complexation. The removal rates of Pb2+ and Cd2+ of the recovered OSL-G (ROSL-G) were still high, reaching 57.26 % and 50.38 % after 5 times of adsorption-desorption, respectively. The applicability of ROSL-G after adsorption-desorption for other heavy metal components in AMD proved its good application potential. This study suggested that OSL-G can be used as a promising environmentally friendly adsorbent for AMD. This study provided a broad picture of the management and reuse possibilities of fishery wastes and natural mineral resources, and addressed established, current, and potential strategic needs, particularly in terms of sustainability challenges and ecological civilization construction.</t>
  </si>
  <si>
    <t>[An, Wenbo; Liu, Yifan; Wang, Qiqi; Hu, Xuechun; Di, Junzhen] Liaoning Tech Univ, Sch Civil Engn, Fuxin 123000, Peoples R China; [An, Wenbo] China Univ Min &amp; Technol, Sch Min Engn, Xuzhou 221000, Peoples R China; [Chen, He] Liaoning Tech Univ, Sch Mech Engn, Fuxin 123000, Peoples R China; [An, Wenbo] 88 Yulong Rd, Fuxin 123000, Liaoning, Peoples R China</t>
  </si>
  <si>
    <t>Liaoning Technical University; China University of Mining &amp; Technology; Liaoning Technical University</t>
  </si>
  <si>
    <t>An, WB (corresponding author), 88 Yulong Rd, Fuxin 123000, Liaoning, Peoples R China.</t>
  </si>
  <si>
    <t>WB_An1992@163.com; 2142561738@qq.com; LNTUCH0903@163.com; 1403584935@qq.com; xuechunhu45@126.com; dijunzhen@lntu.edu.cns</t>
  </si>
  <si>
    <t>Basic scientific research project of Liaoning Provincial Department of Education [JYTMS20230791]; National Natural Science Foundation of China [41672247]; Key Projects of Liaoning Provincial Department of Education [LJKZ0324]; Discipline innovation team of Liaoning Technical University [LNTU20TD-21]</t>
  </si>
  <si>
    <t>Basic scientific research project of Liaoning Provincial Department of Education; National Natural Science Foundation of China(National Natural Science Foundation of China (NSFC)); Key Projects of Liaoning Provincial Department of Education; Discipline innovation team of Liaoning Technical University</t>
  </si>
  <si>
    <t>This work was supported by the Basic scientific research project of Liaoning Provincial Department of Education (JYTMS20230791) , the National Natural Science Foundation of China (No. 41672247) , Key Projects of Liaoning Provincial Department of Education (LJKZ0324) , Project supported by discipline innovation team of Liaoning Technical University (No. LNTU20TD-21) .</t>
  </si>
  <si>
    <t>10.1016/j.arabjc.2024.105732</t>
  </si>
  <si>
    <t>http://dx.doi.org/10.1016/j.arabjc.2024.105732</t>
  </si>
  <si>
    <t>PU3C3</t>
  </si>
  <si>
    <t>WOS:001216547300001</t>
  </si>
  <si>
    <t>Zorita, I; Strogyloudi, E; Buxens, A; Mazón, LI; Papathanassiou, E; Soto, M; Cajaraville, MP</t>
  </si>
  <si>
    <t>Application of two SH-based methods for metallothionein determination in mussels and intercalibration of the spectrophotometric method:: laboratory and field studies in the Mediterranean Sea</t>
  </si>
  <si>
    <t>metallothionein quantification; differential pulse polarography; spectrophotometry; mussel; digestive gland; cadmium exposure; Mediterranean Sea</t>
  </si>
  <si>
    <t>CLAM RUDITAPES-DECUSSATUS; NATURAL FACTORS SALINITY; MYTILUS-GALLOPROVINCIALIS; METAL EXPOSURE; MARINE ORGANISMS; AQUATIC ANIMALS; RAINBOW-TROUT; TRACE-METALS; CD-BINDING; CADMIUM</t>
  </si>
  <si>
    <t>Metallothionein (MT) induction is widely used as a biomarker of exposure to metals in mussels. The aims of the present work were first to compare the suitability of spectrophotometry and differential pulse polarography (DPP) for MT detection in mussels exposed to 200 ppb cadmium for 9 days in a laboratory experiment and in mussels sampled in different seasons from expected pollution gradients along the Mediterranean Sea; second, to intercalibrate the widely used spectrophotometric method using mussels from Saronikos Gulf. In the intercalibration of the spectrophotometric method, similar results (p &gt; 0.05) were obtained by two different research teams indicating a good reproducibility of the technique. However, polarographic and spectrophotometric methods gave significantly (p &lt; 0.05) different results in laboratory and field studies. In the laboratory experiment, MT values detected with DPP were nine times higher than with spectrophotometry. The results obtained by the two methods were significantly correlated. Both methods could discriminate between control and exposed mussels. In field studies, MT values obtained by DPP were 34-38-fold higher than with spectrophotometry, and MT concentrations measured by both methods were not correlated. This discrepancy could be due to several factors, including the low levels of bioavailable metals in the studied areas and the possibility that the different methods can measure MT isoforms differentially. Further work is needed to decipher the functions of MT isoforms in mussels. This information is relevant for the application of MT as a biomarker in biomonitoring programmes.</t>
  </si>
  <si>
    <t>Univ Basque Country, Dept Zool &amp; Anim Cell Biol, Cell Biol &amp; Histol Lab, Bilbao, Spain; Inst Oceanog, Hellen Ctr Marine Res, Lab Ecotoxicol, Anavissos Attica, Greece; Univ Basque Country, Dept Genet Phys Anthropol &amp; Anim Physiol, Bilbao, Spain</t>
  </si>
  <si>
    <t>University of Basque Country; Hellenic Centre for Marine Research; University of Basque Country</t>
  </si>
  <si>
    <t>Euskal Herriko Unibertsitatea, EHU, Biol Zelulaara &amp; Histol Lab, 644 PK, E-48080 Bilbao, Spain.</t>
  </si>
  <si>
    <t>; Cajaraville, Miren P/I-4757-2015</t>
  </si>
  <si>
    <t>soto, manu/0000-0002-4541-8182; Cajaraville, Miren P/0000-0001-6527-6137; Zorita, Izaskun/0000-0003-0718-8184</t>
  </si>
  <si>
    <t>SEP-OCT</t>
  </si>
  <si>
    <t>10.1080/13547500500264645</t>
  </si>
  <si>
    <t>http://dx.doi.org/10.1080/13547500500264645</t>
  </si>
  <si>
    <t>975YX</t>
  </si>
  <si>
    <t>WOS:000232701100003</t>
  </si>
  <si>
    <t>Sbriz, L; Aquino, MR; De Rodriguez, NMA; Fowler, SW; Sericano, JL</t>
  </si>
  <si>
    <t>Levels of chlorinated hydrocarbons and trace metals in bivalves and nearshore sediments from the Dominican Republic</t>
  </si>
  <si>
    <t>HEAVY-METALS; WEST-INDIES; PETROLEUM-HYDROCARBONS; CRASSOSTREA-VIRGINICA; MUSSEL WATCH; MERCURY; MEXICO; LAGOON; CONTAMINANTS; PESTICIDES</t>
  </si>
  <si>
    <t>Bivalves (Crassostrea rizhophorae, Isognomon alatus, Codakia orbicularis Linne, and Tellina fausta) and sediment samples collected from 12 locations along the Dominican Republic coastline were used to assess the degree of nearshore contamination by selected chlorinated hydrocarbons and heavy metals. Concentrations of total chlordanes, DDTs and PCBs ranged from 0.51 to 7.47 ng/g,</t>
  </si>
  <si>
    <t>Texas A&amp;M Univ, Geochem &amp; Environm Res Grp, College Stn, TX 77845 USA; CONAN, Santo Domingo, DN, Dominican Rep; Univ Nacl Pedro Henriquez Urena, Dept Quim, Santo Domingo, DN, Dominican Rep; Univ Autonoma Santo Domingo, Inst Fis, Santo Domingo, DN, Dominican Rep; IAEA, Marine Environm Lab, MC-98012 Monaco, Monaco</t>
  </si>
  <si>
    <t>Texas A&amp;M University System; Texas A&amp;M University College Station; Universidad Nacional Pedro Henriquez Urena; Universidad Autonoma de Santo Domingo</t>
  </si>
  <si>
    <t>Texas A&amp;M Univ, Geochem &amp; Environm Res Grp, 833 Graham Rd, College Stn, TX 77845 USA.</t>
  </si>
  <si>
    <t>10.1016/S0025-326X(98)00097-6</t>
  </si>
  <si>
    <t>http://dx.doi.org/10.1016/S0025-326X(98)00097-6</t>
  </si>
  <si>
    <t>153DN</t>
  </si>
  <si>
    <t>WOS:000077818000014</t>
  </si>
  <si>
    <t>Meng, J; Wang, WX; Li, L; Zhang, GF</t>
  </si>
  <si>
    <t>Meng, Jie; Wang, Wen-Xiong; Li, Li; Zhang, Guofan</t>
  </si>
  <si>
    <t>Accumulation of different metals in oyster Crassostrea gigas: Significance and specificity of SLC39A (ZIP) and SLC30A (ZnT) gene families and polymorphism variation</t>
  </si>
  <si>
    <t>Oyster; Metals; Antioxidant enzyme; Zinc transporter; Genetic variation</t>
  </si>
  <si>
    <t>MESSENGER-RNA EXPRESSION; GENOME-WIDE ASSOCIATION; ZINC TRANSPORTERS; MYTILUS-GALLOPROVINCIALIS; CORBICULA-FLUMINEA; CADMIUM EXPOSURE; OXIDATIVE STRESS; DIGESTIVE GLAND; TRACE-METALS; CD</t>
  </si>
  <si>
    <t>The Zrt/Irt-like proteins (ZIP, SLC39A) and zinc transporters (ZnT, SLC30A) are the two major gene families responsible for the import/export of Zn and other metals. In this study, the mRNA expression levels and genetic variations of eight ZnTs and 14 ZIPs were identified in Crassostrea gigas after exposure to Zn, Cd, Cu, Hg, and Pb. Metal exposure induced reactive oxygen species (ROS) and malondialdehyde (MDA) accumulation and antioxidant enzyme expression. The expanded gene numbers of superoxide dismutase (SOD) in the oysters exhibited diverse expression under exposure to the five metals, and the contrasting expressions of both ZnTs and ZIPs under different metal exposures were observed, revealing their ion-specific responses. Zn and Cu have similar transporters and induce high expression levels of ZnT1, 2, 7, and 9 and ZIP1, 3, 6, 9, 10, 11, and 14. Pb induced high expression levels of ZIP7, and 13 and ZnT5, 6, and 7, which are mainly expressed in the endoplasmic reticulum (ER). Cd induced high expression levels of ZnT1, 2, and 7 and ZIP1, 6, 9,10,11, and 13. Hg exposure was found to have little effect on the ZIP and ZnT expression levels. Based on 3784 single nucleotide polymorphisms (SNPs) within the ZnTs and ZIPs, genetic association analysis for Zn accumulation was conducted on 427 oyster samples. The 38 SNPs, which were located within 12 genes, were identified to be associated with Zn content (p &lt; 0.01), explaining the phenotypic variation from 1.61% to 3.37%. One nonsynonymous mutation and related haplotypes were identified within ZIP1, explaining 1.69% of the variation in Zn. Its high expression under Zn exposure revealed its important role in Zn transportation. To the best of our knowledge, this study is the first comprehensive investigation of the transportation mechanisms of ZIPs and ZnTs under different metal exposures and the genetic effect of Zn accumulation in oysters, and provides valuable biomarkers and genetic resources to evaluate environmental metal pollution. (C) 2021 Elsevier Ltd. All rights reserved.</t>
  </si>
  <si>
    <t>[Meng, Jie; Li, Li; Zhang, Guofan] Chinese Acad Sci, Inst Oceanol, Key Lab Expt Marine Biol, Qingdao, Peoples R China; [Meng, Jie; Zhang, Guofan] Qingdao Natl Lab Marine Sci &amp; Technol, Lab Marine Biol &amp; Biotechnol, Qingdao, Peoples R China; [Wang, Wen-Xiong] City Univ Hong Kong, Sch Energy &amp; Environm, Kowloon, Hong Kong, Peoples R China; [Wang, Wen-Xiong] City Univ Hong Kong, State Key Lab Marine Pollut, Kowloon, Hong Kong, Peoples R China; [Wang, Wen-Xiong] City Univ Hong Kong, Res Ctr Oceans &amp; Human Hlth, Shenzhen Res Inst, Shenzhen 518057, Peoples R China; [Meng, Jie; Li, Li; Zhang, Guofan] Chinese Acad Sci, Inst Oceanol, Natl &amp; Local Joint Engn Lab Ecol Mariculture, Qingdao, Peoples R China</t>
  </si>
  <si>
    <t>Chinese Academy of Sciences; Institute of Oceanology, CAS; Laoshan Laboratory; City University of Hong Kong; City University of Hong Kong; Shenzhen Research Institute, City University of Hong Kong; City University of Hong Kong; Chinese Academy of Sciences; Institute of Oceanology, CAS</t>
  </si>
  <si>
    <t>Zhang, GF (corresponding author), Chinese Acad Sci, Inst Oceanol, Natl &amp; Local Joint Engn Lab Ecol Mariculture, Qingdao, Peoples R China.</t>
  </si>
  <si>
    <t>gfzhang@qdio.ac.cn</t>
  </si>
  <si>
    <t>li, li/GPX-3938-2022; Wang, Wenxiong/E-7254-2011</t>
  </si>
  <si>
    <t>Youth Innovation Promotion Association, Chinese Academy of Science (CAS) [2019210]; Marine S&amp;T Fund of Shandong Province for Pilot National Laboratory for Marine Science and Technology (Qingdao) [2018SDKJ0302-2]; National Natural Science Foundation of China [31530079]; Shandong Provincial Natural Science Foundation of China [ZR2016DQ13]; Earmarked Fund for Modern Agroindustry Technology Research System [CARS-49]</t>
  </si>
  <si>
    <t>Youth Innovation Promotion Association, Chinese Academy of Science (CAS); Marine S&amp;T Fund of Shandong Province for Pilot National Laboratory for Marine Science and Technology (Qingdao); National Natural Science Foundation of China(National Natural Science Foundation of China (NSFC)); Shandong Provincial Natural Science Foundation of China(Natural Science Foundation of Shandong Province); Earmarked Fund for Modern Agroindustry Technology Research System</t>
  </si>
  <si>
    <t>This research was financially supported by the Youth Innovation Promotion Association, Chinese Academy of Science (CAS) (2019210), Marine S&amp;T Fund of Shandong Province for Pilot National Laboratory for Marine Science and Technology (Qingdao) (2018SDKJ0302-2), National Natural Science Foundation of China (31530079), Shandong Provincial Natural Science Foundation of China (ZR2016DQ13), and the Earmarked Fund for Modern Agroindustry Technology Research System (CARS-49).</t>
  </si>
  <si>
    <t>10.1016/j.envpol.2021.116706</t>
  </si>
  <si>
    <t>http://dx.doi.org/10.1016/j.envpol.2021.116706</t>
  </si>
  <si>
    <t>QZ5OA</t>
  </si>
  <si>
    <t>WOS:000630774100045</t>
  </si>
  <si>
    <t>Sures, B; Siddall, R</t>
  </si>
  <si>
    <t>Pomphorhynchus laevis (Palaeacanthocephala) in the intestine of chub (Leuciscus cephalus) as an indicator of metal pollution</t>
  </si>
  <si>
    <t>Pomphorhynchus laevis; acanthocephalans; parasite; Chub; lead; accumulation; bioindicator; metal pollution</t>
  </si>
  <si>
    <t>PERCH PERCA-FLUVIATILIS; ACANTHOCEPHALUS-LUCII; GAMMARUS-PULEX; DREISSENA-POLYMORPHA; LEAD ACCUMULATION; ANGUILLA-ANGUILLA; EUROPEAN EELS; ZEBRA-MUSSEL; HOST; PARASITES</t>
  </si>
  <si>
    <t>Chub experimentally infected with the acanthocephalan parasite Pomphorhynchus laevis were exposed to 0.01 mg l(-1) Pb2+ over 5 weeks. Lead was rapidly accumulated in the intestinal worms reaching a steady-state concentration after 4 weeks. This concentration was significantly greater than in the host muscle, liver and intestine and more than 9,000 times higher than the exposure concentration. Lead accumulation in P. laevis increased at a higher exposure concentration but was not correlated with either parasite intensity or with pooled or individual worm weight. The highest lead concentrations were recorded in those specimen of P. laevis that were attached in the posterior intestine. Interestingly, parasitised chub accumulated less lead in their own tissues than uninfected conspecifics. A mechanism of lead uptake by P. laevis and the application of acanthocephalans as accumulation indicators of metal pollution is discussed. (C) 2002 Australian Society for Parasitology Inc. Published by Elsevier Science Ltd. All rights reserved.</t>
  </si>
  <si>
    <t>Univ Karlsruhe, Zool Inst Okol Parasitol 1, D-76128 Karlsruhe, Germany; Univ Derby, Sch Environm &amp; Appl Sci, Derby DE22 1GB, England</t>
  </si>
  <si>
    <t>Helmholtz Association; Karlsruhe Institute of Technology; University of Derby</t>
  </si>
  <si>
    <t>Univ Karlsruhe, Zool Inst Okol Parasitol 1, Geb 07-01,Kornblumenstr 13, D-76128 Karlsruhe, Germany.</t>
  </si>
  <si>
    <t>Sures, Bernd/0000-0001-6865-6186; Siddall, Roy/0000-0002-7203-5961</t>
  </si>
  <si>
    <t>1879-0135</t>
  </si>
  <si>
    <t>10.1016/S0020-7519(02)00249-7</t>
  </si>
  <si>
    <t>http://dx.doi.org/10.1016/S0020-7519(02)00249-7</t>
  </si>
  <si>
    <t>645PG</t>
  </si>
  <si>
    <t>WOS:000180987100005</t>
  </si>
  <si>
    <t>Coppola, F; Jiang, WW; Soares, AMVM; Marques, PAAP; Polese, G; Pereira, ME; Jiang, ZJ; Freitas, R</t>
  </si>
  <si>
    <t>Coppola, Francesca; Jiang, Weiwei; Soares, Amadeu M. V. M.; Marques, Paula A. A. P.; Polese, Gianluca; Pereira, Maria Eduarda; Jiang, Zengjie; Freitas, Rosa</t>
  </si>
  <si>
    <t>How efficient is graphene-based nanocomposite to adsorb Hg from seawater. A laboratory assay to assess the toxicological impacts induced by remediated water towards marine bivalves</t>
  </si>
  <si>
    <t>Biomarkers; Histopathological index; Ruditapes philippinarum; Decontamination; Mercury; Graphene-based nanocomposite</t>
  </si>
  <si>
    <t>CLAM RUDITAPES-PHILIPPINARUM; MANILA CLAM; MYTILUS-GALLOPROVINCIALIS; OXIDATIVE STRESS; HISTOPATHOLOGICAL INDEXES; HISTOLOGICAL ALTERATIONS; MEDITERRANEAN MUSSEL; CONTAMINATED WATER; METAL POLLUTION; THERMAL-STRESS</t>
  </si>
  <si>
    <t>Advanced investigations on the use of graphene based nanomaterials have highlighted the capacity of these materials for wastewater treatment. Research on this topic revealed the efficiency of the nano-composite synthetized by graphene oxide functionalized with polyethyleneimine (GO-PEI) to adsorb mercury (Hg) from contaminated seawater. However, information on the environmental risks associated with these approaches are still lacking. The focus of this study was to evaluate the effects of Hg in contaminated seawater and seawater remediated by GO-PEI, using the species Ruditapes philippinarum, maintained at two different warming scenarios: control (17 degrees C) and increased (22 degrees C) temperatures. The results obtained showed that organisms exposed to non-contaminated and remediated seawaters at control temperature presented similar biological patterns, with no considerable differences expressed in terms of biochemical and histopathological alterations. Moreover, the present findings revealed increased toxicological effects in clams under remediated seawater at 22 degrees C in comparison to those subjected to the equivalent treatment at 17 degrees C. These results confirm the capability of GO-PEI to adsorb Hg from water with no noticeable toxic effects, although temperature could alter the responses of mussels to remediated seawater. These materials seem to be a promise eco-friendly approach to remediate wastewater, with low toxicity evidenced by remediated seawater and high regenerative capacity of this nanomaterial, keeping its high removal performance after successive sorption-desorption cycles. (C) 2021 Elsevier Ltd. All rights reserved.</t>
  </si>
  <si>
    <t>[Coppola, Francesca; Soares, Amadeu M. V. M.; Freitas, Rosa] Univ Aveiro, CESAM, P-3810193 Aveiro, Portugal; [Coppola, Francesca; Soares, Amadeu M. V. M.; Freitas, Rosa] Univ Aveiro, Dept Biol, P-3810193 Aveiro, Portugal; [Jiang, Weiwei; Jiang, Zengjie] Chinese Acad Fishery Sci, Yellow Sea Fisheries Res Inst, 106 Nanjing Rd, Qingdao, Peoples R China; [Marques, Paula A. A. P.] Univ Aveiro, TEMA, P-3810193 Aveiro, Portugal; [Marques, Paula A. A. P.] Univ Aveiro, Dept Mech Engn, P-3810193 Aveiro, Portugal; [Polese, Gianluca] Univ Naples Federico II, Dept Biol, I-80126 Naples, Italy; [Pereira, Maria Eduarda] Univ Aveiro, LAQV REQUIMTE, P-3810193 Aveiro, Portugal; [Pereira, Maria Eduarda] Univ Aveiro, Dept Chem, P-3810193 Aveiro, Portugal</t>
  </si>
  <si>
    <t>Universidade de Aveiro; Universidade de Aveiro; Chinese Academy of Fishery Sciences; Yellow Sea Fisheries Research Institute, CAFS; Universidade de Aveiro; Universidade de Aveiro; University of Naples Federico II; Universidade de Aveiro; Universidade de Aveiro</t>
  </si>
  <si>
    <t>Freitas, R (corresponding author), Univ Aveiro, Dept Biol, P-3810193 Aveiro, Portugal.;Jiang, ZJ (corresponding author), Chinese Acad Fishery Sci, Yellow Sea Fisheries Res Inst, 106 Nanjing Rd, Qingdao, Peoples R China.</t>
  </si>
  <si>
    <t>jiangzj@ysfri.ac.cn; rosafreitas@ua.pt</t>
  </si>
  <si>
    <t>Freitas, Rosa/A-7539-2012; Coppola, Francesca/U-8869-2018; Pereira, Eduarda/A-5907-2012; Marques, Paula/A-7371-2008; Polese, Gianluca/F-3496-2013; Soares, Amadeu/A-8304-2008</t>
  </si>
  <si>
    <t>Pereira, Eduarda/0000-0002-6046-5243; Marques, Paula/0000-0002-7498-452X; Polese, Gianluca/0000-0002-6322-7769; Coppola, Francesca/0000-0002-7039-9630; Soares, Amadeu/0000-0003-0879-9470</t>
  </si>
  <si>
    <t>Portuguese Science Foundation (FCT) - FSE [SFRH/BD/118582/2016]; Programa Operacional Capital Humano (POCH) - da Uniao Europeia; national funds (OE), through FCT - Fundacao para a Ciencia e a Tecnologia, I.P.; CESAM [UIDB/50017/2020thornUIDP/50017/2020, UID/QUI/50006/2013, UIDB/00481/2020, UIDP/00481/2020-FCT]; REQUIMTE [UIDB/50017/2020thornUIDP/50017/2020, UID/QUI/50006/2013, UIDB/00481/2020, UIDP/00481/2020-FCT]; TEMA [UIDB/50017/2020thornUIDP/50017/2020, UID/QUI/50006/2013, UIDB/00481/2020, UIDP/00481/2020-FCT]; FCT/MEC; FEDER, within the PT2020 Partnership Agreement; FEDER, within the Compete 2020; project ASARISAFE - Safety and sustainable management of valuable clam product in Portugal and China - National Funds through the Portuguese Science Foundation (FCT) [NSFC/0001/2016]; Foundation for Science and Technology [PTDC/NAN-MAT/30513/2017]; [CENTRO-01-0145-FEDER-030513]; Fundação para a Ciência e a Tecnologia [NSFC/0001/2016, PTDC/NAN-MAT/30513/2017] Funding Source: FCT</t>
  </si>
  <si>
    <t>Portuguese Science Foundation (FCT) - FSE(Fundacao para a Ciencia e a Tecnologia (FCT)); Programa Operacional Capital Humano (POCH) - da Uniao Europeia; national funds (OE), through FCT - Fundacao para a Ciencia e a Tecnologia, I.P.(Fundacao para a Ciencia e a Tecnologia (FCT)); CESAM; REQUIMTE; TEMA; FCT/MEC(Fundacao para a Ciencia e a Tecnologia (FCT)); FEDER, within the PT2020 Partnership Agreement; FEDER, within the Compete 2020; project ASARISAFE - Safety and sustainable management of valuable clam product in Portugal and China - National Funds through the Portuguese Science Foundation (FCT); Foundation for Science and Technology; ; Fundação para a Ciência e a Tecnologia(Fundacao para a Ciencia e a Tecnologia (FCT))</t>
  </si>
  <si>
    <t>Francesca Coppola benefited from a PhD grants (SFRH/BD/118582/2016) given by the National Funds through the Portuguese Science Foundation (FCT), supported by FSE and Programa Operacional Capital Humano (POCH) - da Uniao Europeia. This workwas also funded by national funds (OE), through FCT - Fundacao para a Ciencia e a Tecnologia, I.P., in the scope of the framework contract foreseen in the numbers 4, 5 and 6 of the article 23, of the DecreeLaw 57/2016, of August 29, changed by Law 57/2017, of July 19. Thanks are due for the financial support to CESAM, REQUIMTE and TEMA (UIDB/50017/2020thornUIDP/50017/2020, UID/QUI/50006/2013, UIDB/00481/2020 and UIDP/00481/2020-FCT respectively), to FCT/MEC through national funds, and the co-funding by the FEDER, within the PT2020 Partnership Agreement and Compete 2020. This work was also financially supported by the project ASARISAFE - Safety and sustainable management of valuable clam product in Portugal and China funded by the National Funds through the Portuguese Science Foundation (FCT) (NSFC/0001/2016). This workwas, also supported by the budgets of the Regional Operational Programof the Center and national funds (CENTRO-01-0145-FEDER-030513) in its FEDER component and the Foundation for Science and Technology in its State Budget, PTDC/NAN-MAT/30513/2017 (project H2OValue).</t>
  </si>
  <si>
    <t>10.1016/j.chemosphere.2021.130160</t>
  </si>
  <si>
    <t>http://dx.doi.org/10.1016/j.chemosphere.2021.130160</t>
  </si>
  <si>
    <t>RZ1ES</t>
  </si>
  <si>
    <t>Green Submitted, Green Published, Bronze</t>
  </si>
  <si>
    <t>WOS:000648342100004</t>
  </si>
  <si>
    <t>ZORBA, MA; JACOB, PG; ALBLOUSHI, A; ALNAFISI, R</t>
  </si>
  <si>
    <t>CLAMS AS POLLUTION BIOINDICATORS IN KUWAITS MARINE-ENVIRONMENT - METAL ACCUMULATION AND DEPURATION</t>
  </si>
  <si>
    <t>CLAMS; BIOINDICATORS; KUWAIT</t>
  </si>
  <si>
    <t>MYTILUS-EDULIS; HEAVY-METALS; TRACE-METALS; MUSSEL-WATCH; HONG-KONG; INDICATOR; WATERS</t>
  </si>
  <si>
    <t>This study has developed and verified clam transplantation for marine pollution monitoring in Kuwait and has assessed its reliability for monitoring pollution by heavy metals through laboratory and field transplantation experiments. In field experiments, live specimens of the clam Circenita callipyga were transplanted, either suspended in seawater or buried in sand, to 11 coastal sites in Kuwait; subsamples of transplanted clams were recovered at intervals over a 6-month period. In laboratory experiments, heavy metal accumulation for 36 days and depuration (body's release of pollutants) for 60 days in small and big clams were investigated. Clams subsampled in laboratory and field experiments were analyzed for Hg, Cu, V, Cd and Pb. Results showed the ability of clams to survive under the transplantation conditions. Accumulation of biofouling materials was a problem at only two transplantation sites and was overcome by periodic cleaning. Statistical analysis of laboratory experimental data showed significant accumulation of all test metals and significant depuration of Hg, Cu, V and Cd. Rates of metal accumulation and depuration differed in relation to clam size class. Field experiments indicated statistically significant increases in Hg and Cu concentrations in the transplanted clams at most stations, no change in Cd concentrations and an increase or, occasionally, a decrease in V and Pb concentrations.</t>
  </si>
  <si>
    <t>ZORBA, MA (corresponding author), KUWAIT INST SCI RES, DEPT ENVIRONM SCI, DIV ENVIRONM &amp; EARTH SCI, POB 24885, SAFAT 13109, KUWAIT.</t>
  </si>
  <si>
    <t>10.1016/0048-9697(92)90055-W</t>
  </si>
  <si>
    <t>http://dx.doi.org/10.1016/0048-9697(92)90055-W</t>
  </si>
  <si>
    <t>JA652</t>
  </si>
  <si>
    <t>WOS:A1992JA65200001</t>
  </si>
  <si>
    <t>Guan, R; Wang, WX</t>
  </si>
  <si>
    <t>Multigenerational cadmium acclimation and biokinetics in Daphnia magna</t>
  </si>
  <si>
    <t>Daphnia magna; Cd; long-term exposure; acclimation; biokinetic; recovery</t>
  </si>
  <si>
    <t>BIOTIC LIGAND MODEL; ACUTE COPPER TOXICITY; MUSSEL PERNA-VIRIDIS; CHRONIC EXPOSURE; STRAUS; TOLERANCE; METALS; METALLOTHIONEIN; STRESS; WATER</t>
  </si>
  <si>
    <t>A Cd exposure (3 mu g L-1) experiment was conducted for six Successive generations to investigate the responses to chronic Cd stress in Daphnia magna. We observed a biphasic accumulation of Cd in the six generations and suggested a similar pattern with respect to daphnids' tolerance. Cd assimilation efficiencies, daphnid growth, and reproduction corresponded to the changes of tolerance, which was partially accounted for by metallothionein induction. When maternally exposed neonates grew in Cd-frec water for one or two generations, their growth, MT concentration and biokinetic parameters partially or totally recovered. The rapid recovery suggests the high potential for ecological restoration from Cd pollution. Our results indicate that the tolerance of sensitive D. magna clones to Cd was dependent on long-term or multigenerational exposure. The tolerance developed within the first several generations might not be maintained, and the animals may become even more sensitive to Cd stress in subsequent generations. (c) 2005 Elsevier Ltd. All rights reserved.</t>
  </si>
  <si>
    <t>Hong Kong Univ Sci &amp; Technol, Atmospher Marine Coastal Environm Program, Hong Kong, Hong Kong, Peoples R China; Hong Kong Univ Sci &amp; Technol, Dept Biol, Hong Kong, Hong Kong, Peoples R China</t>
  </si>
  <si>
    <t>Hong Kong Univ Sci &amp; Technol, Atmospher Marine Coastal Environm Program, Hong Kong, Hong Kong, Peoples R China.</t>
  </si>
  <si>
    <t>10.1016/j.envpol.2005.08.036</t>
  </si>
  <si>
    <t>http://dx.doi.org/10.1016/j.envpol.2005.08.036</t>
  </si>
  <si>
    <t>034UW</t>
  </si>
  <si>
    <t>WOS:000236957100017</t>
  </si>
  <si>
    <t>Wong, CK; Cheung, JKY; Chu, KH</t>
  </si>
  <si>
    <t>Effects of copper on survival, development and growth of Metapenaeus ensis larvae and postlarvae (Decapoda: Penaeidae)</t>
  </si>
  <si>
    <t>HONG-KONG WATERS; TRACE-METALS; TOLO HARBOR; MUSSELS; SEDIMENTS; ORGANOCHLORINES; INDICATOR; TOXICITY; LIGANDS</t>
  </si>
  <si>
    <t>Effects of copper on survival, development and growth of the early developmental stages of the penaeid shrimp, Metapenaeus ensis, were studied in the laboratory, High variability in survival rates were observed among animals from different spawners. Larvae exposed to 0.06 and 0.10 mg Cu l(-1) over a 10-day period had lower survival rates and exhibited slower development than control animals. No significant treatment effects were found at 0.04 awl 0.08 mg Cu l(-1). Effects of copper on survival and growth of postlarvae were studied over an 8-day period, Copper concentrations lower than 0.10 mg l(-1) did not affect survival rates. Slower growth rates were observed in postlarvae exposed to 0.08 and 0.10 mg Cu l(-1).</t>
  </si>
  <si>
    <t>CHINESE UNIV HONG KONG, DEPT BIOL, SHA TIN, NT, HONG KONG.</t>
  </si>
  <si>
    <t>Wong, Kristy/C-8748-2015; Chu, Ka Hou/B-8010-2011</t>
  </si>
  <si>
    <t>Chu, Ka Hou/0000-0001-8107-5415</t>
  </si>
  <si>
    <t>10.1016/0025-326X(95)00142-A</t>
  </si>
  <si>
    <t>http://dx.doi.org/10.1016/0025-326X(95)00142-A</t>
  </si>
  <si>
    <t>WOS:A1995TM84200040</t>
  </si>
  <si>
    <t>Joksimovic, D; Stankovic, S</t>
  </si>
  <si>
    <t>Joksimovic, Danijela; Stankovic, Slavka</t>
  </si>
  <si>
    <t>Accumulation of trace metals in marine organisms of the southeastern Adriatic coast, Montenegro</t>
  </si>
  <si>
    <t>heavy metals; seawater; sediment; marine organisms; biomonitoring; Montenegro</t>
  </si>
  <si>
    <t>MYTILUS-GALLOPROVINCIALIS; POSIDONIA-OCEANICA; HEAVY-METALS; SEDIMENTS; SEAGRASS; MUSSELS; WATER; CONTAMINATION; SEA; POLLUTION</t>
  </si>
  <si>
    <t>The concentration and accumulation of trace metals (Co, Ni, As, Cd, Pb and Hg) were measured in seawater, sediments and marine organisms on the coastline of Montenegro. The obtained results of trace metals in sea grass and mussels were compared with those found in the water column and sediment. Sampling was performed in the fall of 2005 at five locations on the Montenegrin coastline, Sveta Stasija, Herceg Novi, Zanjice, Budva and Bar, which present different levels and sources of human impact. The heavy metals analyses of seawater, sediment, Posidonia oceanica and Mytilus galloprovincialis identified the harbor of Bar as the most Hg-contaminated site, Zanjice as the most As-contaminated and Sveta Stasija as the most Pb-contaminated areas of the Montenegrin coastal area. This study showed that P. oceanica may have a greater bioaccumulation capacity than M galloprovincialis for the considered metals, except for As and Hg, and both organisms may reflect contamination in the water column and in the sediment. For the first time, the sea grass P. oceanica and M galloprovincialis were employed as metal bioindicators for the southeastern Adriatic. The results of this study could serve as a baseline for future assessments of anthropogenic effects in this marine ecosystem.</t>
  </si>
  <si>
    <t>[Joksimovic, Danijela] Univ Montenegro, Inst Marine Biol, Dobrota Bb 85330, Kotor, Montenegro; [Stankovic, Slavka] Univ Belgrade, Fac Technol &amp; Met, Belgrade 11000, Serbia</t>
  </si>
  <si>
    <t>djoksimovic@ibmk.org</t>
  </si>
  <si>
    <t>Joksimovic, Danijela/AAH-7688-2019</t>
  </si>
  <si>
    <t>Ministry of Education and Science of the Republic of Serbia [III43009]; EAR [04SER02/05/007]</t>
  </si>
  <si>
    <t>Ministry of Education and Science of the Republic of Serbia(Ministry of Education, Science &amp; Technological Development, Serbia); EAR</t>
  </si>
  <si>
    <t>This research was financed by the Ministry of Education and Science of the Republic of Serbia, Contract No. III43009 and EAR, Contract No. 04SER02/05/007.</t>
  </si>
  <si>
    <t>10.2298/JSC110323159J</t>
  </si>
  <si>
    <t>http://dx.doi.org/10.2298/JSC110323159J</t>
  </si>
  <si>
    <t>893VP</t>
  </si>
  <si>
    <t>WOS:000300386100011</t>
  </si>
  <si>
    <t>Anandraj, A; Marshall, DJ; Gregory, MA; McClurg, TP</t>
  </si>
  <si>
    <t>Metal accumulation, filtration and O2 uptake rates in the mussel Perna perna (Mollusca: Bivalvia) exposed to Hg2+, Cu2+ and Zn2+</t>
  </si>
  <si>
    <t>bioaccumulation; bivalves; filtration rates; heavy metals; indicators; molluscs; oxygen uptake; physiology</t>
  </si>
  <si>
    <t>GREEN MUSSEL; BROWN MUSSEL; TRACE-METALS; INTERTIDAL MUSSELS; GILL FILAMENTS; FILTERING RATE; VIRIDIS; COPPER; CD; CADMIUM</t>
  </si>
  <si>
    <t>Tissue metal concentrations, filtration and oxygen uptake rates were investigated for Perna perna (Bivalvia: Mollusca) during exposure to Hg2+, Cu2+ and Zn2+ (50 mug/l for 24 days, and 24 days recovery with no metal). Hg and Cu tissue levels increased with exposure time, reaching maximum levels after 24 days (87.5 mug Hg/g dry mass and 45 mug Cu/g dry mass, respectively). Zn levels peaked after 4 days exposure (to 233 mug Zn/g dry mass) and stabilized thereafter. Accumulated metal was rapidly lost from tissues when mussels were returned to uncontaminated seawater, suggesting that tissue concentration data may be of limited use in biomonitoring situations where environmental metals fluctuate to low levels. Filtration rates fell below control rates during Hg2+ exposure, and became elevated again during the recovery period. Cu2+ and Zn2+ exposure had little effect on filtration, but suppressed oxygen uptake. During recovery, oxygen uptake of Cu2+ and Zn2+ exposed mussels was elevated above the controls. Filtration and oxygen uptake rates were not correlated, but rather responded in different ways to metal pollution. While these physiological responses of P perna may be of limited use in biomonitoring, they could indicate how populations may respond to marine pollution. (C) 2002 Elsevier Science Inc. All rights reserved.</t>
  </si>
  <si>
    <t>Univ KwaZulu Natal, Sch Life &amp; Environm Sci, ZA-4000 Durban, South Africa; Mangosuthu Technikon, Dept Nat Conservat, ZA-4026 Durban, South Africa; Univ KwaZulu Natal, Electron Microscope Unit, ZA-4000 Durban, South Africa; CSIR, Div Water Environm &amp; Forestry Technol, ZA-4000 Durban, South Africa</t>
  </si>
  <si>
    <t>University of Kwazulu Natal; Mangosuthu University of Technology; University of Kwazulu Natal; Council for Scientific &amp; Industrial Research (CSIR) - South Africa</t>
  </si>
  <si>
    <t>Univ KwaZulu Natal, Sch Life &amp; Environm Sci, Privat Bag X54001, ZA-4000 Durban, South Africa.</t>
  </si>
  <si>
    <t>marshall@pixie.udw.ac.za</t>
  </si>
  <si>
    <t>Marshall, Dustin/C-3450-2016; Anandraj, Akash/X-9305-2019; Anandraj, Akash/L-5485-2013</t>
  </si>
  <si>
    <t>PII S1532-0456(02)00081-9</t>
  </si>
  <si>
    <t>10.1016/S1532-0456(02)00081-9</t>
  </si>
  <si>
    <t>http://dx.doi.org/10.1016/S1532-0456(02)00081-9</t>
  </si>
  <si>
    <t>590RH</t>
  </si>
  <si>
    <t>WOS:000177835500005</t>
  </si>
  <si>
    <t>Feng, CY; Pedrero, Z; Lima, L; Olivares, S; de la Rosa, D; Berail, S; Tessier, E; Pannier, F; Amouroux, D</t>
  </si>
  <si>
    <t>Feng, Caiyan; Pedrero, Zoyne; Lima, Lazaro; Olivares, Susana; de la Rosa, Daniel; Berail, Sylvain; Tessier, Enmanuel; Pannier, Florence; Amouroux, David</t>
  </si>
  <si>
    <t>Assessment of Hg contamination by a Chlor-Alkali Plant in riverine and coastal sites combining Hg speciation and isotopic signature (Sagua la Grande River, Cuba)</t>
  </si>
  <si>
    <t>Methylmercury; Mercury isotopic fractionation; Sediment; Biota; Chlor-alkali plant</t>
  </si>
  <si>
    <t>MERCURY ISOTOPES; DEPENDENT FRACTIONATION; INORGANIC MERCURY; TROPHIC TRANSFER; METHYLMERCURY; EXPOSURE; SEDIMENTS; WATER; FISH; METHYLATION</t>
  </si>
  <si>
    <t>Chlor-alkali plants (CAP) are recognized as major sources of mercury (Hg) in the environment. In this work, Hg concentration, speciation and isotopic signature were determined in sediments and biota (fish and oyster) from Sagua La Grande River (SG River) and the adjacent coastal zone in the vicinity of a CAP (Cuba). High Hg concentrations in surface sediments (up to 5072 ng g(-1)), mainly occurring as inorganic Hg, decrease with the distance from the CAP along the SG River and seaward. Meanwhile, Hg concentration and speciation in riverine catfish (Claria gariepinus) muscle (1093 +/- 319 ng g(-1), (similar to)70% as MeHg) and coastal oysters (Crassostrea rizophorae) (596 +/- 233 ng g(-1) (similar to)50% as MeHg) indicate a direct impact from CAP. Hg isotopic signature in sediments, following both mass dependent (MDF) and mass independent fractionation (MIF), exhibits a clear binary mixing between CAP pollution (+0.42 parts per thousand, delta Hg-202;-0.18 parts per thousand, Delta Hg-201) and regional background end-member ((similar to)0.49 parts per thousand, delta Hg-202; +0.01 parts per thousand, Delta Hg-201). The combination of speciation and isotopic information in biota and sediments allows to trace Hg contamination pathways from contaminated sediments to the biota, establishing the importance of both methylation and demethylation extent in both river and coastal sites before Hg species bioaccumulation.</t>
  </si>
  <si>
    <t>[Feng, Caiyan; Pedrero, Zoyne; Berail, Sylvain; Tessier, Enmanuel; Pannier, Florence; Amouroux, David] CNRS, Inst Sci Analyt &amp; Physicochim Environm &amp; Mat IPRE, Lab Chim Analyt Bioinorgan &amp; Environm, UPPA,UMR5254, Helioparc,2 Ave President Pierre Angot, F-64053 Pau, France; [Lima, Lazaro; Olivares, Susana; de la Rosa, Daniel] Inst Super Tecnol &amp; Ciencias Aplicadas, Lab Anal Ambiental, Ave Salvador Allende &amp; Luaces, Havana, Cuba; [Lima, Lazaro] Univ Tecn Luis Vargas Torres Esmeraldas, Esmeraldas, Ecuador</t>
  </si>
  <si>
    <t>Centre National de la Recherche Scientifique (CNRS); CNRS - Institute of Chemistry (INC); Universite de Pau et des Pays de l'Adour</t>
  </si>
  <si>
    <t>Pedrero, Z (corresponding author), CNRS, Inst Sci Analyt &amp; Physicochim Environm &amp; Mat IPRE, Lab Chim Analyt Bioinorgan &amp; Environm, UPPA,UMR5254, Helioparc,2 Ave President Pierre Angot, F-64053 Pau, France.</t>
  </si>
  <si>
    <t>zoyne.pedrerozayas@univ-pau.fr</t>
  </si>
  <si>
    <t>Lima, Lázaro/GLT-2990-2022; David, Amouroux/HSE-7664-2023</t>
  </si>
  <si>
    <t>Lima Cazorla, Lazaro/0000-0003-0900-9602; Berail, Sylvain/0000-0002-5637-3696</t>
  </si>
  <si>
    <t>Aquitaine Region; CNRS; Agence Nationale de la Recherche (RIMNES Project) [ANR 2011 CESA 013 03]; Chinese Scholarship Council [201204910188]</t>
  </si>
  <si>
    <t>Aquitaine Region(Region Nouvelle-Aquitaine); CNRS(Centre National de la Recherche Scientifique (CNRS)); Agence Nationale de la Recherche (RIMNES Project)(Agence Nationale de la Recherche (ANR)); Chinese Scholarship Council(China Scholarship Council)</t>
  </si>
  <si>
    <t>This work has been supported by the Aquitaine Region, the CNRS and the Agence Nationale de la Recherche (RIMNES Project No ANR 2011 CESA 013 03). Caiyan Feng acknowledges the Chinese Scholarship Council (N. 201204910188) for her PhD grant.</t>
  </si>
  <si>
    <t>JUN 5</t>
  </si>
  <si>
    <t>10.1016/j.jhazmat.2019.02.092</t>
  </si>
  <si>
    <t>http://dx.doi.org/10.1016/j.jhazmat.2019.02.092</t>
  </si>
  <si>
    <t>IF5LI</t>
  </si>
  <si>
    <t>WOS:000473121900063</t>
  </si>
  <si>
    <t>ZAROOGIAN, GE</t>
  </si>
  <si>
    <t>CRASSOSTREA-VIRGINICA AS AN INDICATOR OF CADMIUM POLLUTION</t>
  </si>
  <si>
    <t>As much as 89, 176 and 292 .mu.g Cd/g dry wt were accumulated by adult C. virginica after treatment for 40 wk with 5, 10 and 15 .mu.g Cd/kg, respectively, in flowing seawater at ambient salinity and temperature without mortalities. Cd accumulation increased with increased concentration of Cd in seawater; greater amounts were accumulated during the summer months. Uptake patterns measured as Cd content were similar among total soft parts, gill, mantle and visceral mass. A continuous increase of Cd concentration in the visceral mass was observed. This differed from uptake patterns observed as Cd concentration in gill, mantle and total soft parts. Although Cd accumulation in total soft parts and tissues was curvilinear, significant linear relations between Cd concentration and time indicated a general increasing trend. At seawater temperatures below 6.degree. C, when oysters were not actively feeding, Cd concentrations in total soft parts varied significantly between treatments but not within treatments. In tissues, rate of uptake expressed as Cd concentrations was visceral mass &gt; gill .gtoreq. mantle. Cd concentration in total soft parts varied inversely with dry weight but Cd content varied directly. During spawning, Cd concentration in total soft parts increased but the content decreased. Cd concentration decreased in mantle and gill but increased in visceral mass during spawning, Cd content decreased in all tissues. Regression analyses indicated that during spawning dry weight decreased at the same rate in gill and mantle but they lost less weight and lost it more slowly than visceral mass. Also, during spawning, Cd content decreased in mantle and gill at the same rate but more slowly than in visceral mass. In mid-Aug., Cd concentration decreased despite continuous addition of Cd to the seawater, Cd content increased, suggesting that organism weight was responsible for fluctuations in Cd concentrations.</t>
  </si>
  <si>
    <t>10.1007/BF00390776</t>
  </si>
  <si>
    <t>http://dx.doi.org/10.1007/BF00390776</t>
  </si>
  <si>
    <t>KR725</t>
  </si>
  <si>
    <t>WOS:A1980KR72500005</t>
  </si>
  <si>
    <t>Clatterbuck, CA; Lewison, RL; Dodder, NG; Zeeman, C; Schiff, K</t>
  </si>
  <si>
    <t>Clatterbuck, Corey A.; Lewison, Rebecca L.; Dodder, Nathan G.; Zeeman, Catherine; Schiff, Kenneth</t>
  </si>
  <si>
    <t>Seabirds as regional biomonitors of legacy toxicants on an urbanized coastline</t>
  </si>
  <si>
    <t>Biomonitoring; POPs; PCBs; PBDEs; DDTs; Chlordanes; Mercury; Selenium; Arsenic; Trace elements; Seabirds</t>
  </si>
  <si>
    <t>PERSISTENT ORGANIC POLLUTANTS; CALIFORNIA LEAST TERNS; SOUTHERN CALIFORNIA; CHLORINATED HYDROCARBONS; TRACE-METALS; SAN-DIEGO; ENVIRONMENTAL CONTAMINANTS; BIRD EGGS; MERCURY; FISH</t>
  </si>
  <si>
    <t>Seabirds are often cited as sentinels of the marine environment, but are rarely used in traditional ocean and coastal contaminant monitoring. Four classes of persistent organic pollutants (POPs, n=68) and three trace elements (mercury, selenium, and arsenic) were measured in the eggs of California least terns (Sterna antillarum browni), caspian terns (Hydroprogne caspia), double-crested cormorants (Phalacrocorax auritus), and western gulls (Larus occidentalis) that nest in the Southern California Bight. Building on a periodic five year regional monitoring program, we measured contaminant exposure and assessed the utility of seabirds as regional contaminant biomonitors. We found that the eggs of larger, more piscivorous species generally had the highest concentrations of POPs and trace elements while California least terns had the lowest concentrations, except for mercury which was higher in least terns. As expected, DDT concentrations were elevated near the Palos Verdes Superfund site. However, we also detected a previously unknown latitudinal pattern in PBDE concentrations in least terns. POP congener profiles also confirmed differences in contamination in urban least tern colonies closest to urban centers. Though toxicants were at detectable levels across species and sites, concentrations were below those known to cause adverse effects in avian taxa and are steady or declining compared to previous studies in this region. Our results suggest that regional seabird monitoring can inform site-specific remediation and support management and protection of regionally-threatened wildlife and coastal systems. Integration of seabird contaminant data with traditional sediment, water, bivalve and fish monitoring is needed to further our understanding of exposure pathways and food web contaminant transfer. (C) 2017 Elsevier B.V. All rights reserved.</t>
  </si>
  <si>
    <t>[Clatterbuck, Corey A.; Lewison, Rebecca L.] San Diego State Univ, Dept Biol, San Diego, CA 92182 USA; [Clatterbuck, Corey A.] Univ Calif Davis, Grad Grp Ecol, Davis, CA 95616 USA; [Dodder, Nathan G.] San Diego State Univ, Res Fdn, San Diego, CA 92182 USA; [Zeeman, Catherine] US Fish &amp; Wildlife Serv, Carlsbad Fish &amp; Wildlife Off, Carlsbad, CA USA; [Schiff, Kenneth] Southern Calif Coastal Water Res Project, Costa Mesa, CA USA</t>
  </si>
  <si>
    <t>California State University System; San Diego State University; University of California System; University of California Davis; California State University System; San Diego State University; United States Department of the Interior; US Fish &amp; Wildlife Service; Southern California Coastal Water Research Project</t>
  </si>
  <si>
    <t>Clatterbuck, CA (corresponding author), San Diego State Univ, Dept Biol, San Diego, CA 92182 USA.</t>
  </si>
  <si>
    <t>cclatterbuck@ucdavis.edu</t>
  </si>
  <si>
    <t>Dodder, Nathan/C-7971-2015</t>
  </si>
  <si>
    <t>Dodder, Nathan/0000-0001-5913-1767; , Corey/0000-0003-1351-8565</t>
  </si>
  <si>
    <t>Southern California Coastal Water Research Program (SCCWRP)</t>
  </si>
  <si>
    <t>This research was funded by the Southern California Coastal Water Research Program (SCCWRP). We thank the many volunteers who helped collect and process eggs, including those from the Montrose Settlement and Restoration Program. Thanks to the US Fish and Wildlife Service Analytical Control Facility for providing egg reference material. We thank Physis Environmental Laboratories, the Sanitation Districts of Los Angeles County, and the City of San Diego for providing analytical services. Thanks to Dovi Kacev, Chris Tyson, and Matthew Savoca for input on statistical analysis. Thanks to members of the SCCWRP Bight committee, Megan Jennings, and two anonymous reviewers for input on the manuscript drafts. The findings and conclusions in this manuscript are those of the authors, and do not necessarily represent the views of SCCWRP or the U.S. Fish and Wildlife Service.</t>
  </si>
  <si>
    <t>10.1016/j.scitotenv.2017.11.057</t>
  </si>
  <si>
    <t>http://dx.doi.org/10.1016/j.scitotenv.2017.11.057</t>
  </si>
  <si>
    <t>FU8ZA</t>
  </si>
  <si>
    <t>WOS:000424144200048</t>
  </si>
  <si>
    <t>Bilos, C; Colombo, JC; Presa, MJR</t>
  </si>
  <si>
    <t>Trace metals in suspended particles, sediments and Asiatic clams (Corbicula fluminea) of the Rio de la Plata Estuary, Argentina</t>
  </si>
  <si>
    <t>heavy metals; Asiatic clam; sentinel organisms; Rio de la Plata Estuary</t>
  </si>
  <si>
    <t>MUSSEL DREISSENA-POLYMORPHA; SAN-FRANCISCO BAY; HEAVY-METALS; POLYCHLORINATED-BIPHENYLS; CHLORINATED PESTICIDES; ELLIPTIO-COMPLANATA; RIVER; WATER; POLLUTION; BIOACCUMULATION</t>
  </si>
  <si>
    <t>Suspended particulate matter (SPM), sandy sediments and Asiatic clams were collected at seven sites along 150 km of the Rio de la Plata coast to assess the magnitude of trace metal pollution in the area. Metal concentrations in SPM (Cu: 7.4-109; Cr: 75-408; Mn: 525-1341 mu g(-1)), sediments (Cr: 16-27; Zn: 26-99; Mn: 221-489 mu g(-1)) and bivalves (Cd: 0.5-1.9; Ni: 1.36.4; Cr: 1.3-11; Mn: 15-81; Cu: 28-89; Zn: 118-316 mu g g(-1)) are comparable to those reported for other moderately polluted world rivers. Cu levels in Asiatic clams are among the highest, similar to those reported for heavily polluted sites. SPM Cu and Cr concentrations displayed a clear geographical trend with values increasing with proximity to major urban centers. Sediments showed a less clear pattern possibly due to their coarse nature (&gt; 98% sand) and higher proportion of mineral-associated residual metals. The clams showed a complex pattern due to the variability introduced by size-related factors and the natural dynamics of SPM in the estuary. Cr and Mn showed an apparent reverse industrial trend with higher concentrations in clams collected at distant stations near the turbidity maximum zone, possibly reflecting enhanced particle retention. Cu, Cd and Ni showed no clear geographical pattern, whereas Zn increased in the clams collected in the most industrialized area. A significant relationship with clam size was observed for Cu (positive) and Zn (negative) suggesting different physiological requirements for both metals with age. A principal component analysis confirmed these geographical and size-related trends. (C) 1998 Elsevier Science Ltd. All rights reserved.</t>
  </si>
  <si>
    <t>Natl Univ La Plata, Fac Ciencias Nat, RA-1900 La Plata, Argentina; Natl Univ La Plata, Museo, RA-1900 La Plata, Argentina</t>
  </si>
  <si>
    <t>National University of La Plata; National University of La Plata; Museo La Plata</t>
  </si>
  <si>
    <t>Colombo, JC (corresponding author), Natl Univ La Plata, Fac Ciencias Nat, Paseo Bosque S-N, RA-1900 La Plata, Argentina.</t>
  </si>
  <si>
    <t>Bilos, Claudio/V-5900-2019</t>
  </si>
  <si>
    <t>Bilos, Claudio/0000-0003-1199-7515</t>
  </si>
  <si>
    <t>10.1016/S0269-7491(97)00177-2</t>
  </si>
  <si>
    <t>http://dx.doi.org/10.1016/S0269-7491(97)00177-2</t>
  </si>
  <si>
    <t>ZX030</t>
  </si>
  <si>
    <t>WOS:000074473200001</t>
  </si>
  <si>
    <t>Fattorin, D; Notti, A; Di Mento, R; Cicero, AM; Gabellini, M; Russo, A; Regoli, F</t>
  </si>
  <si>
    <t>Fattorin, Daniele; Notti, Alessandra; Di Mento, Rossella; Cicero, Anna Maria; Gabellini, Massimo; Russo, Aniello; Regoli, Francesco</t>
  </si>
  <si>
    <t>Seasonal, spatial and inter-annual variations of trace metals in mussels from the Adriatic sea: A regional gradient for arsenic and implications for monitoring the impact of off-shore activities</t>
  </si>
  <si>
    <t>Mytilus galloprovincialis; trace metals; arsenic compounds; seasonal fluctuations; off-shore platforms; Adriatic sea</t>
  </si>
  <si>
    <t>MYTILUS-GALLOPROVINCIALIS; DIGESTIVE GLAND; CHEMICAL CONCENTRATIONS; MARINE ORGANISMS; HEAVY-METALS; BIOMARKERS; OYSTERS; ARSENOBETAINE; CADMIUM; ENZYMES</t>
  </si>
  <si>
    <t>Mussels are widely used as bioindicator organisms for monitoring chemical pollutants including trace metals. These elements are natural constituents in the marine environment and their basal concentrations in the organisms can be influenced by several environmental and biological factors. The aim of this work was to extend our knowledge on the natural variability of trace metals in mussels tissues, focusing on seasonal and inter-annual fluctuations in a coastal reference site of the Adriatic coast (Portonovo); a total of 39 samplings were performed during 5 years, providing an extended data-set for tissue levels of As, Ba, Cd, Cr, Cu, Fe, Hg, Mn, Ni, Ph, Se, V and Zn. Concentrations of trace metals in mussels tissues revealed marked seasonal fluctuations with significant differences between various sampling years. Such fluctuations appeared mostly related to phytoplanctonic blooms and especially to reproductive cycle which exhibited a certain inter-annual shift of the gametogenesis Period. Lower concentrations were measured in summer months for the Majority of elements while a different seasonal cycle was observed for arsenic, not correlated with gonadic development, neither with other elements. Chemical speciation of arsenic was characterized to distinguish compounds of natural origin from those potentially reflecting an anthropogenic impact. Arsenobetaine and arsenocholine were always the predominant forms (up to 85% of total arsenic), while a significant increase of dimethylarsine and trimethylarsine oxide in spring (24% of total arsenic) might reflect the effect of phytoplanctonic bloom on both geochemistry and trophic transfer of this element. A significant inter-annual variability was observed for both the seasonal cycle and the range of values measured for all the elements, with particularly marked differences for arsenic, ranging from less than 10 to more than 40 mu g/g in summer periods of different years. Data obtained on reference mussels were used to assess the impact of 41 off-shore platforms distributed along 5 nautical districts in the Northern and Central Adriatic Sea. Organisms sampled on these structures from 2001 to 2005 exhibited a certain enrichment of cadmium and zinc, probably associated to the use of anodic electrodes. Marked annual and geographical variations were measured for concentrations of arsenic in mussels of different platforms. However, the comparison with results of Portonovo, allowed to exclude the anthropogenic impact of exploitation activities and revealed a natural regional gradient of arsenic levels in Mussels tissues associated to the changing influence of the Po river runoff on seawater salinity. In particular the higher concentrations measured in organisms sampled from platforms in the Central compared to Northern Adriatic confirmed a significant relationship between salinity and arsenic bioaccumulation, consistent with a role of arsenobetaine as an acquired osmolyte for mussels. The overall results confirmed the importance of natural variability when assessing the potential impact of anthropogenic activities. (C) 2008 Elsevier Ltd. All rights reserved.</t>
  </si>
  <si>
    <t>[Fattorin, Daniele; Notti, Alessandra; Regoli, Francesco] Univ Politecn Marche, Ist Biol &amp; Genet, I-60131 Ancona, Italy; [Di Mento, Rossella; Cicero, Anna Maria; Gabellini, Massimo] Ist Cent Ric Sci Applicata Mare ICRAM, Rome, Italy; [Russo, Aniello] Univ Politecn Marche, Dipartimento Sci Mare, I-60131 Ancona, Italy</t>
  </si>
  <si>
    <t>Marche Polytechnic University; Marche Polytechnic University</t>
  </si>
  <si>
    <t>Regoli, F (corresponding author), Univ Politecn Marche, Ist Biol &amp; Genet, Via Ranieri Montedago 65, I-60131 Ancona, Italy.</t>
  </si>
  <si>
    <t>Fattorini, Daniele/A-2969-2010; Regoli, Francesco/K-2719-2018; Russo, Aniello/A-2319-2010</t>
  </si>
  <si>
    <t>Regoli, Francesco/0000-0001-6084-6188; Fattorini, Daniele/0000-0002-5847-4722; Russo, Aniello/0000-0003-3651-8146</t>
  </si>
  <si>
    <t>10.1016/j.chemosphere.2008.04.071</t>
  </si>
  <si>
    <t>http://dx.doi.org/10.1016/j.chemosphere.2008.04.071</t>
  </si>
  <si>
    <t>347UH</t>
  </si>
  <si>
    <t>WOS:000259166200019</t>
  </si>
  <si>
    <t>He, YM; Zhou, L; Wang, MX; Zhong, ZS; Chen, H; Lian, C; Zhang, H; Wang, H; Cao, L; Li, CL</t>
  </si>
  <si>
    <t>He, Yameng; Zhou, Li; Wang, Minxiao; Zhong, Zhaoshan; Chen, Hao; Lian, Chao; Zhang, Huan; Wang, Hao; Cao, Lei; Li, Chaolun</t>
  </si>
  <si>
    <t>Integrated transcriptomic and metabolomic approaches reveal molecular response and potential biomarkers of the deep-sea mussel Gigantidas platifrons to copper exposure</t>
  </si>
  <si>
    <t>Mytilidae; Deep-sea; Metals; Multi-omics; Toxic effects; Biomarkers</t>
  </si>
  <si>
    <t>BATHYMODIOLUS-AZORICUS; RUDITAPES-PHILIPPINARUM; ANAEROBIC METABOLISM; METAL CONTAMINATION; GENE-EXPRESSION; CADMIUM; STRESS; SIGNAL; INVERTEBRATES; MECHANISMS</t>
  </si>
  <si>
    <t>Metal pollution caused by deep-sea mining activities has potential detrimental effects on deep-sea ecosystems. However, our knowledge of how deep-sea organisms respond to this pollution is limited, given the challenges of remoteness and technology. To address this, we conducted a toxicity experiment by using deep-sea mussel Gigantidas platifrons as model animals and exposing them to different copper (Cu) concentrations (50 and 500 mu g/ L) for 7 days. Transcriptomics and LC-MS-based metabolomics methods were employed to characterize the profiles of transcription and metabolism in deep-sea mussels exposed to Cu. Transcriptomic results suggested that Cu toxicity significantly affected the immune response, apoptosis, and signaling processes in G. platifrons. Metabolomic results demonstrated that Cu exposure disrupted its carbohydrate metabolism, anaerobic meta- bolism and amino acid metabolism. By integrating both sets of results, transcriptomic and metabolomic, we find that Cu exposure significantly disrupts the metabolic pathway of protein digestion and absorption in G. platifrons . Furthermore, several key genes (e.g., heat shock protein 70 and baculoviral IAP repeat -containing protein 2/3) and metabolites (e.g., alanine and succinate) were identified as potential molecular biomarkers for deep-sea mussel 's responses to Cu toxicity. This study contributes novel insight for assessing the potential effects of deep-sea mining activities on deep-sea organisms.</t>
  </si>
  <si>
    <t>[He, Yameng; Zhou, Li; Wang, Minxiao; Zhong, Zhaoshan; Chen, Hao; Lian, Chao; Zhang, Huan; Wang, Hao; Cao, Lei; Li, Chaolun] Chinese Acad Sci, Ctr Deep Sea Res, Inst Oceanol, Qingdao 266071, Peoples R China; [Li, Chaolun] Chinese Acad Sci, South China Sea Inst Oceanol, Guangzhou 510301, Peoples R China; [Li, Chaolun] Chinese Acad Sci, Inst Oceanol, Key Lab Marine Ecol &amp; Environm Sci, Qingdao 266071, Peoples R China; [Li, Chaolun] Univ Chinese Acad Sci, Beijing 10049, Peoples R China; [Li, Chaolun] Laoshan Lab, Qingdao 266237, Peoples R China</t>
  </si>
  <si>
    <t>Chinese Academy of Sciences; Institute of Oceanology, CAS; Chinese Academy of Sciences; South China Sea Institute of Oceanology, CAS; Chinese Academy of Sciences; Institute of Oceanology, CAS; Chinese Academy of Sciences; University of Chinese Academy of Sciences, CAS; Laoshan Laboratory</t>
  </si>
  <si>
    <t>Zhou, L; Li, CL (corresponding author), Chinese Acad Sci, Ctr Deep Sea Res, Inst Oceanol, Qingdao 266071, Peoples R China.</t>
  </si>
  <si>
    <t>lizhou@qdio.ac.cn; lcl@qdio.ac.cn</t>
  </si>
  <si>
    <t>zhan, zhaoyang/ABB-2208-2020</t>
  </si>
  <si>
    <t>National Key R&amp;D Program of China [2022YFC2804003]; Strategic Priority Research Program of the Chinese Academy of Sciences [XDB42020401]; National Natural Science Foundation of China [42276153, 42030407]; Key Research Program of Frontier Sciences, CAS [ZDBS-LY-DQC032]; State Key Laboratory of Microcbial Technology Open Projects Fund [M2023-10]</t>
  </si>
  <si>
    <t>National Key R&amp;D Program of China; Strategic Priority Research Program of the Chinese Academy of Sciences(Chinese Academy of Sciences); National Natural Science Foundation of China(National Natural Science Foundation of China (NSFC)); Key Research Program of Frontier Sciences, CAS; State Key Laboratory of Microcbial Technology Open Projects Fund</t>
  </si>
  <si>
    <t>This work was supported by the National Key R&amp;D Program of China (grant number 2022YFC2804003) ; the Strategic Priority Research Program of the Chinese Academy of Sciences (grant number XDB42020401) ; the National Natural Science Foundation of China (grant numbers 42276153, 42030407) ; the Key Research Program of Frontier Sciences, CAS (grant number ZDBS-LY-DQC032) ; and the State Key Laboratory of Microcbial Technology Open Projects Fund (grant number M2023-10) .</t>
  </si>
  <si>
    <t>10.1016/j.jhazmat.2024.134612</t>
  </si>
  <si>
    <t>http://dx.doi.org/10.1016/j.jhazmat.2024.134612</t>
  </si>
  <si>
    <t>TS8F2</t>
  </si>
  <si>
    <t>WOS:001243332700001</t>
  </si>
  <si>
    <t>Radwan, MA; El-Gendy, KS; Gad, AF</t>
  </si>
  <si>
    <t>Radwan, M. A.; El-Gendy, K. S.; Gad, A. F.</t>
  </si>
  <si>
    <t>Biomarkers of oxidative stress in the land snail, Theba pisana for assessing ecotoxicological effects of urban metal pollution</t>
  </si>
  <si>
    <t>Biological monitoring; Urban metal pollution; Oxidative stress; Land snails; Theba pisana; Biomarkers</t>
  </si>
  <si>
    <t>ANTIOXIDANT ENZYMES; DIGESTIVE GLAND; HEAVY-METALS; GLUTATHIONE; MUSSEL; TOXICITY; LEAD; BIOACCUMULATION; METABOLISM; GROWTH</t>
  </si>
  <si>
    <t>This study investigates the biomarkers of oxidative stress and heavy metal accumulation for assessing ecotoxicological effects of urban metal pollution in Alexandria city, Egypt. This investigation was performed in the digestive gland of roadside Theba pisana snails obtained from six different sites in the city. Relationships between heavy metal (Zn, Cu, Ph and Cd) concentrations and oxidative stress indicators were also examined. The results showed that mean concentrations of the measured elements (mu g g(-1) dry weight) were higher in polluted sites when compared to the background levels of the reference site. The pattern of metals accumulation at all sites was Zn &gt; Cu &gt; Ph &gt; Cd. In the metal polluted sites, snails displayed higher mean of catalase (CAT). glutathione peroxidase (GPx) and glutathione S-transferase (GST) activities, lower reduced glutathione (GSH) content and higher levels of lipid peroxidation (LPO) compared to snails from the reference site. All oxidative stress parameters were positively correlated to heavy metal concentrations except GSH content which exhibits negative correlation with the concentrations of these metals. Our results suggest that the tested antioxidant defenses are sensitive parameters that could be useful as oxidative stress biomarkers in snails exposed to the actual metals in the environment. These biomarkers when complemented with metal accumulation in the digestive gland of snails may provide a powerful biomonitor for the assessment of environmental metal pollution. (C) 2010 Elsevier Ltd. All rights reserved.</t>
  </si>
  <si>
    <t>[Radwan, M. A.; El-Gendy, K. S.; Gad, A. F.] Univ Alexandria, Fac Agr, Dept Pesticide Chem, Alex, Egypt</t>
  </si>
  <si>
    <t>Egyptian Knowledge Bank (EKB); Alexandria University</t>
  </si>
  <si>
    <t>Radwan, MA (corresponding author), Univ Alexandria, Fac Agr, Dept Pesticide Chem, Alex, Egypt.</t>
  </si>
  <si>
    <t>mohamedradwan52008@hotmail.com</t>
  </si>
  <si>
    <t>EL-Gendy, Kawther/AEX-9283-2022; Radwan, Mohamed/ABE-2916-2021</t>
  </si>
  <si>
    <t>Radwan, Mohamed/0000-0002-9671-3448; EL-Gendy, Kawther/0000-0003-4564-8743</t>
  </si>
  <si>
    <t>10.1016/j.chemosphere.2010.01.056</t>
  </si>
  <si>
    <t>http://dx.doi.org/10.1016/j.chemosphere.2010.01.056</t>
  </si>
  <si>
    <t>573WL</t>
  </si>
  <si>
    <t>WOS:000275945900006</t>
  </si>
  <si>
    <t>Dogruyol, H; Ulusoy, S; Erkan, N; Mol, S; Özden,Ö; Tunçelli, IC; Tosun, SY; Üçok, D; Dagsuyu, E; Yanardag, R</t>
  </si>
  <si>
    <t>Dogruyol, Hande; Ulusoy, Safak; Erkan, Nuray; Mol, Suhendan; Ozden, Ozkan; Tuncelli, Idil Can; Tosun, Sehnaz Yasemin; Ucok, Didem; Dagsuyu, Eda; Yanardag, Refiye</t>
  </si>
  <si>
    <t>Evaluation of biotoxins and toxic metal risks in mussels from the Sea of Marmara following marine mucilage</t>
  </si>
  <si>
    <t>Mediterranean mussel; Trace elements; Food safety; Health risk; Biomonitoring</t>
  </si>
  <si>
    <t>LATERAL FLOW IMMUNOASSAY; MYTILUS-GALLOPROVINCIALIS; PHYTOPLANKTON COMPOSITION; PARALYTIC SHELLFISH; HEAVY-METALS; DOMOIC ACID; HEALTH-RISK; VALIDATION; PERFORMANCE; SEAFOOD</t>
  </si>
  <si>
    <t>The mucilage phenomenon observed in the Sea of Marmara in 2021, has raised public concern about seafood safety. Mediterranean mussels serve as a vehicle in food chain, enabling the transfer of pollutants. Farmed and wild mussels were collected from 4 different stations throughout the fishing season. Biotoxins causing amnesic, paralytic, or diarrhetic shellfish poisonings (ASP, PSP, or DSP) were examined during monthly samplings. Potential health risks posed by cadmium, lead and arsenic were assessed. Health risks were evaluated considering 150 g/week mussel consumption, accounting for the different age groups of consumers (50, 60, 70 kg). Estimated Weekly Intake calculations of metals were determined to be lower than Provisional Tolerable Weekly Intake at all age groups throughout the sampling period in all stations. Target Hazard Quotient Cd of mussels captured from Istanbul Strait was always determined &lt;1, while it was equal to 1 for 50 kg individuals in Gelibolu samples. All THQ As were &gt;1. Target carcinogenic Risk was evaluated for Pb and iAs, which were found to be negligible and acceptable, respectively. No biotoxins responsible for ASP, PSP, or DSP were detected. Hg levels were under detectable limits. Excluding Cd, the results did not reveal any risks associated with mussel consumption during mucilage.</t>
  </si>
  <si>
    <t>[Dogruyol, Hande; Erkan, Nuray] Istanbul Univ, Fac Aquat Sci, Dept Fisheries &amp; Seafood Proc Technol, Food Safety Programme, Kalenderhane Mah Onalti Mart Sehitleri Cad 2, TR-34134 Fatih, Istanbul, Turkiye; [Ulusoy, Safak; Mol, Suhendan; Ozden, Ozkan; Tuncelli, Idil Can; Tosun, Sehnaz Yasemin; Ucok, Didem] Istanbul Univ, Fac Aquat Sci, Dept Fisheries &amp; Seafood Proc Technol, Seafood Proc Technol Programme, Kalenderhane Mah Onalti Mart Sehitleri Cad 2, TR-34134 Fatih, Istanbul, Turkiye; [Dagsuyu, Eda; Yanardag, Refiye] Istanbul Univ Cerrahpasa, Fac Engn, Dept Chem, Biochem Div, TR-34320 Avcilar, Istanbul, Turkiye</t>
  </si>
  <si>
    <t>Dogruyol, H (corresponding author), Istanbul Univ, Fac Aquat Sci, Dept Fisheries &amp; Seafood Proc Technol, Food Safety Programme, Kalenderhane Mah Onalti Mart Sehitleri Cad 2, TR-34134 Fatih, Istanbul, Turkiye.</t>
  </si>
  <si>
    <t>dogruyol@istanbul.edu.tr</t>
  </si>
  <si>
    <t>Can Tunçelli, İdil/A-4323-2019; DOGRUYOL, Hande/AAE-3487-2019; ULUSOY, Şafak/P-9589-2015; DAGSUYU, Eda/JTV-0525-2023; Erkan, Nuray/P-9866-2015</t>
  </si>
  <si>
    <t>Dogruyol, Hande/0000-0002-0856-3823; Erkan, Nuray/0000-0002-0752-8495</t>
  </si>
  <si>
    <t>Scientific and Technological Research Council of Turkiye (TUBITAK) [TUBITAK 1001 KAMAG 121G149]</t>
  </si>
  <si>
    <t>Scientific and Technological Research Council of Turkiye (TUBITAK)(Turkiye Bilimsel ve Teknolojik Arastirma Kurumu (TUBITAK))</t>
  </si>
  <si>
    <t>This study was supported by the Scientific and Technological Research Council of Turkiye (TUBITAK) with grant code TUBITAK 1001 KAMAG 121G149 and the project name Evaluation of the public health effects of mucilage in seafood captured from the Sea of Marmara.</t>
  </si>
  <si>
    <t>10.1016/j.fct.2024.114558</t>
  </si>
  <si>
    <t>http://dx.doi.org/10.1016/j.fct.2024.114558</t>
  </si>
  <si>
    <t>QP7K1</t>
  </si>
  <si>
    <t>WOS:001222137100001</t>
  </si>
  <si>
    <t>Bernal-Hernández, YY; Medina-Díaz, IM; Robledo-Marenco, ML; Velázquez-Fernández, JB; Girón-Pérez, MI; Ortega-Cervantes, L; Maldonado-Vázquez, WA; Rojas-García, AE</t>
  </si>
  <si>
    <t>Bernal-Hernandez, Y. Y.; Medina-Diaz, I. M.; Robledo-Marenco, M. L.; Velazquez-Fernandez, J. B.; Giron-Perez, M. I.; Ortega-Cervantes, L.; Maldonado-Vazquez, W. A.; Rojas-Garcia, A. E.</t>
  </si>
  <si>
    <t>Acetylcholinesterase and metallothionein in oysters (Crassostrea corteziensis) from a subtropical Mexican Pacific estuary</t>
  </si>
  <si>
    <t>Acetylcholinesterase; Crassostrea corteziensis; Biomarkers; Metallothionein</t>
  </si>
  <si>
    <t>MYTILUS-GALLOPROVINCIALIS; METAL CONCENTRATIONS; CORBICULA-FLUMINEA; HEAVY-METALS; EDULIS L.; BIOMARKERS; POLLUTION; GIGAS; EXPOSURE; CADMIUM</t>
  </si>
  <si>
    <t>Substantial efforts have been devoted to developing and applying biomarkers for ecological risk assessment. Bivalve mollusks, such as mussels and oysters, are commonly used in environmental monitoring programs because of their wide geographical distribution, great sensitivity to environmental pollutants, and ability to accumulate anthropogenically derived chemicals at a high rate. Acetylcholinesterase (AChE) activity and metallothionein (MT's) content are representative specific biomarkers that indicate the presence of anticholinesterasic compounds (like organophosphorus and carbamate pesticides) and metals, respectively. The aim of this study was to evaluate AChE activity and MT's content in Crassostrea corteziensis from Boca de Camichin estuary. The results obtained here showed that AChE activity was 65% lower in oysters from Boca de Camichin than in control organisms. In contrast, MT's content in collected organisms was not statistically different from that in control organisms. AChE activity and MT's content in oysters could be used as early biomarkers of effects and exposure to pesticides and heavy metals, respectively, in aquatic environments.</t>
  </si>
  <si>
    <t>[Medina-Diaz, I. M.; Robledo-Marenco, M. L.; Velazquez-Fernandez, J. B.; Giron-Perez, M. I.; Maldonado-Vazquez, W. A.; Rojas-Garcia, A. E.] Univ Autonoma Nayarit, Lab Contaminac &amp; Toxicol Ambiental, Secretaria Invest &amp; Posgrad, Tepic 63190, Nayarit, Mexico; [Bernal-Hernandez, Y. Y.; Ortega-Cervantes, L.] Posgrad Ciencias Biol Agropecuarias &amp; Pesqueras, Unidad Acad Agricultura, Xalisco, Nayarit, Mexico</t>
  </si>
  <si>
    <t>Rojas-García, AE (corresponding author), Univ Autonoma Nayarit, Lab Contaminac &amp; Toxicol Ambiental, Secretaria Invest &amp; Posgrad, Ciudad Cultura S-N Col Fresnos, Tepic 63190, Nayarit, Mexico.</t>
  </si>
  <si>
    <t>erojas@nayar.uan.mx</t>
  </si>
  <si>
    <t>García, Aurora/C-7120-2018; Hernández, Yael/C-7124-2018; GIRON, MANUEL/AAE-9629-2021; Velazquez-Fernandez, Jesus Bernardino/I-6201-2012</t>
  </si>
  <si>
    <t>Velazquez-Fernandez, Jesus Bernardino/0000-0002-4747-812X; GIRON-PEREZ PhD., MANUEL IVAN/0000-0001-6808-6590; Medina Diaz, Irma Martha/0000-0001-8923-3895</t>
  </si>
  <si>
    <t>NAYARIT [NAYARIT-2006-C01-66170]; PROMEP [PROMEP/103.5/07/2746]</t>
  </si>
  <si>
    <t>NAYARIT; PROMEP</t>
  </si>
  <si>
    <t>The authors thank Ing. Marco Luis Loza for his technical assistance during oyster collection. We also wish to acknowledge the aquaculture production laboratory ACUAIN for providing the algae used to feed the oysters. This research was made possible through grants NAYARIT-2006-C01-66170 and PROMEP/103.5/07/2746.</t>
  </si>
  <si>
    <t>10.1007/s10646-009-0459-2</t>
  </si>
  <si>
    <t>http://dx.doi.org/10.1007/s10646-009-0459-2</t>
  </si>
  <si>
    <t>574BK</t>
  </si>
  <si>
    <t>WOS:000275963200022</t>
  </si>
  <si>
    <t>García-Rico, L; Ruiz, RER; Jiménez, JV</t>
  </si>
  <si>
    <t>Determination of total metals in cultivated oysters (Crassostrea gigas) from the northwest coast of Mexico by microwave digestion and atomic absorption spectrometry</t>
  </si>
  <si>
    <t>JOURNAL OF AOAC INTERNATIONAL</t>
  </si>
  <si>
    <t>TRACE-METALS; HEAVY-METALS; ENVIRONMENTS; POLLUTION; ESTUARINE; CADMIUM; WATERS; GULF; LEAD</t>
  </si>
  <si>
    <t>Bivalves such as oysters often accumulate heavy metals, and therefore can be used to monitor changes of pollutant concentrations in the environment. Cultivated oysters from the northwest coast of Mexico are widely used for human consumption and thus have an important commercial value. Information was gathered on the concentration of these elements in oysters (Crassostrea gigas) cultivated on the coast of Sonora. Oysters were randomly collected from April to October 1997, from 6 different locations (65 individuals per site) in 4 different months. Metals were determined by microwave digestion followed by atomic absorption spectroscopy. The mean values (mug/g fresh weight) for each metal were: Cd, 0.76; Cu, 3.64; Zn, 17.71; Pb, 0.50; As, 0.05; Hg, 0.03; and Se, 0.21. The results show that, except for Cd, concentrations of regulated metals were under the maximum permitted values specified by regulatory agencies of Mexico and were comparable to those reported from other areas.</t>
  </si>
  <si>
    <t>Ctr Invest Alimentac &amp; Desarrollo, Dept Food Sci, Hermosillo 83000, Sonora, Mexico; Ctr Gobierno, Direcc Gen Fomento Pesquero, Hermosillo 83000, Sonora, Mexico</t>
  </si>
  <si>
    <t>CIAD - Centro de Investigacion en Alimentacion y Desarrollo</t>
  </si>
  <si>
    <t>García-Rico, L (corresponding author), Ctr Invest Alimentac &amp; Desarrollo, Dept Food Sci, AC POB 1735, Hermosillo 83000, Sonora, Mexico.</t>
  </si>
  <si>
    <t>Garcia-Rico, Leticia/C-8414-2009</t>
  </si>
  <si>
    <t>AOAC INTERNATIONAL</t>
  </si>
  <si>
    <t>GAITHERSBURG</t>
  </si>
  <si>
    <t>481 NORTH FREDRICK AVE, STE 500, GAITHERSBURG, MD 20877-2504 USA</t>
  </si>
  <si>
    <t>1060-3271</t>
  </si>
  <si>
    <t>J AOAC INT</t>
  </si>
  <si>
    <t>J. AOAC Int.</t>
  </si>
  <si>
    <t>Chemistry, Analytical; Food Science &amp; Technology</t>
  </si>
  <si>
    <t>498BL</t>
  </si>
  <si>
    <t>WOS:000172489900033</t>
  </si>
  <si>
    <t>BALOGH, KV</t>
  </si>
  <si>
    <t>COMPARISON OF MUSSELS AND CRUSTACEAN PLANKTON TO MONITOR HEAVY-METAL POLLUTION</t>
  </si>
  <si>
    <t>BALOGH, KV (corresponding author), HUNGARIAN ACAD SCI,BALATON LIMNOL RES INST,H-8237 TIHANY,HUNGARY.</t>
  </si>
  <si>
    <t>10.1007/BF00192941</t>
  </si>
  <si>
    <t>http://dx.doi.org/10.1007/BF00192941</t>
  </si>
  <si>
    <t>P6478</t>
  </si>
  <si>
    <t>WOS:A1988P647800003</t>
  </si>
  <si>
    <t>Zhang, JB; Peng, DM; Zhang, P; Rong, YM; Hu, LF; Zhao, LR; Chen, CL</t>
  </si>
  <si>
    <t>Zhang, Jibiao; Peng, Demeng; Zhang, Peng; Rong, Yumei; Hu, Lifang; Zhao, Lirong; Chen, Chunliang</t>
  </si>
  <si>
    <t>Metal Content and Enrichment in Bivalves within the Drainage Area of Seawater Used for a Desulfurization Process in Zhanjiang Bay, China</t>
  </si>
  <si>
    <t>metals of toxicological concern; distribution characteristics; enrichment behavior; oyster; barnacle; Zhanjiang Bay</t>
  </si>
  <si>
    <t>FLUE-GAS-DESULFURIZATION; HEALTH-RISK ASSESSMENT; HEAVY-METALS; TRACE-METALS; CHANGJIANG ESTUARY; HANGZHOU BAY; TAIHU LAKE; SEDIMENTS; POLLUTION; MARINE</t>
  </si>
  <si>
    <t>As heavy metals are easy to accumulate and have strong biological toxicity, they pose a potential threat to human health by entering the human body through the cumulative effect of marine life. Land-based input is an important source of heavy metals in the ocean, which has a great influence on coastal water quality. In this study, the spatial distribution characteristics of heavy metals (Zn, Cu, Cd, Pb, Cr, As) in the coastal waters of the desulfurization process outlet of a power plant in Zhanjiang Bay were investigated, and the enrichment behavior of heavy metals by organisms (oysters and barnacles) were also studied. The results showed that, before the seawater desulfurization system was closed, there were high concentrations of heavy metals (Cu, Zn, Cd, Pb and Cr) in the surface seawater near the drainage outlet. The concentrations of these heavy metals in the surface seawater were higher than those in the bottom seawater within 100 m of the drainage outlet. After the seawater desulfurization system was closed, the average concentrations of Cu, Cr and As in seawater at each station decreased by 17.04%, 37.52% and 29.53%, respectively, while the average concentrations of Zn, Cd and Pb increased by 17.05%, 32.87% and 48.77%, respectively. Single factor pollution index (SFI) and bio-concentration factor (BCF) showed that there was a potential high accumulation risk of Zn in oysters and barnacles near the drainage outlet of desulfurization wastewater (0.5 &lt; SFI &lt; 1 and BCF &gt; 1000). The SFI and BCF of each metal in oysters and barnacles decreased with the increase in distance from the drainage outlet. Generally, the coastal water quality of desulfurization process drainage area in Zhanjiang Bay were below the class IIof the Seawater quality standard (GB 3097-1997) of China. However, the heavy metals content in seawater and organisms near the drainage outlet is slightly higher. This suggested that if the seawater desulfurization process runs for a long time, it will have a negative impact on the coastal water and organisms.</t>
  </si>
  <si>
    <t>[Zhang, Jibiao; Peng, Demeng; Zhang, Peng; Zhao, Lirong] Guangdong Ocean Univ, Coll Chem &amp; Environm Sci, Zhanjiang 524088, Peoples R China; [Rong, Yumei; Hu, Lifang] Neusoft Inst Guangdong, Foshan 528225, Peoples R China; [Chen, Chunliang] Guangdong Ocean Univ, Analytial &amp; Testing Ctr, Zhanjiang 524088, Peoples R China</t>
  </si>
  <si>
    <t>Guangdong Ocean University; Guangdong Ocean University</t>
  </si>
  <si>
    <t>Zhang, P (corresponding author), Guangdong Ocean Univ, Coll Chem &amp; Environm Sci, Zhanjiang 524088, Peoples R China.</t>
  </si>
  <si>
    <t>zhangpeng@gdou.edu.cn</t>
  </si>
  <si>
    <t>Hu, Lifang/F-9932-2010</t>
  </si>
  <si>
    <t>Zhang, Peng/0000-0003-3638-9671</t>
  </si>
  <si>
    <t>Research and Development Projects in Key Areas of Guangdong Province [2020B1111020004]; Science and Technology Program Project of Guangdong Province [2016A020225004]; Guangdong Ocean University [231419018, 230420021]</t>
  </si>
  <si>
    <t>Research and Development Projects in Key Areas of Guangdong Province; Science and Technology Program Project of Guangdong Province; Guangdong Ocean University</t>
  </si>
  <si>
    <t>This research was funded by the Research and Development Projects in Key Areas of Guangdong Province (2020B1111020004), the Science and Technology Program Project of Guangdong Province (2016A020225004), the First-class Special Fund (231419018) and Innovation Strong School Project (230420021) of Guangdong Ocean University.</t>
  </si>
  <si>
    <t>10.3390/w14162532</t>
  </si>
  <si>
    <t>http://dx.doi.org/10.3390/w14162532</t>
  </si>
  <si>
    <t>4A5RE</t>
  </si>
  <si>
    <t>WOS:000845157500001</t>
  </si>
  <si>
    <t>Deng, SY; Luo, SY; Lin, QC; Shen, LL; Gao, LM; Zhang, W; Chen, JL; Li, CY</t>
  </si>
  <si>
    <t>Deng, Suyan; Luo, Songying; Lin, Qiance; Shen, Linli; Gao, Linmei; Zhang, Wei; Chen, Jinlian; Li, Chengyang</t>
  </si>
  <si>
    <t>Analysis of heavy metal and arsenic sources in mangrove surface sediments at Wulishan Port on Leizhou Peninsula, China, using the APCS-MLR model</t>
  </si>
  <si>
    <t>Mangrove sediments; Zhanjiang Bay; Ecological risk assessment; APCS-MLR; Source quantitative analysis</t>
  </si>
  <si>
    <t>SIZE DISTRIBUTION; ECOLOGICAL RISK; POLLUTION; MULTIVARIATE; ADSORPTION; PROVINCE; WETLAND; REGION; INDEX; RIVER</t>
  </si>
  <si>
    <t>Mangrove forests are sources and sinks for various pollutants. This study analyzed the current status of heavy metal and arsenic (As) pollution in mangrove surface sediments in rapidly industrializing and urbanizing port cities. Surface sediments of mangroves at Wulishan Port on the Leizhou Peninsula, China, were analyzed using inductively coupled plasma emission spectrometry (ICP-AES) and inductively coupled plasma mass spectrometry (ICP-MS) for the presence of Cr, Pb, Ni, Zn, Cd, Cu, As, and Hg. The Pollution load index, Nemerow pollution index, and Potential ecological risk index were employed to evaluate the pollutant. Multivariate statistical methods were applied for the qualitative analysis of pollutant sources, and the APCS-MLR receptor model was used for quantification. This study indicated the following results: (1) The average content of eight pollutants surpassed the local background level but did not exceed the Marine Sediment Quality standard. The pollution levels across the four sampling areas were ranked as III &gt; IV &gt; I &gt; II. The area II exhibited relatively lower pollution levels with the grain size of the sediments dominated by sand, which was not conducive to pollutant adsorption and enrichment. (2) The factor analysis and cluster analyses identified three primary sources of contamination. As, Cr, Ni, and Pb originated from nearby industrial activities and their associated wastewater, suggesting that the primary source was the industrial source. Cd, Cu, and Zn stem from the cement columns utilized in oyster farming, alongside discharges from mariculture and pig farming, establishing a secondary agricultural source. Hg originated from ship exhaust burning oil and vehicle emissions in the vicinity, representing the third traffic source. (3) The APCS-MLR receptor model results demonstrated industrial, agricultural, and traffic sources contributing 47.19 %, 33.13 %, and 13.03 %, respectively, with 6.65 % attributed to unidentified sources.</t>
  </si>
  <si>
    <t>[Deng, Suyan; Luo, Songying; Lin, Qiance; Shen, Linli; Gao, Linmei; Zhang, Wei; Chen, Jinlian; Li, Chengyang] Lingnan Normal Univ, Sch Geog Sci, Zhanjiang, Peoples R China; [Deng, Suyan] Yunnan Normal Univ, Fac Geog, Kunming, Peoples R China; [Luo, Songying] Lingnan Normal Univ, Mangrove Inst, Zhanjiang, Peoples R China</t>
  </si>
  <si>
    <t>LingNan Normal University; Yunnan Normal University; LingNan Normal University</t>
  </si>
  <si>
    <t>Luo, SY; Li, CY (corresponding author), Lingnan Normal Univ, Sch Geog Sci, Zhanjiang, Peoples R China.</t>
  </si>
  <si>
    <t>luosongying@163.com; lichengyang@lzb.ac.cn</t>
  </si>
  <si>
    <t>National Natural Science Foundation of China [42301345]; Zhanjiang Marine Youth Talent Innovation Project [2021E05018]; Lingnan Normal University Yanling Excellent Young Teacher Training Program [YL20200209]; Open Project of Mangrove Research Institute, Lingnan Normal University [YBXM03]</t>
  </si>
  <si>
    <t>National Natural Science Foundation of China(National Natural Science Foundation of China (NSFC)); Zhanjiang Marine Youth Talent Innovation Project; Lingnan Normal University Yanling Excellent Young Teacher Training Program; Open Project of Mangrove Research Institute, Lingnan Normal University</t>
  </si>
  <si>
    <t>This research was supported by the National Natural Science Foundation of China (42301345) , the Zhanjiang Marine Youth Talent Innovation Project (2021E05018) , and the Lingnan Normal University Yanling Excellent Young Teacher Training Program (YL20200209) , the Open Project of Mangrove Research Institute, Lingnan Normal University (YBXM03) .</t>
  </si>
  <si>
    <t>10.1016/j.ecoenv.2024.116788</t>
  </si>
  <si>
    <t>http://dx.doi.org/10.1016/j.ecoenv.2024.116788</t>
  </si>
  <si>
    <t>A8I2T</t>
  </si>
  <si>
    <t>WOS:001284913600001</t>
  </si>
  <si>
    <t>STURESSON, U</t>
  </si>
  <si>
    <t>CADMIUM ENRICHMENT IN SHELLS OF MYTILUS-EDULIS</t>
  </si>
  <si>
    <t>The accumulation of Cd [environmental pollutant] in various parts of the shell of M. edulis was measured. The mussels were grown in aquariums containing seawater with known concentrations of Cd. The shells were separated into periostracum, nacre and calcitic and calcitic/aragonitic calcium carbonate, and the samples were analyzed with a differential pulse anodic stripping technique. The highest values of Cd were found in the periostracum and the nacre. These results, compared with the results of a previous investigation of Pb uptake in shells of M. edulis, show that the shells generally accumulate more Pb than Cd under similar conditions.</t>
  </si>
  <si>
    <t>UNIV UPPSALA, DEPT PALEONTOL, S-75122 UPPSALA, SWEDEN.</t>
  </si>
  <si>
    <t>FF951</t>
  </si>
  <si>
    <t>WOS:A1978FF95100007</t>
  </si>
  <si>
    <t>POULSEN, E; RIISGARD, HU; MOHLENBERG, F</t>
  </si>
  <si>
    <t>ACCUMULATION OF CADMIUM AND BIOENERGETICS IN THE MUSSEL MYTILUS-EDULIS</t>
  </si>
  <si>
    <t>Accumulation rates of Cd, the amount of food ingested and assimilated, the amount of O2 consumed and changes in dry flesh weight were measured in M. edulis exposed to 0, 10 and 100 ppb Cd for 17 days in aquaria with seawater flowing continuously and at constant algal concentration. The accumulation rates were linear at 10 and 100 ppb, amounting to 0.58 and 8.98 ppm/day, respectively. Body loads up to 150 ppm caused on effects on clearance, ingestion, assimilation, respiration or growth. High net growth efficiencies between 55-59% were obtained, indicating near optimal experimental conditions. The setup and experimental procedure provided an excellent tool in the study of accumulation and sublethal effects of environmental pollutants in suspension feeding bivalves.</t>
  </si>
  <si>
    <t>NATL AGCY ENVIRONM PROTECT, MARINE POLLUT LAB, KAVALERGARDEN 6, DK-2920 CHARLOTTENLUND, DENMARK; MARINE BIOL LAB, STRANDPROMENADEN, DK-3000 HELSINGOR, DENMARK</t>
  </si>
  <si>
    <t>10.1007/BF00393137</t>
  </si>
  <si>
    <t>http://dx.doi.org/10.1007/BF00393137</t>
  </si>
  <si>
    <t>NT168</t>
  </si>
  <si>
    <t>WOS:A1982NT16800003</t>
  </si>
  <si>
    <t>RIISGARD, HU</t>
  </si>
  <si>
    <t>MERCURY POLLUTION IN THE WATERS AROUND HARBOORE TANGE AND LIMFJORD, DENMARK</t>
  </si>
  <si>
    <t>High concentrations of Hg were measured in mussels (Mytilus edulis) collected in 2 hot spot areas: near a closed-down chemical factory on the west coast of the Limfjord, and on groynes in the immediate vicinity of a chemical deposit in the dunes on the Danish west coast. By collecting comparable samples of mussels from chains of buoys, the Hg pollution in the western Limfjord could be traced 50-100 km into the central and innermost parts of the Limfjord as a gradual decreasing Hg concentration gradient. By collecting mussels from groynes north and south of the chemical deposit, it was possible to monitor the relative extent of the Hg leakage to the North Sea before and after the excavation of the deposit. The investigations demonstrated the applicability of M. edulis as a monitoring organism for Hg when importance was attached to concentration gradients and distribution patterns in well defined and homogeneous samples of mussels collected from natural populations.</t>
  </si>
  <si>
    <t>MARINE POLLUT LAB, DK-2920 CHARLOTTENLUND, DENMARK</t>
  </si>
  <si>
    <t>10.1016/0025-326X(84)90232-7</t>
  </si>
  <si>
    <t>http://dx.doi.org/10.1016/0025-326X(84)90232-7</t>
  </si>
  <si>
    <t>SR425</t>
  </si>
  <si>
    <t>WOS:A1984SR42500003</t>
  </si>
  <si>
    <t>Coppola, F; Bessa, A; Henriques, B; Russo, T; Soares, AMVM; Figueira, E; Pereira, E; Marques, P; Polese, G; Freitas, R</t>
  </si>
  <si>
    <t>Coppola, Francesca; Bessa, Ana; Henriques, Bruno; Russo, Tania; Soares, Amadeu M. V. M.; Figueira, Etelvina; Pereira, Eduarda; Marques, Paula; Polese, Gianluca; Freitas, Rosa</t>
  </si>
  <si>
    <t>The Role of Temperature on the Impact of Remediated Water towards Marine Organisms</t>
  </si>
  <si>
    <t>biomarkers; toxicity; Ruditapes philippinarum; GO-PEI; seawater remediation; mercury; bioaccumulation</t>
  </si>
  <si>
    <t>MUSSEL MYTILUS-GALLOPROVINCIALIS; OXIDATIVE STRESS; RUDITAPES-PHILIPPINARUM; THERMAL-STRESS; MEDITERRANEAN MUSSEL; SEAWATER TEMPERATURE; BIOCHEMICAL MARKERS; CONTAMINATED WATER; METAL POLLUTION; MERCURY</t>
  </si>
  <si>
    <t>Marine organisms are frequently exposed to pollutants, including trace metals, derived from natural and anthropogenic activities. In order to prevent environmental pollution, different approaches have been applied to remove pollutants from waste water and avoid their discharge into aquatic systems. However, organisms in their natural aquatic environments are also exposed to physico-chemical changes derived from climate change-related factors, including temperature increase. According to recent studies, warming has a negative impact on marine wildlife, with known effects on organisms physiological and biochemical performance. Recently, a material based on graphene oxide (GO) functionalized with polyethyleneimine (PEI) proved to be effective in the remediation of mercury (Hg) contaminated water. Nevertheless, no information is available on the toxic impacts of such remediated water towards aquatic systems, neither under actual nor predicted temperature conditions. For this, the present study assessed the toxicity of seawater, previously contaminated with Hg and remediated by GO-PEI, using the clam speciesRuditapes philippinarumexposed to actual and a predicted temperature conditions. The results obtained demonstrated that seawater contaminated with Hg and/or Hg+GO-PEI induced higher toxicity in clams exposed to 17 and 22 degrees C compared to organisms exposed to remediated seawater at the same temperatures. Moreover, similar histological and biochemical results were observed between organisms exposed to control and remediated seawater, independently of the temperatures (17 and 21 degrees C), highlighting the potential use of GO-PEI to remediate Hg from seawater without significant toxicity issues to the selected marine species.</t>
  </si>
  <si>
    <t>[Coppola, Francesca; Soares, Amadeu M. V. M.; Figueira, Etelvina; Freitas, Rosa] Univ Aveiro, Dept Biol, P-3810193 Aveiro, Portugal; [Coppola, Francesca; Henriques, Bruno; Soares, Amadeu M. V. M.; Figueira, Etelvina; Freitas, Rosa] Univ Aveiro, CESAM, P-3810193 Aveiro, Portugal; [Bessa, Ana; Marques, Paula] Univ Aveiro, Dept Mech Engn, P-3810193 Aveiro, Portugal; [Bessa, Ana; Marques, Paula] Univ Aveiro, TEMA, P-3810193 Aveiro, Portugal; [Henriques, Bruno; Pereira, Eduarda] Univ Aveiro, Dept Chem, P-3810193 Aveiro, Portugal; [Russo, Tania; Polese, Gianluca] Univ Naples Federico II, Dept Biol, Campus Monte St Angelo, I-80126 Naples, Italy; [Pereira, Eduarda] Univ Aveiro, LAQV REQUIMTE, P-3810193 Aveiro, Portugal</t>
  </si>
  <si>
    <t>Universidade de Aveiro; Universidade de Aveiro; Universidade de Aveiro; Universidade de Aveiro; Universidade de Aveiro; University of Naples Federico II; Universidade de Aveiro</t>
  </si>
  <si>
    <t>c.francesca@ua.pt; arcb@ua.pt; brunogalinho@ua.pt; tanyarusso90@hotmail.it; asoares@ua.pt; efigueira@ua.pt; eduper@ua.pt; paulam@ua.pt; gianluca.polese@unina.it; rosafreitas@ua.pt</t>
  </si>
  <si>
    <t>Coppola, Francesca/U-8869-2018; Figueira, Etelvina/M-6116-2013; Pereira, Eduarda/A-5907-2012; Henriques, Bruno/B-6258-2017; Marques, Paula/A-7371-2008; Freitas, Rosa/A-7539-2012; Polese, Gianluca/F-3496-2013; Soares, Amadeu/A-8304-2008; Russo, Tania/AHA-0304-2022</t>
  </si>
  <si>
    <t>Henriques, Bruno/0000-0002-6472-5479; Marques, Paula/0000-0002-7498-452X; Freitas, Rosa/0000-0003-4900-3897; Coppola, Francesca/0000-0002-7039-9630; Pereira, Eduarda/0000-0002-6046-5243; Polese, Gianluca/0000-0002-6322-7769; Soares, Amadeu/0000-0003-0879-9470; Russo, Tania/0000-0002-3531-3977</t>
  </si>
  <si>
    <t>Portuguese Science Foundation (FCT) - FSE; Programa Operacional Capital Humano (POCH) e da Uniao Europeia [SFRH/BD/118582/2016, SFRH/BD/110478/2015]; national funds (OE), through FCT-Fundacao para a Ciencia e a Tecnologia, I.P.; Fundação para a Ciência e a Tecnologia [SFRH/BD/118582/2016, SFRH/BD/110478/2015] Funding Source: FCT</t>
  </si>
  <si>
    <t>Portuguese Science Foundation (FCT) - FSE(Fundacao para a Ciencia e a Tecnologia (FCT)); Programa Operacional Capital Humano (POCH) e da Uniao Europeia; national funds (OE), through FCT-Fundacao para a Ciencia e a Tecnologia, I.P.(Fundacao para a Ciencia e a Tecnologia (FCT)); Fundação para a Ciência e a Tecnologia(Fundacao para a Ciencia e a Tecnologia (FCT))</t>
  </si>
  <si>
    <t>This research was funded by National Funds through the Portuguese Science Foundation (FCT), supported by FSE and Programa Operacional Capital Humano (POCH) e da Uniao Europeia (PhD grants SFRH/BD/118582/2016 and SFRH/BD/110478/2015; Francesca Coppola and Ana Bessa respectively). This work was also funded by national funds (OE), through FCT-Fundacao para a Ciencia e a Tecnologia, I.P., in the scope of the framework contract foreseen in the numbers 4, 5 and 6 of the article 23, of the Decree-Law 57/2016, of 29 August, changed by Law 57/2017, of 19 July (Rosa Freitas and Bruno Henriques).</t>
  </si>
  <si>
    <t>10.3390/w12082148</t>
  </si>
  <si>
    <t>http://dx.doi.org/10.3390/w12082148</t>
  </si>
  <si>
    <t>NH7BB</t>
  </si>
  <si>
    <t>WOS:000564820400001</t>
  </si>
  <si>
    <t>HUMMEL, H; BOGAARDS, R; DEWOLF, L; SINKE, J; POORTVLIET, T</t>
  </si>
  <si>
    <t>EVALUATION OF FREE AMINO-ACIDS AS A BIOCHEMICAL INDICATOR OF METAL POLLUTION</t>
  </si>
  <si>
    <t>ESTUARY</t>
  </si>
  <si>
    <t>Mussels from the Fal estuary, STY England, were used to assess the applicability of free amino acids as a biochemical stress-index for metal pollution. Copper, and not salinity or zinc, was the main agent affecting the amounts and composition of the free amino acids. The use of the serine + threonine sum as an indicator of stress was highly questionable The taurine/glycine ratio could only be used at concentrations of copper greater than or equal to 20 mu g liter(-1), where the ratio was increased. At lower copper concentrations the taurine/glycine ratio did not show a relationship with copper; at higher copper concentrations the mussels died. The mussels seemed to show an 'all or nothing' effect, i.e. the 'window' between tolerable and lethal levels for copper was small.</t>
  </si>
  <si>
    <t>HUMMEL, H (corresponding author), CTR ESTUARINE &amp; COASTAL ECOL,VIERSTR 28,4401 EA YERSEKE,NETHERLANDS.</t>
  </si>
  <si>
    <t>Hummel, Herman/A-9610-2011</t>
  </si>
  <si>
    <t>10.1016/0141-1136(94)90030-2</t>
  </si>
  <si>
    <t>http://dx.doi.org/10.1016/0141-1136(94)90030-2</t>
  </si>
  <si>
    <t>PN884</t>
  </si>
  <si>
    <t>WOS:A1994PN88400005</t>
  </si>
  <si>
    <t>Caric, H; Klobucar, G; Stambuk, A</t>
  </si>
  <si>
    <t>Caric, Hrvoje; Klobucar, Goeran; Stambuk, Anamaria</t>
  </si>
  <si>
    <t>Ecotoxicological risk assessment of antifouling emissions in a cruise ship port</t>
  </si>
  <si>
    <t>Cruise tourism; Marine ecosystems; Biomonitoring; Pollution; Heavy metals; Dubrovnik Port</t>
  </si>
  <si>
    <t>MYTILUS-GALLOPROVINCIALIS; HEXAPLEX-TRUNCULUS; NATURAL-PRODUCTS; TRACE-METALS; IMPOSEX; TRIBUTYLTIN; POLLUTION; TOXICITY; PAINTS; SEDIMENT</t>
  </si>
  <si>
    <t>Worldwide growth of cruise ship tourism is constantly increasing marine environmental contamination risks, frequently neglected by the tourism practices. Paradoxically, environmental degradation ultimately decreases the quality of resources tourism is dependent upon. Vessels antifouling-related contamination is one of the most serious threats posed upon marine ecosystems. We propose here an interdisciplinary triangulation to evaluate antifouling-pollution environmental risks within the frame of the Dubrovnik Port case study. Heavy metal environmental burden was calculated based on the cruiser ships anchoring data. Pollution impact was confirmed by three independent ecotoxicological studies conducted recently in the same area: heavy metals sediment analyses, antifouling related imposex occurrence in banded murex Hexaplex trunculus and biomonitoring study on Mediterranean mussel Mytilus galloprovincialis. Antifouling-pollution cost was estimated by applying the actual sea bottom remediation methods in order to present the monetary value of pollution prevention that could be achieved through the nontoxic antifouling strategies. Implementation of these is considered one of the prerequisites for environmentally sustainable cruise tourism. (C) 2014 Elsevier Ltd. All rights reserved.</t>
  </si>
  <si>
    <t>[Caric, Hrvoje] Inst Tourism, Vrhovec 5, Zagreb 10000, Croatia; [Klobucar, Goeran; Stambuk, Anamaria] Univ Zagreb, Fac Sci, Dept Zool, Rooseveltov Trg 6, Zagreb 10000, Croatia</t>
  </si>
  <si>
    <t>Institute for Tourism - Croatia; University of Zagreb</t>
  </si>
  <si>
    <t>Stambuk, A (corresponding author), Univ Zagreb, Fac Sci, Dept Zool, Rooseveltov Trg 6, Zagreb 10000, Croatia.</t>
  </si>
  <si>
    <t>astambuk@biol.pmf.hr</t>
  </si>
  <si>
    <t>Klobucar, Goran/S-5138-2019</t>
  </si>
  <si>
    <t>Stambuk, Anamaria/0000-0002-3177-7694; Klobucar, Goran/0000-0002-0838-4593; Klobucar, Goran/0000-0002-7149-682X; Caric, Hrvoje/0000-0002-9755-4688</t>
  </si>
  <si>
    <t>MAY 10</t>
  </si>
  <si>
    <t>10.1016/j.jclepro.2014.08.072</t>
  </si>
  <si>
    <t>http://dx.doi.org/10.1016/j.jclepro.2014.08.072</t>
  </si>
  <si>
    <t>DI5KY</t>
  </si>
  <si>
    <t>WOS:000373539000014</t>
  </si>
  <si>
    <t>Rahman, MM; Jung, EJ; Eom, S; Lee, WJ; Han, SH</t>
  </si>
  <si>
    <t>Rahman, Md. Moklesur; Jung, Eunji; Eom, Sangwoo; Lee, Woojin; Han, Seunghee</t>
  </si>
  <si>
    <t>Mercury concentrations in sediments and oysters in a temperate coastal zone: a comparison of farmed and wild varieties</t>
  </si>
  <si>
    <t>Methylmercury; Bioaccumulation; Oyster; Aquaculture; Sulfur; Growth dilution</t>
  </si>
  <si>
    <t>DISSOLVED ORGANIC-MATTER; METHYLMERCURY PRODUCTION; CRASSOSTREA-GIGAS; PACIFIC OYSTER; METHYL MERCURY; CHEMICAL SPECIATION; ESTUARINE SEDIMENTS; MARINE-SEDIMENTS; BAY; MONOMETHYLMERCURY</t>
  </si>
  <si>
    <t>Oyster aquaculture has progressively increased to meet growing demands for seafood worldwide; however, its effects on methylmercury (MeHg) production in sediment and accumulation in oysters are largely unknown. In this study, total Hg (THg) and MeHg in sediments collected from aquaculture and reference sites and in farmed and wild oysters were measured and compared to explore potential factors that regulate MeHg production and bioaccumulation at the aquaculture sites. The results showed that the mean concentrations of THg and MeHg in varying sediment depths at the aquaculture site were 34 +/- 4.1 ng g-1 and 16 +/- 12 pg g-1, respectively. In comparison, the mean concentrations of THg and MeHg in sediments at the reference site were 25 +/- 2.5 ng g-1 and 63 +/- 28 pg g-1, respectively. While the MeHg/THg in the aquaculture sediments increased with organic carbon content, the slope of MeHg/THg versus organic carbon content was suppressed by high concentrations of dissolved sulfide in the pore water. Multiple parameters (total sulfur, total nitrogen and acid volatile sulfide in sediment, and dissolved sulfide in pore water) showed significant negative relationships with MeHg/THg in the sediment, and the total sulfur content in the sediment showed the highest inverse correlation factor with MeHg/THg (r = - 0.83). The mean concentrations of THg and MeHg in farmed oysters (mean weight 3.2 +/- 1.5 g) were 36 +/- 10 ng g-1 and 15 +/- 6.7 ng g-1, respectively, while those in wild oysters (mean weight 0.92 +/- 0.32 g) were 47 +/- 9.9 ng g-1 and 15 +/- 6.7 ng g-1, respectively. Concerning oysters of the same size range, THg and MeHg levels were higher in farmed oysters than in wild oysters despite the faster growth rate of farmed oysters, suggesting that the Hg content of food sources is more important than growth dilution rates in the control of Hg levels. The mean hazardous quotient for MeHg in farmed oyster was calculated as 0.044 +/- 0.020, suggesting no expected health risk from farmed oyster consumption.</t>
  </si>
  <si>
    <t>[Rahman, Md. Moklesur; Jung, Eunji; Eom, Sangwoo; Han, Seunghee] Gwangju Inst Sci &amp; Technol GIST, Sch Earth Sci &amp; Environm Engn, Gwangju 61005, South Korea; [Lee, Woojin] Nazarbayev Univ, Dept Civil &amp; Environm Engn, Natl Lab Astana, 53 Kabanbay Batyr Ave, Nur Sultan 010000, Kazakhstan</t>
  </si>
  <si>
    <t>Gwangju Institute of Science &amp; Technology (GIST); Nazarbayev University</t>
  </si>
  <si>
    <t>Han, SH (corresponding author), Gwangju Inst Sci &amp; Technol GIST, Sch Earth Sci &amp; Environm Engn, Gwangju 61005, South Korea.</t>
  </si>
  <si>
    <t>shan@gist.ac.kr</t>
  </si>
  <si>
    <t>Han, Seunghee/AAZ-6456-2020; lee, wj/JNR-4926-2023</t>
  </si>
  <si>
    <t>Han, Seunghee/0000-0002-3284-0106</t>
  </si>
  <si>
    <t>We thank Mr. Seung-Yong Baek for kindly donating the farmed oysters and for his unwavering assistance during each sampling session.</t>
  </si>
  <si>
    <t>10.1007/s11356-023-29992-7</t>
  </si>
  <si>
    <t>http://dx.doi.org/10.1007/s11356-023-29992-7</t>
  </si>
  <si>
    <t>W3QS0</t>
  </si>
  <si>
    <t>WOS:001078239900010</t>
  </si>
  <si>
    <t>Jafar, JR; Attarde, SS; Pandit, SV</t>
  </si>
  <si>
    <t>Jafar, Jamadar Rasul; Attarde, Saurabh S.; Pandit, Sangeeta, V</t>
  </si>
  <si>
    <t>Individual and combined exposure of cupric chloride di-hydrate and anthracene to Lamellidens corrianus (Lea): Evaluation of genotoxic responses using comet assay</t>
  </si>
  <si>
    <t>INDIAN JOURNAL OF EXPERIMENTAL BIOLOGY</t>
  </si>
  <si>
    <t>Aquatic pollution; Carcinogen; DNA damage; Freshwater mussel; Heavy metals; Micronucleus assay; Olive tail moment; Polycyclic aromatic hydrocarbon; Stress; Tail DNA%</t>
  </si>
  <si>
    <t>Industrial, domestic and agricultural wastes pose potential threat to the aquatic environment as major sources of toxic contaminants along with carcinogenic and genotoxic compounds. Heavy metals and polycyclic aromatic hydrocarbons (PAH) have increased concern due to their mutagenic features as they can bind to DNA molecule and lead to genotoxicity. In the present study, we evaluated the genotoxic potential of cupric chloride di-hydrate (A), anthracene (B) and combined exposure of both (C) on the freshwater mussel, Lamellidens corrianus (Lea 1834). Animals were exposed individually to cupric chloride di-hydrate (A, 0.1 ppm) and anthracene (B, 0.5 ppm) and their combined exposure (C) for 7 days (T1) and 14 days (T2), followed by the transfer of exposed animals to toxicant free water for four days after each treatment for assessment of recovery pattern (R1, R2). Genotoxicity was evaluated after each exposure and recovery with the help of comet assay and micronucleus assay. In all the above exposures (A, B and C) it was observed that increased exposure duration leads to more DNA damage. However, recovery potential of animals upon exposure to extended duration found to be greater than that of the short duration exposure (R2&gt;R1), indicating adaptability of animals. The trend of damage in tail DNA% and olive tail moment (OTM) was consistent after both (T1 and T2) durations such as C&gt;A&gt;B.</t>
  </si>
  <si>
    <t>[Jafar, Jamadar Rasul] Arts Commerce &amp; Sci Coll, Dept Zool, Narayangaon Pune, Maharashtra, India; [Attarde, Saurabh S.; Pandit, Sangeeta, V] Savitribai Phule Pune Univ, Dept Zool, Pune, Maharashtra, India</t>
  </si>
  <si>
    <t>Savitribai Phule Pune University</t>
  </si>
  <si>
    <t>Pandit, SV (corresponding author), Savitribai Phule Pune Univ, Dept Zool, Pune, Maharashtra, India.</t>
  </si>
  <si>
    <t>drpanditsv@unipune.ac.in</t>
  </si>
  <si>
    <t>University Grants Commission; 'Board of college and University Development' 'University Grants Commission-Centre for Advanced Studies' (Phase III), 'Departmental Research and Developmental Program'; Department of Science &amp; Technology Promotion of University Research and Scientific Excellence</t>
  </si>
  <si>
    <t>University Grants Commission(University Grants Commission, India); 'Board of college and University Development' 'University Grants Commission-Centre for Advanced Studies' (Phase III), 'Departmental Research and Developmental Program'; Department of Science &amp; Technology Promotion of University Research and Scientific Excellence</t>
  </si>
  <si>
    <t>The first author is grateful to the 'University Grants Commission' for awarding teacher fellowship. Thanks are due to 'Board of college and University Development' 'University Grants Commission-Centre for Advanced Studies' (Phase III), 'Departmental Research and Developmental Program' and 'Department of Science &amp; Technology Promotion of University Research and Scientific Excellence' for the partial financial assistance.</t>
  </si>
  <si>
    <t>0019-5189</t>
  </si>
  <si>
    <t>0975-1009</t>
  </si>
  <si>
    <t>INDIAN J EXP BIOL</t>
  </si>
  <si>
    <t>Indian J. Exp. Biol.</t>
  </si>
  <si>
    <t>VJ5FJ</t>
  </si>
  <si>
    <t>WOS:000605334200009</t>
  </si>
  <si>
    <t>Sherwood, GD; Rasmussen, JB; Rowan, DJ; Brodeur, J; Hontela, A</t>
  </si>
  <si>
    <t>Bioenergetic costs of heavy metal exposure in yellow perch (Perca flavescens):: in situ estimates with a radiotracer (137Cs) technique</t>
  </si>
  <si>
    <t>AMONG-POPULATION VARIABILITY; FRESH-WATER BIVALVE; FISH GROWTH; IN-VIVO; ENVIRONMENTAL VARIABLES; FOOD-CONSUMPTION; SEDIMENTS; QUANTITY; BLUEGILL; GRANDIS</t>
  </si>
  <si>
    <t>While the flow of energy is understood to determine the growth of organisms and the productivity of ecosystems, little is known about the sublethal effect of pollutants on the energetic efficiency of wild populations. We used field estimates of fish growth coupled to in situ estimates of food consumption rates obtained from the mass balance of a globally dispersed, trophically transferred radiotracer (Cs-137) to demonstrate the bioenergetic impairment of yellow perch (Perca flavescens) from lakes polluted by heavy metals (Cd, Cu, and Zn). Annual growth increment relative to the total energy budget (conversion efficiency) was about three times lower in cortisol-impaired yellow perch from metal-polluted lakes relative to yellow perch from reference lakes (4.2% compared with 10.8%), suggesting that fish exposed to pollutants experienced greater total energetic costs. In addition, metal-polluted lakes were dominated by adult yellow perch populations and simplified prey bases, suggesting that effects are occurring at multiple levels of biological organization. Our in situ bioenergetic approach to toxicity assessment provides a measurable and ecologically relevant endpoint for assessing the sublethal effects of pollutants on fish communities.</t>
  </si>
  <si>
    <t>McGill Univ, Dept Biol, Montreal, PQ H3A 1B1, Canada; Colorado State Univ, Dept Radiol Hlth Sci, Ft Collins, CO 80523 USA; Univ Quebec, TOXEN Res Ctr, Dept Sci Biol, Montreal, PQ H3C 3P8, Canada</t>
  </si>
  <si>
    <t>McGill University; Colorado State University; University of Quebec; University of Quebec Montreal</t>
  </si>
  <si>
    <t>McGill Univ, Dept Biol, 1205 Dr Penfield Ave, Montreal, PQ H3A 1B1, Canada.</t>
  </si>
  <si>
    <t>grahamsherwood@hotmail.com</t>
  </si>
  <si>
    <t>Brodeur, Julie/I-6576-2019</t>
  </si>
  <si>
    <t>Brodeur, Julie/0000-0001-5408-6645</t>
  </si>
  <si>
    <t>CANADIAN SCIENCE PUBLISHING</t>
  </si>
  <si>
    <t>65 AURIGA DR, SUITE 203, OTTAWA, ON K2E 7W6, CANADA</t>
  </si>
  <si>
    <t>1205-7533</t>
  </si>
  <si>
    <t>10.1139/f99-268</t>
  </si>
  <si>
    <t>http://dx.doi.org/10.1139/f99-268</t>
  </si>
  <si>
    <t>284GP</t>
  </si>
  <si>
    <t>WOS:000085323600018</t>
  </si>
  <si>
    <t>Thébault, MT; Raffin, JP; Picado, AM; Mendonça, E; Skorkowski, EF; Le Gal, Y</t>
  </si>
  <si>
    <t>Coordinated changes of adenylate energy charge and ATP/ADP:: Use in ecotoxicological studies</t>
  </si>
  <si>
    <t>adenylate energy charge; ATP/ADP; adenylate kinase; modelization; ecotoxicology; cadmium; PCB</t>
  </si>
  <si>
    <t>ADENINE-NUCLEOTIDE MEASUREMENTS; NUCLEAR-MAGNETIC-RESONANCE; PALAEMON-SERRATUS; P-31 NMR; MUSCLE; METABOLISM; EXERCISE; STRESS; CADMIUM</t>
  </si>
  <si>
    <t>The coordinated variations of the adenylate energy charge and ATP/ADP ratio were modeled and a function that depends on the numerical value of the adenylate kinase-catalyzed reaction has been derived. The model allows sensitive detection of the effects of xenobiotics on adenylate kinase and its cellular environment and offers a robust estimation of the direct or indirect effects of pollutants on the adenylate kinase system: data obtained in laboratory studies on shrimp exposed to cadmium and in field studies on oysters either exposed to polychloro-biphenyl compounds or located in a heavily polluted area indicate that xenobiotics affect the adenylate kinase reaction directly or by changing its cellular environment. These results demonstrate that application of the model to the treatment of ecotoxicological data allows detection of energetic changes that would have been missed by simple analysis of the usual energetic parameters, and should overcome problems encountered in using energetic parameters during assessment of pollution monitoring. (C) 2000 Academic Press.</t>
  </si>
  <si>
    <t>Coll France, Museum Nat Hist, Stn Marine, F-29182 Concarneau, France; INETI, P-1699 Lisbon, Portugal; Univ Gdansk, Biol Stn, PL-80680 Gdansk, Poland</t>
  </si>
  <si>
    <t>Museum National d'Histoire Naturelle (MNHN); Universite PSL; College de France; Fahrenheit Universities; University of Gdansk</t>
  </si>
  <si>
    <t>Thébault, MT (corresponding author), Univ Bretagne Occidentale, UFR Sci &amp; Tech, Lab Biol &amp; Physiol Cellulaire, BP 809, F-29285 Brest, France.</t>
  </si>
  <si>
    <t>Picado, Ana/A-7397-2010</t>
  </si>
  <si>
    <t>Picado, Ana/0000-0001-5866-6137; Skorkowski, Edward Florian/0000-0003-3484-0916</t>
  </si>
  <si>
    <t>ACADEMIC PRESS INC</t>
  </si>
  <si>
    <t>10.1006/eesa.1999.1870</t>
  </si>
  <si>
    <t>http://dx.doi.org/10.1006/eesa.1999.1870</t>
  </si>
  <si>
    <t>313PR</t>
  </si>
  <si>
    <t>WOS:000087008500003</t>
  </si>
  <si>
    <t>Montenegro, D; Gonzalez, MT</t>
  </si>
  <si>
    <t>Montenegro, Diana; Teresa Gonzalez, M.</t>
  </si>
  <si>
    <t>Evaluation of somatic indexes, hematology and liver histopathology of the fish Labrisomus philippii from San Jorge Bay, northern Chile, as associated with environmental stress</t>
  </si>
  <si>
    <t>Labrisomidae; health status; Pacific Ocean; heavy metals</t>
  </si>
  <si>
    <t>MUSSEL PERUMYTILUS-PURPURATUS; FLOUNDER; ANTOFAGASTA; POPULATIONS; BIOMARKER; COPPER</t>
  </si>
  <si>
    <t>The health condition of Labrisomus philippii specimens inhabiting San Jorge Bay (northern Chile) which is characterized by high heavy metal contents was studied. Additionally, heavy metals concentrations in fish livers were determined. Fish were captured through apnea diving, from two sites: Club Yates (CY, n = 26) and El Colorado Beach (EC, n = 33) exposed to high and low levels of anthropogenic activities respectively. Live specimens were transported to the laboratory where macroscopic observations were carried out. Each fish was measured (total length) and weighed (total, liver and gonads weights). Blood samples were obtained from the cardiac region of each specimen. Condition factor (CF), hepatosomatic (HI) and gonadosomatic (GSI) indices, and hematological parameters (counts of lymphocytes, granulocytes ad monocytes) were determined. Fish livers were histologically analyzed. Fish size was not correlated with HI and CF. There were not significant differences in CF and HI between fish sexes. Fish from the CY site showed higher HI and CF. Fish size was positively correlated with the number of lymphocytes, and negatively correlated with granulocytes, whereas there was no correlation between fish size and number of monocytes. The most frequent liver lesions were vacuolar degeneration (62% CY and 30% EC) and steatosis (23% CY and 17% EC); followed by necrosis, autolysis, and fibrosis. Our results suggest that the impairment health of individuals L. philippii in San Jorge Bay, and especially in those specimens living in CY, might be associated with metal pollution.</t>
  </si>
  <si>
    <t>[Montenegro, Diana; Teresa Gonzalez, M.] Univ Antofagasta, Inst Invest Oceanol, Antofagasta, Chile</t>
  </si>
  <si>
    <t>Universidad de Antofagasta</t>
  </si>
  <si>
    <t>Montenegro, D (corresponding author), Univ Antofagasta, Inst Invest Oceanol, Casilla 170, Antofagasta, Chile.</t>
  </si>
  <si>
    <t>dmontenegrov@gmail.com; mtgonzalez@uantof.cl</t>
  </si>
  <si>
    <t>Montenegro, Diana/0000-0002-3778-1627</t>
  </si>
  <si>
    <t>UNIV VALPARAISO, Faculty Marine Sciences and Natural Resources</t>
  </si>
  <si>
    <t>CASILLA 5080 - RENACA, VINA DEL MAR, 00000, CHILE</t>
  </si>
  <si>
    <t>10.4067/S0718-19572012000100009</t>
  </si>
  <si>
    <t>http://dx.doi.org/10.4067/S0718-19572012000100009</t>
  </si>
  <si>
    <t>945AI</t>
  </si>
  <si>
    <t>WOS:000304244800009</t>
  </si>
  <si>
    <t>Falfushynska, HI; Gnatyshyna, LL; Gyori, J; Stoliar, OB</t>
  </si>
  <si>
    <t>Falfushynska, Halina I.; Gnatyshyna, Lesya L.; Gyori, Janos; Stoliar, Oksana B.</t>
  </si>
  <si>
    <t>Metallothioneins, Caspase-3 and Oxidative Stress Responses in the Multi-Marker Study of Freshwater Mussel Inhabiting Sites of Various Human Impact</t>
  </si>
  <si>
    <t>Anodonta anatine; metallothionein; oxidative stress; apoptosis; spontaneous pollution</t>
  </si>
  <si>
    <t>GLUTATHIONE-S-TRANSFERASE; CLAM RUDITAPES-DECUSSATUS; MYTILUS-GALLOPROVINCIALIS; ANODONTA-CYGNEA; SPECTROPHOTOMETRIC METHOD; DIFFERENTIAL EXPRESSION; DREISSENA-POLYMORPHA; SUPEROXIDE DISMUTASE; ANTIOXIDANT ENZYMES; FIELD APPLICATION</t>
  </si>
  <si>
    <t>The aim of the present study was to ascertain whether the metallothioneins (MTs) of freshwater mussels can serve as a biomarker of environmental quality in the spontaneously polluted area. Anodonta anatina mussels from an agricultural site (A), the cooling pond of a nuclear power plant (N) and a forestry as a reference site (F) in Western Ukraine were studied during spring, summer and autumn. Concentrations of copper (Cu), zinc (Zn) and cadmium (Cd) in MTs and in the tissue, MTs protein (MT-SH) level, oxidative stress indices and apoptotic activities were determined in the digestive gland. The three sites were clear distinguished by biomarkers. In the A-group, the specimens, despite higher concentrations of Cu and Zn in the tissue, had low level of MT-SH level (in two seasons) making the metal-keeping function of MTs invalid. MTs-bound metals dropped to about 2.3% of Cu, 0.4% of Zn and 9.1% of Cd in the tissue in autumn in this polluted area. Lower level of glutathione redox-index reflected the oxidative stress in this group. The N-group displayed high levels of MT-bound Cu (corresponding to up to 57.7% of the total tissue metal) and caspase-3 activity (up to 7 times higher than in the reference Fgroup), indicating specific for cooling pond pollution by Cu and thermal effects. In group F, the set of markers showed the characteristic of the reference site. An extremely low redox index of glutathione (RI GSH: 0.45) was observed in the A-group in spring, and high levels of protein carbonyls and TBA-reactive substances in autumn in group N.Hence, multi-marker approach needed to provetoxicityassesments in mussel sexposed byspontaneous and mixed pollution.</t>
  </si>
  <si>
    <t>[Falfushynska, Halina I.; Gnatyshyna, Lesya L.; Stoliar, Oksana B.] Ternopil Natl Pedag Univ, Res Lab Comparat Biochem &amp; Mol Biol, UA-46027 Ternopol, Ukraine; [Falfushynska, Halina I.] Ternopil State Med Univ, Dept Gen Chem, UA-46001 Ternopol, Ukraine; [Gyori, Janos] Balaton Liamol Inst, Dept Zool, Ctr Ecol Res, H-8237 Tihany, Hungary</t>
  </si>
  <si>
    <t>Ministry of Education &amp; Science of Ukraine; Ternopil Volodymyr Hnatiuk National Pedagogical University; I. Horbachevsky Ternopil State Medical University; Hungarian Academy of Sciences; Hungarian Research Network; HUN-REN Centre for Ecological Research</t>
  </si>
  <si>
    <t>Stoliar, OB (corresponding author), Ternopil Natl Pedag Univ, Res Lab Comparat Biochem &amp; Mol Biol, M Kryvonosa Str 2, UA-46027 Ternopol, Ukraine.</t>
  </si>
  <si>
    <t>oksana.stolyar@gmail.com</t>
  </si>
  <si>
    <t>Győri, János/GLT-0318-2022; Gnatyshyna, Lesya/AAA-6868-2021; Stoliar, Oksana/I-7397-2018; Gnatyshyna, Lesya/M-7993-2015; Falfushynska, Halina/B-6518-2015</t>
  </si>
  <si>
    <t>Stoliar, Oksana/0000-0002-8579-2881; Gnatyshyna, Lesya/0000-0002-5205-1585; Falfushynska, Halina/0000-0003-3058-4919</t>
  </si>
  <si>
    <t>Ministry of Education and Science of Ukraine [118B, 125B]; State Agency of Science, Innovation and Informatization of Ukraine [M/13-2009, M/4-2013, M/78-2014]; Ukrainian-Hungarian Project [M/25-2011]; State Fund of Fundamental Research [GF/056/017]; West-Ukrainian BioMedical Research Center</t>
  </si>
  <si>
    <t>Ministry of Education and Science of Ukraine; State Agency of Science, Innovation and Informatization of Ukraine; Ukrainian-Hungarian Project; State Fund of Fundamental Research; West-Ukrainian BioMedical Research Center</t>
  </si>
  <si>
    <t>This work was funded by the Ministry of Education and Science of Ukraine (Research project #118B, #125B) and the State Agency of Science, Innovation and Informatization of Ukraine (Ukrainian-Austrian Projects (#M/13-2009; #M/4-2013, #M/78-2014), Ukrainian-Hungarian Project #M/25-2011) and partly supported by State Fund of Fundamental Research (GF/056/017) and West-Ukrainian BioMedical Research Center. The authors are grateful to Dr. M. Lopes-Lima for the determining of the species of mollusc, Dr. I. Goch and Dr. M. Kasyanchuk for helping in the selection of sites, and to post-graduate student O. Turtafor the technical assistance).</t>
  </si>
  <si>
    <t>10.4194/1303-2712-v14_3_01</t>
  </si>
  <si>
    <t>http://dx.doi.org/10.4194/1303-2712-v14_3_01</t>
  </si>
  <si>
    <t>AZ5WW</t>
  </si>
  <si>
    <t>WOS:000348290200001</t>
  </si>
  <si>
    <t>López-Pedrouso, M; Lorenzo, JM; Varela, Z; Fernández, JA; Franco, D</t>
  </si>
  <si>
    <t>Lopez-Pedrouso, Maria; Lorenzo, Jose M.; Varela, Zulema; Angel Fernandez, J.; Franco, Daniel</t>
  </si>
  <si>
    <t>Finding Biomarkers in Antioxidant Molecular Mechanisms for Ensuring Food Safety of Bivalves Threatened by Marine Pollution</t>
  </si>
  <si>
    <t>ANTIOXIDANTS</t>
  </si>
  <si>
    <t>aquaculture products; emerging pollutants; omic technologies; stress proteins; antioxidant enzymes; oxidative stress</t>
  </si>
  <si>
    <t>MUSSELS MYTILUS-GALLOPROVINCIALIS; PROTEIN EXPRESSION; HUMAN HEALTH; SILVER NANOPARTICLES; METABOLOMIC ANALYSIS; PROTEOMIC RESPONSE; AQUATIC ORGANISMS; METAL POLLUTION; HEAVY-METALS; EXPOSURE</t>
  </si>
  <si>
    <t>Aquaculture production as an important source of protein for our diet is sure to continue in the coming years. However, marine pollution will also likely give rise to serious problems for the food safety of molluscs. Seafood is widely recognized for its high nutritional value in our diet, leading to major health benefits. However, the threat of marine pollution including heavy metals, persistent organic pollutants and other emerging pollutants is of ever-growing importance and seafood safety may not be guaranteed. New approaches for the search of biomarkers would help us to monitor pollutants and move towards a more global point of view; protocols for the aquaculture industry would also be improved. Rapid and accurate detection of food safety problems in bivalves could be carried out easily by protein biomarkers. Hence, proteomic technologies could be considered as a useful tool for the discovery of protein biomarkers as a first step to improve the protocols of seafood safety. It has been demonstrated that marine pollutants are altering the bivalve proteome, affecting many biological processes and molecular functions. The main response mechanism of bivalves in a polluted marine environment is based on the antioxidant defense system against oxidative stress. All these proteomic data provided from the literature suggest that alterations in oxidative stress due to marine pollution are closely linked to robust and confident biomarkers for seafood safety.</t>
  </si>
  <si>
    <t>[Lopez-Pedrouso, Maria] Univ Santiago de Compostela, Dept Zooloxia Xenet &amp; Antropoloxia Fis, Santiago De Compostela 15872, Spain; [Lorenzo, Jose M.; Franco, Daniel] Ctr Tecnolox Carne Galicia, Rua Galicia 4,Parque Tecnolox Galicia, San Cibrao Das Vinas 32900, Ourense, Spain; [Lorenzo, Jose M.] Univ Vigo, Fac Ciencias, Area Tecnoloxia Alimentos, Orense 32004, Spain; [Varela, Zulema; Angel Fernandez, J.] Univ Santiago de Compostela, Dept Funct Biol, Ecol Unit, CRETUS, Santiago De Compostela 15872, Spain</t>
  </si>
  <si>
    <t>Universidade de Santiago de Compostela; Universidade de Vigo; Universidade de Santiago de Compostela</t>
  </si>
  <si>
    <t>Franco, D (corresponding author), Ctr Tecnolox Carne Galicia, Rua Galicia 4,Parque Tecnolox Galicia, San Cibrao Das Vinas 32900, Ourense, Spain.</t>
  </si>
  <si>
    <t>mariadolores.lopez@usc.es; jmlorenzo@ceteca.net; zulema.varela@usc.es; jangel.fernandez@usc.es; danielfranco@ceteca.net</t>
  </si>
  <si>
    <t>Varela, Zulema/A-4025-2017; Fernandez Escribano, Jose Angel/A-6695-2012; Lorenzo Rodriguez, Jose Manuel/K-6375-2014</t>
  </si>
  <si>
    <t>Varela, Zulema/0000-0002-4751-7686; Fernandez Escribano, Jose Angel/0000-0002-7629-6106; Lopez-Pedrouso, Maria/0000-0003-1260-3485; Lorenzo Rodriguez, Jose Manuel/0000-0002-7725-9294; Franco, Daniel/0000-0002-0093-7042</t>
  </si>
  <si>
    <t>FunMeat (Axencia Galega de Innovacion) [GAIN-IN607A2019/01]; CYTED [119RT0568]</t>
  </si>
  <si>
    <t>FunMeat (Axencia Galega de Innovacion); CYTED</t>
  </si>
  <si>
    <t>Jose M. Lorenzo and Daniel Franco belong to the competitive reference research group, FunMeat (Axencia Galega de Innovacion, GAIN-IN607A2019/01) and they are members of the HealthyMeat network, funded by CYTED (Ref. 119RT0568).</t>
  </si>
  <si>
    <t>2076-3921</t>
  </si>
  <si>
    <t>ANTIOXIDANTS-BASEL</t>
  </si>
  <si>
    <t>Antioxidants</t>
  </si>
  <si>
    <t>10.3390/antiox11020369</t>
  </si>
  <si>
    <t>http://dx.doi.org/10.3390/antiox11020369</t>
  </si>
  <si>
    <t>Biochemistry &amp; Molecular Biology; Chemistry, Medicinal; Food Science &amp; Technology</t>
  </si>
  <si>
    <t>Biochemistry &amp; Molecular Biology; Pharmacology &amp; Pharmacy; Food Science &amp; Technology</t>
  </si>
  <si>
    <t>0G6KY</t>
  </si>
  <si>
    <t>WOS:000778152900001</t>
  </si>
  <si>
    <t>Turner, A; Barrett, M; Brown, MT</t>
  </si>
  <si>
    <t>Turner, Andrew; Barrett, Mark; Brown, Murray T.</t>
  </si>
  <si>
    <t>Processing of antifouling paint particles by Mytilus edulis</t>
  </si>
  <si>
    <t>Antifouling paint; Particles; Mytilus edulis; Copper; Zinc</t>
  </si>
  <si>
    <t>COPPER; BIOAVAILABILITY; IMPACTS; DIGESTION</t>
  </si>
  <si>
    <t>Particles of spent antifouling paint collected from a marine boatyard were ground and subsequently administered to the filter-feeding bivalve, Mytilus edulis, maintained in static aquaria. Concentrations of Cu and Zn were measured in seawater throughout a 16 h feeding phase and a 24 h depuration phase, in rejected and egested particles collected during the respective phases, and in the organisms themselves at the end of the experiments. Concentrations and distributions of Cu and Zn in processed particles indicated that M. edulis was able to ingest paint particles, regardless of whether nutritionally viable silt was present, and no mechanism of particle discrimination was evident. Enrichment of Cu and Zn in the visceral mass of individuals and in the aqueous phase during depuration supported these assertions, although elevated concentrations in other compartments of the organism (e.g. shell, gill) suggested that biotic and abiotic uptake of aqueous metal was also important. (c) 2008 Elsevier Ltd. All rights reserved.</t>
  </si>
  <si>
    <t>[Turner, Andrew; Barrett, Mark] Univ Plymouth, Sch Earth Ocean &amp; Environm Sci, Plymouth PL4 8AA, Devon, England; [Brown, Murray T.] Univ Plymouth, Sch Biol Sci, Plymouth PL4 8AA, Devon, England</t>
  </si>
  <si>
    <t>University of Plymouth; University of Plymouth</t>
  </si>
  <si>
    <t>Turner, A (corresponding author), Univ Plymouth, Sch Earth Ocean &amp; Environm Sci, Drake Circus, Plymouth PL4 8AA, Devon, England.</t>
  </si>
  <si>
    <t>aturner@plymouth.ac.uk</t>
  </si>
  <si>
    <t>Turner, Andrew/AAI-8829-2020; Brown, Murray/K-5291-2014</t>
  </si>
  <si>
    <t>Brown, Murray/0000-0003-2655-8611</t>
  </si>
  <si>
    <t>10.1016/j.envpol.2008.07.001</t>
  </si>
  <si>
    <t>http://dx.doi.org/10.1016/j.envpol.2008.07.001</t>
  </si>
  <si>
    <t>387HH</t>
  </si>
  <si>
    <t>WOS:000261941800030</t>
  </si>
  <si>
    <t>Imbert-Auvray, N; Fichet, D; Bodet, PE; Ory, P; Sabot, R; Refait, P; Graber, M</t>
  </si>
  <si>
    <t>Imbert-Auvray, Nathalie; Fichet, Denis; Bodet, Pierre-Edouard; Ory, Pascaline; Sabot, Rene; Refait, Philippe; Graber, Marianne</t>
  </si>
  <si>
    <t>Metabolomics-Based Investigation on the Metabolic Changes in Crassostrea gigas Experimentally Exposed to Galvanic Anodes</t>
  </si>
  <si>
    <t>metabolomics; oysters; corrosion products modelling; sacrificial galvanic anode; zinc; aluminum; biological effects; bioaccumulation</t>
  </si>
  <si>
    <t>SACRIFICIAL ANODE; PACIFIC OYSTER; MIMACHLAMYS-VARIA; METAL POLLUTION; ZINC; BIOACCUMULATION; CORROSION; RESPONSES; ALUMINUM; IMPACT</t>
  </si>
  <si>
    <t>Cathodic protection is widely used to protect metal structures from corrosion in marine environments using sacrificial galvanic anodes. These anodes, either in Zinc, or preferentially nowadays in Al-Zn-In alloys, are expected to corrode instead of the metal structures. This leads to the release of dissolved species, Zn2+, Al3+, and In3+, and solid phases such as Al(OH)(3). Few studies have been conducted on their effects on marine organisms, and they concluded that further investigations are needed. We therefore evaluated the effects of Zn and Al-Zn-In anodes on oysters stabulated in tanks, under controlled conditions defined through a comparison with those prevailing in a given commercial seaport used as reference. We analyzed the entire metabolome of gills with a non-targeted metabolomic approach HRMS. A modelling study of the chemical species, corresponding to the degradation products of the anodes, likely to be present near the exposed oysters, was also included. We identified 16 and two metabolites modulated by Zn- and Al-Zn-In-anodes, respectively, that were involved in energy metabolism, osmoregulation, oxidative stress, lipid, nucleotide nucleoside and amino acid metabolisms, defense and signaling pathways. The combination of chemical modelling and metabolomic approach, used here for the first time, enlightened the influence of Zn present in the Al-Zn-In anodes.</t>
  </si>
  <si>
    <t>[Imbert-Auvray, Nathalie; Fichet, Denis; Bodet, Pierre-Edouard; Ory, Pascaline; Graber, Marianne] La Rochelle Univ, UMR 7266 LIENSs, CNRS, 2 Rue Olympe Gouges, F-17000 La Rochelle, France; [Sabot, Rene; Refait, Philippe] La Rochelle Univ, UMR 7356 LaSIE, CNRS, Ave Michel Crepeau, F-17042 La Rochelle, France</t>
  </si>
  <si>
    <t>Centre National de la Recherche Scientifique (CNRS); CNRS - Institute of Ecology &amp; Environment (INEE); Centre National de la Recherche Scientifique (CNRS)</t>
  </si>
  <si>
    <t>Graber, M (corresponding author), La Rochelle Univ, UMR 7266 LIENSs, CNRS, 2 Rue Olympe Gouges, F-17000 La Rochelle, France.;Refait, P (corresponding author), La Rochelle Univ, UMR 7356 LaSIE, CNRS, Ave Michel Crepeau, F-17042 La Rochelle, France.</t>
  </si>
  <si>
    <t>nathalie.imbert@univ-lr.fr; denis.fichet@univ-lr.fr; pierreedouard.bodet@univ-lr.fr; pascaline.ory01@univ-lr.fr; rene.sabot@univ-lr.fr; philippe.refait@univ-lr.fr; marianne.graber@univ-lr.fr</t>
  </si>
  <si>
    <t>Imbert'Auvray, Nathalie/KEI-2926-2024; Graber, Marianne/O-1702-2014</t>
  </si>
  <si>
    <t>Bodet, Pierre-Edouard/0000-0003-1904-4823; Graber, Marianne/0000-0002-5696-2407; IMBERT AUVRAY, NATHALIE/0000-0003-0445-335X</t>
  </si>
  <si>
    <t>PORT ATLANTIQUE LA ROCHELLE, Research Program MA5-Port Horizon 2025</t>
  </si>
  <si>
    <t>This research was funded by PORT ATLANTIQUE LA ROCHELLE, Research Program MA5-Port Horizon 2025.</t>
  </si>
  <si>
    <t>10.3390/metabo13070869</t>
  </si>
  <si>
    <t>http://dx.doi.org/10.3390/metabo13070869</t>
  </si>
  <si>
    <t>N7NX5</t>
  </si>
  <si>
    <t>WOS:001038846400001</t>
  </si>
  <si>
    <t>Beiras, R; Bellas, J; Fernández, N; Lorenzo, JI; Cobelo-García, A</t>
  </si>
  <si>
    <t>Assessment of coastal marine pollution in Galicia (NW Iberian Peninsula);: metal concentrations in seawater, sediments and mussels (Mytilus galloprovincialis) versus embryo-larval bioassays using Paracentrotus lividus and Ciona intestinalis</t>
  </si>
  <si>
    <t>galician rias; Paracentrotus lividus; Ciona intestinalis; Mytilus galloprovincialis; biomonitoring; embryos; bioassay; heavy metals</t>
  </si>
  <si>
    <t>DISSOLVED TRACE-METALS; SCHELDT ESTUARY; TOXICITY TESTS; QUALITY; COPPER; MERCURY; BAY; CD; CU; GEOCHEMISTRY</t>
  </si>
  <si>
    <t>Sediments from three Galician Rias were tested for toxicity using sea-urchin and ascidian sediment elutriate embryo-larval bioassays. Trace metal contents in seawater, sediments and mussels were also determined and subjected to multidimensional scaling methods which grouped stations according to chemical contamination. High metal contents were found in seawater, sediments and mussels from the Ria of Pontevedra, and moderate levels were detected in the Ria of Vigo and Ria of Arousa. The results revealed that samples assessed as toxic, according to the sea-urchin and ascidian embryo-larval bioassays, were among the most polluted by trace metals. A good agreement was reported between ordination plots resulting from applying multidimensional scaling to the chemical data, and the results of the biological endpoints tested. (C) 2003 Elsevier Science Ltd. All rights reserved.</t>
  </si>
  <si>
    <t>Univ Vigo, Dept Ecol &amp; Biol Anim, Lab Ecol Marina, E-36200 Vigo, Galicia, Spain; CSIC, Inst Invest Marinas, E-36208 Vigo, Galicia, Spain</t>
  </si>
  <si>
    <t>Universidade de Vigo; Consejo Superior de Investigaciones Cientificas (CSIC); CSIC - Instituto de Investigaciones Marinas (IIM)</t>
  </si>
  <si>
    <t>Univ Vigo, Dept Ecol &amp; Biol Anim, Lab Ecol Marina, Campus Lagoas Marcosende, E-36200 Vigo, Galicia, Spain.</t>
  </si>
  <si>
    <t>rbeiras@uvigo.es</t>
  </si>
  <si>
    <t>Beiras, Ricardo/M-1680-2019; Fernández, Nuria/O-3345-2014; Cobelo-Garcia, Antonio/A-8389-2008; Bellas, Juan/N-1594-2015</t>
  </si>
  <si>
    <t>Fernandez, Nuria/0000-0002-3102-9696; Cobelo-Garcia, Antonio/0000-0003-0510-678X; Beiras, Ricardo/0000-0002-1010-2647; Bellas, Juan/0000-0001-6179-8528</t>
  </si>
  <si>
    <t>10.1016/S0141-1136(03)00042-4</t>
  </si>
  <si>
    <t>http://dx.doi.org/10.1016/S0141-1136(03)00042-4</t>
  </si>
  <si>
    <t>705KM</t>
  </si>
  <si>
    <t>WOS:000184394300005</t>
  </si>
  <si>
    <t>Cunha, M; Cruz, I; Benito, D; Ruiz, P; Pereira, E; Izagirre, U; Freitas, R</t>
  </si>
  <si>
    <t>Cunha, Marta; Cruz, Iara; Benito, Denis; Ruiz, Pamela; Pereira, Eduarda; Izagirre, Urtzi; Freitas, Rosa</t>
  </si>
  <si>
    <t>The influence of temperature on the effects of lead and lithium in Mytilus galloprovincialis through biochemical, cell and tissue levels: Comparison between mono and multi-element exposures</t>
  </si>
  <si>
    <t>Multiple stressors; Warming; Metals; Oxidative stress; Lysosomal membrane stability; Integrated biomarker response</t>
  </si>
  <si>
    <t>OXIDATIVE STRESS; BIOCONCENTRATION FACTOR; HAZARD ASSESSMENT; THERMAL-STRESS; MARINE MUSSELS; CLIMATE-CHANGE; HEAVY-METALS; TRACE-METAL; BIOMARKERS; TOXICITY</t>
  </si>
  <si>
    <t>Lead (Pb) and lithium (Li) are metals which have been detected in the environment and, at high concentrations, can induce toxic effects that disturb the growth, metabolism or reproduction of organisms along the entire trophic chain. The impacts of these metals have scarcely been investigated using marine bivalves, especially when acting as a mixture. The present study aimed to investigate the influence of temperature on the ecotoxicological effects caused by Pb and Li, acting alone and as a mixture, on the mussel species Mytilus galloprovincialis after 28 days of exposure. The impacts were evaluated under actual (17 degrees C) and projected (+4 degrees C) warming conditions, to understand the influence of temperature rise on the effects of the metals (both acting alone or as a mixture). The results obtained showed that the increased temperature did not influence the accumulation of metals. However, the biomarkers evaluated showed greater responses in mussels that are exposed to metals under increased temperature (21 degrees C). The IBR index showed that there is a comparable toxic effect of Li and Pb separately, while exposure to a mixture of both pollutants causes a significantly higher stress response. Overall, the results obtained revealed that temperature may cause extra stress on the mussels and exposure to the metal mixture caused the greatest impacts compared to each metal acting alone.</t>
  </si>
  <si>
    <t>[Cunha, Marta; Cruz, Iara; Freitas, Rosa] Univ Aveiro, Dept Biol, P-3810193 Aveiro, Portugal; [Freitas, Rosa] Univ Aveiro, Ctr Environm &amp; Marine Studies CESAM, P-3810193 Aveiro, Portugal; [Pereira, Eduarda] Univ Aveiro, Dept Chem, P-3810193 Aveiro, Portugal; [Pereira, Eduarda] Univ Aveiro, Associated Lab Green Chem, LAQV REQUIMTE, P-3810193 Aveiro, Portugal; [Benito, Denis; Ruiz, Pamela; Izagirre, Urtzi] Univ Basque Country UPV EHU, Fac Sci &amp; Technol, Dept Zool &amp; Anim Cell Biol, BCTA Res Grp, Sarriena auzoa z-g, E-48940 Leioa Bizkaia, Basque Country, Spain; [Benito, Denis; Ruiz, Pamela; Izagirre, Urtzi] Univ Basque Country UPV EHU, Res Ctr Expt Marine Biol &amp; Biotechnol PiE UPV EHU, Areatza z-g, E-48620 Plentzia Bizkaia, Basque Country, Spain</t>
  </si>
  <si>
    <t>Universidade de Aveiro; Universidade de Aveiro; Universidade de Aveiro; Universidade de Aveiro; University of Basque Country; University of Basque Country</t>
  </si>
  <si>
    <t>Freitas, R (corresponding author), Univ Aveiro, Dept Biol, P-3810193 Aveiro, Portugal.</t>
  </si>
  <si>
    <t>Benito, Denis/IXW-5881-2023; Ruiz, Pamela/AAG-7154-2021; Pereira, Eduarda/A-5907-2012; Freitas, Rosa/A-7539-2012; Cunha, Marta/AEQ-4455-2022; Izagirre, Urtzi/C-3848-2017</t>
  </si>
  <si>
    <t>BENITO FERNANDEZ, DENIS/0000-0002-2623-3983; Cunha, Marta/0000-0003-0173-4447; Izagirre, Urtzi/0000-0002-3477-4974; Ruiz, Pamela/0000-0002-7285-0202; Pinto, Joao/0000-0002-6175-2906</t>
  </si>
  <si>
    <t>REQUIMTE [UIDP/50017/2020 + UIDB/50017/2020 + LA/P/0094/2020]; CESAM [2020.05323]; Portuguese Science Foundation (Fundacao para a Ciencia e a Tecnologia, FCT); [UIDB/50006/2020]</t>
  </si>
  <si>
    <t>REQUIMTE; CESAM; Portuguese Science Foundation (Fundacao para a Ciencia e a Tecnologia, FCT)(Fundacao para a Ciencia e a Tecnologia (FCT));</t>
  </si>
  <si>
    <t>Thanks are due for financial support to REQUIMTE (UIDB/50006/2020) and CESAM (UIDP/50017/2020 + UIDB/50017/2020 + LA/P/0094/2020) . Joao &amp; nbsp;&amp; nbsp;Pinto acknowledges the Portuguese Science Foundation (Fundacao para a Ciencia e a Tecnologia, FCT) for his Ph.D. grant (2020.05323) .</t>
  </si>
  <si>
    <t>10.1016/j.scitotenv.2023.165786</t>
  </si>
  <si>
    <t>http://dx.doi.org/10.1016/j.scitotenv.2023.165786</t>
  </si>
  <si>
    <t>Q5PI2</t>
  </si>
  <si>
    <t>WOS:001058037300001</t>
  </si>
  <si>
    <t>Rank, J</t>
  </si>
  <si>
    <t>Rank, Jette</t>
  </si>
  <si>
    <t>Intersex in Littorina littorea and DNA damage in Mytilus edulis as indicators of harbour pollution</t>
  </si>
  <si>
    <t>Littorina littorea; Intersex; Mytilus edulis; DNA damage; Comet assay; Butyltin compounds; Heavy metals; PCBs; PAHs</t>
  </si>
  <si>
    <t>MAP ORGANOTIN CONTAMINATION; COASTAL ENVIRONMENT; HEAVY-METALS; BLUE MUSSELS; COMET ASSAY; SCHELDT ESTUARY; MARINE MOLLUSKS; HONG-KONG; SEDIMENTS; GENOTOXICITY</t>
  </si>
  <si>
    <t>Intersex in snails (Littorina littorea) and DNA damage in blue mussels (Mytilus edulis) were analysed to assess how these bio-indicators reflected the level of chemical contamination at two sites in a highly contaminated harbour in Denmark. The comet assay using mussel gill cells was an indicator of exposure to genotoxic chemicals, and the intersex index (ISI) observed in snails was an indicator of exposure to butyltin (BT) compounds. Biota and sediments were analysed for heavy metals (Cd, Cu, Pb and Zn), butyltin compounds (TBT, DBT and MBT), nine PCB congeners and 19 PAH compounds. The biological effects were found to reflect the levels of the chemicals, and it was concluded that intersex in L. littorea and DNA damage in M. edulis can be used as bio-indicators of harbour pollution. (c) 2009 Elsevier Inc. All rights reserved.</t>
  </si>
  <si>
    <t>Roskilde Univ, Dept Environm Social &amp; Spatial Change, ENSPAC, DK-4000 Roskilde, Denmark</t>
  </si>
  <si>
    <t>Rank, J (corresponding author), Roskilde Univ, Dept Environm Social &amp; Spatial Change, ENSPAC, Univ Vej 1, DK-4000 Roskilde, Denmark.</t>
  </si>
  <si>
    <t>Department of Environment, Technology and Social Studies, Roskilde University</t>
  </si>
  <si>
    <t>The author would like to thank the following for excellent technical assistance: Mette Hviid Nielsen (intersex analysis), Lykke Enoe (AAS) and Klara Jensen (comet assay). The study was kindly supported by the Department of Environment, Technology and Social Studies, Roskilde University.</t>
  </si>
  <si>
    <t>10.1016/j.ecoenv.2008.12.008</t>
  </si>
  <si>
    <t>http://dx.doi.org/10.1016/j.ecoenv.2008.12.008</t>
  </si>
  <si>
    <t>441KO</t>
  </si>
  <si>
    <t>WOS:000265767900036</t>
  </si>
  <si>
    <t>Giuliani, ME; Filippini, G; Nardi, A</t>
  </si>
  <si>
    <t>Giuliani, Maria Elisa; Filippini, Giulia; Nardi, Alessandro</t>
  </si>
  <si>
    <t>Season specific influence of projected ocean changes on the response to cadmium of stress-related genes in Mytilus galloprovincialis</t>
  </si>
  <si>
    <t>Mytilus galloprovincialis; Ocean acidification; Global warming; Metal contamination; Molecular biomarkers; Oxidative stress</t>
  </si>
  <si>
    <t>BIVALVES CRASSOSTREA-VIRGINICA; OXIDATIVE STRESS; CLIMATE-CHANGE; HEAT-SHOCK; ADAMUSSIUM-COLBECKI; TRACE-METALS; ACIDIFICATION; BIOMARKERS; ANTIOXIDANT; EXPRESSION</t>
  </si>
  <si>
    <t>Anthropogenic inputs of carbon dioxide in the atmosphere are driving ocean warming and acidification. The potential threat represented by these changes for marine species could be amplified in coastal areas, characterized by higher levels of pollutants. In addition, temperate organisms may exhibit a different seasonal tolerance to stressors influenced by fluctuations of environmental and physiological factors. In this study, Mediterranean mussels Mytilus galloprovincialis collected both in summer and winter were exposed to combinations of two temperatures (SST, seasonal surface temperature and SST+5 degrees C) and two levels of pH (8.20 and 7.40) in clean or cadmium contaminated seawater (20 mu g/L Cd). mRNA levels of genes related to metal-induced stress response were investigated, including metallothionein mt-20, heat-shock protein hsp70, superoxide dismutase Cu/Zn-sod, catalase cat, glutathione peroxidase gpx1 and glutathione S-transferase gst-pi. To further elucidate if tissues with different physiological roles could exhibit different responsiveness, such analyses were carried out in digestive gland and in gills of exposed mussels. mt-20 mRNA increase after Cd-exposure was higher in the digestive gland than in the gills, with few modulations by temperature or pH only in the latter. Acidification, alone or in combination with other stressors, increased hsp70 mRNA, with seasonaland tissue-specificities (higher in summer and in digestive gland). Among antioxidants, gpx1 mRNA was affected by Cd in both tissues and seasons, with further modulations due to pH and temperature variation tissueand season-specific; in winter the combination of Cd, warming and acidification affected Cu/Zn-sod both in digestive gland and gills and cat only in gills, while weak seasonal variations were observed for gst-pi transcripts only in digestive gland. The overall results highlighted the importance of considering seasonality and responsiveness of different tissues to predict the effects of sudden changes in environmental parameters on responsiveness to and toxicity of chemicals in marine coastal organisms.</t>
  </si>
  <si>
    <t>[Giuliani, Maria Elisa; Nardi, Alessandro] Univ Politecn Marche, Dipartimento Sci Vita &amp; Ambiente DiSVA, Via Brecce Bianche, I-60131 Ancona, Italy; [Filippini, Giulia] Macquarie Univ, Dept Environm Sci, N Ryde, NSW 2109, Australia</t>
  </si>
  <si>
    <t>Marche Polytechnic University; Macquarie University</t>
  </si>
  <si>
    <t>Nardi, A (corresponding author), Univ Politecn Marche, Dipartimento Sci Vita &amp; Ambiente DiSVA, Via Brecce Bianche, I-60131 Ancona, Italy.</t>
  </si>
  <si>
    <t>a.nardi@univpm.it</t>
  </si>
  <si>
    <t>Nardi, Alessandro/AAH-1535-2021; Filippini, Giulia/JMC-2015-2023; Giuliani, Maria Elisa/K-5369-2016</t>
  </si>
  <si>
    <t>Giuliani, Maria Elisa/0000-0002-7487-5171; Nardi, Alessandro/0000-0002-9978-1411; Filippini, Giulia/0000-0001-9142-5888</t>
  </si>
  <si>
    <t>10.1016/j.marenvres.2020.105091</t>
  </si>
  <si>
    <t>http://dx.doi.org/10.1016/j.marenvres.2020.105091</t>
  </si>
  <si>
    <t>OU1AH</t>
  </si>
  <si>
    <t>WOS:000591267200007</t>
  </si>
  <si>
    <t>Morais, T; Moleiro, P; Leite, C; Coppola, F; Pinto, J; Henriques, B; Soares, AMVM; Pereira, E; Freitas, R</t>
  </si>
  <si>
    <t>Morais, Tiago; Moleiro, Pedro; Leite, Carla; Coppola, Francesca; Pinto, Joao; Henriques, Bruno; Soares, Amadeu M. V. M.; Pereira, Eduarda; Freitas, Rosa</t>
  </si>
  <si>
    <t>11) Check for epdetes Ecotoxicological impacts of metals in single and co-exposure on mussels: Comparison of observable and predicted results</t>
  </si>
  <si>
    <t>Metal contamination; Bivalves; Metabolism; Oxidative stress; Mixtures; Independent action model</t>
  </si>
  <si>
    <t>INVERTEBRATES MYTILUS-GALLOPROVINCIALIS; GOLDFISH CARASSIUS-AURATUS; OXIDATIVE STRESS; HEAVY-METALS; BIOCHEMICAL RESPONSES; COASTAL AREAS; COBALT IONS; MERCURY; BIOMARKERS; TOXICITY</t>
  </si>
  <si>
    <t>Used in high-tech and everyday products, mercury (Hg), cobalt (Co), and nickel (Ni) are known to be persistent and potentially toxic elements that pose a serious threat to the most vulnerable ecosystems. Despite being on the Priority Hazardous Substances List, existing studies have only assessed the individual toxicity of Co, Ni and Hg in aquatic or-ganisms, with a focus on the latter, ignoring potential synergistic effects that may occur in real-world contamination scenarios. The present study evaluated the responses of the mussel Mytilus galloprovincialis, recognized as a good bioindicator of pollution, after exposure to Hg (25 mu g/L), Co (200 mu g/L) and Ni (200 mu g/L) individually, and to the mixture of the three metals at the same concentration. The exposure lasted 28 days at 17 +/- 1 degrees C, after which metal accumulation and a set of biomarkers related to organisms' metabolic capacity and oxidative status were measured. The results showed that the mussels could accumulate metals in both single-and co-exposure conditions (bioconcentration factors between 115 and 808) and that exposure to metals induced the activation of antioxidant en-zymes. Although Hg concentration in organisms in the mixture decreased significantly compared to single exposure (9.4 +/- 0.8 vs 21 +/- 0.7 mg/kg), the negative effects increased in the mixture of the three elements, resulting in deple-tion of energy reserves, activation of antioxidants and detoxification enzymes, and cellular damage, with a hormesis response pattern. This study underscores the importance of risk assessment studies that include the effects of the com-bination of pollutants and demonstrates the limitations of applying models to predict metal mixture toxicity, especially when a hormesis response is given by the organisms.</t>
  </si>
  <si>
    <t>[Morais, Tiago; Moleiro, Pedro] Univ Aveiro, Dept Quim, P-3810193 Aveiro, Portugal; [Leite, Carla; Coppola, Francesca; Soares, Amadeu M. V. M.; Freitas, Rosa] Univ Aveiro, Dept Biol, P-3810193 Aveiro, Portugal; [Leite, Carla; Coppola, Francesca; Soares, Amadeu M. V. M.; Freitas, Rosa] Univ Aveiro, CESAM, P-3810193 Aveiro, Portugal; [Pinto, Joao; Henriques, Bruno; Pereira, Eduarda] Univ Aveiro, Dept Quim, P-3810193 Aveiro, Portugal; [Pinto, Joao; Henriques, Bruno; Pereira, Eduarda] Univ Aveiro, LAQV REQUIMTE, P-3810193 Aveiro, Portugal</t>
  </si>
  <si>
    <t>Coppola, Francesca/U-8869-2018; Henriques, Bruno/B-6258-2017; Freitas, Rosa/A-7539-2012; Pinto, João/ABF-8890-2021; Moleiro, Pedro/AAV-6785-2020; Pereira, Eduarda/A-5907-2012; Soares, Amadeu/A-8304-2008; Leite, Carla/F-1683-2019</t>
  </si>
  <si>
    <t>Coppola, Francesca/0000-0002-7039-9630; Soares, Amadeu/0000-0003-0879-9470; Moleiro, Pedro/0000-0002-7037-8952; Leite, Carla/0000-0001-8579-293X; Pinto, Joao/0000-0002-6175-2906; Morais, Tiago/0000-0002-6041-1931</t>
  </si>
  <si>
    <t>REQUIMTE [UIDB/50006/2020]; CESAM [UIDP/50017/2020, UIDB/50017/2020, LA/P/0094/2020]; FCT [CEECIND/03511/2018]; National Funds through the Portuguese Science Foundation (Fundacao para a Ciencia e a Tecnologia, FCT) [2020.05296.BD, 2020.05323.BD, SFRH/BD/118582/2016]; Swedish Research Council [2020-05323] Funding Source: Swedish Research Council</t>
  </si>
  <si>
    <t>REQUIMTE; CESAM; FCT(Fundacao para a Ciencia e a Tecnologia (FCT)); National Funds through the Portuguese Science Foundation (Fundacao para a Ciencia e a Tecnologia, FCT); Swedish Research Council(Swedish Research Council)</t>
  </si>
  <si>
    <t>Thanks are due for financial support to REQUIMTE (UIDB/50006/2020) and CESAM (UIDP/50017/2020+UIDB/50017/2020+LA/P/0094/2020) . Bruno Henriques acknowledges FCT for the research contract (CEECIND/03511/2018) under the CEEC Individual 2018. Carla Leite, Joao Pinto and Francesca Coppola acknowledge their Ph.D. grant (2020.05296.BD, 2020.05323.BD and SFRH/BD/118582/2016 respectively) by the National Funds through the Portuguese Science Foundation (Fundacao para a Ciencia e a Tecnologia, FCT) .</t>
  </si>
  <si>
    <t>JUL 10</t>
  </si>
  <si>
    <t>10.1016/j.scitotenv.2023.163165</t>
  </si>
  <si>
    <t>http://dx.doi.org/10.1016/j.scitotenv.2023.163165</t>
  </si>
  <si>
    <t>F9CV6</t>
  </si>
  <si>
    <t>WOS:000985262200001</t>
  </si>
  <si>
    <t>Eliodório, KP; Pereira, GJ; Morandim-Giannetti, AD</t>
  </si>
  <si>
    <t>Eliodorio, Kevy Pontes; Pereira, Gilberto Jose; de Araujo Morandim-Giannetti, Andreia</t>
  </si>
  <si>
    <t>Functionalized chitosan with butylammonium ionic liquids for removal of Cr(VI) from aqueous solution</t>
  </si>
  <si>
    <t>JOURNAL OF APPLIED POLYMER SCIENCE</t>
  </si>
  <si>
    <t>adsorption; applications; biodegradable; biomaterials; biopolymers and renewable polymers</t>
  </si>
  <si>
    <t>MUSSEL INSPIRED CHEMISTRY; FACILE PREPARATION; HEXAVALENT CHROMIUM; EFFICIENT REMOVAL; CARBON NANOTUBES; HEAVY-METALS; CR VI; ADSORPTION; COMBINATION; COMPOSITE</t>
  </si>
  <si>
    <t>Environmental pollution by heavy metals is currently a problem of great concern for human health. In this context, this study aims to contribute with the synthesis and characterization of chitosan functionalized with three different ionic liquids (n-butylammonium acetate,sec-butylammonium acetate, andtert-butylammonium acetate) followed by its application in hexavalent chromium effluent treatment. The adsorbents synthesized (ChN, ChS, and ChT) were characterized by SEM, EDS, FTIR, BET, RDD, PSD, and XRD techniques. Afterward, the influences of temperature, contact time, and pH on the Cr(VI) adsorption process were evaluated. The solution with pH 3 displayed the highest adsorption capacities (107.31, 104.60, and 107.97 mg.g(-1)for ChN, ChS, and ChT, respectively). The kinetic data were better adjusted to the Weber-Morris kinetic model with an ideal time of 2 h. Furthermore, the influence of temperature was evaluated using the Freundlich and Langmuir isotherms, with maximum capacities of 142.05 (ChN), 131.58 (ChS), and 146.63 mg.g(-1)(ChT). The adsorbent displayed enhanced adsorption properties in comparison with raw chitosan by an intensification of the electrostatic interaction between amino groups and hexavalent chromium. Finally, the reusability was investigated, and significant results were observed (84.33 +/- 4.87%) in the adsorption process after 4 cycles.</t>
  </si>
  <si>
    <t>[Eliodorio, Kevy Pontes; de Araujo Morandim-Giannetti, Andreia] Ctr Univ FEI, Dept Chem Engn, Av Humberto Alencar Castelo Branco 3972, BR-09850901 Sao Paulo, Brazil; [Pereira, Gilberto Jose] Ctr Univ FEI, Dept Mat Engn, Sao Paulo, Brazil</t>
  </si>
  <si>
    <t>Centro Universitario da FEI; Centro Universitario da FEI</t>
  </si>
  <si>
    <t>Morandim-Giannetti, AD (corresponding author), Ctr Univ FEI, Dept Chem Engn, Av Humberto Alencar Castelo Branco 3972, BR-09850901 Sao Paulo, Brazil.</t>
  </si>
  <si>
    <t>preamorandim@fei.edu.br</t>
  </si>
  <si>
    <t>Coordenacao de Aperfeicoamento de Pessoal de Nivel Superior</t>
  </si>
  <si>
    <t>Coordenacao de Aperfeicoamento de Pessoal de Nivel Superior(Coordenacao de Aperfeicoamento de Pessoal de Nivel Superior (CAPES))</t>
  </si>
  <si>
    <t>0021-8995</t>
  </si>
  <si>
    <t>1097-4628</t>
  </si>
  <si>
    <t>J APPL POLYM SCI</t>
  </si>
  <si>
    <t>J. Appl. Polym. Sci.</t>
  </si>
  <si>
    <t>e49912</t>
  </si>
  <si>
    <t>10.1002/app.49912</t>
  </si>
  <si>
    <t>http://dx.doi.org/10.1002/app.49912</t>
  </si>
  <si>
    <t>Polymer Science</t>
  </si>
  <si>
    <t>PA7RJ</t>
  </si>
  <si>
    <t>WOS:000569946600001</t>
  </si>
  <si>
    <t>Odoemelam, SA; Eddy, NO</t>
  </si>
  <si>
    <t>Odoemelam, Stevens A.; Eddy, Nnabuk Okon</t>
  </si>
  <si>
    <t>Studies on the Use of Oyster, Snail and Periwinkle Shells as Adsorbents for the Removal of Pb2+ from Aqueous Solution</t>
  </si>
  <si>
    <t>E-JOURNAL OF CHEMISTRY</t>
  </si>
  <si>
    <t>Lead ions; Adsorption; Pollution; Aqueous effluents; Animal shells</t>
  </si>
  <si>
    <t>ION</t>
  </si>
  <si>
    <t>In view of increasing rate of lead pollution resulting from discharge of lead containing effluents by industries into the environment, this study was carried out to investigate the removal of Pb2+ from aqueous solutions by oyster, snail and periwinkle shells. The effects of contact time and concentration on adsorption, thermodynamics of sorption and distribution coefficients of the adsorbents were examined to optimize the conditions to be utilized for decontamination of effluents containing Pb2+. The study revealed that these materials are good adsorbents that can be used for the removal of Pb2+ from aqueous solution. Adsorption of Pb2+ by oyster, snail and periwinkle shells were found to conform to the classical models of Langmuir, Freundlich and Temkin adsorption isotherms. Thermodynamic consideration revealed that adsorption of Pb2+ by these materials was spontaneous and proceeded via chemical adsorption. The use of these materials for the removal of lead ion from aqueous solution is therefore advocated.</t>
  </si>
  <si>
    <t>[Odoemelam, Stevens A.] Michael Okpara Univ Agr, Dept Chem, Umuahia, Abia State, Nigeria; [Eddy, Nnabuk Okon] Ahmadu Bello Univ, Dept Chem, Zaria, Nigeria</t>
  </si>
  <si>
    <t>Ahmadu Bello University</t>
  </si>
  <si>
    <t>Odoemelam, SA (corresponding author), Michael Okpara Univ Agr, Dept Chem, PMB 7267, Umuahia, Abia State, Nigeria.</t>
  </si>
  <si>
    <t>saodoemelam@yahoo.com</t>
  </si>
  <si>
    <t>EDDY, NNABUK/AAZ-9636-2020</t>
  </si>
  <si>
    <t>EDDY, NNABUK/0000-0001-7704-3082</t>
  </si>
  <si>
    <t>WWW PUBL PTE</t>
  </si>
  <si>
    <t>TAMIL NADU</t>
  </si>
  <si>
    <t>KHADAR BLDG, NEAR SHIFA HOSP, ADIRAMPATTINAM, TAMIL NADU, 614 701, INDIA</t>
  </si>
  <si>
    <t>0973-4945</t>
  </si>
  <si>
    <t>E-J CHEM</t>
  </si>
  <si>
    <t>E-J. Chem.</t>
  </si>
  <si>
    <t>10.1155/2009/407549</t>
  </si>
  <si>
    <t>http://dx.doi.org/10.1155/2009/407549</t>
  </si>
  <si>
    <t>460RG</t>
  </si>
  <si>
    <t>WOS:000267204200031</t>
  </si>
  <si>
    <t>Maltez, HF; Tagle, MV; de la Campa, MDF; Sanz-Medel, A</t>
  </si>
  <si>
    <t>Franca Maltez, Heloisa; Villanueva Tagle, Margarita; Fernandez de la Campa, Maria del Rosario; Sanz-Medel, Alfredo</t>
  </si>
  <si>
    <t>Metal-metallothioneins like proteins investigation by heteroatom-tagged proteomics in two different snails as possible sentinel organisms of metal contamination in freshwater ecosystems</t>
  </si>
  <si>
    <t>ANALYTICA CHIMICA ACTA</t>
  </si>
  <si>
    <t>Metallothionein like proteins; Metal speciation; Inductively coupled plasma mass spectrometry; Marisa cornuarietis and Pomacea bridgesi; Sentinel organisms</t>
  </si>
  <si>
    <t>ISOTOPE-DILUTION ANALYSIS; PLASMA-MASS SPECTROMETRY; MUSSELS MYTILUS-EDULIS; FOCUSING ICP-MS; SPECIATION; BIOMARKERS; SEA; GALLOPROVINCIALIS; EXPOSURE; CADMIUM</t>
  </si>
  <si>
    <t>Metal speciation analysis in MLPs was carried out in two snails, Marisa cornuarietis and Pomacea bridgesi, in order to investigate them as possible sentinel organisms of heavy metal contamination. To carry out this study snails born in a non-contaminated environment were divided into two groups: a control group and a contaminated one with cadmium administered for 40 days. Subsequently, we investigated the speciation of the induced MLPs in exposed animals in relation to controls. In order to obtain the MLP fraction, cytosols from both snail species where subjected to size-exclusion fractionation, monitoring on-line the metal signal (Cd, Cu and Zn) by ICP-MS while protein elution was followed by on-line UV detection. MLP fraction was then separated by anion-exchange (AE)-FPLC using optimal chromatographic conditions for the separation of the different MLP isoforms in both snail species. Specific detection of separated metalloforms was carried out again by the hyphenation of the AE chromatographic system with ICP-MS. The determination of the amount of metal bound to MLPs was carried out by post-column isotope dilution analysis ICP-MS, finding that the snail M. cornuarietis accumulated higher concentrations of cadmium than P. bridgesi. Thus this first snail could therefore be a better candidate sentinel organism of pollution in natural waters. Identification and characterization of the isoforms separated in M. cornuarietis was carried out for the entire or intact isoforms by MALDI-TOF and then conventional triptic digestion was also carried out to identify the nature of the formed peptides. The presence identification of a MLP isoform of relatively low molecular weight in M. cornuarietis is reported. (C) 2009 Elsevier B.V. All rights reserved.</t>
  </si>
  <si>
    <t>[Franca Maltez, Heloisa; Fernandez de la Campa, Maria del Rosario; Sanz-Medel, Alfredo] Univ Oviedo, Dept Phys &amp; Analyt Chem, Fac Chem, E-33006 Oviedo, Spain; [Villanueva Tagle, Margarita] Univ La Habana, Fac Chem, Havana, Cuba</t>
  </si>
  <si>
    <t>University of Oviedo; Universidad de la Habana</t>
  </si>
  <si>
    <t>Sanz-Medel, A (corresponding author), Univ Oviedo, Dept Phys &amp; Analyt Chem, Fac Chem, Julian Claveria 8, E-33006 Oviedo, Spain.</t>
  </si>
  <si>
    <t>asm@uniovi.es</t>
  </si>
  <si>
    <t>Maltez, Heloisa/A-5672-2013</t>
  </si>
  <si>
    <t>Maltez, Heloisa/0000-0003-4202-6287; /0000-0003-2899-1347</t>
  </si>
  <si>
    <t>Conselho Nacional de Desenvolvimento Cientifico e Tecnologico (CNPq, Brazil); Convenio between Oviedo University and La Habana University; Ministerio de Ciencia y Tecnologia, Spain [CTQ2006-02309]</t>
  </si>
  <si>
    <t>Conselho Nacional de Desenvolvimento Cientifico e Tecnologico (CNPq, Brazil)(Conselho Nacional de Desenvolvimento Cientifico e Tecnologico (CNPQ)); Convenio between Oviedo University and La Habana University; Ministerio de Ciencia y Tecnologia, Spain(Spanish Government)</t>
  </si>
  <si>
    <t>H.F. Maltez thank the Conselho Nacional de Desenvolvimento Cientifico e Tecnologico (CNPq, Brazil) for a fellowship, Margarita Villanueva Tagle thank Convenio between Oviedo University and La Habana University for a fellowship and they acknowledge financial support from Ministerio de Ciencia y Tecnologia, Spain, through project number CTQ2006-02309. We also want to thank A. Vazquez Perera for sampling and culture of snails and H. Gonzalez Iglesias for their technical and invaluable help in this work.</t>
  </si>
  <si>
    <t>0003-2670</t>
  </si>
  <si>
    <t>1873-4324</t>
  </si>
  <si>
    <t>ANAL CHIM ACTA</t>
  </si>
  <si>
    <t>Anal. Chim. Acta</t>
  </si>
  <si>
    <t>SEP 21</t>
  </si>
  <si>
    <t>10.1016/j.aca.2009.07.052</t>
  </si>
  <si>
    <t>http://dx.doi.org/10.1016/j.aca.2009.07.052</t>
  </si>
  <si>
    <t>497FZ</t>
  </si>
  <si>
    <t>WOS:000270044300013</t>
  </si>
  <si>
    <t>Kampouris, TE; Syranidou, E; Seridou, P; Gagoulis, K; Batjakas, IE; Kalogerakis, N</t>
  </si>
  <si>
    <t>Kampouris, Thodoros E.; Syranidou, Evdokia; Seridou, Petroula; Gagoulis, Konstantinos; Batjakas, Ioannis E.; Kalogerakis, Nicolas</t>
  </si>
  <si>
    <t>MPs and NPs intake and heavy metals accumulation in tissues of Palinurus elephas (JC Fabricius, 1787), from NW Aegean sea, Greece</t>
  </si>
  <si>
    <t>Spiny lobster; Marine pollution; Microplastics; Nanoplastics; Threatened species; Bioindicators; Aegean sea</t>
  </si>
  <si>
    <t>GILL-CLEANING MECHANISMS; MUSSEL MYTILUS-EDULIS; PLASTIC DEBRIS; NEPHROPS-NORVEGICUS; CARCINUS-AESTUARII; 1ST EVIDENCE; MICROPLASTICS; LOBSTER; SHRIMP; CRAB</t>
  </si>
  <si>
    <t>European marine waters are infested with plastic, with an average density of 1 plastic item in every four square-meters. Research relevant to MPs-NPs ingestion by wild decapods in European waters is limited, none of which regards the European spiny lobster. Totally 4102 plastic particles were extracted from the spiny lobster stomach tissues of both sexes. Out of the 63 samples analysed only three (4.8%) of them were found with no plastic particles. The range of number of MPs in stomachs was from 20 to 273 MPs individua(l-1). The 98.3% were fragments. In total 3833 plastic particles were extracted from the gill tissues of both sexes. MPs were found in all samples (n = 50),99.2% of the detected particles were fragments. The MPs detected in gills ranged from 11 to 339 MPs individual(-1). The DLS method was used in order to evaluate the NPs presence. Nanoplastics were detected in 22.6% of stomachs and in the 48.1% of gills. A total of 43 polymer types were identified in both tissues. Also, our study assessed the accumulation of heavy metals at the edible tail muscle. Certain elements were detected above the EU's Maximum Residue Level, including arsenic. The present results are alarming and the potential human health implications could be serious.</t>
  </si>
  <si>
    <t>[Kampouris, Thodoros E.; Batjakas, Ioannis E.] Univ Aegean, Sch Environm, Dept Marine Sci, Univ Hill, Mitilini 81100, Lesvos Island, Greece; [Syranidou, Evdokia; Seridou, Petroula; Gagoulis, Konstantinos; Kalogerakis, Nicolas] Tech Univ Crete, Sch Chem &amp; Environm Engn, Khania, Greece</t>
  </si>
  <si>
    <t>University of Aegean; Technical University of Crete</t>
  </si>
  <si>
    <t>Kampouris, TE (corresponding author), Univ Aegean, Sch Environm, Dept Marine Sci, Univ Hill, Mitilini 81100, Lesvos Island, Greece.</t>
  </si>
  <si>
    <t>mard16012@marine.aegean.gr</t>
  </si>
  <si>
    <t>Syranidou, Evdokia/AAO-4883-2020; KALOGERAKIS, Nicolas/AAC-8528-2019; Kampouris, Thodoros/AAQ-6684-2020; KALOGERAKIS, Nicolas/C-9254-2009</t>
  </si>
  <si>
    <t>Seridou, Petroula/0000-0003-3684-3926; Kampouris, Thodoros E./0000-0003-2528-6941; KALOGERAKIS, Nicolas/0000-0001-7033-0302</t>
  </si>
  <si>
    <t>10.1016/j.envpol.2022.120725</t>
  </si>
  <si>
    <t>http://dx.doi.org/10.1016/j.envpol.2022.120725</t>
  </si>
  <si>
    <t>7I2RE</t>
  </si>
  <si>
    <t>WOS:000903739600005</t>
  </si>
  <si>
    <t>Melwani, AR; Gregorio, D; Jin, Y; Stephenson, M; Ichikawa, G; Siegel, E; Crane, D; Lauenstein, G; Davis, JA</t>
  </si>
  <si>
    <t>Melwani, Aroon R.; Gregorio, Dominic; Jin, Yujie; Stephenson, Mark; Ichikawa, Gary; Siegel, Emily; Crane, Dave; Lauenstein, Gunnar; Davis, Jay A.</t>
  </si>
  <si>
    <t>Mussel watch update: Long-term trends in selected contaminants from coastal California, 1977-2010</t>
  </si>
  <si>
    <t>Bivalves; Mussels; Trends; Bioaccumulation; Contaminants; California</t>
  </si>
  <si>
    <t>POLYCYCLIC AROMATIC-HYDROCARBONS; TEMPORAL TRENDS; FRANCISCO; BIOACCUMULATION; BIVALVES; OYSTERS; HARBOR; WATERS; COPPER; SILVER</t>
  </si>
  <si>
    <t>This study examined trends in contaminants measured during three decades of Mussel Watch monitoring on the California coast. Chlorinated organic contaminants and butyltins declined the most rapidly, with tissue concentrations in 2010 that were up to 75% lower than during the 1980s. Silver and lead declined at about half of the stations statewide, but generally exhibited slower rates of decline relative to the organic compounds. In contrast, copper increased at many stations, and PAHs showed little evidence for declines. Mussels from San Francisco Bay and the Southern California Bight were historically the most contaminated and have had the steepest declines. Overall, these data show that the Mussel Watch approach to monitoring contaminants in California has provided some of the best evidence of the effectiveness of actions to improve water quality over the past 30 years. These datasets also highlight challenges that remain in managing PAHs and copper. (C) 2013 Elsevier Ltd. All rights reserved.</t>
  </si>
  <si>
    <t>[Melwani, Aroon R.; Davis, Jay A.] San Francisco Estuary Inst, Richmond, CA 94804 USA; [Gregorio, Dominic; Jin, Yujie; Siegel, Emily] State Water Resources Control Board, Div Water Qual, Sacramento, CA 95812 USA; [Stephenson, Mark; Ichikawa, Gary] Marine Pollut Studies Lab, Dept Fish &amp; Game, Moss Landing, CA 95039 USA; [Crane, Dave] Water Pollut Control Lab, Rancho Cordova, CA 95670 USA; [Lauenstein, Gunnar] NOAA, Silver Spring, MD 20910 USA</t>
  </si>
  <si>
    <t>Melwani, AR (corresponding author), Macquarie Univ, Dept Biol Sci, N Ryde, NSW 2109, Australia.</t>
  </si>
  <si>
    <t>aroon.melwani@mq.edu.au</t>
  </si>
  <si>
    <t>Melwani, Aroon/D-2216-2013</t>
  </si>
  <si>
    <t>Melwani, Aroon/0000-0002-7939-2996</t>
  </si>
  <si>
    <t>Surface Water Ambient Monitoring Program; SWRCB; San Francisco Estuary Institute (SFEI); Commonwealth of Australia International Postgraduate Research Scholarship; SFEI [677]</t>
  </si>
  <si>
    <t>Surface Water Ambient Monitoring Program; SWRCB; San Francisco Estuary Institute (SFEI); Commonwealth of Australia International Postgraduate Research Scholarship; SFEI</t>
  </si>
  <si>
    <t>The data used in this study were graciously provided by State Water Resources Control Board (SWRCB), National Oceanic and Atmospheric Administration, and the Regional Monitoring Program for Water Quality in the San Francisco Estuary. This study was funded by the Surface Water Ambient Monitoring Program, the SWRCB, and the San Francisco Estuary Institute (SFEI), with additional support by a Commonwealth of Australia International Postgraduate Research Scholarship to AM. We thank Rachel Allen, Shira Bezalel, Jennifer Hunt, and Marcus Klatt (all SFEI) and Papantzin Cid (SWRCB) for their assistance with data management and graphics on this project. Thanks to Chris Beegan (SWRCB), Linda Candelaria (Santa Ana RWQCB), Keith Maruya (SCCWRP), and two anonymous reviewers for providing constructive comments on earlier drafts of this manuscript. This is SFEI Contribution # 677.</t>
  </si>
  <si>
    <t>10.1016/j.marpolbul.2013.04.025</t>
  </si>
  <si>
    <t>http://dx.doi.org/10.1016/j.marpolbul.2013.04.025</t>
  </si>
  <si>
    <t>AI2SH</t>
  </si>
  <si>
    <t>WOS:000336707900002</t>
  </si>
  <si>
    <t>Akpiri, RU; Konya, RS; Hodges, NJ</t>
  </si>
  <si>
    <t>Akpiri, Rachael U.; Konya, Roseline S.; Hodges, Nikolas J.</t>
  </si>
  <si>
    <t>Development of cultures of the marine sponge Hymeniacidon perleve for genotoxicity assessment using the alkaline comet assay</t>
  </si>
  <si>
    <t>Comet assay; Heavy metal; Genotoxicity; Marine sponge</t>
  </si>
  <si>
    <t>SINGLE-STRAND BREAKS; HEAT-SHOCK-PROTEIN; DNA-DAMAGE; SUBERITES-DOMUNCULA; CELL-PROLIFERATION; GEODIA-CYDONIUM; MYTILUS-EDULIS; GILL CELLS; CADMIUM; EXPRESSION</t>
  </si>
  <si>
    <t>Sponges are a potential alternative model species to bivalves in pollution biomonitoring and environmental risk assessment in the aquatic ecosystem. In the present study, a novel in vivo exposure sponge culture model was developed from field-collected and cryopreserved sponge (Hymeniacidon perleve) cells to investigate the genotoxic effects of environmentally relevant metals in the laboratory. Sponge cell aggregates were cultured and exposed to noncytotoxic concentrations (0-0.4mg/L) of cadmium chloride, nickel chloride, and sodium dichromate as quantified by the reduction of 3-(4,5-dimethylthiazol-2-yl)-2,5-diphenyltetrazolium bromide and DNA-strand breaks assessed by the comet assay. Reactive oxygen species (ROS) formation was quantified by oxidation of 2,7-dichlorofluorescin diacetate in sponge cell aggregates exposed to the same concentrations of Cd, Cr, and Ni. There was a statistically significant (p&lt;0.05) concentration-dependent increase in the level of DNA-strand breaks and ROS formation in all of the metals investigated. To the best of our knowledge, we have utilized for the first time the alkaline comet assay to detect DNA-strand breaks in marine sponge cells and demonstrated that exposure to noncytotoxic concentrations of Cd, Cr, and Ni for 12h results in a concentration-dependent increase in DNA damage and levels of ROS production. In conclusion, we have developed a novel in vivo model based on culture of cryopreserved sponge cells that is compatible with the alkaline comet assay. Genotoxicity in marine sponges measured by the comet assay technique may be a useful tool for biomonitoring research and risk assessment in aquatic ecosystems. Environ Toxicol Chem 2017;36:3314-3323. (c) 2017 SETAC</t>
  </si>
  <si>
    <t>[Akpiri, Rachael U.; Hodges, Nikolas J.] Univ Birmingham, Sch Biosci, Coll Life &amp; Environm Sci, Birmingham, W Midlands, England; [Konya, Roseline S.] Univ Port Harcourt, Fac Biol &amp; Chem Sci, Dept Anim &amp; Environm Biol, Coll Nat &amp; Appl Sci, Port Harcourt, Rivers State, Nigeria</t>
  </si>
  <si>
    <t>University of Birmingham; University of Port Harcourt</t>
  </si>
  <si>
    <t>Hodges, NJ (corresponding author), Univ Birmingham, Sch Biosci, Coll Life &amp; Environm Sci, Birmingham, W Midlands, England.</t>
  </si>
  <si>
    <t>n.hodges@bham.ac.uk</t>
  </si>
  <si>
    <t>Chidugu-ogborigbo, Rachael Ununuma/0000-0001-7201-5015; hodges, nikolas/0000-0002-3306-7688</t>
  </si>
  <si>
    <t>Commonwealth Scholarship Commission PhD studentship [NGCS-2014-430]</t>
  </si>
  <si>
    <t>Commonwealth Scholarship Commission PhD studentship</t>
  </si>
  <si>
    <t>R.U. Akpiri acknowledges receipt of a Commonwealth Scholarship Commission PhD studentship (NGCS-2014-430). We thank B. Picton (National Museum, Northern Ireland) for his assistance with the sponge cell taxonomy. We also acknowledge Dr. R.M. Harris for his help with the preparation of Figure 1.</t>
  </si>
  <si>
    <t>10.1002/etc.3907</t>
  </si>
  <si>
    <t>http://dx.doi.org/10.1002/etc.3907</t>
  </si>
  <si>
    <t>FP6SZ</t>
  </si>
  <si>
    <t>WOS:000417757700016</t>
  </si>
  <si>
    <t>Rivas-Pérez, IM; Conde-Cid, M; Nóvoa-Muñoz, JC; Arias-Estévez, M; Fernández-Sanjurjo, M; Alvarez-Rodríguez, E; Núñez-Delgado, A</t>
  </si>
  <si>
    <t>Rivas-Perez, Ivana M.; Conde-Cid, Manuel; Carlos Novoa-Munoz, Juan; Arias-Estevez, Manuel; Fernandez-Sanjurjo, Maria J.; Alvarez-Rodriguez, Esperanza; Nunez-Delgado, Avelino</t>
  </si>
  <si>
    <t>As(V)/Cr(VI) retention on un-amended and waste-amended soil samples: competitive experiments</t>
  </si>
  <si>
    <t>Arsenic; Chromium; Competitive sorption; Hemp waste; Mussel shell; Oak ash; Pine bark</t>
  </si>
  <si>
    <t>MUSSEL-SHELL; AQUEOUS-SOLUTION; HEXAVALENT CHROMIUM; BY-PRODUCTS; REMOVAL; AS(V); ADSORPTION; CR(VI); SORPTION; DESORPTION</t>
  </si>
  <si>
    <t>Focusing on simultaneous arsenic and chromium pollution, we used batch-type experiments to study As(V)/Cr (VI) competitive sorption on soil samples, pyritic material, mussel shell, oak ash, pine bark and hemp waste, as well as on binary mixtures (50 % mussel shell and 50 % another material-oak ash, pine bark, or hemp waste), and on forest and vineyard soil samples and pyritic material amended with 48 t ha(-1) of mussel shell, oak ash, pine bark, or hemp waste. Equal As(V) and Cr(VI) concentrations (0 to 6 mmol L-1) were added to the individual materials, binary mixtures, and 48 t ha(-1) amended materials. The individual forest soil sample, pyritic material, and oak ash showed clearly higher As(V) sorption, whereas Cr(VI) sorption was higher on pine bark. Sorption was up to 50 % higher for As(V) than for Cr(VI) on the forest soil sample, oak ash, and pyritic material, while pine bark sorbed 95 % more Cr(VI). Regarding binary mixtures, the presence of mussel shell increased As(V) sorption on pine bark and Cr(VI) sorption on hemp waste. As regards the amendments, in the case of the forest soil sample, the amendments with oak ash and mussel shell increased As(V) sorption, while pine bark amendment increased Cr(VI) sorption; in the vineyard soil sample, the mussel shell amendment increased As(V) sorption; in the pyritic material, pine bark amendment increased Cr(VI) sorption. These results could be useful to appropriately manage the soils and individual or mixed by-products assayed when As(V) and Cr(VI) pollution occurs.</t>
  </si>
  <si>
    <t>[Rivas-Perez, Ivana M.; Fernandez-Sanjurjo, Maria J.; Alvarez-Rodriguez, Esperanza; Nunez-Delgado, Avelino] Univ Santiago Compostela, Dept Soil Sci &amp; Agr Chem, Engn Polytech Sch, Lugo 27002, Spain; [Conde-Cid, Manuel; Carlos Novoa-Munoz, Juan; Arias-Estevez, Manuel] Univ Vigo, Dept Plant Biol &amp; Soil Sci, Fac Sci, Campus Ourense, Orense 32004, Spain</t>
  </si>
  <si>
    <t>Estévez, Manuel/M-8629-2016; Fernández-Sanjurjo, María/ABC-6938-2020; Nóvoa-Muñoz, J. C./A-9181-2009; Alvarez, Esperanza/B-3154-2018; Conde, Manuel/R-4920-2016; Nunez-Delgado, Avelino/K-3964-2013</t>
  </si>
  <si>
    <t>Alvarez, Esperanza/0000-0003-3470-2679; Conde, Manuel/0000-0003-4976-0388; Fernandez-Sanjurjo, Maria J./0000-0001-6728-7147; Nunez-Delgado, Avelino/0000-0001-5373-1606; Novoa-Munoz, Juan Carlos/0000-0003-3062-4191</t>
  </si>
  <si>
    <t>Ministerio de Economia y Competitividad (Government of Spain); European Regional Development Fund (ERDF) (FEDER in Spain)(European Union (EU))</t>
  </si>
  <si>
    <t>This study was funded by the Ministerio de Economia y Competitividad (Government of Spain), grant numbers CGL2012-36805-C02-01 and CGL2012-36805-C02-02. It was also partially financed by the European Regional Development Fund (ERDF) (FEDER in Spain).</t>
  </si>
  <si>
    <t>10.1007/s11356-016-8015-0</t>
  </si>
  <si>
    <t>http://dx.doi.org/10.1007/s11356-016-8015-0</t>
  </si>
  <si>
    <t>WOS:000392105700098</t>
  </si>
  <si>
    <t>Mleiki, A; Marigómez, I; El Menif, NT</t>
  </si>
  <si>
    <t>Mleiki, Anwar; Marigomez, Ionan; El Menif, Najoua Trigui</t>
  </si>
  <si>
    <t>Effects of Dietary Pb and Cd and Their Combination on Glutathion-S-Transferase and Catalase Enzyme Activities in Digestive Gland and Foot of the Green Garden Snail, Cantareus apertus (Born, 1778)</t>
  </si>
  <si>
    <t>Cantareus apertus; Oxidative stress; Cadmium; Lead; CAT; GST</t>
  </si>
  <si>
    <t>MUSSEL MYTILUS-GALLOPROVINCIALIS; OXYGEN SPECIES PRODUCTION; HELIX-ASPERSA; OXIDATIVE STRESS; SENTINEL ORGANISM; URBAN POLLUTION; RISK-ASSESSMENT; CADMIUM; ANTIOXIDANT; CONTAMINATION</t>
  </si>
  <si>
    <t>The present study was focused on the assessment of glutathion-S-transferase (GST) and catalase (CAT) activities in the digestive gland and foot of the land snail, Cantareus apertus (Born, 1778), exposed to different nominal dietary concentrations of Pb (25 and 2500 mg Pb/Kg), Cd (5 and 100 mg Cd/Kg) and their combination (25 mg Pb + 5 mg Cd/Kg and 2500 mg Pb + 100 mg Cd/Kg) for 7 and 60 days. GST activity was significantly increased after 7 and 60 days exposure to the highest concentration of Pb, Cd and their combination. The levels of CAT activity were different in the two studied organs but in both cases it resulted increased after 7 and 60 days of exposure, which varied significantly between metals and dietary concentrations. Therefore, it can be concluded that GST and CAT enzymes in digestive gland and foot of C. apertus are responsive to Cd, Pb and their combination, whereby they are suitable to be included in a battery of biomarkers for ecosystem health assessment in metal polluted soils using this species as sentinel.</t>
  </si>
  <si>
    <t>[Mleiki, Anwar; El Menif, Najoua Trigui] Univ Carthage, Fac Sci Bizerta, Lab Environm Biomonitoring, Zarzouna 7021, Bizerte, Tunisia; [Marigomez, Ionan] Univ Basque Country UPV EHU, CBET Res Grp, Res Ctr Expt Marine Biol &amp; Biotechnol PiE UPV EHU, Plentzia Bizkaia 48620, Basque Country, Spain; [Marigomez, Ionan] Univ Basque Country UPV EHU, Sci &amp; Technol Fac, Zool &amp; Cell Biol Dept, CBET Res Grp,BERRILUR Res Consortium, Leioa 48940, Basque Country, Spain</t>
  </si>
  <si>
    <t>Universite de Carthage; University of Basque Country; University of Basque Country</t>
  </si>
  <si>
    <t>Mleiki, A (corresponding author), Univ Carthage, Fac Sci Bizerta, Lab Environm Biomonitoring, Zarzouna 7021, Bizerte, Tunisia.</t>
  </si>
  <si>
    <t>mleiki.anwar@yahoo.fr</t>
  </si>
  <si>
    <t>Basque Government [IE06-179, GIC07/26-IT-393-07]; Univ Basque Country Ecosystem Health Protection UFI [11/37]</t>
  </si>
  <si>
    <t>Basque Government(Basque Government); Univ Basque Country Ecosystem Health Protection UFI</t>
  </si>
  <si>
    <t>This research was funded by Basque Government (Etortek Res Proj IE06-179; Cons Res Grp Grant, GIC07/26-IT-393-07) and Univ Basque Country Ecosystem Health Protection UFI 11/37).</t>
  </si>
  <si>
    <t>10.1007/s00128-015-1542-4</t>
  </si>
  <si>
    <t>http://dx.doi.org/10.1007/s00128-015-1542-4</t>
  </si>
  <si>
    <t>WOS:000355749500011</t>
  </si>
  <si>
    <t>Inglis, GJ; Kross, JE</t>
  </si>
  <si>
    <t>Evidence for systemic changes in the benthic fauna of tropical estuaries as a result of urbanization</t>
  </si>
  <si>
    <t>heavy metals; macrobenthos; petroleum hydrocarbons; scales of variation; urban pollution</t>
  </si>
  <si>
    <t>POLYCYCLIC AROMATIC-HYDROCARBONS; OF-MEXICO ESTUARIES; SPATIAL VARIATION; ENVIRONMENTAL GRADIENTS; TAXONOMIC RESOLUTION; COMMUNITY STRUCTURE; LARVAL SETTLEMENT; MARINE-SEDIMENTS; SOUTH-CAROLINA; URBAN RUNOFF</t>
  </si>
  <si>
    <t>The effects of urban development cause substantial physical changes in coastal waterways through hardening and reclamation of river banks, alteration of water flow, and diffuse and point-source discharges of pollutants. The cumulative effects of urbanization on the fauna of estuaries are not well understood. This study examined the benthic infauna of two urban and three rural estuaries near Townsville, North Queensland. A range of univariate and multivariate statistics was used to relate variation in the benthic assemblages to concentrations of contaminants (heavy metals and hydrocarbons) within the sediments of each estuary, Sediments in the most developed estuary contained concentrations of heavy metals and petroleum hydrocarbons that were several orders of magnitude greater than those from non-urban waterways. The fauna at these sites was dominated by cirratulid and sternaspid polychaetes and lacked filter-feeding bivalves and other molluscs that were common in less developed estuaries. These differences were generally consistent throughout each estuary, indicating estuary-wide patterns of change, that were most strongly associated with spatial patterns in the distribution of Pb, Cu and hydrocarbons. (C) 2000 Elsevier Science Ltd. All rights reserved.</t>
  </si>
  <si>
    <t>James Cook Univ N Queensland, Sch Trop Environm Studies &amp; Geog, Townsville, Qld 4811, Australia; James Cook Univ N Queensland, CRC, Reef Res Ctr, Townsville, Qld 4811, Australia</t>
  </si>
  <si>
    <t>James Cook University; James Cook University</t>
  </si>
  <si>
    <t>Natl Inst Water &amp; Atmospher Res Ltd, POB 8602, Christchurch, New Zealand.</t>
  </si>
  <si>
    <t>g.inglis@niwa.cri.nz</t>
  </si>
  <si>
    <t>10.1016/S0025-326X(00)00093-X</t>
  </si>
  <si>
    <t>http://dx.doi.org/10.1016/S0025-326X(00)00093-X</t>
  </si>
  <si>
    <t>WOS:000166052900014</t>
  </si>
  <si>
    <t>REGOLI, F; PRINCIPATO, G</t>
  </si>
  <si>
    <t>GLUTATHIONE, GLUTATHIONE-DEPENDENT AND ANTIOXIDANT ENZYMES IN MUSSEL, MYTILUS-GALLOPROVINCIALIS, EXPOSED TO METALS UNDER FIELD AND LABORATORY CONDITIONS - IMPLICATIONS FOR THE USE OF BIOCHEMICAL BIOMARKERS</t>
  </si>
  <si>
    <t>MYTILUS-GALLOPROVINCIALIS; TRACE METALS; BIOMARKERS; GLUTATHIONE; GLUTATHIONE-DEPENDENT ENZYMES; ANTIOXIDANT ENZYMES; ALKALINE PHOSPHATASE; CHOLINESTERASE; ARYLESTERASES</t>
  </si>
  <si>
    <t>LIPID-PEROXIDATION; DIGESTIVE GLAND; EDULIS-L; ALKALINE-PHOSPHATASE; MARINE-INVERTEBRATES; ORGANIC POLLUTION; GEUKENSIA-DEMISSA; CHANNEL CATFISH; DEFENSE SYSTEMS; S-TRANSFERASE</t>
  </si>
  <si>
    <t>The effects of exposure to metals under and laboratory conditions were investigated in the Mediterranean mussel Mytilus galloprovincialis. The examined biological responses included the concentrations of heavy metals, the level of glutathione, and the activity of several enzymes selected among glutathione-dependent oxidoreductases and hydrolases: glutathione reductase, EC1.6.4.2; glyoxalase I, EC4.4.1.5; glyoxalase II, EC3.1.2.6; glutathione S-transferases, EC2.5.1.18; Se-dependent, EC1.11.1.9 and Se-independent, EC2.5.1.18 glutathione peroxidases; catalase, EC1.11.1.6; superoxide dismutase, EC1.15.1.1; alkaline phosphatase, EC3.1.3.1; cholinesterase, EC3.1.1.8; arylesterases, EC3.1.1.2. The analyses were carried out on digestive gland and gills of mussels from two populations, respectively from a polluted and a clean site. The same parameters were measured in control mussels transplanted to the polluted environment, and in molluscs exposed to copper under laboratory conditions. The comparison between different field and laboratory exposures was expected to give useful indications for a proper use of biochemical responses as biomarkers in monitoring trace metal pollution. Compared to control mussels, the polluted ones (native, transplanted and copper-exposed) showed significantly lower levels of glutathione and higher activities of the glyoxalases (which detoxify reactive alpha-ketoaldehydes formed in cellular oxidative processes). On the other hand, native mussels from both the polluted and control populations exhibited similar enzymatic activities of glutathione reductase, glutathione peroxidases, catalase, superoxide dismutase and alkaline phosphatase, whereas, in both transplanted and copper-exposed mussels, these enzymes showed significant variations. This finding could suggest the occurrence of some adaptation or compensatory mechanism in chronically polluted organisms. No clear results were obtained with glutathione S-transferases, whereas arylesterases and cholinesterases appeared not to be affected by metal pollution. From the results, three different kind of biological responses were identified and the implications for ecotoxicological studies discussed.</t>
  </si>
  <si>
    <t>UNIV ANCONA, IST BIOL &amp; GENET, I-60100 ANCONA, ITALY</t>
  </si>
  <si>
    <t>UNIV PISA, DIPARTIMENTO BIOMED SPERIMENTALE INFETT &amp; PUBBL, VIA A VOLTA 4, I-56100 PISA, ITALY.</t>
  </si>
  <si>
    <t>Regoli, Francesco/0000-0001-6084-6188; PRINCIPATO, Giovanni/0000-0001-8800-0301</t>
  </si>
  <si>
    <t>10.1016/0166-445X(94)00064-W</t>
  </si>
  <si>
    <t>http://dx.doi.org/10.1016/0166-445X(94)00064-W</t>
  </si>
  <si>
    <t>QK382</t>
  </si>
  <si>
    <t>WOS:A1995QK38200004</t>
  </si>
  <si>
    <t>HUNGSPREUGS, M; YUANGTHONG, C</t>
  </si>
  <si>
    <t>THE PRESENT LEVELS OF HEAVY-METALS IN SOME MOLLUSKS OF THE UPPER GULF OF THAILAND</t>
  </si>
  <si>
    <t>This investigation was carried out as part of Thailand''s participation in the global Mussel Watch program. The levels of Cd, Cr, Cu, Pb and Zn in the green mussel, Perna viridis, oyster, Crassostrea commercialis and the cockle, Anadara granosa, were studied from July, 1982-Nov., 1982. Comparison was made with the previous study in Aug., 1981, which included the short necked clam, Paphia undulata and moon scallop, Amusium pleuronectes. The metal levels were sufficiently low that the mollusks could be consumed without any danger to health. The salinity of the water appeared to influence the uptake as higher levels of metals were found during the flood season when salinity was lower.</t>
  </si>
  <si>
    <t>SQ357</t>
  </si>
  <si>
    <t>WOS:A1984SQ35700004</t>
  </si>
  <si>
    <t>Chen, MX; Zhou, JY; Lin, JH; Tang, HC; Shan, YF; Chang, AK; Ying, XP</t>
  </si>
  <si>
    <t>Chen, Mengxu; Zhou, Jiayi; Lin, Jinhuang; Tang, Hongchao; Shan, Yifei; Chang, Alan K.; Ying, Xueping</t>
  </si>
  <si>
    <t>Changes in oxidative stress biomarkers in Sinonovacula constricta in response to toxic metal accumulation during growth in an aquaculture farm</t>
  </si>
  <si>
    <t>Sinonovacula constricta; Toxic metals; Oxidative stress; Metallothionein</t>
  </si>
  <si>
    <t>SPATIAL-DISTRIBUTION; HEAVY-METALS; RAZOR CLAM; POLLUTION; METALLOTHIONEIN; BIOACCUMULATION; CADMIUM; HEPATOPANCREAS; SEDIMENTS; BIVALVES</t>
  </si>
  <si>
    <t>Clam farming comprises an important part of China's economy. However, increasing pollution in the ocean caused by toxic metals has led to the bioaccumulation of toxic metals in marine animals, especially the bivalves such as clams, and the consequence of heavy metal-associated toxicity in these animals. Such toxicity can enhance the production of reactive oxygen species (ROS) within the tissues of the animals. In aquatic species, oxidative stress mechanisms have been studied by measuring the antioxidant and oxidative damage index in the tissues. The objectives of this study were to investigate the levels of different toxic metals and the extent of oxidative stress responses in the clam Sinonovacula constricta at different growth periods (from May to October) in an aquaculture farm in Wengyang, an important economic shellfish culture zone in Zhejiang Province, China. Water and sediment samples taken from the farm were subjected to Pb, Hg, Cd, Cr assays. Overall, the levels of these metals in the water and sediment could be considered as light pollution, though the levels of Hg in the water (0.266) and Cd in the sediment (0.813) could be considered as reaching moderate pollution. In addition, the levels of these metals, H2O2, MDA and GSH content, antioxidant enzyme (CAT, SOD, GPx) activities as well as the level of metallothioneins (MT) mRNA in the tissues of S. constricta were also analyzed. The levels of Pb, Hg, Cd, Cr increased with increasing culturing time, and a higher level of these metals was accumulated in the visceral mass than in the foot. The levels of MDA and GSH, as well as the level of SOD activity in the viscera and foot of S. constricta increased with increasing metal accumulation. However, CAT and GPX activities, H2O2 level and the expression of MT initially increased and then decreased. This suggested that S. constricta might have the ability to control oxidative damage by triggering antioxidant defense in coordination with the metal sequestering response. The results also implied that toxic metal pollution should be taken into account when selecting the site to be used as an aquaculture farm. In addition, the visceral mass should be considered to be a good tissue for measuring the level of metal pollutants. (C) 2020 Elsevier Ltd. All rights reserved.</t>
  </si>
  <si>
    <t>[Chen, Mengxu; Zhou, Jiayi; Lin, Jinhuang; Tang, Hongchao; Shan, Yifei; Chang, Alan K.; Ying, Xueping] Wenzhou Univ, Coll Life &amp; Environm Sci, Wenzhou 325035, Zhejiang, Peoples R China</t>
  </si>
  <si>
    <t>zhou, jiayi/IQW-6977-2023</t>
  </si>
  <si>
    <t>Nature Science Foundation of Zhejiang Province, China [LY13C040003, LY18C030005]; National Student Innovation Training Project [DC2017072, JW201910351039]; Student Innovation Training Project of Zhejiang province [2018R429033, 2019R429021]</t>
  </si>
  <si>
    <t>Nature Science Foundation of Zhejiang Province, China(Natural Science Foundation of Zhejiang Province); National Student Innovation Training Project; Student Innovation Training Project of Zhejiang province</t>
  </si>
  <si>
    <t>This study was supported by the Nature Science Foundation of Zhejiang Province, China under Grant number LY13C040003, LY18C030005 (to XPY), the National Student Innovation Training Project under Grant number DC2017072 (to CRQ) and JW201910351039 (to THC), the Student Innovation Training Project of Zhejiang province under Grant number 2018R429033 (to CJJ) and 2019R429021 (to CMX).</t>
  </si>
  <si>
    <t>10.1016/j.chemosphere.2020.125974</t>
  </si>
  <si>
    <t>http://dx.doi.org/10.1016/j.chemosphere.2020.125974</t>
  </si>
  <si>
    <t>LG2IH</t>
  </si>
  <si>
    <t>WOS:000527930600030</t>
  </si>
  <si>
    <t>Wang, MH; Lee, JS; Li, Y</t>
  </si>
  <si>
    <t>Wang, Minghu; Lee, Jae-Seong; Li, Yan</t>
  </si>
  <si>
    <t>Global Proteome Profiling of a Marine Copepod and the Mitigating Effect of Ocean Acidification on Mercury Toxicity after Multigenerational Exposure</t>
  </si>
  <si>
    <t>LYSOSOMAL ALPHA-MANNOSIDASE; OYSTER LARVAL PROTEOME; TIGRIOPUS-JAPONICUS; CLIMATE-CHANGE; STRESS RESPONSES; BOHAI SEA; PATHWAYS; IDENTIFICATION; NEUROTOXICITY; METABOLISM</t>
  </si>
  <si>
    <t>Previously, we found that ocean acidification (OA) mitigates mercury (Hg) toxicity to marine copepod Tigriopus japonicus under multigenerational exposure (four generations, F0-F3). To determine the response mechanisms of T. japonicus against long-term exposure to OA and Hg pollution, we investigated the proteome of F3 copepods after multigenerational exposure to four conditions: pCO(2) 400 mu atm + control; pCO(2) 1000 mu atm + control; pCO(2) 400 mu atm +1.0 mu g/L Hg; and pCO(2) 1000 mu atm +1.0,ug/L Hg. Functional enrichment analysis indicated that OA enhanced the copepod's energy production mainly by increasing protein assimilation and proteolysis as a compensatory strategy, which explained its physiological resilience to reduced pH. Conversely, Hg treatment decreased many critical processes, including ferric iron binding, antioxidant activity, cellular homeostasis, and glutathione metabolism, and these toxic events could translate into higher-level responses, i.e., restrained reproduction in copepods. Importantly, the mediation of Hg toxicity in T. japonicus by OA could be explained by the enhanced lysosome-autophagy pathway proteomes that are responsible for repairing and removing damaged proteins and enzymes under stress. Overall, this study provided molecular insights into the response of T. japonicus to long-term exposure of OA and Hg, with a particular emphasis on the mitigating impact of the CO2-driven acidification on Hg toxicity.</t>
  </si>
  <si>
    <t>[Wang, Minghu; Lee, Jae-Seong; Li, Yan] Xiamen Univ, Coll Environm &amp; Ecol, Key Lab Minist Educ Coastal &amp; Wetland Ecosyst, Xiamen 361102, Peoples R China; [Wang, Minghu] Xiamen Univ, State Key Lab Marine Environm Sci, Xiamen 361102, Peoples R China; [Lee, Jae-Seong] Sungkyunkwan Univ, Dept Biol Sci, Coll Sci, Suwon 16419, South Korea</t>
  </si>
  <si>
    <t>Xiamen University; Xiamen University; Sungkyunkwan University (SKKU)</t>
  </si>
  <si>
    <t>Wang, MH (corresponding author), Xiamen Univ, Coll Environm &amp; Ecol, Key Lab Minist Educ Coastal &amp; Wetland Ecosyst, Xiamen 361102, Peoples R China.;Wang, MH (corresponding author), Xiamen Univ, State Key Lab Marine Environm Sci, Xiamen 361102, Peoples R China.</t>
  </si>
  <si>
    <t>mhwang45@xmu.edu.cn</t>
  </si>
  <si>
    <t>Liu, Yifan/S-6217-2017; Wang, Minghua/H-3494-2015; Lee, Jae-Seong/H-6013-2015</t>
  </si>
  <si>
    <t>Lee, Jae-Seong/0000-0003-0944-5172</t>
  </si>
  <si>
    <t>National Natural Science Foundation of China [41476094]; National Key Research and Development Program [2016YFA0601203]; Natural Science Foundation of Fujian Province of China [2017J01081]</t>
  </si>
  <si>
    <t>National Natural Science Foundation of China(National Natural Science Foundation of China (NSFC)); National Key Research and Development Program(National Key Research &amp; Development Program of China); Natural Science Foundation of Fujian Province of China(Natural Science Foundation of Fujian Province)</t>
  </si>
  <si>
    <t>This work was kindly supported by the National Natural Science Foundation of China (no. 41476094), the National Key Research and Development Program (no. 2016YFA0601203), and the Natural Science Foundation of Fujian Province of China (no. 2017J01081). We are grateful to Professor John Hodgkiss for his assistance with the English in this manuscript.</t>
  </si>
  <si>
    <t>MAY 16</t>
  </si>
  <si>
    <t>10.1021/acs.est.7b01832</t>
  </si>
  <si>
    <t>http://dx.doi.org/10.1021/acs.est.7b01832</t>
  </si>
  <si>
    <t>EV3QO</t>
  </si>
  <si>
    <t>WOS:000401674400052</t>
  </si>
  <si>
    <t>Ravera, O</t>
  </si>
  <si>
    <t>Ravera, Oscar</t>
  </si>
  <si>
    <t>An index for estimating the potential impact on the environment of the pollutant content in aquatic populations</t>
  </si>
  <si>
    <t>JOURNAL OF LIMNOLOGY</t>
  </si>
  <si>
    <t>concentration factor influence index; heavy metals; fresh water mussel; biomass</t>
  </si>
  <si>
    <t>PICTORUM-MANCUS MOLLUSCA; DIFFERENT TROPHIC STATE; UNIONIDAE POPULATIONS; SEASONAL-VARIATIONS; 2 LAKES</t>
  </si>
  <si>
    <t>The so-called Concentration factor (C.F) should express a direct positive relationship between the concentration of a pollutant (e.g. metals, radioisotopes) in an organism and the concentration of the same pollutant in the water. While this index is very useful in some cases, it cannot give any information on the influence of the biota on its environment, an important topic in research on biogeochemical cycles. A new index (the Influence index) has consequently been developed to quantify the potential influence of the pollutant content in the population biomass on the habitat in which the population lives. The value of this index is calculated as the ratio between the pollutant content in the population biomass per sediment surface unit (e.g. m(2)) and the concentration of the same pollutant in the water and is expressed as water volume with the same pollutant concentration as in the water of the population habitat. The value increases with the increase of the pollutant content in the population biomass and the decrease of the pollutant concentration in the water. As an example, some applications of the index to heavy metal contaminations of a freshwater mussel (Unio pictorum mancus) population are described.</t>
  </si>
  <si>
    <t>CNR Inst Ecosyst Study, I-28922 Verbania, Italy</t>
  </si>
  <si>
    <t>Consiglio Nazionale delle Ricerche (CNR); Istituto per lo Studio degli Ecosistemi (ISE-CNR)</t>
  </si>
  <si>
    <t>Ravera, O (corresponding author), CNR Inst Ecosyst Study, L Go Tonolli 50, I-28922 Verbania, Italy.</t>
  </si>
  <si>
    <t>o.ravera@ise.cnr.it</t>
  </si>
  <si>
    <t>CNR IST ITALIANO IDROBIOLOGIA</t>
  </si>
  <si>
    <t>VERBANIA</t>
  </si>
  <si>
    <t>L.GO V TONOLLI 50, VERBANIA, 00000, ITALY</t>
  </si>
  <si>
    <t>1129-5767</t>
  </si>
  <si>
    <t>J LIMNOL</t>
  </si>
  <si>
    <t>J. Limnol.</t>
  </si>
  <si>
    <t>10.4081/jlimnol.2008.70</t>
  </si>
  <si>
    <t>http://dx.doi.org/10.4081/jlimnol.2008.70</t>
  </si>
  <si>
    <t>338AB</t>
  </si>
  <si>
    <t>WOS:000258476000009</t>
  </si>
  <si>
    <t>Girón-Pérez, MI; Romero-Bañuelos, CA; Toledo-Ibarra, GA; Rojas-García, AE; Medina-Diaz, IM; Robledo-Marenco, ML; Vega-López, A</t>
  </si>
  <si>
    <t>Giron-Perez, M. I.; Romero-Banuelos, C. A.; Toledo-Ibarra, G. A.; Rojas-Garcia, A. E.; Medina-Diaz, I. M.; Robledo-Marenco, M. L.; Vega-Lopez, A.</t>
  </si>
  <si>
    <t>Evaluation of pollution in Camichin estuary (Mexico): Pro-oxidant and antioxidant response in oyster (Crassostrea corteziensis)</t>
  </si>
  <si>
    <t>1st International Conference on Oxidative Stress in Aquatic Ecosystems</t>
  </si>
  <si>
    <t>NOV 20-24, 2012</t>
  </si>
  <si>
    <t>Centro Investigaciones Biologicas Noroeste (CIBNOR), San Jose del Cabo, MEXICO</t>
  </si>
  <si>
    <t>Centro Investigaciones Biologicas Noroeste (CIBNOR)</t>
  </si>
  <si>
    <t>Oyster; Oxidative stress; Trace metals; PAHs; Coastal aquatic systems</t>
  </si>
  <si>
    <t>OXIDATIVE STRESS; ANTIFOULING PAINT; TRACE-METALS; METABOLISM; TEMPERATURE; ENZYMES; SCALLOP; COPPER; LIVER</t>
  </si>
  <si>
    <t>The physiological system of molluscs, particularly pro-oxidant and antioxidant mechanisms, could be altered by pollutants and induce disturbance on health status and productive parameters of aquatic organisms, such as oyster. Therefore, the aim of this study was to evaluate the chemical contamination in water (total metals and polycyclic aromatic hydrocarbons) and oxidative stress parameters in oysters (Crassostrea corteziensis) in Camichin estuary, located in Mexican Tropical Pacific. The results obtained showed the presence of arsenic, lead and zinc, as well as naphthalene, pyrene and benzo[a]pyrene in concentrations relatively higher than criteria established by local and international guidelines. Regarding the biomarkers of oxidative stress response (H2O2 and O2 center dot concentration, catalase activity, lipid peroxidation, and hydroperoxide concentration), differences between oyster from estuary and control group were significant. These results indicate that these pollutants could be related with oxidative stress detected in oyster. (C) 2013 Elsevier Inc. All rights reserved.</t>
  </si>
  <si>
    <t>[Giron-Perez, M. I.; Romero-Banuelos, C. A.; Toledo-Ibarra, G. A.; Rojas-Garcia, A. E.; Medina-Diaz, I. M.; Robledo-Marenco, M. L.] Univ Autonoma Nayarit, Secretaria Invest &amp; Posgrad, Tepic 63190, Nayarit, Mexico; [Vega-Lopez, A.] Inst Politecn Nacl, Escuela Nacl Ciencias Biol, Unidad Profes Adolfo Lopez Mateos Zacatenco, Mexico City 07738, DF, Mexico</t>
  </si>
  <si>
    <t>Instituto Politecnico Nacional - Mexico</t>
  </si>
  <si>
    <t>Girón-Pérez, MI (corresponding author), Univ Autonoma Nayarit, Lab Inmunotoxicol, Cd Cultura Amado Nervo S-N, Tepic 63190, Nayarit Zp, Mexico.</t>
  </si>
  <si>
    <t>ivan_giron@hotmail.com</t>
  </si>
  <si>
    <t>GIRON, MANUEL/AAE-9629-2021; García, Aurora/C-7120-2018; Vega-Lopez, Armando/E-4211-2012</t>
  </si>
  <si>
    <t>GIRON-PEREZ PhD., MANUEL IVAN/0000-0001-6808-6590; Vega-Lopez, Armando/0000-0001-8827-4353; Medina Diaz, Irma Martha/0000-0001-8923-3895</t>
  </si>
  <si>
    <t>10.1016/j.cbpa.2013.03.008</t>
  </si>
  <si>
    <t>http://dx.doi.org/10.1016/j.cbpa.2013.03.008</t>
  </si>
  <si>
    <t>173PA</t>
  </si>
  <si>
    <t>WOS:000321090200010</t>
  </si>
  <si>
    <t>Magni, P; De Falco, G; Falugi, C; Franzoni, M; Monteverde, M; Perrone, E; Sgro, A; Bolognesi, C</t>
  </si>
  <si>
    <t>Magni, P.; De Falco, G.; Falugi, C.; Franzoni, M.; Monteverde, M.; Perrone, E.; Sgro, A.; Bolognesi, C.</t>
  </si>
  <si>
    <t>Genotoxicity biomarkers and acetylcholinesterase activity in natural populations of Mytilus galloprovincialis along a pollution gradient in the Gulf of Oristano (Sardinia, western Mediterranean)</t>
  </si>
  <si>
    <t>DNA damage; acetylcholinesterase; alkaline elution; micronucleus test; heavy metals; biomonitoring</t>
  </si>
  <si>
    <t>MICRONUCLEUS TEST; MUSSEL-WATCH; MARINE; SEDIMENTS; CONTAMINANTS; METALS; SYSTEM; FISH</t>
  </si>
  <si>
    <t>A year-round biomonitoring study on blue mussels (Mytilus galloprovincialis) was carried out in 4 selected sites along the Gulf of Oristano (Sardinia, Italy): a commercial port (Port), the outlet of the S'Ena Arrubia and Marceddi lagoons (in the catchment area of intensive agricultural and diary activities, and abandoned mining), and a reference site (North). Heavy metal concentrations in sediments from Marceddi were 2-3 to 10-20 times higher in Pb, Cd and Zn, respectively, than those found at North and S'Ena Arrubia. Higher values (P &lt; 0.05) of micronuclei frequency were detected in mussels from Marceddi and Port compared to those detected in mussels from North and S'Ena Arrubia. DNA damage in animals from North was significantly lower than that at the other sites. Results of acetylcholinesterase inhibition consistently showed the strongest effects in mussels from Port and Marceddi. Our results suggest that these biomarkers can be used in coastal marine biomonitoring as early signals of exposure and adverse effects along a pollution gradient. (c) 2005 Elsevier Ltd. All rights reserved.</t>
  </si>
  <si>
    <t>Natl Inst Canc Res, Environm Carcinogenesis Unit, I-16132 Genoa, Italy; IMC, I-09072 Torregrade Oristano, Italy; Univ Genoa, DIBISAA, I-16132 Genoa, Italy</t>
  </si>
  <si>
    <t>University of Genoa; IRCCS AOU San Martino IST; University of Genoa</t>
  </si>
  <si>
    <t>Bolognesi, C (corresponding author), Natl Inst Canc Res, Environm Carcinogenesis Unit, Largo Rosanna Benzi 10, I-16132 Genoa, Italy.</t>
  </si>
  <si>
    <t>claudia.bolognesi@istge.it</t>
  </si>
  <si>
    <t>Falugi, Carla/I-3064-2019; Barat, José Manuel/N-6293-2015; Magni, Paolo/F-2691-2012; De Falco, Giovanni/A-2459-2012</t>
  </si>
  <si>
    <t>Falugi, Carla/0000-0002-2647-1498; Monteverde, Martino/0000-0003-2623-414X; Bolognesi, Claudia/0000-0002-9684-8406; Magni, Paolo/0000-0001-5955-6829; De Falco, Giovanni/0000-0002-4087-2933</t>
  </si>
  <si>
    <t>10.1016/j.envpol.2005.09.018</t>
  </si>
  <si>
    <t>http://dx.doi.org/10.1016/j.envpol.2005.09.018</t>
  </si>
  <si>
    <t>WOS:000237644600008</t>
  </si>
  <si>
    <t>Fish acanthocephalans of the genus Pomphorhynchus sp as globally applicable bioindicators for metal pollution in the aquatic environment?</t>
  </si>
  <si>
    <t>WIENER KLINISCHE WOCHENSCHRIFT</t>
  </si>
  <si>
    <t>37th Annual Meeting of the Austrian-Society-for-Tropical-Medicine-and-Parasitolgy</t>
  </si>
  <si>
    <t>MAY 09-10, 2003</t>
  </si>
  <si>
    <t>Vienna, AUSTRIA</t>
  </si>
  <si>
    <t>parasites; bioindicators; pollution; metals; Pomphorhynchus</t>
  </si>
  <si>
    <t>CHUB LEUCISCUS-CEPHALUS; LAEVIS PALAEACANTHOCEPHALA; LEAD ACCUMULATION; ZEBRA MUSSELS; HOST; PARASITES; CADMIUM; LUCII; INTESTINE; INDICATOR</t>
  </si>
  <si>
    <t>Intestinal helminths of fish, especially the acanthocephalans, have become increasingly interesting as potential bioindicators; for heavy metal contamination in aquatic habitats. Pomphorhynchus laevis from chub and barbel has been investigated frequently for its ability to take up and bioconcentrate metals within its body. This papers summarizes the present knowledge on P. laevis and its metal bioaccumulation properties in order to evaluate the applicability of species of the Pomphorhynchus genus as promising sentinels for heavy metals on a global scale.</t>
  </si>
  <si>
    <t>Univ Karlsruhe, Inst Zool, Geb 07-01,Kornblumenstr 13, D-76128 Karlsruhe, Germany.</t>
  </si>
  <si>
    <t>SPRINGER WIEN</t>
  </si>
  <si>
    <t>WIEN</t>
  </si>
  <si>
    <t>SACHSENPLATZ 4-6, PO BOX 89, A-1201 WIEN, AUSTRIA</t>
  </si>
  <si>
    <t>0043-5325</t>
  </si>
  <si>
    <t>1613-7671</t>
  </si>
  <si>
    <t>WIEN KLIN WOCHENSCHR</t>
  </si>
  <si>
    <t>Wien. Klin. Wochen.</t>
  </si>
  <si>
    <t>Medicine, General &amp; Internal</t>
  </si>
  <si>
    <t>General &amp; Internal Medicine</t>
  </si>
  <si>
    <t>890RP</t>
  </si>
  <si>
    <t>WOS:000226528800004</t>
  </si>
  <si>
    <t>Gomes, NA; Da Silva, EM; Silva, LTMD; Da Costa, DB; De Paiva, W; Monteiro, VED; De Melo, MC</t>
  </si>
  <si>
    <t>Gomes, Naiara Angelo; da Silva, Elisangela Maria; Muricy de Souza Silva, Luisa Thaynara; da Costa, Danilo Brito; de Paiva, William; Dessoles Monteiro, Veruschka Escariao; de Melo, Marcio Camargo</t>
  </si>
  <si>
    <t>Adsorption of pollutants in sanitary landfill leachate using granular activated carbon and bentonite clay</t>
  </si>
  <si>
    <t>Adsorption isotherms; Adsorption kinetics; Removal efficiency; Chemical oxygen demand; Ammoniacal nitrogen; Chromium</t>
  </si>
  <si>
    <t>AMMONIACAL NITROGEN; HEAVY-METALS; REMOVAL; COD; TOXICITY; EQUILIBRIUM; REDUCTION; ISOTHERM; SORPTION; MUSSEL</t>
  </si>
  <si>
    <t>Organic and inorganic pollutants in sanitary landfill leachates are harmful to the environment and human health and must be removed before reaching receptive waterbodies. Thus, this study aimed to determine the adsorption capacity of granular activated carbon (GAC) mixed with bentonite clay (BC) for the removal of chemical oxygen demand (COD), ammoniacal nitrogen (N-NH3), and total chromium (Cr) from the leachate generated in the Sanitary Landfill of Campina Grande, Paraiba, Brazil. Different compositions of these materials were tested, and the best one was determined based on central composite rotational design (CCRD) type 22. From this result, batch adsorption tests (isotherm and kinetics) were conducted using an adsorbing material:leachate ratio of 1:10, agitated at 130 rpm at 26 degrees C +/- 2 degrees C. The isothermal behavior of the adsorption process was evaluated using linear, Langmuir, and Freundlich models, whereas the sorption mechanisms and rates were evaluated by pseudo-first-order and pseudo-second-order kinetic models. The CCRD results indicated that the best composition for the batch adsorption tests was 75% GAC + 25% BC. The maximum adsorption capacities obtained were approximately 29.00, 2.60, and 0.78 mg g(-1) and the removal efficiencies were 80%-94%, 16.8%-30.4%, and 96.7%-99.7%, for COD, N-NH3, and Cr, respectively. The Freundlich model exhibited the best adjustment for COD, N-NH3, and Cr. Moreover, the pseudo-first-order kinetic model exhibited an acceptable adjustment only to COD, whereas the pseudo-second-order kinetic model was better adjusted to N-NH3, and Cr results.</t>
  </si>
  <si>
    <t>[Gomes, Naiara Angelo; da Silva, Elisangela Maria; Muricy de Souza Silva, Luisa Thaynara; da Costa, Danilo Brito; Dessoles Monteiro, Veruschka Escariao; de Melo, Marcio Camargo] Univ Fed Campina Grande, Dept Civil Engn, Campina Grande, Paraiba, Brazil; [de Paiva, William] Paraiba State Univ, Dept Sanit &amp; Environm Engn, Campina Grande, Paraiba, Brazil</t>
  </si>
  <si>
    <t>Universidade Federal de Campina Grande; Universidade Estadual da Paraiba</t>
  </si>
  <si>
    <t>Gomes, NA (corresponding author), Univ Fed Campina Grande, Dept Civil Engn, Campina Grande, Paraiba, Brazil.</t>
  </si>
  <si>
    <t>naiaraangeloccta@gmail.com; elisa_maria18@hotmail.com; luisa.muricy12@gmail.com; danilo.b.costa@hotmail.com; w.paiva461@gmail.com; veruschkamonteiro@hotmail.com; melomc90@gmail.com</t>
  </si>
  <si>
    <t>10.5004/dwt.2022.28125</t>
  </si>
  <si>
    <t>http://dx.doi.org/10.5004/dwt.2022.28125</t>
  </si>
  <si>
    <t>ZL5FI</t>
  </si>
  <si>
    <t>WOS:000763702400010</t>
  </si>
  <si>
    <t>Binelli, A; Provini, A</t>
  </si>
  <si>
    <t>DDT is still a problem in developed countries: the heavy pollution of Lake Maggiore</t>
  </si>
  <si>
    <t>zebra mussel; DDT; biomonitoring; freshwater ecosystems; Lake Maggiore</t>
  </si>
  <si>
    <t>MUSSEL DREISSENA-POLYMORPHA; ZEBRA MUSSEL; COASTAL WATERS; DEPOSITION; SEDIMENTS; BIVALVES; COLUMN; PALLAS; PCB; BAY</t>
  </si>
  <si>
    <t>The Zebra mussel (Dreissena polymorpha), one of the most widely used bioindicators of persistent organic pollutants, trace metals and radionuclides in several worldwide freshwater ecosystems, has been used to monitor DDT contamination trends in Lake Maggiore since 1996, caused by industrial effluents on a tributary of the River Toce, one of the major affluents of the lake. Dreissena specimens were collected at two sampling sites, one within the Baveno Bay, where the River Toce flows, and the other outside (Villa Taranto). Total DDT levels (3119.6 ng/g lipids at Baveno and 1351.2 ng/g lipids at Villa Taranto) in the soft tissues of the Zebra mussel decreased at both stations by about 30-50% in the first year after the closure of the chemical plant reaching an almost steady-state condition. The high concentrations measured in Zebra mussel specimens of Baveno Bay in 2000 (1947 ng/g lipids) and the percentage of pp'DDE in comparison with total DDT concentration, which showed a slight increase in the last years, clearly indicate that a contamination source is still present, deriving probably from the lacustrine sediments and the River Toce. Data show that the environmental risk is very high within the Baveno Bay and the recovery time should be longer than in the other parts of the lake, where DDT levels in Dreissena are presently two times higher than those measured in the other Italian subalpine lakes. (C) 2003 Elsevier Science Ltd. All rights reserved.</t>
  </si>
  <si>
    <t>Univ Milan, Dept Biol, I-20133 Milan, Italy</t>
  </si>
  <si>
    <t>University of Milan</t>
  </si>
  <si>
    <t>Binelli, A (corresponding author), Univ Milan, Dept Biol, Via Celoria 26, I-20133 Milan, Italy.</t>
  </si>
  <si>
    <t>Binelli, Andrea/B-2685-2017</t>
  </si>
  <si>
    <t>Binelli, Andrea/0000-0001-9953-7315</t>
  </si>
  <si>
    <t>10.1016/S0045-6535(03)00188-7</t>
  </si>
  <si>
    <t>http://dx.doi.org/10.1016/S0045-6535(03)00188-7</t>
  </si>
  <si>
    <t>690ZW</t>
  </si>
  <si>
    <t>WOS:000183581200007</t>
  </si>
  <si>
    <t>Alvarez-Iglesias, P; Rubio, B; Pérez-Arlucea, M</t>
  </si>
  <si>
    <t>Alvarez-Iglesias, Paula; Rubio, Belen; Perez-Arlucea, Marta</t>
  </si>
  <si>
    <t>Reliability of subtidal sediments as geochemical recorders of pollution input:: San Simon Bay (Ria de Vigo, NW Spain)</t>
  </si>
  <si>
    <t>heavy metals; metal pollution; contamination indexes; Principal Component Analysis; subtidal sediments; Spain; Ria de Vigo; San Simon Bay</t>
  </si>
  <si>
    <t>HEAVY-METALS; ESTUARINE SEDIMENTS; COASTAL SEDIMENTS; MARINE-SEDIMENTS; IBERIAN MARGIN; ORGANIC-MATTER; DE-VIGO; GALICIA; BAIXAS; CONTAMINATION</t>
  </si>
  <si>
    <t>The concentrations of both major and trace elements in San Simon Bay's subtidal sediments were determined for the purposes of (1) evaluating the influence of anthropogenic activities on metal content (against pre-anthropogenic background values attained via the deepest core samples), (2) establishing the subtidal sediments' degrees of pollution in recent decades, and (3) determining the influence of mussel raft systems on the composition of bottom sediments. Subtidal sediments consist of laminated, organic-rich, fine-grained sediments with low carbonate content and a notable presence of gas in their lower part. The recent sedimentary record revealed pollution, mainly from Ph and Cu, rising toward the sediment surface. The sources of various heavy metals were accordingly identified, with the application of Principal Component Analysis to discriminate among the different metal sources. It has been found that the mineralogy of the catchment area determines the overall composition, whereas biogenic production and anthropogenic activities contribute to the total metal content. At the same time, mariculture influences the composition of underlying sea bottom sediments, by changing the inorganic carbon content. Finally, evidence is provided to show how sediment composition is tied mainly to aquaculture and watershed characteristics via conditioning by anthropogenic activities. (c) 2006 Elsevier Ltd. All rights reserved.</t>
  </si>
  <si>
    <t>Univ Vigo, Fac Ciencias Mar, Dept Geosciencias Marinas &amp; Ordenac Terr, Vigo 36310, Pontevedra, Spain</t>
  </si>
  <si>
    <t>Rubio, B (corresponding author), Univ Vigo, Fac Ciencias Mar, Dept Geosciencias Marinas &amp; Ordenac Terr, Vigo 36310, Pontevedra, Spain.</t>
  </si>
  <si>
    <t>brubio@uvigo.es</t>
  </si>
  <si>
    <t>Iglesias, Paula/A-8660-2017; Rubio, Belén/A-6326-2008; Perez-Arlucea, Marta/M-1825-2014</t>
  </si>
  <si>
    <t>Rubio, Belen/0000-0003-4712-1099; Alvarez-Iglesias, Paula/0000-0003-1296-3501; Perez-Arlucea, Marta/0000-0002-4592-3314</t>
  </si>
  <si>
    <t>10.1016/j.ecss.2006.07.001</t>
  </si>
  <si>
    <t>http://dx.doi.org/10.1016/j.ecss.2006.07.001</t>
  </si>
  <si>
    <t>103YS</t>
  </si>
  <si>
    <t>WOS:000241923700015</t>
  </si>
  <si>
    <t>An, WB; Liu, YF; Chen, H; Sun, XY; Wang, QQ; Hu, XC; Di, JZ</t>
  </si>
  <si>
    <t>An, Wenbo; Liu, Yifan; Chen, He; Sun, Xueying; Wang, Qiqi; Hu, Xuechun; Di, Junzhen</t>
  </si>
  <si>
    <t>Adsorption properties of Pb(II) and Cd(II) in acid mine drainage by oyster shell loaded lignite composite in different morphologies</t>
  </si>
  <si>
    <t>Acid mine drainage; Lignite; Oyster shell; Adsorbent morphology; Adsorption; Heavy metal</t>
  </si>
  <si>
    <t>AQUEOUS-SOLUTIONS; WASTE-WATER; REMOVAL; MECHANISM; IONS; PYROLYSIS; ADSORBENT; BEHAVIOR; ZEOLITE; SULFATE</t>
  </si>
  <si>
    <t>A new idea to alleviate environmental pollution is the development of low-cost adsorbents using natural minerals and fishery wastes to treat high concentrations of heavy metal pollutants in acid mine drainage (AMD). Adsorbent morphology, adsorptive and regenerative capacity, and application potential are limiting factors for their large-scale use. Oyster shells capable of releasing alkalinity were loaded on the surface of lignite to develop two composite adsorbents with different morphologies (powdery and globular) for the treatment of AMD containing Pb(II) and Cd(II). The results show that the ability of the adsorbent to treat AMD is closely related to its morphologies. The pseudo-second-order kinetic model and the Langmuir model are suitable to describe the adsorption process of OS-M(P), and the maximum adsorption saturation capacities of Pb(II) and Cd(II) are 332.6219 mg/g and 318.9854 mg/g, respectively. The pseudo-second-order kinetic model and the Freundlich model are suitable to describe the adsorption process of OS-M(G). A synergistic result of electrostatic adsorption, neutralization precipitation, ion exchange and complex reaction is achieved in the removal of Pb(II) and Cd(II) by two morphologies of adsorbents. The regeneration times (5 times) and recovery rate (75.75%) of OS-M(G) are higher than those of OS-M(P) (3 times) and recovery rate (20%). The ability of OS-M(G) to treat actual AMD wastewater is still better than that of OS-M(P). OS-M(G) can be used as a promising environmentally friendly adsorbent for the long-term remediation of AMD. This study provides a comprehensive picture of resource management and reuse opportunities for natural mineral and fishery wastes.</t>
  </si>
  <si>
    <t>[An, Wenbo] Liaoning Tech Univ, Ordos Inst, Ordos 017000, Peoples R China; [An, Wenbo; Liu, Yifan; Wang, Qiqi; Hu, Xuechun; Di, Junzhen] Liaoning Tech Univ, Sch Civil Engn, 88 Yulong Rd, Fuxin 123000, Liaoning, Peoples R China; [Chen, He] Liaoning Tech Univ, Sch Mech Engn, Fuxin 123000, Peoples R China; [Sun, Xueying] Shanghai Chem Ind Zone Sino French Water Dev Co LT, Shanghai 200000, Peoples R China</t>
  </si>
  <si>
    <t>Liaoning Technical University; Liaoning Technical University; Liaoning Technical University</t>
  </si>
  <si>
    <t>An, WB (corresponding author), Liaoning Tech Univ, Ordos Inst, Ordos 017000, Peoples R China.;An, WB (corresponding author), Liaoning Tech Univ, Sch Civil Engn, 88 Yulong Rd, Fuxin 123000, Liaoning, Peoples R China.</t>
  </si>
  <si>
    <t>WB_An1992@163.com</t>
  </si>
  <si>
    <t>Wang, Qiqi/AAD-6433-2021</t>
  </si>
  <si>
    <t>Basic scientific research project of Liaoning Provincial Department of Education; University-local government scientific and technical cooperation cultivation project of Ordos Institute-LNTU [YJY-XD-2024-A-006]; National Natural Science Foundation of China [41672247]; Key Projects of Liaoning Provincial Department of Education [LJKZ0324]; [JYTMS20230791]</t>
  </si>
  <si>
    <t>Basic scientific research project of Liaoning Provincial Department of Education; University-local government scientific and technical cooperation cultivation project of Ordos Institute-LNTU; National Natural Science Foundation of China(National Natural Science Foundation of China (NSFC)); Key Projects of Liaoning Provincial Department of Education;</t>
  </si>
  <si>
    <t>This work was supported by the University-local government scientific and technical cooperation cultivation project of Ordos Institute-LNTU (YJY-XD-2024-A-006), the Basic scientific research project of Liaoning Provincial Department of Education (JYTMS20230791), the National Natural Science Foundation of China (No. 41672247), the Key Projects of Liaoning Provincial Department of Education (LJKZ0324).</t>
  </si>
  <si>
    <t>MAY 21</t>
  </si>
  <si>
    <t>10.1038/s41598-024-62506-0</t>
  </si>
  <si>
    <t>http://dx.doi.org/10.1038/s41598-024-62506-0</t>
  </si>
  <si>
    <t>RQ1B8</t>
  </si>
  <si>
    <t>WOS:001229023500010</t>
  </si>
  <si>
    <t>Dorey, N; Martin, S; Oberhänsli, F; Teyssié, JL; Jeffree, R; Lacoue-Labarthe, T</t>
  </si>
  <si>
    <t>Dorey, Narimane; Martin, Sophie; Oberhansli, Francois; Teyssie, Jean-Louis; Jeffree, Ross; Lacoue-Labarthe, Thomas</t>
  </si>
  <si>
    <t>Ocean acidification modulates the incorporation of radio-labeled heavy metals in the larvae of the Mediterranean sea urchin Paracentrotus lividus</t>
  </si>
  <si>
    <t>Developmental biology; Bioaccumulation kinetics; Metals; Radionuclide; Pollution; CO2; Ocean acidification</t>
  </si>
  <si>
    <t>BIVALVES CRASSOSTREA-VIRGINICA; INCREASES COPPER TOXICITY; TRACE-METALS; ACID-BASE; SEAWATER ACIDIFICATION; COMMON CUTTLEFISH; INCREASED PCO(2); CARBONIC-ACID; LIFE STAGES; CADMIUM</t>
  </si>
  <si>
    <t>The marine organisms which inhabit the coastline are exposed to a number of anthropogenic pressures that may interact. For instance, the accumulation of toxic metals present in coastal waters is expected to be modified by ocean acidification through e.g. changes in physiological performance and/or elements availability. Changes in bioaccumulation due to lowering pH are likely to be differently affected depending on the nature (essential vs. non-essential) and speciation of each element. The Mediterranean is of high concern for possible cumulative effects due to strong human influences on the coastline. The aim of this study was to determine the effect of ocean acidification (from pH 8.1 down to - 1.0 pH units) on the incorporation kinetics of six trace metals (Mn, Co, Zn, Se, Ag, Cd, Cs) and one radionuclide (Am-241) in the larvae of an economically- and ecologically-relevant sea urchin of the Mediterranean coastline: Paracentrotus lividus. The radiolabelled metals and radionuclides added in trace concentrations allowed precise tracing of their incorporation in larvae during the first 74 h of their development. Independently of the expected indirect effect of pH on larval size/developmental rates, Paracentrotus lividus larvae exposed to decreasing pHs incorporated significantly more Mn and Ag and slightly less Cd. The incorporation of Co, Cs and Am-241 was unchanged, and Zn and Se exhibited complex incorporation behaviors. Studies such as this are necessary prerequisites to the implementation of metal toxicity mitigation policies for the future ocean. We discuss possible reasons and mechanisms for the specific effect of pH on each metals.</t>
  </si>
  <si>
    <t>[Dorey, Narimane; Martin, Sophie; Oberhansli, Francois; Teyssie, Jean-Louis; Jeffree, Ross; Lacoue-Labarthe, Thomas] IAEA, Environm Labs, 4 Quai Antoine Ier, Monaco, Monaco; [Dorey, Narimane; Lacoue-Labarthe, Thomas] Univ La Rochelle, CNRS, Inst Littoral &amp; Environnem, Littoral Environm &amp; Soc LIENSs,UMR 7266, 2 Rue Olympe Gouges, F-17000 La Rochelle, France; [Martin, Sophie] UPMC Univ Paris 06, Sorbonne Univ, Lab Adaptat &amp; Divers Milieu Marin, Stn Biol, Pl Georges Teissier, F-29688 Roscoff, France; [Martin, Sophie] CNRS, UMR 7144, Stn Biol,Pl Georges Teissier, F-29688 Roscoff, France; [Jeffree, Ross] Univ Technol, Life Sci, C3, POB 123, Broadway, NSW 2007, Australia</t>
  </si>
  <si>
    <t>La Rochelle Universite; Centre National de la Recherche Scientifique (CNRS); CNRS - Institute of Ecology &amp; Environment (INEE); Sorbonne Universite; Sorbonne Universite; Centre National de la Recherche Scientifique (CNRS); CNRS - Institute of Ecology &amp; Environment (INEE); University of Technology Sydney</t>
  </si>
  <si>
    <t>Dorey, N (corresponding author), Inst Marine Res, POB 1870 Nordnes, N-5817 Bergen, Norway.</t>
  </si>
  <si>
    <t>Lacoue-Labarthe, Thomas/H-4963-2019; Martin, Sophie/AAE-3198-2019</t>
  </si>
  <si>
    <t>MARTIN, Sophie/0000-0002-1256-3674; Dorey, Narimane/0000-0003-2814-1406; Lacoue-Labarthe, Thomas/0000-0002-4682-8730</t>
  </si>
  <si>
    <t>Government of the Principality of Monaco; European Community's Seventh Framework Programme (FP7/2007-2013) [211384]</t>
  </si>
  <si>
    <t>Government of the Principality of Monaco; European Community's Seventh Framework Programme (FP7/2007-2013)(European Union (EU))</t>
  </si>
  <si>
    <t>The IAEA is grateful for the support provided to its Marine Environment Laboratory by the Government of the Principality of Monaco. We are grateful to D. Luquet, L. Gilletta and J.-Y. Carval for sea urchin sampling in the field. This work is a contribution to the 'European Project on Ocean Acidification' (EPOCA), which received funding from the European Community's Seventh Framework Programme (FP7/2007-2013) under grant agreement no. 211384.</t>
  </si>
  <si>
    <t>1879-1700</t>
  </si>
  <si>
    <t>10.1016/j.jenvrad.2018.04.017</t>
  </si>
  <si>
    <t>http://dx.doi.org/10.1016/j.jenvrad.2018.04.017</t>
  </si>
  <si>
    <t>GJ1WA</t>
  </si>
  <si>
    <t>WOS:000435057400003</t>
  </si>
  <si>
    <t>Lan, WR; Huang, XG; Lin, LX; Li, SX; Liu, FJ</t>
  </si>
  <si>
    <t>Lan, Wang-Rong; Huang, Xu-Guang; Lin, Lu-xiu; Li, Shun-Xing; Liu, Feng-Jiao</t>
  </si>
  <si>
    <t>Thermal discharge influences the bioaccumulation and bioavailability of metals in oysters: Implications of ocean warming</t>
  </si>
  <si>
    <t>Ocean warming; Thermal pollution; Metal oral bioavailability; Metal accumulation; Oysters; Food safety</t>
  </si>
  <si>
    <t>TEMPERATURE TOLERANCE; CRASSOSTREA-VIRGINICA; IRON AVAILABILITY; RISK-ASSESSMENT; TRACE-ELEMENTS; HEAVY-METALS; BIOACCESSIBILITY; TOXICITY; CADMIUM; EUTROPHICATION</t>
  </si>
  <si>
    <t>Human-induced temperature changes influence coastal regions, both via thermal pollution and ocean warming, which exerts profound effects on the chemistry of metals and the physiology of organisms. However, it remains unknown whether the increased temperature of discharged water or ocean warming, as a result of climate change, lead to an increase of human health risks associated with the consumption of sea foods. In this study, the influence of temperature on metal accumulation by oysters was studied in individuals collected from a coastal area affected by the thermal water discharge of the Houshi Power Plant, China. The bioaccumulation factor (BAF) and oral bioavailability (OBA) of metals in oysters was determined. Elevated temperatures led to an increase in BAF for Cu, Zn, Hg, and Cd (p &lt; 0.05), but no change was observed for As and Pb (p &gt; 0.05). The OBA for Cd, As, and Pb correlated positively to elevated temperatures (p &lt; 0.05). However, for Cu and Zn, OBA was negatively correlated with increasing temperature (p &lt; 0.05). As, Pb, and Cd in the trophically available metal (defined as a sum of heat-stable proteins, heat-denaturable proteins, and organelles) was significantly elevated at the highest temperature seawater site (site A) compared to the lowest seawater site (site B). Thus, the irregular variation of OBA for each metal may be the result of variations in the subcellular distribution of metals and the protein quality influenced by the increased temperature. Moreover, the increased temperature and increased the hazard quotient values of As and Cd (p &lt; 0.05 for As, n = 6, p &lt; 0.05 for Cd, n = 6), which provided an indication of the potential risks of the consumption of oysters or other seafood to future warming under climate change scenarios. (C) 2019 Published by Elsevier Ltd.</t>
  </si>
  <si>
    <t>[Lan, Wang-Rong; Huang, Xu-Guang; Lin, Lu-xiu; Li, Shun-Xing; Liu, Feng-Jiao] Minnan Normal Univ, Fujian Prov Key Lab Pollut Monitoring &amp; Control, Zhangzhou 363000, Peoples R China; [Huang, Xu-Guang; Lin, Lu-xiu; Li, Shun-Xing; Liu, Feng-Jiao] Minnan Normal Univ, Fujian Prov Key Lab Modern Analyt Sci &amp; Separat T, Zhangzhou 363000, Peoples R China; [Huang, Xu-Guang; Lin, Lu-xiu; Li, Shun-Xing; Liu, Feng-Jiao] Minnan Normal Univ, Coll Chem Chem Engn &amp; Environm, Zhangzhou 363000, Peoples R China; [Li, Shun-Xing] Xiamen Univ, Key Lab Coastal &amp; Wetland Ecosyst, Minist Educ, Xiamen 361005, Peoples R China</t>
  </si>
  <si>
    <t>MinNan Normal University; MinNan Normal University; MinNan Normal University; Xiamen University</t>
  </si>
  <si>
    <t>Huang, XG (corresponding author), Minnan Normal Univ, Coll Chem &amp; Environm Sci, Zhangzhou 363000, Peoples R China.</t>
  </si>
  <si>
    <t>huangxuguang@munu.edu.cn</t>
  </si>
  <si>
    <t>Huang, Xu/HOH-0307-2023</t>
  </si>
  <si>
    <t>National Natural Science Foundation of China [41976150]; Natural Science Foundation of Fujian [2019J01747]; Natural Science Foundation of Zhangzhou [ZZ2018J16]; Education-Science Research Project for Young and Middle-aged Teachers of Fujian [JAT170341]; Training Program of Fujian Excellent Talents in University (FETU); Program for Innovation and Entrepreneurship [201810402068]; Program for New Doctor in Minnan Normal University</t>
  </si>
  <si>
    <t>National Natural Science Foundation of China(National Natural Science Foundation of China (NSFC)); Natural Science Foundation of Fujian(Natural Science Foundation of Fujian Province); Natural Science Foundation of Zhangzhou; Education-Science Research Project for Young and Middle-aged Teachers of Fujian; Training Program of Fujian Excellent Talents in University (FETU); Program for Innovation and Entrepreneurship; Program for New Doctor in Minnan Normal University</t>
  </si>
  <si>
    <t>We gratefully thank Dr. Michael Ellwood from Australia National University for his provided comments and assistance with English. This work was supported by the National Natural Science Foundation of China (41976150), the Natural Science Foundation of Fujian (2019J01747), the Natural Science Foundation of Zhangzhou (ZZ2018J16), the Education-Science Research Project for Young and Middle-aged Teachers of Fujian (No. JAT170341), the Training Program of Fujian Excellent Talents in University (FETU), the Program for Innovation and Entrepreneurship to College Students (201810402068), and the Program for New Doctor in Minnan Normal University.</t>
  </si>
  <si>
    <t>10.1016/j.envpol.2019.113821</t>
  </si>
  <si>
    <t>http://dx.doi.org/10.1016/j.envpol.2019.113821</t>
  </si>
  <si>
    <t>LH1FH</t>
  </si>
  <si>
    <t>WOS:000528534600118</t>
  </si>
  <si>
    <t>Loaiza, I; Pillet, M; De Boeck, G; De Troch, M</t>
  </si>
  <si>
    <t>Loaiza, I.; Pillet, M.; De Boeck, G.; De Troch, M.</t>
  </si>
  <si>
    <t>Peruvian scallop Argopecten purpuratus: From a key aquaculture species to a promising biondicator species</t>
  </si>
  <si>
    <t>Multi-biomarker approach; Argopecten purpuratus; Bioindicator species; Environmental status</t>
  </si>
  <si>
    <t>FATTY-ACID BIOMARKERS; CHLAMYS-VARIA; HEAVY-METALS; CADMIUM; BAY; ACCUMULATION; PECTINIDAE; TISSUES; STRESS; FOOD</t>
  </si>
  <si>
    <t>The present study analyzed the Peruvian scallop Argopecten purpuratus and its food sources for metal and fatty acid concentrations in order to determine spatial and temporal differences. Metals such as copper (Cu), manganese (Mn), and zinc (Zn) in gills and iron (Fe) and Zn in sediments were the most significant explaining factors for spatial differentiations (degree of contamination), while for fatty acids, it was C14:0, C15:0, C16:0 and C18:0 in A. purpuratus' muscle and in its food sources, which explained more temporal differences (El Nino-Southern Oscillation (ENSO) effect). Gills, digestive gland and intestine were the tissues where metal accumulation was the highest in A. purpuratus. Cd in digestive gland was always high, up to similar to 250-fold higher than in other tissues, as previously reported in other bioindicator species for metal pollution. Fatty acids were good biomarkers when annual comparisons were performed, while metals when locations were compared. ENSO 2017 played an important role to disentangle A. purpuratus' biological conditions and food sources. A. purpuratus from Paracas locations mostly showed higher metal concentrations in gills and digestive glands, and lower fatty acid concentrations in muscle than those from Sechura and Illescas Reserved Zone. (C) 2019 Elsevier Ltd. All rights reserved.</t>
  </si>
  <si>
    <t>[Loaiza, I.; De Troch, M.] Univ Ghent, Dept Biol, Marine Biol, Krijgslaan 281-S8, B-9000 Ghent, Belgium; [Loaiza, I.; Pillet, M.; De Boeck, G.] Univ Antwerp, SPHERE Systemat Physiol &amp; Ecotoxicol Res, Groenenborgerlaan 171, B-2020 Antwerp, Belgium; [Loaiza, I.] Univ Cient Sur Av, Carrera Biol Marina, Antigua Carretera Panamer Km 19 Villa El Salvador, Lima 42, Peru</t>
  </si>
  <si>
    <t>Ghent University; University of Antwerp; Universidad Cientifica del Sur (CIENTIFICA)</t>
  </si>
  <si>
    <t>Loaiza, I (corresponding author), Univ Ghent, Dept Biol, Marine Biol, Krijgslaan 281-S8, B-9000 Ghent, Belgium.</t>
  </si>
  <si>
    <t>ivan.loaizaalamo@ugent.be</t>
  </si>
  <si>
    <t>De Troch, Marleen/AAB-9809-2019; Alamo, Iván/AAF-7531-2019; De Boeck, Gudrun/A-1938-2015</t>
  </si>
  <si>
    <t>Pillet, Marion/0000-0002-4486-595X; De Troch, Marleen/0000-0002-6800-0299; De Boeck, Gudrun/0000-0003-0941-3488; Loaiza, Ivan/0000-0001-8061-5678</t>
  </si>
  <si>
    <t>Consejo Nacional de Ciencia, Tecnologia e Innovacion Tecnologica (CONCYTEC), Peru [214-2015-FONDECYT]; EMBRC Belgium - FWO [20151029-03, 20140910-03]; Special Research Fund of Ghent University (BOF-UGent)</t>
  </si>
  <si>
    <t>Consejo Nacional de Ciencia, Tecnologia e Innovacion Tecnologica (CONCYTEC), Peru; EMBRC Belgium - FWO(FWO); Special Research Fund of Ghent University (BOF-UGent)</t>
  </si>
  <si>
    <t>Sincere thanks to ACQUAPISCO SA. staff members and interns for their support during the Summer Sampling Campaign I (2016) and II (2017). We would also like to thank Bruno Vlaeminck (UGent), Joosen Steven and Valentine Mubiana (UAntwerp) for their help in chemical analysis. Thanks to Renata A.M.S that helped with the ArcGIS of this publication. This research is in frame of the MACOPSproject (https://macopsproject.wordpress.com/) and was supported and financed by Consejo Nacional de Ciencia, Tecnologia e Innovacion Tecnologica (CONCYTEC), Peru. Contrato 214-2015-FONDECYT. The research leading to results presented in this publication was carried out with infrastructure funded by EMBRC Belgium - FWO agreement 20151029-03 and Hercules agreement 20140910-03. The FA analyses were supported by Special Research Fund of Ghent University (BOF-UGent) in the form of the starting grant 'Energy transfer at the basis of marine food webs in a changing world' awarded to the last author.</t>
  </si>
  <si>
    <t>10.1016/j.chemosphere.2019.124767</t>
  </si>
  <si>
    <t>http://dx.doi.org/10.1016/j.chemosphere.2019.124767</t>
  </si>
  <si>
    <t>JP5LH</t>
  </si>
  <si>
    <t>WOS:000498305500017</t>
  </si>
  <si>
    <t>Andreani, G; Carpenè, E; Capranico, G; Isani, G</t>
  </si>
  <si>
    <t>Andreani, Giulia; Carpene, Emilio; Capranico, Giovanni; Isani, Gloria</t>
  </si>
  <si>
    <t>Metallothionein cDNA cloning, metallothionein expression and heavy metals in Scapharca inaequivalvis along the Northern Adriatic coast of Italy</t>
  </si>
  <si>
    <t>Scapharca inaequivalvis; Metals; Metallothionein; MTcDNA; Pollution monitoring; Northern Adriatic Sea</t>
  </si>
  <si>
    <t>MYTILUS-GALLOPROVINCIALIS; BINDING PROTEINS; PACIFIC OYSTER; MESSENGER-RNA; CADMIUM EXPOSURE; OXIDATIVE STRESS; TRACE-METALS; MUSSELS; GENE; SEA</t>
  </si>
  <si>
    <t>The aims of this work were: (1) identification of the metallothionein (MT) gene coding sequence in order to prepare an MT probe in Scapharca inaequivalvis and (2) quantification of Cd, Zn, Cu, MT and MTmRNA expression in tissues of molluscs from three areas along the Northern Adriatic coast of Italy. By RT-PCR we cloned the MTcDNA of S. inaequivalvis using the RNA extracted from hepatopancreas of specimens exposed to Cd. The 61 amino acids sequence of MT was deduced and was 70% identical to S. brughtonii MT. Cd concentration in molluscs from the wild was significantly higher in gills from specimens sampled near Ravenna. Zn concentration in the same tissue was significantly higher in Ravenna with respect to Porto Garibaldi while no difference with respect to Cesenatico was detected. Cu levels showed significant differences among sites in gills and mantle whereas values in the hepatopancreas were similar in all sites. The low MT levels were indicative of a low metal exposure; few differences were found in MTmRNA concentrations, which resulted significantly higher in hepatopancreas of molluscs from Porto Garibaldi. (C) 2010 Elsevier Inc. All rights reserved.</t>
  </si>
  <si>
    <t>[Andreani, Giulia; Carpene, Emilio; Isani, Gloria] Alma Mater Studiorum Univ Bologna, Clin Vet Dept, I-40064 Bologna, Italy; [Capranico, Giovanni] Alma Mater Studiorum Univ Bologna, G Moruzzi Dept Biochem, I-40064 Bologna, Italy</t>
  </si>
  <si>
    <t>Isani, G (corresponding author), Alma Mater Studiorum Univ Bologna, Clin Vet Dept, Via Tolara di Spora 50, I-40064 Bologna, Italy.</t>
  </si>
  <si>
    <t>gloria.isani@unibo.it</t>
  </si>
  <si>
    <t>Capranico, Giovanni/K-1678-2014</t>
  </si>
  <si>
    <t>Capranico, Giovanni/0000-0002-8708-6454; ANDREANI, Giulia/0000-0003-0509-1952; Isani, Gloria/0000-0002-3911-8749</t>
  </si>
  <si>
    <t>We thank Dr. Stefano Cottignoli for his valuable help in MTcDNA probe preparation, Dr. Giuseppe Montanari (Struttura Oceanografica Daphne - Emilia Romagna) for the sampling of molluscs along the Emilia Romagna coast. This work has been supported by Progetto pluriennale di Ateneo 2002-2004 (E.C.) and RFO 2006-2007 (G.I.) from the University of Bologna.</t>
  </si>
  <si>
    <t>10.1016/j.ecoenv.2010.12.008</t>
  </si>
  <si>
    <t>http://dx.doi.org/10.1016/j.ecoenv.2010.12.008</t>
  </si>
  <si>
    <t>WOS:000288226700022</t>
  </si>
  <si>
    <t>Freitas, R; Pinto, LR; Sampaio, M; Costa, A; Silva, M; Rodrigues, AM; Quintino, V; Figueira, E</t>
  </si>
  <si>
    <t>Freitas, R.; Pinto, L. Ramos; Sampaio, M.; Costa, A.; Silva, M.; Rodrigues, A. M.; Quintino, V.; Figueira, E.</t>
  </si>
  <si>
    <t>Effects of depuration on the element concentration in bivalves: Comparison between sympatric Ruditapes decussatus and Ruditapes philippinarum</t>
  </si>
  <si>
    <t>clams; metals; As; depuration; oxidative stress; antioxidant defences; metallothioneins</t>
  </si>
  <si>
    <t>SEDIMENT QUALITY ASSESSMENT; CERASTODERMA-EDULE; METAL CONCENTRATIONS; SUBCELLULAR COMPARTMENTALIZATION; METALLOTHIONEIN INDUCTION; CADMIUM CONTAMINATION; POLLUTION BIOMARKERS; SCROBICULARIA-PLANA; NATURAL-POPULATION; POTENTIAL USE</t>
  </si>
  <si>
    <t>Organisms living in coastal ecosystems are frequently subjected to anthropogenic pressures such as metals. Metals, especially those not required for metabolic activity (e.g. mercury, lead and cadmium) can be toxic even at quite low concentrations not only to organisms that accumulate them, but also to their consumers. Throughout the world, Ruditapes decussatus and Ruditapes philippinarum have been successfully commercialised for human consumption and for monitoring environmental conditions such as contamination. These two clam species share similar habitats and requirements, successfully competing both in the natural environment and in aquaculture farms. Because differences in metal accumulation may exist between R. decussatus and R. philippinarum, different risks to public health may overcome as well as distinct ecological implications. The effect of depuration on the metal burden and biochemical status of both clams species may also diverge and since the information available is subjective and scarce, the aims of the present study were to: 1) assess the total metal accumulation and intracellular partitioning, at natural conditions, in the two clam species collected at the same site; 2) evaluate the effect of depuration as a mean of reducing the levels of distinct elements, assessing also the effect of depuration time (2 and 7 days); 3) investigate the efficiency of depuration by biochemical status of the two bivalve species, evaluating changes in lipid peroxidation and activity of antioxidant enzymes catalase (CAT), superoxide dismutase (SOD) and of glutathione S-transferase (GST). Metal chelation by metallothioneins (MTs) was also determined. The results obtained showed that concentration of elements in clams was low, presenting very similar concentration levels for all elements. The present work further demonstrated that the total element concentration decreased in the shorter depuration period (2 days) and that R. decussatus and R. philippinarum partitioned elements preferentially in the insoluble fraction. The percentage of elements in the soluble fraction was lower in the longer depuration period, reducing the dietary bioavailability of elements and thus the health risk to consumers of depurated bivalves. In general, LPO, CAT, SOD and GSTs showed a decreased from environmental to depuration conditions, revealing that depuration reduces the oxidative stress that organisms were subjected in the environment. The lower MTs production observed in the longer depuration period, although no significantly different from the remaining periods, may be explained by the distinct metal allocation between both soluble and insoluble fractions. (C) 2012 Elsevier Ltd. All rights reserved.</t>
  </si>
  <si>
    <t>[Freitas, R.; Pinto, L. Ramos; Sampaio, M.; Costa, A.; Silva, M.; Rodrigues, A. M.; Quintino, V.; Figueira, E.] Univ Aveiro, Dept Biol, P-3810193 Aveiro, Portugal; [Freitas, R.; Rodrigues, A. M.; Quintino, V.] Univ Aveiro, CESAM, P-3810193 Aveiro, Portugal; [Figueira, E.] Univ Aveiro, CBC, P-3810193 Aveiro, Portugal</t>
  </si>
  <si>
    <t>Costa, Ana/K-5354-2013; Figueira, Etelvina/M-6116-2013; Ramos Pinto, Lourenco/D-1184-2016; Freitas, Rosa/A-7539-2012; Rodrigues, Ana Maria/F-6968-2019; Quintino, Victor/E-7436-2010</t>
  </si>
  <si>
    <t>Figueira, Etelvina/0000-0002-6763-2665; Ramos Pinto, Lourenco/0000-0001-6877-1264; Costa, Ana/0000-0001-5359-1981; Freitas, Rosa/0000-0003-4900-3897; Rodrigues, Ana Maria/0000-0003-4506-5783; Quintino, Victor/0000-0001-6298-4285</t>
  </si>
  <si>
    <t>CESAM; CBC (Department of Biology, University of Aveiro)</t>
  </si>
  <si>
    <t>This work was supported by CESAM and CBC (Department of Biology, University of Aveiro) own research funds.</t>
  </si>
  <si>
    <t>10.1016/j.ecss.2012.01.011</t>
  </si>
  <si>
    <t>http://dx.doi.org/10.1016/j.ecss.2012.01.011</t>
  </si>
  <si>
    <t>003PX</t>
  </si>
  <si>
    <t>WOS:000308624900006</t>
  </si>
  <si>
    <t>Sun, FH; Zhou, QX; Wang, ME; An, J</t>
  </si>
  <si>
    <t>Sun, Fuhong; Zhou, Qixing; Wang, Meie; An, Jing</t>
  </si>
  <si>
    <t>Joint stress of copper and petroleum hydrocarbons on the polychaete Perinereis aibuhitensis at biochemical levels</t>
  </si>
  <si>
    <t>Polychaete Perinereis aibuhitensis Grube; Antioxidant biomarker; Superoxide dismutase (SOD); Peroxidase (POD); Total soluble protein (TSP); Petroleum hydrocarbons (PHCs)</t>
  </si>
  <si>
    <t>ANTIOXIDANT ENZYME-ACTIVITIES; LAEONEREIS-ACUTA POLYCHAETA; FRESH-WATER BIVALVES; OXIDATIVE STRESS; LIPID-PEROXIDATION; ENVIRONMENTAL-QUALITY; HEDISTE-DIVERSICOLOR; UNIO-TUMIDUS; BIOMARKERS; CADMIUM</t>
  </si>
  <si>
    <t>Responses of the polychaete Perinereis aibuhitensis Grube to single and joint stress of copper (Cu) and petroleum hydrocarbons (PHCs) at biochemical levels (including superoxide dismutases, SOD; peroxidases, POD; and the content of total soluble protein, TSP) were investigated under controlled laboratorial conditions. Significant decreases in SOD activity in the first 3 days of single exposure to Cu or PHCs were observed. Although SOD activity increased and returned to the level of the control on day 6 after having decreased on day 3 under single stress of Cu or PHCs, Cu and PHCs had complicated interactive influences on SOD activity in P. aibuhitensis. Their joint effects on SOD activity depended on concentration combinations and exposure time, called double-dose dependent effects. The POD activity and the content of TSP remained generally constant under both single and joint stress of Cu and/or PHCs, compared with the control. The beef-witted responses of investigated biochemical parameters in this study might suggest that toxic effects of pollutants with emphasis on the action of abiotic parameters and the time factor on the antioxidant enzymes in the polychaete should be addressed in the future work. (C) 2009 Elsevier Inc. All rights reserved.</t>
  </si>
  <si>
    <t>[Sun, Fuhong; Zhou, Qixing; Wang, Meie; An, Jing] Chinese Acad Sci, Key Lab Terr Ecol Proc, Inst Appl Ecol, Shenyang 110016, Peoples R China; [Sun, Fuhong; Wang, Meie; An, Jing] Chinese Acad Sci, Grad Sch, Beijing 100049, Peoples R China; [Zhou, Qixing] Nankai Univ, Key Lab Pollut Proc &amp; Environm Criteria, Minist Educ, Coll Environm Sci &amp; Engn, Tianjin 300071, Peoples R China</t>
  </si>
  <si>
    <t>Zhou, QX (corresponding author), Chinese Acad Sci, Key Lab Terr Ecol Proc, Inst Appl Ecol, Shenyang 110016, Peoples R China.</t>
  </si>
  <si>
    <t>zhouqx523@yahoo.com</t>
  </si>
  <si>
    <t>zhou, qi/JEF-7253-2023; Sun, Fuhong/HME-3205-2023</t>
  </si>
  <si>
    <t>Ministry of Science and Technology, People's Republic of China [2004CB418503]; National Natural Science Foundation of China [20477049]; Ministry of Education, People's Republic of China [707011]</t>
  </si>
  <si>
    <t>Ministry of Science and Technology, People's Republic of China(Ministry of Science and Technology, China); National Natural Science Foundation of China(National Natural Science Foundation of China (NSFC)); Ministry of Education, People's Republic of China(Ministry of Education, China)</t>
  </si>
  <si>
    <t>The authors acknowledge the financial support by the Ministry of Science and Technology, People's Republic of China as a key basic research development and planning project (Grant no. 2004CB418503), by the National Natural Science Foundation of China as a general project (Grant no. 20477049), and by the Ministry of Education, People's Republic of China as a grand fostering project (Grant no. 707011).</t>
  </si>
  <si>
    <t>10.1016/j.ecoenv.2009.04.017</t>
  </si>
  <si>
    <t>http://dx.doi.org/10.1016/j.ecoenv.2009.04.017</t>
  </si>
  <si>
    <t>WOS:000270292200010</t>
  </si>
  <si>
    <t>Fiori, CD; Rodrigues, APD; Vieira, TC; Sabadini-Santos, E; Bidone, ED</t>
  </si>
  <si>
    <t>Fiori, Cristiane da Silveira; de Castro Rodrigues, Ana Paula; Vieira, Thatianne Castro; Sabadini-Santos, Elisamara; Bidone, Edison Dausacker</t>
  </si>
  <si>
    <t>An alternative approach to bioaccumulation assessment of methyl-Hg, total-Hg, Cd, Pb, Zn in bivalve Anomalocardia brasiliana from Rio de Janeiro bays</t>
  </si>
  <si>
    <t>Model; Incorporation rate; Asymptotic values; Coastal management; Sediments</t>
  </si>
  <si>
    <t>SEPETIBA BAY; HEAVY-METALS; MERCURY; MANGROVE; GROWTH; ACCUMULATION; SEDIMENTS; SHRIMP; GMELIN; EDULIS</t>
  </si>
  <si>
    <t>We present an alternative approach for establishing in situ bioaccumulation assessment of methyl-Hg (MeHg), total-Hg, Cd, Pb and Zn in bivalve Anomalocardia brasiliana from four bays of Rio de Janeiro presenting varying degrees of eutrophication, acid volatile sulfides (2-55 mu mol g(-1)), simultaneously extracted metals (SEM) and total metals (TM) in sediments. Using metal concentrations of composite samples from three size classes of bivalve and their incorporation rates (IR = metal concentration / total length), which depend on exposure time, we calculated asymptotic IR and respective consequent metal concentrations. Both IR and the metal concentration presented inverse relationships with total length (excepting MeHg) and bay contamination. Lead and zinc concentrations were above Brazilian legal criteria in the most anoxic and contaminated bay, suggesting significant metal bioavailability (SEM/TM between 8% and 63%).</t>
  </si>
  <si>
    <t>[Fiori, Cristiane da Silveira; de Castro Rodrigues, Ana Paula; Vieira, Thatianne Castro; Sabadini-Santos, Elisamara; Bidone, Edison Dausacker] Univ Fed Fluminense, Inst Quim, Posgrad Geociencias Geoquim, BR-24020150 Niteroi, RJ, Brazil</t>
  </si>
  <si>
    <t>Sabadini-Santos, E (corresponding author), Univ Fed Fluminense, Inst Quim, Posgrad Geociencias Geoquim, BR-24020150 Niteroi, RJ, Brazil.</t>
  </si>
  <si>
    <t>esabadini@id.uff.br</t>
  </si>
  <si>
    <t>Bidone, Edison/AAE-9527-2021; Sabadini-Santos, Elisamara/AAD-3407-2021; Rodrigues, Ana/M-2927-2016</t>
  </si>
  <si>
    <t>Coordenacao de Aperfeicoamento de Pessoal de Nivel Superior (CAPES)</t>
  </si>
  <si>
    <t>Coordenacao de Aperfeicoamento de Pessoal de Nivel Superior (CAPES)(Coordenacao de Aperfeicoamento de Pessoal de Nivel Superior (CAPES))</t>
  </si>
  <si>
    <t>The authors thank Dra. Zuleica Castilhos and the staff of the Nucleo de Avaliacao Risco Ambiental e Humano -NARAH (Centro de Tecnologia Mineral -CETEM/MCTI, Rio de Janeiro, RJ, Brazil) for laboratory analysis. They also thank Coordenacao de Aperfeicoamento de Pessoal de Nivel Superior (CAPES) for the scholarships of ThatianneVieira and Ana Paula de Castro Rodrigues.</t>
  </si>
  <si>
    <t>10.1016/j.marpolbul.2018.07.045</t>
  </si>
  <si>
    <t>http://dx.doi.org/10.1016/j.marpolbul.2018.07.045</t>
  </si>
  <si>
    <t>WOS:000448094200046</t>
  </si>
  <si>
    <t>Michel, C; Vincent-Hubert, F</t>
  </si>
  <si>
    <t>Michel, Cecile; Vincent-Hubert, Francoise</t>
  </si>
  <si>
    <t>DNA oxidation and DNA repair in gills of zebra mussels exposed to cadmium and benzo(a)pyrene</t>
  </si>
  <si>
    <t>Zebra mussel; Comet-hOGG1 assay; Oxidative stress; 8-oxodG; DNA repair</t>
  </si>
  <si>
    <t>DREISSENA-POLYMORPHA; MYTILUS-EDULIS; COMET ASSAY; STRAND BREAKS; DAMAGE; CELLS; BIOMARKERS; INDUCTION; VALIDATION; ADDUCTS</t>
  </si>
  <si>
    <t>Freshwater bivalve molluscs are considered as effective indicators of environmental pollution. The comet assay allows the detection of DNA damage such as DNA strand breaks and alkali-labile sites. The main oxidative lesion, 8-oxo-7,8-dihydro-2'-deoxyguanosine (8-oxodG), which is a pre-mutagenic lesion, can be detected by the comet assay coupled with the hOGG1 DNA repair enzyme. With this modified assay we recently observed that BaP induced 8-oxodG lesions and with the modified comet-Fpg assay we observed that Cd induced oxidative DNA damage. The aim of this study was to determine the stability of DNA lesions in Cd and BaP exposed zebra mussels using the comet-hOGG1 assay. Mussels were exposed for 24 h to these two chemicals and then placed in clean water for 6 days. We observed that BaP (7, 12 and 18 A mu g/L) induced an increase of DNA strand break levels as soon as 6 h of exposure and that the two highest concentrations of BaP induced a low level of hOGG1-sensitive sites. After 2 days of depuration, BaP induced DNA lesions returned to the basal level, indicating an effective DNA repair. Cd (3, 32 and 81 A mu g/L) induced an increase of the DNA strand break levels and a low level of hOGG1-sensitive sites. This study revealed that BaP-induced DNA lesions are repaired more efficiently than Cd-induced DNA lesions. As the level of hOGG1 sensitive sites was increased in Cd and BaP exposed mussels, it seems that these chemicals induce 8-oxo-dG.</t>
  </si>
  <si>
    <t>[Michel, Cecile; Vincent-Hubert, Francoise] IRSTEA, Unite Rech Hydrosyst &amp; Bioproc, F-92761 Antony, France</t>
  </si>
  <si>
    <t>INRAE; Universite Paris Saclay</t>
  </si>
  <si>
    <t>Vincent-Hubert, F (corresponding author), IFREMER, Lab Microbiol LNR, Rue Ile Yeu,BP 21105, F-44311 Nantes 03, France.</t>
  </si>
  <si>
    <t>fvincent@ifremer.fr</t>
  </si>
  <si>
    <t>VINCENT-HUBERT, Françoise/D-9797-2014</t>
  </si>
  <si>
    <t>VINCENT-HUBERT, Francoise/0000-0002-2266-9237</t>
  </si>
  <si>
    <t>Ile-de-France region</t>
  </si>
  <si>
    <t>Ile-de-France region(Region Ile-de-France)</t>
  </si>
  <si>
    <t>Aurelie Germain contributed to the completion of this study. Cecile Michel was funded by the Ile-de-France region for its PhD.</t>
  </si>
  <si>
    <t>10.1007/s10646-015-1536-3</t>
  </si>
  <si>
    <t>http://dx.doi.org/10.1007/s10646-015-1536-3</t>
  </si>
  <si>
    <t>CX5QS</t>
  </si>
  <si>
    <t>WOS:000365757900018</t>
  </si>
  <si>
    <t>Diop, M; Net, S; Howsam, M; Lencel, P; Watier, D; Grard, T; Duflos, G; Diouf, A; Amara, R</t>
  </si>
  <si>
    <t>Diop, M.; Net, S.; Howsam, M.; Lencel, P.; Watier, D.; Grard, T.; Duflos, G.; Diouf, A.; Amara, R.</t>
  </si>
  <si>
    <t>Concentrations and Potential Human Health Risks of Trace Metals (Cd, Pb, Hg) and Selected Organic Pollutants (PAHs, PCBs) in Fish and Seafood from the Senegalese Coast</t>
  </si>
  <si>
    <t>Heavy metals; PAHs; PCBs; Marine organisms; Senegal; Risk assessment</t>
  </si>
  <si>
    <t>POLYCYCLIC AROMATIC-HYDROCARBONS; POLYCHLORINATED-BIPHENYLS PCBS; SHRIMP PENAEUS-KERATHURUS; HEAVY-METALS; MUGIL-CEPHALUS; TOTAL MERCURY; IZMIR BAY; BIOACCUMULATION; CONTAMINATION; BIOTA</t>
  </si>
  <si>
    <t>The presence of Cd, Pb, Hg, PAHs and PCBs was investigated in the edible flesh of six marine species of the Senegalese coastal waters. Samples were collected from five sites in 2013. Variations in pollutant concentrations were recorded both among species and among sites. The mussels (Perna perna) contained the highest concentrations of Cd (0.394 +/- 0.634 mg kg(-1) ww) and Pb (0.185 +/- 0.213 mg kg(-1) ww), the highest level of Hg was recorded in Tilapia (Sarotherodon melanotheron, 0.019 +/- 0.014 mg kg(-1) ww), and sardines (Sardinella aurita) presented the highest level of PAHs (0.019 mg kg(-1) ww). While P. perna and S. aurita did not accumulate measurable PCBs, the concentrations of PCBs remained low in other species (between 0.001 and 0.008 mg kg(-1) ww). For most species, samples collected near human-impacted sites had the highest pollutant concentrations. For most species studied here, the pollutant concentrations were below the limits for human consumption defined by the European Union (EU). However, at the more polluted sites 50% of the mussels from Soumbedioune presented values above the EU limit for Cd (1 mg kg(-1) ww), and all sardines from Rufisque contained PAHs above the EU guideline value (0.03 mg kg(-1) ww). The target hazard quotients (THQ) for metals were &lt; 1 and thus did not indicate a danger to the local population. Calculations of the cancer risk (CR) indicated that for PAHs and for PCBi (PCB indicator), 90% of CR values were in excess carcinogenic risk. For dl-PCB, all CR values are well below the guideline value. We suggest that potential risk of human health exists when consuming high quantity of seafood originating from polluted areas.</t>
  </si>
  <si>
    <t>[Diop, M.; Amara, R.] Univ Littoral Cote dOpale, Lab Oceanol &amp; Geosci, UMR 8187, LOG, 32 Ave Foch, F-62930 Wimereux, France; [Diop, M.; Amara, R.] Univ Lille, CNRS, F-62930 Wimereux, France; [Diop, M.; Diouf, A.] UCAD, LTH, Dakar 5005, Senegal; [Net, S.] Univ Lille 1, UMR CNRS 8217, Equipe Chim Analyt &amp; Marine, Lab Geosyst, F-59655 Villeneuve Dascq, France; [Howsam, M.] Univ Lille, CUMA, F-59006 Lille, France; [Lencel, P.; Watier, D.; Grard, T.] Univ Littoral Cote dOpale, EA 7394, USC ANSES, ICV, F-62200 Boulogne Sur Mer, France; [Duflos, G.] ANSES, Lab Securite Aliments, Blvd Bassin Napoleon, F-62200 Boulogne Sur Mer, France</t>
  </si>
  <si>
    <t>Universite du Littoral-Cote-d'Opale; Centre National de la Recherche Scientifique (CNRS); CNRS - National Institute for Earth Sciences &amp; Astronomy (INSU); Universite de Lille; Centre National de la Recherche Scientifique (CNRS); University Cheikh Anta Diop Dakar; Universite de Lille; Universite de Lille; Universite du Littoral-Cote-d'Opale; Agence Nationale de Securite Sanitaire de l'Alimentation, de l'Environnement du Travail (ANSES); Laboratoire de Securite Aliments</t>
  </si>
  <si>
    <t>Amara, R (corresponding author), Univ Littoral Cote dOpale, Lab Oceanol &amp; Geosci, UMR 8187, LOG, 32 Ave Foch, F-62930 Wimereux, France.;Amara, R (corresponding author), Univ Lille, CNRS, F-62930 Wimereux, France.</t>
  </si>
  <si>
    <t>NET-DAVID-BUYTAERT, SOPHEAK/GLV-1576-2022; DIOP, Mamadou/AAV-1356-2021; RACHID, AMARA/E-2525-2012; GRARD, Thierry/A-9953-2017; HOWSAM, Michael/H-6945-2018</t>
  </si>
  <si>
    <t>GRARD, Thierry/0000-0002-4636-8981; DIOP, Mamadou/0000-0001-6350-5135; HOWSAM, Michael/0000-0002-6344-8908; DUFLOS, Guillaume/0000-0003-2820-4411; NET, Sopheak/0000-0002-1570-8867; AMARA, Rachid/0000-0002-7183-1333</t>
  </si>
  <si>
    <t>Bourses de Cooperation et d'Action Culturelle de l'ambassade de France a Dakar; ERASMUS ANGLE Grant</t>
  </si>
  <si>
    <t>A doctoral Grant was funded for M. Diop by Bourses de Cooperation et d'Action Culturelle de l'ambassade de France a Dakar and ERASMUS ANGLE Grant.</t>
  </si>
  <si>
    <t>10.1007/s41742-017-0032-4</t>
  </si>
  <si>
    <t>http://dx.doi.org/10.1007/s41742-017-0032-4</t>
  </si>
  <si>
    <t>FD0AT</t>
  </si>
  <si>
    <t>WOS:000407202900010</t>
  </si>
  <si>
    <t>Mohammed, A; May, T; Echols, K; Walther, M; Manoo, A; Maraj, D; Agard, J; Orazio, C</t>
  </si>
  <si>
    <t>Mohammed, Azad; May, Thomas; Echols, Kathy; Walther, Mike; Manoo, Anton; Maraj, Dexter; Agard, John; Orazio, Carl</t>
  </si>
  <si>
    <t>Metals in sediments and fish from Sea Lots and Point Lisas Harbors, Trinidad and Tobago</t>
  </si>
  <si>
    <t>Sea Lots Harbor; Point Lisas Harbor; Trinidad and Tobago; Heavy metals; Rare earth metals</t>
  </si>
  <si>
    <t>HEAVY-METALS; OYSTERS</t>
  </si>
  <si>
    <t>Concentrations of heavy metals were determined in nearshore marine sediments and fish tissue from Sea Lots area on the west coast, at Caroni Lagoon National Park, and in the Point Lisas harbor, Trinidad. The most dominant metals found in sediments were Al, Fe and Zn with mean concentrations highest at Sea Lots (Al-39420 mu g/g; Fe-45640 mu g/g; Zn-245 mu g/g), when compared to sediments from Point Lisas (Al-11936 mu g/g; Fe-30171 mu g/g: Zn-69 mu g/g) and Caroni (Al-0400 mu g/g; Fe-19000 mu g/g; Zn-32 mu g/g), High concentration of Cu, Al, Fe and Zn were also detected in fish tissue from Point Lisas and Caroni. Metal concentrations in fish tissue showed significant correlation with sediment metals concentration, which suggests that tissue levels are influenced by sediment concentration. Of the metals, only Zn. Hg and Cu had a bioaccumulation factor (BAF) greater than one, which suggests a high bioaccumulation potential for these metals. (C) 2011 Elsevier Ltd. All rights reserved.</t>
  </si>
  <si>
    <t>[Mohammed, Azad; Manoo, Anton; Maraj, Dexter; Agard, John] Univ W Indies, Dept Life Sci, St Augustine, Trinidad Tobago; [Mohammed, Azad; May, Thomas; Echols, Kathy; Walther, Mike; Orazio, Carl] US Geol Survey, Columbia Environm Res Ctr, Columbia, MO 65201 USA</t>
  </si>
  <si>
    <t>University West Indies Mona Jamaica; University West Indies Saint Augustine; United States Department of the Interior; United States Geological Survey</t>
  </si>
  <si>
    <t>Mohammed, A (corresponding author), Univ W Indies, Dept Life Sci, St Augustine, Trinidad Tobago.</t>
  </si>
  <si>
    <t>azad.mohammed@sta.uwi.edu</t>
  </si>
  <si>
    <t>10.1016/j.marpolbul.2011.10.036</t>
  </si>
  <si>
    <t>http://dx.doi.org/10.1016/j.marpolbul.2011.10.036</t>
  </si>
  <si>
    <t>WOS:000299981100035</t>
  </si>
  <si>
    <t>Lilja, K; Prevodnik, A; Gardeström, J; Elfwing, T; Tedengren, M; Bollner, T</t>
  </si>
  <si>
    <t>Lilja, Karl; Prevodnik, Andreas; Gardestrom, Johanna; Elfwing, Tina; Tedengren, Michael; Bollner, Tomas</t>
  </si>
  <si>
    <t>Regional differences in mRNA responses in blue mussels within the Baltic proper</t>
  </si>
  <si>
    <t>Mytilus sp.; Baltic sea; copper; petrol; heat shock proteins; metallothioneins</t>
  </si>
  <si>
    <t>BIVALVES MYTILUS-EDULIS; HEAT-SHOCK PROTEINS; MACOMA-BALTHICA; METALLOTHIONEIN GENES; DIGESTIVE GLAND; STRESS-RESPONSE; SEA; BIOMARKERS; EXPRESSION; POLLUTION</t>
  </si>
  <si>
    <t>Mussels (Mytilus sp.) from two regions along the permanent salinity gradient within the Baltic proper were exposed to copper (35 ppb) or petrol (0.3 mL/L) for 10 days and analyzed for mRNA expressions in gill tissue. Expression of mRNAs for the heat shock proteins HSP70 and HSP90 was significantly induced by copper, but not by petrol. For the metallothioneins MT10 and MT20, regional differences in mRNA expressions could be seen. In mussels from the northern Baltic proper, MT20 expression increased 2.8 and 3.4 times, after exposure to copper and petrol, respectively. In contrast, no change could be seen in MT20 expression for mussels from the southern Baltic proper. MT10 showed a peculiar expression not previously described. For some mussels, no expression at all was detected, some showed a weak expression and for some individuals a strong expression could be seen. For the mussels from the southern Baltic proper, the number of individuals with a strong expression of MT10 increased from 1 out of 18 (control), to 7 and 8, after exposure to copper and petrol, respectively. The results clearly show that responses vary between different regions within the Baltic proper, which emphasises the importance to study interactions between contaminants, populations and regions. (C) 2008 Elsevier Inc. All rights reserved.</t>
  </si>
  <si>
    <t>[Lilja, Karl; Prevodnik, Andreas; Bollner, Tomas] Sodertorn Univ Coll, Sch Life Sci, SE-14189 Huddinge, Sweden; [Lilja, Karl; Prevodnik, Andreas; Gardestrom, Johanna; Elfwing, Tina; Tedengren, Michael] Stockholm Univ, Dept Syst Ecol, S-10691 Stockholm, Sweden</t>
  </si>
  <si>
    <t>Sodertorn University; Stockholm University</t>
  </si>
  <si>
    <t>Lilja, K (corresponding author), Sodertorn Univ Coll, Sch Life Sci, SE-14189 Huddinge, Sweden.</t>
  </si>
  <si>
    <t>karl.lilja@sh.se</t>
  </si>
  <si>
    <t>10.1016/j.cbpc.2008.04.001</t>
  </si>
  <si>
    <t>http://dx.doi.org/10.1016/j.cbpc.2008.04.001</t>
  </si>
  <si>
    <t>330WL</t>
  </si>
  <si>
    <t>WOS:000257973400001</t>
  </si>
  <si>
    <t>MUSSEL MYTILUS-EDULIS AS A BIOASSAY ORGANISM FOR MERCURY IN SEAWATER</t>
  </si>
  <si>
    <t>Surveys of natural populations of mussels identified areas of Hg contamination in the Firth of Forth, Scotland. A field bio-assay technique was devised which accurately reflects the mean total Hg concentration in the surrounding seawater. The detection limit of the technique is estimated at 5-20 ng Hgl-1, and consequently the method can detect comparatively small enhancements over background Hg concentrations in estuarine and sea water.</t>
  </si>
  <si>
    <t>MARINE LAB, POB 101, VICTORIA RD, ABERDEEN AB9 8DB, SCOTLAND.</t>
  </si>
  <si>
    <t>10.1016/0025-326X(78)90587-8</t>
  </si>
  <si>
    <t>http://dx.doi.org/10.1016/0025-326X(78)90587-8</t>
  </si>
  <si>
    <t>FA347</t>
  </si>
  <si>
    <t>WOS:A1978FA34700005</t>
  </si>
  <si>
    <t>Klishko, OK; Berdnikov, NV; Bogan, AE; Vinarski, MV</t>
  </si>
  <si>
    <t>Klishko, Olga K.; Berdnikov, Nikolay, V; Bogan, Arthur E.; Vinarski, Maxim V.</t>
  </si>
  <si>
    <t>Shells of Pearlmussels, Margaritifera dahurica (Bivalvia: Margaritiferidae), as a biogeochemical indicator of the background (Holocene) and current major and trace elements content in riverine waters of Transbaikalia (southeast Siberia)</t>
  </si>
  <si>
    <t>Transbaikalia; Applied zooarchaeology; Heavy metals; Riverine pollution; Shell; Holocene</t>
  </si>
  <si>
    <t>MUSSEL SHELLS; HEAVY-METALS; GROWTH; POPULATIONS; UNIONIDAE; RINGS; AGE; L.</t>
  </si>
  <si>
    <t>The concentration of the major and trace elements in the riverine waters of the Upper Amur basin (Transbaikalia, southeast Siberia) in the Late Holocene (5.5-1.2 kya) was determined by their accumulation in the archaeo-logical shells of the Pearlmussel Margaritifera dahurica (Margaritiferidae, Bivalvia). A positive relationship be-tween the accumulation of elements in the recent shells and their average long-term content in the aquatic environment was revealed. Based on the equations of the relationship between the accumulation of metals in the Pearlmussel shells from archaeological excavations, the content of each element in the aquatic paleoenviron-ments on the territory of the Upper Amur basin was calculated. We show that the current content of heavy metals in the river waters of this region is significantly increased compared with the same of Late Holocene, which indicates an increase in pollution of the aquatic environment by anthropogenic impact. The empirical rela-tionship between the accumulation of metals in shells and their content in water adequately describes their accumulation in archaeological shells and living mollusks of the same species. The concentrations of the major and trace elements in archaeological shells of Margaritifera and their paleoenvironment may be accepted as background values for the rivers of the Upper Amur basin.</t>
  </si>
  <si>
    <t>[Klishko, Olga K.] Russian Acad Sci, Inst Nat Resources Ecol &amp; Cryol, Siberian Branch, Chita, Russia; [Berdnikov, Nikolay, V] Russian Acad Sci, Inst Tecton &amp; Geophys, Far Eastern Branch, Khabarovsk, Russia; [Bogan, Arthur E.] North Carolina State Museum Nat Sci, Res Lab, Raleigh, NC USA; [Vinarski, Maxim V.] St Petersburg State Univ, Lab Macroecol &amp; Biogeog Invertebrates, St Petersburg, Russia</t>
  </si>
  <si>
    <t>Russian Academy of Sciences; Russian Academy of Sciences; Kosygin Institute of Tectonics &amp; Geophysics; Saint Petersburg State University</t>
  </si>
  <si>
    <t>Vinarski, MV (corresponding author), St Petersburg State Univ, Lab Macroecol &amp; Biogeog Invertebrates, St Petersburg, Russia.</t>
  </si>
  <si>
    <t>m.vinarsky@spbu.ru</t>
  </si>
  <si>
    <t>Vinarski, Maxim/D-6103-2014; Bogan, Arthur/V-6667-2019; Berdnikov, Nikolai/HIX-6766-2022; Klishko, Olga/J-1654-2018</t>
  </si>
  <si>
    <t>Russian Scientific Fund [19-14-00066]</t>
  </si>
  <si>
    <t>Russian Scientific Fund(Russian Science Foundation (RSF))</t>
  </si>
  <si>
    <t>The authors are grateful to the four anonymous reviewers for their criticisms and suggestions on the initial version of the manuscript. MVV thanks the Russian Scientific Fund for the financial support within the framework of the project The influence of the landscapezonal conditions and anthropogenic impact on the Arctic freshwater ecosystems and their biological diversity (in geological and historical timescales) (Grant No. 19-14-00066).</t>
  </si>
  <si>
    <t>10.1016/j.ecolind.2021.108482</t>
  </si>
  <si>
    <t>http://dx.doi.org/10.1016/j.ecolind.2021.108482</t>
  </si>
  <si>
    <t>ZI0UE</t>
  </si>
  <si>
    <t>WOS:000761341200007</t>
  </si>
  <si>
    <t>Letendre, J; Chouquet, B; Rocher, B; Manduzio, H; Leboulenger, F; Durand, F</t>
  </si>
  <si>
    <t>Letendre, Julie; Chouquet, Bastien; Rocher, Beatrice; Manduzio, Helene; Leboulenger, Francois; Durand, Fabrice</t>
  </si>
  <si>
    <t>Differential pattern of Cu/Zn superoxide dismutase isoforms in relation to tidal spatio-temporal changes in the blue mussel Mytilus edulis</t>
  </si>
  <si>
    <t>superoxide dismutase; anoxia; hyperoxia; oxidative stress; bivalves; tidal cycle</t>
  </si>
  <si>
    <t>METABOLIC-RATE DEPRESSION; OXIDATIVE STRESS; ANTIOXIDANT DEFENSES; ANAEROBIC METABOLISM; INDUCIBLE ISOFORM; PROTEIN-SYNTHESIS; OXYGEN; INACTIVATION; RECOVERY; ANOXIA</t>
  </si>
  <si>
    <t>Inducible antioxidant defences in marine organisms such as mussel bivalves are commonly used as biomarkers of pollutant-induced oxidative stress and their variations proposed as one of the biological effect measurements for assessment of contamination impact in aquatic environments. Among them, the copper/ zinc superoxide dismutases (Cu/Zn-SODs) are metalloenzymes which play a key role in the protection of cells in case of oxidative stress. In order to observe possible variations of an antioxidant response in relation to tidal oscillations, the copper/zinc superoxide dismutase activity (Cu/Zn-SOD) was characterized in the digestive gland and gills of blue mussels sampled at high and low shore throughout the tidal cycle. Determination of SOD activity was performed on gels after isoelectro-focusing, allowing the revelation of three isoforms. In both tissues, high-shore mussels exhibited a higher level of total SOD activity than low-shore mussels. During emersion, a decrease of total SOD activity appeared in digestive gland for both groups. In high-shore mussels, the less acidic form contributed to 75% of the total activity, the second one to 20% and the more acidic one to 5% in both tissues before air exposure. During emersion, the relative contribution of the three isoforms to the total activity was markedly changed with a significant decrease in intensity of the first isoform and parallel increases in the two other ones. After re-immersion a progressive recovery of proportions of SOD isoforms was observed. In low-shore mussels, the relative contribution of the three isoforms to the total SOD activity showed similar changes. The observed variations could correspond to changes in the redox status of the mussels during tidal oscillations. (C) 2008 Elsevier Inc. All rights reserved.</t>
  </si>
  <si>
    <t>[Letendre, Julie; Rocher, Beatrice; Manduzio, Helene; Leboulenger, Francois; Durand, Fabrice] Univ Havre, Lab Ecotoxicol Milieux Aquat, UPRES EA 3222, UFR Sci &amp; Tech,IFRMP 23, F-76058 Le Havre, France; [Chouquet, Bastien] Univ Paris 06, INRA, UMR 1272, F-78026 Versailles, France</t>
  </si>
  <si>
    <t>Universite Le Havre Normandie; Universite de Reims Champagne-Ardenne; Sorbonne Universite; INRAE; Universite Paris Saclay</t>
  </si>
  <si>
    <t>Letendre, J (corresponding author), Univ Havre, Lab Ecotoxicol Milieux Aquat, UPRES EA 3222, UFR Sci &amp; Tech,IFRMP 23, 25 Rue Philippe Lebon,BP 540, F-76058 Le Havre, France.</t>
  </si>
  <si>
    <t>Julie.Letendre@univ-lehavre.fr</t>
  </si>
  <si>
    <t>Letendre, Julie/0000-0001-8579-3916</t>
  </si>
  <si>
    <t>French Ministry for Research and Technology; EcotDyn (CNRS-INSUE)</t>
  </si>
  <si>
    <t>This work was supported by a grant from French Ministry for Research and Technology and funded by the scientific program EcotDyn (CNRS-INSUE). The collaboration of Dawn Hallidy on the English revision is greatly appreciated.</t>
  </si>
  <si>
    <t>10.1016/j.cbpc.2008.05.012</t>
  </si>
  <si>
    <t>http://dx.doi.org/10.1016/j.cbpc.2008.05.012</t>
  </si>
  <si>
    <t>350KI</t>
  </si>
  <si>
    <t>WOS:000259350900003</t>
  </si>
  <si>
    <t>Zhu, ZP; Tong, YP; Tang, WY; Wu, ZX; Wu, ZB</t>
  </si>
  <si>
    <t>Zhu, Zhi-Peng; Tong, Yong-Peng; Tang, Wei-Yang; Wu, Zheng-Xin; Wu, Zhi-Bing</t>
  </si>
  <si>
    <t>Distribution of As, Cd, and Pb in seafood in Southern China and their oral bioavailability in mice</t>
  </si>
  <si>
    <t>Seafood; Toxic elements; Oral bioavailability; Dose response</t>
  </si>
  <si>
    <t>HEAVY-METAL CONCENTRATIONS; HEALTH-RISK ASSESSMENT; ARSENIC BIOAVAILABILITY; TRACE-ELEMENTS; IN-VITRO; MYTILUS-GALLOPROVINCIALIS; LEAD; FISH; CADMIUM; ESTUARY</t>
  </si>
  <si>
    <t>The distribution of the toxic elements As, Cd, and Pb in nine different types of seafood from Shenzhen, China, was investigated by using inductively coupled plasma mass spectrometry (ICP-MS). The results revealed that the concentrations of arsenic (As) in fish (Lutjanus erythropterus, Paralichthys olivaceus) and in bivalve (Meretrix meretrix) and cadmium (Cd) in scallop (Argopecten irradians) exceed the limits established by food safety regulations in China and EU (European Union). Furthermore, the bioavailability of As, Cd, and lead (Pb) in mice after 20-day oral ingestion of Crassostrea rivularis was investigated, and the total rate of absorption of toxic elements in samples from the liver and kidney tissues and blood was determined. The results of this in vivo trial indicated that the oral bioavailability of As, Cd, and Pb was approximately 0.33, 0.45, and 0.74%, respectively.</t>
  </si>
  <si>
    <t>[Zhu, Zhi-Peng; Tong, Yong-Peng] Shenzhen Univ, Coll Phys &amp; Energy, Shenzhen 518060, Peoples R China; [Tang, Wei-Yang] Shenzhen Univ, Coll Chem &amp; Environm Engn, Shenzhen 518060, Peoples R China; [Wu, Zheng-Xin] Jilin Univ, Coll Phys, Changchun 130012, Peoples R China; [Wu, Zhi-Bing] Shenzhen Univ, Coll Life Sci, Shenzhen 518060, Peoples R China</t>
  </si>
  <si>
    <t>Shenzhen University; Shenzhen University; Jilin University; Shenzhen University</t>
  </si>
  <si>
    <t>Tong, YP (corresponding author), Shenzhen Univ, Coll Phys &amp; Energy, Shenzhen 518060, Peoples R China.</t>
  </si>
  <si>
    <t>yongpeng@szu.edu.cn</t>
  </si>
  <si>
    <t>WANG, JIAXUAN/JMP-8599-2023; Wu, Zhengxin/GXM-7691-2022</t>
  </si>
  <si>
    <t>Tang, Weiyang/0000-0001-7135-8219</t>
  </si>
  <si>
    <t>National Natural Science Foundation of China [11375117]</t>
  </si>
  <si>
    <t>This study was supported by the National Natural Science Foundation of China (Grant No. 11375117).</t>
  </si>
  <si>
    <t>10.1007/s11356-016-8095-x</t>
  </si>
  <si>
    <t>http://dx.doi.org/10.1007/s11356-016-8095-x</t>
  </si>
  <si>
    <t>EO9JI</t>
  </si>
  <si>
    <t>WOS:000397004600031</t>
  </si>
  <si>
    <t>Yee-Duarte, JA; Ceballos-Vázquez, BP; Shumilin, E; Kidd, KA; Arellano-Martínez, M</t>
  </si>
  <si>
    <t>Yee-Duarte, Josue A.; Ceballos-Vazquez, Bertha P.; Shumilin, Evgueni; Kidd, Karen A.; Arellano-Martinez, Marcial</t>
  </si>
  <si>
    <t>PARASITIC CASTRATION OF CHOCOLATE CLAM MEGAPITARIA SQUALIDA (SOWERBY, 1835) CAUSED BY TREMATODE LARVAE</t>
  </si>
  <si>
    <t>Megapitaria squalida; parasitic castration; sporocysts; cercariae; bivalve; heavy metal pollution</t>
  </si>
  <si>
    <t>ENVIRONMENTAL PARASITOLOGY; BIVALVE MOLLUSKS; SANTA ROSALIA; HOST; INFECTION; DIGENEA; MUSSELS; BUCEPHALIDAE; VENERIDAE; EMERGENCE</t>
  </si>
  <si>
    <t>The prevalence of parasites in gonads of the clam Megapitaria squalida (Sowerby, 1835) was investigated at Santa Rosalia mining port in the Gulf of California. A total of 696 gonads were histologically analyzed, observing an unusual parasitic castration caused by the development of trematode larvae within follicles. Trematode sporocysts within follicles containing germinal balls and developing cercariae were observed and associated with an inflammatory response, as evidenced by a heavy hemocytic infiltration and the formation of granulocytomas surrounding the parasite structures. Some metacercariae were observed within ovarian connective tissues suggesting that M. squalida could also act as a second intermediate host for digenean trematodes. Infection was age specific as juvenile clams (1-4-cm shell length) did not contain parasites and prevalence in the adult clams increased with size. Unlike males, which presented four levels of infection density, all the parasitized ovaries of females showed very high infection densities. The prevalence was significantly (chi(2) = 6.99; df = 1; P = 0.001) higher in females (30.2%) than in males (17%). The highest prevalence of parasitized clams was in the ripe stage during the summer (43.7%) when seawater temperatures were highest, whereas the lowest prevalences were observed in winter. It is possible that the polluted environment of Santa Rosalia could increase the occurrence and high infection density by trematode larvae in M. squalida.</t>
  </si>
  <si>
    <t>[Yee-Duarte, Josue A.; Ceballos-Vazquez, Bertha P.; Shumilin, Evgueni; Arellano-Martinez, Marcial] Inst Politecn Nacl, Ctr Interdisciplinario Ciencias Marinas, Av Inst Politecn Nacl S-N, La Paz 23096, Bcs, Mexico; [Kidd, Karen A.] Univ New Brunswick, Canadian Rivers Inst, 100 Tucker Pk Rd, St John, NB E2L 4L5, Canada; [Kidd, Karen A.] Univ New Brunswick, Dept Biol, 100 Tucker Pk Rd, St John, NB E2L 4L5, Canada; [Kidd, Karen A.] McMaster Univ, Dept Biol, 1280 Main St, West Hamilton, ON L854K1, Canada</t>
  </si>
  <si>
    <t>Instituto Politecnico Nacional - Mexico; University of New Brunswick; University of New Brunswick; McMaster University</t>
  </si>
  <si>
    <t>Arellano-Martínez, M (corresponding author), Inst Politecn Nacl, Ctr Interdisciplinario Ciencias Marinas, Av Inst Politecn Nacl S-N, La Paz 23096, Bcs, Mexico.</t>
  </si>
  <si>
    <t>Ceballos-Vázquez, Bertha/AAF-8488-2021; Kidd, Karen A/ABG-3237-2020; Yee-Duarte, Josue Alonso/F-3627-2019; Shumilin, Evgueni/Q-8959-2018</t>
  </si>
  <si>
    <t>Kidd, Karen A/0000-0002-5619-1358; Ceballos-Vazquez, Bertha Patricia/0000-0003-4031-6221; Yee-Duarte, Josue Alonso/0000-0002-7302-8974; Shumilin, Evgueni/0000-0002-2300-2960</t>
  </si>
  <si>
    <t>Natural Sciences and Engineering Research Council of Canada; Canada Research Chairs program; COFAA; EDI; SNI; [SIP 1535]; [1698]</t>
  </si>
  <si>
    <t>Natural Sciences and Engineering Research Council of Canada(Natural Sciences and Engineering Research Council of Canada (NSERC)CGIAR); Canada Research Chairs program(Canada Research Chairs); COFAA; EDI; SNI; ;</t>
  </si>
  <si>
    <t>This research was funded by projects SIP 1535 and 1698 and from the Natural Sciences and Engineering Research Council of Canada and the Canada Research Chairs program. J. A. Yee-Duarte is a fellow student of BEIFI and CONACyT, the results presented here are part of his PhD thesis. B. P. Ceballos-Vazquez, E. Shumilin, and M. Arellano-Martinez received grants from COFAA, EDI, and SNI. The authors thank Maria Elena Sanchez-Salazar, M.Sc. for her editorial contribution to the English manuscript.</t>
  </si>
  <si>
    <t>10.2983/035.036.0307</t>
  </si>
  <si>
    <t>http://dx.doi.org/10.2983/035.036.0307</t>
  </si>
  <si>
    <t>FS1RS</t>
  </si>
  <si>
    <t>WOS:000419555700007</t>
  </si>
  <si>
    <t>Huang, XX; Luo, DG; Zhao, DY; Li, N; Xiao, TF; Liu, JY; Wei, LZ; Liu, Y; Liu, LR; Liu, GW</t>
  </si>
  <si>
    <t>Huang, Xuexia; Luo, Dinggui; Zhao, Dongye; Li, Ning; Xiao, Tangfu; Liu, Jingyong; Wei, Lezhang; Liu, Yu; Liu, Lirong; Liu, Guowei</t>
  </si>
  <si>
    <t>Distribution, Source and Risk Assessment of Heavy Metal(oid)s in Water, Sediments, and Corbicula Fluminea of Xijiang River, China</t>
  </si>
  <si>
    <t>metal; water pollution; sediment contamination; corbicula fluminea; risk assessment; metalloid</t>
  </si>
  <si>
    <t>ACID-MINE DRAINAGE; ECOLOGICAL RISK; WASTE-WATER; SURFACE SEDIMENTS; METAL POLLUTION; YANGTZE-RIVER; ASIATIC CLAM; TOXICITY COEFFICIENT; CERAMIC INDUSTRY; BEIJIANG RIVER</t>
  </si>
  <si>
    <t>A total of 43 water and sediment samples, and 34 Corbicula fluminea samples were collected in Xijiang River in southern China to determine the spatial distribution and sources of 12 metals/metalloids (V, Co, Cr, Ni, Cu, Mn, Zn, Cd, Pb, As, Sb, and Tl) and to assess the pollution levels and ecological risks of the pollutants. The results showed that the levels of the metals/metalloids (except for Tl) in the river water from almost all of the sampling sites met the Chinese national surface water quality standards. However, the concentrations of the metals/metalloids in the sediments exceeded the background values by a factor of 1.03-56.56 except for V, Co, and Mn, and the contents of Zn, Cd, and Pb in the Corbicula fluminea soft tissue exceeded the limits of the Chinese Category I food Quality Standards. The spatial distribution analysis showed that the concentrations of the contaminants in the lower reaches of Xijiang River were higher than in the upper reaches. The bioaccumulation factor (BAF), biota-sediment accumulation factor (BSF), geo-accumulation index (I-geo), and the potential ecological risk index (RI) were obtained to assess the pollution levels and ecological risks. The results indicated that Cu, Cd, and Zn were the most prone to bio-accumulation in the Corbicula fluminea soft tissue, and the lower reaches showed a much higher pollution level and risk than the upper reaches. The metals/metalloids in the sediments posed serious threat on the aquatic ecosystem, of which Cd, As, and Sb are the most risky contaminants. The results of principal component analysis (PCA) indicated Cr, Ni, Cu, Mn, Cd, Pb, and As in the sediments came from relevant industrial activities, and V and Co originated from natural sources, and Sb from mining activities, Zn and Tl came from industrial activities and mining activities.</t>
  </si>
  <si>
    <t>[Huang, Xuexia; Luo, Dinggui; Xiao, Tangfu; Wei, Lezhang; Liu, Yu; Liu, Lirong; Liu, Guowei] Guangzhou Univ, Sch Environm Sci &amp; Engn, Guangzhou 510006, Guangdong, Peoples R China; [Huang, Xuexia; Luo, Dinggui; Wei, Lezhang; Liu, Yu] Guangzhou Univ, Linkoping Univ Guangzhou Univ Res Ctr Urban Susta, Guangzhou 510006, Guangdong, Peoples R China; [Huang, Xuexia; Luo, Dinggui] Guangzhou Univ, Guangdong Prov Key Lab Radionuclides Pollut Contr, Guangzhou 510006, Guangdong, Peoples R China; [Huang, Xuexia; Luo, Dinggui] Guangzhou Univ, Minist Educ, Key Lab Water Qual &amp; Conservat Pearl River Delta, Guangzhou 510006, Guangdong, Peoples R China; [Zhao, Dongye] Auburn Univ, Dept Civil Engn, Environm Engn Program, Auburn, AL 36849 USA; [Li, Ning] Guangxi Zhuang Autonomous Reg Environm Monitoring, Nanning 530028, Peoples R China; [Liu, Jingyong] Guangdong Univ Technol, Ecol Environm Informat Syst &amp; Big Data Res Team, Guangzhou 510006, Guangdong, Peoples R China</t>
  </si>
  <si>
    <t>Guangzhou University; Guangzhou University; Guangzhou University; Guangzhou University; Auburn University System; Auburn University; Guangdong University of Technology</t>
  </si>
  <si>
    <t>Luo, DG (corresponding author), Guangzhou Univ, Sch Environm Sci &amp; Engn, Guangzhou 510006, Guangdong, Peoples R China.;Luo, DG (corresponding author), Guangzhou Univ, Linkoping Univ Guangzhou Univ Res Ctr Urban Susta, Guangzhou 510006, Guangdong, Peoples R China.;Luo, DG (corresponding author), Guangzhou Univ, Guangdong Prov Key Lab Radionuclides Pollut Contr, Guangzhou 510006, Guangdong, Peoples R China.;Luo, DG (corresponding author), Guangzhou Univ, Minist Educ, Key Lab Water Qual &amp; Conservat Pearl River Delta, Guangzhou 510006, Guangdong, Peoples R China.</t>
  </si>
  <si>
    <t>huangxuexia66@163.com; ldggq@gzhu.edu.cn; zhaodon@auburn.edu; lining1972@sohu.com; tfxiao@gzhu.edu.cn; liujycust@163.com; wlz2016@gzhu.edu.cn; liuyu@gzhu.edu.cn; leonliutiming@e.gzhu.edu.cn; liuguowei@e.gzhu.edu.cn</t>
  </si>
  <si>
    <t>Huang, Jingyi/KCY-2239-2024; Liu, Yu/O-6174-2015</t>
  </si>
  <si>
    <t>Luo, Dinggui/0000-0002-1326-1221; Liu, Yu/0000-0002-5245-4835; Liu, Lirong/0000-0002-9102-6446</t>
  </si>
  <si>
    <t>National Natural Science Foundation of China [41830753, 41673138, 41301348, 41372248, 41573119, 21467003, U161244]; Natural Science Foundation of Guangxi [2015GXNSFEA139001]; Guangdong Innovative and Entrepreneurial Research Team Program [2016ZT06N569]</t>
  </si>
  <si>
    <t>National Natural Science Foundation of China(National Natural Science Foundation of China (NSFC)); Natural Science Foundation of Guangxi(National Natural Science Foundation of Guangxi Province); Guangdong Innovative and Entrepreneurial Research Team Program</t>
  </si>
  <si>
    <t>This work was partially supported by the National Natural Science Foundation of China (No. 41830753; No. 41673138; No. 41301348; No. 41372248; No. 41573119; No. 21467003; No. U161244), the Natural Science Foundation of Guangxi (2015GXNSFEA139001), and the Guangdong Innovative and Entrepreneurial Research Team Program (No. 2016ZT06N569).</t>
  </si>
  <si>
    <t>1661-7827</t>
  </si>
  <si>
    <t>MAY 2</t>
  </si>
  <si>
    <t>10.3390/ijerph16101823</t>
  </si>
  <si>
    <t>http://dx.doi.org/10.3390/ijerph16101823</t>
  </si>
  <si>
    <t>IC4WF</t>
  </si>
  <si>
    <t>WOS:000470967500157</t>
  </si>
  <si>
    <t>MARLETTA, GP; GABRIELLI, LF; FAVRETTO, L</t>
  </si>
  <si>
    <t>POLLUTION OF MUSSELS BY PARTICULATE LEAD FROM SEA-WATER</t>
  </si>
  <si>
    <t>ZEITSCHRIFT FUR LEBENSMITTEL-UNTERSUCHUNG UND-FORSCHUNG</t>
  </si>
  <si>
    <t>MARLETTA, GP (corresponding author), UNIV TRIESTE,IST MERCEOL,I-34127 TRIESTE,ITALY.</t>
  </si>
  <si>
    <t>0044-3026</t>
  </si>
  <si>
    <t>Z LEBENSM UNTERS FOR</t>
  </si>
  <si>
    <t>Z. Lebensm.-Unters.-Forsch.</t>
  </si>
  <si>
    <t>GR001</t>
  </si>
  <si>
    <t>WOS:A1979GR00100003</t>
  </si>
  <si>
    <t>Lu, YL; Zhang, AG; Li, CH; Zhang, P; Su, XR; Li, Y; Mu, CK; Li, TW</t>
  </si>
  <si>
    <t>Lu, Yali; Zhang, Anguo; Li, Chenghua; Zhang, Peng; Su, Xiurong; Li, Ye; Mu, Changkao; Li, Taiwu</t>
  </si>
  <si>
    <t>The link between selenium binding protein from Sinonovacula constricta and environmental pollutions exposure</t>
  </si>
  <si>
    <t>Sinonovacula constricta; Selenium binding protein; B[alpha]P; Heavy metal</t>
  </si>
  <si>
    <t>SCALLOP CHLAMYS-FARRERI; MESSENGER-RNA EXPRESSION; MOLECULAR-CLONING; DNA-DAMAGE; ACETAMINOPHEN; TISSUES; CANCER; VIRUS; IRON; SOD</t>
  </si>
  <si>
    <t>Selenium binding proteins (SeBPs) play a crucial role in controlling the oxidation/reduction in many physiological processes. Here we reported the isolation and characterization of a cDNA of SeBP gene from Sinonovacula constricta (denoted as ScSeBP). The full-length cDNA of ScSeBP was of 2345 bp, consisting of a 5'UTR of 246 bp, a 3' UTR of 626 bp, and a complete ORE of 1473 bp encoding a polypeptide with 491 amino acid residues. The predicted molecular mass of deduced amino acid of ScSeBP was 54.85 kDa and the theoretical pI was 6.44. Tissue distribution analysis of the ScSeBP revealed that the mRNA transcripts of ScSeBP were constitutively expressed in all examined tissues with the higher expressions in gill, gonad and the haemocytes. The temporal expression of ScSeBP in gill and haemocytes after B[alpha]P and heavy metals exposure were recorded by qPCR. B[alpha]P exposure at 0.5 and 5 mg L-1 caused significant increase in mRNA expression of ScSeBP in haemocytes, but down-regulated ScSeBP mRNA expression in gill. Concerning heavy metals stresses, the suppressed expression patterns were detected in gill and haemocyte except lower concentration of PbCl2 exposure in haemocytes at 12 h. All our results indicated that ScSeBP was one of key effectors in mediating B[alpha]P and heavy metals exposure. (C) 2013 Elsevier Ltd. All rights reserved.</t>
  </si>
  <si>
    <t>[Lu, Yali; Zhang, Anguo; Li, Chenghua; Zhang, Peng; Su, Xiurong; Li, Ye; Mu, Changkao] Ningbo Univ, Sch Marine Sci, Ningbo 315211, Zhejiang, Peoples R China; [Zhang, Anguo] Liaoning Med Univ, Coll Anim Husb &amp; Vet, Jinzhou 121001, Liaoning Provin, Peoples R China; [Li, Taiwu] Ningbo City Coll Vocat Technol, Ningbo 315100, Zhejiang, Peoples R China</t>
  </si>
  <si>
    <t>Marine Public Benefit Research Foundation of State Oceanic Adminstration [201005106-2]; Chinese Key Technology RD Program [2011BAD 13B0903]; Outstanding (Postgraduate) Dissertation Growth Foundation of Ningbo University [PY2012005]; K.C.Wong Magna Fund at Ningbo University; NSFC [31101919, 41216120]</t>
  </si>
  <si>
    <t>Marine Public Benefit Research Foundation of State Oceanic Adminstration; Chinese Key Technology RD Program; Outstanding (Postgraduate) Dissertation Growth Foundation of Ningbo University; K.C.Wong Magna Fund at Ningbo University; NSFC(National Natural Science Foundation of China (NSFC))</t>
  </si>
  <si>
    <t>This work was financially supported by the Project of Marine Public Benefit Research Foundation of State Oceanic Adminstration (201005106-2), Chinese Key Technology R&amp;D Program (2011BAD 13B0903), Outstanding (Postgraduate) Dissertation Growth Foundation of Ningbo University (PY2012005) and K.C.Wong Magna Fund at Ningbo University. Partially supported was provided by NSFC grant (31101919 and 41216120).</t>
  </si>
  <si>
    <t>10.1016/j.fsi.2013.04.040</t>
  </si>
  <si>
    <t>http://dx.doi.org/10.1016/j.fsi.2013.04.040</t>
  </si>
  <si>
    <t>188QB</t>
  </si>
  <si>
    <t>WOS:000322207500009</t>
  </si>
  <si>
    <t>Jang, FH; Wong, CG; Choo, J; Sia, ESA; Mujahid, A; Muller, M</t>
  </si>
  <si>
    <t>Jang, Faddrine Holt; Wong, Changi; Choo, Jenny; Sia, Edwin Sien Aun; Mujahid, Aazani; Muller, Moritz</t>
  </si>
  <si>
    <t>Increased transfer of trace metals and Vibrio sp. from biodegradable microplastics to catfish Clarias gariepinus</t>
  </si>
  <si>
    <t>Microplastic; Trace metal; Vibrio; Clarias gariepinus; Bioaccumulation</t>
  </si>
  <si>
    <t>PLASTIC RESIN PELLETS; HEAVY-METALS; MYTILUS-EDULIS; BIOACCUMULATION; FISH; TISSUE; CHEMICALS; MUSSELS; COASTAL; PARAHAEMOLYTICUS</t>
  </si>
  <si>
    <t>Microplastic ingestion has been documented in various aquatic species. This causes physical damage, and additionally contaminated microplastics transfer attached pollutants and microbial pathogens to ingesting organisms. Continued metal accumulation can lead to toxicity and adverse health effects; attached microbial pathogens can cause dysbiosis which lowers host immunity and promotes infections. Catfish, Clarias gariepinus, are a major food source in Southeast Asia, a hotspot of plastic pollution. This study aimed to quantify the transfer of the trace metals copper (Cu) and lead (Pb)-at environmentally relevant concentrations-from microplastics (polyamide 12, PA12, and polylactic acid, PLA) to catfish. Fish were reared for three months and exposed to seven different combinations of feed, supplemented with plastics and metals. At monthly intervals, fish gills, intestines, liver, and edible muscles were analysed for Cu and Pb concentrations using ICP-OES, and the intestines content assessed for Vibrio sp.. Our results showed that biodegradable PLA transferred higher amounts of metals to catfish than expected and also led to increased Vibrio counts in the intestines compared to PA12. Trace metal accumulation was significantly different in varying tissues, with highest concentrations observed in the gills, followed by liver, intestines, and lastly edible muscles. The results of this study further support the existing evidence that microplastics act as efficient shuttles to concentrate and transfer metals. They also indicate that their uptake can cause dysbiosis (increased numbers of Vibrio sp.). Most importantly, however, our study highlights that biodegradable polymers, such as PLA, could actually pose a greater environmental threat when ingested compared to the more common polymers such as PA12.</t>
  </si>
  <si>
    <t>[Jang, Faddrine Holt; Wong, Changi; Choo, Jenny; Sia, Edwin Sien Aun; Muller, Moritz] Swinburne Univ Technol Sarawak, Fac Engn Comp &amp; Sci, Sarawak 93350, Malaysia; [Mujahid, Aazani] Univ Malaysia Sarawak, Fac Resource Sci &amp; Technol, Sarawak 94300, Malaysia</t>
  </si>
  <si>
    <t>University of Malaysia Sarawak</t>
  </si>
  <si>
    <t>Muller, M (corresponding author), Swinburne Univ Technol Sarawak, Fac Engn Comp &amp; Sci, Sarawak 93350, Malaysia.</t>
  </si>
  <si>
    <t>mmueller@swinburne.edu.my</t>
  </si>
  <si>
    <t>Mujahid, Aazani/AAI-4421-2020</t>
  </si>
  <si>
    <t>Wong, Changi/0000-0002-9832-8877; Sia, Edwin/0000-0002-2318-3976; Choo, Jenny/0000-0002-4567-248X; Jang, Faddrine/0000-0002-7863-2820</t>
  </si>
  <si>
    <t>10.1016/j.envpol.2022.118850</t>
  </si>
  <si>
    <t>http://dx.doi.org/10.1016/j.envpol.2022.118850</t>
  </si>
  <si>
    <t>ZG3VH</t>
  </si>
  <si>
    <t>WOS:000760186600007</t>
  </si>
  <si>
    <t>Talley, TS; Loflen, C; Gossett, R; Pedersen, D; Venuti, N; Nguyen, J; Gersberg, R</t>
  </si>
  <si>
    <t>Talley, Theresa Sinicrope; Loflen, Chad; Gossett, Rich; Pedersen, David; Venuti, Nina; Nguyen, Julie; Gersberg, Richard</t>
  </si>
  <si>
    <t>Contaminant concentrations and risks associated with the Pacific oyster in the highly urbanized San Diego Bay</t>
  </si>
  <si>
    <t>Bivalves; Estuary health; Plastics; Pollutants; Recreational fishing; Shellfish harvest</t>
  </si>
  <si>
    <t>CRASSOSTREA-GIGAS; PLASTIC CONTAMINATION; MULTIVARIATE ANALYSES; SPATIAL-DISTRIBUTION; POLLUTANTS; MICROPLASTICS; CALIFORNIA; BIVALVES; SEDIMENT; HEALTH</t>
  </si>
  <si>
    <t>Contaminant concentrations in filter-feeding shellfish may indicate the health of coastal waters and consumption risks. Widespread expansion of the Pacific oyster (Crassostrea gigas) and its popularity as food make it a useful sentinel. We surveyed intertidal Pacific oysters in San Diego Bay, California for contaminants during summer 2018 and winter 2019. We compared contaminants in Pacific oyster to California mussel from California's State Mussel Watch Program (1993-2003) and human consumption thresholds. Contaminants such as neonicotinoid and chlorinated pesticides, selenium, and several metals were higher in Pacific oysters in summer, while PBDEs, benzylbutyl phthalate, and plastics were higher in winter. Contaminant levels were generally lower in Pacific oyster than mussel except for copper and zinc. Bay-wide PCB concentrations in oysters exceeded thresholds but individual samples (locations) also met or surpassed chlordane, PCB and PAH thresholds. Monitoring and risk assessments that consider species' biology, season, location, effects of multiple contaminants, and human consumption patterns will contribute to more effective consumption guidelines.</t>
  </si>
  <si>
    <t>[Talley, Theresa Sinicrope; Venuti, Nina] Univ Calif San Diego, Calif Sea Grant, 9500 Gilman Dr, La Jolla, CA 92093 USA; [Loflen, Chad] San Diego Reg Water Qual Control Board, San Diego, CA 92108 USA; [Gossett, Rich] Physis Environm Labs Inc, 1904 E Wright Cir, Anaheim, CA 92806 USA; [Pedersen, David] Univ Calif San Diego, Dept Anthropol, La Jolla, CA 92093 USA; [Nguyen, Julie; Gersberg, Richard] San Diego State Univ, Sch Publ Hlth, San Diego, CA 92182 USA; [Venuti, Nina] Univ Calif Davis, Dept Plant Sci, Davis, CA 95616 USA</t>
  </si>
  <si>
    <t>University of California System; University of California San Diego; University of California System; University of California San Diego; California State University System; San Diego State University; University of California System; University of California Davis</t>
  </si>
  <si>
    <t>Talley, TS (corresponding author), Univ Calif San Diego, Calif Sea Grant, 9500 Gilman Dr, La Jolla, CA 92093 USA.</t>
  </si>
  <si>
    <t>tstalley@ucsd.edu</t>
  </si>
  <si>
    <t>California Sea Grant Project [R/SFA-04]; California Surface Water Ambient Monitoring Program</t>
  </si>
  <si>
    <t>California Sea Grant Project; California Surface Water Ambient Monitoring Program</t>
  </si>
  <si>
    <t>We thank Charles Adams, Lupita Barajas, and Kristy Nguyen of California Sea Grant and Carey Nagoda, Deborah Woodward, and Helen Yu of the San Diego Regional Water Quality Control Board for their excellent help in the field and laboratory. Autumn Bonnema of Moss Landing Marine Labs, and Mark Baker and Rich Hansen of Physis Environmental Laboratory, Inc. provided much assistance and expertise with sample analyses. This manuscript was much improved by the insights and comments of Pat Hutchings and two anonymous reviewers. Funding for this project was provided by California Sea Grant Project #R/SFA-04 awarded to D.P (PI) and T.S.T., and the California Surface Water Ambient Monitoring Program awarded to C.L. Samples were collected under California Department of Fish and Wildlife Scientific Collection Permit No. SCP-5295 and GM-182830002-18298-001.</t>
  </si>
  <si>
    <t>10.1016/j.marpolbul.2021.113132</t>
  </si>
  <si>
    <t>http://dx.doi.org/10.1016/j.marpolbul.2021.113132</t>
  </si>
  <si>
    <t>XY9CG</t>
  </si>
  <si>
    <t>WOS:000737260800004</t>
  </si>
  <si>
    <t>Thiagarajan, R; Gopalakrishnan, S; Thilagam, H</t>
  </si>
  <si>
    <t>Thiagarajan, R.; Gopalakrishnan, S.; Thilagam, H.</t>
  </si>
  <si>
    <t>Immunomodulation the marine green mussel Perna viridis exposed to sub-lethal concentrations of Cu and Hg</t>
  </si>
  <si>
    <t>IN-VITRO EXPOSURE; PHAGOCYTIC-ACTIVITY; OXYGEN RADICALS; MYTILUS-EDULIS; HEMOCYTES; COPPER; CYTOSKELETON; MYTILIDAE; POLLUTION; RESPONSES</t>
  </si>
  <si>
    <t>Environmental pollution is a growing concern and, more importantly, pollution of the aquatic ecosystem is alarming. Marine pollution may be one of the reasons for disease incidence in marine organisms, which is caused due to adverse effects of pollutants on the immune system. Bivalves are commonly used as bio-indicators of marine pollution, and immunomodulation due to toxicants is one of the important bio-markers used. Perna viridis too have been used as a bio-indicator, but this study is, to our knowledge, a first report on immunomodulation produced by metals, in P. viridis. Animals were exposed to copper and mercury at their sub-lethal concentrations of 20 mu g L-1 and 10 mu g L-1, respectively. Immune parameters including phenoloxidase, reactive oxygen species generation, and phagocytosis were monitored. The study period was for 25 days (chronic long-term exposure) and objectives established whether metals produced immunomodulation and to understand the effects of long-term exposure on immunomodulation. Results showed that both metals adversely affected immune parameters studied and, interestingly, there appears to be some level of recovery (depuration) from the toxic effects of metals.</t>
  </si>
  <si>
    <t>Anna Univ, Inst Ocean Management, Madras 600025, Tamil Nadu, India; Univ Madras, Dept Zool, Madras 600025, Tamil Nadu, India; Prince Venkateswara Coll Arts &amp; Sci, Dept Biotechnol, Madras 601302, Tamil Nadu, India</t>
  </si>
  <si>
    <t>Anna University; Anna University Chennai; University of Madras</t>
  </si>
  <si>
    <t>Gopalakrishnan, S (corresponding author), Anna Univ, Inst Ocean Management, Madras 600025, Tamil Nadu, India.</t>
  </si>
  <si>
    <t>Gopalakrishnan, Singaram/AEB-6454-2022; Raman, Thiagarajan/AAP-6638-2021</t>
  </si>
  <si>
    <t>10.1007/s00244-005-0192-7</t>
  </si>
  <si>
    <t>http://dx.doi.org/10.1007/s00244-005-0192-7</t>
  </si>
  <si>
    <t>078JH</t>
  </si>
  <si>
    <t>WOS:000240098500010</t>
  </si>
  <si>
    <t>Tang, CH; Lin, CS; Wang, WH</t>
  </si>
  <si>
    <t>Tang, Chuan-Ho; Lin, Chan-Shing; Wang, Wei-Hsien</t>
  </si>
  <si>
    <t>METAL ACCUMULATION IN MARINE BIVALVES UNDER VARIOUS TRIBUTYLTIN BURDENS</t>
  </si>
  <si>
    <t>Bioindicator; Copper; Organotin; Oyster; Synergistic effect</t>
  </si>
  <si>
    <t>MUSSEL PERNA-VIRIDIS; CLAM RUDITAPES-DECUSSATA; ORGANOTIN COMPOUNDS; CRASSOSTREA-GIGAS; COASTAL WATERS; TRIPHENYLTIN COMPOUNDS; GAS-CHROMATOGRAPHY; ANTIFOULING PAINTS; MYTILUS-EDULIS; BUTYLTIN</t>
  </si>
  <si>
    <t>In the present study, a field survey was conducted to measure the accumulation of butyltin, Cu, Zn, and Cd in green mussels (Perna viridis) and Pacific oysters (Crassostrea gigas) at the regions along a tributyltin pollution gradient. A negative correlation was found between the tributyltin/total butyltin ratio (0.87-0.31) and tributyltin content (114-5,817 ng/g as tin dry wt) in oysters, while the Cu content (44.2-381 mg/kg dry wt) was positively correlated with the logarithm of tributyltin content during the summer and winter. This suggests that as the tributyltin burden increases, the rates of tributyltin metabolism may be elevated, leading to enhanced Cu accumulation. A similar accumulation pattern for Zn was also found in oysters. In mussels, however, the tributyltin/total butyltin ratio and the Cu and Zn contents remained relatively constant (similar to 0.7, 12, and 100 mg/kg dry wt, respectively) regardless of the tributyltin burden. Clearly, the butyltin and Cu/Zn accumulation processes in oysters differ from those in mussels under tributyltin pollution. These observations provide valuable information for those who evaluate or compare tributyltin and/or Cu/Zn pollution using oysters and mussels as bioindicators.</t>
  </si>
  <si>
    <t>[Tang, Chuan-Ho; Lin, Chan-Shing; Wang, Wei-Hsien] Natl Sun Yat Sen Univ, Dept Marine Biotechnol &amp; Resources, Kaohsiung 80424, Taiwan; [Tang, Chuan-Ho; Lin, Chan-Shing] Natl Sun Yat Sen Univ, Asia Pacific Ocean Res Ctr, Kaohsiung 80424, Taiwan; [Wang, Wei-Hsien] Natl Museum Marine Biol &amp; Aquarium, Checheng Pingtung 80944, Taiwan</t>
  </si>
  <si>
    <t>National Sun Yat Sen University; National Sun Yat Sen University; National Museum of Marine Biology &amp; Aquarium</t>
  </si>
  <si>
    <t>Wang, WH (corresponding author), Natl Sun Yat Sen Univ, Dept Marine Biotechnol &amp; Resources, 70 Lien Hai Rd, Kaohsiung 80424, Taiwan.</t>
  </si>
  <si>
    <t>Ministry of Education [95C030314]; National Museum of Marine Biology and Aquarium of Taiwan</t>
  </si>
  <si>
    <t>Ministry of Education; National Museum of Marine Biology and Aquarium of Taiwan</t>
  </si>
  <si>
    <t>This research was supported by the Ministry of Education (95C030314) and National Museum of Marine Biology and Aquarium of Taiwan, Republic of China.</t>
  </si>
  <si>
    <t>10.1897/09-178.1</t>
  </si>
  <si>
    <t>http://dx.doi.org/10.1897/09-178.1</t>
  </si>
  <si>
    <t>507IV</t>
  </si>
  <si>
    <t>WOS:000270846900012</t>
  </si>
  <si>
    <t>RIISGARD, HU; KIORBOE, T; MOHLENBERG, F; DRABAEK, I; MADSEN, PP</t>
  </si>
  <si>
    <t>ACCUMULATION, ELIMINATION AND CHEMICAL SPECIATION OF MERCURY IN THE BIVALVES MYTILUS-EDULIS AND MACOMA-BALTHICA</t>
  </si>
  <si>
    <t>Mussels (M. edulis) transferred in net bags from clean to chronically Hg polluted water readily accumulated Hg during an exposure period of 3 mo. Growth of the transplanted mussels had a diluting effect on the Hg concentration, but the absolute weight of Hg uptake increased throughout the entire period, though there was a tendency for decreased efficiency of the removal of Hg per liter of water filtered by the mussels. Mussels were also translocated from polluted to clean (laboratory) water to depurate Hg. The biological half-lives of Hg were 293 days for M. edulis from the chronically polluted area in contrast to only 53 days for mussels from a temporary massive Hg polluted area near a chemical deposit. In both cases about 75% of the total Hg in the mussels was inorganic; both inorganic and organic Hg species were immobilized in mussels from the long-term Hg polluted area; the immobilization capacity was exceeded in the short-term Hg exposed mussels near the chemical deposit. Very slow elimination of Hg was observed in the deposit-feeding bivalve M. balthica from the chronically polluted area, and about 6% of the total Hg was methyl-+phenyl-Hg. This is more than 3 times lower than found in M. edulis from the same collecting site. A pronounced difference in the Hg speciation (i.e., total Hg, total organic Hg, methyl-Hg and phenyl-Hg) in M. edulis from the 2 Hg polluted areas is thought to reflect the different character of the Hg pollution in the 2 areas.</t>
  </si>
  <si>
    <t>DANISH INST FISHERIES &amp; MARINE RES, CHARLOTTENLUND CASTLE, DK-2920 CHARLOTTENLUND, DENMARK; NATL AGCY ENVIRONM PROTECT, MARINE POLLUT LAB, DK-2920 CHARLOTTENLUND, DENMARK; DANISH ISOTOPE CTR, DK-1717 COPENHAGEN, DENMARK</t>
  </si>
  <si>
    <t>ODENSE UNIV, INST BIOL, DK-5230 ODENSE, DENMARK.</t>
  </si>
  <si>
    <t>Riisgard, Hans Ulrik/G-2568-2010; Kiørboe, Thomas/ABI-4733-2020; drabaek, iver/E-4955-2010; Kiorboe, Thomas/G-3190-2011</t>
  </si>
  <si>
    <t>Kiorboe, Thomas/0000-0002-3265-336X; Riisgard, Hans Ulrik/0000-0002-8188-2951</t>
  </si>
  <si>
    <t>10.1007/BF00392579</t>
  </si>
  <si>
    <t>http://dx.doi.org/10.1007/BF00392579</t>
  </si>
  <si>
    <t>AJR46</t>
  </si>
  <si>
    <t>WOS:A1985AJR4600006</t>
  </si>
  <si>
    <t>Ringwood, AH; Conners, DE; Hoguet, J</t>
  </si>
  <si>
    <t>Effects of natural and anthropogenic stressors on lysosomal destabilization in oysters Crassostrea virginica</t>
  </si>
  <si>
    <t>lysosomes; neutral red assay; bioindicators; oysters; copper pollutants</t>
  </si>
  <si>
    <t>DIGESTIVE CELLS; MEMBRANE DAMAGE; IN-VITRO; RESPONSES; MUSSELS; MARINE; BLOOD</t>
  </si>
  <si>
    <t>Lysosomal destabilization indices (based on a neutral red retention assay) were evaluated for digestive gland cells of oysters Crassostrea virginica. Laboratory studies were conducted to evaluate the effects of variable salinity regimes (a natural stressor) and copper exposures (a pollutant stressor) on lysosomal destabilization. Field studies were also conducted with native oysters and hatchery-reared juvenile oysters deployed in situ at reference and polluted sites. Lysosomal integrity was not affected by either short-term or longer-term variations in salinity during laboratory experiments, and the destabilization indices were similar to those of deployed and native oysters from reference sites characterized by a range of salinities. However, laboratory Cu exposures (ranging from 2.5 to 20 mu g Cu l(-1)) caused significant adverse effects on lysosomal destabilization after only 18 h, and the effects were sustained or worsened with increasing exposure time and concentration. Hatchery-reared oysters deployed at or native oysters collected from polluted sites had significantly higher lysosomal destabilization indices. Estuarine habitats are characterized by variable salinity regimes, so cellular responses that are sensitive to salinity stress as well as contaminant stress would be difficult to interpret if salinity effects cannot be distinguished from pollutant effects. A robust biomarker of anthropogenic effects should be insensitive to natural stressors such as salinity, but should be sensitive to pollutants. The salinity and contaminant studies described in this paper indicate that lysosomal destabilization responses in oysters are insensitive to salinity variations and sensitive to pollutants, and are therefore potentially valuable biomarkers of anthropogenic stress.</t>
  </si>
  <si>
    <t>Marine Resources Res Inst, Charleston, SC 29412 USA; Med Univ S Carolina, Charleston, SC 29425 USA; Univ Charleston, Charleston, SC 29424 USA</t>
  </si>
  <si>
    <t>Medical University of South Carolina; College of Charleston</t>
  </si>
  <si>
    <t>Ringwood, AH (corresponding author), Marine Resources Res Inst, 217 Ft Johnson Rd, Charleston, SC 29412 USA.</t>
  </si>
  <si>
    <t>ringwooda@mrd.dnr.state.sc.us</t>
  </si>
  <si>
    <t>10.3354/meps166163</t>
  </si>
  <si>
    <t>http://dx.doi.org/10.3354/meps166163</t>
  </si>
  <si>
    <t>ZW639</t>
  </si>
  <si>
    <t>WOS:000074431800015</t>
  </si>
  <si>
    <t>Marigómez, I; Izagirre, U; Lekube, X</t>
  </si>
  <si>
    <t>Lysosomal enlargement in digestive cells of mussels exposed to cadmium, benzo[a]pyrene and their combination</t>
  </si>
  <si>
    <t>lysosomal structural changes; digestive cells; mussels; biomarkers; organic chemicals; metals; mixtures</t>
  </si>
  <si>
    <t>MYTILUS-GALLOPROVINCIALIS; ENVIRONMENTAL-STRESS; IBERIAN PENINSULA; RESPONSES; GLAND; BIOMARKERS; SYSTEM; EDULIS; INDUCTION; POLLUTION</t>
  </si>
  <si>
    <t>Digestive cell lysosomes in mussels are known to respond to individual organic chemicals and metals after experimental exposure under laboratory conditions but reports dealing with the response to mixtures of pollutants are scarce. The aim of the present investigation was to compare the lysosomal responses elicited by exposure to a model organic chemical compound (benzo(a)pyrene, B[a]P), a model toxic metal (Cd) and their combination (B[a]P+Cd) under controlled laboratory conditions. Dimethylsulfoxide (DMSO) was used as vehicle to dissolve organic chemicals into seawater. Control mussels were either kept untreated in clean seawater or treated with DMSO. Digestive glands were excised on Day 21. beta-Glucuronidase activity was demonstrated in 8 mu m cryotome sections. Lysosomal volume, surface and numerical densities (Vv, Sv and Nv), and surface-to-volume ratio (S/V) were quantified by image analysis. Lysosomal enlargement was evident in digestive cells of mussels exposed to either Cd, B[a]P or B[a]P+Cd. Such enlargement was more marked after exposure to B[a]P+Cd than to B[a]P, but did not reach the levels recorded after Cd exposure. It seems therefore that the presence of B[a]P reduced to some extent the effects of Cd on digestive cell lysosomes in mussels. (c) 2005 Elsevier Inc. All rights reserved.</t>
  </si>
  <si>
    <t>Univ Basque Country, Cell Biol &amp; Histol Lab, Zool &amp; Anim Cell Biol Dept, E-48080 Bilbao, Basque Country, Spain</t>
  </si>
  <si>
    <t>Euskal Herriko Unibertsitatea, Zientzia &amp; Teknol Fak, Zool &amp; Anim Biol Zelularra Saila, 644 PK, E-48080 Bilbao, Basque Country, Spain.</t>
  </si>
  <si>
    <t>zopmaali@lg.ehu.es</t>
  </si>
  <si>
    <t>Izagirre, Urtzi/C-3848-2017; Lekube, Xabier/Y-7006-2018; MARIGOMEZ ALLENDE, Ionan/C-3909-2017</t>
  </si>
  <si>
    <t>Izagirre, Urtzi/0000-0002-3477-4974; Lekube, Xabier/0000-0002-1005-4593; MARIGOMEZ ALLENDE, Ionan/0000-0001-6274-541X</t>
  </si>
  <si>
    <t>10.1016/j.cca.2005.06.005</t>
  </si>
  <si>
    <t>http://dx.doi.org/10.1016/j.cca.2005.06.005</t>
  </si>
  <si>
    <t>956VU</t>
  </si>
  <si>
    <t>WOS:000231328900009</t>
  </si>
  <si>
    <t>Bayen, S; Gong, YH; Chin, HS; Lee, HK; Leong, YE; Obbard, JP</t>
  </si>
  <si>
    <t>Androgenic and estrogenic response of green mussel extracts from Singapore's coastal environment using a human cell-based bioassay</t>
  </si>
  <si>
    <t>androgen; endocrine disruption; estrogen; green mussel; heavy metals; persistent organic pollutants; reporter gene bioassay; Singapore</t>
  </si>
  <si>
    <t>ORGANOCHLORINE PESTICIDES; ENDOCRINE DISRUPTORS; IN-VITRO; MARINE; EXPOSURE; PROFILE; IMPACT; WATER; PCB</t>
  </si>
  <si>
    <t>In the last decade, evidence of endocrine disruption in biota exposed to environmental pollutants has raised serious concern. Human cell-based bioassays have been developed to evaluate induced androgenic and estrogenic activities of chemical compounds. However, bioassays have been sparsely applied to environmental samples. In this study we present data on sex hormone activities in the green mussel, Perna viridis, in Singapore's coastal waters. P. viridis is a common bioindicator of marine contamination, and this study is a follow-up to an earlier investigation that reported the presence of sex hormone activities in seawater samples from Singapore's coastal environment. Specimens were collected from eight locations around the Singapore coastline and analyzed for persistent organic pollutants (POPs) and heavy metals. Tissue extracts were then screened for activities on androgen receptors (ARs) and estrogen receptors (ER-alpha and ER-beta) using a reporter gene bioassay based on a HeLa human cell line. Mussel extracts alone did not exhibit AR activity, but in the presence of the reference androgenic hormone dihydrotestosterone (DHT), activities were up to 340% higher than those observed for DHT alone. Peak activities were observed in locations adjacent to industrial and shipping activities. Estrogenic activities of the mussel extract both alone and in the presence of reference hormone were positive. Correlations were statistically investigated between sex hormone activities, levels of pollutants in the mussel tissues, and various biological parameters (specimen size, sex ratio, lipid and moisture content). Significant correlations exist between AR activities, in the presence of DHT, and total concentration of POPs (r = 0.725, p &lt; 0.05).</t>
  </si>
  <si>
    <t>Natl Univ Singapore, Trop Marine Sci Inst, Singapore 119223, Singapore; Natl Univ Singapore, Dept Chem, Singapore 117548, Singapore; Natl Univ Singapore, Dept Obstet &amp; Gynecol, Singapore 117548, Singapore</t>
  </si>
  <si>
    <t>National University of Singapore; National University of Singapore; National University of Singapore</t>
  </si>
  <si>
    <t>Gong, Yinhan/D-1932-2013; Lee, Hian/B-3993-2018; OBBARD, Jeff/D-4630-2009; Lee, Hian Kee/B-3983-2018</t>
  </si>
  <si>
    <t>Lee, Hian Kee/0000-0002-5664-9509; Bayen, Stephane/0000-0002-9935-6685; Chin, Hong Soon/0009-0008-4482-3013</t>
  </si>
  <si>
    <t>10.1289/ehp.6990</t>
  </si>
  <si>
    <t>http://dx.doi.org/10.1289/ehp.6990</t>
  </si>
  <si>
    <t>869GX</t>
  </si>
  <si>
    <t>WOS:000224972500032</t>
  </si>
  <si>
    <t>Gallastegui, A; Porcarelli, L; Palacios, RE; Góniez, ML; Mecerreyes, D</t>
  </si>
  <si>
    <t>Gallastegui, Antonela; Porcarelli, Luca; Palacios, Rodrigo E.; Lorena Goniez, M.; Mecerreyes, David</t>
  </si>
  <si>
    <t>Catechol-Containing Acrylic Poly(ionic liquid) Hydrogels as Bioinspired Filters for Water Decontamination</t>
  </si>
  <si>
    <t>ACS APPLIED POLYMER MATERIALS</t>
  </si>
  <si>
    <t>bioinspired materials; catechols; poly(ionic liquid)s; hydrogels; water purification; heavy metal removal</t>
  </si>
  <si>
    <t>SWELLING BEHAVIOR; DOPA; NANOPARTICLES; ADHESIVE; ENERGY; BLUE</t>
  </si>
  <si>
    <t>Mussel-inspired catechol-containing materials have currently drawn great attention as biomaterials, adhesives, surface coatings and in bioelectronics, among other applications. In this work, we mimicked the ability of mussels as water filtration systems to adsorb organic and inorganic contaminants. For this purpose, the synthesis of biomimetic hydrogels by copolymerization of a new ionic monomer, dopamine meth acrylic acid salt (iDA) with a series of water-soluble methacrylate monomers, was performed using visible light photopolymerization. The iDA ionic monomer is highly water soluble as compared to previously reported monomers containing catechol groups. This allows its incorporation into different acrylic hydrogels in concentrations of up to 50% mol of monomer-containing catechol groups, leading to functional materials with variable morphology and swelling properties. The hydrogels showed to be highly effective for the removal of heavy metals such as As(V) and Cr(VI) with very good effectiveness compared to other commonly employed natural sorbents, such as clays. Additionally, these poly(ionic liquid) hydrogels containing catechol groups were evaluated in the removal also of other pollutants such as charged organic dyes. Preliminary results demonstrate the versatility of these materials that combine catechol and ionic chemistry for the adsorption of a wide variety of water pollutants.</t>
  </si>
  <si>
    <t>[Gallastegui, Antonela; Palacios, Rodrigo E.; Lorena Goniez, M.] Univ Nacl Rio Cuarto, IITEMA, Campus Univ, RA-5800 Rio Cuarto, Argentina; [Gallastegui, Antonela; Palacios, Rodrigo E.; Lorena Goniez, M.] Consejo Nacl Invest Cient &amp; Tecnol CONICET, Campus Univ, RA-5800 Rio Cuarto, Argentina; [Porcarelli, Luca; Mecerreyes, David] Univ Basque Country, UPV EHU, POLYMAT, Ave Tolosa 72, San Sebastian 20018, Spain; [Mecerreyes, David] Basque Fdn Sci, Ikerbasque, Bilbao 48013, Spain</t>
  </si>
  <si>
    <t>Universidad Nacional Rio Cuarto; University of Basque Country; POLYMAT; Basque Foundation for Science</t>
  </si>
  <si>
    <t>Góniez, ML (corresponding author), Univ Nacl Rio Cuarto, IITEMA, Campus Univ, RA-5800 Rio Cuarto, Argentina.;Góniez, ML (corresponding author), Consejo Nacl Invest Cient &amp; Tecnol CONICET, Campus Univ, RA-5800 Rio Cuarto, Argentina.;Mecerreyes, D (corresponding author), Univ Basque Country, UPV EHU, POLYMAT, Ave Tolosa 72, San Sebastian 20018, Spain.;Mecerreyes, D (corresponding author), Basque Fdn Sci, Ikerbasque, Bilbao 48013, Spain.</t>
  </si>
  <si>
    <t>mlgomez@exa.unrc.edu.ar; david.mecerreyes@ehu.es</t>
  </si>
  <si>
    <t>Porcarelli, Luca/AAB-1371-2021; Palacios, Rodrigo/IAN-1490-2023; Mecerreyes, David/K-7541-2014</t>
  </si>
  <si>
    <t>Gallastegui, Antonela/0000-0002-3432-9205; Mecerreyes, David/0000-0002-0788-7156; Gomez, Maria Lorena/0000-0002-3542-1038</t>
  </si>
  <si>
    <t>Basque Government through Elkartek Project LION; EU Commission through RISE H2020 project IONBIKE; Universidad Nacional de Rio Cuarto; Consejo Nacional de Investigation Cientifica y Tecnologica [PIP 11220100100284]; Agencia Nacional de Promotion Cientifica y Tecnologica from Argentina [PICT 0115/2016]</t>
  </si>
  <si>
    <t>Basque Government through Elkartek Project LION(Basque Government); EU Commission through RISE H2020 project IONBIKE; Universidad Nacional de Rio Cuarto; Consejo Nacional de Investigation Cientifica y Tecnologica; Agencia Nacional de Promotion Cientifica y Tecnologica from Argentina</t>
  </si>
  <si>
    <t>The financial support of Basque Government through Elkartek Project LION and EU Commission through RISE H2020 project IONBIKE, Universidad Nacional de Rio Cuarto, Consejo Nacional de Investigation Cientifica y Tecnologica (PIP 11220100100284) and Agencia Nacional de Promotion Cientifica y TecnolOgica (PICT 0115/2016) from Argentina is gratefully acknowledged.</t>
  </si>
  <si>
    <t>2637-6105</t>
  </si>
  <si>
    <t>ACS APPL POLYM MATER</t>
  </si>
  <si>
    <t>ACS Appl. Polym. Mater.</t>
  </si>
  <si>
    <t>10.1021/acsapm.9b00443</t>
  </si>
  <si>
    <t>http://dx.doi.org/10.1021/acsapm.9b00443</t>
  </si>
  <si>
    <t>Materials Science, Multidisciplinary; Polymer Science</t>
  </si>
  <si>
    <t>Materials Science; Polymer Science</t>
  </si>
  <si>
    <t>IL0DU</t>
  </si>
  <si>
    <t>Green Published, Green Accepted</t>
  </si>
  <si>
    <t>WOS:000476967100029</t>
  </si>
  <si>
    <t>Bezuidenhout, J; Dames, N; Botha, A; Frontasyeva, MV; Goryainova, ZI; Pavlov, D</t>
  </si>
  <si>
    <t>Bezuidenhout, Jacques; Dames, Nicole; Botha, Alfred; Frontasyeva, Marina V.; Goryainova, Zoya I.; Pavlov, Dmitry</t>
  </si>
  <si>
    <t>TRACE ELEMENTS IN MEDITERRANEAN MUSSELS Mytilus galloprovincialis FROM THE SOUTH AFRICAN WEST COAST</t>
  </si>
  <si>
    <t>ECOLOGICAL CHEMISTRY AND ENGINEERING S-CHEMIA I INZYNIERIA EKOLOGICZNA S</t>
  </si>
  <si>
    <t>biomonitoring; Inductivity Coupled Plasma-Mass Spectrometry; heavy metals; trace elements; Neutron Activation Analyses; bivalve molluscs; Mytilus galloprovincialis; Saldanha Bay area</t>
  </si>
  <si>
    <t>ACTIVATION-ANALYSIS; LANGEBAAN LAGOON; UNITED-STATES; WATCH; METAL; INVASION</t>
  </si>
  <si>
    <t>Invasive bivalve molluscs, Mediterranean mussels (Mytilus galloprovincialis) were used as sentinel biomonitors of pollution by inorganic contaminants in Saldanha Bay and the Langebaan Lagoon area of South Africa. Two complementary analytical techniques, ICP-MS and NAA, allowed for determination of concentrations of 31 major and trace elements including heavy metals and arsenic in the soft tissues of the mussels. Distinct seasonal patterns were found in the dynamics of these concentrations, with the mussels accumulating much more trace elements in winter than in the summer. In general, the mussels that grew naturally also demonstrated higher concentrations of As, Cd, Fe, Hg and Zn than those that were farmed. Fe showed the highest levels with a maximum concentration of 444 mg/kg followed by Zn with a maximum of 228 mg/kg. The concentrations of Mn and Pb were significantly higher in the Port of Saldanha close to the jetty where ores containing these metals are loaded in comparison with the other sampling sites. It was concluded that bivalve molluscs present themselves as effective biomonitors when assessing marine aquatic pollution by inorganic contaminants in the Saldanha Bay region.</t>
  </si>
  <si>
    <t>[Bezuidenhout, Jacques] Univ Stellenbosch, Fac Mil Sci, Sch Sci &amp; Technol, ZA-7600 Stellenbosch, South Africa; [Dames, Nicole; Botha, Alfred] Univ Stellenbosch, Dept Microbiol, ZA-7600 Stellenbosch, South Africa; [Frontasyeva, Marina V.; Goryainova, Zoya I.] Joint Inst Nucl Res, Frank Lab Neutron Phys, Div Nucl Phys, Sect Neutron Activat Anal &amp; Appl Res, Str Joliot Curie 6, Dubna 141980, Moscow Region, Russia; [Pavlov, Dmitry] Russian Acad Sci, ID Papanin Inst Biol Inland Waters, Borok 152742, Yaroslavl Regio, Russia</t>
  </si>
  <si>
    <t>Stellenbosch University; Stellenbosch University; Joint Institute for Nuclear Research - Russia; Papanin Institute for Biology of Inland Waters; Russian Academy of Sciences</t>
  </si>
  <si>
    <t>Frontasyeva, MV (corresponding author), Joint Inst Nucl Res, Frank Lab Neutron Phys, Div Nucl Phys, Sect Neutron Activat Anal &amp; Appl Res, Str Joliot Curie 6, Dubna 141980, Moscow Region, Russia.</t>
  </si>
  <si>
    <t>jab@ma2.sun.ac.za; abo@sun.ac.za; marina@nf.jinr.ru; zoyag2012@gmail.com; dpavlov.sr@gmail.com</t>
  </si>
  <si>
    <t>Pavlov, Dmitry/P-1744-2016; Frontasyeva, Marina/S-9362-2019; Frontasyeva, Marina/N-3862-2015</t>
  </si>
  <si>
    <t>Frontasyeva, Marina/0000-0003-2366-4873; Botha, Alfred/0000-0003-0988-647X; Bezuidenhout, Jacques/0000-0003-2540-0695; Dames, Nicole Rebecca/0000-0003-3943-1759</t>
  </si>
  <si>
    <t>JINR-NRS grant</t>
  </si>
  <si>
    <t>The authors acknowledge the JINR-NRS grant for 2012-2015.</t>
  </si>
  <si>
    <t>SOC ECOLOGICAL CHEMISTRY &amp; ENGINEERING</t>
  </si>
  <si>
    <t>OPOLE</t>
  </si>
  <si>
    <t>OPOLE UNIV, OLESKA 48, OPOLE, 45-951, POLAND</t>
  </si>
  <si>
    <t>1898-6196</t>
  </si>
  <si>
    <t>ECOL CHEM ENG S</t>
  </si>
  <si>
    <t>Ecol. Chem. Eng. S-</t>
  </si>
  <si>
    <t>10.1515/eces-2015-0028</t>
  </si>
  <si>
    <t>http://dx.doi.org/10.1515/eces-2015-0028</t>
  </si>
  <si>
    <t>DD9LK</t>
  </si>
  <si>
    <t>WOS:000370246800001</t>
  </si>
  <si>
    <t>Gargouri, D; Moez, B; Azri, C</t>
  </si>
  <si>
    <t>Gargouri, Dorra; Moez, Bahloul; Azri, Chafai</t>
  </si>
  <si>
    <t>Sediment Quality and Potential Toxicity Assessment in Two Open/Semiclosed Mediterranean Sea Areas: A Case Study of Sfax Coast (Tunisia)</t>
  </si>
  <si>
    <t>WATER ENVIRONMENT RESEARCH</t>
  </si>
  <si>
    <t>Sfax coast; marine sediments; heavy metals; chemometric approaches; potential toxicity</t>
  </si>
  <si>
    <t>CLAM RUDITAPES-DECUSSATUS; HEAVY-METAL CONTAMINATION; MARINE-SEDIMENTS; GULF; GUIDELINES; POLLUTION; GABES; BAY; METALLOTHIONEIN; BIOMARKER</t>
  </si>
  <si>
    <t>The Gulf of Gabes (southeastern Tunisia), characterized by the abundance of halieutic resources, is nowadays facing strong anthropogenic pressures. This paper aims to assess and compare metallic pollution in two open/semiclosed areas bordering the coastline of Sfax (a part of the Gulf). The first area covers the outlet zone of many anthropogenic effluents of urban Sfax, whereas the second area, located at a distance of 15 km from the first one, was selected as being representative of numerous semiclosed areas bordering the Gulf that have served for harvesting clams. Spatial distribution of selected heavy metals (Cd, Pb, Zn, Cu, and Fe) coupled with chemometric approaches (enrichment factor, contamination degree, mean-ERM-quotients, and cluster analysis) were used as tools for the assessment of metallic pollution. The obtained results showed that metallic pollution is higher in the semiclosed area despite the absence of neighboring anthropogenic sources, probably because of the relative importance of both autochthonous organic matter and biota. The computed potential ecotoxicity demonstrated moderately high values in this area, testifying to a menaced biota that is prone to more affecting hazards if significant active measures are not taken.</t>
  </si>
  <si>
    <t>[Gargouri, Dorra; Moez, Bahloul; Azri, Chafai] Univ Sfax, Dept Earth Sci, Fac Sci Sfax, Sfax 3000, Tunisia</t>
  </si>
  <si>
    <t>Gargouri, D (corresponding author), Univ Sfax, Dept Earth Sci, Fac Sci Sfax, Route Soukra Km 3,5,BP 1171, Sfax 3000, Tunisia.</t>
  </si>
  <si>
    <t>dorragargouri@yahoo.fr</t>
  </si>
  <si>
    <t>Chafai, AZRI/0000-0001-9743-2974</t>
  </si>
  <si>
    <t>1061-4303</t>
  </si>
  <si>
    <t>1554-7531</t>
  </si>
  <si>
    <t>WATER ENVIRON RES</t>
  </si>
  <si>
    <t>Water Environ. Res.</t>
  </si>
  <si>
    <t>10.2175/106143014X13975035525546</t>
  </si>
  <si>
    <t>http://dx.doi.org/10.2175/106143014X13975035525546</t>
  </si>
  <si>
    <t>Engineering, Environmental; Environmental Sciences; Limnology; Water Resources</t>
  </si>
  <si>
    <t>Engineering; Environmental Sciences &amp; Ecology; Marine &amp; Freshwater Biology; Water Resources</t>
  </si>
  <si>
    <t>CK1AF</t>
  </si>
  <si>
    <t>WOS:000355936600010</t>
  </si>
  <si>
    <t>Raudonyte-Svirbutaviciene, E; Joksas, K; Stakeniene, R; Rybakovas, A; Nalivaikiene, R; Visinskiene, G; Arbaciauskas, K</t>
  </si>
  <si>
    <t>Raudonyte-Svirbutaviciene, Eva; Joksas, Kestutis; Stakeniene, Rimute; Rybakovas, Aleksandras; Nalivaikiene, Reda; Visinskiene, Giedre; Arbaciauskas, Kestutis</t>
  </si>
  <si>
    <t>Pollution patterns and their effects on biota within lotic and lentic freshwater ecosystems: How well contamination and response indicators correspond?</t>
  </si>
  <si>
    <t>Lotic and lentic ecosystems; Heavy metals; Polycyclic aromatic hydrocarbons; Pollution sources; Macroinvertebrate metrics</t>
  </si>
  <si>
    <t>POLYCYCLIC AROMATIC-HYDROCARBONS; HEAVY-METALS; SOURCE IDENTIFICATION; RISK-ASSESSMENT; RIVER; SEDIMENT; MUSSEL; MICRONUCLEI; SOILS; URBAN</t>
  </si>
  <si>
    <t>Aquatic environments are often severely polluted with chemical substances of anthropogenic origin, which can pose a potential threat to aquatic organisms and human health. In this study, patterns and sources of heavy metals (HMs, 6 metals) and polycyclic aromatic hydrocarbons (PAHs, 16 hydrocarbons), contamination indicators, environmental genotoxicity measures and metrics of ecological status in lotic and lentic ecosystems were collated for the first time. Chemical analysis has confirmed previously reported long-term contamination at certain study sites. The sediments of Lake Talks ˇa, located in a city and characterized by exclusive anthropogenic pressure, exhibited the highest levels of contamination by both HMs and PAHs. Through positive matrix factorization (PMF) analysis, vehicle and industrial emissions were identified as the primary sources of HMs and PAHs. Our results revealed that frequencies of genotoxic aberrations were higher in river sites compared to lakes, with the highest genotoxic risk observed in the Nemunas River below industrial cities Alytus and Kaunas. Surprisingly, even the severely contaminated Lake Talks ˇa showed only a moderate grade of genotoxic risk, highlighting the potential for adaptation of biota to long-term contamination especially in lentic ecosystems. The ecological quality status assessed by macroinvertebrate metrics, which may be sensitive to observed high biological contamination, appeared to be unrelated to contamination patterns. Consequently, to obtain the robust information on anthropogenic contamination and its effects, a combination of various assessment methods and metrics should be employed.</t>
  </si>
  <si>
    <t>[Raudonyte-Svirbutaviciene, Eva; Joksas, Kestutis; Stakeniene, Rimute; Rybakovas, Aleksandras; Nalivaikiene, Reda; Visinskiene, Giedre; Arbaciauskas, Kestutis] Nat Res Ctr, Akademijos St 2, LT-08412 Vilnius, Lithuania; [Joksas, Kestutis] Vilnius Univ, Fac Chem &amp; Geosci, Naugarduko St 24, LT-03225 Vilnius, Lithuania; [Arbaciauskas, Kestutis] Vilnius Univ, Life Sci Ctr, 7 Sauletekio Ave, LT-10257 Vilnius, Lithuania</t>
  </si>
  <si>
    <t>Nature Research Center - Lithuania; Vilnius University; Vilnius University</t>
  </si>
  <si>
    <t>Raudonyte-Svirbutaviciene, E (corresponding author), Nat Res Ctr, Akademijos St 2, LT-08412 Vilnius, Lithuania.</t>
  </si>
  <si>
    <t>eva.svirbutaviciene@gamtc.lt; kestutis.joksas@gamtc.lt; rimute.stakeniene@gamtc.lt; aleksandras.rybakovas@gamtc.lt; reda.eglinskaite@gamtc.lt; giedre.visinskiene@gamtc.lt; kestutis.arbaciauskas@gamtc.lt</t>
  </si>
  <si>
    <t>Raudonytė-Svirbutavičienė, Eva/ABC-7166-2021</t>
  </si>
  <si>
    <t>Raudonyte-Svirbutaviciene, Eva/0000-0001-8289-1887</t>
  </si>
  <si>
    <t>Research Council of Lithuania [SIT-10/2015]</t>
  </si>
  <si>
    <t>Research Council of Lithuania(Research Council of Lithuania (LMTLT))</t>
  </si>
  <si>
    <t>The study was supported by the Research Council of Lithuania, Project No. SIT-10/2015.</t>
  </si>
  <si>
    <t>10.1016/j.envpol.2023.122294</t>
  </si>
  <si>
    <t>http://dx.doi.org/10.1016/j.envpol.2023.122294</t>
  </si>
  <si>
    <t>Q9HN7</t>
  </si>
  <si>
    <t>WOS:001060556500001</t>
  </si>
  <si>
    <t>Nema, S; Patel, M; Jaiswal, S; Dhand, C; Dwivedi, N</t>
  </si>
  <si>
    <t>Nema, Sneh; Patel, Monika; Jaiswal, Shubham; Dhand, Chetna; Dwivedi, Neeraj</t>
  </si>
  <si>
    <t>Polydopamine modified Ti3AlC2 3 AlC 2 MAX phase promotes electrochemical metal detection</t>
  </si>
  <si>
    <t>SURFACES AND INTERFACES</t>
  </si>
  <si>
    <t>Electrochemical sensor; MAX phase; Polydopamine; Heavy metal ions</t>
  </si>
  <si>
    <t>TI3C2 MXENE; LABEL-FREE; SENSOR; IONS; CD(II); TI2ALC; LI</t>
  </si>
  <si>
    <t>Environmental pollution, particularly heavy metal ions (HMIs), poses a significant threat to the environment and human health due to its adverse long-term effects. Recently, MXene-based materials have showcased outstanding HMI sensing abilities, owing to their remarkable electrical conductivity, hydrophilicity, and surface tunability. However, it is intriguing to investigate if its precursor MAX phase also possesses such sensing capabilities. In this study, we developed an electrochemical sensing platform by functionalizing the surface of Ti3AlC2 3 AlC 2 MAX phase using mussel-inspired polydopamine (pDA) (p-MAX) and then applying it onto the glassy carbon electrode (GCE) for HMI detection. The p-MAX modified GCE outperformed both bare and MAX modified GCE in electrochemical performance and exhibited low detection limits of 1.43, 2.41, and 2.48 ppb against the individual detection of Cd+2, +2 , Pb+2, +2 , and Cu+2, +2 , respectively, and 3.43 and 3.47 ppb against the simultaneous detection of Pb+2 +2 and Cu+2, +2 , respectively. Structural and morphological properties of synthesized composites corroborated with the sensing results. Furthermore, the p-MAX modified sensor demonstrated robust performance in detecting HMIs in real samples. The findings of this work open a new direction for the research on chemically engineered MAX phases for HMIs detection.</t>
  </si>
  <si>
    <t>[Nema, Sneh; Patel, Monika; Jaiswal, Shubham; Dhand, Chetna; Dwivedi, Neeraj] CSIR Adv Mat &amp; Proc Res Inst, Bhopal 462026, India; [Nema, Sneh; Patel, Monika; Jaiswal, Shubham; Dhand, Chetna; Dwivedi, Neeraj] Acad Sci &amp; Innovat Res AcSIR, Ghaziabad 201002, India</t>
  </si>
  <si>
    <t>Council of Scientific &amp; Industrial Research (CSIR) - India; CSIR - Advanced Materials &amp; Processes Research Institute (AMPRI); Academy of Scientific &amp; Innovative Research (AcSIR)</t>
  </si>
  <si>
    <t>Dhand, C; Dwivedi, N (corresponding author), CSIR Adv Mat &amp; Proc Res Inst, Bhopal 462026, India.</t>
  </si>
  <si>
    <t>chetna.dhand@ampri.res.in; neeraj.dwivedi@ampri.res.in</t>
  </si>
  <si>
    <t>Dhand, Chetna/H-9301-2013</t>
  </si>
  <si>
    <t>DWIVEDI, NEERAJ/0000-0003-1232-438X; Jaiswal, Shubham/0009-0004-0997-3543</t>
  </si>
  <si>
    <t>UGC, India</t>
  </si>
  <si>
    <t>UGC, India(University Grants Commission, India)</t>
  </si>
  <si>
    <t>The author thank the Director, Council of Scientific and Industrial Research (CSIR)-Advanced Materials and Processes Research Institute (AMPRI), India for his kind support. CSIR-AMPRI supports this research through the exploratory research project. S. N. acknowledges UGC, India for providing financial support through the JRF fellowship. The authors also wish to thank Dr. P. Asokan, Dr. Archana Singh, Dr. M. Shafeeq M., Dr. D. P. Mondal, Mr. A. Khare, Mr. N. Prashant, Dr A. Naik from CSIR-Advanced Materials and Processes Research Institute, Bhopal, India for their help.r (AMPRI) , India for his kind support. CSIR-AMPRI supports this research through the exploratory research project. S. N. acknowledges UGC, India for providing financial support through the JRF fellowship. The authors also wish to thank Dr. P. Asokan, Dr. Archana Singh, Dr. M. Shafeeq M., Dr. D. P. Mondal, Mr. A. Khare, Mr. N. Prashant, Dr A. Naik from CSIR-Advanced Materials and Processes Research Institute, Bhopal, India for their help.</t>
  </si>
  <si>
    <t>2468-0230</t>
  </si>
  <si>
    <t>SURF INTERFACES</t>
  </si>
  <si>
    <t>Surf. Interfaces</t>
  </si>
  <si>
    <t>10.1016/j.surfin.2024.104752</t>
  </si>
  <si>
    <t>http://dx.doi.org/10.1016/j.surfin.2024.104752</t>
  </si>
  <si>
    <t>ZP1U7</t>
  </si>
  <si>
    <t>WOS:001276416800001</t>
  </si>
  <si>
    <t>Jeffree, RA; Markich, SJ; Twining, JR</t>
  </si>
  <si>
    <t>Jeffree, Ross A.; Markich, Scott J.; Twining, John R.</t>
  </si>
  <si>
    <t>Diminished Metal Accumulation in Riverine Fishes Exposed to Acid Mine Drainage over Five Decades</t>
  </si>
  <si>
    <t>TROUT ONCORHYNCHUS-MYKISS; FRESH-WATER; COPPER-METABOLISM; ORGANIC-MATTER; FINNISS RIVER; SPECIATION; POLLUTION; CADMIUM; VARIABILITY; TOLERANCE</t>
  </si>
  <si>
    <t>Bony bream (Nematalosa erebi) and black catfish (Neosilurus ater) were sampled from the fresh surface waters of the Finniss River in tropical northern Australia, along a metal pollution gradient draining the Rum Jungle copper/uranium mine, a contaminant source for over five decades. Paradoxically, populations of both fish species exposed to the highest concentrations of mine-related metals (cobalt, copper, lead, manganese, nickel, uranium and zinc) in surface water and sediment had the lowest tissue (bone, liver and muscle) concentrations of these metals. The degree of reduction in tissue concentrations of exposed populations was also specific to each metal and inversely related to its degree of environmental increase above background. Several explanations for diminished metal bioaccumulation in fishes from the contaminated region were evaluated. Geochemical speciation modeling of metal bioavailability in surface water showed no differences between the contaminated region and the control sites. Also, the macro-nutrient (calcium, magnesium and sodium) water concentrations, that may competitively inhibit metal uptake, were not elevated with trace metal contamination. Reduced exposure to contaminants due to avoidance behavior was unlikely due to the absence of refugial water bodies with the requisite metal concentrations lower than the control sites and very reduced connectivity at time of sampling. The most plausible interpretation of these results is that populations of both fish species have modified kinetics within their metal bioaccumulation physiology, via adaptation or tolerance responses, to reduce their body burdens of metals. This hypothesis is consistent with (i) reduced tissue concentrations of calcium, magnesium and sodium (macro-nutrients), in exposed populations of both species, (ii) experimental findings for other fish species from the Finniss River and other contaminated regions, and (iii) the number of generations exposed to likely selection pressure over 50 years.</t>
  </si>
  <si>
    <t>[Jeffree, Ross A.] Univ Technol Sydney, Sch Environm C3, Sydney, NSW 2007, Australia; [Markich, Scott J.] Aquat Solut Int, Collaroy, NSW, Australia; [Twining, John R.] Austral Radioecol, Oyster Bay, NSW, Australia</t>
  </si>
  <si>
    <t>Jeffree, RA (corresponding author), Univ Technol Sydney, Sch Environm C3, Sydney, NSW 2007, Australia.</t>
  </si>
  <si>
    <t>ross.jeffree@uts.edu.au</t>
  </si>
  <si>
    <t>Australian Nuclear Science and Technology Organisation</t>
  </si>
  <si>
    <t>This research was primarily supported by the Australian Nuclear Science and Technology Organisation. The funders had no role in study design, data collection and analysis, decision to publish, or preparation of the manuscript.</t>
  </si>
  <si>
    <t>MAR 24</t>
  </si>
  <si>
    <t>e91371</t>
  </si>
  <si>
    <t>10.1371/journal.pone.0091371</t>
  </si>
  <si>
    <t>http://dx.doi.org/10.1371/journal.pone.0091371</t>
  </si>
  <si>
    <t>AD7QO</t>
  </si>
  <si>
    <t>WOS:000333459900019</t>
  </si>
  <si>
    <t>Ding, JW; Chen, SY; Qu, MJ; Wang, Y; Di, YN</t>
  </si>
  <si>
    <t>Ding, Jiawei; Chen, Siyu; Qu, Mengjie; Wang, Yi; Di, Yanan</t>
  </si>
  <si>
    <t>Trophic transfer affects cytogenetic and antioxidant responses of the mussel Mytilus galloprovincialis to copper and benzo(α)pyrene</t>
  </si>
  <si>
    <t>Trophic transfer; Cytogenetic response; Antioxidant defense; Marine mussels; BaP&amp;Cu; Indicator species; Pollution effects</t>
  </si>
  <si>
    <t>POLYCYCLIC AROMATIC-HYDROCARBONS; TISSUE-SPECIFIC EXPRESSION; GREEN-LIPPED MUSSEL; OXIDATIVE STRESS; BIOMARKER RESPONSES; FILTRATION-RATES; DIGESTIVE GLAND; BENZO(A) PYRENE; HEAVY-METALS; RAS GENES</t>
  </si>
  <si>
    <t>The impacts of environmental pollutants on marine organisms can be determined by the routes of exposure. Various routes of exposure, including dietary exposure and waterborne exposure with or without feeding, were applied to study the cytogenetic responses in marine mussels Mytilus galloprovincials to typical pollutants, BaP (53.74 +/- 19.79 mu g/L) and Cu (47.38 +/- 3.10 mu g/L). The increased DNA strand breaks and micronucleus formation were found in haemocytes of mussels via the dietary exposure, indicating the vital role of trophic transfer in toxicity induction. The deeper exploration to relate BaP induced cytogenetic alterations with key antioxidant defense factors, SOD and GST, was performed under different exposure routes. The results revealed the significantly inhibited SOD activity via the trophic transfer, suggesting more direct or prompt role of SOD in antioxidant defense. On contrary, gene expressions of both sod and gst were up-regulated upon all routes of exposures, and showed negative correlation with enzyme activities. The results suggested the asynchronous regulation of studied antioxidant factors at transcriptional and enzyme functional level in mussels upon the change of exposure routes. The study brings out the first observation of trophic transfer influenced cytogenetic and antioxidant responses to pollutants and their alterative risk to marine organisms.</t>
  </si>
  <si>
    <t>[Ding, Jiawei; Chen, Siyu; Qu, Mengjie; Wang, Yi; Di, Yanan] Zhejiang Univ, Ocean Coll, Inst Marine Biol &amp; Pharmacol, Zhoushan 316000, Peoples R China</t>
  </si>
  <si>
    <t>Zhejiang University</t>
  </si>
  <si>
    <t>Di, YN (corresponding author), Zhejiang Univ, Ocean Coll, Inst Marine Biol &amp; Pharmacol, Dept Marine Sci, Zhoushan 316000, Peoples R China.</t>
  </si>
  <si>
    <t>diyanan@zju.edu.cn</t>
  </si>
  <si>
    <t>Chen, Siyu/KBC-6581-2024; di, yanan/KIA-0814-2024; sun, yuan/KBD-3926-2024</t>
  </si>
  <si>
    <t>Science and Technology funding program from Zhoushan Government of China [2018C81037]; Key Project of Science Technology Department of Zhejiang Province [2019CO2050]; National Key Research and Development Program of China [2016YFC0304905]; National Natural Science Foundation of China [41776084, 41976129]</t>
  </si>
  <si>
    <t>Science and Technology funding program from Zhoushan Government of China; Key Project of Science Technology Department of Zhejiang Province; National Key Research and Development Program of China(National Key Research &amp; Development Program of China); National Natural Science Foundation of China(National Natural Science Foundation of China (NSFC))</t>
  </si>
  <si>
    <t>We cordially thank Dr. Shuxia Liu, Ocean College, Zhejiang University, for providing the batch culture of algae. Greatest appreciation is giving to Dr. Ji Hu from the Second Institute of Oceanography of China for his assistance in Cu concentration measurement. This work was supported by the research funding from the Science and Technology funding program from Zhoushan Government of China (2018C81037), Key Project of Science Technology Department of Zhejiang Province (2019CO2050), the National Key Research and Development Program of China (2016YFC0304905), and the National Natural Science Foundation of China (No.41776084 and No. 41976129).</t>
  </si>
  <si>
    <t>10.1016/j.marenvres.2019.104848</t>
  </si>
  <si>
    <t>http://dx.doi.org/10.1016/j.marenvres.2019.104848</t>
  </si>
  <si>
    <t>KO0CO</t>
  </si>
  <si>
    <t>WOS:000515214100012</t>
  </si>
  <si>
    <t>JANSSEN, HH; SCHOLZ, N</t>
  </si>
  <si>
    <t>UPTAKE AND CELLULAR-DISTRIBUTION OF CADMIUM IN MYTILUS-EDULIS</t>
  </si>
  <si>
    <t>Cd uptake was studied in starved and fed M. edulis L. Fairly elevated Cd contents in fed mussels may not be due to contaminated food but to increased pumping rate when food is available. Highest concentration and main body burden are found in the midgut gland. Transport via hemolymph and selective discrimination at the basement lamina of the mid gut gland tubuli are regarded as mainly responsible for accumulation. Hg seems processed in a similar way as Cd. In the tubuli, both metals are immobilized in membrane-bound vesicles, which are finally defecated. [This study is relevant to pollution monitoring.].</t>
  </si>
  <si>
    <t>UNIV KIEL, LEHRSTUHL ALLGEMEINE ZOOL, INST ZOOL, D-2300 KIEL 1, FED REP GER; UNIV KIEL, INST MEERESKUNDE, D-2300 KIEL 1, FED REP GER</t>
  </si>
  <si>
    <t>10.1007/BF00397309</t>
  </si>
  <si>
    <t>http://dx.doi.org/10.1007/BF00397309</t>
  </si>
  <si>
    <t>JA016</t>
  </si>
  <si>
    <t>WOS:A1979JA01600007</t>
  </si>
  <si>
    <t>Good, JF; O'Sullivan, AD; Wicke, D; Cochrane, TA</t>
  </si>
  <si>
    <t>Good, J. F.; O'Sullivan, A. D.; Wicke, D.; Cochrane, T. A.</t>
  </si>
  <si>
    <t>pH Buffering in Stormwater Infiltration Systems-Sustainable Contaminant Removal with Waste Mussel Shells</t>
  </si>
  <si>
    <t>Rain garden; Treatment efficiency; pH; Metal speciation; Mussel shells; Stormwater</t>
  </si>
  <si>
    <t>URBAN RUNOFF; COPPER; SPECIATION; ZINC; BIOAVAILABILITY; MANAGEMENT; NITROGEN; QUALITY; METALS; RATES</t>
  </si>
  <si>
    <t>Storm runoff is a major vector for transporting urban contaminants, especially metals, and continues to be a leading cause of urban waterways degradation. Stormwater treatment systems in New Zealand and Australia are primarily designed to remove total suspended solids and heavy metals to low levels, principally through bioinfiltration. In Christchurch, the second largest city in New Zealand, more than two thirds of the water, including stormwater, infrastructure is currently being rebuilt following the devastating 2010-2011 earthquakes. Despite increased use of bioinfiltration systems for this purpose, there is a dearth of knowledge about their treatment performance or water quality dynamics. This paper reports enhanced treatment efficacy in bioinfiltration stormwater systems by including an alkaline waste product, mussel shells, in the substrates. Experimental systems with mussel shells significantly increased the metal removal efficacy, hardness, and pH, which also have implications for reducing the potential ecotoxicological effects of stormwater. Mussel shell systems resulted in lower dissolved metal fractions in the treated effluent because metals shifted to the particulate states facilitated by hardness buffering. This resulted in greater metal removal afforded by increased filtration. Using locally available waste products can reduce the amount and transport impacts of waste going to landfills and offset costs associated with the construction of stormwater treatment systems, while concurrently improving stormwater treatment. The long-term capacity of such systems to enhance metal removal using waste mussel shells should be examined by monitoring larger pilot-scale systems in situ under different seasonal events.</t>
  </si>
  <si>
    <t>[Good, J. F.; O'Sullivan, A. D.; Wicke, D.; Cochrane, T. A.] Univ Canterbury, Dept Civil &amp; Nat Resources Engn, Hydrol &amp; Ecol Engn Res Grp, Christchurch 8141, New Zealand</t>
  </si>
  <si>
    <t>O'Sullivan, AD (corresponding author), Univ Canterbury, Dept Civil &amp; Nat Resources Engn, Hydrol &amp; Ecol Engn Res Grp, Private Bag 4800, Christchurch 8141, New Zealand.</t>
  </si>
  <si>
    <t>josephfgood@gmail.com; aisling.osullivan@canterbury.ac.nz</t>
  </si>
  <si>
    <t>Wicke, Daniel/KIK-8053-2024; Cochrane, Tom/M-8588-2015</t>
  </si>
  <si>
    <t>Cochrane, Thomas/0000-0001-9705-9807; Wicke, Daniel/0000-0002-5722-5433; O'Sullivan, Aisling Dominique/0000-0002-1967-4166</t>
  </si>
  <si>
    <t>Christchurch City Council; Environmental Canterbury Regional Council; Department of Civil and Natural Resources Engineering at the University of Canterbury</t>
  </si>
  <si>
    <t>The authors acknowledge the financial assistance generously provided by the Christchurch City Council, the Environmental Canterbury Regional Council, and the Department of Civil and Natural Resources Engineering at the University of Canterbury for this study.</t>
  </si>
  <si>
    <t>10.1007/s11270-014-1885-1</t>
  </si>
  <si>
    <t>http://dx.doi.org/10.1007/s11270-014-1885-1</t>
  </si>
  <si>
    <t>AF2YG</t>
  </si>
  <si>
    <t>WOS:000334577800012</t>
  </si>
  <si>
    <t>Won, SJ; Novillo, A; Custodia, N; Rie, MT; Fitzgerald, K; Osada, M; Callard, IP</t>
  </si>
  <si>
    <t>The freshwater mussel (Elliptio complanata) as a sentinel species:: Vitellogenin and steroid receptorsD</t>
  </si>
  <si>
    <t>INTEGRATIVE AND COMPARATIVE BIOLOGY</t>
  </si>
  <si>
    <t>Symposium on EcoPhysiology and Conservation - The Contribution of Endocrinology and Immunology</t>
  </si>
  <si>
    <t>JAN 05-09, 2004</t>
  </si>
  <si>
    <t>New Orleans, LA</t>
  </si>
  <si>
    <t>GLUTATHIONE-S-TRANSFERASE; MYTILUS-EDULIS; PATINOPECTEN-YESSOENSIS; YOLK PROTEIN; SCALLOP; OYSTER; ESTRADIOL-17-BETA; PURIFICATION; EXPRESSION; OOGENESIS</t>
  </si>
  <si>
    <t>Freshwater mussels, Elliptio complanata were collected from a reference and pollutant-impacted pond on Cape Cod, MA. Glutathione-S-transferase (GST) activity was measured in gill, hepatopancreas and foot. In addition, content of seven heavy metals were measured in whole bodies. GST activity was significantly elevated in hepatopancreas and foot, as was whole body cadmium level in animals from the contaminated site suggesting that these animals have been exposed to organic and inorganic contaminants. Sodium dodecyl acrylamide gel electrophoresis (SDS-PAGE) analysis showed putative vitellogenins with molecular weight 180 and 205 kDa bands only in the ovary. In non-denatured gel electrophoresis ovarian extracts revealed two higher molecular weight bands at 550 and 700 kDa, which were reproductive stage specific. Western blotting of SDS-PAGE and non-denatured gels using the anti-scallop yolk-protein antibody confirmed the presence of cross-reacting bands of the same molecular weights in the ovary but not other tissues. Although several experiments involving steroid hormone exposure were done, no significant changes in vitellogenin protein levels were observed. However, using an anti-human FR beta antibody, ER beta positive bands were observed both in female foot, and the ovary. No cross reactivity with the antibody was observed in hepatopancreas. Additional studies are required to resolve questions of vitellogenin regulation and the role of (xeno)estrogens in bivalve molluscs.</t>
  </si>
  <si>
    <t>Boston Univ, Dept Biol, Boston, MA 02215 USA; Tohoku Univ, Grad Sch Agr Sci, Field Sci Ctr, Lab Integrat Aquat Biol, Onagawa, Oshika 9862242, Japan</t>
  </si>
  <si>
    <t>Boston University; Tohoku University</t>
  </si>
  <si>
    <t>Boston Univ, Dept Biol, 5 Cummington St, Boston, MA 02215 USA.</t>
  </si>
  <si>
    <t>ipc@bu.edu</t>
  </si>
  <si>
    <t>Osada, Makoto/AAI-9967-2020; Novillo, Apolonia/M-7389-2017</t>
  </si>
  <si>
    <t>Novillo, Apolonia/0000-0003-0902-0991; Osada, Makoto/0000-0001-6247-5106</t>
  </si>
  <si>
    <t>OXFORD UNIV PRESS INC</t>
  </si>
  <si>
    <t>CARY</t>
  </si>
  <si>
    <t>JOURNALS DEPT, 2001 EVANS RD, CARY, NC 27513 USA</t>
  </si>
  <si>
    <t>1540-7063</t>
  </si>
  <si>
    <t>1557-7023</t>
  </si>
  <si>
    <t>INTEGR COMP BIOL</t>
  </si>
  <si>
    <t>Integr. Comp. Biol.</t>
  </si>
  <si>
    <t>10.1093/icb/45.1.72</t>
  </si>
  <si>
    <t>http://dx.doi.org/10.1093/icb/45.1.72</t>
  </si>
  <si>
    <t>926KV</t>
  </si>
  <si>
    <t>WOS:000229123000011</t>
  </si>
  <si>
    <t>Lares, ML; Flores-Muñoz, G; Lara-Lara, R</t>
  </si>
  <si>
    <t>Temporal variability of bioavailable Cd, Hg, Zn, Mn and Al in an upwelling regime</t>
  </si>
  <si>
    <t>temporal variation; mussels; seaweed; trace metals; Cd; Hg; Zn; Mn; Al</t>
  </si>
  <si>
    <t>NORTHEAST PACIFIC WATERS; HEAVY-METALS; TRACE-METALS; MYTILUS CALIFORNIANUS; BAJA-CALIFORNIA; BROWN SEAWEED; MUSSEL-WATCH; CADMIUM; INDICATOR; ALUMINUM</t>
  </si>
  <si>
    <t>Monthly variability of Cd, Hg, Zn, Mn and Al concentrations in mussels (Mytilus californianus) soft tissue and brown seaweed (Macrocystis pyrifera) was studied at a pristine rocky shore off San Quintin Bay, Baja California, Mexico. The results were related to climatic and hydrographic conditions and to the physiological state of the mussels (condition index) by correlation analysis and principal component analysis (PCA). A normalization to account for the variability induced by the physiological state of the mussel was performed. The PCA was performed in two ways to relate the environmental variables and the condition index to: (1) the metal concentrations in mussels, and (2) the normalized mussel concentrations. The association of the variability of Cd with the upwelling season was revealed in both PCAs. The temporal variability of this metal in mussels was highly correlated to that in seaweed, suggesting that the dissolved phase determined the variability of Cd in mussels. However, for Hg, Zn, Mn and Al the results from both PCAs were different. The first PCA showed the relationship of these metals to pluvial precipitation and to the condition index. The PCA for the normalized mussel concentrations showed that, after eliminating the effect of the condition index, only Al was related to pluvial precipitation. Manganese, and to a less degree Zn, were related to these metals in seaweed. Because zinc is an essential element in mussels, some regulation of their internal concentrations is likely. Mercury was not detected in seaweed, but because of its reactive nature, it is not expected that the dissolved fraction could be a significant pathway; therefore, it can be concluded that its temporal variability was determined by the variability in the condition index only. (C) 2002 Elsevier Science Ltd. All rights reserved.</t>
  </si>
  <si>
    <t>Ctr Invest Cientif &amp; Educ Super, Dept Ecol, Ensenada 22800, Baja California, Mexico; Univ Autonoma Baja California, Inst Invest Oceanol, Ensenada, Baja California, Mexico</t>
  </si>
  <si>
    <t>CICESE - Centro de Investigacion Cientifica y de Educacion Superior de Ensenada; Universidad Autonoma de Baja California</t>
  </si>
  <si>
    <t>CICESE, Dept Ecol, POB 434844, San Diego, CA 92143 USA.</t>
  </si>
  <si>
    <t>llares@cicese.mx</t>
  </si>
  <si>
    <t>Lares, Maria/B-7814-2016</t>
  </si>
  <si>
    <t>PII S0269-7491(02)00195-1</t>
  </si>
  <si>
    <t>10.1016/S0269-7491(02)00195-1</t>
  </si>
  <si>
    <t>http://dx.doi.org/10.1016/S0269-7491(02)00195-1</t>
  </si>
  <si>
    <t>611JK</t>
  </si>
  <si>
    <t>WOS:000179013200012</t>
  </si>
  <si>
    <t>Dellali, M; Barelli, MG; Romeo, M; Aissa, P</t>
  </si>
  <si>
    <t>The use of acetylcholinesterase activity in Ruditapes decussatus and Mytilus galloprovincialis in the biomonitoring of Bizerta lagoon</t>
  </si>
  <si>
    <t>acetylcholinesterase; biomarker; Bizerta lagoon; clam; mussel; environmental pollution</t>
  </si>
  <si>
    <t>CADMIUM; COPPER; CHOLINESTERASE; BIOMARKERS; POLLUTION</t>
  </si>
  <si>
    <t>The variations of acetylcholinesterase activity, considered to be a biochemical biomarker of organophosphorus and carbamate compounds, was followed in Mediterranean clams (Ruditapes decussatus) and mussels (Mytilus galloprovincialis) as a function of season and sampling sites in the lagoon of Bizerta (Tunisia). Results show that acetylcholinesterase activity in clams collected from station A was the lowest and was so throughout the year. This low activity may be due to the input of non-treated waste waters in the lagoon. Heavy metal contamination has been reported in the sediments of this area, suggesting that acetyleholinesterase activity in clams may be inhibited by this type of pollution. Clams harvested from station F, a site adjacent to an agricultural area, were characterized by a decrease in acetylcholinesterase activity, especially after rain periods. Clams from station J presented the highest activity throughout the greater part of the year. This phenomenon may imply that this location is less affected by pollutants inhibiting AChE activity than the others. In the mussels from station C, located in the channel from the lagoon to the Mediterranean and submitted to pollutants (urban wastes from Bizerta and hydrocarbons from the maritime traffic), acetylcholinesterase activities were lower than in those from station J. In conclusion, the variations in acetylcholinesterase activity observed between stations in both species may be the result of pollution and of the environmental conditions. (C) 2001 Elsevier Science Inc. All rights reserved.</t>
  </si>
  <si>
    <t>UNSA, Fac Sci, ROSE, INRA,UMR 1112, F-06108 Nice 2, France; Fac Sci Bizerte, Lab Ecobiol Anim, Zarzouna 7021, Tunisia</t>
  </si>
  <si>
    <t>INRAE; Universite Cote d'Azur; Universite de Carthage</t>
  </si>
  <si>
    <t>UNSA, Fac Sci, ROSE, INRA,UMR 1112, BP 71, F-06108 Nice 2, France.</t>
  </si>
  <si>
    <t>10.1016/S1532-0456(01)00245-9</t>
  </si>
  <si>
    <t>http://dx.doi.org/10.1016/S1532-0456(01)00245-9</t>
  </si>
  <si>
    <t>478PZ</t>
  </si>
  <si>
    <t>WOS:000171355700008</t>
  </si>
  <si>
    <t>Joksimovic, D; Tomic, I; Stankovic, AR; Jovic, M; Stankovic, S</t>
  </si>
  <si>
    <t>Joksimovic, Danijela; Tomic, Ilija; Stankovic, Ana R.; Jovic, Mihajlo; Stankovic, Slavka</t>
  </si>
  <si>
    <t>Trace metal concentrations in Mediterranean blue mussel and surface sediments and evaluation of the mussels quality and possible risks of high human consumption</t>
  </si>
  <si>
    <t>Heavy metals; Sediments; Mussels; South East Adriatic Sea; Montenegro</t>
  </si>
  <si>
    <t>ADRIATIC-SEA; HEAVY-METALS; MYTILUS-GALLOPROVINCIALIS; MARINE-ENVIRONMENT; ORGANISMS; POLLUTION; COAST; FISH; SPECTROMETRY; METABOLISM</t>
  </si>
  <si>
    <t>The concentrations of trace metals (Fe, Zn, Mn, Ni, Cu, Co and Cr) were determined for the first time in Mediterranean blue mussels (Mytilus galloprovincialis) and surface sediments. The mussel and sediment samples were collected from five sites on the Montenegrin coastal area (southeastern Adriatic Sea) in the fall of 2005 and 2006. The collected samples were digested with a microwave digestion system. The maximum Fe, Zn, Mn, Ni, Cu, Co and Cr mean concentrations in the mussel samples were 603.0, 345.0, 85.0, 18.9, 17.2, 9.1 and 4.2 mg/kg of sample dry weight, respectively. The maximum Fe, Mn, Cr, Ni, Zn, Cu and Co concentrations in the sediment samples were 40867, 943.0, 382.0, 336.0, 67.2, 24.8 and 16.9 mg/kg of sample dry weight, respectively. A correlation between the metal levels found in the mussel soft tissues with those found in sediments, for both 2005 and 2006, could be established, except for the levels of Zn observed. (C) 2011 Elsevier Ltd. All rights reserved.</t>
  </si>
  <si>
    <t>[Joksimovic, Danijela] Univ Montenegro, Inst Marine Biol, Kotor 85330, Dobrota Bb, Montenegro; [Tomic, Ilija] Univ Belgrade, IHTM SETE, Belgrade 11000, Serbia; [Stankovic, Ana R.; Jovic, Mihajlo; Stankovic, Slavka] Univ Belgrade, Fac Tech &amp; Metall, Belgrade 11000, Serbia</t>
  </si>
  <si>
    <t>University of Montenegro; University of Belgrade; University of Belgrade</t>
  </si>
  <si>
    <t>Joksimovic, D (corresponding author), Univ Montenegro, Inst Marine Biol, Kotor 85330, Dobrota Bb, Montenegro.</t>
  </si>
  <si>
    <t>djoksimovic@ibmk.org; slavka@tmf.bg.ac.rs</t>
  </si>
  <si>
    <t>Ministry of Science and Technological Development of the Republic of Serbia [ON142039]</t>
  </si>
  <si>
    <t>Ministry of Science and Technological Development of the Republic of Serbia(Ministry of Education, Science &amp; Technological Development, Serbia)</t>
  </si>
  <si>
    <t>The authors are grateful for the financial support of the Scientific Research Projects of the Ministry of Science and Technological Development of the Republic of Serbia, Contract No. ON142039.</t>
  </si>
  <si>
    <t>10.1016/j.foodchem.2011.01.057</t>
  </si>
  <si>
    <t>http://dx.doi.org/10.1016/j.foodchem.2011.01.057</t>
  </si>
  <si>
    <t>741AV</t>
  </si>
  <si>
    <t>WOS:000288836400035</t>
  </si>
  <si>
    <t>LOBEL, PB; WRIGHT, DA</t>
  </si>
  <si>
    <t>GONADAL AND NON-GONADAL ZINC CONCENTRATIONS IN MUSSELS</t>
  </si>
  <si>
    <t>Seasonal measurement of Zn levels in mussels (M. edulis) from the Tyne estuary [England, UK] showed a small spring peak and an annual low in Sept. Zn concentration was significantly lower in gonadal tissue than in nongonadal tissue. Although gonadal dry weight was strongly negatively correlated with gonadal Zn concentration, there was no significant relationship between gonadal dry weight and whole body Zn levels, indicating that gonadal state had little effect on Zn variability in these animals. A strong negative correlation was found between log gonadal Zn concentration and log nongonadal dry weight. Construction of a gonadal index (gonadal/nongonadal dry wt) showed that the seasonal peak Zn concentration in early May occurred before major spawning had taken place. The seasonal dyanmics of Zn in this species could be explained in terms of growth of somatic rather than germinal tissue.</t>
  </si>
  <si>
    <t>UNIV MARYLAND, CTR ENVIRONM &amp; ESTUARINE STUDIES, CHESAPEAKE BIOL LAB, SOLOMONS, MD 20688 USA</t>
  </si>
  <si>
    <t>UNIV NEWCASTLE UPON TYNE, DOVE MARINE LAB, NEWCASTLE UPON TYNE NE1 7RU, TYNE &amp; WEAR, ENGLAND.</t>
  </si>
  <si>
    <t>10.1016/0025-326X(82)90396-4</t>
  </si>
  <si>
    <t>http://dx.doi.org/10.1016/0025-326X(82)90396-4</t>
  </si>
  <si>
    <t>PJ310</t>
  </si>
  <si>
    <t>WOS:A1982PJ31000007</t>
  </si>
  <si>
    <t>Loayza-Muro, R; Elías-Letts, R</t>
  </si>
  <si>
    <t>Loayza-Muro, Raul; Elias-Letts, Rafaela</t>
  </si>
  <si>
    <t>Responses of the mussel Anodontites trapesialis (Unionidae) to environmental stressors:: Effect of pH, temperature and metals on filtration rate</t>
  </si>
  <si>
    <t>Anodontites trapesialis; filtration rate; environmental stressors; heavy metals; ecotoxicity</t>
  </si>
  <si>
    <t>FRESH-WATER MUSSELS; DREISSENA-POLYMORPHA; MYTILUS-EDULIS; HEAVY-METALS; CYGNEA L; IN-SITU; POLLUTION; GROWTH; FOOD; BIVALVIA</t>
  </si>
  <si>
    <t>To evaluate the suitability of the tropical freshwater mussel Anodontites trapesialis for ecotoxicity assays, we tested the effects of temperature, pH, and Cd, Cu and Zn on its filtration rate. This is a relevant, sensible sublethal endpoint given the ecological role that this mussel plays in Amazonian environments. Filtration rate was calculated from the clearance of algae, fed to mussels at different temperature, pH and metal concentrations. Filtration rate was highest at 20 degrees C and pH 8, and decreased at low temperatures and pH. For all metals clear dose-response relationships were found. Cd exerted the most toxic effects (EC50filtration 64 mu g/L) followed by Cu (605 mu g/L) and Zn (4064 mu g/L). Metal mixtures representing present pollution levels clearly affected filtration rates. The results suggest that A. trapesialis is a suitable ecotoxicological test organism for the Amazonian region. (c) 2007 Elsevier Ltd. All rights reserved.</t>
  </si>
  <si>
    <t>Univ Peruana Cayetano Heredia, Labs Res &amp; Dev, Fac Sci &amp; Philosophy, Dept Biol &amp; Physiol Sci, Lima 100, Peru; Univ Amsterdam, Dept Aquat Ecol &amp; Ecotoxicol, Inst Biodivers &amp; Ecol Dynam, NL-1098 SM Amsterdam, Netherlands</t>
  </si>
  <si>
    <t>Universidad Peruana Cayetano Heredia; University of Amsterdam</t>
  </si>
  <si>
    <t>Loayza-Muro, R (corresponding author), Univ Peruana Cayetano Heredia, Labs Res &amp; Dev, Fac Sci &amp; Philosophy, Dept Biol &amp; Physiol Sci, Av Honorio Delgado 430,POB 4314, Lima 100, Peru.</t>
  </si>
  <si>
    <t>fcecotox@upch.edu.pe</t>
  </si>
  <si>
    <t>10.1016/j.envpol.2007.01.003</t>
  </si>
  <si>
    <t>http://dx.doi.org/10.1016/j.envpol.2007.01.003</t>
  </si>
  <si>
    <t>212MS</t>
  </si>
  <si>
    <t>WOS:000249601200010</t>
  </si>
  <si>
    <t>EGANHOUSE, RP; YOUNG, DR</t>
  </si>
  <si>
    <t>INSITU UPTAKE OF MERCURY BY INTER-TIDAL MUSSEL, MYTILUS-CALIFORNIANUS</t>
  </si>
  <si>
    <t>The in situ uptake of Hg in tissues of M. californianus was studied by exposing control specimens to waters at 4 depths near a submarine wastewater discharge for a 24-wk period. The response patterns observed for digestive gland, adductor muscle and gonadal tissues were strikingly different. Digestive gland concentrations increased rapidly to the heightened levels found for indigenous specimens. Changes in the Hg content of adductor muscle were not statistically significant, and gonadal tissues generally exhibited a low rate of increase. No correlation with depth was observed.</t>
  </si>
  <si>
    <t>SO CALIF COASTAL WATER RES PROJECT, EL SEGUNDO, CA 90245 USA.</t>
  </si>
  <si>
    <t>Young, David/G-5515-2011</t>
  </si>
  <si>
    <t>10.1016/0025-326X(78)90295-3</t>
  </si>
  <si>
    <t>http://dx.doi.org/10.1016/0025-326X(78)90295-3</t>
  </si>
  <si>
    <t>FM948</t>
  </si>
  <si>
    <t>WOS:A1978FM94800006</t>
  </si>
  <si>
    <t>Morillo, J; Usero, J; El Bakouri, H</t>
  </si>
  <si>
    <t>Morillo, Jose; Usero, Jose; El Bakouri, Hicham</t>
  </si>
  <si>
    <t>Biomonitoring of heavy metals in the coastal waters of two industrialised bays in southern Spain using the barnacle Balanus amphitrite</t>
  </si>
  <si>
    <t>biomonitoring; metal pollution; barnacles; Balanus amphitrite; Cadiz Bay; Algeciras Bay</t>
  </si>
  <si>
    <t>MUSSELS MYTILUS-TROSSULUS; HONG-KONG; TRACE-METALS; TROPHIC TRANSFER; GULF; CD; ZINC; SEA; CU; POLLUTION</t>
  </si>
  <si>
    <t>This paper evaluates the bioavailability of As, Cd, Cu, Mn, Hg, Ni and Zn in the coastal waters of the two most important bays in southern Spain (Cadiz and Algeciras). Concentrations of these metals were measured in the bodies of Balanus amphitrite barnacles in 2005 and 2006. Seawater samples were collected from the same sites as the barnacles to assess metal concentrations and to gain additional information on the environmental conditions. Analysis of variance (ANOVA) showed significant geographic differences in the local bioavailability of metals to the barnacles, as reflected in the concentrations of accumulated metals. Balanus amphitrite accumulates large amounts of metals, with high concentration factors for Zn, Cd, Cu and Mn, in relation to the concentrations in marine waters.</t>
  </si>
  <si>
    <t>[Morillo, Jose; Usero, Jose; El Bakouri, Hicham] Univ Seville, Dept Chem &amp; Environm Engn, Seville 41092, Spain</t>
  </si>
  <si>
    <t>Morillo, J (corresponding author), Univ Seville, Dept Chem &amp; Environm Engn, Camino Descubrimientos S-N, Seville 41092, Spain.</t>
  </si>
  <si>
    <t>jmorilio@esi.us.es</t>
  </si>
  <si>
    <t>Usero, José/AAC-6523-2020; El Bakouri, Hicham/E-3435-2016; Usero, Jose/L-8102-2014; Morillo, Jose/I-3205-2015</t>
  </si>
  <si>
    <t>El Bakouri, Hicham/0000-0003-1712-9284; Usero, Jose/0000-0002-2529-3722; Morillo, Jose/0000-0003-2578-0368</t>
  </si>
  <si>
    <t>Environmental Council of the Junta de Andalucia (the Andalusian Governing Body), Spain</t>
  </si>
  <si>
    <t>Environmental Council of the Junta de Andalucia (the Andalusian Governing Body), Spain(Junta de Andalucia)</t>
  </si>
  <si>
    <t>This research was supported by the Environmental Council of the Junta de Andalucia (the Andalusian Governing Body), Spain.</t>
  </si>
  <si>
    <t>10.3184/095422908X380992</t>
  </si>
  <si>
    <t>http://dx.doi.org/10.3184/095422908X380992</t>
  </si>
  <si>
    <t>380KP</t>
  </si>
  <si>
    <t>Bronze, Green Published</t>
  </si>
  <si>
    <t>WOS:000261464900003</t>
  </si>
  <si>
    <t>Liu, HH; He, JY; Zhao, RT; Chi, CF; Bao, YB</t>
  </si>
  <si>
    <t>Liu, Huihui; He, Jianyu; Zhao, Rongtao; Chi, Changfeng; Bao, Yongbo</t>
  </si>
  <si>
    <t>A novel biomarker for marine environmental pollution of pi-class glutathione S-transferase from Mytilus coruscus</t>
  </si>
  <si>
    <t>Mytilus coruscus; Glutathione S-transferases (GSTs); Detoxification enzymes; Biomarkers</t>
  </si>
  <si>
    <t>MOLECULAR-CLONING; EXPRESSION; GENE; GALLOPROVINCIALIS; DISCUS; OYSTER</t>
  </si>
  <si>
    <t>Glutathione S-transferases (GSTs) are the superfamily of phase II detoxification enzymes that play crucial roles in innate immunity. In this study, a pi-class GST homolog was identified from Mytilus coruscus (named as McGST1, KC525103). The full-length cDNA sequence of McGST1 was 621 bp with a 5' un-translated region (UTR) of 70 bp and a 3'-UTR of 201 bp. The deduced amino acid sequence was 206 residues in length with theoretical pI/MW of 5.60/23.72 kDa, containing the conserved G-site and diversiform H-site. BLASTn analysis and phylogenetic relationship strongly suggested that this cDNA sequence was a member of pi class GST family. The prediction of secondary structure displayed a preserved N-terminal and a C-terminal comprised with a-helixes. Quantitative real time RT-PCR showed that constitutive expression of McGST1 was occurred, with increasing order in mantle, muscle, gill, hemocyte, gonad and hepatopancreas. The stimulation of bacterial infection, heavy metals and 180CST could up-regulate McGST1 mRNA expression in hepatopancreas with time-dependent manners. The maximum expression appeared at 6 h after pathogenic bacteria injected, with 10-fold in Vibrio alginolyticus and 16-fold in Vibrio harveyi higher than that of the control. The highest point of McGST1 mRNA appeared at different time for exposure to copper (10-fold at day 15), cadmium (9-fold at day10) and 180 CST (10-fold at day 15). These results suggested that McGST1 played a significant role in antioxidation and might potentially be used as indicators and biomarkers for detection of marine environmental pollution. (C) 2015 Elsevier Inc. All rights reserved.</t>
  </si>
  <si>
    <t>[Liu, Huihui; He, Jianyu; Zhao, Rongtao; Chi, Changfeng] Zhejiang Ocean Univ, Natl Engn Res Ctr Marine Facil Aquaculture, Zhoushan 316022, Peoples R China; [Bao, Yongbo] Zhejiang Wanli Univ, Zhejiang Prov Top Key Discipline Biol Engn, Ningbo 315100, Zhejiang, Peoples R China</t>
  </si>
  <si>
    <t>Zhejiang Ocean University; Chinese Academy of Sciences; Zhejiang Wanli University</t>
  </si>
  <si>
    <t>Liu, HH (corresponding author), 1 Haida South Rd, Zhoushan City 316022, Zhejiang, Peoples R China.</t>
  </si>
  <si>
    <t>liuhuihui2004@126.com</t>
  </si>
  <si>
    <t>LI, MINGZE/KEI-2317-2024</t>
  </si>
  <si>
    <t>Open fund of Zhejiang Provincial Top Key Discipline of Biological Engineering [KF20140003]; Start-up fund of Zhejiang Ocean University [Q1416]; Zhejiang Marine Fisheries Bureau project [(2012)83]</t>
  </si>
  <si>
    <t>Open fund of Zhejiang Provincial Top Key Discipline of Biological Engineering; Start-up fund of Zhejiang Ocean University; Zhejiang Marine Fisheries Bureau project</t>
  </si>
  <si>
    <t>This research was supported by grants from Open fund of Zhejiang Provincial Top Key Discipline of Biological Engineering (KF20140003), Start-up fund of Zhejiang Ocean University (Q1416) and Zhejiang Marine Fisheries Bureau project (2012)83.</t>
  </si>
  <si>
    <t>10.1016/j.ecoenv.2015.04.012</t>
  </si>
  <si>
    <t>http://dx.doi.org/10.1016/j.ecoenv.2015.04.012</t>
  </si>
  <si>
    <t>CJ2ZQ</t>
  </si>
  <si>
    <t>WOS:000355353600006</t>
  </si>
  <si>
    <t>Li, YL; Wang, WX</t>
  </si>
  <si>
    <t>Li, Yunlong; Wang, Wen-Xiong</t>
  </si>
  <si>
    <t>Integrated transcriptomics and proteomics revealed the distinct toxicological effects of multi-metal contamination on oysters</t>
  </si>
  <si>
    <t>Metals; Pearl River Estuary; Toxicity; Proteins; RNA</t>
  </si>
  <si>
    <t>PEARL RIVER ESTUARY; CRASSOSTREA-HONGKONGENSIS; ENDOPLASMIC-RETICULUM; ECOLOGICAL RISK; COMET ASSAY; RNA-SEQ; PROTEIN; RESPONSES; STRESS; IDENTIFICATION</t>
  </si>
  <si>
    <t>The Pearl River Estuary (PRE) is the largest estuary in southern China and under high metal stress. In the present study, we employed an integrated method of transcriptomics and proteomics to investigate the ecotoxicological effects of trace metals on the Hong Kong oyster Crassostrea hongkongensis. Three oyster populations with distinct spatial distributions of metals were sampled, including the Control (Station QA, the lowest metal levels), the High Cd (Station JZ, the highest Cd), and the High Zn-Cu-Cr-Ni (Station LFS, with the highest levels of zinc, copper, chromium, and nickel). Dominant metals in oysters were differentiated by principal component analysis (PCA), and theirgene and protein profiles were studied using RNA-seq and iTRAQ techniques. Of the 2250 proteins identified at both protein and RNA levels, 70 proteins exhibited differential expressions in response to metal stress in oysters from the two contaminated stations. There were 8 proteins altered at both stations, with the potential effects on mitochondria and endoplasmic reticulum by Ag. The genotoxicity, including impaired DNA replication and transcription, was specifically observed in the High Cd oysters with the dominating influence of Cd. The structural components (cytoskeleton and chromosome-associated proteins) were impaired by the over-accumulated Cu, Zn, Cr, and Ni at Station LFS. However, enhanced tRNA biogenesis and exosome activity might help the oysters to alleviate the toxicities resulting from their exposure to these metals. Our study provided comprehensive information on the molecular changes in oysters at both protein and RNA levels in responding to multi-levels of trace metal stress.</t>
  </si>
  <si>
    <t>[Li, Yunlong] Hong Kong Univ Sci &amp; Technol, Div Life Sci, Southern Marine Sci &amp; Engn Guangdong Lab Guangzho, Kowloon, Hong Kong, Peoples R China; [Li, Yunlong] Hong Kong Univ Sci &amp; Technol, Hong Kong Branch, Southern Marine Sci &amp; Engn Guangdong Lab Guangzho, Kowloon, Hong Kong, Peoples R China; [Li, Yunlong; Wang, Wen-Xiong] City Univ Hong Kong, Sch Energy &amp; Environm, Kowloon, Hong Kong, Peoples R China; [Li, Yunlong; Wang, Wen-Xiong] City Univ Hong Kong, State Key Lab Marine Pollut, Kowloon, Hong Kong, Peoples R China; [Wang, Wen-Xiong] City Univ Hong Kong, Res Ctr Oceans &amp; Human Hlth, Shenzhen Res Inst, Shenzhen 518057, Peoples R China</t>
  </si>
  <si>
    <t>Hong Kong University of Science &amp; Technology; Southern Marine Science &amp; Engineering Guangdong Laboratory; Southern Marine Science &amp; Engineering Guangdong Laboratory (Guangzhou); Southern Marine Science &amp; Engineering Guangdong Laboratory; Southern Marine Science &amp; Engineering Guangdong Laboratory (Guangzhou); Hong Kong University of Science &amp; Technology; City University of Hong Kong; City University of Hong Kong; City University of Hong Kong; Shenzhen Research Institute, City University of Hong Kong</t>
  </si>
  <si>
    <t>Wang, WX (corresponding author), City Univ Hong Kong, Sch Energy &amp; Environm, Kowloon, Hong Kong, Peoples R China.;Wang, WX (corresponding author), City Univ Hong Kong, State Key Lab Marine Pollut, Kowloon, Hong Kong, Peoples R China.</t>
  </si>
  <si>
    <t>Li, Yunlong/AAM-3787-2020; Wang, Wenxiong/E-7254-2011</t>
  </si>
  <si>
    <t>Li, Yunlong/0000-0002-4978-4788; Wang, Wenxiong/0000-0001-9033-0158</t>
  </si>
  <si>
    <t>Natural Science Foundation of China [21777134]; General Research Fund of Hong Kong Research Grants Council [CityU 16102918]; TUYF fund [19SC01]</t>
  </si>
  <si>
    <t>Natural Science Foundation of China(National Natural Science Foundation of China (NSFC)); General Research Fund of Hong Kong Research Grants Council; TUYF fund</t>
  </si>
  <si>
    <t>We are grateful to the reviewers for their helpful comments. This study was supported by the Natural Science Foundation of China (21777134), the General Research Fund of Hong Kong Research Grants Council (CityU 16102918), and the TUYF fund (19SC01).</t>
  </si>
  <si>
    <t>10.1016/j.envpol.2021.117533</t>
  </si>
  <si>
    <t>http://dx.doi.org/10.1016/j.envpol.2021.117533</t>
  </si>
  <si>
    <t>TI1IE</t>
  </si>
  <si>
    <t>WOS:000672535300005</t>
  </si>
  <si>
    <t>Bejaoui, S; Boussoufa, D; Tir, M; Haouas-Gharsallah, I; Boudawara, T; Ghram, A; El Cafsi, M; Soudani, N</t>
  </si>
  <si>
    <t>Bejaoui, Safa; Boussoufa, Dhouha; Tir, Meriem; Haouas-Gharsallah, Ines; Boudawara, Tahia; Ghram, Abdeljalil; El Cafsi, Mhamed; Soudani, Nejla</t>
  </si>
  <si>
    <t>DNA damage and oxidative stress in digestive gland of Venerupis decussata collected from two contrasting habitats in the southern Tunisian coast: biochemical and histopathological studies</t>
  </si>
  <si>
    <t>Venerupis decussata; Boughrara lagoon; Zarrat area; Oxidative stress; DNA damage; Histopathological</t>
  </si>
  <si>
    <t>CLAM RUDITAPES-DECUSSATUS; LAGOON; POLLUTION; VARIABILITY; RESPONSES; MUSSELS; IMPACT</t>
  </si>
  <si>
    <t>The present study aims to investigate the effects of pollution on the oxidative status of the natural species Venerupis decussata in the southern coast of Tunisia coast. Clams were collected each month during summer 2014 from two contrasting sites (Si: Zarrat coast region and S2: Boughrara lagoon). The concentration of copper (Cu), lead (Pb) and cadmium (Cd) in digestive gland of clams collected from the S2 was significantly higher from those of S1. We found an increase in malondialdehyde and advanced oxidation protein products levels in digestive gland homogenates of clams from S2 compared to Si. An increase in glutathione, non-protein thiol, metallothionein and vitamin C levels was also observed. Alteration of the antioxidant system in clams sampled from S2 was also confirmed by the significant increase of catalase and glutathione peroxidase activities. Further, a decrease of neurotoxicity biomarker, acetylcholinesterase activity, was also observed in clams collected from Boughrara lagoon. The principal component analysis of biomarker responses made a distinction between clams deployed in S2 and those from the reference site S1. These spatial differentiations were confirmed by histopathological observations and DNA damage variations. We can consider these parameters as the appropriate responses to evaluate the effects of pollutants on clams, in particular V decussata, which can be used for the bio-surveillance in the coastal and lagoon regions.</t>
  </si>
  <si>
    <t>[Bejaoui, Safa; Boussoufa, Dhouha; Tir, Meriem; El Cafsi, Mhamed; Soudani, Nejla] Univ Tunis El Manar, Tunis Fac Sci, Unit Physiol &amp; Aquat Environm, Tunis 2092, Tunisia; [Haouas-Gharsallah, Ines] La Goulette Ctr, Higher Inst Marine Sci &amp; Technol, Biol Lab, Tunis 2060, Tunisia; [Boudawara, Tahia] Univ Sfax, CHU Habib Bourguiba, Anatomopathol Lab, Sfax 3029, Tunisia; [Ghram, Abdeljalil] Pasteur Inst Tunis, Vet Microbiol Lab, Tunis 1002, Tunisia</t>
  </si>
  <si>
    <t>Universite de Tunis-El-Manar; Faculte des Sciences de Tunis (FST); Institut National des Sciences et Technologies de la Mer; Universite de Sfax; Hopital Habib Bourguiba; Pasteur Network; Universite de Tunis-El-Manar; Institut Pasteur Tunis</t>
  </si>
  <si>
    <t>Soudani, N (corresponding author), Univ Tunis El Manar, Tunis Fac Sci, Unit Physiol &amp; Aquat Environm, Tunis 2092, Tunisia.</t>
  </si>
  <si>
    <t>nejla.soudani@tunet.tn</t>
  </si>
  <si>
    <t>BOUSSOUFA, Dhouha/ADJ-2348-2022</t>
  </si>
  <si>
    <t>Ministry of Higher Education and Scientific Research in Tunisia (DGRST) [UR/13 ES-35]</t>
  </si>
  <si>
    <t>Ministry of Higher Education and Scientific Research in Tunisia (DGRST)</t>
  </si>
  <si>
    <t>This work was supported by the Ministry of Higher Education and Scientific Research in Tunisia (DGRST grants, UR/13 ES-35). The authors are indebted to Mr Hassen Mejri for the skilful technical assistance.</t>
  </si>
  <si>
    <t>10.21411/CBM.A.133C71C1</t>
  </si>
  <si>
    <t>http://dx.doi.org/10.21411/CBM.A.133C71C1</t>
  </si>
  <si>
    <t>EW1BF</t>
  </si>
  <si>
    <t>WOS:000402224200001</t>
  </si>
  <si>
    <t>Conti, ME; Tudino, MB; Finoia, MG; Simone, C; Stripeikis, J</t>
  </si>
  <si>
    <t>Conti, Marcelo Enrique; Beatriz Tudino, Mabel; Finoia, Maria Grazia; Simone, Cristina; Stripeikis, Jorge</t>
  </si>
  <si>
    <t>Managing complexity of marine ecosystems: From the monitoring breakdown structure (MBS) to the baseline assessment. Trace metal concentrations in biomonitors of the Beagle Channel, Patagonia (2005-2012)</t>
  </si>
  <si>
    <t>Monitoring Breakdown Structure (MBS); Biological indicators; Beagle Channel; Mytilus chilensis; Nacella (P) magellanica; Baseline metal levels</t>
  </si>
  <si>
    <t>TIERRA-DEL-FUEGO; MYTILUS-EDULIS SPP.; COASTAL WATERS; PATELLA-CAERULEA; OXIDATIVE STRESS; HEAVY-METALS; MUSSELS; CADMIUM; POLLUTION; MOLLUSKS</t>
  </si>
  <si>
    <t>In this study we propose a conceptual framework, i.e. the Monitoring Breakdown Structure (MBS) as a tool for the management of marine ecosystems. The conceptual framework thinks through the complexity of marine ecosystems keeping into account the variety (space) and variability (time) dimensions. Consistently with the MBS we have built the control charts of trace metal concentrations of two selected biomonitors in the Beagle Channel (south Patagonia) (case study). Thus, we have tested the aptitude of two species of mollusks as biomonitors of heavy metal (HMs) pollution. The selected species were the limpet Nacella (P) magellanica and the bivalve Mytilus chilensis. Seven hundred eighty-five samples were collected along 170 km of the coastal area of the Beagle Channel (BC), (Tierra del Fuego, Argentina) in seven selected georeferenced locations and four sampling campaigns (2005, 2007, 2011, 2012). Cd, Cr, Cu, Ni, Pb and Zn determinations in seawater and mollusks by atomic absorption spectrometry (AAS) were carried out. The calculation of the respective concentration factors (CFs), i. e. their capacity as strong bioaccumulators, was also conducted. This is of relevance because it aims to use these data as a baseline reference for other geographical areas. Second, we have compared metal bioaccumulation differences among sites and the contamination trend by building, for the first time, the control charts of the baseline metal concentrations in the biomonitors. For these purposes, we applied probabilistic Johnson's method. Furthermore, the control charts (based on four years baseline data) allowed us to test the contamination trend by plotting data from 2012 vs 2011. Our results confirm N. magellanica as an extremely strong accumulator of Cd, and M chilensis strong bioaccumulator of Cd and Zn. Zn was the most abundant metal followed by Cu. Overall, regarding the contamination trend, based on thousands of determinations we observed that the six mean metal levels were quite constant over time. Moreover, metal distribution among sites turned out to be not univocal (no one site is more contaminated than the other sites). Thus, the expected hypothesis of Ushuaia Harbour as being the most contaminated site should be reconsidered. This reinforces the hypothesis of our data as baseline data (except for cadmium), that should be considered in management decisions about future environmental monitoring programs, i.e. preventing/managing marine accidents.</t>
  </si>
  <si>
    <t>[Conti, Marcelo Enrique; Simone, Cristina] Sapienza Univ Rome, Dept Management, Via Castro Laurenziano 9, I-00161 Rome, Italy; [Beatriz Tudino, Mabel] Univ Buenos Aires, Fac Ciencias Exactas &amp; Nat, Dept Quim Inorgan Analit &amp; Quim Fis, INQUIMAE, Buenos Aires, DF, Argentina; [Finoia, Maria Grazia] Italian Natl Inst Environm Protect &amp; Res, Viale V Brancati 60, I-00166 Rome, Italy; [Stripeikis, Jorge] Tecnol Buenos Aires ITBA, Dept Ingn Quim, Ave Eduardo Madero 399, Buenos Aires, DF, Argentina</t>
  </si>
  <si>
    <t>Conti, ME (corresponding author), Sapienza Univ Rome, Dept Management, Via Castro Laurenziano 9, I-00161 Rome, Italy.</t>
  </si>
  <si>
    <t>Sapienza projects, University of Rome [C26A104LN5-2010, C26H15TY3S-2015]; UBACyT (Science and Technology Buenos Aires University) [20020130100099BA]</t>
  </si>
  <si>
    <t>Sapienza projects, University of Rome; UBACyT (Science and Technology Buenos Aires University)</t>
  </si>
  <si>
    <t>This work was financed by Sapienza projects, University of Rome, C26A104LN5-2010 and C26H15TY3S-2015 (Principal Investigator Prof. M.E. Conti), and UBACyT (Science and Technology Buenos Aires University) 20020130100099BA (2014-2017). The Authors gratefully thanks Mr. Javier Omar Giordano and his staff for their great support during our several stays in Tierra del Fuego. We also wish to thank the two anonymous reviewers for their excellent support in improving our manuscript.</t>
  </si>
  <si>
    <t>10.1016/j.ecolind.2019.05.013</t>
  </si>
  <si>
    <t>http://dx.doi.org/10.1016/j.ecolind.2019.05.013</t>
  </si>
  <si>
    <t>IC4VU</t>
  </si>
  <si>
    <t>WOS:000470966000030</t>
  </si>
  <si>
    <t>Bowden, TJ; Kraev, I; Lange, S</t>
  </si>
  <si>
    <t>Bowden, Timothy J.; Kraev, Igor; Lange, Sigrun</t>
  </si>
  <si>
    <t>Extracellular Vesicles and Post-Translational Protein Deimination Signatures in Mollusca-The Blue Mussel (Mytilus edulis), Soft Shell Clam (Mya arenaria), Eastern Oyster (Crassostrea virginica) and Atlantic Jacknife Clam (Ensis leei)</t>
  </si>
  <si>
    <t>protein deimination; citrullination; peptidylarginine deiminase (PAD); extracellular vesicles (EVs); immunity; metabolism; Mollusca; clam; oyster</t>
  </si>
  <si>
    <t>OUTER-MEMBRANE VESICLES; VON-WILLEBRAND-FACTOR; PACIFIC OYSTER; PEPTIDYLARGININE DEIMINASE; ALPHA-AMYLASE; RUDITAPES-PHILIPPINARUM; ARGOPECTEN-PURPURATUS; ARGININE DEIMINASES; EXPRESSION ANALYSIS; BINDING-PROTEINS</t>
  </si>
  <si>
    <t>Simple Summary Oysters and clams form an important component of the food chain and food security and are of considerable commercial value worldwide. They are affected by pollution and climate change, as well as a range of infections, some of which are opportunistic. For aquaculture purposes they are furthermore of great commercial value and changes in their immune responses can also serve as indicators of changes in ocean environments. Therefore, studies into understanding new factors in their immune systems may aid new biomarker discovery and are of considerable value. This study assessed new biomarkers relating to changes in protein function in four economically important marine molluscs, the blue mussel, soft shell clam, Eastern oyster, and Atlantic jacknife clam. These findings indicate novel regulatory mechanisms of important metabolic and immunology related pathways in these mollusks. The findings provide new understanding to how these pathways function in diverse ways in different animal species as well as aiding new biomarker discovery for Mollusca aquaculture. Oysters and clams are important for food security and of commercial value worldwide. They are affected by anthropogenic changes and opportunistic pathogens and can be indicators of changes in ocean environments. Therefore, studies into biomarker discovery are of considerable value. This study aimed at assessing extracellular vesicle (EV) signatures and post-translational protein deimination profiles of hemolymph from four commercially valuable Mollusca species, the blue mussel (Mytilus edulis), soft shell clam (Mya arenaria), Eastern oyster (Crassostrea virginica), and Atlantic jacknife clam (Ensis leei). EVs form part of cellular communication by transporting protein and genetic cargo and play roles in immunity and host-pathogen interactions. Protein deimination is a post-translational modification caused by peptidylarginine deiminases (PADs), and can facilitate protein moonlighting in health and disease. The current study identified hemolymph-EV profiles in the four Mollusca species, revealing some species differences. Deiminated protein candidates differed in hemolymph between the species, with some common targets between all four species (e.g., histone H3 and H4, actin, and GAPDH), while other hits were species-specific; in blue mussel these included heavy metal binding protein, heat shock proteins 60 and 90, 2-phospho-D-glycerate hydrolyase, GTP cyclohydrolase feedback regulatory protein, sodium/potassium-transporting ATPase, and fibrinogen domain containing protein. In soft shell clam specific deimination hits included dynein, MCM3-associated protein, and SCRN. In Eastern oyster specific deimination hits included muscle LIM protein, beta-1,3-glucan-binding protein, myosin heavy chain, thaumatin-like protein, vWFA domain-containing protein, BTB domain-containing protein, amylase, and beta-catenin. Deiminated proteins specific to Atlantic jackknife clam included nacre c1q domain-containing protein and PDZ domain-containing protein In addition, some proteins were common as deiminated targets between two or three of the Bivalvia species under study (e.g., EP protein, C1q domain containing protein, histone H2B, tubulin, elongation factor 1-alpha, dominin, extracellular superoxide dismutase). Protein interaction network analysis for the deiminated protein hits revealed major pathways relevant for immunity and metabolism, providing novel insights into post-translational regulation via deimination. The study contributes to EV characterization in diverse taxa and understanding of roles for PAD-mediated regulation of immune and metabolic pathways throughout phylogeny.</t>
  </si>
  <si>
    <t>[Bowden, Timothy J.] Univ Maine, Sch Food &amp; Agr, Aquaculture Res Inst, Orono, ME 04469 USA; [Kraev, Igor] Open Univ, Fac Sci Technol Engn &amp; Math, Electron Microscopy Suite, Milton Keynes MK7 6AA, Bucks, England; [Lange, Sigrun] Univ Westminster, Sch Life Sci, Tissue Architecture &amp; Regenerat Res Grp, London W1W 6UW, England</t>
  </si>
  <si>
    <t>University of Maine System; University of Maine Orono; Open University - UK; University of Westminster</t>
  </si>
  <si>
    <t>Lange, S (corresponding author), Univ Westminster, Sch Life Sci, Tissue Architecture &amp; Regenerat Res Grp, London W1W 6UW, England.</t>
  </si>
  <si>
    <t>timothy.bowden@maine.edu; igor.kraev@open.ac.uk; S.Lange@westminster.ac.uk</t>
  </si>
  <si>
    <t>Bowden, Tim/AAE-6582-2022; Kraev, Igor/J-2528-2015</t>
  </si>
  <si>
    <t>Bowden, Timothy/0000-0002-2295-1179; Lange, Sigrun/0000-0002-7193-3102; Kraev, Igor/0000-0003-1822-278X</t>
  </si>
  <si>
    <t>University of Westminster; USDA National Institute of Food and Agriculture through the Maine Agricultural and Forest Experiment Station (Maine Agriculture and Forestry Experiment Station) [ME0-21803, 3787]</t>
  </si>
  <si>
    <t>University of Westminster; USDA National Institute of Food and Agriculture through the Maine Agricultural and Forest Experiment Station (Maine Agriculture and Forestry Experiment Station)</t>
  </si>
  <si>
    <t>The study was supported in part by University of Westminster internal funding to SL. TJB was supported by the USDA National Institute of Food and Agriculture, Hatch Project number ME0-21803 through the Maine Agricultural and Forest Experiment Station (Maine Agriculture and Forestry Experiment Station Publication Number 3787).</t>
  </si>
  <si>
    <t>10.3390/biology9120416</t>
  </si>
  <si>
    <t>http://dx.doi.org/10.3390/biology9120416</t>
  </si>
  <si>
    <t>PK1VP</t>
  </si>
  <si>
    <t>Green Accepted, Green Published, gold</t>
  </si>
  <si>
    <t>WOS:000602240900001</t>
  </si>
  <si>
    <t>HUGGETT, RJ; BENDER, ME; SLONE, HD</t>
  </si>
  <si>
    <t>UTILIZING METAL CONCENTRATION RELATIONSHIPS IN EASTERN OYSTER (CRASSOSTREA-VIRGINICA) TO DETECT HEAVY-METAL POLLUTION</t>
  </si>
  <si>
    <t>VIRGINIA INST MARINE SCI,GLOUCESTER POINT,VA 23062</t>
  </si>
  <si>
    <t>10.1016/0043-1354(73)90026-2</t>
  </si>
  <si>
    <t>http://dx.doi.org/10.1016/0043-1354(73)90026-2</t>
  </si>
  <si>
    <t>O6084</t>
  </si>
  <si>
    <t>WOS:A1973O608400010</t>
  </si>
  <si>
    <t>RAMELOW, GJ; BIVEN, SL; ZHANG, YM; BECK, JN; YOUNG, JC; CALLAHAN, JD; MARCON, MF</t>
  </si>
  <si>
    <t>THE IDENTIFICATION OF POINT SOURCES OF HEAVY-METALS IN AN INDUSTRIALLY IMPACTED WATERWAY BY PERIPHYTON AND SURFACE SEDIMENT MONITORING</t>
  </si>
  <si>
    <t>BIVALVE SCROBICULARIA-PLANA; BIOMASS; IONS; ACCUMULATION; POLLUTION; AUFWUCHS; BINDING; CADMIUM; COPPER; ALGAE</t>
  </si>
  <si>
    <t>Periphyton and sediment samples were collected from 12 stations along Bayou d'Inde, a very polluted waterway, in Southwestern Louisiana. The samples were analyzed for Zn, Cu, Pb, Ni, Fe, Cr, Al, Cd, and Ag. When metal concentrations in periphyton or sediment are plotted vs sampling station, the metal distributions clearly indicate a major point source of metals at one station which is located at the mouth of an industrial ditch. Metal levels in periphyton generally parallel those found in surface sediments at the same location, but metal levels in periphyton are generally higher than in sediment from the same location, indicating an enrichment over sediment values. For sediments two types of extraction were investigated using leaching with concentrated HNO3 in a high-pressure decomposition vessel and shaking with 1 N HCI for 2 hr. Both methods correlate well for all metals except Ni, but HNO3 extracted more total metal. Correlations between periphyton and sediment were best for Pb, Fe, and Ag. Poorest correlations were seen for Mn, Ni, and Cd. When periphyton and sediment metal concentrations were normalized to Fe, Mn, and Al, correlation factors for some metals improved while others deteriorated.</t>
  </si>
  <si>
    <t>MCNEESE STATE UNIV,DEPT MATH STAT &amp; COMP SCI,LAKE CHARLES,LA 70609</t>
  </si>
  <si>
    <t>University of Louisiana System; McNeese State University</t>
  </si>
  <si>
    <t>RAMELOW, GJ (corresponding author), MCNEESE STATE UNIV,DEPT CHEM,LAKE CHARLES,LA 70609, USA.</t>
  </si>
  <si>
    <t>10.1007/BF00482757</t>
  </si>
  <si>
    <t>http://dx.doi.org/10.1007/BF00482757</t>
  </si>
  <si>
    <t>JY237</t>
  </si>
  <si>
    <t>WOS:A1992JY23700013</t>
  </si>
  <si>
    <t>Damir, N; Coatu, V; Danilov, D; Lazar, L; Oros, A</t>
  </si>
  <si>
    <t>Damir, Nicoleta; Coatu, Valentina; Danilov, Diana; Lazar, Luminita; Oros, Andra</t>
  </si>
  <si>
    <t>From Waters to Fish: A Multi-Faceted Analysis of Contaminants' Pollution Sources, Distribution Patterns, and Ecological and Human Health Consequences</t>
  </si>
  <si>
    <t>contamination; bioaccumulation; fish and mollusks tissue; ecosystem components; heavy metals; organochlorine pesticides; polychlorinated biphenyls; polycyclic aromatic hydrocarbons</t>
  </si>
  <si>
    <t>POLYCYCLIC AROMATIC-HYDROCARBONS; MUSSELS MYTILUS-GALLOPROVINCIALIS; HEAVY-METALS; RISK-ASSESSMENT; SPRATTUS-SPRATTUS; SEA; MESOZOOPLANKTON; PAHS; BIOACCUMULATION; CONSUMPTION</t>
  </si>
  <si>
    <t>This study presents an extensive evaluation of the contamination levels in fish, mollusks, water, and sediments in the Black Sea over eight years, from 2016 to 2023. The primary aim was to determine the concentrations and distribution patterns of heavy metals (HMs), polychlorinated biphenyls (PCBs), polycyclic aromatic hydrocarbons (PAHs), and other persistent organic pollutants (POPs) in fish, water, and sediments of the Black Sea, and their implications for marine ecosystem health and human safety. Data were collected through scientific cruises and the methodology involved systematic sampling across different regions of the Romanian Black Sea, followed by rigorous laboratory analyses to identify and quantify the presence of contaminants. The study also examined the temporal trends of these pollutants, providing insights into their sources, pathways, and persistence in the marine environment. Additionally, the research assessed the bioaccumulation of contaminants in various biota, offering a critical perspective on food safety and potential risks to human consumers. The findings revealed significant spatial insights, highlighting areas of concern that require immediate attention and action. Notably, industrial discharge, agricultural runoff, and historical pollution hotspots were identified as major sources of contamination. This research underscores the need for enhanced monitoring and regulatory frameworks to mitigate pollution sources and safeguard the Black Sea ecosystem, advocating for sustainable practices and effective management strategies to preserve marine resources in the Black Sea.</t>
  </si>
  <si>
    <t>[Damir, Nicoleta; Coatu, Valentina; Danilov, Diana; Lazar, Luminita; Oros, Andra] Natl Inst Marine Res &amp; Dev Grigore Antipa, Chem Oceanog &amp; Marine Pollut Dept, 300 Mamaia Blvd, Constanta 900581, Romania</t>
  </si>
  <si>
    <t>National Institute for Marine Research &amp; Development Grigore Antipa</t>
  </si>
  <si>
    <t>Damir, N; Lazar, L (corresponding author), Natl Inst Marine Res &amp; Dev Grigore Antipa, Chem Oceanog &amp; Marine Pollut Dept, 300 Mamaia Blvd, Constanta 900581, Romania.</t>
  </si>
  <si>
    <t>ndamir@alpha.rmri.ro; vcoatu@alpha.rmri.ro; ddanilov@alpha.rmri.ro; llazar@alpha.rmri.ro; aoros@alpha.rmri.ro</t>
  </si>
  <si>
    <t>Lazar, Luminita/KSL-5092-2024; Lazar, Luminita/B-1125-2010; Oros, Andra/C-6572-2014</t>
  </si>
  <si>
    <t>Lazar, Luminita/0000-0003-2428-7299; Oros, Andra/0000-0002-6903-1177</t>
  </si>
  <si>
    <t>NUCLEU Programme (INTELMAR) - Ministry of Research, Innovation and Digitization [PN23230103]; National Monitoring Programme - Ministry of Environment, Water and Forests [50/21.04.2023]</t>
  </si>
  <si>
    <t>NUCLEU Programme (INTELMAR) - Ministry of Research, Innovation and Digitization; National Monitoring Programme - Ministry of Environment, Water and Forests</t>
  </si>
  <si>
    <t>This research has been carried out with financial support from the NUCLEU Programme (INTELMAR) funded by the Ministry of Research, Innovation and Digitization, project no. PN23230103, and from the National Monitoring Programme, founded by the Ministry of Environment, Water and Forests, Contract no 50/21.04.2023.</t>
  </si>
  <si>
    <t>10.3390/fishes9070274</t>
  </si>
  <si>
    <t>http://dx.doi.org/10.3390/fishes9070274</t>
  </si>
  <si>
    <t>ZS8B6</t>
  </si>
  <si>
    <t>WOS:001277361600001</t>
  </si>
  <si>
    <t>Kocabas, FK; Aksu, EG; Kocabas, M</t>
  </si>
  <si>
    <t>Kocabas, Filiz Kutluyer; Aksu, Emsiye Gokturk; Kocabas, Mehmet</t>
  </si>
  <si>
    <t>Evaluation of metal pollution related to human health risk in freshwater snail Viviparus contectus (Millet, 1813) as a potential bioindicator species in Lake Habitat (Turkey)</t>
  </si>
  <si>
    <t>Pollution; Freshwater mollusk; Bioindicator; Demirkopru Dam Lake</t>
  </si>
  <si>
    <t>HEAVY-METALS; SEASONAL-VARIATIONS; DIFFERENT TISSUES; MYTILUS-GALLOPROVINCIALIS; MUGIL-CEPHALUS; COPPER; SEDIMENT; MUSSELS; FISH; ACCUMULATION</t>
  </si>
  <si>
    <t>Freshwater mollusks are employed as bioindicators for the assessment of water quality in biomonitoring studies since the water quality of natural resources is crucial for humans. The freshwater snail species known as Viviparus contectus (Viviparidae: Gastropoda) is one that people eat. Here, the levels of heavy metals (Cd, Cr, Pb, As, Zn, and Cu) in water and V. contectus samples were determined. An Inductively Coupled Plasma Atomic Emission Spectrometer (ICP-AES, Spectro Arcos, vertical plasma) was used for the analysing the heavy metal concentrations in water and freshwater snail samples. The results of the current investigation demonstrated that freshwater snails accumulated metals in their water and soft tissues in the following orders: Pb &gt; Cr = Zn = Cu = Cd = As and Zn &gt; Cu &gt; Pb &gt; Cd &gt; As = Cr. Autumn was the time of year when higher amounts of heavy metals (As, Cr, Cu, Zn, and Hg) were found. Pb content in the freshwater snail samples was strongly impacted by seasonal fluctuations (P 0.05). For adults, the EDI (estimated daily intake) values were lower than the TDI (tolerable daily intake) values, and the HI (hazard index) values were below 1. Freshwater snail samples had Zn and Pb levels that were over the FAO/WHO, Turkish Food Codex, JECFA, and EC limit values. Except for Pb, the water study shows mean metal concentrations below the USEPA, Turkish Pollution Control Regulation, and World Health Organisation maximum allowed levels. Aquatic ecosystems were negatively impacted by anthropogenic activities overall, and this study can provide a helpful data set for investigations on metallic contamination in water bodies and biomonitoring in freshwater ecosystems.</t>
  </si>
  <si>
    <t>[Kocabas, Filiz Kutluyer; Aksu, Emsiye Gokturk] Munzur Univ, Fisheries Fac, TR-62000 Tunceli, Turkiye; [Kocabas, Mehmet] Karadeniz Tech Univ, Fac Forestry, Dept Wildlife Ecol &amp; Management, TR-61080 Trabzon, Turkiye</t>
  </si>
  <si>
    <t>KUTLUYER KOCABAS, Filiz/0000-0001-8334-5802</t>
  </si>
  <si>
    <t>Scientific Research Project Coordination Unit of Munzur University [YLMUB021-23]; Emsiye GOKTURK AKSU's master thesis</t>
  </si>
  <si>
    <t>Scientific Research Project Coordination Unit of Munzur University; Emsiye GOKTURK AKSU's master thesis</t>
  </si>
  <si>
    <t>This work was supported by Scientific Research Project Coordination Unit of Munzur University (Project number: YLMUB021-23) and summarized from Emsiye GOKTURK AKSU's master thesis.</t>
  </si>
  <si>
    <t>10.1007/s11356-023-29062-y</t>
  </si>
  <si>
    <t>http://dx.doi.org/10.1007/s11356-023-29062-y</t>
  </si>
  <si>
    <t>WOS:001040005900013</t>
  </si>
  <si>
    <t>Andral, B; Stanisiere, JY; Sauzade, D; Damier, E; Thebault, H; Galgani, F; Boissery, P</t>
  </si>
  <si>
    <t>Monitoring chemical contamination levels in the Mediterranean based on the use of mussel caging</t>
  </si>
  <si>
    <t>biomonitoring; contamination; Mediterranean sea; Mytilus galloprovincialis; caging</t>
  </si>
  <si>
    <t>MYTILUS-EDULIS; ESTUARINE WATERS; CADMIUM; ACCUMULATION; POLLUTION; ZINC; LEAD</t>
  </si>
  <si>
    <t>Within the framework of the biointegrator network (RINBIO), 92 man-made cages containing mussels (Mytilus galloprovincialis), distributed over 1800 km of the French Mediterranean coast, made it possible to assess chemical contamination by heavy metals (Cd, Hg, Zn, Pb, Cu, Ni, Cr, As) and organic compounds (DDT, PCBs, HAP). The caging technique was adopted to compensate for the scarcity of natural shellfish stocks in the Mediterranean and to enable comparison of the sites regardless of their physicochemical and trophic characteristics. Models linking a biometric parameter (the condition index) to pollutant levels make it possible to adjust raw data on contamination for a reference individual, by making a clear distinction between physiological factors (growth) and environmental ones. The results demonstrate significant levels of pollutants in sites heretofore unsampled; the pollution occurs at limited areas, and the sources have been identified. Moreover, average contamination levels are comparable to those measured in wild species and in other areas. Overall, the research demonstrates the reliability of this methodological approach for monitoring marine pollution, especially in the Mediterranean. (C) 2004 Elsevier Ltd. All rights reserved.</t>
  </si>
  <si>
    <t>IFREMER, Lab Provence Azur Corse, F-83507 La Seyne sur Mer, France; IRSN, F-83507 La Seyne sur Mer, France; IFREMER, Lab Environm Ressources Languedoc Roussillon, F-34203 Sete, France; Agence Eau Rhone Mediterranee Corse, F-13001 Marseille, France</t>
  </si>
  <si>
    <t>IFREMER, Lab Provence Azur Corse, BP 330, F-83507 La Seyne sur Mer, France.</t>
  </si>
  <si>
    <t>bruno.andral@ifremer.fr</t>
  </si>
  <si>
    <t>10.1016/j.marpolbul.2004.05.008</t>
  </si>
  <si>
    <t>http://dx.doi.org/10.1016/j.marpolbul.2004.05.008</t>
  </si>
  <si>
    <t>875KT</t>
  </si>
  <si>
    <t>WOS:000225419800016</t>
  </si>
  <si>
    <t>Girardello, F; Leite, CC; Touguinha, LB; Roesch-Ely, M; da Silva, CKH; de Oliveira, RM; Borges, DLG; Villela, IV; Fernandes, AN; Salvador, M; Henriques, JAP</t>
  </si>
  <si>
    <t>Girardello, Francine; Leite, Camila Custodio; Touguinha, Luciana Bavaresco; Roesch-Ely, Mariana; da Silva, Chrys Katielli Hoinacki; de Oliveira, Richard Macedo; Borges, Daniel Lazaro Gallindo; Villela, Izabel Vianna; Fernandes, Andreia Neves; Salvador, Mirian; Henriques, Joao Antonio Pegas</t>
  </si>
  <si>
    <t>ZnO nanoparticles alter redox metabolism of Limnoperna fortunei</t>
  </si>
  <si>
    <t>Zinc oxide nanoparticles; Ecotoxicology; Limnoperna fortunei; Redox metabolism; Oxidative stress</t>
  </si>
  <si>
    <t>ZINC-OXIDE NANOPARTICLES; TITANIUM-DIOXIDE; TIO2 NANOPARTICLES; OXIDATIVE STRESS; TOXICITY; MUSSEL; ECOTOXICITY; EXPOSURE; PARTICLES; CELLS</t>
  </si>
  <si>
    <t>Nanoparticles such as zinc oxide nanoparticles (ZnO-NP) that are incorporated in consumer and industrial products have caused concern about their potential ecotoxicological impact when released into the environment. Bivalve mollusks are susceptible targets for nanoparticle toxicity since nanomaterials can enter the cells by endocytosis mechanisms. The aim of this study was to evaluate the influence of ZnO-NP on the redox metabolism in Limnoperna fortunei and the DNA damage after exposure to ZnO-NP. Adult bivalves were incubated with 1-, 10-, and 50-mu g mL(-1) ZnO-NP for 2, 4, and 24 h. Ionic Zn release, enzymatic and non-enzymatic antioxidant activity, oxidative damage, and DNA damage were evaluated. Oxidative damage to proteins and lipids were observed after 4-h exposure and returned to baseline levels after 24 h. Superoxide dismutase levels decreased after 4-h exposure and increased after 24 h. No significant alteration was observed in the catalase activity or even DNA double-strand cleavage. The dissociation of ZnO may occur after 24 h, releasing ionic zinc (Zn2+) by hydrolysis, which was confirmed by the increase in the ionic Zn concentration following 24-h exposure. In conclusion, ZnO-NP were able to induce oxidative stress in exposed golden mussels. The golden mussel can modulate its own antioxidant defenses in response to oxidative stress and seems to be able to hydrolyze the nanoparticles and consequently, release Zn2+ into the cellular compartment.</t>
  </si>
  <si>
    <t>[Girardello, Francine; Leite, Camila Custodio; Touguinha, Luciana Bavaresco; Roesch-Ely, Mariana; Salvador, Mirian; Henriques, Joao Antonio Pegas] Univ Caxias do Sul UCS, Inst Biotecnol, Rua Francisco Getulio Vargas 1130, BR-95070560 Caxias Do Sul, RS, Brazil; [Girardello, Francine; da Silva, Chrys Katielli Hoinacki; Fernandes, Andreia Neves] Univ Fed Rio Grande Sul UFRGS, Inst Quim, Ave Bento Goncalves 9500, BR-91501970 Porto Alegre, RS, Brazil; [Girardello, Francine] Univ Fed Rio Grande Sul UFRGS, Ctr Biotecnol, Dept Biofis, Ave Bento Goncalves 9500,Campus Vale Setor 4, BR-91501970 Porto Alegre, RS, Brazil; [de Oliveira, Richard Macedo; Borges, Daniel Lazaro Gallindo] Univ Fed Santa Catarina UFSC, Dept Quim, BR-88040970 Florianopolis, SC, Brazil; [Villela, Izabel Vianna] InnVitro Pesquisa &amp; Desenvolvimento, Rua Mariante 180,Sala 902, BR-90430180 Porto Alegre, RS, Brazil</t>
  </si>
  <si>
    <t>Universidade de Caxias do Sul; Universidade Federal do Rio Grande do Sul; Universidade Federal do Rio Grande do Sul; Universidade Federal de Santa Catarina (UFSC)</t>
  </si>
  <si>
    <t>Girardello, F (corresponding author), Univ Caxias do Sul UCS, Inst Biotecnol, Rua Francisco Getulio Vargas 1130, BR-95070560 Caxias Do Sul, RS, Brazil.;Girardello, F (corresponding author), Univ Fed Rio Grande Sul UFRGS, Inst Quim, Ave Bento Goncalves 9500, BR-91501970 Porto Alegre, RS, Brazil.;Girardello, F (corresponding author), Univ Fed Rio Grande Sul UFRGS, Ctr Biotecnol, Dept Biofis, Ave Bento Goncalves 9500,Campus Vale Setor 4, BR-91501970 Porto Alegre, RS, Brazil.</t>
  </si>
  <si>
    <t>fgirardello@yahoo.com.br</t>
  </si>
  <si>
    <t>BORGES, DANIEL/S-6705-2016; Fernandes, Andreia/P-8353-2019</t>
  </si>
  <si>
    <t>Oliveira, Richard/0000-0001-7906-5664; Neves Fernandes, Andreia/0000-0001-6993-8740</t>
  </si>
  <si>
    <t>FAPERGS; CAPES; CNPQ; National Institute for Advanced Analytical Science and Technology (INCTAA, CNPq) [465768/2014-8]</t>
  </si>
  <si>
    <t>FAPERGS(Fundacao de Amparo a Ciencia e Tecnologia do Estado do Rio Grande do Sul (FAPERGS)); CAPES(Coordenacao de Aperfeicoamento de Pessoal de Nivel Superior (CAPES)); CNPQ(Conselho Nacional de Desenvolvimento Cientifico e Tecnologico (CNPQ)); National Institute for Advanced Analytical Science and Technology (INCTAA, CNPq)(Conselho Nacional de Desenvolvimento Cientifico e Tecnologico (CNPQ))</t>
  </si>
  <si>
    <t>The authors would like to thank the Conservation Unit Division (Divisao de Unidades de Conservacao) of the environmental department of the state government (SEMA-RS) for allowing us to collect samples in Itapua State Park (RS, Brazil) and the funding agencies FAPERGS, CAPES, and CNPQ for supporting this study. The authors also thank the National Institute for Advanced Analytical Science and Technology (INCTAA, CNPq proc. 465768/2014-8) for financial support.</t>
  </si>
  <si>
    <t>10.1007/s11356-021-15257-8</t>
  </si>
  <si>
    <t>http://dx.doi.org/10.1007/s11356-021-15257-8</t>
  </si>
  <si>
    <t>XZ8VH</t>
  </si>
  <si>
    <t>WOS:000676062300011</t>
  </si>
  <si>
    <t>Soegianto, A; Putranto, TWC; Payus, CM; Wahyuningsih, D; Wati, FNIR; Utamadi, FHB; Widyaningsih, NS; Sinuraya, S</t>
  </si>
  <si>
    <t>Soegianto, Agoes; Putranto, Trisnadi Widyaleksono Catur; Payus, Carolyn Melissa; Wahyuningsih, Dika; Wati, Faiza Nelly Indra Rochma; Utamadi, Faiz Harjendro Bhekti; Widyaningsih, Neny Sutanti; Sinuraya, Sofyanurrazaq</t>
  </si>
  <si>
    <t>Metal concentrations and potential health risk in clam (Meretrix lyrata Sowerby 1851) tissues from East Java Coast, Indonesia</t>
  </si>
  <si>
    <t>Bivalvia; Essential metals; Non-essential metals; Human health; Accumulation; Marine pollution</t>
  </si>
  <si>
    <t>HEAVY-METALS; ZINC; MOLLUSKS; MERCURY; FISH; LEAD; SEA</t>
  </si>
  <si>
    <t>The presence of Hg, Cu, Cr, Cd, Pb, and Zn in clam (Meretrix lyrata) from the East Java Coast (EJC), Indonesia, is reported in this study. Metal levels in clam whole tissues were Zn &gt; Cu &gt; Cr &gt; Pb &gt; Cd &gt; Hg. Cr, Cd, and Pb levels in clam tissue surpassed the tolerated limit for eating and the provisional acceptable weekly intake (PTWI) at numerous places along the EJC. The target hazard quotients (THQs) for Cr, Cd, and Pb were greater than one in several locations, indicating that these metals could be harmful to consumers (particularly non-carcinogenic impacts). Eating clams from this area may be detrimental to human health. Furthermore, target cancer risk (TCR) values for Cr and Cd were greater than 10(-4) in several locations, implying that Cr and Cd could cause cancer in people over the course of a lifetime of exposure.</t>
  </si>
  <si>
    <t>[Soegianto, Agoes; Putranto, Trisnadi Widyaleksono Catur; Wahyuningsih, Dika; Wati, Faiza Nelly Indra Rochma; Utamadi, Faiz Harjendro Bhekti; Widyaningsih, Neny Sutanti; Sinuraya, Sofyanurrazaq] Univ Airlangga, Fac Sci &amp; Technol, Dept Biol, Kampus C,Jl Dr Ir Soekarno, Surabaya 60115, Indonesia; [Payus, Carolyn Melissa] Univ Malaysia Sabah, Fac Sci &amp; Nat Resources, Kota Kinabalu 88400, Sabah, Malaysia</t>
  </si>
  <si>
    <t>Airlangga University; Universiti Malaysia Sabah; Universiti Kebangsaan Malaysia</t>
  </si>
  <si>
    <t>Soegianto, A (corresponding author), Univ Airlangga, Fac Sci &amp; Technol, Dept Biol, Kampus C,Jl Dr Ir Soekarno, Surabaya 60115, Indonesia.</t>
  </si>
  <si>
    <t>agoes_soegianto@fst.unair.ac.id</t>
  </si>
  <si>
    <t>Payus, Dr Carolyn/ADM-9304-2022; widyaleksono c p, trisnadi/GWV-0948-2022; Soegianto, Agoes/GOV-6121-2022</t>
  </si>
  <si>
    <t>Soegianto, Agoes/0000-0002-8030-5204; putranto, trisnadi widyaleksono catur/0000-0001-8821-9514</t>
  </si>
  <si>
    <t>Universitas Airlangga [421/UN3.14/PT/2020]</t>
  </si>
  <si>
    <t>Universitas Airlangga</t>
  </si>
  <si>
    <t>The study was funded by Universitas Airlangga under contract number 421/UN3.14/PT/2020. We are grateful to the local fishermen who helped us collect clams for this study.</t>
  </si>
  <si>
    <t>10.1007/s10661-021-09542-9</t>
  </si>
  <si>
    <t>http://dx.doi.org/10.1007/s10661-021-09542-9</t>
  </si>
  <si>
    <t>WO1OM</t>
  </si>
  <si>
    <t>WOS:000712230900001</t>
  </si>
  <si>
    <t>Bielmyer, GK; Klaine, SJ; Tomasso, JR; Arnold, WR</t>
  </si>
  <si>
    <t>Changes in water quality after addition of sea salts to fresh water: implications during toxicity testing</t>
  </si>
  <si>
    <t>salinity; metal toxicity; toxicity tests; copper toxicity; reconstituted water</t>
  </si>
  <si>
    <t>Sea salts (seven brands from six commercially-available sources) were dissolved in water to develop 30 g/l solutions, and selected water quality characteristics were then monitored for 96 h. One or more water quality characteristics changed significantly during the 96 h period in six of the reconstituted sea salts. Measured characteristics of sea water diluted to 30 g/l demonstrated no changes during the observation period. The sea salts from different sources also demonstrated differences in absolute concentrations of some characteristics measured. Application of the Biotic Ligand Model to predict copper toxicity to the bivalve Mytilus edulis in solutions of the salts tested yielded 96-h median-lethal concentrations that ranged from 2 to 13 mug/l. Since water quality affects toxicity of many environmental pollutants, the source of the sea salt and equilibration time should be considered when planning toxicity tests. (C) 2004 Elsevier Ltd. All rights reserved.</t>
  </si>
  <si>
    <t>Clemson Univ, Dept Biol Sci, Clemson, SC 29634 USA; Copper Dev Assoc Inc, New York, NY 10016 USA</t>
  </si>
  <si>
    <t>Clemson University</t>
  </si>
  <si>
    <t>Clemson Univ, Dept Biol Sci, Clemson, SC 29634 USA.</t>
  </si>
  <si>
    <t>jtmss@clemson.edu</t>
  </si>
  <si>
    <t>Klaine, Stephen/C-5352-2011</t>
  </si>
  <si>
    <t>10.1016/j.chemosphere.2004.05.040</t>
  </si>
  <si>
    <t>http://dx.doi.org/10.1016/j.chemosphere.2004.05.040</t>
  </si>
  <si>
    <t>870JM</t>
  </si>
  <si>
    <t>WOS:000225053400015</t>
  </si>
  <si>
    <t>Wachholz, L; Nunes, RV; Goncalves, AC; Eyng, C; Castilha, LD; Cirilo, EH; Broch, J; de Souza, C</t>
  </si>
  <si>
    <t>Wachholz, Lucas; Nunes, Ricardo Vianna; Goncalves Junior, Affonso Celso; Eyng, Cinthia; Castilha, Leandro Dalcin; Cirilo, Edinan Hagdon; Broch, Jomara; de Souza, Cleison</t>
  </si>
  <si>
    <t>Effect of the use of golden mussel flour contaminated with lead as a source of calcium on the performance of broilers</t>
  </si>
  <si>
    <t>SEMINA-CIENCIAS AGRARIAS</t>
  </si>
  <si>
    <t>Food; Poultry; Pollutants; Digestibility; Alternative ingredient; Transaminases</t>
  </si>
  <si>
    <t>The objective of this study was to evaluate the use of lead contaminated golden mussel flour (GMF) as a source of calcium for broiler chickens from 14 to 42 days of age and to verify the probable effects on performance, tissue contamination, blood parameters, Pb digestibility, and bone quality. The experiment was conducted in a completely randomized design (DIC), with four levels of Pb contamination (71.33, 147.55, 223.78, and 300 mg kg(-1) Pb) in GMF, with five replicates and three birds per experimental unit. Sixty-four-day-old Cobb male broilers housed in metabolism cages were used. GMF was added to rations instead of calcitic limestone. The zootechnical variables were evaluated: feed intake, weight gain, and feed conversion, as well as the digestibility of nutrients. In addition, the serum biochemistry of the birds transaminases, total bilirubin, calcium, and phosphate was studied and the concentration of lead in the tissues and the bone quality of the birds was determined. The tibia was collected for evaluation of bone quality. The levels of Pb contamination in the golden mussel did not change the performance of the birds (P &gt;= 0.05) or the Pb levels in the muscle Pectoralis major, skin, liver, feather, bones, and serum, or the serum levels of ALT, GGT, and total bilirubin, however, there was an effect of Pb levels (P &lt; 0.01) on AST concentrations. Pb levels altered the values (P &lt; 0.01) of the apparent digestible Pb and the coefficient of apparent digestibility of Pb, with an increasing linear effect. There was no effect (P &gt;= 0.05) on bone stiffness, however flexibility and bone strength were altered (P &lt; 0.05). Serum Ca and P concentrations did not show changes (P &gt;= 0.05) due to the use of Pb levels in GMF. In this study, it can be observed that the use of GMF with Pb up to 300 mg kg(-1) as a source of Ca in broiler diets does not alter performance, however the use of GMF contaminated with Pb above 73.33 mg kg(-1) promotes contamination of the tissues of the animals with Pb, making it impossible to consume the birds. It was concluded that the increase in Pb concentrations in GMF increases the digestibility and metabolism of this metal and causes an increase in the production of AST by the liver. Pb levels in GMF above 214.11 mg kg(-1) impair bone strength and flexibility.</t>
  </si>
  <si>
    <t>[Wachholz, Lucas; Cirilo, Edinan Hagdon; Broch, Jomara; de Souza, Cleison] Univ Estadual Oeste Parana, UNIOESTE, Programa Posgrad Zootecnia, Candid Rondon, PR, Brazil; [Nunes, Ricardo Vianna; Goncalves Junior, Affonso Celso; Eyng, Cinthia] UNIOESTE, Candido Rondon, PR, Brazil; [Castilha, Leandro Dalcin] Univ Estadual Maringa, Maringa, Parana, Brazil</t>
  </si>
  <si>
    <t>Universidade Estadual do Oeste do Parana; Universidade Estadual do Oeste do Parana; Universidade Estadual de Maringa</t>
  </si>
  <si>
    <t>Wachholz, L (corresponding author), Univ Estadual Oeste Parana, UNIOESTE, Programa Posgrad Zootecnia, Candid Rondon, PR, Brazil.</t>
  </si>
  <si>
    <t>lucaswach@hotmail.com; nunesrv@hotmail.com; affonso133@hotmail.com; cinthiaeyng@hotmail.com; leandrocastillia@hotmail.com; edinancirilo@hotmail.com; brochjomara@yahoo.com.br; cleisondsz@hotmail.com</t>
  </si>
  <si>
    <t>Nunes, Ricardo/IQR-4066-2023; Castilha, Leandro/L-6846-2013; Goncalves Junior, Affonso Celso/B-4179-2013</t>
  </si>
  <si>
    <t>Goncalves Junior, Affonso Celso/0000-0002-1699-1545</t>
  </si>
  <si>
    <t>CNPq</t>
  </si>
  <si>
    <t>CNPq(Conselho Nacional de Desenvolvimento Cientifico e Tecnologico (CNPQ))</t>
  </si>
  <si>
    <t>To CNPq for the financial support to the project.</t>
  </si>
  <si>
    <t>UNIV ESTADUAL LONDRINA</t>
  </si>
  <si>
    <t>LONDRINA</t>
  </si>
  <si>
    <t>CAXIA POSTAL 6001, LONDRINA, PARANA 86501-990, BRAZIL</t>
  </si>
  <si>
    <t>1676-546X</t>
  </si>
  <si>
    <t>1679-0359</t>
  </si>
  <si>
    <t>SEMIN-CIENC AGRAR</t>
  </si>
  <si>
    <t>Semin.-Cienc. Agrar.</t>
  </si>
  <si>
    <t>10.5433/1679-0359.2019v40n6p2783</t>
  </si>
  <si>
    <t>http://dx.doi.org/10.5433/1679-0359.2019v40n6p2783</t>
  </si>
  <si>
    <t>IV0CT</t>
  </si>
  <si>
    <t>WOS:000483947700027</t>
  </si>
  <si>
    <t>Squadrone, S; Brizio, P; Stella, C; Prearo, M; Pastorino, P; Serracca, L; Ercolini, C; Abete, MC</t>
  </si>
  <si>
    <t>Squadrone, S.; Brizio, P.; Stella, C.; Prearo, M.; Pastorino, P.; Serracca, L.; Ercolini, C.; Abete, M. C.</t>
  </si>
  <si>
    <t>Presence of trace metals in aquaculture marine ecosystems of the northwestern Mediterranean Sea (Italy)</t>
  </si>
  <si>
    <t>Trace elements; Marine aquaculture; Mediterranean Sea; Bivalves; Fish</t>
  </si>
  <si>
    <t>MUSSELS MYTILUS-GALLOPROVINCIALIS; BASS; BIOACCUMULATION; CONSUMPTION; MERCURY; COAST; CONTAMINATION; ELEMENTS; OYSTERS; QUALITY</t>
  </si>
  <si>
    <t>Information regarding chemical pollutant levels in farmed fish and shellfish, along with the risks associated with their consumption is still scarce. This study was designed to assess levels of exposure to 21 trace elements in fish (Dicentrarchus labrax); mussels (Mytilus galloprovincialis) and oysters (Crassostrea gigas) collected from aquaculture marine ecosystems of the northwestern Mediterranean Sea. Metal concentrations showed great variability in the three species; the highest values of the nonessential elements As and Cd were found in oysters while the highest levels of Al, Pb and V were found in mussels. The essential elements Cu, Mn and Zn were highest in oysters, but Fe, Cr, Ni, Se, Co and Mo levels were highest in mussels. Fish had the lowest concentrations for all trace elements, which were at least one order of magnitude lower than in bivalves. The rare earth elements cerium and lanthanum were found at higher levels in mussels than in oysters, but undetectable in fish. The maximum values set by European regulations for Hg, Cd and Pb were never exceeded in the examined samples. However, comparing the estimated human daily intakes (EHDIs) with the suggested tolerable copper and zinc intakes suggested a potential risk for frequent consumers of oysters. Similarly, people who consume high quantities of mussels could be exposed to concentrations of Al that exceed the proposed TWI (tolerable weekly intake). (C) 2016 Elsevier Ltd. All rights reserved.</t>
  </si>
  <si>
    <t>[Squadrone, S.; Brizio, P.; Stella, C.; Prearo, M.; Pastorino, P.; Serracca, L.; Ercolini, C.; Abete, M. C.] Ist Zooprofilatt Sperimentale Piemonte Liguria &amp;, Turin, Italy</t>
  </si>
  <si>
    <t>IZS Piemonte Liguria e Valle D'aosta</t>
  </si>
  <si>
    <t>Squadrone, S (corresponding author), Ist Zooprofilatt Sperimentale Piemonte Liguria &amp;, Turin, Italy.</t>
  </si>
  <si>
    <t>Prearo, Marino/AAF-3369-2021; Brizio, Paola/S-8275-2019; cesarina, maria/AAY-7548-2020; squadrone, stefania/D-2024-2016; Pastorino, Paolo/T-5288-2019</t>
  </si>
  <si>
    <t>squadrone, stefania/0000-0003-1365-7258; Serracca, Laura/0000-0002-9270-8174; Pastorino, Paolo/0000-0002-0585-1168</t>
  </si>
  <si>
    <t>Italian Health Ministry Research [IZS PLV 01/13 RC]</t>
  </si>
  <si>
    <t>Italian Health Ministry Research</t>
  </si>
  <si>
    <t>The research was funded through an Italian Health Ministry Research (Project n. IZS PLV 01/13 RC).</t>
  </si>
  <si>
    <t>10.1016/j.envpol.2016.04.096</t>
  </si>
  <si>
    <t>http://dx.doi.org/10.1016/j.envpol.2016.04.096</t>
  </si>
  <si>
    <t>WOS:000378961000009</t>
  </si>
  <si>
    <t>ZAROOGIAN, GE; MORRISON, G; HELTSHE, JF</t>
  </si>
  <si>
    <t>CRASSOSTREA-VIRGINICA AS AN INDICATOR OF LEAD POLLUTION</t>
  </si>
  <si>
    <t>After treatment with 1.0 and 3.3 .mu.g Pb kg-1 for 20 wk in flowing seawater at ambient salinity and temperature, C. virginica accumulated as much as 6.57 and 11.42 .mu.g g-1 dry weight, respectively, and no mortalities were recorded. Pb uptake was curvilinear; the general trend was an increase in Pb concentration over time. Dry weight of the oyster had no significant relationship with tissue Pb concentration (.mu.g g-1); a significant positive relationship existed between weight and Pb content (.mu.g). A decrease in Pb concentration in the tissues occurred from mid Aug. to mid Sept. despite continuous addition of Pb to the seawater. Addition of Pb to the seawater was terminated after 20 wk (Oct.) and Pb loss was studied for the following 12 wk. Pb loss was studied well after spawning to eliminate any influence this might have on Pb concentration in the tissues. After 4 wk, approximately 54% of the accumulated Pb was lost under conditions of a natural temperature decline. The biological half-life of Pb in C. virginica tissues was calculated to be 5.5 wk. In the ensuing 8 wk, little or no Pb loss was observed. Larvae from each treatment developed to the straight-hinged stage within 48 h with no apparent abnormalities. Pb appeared to have no adverse effect on larvae when parents were treated with 1.0 and 3.3 .mu.g kg-1 seawater for 10 wk.</t>
  </si>
  <si>
    <t>US EPA, ENVIRONM RES LAB, NARRAGANSETT, RI 02882 USA.</t>
  </si>
  <si>
    <t>10.1007/BF00390427</t>
  </si>
  <si>
    <t>http://dx.doi.org/10.1007/BF00390427</t>
  </si>
  <si>
    <t>GY487</t>
  </si>
  <si>
    <t>WOS:A1979GY48700012</t>
  </si>
  <si>
    <t>Ali, TG; Keyon, ASA; Mahat, NA; Huri, MAM</t>
  </si>
  <si>
    <t>Ali, Timothy Gandu; Keyon, Aemi Syazwani Abdul; Mahat, Naji Arafat; Huri, Mohamad Afiq Mohamed</t>
  </si>
  <si>
    <t>An updated ecotoxicological evaluation and health risk assessment of metal contaminants in Perna viridis mussel harvested on March to August 2018 from Pasir Gudang Coastal Area, Malaysia</t>
  </si>
  <si>
    <t>Perna viridis mussel; Surface seawater; Metal contaminants; Health risk assessment; Ecotoxicological evaluation</t>
  </si>
  <si>
    <t>HEAVY-METALS; TRACE-METALS; MYTILUS-GALLOPROVINCIALIS; COPPER-ALLOY; GREEN MUSSEL; HUMAN EXPOSURE; MARUDU BAY; PB; CU; WILD</t>
  </si>
  <si>
    <t>Perna viridis (P. viridis) is a significant protein source globally but is often contaminated by metals due to its filter-feeding behavior. Given that Kampung Pasir Puteh, Pasir Gudang (Johor) is Malaysia's primary P. viridis harvesting site and the last health risk assessment (2015) was incomplete, the metal contamination status remains uncertain. Graphite furnace-atomic absorption spectroscopy was employed to analyze metal contaminant concentrations in P. viridis samples collected from March to August 2018, as per Malaysian legal requirements. The R-2 values varied between 0.9976 and 0.9980 for P. viridis mussels and between 0.9976 and 0.9999 for seawater. The recovery for P. viridis mussels and seawater ranged from 93.95% to 106.80% and 92.73-108.84%, respectively. Precision and accuracy for both intra and inter-day measurements ranged from 0.15% to 5.49% for P. viridis and 0.05-5.58% for seawater. The concentrations of metal contaminants in P. viridis varied significantly among the different months of sampling (p &lt; 0.05). All P. viridis samples had higher concentration of arsenic (3.16-75.80 mu g g(-1)) than that prescribed by the Malaysian law. Higher cadmium concentration was observed during July (2.12 mu g g(-1)) and August (2.05 mu g g(-1)) alone. With target hazard quotients and hazard indices &gt; 1.0, the likelihood of negative health impacts from consuming these mussels cannot be ignored. TCR values for As and Cd exceeded USEPA standards, indicating a potential lifetime carcinogenic risk from continuous P. viridis consumption. Pb (21.20-49.28 mu g L-1) in all surface seawater samples was invariably higher than the allowable limit for Class 2 water areas. Metal contaminant concentrations varied significantly between P. viridis and surface seawater (p &lt; 0.05), implying inconsistent bioaccumulation due to pollution differences. Given the significance of P. viridis mussels, concerted scientific efforts are essential to devise effective metal contaminant removal methods.</t>
  </si>
  <si>
    <t>[Ali, Timothy Gandu; Keyon, Aemi Syazwani Abdul; Mahat, Naji Arafat; Huri, Mohamad Afiq Mohamed] Univ Teknol Malaysia, Fac Sci, Dept Chem, Johor Baharu 81310, Johor, Malaysia; [Ali, Timothy Gandu] Nuhu Bamalli Polytech, Dept Sci Lab Technol, PMB 1061, Zaria, Kaduna State, Nigeria; [Keyon, Aemi Syazwani Abdul; Mahat, Naji Arafat] Univ Teknol Malaysia, Ibnu Sina Inst Sci &amp; Ind Res, Ctr Sustainable Nanomat, Johor Baharu 81310, Johor, Malaysia; [Mahat, Naji Arafat] Univ Teknol Malaysia, Invest &amp; Forens Sci Res Grp, Johor Baharu 81310, Johor, Malaysia</t>
  </si>
  <si>
    <t>Universiti Teknologi Malaysia; Universiti Teknologi Malaysia; Universiti Teknologi Malaysia</t>
  </si>
  <si>
    <t>Keyon, ASA; Mahat, NA (corresponding author), Univ Teknol Malaysia, Fac Sci, Dept Chem, Johor Baharu 81310, Johor, Malaysia.</t>
  </si>
  <si>
    <t>aemi@utm.my; naji.arafat@utm.my</t>
  </si>
  <si>
    <t>MAHAT, NAJI/AAT-8875-2021; Ali, Timothy/KHD-1936-2024</t>
  </si>
  <si>
    <t>Ministry of Higher Education Malaysia (MOHE) [FRGS/1/2022/STG04/UTM/02/1, R.J130000.7854.5F528, PY/2022/03336]; Vinnova [2022-03336] Funding Source: Vinnova</t>
  </si>
  <si>
    <t>Ministry of Higher Education Malaysia (MOHE)(Ministry of Education, Malaysia); Vinnova(Vinnova)</t>
  </si>
  <si>
    <t>We are grateful for the financial support of the work provided by Ministry of Higher Education Malaysia (MOHE) under Fundamental Research Grant Scheme (registration number: FRGS/1/2022/STG04/UTM/02/1, cost centre number: R.J130000.7854.5F528, reference number: PY/2022/03336) .</t>
  </si>
  <si>
    <t>10.1016/j.jfca.2024.106288</t>
  </si>
  <si>
    <t>http://dx.doi.org/10.1016/j.jfca.2024.106288</t>
  </si>
  <si>
    <t>TR0O7</t>
  </si>
  <si>
    <t>WOS:001242871400001</t>
  </si>
  <si>
    <t>Philipps, RR; Xu, XY; Mills, GL; Bringolf, RB</t>
  </si>
  <si>
    <t>Philipps, Rebecca R.; Xu, Xiaoyu; Mills, Gary L.; Bringolf, Robert B.</t>
  </si>
  <si>
    <t>Impact of natural organic matter and increased water hardness on DGT prediction of copper bioaccumulation by yellow lampmussel (Lampsilis cariosa) and fathead minnow (Pimephales promelas)</t>
  </si>
  <si>
    <t>Bioavailability; Copper; DGT; Speciation; Water chemistry</t>
  </si>
  <si>
    <t>BIOTIC LIGAND MODEL; TRACE-METAL LEVELS; DIFFUSIVE GRADIENTS; FRESH-WATERS; THIN-FILMS; TRANSPLANTED MUSSELS; REVERSE-OSMOSIS; DAPHNIA-MAGNA; FISH GILLS; TOXICITY</t>
  </si>
  <si>
    <t>We conducted an exposure experiment with Diffusive Gradients in Thin-Films (DGT), fathead minnow (Pimephales promelas), and yellow lampmussel (Lampsilis cariosa) to estimate bioavailability and bio-accumulation of Cu. We hypothesized that Cu concentrations measured by DGT can be used to predict Cu accumulation in aquatic animals and alterations of water chemistry can affect DGT's predict ability. Three water chemistries (control soft water, hard water, and addition of natural organic matter (NOM)) and three Cu concentrations (0, 30, and 60 mu g/L) were selected, so nine Cu-water chemistry combinations were used. NOM addition treatments resulted in decreased concentrations of DGT-measured Cu and free Cu ion predicted by Biotic Ligand Model (BLM). Both hard water and NOM addition treatments had reduced concentrations of Cu ion and Cu-dissolved organic matter complexes compared to other treatments. DGT-measured Cu concentrations were linearly correlated to fish accumulated Cu, but not to mussel accumulated Cu. Concentrations of bioavailable Cu predicted by BLM, the species complexed with biotic ligands of aquatic organisms and, was highly correlated to DGT-measured Cu. In general, DGT-measured Cu fit Cu accumulations in fish, and this passive sampling technique is acceptable at predicting Cu concentrations in fish in waters with low NOM concentrations. (C) 2018 Elsevier Ltd. All rights reserved.</t>
  </si>
  <si>
    <t>[Philipps, Rebecca R.; Xu, Xiaoyu; Mills, Gary L.] Univ Georgia, Savannah River Ecol Lab, PO Drawer E, Aiken, SC 29802 USA; [Bringolf, Robert B.] Univ Georgia, Warnell Sch Forestry &amp; Nat Resources, Athens, GA 30602 USA</t>
  </si>
  <si>
    <t>United States Department of Energy (DOE); Savannah River Ecology Laboratory; University System of Georgia; University of Georgia; University System of Georgia; University of Georgia</t>
  </si>
  <si>
    <t>Xu, XY (corresponding author), Univ Georgia, Savannah River Ecol Lab, PO Drawer E, Aiken, SC 29802 USA.</t>
  </si>
  <si>
    <t>xiaoyuxu@uga.edu</t>
  </si>
  <si>
    <t>Xu, Xiaoyu/AAQ-6143-2021</t>
  </si>
  <si>
    <t>Xu, Xiaoyu/0000-0003-2337-8949</t>
  </si>
  <si>
    <t>U.S. Department of Energy, through Financial Assistance Award [DE-FC09-07SR22506]</t>
  </si>
  <si>
    <t>U.S. Department of Energy, through Financial Assistance Award</t>
  </si>
  <si>
    <t>We are indebted to Dr. John Seaman and Dr. Stacey Lance for all of their advice, expertise, and guidance on this project. We thank Nicholas Bossenbroek, Kayla Fettro, Dean Fletcher, Nathaniel Fletcher, Savannah Harris, Alexis Korotasz, Angela Lindell, Brooke Lindell, Shelby Weathersbee who participated in this research. This research was supported by the U.S. Department of Energy, through Financial Assistance Award No. DE-FC09-07SR22506 to the University of Georgia Research Foundation.</t>
  </si>
  <si>
    <t>10.1016/j.envpol.2018.05.059</t>
  </si>
  <si>
    <t>http://dx.doi.org/10.1016/j.envpol.2018.05.059</t>
  </si>
  <si>
    <t>GO8ZB</t>
  </si>
  <si>
    <t>WOS:000440390800048</t>
  </si>
  <si>
    <t>Benedetti, M; Romano, E; Ausili, A; Fattorini, D; Gorbi, S; Maggi, C; Salmeri, A; Manta, DS; Sesta, G; Sprovieri, M; Regoli, F</t>
  </si>
  <si>
    <t>Benedetti, Maura; Romano, Elena; Ausili, Antonella; Fattorini, Daniele; Gorbi, Stefania; Maggi, Chiara; Salmeri, Andrea; Salvagio Manta, Daniela; Sesta, Giulio; Sprovieri, Mario; Regoli, Francesco</t>
  </si>
  <si>
    <t>10-year time course of Hg and organic compounds in Augusta Bay: Bioavailability and biological effects in marine organisms</t>
  </si>
  <si>
    <t>FRONTIERS IN PUBLIC HEALTH</t>
  </si>
  <si>
    <t>mercury; hexachlorobenzene; marine organisms; trophic transfer; biomarkers; bioavailability</t>
  </si>
  <si>
    <t>MYTILUS-GALLOPROVINCIALIS; BENTHIC FORAMINIFERA; BIOMARKER RESPONSES; OXIDATIVE STRESS; RISK-ASSESSMENT; CAGED MUSSELS; TRACE-METALS; FISH; POLLUTION; MERCURY</t>
  </si>
  <si>
    <t>In the last century, many Mediterranean coastal areas have been subjected to anthropogenic disturbances from industrial activities, uncontrolled landfills, shipyards, and high maritime traffic. The Augusta Bay (eastern Sicily, Italy) represents an example of a strongly impacted coastal environment with an elevated level of sediments contamination due to the presence of one of the largest European petrochemical plants, combined with an extensive commercial and military harbor. The most significant contaminants were represented by mercury (Hg) and hexachlorobenzene (HCB), derived from a former chlor-alkali plant, and other organic compounds like polycyclic aromatic hydrocarbons (PAHs) and polychlorobiphenyls (PCBs). Since the 1970s, Augusta Bay has become internationally recognized as a contaminated marine environment, although very little information is available regarding the temporal trend of contaminants bioavailability and biological impacts on aquatic organisms. In this study, the Hg and HCB concentrations were investigated over 10 years (from 2003 to 2013) in sediments and invertebrate and vertebrate organisms; these two contaminants' ecotoxicity was further evaluated at a biochemical and cellular level by analyzing the induction of organic biotransformation processes and DNA damages. The results showed high concentrations of Hg and HCB in sediments and their strong bioaccumulation in different species with significantly higher values than those measured in reference sites. This trend was paralleled by increased micronuclei frequency (DNA damage biomarker) and activity of the biotransformation system. While levels of chemicals in sediments remained elevated during the time course, their bioavailability and biological effects showed a gradual decrease after 2003, when the chlor-alkali plant was closed. Environmental persistence of Hg and HCB availability facilitates their bioaccumulation and affects the health status of marine organisms, with possible implications for environmental risk, pollutants transfer, and human health.</t>
  </si>
  <si>
    <t>[Benedetti, Maura; Fattorini, Daniele; Gorbi, Stefania; Regoli, Francesco] Polytech Univ Marche, Dept Life &amp; Environm Sci, Ancona, Italy; [Benedetti, Maura; Fattorini, Daniele; Regoli, Francesco] CoNISMa, Consorzio Interuniv Sci Mare, Rome, Italy; [Romano, Elena; Ausili, Antonella; Maggi, Chiara; Salmeri, Andrea; Sesta, Giulio] Italian Inst Environm Protect &amp; Res, Rome, Ispra, Italy; [Salvagio Manta, Daniela; Sprovieri, Mario] CNR, Inst Anthrop Impacts &amp; Sustainabil Marine Environm, Trapani, Italy</t>
  </si>
  <si>
    <t>Marche Polytechnic University; CoNISMa; Italian Institute for Environmental Protection &amp; Research (ISPRA); European Commission Joint Research Centre; EC JRC ISPRA Site; Consiglio Nazionale delle Ricerche (CNR)</t>
  </si>
  <si>
    <t>Romano, E (corresponding author), Italian Inst Environm Protect &amp; Res, Rome, Ispra, Italy.</t>
  </si>
  <si>
    <t>elena.romano@isprambiente.it</t>
  </si>
  <si>
    <t>Gorbi, Stefania/K-5662-2016; Fattorini, Daniele/A-2969-2010; Regoli, Francesco/K-2719-2018; Romano, Elena/I-7419-2019</t>
  </si>
  <si>
    <t>Regoli, Francesco/0000-0001-6084-6188; Romano, Elena/0000-0001-9498-4810</t>
  </si>
  <si>
    <t>2296-2565</t>
  </si>
  <si>
    <t>FRONT PUBLIC HEALTH</t>
  </si>
  <si>
    <t>Front. Public Health</t>
  </si>
  <si>
    <t>10.3389/fpubh.2022.968296</t>
  </si>
  <si>
    <t>http://dx.doi.org/10.3389/fpubh.2022.968296</t>
  </si>
  <si>
    <t>5K7KK</t>
  </si>
  <si>
    <t>WOS:000869900900001</t>
  </si>
  <si>
    <t>Cheggour, M; Chafik, A; Langston, WJ; Burt, GR; Benbrahim, S; Texier, H</t>
  </si>
  <si>
    <t>Metals in sediments and the edible cockle Cerastoderma edule from two Moroccan Atlantic lagoons:: Moulay Bou Selham and Sidi Moussa</t>
  </si>
  <si>
    <t>metals; sediments; bioaccumulation; bivalves; Morocco; lagoons</t>
  </si>
  <si>
    <t>TRACE-METALS; HEAVY-METALS; CADMIUM; BAY; BIOAVAILABILITY; MERCURY; TISSUE; ACCUMULATION; TOXICITY; MYTILUS</t>
  </si>
  <si>
    <t>Metals (Cd, Cu, Pb and Zn) were determined over a 3-year period in sediments and bivalves Cerastoderma edule from two lagoon ecosystems on the Moroccan Atlantic coastline, Moulay Bou Selham and Sidi Moussa. Sediment metal concentrations were seasonally influenced, and were highest, generally, in winter - possibly signifying an increased contribution from run-off from adjacent arable land and roads. Neither site can be considered highly contaminated; however, Cd was enriched at Sidi Moussa, probably as a result of waste discharge from phosphate industries 20 km along the coast to the northeast. This ability to act as a sink for metals at distance from sources demonstrates the need for surveillance in these sensitive environments. Copper and Zn concentrations in edible cockles C. edule appear to be regulated over the concentration ranges currently found in lagoon sediments. In contrast, body burdens of Pb and, to a lesser extent Cd, reflect sediment levels and might be useful in future risk assessments. Metal concentrations Cerastoderma edule are seasonally related to the reproductive cycle, however, and sample timing will need to be standardised in future monitoring exercises. (C) 2001 Elsevier Science Ltd. All rights reserved.</t>
  </si>
  <si>
    <t>Plymouth Marine Lab, Plymouth PL1 2PB, Devon, England; Ecole Normale Super, Unite Ecol, Dept Biol, Marrakech 2400, Morocco; Inst Natl Rech Halieut, URD Chim Marine, Casablanca, Morocco; Univ Caen, CNRS, UPRES A6143, F-14032 Caen, France</t>
  </si>
  <si>
    <t>Plymouth Marine Laboratory; Cadi Ayyad University of Marrakech; Sidi Mohamed Ben Abdellah University of Fez; Universite de Caen Normandie; Centre National de la Recherche Scientifique (CNRS)</t>
  </si>
  <si>
    <t>Langston, WJ (corresponding author), Plymouth Marine Lab, Citadel Hill, Plymouth PL1 2PB, Devon, England.</t>
  </si>
  <si>
    <t>10.1016/S0269-7491(01)00117-8</t>
  </si>
  <si>
    <t>http://dx.doi.org/10.1016/S0269-7491(01)00117-8</t>
  </si>
  <si>
    <t>488BR</t>
  </si>
  <si>
    <t>WOS:000171915200001</t>
  </si>
  <si>
    <t>Subasinghe, MM; Jinadasa, BKKK; Navarathne, AN; Jayakody, S</t>
  </si>
  <si>
    <t>Subasinghe, M. M.; Jinadasa, B. K. K. K.; Navarathne, A. N.; Jayakody, S.</t>
  </si>
  <si>
    <t>Potential health risk assessment of selected metal concentrations of Indian backwater oyster, (Crassostrea madrasensis) in Sri Lanka</t>
  </si>
  <si>
    <t>Bioaccumulation; Bivalves; Hazard quotient risk; Heavy metals; Puttalam Lagoon</t>
  </si>
  <si>
    <t>GULF-OF-CALIFORNIA; HEAVY-METALS; GIGAS; COAST; FISH; BIOACCUMULATION; ACCUMULATION; RHIZOPHORAE; ELEMENTS</t>
  </si>
  <si>
    <t>The study was conducted to assess the health risks of selected metals in cultured and wild Crassostrea madrasensis in Sri Lanka over 13 months. Metal concentrations varied monthly, and Zn and Cu concentrations significantly varied between cultured and wild oysters. The mean metal concentrations (mg kg(-1)) were accumulated in order of Zn (1220.60) &gt; Mg (496.97) &gt; Fe (356.30) &gt; Cu (114.95) &gt; Pb (23.20) &gt; Cd (6.15) &gt; As (3.09) &gt; Hg (0.12). The metal concentrations were well below the standard guidelines given by international standards except for Pb, Cd, As and Zn. The weekly intakes of Hg, Cu, Fe, and Zn from C.madrasensis were below the Provisional Tolerable Weekly Intake while Cd exceeded the established limit. The calculated non-carcinogenic and carcinogenic risk indices for Hg, As, Pb and Zn were within safe levels and the values for Cd exceeded the limit revealing carcinogenic results with long-term consumption. Hence, creating proper awareness and a suitable depuration system ensures human health and supports export-oriented markets.</t>
  </si>
  <si>
    <t>[Subasinghe, M. M.; Navarathne, A. N.] Univ Peradeniya, Postgrad Inst Sci, Peradeniya, Sri Lanka; [Subasinghe, M. M.; Jinadasa, B. K. K. K.] Natl Aquat Resources Res &amp; Dev Agcy NARA, Analyt Chem Lab, Crow Isl,Colombo 15, Colombo, Sri Lanka; [Navarathne, A. N.] Univ Peradeniya, Fac Sci, Dept Chem, Peradeniya, Sri Lanka; [Jayakody, S.] Wayamba Univ Sri Lanka, Fac Livestock Fisheries &amp; Nutr, Dept Aquaculture &amp; Fisheries, Makandura, Sri Lanka; [Subasinghe, M. M.] Univ Peradeniya, Postgrad Inst Sci, Sri Lanka &amp; Natl Aquat Resources Res &amp; Dev Agcy, Peradeniya, Sri Lanka</t>
  </si>
  <si>
    <t>University of Peradeniya; University of Peradeniya; Wayamba University of Sri Lanka; University of Peradeniya</t>
  </si>
  <si>
    <t>Subasinghe, MM (corresponding author), Univ Peradeniya, Postgrad Inst Sci, Sri Lanka &amp; Natl Aquat Resources Res &amp; Dev Agcy, Peradeniya, Sri Lanka.</t>
  </si>
  <si>
    <t>madhumihirani@yahoo.com</t>
  </si>
  <si>
    <t>Jinadasa, B.K./AAU-7898-2020</t>
  </si>
  <si>
    <t>National Aquatic Resources Research and Development Agency, Government of Sri Lanka</t>
  </si>
  <si>
    <t>Funding This work was supported by the National Aquatic Resources Research and Development Agency, Government of Sri Lanka.</t>
  </si>
  <si>
    <t>10.1016/j.marpolbul.2023.115656</t>
  </si>
  <si>
    <t>http://dx.doi.org/10.1016/j.marpolbul.2023.115656</t>
  </si>
  <si>
    <t>OCT 2023</t>
  </si>
  <si>
    <t>Y7CB0</t>
  </si>
  <si>
    <t>WOS:001106790800001</t>
  </si>
  <si>
    <t>DelValls, TA; Forja, JM; Gómez-Parra, A</t>
  </si>
  <si>
    <t>Seasonality of contamination, toxicity, and quality values in sediments from littoral ecosystems in the Gulf of Cadiz (SW Spain)</t>
  </si>
  <si>
    <t>marine pollution; ecotoxicology; multivariate analysis; Gulf of Cadiz; sediment quality values</t>
  </si>
  <si>
    <t>ROTIFER BRACHIONUS-PLICATILIS; MULTIVARIATE-ANALYSIS; MARINE-SEDIMENTS</t>
  </si>
  <si>
    <t>To seasonally evaluate Littoral contamination, toxicity and quality values of sediments from the Gulf of Cadiz, we measured chemical concentrations and conducted toxicity tests in winter and summer and linked these results by means of multivariate analysis. Sediment samples were subjected to two separate, replicated sediment toxicity tests (Micro-deutopus gryllotalpa amphipod survival, and Ruditapes philippinarum clam reburial), and to comprehensive sediment chemistry analyses (grain size, organic carbon, 14 heavy metals, and the surfactant Linear alkylbenzenesulfonate (LAS)). Only sediments associated with an untreated urban discharge were toxic and related to high levels of surfactant LAS, Ag, and Pb. Multivariate analysis indicated that variables and chemicals associated with geochemical matrix and background levels (specific surface, Fe, Zn, Cu, V, Ni, and Co), chemicals associated with untreated urban discharge sources, and toxicity effects showed no seasonal variability. Only copper concentrations showed seasonal differences, being toxic during the winter and not toxic during summer. Multivariate analysis permits us to derive sediment quality values (SQVs); in terms of concentrations at or below which biological effects were not measured (mg kg(-1) dry sediment), are: LAS, 2.6; lead, 66.8; silver, 0.78; copper, 69.6. (C) 2002 Elsevier Science Ltd. All rights reserved.</t>
  </si>
  <si>
    <t>Univ Cadiz, Fac Ciencias Mar, Dept Quim Fis, E-11510 Puerto Real, Candiz, Spain</t>
  </si>
  <si>
    <t>DelValls, TA (corresponding author), Univ Cadiz, Fac Ciencias Mar, Dept Quim Fis, Aptdo 40, E-11510 Puerto Real, Candiz, Spain.</t>
  </si>
  <si>
    <t>; Del Valls, T. Angel/K-9664-2014</t>
  </si>
  <si>
    <t>Gomez-Parra, Abelardo/0000-0002-9814-4218; Forja Pajares, Jesus/0000-0003-3780-059X; Del Valls, T. Angel/0000-0001-7674-9278</t>
  </si>
  <si>
    <t>10.1016/S0045-6535(01)00176-X</t>
  </si>
  <si>
    <t>http://dx.doi.org/10.1016/S0045-6535(01)00176-X</t>
  </si>
  <si>
    <t>527NE</t>
  </si>
  <si>
    <t>WOS:000174191500010</t>
  </si>
  <si>
    <t>Joiris, CR; Holsbeek, L; Otchere, FA</t>
  </si>
  <si>
    <t>Mercury in the bivalves Crassostrea tulipa and Perna perna from Ghana</t>
  </si>
  <si>
    <t>TRACE-ELEMENTS; SALINITY; OYSTERS; METALS; PCBS; FISH</t>
  </si>
  <si>
    <t>10.1016/S0025-326X(00)00014-X</t>
  </si>
  <si>
    <t>http://dx.doi.org/10.1016/S0025-326X(00)00014-X</t>
  </si>
  <si>
    <t>321JF</t>
  </si>
  <si>
    <t>WOS:000087451800023</t>
  </si>
  <si>
    <t>Amato, ED; Wadige, CPMM; Taylor, AM; Maher, WA; Simpson, SL; Jolley, DF</t>
  </si>
  <si>
    <t>Amato, Elvio D.; Wadige, Chamani P. M. Marasinghe; Taylor, Anne M.; Maher, William A.; Simpson, Stuart L.; Jolley, Dianne F.</t>
  </si>
  <si>
    <t>Field and laboratory evaluation of DGT for predicting metal bioaccumulation and toxicity in the freshwater bivalve Hyridella australis exposed to contaminated sediments</t>
  </si>
  <si>
    <t>Metals; Bioavailability; Biomarkers; Bivalves; Bioaccumulation; Sediment quality assessment</t>
  </si>
  <si>
    <t>DOSE-RESPONSE RELATIONSHIPS; ACID-VOLATILE SULFIDE; THIN-FILMS TECHNIQUE; DIFFUSIVE GRADIENTS; SPIKED SEDIMENTS; BENTHIC INVERTEBRATES; QUALITY GUIDELINES; SURFACE SEDIMENTS; RISK-ASSESSMENT; ORGANIC-CARBON</t>
  </si>
  <si>
    <t>The diffusive gradients in thin films (DGT) technique has shown to be a useful tool for predicting metal bioavailability and toxicity in sediments, however, links between DGT measurements and biological responses have often relied on laboratory-based exposures and further field evaluations are required. In this study, DGT probes were deployed in metal-contaminated (Cd, Pb, Zn) sediments to evaluate relationships between bioaccumulation by the freshwater bivalve Hyridella australis and DGT-metal fluxes under both laboratory and field conditions. The DGT-metal flux measured across the sediment/water interface (+/- 1 cm) was useful for predicting significant cadmium and zinc bioaccumulation, irrespective of the type of sediment and exposure. A greater DGT-Zn flux measured in the field was consistent with significantly higher zinc bioaccumulation, highlighting the importance of performing metal bioavailability assessments in situ. In addition, DGT fluxes were useful for predicting the potential risk of sublethal toxicity (i.e., lipid peroxidation and lysosomal membrane damage). Due to its ability to account for multiple metal exposures, DGT better predicted bioaccumulation and toxicity than particulate metal concentrations in sediments. These results provide further evidence supporting the applicability of the DGT technique as a monitoring tool for sediment quality assessment. (C) 2018 Elsevier Ltd. All rights reserved.</t>
  </si>
  <si>
    <t>[Amato, Elvio D.] Univ Antwerp, Dept Biol, Syst Physiol &amp; Ecotoxicol Res SPHERE, Groenenborgerlaan 171, B-2020 Antwerp, Belgium; [Amato, Elvio D.; Simpson, Stuart L.] CSIRO Land &amp; Water, Ctr Environm Contaminants Res, Lucas Heights, NSW 2234, Australia; [Amato, Elvio D.; Jolley, Dianne F.] Univ Wollongong, Sch Chem, Wollongong, NSW 2522, Australia; [Wadige, Chamani P. M. Marasinghe; Taylor, Anne M.; Maher, William A.] Univ Canberra, Ecochem Lab, Inst Appl Ecol, Canberra, ACT 2601, Australia</t>
  </si>
  <si>
    <t>University of Antwerp; Commonwealth Scientific &amp; Industrial Research Organisation (CSIRO); University of Wollongong; University of Canberra</t>
  </si>
  <si>
    <t>Amato, ED (corresponding author), Univ Antwerp, Dept Biol, Syst Physiol &amp; Ecotoxicol Res SPHERE, Groenenborgerlaan 171, B-2020 Antwerp, Belgium.</t>
  </si>
  <si>
    <t>elvio.amato@uantwerpen.be</t>
  </si>
  <si>
    <t>Jolley, Dianne/0000-0003-1028-1603; Amato, Elvio/0000-0003-4282-8730; Simpson, Stuart/0000-0003-1759-0564</t>
  </si>
  <si>
    <t>NSW Environmental Trust [APP2010-RD-0177]; University of Wollongong; CSIRO Land and Water; Richard Norris Freshwater Ecology scholarship</t>
  </si>
  <si>
    <t>NSW Environmental Trust; University of Wollongong; CSIRO Land and Water(Commonwealth Scientific &amp; Industrial Research Organisation (CSIRO)); Richard Norris Freshwater Ecology scholarship</t>
  </si>
  <si>
    <t>Prof James Dawber is thanked for data analysis support. The authors acknowledge the financial support of the NSW Environmental Trust (Research Project APP2010-RD-0177), the University of Wollongong (scholarship for Elvio Amato), and CSIRO Land and Water..Chamani Marasinghe Wadige was funded by the Richard Norris Freshwater Ecology scholarship.</t>
  </si>
  <si>
    <t>10.1016/j.envpol.2018.09.004</t>
  </si>
  <si>
    <t>http://dx.doi.org/10.1016/j.envpol.2018.09.004</t>
  </si>
  <si>
    <t>HA0IW</t>
  </si>
  <si>
    <t>WOS:000449892700009</t>
  </si>
  <si>
    <t>Koehle-Divo, V; Sohm, B; Giamberini, L; Pauly, D; Flayac, J; Devin, S; Auffan, M; Mouneyrac, C; Pain-Devin, S</t>
  </si>
  <si>
    <t>Koehle-Divo, Vanessa; Sohm, Benedicte; Giamberini, Laure; Pauly, Daniele; Flayac, Justine; Devin, Simon; Auffan, Melanie; Mouneyrac, Catherine; Pain-Devin, Sandrine</t>
  </si>
  <si>
    <t>A sub-individual multilevel approach for an integrative assessment of CuO nanoparticle effects on Corbicula fluminea</t>
  </si>
  <si>
    <t>Copper oxide nanoparticles (CuO NP); Bivalve; Gene expression; Biochemical effects; Filtration rate</t>
  </si>
  <si>
    <t>COPPER-OXIDE NANOPARTICLES; ENGINEERED NANOMATERIALS; SCROBICULARIA-PLANA; MULTIXENOBIOTIC RESISTANCE; OXIDATIVE STRESS; BIVALVE MOLLUSKS; MYTILUS-EDULIS; TOXICITY; MUSSEL; METAL</t>
  </si>
  <si>
    <t>Because they are widely used, copper oxide nanoparticles (CuO NPs) are likely to enter the aquatic environment and then reach the sediment. We have examined the effect of CuO NPs in the freshwater endobenthic bivalve Corbicula fluminea. Some previous studies have investigated effects at biochemical and physiological levels, but molecular endpoints are still poorly studied despite they are sensitive in early detection of NPs effect. In the present study, we have investigated short-term effects (96 h) of CuO NP (12, 30 nm; 0, 20 and 100 mu g/L) using molecular endpoints as well as more conventional biochemical and physiological markers. The expression of antioxidant (CuZnSOD, MnSOD, Cat, Se-GPx, Trxr) and antitoxic (GST-Pi, HSP70, MT, Pgp, MRPI) related genes was measured at the mRNA level while antioxidant (SOD, TAC) and antitoxic (GST, ACP) defenses, energetic reserves and metabolism (ETS, Tri, LDH), and cellular damages (LPO) were assessed using a biochemical approach. The filtration rate measured at 96 h provided information at the physiological scale. Gene expression and filtration rate were responsive to CuO NPs but the effects differed according to the NP size. The results suggest that defense mechanisms may have been set up following 30 nm-NP exposure. The response to 12 nm-NP was lower but still showed that exposure to 12 nm-NP led to activation of cellular elimination mechanisms. The lowering of the filtration rate may have protected the organisms from the contamination. However, this raised the question of further repercussions on organism biology. Together, the results (i) indicate that CuO NP may exert effects at different levels even after a short-term exposure and (ii) point out the precocity of molecular response. (C) 2019 Elsevier Ltd. All rights reserved.</t>
  </si>
  <si>
    <t>[Koehle-Divo, Vanessa; Sohm, Benedicte; Giamberini, Laure; Pauly, Daniele; Flayac, Justine; Devin, Simon; Pain-Devin, Sandrine] Univ Lorraine, CNRS, LIEC, F-57000 Metz, France; [Auffan, Melanie] Aix Marseille Univ, CNRS, CEREGE, IRD,INRA,Coll France, Aix En Provence, France; [Mouneyrac, Catherine] Univ Catholique Ouest, Lab Mer Mol &amp; Sante MMS, EA2160, 3 Pl Andre Leroy, F-49000 Angers 01, France</t>
  </si>
  <si>
    <t>Centre National de la Recherche Scientifique (CNRS); Universite de Lorraine; INRAE; Universite PSL; College de France; Institut de Recherche pour le Developpement (IRD); Centre National de la Recherche Scientifique (CNRS); Aix-Marseille Universite</t>
  </si>
  <si>
    <t>Pain-Devin, S (corresponding author), Univ Lorraine, CNRS, LIEC, F-57000 Metz, France.</t>
  </si>
  <si>
    <t>sandrine.devin@univ-lorraine.fr</t>
  </si>
  <si>
    <t>auffan, melanie/B-7022-2009; SOHM, Bénédicte/C-1339-2012</t>
  </si>
  <si>
    <t>Koehle-Divo, Vanessa/0000-0003-4500-434X; Devin, Simon/0000-0003-4431-4987; flayac, justine/0000-0002-6376-517X; SOHM, Benedicte/0000-0002-7204-5414</t>
  </si>
  <si>
    <t>French National Agency [ANR-3-CESA-0014/NANOSALT]; CPER Lorraine-ZAM (Contrat Projet Etat Region Lorraine, Zone Atelier Moselle); CNRS; French Research ministry</t>
  </si>
  <si>
    <t>French National Agency(Agence Nationale de la Recherche (ANR)); CPER Lorraine-ZAM (Contrat Projet Etat Region Lorraine, Zone Atelier Moselle)(Region Grand-Est); CNRS(Centre National de la Recherche Scientifique (CNRS)); French Research ministry(Ministry of Research, France)</t>
  </si>
  <si>
    <t>Financial supports were provided by the French National Agency (ANR-3-CESA-0014/NANOSALT project) and CPER Lorraine-ZAM (Contrat Projet Etat Region Lorraine, Zone Atelier Moselle). This work is also a contribution to the Labex Ressources 21 (ANR-10-LABX-21-01, Strategic metal resources of the 21st century). The authors gratefully acknowledge CNRS for funding the iCEINT International Consortium for the Environmental Implications of NanoTechnology. KOEHLE-DIVO Vanessa received financial support for salary from French Research ministry. The authors gratefully acknowledge Sharon Kruger for her English corrections.</t>
  </si>
  <si>
    <t>10.1016/j.envpol.2019.112976</t>
  </si>
  <si>
    <t>http://dx.doi.org/10.1016/j.envpol.2019.112976</t>
  </si>
  <si>
    <t>JB9FS</t>
  </si>
  <si>
    <t>WOS:000488887500025</t>
  </si>
  <si>
    <t>Belamy, T; Baudrimont, M; Cordier, MA; Dassie, E; Gourves, PY; Legeay, A</t>
  </si>
  <si>
    <t>Belamy, Tiare; Baudrimont, Magalie; Cordier, Marie-Ange; Dassie, Emilie; Gourves, Pierre-Yves; Legeay, Alexia</t>
  </si>
  <si>
    <t>Sensitivity of newly transformed juveniles of the freshwater pearl mussel: Margaritifera margaritifera to acute toxicity of a wide range of contaminants</t>
  </si>
  <si>
    <t>Newly transformed juveniles; Nutrients; Trace metals; Sensitivity; Acute toxicity test</t>
  </si>
  <si>
    <t>UTTERBACKIA-IMBECILLIS; LIFE STAGES; NITRATE; CHEMICALS; GLOCHIDIA; BIVALVES; BIOACCUMULATION; UNIONOIDA; UNIONIDAE; METALS</t>
  </si>
  <si>
    <t>The freshwater pearl mussel (FWPM) Margaritifera margaritifera is a bivalve mollusk critically endangered in Europe. There is a special concern about the conservation of this species, but little is known about its sensitivity to environmental pollution. Here, acute toxicity tests were conducted at 16 degrees C according to a standard guide for conducting toxicity tests on freshwater mussels (ASTM international E2455), in order to assess toxicity thresholds for arsenic (As), aluminum (Al), cadmium (Cd), copper (Cu), nickel (Ni), nitrates (NO3-), and orthophosphates (PO43-) on newly transformed juveniles of M. margaritifera. The comparison with toxicity data for other newly transformed freshwater mussel juveniles from the same family and superfamily, Margaritiferidae and Unionidae, showed that FWPM juveniles were the most sensitive species to NO3-, among the most sensitive species to Ni, the least sensitive species to Cd, and showed an intermediate sensitivity to Cu compared to other freshwater mussels. This study is the first to provide toxicity thresholds for several pollutants on newly transformed juveniles of the FWPM. This brings new knowledge on its sensitivity to environmental pollution that could be helpful data for conservation strategies and these findings represent the first window for further complex studies.</t>
  </si>
  <si>
    <t>[Belamy, Tiare; Baudrimont, Magalie; Cordier, Marie-Ange; Dassie, Emilie; Gourves, Pierre-Yves; Legeay, Alexia] Univ Bordeaux, CNRS, EPOC, EPHE,UMR 5805, F-33600 Pessac, France</t>
  </si>
  <si>
    <t>Centre National de la Recherche Scientifique (CNRS); CNRS - National Institute for Earth Sciences &amp; Astronomy (INSU); Universite de Bordeaux; Universite PSL; Ecole Pratique des Hautes Etudes (EPHE)</t>
  </si>
  <si>
    <t>Legeay, A (corresponding author), Univ Bordeaux, CNRS, EPOC, EPHE,UMR 5805, F-33600 Pessac, France.</t>
  </si>
  <si>
    <t>alexia.legeay@u-bordeaux.fr</t>
  </si>
  <si>
    <t>Legeay, Alexia/0000-0002-1052-142X</t>
  </si>
  <si>
    <t>European Community [LIFE13-NAT_ FR_000506]; Agence de l'Eau Adour Garonne; Novel Aquitaine Region; Dordogne Department; French government; Initiative Biosphere Dordogne</t>
  </si>
  <si>
    <t>European Community; Agence de l'Eau Adour Garonne; Novel Aquitaine Region; Dordogne Department; French government; Initiative Biosphere Dordogne</t>
  </si>
  <si>
    <t>This work was supported by the LIFE13-NAT_ FR_000506 program, funded by the European Community, the Agence de l'Eau Adour Garonne, the Novel Aquitaine Region, the Dordogne Department, the French government, and the Initiative Biosphere Dordogne.</t>
  </si>
  <si>
    <t>10.1007/s10750-022-04827-7</t>
  </si>
  <si>
    <t>http://dx.doi.org/10.1007/s10750-022-04827-7</t>
  </si>
  <si>
    <t>0U0DI</t>
  </si>
  <si>
    <t>WOS:000767104100001</t>
  </si>
  <si>
    <t>Wilman, B; Beldowska, M; Rychter, A; Kornijów, R</t>
  </si>
  <si>
    <t>Wilman, Bartlomiej; Beldowska, Magdalena; Rychter, Agata; Kornijow, Ryszard</t>
  </si>
  <si>
    <t>Different pathways of accumulation and elimination of neurotoxicant Hg and its forms in the clam Atlantic rangia (Rangia cuneata)</t>
  </si>
  <si>
    <t>Clam; Hg; Elimination; Trophic chain</t>
  </si>
  <si>
    <t>SOUTHERN BALTIC SEA; MERCURY CONCENTRATIONS; MYTILUS-TROSSULUS; MACOMA-BALTHICA; METHYLMERCURY; SEDIMENTS; GULF; FRACTIONATION; REPRODUCTION; BIVALVIA</t>
  </si>
  <si>
    <t>Mercury (Hg) is one of the most hazardous environmental pollutants, negatively affecting the ecosystem. The pathways of Hg elimination are well recognized in organisms from higher trophic levels compared to invertebrates such as clams. The aim of this study was to identify pathways of Hg accumulation in an alien species clams: Rangia cuneata, which represented an unrecognized source of Hg into the trophic chain of the southern Baltic Sea. An important aspect of this study was to determine Hg detoxification processes based on physiological state and biometric parameters of the atlatntic rangia. Special consideration was given to the role of shell in this process and the form of Hg in which it occurred. The study was also considered in terms of geographical changes in the Hg concentration in clams and the factors involved. Sex did not determine the concentration of Hg and its fraction in clams soft tissue and shell. Clams detoxified xenobiotic effectively in summer when their metabolism was accelerated. As a result, clams grew faster in warmer water than they accumulated Hg. In addition, this process was intensified by their reproduction. The mass of accumulated mercury was higher in the shell mass than in the body mass in summer. Transfer of Hg from the body to the shell depended on the forms Hg, mostly HgS. Geographical changes in the mercury concentration in clams was related to the form of Hg in the sediment. In areas where were more fines sediment fraction and organic matter accumulated in the sediment, mercury was present in a less bioavailable form, which caused that clams had lower Hg concentrations in their body. With assumption that in the future, due to its increasingly frequent occurrence, atlatntic rangia will become more common component of fish diet, a smaller load of toxic mercury will be introduced to the marine trophic chain.</t>
  </si>
  <si>
    <t>[Wilman, Bartlomiej; Beldowska, Magdalena] Univ Gdansk, Inst Oceanog, Al Pilsudskiego 46, PL-81378 Gdynia, Poland; [Rychter, Agata] Univ Appl Sci Elblag, Wojska Polskiego 1, PL-82300 Elblag, Poland; [Kornijow, Ryszard] Natl Marine Fisheries Res Inst, Dept Fisheries Oceanog &amp; Marine Ecol, Kollataja 1, PL-81332 Gdynia, Poland</t>
  </si>
  <si>
    <t>Fahrenheit Universities; University of Gdansk; National Marine Fisheries Research Institute</t>
  </si>
  <si>
    <t>Wilman, B (corresponding author), Univ Gdansk, Inst Oceanog, Al Pilsudskiego 46, PL-81378 Gdynia, Poland.</t>
  </si>
  <si>
    <t>bartlomiej.wilman@phdstud.ug.edu.pl</t>
  </si>
  <si>
    <t>Rychter, Agata/0000-0002-6237-0045</t>
  </si>
  <si>
    <t>10.1016/j.scitotenv.2022.160018</t>
  </si>
  <si>
    <t>http://dx.doi.org/10.1016/j.scitotenv.2022.160018</t>
  </si>
  <si>
    <t>7K4BH</t>
  </si>
  <si>
    <t>WOS:000905229500003</t>
  </si>
  <si>
    <t>Riba, I; de Canales, MG; Forja, JM; DelValls, TA</t>
  </si>
  <si>
    <t>Sediment quality in the Guadalquivir estuary: sublethal effects associated with the Aznalcollar mining spill</t>
  </si>
  <si>
    <t>histopathological lesions; sediment toxicity; heavy metals; multivariate analysis; contamination; Gulf of Cadiz</t>
  </si>
  <si>
    <t>HEAVY-METALS; CONTAMINATION; SPAIN</t>
  </si>
  <si>
    <t>As a complementary assessment of the impact of the Aznalcollar mining spill on the Guadalquivir estuary two different sediment toxicity tests using fish (Solea senegalensis) and clams (Scrobicularia plana) were performed. The histopathological alterations by recording lesions at 15 and 30 days in fish to the gills, liver, gut and kidney and at 14 days in clams to the gills and gut were used to determine the adverse effects associated with the contaminants bound to sediments. The lesions measured at different tissues in both organisms show that the enrichment of heavy metals from the mining spill stressed some areas in the ecosystem of the estuary. The comparison of these effects with those lethal effects detected in the same samples using a multivariate analysis approach permits to identify the adverse effects associated with the accidental spill on the estuary. The incidence of the impact, located in specific areas of the estuary show an acute effect related to the spill. (C) 2003 Elsevier Ltd. All rights reserved.</t>
  </si>
  <si>
    <t>Univ Cadiz, Fac Ciencias Mar, Dpto Quim Fis, Cadiz 11510, Spain; Univ Cadiz, Fac Ciencias Mar, Dpto Biol &amp; Ecol, Cadiz 11510, Spain</t>
  </si>
  <si>
    <t>Universidad de Cadiz; Universidad de Cadiz</t>
  </si>
  <si>
    <t>Univ Cadiz, Fac Ciencias Mar, Dpto Quim Fis, Apartado 40, Cadiz 11510, Spain.</t>
  </si>
  <si>
    <t>angel.valls@uca.es</t>
  </si>
  <si>
    <t>Forja Pajares, Jesus/0000-0003-3780-059X; Del Valls, T. Angel/0000-0001-7674-9278; Riba, Inmaculada/0000-0003-1271-2534</t>
  </si>
  <si>
    <t>10.1016/S0025-326X(03)00392-8</t>
  </si>
  <si>
    <t>http://dx.doi.org/10.1016/S0025-326X(03)00392-8</t>
  </si>
  <si>
    <t>769HB</t>
  </si>
  <si>
    <t>WOS:000188642800028</t>
  </si>
  <si>
    <t>Jou, LJ; Liao, CM</t>
  </si>
  <si>
    <t>Jou, Li-John; Liao, Chung-Min</t>
  </si>
  <si>
    <t>A dynamic artificial clam (Corbicula fluminea) allows parsimony on-line measurement of waterborne metals</t>
  </si>
  <si>
    <t>clam; Corbicula fluminea; biological early warning system; metal toxicity; biomonitor; valve movement</t>
  </si>
  <si>
    <t>VALVE CLOSURE; PREY CAPTURE; BIVALVE; ORNITHINE; TOXICITY; BEHAVIOR; SYSTEM; CONTAMINANTS; METABOLISM; RESPONSES</t>
  </si>
  <si>
    <t>We introduce a novel on-line biomonitoring system based on a valvometric conversion technique for clam Corbicula fluminea, allowing for rapid, continuous, and ecological relevant water quality control. Our model builds upon the basic principles of biological early warning system model in two ways. We first adopted a risk-based methodology to build a dynamic artificial clam for simulating how the bivalve closure rhythm in response to waterborne copper (Cu) and cadmium (Cd). Secondly, we integrated a probabilistic model associated with the time-varying dose-response relationships of valve closing behavior into the mechanisms of a dynamic artificial clam, allowing estimation of the time-varying waterborne Cu/Cd concentrations for on-line providing the outcomes of the toxicity detection technique. Measurements with Cu/Cd were performed and the calculated EC50 values were compared with published data for the valve movement test with C. fluminea. This proposed dynamic artificial clam provides a better quantitative understanding of on-line biomonitoring measurements of waterborne metals and may foster applications in clam farm management strategy and ecotoxicological risk assessment. (c) 2006 Elsevier Ltd. All rights reserved.</t>
  </si>
  <si>
    <t>Natl Taiwan Univ, Dept Bioenvironm Syst Engn, Ecotoxicol Modeling Ctr, Taipei 10617, Taiwan; Natl Ilan Univ, Dept Biomechatron Engn, Ilan 260, Taiwan</t>
  </si>
  <si>
    <t>Liao, CM (corresponding author), Natl Taiwan Univ, Dept Bioenvironm Syst Engn, Ecotoxicol Modeling Ctr, 1,Sec 4 Roosevelt Rd, Taipei 10617, Taiwan.</t>
  </si>
  <si>
    <t>10.1016/j.envpol.2005.12.032</t>
  </si>
  <si>
    <t>http://dx.doi.org/10.1016/j.envpol.2005.12.032</t>
  </si>
  <si>
    <t>WOS:000241138100023</t>
  </si>
  <si>
    <t>Gagné, F; André, C; Cejka, P; Gagnon, C; Blaise, C</t>
  </si>
  <si>
    <t>Gagne, F.; Andre, C.; Cejka, P.; Gagnon, C.; Blaise, C.</t>
  </si>
  <si>
    <t>Toxicological effects of primary-treated urban wastewaters, before and after ozone treatment, on freshwater mussels (Elliptio complanata)</t>
  </si>
  <si>
    <t>municipal effluent; ozone treatment; biomarkers; freshwater mussels</t>
  </si>
  <si>
    <t>MUNICIPAL WASTE-WATER; S-TRANSFERASE ACTIVITY; MYTILUS-GALLOPROVINCIALIS; CATALYTIC ACTIVITY; DIGESTIVE GLAND; ORGANIC-MATTER; CAGED MUSSELS; PHARMACEUTICALS; EFFLUENT; CELLS</t>
  </si>
  <si>
    <t>This study examined the toxic potential of a primary-treated municipal effluent, before and after ozonation, in freshwater mussels. Animals were exposed to various concentrations (0, 1, 3, 10 and 20% v/v) of a primary-treated effluent and also after a treatment with ozone at 10 mg/L in continuous flow-through mode for seven weeks. A suite of biomarkers was used to assess the potential toxic effects of various contaminants typically present in municipal wastewaters: heavy metal metabolism (metallothioneins and labile zinc), cytochrome P4501A1 and 3A4, glutathione S-transferase activities (biotransformation of organic compounds), lipid peroxidation and xanthine oxidoreductase (oxygen radical scavenging), DNA damage, mitochondrial electron transport activity at various temperatures and gonad lipid levels (cellular energy allocation) and aspartate transcarbamoylase and dihydrofolate reductase (gonad activity). On the one hand, some biomarkers, including metallothioneins, labile zinc, glutathione S-transferase, cytochrome P4503A4 activity, dehydrofolate reductase and aspartate transcarbamoylase, were readily decreased. In contrast, these biomarkers, cytochrome P4501A1, gill lipid peroxidation, DNA strand breaks in gills and digestive gland, mitochondrial electron transport at high and low temperatures (temperature-dependent activity) and total gonad lipids, were readily increased. In general, ozone treatment reduced adverse effects by either decreasing the intensity of the toxic responses or increasing the threshold concentration. For gill lipid peroxidation, however, intensity was greater at a higher threshold concentration. Ozone treatment eliminated the temperature sensitivity of the mitochondrial electron transport system, indicating a loss of interaction between temperature and urban pollution in terms of energy expenditure in mussels. Ozone treatment could significantly decrease either the toxic potency or intensity of urban pollutants at the expense of increased oxidative stress in gills of freshwater mussels. (c) 2007 Elsevier Inc. All rights reserved.</t>
  </si>
  <si>
    <t>Environm Canada, St Lawrence Ctr, Montreal, PQ, Canada; Municipal Wastewater Treatment Stn, Montreal, PQ, Canada</t>
  </si>
  <si>
    <t>Environment &amp; Climate Change Canada</t>
  </si>
  <si>
    <t>Gagné, F (corresponding author), Environm Canada, St Lawrence Ctr, 105 Mc Gill, Montreal, PQ, Canada.</t>
  </si>
  <si>
    <t>francois.gagne@ec.gc.ca</t>
  </si>
  <si>
    <t>Sauve, Sebastien/K-5671-2012</t>
  </si>
  <si>
    <t>10.1016/j.cbpc.2007.01.019</t>
  </si>
  <si>
    <t>http://dx.doi.org/10.1016/j.cbpc.2007.01.019</t>
  </si>
  <si>
    <t>174IJ</t>
  </si>
  <si>
    <t>WOS:000246935300006</t>
  </si>
  <si>
    <t>Munoz-Barbosa, A; Huerta-Diaz, MA</t>
  </si>
  <si>
    <t>Munoz-Barbosa, Albino; Angel Huerta-Diaz, Miguel</t>
  </si>
  <si>
    <t>Trace metal enrichments in nearshore sediments and accumulation in mussels (Modiolus capax) along the eastern coast of Baja California, Mexico: Environmental status in 1995</t>
  </si>
  <si>
    <t>Trace metals; Mussel; Sediment; Metal enrichment; Gulf of California</t>
  </si>
  <si>
    <t>GULF-OF-CALIFORNIA; HEAVY-METALS; MYTILUS-EDULIS; SURFACE SEDIMENTS; NORTHWEST COAST; PERSIAN-GULF; GEOCHEMISTRY; CONTAMINATION; ELEMENTS; LAGOON</t>
  </si>
  <si>
    <t>The biogeochemistry of trace metals in nearshore sediments and mussel was studied at 15 stations along a 1000 km long transect paralleling the west coast of the Gulf of California (GOC). Total trace metal (Me) and enrichment factor (EFMe) values in sediments were low due to negligible anthropogenic influence in the region. Past copper mining, however, near Santa Rosalia caused concentrations of Pb, Mn, Co, Zn and Cu which were 10-3.3 x 10(3) times greater than the average for the rest of the transect Mussels also showed relatively high trace metal concentrations at the Santa Rosalia stations, but the variability in the spatial distribution was low and had undefined trends. Our results show that, with the exception of Co and Cu, the contamination caused by the copper mine affected sediments to a greater extent than mussels. (C) 2013 Elsevier Ltd. All rights reserved.</t>
  </si>
  <si>
    <t>[Munoz-Barbosa, Albino; Angel Huerta-Diaz, Miguel] Univ Autonoma Baja California, Inst Invest Oceanol, Ensenada, Baja California, Mexico</t>
  </si>
  <si>
    <t>Huerta-Diaz, MA (corresponding author), Univ Autonoma Baja California, Inst Invest Oceanol, Punta Morro Campus,Kilometro 103,Carretera Tijuan, Ensenada, Baja California, Mexico.</t>
  </si>
  <si>
    <t>huertam@uabc.edu.mx</t>
  </si>
  <si>
    <t>Huerta-Diaz, Miguel/AAT-4625-2020</t>
  </si>
  <si>
    <t>Huerta-Diaz, Miguel Angel/0000-0001-5248-4340</t>
  </si>
  <si>
    <t>Sistema de Investigacion del Mar de Cortes (SIMAC) [94/CT-003]</t>
  </si>
  <si>
    <t>Sistema de Investigacion del Mar de Cortes (SIMAC)</t>
  </si>
  <si>
    <t>We thank Elsa Gil Silva, Alejandro Arias Esquivel, and Adrian Villegas for help in the laboratory and field. We thank Dr. Janet J. Reimer for help with the revision of English. This research was supported by a grant from the Sistema de Investigacion del Mar de Cortes (SIMAC), Project 94/CT-003 granted to MAHD. The authors would like to thank an anonymous reviewer for offering comments that substantially improved the content of this work.</t>
  </si>
  <si>
    <t>10.1016/j.marpolbul.2013.10.030</t>
  </si>
  <si>
    <t>http://dx.doi.org/10.1016/j.marpolbul.2013.10.030</t>
  </si>
  <si>
    <t>292FW</t>
  </si>
  <si>
    <t>WOS:000329888600023</t>
  </si>
  <si>
    <t>Coppola, F; Henriques, B; Soares, AMVM; Figueira, E; Pereira, E; Freitas, R</t>
  </si>
  <si>
    <t>Coppola, Francesca; Henriques, Bruno; Soares, Amadeu M. V. M.; Figueira, Etelvina; Pereira, Eduarda; Freitas, Rosa</t>
  </si>
  <si>
    <t>Influence of temperature rise on the recovery capacity of Mytilus galloprovincialis exposed to mercury pollution</t>
  </si>
  <si>
    <t>Recovery capacity; Metal uptake; Cellular damage; Antioxidant defenses; Metabolism; Combination of stressors</t>
  </si>
  <si>
    <t>ELECTRON-TRANSPORT SYSTEM; MEDITERRANEAN MUSSEL; OXIDATIVE STRESS; RUDITAPES-PHILIPPINARUM; BIOCHEMICAL-ALTERATIONS; LYSOSOMAL RESPONSES; BIOMARKER RESPONSES; SCROBICULARIA-PLANA; THERMAL-STRESS; LAGOON RIA</t>
  </si>
  <si>
    <t>Several studies have described the impacts caused by metals on estuarine species, including mussels, but scarce information is available regarding their effects in a global warming context. Moreover, increased temperatures can not only affect the response of organisms but their capacity to recover from pollution events. In this way, the present study aimed to understand the impact of temperature rise on the capacity of Mytilus galloprovincialis to recover their biochemical performance from pre-exposure to Hg. For this, mussels were exposed during 14 days at 17 degrees C in the absence or presence of Hg (17 degrees C; 17 degrees C Hg), after which mussels were exposed for an additional period of 28 days at 21 degrees C in the absence or presence of Hg (21 degrees C; 21 degrees C Hg) or kept for the same period at 17 degrees C in the absence or presence of Hg (17 degrees C; 17 degrees C Hg), and biomarkers related to mussels' metabolic and oxidative stress status were evaluated as well as Hg accumulation. Our findings revealed that regardless of temperature regime, organisms previously exposed to Hg followed by a 28 days recovery period (absence of Hg) presented a significant decrease on the metal concentration. Furthermore, energy-related and oxidative stress markers in mussels recovering for 28 days in the absence of Hg demonstrated no differences between mussels exposed to warming conditions (21 degrees C) and control temperature (17 degrees C), with a tendency to match control values (observed in mussels exposed the entire experiment to 17 degrees C in the absence of Hg), indicating that temperature has no influence on mussels' recovery capacity.</t>
  </si>
  <si>
    <t>[Coppola, Francesca; Soares, Amadeu M. V. M.; Figueira, Etelvina; Freitas, Rosa] Univ Aveiro, Dept Biol, Campus Univ Santiago, P-3810193 Aveiro, Portugal; [Coppola, Francesca; Henriques, Bruno; Soares, Amadeu M. V. M.; Figueira, Etelvina; Pereira, Eduarda; Freitas, Rosa] Univ Aveiro, CESAM, P-3810193 Aveiro, Portugal; [Henriques, Bruno; Pereira, Eduarda] Univ Aveiro, Dept Quim, P-3810193 Aveiro, Portugal; [Henriques, Bruno] Univ Porto, CIIMAR, P-4050123 Porto, Portugal</t>
  </si>
  <si>
    <t>Universidade de Aveiro; Universidade de Aveiro; Universidade de Aveiro; Universidade do Porto</t>
  </si>
  <si>
    <t>Pereira, Eduarda/A-5907-2012; Coppola, Francesca/U-8869-2018; Freitas, Rosa/A-7539-2012; Henriques, Bruno/B-6258-2017; Figueira, Etelvina/M-6116-2013; Soares, Amadeu/A-8304-2008</t>
  </si>
  <si>
    <t>Freitas, Rosa/0000-0003-4900-3897; Henriques, Bruno/0000-0002-6472-5479; Coppola, Francesca/0000-0002-7039-9630; Pereira, Eduarda/0000-0002-6046-5243; Figueira, Etelvina/0000-0002-6763-2665; Soares, Amadeu/0000-0003-0879-9470</t>
  </si>
  <si>
    <t>Programa Operational Capital Humano (POCH) e da Uniao Europeia; Integrated Programme of SR&amp;TD Smart Valorization of Endogenous Marine Biological Resources Under a Changing Climate [Centro-01-0145-FEDER-000018]; Centro 2020 program, European Union, through the European Regional Development Fund; CESAM [UID/AMB/50017]; CIIMAR [UID/Multi/04423/2013]; FCT/MEC; FEDER; Compete 2020; National Funds through the Portuguese Science Foundation (FCT) - FSE [SFRH/BPD/112576/2015, SFRH/BD/118582/2016]; Fundação para a Ciência e a Tecnologia [SFRH/BPD/112576/2015] Funding Source: FCT</t>
  </si>
  <si>
    <t>Programa Operational Capital Humano (POCH) e da Uniao Europeia; Integrated Programme of SR&amp;TD Smart Valorization of Endogenous Marine Biological Resources Under a Changing Climate; Centro 2020 program, European Union, through the European Regional Development Fund; CESAM; CIIMAR; FCT/MEC(Fundacao para a Ciencia e a Tecnologia (FCT)); FEDER(European Union (EU)Spanish Government); Compete 2020; National Funds through the Portuguese Science Foundation (FCT) - FSE(Fundacao para a Ciencia e a Tecnologia (FCT)); Fundação para a Ciência e a Tecnologia(Fundacao para a Ciencia e a Tecnologia (FCT))</t>
  </si>
  <si>
    <t>Bruno Henriques benefited from post-doc and Francesca Coppola benefited from PhD Grants (SFRH/BPD/112576/2015 and SFRH/BD/118582/2016 respectively) given by the National Funds through the Portuguese Science Foundation (FCT), supported by FSE and Programa Operational Capital Humano (POCH) e da Uniao Europeia. Rosa Freitas benefited from a research position funded by the Integrated Programme of SR&amp;TD Smart Valorization of Endogenous Marine Biological Resources Under a Changing Climate (reference Centro-01-0145-FEDER-000018), co-funded by Centro 2020 program, Portugal 2020, European Union, through the European Regional Development Fund. Thanks are also due, for the financial support to CESAM (UID/AMB/50017) and CIIMAR (UID/Multi/04423/2013), to FCT/MEC through national funds, and the co-funding by the FEDER, within the PT2020 Partnership Agreement and Compete 2020.</t>
  </si>
  <si>
    <t>10.1016/j.ecolind.2018.05.077</t>
  </si>
  <si>
    <t>http://dx.doi.org/10.1016/j.ecolind.2018.05.077</t>
  </si>
  <si>
    <t>HD6XC</t>
  </si>
  <si>
    <t>WOS:000452692600104</t>
  </si>
  <si>
    <t>Rumisha, C; Elskens, M; Leermakers, M; Kochzius, M</t>
  </si>
  <si>
    <t>Rumisha, Cyrus; Elskens, Marc; Leermakers, Martine; Kochzius, Marc</t>
  </si>
  <si>
    <t>Trace metal pollution and its influence on the community structure of soft bottom molluscs in intertidal areas of the Dar es Salaam coast, Tanzania</t>
  </si>
  <si>
    <t>Benthos; East Africa; Infauna; Heavy metals; Western Indian Ocean</t>
  </si>
  <si>
    <t>MANGROVE ECOSYSTEMS; BENTHIC MACROFAUNA; LITTORARIA-SCABRA; HEAVY-METALS; SEDIMENTS; ACCUMULATION; BAY; CONTAMINATION; GRADIENT</t>
  </si>
  <si>
    <t>The influence of trace metal pollution on the community structure of soft bottom molluscs was investigated in intertidal areas of the Dar es Salaam coast. Significant enrichment of As, Mn, Mo, Sb, and Zn in sediments was recorded. Redundancy analysis indicated that trace metal pollution contributed 68% of the variation in community structure. Monte Carlo permutation test showed that As and Sb contributed significantly to variation in species composition. T-value biplots and van Dobben circles showed that the gastropods Acteon fortis, Assiminea ovata, and Littoraria aberrans, were negatively affected by As and Sb, while the bivalve Semele radiata and the gastropod Conus litteratus were only negatively affected by As. Bioaccumulation of As, Cd, Cu, Mo and Zn occurred in the bivalve Mactra ovalina and the gastropod Polinices mammilla. This calls for regular monitoring and management measures. (C) 2011 Elsevier Ltd. All rights reserved.</t>
  </si>
  <si>
    <t>[Rumisha, Cyrus] Sokoine Univ Agr, Dept Biol Sci, POB 3038, Morogoro, Tanzania; [Rumisha, Cyrus; Elskens, Marc; Leermakers, Martine; Kochzius, Marc] Free Univ Brussels VUB, B-1050 Brussels, Belgium</t>
  </si>
  <si>
    <t>Sokoine University of Agriculture; Vrije Universiteit Brussel</t>
  </si>
  <si>
    <t>Rumisha, C (corresponding author), Sokoine Univ Agr, Dept Biol Sci, POB 3038, Morogoro, Tanzania.</t>
  </si>
  <si>
    <t>ckrumisha@yahoo.com</t>
  </si>
  <si>
    <t>Kochzius, Marc/AAN-3799-2021; Rumisha, Cyrus/V-6019-2019</t>
  </si>
  <si>
    <t>Rumisha, Cyrus/0000-0002-8240-7087; Kochzius, Marc/0000-0001-8953-4719; Elskens, Marc/0000-0002-8862-9422</t>
  </si>
  <si>
    <t>Vlaamse Interuniversitaire Raad University Development Cooperation (VLIR-UOS); Free University of Brussels</t>
  </si>
  <si>
    <t>This work was funded by the Vlaamse Interuniversitaire Raad University Development Cooperation (VLIR-UOS). We would like to thank Leen Rymenans, Tim Sierens and other colleagues from the laboratories for Analytical and Environmental Chemistry and Plant Biology and Nature Management (APNA) of the Free University of Brussels (VUB) for their support.</t>
  </si>
  <si>
    <t>10.1016/j.marpolbul.2011.12.025</t>
  </si>
  <si>
    <t>http://dx.doi.org/10.1016/j.marpolbul.2011.12.025</t>
  </si>
  <si>
    <t>913KD</t>
  </si>
  <si>
    <t>WOS:000301875600021</t>
  </si>
  <si>
    <t>Gedik, K; Ozturk, RC</t>
  </si>
  <si>
    <t>Gedik, Kenan; Ozturk, Rafet Cagri</t>
  </si>
  <si>
    <t>Health risk perspectives of metal(loid) exposure via consumption of striped venus clam (Chamelea gallina Linnaeus, 1758)</t>
  </si>
  <si>
    <t>heavy metal; metalloid; target hazard quotient; hazard index; biomonitoring</t>
  </si>
  <si>
    <t>MUSSELS MYTILUS-GALLOPROVINCIALIS; EASTERN BLACK-SEA; METAL CONCENTRATIONS; HEAVY-METALS; ATLANTIC COAST; SEDIMENTS</t>
  </si>
  <si>
    <t>The metal(loid)s are mainly transported to the Black Sea via rivers and affect the coastal area where fisheries are intensive. Chamelea gallina (striped venus clam) is the most abundant mollusk species in the Black Sea and used as a bioindicator for monitoring of metal(loid) pollution. In this respect, the concentrations of As, Cd, Cr, Cu, Pb, and Zn in C. gallina collected from 16 different locations along the Black Sea coast (Turkey, Bulgaria, and Russia) were determined and evaluated for the potential human health risk. The results obtained were found to be below the maximum permissible limits indicated in the food safety guidelines. Similarly, the analyzed metal(loid)s did not pose a potential hazard to humans for consumption of the C. gallina, regarding provisional tolerable weekly intake described by the Joint FAO/WHO Expert Committee on Food Additives (JECFA). Moreover, target hazard quotient and hazard index were found to be lower than 1 for not only average consumer but also the consumer who consumed a portion (160 g) once a week. In contrast, consumption of C. gallina could cause health risks for Cd and As in case of increasing portion sizes.</t>
  </si>
  <si>
    <t>[Gedik, Kenan] Recep Tayyip Erdogan Univ, Vocat Sch Tech Sci, TR-53100 Rize, Turkey; [Ozturk, Rafet Cagri] Karadeniz Tech Univ, Dept Fisheries Technol Engn, Trabzon, Turkey</t>
  </si>
  <si>
    <t>Recep Tayyip Erdogan University; Karadeniz Technical University</t>
  </si>
  <si>
    <t>Gedik, K (corresponding author), Recep Tayyip Erdogan Univ, Vocat Sch Tech Sci, TR-53100 Rize, Turkey.</t>
  </si>
  <si>
    <t>OZTURK, Rafet/Q-4121-2019; Gedik, Kenan/HKE-2278-2023</t>
  </si>
  <si>
    <t>Gedik, Kenan/0000-0001-8244-6935; OZTURK, Rafet Cagri/0000-0003-1785-4056</t>
  </si>
  <si>
    <t>Karadeniz Technical University, Research Project fund [FBA-2017-5635]</t>
  </si>
  <si>
    <t>Karadeniz Technical University, Research Project fund</t>
  </si>
  <si>
    <t>The Chamelea gallina samples used in the present work were provided from the project supported by the Karadeniz Technical University, Research Project fund (Project No. FBA-2017-5635).</t>
  </si>
  <si>
    <t>10.1080/10807039.2018.1460802</t>
  </si>
  <si>
    <t>http://dx.doi.org/10.1080/10807039.2018.1460802</t>
  </si>
  <si>
    <t>IH4XD</t>
  </si>
  <si>
    <t>WOS:000474494500007</t>
  </si>
  <si>
    <t>Chen, WQ; Wang, WX; Tan, QG</t>
  </si>
  <si>
    <t>Chen, Wen-Qian; Wang, Wen-Xiong; Tan, Qiao-Guo</t>
  </si>
  <si>
    <t>Revealing the complex effects of salinity on copper toxicity in an estuarine clam Potamocorbula laevis with a toxicokinetic-toxicodynamic model</t>
  </si>
  <si>
    <t>Toxicokinetics; Toxicodynamics; Cu; Salinity; Biotic ligand model</t>
  </si>
  <si>
    <t>BIOTIC LIGAND MODEL; DISSOLVED ORGANIC-CARBON; MUSSEL MYTILUS-EDULIS; DAPHNIA-MAGNA; PERNA-VIRIDIS; TRACE-METALS; ACCUMULATION; BIOAVAILABILITY; TEMPERATURE; SPECIATION</t>
  </si>
  <si>
    <t>The effects of salinity on metal toxicity are complex: not only affecting metal bioaccumulation, but also altering the physiology and sensitivity of organisms. In this study, we used a toxicokinetic-toxicodynamic (TIC TD)model to separate and quantify the dual effects of salinity on copper (Cu) toxicity in a euryhaline clam Potamocorbula laevis. The toxicokinetics of Cu was determined using the stable isotope Cu-65 as a tracer at concentrations (10-500 g L-1) realistic to contaminated environments and at salinities ranging from 5 to 30. At low Cu concentrations (ca. 10 mu g L-1), Cu bioaccumulation decreased monotonically with salinity, and the uptake rate constant (k(u), 0.546 L g(-1) h(-1) to 0.213 L g(-1) h(-1)) fitted well with an empirical equation, ku = 1/(1.35 + 0.116.Salinity), by treating salinity as a pseudo-competitor. The median lethal concentrations (LC(50)s) of Cu were 269, 224, and 192 mu g L-1 at salinity 5, 15, and 30, respectively. At high Cu concentrations (ca. 500 mu g L-1), elevating salinity were much less effective in decreasing Cu bioaccumulation; whereas Cu toxicity increased with salinity. The increased toxicity could be explained by the increases in Cu killing rates (k(k)s), which were estimated to be 0.44-2.08 mg g(-1) h(-1) and were presumably due to the osmotic stress caused by the deviation from the optimal salinity of the clams. The other toxicodynamic parameter, internal threshold concentration (Cu), ranged from 79 to 133 mu g(-1) g(-1) and showed no clear trend with salinity. (C) 2016 Elsevier Ltd. All rights reserved.</t>
  </si>
  <si>
    <t>[Chen, Wen-Qian; Wang, Wen-Xiong; Tan, Qiao-Guo] Xiamen Univ, Coll Environm &amp; Ecol, Key Lab Coastal &amp; Wetland Ecosyst, Minist Educ, Xiamen 361102, Fujian, Peoples R China; [Wang, Wen-Xiong; Tan, Qiao-Guo] Xiamen Univ, Ctr Marine Environm Chem &amp; Toxicol, Xiamen 361102, Fujian, Peoples R China; [Wang, Wen-Xiong] Hong Kong Univ Sci &amp; Technol, Div Life Sci, Clearwater Bay, Kowloon, Hong Kong, Peoples R China</t>
  </si>
  <si>
    <t>Xiamen University; Xiamen University; Hong Kong University of Science &amp; Technology</t>
  </si>
  <si>
    <t>Tan, QG (corresponding author), Xiamen Univ, Coll Environm &amp; Ecol, Key Lab Coastal &amp; Wetland Ecosyst, Minist Educ, Xiamen 361102, Fujian, Peoples R China.</t>
  </si>
  <si>
    <t>Wang, Wenxiong/E-7254-2011; Tan, Qiao-Guo/B-8688-2009</t>
  </si>
  <si>
    <t>Wang, Wenxiong/0000-0001-9033-0158; Tan, Qiao-Guo/0000-0001-9692-6622</t>
  </si>
  <si>
    <t>National Natural Science Foundation of China [21477099, 21237004]</t>
  </si>
  <si>
    <t>This study was financially supported by the National Natural Science Foundation of China (21477099, 21237004). We would like to thank Dr. Fengjie Liu and the three anonymous reviewers for constructive comments, Dr. Roman Ashauer for his help in programming the toxicodynamic model, and Miss Xing Chen (Aizen) for illustrating the clams in the graphical abstract.</t>
  </si>
  <si>
    <t>10.1016/j.envpol.2016.12.033</t>
  </si>
  <si>
    <t>http://dx.doi.org/10.1016/j.envpol.2016.12.033</t>
  </si>
  <si>
    <t>EM5OJ</t>
  </si>
  <si>
    <t>WOS:000395360900039</t>
  </si>
  <si>
    <t>MANLY, R; GEORGE, WO</t>
  </si>
  <si>
    <t>OCCURRENCE OF SOME HEAVY-METALS IN POPULATIONS OF FRESHWATER MUSSEL ANODONTA-ANATINA (L) FROM RIVER THAMES</t>
  </si>
  <si>
    <t>A survey was conducted to measure the existing levels of Zn, Ni, Pb, Cd, Cu and Hg in populations of the freshwater mussel A. anatina from 3 urban and 4 rural localities along the River Thames [Great Britain]. The apparent influence of urban sewage outfalls was reflected by the relatively higher concentrations of Zn, Ni, Pb and Cd in mussels from the former areas; those of Cu and Hg, metals which have more diffuse inputs, showed no such relationship. The maximal concentrations recorded for all metals exceeded those previously observed in Anodonta spp. and many marine lamellibranchs from the British Isles. Considerable differences were observed in the concentrations of all metals in mussels from the same locality, particularly among the immature individuals. Except for Ni, these were variously correlated with the dry body weight of mussels in the more highly contaminated populations. None of the metals was evenly distributed throughout the tissues of mussels, and generally the mantle, ctenidia and kidneys contained the highest concentrations. An initial evaluation is made of the potential of the species as an indicator organism.</t>
  </si>
  <si>
    <t>KINGSTON POLYTECH, SCH CHEM &amp; PHYS SCI, KINGSTON UPON THAMES KT1 2EE, SURREY, ENGLAND</t>
  </si>
  <si>
    <t>10.1016/0013-9327(77)90106-9</t>
  </si>
  <si>
    <t>http://dx.doi.org/10.1016/0013-9327(77)90106-9</t>
  </si>
  <si>
    <t>EE987</t>
  </si>
  <si>
    <t>WOS:A1977EE98700007</t>
  </si>
  <si>
    <t>Verlecar, XN; Jena, KB; Chainy, GBN</t>
  </si>
  <si>
    <t>Verlecar, X. N.; Jena, K. B.; Chainy, G. B. N.</t>
  </si>
  <si>
    <t>Biochemical markers of oxidative stress in Perna viridis exposed to mercury and temperature</t>
  </si>
  <si>
    <t>CHEMICO-BIOLOGICAL INTERACTIONS</t>
  </si>
  <si>
    <t>temperature; lipid peroxidation; Perna viridis; antioxidant enzymes; reduced glutathione</t>
  </si>
  <si>
    <t>CATFISH HETEROPNEUSTES-FOSSILIS; LIPID-PEROXIDATION; GLUTATHIONE-PEROXIDASE; ANTIOXIDANT ENZYMES; MUSSEL; TISSUES; BIOMARKERS; POLLUTION; CADMIUM; ASSAY</t>
  </si>
  <si>
    <t>Oxidative damage and antioxidant properties have been studied in Perna viridis subjected to short-term exposure to Hg along with temperature (72 h) and long-term temperature exposures (14 days) as pollution biomarkers. The elevated thiobarbituric acid reactive substances (TBA-RS) levels observed in gills and digestive gland under exposure to Hg, individually and combined with temperature. as also long-term temperature stress have been assigned to the oxidative damage resulting in lipid peroxidation (LPX). Increased activities of antioxidants such as superoxide dismutase (SOD), catalase (CAT), glutathione peroxidase (GPX), glutathione reductase (GR) and glutathione-S-transferase (GST) both in gills and digestive glands under long-term exposures to temperatures are more prominent to heat rather than cold stress suggesting activation of physiological mechanism to scavenge the ROS produced during heat stress. Also decreased values of reduced glutathione (GSH) on long exposures to temperature stress indicate utilisation of this antioxidant, either to scavenge oxiradicals or act in combination with other enzymes, was more than its production capacity under heat stress. The results suggest that temperature variation does alter the active oxygen metabolism by modulating antioxidant enzyme activities, which can be used as biomarker to detect sublethal effects of pollution. (C) 2007 Elsevier Ireland Ltd. All rights reserved.</t>
  </si>
  <si>
    <t>Natl Inst Oceanog, Div Biol Oceanog, Panaji 403004, Goa, India; Utkal Univ, Dept Zool &amp; Biotechnol, Bhubaneswar 751004, Orissa, India</t>
  </si>
  <si>
    <t>Council of Scientific &amp; Industrial Research (CSIR) - India; CSIR - National Institute of Oceanography (NIO); Utkal University</t>
  </si>
  <si>
    <t>Verlecar, XN (corresponding author), Natl Inst Oceanog, Div Biol Oceanog, Panaji 403004, Goa, India.</t>
  </si>
  <si>
    <t>verlecar@nio.org</t>
  </si>
  <si>
    <t>jena, Karmabeer/AAY-9545-2020</t>
  </si>
  <si>
    <t>Chainy, Gagan/0000-0002-6418-0480</t>
  </si>
  <si>
    <t>ELSEVIER IRELAND LTD</t>
  </si>
  <si>
    <t>ELSEVIER HOUSE, BROOKVALE PLAZA, EAST PARK SHANNON, CO, CLARE, 00000, IRELAND</t>
  </si>
  <si>
    <t>0009-2797</t>
  </si>
  <si>
    <t>1872-7786</t>
  </si>
  <si>
    <t>CHEM-BIOL INTERACT</t>
  </si>
  <si>
    <t>Chem.-Biol. Interact.</t>
  </si>
  <si>
    <t>10.1016/j.cbi.2007.01.018</t>
  </si>
  <si>
    <t>http://dx.doi.org/10.1016/j.cbi.2007.01.018</t>
  </si>
  <si>
    <t>Biochemistry &amp; Molecular Biology; Pharmacology &amp; Pharmacy; Toxicology</t>
  </si>
  <si>
    <t>168FW</t>
  </si>
  <si>
    <t>WOS:000246509700006</t>
  </si>
  <si>
    <t>Qu, CK; Liu, SB; Tang, ZR; Li, JJ; Liao, Z; Qi, PZ</t>
  </si>
  <si>
    <t>Qu, Chengkai; Liu, Shuobo; Tang, Zurong; Li, Jiji; Liao, Zhi; Qi, Pengzhi</t>
  </si>
  <si>
    <t>Response of a novel selenium-dependent glutathione peroxidase from thick shell mussel Mytilus coruscus exposed to lipopolysaccharide, copper and benzo[α]pyrene</t>
  </si>
  <si>
    <t>Mytilus coruscus; Selenium-dependent glutathione peroxidase; Environmental stressor; Enzyme activity</t>
  </si>
  <si>
    <t>MARINE ENVIRONMENTAL-POLLUTION; S-TRANSFERASE; ANTIOXIDANT RESPONSES; OXIDATIVE STRESS; MOLECULAR BIOMARKERS; GENE-EXPRESSION; DIGESTIVE GLAND; FREE-RADICALS; DNA-DAMAGE; IN-VITRO</t>
  </si>
  <si>
    <t>Glutathione peroxidase (GPx) plays an important antioxidant role in cellular defense against environmental stress. In the present study, a novel selenium-dependent glutathione peroxidase termed McSeGPx firstly identified in thick shell mussel Mytilus coruscus. McSeGPx consists of 197 amino acid residues, characterized with one selenocysteine residue encoded by an opal stop codon TGA, one selenocysteine insertion sequence (SECIS) in the 3' untranslated region (UTR), two active site motifs and one signature sequence motif. McSeGPx transcripts were constitutively expressed in all examined tissues, and were significantly induced in gills and digestive glands with the stimulations of lipopolysaccharide (LPS), copper (Cu) and benzo[alpha]pyrene (B[alpha]P). Additionally, rough increases in McSeGPx activity were detected in both tissues under the challenge of LPS, Cu and B[alpha]P. Collectively, these results suggested that McSeGPx affiliate to selenocysteine dependent GPx (SeGPx) family and might play an important role in mediating the environmental stressors and antioxidant response in M. coruscus.</t>
  </si>
  <si>
    <t>[Qu, Chengkai] Northwest Univ, Coll Urban &amp; Environm Sci, Shaanxi Key Lab Earth Surface Syst &amp; Environm Car, Xian 710127, Shaanxi, Peoples R China; [Liu, Shuobo; Tang, Zurong; Li, Jiji; Liao, Zhi; Qi, Pengzhi] Zhejiang Ocean Univ, Marine Sci &amp; Technol Coll, Natl Engn Res Ctr Marine Facil Aquaculture, Zhoushan 316004, Zhejiang, Peoples R China</t>
  </si>
  <si>
    <t>Northwest University Xi'an; Chinese Academy of Sciences; Zhejiang Ocean University</t>
  </si>
  <si>
    <t>Qi, PZ (corresponding author), Zhejiang Ocean Univ, Marine Sci &amp; Technol Coll, Natl Engn Res Ctr Marine Facil Aquaculture, Zhoushan 316004, Zhejiang, Peoples R China.</t>
  </si>
  <si>
    <t>qipengzhi@zjou.edu.cn</t>
  </si>
  <si>
    <t>Qu, Chengkai/P-1239-2019; Li, Jiji/AAA-1042-2022</t>
  </si>
  <si>
    <t>Qi, Pengzhi/0000-0001-8037-2899</t>
  </si>
  <si>
    <t>Natural Science Foundation of China [31671009]; Zhejiang public welfare project [2017C32009]; Special Fund for the Key Research and Development Project of Zhejiang Province [2019C02056]; NSFC-Zhejiang Joint Fund for the Integration of Industrialization and Informatization [U1609204]</t>
  </si>
  <si>
    <t>Natural Science Foundation of China(National Natural Science Foundation of China (NSFC)); Zhejiang public welfare project; Special Fund for the Key Research and Development Project of Zhejiang Province; NSFC-Zhejiang Joint Fund for the Integration of Industrialization and Informatization</t>
  </si>
  <si>
    <t>This research was supported by the Natural Science Foundation of China (31671009), Zhejiang public welfare project (2017C32009), the Special Fund for the Key Research and Development Project of Zhejiang Province (2019C02056) and NSFC-Zhejiang Joint Fund for the Integration of Industrialization and Informatization (U1609204).</t>
  </si>
  <si>
    <t>10.1016/j.fsi.2019.04.028</t>
  </si>
  <si>
    <t>http://dx.doi.org/10.1016/j.fsi.2019.04.028</t>
  </si>
  <si>
    <t>IA9SS</t>
  </si>
  <si>
    <t>WOS:000469897700066</t>
  </si>
  <si>
    <t>Parameters of extrapallial fluid of bivalves as nonspecific biomarkers of short-term environmental pollution</t>
  </si>
  <si>
    <t>MUSSEL MYTILUS-EDULIS; CHAMELEA-GALLINA; HEMOCYTES; CADMIUM; INVERTEBRATES; CLAM; GALLOPROVINCIALIS; FUNCTIONALITY; PHAGOCYTOSIS; DISTURBANCE</t>
  </si>
  <si>
    <t>Concentrations of haemocytes, the ATP content in them, and the histological features of bivalves were studied under an experimental acute impact of diesel fuel and cadmium chloride, including three weeks after the displacement of the animals into pure water. To conduct the experiment, three species of Black-Sea bivalves (Anadara inaequivalvis, Mytilis galloprovincialis, and Chamelea gallina) collected in the Black Sea during cruise 79 of R/V Akvanavt in May 2005 were used. The experiments performed allow one to conclude that the impact of cadmium chloride at a concentration of 2 mg/l and of diesel fuel at a concentration of 2 ml/l for 36 hours causes an induction of biochemical and cytological antistress mechanisms in the mollusk organisms. The effect of this impact remains for three weeks. The parameters of the Anadara haemolymph studied, the content and percentage of erythrocytes, and the ATP concentration in the haemocytes may be used as biomarkers of nonspecific environmental pollution. The usage of the Chamelea and Mytilis haemolymph parameters for biotests requires further studies.</t>
  </si>
  <si>
    <t>Russian Acad Sci, PP Shirshov Oceanol Inst, Moscow, Russia; Moscow MV Lomonosov State Univ, Fac Biol, Moscow, Russia</t>
  </si>
  <si>
    <t>10.1134/S0001437007020087</t>
  </si>
  <si>
    <t>http://dx.doi.org/10.1134/S0001437007020087</t>
  </si>
  <si>
    <t>166DZ</t>
  </si>
  <si>
    <t>WOS:000246359300008</t>
  </si>
  <si>
    <t>LOBEL, P</t>
  </si>
  <si>
    <t>ZINC IN MUSSELS FROM AN IRON PIPE</t>
  </si>
  <si>
    <t>UNIV NEWCASTLE UPON TYNE, DOVE MARINE LAB, NEWCASTLE UPON TYNE NE1 7RU, TYNE &amp; WEAR, ENGLAND</t>
  </si>
  <si>
    <t>Newcastle University - UK</t>
  </si>
  <si>
    <t>10.1016/0025-326X(81)90158-2</t>
  </si>
  <si>
    <t>http://dx.doi.org/10.1016/0025-326X(81)90158-2</t>
  </si>
  <si>
    <t>MY483</t>
  </si>
  <si>
    <t>WOS:A1981MY48300007</t>
  </si>
  <si>
    <t>Xu, NN; Li, XM; Li, HR; Wei, YN; Qiao, JL</t>
  </si>
  <si>
    <t>Xu, Nengneng; Li, Xuemei; Li, Haoran; Wei, Yanan; Qiao, Jinli</t>
  </si>
  <si>
    <t>A novel composite (FMC) to serve as a durable 3D-clam-shaped bifunctional cathode catalyst for both primary and rechargeable zinc-air batteries</t>
  </si>
  <si>
    <t>SCIENCE BULLETIN</t>
  </si>
  <si>
    <t>Bifunctional composite catalysts; ORR and OER; Rechargeable ZABs; Specific capacity; Long durability</t>
  </si>
  <si>
    <t>NITROGEN-DOPED GRAPHENE; OXYGEN REDUCTION ELECTROCATALYSTS; WATER-OXIDATION CATALYSIS; CARBON NANOTUBES; PEROVSKITE OXIDE; HIGHLY EFFICIENT; LOW-COST; NANOPARTICLES; EVOLUTION; HYBRID</t>
  </si>
  <si>
    <t>Novel and highly durable air cathode electrocatalyst with three dimensional (3D)-clam-shaped structure, MnO2 nanotubes-supported Fe2O3 (Fe2O3/MnO2) composited by carbon nanotubes (CNTs) ((Fe2O3/MnO2)(3/4)-(CNTs)(1/4)) is synthesized using a facile hydrothermal process and a following direct heattreatment in the air. The morphology and composition of this catalyst are analyzed using scanning electronic microscopy (SEM), transmission electron microscopy (TEM), X-ray diffraction (XRD) and energy dispersive X-ray spectroscopy (EDX). The morphology characteristics reveal that flower-like Fe2O3 particles are highly dispersed on both MnO2 nanotubes and CNT surfaces, coupling all three components firmly. Electrochemical measurements indicate that the synergy of catalyst exhibit superior bifunctional catalytic activity for both oxygen reduction reaction (ORR) and oxygen evolution reaction (OER) as well as stability than Pt/C and IrO2 catalysts. Using these catalysts for air-cathodes, both primary and rechargeable zinc-air batteries (ZABs) are assembled for performance validation. In a primary ZAB, this 3D-clamed catalyst shows a decent open circuit voltage (OCV, similar to 1.48 V) and a high discharge peak power density (349 mW cm(-2)), corresponding to a coulombic efficiency of 92%. In a rechargeable ZABs with this bifunctional catalyst, high OCV (&gt; 1.3 V) and small charge-discharge voltage gap (&lt; 1.1 V) are achieved along with high specific capacity (780 mAh g(-1) at 30 mA cm(-2)) and robust cycle-life (1,390 cycles at cycle profile of 20 mA/10 min). (C) 2017 Science China Press. Published by Elsevier B.V. and Science China Press. All rights reserved.</t>
  </si>
  <si>
    <t>[Xu, Nengneng; Li, Xuemei; Li, Haoran; Wei, Yanan; Qiao, Jinli] Donghua Univ, State Key Lab Modificat Chem Fibers &amp; Polymer Mat, State Environm Protect Engn Ctr Pollut Treatment, Coll Environm Sci &amp; Engn, Shanghai 201620, Peoples R China</t>
  </si>
  <si>
    <t>Donghua University</t>
  </si>
  <si>
    <t>Qiao, JL (corresponding author), Donghua Univ, State Key Lab Modificat Chem Fibers &amp; Polymer Mat, State Environm Protect Engn Ctr Pollut Treatment, Coll Environm Sci &amp; Engn, Shanghai 201620, Peoples R China.</t>
  </si>
  <si>
    <t>qiaojl@dhu.edu.cn</t>
  </si>
  <si>
    <t>Li, Haoran/AFM-0740-2022; zhu, zhu/JDN-0159-2023</t>
  </si>
  <si>
    <t>National Natural Science Foundation of China [U1510120]; Natural Science Foundation of Shanghai [14ZR1400700]; Project of Introducing Overseas Intelligence High Education of China; Graduate Thesis Innovation Foundation of Donghua University [EG2017031, EG2016034]; College of Environmental Science and Engineering, State Environmental Protection Engineering Centre for Pollution Treatment and Control in Textile Industry, Donghua University</t>
  </si>
  <si>
    <t>National Natural Science Foundation of China(National Natural Science Foundation of China (NSFC)); Natural Science Foundation of Shanghai(Natural Science Foundation of Shanghai); Project of Introducing Overseas Intelligence High Education of China; Graduate Thesis Innovation Foundation of Donghua University; College of Environmental Science and Engineering, State Environmental Protection Engineering Centre for Pollution Treatment and Control in Textile Industry, Donghua University</t>
  </si>
  <si>
    <t>This work was supported by the National Natural Science Foundation of China (U1510120), Natural Science Foundation of Shanghai (14ZR1400700), the Project of Introducing Overseas Intelligence High Education of China (2017-2018), the Graduate Thesis Innovation Foundation of Donghua University (EG2017031, EG2016034), and the College of Environmental Science and Engineering, State Environmental Protection Engineering Centre for Pollution Treatment and Control in Textile Industry, Donghua University.</t>
  </si>
  <si>
    <t>2095-9273</t>
  </si>
  <si>
    <t>2095-9281</t>
  </si>
  <si>
    <t>SCI BULL</t>
  </si>
  <si>
    <t>Sci. Bull.</t>
  </si>
  <si>
    <t>10.1016/j.scib.2017.08.006</t>
  </si>
  <si>
    <t>http://dx.doi.org/10.1016/j.scib.2017.08.006</t>
  </si>
  <si>
    <t>FH2QZ</t>
  </si>
  <si>
    <t>WOS:000410987600013</t>
  </si>
  <si>
    <t>Lee, BG; Griscom, SB; Lee, JS; Choi, HJ; Koh, CH; Luoma, SN; Fisher, NS</t>
  </si>
  <si>
    <t>Influences of dietary uptake and reactive sulfides on metal bioavailability from aquatic sediments</t>
  </si>
  <si>
    <t>SCIENCE</t>
  </si>
  <si>
    <t>ACID-VOLATILE SULFIDE; POTAMOCORBULA-AMURENSIS; MARINE BIVALVES; ASSIMILATION; TOXICITY; ENVIRONMENTS; CADMIUM; MODEL</t>
  </si>
  <si>
    <t>Understanding how animals are exposed to the Large repository of metal pollutants in aquatic sediments is complicated and is important in regulatory decisions. Experiments with four types of invertebrates showed that feeding behavior and dietary uptake control bioaccumulation of cadmium, silver, nickel, and zinc. Metal concentrations in animal tissue correlated with metal concentrations extracted from sediments, but not with metal in porewater, across a range of reactive sulfide concentrations, from 0.5 to 30 micromoles per gram. These results contradict the notion that metal bioavailability in sediments is controlled by geochemical equilibration of metals between porewater and reactive sulfides, a proposed basis for regulatory criteria for metals.</t>
  </si>
  <si>
    <t>US Geol Survey, Div Water Resources, Menlo Pk, CA 94025 USA; SUNY Stony Brook, Marine Sci Res Ctr, Stony Brook, NY 11794 USA; Seoul Natl Univ, Dept Oceanog, Seoul 151742, South Korea</t>
  </si>
  <si>
    <t>United States Department of the Interior; United States Geological Survey; State University of New York (SUNY) System; State University of New York (SUNY) Stony Brook; Seoul National University (SNU)</t>
  </si>
  <si>
    <t>Lee, BG (corresponding author), US Geol Survey, Div Water Resources, Mail Stop 465,345 Middlefield Rd, Menlo Pk, CA 94025 USA.</t>
  </si>
  <si>
    <t>bglee@usgs.gov</t>
  </si>
  <si>
    <t>AMER ASSOC ADVANCEMENT SCIENCE</t>
  </si>
  <si>
    <t>1200 NEW YORK AVE, NW, WASHINGTON, DC 20005 USA</t>
  </si>
  <si>
    <t>0036-8075</t>
  </si>
  <si>
    <t>1095-9203</t>
  </si>
  <si>
    <t>Science</t>
  </si>
  <si>
    <t>JAN 14</t>
  </si>
  <si>
    <t>10.1126/science.287.5451.282</t>
  </si>
  <si>
    <t>http://dx.doi.org/10.1126/science.287.5451.282</t>
  </si>
  <si>
    <t>274ML</t>
  </si>
  <si>
    <t>WOS:000084769600032</t>
  </si>
  <si>
    <t>Masiá, P; Ardura, A; García-Vázquez, E</t>
  </si>
  <si>
    <t>Masia, Paula; Ardura, Alba; Garcia-Vazquez, Eva</t>
  </si>
  <si>
    <t>Virgin Polystyrene Microparticles Exposure Leads to Changes in Gills DNA and Physical Condition in the Mediterranean Mussel Mytilus Galloprovincialis</t>
  </si>
  <si>
    <t>condition index; DNA degradation; marine biota; microplastics; marine conservation</t>
  </si>
  <si>
    <t>MICROPLASTIC INGESTION; GEL-ELECTROPHORESIS; COMET ASSAY; PLASTICS; DAMAGE; BIOAVAILABILITY; ORGANISMS; TRANSPORT; CHEMICALS; IMPACTS</t>
  </si>
  <si>
    <t>Simple Summary Microplastic pollution is damaging ecosystems and marine organisms worldwide, and, as this problem is becoming greater, the fate of these marine organisms should be studied. In this study, the physical condition and the DNA integrity of gills of Mediterranean mussels (Mytilus galloprovincialis) have been studied under four microplastic concentrations for 21 days. A worse physical status was shown at the end of the experiment when exposed to highest concentrations; however, DNA damage was higher when exposed to lower concentrations. These results prove that mussels can be affected by direct exposure even at a low microplastic concentration due to their filter-feeding behavior, making them more vulnerable to this type of pollution. The ever-growing concentration of microplastics in the marine environment is leading to a plethora of questions regarding marine organisms' present and future health status. In this article, the Mediterranean mussel (Mytilus galloprovincialis), a commercial species distributed worldwide, has been exposed to 21 daily doses of polystyrene microparticles (10 mu m) at four different concentrations that are environmentally realistic (control: no microplastics, C1: 0.02 mg/L, C2: 0.2 mg/L, and C3: 2 mg/L). The physical status through the condition index, and damages in DNA integrity in gills, through DNA fragmentation, were determined. Results showed a minor effect on DNA integrity but a worse physical status at higher doses. Results could be interpreted as a decrease in mussel feeding activity/filtration rates when exposed to high microplastic concentrations, thus reducing the direct exposure to microplastics in gills. These effects could be happening currently and/or may happen in the near future, threatening populations inhabiting microplastics-polluted environments.</t>
  </si>
  <si>
    <t>[Masia, Paula; Ardura, Alba; Garcia-Vazquez, Eva] Univ Oviedo, Fac Med, Dept Funct Biol, C Julian Claveria S-N, Oviedo 33006, Spain</t>
  </si>
  <si>
    <t>University of Oviedo</t>
  </si>
  <si>
    <t>Masiá, P (corresponding author), Univ Oviedo, Fac Med, Dept Funct Biol, C Julian Claveria S-N, Oviedo 33006, Spain.</t>
  </si>
  <si>
    <t>masialillo.paula@gmail.com; arduraalba@uniovi.es; egv@uniovi.es</t>
  </si>
  <si>
    <t>masia, paula/GRE-8444-2022; Garcia-Vazquez, Eva/Y-7293-2019; Ardura, ba/B-3355-2019</t>
  </si>
  <si>
    <t>Ardura Gutierrez, Alba/0000-0003-2598-6534; MASIA LILLO, PAULA/0000-0002-7471-2962; Garcia-Vazquez, Eva/0000-0002-8429-838X</t>
  </si>
  <si>
    <t>Spanish Ministry of Science and Innovation [GLOBALHAKE PID2019-108347RB-I00]</t>
  </si>
  <si>
    <t>Spanish Ministry of Science and Innovation(Spanish Government)</t>
  </si>
  <si>
    <t>This study has been funded from the Spanish Ministry of Science and Innovation, Grant GLOBALHAKE PID2019-108347RB-I00.</t>
  </si>
  <si>
    <t>10.3390/ani11082317</t>
  </si>
  <si>
    <t>http://dx.doi.org/10.3390/ani11082317</t>
  </si>
  <si>
    <t>UF5WW</t>
  </si>
  <si>
    <t>WOS:000688645100001</t>
  </si>
  <si>
    <t>Fernández-Calviño, D; Garrido-Rodríguez, B; Cutillas-Barreiro, L; Araújo-Nespereira, P; Arias-Estévez, M; Fernández-Sanjurjo, MJ; Alvarez-Rodríguez, E; Núñez-Delgado, A</t>
  </si>
  <si>
    <t>Fernandez-Calvino, David; Garrido-Rodriguez, Beatriz; Cutillas-Barreiro, Laura; Araujo-Nespereira, Pedro; Arias-Estevez, Manuel; Fernandez-Sanjurjo, Maria J.; Alvarez-Rodriguez, Esperanza; Nunez-Delgado, Avelino</t>
  </si>
  <si>
    <t>Influence of mussel shell on As and Cr competitive and non-competitive sorption-desorption kinetics in a mine soil: stirred flow chamber experiments</t>
  </si>
  <si>
    <t>GEODERMA</t>
  </si>
  <si>
    <t>Arsenic retention; Chromium retention; Mine soil; Shell of mollusk</t>
  </si>
  <si>
    <t>ARSENATE ADSORPTION; BY-PRODUCTS; REMOVAL; CHROMIUM; EQUILIBRIUM; RETENTION; COPPER; WASTE; IRON; CONTAMINATION</t>
  </si>
  <si>
    <t>Objective: The objective of this work was to study the effects of amending a pyrite-derived mine soil with mussel shell (MS) on As and Cr adsorption/desorption. Methods: The methodological approach consisted in using stirred flow chamber experiments to elucidate competitive and non-competitive As and Cr adsorption/desorption kinetics, both in un-amended and MS-amended mine soil samples. Results: The results of the experiments indicate that, in non-competitive trials, the MS amendment caused no effect on Cr adsorption, but increased As adsorption, which would be due to the formation of Ca-mediated cationic bridges between As and functional groups present in the negatively-charged soil colloids; whereas, in competitive trials, the MS amendment caused an increase in adsorption for both As and Cr. Additionally, desorption was low for both amended and non-amended soil, showing curves that correspond to fast and slow binding sites, thus differing from adsorption, which were characterized by presenting one-slope curves. Conclusion: In conclusion, MS amendment could be used to increase As and Cr adsorption when both pollutants are present in pyrite-derived mine soils, or to increase As adsorption when this element is present in the mine soil in the absence of Cr, but the MS amendment could not give further Cr adsorption in this medium when As is not present. Practice: These conclusions could be made effective in pyrite-derived mine soil environments. Implication: The achievements of this study could be useful to diminish As and Cr pollution in these environments. (C) 2014 Elsevier B.V. All rights reserved.</t>
  </si>
  <si>
    <t>[Fernandez-Calvino, David] Univ Copenhagen, Dept Plant &amp; Environm Sci, Frederiksberg, Denmark; [Garrido-Rodriguez, Beatriz; Cutillas-Barreiro, Laura; Arias-Estevez, Manuel] Univ Vigo, Fac Ciencias, Dept Biol Vexetal &amp; Ciencia Solo, Area Edafol &amp; Quim Agr, Orense 32004, Spain; [Fernandez-Sanjurjo, Maria J.; Alvarez-Rodriguez, Esperanza; Nunez-Delgado, Avelino] Univ Santiago de Compostela, Escola Politecn Super, Dept Edafol &amp; Quim Agr, Lugo 27002, Spain; [Araujo-Nespereira, Pedro] Univ Vigo, Fac Ciencias, Grp Geotecnia &amp; Hidrogeol, Orense 32004, Spain</t>
  </si>
  <si>
    <t>University of Copenhagen; Universidade de Vigo; Universidade de Santiago de Compostela; Universidade de Vigo</t>
  </si>
  <si>
    <t>Arias-Estévez, M (corresponding author), Univ Vigo, Fac Ciencias, Dept Biol Vexetal &amp; Ciencia Solo, Area Edafol &amp; Quim Agr, Orense 32004, Spain.</t>
  </si>
  <si>
    <t>Fernández-Sanjurjo, María/ABC-6938-2020; Alvarez, Esperanza/B-3154-2018; Arias-Estevez, Manuel/M-8629-2016; Nunez-Delgado, Avelino/K-3964-2013; Fernandez-Calvino, David/C-5756-2015</t>
  </si>
  <si>
    <t>Alvarez, Esperanza/0000-0003-3470-2679; Arias-Estevez, Manuel/0000-0002-9162-1587; Nunez-Delgado, Avelino/0000-0001-5373-1606; Fernandez-Calvino, David/0000-0003-0864-7039; Fernandez-Sanjurjo, Maria J./0000-0001-6728-7147; Araujo, Pedro/0000-0001-5880-7462</t>
  </si>
  <si>
    <t>Ministry of Economy and Competitiveness (Government of Spain); [CGL2012-36805.C02-02]</t>
  </si>
  <si>
    <t>Ministry of Economy and Competitiveness (Government of Spain);</t>
  </si>
  <si>
    <t>This work was funded by the Ministry of Economy and Competitiveness (Government of Spain). Reference of the grant: CGL2012-36805.C02-02.</t>
  </si>
  <si>
    <t>0016-7061</t>
  </si>
  <si>
    <t>1872-6259</t>
  </si>
  <si>
    <t>Geoderma</t>
  </si>
  <si>
    <t>10.1016/j.geoderma.2014.05.014</t>
  </si>
  <si>
    <t>http://dx.doi.org/10.1016/j.geoderma.2014.05.014</t>
  </si>
  <si>
    <t>AN1AS</t>
  </si>
  <si>
    <t>WOS:000340315700029</t>
  </si>
  <si>
    <t>García-Rico, L; Rodríguez, MV; Jara-Marini, ME</t>
  </si>
  <si>
    <t>García-Rico, Leticia; Rodríguez, Mercedes Valenzuela; Jara-Marini, Martín E.</t>
  </si>
  <si>
    <t>Geochemistry of mercury in sediment of oyster areas in Sonora, Mexico</t>
  </si>
  <si>
    <t>GULF-OF-CALIFORNIA; BAJA-CALIFORNIA; TRACE-METALS; BIOACCUMULATION; ENVIRONMENT; ENSENADA; SELENIUM; ELEMENTS; LAGOON; SILVER</t>
  </si>
  <si>
    <t>Ctr Invest Alimentac &amp; Desarrollo, Mexico City 83000, DF, Mexico</t>
  </si>
  <si>
    <t>García-Rico, L (corresponding author), Ctr Invest Alimentac &amp; Desarrollo, AC Km 0-6 Carretera Victoria Hermosillo, Mexico City 83000, DF, Mexico.</t>
  </si>
  <si>
    <t>lgarciar@cascabel.ciad.mx</t>
  </si>
  <si>
    <t>10.1016/j.marpolbul.2005.12.013</t>
  </si>
  <si>
    <t>http://dx.doi.org/10.1016/j.marpolbul.2005.12.013</t>
  </si>
  <si>
    <t>048JZ</t>
  </si>
  <si>
    <t>WOS:000237944700023</t>
  </si>
  <si>
    <t>Xu, XM; Pan, BZ; Shu, FY; Chen, XF; Xu, N; Ni, JR</t>
  </si>
  <si>
    <t>Xu, Xuming; Pan, Baozhu; Shu, Fengyue; Chen, Xiufen; Xu, Nan; Ni, Jinren</t>
  </si>
  <si>
    <t>Bioaccumulation of 35 metal(loid)s in organs of a freshwater mussel (Hyriopsis cumingii) and environmental implications in Poyang Lake, China</t>
  </si>
  <si>
    <t>Freshwater mussel; Organ; Metal bioavailability; Biomarker; Poyang Lake</t>
  </si>
  <si>
    <t>OXIDATIVE STRESS BIOMARKERS; HEAVY-METALS; MYTILUS-GALLOPROVINCIALIS; ANTIOXIDANT ENZYMES; DIGESTIVE GLAND; SEDIMENTS; POLLUTION; RIVER; SPECIATION; TOXICITY</t>
  </si>
  <si>
    <t>Benthic bioaccumulation of hazardous materials has been a great challenge to the health of lake ecosystems. As representative benthic macroinvertebrates, freshwater mussels and their accumulation characteristics have been regarded as effective indicators for assessing potential risks induced by sedimentary metal(loid)s in lakes. Here we profile organ-specific accumulation of 35 metal(loid)s in a freshwater mussel (Hyriopsis cumingii) and their correlations to metal speciation in sediments of Poyang Lake, the largest lake of China. Significant organ-specific characteristics of metal accumulation were found in gills, though higher thallium (Tl) and selenium (Se) were found in the hepatopancreas, and greater arsenic (As) mostly accumulated in gonads. Pearson correlation analysis revealed that the bioaccumulation of silver (Ag), cobalt (Co), and rare earth elements (&amp; USigma;REE) in gills and As in gonads were closely associated with those in bioavailable fraction of sediments. Based on the biochemical analysis in the major organs, gills exhibited the highest enzymatic activity compared with hepatopancreas and gonads. Sedimentary metals, particularly for available Ag, Co, and &amp; USigma;REE, play key roles in causing lipid per -oxidation in gills and significantly promote the activities of superoxide dismutase (SOD)/glutathione reductase (GR), while many metals (e.g., cadmium, manganese, Se) inhibit the glutathione (GSH) content in gonads and hepatopancreas. Our study indicates a high physiological sensitivity of mussels to these target metals, which highlights the significance of organ-specific accumulation of metal(loid)s in understanding the potential ecological risks of sedimentary metal(loid)s in lake ecosystems.</t>
  </si>
  <si>
    <t>[Xu, Xuming; Ni, Jinren] Peking Univ, Dept Environm Engn, Key Lab Water &amp; Sediment Sci, Minist Educ, Beijing 100871, Peoples R China; [Xu, Xuming; Ni, Jinren] State Environm Protect Key Lab All Mat Fluxes Rive, Beijing 100871, Peoples R China; [Pan, Baozhu] Xian Univ Technol, State Key Lab Ecohydraul Northwest Arid Reg China, Xian 710048, Peoples R China; [Shu, Fengyue] Qufu Normal Univ, Coll Life Sci, Qufu 273165, Peoples R China; [Chen, Xiufen; Xu, Nan] Peking Univ, Sch Environm &amp; Energy, Shenzhen Key Lab Heavy Met Pollut Control &amp; Reutil, Shenzhen Grad Sch, Shenzhen 518055, Peoples R China; [Ni, Jinren] Qinghai Univ, State Key Lab Plateau Ecol &amp; Agr, Xining 810016, Peoples R China</t>
  </si>
  <si>
    <t>Peking University; Xi'an University of Technology; Qufu Normal University; Peking University; Qinghai University</t>
  </si>
  <si>
    <t>Ni, JR (corresponding author), Peking Univ, Dept Environm Engn, Key Lab Water &amp; Sediment Sci, Minist Educ, Beijing 100871, Peoples R China.</t>
  </si>
  <si>
    <t>jinrenni@pku.edu.cn</t>
  </si>
  <si>
    <t>XU, nan/KDP-0628-2024; Chen, Xiufen/B-4425-2018</t>
  </si>
  <si>
    <t>Xu, Nan/0000-0001-9737-396X</t>
  </si>
  <si>
    <t>National Natural Science Foundation of China [51721006]</t>
  </si>
  <si>
    <t>Acknowledgements This work was financially supported by the National Natural Science Foundation of China (No. 51721006) .</t>
  </si>
  <si>
    <t>10.1016/j.chemosphere.2022.136150</t>
  </si>
  <si>
    <t>http://dx.doi.org/10.1016/j.chemosphere.2022.136150</t>
  </si>
  <si>
    <t>4X8TU</t>
  </si>
  <si>
    <t>WOS:000861111100008</t>
  </si>
  <si>
    <t>Pedrosa, JAM; Cocchiararo, B; Bordalo, MD; Rodrigues, ACM; Soares, AMVM; Barata, C; Nowak, C; Pestana, JLT</t>
  </si>
  <si>
    <t>Pedrosa, Joao A. M.; Cocchiararo, Berardino; Bordalo, Maria D.; Rodrigues, Andreia C. M.; Soares, Amadeu M. V. M.; Barata, Carlos; Nowak, Carsten; Pestana, Joao L. T.</t>
  </si>
  <si>
    <t>The role of genetic diversity and past-history selection pressures in the susceptibility of Chironomus riparius populations to environmental stress</t>
  </si>
  <si>
    <t>Genetic erosion; Genetic adaptation; Freshwater; Mercury; Salinity; Microsatellites</t>
  </si>
  <si>
    <t>LIFE-HISTORY; FITNESS COSTS; FUNDULUS-HETEROCLITUS; CADMIUM TOLERANCE; CLIMATE-CHANGE; RESISTANCE; MULTIGENERATION; DROSOPHILA; EVOLUTION; RESPONSES</t>
  </si>
  <si>
    <t>Natural populations experiencing intense selection and genetic drift may exhibit limited potential to adapt to environmental change. The present study addresses the following aspects of the genetic erosion hypothesis in the midge Chironomus riparius: does long-term mercury (Hg) contamination affect the Hg tolerance of midge populations inhabiting such impacted areas? If so, is there any fitness cost under changing environmental conditions? And does genetic impoverishment influence the susceptibility of C riparius to cope with environmental stressful conditions? For this end, we tested the acute and chronic tolerance to Hg and salinity in four C riparius populations differing in their levels of genetic diversity (assessed through microsatellite markers) and past-histories of Hg exposure. Results showed that the midge population collected from a heavily Hg-contaminated site had higher Hg tolerance compared to the population collected from a closely-located reference site suggesting directional selection for Hg-tolerant traits in its native environment despite no genetic erosion in the field. No increased susceptibility under changing environmental conditions of salinity stress was observed. Moreover, results also showed that populations with higher genetic diversity performed better in the partial life-cycle assays providing evidence on the key role that genetic diversity plays as mediator of populations' susceptibility to environmental stress. Our findings are discussed in terms of the suitability of C riparius as a model organism in evolutionary toxicology studies as well as the validity of ecotoxicological assessments using genetically eroded laboratory populations. (C) 2016 Elsevier B.V. All rights reserved.</t>
  </si>
  <si>
    <t>[Pedrosa, Joao A. M.; Bordalo, Maria D.; Rodrigues, Andreia C. M.; Soares, Amadeu M. V. M.; Pestana, Joao L. T.] Univ Aveiro, Dept Biol, P-3810193 Aveiro, Portugal; [Pedrosa, Joao A. M.; Bordalo, Maria D.; Rodrigues, Andreia C. M.; Soares, Amadeu M. V. M.; Pestana, Joao L. T.] Univ Aveiro, CESAM, P-3810193 Aveiro, Portugal; [Pedrosa, Joao A. M.; Cocchiararo, Berardino; Nowak, Carsten] Senckenberg Res Inst, Conservat Genet Grp, Clamecystr 12, D-63571 Gelnhausen, Germany; [Rodrigues, Andreia C. M.; Barata, Carlos] CSIC, Dept Environm Chem, IDAEA, Jordi Girona 18-26, ES-08034 Barcelona, Spain</t>
  </si>
  <si>
    <t>Cocchiararo, Berardino/ABG-5283-2020; Soares, Amadeu/A-8304-2008; Nowak, Carsten/A-4466-2014; Pestana, Joao/A-9279-2008; Barata, Carlos/K-8232-2014; Bordalo, Maria/E-8899-2015; Rodrigues, Andreia/C-4539-2015</t>
  </si>
  <si>
    <t>Soares, Amadeu/0000-0003-0879-9470; Nowak, Carsten/0000-0002-3139-1951; Pestana, Joao/0000-0003-1322-2959; Barata, Carlos/0000-0002-3360-0729; Bordalo, Maria/0000-0002-8781-3666; Rodrigues, Andreia/0000-0001-9839-6290</t>
  </si>
  <si>
    <t>Portuguese Science Foundation (FCT) [CESAM: UID/AMB/50017/2013]; COMPETE program (Programa Operacional Fatores de Competitividade, FEDER component); National funding through FCT-Fundacao para a Ciencia e Tecnologia within the research project MIDGE - Microevolutionary Dynamics and Genetic Erosion in pollution-affected Chironomus [PTDC/BIA-BEC/104125/2008]; FCT; POPH/FSE (Programa Operacional Potencial Humano/Fundo Social Europeu) [SFRH/BPD/103897/2014, SFRH/BPD/94494/2013, SFRH/BD/75606/2010, SFRH/BD/79424/2011]; Fundação para a Ciência e a Tecnologia [SFRH/BD/75606/2010, SFRH/BPD/94494/2013, SFRH/BPD/103897/2014, SFRH/BD/79424/2011, PTDC/BIA-BEC/104125/2008] Funding Source: FCT</t>
  </si>
  <si>
    <t>Portuguese Science Foundation (FCT)(Fundacao para a Ciencia e a Tecnologia (FCT)); COMPETE program (Programa Operacional Fatores de Competitividade, FEDER component); National funding through FCT-Fundacao para a Ciencia e Tecnologia within the research project MIDGE - Microevolutionary Dynamics and Genetic Erosion in pollution-affected Chironomus; FCT(Fundacao para a Ciencia e a Tecnologia (FCT)); POPH/FSE (Programa Operacional Potencial Humano/Fundo Social Europeu); Fundação para a Ciência e a Tecnologia(Fundacao para a Ciencia e a Tecnologia (FCT))</t>
  </si>
  <si>
    <t>This work was supported by the Portuguese Science Foundation (FCT) through CESAM: UID/AMB/50017/2013. We are thankful for the financial support of COMPETE program (Programa Operacional Fatores de Competitividade, FEDER component) and the National funding through FCT-Fundacao para a Ciencia e Tecnologia within the research project MIDGE - Microevolutionary Dynamics and Genetic Erosion in pollution-affected Chironomus (Ref: PTDC/BIA-BEC/104125/2008). We are also thankful to FCT and POPH/FSE (Programa Operacional Potencial Humano/Fundo Social Europeu) for the post-doctoral fellowships of Joao L.T. Pestana (SFRH/BPD/103897/2014) and Maria D. Bordalo (SFRH/BPD/94494/2013) and for the PhD grants of Joao A.M. Pedrosa (SFRH/BD/75606/2010) and Andreia C.M. Rodrigues (SFRH/BD/79424/2011).</t>
  </si>
  <si>
    <t>10.1016/j.scitotenv.2016.10.100</t>
  </si>
  <si>
    <t>http://dx.doi.org/10.1016/j.scitotenv.2016.10.100</t>
  </si>
  <si>
    <t>EG3SJ</t>
  </si>
  <si>
    <t>WOS:000390964700076</t>
  </si>
  <si>
    <t>Nachev, M; Zimmermann, S; Rigaud, T; Sures, B</t>
  </si>
  <si>
    <t>Nachev, M.; Zimmermann, S.; Rigaud, T.; Sures, B.</t>
  </si>
  <si>
    <t>Is metal accumulation in Pomphorhynchus laevis dependent on parasite sex or infrapopulation size ?</t>
  </si>
  <si>
    <t>Pomphorhynchus laevis; Barbus barbus; pollution; bioindication; bioaccumulation; heavy metals; inductively coupled plasma mass spectrometry</t>
  </si>
  <si>
    <t>BARBEL BARBUS-BARBUS; MONILIFORMIS-MONILIFORMIS; ACANTHOCEPHALUS-LUCII; ZEBRA MUSSEL; DANUBE RIVER; FISH HOST; LEAD; BIOINDICATORS; POLLUTION</t>
  </si>
  <si>
    <t>Concentrations of the elements As, Cd, Co, Cu, Fe, Mn, Mu, Ni, Pb, Sn, V, Zn were analysed by inductively coupled plasma mass spectrometry (ICP-MS) in the acanthocephalan Pomphorhynchus laevis and its fish host Barbus barbus. A total of 27 barbels were collected from the Danube River in autumn 2006 close to the town Kozloduy (685 river kilometer) on the Bulgarian river bank. Fish were divided into 3 groups. According to their P. laevis infrapopulation size hosts were considered as heavily infected (&gt;100 worms per fish) and lightly infected (&lt;20 worms per fish). The third group was used to compare heavy metal concentrations between male and female P. laevis. The 5 elements As, Cd, Cu, Pb and Zn were detected in significantly higher concentrations in parasites compared to host tissues (muscle, intestine, liver). According to the calculated mean bioconcentration factors, 3 more elements (Co, Mn, V) showed usually higher concentrations in P. laevis. Comparisons between heavily and lightly infected fish revealed significant differences only for V with higher concentrations for the heavily infected group. Concerning sex-specific metal accumulation V and Zn showed significant differences (V, at P&lt;0.05; Zn, at P=0.05), with higher levels of both metals in females of P. lacy is. Our results suggest that for the metals analysed the size of the parasite infrapopulation plays no role in the degree of metal accumulation. Similarly, parasite sex seems not to be a crucial factor for metal accumulation in the parasites. Thus, for metal monitoring purposes there is no need to take these aspects into account, which makes the use of parasites as bioindicators more applicable.</t>
  </si>
  <si>
    <t>[Nachev, M.; Zimmermann, S.; Sures, B.] Univ Duisburg Essen, Angew Zool Hydrobiol, D-45141 Essen, Germany; [Rigaud, T.] Univ Bourgogne, Lab Biogeosci, Equipe Ecol Evolut, CNRS,UMR 5561, F-21000 Dijon, France</t>
  </si>
  <si>
    <t>University of Duisburg Essen; Centre National de la Recherche Scientifique (CNRS); Universite de Bourgogne</t>
  </si>
  <si>
    <t>Sures, B (corresponding author), Univ Duisburg Essen, Angew Zool Hydrobiol, Univ Str 5, D-45141 Essen, Germany.</t>
  </si>
  <si>
    <t>bernd.sures@uni-due.de</t>
  </si>
  <si>
    <t>Sures, Bernd/B-6652-2013; Rigaud, Thierry/T-4053-2017</t>
  </si>
  <si>
    <t>Sures, Bernd/0000-0001-6865-6186; Rigaud, Thierry/0000-0002-0163-6639</t>
  </si>
  <si>
    <t>Landesgraduiertenforderung Baden-Wurttemberg</t>
  </si>
  <si>
    <t>Thanks are due to Landesgraduiertenforderung Baden-Wurttemberg for financial support for M.N. Thanks are also due to Christine Dubreuil for her help in parasite molecular identification.</t>
  </si>
  <si>
    <t>10.1017/S0031182010000065</t>
  </si>
  <si>
    <t>http://dx.doi.org/10.1017/S0031182010000065</t>
  </si>
  <si>
    <t>628XU</t>
  </si>
  <si>
    <t>WOS:000280159000008</t>
  </si>
  <si>
    <t>Mikolaczyk, M; Rementeria, A; Lanceleur, L; Schäfer, J; Petit, JC; Zaldibar, B; Chiffoleau, JF; Soto, M; Marigomez, I; Blanc, G</t>
  </si>
  <si>
    <t>Mikolaczyk, Mathilde; Rementeria, Ane; Lanceleur, Laurent; Schafer, Jorg; Petit, Jerome C.; Zaldibar, Benat; Chiffoleau, Jean-Francois; Soto, Manu; Marigomez, Ionan; Blanc, Gerard</t>
  </si>
  <si>
    <t>Silver and copper bioaccumulation kinetics in oyster Crassostrea gigas tissues at environmentally relevant exposure levels using stable isotope spikes</t>
  </si>
  <si>
    <t>14th International Symposium of Oceanography of the Bay of Biscay (ISOBAY)</t>
  </si>
  <si>
    <t>JUN 11-13, 2014</t>
  </si>
  <si>
    <t>Metals; Bivalves; Gironde estuary; Direct pathway; RNO/ROCCH; Synergy; Antagonism</t>
  </si>
  <si>
    <t>GIRONDE ESTUARY; METAL CONCENTRATIONS; CD; CU; CADMIUM; MUSSELS; CONTAMINATION; POLLUTION; ZN; PB</t>
  </si>
  <si>
    <t>Oysters (Crassostrea gigas) farmed in a clean reference estuary were exposed to different combinations of Cu-63 and Ag-107 stable isotope spikes in seawater at environmentally relevant concentrations during 28 days in order to study short-term bioaccumulation kinetics. Oysters were sampled, dissected and analyzed for Cu and Ag concentrations and isotope ratios (Cu-63/65; Ag-167/163) after 7,14, 21 and 28 days of exposure. Isotope ratios in oyster tissues showed significant differences from natural isotope ratios even after only 7 days of exposure, with relatively similar signals independent from the tissue. The changes in isotope ratios combined with conventional concentration measurements allowed precise quantification of Cu-63 and Ag-107 concentrations before experimental exposure, in the same individual oyster tissue. The high sensitivity and the possibility to precisely follow short-term accumulation at environmental levels of several (non radioactive) different metals in individual organisms are major advantages. Relatively constant Cu/Ag ratios in oysters exposed to the lowest Cu and Ag concentrations were observed. However, interactions between Cu and Ag accumulation occurred with (i) a synergy effect increasing Ag accumulation in the presence of high Cu concentrations and (ii) antagonism resulting in lower Cu accumulation at a given Cu exposure when Ag exposure levels increase. Comparison of experimentally accumulated Cu/Ag ratios (Cu-63(acc)/Ag-107(acc)) with Cu/Ag in wildlife oysters along the French Atlantic coast (data provided by the national mussel watch program RNO/ROCCH) suggests that such metal ratios reflect, to a certain extent, exposure levels and proportions in the environment. As such, element ratios may indicate contamination sources better than metal concentrations alone. Metal accumulation in the different oyster tissues (mantle, muscle, gills, digestive gland and gonads) was rather homogeneous during the short-term direct exposure experiment, whereas wild oysters from the Gironde Estuary show very strong differences in metal accumulation between tissues, i.e. maximum Ag accumulation in digestive gland. This suggests that the trophic pathway (metals contaminating oysters through the food intake) may play a major role in wildlife oyster contamination. (C) 2015 Elsevier Ltd. All rights reserved.</t>
  </si>
  <si>
    <t>[Mikolaczyk, Mathilde; Rementeria, Ane; Lanceleur, Laurent; Schafer, Jorg; Petit, Jerome C.; Blanc, Gerard] Univ Bordeaux, UMR EPOC 5805, Allee Geoffroy St Hilaire,CS50023, F-33615 Pessac, France; [Rementeria, Ane; Zaldibar, Benat; Soto, Manu; Marigomez, Ionan] Univ Basque Country, UPV EHU, CBET Res Grp, Dept Zool &amp; Anim Cell Biol,Sci &amp; Technol Fac, POB 644, E-48080 Bilbao, Basque Country, Spain; [Rementeria, Ane; Zaldibar, Benat; Soto, Manu; Marigomez, Ionan] Univ Basque Country, UPV EHU, Res Ctr Expt Marine Biol &amp; Biotechnol PIE UPV EHU, POB 644, E-48080 Bilbao, Basque Country, Spain; [Chiffoleau, Jean-Francois; Blanc, Gerard] IFREMER, Ctr Atlantique, Rue Ile dYeu,BP 21105, F-44311 Nantes 03, France</t>
  </si>
  <si>
    <t>Universite de Bordeaux; University of Basque Country; University of Basque Country; Ifremer</t>
  </si>
  <si>
    <t>Schäfer, J (corresponding author), Univ Bordeaux, UMR EPOC 5805, Allee Geoffroy St Hilaire,CS50023, F-33615 Pessac, France.</t>
  </si>
  <si>
    <t>jorg.schafer@u-bordeaux.fr</t>
  </si>
  <si>
    <t>; Zaldibar, Benat/Y-6728-2018; MARIGOMEZ ALLENDE, Ionan/C-3909-2017</t>
  </si>
  <si>
    <t>Blanc, Gerard/0009-0005-9814-0427; Zaldibar, Benat/0000-0002-5528-451X; MARIGOMEZ ALLENDE, Ionan/0000-0001-6274-541X; Petit, Jerome C.J./0000-0003-0728-2664; soto, manu/0000-0002-4541-8182; Schafer, Jorg/0000-0003-2631-908X</t>
  </si>
  <si>
    <t>SEP 20</t>
  </si>
  <si>
    <t>10.1016/j.ecss.2015.07.025</t>
  </si>
  <si>
    <t>http://dx.doi.org/10.1016/j.ecss.2015.07.025</t>
  </si>
  <si>
    <t>DT5OD</t>
  </si>
  <si>
    <t>WOS:000381531600013</t>
  </si>
  <si>
    <t>DIGIULIO, RT; RYAN, EA</t>
  </si>
  <si>
    <t>MERCURY IN SOILS, SEDIMENTS, AND CLAMS FROM A NORTH-CAROLINA PEATLAND</t>
  </si>
  <si>
    <t>DIGIULIO, RT (corresponding author), DUKE UNIV,SCH FORESTRY &amp; ENVIRONM STUDIES,DURHAM,NC 27706, USA.</t>
  </si>
  <si>
    <t>10.1007/BF00191389</t>
  </si>
  <si>
    <t>http://dx.doi.org/10.1007/BF00191389</t>
  </si>
  <si>
    <t>G7462</t>
  </si>
  <si>
    <t>WOS:A1987G746200018</t>
  </si>
  <si>
    <t>PACE, CB; DIGIULIO, RT</t>
  </si>
  <si>
    <t>LEAD CONCENTRATIONS IN SOIL, SEDIMENT AND CLAM SAMPLES FROM THE PUNGO RIVER PEATLAND AREA OF NORTH-CAROLINA, USA</t>
  </si>
  <si>
    <t>Lead (Pb) concentrations were measured in samples of peat soils, sediments and clams (Rangia cuneata) collected from the Pungo River region of coastal North Carolina [USA]. In peat soils, mean Pb concentrations (dry weight .+-. 1 SD) were significantly higher (p &lt; 0.05) in surface samples (12.8 .mu.g g-1 .+-. 7.6) than in samples from depths of 20 cm (2.7 .mu.g g-1 .+-. 2.7) or 1 m (3.6 .mu.g g-1 .+-. 3.6). Mean Pb concentrations in surface sediments from canals draining peatlands and from the Pungo River which receives this drainage ranged from 0.1 .mu.g g-1 .+-. 0.1 to 7.0 .mu.g g-1 .+-. 0.6. These Pb concentrations are similar to values reported in other studies for areas considered uncontaminated. Fractionation analyses revealed that the majority of the Pb in the peat and sediment samples was associated with the residual fraction, with lesser amounts in the organically-bound fraction, and generally negligible amounts in the water-soluble fraction. These results indicate that the bulk of the Pb in the soils and sediments of this area is relatively immobile and non-bioavailable. This is supported by the relatively low concentration of Pb (0.2-0.5 .mu.g g-1, dry weight) observed in soft tissues of R. cuneata collected from the Pungo River.</t>
  </si>
  <si>
    <t>DUKE UNIV, SCH FORESTRY &amp; ENVIRONM STUDIES, DURHAM, NC 27706 USA</t>
  </si>
  <si>
    <t>10.1016/0269-7491(87)90183-7</t>
  </si>
  <si>
    <t>http://dx.doi.org/10.1016/0269-7491(87)90183-7</t>
  </si>
  <si>
    <t>G3293</t>
  </si>
  <si>
    <t>WOS:A1987G329300006</t>
  </si>
  <si>
    <t>Fichet, D; Radenac, G; Miramand, P</t>
  </si>
  <si>
    <t>Experimental studies of impacts of harbour sediments resuspension to marine invertebrates larvae: Bioavailability of Cd, Cu, Pb and Zn and toxicity</t>
  </si>
  <si>
    <t>heavy metals; bioavailability; toxicity; Crassostrea gigas; Paracentrotus lividus; larval development</t>
  </si>
  <si>
    <t>HEAVY-METALS; GIGAS THUNBERG; TRACE-ELEMENTS; BIVALVE; CADMIUM; COPPER; LEAD; ACCUMULATION; POLLUTION; ORGANISMS</t>
  </si>
  <si>
    <t>The larvae of three marine species (Artemia salina, Crassostrea gigas, Paracentrotus lividus) reared within the suspended particulate phases of contaminated sediments from harbours were used in bioassays firstly to assess their ability to accumulate four metals (Cd, Cu, Pb, Zn) and secondly to show the toxicity of such rearing media by recording delays in growth and possible abnormal larval development. The results show that resuspension processes of dredged harbour sediments may induce both a release of Cd, Cu and Pb which are bioavailable for larvae (levels of bioaccumulation depending on the species) and biological perturbations, i.e. abnormal development in C, gigas and P. lividus larvae for the more contaminated sediments and growth inhibition in all three larvae for slightly contaminated sediments, The concentrations of Pb reached in the C, gigas D-shaped larvae and the tl lividus pluteus were unusually high; in contrast, Zn was not accumulated by the three species. The impact of dumping operations thus appears to depend both on the metal considered and on the larvae used in such tests. In this context, Pb seems a more worrying metal than Zn and C, gigas and P. lividus are better indicator species than A, salina larvae, (C) 1998 Elsevier Science Ltd, All rights reserved.</t>
  </si>
  <si>
    <t>Univ La Rochelle, Lab Biol &amp; Biochim Marines, EA 1220, F-17026 La Rochelle, France</t>
  </si>
  <si>
    <t>Univ La Rochelle, Lab Biol &amp; Biochim Marines, EA 1220, 15 Rue Vaux Foletier, F-17026 La Rochelle, France.</t>
  </si>
  <si>
    <t>dfichet@cri.univ-lr.fr</t>
  </si>
  <si>
    <t>Radenac, Gilles/0000-0002-7906-6453; Denis, Fichet/0000-0002-4913-8946</t>
  </si>
  <si>
    <t>10.1016/S0025-326X(97)00190-2</t>
  </si>
  <si>
    <t>http://dx.doi.org/10.1016/S0025-326X(97)00190-2</t>
  </si>
  <si>
    <t>WOS:000075376600011</t>
  </si>
  <si>
    <t>VAZQUEZ, FG; SHARMA, VK; ALEXANDER, VH; FRAUSTO, CA</t>
  </si>
  <si>
    <t>METALS IN SOME LAGOONS OF MEXICO</t>
  </si>
  <si>
    <t>Joint US/Mexico Conference on Fate, Transport and Interactions of Metals</t>
  </si>
  <si>
    <t>APR 14-16, 1993</t>
  </si>
  <si>
    <t>TUCSON, AZ</t>
  </si>
  <si>
    <t>HEAVY METALS; WATER; SEDIMENTS; OYSTER (CRASSOSTREA VIRGINICA); ADSORPTION; UPTAKE</t>
  </si>
  <si>
    <t>HEAVY-METALS; TRACE; TAMAULIPAS; VIRGINICA</t>
  </si>
  <si>
    <t>The concentrations of metals, Cd, Cu, Fe, Mn, Ni, Pb, and Zn were determined in some lagoons to establish the level of metal pollution. The lagoons studied were Alvarado lagoon, Veracruz; San Andres lagoon, Tamaulipas; and Terminos lagoon, Campeche. The concentrations were determined in water, oyster (Crassostrea virginica), and sediments. Metals were accumulated in either oysters or sediments. Cu and Zn were higher in oysters and Fe and Mn were higher in sediments. The results in water samples were compared with the limit established by the Secretaria de Ecologia and Desarrollo Urbane Report and briefly discussed.</t>
  </si>
  <si>
    <t>NATL AUTONOMOUS UNIV MEXICO,INST CIENCIAS MAR &amp; LIMNOL,MEXICO CITY 04510,DF,MEXICO</t>
  </si>
  <si>
    <t>VAZQUEZ, FG (corresponding author), TEXAS A&amp;M UNIV,CTR COASTAL STUDIES,6300 OCEAN DR,CORPUS CHRISTI,TX 78412, USA.</t>
  </si>
  <si>
    <t>NATL INST ENVIRON HEALTH SCI</t>
  </si>
  <si>
    <t>PO BOX 12233, RES TRIANGLE PK, NC 27709</t>
  </si>
  <si>
    <t>10.2307/3432009</t>
  </si>
  <si>
    <t>http://dx.doi.org/10.2307/3432009</t>
  </si>
  <si>
    <t>QP391</t>
  </si>
  <si>
    <t>WOS:A1995QP39100009</t>
  </si>
  <si>
    <t>Boquete, MT; Aboal, JR; Villares, R; Dorado-García, U; Fernández, JA</t>
  </si>
  <si>
    <t>Boquete, M. Teresa; Aboal, Jesus R.; Villares, Ruben; Dorado-Garcia, Uxia; Fernandez, J. Angel</t>
  </si>
  <si>
    <t>High Hg biomagnification in North Atlantic coast ecosystems and limits to the use of 815N to estimate trophic magnification factors</t>
  </si>
  <si>
    <t>Dogwhelk; Food chains; Mussel; Nitrogen isotope ratio; Marine pollution</t>
  </si>
  <si>
    <t>STABLE NITROGEN ISOTOPES; FOOD-CHAIN STRUCTURE; AQUATIC ORGANISMS; MERCURY; BIOACCUMULATION; WEBS; GROWTH; MACROALGAE; DELTA-N-15; SIGNATURES</t>
  </si>
  <si>
    <t>Mercury contamination is a global environmental problem. This pollutant is highly toxic and persistent which makes it extremely susceptible to biomagnify, i.e. increase its concentrations as it moves up the food chain, reaching levels that threaten wildlife and, ultimately, ecosystems' function and structure. Mercury monitoring is thus crucial to determine its potential to damage the environment. In this study, we assessed the temporal trends of the concentrations of Hg in two coastal animal species closely connected by a predator-prey interaction, and evaluated its potential transfer between trophic levels using the 815N signatures of the two species. For this, we performed a multi-year survey of the concentrations of total Hg and the values of 815N in the mussel Mytilus galloprovincialis (prey) and the dogwhelk Nucella lapillus (predator) sampled along similar to 1500 km of the North Atlantic coast of Spain over a 30-year period (five surveys between 1990 and 2021). Concentrations of Hg decreased significantly between the first and the last survey in the two species studied. Except for the 1990 survey, the concentrations of Hg in mussels were amongst the lowest registered in the literature for the North East Atlantic Ocean (NEAO) and the Mediterranean Sea (MS) between 1985 and 2020. Nonetheless, we detected Hg biomagnification in almost all surveys. Worryingly, trophic magnification factors obtained here for total Hg were high and comparable to the found in the literature for methylmercury, the most toxic and readily biomagnified form of this element. The 815N values were useful to detect Hg biomagnification under normal circumstances. However, we found that nitrogen pollution of coastal waters differentially affected the 815N signatures of mussels and dogwhelks limiting the use of this parameter for this purpose. We conclude that Hg biomagnification could constitute an important environmental hazard even when found at very low concentrations in the lower trophic levels. Also, we warn that use of 815N in biomagnification studies when there is some underlying nitrogen pollution problem might lead to misleading conclusions.</t>
  </si>
  <si>
    <t>[Boquete, M. Teresa; Aboal, Jesus R.; Dorado-Garcia, Uxia; Fernandez, J. Angel] Univ Santiago de Compostela, CRETUS Inst, Dept Funct Biol, Ecol Unit, Santiago De Compostela 15782, Spain; [Villares, Ruben] Univ Santiago de Compostela, Escola Politecn Super Enxenaria, Dept Funct Biol, Ecol Unit, Lugo 27002, Spain</t>
  </si>
  <si>
    <t>Universidade de Santiago de Compostela; Universidade de Santiago de Compostela</t>
  </si>
  <si>
    <t>Boquete, MT (corresponding author), Rua Lope Gomez de Marzoa S-N, Santiago De Compostela 15705, Spain.</t>
  </si>
  <si>
    <t>teresa.boquete@usc.es</t>
  </si>
  <si>
    <t>Fernandez, J./A-6695-2012; Villares, Rubén/Z-6026-2019; Aboal, Jesus/A-4915-2012; Boquete, M. Teresa/B-7504-2015</t>
  </si>
  <si>
    <t>Aboal, Jesus/0000-0001-8310-2907; Boquete, M. Teresa/0000-0002-5886-7374</t>
  </si>
  <si>
    <t>Xunta de Galicia [GRC GI-1252/GPC2020-23 (ED431C 2020/19)]; ERDF (EU) [GRC GI-1252/GPC2020-23 (ED431C 2020/19)]; Maria Zambrano program from the Spanish Ministry of Science, Innovation and Universities</t>
  </si>
  <si>
    <t>Xunta de Galicia(Xunta de Galicia); ERDF (EU)(European Union (EU)); Maria Zambrano program from the Spanish Ministry of Science, Innovation and Universities</t>
  </si>
  <si>
    <t>Authors belong to the Grupo de Referencia Competitiva GRC GI-1252/GPC2020-23 (ED431C 2020/19) which is co-funded by Xunta de Galicia and ERDF (EU). Dr. M. Teresa Boquete is supported by the Maria Zambrano program from the Spanish Ministry of Science, Innovation and Universities.</t>
  </si>
  <si>
    <t>10.1016/j.watres.2023.119793</t>
  </si>
  <si>
    <t>http://dx.doi.org/10.1016/j.watres.2023.119793</t>
  </si>
  <si>
    <t>A4HY0</t>
  </si>
  <si>
    <t>WOS:000954766000001</t>
  </si>
  <si>
    <t>Jaffé, R; Leal, I; Alvarado, J; Gardinali, PR; Sericano, JL</t>
  </si>
  <si>
    <t>Baseline study on the levels of organic pollutants and heavy metals in bivalves from the Morrocoy National Park, Venezuela</t>
  </si>
  <si>
    <t>MUSSEL WATCH PROGRAM; CHLORINATED PESTICIDES; MEXICO; OYSTERS; GULF; PCBS</t>
  </si>
  <si>
    <t>Florida Int Univ, SE Environm Res Program, Miami, FL 33199 USA; Florida Int Univ, Dept Chem, Miami, FL 33199 USA</t>
  </si>
  <si>
    <t>State University System of Florida; Florida International University; State University System of Florida; Florida International University</t>
  </si>
  <si>
    <t>Florida Int Univ, SE Environm Res Program, Miami, FL 33199 USA.</t>
  </si>
  <si>
    <t>10.1016/S0025-326X(98)00090-3</t>
  </si>
  <si>
    <t>http://dx.doi.org/10.1016/S0025-326X(98)00090-3</t>
  </si>
  <si>
    <t>148LJ</t>
  </si>
  <si>
    <t>WOS:000077506500018</t>
  </si>
  <si>
    <t>Geffard, A; Geffard, O; His, E; Amiard, JC</t>
  </si>
  <si>
    <t>Relationships between metal bioaccumulation and metallothionein levels in larvae of Mytilus galloprovincialis exposed to contaminated estuarine sediment elutriate</t>
  </si>
  <si>
    <t>sediment elutriate; Mytilus galloprovincialis larvae; metal bioaccumulation; metallothionein</t>
  </si>
  <si>
    <t>OYSTERS CRASSOSTREA-GIGAS; TRACE-METALS; CADMIUM; ZINC; CD; EXPRESSION; TOXICITY; COPPER; LEAD; PB</t>
  </si>
  <si>
    <t>The bioavailability of Cd, Cu and Zn from a metal-contaminated sediment was studied using Mytilus galloprovincialis embryos and larvae exposed to sediment elutriates, The elutriate concentrations tested were always lower than the threshold at which abnormal larval development appears. The Cd, Cu and Zn contents of the sediment, of the elutriate and of the larvae, as well as the larval growth, the condition index (CI), and the induction of metallothionein (NIT) in the larvae were measured. The Cl was only affected after 96 h of exposure, principally at the highest elutriate concentration (25%, corresponding to 0.1435 mug Cd l(-1) and 14 mug Zn l(-1)). Cd, Cu and Zn bioaccumulation was observed (48 and 96 h), in whole larvae as well as in the cytosolic fraction of their tissues, For the individual treatments (controls or different degrees of exposure), the lowest metal concentrations were observed in larvae after 96 h exposure, indicating biological dilution. Metallothionein induction in larvae was observed after 96 h exposure at the lowest elutriate concentrations tested, and was always strongly correlated with increasing metal contents in the cytosolic fraction, These relationships were significant for all 3 metals studied either individually or combined. The results indicate that these 3 metals are bioavailable to M galloprovincialis larvae and that NIT induction constitutes a more sensitive indicator of heavy metal pollution than embryotoxicity or larval growth experiments.</t>
  </si>
  <si>
    <t>Univ Nantes, CNRS, GDR 1117, ISOMer,SMAB,Serv Ecotoxicol, F-44322 Nantes 3, France; IFREMER, F-33120 Arcachon, France</t>
  </si>
  <si>
    <t>Centre National de la Recherche Scientifique (CNRS); Nantes Universite; Ifremer</t>
  </si>
  <si>
    <t>Univ Nantes, CNRS, GDR 1117, ISOMer,SMAB,Serv Ecotoxicol, 2 Rue Houssiniere,BP 92208, F-44322 Nantes 3, France.</t>
  </si>
  <si>
    <t>alain.geffard@isomer.univ-nantes.fr</t>
  </si>
  <si>
    <t>Geffard, olivier/0000-0001-7760-4644; Geffard, Alain/0000-0001-9236-2890</t>
  </si>
  <si>
    <t>10.3354/meps233131</t>
  </si>
  <si>
    <t>http://dx.doi.org/10.3354/meps233131</t>
  </si>
  <si>
    <t>563XL</t>
  </si>
  <si>
    <t>WOS:000176283200011</t>
  </si>
  <si>
    <t>Khoma, V; Martinyuk, V; Matskiv, T; Gnatyshyna, L; Baranovsky, V; Gladiuk, M; Gylyte, B; Manusadzianas, L; Stoliar, O</t>
  </si>
  <si>
    <t>Khoma, Vira; Martinyuk, Viktoria; Matskiv, Tetyana; Gnatyshyna, Lesya; Baranovsky, Vitaliy; Gladiuk, Mykola; Gylyte, Brigita; Manusadzianas, Levonas; Stoliar, Oksana</t>
  </si>
  <si>
    <t>Environmental concentrations of Roundup in combination with chlorpromazine or heating causes biochemical disturbances in the bivalve mollusc Unio tumidus</t>
  </si>
  <si>
    <t>Bivalve mollusc; Complex pollution; Antioxidants; Zinc; Cytotoxicity</t>
  </si>
  <si>
    <t>SPECTROPHOTOMETRIC METHOD; DRUG CHLORPROMAZINE; THERMAL-STRESS; GLYPHOSATE; WATER; GLUTATHIONE; TOXICITY; CALCIUM; ZINC; IDENTIFICATION</t>
  </si>
  <si>
    <t>Bivalve molluscs represent the most recognized bioindicators of freshwater pollution. However, their ability to indicate specific xenobiotics in complex exposures is unclear. In this study, we aimed to track the particular effects of the pesticide Roundup (Rnd) and the antipsychotic drug chlorpromazine (Cpz) on the mussel Unio tumidus at the simpler environmentally relevant models. We treated the mussels by Rnd (17 mu g L-1) Cpz (18 mu g L-1), the mixture of Rnd and Cpz at 18 degrees C (RndCpz), and Rnd at 25 degrees C (RndT) and examined their digestive glands after 14 days of exposure. We analyzed total antioxidant capacity, glutathione (GSH&amp;GSSG) and protein carbonyls levels, total and Zn-related concentrations of metallothioneins (MT and Zn-MT, respectively), the activities of CYP450-related EROD, glutathione S-transferase, cholinesterase, caspase-3, citrate synthase (CS), lysosomal membrane integrity (NRR), and Zn level in the tissue. Shared responses were indicated as the increase of the antioxidant, Zn-MT, and EROD levels, whereas the changes of Zn concentration, NRR, and caspase-3 activity were most diverse compared to control. According to discriminant analysis, complex exposures abolished the individual response traits and intensified the harmful effects that caused a decrease in the Zn level in the RndCpz- and RndT-groups and the loss of lysosomal integrity in the RndT-group. We concluded that multi-marker expertise with the application of integrated indices had benefits when evaluating the effects of complex exposures.</t>
  </si>
  <si>
    <t>[Khoma, Vira; Martinyuk, Viktoria; Matskiv, Tetyana; Gnatyshyna, Lesya; Baranovsky, Vitaliy; Gladiuk, Mykola; Stoliar, Oksana] Ternopil Volodymyr Hnatiuk Natl Pedag Univ, Ternopol, Ukraine; [Matskiv, Tetyana; Gnatyshyna, Lesya] Horbachevsky Ternopil Natl Med Univ, Ternopol, Ukraine; [Gylyte, Brigita; Manusadzianas, Levonas] Nat Res Ctr, Vilnius, Lithuania</t>
  </si>
  <si>
    <t>Ministry of Education &amp; Science of Ukraine; Ternopil Volodymyr Hnatiuk National Pedagogical University; I. Horbachevsky Ternopil State Medical University; Nature Research Center - Lithuania</t>
  </si>
  <si>
    <t>Stoliar, O (corresponding author), Ternopil Volodymyr Hnatiuk Natl Pedag Univ, Ternopol, Ukraine.</t>
  </si>
  <si>
    <t>Gnatyshyna, Lesya/AAA-6868-2021; Manusadzianas, Levonas/AAN-2546-2021; Hladyuk, Mykola/I-6987-2018; Baranovskyi, Vitaliy/I-5135-2016; Stoliar, Oksana/I-7397-2018; Gnatyshyna, Lesya/M-7993-2015</t>
  </si>
  <si>
    <t>Hladyuk, Mykola/0000-0002-1642-6079; Baranovskyi, Vitaliy/0000-0002-9521-2676; Stoliar, Oksana/0000-0002-8579-2881; Gnatyshyna, Lesya/0000-0002-5205-1585; Manusadzianas, Levonas/0000-0003-3880-1981; Gylyte, Brigita/0009-0004-5218-0733; Matskiv, Tetiana/0000-0003-0987-1489; Khoma, Vira/0000-0002-1148-7323</t>
  </si>
  <si>
    <t>Ministry of Education and Science of Ukraine [132B, M19/2020]; Research Council of Lithuania [S-LU-20-10]</t>
  </si>
  <si>
    <t>Ministry of Education and Science of Ukraine; Research Council of Lithuania(Research Council of Lithuania (LMTLT))</t>
  </si>
  <si>
    <t>This work has been granted by the Ministry of Education and Science of Ukraine to Oksana Stoliar (Project 132B and UkrainianLithuanian R&amp;D Project No. M19/2020) and by the Research Council of Lithuania (Project No. S-LU-20-10 under the Lithuanian-Ukrainian Cooperation Program).</t>
  </si>
  <si>
    <t>10.1007/s11356-021-16775-1</t>
  </si>
  <si>
    <t>http://dx.doi.org/10.1007/s11356-021-16775-1</t>
  </si>
  <si>
    <t>YS2BO</t>
  </si>
  <si>
    <t>WOS:000702813600003</t>
  </si>
  <si>
    <t>Mallin, MA; McIver, MR; Fulton, M; Wirth, E</t>
  </si>
  <si>
    <t>Mallin, Michael A.; McIver, Matthew R.; Fulton, Michael; Wirth, Ed</t>
  </si>
  <si>
    <t>Elevated Levels of Metals and Organic Pollutants in Fish and Clams in the Cape Fear River Watershed</t>
  </si>
  <si>
    <t>CAROLINA COASTAL ESTUARIES; SALT-MARSH SEDIMENTS; TIDAL CREEK; SELENIUM; QUALITY; URBANIZATION; GUIDELINES</t>
  </si>
  <si>
    <t>A study was performed in 2003 to 2004 to assess metal and organic contaminant concentrations at three areas in the lower Cape Fear River system, North Carolina, United States. Sites examined were Livingston Creek along the mainstem of the Cape Fear River near Riegelwood, Six Runs Creek in the Black River Basin, and Rockfish Creek in the Northeast Cape Fear River basin. The results of the investigation showed that levels of metals and organic pollutants in the sediments were lower than limits considered harmful to aquatic life. However, results of fish (adult bowfin) tissue analyses showed that concentrations of arsenic (As), cadmium (Cd), mercury (Hg), selenium (Se), and now-banned polychlorinated biphenyls (PCBs), and the pesticide dieldrin were higher than levels considered safe for human consumption by the United States Environmental Protection Agency and the North Carolina Health Director's Office. Fish tissue concentrations of Hg, Se, and PCBs were also higher than concentrations determined by researchers to be detrimental either to the health of the fish themselves or their avian and mammalian predators. Due to the rural nature of two of the sites, increased concentrations of As, Cd, Se, and PCBs in fish tissue were unexpected. The likely reason the levels are increased in fish and some clams but not in sediments is that these pollutants are biomagnified in the food chain. These pollutants will also biomagnify in humans. In these rural areas there is subsistence fishing by low-income families; thus, increased fish tissue metals and toxicant concentrations may present a direct threat to human health.</t>
  </si>
  <si>
    <t>[Mallin, Michael A.; McIver, Matthew R.] Univ N Carolina, Ctr Marine Sci, Wilmington, NC 28409 USA; [Fulton, Michael; Wirth, Ed] Natl Ocean &amp; Atmospher Adm, Ctr Coastal Environm Hlth &amp; Biomol Res, Natl Ctr Coastal Ocean Sci, Charleston, SC 29412 USA</t>
  </si>
  <si>
    <t>University of North Carolina; University of North Carolina Wilmington; National Oceanic Atmospheric Admin (NOAA) - USA; National Ocean Service, NOAA; National Centers for Coastal Ocean Science (NOOCS)</t>
  </si>
  <si>
    <t>Mallin, MA (corresponding author), Univ N Carolina, Ctr Marine Sci, Wilmington, NC 28409 USA.</t>
  </si>
  <si>
    <t>mallinm@uncw.edu</t>
  </si>
  <si>
    <t>North Carolina Attorney General's Office</t>
  </si>
  <si>
    <t>We thank the North Carolina Attorney General's Office for funding through the Smithfield Agreement to the Lower Cape Fear River Program at the University of North Carolina Wilmington. We thank James Merritt (UNCW) and Geoff Scott (NOAA) for facilitation and Mike Williams for field collection help.</t>
  </si>
  <si>
    <t>10.1007/s00244-010-9633-z</t>
  </si>
  <si>
    <t>http://dx.doi.org/10.1007/s00244-010-9633-z</t>
  </si>
  <si>
    <t>868CE</t>
  </si>
  <si>
    <t>WOS:000298500400011</t>
  </si>
  <si>
    <t>Foster, P; Cravo, A</t>
  </si>
  <si>
    <t>Minor elements and trace metals in the shell of marine gastropods from a shore in tropical East Africa</t>
  </si>
  <si>
    <t>East Africa; marine gastropods; minor elements; Neritidae; shell composition; trace metals</t>
  </si>
  <si>
    <t>OYSTERS CRASSOSTREA-VIRGINICA; MUSSEL SHELLS; MYTILUS; WATER; COAST; PROBE</t>
  </si>
  <si>
    <t>The concentrations of minor elements ( magnesium and strontium) and trace metals ( iron, manganese, copper and zinc) in the shell of fifty-nine species of marine gastropod collected from a shore in tropical East Africa are reported. Mean trace metal concentrations and range of concentrations in the fifty-three species having an aragonitic shell were: iron, 17.5 mug g(-1), range 7.2 to 30.6 mug g(-1); manganese 2.4 mug g(-1), range 1.8 to 3.4 mug g(-1); copper, 1.2 mug g(-1), range 0.6 to 2.4 mug g(-1) and zinc, 1.5 mug g(-1), range 0.8 to 2.6 mug g(-1). The six species of the Nerita included in the study all had a shell of mixed mineralogy, a high magnesium concentration ( 2550 to 3407 mug g(-1)) and relatively elevated concentrations of the trace metals, manganese, copper and zinc ( mean concentrations, 7.5, 3.4 and 5.5 mug g(-1), respectively). Highest concentrations of all three metals occurred in the shell of N. albicilla. Manganese, copper and zinc concentrations in shells of a population of N. albicilla (n = 20) taken from the Kenyan coast were higher than those in a similar population of shells taken from Aldabra Atoll ( Seychelles) by factors of 29, 10 and 2.6, respectively. Of the fifty-nine species of marine gastropod included in this study the shell of N. albicilla is identified as having the greatest potential as a biomonitoring tissue for trace metals.</t>
  </si>
  <si>
    <t>Univ Coll N Wales, Sch Ocean Sci, Bangor, Gwynedd, Wales; Univ Algarve, Fac Marine &amp; Environm Sci, CIMA, Faro, Portugal</t>
  </si>
  <si>
    <t>Bangor University; Universidade do Algarve</t>
  </si>
  <si>
    <t>Cravo, A (corresponding author), Univ Algarve, FCMA, Ctr Marine &amp; Environm Res, Campus Gambelas, Faro, Portugal.</t>
  </si>
  <si>
    <t>Cravo, Alexandra/I-8948-2014</t>
  </si>
  <si>
    <t>Cravo, Alexandra/0000-0002-2569-3929</t>
  </si>
  <si>
    <t>10.1023/A:1023631022989</t>
  </si>
  <si>
    <t>http://dx.doi.org/10.1023/A:1023631022989</t>
  </si>
  <si>
    <t>675RP</t>
  </si>
  <si>
    <t>WOS:000182709500005</t>
  </si>
  <si>
    <t>Satapathy, S; Panda, CR; Jena, BS</t>
  </si>
  <si>
    <t>Satapathy, Shreemayee; Panda, Chitta Ranjan; Jena, Bhabani Sankar</t>
  </si>
  <si>
    <t>Risk-based prediction of metal toxicity in sediment and impact on human health due to consumption of seafood (Saccostrea cucullata) found in two highly industrialised coastal estuarine regions of Eastern India: a food safety issue</t>
  </si>
  <si>
    <t>Toxic element; Risk assessment; Sediment; Bioaccumulation; Seafood; Food safety; Human health risk</t>
  </si>
  <si>
    <t>HEAVY-METALS; TRACE-METALS; CHEMICAL-FRACTIONS; POLLUTION; BIOACCUMULATION; CONTAMINATION; OYSTERS; WATER; RIVER; CROATIA</t>
  </si>
  <si>
    <t>Estuarine ecosystems of the Bay of Bengal, India, are considered as the most productive environment, which have been persistently threatened by substantial anthropogenic activity. This study aims to investigate the metal contamination in the sediment of two estuaries and possible biomagnifications in the indigenous edible oyster Saccostrea cucullata and related health hazards due to its consumption. The accumulative ecological risks indicated that the sediment is moderate to strongly contaminated with cadmium and lead. The sediment pollution index and pollution load index suggested that the sediment possesses a little ecological stress on the exposed flora and fauna. The statistical interpretation highlights the most metals which have a similar source of origin and are bound to the finer fractions of the sediment, except nickel. Bioaccumulation of sediment-associated Cu and Zn in oyster reflects their potential biomagnifications through aquatic food chain. HPI range was below the critical limit of safe human consumption. The non-carcinogenic (THQ) and carcinogenic (CR) health hazards were estimated from the PTDI provided by USEPA. Except Cr, Hg and Zn, the THQ of all other metals was&gt;1 suggesting detrimental non-carcinogenic health effects on humans. The TCR of Cr and Cd above safety limit indicates the exposed population might be under severe carcinogenic threat due to those metals.</t>
  </si>
  <si>
    <t>[Satapathy, Shreemayee; Panda, Chitta Ranjan; Jena, Bhabani Sankar] CSIR, Inst Minerals &amp; Mat Technol, Environm &amp; Sustainabil Dept, Bhubaneswar, India; [Satapathy, Shreemayee; Panda, Chitta Ranjan; Jena, Bhabani Sankar] Acad Sci &amp; Innovat Res AcSIR, Ghaziabad, India</t>
  </si>
  <si>
    <t>Council of Scientific &amp; Industrial Research (CSIR) - India; CSIR - Institute of Minerals &amp; Materials Technology (IMMT); Academy of Scientific &amp; Innovative Research (AcSIR)</t>
  </si>
  <si>
    <t>Satapathy, S (corresponding author), CSIR, Inst Minerals &amp; Mat Technol, Environm &amp; Sustainabil Dept, Bhubaneswar, India.</t>
  </si>
  <si>
    <t>silicool@gmail.com</t>
  </si>
  <si>
    <t>Jena, Bhabani Sankar/AAC-2937-2022</t>
  </si>
  <si>
    <t>Ministry of Earth Science (MoES), Govt of India</t>
  </si>
  <si>
    <t>This work was supported by the Ministry of Earth Science (MoES), Govt of India. Thanks to the COMAPS team members, CSIR-IMMT for their cooperation in data preparation and sampling. Further Gratitude is extended to two anonymous reviewers and editor for their valuable suggestions.</t>
  </si>
  <si>
    <t>10.1007/s10653-019-00251-4</t>
  </si>
  <si>
    <t>http://dx.doi.org/10.1007/s10653-019-00251-4</t>
  </si>
  <si>
    <t>JT4QJ</t>
  </si>
  <si>
    <t>WOS:000500975500009</t>
  </si>
  <si>
    <t>Ruiz-Fernández, AC; Wu, RSS; Lau, TC; Pérez-Bernal, LH; Sánchez-Cabeza, JA; Chiu, JMY</t>
  </si>
  <si>
    <t>Carolina Ruiz-Fernandez, Ana; Wu, Rudolf S. S.; Lau, Tai-Chu; Hascibe Perez-Bernal, Libia; Albert Sanchez-Cabeza, Joan; Chiu, Jill M. Y.</t>
  </si>
  <si>
    <t>A comparative study on metal contamination in Estero de Urias lagoon, Gulf of California, using oysters, mussels and artificial mussels: Implications on pollution monitoring and public health risk</t>
  </si>
  <si>
    <t>Trace metals; Biomonitors; Artificial mussel; Public health risk; Gulf of California</t>
  </si>
  <si>
    <t>SHRIMP PENAEUS-VANNAMEI; HEAVY-METALS; TRACE-METALS; MYTILUS-GALLOPROVINCIALIS; CRASSOSTREA-RHIZOPHORAE; MARINE ENVIRONMENTS; MAZATLAN HARBOR; TEMPORAL DISTRIBUTION; COASTAL AREA; PERNA-PERNA</t>
  </si>
  <si>
    <t>The profile of 11 trace metals in two commonly used biomonitors (the native oyster Crassostrea palmula and mussel Mytella strigata) from Estero de Urias lagoon, Gulf of California, were studied for six months, covering both dry and wet seasons. Metal concentrations in these two bivalves were compared with concentrations accumulated by Artificial Mussels (AMs) deployed alongside during the same period. Significant temporal variations in Cd, Cr and Mn were observed in both bivalve species and AMs. Temporal changes were observed for Fe in both bivalve species, Pb in oyster only and Cu in both AMs and oysters, revealing seasonal changes in inputs and/or chemical forms of these metals in the lagoon. Significant correlations for Cd, Cr and Cu were found in mussels and oysters, but their Co, Fe, Mn and Zn profiles were very different, despite these two species being taxonomically closely related and often used as biomonitors for metals. Interestingly, Hg and U were detected in AMs but not in oysters and mussels. The difference in metal profile in oysters, mussels and AMs revealed in the present study clearly showed that different biomonitors and AM take up metals differentially from the same environment, and metal profile in a single biomonitor or AM alone therefore, cannot provide a good estimate on metal concentrations in the ambient environment. As such, different biomonitors and AM should be used in metal monitoring, in order to provide a comprehensive picture on metal levels in aquatic ecosystems. Concentrations of Ni and Pb in oysters, and Cr, Fe and Mn in mussels were among the highest reported in coastal waters worldwide. Concentrations of Pb in oysters exceeded legal limits set for bivalve mollusks in EU. Concentrations of Cr in mussels and oysters exceeded or were very close to, respectively, the legal limit for fish, crab-meat, oysters, prawns, and shrimps in Hong Kong. The results indicate a potential public health risk on human consumption of oysters and mussels commonly harvested from the Estero de Urias lagoon, and corresponding pollution control measures are deemed necessary. (C) 2018 Elsevier Ltd. All rights reserved.</t>
  </si>
  <si>
    <t>[Carolina Ruiz-Fernandez, Ana; Hascibe Perez-Bernal, Libia] Univ Nacl Autonoma Mexico, Unidad Acad Mazatlan, Inst Ciencias Mar &amp; Limnol, Calz J Montes Camarena S-N, Mazatlan 82040, Sin, Mexico; [Wu, Rudolf S. S.] Educ Univ Hong Kong, Dept Sci &amp; Environm Studies, Hong Kong, Hong Kong, Peoples R China; [Lau, Tai-Chu] City Univ Hong Kong, Dept Biol &amp; Chem, Hong Kong, Hong Kong, Peoples R China; [Albert Sanchez-Cabeza, Joan] Univ Nacl Autonoma Mexico, Inst Ciencias Mar &amp; Limnol, Unidad Acad Proc Ocean &amp; Costeros, Mexico City 04510, DF, Mexico; [Chiu, Jill M. Y.] Hong Kong Baptist Univ, Dept Biol, Hong Kong, Hong Kong, Peoples R China</t>
  </si>
  <si>
    <t>Universidad Nacional Autonoma de Mexico; Education University of Hong Kong (EdUHK); City University of Hong Kong; Universidad Nacional Autonoma de Mexico; Hong Kong Baptist University</t>
  </si>
  <si>
    <t>Chiu, JMY (corresponding author), Hong Kong Baptist Univ, Dept Biol, Hong Kong, Hong Kong, Peoples R China.</t>
  </si>
  <si>
    <t>Wu, Rudolf/B-4203-2010; Ruiz-Fernández, Ana Carolina/ABG-6985-2020; Chiu, Man/E-9857-2010; Sanchez-Cabeza, Joan-Albert/Q-2394-2016</t>
  </si>
  <si>
    <t>RUIZ-FERNANDEZ, ANA CAROLINA/0000-0002-2515-1249; Sanchez-Cabeza, Joan-Albert/0000-0002-3540-1168</t>
  </si>
  <si>
    <t>CONACYT project [PDCPN2013-01/214349]; Education University of Hong Kong [R3721:RG79/15-16R]</t>
  </si>
  <si>
    <t>CONACYT project(Consejo Nacional de Ciencia y Tecnologia (CONACyT)); Education University of Hong Kong</t>
  </si>
  <si>
    <t>The authors gratefully acknowledge financial support received by the PRODEP network Aquatic contamination: levels and effects (year 3) and CONACYT project PDCPN2013-01/214349 as well as support from the Education University of Hong Kong (#R3721:RG79/15-16R). Thanks are due to O. Lopez Ramos and S. Rendon-Rodriguez (sampling), and to H. Bojorquez, G. Ramirez, C. Suarez, D. Oviedo, Jonathan Yip and Ye Tong Dong for technical assistance.</t>
  </si>
  <si>
    <t>10.1016/j.envpol.2018.08.047</t>
  </si>
  <si>
    <t>http://dx.doi.org/10.1016/j.envpol.2018.08.047</t>
  </si>
  <si>
    <t>WOS:000449891800021</t>
  </si>
  <si>
    <t>Lin, MH; Lee, CH; Lin, YC; Yang, KH</t>
  </si>
  <si>
    <t>Lin, Ming-Hsun; Lee, Cheng-Haw; Lin, Yung-Chang; Yang, Kuo-Hsin</t>
  </si>
  <si>
    <t>Potentially toxic trace elements accumulating in marine sediment and bivalves in the outfall area of a desalination plant</t>
  </si>
  <si>
    <t>Potentially toxic trace element; Desalination plant; Sediment; Bioaccumulation</t>
  </si>
  <si>
    <t>METAL CONTAMINATION; HEALTH THREAT; ARABIAN GULF; TAIWAN; COAST; POLLUTION; SEAWATER; OYSTERS</t>
  </si>
  <si>
    <t>This study evaluated the environmental impact of seawater desalination effluent discharged into a water body by investigating potentially toxic trace elements in the outfall area of a desalination facility on the southeastern coast of the Penghu Island (Taiwan). Trace element concentrations are analyzed using various samples (sediment, water and bivalves). Copper, zinc and arsenic were detected in sediment samples in the outfall area and decreased progressively as one moved away from this area. A contour plotting technique was applied to assess and visualize trace element pollution point sources (inputs) in the study area. Trace element concentrations measured directly in the desalination plant effluent confirm analytical results. Bivalve samples such as oysters and clams were collected 50 m from the desalination coastal area. Trace element concentrations in bivalves varied randomly. A clear increasing tendency over time (bioaccumulation) was not observed. This study cannot support the use of trace element bioaccumulation as a bio-monitoring index for marine environments polluted by seawater desalination effluent. We recommend that investigations of bioaccumulation should be targeted close to pollution sources.</t>
  </si>
  <si>
    <t>[Lin, Ming-Hsun; Lee, Cheng-Haw] Natl Cheng Kung Univ, Dept Resources Engn, Tainan 701, Taiwan; [Lin, Yung-Chang] Cheng Shiu Univ, Dept Elect Engn, Niaosong Township 833, Kaohsiung Cty, Taiwan; [Yang, Kuo-Hsin] Natl Taiwan Univ Sci &amp; Technol, Dept Construct Engn, Taipei 106, Taiwan</t>
  </si>
  <si>
    <t>National Cheng Kung University; Cheng Shiu University; National Taiwan University of Science &amp; Technology</t>
  </si>
  <si>
    <t>Lee, CH (corresponding author), Natl Cheng Kung Univ, Dept Resources Engn, 1 Univ Rd, Tainan 701, Taiwan.</t>
  </si>
  <si>
    <t>leech@mail.ncku.edu.tw</t>
  </si>
  <si>
    <t>Lin, Yung-Chang/G-1545-2015; Yang, Kuo-Hsin/HTS-7767-2023</t>
  </si>
  <si>
    <t>Yang, Kuo-Hsin/0000-0003-4460-7085</t>
  </si>
  <si>
    <t>10.5004/dwt.2011.1753</t>
  </si>
  <si>
    <t>http://dx.doi.org/10.5004/dwt.2011.1753</t>
  </si>
  <si>
    <t>709KU</t>
  </si>
  <si>
    <t>WOS:000286437700015</t>
  </si>
  <si>
    <t>Doyotte, A; Cossu, C; Jacquin, MC; Babut, M; Vasseur, P</t>
  </si>
  <si>
    <t>Antioxidant enzymes, glutathione and lipid peroxidation as relevant biomarkers of experimental or field exposure in the gills and the digestive gland of the freshwater bivalve Unio tumidus</t>
  </si>
  <si>
    <t>antioxidant enzymes; glutathione reductase; selenium-dependent glutathione peroxidase; glutathione; freshwater bivalves; Unio sp.; copper; thiram; lipid peroxidation</t>
  </si>
  <si>
    <t>MUSSEL MYTILUS-EDULIS; SUPEROXIDE-DISMUTASE; OXIDATIVE STRESS; CHANNEL CATFISH; COMMON MUSSEL; RESPONSES; PARAQUAT; DIETHYLDITHIOCARBAMATE; BIOTRANSFORMATION; INHIBITION</t>
  </si>
  <si>
    <t>The aim of this work was to evaluate the potential utility of antioxidant parameters as indicators of exposure to toxicants and of toxic effects in the freshwater mussel Unio tumidus. Antioxidant enzymes (glutathione peroxidase (EC 1.11.1.9), glutathione reductase (EC 1.6.4.2), superoxide dismutase (EC 1.15.1.1), catalase (EC 1.11.1.6)), redox status of glutathione and lipid peroxidation were measured at first in the gills and the digestive glands of mussels after exposure to copper (30 mu g l(-1)) or/and thiram (100 mu g l(-1)) for 3 days. The effects of a complex industrial effluent on the antioxidant system were investigated afterwards in a held study: encaged mussels were placed in a river upstream and downstream from a pollution source consisting of the effluent of a cokery for 1 week. These studies demonstrated that in both experimental exposures, the most sensitive parameters were selenium-dependent glutathione peroxidase activity (SeGPx), reduced glutathione levels (GSH) and especially glutathione reductase activity (GRd) which significantly decreased. Decreases in SeGPX and GRd activities were more pronounced in the gills under coexposure to copper and thiram, with 74% and 78% of reduced activity, respectively (P &lt; 0.01); reduction of GSH levels was 50% in this case. In the field study, the activities could be reduced by 35% and 72% in the gills for SeGPx and GRd, respectively; reduction of GSH levels could reach 45%. In contrast, superoxide dismutase and catalase activities remained generally constant in all the treatment groups compared with controls. Lipid peroxidation, as expressed by malonaldehyde content measured by HPLC, was slightly enhanced in experiment with copper+thiram and this increase (from 1.8 to 2.8 fold) was concomitant with a depletion of antioxidant defences. The responses of antioxidant parameters were overall greater in the gills than in the digestive glands of exposed mussels. These results suggest that among antioxidant defence systems, SeGPx, GSH levels and particularly GRd, could represent biomarkers of interest for the estimation of the effects of environmental contamination on freshwater invertebrates. (C) 1997 Elsevier Science B.V.</t>
  </si>
  <si>
    <t>UNIV METZ, CTR ENVIRONM SCI, F-57040 METZ, FRANCE; AGENCE EAU RHIN MEUSE, F-57061 MOULINS METZ, FRANCE</t>
  </si>
  <si>
    <t>Marc, Babut/ABD-1349-2020</t>
  </si>
  <si>
    <t>Babut, Marc/0000-0002-6919-1314</t>
  </si>
  <si>
    <t>10.1016/S0166-445X(97)00024-6</t>
  </si>
  <si>
    <t>http://dx.doi.org/10.1016/S0166-445X(97)00024-6</t>
  </si>
  <si>
    <t>YB817</t>
  </si>
  <si>
    <t>WOS:A1997YB81700001</t>
  </si>
  <si>
    <t>Xie, YH; Chen, HB; Zheng, SY; Zhang, XL; Mu, SN</t>
  </si>
  <si>
    <t>Xie, Yanhai; Chen, Hongbing; Zheng, Shuangyan; Zhang, Xiali; Mu, Songniu</t>
  </si>
  <si>
    <t>Molecular characterization of cu/Zn SOD gene in Asian clam Corbicula fluminea and mRNA expression and enzymatic activity modulation induced by metals</t>
  </si>
  <si>
    <t>Cu/Zn SOD; Gene expression; Enzymatic activities; Metal ions; Corbicula fluminea</t>
  </si>
  <si>
    <t>SUPEROXIDE-DISMUTASE SOD; FLOUNDER PLATICHTHYS-FLESUS; OXIDATIVE STRESS; VENERUPIS-PHILIPPINARUM; CIONA-INTESTINALIS; REACTIVE OXYGEN; CDNA CLONING; HEAVY-METALS; RESPONSES; EXPOSURE</t>
  </si>
  <si>
    <t>The copper/zinc superoxide dismutase (Cu/Zn SOD) could effectively eliminate reactive oxygen species (ROS). In this study, the cDNA sequence of Cu/Zn SOD from Corbicula fluminea (designated as CfCu/Zn SOD) was cloned by the rapid amplification of cDNA ends (RACE) approaches. The full-length cDNA of CfCu/Zn SOD was of 1288 bp, including a 465 bp ORF encoding a protein of 154 amino acids. Two SOD family signatures were identified in CfCu/Zn SOD amino acids sequence. Multiple sequence alignments indicated that CfCu/Zn SOD amino acid sequences exhibited high similarities to those of other species. The tissue distribution of the CfCu/Zn SOD of C. fluminea was detected by fluorescent real-time quantitative PCR. The mRNA expression levels in digestive gland and gill were significantly higher than those of other four tissues. In response to metal ions (Cd2+, Cu2+, and Pb2+) challenge, the expression and enzymatic activities of CfCu/Zn SOD in the gills were measured after exposure for 0, 6, 12, 24, 48, and 72 h. The results showed that the mRNA expression and enzymatic activities of CfCu/Zn SOD could be induced by three metal ions. After Cd2+ and Cu2+ exposure, the mRNA expression levels increased gradually and reach the peak at 24 h, afterwards it slowed down. The change trends of enzymatic activities were similar to the mRNA expression. After Pb2+ exposure, the expression and activities CfCu/Zn SOD were raised up gradually and reach the highest value at 72 h. All these results indicated that the mRNA expression and enzymatic activity of CfCu/Zn SOD are sensitive to Cd2+, Cu2+ and Pb2+ ions and can be used as molecular biomarkers of metal pollution in water.</t>
  </si>
  <si>
    <t>[Xie, Yanhai; Zheng, Shuangyan; Zhang, Xiali; Mu, Songniu] Nanchang Univ, Sci Ctr Lab Anim, 71 Yangming Rd, Nanchang 330003, Jiangxi, Peoples R China; [Xie, Yanhai; Chen, Hongbing] Nanchang Univ, State Key Lab Food Sci &amp; Technol, 235 Nanjing Dong Rd, Nanchang 330047, Jiangxi, Peoples R China</t>
  </si>
  <si>
    <t>Nanchang University; Nanchang University</t>
  </si>
  <si>
    <t>Xie, YH (corresponding author), Nanchang Univ, Sci Ctr Lab Anim, 71 Yangming Rd, Nanchang 330003, Jiangxi, Peoples R China.</t>
  </si>
  <si>
    <t>xieyh818@ncu.edu.cn</t>
  </si>
  <si>
    <t>Chen, QH/GXH-3158-2022; Wang, Peiyun/JVE-1196-2024</t>
  </si>
  <si>
    <t>National Natural Science Foundation of China [31460145]; Natural Science Foundation of Jiangxi Province [20122BAB204009]</t>
  </si>
  <si>
    <t>National Natural Science Foundation of China(National Natural Science Foundation of China (NSFC)); Natural Science Foundation of Jiangxi Province(Natural Science Foundation of Jiangxi Province)</t>
  </si>
  <si>
    <t>This research was financially supported by National Natural Science Foundation (No. 31460145) of China, and Natural Science Foundation of Jiangxi Province (No. 20122BAB204009).</t>
  </si>
  <si>
    <t>10.1016/j.gene.2018.04.044</t>
  </si>
  <si>
    <t>http://dx.doi.org/10.1016/j.gene.2018.04.044</t>
  </si>
  <si>
    <t>GI9YO</t>
  </si>
  <si>
    <t>WOS:000434901700023</t>
  </si>
  <si>
    <t>CZARNEZKI, JM</t>
  </si>
  <si>
    <t>USE OF THE POCKETBOOK MUSSEL, LAMPSILIS-VENTRICOSA, FOR MONITORING HEAVY-METAL POLLUTION IN AN OZARK STREAM</t>
  </si>
  <si>
    <t>CZARNEZKI, JM (corresponding author), MISSOURI DEPT CONSERVAT,1110 COLL AVE,COLUMBIA,MO 65201, USA.</t>
  </si>
  <si>
    <t>10.1007/BF01608597</t>
  </si>
  <si>
    <t>http://dx.doi.org/10.1007/BF01608597</t>
  </si>
  <si>
    <t>G2992</t>
  </si>
  <si>
    <t>WOS:A1987G299200013</t>
  </si>
  <si>
    <t>Lécrivain, N; Duparc, A; Clément, B; Naffrechoux, E; Frossard, V</t>
  </si>
  <si>
    <t>Lecrivain, Nathalie; Duparc, Antoine; Clement, Bernard; Naffrechoux, Emmanuel; Frossard, Victor</t>
  </si>
  <si>
    <t>Tracking sources and transfer of contamination according to pollutants variety at the sediment-biota interface using a clam as bioindicator in peri-alpine lakes</t>
  </si>
  <si>
    <t>Trace metal; Polycyclic aromatic hydrocarbon; Bioindicator; Bioconcentration; Corbicula fluminea; Littoral</t>
  </si>
  <si>
    <t>POLYCYCLIC AROMATIC-HYDROCARBONS; PERSISTENT ORGANIC POLLUTANTS; HEAVY-METALS; CORBICULA-FLUMINEA; POLYCHLORINATED-BIPHENYLS; URBAN STORMWATER; TRACE-METALS; WATER; RIVER; BIOCONCENTRATION</t>
  </si>
  <si>
    <t>Point pollution sources may differently impact lakes littoral, possibly leading to local ecological risks. The concomitant chemical analysis of littoral-benthic organisms and sediment can provide insights into the bioavailability and thus the ecological risk of contaminants. In this study, the autochthonous Corbicula fluminea was used to assess the sources and transfer of six trace metals (TMs) and fourteen Polycyclic Aromatic Hydrocarbons (PAHs) to the littoral-benthic biota of a large lake. The contaminant concentrations spatially varied with a value scale from 1 to 280 000 times along the lake littoral in both the sediment and clams. Multiple linear regressions were performed to explain the spatial variability of Corbicula fluminea contamination by considering both watershed and in-lake sources. The concentration of the sum of PAHs in clams was significantly correlated with sediment contamination, suggesting that PAHs contamination of the benthic biota mainly occur from the sediment. Most of the internal TM concentrations of clams were significantly correlated with stormwater drainage areas in the lake watershed, highlighting the importance of stormwater runoffs in the littoral biota contamination. The transfer of TMs and PAHs was assessed through the bioconcentration factor defined as the ratio of internal and sediment concentrations. As, Cd, Cu, Zn and light molecular weight PAHs were more bio-concentrated in C. fluminea than Pb, Sn and heavy molecular weight PAHs, suggesting differences in their bioavailability. This study underlines the relevance of using autochthonous organisms as bioindicators of lake littoral biota contamination concomitantly with sediment matrices, and illustrates the challenge of tracking pollution sources in lakes. (C) 2019 Elsevier Ltd. All rights reserved.</t>
  </si>
  <si>
    <t>[Lecrivain, Nathalie; Clement, Bernard] Univ Lyon, Univ Claude Bernard Lyon 1, CNRS, ENTPE,UMR5023 LEHNA, F-69518 Vaulx En Velin, France; [Duparc, Antoine] Univ Savoie Mt Blanc, UMR 5553 LECA, F-73376 Le Bourget Du Lac, France; [Naffrechoux, Emmanuel] Univ Savoie Mt Blanc, LCME, F-73376 Le Bourget Du Lac, France; [Frossard, Victor] Univ Savoie Mt Blanc, UMR 42 CARRTEL, F-73376 Le Bourget Du Lac, France</t>
  </si>
  <si>
    <t>Centre National de la Recherche Scientifique (CNRS); Universite Claude Bernard Lyon 1; Universite Savoie Mont Blanc; Universite Savoie Mont Blanc; Universite Savoie Mont Blanc</t>
  </si>
  <si>
    <t>Lécrivain, N (corresponding author), Univ Lyon, Univ Claude Bernard Lyon 1, CNRS, ENTPE,UMR5023 LEHNA, F-69518 Vaulx En Velin, France.</t>
  </si>
  <si>
    <t>nathalie.lecrivain10@gmail.com</t>
  </si>
  <si>
    <t>Naffrechoux, Emmanuel/0000-0003-0931-4068</t>
  </si>
  <si>
    <t>Association Agreee de Peche et de Protection des Milieux Aquatiques (APPMA) Annecy Lac Peche; Federation Departementale de Peche et Protection des Milieux Aquatiques de Haute-Savoie</t>
  </si>
  <si>
    <t>This work has been financially supported by Association Agreee de Peche et de Protection des Milieux Aquatiques (APPMA) Annecy Lac Peche and the Federation Departementale de Peche et Protection des Milieux Aquatiques de Haute-Savoie.</t>
  </si>
  <si>
    <t>10.1016/j.chemosphere.2019.124569</t>
  </si>
  <si>
    <t>http://dx.doi.org/10.1016/j.chemosphere.2019.124569</t>
  </si>
  <si>
    <t>JO9HS</t>
  </si>
  <si>
    <t>WOS:000497885800046</t>
  </si>
  <si>
    <t>Karasov, WH; Jung, RE; Vanden Langenberg, S; Bergeson, TLE</t>
  </si>
  <si>
    <t>Field exposure of frog embryos and tadpoles along a pollution gradient in the Fox River and Green Bay ecosystem in Wisconsin, USA</t>
  </si>
  <si>
    <t>ammonia; amphibian; heavy metals; polychlorinated biphenyls; tadpoles</t>
  </si>
  <si>
    <t>NORTHERN LEOPARD FROGS; DIBENZO-P-DIOXINS; UV-B RADIATION; POLYCHLORINATED-BIPHENYLS; RANA-PIPIENS; AMPHIBIAN POPULATIONS; SOUTHWESTERN MICHIGAN; LARVAL DEVELOPMENT; SOUTHERN ONTARIO; LAKE-MICHIGAN</t>
  </si>
  <si>
    <t>We raised embryos and tadpoles of green frogs (Rana clamitans melanota) and leopard frogs (R. pipiens) in situ along a contamination gradient in the Fox River/Green Bay ecosystem (WI, USA). Differences in exposure were reflected by significant positive regressions between concentrations in sediment and in frogs of polychlorinated biphenyl (PCB) congeners and some heavy metals (Cd, Cr, and Pb), which could have predictive value for estimating exposure of amphibians to contaminants in this ecosystem and, perhaps, in others. On average, non-ortho-substituted coplanar PCBs made up a very small percentage (average, 0.2%) of the PCB congeners in all samples analyzed, with larger fractions accounted for by mono- and di-ortho congeners (average, 19%) and routine congeners (average, 81%). Hatchability of frog embryo batches and anuran species richness at the sites were negatively correlated with level of contamination, but tadpole growth and survival were not. Sediment and tissue levels of PCBs and metals generally were correlated with each other, confounding the association of effects on frogs with any particular contaminant. It is also plausible that high levels of un-ionized ammonia (NH3) reduced hatching success of green frog, but not leopard frog, embryos in the field enclosures. Other environmental factors that were present but unmeasured in the field, such as ultraviolet-B radiation as well as water flow and level fluctuations, might have caused differences in hatching success at the field sites.</t>
  </si>
  <si>
    <t>Univ Wisconsin, Dept Wildlife Ecol, Madison, WI 53706 USA; Univ Wisconsin, Dept Zool, Madison, WI 53706 USA; Univ Wisconsin, Dept Biol, Green Bay, WI 54302 USA</t>
  </si>
  <si>
    <t>University of Wisconsin System; University of Wisconsin Madison; University of Wisconsin System; University of Wisconsin Madison; University of Wisconsin System</t>
  </si>
  <si>
    <t>Karasov, WH (corresponding author), Univ Wisconsin, Dept Wildlife Ecol, Madison, WI 53706 USA.</t>
  </si>
  <si>
    <t>wkarasov@wisc.edu</t>
  </si>
  <si>
    <t>10.1897/04-213R.1</t>
  </si>
  <si>
    <t>http://dx.doi.org/10.1897/04-213R.1</t>
  </si>
  <si>
    <t>909TG</t>
  </si>
  <si>
    <t>WOS:000227883000025</t>
  </si>
  <si>
    <t>Stuijfzand, SC; Jonker, MJ; van Ammelrooy, E; Admiraal, W</t>
  </si>
  <si>
    <t>Species-specific responses to metals in organically enriched river water, with emphasis on effects of humic acids</t>
  </si>
  <si>
    <t>metals; organic compounds; humic acids; zebra mussel; Dreissena polymorpha; midge; Chironomus riparius</t>
  </si>
  <si>
    <t>MUSSEL DREISSENA-POLYMORPHA; MIDGE CHIRONOMUS-RIPARIUS; TOXICITY; ECOSYSTEMS; SUBSTANCES; CADMIUM; ZINC</t>
  </si>
  <si>
    <t>Invertebrate communities in polluted rivers are often exposed to a wide variety of compounds. Due to complex interactions, 'pollution tolerant' species are not necessarily the most tolerant species to toxicants tested under standard laboratory conditions. It was hypothesized that the distribution of species in polluted rivers is not only dependent on the tolerance of species to toxicants, but also on species-specific capacities to modify or compensate for negative effects of toxicants. To test this hypothesis, species-specific responses to metals in organically enriched river water were studied under controlled conditions. The zebra mussel Dreissena polymorpha and the midge Chironomus riparius were exposed to metal-polluted water from the River Dommel. Additionally, the (interactive) effects of metals and humic acids (HA) on both species were evaluated. In spite of a lower tolerance of Chironomus riparius to metals in laboratory studies, the midge was the most tolerant of the two test species to metal-polluted site water. The results indicated that the sensitivities of the two test species determined in laboratory tests were inversely related to their sensitivities to polluted river water. In accordance with these results, midge larvae were protected from copper (Cu) toxicity by HA, while metal toxicity was not reduced (Cu) or even amplified (cadmium) by HA for the zebra mussel. Thus, the presence of (naturally occurring) HA in site water may partly account for discrepancies between responses of species to bioassays and toxicity tests. It is suggested that these differences in responses to metals in site water are strongly influenced by species-specific preferences for organic compounds (like HA). It is concluded that the response to organic compounds present in site water largely determines whether a species is classified as 'pollution tolerant' or 'pollution sensitive'. (C) 1999 Elsevier Science Ltd. All rights reserved.</t>
  </si>
  <si>
    <t>Univ Amsterdam, ARISE, Dept Aquat Ecol &amp; Ecotoxicol, NL-1098 SM Amsterdam, Netherlands</t>
  </si>
  <si>
    <t>University of Amsterdam</t>
  </si>
  <si>
    <t>Stuijfzand, SC (corresponding author), Univ Amsterdam, ARISE, Dept Aquat Ecol &amp; Ecotoxicol, Kruislaan 320, NL-1098 SM Amsterdam, Netherlands.</t>
  </si>
  <si>
    <t>stuijfzand@bio.uva.nl</t>
  </si>
  <si>
    <t>10.1016/S0269-7491(99)00052-4</t>
  </si>
  <si>
    <t>http://dx.doi.org/10.1016/S0269-7491(99)00052-4</t>
  </si>
  <si>
    <t>208CC</t>
  </si>
  <si>
    <t>WOS:000080971800015</t>
  </si>
  <si>
    <t>Baldi, F; Gallo, M; Marchetto, D; Faleri, C; Maida, I; Fani, R</t>
  </si>
  <si>
    <t>Baldi, Franco; Gallo, Michele; Marchetto, Davide; Faleri, Claudia; Maida, Isabel; Fani, Renato</t>
  </si>
  <si>
    <t>Manila clams from Hg polluted sediments of Marano and Grado lagoons (Italy) harbor detoxifying Hg resistant bacteria in soft tissues</t>
  </si>
  <si>
    <t>10th International Conference on Mercury as a Global Pollutant</t>
  </si>
  <si>
    <t>JUL 24-28, 2011</t>
  </si>
  <si>
    <t>Halifax, CANADA</t>
  </si>
  <si>
    <t>Clams; Lagoon; Hg-resistant bacteria; Hg detoxification</t>
  </si>
  <si>
    <t>NORTHERN ADRIATIC SEA; MULTIPLE SEQUENCE ALIGNMENT; RUDITAPES-PHILIPPINARUM; MERCURIC-REDUCTASE; CONTAMINATION; ENDOSYMBIOSES; ENVIRONMENT; BIVALVIA; MOLLUSCA; METALS</t>
  </si>
  <si>
    <t>A mechanism of mercury detoxification has been suggested by a previous study on Hg bioaccumulation in Manila clams (Ruditapes philippinarum) in the polluted Marano and Grado lagoons and in this study we demonstrate that this event could be partly related to the detoxifying activities of Hg-resistant bacteria (MRB) harbored in clam soft tissues. Therefore, natural clams were collected in six stations during two different periods (winter and spring) from Marano and Grado Lagoons. Siphons, gills and hepatopancreas from acclimatized clams were sterile dissected to isolate MRB. These anatomical parts were glass homogenized or used for whole, and they were lying on a solid medium containing 5 mg l(-1) HgCl2 and incubated at 30 degrees C. A total of fourteen bacterial strains were isolated and were identified by 16S rDNA sequencing and analysis, revealing that strains were representative of eight bacterial genera, four of which were Gram-positive (Enterococcus, Bacillus, Jeotgalicoccus and Staphylococcus) and other four were Gram-negative (Stenotrophomonas, Vibrio, Raoultella and Enterobacter). Plasmids and merA genes were found and their sequences determined. Fluorescence in situ hybridization (FISH) technique shows the presence of Firmicutes, Actinobacteria and Gammaproteobacteria by using different molecular probes in siphon and gills. Bacterial clumps inside clam flesh were observed and even a Gram-negative endosymbiont was disclosed by transmission electronic microscope inside clam cells. Bacteria harbored in cavities of soft tissue have mercury detoxifying activity. This feature was confirmed by the determination of mercuric reductase in glass-homogenized siphons and gills. (C) 2013 Elsevier Inc. All rights reserved.</t>
  </si>
  <si>
    <t>[Baldi, Franco; Gallo, Michele; Marchetto, Davide] Ca Foscari Univ Venice, Dipartimento Sci Mol &amp; Nanosistemi, I-30123 Venice, Italy; [Faleri, Claudia] Univ Siena, Dept Environm Sci G Sarfatti, I-53100 Siena, Italy; [Maida, Isabel; Fani, Renato] Univ Florence, Dipartimento Biol Evoluzionist, I-50125 Florence, Italy</t>
  </si>
  <si>
    <t>Universita Ca Foscari Venezia; University of Siena; University of Florence</t>
  </si>
  <si>
    <t>Baldi, F (corresponding author), Ca Foscari Univ Venice, Dipartimento Sci Mol &amp; Nanosistemi, Dorsoduro 2137, I-30123 Venice, Italy.</t>
  </si>
  <si>
    <t>10.1016/j.envres.2012.11.008</t>
  </si>
  <si>
    <t>http://dx.doi.org/10.1016/j.envres.2012.11.008</t>
  </si>
  <si>
    <t>204XQ</t>
  </si>
  <si>
    <t>WOS:000323405000021</t>
  </si>
  <si>
    <t>Shulkin, VM; Presley, BJ; Kavun, VI</t>
  </si>
  <si>
    <t>Metal concentrations in mussel Crenomytilus grayanus and oyster Crassostrea gigas in relation to contamination of ambient sediments</t>
  </si>
  <si>
    <t>bioavailability; trace metals; mussel; oyster; bottom sediments; monitoring; Sea of Japan</t>
  </si>
  <si>
    <t>MYTILUS-EDULIS; TRACE-METALS; GALVESTON BAY; POLLUTION; ORGANISMS; MARINE; BIOACCUMULATION; AVAILABILITY; VIRGINICA; INDICATOR</t>
  </si>
  <si>
    <t>The relationship between Zn, Cu, Cd, Pb, and Ni concentrations in soft tissues of mussels and oysters and those in ambient sediments was examined. The study area was the coastal habitats of the northwestern Sea of Japan, which has a broad range of contamination due to urban sewage. Significant increases of all metals, except Ni, were observed in mussel Crenomytilus grayanus at concentrations of easily leachable metals in ambient sediments higher than 2, 100, and 800 mug/g for Cd, Cu, and Zn, respectively. Pb was accumulated by the mussels with no distinct threshold in Pb contamination of sediments. After 2 months, C. grayanus transplanted from a pristine to a contaminated locality increased in Pb up to 12%, and Cu up to 68% of concentrations of these metals in the contaminated local mussels, but Zn and Cd concentrations increased only in the excretory tissue, not in the somatic tissue, or in the soft tissue as a whole. Such regulation of metal accumulation puts limitations on the use of C. grayanus for monitoring of slightly and moderately contaminated localities. On the other hand, the oyster Crassostrea gigas showed definite accumulation of all metals, except Ni, at moderate contamination of ambient sediments. As contamination of sediments increased, increases of Pb, Zn and Cu concentrations in C gigas slowed, possibly due to physiological control at very high metal concentrations in oyster soft tissue. Thus, the mussel C grayanus should be used mainly for the monitoring of heavy contaminated localities, and the oyster C gigas is more suitable as an indicator of low and moderate contamination. (C) 2003 Elsevier Science Ltd. All rights reserved.</t>
  </si>
  <si>
    <t>Texas A&amp;M Univ, Dept Oceanog, College Stn, TX 77843 USA; Russian Acad Sci, Pacific Geog Inst, Vladivostok 690041, Russia; Inst Marine Biol, Vladivostok 690041, Russia</t>
  </si>
  <si>
    <t>Texas A&amp;M University System; Texas A&amp;M University College Station; Russian Academy of Sciences; Pacific Geographical Institute of the Far Eastern Branch of the Russian Academy of Sciences; Russian Academy of Sciences; National Scientific Center of Marine Biology, Far East Branch of the Russian Academy of Sciences</t>
  </si>
  <si>
    <t>Presley, BJ (corresponding author), Texas A&amp;M Univ, Dept Oceanog, College Stn, TX 77843 USA.</t>
  </si>
  <si>
    <t>10.1016/S0160-4120(03)00004-7</t>
  </si>
  <si>
    <t>http://dx.doi.org/10.1016/S0160-4120(03)00004-7</t>
  </si>
  <si>
    <t>WOS:000182633500010</t>
  </si>
  <si>
    <t>Simonetti, P; Botté, SE; Marcovecchio, JE</t>
  </si>
  <si>
    <t>Simonetti, Pia; Elizabeth Botte, Sandra; Eduardo Marcovecchio, Jorge</t>
  </si>
  <si>
    <t>Exceptionally high Cd levels and other trace elements in eggshells of American oystercatcher (Haematopus palliatus) from the Bahia Blanca Estuary, Argentina</t>
  </si>
  <si>
    <t>Trace metals; Eggshells; American oystercatcher; Haematopus palliatus; Bahia Blanca estuary</t>
  </si>
  <si>
    <t>CRAB CHASMAGNATHUS-GRANULATUS; HEAVY-METALS; SELENIUM LEVELS; EGG CONTENTS; HONG-KONG; CADMIUM; SEABIRDS; MERCURY; GREAT; BIRDS</t>
  </si>
  <si>
    <t>Concentrations of six trace metals were determined in the eggshells of American oystercatchers (Haematopus palliatus) from the Bahia Blanca estuary, Argentina, All metals measured in selected samples presented concentrations above the detection limit. Means found for Cu, Pb, Cr, Zn and Ni were as follow: 2.02 +/- 0.52, 7.23 +/- 2.33, 0.78 +/- 0.03,222 +/- 1.13 and 6.05 +/- 0.89 mg/kg dw. The mean concentrations of Cd found were surprisingly high: 13.28 +/- 3.38 mg/kg dw. Previous studies made on prey items of the American oystercatchers showed low to medium concentrations of the six trace metals. This may indicate a possible transfer of the metals that are available in the environment through food chains. Our study indicates that American oystercatchers sequester heavy metals in their eggshells. Therefore the eggshells may be useful as biomonitors for trace metal contamination in the Bahia Blanca estuary. (C) 2015 Elsevier Ltd. All rights reserved.</t>
  </si>
  <si>
    <t>[Simonetti, Pia; Elizabeth Botte, Sandra; Eduardo Marcovecchio, Jorge] CCT CONICET, Inst Argentina Oceanog IADO, Area Oceanog Quim, Bahia Blanca, Pcia De Bs As, Argentina; [Elizabeth Botte, Sandra] Univ Nacl Sur, Dept Biol Bioquim &amp; Farm, RA-670 San Juan, Pcia De Bs As, Argentina; [Eduardo Marcovecchio, Jorge] Univ Tecnol Nacl UTN FRBB, Bahia Blanca, Pcia De Bs As, Argentina; [Eduardo Marcovecchio, Jorge] Univ FASTA, Mar Del Plata, Pcia De Bs As, Argentina</t>
  </si>
  <si>
    <t>Consejo Nacional de Investigaciones Cientificas y Tecnicas (CONICET); National University of the South</t>
  </si>
  <si>
    <t>Simonetti, P (corresponding author), CCT CONICET, Inst Argentina Oceanog IADO, Area Oceanog Quim, Camino Carrindanga,Km 7-5,B8000FWB, Bahia Blanca, Pcia De Bs As, Argentina.</t>
  </si>
  <si>
    <t>simonetti@criba.edu.ar; sbotte@iado-conicet.gob.ar; jorgemar@lado-conicet.gob.ar</t>
  </si>
  <si>
    <t>Botté, Sandra/AAA-5227-2020; Marcovecchio, Jorge/AAQ-3365-2020</t>
  </si>
  <si>
    <t>BOTTE, SANDRA E./0000-0003-2497-2704</t>
  </si>
  <si>
    <t>National Agency for Scientific and Technological Promotion (ANPCyT) - Argentina [PICT 2006 NQ 945]; Latin America E. Alexander Bergstrom Memorial Research Award from the Association of Field Ornithologists</t>
  </si>
  <si>
    <t>National Agency for Scientific and Technological Promotion (ANPCyT) - Argentina(ANPCyT); Latin America E. Alexander Bergstrom Memorial Research Award from the Association of Field Ornithologists</t>
  </si>
  <si>
    <t>The authors thank Martin Sotelo, Lucrecia Diaz, Rodolfo Sarria, Eugenia Nahuelhual and Magali Verolo for their collaboration in field work. The authors also thank Nedda Chiarello for their valuable help in the laboratory analysis. This research was supported with a grant funded by National Agency for Scientific and Technological Promotion (ANPCyT, PICT 2006 NQ 945, period 2008-2011 - Argentina) and with the 2008 Latin America E. Alexander Bergstrom Memorial Research Award from the Association of Field Ornithologists.</t>
  </si>
  <si>
    <t>10.1016/j.marpolbul.2015.09.006</t>
  </si>
  <si>
    <t>http://dx.doi.org/10.1016/j.marpolbul.2015.09.006</t>
  </si>
  <si>
    <t>CZ0BZ</t>
  </si>
  <si>
    <t>WOS:000366771400067</t>
  </si>
  <si>
    <t>Ruiz, JM; Saiz-Salinas, JI</t>
  </si>
  <si>
    <t>Extreme variation in the concentration of trace metals in sediments and bivalves from the Bilbao estuary (Spain) caused by the 1989-90 drought</t>
  </si>
  <si>
    <t>Bilbao estuary; bivalves Scrobicularia plana; drought; trace metals; organic matter; river flow; sediment; sewage contamination; temporal variation</t>
  </si>
  <si>
    <t>SAN-FRANCISCO BAY; MARINE-SEDIMENTS; HEAVY-METALS; ACCUMULATION; POLLUTION; CADMIUM; HARBOR</t>
  </si>
  <si>
    <t>Intertidal sediments and bivalves Scrobicularia plana from Bilbao estuary (Spain) were repeatedly sampled during and after the 1989-90 drought. The organic content (OC) and the concentration of most of the 10 metals analysed in sediments were extremely variable (e.g. Cd ranged from 4 to 112 mu g g(-1), ppm dry wt), and they were strongly related to an index applied to estimate the magnitude of the drought (namely the deficit flow of the main river). After OC normalisation, the correlation versus deficit was lost for some elements (Cr, Fe, Ni) but not for others (Cd, Co, Cu, Pb, Zn). This leads to the conclusion that both a natural and a man-induced process account for the observed rise and fall of the contamination pattern: the reduced river flow raised the metal-binding capacity of sediments, and restrictions in the water supply increased the corrosion of sewers and their leaching of some elements. The concentration of trace metals in local bivalves (Cd reached 100 and 458 ppm dry wt, respectively, for whole tissues and digestive gland) mirrored the sediment contamination dynamics, but at a slower pace. The means by which S. piano is able to tolerate such high Ca tissue levels remain unknown. These results constitute some prime field evidence of drought effects that should be born in mind when pollution and risk from climate change are assessed in estuaries. (C) 2000 Elsevier Science Ltd. All rights reserved.</t>
  </si>
  <si>
    <t>Plymouth Marine Lab, Plymouth PL1 2PB, Devon, England; UPV, Dept Zool &amp; Dinam Celular Anim, Bilbao 48080, Spain</t>
  </si>
  <si>
    <t>Plymouth Marine Laboratory; University of Basque Country</t>
  </si>
  <si>
    <t>Univ A Coruna, Dept BA BV &amp; Ecol, Coruna 15071, Spain.</t>
  </si>
  <si>
    <t>jmruiz@udc.es</t>
  </si>
  <si>
    <t>Salinas, Jose/I-5216-2015; Ruiz, Jose M./E-5363-2010</t>
  </si>
  <si>
    <t>Ruiz, Jose M./0000-0002-0893-6175</t>
  </si>
  <si>
    <t>10.1016/S0141-1136(99)00059-8</t>
  </si>
  <si>
    <t>http://dx.doi.org/10.1016/S0141-1136(99)00059-8</t>
  </si>
  <si>
    <t>305CD</t>
  </si>
  <si>
    <t>WOS:000086520500001</t>
  </si>
  <si>
    <t>PHELPS, HL; HARDY, JT; PEARSON, WH; APTS, CW</t>
  </si>
  <si>
    <t>CLAM BURROWING BEHAVIOR - INHIBITION BY COPPER-ENRICHED SEDIMENT</t>
  </si>
  <si>
    <t>Burrowing behavior is adaptive and allows clams to escape predation; yet the effects of potentially toxic metals on such behavior have not been adequately investigated. In natural marine sediment contaminated with Cu the time for little neck clams (Protothaca staminea) to achieve complete burial was recorded. Above a threshold of 5.8 .mu.g/g Cu added to dry sediment, the time for 50% of the clams to burrow (ET50) increased logarithmically with increasing sediment Cu concentration according to: log ET50 - 0.15(Cu)-1.37 (n [number] = 4, r2 = 0.98) where ET50 = time in h for 50% of clams to burrow and Cu = .mu.g/g Cu in dry sediment. Previously exposed clams had a lower threshold to Cu and a longer reburrowing time (ET50). Clams exposed to sediment mixed with Chelex-100-sorbed Cu showed no significant change in burrowing time. Bioassays based on clam burrowing behavior measured bioeffectiveness of sediment-sorbed metals and a sublethal effect with ecological meaning.</t>
  </si>
  <si>
    <t>BATTELLE MEM INST, MARINE RES LAB, SEQUIM, WA 98382 USA</t>
  </si>
  <si>
    <t>Battelle Memorial Institute</t>
  </si>
  <si>
    <t>UNIV DIST COLUMBIA, WASHINGTON, DC 20005 USA.</t>
  </si>
  <si>
    <t>10.1016/0025-326X(83)90044-9</t>
  </si>
  <si>
    <t>http://dx.doi.org/10.1016/0025-326X(83)90044-9</t>
  </si>
  <si>
    <t>RW895</t>
  </si>
  <si>
    <t>WOS:A1983RW89500004</t>
  </si>
  <si>
    <t>Jovic, M; Stankovic, A; Slavkovic-Beskoski, L; Tomic, I; Degetto, S; Stankovic, S</t>
  </si>
  <si>
    <t>Jovic, Mihajlo; Stankovic, Ana; Slavkovic-Beskoski, Latinka; Tomic, Ilija; Degetto, Sandro; Stankovic, Slavka</t>
  </si>
  <si>
    <t>Mussels as a bio-indicator of the environmental quality of the coastal water of the Boka Kotorska Bay (Montenegro)</t>
  </si>
  <si>
    <t>pollution; metals; non-metals; Mytilus galloprovincialis; bio-indicator</t>
  </si>
  <si>
    <t>MYTILUS-GALLOPROVINCIALIS; HEAVY-METALS; TRACE-ELEMENTS; BLACK-SEA; UNITED-STATES; ADRIATIC SEA; PENINSULA; SEDIMENTS; MERCURY; ZINC</t>
  </si>
  <si>
    <t>The Mediterranean blue mussel Mytilus galloprovincialis was used as a pollution level indicator in the Boka Kotorska Bay of the southeastern Adriatic on the Montenegrin coast. The ever-increasing urbanization and industrialization, combined with a poor sewage system, an increase in both marine and inland traffic, as well as insufficient water circulation in the Bay itself have resulted in some level of pollution. Since heavy metals are extremely toxic and do not easily undergo biodecomposition, the results of this study supply valuable information concerning the metal pollution of the marine environment in Boka Kotorska Bay. The concentrations of the investigated metals and nonmetals accumulated in the mussels were determined during the fall of 2007 using Atomic Absorption Spectroscopy (AAS) for Cr, Mn, Co, Ni, Cu, Cd, Hg, Pb, Sn and V, and Energy Dispersive X-ray Fluorescence (ED-XRF) to determine the concentrations of Fe, Zn, Si, P, S. Cl, K and Ca. ED-XRF was also used to determine the levels of non-metals and elements present in high concentrations. Comparing the data from this study in relation to data from other regions for Mytilus galloprovincialis, the mussel sampled from the Boka Kotorska Bay showed a moderate level of pollution.</t>
  </si>
  <si>
    <t>[Jovic, Mihajlo; Stankovic, Ana; Stankovic, Slavka] Univ Belgrade, Fac Technol &amp; Met, Belgrade 11000, Serbia; [Slavkovic-Beskoski, Latinka] Univ Belgrade, Inst Nucl Sci Vinca, Belgrade, Serbia; [Tomic, Ilija] Univ Belgrade, Inst Chem Technol &amp; Met, Belgrade, Serbia; [Degetto, Sandro] ICIS CNR, Environm Lab, Padua, Italy</t>
  </si>
  <si>
    <t>University of Belgrade; University of Belgrade; University of Belgrade; Consiglio Nazionale delle Ricerche (CNR); Istituto di Chimica Inorganica e Delle Superfici (ICIS-CNR)</t>
  </si>
  <si>
    <t>Jovic, M (corresponding author), Univ Belgrade, Fac Technol &amp; Met, Karnegijeva 4, Belgrade 11000, Serbia.</t>
  </si>
  <si>
    <t>jovicmihajlo@yahoo.co.uk</t>
  </si>
  <si>
    <t>Stankovic, Ana/B-9813-2011; Jovic, Mihajlo/U-8340-2017</t>
  </si>
  <si>
    <t>Stankovic, Ana/0000-0003-4433-2560; Slavkovic Beskoski, Latinka/0000-0002-8650-5020; Jovic, Mihajlo/0000-0002-3293-5797</t>
  </si>
  <si>
    <t>Ministry of Education and Science of the Republic of Serbia [III 43009]; EAR [04SER02/05/007]</t>
  </si>
  <si>
    <t>This research was financed by the Ministry of Education and Science of the Republic of Serbia, Contract No. III 43009 and EAR, Contract No. 04SER02/05/007.</t>
  </si>
  <si>
    <t>10.2298/JSC101007075J</t>
  </si>
  <si>
    <t>http://dx.doi.org/10.2298/JSC101007075J</t>
  </si>
  <si>
    <t>792AX</t>
  </si>
  <si>
    <t>WOS:000292714000012</t>
  </si>
  <si>
    <t>Palma-Fleming, H; Quiroz, E; Gutierrez, E; Cristi, E; Jara, B; Keim, ML; Pino, M; Huber, A; Jaramillo, E; Espinoza, O; Quijón, P; Contreras, H; Ramirez, C</t>
  </si>
  <si>
    <t>Chemical characterization of a municipal landfill and its influence on the surrounding estuarine system, south central Chile.</t>
  </si>
  <si>
    <t>BOLETIN DE LA SOCIEDAD CHILENA DE QUIMICA</t>
  </si>
  <si>
    <t>pollution; Valdivia River Estuary; municipal landfill; chemical characterization; organochlorine pesticides; heavy metals</t>
  </si>
  <si>
    <t>VALDIVIA RIVER ESTUARY; LEACHATE; GROUNDWATER; QUALITY; WATER</t>
  </si>
  <si>
    <t>The spatial and temporal variations of cyclic organochlorine compounds, heavy metals, total hydrocarbons, surfactants, oil and grease, BOD, (biochemical oxygen demand), dissolved oxygen and nutrients were measured during summer and winter of 1996 from the Valdivia municipal landfill and its surrounding estuarine system. During summer it was found that solid and liquid samples usually contained higher average contents for most of chemical parameters than winter samples, with the exception of oil and grease and Pb from leachate samples. Generally, samples from the landfill showed higher levels of chemical parameters than samples from the Futa River. High levels of heptachlor (52.1 ng/g and 31.5 ng/g during summer and winter, respectively) and endosulfan sulphate (127.4 n/g and 11,5 ng/g during summer and winter, respectively) were observed in sediments from a maximum depository zone of a small river adjacent to the landfill which receives the percolated leachates. The temporal variability (summer winter) showed a significant dilution of pollutants, probably due to rainfall during winter. Estuarine benthos species, Mulinia edulis (clams) and cancer coronatus (crabs) showed low levels for most metals, except Zn in both species, Ni in clams, Cu and As in crabs. Significant levels of total BHC, 4,4'-DDE, aldrin, endrin ketone and heptachlor epoxide were observed in Mytilus chilensis (mussels).</t>
  </si>
  <si>
    <t>Univ Austral Chile, Fac Ciencias, Valdivia, Chile; Univ Austral Chile, Inst Quim, Valdivia, Chile; Univ Austral Chile, Inst Geociencias, Valdivia, Chile; Univ Austral Chile, Inst Zool, Valdivia, Chile; Univ Austral Chile, Inst Bot, Valdivia, Chile</t>
  </si>
  <si>
    <t>Universidad Austral de Chile; Universidad Austral de Chile; Universidad Austral de Chile; Universidad Austral de Chile; Universidad Austral de Chile</t>
  </si>
  <si>
    <t>Palma-Fleming, H (corresponding author), Univ Austral Chile, Fac Ciencias, Casilla 567, Valdivia, Chile.</t>
  </si>
  <si>
    <t>Pino, Mario/GPP-7219-2022; Pino, Mario/A-2709-2008</t>
  </si>
  <si>
    <t>Pino, Mario/0000-0001-6181-353X</t>
  </si>
  <si>
    <t>SOCIEDAD CHILENA DE QUIMICA</t>
  </si>
  <si>
    <t>CONCEPCION</t>
  </si>
  <si>
    <t>CASILLA 2613, CONCEPCION, CHILE</t>
  </si>
  <si>
    <t>0366-1644</t>
  </si>
  <si>
    <t>BOL SOC CHIL QUIM</t>
  </si>
  <si>
    <t>Bol. Soc. Chilena Quim.</t>
  </si>
  <si>
    <t>392AP</t>
  </si>
  <si>
    <t>WOS:000166388700005</t>
  </si>
  <si>
    <t>The effect of size on trace metal levels in raft cultivated mussels (Mytilus galloprovincialis)</t>
  </si>
  <si>
    <t>metals; raft cultivated mussels; Mytilus galloprovincialis; size; sample size; Galician Coast</t>
  </si>
  <si>
    <t>BODY-SIZE; ATLANTIC COAST; BLUE MUSSELS; EDULIS; POLLUTION; ZINC; LEAD; CU; VARIABILITY; DIGESTION</t>
  </si>
  <si>
    <t>Mussels are farmed in the coastal inlets of Galicia by means of floating raft culture. The growth of these bivalves is due to their great capacity to filter the water column, which unfortunately, also exposes them to dangerous contaminants, including heavy metals. Thus, it is imperative that mussels be monitored for metals. Size has sometimes been shown to be an important variable, but contradictory results have been found. In order to monitor metals in raft mussels, it is necessary to compile information regarding the number of size classes according to shell length, which must be taken into account to obtain a representative sampling, as well as the number of sample replicates that must be included. Also, to be considered is the cost incurred by carrying out the collection, preparation and analysis per sample. The purpose of this study is to provide information about the effect of size, indicated by shell length on the metal content of raft mussels. The ability of 10 mussel-pooled samples to discriminate real differences in metal concentration was also studied. In general, a positive relationship between metal content and shell length was observed; a similar relation was found between the weight of soft tissues and shell length. As expected from the similarity encountered between relationships of metal content and dry weight-length, the concentrations of the different metals in the soft tissues would not seem to depend on the shell length. Metal concentrations, in this study, were found to be approximately 45 ppm of Hg, 0.5 ppm of Cd, 0.7 ppm of Pb, 0.5 ppm of Cr, 0.6 ppm of Ni, 8 ppm of As, 5 ppm of Cu and 122 ppm of Zn; on a dry weight basis. No significant differences between metal concentrations at different shell lengths were detected. Another important observation was the high variability observed within one size, indicating poor homogeneity in subgroups of similar size, which must be minimized if the number of samples is not enhanced as indicated by power and size analysis. (C) 2003 Elsevier Science B.V. All rights reserved.</t>
  </si>
  <si>
    <t>Conselleria Pesca &amp; Asuntos Maritimos, Ctr Control Med Marino, E-3611 Pontevedra, Spain; Fac Quim, Dept Quim Analit Nutr &amp; Bromatol, E-15706 Santiago De Compostela, Spain; Conselleria Pesca &amp; Asuntos Maritimos, Ctr Invest Marinas, E-36620 Vilanova de Arousa, Spain</t>
  </si>
  <si>
    <t>Saavedra, Y (corresponding author), Conselleria Pesca &amp; Asuntos Maritimos, Ctr Control Med Marino, Peirao Vilazoan S-N,Vilagar Arousa, E-3611 Pontevedra, Spain.</t>
  </si>
  <si>
    <t>10.1016/S0048-9697(03)00402-9</t>
  </si>
  <si>
    <t>http://dx.doi.org/10.1016/S0048-9697(03)00402-9</t>
  </si>
  <si>
    <t>802WQ</t>
  </si>
  <si>
    <t>WOS:000220194000007</t>
  </si>
  <si>
    <t>Nakamura, K; Cañete, J; Vijuesca, D; Guillén, N; Sosa, C; Mesquita-Joanes, F; Sousa, R; Ginés, E; Sorribas, V</t>
  </si>
  <si>
    <t>Nakamura, Keiko; Canete, Jesica; Vijuesca, Diego; Guillen, Natalia; Sosa, Cecilia; Mesquita-Joanes, Francesc; Sousa, Ronaldo; Gines, Ester; Sorribas, Victor</t>
  </si>
  <si>
    <t>Sensitivity of Pseudunio auricularius to metals and ammonia: first evaluation</t>
  </si>
  <si>
    <t>Acute toxicological test; Ebro River basin; Endangered species; Margaritiferidae; Pollution</t>
  </si>
  <si>
    <t>FRESH-WATER MUSSELS; CORBICULA-FLUMINEA MULLER; ACUTE TOXICITY TESTS; LAMPSILIS-SILIQUOIDEA; UNIO-ELONGATULUS; INVASIVE CLAM; HEAVY-METALS; DIE-OFFS; CADMIUM KINETICS; QUALITY GUIDANCE</t>
  </si>
  <si>
    <t>Populations of the critically endangered freshwater mussel Pseudunio auricularius (Spengler, 1793) have been suffering sharp declines, particularly in the Ebro basin (Iberian Peninsula). Among other factors, pollution could be responsible for these declines. We conducted, for the first time, acute toxicological tests (96 h) with heavy metals and ammonia on P. auricularius juveniles. The resulting LC50 values, in decreasing order of sensitivity, were: Cd = 38.85 mu g/L, Cu = 58.64 mu g/L, Ni = 124.60 mu g/L, Zn = 267.40 mu g/L, Cr(III) &gt; 1000 mu g/L, Pb &gt; 2000 mu g/L and total ammonia nitrogen (TAN) = 7.53 mg/L. We also report the estimated LC10, NOEC, LOEC and MATC values, which may be used to determine safer habitat conditions. Finally, we compare the obtained LC50 values with the concentrations of the toxicants in natural habitats where the species is present. Overall, the results reported here could be used to implement effective conservation actions, such as relocation of specimens to less-polluted sites or reduction of the concentration of pollutants in disturbed habitats. Considering the lack of ecotoxicological studies on freshwater mussels in Europe, this study may also be useful to establish toxicological reference limits for this imperiled faunal group.</t>
  </si>
  <si>
    <t>[Nakamura, Keiko] Sociedad Aragonesa Gest Agroambiental SARGA, Environm Serv Dept, Ranillas Av 5-A,3th, Zaragoza 50018, Spain; [Nakamura, Keiko; Canete, Jesica; Mesquita-Joanes, Francesc] Univ Valencia, Cavanilles Inst Biodivers &amp; Evolutionary Biol, C Catedrat Jose Beltran Martinez 2, Patema 46980, Spain; [Vijuesca, Diego] Univ Zaragoza, Escuela Politecn Super Huesca, C Cuarte S-N, Huesca 22071, Spain; [Guillen, Natalia; Sosa, Cecilia; Sorribas, Victor] Univ Zaragoza, Lab Mol Toxicol, C Miguel Servet 177, Zaragoza 50013, Spain; [Sousa, Ronaldo] Univ Minho, CBMA Ctr Mol &amp; Environm Biol, Dept Biol, Campos Gualtar, P-4710057 Braga, Portugal; [Gines, Ester] Gobiemo Aragon Serv Prov Zaragoza, Dept Desarrollo Rural &amp; Sostenibilidad, Paseo Maria Agustin 36, Zaragoza 50071, Spain</t>
  </si>
  <si>
    <t>University of Valencia; University of Zaragoza; University of Zaragoza; Universidade do Minho</t>
  </si>
  <si>
    <t>Nakamura, K (corresponding author), Sociedad Aragonesa Gest Agroambiental SARGA, Environm Serv Dept, Ranillas Av 5-A,3th, Zaragoza 50018, Spain.</t>
  </si>
  <si>
    <t>keikonakamura@hotmail.com</t>
  </si>
  <si>
    <t>Sousa, Ronaldo/C-4887-2008; Nakamura, Keiko/AFV-7831-2022; Guillén, Natalia/LCX-4359-2024; Mesquita-Joanes, Francesc/F-3200-2011; Sosa, Cecilia/B-8374-2013</t>
  </si>
  <si>
    <t>Mesquita-Joanes, Francesc/0000-0001-7168-1980; Nakamura, Keiko/0000-0001-5037-3516; Sosa, Cecilia/0000-0003-2907-0427; Guillen Monzon, Natalia/0000-0001-6627-298X; Sousa, Ronaldo/0000-0002-5961-5515; Sorribas, Victor/0000-0003-3457-323X</t>
  </si>
  <si>
    <t>Government of Aragon, Dpt. of Rural Development and Sustainability</t>
  </si>
  <si>
    <t>Eva Elbaile, Carlos Salinas, Carlos Catala ', Beatriz Gimeno, Patricia Abadi ' a and Lorena Nieves who were involved in the captive breeding. Special thanks go to Dr. John Besser (Columbia Environmental Research Center) for his help with the copper data. Thanks to Dr. Ning Wang (Columbia Environmental Research Center), Dr. Gregory Cope (North Caroline University) and Dr. Brian Watson (Virginia DGIF) for their help and advice. Thanks also to Manuel Alca ' ntara, Joaquin Guererro-Campo (Government of Aragon) and Javier Armengol (University of Valencia) for their support. Two anonymous referees provided comments on a previous version of the manuscript. This project was partially funded by the Government of Aragon, Dpt. of Rural Development and Sustainability. The authors wish to thank the Ebro River Basin Authority: Confederacion Hidrografica del Ebro (Zaragoza, Spain) for providing water quality data of the Ebro River.</t>
  </si>
  <si>
    <t>12-13</t>
  </si>
  <si>
    <t>10.1007/s10750-020-04277-z</t>
  </si>
  <si>
    <t>http://dx.doi.org/10.1007/s10750-020-04277-z</t>
  </si>
  <si>
    <t>SO2BP</t>
  </si>
  <si>
    <t>WOS:000531528700001</t>
  </si>
  <si>
    <t>Burlando, B; Berti, E; Viarengo, A</t>
  </si>
  <si>
    <t>Burlando, Bruno; Berti, Elena; Viarengo, Aldo</t>
  </si>
  <si>
    <t>Effects of seawater pollutants on protein tyrosine phosphorylation in mussel tissues</t>
  </si>
  <si>
    <t>biomarkers; bisphenol A; blue mussel; diallyl phthalate; North Sea oil; PAH; seawater pollution; tetrabromodiphenylether-47</t>
  </si>
  <si>
    <t>SIGNAL-TRANSDUCTION PATHWAYS; OXIDATIVE STRESS; OIL-SPILL; FLAME RETARDANTS; BLUE MUSSELS; DNA-ADDUCTS; BISPHENOL-A; SEA-OIL; MODULATION; HEMOCYTES</t>
  </si>
  <si>
    <t>Different exogenous compounds are known to stimulate tyrosine kinase signaling, and this could explain a wide spectrum of pollutant effects on different organisms. We studied the effects of various seawater contaminants on tyrosine phosphorylation levels in different tissues of the mussel (Mytilus edulis), by using Western immunoblotting. Mussels were exposed in aquarium for 3 weeks to North Sea oil alone or to a mixture of North Sea oil. alkyl phenols, and polycyclic aromatic hydrocarbons (PAH). In another experiment, mussels were exposed for 3 weeks to each of the following potential endocrine disruptors: bisphenol A, diallyl phthalate, or tetrabromodiphenylether-47. In a third experiment, mussels were caged at four sites along a copper field Gradient. Use of antiphosphotyrosine antibody showed that treatments with oil alone, or with oil, alkyl-phenols and PAH induced pbosphorylation increases in the digestive gland, gills and mantle. Bisphenol A produced significant effects in the gills and mantle. while diallyl phthalate and tetrabromodiphenylether-47 had a slight effect only on the gill tissue. Mussels exposed to the copper field Gradient showed phosphotyrosine increases in the gills and mantle at intermediate levels of contamination. This latter result was also confirmed by using phosphospecific p38 antibody. In summary, the strength of induction was: oil mixture &gt; oil &gt; bisphenol A &gt; copper; while the degree of tissue responsiveness was: mantle &gt; gill &gt; digestive gland. Based on these data, the use of tyrosine phosphorylation levels as a biomarker of seawater pollution is proposed. (c) 2006 Elsevier B.V. All rights reserved.</t>
  </si>
  <si>
    <t>Univ Piemonte Orientale Amedeo Avogadro, DISAV, I-15100 Alessandria, Italy</t>
  </si>
  <si>
    <t>Burlando, B (corresponding author), Univ Piemonte Orientale Amedeo Avogadro, DISAV, Via Bellini 25 G, I-15100 Alessandria, Italy.</t>
  </si>
  <si>
    <t>burlando@unipmn.it</t>
  </si>
  <si>
    <t>Viarengo, Aldo/0000-0002-1557-6526; Burlando, Bruno/0000-0001-7545-0311</t>
  </si>
  <si>
    <t>S85</t>
  </si>
  <si>
    <t>10.1016/j.aquatox.2006.02.020</t>
  </si>
  <si>
    <t>http://dx.doi.org/10.1016/j.aquatox.2006.02.020</t>
  </si>
  <si>
    <t>WOS:000238130600011</t>
  </si>
  <si>
    <t>MARTIN, M; CASTLE, W</t>
  </si>
  <si>
    <t>PETROWATCH - PETROLEUM-HYDROCARBONS, SYNTHETIC ORGANIC-COMPOUNDS, AND HEAVY-METALS IN MUSSELS FROM THE MONTEREY BAY AREA OF CENTRAL CALIFORNIA</t>
  </si>
  <si>
    <t>Mussel Watch techniques were used to measure the concentrations of petroleum hydrocarbons, synthetic organic hydrocarbons and trace metals in a preliminary study of the Monterey Bay area central California. Resident mussels have higher-than-expected petroleum hydrocarbon body burdens in Carmel Bay, an area thought to be relatively contaminant free. A hot spot of PCB [polychlorinated biphenyl] 1254 and pp'' DDE was measured at Ano Nuevo Island, a site previously recognized because of elevated levels of Hg in mussels. PCB 1254 concentrations at Ano Nuevo Island were high in relation to the remainder of coastal USA and Baja California [Mexico], reflecting entrainment of this compound at a biologically active area. The Monterey Harbor Jetty location showed the highest contamination levels for Zn and Pb. This location has the 2nd highest Pb concentrations in mussels for the California coast. Biological cycling of certain compounds (PCB, DDT and Pb) in remote locations, such as Ano Nuevo Island, is hypothesized as a mechanism for these elevated concentrations in mussels. Levels of other synthetic organic hydrocarbons were generally low; chlordanes show higher concentrations in the more urbanized locations of the study area, i.e., the Monterey Harbor Jetty.</t>
  </si>
  <si>
    <t>CALIF DEPT FISH &amp; GAME, WATER POLLUT CONTROL LAB, RANCHO CORDOVA, CA 95650 USA</t>
  </si>
  <si>
    <t>CALIF DEPT FISH &amp; GAME, STATE MUSSEL WATCH, 2201 GARDEN RD, MONTEREY, CA 93940 USA.</t>
  </si>
  <si>
    <t>10.1016/0025-326X(84)90366-7</t>
  </si>
  <si>
    <t>http://dx.doi.org/10.1016/0025-326X(84)90366-7</t>
  </si>
  <si>
    <t>TF534</t>
  </si>
  <si>
    <t>WOS:A1984TF53400008</t>
  </si>
  <si>
    <t>Rivera-Ingraham, GA; Malanga, G; Puntarulo, S; Pérez, AF; Ruiz-Tabares, A; Maestre, M; González-Aranda, R; Espinosa, F; García-Gómez, JC</t>
  </si>
  <si>
    <t>Rivera-Ingraham, G. A.; Malanga, G.; Puntarulo, S.; Perez, A. F.; Ruiz-Tabares, A.; Maestre, M.; Gonzalez-Aranda, R.; Espinosa, F.; Garcia-Gomez, J. C.</t>
  </si>
  <si>
    <t>Antioxidant Defenses and Trace Metal Bioaccumulation Capacity of Cymbula nigra (Gastropoda: Patellidae)</t>
  </si>
  <si>
    <t>Cymbula; Trace metals; Limpet; ROS; Strait of Gibraltar; Subcellular stress</t>
  </si>
  <si>
    <t>MUSSELS MYTILUS-GALLOPROVINCIALIS; GLUTATHIONE S-TRANSFERASES; OXIDATIVE STRESS; SUPEROXIDE-DISMUTASE; LIPID-PEROXIDATION; DIGESTIVE GLAND; HEAVY-METALS; MARINE-INVERTEBRATES; IBERIAN PENINSULA; ENDANGERED LIMPET</t>
  </si>
  <si>
    <t>The present study deals with the effect of trace metals on the endangered limpet Cymbula nigra. The Bay of Algeciras (Strait of Gibraltar) was used as the study site. Important industrial activity takes place in the area, including frequent oil spills. However, it is home to important populations of C. nigra. The objective of this work was to determine if these animals were being affected at a subcellular level by the pollutants present in their environment and to analyze the trace metal concentrations in the animal's soft tissues. To determine the effects of water quality on the antioxidant activity and concentrations through field experimentation, a total of six sites were selected in Algeciras Bay, three located in the inner areas (environmentally degraded sites with higher levels of pollutants) and three in the outermost areas of the Bay. Stress associated to reactive oxygen species formation was assessed on digestive glands and gills as the enzymatic antioxidant activity of catalase (CAT), superoxide dismutase (SOD), and glutathione S-transferase (GST) and as the concentrations of lipidsoluble (alpha-tocopherol and beta-carotene) and the water-soluble antioxidants (reduced and oxidized glutathione (GSH and GSSG)). Gills and digestive glands of those animals located in the inner areas of Algeciras Bay showed higher CAT activity values than those located in the outer areas. As a general pattern, we observed higher antioxidant activities and concentrations in digestive glands that in gills, suggesting the possibility that pollutants are mainly being incorporated by limpets through the food. As a general rule, larger animals showed greater concentrations of these compounds. Iron, zinc, and manganese, in this order, were present in the tissues at the highest concentrations. Chromium and manganese were found in significantly higher concentrations in those animals collected from the inner areas of the Bay. Through the present study, we provide the first data regarding the antioxidant defense levels and metal accumulation capacity of this species, and we reinforce the idea that this endangered species may be, in fact, relatively tolerant to degraded environments.</t>
  </si>
  <si>
    <t>[Rivera-Ingraham, G. A.; Ruiz-Tabares, A.; Maestre, M.; Gonzalez-Aranda, R.; Espinosa, F.; Garcia-Gomez, J. C.] Univ Seville, Dept Fisiol &amp; Zool, Lab Biol Marina, E-41012 Seville, Spain; [Rivera-Ingraham, G. A.] Alfred Wegener Inst Polar &amp; Marine Res, D-27570 Bremerhaven, Germany; [Malanga, G.; Puntarulo, S.] Univ Buenos Aires, Fis Quim IBIMOL Fac Farm &amp; Bioquim, Buenos Aires, DF, Argentina; [Perez, A. F.] Univ Buenos Aires, Fac Ciencias Exactas &amp; Nat, Dept Ecol Genet &amp; Evoluc, Lab Ecol Bentos Marino, Buenos Aires, DF, Argentina</t>
  </si>
  <si>
    <t>University of Sevilla; Helmholtz Association; Alfred Wegener Institute, Helmholtz Centre for Polar &amp; Marine Research; University of Buenos Aires; University of Buenos Aires</t>
  </si>
  <si>
    <t>Rivera-Ingraham, GA (corresponding author), Alfred Wegener Inst Polar &amp; Marine Res, Handelshafen 12, D-27570 Bremerhaven, Germany.</t>
  </si>
  <si>
    <t>grivera@us.es</t>
  </si>
  <si>
    <t>; Espinosa, Free/H-8963-2015</t>
  </si>
  <si>
    <t>Garcia Gomez, Jose Carlos/0000-0002-6913-1215; Rivera-Ingraham, Georgina A./0000-0002-4500-406X; Espinosa, Free/0000-0002-1409-5106</t>
  </si>
  <si>
    <t>SP Funds from University of Buenos Aires; CONICET; Spanish Ministry of Education [AP-2006-04220]</t>
  </si>
  <si>
    <t>SP Funds from University of Buenos Aires; CONICET(Consejo Nacional de Investigaciones Cientificas y Tecnicas (CONICET)); Spanish Ministry of Education(Spanish Government)</t>
  </si>
  <si>
    <t>The authors would like to thank Jorge Francisco Marin Lora for his help in the sampling process. Thanks also go to an anonymous referee for his/her comments on the original manuscript and to the Servicio de Microanalisis del Centro de Investigacion, Tecnologia e Innovacion de la Universidad de Sevilla staff for conducting the trace metal quantification. The study was funded by SP Funds from the University of Buenos Aires, from CONICET, and by the Spanish Ministry of Education through a grant awarded to G. A. Rivera-Ingraham (AP-2006-04220).</t>
  </si>
  <si>
    <t>10.1007/s11270-013-1458-8</t>
  </si>
  <si>
    <t>http://dx.doi.org/10.1007/s11270-013-1458-8</t>
  </si>
  <si>
    <t>126LJ</t>
  </si>
  <si>
    <t>WOS:000317617200019</t>
  </si>
  <si>
    <t>Moon, DH; Cheong, KH; Koutsospyros, A; Chang, YY; Hyun, S; Ok, YS; Park, JH</t>
  </si>
  <si>
    <t>Moon, Deok Hyun; Cheong, Kyung Hoon; Koutsospyros, Agamemnon; Chang, Yoon-Young; Hyun, Seunghun; Ok, Yong Sik; Park, Jeong-Hun</t>
  </si>
  <si>
    <t>Assessment of waste oyster shells and coal mine drainage sludge for the stabilization of As-, Pb-, and Cu-contaminated soil</t>
  </si>
  <si>
    <t>Immobilization; As; Heavy metals; Calcined oyster shell; Coal mine drainage sludge; XANES</t>
  </si>
  <si>
    <t>ARSENIC-CONTAINING WASTE; CALCIUM SILICATE; IMMOBILIZATION; CEMENT; SOLIDIFICATION/STABILISATION; STABILIZATION/SOLIDIFICATION; IRON; LEAD</t>
  </si>
  <si>
    <t>A novel treatment mix was designed for the simultaneous immobilization of As, Cu, and Pb in contaminated soils using natural (waste oyster shells (WOS)) and industrial (coal mine drainage sludge (CMDS)) waste materials. The treatments were conducted using the standard U.S. sieve size no. 20 (0.85 mm) calcined oyster shells (COS) and CMDS materials with a curing time of 1 and 28 days. The As immobilization treatments were evaluated using the 1-N HCl extraction fluid, whereas the Pb and Cu immobilization treatments were evaluated using the 0.1-N HCl extraction fluid based on the Korean leaching standards. The treatment results showed that the immobilization of As, Cu, and Pb was best achieved using a combination mix of 10 wt% COS and 10 wt% CMDS. This treatment mix was highly effective leading to superior leachability reductions for all three target contaminants (&gt; 93 % for As and &gt; 99 % for Cu and Pb) for a curing period of 28 days. The X-ray absorption near-edge structure (XANES) results showed that As was present in the form of As(V) in the control sample and that no changes in As speciation were observed following the COS-CMDS treatments. The scanning electron microscopy (SEM)-energy dispersive X-ray spectroscopy (EDX) sample treated with 10 wt% COS and 10 wt% CMDS indicated that As immobilization may be associated with the formation of Ca-As and Fe-As precipitates while Pb and Cu immobilization was most probably linked to calcium silicate hydrates (CSHs) and calcium aluminum hydrates (CAHs).</t>
  </si>
  <si>
    <t>[Moon, Deok Hyun; Cheong, Kyung Hoon] Chosun Univ, Dept Environm Engn, Kwangju 501759, South Korea; [Koutsospyros, Agamemnon] Univ New Haven, Dept Civil &amp; Environm Engn, West Haven, CT 06516 USA; [Chang, Yoon-Young] Kwangwoon Univ, Dept Environm Engn, Seoul 139701, South Korea; [Hyun, Seunghun] Korea Univ, Div Environm Sci &amp; Ecol Engn, Seoul 136713, South Korea; [Ok, Yong Sik] Kangwon Natl Univ, Dept Environm Biol, Chunchon 200701, South Korea; [Park, Jeong-Hun] Chonnam Natl Univ, Dept Environm &amp; Energy Engn, Kwangju 500757, South Korea</t>
  </si>
  <si>
    <t>Chosun University; University New Haven; Kwangwoon University; Korea University; Kangwon National University; Chonnam National University</t>
  </si>
  <si>
    <t>Ok, Yong/R-6739-2016; HYUN, SEUNGHUN/KAM-6088-2024; Ok, Yong Sik/C-8624-2019</t>
  </si>
  <si>
    <t>Park, Jeong-Hun/0000-0002-0661-0059; Hyun, Seunghun/0000-0001-8806-5834; Ok, Yong Sik/0000-0003-3401-0912</t>
  </si>
  <si>
    <t>This study was supported by the Korean Ministry of Environment as the GAIA (Geo-Advanced Innovative Action) project (no. 2014000540011). The authors would like to thank the members of Pohang Accelerator Laboratory (PAL), Republic of Korea for their integral help with XANES analyses.</t>
  </si>
  <si>
    <t>10.1007/s11356-015-5456-9</t>
  </si>
  <si>
    <t>http://dx.doi.org/10.1007/s11356-015-5456-9</t>
  </si>
  <si>
    <t>DB2YO</t>
  </si>
  <si>
    <t>WOS:000368376800036</t>
  </si>
  <si>
    <t>Sze, PWC; Lee, SY</t>
  </si>
  <si>
    <t>The potential role of mucus in the depuration of copper from the mussels Perna viridis (L) and Septifer virgatus (Wiegmann)</t>
  </si>
  <si>
    <t>PATELLA-VULGATA L; MYTILUS-EDULIS; GREEN MUSSEL; BLUE MUSSEL; PEDAL MUCUS; HONG-KONG; CADMIUM; METALS; POLLUTION; ZINC</t>
  </si>
  <si>
    <t>Experiments were conducted to measure the mucus secretion rate in two common mussels in Hong Kong, Perna viridis (L.) and Septifer virgatus (Wiegmann), when chronically exposed to Cu (50 mu g l(-1)). After a 3-month exposure period, the mucus production rate of P. viridis at 25 degrees C in the metal treatment was 2.65 times that of the control (10.7 vs 4.0 mg g(-1) dry wt h(-1)), while S. virgatus showed a 1.85 times difference (4.41 vs 2.38 mg g(-1) dry wt h(-1)). Mucus secretion by P. viridis under acute Cu exposure (0.5 mg l(-1)) was significantly higher in the metal treatment than the control (13.43 vs 9.16 mg g(-1) dry flesh wt). Metal contents of the mucus secreted was about 18 times those in the control and 6 times in the soft tissues. Therefore, mucus appears to be an effective agent for Cu depuration in the mussel. The significance of these results to the local distribution and abundance of the mussels is discussed.</t>
  </si>
  <si>
    <t>UNIV HONG KONG, SWIRE INST MARINE SCI, HONG KONG, HONG KONG</t>
  </si>
  <si>
    <t>UNIV HONG KONG, DEPT ECOL &amp; BIODIVERS, HONG KONG, HONG KONG.</t>
  </si>
  <si>
    <t>Lee, Shing Yip/B-9185-2008</t>
  </si>
  <si>
    <t>Lee, Shing Yip/0000-0001-9336-2323</t>
  </si>
  <si>
    <t>10.1016/0025-326X(95)00140-I</t>
  </si>
  <si>
    <t>http://dx.doi.org/10.1016/0025-326X(95)00140-I</t>
  </si>
  <si>
    <t>WOS:A1995TM84200035</t>
  </si>
  <si>
    <t>VBALOGH, K</t>
  </si>
  <si>
    <t>HEAVY-METAL POLLUTION FROM A POINT-SOURCE DEMONSTRATED BY MUSSEL (UNIO-PICTORUM L) AT LAKE BALATON, HUNGARY</t>
  </si>
  <si>
    <t>VBALOGH, K (corresponding author), HUNGARIAN ACAD SCI,BALATON LIMNOL RES INST,H-8237 TIHANY,HUNGARY.</t>
  </si>
  <si>
    <t>10.1007/BF02021054</t>
  </si>
  <si>
    <t>http://dx.doi.org/10.1007/BF02021054</t>
  </si>
  <si>
    <t>R0495</t>
  </si>
  <si>
    <t>WOS:A1988R049500020</t>
  </si>
  <si>
    <t>COLEMAN, N</t>
  </si>
  <si>
    <t>THE EFFECT OF EMERSION ON CADMIUM ACCUMULATION BY MYTILUS-EDULIS</t>
  </si>
  <si>
    <t>Comparisons were made of Cd accumulation by continually immersed and by alternately immersed and emersed mussels. Mussels subjected to emersion accumulated significantly less Cd than continually immersed mussels did but differences in accumulation were not related solely to differences in time spent immersed. Results also cast doubts on the soundness of using LC50 data and application factors in setting water quality standards.</t>
  </si>
  <si>
    <t>MINIST CONSERVAT, MARINE SCI LABS, POB 114, QUEENSCLIFF, VIC 3225, AUSTRALIA.</t>
  </si>
  <si>
    <t>10.1016/0025-326X(80)90283-0</t>
  </si>
  <si>
    <t>http://dx.doi.org/10.1016/0025-326X(80)90283-0</t>
  </si>
  <si>
    <t>KW082</t>
  </si>
  <si>
    <t>WOS:A1980KW08200008</t>
  </si>
  <si>
    <t>Riba, I; Gabrielyan, B; Khosrovyan, A; Luque, A; Del Valls, TA</t>
  </si>
  <si>
    <t>Riba, Inmaculada; Gabrielyan, Bardukh; Khosrovyan, Alla; Luque, Angel; Angel Del Valls, T.</t>
  </si>
  <si>
    <t>The influence of ph and waterborne metals on egg fertilization of the blue mussel (Mytilus edulis), the oyster (Crassostrea gigas) and the sea urchin (Paracentrotus lividus)</t>
  </si>
  <si>
    <t>Acidification; Sediment elutriate; Metal; Egg fertilization; Mussel; Oyster; Sea urchin</t>
  </si>
  <si>
    <t>BIOTIC LIGAND MODEL; OCEAN ACIDIFICATION; PACIFIC OYSTER; HEAVY-METALS; SEDIMENT; TOXICITY; CADMIUM; EMBRYOS; RESPONSES; EXPOSURE</t>
  </si>
  <si>
    <t>This study evaluated the combined effect of pH and metals on the egg fertilization process of two estuarine species, the blue mussel (Mytilus edulis), the oyster (Crassostrea gigas) and a marine species, the sea urchin (Paracentrotus lividus). The success of egg fertilization was examined after exposure of gametes to sediment extracts of various degrees of contamination at pH 6.0, 6.5, 7.0, 7.5 and 8.0. At the pH levels from 6.5 to 8.0, the egg fertilization of the different species demonstrated different sensitivity to metal and/or acidic exposure. In all species, the results revealed that egg fertilization was almost completely inhibited at pH 6.0. The egg fertilization of the blue mussel M. edulis was the least sensitive to the exposure while that of the sea urchin P. lividus demonstrated a concentration-dependent response to the pH levels from 6.5 to 8.0. The results of this study revealed that acidity increased the concentration of several metal ions (Cr, Ni, Cu, Zn, Cd, and Pb) but reduced its availability to the organisms, probably related to the reactivity of the ions with most non-metals or to the competition among metals and other waterborne constituents.</t>
  </si>
  <si>
    <t>[Riba, Inmaculada; Khosrovyan, Alla; Angel Del Valls, T.] Univ Cadiz, UNESCO UNITWIN WiCop, Dept Phys Chem, Poligono Rio San Pedro S-N, Cadiz 11510, Spain; [Gabrielyan, Bardukh] Sci Ctr Zool &amp; Hydrobiol, 7 Paruir Sevak, Yerevan 0014, Armenia; [Luque, Angel] Univ Las Palmas Gran Canaria, Dept Biol, Tafira, Las Palmas, Spain</t>
  </si>
  <si>
    <t>Universidad de Cadiz; National Academy of Sciences of Armenia; Universidad de Las Palmas de Gran Canaria</t>
  </si>
  <si>
    <t>Khosrovyan, A (corresponding author), Univ Cadiz, UNESCO UNITWIN WiCop, Dept Phys Chem, Poligono Rio San Pedro S-N, Cadiz 11510, Spain.</t>
  </si>
  <si>
    <t>inmaculada.riba@uca.es; gabrielb@sci.am; alkhosrov@yahoo.com; angel.luque@ulpgc.es; angel.valls@uca.es</t>
  </si>
  <si>
    <t>Del Valls, T./K-9664-2014; Khosrovyan, Alla/AAR-9532-2021</t>
  </si>
  <si>
    <t>Khosrovyan, Alla/0000-0002-6856-5740</t>
  </si>
  <si>
    <t>10.1007/s11356-016-6611-7</t>
  </si>
  <si>
    <t>http://dx.doi.org/10.1007/s11356-016-6611-7</t>
  </si>
  <si>
    <t>WOS:000379553500087</t>
  </si>
  <si>
    <t>Belivermis, M; Besson, M; Swarzenski, P; Oberhaensli, F; Taylor, A; Metian, M</t>
  </si>
  <si>
    <t>Belivermis, Murat; Besson, Marc; Swarzenski, Peter; Oberhaensli, Francois; Taylor, Angus; Metian, Marc</t>
  </si>
  <si>
    <t>Influence of pH on Pb accumulation in the blue mussel, Mytilus edulis</t>
  </si>
  <si>
    <t>Lead; Acidification; Bivalve; Radiotracer; Trace element</t>
  </si>
  <si>
    <t>OCEAN ACIDIFICATION; PARACENTROTUS-LIVIDUS; TRACE-METALS; LEAD ISOTOPES; HEAVY-METALS; SEA-WATER; COASTAL; GALLOPROVINCIALIS; BIOACCUMULATION; TEMPERATURE</t>
  </si>
  <si>
    <t>Changes in seawater pH can alter the chemical speciation of waterborne chemical elements, affecting their bioavailability and, consequently, their bioaccumulation in marine organisms. Here, controlled environmental conditions and a Pb-210 radiotracer were used to assess the effect of five distinct pH conditions (pH(T) ranging from 7.16 to 7.94) on the short-term (9 days) accumulation of Pb in the blue mussel, Mytilus edulis. After 9 days of exposure, higher levels of Pb were observed in the soft tissues of mussels maintained in the lower pH conditions, while Pb levels accumulated by mussel shells showed no difference across pH conditions. These results suggest that pH decreases such as those predicted by ocean acidification scenarios could enhance Pb contamination in marine organisms, with potential subsequent contamination and effect risks for human consumers.</t>
  </si>
  <si>
    <t>[Belivermis, Murat] Istanbul Univ, Fac Sci, Dept Biol, TR-34134 Istanbul, Turkey; [Besson, Marc; Swarzenski, Peter; Oberhaensli, Francois; Taylor, Angus; Metian, Marc] IAEA, Environm Labs, 4a,Quai Antoine 1er, MC-98000 Principality Of Monaco, Monaco</t>
  </si>
  <si>
    <t>Metian, Marc/F-8010-2018; Swarzenski, Peter/AAD-8562-2022; Besson, Marc/AAB-9030-2020; Belivermis, Murat/AAC-8059-2020</t>
  </si>
  <si>
    <t>Swarzenski, Peter/0000-0003-0116-0578; Belivermis, Murat/0000-0003-4826-5246; Metian, Marc/0000-0003-1485-5029; Taylor, Angus/0000-0003-1604-0886; Besson, Marc/0000-0003-3381-322X</t>
  </si>
  <si>
    <t>Government of the Principality of Monaco</t>
  </si>
  <si>
    <t>The IAEA is grateful for the support provided to its Environment Laboratories by the Government of the Principality of Monaco.</t>
  </si>
  <si>
    <t>10.1016/j.marpolbul.2020.111203</t>
  </si>
  <si>
    <t>http://dx.doi.org/10.1016/j.marpolbul.2020.111203</t>
  </si>
  <si>
    <t>WOS:000539160000032</t>
  </si>
  <si>
    <t>Baraj, B; Niencheski, F; Fillmann, G; Martins, CDG</t>
  </si>
  <si>
    <t>Baraj, Besnik; Niencheski, Felipe; Fillmann, Gilberto; Gaspar Martins, Camila De Martinez</t>
  </si>
  <si>
    <t>Assessing the effects of Cu, Cd, and exposure period on metallothionein production in gills of the Brazilian brown mussel Perna perna by using factorial design</t>
  </si>
  <si>
    <t>Heavy metal; Metallothionein; Day exposure (D); Perna perna; Biomonitor; Factorial design</t>
  </si>
  <si>
    <t>MYTILUS-GALLOPROVINCIALIS; DREISSENA-POLYMORPHA; BINDING PROTEINS; METAL POLLUTION; CADMIUM; COPPER; INDUCTION; BIOMARKER; TISSUES; METABOLISM</t>
  </si>
  <si>
    <t>Factorial design plan was experimented in Perna perna in order to find out the contribution of day exposure, Cd and Cu concentrations in water, and their interactions on metallothioneins (MT), Cd, and Cu (the dependent measured variables) in the gills. The picture obtained is more adequate than by studying the factor effect separately. Compared with the control group, the MT concentration after 22 days exposure period in the mixture of 100 mu g/mL Cu and Cd is increased almost two times, showing that P. perna might be used as a biomonitor. Cd showed stronger effect than Cu on MT inducing.</t>
  </si>
  <si>
    <t>[Gaspar Martins, Camila De Martinez] Univ Fed Rio Grande, Inst Ciencias Biol, BR-96201900 Rio Grande, RS, Brazil; [Baraj, Besnik; Niencheski, Felipe; Fillmann, Gilberto] Univ Fed Rio Grande, Inst Oceanog, BR-96201900 Rio Grande, RS, Brazil</t>
  </si>
  <si>
    <t>Martins, CDG (corresponding author), Univ Fed Rio Grande, Inst Ciencias Biol, Campus Carreiros,Av Italia Km 8, BR-96201900 Rio Grande, RS, Brazil.</t>
  </si>
  <si>
    <t>camilaos@hotmail.com</t>
  </si>
  <si>
    <t>Fillmann, Gilberto/AAK-1497-2020; de Martinez Gaspar Martins, Camila/J-2400-2013</t>
  </si>
  <si>
    <t>Fillmann, Gilberto/0000-0001-7615-8128; de Martinez Gaspar Martins, Camila/0000-0001-7084-9948; Baraj, Besnik/0009-0002-7786-6489</t>
  </si>
  <si>
    <t>10.1007/s10661-010-1725-8</t>
  </si>
  <si>
    <t>http://dx.doi.org/10.1007/s10661-010-1725-8</t>
  </si>
  <si>
    <t>792LC</t>
  </si>
  <si>
    <t>WOS:000292745000011</t>
  </si>
  <si>
    <t>Adams, MS; Ballin, U; Gaumert, T; Hale, BW; Kausch, H; Kruse, R</t>
  </si>
  <si>
    <t>Monitoring selected indicators of ecological change in the Elbe River since the fall of the Iron Curtain</t>
  </si>
  <si>
    <t>ENVIRONMENTAL CONSERVATION</t>
  </si>
  <si>
    <t>Elbe River; water quality; pollutant loads; fish diversity; river pollution; German reunification</t>
  </si>
  <si>
    <t>ESTUARY; TRENDS</t>
  </si>
  <si>
    <t>The sudden, large-scale cessation of industrial and agricultural practices following the collapse of the communist regimes in the former Czechoslovakia and East Germany, coupled with a set of programmes aimed at reducing industrial and municipal pollutant loads, provided an unique opportunity to observe changes in a severely polluted river, the Elbe. Several sets of data for the post-communist Elbe reflect water quality and ecological health, including surface water pollutants, accumulation in mussels and several species of fish, and diversity of fish species. The ecological health of the Elbe has indeed benefited, and greatly, from post-communist change. The loads of most pollutants in the Elbe surface water have declined significantly over the last decade. Contaminant loading in fish tissue is also declining, Finally, the diversity of fish species in the Elbe is increasing, with a majority of the returning species being native fishes, characteristic of the pre-World War Two Elbe. Nonetheless, several pollutants remain a concern, including nitrate, suspended sediments, mercury, cadmium, hexachlorobenzene, two DDT metabolites, and three HCH isomers. The reasons for these problems include relicts from the communist era and current activities in the Elbe watershed. Further, the invasion of the river by exotic species, while not yet a concern, does remain a threat.</t>
  </si>
  <si>
    <t>Univ Wisconsin, Dept Bot, Madison, WI 53706 USA; Staatl Veterinaruntersuchungsamt Fis &amp; Fischwaren, D-27472 Cuxhaven, Germany; ARGE, ELBE, Wassergutestelle Finkenmerder, D-21129 Hamburg, Germany; Univ Wisconsin, Inst Environm Studies, Madison, WI 53706 USA; Univ Hamburg, Inst Hydrobiol &amp; Fischereiwissensch, D-21129 Hamburg, Germany</t>
  </si>
  <si>
    <t>University of Wisconsin System; University of Wisconsin Madison; University of Wisconsin System; University of Wisconsin Madison; University of Hamburg</t>
  </si>
  <si>
    <t>Adams, MS (corresponding author), Univ Wisconsin, Dept Bot, 430 Lincoln Dr, Madison, WI 53706 USA.</t>
  </si>
  <si>
    <t>Hale, Brack/0000-0001-5062-889X</t>
  </si>
  <si>
    <t>40 WEST 20TH ST, NEW YORK, NY 10011-4221 USA</t>
  </si>
  <si>
    <t>0376-8929</t>
  </si>
  <si>
    <t>ENVIRON CONSERV</t>
  </si>
  <si>
    <t>Environ. Conserv.</t>
  </si>
  <si>
    <t>10.1017/S0376892901000364</t>
  </si>
  <si>
    <t>http://dx.doi.org/10.1017/S0376892901000364</t>
  </si>
  <si>
    <t>538YQ</t>
  </si>
  <si>
    <t>WOS:000174843100006</t>
  </si>
  <si>
    <t>Soegianto, A; Putranto, TWC; Payus, CM; Zarqasi, FR; Syafitrirulla, PP; Muchlisin, MI; Ramdhani, S; Nosafandra, AS; Wibisono, AD</t>
  </si>
  <si>
    <t>Soegianto, Agoes; Putranto, Trisnadi Widyaleksono Catur; Payus, Carolyn Melissa; Zarqasi, Fatmala Rizqa; Syafitrirulla, Puspitha Primardiati; Muchlisin, Mohammad Imam; Ramdhani, Syaifudin; Nosafandra, Alif Satria; Wibisono, Andrian Dwi</t>
  </si>
  <si>
    <t>Metals in the tissues of the East Java Coast Indonesian green mussel (Perna viridis Linnaeus, 1758) and associated health risks</t>
  </si>
  <si>
    <t>Bivalvia; Metals; Health risk; Accumulation; Marine pollution</t>
  </si>
  <si>
    <t>HEAVY-METALS; TRACE-METALS; EXPOSURE; FISH; LEAD; BIOACCUMULATION; BIOKINETICS; BIVALVIA; CADMIUM; MERCURY</t>
  </si>
  <si>
    <t>The occurrence of Hg, Cu, Cr, Cd, Pb, and Zn in green mussels (Perna viridis Linnaeus, 1758) collected along the East Java Coast (EJC), Indonesia, is reported in this study. Cu&gt;Zn&gt;Pb&gt;Cr&gt;Cd&gt;Hg was the sequence of metal concentrations in green mussel whole tissues. Green mussel tissues at several locations along the EJC accumulated Cd and Pb levels that exceed the recommended level for consumer and the provisional weekly tolerable intake (PTWI). The Target Hazard Quotients (THQs) for Cd and Pb were greater than one in several places, suggesting that these metals could be harmful to consumers (particularly non-carcinogenic impacts). Cr levels in green mussels from several locations exceed the PTWI and THQ requirements. This finding suggests that eating mussels from this coastal area could be harmful to human health. Furthermore, the TR values for Cr and Cd in some sites were greater than 10(-4), indicating that these metals can cause cancer in people over the course of a lifetime of exposure. (C) 2021 Elsevier B.V. All rights reserved.</t>
  </si>
  <si>
    <t>[Soegianto, Agoes; Putranto, Trisnadi Widyaleksono Catur; Zarqasi, Fatmala Rizqa; Syafitrirulla, Puspitha Primardiati; Muchlisin, Mohammad Imam; Ramdhani, Syaifudin; Nosafandra, Alif Satria; Wibisono, Andrian Dwi] Univ Airlangga, Fac Sci &amp; Technol, Dept Biol, Surabaya 60115, Indonesia; [Soegianto, Agoes; Putranto, Trisnadi Widyaleksono Catur] Univ Airlangga, Fac Sci &amp; Technol, Res Grp Environm Technol &amp; Innovat, Surabaya 60115, Indonesia; [Payus, Carolyn Melissa] Univ Malaysia Sabah, Fac Sci &amp; Nat Resources, Kota Kinabalu 88400, Sabah, Malaysia</t>
  </si>
  <si>
    <t>Airlangga University; Airlangga University; Universiti Kebangsaan Malaysia; Universiti Malaysia Sabah</t>
  </si>
  <si>
    <t>Soegianto, A (corresponding author), Univ Airlangga, Fac Sci &amp; Technol, Dept Biol, Surabaya 60115, Indonesia.</t>
  </si>
  <si>
    <t>agoes_soegianto@fst.unair.ac.id; twc.putranto@gmail.com; cpayus@gmail.com; fatmrizqa@gmail.com; puspithaprimadiati@gmail.com; imamsin10@gmail.com; ramdhanisyaifudin@gmail.com; alifsatrian1997@gmail.com; wibisono2328@gmail.com</t>
  </si>
  <si>
    <t>putranto, trisnadi widyaleksono catur/0000-0001-8821-9514; Soegianto, Agoes/0000-0002-8030-5204</t>
  </si>
  <si>
    <t>Universitas Airlangga, Indonesia [421/UN3.14/PT/2020]</t>
  </si>
  <si>
    <t>Universitas Airlangga, Indonesia</t>
  </si>
  <si>
    <t>Universitas Airlangga, Indonesia provided funding for this study under contract number 421/UN3.14/PT/2020. Local fisher-man assisted in the collection of clams for our study, which we are grateful for.</t>
  </si>
  <si>
    <t>10.1016/j.rsma.2021.102045</t>
  </si>
  <si>
    <t>http://dx.doi.org/10.1016/j.rsma.2021.102045</t>
  </si>
  <si>
    <t>WS1TS</t>
  </si>
  <si>
    <t>WOS:000714972600006</t>
  </si>
  <si>
    <t>Du, YX; Meng, FP; Fu, WC; Wang, ZF</t>
  </si>
  <si>
    <t>Du, Yongxiang; Meng, Fanping; Fu, Wenchao; Wang, Zhifeng</t>
  </si>
  <si>
    <t>Distribution, Speciation and Bioaccumulation of Hg and As in Mariculture Sediments from Dongshan Bay, China</t>
  </si>
  <si>
    <t>Bioaccumulation; bivalve; heavy metals; sediments; sequential extraction</t>
  </si>
  <si>
    <t>SEQUENTIAL EXTRACTION PROCEDURE; HEAVY-METAL POLLUTION; TOTAL ORGANIC-CARBON; CENTRAL EAST-COAST; SURFACE SEDIMENTS; ESTUARINE SEDIMENTS; MERCURY; MARINE; GULF; BIOAVAILABILITY</t>
  </si>
  <si>
    <t>Hg and As are the major hazardous pollutants in marine sediments due to their high toxicity to benthonic organisms. Understanding the spatial distribution, speciation and bioaccumulation of these toxic elements in sediments is therefore of high environmental importance for identifying their potential risks. Sediments and bivalves Paphia undulata were collected from the mariculture area of Dongshan Bay, China, for characterizing geochemistry (by using the European Community Bureau of Reference (BCR) sequential extraction procedure) and bioaccumulation of Hg and As [by calculating the biota sediment accumulation factor (BSAF)]. Both elements in sediments were mostly associated with the residual fraction (69.52-95.06% and 88.22-91.12% of the total concentration, respectively), followed by the oxidizable (bound to sulfides and organic matter) fraction (1.25-25.32% and 3.62-6.00%, respectively). However, Hg presented a higher bioaccumulation than As. Correlation analysis indicated that As in residual fraction and Hg in oxidizable fraction exert positive contributions (R = 0.927, P &lt; 0.01 and R = 0.869, P &lt; 0.05, respectively) on their own bioaccumulation factor. This indicated that P. undulata could adsorb both Hg in organic fraction and As in residual fraction from the sediments. Therefore, we should pay more attention to the potential dissolution and release of metals bound to sediments in the digestive tracts of marine organisms.</t>
  </si>
  <si>
    <t>[Du, Yongxiang; Meng, Fanping; Fu, Wenchao; Wang, Zhifeng] Ocean Univ China, Key Lab Marine Environm &amp; Ecol, Minist Educ, Qingdao, Peoples R China; [Du, Yongxiang; Meng, Fanping; Fu, Wenchao; Wang, Zhifeng] Ocean Univ China, Coll Environm Sci &amp; Engn, Qingdao 266100, Shandong, Peoples R China</t>
  </si>
  <si>
    <t>Ocean University of China; Ocean University of China</t>
  </si>
  <si>
    <t>Meng, FP (corresponding author), Ocean Univ China, Coll Environm Sci &amp; Engn, Qingdao 266100, Shandong, Peoples R China.</t>
  </si>
  <si>
    <t>fanpingm@tom.com</t>
  </si>
  <si>
    <t>Wang, Zhifeng/ITT-2561-2023</t>
  </si>
  <si>
    <t>Wang, Zhifeng/0000-0002-5649-4332</t>
  </si>
  <si>
    <t>Ocean Public Service Foundation of China [201005012]</t>
  </si>
  <si>
    <t>Ocean Public Service Foundation of China</t>
  </si>
  <si>
    <t>This work was funded by the Ocean Public Service Foundation of China (Grant no. 201005012).</t>
  </si>
  <si>
    <t>10.1080/15320383.2016.1166175</t>
  </si>
  <si>
    <t>http://dx.doi.org/10.1080/15320383.2016.1166175</t>
  </si>
  <si>
    <t>DU9UL</t>
  </si>
  <si>
    <t>WOS:000382563300001</t>
  </si>
  <si>
    <t>Canli, EG; Celenk, A; Canli, M</t>
  </si>
  <si>
    <t>Canli, Esin G.; Celenk, Alper; Canli, Mustafa</t>
  </si>
  <si>
    <t>Accumulation and Distribution of Nanoparticles (Al2O3, CuO, and TiO2) in Tissues of Freshwater Mussel (Uniotigridis)</t>
  </si>
  <si>
    <t>Nanoparticle; Metal; Mussel; Accumulation; TEM</t>
  </si>
  <si>
    <t>MYTILUS-EDULIS; HEAVY-METALS; BLUE MUSSEL; COPPER; BIOACCUMULATION; NANOMATERIALS; FILTRATION; TOXICITY; EXPOSURE</t>
  </si>
  <si>
    <t>Freshwater mussels are used as an effective bioindicator of metal pollution. There is no data on the accumulation of any metal-oxide nanoparticles (NPs) in tissues of Uniotigridis. Thus, this study was undertaken to investigate accumulation of Al2O3, CuO, and TiO2 NPs following exposure to different concentrations (0, 1, 3, and 9 mg/L) of NPs for 14 days. Metal concentrations in tissues were determined by ICP-MS, while NP presence was demonstrated by transmission electron microscope (TEM) images. During the experiments, mussels were fed with cultured algae (Chlorellavulgaris). TEM images demonstrated the presence of NPs in digestive gland and muscle. TEM images also suggested that NPs were taken via the lysosomes or endosomes. Highest mean concentrations (mu g/g d.w.) of aluminium (76.51), copper (111.63) and titanium (113.83) occurred in the gills and followed by the digestive glands and muscles. Algae consumption of mussels did not significantly differ among controls and NP-exposed groups.</t>
  </si>
  <si>
    <t>[Canli, Esin G.] Univ Nigde Omer Halisdemir, Fac Sci &amp; Arts, Dept Biol, Nigde, Turkey; [Celenk, Alper] Univ Cukurova, Fac Vet Ceyhan, Dept Histol &amp; Embryol, Adana, Turkey; [Canli, Mustafa] Univ Cukurova, Fac Sci &amp; Arts, Dept Biol, Adana, Turkey</t>
  </si>
  <si>
    <t>Nigde Omer Halisdemir University; Cukurova University; Cukurova University</t>
  </si>
  <si>
    <t>Canli, EG (corresponding author), Univ Nigde Omer Halisdemir, Fac Sci &amp; Arts, Dept Biol, Nigde, Turkey.</t>
  </si>
  <si>
    <t>ecanli@ohu.edu.tr</t>
  </si>
  <si>
    <t>CANLI, Esin/O-5477-2019; Canli, Mustafa/B-6268-2018</t>
  </si>
  <si>
    <t>Canli, Mustafa/0000-0002-7038-6186; /0000-0002-0132-3712</t>
  </si>
  <si>
    <t>Scientific and Technological Research Council of Turkey (Tubitak) [120Y016]</t>
  </si>
  <si>
    <t>Scientific and Technological Research Council of Turkey (Tubitak)(Turkiye Bilimsel ve Teknolojik Arastirma Kurumu (TUBITAK))</t>
  </si>
  <si>
    <t>This study was supported by the Scientific and Technological Research Council of Turkey (Tubitak, 120Y016). We thank Dr Uslu for help on algae culturing.</t>
  </si>
  <si>
    <t>10.1007/s00128-021-03410-5</t>
  </si>
  <si>
    <t>http://dx.doi.org/10.1007/s00128-021-03410-5</t>
  </si>
  <si>
    <t>0G6BE</t>
  </si>
  <si>
    <t>WOS:000715635000002</t>
  </si>
  <si>
    <t>Jiao, Z; Zhang, SL; Chen, HW</t>
  </si>
  <si>
    <t>Jiao, Zhe; Zhang, Suling; Chen, Hongwei</t>
  </si>
  <si>
    <t>Determination of tetracycline antibiotics in fatty food samples by selective pressurized liquid extraction coupled with high-performance liquid chromatography and tandem mass spectrometry</t>
  </si>
  <si>
    <t>JOURNAL OF SEPARATION SCIENCE</t>
  </si>
  <si>
    <t>Copper(II) isonicotinate; Pressurized liquid extraction; Tetracycline antibiotics</t>
  </si>
  <si>
    <t>ACCELERATED SOLVENT-EXTRACTION; SOLID-PHASE EXTRACTION; POLYCHLORINATED-BIPHENYLS; ORGANOCHLORINE PESTICIDES; GAS-CHROMATOGRAPHY; SOIL</t>
  </si>
  <si>
    <t>For the determination of trace residues of tetracycline antibiotics in fatty food samples, selective pressurized liquid extraction coupled with high-performance liquid chromatography and tandem mass spectrometry was applied in this study. Copper(II) isonicotinate was first used as online cleanup adsorbent in the selective pressurized liquid extraction process. The adsorbent to sample ratio, extraction temperature, extraction time, and recycle times, etc. were optimized. The tetracyclines in food samples of pork, chicken meat, and clam meat were detected by liquid chromatography with tandem mass spectrometry. Tetracycline was found at levels of 0.32 and 0.53 mu g/g and oxytetracycline was found at 0.14 and 0.21 mu g/g in chicken meat and clam meat, respectively, while chlorotetracycline and deoxytetracycline were below the detection limit. The detection limit (S/N = 3) for these four tetracyclines were from 0.2 to 3.3 ng/g, the recoveries were from 75.8 to 110.5%, and relative standard deviations were from 5.5 to 13.6%. Copper(II) isonicotinate showed a higher purification capacity than other cleanup adsorbents for extraction of antibiotics in fatty food and the recovery showed predominance compared with a pressurized liquid extraction method without adsorbent. The study demonstrated that copper(II) isonicotinate would be a promising cleanup adsorbent in pressurized liquid extraction for the analysis of trace organic pollutants in complicated samples.</t>
  </si>
  <si>
    <t>[Jiao, Zhe; Chen, Hongwei] Dongguan Univ Technol, Coll Chem &amp; Environm Engn, Dongguan, Peoples R China; [Zhang, Suling] Hangzhou Dianzi Univ, Coll Mat &amp; Environm Engn, Hangzhou, Zhejiang, Peoples R China</t>
  </si>
  <si>
    <t>Dongguan University of Technology; Hangzhou Dianzi University</t>
  </si>
  <si>
    <t>Jiao, Z (corresponding author), 1 Daxue Rd, Dongguan, Guangdong, Peoples R China.</t>
  </si>
  <si>
    <t>jiaoz@dgut.edu.cn</t>
  </si>
  <si>
    <t>National Natural Science Foundation of China [21305013, 21305026]</t>
  </si>
  <si>
    <t>This research was supported by National Natural Science Foundation of China (No. 21305013, No. 21305026).</t>
  </si>
  <si>
    <t>1615-9306</t>
  </si>
  <si>
    <t>1615-9314</t>
  </si>
  <si>
    <t>J SEP SCI</t>
  </si>
  <si>
    <t>J. Sep. Sci.</t>
  </si>
  <si>
    <t>10.1002/jssc.201401032</t>
  </si>
  <si>
    <t>http://dx.doi.org/10.1002/jssc.201401032</t>
  </si>
  <si>
    <t>AY0SH</t>
  </si>
  <si>
    <t>WOS:000347306500016</t>
  </si>
  <si>
    <t>Breitwieser, M; Viricel, A; Churlaud, C; Guillot, B; Martin, E; Stenger, PL; Huet, V; Fontanaud, A; Thomas-Guyon, H</t>
  </si>
  <si>
    <t>Breitwieser, Marine; Viricel, Amelia; Churlaud, Carine; Guillot, Benoit; Martin, Elie; Stenger, Pierre-Louis; Huet, Valerie; Fontanaud, Angelique; Thomas-Guyon, Helene</t>
  </si>
  <si>
    <t>First data on three bivalve species exposed to an intra-harbour polymetallic contamination (La Rochelle, France)</t>
  </si>
  <si>
    <t>Bivalve; Marina areas; Biomarkers; Heavy metals; Biomonitoring; Diffuse pollution; DNA barcoding</t>
  </si>
  <si>
    <t>OXIDATIVE STRESS; BIOMARKER RESPONSES; TRACE-ELEMENTS; BLUE MUSSELS; METALS; BIOACCUMULATION; SEDIMENT; INTROGRESSION; ACCUMULATION; ORGANISMS</t>
  </si>
  <si>
    <t>Evaluating diffuse sediment contamination in the environment is a major concern with the aim of reaching a good chemical and ecological state of the littoral zone. In this study the risks of chronic chemical contamination and consequences in the bivalves Crassostrea gigas, Mytilus sp. and Mimachlamys varia were evaluated in coastal environments. The objective here was to understand the anthropological phenomena that affect the functioning of the marina of La Rochelle (semi-closed environment). Harbours seeking ecomanagement accreditations (such as the international reference ISO 14001) constitute zones of interest to implement biomonitoring studies. The biological effects of chemical pollution in the Marina of La Rochelle were studied to develop a multi-biomarker biomonitoring approach on specific marine species of this site. Moreover, a genetic (DNA barcoding) approach was applied to validate the species identity of collected bivalves. Of the three species tested the scallop, M. varia, was the most sensitive to metal exposure. (C) 2017 Elsevier Inc. All rights reserved.</t>
  </si>
  <si>
    <t>[Breitwieser, Marine; Viricel, Amelia; Churlaud, Carine; Martin, Elie; Stenger, Pierre-Louis; Huet, Valerie; Thomas-Guyon, Helene] Univ La Rochelle, Littoral Environm &amp; Soc LIENSs, CNRS, UMR 7266, 2 Rue Olympe Gouges, F-17042 La Rochelle 01, France; [Breitwieser, Marine; Fontanaud, Angelique] Regie Port Plaisance La Rochelle, Ave Capitainerie, F-17000 La Rochelle, France; [Guillot, Benoit] Univ Bordeaux, OASU, CNRS, UMR 5805,EPOC, Allee Geoffroy St Hilaire,CS 50023, F-33615 Pessac, France</t>
  </si>
  <si>
    <t>Centre National de la Recherche Scientifique (CNRS); La Rochelle Universite; Universite de Bordeaux; Centre National de la Recherche Scientifique (CNRS); Universite Bordeaux-Montaigne; Universite Cote d'Azur</t>
  </si>
  <si>
    <t>Breitwieser, M (corresponding author), Univ La Rochelle, Littoral Environm &amp; Soc LIENSs, CNRS, UMR 7266, 2 Rue Olympe Gouges, F-17042 La Rochelle 01, France.</t>
  </si>
  <si>
    <t>marine.breitwieser@univ-Ir.fr; carine.churlaud@univ-In.fr; benoitguillot@u-bordeaux.fr; valerie.huet@univ-In.fr; fontanaud@portlarochelle.com; helene.thomas@univ-In.fr</t>
  </si>
  <si>
    <t>Thomas, Howard/A-3152-2009</t>
  </si>
  <si>
    <t>Stenger, Pierre-Louis/0000-0001-9302-8085; Guillot, Benoit/0000-0002-7184-7861; THOMAS, Helene/0000-0002-7932-6841; Viricel, Amelia/0000-0002-2789-6869</t>
  </si>
  <si>
    <t>Port de Plaisance de La Rochelle; University of La Rochelle; Centre National Recherche Scientifique (France)</t>
  </si>
  <si>
    <t>Port de Plaisance de La Rochelle, University of La Rochelle and Centre National Recherche Scientifique (France).</t>
  </si>
  <si>
    <t>10.1016/j.cbpc.2017.02.006</t>
  </si>
  <si>
    <t>http://dx.doi.org/10.1016/j.cbpc.2017.02.006</t>
  </si>
  <si>
    <t>FC6YR</t>
  </si>
  <si>
    <t>WOS:000406988100004</t>
  </si>
  <si>
    <t>Webb, AL; Hughes, KA; Grand, MM; Lohan, MC; Peck, LS</t>
  </si>
  <si>
    <t>Webb, A. L.; Hughes, K. A.; Grand, M. M.; Lohan, M. C.; Peck, L. S.</t>
  </si>
  <si>
    <t>Sources of elevated heavy metal concentrations in sediments and benthic marine invertebrates of the western Antarctic Peninsula</t>
  </si>
  <si>
    <t>Polar; Biomonitor; Rothera Research Station; Baseline; Pollution; Glacial run-off</t>
  </si>
  <si>
    <t>KING-GEORGE ISLAND; TRACE-ELEMENT CONTAMINATION; CLAM LATERNULA-ELLIPTICA; LIMPET NACELLA-CONCINNA; NORTHERN MARGUERITE BAY; STAR ODONTASTER-VALIDUS; BASE-LINE; ADMIRALTY BAY; PETROLEUM HYDROCARBON; CADMIUM ACCUMULATION</t>
  </si>
  <si>
    <t>Antarctica is one of the least anthropogenically-impacted areas of the world. Metal sources to the marine environment include localised activities of research stations and glacial meltwater containing metals of lithogenic origin. In this study, concentrations of nine metals (Cd, Co, Cr, Cu, Fe, Mn, Ni. Pb, Zn) were examined in three species of benthic invertebrates collected from four locations near Rothera Research Station on the western Antarctic Peninsula: Laternula elliptica (mudclam, filter feeder), Nacella concinna (limpet, grazer) and Odontaster validus (seastar, predator and scavenger). In addition, metals were evaluated in sediments at the same locations. Metal concentrations in different body tissues of invertebrates were equivalent to values recorded in industrialized non-polar sites and were attributed to natural sources including sediment input resulting from glacial erosion of local granodioritic rocks. Anthropogenic activities at Rothera Research Station appeared to have some impact on metal concentrations in the sampled invertebrates, with concentrations of several metals higher in L. elliptica near the runway and aircraft activities, but this was not a trend that was detected in the other species. Sediment analysis from two sites near the station showed lower metal concentrations than the control site 5 km distant and was attributed to differences in bedrock metal content. Differences in metal concentrations between organisms were attributed to feeding mechanisms and habitat, as well as depuration routes. L. elliptica kidneys showed significantly higher concentrations of eight metals, with some an order of magnitude greater than other organs, and the internal structure of O. validus had significantly higher Ni. This study supports previous assessments of N. concinna and L. elliptica as good biomonitors of metal concentrations and suggests O. validus as an additional biomonitor for use in future Antarctic metal monitoring programs. (C) 2019 The Authors. Published by Elsevier B.V.</t>
  </si>
  <si>
    <t>[Webb, A. L.; Grand, M. M.; Lohan, M. C.] Univ Plymouth, Fac Sci, Plymouth PL4 8AA, Devon, England; [Hughes, K. A.; Peck, L. S.] British Antarctic Survey, Nat Environm Res Council, Cambridge CB3 0ET, England; [Webb, A. L.] Univ Warwick, Sch Life Sci, Coventry CV4 7AL, W Midlands, England; [Grand, M. M.] Moss Landing Marine Labs, Pob 450, Moss Landing, CA 95039 USA; [Lohan, M. C.] Univ Southampton, Ocean &amp; Earth Sci, Southampton SO14 3ZH, Hants, England</t>
  </si>
  <si>
    <t>University of Plymouth; UK Research &amp; Innovation (UKRI); Natural Environment Research Council (NERC); NERC British Antarctic Survey; University of Warwick; Moss Landing Marine Laboratories; University of Southampton</t>
  </si>
  <si>
    <t>Webb, AL (corresponding author), Univ Plymouth, Fac Sci, Plymouth PL4 8AA, Devon, England.;Webb, AL (corresponding author), Univ Warwick, Sch Life Sci, Coventry CV4 7AL, W Midlands, England.</t>
  </si>
  <si>
    <t>alison.webb@warwick.ac.uk</t>
  </si>
  <si>
    <t>Hughes, Kevin/JVZ-0793-2024; Grand, Maxime/S-1898-2019</t>
  </si>
  <si>
    <t>Grand, Maxime/0000-0001-9338-694X</t>
  </si>
  <si>
    <t>University of Plymouth; BAS; NERC [bas010011, dml011000, bas0100036] Funding Source: UKRI</t>
  </si>
  <si>
    <t>University of Plymouth; BAS; NERC(UK Research &amp; Innovation (UKRI)Natural Environment Research Council (NERC))</t>
  </si>
  <si>
    <t>The authors would like to thank the British Antarctic Survey divers at Rothera Research Station for their assistance in collecting the target organisms, and the technical staff at University of Plymouth for assistance in set up and operation of the ICP-MS and AAS. Laura Gerrish is thanked for preparation of the map in Fig. 1 and Simon Morley for providing images of the benthic invertebrates. This paper contributes to the British Antarctic Survey (BAS) Polar Science for Planet Earth (PSPE) Biodiversity, Evolution and Adaptation programme, the BAS Environment Office Long Term Monitoring and Survey (EO-LTMS) project and the 'State of the Antarctic Ecosystem' research programme (AntEco) of the Scientific Committee on Antarctic Research (SCAR). We would also thank the University of Plymouth and BAS Core funding for funding the research projects as part of the completion of the degree of M.Sc. for AW and MG. Thankyou as well to the three anonymous reviewers and their helpful comments to improve this manuscript.</t>
  </si>
  <si>
    <t>10.1016/j.scitotenv.2019.134268</t>
  </si>
  <si>
    <t>http://dx.doi.org/10.1016/j.scitotenv.2019.134268</t>
  </si>
  <si>
    <t>JS8VX</t>
  </si>
  <si>
    <t>Green Accepted, hybrid</t>
  </si>
  <si>
    <t>WOS:000500580700086</t>
  </si>
  <si>
    <t>Richardson, CA; Chenery, SRN; Cook, JM</t>
  </si>
  <si>
    <t>Assessing the history of trace metal (Cu, Zn,Pb) contamination in the North Sea through laser ablation ICP-MS of horse mussel Modiolus modiolus shells</t>
  </si>
  <si>
    <t>mussels; Modiolus modiolus; growth lines; heavy metals; contamination; North Sea; laser ablation ICP-MS</t>
  </si>
  <si>
    <t>PLASMA-MASS SPECTROMETRY; LEAD POLLUTION; MYTILUS-EDULIS; BIOINDICATOR; ELEMENTS</t>
  </si>
  <si>
    <t>Laser ablation inductively coupled plasma mass spectrometry (LA-ICP-MS) was used to determine the elemental composition of the incremental growth record in the shells of longevous, (similar to 35 yr old) horse mussels Modiolus modiolus. Concentrations of the contaminant metals Cu, Pb and Zn were determined from shells collected in 1984 from 2 sites in the southern North Sea, an 'impacted dump' site and a 'control' site distant from known point source inputs. The age of each shell was determined from the pattern of annual growth lines present in thin shell sections, and each growth Line was assigned a date, thus allowing annual concentrations of these elements to be determined. Using LA-ICP-MS, concentrations of the metals were determined in 5 replicate laser ablations (size similar to 100 x 200 mum), from individual summer and winter growth lines along the length of each of 3 shells from the dump site and 3 shells from the control site. A significant effect of age (year) on Cu, Pb and Zn concentrations in the shells from both sites was apparent, indicating changing concentrations with time. Significant seasonal (summer/winter) effects were only obvious in the concentrations of Pb and Zn in the shells; a non-significant difference in seasonal incorporation of Cu was observed. Concentrations of all 3 metals were significantly elevated in the dump site shells compared with the control site shells. Pearson correlation coefficients, determined for pairs of metals in the shells from both sites, indicated a higher number of significant positive correlations in the concentrations amongst the metals in the dump site shells than in the control shells during certain periods of the mussels' life. Levels of Cu, Zn and Pb were significantly higher in the dump site shells between 1968 and 1974 than in the period from 1975 to 1979. In the control site shells, although Pb and Zn significantly declined during the same periods, the concentrations were substantially and significantly lower than in the dump site shells. The implementation of the Dumping at Sea Act (in 1974) and the subsequent decline in dumping in the North Sea may have resulted in a decrease in the concentration of metals in the shells from the impacted dump site.</t>
  </si>
  <si>
    <t>Univ Coll N Wales, Sch Ocean Sci, Menai Bridge LL59 5EY, Gwynedd, Wales; British Geol Survey, Analyt &amp; Reg Geochem Grp, Nottingham NG12 5GG, England</t>
  </si>
  <si>
    <t>Bangor University; UK Research &amp; Innovation (UKRI); Natural Environment Research Council (NERC); NERC British Geological Survey</t>
  </si>
  <si>
    <t>Richardson, CA (corresponding author), Univ Coll N Wales, Sch Ocean Sci, Menai Bridge LL59 5EY, Gwynedd, Wales.</t>
  </si>
  <si>
    <t>c.a.richardson@bangor.ac.uk</t>
  </si>
  <si>
    <t>Chenery, Simon/G-4733-2013</t>
  </si>
  <si>
    <t>Chenery, Simon/0000-0002-4096-0183</t>
  </si>
  <si>
    <t>10.3354/meps211157</t>
  </si>
  <si>
    <t>http://dx.doi.org/10.3354/meps211157</t>
  </si>
  <si>
    <t>412NM</t>
  </si>
  <si>
    <t>WOS:000167561300013</t>
  </si>
  <si>
    <t>El-Sorogy, AS; Al-Kahtany, K; Al-Hashim, MH; Alharbi, T</t>
  </si>
  <si>
    <t>El-Sorogy, Abdelbaset S.; Al-Kahtany, Khaled; Al-Hashim, Mansour H.; Alharbi, Talal</t>
  </si>
  <si>
    <t>Distribution and contamination of seashells in Salwa Bay, Saudi Arabia</t>
  </si>
  <si>
    <t>Enrichment factor; Heavy metals; Pinctada; Salwa Bay; Saudi Arabia</t>
  </si>
  <si>
    <t>RED-SEA COAST; GULF; SEDIMENTS; POLLUTION; SEAWATER; SEWAGE; LEAD</t>
  </si>
  <si>
    <t>Salwa Bay, situated near the border of Saudi Arabia and Qatar, is widely considered to be the most hypersaline region extending from the Arabian Gulf. This study focuses on detailing the occurrence and contamination of seashells in Salwa Bay. The research explores the diversity, abundance, and lifestyles of seashells across 16 sites along Salwa Bay. Additionally, the concentrations of As, Cd, Cr, Cu, Hg, Mn, Ni, Pb, Sr, Zn, and Fe in Pinctada shells were analyzed using inductively coupled plasma-atomic emission spectrometry (ICP-AES). The investigated seashells were of low diversity and composed of hard rocky shore epi-fauna and shallow sandy bottom infauna. 48 species (27 bivalves, 18 gastropods, and 3 corals) belonging to 21 families were identified. Veneridae and Trochidae reported the highest abundant bivalves and gastropods, respectively. Average heavy metals (HMs) in Pinctada shells (dw, mu g/g) had the following descending order: Sr (1218) &gt; Fe (139.0) &gt; Cr (12.22) &gt; Cu (9.67) &gt; Mn (8.94) &gt; Pb (6.89) &gt; Zn (2.99) &gt; Ni (2.86) &gt; As (1.40) &gt; Hg (0.54) &gt; Cd (0.20). The distribution of HMs throughout the bay indicated an increase in the southern part of the bay in the closed area away from the bay entrance. Results of contamination indices indicated that pinctadas were extremely severe enrichment of with Sr, Hg, Cd, Pb, and Cu, very severe enrichment with Cr and As, severe enrichment with Ni, and moderately severe enrichment with Mn. Multivariate statistics indicated different anthropogenic sources for the HMs in Pinctadas, primarily associated with processes such as desalination, oil exploration, transportation, industrial and sewage discharges, landfill activities, fishing boats, and the disposal of solid waste.</t>
  </si>
  <si>
    <t>[El-Sorogy, Abdelbaset S.; Al-Kahtany, Khaled; Al-Hashim, Mansour H.; Alharbi, Talal] King Saud Univ, Coll Sci, Geol &amp; Geophys Dept, POB 2455, Riyadh 11451, Saudi Arabia</t>
  </si>
  <si>
    <t>Alharbi, Talal/X-6740-2019; Al-Hashim, Mansour/C-3016-2018; El-Sorogy, Abdelbaset/C-9445-2014</t>
  </si>
  <si>
    <t>Deputyship for Research Innovation, Ministry of Education in Saudi Arabia [IFKSUOR3-571-2]</t>
  </si>
  <si>
    <t>Deputyship for Research Innovation, Ministry of Education in Saudi Arabia</t>
  </si>
  <si>
    <t>The authors extend their appreciation to the Deputyship for Research Innovation, Ministry of Education in Saudi Arabia for funding this research (IFKSUOR3-571-2) .</t>
  </si>
  <si>
    <t>10.1016/j.jafrearsci.2024.105186</t>
  </si>
  <si>
    <t>http://dx.doi.org/10.1016/j.jafrearsci.2024.105186</t>
  </si>
  <si>
    <t>KG5Y1</t>
  </si>
  <si>
    <t>WOS:001178830000001</t>
  </si>
  <si>
    <t>Santovito, G; Trentin, E; Gobbi, I; Bisaccia, P; Tallandini, L; Irato, P</t>
  </si>
  <si>
    <t>Santovito, Gianfranco; Trentin, Erika; Gobbi, Ilaria; Bisaccia, Paola; Tallandini, Laura; Irato, Paola</t>
  </si>
  <si>
    <t>Non-enzymatic antioxidant responses of Mytilus galloprovincialis: Insights into the physiological role against metal-induced oxidative stress</t>
  </si>
  <si>
    <t>Cadmium; Glutathione; Glutathione reductase; Malondialdehyde; Metallothionein; Mytilus galloprovincialis; Oxidative stress; ROS scavenging</t>
  </si>
  <si>
    <t>MOLECULAR CHARACTERIZATION; SUPEROXIDE DISMUTASES; BIOMARKER RESPONSES; GENE-EXPRESSION; GLUTATHIONE; METALLOTHIONEIN; POLLUTION; BIOACCUMULATION; PHILIPPINARUM; TRANSCRIPTION</t>
  </si>
  <si>
    <t>The exposure to metals is known to generate oxidative stress in living organisms, which can result in the induction of protective antioxidant defences, both enzymatic and non-enzymatic. This work aims to obtain new data on the existing links among several non-enzymatic components of the antioxidant system, that are physiologically related to both metal sequestration and defense against metal-induced oxidative stress, using the blue mussels (Mytilus galloprovincialis) as a model organism. Specimens of this marine bivalve were experimentally exposed to cadmium (Cd), used as oxidative stress inducer. Cd, metallothionein (MT), glutathione (GSH), malondialdehyde (MDA) contents, and glutathione reductase (GR) activity in gills and in digestive glands were assessed at 0, 12, 24, 48, 72 and 96 h. The obtained results provide new data about the relationships among the non-enzymatic antioxidant cellular components considered in this study. These constitute the prompt physiological responses to the oxidative stress in blue mussels exposed to Cd in controlled laboratory conditions.</t>
  </si>
  <si>
    <t>[Santovito, Gianfranco; Trentin, Erika; Gobbi, Ilaria; Bisaccia, Paola; Tallandini, Laura; Irato, Paola] Univ Padua, Dept Biol, Padua, Italy</t>
  </si>
  <si>
    <t>Santovito, G (corresponding author), Via Ugo Bassi 58-B, I-35131 Padua, Italy.</t>
  </si>
  <si>
    <t>gianfranco.santovito@unipd.it</t>
  </si>
  <si>
    <t>Santovito, Gianfranco/0000-0001-8260-7006</t>
  </si>
  <si>
    <t>Italian Ministero dell'Istruzione, dell'Universita e della Ricerca(MIUR) [DOR2018]</t>
  </si>
  <si>
    <t>Italian Ministero dell'Istruzione, dell'Universita e della Ricerca(MIUR)(Ministry of Education, Universities and Research (MIUR))</t>
  </si>
  <si>
    <t>The work was supported by a grant from the Italian Ministero dell'Istruzione, dell'Universita e della Ricerca(MIUR) (DOR2018) to P.I. and G.S.</t>
  </si>
  <si>
    <t>10.1016/j.cbpc.2020.108909</t>
  </si>
  <si>
    <t>http://dx.doi.org/10.1016/j.cbpc.2020.108909</t>
  </si>
  <si>
    <t>PN6DF</t>
  </si>
  <si>
    <t>WOS:000604566700018</t>
  </si>
  <si>
    <t>Chora, S; McDonagh, B; Sheehan, D; Starita-Geribaldi, M; Roméo, M; Bebianno, MJ</t>
  </si>
  <si>
    <t>Chora, Suze; McDonagh, Brian; Sheehan, David; Starita-Geribaldi, Mireille; Romeo, Michele; Bebianno, Maria J.</t>
  </si>
  <si>
    <t>Ubiquitination and carbonylation as markers of oxidative-stress in Ruditapes decussatus</t>
  </si>
  <si>
    <t>reactive oxygen species; proteomics; Ruditupes decussatus; ubiquitination; carbonylation</t>
  </si>
  <si>
    <t>MUSSEL MYTILUS-EDULIS; DEGRADATION; PROTEINS; CADMIUM</t>
  </si>
  <si>
    <t>Environmental pollutants, such as metals, are widespread in aquatic environments and can lead to the formation of reactive oxygen species (ROS). ROS are highly toxic in marine species since they can cause serious reversible and irreversible changes in proteins including ubiquitination and modifications such as carbonylation. This study aimed to confirm the potential of ubiquitination and carbonylation as markers of oxidative stress in the clam Ruditapes decussatus (Veneroida, Veneridae) exposed to cadmium (40 pg/L). After 21 days of exposure clams were dissected into gills and digestive gland. Cytosolic proteins of both tissues were separated by two-dimensional electrophoresis (2-D SDS-PAGE) and analysed by immunobloting. Higher ubiquitination and carbonylation levels were in digestive gland of contaminated organisms. These results confirm the potential of ubiquitination and carbonylation as a sensitive and specific marker of oxidative stress in marine bivalves. In this approach, changes in protein structure provide options for affinity selection of sub-proteomes for 2D SDS-PAGE, simplifying the detection of protein biomarkers using proteomic approach. (C) 2008 Elsevier Ltd. All rights reserved.</t>
  </si>
  <si>
    <t>[Chora, Suze; Bebianno, Maria J.] Univ Algarve, CIMA, Fac Marine &amp; Environm Sci, P-8000139 Faro, Portugal; [Chora, Suze; Romeo, Michele] Univ Nice Sophia, EA ECOMERS 4228, Fac Sci, F-06102 Nice 2, France; [McDonagh, Brian; Sheehan, David] Univ Coll Cork, Prote Res Grp, Environm Res Inst, Cork, Ireland; [Starita-Geribaldi, Mireille] Univ Nice Sophia Antipolis, INSERM, U670, Fac Med, F-06107 Nice 2, France</t>
  </si>
  <si>
    <t>Universidade do Algarve; Universite Cote d'Azur; University College Cork; Institut National de la Sante et de la Recherche Medicale (Inserm); Universite Cote d'Azur</t>
  </si>
  <si>
    <t>Sheehan, David/M-4100-2013; Bebianno, Maria/L-3761-2014; McDonagh, Brian/I-1903-2015</t>
  </si>
  <si>
    <t>McDonagh, Brian/0000-0003-2534-4427; Bebianno, Maria/0000-0003-1492-8566</t>
  </si>
  <si>
    <t>10.1016/j.marenvres.2008.02.034</t>
  </si>
  <si>
    <t>http://dx.doi.org/10.1016/j.marenvres.2008.02.034</t>
  </si>
  <si>
    <t>WOS:000257575400113</t>
  </si>
  <si>
    <t>Miller, BS</t>
  </si>
  <si>
    <t>Mussels as biomonitors of point and diffuse sources of trace metals in the Clyde Sea Area, Scotland</t>
  </si>
  <si>
    <t>3rd International Conference on Diffuse Pollution (IAWQ)</t>
  </si>
  <si>
    <t>AUG 21-SEP 04, 1998</t>
  </si>
  <si>
    <t>EDINBURGH, SCOTLAND</t>
  </si>
  <si>
    <t>loadings; marine pollution; mussels; point and diffuse sources; trace metals</t>
  </si>
  <si>
    <t>POLLUTION; ESTUARY</t>
  </si>
  <si>
    <t>Following a series of international conferences on pollution of the North Sea, the UK Government committed itself in 1990 to reducing the inputs of certain dangerous substances reaching the aqueous environment from point and diffuse sources. The target was a 50% reduction in loadings over the period 1985-95. Metals loadings from rivers and sewage works to the Clyde Sea Area are presented for the period 1990-97. These are compared to trace metals body burdens in mussels collected from shores throughout the Clyde Sea Area over the period 1980-97. For most metals, no clear trend either increasing or decreasing was observed in metals loadings from point sources or in mussel body burdens. The exceptions were cadmium, which showed downward trends with time in loadings and in concentrations in Clyde Estuary mussels, and lead, which showed a downward trend in mussel concentrations. Metals loadings from point sources may have reached baseline levels, below which further reductions will be difficult to achieve. Elevated mussel body burdens of specific metals provided good evidence that some shores are severely affected by point source inputs, others by bulk contamination from far-field point sources, and others by diffuse sources of metals. (C) 1999 Published by Elsevier Science Ltd on behalf of the IAWQ. All rights reserved.</t>
  </si>
  <si>
    <t>Scottish Environm Protect Agcy, SEPA W, Glasgow G74 5PP, Lanark, Scotland</t>
  </si>
  <si>
    <t>Miller, BS (corresponding author), Scottish Environm Protect Agcy, SEPA W, 5 Redwood Crescent,Peel Pk, Glasgow G74 5PP, Lanark, Scotland.</t>
  </si>
  <si>
    <t>10.2166/wst.1999.0551</t>
  </si>
  <si>
    <t>http://dx.doi.org/10.2166/wst.1999.0551</t>
  </si>
  <si>
    <t>229BV</t>
  </si>
  <si>
    <t>WOS:000082174400031</t>
  </si>
  <si>
    <t>Maalouf, H; Pommepuy, M; Le Guyader, FS</t>
  </si>
  <si>
    <t>Maalouf, Haifa; Pommepuy, Monique; Le Guyader, Francoise S.</t>
  </si>
  <si>
    <t>Environmental Conditions Leading to Shellfish Contamination and Related Outbreaks</t>
  </si>
  <si>
    <t>FOOD AND ENVIRONMENTAL VIROLOGY</t>
  </si>
  <si>
    <t>Shellfish; Outbreaks; Norovirus; Environmental conditions</t>
  </si>
  <si>
    <t>HEPATITIS-A VIRUS; REVERSE-TRANSCRIPTION-PCR; NORWALK-LIKE VIRUS; OYSTER-ASSOCIATED GASTROENTERITIS; WASTE-WATER TREATMENT; ENTERIC VIRUSES; FOOD-BORNE; MULTISTATE OUTBREAK; GENETIC DIVERSITY; WIDE OUTBREAK</t>
  </si>
  <si>
    <t>Human fecal wastes contain a large variety of viruses that can enter the environment through discharge of waste materials from infected individuals. Despite the high diversity of viruses that are introduced into the environment by human fecal pollution, only a few have been recognized to cause disease in association with consumption of contaminated shellfish. To explain bivalve mollusks contamination, several factors including human epidemiology, virus persistence through sewage treatment plant, and shellfish uptake may be suggested. Considering different outbreaks described in the literature, the most common route for transmission is accidental contamination after heavy rainfall, when extra loads cause an overflow, and release of untreated sewage into the aquatic environment. Outbreak analysis also demonstrates the impact on shellfish consumption of some viral strain transmission and thus their impact on molecular epidemiology, especially for norovirus. To limit shellfish contamination and thus to protect the consumer, the most desirable and effective option is to reduce the viral input.</t>
  </si>
  <si>
    <t>[Maalouf, Haifa; Pommepuy, Monique; Le Guyader, Francoise S.] IFREMER, Microbiol Lab, F-44311 Nantes 03, France</t>
  </si>
  <si>
    <t>Le Guyader, FS (corresponding author), IFREMER, Microbiol Lab, BP 21105, F-44311 Nantes 03, France.</t>
  </si>
  <si>
    <t>sleguyad@ifremer.fr</t>
  </si>
  <si>
    <t>1867-0334</t>
  </si>
  <si>
    <t>1867-0342</t>
  </si>
  <si>
    <t>FOOD ENVIRON VIROL</t>
  </si>
  <si>
    <t>Food Environ. Virol.</t>
  </si>
  <si>
    <t>10.1007/s12560-010-9043-4</t>
  </si>
  <si>
    <t>http://dx.doi.org/10.1007/s12560-010-9043-4</t>
  </si>
  <si>
    <t>Environmental Sciences; Food Science &amp; Technology; Microbiology; Virology</t>
  </si>
  <si>
    <t>Environmental Sciences &amp; Ecology; Food Science &amp; Technology; Microbiology; Virology</t>
  </si>
  <si>
    <t>637NS</t>
  </si>
  <si>
    <t>WOS:000280825600004</t>
  </si>
  <si>
    <t>Phillips, NR; Stewart, M; Olsen, G; Hickey, CW</t>
  </si>
  <si>
    <t>Phillips, Ngaire R.; Stewart, Michael; Olsen, Greg; Hickey, Christopher W.</t>
  </si>
  <si>
    <t>Human Health Risks of Geothermally Derived Metals and Other Contaminants in Wild-Caught Food</t>
  </si>
  <si>
    <t>TAUPO VOLCANIC ZONE; PERSISTENT ORGANIC POLLUTANTS; TROUT ONCORHYNCHUS-MYKISS; NEW-ZEALAND; METHYL MERCURY; NORTH-ISLAND; HEAVY-METALS; AQUATIC ENVIRONMENT; DIETARY EXPOSURE; LAKES OKAREKA</t>
  </si>
  <si>
    <t>Arsenic (As) and mercury (Hg) associated with geothermally influenced lakes and rivers represent a potential health risk to communities where wild-caught food is consumed. The Rotorua Lakes region of New Zealand has extensive natural geothermal activity and a large proportion (35%) of indigenous Maori population, for whom wild food gathering is an important cultural activity. The aim of this study was to measure selected heavy metal and organochlorine (OC) concentrations in important local fish and shellfish species and assess the potential health risk to the local population of consuming these species. Following U.S. Environmental Protection Agency (EPA) protocols, consumption limits were calculated based on both excess lifetime cancer risk and noncancer risk. These were compared with local consumption rates, which were determined by questionnaire (n = 19). Median and 95th percentile contaminant concentrations were calculated to approximate random and most extreme contaminant consumption scenarios. Only Hg concentrations exceeded established Food Standards Australia New Zealand (FSANZ) guideline values of 0.5 mg/kg, namely, for rainbow trout (Oncorhynchus mykiss; 62% of the study sites) and koura (freshwater crayfish; Paranephrops planifrons; 25% of sites). The major risk was from consumption of trout, where the local consumption rate (1.5 meals/mo) exceeded the consumption limit of 0.9 meals/mo (median data) and 0.4 meals/mo (95th percentile data). Shellfish-pipi (Paphies australis) and mussel (Perna canaliculus)-collected from the only estuarine site also had local consumption rates (3.5 meals/mo) above calculated consumption limits (2.6 and 2.9 meals/mo, respectively). Our results, while based on a limited sample size and therefore exploratory in nature, nevertheless provide the basis for developing consumption guidelines. This study makes a significant contribution to broadening our understanding of the complexities of managing customary fisheries.</t>
  </si>
  <si>
    <t>[Phillips, Ngaire R.; Stewart, Michael; Olsen, Greg; Hickey, Christopher W.] Natl Inst Water &amp; Atmospher Res, Hamilton 3251, New Zealand</t>
  </si>
  <si>
    <t>Stewart, M (corresponding author), Natl Inst Water &amp; Atmospher Res, POB 11-115, Hamilton 3251, New Zealand.</t>
  </si>
  <si>
    <t>michael.stewart@niwa.co.nz</t>
  </si>
  <si>
    <t>Hickey, Christopher/E-9931-2013; Stewart, Michael/I-3640-2013</t>
  </si>
  <si>
    <t>Stewart, Michael/0000-0002-7035-4483; Phillips, Ngaire/0000-0002-6919-4830; HICKEY, CHRISTOPHER/0000-0002-2305-1009</t>
  </si>
  <si>
    <t>Health Research Council of New Zealand [HRC/207]</t>
  </si>
  <si>
    <t>Health Research Council of New Zealand(Health Research Council of New Zealand)</t>
  </si>
  <si>
    <t>We are grateful to all Te Arawa participants for their contributions to this study. We thank the Te Arawa Lakes Trust, especially Hera Smith, Willy Emery, and Roku Mihinui, for their efforts in garnering enthusiasm and participation, disseminating knowledge about the project, and for their general support. We acknowledge and appreciate the role that Dr. Gail Tipa played in gathering information on food species harvesting sites. We also thank Eddie Bowman, Joe Butterworth, and Ian Kusabs for sample collection. Craig Depree provided valuable comments on an early draft of the article. This research was funded by the Health Research Council of New Zealand, Contract HRC/207. Kai consumption data were collected under Ethics Approval MEC/07/07/088.</t>
  </si>
  <si>
    <t>520 CHESTNUT STREET, STE 850, PHILADELPHIA, PA 19106 USA</t>
  </si>
  <si>
    <t>MAR 19</t>
  </si>
  <si>
    <t>10.1080/15287394.2013.866915</t>
  </si>
  <si>
    <t>http://dx.doi.org/10.1080/15287394.2013.866915</t>
  </si>
  <si>
    <t>AE4XB</t>
  </si>
  <si>
    <t>WOS:000333988700005</t>
  </si>
  <si>
    <t>Chan, MWH; Hasan, KA; Balthazar-Silva, D; Asghar, M; Mirani, ZA</t>
  </si>
  <si>
    <t>Chan, Malik Wajid Hussain; Hasan, Khwaja Ali; Balthazar-Silva, Danilo; Asghar, Muhammad; Mirani, Zulfiqar Ali</t>
  </si>
  <si>
    <t>Surviving under pollution stress: Antibacterial and antifungal activities of the Oyster species (Magallana bilineata and Magallana cuttackensis)</t>
  </si>
  <si>
    <t>Oysters; Pollution stress; Bioactive compounds; Antimicrobial activity; Heavy metals</t>
  </si>
  <si>
    <t>RUDITAPES-PHILIPPINARUM; ANTIMICROBIAL PEPTIDES; ENVIRONMENTS; PARAMETERS; DIFFUSION; HEMOLYMPH; EXTRACTS; MOLLUSKS</t>
  </si>
  <si>
    <t>Antibiotic effectively controls the bacterial and fungal infections. Pathogens developing multi-drug resistance are a global health concern, which necessitate developing new molecules to overcome the resistance dilemma. This study explores the intrinsic ability of marine oysters synthesizing bioactive compounds. The tissue extracts prepared in n-hexane from two oysters, Magallana bilineata and Magallana cuttackensis compared for broad spectral antimicrobial activates against the fungal, Gram positive and negative pathogens. Regardless, both the species tolerated the same pollution indices; the M. bilineata exhibits stronger antimicrobial activities as compared to M. cuttackensis. M. bilineata potentially inhibited the bacterial growth with minimal inhibitory concentration (0.75-20 mu g/ml) and fungal pathogens (0.75-5 mu g/ml) as compared to ciprofloxacin and miconazole. Inhibitory potential complimented with reduce bactericidal and fungicidal concentrations required to observed susceptible zone of inhibition (ZOI). The inhibition augmented with increased antimicrobial index (AMI) and total activity index (TAI) against the human pathogen than those of M. cuttackensis. It is widely acknowledged that there is a need to develop novel antimicrobial agents to minimize the threat of emerging multiple antimicrobial resistant pathogens. Therefore, the oysters surviving in the pollution stress modulate the physiological and immune response may exploit to develop potential antibiotics.</t>
  </si>
  <si>
    <t>[Chan, Malik Wajid Hussain] Univ Karachi, Ctr Excellence Marine Biol, Karachi 75270, Pakistan; [Hasan, Khwaja Ali] Univ Karachi, Fac Sci, Dept Biochem, Karachi 75270, Pakistan; [Mirani, Zulfiqar Ali] PCSIR Labs Complex, Microbiol Sect, Karachi 75280, Pakistan; [Asghar, Muhammad] Univ Engn &amp; Technol, Dept Chem, Lahore 54890, Pakistan; [Balthazar-Silva, Danilo] Univ Paulista, Inst Ciencias Saude, Campus Jundiai, Sao Paulo, Brazil; [Balthazar-Silva, Danilo] Univ Sao Paulo, Lab Manejo, Inst Oceanog Ecol &amp; Conservacao Marinha, Sao Paulo, Brazil</t>
  </si>
  <si>
    <t>University of Karachi; University of Karachi; PCSIR Laboratories Complex; University of Engineering &amp; Technology Lahore; Universidade Paulista; Universidade de Sao Paulo</t>
  </si>
  <si>
    <t>Chan, MWH (corresponding author), Univ Karachi, Ctr Excellence Marine Biol, Karachi 75270, Pakistan.</t>
  </si>
  <si>
    <t>chanwajid@gmail.com</t>
  </si>
  <si>
    <t>Chan, Malik Wajid Hussain/ADV-4935-2022; Mirani, Zulfiqar/U-4279-2019</t>
  </si>
  <si>
    <t>Chan, Malik Wajid Hussain/0000-0003-4260-3494</t>
  </si>
  <si>
    <t>10.1016/j.fsi.2020.11.021</t>
  </si>
  <si>
    <t>http://dx.doi.org/10.1016/j.fsi.2020.11.021</t>
  </si>
  <si>
    <t>PL3NB</t>
  </si>
  <si>
    <t>WOS:000603031700007</t>
  </si>
  <si>
    <t>Favretto, L; Campisi, B; Reisenhofer, E; Adami, G</t>
  </si>
  <si>
    <t>Terrigenous debris and mussel pollution - A differentiation based on trace element concentration by means of multivariate analysis</t>
  </si>
  <si>
    <t>chemometrics; multivariate analysis; mussel pollution; heavy metal content; differentiation</t>
  </si>
  <si>
    <t>The total content of nine trace elements (Mn, Fe, Co, Ni, Cu, Zn, Cd, Hg and Pb) of the soft edible part of mussels (Mytilus galloprovincialis Lamarck) sampled in two different sites was considered. The first sampling site was located at the extremity of a pier near the sewage of Trieste in a polluted area of the Muggia Bay (Gulf of Trieste in the Northern Adriatic Sea), whereas unpolluted mussels were simultaneously sampled in the second one, i.e. a hatchery just off the southern extremity of the bay. The sampling was extended over a year and occurred with a frequency of nearly ten days. Both mussel groups had an equal sample numerosity (n(1)=n(2)=43) and standard atomic absorption methods were used for all the trace elements. Linear discriminant analysis (LDA) was applied to this two-group sampling in order to test a possible differentiation between the polluted and unpolluted mussels. LDA gave in this two-group sampling a nearly complete separation of scores, whereas the bidimensional and tridimensional score plots, obtained by means of linear principal component analysis (LPCA), gave a certain degree of entanglement. The detrital origin of pollutants is also discussed.</t>
  </si>
  <si>
    <t>UNIV TRIESTE,DIPARTIMENTO SCI CHIM,I-34127 TRIESTE,ITALY</t>
  </si>
  <si>
    <t>Favretto, L (corresponding author), UNIV TRIESTE,DIPARTIMENTO ECON &amp; MERCEOL RISORSE NAT &amp; PROD,VIA VALERIO 6,I-34127 TRIESTE,ITALY.</t>
  </si>
  <si>
    <t>adami, gianpiero/A-8746-2011; Campisi, Barbara/AAO-5765-2020</t>
  </si>
  <si>
    <t>CAMPISI, BARBARA/0000-0003-0429-0394</t>
  </si>
  <si>
    <t>JUN 10</t>
  </si>
  <si>
    <t>10.1016/S0003-2670(97)00031-7</t>
  </si>
  <si>
    <t>http://dx.doi.org/10.1016/S0003-2670(97)00031-7</t>
  </si>
  <si>
    <t>XF798</t>
  </si>
  <si>
    <t>WOS:A1997XF79800011</t>
  </si>
  <si>
    <t>Minguez, L; Devin, S; Molloy, DP; Guérold, F; Giambérini, L</t>
  </si>
  <si>
    <t>Minguez, Laetitia; Devin, Simon; Molloy, Daniel P.; Guerold, Francois; Giamberini, Laure</t>
  </si>
  <si>
    <t>Occurrence of zebra mussel parasites: Modelling according to contamination in France and the USA</t>
  </si>
  <si>
    <t>Dreissena polymorpha; Microparasites; Pollution; Model</t>
  </si>
  <si>
    <t>DREISSENA-POLYMORPHA; POPULATION-DYNAMICS; INDICATORS; POLLUTION; METAANALYSIS; OYSTER; COPPER; ZINC</t>
  </si>
  <si>
    <t>Parasites can be reliable tool in assessing the effects of ecosystem disturbances. However, they can respond in different ways and any changes in assemblages are not easily predictable. Descriptive modelling could be a first step since providing information on the relative importance of a pollutant on parasite occurrence. We chose the zebra mussel, as test organism and twelve sites in France and the United States. Contaminants had not the same impact on microparasite occurrence. Metals enhanced the infection, except zinc associated only with higher prevalence of the commensal ciliate Conchophthirus acuminatus. We should note that Rickettsiales-like organism infection is higher at higher Ni and Cr concentrations. Models indicated also that the most polluted sites were also those with higher rates of co-infections. Therefore, the continuous contamination of freshwater ecosystems implies a significant risk promoting the development of parasites that may affect bivalve populations and other species belonging to their life-cycle. (C) 2013 Elsevier Ltd. All rights reserved.</t>
  </si>
  <si>
    <t>[Minguez, Laetitia; Devin, Simon; Guerold, Francois; Giamberini, Laure] Univ Lorraine, Lab Interdisciplinaire Environm Continentaux, CNRS, UMR 7360, F-57070 Metz, France; [Molloy, Daniel P.] SUNY Albany, Dept Biol Sci, Albany, NY 12230 USA</t>
  </si>
  <si>
    <t>Centre National de la Recherche Scientifique (CNRS); CNRS - National Institute for Earth Sciences &amp; Astronomy (INSU); Universite de Lorraine; State University of New York (SUNY) System; State University of New York (SUNY) Albany</t>
  </si>
  <si>
    <t>Minguez, L (corresponding author), Univ Lorraine, Lab Interdisciplinaire Environm Continentaux, CNRS, UMR 7360, F-57070 Metz, France.</t>
  </si>
  <si>
    <t>laetitia-minguez@hotmail.fr; devin@univ-metz.fr; dmolloy@albany.edu; guerold@univ-metz.fr; laure.giamberini@univ-lorraine.fr</t>
  </si>
  <si>
    <t>Devin, Simon/0000-0003-4431-4987; Minguez, Laetitia/0000-0003-4840-1607</t>
  </si>
  <si>
    <t>CNRS-INSU(programme EC2CO); CPER Lorraine-ZAM (Contrat Projet Etat Region Lorraine, Zone Atelier Moselle); University of Metz</t>
  </si>
  <si>
    <t>CNRS-INSU(programme EC2CO); CPER Lorraine-ZAM (Contrat Projet Etat Region Lorraine, Zone Atelier Moselle)(Region Grand-Est); University of Metz</t>
  </si>
  <si>
    <t>The authors wish to thank Philippe Wagner and Jonathan Bouquerel for their work in the field, Nelly Brule for her technical help, and Sharon Kruger for English corrections. This work was supported by grants from CNRS-INSU(programme EC2CO), CPER Lorraine-ZAM (Contrat Projet Etat Region Lorraine, Zone Atelier Moselle) and University of Metz (Travel expenses).</t>
  </si>
  <si>
    <t>10.1016/j.envpol.2013.01.031</t>
  </si>
  <si>
    <t>http://dx.doi.org/10.1016/j.envpol.2013.01.031</t>
  </si>
  <si>
    <t>118ME</t>
  </si>
  <si>
    <t>WOS:000317028800034</t>
  </si>
  <si>
    <t>Gold-Bouchot, G; Zapata-Pérez, O; Rodríguez-Fuentes, G; Ceja-Moreno, V; del Río-García, M; Chan-Cocom, E</t>
  </si>
  <si>
    <t>Biomarkers and pollutants in the Nile Tilapia, Oreochromis niloticus, in four lakes from San Miguel, Chiapas, Mexico</t>
  </si>
  <si>
    <t>biomarkers; hydrocarbons; organochlorine pesticides; PAH metabolites; heavy metals; Tilapia; Oreochromis niloticus</t>
  </si>
  <si>
    <t>OYSTERS CRASSOSTREA-VIRGINICA; TROUT ONCORHYNCHUS-MYKISS; IN-VITRO; ACETYLCHOLINESTERASE ACTIVITY; SEDIMENTS; LIVER; BAY; CHLORPYRIFOS; HYDROCARBON; EXPRESSION</t>
  </si>
  <si>
    <t>The effects of the oil industry and environmental pollutants present in four lakes from Reforma, Chiapas, Mexico, were assessed via ethoxyresorufin 0-deethylase activity (EROD), PAH metabolites, and butyrylcholinesterase activity (BChE) in Nile Tilapia, Oreochromis niloticus. Fish were collected during two seasons (the rainy season in September 2000 and the dry season in May 2002) from the lakes Caracol, Rio, Enmedio, and Limon. Fish were sacrificed and EROD activities, hydrocarbons, organochlorine pesticide and heavy metal concentrations were determined in the liver, while PAH metabolites and cholinesterase activity were measured in bile and muscle, respectively. Hydrocarbon concentrations in fish liver were moderately high, as compared with results reported for the other species in different coastal ecosystems in Mexico. The highest concentrations of total hydrocarbons were found in fish captured in Lake Limon, and the lowest in Lake Caracol. The highest EROD and PAH metabolites were found in fish collected from Limon and Enmedio lakes. A Spearman test showed significant negative correlations between EROD and BChE activity with fish weight. EROD correlated with total hydrocarbons, the metabolites of pyrene and benzo[a]pyrene, and negatively with polychlorinated biplienyls (PCBs), endosulphan, hexachlorobenzene (HCB), and pentachloroanisol. BChE activity in the four lakes was lower than the activity measured in laboratory Cultured tilapias, indicating the presence of anti-cholinergic pollutants ill the area; Caracol was the lake with the lowest enzyme activity, This study demonstrated that high concentrations of contaminants call cause effects oil fish metabolism, and that tilapia can be used as a test organism in tropical ecosystems.</t>
  </si>
  <si>
    <t>CINVESTAV, Unidad Merida, Merida 97300, Yucatan, Mexico</t>
  </si>
  <si>
    <t>CINVESTAV - Centro de Investigacion y de Estudios Avanzados del Instituto Politecnico Nacional</t>
  </si>
  <si>
    <t>CINVESTAV, Unidad Merida, Km 6 Antigua Carretera &amp; Progreso,Col Cordemex, Merida 97300, Yucatan, Mexico.</t>
  </si>
  <si>
    <t>ggold@mda.cinvestav.mx; ozapata@mda.cinvestav.mx; gabyrod98@gmail.com; vceja@mda.cinvestav.mx; mdelrio@mda.cinvestav.mx; mchan@mda.cinvestav.mx</t>
  </si>
  <si>
    <t>Rodriguez-Fuentes, Gabriela/AAA-7772-2020; Gold-Bouchot, Gerardo/B-1621-2008; Rodriguez-Fuentes, Gabriela/HRC-4067-2023; Gold-Bouchot, Gerardo/D-2850-2015</t>
  </si>
  <si>
    <t>Rodriguez-Fuentes, Gabriela/0000-0003-4028-0775; Gold-Bouchot, Gerardo/0000-0002-1811-3383</t>
  </si>
  <si>
    <t>10.1504/IJEP.2006.009102</t>
  </si>
  <si>
    <t>http://dx.doi.org/10.1504/IJEP.2006.009102</t>
  </si>
  <si>
    <t>037AB</t>
  </si>
  <si>
    <t>WOS:000237118000008</t>
  </si>
  <si>
    <t>Moore, MN</t>
  </si>
  <si>
    <t>Diet restriction induced autophagy: A lysosomal. protective system against oxidative- and pollutant-stress and cell injury</t>
  </si>
  <si>
    <t>diet restriction; autophagy; lysosomes; lysosomal proteolysis; pollutants; oxidative-stress; cell injury; stress resistance; mussels</t>
  </si>
  <si>
    <t>MUSSEL MYTILUS-EDULIS; PHENANTHRENE; PROTEOLYSIS; TOXICITY; DECLINE; COPPER</t>
  </si>
  <si>
    <t>Nutrient deprivation or dietary restriction (DR) confers protection against ageing and stress in many animals and induced lysosomal autophagy is part of this mechanism. The effects of dietary restriction on the toxicity of copper and the polycyclic aromatic hydrocarbon phenanthrene have been investigated in the common marine mussel Mytilus edulis. The findings show that DR-induced autophagy facilitates the recovery of the digestive gland (i.e., molluscan liver analogue) from cell injury caused by both copper and phenanthrene. It is inferred that DR-induced autophagy and lysosomal proteolysis results in improved cellular housekeeping through the more efficient removal of oxidatively and pollutant damaged proteins (e.g., protein carbonyls, protein adducts, etc.) and that this contributes to stress resistance. (C) 2004 Elsevier Ltd. All rights reserved.</t>
  </si>
  <si>
    <t>Plymouth Marine Lab, Plymouth PL1 3DH, Devon, England</t>
  </si>
  <si>
    <t>Plymouth Marine Lab, Prospect Pl,Hoe, Plymouth PL1 3DH, Devon, England.</t>
  </si>
  <si>
    <t>mnm@pml.ac.uk</t>
  </si>
  <si>
    <t>10.1016/j.marenvres.2004.03.049</t>
  </si>
  <si>
    <t>http://dx.doi.org/10.1016/j.marenvres.2004.03.049</t>
  </si>
  <si>
    <t>WOS:000222199100070</t>
  </si>
  <si>
    <t>Haynes, D; Toohey, D</t>
  </si>
  <si>
    <t>The use of transplanted, cultured mussels (Mytilus edulis) to monitor pollutants along the ninety mile beach, Victoria, Australia III. Heavy metals</t>
  </si>
  <si>
    <t>DIBENZO-P-DIOXINS; PORT-PHILLIP-BAY; TRACE-METALS; PLANULATUS; SEA</t>
  </si>
  <si>
    <t>Gippsland Water, Traralgon 3844, Australia</t>
  </si>
  <si>
    <t>Great Barrier Reef Marine Pk Author, POB 1379, Townsville, Qld 4810, Australia.</t>
  </si>
  <si>
    <t>Haynes, David/HHC-3216-2022</t>
  </si>
  <si>
    <t>10.1016/S0025-326X(98)00023-X</t>
  </si>
  <si>
    <t>http://dx.doi.org/10.1016/S0025-326X(98)00023-X</t>
  </si>
  <si>
    <t>ZZ040</t>
  </si>
  <si>
    <t>WOS:000074689400019</t>
  </si>
  <si>
    <t>Kacar, A; Pazi, I; Gonul, T; Kucuksezgin, F</t>
  </si>
  <si>
    <t>Kacar, Asli; Pazi, Idil; Gonul, Tolga; Kucuksezgin, Filiz</t>
  </si>
  <si>
    <t>Marine pollution risk in a coastal city: use of an eco-genotoxic tool as a stress indicator in mussels from the Eastern Aegean Sea</t>
  </si>
  <si>
    <t>Mytilus galloprovincialis; Toxic chemicals; PAHs; DNA damage; Comet assay; Eastern Aegean Sea</t>
  </si>
  <si>
    <t>POLYCYCLIC AROMATIC-HYDROCARBONS; ENVIRONMENTALLY RELEVANT CONCENTRATIONS; FISH LIZA-AURATA; MYTILUS-GALLOPROVINCIALIS; DNA-DAMAGE; OXIDATIVE STRESS; COMET ASSAY; TRANSPLANTED MUSSELS; HEAVY-METALS; BLACK-SEA</t>
  </si>
  <si>
    <t>Coastal areas, such as bays, estuaries, and harbors, are heavily polluted since these areas are the settlements to which toxic chemicals from industrial and domestic wastes are discharged. The genetic damage was evaluated using bioindicator mussel Mytilus galloprovincialis caused by toxic chemicals (metals and polycyclic aromatic hydrocarbons) in A degrees zmir and andarlA Bays (the Eastern Aegean Sea) through comet assay. Three sampling sites from the two bays were selected and the study was conducted during the spring and autumn periods. The highest levels of DNA damage expressed as %Tail-DNA were observed in A degrees zmir Bay (34.60 % Tail-DNA) in the spring. Analysis of the correlation between PAHs and metals in mussels and %T-DNA in the hemolymph and gill cells showed a statistically significant positive correlation between %T-DNA and aPAH, chromium (p &lt; 0.05). This study determined the pollution level of the A degrees zmir and CandarlA Bays by using the DNA damage to the mussel, which can identify the effects of environmental pollutants at the cellular levels. These results confirm that comet assay can be used to determine the temporal and spatial differences of DNA damage, and as a suitable tool for the measurement of genotoxicity in regions with low pollutant concentrations.</t>
  </si>
  <si>
    <t>[Kacar, Asli; Pazi, Idil; Gonul, Tolga; Kucuksezgin, Filiz] DEU, Inst Marine Sci &amp; Technol, Baku Bul 100, TR-35340 Inciralti Izmir, Turkey</t>
  </si>
  <si>
    <t>Dokuz Eylul University</t>
  </si>
  <si>
    <t>Kacar, A (corresponding author), DEU, Inst Marine Sci &amp; Technol, Baku Bul 100, TR-35340 Inciralti Izmir, Turkey.</t>
  </si>
  <si>
    <t>asli.kacar@deu.edu.tr</t>
  </si>
  <si>
    <t>PAZI, İdil/P-2195-2019; gonul, tolga/O-9668-2019; KACAR, ASLI/AAS-5245-2020; Kucuksezgin, Filiz/P-3788-2019</t>
  </si>
  <si>
    <t>PAZI, Idil/0000-0003-4234-3733; KACAR, ASLI/0000-0002-8705-3695; Kucuksezgin, Filiz/0000-0001-9030-5227; gonul, tolga/0000-0001-7118-9398</t>
  </si>
  <si>
    <t>Scientific and Technological Research Council of Turkey [TUBITAK 113Y540]</t>
  </si>
  <si>
    <t>Scientific and Technological Research Council of Turkey(Turkiye Bilimsel ve Teknolojik Arastirma Kurumu (TUBITAK))</t>
  </si>
  <si>
    <t>This study was supported by The Scientific and Technological Research Council of Turkey (Project number: TUBITAK 113Y540).</t>
  </si>
  <si>
    <t>10.1007/s11356-016-6783-1</t>
  </si>
  <si>
    <t>http://dx.doi.org/10.1007/s11356-016-6783-1</t>
  </si>
  <si>
    <t>WOS:000381156600027</t>
  </si>
  <si>
    <t>Rodríguez-Cea, A; Arias, ARL; de la Campa, MR; Moreira, JC; Sanz-Medel, A</t>
  </si>
  <si>
    <t>Rodriguez-Cea, A.; Arias, A. R. Linde; Fernandez de la Campa, M. R.; Moreira, J. Costa; Sanz-Medel, A.</t>
  </si>
  <si>
    <t>Metal speciation of metallothionein in white sea catfish, Netuma barba, and pearl cichlid, Geophagus brasiliensis, by orthogonal liquid chromatography coupled to ICP-MS detection</t>
  </si>
  <si>
    <t>TALANTA</t>
  </si>
  <si>
    <t>metallothioneins; metal speciation; inductively coupled plasma mass spectrometry; Netuma barba; Geophagus brasiliensis</t>
  </si>
  <si>
    <t>FLIGHT-MASS-SPECTROMETRY; MUSSEL MYTILUS-EDULIS; EEL ANGUILLA-ANGUILLA; TRACE-ELEMENTS; MULTIELEMENTAL SPECIATION; HYPHENATED TECHNIQUES; ELECTROSPRAY MS; EUROPEAN EEL; HEAVY-METALS; BROWN TROUT</t>
  </si>
  <si>
    <t>Metal speciation analysis in MTs was carried out in two tropical fish species of Brazil, the freshwater fish pearl cichlid (Geophagus brasiliensis) and the marine fish white sea catfish (Netuma barba), that are presently used to monitor the effects of heavy metal pollution in aquatic ecosystems in Brazil. In order to obtain the MT fraction, liver cytosols from both fish species where subjected to size exclusion fractionation, monitoring on-line the metal signal (Cd, Cu and Zn) by ICP-MS while protein elution was followed by on-line UV detection. That MT fraction was then separated by anion-exchange (AE)-FPLC, whose optimal chromatographic conditions were optimized for the separation of the different hepatic MT isoforms existing in both fish species. Specific detection of separated metalloforms was carried out again by the hyphenation of the AE chromatographic system with the ICP-MS instrument. The analytical results showed that MTs of these fish species, unknown so far, exhibited unique characteristics in comparison with standard MTs and other fish liver MTs. In fact, MT isoforms of N. barba turned out to be very anionic, as indicated by their high retention in the Mono Q column and the strong ionic strength required to separate them. As for G. brasiliensis, cadmium was exclusively present in only one of the peaks of the MT isoforms showing a unique metal-binding behavior for MT in this fish species. The differences between the MTs among these species and the different association of metals in particular MT isoforms display the importance of the metal speciation analysis in these proteins prior to its use as bioindicators. (c) 2005 Elsevier B.V. All rights reserved.</t>
  </si>
  <si>
    <t>Univ Oviedo, Dept Quim Fis &amp; Analit, Oviedo 33006, Spain; Escola Nacl Saude Publ Sergio Arouca, Fdn Oswaldo Cruz, Toxicol Lab, Ctr Estudos Saude Trabalhador &amp; Ecol, Rio De Janeiro, Brazil</t>
  </si>
  <si>
    <t>University of Oviedo; Fundacao Oswaldo Cruz</t>
  </si>
  <si>
    <t>Sanz-Medel, A (corresponding author), Univ Oviedo, Dept Quim Fis &amp; Analit, C Julian Claveria 8, Oviedo 33006, Spain.</t>
  </si>
  <si>
    <t>/0000-0003-2899-1347</t>
  </si>
  <si>
    <t>0039-9140</t>
  </si>
  <si>
    <t>1873-3573</t>
  </si>
  <si>
    <t>Talanta</t>
  </si>
  <si>
    <t>10.1016/j.talanta.2005.11.045</t>
  </si>
  <si>
    <t>http://dx.doi.org/10.1016/j.talanta.2005.11.045</t>
  </si>
  <si>
    <t>053KJ</t>
  </si>
  <si>
    <t>WOS:000238303700028</t>
  </si>
  <si>
    <t>Cao, X; Zhong, GB; Pan, K; Qian, J; Xie, MW; Chen, R; Liao, YY; Tan, QG</t>
  </si>
  <si>
    <t>Cao, Xue; Zhong, Guangbin; Pan, Ke; Qian, Jing; Xie, Minwei; Chen, Rong; Liao, Yongyan; Tan, Qiao-Guo</t>
  </si>
  <si>
    <t>Interspecies calibration for biomonitoring metal contamination in coastal waters using oysters and mussels</t>
  </si>
  <si>
    <t>Bivalve; Bioaccumulation; Mussel watch; Toxicokinetic; MCMC</t>
  </si>
  <si>
    <t>MARINE BIVALVES; TRACE-METALS; MYTILUS-EDULIS; HEAVY-METALS; COPPER; BIOACCUMULATION; POLLUTION; ORGANISMS; CLASSIFICATION; BIODYNAMICS</t>
  </si>
  <si>
    <t>Differences in metal bioaccumulation among species make it difficult to compare biomonitoring results obtained using different marine bivalve species. To address this challenge and improve the interpretation of biomonitoring data, we studied the toxicokinetic mechanisms underlying these differences and developed a method to estimate seawater metal concentrations based on metal concentrations in the organisms. We transplanted six common species of oysters and mussels found in Chinese coastal waters into the Jiulong River estuary and monitored metal concentrations in the organisms, water, and suspended particles every three days over a six-week period. A one-compartment first-order toxicokinetic model was used to describe the relationship between metal bioaccumulation and metal concentrations in the environment. The model parameters, including aqueous uptake (ku) and dietary assimilation (kp) rate constants, and elimination rate constant (ke), were estimated using a Markov Chain Monte Carlo fitting method with a priori in-formation from a systematic review we conducted. The toxicokinetic model successfully fitted the temporal changes in metal bioaccumulation in all six bivalve species and explained the interspecies differences. Using the calibrated models, we were able to calculate metal concentrations in the seawater at the bivalve collection sites and enable com-parisons of biomonitoring data across multiple species. In conclusion, we have established a toxicokinetic framework to explain interspecies differences in metal bioaccumulation in six commonly found bivalves and provided a useful tool for interpreting biomonitoring data in coastal environments.</t>
  </si>
  <si>
    <t>[Cao, Xue; Zhong, Guangbin; Qian, Jing; Xie, Minwei; Chen, Rong; Tan, Qiao-Guo] Xiamen Univ, Coll Environm &amp; Ecol, Fujian Prov Key Lab Coastal Ecol &amp; Environm Sci, State Key Lab Marine Environm Sci, Xiamen 361102, Fujian, Peoples R China; [Cao, Xue; Pan, Ke] Shenzhen Univ, Inst Adv Study, Shenzhen Key Lab Marine Microbiome Engn, Shenzhen 518060, Peoples R China; [Liao, Yongyan] Beibu Gulf Univ, Guangxi Key Lab Beibu Gulf Marine Biodivers Conser, Qinzhou 535011, Peoples R China</t>
  </si>
  <si>
    <t>Xiamen University; Shenzhen University; Beibu Gulf University</t>
  </si>
  <si>
    <t>Tan, QG (corresponding author), Xiamen Univ, Coll Environm &amp; Ecol, Fujian Prov Key Lab Coastal Ecol &amp; Environm Sci, State Key Lab Marine Environm Sci, Xiamen 361102, Fujian, Peoples R China.</t>
  </si>
  <si>
    <t>TAN, Qiao-Guo/B-8688-2009; Xie, Minwei/ABA-8247-2020</t>
  </si>
  <si>
    <t>Cao, Xue/0000-0002-5039-8702; Xie, Minwei/0000-0003-4359-8738</t>
  </si>
  <si>
    <t>National Natural Science Foundation of China [41977347, 41676095, 42077372]</t>
  </si>
  <si>
    <t>We would like to thank Mr. Yang Biyi for his tremendous support and help in the fi eld study. This study was fi nancially supported by the National Natural Science Foundation of China (41977347 to Q. -G. T., 41676095 to K. P., 42077372 to M. X.) .</t>
  </si>
  <si>
    <t>10.1016/j.scitotenv.2023.163703</t>
  </si>
  <si>
    <t>http://dx.doi.org/10.1016/j.scitotenv.2023.163703</t>
  </si>
  <si>
    <t>G8KG9</t>
  </si>
  <si>
    <t>WOS:000991575800001</t>
  </si>
  <si>
    <t>Raveenderan, R; Sujatha, CH</t>
  </si>
  <si>
    <t>Raveenderan, Ranjitha; Sujatha, C. H.</t>
  </si>
  <si>
    <t>Quantization of specific trace metals in bivalve, Villorita Cyprinoides Var Cochinensis in the Cochin estuary</t>
  </si>
  <si>
    <t>Clams; Vembanad; Lake; Environment; Contaminants; Sentinel organisms; Pollution; Monitors</t>
  </si>
  <si>
    <t>HEAVY-METALS; CADMIUM; ACCUMULATION; MUSSEL; COPPER; ZINC; BIOACCUMULATION; TEMPERATURE; DEPURATION; SEDIMENTS</t>
  </si>
  <si>
    <t>Present study consists the quantization of specific metals-- Cr, Cd, Pb, Zn and Cu observed in the experimental bivalve, Villorita species. Bivalve specimens were collected seasonally from the identified three hot spots of Vembanad Lake. Soft tissue concentrations of metals are very sensitive in reflecting changes in the ambient environment and hence important in assessing the environmental quality. Concentrations of Zn in bivalves were fairly high compared to other metals. All the stations showed a maximum concentration during premonsoon and minimum during the other two seasons. Levels of Pb, Cu, Zn, Cd and Cr are between 0-6.17mg/kg, 0-17.224mg/kg, 1.916-255.163mg/kg, 0.325-4.133mg/kg, and 0-15.233mg/kg respectively.</t>
  </si>
  <si>
    <t>[Raveenderan, Ranjitha; Sujatha, C. H.] CUSAT, Dept Chem Oceanog, Cochin 682016, Kerala, India</t>
  </si>
  <si>
    <t>Sujatha, CH (corresponding author), CUSAT, Dept Chem Oceanog, Cochin 682016, Kerala, India.</t>
  </si>
  <si>
    <t>827LU</t>
  </si>
  <si>
    <t>WOS:000295430800015</t>
  </si>
  <si>
    <t>Girotti, S; Bolelli, L; Fini, F; Monari, M; Andreani, G; Carpené, E</t>
  </si>
  <si>
    <t>Girotti, S.; Bolelli, L.; Fini, F.; Monari, M.; Andreani, G.; Carpene, E.</t>
  </si>
  <si>
    <t>Trace metals in arcid clam Scapharca inaequivalvis:: Effects of molluscan extracts on bioluminescent bacteria</t>
  </si>
  <si>
    <t>bioluminescent bacteria; biotoxicity assay; heavy metal; metallothionein; Scapharca inaequivalvis</t>
  </si>
  <si>
    <t>CD-BINDING PROTEINS; MYTILUS-GALLOPROVINCIALIS; RUDITAPES-DECUSSATUS; MARINE MOLLUSKS; CADMIUM; METALLOTHIONEINS; INVERTEBRATES; ACCUMULATION; TOXICITY; EXPOSURE</t>
  </si>
  <si>
    <t>The relationship between a supposed effect of molluscan extracts on bioluminescent bacteria and metal concentrations in the extracts was investigated. For this purpose a biotoxicological assay based on bioluminescent bacteria (BLB) and extracts from metal exposed molluscs, Scapharca inaequivalvis, was optimized to monitor Cd and Cu marine pollution. Cu and Cd concentrations increased in tissues of experimentally exposed molluscs. Molluscan extracts inhibited the bacterial luminescence, the inhibition decreasing as the time of mollusc exposure to metals increased, suggesting a reduction of the bioactive metals. In regard to the use of BLB test in environmental monitoring, the analysis of Cu, Cd, and metallothionein (MT) was first performed in tissues from molluscs collected in three different areas of Northern Adriatic Sea. Metal concentrations reached maximum values in the gills, while Cd was mostly bound to MT in the kidney. Significant differences in metals and MT concentrations were found depending on the sampling sites. The biotoxicological assay resulted slightly correlated with the biochemical parameters. (c) 2006 Elsevier Ltd. All rights reserved.</t>
  </si>
  <si>
    <t>Univ Bologna, Inst Chem Sci, I-40127 Bologna, Italy; Dept Biochem, Vet Sect, I-40064 Ozzano Dell Emilia, Bologna, Italy</t>
  </si>
  <si>
    <t>Girotti, S (corresponding author), Univ Bologna, Inst Chem Sci, Via San Donato 15, I-40127 Bologna, Italy.</t>
  </si>
  <si>
    <t>girotti@biocfarm.unibo.it</t>
  </si>
  <si>
    <t>ANDREANI, Giulia/0000-0003-0509-1952; Isani, Gloria/0000-0002-3911-8749</t>
  </si>
  <si>
    <t>10.1016/j.chemosphere.2006.01.070</t>
  </si>
  <si>
    <t>http://dx.doi.org/10.1016/j.chemosphere.2006.01.070</t>
  </si>
  <si>
    <t>WOS:000241652000012</t>
  </si>
  <si>
    <t>MCFADZEN, IRB; CLEARY, JJ</t>
  </si>
  <si>
    <t>TOXICITY AND CHEMISTRY OF THE SEA-SURFACE MICROLAYER IN THE NORTH-SEA USING A CRYOPRESERVED LARVAL BIOASSAY</t>
  </si>
  <si>
    <t>MICROLAYER; TOXICITY; CRYOPRESERVED; LARVAE; OYSTER; CLAM</t>
  </si>
  <si>
    <t>SUBSURFACE WATERS; ORGANOTIN; ENGLAND; EMBRYOS; TRACE</t>
  </si>
  <si>
    <t>Samples of sea-surface microlayer (SMIC) and subsurface bulkwater were collected along a pollution gradient in the German Bight region of the North Sea in March 1990. Toxicity was assessed using cryopreserved veliger larvae of the Pacific oyster Crassostrea gigas L. and the Manila clam Tapes philippinarum Adams &amp; Reeve. Water samples were analysed for copper, lead and organotins. The results indicate that toxicity and chemical concentrations are greater in the microlayer than in the subsurface waters and decline with increased distance offshore.</t>
  </si>
  <si>
    <t>MCFADZEN, IRB (corresponding author), NERC, PLYMOUTH MARINE LAB, PROSPECT PL, W HOE, PLYMOUTH PL1 3DH, DEVON, ENGLAND.</t>
  </si>
  <si>
    <t>10.3354/meps103103</t>
  </si>
  <si>
    <t>http://dx.doi.org/10.3354/meps103103</t>
  </si>
  <si>
    <t>MN843</t>
  </si>
  <si>
    <t>WOS:A1994MN84300011</t>
  </si>
  <si>
    <t>KRAAK, MHS; TOUSSAINT, M; LAVY, D; DAVIDS, C</t>
  </si>
  <si>
    <t>SHORT-TERM EFFECTS OF METALS ON THE FILTRATION-RATE OF THE ZEBRA MUSSEL DREISSENA-POLYMORPHA</t>
  </si>
  <si>
    <t>FILTRATION RATE; ZEBRA MUSSEL; DREISSENA-POLYMORPHA; METAL ACCUMULATION</t>
  </si>
  <si>
    <t>MYTILUS-EDULIS; FOOD QUANTITY; CADMIUM; COPPER; WATER; ZINC; ACCUMULATION; RESPONSES; KINETICS; RHINE</t>
  </si>
  <si>
    <t>In order to study the short-term ecotoxicity of metals to the freshwater mussel Dreissena polymorpha, the effects of Cu, Zn and Cd on the filtration rate of this mussel were determined in laboratory experiments. Filtration rate was chosen as the endpoint, because it is a sensitive sublethal parameter compared to mortality and it is an important parameter given the ecological role D. polymorpha fulfills. The filtration rate was calculated from the decrease in algal concentration, fed to mussels in aquaria, containing different metal concentrations. The EC50 for Cu (41 mug litre-1) was lower than for Cd (388 mug litre-1) and Zn (1350 mug litre-1). The NOEC(accumulation) for the essential metal Zn was higher than for the essential metal Cu. Cadmium, a nonessential metal, was accumulated at all elevated water concentrations, so the NOEC(accumulation) was the concentration in the control water (&lt;0.2 mug litre-1). All (no) effect concentrations found in this study were above the quality criteria set for metal concentrations in Dutch surface water, suggesting that the zebra mussel is sufficiently protected by these quality criteria.</t>
  </si>
  <si>
    <t>KRAAK, MHS (corresponding author), UNIV AMSTERDAM,DEPT AQUAT ECOTOXICOL,KRUISLAAN 320,1098 SM AMSTERDAM,NETHERLANDS.</t>
  </si>
  <si>
    <t>10.1016/0269-7491(94)90096-5</t>
  </si>
  <si>
    <t>http://dx.doi.org/10.1016/0269-7491(94)90096-5</t>
  </si>
  <si>
    <t>MX140</t>
  </si>
  <si>
    <t>WOS:A1994MX14000006</t>
  </si>
  <si>
    <t>El-Sorogy, AS; Attiah, A</t>
  </si>
  <si>
    <t>El-Sorogy, Abdelbaset S.; Attiah, Abdullah</t>
  </si>
  <si>
    <t>Assessment of metal contamination in coastal sediments, seawaters and bivalves of the Mediterranean Sea coast, Egypt</t>
  </si>
  <si>
    <t>Metal contamination; Coastal sediments; Seawaters; Bivalves; Mediterranean Sea coast; Egypt</t>
  </si>
  <si>
    <t>HEAVY-METALS; ELEMENTS; GULF; ESTUARINE; POLLUTION; MONAZITE; RIVER</t>
  </si>
  <si>
    <t>In order to assess metal contamination on the Mediterranean coast of Egypt, 45 sediment samples, seawaters and bivalve specimens were collected from Rosetta coastal area for Mg, Al, K, Fe, Sr, Zn, Pb, Mn, As, Ce, Ni, Cr and Zr analyses by Inductively Coupled Plasma-Mass Spectrometer. The Enrichment Factor (EF), the Geoaccumulation Index (Igeo) and the Contamination Factor (CF) indicated that the coastal sediments of Rosetta area were severely enriched, strongly polluted with As, Pb and very highly contaminated with As, Pb, Ni, Ce, mostly as a result of anthropogenic inputs. Comparison with other samples from the Arabian Gulf, Red Sea and abroad coasts suggested that the studied samples have higher concentrations of Fe, Pb, As, Zn and Ni. The natural sources of heavy metals in the study area are attributed to weathering and decomposition of mountain ranges of the Sudan and Ethiopia, while the anthropogenic ones are the metals produced from industrial, sewage, irrigation and urban runoff. (C) 2015 Elsevier Ltd. All rights reserved.</t>
  </si>
  <si>
    <t>[El-Sorogy, Abdelbaset S.] King Saud Univ, Coll Sci, Dept Geol &amp; Geophys, Riyadh 11451, Saudi Arabia; [El-Sorogy, Abdelbaset S.; Attiah, Abdullah] Zagazig Univ, Fac Sci, Dept Geol, Zagazig, Egypt</t>
  </si>
  <si>
    <t>King Saud University; Egyptian Knowledge Bank (EKB); Zagazig University</t>
  </si>
  <si>
    <t>elsorogyabd@yahoo.com</t>
  </si>
  <si>
    <t>El-Sorogy, Abdelbaset/C-9445-2014; Attiah, Abdullah/S-4840-2018</t>
  </si>
  <si>
    <t>Attiah, Abdullah/0000-0003-1892-4829; El-Sorogy, Abdelbaset/0000-0003-0283-1433</t>
  </si>
  <si>
    <t>King Saud University; College of Science Research Center; Deanship of Scientific Research</t>
  </si>
  <si>
    <t>King Saud University(King Saud University); College of Science Research Center; Deanship of Scientific Research</t>
  </si>
  <si>
    <t>This work was funded by the King Saud University, the Deanship of Scientific Research, and the College of Science Research Center.</t>
  </si>
  <si>
    <t>10.1016/j.marpolbul.2015.11.017</t>
  </si>
  <si>
    <t>http://dx.doi.org/10.1016/j.marpolbul.2015.11.017</t>
  </si>
  <si>
    <t>CZ4XY</t>
  </si>
  <si>
    <t>WOS:000367107600047</t>
  </si>
  <si>
    <t>Hoarau, P; Damiens, G; Roméo, M; Gnassia-Barelli, M; Bebianno, MJ</t>
  </si>
  <si>
    <t>Hoarau, Pascal; Damiens, Gautier; Romeo, Michele; Gnassia-Barelli, Mauricette; Bebianno, Maria J.</t>
  </si>
  <si>
    <t>Cloning and expression of a GST-pi gene in Mytilus galloprovincialis.: Attempt to use the GST-pi transcript as a biomarker of pollution</t>
  </si>
  <si>
    <t>mussels; Mytilus galloprovincialis; glutathione S-transferase; molecular cloning; gene expression; biomarker; chemical pollutants</t>
  </si>
  <si>
    <t>GLUTATHIONE-S-TRANSFERASE; DIGESTIVE GLAND; WATER-QUALITY; MUSSEL-WATCH; METABOLISM; METALS; BENZO(A)PYRENE; INDUCTION; EVOLUTION; EXPOSURE</t>
  </si>
  <si>
    <t>Glutathione S-transferase is involved in the detoxication of many chemical compounds. Northern blot analysis of mRNA GST gene from the mussel Mytilus galloprovincialis shows the presence of a transcript of 850bp (GenBank accession no. Gi:22094808 and AF527010). The cDNA cloned sequence is constituted by an ORF of 621 bp encoding for a protein of 23,700 Da present in the gills and digestive gland of M galloprovincialis. The sequence, called Mg (M. galloprovincialis) GST-p, is clearly related to the pi class GST. M galloprovincialis treated with Cd (200 mu g/L) and BaP (100 mu g/L) or co-treated with Cd and BaP take up cadmium in the gills (16.2 +/- 4.2 and 12.6 +/- 1.2 mu g Cd/g dry wt. after exposure to Cd and Cd+BaP, respectively) and in the digestive gland. The transcription of GST-pi gene, by semi-quantitative RT-PCR, shows the lowest value in the digestive glands of mussels exposed to BaP, whereas the treatment with cadmium and the co-treatment with cadmium and BaP evoke GST-pi gene expression higher than controls. Mussels collected from six sites along the south coast of Portugal show different GST-pi transcription levels, some of which are related to their pollutant content. (c) 2006 Elsevier Inc. All rights reserved.</t>
  </si>
  <si>
    <t>Univ Nice, UNSA, Fac Sci, INRA,UMR 1112 ROSE, F-06108 Nice 2, France; Univ Algarve, FCMA, CIMA, Lab Ecotoxicol &amp; Environm Chem, P-8000 Faro, Portugal</t>
  </si>
  <si>
    <t>INRAE; Universite Cote d'Azur; Universidade do Algarve</t>
  </si>
  <si>
    <t>Roméo, M (corresponding author), Univ Nice, UNSA, Fac Sci, INRA,UMR 1112 ROSE, BP 71, F-06108 Nice 2, France.</t>
  </si>
  <si>
    <t>10.1016/j.cbpc.2006.02.007</t>
  </si>
  <si>
    <t>http://dx.doi.org/10.1016/j.cbpc.2006.02.007</t>
  </si>
  <si>
    <t>WOS:000237836300008</t>
  </si>
  <si>
    <t>Xie, MW; Simpson, SL; Wang, WX</t>
  </si>
  <si>
    <t>Xie, Minwei; Simpson, Stuart L.; Wang, Wen-Xiong</t>
  </si>
  <si>
    <t>Bioturbation effects on metal release from contaminated sediments are metal-dependent</t>
  </si>
  <si>
    <t>Metal contaminated sediments; Bioturbation; Metal efflux; DGT; Limnodrilus hoffmeisteri; Corbicula fluminea</t>
  </si>
  <si>
    <t>THIN-FILMS; DIFFUSIVE GRADIENTS; TRACE-METALS; ORGANIC-MATTER; LAKE-SEDIMENTS; SEQUENTIAL EXTRACTION; SPECIATION; BIOAVAILABILITY; WATER; TOXICITY</t>
  </si>
  <si>
    <t>Metal flux measurements inform the mobility, potential bioavailability and risk of toxicity for metals in contaminated sediments and therefore is an important approach for sediment quality assessment. The binding and release of metals that contribute to the net flux is strongly influenced by the presence and behaviors of benthic organisms. Here we studied the effects of bioturbation on the mobility and efflux of metals from multi-metal contaminated sediments that inhabited by oligochaete worms or both worms and bivalves. Presence of bivalves enhanced the release of Mn, Co, Ni and Zn but not for copper and chromium, which is likely due to the high affinities of copper and chromium for the solid phase. Metals in the overlying water were primarily associated with fractions smaller than 10 kDa, and the fractionation of all metals were not affected by the presence of the bivalve. Metal fluxes attributed to different processes were also distinguished, and the bioturbation induced effluxes were substantially higher than the diffusive effluxes. Temporal variabilities in the total net effluxes of Mn, Co, Ni and Zn were also observed and were attributed to the biological activities of the bivalves. Overall, the present study demonstrated that the response of different metals to the same bioturbation behavior was different, resulting in distinct mobility and fate of the metal contaminants. (C) 2019 Elsevier Ltd. All rights reserved.</t>
  </si>
  <si>
    <t>[Xie, Minwei; Wang, Wen-Xiong] Shenzhen Res Inst, Shenzhen, Peoples R China; [Xie, Minwei; Wang, Wen-Xiong] Hong Kong Univ Sci &amp; Technol, Dept Ocean Sci, Kowloon, Clear Water Bay, Hong Kong, Peoples R China; [Simpson, Stuart L.] CSIRO Land &amp; Water, Ctr Environm Contaminants Res, Locked Bag 2007, Kirrawee, NSW 2232, Australia</t>
  </si>
  <si>
    <t>Hong Kong University of Science &amp; Technology; Commonwealth Scientific &amp; Industrial Research Organisation (CSIRO)</t>
  </si>
  <si>
    <t>Wang, WX (corresponding author), Shenzhen Res Inst, Shenzhen, Peoples R China.;Wang, WX (corresponding author), Hong Kong Univ Sci &amp; Technol, Dept Ocean Sci, Kowloon, Clear Water Bay, Hong Kong, Peoples R China.</t>
  </si>
  <si>
    <t>Xie, Minwei/ABA-8247-2020; Simpson, Stuart/JCE-1589-2023; Simpson, Stuart/A-6044-2011; Wang, Wenxiong/E-7254-2011</t>
  </si>
  <si>
    <t>Simpson, Stuart/0000-0003-1759-0564; Wang, Wenxiong/0000-0001-9033-0158; Xie, Minwei/0000-0003-4359-8738</t>
  </si>
  <si>
    <t>National Natural Science Foundation of China [21707113]; Basic Research Project of Shenzhen [JCYJ20170818114129499]</t>
  </si>
  <si>
    <t>National Natural Science Foundation of China(National Natural Science Foundation of China (NSFC)); Basic Research Project of Shenzhen</t>
  </si>
  <si>
    <t>We thank Graeme E. Batley, Timothy M. Remaili, and four anonymous reviewers for providing valuable comments to the manuscript. Dr. Guangyuan Lu and Yunlong Li are acknowledged for the assistance during sediment collection. This study was sponsored by the National Natural Science Foundation of China (Grant No. 21707113) and the Basic Research Project of Shenzhen (JCYJ20170818114129499).</t>
  </si>
  <si>
    <t>10.1016/j.envpol.2019.04.003</t>
  </si>
  <si>
    <t>http://dx.doi.org/10.1016/j.envpol.2019.04.003</t>
  </si>
  <si>
    <t>IC6NG</t>
  </si>
  <si>
    <t>WOS:000471088200011</t>
  </si>
  <si>
    <t>Boukadida, K; Cachot, J; Morin, B; Clerandeau, C; Banni, M</t>
  </si>
  <si>
    <t>Boukadida, Khouloud; Cachot, Jerome; Morin, Benedicte; Clerandeau, Christelle; Banni, Mohamed</t>
  </si>
  <si>
    <t>Moderate temperature elevation increase susceptibility of early-life stage of the Mediterranean mussel, Mytilus galloprovincialis to metal-induced genotoxicity</t>
  </si>
  <si>
    <t>Embryotoxicity; Gene expression; DNA damage; Larvae; Mussel; Multi-stress</t>
  </si>
  <si>
    <t>OYSTER CRASSOSTREA-GIGAS; DNA STRAND BREAKS; OXIDATIVE STRESS; PACIFIC OYSTER; SILVER NANOPARTICLES; LARVAL DEVELOPMENT; CHEMICAL TOXICITY; THERMAL-STRESS; CLIMATE-CHANGE; HEAVY-METALS</t>
  </si>
  <si>
    <t>The present study aims to evaluate the effects of copper and silver alone or along with a moderate temperature increase on embryonic development, DNA integrity and target gene expression levels in early life stages of Mytilus galloprovincialis. For this purpose, upon fertilized embryos were exposed to a sub-lethal concentration of Cu (9.54 mu g/L), Ag (2.55 mu g/L) and to the mixture of the two metals (Cu (6.67 mu g/L) + Ag (1.47 mu g/L)) along with a temperature gradient (18, 20 and 22 degrees C). In all experiments, larvae were exposed to stressors for 48 h except for those designed to DNA damage analysis exposed only for 24 h (before shell formation). Our results showed a significant increase in the percentage of malformed D-larvae (p &lt; 0.05) with increasing temperature and exposure to silver and copper alone or in a mixture. Moreover, metal toxicity increased significantly (p &lt; 0.05) with the temperature rise. Genotoxicity was evaluated using classic and modified with Formamidopyrimidine DNA glycosylase (Fpg) Comet assay. Results suggest that co-exposure to metals and temperature significantly increased DNA damage on mussel larvae with a more accentuated oxidative damage. A significant transcription modulation was observed for genes involved in DNA repair and DNA replication (p53, DNA ligase II and topoisomerase II) when larvae are exposed to a single stressor. However, in the case of multiple stresses, caspase involved in the cell apoptosis pathway was overexpressed. Our study suggests that mussel larvae exposed to a moderate increase in temperature may have a compromised ability to defend against genotoxicity. This is particularly relevant in the context of global warming and thermal pollution. (C) 2019 Elsevier B.V. All rights reserved.</t>
  </si>
  <si>
    <t>[Boukadida, Khouloud; Cachot, Jerome; Morin, Benedicte; Clerandeau, Christelle] Univ Bordeaux, Lab Ocean &amp; Continental Environm &amp; Paleoenvironm, EPOC, UMR 5805, F-33600 Pessac, France; [Boukadida, Khouloud; Banni, Mohamed] ISA, Lab Biochem &amp; Environm Toxicol, Chott Mariem 4042, Sousse, Tunisia</t>
  </si>
  <si>
    <t>Banni, Mohamed/0000-0001-9764-0343; Cachot, Jerome/0000-0002-1492-9684; BOUKADIDA, Khouloud/0000-0003-3876-9862; Morin, Benedicte/0000-0003-4583-4319</t>
  </si>
  <si>
    <t>European Union; Tunisian Ministry of Higher Education, Research Unit Biochemistry and Ecotoxicology ISA Chott-Mariem [UR13AGR08]</t>
  </si>
  <si>
    <t>European Union(European Union (EU)); Tunisian Ministry of Higher Education, Research Unit Biochemistry and Ecotoxicology ISA Chott-Mariem</t>
  </si>
  <si>
    <t>Authors would like to acknowledge the French and Tunisian Governments. Khouloud Boukadida was supported by the European Union in the framework of the Erasmus Mundus EU Metallic II Program. This work was part of the LABEX COTE cluster of excellence Continental to coastal Ecosystems: evolution, adaptability and governance. This work was supported by funds from the Tunisian Ministry of Higher Education, Research Unit Biochemistry and Ecotoxicology ISA Chott-Mariem (UR13AGR08).</t>
  </si>
  <si>
    <t>10.1016/j.scitotenv.2019.01.215</t>
  </si>
  <si>
    <t>http://dx.doi.org/10.1016/j.scitotenv.2019.01.215</t>
  </si>
  <si>
    <t>HN0EP</t>
  </si>
  <si>
    <t>WOS:000459858500034</t>
  </si>
  <si>
    <t>Breitwieser, M; Bruneau, M; Barbarin, M; Churlaud, C; Mouneyrac, C; Thomas, H</t>
  </si>
  <si>
    <t>Breitwieser, Marine; Bruneau, Melanie; Barbarin, Marine; Churlaud, Carine; Mouneyrac, Catherine; Thomas, Helene</t>
  </si>
  <si>
    <t>Is metallothionein in Mimachlamys varia a suitable biomarker of trace elements in the waters of the French Atlantic coast?</t>
  </si>
  <si>
    <t>Metallothioneins; Environmental quality; Heavy metals; Contamination</t>
  </si>
  <si>
    <t>SCALLOP CHLAMYS-VARIA; METAL BIOACCUMULATION; CORBICULA-FLUMINEA; OXIDATIVE STRESS; CD; INVERTEBRATES; CONTAMINATION; TRANSFERASES; HOMEOSTASIS; RESPONSES</t>
  </si>
  <si>
    <t>The development of human activities along the Atlantic coast is responsible for the chronic pollution of the environment with organic and inorganic contaminants. In recent years, environmental regulations such as the MSFD (2008/56/EC) and the OSPAR commission have been developed to preserve coastal environments, giving rise to studies in aquatic biomonitoring. One of them is to use biomarkers to observe the pollutants impact on coastal species such as the bivalve Mimachlamys varia. A defence biomarker was considered in this research to study metal accumulation, with metallothioneins (Mts) involved in the uptake, storage and excretion of metals. To achieve this, bivalves were collected in March 2016 in seven sites along the French Atlantic coasts (open area) and in harbours (semi-open area) with contrasting levels of pollution. Biomarker assays were performed to compare the responses in several tissues (digestive glands, gonads, gills) to inorganic pollutants. The results showed that the accumulation of trace element was different depending on the site and the organ. Mts concentrations were greater in digestive gland compared with gills. Usually, Mts levels were decreased in site showing elevated levels of trace element which explained by downregulation of Mts. Furthermore, results of correlation between Mts and inorganic contaminants and the influence of abiotic factors on Mts suggested that Mts in M. varia is not a relevant biomarker in environments exposed to cocktails of contaminants.</t>
  </si>
  <si>
    <t>[Breitwieser, Marine; Barbarin, Marine; Churlaud, Carine; Thomas, Helene] CNRS, UMR 7266, Littoral Environm &amp; Soc LIENSs, 2 Rue Olympe de Gouges, F-17000 La Rochelle, France; [Bruneau, Melanie; Mouneyrac, Catherine] UCO, MMS, EA2160, 3 Pl Andre Leroy, F-49000 Angers, France</t>
  </si>
  <si>
    <t>Breitwieser, M (corresponding author), CNRS, UMR 7266, Littoral Environm &amp; Soc LIENSs, 2 Rue Olympe de Gouges, F-17000 La Rochelle, France.</t>
  </si>
  <si>
    <t>m.breitwieser@healthymind.fr</t>
  </si>
  <si>
    <t>THOMAS, Helene/JZW-5193-2024</t>
  </si>
  <si>
    <t>Barbarin, Marine/0000-0001-6281-6249; THOMAS, Helene/0000-0002-7932-6841</t>
  </si>
  <si>
    <t>Communaute d'Agglomeration of La Rochelle (France); University of La Rochelle (PECTIMPACT Multidisciplinary approach to PECTinidae Chlamys sp: IMPACT of a chemical contamination Project, France); DYPOMAR project; Marina of La Rochelle</t>
  </si>
  <si>
    <t>Our work was supported by PhD grants from the Communaute d'Agglomeration of La Rochelle (France), the University of La Rochelle (PECTIMPACT Multidisciplinary approach to PECTinidae Chlamys sp: IMPACT of a chemical contamination Project, France) and the DYPOMAR project and the Marina of La Rochelle.</t>
  </si>
  <si>
    <t>10.1007/s11356-020-08392-1</t>
  </si>
  <si>
    <t>http://dx.doi.org/10.1007/s11356-020-08392-1</t>
  </si>
  <si>
    <t>MI4MP</t>
  </si>
  <si>
    <t>WOS:000523078900010</t>
  </si>
  <si>
    <t>Rodríguez-Ortega, MJ; Rodríguez-Ariza, A; Gómez-Ariza, JL; Muñoz-Serrano, A; López-Barea, J</t>
  </si>
  <si>
    <t>Rodriguez-Ortega, Manuel J.; Rodriguez-Ariza, Antonio; Luis Gomez-Ariza, Jose; Munoz-Serrano, Andres; Lopez-Barea, Juan</t>
  </si>
  <si>
    <t>Multivariate discriminant analysis distinguishes metal- from non metal-related biomarker responses in the clam Chamaelea gallina</t>
  </si>
  <si>
    <t>Bivalve molluscs; Metals; Biomarkers; Oxidative stress; Seasonality; Multivariate discriminant analysis</t>
  </si>
  <si>
    <t>OXIDATIVE STRESS; MOLECULAR BIOMARKERS; ANTIOXIDANT ENZYMES; LIPID-PEROXIDATION; POLLUTION; EXPOSURE; CONTAMINANTS; SEASONALITY; GLUTATHIONE; BIVALVES</t>
  </si>
  <si>
    <t>Molecular biomarkers are among the most sensitive and earliest responses to pollutants. However, lack of detailed knowledge on variability of responses and their possible seasonal variation limit their use. In addition, the seasonality of biological processes modulates the response of organisms to pollutant stressors. Using multivariate statistics, we have studied the influence of environmental and biological factors on the response of a battery of molecular biomarkers in the clam Chamaelea gallina collected along the South-Spanish littoral. Multivariate discriminant analysis clearly distinguished biomarker response between clean and polluted areas, using heavy metals as indicator of pollution. Such differences disappeared when the dataset was normalised for metal content, thus indicating that pollution was the main significant cause of the changes observed between clean and polluted sites. In conclusion, this work shows that, when applying a complete biomarker panel, multivariate statistical tools can be used to discern pollutant- from non pollutant-related responses. (C) 2008 Elsevier Ltd. All rights reserved.</t>
  </si>
  <si>
    <t>[Rodriguez-Ortega, Manuel J.; Lopez-Barea, Juan] Univ Cordoba, Dept Bioquim &amp; Biol Mol, E-14071 Cordoba, Spain; [Rodriguez-Ariza, Antonio] Hosp Reina Sofia, Unidad Invest, Cordoba, Spain; [Luis Gomez-Ariza, Jose] Univ Huelva, Dept Quim &amp; Ciencias Mat, Huelva, Spain; [Munoz-Serrano, Andres] Univ Cordoba, Dept Genet, E-14071 Cordoba, Spain</t>
  </si>
  <si>
    <t>Universidad de Cordoba; Hospital Universitario Reina Sofia - Cordoba; Universidad de Huelva; Universidad de Cordoba</t>
  </si>
  <si>
    <t>Rodríguez-Ortega, MJ (corresponding author), Univ Cordoba, Dept Bioquim &amp; Biol Mol, Edificio Severo Ochoa,1 Planta,Campus Rabanales, E-14071 Cordoba, Spain.</t>
  </si>
  <si>
    <t>q62roorm@uco.es</t>
  </si>
  <si>
    <t>Rodriguez-Ariza, Antonio/JAO-0548-2023; Rodriguez-Ortega, Manuel J./L-8244-2014; Lopez-Barea, Juan/K-7258-2014; Gomez-Ariza, Jose Luis/G-5525-2015; Rodriguez-Ariza, Antonio/U-4854-2017</t>
  </si>
  <si>
    <t>Rodriguez-Ortega, Manuel J./0000-0002-8744-7045; Lopez-Barea, Juan/0000-0002-2280-3379; Gomez-Ariza, Jose Luis/0000-0001-7997-7444; Rodriguez-Ariza, Antonio/0000-0001-5304-5745</t>
  </si>
  <si>
    <t>Spanish Ministry of Education and Science [1FD97-0610]; Plan Andaluz de Investigacion [CVI-151]; Consejeria de Agricultura y Pesca, junta de Andalucia</t>
  </si>
  <si>
    <t>Spanish Ministry of Education and Science(Spanish Government); Plan Andaluz de Investigacion; Consejeria de Agricultura y Pesca, junta de Andalucia(Junta de Andalucia)</t>
  </si>
  <si>
    <t>This work was supported by grants from the Spanish Ministry of Education and Science (1FD97-0610) and from Plan Andaluz de Investigacion (CVI-151), and a contract with the Consejeria de Agricultura y Pesca, junta de Andalucia.</t>
  </si>
  <si>
    <t>10.1016/j.marpolbul.2008.09.006</t>
  </si>
  <si>
    <t>http://dx.doi.org/10.1016/j.marpolbul.2008.09.006</t>
  </si>
  <si>
    <t>401SX</t>
  </si>
  <si>
    <t>WOS:000262963500019</t>
  </si>
  <si>
    <t>Regoli, F; Hummel, H; Amiard-Triquet, C; Larroux, C; Sukhotin, A</t>
  </si>
  <si>
    <t>Trace metals and variations of antioxidant enzymes in arctic bivalve populations</t>
  </si>
  <si>
    <t>MIXED-FUNCTION OXYGENASE; MYTILUS-GALLOPROVINCIALIS; LIPID-PEROXIDATION; GEUKENSIA-DEMISSA; OXIDATIVE STRESS; MACOMA-BALTHICA; AQUATIC ANIMALS; MARINE BIVALVES; DIGESTIVE GLAND; COMMON MUSSEL</t>
  </si>
  <si>
    <t>In the framework of an INTAS project, arctic populations of the clam Macoma balthica were collected from seven stations (Mezen, Khaypudyr, Pechora 3, Pechora 5, Dvina, Keret 1, and Keret 2) in the White Sea and Pechora Sea. The main objectives of this research were to define baseline concentrations of trace metals (As, Cd, Cr, Cu, Fe, Mn, Pb, Zn) in M. balthica and to evaluate antioxidant responses as biomarkers of anthropogenic stress in these organisms. The antioxidant parameters examined included the levels of glutathione and the activities of several glutathione-dependent and antioxidant enzymes: glyoxalase I and glyoxalase II (EC 4.4.1.5 and EC 3.1.2.6), glutathione S-transferases (EC 2.5.1.18), glutathione reductase (EC 1.6.4.2), glutathione peroxidases (EC1.11.1.9 and EC 2.5.1.18, respectively, for Se-dependent and Se-independent forms), superoxide dismutase (SOD, EC 1.15.1.1), and catalase (EC 1.11.1.6). Organisms revealed enhanced concentrations of lead in both Keret stations, Khaypudyr, and Mezen, and high levels of copper in Keret and cadmium in Khaypudyr. At the biochemical level, organisms from Pechora 3, Pechora 5, and Dvina were not statistically different, whereas those from Mezen and Khaypudyr exhibited higher activities of superoxide dismutase, glutathione peroxidase, and glyoxalase II. Catalase levels were lower in Mezen and Khaypudyr. More heterogeneous were the responses of glyoxalase I and glutathione S-transferases, while no significant differences among the stations were observed for glutathione reductase. Multiple regression analyses revealed significant positive relationships between the main antioxidant enzymes (glutathione peroxidases, superoxide dismutase, glyoxalase I, and glyoxalase II), and confirmed the exception of catalase, which, when significant, was negatively correlated with the other parameters. The results support the suitability of antioxidant responses as biomarkers of pollutant exposure and/or toxicity for arctic biomonitoring programs even though only moderately polluted sites were sampled.</t>
  </si>
  <si>
    <t>Univ Ancona, Ist Biol &amp; Genet, I-60100 Ancona, Italy; Netherlands Inst Ecol, Ctr Estuarine &amp; Coastal Ecol, NL-4401 NT Yerseke, Netherlands; Univ Nantes, CNRS, Fac Pharm, Lab Ecotoxicol, F-44035 Nantes, France; Russian Acad Sci, Inst Zool, St Petersburg 199034, Russia</t>
  </si>
  <si>
    <t>Marche Polytechnic University; Royal Netherlands Academy of Arts &amp; Sciences; Netherlands Institute of Ecology (NIOO-KNAW); Centre National de la Recherche Scientifique (CNRS); Nantes Universite; Russian Academy of Sciences; Zoological Institute of the Russian Academy of Sciences</t>
  </si>
  <si>
    <t>Univ Ancona, Ist Biol &amp; Genet, Via Ranieri Monte Ago, I-60100 Ancona, Italy.</t>
  </si>
  <si>
    <t>Regoli, Francesco/K-2719-2018; Sukhotin, Alexey/H-4144-2013; Hummel, Herman/A-9610-2011</t>
  </si>
  <si>
    <t>Regoli, Francesco/0000-0001-6084-6188; Sukhotin, Alexey/0000-0003-2626-5317; Hummel, Herman/0000-0001-6902-5773</t>
  </si>
  <si>
    <t>10.1007/s002449900421</t>
  </si>
  <si>
    <t>http://dx.doi.org/10.1007/s002449900421</t>
  </si>
  <si>
    <t>WOS:000076716400007</t>
  </si>
  <si>
    <t>Bustamante, P; Miramand, P</t>
  </si>
  <si>
    <t>Evaluation of the variegated scallop Chlamys varia as a biomonitor of temporal trends of Cd, Cu, and Zn in the field</t>
  </si>
  <si>
    <t>heavy metals; trace elements; bioaccumulation; biomonitoring; seasonal variation; pectinid</t>
  </si>
  <si>
    <t>SEASONAL-VARIATION; MYTILUS-EDULIS; HEAVY-METALS; GEOGRAPHICAL VARIATIONS; ADAMUSSIUM-COLBECKI; DIFFERENT TISSUES; TRACE-ELEMENTS; MUSSEL MYTILUS; CADMIUM; ACCUMULATION</t>
  </si>
  <si>
    <t>This study assesses the potential of the scallop Chlamys varia as a biomonitor of metal contamination in the field. Cd, Cu, and Zn concentrations were determined in the soft tissues and organs of individuals from the French Atlantic coast sampled over a 1 year period and covering a wide range of size. All metals were selectively distributed among the different body compartments considered, and their concentrations were influenced by the size of the specimens or the sampling-season. The present work shows the importance of considering the body compartment, the sampling period and the size in studies aiming at using this scallop as a biomonitor species. Among tissues, the digestive gland and kidneys exhibited the highest metal concentrations whatever the season or the size. The digestive gland contained 65 and 48% of the whole Cd and Cu body burdens, respectively, and kidneys accounted for 85% of the Zn load. Those tissues are therefore particularly recommended for use in biomonitoring programs. (c) 2005 Elsevier Ltd. All rights reserved.</t>
  </si>
  <si>
    <t>Univ La Rochelle, CNRS, FRE 2727, Lab Biol &amp; Environm Marins, F-17042 La Rochelle, France</t>
  </si>
  <si>
    <t>Univ La Rochelle, CNRS, FRE 2727, Lab Biol &amp; Environm Marins, 22 Ave Michel Crepeau, F-17042 La Rochelle, France.</t>
  </si>
  <si>
    <t>pbustama@univ-lr.fr</t>
  </si>
  <si>
    <t>Bustamante, Paco/G-5833-2011</t>
  </si>
  <si>
    <t>Bustamante, Paco/0000-0003-3877-9390</t>
  </si>
  <si>
    <t>10.1016/j.envpol.2005.02.014</t>
  </si>
  <si>
    <t>http://dx.doi.org/10.1016/j.envpol.2005.02.014</t>
  </si>
  <si>
    <t>953KM</t>
  </si>
  <si>
    <t>WOS:000231075200013</t>
  </si>
  <si>
    <t>Donets, MM; Tsygankov, VY; Polevschikov, AV; Kulshova, VI; Elkhoury, JA; Boyarova, MD; Prozorova, LA; Chernova, EN; Bogatov, VV; Lysenko, EV; Quang, NX</t>
  </si>
  <si>
    <t>Donets, Maksim M.; Tsygankov, Vasiliy Yu; Polevschikov, Alexander, V; Kulshova, Veronika, I; Elkhoury, Joseph A.; Boyarova, Margarita D.; Prozorova, Larisa A.; Chernova, Elena N.; Bogatov, Victor V.; Lysenko, Eugenia, V; Ngo Xuan Quang</t>
  </si>
  <si>
    <t>Organochlorine Compounds in Commercial Bivalves from the Mekong and Saigon-Dong Nai River Deltas (South Vietnam)</t>
  </si>
  <si>
    <t>Mekong; Bivalves; Pollution; POPs; OCPs; PCBs</t>
  </si>
  <si>
    <t>NEMATODE COMMUNITIES; PESTICIDES; CONTAMINATION; GROUNDWATER; OCPS</t>
  </si>
  <si>
    <t>Persistent organic pollutants (POPs) are distributed in the environment worldwide. These pollutants are found ubiquitously in the environment, including commercially valuable aquatic organisms. Vietnam is one of the world's largest exporters of seafood, including bivalves. At the same time, comprehensive monitoring studies of aquatic ecosystems in Vietnam are insufficient and not coordinated and are mainly aimed at detecting heavy metals. We studied concentrations of organochlorine pesticides (OCPs (DDT, HCH)) and polychlorinated biphenyls (PCBs) in bivalves of four genera (Corbicula, Geloina, Ensidens, Scabies) collected from the Mekong Delta and Saigon-Dong Nai River Delta as well as purchased freshly caught at local markets in the spring of 2017 and 2018 before the rainy season. The studied watercourses and waterbodies can be arranged in the following order of increasing pollution: Lake Binh Thien - Hau River - Tien River - Ba Lai River - Saigon-Dong Nai River. The surveyed areas of mangrove ecosystems in the provinces of Kien Giang and Bac Lieu cannot be included in this order, since they are inhabited by mangrove clams Geloina sp. of the family Cyrenidae, which are bivalves with narrow specialization. Currently, the major factors responsible for the OCP pollution in South Vietnam may be agricultural activities and industrial sectors which disregard the recommendations and bans on the use of these hazardous compounds, along with the persisting unfavorable background in the form of DDE being a consequence of the wide application of DDT until 1995.</t>
  </si>
  <si>
    <t>[Donets, Maksim M.; Tsygankov, Vasiliy Yu; Kulshova, Veronika, I; Elkhoury, Joseph A.; Boyarova, Margarita D.] Far Eastern Fed Univ, Vladivostok, Russia; [Polevschikov, Alexander, V] Inst Expt Med, St Petersburg, Russia; [Prozorova, Larisa A.; Bogatov, Victor V.] East Asia Terr Biodivers FEB RAS, Fed Sci Ctr, Vladivostok, Russia; [Chernova, Elena N.; Lysenko, Eugenia, V] Pacific Geog Inst FEB RAS, Vladivostok, Russia; [Ngo Xuan Quang] Vietnam Acad Sci &amp; Technol, Inst Trop Biol, Ho Chi Minh City, Vietnam; [Ngo Xuan Quang] Vietnam Acad Sci &amp; Technol, Grad Univ Sci &amp; Technol, 18 Hoang Quoc Viet, Hanoi, Vietnam</t>
  </si>
  <si>
    <t>Far Eastern Federal University; Institute of Experimental Medicine; Pacific Geographical Institute of the Far Eastern Branch of the Russian Academy of Sciences; Vietnam Academy of Science &amp; Technology (VAST); Vietnam Academy of Science &amp; Technology (VAST)</t>
  </si>
  <si>
    <t>Donets, MM (corresponding author), Far Eastern Fed Univ, Vladivostok, Russia.</t>
  </si>
  <si>
    <t>maksim.donecz@mail.ru</t>
  </si>
  <si>
    <t>Boyarova, Margarita/R-5095-2016; Chernova, Elena/F-3773-2014; Tsygankov, Vasiliy Yu./J-4069-2013; Bogatov, Viktor/M-8730-2015; Ngo, Quang/R-4477-2019; Prozorova, Larisa/O-1596-2018; Donets, Maksim/W-8730-2018</t>
  </si>
  <si>
    <t>Prozorova, Larisa/0000-0003-2174-815X; , Ngo Xuan Quang/0000-0003-2587-1999; Donets, Maksim/0000-0002-2108-4448</t>
  </si>
  <si>
    <t>Far Eastern Branch of the Russian Academy of Sciences; Russian Science Foundation [18-14-00120]; Vietnam Academy of Science and Technology; Russian Science Foundation [18-14-00120] Funding Source: Russian Science Foundation</t>
  </si>
  <si>
    <t>Far Eastern Branch of the Russian Academy of Sciences(Russian Academy of Sciences); Russian Science Foundation(Russian Science Foundation (RSF)); Vietnam Academy of Science and Technology; Russian Science Foundation(Russian Science Foundation (RSF))</t>
  </si>
  <si>
    <t>The sample collection in Vietnam and measurements of heavy metals were supported by the international program of joint projects of the Far Eastern Branch of the Russian Academy of Sciences and the Vietnam Academy of Science and Technology in the field of basic research (project managers: RAS Academician Dr. V.V. Bogatov and Dr. X.Q. Ngo). The measurements of organochlorine compounds were supported by the Russian Science Foundation (agreement no. 18-14-00120).</t>
  </si>
  <si>
    <t>10.1007/s11270-022-05540-w</t>
  </si>
  <si>
    <t>http://dx.doi.org/10.1007/s11270-022-05540-w</t>
  </si>
  <si>
    <t>YX6FN</t>
  </si>
  <si>
    <t>WOS:000754196600002</t>
  </si>
  <si>
    <t>Khessiba, A; Hoarau, P; Gnassia-Barelli, M; Aissa, P; Roméo, M</t>
  </si>
  <si>
    <t>Biochemical response of the mussel Mytilus galloprovincialis from Bizerta (Tunisia) to chemical pollutant exposure</t>
  </si>
  <si>
    <t>LIPID-PEROXIDATION; ANTIOXIDANT ENZYMES; MEDITERRANEAN-SEA; DIGESTIVE GLAND; HEAVY-METALS; EDULIS-L; GLUTATHIONE; BIOMARKERS; CONTAMINATION; METABOLISM</t>
  </si>
  <si>
    <t>Three biomarkers (glutathione S-transferase [GST] activity, catalase [CAT] activity, and malonedialdehyde [MDA] levels) were measured in specimens of the mussel Mytilus galloprovincialis collected from two different stations (BC and MJ) in the lagoon of Bizerta (Tunisia). Animals were allowed to acclimate in the laboratory for some days. They were then exposed for 48 h to two concentrations of pp'DDE and two doses of mercury chloride. The acclimation period increased CAT activities and MDA levels in control mussels from both sites. GST activities were not modified during the acclimation period, whereas the sampling site of mussels appeared to exert a significant influence (higher values in control mussels from MJ than in those from BC). The treatment with both contaminants also increased GST activities of mussels from BC and not from MJ. It is hypothesized that animals from this last location are more exposed to the urban waste waster disposal, their biochemical response (GST activity) to pollutant exposure will be less marked. The treatment with pp'DDE or mercury did not show significant trend in CAT activities or MDA levels due to the variation of controls, and comparison of sites for mussels exposed to either pollutant therefore seems difficult. The acclimation period in the laboratory and the origin of mussels must be taken into consideration when studying the biochemical responses of mussels experimentally exposed to chemical pollutants.</t>
  </si>
  <si>
    <t>Univ Nice, Fac Sci, Lab Physiol &amp; Toxicol Environm, F-06108 Nice 2, France; Fac Sci Bizerte, Lab Ecobiol Anim, Zarzouna 7021, Bizerta, Tunisia</t>
  </si>
  <si>
    <t>Universite Cote d'Azur; Universite de Carthage</t>
  </si>
  <si>
    <t>Roméo, M (corresponding author), Univ Nice, Fac Sci, Lab Physiol &amp; Toxicol Environm, BP 71,Parc Valrose, F-06108 Nice 2, France.</t>
  </si>
  <si>
    <t>400YY</t>
  </si>
  <si>
    <t>WOS:000166901300010</t>
  </si>
  <si>
    <t>DAVENPORT, J; MANLEY, A</t>
  </si>
  <si>
    <t>DETECTION OF HEIGHTENED SEA-WATER COPPER CONCENTRATIONS BY MUSSEL MYTILUS-EDULIS</t>
  </si>
  <si>
    <t>An acute toxicity threshold of 0.09-0.10 ppm added Cu [pollutant] was determined for specimens of M. edulis from the Menai Strait which were exposed to Cu (as CuSO4) in a flowing seawater system. The closure response of the mussel to added Cu is a 3-part process. First, a sharp adduction of the shell valves is seen at a mean total Cu concentration of only 0.021 ppm, then as the Cu concentration rises, testing behavior is observed and finally the shell valves close to isolate the animal from its environment. The complete valve closure mechanism only operates at added Cu concentrations of 0.2 ppm or more. The initial behavioral reaction of valve adduction at low concentration occurred at a significantly higher mean total Cu concentration (0.16 ppm) in mussels which were previously acclimated to 0.02 ppm total Cu in seawater for 10 days.</t>
  </si>
  <si>
    <t>NERC, MARINE SCI LABS, MARINE INVERTEBRATE BIOL UNIT, GWYNEDD, WALES.</t>
  </si>
  <si>
    <t>10.1017/S0025315400056800</t>
  </si>
  <si>
    <t>http://dx.doi.org/10.1017/S0025315400056800</t>
  </si>
  <si>
    <t>FZ739</t>
  </si>
  <si>
    <t>WOS:A1978FZ73900005</t>
  </si>
  <si>
    <t>EFFECTS OF SALINITY ON NET UPTAKE OF ZINC BY COMMON MUSSEL MYTILUS-EDULIS</t>
  </si>
  <si>
    <t>The net uptake of Zn by the common mussel M. edulis was investigated under different natural and artificial salinity stresses. The effects of stable and fluctuating salinities on Zn uptake by the mussel were discussed in terms of 3 possible modes of action. Under certain highly-stressful conditions, salinity may affect the uptake of Zn by the mussel. This factor should be considered when the mussel is used as an indicator of environmental pollution by Zn in estuarine areas, or spurious conclusions may result.</t>
  </si>
  <si>
    <t>UNIV MELBOURNE, DEPT ZOOL, MELBOURNE 3000, VICTORIA, AUSTRALIA</t>
  </si>
  <si>
    <t>10.1007/BF00390584</t>
  </si>
  <si>
    <t>http://dx.doi.org/10.1007/BF00390584</t>
  </si>
  <si>
    <t>DG193</t>
  </si>
  <si>
    <t>WOS:A1977DG19300010</t>
  </si>
  <si>
    <t>Zhang, QH; Huang, L; Zhang, Y; Ke, CH; Huang, HQ</t>
  </si>
  <si>
    <t>Zhang, Qing-Hong; Huang, Lin; Zhang, Yong; Ke, Cai-Huan; Huang, He-Qing</t>
  </si>
  <si>
    <t>Proteomic approach for identifying gonad differential proteins in the oyster (Crassostrea angulata) following food-chain contamination with HgCl2</t>
  </si>
  <si>
    <t>JOURNAL OF PROTEOMICS</t>
  </si>
  <si>
    <t>Hg reproductive toxicity; Oyster gonad proteomics; Food chain; Oxidative stress; Biomarkers; Gene correspondence</t>
  </si>
  <si>
    <t>OXIDATIVE STRESS; ARGININE KINASE; PHOSPHOENOLPYRUVATE CARBOXYKINASE; PACIFIC OYSTER; TRYPANOSOMA-CRUZI; THYMIDINE KINASE; MERCURY LEVELS; MESSENGER-RNA; EXPRESSION; EXPOSURE</t>
  </si>
  <si>
    <t>Hg discharged into the environmental waters can generally be bioaccumulated, transformed and transmited by living organisms, thus resulting in the formation of Hg-toxicity food chains. The pathway and toxicology of food chain contaminated with environmental Hg are rarely revealed by proteomics. Here, we showed that differential proteomics had the potential to understand reproduction toxicity mechanism in marine molluscs through the Hg-contaminated food chain. Hg bioaccumulation was found in every link of the HgCl2-Chlorella vulgaris-oyster-mice food chain. Morphological observations identified the lesions in both the oyster gonad and the mice ovary. Differential proteomics was used to study the mechanisms of Hg toxicity in the oyster gonad and to find some biomarkers of Hg contamination in food chain. Using 2-DE and MALDI-TOF/TOF MS, we identified 13 differential protein spots, of which six were up-regulated, six were down-regulated, while one was undecided. A portion of these differential proteins was further confirmed using real-time PCR and western blotting methods. Their major functions involved binding, protein translocation, catalysis, regulation of energy metabolism, reproductive functioning and structural molecular activity. Among these proteins, 14-3-3 protein, GTP binding protein, arginine kinase (AK) and 71 kDa heat shock connate protein (HSCP 71) are considered to be suitable biomarkers of environmental Hg contamination. Furthermore, we established the gene correspondence, responding to Hg reproductive toxicity, between mouse and oyster, and then used real-time PCR to analyze mRNA differential expression of the corresponding genes in mice. The results indicated that the mechanism of Hg reproductive toxicity in mouse was similar to that in oyster. We suggest that the proteomics would be further developed in application research of food safety including toxicological mechanism. Biological significance It is well known that mercury (Hg) is one of the best toxic metal elements in nature. The research reports as previously described indicated that multiple mercury compounds can directly contaminate the aquatic animals by flowing of water body and through the diffusion of air. The pollution sources of the mercury compounds in marine water were mainly found from the pathways such as steam power plant and mineral exploitation which are located on the inshore. Of note, after being released into environmental waters, mercury compounds undergo the processes of bioaccumulation, transformation and transmission in living organisms, thus resulting in the multiple forms of Hg found in Hg-toxicity food chains, and among them, methyl mercury (MeHg) showing the high toxic characteristics is the main form of Hg. The abundant reports indicated that the metal salts were easily found within the various organs of the animals, but it is difficult to judge the level of its perniciousness according to its content only in vivo. Here, the algae to have been contaminated by the mercury compounds have the ability for contaminating both the fish and shellfish as food pathway quickly. If these fish and shellfish edible as food will be taken by human, they will further affect the human health badly. However, studies about their perniciousness are rarely reported, especially in using proteomics. The oysters as normal food are largely consumed in Southern China, especially in Xiamen City. Similarly, a pathway question that the contaminated oysters can effect on the human health such as cancer is unclear or poorly understood. Here, we showed that an analytical technology such as differential proteomics has potential to understand toxicity mechanism induced by Hg-contamination through the food pathway. It is for reason that the oyster proteomics including relative analytical methods have been used to reveal the contaminant level and to determine its perniciousness using toxic algae as food. Here, we also indicated that the research here shows great significance for both analysis of food safety and toxicology of the metal compounds. In addition, a few biomarkers have shown their strong potential for monitoring the level of Hg pollution in sea in the manuscript and gene correspondence between mouse and oyster, the two contiguous links of the Hg-contaminated food chain, was further investigated to better illustrate our finding in the analysis of food chain proteomics. Moreover, similar research work is rarely reported compared to the current proteomic development, showing that a lot of novel results by proteomic methods in the manuscript have strong potential for developing the new area of food chain proteomics. (C) 2013 Elsevier B.V. All rights reserved.</t>
  </si>
  <si>
    <t>[Zhang, Qing-Hong; Huang, He-Qing] Xiamen Univ, State Key Lab Cellular Stress Biol, Sch Life Sci, Xiamen 361005, Peoples R China; [Zhang, Qing-Hong; Zhang, Yong; Ke, Cai-Huan; Huang, He-Qing] Xiamen Univ, State Key Lab Marine Environm Sci, Xiamen 361005, Peoples R China; [Huang, Lin] Oregon State Univ, Dept Chem, Corvallis, OR 97331 USA; [Huang, He-Qing] Xiamen Univ, Coll Chem &amp; Chem Engn, Dept Biol Chem, Xiamen 361005, Peoples R China</t>
  </si>
  <si>
    <t>Xiamen University; Xiamen University; Oregon State University; Xiamen University</t>
  </si>
  <si>
    <t>Huang, HQ (corresponding author), Xiamen Univ, State Key Lab Cellular Stress Biol, Sch Life Sci, Xiamen 361005, Peoples R China.</t>
  </si>
  <si>
    <t>Ke, CH/G-4635-2010; heqing, huang/KHZ-7958-2024; Wang, Yitong/KBA-1959-2024</t>
  </si>
  <si>
    <t>Chinese Ministry of Science and Technology [2010CB12643]</t>
  </si>
  <si>
    <t>Chinese Ministry of Science and Technology(Ministry of Science and Technology, China)</t>
  </si>
  <si>
    <t>This study was supported by funds of the 973 National Key Fundamental Research Program (no. 2010CB12643) from the Chinese Ministry of Science and Technology. We thank Professor John Hodgkiss for his assistance in English.</t>
  </si>
  <si>
    <t>1874-3919</t>
  </si>
  <si>
    <t>1876-7737</t>
  </si>
  <si>
    <t>J PROTEOMICS</t>
  </si>
  <si>
    <t>J. Proteomics</t>
  </si>
  <si>
    <t>10.1016/j.jprot.2013.08.018</t>
  </si>
  <si>
    <t>http://dx.doi.org/10.1016/j.jprot.2013.08.018</t>
  </si>
  <si>
    <t>Biochemical Research Methods</t>
  </si>
  <si>
    <t>300VZ</t>
  </si>
  <si>
    <t>WOS:000330493400003</t>
  </si>
  <si>
    <t>Yap, CK; Ismail, A; Tan, SG; Ismail, AR</t>
  </si>
  <si>
    <t>Assessment of different soft tissues of the green-lipped mussel Perna viridis (Linnaeus) as biomonitoring agents of Pb:: Field and laboratory studies</t>
  </si>
  <si>
    <t>biomonitoring agent; bivalve; different soft tissues; lead</t>
  </si>
  <si>
    <t>HEAVY-METAL CONCENTRATIONS; TRACE-METALS; MYTILUS-EDULIS; WEST-COAST; PENINSULAR MALAYSIA; KYUSHU-ISLAND; EAST-COAST; HONG-KONG; ACCUMULATION; CADMIUM</t>
  </si>
  <si>
    <t>An assessment of the different soft tissues (STs) of Perna viridis as biomonitoring agents of Pb has not been specifically reported in the literature. Based on the results of our laboratory studies, different rates of accumulation and depuration of Pb in the different STs were found and this might be due to different mechanisms of metal binding and regulation. At the end of depuration, Pb levels in the different STs of P. viridis were 3-100 times higher than those before Pb exposure. The high ratio of maximum to minimum Pb levels (160) and the similar patterns (although different rates) of accumulation and depuration in the different STs for Pb indicated that P. viridis is a good biomonitoring organism for Pb and our conclusion is also supported by analysis of field samples collected from contaminated and uncontaminated sites. The distribution of Pb in the STs suggests that gills and byssus are better for the biomonitoring of Pb than the total ST.</t>
  </si>
  <si>
    <t>Univ Putra Malaysia, Fac Sci &amp; Environm Studies, Dept Biol, Serdang, Selangor, Malaysia</t>
  </si>
  <si>
    <t>Univ Putra Malaysia, Fac Sci &amp; Environm Studies, Dept Biol, Serdang, Selangor, Malaysia.</t>
  </si>
  <si>
    <t>Ismail, Ahmad/0000-0002-7669-5641; Tan, S/0000-0001-9960-4493; Yap, Chee Kong/0000-0003-0317-0999</t>
  </si>
  <si>
    <t>10.1023/B:WATE.0000019946.84885.94</t>
  </si>
  <si>
    <t>http://dx.doi.org/10.1023/B:WATE.0000019946.84885.94</t>
  </si>
  <si>
    <t>803SE</t>
  </si>
  <si>
    <t>WOS:000220250000016</t>
  </si>
  <si>
    <t>Marin, MG; Boscolo, R; Cella, A; Degetto, S; Da Ros, L</t>
  </si>
  <si>
    <t>Marin, M. G.; Boscolo, R.; Cella, A.; Degetto, S.; Da Ros, L.</t>
  </si>
  <si>
    <t>Field validation of autometallographical black silver deposit (BSD) extent in three bivalve species from the Lagoon of Venice, Italy (Mytilus galloprovincialis, Tapes philippinarum, Scapharca inaequivalvis) for metal bioavailability assessment</t>
  </si>
  <si>
    <t>autometallography; bivalves; sediment pollution; trace metal; Lagoon of Venice</t>
  </si>
  <si>
    <t>DIGESTIVE CELL LYSOSOMES; HEAVY-METALS; TRACE-METALS; SUBCELLULAR-DISTRIBUTION; ENVIRONMENTAL-STRESS; CRASSOSTREA-GIGAS; MUSSEL-WATCH; LOCALIZATION; GLAND; CADMIUM</t>
  </si>
  <si>
    <t>The autometallographic approach was applied to three filter-feeder bivalves from differently polluted sites of the Lagoon of Venice. The area density (AD) values of black silver deposits (BSDs) were therefore seasonally quantified by image analysis in digestive cell lysosomes. Sediments were characterised in terms of grain size, organic content and metal concentrations (Cd, Cu, Ni, Pb, Zn). The physiological status of the bivalves was also evaluated by applying the survival in air test as a generic stress index. Chemical results showed that Zn contributed to the total metal load for more than 60% in sediments and for 85% - 94% in mussel and clam digestive glands, respectively (data processed from published results obtained on the same samples). Regression analyses between extent of BSDs and both total metal and Zn concentrations in digestive gland followed a linear pattern in mussels and clams, but not in arks. Similarly, in mussels and clams only, BSD amount was significantly correlated with total metal concentrations in sediments according to a logarithmic model. Consequently, results obtained from autometallography can discriminate sites on the basis of their metal pollution levels, like chemical analyses on both sediments and digestive glands, evaluations being supported by the results of the physiological stress index. As a conclusion, it is suggested that autometallography in bivalves may provide overall estimates of metal fractions moving from sediments towards organisms through the ingestion of metal-enriched particles. Future work is needed to define the bioaccumulation model in arks and to clarify their possible use as metal biomonitors. (c) 2006 Elsevier B.V. All rights reserved.</t>
  </si>
  <si>
    <t>Univ Padua, Dept Biol, I-35131 Padua, Italy; CNR, ICIS, AdR Cso Stati Uniti 4, I-35127 Padua, Italy; CNR, Inst Marine Sci, I-30122 Venice, Italy</t>
  </si>
  <si>
    <t>University of Padua; Consiglio Nazionale delle Ricerche (CNR); Istituto di Chimica Inorganica e Delle Superfici (ICIS-CNR); Consiglio Nazionale delle Ricerche (CNR); Istituto di Scienze Marine (ISMAR-CNR)</t>
  </si>
  <si>
    <t>Marin, MG (corresponding author), Univ Padua, Dept Biol, Via U Bassi 51B, I-35131 Padua, Italy.</t>
  </si>
  <si>
    <t>mgmar@civ.bio.unipd.it; luisa.daros@ismar.cnr.it</t>
  </si>
  <si>
    <t>Marin, Maria Gabriella/KDN-0381-2024; CNR, Ismar/P-1247-2014</t>
  </si>
  <si>
    <t>MARIN, MARIA/0000-0002-1479-5428; CNR, Ismar/0000-0001-5351-1486</t>
  </si>
  <si>
    <t>10.1016/j.scitotenv.2006.09.003</t>
  </si>
  <si>
    <t>http://dx.doi.org/10.1016/j.scitotenv.2006.09.003</t>
  </si>
  <si>
    <t>111DH</t>
  </si>
  <si>
    <t>WOS:000242431100016</t>
  </si>
  <si>
    <t>Kljakovic-Gaspic, Z; Herceg-Romanic, S; Kozul, D; Veza, J</t>
  </si>
  <si>
    <t>Kljakovic-Gaspic, Zorana; Herceg-Romanic, Snjezana; Kozul, Darija; Veza, Jere</t>
  </si>
  <si>
    <t>Biomonitoring of organochlorine compounds and trace metals along the Eastern Adriatic coast (Croatia) using Mytilus galloprovincialis</t>
  </si>
  <si>
    <t>Adriatic Sea; Biomonitoring; PCBs; OCPs; Heavy metals; Mussels</t>
  </si>
  <si>
    <t>MEDITERRANEAN BLUE MUSSEL; POLYCHLORINATED-BIPHENYLS; CHLORINATED PESTICIDES; CHEMICAL CONTAMINATION; PERNA-VIRIDIS; UNITED-STATES; HEAVY-METALS; SEA; PCBS; WATERS</t>
  </si>
  <si>
    <t>The paper presents the results of monitoring trace organic contaminants (17 PCBs and 7 OCPs) and 6 trace metals (Cd, Cr, Cu, Hg, Pb and Zn) in the coastal waters of the eastern Adriatic in 2006 using Mytilus galloprovincialis as indicator species. OCPs were found in all samples (0.07-14.3 ng g(-1) d.wt.), while in positive samples concentrations of PCBs ranged between 0.16 and 20.5 ng g(-1) d.wt. The alpha-HCH/gamma-HCH and DDE/DDT ratios indicated recent input of gamma-HCH and DDT. Spatial distributions of HCB, PCBs, DDTs and Hg were significantly correlated with population density. Although elevated concentrations of all trace metals and organic contaminants were recorded in the densely populated and industrialized areas, overall data point to relatively low level of contamination of the eastern Adriatic coast. Evaluation of the risks to human health associated with consumption of the mussels suggested that there is no health risk for moderate shellfish consumers. (C) 2010 Elsevier Ltd. All rights reserved.</t>
  </si>
  <si>
    <t>[Kljakovic-Gaspic, Zorana; Herceg-Romanic, Snjezana; Kozul, Darija] Inst Med Res &amp; Occupat Hlth, Zagreb 10001, Croatia; [Veza, Jere] Inst Oceanog &amp; Fisheries, Split 21000, Croatia</t>
  </si>
  <si>
    <t>Institute for Medical Research &amp; Occupational Health (IMROH); Croatian Institute of Oceanography &amp; Fisheries (IZOR)</t>
  </si>
  <si>
    <t>Kljakovic-Gaspic, Z (corresponding author), Inst Med Res &amp; Occupat Hlth, Ksaverska Cesta 2,POB 291, Zagreb 10001, Croatia.</t>
  </si>
  <si>
    <t>zorana@imi.hr; sherceg@imi.hr; dkozul@imi.hr; veza@izor.hr</t>
  </si>
  <si>
    <t>Veža, Jere/HPG-9307-2023; Kljakovic-Gaspic, Zorana/J-9660-2012</t>
  </si>
  <si>
    <t>Kljakovic Gaspic, Zorana/0000-0002-0439-2131; Klincic, Darija/0000-0003-0793-0991</t>
  </si>
  <si>
    <t>Ministry of Science, Education and Sports, Croatia</t>
  </si>
  <si>
    <t>Ministry of Science, Education and Sports, Croatia(Ministry of Science, Education and Sports, Republic of Croatia)</t>
  </si>
  <si>
    <t>We wish to thank Mrs. Mirjana Kralj for technical assistance during experimental work and Mr. Dado Cakalo for language advice. This work was supported by the Ministry of Science, Education and Sports, Croatia.</t>
  </si>
  <si>
    <t>10.1016/j.marpolbul.2010.07.019</t>
  </si>
  <si>
    <t>http://dx.doi.org/10.1016/j.marpolbul.2010.07.019</t>
  </si>
  <si>
    <t>676GR</t>
  </si>
  <si>
    <t>WOS:000283899500032</t>
  </si>
  <si>
    <t>Paleologos, EK; Bunge, R; Weibel, G; Vitone, C; Ploetze, M; Petti, R; Koda, E; O'Kelly, BC; Podlasek, A; Vaverkova, MD; Sarris, T; Goli, VSNS; Mohamed, AMO; Puzrin, A; Winkler, J; Marchi, MI; Singh, P; Weaver, L; Singh, DN</t>
  </si>
  <si>
    <t>Paleologos, Evan K.; Bunge, Rainer; Weibel, Gisela; Vitone, Claudia; Ploetze, Michael; Petti, Rossella; Koda, Eugeniusz; O'Kelly, Brendan C.; Podlasek, Anna; Vaverkova, Magdalena Daria; Sarris, Theo; Goli, Venkata Siva Naga Sai; Mohamed, Abdel-Mohsen O.; Puzrin, Alexander; Winkler, Jan; Marchi, Maurizio Iler; Singh, Prithvendra; Weaver, Louise; Singh, Devendra N.</t>
  </si>
  <si>
    <t>Paradigm shifts in incinerator ash, sediment material recovery and landfill monitoring</t>
  </si>
  <si>
    <t>ENVIRONMENTAL GEOTECHNICS</t>
  </si>
  <si>
    <t>bio-monitoring; dredged sediments; fly ash; heavy metals; incinerator bottom ash; landfills</t>
  </si>
  <si>
    <t>FLY-ASH; MUSSEL SHELLS; BOTTOM ASH; WASTE; LIME; BEHAVIOR; METALS; SOIL; STABILIZATION; OYSTER</t>
  </si>
  <si>
    <t>The current paper discusses some selected developments for efficient management of the globally increasing quantity of waste. Incinerator bottom ash (IBA), the heavier ash generated during incineration of municipal waste, is currently utilised in two distinct ways. One pathway is not to fragment IBA and use it as a building material in road construction. This results in reduced landfilled residual but low metal recovery. The other way is to crush the mineral aggregate, thus maximising metal recovery but resulting in higher landfilled, end material. Here emphasis is placed on the second approach as implemented in Switzerland together with the economics and need for improvement of metal recovery from IBA and fly ash. The second theme reports on the viability of recycling mussel shells as a partial substitute for cement to stabilise dredged marine sediments mechanically. This can reduce the consumption of natural resources and lower the amount of binders used in sediment stabilisation practices. Finally, the adequacy of EU's requirements regarding monitoring of groundwater pollution from landfills is assessed, and recommendations are provided to use bioindicators to determine the impact of landfills on surrounding vegetation.</t>
  </si>
  <si>
    <t>[Paleologos, Evan K.] Abu Dhabi Univ, Engn &amp; Project Management Grad Program, Abu Dhabi, U Arab Emirates; [Bunge, Rainer] Eastern Switzerland Univ Appl Sci, Dept Environm Engn, Rapperswil, Switzerland; [Weibel, Gisela] Univ Bern, Inst Geol Sci, Bern, Switzerland; [Vitone, Claudia; Petti, Rossella] Polytech Univ Bari, Dept Civil Environm Land Bldg Engn &amp; Chem Dicatech, Bari, Italy; [Ploetze, Michael; Puzrin, Alexander] Swiss Fed Inst Technol, Dept Civil Environm &amp; Geomat Engn, Zurich, Switzerland; [Koda, Eugeniusz; Podlasek, Anna; Vaverkova, Magdalena Daria] Warsaw Univ Life Sci SGGW, Inst Civil Engn, Warsaw, Poland; [O'Kelly, Brendan C.] Trinity Coll Dublin, Dept Civil Struct &amp; Environm Engn, Dublin, Ireland; [Vaverkova, Magdalena Daria] Mendel Univ Brno, Fac Agrisci, Brno, Czech Republic; [Sarris, Theo; Weaver, Louise] Christchurch Sci Ctr, Inst Environm Sci &amp; Res ESR, Hlth &amp; Environm Div, Christchurch, New Zealand; [Goli, Venkata Siva Naga Sai; Singh, Prithvendra] Indian Inst Technol, Dept Civil Engn, Mumbai, India; [Mohamed, Abdel-Mohsen O.] Uberbinder Inc, Seattle, WA USA; [Puzrin, Alexander] Swiss Fed Inst Technol, Dept Civil &amp; Environm Engn, Zurich, Switzerland; [Winkler, Jan] Mendel Univ Brno, Fac AgriSci, Dept Plant Biol, Brno, Czech Republic; [Marchi, Maurizio Iler] GPI Global Prod Innovat Italcementi Heidelbergceme, Bergamo, Italy; [Marchi, Maurizio Iler] Innovhub, Milan, Italy; [Singh, Devendra N.] Indian Inst Technol, Dept Civil Engn, Innovat, Mumbai, India</t>
  </si>
  <si>
    <t>Abu Dhabi University; University of Bern; Politecnico di Bari; Swiss Federal Institutes of Technology Domain; ETH Zurich; Warsaw University of Life Sciences; Trinity College Dublin; Mendel University in Brno; Institute of Environmental Science &amp; Research (ESR) - New Zealand; Indian Institute of Technology System (IIT System); Indian Institute of Technology (IIT) - Bombay; Swiss Federal Institutes of Technology Domain; ETH Zurich; Mendel University in Brno; Indian Institute of Technology System (IIT System); Indian Institute of Technology (IIT) - Bombay</t>
  </si>
  <si>
    <t>Paleologos, EK (corresponding author), Abu Dhabi Univ, Engn &amp; Project Management Grad Program, Abu Dhabi, U Arab Emirates.</t>
  </si>
  <si>
    <t>evan.paleologos@adu.ac.ae</t>
  </si>
  <si>
    <t>Goli, Venkata Siva Naga Sai/AAP-9733-2020; Winkler, Jan/J-3521-2018; Weaver, Louise/AAU-9470-2020; petti, rossella/AAO-1017-2021; Koda, Eugeniusz/AEX-3268-2022; Singh, Devendra/K-3055-2013; Vaverková, Magdalena/I-3726-2019; Vitone, Claudia/AAC-3377-2021; Podlasek, Anna/W-2386-2019; O'Kelly, Brendan/D-5960-2017; SINGH, PRITHVENDRA/AAN-5424-2021</t>
  </si>
  <si>
    <t>Ploetze, Michael/0000-0001-9833-4196; Vaverkova, Magdalena Daria/0000-0002-2384-6207; Weaver, Louise/0000-0002-3750-868X; Petti, Rossella/0000-0003-0111-3480; O'Kelly, Brendan/0000-0002-1343-4428; VITONE, Claudia/0000-0001-6529-4167; Winkler, Jan/0000-0002-5700-2176; Koda, Eugeniusz/0000-0002-3895-960X; SINGH, PRITHVENDRA/0000-0001-9979-7694</t>
  </si>
  <si>
    <t>Part of the research has brought about the filing of patent application (number IT 102021000025103, titled 'Stabilisation method of marine clays by shells and cements') by the Politecnico di Bari and ETH Zurich.; Politecnico di Bari and ETH Zurich</t>
  </si>
  <si>
    <t>Part of the research has brought about the filing of patent application (number IT 102021000025103, titled 'Stabilisation method of marine clays by shells and cements') by the Politecnico di Bari and ETH Zurich.</t>
  </si>
  <si>
    <t>EMERALD GROUP PUBLISHING LTD</t>
  </si>
  <si>
    <t>Leeds</t>
  </si>
  <si>
    <t>floor 5, Northspring 21-23 Wellington Street, Leeds, W YORKSHIRE, ENGLAND</t>
  </si>
  <si>
    <t>2051-803X</t>
  </si>
  <si>
    <t>ENVIRON GEOTECH-J</t>
  </si>
  <si>
    <t>Environ. Geotech.-J.</t>
  </si>
  <si>
    <t>OCT 25</t>
  </si>
  <si>
    <t>10.1680/jenge.22.00089</t>
  </si>
  <si>
    <t>http://dx.doi.org/10.1680/jenge.22.00089</t>
  </si>
  <si>
    <t>Engineering, Geological</t>
  </si>
  <si>
    <t>T6EF6</t>
  </si>
  <si>
    <t>WOS:001078892700001</t>
  </si>
  <si>
    <t>Le Pennec, G; Le Pennec, M</t>
  </si>
  <si>
    <t>Evaluation of the toxicity of chemical compounds using digestive acini of the bivalve mollusc Pecten maximus L. maintained alive in vitro</t>
  </si>
  <si>
    <t>digestive acini; Pecten maximus; in vitro model; cytotoxicity; genotoxicity; 3D test</t>
  </si>
  <si>
    <t>MUSSEL MYTILUS-EDULIS; MERCENARIA-MERCENARIA; ESCHERICHIA-COLI; BROWN CELLS; DNA-DAMAGE; GLAND; METABOLISM; ASSAY; POLLUTION; RESPONSES</t>
  </si>
  <si>
    <t>The digestive gland of bivalve molluscs is a model of choice for experiments in ecotoxicology because of its implication in detoxification processes moreover of its classical functions in digestive phenomena. All physiological deteriorations of this organ, related or not to pollution, can lead to animal death. The recent development of a method allowing digestive acini of Pecten maximus to be maintained alive in vitro for 96 h opens up new research prospects in ecotoxicology. The action of contaminants considered to be cytotoxic or genotoxic in the literature were tested on this model. The results show the high cytotoxicity of ethylmethane sulphonate 80 and 5 mM after 2 h of contact with acini. Other compounds such as 4-nitroquinoline-N-oxide 0.1 mM, cadmium chloride 10(-5) M and atrazine 10(-4) M, which were weakly toxic after 2 h, became highly toxic after 48 h of contact. Compounds such as 4-nitroquinoline-N-oxide 1 mM. which were not cytotoxic after 2 h, proved to be the most genotoxic of all those tested. Others, such as MMS 1 mM, cadmium chloride 10(-4) and 10(-5) M, and atrazine 10(-5) M, showed an unconfirmed tendency to be genotoxic. The results obtained with this 'acinus' model seem more readily transposable to the whole organism than those obtained with 'isolated cell' models, in that acini can be considered as digestive glands' in miniature. (C) 2001 Elsevier Science B.V. Ail rights reserved.</t>
  </si>
  <si>
    <t>Univ Bretagne Occidentale, Inst Univ Europeen Mer, UMR CNRS 6539, F-29280 Plouzane, France; Univ Bretagne Occidentale, Inst Synergie Sci &amp; Sante, Unite Culture Cellulaire, F-29609 Brest, France</t>
  </si>
  <si>
    <t>Centre National de la Recherche Scientifique (CNRS); Ifremer; Institut de Recherche pour le Developpement (IRD); Universite de Bretagne Occidentale; Institut Universitaire Europeen de la Mer (IUEM); Universite de Bretagne Occidentale</t>
  </si>
  <si>
    <t>Le Pennec, M (corresponding author), Univ Bretagne Occidentale, Inst Univ Europeen Mer, UMR CNRS 6539, F-29280 Plouzane, France.</t>
  </si>
  <si>
    <t>Le Pennec, Gael/0000-0001-6640-2908</t>
  </si>
  <si>
    <t>10.1016/S0166-445X(00)00163-6</t>
  </si>
  <si>
    <t>http://dx.doi.org/10.1016/S0166-445X(00)00163-6</t>
  </si>
  <si>
    <t>433ZC</t>
  </si>
  <si>
    <t>WOS:000168789800001</t>
  </si>
  <si>
    <t>DAROS, I; NASCI, C; CAMPESAN, G; SARTORELLO, P; STOCCO, G; MENETTO, A</t>
  </si>
  <si>
    <t>EFFECTS OF LINEAR ALKYLBENZENE SULFONATE (LAS) AND CADMIUM IN THE DIGESTIVE GLAND OF MUSSEL, MYTILUS SP</t>
  </si>
  <si>
    <t>EDULIS</t>
  </si>
  <si>
    <t>A laboratory study was carried out exposing mussels (Mytilus sp.) to linear alkylbenzene sulphonate (LAS) (6 mg litre(-1)), Cd (0.05 mg litre(-1)) and LAS plus Cd at the same concentrations. The aim was to assess the use of several histopathological and biochemical indices as potential biomarkers of the impact of these xenobiotics in the digestive gland of molluscs. Treated mussels actively accumulated Cd in the digestive gland compared with controls (p less than or equal to 0.01), the highest levels occurring after 30 days of exposure in the group treated with Cd plus LAS. Among several histological alterations screened in digestive gland tissues the thickness of digestive tubules in Cd treated animals decreased more markedly (p less than or equal to 0.01) than in LAS exposed mussels. As for biochemical parameters, the investigated antioxidant enzyme activities, superoxide dismutase (SOD), catalase, DT-diaphorase and glutathione peroxidase (GPX) did not show any significant induction due to these xenobiotics. However, a slight decrease of the antioxidant defences of the animals was detected after 30 days of exposure to contaminants.</t>
  </si>
  <si>
    <t>DAROS, I (corresponding author), IST BIOL MARE,CASTELLO 1364-A,I-30122 VENICE,ITALY.</t>
  </si>
  <si>
    <t>WOS:A1995QR26100066</t>
  </si>
  <si>
    <t>Bhattacharya, B; Sarkar, SK</t>
  </si>
  <si>
    <t>Total mercury content in marine organisms of the Hooghly estuary, west Bengal, India</t>
  </si>
  <si>
    <t>ACCUMULATION; WATER; FOOD</t>
  </si>
  <si>
    <t>This paper reports concentrations of total Hg (both organic and inorganic) in different selected biota (seagrass, gastropods, bivalves and fishes) collected from the coastal regions of deltaic Sundarbans, West Bengal, India. Species-dependent variability is very much distinct where high level of Hg was found in carnivorous species. A high degree of organ specificity was pronounced in case of bivalves where gill and mantle exhibited higher Hg accumulation due to the ion exchange activity of the mucous in these organs. The available data demonstrates the potentiality of the shellfishes as sentinel accumulators of this element and they can be successfully used as sensitive index of pollution. The data also reveals that this coastal zone is getting polluted and necessary preventive measures must be adopted to make the best possible use of the available marine resources. Copyright (C) 1996 Elsevier Science Ltd</t>
  </si>
  <si>
    <t>Bhattacharya, B (corresponding author), JADAVPUR UNIV,DEPT MET ENGN,CALCUTTA 700032,W BENGAL,INDIA.</t>
  </si>
  <si>
    <t>10.1016/0045-6535(96)00156-7</t>
  </si>
  <si>
    <t>http://dx.doi.org/10.1016/0045-6535(96)00156-7</t>
  </si>
  <si>
    <t>UW206</t>
  </si>
  <si>
    <t>WOS:A1996UW20600012</t>
  </si>
  <si>
    <t>Willems, DJ; Reeves, JM; Morrison, PD; Trestrail, C; Nugegoda, D</t>
  </si>
  <si>
    <t>Willems, Daniel J.; Reeves, Jessica M.; Morrison, Paul D.; Trestrail, Charlene; Nugegoda, Dayanthi</t>
  </si>
  <si>
    <t>Trace metal biomonitoring in the east Gippsland Lakes estuary using the barnacle Amphibalanus variegatus and mussel Mytilus edulis</t>
  </si>
  <si>
    <t>Tracemetal; Biomonitor; Estuarine; Mussel; Barnacle; Gippsland Lakes</t>
  </si>
  <si>
    <t>HEAVY-METALS; COASTAL WATERS; ELEMENT CONCENTRATIONS; OCEAN ACIDIFICATION; BALANUS-AMPHITRITE; SYDNEY HARBOR; CAGED MUSSELS; BLACK-SEA; FOOD-WEB; MERCURY</t>
  </si>
  <si>
    <t>The Gippsland Lakes estuary, a Ramsar listed wetland, in Victoria, Australia, is an area of potential concern for metal pollution due to influxes of human population and associated anthropogenic activities. A biomonitoring exercise was undertaken where the concentrations of 9 metals (Cr, Fe, Cu, Zn, As, Se, Ag, Cd and Hg) were analysed in the soft tissue of two common sessile invertebrates: the mussel Mytilus edulis and the barnacle Amphibalanus variegatus from 6 locations on two different occasions throughout the Gippsland Lakes estuary. A salinity gradient exists in the Lakes, from seawater at Lakes Entrance in the east, decreasing down to &lt; 10 PSU in the west at Lake Wellington during times of rainfall, which is a major factor governing the growth and distribution of both species. Dissolved metal levels in general were low; however, Cu at most sites exceeded the 90% trigger values, while all Zn concentrations exceeded the lowest 80% trigger values of the ANZECC marine water quality guidelines for environmental health. Elevated levels of Cu and Zn were found particularly in barnacles at some sites with environmental contamination due to leaching from anti fouling paints and sacrificial zinc anodes. Elevated levels of Ag and Cd were found in mussels at the Hollands Landing site, which is immediately adjacent to a boat ramp, and Cd and Ag at this site are suspected to originate from inland anthropogenic sources. Concentrations of As in M. edulis across all 6 sites in both sampling periods had mean wet weight As concentrations exceeding the maximum level stated in the FSANZ guidelines. A. variegatus contained elevated levels of Hg especially at the North Arm site with a maximum of 13.6 mu g Hg/g dry wt., while A. variegatus also showed temporal changes in Hg concentrations across sites. The maximum Hg concentration found in Mytilus edulis was 1.49 mu g Hg/g dry wt. at the Hollands Landing site. Previous contaminant studies of biota in the Lakes have targeted sampling of singular predatory or migratory species, such as Black Bream (Acanthopagrus butcheri) and the Burrunan dolphin (Tursiops australis). This is the first biomonitoring study conducted on sessile organisms to assess metal contamination in the system.</t>
  </si>
  <si>
    <t>[Willems, Daniel J.; Trestrail, Charlene; Nugegoda, Dayanthi] RMIT Univ, Sch Sci, Ecotoxicol Res Grp, Melbourne, Vic, Australia; [Reeves, Jessica M.] Federat Univ Australia, Sch Hlth &amp; Life Sci, Impact Ecol Res Grp, Churchill, Vic, Australia; [Morrison, Paul D.] RMIT Univ, Australian Ctr Res Separat Sci, Sch Sci, GPO Box 2476, Melbourne, Vic 3001, Australia; [Nugegoda, Dayanthi] RMIT Univ, Sch Sci, Melbourne, Vic 2476, Australia</t>
  </si>
  <si>
    <t>Royal Melbourne Institute of Technology (RMIT); Federation University Australia; Royal Melbourne Institute of Technology (RMIT); Royal Melbourne Institute of Technology (RMIT)</t>
  </si>
  <si>
    <t>Willems, DJ (corresponding author), RMIT Univ, Sch Sci, Ecotoxicol Res Grp, Melbourne, Vic, Australia.</t>
  </si>
  <si>
    <t>s3434629@student.rmit.edu.au</t>
  </si>
  <si>
    <t>Nugegoda, Dayanthi/R-9770-2019; Trestrail, Charlene/AAJ-7947-2020; Willems, Daniel/KFS-8035-2024; Reeves, Jessica/KXR-8739-2024</t>
  </si>
  <si>
    <t>Trestrail, Charlene/0000-0002-3037-6055; Willems, Daniel J/0000-0001-5920-2289; Nugegoda, Dayanthi/0000-0002-6327-4581; Reeves, Jessica/0000-0003-4996-177X</t>
  </si>
  <si>
    <t>10.1007/s11356-019-07125-3</t>
  </si>
  <si>
    <t>http://dx.doi.org/10.1007/s11356-019-07125-3</t>
  </si>
  <si>
    <t>KN5AG</t>
  </si>
  <si>
    <t>WOS:000514849100073</t>
  </si>
  <si>
    <t>Lionetto, MG; Caricato, R; Giordano, ME; Schettino, T</t>
  </si>
  <si>
    <t>Lionetto, M. G.; Caricato, R.; Giordano, M. E.; Schettino, T.</t>
  </si>
  <si>
    <t>BIOMARKER APPLICATION FOR THE STUDY OF CHEMICAL CONTAMINATION RISK ON MARINE ORGANISMS IN THE TARANTO MARINE COASTAL AREA</t>
  </si>
  <si>
    <t>Biomarkers; Mytilus galloprovincialis; Mullus barbatus; Trachurus mediterraneus; Taranto; Heavy metals; Pesticides</t>
  </si>
  <si>
    <t>This work represents a pilot study for monitoring the potential toxicological risk of commercial relevant marine resources along the South coast of Italy by using biomarkers as complementary tool to chemical analysis. The attention was focused on the industrialized area of Salento peninsula, such as Taranto, that, in spite of the presence of the big industry (oil, metal industry), sustains activities related to the sea resources, such as fishery and mussel-culture. The study was carried out in fish, such as Mullus barbatus and Trachurus mediterraneus, two important fish species for the fishery in this area, and in mussels (Mytilus galloprovincialis). As control area S. Maria di Leuca, area of naturalistic interest, was chosen. In fish, liver metallothionein levels (specific index of exposure to heavy metals such as Hg, Cd, Cu and Zn) and brain and muscular acetylcholinesterase (AChE) activity (specific index of exposure to organophosphate and carbamate pesticides) were measured. None of the two fish species showed significant differences in AChE activity and in pesticide trace level between the anthropogenic impact exposed site and the control group. On the other hand, metallothionein hepatic levels in M. barbatus were significantly increased in the organisms coming from Taranto with respect to the organisms coming from the control site, but chemical analysis, routinely performed on edible muscle for the evaluation of chemical quality of fish products, did not reveal high heavy metal concentration in the edible muscle of fish from Taranto. Mussels exposed for one month in the Mar Piccolo of Taranto, an important mussel farming area, showed increase in the level of catalase activity, an oxidative stress index, increase in the levels of metallothioneins and inhibition of AChE activity. The need to integrate chemical analysis with the study of biological responses to pollutants (biomarkers) in marine organisms is discussed for a better comprehension of the impact of chemical contaminants on the sea and its resources.</t>
  </si>
  <si>
    <t>[Lionetto, M. G.; Caricato, R.; Giordano, M. E.; Schettino, T.] Univ Lecce, Lab Fisiol Gen &amp; Ambientale, Dipartimento Sci &amp; Tecnol Biol &amp; Ambientali, I-73100 Lecce, Italy</t>
  </si>
  <si>
    <t>University of Salento</t>
  </si>
  <si>
    <t>Lionetto, MG (corresponding author), Univ Lecce, Lab Fisiol Gen &amp; Ambientale, Dipartimento Sci &amp; Tecnol Biol &amp; Ambientali, Via Provle Lecce Monteroni, I-73100 Lecce, Italy.</t>
  </si>
  <si>
    <t>giulia.lionetto@unile.it</t>
  </si>
  <si>
    <t>Giordano, Maria/AEH-2986-2022; Lionetto, Maria Giulia/H-1356-2011</t>
  </si>
  <si>
    <t>caricato, roberto/0000-0002-7928-4573; schettino, trifone/0000-0002-4484-9677; Lionetto, Maria Giulia/0000-0003-3752-0192</t>
  </si>
  <si>
    <t>MEMOBIOMAR [CLUSTER 10]; M.I.U.R.</t>
  </si>
  <si>
    <t>MEMOBIOMAR; M.I.U.R.(Ministry of Education, Universities and Research (MIUR))</t>
  </si>
  <si>
    <t>This study was granted by MEMOBIOMAR project CLUSTER 10 - Piano Ambiente Marino (financed by M.I.U.R. and coordinated by CoNISMa). We are grateful to Mr. Cristian Vaglio and Mr. Antonio Buccarella for their excellent technical assistance in the sampling activities.</t>
  </si>
  <si>
    <t>S333</t>
  </si>
  <si>
    <t>S343</t>
  </si>
  <si>
    <t>10.1080/02757540310001629215</t>
  </si>
  <si>
    <t>http://dx.doi.org/10.1080/02757540310001629215</t>
  </si>
  <si>
    <t>V26BD</t>
  </si>
  <si>
    <t>WOS:000208520200027</t>
  </si>
  <si>
    <t>Alcaraz, C; Caiola, N; Ibáñez, C</t>
  </si>
  <si>
    <t>Alcaraz, Carles; Caiola, Nuno; Ibanez, Carles</t>
  </si>
  <si>
    <t>Bioaccumulation of pollutants in the zebra mussel from hazardous industrial waste and evaluation of spatial distribution using GAMs</t>
  </si>
  <si>
    <t>Heavy metals; Bioassessment; Dreissena polymorpha; Transfer; Generalized additive models; Ebro River</t>
  </si>
  <si>
    <t>HEAVY-METAL POLLUTION; EBRO RIVER-BASIN; DREISSENA-POLYMORPHA; CONTAMINATION; WATER; SEDIMENTS; IMPACT</t>
  </si>
  <si>
    <t>In the Flix Reservoir (Ebro River. Spain), ca. 300,000 tons of industrial waste were dumped because of the activity of a factory plant in Flix. Within the recovery program implemented, this exceptional situation provides a unique opportunity to test the value of zebra mussel as sentinel organism. Ten metal concentrations were measured in mussels from different sites to assess spatial redistribution of metals and bioavailability to the food web. Our results showed an important metal uptake by mussels; metal concentrations (except As) measured in impacted sites were up to 10 times higher than in control sites, and Mn and Hg exceeded several times the levels previously reported for polluted waters. Concentrations increased downstream showing the metal mobilization from polluted sediments in Flix Reservoir. The higher metal concentrations measured in zebra mussel individuals clearly indicated their bioavailability to the food web, allowing the toxics transfer to predators and occasionally to humans. Thus, zebra mussel is a valuable sentinel organism to identify highly polluted waters, transport routes and trophic transfer. (C) 2010 Elsevier B.V. All rights reserved.</t>
  </si>
  <si>
    <t>[Alcaraz, Carles; Caiola, Nuno; Ibanez, Carles] IRTA Aquat Ecosyst, E-43540 San Carlos de la Rapita, Catalonia, Spain</t>
  </si>
  <si>
    <t>IRTA</t>
  </si>
  <si>
    <t>Alcaraz, C (corresponding author), IRTA Aquat Ecosyst, Carretera Roble Nou Km 5-5, E-43540 San Carlos de la Rapita, Catalonia, Spain.</t>
  </si>
  <si>
    <t>carles.alcaraz@gmail.com</t>
  </si>
  <si>
    <t>Martí, Carles/AAV-6637-2021; Caiola, Nuno/A-5694-2008; Alcaraz, Carles/D-1930-2009</t>
  </si>
  <si>
    <t>Caiola, Nuno/0000-0003-2692-2954; Ibanez, Carles/0000-0002-7091-5527; Alcaraz, Carles/0000-0002-2147-4796</t>
  </si>
  <si>
    <t>Spanish Ministry of Environment (MMA); Catalan Water Agency (ACA); Spanish Ministry of Education and Sciences (MEC) [072/SGTB/2007/1.1 (MMA), CLG2006-01487]</t>
  </si>
  <si>
    <t>Spanish Ministry of Environment (MMA); Catalan Water Agency (ACA); Spanish Ministry of Education and Sciences (MEC)(Spanish Government)</t>
  </si>
  <si>
    <t>This study was financed by the Spanish Ministry of Environment (MMA) and the Catalan Water Agency (ACA) through the MOBITROF project, and through the projects 072/SGTB/2007/1.1 (MMA) and CLG2006-01487 by the Spanish Ministry of Education and Sciences (MEC). We are really grateful to R. Valmana, M. Rey, D. Mateu, A. Bertolero and G. Munoz for field sample collection and preparation. Specials thanks are also due to DGA and GNF staff for their assistance during sampling campaigns.</t>
  </si>
  <si>
    <t>10.1016/j.scitotenv.2010.11.015</t>
  </si>
  <si>
    <t>http://dx.doi.org/10.1016/j.scitotenv.2010.11.015</t>
  </si>
  <si>
    <t>721HW</t>
  </si>
  <si>
    <t>WOS:000287345200005</t>
  </si>
  <si>
    <t>Van Campenhout, K; Bervoets, L; Blust, R</t>
  </si>
  <si>
    <t>Van Campenhout, K.; Bervoets, L.; Blust, R.</t>
  </si>
  <si>
    <t>Assimilation efficiencies of Cd and Zn in the common carp (Cyprinus carpio):: Effects of metal concentration, temperature and prey type</t>
  </si>
  <si>
    <t>Cyprinus carpio; assimilation efficiency (AE); heavy metals; temperature; food type</t>
  </si>
  <si>
    <t>INTESTINAL ZINC UPTAKE; WATER RAINBOW-TROUT; TROPHIC TRANSFER; HEAVY-METALS; SUBCELLULAR COMPARTMENTALIZATION; GASTROINTESTINAL UPTAKE; CADMIUM ACCUMULATION; DAPHNIA-MAGNA; 2 BIVALVES; FOOD</t>
  </si>
  <si>
    <t>The impact of several factors on the assimilation efficiency (AE) of Cd and Zn from food in the common carp (Cyprinus carpio) was studied. Tested prey species were midge larvae (Chironomus riparius), zebra mussels (Dreissena polymorpha) and oligochaetes (Tubifex tubifex). The Cd load of the larvae did not affect the Cd AE in the carp. The Zn AE however, was negatively related to the Zn load of the prey. Food quantity and starvation of the carp did not significantly affect the Cd AE. For Zn, a significant decrease in AE was found when carp were fed ad libitum. Decreasing the temperature from 25 degrees C to 15 degrees C did not influence the Cd AE, while for Zn a significant decrease of the AE was measured. Carp assimilated Cd from both zebra mussels and oligochaetes with a significantly lower efficiency in comparison to the midge larvae, although Zn AEs was prey independent. (c) 2006 Elsevier Ltd. All rights reserved.</t>
  </si>
  <si>
    <t>Univ Antwerp, Ecophysiol Biochem &amp; Toxicol Grp, Dept Biol, B-2020 Antwerp, Belgium</t>
  </si>
  <si>
    <t>Bervoets, L (corresponding author), Univ Antwerp, Ecophysiol Biochem &amp; Toxicol Grp, Dept Biol, Groenenborgerlaan 171, B-2020 Antwerp, Belgium.</t>
  </si>
  <si>
    <t>karen.vancampenhout@lin.vlaanderen.be</t>
  </si>
  <si>
    <t>Vancampenhout, Karen/B-6956-2018; Bervoets, Lieven/E-5012-2015</t>
  </si>
  <si>
    <t>10.1016/j.envpol.2006.05.002</t>
  </si>
  <si>
    <t>http://dx.doi.org/10.1016/j.envpol.2006.05.002</t>
  </si>
  <si>
    <t>139CX</t>
  </si>
  <si>
    <t>WOS:000244410800035</t>
  </si>
  <si>
    <t>Breitwieser, M; Vigneau, E; Viricel, A; Becquet, V; Lacroix, C; Erb, M; Huet, V; Churlaud, C; Le Floch, S; Guillot, B; Graber, M; Thomas, H</t>
  </si>
  <si>
    <t>Breitwieser, Marine; Vigneau, Evelyne; Viricel, Amelia; Becquet, Vanessa; Lacroix, Camille; Erb, Marina; Huet, Valerie; Churlaud, Carine; Le Floch, Stephane; Guillot, Benoit; Graber, Marianne; Thomas, Helene</t>
  </si>
  <si>
    <t>What is the relationship between the bioaccumulation of chemical contaminants in the variegated scallop Mimachlamys varia and its health status? A study carried out on the French Atlantic coast using the Path ComDim model</t>
  </si>
  <si>
    <t>Mimachlamys varia; Chronic chemical contamination; Atlantic coast; Genetic diversity; Biochemical assays; Path-ComDim model</t>
  </si>
  <si>
    <t>POLYCYCLIC AROMATIC-HYDROCARBONS; GENETIC DIVERSITY; OXIDATIVE STRESS; EVOLUTIONARY TOXICOLOGY; OIL-SPILL; POPULATIONS; BIOMARKERS; BIVALVE; EXPOSURE; IMPACT</t>
  </si>
  <si>
    <t>Increasing activity along the French Atlantic coast has led to chronic pollution with, in particular, mixtures of contaminants such as hydrocarbons, phytosanitary products, PCBs and heavy metals. Based on previous research, pollution biomarkers were used in this study as they can indicate health status when monitoring the impact of pollutants on coastal species such as the marine bivalve Mimachlamys varia. Mollusc bivalves were sampled in March 2016, in open and semi-open areas (a harbour zone), from thirteen sites which differed in terms of their level of pollution, and were located along the Atlantic coast from Brittany down to the Nouvelle-Aquitaine region. First, analyses of heavy metals and organic contaminants (e.g. pesticides, polycyclic aromatic hydrocarbons, polychlorobiphenyl) in the digestive gland of bivalves were performed. Second, biochemical assays were used to study defence biomarkers: oxidative stress with Superoxide Dismutase (SOD), detoxification of organic compounds with Glutathione-S Transferase (GST), lipid peroxidation with Malondialdehyde (MDA), and immune processes with Laccase. In addition to the biochemical assays, a genetic approach was used to measure genetic diversity (haplotype and nucleotide diversity) at each site. Biomarker assays and genetic diversity were correlated with the chemical contaminants in bivalves using the Path-ComDim statistical model. Our results showed specific correlations between biochemical assays in the digestive glands with heavy metal contaminants, and between genetic diversity and organic pollution. Blocks of responses were analysed for correlations in order to develop standardized tools and guidelines that could improve our understanding of the short-term and long-term impact of contaminants on physiological parameters. (C) 2018 Elsevier B.V. All rights reserved.</t>
  </si>
  <si>
    <t>[Breitwieser, Marine; Viricel, Amelia; Becquet, Vanessa; Huet, Valerie; Churlaud, Carine; Graber, Marianne; Thomas, Helene] Univ La Rochelle, CNRS, UMR 7266, Littoral Environm &amp; Soc LIENSs, 2 Rue Olympe Gouges, F-17042 La Rochelle 01, France; [Vigneau, Evelyne] INRA, ONIRIS, StatSC, F-44322 Nantes, France; [Lacroix, Camille; Erb, Marina; Le Floch, Stephane] Ctr Documentat Rech &amp; Expt Pollut Accidentelles E, Cedre, 715 Rue Alain Colas,CS 41836, Brest 2, France; [Guillot, Benoit] Univ Bordeaux, OASU, UMR CNRS EPOC 5805, Allee Geoffroy St Hilaire,CS 50023, F-33615 Pessac, France</t>
  </si>
  <si>
    <t>La Rochelle Universite; Centre National de la Recherche Scientifique (CNRS); Ecole Nationale Veterinaire, Agroalimentaire et de l'Alimentation Nantes-Atlantique; INRAE; Centre National de la Recherche Scientifique (CNRS); Universite Bordeaux-Montaigne; Universite de Bordeaux</t>
  </si>
  <si>
    <t>Breitwieser, M (corresponding author), Univ La Rochelle, CNRS, UMR 7266, Littoral Environm &amp; Soc LIENSs, 2 Rue Olympe Gouges, F-17042 La Rochelle 01, France.</t>
  </si>
  <si>
    <t>marine.breitwieser@univ-lr.fr</t>
  </si>
  <si>
    <t>Evelyne, VIGNEAU/H-3629-2019; THOMAS, Helene/JZW-5193-2024; LE FLOCH, Stephane/E-7863-2016; Graber, Marianne/O-1702-2014</t>
  </si>
  <si>
    <t>Lacroix, Camille/0000-0003-4020-3489; THOMAS, Helene/0000-0002-7932-6841; Graber, Marianne/0000-0002-5696-2407; Viricel, Amelia/0000-0002-2789-6869</t>
  </si>
  <si>
    <t>PECTIMPACT Project of the University of La Rochelle; INCREASE CNRS Federation; Communaute d'Agglomeration of La Rochelle</t>
  </si>
  <si>
    <t>This work was supported by the PECTIMPACT Project of the University of La Rochelle; the INCREASE CNRS Federation, and by a research grant from the Communaute d'Agglomeration of La Rochelle.</t>
  </si>
  <si>
    <t>10.1016/j.scitotenv.2018.05.317</t>
  </si>
  <si>
    <t>http://dx.doi.org/10.1016/j.scitotenv.2018.05.317</t>
  </si>
  <si>
    <t>GM7WU</t>
  </si>
  <si>
    <t>WOS:000438408800067</t>
  </si>
  <si>
    <t>da Cruz, ACS; Couto, BC; Nascimento, IA; Pereira, SA; Leite, MBNL; Bertoletti, E; Zagatto, P</t>
  </si>
  <si>
    <t>da Cruz, A. C. S.; Couto, B. C.; Nascimento, I. A.; Pereira, S. A.; Leite, M. B. N. L.; Bertoletti, E.; Zagatto, P.</t>
  </si>
  <si>
    <t>Estimation of the critical effect level for pollution prevention based on oyster embryonic development toxicity test: The search for reliability</t>
  </si>
  <si>
    <t>6th Iberian/3rd Iberoamerican Congress on Environmental Contamination and Toxicology</t>
  </si>
  <si>
    <t>SEP 25-28, 2005</t>
  </si>
  <si>
    <t>Cadiz, SPAIN</t>
  </si>
  <si>
    <t>oyster embryo toxicity test; critical effect level; reference toxicants</t>
  </si>
  <si>
    <t>AMERICAN OYSTER; SALINITY; LARVAE</t>
  </si>
  <si>
    <t>In spite of the consideration that toxicity testing is a reduced approach to measure the effects of pollutants on ecosystems, the early-life-stage (ELS) tests have evident ecological relevance because they reflect the possible reproductive impairment of the natural populations. The procedure and validation of Crassostrea rhizophorae embryonic development test have shown that it meets the same precision as other U.S. EPA tests, where EC50 is generally used as a toxicological endpoint. However, the recognition that EC50 is not the best endpoint to assess contaminant effects led U.S. EPA to recently suggest EC25 as an alternative to estimate xenobiotic effects for pollution prevention. To provide reliability to the toxicological test results on C. rhizophorae embryos, the present work aimed to establish the critical effect level for this test organism, based on its reaction to reference toxicants, by using the statistical method proposed by Norberg-King (Inhibition Concentration, version 2.0). Oyster embryos were exposed to graded series of reference toxicants (ZnSO4 center dot 7H(2)O; AgNO3; KCl; CdCl2H2O; phenol, 4-chlorophenol and dodecyl sodium sulphate). Based on the obtained results, the critical value for C. rhizophorae embryonic development test was estimated as EC15. The present research enhances the emerging consensus that ELS tests data would be adequate for estimating the chronic safe concentrations of pollutants in the receiving waters. Based on recommended criteria and on the results of the present research, zinc sulphate and 4-chlorophenol have been pointed out, among the inorganic and organic compounds tested, as the best reference toxicants for C. rhizophorae ELS-test. (c) 2006 Elsevier Ltd. All rights reserved.</t>
  </si>
  <si>
    <t>Univ Fed Bahia, Inst Biol, BR-41170290 Salvador, BA, Brazil; Environm Sanitat Technol Co CETESB, Sao Paulo, Brazil; BioAgri Int, Piracicaba, SP, Brazil</t>
  </si>
  <si>
    <t>Universidade Federal da Bahia</t>
  </si>
  <si>
    <t>Nascimento, IA (corresponding author), Univ Fed Bahia, Inst Biol, BR-41170290 Salvador, BA, Brazil.</t>
  </si>
  <si>
    <t>biomar@ufba.br; biomar@ufba.br; iracema@ftc.br; biomar@ufba.br; biomar@ufba.br</t>
  </si>
  <si>
    <t>Nascimento, Iracema/L-5069-2015</t>
  </si>
  <si>
    <t>10.1016/j.envint.2006.09.003</t>
  </si>
  <si>
    <t>http://dx.doi.org/10.1016/j.envint.2006.09.003</t>
  </si>
  <si>
    <t>165OW</t>
  </si>
  <si>
    <t>WOS:000246315800025</t>
  </si>
  <si>
    <t>Won, EJ; Hong, S; Ra, K; Kim, KT; Shin, KH</t>
  </si>
  <si>
    <t>Won, Eun-Ji; Hong, Seongjin; Ra, Kongtae; Kim, Kyung-Tae; Shin, Kyung-Hoon</t>
  </si>
  <si>
    <t>Evaluation of the potential impact of polluted sediments using Manila clam Ruditapes philippinarum: bioaccumulation and biomarker responses</t>
  </si>
  <si>
    <t>15th International Symposium on Toxicity Assessment (ISTA)</t>
  </si>
  <si>
    <t>JUL 03-08, 2011</t>
  </si>
  <si>
    <t>City Univ Hong Kong, Hong Kong, PEOPLES R CHINA</t>
  </si>
  <si>
    <t>City Univ Hong Kong</t>
  </si>
  <si>
    <t>Clam Ruditapes philippinarum; Lake Shihwa; Nonylphenol; Metal; Metallothionein-like proteins; Glutathione S-transferase; Catalase</t>
  </si>
  <si>
    <t>ARTIFICIAL LAKE SHIHWA; HEAVY-METALS; MYTILUS-GALLOPROVINCIALIS; TAPES-PHILIPPINARUM; PROTEIN INDUCTION; OXIDATIVE STRESS; ESTUARINE; MARINE; ACCUMULATION; CADMIUM</t>
  </si>
  <si>
    <t>An assessment was made to monitor the short-term impact of heavily polluted sediments that may move out from the brackish man-made Lake Shihwa outside of the sea dike due to operations of a tidal power plant. Here, we exposed the Manila clam Ruditapes philippinarum collected from the western coast of Korea to natural sediment under lab condition for 96 h. Sediments were collected from Lake Shihwa and outside of the sea dike representing polluted and reference conditions, respectively. The results of chemical analysis revealed that the concentrations of nonylphenol and heavy metals in water and sediment from the inner region of Lake Shihwa were significantly higher than those of reference sediments. After 48 and 96 h of exposure, 30 specimens of clams were sampled from each experimental condition, and concentrations of nonylphenol and metals were measured in clams, water, and sediments. Several biomarkers, including concentrations of metallothionein-like proteins, and activities of the antioxidant enzymes glutathione S-transferase and catalase were determined in clams to characterize the effects of polluted sediments to clams. After 96 h of exposure, R. philippinarum assimilated nonylphenol up to 71 times compared to initial concentrations. However, there was no apparent uptake of heavy metals into the clams. Additionally, antioxidant enzymes exhibited higher activities in clams exposed to the polluted sediment. The results of the present study with physiological responses in R. philippinarum suggest that sediment transportation caused by the operation of a tidal power plant in Lake Shihwa will have striking effects on benthic organisms in the adjacent coastal area.</t>
  </si>
  <si>
    <t>[Won, Eun-Ji; Hong, Seongjin; Shin, Kyung-Hoon] Hanyang Univ, Coll Sci &amp; Technol, Dept Environm Marine Sci, Ansan 426791, South Korea; [Ra, Kongtae; Kim, Kyung-Tae] Korea Ocean Res &amp; Dev Inst, Marine Environm &amp; Conservat Res Dept, Ansan 426744, South Korea</t>
  </si>
  <si>
    <t>Hanyang University; Korea Institute of Ocean Science &amp; Technology (KIOST)</t>
  </si>
  <si>
    <t>shinkh@hanyang.ac.kr</t>
  </si>
  <si>
    <t>Won, Eun-Ji/ABI-5949-2020; Hong, Seongjin/AAO-8503-2020; Shin, Kyung-Hoon/AAD-6999-2021; Hong, Seongjin/B-5933-2013</t>
  </si>
  <si>
    <t>Shin, Kyung-Hoon/0000-0002-3169-4274; Hong, Seongjin/0000-0002-6305-8731</t>
  </si>
  <si>
    <t>10.1007/s11356-012-1044-4</t>
  </si>
  <si>
    <t>http://dx.doi.org/10.1007/s11356-012-1044-4</t>
  </si>
  <si>
    <t>979BP</t>
  </si>
  <si>
    <t>WOS:000306790200012</t>
  </si>
  <si>
    <t>Agusa, T; Kunito, T; Yasunaga, G; Iwata, H; Subramanian, A; Ismail, A; Tanabe, S</t>
  </si>
  <si>
    <t>Concentrations of trace elements in marine fish and its risk assessment in Malaysia</t>
  </si>
  <si>
    <t>trace elements; Vanadium; Mercury; marine fish; risk assessment; Malaysia</t>
  </si>
  <si>
    <t>PACIFIC MUSSEL WATCH; PENINSULAR MALAYSIA; COASTAL WATERS; PERNA-VIRIDIS; HEAVY-METALS; WEST-COAST; CONTAMINATION; ASIA; ACCUMULATION; COUNTRIES</t>
  </si>
  <si>
    <t>Concentrations of trace elements (V, Cr, Mn, Co, Cu, Zn, Ga, Se, Rb, Sr, Mo, Ag, Cd, Sn, Sb, Cs, Ba, Hg, Tl, Pb and Bi) were determined in muscle and liver of 12 species of marine fish collected from coastal areas in Malaysia. Levels of V, Cr, Mn, Co, Cu, Zn, Ga, Sr, Mo, Ag, Cd, Sri, Ba and Pb in liver were higher than those in muscle, whereas Rb and Cs concentrations showed the opposite trend. Positive correlations between concentrations in liver and muscle were observed for all the trace elements except Cu and Sn. Copper, Zn, Se, Ag, Cd, Cs and Hg concentrations in bigeye scads from the east coast of the Peninsular Malaysia were higher than those from the west, whereas V showed the opposite trend. The high concentration of V in the west coast might indicate oil contamination in the Strait of Malacca. To evaluate the health risk to Malaysian population through consumption of fish, intake rates of trace elements were estimated on the basis of the concentrations of trace elements in muscle of fish and daily fish consumption. Some specimens of the marine fish had Hg levels higher than the guideline value by US Environmental Protection Agency (EPA), indicating that consumption of these fish at the present rate may be hazardous to Malaysian people. To our knowledge, this is the first study on multielemental accumulation in marine fish from the Malaysian coast. (c) 2005 Elsevier Ltd. All rights reserved.</t>
  </si>
  <si>
    <t>Ehime Univ, CMES, Matsuyama, Ehime 7908577, Japan; Shinshu Univ, Fac Sci, Dept Environm Sci, Matsumoto, Nagano 3908621, Japan; Univ Pertanian Malaysia, Fac Sci &amp; Environm Studies, Dept Biol, Serdang 43400, Selangor, Malaysia</t>
  </si>
  <si>
    <t>Ehime University; Shinshu University; Universiti Putra Malaysia</t>
  </si>
  <si>
    <t>Ehime Univ, CMES, Bunkyo Cho 2-5, Matsuyama, Ehime 7908577, Japan.</t>
  </si>
  <si>
    <t>Iwata, Hisato/A-5478-2013; Tanabe, Shinsuke/G-6950-2013; Kunito, Takashi/D-8449-2012</t>
  </si>
  <si>
    <t>Ismail, Ahmad/0000-0002-7669-5641; Iwata, Hisato/0000-0002-6867-0532; Tanabe, Shinsuke/0000-0002-0911-6232; Kunito, Takashi/0000-0002-3028-736X</t>
  </si>
  <si>
    <t>10.1016/j.marpolbul.2005.06.007</t>
  </si>
  <si>
    <t>http://dx.doi.org/10.1016/j.marpolbul.2005.06.007</t>
  </si>
  <si>
    <t>WOS:000234079700034</t>
  </si>
  <si>
    <t>Costa, S; Lopes, J; Coppola, F; Correia, S; Henriques, B; Leite, C; Soares, AMVM; Jiang, ZJ; Pereira, E; Chiesa, S; Freitas, R</t>
  </si>
  <si>
    <t>Costa, Silvana; Lopes, Joel; Coppola, Francesca; Correia, Simao; Henriques, Bruno; Leite, Carla; Soares, Amadeu M. V. M.; Jiang, Zengjie; Pereira, Eduarda; Chiesa, Stefania; Freitas, Rosa</t>
  </si>
  <si>
    <t>Bioaccumulation and biochemical patterns of Ruditapes philippinarum clams: Responses to seasonality and low contamination levels</t>
  </si>
  <si>
    <t>Clams; Metal contamination; Safety consumption; Seasons; Biochemical performance</t>
  </si>
  <si>
    <t>MUSSEL MYTILUS-GALLOPROVINCIALIS; POLYCHAETE DIOPATRA-NEAPOLITANA; HEAVY-METALS; MANILA CLAM; OXIDATIVE STRESS; SALINITY CHANGES; MARINE BIVALVES; CLIMATE-CHANGE; TRACE-METALS; DECUSSATUS</t>
  </si>
  <si>
    <t>Shellfish farming and shellfish harvesting have been practiced for a long time in the Ria de Aveiro coastal lagoon (Portugal). Among commercial bivalves, Manila clam Ruditapes phillippinarum represents one of the most important species inhabiting this coastal system. Introduced in Portugal in 1984, naturalised R. philippinarum clam populations have been subjected to several pressures that may threaten this resource sustainable management: illegal fishing, harvesting in chemically polluted sites with impacts on human health and lack of control in terms of productivity with the risk of a progressive decline of the biomass. On behalf of the ASARISAFE project (with the title Safety and sustainable management of valuable clam product in Portugal and China) the environmental quality of Manila clam harvesting sites was evaluated, focusing on inorganic pollution and health status of clams in terms of bioaccumulation as well as biochemical performance. Seasonal sampling campaigns were conducted in six R. philippinarum harvesting areas evaluating inorganic pollution levels, in clam's tissues, sediment and water. Clams biochemical performance in terms of metabolism, energy reserves and oxidative stress was also assessed. The results obtained showed that mercury (Hg) and arsenic (As) were the elements with the highest BAF (Bioaccumulation factor) values, but contamination levels in tissues and sediments varied among sampling areas and seasonal campaigns. The amount of clams consumed per week to exceed Provisional Tolerable Week Intake (PTWI, kg) was the lowest for As, revealing that less 0.05 kg of clams was enough to exceed PTWI. However, the results obtained further demonstrated that the clam's biochemical performance was not responding to tissues contamination levels but were closely related to seasons, with distinct metabolic capacity and oxidative stress levels among distinct sampling periods during the year.</t>
  </si>
  <si>
    <t>[Costa, Silvana; Lopes, Joel; Coppola, Francesca; Correia, Simao; Leite, Carla; Soares, Amadeu M. V. M.; Freitas, Rosa] Univ Aveiro, Dept Biol, Campus Univ Santiago, P-3810193 Aveiro, Portugal; [Costa, Silvana; Lopes, Joel; Coppola, Francesca; Correia, Simao; Henriques, Bruno; Leite, Carla; Soares, Amadeu M. V. M.; Pereira, Eduarda; Freitas, Rosa] Univ Aveiro, CESAM, Aveiro, Portugal; [Henriques, Bruno; Pereira, Eduarda] Univ Aveiro, Dept Chem, Aveiro, Portugal; [Jiang, Zengjie] Chinese Acad Fishery Sci, Yellow Sea Fisheries Res Inst, Beijing, Peoples R China; [Chiesa, Stefania] Inst Environm Protect &amp; Res ISPRA, Rome, Italy</t>
  </si>
  <si>
    <t>Universidade de Aveiro; Universidade de Aveiro; Universidade de Aveiro; Chinese Academy of Fishery Sciences; Italian Institute for Environmental Protection &amp; Research (ISPRA)</t>
  </si>
  <si>
    <t>Correia, Simão/AAA-7716-2020; Coppola, Francesca/U-8869-2018; Costa, Silvana/C-6685-2017; Chiesa, Stefania/M-3076-2013; Freitas, Rosa/A-7539-2012; Henriques, Bruno/B-6258-2017; Pereira, Eduarda/A-5907-2012; Leite, Carla/F-1683-2019; Soares, Amadeu/A-8304-2008</t>
  </si>
  <si>
    <t>Pereira, Eduarda/0000-0002-6046-5243; Costa, Silvana Teixeira/0000-0003-3356-4737; Leite, Carla/0000-0001-8579-293X; Soares, Amadeu/0000-0003-0879-9470; Coppola, Francesca/0000-0002-7039-9630</t>
  </si>
  <si>
    <t>national funds (OE), though Fundacao para a Ciencia e a Tecnologia (FCT); project ASARISAFE - Safety and sustainable management of valuable clam product in Portugal - National Funds through the Portuguese Science Foundation (FCT); project ASARISAFE - Safety and sustainable management of valuable clam product in China - National Funds through the Portuguese Science Foundation (FCT); Portuguese Science Foundation (FCT) through the research project ASARISAFE [NSFC/0001/2016]; FCT - FSE [SFRH/BD/118582/2016]; Programa Operational Capital Humano (POCH) e da Uniao Europeia; INTERREG - ALTANTIC program through the research project COCKLES [EAPA_458/2016]; FCT/MCTES [UIDB/50017/2020+UIDP/50017/2020]; Fundação para a Ciência e a Tecnologia [NSFC/0001/2016] Funding Source: FCT</t>
  </si>
  <si>
    <t>national funds (OE), though Fundacao para a Ciencia e a Tecnologia (FCT); project ASARISAFE - Safety and sustainable management of valuable clam product in Portugal - National Funds through the Portuguese Science Foundation (FCT); project ASARISAFE - Safety and sustainable management of valuable clam product in China - National Funds through the Portuguese Science Foundation (FCT); Portuguese Science Foundation (FCT) through the research project ASARISAFE; FCT - FSE(European Social Fund (ESF)Fundacao para a Ciencia e a Tecnologia (FCT)); Programa Operational Capital Humano (POCH) e da Uniao Europeia; INTERREG - ALTANTIC program through the research project COCKLES; FCT/MCTES(Fundacao para a Ciencia e a Tecnologia (FCT)); Fundação para a Ciência e a Tecnologia(Fundacao para a Ciencia e a Tecnologia (FCT))</t>
  </si>
  <si>
    <t>Rosa Freitas and Bruno Henriques were funded by national funds (OE), though Fundacao para a Ciencia e a Tecnologia (FCT), in the scope of the framework contract foreseen in the numbers 4, 5 and 6 of the article 23 of the Decree-Law 57/2016 of August 29, changed by Law 57/2017 of July 19. This work was also financially supported by the project ASARISAFE - Safety and sustainable management of valuable clam product in Portugal and China funded by the National Funds through the Portuguese Science Foundation (FCT). Silvana Costa and Carla Leite benefited from a research fellowship funded by the Portuguese Science Foundation (FCT) through the research project ASARISAFE (NSFC/0001/2016). Francesca Coppola benefited from a PhD grants (SFRH/BD/118582/2016) given by FCT, supported by FSE and Programa Operational Capital Humano (POCH) e da Uniao Europeia. Simao Correia benefited from a research fellowship funded by INTERREG - ALTANTIC program through the research project COCKLES (EAPA_458/2016 COCKLES Co-Operation for Restoring CocKle SheLlfisheries &amp; its Ecosystem-Services in the Atlantic Area). Thanks are due to FCT/MCTES for the financial support to CESAM (UIDB/50017/2020+UIDP/50017/2020), through national funds. Authors would also like to thank Elena Lynch for English editing.</t>
  </si>
  <si>
    <t>SEP 30</t>
  </si>
  <si>
    <t>10.1016/j.ecss.2020.106883</t>
  </si>
  <si>
    <t>http://dx.doi.org/10.1016/j.ecss.2020.106883</t>
  </si>
  <si>
    <t>NQ9WX</t>
  </si>
  <si>
    <t>WOS:000571217800003</t>
  </si>
  <si>
    <t>Kolyuchkina, GA; Miljutin, DM</t>
  </si>
  <si>
    <t>Kolyuchkina, G. A.; Miljutin, D. M.</t>
  </si>
  <si>
    <t>Application of the morpho-functional analysis of hydrobionts (Anadara sp cf. Anadara inaequivalvis Bivalvia) to environmental monitoring</t>
  </si>
  <si>
    <t>MERCENARIA BROWN CELLS; MYTILUS-EDULIS; ACUTE RESPONSE; IN-VIVO; CADMIUM; METALLOTHIONEIN; HISTOPATHOLOGY; GLUTATHIONE; TOXICITY; EXPOSURE</t>
  </si>
  <si>
    <t>The population dynamics and morphological and functional characteristics (the concentration of hemocytes in the hemolymph and the level of histopathology) of the bivalve Anadara sp. cf. Anadara inaequivalvis were studied in 2005-2007 on the North Caucasian coast of the Black Sea. A drastic decline in the abundance of the bivalves simultaneously with cadmium's exceedence in their soft tissues and bottom sediments were recorded in May of 2007. Six months before the manifestation of the population effects, morphological and functional changes (a decrease in the content of hemocytes in the hemolymph and an increase in the content of brown cells in the connective tissue and lipofuscin-like pigment granules in the digestive gland epithelium) in the bivalves were detected that were the consequences of an external effect (presumably, cadmium intoxication). Thus, the morphological and functional changes of the individual Anadaras may be a promising tool for the early detection of the impact of pollutants on benthic ecosystems.</t>
  </si>
  <si>
    <t>[Kolyuchkina, G. A.] Russian Acad Sci, PP Shirshov Oceanol Inst, Moscow 117997, Russia; [Miljutin, D. M.] German Ctr Marine Biodivers Res, Senckenberg Res Inst, Wilhelmshaven, Germany</t>
  </si>
  <si>
    <t>Russian Academy of Sciences; Shirshov Institute of Oceanology; Senckenberg Gesellschaft fur Naturforschung (SGN)</t>
  </si>
  <si>
    <t>Kolyuchkina, GA (corresponding author), Russian Acad Sci, PP Shirshov Oceanol Inst, Nakhimovskii Pr 36, Moscow 117997, Russia.</t>
  </si>
  <si>
    <t>galka.sio@gmail.com; miljutin@yahoo.com</t>
  </si>
  <si>
    <t>Miljutin, Dmitry/A-9295-2015; Kolyuchkina, Galina/R-5154-2019</t>
  </si>
  <si>
    <t>Russian Foundation for Basic Research [05-05064329-a]</t>
  </si>
  <si>
    <t>The authors thank employees of the Laboratory of Applied Hydrochemistry and Analytical Chemistry of the State Oceanography Institute, as well as A. A. Stepanov of the Soil Chemistry Faculty of Moscow State University, for determining the heavy metal concentrations in soft tissues of mollusks. The work was carried out with financial support from the Russian Foundation for Basic Research, project no. 05-05064329-a.</t>
  </si>
  <si>
    <t>10.1134/S0001437013010050</t>
  </si>
  <si>
    <t>http://dx.doi.org/10.1134/S0001437013010050</t>
  </si>
  <si>
    <t>131CX</t>
  </si>
  <si>
    <t>WOS:000317970900005</t>
  </si>
  <si>
    <t>Qiu, JR; Liu, Y; Yu, MJ; Pang, ZH; Chen, WB; Xu, ZC</t>
  </si>
  <si>
    <t>Qiu, Jinrong; Liu, Yun; Yu, Mingjia; Pang, Zhihua; Chen, Wenbo; Xu, Zhencheng</t>
  </si>
  <si>
    <t>Identification and functional characterization of MRE-binding transcription factor (MTF) in Crassostrea gigas and its conserved role in metal-induced response</t>
  </si>
  <si>
    <t>Crassostrea gigas; MTF; cDNA cloning; mRNA expression</t>
  </si>
  <si>
    <t>METALLOTHIONEIN GENE-EXPRESSION; FACTOR-I MTF-1; EEL MONOPTERUS-ALBUS; ZINC FINGERS; OXIDATIVE STRESS; DANIO-RERIO; HEAVY-METALS; DNA-BINDING; ELEMENT; CLONING</t>
  </si>
  <si>
    <t>The full-length cDNA that encodes the MRE-binding transcription factor (MTF) was cloned from the Pacific oyster (Crassostrea gigas) using reverse transcription polymerase chain reaction and the rapid amplification of cDNA ends. The cgMTF cDNA sequence is 2892 bp long, with a 2508 bp open reading frame that encodes an 835-amino acid polypeptide. Multiple alignment revealed that cgMTF has four putative zinc finger-like regions in cgMTF with three C2C2-type zinc fingers and one C2H2-type zinc finger. After 12 h of exposure to Cd2+, the cgMTF mRNA level was increased in a dose-dependent manner, which then subsided with time. cgMTF stimulates the cgMT promoter reporter in the HEK293 cell line in a dose-dependent manner. When either of the metal-responsive elements (MRE1 or MRE2) of the cgMT promoter was mutated, the cgMT promoter reporter activity was significantly reduced. After the two MREs were mutated simultaneously, the promoter activity was completely abolished. In conclusion, we identified an MTF in C. gigas and revealed the presence of an evolutionarily conserved molecular mechanism for coping with environmental metal stress.</t>
  </si>
  <si>
    <t>[Qiu, Jinrong; Liu, Yun; Pang, Zhihua; Xu, Zhencheng] South China Inst Environm Sci, MEP, Guangzhou 510655, Guangdong, Peoples R China; [Yu, Mingjia] State Ocean Adm, Engn Res Ctr Marine Biol Resource Comprehens Util, Inst Oceanog 3, Xiamen 361005, Peoples R China; [Chen, Wenbo] Henan Polytech Univ, Dept Biol, Inst Resources &amp; Environm, Jiaozuo 454000, Peoples R China</t>
  </si>
  <si>
    <t>Third Institute of Oceanography, Ministry of Natural Resources; Henan Polytechnic University</t>
  </si>
  <si>
    <t>Chen, WB (corresponding author), Henan Polytech Univ, Dept Biol, Inst Resources &amp; Environm, Jiaozuo 454000, Peoples R China.</t>
  </si>
  <si>
    <t>chenwenbo@hpu.edu.cn; xuzhencheng@scies.org</t>
  </si>
  <si>
    <t>Yuan, Yu/KBQ-0606-2024; wang, yue/KDO-9209-2024; Chen, Wen-Bo/B-3256-2012</t>
  </si>
  <si>
    <t>Yu, Mingjia/0009-0005-2133-6077</t>
  </si>
  <si>
    <t>National Crucial Research Project for Water Pollution Control of China [2008ZX07211]; National Natural Science Foundation of China [31101878]</t>
  </si>
  <si>
    <t>National Crucial Research Project for Water Pollution Control of China; National Natural Science Foundation of China(National Natural Science Foundation of China (NSFC))</t>
  </si>
  <si>
    <t>This work was supported by National Crucial Research Project for Water Pollution Control of China (2008ZX07211) and National Natural Science Foundation of China (No. 31101878).</t>
  </si>
  <si>
    <t>10.1007/s11033-012-2407-0</t>
  </si>
  <si>
    <t>http://dx.doi.org/10.1007/s11033-012-2407-0</t>
  </si>
  <si>
    <t>107MH</t>
  </si>
  <si>
    <t>WOS:000316221100061</t>
  </si>
  <si>
    <t>Ben-Haddad, M; Hajji, S; Abelouah, MR; Rangel-Buitrago, N; Alla, AA</t>
  </si>
  <si>
    <t>Ben-Haddad, Mohamed; Hajji, Sara; Abelouah, Mohamed Rida; Rangel-Buitrago, Nelson; Alla, Aicha Ait</t>
  </si>
  <si>
    <t>From urbanization to bioaccumulation: A comparative study of metal pollution and biomarker responses in Donax trunculus along a touristic coastal area in Morocco</t>
  </si>
  <si>
    <t>Metals; Bioaccumulation; Biomonitoring; Hazard; Human health; Biomarker</t>
  </si>
  <si>
    <t>POLYCYCLIC AROMATIC-HYDROCARBONS; GLUTATHIONE S-TRANSFERASES; SEASONAL-VARIATION; MYTILUS-GALLOPROVINCIALIS; MEDITERRANEAN SEA; ANNABA ALGERIA; SANDY BEACHES; WESTERN COAST; HEAVY-METALS; MUSSELS</t>
  </si>
  <si>
    <t>This paper examines the use of the edible bivalve, Donax trunculus, as a bioindicator of metal pollution (Cd, Pb, Cu, Zn, and Cr) resulting from beach urbanization related to touristic development in Morocco. The study aim is to conduct a two-year investigation to compare a period of moderate urbanization (2018) with a period of high urbanization (2019). Particularly, the study investigated the occurrence and bioaccumulation levels of metals in D. trunculus as well as the response of four biomarkers in this sentinel species. The results revealed that metal bioaccumulation in the studied bivalve increased due to the intensification of anthropogenic activities associated with urbanization, particularly for cadmium. Similar findings were observed for the metal pollution index, which reached higher values in the second year. Overall, the hazard associated with human consumption was not significant, however, the risk was more probable for children and during 2019. In the second year, the examined biological endpoints demonstrated varied responses, including induction for glutathione-S-transferase and malondialdehyde, inhibition for catalase, and stability in acetylcholinesterase activity. Consequently, statistical analyses revealed a relationship between the bioaccumulated metals and the response of biomarkers. Further management considerations are required in the study area to minimize the occurrence and the risks of metals. Likewise, additional in situ and ex situ scientific investigations must be implemented to provide deeper findings about the sources, occurrences, magnitudes, and toxicity of metals in the touristic coasts of Morocco. &amp; COPY; 2023 Elsevier B.V. All rights reserved.</t>
  </si>
  <si>
    <t>[Ben-Haddad, Mohamed; Hajji, Sara; Abelouah, Mohamed Rida; Alla, Aicha Ait] Ibn Zohr Univ, Fac Sci, Lab Aquat Syst Marine &amp; Continental Environm AQUAM, Agadir 80000, Morocco; [Rangel-Buitrago, Nelson] Univ Atlant, Fac Ciencias Bas, Programa Fis, Barranquilla, Atlantico, Colombia</t>
  </si>
  <si>
    <t>Ibn Zohr University of Agadir</t>
  </si>
  <si>
    <t>Ben-Haddad, M (corresponding author), Ibn Zohr Univ, Fac Sci, Lab Aquat Syst Marine &amp; Continental Environm AQUAM, Agadir 80000, Morocco.</t>
  </si>
  <si>
    <t>mohamed.ben-haddad@edu.uiz.ac.ma; sarahajji5@gmail.com; mohamed.ben-haddad@edu.uiz.ac.ma; nelsonrangel@mail.uniatlantico.edu.co; a.aitalla@uiz.ac.ma</t>
  </si>
  <si>
    <t>Rangel-Buitrago, Nelson/GLU-6836-2022; ALLA, Aicha/ABB-9749-2020; BEN-HADDAD, Mohamed/HTM-1558-2023</t>
  </si>
  <si>
    <t>BEN-HADDAD, Mohamed/0000-0003-1332-2036; AICHA, AIT ALLA/0000-0003-3260-6034; Rangel-Buitrago, Nelson/0000-0003-2261-3265; ABELOUAH, Mohamed Rida/0000-0003-2707-9356</t>
  </si>
  <si>
    <t>AQUAMAR laboratory (Ibn Zohr University, Morocco)</t>
  </si>
  <si>
    <t>The authors thank the colleagues who helped in the sampling of Donax trunculus for two years. Our gratitude is addressed to the editor and the reviewers who improved the manuscript quality. This work is funded by AQUAMAR laboratory (Ibn Zohr University, Morocco)</t>
  </si>
  <si>
    <t>10.1016/j.rsma.2023.103106</t>
  </si>
  <si>
    <t>http://dx.doi.org/10.1016/j.rsma.2023.103106</t>
  </si>
  <si>
    <t>P5AH5</t>
  </si>
  <si>
    <t>WOS:001050784100001</t>
  </si>
  <si>
    <t>Acs, A; Vehovszky, A; Gyori, J; Farkas, A</t>
  </si>
  <si>
    <t>Acs, A.; Vehovszky, A.; Gyori, J.; Farkas, A.</t>
  </si>
  <si>
    <t>Seasonal and size-related variation of subcellular biomarkers in quagga mussels (Dreissena bugensis) inhabiting sites affected by moderate contamination with complex mixtures of pollutants</t>
  </si>
  <si>
    <t>Dreissena bugensis; Integrated biomarker response; Biochemical markers; Metallothionein-like proteins; Ethoxyresorufin-O-deethylase (EROD); DNA damage; Lipid peroxidation (LPO)</t>
  </si>
  <si>
    <t>MYTILUS-EDULIS; ZEBRA MUSSELS; LAKE BALATON; DIGESTIVE GLAND; BALTIC SEA; INTEGRATED ASSESSMENT; TRANSPLANTED MUSSELS; BIOCHEMICAL MARKERS; LIPID-PEROXIDATION; IBERIAN PENINSULA</t>
  </si>
  <si>
    <t>The size-related differences in subcellular biomarker responses were assessed in Dreissena bugensis mussels inhabiting harbours moderately affected by pollution with complex mixtures of heavy metals and polycyclic aromatic hydrocarbons (PAHs). Adult D. bugensis samples were collected from three harbours of Lake Balaton (Hungary) characterized by moderate shipping activity, and as reference site, from a highly protected remote area of the lake. Biomarkers of exposure (metallothioneins (MTs), ethoxyresorufin-o-deethylase (EROD)), oxidative stress (lipid peroxidation (LPO), DNA strand breaks (DNAsb)) and possible endocrine disruption (vitellogenin-like proteins (VTG)) were analysed in whole-tissue homogenates of differently sized groups of mussels in relation to environmental parameters and priority pollutants (heavy metals and polycyclic aromatic hydrocarbons). Integrated biomarker response (IBR) indices were calculated for biomarker responses gained through in situ measurements to signalize critical sites and to better distinguish natural tendencies from biological effects of contaminants. Biomarker responses showed close positive correlation in case of MT, EROD, LPO, and DNAsb and negative correlation with VTG levels with mussel shell length in autumn, when higher levels of biomarkers appeared, possibly due to natural lifecycle changes of animals.</t>
  </si>
  <si>
    <t>[Acs, A.; Vehovszky, A.; Gyori, J.; Farkas, A.] Balaton Limnol Inst, MTA OK Ctr Ecol Res, Klebelsberg K U 3,POB 35, H-8237 Tihany, Hungary</t>
  </si>
  <si>
    <t>Hungarian Academy of Sciences; Hungarian Research Network; HUN-REN Centre for Ecological Research; HUN-REN Balaton Limnological Research Institute</t>
  </si>
  <si>
    <t>Farkas, A (corresponding author), Balaton Limnol Inst, MTA OK Ctr Ecol Res, Klebelsberg K U 3,POB 35, H-8237 Tihany, Hungary.</t>
  </si>
  <si>
    <t>farkas.anna@okologia.mta.hu</t>
  </si>
  <si>
    <t>Győri, János/GLT-0318-2022; Farkas, Anna/N-8980-2019; Acs, Andras/Q-9316-2016</t>
  </si>
  <si>
    <t>Farkas, Anna/0000-0003-1377-5887; Vehovszky, Agnes/0000-0002-6433-3109; Acs, Andras/0000-0002-0942-6097</t>
  </si>
  <si>
    <t>Postdoctoral Academic Programme of the Hungarian Academy of Sciences; Balaton Project of the Office of the Prime Minister of Hungary (MEH)</t>
  </si>
  <si>
    <t>This research was supported by the Postdoctoral Academic Programme of the Hungarian Academy of Sciences and cofinanced by a grant from the Balaton Project of the Office of the Prime Minister of Hungary (MEH).</t>
  </si>
  <si>
    <t>10.1007/s10661-016-5432-y</t>
  </si>
  <si>
    <t>http://dx.doi.org/10.1007/s10661-016-5432-y</t>
  </si>
  <si>
    <t>DP9TM</t>
  </si>
  <si>
    <t>WOS:000378840300043</t>
  </si>
  <si>
    <t>Cardellicchio, N; Buccolieri, A; Di Leo, A; Giandomenico, S; Spada, L</t>
  </si>
  <si>
    <t>Cardellicchio, N.; Buccolieri, A.; Di Leo, A.; Giandomenico, S.; Spada, L.</t>
  </si>
  <si>
    <t>Levels of metals in reared mussels from Taranto Gulf (Ionian Sea, Southern Italy)</t>
  </si>
  <si>
    <t>Mytilus galloprovincialis; shellfood; mussel farming; metals; Taranto; health hazard</t>
  </si>
  <si>
    <t>MYTILUS-GALLOPROVINCIALIS; TRACE-METALS; HEAVY-METALS; SOFT-TISSUE; POLLUTION; EDULIS; LEAD; ZINC; INDICATOR; CADMIUM</t>
  </si>
  <si>
    <t>Samples of Mytilus galloprovincialis were collected monthly during the period July 1999-June 2000 from two mussel culture areas influenced by urban and industrial wastes. These stations, subjected to different environmental impact conditions, are located in the coastal area of Taranto Gulf (Ionian Sea, Southern Italy). Metals (Cd, Cu, Pb, Zn, Fe and As) were determined by atomic absorption spectrophotometry (AAS) in the whole soft tissue of mussels. Seasonal changes in metal concentrations were observed. Metals exhibited maximum values in later winter-early spring, followed by a progressive decrease during the summer. Metal concentrations were similar to those detected in other Italian coastal zones, and indicate that the seafood under investigation poses no hazard to human health because metal content is within the permissible range established for safe consumption by humans. (C) 2007 Elsevier Ltd. All rights reserved.</t>
  </si>
  <si>
    <t>[Cardellicchio, N.; Di Leo, A.; Giandomenico, S.] CNR, Inst Coastal Marine Environm, Taranto Sect, I-74100 Taranto, Italy; [Buccolieri, A.] Univ Lecce, Dipartimento Sci Mat, I-73100 Lecce, Italy; [Spada, L.] Univ Bari, Dept Chem, I-70126 Bari, Italy</t>
  </si>
  <si>
    <t>Consiglio Nazionale delle Ricerche (CNR); University of Salento; Universita degli Studi di Bari Aldo Moro</t>
  </si>
  <si>
    <t>Cardellicchio, N (corresponding author), CNR, Inst Coastal Marine Environm, Taranto Sect, Via Roma 3, I-74100 Taranto, Italy.</t>
  </si>
  <si>
    <t>GIANDOMENICO, SANTINA/0000-0001-8231-1301; Buccolieri, Alessandro/0000-0002-8657-9468</t>
  </si>
  <si>
    <t>10.1016/j.foodchem.2007.09.011</t>
  </si>
  <si>
    <t>http://dx.doi.org/10.1016/j.foodchem.2007.09.011</t>
  </si>
  <si>
    <t>242XV</t>
  </si>
  <si>
    <t>WOS:000251760400039</t>
  </si>
  <si>
    <t>Smith, KE; Weis, D; Amini, M; Shiel, AE; Lai, VWM; Gordon, K</t>
  </si>
  <si>
    <t>Smith, Kate E.; Weis, Dominique; Amini, Marghaleray; Shiel, Alyssa E.; Lai, Vivian W. -M.; Gordon, Kathy</t>
  </si>
  <si>
    <t>Honey as a biomonitor for a changing world</t>
  </si>
  <si>
    <t>NATURE SUSTAINABILITY</t>
  </si>
  <si>
    <t>DISTRICT LES-MALINES; LEAD-ISOTOPE RATIOS; APIS-MELLIFERA L.; HEAVY-METALS; TRACE-ELEMENTS; SOURCE APPOINTMENT; APIARY PRODUCTS; RISK-ASSESSMENT; WESTERN CANADA; BEE DIVERSITY</t>
  </si>
  <si>
    <t>Urban geochemistry is an emerging field in which key scientific and societal challenges, including rapid urbanization and population growth, compel investigation of readily accessible biomonitors to determine the source, transport and fate of heavy metal pollutants in cities. Lead isotopic analyses of honey have recently proven its efficacy as a biomonitor for Pb source apportionment applications. We collected honey directly from hives in six geographical sectors in Vancouver, British Columbia (Canada) to investigate the presence of potential pollutants from varying zoning districts: urban, industrial, residential and agricultural. Systematic variations in trace element concentrations and Pb isotopic compositions of the honeys reflect proximity to anthropogenic land-use activities such as shipping ports and heavy traffic. Honey sampled from downtown hives, near the Port of Vancouver, shows elevated trace element concentrations compared with suburban and rural honey, and distinctly higher Pb-208/Pb-206 (that is, less radiogenic) compared with local environmental proxies (for example, oysters, Fraser River sediment and volcanic rocks), indicating possible input from Asian anthropogenic sources. This study presents the first Pb isotope data for North American honey, and supports the combined use of trace elements and Pb isotopic compositions in honey as a geochemical biomonitor.</t>
  </si>
  <si>
    <t>[Smith, Kate E.; Weis, Dominique; Amini, Marghaleray; Shiel, Alyssa E.; Lai, Vivian W. -M.; Gordon, Kathy] Univ British Columbia, Dept Earth Ocean &amp; Atmospher Sci, Pacific Ctr Isotop &amp; Geochem Res, Vancouver, BC, Canada; [Shiel, Alyssa E.] Oregon State Univ, Coll Earth Ocean &amp; Atmospher Sci, Corvallis, OR 97331 USA</t>
  </si>
  <si>
    <t>University of British Columbia; Oregon State University</t>
  </si>
  <si>
    <t>Smith, KE (corresponding author), Univ British Columbia, Dept Earth Ocean &amp; Atmospher Sci, Pacific Ctr Isotop &amp; Geochem Res, Vancouver, BC, Canada.</t>
  </si>
  <si>
    <t>katesmith@eoas.ubc.ca</t>
  </si>
  <si>
    <t>Smith, Kate/0000-0003-1666-7232; Weis, Dominique/0000-0002-6638-5543</t>
  </si>
  <si>
    <t>Natural Sciences and Engineering Research Council of Canada; Peter Wall Institute for Advanced Studies Solutions Award; Natural Sciences and Engineering Research Council of Canada's Multidisciplinary Applied Geochemistry Network; University of British Columbia's International Doctoral Fellowship</t>
  </si>
  <si>
    <t>Natural Sciences and Engineering Research Council of Canada(Natural Sciences and Engineering Research Council of Canada (NSERC)CGIAR); Peter Wall Institute for Advanced Studies Solutions Award; Natural Sciences and Engineering Research Council of Canada's Multidisciplinary Applied Geochemistry Network; University of British Columbia's International Doctoral Fellowship</t>
  </si>
  <si>
    <t>Funding for this project was provided by a Natural Sciences and Engineering Research Council of Canada Discovery Grant and Peter Wall Institute for Advanced Studies Solutions Award, both awarded to D.W. Additional support awarded to K.E.S. was provided by the Natural Sciences and Engineering Research Council of Canada's Multidisciplinary Applied Geochemistry Network and via the University of British Columbia's International Doctoral Fellowship. The authors thank J. Common, cofounder and chief beekeeper of Hives for Humanity of Vancouver, her team of apiary experts and her network of community volunteers, who provided honey samples, access to hives for direct sampling, and indispensable education and guidance for PCIGR scientists. The authors also thank the apiarists B. Finlay, E. Mitchell and A. Garr/K. Grecia for providing honey from Galiano Island, Bowen Island and the Vancouver Convention Centre rooftop, respectively.</t>
  </si>
  <si>
    <t>2398-9629</t>
  </si>
  <si>
    <t>NAT SUSTAIN</t>
  </si>
  <si>
    <t>Nat. Sustain.</t>
  </si>
  <si>
    <t>10.1038/s41893-019-0243-0</t>
  </si>
  <si>
    <t>http://dx.doi.org/10.1038/s41893-019-0243-0</t>
  </si>
  <si>
    <t>Green &amp; Sustainable Science &amp; Technology; Environmental Sciences; Environmental Studies</t>
  </si>
  <si>
    <t>Science &amp; Technology - Other Topics; Environmental Sciences &amp; Ecology</t>
  </si>
  <si>
    <t>HQ4AA</t>
  </si>
  <si>
    <t>WOS:000462350500016</t>
  </si>
  <si>
    <t>Fulazzaky, MA; Salim, NAA; Puteh, MH; Messer, T; Othman, MHD; Jaafar, J; Ismail, AF; Rahman, MA</t>
  </si>
  <si>
    <t>Fulazzaky, Mohamad Ali; Salim, Nur Atikah Abdul; Puteh, Mohd Hafiz; Messer, Tiffany; Othman, Mohd Hafiz Dzarfan; Jaafar, Juhana; Ismail, Ahmad Fauzi; Rahman, Mukhlis A.</t>
  </si>
  <si>
    <t>Mechanisms and mass transfer kinetics of Cr(VI) adsorbed by mussel shell incorporated adsorptive membrane</t>
  </si>
  <si>
    <t>Adsorptive membrane; Hexavalent chromium; Mussel shell; Polyethersulfone; Synthetic solution</t>
  </si>
  <si>
    <t>OIL MILL EFFLUENT; AEROBIC GRANULES; WASTE-WATER; REMOVAL; BIOSORPTION; VI; CHROMIUM(VI); PHOSPHATE; MATTER; OXIDE</t>
  </si>
  <si>
    <t>The presence of Cr(VI) results in pollution that threatens human health and aquatic life. Therefore, there is an urgent need for Cr(VI) to be removed from contaminated water. The mussel shell incorporated polyethersulfone (MSPES) membranes designed to form the flat sheet adsorptive membrane (FSAM) crossflow treatment systems was used to remove Cr(VI) from synthetic solution. The physicochemical properties of the MSPES membrane were verified using an atomic force microscope, scanning electron microscope, and water contact angle goniometer. The performance of MSPES2.0 to remove Cr(VI) ions ranged from 15.00 to 16.05 % was higher than that of MSPES2.2 ranged from 10.00 to 10.75 %, which observed for 1.5 h of the experiment. The MSPES2.0 adsorption capacity of 3.2 mg g -1 was higher than the MSPES2.2 adsorption capacity of 1.45 mg g-1. -1 . The applicability of Generalized Fulazzaky equations to simulate the experimental data was validated to predict the mechanisms and kinetics of Cr(VI) mass transfer by the MSPES membrane and to determine the resistance of mass transfer for adsorption of Cr(VI) depended on porous diffusion (PD) rate. The Cr(VI) adsorption controlled by PD was verified to provide an insight of how the mass transfer process contributed to advanced FSAM crossflow treatment system.</t>
  </si>
  <si>
    <t>[Fulazzaky, Mohamad Ali] Univ Djuanda, Sch Postgrad Studies, Bogor 16720, Indonesia; [Fulazzaky, Mohamad Ali] Univ Djuanda, Fac Agr, Dept Aquaculture, Bogor 16720, Indonesia; [Salim, Nur Atikah Abdul] Netherlands Maritime Univ Coll, Sch Occupat Safety &amp; Hlth, NMUC 80000, Johor Baharu 80000, Johor, Malaysia; [Salim, Nur Atikah Abdul; Puteh, Mohd Hafiz] Univ Teknol Malaysia, Fac Civil Engn, Dept Water &amp; Environm Engn, Skudai 81310, Johor, Malaysia; [Puteh, Mohd Hafiz; Othman, Mohd Hafiz Dzarfan; Jaafar, Juhana; Ismail, Ahmad Fauzi; Rahman, Mukhlis A.] Univ Teknol Malaysia, Adv Membrane Technol Res Ctr AMTEC, Skudai 81310, Johor, Malaysia; [Messer, Tiffany] Univ Kentucky, Biosyst &amp; Agr Engn, Lexington, KY 40506 USA</t>
  </si>
  <si>
    <t>Djuanda University; Djuanda University; Universiti Teknologi Malaysia; Universiti Teknologi Malaysia; University of Kentucky</t>
  </si>
  <si>
    <t>Fulazzaky, MA (corresponding author), Univ Djuanda, Sch Postgrad Studies, Bogor 16720, Indonesia.</t>
  </si>
  <si>
    <t>fulazzaky@unida.ac.id</t>
  </si>
  <si>
    <t>Jaafar, Juhana/J-8353-2012; A Rahman, Mukhlis/AGW-3482-2022</t>
  </si>
  <si>
    <t>Universiti Teknologi Malaysia (UTM); Ministry of Higher Education under Higher Institution Centre of Excellent (HICoE) [R.J090301.7851.4J517]</t>
  </si>
  <si>
    <t>Universiti Teknologi Malaysia (UTM); Ministry of Higher Education under Higher Institution Centre of Excellent (HICoE)</t>
  </si>
  <si>
    <t>Authors wish to thank Universiti Teknologi Malaysia (UTM) for supporting this work. This work was supported by the Ministry of Higher Education under Higher Institution Centre of Excellent (HICoE) grant scheme (R.J090301.7851.4J517) . All authors thank the Advance Membrane Technology Research Centre (AMTEC) and the Environmental Laboratory, Faculty of Civil Engineering-UTM for laboratory facilities.</t>
  </si>
  <si>
    <t>10.1016/j.dwt.2024.100537</t>
  </si>
  <si>
    <t>http://dx.doi.org/10.1016/j.dwt.2024.100537</t>
  </si>
  <si>
    <t>D0R2F</t>
  </si>
  <si>
    <t>WOS:001293336400001</t>
  </si>
  <si>
    <t>O'Shea, B; Capistrano, C; Lee, W</t>
  </si>
  <si>
    <t>O'Shea, Beth; Capistrano, Christian; Lee, William</t>
  </si>
  <si>
    <t>Geogenic metal mobility in a coastal inlet impacted by cannery discharge, Magdalena Bay, Baja California Sur, Mexico</t>
  </si>
  <si>
    <t>Magdalena Bay; Geogenic metals; Chromium; Nickel; Ophiolite; Cannery</t>
  </si>
  <si>
    <t>TURTLE CHELONIA-MYDAS; HEAVY-METALS; OXIDATIVE STRESS; TRACE-METALS; OPHIOLITE; GEOCHEMISTRY; SEDIMENTS; MARINE; MUSSEL; NICKEL</t>
  </si>
  <si>
    <t>Magdalena Bay is an important habitat for marine organisms, some of which have been the subject of metal bioaccumulation studies. Cannery waste is discharged into the bay providing a plausible source of contamination but this study finds that some metals occur geogenically. Bay sediments and rocks (n = 59) were analyzed for total metals and clustered (HCA) into two distinct groups with PCA indicating concentrations of Cr, Cu, Mn, and Ni influenced samples near ophiolite outcrops, which reported some metal concentrations exceeding averages in the crust by an order of magnitude (up to 4450 ppm Cr and 1269 ppm Ni). Metals at the cannery are rarely elevated above crustal averages except Zn (max. 160 ppm), however, acid-extracted Zn was below recommended sediment quality guidelines in contrast to 80% of ophiolitic samples reporting Ni extractability exceeding such guidelines. This study raises awareness of geogenic metals when considering sources of contamination in marine environments. (C) 2016 Elsevier Ltd. All rights reserved.</t>
  </si>
  <si>
    <t>[O'Shea, Beth; Capistrano, Christian; Lee, William] Univ San Diego, Dept Environm &amp; Ocean Sci, 5998 Alcala Pk, San Diego, CA 92110 USA</t>
  </si>
  <si>
    <t>University of San Diego</t>
  </si>
  <si>
    <t>O'Shea, B (corresponding author), 5998 Alcala Pk, San Diego, CA 92110 USA.</t>
  </si>
  <si>
    <t>bethoshea@sandiego.edu</t>
  </si>
  <si>
    <t>O'Shea, Bethany/0000-0002-5174-8006</t>
  </si>
  <si>
    <t>Danvera Foundation; University of San Diego Faculty Research Grant program; University of San Diego Enhanced Student-Faculty Interaction grant; NSF [0620087, 0620101]; Direct For Education and Human Resources; Division Of Human Resource Development [0620101, 0620087] Funding Source: National Science Foundation</t>
  </si>
  <si>
    <t>Danvera Foundation; University of San Diego Faculty Research Grant program; University of San Diego Enhanced Student-Faculty Interaction grant; NSF(National Science Foundation (NSF)); Direct For Education and Human Resources; Division Of Human Resource Development(National Science Foundation (NSF)NSF - Directorate for STEM Education (EDU))</t>
  </si>
  <si>
    <t>The authors would like to thank Michel Boudrias, James Bolender, and funding from the Danvera Foundation, without which this research would not have been possible. Valuable assistance in the field and laboratory was provided by the School for Field Studies, Kevin Stolzenbach, Joel Van Noord, and Alison Dressel. O'Shea gratefully acknowledges financial support from the University of San Diego's Faculty Research Grant program and an Enhanced Student-Faculty Interaction grant to Lee and O'Shea. Work on this manuscript by O'Shea was conducted at the Geoscience Academics in the Northeast writing retreat funded by NSF Award Numbers 0620087 to Suzanne O'Connell and 0620101 to Mary Anne Holmes.</t>
  </si>
  <si>
    <t>10.1016/j.marpolbul.2016.05.014</t>
  </si>
  <si>
    <t>http://dx.doi.org/10.1016/j.marpolbul.2016.05.014</t>
  </si>
  <si>
    <t>DT7EP</t>
  </si>
  <si>
    <t>WOS:000381650200069</t>
  </si>
  <si>
    <t>Khoma, V; Gnatyshyna, L; Martinyuk, V; Rarok, Y; Mudra, A; Stoliar, O</t>
  </si>
  <si>
    <t>Khoma, Vira; Gnatyshyna, Lesya; Martinyuk, Viktoria; Rarok, Yulya; Mudra, Alla; Stoliar, Oksana</t>
  </si>
  <si>
    <t>Biochemical Responses of the Bivalve Mollusk Unio tumidus Inhabiting a Small Power Plant Reservoir on the Dniester River Basin, Ukraine</t>
  </si>
  <si>
    <t>Bivalve mollusk; Water flow; Cholinesterase; Glutathione; Metallothionein</t>
  </si>
  <si>
    <t>GLUTATHIONE-S-TRANSFERASE; FRESH-WATER MUSSELS; SPECTROPHOTOMETRIC METHOD; BIOMARKERS; CATALASE; PEROXIDASE; MANAGEMENT; POLLUTION; EXPOSURE; TISSUES</t>
  </si>
  <si>
    <t>Hydropower plants (HPPs) can affect the hydrological regime. However, biochemical responses of aquatic animals for the evaluation of this disturbing are not applied yet. The specimens of Unio tumidus were sampled in a reservoir (R) of a small HPP as well as downstream from the dam (DS). Biochemical indexes in the digestive gland and alkali labile phosphates (ALP) in the gonads were examined. The R-mollusks showed low cholinesterase, catalase and caspase-3 activities, and metallothionein concentration, but elevated levels of zinc and copper, oxidized glutathione and protein carbonyls. Concentrations of lactate, pyruvate and ALP, activity of superoxide dismutase and glutathione S-transferase, and lipid peroxidation level were similar in both groups. Integrated biomarker response (IBR/n) index (n = 13) was 2.17 and 0.29 in the R- and DS-groups correspondingly. We suggest that using integrative biological response based on the biochemical markers of bivalve mollusks can be a valid early warning step in assessing 'environmental flow' impact.</t>
  </si>
  <si>
    <t>[Khoma, Vira; Gnatyshyna, Lesya; Martinyuk, Viktoria; Rarok, Yulya; Stoliar, Oksana] Ternopil Volodymyr Hnatiuk Natl Pedag Univ, Kryvonosa Str 2, UA-46027 Ternopol, Ukraine; [Gnatyshyna, Lesya; Mudra, Alla] I Horbachevsky Ternopil Natl Med Univ, Ternopol, Ukraine</t>
  </si>
  <si>
    <t>Stoliar, O (corresponding author), Ternopil Volodymyr Hnatiuk Natl Pedag Univ, Kryvonosa Str 2, UA-46027 Ternopol, Ukraine.</t>
  </si>
  <si>
    <t>khomav@tnpu.edu.ua; gnatyshynall@tdmu.edu.ua; martynjyk23@ukr.net; rarok9628@gmail.com; mudra@tdmu.edu.ua; Oksana.Stolyar@tnpu.edu.ua</t>
  </si>
  <si>
    <t>Gnatyshyna, Lesya/AAA-6868-2021; Gnatyshyna, Lesya/M-7993-2015; Stoliar, Oksana/I-7397-2018</t>
  </si>
  <si>
    <t>Gnatyshyna, Lesya/0000-0002-5205-1585; Martyniuk, Viktoriia/0000-0002-2235-7217; Stoliar, Oksana/0000-0002-8579-2881; Alla, Mudra/0000-0003-3219-931X</t>
  </si>
  <si>
    <t>Ministry of Education and Science of Ukraine [M/70-2017, M/35-2018, 132B]</t>
  </si>
  <si>
    <t>This work has been granted by the Ministry of Education and Science of Ukraine (Projects M/70-2017, M/35-2018 and 132B for O. Stoliar). The authors are grateful to the Director of the National Nature Park Dniester Canyon Mr. Mykhaylo Shkilniuk for his assistance in the sampling in the Kasperivtsi area, to PhD St Oksana Horyn for the technical assistance in the trial and to English native biologist Dr. Inna Birchenko for the scientific editing, linguistic and phraseological improvement of this manuscript.</t>
  </si>
  <si>
    <t>10.1007/s00128-020-02873-2</t>
  </si>
  <si>
    <t>http://dx.doi.org/10.1007/s00128-020-02873-2</t>
  </si>
  <si>
    <t>MJ7VP</t>
  </si>
  <si>
    <t>WOS:000532894600001</t>
  </si>
  <si>
    <t>Jeong, H; Ra, K; Won, JH</t>
  </si>
  <si>
    <t>Jeong, Hyeryeong; Ra, Kongtae; Won, Jong-Ho</t>
  </si>
  <si>
    <t>A nationwide survey of trace metals and Zn isotopic signatures in mussels (Mytilus edulis) and oysters (Crassostrea gigas) from the coast of South Korea</t>
  </si>
  <si>
    <t>Bioaccumulation; Mussels; Oysters; Trace metals; Zn isotopes</t>
  </si>
  <si>
    <t>GULF-OF-CALIFORNIA; HEAVY-METALS; CHEMICAL-FRACTIONS; ANTHROPOGENIC ZN; PACIFIC OYSTERS; WATCH PROGRAM; PERSIAN-GULF; QESHM ISLAND; ACCUMULATION; CD</t>
  </si>
  <si>
    <t>Thirteen trace metals and Zn isotopic signatures were investigated in mussels and oysters collected from the coast of South Korea to evaluate their bioavailability in bivalve mollusks. The average Cu, Zn, and Cd concentrations were 2.6-17.7 times higher in oysters than mussels, and high biota sediment accumulation factors (&gt;30) were observed for these metals in oysters. Except for Pb in mussels, most metals had no correlation with total sediment concentrations. In oysters, Fe, V, Cu, Zn, Sn, and Pb concentrations were significantly correlated with sediments. The average values of delta 66ZnIRMM3702 in mussels, oyster, and sediments were +0.09%o, +0.12%o, and -0.06%o, respectively. Soft tissues of mussels and oysters with high Zn concentrations tended to contain lighter Zn isotopes. The results indicate that oysters are a better biomonitoring organism for metal contamination than mussels and can be used in the monitoring and management of coastal environments and ecosystems.</t>
  </si>
  <si>
    <t>[Jeong, Hyeryeong; Ra, Kongtae] Korea Inst Ocean Sci &amp; Technol, Marine Environm Res Ctr, Busan 49111, South Korea; [Jeong, Hyeryeong; Ra, Kongtae] Univ Sci &amp; Technol, KIOST Sch, Dept Ocean Sci Oceanog, Daejeon 34113, South Korea; [Won, Jong-Ho] Korea Marine Environm Management Corp KOEM, Marine Environm Res Inst, Marine Environm Monitoring Dept, Busan 49111, South Korea</t>
  </si>
  <si>
    <t>Korea Institute of Ocean Science &amp; Technology (KIOST); University of Science &amp; Technology (UST)</t>
  </si>
  <si>
    <t>Ra, K (corresponding author), Korea Inst Ocean Sci &amp; Technol, Marine Environm Res Ctr, Busan 49111, South Korea.</t>
  </si>
  <si>
    <t>ktra@kiost.ac.kr</t>
  </si>
  <si>
    <t>Jeong, Hyeryeong/JTV-6299-2023; Kim, Heejin/HII-8568-2022</t>
  </si>
  <si>
    <t>10.1016/j.marpolbul.2021.113061</t>
  </si>
  <si>
    <t>http://dx.doi.org/10.1016/j.marpolbul.2021.113061</t>
  </si>
  <si>
    <t>WN2YJ</t>
  </si>
  <si>
    <t>WOS:000711639000012</t>
  </si>
  <si>
    <t>Maltby, L</t>
  </si>
  <si>
    <t>Studying stress: The importance of organism-level responses</t>
  </si>
  <si>
    <t>ECOLOGICAL APPLICATIONS</t>
  </si>
  <si>
    <t>bioassays; energy budgets; Gammarus feeding rate; interpopulation variation, mechanistic basis; physiological models, individual-based; population-level effects; stress monitoring using bioassays; stress responses, individual and community level; zinc tolerance</t>
  </si>
  <si>
    <t>GAMMARUS-PULEX L; ORCHESELLA-CINCTA COLLEMBOLA; ISOPOD PORCELLIO-SCABER; MUSSELS MYTILUS-EDULIS; FRESH-WATER AMPHIPOD; INSECTICIDE RESISTANCE; PHYSIOLOGICAL ENERGETICS; DROSOPHILA-MELANOGASTER; RESPIRATORY IMPAIRMENT; DIFFERENT SALINITIES</t>
  </si>
  <si>
    <t>The importance of studying the effects of stress on individual organisms is addressed by considering the use of individual-level information to: (1) elucidate the mechanistic bases of interpopulation variation; (2) predict population-level effects; and (3) monitor stress in natural communities. Examples discussed include interpopulation variation in the sensitivity of freshwater shrimps to zinc stress; the use of individual-based models to predict the effects of copper stress on earthworm populations; the use of single-species in situ assays to monitor pollution. It is contended that knowledge of organism-level responses is essential for understanding how stressors cause adverse biological effects and the strategies adopted by organisms to tolerate stress. It is also contended that the effects of stressors on populations can be predicted from a knowledge of the effects of stressors on individual energy budgets. Organism-level responses can be used to monitor stress in natural environments. In situ assays, based on the physiological energetics of ecologically relevant species, can provide sensitive and general stress indicators that are correlated with community-level responses.</t>
  </si>
  <si>
    <t>Univ Sheffield, Dept Anim &amp; Plant Sci, Sheffield S10 2TN, S Yorkshire, England</t>
  </si>
  <si>
    <t>University of Sheffield</t>
  </si>
  <si>
    <t>Univ Sheffield, Dept Anim &amp; Plant Sci, Sheffield S10 2TN, S Yorkshire, England.</t>
  </si>
  <si>
    <t>L.maltby@sheffield.ac.uk</t>
  </si>
  <si>
    <t>Maltby, Lorraine/A-6702-2012</t>
  </si>
  <si>
    <t>Maltby, Lorraine/0000-0003-3817-4033</t>
  </si>
  <si>
    <t>1051-0761</t>
  </si>
  <si>
    <t>1939-5582</t>
  </si>
  <si>
    <t>ECOL APPL</t>
  </si>
  <si>
    <t>Ecol. Appl.</t>
  </si>
  <si>
    <t>10.2307/2641131</t>
  </si>
  <si>
    <t>http://dx.doi.org/10.2307/2641131</t>
  </si>
  <si>
    <t>213AQ</t>
  </si>
  <si>
    <t>WOS:000081250200009</t>
  </si>
  <si>
    <t>Su, CL; Chen, LM</t>
  </si>
  <si>
    <t>Su, Chenli; Chen, Lanming</t>
  </si>
  <si>
    <t>Virulence, resistance, and genetic diversity of Vibrio parahaemolyticus recovered from commonly consumed aquatic products in Shanghai, China</t>
  </si>
  <si>
    <t>Vibrio parahaemolyticus; Aquatic product; Virulence; Antibiotic susceptibility; Heavy metal tolerance; Genetic diversity</t>
  </si>
  <si>
    <t>HEAVY-METAL RESISTANCE; ANTIMICROBIAL RESISTANCE; ANTIBIOTIC-RESISTANCE; LITOPENAEUS-VANNAMEI; PREVALENCE; SEAFOOD; STRAINS; OYSTERS; FISH; SEA</t>
  </si>
  <si>
    <t>Vibrio parahaemolyticus can cause severe gastroenteritis, septicaemia and even death in humans. Continuous monitoring of V. parahaemolyticus contamination in aquatic products is imperative for ensuring food safety. In this study, we isolated and characterized 561 V. parahaemolyticus strains recovered from 23 species of commonly consumed shellfish, crustaceans, and fish collected in July and August of 2017 in Shanghai, China. The bac-terium was not isolated from two fish species Carassius auratus and Parabramis pekinensis. The results revealed a very low occurrence of pathogenic V. parahaemolyticus carrying the toxin genes trh (0.2%) and tdh (0.0%). However, high percentages of resistance to the antimicrobial agents ampicillin (93.0%), rifampin (82.9%), streptomycin (75.4%) and kanamycin (50.1%) were found. A high incidence of tolerance to the heavy metals Hg2+ (74.7%) and Zn2+ (56.2%) was also observed in the isolates. ERIC-PCR-based fingerprinting of MDR isolates (77.5%) revealed 428 ERIC-genotypes, demonstrating remarkable genetic variation among the isolates. The results of this study support the urgent need for food safety risk assessment of aquatic products.</t>
  </si>
  <si>
    <t>[Su, Chenli; Chen, Lanming] Shanghai Ocean Univ, Coll Food Sci &amp; Technol, China Minist Agr, Key Lab Qual &amp; Safety Risk Assessment Aquat Prod, Shanghai 201306, Peoples R China</t>
  </si>
  <si>
    <t>Shanghai Ocean University; Ministry of Agriculture &amp; Rural Affairs</t>
  </si>
  <si>
    <t>Chen, LM (corresponding author), Shanghai Ocean Univ, Coll Food Sci &amp; Technol, China Minist Agr, Key Lab Qual &amp; Safety Risk Assessment Aquat Prod, Shanghai 201306, Peoples R China.</t>
  </si>
  <si>
    <t>lmchen@shou.edu.cn</t>
  </si>
  <si>
    <t>Shanghai Municipal Science and Technology Commission [17050502200]; National Natural Science Foundation of China [31671946]</t>
  </si>
  <si>
    <t>Shanghai Municipal Science and Technology Commission(Science &amp; Technology Commission of Shanghai Municipality (STCSM)); National Natural Science Foundation of China(National Natural Science Foundation of China (NSFC))</t>
  </si>
  <si>
    <t>This work was supported by grants from the Shanghai Municipal Science and Technology Commission (No. 17050502200), and the National Natural Science Foundation of China (No. 31671946).</t>
  </si>
  <si>
    <t>10.1016/j.marpolbul.2020.111554</t>
  </si>
  <si>
    <t>http://dx.doi.org/10.1016/j.marpolbul.2020.111554</t>
  </si>
  <si>
    <t>OO8MN</t>
  </si>
  <si>
    <t>WOS:000587629000003</t>
  </si>
  <si>
    <t>Anju, A; Jeswin, J; Thomas, PC; Paulton, MP; Vijayan, KK</t>
  </si>
  <si>
    <t>Anju, A.; Jeswin, J.; Thomas, P. C.; Paulton, M. P.; Vijayan, K. K.</t>
  </si>
  <si>
    <t>Molecular cloning, characterization and expression analysis of cytoplasmic Cu/Zn-superoxid dismutase (SOD) from pearl oyster Pinctada fucata</t>
  </si>
  <si>
    <t>Cu/Zn SOD; Pinctada fucata; cDNA cloning; Phylogenetic analysis; Gene expression</t>
  </si>
  <si>
    <t>METAL-IONS; EXPOSURE; CELLS; ABALONE; COPPER; CDNA; GENE</t>
  </si>
  <si>
    <t>Because of its capacity to rapidly convert superoxide to hydrogen peroxide, superoxide dismutase (SOD) is crucial in both intracellular signalling and regulation of oxidative stress. In this paper we report the cloning of a Cu/Zn SOD (designated as pfSOD) from the pearl oyster (Pinctada fucata) using rapid amplification of cDNA ends (RACE) PCR. The full-length cDNA of this Cu/Zn SOD contains an open reading frame (ORF) of 471 bp coding for 156 amino acids. No signal peptide was identified at the N-terminal amino acid sequence of Cu/Zn SOD indicating that this pfSOD encodes a cytoplasmic Cu/Zn SOD. This is supported by the presence of conserved amino acids required for binding copper and zinc. Semi-quantitative analysis in adult tissues showed that the pfSOD mRNA was abundantly expressed in haemocytes and gill and scarcely expressed in other tissues tested. After challenge with lipopolysaccharide (LPS), expression of pfSOD mRNA in haemocytes was increased, reaching the highest level at 8 h, then dropping to basal levels at 36 h. These results suggest that Cu/Zn SOD might be used as a bioindicator of the aquatic environmental pollution and cellular stress in pearl oyster. (C) 2013 Elsevier Ltd. All rights reserved.</t>
  </si>
  <si>
    <t>[Anju, A.; Jeswin, J.; Thomas, P. C.; Paulton, M. P.; Vijayan, K. K.] Cent Marine Fisheries Res Inst, Marine Biotechnol Div, Kochi 682018, Kerala, India</t>
  </si>
  <si>
    <t>Anju, A (corresponding author), Cent Marine Fisheries Res Inst, Marine Biotechnol Div, PB 1603,Ernkulam North PO, Kochi 682018, Kerala, India.</t>
  </si>
  <si>
    <t>anju.moonjely@gmail.com</t>
  </si>
  <si>
    <t>Manjaly, jeswin/B-7870-2012</t>
  </si>
  <si>
    <t>Indian Council for Agricultural Research (ICAR); Central Marine Fisheries Research Institute (CMFRI)</t>
  </si>
  <si>
    <t>Indian Council for Agricultural Research (ICAR)(Indian Council of Agricultural Research (ICAR)); Central Marine Fisheries Research Institute (CMFRI)</t>
  </si>
  <si>
    <t>This work was financially supported by Indian Council for Agricultural Research (ICAR) and Central Marine Fisheries Research Institute (CMFRI). We greatly acknowledge Dr. Erika Bullesbach, Department of Biochemistry and Molecular Biology, Medical University of South Carolina for kindly reading the manuscript and for valuable comments.</t>
  </si>
  <si>
    <t>10.1016/j.fsi.2012.12.024</t>
  </si>
  <si>
    <t>http://dx.doi.org/10.1016/j.fsi.2012.12.024</t>
  </si>
  <si>
    <t>111LR</t>
  </si>
  <si>
    <t>WOS:000316523300024</t>
  </si>
  <si>
    <t>Howarth, RJ; Evans, G; Croudace, IW; Cundy, AB</t>
  </si>
  <si>
    <t>Sources and timing of anthropogenic pollution in the Ensenada de San Simon (inner Ria de Vigo), Galicia, NW Spain: an application of mixture-modelling and nonlinear optimization to recent sedimentation</t>
  </si>
  <si>
    <t>subaqueous sediments; Ensenada de San Simon; Ria de Vigo; NW Spain; Cr; Cu; Ni; Pb; V; Zn; anthropogenic pollution; mussel rafts; urban dusts; highway dusts; mixture-modelling; nonlinear optimization; Cs-137 dating</t>
  </si>
  <si>
    <t>HEAVY-METAL POLLUTION; MUSSEL MYTILUS-EDULIS; ESTUARINE SEDIMENTS; GEOCHEMICAL PRACTICE; DUPLICATE ANALYSIS; SOUTHERN ENGLAND; BILBAO ESTUARY; TRACE-METALS; CONTAMINATION; SEA</t>
  </si>
  <si>
    <t>The Ensenada de San Simon is the inner part of the Ria de Vigo, one of the major mesotidal rias of the Galician coast, NW Spain. The geochemistry of its bottom sediments can be accounted for in terms of both natural and anthropogenic sources. Mixture-modelling enables much of the Cr, Ni, V, Cu, Pb and Zn concentrations of the bottom and subaqueous sediments to be explained by sediment input from the river systems and faecal matter from manmade mussel rafts. The compositions and relative contributions of additional, unknown, sources of anomalous heavy-metal concentrations are quantified using constrained nonlinear optimization. The pattern of metal enrichment is attributed to: material carried in solution and suspension in marine water entering the Ensenada from the polluted industrial areas of the adjacent Ria de Vigo; wind-borne urban dusts and/or vehicular emissions from the surrounding network of roads and a motorway road-bridge over the Estrecho de Rande; industrial and agricultural pollution from the R. Redondela; and waste from a former ceramics factory near the mouth of the combined R. Oitaben and R. Verdugo. Using Cs-137 dating, it is suggested that heavy metal build-up in the sediments since the late 1970s followed development of inshore fisheries and introduction of the mussel rafts (ca. 1960) and increasing industrialisation. (c) 2004 Elsevier B.V. All rights reserved.</t>
  </si>
  <si>
    <t>UCL, Dept Earth Sci, London WC1E 6BT, England; Univ Southampton, Southampton Oceanog Ctr, Southampton SO14 3ZH, Hants, England</t>
  </si>
  <si>
    <t>University of London; University College London; University of Southampton; NERC National Oceanography Centre</t>
  </si>
  <si>
    <t>UCL, Dept Earth Sci, Gower St, London WC1E 6BT, England.</t>
  </si>
  <si>
    <t>r.howarth@ucl.ac.uk</t>
  </si>
  <si>
    <t>Croudace, Ian/N-7018-2013; Cundy, Andy/AAE-3234-2020</t>
  </si>
  <si>
    <t>Cundy, Andy/0000-0003-4368-2569; Croudace, Ian/0000-0003-1547-5650</t>
  </si>
  <si>
    <t>10.1016/j.scitotenv.2004.08.001</t>
  </si>
  <si>
    <t>http://dx.doi.org/10.1016/j.scitotenv.2004.08.001</t>
  </si>
  <si>
    <t>WOS:000228342000012</t>
  </si>
  <si>
    <t>Werner, I; Hinton, DE</t>
  </si>
  <si>
    <t>Spatial profiles of hsp70 proteins in Asian clam (Potamocorbula amurensis) in northern San Francisco Bay may be linked to natural rather than anthropogenic stressors</t>
  </si>
  <si>
    <t>stress proteins; bivalves; Potamocorbula amurensis; San Francisco Bay; salinity</t>
  </si>
  <si>
    <t>Multi-year investigations in northern San Francisco Bay by United States Geological Survey have linked reduced condition indices in populations of Asian clam (Potamocorbula amurensis) with elevated cadmium tissue concentrations. Our study seeks to determine whether levels of hsp70 proteins in P. amurensis can be correlated with these findings, and/or are related to histopathologic alterations and concentrations of metallothionein-like proteins. Here we present our results on stress proteins in clams collected monthly from four held stations between July 1996 and January 1998. In addition, animals were exposed in the laboratory to a range of salinities. Stress proteins were analyzed by Western blotting using monoclonal antibodies. Hsp70 protein levels in field-collected clams were significantly higher at the seaward (high salinity/low cadmium) stations (12.5, 8.1) than at the landward (low salinity/high cadmium) stations (6.1, 4.1). Laboratory studies showed that clams exposed to 0.1 ppt salinity had markedly lower hsp70 levels than clams exposed to higher salinities. In view of our previous laboratory studies showing that cadmium induces hsp70 in P. amurensis, our present results indicate that reduced hsp70 protein levels in field-collected clams may be linked to salinity effects rather than cadmium tissue concentrations. (C) 2000 Elsevier Science Ltd. All rights reserved.</t>
  </si>
  <si>
    <t>Werner, I (corresponding author), Univ Calif Davis, Sch Vet Med, Dept Anat Physiol &amp; Cell Biol, Davis, CA 95616 USA.</t>
  </si>
  <si>
    <t>10.1016/S0141-1136(00)00058-1</t>
  </si>
  <si>
    <t>http://dx.doi.org/10.1016/S0141-1136(00)00058-1</t>
  </si>
  <si>
    <t>WOS:000165486700062</t>
  </si>
  <si>
    <t>Levallois, A; Caplat, C; Basuyaux, O; Lebel, JM; Laisney, A; Costil, K; Serpentini, A</t>
  </si>
  <si>
    <t>Levallois, Alexandre; Caplat, Christelle; Basuyaux, Olivier; Lebel, Jean-Marc; Laisney, Antoine; Costil, Katherine; Serpentini, Antoine</t>
  </si>
  <si>
    <t>Effects of chronic exposure of metals released from the dissolution of an aluminium galvanic anode on the Pacific oyster Crassostrea gigas</t>
  </si>
  <si>
    <t>Galvanic anode; Aluminium; Oyster; Crassostrea gigas; Biological effects; Bioaccumulation</t>
  </si>
  <si>
    <t>SACRIFICIAL ANODE; BIOGENIC SILICA; BIOACCUMULATION; TOXICITY; IMPACT; ZINC; ACCUMULATION; BIOMARKERS; POLLUTION; EMBRYOS</t>
  </si>
  <si>
    <t>Among the anthropogenic sources releasing metallic species into the marine environment, the galvanic anode cathodic protection system (GACP) is widely used to protect submerged metallic structures from corrosion. Galvanic anodes are an alloy of metals of which the main component is aluminum or zinc. Very few studies were performed to study their potential biological effects. We investigated the chronic toxicity of an aluminum-based galvanic anode on the Pacific oyster, Crassostrea gigas. Oysters were exposed for 84 days to three concentrations of aluminum (50, 100 and 300 mu g L-1) obtained with an electrochemical experimental device simulating the dissolution of a galvanic anode. At different exposure times, we studied a battery of biomarkers of the immune system, reproductive parameters and the metabolic state of the oysters. Results demonstrated a sensitivity of oysters at the highest concentration and some biological effects were observed especially for the malondialdehyde content in the digestive gland after 84 days of exposure. In addition to these biomarkers, the bioaccumulation of the different metals composing the anode was measured in oysters' tissues. Bivalves bioaccumulated more zinc than aluminum, even if aluminium was present in greater concentrations during exposures. Moreover, exposure time did not influence the bioaccumulation of aluminum in contrast to zinc.</t>
  </si>
  <si>
    <t>[Levallois, Alexandre; Caplat, Christelle; Lebel, Jean-Marc; Costil, Katherine; Serpentini, Antoine] UPMC Univ Paris 06, UA,CNRS 8067,IRD 207, MNHN,Univ Caen Normandie UNICAEN, Sorbonne Univ,Biol Organismes &amp; Ecosyst Aquat BOR, F-14032 Caen, France; [Basuyaux, Olivier; Laisney, Antoine] Synergie Mer &amp; Littoral SMEL, F-50560 Blainville Sur Mer, France</t>
  </si>
  <si>
    <t>Museum National d'Histoire Naturelle (MNHN); Universite de Caen Normandie; Institut de Recherche pour le Developpement (IRD); Sorbonne Universite</t>
  </si>
  <si>
    <t>Serpentini, A (corresponding author), UPMC Univ Paris 06, UA,CNRS 8067,IRD 207, MNHN,Univ Caen Normandie UNICAEN, Sorbonne Univ,Biol Organismes &amp; Ecosyst Aquat BOR, F-14032 Caen, France.</t>
  </si>
  <si>
    <t>Levallois, Alexandre/0009-0000-4619-550X</t>
  </si>
  <si>
    <t>Normandy region; Seine Normandy water agency (AESN)</t>
  </si>
  <si>
    <t>The authors thank Marilyne Guillamin for technical assistance with cytometry analyses, Nadege Villain-Naud for technical assistance with histological sections, Benoit Bernay from Proteogen platform, Victor Simon for his help during dissections as well as the company Thalassa for the oysters. We also thank the Normandy region and the Seine Normandy water agency (AESN) for their funding.</t>
  </si>
  <si>
    <t>10.1016/j.aquatox.2022.106223</t>
  </si>
  <si>
    <t>http://dx.doi.org/10.1016/j.aquatox.2022.106223</t>
  </si>
  <si>
    <t>2M7MA</t>
  </si>
  <si>
    <t>WOS:000817878100002</t>
  </si>
  <si>
    <t>Dempsey, T; Ross, PM; Hartland, A; McSweeney, C; Battershill, CN</t>
  </si>
  <si>
    <t>Dempsey, T.; Ross, P. M.; Hartland, A.; McSweeney, C.; Battershill, C. N.</t>
  </si>
  <si>
    <t>Measurement of shipwreck-derived waterborne trace metals using DGT samplers</t>
  </si>
  <si>
    <t>NEW ZEALAND JOURNAL OF MARINE AND FRESHWATER RESEARCH</t>
  </si>
  <si>
    <t>Astrolabe Reef; Bay of Plenty; DGT; metals; MV Rena; New Zealand; passive sampler; pollution; shipwreck; water quality</t>
  </si>
  <si>
    <t>THIN-FILMS DGT; DIFFUSIVE GRADIENTS; TRANSPLANTED MUSSELS; COASTAL; CONTAMINATION; SEDIMENTS; POLLUTION; RECRUITMENT; SPECIATION; IMPACT</t>
  </si>
  <si>
    <t>A contemporary approach to the assessment of metal pollutants in aquatic environments has been to measure contaminant concentrations in biological indicator species (mussels, oysters). However, for environments in which such indicator species do not occur naturally and cannot be deployed, alternative approaches for monitoring trace-metal pollution are required. Three years after the 2011 grounding of the MV Rena, diffusive gradients in thin films (DGT) samplers were deployed at Otaiti (the offshore reef where the Rena grounded) to assess levels of waterborne trace-metal contamination. Although the probability of detecting waterborne contaminants within a dynamic open ocean reef environment would seem low, due to mixing and dilution, our analyses confirmed the presence of copper (&lt;= 0.43 vs &lt;= 0.27 nmol kg(-1)), iron (&lt;= 6.3 vs &lt;= 4.2 nmol kg(-1)), aluminium (&lt;= 8.9 vs &lt;= 1.3 nmol kg(-1)), zinc (&lt;= 2.8 vs &lt;= 2.0 nmol kg(-1)) and manganese (&lt;= 0.11 vs &lt;= 0.09 nmol kg(-1)) at elevated concentrations in the Rena debris field relative to reference sites. The results demonstrate the utility of DGTs as a tool for measuring waterborne contaminants and suggest further research is required to characterise the contaminant plume and determine what effect it might have on the recovery of Otaiti's impacted biological communities.</t>
  </si>
  <si>
    <t>[Dempsey, T.; Ross, P. M.; Hartland, A.; McSweeney, C.; Battershill, C. N.] Univ Waikato, Fac Sci &amp; Engn, Sch Sci, Environm Res Inst, Hamilton, New Zealand; [Dempsey, T.; Ross, P. M.; McSweeney, C.; Battershill, C. N.] Univ Waikato, Environm Res Inst, Coastal Marine Field Stn, Tauranga, New Zealand</t>
  </si>
  <si>
    <t>University of Waikato; University of Waikato</t>
  </si>
  <si>
    <t>Ross, PM (corresponding author), Univ Waikato, Fac Sci &amp; Engn, Sch Sci, Environm Res Inst, Hamilton, New Zealand.;Ross, PM (corresponding author), Univ Waikato, Environm Res Inst, Coastal Marine Field Stn, Tauranga, New Zealand.</t>
  </si>
  <si>
    <t>rossp@waikato.ac.nz</t>
  </si>
  <si>
    <t>Battershill, Christopher/G-2663-2013; Hartland, Adam/E-4271-2013</t>
  </si>
  <si>
    <t>Battershill, Christopher/0000-0002-5586-0417; Hartland, Adam/0000-0002-1864-5144</t>
  </si>
  <si>
    <t>Ministry for the Environment (Rena Long-Term Environmental Recovery Plan); Te Putea Whakatupu Trust; Ngati Maniapoto Maori Trust Board</t>
  </si>
  <si>
    <t>This research was partially funded by the Ministry for the Environment (Rena Long-Term Environmental Recovery Plan) and T Dempsey was supported by Te Putea Whakatupu Trust and Ngati Maniapoto Maori Trust Board scholarships.</t>
  </si>
  <si>
    <t>0028-8330</t>
  </si>
  <si>
    <t>1175-8805</t>
  </si>
  <si>
    <t>NEW ZEAL J MAR FRESH</t>
  </si>
  <si>
    <t>N. Z. J. Mar. Freshw. Res.</t>
  </si>
  <si>
    <t>10.1080/00288330.2015.1127829</t>
  </si>
  <si>
    <t>http://dx.doi.org/10.1080/00288330.2015.1127829</t>
  </si>
  <si>
    <t>DL3TV</t>
  </si>
  <si>
    <t>WOS:000375557200008</t>
  </si>
  <si>
    <t>Reyes-Márquez, A; Sedeño-Díaz, JE; Aguíñiga-Garcia, S; Austria-Ortíz, GM; López-López, E</t>
  </si>
  <si>
    <t>Reyes-Marquez, Alejandra; Sedeno-Diaz, Jacinto Elias; Aguiniga-Garcia, Sergio; Austria-Ortiz, Guadalupe M.; Lopez-Lopez, Eugenia</t>
  </si>
  <si>
    <t>Health risk assessment by consumption of commercial biota contaminated with heavy metals in Tampamachoco coastal lagoon, Gulf of Mexico</t>
  </si>
  <si>
    <t>Exposure assessment; Health risk index; Human health hazard; Vulnerable local consumers; Hazard quotient</t>
  </si>
  <si>
    <t>FISH; TISSUES; BAY</t>
  </si>
  <si>
    <t>Metal pollution is a significant environmental and health problem in aquatic ecosystems worldwide, particularly in coastal systems impacted by emissions from thermoelectric plants, as is the case of the Tampamachoco lagoon. To evaluate the seasonal contamination levels of Cd, Pb, Cr, and Cu in species of commercial interest in the Tampamachoco lagoon and estimate the health risk associated with their consumption, a total of 180 fish, 90 oysters (Crassostrea virginica), 27 crabs (Callinectes sapidus), and 24 shrimp (Litopenaeus setiferus) were sampled. Metal concentrations in the species analyzed were Cu &gt; Pb &gt; Cr &gt; Cd. According to the Target Hazard Quotient and the health risk index, consumption of the marine species examined should be considered safe for human health, as both values are &lt;1. However, Carcinogenic risk values for Pb and Cr indicated that consumers may be at risk of cancer (10(-3)), due to exposure from the thermoelectric emissions.</t>
  </si>
  <si>
    <t>[Reyes-Marquez, Alejandra; Austria-Ortiz, Guadalupe M.; Lopez-Lopez, Eugenia] Inst Politecn Nacl, Escuela Nacl Ciencias Biol, Prol Carpio &amp; Plan Ayala,S-N Santo Tomas, Mexico City 11340, DF, Mexico; [Sedeno-Diaz, Jacinto Elias] Inst Politecn Nacl, Coordinac Politecn Sustentabil, Mexico City 07738, Mexico; [Aguiniga-Garcia, Sergio] Inst Politecn Nacl, Ctr Interdisciplinario Ciencias Marinas, Ave Politecn Nacl s-n Col Playa Palo de Santa Rita, La Paz 23096, BCS, Mexico</t>
  </si>
  <si>
    <t>López-López, E (corresponding author), Inst Politecn Nacl, Escuela Nacl Ciencias Biol, Prol Carpio &amp; Plan Ayala,S-N Santo Tomas, Mexico City 11340, DF, Mexico.</t>
  </si>
  <si>
    <t>Sedeno-Diaz, Jacinto Elias/A-1257-2008</t>
  </si>
  <si>
    <t>Sedeno-Diaz, Jacinto Elias/0000-0003-0008-2969</t>
  </si>
  <si>
    <t>Instituto Politecnico Nacional (IPN) [SIP20240743]; Instituto Politecnico Nacional (IPN); National Council of Science and Technology (CONACyT)</t>
  </si>
  <si>
    <t>Instituto Politecnico Nacional (IPN); Instituto Politecnico Nacional (IPN); National Council of Science and Technology (CONACyT)(Consejo Nacional de Ciencia y Tecnologia (CONACyT))</t>
  </si>
  <si>
    <t>This work was supported by funds from the Instituto Politecnico Nacional (IPN), the SIP20240743. We acknowledge the Instituto Politecnico Nacional (IPN) for supporting BEIFI scholarships for Alejandra Reyes Marquez, postgraduate student of the ENCB-IPN. We also recognize the National Council of Science and Technology (CONACyT) for postgraduate scholarships.</t>
  </si>
  <si>
    <t>10.1016/j.marpolbul.2024.116757</t>
  </si>
  <si>
    <t>http://dx.doi.org/10.1016/j.marpolbul.2024.116757</t>
  </si>
  <si>
    <t>A3U2Z</t>
  </si>
  <si>
    <t>WOS:001281810300001</t>
  </si>
  <si>
    <t>Cajaraville, MP; Ortiz-Zarragoitia, M</t>
  </si>
  <si>
    <t>Cajaraville, Miren P.; Ortiz-Zarragoitia, Maren</t>
  </si>
  <si>
    <t>Specificity of the peroxisome proliferation response in mussels exposed to environmental pollutants</t>
  </si>
  <si>
    <t>peroxisome proliferation; mussels; biomarkers; aquatic pollution</t>
  </si>
  <si>
    <t>RETINOID-X-RECEPTOR; MYTILUS-GALLOPROVINCIALIS; ACTIVATED RECEPTORS; DIGESTIVE GLAND; AROMATIC-HYDROCARBONS; ANTIOXIDANT ENZYMES; ESTUARIES BAY; LIVER; CELL; EXPRESSION</t>
  </si>
  <si>
    <t>Peroxisome proliferation has been proposed as novel biomarker of exposure to organic pollutants in aquatic organisms. Peroxisome proliferator compounds comprise a heterogeneous group of substances known for their ability to cause massive proliferation of peroxisomes and liver carcinogenesis in sensitive species such as rodents. Recently, several marine organisms (mussels and fish) have been shown as target species of peroxisome proliferators. In the present work, we aimed to investigate the specificity of the peroxisome proliferation response in mussels. For this purpose, mussels (Mytilus edulis) were exposed for three weeks to North Sea crude oil (NSO), a mixture of NSO, alkylphenols and extra PAHs (MIX), diallylphthalate (DAP), bisphenol-A (BPA) and tetrabromodiphenyl ether (TBDE), or transplanted for three weeks to four stations showing different copper concentrations in a copper mine. Peroxisome proliferation was assessed by measuring the activity of the peroxisomal P-oxidation enzyme acyl-CoA oxidase (AOX) and the volume density occupied by peroxisomes (V-vp) in the digestive gland. Mussels exposed to NSO and MIX showed significantly increased AOX activities and V-vp compared to control animals. Significantly higher Vvp was also found in DAP and TBDE exposed mussels. V-vp did not vary in mussels transplanted into a copper concentration gradient. Our results confirm the usefulness and specificity of peroxisome proliferation as a suitable biomarker of exposure to organic contaminants such as oil derived hydrocarbons, phthalate plasticizers and polybrominated flame retardants in mussels. (c) 2006 Elsevier B.V All rights reserved.</t>
  </si>
  <si>
    <t>Univ Basque Country, EHU, Biol Zelularra &amp; Histol Lab, Zool &amp; Biol Zelularra Saila,Zientzia &amp; Teknol Fak, E-48080 Bilbao, Spain</t>
  </si>
  <si>
    <t>Cajaraville, MP (corresponding author), Univ Basque Country, EHU, Biol Zelularra &amp; Histol Lab, Zool &amp; Biol Zelularra Saila,Zientzia &amp; Teknol Fak, 644 PK, E-48080 Bilbao, Spain.</t>
  </si>
  <si>
    <t>Cajaraville, Miren P/0000-0001-6527-6137; Ortiz-Zarragoitia, Maren/0000-0002-2664-1303</t>
  </si>
  <si>
    <t>S117</t>
  </si>
  <si>
    <t>S123</t>
  </si>
  <si>
    <t>10.1016/j.aquatox.2006.02.016</t>
  </si>
  <si>
    <t>http://dx.doi.org/10.1016/j.aquatox.2006.02.016</t>
  </si>
  <si>
    <t>WOS:000238130600017</t>
  </si>
  <si>
    <t>Chan, CY; Wang, WX</t>
  </si>
  <si>
    <t>Chan, Cheuk Yan; Wang, Wen-Xiong</t>
  </si>
  <si>
    <t>Biomarker responses in oysters Crassostrea hongkongensis in relation to metal contamination patterns in the Pearl River Estuary, southern China</t>
  </si>
  <si>
    <t>Pearl river estuary; Oysters; Metal pollution; Biomarker responses</t>
  </si>
  <si>
    <t>HEAVY-METALS; OXIDATIVE STRESS; METALLOTHIONEIN INDUCTION; ENVIRONMENTAL STRESSORS; GLUTATHIONE METABOLISM; LYSOSOMAL REACTIONS; SURFACE SEDIMENTS; CADMIUM; MUSSELS; COPPER</t>
  </si>
  <si>
    <t>The Pearl River Estuary (PRE) is the third largest estuary in China, where estuarine organisms are under metal stress at various biological levels. Based on the metal concentrations measured in oyster Crassostrea hongkongensis, we documented a change in dominance of metal contamination from Cd, Cr, Cu, Ni and Zn to Ag, Cd, Cu and Zn. In general, metal concentrations were higher in upstream stations and displayed a clear up-downstream gradient. Compared to the historical values, we noted the reductions in Cd, Cr and Ni concentrations, and the changing inputs due to evolving industrial activities were responsible for shaping the metal contamination profile in the PRE region. Along with metal concentrations, a suite of biomarkers was analyzed. Among the metals measured in the oyster tissues, Ag, Cd, Cu, Ni and Zn showed the strongest associations with pro-oxidant and oxidative stress responses (superoxide dismutase, lipid peroxidation and lysosomal membrane destabilization) and detoxification responses (glutathione and metallothionein), suggesting that the present metal contamination still exerts significant amount of stress in biota in the PRE. Metal contamination in estuaries in China is still severe compared to other countries, therefore continuous efforts should be taken to monitor the changing metal profiles with necessary control and remediation measures. (C) 2019 Elsevier Ltd. All rights reserved.</t>
  </si>
  <si>
    <t>[Chan, Cheuk Yan; Wang, Wen-Xiong] HKUST Shenzhen Res Inst, Shenzhen 518057, Peoples R China; [Chan, Cheuk Yan; Wang, Wen-Xiong] HKUST, Dept Ocean Sci, State Key Lab Marine Pollut, Kowloon, Clear Water Bay, Hong Kong, Peoples R China</t>
  </si>
  <si>
    <t>Shenzhen Research Institute, The Hong Kong University of Science &amp; Technology; Hong Kong University of Science &amp; Technology; Hong Kong University of Science &amp; Technology</t>
  </si>
  <si>
    <t>Wang, WX (corresponding author), HKUST Shenzhen Res Inst, Shenzhen 518057, Peoples R China.</t>
  </si>
  <si>
    <t>Wang, Wenxiong/0000-0001-9033-0158; Chan, Cheuk Yan/0000-0001-8888-0441</t>
  </si>
  <si>
    <t>State Key Laboratory in Marine Pollution; Natural Science Foundation of China [21777134]</t>
  </si>
  <si>
    <t>State Key Laboratory in Marine Pollution; Natural Science Foundation of China(National Natural Science Foundation of China (NSFC))</t>
  </si>
  <si>
    <t>We thank the anonymous reviewers for their detailed comments on this work. This study was supported by a seed grant from the State Key Laboratory in Marine Pollution and a grant from the Natural Science Foundation of China (21777134).</t>
  </si>
  <si>
    <t>10.1016/j.envpol.2019.04.140</t>
  </si>
  <si>
    <t>http://dx.doi.org/10.1016/j.envpol.2019.04.140</t>
  </si>
  <si>
    <t>WOS:000474329700030</t>
  </si>
  <si>
    <t>Paul-Pont, I; Gonzalez, P; Baudrimont, M; Jude, F; Raymond, N; Bourrasseau, L; Le Goïc, N; Haynes, F; Legeay, A; Paillard, C; de Montaudouin, X</t>
  </si>
  <si>
    <t>Paul-Pont, Ika; Gonzalez, Patrice; Baudrimont, Magalie; Jude, Florence; Raymond, Natalie; Bourrasseau, Line; Le Goic, Nelly; Haynes, Frances; Legeay, Alexia; Paillard, Christine; de Montaudouin, Xavier</t>
  </si>
  <si>
    <t>Interactive effects of metal contamination and pathogenic organisms on the marine bivalve Cerastoderma edule</t>
  </si>
  <si>
    <t>Cerastoderma edule; Metal; Parasite; Bacteria; Metallothionein; Immune response</t>
  </si>
  <si>
    <t>BROWN RING DISEASE; RUDITAPES-PHILIPPINARUM; VIBRIO-TAPETIS; CRASSOSTREA-GIGAS; PERKINSUS-OLSENI; CADMIUM EXPOSURE; VARYING PARASITE; GENE-EXPRESSION; MANILA CLAMS; METALLOTHIONEIN</t>
  </si>
  <si>
    <t>The present study evaluated the interactive effects of cadmium contamination and pathogenic organisms (trematodes Himasthla elongata and bacteria Vibrio tapetis) singularly and in combination during 7 days on the bivalve Cerastoderma edule. Some defense-related activities were analyzed such as genetic expression, metallothionein and immune responses. Trematode metacercarial infection, similar whatever the treatment, induced the strongest responses of immune parameters. Particularly, the interaction between cadmium and parasite exposures induced unusual responses on gene expression and immune responses. No effect of bacterial challenge appeared on bivalve responses, nevertheless a strong mortality of V. tapetis infected cockles occured between 7 and 14 days. Cadmium bioaccumulation was significantly modulated by both pathogenic organisms. Furthermore, an antagonistic effect of trematodes and bacteria was shown on metal bioaccumulation of co-infected cockles. These results highlighted the importance of considering the multiplicity of perturbation sources in coastal ecosystems to assess the health status of organisms. (C) 2009 Elsevier Ltd. All rights reserved.</t>
  </si>
  <si>
    <t>[Paul-Pont, Ika; Gonzalez, Patrice; Baudrimont, Magalie; Jude, Florence; Raymond, Natalie; Bourrasseau, Line; Haynes, Frances; Legeay, Alexia; de Montaudouin, Xavier] Univ Bordeaux 1, Stn Marine Arcachon, CNRS, UMR 5805, F-33120 Arcachon, France; [Le Goic, Nelly; Paillard, Christine] Univ Bretagne Occidentale, IUEM, LEMAR, CNRS,UMR 6539, F-29280 Plouzane, France</t>
  </si>
  <si>
    <t>Centre National de la Recherche Scientifique (CNRS); CNRS - National Institute for Earth Sciences &amp; Astronomy (INSU); Universite de Bordeaux; Centre National de la Recherche Scientifique (CNRS); Ifremer; Institut de Recherche pour le Developpement (IRD); CNRS - Institute of Ecology &amp; Environment (INEE); Universite de Bretagne Occidentale; Institut Universitaire Europeen de la Mer (IUEM)</t>
  </si>
  <si>
    <t>Paul-Pont, I (corresponding author), Univ Bordeaux 1, Stn Marine Arcachon, CNRS, UMR 5805, Pl Dr Peyneau, F-33120 Arcachon, France.</t>
  </si>
  <si>
    <t>Paul-Pont, Ika/0000-0003-3734-0909; Paillard, Christine/0000-0002-3812-0724; Gonzalez, Patrice/0000-0003-2628-2993; Baudrimont, Magalie/0000-0001-9901-8435; Legeay, Alexia/0000-0002-1052-142X</t>
  </si>
  <si>
    <t>This work was carried out with the financial support of the Region Aquitaine and the French National Research Agency (ANR) with the funds of the Multistress project. The authors are grateful to sailor Francis Prince, to Pascal Lebleu, Henri Bouillard and the Breton team including Philippe Soudant and Fabienne Le Grand, for their valuable help on the field, for their assistance in the laboratory and for all technical support before and during the experiment.</t>
  </si>
  <si>
    <t>10.1016/j.marpolbul.2009.11.013</t>
  </si>
  <si>
    <t>http://dx.doi.org/10.1016/j.marpolbul.2009.11.013</t>
  </si>
  <si>
    <t>597LB</t>
  </si>
  <si>
    <t>WOS:000277757600015</t>
  </si>
  <si>
    <t>Essawy, AE; El Sherif, SS; Osman, GY; El Morshedy, RM; Al-Nasser, AS; Sheir, SK</t>
  </si>
  <si>
    <t>Essawy, Amina E.; El Sherif, Soheir S.; Osman, Gamalat Y.; El Morshedy, Rehab M.; Al-Nasser, Abir S.; Sheir, Sherin K.</t>
  </si>
  <si>
    <t>Immune responses, DNA damage and ultrastructural alterations of gills in the marine mussel Lithophaga lithophaga exposed to CuO nanoparticles</t>
  </si>
  <si>
    <t>Immune responses; Genotoxicity; Scanning electron microscopy; Histology</t>
  </si>
  <si>
    <t>COPPER-OXIDE NANOPARTICLES; OXIDATIVE STRESS; MYTILUS-EDULIS; SILVER NANOPARTICLES; BIVALVE MOLLUSKS; CARCINUS-MAENAS; TOXICITY; NANOMATERIALS; BIOACCUMULATION; ACCUMULATION</t>
  </si>
  <si>
    <t>Nanoparticle (NP) pollution is a worldwide problem. Copper oxide nanoparticles (CuO NPs) are one of the most used NPs in a variety of applications, which results in their increased release into the marine environment. In the present work, the marine mussel Lithophaga lithophaga was used as a model organism to evaluate the toxic effects of CuO NPs following 28 days of exposure to sub-lethal concentrations (5 and 20 mu g/L). The time points were 1 day of exposure to assess the cell viability, phagocytosis in mussel haemocytes and genotoxicity (DNA damage in gills), 1, 14 and 28 days of exposure to evaluate copper concentrations in water and gills, as well as metallothionein concentration in gills, while gill histology and SEM examination were done after 28 days of exposure. The results indicated that the accumulation of CuO NPs in gills increased with concentration and time. Mussel exposure to CuO NPs increased neutral red uptake. However, the phagocytic abilities decreased in haemocytes with increased concentration. CuO NPs caused DNA damage in the gills even at low concentrations (5 mu g/L). CuO NPs caused histopathological alterations in gills, such as brown cell accumulation, necrosis, dwarfism of filaments and ciliary erosion. In conclusion, exposure of the mussel L. lithophaga to CuO NPs led to concentration- and time-dependent responses for all the examined biomarkers. Thus, L. lithophaga may be used as a bioindicator organism in the assessment of CuO NP toxicity.</t>
  </si>
  <si>
    <t>[Essawy, Amina E.; El Sherif, Soheir S.; El Morshedy, Rehab M.] Univ Alexandria, Zool Dept, Alexandria, Egypt; [Osman, Gamalat Y.; Sheir, Sherin K.] Univ Menoufia, Zool Dept, Invertebrates Div, Shibin Al Kawm, Egypt; [Al-Nasser, Abir S.] Univ Jeddah, Fac Sci, Dept Biol, Jeddah, Saudi Arabia</t>
  </si>
  <si>
    <t>Egyptian Knowledge Bank (EKB); Alexandria University; Egyptian Knowledge Bank (EKB); Menofia University; University of Jeddah</t>
  </si>
  <si>
    <t>Sheir, SK (corresponding author), Univ Menoufia, Zool Dept, Invertebrates Div, Shibin Al Kawm, Egypt.</t>
  </si>
  <si>
    <t>sheir, sherin/O-9280-2018</t>
  </si>
  <si>
    <t>10.1007/s11356-021-16889-6</t>
  </si>
  <si>
    <t>http://dx.doi.org/10.1007/s11356-021-16889-6</t>
  </si>
  <si>
    <t>WOS:000705150900001</t>
  </si>
  <si>
    <t>Taniguchi, CN; Dobbs, J; Dunn, MA</t>
  </si>
  <si>
    <t>Taniguchi, Chad N.; Dobbs, Joannie; Dunn, Michael A.</t>
  </si>
  <si>
    <t>Heme iron, non-heme iron, and mineral content of blood clams (Anadara spp.) compared to Manila clams (V. philippinarum), Pacific oysters (C. gigas), and beef liver (B. taurus)</t>
  </si>
  <si>
    <t>Heme iron; Iron; Blood clams; Anadara granosa; Anadara broughtonii; Manila clams; Venerupis philippinarum; Pacific oysters; Crassostrea gigas; Mineral content; Cadmium</t>
  </si>
  <si>
    <t>HEMOGLOBIN; POLLUTION; MUSSELS; MEATS</t>
  </si>
  <si>
    <t>Dietary iron exists as heme and non-heme iron. Heme iron is more bioavailable making it more useful in meeting the RDA. Conversely, heme iron may be a risk factor for colorectal cancer. Therefore, it is important to know the heme iron content of foods. Clams have been purported to be excellent sources of both heme and non-heme iron. However, there are limited data on iron composition among bivalves. Our objective was to measure mineral composition in commonly consumed bivalves and highlight differences in heme iron content. Manila clams, Pacific oysters, frozen blood clams (A. granosa), canned blood clams, and canned akagai (A. broughtonii) were assayed. Beef liver was included as a reference food rich in heme iron. Heme iron content, expressed as mg/100 g edible portion (EP), ranged from 0.5 +/- 0.1 in Manila clams and 0.85 +/- 0.03 in Pacific oysters, to 5.8 +/- 03 in frozen blood clams. Beef liver contained 3.6 +/- 0.2 mg/100 g EP. Non-heme iron ranged from 4.5 +/- 0.4 in Manila clams to 9.8 +/- 0.6 mg/100 g EP in canned blood clams. Most products contained nutritionally high levels (&gt;10% DV) of Cu, Mn, Se, and Zn. Pacific oysters and canned blood clams contained potentially toxic levels of Cd if eaten regularly. We conclude that a broader analysis of bivalve products is needed to strengthen food composition databases for heme iron and potentially toxic minerals, and that blood clams would be a more reliable source of bioavailable iron than other bivalves. (C) 2016 Elsevier Inc. All rights reserved.</t>
  </si>
  <si>
    <t>[Taniguchi, Chad N.; Dobbs, Joannie; Dunn, Michael A.] Univ Hawaii, Dept Human Nutr Food &amp; Anim Sci, 1955 East West Rd, Honolulu, HI 96822 USA</t>
  </si>
  <si>
    <t>University of Hawaii System</t>
  </si>
  <si>
    <t>Dunn, MA (corresponding author), Univ Hawaii, Dept Human Nutr Food &amp; Anim Sci, 1955 East West Rd, Honolulu, HI 96822 USA.</t>
  </si>
  <si>
    <t>mdunn@hawaii.edu</t>
  </si>
  <si>
    <t>USDA-NIFA [HAW02035-H]</t>
  </si>
  <si>
    <t>USDA-NIFA(United States Department of Agriculture (USDA))</t>
  </si>
  <si>
    <t>USDA-NIFA Hatch project HAW02035-H, managed by the College of Tropical Agriculture and Human Resources, University of Hawaii.</t>
  </si>
  <si>
    <t>10.1016/j.jfca.2016.12.018</t>
  </si>
  <si>
    <t>http://dx.doi.org/10.1016/j.jfca.2016.12.018</t>
  </si>
  <si>
    <t>EJ9EM</t>
  </si>
  <si>
    <t>WOS:000393529400007</t>
  </si>
  <si>
    <t>Lares, ML; Rivero, LE; Huerta-Diaz, MA</t>
  </si>
  <si>
    <t>Cd concentration in the soft tissue vs. the nacreous layer of Mytilus californianus</t>
  </si>
  <si>
    <t>bioaccumulation; indicator species; metals; cadmium; Mytilus californianus; shell nacreous layer</t>
  </si>
  <si>
    <t>HEAVY-METALS; TRACE-METALS; MUSSEL SHELLS; SEA-WATER; CADMIUM; EDULIS; ACCUMULATION; FOOD; GALLOPROVINCIALIS; BIOACCUMULATION</t>
  </si>
  <si>
    <t>The soft tissue of Mytilus californianus has the capacity to decrease its Cd concentration in the order of' clays. However, for medium-term (months) Pollution surveys it is necessary to find alternative structures capable of integrating Cd concentrations during longer periods of time. The recently deposited nacreous layer of the shell of M. californianus is proposed as Such a structure. Daily variability of Cd concentration in the Soft tissue and in the recently deposited nacreous layer of a natural population Of mussels was compared during a period of 26 days in organisms collected from an upwelling zone of British Columbia. Statistical analysis of the Cd concentrations indicated that the nacreous layer presented less significant differences between days than the associated soft tissue. Only one shell sample showed significant differences in Cd concentrations, probably related to environmental conditions and stress arising from Mussel population density. Experimental results carried out in the laboratory confirmed that the recently deposited nacreous layer of M. californianus is a better medium-term indicator of Cd in seawater, especially at low concentration exposures of this element, those similar to the ones encountered in natural environments. (c) 2005 Elsevier Ltd. All rights reserved.</t>
  </si>
  <si>
    <t>Ctr Invest Cient &amp; Educ Super Ensenada, Dept Oceanog Biol, Ensenada 22800, Baja California, Mexico; Univ Autonoma Baja California, Inst Invest Oceanol, Ensenada 22800, Baja California, Mexico</t>
  </si>
  <si>
    <t>CICESE, Depto Oc Biol, POB 434844, San Diego, CA 92143 USA.</t>
  </si>
  <si>
    <t>Huerta-Diaz, Miguel/AAT-4625-2020; Lares, Maria/B-7814-2016</t>
  </si>
  <si>
    <t>10.1016/j.marpolbul.2005.05.009</t>
  </si>
  <si>
    <t>http://dx.doi.org/10.1016/j.marpolbul.2005.05.009</t>
  </si>
  <si>
    <t>WOS:000234098200033</t>
  </si>
  <si>
    <t>Beiras, R; Fernández, N; González, JJ; Besada, V; Schultze, F</t>
  </si>
  <si>
    <t>Mercury concentrations in seawater, sediments and wild mussels from the coast of Galicia (NW Spain)</t>
  </si>
  <si>
    <t>Univ Vigo, Fac Ciencias, Dept Ecol &amp; Biol Anim, E-36200 Galicia, Spain; IEO, E-36200 Galicia, Spain</t>
  </si>
  <si>
    <t>Univ Vigo, Fac Ciencias, Dept Ecol &amp; Biol Anim, E-36200 Galicia, Spain.</t>
  </si>
  <si>
    <t>Beiras, Ricardo/M-1680-2019; gonzalez, john/D-3203-2017; Fernández, Nuria/O-3345-2014; Besada, Victoria/H-4532-2015</t>
  </si>
  <si>
    <t>Fernandez, Nuria/0000-0002-3102-9696; Beiras, Ricardo/0000-0002-1010-2647; Besada, Victoria/0000-0003-2039-6498</t>
  </si>
  <si>
    <t>PII S0025-326X(01)00291-0</t>
  </si>
  <si>
    <t>10.1016/S0025-326X(01)00291-0</t>
  </si>
  <si>
    <t>http://dx.doi.org/10.1016/S0025-326X(01)00291-0</t>
  </si>
  <si>
    <t>WOS:000176743200022</t>
  </si>
  <si>
    <t>Neuberger-Cywiak, L; Achituv, Y; Garcia, EM</t>
  </si>
  <si>
    <t>Neuberger-Cywiak, Lya; Achituv, Y.; Garcia, E. M.</t>
  </si>
  <si>
    <t>Effects of sublethal Zn++ and Cd++ concentrations on filtration rate, absorption efficiency and scope for growth in Donax trunculus (Bivalvia; Donacidae)</t>
  </si>
  <si>
    <t>Donax trunculus; molluscs; bivalves; filtration rate; heavy metals; biomarkers; scope for growth</t>
  </si>
  <si>
    <t>MYTILUS-EDULIS; DREISSENA-POLYMORPHA; MUSSEL; GILL; POLLUTION; CADMIUM; METALS; COPPER</t>
  </si>
  <si>
    <t>Physiological parameters (filtration rate measured as clearance rate; absorption efficiency measured as Conover index) and energy balance [scope for growth (SFG)] where determined under Zn++ (essential metal) and Cd++ (nonessential metal) at different concentration levels and timing. The toxic effect observed on Donax trunculus was higher for Cd++ than for Zn++ in almost all the parameters studied. The SFG is proposed as an integrated environmental biomarker to be used like a tool with others from different organization levels to obtain a more comprehensive vision of the ecological consequences of pollutants.</t>
  </si>
  <si>
    <t>[Neuberger-Cywiak, Lya] Univ Maritima Caribe, Direcc Invest &amp; Postgrado, Caracas, Venezuela; [Neuberger-Cywiak, Lya; Garcia, E. M.] Univ Simon Bolivar, Dept Biol Organ, Caracas 1080, Venezuela; [Achituv, Y.] Bar Ilan Univ, Fac Life Sci, IL-52900 Ramat Gan, Israel</t>
  </si>
  <si>
    <t>Simon Bolivar University; Bar Ilan University</t>
  </si>
  <si>
    <t>Neuberger-Cywiak, L (corresponding author), Univ Maritima Caribe, Direcc Invest &amp; Postgrado, 3ra Av Con 10ma Transversal, Caracas, Venezuela.</t>
  </si>
  <si>
    <t>lyaneuberger@gmail.com</t>
  </si>
  <si>
    <t>10.1007/s00128-007-9306-4</t>
  </si>
  <si>
    <t>http://dx.doi.org/10.1007/s00128-007-9306-4</t>
  </si>
  <si>
    <t>241FA</t>
  </si>
  <si>
    <t>WOS:000251641100009</t>
  </si>
  <si>
    <t>Kawaguchi, T; Porter, D; Bushek, D; Jones, B</t>
  </si>
  <si>
    <t>Mercury in the American oyster Crassostrea virginica in South Carolina, USA, and public health concerns</t>
  </si>
  <si>
    <t>METHYLMERCURY; MINAMATA; MARINE; EXPOSURE; RATES; FISH; RISK</t>
  </si>
  <si>
    <t>Univ S Carolina, Sch Publ Hlth, Dept Environm Hlth Sci, Columbia, SC 29208 USA; Univ S Carolina, Belle W Baruch Inst Marine Biol &amp; Coastal Res, Geog Informat Proc Lab, Columbia, SC 29208 USA; Univ S Carolina, Baruch Marine Field Lab, Georgetown, SC 29442 USA</t>
  </si>
  <si>
    <t>University of South Carolina System; University of South Carolina Columbia; University of South Carolina System; University of South Carolina Columbia; Clemson University; University of South Carolina System; University of South Carolina Columbia</t>
  </si>
  <si>
    <t>Univ S Carolina, Sch Publ Hlth, Dept Environm Hlth Sci, Columbia, SC 29208 USA.</t>
  </si>
  <si>
    <t>10.1016/S0025-326X(99)00022-3</t>
  </si>
  <si>
    <t>http://dx.doi.org/10.1016/S0025-326X(99)00022-3</t>
  </si>
  <si>
    <t>205XX</t>
  </si>
  <si>
    <t>WOS:000080847100022</t>
  </si>
  <si>
    <t>Shahzad, K; Khan, MN; Jabeen, F; Kosour, N; Chaudhry, AS; Sohail, M</t>
  </si>
  <si>
    <t>Shahzad, Khurram; Khan, Muhammad Naeem; Jabeen, Farhat; Kosour, Nasreen; Chaudhry, Abdul Shakoor; Sohail, Muhammad</t>
  </si>
  <si>
    <t>RETRACTED: Evaluating toxicity of copper(II) oxide nanoparticles (CuO-NPs) through waterborne exposure to tilapia (Oreochromis mossambicus) by tissue accumulation, oxidative stress, histopathology, and genotoxicity (Retracted Article)</t>
  </si>
  <si>
    <t>Article; Retracted Publication</t>
  </si>
  <si>
    <t>Eco-toxicity; Fish; DNA breakage; Histology</t>
  </si>
  <si>
    <t>CARP CYPRINUS-CARPIO; CHRONIC DIETARY EXPOSURE; MUSSEL MYTILUS-GALLOPROVINCIALIS; TROUT ONCORHYNCHUS-MYKISS; LIPID-PEROXIDATION; RAINBOW-TROUT; AQUATIC ENVIRONMENT; POTENTIAL TOXICITY; ZNO NANOPARTICLES; RISK-ASSESSMENT</t>
  </si>
  <si>
    <t>Metal oxide nanoparticles are widely used in industries, and peak level can be confirmed in their surroundings. In the present study, the sub-lethal effects of CuO-NPs from low to high concentration as 0.5 to 1.5 mg/L were observed in tilapia (Oreochromis mossambicus). Accumulation of copper from CuO-NPs was increased with the increase in doses, and maximum accumulation was found in the gill than liver and muscles. The increased lipid peroxidation level was observed in the gill as compared to liver, and the similar results were obtained in catalase and glutathione while superoxide dismutase level was higher in the liver than gills. In histological alterations, gill edema, curved tips, fusion of gill lamellae, and thickening of primary and secondary gill lamellae were observed. Necrosis and apoptosis with condensed nuclear bodies and pyknotic nuclei were observed in the liver at the highest dose concentration. In a genotoxic study, the highest value of % tail DNA and olive tail movement was observed with increasing concentrations. Copper oxide nanoparticles has greater potential to accumulate in the soft tissues, which may cause respiratory distress such as oxidative stress, induction of antioxidant defense by raising glutathione, organ pathology, and genotoxicity.</t>
  </si>
  <si>
    <t>[Shahzad, Khurram; Khan, Muhammad Naeem; Sohail, Muhammad] Univ Punjab, Dept Zool, Lahore, Pakistan; [Jabeen, Farhat] GC Univ, Dept Zool, Faisalabad, Pakistan; [Kosour, Nasreen] Govt Punjab, Fisheries Res &amp; Training Inst, Lahore, Pakistan; [Chaudhry, Abdul Shakoor] Newcastle Univ, Nat &amp; Environm Sci, Newcastle Upon Tyne NE1 7RU, Tyne &amp; Wear, England</t>
  </si>
  <si>
    <t>University of Punjab; Government College University Faisalabad; Newcastle University - UK</t>
  </si>
  <si>
    <t>Shahzad, K (corresponding author), Univ Punjab, Dept Zool, Lahore, Pakistan.</t>
  </si>
  <si>
    <t>khurramshahzad05@gmail.com</t>
  </si>
  <si>
    <t>Shahzad, Khurram/GRX-8200-2022; Jabeen, Farhat/AAF-5251-2021</t>
  </si>
  <si>
    <t>10.1007/s11356-018-1813-9</t>
  </si>
  <si>
    <t>http://dx.doi.org/10.1007/s11356-018-1813-9</t>
  </si>
  <si>
    <t>GI0HZ</t>
  </si>
  <si>
    <t>WOS:000434051300059</t>
  </si>
  <si>
    <t>De Silva, NAL; Marsden, ID; Gaw, S; Glover, CN</t>
  </si>
  <si>
    <t>De Silva, Nuwan A. L.; Marsden, Islay D.; Gaw, Sally; Glover, Chris N.</t>
  </si>
  <si>
    <t>The relationship between population attributes of the mud snail Amphibola crenata and sediment contamination: A multi-estuary assessment</t>
  </si>
  <si>
    <t>Amphibola crenata; Nutrients; Trace metals; Density; Size structure</t>
  </si>
  <si>
    <t>TRACE-METAL CONCENTRATIONS; QUALITY ASSESSMENT; BIVALVE CONDITION; MARINE PULMONATE; HYDROBIA-ULVAE; CADMIUM; TOXICITY; SALINITY; MUSSEL; ACCUMULATION</t>
  </si>
  <si>
    <t>This study assessed the potential of the New Zealand mud snail Amphibola crenata to act as a bioindicator of contaminated estuarine sediment. Seventeen sites with varying contaminant burdens were identified within six New Zealand regions. Attributes (population density, individual length distribution and individual dry weight condition index) were measured for field-collected A. crenata, and related to measurements of sediment trace metals and nutrients. Population density of the mud snail was relatively high in sites with elevated nutrients and organic matter. The length distribution of A. crenata showed significant regional and site-specific variations. Minimum, mean, and median shell length of A. crenata were positively correlated with sediment cadmium and zinc concentration. Overall, the sites were able to be distinguished by A. crenata population attributes and the sediment metal and nutrient content. These results suggest that A. crenata population information has potential value for assessing estuarine sediment metal and nutrient contamination.</t>
  </si>
  <si>
    <t>[De Silva, Nuwan A. L.; Marsden, Islay D.; Glover, Chris N.] Univ Canterbury, Sch Biol Sci, Canterbury, New Zealand; [Gaw, Sally] Univ Canterbury, Sch Phys &amp; Chem Sci, Canterbury, New Zealand; [Glover, Chris N.] Athabasca Univ, Fac Sci &amp; Technol, Athabasca, AB, Canada; [Glover, Chris N.] Univ Alberta, Dept Biol Sci, Edmonton, AB, Canada; [Glover, Chris N.] Athabasca Univ, Athabasca River Basin Res Inst, Athabasca, AB, Canada; [De Silva, Nuwan A. L.] Environm Southland Reg Council, Cnr North Rd &amp; Price St, Invercargill 9810, New Zealand</t>
  </si>
  <si>
    <t>University of Canterbury; University of Canterbury; Athabasca University; University of Alberta; Athabasca University</t>
  </si>
  <si>
    <t>De Silva, NAL (corresponding author), Environm Southland Reg Council, Cnr North Rd &amp; Price St, Invercargill 9810, New Zealand.</t>
  </si>
  <si>
    <t>nal57@uclive.ac.nz; islay.marsden@canterbury.ac.nz; sally.gaw@canterbury.ac.nz; cglover@athabascau.ca</t>
  </si>
  <si>
    <t>Brian Mason Scientific and Technical Trust; Waikato Regional Council; University of Canterbury; Campus Alberta Innovates Program Research Chair</t>
  </si>
  <si>
    <t>This study was funded by the Brian Mason Scientific and Technical Trust, Waikato Regional Council and University of Canterbury. The authors thank to Hannah Jones (Waikato Regional Council) and Nick Ward (Environment Southland Regional Council) for their assistance in the field. The authors also thank to Jonathan Hill, Robert Stainthorpe and Jan McKenzie for their valuable assistance in the laboratory and field. CNG is supported by a Campus Alberta Innovates Program Research Chair.</t>
  </si>
  <si>
    <t>10.1016/j.marpolbul.2022.113762</t>
  </si>
  <si>
    <t>http://dx.doi.org/10.1016/j.marpolbul.2022.113762</t>
  </si>
  <si>
    <t>2B0VV</t>
  </si>
  <si>
    <t>WOS:000809914000013</t>
  </si>
  <si>
    <t>Maanan, M; Ruiz-Fernández, AC; Maanan, M; Fattal, P; Zourarah, B; Sahabi, M</t>
  </si>
  <si>
    <t>Maanan, Mehdi; Ruiz-Fernández, Ana Carolina; Maanan, Mohamed; Fattal, Paul; Zourarah, Bendahhou; Sahabi, Mohamed</t>
  </si>
  <si>
    <t>A long-term record of land use change impacts on sediments in Oualidia lagoon, Morocco</t>
  </si>
  <si>
    <t>INTERNATIONAL JOURNAL OF SEDIMENT RESEARCH</t>
  </si>
  <si>
    <t>Land use change (LUC); Geographical information systems (GIS); Sediment pollution; Risk assessment.</t>
  </si>
  <si>
    <t>RIVER ESTUARY; HEAVY-METALS; TRACE-METALS; COASTAL; POLLUTION; ELEMENTS; GULF; CONTAMINATION; ACCUMULATION</t>
  </si>
  <si>
    <t>An integrated approach, involving land use patterns and heavy metal contents of the surficial and coped sediment, was proposed to detect the characteristic spatial and temporal scale of point and non-point source human disturbances on the Oualidia lagoon in Morocco. Identification and description of the temporal and spatial distributions of the main contamination sources of heavy metals are analyzed using statisfics and GIS methods. The results show that surficial sediments are highly enriched in heavy metals compared to their preindustrial background levels. Land-use types affected lagoon sediment pollution in different ways: 1) agricultural areas bast the highest potential for sediment contamination by heavy-metals, particularly Pb, Cu and Hg, 2) Ni and Cr are the main pollutants originating from urban sewage and 3) oyster farming and traditional:land uses such as salt flats, pastures showed low levels of others metals. The enrichment factors (normalized by Al) obtained from the sediment cores indicated that the lagoon is (strongly/moderately) polluted by all metals which were attributed to agricultural activities and wastewater discharges from urbanized areas.</t>
  </si>
  <si>
    <t>[Maanan, Mehdi; Maanan, Mohamed; Fattal, Paul] Univ Nantes, UMR LETG 6554, F-44312 Nantes, France; [Maanan, Mehdi; Zourarah, Bendahhou; Sahabi, Mohamed] Fac Sci, Dept Earth Sci, Marine Geosci Lab URAC 45, El Jadida 24000, Morocco; [Ruiz-Fernández, Ana Carolina] Univ Nacl Autonoma Mexico, Inst Ciencias Mar &amp; Limnol, Mexico City 04510, DF, Mexico</t>
  </si>
  <si>
    <t>Nantes Universite; Chouaib Doukkali University of El Jadida; Universidad Nacional Autonoma de Mexico</t>
  </si>
  <si>
    <t>Maanan, M (corresponding author), Univ Nantes, UMR LETG 6554, BP 81227, F-44312 Nantes, France.</t>
  </si>
  <si>
    <t>MAANAN, Mohamed/F-1430-2013; Ruiz-Fernández, Ana Carolina/ABG-6985-2020</t>
  </si>
  <si>
    <t>RUIZ-FERNANDEZ, ANA CAROLINA/0000-0002-2515-1249; maanan, mehdi/0000-0003-3019-6860; Maanan, Mohamed/0000-0003-3526-2070</t>
  </si>
  <si>
    <t>Hubert Curien Program-Volubilis [27106SJ]</t>
  </si>
  <si>
    <t>Hubert Curien Program-Volubilis</t>
  </si>
  <si>
    <t>The authors wish to thank anonymous reviewers for their useful comments and suggestions that helped improve the quality of this paper. The preparation of this paper was supported by grant No. 27106SJ from the Hubert Curien Program-Volubilis.</t>
  </si>
  <si>
    <t>IRTCES</t>
  </si>
  <si>
    <t>PO BOX 366, BEIJING, 100044, PEOPLES R CHINA</t>
  </si>
  <si>
    <t>1001-6279</t>
  </si>
  <si>
    <t>INT J SEDIMENT RES</t>
  </si>
  <si>
    <t>Int. J. Sediment Res.</t>
  </si>
  <si>
    <t>10.1016/S1001-6279(14)60017-2</t>
  </si>
  <si>
    <t>http://dx.doi.org/10.1016/S1001-6279(14)60017-2</t>
  </si>
  <si>
    <t>AG0SH</t>
  </si>
  <si>
    <t>WOS:000335125400001</t>
  </si>
  <si>
    <t>HUMMEL, H; BOGAARDS, RH; AMIARDTRIQUET, C; BACHELET, G; DESPREZ, M; MARCHAND, J; RYBARCZYK, H; SYLVAND, B; DEWIT, Y; DEWOLF, L</t>
  </si>
  <si>
    <t>UNIFORM VARIATION IN GENETIC-TRAITS OF A MARINE BIVALVE RELATED TO STARVATION, POLLUTION AND GEOGRAPHIC CLINES</t>
  </si>
  <si>
    <t>AGE; BIVALVE; CONDITION; GENETICS; GEOGRAPHIC CLINE; MACOMA BALTHICA; METAL; POLLUTION; SALINITY; SPECIES DISTRIBUTION; STRESS-SENSITIVITY; TEMPERATURE</t>
  </si>
  <si>
    <t>MUSSEL MYTILUS-EDULIS; ALLELE FREQUENCY CLINE; POPULATION-GENETICS; MACOMA-BALTHICA; CRASSOSTREA-VIRGINICA; ALLOZYME VARIATION; SELECTION; DIFFERENTIATION; OYSTER; POLYMORPHISMS</t>
  </si>
  <si>
    <t>Consistent patterns of genetic variation in the marine bivalve Macoma balthica (L.) were found after exposure to low levels of copper, starvation, and along geographic dines. The geographic dines were related to temperature and salinity. Genetic differences were primarily found in the LAP (Leucine aminopeptidase) locus; under stress the frequency of one specific allele, and thereby the heterozygosity, decreased strongly. The degree of changes depended on age and condition of the animals; adult animals showing stronger changes than juveniles. Law concentrations of copper yielded stronger genetic changes than high concentrations. It is concluded that genetic diversity and stress-sensitivity of species change predictably along a gradient in response to environmental harshness. Animals near the southern limit of their range were more sensitive to additional stress.</t>
  </si>
  <si>
    <t>UNIV NANTES, FAC PHARM, ECOTOXICOL LAB, F-44035 NANTES, FRANCE; UNIV BORDEAUX 1, OCEANOG BIOL LAB, F-33120 ARCACHON, FRANCE; GEMEL PICARDIE, ETUD BAIE SOMME STN, F-80230 ST VALERY SUR SOMME, FRANCE; GEMEL BASSE NORMANDIE, MARINE STN, F-14530 LUC SUR MER, FRANCE; UNIV NANTES, FAC SCI &amp; TECH, MARINE BIOL LAB, F-44072 NANTES 03, FRANCE</t>
  </si>
  <si>
    <t>Nantes Universite; Universite de Bordeaux; Nantes Universite</t>
  </si>
  <si>
    <t>NETHERLANDS INST ECOL, CTR ESTUARINE &amp; COASTAL ECOL, VIERSTR 28, 4401 EA YERSEKE, NETHERLANDS.</t>
  </si>
  <si>
    <t>SEP 29</t>
  </si>
  <si>
    <t>10.1016/0022-0981(95)00047-U</t>
  </si>
  <si>
    <t>http://dx.doi.org/10.1016/0022-0981(95)00047-U</t>
  </si>
  <si>
    <t>TA529</t>
  </si>
  <si>
    <t>WOS:A1995TA52900001</t>
  </si>
  <si>
    <t>CAIN, DJ; LUOMA, SN</t>
  </si>
  <si>
    <t>COPPER AND SILVER ACCUMULATION IN TRANSPLANTED AND RESIDENT CLAMS (MACOMA-BALTHICA) IN SOUTH SAN-FRANCISCO BAY</t>
  </si>
  <si>
    <t>Accumulation of Cu and Ag by soft tissues of the deposit-feeding clam M. balthica was less than half in clams transplanted to a contaminated area than in clams native to that area. During a period of tissue growth, the transplants retained 50% and 90%, respectively, of the net Cu and Ag accumulated, but loss of metals from soft tissue by the resident population equalled net accumulation. Cu accumulation in the transplants did not occur during some periods when increases in the metal body burden of the resident population indicated that environmental exposures were high. The difference in metal accumulation of the 2 groups of clams may be the result of past environmental exposures. The results illustrate some limitations of using transplants as indicators of pollution events or of pollutant impact upon resident populations.</t>
  </si>
  <si>
    <t>US GEOL SURVEY, 345 MIDDLEFIELD RD, MENLO PK, CA 94025 USA</t>
  </si>
  <si>
    <t>United States Department of the Interior; United States Geological Survey</t>
  </si>
  <si>
    <t>Cain, Daniel/0000-0002-3443-0493</t>
  </si>
  <si>
    <t>10.1016/0141-1136(85)90133-3</t>
  </si>
  <si>
    <t>http://dx.doi.org/10.1016/0141-1136(85)90133-3</t>
  </si>
  <si>
    <t>AEF35</t>
  </si>
  <si>
    <t>WOS:A1985AEF3500003</t>
  </si>
  <si>
    <t>SIVALINGAM, PM; BINTISANI, A</t>
  </si>
  <si>
    <t>MERCURY CONTENT IN HAIR FROM FISHING COMMUNITIES OF THE STATE OF PENANG, MALAYSIA</t>
  </si>
  <si>
    <t>The total Hg content of hair from a number of fishing communities in the state of Penang averaged, for different age-groups: over 40 yr, 9.19 ppm; 19-40 yr, 7.90 ppm; and 1-18 yr, 7.36 ppm. The highest values found in these age groups were 16.10, 14.8 and 12.8 ppm, respectively, for different communities. Examinations of Hg content of 8 spp. of finfish [Pseudosciaena aneus, Plotosus canius, Synaptura commersonii, Mugil dussumiersii, Clarias batrachus, Harengula perforata, Chorinemus lysan and Upenus sulphureus] taken at each of the fishing communities (with 1 exception [Anadara granosa] where bivalves were substituted) showed values ranging up to 3.265 ppm in muscles, 16.345 ppm in heart and 7.50 ppm in liver, but there was no correlation between biodeposited Hg in hair of the 3 age groups and Hg concentrations in local edible fish.</t>
  </si>
  <si>
    <t>UNIV SAINS MALAYSIA, SCH BIOL SCI, PULAU PINANG, MALAYSIA.</t>
  </si>
  <si>
    <t>10.1016/0025-326X(80)90490-7</t>
  </si>
  <si>
    <t>http://dx.doi.org/10.1016/0025-326X(80)90490-7</t>
  </si>
  <si>
    <t>KD663</t>
  </si>
  <si>
    <t>WOS:A1980KD66300004</t>
  </si>
  <si>
    <t>Bradley, BP; Olsson, B; Brown, DC; Tedengren, M</t>
  </si>
  <si>
    <t>HSP70 levels in physiologically stressed Baltic Sea mussels</t>
  </si>
  <si>
    <t>MYTILUS-EDULIS; GROWTH; SCOPE</t>
  </si>
  <si>
    <t>Mussels, Mytilus edulis L., front the Baltic Sea Mere exposed to stressful cadmium and temperature environments. The expression of the 70 000 kD heat shock protein family (HSP70) and of several organismal responses was observed in two phases. Mussels exposed to 20 degrees C for one day had higher levels of HSP70 than controls at 4 degrees C, with 20 mu g litre(-1) cadmium or without cadmium. The higher temperature increased respiration and ammonia excretion and decreased clearance rare and scope for growth. In the second phase, mussels pretreated at 20 degrees C for 5 days and reacclimated to 4 degrees Cfor 5 days still showed significantly elevated HSP70, with 20 mu g litre(-1) cadmium and without cadmium. The organismal responses in the second phase Mere much less affected by treatment, although scope for growth declined in pretreated animals exposed to cadmium. HSP70 seems to be a suitable indicator of both present and recent stress. A functional relationship between HSP70 levels and adaptation to heat and cadmium is suggested but not established. (C) 1998 Elsevier Science Ltd. All rights reserved.</t>
  </si>
  <si>
    <t>Univ Maryland Baltimore Cty, Dept Biol Sci, Baltimore, MD 21228 USA; Univ Stockholm, Dept Syst Ecol, S-10691 Stockholm, Sweden</t>
  </si>
  <si>
    <t>Bradley, BP (corresponding author), Univ Maryland Baltimore Cty, Dept Biol Sci, Baltimore, MD 21228 USA.</t>
  </si>
  <si>
    <t>10.1016/S0141-1136(97)00044-5</t>
  </si>
  <si>
    <t>http://dx.doi.org/10.1016/S0141-1136(97)00044-5</t>
  </si>
  <si>
    <t>WOS:000075806100079</t>
  </si>
  <si>
    <t>Canesi, L; Ciacci, C; Balbi, T</t>
  </si>
  <si>
    <t>Canesi, L.; Ciacci, C.; Balbi, T.</t>
  </si>
  <si>
    <t>Interactive effects of nanoparticles with other contaminants in aquatic organisms: Friend or foe?</t>
  </si>
  <si>
    <t>Aquatic organisms; Nanoparticles; Contaminants; Interactive effects; Mytilus</t>
  </si>
  <si>
    <t>TITANIUM-DIOXIDE NANOPARTICLES; ENGINEERED NANOPARTICLES; MARINE BIVALVE; NANOMATERIAL FULLERENE; TIO2 NANOPARTICLES; PROTEIN CORONA; TOXICITY; EXPOSURE; CADMIUM; BIOACCUMULATION</t>
  </si>
  <si>
    <t>The increasing production and use of nanoparticles (NPs) will lead to their release into the aquatic environment, posing a potential threat to the health of aquatic organisms. Both in the water phase and in the sediments NPs could mix and interact with other pollutants, such as organic xenobiotics and heavy metals, leading to possible changes in their bioavailability/bioconcentration/toxicity. However, whether these interactive effects may lead to increased harmful effects in marine organisms is largely unknown. In this work, available data mainly obtained on carbon based NPs and n-TiO2, as examples of widespread NPs, in aquatic organisms are reviewed. Moreover, data are summarized on the interactive effects of n-TiO2 with 2,3,7,8-TCDD and Cd2+, chosen as examples of common and persistent organic and inorganic contaminants, respectively, in the model marine bivalve Mytilus. The results reveal complex and often unexpected interactive responses of NPs with other pollutants, depending on type of contaminant and the endpoint measured, as well as differences in bioaccumulation. The results are discussed in relation with data obtained in freshwater organisms. Overall, information available so far indicate that interactive effects of NPs with other contaminants do not necessarily lead to increased toxicity or harmful effects in aquatic organisms. (C) 2015 Elsevier Ltd. All rights reserved.</t>
  </si>
  <si>
    <t>[Canesi, L.; Balbi, T.] Univ Genoa, Dept Earth Environm &amp; Life Sci DISTAV, I-16132 Genoa, Italy; [Ciacci, C.] Univ Urbino, Dept Earth Life &amp; Environm Sci DiSTeVA, I-61029 Urbino, Italy</t>
  </si>
  <si>
    <t>Canesi, L (corresponding author), Univ Genoa, DISTAV Dipartimento Sci Terra Ambiente &amp; Vita, Corso Europa 26, I-16132 Genoa, Italy.</t>
  </si>
  <si>
    <t>carolina, ciacci/A-2594-2012</t>
  </si>
  <si>
    <t>Balbi, Teresa/0000-0002-7495-6000; Canesi, Laura/0000-0003-2061-3819</t>
  </si>
  <si>
    <t>Italian Ministry of Research (PRIN) [2009FHHP2W]</t>
  </si>
  <si>
    <t>Italian Ministry of Research (PRIN)(Ministry of Education, Universities and Research (MIUR)Research Projects of National Relevance (PRIN))</t>
  </si>
  <si>
    <t>This work was partly supported by the Italian Ministry of Research (PRIN2009, prot. 2009FHHP2W).</t>
  </si>
  <si>
    <t>10.1016/j.marenvres.2015.03.010</t>
  </si>
  <si>
    <t>http://dx.doi.org/10.1016/j.marenvres.2015.03.010</t>
  </si>
  <si>
    <t>WOS:000364726000014</t>
  </si>
  <si>
    <t>Hariharan, G; Purvaja, R; Robin, RS; Ramesh, R</t>
  </si>
  <si>
    <t>Hariharan, G.; Purvaja, R.; Robin, R. S.; Ramesh, R.</t>
  </si>
  <si>
    <t>Evaluation of the multiple biomarkers on identification of the vulnerable coastal pollution hotspots</t>
  </si>
  <si>
    <t>Bivalves; Perna viridis; Heavy metals; Multiple biomarker and bioindicators</t>
  </si>
  <si>
    <t>FRESH-WATER FISH; MUSSEL PERNA-VIRIDIS; OXIDATIVE STRESS; METAL ACCUMULATION; SOUTHEAST COAST; LIPID-PEROXIDATION; DIGESTIVE GLAND; EXPOSURE; GLUTATHIONE; TOXICITY</t>
  </si>
  <si>
    <t>This paper presents multiple biomarkers on metal accumulation and its impacts along the Chennai to Puducherry, southeast coast of India using bivalves as bioindicators. In this regard, water samples and Perna viridis were collected from three stations and the accumulation of metals and its biological impacts were assessed. Among the three sampling stations, the maximum accumulation was noticed in Ennore (S1) than the Puducherry (S3) followed by Kovalam (S2). Mean accumulation pattern of metals in Perna viridis was found to be in the following order Zn &gt; Cu &gt; Ni &gt; Cr &gt; Pb &gt; Cd, which were in close match with the metal concentration in seawater at respective site. The ambient metal concentration and behavior of multiple biomarkers were positively correlated indicating that the uptake of metals might induce biological changes, particularly in the internal organs, thus significantly affecting health of the aquatic organisms. P. viridis provides reliable information concerning the adverse effects and reflects the integrated effects of all contaminants. Thus, study confirmed that Ennore (S1) coast is highly vulnerable for significant pollution, in terms of metal toxicity in the study area. Overall investigation revealed that metal enrichment was observed close to the major urban areas in the S1 and S2 which were associated with industrialized areas. The assessment of multiple biomarkers on metal accumulation was the first step in determining the trophic transfer factors on marine foot web, which can be evaluated in the future based on this study.</t>
  </si>
  <si>
    <t>[Hariharan, G.; Purvaja, R.; Robin, R. S.; Ramesh, R.] Minist Environm Forest &amp; Climate Change, Natl Ctr Sustainable Coastal Management, Anna Univ Campus, Madras 600025, Tamil Nadu, India</t>
  </si>
  <si>
    <t>Anna University</t>
  </si>
  <si>
    <t>Hariharan, G (corresponding author), Minist Environm Forest &amp; Climate Change, Natl Ctr Sustainable Coastal Management, Anna Univ Campus, Madras 600025, Tamil Nadu, India.</t>
  </si>
  <si>
    <t>gvkamar@gmail.com</t>
  </si>
  <si>
    <t>Ramachandran, Purvaja/0000-0001-7937-3763; Govindasamy, Hariharan/0000-0003-1315-3180; Ramachandran, Ramesh/0000-0003-2471-7746</t>
  </si>
  <si>
    <t>10.1007/s11356-016-7548-6</t>
  </si>
  <si>
    <t>http://dx.doi.org/10.1007/s11356-016-7548-6</t>
  </si>
  <si>
    <t>EB7WW</t>
  </si>
  <si>
    <t>WOS:000387602800095</t>
  </si>
  <si>
    <t>Baltas, H; Sirin, M; Dalgic, G; Bayrak, EY; Akdeniz, A</t>
  </si>
  <si>
    <t>Baltas, Hasan; Sirin, Murat; Dalgic, Goktug; Bayrak, Esra Yilmaz; Akdeniz, Aysel</t>
  </si>
  <si>
    <t>Assessment of metal concentrations (Cu, Zn, and Pb) in seawater, sediment and biota samples in the coastal area of Eastern Black Sea, Turkey</t>
  </si>
  <si>
    <t>Eastern Black Sea; Heavy metal; Mussel; Sea snail; Daily intake dose</t>
  </si>
  <si>
    <t>HEAVY-METALS; ELEMENT CONCENTRATIONS; MARINE; WATERS; GALLOPROVINCIALIS; ORGANISMS; QUALITY; REGION</t>
  </si>
  <si>
    <t>This study investigated the contents of Cu, Zn and Pb in seawater, sediment, different shell sizes of mussel (Mytilus galloprovinciaIis) and sea snail (Rapana venosa) samples collected from four different provinces of the Eastern Black Sea Region. With the exception of Zn, all the metal concentration values measured in the sea snail were observed to be higher than those of mussels in all stations. While the correlation between mussels and sea snail according to metal concentrations was found to be positive (p &lt; 0.05), this relation was not observed between the other parameters, such as the shell sizes, salinity and pH (p &gt; 0.05). Although the mean concentration values of Cu, Zn, and Pb for mussel and sea snail are significantly above the tolerable levels, the estimated daily intake values for mussel were below the daily intake recommended.</t>
  </si>
  <si>
    <t>[Baltas, Hasan; Sirin, Murat; Bayrak, Esra Yilmaz; Akdeniz, Aysel] Recep Tayyip Erdogan Univ, Fac Art &amp; Sci, Dept Phys, TR-53100 Rize, Turkey; [Dalgic, Goktug] Recep Tayyip Erdogan Univ, Fac Fisheries, TR-53100 Rize, Turkey</t>
  </si>
  <si>
    <t>Recep Tayyip Erdogan University; Recep Tayyip Erdogan University</t>
  </si>
  <si>
    <t>Baltas, H (corresponding author), Recep Tayyip Erdogan Univ, Fac Art &amp; Sci, Dept Phys, TR-53100 Rize, Turkey.</t>
  </si>
  <si>
    <t>Dalgıç, Göktuğ/AAK-9485-2020</t>
  </si>
  <si>
    <t>Sirin, Murat/0000-0001-6864-752X; DALGIC, GOKTUG/0000-0001-8619-6160</t>
  </si>
  <si>
    <t>We are grateful to Professor Raif Kandemir for providing the graphical abstract. This work was supported by the Scientific and Technical Research Council of Turkey (TUBITAK) (CAYDAG, Project No: 113Y148).</t>
  </si>
  <si>
    <t>10.1016/j.marpolbul.2017.06.059</t>
  </si>
  <si>
    <t>http://dx.doi.org/10.1016/j.marpolbul.2017.06.059</t>
  </si>
  <si>
    <t>FE2WC</t>
  </si>
  <si>
    <t>WOS:000408076900067</t>
  </si>
  <si>
    <t>Papo, MB; Bertotto, D; Quaglio, F; Vascellari, M; Pascoli, F; Negrato, E; Binato, G; Radaelli, G</t>
  </si>
  <si>
    <t>Papo, Michele Boscolo; Bertotto, Daniela; Quaglio, Francesco; Vascellari, Marta; Pascoli, Francesco; Negrato, Elena; Binato, Giovanni; Radaelli, Giuseppe</t>
  </si>
  <si>
    <t>Histopathology and stress biomarkers in the clam Venerupis philippinarum from the Venice Lagoon (Italy)</t>
  </si>
  <si>
    <t>Clam; Histology; Perkinsosis; Haemocytes; Stress biomarkers</t>
  </si>
  <si>
    <t>MUSSEL MYTILUS-EDULIS; SHOCK-PROTEIN EXPRESSION; CARPET-SHELL CLAM; GALICIA NW SPAIN; HEAT-SHOCK; OXIDATIVE STRESS; TAPES-PHILIPPINARUM; DIGESTIVE GLAND; BLUE MUSSEL; OF-VENICE</t>
  </si>
  <si>
    <t>The aim of this study was to evaluate the histomorphology and the stress response in the bivalve Venerupis philippinarum sampled in four differently polluted sites of the Venice Lagoon (Palude del Monte, Marghera, Ca' Roman and Val di Brenta). This species is often used as bioindicator of environmental pollution since it can bioaccumulate a large variety of pollutants because of its filter feeding. Chemical analyses for heavy metals (Cd, Cu, Hg and Pb) and polycyclic aromatic hydrocarbons (PAHs) were performed on whole soft tissues of V. philippinarum. The histological evaluation of clams revealed the presence of Perkinsus sp. infection in animals from all sites, although a very high prevalence of parasites was evidenced in clams from Ca' Roman. Perkinsus sp. were systemically distributed in the mantle, in the intestine and digestive gland, in gonads and gills. The trophozoites of Perkinsus sp. were found isolated or in cluster surrounded by a heavy hemocitical response. Haemocytes always exhibited an immunopositivity to cytochrome P4501A (CYP1A), heat shock protein 70 (HSP70), 4-hydroxy-2-nonenal (HNE) and nitrotyrosine (NT) antibodies. The digestive gland of animals from Palude del Monte showed the highest malondialdehyde (MDA) concentration, whereas clams from Ca' Roman exhibited the highest quantity of metallothioneins. (C) 2014 Elsevier Ltd. All rights reserved.</t>
  </si>
  <si>
    <t>[Papo, Michele Boscolo; Bertotto, Daniela; Quaglio, Francesco; Negrato, Elena; Radaelli, Giuseppe] Univ Padua, Dipartimento Biomed Comparata &amp; Alimentaz, I-35020 Legnaro, PD, Italy; [Vascellari, Marta; Pascoli, Francesco; Binato, Giovanni] Ist Zooprofilatt Sperimentale Venezie, I-35020 Legnaro, PD, Italy</t>
  </si>
  <si>
    <t>University of Padua; IZS delle Venezie</t>
  </si>
  <si>
    <t>Radaelli, G (corresponding author), Univ Padua, Dipartimento Biomed Comparata &amp; Alimentaz, Viale Univ 16, I-35020 Legnaro, PD, Italy.</t>
  </si>
  <si>
    <t>giuseppe.radaelli@unipd.it</t>
  </si>
  <si>
    <t>Pascoli, Francesco/AAL-8206-2020</t>
  </si>
  <si>
    <t>Vascellari, Marta/0000-0002-4537-4386; BERTOTTO, Daniela/0000-0002-1370-8679; RADAELLI, Giuseppe/0000-0003-0176-1701; Pascoli, Francesco/0000-0003-2239-3098</t>
  </si>
  <si>
    <t>Veneto Agricoltura [GABASDOT11]; University of Padua; Istituto Zooprofilattico delle Venezie (Ricerca Finalizzata Sanitaria) [3094]</t>
  </si>
  <si>
    <t>Veneto Agricoltura(Regione Veneto); University of Padua; Istituto Zooprofilattico delle Venezie (Ricerca Finalizzata Sanitaria)</t>
  </si>
  <si>
    <t>Authors wish to thank Giovanni Caporale and Erica Melchiotti for technical assistance. Special thanks to Laguna Project snc team that provided the clams. This research was supported by grants from the University of Padua (Progetto ex 60%) and Istituto Zooprofilattico delle Venezie (Ricerca Finalizzata Sanitaria 2006, Drg. n. 3094,3 October 2006) to G. Radaelli and D. Bertotto. Moreover, the work of Michele Boscolo Papo was financially supported by a grant from Veneto Agricoltura (GABASDOT11).</t>
  </si>
  <si>
    <t>10.1016/j.fsi.2014.04.016</t>
  </si>
  <si>
    <t>http://dx.doi.org/10.1016/j.fsi.2014.04.016</t>
  </si>
  <si>
    <t>AK7MW</t>
  </si>
  <si>
    <t>WOS:000338613400006</t>
  </si>
  <si>
    <t>Espinoza, C; Camaño, A; Díaz, R</t>
  </si>
  <si>
    <t>Spatial and temporal comparison of copper bioaccumulation in the mussel Aulacomya ater (Molina) from jorgillo location (23°45'S; 79°27'W) and dichato location (36°32'S; 71°56'W), Chile</t>
  </si>
  <si>
    <t>CLAM RUDITAPES DECUSSATUS; TRACE-METAL CONTENT; MYTILUS-EDULIS; SEASONAL-VARIATION; INDICATOR; CADMIUM; GROWTH; ZINC; LEAD; POLLUTION</t>
  </si>
  <si>
    <t>Inst Invest Pesquera, Lab Ecotoxicol, Talcahuano, Chile; Minera Escondida Ltda, Gerencia Asuntos Ambientales, Antofagasta, Chile</t>
  </si>
  <si>
    <t>Inst Invest Pesquera, Lab Ecotoxicol, 8va Reg SA,Av Casilla 350, Talcahuano, Chile.</t>
  </si>
  <si>
    <t>10.1007/s00128-004-0531-9</t>
  </si>
  <si>
    <t>http://dx.doi.org/10.1007/s00128-004-0531-9</t>
  </si>
  <si>
    <t>872PA</t>
  </si>
  <si>
    <t>WOS:000225218500014</t>
  </si>
  <si>
    <t>Izagirre, U; Errasti, A; Bilbao, E; Múgica, M; Marigómez, I</t>
  </si>
  <si>
    <t>Izagirre, Urtzi; Errasti, Aitzpea; Bilbao, Eider; Mugica, Maria; Marigomez, Ionan</t>
  </si>
  <si>
    <t>Combined effects of thermal stress and Cd on lysosomal biomarkers and transcription of genes encoding lysosomal enzymes and HSP70 in mussels, Mytilus galloprovincialis</t>
  </si>
  <si>
    <t>Lysosomal enlargement; Lysosomal membrane stability; Digestive cell; Hexosaminidase; beta-Glucuronidase; Cathepsin L; HSP70</t>
  </si>
  <si>
    <t>CRASSOSTREA-VIRGINICA GMELIN; DIGESTIVE GLAND-CELLS; MEMBRANE STABILITY; CADMIUM EXPOSURE; EASTERN OYSTERS; HEAT-SHOCK; SUBCELLULAR-DISTRIBUTION; ENVIRONMENTAL-POLLUTION; CELLULAR-RESPONSES; WATER TEMPERATURE</t>
  </si>
  <si>
    <t>In estuaries and coastal areas, intertidal organisms may be subject to thermal stress resulting from global warming, together with pollution. In the present study, the combined effects of thermal stress and exposure to Cd were investigated in the endo-lysosomal system of digestive cells in mussels, Mytilus galloprovincialis. Mussels were maintained for 24 h at 18 degrees C and 26 degrees C seawater temperature in absence and presence of 50 mu g Cd/L seawater. Cadmium accumulation in digestive gland tissue, lysosomal structural changes and membrane stability were determined. Semi-quantitative PCR was applied to reveal the changes elicited by the different experimental conditions in hexosaminidase (hex), beta-glucuronidase (gusb), cathepsin L (ctsl) and heat shock protein 70 (hsp70) gene transcription levels. Thermal stress provoked lysosomal enlargement whilst Cd-exposure led to fusion of lysosomes. Both thermal stress and Cd-exposure caused lysosomal membrane destabilisation. hex, gusb and ctsl genes but not hsp70 gene were transcriptionally up-regulated as a result of thermal stress. In contrast, all the studied genes were transcriptionally down-regulated in response to Cd-exposure. Cd bioaccumulation was comparable at 18 C and 26 C seawater temperatures but interactions between thermal stress and Cd-exposure were remarkable both in lysosomal biornarkers and in gene transcription, hex, gusb and ctsl genes, reacted to elevated temperature in absence of Cd but not in Cd-exposed mussels. Therefore, thermal stress resulting from global warming might influence the use and interpretation of lysosomal biomarkers in marine pollution monitoring programmes and, vice versa, the presence of pollutants may condition the capacity of mussels to respond against thermal stress in a climate change scenario. (C) 2014 Elsevier B.V. All rights reserved.</t>
  </si>
  <si>
    <t>[Izagirre, Urtzi; Errasti, Aitzpea; Bilbao, Eider; Mugica, Maria; Marigomez, Ionan] Univ Basque Country UPV EHU, Res Ctr Expt Marine Biol &amp; Biotechnol PIE UPV EHU, CBET Res Grp, Plentzia Bizkaia 48620, Basque Country, Spain</t>
  </si>
  <si>
    <t>Marigómez, I (corresponding author), Univ Basque Country UPV EHU, Res Ctr Expt Marine Biol &amp; Biotechnol PIE UPV EHU, CBET Res Grp, Plentzia Bizkaia 48620, Basque Country, Spain.</t>
  </si>
  <si>
    <t>ionan.marigomez@ehu.es</t>
  </si>
  <si>
    <t>Bilbao, Eider/Y-6831-2018; Izagirre, Urtzi/C-3848-2017; MARIGOMEZ ALLENDE, Ionan/C-3909-2017</t>
  </si>
  <si>
    <t>Bilbao, Eider/0000-0001-7155-2724; Izagirre, Urtzi/0000-0002-3477-4974; MARIGOMEZ ALLENDE, Ionan/0000-0001-6274-541X</t>
  </si>
  <si>
    <t>Basque Government (Educ. Univ. Res. Dept.); ETORTEK research strategic actions K-Egokitzen I &amp; II (Basque Government); Consolidated Research Group in Cell Biology in Environmental Toxicology [GIC07/26-IT-393-07]; Research &amp; Formation Unit in Ecosystem Health Protection [UFI 11/37]; [REN2002-02982/MAR (CICYT)]</t>
  </si>
  <si>
    <t>Basque Government (Educ. Univ. Res. Dept.); ETORTEK research strategic actions K-Egokitzen I &amp; II (Basque Government); Consolidated Research Group in Cell Biology in Environmental Toxicology; Research &amp; Formation Unit in Ecosystem Health Protection;</t>
  </si>
  <si>
    <t>Authors are indebted to Prof Ibon Cancio (CBET Res Grp, U Basque Country) for helpful cooperation and invaluable discussions. This work was founded by a pre-doctoral fellowship (A.E.) from the Basque Government (Educ. Univ. &amp; Res. Dept.) and by research project REN2002-02982/MAR (CICYT), ETORTEK research strategic actions K-Egokitzen I &amp; II (Basque Government 2007-2011) and grants to the Consolidated Research Group in Cell Biology in Environmental Toxicology (GIC07/26-IT-393-07) and the Research &amp; Formation Unit in Ecosystem Health Protection (UFI 11/37).</t>
  </si>
  <si>
    <t>10.1016/j.aquatox.2014.01.013</t>
  </si>
  <si>
    <t>http://dx.doi.org/10.1016/j.aquatox.2014.01.013</t>
  </si>
  <si>
    <t>WOS:000334989300016</t>
  </si>
  <si>
    <t>Lee, Y; Ren, YM; Cui, MC; Ma, JJ; Han, ZC; Kwon, O; Ko, J; Khim, J</t>
  </si>
  <si>
    <t>Lee, Yonghyeon; Ren, Yangmin; Cui, Mingcan; Ma, Junjun; Han, Zhengchang; Kwon, Ohhun; Ko, Juin; Khim, Jeehyeong</t>
  </si>
  <si>
    <t>Rare earth real wastewater treatment by pilot scale using new concept continuous treatment process</t>
  </si>
  <si>
    <t>Rare earth wastewater; Precipitation and adsorption; Ozone and hydrodynamic cavitation oxidation; Heavy metal; Radioactive; Organic compounds</t>
  </si>
  <si>
    <t>ARSENATE; PRECIPITATION; ADSORPTION; SORPTION; SULFATE; THORIUM; URANIUM</t>
  </si>
  <si>
    <t>Rare earth (RE) containing radioactive species and a variety of toxic pollutants The treatment of real wastewater is very important for environmental protection. In this study, a new concept of continuous process consisting of precipitation, adsorption, and oxidation was developed without the use of chemicals. In the sedimentation step, waste oyster shell(WOS) and a PE tube diffuser(PE250) containing Na2S (PECa/S), PECa/S were prepared, which were used to precipitate heavy metals with a removal efficiency of 97% or more. In the adsorption step, fluorine (F), arsenic (As), and thorium (Th) were precipitated and removed when heavy metals were removed using coal mine drainage sludge (CMDS) and an adsorbent (PUCMDS) made of polyurethane (PU). Running a semi and pilot scale continuous process using PECa/S, PUCMDS and O-3/HC systems resulted in a semi and pilot scale operating period of 120 and 62 days, and 60.26, 797.84, 46.94, 78.62 g, and 7.120 kg and 266.35, 42556.8, 191.95, 3108.43 g and 629.84 kg for As, F, Th, Pb and CODcr has been removed respectively. In addition, the removal efficiencies of As, F, Th, Pb and CODcr were 99.75, 99.98, 93.60, 99.99, and 88.82%, respectively, when treating real RE wastewater using the pilot scale system. Without the use of agitated reactors and regulators, the new concept of continuous process can effectively treat RE real wastewater, and the quality of the process outlet has met the pollutant limits recommended by EPA and China for irrigation. (C) 2021 Elsevier Ltd. All rights reserved.</t>
  </si>
  <si>
    <t>[Lee, Yonghyeon; Ren, Yangmin; Cui, Mingcan; Khim, Jeehyeong] Korea Univ, Sch Civil Environm &amp; Architectural Engn, 145 Anam Ro, Seoul 02841, South Korea; [Ma, Junjun; Han, Zhengchang] Nanjing Gree Water Environm Engn Ltd Share Ltd, Ning Six Rd 606 Bldg C Floor 3, Nanjing, Peoples R China; [Kwon, Ohhun; Ko, Juin] Mine Reclamat Corp, 2 Segye Ro, Wonju 26464, Gangwon Do, South Korea</t>
  </si>
  <si>
    <t>Korea University; Mine Reclamation Corporation</t>
  </si>
  <si>
    <t>Cui, MC; Khim, J (corresponding author), Korea Univ, Sch Civil Environm &amp; Architectural Engn, 145 Anam Ro, Seoul 02841, South Korea.</t>
  </si>
  <si>
    <t>cmc05@korea.ac.kr; hyeong@korea.ac.kr</t>
  </si>
  <si>
    <t>Khim, Jeehyeong/D-2327-2013</t>
  </si>
  <si>
    <t>Korean Mine Reclamation Corporation (MIREC) [Q 2010111]; Korean Ministry of the Environment as a Subsurface Environment Management (SEM) project [2019002480001]; Nanjing Science and Technology Program - International Co-operation in Industrial Technology Research and Development (NSTP) project [201911003]</t>
  </si>
  <si>
    <t>Korean Mine Reclamation Corporation (MIREC); Korean Ministry of the Environment as a Subsurface Environment Management (SEM) project; Nanjing Science and Technology Program - International Co-operation in Industrial Technology Research and Development (NSTP) project</t>
  </si>
  <si>
    <t>This work was supported by the Korean Mine Reclamation Corporation (MIREC) project (Q 2010111) and Korean Ministry of the Environment as a Subsurface Environment Management (SEM) project (N0 2019002480001) and the Nanjing Science and Technology Program - International Co-operation in Industrial Technology Research and Development (NSTP) project (No. 201911003).</t>
  </si>
  <si>
    <t>10.1016/j.chemosphere.2021.130523</t>
  </si>
  <si>
    <t>http://dx.doi.org/10.1016/j.chemosphere.2021.130523</t>
  </si>
  <si>
    <t>WOS:000659971200047</t>
  </si>
  <si>
    <t>Reisenhofer, E; Adami, G; Favretto, A</t>
  </si>
  <si>
    <t>Heavy metals and nutrients in coastal, surface seawaters (Gulf of Trieste, Northern Adriatic Sea): An environmental study by factor analysis</t>
  </si>
  <si>
    <t>6th International Hans Wolfgang Nurnberg Memorial Symposium on Metal Compounds in Environment and Life</t>
  </si>
  <si>
    <t>MAY 09-12, 1995</t>
  </si>
  <si>
    <t>FORSCHUNGSZENTRUM JULICH, JULICH, GERMANY</t>
  </si>
  <si>
    <t>FORSCHUNGSZENTRUM JULICH</t>
  </si>
  <si>
    <t>NITROGEN</t>
  </si>
  <si>
    <t>Trace metals and nutrients were monitored voltammetrically and spectrophotometrically during a one-year period (1992/93) in the filtered fraction of coastal surface seawaters sampled with a monthly frequency at 6 different sites in the Gulf of Trieste (Northern Adriatic Sea), to evaluate the degree of pollution in an area receiving industrial, agricultural and urban wastes. The sites devoted to hatcheries of edible mussels are of particular interest. A multivariate statistical analysis of the collected concentration data by the principal component method allows to identify the sources and typology of pollution, and to discriminate between the quality of waters at the different sampling sites. The coastal waters in the Gulf of Trieste seem to be comparable to, or better than, waters of analogous areas in the Mediterranean Sea.</t>
  </si>
  <si>
    <t>UNIV TRIESTE,DIPARTIMENTO SCI GEOG &amp; STORICHE,I-34124 TRIESTE,ITALY</t>
  </si>
  <si>
    <t>Reisenhofer, E (corresponding author), UNIV TRIESTE,DIPARTIMENTO SCI CHIM,VIA GIORGIERI 1,I-34127 TRIESTE,ITALY.</t>
  </si>
  <si>
    <t>adami, gianpiero/A-8746-2011; Favretto, Andrea/L-7717-2015</t>
  </si>
  <si>
    <t>UB052</t>
  </si>
  <si>
    <t>WOS:A1996UB05200047</t>
  </si>
  <si>
    <t>Benthotage, C; Cole, V; Schulz, KG; Benkendorff, K</t>
  </si>
  <si>
    <t>Benthotage, Chamara; Cole, Victoria; Schulz, Kai G.; Benkendorff, Kirsten</t>
  </si>
  <si>
    <t>Bioaccumulation of estuarine pollutants in leaf oysters (Isognomon ephippium) on the mid-north coast, New South Wales, Australia</t>
  </si>
  <si>
    <t>Bivalves; Bioindicators; Trace metals; Metalloids; Pesticides; Subtropical estuaries</t>
  </si>
  <si>
    <t>GULF-OF-CALIFORNIA; TRACE-METALS; CRASSOSTREA-VIRGINICA; HAWAIIAN BIVALVE; PACIFIC OYSTERS; SYDNEY ESTUARY; HEAVY-METALS; SEDIMENTS; ACCUMULATION; CADMIUM</t>
  </si>
  <si>
    <t>Filter feeding bivalves are useful bioindicators for the detection of biologically available pollutants. We investigated trace metals, metalloids, and pesticides in leaf oyster (Isognomon ephippium) soft tissue and shells and compared them to sediment in five estuaries in northern New South Wales, Australia. Concentrations of Pb, Cr, Mn, Ni, Fe and Al were higher in sediments, whereas Zn, Cd, Ag, Hg, Se and As bioaccumulated in the soft tissue. The amount of Cu, Hg and Ni in the sediment from Tweed and Richmond River estuaries exceeded the Australian national sediment quality guideline values. Only one pesticide, atrazine, was detected in leaf oyster soft tissue. Combinations of six elements in the soft tissue were the best predictors of oyster condition index and shell size, whereas sediment contaminants showed weak relationships. Overall, the bioaccumulation of metals and metalloids increases with leaf oyster size and reduces leaf oyster condition, suggesting these large bivalves are useful bioindicators for pollution in estuarine environments.</t>
  </si>
  <si>
    <t>[Benthotage, Chamara; Cole, Victoria; Benkendorff, Kirsten] Southern Cross Univ, Fac Sci &amp; Engn, Mil Rd, East Lismore, NSW 2480, Australia; [Cole, Victoria] Port Stephens Fisheries Inst, Dept Primary Ind Fisheries, Taylors Beach Rd, Taylors Beach, NSW 2316, Australia; [Schulz, Kai G.] Southern Cross Univ, Fac Sci &amp; Engn, Ctr Coastal Biogeochem, Mil Rd, East Lismore, NSW 2480, Australia; [Benkendorff, Kirsten] Southern Cross Univ, Fac Sci &amp; Engn, Natl Marine Sci Ctr, 2 Bay Dr, Coffs Harbour, NSW 2450, Australia; [Benkendorff, Kirsten] Southern Cross Univ, Natl Marine Sci Ctr, 2 Bay Dr, Coffs Harbour, NSW 2450, Australia</t>
  </si>
  <si>
    <t>Southern Cross University; NSW Department of Primary Industries; Southern Cross University; Southern Cross University; Southern Cross University</t>
  </si>
  <si>
    <t>Benkendorff, K (corresponding author), Southern Cross Univ, Natl Marine Sci Ctr, 2 Bay Dr, Coffs Harbour, NSW 2450, Australia.</t>
  </si>
  <si>
    <t>kirsten.benkendorff@scu.edu.au</t>
  </si>
  <si>
    <t>Schulz, Kai/Q-5608-2017; Benkendorff, Kirsten/Q-4200-2017</t>
  </si>
  <si>
    <t>Benkendorff, Kirsten/0000-0003-4052-3888</t>
  </si>
  <si>
    <t>Southern Cross University Research Training Program Scholarship; NSW Marine Estate Management Strategy (NSW Department of Primary Industries)</t>
  </si>
  <si>
    <t>This project was supported by Southern Cross University Research Training Program Scholarship to CB and funding from the NSW Marine Estate Management Strategy (NSW Department of Primary Industries) . Authors would like to thank Bhashini Kirahandi, Endang Jamal and Emily Turk for the field assistance, Endurance Ewere for assisting with pesticide extractions and Sumith Pathirana for helping with creating the site map.</t>
  </si>
  <si>
    <t>10.1016/j.marenvres.2023.106065</t>
  </si>
  <si>
    <t>http://dx.doi.org/10.1016/j.marenvres.2023.106065</t>
  </si>
  <si>
    <t>P9WN1</t>
  </si>
  <si>
    <t>WOS:001054112300001</t>
  </si>
  <si>
    <t>Duarte, LFD; Ortega, ADB; Paço, MD; Sadauskas-Henrique, H; Cesar-Ribeiro, C; Souza, IC; Monteiro, R; Monferrán, MV; Wunderlin, DA; Fernandes, MN; Pereira, CDS</t>
  </si>
  <si>
    <t>Duarte, Luis Felipe de Almeida; Ortega, Andressa dos Santos Barbosa; Paco, Marina de Souza; Sadauskas-Henrique, Helen; Cesar-Ribeiro, Caio; Souza, Iara Costa; Monteiro, Rafaella; Monferran, Magdalena Victoria; Wunderlin, Daniel Alberto; Fernandes, Marisa Narciso; Pereira, Camilo Dias Seabra</t>
  </si>
  <si>
    <t>Settleable atmospheric particulate matter harms a marine invertebrate: Integrating chemical and biological damage in a bivalve model</t>
  </si>
  <si>
    <t>Toxic elements; Particulate matter; Cytotoxicity; Genotoxicity; Mussels</t>
  </si>
  <si>
    <t>BIOMARKER RESPONSES; HEAVY-METALS; POLLUTION; NANOPARTICLES; COPPER; INDICATORS; EXPOSURE; LINNAEUS; ELEMENTS; STRESS</t>
  </si>
  <si>
    <t>Some atmospheric pollutants may affect aquatic ecosystems after settling, generating contamination, bioaccumulation, and threats to aquatic species. Metallurgical processes result in the emission of settleable atmospheric particulate mat-ter (SePM), including metals and metalloids, along with rare earth elements (REE) that are considered emerging con-taminants. We report the 30-day exposure of brown mussels (Perna perna) to SePM collected in a metallurgical area of southeast Brazil close to estuarine ecosystems, followed by a 30-day clearance period, to evaluate the toxic potential of SePM to this model mollusk. The bioaccumulation of 28 elements identified in SePM and the sublethal effects were evaluated. REEs were found in SePM (Ce, Y, and La). Significant bioaccumulation of eight metals (Fe, Ni, Cu, Zn, Rb, Sr, Cd, and Ba) was found in the bivalves and correlates with the cytotoxicity and genotoxicity, showing a dose -dependent mode and suggesting a pre-pathological condition that could lead to ecological disturbances over time. Con-versely, the unchanged lipid-peroxidation level after SePM exposure could indicate the effectiveness of the antioxidant system in protecting gills and digestive glands. The clearance period was not enough to successfully reverse the nega-tive effects observed. So far, the current results enhance the comprehension of the negative role of SePM on metal bioaccumulation and metal-induced toxicity to aquatic biota. Thus, this report adds innovative findings on the role of SePM in aquatic pollution in coastal areas affected by atmospheric pollution, which should be relevant for future public policies to verify and control the environmental pollution.</t>
  </si>
  <si>
    <t>[Duarte, Luis Felipe de Almeida; Ortega, Andressa dos Santos Barbosa; Paco, Marina de Souza; Pereira, Camilo Dias Seabra] Univ Fed Sao Paulo, Dept Cincias Mar, Campus Baixada Santista,Rua Maria Maximo 168, BR-11030100 Santos, SP, Brazil; [Duarte, Luis Felipe de Almeida; Sadauskas-Henrique, Helen; Pereira, Camilo Dias Seabra] Univ Santa Cecilia, Programa Pos Grad Ciencia &amp; Tecnol Ambiental, R Oswaldo Cruz 277, BR-11045907 Santos, SP, Brazil; [Ortega, Andressa dos Santos Barbosa; Cesar-Ribeiro, Caio] Univ Estadual Paulista, Inst Biociencias, Campus Litoral Paulista,Praca Infante Dom Henrique, BR-11330900 Sao Vicente, SP, Brazil; [Souza, Iara Costa; Monteiro, Rafaella; Fernandes, Marisa Narciso] Univ Fed Sao Carlos DCF UFSCar, Dept Ciencias Fisiol, Rod Washington Luiz,Km 235, BR-13565905 Sao Carlos, SP, Brazil; [Monferran, Magdalena Victoria; Wunderlin, Daniel Alberto] Univ Nacl Cordoba, CONICET, ICYTAC Inst Ciencia &amp; Tecnol Alimentos Cordoba, Cidad Univ, RA-5000 Cordoba, Argentina; [Monferran, Magdalena Victoria; Wunderlin, Daniel Alberto] Univ Nacl Cordoba, Fac Ciencias Quim, Cidad Univ, RA-5000 Cordoba, Argentina</t>
  </si>
  <si>
    <t>Universidade Federal de Sao Paulo (UNIFESP); Universidade Santa Cecilia; Universidade Estadual Paulista; National University of Cordoba; Consejo Nacional de Investigaciones Cientificas y Tecnicas (CONICET); National University of Cordoba</t>
  </si>
  <si>
    <t>Duarte, LFD (corresponding author), Univ Fed Sao Paulo, Dept Cincias Mar, Campus Baixada Santista,Rua Maria Maximo 168, BR-11030100 Santos, SP, Brazil.</t>
  </si>
  <si>
    <t>duarte.mepi@gmail.com</t>
  </si>
  <si>
    <t>Ortega, Andressa/AAC-4159-2020; de Almeida Duarte, Luis/D-8020-2014; Sadauskas-Henrique, Helen/D-3489-2016; Pereira, Camilo/H-8352-2012; Ribeiro, Caio Cesar/I-3193-2017</t>
  </si>
  <si>
    <t>Pereira, Camilo/0000-0001-8357-8112; Ribeiro, Caio Cesar/0000-0003-4418-0624</t>
  </si>
  <si>
    <t>Sao Paulo Research Foundation (FAPESP) [2016/025257-2, 2020/15253-5, 2021/02245-7, 2022/09868-2, 2019/08491-0]; National Council for Scientific and Technological Development (CNPq) [306818/2020-5, 309361/2019-2]; Vinnova [2021-02245] Funding Source: Vinnova</t>
  </si>
  <si>
    <t>Sao Paulo Research Foundation (FAPESP)(Fundacao de Amparo a Pesquisa do Estado de Sao Paulo (FAPESP)); National Council for Scientific and Technological Development (CNPq)(Conselho Nacional de Desenvolvimento Cientifico e Tecnologico (CNPQ)); Vinnova(Vinnova)</t>
  </si>
  <si>
    <t>This study was supported by Sao Paulo Research Foundation (FAPESP, Grant 2019/08491-0) . I.C. Souza, L.F.A. Duarte, A.S.B. Ortega and M.S. Paco received scholarship support from Sao Paulo Research Foundation (FAPESP, Grant 2016/025257-2, 2020/15253-5, 2021/02245-7, 2022/09868-2, respectively) . MN Fernandes and CDS Pereira thank National Council for Scientific and Technological Development (CNPq, Grant: 306818/2020-5 and 309361/2019-2, respectively) for the productivity fellowships.</t>
  </si>
  <si>
    <t>10.1016/j.scitotenv.2023.163380</t>
  </si>
  <si>
    <t>http://dx.doi.org/10.1016/j.scitotenv.2023.163380</t>
  </si>
  <si>
    <t>F4AG1</t>
  </si>
  <si>
    <t>WOS:000981781900001</t>
  </si>
  <si>
    <t>Recent and past anthropogenic impact on a Mediterranean lagoon: Lead isotope constraints from mussel shells</t>
  </si>
  <si>
    <t>MYTILUS-EDULIS; POLLUTION; SEDIMENTS; FRANCE; PB; INDICATOR; BIVALVE; RATIOS; RIVERS; WATERS</t>
  </si>
  <si>
    <t>The aim of this study was to determine the variations of past and present anthropogenic impact on a coastal lagoon (Thau, S. France) using mussel shells as indicators. The concentrations and isotopic compositions of Pb in recent shells from the edge and the center of a lagoon and in ancient shells (bronze age and 1st-6th century) have been determined to compare metal levels in different environments. Recent shells from the center of the lagoon show somewhat lower Pb concentrations than shells from the edge of the lagoon. Using Pb isotopes, it is possible to constrain Pb sources and their contribution to the shells on the basis of several natural and anthropogenic endmembers: rocks, road traffic, Sete harbour and water treatment plants. Recent lagoon shells are clearly influenced by anthropogenic input from the harbour and road traffic. Anthropogenic contributions vary with location. The Pb isotopic composition was also determined on ancient shells dating from the Roman Empire whose Pb concentrations are similar to the recent shells from the lagoon center. Their isotopic compositions are compared to different Pb sources: local castings, English and Spanish ingots and regional mining districts. It is suggested that local anthropogenic impact existed since the Roman Empire and is linked with population development in the area. (C) 1998 Elsevier Science Ltd. All rights reserved.</t>
  </si>
  <si>
    <t>Univ Montpellier 2, Lab Geofluides Bassins Eaux, UMR 5569, F-34095 Montpellier 5, France</t>
  </si>
  <si>
    <t>Universite de Montpellier; Centre National de la Recherche Scientifique (CNRS); CNRS - National Institute for Earth Sciences &amp; Astronomy (INSU)</t>
  </si>
  <si>
    <t>Labonne, M (corresponding author), Univ Montpellier 2, Lab Geofluides Bassins Eaux, UMR 5569, Case 057,Pl E Bataillon, F-34095 Montpellier 5, France.</t>
  </si>
  <si>
    <t>10.1016/S0883-2927(98)00016-X</t>
  </si>
  <si>
    <t>http://dx.doi.org/10.1016/S0883-2927(98)00016-X</t>
  </si>
  <si>
    <t>138QE</t>
  </si>
  <si>
    <t>WOS:000076983100007</t>
  </si>
  <si>
    <t>Charifi, M; Miserazzi, A; Sow, M; Perrigault, M; Gonzalez, P; Ciret, P; Benomar, S; Massabuau, JC</t>
  </si>
  <si>
    <t>Charifi, Mohcine; Miserazzi, Alison; Sow, Mohamedou; Perrigault, Mickael; Gonzalez, Patrice; Ciret, Pierre; Benomar, Soumaya; Massabuau, Jean-Charles</t>
  </si>
  <si>
    <t>Noise pollution limits metal bioaccumulation and growth rate in a filter feeder, the Pacific oyster Magallana gigas</t>
  </si>
  <si>
    <t>CRASSOSTREA-GIGAS; GENE-EXPRESSION; CORBICULA-FLUMINEA; CADMIUM; ACCUMULATION; TOXICITY; EXPOSURE; BEHAVIOR; STRESS; SOUND</t>
  </si>
  <si>
    <t>Shipping has increased dramatically in recent decades and oysters can hear them. We studied the interaction between noise pollution and trace metal contamination in the oyster Magallana gigas. Four oyster-groups were studied during a 14-day exposure period. Two were exposed to cadmium in the presence of cargo ship-noise ([Cd++]w approximate to 0.5 mu g-L-1; maximum sound pressure level 150 dBrms re 1 mu Pa), and 2 were exposed only to cadmium. The Cd concentration in the gills ([Cd]g) and the digestive gland ([Cd]dg), the valve closure duration, number of valve closures and circadian distribution of opening and closure, the daily shell growth-rate and the expression of 19 genes in the gills were studied. Oysters exposed to Cd in the presence of cargo ship-noise accumulated 2.5 times less Cd in their gills than did the controls without ship noise and their growth rate was 2.6 times slower. In the presence of ship noise, oysters were closed more during the daytime, and their daily valve activity was reduced. Changes in gene activity in the gills were observed in 7 genes when the Cd was associated with the ship noise. In the absence of ship noise, a change in expression was measured in 4 genes. We conclude that chronic exposure to cargo ship noise has a depressant effect on the activity in oysters, including on the volume of the water flowing over their gills (Vw). In turn, a decrease in the Vw and valve-opening duration limited metal exposure and uptake by the gills but also limited food uptake. This latter conclusion would explain the slowing observed in the fat metabolism and growth rate. Thus, we propose that cargo ship noise exposure could protect against metal bioaccumulation and affect the growth rate. This latter conclusion points towards a potential risk in terms of ecosystem productivity.</t>
  </si>
  <si>
    <t>[Charifi, Mohcine; Miserazzi, Alison; Sow, Mohamedou; Perrigault, Mickael; Gonzalez, Patrice; Ciret, Pierre; Massabuau, Jean-Charles] Univ Bordeaux, EPOC, Arcachon, France; [Charifi, Mohcine; Miserazzi, Alison; Sow, Mohamedou; Perrigault, Mickael; Gonzalez, Patrice; Ciret, Pierre; Massabuau, Jean-Charles] CNRS, EPOC, Talence, France; [Charifi, Mohcine; Benomar, Soumaya] Mohammed V Agdal Univ, Fac Sci, Unit Res Biol Rhythms Neurosci &amp; Environm, Rabat, Morocco</t>
  </si>
  <si>
    <t>Universite de Bordeaux; Centre National de la Recherche Scientifique (CNRS); Centre National de la Recherche Scientifique (CNRS); Mohammed V University in Rabat</t>
  </si>
  <si>
    <t>Massabuau, JC (corresponding author), Univ Bordeaux, EPOC, Arcachon, France.;Massabuau, JC (corresponding author), CNRS, EPOC, Talence, France.</t>
  </si>
  <si>
    <t>jean-charles.massabuau@u-bordeaux.fr</t>
  </si>
  <si>
    <t>Gonzalez, Patrice/KGK-5933-2024; Perrigault, Mickael/P-2887-2017</t>
  </si>
  <si>
    <t>Gonzalez, Patrice/0000-0003-2628-2993; Massabuau, Jean-Charles/0000-0003-1302-1719; Perrigault, Mickael/0000-0002-7271-100X</t>
  </si>
  <si>
    <t>Campus France; ANR [ANR-15-CE04-0002-02]; NEUROMED; Institut National de la Sante et de la Recherche Medical (INSERM); GDRI de Neurosciences, n 198, Embassy of France, Institut Francais in Morocco; MoIIuSCAN Eye Project; Centre National pour la Recherche Scientifique et Technique (CNRST); TOTAL RD [FR00008208]; Agence Nationale de la Recherche (ANR) [ANR-15-CE04-0002] Funding Source: Agence Nationale de la Recherche (ANR)</t>
  </si>
  <si>
    <t>Campus France; ANR(Agence Nationale de la Recherche (ANR)); NEUROMED; Institut National de la Sante et de la Recherche Medical (INSERM)(Institut National de la Sante et de la Recherche Medicale (Inserm)); GDRI de Neurosciences, n 198, Embassy of France, Institut Francais in Morocco; MoIIuSCAN Eye Project; Centre National pour la Recherche Scientifique et Technique (CNRST); TOTAL RD; Agence Nationale de la Recherche (ANR)(Agence Nationale de la Recherche (ANR))</t>
  </si>
  <si>
    <t>This study was supported by grants from Campus France, ANR (ANR-15-CE04-0002-02 WAQMOS), NEUROMED, the Institut National de la Sante et de la Recherche Medical (INSERM), the GDRI de Neurosciences, n 198, Embassy of France, Institut Francais in Morocco, the MoIIuSCAN Eye Project, and the Centre National pour la Recherche Scientifique et Technique (CNRST) to M.C.. TOTAL R&amp;D provided a grant (no. FR00008208) to A.M.. The funders had no role in study design, data collection and analysis, decision to publish, or preparation of the manuscript.</t>
  </si>
  <si>
    <t>APR 4</t>
  </si>
  <si>
    <t>e0194174</t>
  </si>
  <si>
    <t>10.1371/journal.pone.0194174</t>
  </si>
  <si>
    <t>http://dx.doi.org/10.1371/journal.pone.0194174</t>
  </si>
  <si>
    <t>GB6SR</t>
  </si>
  <si>
    <t>WOS:000429203800022</t>
  </si>
  <si>
    <t>Ugge, GMOE; Jonsson, A; Walstad, A; Berglund, O</t>
  </si>
  <si>
    <t>Ugge, Gustaf M. O. Ekelund; Jonsson, Annie; Walstad, Anders; Berglund, Olof</t>
  </si>
  <si>
    <t>Evaluation of transcriptional biomarkers using a high-resolution regression approach: Concentration-dependence of selected transcripts in copper-exposed freshwater mussels (Anodonta anatina)</t>
  </si>
  <si>
    <t>Bivalves; Dose-response; Response magnitude; Molecular biomarkers; RT-qPCR; Unionida</t>
  </si>
  <si>
    <t>DREISSENA-ROSTRIFORMIS-BUGENSIS; GENE-EXPRESSION; RAINBOW-TROUT; OXIDATIVE STRESS; BIOACCUMULATION; RESPONSES; CADMIUM; FISH; MECHANISMS; POLLUTION</t>
  </si>
  <si>
    <t>We tested concentration-dependence of selected gene transcripts (cat, gst, hsp70, hsp90, mt and sod) for evaluation as biomarkers of chemical stress. Contrary to the common approach of factorial designs and few exposure concentrations, we used regression across a high-resolution concentration series. Specifically, freshwater mussels (Anodonta anatina) were acutely (96 h) exposed to Cu (13 nominal concentrations, measuring 0.13-1 600 mu g/L), and transcripts were measured by RT-qPCR. In digestive glands, cat, hsp90 and mt decreased with water Cu (p &lt; 0.05), but response magnitudes saturated at &lt; 2-fold decreases. In gills, gst, hsp70, hsp90 and mt increased with water Cu (p &lt; 0.05). While hsp70, hsp90 and mt exceeded 2-fold increases within the exposure range, high Cu concentrations were required (38-160 mu g/L). Although gill responses were generally more robust compared to digestive glands, overall small response magnitudes and moderate sensitivity may set limit for potential application as general biomarkers of chemical stress.</t>
  </si>
  <si>
    <t>[Ugge, Gustaf M. O. Ekelund; Berglund, Olof] Lund Univ, Dept Biol, Solvegatan 37, SE-22362 Lund, Sweden; [Ugge, Gustaf M. O. Ekelund; Jonsson, Annie] Univ Skovde, Sch Biosci, Hgsk Vagen 3, SE-54146 Skovde, Sweden; [Walstad, Anders] ALS Scandinavia Toxicon AB, Rosenhallsvagen 29, SE-26192 Harslov, Sweden</t>
  </si>
  <si>
    <t>Lund University; University of Skovde</t>
  </si>
  <si>
    <t>Ugge, GMOE (corresponding author), Lund Univ, Dept Biol, Solvegatan 37, SE-22362 Lund, Sweden.</t>
  </si>
  <si>
    <t>gustaf.ekelund_ugge@biol.lu.se</t>
  </si>
  <si>
    <t>Ekelund Ugge, Gustaf M.O./L-6630-2018</t>
  </si>
  <si>
    <t>Ekelund Ugge, Gustaf M.O./0000-0002-2418-1163; Berglund, Olof/0000-0002-5785-0087</t>
  </si>
  <si>
    <t>Swedish Knowledge Foundation; Royal Physiographic Society of Lund</t>
  </si>
  <si>
    <t>This work was supported by the Swedish Knowledge Foundation and the Royal Physiographic Society of Lund. It was also co-funded by the commercial companies ALS Scandinavia Toxicon AB (Landskrona, Sweden) and TATAA Biocenter AB (Gothenburg, Sweden) , as part of the project WaterAssess. TATAA Biocenter AB was involved in designing and performing the transcriptional biomarker assays, and ALS Scandi-navia (Lulea, Sweden; parent company of Toxicon AB) performed the chemical analyses of tissue and water samples. Anders Walstad (ALS Scandinavia Toxicon AB) was involved in performing the laboratory exposures. Otherwise, experimental design and data analysis was car-ried out largely without involvement of the funding sources. Where potentially present, commercial interests have been judged not to bias the scientific.</t>
  </si>
  <si>
    <t>10.1016/j.etap.2021.103795</t>
  </si>
  <si>
    <t>http://dx.doi.org/10.1016/j.etap.2021.103795</t>
  </si>
  <si>
    <t>0U9KG</t>
  </si>
  <si>
    <t>WOS:000787964100006</t>
  </si>
  <si>
    <t>Jaini, M; Namboothri, N</t>
  </si>
  <si>
    <t>Jaini, Mahima; Namboothri, Naveen</t>
  </si>
  <si>
    <t>Boat paint and epoxy fragments-Leading contributors of microplastic pollution in surface waters of a protected Andaman bay</t>
  </si>
  <si>
    <t>Microplastic pollution; Protected area; Andaman; Marine coating fragments; Boat paint and epoxy particles</t>
  </si>
  <si>
    <t>MARINE; ZOOPLANKTON; PARTICLES; SEA; BIOAVAILABILITY; OYSTER; IMPACT; LEVEL</t>
  </si>
  <si>
    <t>Plastic pollution is a growing concern even in India's remotest oceanic islands. To understand the extent of the problem in relatively undisturbed areas of the Andaman and Nicobar Islands, we nested a microplastic survey within a year-long meroplankton study in the protected bay of the Lohabarrack salt water crocodile sanctuary, that lies on the less populated west coast of South Andaman Island. Surveys recovered microplastics year-round, in 299 out of 300 samples. The average microplastic density in the protected bay was 0.45 +/- 0.32 particles per m3. Densities were highest during the monsoon, peaking at 2.34 particles per m3. Marine coating fragments (boat paint and epoxy, 58%) dominated the plastic debris composition year-round, while fibre only amounted to 15%. Marine coating fragments were most frequently encountered during the pre-monsoon, while fibres and other miscellaneous debris grew in abundance during the monsoon and post-monsoon months. Marine coating fragments were eaten by arrow worms, gastropods, appendicularians and Lucifer shrimp, and constituted 7% of the arrow worm diet. Microplastic density and composition found in this west facing protected bay was in stark contrast to the previously published observations from the east facing, human dominated Port Blair bay, providing clear indication of sources and potential mitigation strategies. This is the first year-long record of ocean plastics from the Andaman Islands, India and it provides evidence of pollution by boat paint and epoxy particles, an often-overlooked component of microplastic pollution.</t>
  </si>
  <si>
    <t>[Jaini, Mahima; Namboothri, Naveen] Dakshin Fdn, 2203 D Block,8th Main,16th D Cross, Bangalore 560092, Karnataka, India; [Jaini, Mahima] TG 2B 1-12 Garden Estate, Gurgaon 122002, Haryana, India</t>
  </si>
  <si>
    <t>Jaini, M (corresponding author), TG 2B 1-12 Garden Estate, Gurgaon 122002, Haryana, India.</t>
  </si>
  <si>
    <t>jainimahima@gmail.com</t>
  </si>
  <si>
    <t>Jaini, Mahima/0000-0003-4942-718X</t>
  </si>
  <si>
    <t>10.1016/j.chemosphere.2022.137183</t>
  </si>
  <si>
    <t>http://dx.doi.org/10.1016/j.chemosphere.2022.137183</t>
  </si>
  <si>
    <t>7I0GQ</t>
  </si>
  <si>
    <t>WOS:000903574400001</t>
  </si>
  <si>
    <t>Franzellitti, S; Prada, F; Viarengo, A; Fabbri, E</t>
  </si>
  <si>
    <t>Franzellitti, Silvia; Prada, Fiorella; Viarengo, Aldo; Fabbri, Elena</t>
  </si>
  <si>
    <t>Evaluating bivalve cytoprotective responses and their regulatory pathways in a climate change scenario</t>
  </si>
  <si>
    <t>Temperature; Antibiotic; Metal; Stress response; Transcriptional control; Marine mussel</t>
  </si>
  <si>
    <t>DEPENDENT PROTEIN-KINASE; MYTILUS-GALLOPROVINCIALIS; MULTIXENOBIOTIC RESISTANCE; GENE-EXPRESSION; STRESS SYNDROME; MUSSEL; TEMPERATURE; COPPER; ENVIRONMENT; TOXICITY</t>
  </si>
  <si>
    <t>Temperature is a relevant abiotic factor affecting physiological performance and distribution of marine animals in natural environments. The changes in global seawater temperatures make it necessary to understand how molecular mechanisms operate under the cumulative effects of global climate change and chemical pollution to promote/hamper environmental acclimatization. Marine mussels are excellent model organisms to infer the impacts of those anthropogenic threats on coastal ecosystems. In this study, Mediterranean mussels (Mytilus galloprovincialis) were exposed to different concentrations of the metal copper (Cu as CuCl2: 2.5, 5, 10, 20, 40 mu g/L) or the antibiotic oxytetracycline (OTC: 0.1, 1, 10, 100, 1000 mu g/L) at increasing seawater temperatures (16 degrees C, 20 degrees C, 24 degrees C). Transcriptional modulation of a 70-kDa heat shock protein (HSP70) and of the ABC transporter P-glycoprotein (P-gp, encoded by the ABCB gene) was assessed along with the cAMP/PKA signaling pathway regulating both gene expressions. At the physiological temperature of mussels (16 degrees C), Cu and OTC induced bimodal changes of cAMP levels and PKA activities in gills of exposed animals. A correlation between OTC- or Cu-induced changes of PKA activity and expression of hsp70 and ABCB was observed. Temperature increases (up to 24 degrees C) altered ABCB and hsp70 responses to the pollutants and disrupted their relationship with cAMP/PKA modulation, leading to loss of correlation between the biological endpoints. On the whole, the results indicate that temperature may impair the effects of inorganic and organic chemicals on the cAMP/PKA signaling pathway of mussels, in turn altering key molecular mediators of physiological plasticity and cytoprotection. (C) 2020 Elsevier B.V. All rights reserved.</t>
  </si>
  <si>
    <t>[Franzellitti, Silvia; Fabbri, Elena] Univ Bologna, Dept Biol Geol &amp; Environm Sdences BiGeA, Anim &amp; Environm Physiol Lab, Ravenna, Italy; [Franzellitti, Silvia; Prada, Fiorella] Univ Bologna, Fano Marine Ctr, Dept Biol Geol &amp; Environm Sci BiGeA, Fano, Italy; [Prada, Fiorella] Univ Bologna, Dept Biol Geol &amp; Environm Sci BiGeA, Marine Sci Grp, Bologna, Italy; [Viarengo, Aldo] Ist Ric Farmacol Mario Negri IRCCS, Ecotoxicol &amp; Environm Safety Unit, Milan, Italy</t>
  </si>
  <si>
    <t>University of Bologna; University of Bologna; University of Bologna; Istituto di Ricerche Farmacologiche Mario Negri IRCCS</t>
  </si>
  <si>
    <t>Franzellitti, S (corresponding author), Univ Bologna, Dept Biol Geol &amp; Environm Sdences BiGeA, Anim &amp; Environm Physiol Lab, Ravenna, Italy.</t>
  </si>
  <si>
    <t>silvia.franzellitti@unibo.it</t>
  </si>
  <si>
    <t>Franzellitti, Silvia/0000-0001-6104-7812; FABBRI, Elena/0000-0002-9957-8202</t>
  </si>
  <si>
    <t>10.1016/j.scitotenv.2020.137733</t>
  </si>
  <si>
    <t>http://dx.doi.org/10.1016/j.scitotenv.2020.137733</t>
  </si>
  <si>
    <t>LD0PY</t>
  </si>
  <si>
    <t>WOS:000525736600061</t>
  </si>
  <si>
    <t>Aguilera, C; Leija, A; Torres, M; Mendoza, R</t>
  </si>
  <si>
    <t>Aguilera, Carlos; Leija, Antonio; Torres, Milton; Mendoza, Roberto</t>
  </si>
  <si>
    <t>Assessment of Environmental Quality in the Tamaulipas Laguna Madre, Gulf of Mexico, by Integrated Biomarker Response Using the Cross-Barred Venus Clam Chione elevata</t>
  </si>
  <si>
    <t>Clam; Biomarkers; IBR; Pollution; Laguna Madre</t>
  </si>
  <si>
    <t>MYTILUS-GALLOPROVINCIALIS; USEFUL TOOL; BALTIC SEA; POLLUTANTS; ORGANISMS; SEDIMENTS; POLLUTION; NORTHERN; INDEX; BAY</t>
  </si>
  <si>
    <t>The entire Laguna Madre of Tamaulipas is a natural protected area and a Priority Marine Region of Mexico. However, its important biodiversity and high levels of endemism are threatened by the discharge of different pollutants and activities related to the ocean oil and gas industry. Therefore, the assessment of these effects on this marine ecosystem is of paramount importance. At present, the joint approach of monitoring chemical contaminant levels, alongside the use of pollution biomarkers as surrogate measures of biological impact within the environment, provides the better evaluation of the environmental hazard. Within this context, a biomonitoring study using native Chione elevata mussels sampled from four locations along the Mexican Laguna Madre coasts evaluated whether a battery of select biomarkers was suitable for identifying and quantifying pollution-induced stress in mussels. The levels of acetylcholinesterase (AChE), butyrylcholinesterase (BChE), carboxylesterase (CaE), alkaline phosphatase (ALP), glutathione s-transferase (GST), and the oxygen radical absorbance capacity (ORAC) were measured in soft tissues samples. Different metals (Cd, Pb, Cu, Zn, and Fe) as well as total heavy hydrocarbons were also determined in sediments. Higher concentrations of metals were observed in sampling localities with marine influence possibly related to the presence of marine grass. The concentration of total heavy hydrocarbons, as expected, was higher in sites with intensive fishing activity. The integrated biomarker response (IBR) and the condition index of mussels allowed discriminating between localities of continental and marine influence, revealing that the sampling stations with continental influence were subjected to a greater stress as a result of anthropogenic effects.</t>
  </si>
  <si>
    <t>[Aguilera, Carlos; Leija, Antonio; Torres, Milton; Mendoza, Roberto] Univ Autonoma Nuevo Leon, Dept Ecol, Lab Ecofisiol, Fac Ciencias Biol, Apartado Postal F-96, San Nicolas De Los Garza 66450, NL, Mexico</t>
  </si>
  <si>
    <t>Universidad Autonoma de Nuevo Leon</t>
  </si>
  <si>
    <t>Mendoza, R (corresponding author), Univ Autonoma Nuevo Leon, Dept Ecol, Lab Ecofisiol, Fac Ciencias Biol, Apartado Postal F-96, San Nicolas De Los Garza 66450, NL, Mexico.</t>
  </si>
  <si>
    <t>roberto.mendoza@yahoo.com</t>
  </si>
  <si>
    <t>Aguilera Gonzalez, Carlos Javier/0000-0003-3756-5323; MENDOZA, ROBERTO/0000-0001-7632-8107</t>
  </si>
  <si>
    <t>Programs for the Support of Scientific and Technological Research [CONACYT 105116, PAICYT CN781-11]</t>
  </si>
  <si>
    <t>Programs for the Support of Scientific and Technological Research</t>
  </si>
  <si>
    <t>The work received financial support from the Programs for the Support of Scientific and Technological Research (CONACYT 105116, PAICYT CN781-11).</t>
  </si>
  <si>
    <t>10.1007/s11270-019-4078-0</t>
  </si>
  <si>
    <t>http://dx.doi.org/10.1007/s11270-019-4078-0</t>
  </si>
  <si>
    <t>HH8DC</t>
  </si>
  <si>
    <t>WOS:000455960900001</t>
  </si>
  <si>
    <t>Binkowski, LJ; Blaszczyk, M; Przystupinska, A; Ozgo, M; Massanyi, P</t>
  </si>
  <si>
    <t>Binkowski, Lukasz J.; Blaszczyk, Martyna; Przystupinska, Anna; Ozgo, Malgorzata; Massanyi, Peter</t>
  </si>
  <si>
    <t>Metal concentrations in archaeological and contemporary mussel shells (Unionidae): Reconstruction of past environmental conditions and the present state</t>
  </si>
  <si>
    <t>Mollusk; Accumulation; Archaeomalacology; Metals; Pollution</t>
  </si>
  <si>
    <t>UNIO-TUMIDUS; HEAVY-METALS; WATER; SEDIMENTS; RIVER; POPULATION; CADMIUM; LAKES; ZINC; PB</t>
  </si>
  <si>
    <t>Freshwater mussels are widely used in the monitoring of pollution because they are filter-feeding, longlived animals that tend to accumulate metals in their shells. The temporal scale of such studies can reach thousands of years, since the composition of shells preserves them against decay. This allows us to reconstruct past environmental conditions and to compare current environmental conditions to those prevalent thousands of years ago. Here we assessed metal concentrations (Ca, Cd, Cr, Cu, Fe, Hg, Ni, Pb and Zn) in recently harvested mussel shells and mussel shells found by archaeologists, and tested the hypothesis that levels of some metals are higher in today's shells, reflecting increasing anthropogenic impact. We observed lower metal concentrations (with the exception of Cd) in shells found by archaeologists (n = 35) than in recently harvested mussel shells (n = 14) (Unio crassus, Unio pictorum, Unio tumidus) in the same water bodies. There were no significant differences in metal levels among species in shells found by archaeologists, while in recently harvested mussels almost all metals for which we tested were found in their highest levels in Unio crassus. The results suggest that metal concentrations in prehistoric times were lower than today, which probably reflects human impact, rather than changes in the geochemical structure of rocks. The results also revealed that metal transfer between mussel shells and surrounding deposits does not occur. We therefore suggest that they might be successfully used as independent bioindicators. (C) 2019 Elsevier Ltd. All rights reserved.</t>
  </si>
  <si>
    <t>[Binkowski, Lukasz J.; Blaszczyk, Martyna; Przystupinska, Anna] Pedag Univ Cracow, Inst Biol, Podbrzezie 3, PL-31054 Krakow, Poland; [Ozgo, Malgorzata] Kazimierz Wielki Univ, Dept Evolutionary Biol, Ossolinskich 12, PL-85064 Bydgoszcz, Poland; [Massanyi, Peter] Slovak Univ Agr, Dept Anim Physiol, Trieda Hlinku 2, Nitra 94901, Slovakia</t>
  </si>
  <si>
    <t>Pedagogical University of Cracow; Kazimierz Wielki University; Slovak Agricultural Research Center; Slovak University of Agriculture Nitra</t>
  </si>
  <si>
    <t>Binkowski, LJ (corresponding author), Pedag Univ Cracow, Inst Biol, Podbrzezie 3, PL-31054 Krakow, Poland.</t>
  </si>
  <si>
    <t>ljbinkowski@gmail.com; martynablaszczyk88@tlen.pl; anna0543@o2.pl; mozgo.biol@interia.pl; peter.massanyi@uniag.sk</t>
  </si>
  <si>
    <t>Massanyi, Peter/ABC-3626-2021; Błaszczyk, Martyna/AAS-1191-2021; Binkowski, Lukasz/F-1054-2012; Ozgo, Malgorzata/F-3150-2018</t>
  </si>
  <si>
    <t>Binkowski, Lukasz/0000-0001-7271-2371; Massanyi, Peter/0000-0002-4216-0948; Blaszczyk-Altman, Martyna/0000-0002-8611-6631; Ozgo, Malgorzata/0000-0002-9999-8450</t>
  </si>
  <si>
    <t>Minister of Science and Higher Education Regional Initiative of Excellence [008/RID/2018/19]</t>
  </si>
  <si>
    <t>Minister of Science and Higher Education Regional Initiative of Excellence</t>
  </si>
  <si>
    <t>This study contributes to the project no. 008/RID/2018/19 financed within the program of the Minister of Science and Higher Education Regional Initiative of Excellence 2019-2022.</t>
  </si>
  <si>
    <t>10.1016/j.chemosphere.2019.04.190</t>
  </si>
  <si>
    <t>http://dx.doi.org/10.1016/j.chemosphere.2019.04.190</t>
  </si>
  <si>
    <t>IC6LX</t>
  </si>
  <si>
    <t>WOS:000471084700085</t>
  </si>
  <si>
    <t>Regoli, F; Nigro, M; Orlando, E</t>
  </si>
  <si>
    <t>Lysosomal and antioxidant responses to metals in the Antarctic scallop Adamussium colbecki</t>
  </si>
  <si>
    <t>Adamussium colbecki; trace metals; lysosomal responses; antioxidant defenses; biomarkers; Italian Base</t>
  </si>
  <si>
    <t>MYTILUS-EDULIS-L; WATER-ACCOMMODATED FRACTION; DIGESTIVE CELLS; COMMON MUSSEL; ENVIRONMENTAL CONTAMINANTS; QUANTITATIVE ALTERATIONS; MARINE-INVERTEBRATES; OXIDATIVE STRESS; AQUATIC ANIMALS; POLLUTION</t>
  </si>
  <si>
    <t>Lysosomal and antioxidant responses were investigated in the Antarctic scallop Adamussium colbecki exposed under laboratory conditions to metals as well as in specimens transplanted from a pristine area to the Bay receiving the discharges of the Italian Base. Exposure to copper and mercury resulted in a significant reduction of lysosomal membrane stability and in the appearance of severe morphological alterations varying from the presence of enlarged lysosomes to the loss of lysosomal structures. More limited effects were observed in Pb-exposed scallops. Moreover, laboratory exposures to Cu and Hg greatly depleted the levels of total glutathione and the activities of catalase and glutathione S-transferases were significantly reduced. More variable were the responses of glutathione peroxidases while superoxide dismutase remained almost constant. The interaction between lysosomal alterations and antioxidant defences is discussed and the results interpreted in view of the extreme environmental conditions for the Antarctic organisms. The results obtained from the transplantation experiment indicated only very limited effects on scallops translocated near the effluents of the Italian Base suggesting that the biological impact of the Base should not have major deleterious consequences on benthic marine communities. (C) 1998 Elsevier Science B.V. All rights reserved.</t>
  </si>
  <si>
    <t>Univ Pisa, Dipartimento Biomed Sperimentale Infett &amp; Pubbl, I-56100 Pisa, Italy</t>
  </si>
  <si>
    <t>University of Pisa</t>
  </si>
  <si>
    <t>Univ Pisa, Dipartimento Biomed Sperimentale Infett &amp; Pubbl, Via Volta 4, I-56100 Pisa, Italy.</t>
  </si>
  <si>
    <t>regoli@popcsi.unian.it</t>
  </si>
  <si>
    <t>10.1016/S0166-445X(97)00059-3</t>
  </si>
  <si>
    <t>http://dx.doi.org/10.1016/S0166-445X(97)00059-3</t>
  </si>
  <si>
    <t>WOS:000072697500005</t>
  </si>
  <si>
    <t>Bouzidi, I; Beyrem, H; Mahmoudi, E; Al-Hoshani, N; Pacioglu, O; Boufahja, F; Sellami, B</t>
  </si>
  <si>
    <t>Bouzidi, Imen; Beyrem, Hamouda; Mahmoudi, Ezzeddine; Al-Hoshani, Nawal; Pacioglu, Octavian; Boufahja, Fehmi; Sellami, Badreddine</t>
  </si>
  <si>
    <t>The development of decontamination methods in coastal marine habitats by transplantation of the mussel Mytilus galloprovincialis (Lamarck, 1819): Comparison between in vivo and in situ investigations</t>
  </si>
  <si>
    <t>Heavy metals; Microplastics; Bivalves; Biomarkers; Biomonitoring</t>
  </si>
  <si>
    <t>ENVIRONMENTAL-STRESS; POLLUTION; LAGOON; CONTAMINATION; RESPONSES; MICROPLASTICS; VALIDATION; MOLLUSKS</t>
  </si>
  <si>
    <t>The health status of Mytilus galloprovincialis native from a polluted habitat was surveyed before and after 30 and 60 days of in situ transplantation and in vivo experiments. The results showed a reduction in filtration rate by 24 % and 45 %, respectively, after 60 days of in vivo and in situ experiments compared to the rates at polluted sites. The respiration rate reached a minimum of 0.081 &amp; PLUSMN; 0.05 mg O2.L- 1 after 60 days of in situ transplantation. Moreover, the antioxidant activities were changed in a time-dependent manner for both transplantation conditions. The highest superoxide dismutase and catalase activities corresponded to the stressed mussels and declined by 76 % and 54 %, respectively, after 60 days of in situ transplantation. Changes in lipid peroxidation and acetylcholinesterase activity were observed in internal organs following 60 days of transplantation. At this time slot, the lowest content of metals and microplastics was also noticed.</t>
  </si>
  <si>
    <t>[Bouzidi, Imen; Beyrem, Hamouda; Mahmoudi, Ezzeddine] Univ Carthage, Fac Sci Bizerta, Coastal Ecol Unit, Lab Environm Biomonitoring, Zarzouna, Tunisia; [Bouzidi, Imen] Univ Jendouba, Inst Super Biotechnol Beja, Jendouba, Tunisia; [Al-Hoshani, Nawal] Princess Nourah Bint Abdulrahman Univ, Coll Sci, Dept Biol, POB 84428, Riyadh 11671, Saudi Arabia; [Pacioglu, Octavian] Natl Inst Res &amp; Dev Biol Sci, Dept Bioinformat, Splaiul Independentei 296, Bucharest 060031, Romania; [Boufahja, Fehmi] Imam Mohammad Ibn Saud Islamic Univ IMSIU, Coll Sci, Biol Dept, Riyadh 11623, Saudi Arabia; [Sellami, Badreddine] Inst Natl Sci &amp; Technol Mer, Tabarka, Tunisia</t>
  </si>
  <si>
    <t>Universite de Carthage; Universite de Jendouba; Princess Nourah bint Abdulrahman University; National Research Institute for Biological Sciences; Imam Mohammad Ibn Saud Islamic University (IMSIU); Institut National des Sciences et Technologies de la Mer</t>
  </si>
  <si>
    <t>Boufahja, F (corresponding author), Imam Mohammad Ibn Saud Islamic Univ IMSIU, Coll Sci, Biol Dept, Riyadh 11623, Saudi Arabia.</t>
  </si>
  <si>
    <t>faboufahja@imamu.edu.sa</t>
  </si>
  <si>
    <t>Pacioglu, Octavian/A-2347-2017; MAHMOUDI, Ezzeddine/ISS-6035-2023</t>
  </si>
  <si>
    <t>Princess Nourah bint Abdulrahman University, Riyadh, Saudi Arabia [PNURSP2023R437]; projects Analysis of the potential for sustainable use of vegetation specific to the Danube-Danube Delta-Black Sea system [108630]; National Core Program-Romanian Ministry of Research and Innovation, Romania [SIA-PRO 23020101]; European Regional Development Fund; Romanian National Authority for Scientific Research and Innovation (UEFISCDI), Romania [PN-III-P1-1.1-TE-2021-0221]; Academy of Finland (AKA) [108630] Funding Source: Academy of Finland (AKA)</t>
  </si>
  <si>
    <t>Princess Nourah bint Abdulrahman University, Riyadh, Saudi Arabia(Princess Nourah bint Abdulrahman University); projects Analysis of the potential for sustainable use of vegetation specific to the Danube-Danube Delta-Black Sea system; National Core Program-Romanian Ministry of Research and Innovation, Romania; European Regional Development Fund(European Union (EU)); Romanian National Authority for Scientific Research and Innovation (UEFISCDI), Romania; Academy of Finland (AKA)(Research Council of Finland)</t>
  </si>
  <si>
    <t>The authors extend their appreciation to the Princess Nourah bint Abdulrahman University Researchers Supporting Project number (PNURSP2023R437), Princess Nourah bint Abdulrahman University, Riyadh, Saudi Arabia. Octavian Pacioglu was funded by the projects Analysis of the potential for sustainable use of vegetation specific to the Danube-Danube Delta-Black Sea system, Code 108630, co-financed by the European Regional Development Fund, National Core Program-Romanian Ministry of Research and Innovation, Romania, Project SIA-PRO 23020101 and by a grant from the Romanian National Authority for Scientific Research and Innovation (UEFISCDI), Romania, Project Number PN-III-P1-1.1-TE-2021-0221.</t>
  </si>
  <si>
    <t>10.1016/j.marpolbul.2023.115230</t>
  </si>
  <si>
    <t>http://dx.doi.org/10.1016/j.marpolbul.2023.115230</t>
  </si>
  <si>
    <t>N4OB6</t>
  </si>
  <si>
    <t>WOS:001036813900001</t>
  </si>
  <si>
    <t>Zhang, YQ; Zhang, M; Yu, WX; Li, JY; Kong, DY</t>
  </si>
  <si>
    <t>Zhang, Yueqing; Zhang, Meng; Yu, Weixian; Li, Juying; Kong, Deyang</t>
  </si>
  <si>
    <t>Ecotoxicological risk ranking of 19 metals in the lower Yangtze River of China based on their threats to aquatic wildlife</t>
  </si>
  <si>
    <t>Metals; Ecotoxicological risk; Aquatic ecosystem; Pollution</t>
  </si>
  <si>
    <t>CHEMICALS; TOXICITY; DERIVATION; MUSSEL; REGION; OXIDE; IRON; PNEC</t>
  </si>
  <si>
    <t>With thousands of chemicals discharged into the aquatic environment, it is necessary to identify those that are likely to be having the greatest impact on wildlife to better protect the ecosystem. A risk ranking approach was developed to compare the ecotoxicological risk of chemicals on aquatic wildlife with a wide range of environmental measurement data and ecotoxicity data. Nineteen metals including some rarely monitored ones including antimony (Sb), molybdenum (Mo), cobalt (Co), vanadium (V), titanium (Ti) and thallium (Tl) in the lower Yangtze River were risk ranked as a case study. The risk ranking approach was conducted in three tiers: general risk ranking, lethal effects vs. non-lethal effects risk ranking, and species group-specific risk ranking. Iron, copper and titanium were identified as being of greatest concern. The contamination of iron, zinc, copper and nickel was widespread and may have already harmed wildlife according to the overlap between ecotoxicity and monitored levels. Based on this analysis, the risk from copper and some rarely monitored metals (titanium and boron) may have been underestimated. Greater efforts to reduce copper, iron and titanium contamination could make an important difference to the health of Chinese freshwater organisms in the Yangtze River.</t>
  </si>
  <si>
    <t>[Zhang, Yueqing; Li, Juying; Kong, Deyang] Minist Environm &amp; Ecol China, Nanjing Inst Environm Sci, Nanjing 210042, Peoples R China; [Zhang, Meng] Chinese Acad Sci, Res Ctr Ecoenvironm Sci, Beijing 100085, Peoples R China; [Yu, Weixian] Hohai Univ, Sch Sci, Nanjing 211100, Peoples R China</t>
  </si>
  <si>
    <t>Chinese Academy of Sciences; Research Center for Eco-Environmental Sciences (RCEES); Hohai University</t>
  </si>
  <si>
    <t>Kong, DY (corresponding author), Minist Environm &amp; Ecol China, Nanjing Inst Environm Sci, Nanjing 210042, Peoples R China.</t>
  </si>
  <si>
    <t>kdy@nies.org</t>
  </si>
  <si>
    <t>Zhang, Yueqing/JMC-2296-2023</t>
  </si>
  <si>
    <t>Zhang, Yueqing/0000-0001-8559-5223</t>
  </si>
  <si>
    <t>Central Public-interest Scientific Institution Basal Research Fund of China [GYZX210502, GYZX200204]</t>
  </si>
  <si>
    <t>Central Public-interest Scientific Institution Basal Research Fund of China</t>
  </si>
  <si>
    <t>The study was supported by Central Public-interest Scientific Institution Basal Research Fund of China (GYZX210502 and GYZX200204). The authors are grateful for advice and assistance from Andrew Johnson of UKCEH (UK) with the manuscript.</t>
  </si>
  <si>
    <t>10.1016/j.scitotenv.2021.152370</t>
  </si>
  <si>
    <t>http://dx.doi.org/10.1016/j.scitotenv.2021.152370</t>
  </si>
  <si>
    <t>YD2RG</t>
  </si>
  <si>
    <t>WOS:000740223300013</t>
  </si>
  <si>
    <t>Browne, MA; Brooks, PR; Clough, R; Fisher, AS; Pinto, MM; Crowe, TP</t>
  </si>
  <si>
    <t>Browne, Mark Anthony; Brooks, Paul R.; Clough, Robert; Fisher, Andrew S.; Pinto, Mariana Mayer; Crowe, Tasman P.</t>
  </si>
  <si>
    <t>Simulating regimes of chemical disturbance and testing impacts in the ecosystem using a novel programmable dosing system</t>
  </si>
  <si>
    <t>METHODS IN ECOLOGY AND EVOLUTION</t>
  </si>
  <si>
    <t>assemblage; cell; ecologically relevant; environmentally relevant; filtration; in situ; levels of biological organization; multiple stressors; pollution</t>
  </si>
  <si>
    <t>MYTILUS-EDULIS; COPPER; FIELD; MUSSEL; SUSCEPTIBILITY; INCUBATION; HEMOCYTES; EXPOSURE; QUALITY</t>
  </si>
  <si>
    <t>1. Pollution is a global issue at the frontier between ecology, environmental science, management, engineering and policy. Legislation requires experiments to determine how much contamination an ecosystem can absorb before there are structural or functional changes. Yet, existing methods cannot realistically simulate regimes of chemical disturbance and determine impacts to assemblages in ecosystems. This is because they lack ecologically relevant species and biotic interactions, are logistically difficult to set up and lack environmentally relevant regimes of chemical and abiotic disturbance that organisms experience in polluted areas. 2. We solved these long-standing environmental, logistical, experimental and ecological problems by developing a programmable dosing system. This dosing system simulates, in situ, regimes of chemical disturbance to assemblages by manipulating the concentration, duration, timing and frequency of pollutants to which they are exposed. 3. Experiments with priority pollutants (the metal copper and the biocide chlorpyrifos) and mussel assemblages revealed consistent plumes of contamination within patches of mussel. Mussels at the sources of experimental plumes of copper created by the dosing system, accumulated 670% more copper in their tissues compared to mussels 0.5-50 m away. In addition, when mussels were exposed to increasing concentrations of copper, there was a concomitant increase in the amount of copper in the tissues of mussels. Combining the dosing system with an established hierarchy of ecotoxicological assays revealed mussel assemblages exposed to copper and/or chlorpyrifos had 40-70% fewer worms, whilst chlorpyrifos alone caused an 81% reduction in the number of amphipods and caused mussels to filter 48% fewer particles from the water. Combinations of copper and/or chlorpyrifos had no effects on the abundance of crabs, the respiratory functions of assemblages or the viability of molluscan haemocytes. 4. As global contamination accelerates, we discuss how this technological advance will enable a diverse array of ecologists, mangers and policy-makers to understand and reduce pollution.</t>
  </si>
  <si>
    <t>[Browne, Mark Anthony; Brooks, Paul R.; Crowe, Tasman P.] Univ Coll Dublin, Sci Ctr West, Sch Biol &amp; Environm Sci, Dublin 4, Ireland; [Browne, Mark Anthony; Pinto, Mariana Mayer] Univ Sydney, Sch Biol Sci, Ctr Res Ecol Impacts Coastal Cities, Sydney, NSW 2006, Australia; [Browne, Mark Anthony; Pinto, Mariana Mayer] Univ New S Wales, Sch Biol Earth &amp; Environm Sci, Evolut &amp; Ecol Res Ctr, Sydney, NSW 2052, Australia; [Browne, Mark Anthony] Univ Calif Santa Barbara, Natl Ctr Ecol Anal &amp; Synth, 735 State St,Suite 300, Santa Barbara, CA 93101 USA; [Clough, Robert; Fisher, Andrew S.] Univ Plymouth, Sch Geog Earth &amp; Environm Sci, Portland Sq, Plymouth PL4 8AA, Devon, England</t>
  </si>
  <si>
    <t>University College Dublin; University of Sydney; University of New South Wales Sydney; National Center for Ecological Analysis &amp; Synthesis; University of California System; University of California Santa Barbara; University of Plymouth</t>
  </si>
  <si>
    <t>Browne, MA (corresponding author), Univ Coll Dublin, Sci Ctr West, Sch Biol &amp; Environm Sci, Dublin 4, Ireland.;Browne, MA (corresponding author), Univ Sydney, Sch Biol Sci, Ctr Res Ecol Impacts Coastal Cities, Sydney, NSW 2006, Australia.;Browne, MA (corresponding author), Univ New S Wales, Sch Biol Earth &amp; Environm Sci, Evolut &amp; Ecol Res Ctr, Sydney, NSW 2052, Australia.;Browne, MA (corresponding author), Univ Calif Santa Barbara, Natl Ctr Ecol Anal &amp; Synth, 735 State St,Suite 300, Santa Barbara, CA 93101 USA.</t>
  </si>
  <si>
    <t>m.browne@unsw.edu.au</t>
  </si>
  <si>
    <t>Pinto, Mariana/JZT-3004-2024</t>
  </si>
  <si>
    <t>Browne, Mark Anthony/0000-0002-7508-1015; Mayer-Pinto, Mariana/0000-0001-9679-7023; Brooks, Paul/0000-0002-8105-0813</t>
  </si>
  <si>
    <t>Irish Research Councils (IRC-SET, IRCHSS); UCD's Graduate Research Education Programme (GREP) in Sustainable Development; IRCSET Post-Doctoral Fellowship; UCD's GREP on Sustainable Development</t>
  </si>
  <si>
    <t>Irish Research Councils (IRC-SET, IRCHSS); UCD's Graduate Research Education Programme (GREP) in Sustainable Development; IRCSET Post-Doctoral Fellowship(Irish Research Council for Science, Engineering and Technology); UCD's GREP on Sustainable Development</t>
  </si>
  <si>
    <t>Equipment was purchased through funding by Irish Research Councils (IRC-SET, IRCHSS) and UCD's Graduate Research Education Programme (GREP) in Sustainable Development. MAB was supported by an IRCSET Post-Doctoral Fellowship and PRB by UCD's GREP on Sustainable Development. We thank D. Offer and staff at Malahide Marina, D. Howard (permission), F. Moreira, R. A. Coleman (discussions about work), B. Panayatakos (fabricating manifolds), K. Kupper, C. Coady (wiring), E. Boston, P. O'Callaghan, J. Kochmann, G.B. Boots, C. Gollety, S. Saloni, S. Mascolino, P. Fanning and J. Coughlan (field assistance).</t>
  </si>
  <si>
    <t>2041-210X</t>
  </si>
  <si>
    <t>2041-2096</t>
  </si>
  <si>
    <t>METHODS ECOL EVOL</t>
  </si>
  <si>
    <t>Methods Ecol. Evol.</t>
  </si>
  <si>
    <t>10.1111/2041-210X.12521</t>
  </si>
  <si>
    <t>http://dx.doi.org/10.1111/2041-210X.12521</t>
  </si>
  <si>
    <t>DP8FC</t>
  </si>
  <si>
    <t>WOS:000378732500012</t>
  </si>
  <si>
    <t>BOURGOIN, BP</t>
  </si>
  <si>
    <t>MYTILUS-EDULIS SHELL AS A BIOINDICATOR OF LEAD POLLUTION - CONSIDERATIONS ON BIOAVAILABILITY AND VARIABILITY</t>
  </si>
  <si>
    <t>The nacre of Mytilus endulis is introduced as an alternative to soft tissues for trace metal anlyses in biological monitoring programs. The inner nacreous shell and soft tissues of mussels collected near a Pb smelter were analyzed for Pb and compared with the total-Pb content in suspended particulate matter (SPM). The results indicate that shells can provide an index of Pb bioavailability as the nacre-Pb levels were strongly correlated (p &lt; 0.001) with the tissue-Pb concentrations. Although nacre sequesters ca one tenth of the Pb measured in the tissues, the statistical variability associated with nacre-Pb levels is half that calculated for the tissues. Consequently, nacre-Pb levels offer a comparatively better relationship with the SPM Pb-content and also provide a significantly better spatial resolution. How other biophysical parameters such as mussle age, size, and littoral zonation may affect mussel Pb concentrations are also discussed.</t>
  </si>
  <si>
    <t>TRENT UNIV, DEPT ENVIRONM &amp; RESOURCE STUDIES, PETERBOROUGH K9J 7B8, ONTARIO, CANADA.</t>
  </si>
  <si>
    <t>10.3354/meps061253</t>
  </si>
  <si>
    <t>http://dx.doi.org/10.3354/meps061253</t>
  </si>
  <si>
    <t>CX068</t>
  </si>
  <si>
    <t>WOS:A1990CX06800005</t>
  </si>
  <si>
    <t>Kibria, G</t>
  </si>
  <si>
    <t>Kibria, Golam</t>
  </si>
  <si>
    <t>Impacts of microplastic on fisheries and seafood security - Global analysis and synthesis</t>
  </si>
  <si>
    <t>Microplastics; Fisheries; Seafood security; Pollutants; Impacts; Human health</t>
  </si>
  <si>
    <t>FRESH-WATER FISH; GUDGEONS GOBIO-GOBIO; COD GADUS-MORHUA; PLASTIC INGESTION; GASTROINTESTINAL-TRACT; NORTH-SEA; DEMERSAL FISH; 1ST EVIDENCE; MERLUCCIUS-MERLUCCIUS; MARINE ORGANISMS</t>
  </si>
  <si>
    <t>This review paper collected, collated, analysed, interpreted, synthesised, and documented the research investigations conducted on microplastic (MPs) pollution impacts on seafood organisms (including fish, sharks, shrimps, lobsters, crabs, oysters, mussels, and seaweeds) during the last ten years (2012-2022) covering fiftyseven locations/countries in the world. MPs contaminated 926 seafood species comprising 895 finfish, 09 crustaceans, 20 molluscs and 02 seaweeds. Seafood from Asia was found to be most contaminated with MPs. High MP contamination/ingestion was revealed in several seafood organisms. The ingestion of MPs can reduce fish growth and fish fitness, leading to reduced yield/fish production. Fish and seafood play a significant role in supporting the economy, employment, food sources, and livelihoods of people across the globe, which can be threatened due to the contamination of seafood organisms with MPs. MPs have bioaccumulated in fish skin, gills, stomachs, liver, intestine, and muscles as well as dry fish and canned fish. Hence, the consumption of MP contaminated fresh fish, whole fish, dried fish or canned fish poses risks as it may be a pathway of MP transfer to humans. MPs can increase the health risks to seafood fish consumers since there is a probability that high risks pollutants adsorbed on MPs (heavy metals, pesticides, and oil compounds) can transfer to humans via the food chain. Several of the chemicals (heavy metals, DDT, PAHs) adsorbed onto MPs are carcinogenic. MPs have also been detected in fish meals, therefore, farmed livestock such as aquaculture fish and chicken fed to fish meals can be exposed to MPs and ultimately to humans. Preventive and safety measures are suggested to reduce the exposure of MPs to humans. In addition, several policy strategies are recommended to reduce the impacts of plastic waste and plastic pollution on the environment, aquatic biota, wildlife, seafood and human health.</t>
  </si>
  <si>
    <t>[Kibria, Golam] RMIT Univ, Sch Sci, Melbourne, Australia; [Kibria, Golam] Global Artificial Mussels Pollut Watch Program, Melbourne, Australia</t>
  </si>
  <si>
    <t>Royal Melbourne Institute of Technology (RMIT)</t>
  </si>
  <si>
    <t>Kibria, G (corresponding author), RMIT Univ, Sch Sci, Melbourne, Australia.</t>
  </si>
  <si>
    <t>10.1016/j.scitotenv.2023.166652</t>
  </si>
  <si>
    <t>http://dx.doi.org/10.1016/j.scitotenv.2023.166652</t>
  </si>
  <si>
    <t>T0EO1</t>
  </si>
  <si>
    <t>WOS:001074807800001</t>
  </si>
  <si>
    <t>Al-Kahtany, K; El-Sorogy, AS</t>
  </si>
  <si>
    <t>Al-Kahtany, Khaled; El-Sorogy, Abdelbaset S.</t>
  </si>
  <si>
    <t>Contamination and health risk assessment of surface sediments along Ras Abu Ali Island, Saudi Arabia</t>
  </si>
  <si>
    <t>JOURNAL OF KING SAUD UNIVERSITY SCIENCE</t>
  </si>
  <si>
    <t>Heavy metals; Coastal sediment; Human risk; Chronic daily intake; Arabia Gulf</t>
  </si>
  <si>
    <t>RED-SEA COAST; METAL CONTAMINATION; HEAVY-METALS; INTERTIDAL GASTROPOD; CHEMICAL-ELEMENTS; BIVALVE SHELLS; URBAN SOILS; POLLUTION; GULF</t>
  </si>
  <si>
    <t>The coastline of the Arabian Gulf attracts people throughout the year for tourism and fishing activities. The present work aimed to document the contamination and human health assessment of heavy metals (HMs) in 34 surface sediment samples collected along Ras Abu Ali coastline, Saudi Arabia. Enrichment factor (EF), contamination factor (CF), and sediment quality guideline (SQG) were calculated to estimate the sediment contamination, while the hazard index (HI), cancer risk (CR), and total lifetime cancer risk (LCR) were determined for human health assessment via ingestion and dermal contact pathways on both adults and children. The averages of the HMs (lg/g dry weight) were in the following order: Fe (4808) &gt; Ni (13.00) &gt; Zn (6.89) &gt; Cr (7.86) &gt; V (6.67) &gt; Cu (4.14) &gt; Pb (3.50) &gt; As (2.47) &gt; Co (1.43). Results of EF indicated minor enrichment with Ni, Pb, and As, and no enrichment with the remaining HMs. Based on CF, the coastal sediments of Ras Abu Ali showed low contamination with HMs. Reported values of As, Cr, Cu, Pb, and Zn were lower than the ISQG-Low values, however, 4 samples of Ni reported values between the ISQG-Low and ISQG-High values, indicating some anthropogenic effects with Ni. HI values were higher among children in comparison to adults, suggesting that children were at higher risk of non-carcinogenic exposure than adults. LCR values indicated that no significant health haz-ards for people inhabited the study area from the carcinogenic Pb, Cr, and As.(c) 2022 The Author(s). Published by Elsevier B.V. on behalf of King Saud University. This is an open access article under the CC BY-NC-ND license (http://creativecommons.org/licenses/by-nc-nd/4.0/).</t>
  </si>
  <si>
    <t>[Al-Kahtany, Khaled; El-Sorogy, Abdelbaset S.] King Saud Univ, Coll Sci, Geol &amp; Geophys Dept, POB 2455, Riyadh 11451, Saudi Arabia</t>
  </si>
  <si>
    <t>El-Sorogy, Abdelbaset/C-9445-2014; alkahtany, khalid/AFB-7640-2022</t>
  </si>
  <si>
    <t>King Saud University, Riyadh, Saudi Arabia; [RSP-2021/139]</t>
  </si>
  <si>
    <t>King Saud University, Riyadh, Saudi Arabia(King Saud University);</t>
  </si>
  <si>
    <t>The authors extend their appreciation to Researchers Support- ing Project number (RSP-2021/139) , King Saud University, Riyadh, Saudi Arabia. Also, the authors would like to thank the anonymous reviewers for their valuable suggestions and constructive comments.</t>
  </si>
  <si>
    <t>1018-3647</t>
  </si>
  <si>
    <t>2213-686X</t>
  </si>
  <si>
    <t>J KING SAUD UNIV SCI</t>
  </si>
  <si>
    <t>J. King Saud Univ. Sci.</t>
  </si>
  <si>
    <t>10.1016/j.jksus.2022.102509</t>
  </si>
  <si>
    <t>http://dx.doi.org/10.1016/j.jksus.2022.102509</t>
  </si>
  <si>
    <t>7K4WG</t>
  </si>
  <si>
    <t>WOS:000905284200018</t>
  </si>
  <si>
    <t>Bollhöfer, A</t>
  </si>
  <si>
    <t>Bollhoefer, Andreas</t>
  </si>
  <si>
    <t>Stable lead isotope ratios and metals in freshwater mussels from a uranium mining environment in Australia's wet-dry tropics</t>
  </si>
  <si>
    <t>ALLIGATOR RIVERS REGION; NORTHERN-TERRITORY; ATMOSPHERIC LEAD; TRACE-METALS; MILLING OPERATIONS; SOURCE SIGNATURES; ICP-MS; SEDIMENTS; POLLUTION; ESTUARINE</t>
  </si>
  <si>
    <t>Concentrations of Fe, Mn, Cu, Zn, U and Pb, and stable Pb isotopes (206P)b, Pb-207 and Pb-208 were measured via inductively coupled plasma mass spectrometry in sediments, water and freshwater mussels (Velesunio angasi) from two catchments in the Alligator Rivers Region, Australia. Sediment U and Pb concentrations were higher in Magela Creek downstream than upstream of the Ranger U mine due to the mineralised nature of the catchment and potential local input of sediment from the mine site. Water metal concentrations were highest in Georgetown Creek, which is a tributary of Magela Creek and part drains the Ranger mine site, but there was little difference in concentrations between the Magela Creek upstream and downstream sites. Metal concentrations in mussels collected immediately upstream and downstream of the mine site also showed little difference, whereas Pb isotope ratios displayed a very distinct pattern. The Pb-206/Pb-207 and Pb-208/Pb-207 isotope ratios were more uranogenic downstream than upstream of the site and also more uranogenic than ratios measured in Sandy Billabong, a reference billabong in a catchment not influenced by U mineralisation. Isotope ratios were also more uranogenic in younger mussels, potentially due to the increasing footprint of the mine site over the past decade. The most uranogenic ratios were found in mussels from Georgetown Creek and at a site approximately 2 km downstream. At Mudginberri Billabong, approximately 12 km downstream of the Ranger mine, the relative contribution of uranogenic Pb to the total Pb concentration in mussels was small and overwhelmed by the input of industrial Pb with a Broken Hill type Pb signature. Whereas metal uptake by and thus concentrations in mussel flesh are influenced by water chemistry, mussel condition and metabolic rates, Pb isotope ratios are independent of these factors and provide a powerful means of source apportionment of contaminants in mussels and waterways, in particular in an U mining environment. Crown Copyright (C) 2011 Published by Elsevier Ltd. All rights reserved.</t>
  </si>
  <si>
    <t>ERISS, Supervising Scientist Div, Dept Sustainabil Environm Water Populat &amp; Communi, Darwin, NT 0801, Australia</t>
  </si>
  <si>
    <t>Bollhöfer, A (corresponding author), ERISS, Supervising Scientist Div, Dept Sustainabil Environm Water Populat &amp; Communi, GPO Box 461, Darwin, NT 0801, Australia.</t>
  </si>
  <si>
    <t>andreas.bollhoefer@environment.gov.au</t>
  </si>
  <si>
    <t>Bollhoefer, Andreas/0000-0001-8564-6529</t>
  </si>
  <si>
    <t>10.1016/j.apgeochem.2011.10.002</t>
  </si>
  <si>
    <t>http://dx.doi.org/10.1016/j.apgeochem.2011.10.002</t>
  </si>
  <si>
    <t>876LS</t>
  </si>
  <si>
    <t>WOS:000299109600018</t>
  </si>
  <si>
    <t>Bervoets, L; Voets, J; Chu, SG; Covaci, A; Schepens, P; Blust, R</t>
  </si>
  <si>
    <t>Comparison of accumulation of micropollutants between indigenous and transplanted zebra mussels (Dreissena polymorpha)</t>
  </si>
  <si>
    <t>active biomonitoring; zebra mussel; organic pollutants; metals; accumulation</t>
  </si>
  <si>
    <t>POLYBROMINATED DIPHENYL ETHERS; PAPER-MILL EFFLUENTS; ST-LAWRENCE-RIVER; TRACE-METAL; LAKE-ERIE; MYTILUS-EDULIS; POLYCHLORINATED-BIPHENYLS; MISSISSIPPI RIVER; FLAME RETARDANTS; PERNA-VIRIDIS</t>
  </si>
  <si>
    <t>Zebra mussels (Dreissena polymorpha) were exposed at 12 canals and lakes situated in Flanders (Belgium), in cages for six weeks during the summer of 2002. Accumulation of polychlorinated biphenyls (PCBs), polybrominated diphenyl ethers (PBDEs), hexachlorobenzene, and trace metals were measured in the transplanted mussels and levels compared to levels in indigenous mussels. Additionally, zebra mussels were exposed at a small lake in the vicinity of Antwerp (Belgium), and accumulation of contaminants was followed for an extended period from December 2001 to April 2002. Analysis of the pollutants in the indigenous mussels showed that the selected sites displayed a wide range of pollution from near to background to very high levels of metals and/or organic contaminants when compared to the literature. For organic contaminants and for most metals, comparison of levels between caged and resident mussels revealed no significant differences. Only for cadmium and nickel, significant differences were observed, with levels being either higher (cadmium) or lower (nickel) in caged mussels. For organic contaminants, significant correlations between levels in caged and resident mussels were found with r(2) values up to 0.98. For some metals, no or poor correlations were found. At most sites, concentrations of those metals were of the same order of magnitude and comparable to levels in mussels from unpolluted sites. This might explain the absence of significant correlations. When mussels were exposed for an extended period, the concentration of some pollutants increased, whereas others decreased with time. Only in the case of certain metals did levels differ significantly because of the slow deputation of metals already present in the transplanted mussels. This is an additional indication that measured concentrations in transplanted mussels indeed reflected the local situation. With this study, we were able to prove the applicability of transplanted mussels as a biomonitoring too] for the accumulation of pollutants over a wide range of pollution.</t>
  </si>
  <si>
    <t>Univ Antwerp, Dept Biol, Ecophysiol Biochem &amp; Toxicol Grp, B-2020 Antwerp, Belgium; Univ Antwerp, Dept Pharmaceut Sci, Toxicol Ctr, B-2610 Antwerp, Belgium</t>
  </si>
  <si>
    <t>Bervoets, L (corresponding author), Univ Antwerp, Dept Biol, Ecophysiol Biochem &amp; Toxicol Grp, Groenenborgerlaan 171, B-2020 Antwerp, Belgium.</t>
  </si>
  <si>
    <t>lieven.bervoets@ua.ac.be</t>
  </si>
  <si>
    <t>Bervoets, Lieven/E-5012-2015; Covaci, Adrian/A-9058-2008</t>
  </si>
  <si>
    <t>SETAC</t>
  </si>
  <si>
    <t>1010 NORTH 12TH AVE, PENSACOLA, FL 32501-3367 USA</t>
  </si>
  <si>
    <t>10.1897/03-365</t>
  </si>
  <si>
    <t>http://dx.doi.org/10.1897/03-365</t>
  </si>
  <si>
    <t>838VC</t>
  </si>
  <si>
    <t>WOS:000222740400021</t>
  </si>
  <si>
    <t>Xiang, XW; Mao, XY; Ding, XQ; Gu, X; Li, HR; Liu, RZ; Liu, Y; Jin, JB; Qin, L</t>
  </si>
  <si>
    <t>Xiang, Xingwei; Mao, Xiaoyan; Ding, Xinqi; Gu, Xiu; Li, Haorui; Liu, Ruizhi; Liu, Yong; Jin, Jiabin; Qin, Lei</t>
  </si>
  <si>
    <t>Assembly of core-shell Fe3O4 @CD-MOFs derived hollow magnetic microcubes for efficient extraction of hazardous substances: Plausible mechanisms for selective adsorption</t>
  </si>
  <si>
    <t>Hazardous heavy metals and organic substances; Core-shell Fe3O4 @CD-MOFs derived microcubes; Microwave-assisted self-assembly; Selective adsorption; Synergistic effect</t>
  </si>
  <si>
    <t>Hazardous heavy metals and organic substances removal is of great significance for ensuring the safety of aquatic-ecosystem, yet the highly effective and selective extraction always remains challenging. To address this problem, magnetic hollow microcubes were fabricated through thermal carbonization of Fe3O4-COOH@ gamma-CDMOFs, and core-shell structured precursors were in-situ greenly constructed on a large scale via microwave-assisted self-assembly strategy. As noted, the development of secondary crystallization was utilized to achieve uniform dispersion of cores within MOFs frameworks and thus improved magnetic and adsorption ability of composites. Acquired magnetic Fe3O4 @HC not only can harvest excellent extraction of heavy metals (Cd, Pb, and Cu of 129.87, 151.05, and 106.98 mg.g(-1) ) but also exhibit highly selective adsorption ability for cationic organics (separation efficiency higher than 95.0 %). Impressively, Fe3O4 @HC achieved outstanding adsorption (60-80 %) of Cd in realistic mussel cooking broth with no obvious loss in amino acid. Characterizations better offer mechanistic insight into the enhanced selectivity of positively charged pollutants can be attributed to synergistic effect of ions exchange and electrostatic interaction of abundant oxygen-containing functional groups. Our study provides a feasible route by rationally developing core-shell structured composites to promote the practical applications of sustainable water treatment and value-added utilization of processing by-products.</t>
  </si>
  <si>
    <t>[Xiang, Xingwei; Ding, Xinqi; Li, Haorui] Zhejiang Univ Technol, Coll Food Sci &amp; Technol, Key Lab Marine Fishery Resources Exploitment &amp; Uti, Hangzhou 310014, Peoples R China; [Mao, Xiaoyan; Qin, Lei] Zhejiang Univ Technol, Coll Chem Engn, Ctr Membrane Separat &amp; Water Sci &amp; Technol, State Key Lab Base Green Chem Synth Technol, Hangzhou 310014, Peoples R China; [Gu, Xiu; Liu, Ruizhi] Chinese Res Inst Environm Sci, Environm Protect Key Lab Estuarine &amp; Coastal Envir, Beijing 100012, Peoples R China; [Liu, Yong; Jin, Jiabin] Natl Narcot Lab Zhejiang Reg Ctr NNLZRC, Hangzhou 310053, Peoples R China</t>
  </si>
  <si>
    <t>Zhejiang University of Technology; Zhejiang University of Technology; Chinese Research Academy of Environmental Sciences</t>
  </si>
  <si>
    <t>Qin, L (corresponding author), Zhejiang Univ Technol, Coll Chem Engn, Ctr Membrane Separat &amp; Water Sci &amp; Technol, State Key Lab Base Green Chem Synth Technol, Hangzhou 310014, Peoples R China.;Liu, RZ (corresponding author), Chinese Res Inst Environm Sci, Environm Protect Key Lab Estuarine &amp; Coastal Envir, Beijing 100012, Peoples R China.</t>
  </si>
  <si>
    <t>liuruizhi@craes.org.cn; qinlei0214@zjut.edu.cn</t>
  </si>
  <si>
    <t>Zhejiang Province Key Research and Development Programs [2023C02006, 2024C03234, 2024C03282]; National Natural Science Foundation of China [22278373]; Open Research Fund of State Environmental Protection Key Laboratory of Estuarine and Coastal Environment, Chinese Research Academy of Environmental Sciences [HKHA2022003]; Fundamental Research Funds for the Central Public-interest Scientific Institution [2022YSKY-03]; Open Research Fund of Key Laboratory of Drug Monitoring and Control of Zhejiang Province [2022KLDM006]; Zhejiang Provincial Natural Science Foundation of China [TGS23B070004]; Zhoushan Science and Technology Project of China [2023C61001]; National Key Research and Development Program of China [2020YFD0900902]</t>
  </si>
  <si>
    <t>Zhejiang Province Key Research and Development Programs; National Natural Science Foundation of China(National Natural Science Foundation of China (NSFC)); Open Research Fund of State Environmental Protection Key Laboratory of Estuarine and Coastal Environment, Chinese Research Academy of Environmental Sciences; Fundamental Research Funds for the Central Public-interest Scientific Institution; Open Research Fund of Key Laboratory of Drug Monitoring and Control of Zhejiang Province; Zhejiang Provincial Natural Science Foundation of China(Natural Science Foundation of Zhejiang Province); Zhoushan Science and Technology Project of China; National Key Research and Development Program of China(National Key Research &amp; Development Program of China)</t>
  </si>
  <si>
    <t>This work was supported by Zhejiang Province Key Research and Development Programs (No. 2023C02006, 2024C03234, and 2024C03282 (SD2) ) , National Natural Science Foundation of China (No. 22278373) , Open Research Fund of State Environmental Protection Key Laboratory of Estuarine and Coastal Environment, Chinese Research Academy of Environmental Sciences (No. HKHA2022003) and the Fundamental Research Funds for the Central Public-interest Scientific Institution (No. 2022YSKY-03) , Open Research Fund of Key Laboratory of Drug Monitoring and Control of Zhejiang Province (No. 2022KLDM006) , Zhejiang Provincial Natural Science Foundation of China (No. TGS23B070004) , Zhoushan Science and Technology Project of China (No. 2023C61001) , and National Key Research and Development Program of China (No. 2020YFD0900902) . A patent application related to this work has been filed.</t>
  </si>
  <si>
    <t>10.1016/j.jhazmat.2024.134588</t>
  </si>
  <si>
    <t>http://dx.doi.org/10.1016/j.jhazmat.2024.134588</t>
  </si>
  <si>
    <t>UG5N1</t>
  </si>
  <si>
    <t>WOS:001246919000001</t>
  </si>
  <si>
    <t>STILES, S; CHOROMANSKI, J; NELSON, D; MILLER, J; GREIG, R; SENNEFELDER, G</t>
  </si>
  <si>
    <t>EARLY REPRODUCTIVE SUCCESS OF THE HARD CLAM (MERCENARIA-MERCENARIA) FROM 5 SITES IN LONG-ISLAND SOUND</t>
  </si>
  <si>
    <t>TRACE-METAL; MYTILUS-EDULIS; MUSSEL; BIVALVES; PCB; BIOASSAYS; SEDIMENTS; EMBRYOS; OYSTERS; LARVAE</t>
  </si>
  <si>
    <t>Early reproductive success of hard clams (Mercenaria mercenaria) in Long Island Sound was measured to determine whether pollution may have adverse effects on fragile recruitment to fisheries. Clams were collected at five sites in 1987 when ready to spawn naturally, along with water from within 39 cm of the bottom. Levels of polychlorinated biphenyls (PCBs), copper, and cadmium were measured in the mature gonad and were found to be generally low. Clams were spawned and the gametes were collected and cultured both in their respective site waters and in reference laboratory seawater. In both site and reference seawater, embryos of clams from the most highly industrialized area (Bridgeport) with higher contaminant levels exhibited more irregularity in chromosome numbers and greater larval abnormality, possible indicators of long-term sublethal effects. Fertilization and early meiotic success at 1 to 1 1/2 h were significantly lower (P less-than-or-equal-to 0.05) for clams from Norwalk (55%) than for those from Greenwich (75%). At 48 h, mortality was lowest for Greenwich larvae and highest for Norwalk larvae in their respective site waters, but the mortality for these two sites was significantly lower than for other sites in reference water. This suggests sporadically poor environmental quality. Milford larvae also had significant mortality. Population-level significance of pollution effects on clam reproduction will depend on how contaminated the environment is over the entire reproductive season of the clams in Long Island Sound, and over how large a portion of the spawning grounds.</t>
  </si>
  <si>
    <t>10.2307/1351667</t>
  </si>
  <si>
    <t>http://dx.doi.org/10.2307/1351667</t>
  </si>
  <si>
    <t>GH341</t>
  </si>
  <si>
    <t>WOS:A1991GH34100011</t>
  </si>
  <si>
    <t>Scanes, PR; Roach, AC</t>
  </si>
  <si>
    <t>Determining natural 'background' concentrations of trace metals in oysters from New South Wales, Australia</t>
  </si>
  <si>
    <t>oysters; metals; pollution; Saccostrea commercialis; mussel watch</t>
  </si>
  <si>
    <t>SEDIMENT QUALITY TRIAD; SYDNEY ROCK OYSTER; MUSSEL WATCH; HEAVY-METALS; HYDROCARBONS; POLLUTION; RIVER</t>
  </si>
  <si>
    <t>The use of bivalves to indicate spatial and temporal patterns in the distribution of bioavailable metals is well established. The interpretation of patterns is, however, often confounded by natural variations in metal concentrations which result from geological factors. This paper presents a method of using clustering and principal component analyses to determine background concentrations of metals in the oyster Saccostrea commercialis sampled from 20 estuaries in New South Wales, Australia. The method identified the estuaries which contained oysters with significantly different suites of metals from those in estuaries with obvious anthropogenic inputs of metals, allowing the calculation of natural ranges of metals in oysters. It also demonstrated which metals showed the greatest natural variability and which metals were indicative of urbanisation in the catchment. (C) 1999 Elsevier Science Ltd. All rights reserved.</t>
  </si>
  <si>
    <t>New S Wales Environm Protect Author, Bankstown 2200, Australia</t>
  </si>
  <si>
    <t>Scanes, PR (corresponding author), New S Wales Environm Protect Author, Locked Bag 1502, Bankstown 2200, Australia.</t>
  </si>
  <si>
    <t>scanesp@epa.nsw.gov.au</t>
  </si>
  <si>
    <t>10.1016/S0269-7491(99)00030-5</t>
  </si>
  <si>
    <t>http://dx.doi.org/10.1016/S0269-7491(99)00030-5</t>
  </si>
  <si>
    <t>196BN</t>
  </si>
  <si>
    <t>WOS:000080289300018</t>
  </si>
  <si>
    <t>Soto, M; Marigomez, I</t>
  </si>
  <si>
    <t>Metal bioavailability assessment in 'mussel-watch' programmes by automated image analysis of autometallographical black silver deposits (BSD) in digestive cell lysosomes</t>
  </si>
  <si>
    <t>field validation; autometallography; digestive lysosomes; automated image analysis; AAS; metal content; correlation analysis; X-ray microanalysis; metal pollution monitoring</t>
  </si>
  <si>
    <t>LITTORINA-LITTOREA; MYTILUS-EDULIS; HEAVY-METALS; CADMIUM; ZINC; GOLD; GALLOPROVINCIALIS; LOCALIZATION; ACCUMULATION; TISSUES</t>
  </si>
  <si>
    <t>The extent of autometallographical black silver deposits (BSD) was quantified by automated image analysis in digestive lysosomes of the digestive gland of mussels collected from 2 estuaries of the coast of Biscay for I yr. Additionally, metal composition of digestive lysosomes was characterised by X-ray microprobe analysis. Zn levels were the most variable among the metals analysed by AAS (Cd, Cr, Cu, Ni, Zn, Pb, Fe). A logarithmic regression model explained the changes in volume density (VD) of BSD by changes in the Zn/shell-wt index recorded in mussels from different sites of the coast. Similar regression models were obtained between the VD of BSD and metal/shell-wt indices resulting from pooling the 7 metals (mu mol metal g(-1) dry shell weight). In conclusion, metal bioavailability can be estimated by analysing the VD of BSD in the digestive lysosomes of sentinel mussels. This index may allow workers to discard chemical analysis of biological samples when low traces of metals are present in the tissues, since the method proposed herein provides a quick and cost-effective alternative to routine chemical analyses in biomonitoring programmes. Only when values of VD of BSD reach the plateau of the function would a more accurate chemical analysis be required. This approach does not require special facilities or specialised technicians and would reduce the time and cost of routine metal determination in water pollution monitoring programmes.</t>
  </si>
  <si>
    <t>Soto, M (corresponding author), UNIV BASQUE COUNTRY, E-48080 BILBAO, BASQUE COUNTRY, SPAIN.</t>
  </si>
  <si>
    <t>10.3354/meps156141</t>
  </si>
  <si>
    <t>http://dx.doi.org/10.3354/meps156141</t>
  </si>
  <si>
    <t>XZ981</t>
  </si>
  <si>
    <t>WOS:A1997XZ98100014</t>
  </si>
  <si>
    <t>Giari, L; Vincenzi, F; Fano, EA; Graldi, I; Gelli, F; Castaldelli, G</t>
  </si>
  <si>
    <t>Giari, Luisa; Vincenzi, Fabio; Fano, Elisa Anna; Graldi, Ivano; Gelli, Fernando; Castaldelli, Giuseppe</t>
  </si>
  <si>
    <t>Sensitivity to selected contaminants in a biological early warning system using Anodonta woodiana (Mollusca)</t>
  </si>
  <si>
    <t>bioindication; mussels; valve movement; toxicity test; toxic substances</t>
  </si>
  <si>
    <t>VALVE MOVEMENT RESPONSE; DREISSENA-MONITOR; MUSSEL; BEHAVIOR; POLYMORPHA; ORGANISMS; LIMITS</t>
  </si>
  <si>
    <t>Several early warning systems for the monitoring of water quality are based on the assessment of valve opening/closing in bivalves. Tests were conducted to assess the sensitivity of the mussel Anodonta woodiana, installed on the Mosselmonitor, to seven contaminants and evaluate the usefulness of these sensors for detecting pollution events in the Po River (Italy). Mussels were exposed for 30 min to increasing concentrations of chromium (range 0.01-5 mg/L); arsenic (range 0.05-2.5 mg/L); sodium dodecyl sulphate SDS (range 0.25-50 mg/L); phenol (range 0.1-100 mg/L); oxadiazon (range 0.001-5 mg/L); trichloroethylene (range 0.01-100 mg/L); and crude oil (range 0.5-50 mg/L). Treatment with the highest concentration of SDS elicited two types of alarm response. In a second set of tests, the bivalves were exposed for 6 h to a selected concentration of each chemical. Only SDS led to a dramatic alteration of valve opening, resulting in alarms. This system would have limited applications for monitoring drinking water influent.</t>
  </si>
  <si>
    <t>[Giari, Luisa; Vincenzi, Fabio; Fano, Elisa Anna; Castaldelli, Giuseppe] Univ Ferrara, Dept Life Sci &amp; Biotechnol, Borsari St 46, I-44121 Ferrara, Italy; [Graldi, Ivano] ATO Ferrara, Ercole dEste St 14, I-44121 Ferrara, Italy; [Gelli, Fernando] ARPA Ferrara, Bologna St 534, I-44124 Ferrara, Italy</t>
  </si>
  <si>
    <t>Giari, L (corresponding author), Univ Ferrara, Dept Life Sci &amp; Biotechnol, Borsari St 46, I-44121 Ferrara, Italy.</t>
  </si>
  <si>
    <t>grilsu@unife.it</t>
  </si>
  <si>
    <t>Fano, Elisa/M-6731-2015; Giari, Luisa/F-5909-2015; Castaldelli, Giuseppe/Q-8301-2016</t>
  </si>
  <si>
    <t>Giari, Luisa/0000-0003-1058-0910; Vincenzi, Fabio/0009-0007-9548-7948; Castaldelli, Giuseppe/0000-0001-5954-1133</t>
  </si>
  <si>
    <t>10.4314/wsa.v43i2.04</t>
  </si>
  <si>
    <t>http://dx.doi.org/10.4314/wsa.v43i2.04</t>
  </si>
  <si>
    <t>FE8AU</t>
  </si>
  <si>
    <t>WOS:000408428800004</t>
  </si>
  <si>
    <t>Alvarez-Iglesias, P; Rubio, B</t>
  </si>
  <si>
    <t>Alvarez-Iglesias, P.; Rubio, B.</t>
  </si>
  <si>
    <t>Redox status and heavy metal risk in intertidal sediments in NW Spain as inferred from the degrees of pyritization of iron and trace elements</t>
  </si>
  <si>
    <t>Diagenesis; Suboxic marine sediments; Pyrite; DTMP; Trace metals; Mariculture</t>
  </si>
  <si>
    <t>SIMON BAY RIA; SULFIDE MINERALS; DE-VIGO; POLLUTION; CONTAMINATION; ENVIRONMENTS; MARGIN; INPUT</t>
  </si>
  <si>
    <t>Mariculture is an important economic activity in shallow marine areas of the Rias Baixas (Galicia, NW Spain). The maintenance of high product quality requires surveillance of environmental quality, including the risk of metal toxicity. In this study the redox status of intertidal sediments in the Bay of San Simon, and the risk of toxicity posed by their As, Cd, Cr, Cu, Mn, Ni, Pb and Zn contents, were evaluated by determination of operationally defined reactive, silicate-bound, organic and pyrite-related fractions of these elements and of Fe. The large silicate-bound fractions of most of these metals indicate their lithogenic origin: the main exception is Pb, which in all respects exhibits singular behaviour associated with its predominantly anthropogenic origin in a ceramics factory. In sediments with larger fine-grained particle contents, which are oxic only in the top few centimetres, greater proportions of the trace elements are present as sulphides or associated with sulphide minerals: the degree of pyritization of Fe (DOP) is 46% overall, and the pyrite fraction of some elements doubtless increases at the expense of the reactive fraction, most overall degrees of trace metal pyritization (DTMPs) lying in the range 10-50%. A decline in pyrite genesis at depths below about 18 cm in these sediments is attributed to the exhaustion of organic matter susceptible to metabolization by sulphide-generating bacteria. In coarse-grained, oxic sediments the oxidation of sulphides makes pyrite-related fractions very small, and reactive and silicate-bound fractions are negatively correlated: reactive fractions associated with Fe-Mn oxyhydroxides are large, and DOP and DTMPs are low (generally much lower than in mud-rich sediments), except for Pb. Most of the elements studied are mainly present in forms that are neither bioavailable nor potentially bioavailable, and so do not constitute a significant environmental threat. However, the high DTMPs of Cu and Pb indicate significant potential bioavailability, which should be taken into account in evaluations of environmental quality and the risk to bivalve cultures. (C) 2008 Elsevier Ltd. All rights reserved.</t>
  </si>
  <si>
    <t>[Alvarez-Iglesias, P.; Rubio, B.] Univ Vigo, Dept Geociencias Marinas &amp; Ordenac Terr, Fac Ciencias, Vigo 36310, Pontevedra, Spain</t>
  </si>
  <si>
    <t>Rubio, B (corresponding author), Univ Vigo, Dept Geociencias Marinas &amp; Ordenac Terr, Fac Ciencias, Campus Lagoas Marcosende, Vigo 36310, Pontevedra, Spain.</t>
  </si>
  <si>
    <t>palvarez@uvigo.es; brubio@uvigo.es</t>
  </si>
  <si>
    <t>Iglesias, Paula/A-8660-2017; Rubio, Belén/A-6326-2008</t>
  </si>
  <si>
    <t>Alvarez-Iglesias, Paula/0000-0003-1296-3501; Rubio, Belen/0000-0003-4712-1099</t>
  </si>
  <si>
    <t>Spanish Ministry of Science and Technology [CTM2007-61227/MAR]; Xunta de Galicia [PGDIT06TAM31201PR]; Spanish Ministry of Education and Science</t>
  </si>
  <si>
    <t>Spanish Ministry of Science and Technology(Spanish Government); Xunta de Galicia(Xunta de Galicia); Spanish Ministry of Education and Science(Spanish Government)</t>
  </si>
  <si>
    <t>This paper was supported by the Spanish Ministry of Science and Technology through project CTM2007-61227/MAR, by the Xunta de Galicia through project PGDIT06TAM31201PR, and by and F.P.U research training grant to P.A.I. from the Spanish Ministry of Education and Science. We would like to thank L-C. Coleman for improving the English text.</t>
  </si>
  <si>
    <t>10.1016/j.marpolbul.2008.11.026</t>
  </si>
  <si>
    <t>http://dx.doi.org/10.1016/j.marpolbul.2008.11.026</t>
  </si>
  <si>
    <t>442AN</t>
  </si>
  <si>
    <t>WOS:000265812200021</t>
  </si>
  <si>
    <t>Madgett, AS; Yates, K; Webster, L; McKenzie, C; Moffat, CF</t>
  </si>
  <si>
    <t>Madgett, Alethea S.; Yates, Kyari; Webster, Lynda; McKenzie, Craig; Moffat, Colin F.</t>
  </si>
  <si>
    <t>The concentration and biomagnification of trace metals and metalloids across four trophic levels in a marine food web</t>
  </si>
  <si>
    <t>Metals; Biomagnification; Scotland; Assessment; Trophic; Contamination</t>
  </si>
  <si>
    <t>MUSSELS MYTILUS-GALLOPROVINCIALIS; HEAVY-METALS; CANCER-PAGURUS; MERCURY ACCUMULATION; NITROGEN ISOTOPE; COASTAL WATERS; FISH; CADMIUM; BIOACCUMULATION; ELEMENTS</t>
  </si>
  <si>
    <t>To be able to assess progress towards Good Environmental Status adopted across European Member States, and by the United Kingdom through its 3-stage Marine Strategy, contaminant concentrations and their biological effects need to be assessed in environmental samples by comparison to assessment criteria. This study examines the variability of concentrations (inter- and intra- species variation) of three priority heavy metals (Hg, Cd and Pb) and six additional trace metals and metalloids (As, Ni, Se, Zn, Cu and Cr) in twenty-three species across four trophic levels from different locations around Scotland. Trophic magnification factors (TMFs) were calculated using two methods for metals/metalloids possessing a significant trophic relationship (Hg, Cd, Cu, Ni and Zn) to refine and improve the application of TMFs to assess and predict biomagnification risk of metals/metalloids to biota in the environment. It was concluded that a reasonable balance in sample numbers of lower- versus highertrophic level organisms is highly recommended when calculating TMFs and appropriate species selection is vital to ensure TMFs accurately represent the selected ecosystem.</t>
  </si>
  <si>
    <t>[Madgett, Alethea S.; Yates, Kyari; Moffat, Colin F.] Robert Gordon Univ, Sch Pharm &amp; Life Sci, Aberdeen AB10 7JG, Scotland; [Madgett, Alethea S.; Webster, Lynda] Marine Scotland Sci, Marine Lab, 375 Victoria Rd, Aberdeen AB11 9DB, Scotland; [McKenzie, Craig] Univ Dundee, Leverhulme Res Ctr Forens Sci, Ewing Bldg, Dundee DD1 4HN, Scotland</t>
  </si>
  <si>
    <t>Robert Gordon University; Marine Scotland Science (MSS); University of Dundee</t>
  </si>
  <si>
    <t>Yates, K (corresponding author), Robert Gordon Univ, Sch Pharm &amp; Life Sci, Aberdeen AB10 7JG, Scotland.</t>
  </si>
  <si>
    <t>k.yates@rgu.ac.uk</t>
  </si>
  <si>
    <t>Madgett, Alethea/0000-0003-2535-1694; McKenzie, Craig/0000-0001-7244-5779</t>
  </si>
  <si>
    <t>Scottish Government, UK; Robert Gordon University, Aberdeen, UK</t>
  </si>
  <si>
    <t>The authors thank Eric Dalgarno, Judith Scurfield and Jean-Pierre Lacaze at Marine Scotland Science for providing training and analyt-ical assistance; staff and crews of MRV Scotia, MRV Alba na Mara and MRV Temora for assistance with sample collection; Stephen Warnes for the microstructure examination of otoliths; Anneka Madgett for illus-tration design. This work was funded by the Scottish Government, UK and Robert Gordon University, Aberdeen, UK.</t>
  </si>
  <si>
    <t>10.1016/j.marpolbul.2021.112929</t>
  </si>
  <si>
    <t>http://dx.doi.org/10.1016/j.marpolbul.2021.112929</t>
  </si>
  <si>
    <t>UY5TY</t>
  </si>
  <si>
    <t>Green Accepted, Green Published, Green Submitted</t>
  </si>
  <si>
    <t>WOS:000701587200005</t>
  </si>
  <si>
    <t>Velez, C; Freitas, R; Antunes, SC; Soares, AMVM; Figueira, E</t>
  </si>
  <si>
    <t>Velez, Catia; Freitas, Rosa; Antunes, Sara C.; Soares, Amadeu M. V. M.; Figueira, Etelvina</t>
  </si>
  <si>
    <t>Clams sensitivity towards As and Hg: A comprehensive assessment of native and exotic species</t>
  </si>
  <si>
    <t>Bivalves; Mercury; Arsenic; Biochemical mechanisms; Detoxification strategies</t>
  </si>
  <si>
    <t>RUDITAPES-PHILIPPINARUM; BIOCHEMICAL RESPONSES; POLLUTION BIOMARKERS; SCROBICULARIA-PLANA; METAL CONTAMINATION; SURFACE SEDIMENTS; OXIDATIVE STRESS; COASTAL AREAS; DECUSSATUS; METALLOTHIONEIN</t>
  </si>
  <si>
    <t>To assess the environmental impact of As and Hg, bioindicator organisms such as bivalves have been used. Nevertheless, few studies have assessed the impacts of As and Hg in Ruditapes decussatus and Ruditapes philippinarum, which are native and exotic species in Europe, respectively. The main goal of the present study was to assess elements' partitioning and detoxification strategies of R. decussatus and R. philippinarum. Both clams showed a higher capacity to bioconcentrate Hg (BCF 2.29-7.49), when compared to As (0.59-1.09). Furthermore, As accumulation in both species was similar in the soluble and insoluble fractions, while in both species the majority of Hg was found in the insoluble fraction. Clams exposed to As showed different detoxification strategies, since R. decussatus had higher ability to enhance antioxidant enzymes and metallothioneins in order to reduce toxicity, and R. philippinarum increased glutathione S-transferase Omega activity, that catalyzes monomethyl arsenate reduction, the rate-limiting reaction in arsenic biotransformation. When exposed to Hg, R. decussatus presented, higher synthesis of antioxidant enzymes and lower LPO, being able to better tolerate Hg than the exotic species R. philippinarum. Thus under relevant levels of As and Hg contamination our work evidenced the higher ability of R. decussatus to survive and inhabit coastal environments not heavily contaminated by Hg and As. (C) 2015 Elsevier Inc. All rights reserved.</t>
  </si>
  <si>
    <t>[Velez, Catia; Freitas, Rosa; Soares, Amadeu M. V. M.; Figueira, Etelvina] Univ Aveiro, Dept Biol, Campus Univ Santiago, P-3810193 Aveiro, Portugal; [Velez, Catia; Freitas, Rosa; Soares, Amadeu M. V. M.; Figueira, Etelvina] Univ Aveiro, CESAM Ctr Estudos Ambiente &amp; Mar, P-3810193 Aveiro, Portugal; [Antunes, Sara C.] Univ Porto, Fac Ciencias, Dept Biol, Rua Campo Alegre S-N, P-4169007 Porto, Portugal; [Antunes, Sara C.] CIIMAR Ctr Interdisciplinar Invest Marinha &amp; Ambi, Rua Bragas 289, P-450123 Porto, Portugal</t>
  </si>
  <si>
    <t>Universidade de Aveiro; Universidade de Aveiro; Universidade do Porto; Universidade do Porto</t>
  </si>
  <si>
    <t>Figueira, E (corresponding author), Univ Aveiro, Dept Biol, Campus Univ Santiago, P-3810193 Aveiro, Portugal.;Figueira, E (corresponding author), Univ Aveiro, CESAM, Campus Univ Santiago, P-3810193 Aveiro, Portugal.</t>
  </si>
  <si>
    <t>efigueira@ua.pt</t>
  </si>
  <si>
    <t>Antunes, Sara/C-7150-2008; Soares, Amadeu/A-8304-2008; Freitas, Rosa/A-7539-2012; Figueira, Etelvina/M-6116-2013</t>
  </si>
  <si>
    <t>Antunes, Sara/0000-0002-6686-9919; Soares, Amadeu/0000-0003-0879-9470; Freitas, Rosa/0000-0003-4900-3897; Figueira, Etelvina/0000-0002-6763-2665</t>
  </si>
  <si>
    <t>Portuguese Science Foundation (FCT) [CESAM: UID/AMB/50017/2013]; FCT (Fundacao para Ciencia e Tecnologia) [SFRH/BPD/92258/2013]; FCT [SFRH/BD/86356/2012]; Fundação para a Ciência e a Tecnologia [SFRH/BPD/92258/2013] Funding Source: FCT</t>
  </si>
  <si>
    <t>Portuguese Science Foundation (FCT)(Fundacao para a Ciencia e a Tecnologia (FCT)); FCT (Fundacao para Ciencia e Tecnologia)(Fundacao para a Ciencia e a Tecnologia (FCT)); FCT(Fundacao para a Ciencia e a Tecnologia (FCT)); Fundação para a Ciência e a Tecnologia(Fundacao para a Ciencia e a Tecnologia (FCT))</t>
  </si>
  <si>
    <t>This work was supported by the Portuguese Science Foundation (FCT) through CESAM: UID/AMB/50017/2013. Catia Velez benefited from a PhD grant (SFRH/BD/86356/2012) (FCT) and Rosa Freitas benefited from a post-doc grant (SFRH/BPD/92258/2013) given by FCT (Fundacao para Ciencia e Tecnologia).</t>
  </si>
  <si>
    <t>10.1016/j.ecoenv.2015.11.030</t>
  </si>
  <si>
    <t>http://dx.doi.org/10.1016/j.ecoenv.2015.11.030</t>
  </si>
  <si>
    <t>DB8FU</t>
  </si>
  <si>
    <t>WOS:000368753400006</t>
  </si>
  <si>
    <t>KOIDE, M; LEE, DS; GOLDBERG, ED</t>
  </si>
  <si>
    <t>METAL AND TRANSURANIC RECORDS IN MUSSEL SHELLS, BYSSAL THREADS AND TISSUES</t>
  </si>
  <si>
    <t>Bivalve shells offer several advantages over tissues for the monitoring of heavy metal pollutants in the marine environment. They are easier to handle and to store. The problem of whether to depurate the animals before analysis is avoided. The shells are more sensitive to environmental heavy metals levels over the long term than are the soft parts. Of the substances examined (Cd, Cu, Zn, Pb, Ag, Ni, 238Pu, 239 + 240Pu) only Pb and Pu displayed a strong covariance between soft tissue and shell concentrations. There were strong correlations between metals in the shell but not in the soft tissues. The byssal threads, because of their enrichment of transuranic elements and of their ease in handling, may be useful in monitoring these metals. A weak discharge of 238Pu to marine waters adjacent to a nuclear reactor was detected in the byssal threads of mussels.</t>
  </si>
  <si>
    <t>UNIV CALIF SAN DIEGO, SCRIPPS INST OCEANOG, LA JOLLA, CA 92093 USA.</t>
  </si>
  <si>
    <t>10.1016/0272-7714(82)90079-8</t>
  </si>
  <si>
    <t>http://dx.doi.org/10.1016/0272-7714(82)90079-8</t>
  </si>
  <si>
    <t>PW555</t>
  </si>
  <si>
    <t>WOS:A1982PW55500007</t>
  </si>
  <si>
    <t>Regoli, F; Nigro, M; Bertoli, E; Principato, G; Orlando, E</t>
  </si>
  <si>
    <t>Defenses against oxidative stress in the Antarctic scallop Adamussium colbecki and effects of acute exposure to metals</t>
  </si>
  <si>
    <t>31st European Marine Biology Symposium on Interactions and Adaptation Strategies of Marine Organisms</t>
  </si>
  <si>
    <t>SEP 09-13, 1996</t>
  </si>
  <si>
    <t>ST PETERSBURG, RUSSIA</t>
  </si>
  <si>
    <t>molluscs; extreme environment; oxidative stress; heavy metals; biomarkers</t>
  </si>
  <si>
    <t>GLUTATHIONE-S-TRANSFERASE; MYTILUS-GALLOPROVINCIALIS; MUSSEL; PEROXIDATION; BIOMARKERS; ENZYMES; EDULIS</t>
  </si>
  <si>
    <t>Since a general pathway of toxicity induced by pollutants is the enhancement of reactive oxygen species, biochemical responses associated with variations in the antioxidant cellular system have been often proposed as biomarkers of pollutant-mediated toxicity associated with oxidative stress. Antarctic organisms live in an extreme environment characterized by low water temperature, high level of dissolved oxygen, presence of ice and strong seasonal changes in light intensity and availability of food, conditions which could influence both the formation of reactive oxygen species and the mechanisms for their removal. In this respect and considering the utility of this as a key species for monitoring marine Antarctic environment it was of interest to investigate the antioxidant defense system of the scallop Adamussium colbecki. The parameters examined in the digestive gland of the scallop were the concentration of glutathione and the activity of several glutathione dependent and antioxidant enzymes (glyoxalase I and II, glutathione S-transferases, glutathione peroxidases, glutathione reductase, catalase, superoxide dismutase). Very high levels of catalase suggest a possible adaptation to Antarctic extreme conditions, while the high activities of glutathione S-transferases are more probably related to the feeding behavior of Pectinids. Enzymes from Adamussium colbecki generally appeared to be active at low temperatures but, with a few exceptions, their activities increased with rising temperature. Exposure of A. colbecki to sublethal concentrations of Cu or Hg resulted in a significant reduction in the levels of total glutathione and in the activity of catalase and glutathione S-transferases. Antioxidant responses of A. colbecki could represent a useful tool in assessing the biological impact of environmental pollutants in the Antarctic ecosystems.</t>
  </si>
  <si>
    <t>Univ Ancona, Ist Biol &amp; Genet, I-60100 Ancona, Italy; Univ Pisa, Dipartimento Biomed Sperimentale, I-56100 Pisa, Italy</t>
  </si>
  <si>
    <t>Univ Ancona, Ist Biol &amp; Genet, Via Ranieri,Monte Dago, I-60100 Ancona, Italy.</t>
  </si>
  <si>
    <t>OCT 3</t>
  </si>
  <si>
    <t>10.1023/A:1003094515903</t>
  </si>
  <si>
    <t>http://dx.doi.org/10.1023/A:1003094515903</t>
  </si>
  <si>
    <t>YU860</t>
  </si>
  <si>
    <t>WOS:000071763300015</t>
  </si>
  <si>
    <t>Leignel, V; Laulier, M</t>
  </si>
  <si>
    <t>Isolation and characterization of Mytilus edulis metallothionein genes</t>
  </si>
  <si>
    <t>genes; metallothionein; splicing signal; AT content; MT-10; MT-20; Mytilus edulis; mussel</t>
  </si>
  <si>
    <t>TISSUE-SPECIFIC EXPRESSION; CRAB CALLINECTES-SAPIDUS; DIGESTIVE GLAND; CADMIUM; MUSSEL; GALLOPROVINCIALIS; EXPOSURE; INDUCTION; PROTEINS; ISOFORMS</t>
  </si>
  <si>
    <t>Metallothioneins (MTs) are crucial proteins in all organisms for the regulation of essential metals and the detoxification of heavy metals. Many studies have estimated MT levels in mussel tissues to detect marine metal pollution. In this study, we investigated the MT gene structures of the forms present in Mytilus edulis (blue mussel). One MT-10 (2413 bp) gene and one MT-20 (1906 bp) gene were obtained. These NIT genes contain three exons and two long introns. The splicing signals for MT-10 and MT-20 were GTA(T/A)GT-(C/T)AG. The structural organization (length of intron, splicing signals, AT content) of MT-10 and MT-20 is compared with other NIT genes. (c) 2005 Elsevier Inc. All rights reserved.</t>
  </si>
  <si>
    <t>Univ Maine, Biol &amp; Genet Evolut Lab, F-72000 Le Mans, France</t>
  </si>
  <si>
    <t>Univ Maine, Biol &amp; Genet Evolut Lab, F-72000 Le Mans, France.</t>
  </si>
  <si>
    <t>vincent.leignel@univ-lemans.fr</t>
  </si>
  <si>
    <t>10.1016/j.cbpc.2005.09.011</t>
  </si>
  <si>
    <t>http://dx.doi.org/10.1016/j.cbpc.2005.09.011</t>
  </si>
  <si>
    <t>020NO</t>
  </si>
  <si>
    <t>WOS:000235916600001</t>
  </si>
  <si>
    <t>Checchetto, V; Formentin, E; Carraretto, L; Segalla, A; Giacometti, GM; Szabo, I; Bergantino, E</t>
  </si>
  <si>
    <t>Checchetto, Vanessa; Formentin, Elide; Carraretto, Luca; Segalla, Anna; Giacometti, Giorgio Mario; Szabo, Ildiko; Bergantino, Elisabetta</t>
  </si>
  <si>
    <t>Functional Characterization and Determination of the Physiological Role of a Calcium-Dependent Potassium Channel from Cyanobacteria</t>
  </si>
  <si>
    <t>PLANT PHYSIOLOGY</t>
  </si>
  <si>
    <t>DIFFUSION FACILITATOR FAMILY; ESCHERICHIA-COLI; K+ CHANNEL; MICROCYSTIS-AERUGINOSA; ANTIPORT MECHANISM; ZINC TRANSPORTER; HEAVY-METAL; MUTATIONS; MEMBRANE; TOXICITY</t>
  </si>
  <si>
    <t>Despite the important achievement of the high-resolution structures of several prokaryotic channels, current understanding of their physiological roles in bacteria themselves is still far from complete. We have identified a putative two transmembrane domain-containing channel, SynCaK, in the genome of the freshwater cyanobacterium Synechocystis sp. PCC 6803, a model photosynthetic organism. SynCaK displays significant sequence homology to MthK, a calcium-dependent potassium channel isolated from Methanobacterium thermoautotrophicum. Expression of SynCaK in fusion with enhanced GFP in mammalian Chinese hamster ovary cells' plasma membrane gave rise to a calcium-activated, potassium-selective activity in patch clamp experiments. In cyanobacteria, Western blotting of isolated membrane fractions located SynCaK mainly to the plasma membrane. To understand its physiological function, a SynCaK-deficient mutant of Synechocystis sp. PCC 6803, DSynCaK, has been obtained. Although the potassium content in the mutant organisms was comparable to that observed in the wild type, DSynCaK was characterized by a depolarized resting membrane potential, as determined by a potential-sensitive fluorescent probe. Growth of the mutant under various conditions revealed that lack of SynCaK does not impair growth under osmotic or salt stress and that SynCaK is not involved in the regulation of photosynthesis. Instead, its lack conferred an increased resistance to the heavy metal zinc, an environmental pollutant. A similar result was obtained using barium, a general potassium channel inhibitor that also caused depolarization. Our findings thus indicate that SynCaK is a functional channel and identify the physiological consequences of its deletion in cyanobacteria.</t>
  </si>
  <si>
    <t>[Checchetto, Vanessa; Formentin, Elide; Carraretto, Luca; Segalla, Anna; Giacometti, Giorgio Mario; Szabo, Ildiko; Bergantino, Elisabetta] Univ Padua, Dept Biol, I-35121 Padua, Italy</t>
  </si>
  <si>
    <t>Szabo, I (corresponding author), Univ Padua, Dept Biol, Via Trieste 75, I-35121 Padua, Italy.</t>
  </si>
  <si>
    <t>ildi@civ.bio.unipd.it</t>
  </si>
  <si>
    <t>checchetto, vanessa/ABI-6145-2020; Szabo, Ildiko/AAW-5972-2021</t>
  </si>
  <si>
    <t>checchetto, vanessa/0000-0001-8911-6146; Szabo, Ildiko/0000-0002-3637-3947</t>
  </si>
  <si>
    <t>Progetti di Ricerca di Interesse Nazionale; European Molecular Biology Organization Young Investigator Grant</t>
  </si>
  <si>
    <t>Progetti di Ricerca di Interesse Nazionale(Ministry of Education, Universities and Research (MIUR)Research Projects of National Relevance (PRIN)); European Molecular Biology Organization Young Investigator Grant</t>
  </si>
  <si>
    <t>This work was supported by Progetti di Ricerca di Interesse Nazionale 2008 and 2010-2011 (to I.S. and E.B.) and a European Molecular Biology Organization Young Investigator Grant (to I.S.).</t>
  </si>
  <si>
    <t>AMER SOC PLANT BIOLOGISTS</t>
  </si>
  <si>
    <t>ROCKVILLE</t>
  </si>
  <si>
    <t>15501 MONONA DRIVE, ROCKVILLE, MD 20855 USA</t>
  </si>
  <si>
    <t>0032-0889</t>
  </si>
  <si>
    <t>1532-2548</t>
  </si>
  <si>
    <t>PLANT PHYSIOL</t>
  </si>
  <si>
    <t>Plant Physiol.</t>
  </si>
  <si>
    <t>10.1104/pp.113.215129</t>
  </si>
  <si>
    <t>http://dx.doi.org/10.1104/pp.113.215129</t>
  </si>
  <si>
    <t>156KE</t>
  </si>
  <si>
    <t>WOS:000319819900033</t>
  </si>
  <si>
    <t>Wagner, A; Boman, J</t>
  </si>
  <si>
    <t>Biomonitoring of trace elements in Vietnamese freshwater mussels</t>
  </si>
  <si>
    <t>10th Symposium on Total Reflection X-Ray Fluorescence Analysis/39th Discussion Meeting on Chemical Analysis</t>
  </si>
  <si>
    <t>SEP 14-19, 2003</t>
  </si>
  <si>
    <t>Awaji Isl, JAPAN</t>
  </si>
  <si>
    <t>biomonitoring; freshwater mussels (Pletholophus swinhoei); graphite furnace atomic absorption spectrometry (GF-AAS); total reflection X-ray fluorescence (TXRF); trace elements</t>
  </si>
  <si>
    <t>X-RAY-FLUORESCENCE; METAL POLLUTION; MYTILUS-EDULIS; BIOAVAILABILITY; INDICATOR; MOLLUSKS; CADMIUM; RIVER; GULF</t>
  </si>
  <si>
    <t>The objective of the present study was to conduct a preliminary investigation of the pollution situation in the northern part of Vietnam with focus on trace elements including heavy metals. A freshwater bivalve species of the Unionidae family (Pletholophus swinhoei), abundant in this part of the country and frequently used for human consumption, was chosen as biomonitor. Ten specimens each were collected at two rural sites, Day Minh, approximately 40 km south of the capital Hanoi, and An Thin, situated approximately 11 km south of the Pha Lai power plant. The concentrations of 20 elements were measured using total reflection X-ray fluorescence and graphite furnace atomic absorption spectroscopy. Significant site-specific differences were found for the elements As, Ba, Be, Br, Cr, Fe, Mn, Ni, P and Sr. A comparison with other in situ biomonitoring studies using Unionidae bivalves showed that the concentrations of most elements were within the same order of magnitude, whereas heavy metal concentrations were distinctively low, suggesting the absence of major anthropogenic pollution sources in this area. The concentrations of Cd, Cr, Cu, Pb, Se and Zn were below the levels regarded as harmful according to the international standards for metals in mollusks compiled by the Food and Agricultural Organization of the United Nations. (C) 2004 Elsevier B.V. All rights reserved.</t>
  </si>
  <si>
    <t>Univ Gothenburg, Dept Chem, SE-41296 Gothenburg, Sweden</t>
  </si>
  <si>
    <t>University of Gothenburg</t>
  </si>
  <si>
    <t>Univ Gothenburg, Dept Chem, SE-41296 Gothenburg, Sweden.</t>
  </si>
  <si>
    <t>wagnera@phc.gu.se</t>
  </si>
  <si>
    <t>Boman, Johan/D-2143-2009</t>
  </si>
  <si>
    <t>Boman, Johan/0000-0001-9862-4126</t>
  </si>
  <si>
    <t>10.1016/j.sab.2003.11.009</t>
  </si>
  <si>
    <t>http://dx.doi.org/10.1016/j.sab.2003.11.009</t>
  </si>
  <si>
    <t>864GS</t>
  </si>
  <si>
    <t>WOS:000224622600009</t>
  </si>
  <si>
    <t>Mejdoub, Z; Zaid, Y; Hmimid, F; Kabine, M</t>
  </si>
  <si>
    <t>Mejdoub, Zineb; Zaid, Younes; Hmimid, Fouzia; Kabine, Mostafa</t>
  </si>
  <si>
    <t>Assessment of metals bioaccumulation and bioavailability in mussels Mytilus galloprovincialis exposed to outfalls pollution in coastal areas of Casablanca</t>
  </si>
  <si>
    <t>Bioavailability; Bioaccumulation; Mussels Mytilus galloprovincialis; Trace metals; Contamination</t>
  </si>
  <si>
    <t>HEAVY-METALS; TRACE-METALS; OXIDATIVE STRESS; LIPID-PEROXIDATION; POTENTIAL RISK; WATCH PROGRAMS; EDULIS; CADMIUM; TISSUES; INDEX</t>
  </si>
  <si>
    <t>The present work aims to study the metallic contamination of four sampling sites located nearby major sewage outfalls of the Casablanca coast (Morocco), using indigenous mussels Mytilus galloprovincialis as bioindicators of pollution. This research offered the opportunity to study trace metals bioaccumulation mechanisms, which represent a major factor in assessment processes of the pollution effects in coastal ecosystem health. The bioavailability and the bioaccumulation of trace metals (Cu, Zn, Ni, Pb) were evaluated in order to compare the metallic contamination in mussels' tissues and find a possible correlation with physiological parameters of this filter feeding species. Our results showed a significant spatiotemporal variation of bioaccumulation, compared to control. A significant correlation coefficient between metals (Zn and Pb) bioavailability and physiological index (CI) was revealed in mussels from the most polluted location. The seasonal variation of trace metal accumulation was also raised; the highest values recorded during the dry period.</t>
  </si>
  <si>
    <t>[Mejdoub, Zineb; Hmimid, Fouzia; Kabine, Mostafa] Univ Hassan II Casablanca, Fac Sci Ain Chock, Dept Biol, Lab Hlth &amp; Environm, Casablanca, Morocco; [Zaid, Younes] Mohammed VI Univ Hlth Sci, Res Ctr, Lab Thrombosis Hemostasis, Blvd Taieb Naciri, Casablanca 82403, Morocco</t>
  </si>
  <si>
    <t>Hassan II University of Casablanca; Mohammed VI University of Sciences &amp; Health-UM6SS</t>
  </si>
  <si>
    <t>Mejdoub, Z (corresponding author), Univ Hassan II Casablanca, Fac Sci Ain Chock, Dept Biol, Lab Hlth &amp; Environm, Casablanca, Morocco.</t>
  </si>
  <si>
    <t>z_mejdoub@hotmail.com</t>
  </si>
  <si>
    <t>Zaid, Younes/AAU-4035-2021</t>
  </si>
  <si>
    <t>Zaid, Younes/0000-0001-8750-9106</t>
  </si>
  <si>
    <t>10.1016/j.jtemb.2018.02.018</t>
  </si>
  <si>
    <t>http://dx.doi.org/10.1016/j.jtemb.2018.02.018</t>
  </si>
  <si>
    <t>GM6ZE</t>
  </si>
  <si>
    <t>WOS:000438326700006</t>
  </si>
  <si>
    <t>Birch, GF; Apostolatos, C</t>
  </si>
  <si>
    <t>Birch, G. F.; Apostolatos, C.</t>
  </si>
  <si>
    <t>Use of sedimentary metals to predict metal concentrations in black mussel (Mytilus galloprovincialis) tissue and risk to human health (Sydney estuary, Australia)</t>
  </si>
  <si>
    <t>Sediments; Metals; Black mussel; Mytilus galloprovincialis; Tissue; Sydney estuary; Human health risk</t>
  </si>
  <si>
    <t>NEW-SOUTH-WALES; HEAVY-METALS; PORT JACKSON; CRASSOSTREA-GIGAS; ELEMENT CONCENTRATIONS; SURFICIAL SEDIMENTS; QUALITY GUIDELINES; COASTAL WATERS; LAKE MACQUARIE; OYSTERS</t>
  </si>
  <si>
    <t>Filter-feeding bivalves have been used extensively as an indicator of ecosystem condition and in management of estuarine environments. The current study aimed to determine whether sedimentary metals could predict metal concentrations in tissue of filter-feeding mussels (Mytilus galloprovincialis) and to identify areas of the estuary where mussel consumption posed a human health risk. Mussel tissue Cu and Zn concentrations (wet weight) were below guideline values for human consumption in all parts of the waterway, whereas Pb tissue concentrations exceed these guidelines (2.0 mu g g(-1) wet weight) in the upper reaches of some embayments of the estuary. Concentrations of Cu and Pb in the fine fraction (&lt; 62.5 mu m) of bottom sediment reasonably predicted concentrations (dry weight) of these metals in mussel tissue (r (2) = 0.460 and p = 0.001 and r (2) = 0.669 and p &lt; 0.0001, respectively) as these materials are resuspendable and available to filter-feeding estuarine animals, whereas total sediment and mussel tissue were poorly related. Lead concentrations (&gt; 350 mu g g(-1)) in fine sediments indicated areas of this estuary where human health was at risk due to high tissue concentrations of this metal. These results give encouragement for the use of the metal concentration in fine sediments as an indicator of estuarine condition and risk to human health in this waterway. Mussels were distributed in all parts of the estuary, even in areas where metal concentrations exceeded sediment quality guidelines.</t>
  </si>
  <si>
    <t>[Birch, G. F.; Apostolatos, C.] Univ Sydney, Sch Geosci, Environm Geol Grp, Sydney, NSW 2006, Australia</t>
  </si>
  <si>
    <t>Birch, GF (corresponding author), Univ Sydney, Sch Geosci, Environm Geol Grp, Sydney, NSW 2006, Australia.</t>
  </si>
  <si>
    <t>10.1007/s11356-013-1538-8</t>
  </si>
  <si>
    <t>http://dx.doi.org/10.1007/s11356-013-1538-8</t>
  </si>
  <si>
    <t>184QR</t>
  </si>
  <si>
    <t>WOS:000321908600039</t>
  </si>
  <si>
    <t>Liu, YZ; Guo, LR; Huang, HY; Dou, JB; Huang, Q; Gan, DF; Chen, JY; Li, YX; Zhang, XY; Wei, Y</t>
  </si>
  <si>
    <t>Liu, Yanzhu; Guo, Linru; Huang, Hongye; Dou, Jibo; Huang, Qiang; Gan, Defu; Chen, Junyu; Li, Yongxiu; Zhang, Xiaoyong; Wei, Yen</t>
  </si>
  <si>
    <t>Facile preparation of magnetic composites based on carbon nanotubes: Utilization for removal of environmental pollutants</t>
  </si>
  <si>
    <t>JOURNAL OF COLLOID AND INTERFACE SCIENCE</t>
  </si>
  <si>
    <t>Magnetic composites; Carbon nanotubes; Environmental adsorption; One-pot oxidation; Heavy metal ions; Organic dyes</t>
  </si>
  <si>
    <t>SOLID-PHASE EXTRACTION; MUSSEL INSPIRED CHEMISTRY; HIGH ADSORPTION CAPACITY; WASTE-WATER; HYBRID NANOCOMPOSITES; SURFACE MODIFICATION; AQUEOUS-SOLUTION; GRAPHENE SPONGE; NANOPARTICLES; IONS</t>
  </si>
  <si>
    <t>The preparation of multifunctional composites that combine magnetic nanoparticles and supported nanomaterials has attracted great attention for various applications. In this work, a facile method was developed for the preparation of carbon nanotube (CNT)-based magnetic composites through a onepot oxidation method using K2FeO4 as the oxidant, which was subsequently used as the reagent to generate the Fe3O4 nanoparticles and fabricate the magnetic CNT composites. This strategy could be performed at room temperature, so it is very mild and straightforward. The properties and structure of the as-fabricated CNT-Fe3O4 composites were characterized by Fourier transform infrared spectroscopy, thermogravimetric analysis, transmission electron microscopy, X-ray photoelectron spectroscopy, X-ray diffraction, and vibrating sample magnetometry. The results suggested that this approach not only generated Fe3O4 magnetic nanoparticles on the surface of the CNTs but also produced a series of functional groups. In addition, the dried CNT-Fe3O4 composites were highly dispersible in water or organic solutions, and they also had a magnetic response that could satisfy the demand for magnetic separation. Finally, we adsorbed copper ions (Cu2+) and methylene blue (MB) using the CNT-Fe3O4 composites as adsorbents. The results indicated that the obtained composites could adsorb both Cu2+ and MB effectively. Taken together, we report a novel strategy for the fabrication of magnetic carbon nanotube composites through a facile oxidation and subsequent deposition procedure. These magnetic composites show great potential for the removal of environmental pollutants. (C) 2019 Elsevier Inc. All rights reserved.</t>
  </si>
  <si>
    <t>[Liu, Yanzhu; Guo, Linru; Huang, Hongye; Dou, Jibo; Huang, Qiang; Gan, Defu; Chen, Junyu; Li, Yongxiu; Zhang, Xiaoyong] Nanchang Univ, Dept Chem, 999 Xuefu Ave, Nanchang 330031, Jiangxi, Peoples R China; [Wei, Yen] Tsinghua Univ, Dept Chem, Beijing 100084, Peoples R China; [Wei, Yen] Tsinghua Univ, Tsinghua Ctr Frontier Polymer Res, Beijing 100084, Peoples R China; [Wei, Yen] Chung Yuan Christian Univ, Dept Chem, Chungli 32023, Taiwan; [Wei, Yen] Chung Yuan Christian Univ, Ctr Nanotechnol, Chungli 32023, Taiwan; [Wei, Yen] Chung Yuan Christian Univ, Inst Biomed Technol, Chungli 32023, Taiwan</t>
  </si>
  <si>
    <t>Nanchang University; Tsinghua University; Tsinghua University; Chung Yuan Christian University; Chung Yuan Christian University; Chung Yuan Christian University</t>
  </si>
  <si>
    <t>Li, YX; Zhang, XY (corresponding author), Nanchang Univ, Dept Chem, 999 Xuefu Ave, Nanchang 330031, Jiangxi, Peoples R China.;Wei, Y (corresponding author), Tsinghua Univ, Dept Chem, Beijing 100084, Peoples R China.;Wei, Y (corresponding author), Tsinghua Univ, Tsinghua Ctr Frontier Polymer Res, Beijing 100084, Peoples R China.;Wei, Y (corresponding author), Chung Yuan Christian Univ, Dept Chem, Chungli 32023, Taiwan.;Wei, Y (corresponding author), Chung Yuan Christian Univ, Ctr Nanotechnol, Chungli 32023, Taiwan.;Wei, Y (corresponding author), Chung Yuan Christian Univ, Inst Biomed Technol, Chungli 32023, Taiwan.</t>
  </si>
  <si>
    <t>yxli@ncu.edu.cn; zhangxiaoyong@ncu.edu.cn; weiyen@tsinghua.edu.cn</t>
  </si>
  <si>
    <t>zhang, xiaoyong/D-9539-2011; Dou, Jibo/AAT-1196-2021; Wei, Yen/H-5329-2012</t>
  </si>
  <si>
    <t>Dou, Jibo/0000-0002-9190-400X; Gan, Defu/0009-0006-9368-6348</t>
  </si>
  <si>
    <t>National Natural Science Foundation of China [21788102, 21564006, 21561022, 21644014, 21865012]</t>
  </si>
  <si>
    <t>This research was supported by the National Natural Science Foundation of China (Nos. 21788102, 21564006, 21561022, 21644014, 21788102, 21865012).</t>
  </si>
  <si>
    <t>0021-9797</t>
  </si>
  <si>
    <t>1095-7103</t>
  </si>
  <si>
    <t>J COLLOID INTERF SCI</t>
  </si>
  <si>
    <t>J. Colloid Interface Sci.</t>
  </si>
  <si>
    <t>10.1016/j.jcis.2019.03.009</t>
  </si>
  <si>
    <t>http://dx.doi.org/10.1016/j.jcis.2019.03.009</t>
  </si>
  <si>
    <t>Chemistry, Physical</t>
  </si>
  <si>
    <t>HT5TS</t>
  </si>
  <si>
    <t>WOS:000464626800002</t>
  </si>
  <si>
    <t>Alyazichi, YM; Jones, BG; McLean, E</t>
  </si>
  <si>
    <t>Alyazichi, Yasir M.; Jones, Brian G.; McLean, Errol</t>
  </si>
  <si>
    <t>Spatial and Temporal Distribution and Pollution Assessment of Trace Metals in Marine Sediments in Oyster Bay, NSW, Australia</t>
  </si>
  <si>
    <t>Oyster Bay; Sediments; Trace metals; Hierarchical cluster analysis and Pollution</t>
  </si>
  <si>
    <t>HEAVY-METALS; INTERTIDAL SEDIMENTS; PORT JACKSON; ESTUARY; SYDNEY</t>
  </si>
  <si>
    <t>The disposal of untreated urban and industrial wastewater has a deleterious effect on both the water and sediment quality of Oyster Bay located in south Sydney, Australia. The present investigation was undertaken to evaluate the potential pollution of marine sediments in Oyster Bay. The results of metals were compared with adverse biological effect values effect range low (ERL) and effect range median (ERM). Spatial distribution of trace metals was estimated by applying geographic information system. The results indicated that the sediments were polluted with Cu, Zn, As and Pb, which exceeded ERL levels. However, these metals were still below ERM values, and other metals Cr and Ni were below ERL. Moreover, the highest concentrations of metals were around discharge points and in the inner bay. Further, trace metals could be attributed to human activities within the bay as they declined in concentrations with increasing sediment depth.</t>
  </si>
  <si>
    <t>[Alyazichi, Yasir M.; Jones, Brian G.; McLean, Errol] Univ Wollongong, Sch Earth &amp; Environm Sci, Wollongong, NSW 2522, Australia; [Alyazichi, Yasir M.] Univ Mosul, Dam &amp; Water Resources Res Ctr, Mosul, Iraq</t>
  </si>
  <si>
    <t>University of Wollongong; University of Mosul</t>
  </si>
  <si>
    <t>Alyazichi, YM (corresponding author), Univ Wollongong, Sch Earth &amp; Environm Sci, Wollongong, NSW 2522, Australia.</t>
  </si>
  <si>
    <t>ymmay555@uowmail.edu.au</t>
  </si>
  <si>
    <t>Alyazichi, Yasir/AAI-4460-2020; Jones, Brian G./K-2496-2017</t>
  </si>
  <si>
    <t>Alyazichi, Yasir/0000-0002-1709-2023; McLean, Errol/0000-0002-1972-256X; Jones, Brian G./0000-0003-0835-7197</t>
  </si>
  <si>
    <t>Ministry of Higher Education and Scientific Research, Iraqi Government; University of Wollongong</t>
  </si>
  <si>
    <t>This paper is a part of the first author's PhD. thesis undertaken at the School of Earth and Environmental Sciences, University of Wollongong. It was financially supported by the Ministry of Higher Education and Scientific Research, Iraqi Government and University of Wollongong.</t>
  </si>
  <si>
    <t>10.1007/s00128-014-1434-z</t>
  </si>
  <si>
    <t>http://dx.doi.org/10.1007/s00128-014-1434-z</t>
  </si>
  <si>
    <t>AX9UU</t>
  </si>
  <si>
    <t>WOS:000347248300010</t>
  </si>
  <si>
    <t>WEBER, RE; DEZWAAN, A; BANG, A</t>
  </si>
  <si>
    <t>INTERACTIVE EFFECTS OF AMBIENT COPPER AND ANOXIC, TEMPERATURE AND SALINITY STRESS ON SURVIVAL AND HEMOLYMPH AND MUSCLE-TISSUE OSMOTIC EFFECTORS IN MYTILUS-EDULIS</t>
  </si>
  <si>
    <t>CU; HEMOLYMPH AND CELLULAR OSMOLYTES; INTRACELLULAR ISOSMOTIC REGULATION; MORTALITY; MUSSEL; MYTILUS-EDULIS</t>
  </si>
  <si>
    <t>SCAPHARCA-INAEQUIVALVIS; LIPID-PEROXIDATION; VOLUME REGULATION; BINDING PROTEINS; HEAVY-METALS; MUSSEL; METABOLISM; MOLLUSKS; TOXICITY; CADMIUM</t>
  </si>
  <si>
    <t>To discern mechanisms of synergies between natural and pollutional environmental stress factors, we investigated the effects of sublethal (20 ppb) and lethal (200 ppb) Cu concentrations on mortality and on hemolymph and cellular osmotic effectors in Mytilus edulis under various combinations of anoxia, normoxia, high and low salinity and temperature. Chronic (6-wk) exposure to sublethal Cu and subsequent subjection to temperature and salinity stress had no significant effect on survival under aerial exposure at either 6 or 15-degrees-C. Compared with virtually 100% survival observed in Cu-free animals under normoxia, both 200 ppb Cu and anoxia (singly) drastically decreased survival, which further deteriorated when the animals were subjected to both stresses combined, high temperature or low salinity. The Q10LT50 values LT50t + 10-degrees-C/LT50t-degrees-C) of 2-2.5 observed under all condition sets in the presence of 200 ppb Cu and/or under anoxia, and of approximately 3 under aerial exposure following chronic subjection to 20 ppb Cu suggest that temperature rise increases mortality through accelerated depletion of metabolic reserves. In the adductor muscle, inorganic components are implicated in isosmotic intracellular regulation following salinity change. Sublethal Cu did not appreciably affect hemolymph osmolytes, that predominantly consist of chloride salts, or cellular osmotic components. Anoxia markedly decreased cellular K+ and increased cellular Na+ and Cl- concentrations. The cellular effects of anoxia increased in the additional presence of 200 ppb Cu and generally correlated with opposite changes in hemolymph ion levels, indicating disruption of transmembrane concentration gradients.</t>
  </si>
  <si>
    <t>DELTA INST HYDROBIOL RES, YERSEKE, NETHERLANDS</t>
  </si>
  <si>
    <t>AARHUS UNIV, INST BIOL SCI, ZOOPHYSIOL LAB, BLDG 131, DK-8000 AARHUS, DENMARK.</t>
  </si>
  <si>
    <t>10.1016/0022-0981(92)90033-7</t>
  </si>
  <si>
    <t>http://dx.doi.org/10.1016/0022-0981(92)90033-7</t>
  </si>
  <si>
    <t>JP676</t>
  </si>
  <si>
    <t>WOS:A1992JP67600001</t>
  </si>
  <si>
    <t>Fourie, AJ; Uren, RC; Marlin, D; Bouwman, H</t>
  </si>
  <si>
    <t>Fourie, Amarein J.; Uren, Ryan C.; Marlin, Danica; Bouwman, Hindrik</t>
  </si>
  <si>
    <t>Metals and co-presence of other pollutants in mussels (Perna perna) around Algoa Bay: Human consumption safety concerns</t>
  </si>
  <si>
    <t>Metallic elements; Mussels; Algoa Bay; Pollution; Human health risk; Pb</t>
  </si>
  <si>
    <t>HEAVY-METALS; TRACE-METAL; MYTILUS-GALLOPROVINCIALIS; SWARTKOPS ESTUARY; PORT ELIZABETH; SOUTH-AFRICA; HEALTH-RISK; SOFT-TISSUE; BASE-LINE; OYSTERS</t>
  </si>
  <si>
    <t>Elevated metal concentrations can become harmful to marine organisms and to humans that consume them. Metal concentrations at multiple sites around Algoa Bay, South Africa, were last investigated in the 1980s. We collected wild brown mussels (Perna perna) from seven sites around Algoa Bay, and quantified metallic elements using ICPMS. Metallic element concentrations differed significantly among the sampling sites and correlated with pollution sources at specific sites. The concentration of Pb in mussels at one site slightly exceeded South African limits. Based on the South African estimated daily intake, the target hazard quotient, and South African metal limits, mussels from Algoa Bay are safe for human consumption, except possibly from one site. However, combined with data on bisphenols and benzophenone UV filters in P. perna from the same sites, we suggest a possible health concern to consumers.</t>
  </si>
  <si>
    <t>[Fourie, Amarein J.; Marlin, Danica] Sustainable Seas Trust, 222 Main Rd, ZA-6001 Gqeberha, South Africa; [Uren, Ryan C.; Bouwman, Hindrik] North West Univ, Environm Sci &amp; Management, ZA-2531 Potchefstroom, South Africa; [Fourie, Amarein J.] 222 Main Rd, ZA-6001 Gqeberha, South Africa</t>
  </si>
  <si>
    <t>Fourie, AJ (corresponding author), 222 Main Rd, ZA-6001 Gqeberha, South Africa.</t>
  </si>
  <si>
    <t>amarein@sstafrica.org.za</t>
  </si>
  <si>
    <t>Marlin, Danica/AAW-3988-2021</t>
  </si>
  <si>
    <t>Bouwman, Hindrik/0000-0002-7983-7502</t>
  </si>
  <si>
    <t>10.1016/j.marpolbul.2022.114345</t>
  </si>
  <si>
    <t>http://dx.doi.org/10.1016/j.marpolbul.2022.114345</t>
  </si>
  <si>
    <t>8L5UI</t>
  </si>
  <si>
    <t>WOS:000923848700002</t>
  </si>
  <si>
    <t>Lafabrie, C; Pergent, G; Kantin, R; Pergent-Martini, C; Gonzalez, JL</t>
  </si>
  <si>
    <t>Lafabrie, C.; Pergent, G.; Kantin, R.; Pergent-Martini, C.; Gonzalez, J.-L.</t>
  </si>
  <si>
    <t>Trace metals assessment in water, sediment, mussel and seagrass species -: Validation of the use of Posidonia oceanica as a metal biomonitor</t>
  </si>
  <si>
    <t>metal contamination; biomonitoring; seawater; sediment; marine organisms; Mediterranean sea</t>
  </si>
  <si>
    <t>POLYCYCLIC AROMATIC-HYDROCARBONS; SITU SPECIATION MEASUREMENTS; HEAVY-METAL; DIFFUSIVE GRADIENTS; MARINE POLLUTION; COASTAL AREA; MERCURY; MOLLUSKS; BIOACCUMULATION; CONTAMINATION</t>
  </si>
  <si>
    <t>The accumulation of trace metals (Cd, Co, Cr, Hg, Ni and Pb) was measured in water, sediment, the mussel Mytilus galloprovincialis and the seagrass Posidonia oceanica. Samples were collected in three locations of the north-western Mediterranean (Canari, Livorno and Porto-Torres) which present different levels and sources of human impact. Analyses in the different compartments (water, sediment, M. galloprovincialis and P. oceanica) have allowed to identify Canari as the most Cd, Co, Cr and Ni contaminated site; Livorno as the most Hg contaminated and Porto-Torres as the most Pb contaminated. Furthermore, for the first time, metal concentrations found in P. oceanica have been compared with those found in the water column, in the sediment and in the recognized metal bio-indicator species M. galloprovincialis and the results obtained have led to the same conclusions. Thus, this study allows to validate the use of P. oceanica as metal biomonitor of coastal waters. (c) 2007 Elsevier Ltd. All rights reserved.</t>
  </si>
  <si>
    <t>Univ Corsica, Fac Sci, Equipe Ecosyst Littoraux, F-20250 Corte, France; IFREMER, F-83507 La Seyne Sur Mer, France</t>
  </si>
  <si>
    <t>Lafabrie, C (corresponding author), Univ Corsica, Fac Sci, Equipe Ecosyst Littoraux, BP 52, F-20250 Corte, France.</t>
  </si>
  <si>
    <t>lafabrie@univ-corse.fr</t>
  </si>
  <si>
    <t>Pergent-Martini, Christine/0000-0002-9098-6867; Gonzalez, Jean-Louis/0000-0002-7068-8686</t>
  </si>
  <si>
    <t>10.1016/j.chemosphere.2007.02.039</t>
  </si>
  <si>
    <t>http://dx.doi.org/10.1016/j.chemosphere.2007.02.039</t>
  </si>
  <si>
    <t>214BH</t>
  </si>
  <si>
    <t>WOS:000249710500004</t>
  </si>
  <si>
    <t>Salahshur, S; Bakhtiari, AR; Kochanian, P</t>
  </si>
  <si>
    <t>Salahshur, Sara; Bakhtiari, Alireza Riyahi; Kochanian, Preeta</t>
  </si>
  <si>
    <t>Use of Solen brevis as a Biomonitor for Cd, Pb and Zn on the Intertidal Zones of Bushehr-Persian Gulf, Iran</t>
  </si>
  <si>
    <t>Heavy metals; Sediment; Solen brevis; Correlation; Persian Gulf</t>
  </si>
  <si>
    <t>MUSSEL PERNA-VIRIDIS; HEAVY-METALS; WEST-COAST; TRACE-METALS; SOFT-TISSUE; SEDIMENTS; CU; POLLUTION; CADMIUM; ESTUARY</t>
  </si>
  <si>
    <t>The concentrations of Zn, Cd and Pb were determined in tissues (shell and soft tissue) of 144 of bivalve mollusks (Solen brevis) and 15 samples of surface sediment collected from three locations in intertidal zones of Bushehr coast, Persian Gulf, Iran in May 2011. The mean concentrations of Zn, Cd and Pb in the sediment samples were 26.2, 1.25, and 21.1 mu g/g dw, respectively. The mean levels of Zn, Cd and Pb in the clam samples were 63.3, 0.67, and 4.38 mu g/g dw in soft tissue and 10. 7, 1.53, and 15.6 mu g/g dw in shell, respectively. The degrees of variability (CV %) for Cd and Pb within the shells were lower than for soft tissues, whereas the CV for Zn was lower in the soft tissue than in the shell, indicating that there is more precision (lower CV) in the determination of Cd and Pb in the shells and Zn in the soft tissues. Significant correlation were found between Cd (r = 0.63; p &lt; 0.05) and Pb (r = 0.78; p &lt; 0.01) concentrations in the shell of S. brevis and their concentrations in the surface sediments. Indeed, Zn concentrations in the soft tissue of S. brevis significantly (r = 0.63; p &lt; 0.05) correlated with Zn concentrations in surface sediments. The results of this study suggest that the shell of S. brevis may serve as a reliable biomonitor for Cd and Pb, and the soft tissue for Zn.</t>
  </si>
  <si>
    <t>[Bakhtiari, Alireza Riyahi] Tarbiat Modares Univ, Dept Environm Sci, Fac Nat Resource &amp; Marine Sci, Noor, Mazandaran, Iran; [Salahshur, Sara] Islamic Azad Univ, Dept Environm Pollut, Sci &amp; Res Branch, Ahvaz, Khouzestan, Iran; [Kochanian, Preeta] Khorramshahr Univ Marine Sci &amp; Technol, Dept Fisheries, Fac Marine Nat Resources, Khorramshahr, Khouzestan, Iran</t>
  </si>
  <si>
    <t>Tarbiat Modares University; Islamic Azad University; Khorramshahr University of Marine Science &amp; Technology</t>
  </si>
  <si>
    <t>Bakhtiari, AR (corresponding author), Tarbiat Modares Univ, Dept Environm Sci, Fac Nat Resource &amp; Marine Sci, POB 46414-356, Noor, Mazandaran, Iran.</t>
  </si>
  <si>
    <t>sarasalahshur@gmail.com; ariyahi@gmail.com; pkochanian@gmail.com</t>
  </si>
  <si>
    <t>Riyahi Bakhtiari, Alireza/JTV-7290-2023; Kochanian, Preeta/AAD-3201-2019</t>
  </si>
  <si>
    <t>Kochanian, Preeta/0000-0003-0841-5254; (KMSU), khorramshahr university of marine Science and technology/0000-0001-8329-9690</t>
  </si>
  <si>
    <t>10.1007/s00128-012-0599-6</t>
  </si>
  <si>
    <t>http://dx.doi.org/10.1007/s00128-012-0599-6</t>
  </si>
  <si>
    <t>935TV</t>
  </si>
  <si>
    <t>WOS:000303544900029</t>
  </si>
  <si>
    <t>Seasonal fluctuations of metal bioaccumulation and reproductive health of local oyster populations in a large contaminated estuary</t>
  </si>
  <si>
    <t>Metals; Oysters; Estuary; Seasonal fluctuations; Reproduction health</t>
  </si>
  <si>
    <t>PEARL RIVER ESTUARY; HEAVY-METAL; CRASSOSTREA-HONGKONGENSIS; MYTILUS-EDULIS; TRACE-METALS; MAJOR CATIONS; POLLUTION; EXPOSURE; CADMIUM; MUSSELS</t>
  </si>
  <si>
    <t>Despite of much evidence of trace metal pollution in the Pearl River Estuary (PRE), the seasonal dynamics of metal bioavailability as well as the potential impacts of metal pollution on the local marine organisms in this estuary is poorly understood. In the present study, the accumulation of trace metals and reproductive states of three populations of oyster Crassostrea hongkongensis, a keystone bivalve species in the PRE, were for the first time investigated throughout a one-year field study. Significant temporal fluctuations of metal accumulation were observed in the somatic tissues of oysters, suggesting seasonal variations of metal bioavailability in the PRE. A major feature of the seasonal variations was the increased levels of metal bioaccumulation in the summer season for the contaminated sites nearby the major river inlets. High riverine inputs accompanied by relatively lower salinity in summer may greatly contribute to such variations. Furthermore, oyster populations from two contaminated sites had a poor reproductive condition in comparison with the reference oyster population, as reflected by a significant decrease of gonad-somatic index (GSI) and gonad cover area (GCA), as well as an obvious change of sex ratios. Gonadal metal accumulation of Cu, Zn, Ni, Co and Pb in the contaminated oysters was much higher than that in the relatively uncontaminated oysters. Especially, the concentrations of these metals in the gonad during the breeding season had significantly negative correlations with the gonad condition indexes (GSI and GCA). Our results suggested strong seasonal fluctuations of bioavailability of trace metals in this highly contaminated estuary as well as an adverse effect of metal pollution on the reproduction of local oyster populations. (C) 2019 Elsevier Ltd. All rights reserved.</t>
  </si>
  <si>
    <t>[Weng, Nanyan; Wang, Wen-Xiong] HKUST Shenzhen Res Inst, Shenzhen Key Lab Edible &amp; Med Bioresources, Shenzhen, Peoples R China; [Weng, Nanyan; Wang, Wen-Xiong] Hong Kong Univ Sci &amp; Technol, Dept Ocean Sci, Kowloon, Clearwater Bay, Hong Kong, Peoples R China</t>
  </si>
  <si>
    <t>Wang, WX (corresponding author), HKUST Shenzhen Res Inst, Shenzhen Key Lab Edible &amp; Med Bioresources, Shenzhen, Peoples R China.</t>
  </si>
  <si>
    <t>National Natural Science Foundation of China [21777134]; Shenzhen Science and Technology Innovation Committee [JCYJ20160530190827545, ZDSYS201707281432317]</t>
  </si>
  <si>
    <t>National Natural Science Foundation of China(National Natural Science Foundation of China (NSFC)); Shenzhen Science and Technology Innovation Committee</t>
  </si>
  <si>
    <t>We thank the anonymous reviewers for their comments, and Dr. Lu Guangyuan, Dr. Xie Minwei, Yan Neng and Li Yunlong for their help in field sampling. We also specially thank Dr. Tan Qiaoguo for his assistance in data analysis. This study was supported by the National Natural Science Foundation of China (Grant No. 21777134), and the Shenzhen Science and Technology Innovation Committee (No. JCYJ20160530190827545, and ZDSYS201707281432317).</t>
  </si>
  <si>
    <t>10.1016/j.envpol.2019.04.019</t>
  </si>
  <si>
    <t>http://dx.doi.org/10.1016/j.envpol.2019.04.019</t>
  </si>
  <si>
    <t>WOS:000471088200020</t>
  </si>
  <si>
    <t>Bervoets, L; Van Campenhout, K; Reynders, H; Knapen, D; Covaci, A; Blust, R</t>
  </si>
  <si>
    <t>Bervoets, Lieven; Van Campenhout, Karen; Reynders, Hans; Knapen, Dries; Covaci, Adrian; Blust, Ronny</t>
  </si>
  <si>
    <t>Bioaccumulation of micropollutants and biomarker responses in caged carp (Cyprinus carpio)</t>
  </si>
  <si>
    <t>Carp; Metal accumulation; Cages; Condition; Acetylcholinesterase</t>
  </si>
  <si>
    <t>MUSSELS DREISSENA-POLYMORPHA; FRESH-WATER FISH; HYBRID STRIPED BASS; IN-SITU; HEAVY-METALS; POLLUTION GRADIENT; SURFACE WATERS; RAINBOW-TROUT; GOBIO-GOBIO; ACCUMULATION</t>
  </si>
  <si>
    <t>At four different aquatic sites in Flanders (Belgium) with different types and degrees of contamination, juvenile carp (Cyprinus carpio) were exposed in cages for 4 weeks. After exposure, metals, polychlorinated biphenyls (PCBs), and selected organochlorine pesticides (OCPs) were analyzed in the tissues of the carp. Besides pollutant accumulation, several effects were measured as well. Condition measures such as changes in weight, condition factor (CF), and hepatosomatic index (HSI) were assessed. In addition, activity of acetylcholinesterase (AChE) and a set of blood biochemical parameters were measured. At all sites, accumulation of metals in the fish tissues was observed. Levels of cadmium and lead at some of the exposure sites were higher than the levels at the start and comparable to levels in fish from moderately metal-contaminated sites. For most organic pollutants, however, levels were not significantly higher than at the start. Only for two PCB congeners, levels had slightly increased but were still lower than levels in carp captured at noncontaminated sites. Although food limitation probably caused some of the observed effects, significant relationships were found between metal load in tissues and CF, AChE, plasma osmolality and HSI. This study shows that caged carp might be useful for the assessment of bioaccumulation and some effects of micropollutants in aquatic ecosystems. (c) 2008 Elsevier Inc. All rights reserved.</t>
  </si>
  <si>
    <t>[Bervoets, Lieven; Van Campenhout, Karen; Reynders, Hans; Knapen, Dries; Covaci, Adrian; Blust, Ronny] Univ Antwerp, Dept Biol, Ecophysiol Biochem &amp; Toxicol Grp, B-2020 Antwerp, Belgium; [Covaci, Adrian] Univ Antwerp, Dept Pharmaceut Sci, Toxicol Ctr, B-2610 Antwerp, Belgium</t>
  </si>
  <si>
    <t>Bervoets, Lieven/E-5012-2015; Vancampenhout, Karen/B-6956-2018; Covaci, Adrian/A-9058-2008</t>
  </si>
  <si>
    <t>Covaci, Adrian/0000-0003-0527-1136; Knapen, Dries/0000-0003-0472-8114</t>
  </si>
  <si>
    <t>Research Scientific Foundation-Flanders (FWO)</t>
  </si>
  <si>
    <t>Research Scientific Foundation-Flanders (FWO)(FWO)</t>
  </si>
  <si>
    <t>Dr. Adrian Covaci was financially supported by a postdoctoral fellowship from the Research Scientific Foundation-Flanders (FWO). Furthermore, we thank Lien Van Gool for the English revision.</t>
  </si>
  <si>
    <t>10.1016/j.ecoenv.2008.10.008</t>
  </si>
  <si>
    <t>http://dx.doi.org/10.1016/j.ecoenv.2008.10.008</t>
  </si>
  <si>
    <t>412ZG</t>
  </si>
  <si>
    <t>WOS:000263762100008</t>
  </si>
  <si>
    <t>Salánki, J</t>
  </si>
  <si>
    <t>Invertebrates in neurotoxicology</t>
  </si>
  <si>
    <t>neurotoxicology; ionic channels; transmitters; behaviour; heavy metals; mussel; snail</t>
  </si>
  <si>
    <t>LYMNAEA-STAGNALIS L; L NEURONS; CURRENTS; HGCL2; LEAD</t>
  </si>
  <si>
    <t>Due to the relative simplicity of their nervous system, invertebrate animals were widely used in the past decades for studying the processes of excitability at membrane level, as well as the mechanisms of neuronal events and interneuronal communication. Parallel with investigating basic questions of neurobiology, lower animals have also been the object of toxicological studies, because simple invertebrate preparations with well-known physiological, biochemical and pharmacological characteristics proved to be excellent models for testing the action of natural and synthetic compounds important to human pharmaceutical research as well as in searching suitable chemicals for pest control. In the last ten-fifteen years with the growing interest towards environmental protection, a new field was opened for the application of invertebrates, namely, testing and monitoring the presence and harmful effects of anthropogenic toxic substances. Invertebrates are used today both as passive and as active biomonitors to detect and evaluate the level of pollution in a given ecosystem, and to study the effects and mechanisms of action of pollutants. Invertebrate nervous systems are suitable objects in clarifying the mechanisms of action of toxic chemicals at various levels of the neural regulation. Toxic influences can be reflected in behavioural alterations, by the modification of the function of different organs as well as the neural regulation, presented by examples on mussels and snails. In case of neurotoxicity, the targets of action are the elements of the nervous system. Alterations can occur in the permeability (ion channels) of the neuronal membrane influencing excitability, potential generation and propagation of nerve impulse, in the transmitter system (synthesis, release, elimination and binding to the receptors), in the interneuronal and neuroeffector connections responsible for co-ordinated and adequate responses to the internal and external challenges. For the future, it can be predicted that neurotoxicological research with new compounds cannot be effective without using invertebrate preparations, since, due to animal protection and restrictions in animal experimentation, the permission of the use of vertebrates is much more limited in most of the developed countries, and this trend is certainly to be expanded.</t>
  </si>
  <si>
    <t>Salánki, J (corresponding author), Hungarian Acad Sci, Balaton Limnol Res Inst, POB 35, H-8237 Tihany, Hungary.</t>
  </si>
  <si>
    <t>WOS:000089279100018</t>
  </si>
  <si>
    <t>Kolyuchkina, GA; Budko, DF; Chasovnikov, VK; Chzhu, VP</t>
  </si>
  <si>
    <t>Kolyuchkina, G. A.; Budko, D. F.; Chasovnikov, V. K.; Chzhu, V. P.</t>
  </si>
  <si>
    <t>Influence of the Bottom Sediment Characteristics on the Bivalve Mollusk Anadara kagoshimensis Histopathology's Variability in the Northeastern Coast of the Black Sea</t>
  </si>
  <si>
    <t>MYTILUS-EDULIS-L; BLOOD COCKLE; RUDITAPES-DECUSSATUS; HEAVY-METALS; INAEQUIVALVIS; CADMIUM; CLAM; ACCUMULATION; BRUGUIERE; MUSSEL</t>
  </si>
  <si>
    <t>With increasing anthropogenic impact on the environment, investigations of organism's response to the contamination of natural habitats, are especially relevant. In the present study, we sought to identify the correlation between the bottom sediments and local variability in histopathology of Anadara kagoshimensis (Bivalvia) in four sites of the north-eastern coast of the Black Sea. Bottom sediment grain size, redox potential of pore water, heavy metals, benzo-alpha-pyrene and DDT concentrations have been used as characteristics of bottom sediments. Analysis of the data revealed differences in the geochemical background of the studied sites and the histopathological state of the molluscs from these areas. Among the 10 studied elements as well as benzo-alpha-pyrene and DDT, only Ni has shown an exceedance of statutory limits of concentration in bottom sediments. The study reveals a relationship between Ni concentration in the bottom sediments and frequency of heavy histopathologies in the molluscs. In addition to causes directly related to pollution, mild pathology may be influenced by natural causes; in particular, the high content of brown cells in the connective tissue of the digestive gland may be due to the age of molluscs.</t>
  </si>
  <si>
    <t>[Kolyuchkina, G. A.; Budko, D. F.] Russian Acad Sci, Shirshov Inst Oceanol, Moscow, Russia; [Chasovnikov, V. K.; Chzhu, V. P.] Russian Acad Sci, Shirshov Inst Oceanol, Southern Branch, Gelendzhik, Russia</t>
  </si>
  <si>
    <t>Russian Academy of Sciences; Shirshov Institute of Oceanology; Russian Academy of Sciences; Shirshov Institute of Oceanology</t>
  </si>
  <si>
    <t>Kolyuchkina, GA (corresponding author), Russian Acad Sci, Shirshov Inst Oceanol, Moscow, Russia.</t>
  </si>
  <si>
    <t>Kolyuchkina, Galina/R-5154-2019; Budko, Dmitry/AAO-1421-2020</t>
  </si>
  <si>
    <t>Budko, Dmitry/0000-0002-2953-8205; Kolyuchkina, Galina/0000-0001-6010-0765</t>
  </si>
  <si>
    <t>Russian Science Foundation [17-14-00382]</t>
  </si>
  <si>
    <t>This work was supported by the Russian Science Foundation, project no. 17-14-00382.</t>
  </si>
  <si>
    <t>10.1134/S0001437017060066</t>
  </si>
  <si>
    <t>http://dx.doi.org/10.1134/S0001437017060066</t>
  </si>
  <si>
    <t>FY9IT</t>
  </si>
  <si>
    <t>WOS:000427179800007</t>
  </si>
  <si>
    <t>Tenjing, SY; Narasimhaiah, N; Babu, A</t>
  </si>
  <si>
    <t>Tenjing, S. Y.; Narasimhaiah, N.; Babu, Akhil</t>
  </si>
  <si>
    <t>Monitoring of pollution at Panambur (major industrial area) and Padukere along Karnataka coast, south west coast of India: A statistical approach</t>
  </si>
  <si>
    <t>hydrocarbons; seafood; molluscs; bioindicators</t>
  </si>
  <si>
    <t>HEAVY-METAL CONCENTRATIONS; DONAX-TRUNCULUS; MOLLUSKS; MANGALORE</t>
  </si>
  <si>
    <t>Studies on environmental parameters in seawater and heavy metals content in meats of wedge clam, Donax faba (Family: Donacidae) were carried out. Mn and Zn concentrations from Panambur were higher than that of Padukere. These two heavy metals were very high in D. faba when compared to earlier studies from other different geographical regions. Significant variability in the environmental parameters and heavy metals was observed in both the wedge clam beds off Panambur and Padukere. Within the seasons, spatial trends were most evident during June-August. This change was largely brought about by the changes in environmental parameters and heavy metals in monsoon season. At Panambur, the seasonal pattern based on environmental variables and metals was to some extent consistent with the three seasons with the exception of few months which are transition months appeared in different clusters.</t>
  </si>
  <si>
    <t>[Tenjing, S. Y.] Mangalore Univ, Dept Biosci, Mangalagangothri 574199, Karnataka, India; [Narasimhaiah, N.] Mangalore Univ, Dept Appl Zool, Mangalagangothri 574199, Karnataka, India; [Babu, Akhil] NIIT Univ, Geograph Informat Syst Dept, Neemrana 301705, Rajasthan, India</t>
  </si>
  <si>
    <t>Mangalore University; Mangalore University; NIIT University, Rajasthan</t>
  </si>
  <si>
    <t>BSR-UGC Meritorious Fellowship [UGC] from the University Grant Commission, New Delhi, India [4-1/2008(BSR)]</t>
  </si>
  <si>
    <t>BSR-UGC Meritorious Fellowship [UGC] from the University Grant Commission, New Delhi, India</t>
  </si>
  <si>
    <t>The first author is thankful to the authorities of Mangalore University (Karnataka) for providing research facilities during the research period. The research work was supported by BSR-UGC Meritorious Fellowship [UGC No. 4-1/2008(BSR)] from the University Grant Commission, New Delhi, India.</t>
  </si>
  <si>
    <t>FT4PF</t>
  </si>
  <si>
    <t>WOS:000423136300022</t>
  </si>
  <si>
    <t>Da Ros, L; Nasci, C; Marigomez, I; Soto, M</t>
  </si>
  <si>
    <t>Biomarkers and trace metals in the digestive gland of indigenous and transplanted mussels, Mytilus galloprovincialis, in Venice Lagoon, Italy</t>
  </si>
  <si>
    <t>biomarkers; biomonitoring; metals; autometallography; Mytilus galloprovincialis; Venice Lagoon</t>
  </si>
  <si>
    <t>REDUCTASE-ACTIVITY; POLLUTANTS; POLLUTION; CELLS</t>
  </si>
  <si>
    <t>The aim of this study was to investigate the cellular and biochemical response of mussels, Mytilus galloprovincialis, transplanted from a relatively pristine site to a polluted one and vice versa in the Lagoon of Venice (northeast of Italy) and to apply auto-metallography, a rapid and sensitive histochemical technique, to determine the bio-available fraction Of heavy metals accumulated in the body tissues of organisms. Animal digestive glands have been used for morphological analyses (lysosomal volume, surface and numerical density, mean epithelial thickness, mean diverticular and luminar radius), autometallographical black silver deposits quantification and biochemical assays (superoxide dismutase and catalase activity). Furthermore, heavy metal content was determined by atomic absorption spectrophotometry (AAS) using standard procedures. The overall results indicate a direct influence of the environment in the thinning of the digestive cells and in the increasing number of lysosomes in mussels from the more polluted site. These data are in agreement with the metal content in digestive cell lysosomes as determined by autometallography, whereas AAS measurements show less significant differences. (C) 2000 Elsevier Science Ltd. All rights reserved.</t>
  </si>
  <si>
    <t>CNR, Ist Biol Mare, I-30122 Venice, Italy; Euskal Herriko Unibertsitatea, Zientzi Fak, E-48080 Bilbao, Spain</t>
  </si>
  <si>
    <t>Consiglio Nazionale delle Ricerche (CNR); University of Basque Country</t>
  </si>
  <si>
    <t>Da Ros, L (corresponding author), CNR, Ist Biol Mare, Castello 1364-A, I-30122 Venice, Italy.</t>
  </si>
  <si>
    <t>10.1016/S0141-1136(00)00038-6</t>
  </si>
  <si>
    <t>http://dx.doi.org/10.1016/S0141-1136(00)00038-6</t>
  </si>
  <si>
    <t>WOS:000165486700068</t>
  </si>
  <si>
    <t>Molisani, MM; Marins, RV; Machado, W; Paraquetti, HHM; Bidone, ED; Lacerda, LD</t>
  </si>
  <si>
    <t>Molisani, M. M.; Marins, R. V.; Machado, W.; Paraquetti, H. H. M.; Bidone, E. D.; Lacerda, L. D.</t>
  </si>
  <si>
    <t>Environmental changes in Sepetiba Bay, SE Brazil</t>
  </si>
  <si>
    <t>REGIONAL ENVIRONMENTAL CHANGE</t>
  </si>
  <si>
    <t>Heavy metal contamination; Sedimentation; Water diversion; Land use change; Sepetiba Bay; Brazil</t>
  </si>
  <si>
    <t>Sepetiba Bay is an example of an aquatic environment that has been severely impacted by human occupation and industrial activities in its basin. Some 400 industries including metallurgical, petrochemical and pyrometallurgical smelters, which emitted pollutants to air, soil and water, were established in Sepetiba Basin during the past 30 years. Apart from these point sources, changes in land use have also resulted in a large remobilization of pollutant deposition on Sepetiba Bay Basin. Studies have pointed out significant changes in sedimentation rates, concentrations of inorganic pollutants (Zn, Cd, Pb and Hg) and more recently, eutrophication, pointing to this area as an example of an impacted coastal zone. Notwithstanding local sources, Sepetiba Bay also suffers environmental impacts caused by diversion of river waters from adjacent basins, with some 30% of the total Hg flux to Sepetiba Bay and a 10-fold increase in water and sediment fluxes resulting from this. Decreasing environmental quality compromises both the large biodiversity and the potential economic uses of Sepetiba Bay, including fisheries and tourism. Monitoring of heavy metal levels in organisms (algae, mollusks, crustaceans and oysters) often shows concentrations well above the limits allowed following Brazilian legislation for food quality. Historical evolution of these concentrations suggests a worsening of the situation. Failure to monitor the effect of land-based activities, including those from other basins artificially associated with Sepetiba Bay has resulted in poor scenario construction and proper management planning.</t>
  </si>
  <si>
    <t>[Marins, R. V.; Lacerda, L. D.] Univ Fed Ceara, Inst Ciencias Mar, Av Abolicao 3207, BR-60165081 Fortaleza, Ceara, Brazil; [Molisani, M. M.; Machado, W.; Paraquetti, H. H. M.; Bidone, E. D.; Lacerda, L. D.] Univ Fed Fluminense, Dept Geoquim, BR-24202000 Rio De Janeiro, Brazil</t>
  </si>
  <si>
    <t>Universidade Federal do Ceara; Universidade Federal Fluminense</t>
  </si>
  <si>
    <t>ldrude@fortalnet.com.br</t>
  </si>
  <si>
    <t>Bidone, Edison/AAE-9527-2021; Machado, Wilson/P-8047-2019; Lacerda, Luiz/AAI-9004-2020; Molisani, Mauricio/E-7174-2014; Marins, Rozane/G-2144-2012</t>
  </si>
  <si>
    <t>Marins, Rozane/0000-0002-3744-4006</t>
  </si>
  <si>
    <t>National Research Council (CNPq)</t>
  </si>
  <si>
    <t>National Research Council (CNPq)(Conselho Nacional de Desenvolvimento Cientifico e Tecnologico (CNPQ))</t>
  </si>
  <si>
    <t>This study is part of the PRONEX Program of the Ministry of Science and Technology of Brazil. Thanks are also due to the National Research Council (CNPq) for providing grants to the authors.</t>
  </si>
  <si>
    <t>1436-3798</t>
  </si>
  <si>
    <t>1436-378X</t>
  </si>
  <si>
    <t>REG ENVIRON CHANGE</t>
  </si>
  <si>
    <t>Reg. Envir. Chang.</t>
  </si>
  <si>
    <t>10.1007/s10113-003-0060-9</t>
  </si>
  <si>
    <t>http://dx.doi.org/10.1007/s10113-003-0060-9</t>
  </si>
  <si>
    <t>Environmental Sciences; Environmental Studies</t>
  </si>
  <si>
    <t>V22TZ</t>
  </si>
  <si>
    <t>WOS:000208298800003</t>
  </si>
  <si>
    <t>Lysenko, L; Kantserova, N; Käiväräinen, E; Krupnova, M; Shklyarevich, G; Nemova, N</t>
  </si>
  <si>
    <t>Lysenko, Liudmila; Kantserova, Nadezda; Kaeivaeraeinen, Elena; Krupnova, Marina; Shklyarevich, Galina; Nemova, Nina</t>
  </si>
  <si>
    <t>Biochemical markers of pollutant responses in macrozoobenthos from the White Sea: Intracellular proteolysis</t>
  </si>
  <si>
    <t>Mussel; Amphipod; White Sea; Coastal zone; Pollution effects; Biochemistry; Intracellular protease</t>
  </si>
  <si>
    <t>MYTILUS-EDULIS; GAMMARUS-DUEBENI; CALPAIN FAMILY; HEAVY-METALS; TOLERANCE; MUSSEL; BIOMARKERS; ECOTOXICOLOGY; INVERTEBRATES; ACCUMULATION</t>
  </si>
  <si>
    <t>Coastal environments of Kandalaksha Gulf in the White Sea (Russia) despite nature conservation efforts are heavily influenced by human activities. Biological effects of complex environmental pollution, including organic substances, heavy metals, and oil hydrocarbons, were assessed in widely distributed marine invertebrates, Gammarus duebeni (Crustacea, Amphipoda) and Myrilus edulis (Mollusca, Bivalvia), collected from a series of anthropogenically-impacted areas and distanced reference sites in Kandalaksha Gulf. The parameters of intracellular protein degradation pathways such as cytosol calpain system and lysosomal cathepsins B (CatB) and cathepsin D (CatD) were studied. The response reactions observed in invertebrates vary in specificity and ranged from adaptive to destructive depending on the total contaminant level and the nature of predominant pollutant. The ecological relevance of studied parameters as biomarkers was confirmed by their ability to indicate both expose to pollutants and adverse effects at the organism level. (C) 2014 Elsevier Ltd. All rights reserved.</t>
  </si>
  <si>
    <t>[Lysenko, Liudmila; Kantserova, Nadezda; Kaeivaeraeinen, Elena; Krupnova, Marina; Nemova, Nina] Russian Acad Sci, Inst Biol, Environm Biochem Lab, Karelian Res Ctr, Petrozavodsk 185910, Russia; [Shklyarevich, Galina] Petrozavodsk State Univ, Petrozavodsk 185000, Russia</t>
  </si>
  <si>
    <t>Russian Academy of Sciences; Karelian Research Centre of the Russian Academy of Sciences; Institute of Biology of Karelian Research Centre RAS; Petrozavodsk State University</t>
  </si>
  <si>
    <t>Lysenko, L (corresponding author), Russian Acad Sci, Inst Biol, Environm Biochem Lab, Karelian Res Ctr, Pushkinskaya Str 11, Petrozavodsk 185910, Russia.</t>
  </si>
  <si>
    <t>l-lysenko@yandex.ru</t>
  </si>
  <si>
    <t>Nemova, Nina/AAI-6595-2021; Kantserova, Nadezhda/A-7532-2014; Lysenko, Liudmila/I-4377-2013</t>
  </si>
  <si>
    <t>Kantserova, Nadezhda/0000-0001-5844-4788; Lysenko, Liudmila/0000-0002-9558-7400</t>
  </si>
  <si>
    <t>Russian Foundation for Basic Research [11-04-00167]; Leader Scientific Schools program [1642.2012.4, 1410.2014.4]; Ministry of Education and Science of the Russian Federation [14.740.11.1034, 8050, 8594]; RAS program Living Nature</t>
  </si>
  <si>
    <t>Russian Foundation for Basic Research(Russian Foundation for Basic Research (RFBR)Spanish Government); Leader Scientific Schools program; Ministry of Education and Science of the Russian Federation(Ministry of Education and Science, Russian Federation); RAS program Living Nature</t>
  </si>
  <si>
    <t>We thank our colleagues from Kandalaksha Nature Reserve, Murmansk region, for providing access to sampling sites and for their assistance in collecting the invertebrates. The authors express their sincere gratitude to the anonymous reviewers for their critical comments and guidance on improving the text of the manuscript. The work was supported by Russian Foundation for Basic Research (projects nos. 11-04-00167); the Leader Scientific Schools program (grant nos. 1642.2012.4, 1410.2014.4), the Ministry of Education and Science of the Russian Federation (projects nos. 14.740.11.1034, 8050, and 8594), and the RAS program Living Nature.</t>
  </si>
  <si>
    <t>10.1016/j.marenvres.2014.01.005</t>
  </si>
  <si>
    <t>http://dx.doi.org/10.1016/j.marenvres.2014.01.005</t>
  </si>
  <si>
    <t>AF8QV</t>
  </si>
  <si>
    <t>WOS:000334981600006</t>
  </si>
  <si>
    <t>Field validation of hsp70 stress proteins as biomarkers in Asian clam (Potamocorbula amurensis):: is downregulation an indicator of stress?</t>
  </si>
  <si>
    <t>stress proteins; field validation; molluscs; Potamocorbula amurensis; biomarkers; downregulation</t>
  </si>
  <si>
    <t>HEAT-SHOCK PROTEINS; MYTILUS-EDULIS; EXPRESSION; INDUCTION; COPPER; METALLOTHIONEIN; TEMPERATURES; ACCUMULATION; ADAPTATION; RESPONSES</t>
  </si>
  <si>
    <t>The focus of this paper is to consider the applicability of the hsp70 stress protein response as a biomarker in field studies. Stress proteins (or heat shock proteins, hsp) of the hsp70 family are induced by sublethal concentrations of a variety of environmental pollutants. However, few studies have applied these proteins as biomarkers of environmental stress under field conditions. Our laboratory is investigating hsp70 proteins and other responses of Asian clam (Potamocorbula amurensis) as potential biomarkers in laboratory and field studies. Our efforts include two studies presently being conducted in northern San Francisco Bay: (1) monthly collection of clams from four sites along a cadmium contamination gradient; (2) 7 day in situ exposure of clams at two selected sites at Mare Island Naval Shipyard. Here we present results on hsp70 proteins in P. amurensis in held-collected and outplanted clams. Both held projects are ongoing, therefore the results presented here do not represent completed studies; rather, they illustrate a portion of our experience. For this workshop, we illustrate weaknesses and strengths of these proteins as biomarkers, and we underscore where additional work is needed. In field-collected clams (study no. 1), site-specific differences in levels of two hsp70 proteins, hsp70 and hsp76, were measured in May and June 1997. Although an inverse correlation exists between cadmium tissue concentrations and hsp70 protein levels, differences detected may be reflective of a salinity gradient. Results from recent laboratory exposures to cadmium and a range of salinities are discussed. After in situ exposure for 7 days (study no. 2), both hsp70 and hsp76 levels were significantly reduced in clams from site R. However, given a brief heat-shock in the laboratory, hsp70 protein levels were significantly higher in clams from this site than in controls. Results indicate that downregulation as well as upregulation of hsp70 proteins may be indicators of stress in P. amurensis.</t>
  </si>
  <si>
    <t>Univ Calif Davis, Dept Anat Physiol &amp; Cell Biol, Sch Vet Med, Davis, CA 95616 USA</t>
  </si>
  <si>
    <t>Werner, I (corresponding author), Univ Calif Davis, Dept Anat Physiol &amp; Cell Biol, Sch Vet Med, Davis, CA 95616 USA.</t>
  </si>
  <si>
    <t>WOS:000084279600008</t>
  </si>
  <si>
    <t>Luna-Acosta, A; Bustamante, P; Godefroy, J; Fruitier-Arnaudin, I; Thomas-Guyon, H</t>
  </si>
  <si>
    <t>Luna-Acosta, Andrea; Bustamante, Paco; Godefroy, Joachim; Fruitier-Arnaudin, Ingrid; Thomas-Guyon, Helene</t>
  </si>
  <si>
    <t>Seasonal variation of pollution biomarkers to assess the impact on the health status of juvenile Pacific oysters Crassostrea gigas exposed in situ</t>
  </si>
  <si>
    <t>Biomarkers; Pollution; Monitoring; Antioxidant enzymes; Immune defenses; Crassostrea gigas</t>
  </si>
  <si>
    <t>MUSSEL MYTILUS-GALLOPROVINCIALIS; GREEN-LIPPED MUSSEL; ANTIOXIDANT ENZYMES; DIGESTIVE GLAND; ACETYLCHOLINESTERASE ACTIVITY; PHENOLOXIDASE ACTIVITY; PROTEIN-CONCENTRATION; LYSOZYME ACTIVITY; OXIDATIVE STRESS; MARENNES-OLERON</t>
  </si>
  <si>
    <t>In this study, a suite of sublethal stress biomarkers were analyzed in juveniles of the sentinel species, the Pacific oyster Crassostrea gigas, with a view to using them as pollution monitoring tools. The aim of this work was (1) to study baseline seasonal variations of biomarkers in different body compartments of C. gigas in the reference site and, after selecting biomarkers presenting no seasonal variations, (2) to compare responses of these biomarkers between contaminated and reference sites. Juvenile oysters were transplanted from Bouin (France), a reference site, to three different sites in Marennes-Oleron Bay (France), located in another water body and next to different contamination sources. Animals were exposed in situ for 3 months in summer, autumn, and winter. The following biomarkers were measured: superoxide dismutase (SOD) and glutathione peroxidase (GPx) in gills and digestive gland and lysozyme and phenoloxidase (PO) in plasma. No significant seasonal variations for SOD in gills and digestive gland, GPx in gills, and PO in plasma were observed in the reference site. Significant differences in enzyme activity were observed between contaminated and reference sites for SOD in gills and digestive gland and PO in plasma, depending on the body compartment, the season, and/or the site. In conclusion, these data suggest the potential application of these biomarkers in C. gigas to provide ecologically relevant information and, therefore, to be used as biomarkers in coastal pollution monitoring.</t>
  </si>
  <si>
    <t>[Luna-Acosta, Andrea; Bustamante, Paco; Godefroy, Joachim; Fruitier-Arnaudin, Ingrid; Thomas-Guyon, Helene] Univ La Rochelle, Littoral Environm &amp; Soc LIENSs, UMR 6250, CNRS, F-17000 La Rochelle, France</t>
  </si>
  <si>
    <t>Luna-Acosta, A (corresponding author), Univ La Rochelle, Littoral Environm &amp; Soc LIENSs, UMR 6250, CNRS, 2 Rue Olympe Gouges, F-17000 La Rochelle, France.</t>
  </si>
  <si>
    <t>aluna1508@yahoo.com</t>
  </si>
  <si>
    <t>THOMAS, Helene/JZW-5193-2024; Bustamante, Paco/G-5833-2011; Arnaudin, ingrid/N-8053-2014</t>
  </si>
  <si>
    <t>THOMAS, Helene/0000-0002-7932-6841; Bustamante, Paco/0000-0003-3877-9390; Arnaudin, ingrid/0000-0001-8993-1095</t>
  </si>
  <si>
    <t>Conseil General de la Charente-Maritime; Region Poitou-Charentes; Region Aquitaine; Conseil General de la Gironde; Agence de l'Eau Adour-Garonne; Defi Cadmium project</t>
  </si>
  <si>
    <t>Conseil General de la Charente-Maritime(Region Nouvelle-Aquitaine); Region Poitou-Charentes(Region Nouvelle-Aquitaine); Region Aquitaine(Region Nouvelle-Aquitaine); Conseil General de la Gironde(Region Nouvelle-Aquitaine); Agence de l'Eau Adour-Garonne; Defi Cadmium project</t>
  </si>
  <si>
    <t>This study was supported by a Ph.D. grant from the Conseil General de la Charente-Maritime. The Region Poitou-Charentes, the Region Aquitaine, the Conseil General de la Charente-Maritime, the Conseil General de la Gironde, and the Agence de l'Eau Adour-Garonne are acknowledged for the financial support for the project Defi Cadmium. The authors wish to thank M. Baudrimont and D. Fichet for supporting this study through the Defi Cadmium project. The authors also acknowledge C. Trichet and D. Vilday for their assistance during the study and the Ifremer networks RNO and Razlec, the Site Ifremer consacre a l'environnement littoral, and especially O. Le Moine, P. Soletchnik, S. Guesdon, P-G. Sauriau, P. Miramand, and T. Guyot for the data and references from Marennes-Oleron Bay. The authors thank F. Healy (Centre Inter-Poles d'Enseignement des Langues, Universite La Rochelle) for critical reading of this document.</t>
  </si>
  <si>
    <t>10.1007/s11356-009-0287-1</t>
  </si>
  <si>
    <t>http://dx.doi.org/10.1007/s11356-009-0287-1</t>
  </si>
  <si>
    <t>WOS:000276656300019</t>
  </si>
  <si>
    <t>Cela-Dablanca, R; Barreiro, A; Ferreira-Coelho, G; Campillo-Cora, C; Pérez-Rodríguez, P; Arias-Estévez, M; Núñez-Delgado, A; Alvarez-Rodríguez, E; Fernández-Sanjurjo, MJ</t>
  </si>
  <si>
    <t>Cela-Dablanca, Raquel; Barreiro, Ana; Ferreira-Coelho, Gustavo; Campillo-Cora, Claudia; Perez-Rodriguez, Paula; Arias-Estevez, Manuel; Nunez-Delgado, Avelino; Alvarez-Rodriguez, Esperanza; Fernandez-Sanjurjo, Maria J.</t>
  </si>
  <si>
    <t>Cu and As(V) Adsorption and Desorption on/from Different Soils and Bio-Adsorbents</t>
  </si>
  <si>
    <t>MATERIALS</t>
  </si>
  <si>
    <t>bio-adsorbents; heavy metals; soil pollution; release; retention</t>
  </si>
  <si>
    <t>POTENTIALLY TOXIC ELEMENTS; WEIGHT ORGANIC-ACIDS; AQUEOUS-SOLUTION; VINEYARD SOILS; HEAVY-METALS; ARSENIC(V) SORPTION; AGRICULTURAL SOILS; BY-PRODUCTS; COPPER; REMOVAL</t>
  </si>
  <si>
    <t>This research is concerned with the adsorption and desorption of Cu and As(V) on/from different soils and by-products. Both contaminants may reach soils by the spreading of manure/slurries, wastewater, sewage sludge, or pesticides, and also due to pollution caused by mining and industrial activities. Different crop soils were sampled in A Limia (AL) and Sarria (S) (Galicia, NW Spain). Three low-cost by-products were selected to evaluate their bio-adsorbent potential: pine bark, oak ash, and mussel shell. The adsorption/desorption studies were carried out by means of batch-type experiments, adding increasing and individual concentrations of Cu and As(V). The fit of the adsorption data to the Langmuir, Freundlich, and Temkin models was assessed, with good results in some cases, but with high estimation errors in others. Cu retention was higher in soils with high organic matter and/or pH, reaching almost 100%, while the desorption was less than 15%. The As(V) adsorption percentage clearly decreased for higher As doses, especially in S soils, from 60-100% to 10-40%. The As(V) desorption was closely related to soil acidity, being higher for soils with higher pH values (S soils), in which up to 66% of the As(V) previously adsorbed can be desorbed. The three by-products showed high Cu adsorption, especially oak ash, which adsorbed all the Cu added in a rather irreversible manner. Oak ash also adsorbed a high amount of As(V) (&gt;80%) in a rather non-reversible way, while mussel shell adsorbed between 7 and 33% of the added As(V), and pine bark adsorbed less than 12%, with both by-products reaching 35% desorption. Based on the adsorption and desorption data, oak ash performed as an excellent adsorbent for both Cu and As(V), a fact favored by its high pH and the presence of non-crystalline minerals and different oxides and carbonates. Overall, the results of this research can be relevant when designing strategies to prevent Cu and As(V) pollution affecting soils, waterbodies, and plants, and therefore have repercussions on public health and the environment.</t>
  </si>
  <si>
    <t>[Cela-Dablanca, Raquel; Barreiro, Ana; Ferreira-Coelho, Gustavo; Nunez-Delgado, Avelino; Alvarez-Rodriguez, Esperanza; Fernandez-Sanjurjo, Maria J.] Univ Santiago de Compostela, Dept Soil Sci &amp; Agr Chem, Engn Polytech Sch, Lugo 27002, Spain; [Campillo-Cora, Claudia; Perez-Rodriguez, Paula; Arias-Estevez, Manuel] Univ Vigo, Fac Sci, Soil Sci &amp; Agr Chem, Orense 32004, Spain</t>
  </si>
  <si>
    <t>Cela-Dablanca, R (corresponding author), Univ Santiago de Compostela, Dept Soil Sci &amp; Agr Chem, Engn Polytech Sch, Lugo 27002, Spain.</t>
  </si>
  <si>
    <t>raquel.dablanca@usc.es; ana.barreiro.bujan@usc.es; gustavof.coelho@gmail.com; ccampillo@uvigo.es; paulaperezr@uvigo.es; mastevez@uvigo.es; avelino.nunez@usc.es; esperanza.alvarez@usc.es; mf.sanjurjo@usc.es</t>
  </si>
  <si>
    <t>Fernández-Sanjurjo, María/ABC-6938-2020; Barreiro, Ana/ABG-2552-2021; Pérez-Rodríguez, Paula/AAA-8179-2020; Nunez-Delgado, Avelino/K-3964-2013; Arias-Estevez, Manuel/M-8629-2016; Alvarez, Esperanza/B-3154-2018</t>
  </si>
  <si>
    <t>Fernandez-Sanjurjo, Maria J./0000-0001-6728-7147; Barreiro, Ana/0000-0003-2680-6590; Nunez-Delgado, Avelino/0000-0001-5373-1606; Arias-Estevez, Manuel/0000-0002-9162-1587; Alvarez, Esperanza/0000-0003-3470-2679; Perez-Rodriguez, Paula/0000-0001-8402-3485; Cela-Dablanca, Raquel/0000-0003-2826-799X; Campillo-Cora, Claudia/0000-0001-8239-3896</t>
  </si>
  <si>
    <t>Spanish Ministry of Economy and Competitiveness [RTI2018-099574-B-C21, RTI2018-099574-B-C22]; European Regional Development Funds (FEDER in Spain)</t>
  </si>
  <si>
    <t>Spanish Ministry of Economy and Competitiveness(Spanish Government); European Regional Development Funds (FEDER in Spain)(European Union (EU))</t>
  </si>
  <si>
    <t>This work was supported by the Spanish Ministry of Economy and Competitiveness (grant numbers RTI2018-099574-B-C21 and RTI2018-099574-B-C22), with European Regional Development Funds (FEDER in Spain).</t>
  </si>
  <si>
    <t>1996-1944</t>
  </si>
  <si>
    <t>Materials</t>
  </si>
  <si>
    <t>10.3390/ma15145023</t>
  </si>
  <si>
    <t>http://dx.doi.org/10.3390/ma15145023</t>
  </si>
  <si>
    <t>Chemistry, Physical; Materials Science, Multidisciplinary; Metallurgy &amp; Metallurgical Engineering; Physics, Applied; Physics, Condensed Matter</t>
  </si>
  <si>
    <t>Chemistry; Materials Science; Metallurgy &amp; Metallurgical Engineering; Physics</t>
  </si>
  <si>
    <t>3H6FI</t>
  </si>
  <si>
    <t>WOS:000832129500001</t>
  </si>
  <si>
    <t>Rodríguez-Ortega, MJ; Grosvik, BE; Rodriguez-Ariza, A; Goksoyr, A; López-Barea, J</t>
  </si>
  <si>
    <t>Changes in protein expression profiles in bivalve molluscs (Chamaelea gallina) exposed to four model environmental pollutants</t>
  </si>
  <si>
    <t>2nd Annual Congress of the Swiss-Proteomics-Society</t>
  </si>
  <si>
    <t>DEC 03-05, 2002</t>
  </si>
  <si>
    <t>LAUSANNE, SWITZERLAND</t>
  </si>
  <si>
    <t>clams; cytoskeleton; pollution biomarkers; protein identification</t>
  </si>
  <si>
    <t>SALMO-SALAR L; MYTILUS-GALLOPROVINCIALIS; GEL-ELECTROPHORESIS; POLYACRYLAMIDE-GELS; TRIBUTYLTIN; STRESS; COPPER; BIOMARKERS; ACTIN; SIGNATURES</t>
  </si>
  <si>
    <t>Proteomics has been used in the clam Chamaelea gallina as a preliminary screening of changes in protein expression caused by pollutants, potentially useful as new biomarkers. Clams were exposed in water for seven days to four model contaminants, Aroclor 1254, copper(II), tributyltin (TBT), and arsenic(III), and cytosolic fractions were initially analyzed by two-dimensional (2-D) electrophoresis in 7 cm IPG strips (pH 4-7). On average, about 1000 spots were resolved and altered expression was qualitatively detected in 9-26 spots per treatment. Aroclor 1254, Cu(II) and As(III) had a mainly upregulating effect, in contrast to TBT Altered protein expression was confirmed in 18 cm gels (at narrow pH ranges). The 15 spots more drastically altered were excised and analyzed by mass spectrometry (MS), and four proteins were identified. Aroclor 1254 and Cu(II) upregulated putative isoforms of tropomyosin and light chain of myosin. Actin was downregulated by Aroclor and Cu(II) but upregulated by TBT and As(III), while the opposite behavior was shown by a truncated actin form, homologous to the Drosophila act87E gene product. The exclusive identification of cytoskeletal proteins could reflect their relative abundance, their prevalence in databases in molluscs, or their role as major targets of pollutant-related oxidative stress.</t>
  </si>
  <si>
    <t>Univ Cordoba, Dept Biochem &amp; Mol Biol, E-14071 Cordoba, Spain; Univ Bergen, HIB, Dept Mol Biol, Bergen, Norway; Biosense Labs AS, Bergen, Norway</t>
  </si>
  <si>
    <t>Universidad de Cordoba; University of Bergen</t>
  </si>
  <si>
    <t>López-Barea, J (corresponding author), Univ Cordoba, Dept Biochem &amp; Mol Biol, Severo Ochoa Bldg,Campus Rabanales, E-14071 Cordoba, Spain.</t>
  </si>
  <si>
    <t>Rodriguez-Ariza, Antonio/JAO-0548-2023; Goksøyr, Anders/F-8320-2010; Rodriguez-Ariza, Antonio/U-4854-2017; Lopez-Barea, Juan/K-7258-2014; Grosvik, Bjorn Einar/HGC-4482-2022; Rodriguez-Ortega, Manuel J./L-8244-2014</t>
  </si>
  <si>
    <t>Rodriguez-Ariza, Antonio/0000-0001-5304-5745; Lopez-Barea, Juan/0000-0002-2280-3379; Goksoyr, Anders/0000-0003-4054-9842; Grosvik, Bjorn Einar/0000-0003-0794-2212; Rodriguez-Ortega, Manuel J./0000-0002-8744-7045</t>
  </si>
  <si>
    <t>PO BOX 10 11 61, D-69451 WEINHEIM, GERMANY</t>
  </si>
  <si>
    <t>10.1002/pmic.200300491</t>
  </si>
  <si>
    <t>http://dx.doi.org/10.1002/pmic.200300491</t>
  </si>
  <si>
    <t>716LZ</t>
  </si>
  <si>
    <t>WOS:000185031500018</t>
  </si>
  <si>
    <t>Osman, AM; van Noort, PCM</t>
  </si>
  <si>
    <t>Osman, A. M.; van Noort, P. C. M.</t>
  </si>
  <si>
    <t>Comparison of key enzymes in the zebra mussel, Dreissena polymorpha, the earthworm Allolobophora chlorotica and Chironomus riparius larvae</t>
  </si>
  <si>
    <t>mussel; earthworm; Chironomus riparius; DT-diaphorase; glutathione S-transferase; NAD(P)H-cytochrome c reductases; catalase; inducibility; butylated hydroxyanisole; lead</t>
  </si>
  <si>
    <t>GLUTATHIONE S-TRANSFERASES; DT-DIAPHORASE; POLLUTION; CYTOCHROME-P-450; INVERTEBRATES; INDUCTION; TOXICITY; QUINONE; SOUTH; LEAD</t>
  </si>
  <si>
    <t>The levels of the enzymes, glutathione S-transferase, catalase, NAD(P)H-cytochrome c reductases, and DT-diaphorase were determined and compared in the tissues of three invertebrates commonly used in monitoring environmental quality: a freshwater mussel, Dreissena polymorpha, the earthworm Allolobophora chlorotica and the fourth instar of Chirononius riparius. It was found that the activities of GST, catalase, and NAD(P)-cytochrome c reductases were comparable in A. chlorotica and C riparius, whereas comparatively a higher GST and a lower catalase activity was determined in the mussel tissues. DT-diaphorase was not detectable in A. chlorotica and the C riparius larvae tissues, whereas this enzyme is present in the gills and the rest of soft mussel tissues (soft mussel tissues minus gills). It is suggested that the relatively low catalase activity observed in the tissues of the latter organism might be compensated by the presence of the antixidant role of DT-diaphorase. In addition, the inducibility of DT-diaphorase in D. polymorpha, by butylated hydroxyanisole (BHA) and lead (Pb) was investigated. Despite the bioaccumulation of both BHA (5.2 +/- 0.14 mu g g(-1) wet weight) and Ph (233.7 +/- 0.95 mg kg(-1) dry weight) in the soft mussel tissues, the mussel DT-diaphorase was not induced. Although the activity of NADPH-cytochrome c (P-450) reductase was also not affected by these reagents, its activity was 2-fold higher in the gills than the rest of soft mussel tissues. (c) 2006 Elsevier Inc. All rights reserved.</t>
  </si>
  <si>
    <t>Inst Inland Water Management &amp; Waste Water Treatm, Lelystad, Netherlands</t>
  </si>
  <si>
    <t>Osman, AM (corresponding author), Private Bag 3020, Rotorua, New Zealand.</t>
  </si>
  <si>
    <t>Ahmed.Osman@scionresearch.com</t>
  </si>
  <si>
    <t>Osman, Ahmed M./Y-6088-2018</t>
  </si>
  <si>
    <t>10.1016/j.ecoenv.2006.05.003</t>
  </si>
  <si>
    <t>http://dx.doi.org/10.1016/j.ecoenv.2006.05.003</t>
  </si>
  <si>
    <t>179ZI</t>
  </si>
  <si>
    <t>WOS:000247328900005</t>
  </si>
  <si>
    <t>MERSCH, J; JOHANSSON, L</t>
  </si>
  <si>
    <t>TRANSPLANTED AQUATIC MOSSES AND FRESH-WATER MUSSELS TO INVESTIGATE THE TRACE-METAL CONTAMINATION IN THE RIVERS MEURTHE AND PLAINE, FRANCE</t>
  </si>
  <si>
    <t>TRACE METAL; BIOACCUMULATION; INDICATOR ORGANISM; AQUATIC BRYOPHYTE; DREISSENA-POLYMORPHA</t>
  </si>
  <si>
    <t>HEAVY-METALS; DREISSENA-POLYMORPHA; CADMIUM KINETICS; WATER CLAMS; ACCUMULATION; INDICATOR; POLLUTION; CHROMIUM; BIOACCUMULATION; WEIGHT</t>
  </si>
  <si>
    <t>Aquatic mosses Cinclidotus nigricans and freshwater mussels Dreissena polymorpha were transferred at eight monitoring sites along the rivers Meurthe and Plaine (northeastern France) for a biological assessment of the trace metal contamination. Autochthonous Fontinalis antipyretica mosses were collected at the end of the experiment. The major contaminants detected in the organisms were Cr, Ni, Pb and Zn. A comparison between the native and the introduced bryophytes showed that the transfer technique was preferable to assess the recent pollution situation. In the case of the transplanted mosses, high initial levels of strongly bound Pb and Zn prevented an accurate assessment of the contamination with these two metals, since only little depuration occurred at unpolluted sites. A good qualitative agreement was observed between the indications obtained from the mosses and those obtained from the mussels, suggesting that both are suitable indicators for monitoring purposes. The observed quantitative disparities were attributed to inherent differences in the accumulation strategies of each sentinel organism. Due to specific uptake and depuration kinetics, mosses and mussels appeared to be complementary in the detection of various types of pollution.</t>
  </si>
  <si>
    <t>ROYAL INST TECHNOL,DEPT LAND &amp; WATER RESOURCES,S-10044 STOCKHOLM 70,SWEDEN</t>
  </si>
  <si>
    <t>Royal Institute of Technology</t>
  </si>
  <si>
    <t>Westholm, Lena/JOK-0284-2023</t>
  </si>
  <si>
    <t>Johansson Westholm, Lena/0000-0003-0231-564X</t>
  </si>
  <si>
    <t>10.1080/09593339309385379</t>
  </si>
  <si>
    <t>http://dx.doi.org/10.1080/09593339309385379</t>
  </si>
  <si>
    <t>ML498</t>
  </si>
  <si>
    <t>WOS:A1993ML49800003</t>
  </si>
  <si>
    <t>Lenihan, HS; Peterson, CH; Miller, RJ; Kayal, M; Potoski, M</t>
  </si>
  <si>
    <t>Lenihan, Hunter S.; Peterson, Charles H.; Miller, Robert J.; Kayal, Mohsen; Potoski, Matthew</t>
  </si>
  <si>
    <t>Biotic disturbance mitigates effects of multiple stressors in a marine benthic community</t>
  </si>
  <si>
    <t>ECOSPHERE</t>
  </si>
  <si>
    <t>Antarctica; biotic disturbance; community response; copper; marine invertebrates; multiple stressors; organic enrichment</t>
  </si>
  <si>
    <t>MCMURDO-STATION; OYSTER REEFS; FOOD-WEB; ANTARCTICA; SEDIMENTS; RESPONSES; BIOTURBATION; ECOSYSTEMS; DIVERSITY; POLLUTION</t>
  </si>
  <si>
    <t>Predicting how communities respond to multiple stressors is challenging because community dynamics, stressors, and animal-stressor interactions can vary with environmental conditions, including the intensity of natural disturbance. Nevertheless, environmental laws stipulate that we predict, measure, and mitigate the ecological effects of some human-induced stressors in the environment, including chemical contaminants in aquatic ecosystems. We conducted an experiment in Antarctica to test how a marine soft-sediment benthic community responded to multiple chemical contaminants and biotic disturbance by manipulating organic carbon enrichment, copper metal contamination, access by large epibenthic animals, and their interaction. Biotic disturbance caused mainly by large echinoderms was manipulated with exclusion cages and cage-control treatments. Colonization patterns in sediment trays revealed that total infaunal abundance and arthropods decreased with toxic Cu (0, 100, and 500 ppm) and total organic carbon (TOC; 0%, 1%, and 2% by wt), as enrichment produced increasing levels of sediment hypoxia/anoxia. Annelids and echinoderms decreased with Cu but increased with TOC because many colonizing polychaete worms, seastars, and epifaunal sea urchins were deposit feeders. Bioturbation by echinoderms disturbed sediments, leading to a substantial decline in total infaunal abundance in uncontaminated sediments, but also an increase in the relative abundance in contaminated sediments, as bioturbation mitigated the effect of both chemical stressors. Biotic disturbance also caused substantial shifts in the species composition of the invertebrate assemblages and an overall increase in species diversity. Prior predictions about the response of benthic marine phyla to the separate and combined effects of Cu and carbon enrichment appear robust to variation in natural biotic disturbance.</t>
  </si>
  <si>
    <t>[Lenihan, Hunter S.; Kayal, Mohsen; Potoski, Matthew] Univ Calif Santa Barbara, Bren Sch Environm Sci &amp; Management, Santa Barbara, CA 93106 USA; [Peterson, Charles H.] Univ North Carolina Chapel Hill, Inst Marine Sci, Morehead City, NC 28557 USA; [Miller, Robert J.] Univ Calif Santa Barbara, Marine Sci Inst, Santa Barbara, CA 93101 USA</t>
  </si>
  <si>
    <t>University of California System; University of California Santa Barbara; University of North Carolina; University of North Carolina Chapel Hill; University of California System; University of California Santa Barbara</t>
  </si>
  <si>
    <t>Lenihan, HS (corresponding author), Univ Calif Santa Barbara, Bren Sch Environm Sci &amp; Management, Santa Barbara, CA 93106 USA.</t>
  </si>
  <si>
    <t>Lenihan@bren.ucsb.edu</t>
  </si>
  <si>
    <t>Kayal, Mohsen/0000-0003-3675-9855; Miller, Robert/0000-0002-8350-3759</t>
  </si>
  <si>
    <t>National Science Foundation [OPP-59088]</t>
  </si>
  <si>
    <t>This project was funded by National Science Foundation Grant OPP-59088 to C.H.P. and H.S.L. We thank R. Robbins, R. Score, and many others at the Crary Environmental Science Center at McMurdo Station for help in various aspects of this study. J. Byers, J. Grabowski, L. Hill, and M. Paddock helped by scuba diving and conducting laboratory work. A. Bonnema, J. Geotzl, E. Landrau, C. Roberts, M. Stephenson, and others at the Moss Landing Marine Pollution Studies Laboratory conducted chemical analyses.</t>
  </si>
  <si>
    <t>2150-8925</t>
  </si>
  <si>
    <t>Ecosphere</t>
  </si>
  <si>
    <t>e02314</t>
  </si>
  <si>
    <t>10.1002/ecs2.2314</t>
  </si>
  <si>
    <t>http://dx.doi.org/10.1002/ecs2.2314</t>
  </si>
  <si>
    <t>GO4QP</t>
  </si>
  <si>
    <t>WOS:000439997600026</t>
  </si>
  <si>
    <t>Gagné, F; André, C; Blaise, C; Pellerin, J; Sherry, J; Talbot, A</t>
  </si>
  <si>
    <t>Gagne, F.; Andre, C.; Blaise, C.; Pellerin, J.; Sherry, J.; Talbot, A.</t>
  </si>
  <si>
    <t>An investigation on the disruptive effect of pollution in cold- and warm- adapted clam populations</t>
  </si>
  <si>
    <t>mitochondrial electron transport; malate dehydrogenase; gonad lipid; clam health</t>
  </si>
  <si>
    <t>The purpose of this study was to examine the relationship between mitochondrial activity and gonad lipid stores in clams exposed to anthropogenic pollution at cold-and warm-water sites. The balance between energy expenses and energy reserves was measured by mitochondrial electron transport (MET) activity and lipid content in the gonad. The activity of malate dehydrogenase (MDH) was measured as an intermediary between energy production and the production of lipids in gonadal tissues. The results revealed that intertidal clam populations at warm-water sites under no source of pollution had less heavy metal content (Ag, As, Cr, Hg and Ni), lower MDH activity and temperature-dependent MET than clams from cold-water sites. However, MDH activity measured at 6 degrees C was higher at the warm-water sites. Lipid peroxidation in the gonad was higher in clams from the cold-water sites. The impacts of pollution differed among the study sites, clams from cold-water sites having increased MDH activity, temperature-dependent MET activity, higher lipid content and DNA strand breaks; clams from the warm-water sites had increased temperature-dependent MDH activity and lower gonadal lipid reserves. A multiple regression analysis revealed that gonad lipid reserves were positively correlated with MDH activity and negatively correlated with its temperature-dependent activity, suggesting that increased temperature sensitivity was negatively related to gonad energy reserves. The data show that pollution increases temperature sensitivity at the MET level in clams in cold water, while temperature sensitivity in MDH activity was observed in clams from warm-water sites. Discriminate function analysis revealed that pollution stress shows a tendency to be closer to clams adapted to warmer temperatures. In conclusion, pollution could increase MDH activity in cold-adapted clams which can lead to increased lipid stores in the gonad, oxidative stress and genotoxicity while pollution seems to increase the temperature dependence in MET. In warm-adapted clams, temperature dependent MDH activity was higher by pollution with decreased lipid content in the gonad tissues which was independent of gonad maturation and size.</t>
  </si>
  <si>
    <t>[Gagne, F.; Andre, C.; Blaise, C.; Talbot, A.] Environm Canada, Fluvial Ecosyst Res Sect, Montreal, PQ H2Y 2E7, Canada; [Pellerin, J.] Univ Quebec, ISMER, Rimouski, PQ G5L 3A1, Canada; [Sherry, J.; Talbot, A.] Environm Canada, Natl Water Res Inst, Burlington, ON L7R 4A6, Canada</t>
  </si>
  <si>
    <t>Environment &amp; Climate Change Canada; University of Quebec; Environment &amp; Climate Change Canada; National Water Research Institute</t>
  </si>
  <si>
    <t>Gagné, F (corresponding author), Environm Canada, Fluvial Ecosyst Res Sect, 105 McGill St, Montreal, PQ H2Y 2E7, Canada.</t>
  </si>
  <si>
    <t>Francois.Gagne@ec.gc.ca</t>
  </si>
  <si>
    <t>Environment Canada; NSERC</t>
  </si>
  <si>
    <t>Environment Canada(CGIAR); NSERC(Natural Sciences and Engineering Research Council of Canada (NSERC))</t>
  </si>
  <si>
    <t>The authors are grateful for the technical assistance of S Trepanier, B Walker, S Trottier and C Boyko of the Aquatic Ecosystem Protection Research Division, Environment Canada and to Pascal Rioux from UQAR-ISMER. This project was funded by Environment Canada under the St. Lawrence Action Plan and by the NSERC Discovery grant attributed to J Pellerin.</t>
  </si>
  <si>
    <t>V25IV</t>
  </si>
  <si>
    <t>WOS:000208472600007</t>
  </si>
  <si>
    <t>Wang, XN; Wang, ZH; Jiang, SJ; Jordan, RW; Gu, YG</t>
  </si>
  <si>
    <t>Wang, Xu-Nuo; Wang, Zeng-Huan; Jiang, Shi-Jun; Jordan, Richard W.; Gu, Yang-Guang</t>
  </si>
  <si>
    <t>Bioenrichment preference and human risk assessment of arsenic and metals in wild marine organisms from Dapeng (Mirs) Bay, South China Sea</t>
  </si>
  <si>
    <t>Arsenic; Heavy metals; Marine organisms; Factor analysis; Health risk; Bioenrichment preference</t>
  </si>
  <si>
    <t>HEAVY-METALS; AQUATIC ORGANISMS; HEALTH; BIOACCESSIBILITY</t>
  </si>
  <si>
    <t>Bioenrichment preference of arsenic and metals in wild marine organisms has been scarcely considered. Twenty species including fishes, cephalopods, crustaceans, and bivalve mollusks were collected from Dapeng (Mis) Bay and analyzed for arsenic and metals. Through this study, we had obtained the following four main conclusions: (1) average concentrations of arsenic and metals (&amp; mu;g/kg, wet weight) in the aquatic organism samples were 48.7 for Cr, 1762.0 for Mn, 20,632.8 for Fe, 33.0 for Co, 119.5 for Ni, 3184.7 for Cu, 12,040.5 for Zn, 389.0 for As, 189.1 for Se, 144.4 for Cd, 15.0 for Hg, and 55.3 for Pb; (2) factor analysis (FA) revealed that the studied twenty species exhibited three types of arsenic and metal bioenrichment preference;(3) non-carcinogenic health risk assessment indicated insignificant health effects from marine organism consumption; (4) carcinogenic health risk assessment revealed an unacceptable risk from consumption of nine species, seven of which were crustaceans.</t>
  </si>
  <si>
    <t>[Wang, Xu-Nuo; Wang, Zeng-Huan; Gu, Yang-Guang] Chinese Acad Fishery Sci, South China Sea Fisheries Res Inst, Guangzhou 510300, Peoples R China; [Wang, Xu-Nuo; Wang, Zeng-Huan] Minist Agr &amp; Rural Affairs, Key Lab Aquat Prod Proc, 213 Huadu Ave East, Guangzhou 510800, Peoples R China; [Jordan, Richard W.; Gu, Yang-Guang] Yamagata Univ, Fac Sci, Yamagata 9908560, Japan; [Gu, Yang-Guang] Key Lab Fishery Ecol &amp; Environm, Guangzhou 510300, Guangdong, Peoples R China; [Jiang, Shi-Jun] Hohai Univ, Coll Oceanog, Nanjing 245700, Peoples R China; [Gu, Yang-Guang] Sanya Trop Fisheries Res Inst, Sanya 572025, Peoples R China; [Gu, Yang-Guang] Southern Marine Sci &amp; Engn Guangdong Lab Zhuhai, Zhuhai 519000, Peoples R China; [Gu, Yang-Guang] Minist Agr &amp; Rural Affairs, Key Lab Open Sea Fishery Dev, Guangzhou 510300, Peoples R China</t>
  </si>
  <si>
    <t>Chinese Academy of Fishery Sciences; South China Sea Fisheries Research Institute, CAFS; Ministry of Agriculture &amp; Rural Affairs; Yamagata University; Hohai University; Southern Marine Science &amp; Engineering Guangdong Laboratory; Southern Marine Science &amp; Engineering Guangdong Laboratory (Zhuhai); Ministry of Agriculture &amp; Rural Affairs</t>
  </si>
  <si>
    <t>Gu, YG (corresponding author), Chinese Acad Fishery Sci, South China Sea Fisheries Res Inst, Guangzhou 510300, Peoples R China.</t>
  </si>
  <si>
    <t>Central Public-interest Scientific Institution Basal Research Fund, South China Sea Fisheries Research Institute, China [2021SD20, 2021SD03]; Hainan Provincial Natural Science Foundation of China [422MS155]; Central Public-interest Scientific Institution Basal Research Fund, CAFS [2020TD15]</t>
  </si>
  <si>
    <t>Central Public-interest Scientific Institution Basal Research Fund, South China Sea Fisheries Research Institute, China; Hainan Provincial Natural Science Foundation of China; Central Public-interest Scientific Institution Basal Research Fund, CAFS</t>
  </si>
  <si>
    <t>This study was supported by the Central Public-interest Scientific Institution Basal Research Fund, South China Sea Fisheries Research Institute, China (2021SD20, 2021SD03) , the Hainan Provincial Natural Science Foundation of China (422MS155) and the Central Public-interest Scientific Institution Basal Research Fund, CAFS (NO. 2020TD15) . We are grateful to anonymous reviewers for helpful com-ments on the manuscript.</t>
  </si>
  <si>
    <t>10.1016/j.marpolbul.2023.115305</t>
  </si>
  <si>
    <t>http://dx.doi.org/10.1016/j.marpolbul.2023.115305</t>
  </si>
  <si>
    <t>P0DW8</t>
  </si>
  <si>
    <t>WOS:001047441400001</t>
  </si>
  <si>
    <t>KIORBOE, T; MOHLENBERG, F; RIISGARD, HU</t>
  </si>
  <si>
    <t>MERCURY LEVELS IN FISH, INVERTEBRATES AND SEDIMENT IN A RECENTLY RECORDED POLLUTED AREA (NISSUM-BROAD, WESTERN LIMFJORD, DENMARK)</t>
  </si>
  <si>
    <t>High concentrations of Hg were measured in sediment and animals collected in the immediate vicinity of a closed-down chemical factory. Sediment contained up to 22 ppm (dry wt) of Hg, deposit-feeding bivalves 1.4-4.4 ppm (wet wt), suspension-feeding bivalves 0.9-1.9 ppm and predatory fish 0.3-0.8 ppm. Outside the hot spot area, the Hg concentration in sediment and mussels (Mytilus edulis) rapidly decreased with increasing distance from the former factory. Hg concentration in flounders (Platichthys flesus) also decreased with distance from the source; the decline was less marked.</t>
  </si>
  <si>
    <t>NATL AGCY ENVIRONM PROTECT, MARINE POLLUT LAB, DK-2920 CHARLOTTENLUND, DENMARK</t>
  </si>
  <si>
    <t>Riisgard, Hans Ulrik/G-2568-2010; Kiørboe, Thomas/ABI-4733-2020; Kiorboe, Thomas/G-3190-2011</t>
  </si>
  <si>
    <t>Riisgard, Hans Ulrik/0000-0002-8188-2951; Kiorboe, Thomas/0000-0002-3265-336X</t>
  </si>
  <si>
    <t>10.1016/0025-326X(83)90090-5</t>
  </si>
  <si>
    <t>http://dx.doi.org/10.1016/0025-326X(83)90090-5</t>
  </si>
  <si>
    <t>PZ910</t>
  </si>
  <si>
    <t>WOS:A1983PZ91000005</t>
  </si>
  <si>
    <t>Baettig, CG; Zirngibl, M; Smith, KF; Lear, G; Tremblay, LA</t>
  </si>
  <si>
    <t>Baettig, Camille G.; Zirngibl, Martin; Smith, Kirsty F.; Lear, Gavin; Tremblay, Louis A.</t>
  </si>
  <si>
    <t>Comparison between droplet digital PCR and reverse transcription-quantitative PCR methods to measure ecotoxicology biomarkers</t>
  </si>
  <si>
    <t>Mussel; Mytilus galloprovinciallis; Copper; Gene expression; RT-qPCR; ddPCR</t>
  </si>
  <si>
    <t>REAL-TIME PCR; GENE-EXPRESSION; ABSOLUTE QUANTIFICATION; HOUSEKEEPING GENES; DNA; TOOL; RNA; NORMALIZATION; VALIDATION; STRATEGIES</t>
  </si>
  <si>
    <t>Reverse transcription-quantitative polymerase chain reaction (RT-qPCR) is currently the gold-standard technique for detecting and quantifying messenger RNA. However, without proper validation, the method may produce artefactual and non-reproducible cycle threshold values generating poor-quality data. The newer droplet digital PCR (ddPCR) method allows for the absolute quantification of targeted nucleic acids providing more sensitive and accurate measurements without requiring external standards. This study compared these two PCR-based methods to measure the expression of well-documented genes used in ecotoxicology studies. We exposed Mediterranean mussels (Mytilus galloprovincialis) to copper and analyzed gene expression in gills and digestive glands using RT-qPCR and ddPCR assays. A step-by-step methodology to optimize and compare the two tech-nologies is described. After ten-fold serial complementary DNA dilution, both RT-qPCR and ddPCR exhibited comparable linearity and efficiency and produced statistically similar results. We conclude that ddPCR is a suitable method to assess gene expression in an ecotoxicological context. However, RT-qPCR has a shorter processing time and remains more cost-effective.</t>
  </si>
  <si>
    <t>[Baettig, Camille G.; Smith, Kirsty F.; Lear, Gavin; Tremblay, Louis A.] Univ Auckland, Sch Biol Sci, Auckland, New Zealand; [Baettig, Camille G.; Zirngibl, Martin; Smith, Kirsty F.; Tremblay, Louis A.] Cawthron Inst, Nelson, New Zealand</t>
  </si>
  <si>
    <t>University of Auckland; Cawthron Institute</t>
  </si>
  <si>
    <t>Baettig, CG (corresponding author), Cawthron Inst, Nelson, New Zealand.</t>
  </si>
  <si>
    <t>camille.baettig@cawthron.org.nz</t>
  </si>
  <si>
    <t>; Lear, Gavin/AHD-1751-2022</t>
  </si>
  <si>
    <t>Baettig, Camille/0000-0003-3216-5021; Tremblay, Louis/0000-0002-3586-3995; Zirngibl, Martin/0000-0003-4485-8423; Lear, Gavin/0000-0001-5083-4773</t>
  </si>
  <si>
    <t>New Zealand Ministry of Business, Inno-vation and Employment (MBIE) Endeavour grant: Managing the Risk of Emerging Contaminants [CAWX1708]</t>
  </si>
  <si>
    <t>New Zealand Ministry of Business, Inno-vation and Employment (MBIE) Endeavour grant: Managing the Risk of Emerging Contaminants</t>
  </si>
  <si>
    <t>Acknowledgements This work was funded by New Zealand Ministry of Business, Inno-vation and Employment (MBIE) Endeavour grant: Managing the Risk of Emerging Contaminants (CAWX1708) . The authors declare no conflicts of interest.</t>
  </si>
  <si>
    <t>10.1016/j.marpolbul.2023.114829</t>
  </si>
  <si>
    <t>http://dx.doi.org/10.1016/j.marpolbul.2023.114829</t>
  </si>
  <si>
    <t>A6LZ0</t>
  </si>
  <si>
    <t>WOS:000956229300001</t>
  </si>
  <si>
    <t>Lu, GY; Pan, K; Zhu, AJ; Dong, YH; Wang, WX</t>
  </si>
  <si>
    <t>Lu, Guangyuan; Pan, Ke; Zhu, Aijia; Dong, Yanhong; Wang, Wen-Xiong</t>
  </si>
  <si>
    <t>Spatial-temporal variations and trends predication of trace metals in oysters from the Pearl River Estuary of China during 2011-2018</t>
  </si>
  <si>
    <t>Metal pollution; Oyster biomonitors; Spatial-temporal variations; Trends prediction; Pearl river estuary (PRE)</t>
  </si>
  <si>
    <t>ECOLOGICAL RISK-ASSESSMENT; HEAVY-METALS; CRASSOSTREA-GIGAS; SACCOSTREA-GLOMERATA; CONTAMINATED OYSTERS; SURFACE SEDIMENTS; DELTA REGION; POLLUTION; BIOACCUMULATION; SEAWATER</t>
  </si>
  <si>
    <t>Estuaries are often considered to be the filters of pollutants from the land-derived outflows of freshwater to open seawater. Oysters are efficient bioaccumulators of metals in the estuarine environment, however, little information is available on the long-term tissue variability of metals in a large dynamic estuary under complex urbanized and anthropogenic impacts. Thus, an eight-year biomonitoring study of metals (Ag, Cd, Cr, Cu, Ni, Pb, and Zn) in the oysters from 10 sites were carried out to reveal the highly spatial-temporal variations in the Pearl River Estuary (PRE) of China during 2011-2018. Cd, Cu, and Zn in oysters were significantly correlated with the dissolved metals in seawater. Geographically, Ag, Cd, and Cr were higher in the western sites, and Cu, Ni, and Zn were higher in the eastern sites. High seasonal variations of Ag, Cu, and Zn were found in the wet season. The calculated annual change rates (v(c)) of Cd, Cu, Zn, Ag, Pb, Ni, and Cr in the oysters were -1.1, -45, -48, 0.338, -0.216, -2.2, and -2.8 mu g/g/y, respectively. If such decreasing rates of v(c) (or natural logarithm rates v) were maintained, Cd, Cu, Zn, Pb, and Ni in oysters from PRE would be expected to recover to the national 50% concentrations in years 2022 (2024), 2045 (2079), 2073 (2110), 2021 (2023), and 2019 (2020), respectively. Long-term series observations of metals in organisms reflected the real bioavailability of metals, pollution status, and trends for environmental management and control in a large dynamic and contaminated estuary. (C) 2020 Elsevier Ltd. All rights reserved.</t>
  </si>
  <si>
    <t>[Lu, Guangyuan; Wang, Wen-Xiong] HKUST, Marine Environm Lab, Shenzhen Res Inst, Shenzhen 518057, Peoples R China; [Lu, Guangyuan; Wang, Wen-Xiong] City Univ Hong Kong, Res Ctr Oceans &amp; Human Hlth, Shenzhen Res Inst, Shenzhen 518057, Peoples R China; [Pan, Ke] Shenzhen Univ, Inst Adv Study, Shenzhen 518060, Peoples R China; [Zhu, Aijia; Dong, Yanhong] Minist Nat Resources, State Ocean Adm, South China Sea Environm Monitoring Ctr, Guangzhou 510300, Peoples R China; [Wang, Wen-Xiong] City Univ Hong Kong, Sch Energy &amp; Environm, Kowloon, Hong Kong, Peoples R China; [Wang, Wen-Xiong] City Univ Hong Kong, State Key Lab Marine Pollut, Kowloon, Hong Kong, Peoples R China</t>
  </si>
  <si>
    <t>Hong Kong University of Science &amp; Technology; Shenzhen Research Institute, The Hong Kong University of Science &amp; Technology; Shenzhen Research Institute, City University of Hong Kong; City University of Hong Kong; Shenzhen University; Ministry of Natural Resources of the People's Republic of China; City University of Hong Kong; City University of Hong Kong</t>
  </si>
  <si>
    <t>Lu, Guangyuan/H-5051-2018; Wang, Wenxiong/E-7254-2011</t>
  </si>
  <si>
    <t>Lu, Guangyuan/0000-0002-1117-452X; Wang, Wenxiong/0000-0001-9033-0158</t>
  </si>
  <si>
    <t>Doctoral Startup of Guangdong Province [2017A030310586]; Natural Science Foundation of China [21777134]; TUYF fund [19SC01]; Hong Kong Branch of Southern Marine Science and Engineering Guangdong Laboratory (Guangzhou) [SMSEGL20SC01]</t>
  </si>
  <si>
    <t>Doctoral Startup of Guangdong Province; Natural Science Foundation of China(National Natural Science Foundation of China (NSFC)); TUYF fund; Hong Kong Branch of Southern Marine Science and Engineering Guangdong Laboratory (Guangzhou)</t>
  </si>
  <si>
    <t>We thank Drs. Nanyan Weng, Minwei Xie, Lan Ma, Luqing Zhang, Neng Yan, Zishuang Shao, Chunlian Lai, and Yunlong Li for their help in the oyster sampling. We also appreciated the supports of the Doctoral Startup of Guangdong Province (2017A030310586), the Natural Science Foundation of China (21777134), the TUYF fund (19SC01), and the Hong Kong Branch of Southern Marine Science and Engineering Guangdong Laboratory (Guangzhou) (SMSEGL20SC01).Y</t>
  </si>
  <si>
    <t>10.1016/j.envpol.2020.114812</t>
  </si>
  <si>
    <t>http://dx.doi.org/10.1016/j.envpol.2020.114812</t>
  </si>
  <si>
    <t>LY1DT</t>
  </si>
  <si>
    <t>WOS:000540263400120</t>
  </si>
  <si>
    <t>Feng, WH; Wang, ZF; Xu, HT; Chen, LH; Zheng, FQ</t>
  </si>
  <si>
    <t>Feng, Weihua; Wang, Zhifu; Xu, Hengtao; Chen, Lihong; Zheng, Fangqin</t>
  </si>
  <si>
    <t>Trace metal concentrations in commercial fish, crabs, and bivalves from three lagoons in the South China Sea and implications for human health</t>
  </si>
  <si>
    <t>Trace metals; Fish; Crabs; Bivalves; Health risk; Lagoon</t>
  </si>
  <si>
    <t>HEAVY-METALS; RISK-ASSESSMENT; WATER; RIVER; SEDIMENTS; POLLUTION; COPPER; COAST; GULF; ZINC</t>
  </si>
  <si>
    <t>Seafood is increasingly used worldwide due to its nutritional value. It is rich in essential minerals, liposoluble vitamins, and high-quality proteins. However, many seafood species tend to accumulate metals, making them a threat to human health. We chose Xincun Lagoon and Li-an Lagoon, which have been seriously polluted by local activities, and the relatively clean Tufu Bay as the research areas to investigate whether trace metals in economic seafood species in these areas threaten the food safety of consumers. The results show that the mean concentrations (mg kg(-1) ww) of trace metals were Cu 0.22 +/- 0.18, Pb 0.040 +/- 0.028, Zn 5.25 +/- 1.60, Cd 0.009 +/- 0.004, Hg 0.0072 +/- 0.0031, As 0.21 +/- 0.12, and Cr 0.084 +/- 0.048 in fish samples (Trachinotus ovatus); Cu 4.00 +/- 0.96, Pb 0.075 +/- 0.030, Zn 19.10 +/- 2.64, Cd 0.050 +/- 0.024, Hg 0.0131 +/- 0.0035, As 0.91 +/- 0.27, and Cr 0.216 +/- 0.095 in crab samples (Charybdis natator); and Cu 5.37 +/- 1.39, Pb 0.095 +/- 0.023, Zn 21.38 +/- 3.59, Cd 0.096 +/- 0.026, Hg 0.0208 +/- 0.0052, As 1.65 +/- 0.59, and Cr 0.406 +/- 0.117 in bivalve samples (Ruditapes philippinarum), respectively, with species specific (fish &lt; crab &lt; bivalve) and significant seasonal and spatial variation (p &lt; 0.05). However, health risk assessment (EDI, THQ, TTHQ, CR) indicated that the consumption of the analyzed seafood from the study areas is safe for local consumers. But there is a potential risk for fishermen and those who prefer seafood.</t>
  </si>
  <si>
    <t>[Feng, Weihua; Wang, Zhifu; Xu, Hengtao; Chen, Lihong; Zheng, Fangqin] Minist Nat Resource Peoples Republ China, Key Lab Engn Oceanog, Inst Oceanog 2, Hangzhou 310012, Peoples R China</t>
  </si>
  <si>
    <t>Ministry of Natural Resources of the People's Republic of China; Second Institute of Oceanography, Ministry of Natural Resources</t>
  </si>
  <si>
    <t>Feng, WH (corresponding author), Minist Nat Resource Peoples Republ China, Key Lab Engn Oceanog, Inst Oceanog 2, Hangzhou 310012, Peoples R China.</t>
  </si>
  <si>
    <t>fengweihua1203@163.com</t>
  </si>
  <si>
    <t>Natural Science Foundation of China [41776119]; Zhejiang Provincial Natural Science Foundation of China [LY15D060004]; Fundamental Research Fund of Second Institute of Oceanography [JG1523]</t>
  </si>
  <si>
    <t>Natural Science Foundation of China(National Natural Science Foundation of China (NSFC)); Zhejiang Provincial Natural Science Foundation of China(Natural Science Foundation of Zhejiang Province); Fundamental Research Fund of Second Institute of Oceanography</t>
  </si>
  <si>
    <t>This work was supported by the Natural Science Foundation of China (grant number 41776119), Zhejiang Provincial Natural Science Foundation of China (grant number LY15D060004), and Fundamental Research Fund of Second Institute of Oceanography (grant number JG1523).</t>
  </si>
  <si>
    <t>10.1007/s11356-019-06712-8</t>
  </si>
  <si>
    <t>http://dx.doi.org/10.1007/s11356-019-06712-8</t>
  </si>
  <si>
    <t>LP3LH</t>
  </si>
  <si>
    <t>WOS:000517720600001</t>
  </si>
  <si>
    <t>Negri, A; Burns, K; Boyle, S; Brinkman, D; Webster, N</t>
  </si>
  <si>
    <t>Negri, Andrew; Burns, Kathryn; Boyle, Steve; Brinkman, Diane; Webster, Nicole</t>
  </si>
  <si>
    <t>Contamination in sediments, bivalves and sponges of McMurdo Sound, Antarctica</t>
  </si>
  <si>
    <t>Antarctica; metal; hydrocarbon; PAH; PCB; sediment; mollusc; sponge</t>
  </si>
  <si>
    <t>TERRA-NOVA BAY; HEAVY-METAL CONTAMINATION; BENTHIC MARINE POLLUTION; CLAM LATERNULA-ELLIPTICA; WINTER QUARTERS BAY; KING-GEORGE ISLAND; STATION; ENVIRONMENT; HYDROCARBONS; CADMIUM</t>
  </si>
  <si>
    <t>hThis study examined the concentrations of total hydrocarbons (THC), polychlorinated biphenyls (PCB), polyaromatic hydrocarbons (PAH), and trace metals (Cu, Zn, Cd, Pb, Hg and As) in marine sediments off Scott Base (NZ) and compared them with sediments near the highly polluted McMurdo Station (US) as well as less impacted sites including Turtle Rock and Cape Evans. The Antarctic mollusc, Laternula elliptica and three common sponge species were also analysed for trace metals. The mean THC concentration in sediments from Scott Base was 3 fold higher than the pristine site, Turtle Rock, but 10 fold lower than samples from McMurdo Station. McMurdo Station sediments also contained the highest concentrations of PAHs, PCBs and the trace metals, Cu, Zn, Pb, Cd and Hg. Copper was significantly higher in bivalves from McMurdo Station than other sites. Trace metal concentrations in sponges were generally consistent within sites but no spatial patterns were apparent. (c) 2005 Elsevier Ltd. All rights reserved.</t>
  </si>
  <si>
    <t>Australian Inst Marine Sci, Townsville, Qld 4810, Australia; Univ Canterbury, Christchurch 1, New Zealand</t>
  </si>
  <si>
    <t>Australian Institute of Marine Science; University of Canterbury</t>
  </si>
  <si>
    <t>Negri, A (corresponding author), Australian Inst Marine Sci, PMB 3, Townsville, Qld 4810, Australia.</t>
  </si>
  <si>
    <t>a.negri@aims.gov.au</t>
  </si>
  <si>
    <t>Brinkman, Diane/A-1084-2010; Negri, Andrew/G-9909-2017; Webster, Nicole/G-4980-2011</t>
  </si>
  <si>
    <t>Brinkman, Diane/0000-0002-6954-7667; Negri, Andrew/0000-0003-1388-7395; Webster, Nicole/0000-0002-4753-5278</t>
  </si>
  <si>
    <t>10.1016/j.envpol.2005.12.005</t>
  </si>
  <si>
    <t>http://dx.doi.org/10.1016/j.envpol.2005.12.005</t>
  </si>
  <si>
    <t>060ML</t>
  </si>
  <si>
    <t>WOS:000238806200009</t>
  </si>
  <si>
    <t>Salizzato, M; Pavoni, B; Ghirardini, AV; Ghetti, PF</t>
  </si>
  <si>
    <t>Sediment toxicity measured using Vibrio fischeri as related to the concentrations of organic (PCBs, PAHs) and inorganic (metals, sulphur) pollutants.</t>
  </si>
  <si>
    <t>MICROTOX TEST; HEAVY-METALS; VENICE; HYDROCARBONS; MUSSELS; LAGOON; CANALS; SEA</t>
  </si>
  <si>
    <t>Sediments of the inner canals of the city of Venice (Italy) contain heavy metals and organic contaminants. In order to assess the toxicity of these compounds the Microtox(R) test was applied to the whole sediment (solid-phase test) and to organic extracts containing separated classes of compounds (i.e. PCBs and PAHs). This study showed that results of solid-phase tests may be correctly interpreted only if supported by results obtained with tests on extracts. An effect of sulphur and Fe was measured with solid-phase tests of sediments, while an EC50 value for PAHs was detected in tests with organic extracts. The sediment concentrations of heavy metals and PCBs resulted lower than the sensitivity limits of Microtox(R) test for these compounds. (C) 1998 Elsevier Science Ltd. All rights reserved.</t>
  </si>
  <si>
    <t>Univ Venice, Dipartimento Sci Ambientali, I-30123 Venice, Italy</t>
  </si>
  <si>
    <t>Pavoni, B (corresponding author), Univ Venice, Dipartimento Sci Ambientali, Calle Larga S Marta 2137, I-30123 Venice, Italy.</t>
  </si>
  <si>
    <t>; Pavoni, Bruno/F-4686-2012</t>
  </si>
  <si>
    <t>Volpi Ghirardini, Annamaria/0000-0002-8834-2595; Pavoni, Bruno/0000-0002-0128-7512</t>
  </si>
  <si>
    <t>10.1016/S0045-6535(98)00001-0</t>
  </si>
  <si>
    <t>http://dx.doi.org/10.1016/S0045-6535(98)00001-0</t>
  </si>
  <si>
    <t>ZM712</t>
  </si>
  <si>
    <t>WOS:000073568300009</t>
  </si>
  <si>
    <t>Fiorito, F; Amoroso, MG; Lambiase, S; Serpe, FP; Bruno, T; Scaramuzzo, A; Maglio, P; Fusco, G; Esposito, M</t>
  </si>
  <si>
    <t>Fiorito, Filomena; Amoroso, Maria Grazia; Lambiase, Sara; Serpe, Francesco Paolo; Bruno, Teresa; Scaramuzzo, Alfredo; Maglio, Pasquale; Fusco, Giovanna; Esposito, Mauro</t>
  </si>
  <si>
    <t>A relationship between environmental pollutants and enteric viruses in mussels(Mytilus galloprovincialis)</t>
  </si>
  <si>
    <t>Mussels; NDL-PCBs; PAHs; Cd; NoVGI/GII; AsV; RV</t>
  </si>
  <si>
    <t>POLYCYCLIC AROMATIC-HYDROCARBONS; MUSSELS MYTILUS-GALLOPROVINCIALIS; HEPATITIS-A VIRUS; POLYCHLORINATED-BIPHENYLS; BATHYMODIOLUS-AZORICUS; MARINE ECOSYSTEMS; HEAVY-METALS; VENT MUSSEL; QUANTIFICATION; NOROVIRUS</t>
  </si>
  <si>
    <t>Mussels can be affected by environmental contaminants, as non-dioxin-like polychlorinated biphenyls (NDL-PCBs), polycyclic aromatic hydrocarbons (PAHs) and cadmium (Cd). Moreover, mussels may concentrate human enteric viruses, like noroviruses (NoVGI/GII), astrovirus (AsV) and rotavirus (RV). Herein, to establish a relationship between environmental and viral contamination, with the aim to ensure human food safety, both chemical and microbiological analysis were carried out in mussels Mytilus galloprovincialis, farmed in Campania region (Italy). Chemical analysis revealed ranges below the European maximum limits, and were: Sigma 6 NDL-PCBs (28, 52, 101, 138, 153, 180) 0.579-16.857 ng g(-1) wet weight (ww); BaP LOQ (&lt; 0.2 g kg(-1))- 2.9 pg kg(-1) ww, and E4 PAHs (BaA, CHR, BbFA, BaP) 0.7-23.7 g kg(-1) ww; Cd LOQ (&lt; 0.005 mg kg(-1))-0.078 mg kg(-1) ww. In addition, mussels exhibited a prevalence of NoVGI (18%), NoVGII (43%), AsV (40%), RV (30%) and the presence of more than one viruses resulted in about 35%. Overall, a simultaneous contamination, both chemical and viral, was found in 62% of samples. Interestingly, virus-positive mussels showed levels of chemicals higher than negative ones.</t>
  </si>
  <si>
    <t>[Fiorito, Filomena; Amoroso, Maria Grazia; Lambiase, Sara; Serpe, Francesco Paolo; Bruno, Teresa; Scaramuzzo, Alfredo; Maglio, Pasquale; Fusco, Giovanna; Esposito, Mauro] Ist Zooprofilatt Sperimentale Mezzogiorno, Via Salute 2, Portici, NA, Italy</t>
  </si>
  <si>
    <t>Fiorito, F; Serpe, FP (corresponding author), Ist Zooprofilatt Sperimentale Mezzogiorno, Via Salute 2, Portici, NA, Italy.</t>
  </si>
  <si>
    <t>filomena.fiorito@unina.it; francesco.serpe@izsmportici.it</t>
  </si>
  <si>
    <t>Fiorito, Filomena/O-2175-2016; amoroso, maria/K-1777-2018; Esposito, Mauro/G-2336-2019; Esposito, Mauro/AAU-8936-2020; Lambiase, Sara/G-2653-2019; Fusco, Giovanna/J-2675-2018</t>
  </si>
  <si>
    <t>Esposito, Mauro/0000-0002-0558-0185; Lambiase, Sara/0000-0003-4401-9865; Fusco, Giovanna/0000-0003-3139-7672</t>
  </si>
  <si>
    <t>Campania Region</t>
  </si>
  <si>
    <t>Campania Region(Regione Campania)</t>
  </si>
  <si>
    <t>This work was supported by the Campania Region. The authors would like to thank Veterinary Authorities of Regional Sanitary Service (AA.SS.LL.), Stefania Cavallo, O.R.S.A. Osservatorio Regionale Sicurezza Alimentare (Portici, Naples) Italy, for mapping sites.</t>
  </si>
  <si>
    <t>10.1016/j.envres.2018.11.001</t>
  </si>
  <si>
    <t>http://dx.doi.org/10.1016/j.envres.2018.11.001</t>
  </si>
  <si>
    <t>HL3DE</t>
  </si>
  <si>
    <t>WOS:000458592200017</t>
  </si>
  <si>
    <t>Dick, D; Philipp, E; Kriews, M; Abele, D</t>
  </si>
  <si>
    <t>Dick, D.; Philipp, E.; Kriews, M.; Abele, D.</t>
  </si>
  <si>
    <t>Is the umbo matrix of bivalve shells (Latelrnula elliptica) a climate archive?</t>
  </si>
  <si>
    <t>trace metals; bivalve shell archives; laser ablation</t>
  </si>
  <si>
    <t>ABLATION ICP-MS; LATERNULA-ELLIPTICA; POLAR; ACCUMULATION; GROWTH; COPPER; CU</t>
  </si>
  <si>
    <t>Heavy metal accumulation into bivalve soft tissues has received increasing interest in recent years with respect to biomonitoring of environmental change including pollution. To a lesser extent, accretion of elements from the environment into bivalve hard structures (shells) has been investigated, although the importance of the shells as environmental archives has been acknowledged. Here we report element distribution within consecutive growth bands in the shells of the Antarctic soft shell clam Laternula elliptica, which is currently exposed to vast environmental change in Antarctic Peninsula coastal environments that undergo rapid climate warming. We performed a high spatial resolution analysis for Al, Fe, Mn, Cu, Pb and U in the shell umbo, by means of laser ablation inductively coupled plasma mass spectrometry (LA-ICP-MS). Element ratios within the umbo did not resemble either the ratios in the surrounding seawater, the sedimenting material in Potter Cove, or even the Earth's crust basal composition. Mn and Cu were preferentially incorporated into the umbo. A strong decrease of element accretion with time could be related to lifetime respiration mass (R) of the animals. This indicates element accretion into the umbo and shell matrix to be largely a function of animal ecophysiology and life history, and these effects need to be considered in the context of potential usefulness of L. elliptica shells as environmental archives. (c) 2007 Elsevier B.V. All fights reserved.</t>
  </si>
  <si>
    <t>Alfred Wegener Inst Polar &amp; Marine Res, D-27570 Bremerhaven, Germany</t>
  </si>
  <si>
    <t>Helmholtz Association; Alfred Wegener Institute, Helmholtz Centre for Polar &amp; Marine Research</t>
  </si>
  <si>
    <t>Abele, D (corresponding author), Alfred Wegener Inst Polar &amp; Marine Res, Am Handelshafen 12, D-27570 Bremerhaven, Germany.</t>
  </si>
  <si>
    <t>Doris.Abele@awi.de</t>
  </si>
  <si>
    <t>Abele, Doris/0000-0002-5766-5017</t>
  </si>
  <si>
    <t>OCT 30</t>
  </si>
  <si>
    <t>10.1016/j.aquatox.2007.07.005</t>
  </si>
  <si>
    <t>http://dx.doi.org/10.1016/j.aquatox.2007.07.005</t>
  </si>
  <si>
    <t>216JR</t>
  </si>
  <si>
    <t>WOS:000249874800006</t>
  </si>
  <si>
    <t>Morrison, L; Bennion, M; Gill, S; Graham, CT</t>
  </si>
  <si>
    <t>Morrison, Liam; Bennion, Matthew; Gill, Stephen; Graham, Conor T.</t>
  </si>
  <si>
    <t>Spatio-temporal trace element fingerprinting of king scallops (Pecten maximus) reveals harvesting period and location</t>
  </si>
  <si>
    <t>Seafood; Food safety; Traceability; Shellfish; Wild fishery</t>
  </si>
  <si>
    <t>METAL CONTAMINATION; CERASTODERMA-EDULE; STURGEON CAVIAR; ADDUCTOR MUSCLE; MUSSEL SHELLS; SOFT-TISSUE; TRACEABILITY; SEAFOOD; AUTHENTICITY; RELEVANCE</t>
  </si>
  <si>
    <t>A rapidly growing human population is increasingly relying on seafood as a source of protein and other essential nutrients. Bivalve shellfish, both from wild populations and aquaculture, will undoubtedly continue to account for a significant portion of overall seafood production, but consumption of such shellfish carries potential health risks. Biotoxins, disease causing organisms and pollution contribute to this risk, as shellfish are indiscriminate, passive filter feeders. While government bodies, industry regulators and producers are capable of managing this risk, counterfeit produce can risk public safety, in turn damaging the reputation of the entire industry. Traceability tools provide a means to uphold food safety standards and mitigate remaining risk to consumers. Here, we show how the use of trace element (TE) signatures in shells and soft tissues of king scallops combined, can predict geographic origin with 100% accuracy. Importantly, we explore the temporal stability of this method, successfully classifying 100% of individuals correctly between two dates just 42 days apart from the same harvesting location. The most important elements in the trace element signatures of the scallops, discriminating between harvesting sites and dates were barium, boron, chromium, lead, manganese, molybdenum and selenium. The traceability tool described here offers a viable method to trace produce to its source, empowering industry regulators, government authorities, aquaculture practitioners and retailers in terms of tracking shellfish throughout the supply chain, which would comply with legislation and boost consumer confidence. (C) 2019 Elsevier B.V. All rights reserved.</t>
  </si>
  <si>
    <t>[Morrison, Liam] Natl Univ Ireland, Sch Nat Sci, Earth &amp; Ocean Sci, Galway, Ireland; [Morrison, Liam] Natl Univ Ireland, Ryan Inst, Galway, Ireland; [Bennion, Matthew] Univ Waikato, Environm Res Inst, Tauranga, New Zealand; [Gill, Stephen; Graham, Conor T.] Galway Mayo Inst Technol, Marine &amp; Freshwater Res Ctr, Dublin Rd, Galway, Ireland</t>
  </si>
  <si>
    <t>Ollscoil na Gaillimhe-University of Galway; Ollscoil na Gaillimhe-University of Galway; University of Waikato; Atlantic Technological University (ATU)</t>
  </si>
  <si>
    <t>Graham, CT (corresponding author), Galway Mayo Inst Technol, Marine &amp; Freshwater Res Ctr, Dublin Rd, Galway, Ireland.</t>
  </si>
  <si>
    <t>conor.graham@gmit.ie</t>
  </si>
  <si>
    <t>Morrison, Liam/0000-0002-8106-9063</t>
  </si>
  <si>
    <t>10.1016/j.scitotenv.2019.134121</t>
  </si>
  <si>
    <t>http://dx.doi.org/10.1016/j.scitotenv.2019.134121</t>
  </si>
  <si>
    <t>JR5MI</t>
  </si>
  <si>
    <t>WOS:000499668600085</t>
  </si>
  <si>
    <t>El-Sorogy, AS; Alharbi, T; Almadani, S; Al-Hashim, M</t>
  </si>
  <si>
    <t>El-Sorogy, Abdelbaset S.; Alharbi, Talal; Almadani, Sattam; Al-Hashim, Mansour</t>
  </si>
  <si>
    <t>Molluscan assemblage as pollution indicators in Al-Khobar coastal plain, Arabian Gulf, Saudi Arabia</t>
  </si>
  <si>
    <t>Molluscan assemblage; Pollution indicators; Al-Khobar coastline; Arabian gulf; Saudi Arabia</t>
  </si>
  <si>
    <t>HEAVY-METAL CONTAMINATION; TRACE-ELEMENTS; SEA COAST; SEDIMENTS; BIVALVES; SEWAGE; ACCUMULATION; SEAWATER; IMPACT; SHELL</t>
  </si>
  <si>
    <t>To assess the anthropogenic sources of pollution along Al-Khobar coastal area, Saudi Arabian Gulf, bivalve and gastropod shells were collected from 15 sites for Al, Sr, Ni, Fe, Hg, Zn, Cr, Se, Co, Cd, Cu, As, Mn and Pb analyses using Inductively Coupled Plasma Mass Spectrometer. The molluscan assemblage was composed of shallow sandy bottom in-fauna, and hard rocky shore epi-fauna. Results indicated a decrease in the frequency of the molluscan assemblage and an increase in the abundance of some taxa and the average values of some heavy metals in the gastropods and bivalve shells in comparison with those in worldwide seas and gulfs. Correlation analyses and principal component analysis classified metals in the studied molluscans into two groups. The abundance and frequency of the molluscan assemblage along Al-Khobar coastline may be attributed to their mode of life, tidal currents, and pollutants from desalination process, oil exploration, transportation, and industry and sewage discharges.</t>
  </si>
  <si>
    <t>[El-Sorogy, Abdelbaset S.; Alharbi, Talal; Almadani, Sattam; Al-Hashim, Mansour] King Saud Univ, Coll Sci, Dept Geol &amp; Geophys, POB 2455, Riyadh 11451, Saudi Arabia; [El-Sorogy, Abdelbaset S.] Zagazig Univ, Fac Sci, Dept Geol, Zagazig, Egypt</t>
  </si>
  <si>
    <t>Al-Hashim, Mansour/C-3016-2018; El-Sorogy, Abdelbaset/C-9445-2014; Alharbi, Talal/GYJ-3477-2022; Almadani, Sattam/C-9316-2014</t>
  </si>
  <si>
    <t>El-Sorogy, Abdelbaset/0000-0003-0283-1433; Almadani, Sattam/0000-0002-1785-0314</t>
  </si>
  <si>
    <t>Deanship of Scientific Research at King Saud University [RG-1439-031]</t>
  </si>
  <si>
    <t>The authors extend their appreciation to the Deanship of Scientific Research at King Saud University for funding this work through research group No. (RG-1439-031).</t>
  </si>
  <si>
    <t>10.1016/j.jafrearsci.2019.103564</t>
  </si>
  <si>
    <t>http://dx.doi.org/10.1016/j.jafrearsci.2019.103564</t>
  </si>
  <si>
    <t>IU3CQ</t>
  </si>
  <si>
    <t>WOS:000483456700025</t>
  </si>
  <si>
    <t>Baag, S; Ahammed, N; De, S; Mandal, S</t>
  </si>
  <si>
    <t>Baag, Sritama; Ahammed, Nashiruddin; De, Sukanta; Mandal, Sumit</t>
  </si>
  <si>
    <t>Combined impact of elevated temperature and zinc oxide nanoparticles on physiological stress and recovery responses of Scylla serrata</t>
  </si>
  <si>
    <t>Sundarbans; Crab; Physiological energetics; Energy budget; Scope for growth; Antioxidant enzyme</t>
  </si>
  <si>
    <t>OXIDATIVE STRESS; MYTILUS-GALLOPROVINCIALIS; ANTIOXIDANT RESPONSE; SILVER NANOPARTICLES; CLIMATE-CHANGE; TOXICITY; MUSSEL; ZNO; TISSUES; COPPER</t>
  </si>
  <si>
    <t>Global climate change is the major cause behind unexpected fluctuations in temperature. In recent years, application of nanotechnology also has become widespread and nanomaterials are constantly being released into aquatic environments, posing a potential risk to various organisms and ecosystems. The lack of detailed un-derstanding of how multiple stressors work, and how they differ from single stressors, impede to assess their combined effect on aquatic organisms and ecosystems. The prime aim of the current investigation is to decipher the toxicity of ZnO-NP after simultaneous exposure to a global environmental stressor, elevated temperature for 14 days, followed by a 7 days recovery period, on the eco-physiological responses of mud crab Scylla serrata collected from Sundarbans. Physiological energetics such as ingestion, assimilation, absorption, respiration, and excretion rates were measured to determine the Scope for growth (SfG). Additionally, we assessed various biomarkers from different levels of biological organisation (antioxidant, detoxification defence mechanisms, and lipid peroxidation levels) of the species. Combined stress attenuated the SfG in crabs which deteriorated further in the recovery phase. Oxidative stress also exacerbated under coalesced stress condition. Recovery was not observed in crabs with increased lipid peroxidation level under combined stress conditions. Elevated temperature disturbed the energy budget of crabs as mirrored by diminished energy left for compensatory actions under added metal stress, ultimately sensitizing the animals to ZnO NP pollutants. The current results advocate future ocean temperature to aggravate the impact of metal NP pollution and induce oxidative damage in S. serrata.</t>
  </si>
  <si>
    <t>[Baag, Sritama; Mandal, Sumit] Presidency Univ, Dept Life Sci, Marine Ecol Lab, 86-1 Coll St, Kolkata 700073, India; [Ahammed, Nashiruddin; De, Sukanta] Presidency Univ, Dept Phys, 86-1 Coll St, Kolkata 700073, India</t>
  </si>
  <si>
    <t>Presidency University, Kolkata; Presidency University, Kolkata</t>
  </si>
  <si>
    <t>Mandal, S (corresponding author), Presidency Univ, Dept Life Sci, Marine Ecol Lab, 86-1 Coll St, Kolkata 700073, India.</t>
  </si>
  <si>
    <t>sumit.dbs@presiuniv.ac.in</t>
  </si>
  <si>
    <t>Mandal, Sumit/0000-0002-2147-9466</t>
  </si>
  <si>
    <t>SERB DST [EEQ/2019/000252]; DBT [BT/INF/22/SP45088/2022]</t>
  </si>
  <si>
    <t>SERB DST(Department of Science &amp; Technology (India)Science Engineering Research Board (SERB), India); DBT(Department of Biotechnology (DBT) India)</t>
  </si>
  <si>
    <t>This work is supported by grant awarded to S.M. from SERB DST (EEQ/2019/000252 dated 14.11.2019) and DBT (BT/INF/22/SP45088/2022 dated 17.02.2022) . Data in this paper is part of a doctoral thesis of S.B. to be submitted in partial fulfilment of the requirements of a degree of Doctor of Philosophy from Presidency University, Kolkata. The authors thank anonymous reviewers for their constructive comments. The authors would also like to express their appreciation to all the members of Marine Ecology Laboratory for their support and encouragement.</t>
  </si>
  <si>
    <t>10.1016/j.cbpc.2023.109764</t>
  </si>
  <si>
    <t>http://dx.doi.org/10.1016/j.cbpc.2023.109764</t>
  </si>
  <si>
    <t>W8RI6</t>
  </si>
  <si>
    <t>WOS:001094241300001</t>
  </si>
  <si>
    <t>Savorelli, F; Manfra, L; Croppo, M; Tornambè, A; Palazzi, D; Canepa, S; Trentini, PL; Cicero, AM; Faggio, C</t>
  </si>
  <si>
    <t>Savorelli, F.; Manfra, L.; Croppo, M.; Tornambe, A.; Palazzi, D.; Canepa, S.; Trentini, P. L.; Cicero, A. M.; Faggio, C.</t>
  </si>
  <si>
    <t>Fitness Evaluation of Ruditapes philippinarum Exposed to Ni</t>
  </si>
  <si>
    <t>Toxicity; Marine juvenile bivalves; Growth; Mortality; Ni</t>
  </si>
  <si>
    <t>WATER MUSSELS UNIONIDAE; VOLUME DECREASE RVD; CHRONIC TOXICITY; HEAVY-METALS; DIETHYLENE GLYCOL; ACARTIA-TONSA; IBUPROFEN; CADMIUM; NICKEL; CARBAMAZEPINE</t>
  </si>
  <si>
    <t>In this study, long-term effects of Ni, a widespread heavy metal in the aquatic ecosystems, have been determined on growth and lethality of the clam Ruditapes philippinarum, a known bioindicator of the marine environment. Three/four-month-old bivalves have been exposed to different concentrations of Ni dissolved in synthetic seawater. Growth and lethality as endpoints after 28 days of treatment have been observed. Obtained results are the following: EC25 = 3.97 +/- 0.94 and 9.45 +/- 1.59 mg/L and NOEC = 1.56 and 6.25 mg/L for growth and mortality, respectively. Moreover, this study can be considered a new tool for the evaluation of fitness of bivalve clam, together with other biological responses following to the biological impacts of metal pollution.</t>
  </si>
  <si>
    <t>[Savorelli, F.; Croppo, M.; Palazzi, D.; Trentini, P. L.] Reg Agcy Environm Protect Emilia Romagna ARPA ER, Ferrara, Italy; [Manfra, L.; Tornambe, A.; Canepa, S.; Cicero, A. M.] Inst Environm Protect &amp; Res ISPRA, Rome, Italy; [Manfra, L.] Natl Res Council CNR IAMC, Inst Coastal Marine Environm, Taranto, Italy; [Manfra, L.] Stn Zool Anton Dohrn, Dept Biol &amp; Evolut Marine Organisms, Naples, Italy; [Faggio, C.] Univ Messina, Dept Chem Biol Pharmaceut &amp; Environm Sci, Messina, Italy</t>
  </si>
  <si>
    <t>Regional Environmental Protection Agency - Italy; Italian Institute for Environmental Protection &amp; Research (ISPRA); Consiglio Nazionale delle Ricerche (CNR); L'Istituto per l'Ambiente Marino Costiero (IAMC-CNR); Stazione Zoologica Anton Dohrn di Napoli; University of Messina</t>
  </si>
  <si>
    <t>Manfra, L (corresponding author), Inst Environm Protect &amp; Res ISPRA, Rome, Italy.;Manfra, L (corresponding author), Natl Res Council CNR IAMC, Inst Coastal Marine Environm, Taranto, Italy.;Manfra, L (corresponding author), Stn Zool Anton Dohrn, Dept Biol &amp; Evolut Marine Organisms, Naples, Italy.</t>
  </si>
  <si>
    <t>loredana.manfra@isprambiente.it</t>
  </si>
  <si>
    <t>Institute for Environmental Protection and Research (ISPRA, Roma, Italy)</t>
  </si>
  <si>
    <t>This study was funded by the Institute for Environmental Protection and Research (ISPRA, Roma, Italy) financial resources.</t>
  </si>
  <si>
    <t>10.1007/s12011-016-0885-y</t>
  </si>
  <si>
    <t>http://dx.doi.org/10.1007/s12011-016-0885-y</t>
  </si>
  <si>
    <t>EU1JO</t>
  </si>
  <si>
    <t>WOS:000400775100018</t>
  </si>
  <si>
    <t>Roldán-Wong, NT; Ceballos-Vázquez, BP; Yee-Duarte, JA; Camacho-Mondragón, MA; Kidd, KA; Shumilin, E; Arellano-Martínez, M</t>
  </si>
  <si>
    <t>Roldan-Wong, Nefertiti Tayde; Ceballos-Vazquez, Bertha Patricia; Yee-Duarte, Josue Alonso; Camacho-Mondragon, Marian Alejandra; Kidd, Karen A. A.; Shumilin, Evgueni; Arellano-Martinez, Marcial</t>
  </si>
  <si>
    <t>Human health risk assessment of metals and arsenic via consumption of commercial bivalves in the Gulf of California, Mexico</t>
  </si>
  <si>
    <t>Metal contamination; Marine pollution; Public health concern; Maximum allowable consumption rate; Seafood</t>
  </si>
  <si>
    <t>OYSTERS CRASSOSTREA-GIGAS; CLAM MEGAPITARIA-SQUALIDA; FILTER-FEEDER ORGANISMS; TRACE-METALS; HEAVY-METALS; BAJA-CALIFORNIA; SOUTHEASTERN COAST; MARINE ANIMALS; BIOACCUMULATION; POLLUTION</t>
  </si>
  <si>
    <t>Although various studies have reported the bioaccumulation of metals in bivalves of commercial interest from the Gulf of California (GC), the risk associated with their consumption remains poorly understood. In this study, our own and bibliographic concentrations of 14 elements in 16 species of bivalves from 23 locations were used to investigate (1) the species-specific and regional accumulation of metals and arsenic in bivalves, (2) the human health risks by age and sex, and (3) the maximum allowable consumption rates (CRlim). The assessments were done according to the US Environmental Protection Agency guidelines. The results indicate that the bioaccumulation of elements varies markedly between groups (oysters &gt; mussels &gt; clams) and localities (higher on Sinaloa due to intense anthropogenic activities). However, consuming bivalves from the GC remains safe for human health. To prevent health effects for residents or consumers on the GC, we recommend (1) following the CRlim proposed herein; (2) monitoring levels of Cd, Pb, and As (inorganic) in bivalves, as the elements of top concern, mainly when are consumed by children; (3) calculating CRlim for more species and locations, including at least: As, Al, Cd, Cu, Fe, Mn, Pb, and Zn; and (4) determine the regional consumption rates of bivalves.</t>
  </si>
  <si>
    <t>[Roldan-Wong, Nefertiti Tayde] Univ Ottawa, Dept Biol, Ottawa, ON K1N 6N5, Canada; [Ceballos-Vazquez, Bertha Patricia; Shumilin, Evgueni; Arellano-Martinez, Marcial] Inst Politecn Nacl, Ctr Interdisciplinario Ciencias Marinas, Av Inst Politecn Nacl S-N Col Playa Palo Santa Ri, La Paz 23096, Baja California, Mexico; [Yee-Duarte, Josue Alonso] Univ Autonoma Baja California Sur, Dept Acad Ciencias Marinas &amp; Costeras, Carretera Sur KM 5-5, La Paz 23080, Baja California, Mexico; [Camacho-Mondragon, Marian Alejandra] Asociac Cientif Mar Baja California Sur, S RL CV Calle Sin Nombre Miguel Aleman &amp; Callejon, La Paz 23205, Baja California, Mexico; [Kidd, Karen A. A.] McMaster Univ, Dept Biol, 1280 Main St West, Hamilton, ON L8S 4K1, Canada; [Kidd, Karen A. A.] McMaster Univ, Sch Geog &amp; Earth Sci, 1280 Main St West, Hamilton, ON L8S 4K1, Canada</t>
  </si>
  <si>
    <t>University of Ottawa; Instituto Politecnico Nacional - Mexico; Universidad Autonoma de Baja California; McMaster University; McMaster University</t>
  </si>
  <si>
    <t>Arellano-Martínez, M (corresponding author), Inst Politecn Nacl, Ctr Interdisciplinario Ciencias Marinas, Av Inst Politecn Nacl S-N Col Playa Palo Santa Ri, La Paz 23096, Baja California, Mexico.</t>
  </si>
  <si>
    <t>Ceballos-Vázquez, Bertha/AAF-8488-2021; Kidd, Karen/ABG-3237-2020; Yee-Duarte, Josue Alonso/F-3627-2019</t>
  </si>
  <si>
    <t>Ceballos-Vazquez, Bertha Patricia/0000-0003-4031-6221; Yee-Duarte, Josue Alonso/0000-0002-7302-8974; Arellano-Martinez, Marcial/0000-0002-9344-2128</t>
  </si>
  <si>
    <t>2023 FEB 22</t>
  </si>
  <si>
    <t>10.1007/s11356-023-25841-9</t>
  </si>
  <si>
    <t>http://dx.doi.org/10.1007/s11356-023-25841-9</t>
  </si>
  <si>
    <t>9E8SQ</t>
  </si>
  <si>
    <t>WOS:000937049900006</t>
  </si>
  <si>
    <t>De los Ríos, A; Echavarri-Erasun, B; Dévier, MH; Le Menach, K; Budzinski, H; Ortiz-Zarragoitia, M; Orbea, A; Juanes, JA; Cajaraville, MP</t>
  </si>
  <si>
    <t>De los Rios, A.; Echavarri-Erasun, B.; Devier, M. -H.; Le Menach, K.; Budzinski, H.; Ortiz-Zarragoitia, M.; Orbea, A.; Juanes, J. A.; Cajaraville, M. P.</t>
  </si>
  <si>
    <t>Assessment of the effects of discontinuous sources of contamination through biomarker analyses on caged mussels</t>
  </si>
  <si>
    <t>Combined sewer overflow; Runoff; Caged mussels; Bioaccumulation; Biomarkers</t>
  </si>
  <si>
    <t>COMBINED SEWER OVERFLOWS; PRESTIGE OIL-SPILL; MYTILUS-EDULIS-L; PRIORITY POLLUTANTS; HEAVY-METALS; PEROXISOME PROLIFERATION; SEASONAL-VARIATION; DIGESTIVE CELLS; WASTE-WATER; POLLUTION</t>
  </si>
  <si>
    <t>The present study analysed potential adverse effects of discontinuous sources of contamination, namely the discharge of a combined sewer overflow (CSO) and of runoff in an urban area, the Bay of Santander (North Iberian Peninsula). Water samples and caged mussels were used to analyse concentrations of contaminants and biological responses. Mussels (Mytilus galloprovincialis) were transplanted to a marina receiving runoff from a petrol station and to a CSO discharge site. Samples were collected in synchrony with heavy rains along 62 days. Lysosomal membrane stability (LMS) and acyl-CoA oxidase (AOX) activity were measured as core biomarkers and were analysed at all sampling times. Histopathology of digestive gland and gonads, transcription levels of vitellogenin gene, volume density of black silver deposits and micronuclei formation were measured at initial and final stages of the transplant. Chemical analyses of metals, polycyclic aromatic hydrocarbons (PAHs) and endocrine disruptors were performed in water samples and mussel flesh. Mussels accumulated low concentrations of contaminants, which is in accordancewith results obtained fromexposure biomarkers. AOX activity decreased in all transplantedmussels after the first heavy rain, but this change seems to be related to the seasonal pattern of the enzyme activity. Mussels located close to the CSO discharge site showed a reduction in LMS after the first rain event, when compared to mussels before the transplant and to mussels from the reference location. However, thiswas attributable to natural environmental changes rather than to pollution. Values of the rest of analysed bio-markers were below threshold values reported for the study area. (C) 2018 Elsevier B.V. All rights reserved.</t>
  </si>
  <si>
    <t>[De los Rios, A.; Echavarri-Erasun, B.; Juanes, J. A.] Univ Cantabria, Environm Hydraul Inst IH Cantabria, C Isabel Torres 15, Santander 39011, Spain; [Devier, M. -H.; Le Menach, K.; Budzinski, H.] Univ Bordeaux, EPOC, LPTC Unit, UMR 5805, 351 Crs Liberat, F-33400 Talence, France; [Devier, M. -H.; Le Menach, K.; Budzinski, H.] CNRS, EPOC, LPTC Unit, UMR 5805, F-33400 Talence, France; [Ortiz-Zarragoitia, M.; Orbea, A.; Cajaraville, M. P.] Univ Basque Country UPV EHU, Lab Cell Biol &amp; Histol, Dept Zool &amp; Anim Cell Biol, Fac Sci &amp; Technol, Sarriena Z-G, E-48940 Leioa, Basque Country, Spain; [Ortiz-Zarragoitia, M.; Orbea, A.; Cajaraville, M. P.] Univ Basque Country UPV EHU, Res Ctr Expt Marine Biol &amp; Biotechnol PIE, Areatza Z-G, E-48620 Plentzia, Basque Country, Spain</t>
  </si>
  <si>
    <t>Universidad de Cantabria; IHCantabria - Instituto de Hidraulica Ambiental de la Universidad de Cantabria; Centre National de la Recherche Scientifique (CNRS); CNRS - National Institute for Earth Sciences &amp; Astronomy (INSU); Universite de Bordeaux; Centre National de la Recherche Scientifique (CNRS); CNRS - National Institute for Earth Sciences &amp; Astronomy (INSU); University of Basque Country; University of Basque Country</t>
  </si>
  <si>
    <t>Cajaraville, MP (corresponding author), Univ Basque Country, Fac Sci &amp; Technol, Lab Cell Biol &amp; Histol, Sarriena Z-G, Leioa 48940, Basque Country, Spain.</t>
  </si>
  <si>
    <t>mirenp.cajaraville@ehu.eus</t>
  </si>
  <si>
    <t>Orbea, Amaia/AGI-5697-2022; Ortiz-Zarragoitia, Maren/C-3978-2017; Cajaraville, Miren P/I-4757-2015; JUANES, JOSE A/O-2578-2013; de los Rios, Ana/P-5653-2015</t>
  </si>
  <si>
    <t>Ortiz-Zarragoitia, Maren/0000-0002-2664-1303; Echavarri-Erasun, Beatriz/0000-0002-7059-5615; Cajaraville, Miren P/0000-0001-6527-6137; JUANES, JOSE A/0000-0003-1825-2858; de los Rios, Ana/0000-0002-0006-0957; BUDZINSKI, Helene/0000-0001-5282-9011; ORBEA DEL REY, AMAIA/0000-0002-0229-4482</t>
  </si>
  <si>
    <t>Spanish Ministry of the Environment and Rural and Marine Affairs [018/RN08/02.1]; Science and Innovation Ministry [CTM2009-11206 TECNO]; Basque Government [GIC07/26-IT-393-07, IT810-13]; UPV/EHU [UFi 11/37]; French National Research Agency (ANR) [ANR-10-LABX-45]</t>
  </si>
  <si>
    <t>Spanish Ministry of the Environment and Rural and Marine Affairs(Spanish Government); Science and Innovation Ministry; Basque Government(Basque Government); UPV/EHU; French National Research Agency (ANR)(Agence Nationale de la Recherche (ANR)Norwegian Agency for Development Cooperation - NORAD)</t>
  </si>
  <si>
    <t>Funded by Spanish Ministry of the Environment and Rural and Marine Affairs (018/RN08/02.1), Science and Innovation Ministry (CTM2009-11206 TECNO), Basque Government, through a grant to consolidated research groups (GIC07/26-IT-393-07 and IT810-13), UPV/EHU through UFi 11/37 and French National Research Agency (ANR) in the frame of the Investments for the future Programme, within the Cluster of Excellence COTE (ANR-10-LABX-45). Technical assistance in sampling procedures of personnel from the Cell Biology in Environmental Toxicology research group (UPV/EHU) and from the Environmental Hydraulics Institute (University of Cantabria) is gratefully acknowledged. Special thanks are due to Javier Barcena and Javier Garcia Alba for CSO effluent modelling works.</t>
  </si>
  <si>
    <t>10.1016/j.scitotenv.2018.03.297</t>
  </si>
  <si>
    <t>http://dx.doi.org/10.1016/j.scitotenv.2018.03.297</t>
  </si>
  <si>
    <t>GH1HJ</t>
  </si>
  <si>
    <t>WOS:000433153600014</t>
  </si>
  <si>
    <t>Pachés, M; Martínez-Guijarro, R; Romero, I; Aguado, D</t>
  </si>
  <si>
    <t>Paches, Maria; Martinez-Guijarro, Remedios; Romero, Inmaculada; Aguado, Daniel</t>
  </si>
  <si>
    <t>Assessment of Metal Pollution and Its Environmental Impact on Spanish Mediterranean Coastal Ecosystems</t>
  </si>
  <si>
    <t>coastal ecosystems; environmental impact; metals; sediment pollution</t>
  </si>
  <si>
    <t>SEDIMENT QUALITY GUIDELINES; HEAVY-METALS; TRACE-METALS; MARINE; WATER; CONTAMINATION; AREA; AVAILABILITY; LAGOON; TISSUE</t>
  </si>
  <si>
    <t>This study evaluated the presence and significance of the concentrations and spatial distribution of seven metals (Cr, Fe, Ni, Cu, Zn, Cd, Hg, and Pb) along the Spanish Mediterranean coast. The concentrations were determined in surface sediments (taken at a mean depth of 8.6 m) and biota (wild mussels (Mytilus galloprovincialys) and clams (Donax trunculus)). The results show different metal pollution patterns in the sediments of the northern and southern water bodies along 476 km of the Valencia Community coastline. The lithogenic sedimentary concentrations are higher in the northern area. According to the sediment quality guidelines, most of the metal contents along the coast do not constitute a potential risk to aquatic organisms, and only the Hg in the sediments of the two water bodies and the Ni in the sediments of one of the water bodies studied could have low-level effects. Due to their metabolism, mussels' metal content was always higher than that of clams (taken at the same location) and thus were better indicator organisms of this type of pollution. Despite the low concentrations found, the results show overall sediment and bivalve pollution by metals. Periodic sampling campaigns are recommended to monitor the long-term tendency of these persistent toxic pollutants.</t>
  </si>
  <si>
    <t>[Paches, Maria; Aguado, Daniel] Univ Politecn Valencia, Inst Univ Invest Engn Aigua &amp; MediAmbient IIAMA, Unidad Mixta UV UPV, CALAGUA, Valencia 46022, Spain; [Martinez-Guijarro, Remedios; Romero, Inmaculada] Univ Politecn Valencia, GEA Inst Univ Invest Engn Aigua &amp; Med Ambient IIAM, Valencia 46022, Spain</t>
  </si>
  <si>
    <t>Universitat Politecnica de Valencia; Universitat Politecnica de Valencia</t>
  </si>
  <si>
    <t>Aguado, D (corresponding author), Univ Politecn Valencia, Inst Univ Invest Engn Aigua &amp; MediAmbient IIAMA, Unidad Mixta UV UPV, CALAGUA, Valencia 46022, Spain.</t>
  </si>
  <si>
    <t>daaggar@hma.upv.es</t>
  </si>
  <si>
    <t>GINER, MARIA/I-7732-2016; Aguado, Daniel/L-3411-2014; Romero, Inmaculada/K-9007-2014; Martinez-Guijarro, Remedios/I-7713-2016</t>
  </si>
  <si>
    <t>Aguado, Daniel/0000-0002-6417-366X; Romero, Inmaculada/0000-0001-7876-9328; Paches, Maria/0000-0002-7796-5228; Martinez-Guijarro, Remedios/0000-0002-3934-4615</t>
  </si>
  <si>
    <t>10.3390/jmse11010089</t>
  </si>
  <si>
    <t>http://dx.doi.org/10.3390/jmse11010089</t>
  </si>
  <si>
    <t>7Y7YJ</t>
  </si>
  <si>
    <t>WOS:000915089400001</t>
  </si>
  <si>
    <t>Damiens, G; Gnassia-Barelli, M; Loquès, F; Roméo, M; Salbert, V</t>
  </si>
  <si>
    <t>Damiens, G.; Gnassia-Barelli, M.; Loques, F.; Romeo, M.; Salbert, V.</t>
  </si>
  <si>
    <t>Integrated biomarker response index as a useful tool for environmental assessment evaluated using transplanted mussels</t>
  </si>
  <si>
    <t>biomarkers; chemical pollutants; Mediterranean mussel; transplantation experiment</t>
  </si>
  <si>
    <t>GLUTATHIONE-S-TRANSFERASE; CLAM RUDITAPES-DECUSSATUS; MYTILUS-GALLOPROVINCIALIS; ACETYLCHOLINESTERASE ACTIVITY; DIGESTIVE GLAND; MACOMA-BALTHICA; WATER-QUALITY; EDULIS; CONTAMINATION; POLLUTION</t>
  </si>
  <si>
    <t>Mytilus galloprovincialis mussels from a clean area were transplanted from 2003 to 2005 to several stations in the Bay of Cannes (North-Western Mediterranean Sea) including a site considered as reference, for I month at the end of spring (May). Several biomarkers (AChE, GST and CAT activities, TBARS and MT concentrations) were measured in the transplanted organisms. The concentrations of metals (Cd, Cu and Zn) were determined in the transplanted mussels, PAH and PCB analyses were performed in the mussels caged in 2004. The integrated biomarker response (IBR) was calculated; pollutant concentrations in mussels were displayed as star plots and compared to IBR star plots. Visualization was thus possible between sites for comparison with exposure conditions. Results demonstrated that the mussels from the Old harbour site (VP) are characterized by elevated copper and PCB concentrations, those from Canto harbour (PC) presented high PCB contents and those from the mouth of the Siagne River (ES) high PAH concentrations compared to the animals transplanted in the reference site (IL). In 2003, there was a visual correlation between the copper gradient measured in the transplanted mussels and the IBR variation. In 2004, the agreement between the copper gradient and the PCB gradient measured in the caged mussels and the IBR variation was good whereas the PAH gradient did not seem to contribute to the IBR demonstrating that the chosen biomarkers did not respond to PAHs. In 2005, IBR showed that other contaminants, not measured might be present in VP, PC and ES compared to the reference station (IL). (c) 2006 Elsevier Ltd. All rights reserved.</t>
  </si>
  <si>
    <t>Univ Nice, Fac Sci, INRA UMR 1112, UNSA ROSE, F-06108 Nice 2, France; CSIL, F-06400 Cannes, France; SAFEGE Environm, F-13100 Aix En Provence, France</t>
  </si>
  <si>
    <t>Universite Cote d'Azur; INRAE</t>
  </si>
  <si>
    <t>Roméo, M (corresponding author), Univ Nice, Fac Sci, INRA UMR 1112, UNSA ROSE, Parc Valrose,BP 71, F-06108 Nice 2, France.</t>
  </si>
  <si>
    <t>10.1016/j.chemosphere.2006.05.032</t>
  </si>
  <si>
    <t>http://dx.doi.org/10.1016/j.chemosphere.2006.05.032</t>
  </si>
  <si>
    <t>130RB</t>
  </si>
  <si>
    <t>WOS:000243815600024</t>
  </si>
  <si>
    <t>Sondergaard, J</t>
  </si>
  <si>
    <t>Sondergaard, Jens</t>
  </si>
  <si>
    <t>Dispersion and bioaccumulation of elements from an open-pit olivine mine in Southwest Greenland assessed using lichens, seaweeds, mussels and fish</t>
  </si>
  <si>
    <t>Olivine; Mining; Dispersion; Bioaccumulation; Greenland</t>
  </si>
  <si>
    <t>AIR-QUALITY; POLLUTION; BIOMONITORS; ZINC; LEAD</t>
  </si>
  <si>
    <t>This study investigated dispersion and bioaccumulation of mining-related elements from an open-pit olivine mine at Seqi in Southwest Greenland (64A degrees N) using lichens (Flavocetraria nivalis), seaweeds (Fucus vesiculosus), mussels (Mytilus edulis) and fish (Myoxocephalus scorpius). The mine operated between 2005 and 2009, and samples were taken every year within a monitoring area 0-17 km from the mine during the period 2004-2011. A total of 46 elements were analysed in the samples. After mining began, highly elevated metal concentrations, especially nickel (Ni), chromium (Cr), iron (Fe) and cobalt (Co), were observed in lichens relative to pre-mining levels (up to a factor of 130) caused by dust dispersion from the mining activity. Elevated metal concentrations could be measured in lichens in distances up to similar to 5 km from the mine/ore treatment facility. Moderately elevated concentrations of Ni and Cr (up to a factor of 7) were also observed in seaweeds and mussels but only in close vicinity (&lt; 1 km) to the mine. Analyses of fish showed no significant changes in element composition. After mine closure, the elevated metal concentrations in lichens, seaweeds and mussels decreased markedly, and in 2011, significantly elevated metal concentrations could only be measured in lichens and only within a distance of 1 km from the mine.</t>
  </si>
  <si>
    <t>[Sondergaard, Jens] Aarhus Univ, Dept Biosci, DK-4000 Roskilde, Denmark</t>
  </si>
  <si>
    <t>Søndergaard, Jens/I-7459-2013</t>
  </si>
  <si>
    <t>10.1007/s10661-013-3082-x</t>
  </si>
  <si>
    <t>http://dx.doi.org/10.1007/s10661-013-3082-x</t>
  </si>
  <si>
    <t>WOS:000321123800063</t>
  </si>
  <si>
    <t>Saalfeld, DT; Matz, AC; McCaffery, BJ; Johnson, OW; Bruner, P; Lanctot, RB</t>
  </si>
  <si>
    <t>Saalfeld, David T.; Matz, Angela C.; McCaffery, Brian J.; Johnson, Oscar W.; Bruner, Phil; Lanctot, Richard B.</t>
  </si>
  <si>
    <t>Inorganic and organic contaminants in Alaskan shorebird eggs</t>
  </si>
  <si>
    <t>Shorebirds; Mercury; Organochlorines; Strontium; Prince William Sound; Arctic</t>
  </si>
  <si>
    <t>NORTH-AMERICAN SHOREBIRDS; ORGANOCHLORINE PESTICIDES; TOXICOLOGICAL SIGNIFICANCE; POLYCHLORINATED-BIPHENYLS; SELENIUM CONCENTRATIONS; ATMOSPHERIC TRANSPORT; WINTERING SHOREBIRDS; INCLUDING MERCURY; AQUATIC BIRDS; HEAVY-METALS</t>
  </si>
  <si>
    <t>Many shorebird populations throughout North America are thought to be declining, with potential causes attributed to habitat loss and fragmentation, reduced prey availability, increased predation, human disturbance, and increased exposure to environmental pollutants. Shorebirds may be particularly vulnerable to contaminant exposure throughout their life cycle, as they forage primarily on invertebrates in wetlands, where many contaminants accumulate disproportionately in the sediments. Therefore, it is important to document and monitor shorebird populations thought to be at risk and assess the role that environmental contaminants may have on population declines. To investigate potential threats and provide baseline data on shorebird contaminant levels in Alaskan shorebirds, contaminant concentrations were evaluated in shorebird eggs from 16 species residing in seven geographic distinct regions of Alaska. Similar to previous studies, low levels of most inorganic and organic contaminants were found, although concentrations of several inorganic and organic contaminants were higher than those of previous studies. For example, elevated strontium levels were observed in several species, especially black oystercatcher (Haematopus bachmani) sampled in PrinceWilliam Sound, Alaska. Additionally, contaminant concentrations varied among species, with significantly higher concentrations of inorganic contaminants found in eggs of pectoral sandpiper (Calidris melanotos), semipalmated sandpiper (Calidris pusilla), black oystercatcher, and bar-tailed godwit (Limosa lapponica). Similarly, significantly higher concentrations of some organic contaminants were found in the eggs of American golden plover (Pluvialis dominica), black-bellied plover (Pluvialis squatarola), pacific golden plover (Pluvialis fulva), bar-tailed godwit, and semipalmated sandpiper. Despite these elevated levels, current concentrations of contaminants in shorebird eggs suggest that breeding environments are relatively free of most contaminants and that contaminant concentrations are below levels (except potentially strontium) that would likely affect the survival of individuals and consequently regulate the species at the population level.</t>
  </si>
  <si>
    <t>[Saalfeld, David T.; Lanctot, Richard B.] US Fish &amp; Wildlife Serv, Migratory Bird Management Div, 1011 East Tudor Rd,MS 201, Anchorage, AK 99503 USA; [Matz, Angela C.] US Fish &amp; Wildlife Serv, Fairbanks Fish &amp; Wildlife Field Off, 101 12th Ave,Room 110, Fairbanks, AK 99701 USA; [McCaffery, Brian J.] US Fish &amp; Wildlife Serv, Yukon Delta Natl Wildlife Refuge, POB 346, Bethel, AK 99559 USA; [Johnson, Oscar W.] Montana State Univ, Dept Ecol, Bozeman, MT 59717 USA; [Bruner, Phil] Brigham Young Univ Hawaii, 55-220 Kulanui St, Laie, HI 96762 USA; [Saalfeld, David T.] Alaska Dept Fish &amp; Game, 333 Raspberry Rd, Anchorage, AK 99518 USA</t>
  </si>
  <si>
    <t>United States Department of the Interior; US Fish &amp; Wildlife Service; United States Department of the Interior; US Fish &amp; Wildlife Service; United States Department of the Interior; US Fish &amp; Wildlife Service; Montana State University System; Montana State University Bozeman; Brigham Young University; Brigham Young University - Hawaii; Alaska Department of Fish &amp; Game</t>
  </si>
  <si>
    <t>Saalfeld, DT (corresponding author), Alaska Dept Fish &amp; Game, 333 Raspberry Rd, Anchorage, AK 99518 USA.</t>
  </si>
  <si>
    <t>dsaalfeld@gmail.com</t>
  </si>
  <si>
    <t>US Fish and Wildlife Service Avian Health and Disease Program; Region 7 Migratory Bird Management and Ecological Services divisions</t>
  </si>
  <si>
    <t>We are grateful to the many biologists across Alaska who provided samples for this study, including S. Brown, S. Connors, S. Dieni, M. Greenlee, R. Hunnewell, J. Johnson, M. Johnson, J. Juillerat, D. Kainai, S. Kendall, G. Norwood, D. Payer, D. Ruthrauff, K. Sowl, M. Spies, K. Sullivan, C. Villa, and B. Winn. Samples were collected under the USFWS federal permit MB026962-0 (2002) and MB085371-3 (2004) and the State of Alaska scientific permit 02-021 and 04-062. Funding was provided by the US Fish and Wildlife Service Avian Health and Disease Program and the Region 7 Migratory Bird Management and Ecological Services divisions. Any use of trade, product, or firm names is for descriptive purposes only and does not imply endorsement by the US Fish and Wildlife Service. The findings and conclusions in this article are those of the authors and do not necessarily represent the views of the US Fish and Wildlife Service.</t>
  </si>
  <si>
    <t>10.1007/s10661-016-5270-y</t>
  </si>
  <si>
    <t>http://dx.doi.org/10.1007/s10661-016-5270-y</t>
  </si>
  <si>
    <t>DM0FC</t>
  </si>
  <si>
    <t>WOS:000376017400017</t>
  </si>
  <si>
    <t>MARINA, M; ENZO, O</t>
  </si>
  <si>
    <t>VARIABILITY OF ZINC AND MANGANESE CONCENTRATIONS IN RELATION TO SEX AND SEASON IN THE BIVALVE DONAX-TRUNCULUS</t>
  </si>
  <si>
    <t>Females of D. trunculus showed higher concentrations of Mn and Zn than males. Differences were high for Mn which also showed large monthly fluctuations. Both metals increased during the gonadic maturation. Some high values of Mn found when gonads were resting suggested the influence of sharp environmental variations in the area where bivalves had been collected.</t>
  </si>
  <si>
    <t>UNIV MODENA, IST ZOOL, CATTEDRA BIOL GEN MED, I-41100 MODENA, ITALY.</t>
  </si>
  <si>
    <t>10.1016/0025-326X(83)90395-8</t>
  </si>
  <si>
    <t>http://dx.doi.org/10.1016/0025-326X(83)90395-8</t>
  </si>
  <si>
    <t>RL113</t>
  </si>
  <si>
    <t>WOS:A1983RL11300004</t>
  </si>
  <si>
    <t>Metal Concentrations in Organs of the Clam Amiantis umbonella and Their Use in Monitoring Metal Contamination of Coastal Sediments</t>
  </si>
  <si>
    <t>Bivalve; Amiantis umbonella; Metals; Kuwait Bay; Organ weight; Biomonitor</t>
  </si>
  <si>
    <t>OYSTERS CRASSOSTREA-GIGAS; BIVALVE MODIOLUS-MODIOLUS; TRACE-METALS; CORBICULA FLUMINEA; HEAVY-METALS; CADMIUM; METALLOTHIONEIN; ACCUMULATION; INDICATORS; COPPER</t>
  </si>
  <si>
    <t>The aim of this study was to evaluate the use of metal concentrations in clam organs to monitor metal contamination in coastal sediments. The concentrations of Cd, Cr, Cu, Hg, Ni, Pb, V, and Zn were measured in the kidneys, gonads, mantles, gills, digestive gland, and hearts of the infaunal clam Amiantis umbonella collected from a contaminated site near desalination and power plant discharges, and a reference site in Kuwait Bay. Metal concentrations in sediment and sediment pore water were also measured at the collection sites of individual clams at the contaminated site. The concentrations of all metals in all organs (except Zn in the digestive gland) were significantly higher in clams from the contaminated site than from the reference site. Metal concentrations in several organs in A. umbonella from the contaminated site were correlated with those in the sediments and pore waters to which they were exposed. However, fresh weights of gonads, gills, and mantles were significantly lower in clams from the contaminated site compared to the reference site, indicating that the observed elevated concentrations of metals in the organs of clams from the contaminated site largely reflect lower organ weights, rather than higher metal loads, and that these organs in A. umbonella and perhaps other clams are not appropriate for use as biomonitors of metal contamination. Metal concentrations in clam kidneys showed a wide dynamic range with respect to environmental contamination and kidney weight was not variable. Therefore, metal concentrations in clam kidneys provide a reliable biomonitor of contaminant metals in coastal marine sediments.</t>
  </si>
  <si>
    <t>[Reinfelder, John R.] Rutgers State Univ, Dept Environm Sci, New Brunswick, NJ 08901 USA; [Tarique, Qaiser; Burger, Joanna] Rutgers State Univ, Dept Ecol &amp; Evolut, Div Life Sci, Piscataway, NJ 08854 USA</t>
  </si>
  <si>
    <t>NIEHS [P 30ES005022]</t>
  </si>
  <si>
    <t>NIEHS(United States Department of Health &amp; Human ServicesNational Institutes of Health (NIH) - USANIH National Institute of Environmental Health Sciences (NIEHS))</t>
  </si>
  <si>
    <t>We thank the former Director of the Environmental Public Authority (EPA) of Kuwait, Dr. Mohammed Sarawi, for his support and invaluable assistance in collecting and processing specimens, data management, and laboratory analysis. I would like to express my gratitude to Dr. Michael Gochfeld and Dr. Keith Cooper for their constructive comments and Dr. Manaf Behbehani and Dr. Salim Al-Mohanna of the University of Kuwait for their helpful discussions regarding this research. I would also like to thank NIEHS (P 30ES005022) for their partial support for this project. This research was conducted under approved Rutgers University protocol. The results, conclusions, and interpretations reported herein are the sole responsibility of the authors.</t>
  </si>
  <si>
    <t>10.1007/s11270-011-1009-0</t>
  </si>
  <si>
    <t>http://dx.doi.org/10.1007/s11270-011-1009-0</t>
  </si>
  <si>
    <t>947XF</t>
  </si>
  <si>
    <t>WOS:000304467000016</t>
  </si>
  <si>
    <t>Arumugam, A; Li, J; Krishnamurthy, P; Jia, ZX; Leng, ZR; Ramasamy, N; Du, DL</t>
  </si>
  <si>
    <t>Arumugam, Anandkumar; Li, Jian; Krishnamurthy, Prabakaran; Jia, Zhang Xi; Leng, Zhanrui; Ramasamy, Nagarajan; Du, Daolin</t>
  </si>
  <si>
    <t>Investigation of toxic elements in Carassius gibelio and Sinanodonta woodiana and its health risk to humans</t>
  </si>
  <si>
    <t>Yangtze River; Fish; Bivalve; Risk assessment; Arsenic; Mercury</t>
  </si>
  <si>
    <t>FRESH-WATER FISH; HEAVY-METAL CONCENTRATIONS; SOUTH CHINA SEA; YANGTZE-RIVER; TRACE-METALS; PRUSSIAN CARP; LOWER REACHES; MARINE FISH; TAIHU LAKE; ACCUMULATION</t>
  </si>
  <si>
    <t>Increasing toxic metal content in aquatic products has become a universal burden due to the risks to aquatic organisms and human health associated with the consumption of these products. In this study, toxic metal distribution and accumulation in the organs of fish and bivalve species of economic and culinary importance from the lower reaches of the Yangtze River are examined, and the corresponding health risks are also investigated. In general, the viscera and gill show higher concentration of metals than other tissues. The order of the accumulation sequence of metals in muscle tissue of fish and bivalve is Zn &gt; Cu &gt; Mn &gt; Cr &gt; As &gt; Hg &gt; Pb &gt; Cd and Mn &gt; Zn &gt; Cu &gt; As &gt; Cr &gt; Pb &gt; Cd &gt; Hg respectively. Maximum accumulation of Mn (507.50 mu g g(-1)) and Pb (0.51 mu g g(-1)) in the gill tissues indicates the major uptake of these metals from the water column. According to the Hazard Index (HI) calculations (based on USEPA), the analyzed metals will not cause any harmful health effects to individuals for both normal and habitual fish consumers, except for Hg and As in habitual consumers, if these species are consumed at a larger amount. Compared to the Chinese Food Health Criterion and other international standards (WHO/FAO), metal concentrations in the edible muscle tissues of the studied species are lesser than the acceptable levels and found to be fit for human consumption.</t>
  </si>
  <si>
    <t>[Arumugam, Anandkumar; Li, Jian; Krishnamurthy, Prabakaran; Jia, Zhang Xi; Leng, Zhanrui; Du, Daolin] Jiangsu Univ, Inst Environm &amp; Ecol, Sch Environm &amp; Safety Engn, Zhenjiang 212013, Jiangsu, Peoples R China; [Ramasamy, Nagarajan] Curtin Univ, Fac Sci &amp; Engn, Dept Appl Geol, Miri, Malaysia; [Ramasamy, Nagarajan] Curtin Univ, Curtin Malaysia Res Inst, Miri, Malaysia</t>
  </si>
  <si>
    <t>Jiangsu University; Curtin University Malaysia; Curtin University Malaysia</t>
  </si>
  <si>
    <t>Du, DL (corresponding author), Jiangsu Univ, Inst Environm &amp; Ecol, Sch Environm &amp; Safety Engn, Zhenjiang 212013, Jiangsu, Peoples R China.</t>
  </si>
  <si>
    <t>anand2explore@gmail.com; ddl@ujs.edu.cn</t>
  </si>
  <si>
    <t>Du, Daolin/HHC-9359-2022; Arumugam, Anandkumar/AAP-6587-2021; li, jianghua/GXG-4735-2022; Krishnamoorthy, Prabakaran/AAG-9090-2021; Nagarajan, Ramasamy/J-5742-2012</t>
  </si>
  <si>
    <t>Krishnamurthy, Prabakaran/0000-0003-4286-6008; Nagarajan, Ramasamy/0000-0003-3495-899X; Arumugam, Anandkumar/0000-0001-6580-0146</t>
  </si>
  <si>
    <t>State Key Research Development Program of China [2017YFC1200100]; National Natural Science Foundation of China [31570414, 31800429, 31770446]; Natural Science Foundation of Jiangsu Province [BK20170540]</t>
  </si>
  <si>
    <t>State Key Research Development Program of China(State Key Development Program for Basic Research of China); National Natural Science Foundation of China(National Natural Science Foundation of China (NSFC)); Natural Science Foundation of Jiangsu Province(Natural Science Foundation of Jiangsu Province)</t>
  </si>
  <si>
    <t>This research work was funded by the State Key Research Development Program of China (2017YFC1200100), the National Natural Science Foundation of China (31570414, 31800429, 31770446), the Natural Science Foundation of Jiangsu Province (BK20170540).</t>
  </si>
  <si>
    <t>10.1007/s11356-020-08554-1</t>
  </si>
  <si>
    <t>http://dx.doi.org/10.1007/s11356-020-08554-1</t>
  </si>
  <si>
    <t>WOS:000522592300005</t>
  </si>
  <si>
    <t>Ward, S; Augspurger, T; Dwyer, FJ; Kane, C; Ingersoll, CG</t>
  </si>
  <si>
    <t>Ward, Sara; Augspurger, Tom; Dwyer, F. James; Kane, Cindy; Ingersoll, Christopher G.</t>
  </si>
  <si>
    <t>Risk assessment of water quality in three North Carolina, USA, streams supporting federally endangered freshwater mussels (Unionidae)</t>
  </si>
  <si>
    <t>freshwater mussels; stream monitoring; site-specific standards; ecological risk assessment; wastewater treatment plant</t>
  </si>
  <si>
    <t>ACUTE TOXICITY; GLOCHIDIA; AMMONIA; SENSITIVITY; PROTECTION; JUVENILES; BIVALVIA; GUIDANCE; COPPER</t>
  </si>
  <si>
    <t>Water quality data were collected from three drainages supporting the endangered Carolina heelsplitter (Lasmigona decorata) and dwarf wedgemussel (Alasmidonta heterodon) to determine the potential for impaired water quality to limit the recovery of these freshwater mussels in North Carolina, USA. Total recoverable copper, total residual chlorine, and total ammonia nitrogen were measured every two months for approximately a year at sites bracketing wastewater sources and mussel habitat. These data and state monitoring datasets were compared with ecological screening values, including estimates of chemical concentrations likely to be protective of mussels, and federal ambient water quality criteria to assess site risks following a hazard quotient approach. In one drainage, the site-specific ammonia ecological screening value for acute exposures was exceeded in 6% of the samples, and 15% of samples exceeded the chronic ecological screening value; however, ammonia concentrations were generally below levels of concern in other drainages. In all drainages, copper concentrations were higher than ecological screening values most frequently (exceeding the ecological screening values for acute exposures in 65-94% of the samples). Chlorine concentrations exceeding the acute water quality criterion were observed in 14 and 35% of samples in two of three drainages. The ecological screening values were exceeded most frequently in Goose Creek and the Upper Tar River drainages; concentrations rarely exceeded ecological screening values in the Swift Creek drainage except for copper. The site-specific risk assessment approach provides valuable information (including site-specific risk estimates and ecological screening values for protection) that can be applied through regulatory and nonregulatory means to improve water quality for mussels where risks are indicated and pollutant threats persist.</t>
  </si>
  <si>
    <t>US Fish &amp; Wildlife Serv, Raleigh, NC 27636 USA; US Fish &amp; Wildlife Serv, Columbia, MO 65203 USA; US Fish &amp; Wildlife Serv, Gloucester, VA 23061 USA; Columbia Environm Res Ctr, US Geol Survey, Columbia, MO 65201 USA</t>
  </si>
  <si>
    <t>United States Department of the Interior; US Fish &amp; Wildlife Service; University of Missouri System; University of Missouri Columbia; United States Department of the Interior; US Fish &amp; Wildlife Service; United States Department of the Interior; US Fish &amp; Wildlife Service; United States Department of the Interior; United States Geological Survey</t>
  </si>
  <si>
    <t>Ward, S (corresponding author), US Fish &amp; Wildlife Serv, PO Box 33726, Raleigh, NC 27636 USA.</t>
  </si>
  <si>
    <t>sara_ward@fws.gov</t>
  </si>
  <si>
    <t>10.1897/06-561R.1</t>
  </si>
  <si>
    <t>http://dx.doi.org/10.1897/06-561R.1</t>
  </si>
  <si>
    <t>211MN</t>
  </si>
  <si>
    <t>WOS:000249528000007</t>
  </si>
  <si>
    <t>BURNS, KA; VILLENEUVE, JP; ANDERLIN, VC; FOWLER, SW</t>
  </si>
  <si>
    <t>SURVEY OF TAR, HYDROCARBON AND METAL POLLUTION IN THE COASTAL WATERS OF OMAN</t>
  </si>
  <si>
    <t>Quantitative beach sampling conducted after the monsoon season yielded average standing stocks of tar ranging from 5 to 2325 g/m shoreline with an overall average of 224. Values were among the highest reported for any world area and showed a trend of increasing levels of oil residues close to the Strait of Hormuz. Tanker deballasting was a major source of oil pollution on the Omani coast. Locally high levels were seen near offshore tanker loading facilities. Petroleum hydrocarbons in rock oysters increased in a south to north gradient consistent with beach tar observations. Relatively low hydrocarbon levels in biota coupled with observations of little floating tar suggested that oil released in Omani coastal waters aggregated, sank, and reached the coast as heavy tar lumps. Except for elevated levels of Cd at 2 stations, heavy metal and chlorinated hydrocarbon concentrations were low compared to more industrialized world areas. Suggestions were made to improve the effectiveness of future pollution studies in the Gulf region.</t>
  </si>
  <si>
    <t>KUWAIT INST SCI RES, DEPT ENVIRONM SCI, SAFAT, KUWAIT</t>
  </si>
  <si>
    <t>Kuwait Institute for Scientific Research</t>
  </si>
  <si>
    <t>MUSEE OCEANOG, INT LAB MARINE RADIOACTIV, MONACO, MONACO.</t>
  </si>
  <si>
    <t>10.1016/0025-326X(82)90347-2</t>
  </si>
  <si>
    <t>http://dx.doi.org/10.1016/0025-326X(82)90347-2</t>
  </si>
  <si>
    <t>WOS:A1982NZ68200007</t>
  </si>
  <si>
    <t>Li, DL; Pi, J; Zhang, T; Tan, X; Fraser, DJ</t>
  </si>
  <si>
    <t>Li, Deliang; Pi, Jie; Zhang, Ting; Tan, Xiang; Fraser, Dylan J.</t>
  </si>
  <si>
    <t>Evaluating a 5-year metal contamination remediation and the biomonitoring potential of a freshwater gastropod along the Xiangjiang River, China</t>
  </si>
  <si>
    <t>Bellamya aeruginosa; Bioaccumulation; Risk assessment; Sediment; Trace metals</t>
  </si>
  <si>
    <t>CARP HYPOPHTHALMICHTHYS-MOLITRIX; RISK-ASSESSMENT; HEAVY-METALS; SOURCE IDENTIFICATION; BELLAMYA-AERUGINOSA; CORBICULA-FLUMINEA; BIVALVE MOLLUSKS; MYTILUS-EDULIS; SURFACE-WATER; TRACE-METALS</t>
  </si>
  <si>
    <t>Effective remediation of heavy metal pollution in aquatic systems is desired in many regions, but it requires integrative assessments of sediments, water, and biota that can serve as robust biomonitors. We assessed the effects of a 5-year metal contamination remediation along the Xiangjiang River, China, by comparing concentrations of trace metals in water and surface sediments between 2010-2011 and 2016. We also explored the trace metal biomonitoring potential of a freshwater gastropod (Bellamya aeruginosa). Metal concentrations in water (means and ranges) dropped over time to within permissible limits of drinking water guidelines set by China, USEPA, and WHO in 2016. Although sediment means and ranges of Cd, Pb, Zn, and Mn also diminished with remediation, those for Cr and Cu slightly increased, and all six metals retained concentrations higher than standards set by China. All metals in sediments could also be associated with anthropogenic inputs using a hierarchical clustering analysis, and they generate high potential ecological risks based on several indices, especially for Cd and As. The bio-sediment accumulation factors of all measured trace metals in gastropod soft tissues and shells were lower than 1.0, except for Ca. Trace metal contents in gastropods were positively correlated with those in water and surface sediments for As (soft tissues) and Cr (shells). Collectively, our results do not yet highlight strong beneficial effects of 5-year remediation and clearly illustrate the heavy metal pollution remaining in Xiangjiang River sediment. Additional physical, chemical, and biological measurements should be implemented to improve sediment quality. We further conclude that gastropod soft tissues and shells can be suitable biomonitors of spatial differences in some heavy metals found within river sediments (e.g., As, Cr).</t>
  </si>
  <si>
    <t>[Li, Deliang; Pi, Jie] Hunan Agr Univ, Collaborat Innovat Ctr Efficient &amp; Hlth Prod Fish, Hunan Engn Technol Res Ctr Featured Aquat Resourc, Coll Anim Sci &amp; Technol, Changsha 410128, Hunan, Peoples R China; [Zhang, Ting] Cent S Univ, Coll Chem &amp; Chem Engn, Changsha 410083, Hunan, Peoples R China; [Tan, Xiang] Chinese Acad Sci, Wuhan Bot Garden, Key Lab Aquat Bot &amp; Watershed Ecol, Wuhan 430074, Hubei, Peoples R China; [Fraser, Dylan J.] Concordia Univ, Dept Biol, Montreal, PQ, Canada</t>
  </si>
  <si>
    <t>Hunan Agricultural University; Central South University; Chinese Academy of Sciences; Wuhan Botanical Garden, CAS; Concordia University - Canada</t>
  </si>
  <si>
    <t>Zhang, T (corresponding author), Cent S Univ, Coll Chem &amp; Chem Engn, Changsha 410083, Hunan, Peoples R China.</t>
  </si>
  <si>
    <t>zhangting@csu.edu.cn</t>
  </si>
  <si>
    <t>Fraser, Dylan/X-1659-2019</t>
  </si>
  <si>
    <t>Fraser, Dylan/0000-0002-5686-7338; , Ting/0000-0002-5163-9416</t>
  </si>
  <si>
    <t>Special Fund for Agro-Scientific Research in the Public Interest of China [201503108]; Hunan Provincial Education Department [17A099]; Key Laboratory of Aquatic Botany and Watershed Ecology, Chinese Academy of Sciences [Y752711s03]</t>
  </si>
  <si>
    <t>Special Fund for Agro-Scientific Research in the Public Interest of China; Hunan Provincial Education Department(Hunan Provincial Education Department); Key Laboratory of Aquatic Botany and Watershed Ecology, Chinese Academy of Sciences</t>
  </si>
  <si>
    <t>This study was supported by the Special Fund for Agro-Scientific Research in the Public Interest of China (No. 201503108), A Project Supported by Scientific Research Fund of Hunan Provincial Education Department (No. 17A099) and Open Funding Project of the Key Laboratory of Aquatic Botany and Watershed Ecology, Chinese Academy of Sciences (No. Y752711s03).</t>
  </si>
  <si>
    <t>10.1007/s11356-018-2263-0</t>
  </si>
  <si>
    <t>http://dx.doi.org/10.1007/s11356-018-2263-0</t>
  </si>
  <si>
    <t>WOS:000438830900078</t>
  </si>
  <si>
    <t>Hédouin, L; Batista, MG; Metian, M; Buschiazzo, E; Warnau, M</t>
  </si>
  <si>
    <t>Hedouin, Laetitia; Batista, Miguel Gomez; Metian, Marc; Buschiazzo, Emmanuel; Warnau, Michel</t>
  </si>
  <si>
    <t>Metal and metalloid bioconcentration capacity of two tropical bivalves for monitoring the impact of land-based mining activities in the New Caledonia lagoon</t>
  </si>
  <si>
    <t>Metal; Concentration effect; Bioindicator; Radiotracer techniques</t>
  </si>
  <si>
    <t>MUSSEL MYTILUS-EDULIS; ECHINOID PARACENTROTUS-LIVIDUS; CRASSOSTREA-GIGAS MOLLUSK; ALGA LOBOPHORA-VARIEGATA; HEAVY-METALS; TRACE-METALS; PERNA-VIRIDIS; SUBCELLULAR COMPARTMENTALIZATION; CADMIUM UPTAKE; ZINC</t>
  </si>
  <si>
    <t>The clam Gafrarium tumidum and the oyster Isognomon isognomon have been proposed as potential biomonitor species of metal contamination in the New Caledonia lagoon. The influence of dissolved concentrations of As, Cd, Co, Cr, Mn, and Zn on uptake and depuration kinetics, tissue and subcellular distribution of these elements was investigated in both species. Results indicate that both bivalves take up elements proportionally to the dissolved concentration for Cd, Cr and Mn in the surrounding water over the entire range of concentrations tested (three orders of magnitude), and up to the second and third highest added metal concentration tested for Co (23 ng 1(-1)) and Zn (700 ng 1(-1)), respectively. All elements ere efficiently retained in bivalve tissues (estimated T-b1/2 ranging from 16 d to infinity), suggesting that both species should be able to preserve a record of contamination events over a long period of time. Considering the specific range of concentrations examined here, G. tumidum and I. isognomon would therefore serve as adequate biomonitor species to monitor dissolved metal contamination in the New Caledonia lagoon waters. (C) 2010 Elsevier Ltd. All rights reserved.</t>
  </si>
  <si>
    <t>[Hedouin, Laetitia; Metian, Marc; Buschiazzo, Emmanuel; Warnau, Michel] IAEA MEL, MC-98000 Monaco, Monaco; [Hedouin, Laetitia] Noumea Ctr, IRD, Noumea 98848, New Caledonia; [Hedouin, Laetitia; Warnau, Michel] Univ La Rochelle, CNRS, Littoral Environm &amp; Soc LIENSs, UMR 6250, F-17042 La Rochelle, France; [Batista, Miguel Gomez] CEAC, Cienfuegos 59350, Cuba</t>
  </si>
  <si>
    <t>Institut de Recherche pour le Developpement (IRD); Centre National de la Recherche Scientifique (CNRS); La Rochelle Universite</t>
  </si>
  <si>
    <t>Buschiazzo, Emmanuel/B-5126-2011; Metian, Marc/F-8010-2018</t>
  </si>
  <si>
    <t>HEDOUIN, Laetitia/0000-0001-6565-3633; Metian, Marc/0000-0003-1485-5029</t>
  </si>
  <si>
    <t>Goro-Nickel Company, New Caledonia; National Fund for Scientific Research (NFSR, Belgium); Conseil Regional de Poitou-Charentes; IAEA</t>
  </si>
  <si>
    <t>Goro-Nickel Company, New Caledonia; National Fund for Scientific Research (NFSR, Belgium)(Fonds de la Recherche Scientifique - FNRS); Conseil Regional de Poitou-Charentes(Region Nouvelle-Aquitaine); IAEA(International Atomic Energy Agency)</t>
  </si>
  <si>
    <t>Authors thank J.L. Teyssie, O. Cotret and E. Giron (IAEA-MEL) for skilful technical assistance and D. Ponton (IRD-Noumea) for his help in SASS statistical treatments. L.H. was beneficiary of a PhD grant (CIFRE, France) supported by the Goro-Nickel Company, New Caledonia. M.W. is an Honorary Senior Research Associate of the National Fund for Scientific Research (NFSR, Belgium) and has benefited from a 2008-2009 Invited Expert position at LIENSs (CNRS-Universite de La Rochelle), supported by the Conseil Regional de Poitou-Charentes. This work was supported by the IAEA, IRD and PNEC Programme (Chantier Nouvelle-Caledonie). The IAEA is grateful for the support provided to its Marine Environment Laboratories by the Government of the Principality of Monaco.</t>
  </si>
  <si>
    <t>10.1016/j.marpolbul.2010.06.036</t>
  </si>
  <si>
    <t>http://dx.doi.org/10.1016/j.marpolbul.2010.06.036</t>
  </si>
  <si>
    <t>WOS:000282113200022</t>
  </si>
  <si>
    <t>Briant, N; Le Monier, P; Bruzac, S; Sireau, T; Araújo, DF; Grouhel, A</t>
  </si>
  <si>
    <t>Briant, Nicolas; Le Monier, Pauline; Bruzac, Sandrine; Sireau, Teddy; Araujo, Daniel F.; Grouhel, Anne</t>
  </si>
  <si>
    <t>Rare Earth Element in Bivalves' Soft Tissues of French Metropolitan Coasts: Spatial and Temporal Distribution</t>
  </si>
  <si>
    <t>Rare earth elements (REE) are becoming an environmental pollutant of emerging concern, linked to their use in various anthropic processes. Because REE bioconcentrate in marine organisms throughout their food webs, a better understanding of biogeochemical processes leading to REE concentrations found in coastal species is necessary. This study was designed to assess REEs concentrations in various common bivalves from the French coastline to identify possible geographic, taxonomic, or temporal variations of concentrations. Based on the French Mussel Watch program, three species of bivalves (oyster Crassostrea gigas and mussels Mytilus edulis and Mytilus galloprovincialis) were collected all along the French metropolitan coast and soft tissues were analyzed for REE concentrations. Results have shown higher REE concentrations in bivalve soft tissues near estuaries without taxonomic nor national geographic differences. The highest levels have been observed in the Gironde estuary with total REE concentrations ( n-ary sumation REE) in oysters up to 10.94 mu g g(-1) d.w. The REE distribution pattern in both mussel species described a particle-like (inverse V-shape) pattern, whereas C. gigas REE distribution pattern changes from a particle-like to a dissolved-like pattern with a heavy REE (HREE) enrichment. However, no environmental parameter could be linked to these pattern changes. Finally, neither Gd anomalies nor an evolution of REE concentrations over a 30-year period have been detected in bivalves' soft tissues. [GRAPHICS] .</t>
  </si>
  <si>
    <t>[Briant, Nicolas; Le Monier, Pauline; Bruzac, Sandrine; Sireau, Teddy; Araujo, Daniel F.] IFREMER, Ctr Atlantique, Lab Biogeochim Contaminants Metall, F-44311 Nantes 3, France; [Grouhel, Anne] IFREMER, Ctr Atlantique, ROCCH, Unite Biogeochim &amp; Ecotoxicol, F-44311 Nantes 3, France</t>
  </si>
  <si>
    <t>GROUHEL, Anne/0000-0003-1879-4884; BRIANT, Nicolas/0000-0002-8827-2259</t>
  </si>
  <si>
    <t>10.1007/s00244-021-00821-7</t>
  </si>
  <si>
    <t>http://dx.doi.org/10.1007/s00244-021-00821-7</t>
  </si>
  <si>
    <t>WP4PL</t>
  </si>
  <si>
    <t>WOS:000628081100001</t>
  </si>
  <si>
    <t>Cohen, JB; Barclay, JS; Major, AR; Fisher, JP</t>
  </si>
  <si>
    <t>Wintering greater scaup as biomonitors of metal contamination in federal wildlife refuges in the Long Island region</t>
  </si>
  <si>
    <t>SAN-FRANCISCO BAY; HEAVY-METALS; DIVING DUCKS; SELENIUM; MERCURY; BIRDS</t>
  </si>
  <si>
    <t>Tissues of greater scaup (Aythya marila mariloides) and components of their habitat (sediment, plankton, macroalgae, and invertebrates) were collected for heavy metal analysis in the winter of 1996-97 from US Department of the Interior wildlife refuges in the Long Island region. Geographic and temporal relationships between the concentration of nine metals in tissue and in habitat components were examined. In greater scaup tissues and habitat components, concentrations of As and Se were highest in Branford, Connecticut; Pb values were greatest in Oyster Bay, New York; and Hg concentrations were largest in Sandy Hook, New Jersey. Over the course of the winter, the concentration of Hg in Liver increased, and concentrations of Cd, Cr, Cu, Hg, Pb, Se, and Zn in kidney decreased. Based on several criteria derived from geographic and temporal trends, metals were ranked using the apparent biomonitoring efficacy of greater scaup (As = Cr &gt; Cu = Pb = Zn = Hg &gt; Se = Cd &gt; Ni). Although the seasonal migration and daily mobility of greater scaup are drawbacks to using this species as a sentinel for metal pollution, it was possible to demonstrate a relationship between geographic and temporal patterns of metals in habitat and greater scaup tissue. However, most metal concentrations in tissue were below thresholds known to adversely affect health of waterfowl.</t>
  </si>
  <si>
    <t>Univ Connecticut, Wildlife Conservat Res Ctr, Dept Nat Resources Management &amp; Engn, Storrs, CT 06269 USA; US Fish &amp; Wildlife Serv, Concord, NH 03301 USA; Pentec Environm, Edmond, WA USA</t>
  </si>
  <si>
    <t>University of Connecticut; United States Department of the Interior; US Fish &amp; Wildlife Service</t>
  </si>
  <si>
    <t>Cohen, JB (corresponding author), US Geol Survey, Patuxent Wildlife Res Ctr, 12011 Beech Froest Rd, Laurel, MD 20708 USA.</t>
  </si>
  <si>
    <t>Cohen, Jonathan/ITW-1154-2023; Fisher, James/B-1514-2015</t>
  </si>
  <si>
    <t>Cohen, Jonathan/0000-0001-7075-077X</t>
  </si>
  <si>
    <t>10.1007/s002449910011</t>
  </si>
  <si>
    <t>http://dx.doi.org/10.1007/s002449910011</t>
  </si>
  <si>
    <t>259VN</t>
  </si>
  <si>
    <t>WOS:000083914800011</t>
  </si>
  <si>
    <t>Bilgin, M; Uluturhan-Suzer, E</t>
  </si>
  <si>
    <t>Bilgin, Mustafa; Uluturhan-Suzer, Esin</t>
  </si>
  <si>
    <t>Assessment of trace metal concentrations and human health risk in clam (Tapes decussatus) and mussel (Mytilus galloprovincialis) from the Homa Lagoon (Eastern Aegean Sea)</t>
  </si>
  <si>
    <t>Metal pollution; Homa Lagoon; Bivalves; Bioindicator; Human health risk</t>
  </si>
  <si>
    <t>HEAVY-METALS; RUDITAPES-DECUSSATUS; DIGESTIVE GLAND; PERNA-PERNA; OF-VENICE; SEDIMENT; MOLLUSKS; METALLOTHIONEIN; POLLUTION; GULF</t>
  </si>
  <si>
    <t>Seasonal variations of tracemetal concentrations (Hg, Cd, Pb, Cr, Zn, and Cu) were investigated in the hepatopancreas and soft tissues (remaining parts of bivalves such as gill, mantle, foot, and muscle) of Tapes decussatus and Mytilus galloprovincialis from theHomaLagoon. The highest metal concentrations were recorded frequently in February and July in M. galloprovincialis and T. decussatus, respectively. Tracemetal levels (exceptZn) in the hepatopancreaswere higher than those in soft tissue for both bivalves. The results showed that the mean concentrations of Hg, Cd, and Zn for M. galloprovincialis were higher compared to T. decussatus in both tissues. The metal concentrations in both bivalves from the Homa Lagoon were generally below the values of provisional tolerable weekly intake (PTWI) estimates, in terms of human health risk. According to hazardquotient(HQ), Crvalues forbothspeciesandCdvalues for only M. galloprovincialis were found greater than one. Also, total hazard index (THI) values were greater than one in both bivalves, having a potential risk for consumers.</t>
  </si>
  <si>
    <t>[Bilgin, Mustafa] Dokuz Eylul Univ, Grad Sch Nat &amp; Appl Sci, Tinaztepe Campus, Izmir, Turkey; [Uluturhan-Suzer, Esin] Dokuz Eylul Univ, Inst Marine Sci &amp; Technol, Izmir, Turkey</t>
  </si>
  <si>
    <t>Dokuz Eylul University; Dokuz Eylul University</t>
  </si>
  <si>
    <t>Uluturhan-Suzer, E (corresponding author), Dokuz Eylul Univ, Inst Marine Sci &amp; Technol, Izmir, Turkey.</t>
  </si>
  <si>
    <t>esin.uluturhan@deu.edu.tr</t>
  </si>
  <si>
    <t>SUZER, Esin/Q-1793-2019; Bilgin, Mustafa/HJH-5454-2023</t>
  </si>
  <si>
    <t>Bilgin, Mustafa/0000-0003-4680-5931; SUZER, ESIN/0000-0002-7886-922X</t>
  </si>
  <si>
    <t>Department of Scientific Research Projects of Dokuz Eylul University [2014.KB.FEN.004]</t>
  </si>
  <si>
    <t>Department of Scientific Research Projects of Dokuz Eylul University</t>
  </si>
  <si>
    <t>This research was funded by the Department of Scientific Research Projects of Dokuz Eylul University (project no: 2014.KB.FEN.004). Grateful thanks to especially our colleagues for their support in the field and in the laboratory. This article has been prepared within the context of Master Thesis studies of Mustafa Bilgin.</t>
  </si>
  <si>
    <t>10.1007/s11356-016-8163-2</t>
  </si>
  <si>
    <t>http://dx.doi.org/10.1007/s11356-016-8163-2</t>
  </si>
  <si>
    <t>WOS:000397004600085</t>
  </si>
  <si>
    <t>Mohamed, F; Gaw, S; Glover, CN</t>
  </si>
  <si>
    <t>Mohamed, Fathimath; Gaw, Sally; Glover, Chris N.</t>
  </si>
  <si>
    <t>Spatial and temporal change in trace element profiles in seawater, sediment and mussels associated with an earthquake rubble sea-fill</t>
  </si>
  <si>
    <t>Biomonitoring; Earthquake; Mussel; Sea-fill; Sediment; Trace element</t>
  </si>
  <si>
    <t>Elemental profiles in seawater, sediment and green-lipped mussels (Perna canaliculus) were determined, following the deposition of earthquake demolition rubble into a newly developed sea-fill located adjacent to a busy commercial port with a history of diverse contaminant inputs. Zinc and lead displayed environmental concentrations that varied over time during sea-fill construction, and which declined with distance from the sea fill, indicating that the sea-fill activity was the source of these two contaminants. A transplantation study using reference site mussels caged near the sea-fill, supported this finding. However, none of the trace metal burdens in resident or transplanted mussels were of regulatory concern. An integrated approach comprising the monitoring of multiple environmental matrices, examination of contaminant burdens as a function of time and distance from a putative point source, and the use of active biomonitoring techniques, is necessary to robustly identify novel contamination inputs in historically-polluted marine settings.</t>
  </si>
  <si>
    <t>[Mohamed, Fathimath; Gaw, Sally] Univ Canterbury, Sch Phys &amp; Chem Sci, Christchurch, New Zealand; [Glover, Chris N.] Athabasca Univ, Fac Sci &amp; Technol, 1 Univ Dr, Athabasca, AB T9S 3A3, Canada; [Glover, Chris N.] Athabasca Univ, Athabasca River Basin Res Inst, Athabasca, AB, Canada; [Glover, Chris N.] Univ Alberta, Dept Biol Sci, Edmonton, AB, Canada</t>
  </si>
  <si>
    <t>University of Canterbury; Athabasca University; Athabasca University; University of Alberta</t>
  </si>
  <si>
    <t>Glover, CN (corresponding author), Athabasca Univ, Fac Sci &amp; Technol, 1 Univ Dr, Athabasca, AB T9S 3A3, Canada.</t>
  </si>
  <si>
    <t>cglover@athabascau.ca</t>
  </si>
  <si>
    <t>Brian Mason Scientific and Technical Trust Fund; School of Physical and Chemical Sciences Evans Fund; Campus Alberta Innovates Program Research Chair</t>
  </si>
  <si>
    <t>Funding support was provided by the Brian Mason Scientific and Technical Trust Fund, and the School of Physical and Chemical Sciences Evans Fund. The excellent technical support of Renny Bishop, Jan McKenzie, Rob Stainthorpe and Alistair Duff is gratefully acknowledged. CNG is supported by a Campus Alberta Innovates Program Research Chair.</t>
  </si>
  <si>
    <t>10.1016/j.marpolbul.2021.112034</t>
  </si>
  <si>
    <t>http://dx.doi.org/10.1016/j.marpolbul.2021.112034</t>
  </si>
  <si>
    <t>WOS:000632264200001</t>
  </si>
  <si>
    <t>Duquesne, S; Liess, M; Bird, DJ</t>
  </si>
  <si>
    <t>Sub-lethal effects of metal exposure:: physiological and behavioural responses of the estuarine bivalve Macoma balthica</t>
  </si>
  <si>
    <t>bivalve; stress; sediment; contamination; estuary</t>
  </si>
  <si>
    <t>GROWTH; GLYCOGEN; CADMIUM</t>
  </si>
  <si>
    <t>Variation in glycogen concentration, condition index (CI ) and filtration activity were measured in the bivalve Macoma balthica buried in sediment and experimentally exposed to cadmium (Cd). The stress due to elevated but sub-lethal concentrations (300 ppb Cd) affected the overall fitness of the organism as all parameters monitored responded significantly. Lower concentrations tested (10, 30 and 100 ppb) only induced a significant decrease in filtration activity, which may play a protective role, enabling the organism to slow down its metabolic activity and preserving the integrity of its reserves (reflected by stable CI and glycogen levels). Hence, the various endpoints selected show different thresholds. Our results also demonstrate that under high exposure, small individuals loose proportionally more glycogen per unit of weight than larger ones, thus confirming the higher sensitivity of small individuals to metal contamination. Furthermore, exposure to intermediate concentration (30 ppb) seems to be beneficial to the small individuals as indicated by their high CI values compared to the control. These results showed thus that non-sigmoidal concentration-response relationship and sizes of individuals should be considered in monitoring programmes and risk assessment. (C) 2004 Elsevier Ltd. All rights reserved.</t>
  </si>
  <si>
    <t>Univ W England, Fac Sci Appl, Severn Estuary Res Grp, Bristol BS16 1QY, Avon, England; UFZ Helmholtz Ctr Environm Res, Environm Res Ctr, Dept Chem Ecotoxicol, Leipzig, Germany</t>
  </si>
  <si>
    <t>University of West England; Helmholtz Association; Helmholtz Center for Environmental Research (UFZ)</t>
  </si>
  <si>
    <t>Univ W England, Fac Sci Appl, Severn Estuary Res Grp, Bristol BS16 1QY, Avon, England.</t>
  </si>
  <si>
    <t>Sabine.Duquesne@ufz.de</t>
  </si>
  <si>
    <t>Duquesne, Sabine/H-5575-2011; Liess, Matthias/A-8582-2009</t>
  </si>
  <si>
    <t>Liess, Matthias/0000-0002-3321-8909; Duquesne, Sabine/0000-0001-9874-8540</t>
  </si>
  <si>
    <t>10.1016/j.marenvres.2004.03.066</t>
  </si>
  <si>
    <t>http://dx.doi.org/10.1016/j.marenvres.2004.03.066</t>
  </si>
  <si>
    <t>WOS:000222199100023</t>
  </si>
  <si>
    <t>Saavedra, Y; González, A; Blanco, J</t>
  </si>
  <si>
    <t>Saavedra, Yolanda; Gonzalez, Aurora; Blanco, Juan</t>
  </si>
  <si>
    <t>Inter-individual distribution of metal concentrations in four marine bioindicator organisms and its use for optimal sampling design of a monitoring system</t>
  </si>
  <si>
    <t>35th International Symposium of Environmental Analytical Chemistry</t>
  </si>
  <si>
    <t>JUN 22-26, 2008</t>
  </si>
  <si>
    <t>Gdansk, POLAND</t>
  </si>
  <si>
    <t>metals; molluscs; inter-individual variability; frequency distributions and sample size</t>
  </si>
  <si>
    <t>MYTILUS-EDULIS L; ELEMENT CONCENTRATIONS; VARIABILITY; MUSSEL; POLLUTION</t>
  </si>
  <si>
    <t>The monitoring of heavy metals in the marine environment is often carried out by using bioindicator organisms. In most cases metal concentrations in an area are evaluated using pooled samples from a single sampling site. Thus, a large number of individuals are analysed per site, but neither the statistical distribution of the data nor the intra-site variability are known. In order to optimise the monitoring of heavy metals using this kind of samples, some authors have suggested that the variability among individuals should be studied at least in one site. This work was designed to know the frequency distribution and the inter-individual variability of Hg, Cd, Pb, Cr, Ni, As, Ag, Cu and Zn in four bioindicator organisms (the blue mussel Mytilus galloprovincialis, the clam Venerupis pullastra, the king scallop Pecten maximus and the cockle Cerastoderma edule). In most cases metals in one-individual samples were shown to follow a log-normal distribution. As the pooled samples included more individuals they approached the normal distribution but still being closer to the log-normal one, suggesting that, in all cases, a logarithmic transformation should be used to normalise the data. The inter-individual variability observed indicated that at least two pooled samples of 30 individuals (a hundred in few cases) must be analysed to detect differences of 25% (both between sites and with time).</t>
  </si>
  <si>
    <t>[Saavedra, Yolanda] Inst Tecnol Control Med Marino Galicia, Dept Contaminac Quim, Vilagarcia De Arousa, Spain; [Gonzalez, Aurora] Fac Quim Santiago de Compostela, Dept Quim Analit Nutr &amp; Bromatol, Santiago De Compostela, Spain; [Blanco, Juan] Ctr Invest Marinas, Dept Oceanog, Vilanova De Arousa, Spain</t>
  </si>
  <si>
    <t>Saavedra, Y (corresponding author), Inst Tecnol Control Med Marino Galicia, Dept Contaminac Quim, Vilagarcia De Arousa, Spain.</t>
  </si>
  <si>
    <t>ysaavedra@intecmar.org</t>
  </si>
  <si>
    <t>Blanco, Juan/A-8000-2008</t>
  </si>
  <si>
    <t>Blanco, Juan/0000-0003-2123-7747</t>
  </si>
  <si>
    <t>PII 913488833</t>
  </si>
  <si>
    <t>10.1080/03067310802553146</t>
  </si>
  <si>
    <t>http://dx.doi.org/10.1080/03067310802553146</t>
  </si>
  <si>
    <t>476JW</t>
  </si>
  <si>
    <t>WOS:000268437400002</t>
  </si>
  <si>
    <t>Patil, MP; Lee, DI; Hwang, UG; Joo, YS; Kim, K</t>
  </si>
  <si>
    <t>Patil, Maheshkumar Prakash; Lee, Dae In; Hwang, Un-Gi; Joo, Yong Soo; Kim, Kyunghoi</t>
  </si>
  <si>
    <t>Application of oyster shells in the remediation of marine sediment</t>
  </si>
  <si>
    <t>JOURNAL OF SOILS AND SEDIMENTS</t>
  </si>
  <si>
    <t>Oyster shells; Sediment remediation; Adsorption; Hydrogen sulfide; Metal ions; Sediment permeability</t>
  </si>
  <si>
    <t>WASTE; ADSORPTION; HABITATS; REMOVAL; WATER</t>
  </si>
  <si>
    <t>PurposeThe aim of this article is to review the usage of waste oyster shells for marine sediment remediation. Sediments act as sources and sinks of pollution, serving long-term risks to humans and ecosystems because they accumulate both inorganic and organic pollution. Likewise, oyster shells are generated as waste and pose socioeconomic and environmental issues due to insufficient technology to manage them. So it is important to understand how these oyster shells control sediment pollutants.Materials and methodsNumerous oysters are cultivated worldwide annually, and oyster shells are generated as waste from food industries. Because oyster shells are abundant and inexpensive, many researchers are focusing on their applications in sediment remediation. Oyster shells are processed by heat treatment for activation and applied as active materials in sediment remediation by sediment capping and mixing. Sediment treatment can be performed by on-site active material capping or by dredging and off-site sediment treatments.Results and discussionOyster shells have been reported as excellent materials for sediment remediation because they improve the pH and oxidation-reduction potential and reduce the concentrations of nitrogen, phosphate, hydrogen sulfide, and heavy metals in the sediment and water. Furthermore, the use of oyster shells has been shown to enhance the ecological conditions of benthic habitats and promote the proliferation of microbial diversity. Sediment treatment by onsite sediment capping with oyster shells is far better than offsite treatment because there is no need for dredging and mobilization of sediment, and it also reduces the resuspension of pollutants in the water column.ConclusionOyster shells are a natural solution for controlling marine pollutants. Based on a number of investigations, it has been shown that oyster shells have the ability to reduce pollution both physically via adsorption and chemically through precipitation and chemical transformations. This study provides extensive information on sediment nutrients, toxic substances, and heavy metal management.</t>
  </si>
  <si>
    <t>[Patil, Maheshkumar Prakash] Pukyong Natl Univ, Ind Univ Cooperat Fdn, 45 Yongso Ro, Busan 48513, South Korea; [Lee, Dae In; Hwang, Un-Gi] Natl Inst Fisheries Sci, Marine Environm Management Div, Busan 46083, South Korea; [Joo, Yong Soo] Gyeongnam Inst, Dept Urban &amp; Environm Res, Chang Won 51430, South Korea; [Kim, Kyunghoi] Pukyong Natl Univ, Dept Ocean Engn, 45 Yongso Ro, Busan 48513, South Korea</t>
  </si>
  <si>
    <t>Pukyong National University; National Institute of Fisheries Science; Pukyong National University</t>
  </si>
  <si>
    <t>Kim, K (corresponding author), Pukyong Natl Univ, Dept Ocean Engn, 45 Yongso Ro, Busan 48513, South Korea.</t>
  </si>
  <si>
    <t>hoikim@pknu.ac.kr</t>
  </si>
  <si>
    <t>Patil, Maheshkumar/N-7384-2017</t>
  </si>
  <si>
    <t>Patil, Maheshkumar/0000-0001-5303-5985</t>
  </si>
  <si>
    <t>National Institute of Fisheries Science, Korea [R2023027]; Korea Institute of Marine Science and Technology Promotion - Ministry of Oceans and Fisheries, Korea [G22202202522201]</t>
  </si>
  <si>
    <t>National Institute of Fisheries Science, Korea; Korea Institute of Marine Science and Technology Promotion - Ministry of Oceans and Fisheries, Korea</t>
  </si>
  <si>
    <t>This research was funded by grants from the National Institute of Fisheries Science, Korea (R2023027), and the Korea Institute of Marine Science and Technology Promotion funded by the Ministry of Oceans and Fisheries, Korea (G22202202522201).</t>
  </si>
  <si>
    <t>1439-0108</t>
  </si>
  <si>
    <t>1614-7480</t>
  </si>
  <si>
    <t>J SOIL SEDIMENT</t>
  </si>
  <si>
    <t>J. Soils Sediments</t>
  </si>
  <si>
    <t>10.1007/s11368-023-03674-w</t>
  </si>
  <si>
    <t>http://dx.doi.org/10.1007/s11368-023-03674-w</t>
  </si>
  <si>
    <t>IY1H0</t>
  </si>
  <si>
    <t>WOS:001086810700001</t>
  </si>
  <si>
    <t>Moschino, V; Delaney, E; Meneghetti, F; Da Ros, L</t>
  </si>
  <si>
    <t>Moschino, Vanessa; Delaney, Eugenia; Meneghetti, Francesca; Da Ros, Luisa</t>
  </si>
  <si>
    <t>Biomonitoring approach with mussel Mytilus galloprovincialis (Lmk) and clam Ruditapes philippinarum (Adams and Reeve, 1850) in the Lagoon of Venice</t>
  </si>
  <si>
    <t>Biomarkers; Biomonitoring; Lagoon of Venice; Mytilus galloprovincialis; Ruditapes philippinarum</t>
  </si>
  <si>
    <t>NEUTRAL RED RETENTION; DIGESTIVE CELLS; TAPES-PHILIPPINARUM; ENVIRONMENTAL-POLLUTION; CELLULAR BIOMARKERS; LYSOSOMAL RESPONSES; MEMBRANE STABILITY; CHANGING STATE; TRACE-METALS; STRESS</t>
  </si>
  <si>
    <t>Transplanted Mytilus galloprovincialis and native Ruditapes philippinarum were deployed in 10 sampling stations with different pollution impact within the Lagoon of Venice to evaluate the temporal variations and the suitability of the following cytochemical and histochemical biomarkers just as indicators of environmental stress: lysosomal membrane stability, lipofuscins, neutral lipids and lysosome to cytoplasm volume ratio. The physiological status of the organisms was also investigated by determining the survival in air capability and the reburrowing rate (clams). The biological parameters were assessed in June and October. Furthermore, for a better definition of the environmental aspects of the study sites, heavy metal, PAH and PCB concentrations were also evaluated in the sediments. As a whole, the biological responses examined in both species from all the sampling sites showed significant differences between the two seasonal campaigns, only lysosomal membrane stability exhibited less variability. Pollutants in sediments generally showed low-intermediate contamination levels, few hotspots persisting mostly in the inner areas of the lagoon, the most influenced by the industrial zone. Transplanted mussels were more responsive than native clams and the biological responses of both species varied temporally. The range of the spatial variability was always narrow and reflected only partially the broader variability shown by the chemical content in the sediments. In this sense, biological responses seemed to be particularly influenced by the high temporal and spatial heterogeneity that characterise the Lagoon of Venice, as well as most of the transitional environments.</t>
  </si>
  <si>
    <t>[Moschino, Vanessa; Meneghetti, Francesca; Da Ros, Luisa] Inst Marine Sci ISMAR CNR, I-30122 Venice, Italy; [Delaney, Eugenia] Thetis SpA, Div Environm Studies &amp; Analyses, I-30122 Venice, Italy</t>
  </si>
  <si>
    <t>Consiglio Nazionale delle Ricerche (CNR); Istituto di Scienze Marine (ISMAR-CNR)</t>
  </si>
  <si>
    <t>Moschino, V (corresponding author), Inst Marine Sci ISMAR CNR, Castello 1364-A, I-30122 Venice, Italy.</t>
  </si>
  <si>
    <t>vanessa.moschino@ismar.cnr.it</t>
  </si>
  <si>
    <t>CNR, Ismar/P-1247-2014</t>
  </si>
  <si>
    <t>CNR, Ismar/0000-0001-5351-1486</t>
  </si>
  <si>
    <t>Venice Water Authority, Italian Ministry for Infrastructure, through its concessionary Consorzio Venezia Nuova</t>
  </si>
  <si>
    <t>This study has been carried out within the framework of the 3-year biomonitoring programme ICSEL (2003-2006), funded by the Venice Water Authority, Italian Ministry for Infrastructure, through its concessionary Consorzio Venezia Nuova. We also wish to thank an anonymous referee for the valuable review comments.</t>
  </si>
  <si>
    <t>10.1007/s10661-010-1663-5</t>
  </si>
  <si>
    <t>http://dx.doi.org/10.1007/s10661-010-1663-5</t>
  </si>
  <si>
    <t>765TU</t>
  </si>
  <si>
    <t>WOS:000290732300050</t>
  </si>
  <si>
    <t>Catry, T; Figueira, P; Carvalho, L; Monteiro, R; Coelho, P; Lourenço, PM; Catry, P; Tchantchalam, Q; Catry, I; Botelho, MJ; Pereira, E; Granadeiro, JP; Vale, C</t>
  </si>
  <si>
    <t>Catry, Teresa; Figueira, Paula; Carvalho, Lina; Monteiro, Rui; Coelho, Pedro; Lourenco, Pedro Miguel; Catry, Paulo; Tchantchalam, Quintino; Catry, Ines; Botelho, Maria J.; Pereira, Eduarda; Granadeiro, Jose Pedro; Vale, Carlos</t>
  </si>
  <si>
    <t>Evidence for contrasting accumulation pattern of cadmium in relation to other elements in Senilia senilis and Tagelus adansoni from the Bijags archipelago, Guinea-Bissau</t>
  </si>
  <si>
    <t>Trace elements; Bivalves; Sediments; West Africa</t>
  </si>
  <si>
    <t>ENVIRONMENTAL-CONDITIONS; METAL CONCENTRATIONS; ESTUARINE SEDIMENTS; TRACE-ELEMENTS; TAGUS ESTUARY; BANC-DARGUIN; MARINE; SENEGAL; ECOSYSTEMS; MAURITANIA</t>
  </si>
  <si>
    <t>Shellfish harvesting in intertidal areas is a widespread and economically important activity in many countries across West Africa. However, in some areas, there is virtually no information concerning the levels of contaminants (and other elements related to nutritional aspects) in the harvested species. We collected sediments and several individuals of the West African bloody cockle Senilia senilis and of the razor clam Tagelus adansoni during the dry season of 2015 nearby three islands in the Bijags archipelago, Guinea-Bissau. Aluminium, Ca, Fe, Mg, As, Cd, Co, Cr, Cu, Mn, Ni, Pb and Zn were determined in sediments and whole soft tissues of the two bivalves. Sediments showed uniformly low trace element concentrations, pointing to an ecosystem with low levels of trace element contamination. T. adansoni presented higher concentrations of most elements than S. senilis, with the exception of Cd that showed up to 40 times higher values in S. senilis than in T. adansoni from the same sites. Furthermore, Cd concentrations (25 +/- 8.7 mg kg(-1), dw) in S. senilis are clearly above the maximum level established for human consumption. Future studies should clarify whether biological factors are the major responsible for this unusual situation.</t>
  </si>
  <si>
    <t>[Catry, Teresa; Granadeiro, Jose Pedro] Univ Lisbon, CESAM, Fac Ciencias, P-1749016 Lisbon, Portugal; [Catry, Teresa; Granadeiro, Jose Pedro] Univ Lisbon, Dept Biol Anim, Fac Ciencias, P-1749016 Lisbon, Portugal; [Figueira, Paula; Carvalho, Lina; Pereira, Eduarda] Univ Aveiro, Cent Lab Anal LCA, Campus Santiago, P-3810193 Aveiro, Portugal; [Figueira, Paula] Univ Aveiro, CICECO Aveiro Inst Mat, Campus Santiago, P-3810193 Aveiro, Portugal; [Figueira, Paula; Monteiro, Rui; Coelho, Pedro; Pereira, Eduarda] Univ Aveiro, Dept Chem, Campus Santiago, P-3810193 Aveiro, Portugal; [Monteiro, Rui; Coelho, Pedro; Pereira, Eduarda] Univ Aveiro, CESAM, Campus Santiago, P-3810193 Aveiro, Portugal; [Monteiro, Rui; Coelho, Pedro; Botelho, Maria J.; Vale, Carlos] Univ Porto, Interdisciplinary Ctr Marine &amp; Environm Res CIIMA, Rua Bragas 289, P-4050123 Oporto, Portugal; [Catry, Paulo] ISPA Inst Univ, MARE Marine &amp; Environm Sci Ctr, Rua Jardim Tabaco 34, P-1149041 Lisbon, Portugal; [Tchantchalam, Quintino] Inst Biodiversidade &amp; Areas Protegidas IBAP, Bissau, Guinea Bissau; [Catry, Ines] Univ Lisbon, Inst Super Agron, Ctr Ecol Aplicada Prof Baeta Neves, InBio Rede Invest Biodiversidade &amp; Biol Evolut, P-1349017 Lisbon, Portugal; [Catry, Ines] Univ East Anglia, Sch Environm Sci, Norwich NR4 7TJ, Norfolk, England</t>
  </si>
  <si>
    <t>Universidade de Lisboa; Universidade de Lisboa; Universidade de Aveiro; Universidade de Aveiro; Universidade de Aveiro; Universidade de Aveiro; Universidade do Porto; Instituto Superior Psicologia Aplicada (ISPA); Universidade de Lisboa; University of East Anglia</t>
  </si>
  <si>
    <t>Figueira, P (corresponding author), Univ Aveiro, Cent Lab Anal LCA, Campus Santiago, P-3810193 Aveiro, Portugal.;Figueira, P (corresponding author), Univ Aveiro, CICECO Aveiro Inst Mat, Campus Santiago, P-3810193 Aveiro, Portugal.;Figueira, P (corresponding author), Univ Aveiro, Dept Chem, Campus Santiago, P-3810193 Aveiro, Portugal.</t>
  </si>
  <si>
    <t>paulafigueira@ua.pt</t>
  </si>
  <si>
    <t>Catry, Ines/A-8073-2012; Lourenco, Pedro/KIA-8276-2024; Coelho, João/C-1699-2008; Carvalho, Lucila/ITT-4488-2023; Pereira, Eduarda/A-5907-2012; Monteiro, Rui/Q-6628-2018; Botelho, Maria/K-8689-2019; Lourenco, Pedro Miguel/M-8095-2013; CIIMAR, BYT/N-6498-2017; Figueira, Paula/B-8555-2019; Granadeiro, Jose Pedro/E-8060-2011; Catry, Paulo/I-5408-2013; Catry, Teresa/A-8082-2012</t>
  </si>
  <si>
    <t>Lourenco, Pedro Miguel/0000-0003-2158-3199; CIIMAR, BYT/0000-0002-3703-4402; Figueira, Paula/0000-0001-5728-9675; Coelho, Joao Pedro/0000-0003-1975-8308; vale, carlos/0000-0003-0162-1960; Granadeiro, Jose Pedro/0000-0002-7207-3474; Pereira, Eduarda/0000-0002-6046-5243; Henriques, Maria Joao Botelho/0000-0001-9330-9979; Catry, Paulo/0000-0003-3000-0522; Monteiro, Rui/0000-0003-4910-7282; Catry, Ines/0000-0002-5593-5001; Catry, Teresa/0000-0003-4047-9995</t>
  </si>
  <si>
    <t>FCT-Foundation for Science and Technology [UID/AMB/50017, UID/CTM/50011/2013, UID/Multi/04423/2013, UID/MAR/04292/2013]; European Regional Development Fund (ERDF); MAVA Foundation [11-070]; FCT [SFRH/BD/108535/2015, BPD/102870/2014, SFRH/BPD/84237/2012, SFRH/BPD/102637/2014]; Fundação para a Ciência e a Tecnologia [SFRH/BD/108535/2015, UID/CTM/50011/2013, UID/AMB/50017/2013, UID/Multi/04423/2013] Funding Source: FCT</t>
  </si>
  <si>
    <t>FCT-Foundation for Science and Technology(Fundacao para a Ciencia e a Tecnologia (FCT)); European Regional Development Fund (ERDF)(European Union (EU)); MAVA Foundation; FCT(Fundacao para a Ciencia e a Tecnologia (FCT)); Fundação para a Ciência e a Tecnologia(Fundacao para a Ciencia e a Tecnologia (FCT))</t>
  </si>
  <si>
    <t>This research was partially supported by the Strategic Funding UID/AMB/50017 (CESAM), UID/CTM/50011/2013 (CICECO), UID/Multi/04423/2013 (CIIMAR) and UID/MAR/04292/2013 (MARE) through national funds provided by FCT-Foundation for Science and Technology and European Regional Development Fund (ERDF), in the framework of the program PT2020. Further funds were provided by the MAVA Foundation through a project granted to IBAP (Guinea-Bissau) - 11-070 Evaluation et conservation de la biodiversite dans le Parc National Marin de Joao Vieira e Poilao. We thank IBAP sailors for important help during fieldwork. Thanks are also due to Alfredo da Silva, Aissa Regalla, Castro Barbosa and Justino Biai for granting permissions for work in the protected areas and for all facilities and logistical support. Rui Monteiro (SFRH/BD/108535/2015), Pedro Coelho (BPD/102870/2014), Pedro M. Lourenco (SFRH/BPD/84237/2012) and Ines Catry (SFRH/BPD/102637/2014) were supported by national funds through doctoral and post-doctoral grants from FCT.</t>
  </si>
  <si>
    <t>10.1007/s11356-017-9902-8</t>
  </si>
  <si>
    <t>http://dx.doi.org/10.1007/s11356-017-9902-8</t>
  </si>
  <si>
    <t>FM4CL</t>
  </si>
  <si>
    <t>WOS:000414958700011</t>
  </si>
  <si>
    <t>Guo, LR; Liu, YZ; Dou, JB; Huang, Q; Lei, Y; Chen, JY; Wen, YQ; Li, YX; Zhang, XY; Wei, Y</t>
  </si>
  <si>
    <t>Guo, Linru; Liu, Yanzhu; Dou, Jibo; Huang, Qiang; Lei, Yuan; Chen, Junyu; Wen, Yuanqing; Li, Yongxiu; Zhang, Xiaoyong; Wei, Yen</t>
  </si>
  <si>
    <t>Surface modification of carbon nanotubes with polyethyleneimine through mussel inspired chemistry and Mannich reaction for adsorptive removal of copper ions from aqueous solution</t>
  </si>
  <si>
    <t>Environmental adsorption; Carbon nanotubes; Mussel inspired chemistry; CNT based polymer composites; Mannich reaction</t>
  </si>
  <si>
    <t>FLUORESCENT POLYMERIC NANOPARTICLES; METHYLENE-BLUE; MULTICOMPONENT REACTIONS; RAPID SYNTHESIS; GRAPHENE OXIDE; CU(II) IONS; MECHANISM; PB(II); ACID; EQUILIBRIUM</t>
  </si>
  <si>
    <t>A number of nanomaterials, such as silicon dioxide, graphene oxide, nano-diamond, etc. have been discovered and reported for various applications in recent years. The removal of environmental pollutants using nanomaterials should be one of the most important topics owing to their small size, high specific surface areas and catalytical properties. However, the removal capability of some nanomaterials is still need to improve for the lack of active adsorption sites. The surface modification of nanomaterials to endow new functional groups should be promising route to improve their adsorption performance. In this work, a novel strategy that combination of mussel inspired chemistry and Mannich reaction was reported for the first time for preparation of CNT@PDA@PEI composites. The adsorption behaviors of the modified carbon nanotubes (CNT) and pristine CNT toward Cu2+ have been determined and compared to verify the effects of surface modification. The CNT related samples were characterized by a series of instruments. The results further indicated that the method is an excellent route of surface modification of CNT. The adsorption experimental results suggested that the functionalized CNT via the combination of Mannich reaction and mussel inspired chemistry was an excellent adsorbent for removal of Cu2+. To the best of our knowledge, this is the first report for surface modification of CNT through the combination of mussel inspired chemistry and Mannich reaction. This method could also be expanded for the surface modification of other materials for various applications owing to the universality of mussel inspired chemistry and well designability of multicomponent reactions.</t>
  </si>
  <si>
    <t>[Guo, Linru; Liu, Yanzhu; Dou, Jibo; Huang, Qiang; Lei, Yuan; Chen, Junyu; Wen, Yuanqing; Li, Yongxiu; Zhang, Xiaoyong] Nanchang Univ, Dept Chem, 999 Xuefu Ave, Nanchang 330031, Jiangxi, Peoples R China; [Wei, Yen] Tsinghua Univ, Dept Chem, Beijing 100084, Peoples R China; [Wei, Yen] Tsinghua Univ, Tsinghua Ctr Frontier Polymer Res, Beijing 100084, Peoples R China; [Wei, Yen] Chung Yuan Christian Univ, Dept Chem, Chungli 32023, Taiwan; [Wei, Yen] Chung Yuan Christian Univ, Ctr Nanotechnol, Chungli 32023, Taiwan; [Wei, Yen] Chung Yuan Christian Univ, Inst Biomed Technol, Chungli 32023, Taiwan</t>
  </si>
  <si>
    <t>Li, YX; Zhang, XY (corresponding author), Nanchang Univ, Dept Chem, 999 Xuefu Ave, Nanchang 330031, Jiangxi, Peoples R China.;Wei, Y (corresponding author), Tsinghua Univ, Dept Chem, Beijing 100084, Peoples R China.;Wei, Y (corresponding author), Tsinghua Univ, Tsinghua Ctr Frontier Polymer Res, Beijing 100084, Peoples R China.</t>
  </si>
  <si>
    <t>zhang, xiaoyong/ABD-5797-2021; Dou, Jibo/AAT-1196-2021; Wei, Yen/H-5329-2012; lei, yuan/GXW-0547-2022</t>
  </si>
  <si>
    <t>Dou, Jibo/0000-0002-9190-400X</t>
  </si>
  <si>
    <t>National Natural Science Foundation of China [21788102, 21865012, 21564006, 21561022, 21644014]</t>
  </si>
  <si>
    <t>This research was supported by the National Natural Science Foundation of China (Nos. 21788102, 21865012, 21564006, 21561022, 21644014).</t>
  </si>
  <si>
    <t>10.1016/j.jece.2020.103721</t>
  </si>
  <si>
    <t>http://dx.doi.org/10.1016/j.jece.2020.103721</t>
  </si>
  <si>
    <t>MF4UQ</t>
  </si>
  <si>
    <t>WOS:000545339700008</t>
  </si>
  <si>
    <t>Munuera, P; Salvat-Leal, I; Belmonte, A; Romero, D</t>
  </si>
  <si>
    <t>Munuera, Paula; Salvat-Leal, Inmaculada; Belmonte, Antonio; Romero, Diego</t>
  </si>
  <si>
    <t>Can Microplastics Influence the Accumulation of Pb in Tissues of Blue Crab?</t>
  </si>
  <si>
    <t>blue crab; gills; hepatopancreas; lead; meat; microplastics</t>
  </si>
  <si>
    <t>CALLINECTES-SAPIDUS RATHBUN; PLASTIC RESIN PELLETS; METAL CONCENTRATIONS; OXIDATIVE STRESS; MUSCLE-TISSUES; MUGIL-CEPHALUS; HEAVY-METALS; TRACE-METALS; MERSIN BAY; CADMIUM</t>
  </si>
  <si>
    <t>The study of microplastics (MPs) and associated pollutants is essential for a better understanding of some of the factors that threaten marine ecosystems. The main objective of this study was thus to assess Pb distribution and accumulation in the tissues of blue crabs (Callinectes sapidus) exposed to MPs. Blue crabs were collected from the mouth of the river Segura (Guardamar, Spain) and fed on mussels from two Mediterranean areas with different levels of Pb contamination: Portman Bay and San Pedro del Pinatar (Murcia, Spain). In addition, a batch of each group were exposed to MPs. After seven days of exposure, the crabs were euthanised, and tissues and faeces were analysed. The hepatopancreas was found to be the best tissue for measuring Pb concentrations after feeding; muscle tissue did not provide information on environmental quality. The meat (muscle) consumption of blue crabs from zones with high Pb content does not seem to constitute a risk for consumers, although the risk is not totally negated if all soft tissues are ingested. The presence of MPs in the water does not seem to increase the accumulation of Pb in these tissues of C. sapidus.</t>
  </si>
  <si>
    <t>[Munuera, Paula; Salvat-Leal, Inmaculada; Romero, Diego] Univ Murcia, Area Toxicol, Campus Espinardo, Murcia 30100, Spain; [Belmonte, Antonio] Taxon Estudios Ambientales, C Uruguay Pol 1,S-N Par 8-27 Nave 31, Murcia 30820, Spain</t>
  </si>
  <si>
    <t>Romero, D (corresponding author), Univ Murcia, Area Toxicol, Campus Espinardo, Murcia 30100, Spain.</t>
  </si>
  <si>
    <t>paulamunueraformigo@gmail.com; inmaculada.salvat@um.es; antonio.belmonte@taxon.es; diegorom@um.es</t>
  </si>
  <si>
    <t>Belmonte, Antonio/AFR-8139-2022; Romero, Diego/F-7187-2016</t>
  </si>
  <si>
    <t>Inmaculada Salvat-Leal received grants from the Fundacion Seneca (Murcia). The authors are grateful to Desi, Carlos, David, Ezequiel and Alberto for underwater activities (the mussel anchorage) and technical assistance, and to Francisco San Nicolas for assistance in the analysis of the samples.</t>
  </si>
  <si>
    <t>10.3390/ijerph18073599</t>
  </si>
  <si>
    <t>http://dx.doi.org/10.3390/ijerph18073599</t>
  </si>
  <si>
    <t>RK8JQ</t>
  </si>
  <si>
    <t>WOS:000638535800001</t>
  </si>
  <si>
    <t>Kovalev, NN; Kavun, VY; Kostetsky, EY; Mikheev, YV; Podgurskaya, OV</t>
  </si>
  <si>
    <t>Kovalev, N. N.; Kavun, V. Ya.; Kostetsky, E. Ya.; Mikheev, Ye. V.; Podgurskaya, O. V.</t>
  </si>
  <si>
    <t>Hemolymph cholinesterase activity in the Mussel Crenomytilus grayanus (Dunker, 1853) that was exposed to adverse natural and anthropogenic conditions</t>
  </si>
  <si>
    <t>acetylcholinesterase; hemolymph; bivalves; heavy metals; upwelling; adaptation; acetylthiocholine; Crenomytilus grayanus</t>
  </si>
  <si>
    <t>BIVALVES; BIOMARKERS; METALS</t>
  </si>
  <si>
    <t>The influence of habitat conditions on the activity, the structure of the substrate specificity (the ratio of the substrate hydrolysis rates), and the kinetic parameters of substrate hydrolysis due to the effect of hemolymph cholinesterase of the mussel Crenomytilus grayanus was studied. Mussels were collected from areas that are influenced by seasonal and stationary upwelling, as well as from a polluted area. Upwelling and anthropogenic pressure were shown to alter the structure of hemolymph cholinesterase substrate specificity in mussels, up to complete loss of the ability to catalyze the hydrolysis of propionyland butyrylthiocholine. It was established that during the seasonal upwelling the efficiency of the cholinergic process in mussels is provided by a wide range of effective concentrations of the substrates and by decreasing their affinity to the enzyme. Under the conditions of chronic anthropogenic pollution, the cholinesterase of the mussel hemolymph loses its ability to hydrolyze substrates other than acetylthiocholine.</t>
  </si>
  <si>
    <t>[Kovalev, N. N.; Kostetsky, E. Ya.; Podgurskaya, O. V.] Far Eastern Fed Univ, Ul Sukhanova 8, Vladivostok 690950, Russia; [Kavun, V. Ya.; Podgurskaya, O. V.] Russian Acad Sci, Far East Branch, Zhirmunsky Inst Marine Biol, Ul Palchevskogo 17, Vladivostok 690041, Russia; [Kovalev, N. N.; Mikheev, Ye. V.] Far Eastern State Tech Fisheries Univ, Ul Lugovaya 52b, Vladivostok 690087, Russia</t>
  </si>
  <si>
    <t>Kavun, VY (corresponding author), Russian Acad Sci, Far East Branch, Zhirmunsky Inst Marine Biol, Ul Palchevskogo 17, Vladivostok 690041, Russia.</t>
  </si>
  <si>
    <t>Kovalev, Nikolay/AAF-9561-2019; Podgurskaya, Olga/AAU-9455-2021; Kavun, Victor/AAC-1238-2020</t>
  </si>
  <si>
    <t>Podgurskaya, Olga/0000-0002-9100-7069; Miheev, Evgenii/0000-0003-3433-5653; Kavun, Victor/0000-0003-4739-4951</t>
  </si>
  <si>
    <t>Russian Science Foundation [14-50-00034]</t>
  </si>
  <si>
    <t>This work was supported by the Russian Science Foundation, project no. 14-50-00034 Technologies of Monitoring and Rational Use of Marine Biological Resources.</t>
  </si>
  <si>
    <t>10.1134/S1063074016010120</t>
  </si>
  <si>
    <t>http://dx.doi.org/10.1134/S1063074016010120</t>
  </si>
  <si>
    <t>DJ1KK</t>
  </si>
  <si>
    <t>WOS:000373961500009</t>
  </si>
  <si>
    <t>Soto, M; Zaldibar, B; Cancio, I; Taylor, MG; Turner, M; Morgan, AJ; Marigómez, I</t>
  </si>
  <si>
    <t>Subcellular distribution of cadmium and its cellular ligands in mussel digestive gland cells as revealed by combined autometallography and X-ray microprobe analysis</t>
  </si>
  <si>
    <t>HISTOCHEMICAL JOURNAL</t>
  </si>
  <si>
    <t>LITTORINA-LITTOREA L; TISSUE-LEVEL BIOMARKERS; MYTILUS-GALLOPROVINCIALIS; ULTRASTRUCTURAL-LOCALIZATION; HYDROCARBON EXPOSURE; METAL POLLUTION; SENTINEL SLUGS; GONAD COMPLEX; METALLOTHIONEIN; RESPONSES</t>
  </si>
  <si>
    <t>Autometallography (AMG) and electron probe X-ray microanalysis (EPXMA) were applied in combination to determine the subcellular distribution of Cd and its subcellular ligands in the digestive gland cells of Cd-exposed mussels Mytilus galloprovincialis. Black silver deposits (BSD), which reveal the presence of metals when AMG is applied, were only localized in digestive cell lysosomes. Digestive cell cytoplasm and basophilic cells were devoid of BSD. EPXMA (static probe and X-ray mapping) indicated that Cd, S (possibly associated with metallothioneins or metallothionein-like proteins) and autometallographical Ag ions are co-localized within digestive cell lysosomes. In addition, Cd and S co-occur in the absence of Ag in the cytosol of digestive cells. AMG does not reveal the presence of the Cd 'pool' strongly bound to cytosolic Cd-metallothionein complexes; only 'free' Cd or Cd supposedly loosely bound to (semi) digested metallothionein within lysosomes was revealed. The levels of lysosomal Cd were indirectly quantified by stereology as the volume density of BSD (Vv(BSD)). Significantly higher values were recorded in Cd-exposed mussels compared with controls at all exposure times. However, VvBSD values were lower at days 7 and 21 than at day 1. This relative decrease in VvBSD reflected another (and confounding) response elicited by Cd-exposure in the digestive epithelium: the volume density of basophilic cells (Vv(BAS)) increased significantly as exposure progressed. Due to this cell-type replacement, the net accumulative capacity of the digestive epithelium decreases at long exposure times.</t>
  </si>
  <si>
    <t>Univ Basque Country, Cell Biol &amp; Histol Lab, Zool &amp; Anim Cell Dynam Dept, Sch Sci, Bilbao, Basque Country, Spain; Univ Reading, Div Zool, Sch Anim &amp; Microbial Sci, Reading RG6 6AJ, Berks, England; Univ Cardiff, Cardiff Sch Biosci, Cardiff CF10 3TL, S Glam, Wales</t>
  </si>
  <si>
    <t>University of Basque Country; University of Reading; Cardiff University</t>
  </si>
  <si>
    <t>Soto, M (corresponding author), Univ Basque Country, Cell Biol &amp; Histol Lab, Zool &amp; Anim Cell Dynam Dept, Sch Sci, Bilbao, Basque Country, Spain.</t>
  </si>
  <si>
    <t>Morgan, Andrew/A-4508-2010; Soto, Manu/C-3995-2017; Cancio, Ibon/I-2821-2015; MARIGOMEZ ALLENDE, Ionan/C-3909-2017; Zaldibar, Benat/Y-6728-2018</t>
  </si>
  <si>
    <t>Cancio, Ibon/0000-0003-4841-0079; MARIGOMEZ ALLENDE, Ionan/0000-0001-6274-541X; soto, manu/0000-0002-4541-8182; Zaldibar, Benat/0000-0002-5528-451X</t>
  </si>
  <si>
    <t>0018-2214</t>
  </si>
  <si>
    <t>HISTOCHEM J</t>
  </si>
  <si>
    <t>Histochem.J.</t>
  </si>
  <si>
    <t>JUN-JUL</t>
  </si>
  <si>
    <t>6-7</t>
  </si>
  <si>
    <t>10.1023/A:1023322423654</t>
  </si>
  <si>
    <t>http://dx.doi.org/10.1023/A:1023322423654</t>
  </si>
  <si>
    <t>665QN</t>
  </si>
  <si>
    <t>WOS:000182132300002</t>
  </si>
  <si>
    <t>Reichmuth, JM; Roudez, R; Glover, T; Weis, JS</t>
  </si>
  <si>
    <t>Reichmuth, Jessica M.; Roudez, Ross; Glover, Terry; Weis, Judith S.</t>
  </si>
  <si>
    <t>Differences in Prey Capture Behavior in Populations of Blue Crab (Callinectes sapidus Rathbun) from Contaminated and Clean Estuaries in New Jersey</t>
  </si>
  <si>
    <t>ESTUARIES AND COASTS</t>
  </si>
  <si>
    <t>Behavior; Blue crab; Callinectes sapidus; Pollution; Predation; Predator</t>
  </si>
  <si>
    <t>CHESAPEAKE-BAY; FUNDULUS-HETEROCLITUS; PALAEMONETES-PUGIO; GRASS SHRIMP; SHORE CRAB; PREDATION; PATTERNS; FISH; DENSITY; MERCURY</t>
  </si>
  <si>
    <t>Populations living in contaminated environments may exhibit behavioral changes that can alter predator-prey interactions. Blue crabs from the contaminated Hackensack Meadowlands (HM) had reduced ability to capture juvenile blue crabs and adult mummichogs (both active prey) compared with crabs from a reference site (Tuckerton (TK)). However, they consumed equivalent amounts of ribbed mussels and fiddler crabs, which are less active prey. Crabs may have reduced coordination rather than appetite or motivation. The lab data are supported by stomach analysis of field-caught crabs. HM crab stomachs contained similar to 60% algae, plant material, detritus, and sediment and much lower weights of crab, fish, and other live food than TK crabs. However, the relative absence of bivalves in their diet may reflect reduced amounts available. When TK crabs were caged in HM or fed food from HM in the lab for 8 weeks, their prey capture ability declined significantly, and mercury in their muscle tissue increased significantly, indicating that environmental factors were responsible for the behavioral differences. When HM crabs were caged in TK or fed fish from TK in the lab for 8 weeks, their prey capture ability improved significantly. Mercury levels were variable and did not show a significant decrease.</t>
  </si>
  <si>
    <t>[Reichmuth, Jessica M.; Roudez, Ross; Weis, Judith S.] Rutgers State Univ, Dept Biol Sci, Newark, NJ 07102 USA; [Glover, Terry] Bloomfield Coll, Div Behav &amp; Social Sci, Bloomfield, NJ 07003 USA</t>
  </si>
  <si>
    <t>Rutgers University System; Rutgers University Newark; Rutgers University New Brunswick; Bloomfield College</t>
  </si>
  <si>
    <t>Reichmuth, JM (corresponding author), Rutgers State Univ, Dept Biol Sci, Newark, NJ 07102 USA.</t>
  </si>
  <si>
    <t>jreichmu@pegasus.rutgers.edu</t>
  </si>
  <si>
    <t>Rutgers University; Meadowlands Environmental Research Institute (MERI)</t>
  </si>
  <si>
    <t>This project was funded in part by a Rutgers University Marine Field Station Graduate Student Research award and a Meadowlands Environmental Research Institute (MERI) grant. We thank MERI Senior Naturalist B. Bragin, for providing assistance with trawling, Dr. P. Jivoff for providing green crab traps that were used for field- transplanted crabs, Dr. P. Weis for the use of laboratory facilities for Hg analysis, and T. Proctor for assistance with Hg analysis. We also thank Dr. L. Bergey, A. Candelmo, J. Lord, Dr. J. MacDonald, J. Ramirez, S. Shahrestani, and R. Weatherford for field and laboratory assistance. Finally, we thank the anonymous reviewers for the input they have provided, which greatly improved this manuscript.</t>
  </si>
  <si>
    <t>1559-2723</t>
  </si>
  <si>
    <t>1559-2731</t>
  </si>
  <si>
    <t>ESTUAR COAST</t>
  </si>
  <si>
    <t>Estuaries Coasts</t>
  </si>
  <si>
    <t>10.1007/s12237-008-9130-z</t>
  </si>
  <si>
    <t>http://dx.doi.org/10.1007/s12237-008-9130-z</t>
  </si>
  <si>
    <t>407KJ</t>
  </si>
  <si>
    <t>WOS:000263361700007</t>
  </si>
  <si>
    <t>Balkis, N; Aksu, A; Hiçsönmez, H</t>
  </si>
  <si>
    <t>Balkis, N.; Aksu, A.; Hicsonmez, H.</t>
  </si>
  <si>
    <t>Pollution Monitoring Using Mytilus galloprovincialis and Fishes: A Case Study on the Southern Black Sea Shelf</t>
  </si>
  <si>
    <t>ASIAN JOURNAL OF CHEMISTRY</t>
  </si>
  <si>
    <t>Black sea; Metal; Pollution; Mytilus galloprovincialis; Fish</t>
  </si>
  <si>
    <t>HEAVY-METALS; ACCUMULATION; SPECIATION; ORGANISMS; SEDIMENTS; TURKEY</t>
  </si>
  <si>
    <t>In this study, the heavy metal bioaccumulations in mussels (Mytilus galloprovincialis) and fishes (Merlangius merlangus euxinus) have been studied along the Southern Black Sea Shelf. Generally, Pb and Cd contents were higher than the critical limits set by the Turkish Ministry of Environment for Aquatic Products (1 mu g g(-1) wet wt. and 0.1 mu g g(-1) wet wt., respectively) and European countries (2.0 mu g g(-1) UNEP, 1985). They showed increases towards the eastern end of the shelf. As contents were observed higher than the critical limits set by the Turkish Ministry of Environment for Aquatic Products (1.0 mu g g(-1) wet wt.) at stations Terkos, Samsun and Ordu in 2009. In contrast, Hg levels were also higher than the critical limits set by the Turkish Ministry of Environment for Aquatic Products (0.5 mu g g(-1) wet wt.) in 2005 and the highest Hg concentrations were found in the west and middle of the shelf.</t>
  </si>
  <si>
    <t>[Balkis, N.; Aksu, A.] Istanbul Univ, Dept Chem Oceanog, Inst Marine Sci &amp; Management, Istanbul, Turkey; [Hicsonmez, H.] Istanbul Prov Natl Educ Directorate, Istanbul, Turkey</t>
  </si>
  <si>
    <t>Istanbul University; Ministry of National Education - Turkey</t>
  </si>
  <si>
    <t>Balkis, N (corresponding author), Istanbul Univ, Dept Chem Oceanog, Inst Marine Sci &amp; Management, Vefa 34134-00, Istanbul, Turkey.</t>
  </si>
  <si>
    <t>nbal@istanbul.edu.tr</t>
  </si>
  <si>
    <t>ÇAĞLAR BALKIS, NURAY/AAB-8591-2020; Aksu, Abdullah/AAB-8463-2020</t>
  </si>
  <si>
    <t>Turkish Ministry of Environment</t>
  </si>
  <si>
    <t>Turkish Ministry of Environment(Ministry of Environment &amp; Urban Planning - Turkey)</t>
  </si>
  <si>
    <t>The authors thank the captain, crew, scientists and technicians on board the RV Arar, Institute of Marine Sciences and the Management of Istanbul University for their help during the collection of Mytilus galloprovincialis and fish samples. This work was supported by the Turkish Ministry of Environment.</t>
  </si>
  <si>
    <t>SAHIBABAD</t>
  </si>
  <si>
    <t>11/100 RAJENDRA NAGAR, SECTOR 3,, SAHIBABAD 201 005, GHAZIABAD, INDIA</t>
  </si>
  <si>
    <t>0970-7077</t>
  </si>
  <si>
    <t>ASIAN J CHEM</t>
  </si>
  <si>
    <t>Asian J. Chem.</t>
  </si>
  <si>
    <t>10.14233/ajchem.2013.13167</t>
  </si>
  <si>
    <t>http://dx.doi.org/10.14233/ajchem.2013.13167</t>
  </si>
  <si>
    <t>058FU</t>
  </si>
  <si>
    <t>WOS:000312620300089</t>
  </si>
  <si>
    <t>Galgani, F; Chiffoleau, JF; Orsoni, V; Costantini, L; Boissery, P; Calendini, S; Andral, B</t>
  </si>
  <si>
    <t>Galgani, F.; Chiffoleau, J. F.; Orsoni, V.; Costantini, L.; Boissery, P.; Calendini, S.; Andral, B.</t>
  </si>
  <si>
    <t>Chemical contamination and sediment toxicity along the coast of Corsica</t>
  </si>
  <si>
    <t>chemical contamination; sediment toxicity; Corsica</t>
  </si>
  <si>
    <t>POLYCYCLIC AROMATIC-HYDROCARBONS; LAGOON-OF-VENICE; CRASSOSTREA-GIGAS; SEINE ESTUARY; BIOASSAYS; FLUXES; MOLLUSKS; MUSSELS; MERCURY; METALS</t>
  </si>
  <si>
    <t>Trace metals (Cd, Pb, Cu, Cr, Ni, Co, Zn, Hg, As, Mn, Al, Fe, and Li) and organic compounds (PCBs, PAHs, lindanes, and DDT and its degradation products) were measured in coastal sediment samples from 27 sites in lagoons and along coastal areas of Corsica. An oyster embryo bioassay evaluated the toxicity of sediments from sites in three coastal lagoons (Urbino, Diane, and Biguglia) and the west coast of Cape Corsica. Despite contamination levels generally lower than those in other Mediterranean coastal areas, contamination is found in specific sites in Corsica and includes natural arsenic contamination on the east coast, insecticide pollution (persistent lindane and DDT) in many areas, both cadmium and lead contamination around Sagone, general contamination of both main harbours (Bastia and Ajaccio) and their surrounding areas, and asbestos mining residues in western Cape Corsica. Monitoring development of Crassostrea gigas embryos showed toxic effects at sites near a factory on Cape Corsica, with up to 100% mortality of larvae, and lower levels of toxicity at Sagone (44% mortality) and in the three coastal lagoons (up to 28% mortality). Results of this regional study show the need for further monitoring to understand the environmental issues facing the Corsican coast.</t>
  </si>
  <si>
    <t>IFREMER, F-34203 Sete, France; IFREMER, F-44311 Nantes, France; IFREMER, F-20600 Bastia, France; Agence 1 Eau RM &amp; C, F-13001 Marseille, France; Off Environm Corse, F-20250 Corte, France; IFREMER, F-83507 La Seyne Sur Mer, France</t>
  </si>
  <si>
    <t>Ifremer; Ifremer; Ifremer; Ifremer</t>
  </si>
  <si>
    <t>Galgani, F (corresponding author), IFREMER, BP171,Ave J Monnet, F-34203 Sete, France.</t>
  </si>
  <si>
    <t>francois.galgani@ifremer.fr</t>
  </si>
  <si>
    <t>10.1080/02757540600812156</t>
  </si>
  <si>
    <t>http://dx.doi.org/10.1080/02757540600812156</t>
  </si>
  <si>
    <t>083NX</t>
  </si>
  <si>
    <t>WOS:000240465800004</t>
  </si>
  <si>
    <t>Baldi, F; Marchetto, D; Gallo, M; Fani, R; Maida, I; Covelli, S; Fajon, V; Zizek, S; Hines, M; Horvat, M</t>
  </si>
  <si>
    <t>Baldi, Franco; Marchetto, Davide; Gallo, Michele; Fani, Renato; Maida, Isabel; Covelli, Stefano; Fajon, Vesna; Zizek, Suzana; Hines, Mark; Horvat, Milena</t>
  </si>
  <si>
    <t>Chlor-alkali plant contamination of Aussa River sediments induced a large Hg-resistant bacterial community</t>
  </si>
  <si>
    <t>Hg; river; sediments; bacteria; Hg resistance</t>
  </si>
  <si>
    <t>LEVEL ENVIRONMENTAL-SAMPLES; MULTIPLE SEQUENCE ALIGNMENT; METHYL MERCURY-COMPOUNDS; NORTHERN ADRIATIC SEA; MARANO LAGOON; GRADO LAGOON; PROTEIN; IDENTIFICATION; DISTILLATION; EXTRACTION</t>
  </si>
  <si>
    <t>A closed chlor-alkali plant (CAP) discharged Hg for decades into the Aussa River, which flows into Marano Lagoon, resulting in the large-scale pollution of the lagoon. In order to get information on the role of bacteria as mercury detoxifying agents, analyses of anions in the superficial part (0-1 cm) of sediments were conducted at four stations in the Aussa River. In addition, measurements of biopolymeric carbon (BPC) as a sum of the carbon equivalent of proteins (PRT), lipids (LIP), and carbohydrates (CHO) were performed to correlate with bacterial biomass such as the number of aerobic heterotrophic cultivable bacteria and their percentage of Hg-resistant bacteria. All these parameters were used to assess the bioavailable Hg fraction in sediments and the potential detoxification activity of bacteria. In addition, fifteen isolates were characterized by a combination of molecular techniques, which permitted their assignment into six different genera. Four out of fifteen were Gram negative with two strains of Stenotrophomonas maltophilia, one Enterobacter sp., and one strain of Brevibacterium frigoritolerans. The remaining strains (11) were Gram positive belonging to the genera Bacillus and Staphylococcus. We found merA genes in only a few isolates. Mercury volatilization from added HgCl2 and the presence of plasmids with the merA gene were also used to confirm Hg reductase activity. We found the highest number of aerobic heterotrophic Hg-resistant bacteria (one order magnitude higher) and the highest number of Hg-resistant species (11 species out of 15) at the confluence of the River Aussa and Banduzzi's channel, which transport Hg from the CAP, suggesting that Hg is strongly detoxified [reduced to Hg(0)] at this location. (C) 2012 Elsevier Ltd. All rights reserved.</t>
  </si>
  <si>
    <t>[Baldi, Franco; Marchetto, Davide; Gallo, Michele] Ca Foscari Univ Venice, Dept Sci Mol &amp; Nanosistemi, I-30123 Venice, Italy; [Fani, Renato; Maida, Isabel] Univ Florence, Dept Evolutionary Biol, I-50125 Florence, Italy; [Covelli, Stefano] Univ Trieste, Dept Math &amp; Geosci, I-34128 Trieste, Italy; [Fajon, Vesna; Zizek, Suzana; Horvat, Milena] Jozef Stefan Inst, Dept Environm Sci, Ljubljana 1000, Slovenia; [Hines, Mark] Univ Massachusetts, Dept Biol Sci, Lowell, MA 01854 USA</t>
  </si>
  <si>
    <t>Universita Ca Foscari Venezia; University of Florence; University of Trieste; Slovenian Academy of Sciences &amp; Arts (SASA); Jozef Stefan Institute; University of Massachusetts System; University of Massachusetts Lowell</t>
  </si>
  <si>
    <t>COVELLI, STEFANO/P-8796-2015</t>
  </si>
  <si>
    <t>COVELLI, STEFANO/0000-0002-0038-6658; Zizek, Suzana/0000-0003-2691-8146</t>
  </si>
  <si>
    <t>Commissario Delegato for the Marano and Grado Lagoon</t>
  </si>
  <si>
    <t>The authors are very grateful for the fieldwork and sampling operations carried out by Stefano Caressa. The MIRACLE (Mercury Interdisciplinary Research for Appropriate Clam farming in Lagoon Environment) Project was supported financially by the Commissario Delegato for the Marano and Grado Lagoon in 2008-2009 (coordinator: S. Covelli).</t>
  </si>
  <si>
    <t>10.1016/j.ecss.2012.04.017</t>
  </si>
  <si>
    <t>http://dx.doi.org/10.1016/j.ecss.2012.04.017</t>
  </si>
  <si>
    <t>WOS:000311066800009</t>
  </si>
  <si>
    <t>Fafandel, M; Bihari, N; Peric, L; Cenov, A</t>
  </si>
  <si>
    <t>Fafandel, Maja; Bihari, Nevenka; Peric, Lorena; Cenov, Arijana</t>
  </si>
  <si>
    <t>Effect of marine pollutants on the acid DNase activity in the hemocytes and digestive gland of the mussel Mytilus galloprovincialis</t>
  </si>
  <si>
    <t>acid DNase; Hemocytes; digestive gland; mussel; mytilus galloprovincialis; toxic pollutants</t>
  </si>
  <si>
    <t>TISSUE DISTRIBUTION; DEOXYRIBONUCLEASES; INVERTEBRATES; INDICATOR; INDUCTION; POLLUTION; EXPOSURE; FISH</t>
  </si>
  <si>
    <t>The level of the acid DNase activity in the hemocytes and digestive gland of the mussel Mytilus galloprovincialis after exposure to model marine pollutants, a detergent, gasoline and a copper salt, as well as to unknown environmental mixture at selected sampling sites, was investigated. The specific enzyme activity in unexposed mussels from mariculture area was higher in hemocytes than in digestive gland. Concentration and time effect patterns of DNase activity revealed tissue- and pollutant-specific responses to model marine pollutants. Since in some cases the pollutant effect could not be detected by measurement of acid DNase in single tissue only, digestive gland/hemocyte (Hep[Hem) ratio was introduced. The Hep/Hem ratio enabled the detection of pollutant effect at the significance level. Field investigations indicated that the digestive gland is a suitable tissue for discrimination of polluted areas from maricultured area. Additionally, the Hep/Hem ratio enabled differentiation within a group of polluted sampling sites that differ in the type of pollutants and/or environmental conditions. (c) 2008 Elsevier B.V. All rights reserved.</t>
  </si>
  <si>
    <t>[Fafandel, Maja; Bihari, Nevenka; Peric, Lorena; Cenov, Arijana] Natl Ctr Marine Res, Rudjer Boskovic Inst, HR-52210 Rovinj, Croatia</t>
  </si>
  <si>
    <t>Fafandel, M (corresponding author), Natl Ctr Marine Res, Rudjer Boskovic Inst, HR-52210 Rovinj, Croatia.</t>
  </si>
  <si>
    <t>maja@cim.irb.hr</t>
  </si>
  <si>
    <t>; Cenov, Arijana/S-8048-2018</t>
  </si>
  <si>
    <t>Peric, Lorena/0000-0001-6899-9605; Cenov, Arijana/0000-0002-6731-7868</t>
  </si>
  <si>
    <t>MAR 26</t>
  </si>
  <si>
    <t>10.1016/j.aquatox.2007.12.011</t>
  </si>
  <si>
    <t>http://dx.doi.org/10.1016/j.aquatox.2007.12.011</t>
  </si>
  <si>
    <t>292HW</t>
  </si>
  <si>
    <t>WOS:000255258100005</t>
  </si>
  <si>
    <t>Indumathi, SP; Ramalingam, K; Radha, T; Venkatesh, C</t>
  </si>
  <si>
    <t>Indumathi, S. P.; Ramalingam, K.; Radha, T.; Venkatesh, C.</t>
  </si>
  <si>
    <t>Transmission electron microscopic study on the niche induced ultrastructural changes in digestive gland cells of the green mussel Perna viridis (L.)</t>
  </si>
  <si>
    <t>INDIAN JOURNAL OF FISHERIES</t>
  </si>
  <si>
    <t>Green mussel; Perna viridis; Digestive gland cells; Pollution; Transmission electron microscopy</t>
  </si>
  <si>
    <t>The ultrastructural studies by transmission electron microscopy revealed significant changes at cellular level in both digestive gland and digestive tract of Perna viridis collected from polluted water near the coast as compared to those collected 1 km off the shore line. The digestive gland cells of polluted group showed distorted and enlarged nuclei along with several inclusions and lipid granules in the cytoplasm. The cells lining the digestive tract also revealed the presence of large number of lipid granules, inclusions, vacuoles, disturbed epithelium along with lytic areas, necrosis and enlarged nucleus. The morphololgical changes in the digestive cells of mussels are attributed to environmental stress i.e.. due to the sequestration of heavy metal pollutants in the specimens collected from the coast. The damage to tissues at cellular level has been discussed in the light of previous reports and observations which employed green mussels as biomonitors of marine pollution.</t>
  </si>
  <si>
    <t>[Indumathi, S. P.; Radha, T.] Ethiraj Coll Women Autonomous, Postgrad &amp; Res Dept Zool, Madras 600008, Tamil Nadu, India; [Ramalingam, K.; Venkatesh, C.] Govt Arts Coll Men Autonomous, Postgrad &amp; Res Dept Zool, Madras 600035, Tamil Nadu, India</t>
  </si>
  <si>
    <t>Indumathi, SP (corresponding author), Ethiraj Coll Women Autonomous, Postgrad &amp; Res Dept Zool, Madras 600008, Tamil Nadu, India.</t>
  </si>
  <si>
    <t>kailashmafioso@gmail.com</t>
  </si>
  <si>
    <t>CENTRAL MARINE FISHERIES RESEARCH INST</t>
  </si>
  <si>
    <t>ERNAKULAM</t>
  </si>
  <si>
    <t>INDIAN COUNCIL AGRICULTURAL RES, DR. SALIM ALI RD, P B NO 1603, TATAPURAM P O, ERNAKULAM, COCHIN 682 014, INDIA</t>
  </si>
  <si>
    <t>0970-6011</t>
  </si>
  <si>
    <t>INDIAN J FISH</t>
  </si>
  <si>
    <t>Indian J. Fish.</t>
  </si>
  <si>
    <t>559WV</t>
  </si>
  <si>
    <t>WOS:000274859900005</t>
  </si>
  <si>
    <t>Al-Madfa, HA</t>
  </si>
  <si>
    <t>Metals accumulation in the marine ecosystem around qatar (Arabian Gulf)</t>
  </si>
  <si>
    <t>pollution; heavy metals; industry; bioaccumulation; Qatar; Arabian gulf</t>
  </si>
  <si>
    <t>SEDIMENTS; AREA</t>
  </si>
  <si>
    <t>The coastal and offshore waters of Qatar are increasingly subjected to industrial wastewater discharge as well as intermittent oil spills from exploration, exploitation and oil loading activities. Water, sediments and indigenous benthic organisms were collected from the Exclusive Economic Zone (EEZ) of Qatar for tracing metals (Pb, Cd, Ni and V) accumulation in the marine ecosystem. Elevated levels of Pb were observed in water (25.8 mug L-1 and 12.3 mug L-1, resp.) and sediments (17.5 mug g(-1) and 23.1 mug g(-1) resp.) opposite to Messaieed Industrial City discharge point as well as around offshore production stations. At locations under stress more than 30% of the total metal content in sediments is anthropogenic. Sediments sampled close to loading buoys showed higher Ni and V concentrations (40.2 and 15.1 mug g(-1), resp.). Bivalves tend to accumulate more metals than sponges, with a concentration factor reaching 1490 for Pb. Bivalves collected from the EEZ of Qatar are more contaminated with respect to metals than those collected from other gulf regions.</t>
  </si>
  <si>
    <t>Univ Qatar, Dept Chem, Doha, Qatar</t>
  </si>
  <si>
    <t>Qatar University</t>
  </si>
  <si>
    <t>Al-Madfa, HA (corresponding author), Univ Qatar, Dept Chem, POB 2713, Doha, Qatar.</t>
  </si>
  <si>
    <t>12A</t>
  </si>
  <si>
    <t>630RH</t>
  </si>
  <si>
    <t>WOS:000180122300001</t>
  </si>
  <si>
    <t>Vázquez-Luis, M; Morató, M; Campillo, JA; Guitart, C; Deudero, S</t>
  </si>
  <si>
    <t>Vazquez-Luis, Maite; Morato, Merce; Antonio Campillo, Juan; Guitart, Carlos; Deudero, Salud</t>
  </si>
  <si>
    <t>High metal contents in the fan mussel Pinna nobilis in the Balearic Archipelago (western Mediterranean Sea) and a review of concentrations in marine bivalves (Pinnidae)</t>
  </si>
  <si>
    <t>trace metal; bivalve; mollusc; bioaccumulation; Pinnidae; Mytilidae</t>
  </si>
  <si>
    <t>HEAVY-METALS; POLLUTION; BIOACCUMULATION; TOLERANCE; GULF; BAY; ZN; CD; CONTAMINATION; ELIMINATION</t>
  </si>
  <si>
    <t>Concentrations of metals (Cd, Cu, Hg, Pb and Zn) in the marine bivalve Pinna nobilis at several coastal locations of Majorca and the Cabrera Islands (Mediterranean Sea) were investigated. The elevated concentrations of metals found in the soft tissues of P. nobilis indicate high bioaccumulation factors. All concentrations and the calculated metal pollution index showed significant differences between sites, with particularly high concentrations in the Cabrera Archipelago, a marine protected area (MPA). The datasets were evaluated with the limited information published in the literature for Pinnidae species worldwide. In benthic P. nobilis, concentrations of Cd, Cu and Zn are more than 30 times higher and Hg and Pb concentrations are 4 and 7 times higher, respectively, than concentrations in other bivalve species, such as Mytilus galloprovincialis (Mytilidae). These observations from species inhabiting nearby ecological habitats of the coastal environment (Pinnidae vs. Mytilidae) are also discussed in the context of current marine monitoring strategies and assessments.</t>
  </si>
  <si>
    <t>[Vazquez-Luis, Maite; Morato, Merce; Deudero, Salud] Ctr Oceanog Baleares, IEO, Muelle de Poniente S-N, Palma De Mallorca 07015, Spain; [Antonio Campillo, Juan; Guitart, Carlos] Ctr Oceanog Murcia, IEO, C Varadero 1, Murcia 30740, Spain</t>
  </si>
  <si>
    <t>Spanish Institute of Oceanography; Spanish Institute of Oceanography</t>
  </si>
  <si>
    <t>Vázquez-Luis, M (corresponding author), Ctr Oceanog Baleares, IEO, Muelle de Poniente S-N, Palma De Mallorca 07015, Spain.</t>
  </si>
  <si>
    <t>maitevazquezluis@gmail.com</t>
  </si>
  <si>
    <t>Luis, Maite/R-5189-2018; Deudero Company, Salud/I-1883-2015; Campillo, Juan Antonio/G-8312-2017</t>
  </si>
  <si>
    <t>Deudero Company, Salud/0000-0001-5584-2801; Vazquez-Luis, M. (Maite)/0000-0002-2733-2801; Campillo, Juan Antonio/0000-0001-8853-0273</t>
  </si>
  <si>
    <t>project Estado de conservacion del bivalvo amenazado Pinna nobilis en el Parque Nacional del Archipielago de Cabrera [024/2010]; European Community [287844]</t>
  </si>
  <si>
    <t>project Estado de conservacion del bivalvo amenazado Pinna nobilis en el Parque Nacional del Archipielago de Cabrera; European Community</t>
  </si>
  <si>
    <t>This work was supported by the project Estado de conservacion del bivalvo amenazado Pinna nobilis en el Parque Nacional del Archipielago de Cabrera (024/2010) and was partly funded from the European Community's Seventh Framework Programme (FP7/2007-2013) under Grant Agreement No. 287844 project 'Towards COast to COast NETworks of marine protected areas (from the shore to the high and deep sea), coupled with sea-based wind energy potential' (COCONET). We thank the Cabrera National Park staff for permissions and facilities. We also thank E. Alvarez y C. Gonzalez for fieldwork assistance and A. Gamaza for laboratory work.</t>
  </si>
  <si>
    <t>10.3989/scimar.04255.24B</t>
  </si>
  <si>
    <t>http://dx.doi.org/10.3989/scimar.04255.24B</t>
  </si>
  <si>
    <t>DF0ZW</t>
  </si>
  <si>
    <t>WOS:000371069200011</t>
  </si>
  <si>
    <t>PAVICIC, J; RASPOR, B; MARTINCIC, D</t>
  </si>
  <si>
    <t>QUANTITATIVE-DETERMINATION OF METALLOTHIONEIN-LIKE PROTEINS IN MUSSELS - METHODOLOGICAL APPROACH AND FIELD-EVALUATION</t>
  </si>
  <si>
    <t>CADMIUM BINDING-PROTEINS; MYTILUS-EDULIS; MOLECULAR-WEIGHT; COPPER; METAL; ZINC; QUANTIFICATION; QUANTITIES; INDUCTION; POLLUTION</t>
  </si>
  <si>
    <t>Electrochemical quantitation of metallothionein-like proteins (MLP) in mussels was based on the determination of their constituent cysteinyl residues according to Brdicka's catalytic reaction. Calibration was performed by an internal MLP standard isolated from the digestive gland of Mytilus galloprovincialis for which protein concentration had been estimated by Bradford's spectrophotometric method. For that purpose three metal-binding proteins [MLP-I, MLP-II and Cu-BP (binding protein)] were separated by DEAE-Sephadex A-25 chromatography from the digestive gland of mussels previously exposed to Cd. The most negatively charged MLP-II fraction was characterized by the fact that it contained the largest amount of both total metal and sulphydryl (-SH) content per mass of protein, although this was approximately two times lower than the -SH level of commercially available MT from rabbit liver. Exposure of mussels to a relatively low level of cadmium (0.2 mug Cd l-1) added into the seawater either by itself or as a mixture with other metals (2 mug Cu l-1 and 1.6 mug Pb l-1) resulted in a measurable level of MLP induction within 14 d in comparison to the control specimens. The effect of the metal mixture on MLP synthesis appears to be less than additive, suggesting a competitive interaction between metal ions for uptake and binding sites as well as differing potentials for MLP induction. Variations in the MLP content observed in the digestive gland of mussels seasonally collected from the same location are in the range 2.1 +/- 0.4 mg g-1 on a wet weight basis. The methodological and conceptual aspects of the application of MLP induction in the Mytilus sp. as a biomarker in seawater trace metal monitoring are critically evaluated.</t>
  </si>
  <si>
    <t>PAVICIC, J (corresponding author), INST RUDJER BOSKOVIC,CTR MARINE RES ZAGREB,BIJENICKA CESTA 54,41000 ZAGREB,CROATIA.</t>
  </si>
  <si>
    <t>10.1007/BF00349842</t>
  </si>
  <si>
    <t>http://dx.doi.org/10.1007/BF00349842</t>
  </si>
  <si>
    <t>KV281</t>
  </si>
  <si>
    <t>WOS:A1993KV28100012</t>
  </si>
  <si>
    <t>Barranger, A; Benabdelmouna, A; Dégremont, L; Burgeot, T; Akcha, F</t>
  </si>
  <si>
    <t>Barranger, Audrey; Benabdelmouna, Abdellah; Degremont, Lionel; Burgeot, Thierry; Akcha, Farida</t>
  </si>
  <si>
    <t>Parental exposure to environmental concentrations of diuron leads to aneuploidy in embryos of the Pacific oyster, as evidenced by fluorescent in situ hybridization</t>
  </si>
  <si>
    <t>Aneuploidy; FISH; Diuron; Crassostrea gigas.</t>
  </si>
  <si>
    <t>MUSSELS MYTILUS-GALLOPROVINCIALIS; RIBOSOMAL-RNA GENES; CRASSOSTREA-GIGAS; CYTOCHALASIN-B; SUMMER MORTALITY; DNA-DAMAGE; 5S RDNA; MEIOTIC RECOMBINATION; CHROMOSOMAL LOCATION; NEGATIVE CORRELATION</t>
  </si>
  <si>
    <t>Changes in normal chromosome numbers (i.e. aneuploidy) due to abnormal chromosome segregation may arise either spontaneously or as a result of chemical/radiation exposure, particularly during cell division. Coastal ecosystems are continuously subjected to various contaminants originating from urban, industrial and agricultural activities. Genotoxicity is common to several families of major environmental pollutants, including pesticides, which therefore represent a potential important environmental hazard for marine organisms. A previous study demonstrated the vertical transmission of DNA damage by subjecting oyster genitors to short-term exposure to the herbicide diuron at environmental concentrations during gametogenesis. In this paper, Fluorescent in situ hybridization (FISH) was used to further characterize diuron-induced DNA damage at the chromosomal level. rDNA genes (5S and 18-5.8-28S), previously mapped onto Crassostrea gigas chromosomes 4, 5 and 10, were used as probes on the interphase nuclei of embryo preparations. Our results conclusively show higher aneuploidy (hypo- or hyperdiploidy) level in embryos from diuron-exposed genitors, with damage to the three studied chromosomal regions. This study suggests that sexually developing oysters are vulnerable to diuron exposure, incurring a negative impact on reproductive success and oyster recruitment. (C) 2014 Elsevier B.V. All rights reserved.</t>
  </si>
  <si>
    <t>[Barranger, Audrey; Benabdelmouna, Abdellah; Degremont, Lionel] IFREMER, SG2M, Lab Genet &amp; Pathol Marine Molluscs, F-17390 La Tremblade, France; [Barranger, Audrey; Burgeot, Thierry; Akcha, Farida] IFREMER, Dept Biogeochem &amp; Ecotoxicol, Lab Ecotoxicol, F-44311 Nantes 03, France</t>
  </si>
  <si>
    <t>Barranger, A (corresponding author), IFREMER, SG2M, Lab Genet &amp; Pathol Marine Molluscs, Ave Mus Loup, F-17390 La Tremblade, France.</t>
  </si>
  <si>
    <t>audrey.barranger@ifremer.fr; abdellah.benabdelmouna@ifremer.fr</t>
  </si>
  <si>
    <t>Barranger, Audrey/AAJ-8271-2020; degremont, lionel/A-4163-2011</t>
  </si>
  <si>
    <t>Benabdelmouna, Abdellah/0000-0003-1910-219X; Barranger, Audrey/0000-0002-2947-6921; Degremont, Lionel/0000-0001-6759-6791; Akcha, Farida/0000-0003-0734-1951</t>
  </si>
  <si>
    <t>French National Research Agency [ANR-CESA-01601]</t>
  </si>
  <si>
    <t>French National Research Agency(Agence Nationale de la Recherche (ANR))</t>
  </si>
  <si>
    <t>This work was funded by the French National Research Agency (ANR-CESA-01601). The authors wish to thank all the people in charge of the hatchery at Ifremer La Tremblade.</t>
  </si>
  <si>
    <t>10.1016/j.aquatox.2014.11.011</t>
  </si>
  <si>
    <t>http://dx.doi.org/10.1016/j.aquatox.2014.11.011</t>
  </si>
  <si>
    <t>CB4IT</t>
  </si>
  <si>
    <t>WOS:000349592100004</t>
  </si>
  <si>
    <t>COSSA, D; BOURGET, E; PIUZE, J</t>
  </si>
  <si>
    <t>SEXUAL-MATURATION AS A SOURCE OF VARIATION IN THE RELATIONSHIP BETWEEN CADMIUM CONCENTRATION AND BODY-WEIGHT OF MYTILUS-EDULIS-L</t>
  </si>
  <si>
    <t>To refine the utilization of M. edulis as a pollution indicator species, the relationship between Cd concentration and mussel body wt was investigated at different sites in the Estuary and Gulf of the St. Lawrence [Canada]. The regression coefficients become considerably more variable when animals enter adulthood and the variations are probably related to biochemical changes occurring during the sexual cycle. A substantial improvement of the applicability of mussels for monitoring marine pollution can be achieved by using only immature animals. This should reduce the influence of metabolism on the metal content of mussels and give a more precise indication of ambient pollution levels.</t>
  </si>
  <si>
    <t>PECHES &amp; OCEANS CANADA, QUEBEC CITY, QUEBEC, CANADA; UNIV LAVAL, GRP INTERUNIV RECH OCEANOG QUEBEC, QUEBEC CITY G1K 7P4, QUEBEC, CANADA</t>
  </si>
  <si>
    <t>Fisheries &amp; Oceans Canada; Laval University</t>
  </si>
  <si>
    <t>INST NATL RECH SCI OCEANOL, RIMOUSKI G5L 3A1, QUEBEC, CANADA.</t>
  </si>
  <si>
    <t>10.1016/0025-326X(79)90425-9</t>
  </si>
  <si>
    <t>http://dx.doi.org/10.1016/0025-326X(79)90425-9</t>
  </si>
  <si>
    <t>HC589</t>
  </si>
  <si>
    <t>WOS:A1979HC58900009</t>
  </si>
  <si>
    <t>Ancora, S; Rossi, F; Borgese, M; Pirrone, C; Caliani, I; Cappello, S; Mancini, G; Bianchi, N; Leonzio, C; Bernardini, G; Gornati, R</t>
  </si>
  <si>
    <t>Ancora, Stefania; Rossi, Federica; Borgese, Marina; Pirrone, Cristina; Caliani, Ilaria; Cappello, Simone; Mancini, Giuseppe; Bianchi, Nicola; Leonzio, Claudio; Bernardini, Giovanni; Gornati, Rosalba</t>
  </si>
  <si>
    <t>Assessing the Effect of Contaminated and Restored Marine Sediments in Different Experimental Mesocosms Using an Integrated Approach and Mytilus galloprovincialis as a Model</t>
  </si>
  <si>
    <t>Toxicology; Heavy metals; Sediment remediation evaluation; Laboratory-scale system; Biomarkers; DNA damage</t>
  </si>
  <si>
    <t>MERCURY CONCENTRATIONS; MICRONUCLEUS ASSAY; INORGANIC MERCURY; HEAVY-METALS; BLUE MUSSELS; LONG-TERM; BIOMARKERS; POLLUTION; SOIL; BAY</t>
  </si>
  <si>
    <t>The research presented here was conducted to ascertain the effectiveness of recovery technologies in remediating a compromised marine environment. The multidisciplinary approach aims to integrate traditional chemical-physical analysis and to assess the biological parameters of Mytilus galloprovincialis within different experimental mesocosms (W, G, and B). In particular, this system was designed to reproduce sediment resuspension in a marine environment, which is thought to be one cause of contaminant release. The study combined morphological and ultrastructural observations with DNA damage assessment and mRNA expression of those genes involved in cellular stress responses. The tissues of mussels maintained in the polluted mesocosm showed a higher accumulation of Pb and Hg than in those maintained in restored mesocosm. This observation correlates well with mRNA expression of MT10 and data on DNA damage. The outcome of the biological evaluation consolidates the chemical characterization and supports the concept that the remediation method should be evaluated at an early stage, both to analytically determine the reduction of toxic components and to assess its ultimate impact on the biological system.</t>
  </si>
  <si>
    <t>[Ancora, Stefania; Caliani, Ilaria; Bianchi, Nicola; Leonzio, Claudio] Univ Siena, Dept Phys Earth &amp; Environm Sci, Via Mattioli 4, I-53100 Siena, Italy; [Rossi, Federica; Borgese, Marina; Pirrone, Cristina; Bernardini, Giovanni; Gornati, Rosalba] Univ Insubria, Dept Biotechnol &amp; Life Sci, Via Dunant 3, I-21100 Varese, Italy; [Cappello, Simone] CNR Messina, Inst Biol Resources &amp; Marine Biotechnol IRBIM, Via San Raineri 86, I-98122 Messina, Italy; [Mancini, Giuseppe] Univ Catania, Elect Elect &amp; Comp Engn Dept, Viale Andrea Doria 6, I-95125 Catania, Italy</t>
  </si>
  <si>
    <t>University of Siena; University of Insubria; Consiglio Nazionale delle Ricerche (CNR); Istituto per le Risorse Biologiche Biotecnologie Marine (IRBIM-CNR); University of Catania</t>
  </si>
  <si>
    <t>Gornati, R (corresponding author), Univ Insubria, Dept Biotechnol &amp; Life Sci, Via Dunant 3, I-21100 Varese, Italy.</t>
  </si>
  <si>
    <t>rosalba.gornati@uninsubria.it</t>
  </si>
  <si>
    <t>Bernardini, Giovanni/GRJ-0070-2022; Mancini, Giuseppe/C-4544-2015</t>
  </si>
  <si>
    <t>BORGESE, marina/0009-0005-0723-6424; Mancini, Giuseppe/0000-0002-0953-7934</t>
  </si>
  <si>
    <t>Italian Ministry on Systems Biology: PRIN [T7 2010ARBL001/008]; FAR (Fondo comune di Ateneo per la Ricerca)</t>
  </si>
  <si>
    <t>Italian Ministry on Systems Biology: PRIN; FAR (Fondo comune di Ateneo per la Ricerca)</t>
  </si>
  <si>
    <t>This research was supported by grants of the Italian Ministry on Systems Biology: PRIN (Prot. T7 2010ARBL001/008) and FAR (Fondo comune di Ateneo per la Ricerca 2016 to RG and GB).</t>
  </si>
  <si>
    <t>10.1007/s10126-020-09961-8</t>
  </si>
  <si>
    <t>http://dx.doi.org/10.1007/s10126-020-09961-8</t>
  </si>
  <si>
    <t>LO1DT</t>
  </si>
  <si>
    <t>WOS:000523081600001</t>
  </si>
  <si>
    <t>Sellami, B; Bouzidi, I; Hedfi, A; Almalki, M; Rizk, R; Pacioglu, O; Boufahja, F; Beyrem, H; Sheehan, D</t>
  </si>
  <si>
    <t>Sellami, Badreddine; Bouzidi, Imen; Hedfi, Amor; Almalki, Mohammed; Rizk, Roquia; Pacioglu, Octavian; Boufahja, Fehmi; Beyrem, Hamouda; Sheehan, David</t>
  </si>
  <si>
    <t>Impacts of nanoparticles and phosphonates in the behavior and oxidative status of the mediterranean mussels (Mytilus galloprovincialis)</t>
  </si>
  <si>
    <t>SAUDI JOURNAL OF BIOLOGICAL SCIENCES</t>
  </si>
  <si>
    <t>Bivalves; Biochemical parameters; Nanoparticles; Phosphonates; Physiological parameters; Antagonism</t>
  </si>
  <si>
    <t>TITANIUM-DIOXIDE NANOPARTICLES; ZINC-OXIDE NANOPARTICLES; FRESH-WATER FISH; ANTIOXIDATIVE ROLE; BIVALVE MOLLUSKS; METAL POLLUTION; HEAVY-METALS; TIO2 NPS; ACETYLCHOLINESTERASE; EXPOSURE</t>
  </si>
  <si>
    <t>The current study investigated the exposure of the Mediterranean mussel (Mytilus galloprovincialis) to gold nanoparticles decorated zinc oxide (Au-ZnO NPs) and phosphonate [Diethyl (3-cyano-1-hydroxy1-phenyl-2-methylpropyl)] phosphate (PC). The mussels were exposed to concentrations of 50 and 100 mg L-1 of both compounds alone, as well as to a mixture of both pollutants (i.e. Mix). The singular and the combined effect of each pollutant was investigated by measuring the concentration of various metals (i.e., Cu, Fe, Mn, Zn and Au) in the the digestive glands and gills of mussels, their filtration capacity (FC), respiration rate (RR) and the response of oxidative biomarkers, respectively, following 14 days of exposure. The concentrations of Cu, Fe, Mn, Zn and Au increased directly with Au-ZnO NPs in mussel tissues, but significantly only for Zn. In contrast, the mixture of Au-ZnO100 NPs and PC100 did not induce any significant increase in the content of metals in digetsve glands and gills, suggesting antagonistic interactions between contaminants. In addition, FC and RR levels decreased following exposure to AuZnO100 NPs and PC100 treatments and no significant alterations were observed after the exposure to 50 mg.L-1 of both contaminants and Mix. Hydrogen peroxide (H2O2) level, GSH/GSSG ratio, superoxide dismutase (SOD), catalase (CAT) and acetylcholinesterase (AChE) activities showed significant changes following the exposure to both Au-ZnO NPs and PC, in the gills and the digestive glands of the mussel. However, no significant modifications were observed in both organs following the exposure to Mix. The current study advances the understanding of the toxicity of NPs and phosphonates on M. galloprovincialis and sets the path for future ecotoxicological studies regarding the synergic effects of these substances on marine species. Moreover, the current experiment suggests that the oxidative stress and the neurotoxic pathways are responsive following the exposure of marine invertebrates to both nanoparticles and phosphonates, with potential antagonist interactions of these substances on the physiology of targeted species. (c) 2021 The Authors. Published by Elsevier B.V. on behalf of King Saud University. This is an open access article under the CC BY-NC-ND license (http://creativecommons.org/licenses/by-nc-nd/4.0/).</t>
  </si>
  <si>
    <t>[Sellami, Badreddine] Natl Inst Marine Sci &amp; Technol, Tabarka, Tunisia; [Bouzidi, Imen; Boufahja, Fehmi; Beyrem, Hamouda] Univ Carthage, Fac Sci Bizerte, Coastal Ecol &amp; Ecotoxicol Unit, Lab Environm Biomonitoring LR01ES14, Zarzouna 7021, Tunisia; [Hedfi, Amor; Almalki, Mohammed] Taif Univ, Coll Sci, Dept Biol, POB 11099, At Taif 21944, Saudi Arabia; [Rizk, Roquia] Univ Pannonia, Res Ctr Biochem Environm &amp; Chem Engn, Sustainabil Solut Res Lab, Egyet Str 10, H-8200 Veszprem, Hungary; [Rizk, Roquia] Cairo Univ, Fac Agr, Biochemisrty Dept, Giza, Egypt; [Pacioglu, Octavian] Natl Inst Res &amp; Dev Biol Sci, Bucharest, Romania; [Sheehan, David] Khalifa Univ Sci &amp; Technol, Dept Chem &amp; Biomed Res Ctr, POB 127788, Abu Dhabi, U Arab Emirates</t>
  </si>
  <si>
    <t>Universite de Carthage; Taif University; University of Pannonia; Egyptian Knowledge Bank (EKB); Cairo University; National Research Institute for Biological Sciences; Khalifa University of Science &amp; Technology</t>
  </si>
  <si>
    <t>Boufahja, F (corresponding author), Univ Carthage, Fac Sci Bizerte, Coastal Ecol &amp; Ecotoxicol Unit, Lab Environm Biomonitoring LR01ES14, Zarzouna 7021, Tunisia.</t>
  </si>
  <si>
    <t>Rizk, Roquia/KMA-2250-2024; Hedfi, Amor/AAS-6273-2021; Pacioglu, Octavian/AAR-8518-2021</t>
  </si>
  <si>
    <t>Pacioglu, Octavian/0000-0003-2233-2308; Amor, Hedfi/0000-0002-3476-4178; Rizk, Roquia/0000-0002-5533-2163</t>
  </si>
  <si>
    <t>Deanship of Scientific Research, Taif University, Taif, Saudi Arabia [TURSP-2020/225]</t>
  </si>
  <si>
    <t>Deanship of Scientific Research, Taif University, Taif, Saudi Arabia</t>
  </si>
  <si>
    <t>The present study was funded by the Deanship of Scientific Research, Taif University, Taif, Saudi Arabia, through the project number (TURSP-2020/225).</t>
  </si>
  <si>
    <t>1319-562X</t>
  </si>
  <si>
    <t>2213-7106</t>
  </si>
  <si>
    <t>SAUDI J BIOL SCI</t>
  </si>
  <si>
    <t>Saudi J. Biol. Sci.</t>
  </si>
  <si>
    <t>10.1016/j.sjbs.2021.07.017</t>
  </si>
  <si>
    <t>http://dx.doi.org/10.1016/j.sjbs.2021.07.017</t>
  </si>
  <si>
    <t>XN2XK</t>
  </si>
  <si>
    <t>WOS:000729373100011</t>
  </si>
  <si>
    <t>Alla, AA; Mouneyrac, C; Durou, C; Moukrim, A; Pellerin, J</t>
  </si>
  <si>
    <t>Tolerance and biomarkers as useful tools for assessing environmental quality in the Oued Souss estuary (Bay of Agadir, Morocco)</t>
  </si>
  <si>
    <t>acetyleholinesterase; biomarker; catalase; glutathione-S-transferases; Nereis diversicolor; thiobarbituric acid reactive substances; tolerance; toxicity tests</t>
  </si>
  <si>
    <t>POLYCHAETE NEREIS-DIVERSICOLOR; HEDISTE-DIVERSICOLOR; ACETYLCHOLINESTERASE ACTIVITY; MYTILUS-GALLOPROVINCIALIS; WATER-QUALITY; HEAVY-METALS; MARINE BAY; ADAPTATION; POLLUTION; MUSSELS</t>
  </si>
  <si>
    <t>The aim of this study was to assess aquatic environmental quality of Oued Souss (Agadir, Morocco). This estuary has been subjected for a long time to large amounts of sewage discharges and industrial effluents. Since November 2002, no waste outlets have been discharged in this site due to their connection to a wastewater purification plant. Firstly, we have compared metal tolerance of the annelid polychaete (Nereis diversicolor) originating from Oued Souss and a relatively clean site (Oualidia, Morocco). Secondly, we have evaluated with a multi-marker approach (acetylcholinesterase [ACNE], glutathione-S-transferases [GSTs], catalase, thiobarbituric acid reactive substances [TBARs]) responses of worms to the pollution gradient. Results have shown that worms from Oued Souss have acquired tolerance to copper and zinc due to a long-term sub-lethal metal exposure and this metal tolerance was maintained in spite of the end of wastewater discharges in this site. Higher catalase, GSTs and TBARs values have been observed in worms from Oued Souss sampled before implantation of wastewater treatment. The multi-marker approach confirms that these worms have been submitted to various contaminants. In contrast, high inhibition in ACNE activities measured in worms from Oued Souss could be explained by the continuous agricultural influence of nearest areas. The level of contamination was probably maintained since biomarker values were generally higher in worms from Oued Souss when compared to Oualidia. (c) 2005 Elsevier Inc. All rights reserved.</t>
  </si>
  <si>
    <t>UCO, CEREA, IBEA, F-490080 Angers 01, France; Univ Ibn Zohr, Lab Eau &amp; Environm, Fac Sci, Agadir 80000, Morocco; Univ Nantes, IsoMer, SMAB, F-44322 Nantes 3, France; Univ Quebec, Inst Sci Rimouski, Rimouski, PQ G5L 3A1, Canada</t>
  </si>
  <si>
    <t>Institut Polytechnique de Paris; Ecole des Ponts ParisTech; Ibn Zohr University of Agadir; Nantes Universite; University of Quebec</t>
  </si>
  <si>
    <t>UCO, CEREA, IBEA, 44 Rue Rabelais, F-490080 Angers 01, France.</t>
  </si>
  <si>
    <t>ALLA, Aicha/ABB-9749-2020</t>
  </si>
  <si>
    <t>AICHA, AIT ALLA/0000-0003-3260-6034</t>
  </si>
  <si>
    <t>10.1016/j.cbpc.2005.11.015</t>
  </si>
  <si>
    <t>http://dx.doi.org/10.1016/j.cbpc.2005.11.015</t>
  </si>
  <si>
    <t>035VU</t>
  </si>
  <si>
    <t>WOS:000237030600004</t>
  </si>
  <si>
    <t>Balbi, T; Smerilli, A; Fabbri, R; Ciacci, C; Montagna, M; Grasselli, E; Brunelli, A; Pojana, G; Marcomini, A; Gallo, G; Canesi, L</t>
  </si>
  <si>
    <t>Balbi, Teresa; Smerilli, Arianna; Fabbri, Rita; Ciacci, Caterina; Montagna, Michele; Grasselli, Elena; Brunelli, Andrea; Pojana, Giulio; Marcomini, Antonio; Gallo, Gabriella; Canesi, Laura</t>
  </si>
  <si>
    <t>Co-exposure to n-TiO2 and Cd2+ results in interactive effects on biomarker responses but not in increased toxicity in the marine bivalve M. galloprovincialis</t>
  </si>
  <si>
    <t>n-TiO2; Cd2+; Mytilus; Biomarkers; Immunity; Digestive gland</t>
  </si>
  <si>
    <t>TITANIUM-DIOXIDE NANOPARTICLES; ENGINEERED NANOPARTICLES; TIO2 NANOPARTICLES; CADMIUM; INVERTEBRATES; NANO-TIO2; EXPOSURE; MUSSELS; MODEL</t>
  </si>
  <si>
    <t>The increasing production of nanoparticles (NPs) will lead to their release into the aquatic environment, where they could modify the bioavailability/bioconcentration and consequent biological impact of other contaminants. Interactive effects of n-TiO2, one of the most widespread NP type, and Cd2+, a common heavy metal pollutant, have been described in freshwater species, whereas no information is available in marine organisms. In this work, the effects of co-exposure to n-TiO2 and Cd2+ were investigated in the marine bivalve Mytilus galloproyincialis. Experimental conditions (100 mu g/L, 96 h), were chosen in order to induce early but measurable stress responses (biomarkers) without toxicity. Several biomarkers, from molecular to tissue level, were measured in hemolymph and digestive gland; the effects on embryo development were also evaluated. In hemolymph, Cd2+ abolished the increase in immune parameters induced by n-TiO2 (NO production and lysozyme activity). In the digestive gland, distinct interactive effects of n-TiO2 and Cd2+ were observed on different lysosomal biomarkers (lysosomal membrane stability, lipid accumulation and lysosome/cytoplasm volume ratio) and transcription of the immune genes lysozyme and toll-like receptor (TLR). However, n-TiO2 did not affect specific metal-induced responses (metallothionein induction) and tissue metal accumulation. Cd2+ alone, but not in combination with n-TiO2, affected embryo development The interactive effects observed on different biomarkers were not apparently due to differences in bioavailability/bioaccumulation of Cd2+ in the presence of n-TiO2 agglomerates; these effects may result from interactions of either contaminant with both common and distinct targets/mechanisms of action at different levels of biological organization. Overall, the results indicate that co-exposure to n-TiO2 and Cd2+ did not result in increased adverse effects in M. galtoprovincialis. These data underline the need for further knowledge on the potential interactions of NPs with existing contaminants in marine organisms. (C) 2014 Elsevier B.V. All rights reserved.</t>
  </si>
  <si>
    <t>[Balbi, Teresa; Smerilli, Arianna; Fabbri, Rita; Montagna, Michele; Grasselli, Elena; Gallo, Gabriella; Canesi, Laura] Univ Genoa, Dipartimento Sci Terra Ambiente &amp; Vita, I-16132 Genoa, Italy; [Ciacci, Caterina] Univ Carlo Bo, Dipartimento Sci Terra Vita &amp; Ambiente, Urbino, Italy; [Brunelli, Andrea; Marcomini, Antonio] Univ Ca Foscari, Dipartimento Sci Ambientali Informat &amp; Stat, Venice, Italy; [Pojana, Giulio] Univ Ca Foscari, Dipartimento Filosofia &amp; Beni Culturali, Venice, Italy</t>
  </si>
  <si>
    <t>University of Genoa; University of Urbino; Universita Ca Foscari Venezia; Universita Ca Foscari Venezia</t>
  </si>
  <si>
    <t>Marcomini, Antonio/JSL-7114-2023; Grasselli, Elena/H-4304-2013; Brunelli, Andrea/GQA-9462-2022</t>
  </si>
  <si>
    <t>Balbi, Teresa/0000-0002-7495-6000; Canesi, Laura/0000-0003-2061-3819; Montagna, Michele/0000-0002-1890-9461; Smerilli, Arianna/0000-0003-4559-7026; Grasselli, Elena/0000-0003-4439-4059; Brunelli, Andrea/0000-0002-1380-8645</t>
  </si>
  <si>
    <t>Italian Ministry of Research [prot. 2009FHHP2W]</t>
  </si>
  <si>
    <t>This work was supported by the Italian Ministry of Research (PRIN2009, prot. 2009FHHP2W).</t>
  </si>
  <si>
    <t>10.1016/j.scitotenv.2014.05.146</t>
  </si>
  <si>
    <t>http://dx.doi.org/10.1016/j.scitotenv.2014.05.146</t>
  </si>
  <si>
    <t>WOS:000340312000038</t>
  </si>
  <si>
    <t>Kumar, KS; Sajwan, KS; Richardson, JP; Kannan, K</t>
  </si>
  <si>
    <t>Kumar, Kurunthachalarn Senthil; Sajwan, Kenneth S.; Richardson, Joseph P.; Kannan, Kurunthachalam</t>
  </si>
  <si>
    <t>Contamination profiles of heavy metals, organochlorine pesticides, polycyclic aromatic hydrocarbons and alkylphenols in sediment and oyster collected from marsh/estuarine Savannah GA, USA</t>
  </si>
  <si>
    <t>DIBENZO-P-DIOXINS; POLYCHLORINATED BIPHENYL CONGENERS; TRACE ORGANIC CONTAMINANTS; GENE-EXPRESSION ASSAYS; SAN-FRANCISCO BAY; LIVER-CELL LINE; PERSISTENT ORGANOCHLORINES; COASTAL WATERS; MASAN BAY; FISH</t>
  </si>
  <si>
    <t>[Kumar, Kurunthachalarn Senthil; Sajwan, Kenneth S.; Richardson, Joseph P.] Savannah State Univ, Dept Nat Sci &amp; Math, Savannah, GA 31404 USA; [Kannan, Kurunthachalam] SUNY Albany, Wadsworth Ctr, New York State Dept Hlth, Albany, NY 12222 USA; [Kannan, Kurunthachalam] SUNY Albany, Sch Publ Hlth, Dept Environm Hlth Sci, Albany, NY USA</t>
  </si>
  <si>
    <t>University System of Georgia; Savannah State University; State University of New York (SUNY) System; State University of New York (SUNY) Albany; Wadsworth Center; State University of New York (SUNY) System; State University of New York (SUNY) Albany</t>
  </si>
  <si>
    <t>Kumar, KS (corresponding author), Savannah State Univ, Dept Nat Sci &amp; Math, 3219 Coll St,POB 20600, Savannah, GA 31404 USA.</t>
  </si>
  <si>
    <t>kskumar@savstate.edu</t>
  </si>
  <si>
    <t>Kannan, Kayambu/I-6919-2016; Kannan, Kurunthachalam/ACA-0037-2022</t>
  </si>
  <si>
    <t>Kannan, Kurunthachalam/0000-0002-1926-7456</t>
  </si>
  <si>
    <t>10.1016/j.marpolbul.2007.08.011</t>
  </si>
  <si>
    <t>http://dx.doi.org/10.1016/j.marpolbul.2007.08.011</t>
  </si>
  <si>
    <t>262IV</t>
  </si>
  <si>
    <t>WOS:000253143100022</t>
  </si>
  <si>
    <t>Chernova, EN; Lysenko, EV</t>
  </si>
  <si>
    <t>Chernova, Elena N.; Lysenko, Evgenia V.</t>
  </si>
  <si>
    <t>The content of metals in organisms of various trophic levels in freshwater and brackish lakes on the coast of the sea of Japan</t>
  </si>
  <si>
    <t>Dissolved metals; Suspended metals; Phytoplankton; Bivalve; Fresh-water lakes; Brackish-water lakes; The coast of the sea of Japan; Eastern Sikhote-Alin</t>
  </si>
  <si>
    <t>HEAVY-METALS; FOOD-WEB; INVERSE RELATIONSHIP; AQUATIC ORGANISMS; TRACE-ELEMENTS; TAIHU LAKE; BIOACCUMULATION; BIOMAGNIFICATION; ASSIMILATION; ACCUMULATION</t>
  </si>
  <si>
    <t>The content of trace metals (Pb, Zn, Cd, Cu) was examined in waterin the suspended and dissolved forms, in the suspended material and organisms of the food chainphytoplankton-filter-feeding bivalves (Kunashiria coptzevi, Corbicula japonica) in fresh- and brackish-water lakes of the coast of the Sea of Japan. It was demonstrated that the fresh-water lakes were no different from the brackish-water ones in concentrations of metals in organisms and water. The anthropogenically altered Vaskovskoye Lake is distinguished among the fresh lakes by the elevated concentrations of Pb and Zn in the ecosystem components. Trace metals do not accumulate in the phytoplankton-mollusks food chain: content of Pb decreases while concentrations of Zn, Cd, and Cu do not change practically. This is associated with the low content of heavy metals in water, suspended matter, and suspended organic carbon controlling the filtration rate of organisms.</t>
  </si>
  <si>
    <t>[Chernova, Elena N.; Lysenko, Evgenia V.] PGI FEB RAS, 7 Radio St, Vladivostok 690041, Russia; [Chernova, Elena N.] Far Eastern Fed Univ, 8 Sukhanova St, Vladivostok 690091, Russia</t>
  </si>
  <si>
    <t>Pacific Geographical Institute of the Far Eastern Branch of the Russian Academy of Sciences; Far Eastern Federal University</t>
  </si>
  <si>
    <t>Chernova, EN (corresponding author), PGI FEB RAS, 7 Radio St, Vladivostok 690041, Russia.;Chernova, EN (corresponding author), Far Eastern Fed Univ, 8 Sukhanova St, Vladivostok 690091, Russia.</t>
  </si>
  <si>
    <t>elena@tigdvo.ru</t>
  </si>
  <si>
    <t>Lysenko, Evgenia/C-6073-2016; Chernova, Elena/F-3773-2014</t>
  </si>
  <si>
    <t>Lysenko, Evgenia/0000-0002-3192-9862; Chernova, Elena/0000-0003-4200-6278</t>
  </si>
  <si>
    <t>Russian Scientific Foundation [14-50-00034]; Russian Foundation for Basic Research [16-05-00166]</t>
  </si>
  <si>
    <t>Russian Scientific Foundation(Russian Science Foundation (RSF)); Russian Foundation for Basic Research(Russian Foundation for Basic Research (RFBR)Spanish Government)</t>
  </si>
  <si>
    <t>Sample preparation was executed at financial support of the Russian Scientific Foundation (agreement No. 14-50-00034); discussion of the results is supported by the Russian Foundation for Basic Research (agreement No. 16-05-00166).</t>
  </si>
  <si>
    <t>10.1007/s11356-019-05198-8</t>
  </si>
  <si>
    <t>http://dx.doi.org/10.1007/s11356-019-05198-8</t>
  </si>
  <si>
    <t>IF6EB</t>
  </si>
  <si>
    <t>WOS:000473172800035</t>
  </si>
  <si>
    <t>Vieira, KS; Delgado, JF; Lima, LS; Souza, PF; Crapez, MAC; Correa, TR; Aguiar, VMC; Neto, JAB; Fonseca, EM</t>
  </si>
  <si>
    <t>Vieira, K. S.; Delgado, J. F.; Lima, L. S.; Souza, P. F.; Crapez, M. A. C.; Correa, T. R.; Aguiar, V. M. C.; Baptista Neto, J. A.; Fonseca, E. M.</t>
  </si>
  <si>
    <t>Human health risk assessment associated with the consumption of mussels (Perna perna) and oysters (Crassostrea rhizophorae) contaminated with metals and arsenic in the estuarine channel of Vitoria Bay (ES), Southeast Brazil</t>
  </si>
  <si>
    <t>Vit ' oria Bay; Trace metals; Arsenic; Perna perna; Crassostrea rhizophorae; Health risk</t>
  </si>
  <si>
    <t>GREEN-LIPPED MUSSEL; HEAVY-METALS; TRACE-METAL; MAJOR CATIONS; EAST-COAST; SANTOS BAY; BIOACCUMULATION; EXPOSURE; ACCUMULATION; SEDIMENTS</t>
  </si>
  <si>
    <t>The estuarine channel of Vitoria Bay was evaluated regarding bioaccumulation of metals (Al, Ba, Mn, Fe, Zn, Cu, Cr, Pb, Ni, Cd, Hg) and As in mollusks. Mussels from an aquaculture farm and transplanted into the estuary, whereas oysters were collected in situ in the same area. Concentrations of Al, Mn, Fe, Cr and As were higher in P. perna, whereas C. rhizophorae bioaccumulated more Ba, Zn and Cu. Arsenic concentrations in P. perna exceeded the limit of the Brazilian legislation in the outer estuary. Salinity seemed to influence metal uptake differently for each bivalve, with P. perna absorbing more metal at higher salinities and C. rhizophorae in areas of lower salinity. Hazard index (HI) &gt;1 revealed risk for both bivalves for high level consumers. Target Cancer Risk (TCR) for As revealed threat for human health associated with the consumption of mussels and oysters from the study area.</t>
  </si>
  <si>
    <t>[Vieira, K. S.; Delgado, J. F.; Lima, L. S.; Souza, P. F.; Correa, T. R.; Aguiar, V. M. C.; Baptista Neto, J. A.; Fonseca, E. M.] Univ Fed Fluminense, Dept Geol Marinha LAGEMAR, Av Gen Milton Tavares de Souza S-N, BR-24210340 Niteroi, RJ, Brazil; [Crapez, M. A. C.] Univ Fed Fluminense, Dept Biol Marinha, Lab Microbiol Marinha MICROMAR, Outeiro Sao Joao Batista S-N, BR-24001970 Niteroi, RJ, Brazil</t>
  </si>
  <si>
    <t>Universidade Federal Fluminense; Universidade Federal Fluminense</t>
  </si>
  <si>
    <t>Aguiar, VMC (corresponding author), Univ Fed Fluminense, Dept Geol Marinha LAGEMAR, Av Gen Milton Tavares de Souza S-N, BR-24210340 Niteroi, RJ, Brazil.</t>
  </si>
  <si>
    <t>vaguiar@id.uff.br</t>
  </si>
  <si>
    <t>Aguiar, Valquiria/HZJ-5714-2023</t>
  </si>
  <si>
    <t>This research was funded by SNP (Secretaria Nacional de Portos) .</t>
  </si>
  <si>
    <t>10.1016/j.marpolbul.2021.112877</t>
  </si>
  <si>
    <t>http://dx.doi.org/10.1016/j.marpolbul.2021.112877</t>
  </si>
  <si>
    <t>AUG 2021</t>
  </si>
  <si>
    <t>UY7QA</t>
  </si>
  <si>
    <t>WOS:000701712600007</t>
  </si>
  <si>
    <t>BURGEOT, T; HIS, E; GALGANI, F</t>
  </si>
  <si>
    <t>THE MICRONUCLEUS ASSAY IN CRASSOSTREA-GIGAS FOR THE DETECTION OF SEAWATER GENOTOXICITY</t>
  </si>
  <si>
    <t>MUTATION RESEARCH-GENETIC TOXICOLOGY</t>
  </si>
  <si>
    <t>CRASSOSTREA GIGAS; MICRONUCLEUS TEST; HEMOCYTE; CELL CULTURE; POLLUTANT</t>
  </si>
  <si>
    <t>MYTILUS-EDULIS; MITOMYCIN-C; INDUCTION; GALLOPROVINCIALIS; ERYTHROCYTES; HEMOCYTES; WATERS</t>
  </si>
  <si>
    <t>The micronucleus (MN) test was performed in vivo and in vitro on the oyster Crassostrea gigas to evaluate the genotoxic effect of the marine environment. In vitro tests were carried out on adult and young (spat) specimens exposed to benzo[a]pyrene (BaP:0.5, 5, 500 and 1000 mu g.l(-1)) and an effluent (5, 50, 75 and 100%) of Seine Bay, one of the most highly contaminated sites in France. MN frequency observed after 48 h exposure to the two pollutants was much greater in adults than spats. A preliminary test of the genotoxic effect of BaP (0.05, 0.5, 1 and 500 mu g.l(-1)), cupric sulfate (10, 25, 50 and 100 mu g.l(-1)) and a paper mill effluent (1, 3, 10 and 30 mg.l(-1)) was performed in C. gigas heart cells cultured for 6 days. Comparison of the MN assay with the C. gigas larva test showed the clastogenic action of BaP and the toxic effect of cupric sulfate on culture cells as well as the slighter toxic effect of paper mill effluent on spats. An in vivo study was conducted in an oyster-farming area contaminated by cadmium and copper. MN frequency was not very sensitive to a pollution gradient but showed high interindividual variability. The absence of precise criteria for MN identification in mollusks and the identification of highly basophilic spherical inclusions in the cytoplasm of gill tissue hemocytes in oysters during viral infection are handicap for application of the micronuclei assay in the marine environment. Another limitation of the assay is the particularly onerous requirement for manual observation. Optimization of the assay by automated analysis is necessary but can only be achieved if cytologic preparations are of good quality.</t>
  </si>
  <si>
    <t>BURGEOT, T (corresponding author), INST FRANCAIS RECH EXPLOITAT MET, ECOTOXICOL LAB, BP 1049, F-44037 NANTES 01, FRANCE.</t>
  </si>
  <si>
    <t>0165-1218</t>
  </si>
  <si>
    <t>MUTAT RES-GENET TOX</t>
  </si>
  <si>
    <t>Mutat. Res.-Genet. Toxicol.</t>
  </si>
  <si>
    <t>10.1016/0165-1218(95)90022-5</t>
  </si>
  <si>
    <t>http://dx.doi.org/10.1016/0165-1218(95)90022-5</t>
  </si>
  <si>
    <t>Genetics &amp; Heredity; Toxicology</t>
  </si>
  <si>
    <t>QQ099</t>
  </si>
  <si>
    <t>WOS:A1995QQ09900003</t>
  </si>
  <si>
    <t>Abreu, IM; Cordeiro, RC; Soares-Gomes, A; Abessa, DMS; Maranho, LA; Santelli, RE</t>
  </si>
  <si>
    <t>Abreu, Ilene Matano; Cordeiro, Renato Campello; Soares-Gomes, Abilio; Abessa, Denis Moledo S.; Maranho, Luciane Alves; Santelli, Ricardo Erthal</t>
  </si>
  <si>
    <t>Ecological risk evaluation of sediment metals in a tropical Euthrophic Bay, Guanabara Bay, Southeast Atlantic</t>
  </si>
  <si>
    <t>Geo-accumulation index; Enrichment factor; Heavy metals; Southeast Atlantic; Brazil</t>
  </si>
  <si>
    <t>RIO-DE-JANEIRO; HEAVY-METALS; QUALITY GUIDELINES; ESTUARY; CONTAMINATION; TOXICITY; BIOAVAILABILITY; BRAZIL; SPECIATION; MUSSELS</t>
  </si>
  <si>
    <t>Surface sediments were collected from Guanabara Bay, at 14 stations distributed in five sectors, over three sampling campaigns. Analyses of metals, grain size fractions and total organic carbon analyses were performed. The geo-accumulation index and the enrichment factor were estimated to assess contamination status based on background values. Additionally, the sediment quality guidelines were applied to evaluate the adverse biological effects. Results show that there was no seasonal variation in sediment quality based on any methodology, and all methods utilized showed that NW sector and HRJ sector were the worst affected and that the NE sector had the best conditions. The sediments of GB are polluted mainly by Cr, Pb and Zn. According to Sigma SEM/AVS, these metals are not available to the biota, although toxicity tests dispute this. Among the various methods employed, those using background values for the area seem to best reflect the local historical contamination. (C) 2016 Elsevier Ltd. All rights reserved.</t>
  </si>
  <si>
    <t>[Abreu, Ilene Matano; Cordeiro, Renato Campello] Univ Fed Fluminense, Dept Geoquim, BR-24020150 Niteroi, RJ, Brazil; [Soares-Gomes, Abilio] Univ Fed Fluminense, Dept Biol Marinha, BR-24020150 Niteroi, RJ, Brazil; [Abessa, Denis Moledo S.; Maranho, Luciane Alves] Univ Estadual Paulista, Campus Expt Litoral Paulista CLP, BR-11330900 Sao Vicente, SP, Brazil; [Abreu, Ilene Matano] Univ Fed Bahia, Dept Oceanog, BR-40170110 Salvador, BA, Brazil; [Santelli, Ricardo Erthal] Univ Fed Rio de Janeiro, Dept Quim Analit, BR-21941909 Rio De Janeiro, RJ, Brazil</t>
  </si>
  <si>
    <t>Universidade Federal Fluminense; Universidade Federal Fluminense; Universidade Estadual Paulista; Universidade Federal da Bahia; Universidade Federal do Rio de Janeiro</t>
  </si>
  <si>
    <t>Abreu, IM (corresponding author), Univ Fed Fluminense, Dept Biol Marina, POB 100-644, BR-24001970 Niteroi, RJ, Brazil.</t>
  </si>
  <si>
    <t>ileneabreu@yahoo.com.br</t>
  </si>
  <si>
    <t>Santelli, Ricardo/W-2664-2019; Maranho, Luciane/AAG-1067-2020; Abreu, Ilene/AAB-6052-2021; Campello Cordeiro, Renato/J-8870-2013; Abessa, Denis/D-6507-2014; Alves Maranho, Luciane/N-8030-2013; Santelli, Ricardo Erthal/J-3123-2013</t>
  </si>
  <si>
    <t>Campello Cordeiro, Renato/0000-0002-6785-601X; Abessa, Denis/0000-0003-4609-1668; Alves Maranho, Luciane/0000-0002-0550-9477; Santelli, Ricardo Erthal/0000-0001-9812-6098; Polivanov, Helena/0000-0003-1331-9224</t>
  </si>
  <si>
    <t>Fundacao de Amparo a Pesquisa do Estado do Rio de Janeiro (FAPERJ) [E26/111.190/2011]</t>
  </si>
  <si>
    <t>Fundacao de Amparo a Pesquisa do Estado do Rio de Janeiro (FAPERJ)(Fundacao Carlos Chagas Filho de Amparo a Pesquisa do Estado do Rio De Janeiro (FAPERJ))</t>
  </si>
  <si>
    <t>The authors acknowledge research support from the Fundacao de Amparo a Pesquisa do Estado do Rio de Janeiro (FAPERJ), process: E26/111.190/2011-Variabilidade climatica, oceanica e antropica na Baia de Guanabara: perspectiva comparativa em diversas escalas temporais. The authors also thank the comments from two anonymous reviewers and Wilson Thadeu Vale Machado who helped improve this contribution.</t>
  </si>
  <si>
    <t>10.1016/j.marpolbul.2016.05.030</t>
  </si>
  <si>
    <t>http://dx.doi.org/10.1016/j.marpolbul.2016.05.030</t>
  </si>
  <si>
    <t>WOS:000381650200062</t>
  </si>
  <si>
    <t>Kuprijanov, I; Buhhalko, N; Eriksson, U; Sjöberg, V; Rotander, A; Kolesova, N; Lipp, M; Buschmann, F; Hashmi, A; Liblik, T; Lehtonen, KK</t>
  </si>
  <si>
    <t>Kuprijanov, Ivan; Buhhalko, Natalja; Eriksson, Ulrika; Sjoberg, Viktor; Rotander, Anna; Kolesova, Natalja; Lipp, Maarja; Buschmann, Fred; Hashmi, Arslan; Liblik, Taavi; Lehtonen, Kari K.</t>
  </si>
  <si>
    <t>A case study on microlitter and chemical contaminants: Assessing biological effects in the southern coast of the Gulf of Finland (Baltic sea) the mussel trossulus as a bioindicator</t>
  </si>
  <si>
    <t>Mussels; Chemical pollution; Anthropogenic microfibers; Biomarkers; Biomonitoring</t>
  </si>
  <si>
    <t>POLYCYCLIC AROMATIC-HYDROCARBONS; INTEGRATED BIOMARKER RESPONSE; PERSISTENT ORGANIC POLLUTANTS; MYTILUS-EDULIS; POLYCHLORINATED-BIPHENYLS; VISUAL IDENTIFICATION; POLLUTION GRADIENT; OXIDATIVE STRESS; BIVALVE MOLLUSKS; WATER EXCHANGE</t>
  </si>
  <si>
    <t>Chemical and microlitter (ML) pollution in three Estonian coastal areas (Baltic Sea) was investigated using mussels ( Mytilus trossulus ). Polycyclic aromatic hydrocarbons (PAH) in mussel tissues were observed in moderate levels with high bioaccumulation factors for the more hydrophilic and low molecular weight PAH (LMW PAH), namely anthracene and fluorene. Tissue concentrations of polybrominated diphenyl ethers (PBDE) and cadmium within mussel populations exceeded the Good Environmental Status thresholds by more than 200% and 60%, respectively. Multiple contamination at the Muuga Harbour site by tributyltin, high molecular weight PAH, including the highly toxic benzo[c]fluorene and PBDE, coincided with the inhibition of acetylcholinesterase activity and a lower condition index of the mussels. The metabolization and removal of bioaccumulated LMW PAH, reflected in the dominance of oxy-PAH such as anthracene-9,10-dione, is likely associated with the increased activity of glutathione S-transferase in caged mussels. Only a few microplastic particles were observed among the ML in mussel tissues, with coloured cellulose-based microfibers being the most prevalent. The average concentration of ML in mussels was significantly higher at the harbour area than at other sites. The integrated biomarker response index values allowed for the differentiation of pollution levels across studied locations representing high, intermediate, and low pollution levels within the studied area.</t>
  </si>
  <si>
    <t>[Kuprijanov, Ivan; Buhhalko, Natalja; Kolesova, Natalja; Lipp, Maarja; Buschmann, Fred; Liblik, Taavi] Tallinn Univ Technol, Dept Marine Syst, Akad Tee 15A, EE-12618 Tallinn, Estonia; [Eriksson, Ulrika; Sjoberg, Viktor; Rotander, Anna; Hashmi, Arslan] Orebro Univ, Sch Sci &amp; Technol, Grenadjargatan 8, Orebro 70365, Sweden; [Lehtonen, Kari K.] Finnish Environm Inst Syke, Marine &amp; Freshwater Solut Unit, Agnes Sjobergin Katu 2, FI-00790 Helsinki, Finland</t>
  </si>
  <si>
    <t>Tallinn University of Technology; Orebro University; Finnish Environment Institute</t>
  </si>
  <si>
    <t>Kuprijanov, I (corresponding author), Akad Tee 15a, EE-12618 Tallinn, Estonia.</t>
  </si>
  <si>
    <t>ivan.kuprijanov@taltech.ee</t>
  </si>
  <si>
    <t>Buhhalko, Natalja/N-5255-2019; Liblik, Taavi/G-7747-2017; Rotander, Anna/A-2617-2013; Kuprijanov, Ivan/AAT-3588-2021; Kolesova, Natalja/AFK-0571-2022; Lipp, Maarja/GQZ-0650-2022</t>
  </si>
  <si>
    <t>European Neighbour- hood Instrument; European Union [ER90]; JPI Oceans by Estonian Ministry of the Environment; Estonian Research Council; European Biodiversity Partnership Bio-diversa + [2021-473]; Environmental Investment Centre [KIK 17253]; Estonian Research Council [PRG602, 4-8/23/4]</t>
  </si>
  <si>
    <t>European Neighbour- hood Instrument; European Union(European Union (EU)); JPI Oceans by Estonian Ministry of the Environment; Estonian Research Council(Estonian Research Council); European Biodiversity Partnership Bio-diversa +; Environmental Investment Centre; Estonian Research Council(Estonian Research Council)</t>
  </si>
  <si>
    <t>We acknowledge colleagues from the Department of Marine Systems (TalTech) , namely Urmas Lips, Kaimo Vahter, Enriko Siht and the crew of the R/V Salme, for comprehensive support in the organization and conduction of the fieldworks. We would like to acknowledge Raisa Turja (Syke) for her guidance on the implementation of the biomarker and caging methods. This study was funded by: the European Neighbour- hood Instrument and co -financed by the European Union (project HAZLESS, grant number: ER90) ; the project RESPONSE, funded by JPI Oceans through support by Estonian Ministry of the Environment and the Estonian Research Council; European Biodiversity Partnership Bio-diversa + (project D2P, grant number: 2021-473) , and Environmental Investment Centre (grant number: KIK 17253) and by the Estonian Research Council (grant numbers PRG602, 4-8/23/4) .</t>
  </si>
  <si>
    <t>10.1016/j.marenvres.2024.106628</t>
  </si>
  <si>
    <t>http://dx.doi.org/10.1016/j.marenvres.2024.106628</t>
  </si>
  <si>
    <t>YA8V8</t>
  </si>
  <si>
    <t>WOS:001265864800001</t>
  </si>
  <si>
    <t>Franco, J; Borja, A; Solaun, O; Pérez, V</t>
  </si>
  <si>
    <t>Heavy metals in molluscs from the Basque Coast (Northern Spain):: results from an 11-year monitoring programme</t>
  </si>
  <si>
    <t>MUSSEL WATCH; TRENDS</t>
  </si>
  <si>
    <t>AZTI Fdn, Dept Oceanog &amp; Marine Environm, Pasaia 20110, Gipuzkoa, Spain</t>
  </si>
  <si>
    <t>AZTI Fdn, Dept Oceanog &amp; Marine Environm, Herrera Kaia,Portu Aldea ZG, Pasaia 20110, Gipuzkoa, Spain.</t>
  </si>
  <si>
    <t>jfranco@pas.azti.es</t>
  </si>
  <si>
    <t>; Borja, Angel/I-3665-2018</t>
  </si>
  <si>
    <t>Franco, Javier/0000-0002-8629-3558; Borja, Angel/0000-0003-1601-2025; Solaun, Oihana/0000-0001-9524-4101</t>
  </si>
  <si>
    <t>PII S0025-326X(02)00122-4</t>
  </si>
  <si>
    <t>10.1016/S0025-326X(02)00122-4</t>
  </si>
  <si>
    <t>http://dx.doi.org/10.1016/S0025-326X(02)00122-4</t>
  </si>
  <si>
    <t>WOS:000178361200026</t>
  </si>
  <si>
    <t>Schaefer, CM; Deslauriers, D; Jeffries, KM</t>
  </si>
  <si>
    <t>Schaefer, Christina M.; Deslauriers, David; Jeffries, Ken M.</t>
  </si>
  <si>
    <t>The truncate soft-shell clam, Mya truncata, as a biomonitor of municipal wastewater exposure and historical anthropogenic impacts in the Canadian Arctic</t>
  </si>
  <si>
    <t>ter; detergents; pharmaceuticals; personal care products; polycyclic</t>
  </si>
  <si>
    <t>MULTIXENOBIOTIC RESISTANCE MECHANISM; OYSTER CRASSOSTREA-GIGAS; FRESH-WATER; OXIDATIVE STRESS; GENE-EXPRESSION; BIVALVE SHELLS; MARINE; RESPONSES; IDENTIFICATION; GROWTH</t>
  </si>
  <si>
    <t>Municipal wastewater is a large source of pollution to Canadian waters, yet its effects on Arctic marine ecosystems remains relatively unknown. We characterized the impacts of municipal wastewater from a growing northern community, Iqa-luit, Nunavut, on the Arctic truncate soft-shell clam, Mya truncata. Clams were sampled from six locations that varied in proxim-ity to the wastewater treatment plant, and shell biogeochemical analysis revealed that clams nearest the wastewater treatment plant had slower growth rates, lower carbon and oxygen stable isotope ratios, and elevated concentrations of copper and lead. A parallel analysis on mRNA expression profiles characterized M. truncata's physiological response to wastewater effluent. Clams nearest the wastewater treatment plant had significantly lower mRNA expression of genes associated with metabolism, antioxi-dants, molecular chaperones, and phase I and II detoxification, but had heightened mRNA expression in genes coding for enzymes that bind and remove contaminants. These results demonstrated a biological response to Iqaluit's wastewater effluent and highlight M. truncata's potential to act as a biomonitor of municipal wastewater along Arctic coastlines in Canada.</t>
  </si>
  <si>
    <t>[Schaefer, Christina M.; Jeffries, Ken M.] Univ Manitoba, Winnipeg, MB, Canada; [Schaefer, Christina M.; Deslauriers, David] Fisheries &amp; Oceans Canada, Winnipeg, MB, Canada; [Deslauriers, David] Univ Quebec Rimouski, Rimouski, PQ, Canada</t>
  </si>
  <si>
    <t>University of Manitoba; Fisheries &amp; Oceans Canada; University of Quebec; Universite du Quebec a Rimouski</t>
  </si>
  <si>
    <t>Schaefer, CM (corresponding author), Univ Manitoba, Winnipeg, MB, Canada.</t>
  </si>
  <si>
    <t>schaeferchristina15@gmail.com</t>
  </si>
  <si>
    <t>Fisheries and Oceans Canada (DFO) Coastal Environmental Baseline Program; NSERC [05479]; University of Manitoba University Indigenous Research Program grant (UM) [50683]</t>
  </si>
  <si>
    <t>Fisheries and Oceans Canada (DFO) Coastal Environmental Baseline Program; NSERC(Natural Sciences and Engineering Research Council of Canada (NSERC)); University of Manitoba University Indigenous Research Program grant (UM)</t>
  </si>
  <si>
    <t>This project was supported by funds from Fisheries and Oceans Canada (DFO) Coastal Environmental Baseline Program to DD, as well as an NSERC Discovery Grant (#05479) awarded to KMJ, and a University of Manitoba University Indigenous Research Program grant (UM project #50683) awarded to KMJ and DD. We thank the reviewers whose helpful comments and suggestions greatly improved this manuscript. We thank the Amaruq Hunters and Trappers Association for their guidance and collection license. We also thank Christopher Lewis, Davidee Qaumariaq, and Alex Flaherty for their field assistance, coordination, and sample collection. Moreover, we thank Jordan Kroeker and Isabel Hilgendag for their field and sample collection assistance. We gratefully acknowledge Mark Ouellette for constructing the site map and Daniel Gedig for acting as a secondary ager for this study. Furthermore, we thank Victoria Sleight for providing annotated reference transcriptomes. We appreciate Panseok Yang for help with operating the LA-ICP-MS and Misuk Yun for operating and conducting stable isotope analyses. We thank Dirk Weihrauch and Mark Hanson for input on analyses and interpretations and Jason Treberg for the use of his microscope.</t>
  </si>
  <si>
    <t>10.1139/cjfas-2021-0078</t>
  </si>
  <si>
    <t>http://dx.doi.org/10.1139/cjfas-2021-0078</t>
  </si>
  <si>
    <t>ZI2ST</t>
  </si>
  <si>
    <t>Green Submitted, hybrid</t>
  </si>
  <si>
    <t>WOS:000761477200001</t>
  </si>
  <si>
    <t>Geret, F; Manduzio, H; Company, R; Leboulenger, F; Bebianno, MJ; Danger, JM</t>
  </si>
  <si>
    <t>Molecular cloning of superoxide dismutase (Cu/Zn-SOD) from aquatic molluscs</t>
  </si>
  <si>
    <t>superoxide dismutase; cDNA; molluscs; Ruditapes decussatus; Bathymodiolus azoricus; Dreissena polymorpha</t>
  </si>
  <si>
    <t>The potential of the first line of the active oxygen-scavenging system, partial cDNA encoding Cu/Zn superoxide dismutase (SOD) was isolated in three aquatic mollusc species: Ruditapes decussatus (marine clam), Dreissena polymorpha (continental water mussel) and Bathymodiolus azoricus (hydrothermal vent mussel). These SOD cDNA fragments were amplified by PCR with degenerate oligonucleotide primers derived from the amino acid sequence conserved in the Cu/ Zn-SOD from several other organisms. A partial cDNA of CuZn-SOD was obtained for R. decussates (510 bp), D. polymorpha (510 bp) and B. azoricus (195 bp). The deduced amino acid sequence showed high similarity among the three mollusc species (57-63%) and among other species (50-65%). The residues involved in coordinating copper (His-47, 49, 64, 121) and zinc (His-64, 72, 81 and Asp-84) were well conserved among the three Cu/Zn-SOD sequences. (C) 2004 Elsevier Ltd. All rights reserved.</t>
  </si>
  <si>
    <t>Univ Algarve, Fac Ciencias Mar &amp; Ambiente, CIMA, P-8000 Faro, Portugal; IFREMER, DEL PC, F-44311 Nantes 3, France; Univ Havre, UPRES EA 3222, Lab Ecotoxicol Milieux Aquat, F-76058 Le Havre, France</t>
  </si>
  <si>
    <t>Universidade do Algarve; Ifremer; Universite de Reims Champagne-Ardenne; Universite Le Havre Normandie</t>
  </si>
  <si>
    <t>Univ Algarve, Fac Ciencias Mar &amp; Ambiente, CIMA, Campus Gambelas, P-8000 Faro, Portugal.</t>
  </si>
  <si>
    <t>Bebianno, Maria/0000-0003-1492-8566; Company, Rui/0000-0001-9947-254X</t>
  </si>
  <si>
    <t>10.1016/j.marenvres.2004.03.052</t>
  </si>
  <si>
    <t>http://dx.doi.org/10.1016/j.marenvres.2004.03.052</t>
  </si>
  <si>
    <t>WOS:000222199100073</t>
  </si>
  <si>
    <t>Petrovic, S; Ozretic, B; Krajnovic-Ozretic, M; Bobinac, D</t>
  </si>
  <si>
    <t>Lysosomal membrane stability and metallothioneins in digestive gland of mussels (Mytilus galloprovincialis Lam.) as biomarkers in a field study</t>
  </si>
  <si>
    <t>biomonitoring; digestive gland; lysosomal membrane stability; metallothioneins; mussels; North Adriatic</t>
  </si>
  <si>
    <t>ENVIRONMENTAL CONTAMINANTS; RESPONSES; CELLS; EDULIS; TOXICITY; EXPOSURE</t>
  </si>
  <si>
    <t>The lysosomal membrane destabilization and the metallothionein content in the digestive gland cells of mussels (Mytilus galloprovincialis Lam.), collected along the east coast of the North Adriatic (Istrian and Kvarnerine coast, Croatia), were examined over a period of four years (1996-1999). The lysosomal membrane stability, as a biomarker of general stress, showed that the membrane labilization period in mussels from polluted, urban- and industrial-related areas was significantly decreased (p &lt; 0.05) when compared to mussels from control, clean seawater sites. In the harbour of Rijeka, the most contaminated site, the lysosomal membrane stability was reduced by more than 70% compared to the control. This method also proved to be a useful biomarker for detection of additional stress caused by short-term hypoxia that occurred once during this study inside the polluted and periodically quite eutrophic Pula Harbour. The concentration of metallothioneins in the mussel digestive gland, as a specific biomarker of exposure to heavy metals, did not reveal significant differences (p &lt; 0.05) between sites covered by this study. (C) 2001 Elsevier Science Ltd. All rights reserved.</t>
  </si>
  <si>
    <t>Rudjer Boskovic Inst, Ctr Marine Res, Rovinj 52210, Croatia; Univ Rijeka, Sch Med, Dept Anat, Rijeka 51000, Croatia</t>
  </si>
  <si>
    <t>Rudjer Boskovic Inst, Ctr Marine Res, G Paliaga 5, Rovinj 52210, Croatia.</t>
  </si>
  <si>
    <t>spetrovic@cim.irb.hr</t>
  </si>
  <si>
    <t>; Bobinac, dragica/S-2851-2018</t>
  </si>
  <si>
    <t>Petrovic, Sinisa/0000-0003-0542-223X; Bobinac, dragica/0000-0002-6998-9799</t>
  </si>
  <si>
    <t>10.1016/S0025-326X(01)00167-9</t>
  </si>
  <si>
    <t>http://dx.doi.org/10.1016/S0025-326X(01)00167-9</t>
  </si>
  <si>
    <t>507VP</t>
  </si>
  <si>
    <t>WOS:000173052200026</t>
  </si>
  <si>
    <t>Clayton, JL; Miller, SA; Menendez, R</t>
  </si>
  <si>
    <t>Clayton, Janet L.; Miller, Shelly A.; Menendez, Raymond</t>
  </si>
  <si>
    <t>In-Situ Bioassay Response of Freshwater Mussels to Acid Mine Drainage Pollution and its Mitigation</t>
  </si>
  <si>
    <t>SOUTHEASTERN NATURALIST</t>
  </si>
  <si>
    <t>ANODONTA-CYGNEA; CADMIUM KINETICS; INTERMITTENT EXPOSURE; HEAVY-METALS; TRACE-METALS; CLAMS; ACCUMULATION; ZINC; BIVALVIA; MERCURY</t>
  </si>
  <si>
    <t>Many West Virginia watersheds have been affected by mining activities. Runoff water, known as acid mine drainage (AMD), is acidic and tends to have a high metal content. Over the last several decades, various strategies have been employed to remediate the conditions caused by AMD and restore water quality to levels that support diverse native organisms. Located in the Canaan Valley, Tucker County, WV, the Blackwater River and its tributaries have been the focus of restoration efforts. Limestone application has proved to be among the most successful treatments to raise pH and ameliorate the effects of AMD. Our objectives were to use the introduced freshwater mussel Strophitus undulatus (Creeper) in bioassays to determine the effects of AMD and AMD neutralization on the health and survival of individuals and the potential dispersal of the species. In addition, we sought to determine the effects on mussels of limestone sediments that accumulate as a result of water treatments.</t>
  </si>
  <si>
    <t>[Clayton, Janet L.; Miller, Shelly A.; Menendez, Raymond] West Virginia Div Nat Resources, Elkins, WV 26241 USA</t>
  </si>
  <si>
    <t>Clayton, JL (corresponding author), West Virginia Div Nat Resources, POB 67, Elkins, WV 26241 USA.</t>
  </si>
  <si>
    <t>Janet.L.Clayton@wv.gov</t>
  </si>
  <si>
    <t>West Virginia Department of Environmental Protection, Charleston, WV; US Geological Survey, Biological Resources Division, Leetown, WV</t>
  </si>
  <si>
    <t>This project was conducted through funding provided by the West Virginia Department of Environmental Protection, Charleston, WV, and the US Geological Survey, Biological Resources Division, Leetown, WV.</t>
  </si>
  <si>
    <t>HUMBOLDT FIELD RESEARCH INST</t>
  </si>
  <si>
    <t>STEUBEN</t>
  </si>
  <si>
    <t>PO BOX 9, STEUBEN, ME 04680-0009 USA</t>
  </si>
  <si>
    <t>1528-7092</t>
  </si>
  <si>
    <t>1938-5412</t>
  </si>
  <si>
    <t>SOUTHEAST NAT</t>
  </si>
  <si>
    <t>Southeast. Nat.</t>
  </si>
  <si>
    <t>10.1656/058.014.sp722</t>
  </si>
  <si>
    <t>http://dx.doi.org/10.1656/058.014.sp722</t>
  </si>
  <si>
    <t>CX3JH</t>
  </si>
  <si>
    <t>WOS:000365594500020</t>
  </si>
  <si>
    <t>Hu, WT; Culloty, S; Darmody, G; Lynch, S; Davenport, J; Ramirez-Garcia, S; Dawson, K; Lynch, I; Doyle, H; Sheehan, D</t>
  </si>
  <si>
    <t>Hu, Wentao; Culloty, Sarah; Darmody, Grainne; Lynch, Sharon; Davenport, John; Ramirez-Garcia, Sonia; Dawson, Kenneth; Lynch, Iseult; Doyle, Hugh; Sheehan, David</t>
  </si>
  <si>
    <t>Neutral red retention time assay in determination of toxicity of nanoparticles</t>
  </si>
  <si>
    <t>Mytilus; Metal oxide; Lysosome; Membrane stability; Neutral red; NRRT</t>
  </si>
  <si>
    <t>TITANIUM-DIOXIDE NANOPARTICLES; OXIDATIVE STRESS; MYTILUS-EDULIS; GILL INJURY; IN-VITRO; CELLS; CYTOTOXICITY; ORGANISMS; RESPONSES; HEALTH</t>
  </si>
  <si>
    <t>The neutral red retention time (NRRT) assay is useful for detecting decreased lysosomal membrane stability in haemocytes sampled from bivalves, a phenomenon often associated with exposure to environmental pollutants including nanomaterials. Bivalves are popular sentinel species in ecotoxicology and use of NRRT in study of species in the genus Mytilus is widespread in environmental monitoring. The NRRT assay has been used as an in vivo test for toxicity of carbon nanoparticles (Moore MN, Readman JAJ, Readman JW, Lowe DM, Frickers PE, Beesley A. 2009. Lysosomal cytotoxicity of carbon nanoparticles in cells of the molluscan immune system: An in vivo study. Nanotoxicology. 3 (1), 40-45). We here report application of this assay adapted to a microtitre plate format to a panel of metal and metal oxide nanoparticles (2 ppm). This showed that copper, chromium and cobalt nanoparticles are toxic by this criterion while gold and titanium nanoparticles are not. As the former three nanoparticles are often reported to be cytotoxic while the latter two are thought to be non-cytotoxic, these data support use of NRRT as a general in vitro assay in nanotoxicology. (C) 2015 Elsevier Ltd. All rights reserved.</t>
  </si>
  <si>
    <t>[Hu, Wentao; Sheehan, David] Natl Univ Ireland Univ Coll Cork, Environm Res Inst, Cork, Ireland; [Hu, Wentao; Sheehan, David] Natl Univ Ireland Univ Coll Cork, Sch Biochem &amp; Cell Biol, Cork, Ireland; [Culloty, Sarah; Darmody, Grainne; Lynch, Sharon; Davenport, John] Natl Univ Ireland Univ Coll Cork, Aquaculture &amp; Fisheries Dev Ctr, Sch Biol Earth &amp; Environm Sci, Cork, Ireland; [Ramirez-Garcia, Sonia; Dawson, Kenneth] Univ Coll Dublin, Ctr BioNano Interact, Dublin, Ireland; [Ramirez-Garcia, Sonia; Dawson, Kenneth] Univ Coll Dublin, Dept Phys Chem, Dublin, Ireland; [Lynch, Iseult] Univ Birmingham, Sch Geog Earth &amp; Environm Sci, Birmingham B15 2TT, W Midlands, England; [Doyle, Hugh] Natl Univ Ireland Univ Coll Cork, Tyndall Natl Lab, Cork, Ireland</t>
  </si>
  <si>
    <t>University College Cork; University College Cork; University College Cork; University College Dublin; University College Dublin; University of Birmingham; University College Cork</t>
  </si>
  <si>
    <t>Sheehan, D (corresponding author), Natl Univ Ireland Univ Coll Cork, Sch Biochem &amp; Cell Biol, Western Gateway Bldg, Cork, Ireland.</t>
  </si>
  <si>
    <t>d.sheehan@ucc.ie</t>
  </si>
  <si>
    <t>Sheehan, David/ABB-5315-2020; Doyle, Hugh/A-1859-2012; Lynch, Iseult/I-3915-2014; Dawson, Kenneth A./L-2540-2016</t>
  </si>
  <si>
    <t>Doyle, Hugh/0000-0002-1453-1887; Lynch, Iseult/0000-0003-4250-4584; Dawson, Kenneth A./0000-0002-0568-6588; Lynch, Sharon/0000-0002-4542-7150</t>
  </si>
  <si>
    <t>Seventh Framework of the European Union [NMP4-SL-2008-214547]</t>
  </si>
  <si>
    <t>Seventh Framework of the European Union(European Union (EU))</t>
  </si>
  <si>
    <t>This study was performed as part of the NeuroNano project (NMP4-SL-2008-214547) funded by the Seventh Framework of the European Union.</t>
  </si>
  <si>
    <t>10.1016/j.marenvres.2015.05.007</t>
  </si>
  <si>
    <t>http://dx.doi.org/10.1016/j.marenvres.2015.05.007</t>
  </si>
  <si>
    <t>Green Accepted, Green Published</t>
  </si>
  <si>
    <t>WOS:000364726000018</t>
  </si>
  <si>
    <t>Romero-Ruiz, A; Amezcua, O; Rodríguez-Ortega, MJ; Muñoz, JL; Alhama, J; Rodríguez-Ariza, A; Gómez-Ariza, JL; López-Barea, J; Alhama, J; Rodríguez-Ariza, A; Gómez-Ariza, JL; López-Barea, J</t>
  </si>
  <si>
    <t>Oxidative stress biomarkers in bivalves transplanted to the Guadalquivir estuary after Aznalcollar spill</t>
  </si>
  <si>
    <t>Aznalcollar accident; bivalve mollusks; metal uptake; antioxidant defenses; oxidative damages</t>
  </si>
  <si>
    <t>BIOCHEMICAL BIOMARKERS; GLUTATHIONE STATUS; METAL; ORGANISMS; CADMIUM; DNA; METALLOTHIONEIN; PEROXIDATION; POLLUTION; FISH</t>
  </si>
  <si>
    <t>Biological effects of metals were studied in clams (Scrobicularia plana) transplanted to Guadalquivir estuary (Spain) at several times after the spill of toxic metals from Aznalcollar pyrite mine (southwest Spain) (April 1998) using biochemical biomarkers responsive to reactive oxygen species. Significant As, Cd, Fe, Mn, Ni, and Pb uptake was found in clams living for seven months at the estuary (from July 1999). Increased activity of antioxidant (catalase, glucose-6-phosphate, and 6-phosphogluconate dehydrogenase) and glutathione-related (glutathione reductase and glyoxalase I and II) enzymes was also found after short exposures; the levels of malondialdehyde and metallothionein increased also, particularly with long exposures. Clams living four weeks at the estuary (from March 2000) but not at a reference site also accumulated metals. The higher malondialdehyde and lower reduced-glutathione levels and the more oxidized glutathione status confirmed the oxidative stress of clams living at the estuary, while no marked increase of antioxidant activities was found this time. Lower metal availability along the second transplant could explain the limited responses in this shorter experiment. Although the status of Guadalquivir estuary has recovered since Aznalcollar spill, continuous monitoring is needed to confirm its progress and to be alert to possible deterioration after heavy rains.</t>
  </si>
  <si>
    <t>Univ Cordoba, Dept Biochem &amp; Mol Biol, E-14071 Cordoba, Spain; CICEM El Toruna, Cadiz 11500, Spain; Univ Huelva, Dept Chem &amp; Mat Sci, La Rabida 21819, Huelva, Spain</t>
  </si>
  <si>
    <t>Universidad de Cordoba; Universidad de Huelva</t>
  </si>
  <si>
    <t>bb1lobaj@uco.es</t>
  </si>
  <si>
    <t>Rodriguez-Ariza, Antonio/JAO-0548-2023; Romero-Ruiz, Antonio/ABF-2083-2020; Lopez-Barea, Juan/K-7258-2014; Alhama-Carmona, Jose/H-6379-2015; Rodriguez-Ariza, Antonio/U-4854-2017; Romero Ruiz, Antonio/H-7107-2015; Gomez-Ariza, Jose Luis/G-5525-2015; Rodriguez-Ortega, Manuel J./L-8244-2014</t>
  </si>
  <si>
    <t>Lopez-Barea, Juan/0000-0002-2280-3379; Alhama-Carmona, Jose/0000-0002-3931-263X; Rodriguez-Ariza, Antonio/0000-0001-5304-5745; Romero Ruiz, Antonio/0000-0002-7651-9402; Gomez-Ariza, Jose Luis/0000-0001-7997-7444; Rodriguez-Ortega, Manuel J./0000-0002-8744-7045</t>
  </si>
  <si>
    <t>10.1002/etc.5620220112</t>
  </si>
  <si>
    <t>http://dx.doi.org/10.1002/etc.5620220112</t>
  </si>
  <si>
    <t>626PF</t>
  </si>
  <si>
    <t>WOS:000179881200012</t>
  </si>
  <si>
    <t>Pandey, A; Singh, A; Holeyappa, SA; Kaur, H</t>
  </si>
  <si>
    <t>Pandey, Abhed; Singh, Avtar; Holeyappa, Shanthanagouda Admane; Kaur, Harsimranjit</t>
  </si>
  <si>
    <t>Enzymatic and antioxidant response of Lamellidens marginalis exposed to mercuric chloride</t>
  </si>
  <si>
    <t>INDIAN JOURNAL OF ANIMAL RESEARCH</t>
  </si>
  <si>
    <t>Antioxidants; Lamellidens marginalis; Mercuric chloride; Metabolic enzymes</t>
  </si>
  <si>
    <t>FRESH-WATER MUSSEL; OXIDATIVE STRESS; BIOMARKERS; TOXICITY; FISH; POLLUTION; ENZYMES; COPPER; LIVER</t>
  </si>
  <si>
    <t>In recent decades, pollution of freshwater and riverine ecosystems is indorsed to heavy metals contamination. Among various causes, heavy metals are the most concern. Many aquatic organisms have the ability to inhabit in contaminated environments, due to their defense mechanisms that allow detoxification, excretion, anti-oxidant protection and stress response. Lamellidens marginalis have the potential to accumulate the heavy metals. In the present study, the mussels were exposed to 1, 5, 10 and 15 ppm concentration of mercuric chloride for 96 hrs. Enzymatic and antioxidant parameters including catalase (CAT), superoxide dismutase (SOD), lactate dehydrogenase (LDH), hydrogen peroxide (HP) and lipid peroxidation (LPO) levels were used as effective criteria. All the parameters showed responses in gills, abductor muscle, mantle tissue, gills and gonads with exposure to HgCl2. Collectively, these parameters could be used as biomarker for heavy metals contamination in aquatic system using L. marginalis.</t>
  </si>
  <si>
    <t>[Pandey, Abhed; Singh, Avtar; Holeyappa, Shanthanagouda Admane; Kaur, Harsimranjit] Guru Angad Dev &amp; Vet Anim Sci Univ, Dept Aquaculture, Ludhiana 141004, Punjab, India; [Singh, Avtar] Prince Songkla Univ, Dept Food Technol, Hat Yai 90112, Songkhla, Thailand</t>
  </si>
  <si>
    <t>Guru Angad Dev Veterinary &amp; Animal Sciences University (GADVASU); Prince of Songkla University</t>
  </si>
  <si>
    <t>Pandey, A (corresponding author), Guru Angad Dev &amp; Vet Anim Sci Univ, Dept Aquaculture, Ludhiana 141004, Punjab, India.</t>
  </si>
  <si>
    <t>pandeyabhed@yahoo.com</t>
  </si>
  <si>
    <t>Pandey, Abhed/AAQ-6700-2020</t>
  </si>
  <si>
    <t>Admane Holeyappa, shanthanagouda/0000-0002-9907-1129</t>
  </si>
  <si>
    <t>UGC, Government of India, New Delhi</t>
  </si>
  <si>
    <t>UGC, Government of India, New Delhi(University Grants Commission, India)</t>
  </si>
  <si>
    <t>We are grateful to the UGC, Government of India, New Delhi for financially supporting this work and to the Dean, College of Fisheries, GADVASU Ludhiana for providing the facilities to carry out this work.</t>
  </si>
  <si>
    <t>AGRICULTURAL RESEARCH COMMUNICATION CENTRE</t>
  </si>
  <si>
    <t>KARNAL</t>
  </si>
  <si>
    <t>1130 SADAR BAZAR, POST OFFICE MARG, KARNAL 132 001, INDIA</t>
  </si>
  <si>
    <t>0367-6722</t>
  </si>
  <si>
    <t>INDIAN J ANIM RES</t>
  </si>
  <si>
    <t>Indian J. Anim. Res.</t>
  </si>
  <si>
    <t>B-3274</t>
  </si>
  <si>
    <t>10.18805/ijar.B-3274</t>
  </si>
  <si>
    <t>http://dx.doi.org/10.18805/ijar.B-3274</t>
  </si>
  <si>
    <t>Agriculture, Dairy &amp; Animal Science</t>
  </si>
  <si>
    <t>GZ9SX</t>
  </si>
  <si>
    <t>WOS:000449842800004</t>
  </si>
  <si>
    <t>Liberti, A; Bertocci, I; Pollet, A; Musco, L; Locascio, A; Ristoratore, F; Spagnuolo, A; Sordino, P</t>
  </si>
  <si>
    <t>Liberti, Assunta; Bertocci, Iacopo; Pollet, Amandine; Musco, Luigi; Locascio, Annamaria; Ristoratore, Filomena; Spagnuolo, Antonietta; Sordino, Paolo</t>
  </si>
  <si>
    <t>An indoor study of the combined effect of industrial pollution and turbulence events on the gut environment in a marine invertebrate</t>
  </si>
  <si>
    <t>Gastrointestinal system; Marine pollution; Ciona robusta; Innate immunity; Antioxidant defence</t>
  </si>
  <si>
    <t>ANTIBIOTIC-RESISTANCE GENES; POLYCYCLIC AROMATIC-HYDROCARBONS; CIONA-INTESTINALIS; MEAN INTENSITY; TEMPORAL VARIANCE; MYTILUS-GALLOPROVINCIALIS; VARIABLE REGIONS; OXIDATIVE STRESS; BAGNOLI NAPLES; OYSTER LARVAE</t>
  </si>
  <si>
    <t>Natural storms are able to determine reworking of seabed up to considerable depths and favour suspension of sediment-associated chemicals. Yet, a direct link between exposure to resuspended contaminants and the biological effects on marine organisms have to be fully established. We exposed adults of a suspension feeder, the ascidian Ciona robusta, to polluted sediment (e.g., containing mixtures of polycyclic aromatic hydrocarbons and heavy metals) from the industrial area of Bagnoli-Coroglio under two temporal patterns ('aggregated' vs. 'spaced') of turbulence events. Then, we assessed the impact of resuspended pollutants on the ascidian gut environment via four broad categories: oxidative stress, innate immunity, host-microbiota interactions, and epithelium. An early oxidative stress response was seen after a week of exposure to static sediment. Instead, water turbulence had no effect on the antioxidant defence. The first episode of turbulent suspension induced a minimal pro-inflammatory response in the 'spaced' pattern. Mucus overproduction and a complete occlusion of the crypt lumen were found following sediment reworking. This study suggests a protective response of the gut environment in marine invertebrates exposed to environmental extremes, leading to increased susceptibility to disease and to concerns on the combined effects of chronic environmental contamination and acute disturbance events possibly associated with climate change.</t>
  </si>
  <si>
    <t>[Liberti, Assunta; Locascio, Annamaria; Ristoratore, Filomena; Spagnuolo, Antonietta; Sordino, Paolo] Stn Zool Anton Dohrn, Dept Biol &amp; Evolut Marine Organisms, Naples, Italy; [Bertocci, Iacopo; Musco, Luigi] Stn Zool Anton Dohrn, Dept Integrated Marine Ecol, Naples, Italy; [Bertocci, Iacopo] Univ Pisa, Dept Biol, CoNISMa, Pisa, Italy; [Pollet, Amandine] Agrocampus Ouest, Rennes, France</t>
  </si>
  <si>
    <t>Stazione Zoologica Anton Dohrn di Napoli; Stazione Zoologica Anton Dohrn di Napoli; University of Pisa; CoNISMa; Institut Agro; Agrocampus Ouest</t>
  </si>
  <si>
    <t>Liberti, A; Sordino, P (corresponding author), Stn Zool Anton Dohrn, Dept Biol &amp; Evolut Marine Organisms, Naples, Italy.</t>
  </si>
  <si>
    <t>assunta.liberti@szn.it; paolo.sordino@szn.it</t>
  </si>
  <si>
    <t>Locascio, Annamaria/HLH-5698-2023; Liberti, Assunta/AAX-1026-2020; Musco, Luigi/AAY-8543-2021; Musco, Luigi/B-7986-2015; Bertocci, Iacopo/I-5121-2013</t>
  </si>
  <si>
    <t>Spagnuolo, Antonietta/0000-0001-6660-071X; Liberti, Assunta/0000-0001-9097-2871; Musco, Luigi/0000-0003-4750-4129; Bertocci, Iacopo/0000-0002-1519-1677</t>
  </si>
  <si>
    <t>Italian Ministry for Education, University and Research [508 C62F16000170001]</t>
  </si>
  <si>
    <t>Italian Ministry for Education, University and Research(Ministry of Education, Universities and Research (MIUR))</t>
  </si>
  <si>
    <t>This study was supported by the project Sperimentazioni pilota finalizzate al restauro ambientale e balneabilit.a del SIN BagnoliCoroglio (ABBaCo) funded by the Italian Ministry for Education, University and Research (grant no. 508 C62F16000170001). The funding source had no role in study design, data collection, analysis and interpretation, writing of the report, and decision to submit the article for publication.</t>
  </si>
  <si>
    <t>10.1016/j.marenvres.2020.104950</t>
  </si>
  <si>
    <t>http://dx.doi.org/10.1016/j.marenvres.2020.104950</t>
  </si>
  <si>
    <t>LU1UH</t>
  </si>
  <si>
    <t>WOS:000537546500001</t>
  </si>
  <si>
    <t>Hamza-Chaffai, A; Romeo, M; Gnassia-Barelli, M; El Abed, A</t>
  </si>
  <si>
    <t>Effect of copper and lindane on some biomarkers measured in the clam Ruditapes decussatus</t>
  </si>
  <si>
    <t>LIVER; ACETYLCHOLINESTERASE; POLLUTION; PROTEINS; BINDING; METALS; FISH</t>
  </si>
  <si>
    <t>Fac Med, CNRS, GDR 1117, Lab Physiol &amp; Toxicol Environnementales, F-06107 Nice 2, France; INSTM, Tunis 2025, Tunisia; IPEIS, Sfax 3000, Tunisia; CNRS, GDR 1117, Serv Ecotoxicol, Fac Pharm, F-44035 Nantes 1, France</t>
  </si>
  <si>
    <t>Centre National de la Recherche Scientifique (CNRS); Institut National des Sciences et Technologies de la Mer; Universite de Sfax; Nantes Universite; Centre National de la Recherche Scientifique (CNRS)</t>
  </si>
  <si>
    <t>Romeo, M (corresponding author), Fac Med, CNRS, GDR 1117, Lab Physiol &amp; Toxicol Environnementales, F-06107 Nice 2, France.</t>
  </si>
  <si>
    <t>10.1007/s001289900776</t>
  </si>
  <si>
    <t>http://dx.doi.org/10.1007/s001289900776</t>
  </si>
  <si>
    <t>114TX</t>
  </si>
  <si>
    <t>WOS:000075626200017</t>
  </si>
  <si>
    <t>Bielen, A; Bosnjak, I; Sepcic, K; Jaklic, M; Cvitanic, M; Lusic, J; Lajtner, J; Simcic, T; Hudina, S</t>
  </si>
  <si>
    <t>Bielen, Ana; Bosnjak, Ivana; Sepcic, Kristina; Jaklic, Martina; Cvitanic, Marija; Lusic, Jelena; Lajtner, Jasna; Simcic, Tatjana; Hudina, Sandra</t>
  </si>
  <si>
    <t>Differences in tolerance to anthropogenic stress between invasive and native bivalves</t>
  </si>
  <si>
    <t>Enzymatic biomarkers; Freshwater mussels; INT reduction capacity; Invasion success; MXR mechanism activity; Tolerance to stress</t>
  </si>
  <si>
    <t>TRANSPORT SYSTEM ETS; MULTIDRUG-RESISTANCE PROTEINS; ANODONTA-WOODIANA BIVALVIA; FRESH-WATER BIVALVE; MULTIXENOBIOTIC RESISTANCE; DREISSENA-POLYMORPHA; ZEBRA MUSSEL; SINANODONTA-WOODIANA; HEAVY-METALS; ACETYLCHOLINESTERASE ACTIVITY</t>
  </si>
  <si>
    <t>Tolerance towards environmental stress has been frequently considered as one of the key determinants of invasion success. However, empirical evidence supporting the assumption that invasive species can better endure unfavorable conditions compared with native species is limited and has yielded opposing results. In this study, we examined the tolerance to different stress conditions (thermal stress and trace metal zinc pollution stress) in two phylogenetically related and functionally similar freshwater bivalve species, the native Anodonta anatina and the invasive Sinanodonta woodiana. We assessed potential differences in response to stress conditions using several cellular response assays: efficiency of the multixenobiotic resistance mechanism, respiration estimate (INT reduction capacity), and enzymatic biomarkers. Our results demonstrated that the invasive species overall coped much better with unfavorable conditions. The higher tolerance of S. woodiana was evident from (i) significantly decreased Rhodamine B accumulation indicating more efficient multixenobiotic resistance mechanism; (ii) significantly higher INT reduction capacity and (iii) less pronounced alterations in the activity of stress-related enzymes (glutathione-S-transferase, catalase) and of a neurotoxicity biomarker (cholinesterase) in the majority of treatment conditions in both stress trials. Higher tolerance to thermal extremes may provide physiological benefit for further invasion success of S. woodiana in European freshwaters, especially in the context of climate change. (C) 2015 Elsevier B.V. All rights reserved.</t>
  </si>
  <si>
    <t>[Bielen, Ana; Bosnjak, Ivana] Univ Zagreb, Fac Food Technol &amp; Biotechnol, Dept Biochem Engn, Zagreb 10000, Croatia; [Sepcic, Kristina] Univ Ljubljana, Biotech Fac, Dept Biol, Ljubljana 1000, Slovenia; [Jaklic, Martina; Simcic, Tatjana] Natl Inst Biol, Ljubljana 1000, Slovenia; [Cvitanic, Marija; Lajtner, Jasna; Hudina, Sandra] Univ Zagreb, Dept Biol, Fac Sci, Zagreb 10000, Croatia; [Lusic, Jelena] Inst Oceanog &amp; Fisheries, Lab Chem Oceanog &amp; Sedimentol Sea, Split 21000, Croatia; [Bosnjak, Ivana] Univ Zagreb, Dept Bot, Fac Sci, Zagreb 10000, Croatia</t>
  </si>
  <si>
    <t>University of Zagreb; University of Ljubljana; National Institute of Biology - Slovenia; University of Zagreb; Croatian Institute of Oceanography &amp; Fisheries (IZOR); University of Zagreb</t>
  </si>
  <si>
    <t>Bielen, A (corresponding author), Univ Zagreb, Fac Food Technol &amp; Biotechnol, Dept Biochem Engn, Pierottijeva 6, Zagreb 10000, Croatia.</t>
  </si>
  <si>
    <t>abielen@pbf.hr; shudina@biol.pmf.hr</t>
  </si>
  <si>
    <t>Lusic, Jelena/AAM-5326-2021; Sepcic, Kristina/S-5533-2018; Babic, Ivana/KFT-0807-2024</t>
  </si>
  <si>
    <t>Simcic, Tatjana/0000-0001-6540-926X; Lusic, Jelena/0000-0002-4084-1838; Lajtner, Jasna/0000-0002-6427-0750; Babic, Ivana/0000-0003-0272-5788; Bielen, Ana/0000-0002-4486-6688</t>
  </si>
  <si>
    <t>Ministry of Science, Education and Sports of the Republic of Croatia [058-0582261-2246]; Croatian Science Foundation [6433]; Slovenian Research Agency [P1-0255, BI-HR/12-13-026]</t>
  </si>
  <si>
    <t>Ministry of Science, Education and Sports of the Republic of Croatia(Ministry of Science, Education and Sports, Republic of Croatia); Croatian Science Foundation; Slovenian Research Agency(Slovenian Research Agency - Slovenia)</t>
  </si>
  <si>
    <t>This research was funded by Ministry of Science, Education and Sports of the Republic of Croatia (Project No 058-0582261-2246), supported in part by Croatian Science Foundation (Project No 6433) and by the Slovenian Research Agency (Research Program P1-0255 and Project BI-HR/12-13-026). Authors would like to thank Petar Crncan (Croatian Natural History Museum), Lidija Buzuk (Faculty of Food Technology and Biotechnology, Zagreb, Croatia), Sasa Likic (University of Zagreb, Faculty of Science, Department of Botany, Zagreb, Croatia) and Luka Mrzelj (University of Ljubljana, Biotechnical faculty, Department of Biology, Ljubljana) for assistance with the experiments, and Tvrtko Smital (Ruder Boskovic Institute, Zagreb, Croatia) for help with the interpretation of RB assay results.</t>
  </si>
  <si>
    <t>10.1016/j.scitotenv.2015.11.049</t>
  </si>
  <si>
    <t>http://dx.doi.org/10.1016/j.scitotenv.2015.11.049</t>
  </si>
  <si>
    <t>DA2OL</t>
  </si>
  <si>
    <t>WOS:000367635600047</t>
  </si>
  <si>
    <t>Kamardin, NN; Szucs, A; Rózsa, KS</t>
  </si>
  <si>
    <t>Influence of HgCl2 on the osphradial multisensory system of Lymnaea stagnalis L.</t>
  </si>
  <si>
    <t>CNS; osphradium; spike frequency analysis; ion currents; HgCl2</t>
  </si>
  <si>
    <t>CENTRAL PATTERN GENERATOR; IDENTIFIED NEURONS; CALCIUM CHANNELS; IONIC CURRENTS; CELLS; CA2+; CLASSIFICATION</t>
  </si>
  <si>
    <t>The osphradial multisensory system of Lymnaea stagnalis L. (Pulmonata, Basommatophora) was used to demonstrate the modulation of chemosensory information both at periphery and central nervous system (CNS) following heavy metal treatments. A semi-intact preparation including osphradium, CNS and the right inner parietal nerve (r.i.p.n.) connecting them was used to record both extracellular activity of nerve and intracellular activity of central neurons receiving information from osphradium. The ion currents of osphradium were recorded using patch-clamp method. The changes in nerve and neuronal activity were expressed by averaging of firing frequency and interspike intervals. The chemosensory function of osphradium was shown by application of L-aspartate, urea, saccharose and stagnant water to its surface. The central neurons reacting to the stimulation of osphradium were located to visceral, right parietal, pedal and cerebral ganglia of Lymnaea. Both the acute and chronic treatments with HgCl2 damaged the sensory function of osphradium traced on the flow of information from periphery to central neurons. At the same time, mercury chloride modified the synaptic connections of respiratory pattern generators as well as the Ca- and K-dependent ion currents of osphradial neurons. The results proved the multisensory role of osphradium sensing the alterations in the environment and its usefulness in monitoring the effects of pollutants at various level of regulation from chemosensory epithelium to CNS.</t>
  </si>
  <si>
    <t>Rózsa, KS (corresponding author), Hungarian Acad Sci, Balaton Limnol Res Inst, POB 35, H-8237 Tihany, Hungary.</t>
  </si>
  <si>
    <t>Szűcs, Attila/ABA-8526-2021</t>
  </si>
  <si>
    <t>247RA</t>
  </si>
  <si>
    <t>WOS:000083232700011</t>
  </si>
  <si>
    <t>Geffard, A; Geffard, O; Amiard, JC; His, E; Amiard-Triquet, C</t>
  </si>
  <si>
    <t>Geffard, A.; Geffard, O.; Amiard, J. C.; His, E.; Amiard-Triquet, C.</t>
  </si>
  <si>
    <t>Bioaccumulation of metals in sediment elutriates and their effects on growth, condition index, and metallothionein contents in oyster larvae</t>
  </si>
  <si>
    <t>sediment elutriates; crassostrea gigas larvae; larval growth; metal bioaccumulation; metallothionein</t>
  </si>
  <si>
    <t>TRACE-METALS; MARINE-SEDIMENTS; MYTILUS-GALLOPROVINCIALIS; ESTUARINE WATERS; TOXICITY; CD; CONTAMINATION; COPPER; ZN; EXPRESSION</t>
  </si>
  <si>
    <t>The bioavailability of Cd, Cu, Zn, and Pb from two metal-contaminated sediments (Bidassoa and Dunkerque) was studied using Crassostrea gigas larvae exposed to sediment elutriates. The metal contents within the sediments, the larvae and larval growth, the condition index, and the induction of metallothionein in the larvae were measured. The larval growth and condition index were only affected after exposure to the highest elutriates concentration (5 to 25%) from the most contaminated sediment (Dunkerque). Bioaccumulation of all metals was observed in larvae exposed to Dunkerque elutriatre; only Cu bioaccumulation was observed in the Bidassoa elutriate. The results from larvae exposed to both sediment elutriates show a strong correlation between bioaccumulated metal considered individually or in combination and the metallothionein level in larvae presenting no detrimental effect. On the other hand, in the case of larvae exposed to the highest Dunkerque elutriate concentration and showing the highest metal body burden, we observed a drop in the metallothionein level. These results indicate that metallothionein is a more sensitive indicator of heavy metal pollution than physiological endpoints taken into account in bioassays and could be proposed as an early biomarker of metal exposure in larvae. However, care must be taken with fault control due to the toxicological effect on larvae metabolism in the case of substantial contaminant exposure.</t>
  </si>
  <si>
    <t>SMAB, ISOMer, Serv Ecotoxicol, F-44322 Nantes 3, France; Irstea, Lab Ecotoxicol, F-69336 Lyon, France; IFREMER, F-33120 Arcachon, France</t>
  </si>
  <si>
    <t>INRAE; Ifremer</t>
  </si>
  <si>
    <t>Geffard, A (corresponding author), Univ Reims, Lab Ecotoxicol, RA 2069, URVVC,Fac Sci, Moulin Housse,BP 1039, F-51687 Reims, France.</t>
  </si>
  <si>
    <t>alain.geffard@univ-reims.fr</t>
  </si>
  <si>
    <t>Geffard, Alain/0000-0001-9236-2890; Geffard, olivier/0000-0001-7760-4644</t>
  </si>
  <si>
    <t>10.1007/s00244-006-0046-y</t>
  </si>
  <si>
    <t>http://dx.doi.org/10.1007/s00244-006-0046-y</t>
  </si>
  <si>
    <t>177FD</t>
  </si>
  <si>
    <t>WOS:000247138100006</t>
  </si>
  <si>
    <t>Cruz, TC; Nayak, GN; Tiwari, AK; Nasnodkar, MR</t>
  </si>
  <si>
    <t>Cruz, Tancy C.; Nayak, Ganapati N.; Tiwari, Anoop Kumar; Nasnodkar, Maheshwar R.</t>
  </si>
  <si>
    <t>Assessment of metal pollution and bioaccumulation of metals by edible bivalve Polymesoda erosa in the Zuari Estuary, west coast of India</t>
  </si>
  <si>
    <t>Metal pollution; Speciation; Bioaccumulation; Toxicity</t>
  </si>
  <si>
    <t>PEARL RIVER ESTUARY; HEAVY-METALS; MANGROVE SEDIMENTS; SURFACE SEDIMENTS; SPATIAL VARIATION; TRACE-METALS; SPECIATION; SEA; BAY; BIOAVAILABILITY</t>
  </si>
  <si>
    <t>The mangrove sediment cores from middle and upper Zuari Estuary were studied for grain size, organic carbon, total and bioavailable metals (Fe, Mn, Zn, Pb) to evaluate the metal enrichment and pollution, along with the bioaccumulation of metals by edible bivalve Polymesoda erosa to understand the toxicity of metals. The distribution of metals varied between middle and upper estuary and was attributed to difference in metal source, hydrodynamics and/or post-depositional behavior. The pollution indices viz., contamination factor and pollution load index revealed metal pollution at both middle and upper estuary. Speciation of Mn, Zn and Pb indicated their bioavailability in sediments, and the application of screening quick reference table and risk assessment code suggested possible harmful effects of Mn on biota. The concentration of metals in Polymesoda erosa was more than the standard permissible limit, at both middle and upper estuary indicating metal toxicity to Polymesoda erosa and human health.</t>
  </si>
  <si>
    <t>[Cruz, Tancy C.; Nayak, Ganapati N.; Nasnodkar, Maheshwar R.] Goa Univ, Sch Earth Ocean &amp; Atmospher Sci, Taleigao 403206, Goa, India; [Tiwari, Anoop Kumar] Natl Ctr Polar &amp; Ocean Res, Vasco Da Gama, India</t>
  </si>
  <si>
    <t>Goa University; Ministry of Earth Sciences (MoES) - India; National Centre for Polar and Ocean Research (NCPOR)</t>
  </si>
  <si>
    <t>Nayak, GN (corresponding author), Goa Univ, Sch Earth Ocean &amp; Atmospher Sci, Taleigao 403206, Goa, India.</t>
  </si>
  <si>
    <t>gnnayak@unigoa.ac.in</t>
  </si>
  <si>
    <t>TIWARI, ANOOP/AAY-8915-2021</t>
  </si>
  <si>
    <t>Nayak, Ganapati Narayan/0000-0002-7481-3974; Nasnodkar, Maheshwar/0000-0003-1085-8855</t>
  </si>
  <si>
    <t>The authors wish to thank Prof. Ramola Antao for correcting the English grammar and usage of the draft of the manuscript. Prof. G. N. Nayak thanks CSIR, New Delhi for awarding CSIR Emeritus Scientist position.</t>
  </si>
  <si>
    <t>10.1016/j.marpolbul.2020.111415</t>
  </si>
  <si>
    <t>http://dx.doi.org/10.1016/j.marpolbul.2020.111415</t>
  </si>
  <si>
    <t>WOS:000555500000054</t>
  </si>
  <si>
    <t>Wilman, B; Beldowska, M; Rychter, A; Poplawska, A</t>
  </si>
  <si>
    <t>Wilman, Bartlomiej; Beldowska, Magdalena; Rychter, Agata; Poplawska, Angela</t>
  </si>
  <si>
    <t>Factors determining bioaccumulation of neurotoxicant Hg in the zebra mussels (Dreissena polymorpha): Influence of biometric parameters, sex and storage of shell</t>
  </si>
  <si>
    <t>Hg fractionation; Thermodesorption; Clams; Shell; Detoxification</t>
  </si>
  <si>
    <t>SOUTHERN BALTIC SEA; SWORDFISH XIPHIAS-GLADIUS; MERCURY FRACTIONATION; MYTILUS-TROSSULUS; MACOMA-BALTHICA; FISH; METHYLMERCURY; SELENIUM; BIOMAGNIFICATION; ACCUMULATION</t>
  </si>
  <si>
    <t>One of benthic organisms exposed to contact with mercury in the southern Baltic is alien species of clam: Dreissena polymorpha. As this organism is increasingly dynamic in various regions of the world including the southern Baltic region, it is reasonable to ask whether it tolerates elevated concentrations of xenobiotics? Does it effectively eliminate Hg? The study determined the effects of biometric parameters and water temperature on the rate of accumulation and efficiency of eliminating Hg from body. Investigations focused on the shell which represents poorly-recognized role in the process of Hg distribution in clams. The results showed that especially during warm season, clams effectively reduced the levels of Hg in their body by the biodilution of Hg and reproduction. Important factor influencing detoxification was Hg transfer from the soft tissue to the shell. This protects the soft tissue against the toxic effect of Hg.</t>
  </si>
  <si>
    <t>[Wilman, Bartlomiej; Beldowska, Magdalena; Poplawska, Angela] Univ Gdansk, Fac Oceanog &amp; Geog, Dept Chem Oceanog &amp; Marine Geol, Lab Tox Subst Transformat, Al Pilsudskiego 46, PL-81378 Gdynia, Poland; [Rychter, Agata] State Univ Appl Sci Elblag, Inst Technol, Wojska Polskiego 1, PL-82300 Elblag, Poland; [Wilman, Bartlomiej] Univ Gdansk, Fac Oceanog &amp; Geog, Inst Oceanog, Al Pilsudskiego 46, PL-81378 Gdynia, Poland</t>
  </si>
  <si>
    <t>Fahrenheit Universities; University of Gdansk; Fahrenheit Universities; University of Gdansk</t>
  </si>
  <si>
    <t>Wilman, B (corresponding author), Univ Gdansk, Fac Oceanog &amp; Geog, Inst Oceanog, Al Pilsudskiego 46, PL-81378 Gdynia, Poland.</t>
  </si>
  <si>
    <t>10.1016/j.marpolbul.2023.115718</t>
  </si>
  <si>
    <t>http://dx.doi.org/10.1016/j.marpolbul.2023.115718</t>
  </si>
  <si>
    <t>Y4LJ4</t>
  </si>
  <si>
    <t>WOS:001104990500001</t>
  </si>
  <si>
    <t>Krishnamoorthi, R; Anbazhagan, R; Tsai, HC; Wang, CF; Lai, JY</t>
  </si>
  <si>
    <t>Krishnamoorthi, Rajakumari; Anbazhagan, Rajeshkumar; Tsai, Hsieh-Chih; Wang, Chih-Feng; Lai, Juin-Yih</t>
  </si>
  <si>
    <t>Biodegradable, superwettable caffeic acid/chitosan polymer coated cotton fibers for the simultaneous removal of oils, dyes, and metal ions from water</t>
  </si>
  <si>
    <t>Caffeic acid; Chitosan; Emulsion separation; Dye and metal adsorption; Biodegradability</t>
  </si>
  <si>
    <t>SUPEROLEOPHOBIC PVDF MEMBRANES; SUPERHYDROPHOBIC/SUPEROLEOPHILIC COTTON; CATALYZED OXIDATION; PHENOLIC-COMPOUNDS; CHITOSAN; LACCASE; ADSORPTION; SEPARATION; POLYDOPAMINE; FABRICATION</t>
  </si>
  <si>
    <t>Discharged wastewater is known to contain insoluble oils, soluble pollutants (organic dyes), and metal ions from industry, which can lead to serious ecological problems. Inspired by the strong adhesion behavior of marine mussels to surfaces, polymers have been developed to mimic this behavior. More specifically, such polymers have been applied in the coating of membrane substrates to obtain multifunctional materials for the absorption of wastewater pollutants. In this study, superwettable cotton-based materials for wastewater treatment were constructed by modifying cotton fiber (CF) with caffeic acid (CA) and chitosan (CHI). The as-prepared CA-CHI-CF materials exhibited superhydrophilicity (i.e., a water contact angle of similar to 0 degrees) and underwater superoleophobicity (i.e., an underwater oil contact angle &gt;= 160 degrees). Notably, the compressed CA-CHI-CF exhibited an excellent oil-in-water emulsion separation performance, i.e., a flux up to 50,050 L h(-1) m(-2) bar(-1) under 0.1 bar pressure, and a separation efficiency &gt; 99.9%. Interestingly, due to the advantages of the amino, carboxyl, and hydroxyl groups offered by caffeic acid and chitosan, CA-CHI-CF showed excellent adsorption capabilities for cationic dyes (&gt;99%) and heavy metal ions (&gt;99%). To demonstrate the applicability of our system, a benchmark separation experiment was conducted, namely the separation of dye- and metal ion-spiked emulsions. CA-CHI-CF was found to separate all target pollutants from the solution simultaneously. CA-CHI-CF also exhibited a good biocompatibility and biodegradability, thereby confirming its great potential for practical applications.</t>
  </si>
  <si>
    <t>[Krishnamoorthi, Rajakumari; Anbazhagan, Rajeshkumar; Tsai, Hsieh-Chih; Wang, Chih-Feng; Lai, Juin-Yih] Natl Taiwan Univ Sci &amp; Technol, Grad Inst Appl Sci &amp; Technol, Taipei 106, Taiwan; [Krishnamoorthi, Rajakumari; Anbazhagan, Rajeshkumar; Tsai, Hsieh-Chih; Wang, Chih-Feng; Lai, Juin-Yih] Natl Taiwan Univ Sci &amp; Technol, Adv Membrane Mat Ctr, Taipei 106, Taiwan; [Tsai, Hsieh-Chih; Wang, Chih-Feng; Lai, Juin-Yih] Chung Yuan Christian Univ, R&amp;D Ctr Membrane Technol, Taoyuan 320, Taiwan</t>
  </si>
  <si>
    <t>National Taiwan University of Science &amp; Technology; National Taiwan University of Science &amp; Technology; Chung Yuan Christian University</t>
  </si>
  <si>
    <t>Tsai, HC; Wang, CF (corresponding author), Natl Taiwan Univ Sci &amp; Technol, Grad Inst Appl Sci &amp; Technol, Taipei 106, Taiwan.;Tsai, HC; Wang, CF (corresponding author), Natl Taiwan Univ Sci &amp; Technol, Adv Membrane Mat Ctr, Taipei 106, Taiwan.;Tsai, HC; Wang, CF (corresponding author), Chung Yuan Christian Univ, R&amp;D Ctr Membrane Technol, Taoyuan 320, Taiwan.</t>
  </si>
  <si>
    <t>h.c.tsai@mail.ntust.edu.tw; cfwang@mail.ntust.edu.tw</t>
  </si>
  <si>
    <t>Lai, Juin-Yih/B-4461-2011; Anbazhagan, Rajeshkumar/KHX-2983-2024; Wang, Chih-Feng/F-4849-2011; Ramasamy, Krishnamoorthy/AAS-8240-2021</t>
  </si>
  <si>
    <t>Wang, Chih-Feng/0000-0002-0758-7153; Anbazhagan, Rajeshkumar/0000-0002-7752-4633</t>
  </si>
  <si>
    <t>Ministry of Science and Technology, Taiwan, Republic of China [MOST 109-2221-E-011-146-MY3, MOST 108-2221-E-011-044-MY2, MOST 110-2221-E-011-004]</t>
  </si>
  <si>
    <t>Ministry of Science and Technology, Taiwan, Republic of China(Ministry of Science and Technology, Taiwan)</t>
  </si>
  <si>
    <t>This study was supported financially by the Ministry of Science and Technology, Taiwan, Republic of China, under contract: MOST 109-2221-E-011-146-MY3, MOST 108-2221-E-011-044-MY2, and MOST 110-2221-E-011-004.</t>
  </si>
  <si>
    <t>10.1016/j.cej.2021.131920</t>
  </si>
  <si>
    <t>http://dx.doi.org/10.1016/j.cej.2021.131920</t>
  </si>
  <si>
    <t>XK9XR</t>
  </si>
  <si>
    <t>WOS:000727809200007</t>
  </si>
  <si>
    <t>Lu, Z; Shan, XJ; Ji, CL; Zhao, JM; Wu, HF</t>
  </si>
  <si>
    <t>Lu Zhen; Shan Xiujuan; Ji Chenglong; Zhao Jianmin; Wu Huifeng</t>
  </si>
  <si>
    <t>Proteomic responses induced by metal pollutions in oysters Crassostrea sikamea</t>
  </si>
  <si>
    <t>JOURNAL OF OCEANOLOGY AND LIMNOLOGY</t>
  </si>
  <si>
    <t>metal pollution; Crassostrea sikamea; biological effect; proteomics</t>
  </si>
  <si>
    <t>LASER-DESORPTION/IONIZATION-TIME; MUSSELS MYTILUS-EDULIS; RUDITAPES-PHILIPPINARUM; HEAVY-METALS; TRACE-METALS; PROTEIN; GALLOPROVINCIALIS; EXPRESSION; SEQUENCE; EXPOSURE</t>
  </si>
  <si>
    <t>There exist severe metal pollutions along the Jiulongjiang estuary in South China. In order to unravel the biological effects caused by metal pollutions, proteomic responses were investigated by two-dimensional electrophoresis-based proteomics in oysters Crassostrea sikamea from metal pollution sites, Jinshan (JS) and Baijiao (BJ), and a relatively clean site, Jiuzhen (JZ), along the Jiulongjiang estuary. Results indicated that metal pollutions mainly induced cellular injuries, oxidative and immune stresses, and disturbed ion homeostasis in oysters C. sikamea from both JS and BJ sites via differential pathways. Furthermore, metal pollution enhanced transcriptional initiation in oysters from JS site. In addition, the Cu and Fe pollution might be indicated by the 78 kDa glucose regulated protein and ferritin GF1 in oysters C. sikamea, respectively. The study confirms that proteomics is a promising approach to characterize the underlying mechanisms of responses to metal pollution in oysters.</t>
  </si>
  <si>
    <t>[Lu Zhen; Ji Chenglong; Zhao Jianmin; Wu Huifeng] Chinese Acad Sci, Yantai Inst Coastal Zone Res YIC, Key Lab Coastal Zone Environm Proc, Yantai 264003, Peoples R China; [Lu Zhen; Ji Chenglong; Zhao Jianmin; Wu Huifeng] YICCAS, Shandong Prov Key Lab Coastal Zone Environm Proc, Yantai 264003, Peoples R China; [Shan Xiujuan; Ji Chenglong; Wu Huifeng] Qingdao Natl Lab Marine Sci &amp; Technol, Funct Lab Marine Fisheries Sci &amp; Food Prod Proc, Qingdao 266237, Shandong, Peoples R China; [Lu Zhen] Univ Chinese Acad Sci, Beijing 100049, Peoples R China; [Shan Xiujuan] Minist Agr, Key Lab Sustainable Dev Marine Fisheries, Qingdao 266071, Shandong, Peoples R China; [Shan Xiujuan] Chinese Acad Fishery Sci, Yellow Sea Fisheries Res Inst, Shandong Prov Key Lab Fishery Resources &amp; Ecol En, Qingdao 266071, Shandong, Peoples R China</t>
  </si>
  <si>
    <t>Chinese Academy of Sciences; Yantai Institute of Coastal Zone Research, CAS; Laoshan Laboratory; Chinese Academy of Sciences; University of Chinese Academy of Sciences, CAS; Ministry of Agriculture &amp; Rural Affairs; Chinese Academy of Fishery Sciences; Yellow Sea Fisheries Research Institute, CAFS</t>
  </si>
  <si>
    <t>Ji, CL (corresponding author), Chinese Acad Sci, Yantai Inst Coastal Zone Res YIC, Key Lab Coastal Zone Environm Proc, Yantai 264003, Peoples R China.;Ji, CL (corresponding author), YICCAS, Shandong Prov Key Lab Coastal Zone Environm Proc, Yantai 264003, Peoples R China.;Ji, CL (corresponding author), Qingdao Natl Lab Marine Sci &amp; Technol, Funct Lab Marine Fisheries Sci &amp; Food Prod Proc, Qingdao 266237, Shandong, Peoples R China.</t>
  </si>
  <si>
    <t>National Natural Science Foundation of China [41676114, 21237004, 41506138]; Qingdao National Laboratory for Marine Science and Technology [QNLM201701]; Youth Innovation Promotion Association CAS [2015169]</t>
  </si>
  <si>
    <t>National Natural Science Foundation of China(National Natural Science Foundation of China (NSFC)); Qingdao National Laboratory for Marine Science and Technology; Youth Innovation Promotion Association CAS</t>
  </si>
  <si>
    <t>Supported by the National Natural Science Foundation of China (Nos. 41676114, 21237004, 41506138), the Qingdao National Laboratory for Marine Science and Technology (No. QNLM201701), and the Youth Innovation Promotion Association CAS (No. 2015169)</t>
  </si>
  <si>
    <t>2096-5508</t>
  </si>
  <si>
    <t>2523-3521</t>
  </si>
  <si>
    <t>J OCEANOL LIMNOL</t>
  </si>
  <si>
    <t>J. Oceanol. Limnol.</t>
  </si>
  <si>
    <t>10.1007/s00343-019-7368-x</t>
  </si>
  <si>
    <t>http://dx.doi.org/10.1007/s00343-019-7368-x</t>
  </si>
  <si>
    <t>HT9MV</t>
  </si>
  <si>
    <t>WOS:000464895600027</t>
  </si>
  <si>
    <t>Ravi, S; Thillainayagam, R; Janakiraman, G; Subramanyam, P; Sivakumar, R; Raman, T; Singaram, G; Harikrishnan, T; Rajamanickam, K</t>
  </si>
  <si>
    <t>Ravi, Sathikumaran; Thillainayagam, Revathi; Janakiraman, Gopi; Subramanyam, Punitha; Sivakumar, Rekha; Raman, Thiagarajan; Singaram, Gopalakrishnan; Harikrishnan, Thilagam; Rajamanickam, Krishnamurthy</t>
  </si>
  <si>
    <t>Modulation of biotransformation enzymes leads to oxidative stress and DNA damage in naphthalene exposed marine bivalve Perna viridis</t>
  </si>
  <si>
    <t>Article; Data Paper</t>
  </si>
  <si>
    <t>biotransformation enzymes; DNA damage; oxidative stress; antioxidant; naphthalene; marine; Perna viridis</t>
  </si>
  <si>
    <t>GLUTATHIONE-S-TRANSFERASE; QUANTITATION; INDUCTION; POLLUTION; RESPONSES; REDUCTASE; QUALITY; MUSSELS; GILL</t>
  </si>
  <si>
    <t>[Ravi, Sathikumaran; Sivakumar, Rekha; Harikrishnan, Thilagam] Pachaiyappas Coll Men, Postgrad &amp; Res Dept Zool, Chennai, India; [Thillainayagam, Revathi; Janakiraman, Gopi; Subramanyam, Punitha; Rajamanickam, Krishnamurthy] Univ Madras, Govt Arts Coll Men Autonomous, Post Grad &amp; Res Dept Zool &amp; Aquaculture, Chennai, India; [Raman, Thiagarajan] Ramakrishna Mission Vivekananda Coll Autonomous, Dept Zool, Chennai, India; [Singaram, Gopalakrishnan] eProov Assessment Solut Pvt Ltd, Chennai, India</t>
  </si>
  <si>
    <t>Harikrishnan, T (corresponding author), Pachaiyappas Coll Men, Postgrad &amp; Res Dept Zool, Chennai, India.;Rajamanickam, K (corresponding author), Univ Madras, Govt Arts Coll Men Autonomous, Post Grad &amp; Res Dept Zool &amp; Aquaculture, Chennai, India.</t>
  </si>
  <si>
    <t>thilagampachaiyappas@gmail.com; professorkrishnamurthy@gmail.com</t>
  </si>
  <si>
    <t>Gopalakrishnan, Singaram/AEB-6454-2022; Krishnamurthy, Rajamanickam/IWM-3678-2023</t>
  </si>
  <si>
    <t>Government Arts College for men (Autonomous), Chennai; Research department of Zoology; Pachaiyappa's College for Men, Chennai India</t>
  </si>
  <si>
    <t>The authors thank Head, Research department of Zoology and the Principal Government Arts College for men (Autonomous), Chennai-600 035 and Head, Research department of Zoology and also the Principal Pachaiyappa's College for Men, Chennai- 600 030 India for extending their support through the experiment</t>
  </si>
  <si>
    <t>AUG 4</t>
  </si>
  <si>
    <t>10.3389/fmars.2022.969589</t>
  </si>
  <si>
    <t>http://dx.doi.org/10.3389/fmars.2022.969589</t>
  </si>
  <si>
    <t>3X6SQ</t>
  </si>
  <si>
    <t>WOS:000843169400001</t>
  </si>
  <si>
    <t>NOLAN, C; DAHLGAARD, H</t>
  </si>
  <si>
    <t>ACCUMULATION OF METAL RADIOTRACERS BY MYTILUS-EDULIS</t>
  </si>
  <si>
    <t>INHERENT VARIABILITY; TRACE-METALS; MUSSEL; CADMIUM; INDICATOR; POLLUTION; ZINC; RADIONUCLIDES; MOLLUSKS; OYSTERS</t>
  </si>
  <si>
    <t>Marine mussels Mytilus edulis accumulate radionuclides of cobalt, zinc, ruthenium, silver and caesium in the soft tissues linearly over time during exposure periods up to 9 d. Radiotracer binding to shell is rapid, but variable, and is essentially complete after 1 d. The distribution between soft tissues and shell varies with each metal and exposure period, and ranges from 1:25 for caesium and silver to 1:1 for cobalt after 9 d. Radiotracer contents of all isotopes in the mussels are lognormally distributed. Radionuclide contents after exposure increase with shell length and are best described by power functions of body weight. After 9 d of exposure both ruthenium and silver exhibit a typical surface-type behaviour, where the metal content of the mussels is proportional to their surface area. By contrast, cobalt, zinc and caesium exhibit a metabolic-type behaviour. The effect of inherent variability of the mussel population with respect to the accumulation of the radiotracers is discussed, as are implications for sampling programmes.</t>
  </si>
  <si>
    <t>RISO NATL LAB, NATL LAB, DK-4000 ROSKILDE, DENMARK</t>
  </si>
  <si>
    <t>Technical University of Denmark</t>
  </si>
  <si>
    <t>NOLAN, C (corresponding author), INT ATOM ENERGY AGCY, INT LAB MARINE RADIOACTIV, 19 AVE CASTELLANS, MONACO 98000 MONACO, MONACO.</t>
  </si>
  <si>
    <t>10.3354/meps070165</t>
  </si>
  <si>
    <t>http://dx.doi.org/10.3354/meps070165</t>
  </si>
  <si>
    <t>FA146</t>
  </si>
  <si>
    <t>WOS:A1991FA14600006</t>
  </si>
  <si>
    <t>Conti, ME; Cecchetti, G</t>
  </si>
  <si>
    <t>A biomonitoring study: trace metals in algae and molluscs from Tyrrhenian coastal areas</t>
  </si>
  <si>
    <t>biomonitoring; trace metals; marine ecosystems; Tyrrhenian Sea</t>
  </si>
  <si>
    <t>MUSSELS MYTILUS-GALLOPROVINCIALIS; HEAVY-METALS; BIOLOGICAL INDICATOR; ULVA-RIGIDA; THERMAIKOS GULF; POLLUTION; ACCUMULATION; CADMIUM; LAGOON; MARINE</t>
  </si>
  <si>
    <t>Marine organisms were evaluated as possible biomonitors of heavy metal contamination in marine coastal areas. Concentrations of Cd, Cr, Cu, Pb, and Zn were measured in the green algae Ulva lactuca L., the brown algae Padina pavonica (L.) Thivy, the bivalve mollusc Mytilus galloprovincialis Lamarck, and the two gastropod molluscs Monodonta turbinata Born and Patella cerulea L. collected at six coastal stations in the area of the Gulf of Gaeta (Tyrrhenian Sea, central Italy). The coastal area of the Regional Park of Gianola and Monte di Scauri (a Protected Sea Park area) was chosen as a control site. Seawater samples were also collected in each site to assess soluble and total metal concentrations and to gain additional information on both the environmental conditions of the area and possible bioaccumulation patterns. Metal concentrations detected in algae and molluscs did not show significant differences among all stations studied. Moreover, statistical analyses (ANOVA, multiple comparison tests, cluster analysis) showed that the Sea Park station was not significantly different from the others. The hypothesis that the Protected Sea Park would be cleaner than the others must therefore be reconsidered. Data from this study were also compared with those previously obtained from uncontaminated sites in the Sicilian Sea, Italy. The results show clearly differences between these two marine ecosystems. The species examined showed great accumulations of metals, with concentration factors (CFs) higher than 10,000 with respect to the concentrations (soluble fractions) in marine waters. Metal concentrations recorded in this area may be used for background levels for intraspecific comparison within the Tyrrhenian area, a body of water about which information is still very scarce. (C) 2003 Elsevier Science (USA). All rights reserved.</t>
  </si>
  <si>
    <t>Univ Roma La Sapienza, Dipartimento Controllo &amp; Gest Merci &amp; Loro Impatt, I-00161 Rome, Italy; Univ Urbino, Fac Sci Ambientali, Ctr Valutaz Ambientali Att Ind, I-61029 Urbino, Pu, Italy</t>
  </si>
  <si>
    <t>Sapienza University Rome; University of Urbino</t>
  </si>
  <si>
    <t>Conti, ME (corresponding author), Univ Roma La Sapienza, Dipartimento Controllo &amp; Gest Merci &amp; Loro Impatt, Via Castro Laurenziano 9, I-00161 Rome, Italy.</t>
  </si>
  <si>
    <t>10.1016/S0013-9351(03)00012-4</t>
  </si>
  <si>
    <t>http://dx.doi.org/10.1016/S0013-9351(03)00012-4</t>
  </si>
  <si>
    <t>706JX</t>
  </si>
  <si>
    <t>WOS:000184451500012</t>
  </si>
  <si>
    <t>Lu, GY; Wang, WX</t>
  </si>
  <si>
    <t>Lu, Guangyuan; Wang, Wen-Xiong</t>
  </si>
  <si>
    <t>Tissue-based trace element pollution of clam Ruditapes philippinarum in China: Hotspot identification and multiple nonlinear analysis</t>
  </si>
  <si>
    <t>Manila clams; Trace elements; Hotspotidentification; Bivalve biomonitors; Nonlinear analysis; Data normalization</t>
  </si>
  <si>
    <t>HEALTH-RISK ASSESSMENT; METAL BIOACCUMULATION; HEAVY-METALS; MARINE ORGANISMS; DISSOLVED COBALT; MAJOR CATIONS; ARABIAN GULF; LAIZHOU BAY; ATLANTIC; MUSSEL</t>
  </si>
  <si>
    <t>Considering the complexity of coastal and estuarine systems, a great challenge of environmental health assessment is to distinguish between natural and anthropogenically induced stress. Quantification of trace element accumulation in the tissues of sedentary bivalves with subsequent hotspot identification is important to assess the pollution status. The present study conducted a nationwide mapping of bioavailable macro-and trace elements in a widely distributed bio-monitoring clam Ruditapes philippinarum from China. Ag, As, Cd, Cr, Cu, and Zn concentrations in the clams showed similar levels as those documented previously in mussels, but were lower than those in oysters at similar sites from China. Notably, the total As concentrations in clams at Xinkai Estuary and Beibu Bay were relatively higher than those at other sites in China. After normalization by tissue biomass, salinity (Na) and nutrient (P), some hotspots were identified with high pollution of trace elements at Liaodong Bay of Bohai Sea, Gold Beach of Qingdao, Dongling Port of Yellow Sea, Hangzhou Bay and adjacent coasts of East China Sea, and Pearl River Estuary and Beibu Bay of South China Sea. This study demonstrated that most trace elements had a path-dependent effect of biomass, except for Cd which showed an indirect pathway of Ag\\Ni related accumulation. Results showed significant correlations be-tween Cd, Zn, Ag and Ni, and between Pb/Cr and Ti in clams. After mass normalization, all trace elements displayed significantly positive correlations with Na or P. Simultaneously, the clam biomass played an intermediary role in trace element accumulation in non-linear patterns related to salinity and nutrient. These results are important in evaluating the composite ambiguous information of the historical data of trace element biomonitoring.</t>
  </si>
  <si>
    <t>[Lu, Guangyuan; Wang, Wen-Xiong] Southern Marine Sci &amp; Engn Guangdong Lab Guangzhou, Guangzhou 511458, Peoples R China; [Lu, Guangyuan; Wang, Wen-Xiong] City Univ Hong Kong, Res Ctr Oceans &amp; Human Hlth, Shenzhen Res Inst, Shenzhen, Peoples R China; [Wang, Wen-Xiong] City Univ Hong Kong, Sch Energy &amp; Environm, State Key Lab Marine Pollut, Kowloon, Hong Kong, Peoples R China</t>
  </si>
  <si>
    <t>Southern Marine Science &amp; Engineering Guangdong Laboratory; Southern Marine Science &amp; Engineering Guangdong Laboratory (Guangzhou); Shenzhen Research Institute, City University of Hong Kong; City University of Hong Kong; City University of Hong Kong</t>
  </si>
  <si>
    <t>Wang, WX (corresponding author), Southern Marine Sci &amp; Engn Guangdong Lab Guangzhou, Guangzhou 511458, Peoples R China.</t>
  </si>
  <si>
    <t>National Natural Science Foundation of China [42006147]; Shenzhen Special Fund of National Government for Guiding Local Science and Technology Development [2021Szvup127]</t>
  </si>
  <si>
    <t>National Natural Science Foundation of China(National Natural Science Foundation of China (NSFC)); Shenzhen Special Fund of National Government for Guiding Local Science and Technology Development</t>
  </si>
  <si>
    <t>We thank the anonymous reviewers for their helpful comments and the supports of the National Natural Science Foundation of China (42006147) and the Shenzhen Special Fund of National Government for Guiding Local Science and Technology Development (No. 2021Szvup127) .</t>
  </si>
  <si>
    <t>10.1016/j.scitotenv.2023.161598</t>
  </si>
  <si>
    <t>http://dx.doi.org/10.1016/j.scitotenv.2023.161598</t>
  </si>
  <si>
    <t>8N9PZ</t>
  </si>
  <si>
    <t>WOS:000925478600001</t>
  </si>
  <si>
    <t>Vinothkannan, A; Charles, PE; Rajaram, R</t>
  </si>
  <si>
    <t>Vinothkannan, Anbazhagan; Charles, Partheeban Emmanuel; Rajaram, Rajendran</t>
  </si>
  <si>
    <t>Consumption of metal-contaminated shellfish from the Cuddalore coast in Southeastern India poses a hazard to public health</t>
  </si>
  <si>
    <t>Shellfish; Biomarker; Metal contamination; Health hazard; Food safety</t>
  </si>
  <si>
    <t>TROPICAL MANGROVE ECOSYSTEM; MUSSEL PERNA-VIRIDIS; HEAVY-METALS; RISK-ASSESSMENT; AQUATIC ORGANISMS; COMMERCIAL FISH; RIVER ESTUARY; GREEN MUSSEL; TOXIC METALS; WEST-COAST</t>
  </si>
  <si>
    <t>Seasonal distribution of four metals (Cd, Cu, Pb, and Zn) in eight shellfish species collected from the heavily contaminated Cuddalore coast in Tamil Nadu, Southern India, were analyzed. Metal concentrations in all shellfish species were determined using atomic absorption spectrometry. All metals were present in all seasons in most of the species, however, with a few exceptions. Overall, the metal concentration was in the descending order: Zn &gt; Cu &gt; Pb &gt; Cd. Metals might have emerged from both natural and anthropogenic sources as per multivariate statistical analysis. Bioaccumulation factor results showed that cadmium was more bioaccumulated and beyond the threshold limit. Hazard index (HI) values revealed that consuming shellfish from Cuddalore coast can pose hazards to human health, with all HI values beyond threshold limit across all seasons - premonsoon (1.33), monsoon (1.73), postmonsoon (2.55), and summer (2.64). It is evident that consumption of shellfish across all seasons may have adverse health impacts to the people.</t>
  </si>
  <si>
    <t>[Vinothkannan, Anbazhagan; Charles, Partheeban Emmanuel; Rajaram, Rajendran] Bharathidasan Univ, Dept Marine Sci, DNA Barcoding &amp; Marine Genom Lab, Trichy 620024, Tamil Nadu, India</t>
  </si>
  <si>
    <t>Bharathidasan University</t>
  </si>
  <si>
    <t>Rajaram, R (corresponding author), Bharathidasan Univ, Dept Marine Sci, DNA Barcoding &amp; Marine Genom Lab, Trichy 620024, Tamil Nadu, India.</t>
  </si>
  <si>
    <t>RAJARAM, RAJENDRAN/0000-0003-2621-1677; Partheeban, Emmanuel Charles/0000-0003-1274-4106</t>
  </si>
  <si>
    <t>The authors are thankful to the Department of Marine Science, Bharathidasan University, Tiruchirappalli, India, for providing the facilities for the research work. The authors also gratefulness to the Ministry of Earth Science, Government of India (Ref. No.: MoES/36/OOIS/Extra./9/2013) for funding the AAS facilities.</t>
  </si>
  <si>
    <t>10.1016/j.marpolbul.2022.113827</t>
  </si>
  <si>
    <t>http://dx.doi.org/10.1016/j.marpolbul.2022.113827</t>
  </si>
  <si>
    <t>2Z8CV</t>
  </si>
  <si>
    <t>WOS:000826799700006</t>
  </si>
  <si>
    <t>Zardi, GI; Nicastro, KR; Truong, SL; Decorse, P; Nozak, S; Chevillot-Biraud, A; Froneman, PW; Akoueson, F; Duflos, G; Seuront, L</t>
  </si>
  <si>
    <t>Zardi, Gerardo I.; Nicastro, Katy R.; Truong, Stephanie Lau; Decorse, Philippe; Nozak, Sophie; Chevillot-Biraud, Alexandre; Froneman, Pierre William; Akoueson, Fleurine; Duflos, Guillaume; Seuront, Laurent</t>
  </si>
  <si>
    <t>Microplastic leachates inhibit small-scale self-organization in mussel beds</t>
  </si>
  <si>
    <t>Ecosystem; Global change; Mytilus; Heavy metals; Behavior</t>
  </si>
  <si>
    <t>INDIGENOUS PERNA-PERNA; MYTILUS-GALLOPROVINCIALIS; ATTACHMENT STRENGTH; POLLUTION; BEHAVIOR; PLASTICS</t>
  </si>
  <si>
    <t>Self-organized spatial patterns are increasingly recognized for their contribution to ecosystem functioning. They can improve the ecosystem's ability to respond to perturbation and thus increase its resilience to environmental stress. Plastic pollution has now emerged as major threat to aquatic and terrestrial biota. Under laboratory conditions, we tested whether plastic leachates from pellets collected in the intertidal can impair small-scale, spatial self-organization and byssal threads production of intertidal mussels and whether the effect varied depending on where the pellets come from. Specifically, leachates originating from plastic pellets collected from relatively pristine and polluted areas respectively impaired and inhibited the ability of mussels to self-organize at small-scale and to produce byssal threads compared to control conditions (i.e., seawater without leaching solution). Limitations to natural self-organizing processes and threads formation may translate to a declined capacity of natural ecosystems to avoid tipping points and to a reduced restoration success of disturbed ecosystems.</t>
  </si>
  <si>
    <t>[Zardi, Gerardo I.] Normandie Univ, UNICAEN, Lab Biol Organismes &amp; Ecosyst Aquat, UMR 8067,BOREA,CNRS,MNHN,UPMC,UCBN,IRD 207, F-14000 Caen, France; [Zardi, Gerardo I.; Nicastro, Katy R.; Froneman, Pierre William; Seuront, Laurent] Rhodes Univ, Dept Zool &amp; Entomol, ZA-6140 Grahamstown, South Africa; [Zardi, Gerardo I.; Nicastro, Katy R.] Univ Algarve, CIMAR Lab Associado, CCMAR, Campus Gambelas, P-8005139 Faro, Portugal; [Nicastro, Katy R.; Seuront, Laurent] Univ Littoral Cote dOpale, Univ Lille, CNRS, IRD,UMR 8187 LOG, F-59000 Lille, France; [Truong, Stephanie Lau; Decorse, Philippe; Nozak, Sophie; Chevillot-Biraud, Alexandre] Univ Paris Diderot, CNRS, Lab ITODYS, UMR 7086, Batiment Lavoisier, F-75205 Paris, France; [Akoueson, Fleurine] Univ Liege, Univ Lille,Univ Littoral Cote Opale, Univ Artois,Inst Charles Viollette,USC,ANSES,INRA, Univ Picardie Jules Verne,UMR 1158 BioEcoAgro,EA, F-62200 Boulogne Sur Mer, France; [Akoueson, Fleurine; Duflos, Guillaume] ANSES, Lab Secur Aliments, Blvd Bassin Napoleon, F-62200 Boulogne Sur Mer, France; [Seuront, Laurent] Tokyo Univ Marine Sci &amp; Technol, Dept Marine Resources &amp; Energy, Tokyo, Japan</t>
  </si>
  <si>
    <t>Universite de Caen Normandie; Centre National de la Recherche Scientifique (CNRS); Institut de Recherche pour le Developpement (IRD); Museum National d'Histoire Naturelle (MNHN); Sorbonne Universite; Rhodes University; Universidade do Algarve; Universite de Lille; Centre National de la Recherche Scientifique (CNRS); Institut de Recherche pour le Developpement (IRD); Universite Paris Cite; Centre National de la Recherche Scientifique (CNRS); CNRS - Institute of Chemistry (INC); Universite d'Artois; Universite de Lille; Universite du Littoral-Cote-d'Opale; INRAE; Agence Nationale de Securite Sanitaire de l'Alimentation, de l'Environnement du Travail (ANSES); Universite de Picardie Jules Verne (UPJV); Agence Nationale de Securite Sanitaire de l'Alimentation, de l'Environnement du Travail (ANSES); Laboratoire de Securite Aliments; Tokyo University of Marine Science &amp; Technology</t>
  </si>
  <si>
    <t>Nicastro, KR (corresponding author), Rhodes Univ, Dept Zool &amp; Entomol, ZA-6140 Grahamstown, South Africa.</t>
  </si>
  <si>
    <t>katynicastro@gmail.com</t>
  </si>
  <si>
    <t>Nicastro, Katy/AAY-3692-2021; Akoueson, Fleurine/KIE-2861-2024; Zardi, Gerardo/M-4026-2013</t>
  </si>
  <si>
    <t>Normandy Region; European Union [101034329]; European Union (ERDF); French Government; IFREMER; CPER IDEAL [2021-2027]</t>
  </si>
  <si>
    <t>Normandy Region; European Union(European Union (EU)); European Union (ERDF)(European Union (EU)); French Government; IFREMER; CPER IDEAL</t>
  </si>
  <si>
    <t>This research was funded by both the European Maritime and Fisheries Fund (FEAMP) and France Filiere Peche through the research project SOLACE. This work is a contribution to the CPER research project CLIMIBIO. The authors thank the French Ministere de l'Enseignement Superieur et de la Recherche, the Hauts de France Region and the European Funds for Regional Economical Development for their financial support to this project. This research was funded by ANR (project SAN22202) and supported a Pierre Hubert Curien PESSOA grant 2022-2023, the Foundation for Science and Technology (FCT-MEC, Portugal (grant number: UID/Multi/04326/2021, EXPL/BIA-BMA/0682/2021) . Gerardo I. Zardi is a laureate of the WINNINGNormandy Program supported by the Normandy Region. This project has received funding from the European Union's Horizon 2020 research and innovation programme under the Marie Sklodowska-Curie grant agreement No 101034329. This work has been partially supported by the European Union (ERDF) , the French Government, the Region Hauts-de-France and IFREMER, in the framework of the project CPER IDEAL 2021-2027.r WINNINGNormandy Program supported by the Normandy Region. This project has received funding from the European Union's Horizon 2020 research and innovation programme under the Marie Sk &amp; lstrok;odowska-Curie grant agreement No 101034329. This work has been partially supported by the European Union (ERDF) , the French Government, the Region Hauts-de-France and IFREMER, in the framework of the project CPER IDEAL 2021-2027.</t>
  </si>
  <si>
    <t>10.1016/j.scitotenv.2023.169816</t>
  </si>
  <si>
    <t>http://dx.doi.org/10.1016/j.scitotenv.2023.169816</t>
  </si>
  <si>
    <t>GS8N4</t>
  </si>
  <si>
    <t>WOS:001154754000001</t>
  </si>
  <si>
    <t>Chalghmi, H; Bourdineaud, JP; Haouas, Z; Gourves, PY; Zrafi, I; Saidane-Mosbahi, D</t>
  </si>
  <si>
    <t>Chalghmi, Houssem; Bourdineaud, Jean-Paul; Haouas, Zohra; Gourves, Pierre-Yves; Zrafi, Ines; Saidane-Mosbahi, Dalila</t>
  </si>
  <si>
    <t>Transcriptomic, Biochemical, and Histopathological Responses of the Clam Ruditapes decussatus from a Metal-Contaminated Tunis Lagoon</t>
  </si>
  <si>
    <t>MUSSELS MYTILUS-GALLOPROVINCIALIS; HEAVY-METALS; CARCINUS-MAENAS; GENE-EXPRESSION; BIZERTA LAGOON; GUADALQUIVIR ESTUARY; TAPES-PHILIPPINARUM; OXIDATIVE STRESS; MARINE POLLUTION; TRACE-METALS</t>
  </si>
  <si>
    <t>This study was designed to investigate the molecular (transcriptional expression), biochemical (oxidative stress and neurotoxicity), and histopathological effects of metal contamination in the gill of clams (Ruditapes decussatus) sampled from the Tunis lagoon. The concentrations of five heavy metals (Cd, Pb, Hg, Cu, and Zn) in surface sediments and their accumulation in soft tissues of R. decussatus were evaluated in three sites (Z1, Z2, and Z3). A metal contamination state of Tunis lagoon sediments was noted with spatial variations with relatively high levels at Z2. Biomarker analyses showed an increase in glutathione S-transferase and catalase activities and lipid peroxidation levels and a decrease in acetylcholinesterase activity in the studied sites. Molecular investigation showed a significant overexpression of: cytochrome c oxidase subunit I, ribosomal RNA 16S, Cu/Zn superoxide dismutase, heat shock protein 70, and metallothioneins in the three sampling sites. Moreover, our data were correlated to severe and diverse histopathological alterations in the clam gills. The principal component analysis showed that the Z2 region is more affected by metal contamination than Z1 and Z3 regions. Current field results suggest the use of several combined biomarkers at different cell levels instead of individual ones in monitoring programs.</t>
  </si>
  <si>
    <t>[Chalghmi, Houssem; Saidane-Mosbahi, Dalila] Fac Pharm, Lab Anal Treatment &amp; Valorizat Environm Pollutant, Monastir 5000, Tunisia; [Chalghmi, Houssem; Bourdineaud, Jean-Paul; Gourves, Pierre-Yves] Univ Bordeaux, UMR 5805, CNRS, EPOC,Arcachon Marine Stn, Pl Dr Peyneau, F-33120 Arcachon, France; [Haouas, Zohra] Fac Med, Lab Histol Cytol &amp; Genet, Monastir 5019, Tunisia; [Zrafi, Ines] Ctr Water Res &amp; Technol, Technopk Borj Cedria,BP 273, Soliman 8020, Tunisia</t>
  </si>
  <si>
    <t>Universite de Monastir; Centre National de la Recherche Scientifique (CNRS); CNRS - National Institute for Earth Sciences &amp; Astronomy (INSU); Universite de Bordeaux; Universite de Monastir; Centre de Recherche et des Technologies des Eaux de Borj Cedria</t>
  </si>
  <si>
    <t>Chalghmi, H (corresponding author), Fac Pharm, Lab Anal Treatment &amp; Valorizat Environm Pollutant, Monastir 5000, Tunisia.;Chalghmi, H (corresponding author), Univ Bordeaux, UMR 5805, CNRS, EPOC,Arcachon Marine Stn, Pl Dr Peyneau, F-33120 Arcachon, France.</t>
  </si>
  <si>
    <t>houssem.chalghmi@yahoo.fr; jean-paul.bourdineaud@u-bordeaux.fr; zohrahaouas@yahoo.fr; pierreyvesgourves@gmail.com; zrafi_ines@yahoo.fr; dalila.saidane@fphm.rnu.tn</t>
  </si>
  <si>
    <t>Chalghmi, Houssem/M-1798-2015</t>
  </si>
  <si>
    <t>Chalghmi, Houssem/0000-0003-0136-5522</t>
  </si>
  <si>
    <t>Ministry of Scientific Research and Technology; University of Monastir, Tunisia; French Institute of Tunisia; University of Bordeaux, France</t>
  </si>
  <si>
    <t>Ministry of Scientific Research and Technology; University of Monastir, Tunisia(Universite de Monastir); French Institute of Tunisia; University of Bordeaux, France</t>
  </si>
  <si>
    <t>This study was supported by the Ministry of Scientific Research and Technology, the University of Monastir, Tunisia, the French Institute of Tunisia, and the University of Bordeaux, France.</t>
  </si>
  <si>
    <t>10.1007/s00244-015-0185-0</t>
  </si>
  <si>
    <t>http://dx.doi.org/10.1007/s00244-015-0185-0</t>
  </si>
  <si>
    <t>DG4SB</t>
  </si>
  <si>
    <t>WOS:000372061700006</t>
  </si>
  <si>
    <t>National distribution of chemical concentrations in mussels and oysters in the USA</t>
  </si>
  <si>
    <t>mussel watch; tissue analysis; chlorinated hydrocarbons; organotins; polyaromatic hydrocarbons; trace elements; biological responses</t>
  </si>
  <si>
    <t>MYTILUS-EDULIS; TRACE-METALS; ENVIRONMENTAL CONTAMINANTS; PUGET-SOUND; WATCH; WASHINGTON; BIVALVES; TRENDS</t>
  </si>
  <si>
    <t>Since 1986 the NOAA National Status and Trends (NS&amp;T) Program Mussel Watch has monitored concentrations of trace chemicals in the coastal United States by sampling mussels, oysters, and sediment. The sediment data have been used to define the status or geographic distribution of chemical concentrations (Daskalakis, K. D., &amp; O'Connor, T. P (1995). Distribution of chemical contamination in coastal and estuarine sediments. Marine Environmental Research 40, 381-398) and the molluscan data have provided an estimate of temporal trends (O'Connor, T. P. (1996). Trends in chemical concentrations in mussels and oysters collected along the US coast from 1986 to 1993. Marine Environmental Research 41,183-200, O'Connor, T. P. (1998). Mussel Watch results from 1986 to 1996. Marine Pollution Bulletin 37, 14-19). This paper centers on chemical concentrations in mollusks at 263 sites around the United States. It provides perspective on concentration ranges and on geographic distributions. For most organic chemicals and lead, concentrations vary in proportion to numbers of people living near a site. For elements, other than lead, high concentrations in mollusks can be due more to natural factors than to human activity. Concentrations of PAHs in tissues of mussels from urban areas are in a range reported to exert biological responses. Published by Elsevier Science Ltd.</t>
  </si>
  <si>
    <t>NOAA, N SCII, Natl Status &amp; Trends Program, Silver Spring, MD 20910 USA</t>
  </si>
  <si>
    <t>O'Connor, TP (corresponding author), NOAA, N SCII, Natl Status &amp; Trends Program, 1305 E West Highway, Silver Spring, MD 20910 USA.</t>
  </si>
  <si>
    <t>10.1016/S0141-1136(01)00116-7</t>
  </si>
  <si>
    <t>http://dx.doi.org/10.1016/S0141-1136(01)00116-7</t>
  </si>
  <si>
    <t>508QG</t>
  </si>
  <si>
    <t>WOS:000173099700001</t>
  </si>
  <si>
    <t>Gago-Tinoco, A; González-Domínguez, R; García-Barrera, T; Blasco-Moreno, J; Bebianno, MJ; Gómez-Ariza, JL</t>
  </si>
  <si>
    <t>Gago-Tinoco, Amanda; Gonzalez-Dominguez, Raul; Garcia-Barrera, Tamara; Blasco-Moreno, Julian; Bebianno, M. J.; Gomez-Ariza, Jose-Luis</t>
  </si>
  <si>
    <t>Metabolic signatures associated with environmental pollution by metals in Donana National Park using P-clarkii as bioindicator</t>
  </si>
  <si>
    <t>Procambarus clarkii; Metabolomics; Donana National Park; Pollution; Metals; Biological response</t>
  </si>
  <si>
    <t>CRAYFISH PROCAMBARUS-CLARKII; CLAM RUDITAPES-PHILIPPINARUM; NMR-BASED METABOLOMICS; BIOCHEMICAL-COMPOSITION; AQUATIC ORGANISMS; HEAVY-METALS; BIOMARKERS; CADMIUM; CARNOSINE; RESPONSES</t>
  </si>
  <si>
    <t>Bioindicators can reflect the effects of pollutants on their metabolism, being widely used to assess environmental stress. In this sense, the crab Procambarus clarkii has been previously proposed to monitor the contamination in Donana National Park (southwest Spain) using conventional biomarkers. In this work, a metabolomic approach based on direct infusion mass spectrometry, which allows an easy and quick study of a large number of metabolites in a single run, was used for pollution assessment of this area, considering the biological response of this organism to contamination. In addition, metal accumulation in crab tissues was determined. Thus, the integrated analysis of metabolomic and metallomic data enabled the study of metabolic response of the organism against pollution. Several metabolites were discovered as potential biomarkers of pollution, such as decreased levels of carnosine, alanine, niacinamide, acetoacetate, pantothenic acid, ascorbate, glucose-6-phosphate, arginine, glucose, lactate, phospholipids, and tryglicerides, as well as elevated levels of acetyl carnitine, phosphocholine, choline, and uric acid. In this way, metal-induced toxicity could be related to metabolic impairments, principally oxidative stress, metabolic dysfunction, and dyslipidemia.</t>
  </si>
  <si>
    <t>[Gago-Tinoco, Amanda; Gonzalez-Dominguez, Raul; Garcia-Barrera, Tamara; Gomez-Ariza, Jose-Luis] Univ Huelva, Fac Expt Sci, Dept Chem &amp; Mat Sci, Huelva 21007, Spain; [Gago-Tinoco, Amanda; Gonzalez-Dominguez, Raul; Garcia-Barrera, Tamara; Gomez-Ariza, Jose-Luis] Univ Huelva, CEIA3, Int Agrofood Campus Int Excellence, Huelva 21007, Spain; [Gago-Tinoco, Amanda; Gonzalez-Dominguez, Raul; Garcia-Barrera, Tamara; Gomez-Ariza, Jose-Luis] Univ Huelva, Res Ctr Hlth &amp; Environm CYSMA, Huelva 21007, Spain; [Blasco-Moreno, Julian] CSIC, Inst Marine Sci Andalusia ICMAN, Dept Ecol &amp; Coastal Management, Cadiz, Spain; [Bebianno, M. J.] Univ Algarve, Fac Marine &amp; Environm Sci, CIMA, P-8005135 Faro, Portugal</t>
  </si>
  <si>
    <t>Universidad de Huelva; Universidad de Huelva; Universidad de Huelva; Consejo Superior de Investigaciones Cientificas (CSIC); CSIC - Instituto de Ciencias Marinas de Andalucia (ICMAN); Universidade do Algarve</t>
  </si>
  <si>
    <t>García-Barrera, T (corresponding author), Univ Huelva, Fac Expt Sci, Dept Chem &amp; Mat Sci, Campus El Carmen, Huelva 21007, Spain.</t>
  </si>
  <si>
    <t>tamara@dqcm.uhu.es; ariza@uhu.es</t>
  </si>
  <si>
    <t>Bebianno, Maria/L-3761-2014; Blasco, Julian/A-5319-2008; Gonzalez-Dominguez, Raul/E-5125-2016; Garcia-Barrera, Tamara/G-4942-2015; Gomez-Ariza, Jose Luis/G-5525-2015</t>
  </si>
  <si>
    <t>Bebianno, Maria/0000-0003-1492-8566; Blasco, Julian/0000-0002-9750-383X; Gonzalez-Dominguez, Raul/0000-0002-7640-8833; Garcia-Barrera, Tamara/0000-0002-8859-9550; Gomez-Ariza, Jose Luis/0000-0001-7997-7444</t>
  </si>
  <si>
    <t>Ministerio de Economia y Competitividad [CTM2012-38720-C03-01]; Consejeria de Innovacion, Ciencia y Empresa (Junta de Andalucia) [P008-FQM-3554, P009-FQM-4659]; Ministerio de Educacion</t>
  </si>
  <si>
    <t>Ministerio de Economia y Competitividad(Spanish Government); Consejeria de Innovacion, Ciencia y Empresa (Junta de Andalucia)(Junta de Andalucia); Ministerio de Educacion</t>
  </si>
  <si>
    <t>This work was supported by the projects CTM2012-38720-C03-01 from the Ministerio de Economia y Competitividad and P008-FQM-3554 and P009-FQM-4659 from the Consejeria de Innovacion, Ciencia y Empresa (Junta de Andalucia). Raul Gonzalez Dominguez thanks the Ministerio de Educacion for a predoctoral scholarship.</t>
  </si>
  <si>
    <t>10.1007/s11356-014-2741-y</t>
  </si>
  <si>
    <t>http://dx.doi.org/10.1007/s11356-014-2741-y</t>
  </si>
  <si>
    <t>AT9YP</t>
  </si>
  <si>
    <t>WOS:000345280200021</t>
  </si>
  <si>
    <t>Diaz, R; Lardies, MA; Tapia, FJ; Tarifeño, E; Vargas, CA</t>
  </si>
  <si>
    <t>Diaz, Rosario; Lardies, Marco A.; Tapia, Fabian J.; Tarifeno, Eduardo; Vargas, Cristian A.</t>
  </si>
  <si>
    <t>Transgenerational Effects of pCO2-Driven Ocean Acidification on Adult Mussels Mytilus chilensis Modulate Physiological Response to Multiple Stressors in Larvae</t>
  </si>
  <si>
    <t>ocean acidification; transgenerational plasticity; multiple stressors; Mytilus chilensis; thermal effects</t>
  </si>
  <si>
    <t>ELEVATED CARBON-DIOXIDE; CLIMATE-CHANGE; METAL POLLUTION; MARINE SYSTEMS; CHANGING WORLD; CORAL-REEF; TEMPERATURE; SEAWATER; EXPOSURE; CADMIUM</t>
  </si>
  <si>
    <t>The effect of CO2-driven ocean acidification (OA) on marine biota has been extensively studied mostly on a single stage of the life cycle. However, the cumulative and population-level response to this global stressor may be biased due to transgenerational effects and their impacts on physiological plasticity. In this study, we exposed adult mussels Mytilus chilensis undergoing gametogenesis to two pCO(2) levels (550 and 1200 mu atm) for 16 weeks, aiming to understand if prolonged exposure of reproductive individuals to OA can affect the performance of their offspring, which, in turn, were reared under multiple stressors (pCO(2), temperature, and dissolved cadmium). Our results indicate dependence between the level of pCO(2) of the broodstock (i.e., parental effect) and the performance of larval stages in terms of growth and physiological rates, as a single effect of temperature. While main effects of pCO(2) and cadmium were observed for larval growth and ingestion rates, respectively, the combined exposure to stressors had antagonistic effects. Moreover, we found a suppression of feeding activity in post-spawning broodstock upon high pCO(2) conditions. Nevertheless, this observation was not reflected in the final weight of the broodstock and oocyte diameter. Due to the ecological and socioeconomic importance of mussels' species around the globe, the potential implications of maternal effects for the physiology, survival, and recruitment of larvae under combined global-change stressors warrant further investigation.</t>
  </si>
  <si>
    <t>[Diaz, Rosario] Univ Concepcion, Dept Oceanog, Grad Program Oceanog, Concepcion, Chile; [Diaz, Rosario; Vargas, Cristian A.] Univ Concepcion, Environm Sci Ctr EULA, Aquat Ecosyst Functioning Lab LAFE, Concepcion, Chile; [Diaz, Rosario; Vargas, Cristian A.] Univ Concepcion, Fac Environm Sci, Dept Aquat Syst, Concepcion, Chile; [Diaz, Rosario; Lardies, Marco A.; Vargas, Cristian A.] Univ Concepcion, Ctr Study Multiple Drivers Marine Socioecol Syst, Concepcion, Chile; [Diaz, Rosario; Vargas, Cristian A.] Univ Concepcion, Millennium Inst Oceanog, Concepcion, Chile; [Lardies, Marco A.] Univ Adolfo Ibanez, Fac Artes Liberates, Santiago, Chile; [Tapia, Fabian J.] Univ Concepcion, Ctr Invest Oceanog COPAS Sur Austral, Concepcion, Chile; [Tarifeno, Eduardo] Univ Concepcion, Fac Ciencias Nat &amp; Oceanog, Dept Zool, Concepcion, Chile</t>
  </si>
  <si>
    <t>Universidad de Concepcion; Universidad de Concepcion; Universidad de Concepcion; Universidad de Concepcion; Universidad de Concepcion; Universidad Adolfo Ibanez; Universidad de Concepcion; Universidad de Concepcion</t>
  </si>
  <si>
    <t>Vargas, CA (corresponding author), Univ Concepcion, Environm Sci Ctr EULA, Aquat Ecosyst Functioning Lab LAFE, Concepcion, Chile.;Vargas, CA (corresponding author), Univ Concepcion, Fac Environm Sci, Dept Aquat Syst, Concepcion, Chile.;Vargas, CA (corresponding author), Univ Concepcion, Ctr Study Multiple Drivers Marine Socioecol Syst, Concepcion, Chile.;Vargas, CA (corresponding author), Univ Concepcion, Millennium Inst Oceanog, Concepcion, Chile.</t>
  </si>
  <si>
    <t>crvargas@udec.cl</t>
  </si>
  <si>
    <t>Lardies, Marco/R-6203-2017</t>
  </si>
  <si>
    <t>Vargas, Cristian A./0000-0002-1486-3611; Tapia, Fabian/0000-0001-9661-6069; Lardies, Marco/0000-0003-3525-1830</t>
  </si>
  <si>
    <t>Millennium Nucleus Center for the Study of Multiple-drivers on Marine Socio-Ecological Systems (MUSELS) - MINECON [NC120086]; Millennium Institute of Oceanography (IMO) - MINECON [IC120019]; COPAS Sur-Austral (CONICYT PIA APOYO CCTE) [AFB170006]</t>
  </si>
  <si>
    <t>Millennium Nucleus Center for the Study of Multiple-drivers on Marine Socio-Ecological Systems (MUSELS) - MINECON; Millennium Institute of Oceanography (IMO) - MINECON; COPAS Sur-Austral (CONICYT PIA APOYO CCTE)</t>
  </si>
  <si>
    <t>This work was supported by Millennium Nucleus Center for the Study of Multiple-drivers on Marine Socio-Ecological Systems (MUSELS) funded by MINECON NC120086 and the Millennium Institute of Oceanography (IMO) funded by MINECON IC120019. Partial funding for FT was provided by COPAS Sur-Austral (CONICYT PIA APOYO CCTE AFB170006).</t>
  </si>
  <si>
    <t>10.3389/fphys.2018.01349</t>
  </si>
  <si>
    <t>http://dx.doi.org/10.3389/fphys.2018.01349</t>
  </si>
  <si>
    <t>GW8YD</t>
  </si>
  <si>
    <t>WOS:000447266500001</t>
  </si>
  <si>
    <t>YOUNG, DR; ALEXANDER, GV; MCDERMOTTEHRLICH, D</t>
  </si>
  <si>
    <t>VESSEL-RELATED CONTAMINATION OF SOUTHERN-CALIFORNIA HARBORS BY COPPER AND OTHER METALS</t>
  </si>
  <si>
    <t>A number of trace contaminants apparently are introduced to nearshore marine waters as a result of vessel-related activities. Such inputs are clearly reflected by elevated concentrations of these constituents in several tissues of the bay mussel Mytilus edulis. Comparative studies using this bioindicator suggest that harbor-related activities can be as important a source as coastal wastewater discharges in the contamination of nearshore marine ecosystems.</t>
  </si>
  <si>
    <t>LOCKHEED CO, CTR MARINE RES, CARLSBAD, CA 92008 USA; UNIV CALIF LOS ANGELES, NUCL MED &amp; RADIAT BIOL LAB, LOS ANGELES, CA 90024 USA</t>
  </si>
  <si>
    <t>Lockheed Martin; University of California System; University of California Los Angeles</t>
  </si>
  <si>
    <t>SO CALIF COASTAL WATER RES PROJECT, 1500 E IMPERIAL HIGHWAY, EL SEGUNDO, CA 90245 USA.</t>
  </si>
  <si>
    <t>10.1016/0025-326X(79)90269-8</t>
  </si>
  <si>
    <t>http://dx.doi.org/10.1016/0025-326X(79)90269-8</t>
  </si>
  <si>
    <t>GP286</t>
  </si>
  <si>
    <t>WOS:A1979GP28600005</t>
  </si>
  <si>
    <t>El Ayeb, N; Béjaoui, M; Muhr, H; Touaylia, S; Mahmoudi, E</t>
  </si>
  <si>
    <t>El Ayeb, Nesrine; Bejaoui, Mustapha; Muhr, Herve; Touaylia, Samir; Mahmoudi, Ezzeddine</t>
  </si>
  <si>
    <t>Behaviour and biochemical responses of the marine clam Ruditapes decussatus exposed to phosphogypsum</t>
  </si>
  <si>
    <t>Phosphogypsum; behaviour; oxidative stress; biomarkers; Ruditapes decussatus</t>
  </si>
  <si>
    <t>MUSSEL MYTILUS-GALLOPROVINCIALIS; LAGOON-OF-VENICE; CONTAMINATION LEVELS; OXIDATIVE STRESS; DIGESTIVE GLAND; POLLUTION BIOMARKERS; NEREIS-DIVERSICOLOR; INTEGRATED APPROACH; CATALASE ACTIVITY; BIVALVE MOLLUSKS</t>
  </si>
  <si>
    <t>The phosphate fertilizer and phosphoric acid industries increase phosphogypsum levels in the aquatic environment leading to various disturbing effects. In the present work, we investigated the bio-uptake of heavy metals following the exposure of Ruditapes decussatus to three concentrations of phosphogypsum, 10, 20 and 40 g kg(-1), under laboratory conditions. The amounts of Zn, Cd and Pb in several organs of the clam Ruditapes decussatus was determined using inductively coupled plasma optical emission spectroscopy (ICP-OES). Phosphogypsum acts on the behaviour of R. decussatus by increasing filtration rates. The most treatments showed significantly higher metal concentration in all tissues than the controls. Excavation behaviour was altered in treated bivalves compared to controls. The filtration rate (FR) of clams was significantly affected by exposure to phosphogypsum. Indeed, FR increased in clams exposed to phosphogypsum. Phosphogypsum has decreased SOD, CAT and MDA activities in the gills, digestive gland, gonad and muscles according to the concentration indicating a defense against oxidative stress. AChE was significantly inhibited in clams from all the sampling sites compared to controls. The considered parameters could be useful biomarkers for the evaluation of phosphogypsum toxicity in threatened biota. This study was conducted as part of a further investigation into the use of a comprehensive approach combining chemical and biological parameters to assess the health status of the Gabes gulf population. It provides the first database referring to phosphogypsum contamination and its biological effect in this ecosystem. The present study fills in a needed gap in the literature.</t>
  </si>
  <si>
    <t>[El Ayeb, Nesrine; Bejaoui, Mustapha; Touaylia, Samir; Mahmoudi, Ezzeddine] Univ Carthage, Environm Biomonitoring Lab LR01ES14, Fac Sci Bizerte, Jarzouna 7021, Tunisia; [El Ayeb, Nesrine] Univ Gabes, Fac Sci Gabes, Gabes, Tunisia; [Muhr, Herve] Univ Lorraine, LRGP, Nancy, France</t>
  </si>
  <si>
    <t>Universite de Carthage; Universite de Gabes; Universite de Lorraine</t>
  </si>
  <si>
    <t>Béjaoui, M (corresponding author), Univ Carthage, Environm Biomonitoring Lab LR01ES14, Fac Sci Bizerte, Jarzouna 7021, Tunisia.</t>
  </si>
  <si>
    <t>mustapha.bejaoui.fsb@gmail.com</t>
  </si>
  <si>
    <t>touaylia, Samir/AAM-3337-2020; MAHMOUDI, Ezzeddine/ISS-6035-2023</t>
  </si>
  <si>
    <t>10.1080/09593330.2020.1740332</t>
  </si>
  <si>
    <t>http://dx.doi.org/10.1080/09593330.2020.1740332</t>
  </si>
  <si>
    <t>UL3GF</t>
  </si>
  <si>
    <t>WOS:000524708900001</t>
  </si>
  <si>
    <t>Ricciardi, F; Binelli, A; Provini, A</t>
  </si>
  <si>
    <t>Use of two biomarkers (CYP450 and acetylcholinesterase) in zebra mussel for the biomonitoring of Lake Maggiore (northern Italy)</t>
  </si>
  <si>
    <t>biomarkers; zebra mussel; Dreissena polymorpha; AChE; EROD; Lake Maggiore; biomonitoring</t>
  </si>
  <si>
    <t>DAB LIMANDA-LIMANDA; DREISSENA-POLYMORPHA; NEUROTOXIC CONTAMINATION; EROD ACTIVITY; CYTOCHROME-P450; INHIBITION; INDUCTION; FISH; POLLUTION; EXPOSURE</t>
  </si>
  <si>
    <t>The use of zebra mussel Dreissena polymorpha as a bioaccumulator for lipophilic compounds is nowadays standardized, but its employment in early warning systems by the biomarker approach is much less frequent. One of the main problems with the biomarker approach is due to natural variation of abiotic factors such as temperature that influence the activity of several enzymes. In this study, we investigated the influence of this environmental parameter on the activities of two different biomarkers: acetylcholinesterase (AChE) (inhibited by organophosphorus compounds) and CYP450 (inversely influenced by planar compounds and heavy metals). We used these two biomarkers to evaluate the environmental pollution of Lake Maggiore (northern Italy). Results showed a strong AChE inhibition in mussel specimens collected in some sampling sites of the lake, indicating heavy pollution by neurotoxic compounds. We also found a twofold effect on CYP450 activity, probably due to the activating effect of planar compounds and the inhibiting effect of trace metals. (c) 2005 Elsevier Inc. All rights reserved.</t>
  </si>
  <si>
    <t>Univ Milan, Dipartimento Biol, I-20133 Milan, Italy</t>
  </si>
  <si>
    <t>Binelli, A (corresponding author), Univ Milan, Dipartimento Biol, Via Celoria 26, I-20133 Milan, Italy.</t>
  </si>
  <si>
    <t>andrea.binelli@unimi.it</t>
  </si>
  <si>
    <t>Ricciardi, Francesco/B-3977-2008; Binelli, Andrea/B-2685-2017</t>
  </si>
  <si>
    <t>Ricciardi, Francesco/0000-0002-0163-8861; Binelli, Andrea/0000-0001-9953-7315</t>
  </si>
  <si>
    <t>10.1016/j.ecoenv.2005.02.007</t>
  </si>
  <si>
    <t>http://dx.doi.org/10.1016/j.ecoenv.2005.02.007</t>
  </si>
  <si>
    <t>026ZQ</t>
  </si>
  <si>
    <t>WOS:000236382600008</t>
  </si>
  <si>
    <t>Ostapczuk, P; Schladot, JD; Emons, H; Oxynos, K; Schramm, KW; Grimmer, G; Jacob, J</t>
  </si>
  <si>
    <t>Environmental monitoring and banking of marine pollutants by using common mussels</t>
  </si>
  <si>
    <t>2nd International Symposium &amp; Workshop on Biological Environmental Specimen Banking (BESB-2)</t>
  </si>
  <si>
    <t>MAY 20-23, 1996</t>
  </si>
  <si>
    <t>SWEDISH MUSEUM NAT HIST, STOCKHOLM, SWEDEN</t>
  </si>
  <si>
    <t>SWEDISH MUSEUM NAT HIST</t>
  </si>
  <si>
    <t>Since 1985 the common mussel Mytulis edulis has been collected, characterized and stored within the framework of the German Environmental Specimen Bank program. Selected results about the determination of various pollutants such as heavy metals, polycyclic aromatic hydrocarbons and chlorinated hydrocarbons are presented. Particular emphasis is given to the comparison of seasonal variations with respect to different environmental contaminants and their correlations depending on sampling location and time. (C) 1997 Elsevier Science Ltd.</t>
  </si>
  <si>
    <t>GSF FORSCHUNGSZENTRUM UMWELT &amp; GESUNDHEIT GMBH, INST OKOL CHEM, D-85764 OBERSCHLEISSHEIM, GERMANY; BIOCHEM INST ENVIRONM CARCINOGENS, D-22927 GROSSHANSDORF, GERMANY</t>
  </si>
  <si>
    <t>Helmholtz Association; Helmholtz-Center Munich - German Research Center for Environmental Health</t>
  </si>
  <si>
    <t>Ostapczuk, P (corresponding author), FORSCHUNGSZENTRUM JULICH, FORSCHUNGSZENTRUM, INST APPL PHYS CHEM, POSTFACH 1913, D-52425 JULICH, GERMANY.</t>
  </si>
  <si>
    <t>Schramm, Karl-Werner/C-7438-2013</t>
  </si>
  <si>
    <t>10.1016/S0045-6535(97)00074-X</t>
  </si>
  <si>
    <t>http://dx.doi.org/10.1016/S0045-6535(97)00074-X</t>
  </si>
  <si>
    <t>WY925</t>
  </si>
  <si>
    <t>WOS:A1997WY92500027</t>
  </si>
  <si>
    <t>El-Sorogy, AS; Youssef, M; Al-Kahtany, K</t>
  </si>
  <si>
    <t>El-Sorogy, Abdelbaset S.; Youssef, Mohamed; Al-Kahtany, Khaled</t>
  </si>
  <si>
    <t>Integrated assessment of the Tarut Island coast, Arabian Gulf, Saudi Arabia</t>
  </si>
  <si>
    <t>Integrated assessment; Mollusca; Coastal sediments; Tarut Island; Arabian Gulf; Saudi Arabia</t>
  </si>
  <si>
    <t>HEAVY-METAL POLLUTION; RED-SEA COAST; TRACE-METALS; SURFACE SEDIMENTS; CONTAMINATION; ELEMENTS; SEAWATER; ACCUMULATION; ENRICHMENT; BIVALVES</t>
  </si>
  <si>
    <t>In order to assess pollutants on the Tarut Island coast, Saudi Arabian Gulf, 38 coastal sediment samples, 40 mollusk specimens, and 26 seawater samples were collected for Fe, Cu, Pb, Mn, Cd, Se, As, Co, B, Cr, Hg, Mo and Zn analysis using inductively coupled plasma-mass spectrometer. The analysis indicated that the coastal sediments were enriched, polluted and contaminated with As, Pb, Cd and Hg. Gastropods were good accumulators for Fe, Cu, Zn, Pb, Mn, Cd and Co while bivalves were good accumulators for Se, Cr and Hg. The spatial distribution of heavy metals in seawater samples indicated no obvious trend along the studied coast. Land reclamation, dust storms, petrochemical industries, oil leakage, desalination plants and sewage effluents were the significant sources of heavy metal pollutants along Tarut coast. The comparison between heavy metals in the Tarut Island coast and other worldwide coasts was emphasized.</t>
  </si>
  <si>
    <t>[El-Sorogy, Abdelbaset S.; Youssef, Mohamed; Al-Kahtany, Khaled] King Saud Univ, Coll Sci, Dept Geol &amp; Geophys, Riyadh, Saudi Arabia; [El-Sorogy, Abdelbaset S.] Zagazig Univ, Fac Sci, Dept Geol, Zagazig, Egypt; [Youssef, Mohamed] South Valley Univ, Fac Sci, Dept Geol, Qena, Egypt</t>
  </si>
  <si>
    <t>El-Sorogy, AS (corresponding author), King Saud Univ, Coll Sci, Dept Geol &amp; Geophys, Riyadh, Saudi Arabia.;El-Sorogy, AS (corresponding author), Zagazig Univ, Fac Sci, Dept Geol, Zagazig, Egypt.</t>
  </si>
  <si>
    <t>El-Sorogy, Abdelbaset/C-9445-2014; alkahtany, khalid/AFB-7640-2022; Youssef, Mohamed/AAA-2918-2022</t>
  </si>
  <si>
    <t>National Plan for Science, Technology and Innovation (MAARIFAH), King Abdulaziz City for Science and Technology, Kingdom of Saudi Arabia [12-ENV2805-02]</t>
  </si>
  <si>
    <t>National Plan for Science, Technology and Innovation (MAARIFAH), King Abdulaziz City for Science and Technology, Kingdom of Saudi Arabia</t>
  </si>
  <si>
    <t>This project was funded by the National Plan for Science, Technology and Innovation (MAARIFAH), King Abdulaziz City for Science and Technology, Kingdom of Saudi Arabia, Award Number (12-ENV2805-02).</t>
  </si>
  <si>
    <t>10.1007/s12665-016-6150-z</t>
  </si>
  <si>
    <t>http://dx.doi.org/10.1007/s12665-016-6150-z</t>
  </si>
  <si>
    <t>DY5JF</t>
  </si>
  <si>
    <t>WOS:000385135100037</t>
  </si>
  <si>
    <t>Gagné, F; André, C; Cejka, P; Hausler, R; Fournier, M</t>
  </si>
  <si>
    <t>Gagne, F.; Andre, C.; Cejka, P.; Hausler, R.; Fournier, M.</t>
  </si>
  <si>
    <t>Alterations in DNA metabolism in Elliptio complanata mussels after exposure to municipal effluents</t>
  </si>
  <si>
    <t>Municipal effluent; Mussels; Purines; Pyrimidines; DNA strand breaks</t>
  </si>
  <si>
    <t>ASPARTATE-TRANSCARBAMYLASE ACTIVITY; WASTE-WATER; SUPEROXIDE-DISMUTASE; ZINC; METALLOTHIONEIN; TISSUES; DAMAGE; PHARMACEUTICALS; IDENTIFICATION; TRIMETHOPRIM</t>
  </si>
  <si>
    <t>This study sought to examine the genotoxic potential in Elliptio complanata freshwater mussels exposed to a physically and chemically treated municipal effluent before and after ozone treatment. Mussels were continuously exposed to increasing concentrations of the effluents for 14 days. Genotoxicity was determined by tracking changes in key enzymes for purine and pyrimidine synthesis (dehydrofolate reductase and aspartate transcarbamoylase), catabolism of purines (xanthine oxido-reductase) and DNA strand-break levels as determined by the alkaline precipitation assay. Other biomarkers related to xenobiotic biotransformation (cytochrome P4503A and glutathione S-transferase activities), metal metabolism (labile zinc and redox state of metathioneins) and oxidative stress (superoxide dismutase activity) were also determined in the mussels. The data revealed that dehydrofolate reductase activity was reduced by the initial effluent and increased by the ozonated effluent. Aspartate transcarbamoylase activity was significantly induced only with the ozonated effluent. The levels of DNA strand breaks responded in a biphasic manner in mussels exposed to the physically and chemically treated effluent where an initial decrease was observed at a low effluent concentration (3% v/v) followed by an increase in DNA strand breaks at a higher effluent concentration (20%). This response pattern was lost in the ozonated effluent, where only a decrease in DNA breaks was found. Xanthine oxidoreductase activity was not significantly affected but did correlate significantly with dehydrofolate reductase activity. Multivariate factorial and canonical analyses revealed that oxidative stress and metal/xenobiotic metabolism markers were strongly correlated with DNA strand breaks in mussels, suggesting that the presence of metals (zinc) and planar hydroxylated hydrocarbons present in these effluents were strong contributors to the observed response. We conclude that municipal effluents contain a complex mixture of pollutants that could modulate DNA synthesis and repair mechanisms in mussels. Crown Copyright (C) 2011 Published by Elsevier Inc. All rights reserved.</t>
  </si>
  <si>
    <t>[Gagne, F.; Andre, C.] Environm Canada, Fluvial Ecosyst Res, Montreal, PQ, Canada; [Cejka, P.] Montreal Wastewater Treatment Plant, Montreal, PQ, Canada; [Hausler, R.] Ecole Technol Super, STEPPE, Montreal, PQ, Canada; [Fournier, M.] Univ Quebec, INRS Inst Armand Frappier, Pointe Claire, PQ, Canada</t>
  </si>
  <si>
    <t>Environment &amp; Climate Change Canada; University of Quebec; Ecole de Technologie Superieure - Canada; University of Quebec; Institut national de la recherche scientifique (INRS)</t>
  </si>
  <si>
    <t>Gagné, F (corresponding author), Environm Canada, Fluvial Ecosyst Res, 105 McGill St,7th Floor, Montreal, PQ, Canada.</t>
  </si>
  <si>
    <t>Environment Canada; St. Lawrence Action Plan</t>
  </si>
  <si>
    <t>Environment Canada(CGIAR); St. Lawrence Action Plan</t>
  </si>
  <si>
    <t>The authors thank Sophie Trepanier for her analysis of some of the biomarkers involved in this study. The work was funded by Environment Canada and the St. Lawrence Action Plan. The text was copyedited by Patricia Potvin of Environment Canada.</t>
  </si>
  <si>
    <t>10.1016/j.cbpc.2011.03.009</t>
  </si>
  <si>
    <t>http://dx.doi.org/10.1016/j.cbpc.2011.03.009</t>
  </si>
  <si>
    <t>784SS</t>
  </si>
  <si>
    <t>WOS:000292179100005</t>
  </si>
  <si>
    <t>La Colla, NS; Botté, SE; Fiori, SM; Dos Santos, EP; Labudía, AC</t>
  </si>
  <si>
    <t>La Colla, Noelia S.; Botte, Sandra E.; Fiori, Sandra M.; Dos Santos, Eder P.; Labudia, Ana C.</t>
  </si>
  <si>
    <t>First records of metal concentrations in the Pacific oyster (Crassostrea gigas) from a Southwest Atlantic estuary</t>
  </si>
  <si>
    <t>Pollution; Bivalves; Human health; Atlantic coast</t>
  </si>
  <si>
    <t>BAHIA-BLANCA-ESTUARY; MUSSEL PERNA-VIRIDIS; HEAVY-METALS; TRACE-METALS; COASTAL ENVIRONMENTS; ACCUMULATION; POLLUTION; SEDIMENTS; THUNBERG; COPPER</t>
  </si>
  <si>
    <t>The Pacific oyster (Crassostrea gigas) is one of the world's most widespread bivalves and a suitable species for biomonitoring metals in coastal environments. In the present research, wild individuals were collected from an Argentinian estuary and the coastal beaches nearby. The concentrations of eight metals (Cd, Cr, Cu, Fe, Mn, Ni, Pb and Zn) were quantified in the soft tissues of the Pacific oyster. Among the metals, Cu, Fe and Zn reached the highest concentrations in the soft tissues over the rest of the elements. The results showed the highest values to be estuary related, with the beach site achieving the lowest values. These results possibly lie on the impact of human activities surrounding the estuary, as well as streams and rivers that outflow within it. Higher Cu and Zn levels, both port related, were mainly found toward the outer estuary. On the other hand, high levels of Cr, Fe and Mn were found toward the inner zone of the estuary, an area with sewage sludge from the cities located on the margins of the BBE. Regarding the potential risk to public health, Cu and Zn levels found in C. gigas were above national and international safety guidelines in 100% and 11% of the samples, respectively.</t>
  </si>
  <si>
    <t>[La Colla, Noelia S.; Botte, Sandra E.; Fiori, Sandra M.; Dos Santos, Eder P.; Labudia, Ana C.] UNS, CONICET, IADO, Florida 8000,B8000FWB, Bahia Blanca, Buenos Aires, Argentina; [Botte, Sandra E.; Fiori, Sandra M.] Univ Nacl Sur, Dept Biol Bioquim &amp; Farm, San Juan 670,B8000FWB, Bahia Blanca, Buenos Aires, Argentina</t>
  </si>
  <si>
    <t>National University of the South; Consejo Nacional de Investigaciones Cientificas y Tecnicas (CONICET); National University of the South</t>
  </si>
  <si>
    <t>La Colla, NS (corresponding author), UNS, CONICET, IADO, Florida 8000,B8000FWB, Bahia Blanca, Buenos Aires, Argentina.</t>
  </si>
  <si>
    <t>nlacolla@iado-conicet.gob.ar; sbotte@iado-conicet.gob.ar; sfiori@iado-conicet.gob.ar; eder@iado-conicet.gob.ar; alabudia@iado-conicet.gob.ar</t>
  </si>
  <si>
    <t>Botté, Sandra/AAA-5227-2020</t>
  </si>
  <si>
    <t>BOTTE, SANDRA E./0000-0003-2497-2704; Fiori, Sandra/0000-0003-1954-5871; La Colla, Noelia S./0000-0002-9144-4146</t>
  </si>
  <si>
    <t>Universidad Nacional del Sur (SECyT-UNS) [PGI 24/ZB59, PGI 24/MA05, PGI 24/ZB40]; Instituto Argentino de Oceanografia, IADO (CONICET-UNS)</t>
  </si>
  <si>
    <t>Universidad Nacional del Sur (SECyT-UNS); Instituto Argentino de Oceanografia, IADO (CONICET-UNS)</t>
  </si>
  <si>
    <t>We are grateful to Lic. Maria Emilia Bravo who helped in sample collection and to Lic. Fabian Garcia for his assistance in the use of the ICP-OES. The study was supported by grants from the Universidad Nacional del Sur to S.E.B. (SECyT-UNS, PGI 24/ZB59 and PGI 24/MA05), to S.M.F (SECyT-UNS. PGI 24/ZB40), and the Instituto Argentino de Oceanografia, IADO (CONICET-UNS).</t>
  </si>
  <si>
    <t>10.1007/s10653-018-0217-6</t>
  </si>
  <si>
    <t>http://dx.doi.org/10.1007/s10653-018-0217-6</t>
  </si>
  <si>
    <t>IS8VQ</t>
  </si>
  <si>
    <t>WOS:000482428000015</t>
  </si>
  <si>
    <t>Múgica, M; Izagirre, U; Marigómez, I</t>
  </si>
  <si>
    <t>Mugica, M.; Izagirre, U.; Marigomez, I.</t>
  </si>
  <si>
    <t>Lysosomal responses to heat-shock of seasonal temperature extremes in Cd-exposed mussels</t>
  </si>
  <si>
    <t>Lysosomal biomarkers; Mytilus galloprovincialis; Climate change; Temperature extremes; Pollution; Cadmium</t>
  </si>
  <si>
    <t>MYTILUS-GALLOPROVINCIALIS L.; CRASSOSTREA-VIRGINICA GMELIN; TRACE-METAL CONCENTRATIONS; TISSUE-LEVEL BIOMARKERS; DIGESTIVE CELLS; SUBCELLULAR-DISTRIBUTION; ELEVATED-TEMPERATURES; ENVIRONMENTAL-STRESS; MEMBRANE STABILITY; ENERGY-METABOLISM</t>
  </si>
  <si>
    <t>The present study was aimed at determining the effect of temperature extremes on lysosomal biomarkers in mussels exposed to a model toxic pollutant (Cd) at different seasons. For this purpose, temperature was elevated 10 degrees C (from 12 degrees C to 22 degrees C in winter and from 18 degrees C to 28 degrees C in summer) for a period of 6 h (heat-shock) in control and Cd-exposed mussels, and then returned back to initial one. Lysosomal membrane stability and lysosomal structural changes in digestive gland were investigated. In winter, heat-shock reduced the labilisation period (LP) of the lysosomal membrane, especially in Cd-exposed mussels, and provoked transient lysosomal enlargement. LP values recovered after the heat-shock cessation but lysosomal enlargement prevailed in both experimental groups. In summer, heat-shock induced remarkable reduction in LP and lysosomal enlargement (more markedly in Cd-exposed mussels), which recovered within 3 days. Besides, whilst heat-shock effects on LP were practically identical for Cd-exposed mussels in winter and summer, the effects were longer-lasting in summer than in winter for control mussels. Thus, lysosomal responsiveness after heat-shock was higher in summer than in winter but recovery was faster as well, and therefore the consequences of the heat shock seem to be more decisive in winter. In contrast, inter-season differences were attenuated in the presence of Cd. Consequently, mussels seem to be better prepared in summer than in winter to stand short periods of abrupt temperature change; this is, however, compromised when mussels are exposed to pollutants such as Cd. (C) 2015 Elsevier B.V. All rights reserved.</t>
  </si>
  <si>
    <t>[Mugica, M.; Izagirre, U.; Marigomez, I.] Univ Basque Country, Res Ctr Expt Marine Biol &amp; Biotechnol PiE UPV EHU, CBET Res Grp, Plentzia Bizkaia 48620, Basque Country, Spain</t>
  </si>
  <si>
    <t>Marigómez, I (corresponding author), Euskal Herriko Unibertsitatea, Univ Pais Vasco, Plentziako Itsas Estazioa PiE UPV EHU, Itsas Biol Eta Bioteknol Esperimentaletarako Iker, Plentzia Bizkaia 48620, Basque Country, Spain.</t>
  </si>
  <si>
    <t>ionan.marigomez@ehu.eus</t>
  </si>
  <si>
    <t>Izagirre, Urtzi/C-3848-2017; MARIGOMEZ ALLENDE, Ionan/C-3909-2017</t>
  </si>
  <si>
    <t>Izagirre, Urtzi/0000-0002-3477-4974; MARIGOMEZ ALLENDE, Ionan/0000-0001-6274-541X</t>
  </si>
  <si>
    <t>ETORTEK research strategic actions K-Egokitzen I &amp; II (Basque Government); MINECO research projects [CTM2012-40203-C02-01]; UPV/EHU Research &amp; Formation Unit in Ecosystem Health Protection [UFI 11/37]</t>
  </si>
  <si>
    <t>ETORTEK research strategic actions K-Egokitzen I &amp; II (Basque Government); MINECO research projects; UPV/EHU Research &amp; Formation Unit in Ecosystem Health Protection</t>
  </si>
  <si>
    <t>This work was supported by ETORTEK research strategic actions K-Egokitzen I &amp; II (Basque Government 2007-2011), MINECO research projects (CTM2012-40203-C02-01 and DIAGNOseas-BMW), and grants to the Consolidated Research Group in Cell Biology in Environmental Toxicology (GIC07/26-IT-393-07) and the UPV/EHU Research &amp; Formation Unit in Ecosystem Health Protection (UFI 11/37).</t>
  </si>
  <si>
    <t>10.1016/j.aquatox.2015.04.020</t>
  </si>
  <si>
    <t>http://dx.doi.org/10.1016/j.aquatox.2015.04.020</t>
  </si>
  <si>
    <t>CL1XW</t>
  </si>
  <si>
    <t>WOS:000356739200012</t>
  </si>
  <si>
    <t>Kheirallah, DA; El-Samad, LM</t>
  </si>
  <si>
    <t>Kheirallah, Dalia A.; El-Samad, Lamia M.</t>
  </si>
  <si>
    <t>Isoenzymes and protein polymorphism in Blaps polycresta and Trachyderma hispida (Forsskal, 1775) (Coleoptera: Tenebrionidae) as biomarkers for ceramic industrial pollution</t>
  </si>
  <si>
    <t>Manufacturing ceramic; Beetles; Esterase isoenzyme; Protein fractionation; X-ray microanalysis</t>
  </si>
  <si>
    <t>MUSSEL MYTILUS-GALLOPROVINCIALIS; ENVIRONMENTAL ASSESSMENT; MARIOUT REGION; CEMENT DUST; METAL; CADMIUM; ENZYMES; SOIL; PARAMETERS; DIPTERA</t>
  </si>
  <si>
    <t>The expression levels of Esterase Isoenzyme and total soluble protein fractionation were studied in two coleopteran insects Blaps polycresta and Trachyderma hispida to evaluate the possible hazards from ceramic and plastic factories in the Khorshed Region, East of Alexandria, Egypt. Two insect collection sites were selected. The first site was the garden of the Faculty of Science, Moharram Bek, Alexandria University, which is considered a non-polluted site, and Khorshed district, considered as the polluted site. Percentages of heavy metals were estimated using SEM-X-ray microanalysis of soft tissues of both sexes of the two coleopteran insects. Esterase Isoenzymes were found to be overexpressed in B. Polycresta but not T. hispida. Female B. polycresta from the polluted site exhibited overexpression of the second and third loci. Furthermore, the females were found to be more affected than males, which only showed the overexpression of the second loci. T. hispida (females and males) collected from the reference site were found to have increased esterase activity compared with those sampled from the polluted site. The Snake-Skin Dialysis tubing technique, used for optimizing the protein extraction method, reflected the highest quantified proteins compared to other, traditional methods. SDS polyacrylamide gel electrophoresis (SDS-PAGE) analysis of the whole-body protein reflected definite variations between T. hispida and B. polycresta in fraction number and activity at the two sites. Varied expression levels for metallothionein (MT) heavy metal resistance proteins for B. polycresta and T. hispida were also detected in the study. Based on these results, we suggest that biochemical biomarkers could infer environmental hazards, B. polycresta and T. hispida are successful biomarkers for heavy metal pollution.</t>
  </si>
  <si>
    <t>[Kheirallah, Dalia A.; El-Samad, Lamia M.] Alexandria Univ, Dept Zool, Fac Sci, Alexandria 21511, Egypt</t>
  </si>
  <si>
    <t>Kheirallah, DA (corresponding author), Alexandria Univ, Dept Zool, Fac Sci, Alexandria 21511, Egypt.</t>
  </si>
  <si>
    <t>Daliakheirallah@yahoo.com</t>
  </si>
  <si>
    <t>ElSamad, Lamia/AAT-3379-2020; Kheirallah, Dalia/ABE-1232-2021</t>
  </si>
  <si>
    <t>Abd El-Samad, Lamia/0000-0002-4352-5742; Kheirallah, Dalia/0000-0002-8747-2478</t>
  </si>
  <si>
    <t>10.1007/s10661-019-7517-x</t>
  </si>
  <si>
    <t>http://dx.doi.org/10.1007/s10661-019-7517-x</t>
  </si>
  <si>
    <t>HY7PB</t>
  </si>
  <si>
    <t>WOS:000468327000002</t>
  </si>
  <si>
    <t>Use of metallothioneins as biomarkers for environmental quality assessment in the Gulf of Gabes (Tunisia)</t>
  </si>
  <si>
    <t>Biomarker; Biomonitoring; Gulf of Gabes; Metallothionein; Review</t>
  </si>
  <si>
    <t>CLAM RUDITAPES-DECUSSATUS; REAL-TIME PCR; IN-SITU; METAL POLLUTION; MESSENGER-RNA; CADMIUM CONTAMINATION; CERASTODERMA-GLAUCUM; CRYSTAL-STRUCTURE; OXIDATIVE STRESS; DIGESTIVE GLAND</t>
  </si>
  <si>
    <t>Detection and assessment of the impact of pollution on biological resources imply increasing research on early-warning markers such as metallothioneins (MTs) in metal exposure. In this paper, we have collated published information on the use of metallothioneins and metallothionein-like proteins (MTLPs) as biomarkers for environmental quality assessment in the Gulf of GabSs. In this area, some species of fish and bivalve were used as bioindicators of pollution. In these species, an induction of MTs/MTLPs by the essential metals such as Cu and Zn and the non-essential metals such as Cd was observed by different authors who suggest the potential use of these proteins as biomarkers. However, MT concentrations can be influenced by many biotic (sex, maturity stages, and tissues) and abiotic factors (temperature, salinity, and pH). This is essentially the case in field studies where many parameters can randomly affect MT levels, so the endogeneous regulation of MTs must be considered before using MTs as an indicator of heavy metal exposure. Moreover, the use of biomarker cannot be examined independently of the evaluation of techniques that enable its quantification. Therefore, the approach to the use of MTs/MTLP as biomarkers of exposure for an assessment of the physiological status of aquatic organisms is discussed in this paper.</t>
  </si>
  <si>
    <t>[Ladhar-Chaabouni, Rim; Machreki-Ajmi, Monia; Hamza-Chaffai, Amel] Sfax Univ, UR Marine Environm Toxicol 09 03, Sfax 3018, Tunisia</t>
  </si>
  <si>
    <t>Ladhar-Chaabouni, R (corresponding author), Sfax Univ, UR Marine Environm Toxicol 09 03, IPEIS BP 1172, Sfax 3018, Tunisia.</t>
  </si>
  <si>
    <t>10.1007/s10661-011-2108-5</t>
  </si>
  <si>
    <t>http://dx.doi.org/10.1007/s10661-011-2108-5</t>
  </si>
  <si>
    <t>899WU</t>
  </si>
  <si>
    <t>WOS:000300848100030</t>
  </si>
  <si>
    <t>Shahib, II; Ifthikar, J; Oyekunle, DT; Elkhlifi, Z; Jawad, A; Wang, J; Lei, WL; Chen, ZQ</t>
  </si>
  <si>
    <t>Shahib, Irshad Ibran; Ifthikar, Jerosha; Oyekunle, Daniel T.; Elkhlifi, Zouhair; Jawad, Ali; Wang, Jia; Lei, Wenli; Chen, Zhuqi</t>
  </si>
  <si>
    <t>Influences of chemical treatment on sludge derived biochar; Physicochemical properties and potential sorption mechanisms of lead (II) and methylene blue</t>
  </si>
  <si>
    <t>Editor; Ana Loncaric Bozic; Pb(II); Methylene blue; Sewage sludge; Chemical modification; Pyrolysis</t>
  </si>
  <si>
    <t>MODIFIED ACTIVATED CARBON; SEWAGE-SLUDGE; AQUEOUS-SOLUTION; PYROLYSIS TEMPERATURE; HEAVY-METALS; SURFACE OXYGENATION; MUSSEL SHELL; WASTE-WATER; COW BONE; ADSORPTION</t>
  </si>
  <si>
    <t>Unlike agricultural biomass, sludge-derived biochar is rich in nutrients, comprising exchangeable cations and various surface oxygen functional groups with carbonaceous structures. In this study, the influence of different activating reagents such as H3PO4, H2O2, K2CO3, and NaOH on the physicochemical properties of biochar was investigated. It was found that the biochar elemental composition remains nearly the same, while the surface Fe and Si were induced for H3PO4 modification. The pH of the original biochar was varied from acidic to alkali (3.60-10.06) along the chemical treatment process. The surface-active sites of biochar and their nature were dramatically tuned based on their chemical modification. To interpret the relationship between each of the parameters obtained via chemical modification, adsorption of different pollutants, such as Pb(II), Cd(II), Cr(VI), V(V), As(III), and methylene blue (MB) were conducted. Among the biochars, NaOH-modified biochar was revealed as the optimum candidate with maximum uptake capacity for Pb(II) (195.75 mg/g) and MB (160.78 mg/g). Based on the adsorption kinetics and isotherm study, the adsorption process endorsed chemical sorption with multiple interactions along the heterogeneous surface. This study offered a comprehensive approach to manipulating the physicochemical properties of biochar.</t>
  </si>
  <si>
    <t>[Shahib, Irshad Ibran; Ifthikar, Jerosha; Oyekunle, Daniel T.; Elkhlifi, Zouhair; Jawad, Ali; Lei, Wenli; Chen, Zhuqi] Huazhong Univ Sci &amp; Technol, Sch Chem &amp; Chem Engn, Hubei Key Lab Mat Chem &amp; Serv Failure, Key Lab Mat Chem Energy Convers &amp; Storage,Minist, Wuhan 430074, Peoples R China; [Ifthikar, Jerosha; Jawad, Ali; Wang, Jia] Huazhong Univ Sci &amp; Technol, Sch Environm Sci &amp; Engn, Dept Environm Engn, Wuhan 430074, Peoples R China</t>
  </si>
  <si>
    <t>Huazhong University of Science &amp; Technology; Huazhong University of Science &amp; Technology</t>
  </si>
  <si>
    <t>Chen, ZQ (corresponding author), Huazhong Univ Sci &amp; Technol, Sch Chem &amp; Chem Engn, Hubei Key Lab Mat Chem &amp; Serv Failure, Key Lab Mat Chem Energy Convers &amp; Storage,Minist, Wuhan 430074, Peoples R China.</t>
  </si>
  <si>
    <t>zqchen@hust.edu.cn</t>
  </si>
  <si>
    <t>Ifthikar, Jerosha/AAK-6838-2020; Jawad, Ali/AAC-5546-2021; Oyekunle, Daniel T./R-5531-2017</t>
  </si>
  <si>
    <t>Oyekunle, Daniel T./0000-0002-8462-9580; Ifthikar, Jerosha/0000-0001-8894-5524; Elkhlifi, Zouhair/0009-0000-8257-7169</t>
  </si>
  <si>
    <t>10.1016/j.jece.2022.107725</t>
  </si>
  <si>
    <t>http://dx.doi.org/10.1016/j.jece.2022.107725</t>
  </si>
  <si>
    <t>1D5BE</t>
  </si>
  <si>
    <t>WOS:000793814700002</t>
  </si>
  <si>
    <t>Moschino, V; Meneghetti, F; Da Ros, L</t>
  </si>
  <si>
    <t>Moschino, Vanessa; Meneghetti, Francesca; Da Ros, Luisa</t>
  </si>
  <si>
    <t>Use of biomarkers to assess the welfare of the edible clam, Ruditapes philippinarum: may it be a tool for proving areas of origin?</t>
  </si>
  <si>
    <t>AQUACULTURE INTERNATIONAL</t>
  </si>
  <si>
    <t>Ruditapes philippinarum; Biomarkers; Lagoon of Venice; Origin labelling; Bioaccumulation</t>
  </si>
  <si>
    <t>LAGOON-OF-VENICE; POLYCYCLIC AROMATIC-HYDROCARBONS; TAPES-PHILIPPINARUM; MANILA CLAM; MYTILUS-GALLOPROVINCIALIS; LYSOSOMAL RESPONSES; ESTUARINE SEDIMENT; CHAMELEA-GALLINA; METAL POLLUTION; DIGESTIVE CELLS</t>
  </si>
  <si>
    <t>The use of biomarkers as early-warning signals to assess the impact of pollutants and other environmental stressors in coastal habitats has been internationally recognized as a useful tool in marine coastal monitoring. We propose a similar approach to verify the welfare of edible shellfish, Ruditapes philippinarum, thus exploiting its possible application as an effective tool to verify the origin of fishing/aquaculture products. A selected battery of biomarkers was chosen and applied to organisms from two different habitats in the Lagoon of Venice (a farming site and a natural area where fishing is currently banned, because of pollution problems) and from a local market. Biological responses were evaluated physiologically (survival in air test and condition index), behaviourally (reburrowing rate), and histochemically (quantification of neutral lipids and lipofuscin). Micropollutants (heavy metals, PCBs, and PAHs) were also determined in the soft tissues. Results indicated clams from the farming site were in the best condition with regard to both chemical and biological measurements. In contrast, the market sample contained the highest concentrations of PAHs. PCBs and heavy metals varied slightly and quite irregularly among the three samples. The worst values of the biomarkers were observed for clams collected at the polluted site, where, in particular, the lowest physiological and behavioural indexes and the highest accumulation of lipofuscin in the digestive tissue were recorded.</t>
  </si>
  <si>
    <t>[Moschino, Vanessa; Meneghetti, Francesca; Da Ros, Luisa] ISMAR CNR, Inst Marine Sci, I-30122 Venice, Italy</t>
  </si>
  <si>
    <t>Da Ros, L (corresponding author), ISMAR CNR, Inst Marine Sci, Castello 1364-A, I-30122 Venice, Italy.</t>
  </si>
  <si>
    <t>luisa.daros@ismar.cnr.it</t>
  </si>
  <si>
    <t>Italian Ministry of Agriculture and Forestry Policies</t>
  </si>
  <si>
    <t>This research was supported by the Italian Ministry of Agriculture and Forestry Policies through the Project Identification of guidelines for development of responsible and eco-compatible forms of aquaculture of Tapes philippinarum (Adams and Reeve, 1850) in North Adriatic lagoons'', founded within the framework of the National Program Sixth Triennial Plan of Fishing and Aquaculture in Marine and Estuarine Waters''. We wish to thank M. Pellizzato and P. Penzo for their help in field sampling and seeding procedures.</t>
  </si>
  <si>
    <t>0967-6120</t>
  </si>
  <si>
    <t>1573-143X</t>
  </si>
  <si>
    <t>AQUACULT INT</t>
  </si>
  <si>
    <t>Aquac. Int.</t>
  </si>
  <si>
    <t>10.1007/s10499-009-9246-6</t>
  </si>
  <si>
    <t>http://dx.doi.org/10.1007/s10499-009-9246-6</t>
  </si>
  <si>
    <t>588TE</t>
  </si>
  <si>
    <t>WOS:000277096000007</t>
  </si>
  <si>
    <t>Banni, M; Jebali, J; Daubeze, M; Clerandau, C; Guerbej, H; Narbonne, JF; Boussetta, H</t>
  </si>
  <si>
    <t>Monitoring pollution in Tunisian coasts: application of a classification scale based on biochemical markers</t>
  </si>
  <si>
    <t>biomarkers; Multimarker Pollution Index; catalase; acetylcholinesterase; malonedialdehyde; glutathione S-transferase; neutral lipids; Ruditapes decussatus</t>
  </si>
  <si>
    <t>CLAM RUDITAPES DECUSSATUS; ANTIOXIDANT DEFENSE SYSTEMS; ACETYLCHOLINESTERASE ACTIVITY; LIPID-PEROXIDATION; BIOMARKERS; MUSSELS; RESPONSES; TISSUES; METALS; COPPER</t>
  </si>
  <si>
    <t>Over the past decade, molecular, biochemical and cellular markers have been extensively used in pollution monitoring of aquatic environments. Biochemical markers have been selected among early molecular events occurring in the toxicological mechanisms of main contaminants. This paper assesses the marine environment quality along the Tunisian coasts using a statistical approach. Clams (Ruditapes decussatus) were collected during the four seasons of 2003 on seven different sites from the Tunisian coasts. Oxidative stress was evaluated in gills using catalase activity (Cat), neutral lipids and malonedialdehyde accumulation. Glutathione S-transferase activity is related to the conjugation of organic compounds and was evaluated in both, gills and digestive glands. Acetylcholinesterase activity was evaluated as the biomarker of exposure to organophosphorous, carbamate pesticides and heavy metals. For each biomarker, a discriminatory factor was calculated and a response index allocated. For each site, a global response index was calculated as the sum of the response index of each biomarker. Discriminant analysis shows significant differences between sites and seasons compared with control sample. Faroua ( site 1) and Menzel Jemile ( site 2) seem to be the less polluted with respect to the other sites for all seasons. Gargour ( site 6) shows the highest Multimarker Pollution Index during the four seasons, indicating higher contamination level.</t>
  </si>
  <si>
    <t>Ecole Super Hort, Lab Biochim &amp; Toxicol Environm, Chott Mariem, Sousse, Tunisia; Univ Bordeaux 1, Lab Physicotox Chim Syst Nat, Bordeaux, France; Inst Super Biotechnol, Lab Biochim Environm, Monastir, Tunisia</t>
  </si>
  <si>
    <t>Universite de Sousse; Universite de Bordeaux; Universite de Monastir</t>
  </si>
  <si>
    <t>Ecole Super Hort, Lab Biochim &amp; Toxicol Environm, Chott Mariem, Sousse, Tunisia.</t>
  </si>
  <si>
    <t>Banni, Mohamed/M-2144-2014; jebali, jamel/E-4813-2013</t>
  </si>
  <si>
    <t>Banni, Mohamed/0000-0001-9764-0343; jebali, jamel/0000-0003-1444-1432</t>
  </si>
  <si>
    <t>MAR-JUN</t>
  </si>
  <si>
    <t>10.1080/13547500500107497</t>
  </si>
  <si>
    <t>http://dx.doi.org/10.1080/13547500500107497</t>
  </si>
  <si>
    <t>942SS</t>
  </si>
  <si>
    <t>WOS:000230303300002</t>
  </si>
  <si>
    <t>Ji, CL; Yu, DL; Wang, Q; Li, F; Zhao, JM; Wu, HF</t>
  </si>
  <si>
    <t>Ji, Chenglong; Yu, Deliang; Wang, Qing; Li, Fei; Zhao, Jianmin; Wu, Huifeng</t>
  </si>
  <si>
    <t>Impact of metal pollution on shrimp Crangon affinis by NMR-based metabolomics</t>
  </si>
  <si>
    <t>Metal pollution; Crangon affinis; Metabolomics; H-1 NMR</t>
  </si>
  <si>
    <t>CLAM RUDITAPES-PHILIPPINARUM; MYTILUS-GALLOPROVINCIALIS; RESPONSES; MUSSELS; HEALTH</t>
  </si>
  <si>
    <t>Both cadmium and arsenic are the important metal/metalloid pollutants in the Bohai Sea. In this work, we sampled the dominant species, shrimp Crangon affinis, from three sites, the Middle of the Bohai Sea (MBS), the Yellow River Estuary (YRE) and the Laizhou Bay (IZB) along the Bohai Sea. The concentrations of metals/metalloids in shrimps C affinis indicated that the YRE site was polluted by Cd and Pb, while the LZB site was contaminated by As. The Metabolic differences between shrimps C affinis from the reference site (MBS) and metal-pollution sites (YRE and LZB) were characterized using NMR-based metabolomics. Results indicated that the metal pollutions in YRE and LZB induced disturbances in osmotic regulation and energy metabolism via different metabolic pathways. In addition, a combination of alanine and arginine might be the biomarker of Cd contamination, while BCAAs and tyrosine could be the biomarkers of arsenic contamination in C affinis. (C) 2016 Elsevier Ltd. All rights reserved.</t>
  </si>
  <si>
    <t>[Ji, Chenglong; Yu, Deliang; Wang, Qing; Li, Fei; Zhao, Jianmin; Wu, Huifeng] Chinese Acad Sci, Yantai Inst Coastal Zone Res YIC, Key Lab Coastal Zone Environm Proc,YICCAS, Shandong Prov Key Lab Coastal Zone Environm Proc, Yantai 264003, Peoples R China; [Yu, Deliang] Univ Chinese Acad Sci, Beijing 100049, Peoples R China</t>
  </si>
  <si>
    <t>Wang, Qing/O-1991-2013; Li, Fei/B-2056-2014; Ji, Chenglong/U-5411-2017</t>
  </si>
  <si>
    <t>Key Project from National Key Basic Research Program of China [2015CB453303]; NSFC [21237004]</t>
  </si>
  <si>
    <t>Key Project from National Key Basic Research Program of China; NSFC(National Natural Science Foundation of China (NSFC))</t>
  </si>
  <si>
    <t>This work was supported by a Key Project from National Key Basic Research Program of China (2015CB453303) and NSFC (21237004). We thank Prof. Mark Viant for the use of ProMetab software.</t>
  </si>
  <si>
    <t>10.1016/j.marpolbul.2016.02.052</t>
  </si>
  <si>
    <t>http://dx.doi.org/10.1016/j.marpolbul.2016.02.052</t>
  </si>
  <si>
    <t>DM7MY</t>
  </si>
  <si>
    <t>WOS:000376545900056</t>
  </si>
  <si>
    <t>Miller, BS; Pirie, DJ; Redshaw, CJ</t>
  </si>
  <si>
    <t>An assessment of the contamination and toxicity of marine sediments in the Holy Loch, Scotland</t>
  </si>
  <si>
    <t>marine sediments; PCBs; trace metals; sediment bioassays; toxicity</t>
  </si>
  <si>
    <t>QUALITY CRITERIA; TECHNICAL BASIS; METALS</t>
  </si>
  <si>
    <t>Following the closure of the United States Navy Submarine Base in 1992, video surveys revealed that a considerable amount of debris, largely scrap metal, was present on the bed of the Holy Loch. A working group was set up to examine ways of 'cleaning-up' the loch, Consultants were employed by the UK Ministry of Defence to carry out an environmental survey of the Holy Loch, including an assessment of the consequences of lifting the debris from the loch bed. This survey revealed that a number of contaminants were present at high concentrations in the bed sediments. These contaminants included persistent, toxic and bioaccumulable substances such as trace organic contaminants and trace metals. Concern was expressed that the debris removal operation may lead to the release of sediment-bound contaminants, which may in turn exert toxic effects on local flora and fauna. Consequently, the Scottish Environment Protection Agency carried out a survey to verify the levels of persistent organic contaminants and trace metals in the sediments, to set these in contest on a UK scale, and to assess the toxicity of sediment/water mixtures, Contamination of Holy Loch sediments by polychlorinated biphenyls (PCBs) and by trace metals, especially copper and zinc, was confirmed as severe but localized. Sediment bioassays indicated that acute mater column toxicity was unlikely to arise from the release of sediment-bound contaminants during the debris removal operation. Contaminant levels in mussels collected before and after the initial phase of the debris removal operation showed little change, suggesting no impact on local flora and fauna, (C) 2000 Elsevier Science Ltd. All rights reserved ed.</t>
  </si>
  <si>
    <t>Scottish Environm Protrect Agcy, 5 Redwood Crescent,Peel Pk, Glasgow G74 5PP, Lanark, Scotland.</t>
  </si>
  <si>
    <t>10.1016/S0025-326X(99)00190-3</t>
  </si>
  <si>
    <t>http://dx.doi.org/10.1016/S0025-326X(99)00190-3</t>
  </si>
  <si>
    <t>289GT</t>
  </si>
  <si>
    <t>WOS:000085612700015</t>
  </si>
  <si>
    <t>Coppola, F; Tavares, DS; Henriques, B; Monteiro, R; Trindade, T; Figueira, E; Soares, AMVM; Pereira, E; Freitas, R</t>
  </si>
  <si>
    <t>Coppola, Francesca; Tavares, Daniela S.; Henriques, Bruno; Monteiro, Rui; Trindade, Tito; Figueira, Etelvina; Soares, Amadeu M. V. M.; Pereira, Eduarda; Freitas, Rosa</t>
  </si>
  <si>
    <t>Can water remediated by manganese spinel ferrite nanoparticles be safe for marine bivalves?</t>
  </si>
  <si>
    <t>Toxicity; Biomarkers; Mytilus galloprovincialis; Mn nanoparticles; Lead contamination</t>
  </si>
  <si>
    <t>TITANIUM-DIOXIDE NANOPARTICLES; METAL-OXIDE NANOPARTICLES; WALLED CARBON NANOTUBES; MYTILUS-GALLOPROVINCIALIS; OXIDATIVE STRESS; MAGNETIC-PROPERTIES; CRASSOSTREA-GIGAS; ARSENIC REMOVAL; PACIFIC OYSTER; DAPHNIA-MAGNA</t>
  </si>
  <si>
    <t>In the last few years the use of nanoparticles (NPs) such as the manganese spinel ferrite (MnFe2O4) has been increasing, with a vast variety of applications including water remediation from pollutants as metal(oid)s. Although an increasing number of studies already demonstrated the potential toxicity of NPs towards aquatic systems and inhabiting organisms, there is still scarce information on the potential hazard of the remediated water using NPs. The present study aimed to evaluate the ecotoxicological safety of Pb contaminated seawater remediated with MnFe2O4, NPs, assessing the toxicity induced in mussels Mytilus galloprovincialis exposed to contaminated seawater and to water that was remediated using MnFe2O4, NPs. The results obtained demonstrated that seawater contaminated with Pb, NPs or the mixture of both (Pb + NPs) induced higher toxicity in mussels compared to organisms exposed to Pb, NPs and Pb + NPs after the remediation process. In particular, higher metabolic depression, oxidative stress and neurotoxicity were observed in mussels exposed to contaminated seawater in comparison to mussels exposed to remediated seawater. (C) 2020 Elsevier B.V. All rights reserved.</t>
  </si>
  <si>
    <t>[Coppola, Francesca; Figueira, Etelvina; Soares, Amadeu M. V. M.; Freitas, Rosa] Univ Aveiro, Dept Biol, Campus Univ Santiago, P-3810193 Aveiro, Portugal; [Coppola, Francesca; Tavares, Daniela S.; Henriques, Bruno; Monteiro, Rui; Figueira, Etelvina; Soares, Amadeu M. V. M.; Pereira, Eduarda; Freitas, Rosa] Univ Aveiro, CESAM, P-3810193 Aveiro, Portugal; [Tavares, Daniela S.; Henriques, Bruno; Monteiro, Rui; Trindade, Tito; Pereira, Eduarda] Univ Aveiro, Dept Quim, P-3810193 Aveiro, Portugal; [Tavares, Daniela S.; Trindade, Tito] Univ Aveiro, CICECO, P-3810193 Aveiro, Portugal; [Henriques, Bruno; Monteiro, Rui; Pereira, Eduarda] Univ Aveiro, LAQV REQUIMTE, P-3810193 Aveiro, Portugal; [Monteiro, Rui] Univ Porto, CIIMAR, P-4050123 Porto, Portugal</t>
  </si>
  <si>
    <t>Universidade de Aveiro; Universidade de Aveiro; Universidade de Aveiro; Universidade de Aveiro; Universidade de Aveiro; Universidade do Porto</t>
  </si>
  <si>
    <t>Coppola, Francesca/U-8869-2018; Pereira, Eduarda/A-5907-2012; Tavares, Daniela/ABF-8739-2021; Monteiro, Rui/Q-6628-2018; Soares, Amadeu/A-8304-2008; Henriques, Bruno/B-6258-2017; Trindade, Tito/A-8030-2010; Freitas, Rosa/A-7539-2012; Figueira, Etelvina/M-6116-2013</t>
  </si>
  <si>
    <t>Coppola, Francesca/0000-0002-7039-9630; Soares, Amadeu/0000-0003-0879-9470; Henriques, Bruno/0000-0002-6472-5479; Trindade, Tito/0000-0002-5456-7243; Freitas, Rosa/0000-0003-4900-3897; Figueira, Etelvina/0000-0002-6763-2665</t>
  </si>
  <si>
    <t>Portuguese Science Foundation (FCT) - FSE [SFRH/BD/118582/2016, SFRH/BD/103828/2014, SFRH/BD/108535/2015]; Programa Operacional Capital Humano (POCH) e da Uniao Europeia; national funds (OE), through FCT -Fundacao para a Ciencia e a Tecnologia, I.P. [4, 5, 6, 23, 57/2016, 57/2017]; CESAM [UIDB/50017/2020+UIDP/50017/2020]; FCT/MEC; FEDER, within the PT2020 Partnership Agreement; FEDER, within Compete 2020; project BISPECIAl: BIvalveS under Polluted Environment and ClImate chAnge - FEDER, through COMPETE2020 Programa Operacional Competitividade e Internacionalizacao (POCI) [POCI-010145-FEDER-028425]; national funds (OE), through FCT/MCTES; Fundação para a Ciência e a Tecnologia [SFRH/BD/108535/2015, SFRH/BD/103828/2014] Funding Source: FCT</t>
  </si>
  <si>
    <t>Portuguese Science Foundation (FCT) - FSE(Fundacao para a Ciencia e a Tecnologia (FCT)); Programa Operacional Capital Humano (POCH) e da Uniao Europeia; national funds (OE), through FCT -Fundacao para a Ciencia e a Tecnologia, I.P.(Fundacao para a Ciencia e a Tecnologia (FCT)); CESAM; FCT/MEC(Fundacao para a Ciencia e a Tecnologia (FCT)); FEDER, within the PT2020 Partnership Agreement; FEDER, within Compete 2020(European Union (EU)); project BISPECIAl: BIvalveS under Polluted Environment and ClImate chAnge - FEDER, through COMPETE2020 Programa Operacional Competitividade e Internacionalizacao (POCI); national funds (OE), through FCT/MCTES(Fundacao para a Ciencia e a Tecnologia (FCT)); Fundação para a Ciência e a Tecnologia(Fundacao para a Ciencia e a Tecnologia (FCT))</t>
  </si>
  <si>
    <t>Francesca Coppola, Daniela S. Travers and Rui Monteiro benefited from PhD grants (SFRH/BD/118582/2016, SFRH/BD/103828/2014 and SFRH/BD/108535/2015, respectively) given by the National Funds through the Portuguese Science Foundation (FCT), supported by FSE and Programa Operacional Capital Humano (POCH) e da Uniao Europeia. Bruno Henriques and Rosa Freitas benefited from a Research position funded by national funds (OE), through FCT -Fundacao para a Ciencia e a Tecnologia, I.P., in the scope of the framework contract foreseen in the numbers 4, 5 and 6 of the article 23, of the Decree-Law 57/2016, of August 29, changed by Law 57/2017, of July 19. Thanks are due for the financial support to CESAM (UIDB/50017/2020+UIDP/50017/2020), to FCT/MEC through national funds, and the co-funding by the FEDER, within the PT2020 Partnership Agreement and Compete 2020. Thisworkwas also financially supported by the project BISPECIAl: BIvalveS under Polluted Environment and ClImate chAnge (POCI-010145-FEDER-028425) funded by FEDER, through COMPETE2020 Programa Operacional Competitividade e Internacionalizacao (POCI), and by national funds (OE), through FCT/MCTES.</t>
  </si>
  <si>
    <t>10.1016/j.scitotenv.2020.137798</t>
  </si>
  <si>
    <t>http://dx.doi.org/10.1016/j.scitotenv.2020.137798</t>
  </si>
  <si>
    <t>LR1OB</t>
  </si>
  <si>
    <t>WOS:000535463800017</t>
  </si>
  <si>
    <t>Cappello, T; Maisano, M; Mauceri, A; Fasulo, S</t>
  </si>
  <si>
    <t>Cappello, Tiziana; Maisano, Maria; Mauceri, Angela; Fasulo, Salvatore</t>
  </si>
  <si>
    <t>1H NMR-based metabolomics investigation on the effects of petrochemical contamination in posterior adductor muscles of caged mussel Mytilus galloprovincialis</t>
  </si>
  <si>
    <t>Petrochemical pollution; Mussels; Mytilus galloprovincialis; Posterior adductor muscle; NMR-based metabolomics; Environmental health assessment</t>
  </si>
  <si>
    <t>FISH LIZA-AURATA; ENVIRONMENTAL METABOLOMICS; DICENTRARCHUS-LABRAX; OXIDATIVE STRESS; POLLUTION; RESPONSES; MECHANISMS; RECOVERY; CLAM; SEA</t>
  </si>
  <si>
    <t>Environmental metabolomics is a high-throughout approach that provides a snapshot of the metabolic status of an organism. In order to elucidate the biological effects of petrochemical contamination on aquatic invertebrates, mussels Mytilus galloprovincialis were caged at the Augusta-Melilli-Priolo petrochemical area and Brucoli (Sicily, south Italy), chosen as the reference site. After confirming the elevated concentrations of polycyclic aromatic hydrocarbons (PAHs) and mercury (Hg) in Augusta sediments in our previous work (Maisano et al., 2016a), herein an environmental metabolomics approach based on protonic nuclear magnetic resonance (H-1 NMR), coupled with chemometrics, was applied on the mussel posterior adductor muscle (PAM), the main muscular system in bivalve molluscs. Amino acids, osmolytes, energy storage compounds, tricarboxylic acid cycle intermediates, and nucleotides, were found in PAM NMR spectra. Principal Component Analysis (PCA) indicated that mussels caged at the polluted site clustered separately from mussels from the control area, suggesting a clear differentiation between their metabolic profiles. Specifically, disorders in energy metabolism, alterations in amino acids metabolism, and disturbance in the osmoregulatory processes were observed in mussel PAM. Overall, findings from this work demonstrated the usefulness of applying an active biomonitoring strategy for environmental risk assessment, and the effectiveness of metabolomics in elucidating changes in metabolic pathways of aquatic organisms caged at sites differentially contaminated, and thus its suitability to be applied in ecotoxicological studies.</t>
  </si>
  <si>
    <t>[Cappello, Tiziana; Maisano, Maria; Mauceri, Angela; Fasulo, Salvatore] Univ Messina, Dept Chem Biol Pharmaceut &amp; Environm Sci, Viale F Stagno dAlcontres 31, I-98166 Messina, Italy</t>
  </si>
  <si>
    <t>University of Messina</t>
  </si>
  <si>
    <t>Cappello, T (corresponding author), Univ Messina, Dept Chem Biol Pharmaceut &amp; Environm Sci, Viale F Stagno dAlcontres 31, I-98166 Messina, Italy.</t>
  </si>
  <si>
    <t>tcappello@unime.it</t>
  </si>
  <si>
    <t>; CAPPELLO, TIZIANA/J-6902-2016</t>
  </si>
  <si>
    <t>MAISANO, Maria/0000-0003-2517-5117; CAPPELLO, TIZIANA/0000-0002-7790-6324</t>
  </si>
  <si>
    <t>National Interest Research Project (PRIN) [2010ARBLT7_001/008]</t>
  </si>
  <si>
    <t>National Interest Research Project (PRIN)</t>
  </si>
  <si>
    <t>This work was supported by a National Interest Research Project (PRIN 2010-2011, prot. 2010ARBLT7_001/008).</t>
  </si>
  <si>
    <t>10.1016/j.ecoenv.2017.04.040</t>
  </si>
  <si>
    <t>http://dx.doi.org/10.1016/j.ecoenv.2017.04.040</t>
  </si>
  <si>
    <t>EX6XB</t>
  </si>
  <si>
    <t>WOS:000403384300050</t>
  </si>
  <si>
    <t>Koukouzika, N; Dimitriadis, VK</t>
  </si>
  <si>
    <t>Koukouzika, N.; Dimitriadis, V. K.</t>
  </si>
  <si>
    <t>Aspects of the usefulness of five marine pollution biomarkers, with emphasis on MN and lipid content</t>
  </si>
  <si>
    <t>Mytilus galloprovincialis; lysosomal membrane stability; micronucleus frequency; lipids; heavy metals; phenanthrene</t>
  </si>
  <si>
    <t>MYTILUS-GALLOPROVINCIALIS L.; NEUTRAL RED RETENTION; DIGESTIVE CELLS; CYTOCHEMICAL RESPONSES; NUCLEAR ABNORMALITIES; LYSOSOMAL RESPONSES; MICRONUCLEUS TEST; GILL CELLS; ENVIRONMENTAL CONTAMINANTS; DREISSENA-POLYMORPHA</t>
  </si>
  <si>
    <t>By using cellular biomarkers, such as the formation of the micronucleus, the morphometric alterations of lipids and the morphometric changes in the lysosomal system, we investigated effects of experimental exposure to phenanthrene, Cu, Cd, and Hg for 15 days in mussels. Concerning micronuclei, the evaluation of the total nuclear abnormalities, instead of the micronucleus only, as a biomarker of marine pollution, indicated more statistically significant differences between the control and the pollutant treated groups. Contrary to the existing knowledge showing that there is an increase in lipid content after pollutant exposure, our results showed that there was a decrease in the amount of lipid, as well as an increase in the number of neutral lipids. Furthermore, although prior studies found that fewer lysosomes formed after pollutant exposure, this was not confirmed by our work, as pollutant treated animals exhibited a decrease in the volume and an increase in the numerical density of lysosomes, compared to control groups. (c) 2008 Elsevier Ltd. All rights reserved.</t>
  </si>
  <si>
    <t>[Koukouzika, N.; Dimitriadis, V. K.] Aristotle Univ Thessaloniki, Dept Genet Dev &amp; Mol Biol, Sch Biol, Thessaloniki 54124, Greece</t>
  </si>
  <si>
    <t>Dimitriadis, VK (corresponding author), Aristotle Univ Thessaloniki, Dept Genet Dev &amp; Mol Biol, Sch Biol, Thessaloniki 54124, Greece.</t>
  </si>
  <si>
    <t>10.1016/j.marpolbul.2008.01.043</t>
  </si>
  <si>
    <t>http://dx.doi.org/10.1016/j.marpolbul.2008.01.043</t>
  </si>
  <si>
    <t>313AM</t>
  </si>
  <si>
    <t>WOS:000256713500024</t>
  </si>
  <si>
    <t>Muller, EB; Nisbet, RM; Berkley, HA</t>
  </si>
  <si>
    <t>Muller, Erik B.; Nisbet, Roger M.; Berkley, Heather A.</t>
  </si>
  <si>
    <t>Sublethal toxicant effects with dynamic energy budget theory: model formulation</t>
  </si>
  <si>
    <t>Toxicity modeling; DEBtox; Dynamic energy budgets; Sublethal effects</t>
  </si>
  <si>
    <t>DAPHNIA-MAGNA; POPULATION-DYNAMICS; TOXICITY TESTS; SURVIVAL; DEBTOX; CONSEQUENCES; ENERGETICS; RESPONSES; GROWTH</t>
  </si>
  <si>
    <t>We develop and test a general modeling framework to describe the sublethal effects of pollutants by adding toxicity modules to an established dynamic energy budget (DEB) model. The DEB model describes the rates of energy acquisition and expenditure by individual organisms; the toxicity modules describe how toxicants affect these rates by changing the value of one or more DEB parameters, notably the parameters quantifying the rates of feeding and maintenance. We investigate four toxicity modules that assume: (1) effects on feeding only; (2) effects on maintenance only; (3) effects on feeding and maintenance with similar values for the toxicity parameters; and (4) effects on feeding and maintenance with different values for the toxicity parameters. We test the toxicity modules by fitting each to published data on feeding, respiration, growth and reproduction. Among the pollutants tested are metals (mercury and copper) and various organic compounds (chlorophenols, toluene, polycyclic aromatic hydrocarbons, tetradifon and pyridine); organisms include mussels, oysters, earthworms, water fleas and zebrafish. In most cases, the data sets could be adequately described with any of the toxicity modules, and no single module gave superior fits to all data sets. We therefore propose that for many applications, it is reasonable to use the most general and parameter sparse module, i.e. module 3 that assumes similar effects on feeding and maintenance, as a default. For one example (water fleas), we use parameter estimates to calculate the impact of food availability and toxicant levels on the long term population growth rate.</t>
  </si>
  <si>
    <t>[Muller, Erik B.] Univ Calif Santa Barbara, Environm Studies Program, Santa Barbara, CA 93106 USA; [Muller, Erik B.; Nisbet, Roger M.] Univ Calif Santa Barbara, Dept Ecol Evolut &amp; Marine Biol, Santa Barbara, CA 93106 USA; [Berkley, Heather A.] Univ Calif Santa Barbara, Donald Bren Sch Environm Sci &amp; Management, Santa Barbara, CA 93106 USA</t>
  </si>
  <si>
    <t>University of California System; University of California Santa Barbara; University of California System; University of California Santa Barbara; University of California System; University of California Santa Barbara</t>
  </si>
  <si>
    <t>Muller, EB (corresponding author), Univ Calif Santa Barbara, Environm Studies Program, Santa Barbara, CA 93106 USA.</t>
  </si>
  <si>
    <t>muller@lifesci.ucsb.edu</t>
  </si>
  <si>
    <t>Nisbet, Roger/B-6951-2014</t>
  </si>
  <si>
    <t>Muller, Erik/0000-0003-2300-0727</t>
  </si>
  <si>
    <t>US Environmental Protection Agency; US EPA [R-882867601]; US National Science Foundation [EF-0742521]; US Environmental Protection Agency [EF 0830117]; U.S. Army Research Office. [W911NF-09-D-0001]; Direct For Biological Sciences [0830117] Funding Source: National Science Foundation; Div Of Biological Infrastructure [0830117] Funding Source: National Science Foundation</t>
  </si>
  <si>
    <t>US Environmental Protection Agency(United States Environmental Protection Agency); US EPA(United States Environmental Protection Agency); US National Science Foundation(National Science Foundation (NSF)); US Environmental Protection Agency(United States Environmental Protection Agency); U.S. Army Research Office.; Direct For Biological Sciences(National Science Foundation (NSF)NSF - Directorate for Biological Sciences (BIO)); Div Of Biological Infrastructure(National Science Foundation (NSF)NSF - Directorate for Biological Sciences (BIO))</t>
  </si>
  <si>
    <t>We thank Susan Anderson, Gary Cherr, Tin Klanjscek, Erik Noonburg and Wendy Rose for valuable discussions. This research was supported by grants from the US Environmental Protection Agency's Science to Achieve Results (STAR) Estuarine and Great Lakes (EaGLe) program through funding to the Pacific Estuarine Ecosystem Indicator Research (PEEIR) Consortium, US EPA Agreement # R-882867601, and from the US National Science Foundation under grant EF-0742521. There was also support from the US National Science Foundation and the US Environmental Protection Agency under Cooperative Agreement Number EF 0830117. Any opinions, findings, and conclusions or recommendations expressed in this material are those of the author(s) and do not necessarily reflect the views of the National Science Foundation or the Environmental Protection Agency. This work has not been subjected to EPA review and no official endorsement should be inferred. This work was also supported by the Institute for Collaborative Biotechnologies through contract no. W911NF-09-D-0001 from the U.S. Army Research Office. The content of the information herein does not necessarily reflect the position or policy of the Government and no official endoresement should be inferred.</t>
  </si>
  <si>
    <t>10.1007/s10646-009-0385-3</t>
  </si>
  <si>
    <t>http://dx.doi.org/10.1007/s10646-009-0385-3</t>
  </si>
  <si>
    <t>536GE</t>
  </si>
  <si>
    <t>Green Published, hybrid, Green Submitted</t>
  </si>
  <si>
    <t>WOS:000273032100005</t>
  </si>
  <si>
    <t>Radomirovic, M; Mijatovic, N; Vasic, M; Tanaskovski, B; Mandic, M; Pezo, L; Onjia, A</t>
  </si>
  <si>
    <t>Radomirovic, Milena; Mijatovic, Nevenka; Vasic, Milica; Tanaskovski, Bojan; Mandic, Milica; Pezo, Lato; Onjia, Antonije</t>
  </si>
  <si>
    <t>The characterization and pollution status of the surface sediment in the Boka Kotorska Bay, Montenegro</t>
  </si>
  <si>
    <t>Marine sediment quality; ED-XRF analysis; Contamination indices; Multivariate statistical analysis; Southeastern Adriatic Sea</t>
  </si>
  <si>
    <t>HEAVY-METAL POLLUTION; SPATIAL-DISTRIBUTION; ORGANIC-MATTER; ECOLOGICAL RISK; TRACE-ELEMENTS; GRAIN-SIZE; RIVER; GEOCHEMISTRY; MUSSELS; WATER</t>
  </si>
  <si>
    <t>Surface sediments collected from twelve stations in the Boka Kotorska Bay were analyzed for the level and distribution of twenty-six elements and ten oxides, grain sizes, organic matter, and carbonate content. Potentially toxic elements (Al, Fe, Mn, Cr, Zn, Ni, Cu, Pb, As, Co, U) were determined to assess the contamination status and potential environmental risk according to the single-element indices (enrichment factor (EF), geoaccumulation index (Igeo), contamination factor (CF)), and combined index (pollution load index (PLI)). The single-element indices EF and CF revealed that the surface marine sediment was moderately polluted with Pb, Cu, and Cr, while Igeo indicated moderate pollution with Ni &gt; Cr &gt; Zn &gt; Cu &gt; As and moderate to heavy pollution with Pb, as a result of the anthropogenic factors. The method of the combined effect of toxic elements, PLI, showed the highest pollution rate at the shipyard location in the Bay of Tivat. Pearson's correlation coefficient (r), principal component analysis (PCA), and cluster analysis (CA) were applied to highlight similarities and differences in the distribution of the investigated elements in the Bay, confirming the claim obtained by the pollution indices. The sediment contamination with most heavy metals, such as Cr, Zn, Ni, Cu, Pb, and As, has been identified in the Tivat Bay area.</t>
  </si>
  <si>
    <t>[Radomirovic, Milena] Univ Belgrade, Fac Technol &amp; Met, Innovat Ctr, Karnegijeva 4, Belgrade 11120, Serbia; [Mijatovic, Nevenka; Vasic, Milica] Inst Testing Mat IMS, Bulevar Vojvode Misica 43, Belgrade 11000, Serbia; [Tanaskovski, Bojan] Mil Tech Inst, Ratka Resanovica 1, Belgrade 11030, Serbia; [Mandic, Milica] Univ Montenegro, Inst Marine Biol, Put I Bokeljske Brigade 68, Kotor 85330, Montenegro; [Pezo, Lato] Univ Belgrade, Inst Gen &amp; Phys Chem, Studentski Trg 12, Belgrade 11000, Serbia; [Onjia, Antonije] Univ Belgrade, Fac Technol &amp; Met, Karnegijeva 4, Belgrade 11120, Serbia</t>
  </si>
  <si>
    <t>University of Belgrade; University of Montenegro; University of Belgrade; University of Belgrade</t>
  </si>
  <si>
    <t>Radomirovic, M (corresponding author), Univ Belgrade, Fac Technol &amp; Met, Innovat Ctr, Karnegijeva 4, Belgrade 11120, Serbia.</t>
  </si>
  <si>
    <t>mradomirovic@tmf.bg.ac.rs</t>
  </si>
  <si>
    <t>Radomirovic, Milena/JBS-3612-2023; Vasić, Milica/N-8447-2013; Pezo, Lato/D-6650-2014; Onjia, Antonije/AAA-6417-2021</t>
  </si>
  <si>
    <t>Vasic, Milica (Vidak)/0000-0002-9130-6720; Pezo, Lato/0000-0002-0704-3084; Onjia, Antonije/0000-0002-5694-7960; Radomirovic, Milena/0000-0003-1575-0720; Mijatovic, Nevenka/0000-0002-1751-6498</t>
  </si>
  <si>
    <t>Ministry of Education, Science and Technological Development of the Republic of Serbia [451-03-9/2021-14/200135, 451-03-68/2020-14/200012]</t>
  </si>
  <si>
    <t>Ministry of Education, Science and Technological Development of the Republic of Serbia(Ministry of Education, Science &amp; Technological Development, Serbia)</t>
  </si>
  <si>
    <t>This work was supported by the Ministry of Education, Science and Technological Development of the Republic of Serbia (Contract No. 451-03-9/2021-14/200135, and Contract No. 451-03-68/2020-14/200012).</t>
  </si>
  <si>
    <t>10.1007/s11356-021-14382-8</t>
  </si>
  <si>
    <t>http://dx.doi.org/10.1007/s11356-021-14382-8</t>
  </si>
  <si>
    <t>UX0YH</t>
  </si>
  <si>
    <t>WOS:000653624300005</t>
  </si>
  <si>
    <t>Li, Y; Yu, ZM; Song, XX; Mu, QL</t>
  </si>
  <si>
    <t>Li, Yu; Yu, Zhiming; Song, Xiuxian; Mu, Qinglin</t>
  </si>
  <si>
    <t>Trace metal concentrations in suspended particles, sediments and clams (Ruditapes philippinarum) from Jiaozhou Bay of China</t>
  </si>
  <si>
    <t>trace metals; clams; SPM; sediment; Jiaozhou Bay</t>
  </si>
  <si>
    <t>HEAVY-METALS; CORBICULA-FLUMINEA; ESTUARY; INDICATOR; POLLUTION; MATTER</t>
  </si>
  <si>
    <t>Suspended particulate matter (SPM), sediments and clams were collected at three sites in Jiaozhou Bay to assess the magnitude of trace metal pollution in the area. Metal concentrations in SPM (Cu: 40.11-203; Zn: 118-447; Pb: 50.1-132; Cd: 0.55-4.39; Cr: 147.6-288; Mn: 762-1670 mu g/g), sediments (Cu: 17.64-34.26; Zn: 80.79-110; Pb: 24.57-49.59; Cd: 0.099-0.324; Cr: 41.6-88.1; Mn: 343-520 mu g/g) and bivalves (Cu: 6.41-19.76; Zn: 35.5-85.5; Pb: 0.31-1.01; Cd: 0.51-0.67; Mn: 27.45-67.6 mu g/g) are comparable to those reported for other moderately polluted world environments. SPM showed a less clear pattern. Metal concentrations in sediments displayed a clear geographical trend with values increasing with proximity to major urban centers. The clams (on dry weight) showed a complex pattern due to the variability introduced by age-related factors. Cd showed an apparent reverse industrial trend with higher concentrations in clams collected at distant stations. Zn, Pb and Mn showed no clear geographical pattern, whereas Cu increased in the clams collected in the most industrialized area. In addition, the bioaccumulation factors (BAF) were calculated. The result indicated that the studied Ruditapes philippinarum in Jiaozhou Bay possessed different bioaccumulation capacities for Cd, Zn, Cu, Pb and Mn, and Cd, Zn had a relatively high assimilation of those metals from sediment particles. A significant relationship with clam age was observed for Zn (positive) and Cu (negative) suggesting different physiological requirements for both metals with age. Trace metal concentrations measured in the tissue of the investigated clam were in the range considered safe by the WHO for human use.</t>
  </si>
  <si>
    <t>Chinese Acad Sci, Inst Oceanol, Key Lab Marine Ecol &amp; Environm Sci, Qingdao 266071, Peoples R China; Chinese Acad Sci, Grad Sch, Beijing 100039, Peoples R China</t>
  </si>
  <si>
    <t>Yu, ZM (corresponding author), Chinese Acad Sci, Inst Oceanol, Key Lab Marine Ecol &amp; Environm Sci, Qingdao 266071, Peoples R China.</t>
  </si>
  <si>
    <t>zyu@ms.qdio.ac.cn</t>
  </si>
  <si>
    <t>Yu, Zhiming/0000-0003-0377-1129</t>
  </si>
  <si>
    <t>10.1007/s10661-005-9149-6</t>
  </si>
  <si>
    <t>http://dx.doi.org/10.1007/s10661-005-9149-6</t>
  </si>
  <si>
    <t>097NA</t>
  </si>
  <si>
    <t>WOS:000241453500032</t>
  </si>
  <si>
    <t>WARD, TJ; YOUNG, PC</t>
  </si>
  <si>
    <t>THE DEPAUPERATION OF EPIFAUNA ON PINNA-BICOLOR NEAR A LEAD SMELTER, SPENCER GULF, SOUTH-AUSTRALIA</t>
  </si>
  <si>
    <t>Species richness and composition of the epifauna on P. bicolor, a large benthic bivalve mollusk, were examined near a Pb smelter. P. bicolor were collected from areas of high sediment metal concentrations near the smelter and from other nearby areas with lower sediment metal concentrations. Two independent gradients were discerned in the species composition of the epifauna. The 1st gradient extended from the contaminated to the less contaminated areas, while the 2nd gradient passed from shallower sites towards deeper sites. Despite the apparent relationship between contaminant sediment metal concentrations and faunal change, the 1st faunal gradient correlated with numerous sediment parameters (Ca, Ni, TOC [total organic C], clay and undissolved) and the contaminant metals Cu, Mn, Pb and Zn. Although the mechanisms were not clear, the fauna gradient may have resulted from the effects of contaminant metals and solids resuspended from the sediments. Thirteen of 55 taxa of epifauna were associated with the faunal gradient between metal-contaminated and uncontaminated areas. Compared with their overall distribution, more bryozoan and sponge species than mollusk species correlated to this change, suggesting different sensitivities to the causal factors.</t>
  </si>
  <si>
    <t>CSIRO, DIV FISHERIES RES, POB 21, CRONULLA, NSW 2230, AUSTRALIA.</t>
  </si>
  <si>
    <t>10.1016/0143-1471(83)90056-9</t>
  </si>
  <si>
    <t>http://dx.doi.org/10.1016/0143-1471(83)90056-9</t>
  </si>
  <si>
    <t>QE967</t>
  </si>
  <si>
    <t>WOS:A1983QE96700003</t>
  </si>
  <si>
    <t>Renault, T</t>
  </si>
  <si>
    <t>Renault, T.</t>
  </si>
  <si>
    <t>Immunotoxicological effects of environmental contaminants on marine bivalves</t>
  </si>
  <si>
    <t>Marine bivalves; Pollutants; Nanoparticles; Immunotoxicology; Diseases; Pathogens</t>
  </si>
  <si>
    <t>OYSTER CRASSOSTREA-GIGAS; PACIFIC OYSTER; IN-VITRO; IMMUNE FUNCTION; MYTILUS-GALLOPROVINCIALIS; OXIDATIVE STRESS; DIGESTIVE GLAND; EASTERN OYSTERS; HEMOCYTES; IMMUNOMODULATION</t>
  </si>
  <si>
    <t>Coastal areas are complex environments frequently contaminated by numerous pollutants that represent a potential threat to marine organisms, especially bivalves. These pollutants may have major ecological consequences. Although effects of different environmental contaminants on the immune system in marine bivalves have been already reported, a few of reviews summarizes these effects. The main purpose of this chapter relies on summarizing recent body of data on immunotoxicity in bivalves subjected to contaminants. Immune effects of heavy metals, pesticides, HAP, PCB and pharmaceuticals are presented and discussed and a particular section is devoted to nanoparticle effects. A large body of literature is now available on this topic. Finally, the urgent need of a better understanding of complex interactions between contaminants, marine bivalves and infectious diseases is noticed. (C) 2015 Elsevier Ltd. All rights reserved.</t>
  </si>
  <si>
    <t>IFREMER, Dept Ressources Biol &amp; Envrionm, F-44300 Nantes, France</t>
  </si>
  <si>
    <t>Renault, T (corresponding author), IFREMER, Dept Ressources Biol &amp; Envrionm, Rue Ile Yeu, F-44300 Nantes, France.</t>
  </si>
  <si>
    <t>RENAULT, Tristan/H-6405-2011</t>
  </si>
  <si>
    <t>10.1016/j.fsi.2015.04.011</t>
  </si>
  <si>
    <t>http://dx.doi.org/10.1016/j.fsi.2015.04.011</t>
  </si>
  <si>
    <t>CN9XV</t>
  </si>
  <si>
    <t>WOS:000358805300009</t>
  </si>
  <si>
    <t>Temporal variation in polychlorinated dibenzo-p-dioxins, dibenzofurans, extractable organohalogens (EOX) and heavy metals in commercially cultured mussels (Mytilus edulis) from Port Phillip Bay, Victoria, Australia</t>
  </si>
  <si>
    <t>RISK ASSESSMENT; COASTAL</t>
  </si>
  <si>
    <t>GIPPSLAND WATER, POB 348, TRARALGON, VIC 3844, AUSTRALIA.</t>
  </si>
  <si>
    <t>10.1016/0025-326X(95)00160-O</t>
  </si>
  <si>
    <t>http://dx.doi.org/10.1016/0025-326X(95)00160-O</t>
  </si>
  <si>
    <t>WOS:A1995TM62700015</t>
  </si>
  <si>
    <t>Fattorini, D; Notti, A; Nigro, M; Regoli, F</t>
  </si>
  <si>
    <t>Fattorini, Daniele; Notti, Alessandra; Nigro, Marco; Regoli, Francesco</t>
  </si>
  <si>
    <t>Hyperaccumulation of vanadium in the Antarctic polychaete Perkinsiana littoralis as a natural chemical defense against predation</t>
  </si>
  <si>
    <t>Trace metals; Vanadium; Hyperaccumulation; Chemical defenses; Polychaetes; Perkinsiana littoralis; Antarctica</t>
  </si>
  <si>
    <t>ASCIDIA-SYDNEIENSIS-SAMEA; TERRA-NOVA BAY; SABELLA-SPALLANZANII; TRACE-METALS; PSEUDOPOTAMILLA-OCCELATA; NEREIS-DIVERSICOLOR; OXIDATIVE STRESS; BINDING PROTEIN; MARINE; ACCUMULATION</t>
  </si>
  <si>
    <t>Exceptionally high levels of trace metals have been reported in specific tissues of certain polychaetes. In the present study, the Antarctic fan worm Perkinsiana littoralis was shown to hyperaccumulate vanadium in the branchial tissues, and the hypothesis of an antipredatory strategy has been investigated Trace metals (Ag, Al, As, Ba, Cd, Co, Cr, Cu, Fe, Hg, Mn, Ni, Pb, Se, V, Zn) were measured by atomic absorption spectrophotometry in tissues of P. littoralis and, only for V, in two Antarctic bivalves and in various Mediterranean polychaetes. Subcellular distribution of vanadium was investigated in P. littoralis after differential centrifugations; feeding trials with the Antarctic rock cod Trematomus berancchii were performed to test the palatability of P. littoralis Analyses of trace metals in tissues of P. littoralis confirmed the naturally high bioavailability of cadmium due to upwelling phenomena in the investigated area and revealed extremely high concentrations of vanadium up to 10,000 A mu g/g, in the branchial crowns; much lower concentrations were measured in the body portions and even less in the Antarctic bivalves and in Mediterranean polychaetes. The subcellular distribution indicated that this metal was associated in branchial crowns with both heavy components and vanadium binding proteins; the latter predominated in body tissues, although with a different pattern of molecular weight. Feeding trials suggested that the elevated levels of vanadium in branchial crown of P. littoralis act as chemical deterrents against predation in more exposed tissues The hyperaccumulation of toxic metals might represent a common antipredatory strategy for unpalatable branchial crowns of sabellid polychaetes, as recently hypothesized also for the high concentrations of arsenic in the Mediterranean Sabella spallanzanii. The evolution of such adaptation and the reasons behind the possibility for different species to accumulate different metals represent a stimulating field of investigation for future studies.</t>
  </si>
  <si>
    <t>[Fattorini, Daniele; Notti, Alessandra; Regoli, Francesco] Univ Politecn Marche, Dipartimento Biochim Biol &amp; Genet, I-60131 Ancona, Italy; [Nigro, Marco] Univ Pisa, Dipartimento Morfol Umana &amp; Biol Applicata, Pisa, Italy</t>
  </si>
  <si>
    <t>Regoli, F (corresponding author), Univ Politecn Marche, Dipartimento Biochim Biol &amp; Genet, Via Ranieri Montedago 65, I-60131 Ancona, Italy.</t>
  </si>
  <si>
    <t>Fattorini, Daniele/A-2969-2010; Regoli, Francesco/K-2719-2018</t>
  </si>
  <si>
    <t>Regoli, Francesco/0000-0001-6084-6188; Fattorini, Daniele/0000-0002-5847-4722</t>
  </si>
  <si>
    <t>10.1007/s11356-009-0243-0</t>
  </si>
  <si>
    <t>http://dx.doi.org/10.1007/s11356-009-0243-0</t>
  </si>
  <si>
    <t>540DN</t>
  </si>
  <si>
    <t>WOS:000273311100023</t>
  </si>
  <si>
    <t>Pinkney, AE; Driscoll, CT; Evers, DC; Hooper, MJ; Horan, J; Jones, JW; Lazarus, RS; Marshall, HG; Milliken, A; Rattner, BA; Schmerfeld, J; Sparling, DW</t>
  </si>
  <si>
    <t>Pinkney, Alfred E.; Driscoll, Charles T.; Evers, David C.; Hooper, Michael J.; Horan, Jeffrey; Jones, Jess W.; Lazarus, Rebecca S.; Marshall, Harold G.; Milliken, Andrew; Rattner, Barnett A.; Schmerfeld, John; Sparling, Donald W.</t>
  </si>
  <si>
    <t>Interactive Effects of Climate Change with Nutrients, Mercury, and Freshwater Acidification on Key Taxa in the North Atlantic Landscape Conservation Cooperative Region</t>
  </si>
  <si>
    <t>INTEGRATED ENVIRONMENTAL ASSESSMENT AND MANAGEMENT</t>
  </si>
  <si>
    <t>Algal blooms; Contaminants; Global climate change; Hypoxia; Nutrients</t>
  </si>
  <si>
    <t>The North Atlantic Landscape Conservation Cooperative LCC (NA LCC) is a public-private partnership that provides information to support conservation decisions that may be affected by global climate change (GCC) and other threats. The NA LCC region extends from southeast Virginia to the Canadian Maritime Provinces. Within this region, the US National Climate Assessment documented increases in air temperature, total precipitation, frequency of heavy precipitation events, and rising sea level, and predicted more drastic changes. Here, we synthesize literature on the effects of GCC interacting with selected contaminant, nutrient, and environmental processes to adversely affect natural resources within this region. Using a case study approach, we focused on 3 stressors with sufficient NA LCC region-specific information for an informed discussion. We describe GCC interactions with a contaminant (Hg) and 2 complex environmental phenomena-freshwater acidification and eutrophication. We also prepared taxa case studies on GCC- and GCC-contaminant/nutrient/process effects on amphibians and freshwater mussels. Several avian species of high conservation concern have blood Hg concentrations that have been associated with reduced nesting success. Freshwater acidification has adversely affected terrestrial and aquatic ecosystems in the Adirondacks and other areas of the region that are slowly recovering due to decreased emissions of N and sulfur oxides. Eutrophication in many estuaries within the region is projected to increase from greater storm runoff and less denitrification in riparian wetlands. Estuarine hypoxia may be exacerbated by increased stratification. Elevated water temperature favors algal species that produce harmful algal blooms (HABs). In several of the region's estuaries, HABs have been associated with bird die-offs. In the NA LCC region, amphibian populations appear to be declining. Some species may be adversely affected by GCC through higher temperatures and more frequent droughts. GCC may affect freshwater mussel populations via altered stream temperatures and increased sediment loading during heavy storms. Freshwater mussels are sensitive to un-ionized ammonia that more toxic at higher temperatures. We recommend studying the interactive effects of GCC on generation and bioavailability of methylmercury and how GCC-driven shifts in bird species distributions will affect avian exposure to methylmercury. Research is needed on how decreases in acid deposition concurrent with GCC will alter the structure and function of sensitive watersheds and surface waters. Studies are needed to determine how GCC will affect HABs and avian disease, and how more severe and extensive hypoxia will affect fish and shellfish populations. Regarding amphibians, we suggest research on 1) thermal tolerance and moisture requirements of species of concern, 2) effects of multiple stressors (temperature, desiccation, contaminants, nutrients), and 3) approaches to mitigate impacts of increased temperature and seasonal drought. We recommend studies to assess which mussel species and populations are vulnerable and which are resilient to rising stream temperatures, hydrological shifts, and ionic pollutants, all of which are influenced by GCC. (C) 2014 SETAC</t>
  </si>
  <si>
    <t>[Pinkney, Alfred E.] US Fish &amp; Wildlife Serv, Chesapeake Bay Field Off, Annapolis, MD 21401 USA; [Driscoll, Charles T.] Syracuse Univ, Dept Civil &amp; Environm Engn, Syracuse, NY 13244 USA; [Evers, David C.] Biodivers Res Inst, Gorham, ME USA; [Hooper, Michael J.] US Geol Survey, Columbia Environm Res Ctr, Columbia, MO USA; [Horan, Jeffrey; Milliken, Andrew] US Fish &amp; Wildlife Serv, Northeast Reg Off, Hadley, MA USA; [Jones, Jess W.] Virginia Tech Univ, US Fish &amp; Wildlife Serv, Blacksburg, VA USA; [Lazarus, Rebecca S.; Rattner, Barnett A.] US Geol Survey, Patuxent Wildlife Res Ctr, Beltsville, MD USA; [Marshall, Harold G.] Old Dominion Univ, Dept Biol Sci, Norfolk, VA 23529 USA; [Schmerfeld, John] US Fish &amp; Wildlife Serv, Div Refuges, Arlington, VA USA; [Sparling, Donald W.] So Illinois Univ, Dept Zool, Carbondale, IL 62901 USA</t>
  </si>
  <si>
    <t>United States Department of the Interior; US Fish &amp; Wildlife Service; Syracuse University; United States Department of the Interior; United States Geological Survey; United States Department of the Interior; US Fish &amp; Wildlife Service; Virginia Polytechnic Institute &amp; State University; United States Department of the Interior; US Fish &amp; Wildlife Service; United States Department of the Interior; United States Geological Survey; Old Dominion University; United States Department of the Interior; US Fish &amp; Wildlife Service; Southern Illinois University System; Southern Illinois University</t>
  </si>
  <si>
    <t>Pinkney, AE (corresponding author), US Fish &amp; Wildlife Serv, Chesapeake Bay Field Off, Annapolis, MD 21401 USA.</t>
  </si>
  <si>
    <t>fred_pinkney@fws.gov</t>
  </si>
  <si>
    <t>Hooper, Michael/KHD-4769-2024; Driscoll, Charles T./F-9832-2014</t>
  </si>
  <si>
    <t>, Michael J Hooper/0000-0002-4161-8961; Driscoll, Charles T./0000-0003-2692-2890</t>
  </si>
  <si>
    <t>US Fish and Wildlife Service Northeast Region Science Applications Program</t>
  </si>
  <si>
    <t>We appreciate the support of the US Fish and Wildlife Service Northeast Region Science Applications Program. Comments from Tom Augspurger (USFWS), Peter Murdoch (USGS), and Bruce Stein (National Wildlife Federation), the journal reviewers, and editor are appreciated.</t>
  </si>
  <si>
    <t>1551-3777</t>
  </si>
  <si>
    <t>1551-3793</t>
  </si>
  <si>
    <t>INTEGR ENVIRON ASSES</t>
  </si>
  <si>
    <t>Integr. Environ. Assess. Manag.</t>
  </si>
  <si>
    <t>10.1002/ieam.1612</t>
  </si>
  <si>
    <t>http://dx.doi.org/10.1002/ieam.1612</t>
  </si>
  <si>
    <t>CL5RZ</t>
  </si>
  <si>
    <t>WOS:000357019400005</t>
  </si>
  <si>
    <t>Kaimoussi, A; Chafik, A; Mouzdahir, A; Bakkas, S</t>
  </si>
  <si>
    <t>The impact of industrial pollution on the Jorf Lasfar coastal zone (Morocco, Atlantic Ocean): the mussel as an indicator of metal contamination</t>
  </si>
  <si>
    <t>COMPTES RENDUS DE L ACADEMIE DES SCIENCES SERIE II FASCICULE A-SCIENCES DE LA TERRE ET DES PLANETES</t>
  </si>
  <si>
    <t>pollution; metals; phosphorus; mussel; Morocco</t>
  </si>
  <si>
    <t>MYTILUS-EDULIS; HEAVY-METALS; PORTUGAL; EXPOSURE; WATERS</t>
  </si>
  <si>
    <t>The present study characterizes the effluents of the 'Maroc Phosphore' factories III and IV (of Jorf Lasfar coastal zone). The results show that the effluent (Cs/l) is very acid, very phosphate-rich, high in suspended matter and calcium-rich. Hydrological parameters indicate an important content of phosphates, especially in the stations located in the South of Cs/l. Tissues of mussel Mytilus galloprovincialis from the Jorf Lasfar zone present high concentrations of Cd and Cu. (C) 2001 Academie des sciences / Editions scientifiques et medicales Elsevier SAS.</t>
  </si>
  <si>
    <t>Fac Sci, Dept Chim, Lab Chim Organ &amp; Bioorgan, El Jadida 24000, Morocco; INRH, URD Etud Polluants Chim, Casablanca 04, Morocco</t>
  </si>
  <si>
    <t>Kaimoussi, A (corresponding author), Fac Sci, Dept Chim, Lab Chim Organ &amp; Bioorgan, BP 20, El Jadida 24000, Morocco.</t>
  </si>
  <si>
    <t>aziz.kaimoussi@caramail.com</t>
  </si>
  <si>
    <t>EDITIONS SCIENTIFIQUES MEDICALES ELSEVIER</t>
  </si>
  <si>
    <t>23 RUE LINOIS, 75724 PARIS CEDEX 15, FRANCE</t>
  </si>
  <si>
    <t>1251-8050</t>
  </si>
  <si>
    <t>CR ACAD SCI II A</t>
  </si>
  <si>
    <t>Comptes Rendus Acad. Sci. Ser II-A</t>
  </si>
  <si>
    <t>10.1016/S1251-8050(01)01647-0</t>
  </si>
  <si>
    <t>http://dx.doi.org/10.1016/S1251-8050(01)01647-0</t>
  </si>
  <si>
    <t>489UE</t>
  </si>
  <si>
    <t>WOS:000172009500003</t>
  </si>
  <si>
    <t>Al-Usmani, SMP; Jagtap, TG; Patil, DN</t>
  </si>
  <si>
    <t>Al-Usmani, S. M. Parvez; Jagtap, T. G.; Patil, D. N.</t>
  </si>
  <si>
    <t>Trace metals in water, sediment and bivalves of a tropical estuary, west coast of India</t>
  </si>
  <si>
    <t>Trace metal; Seasonal distribution; Estuary; Bivalve; Health</t>
  </si>
  <si>
    <t>MANGANESE; CADMIUM; COPPER; NICKEL; ZINC</t>
  </si>
  <si>
    <t>Trace metal pollution was studied in water, sediment and three selected bivalves in Mandovi and Chapora estuaries of Goa. The trace metal in water and sediment of Mandovi was higher than in Chapora. The concentration in the tissues was in the range of 1205.2-2506.7 ppm for Paphia malabarica, 1906.2-2802.6 ppm for Perna viridis and 778.7-1607.5 ppm for Saccostrea cucullata in Mandovi estuary. Tha values for Chapora were 199.4-625.8 ppm for P. malabarica, 812.6-1220.2 for P. viridis and 392.5-418.6 ppm for S. cucullata. The anthropogenic input of metal in Mandovi estuary appears to be mainly responsible for the high accumulation of trace metals. These bivalves have potential to serve as indicator for metal contamination in seafood of Goa. (C) 2015 Elsevier Ltd. All rights reserved.</t>
  </si>
  <si>
    <t>[Al-Usmani, S. M. Parvez; Jagtap, T. G.; Patil, D. N.] DM Coll Arts Sci &amp; Commerce, Assagao, Goa, India</t>
  </si>
  <si>
    <t>Al-Usmani, SMP (corresponding author), DM Coll Arts Sci &amp; Commerce, Assagao, Goa, India.</t>
  </si>
  <si>
    <t>parvez_goa@yahoo.com; tgagtap16@gmail.com; dnyanpatil62@gmail.com</t>
  </si>
  <si>
    <t>, Shaikh Mohammad Parvez Al-Usmani/0000-0001-5717-1319</t>
  </si>
  <si>
    <t>10.1016/j.marpolbul.2015.07.036</t>
  </si>
  <si>
    <t>http://dx.doi.org/10.1016/j.marpolbul.2015.07.036</t>
  </si>
  <si>
    <t>CV4SY</t>
  </si>
  <si>
    <t>WOS:000364258000050</t>
  </si>
  <si>
    <t>Tujula, N; Radford, J; Nair, SV; Raftos, DA</t>
  </si>
  <si>
    <t>Effects of tributyltin and other metals on the phenoloxidase activating system of the tunicate, Styela plicata</t>
  </si>
  <si>
    <t>tunicate; ascidian; hemocytes; morula cells; toxic metals; tributyltin; copper; phenoloxidase</t>
  </si>
  <si>
    <t>ASCIDIAN BOTRYLLUS-SCHLOSSERI; SYDNEY ROCK OYSTER; ORGANOTIN COMPOUNDS; ANTIFOULING PAINTS; CIONA-INTESTINALIS; SACCOSTREA-COMMERCIALIS; TAPES-PHILIPPINARUM; AQUATIC ENVIRONMENT; PHAGOCYTIC-ACTIVITY; COASTAL WATERS</t>
  </si>
  <si>
    <t>Toxic metals, such as tributyltin (TBT), contribute substantially to anthropogenic pollution in many estuarine environments. Animals that live in those environments, particularly invertebrate filter feeders like tunicates, are likely to be exposed to substantial metal contamination. This study investigates the effects of TBT and other metals on the phenoloxidase activity of the estuarine tunicate, Styela plicata, in an effort to identify a biochemical marker of metal pollution. Hemocytes harvested from S. plicata that were exposed to tributyltin or copper in aquaria had significantly enhanced phenoloxidase activities relative to non-exposed controls. This enhanced phenoloxidase activity could be explained by an increased frequency of morula cells, which contain high levels of phenoloxidase's proenzyme, prophenoloxidase. Unlike those from tunicates exposed to metals in aquaria.. the phenoloxidase activities of hemocytes incubated with tributyltin in vitro were significantly reduced when compared with hemocytes cultured without tributyltin. The ability of tributyltin to decrease phenoloxidase activity in tissue culture may reflect its known inhibitory effects on calcium-dependent signaling systems such as those involved in the exocytosis of prophenoloxidase from morula cells. (C) 2001 Elsevier Science B.V. All rights reserved.</t>
  </si>
  <si>
    <t>Macquarie Univ, Dept Biol Sci, N Ryde, NSW 2109, Australia</t>
  </si>
  <si>
    <t>Macquarie University</t>
  </si>
  <si>
    <t>Raftos, DA (corresponding author), Macquarie Univ, Dept Biol Sci, N Ryde, NSW 2109, Australia.</t>
  </si>
  <si>
    <t>NOV 12</t>
  </si>
  <si>
    <t>10.1016/S0166-445X(01)00175-8</t>
  </si>
  <si>
    <t>http://dx.doi.org/10.1016/S0166-445X(01)00175-8</t>
  </si>
  <si>
    <t>483UJ</t>
  </si>
  <si>
    <t>WOS:000171654000007</t>
  </si>
  <si>
    <t>Meng, J; Wang, WX</t>
  </si>
  <si>
    <t>Meng, Jie; Wang, Wen-Xiong</t>
  </si>
  <si>
    <t>Differentiation and decreased genetic diversity in field contaminated oysters Crassostrea hongkongensis: Identification of selection signatures*</t>
  </si>
  <si>
    <t>Oyster; Population structure; Genetic diversity; Selective sweeps; Metal; GWAS</t>
  </si>
  <si>
    <t>GENOME-WIDE ASSOCIATION; METALS POLLUTION; POPULATIONS; ADAPTATION; RESISTANCE; RESPONSES; HERITABILITY; VARIABILITY; TOLERANCE; EVOLUTION</t>
  </si>
  <si>
    <t>The extent to which chemical contamination affects the population structure and genetic diversity of natural populations remains elusive. Here, we used the whole-genome resequencing and transcriptome to diagnose the effects of long-term exposure to multiple elevated chemical pollutants on the population differentiation and genetic diversity in oysters Crassostrea hongkongensis in a typically polluted Pearl River Estuary (PRE) of Southern China. Population structure revealed an obvious differentiation between the PRE oysters and those collected from a nearby clean Beihai (BH) individuals, while no significant differentiation was observed among individuals collected from the three pollution sites within PRE due to the high gene flow. The decreased genetic diversity in the PRE oysters reflected the long-term effects of chemical pollutants. Selective sweeps between BH and PRE oysters revealed that chemical defensome genes, including glutathione S-transferase, zinc transporter, were responsible for their differentiation, sharing common metabolic process of other pollutants. Combined with the genome-wide association analysis, 25 regions containing 77 genes were identified to be responsible for the direct selection regions of metals. Linkage disequilibrium blocks and haplotypes within these regions provided the biomarkers of permanent effects. Our results provide important insights to the genetic mechanisms underlying the rapid evolution under chemical contamination in marine bivalves.</t>
  </si>
  <si>
    <t>[Meng, Jie; Wang, Wen-Xiong] City Univ Hong Kong, Sch Energy &amp; Environm, Hong Kong, Peoples R China; [Meng, Jie; Wang, Wen-Xiong] City Univ Hong Kong, State Key Lab Marine Pollut, Hong Kong, Peoples R China; [Meng, Jie] Chinese Acad Sci, Inst Oceanol, Key Lab Expt Marine Biol, Qingdao, Peoples R China; [Meng, Jie] Key Lab Breeding Biotechnol &amp; Sustainable Aquacult, Wuhan, Peoples R China; [Wang, Wen-Xiong] City Univ Hong Kong, Res Ctr Oceans &amp; Human Hlth, Shenzhen Res Inst, Shenzhen 518057, Peoples R China</t>
  </si>
  <si>
    <t>City University of Hong Kong; City University of Hong Kong; Chinese Academy of Sciences; Institute of Oceanology, CAS; Shenzhen Research Institute, City University of Hong Kong; City University of Hong Kong</t>
  </si>
  <si>
    <t>Wang, WX (corresponding author), City Univ Hong Kong, Sch Energy &amp; Environm, Hong Kong, Peoples R China.;Wang, WX (corresponding author), City Univ Hong Kong, State Key Lab Marine Pollut, Hong Kong, Peoples R China.</t>
  </si>
  <si>
    <t>Youth Innovation Promotion Association of the Chinese Academy of Science, China [2019210]; National Natural Science Foundation of China, China [32102815]</t>
  </si>
  <si>
    <t>Youth Innovation Promotion Association of the Chinese Academy of Science, China; National Natural Science Foundation of China, China(National Natural Science Foundation of China (NSFC))</t>
  </si>
  <si>
    <t>We thank the reviewers for their comments. This work was supported by the Youth Innovation Promotion Association of the Chinese Academy of Science, China (grant number 2019210) and the National Natural Science Foundation of China, China (32102815) .</t>
  </si>
  <si>
    <t>10.1016/j.envpol.2023.122101</t>
  </si>
  <si>
    <t>http://dx.doi.org/10.1016/j.envpol.2023.122101</t>
  </si>
  <si>
    <t>N1BR3</t>
  </si>
  <si>
    <t>WOS:001034456200001</t>
  </si>
  <si>
    <t>Weis, JS; Weis, P</t>
  </si>
  <si>
    <t>Contamination of saltmarsh sediments and biota by CCA treated wood walkways</t>
  </si>
  <si>
    <t>saltmarsh; sediments; Spartina; chromated-copper-arsenate; walkway mussels; treated wood</t>
  </si>
  <si>
    <t>SALT-MARSH; SPARTINA-ALTERNIFLORA; COPPER; METALS; LUMBER; DECOMPOSITION; ORGANISMS; ESTUARIES; CHROMIUM; PATENS</t>
  </si>
  <si>
    <t>Sediments. marsh grasses, and ribbed mussels were collected under two CCA wood walkways (15 and 3 years old) and 1. 3. and 10 in out, in the high. middle and low marshes. These sediments. and samples from reference sites. were analyzed for Cu, Cr, and As by atomic absorption spectrophotometry. Metal concentrations were highly elevated under the walkways and up to 10 m away. Dispersal of contaminants near the old walkway was greatest in the low marsh, less in the middle, and least in the high marsh, corresponding to periods of tidal inundation. Accumulation under the as generally greatest in the low marsh. Contamination was much higher in sediments under the new walkway than the old one, but metals had not dispersed as far. Accumulation patterns in plants were similar. but the contamination did not disperse its far and vas not greater under the new vs the old walkway. despite differences in sediment concentrations. In mussels, bioaccumulation was seldom statistically significant. due largely to small sample sizes. (C) 2002 Elsevier Science Ltd. All rights reserved.</t>
  </si>
  <si>
    <t>Rutgers State Univ, Dept Biol Sci, Newark, NJ 07102 USA; Univ Med &amp; Dent New Jersey, Dept Anat &amp; Cell Biol, Newark, NJ 07103 USA</t>
  </si>
  <si>
    <t>Rutgers University System; Rutgers University New Brunswick; Rutgers University Newark; Rutgers University System; Rutgers University New Brunswick; Rutgers University Biomedical &amp; Health Sciences</t>
  </si>
  <si>
    <t>Rutgers State Univ, Dept Biol Sci, Newark, NJ 07102 USA.</t>
  </si>
  <si>
    <t>jweis@andromeda.rutgers.edu</t>
  </si>
  <si>
    <t>PII S0025-326X(01)00294-6</t>
  </si>
  <si>
    <t>10.1016/S0025-326X(01)00294-6</t>
  </si>
  <si>
    <t>http://dx.doi.org/10.1016/S0025-326X(01)00294-6</t>
  </si>
  <si>
    <t>571HV</t>
  </si>
  <si>
    <t>WOS:000176712700019</t>
  </si>
  <si>
    <t>BROWN, DC; BRADLEY, BP; TEDENGREN, M</t>
  </si>
  <si>
    <t>GENETIC AND ENVIRONMENTAL-REGULATION OF HSP70 EXPRESSION</t>
  </si>
  <si>
    <t>MYTILUS-EDULIS-L; NORTH-SEA</t>
  </si>
  <si>
    <t>North Sea Mytilis edulis differ genetically from M. edulis from lower salinity in the Baltic Sea. Gammarus duebeni can tolerate a broad range of salinities, while Gammarus oceanicus is more limited in its salinity range. These populations were exposed to cadmium and the level of expression of a stress protein, HSP70, was analysed on Western blots. HSP70 is one of a family of ubiquitous heat shock proteins, about 70 000 Da, that are induced by a wide variety of stressors. North Sea mussels had high levels and multiple forms of HSP70 and a low tissue concentration of cadmium. Baltic Sea mussels had low levels of HSP70 and accumulated three times the tissue concentration of cadmium as North Sea mussels. G. duebeni had varying levels of HSP70 and twice the tissue concentration of cadmium of G. oceanicus, which had no detectable HSP70 throughout the course of cadmium treatment. The quantity of HSP70 induced correlated well with survival in these four populations.</t>
  </si>
  <si>
    <t>UNIV STOCKHOLM,DEPT SYST ECOL,S-10691 STOCKHOLM,SWEDEN</t>
  </si>
  <si>
    <t>BROWN, DC (corresponding author), UNIV MARYLAND,DEPT BIOL SCI,BALTIMORE,MD 21201, USA.</t>
  </si>
  <si>
    <t>10.1016/0141-1136(94)00014-G</t>
  </si>
  <si>
    <t>http://dx.doi.org/10.1016/0141-1136(94)00014-G</t>
  </si>
  <si>
    <t>WOS:A1995QR26100037</t>
  </si>
  <si>
    <t>Sericano, JL; Wade, TL; Sweet, ST; Ramirez, J; Lauenstein, GG</t>
  </si>
  <si>
    <t>Sericano, Jose L.; Wade, Terry L.; Sweet, Stephen T.; Ramirez, Juan; Lauenstein, Gunnar G.</t>
  </si>
  <si>
    <t>Temporal trends and spatial distribution of DDT in bivalves from the coastal marine environments of the continental United States, 1986-2009</t>
  </si>
  <si>
    <t>DDTs; Mussel Watch; Bivalves; Coastal environments; Continental USA</t>
  </si>
  <si>
    <t>PALOS-VERDES SHELF; MUSSEL WATCH; ORGANOCHLORINE PESTICIDES; ORGANIC CONTAMINANTS; SOUTHERN CALIFORNIA; CHEMICAL CONCENTRATIONS; HEAVY-METALS; SEDIMENTS; OYSTERS; LEGACY</t>
  </si>
  <si>
    <t>Analysis of DDT isomers and breakdown products, DDD and DDE, in over 3500 bivalve samples collected from more than 300 locations along the continental United States indicates that concentrations are decreasing. Overall average concentrations for the East (45.8 +/- 24.6 ng/g dw), Gulf (42.4 +/- 21.1 ng/g dw), and West (90.9 +/- 43.3 ng/g dw) coasts are declining with an environmental half-life between 10 and 14 years and are predicted to decrease below 10% of today's concentrations by 2050. Geographically, areas with high and low levels are well identified. Bivalves yielding the highest concentrations were collected in areas linked to areas of DDT production or heavy usage. These areas are clustered in the southern California and San Francisco area, on the West coast; Delaware and Hudson/Raritan Estuary, on the East coast; and in Alabama and northwestern Florida, on the Gulf of Mexico. Statistically significant decreasing trends in Sigma DDT concentrations are apparent at most of these locations. Published by Elsevier Ltd.</t>
  </si>
  <si>
    <t>[Sericano, Jose L.; Wade, Terry L.; Sweet, Stephen T.] Texas A&amp;M Univ, GERG, College Stn, TX 77845 USA; [Ramirez, Juan] TDI Brooks Int Inc, College Stn, TX 77845 USA; [Lauenstein, Gunnar G.] NOAA, N SCI1, Ctr Coastal Monitoring &amp; Assessment, Natl Ctr Coastal Ocean Sci, Silver Spring, MD 20910 USA</t>
  </si>
  <si>
    <t>Texas A&amp;M University System; Texas A&amp;M University College Station; National Oceanic Atmospheric Admin (NOAA) - USA; National Ocean Service, NOAA; National Centers for Coastal Ocean Science (NOOCS)</t>
  </si>
  <si>
    <t>Sericano, JL (corresponding author), Texas A&amp;M Univ, GERG, College Stn, TX 77845 USA.</t>
  </si>
  <si>
    <t>jlsericano@geos.tamu.edu</t>
  </si>
  <si>
    <t>Sweet, Stephen/0000-0002-1441-8198</t>
  </si>
  <si>
    <t>10.1016/j.marpolbul.2013.12.049</t>
  </si>
  <si>
    <t>http://dx.doi.org/10.1016/j.marpolbul.2013.12.049</t>
  </si>
  <si>
    <t>WOS:000336707900003</t>
  </si>
  <si>
    <t>Jung, YJ; Park, YC; Lee, KJ; Kim, MS; Go, KR; Park, SG; Kwon, SJ; Yang, JH; Mok, JS</t>
  </si>
  <si>
    <t>Jung, Yeoun Joong; Park, Young Cheol; Lee, Ka Jeong; Kim, Min Seon; Go, Kyeong Ri; Park, Sang Gi; Kwon, Soon Jae; Yang, Ji Hye; Mok, Jong Soo</t>
  </si>
  <si>
    <t>Spatial and seasonal variation of pollution sources in proximity of the Jaranman-Saryangdo area in Korea</t>
  </si>
  <si>
    <t>Jaranman-Saryangdo area; Fecal coliform; Inland pollution; Seawater; Physicochemical factors</t>
  </si>
  <si>
    <t>FOODBORNE DISEASES; HEAVY-METALS; JINHAE BAY; RISK; VARIABILITY; SEAWATER; QUALITY; OYSTERS; HEALTH</t>
  </si>
  <si>
    <t>We aimed to compare the spatial and seasonal distributions of fecal coliforms (FCs) and other physiochemical factors in the drainage basin of the Jaranman-Saryangdo area. Among the pollution sources, the mean daily loads and half-circle radii of FCs were the highest in June. However, the pollutants did not reach the boundary line of the designated area due to an existing buffer zone. The value of the FC geometric mean at station 1 was highest in August during periods of heavy rainfall; however, this value was lower than the regulation limit. The highest daily loads of chemical oxygen demand (COD) and chlorophyll-a (Chl-a) in seawater were in the surface layer in August; however, dissolved oxygen (DO) in the bottom water layer was at its lowest in August. This study demonstrated that season and rainfall have significant effects on the FC, COD, DO, and Chl-a concentrations in seawater. (C) 2016 Elsevier Ltd. All rights reserved.</t>
  </si>
  <si>
    <t>[Jung, Yeoun Joong; Park, Young Cheol; Lee, Ka Jeong; Kim, Min Seon; Go, Kyeong Ri; Park, Sang Gi; Kwon, Soon Jae; Yang, Ji Hye; Mok, Jong Soo] Natl Inst Fisheries Sci, Southeast Sea Fisheries Res Inst, 397-68 Sanyangilju Ro, Sanyang Eup 53085, Tongyeong, South Korea</t>
  </si>
  <si>
    <t>National Institute of Fisheries Science</t>
  </si>
  <si>
    <t>Jung, YJ (corresponding author), Natl Inst Fisheries Sci, Southeast Sea Fisheries Res Inst, 397-68 Sanyangilju Ro, Sanyang Eup 53085, Tongyeong, South Korea.</t>
  </si>
  <si>
    <t>jyj3626@korea.kr</t>
  </si>
  <si>
    <t>National Institute of Fisheries Science in Korea [R2016059]</t>
  </si>
  <si>
    <t>This work was supported by a grant from the National Institute of Fisheries Science in Korea (R2016059).</t>
  </si>
  <si>
    <t>10.1016/j.marpolbul.2016.12.003</t>
  </si>
  <si>
    <t>http://dx.doi.org/10.1016/j.marpolbul.2016.12.003</t>
  </si>
  <si>
    <t>WOS:000394399800056</t>
  </si>
  <si>
    <t>Jayasinghe, JDHE; Tharanga, EMT; Sirisena, DMKP; Jeyakanesh, JT; Wan, Q; Lee, JH</t>
  </si>
  <si>
    <t>Jayasinghe, J. D. H. E.; Tharanga, E. M. T.; Sirisena, D. M. K. P.; Jeyakanesh, Jeganathan Tharshan; Wan, Qiang; Lee, Jehee</t>
  </si>
  <si>
    <t>A metallothionein from disk abalone ( Haliotis discus discus ): Insights into its functional roles in immune response, metal tolerance, and oxidative stress</t>
  </si>
  <si>
    <t>Metallothionein; Disk abalone; Heavy metal; Oxidative stress; Immune response</t>
  </si>
  <si>
    <t>OYSTER CRASSOSTREA-GIGAS; GENE-EXPRESSION; MARINE-INVERTEBRATES; TRANSCRIPTION FACTOR; BIVALVE MOLLUSKS; BINDING; PROTEIN; INDUCTION; EVOLUTION</t>
  </si>
  <si>
    <t>Metallothioneins (MTs) are cysteine-rich metal-binding proteins whose expression is induced by exposure to essential and non-essential metals, making them potential biological markers for assessing metal pollution in various biomonitoring programs. However, the functional properties of these proteins are yet to be comprehensively characterized in most marine invertebrates. In this study, we identified and characterized an MT homolog from the disk abalone (Haliotis discus discus), referred to as disk abalone MT (AbMT). AbMT exhibited the same primary structural features as MTs from other mollusks containing two beta-domains (beta 2 beta 1-form). AbMT protein demonstrated metal-binding and detoxification abilities against Zn, Cu, and Cd, as evidenced by Escherichia coli growth kinetics, metal tolerance analysis, and UV absorption spectrum. Transcriptional analysis revealed that AbMT was ubiquitously expressed in all analyzed tissues and upregulated in gill tissue following challenge with Vibrio parahaemolyticus, Listeria monocytogenes, and viral hemorrhagic septicemia virus (VHSV). Additionally, overexpression of AbMT suppressed LPS-induced NO production in RAW264.7 macrophages, protected cells against H2O2-induced oxidative stress, and promoted macrophage polarization toward the M1 phase. Conclusively, these findings suggest an important role for AbMT in environmental stress protection and immune regulation in disk abalone.</t>
  </si>
  <si>
    <t>[Jayasinghe, J. D. H. E.; Tharanga, E. M. T.; Sirisena, D. M. K. P.; Jeyakanesh, Jeganathan Tharshan; Wan, Qiang; Lee, Jehee] Jeju Natl Univ, Dept Marine Life Sci &amp; Ctr Genom Select Korean Aqu, Jeju 63243, South Korea; [Wan, Qiang; Lee, Jehee] Jeju Natl Univ, Marine Life Res Inst, Kidang Marine Sci Inst, Jeju 63333, South Korea; [Lee, Jehee] Jeju Natl Univ, Marine Mol Genet Lab, 102 Jejudaehakno, Jeju 63243, South Korea</t>
  </si>
  <si>
    <t>Jeju National University; Jeju National University; Jeju National University</t>
  </si>
  <si>
    <t>Wan, Q; Lee, JH (corresponding author), Jeju Natl Univ, Dept Marine Life Sci &amp; Ctr Genom Select Korean Aqu, Jeju 63243, South Korea.;Lee, JH (corresponding author), Jeju Natl Univ, Marine Mol Genet Lab, 102 Jejudaehakno, Jeju 63243, South Korea.</t>
  </si>
  <si>
    <t>oneqiang@jejunu.ac.kr; jehee@jejunu.ac.kr</t>
  </si>
  <si>
    <t>Jayasinghe, Jayasinghage Don Handun Eranga/0000-0003-4419-978X</t>
  </si>
  <si>
    <t>Basic Science Research Program of the National Research Foundation of Korea (NRF) - Ministry of Education [2019R1A6A1A03033553]; Korea Institute of Marine Science and Technology Promotion (KIMST) - Ministry of Oceans and Fisheries [RS-2022-KS221670]</t>
  </si>
  <si>
    <t>Basic Science Research Program of the National Research Foundation of Korea (NRF) - Ministry of Education(Ministry of Education (MOE), Republic of KoreaNational Research Foundation of Korea); Korea Institute of Marine Science and Technology Promotion (KIMST) - Ministry of Oceans and Fisheries(Korea Institute of Marine Science &amp; Technology Promotion (KIMST))</t>
  </si>
  <si>
    <t>This study was supported by the Basic Science Research Program of the National Research Foundation of Korea (NRF) , funded by the Ministry of Education (2019R1A6A1A03033553) and the Korea Institute of Marine Science and Technology Promotion (KIMST) , funded by the Ministry of Oceans and Fisheries (RS-2022-KS221670) .</t>
  </si>
  <si>
    <t>10.1016/j.fsi.2024.109645</t>
  </si>
  <si>
    <t>http://dx.doi.org/10.1016/j.fsi.2024.109645</t>
  </si>
  <si>
    <t>UH9B2</t>
  </si>
  <si>
    <t>WOS:001247271500001</t>
  </si>
  <si>
    <t>Moore, MN; Viarengo, A; Donkin, P; Hawkins, AJS</t>
  </si>
  <si>
    <t>Moore, Michael N.; Viarengo, Aldo; Donkin, Peter; Hawkins, Anthony J. S.</t>
  </si>
  <si>
    <t>Autophagic and lysosomal reactions to stress in the hepatopancreas of blue mussels</t>
  </si>
  <si>
    <t>autophagy; environmental stressors; lysosomes; lipofuscin; mussels; pollutants; reactive oxygen species; tolerance</t>
  </si>
  <si>
    <t>MYTILUS-GALLOPROVINCIALIS-LAM; DIGESTIVE CELLS; COMMON MUSSEL; ENVIRONMENTAL-STRESS; CYTOCHEMICAL RESPONSES; PETROLEUM-HYDROCARBONS; AROMATIC-HYDROCARBONS; CALORIC RESTRICTION; CELLULAR-RESPONSES; EDULIS-L</t>
  </si>
  <si>
    <t>The aim of this investigation was to test the reactions of the hepatopancreatic digestive cells of blue mussels (Mytilus edulis and Mytilus galloprovincialis) to a variety of environmental stressors. These stressors included anoxia, hyperthermia, polycyclic aromatic hydrocarbons, copper and a combination of copper+ nutritional deprivation. Paraquat was used as an experimental generator of reactive oxygen species (ROS). All of these stressors induced adverse reactions in the lysosomal system of the digestive cells and many also induced autophagy. Changes induced by anoxia and hyperthermia were reversible, whereas autophagic reactions caused by PAHs were incomplete resulting in swelling and accumulation of lipid and phospholipid in the autolysosomes. The lysosomotropic drug chloroquine, an inducer of incomplete autophagy, enhanced the toxicity of phenanthrene but was not itself toxic at the experimental concentration used. Nutritional deprivation-induced autophagy had a protective effect on lysosomal stability in mussels exposed to copper. These findings complement previous findings and support a mechanistic model for lysosomal responses to free radicals and reactive oxygen (ROS, reactive oxygen species) which are generated by normal metabolism and often enhanced by stress and toxic xenobiotics and metals. The protective role of autophagy induced by nutritional deprivation against oxidative stress can be explained by this model, where autophagy boosts cellular housekeeping through enhanced removal of ROS-damaged proteins and organelles minimising formation of harmful stress/age pigment (lipofuscin). Finally, we discuss the possibility of low level triggering of autophagy in mussels by fluctuating environmental regimes providing a mechanism for tolerence to environmental stress. (c) 2007 Elsevier B.V. All rights reserved.</t>
  </si>
  <si>
    <t>Plymouth Marine Lab, Plymouth PL1 3DH, Devon, England; Univ Piemonte Orientale, Dept Environm &amp; Life Sci, Alessandria, Italy</t>
  </si>
  <si>
    <t>Plymouth Marine Laboratory; University of Eastern Piedmont Amedeo Avogadro</t>
  </si>
  <si>
    <t>Moore, MN (corresponding author), Plymouth Marine Lab, Prospect Pl, Plymouth PL1 3DH, Devon, England.</t>
  </si>
  <si>
    <t>Viarengo, Aldo/0000-0002-1557-6526</t>
  </si>
  <si>
    <t>NERC [pml010003, pml010001] Funding Source: UKRI</t>
  </si>
  <si>
    <t>NERC(UK Research &amp; Innovation (UKRI)Natural Environment Research Council (NERC))</t>
  </si>
  <si>
    <t>10.1016/j.aquatox.2007.06.007</t>
  </si>
  <si>
    <t>http://dx.doi.org/10.1016/j.aquatox.2007.06.007</t>
  </si>
  <si>
    <t>206ED</t>
  </si>
  <si>
    <t>WOS:000249165800009</t>
  </si>
  <si>
    <t>Tomonaga, Y; Brennwald, MS; Kipfer, R</t>
  </si>
  <si>
    <t>Tomonaga, Yama; Brennwald, Matthias S.; Kipfer, Rolf</t>
  </si>
  <si>
    <t>An improved method for the analysis of dissolved noble gases in the porewater of unconsolidated sediments</t>
  </si>
  <si>
    <t>LIMNOLOGY AND OCEANOGRAPHY-METHODS</t>
  </si>
  <si>
    <t>LAKE VAN; WATER; ISOTOPES; HELIUM</t>
  </si>
  <si>
    <t>We developed a new and improved method for the extraction of dissolved noble gases from the porewater of unconsolidated lacustrine sediments. The new method relies on the separation of the porewater from the sediment matrix by centrifugation of the bulk sediment within the closed copper tubes being used as sampling containers. After centrifugation, the porewater liberated from sediment matrix is completely separated from the dewatered sediment by applying and closing a metal clamp between the two phases. After separation, the noble-gas abundances are determined only in the porewater phase by applying the standard protocols used for noble-gas analysis in water samples, which allows simpler, faster and more reliable measurements. The new method overcomes known experimental difficulties encountered by our former method, such as the release of He from sediment grains, and incomplete extrusion of the bulk sediment from the copper tube used as a sample container. It follows that the determination of the He concentrations and isotope ratios in the sediment porewater is less affected by He locally produced in sediment minerals. The new method is less operator-sensitive and the noble-gas extraction efficiency (especially for heavy noble-gas species) has, in general, improved. As only bulk porewater is used for analysis, the new method can easily be adopted by other noble-gas laboratories. Also, the new method can be used to determine the abundance of other dissolved gases such CH4, N-2, or CO2.</t>
  </si>
  <si>
    <t>[Tomonaga, Yama; Brennwald, Matthias S.; Kipfer, Rolf] Eawag, Swiss Fed Inst Aquat Sci &amp; Technol, CH-8600 Dubendorf, Switzerland; [Tomonaga, Yama] ETH, Swiss Fed Inst Technol, Inst Biogeochem &amp; Pollutant Dynam, CH-8092 Zurich, Switzerland; [Kipfer, Rolf] ETH, Swiss Fed Inst Technol, Inst Geochem &amp; Mineral Resources, CH-8092 Zurich, Switzerland</t>
  </si>
  <si>
    <t>Swiss Federal Institutes of Technology Domain; Swiss Federal Institute of Aquatic Science &amp; Technology (EAWAG); Swiss Federal Institutes of Technology Domain; ETH Zurich; Swiss Federal Institutes of Technology Domain; ETH Zurich</t>
  </si>
  <si>
    <t>Tomonaga, Y (corresponding author), Eawag, Swiss Fed Inst Aquat Sci &amp; Technol, CH-8600 Dubendorf, Switzerland.</t>
  </si>
  <si>
    <t>tomonaga@eawag.ch</t>
  </si>
  <si>
    <t>Tomonaga, Yama/ABG-9540-2020</t>
  </si>
  <si>
    <t>Tomonaga, Yama/0000-0003-2871-8826</t>
  </si>
  <si>
    <t>Swiss Science Foundation [SNF 200020-109465]</t>
  </si>
  <si>
    <t>Swiss Science Foundation(Swiss National Science Foundation (SNSF))</t>
  </si>
  <si>
    <t>We highly appreciate the support of Aysegul Feray Meydan, Dr. Mustafa Karabiyikoglu, and Prof. Dr. Sefer Orcen and the staff of the Yuzuncu Yil University in Van (Turkey) during fieldwork on Lake Van during the past few years. We thank Urs Menet and Heinrich Baur at ETH Zurich for their technical support in the lab. We also thank Dr. David M. Livingstone (Eawag), Dr. Gregory. Cutter and an anonymous reviewer for their helpful comments and editing assistance. This work was funded by the Swiss Science Foundation (SNF 200020-109465).</t>
  </si>
  <si>
    <t>1541-5856</t>
  </si>
  <si>
    <t>LIMNOL OCEANOGR-METH</t>
  </si>
  <si>
    <t>Limnol. Oceanogr. Meth.</t>
  </si>
  <si>
    <t>10.4319/lom.2011.9.42</t>
  </si>
  <si>
    <t>http://dx.doi.org/10.4319/lom.2011.9.42</t>
  </si>
  <si>
    <t>765BN</t>
  </si>
  <si>
    <t>WOS:000290678500001</t>
  </si>
  <si>
    <t>Karbasdehi, VN; Dobaradaran, S; Nabipour, I; Ostovar, A; Vazirizadeh, A; Ravanipour, M; Nazmara, S; Keshtkar, M; Mirahmadi, R; Noorinezhad, M</t>
  </si>
  <si>
    <t>Karbasdehi, Vahid Noroozi; Dobaradaran, Sina; Nabipour, Iraj; Ostovar, Afshin; Vazirizadeh, Amir; Ravanipour, Masoumeh; Nazmara, Shahrokh; Keshtkar, Mozhgan; Mirahmadi, Roghayeh; Noorinezhad, Mohsen</t>
  </si>
  <si>
    <t>A new bioindicator, shell of Trachycardium lacunosum, and sediment samples to monitors metals (Al, Zn, Fe, Mn, Ni, V, Co, Cr and Cu) in marine environment: The Persian Gulf as a case</t>
  </si>
  <si>
    <t>Aquatic Organisms; Environmental Monitoring; Geologic Sediments; Metals; Persian Gulf; Trachycardium lacunosum; Toxicology</t>
  </si>
  <si>
    <t>HEAVY-METAL; ATLANTIC COAST; BIOACCUMULATION; MUSSEL; MOLLUSKS; TRACE; CONTAMINATION; VARIABILITY; POLLUTION; TISSUE</t>
  </si>
  <si>
    <t>Background: The present work was designed to detect heavy metal contents of Al, Zn, Fe, Mn, Ni, V, Co, Cr and Cu in sediments and shells of the Trachycardium lacunosum collected in polluted and unpolluted areas along the Persian Gulf. Methods: The samples were taken from surface sediments (0-10 cm) and shells of Trachycardium lacunosum in two separated areas (polluted and unpolluted) in northern part of the Persian Gulf, Asaluyeh Bay, during summer 2013. The prepared samples were analyzed by inductively coupled plasma-optical emission spectrometry (ICP-OES). Results: Based on the results, all measured metals including Al, Zn, Fe, Mn, Ni, V, Co, Cr and Cu were meaningfully higher in the sediment samples of polluted area compared to unpolluted area and the order of metal concentrations in the sediment samples were Cr &gt; Co &gt; V &gt; Ni &gt; Zn &gt; Cu &gt; Fe &gt; Al &gt; Mn in polluted area. In the case of shell samples of Trachycardium lacunosum, polluted area contained significantly higher contents of Al, Zn, Fe, Mn, Ni, Co, Cr and Cu compared to unpolluted area and the order of metal concentrations in the shell samples were Fe &gt; Zn &gt; Al &gt; Mn &gt; Cu &gt; Cr &gt; Ni &gt; Co in the polluted area. Conclusion: It was concluded that shells of the Trachycardium lacunosum can be used as a suitable bioindicator for heavy metals in the aquatic environment. Results confirmed that due to the possible contaminations by oil and gas activities near the polluted area perennial monitoring and mitigation measures is extremely necessary.</t>
  </si>
  <si>
    <t>[Karbasdehi, Vahid Noroozi; Dobaradaran, Sina; Ravanipour, Masoumeh; Keshtkar, Mozhgan; Mirahmadi, Roghayeh] Bushehr Univ Med Sci, Fac Hlth, Dept Environm Hlth Engn, Bushehr, Iran; [Dobaradaran, Sina] Bushehr Univ Med Sci, Persian Gulf Marine Biotechnol Res Ctr, Persian Gulf Biomed Sci Res Inst, Boostan 19 Alley,Imam Khomeini St, Bushehr, Iran; [Dobaradaran, Sina] Bushehr Univ Med Sci, Syst Environm Hlth Oil Gas &amp; Energy Res Ctr, Persian Gulf Biomed Sci Res Inst, Bushehr, Iran; [Nabipour, Iraj; Ostovar, Afshin] Bushehr Univ Med Sci, Persian Gulf Trop Med Res Ctr, Persian Gulf Biomed Sci Res Inst, Bushehr, Iran; [Vazirizadeh, Amir] Persian Gulf Univ, Persian Gulf Studies &amp; Res Ctr, Marine Biotechnol Dept, Bushehr, Iran; [Nazmara, Shahrokh] Univ Tehran Med Sci, Sch Publ Hlth, Tehran, Iran; [Noorinezhad, Mohsen] Iranian Shrimp Res Inst, Ecol Dept, Bushehr, Iran</t>
  </si>
  <si>
    <t>Persian Gulf University; Tehran University of Medical Sciences</t>
  </si>
  <si>
    <t>Dobaradaran, S (corresponding author), Bushehr Univ Med Sci, Fac Hlth, Dept Environm Hlth Engn, Bushehr, Iran.;Dobaradaran, S (corresponding author), Bushehr Univ Med Sci, Persian Gulf Marine Biotechnol Res Ctr, Persian Gulf Biomed Sci Res Inst, Boostan 19 Alley,Imam Khomeini St, Bushehr, Iran.;Dobaradaran, S (corresponding author), Bushehr Univ Med Sci, Syst Environm Hlth Oil Gas &amp; Energy Res Ctr, Persian Gulf Biomed Sci Res Inst, Bushehr, Iran.</t>
  </si>
  <si>
    <t>sina_dobaradaran@yahoo.com</t>
  </si>
  <si>
    <t>Vazirizadeh, Amir/AAD-4815-2021; Ravanipour, Maryam/M-2893-2017; Dobaradaran, Sina/E-8669-2018; Nazmara, Shahrokh/H-1273-2016; Ostovar, Afshin/D-4630-2017; nabipour, Iraj/D-8924-2017; Vazirizadeh, Amir/H-1614-2018; Dobaradaran, Sina/P-8067-2017</t>
  </si>
  <si>
    <t>Ostovar, Afshin/0000-0001-8670-5797; nabipour, Iraj/0000-0002-1785-0883; Ravanipour, Masoumeh/0000-0002-2034-8771; Vazirizadeh, Amir/0000-0002-8103-3247; Dobaradaran, Sina/0000-0002-8857-7343</t>
  </si>
  <si>
    <t>Bushehr University of Medical Sciences; Iran National Science Foundation [95/INSF/44913]</t>
  </si>
  <si>
    <t>Bushehr University of Medical Sciences; Iran National Science Foundation(Iran National Science Foundation (INSF))</t>
  </si>
  <si>
    <t>The authors are grateful to the Bushehr University of Medical Sciences for their financial support and the laboratory staff of the Environmental Health Engineering Department for their cooperation. This project was partly supported by Iran National Science Foundation (Research Chair Award No. 95/INSF/44913).</t>
  </si>
  <si>
    <t>10.1186/s40201-016-0260-0</t>
  </si>
  <si>
    <t>http://dx.doi.org/10.1186/s40201-016-0260-0</t>
  </si>
  <si>
    <t>EC4WU</t>
  </si>
  <si>
    <t>WOS:000388135900001</t>
  </si>
  <si>
    <t>Abderrahmani, K; Boulahdid, M; Bendou, N; Guenachi, B; Hacene, OR; Masino, F; Montevecchi, G</t>
  </si>
  <si>
    <t>Abderrahmani, Khaled; Boulahdid, Mostefa; Bendou, Naima; Guenachi, Belkacem; Hacene, Omar Rouane; Masino, Francesca; Montevecchi, Giuseppe</t>
  </si>
  <si>
    <t>Partitioning of trace elements in the tissues of Mediterranean mussels (Mytilus galloprovincialis) sampled from industrial sites along the Algerian coast</t>
  </si>
  <si>
    <t>Mytillus galloprovincialis; Mussel tissues; Metals; Contamination; Algerian coast</t>
  </si>
  <si>
    <t>FRESH-WATER MUSSEL; HEAVY-METALS; DIGESTIVE GLAND; RUDITAPES-PHILIPPINARUM; LIPID-PEROXIDATION; BIOACCUMULATION; POLLUTION; ACCUMULATION; BIOMARKERS; FISH</t>
  </si>
  <si>
    <t>This research was aimed at evaluating the seasonal partitioning of Zn, Se, As, Cu, and Co in the tissues of Mytilus galloprovincialis sampled at two industrial sites along the Algerian coast. Adult mussels were seasonally collected from two sites over the course of a whole year. The gills, digestive glands, gonads, and remaining soft tissues were analyzed through ICP-MS. The observations led to identifying metals ranges (mu g g(-1) (Dry Weight)) of 67.17-395.51 (Zn), 2.18-12.74 (Se), 7.81-28.61 (As), 3.32-155.91 (Cu), and 0.10-3.59 (Co) in the various tissues. The highest concentrations were found in the digestive glands and gills as compared to the gonads and remaining soft tissues. Distinct patterns of metals partitioning were found: indeed, As and Co concentrations were higher in the digestive glands, while Se and Zn concentrations were higher in the gills. Many of the mussels samples resulted contaminated, therefore potentially posing a considerable health risk to consumers.</t>
  </si>
  <si>
    <t>[Abderrahmani, Khaled; Boulahdid, Mostefa] Ecole Natl Super Sci Mer &amp; Amenagement Littoral, ENSSMAL, Lab Ecosyst Marins &amp; Littoraux ECOSYSMarL, BP19,16320 Campus Univ Dely Ibrahim, Bois Das Cars, Alger, Algeria; [Abderrahmani, Khaled; Guenachi, Belkacem] Ctr Natl Rech Dev Peche Aquaculture CNRDPA, 11,Bd Colonel Amirouche,POB 67, Bou Ismail 42415, Tipaza, Algeria; [Bendou, Naima] SONATRACH, Div Technol &amp; Dev, Ave 1er Novembre 1954, Boumerdes 35000, Algeria; [Hacene, Omar Rouane] Univ Oran 1 Ahmed Ben Bella, Dept Biol, BP 1524 El Mnaouer, Oran 31000, Algeria; [Masino, Francesca; Montevecchi, Giuseppe] Univ Modena &amp; Reggio Emilia, SITEIA Interdept Ctr, Dept Life Sci, Agri Food Sci Area,BIOGEST, Piazzale Europa 1, I-42124 Reggio Emilia, Italy</t>
  </si>
  <si>
    <t>Ecole Nationale Superieure des Sciences de la Mer et Amenagement du Littoral (ENSSMAL); Universita di Modena e Reggio Emilia</t>
  </si>
  <si>
    <t>Abderrahmani, K (corresponding author), Ecole Natl Super Sci Mer &amp; Amenagement Littoral, ENSSMAL, Lab Ecosyst Marins &amp; Littoraux ECOSYSMarL, BP19,16320 Campus Univ Dely Ibrahim, Bois Das Cars, Alger, Algeria.</t>
  </si>
  <si>
    <t>Montevecchi, Giuseppe/U-9525-2018; Masino, Francesca/D-8975-2015</t>
  </si>
  <si>
    <t>Montevecchi, Giuseppe/0000-0002-2483-7134; Masino, Francesca/0000-0002-1206-7267; ABDERRAHMANI, khaled/0000-0003-0312-6998</t>
  </si>
  <si>
    <t>10.1016/j.marpolbul.2021.113006</t>
  </si>
  <si>
    <t>http://dx.doi.org/10.1016/j.marpolbul.2021.113006</t>
  </si>
  <si>
    <t>WN2ZR</t>
  </si>
  <si>
    <t>WOS:000711642500013</t>
  </si>
  <si>
    <t>Amira, A; Merad, I; Almeida, CMR; Guimaraes, L; Soltani, N</t>
  </si>
  <si>
    <t>Amira, Akila; Merad, Isma; Almeida, C. Marisa R.; Guimaraes, Laura; Soltani, Nourredine</t>
  </si>
  <si>
    <t>Seasonal variation in biomarker responses of Donax trunculus from the Gulf of Annaba (Algeria): Implication of metal accumulation in sediments</t>
  </si>
  <si>
    <t>COMPTES RENDUS GEOSCIENCE</t>
  </si>
  <si>
    <t>Mollusk bivalve; Biomonitoring; Glutathione S-transferase; Acetylcholinesterase; Metallothioneins; Pollution</t>
  </si>
  <si>
    <t>MUSSELS MYTILUS-GALLOPROVINCIALIS; GLUTATHIONE S-TRANSFERASES; CLAM RUDITAPES DECUSSATUS; OXIDATIVE STRESS; NORTHEAST ALGERIA; ACETYLCHOLINESTERASE ACTIVITY; METALLOTHIONEIN INDUCTION; GENOTOXICITY BIOMARKERS; BIOCHEMICAL-COMPOSITION; TRANSPLANTED MUSSELS</t>
  </si>
  <si>
    <t>The aim of the present study was to test biomarker responses in an edible mollusk, Donax trunculus L. (Mollusca, Bivalvia) associated with environmental pollution in the Gulf of Annaba (northeastern Algeria). The biomarkers selected were glutathione S-transferase (GST), acetylcholinesterase (AChE) and metallothioneins (MTs). Samples were collected seasonally (September 2014, and January, April and July 2015) from two sites located over the Gulf of Annaba: El Battah and Sidi Salem. The results obtained reveal that autumn and winter were the two seasons that show an increase in GST activity, an inhibition of AChE activity and a high rate of MT. In addition, a decrease in AChE activity, an increase in both GST activity and MT levels in D. Trunculus collected from Sidi Salem in comparison with those of El Battah were observed. The biomarker responses at the Sidi Salem site reflect the presence of certain pro-oxidative compounds such as metals (Cd, Cu, Pb, Zn, Mn and Fe) determined in sediments in winter (January) 2015. Moreover, metal concentrations, except Fe, were higher at Sidi Salem than at El Battah. Overall, the Gulf of Annaba remains contaminated by heavy metal. However, this metallic contamination is relatively low and the risks for local population via this edible species were also low. (C) 2018 Academie des sciences. Published by Elsevier Masson SAS. All rights reserved.</t>
  </si>
  <si>
    <t>[Amira, Akila; Merad, Isma] Chadli Benjdid Univ, Dept Biol, Fac Sci, Bp 76, El Tarf 36000, Algeria; [Amira, Akila] Badji Mokhtar Univ, Dept Biol, Lab Appl Anim Biol, Fac Sci, Annaba 23000, Algeria; [Almeida, C. Marisa R.; Guimaraes, Laura; Soltani, Nourredine] Univ Porto, Ctr Interdisciplinar Invest Marinha &amp; Ambiental, Rua Bragas 289, P-4450208 Porto, Portugal; [Almeida, C. Marisa R.; Guimaraes, Laura; Soltani, Nourredine] Novo Edificio Terminal Cruzeiros Porto Leixoes, P-4450208 Porto, Portugal</t>
  </si>
  <si>
    <t>Universite Badji Mokhtar - Annaba; Universidade do Porto</t>
  </si>
  <si>
    <t>Amira, A; Soltani, N (corresponding author), Chadli Benjdid Univ, Dept Biol, Fac Sci, Bp 76, El Tarf 36000, Algeria.</t>
  </si>
  <si>
    <t>amira.k.akila@gmail.com; noureddine.soltani@univ-annaba.org</t>
  </si>
  <si>
    <t>Guimarães, Laura/AGD-8925-2022; SOLTANI, noureddine/AAW-7040-2020; Guimaraes, Laura/A-6759-2011; Almeida, C. Marisa/J-6375-2012</t>
  </si>
  <si>
    <t>AMIRA, Akila/0009-0004-7489-0584; SOLTANI, Noureddine/0000-0002-1563-2049; Guimaraes, Laura/0000-0003-3360-3783; Almeida, C. Marisa/0000-0002-6836-0331</t>
  </si>
  <si>
    <t>Algerian Fund for Scientific Research (Laboratory of Applied Animal Biology); Ministry of High Education and Scientific Research of Algeria (CNEPRU Project); Centro Interdisciplinary de Investigacao Marinha e Ambientol (CIIMAR), Portugal; FCT-Foundation for Science and Technology [UID/Multi/04423/2013]; European Regional Development Fund (ERDF)</t>
  </si>
  <si>
    <t>Algerian Fund for Scientific Research (Laboratory of Applied Animal Biology); Ministry of High Education and Scientific Research of Algeria (CNEPRU Project); Centro Interdisciplinary de Investigacao Marinha e Ambientol (CIIMAR), Portugal; FCT-Foundation for Science and Technology(Fundacao para a Ciencia e a Tecnologia (FCT)); European Regional Development Fund (ERDF)(European Union (EU))</t>
  </si>
  <si>
    <t>This research was supported by the Algerian Fund for Scientific Research (Laboratory of Applied Animal Biology to Prof. N. Soltani), and by the Ministry of High Education and Scientific Research of Algeria (CNEPRU Project to Prof. N. Soltani) and by Centro Interdisciplinary de Investigacao Marinha e Ambientol (CIIMAR), Portugal. Strategic Funding UID/Multi/04423/2013 through national funds provided by FCT-Foundation for Science and Technology and European Regional Development Fund (ERDF), in the framework of the program PT2020.</t>
  </si>
  <si>
    <t>1631-0713</t>
  </si>
  <si>
    <t>1778-7025</t>
  </si>
  <si>
    <t>CR GEOSCI</t>
  </si>
  <si>
    <t>C. R. Geosci.</t>
  </si>
  <si>
    <t>10.1016/j.crte.2018.02.002</t>
  </si>
  <si>
    <t>http://dx.doi.org/10.1016/j.crte.2018.02.002</t>
  </si>
  <si>
    <t>GG1DB</t>
  </si>
  <si>
    <t>WOS:000432418700004</t>
  </si>
  <si>
    <t>El Haj, Y; Bohn, S; Souza, MM</t>
  </si>
  <si>
    <t>El Haj, Yasmin; Bohn, Sofia; Souza, Marta Marques</t>
  </si>
  <si>
    <t>Tolerance of native and invasive bivalves under herbicide and metal contamination: an ex vivo approach</t>
  </si>
  <si>
    <t>Limnoperna fortunei; Anodontites trapesialis; Ex vivo; Cytotoxicity; MXR</t>
  </si>
  <si>
    <t>MULTIXENOBIOTIC RESISTANCE MECHANISM; COMPARATIVE SENSITIVITY; DEGRADATION-PRODUCTS; CORBICULA-FLUMINEA; GILL CELLS; IN-VITRO; CYTOTOXICITY; COPPER; PESTICIDES; TOXICITY</t>
  </si>
  <si>
    <t>The literature indicates that exotic species have a greater tolerance to environmental stressors compared with native species. In recent decades, the introduction of contaminants into the environment has increased as a result of industrialization. The objective of this study was to verify the resistance of bivalve mollusks from freshwater native (Anodontites trapesialis) and exotic (Limnoperna fortunei) species to chemical contamination using an ex vivo/in vitro approach. Gill and muscle tissues were exposed to two different types of environmental stressors, copper (metal), and Roundup Transorb (R) (herbicide). The tissues were submitted to a cytotoxicity test in which the lysosomal integrity was assessed, from the adaptation of a method to isolated cells, and multixenobiotic resistance (MXR) test which evaluated cellular defense. In the exotic species, only copper at 9000 mu g/L and Roundup Transorb (R) at 5000 mu g/L were cytotoxic. In the native species, copper cytotoxicity at 900 and 9000 mu g/L and Roundup Transorb (R) at 50 and 5000 mu g/L were observed. Results were the same in both tissues. The MXR, responsible for the extrusion of contaminants (cell defense), was inhibited in both species when exposed to the contaminants, this cell defense system seems to be more inhibited in the native species, when exposed to both pollutants, indicating greater sensitivity. Therefore, cytotoxicity may be related to the lack of capacity of cellular defense. In relation to lysosomal integrity, the native species was more sensitive to cytotoxic pollutants, where a greater number of experimental conditions of metals and herbicide showed cytotoxicity, as well as more experimental situations inhibited its ability to defend itself.</t>
  </si>
  <si>
    <t>[El Haj, Yasmin; Souza, Marta Marques] Univ Fed Rio Grande FURG, Postgrad Program Biol Continental Aquat Environm, Rio Grande, RS, Brazil; [Bohn, Sofia] Univ Fed Rio Grande FURG, Inst Ciencias Biol, Biol Sci Grad, Rio Grande, RS, Brazil; [Souza, Marta Marques] Univ Fed Rio Grande FURG, Inst Ciencias Biol, Rio Grande, RS, Brazil</t>
  </si>
  <si>
    <t>Universidade Federal do Rio Grande; Universidade Federal do Rio Grande; Universidade Federal do Rio Grande</t>
  </si>
  <si>
    <t>Souza, MM (corresponding author), Univ Fed Rio Grande FURG, Postgrad Program Biol Continental Aquat Environm, Rio Grande, RS, Brazil.;Souza, MM (corresponding author), Univ Fed Rio Grande FURG, Inst Ciencias Biol, Rio Grande, RS, Brazil.</t>
  </si>
  <si>
    <t>Souza, Marta/E-4974-2013</t>
  </si>
  <si>
    <t>Souza, Marta Marques/0000-0001-5996-0055</t>
  </si>
  <si>
    <t>CAPES [001] Funding Source: Medline; CNPq [311806/2017-1] Funding Source: Medline</t>
  </si>
  <si>
    <t>CAPES(Coordenacao de Aperfeicoamento de Pessoal de Nivel Superior (CAPES)); CNPq(Conselho Nacional de Desenvolvimento Cientifico e Tecnologico (CNPQ))</t>
  </si>
  <si>
    <t>10.1007/s11356-019-06256-x</t>
  </si>
  <si>
    <t>http://dx.doi.org/10.1007/s11356-019-06256-x</t>
  </si>
  <si>
    <t>JJ3FW</t>
  </si>
  <si>
    <t>WOS:000494047900056</t>
  </si>
  <si>
    <t>Solaun, O; Rodríguez, JG; Borja, A; González, M; Saiz-Salinas, JI</t>
  </si>
  <si>
    <t>Solaun, O.; Rodriguez, J. G.; Borja, A.; Gonzalez, M.; Saiz-Salinas, J. I.</t>
  </si>
  <si>
    <t>Biomonitoring of metals under the water framework directive: Detecting temporal trends and abrupt changes, in relation to the removal of pollution sources</t>
  </si>
  <si>
    <t>Mussel; Oyster; Trace metals; Statistical analysis; Temporal trends; Water Framework Directive (WFD)</t>
  </si>
  <si>
    <t>MUSSELS MYTILUS-GALLOPROVINCIALIS; BILBAO ESTUARY; HEAVY-METALS; NORTHERN SPAIN; TIME-SERIES; CHEMICAL CONCENTRATIONS; BASQUE COAST; US COAST; QUALITY; RECOVERY</t>
  </si>
  <si>
    <t>Temporal trends in metal concentrations, i.e. Ag, Cd, Cu, Cr, Hg, Ni, Pb and Zn, measured in soft tissues of Mytilus galloprovincialis mussels and Crassostrea gigas oysters collected from estuarine waters within the Basque Country (Bay of Biscay), have been investigated to determine if actions undertaken have improved the environmental quality of rivers and estuaries. Data compiled between 1990 and 2010 have been analysed statistically, applying the Mann-Kendall and the Mann-Whitney-Wilcoxon tests. Moreover, in those cases with significant trends, the Kolmogorov-Zurbenko Adaptive (KZA) filter was applied to detect abrupt changes. Results showed significant decreasing trends for some metals, i.e. Ni, Cu, Pb and Zn, and differences between medians. Trend lines showed abrupt changes occurring between 1998 and 2002. Therefore, observed downward trends were related to increased wastewater treatment and diversions of discharges to ocean, implemented mainly during 2000-2002. (c) 2012 Elsevier Ltd. All rights reserved.</t>
  </si>
  <si>
    <t>[Solaun, O.; Rodriguez, J. G.; Borja, A.; Gonzalez, M.] AZTI Tecnalia Fdn, Div Marine Res, Pasaia 20110, Spain; [Saiz-Salinas, J. I.] Univ Basque Country, Dept Zool &amp; Cellular Biol, Bilbao 48080, Spain</t>
  </si>
  <si>
    <t>AZTI; University of Basque Country</t>
  </si>
  <si>
    <t>Solaun, O (corresponding author), AZTI Tecnalia Fdn, Div Marine Res, Pasaia 20110, Spain.</t>
  </si>
  <si>
    <t>osolaun@azti.es</t>
  </si>
  <si>
    <t>Salinas, Jose/I-5216-2015; Rodriguez, J. German/B-8232-2009; Borja, Angel/I-3665-2018</t>
  </si>
  <si>
    <t>Rodriguez, J. German/0000-0003-1565-4851; Solaun, Oihana/0000-0001-9524-4101; Borja, Angel/0000-0003-1601-2025</t>
  </si>
  <si>
    <t>10.1016/j.marpolbul.2012.12.005</t>
  </si>
  <si>
    <t>http://dx.doi.org/10.1016/j.marpolbul.2012.12.005</t>
  </si>
  <si>
    <t>111MV</t>
  </si>
  <si>
    <t>WOS:000316526300017</t>
  </si>
  <si>
    <t>Kwan, KHM; Chan, HM; de Lafontaine, Y</t>
  </si>
  <si>
    <t>Metal contamination in zebra mussels (Dreissena polymorpha) along the St. Lawrence River</t>
  </si>
  <si>
    <t>bioaccumulation; biomonitoring; St. Lawrence River; trace metals; zebra mussels</t>
  </si>
  <si>
    <t>FRESH-WATER MUSSELS; LOWER GREAT-LAKES; GAMMARUS-FASCIATUS; FILTRATION-RATE; TOTAL CADMIUM; AQUATIC MOSS; HEAVY-METALS; GUT CONTENTS; ACCUMULATION; QUALITY</t>
  </si>
  <si>
    <t>In order to evaluate the use of zebra mussels as biomonitors for metal bioavailability in the St. Lawrence River, we tested the hypothesis that the concentrations of 11 metals in zebra mussels vary significantly between sites along the river and that the season of collection and body size affect metal bioaccumulation. Mussels were collected at 14 sites during June 1996 and at monthly intervals at one site. Specimens were grouped in three size classes and their soft tissue was analyzed for As, Ca, Cd, Cr, Hg, Mn, Ni, Pb, Se, and Zn. Significant size effects were found for Ca, Cd, Cr, Cu, Ni and Zn. Spatial and seasonal variations in bioconcentration were significant for all metals. Spatial patterns in contamination that corresponded to known point sources of pollution or hydrology of the river were identified by principal component analysis. Seasonal variations can be attributed to the reproductive cycle of mussels and hydrological variability of the river. In comparison with values reported for zebra mussels in other contaminated sites in North America and Europe, levels of metal in the St. Lawrence River are low or intermediate. Our results show that when controlled for size and seasonal effects, zebra mussels represent a useful biomonitor for metal availability in the river and may offer an interesting alternative to native mussels and fish for such a role. Local contamination by some toxic metals is still a cause for concern in the St. Lawrence River.</t>
  </si>
  <si>
    <t>Environm Canada, Ctr St Laurent, Montreal, PQ H2Y 2E7, Canada; McGill Univ, Ctr Indigenous Peoples Nutr &amp; Environm, Ste Anne De Bellevue, PQ H9X 3V9, Canada</t>
  </si>
  <si>
    <t>Environment &amp; Climate Change Canada; McGill University</t>
  </si>
  <si>
    <t>de Lafontaine, Y (corresponding author), Environm Canada, Ctr St Laurent, 105 McGill St, Montreal, PQ H2Y 2E7, Canada.</t>
  </si>
  <si>
    <t>yves.delafontaine@ec.gc.ca</t>
  </si>
  <si>
    <t>Chan, Laurie/C-4055-2014</t>
  </si>
  <si>
    <t>Chan, Laurie/0000-0003-4351-7483</t>
  </si>
  <si>
    <t>OCT-NOV</t>
  </si>
  <si>
    <t>10.1023/A:1025517007605</t>
  </si>
  <si>
    <t>http://dx.doi.org/10.1023/A:1025517007605</t>
  </si>
  <si>
    <t>717QL</t>
  </si>
  <si>
    <t>WOS:000185100800009</t>
  </si>
  <si>
    <t>ANDERSON, RS; GIAM, CS; RAY, LE; TRIPP, MR</t>
  </si>
  <si>
    <t>EFFECTS OF ENVIRONMENTAL-POLLUTANTS ON IMMUNOLOGICAL COMPETENCY OF THE CLAM MERCENARIA-MERCENARIA - IMPAIRED BACTERIAL CLEARANCE</t>
  </si>
  <si>
    <t>Subclinical doses of heavy metals and other environmental pollutants are synergistic to infectious agents in mammals. Results suggested that similar phenomena may be elicited in the bivalve mollusk M. mercenaria. Clams were exposed to benzo[a]-pyrene, pentachlorophenol or hexachlorobenzene [fungicide] for up to 18 wk at pollutant levels which produced no increased mortality or moribidity. The majority of the pollutant-exposed clams showed significantly impaired ability to clear a marine Flavobacterium sp. injected to their hemolymph; some animals showed complete failure to clear. Untreated clams routinely cleared &gt; 90% of the bacteria in the same period of time; all controls cleared at least some bacteria. Resistance to bacterial infection in this common marine organism was decreased by exposure to xenobiotics. Intrahemocytic lysozyme was elevated in certain exposed clams. Lysozyme served a protective antimicrobial function in invertebrates; generally, it was more active against gram-positive bacteria than against gram-negative forms like Flavobacterium. Hemocyte lysozyme induction was more pornounced at lower levels of pollutant exposure. The deficiency in bacterial clearance was directly proportional to tissue levels of the test pollutants.</t>
  </si>
  <si>
    <t>SLOAN KETTERING INST CANC RES, DONALD S WALKER LAB, 145 BOSTON POST RD, RYE, NY 10580 USA.</t>
  </si>
  <si>
    <t>MS657</t>
  </si>
  <si>
    <t>WOS:A1981MS65700004</t>
  </si>
  <si>
    <t>El Ghazi, I; Menge, S; Miersch, J; Chafik, A; Benhra, A; Elamrani, MK; Krauss, GJ</t>
  </si>
  <si>
    <t>Quantification of metallothionein-like proteins in the mussel Mytilus galloprovincialis using RP-HPLC fluorescence detection</t>
  </si>
  <si>
    <t>MARINE BAY SOUTH; BINDING PROTEINS; PERNA-PERNA; CADMIUM; METAL; INDUCTION; POLLUTION; BIOMARKER; PURIFICATION; EXPRESSION</t>
  </si>
  <si>
    <t>A HPLC-fluorescence method, using the fluorophore SBD-F (ammonium-7-fluorobenz-2-oxa-1,3-diazole-4-sulfonate), was adapted for the quantification of metallothioneins and their isoforms from the Moroccan mussel Mytilus galloprovincialis. The method was first optimized using a rabbit liver metallothionein. The effects of EDTA, tris(2-carboxyethyl)phosphine, and SBD-F on the labeling efficiency were studied. The optimized method was then applied to evaluate the amount of metallothionein in the mussels either exposed to cadmium in the laboratory or collected from the Casablanca coast, Morocco. The concentrations of metallothioneins measured in the field samples describe the degree of contamination of the sites and are reflected by distinct isoform patterns.</t>
  </si>
  <si>
    <t>Univ Halle Wittenberg, Dept Biochem Biotechnol, Div Ecol &amp; Plant Biochem, D-06120 Halle An Der Saale, Germany; Hassan Univ 2, Fac Sci, Casablanca, Morocco; Inst Natl Rech Halieut, Casablanca, Morocco</t>
  </si>
  <si>
    <t>Martin Luther University Halle Wittenberg; Hassan II University of Casablanca</t>
  </si>
  <si>
    <t>Univ Halle Wittenberg, Dept Biochem Biotechnol, Div Ecol &amp; Plant Biochem, Kurt Mothes Str 3, D-06120 Halle An Der Saale, Germany.</t>
  </si>
  <si>
    <t>krauss@biochemtech.uni-halle.de</t>
  </si>
  <si>
    <t>10.1021/es035093+</t>
  </si>
  <si>
    <t>http://dx.doi.org/10.1021/es035093+</t>
  </si>
  <si>
    <t>753UB</t>
  </si>
  <si>
    <t>WOS:000187248000036</t>
  </si>
  <si>
    <t>Chinnadurai, S; de Campos, CJA; Geethalakshmi, V; Kripa, V; Mohamed, KS</t>
  </si>
  <si>
    <t>Chinnadurai, Shunmugavel; de Campos, Carlos Jose Alexandre; Geethalakshmi, Vaidhyanathan; Kripa, Vasant; Mohamed, Kolliyil Sunil</t>
  </si>
  <si>
    <t>Baseline health risk assessment of trace metals in bivalve shellfish from commercial growing areas in the estuaries of Ashtamudi and Vembanad (Kerala, India)</t>
  </si>
  <si>
    <t>Kerala; Bivalves; Metals; Monitoring; Risk assessment; Target hazard quotient</t>
  </si>
  <si>
    <t>MUSSEL PERNA-VIRIDIS; CYPRINOIDES VAR COCHINENSIS; SUNDERBAN MANGROVE WETLAND; SOUTH-WEST COAST; HEAVY-METALS; VILLORITA-CYPRINOIDES; GREEN MUSSEL; SEASONAL-VARIATION; MARINE BIVALVES; MYTILUS-GALLOPROVINCIALIS</t>
  </si>
  <si>
    <t>Trace metal concentrations were monitored in the yellow clam (Paphia malabarica), green mussel (Perna viridis) and edible oyster (Crassostrea madrasensis) from growing areas in the Ashtamudi and Vembanad estuaries, Kerala. Samples of shellfish (clams n=26, mussels n=18, oysters n=36) and environmental parameters (salinity, temperature, pH and rainfall) were measured in these growing areas from July 2012 to December 2014. Ranges of mean annual concentrations (mg/kg) were Ni (0.46-0.65); Co (2.87-3.49); Fe (80.0-119.4); Mn (3.88-9.38); Zn (40.8-76.2); Pb (1.28-2.00); and Cu (1.59-4.38). In Ashtamudi, clams had higher mean concentrations of Ni, Co, Fe, Mn and Pb than oysters. Mean concentrations of Ni, Pb (in all species), Zn (in clams and mussels) and Cu (in mussels) did not exceed maximum permissible limits mandated by the Food Safety and Standards Authority of India. Mean Mn concentrations exceeded the World Health Organization guideline (1 mg/kg) in the three species while mean Fe concentrations in clams and oysters did not exceed the guideline (100 mg/kg). Target hazard quotients were generally &lt;= 1, except for a few Pb results in clams and mussels. Although results suggest no health risk to consumers for the reference doses, daily intakes and elements considered, regular monitoring of trace metals is recommended to maintain consumer protection given increasing anthropogenic and climatic pressures on the shellfish growing areas.</t>
  </si>
  <si>
    <t>[Chinnadurai, Shunmugavel; Kripa, Vasant; Mohamed, Kolliyil Sunil] ICAR Cent Marine Fisheries Res Inst, Molluscan Fisheries Div, PB 1603, Kochi 682018, Kerala, India; [Chinnadurai, Shunmugavel; Geethalakshmi, Vaidhyanathan] ICAR Cent Inst Fisheries Technol, Fishing Technol Div, Kochi 682029, Kerala, India; [Chinnadurai, Shunmugavel] Mangalore Univ, Dept Biosci, Mangalagangothri, Karnataka, India; [de Campos, Carlos Jose Alexandre] Cawthron Inst, 98 Halifax St East, Nelson 7010, New Zealand</t>
  </si>
  <si>
    <t>Indian Council of Agricultural Research (ICAR); ICAR - Central Marine Fisheries Research Institute; Indian Council of Agricultural Research (ICAR); ICAR - Central Institute of Fisheries Technology; Mangalore University</t>
  </si>
  <si>
    <t>Chinnadurai, S (corresponding author), ICAR Cent Marine Fisheries Res Inst, Molluscan Fisheries Div, PB 1603, Kochi 682018, Kerala, India.;Chinnadurai, S (corresponding author), ICAR Cent Inst Fisheries Technol, Fishing Technol Div, Kochi 682029, Kerala, India.;Chinnadurai, S (corresponding author), Mangalore Univ, Dept Biosci, Mangalagangothri, Karnataka, India.</t>
  </si>
  <si>
    <t>chinnadurai.s@icar.gov.in</t>
  </si>
  <si>
    <t>Campos, Carlos/AAP-6897-2020; Geethalakshmi, V./L-3152-2019; Mohamed, Kolliyil/AAU-5142-2021</t>
  </si>
  <si>
    <t>S, Chinnadurai/0000-0002-5385-7361; Campos, Carlos/0000-0002-2070-8618; Mohamed, Kolliyil/0000-0002-7720-4090</t>
  </si>
  <si>
    <t>ICAR-NAIP (National Agricultural Innovation Project), Ministry of Agriculture and Farmer Welfare, Government of India, New Delhi</t>
  </si>
  <si>
    <t>This work was financially supported by the ICAR-NAIP (National Agricultural Innovation Project), Ministry of Agriculture and Farmer Welfare, Government of India, New Delhi.</t>
  </si>
  <si>
    <t>10.1007/s11356-021-15284-5</t>
  </si>
  <si>
    <t>http://dx.doi.org/10.1007/s11356-021-15284-5</t>
  </si>
  <si>
    <t>WOS:000673205200002</t>
  </si>
  <si>
    <t>Ali, AM; Shoaib, N; Naqvi, GEZ; Siddiqui, PJA</t>
  </si>
  <si>
    <t>Ali, Aisha Majid; Shoaib, Nafisa; Naqvi, Gul-e-Zehra; Siddiqui, Pirzada J. A.</t>
  </si>
  <si>
    <t>Genotoxic effect of pesticides on gill tissues of green-lipped mussel Perna viridis (L.)</t>
  </si>
  <si>
    <t>Buctril; Chlorpyrifos; Cyhalothrin; Cypermethrin; Herbicides; Malathion; Micronucleus; Mussels; Pollution</t>
  </si>
  <si>
    <t>MICRONUCLEUS ASSAY; MYTILUS-EDULIS; DREISSENA-POLYMORPHA; OXIDATIVE STRESS; MARINE POLLUTION; ZEBRA MUSSEL; COMET ASSAY; DNA-DAMAGE; INDUCTION; CELLS</t>
  </si>
  <si>
    <t>The marine ecosystem is constantly threatened by a wide variety of anthropogenic hazardous chemicals, such as, heavy metals, pesticides, oil, petroleum hydrocarbons, etc., from industries, agricultural sources and sewage disposal. Pakistan, being a country with agriculture prominence, uses pesticides widely for crop protection, and thereby suffers from pollution. In the present study, we assessed a few biomarkers as indicators of the genotoxic chemicals, pesticides and herbicides. We inducted micronucleus (MN) in the gill tissues of green mussel Perna viridis (L.) exposed to different concentrations of organo-phosphate pesticides (chlorpyrifos, malathion) and synthetic pyrethroid pesticides (cypermethrin, lambda-cyhalothrin) and a herbicide (buctril). The MN frequencies of the pesticides treated mussels were observed to increase significantly (P &lt; 0.05) in a dose-dependent manner at all exposure periods. The highest MN frequencies were recorded in gill tissues of cypermethrin treated mussels on the 12th day (10, 11.5 and 13.5 parts per thousand at 0.5, 1 and 1.5 ppm, respectively). The genotoxic effect of pesticides on Perna viridis (gill tissue) was in the following order cypermethrin &gt; chlorpyrifos &gt; malathion &gt; lambda-cyhalothrin &gt; buctril.</t>
  </si>
  <si>
    <t>[Ali, Aisha Majid; Shoaib, Nafisa; Naqvi, Gul-e-Zehra; Siddiqui, Pirzada J. A.] Univ Karachi, Ctr Excellence Marine Biol, Karachi 75270, Pakistan</t>
  </si>
  <si>
    <t>University of Karachi</t>
  </si>
  <si>
    <t>Shoaib, N (corresponding author), Univ Karachi, Ctr Excellence Marine Biol, Karachi 75270, Pakistan.</t>
  </si>
  <si>
    <t>nafisashoaib@yahoo.com</t>
  </si>
  <si>
    <t>GQ1EB</t>
  </si>
  <si>
    <t>WOS:000441368200010</t>
  </si>
  <si>
    <t>Puccinelli, E; Porri, F; Altieri, K; Flynn, R; Little, H; Louw, T; Pattrick, P; Sparks, C; Tsanwani, M; de Waardt, S; Walker, D; Fawcett, S</t>
  </si>
  <si>
    <t>Puccinelli, Eleonora; Porri, Francesca; Altieri, Katye; Flynn, Raquel; Little, Hazel; Louw, Tayla; Pattrick, Paula; Sparks, Conrad; Tsanwani, Mutshutshu; de Waardt, Sonya; Walker, David; Fawcett, Sarah</t>
  </si>
  <si>
    <t>Coastal ecosystem services in South Africa?s largest natural bay: The role of marine benthic filter feeders in mitigating pollution</t>
  </si>
  <si>
    <t>Water quality; Filter feeders; Coastal circulation; Nutrient loading; Atmospheric deposition; Metal contamination</t>
  </si>
  <si>
    <t>NITROGEN ISOTOPE FRACTIONATION; HARMFUL ALGAL BLOOMS; MYTILUS-GALLOPROVINCIALIS; HEAVY-METALS; CLIMATE-CHANGE; PERNA-PERNA; WEST-COAST; FALSE BAY; OCEAN ACIDIFICATION; ORGANIC-MATTER</t>
  </si>
  <si>
    <t>Nearshore water quality can be highly impacted by anthropogenic activities ongoing along the coast, the effects of which on natural environments can be permanent and irreversible, with consequences for ecosystem biodiversity and functioning, as well as for associated services. Benthic filter feeders (e.g., mussels) provide several services for coastal regions, including improving water quality by reducing eutrophication, being a major source of food for humans, and as a habitat-forming species. Here, we seek to understand the role of benthic filter feeders in enhancing water quality in an urban coastal system in order to assess their role as ecosystem service providers and how they should be included in ecosystem-based evaluations. Using as a model False Bay, South Africa's largest natural bay and a socio-economic hotspot, this multidisciplinary study was designed to identify possible pollution sources to a highly-urbanised coastal region, assess their effects on several biological and biogeochemical parameters, and evaluate the role of mussels in mitigating these anthropogenic inputs. We consider several sources of pollution, including nutrient loading from wastewater and river outflows, heavy metals, and aerosol deposition. We find that pollutant inputs are largely attenuated by the circulation of the bay and by the presence of filter feeders that bioaccumulate contaminants, thereby removing them from coastal waters. Our work thus emphasizes the potential for mussels and natural abiotic processes to ameliorate anthropogenic impacts, although these mitigation strategies are not without environmental risk. We recommend that such information should be included in national assessments used to develop appropriate strategies and policies for coastal environmental management and conservation.</t>
  </si>
  <si>
    <t>[Puccinelli, Eleonora; Altieri, Katye; Flynn, Raquel; Little, Hazel; Louw, Tayla; Tsanwani, Mutshutshu; Fawcett, Sarah] Univ Cape Town, Dept Oceanog, ZA-7701 Cape Town, South Africa; [Puccinelli, Eleonora] Univ Brest, CNRS, UBO, Ifremer,LEMAR,IUEM,UMR 6539, Rue Dumont Urville, F-29280 Plouzane, France; [Porri, Francesca] South African Inst Aquat Biodivers SAIAB, Somerset St, ZA-6139 Makhanda, South Africa; [Porri, Francesca] Rhodes Univ, Ichthyol &amp; Fisheries Sci Dept, ZA-6139 Makhanda, South Africa; [Pattrick, Paula] South African Environm Observat Network SAEON, ZA-6001 Gqeberha, South Africa; [Pattrick, Paula] ABALOBI, NPO, 1 Westlake Dr, ZA-7945 Cape Town, South Africa; [Sparks, Conrad; de Waardt, Sonya; Walker, David] Cape Peninsula Univ Technol, Dept Conservat &amp; Marine Sci, ZA-8000 Cape Town, South Africa; [Tsanwani, Mutshutshu] Oceans &amp; Coasts Res, Dept Environm Forestry &amp; Fisheries, ZA-8001 Cape Town, South Africa; [Fawcett, Sarah] Univ Cape Town, MARIS, ZA-7701 Cape Town, South Africa</t>
  </si>
  <si>
    <t>University of Cape Town; Universite de Bretagne Occidentale; Institut Universitaire Europeen de la Mer (IUEM); Centre National de la Recherche Scientifique (CNRS); Ifremer; Institut de Recherche pour le Developpement (IRD); CNRS - Institute of Ecology &amp; Environment (INEE); National Research Foundation - South Africa; South African Institute for Aquatic Biodiversity; Rhodes University; Cape Peninsula University of Technology; University of Cape Town</t>
  </si>
  <si>
    <t>Puccinelli, E (corresponding author), Univ Cape Town, Dept Oceanog, ZA-7701 Cape Town, South Africa.</t>
  </si>
  <si>
    <t>eleonorapuccinelli@gmail.com</t>
  </si>
  <si>
    <t>Altieri, Katye/GWV-4512-2022; Altieri, Katye/M-5231-2014; Porri, Francesca/M-4258-2017; Sparks, Conrad/E-2768-2018; Puccinelli, Eleonora/M-3562-2018</t>
  </si>
  <si>
    <t>Walker, David/0000-0002-4235-1699; Altieri, Katye/0000-0002-6778-4079; Porri, Francesca/0000-0001-8247-4506; Fawcett, Sarah/0000-0002-0878-6496; Tsanwani, Mutshutshu/0000-0002-7599-0200; Sparks, Conrad/0000-0001-9721-3544; Puccinelli, Eleonora/0000-0002-6144-6650</t>
  </si>
  <si>
    <t>South African National Research Foundation [105895, 115335, 116142, 129320]; Claude Leon Foundation; Swiss Polar Institute through the Antarctic Circumnavigation Expedition (ACE); University of Cape Town (UCT) Research Committee; Royal Society/African Acad-emy of Sciences Future Leaders Africa Independent Researcher (FLAIR) fellowship; ISblue project; Interdisciplinary graduate school for the blue planet [ANR-17-EURE-0015]; French government under the program Investissements dAvenir; SAD programme fellowship; Academy of Finland (AKA) [116142] Funding Source: Academy of Finland (AKA)</t>
  </si>
  <si>
    <t>South African National Research Foundation(National Research Foundation - South Africa); Claude Leon Foundation; Swiss Polar Institute through the Antarctic Circumnavigation Expedition (ACE); University of Cape Town (UCT) Research Committee; Royal Society/African Acad-emy of Sciences Future Leaders Africa Independent Researcher (FLAIR) fellowship; ISblue project; Interdisciplinary graduate school for the blue planet; French government under the program Investissements dAvenir(Agence Nationale de la Recherche (ANR)); SAD programme fellowship; Academy of Finland (AKA)(Research Council of Finland)</t>
  </si>
  <si>
    <t>This work was supported by funding from the South African National Research Foundation (105895, 115335, 116142, 129320), the Claude Leon Foundation, the Swiss Polar Institute through the Antarctic Circumnavigation Expedition (ACE) Project 12, the University of Cape Town (UCT) Research Committee, and a Royal Society/African Acad-emy of Sciences Future Leaders Africa Independent Researcher (FLAIR) fellowship to SF and the ISblue project, Interdisciplinary graduate school for the blue planet (ANR-17-EURE-0015), co-funded by the French government under the program Investissements d'Avenir and SAD programme fellowship to EP</t>
  </si>
  <si>
    <t>10.1016/j.ecolind.2022.108899</t>
  </si>
  <si>
    <t>http://dx.doi.org/10.1016/j.ecolind.2022.108899</t>
  </si>
  <si>
    <t>1K7OZ</t>
  </si>
  <si>
    <t>WOS:000798788000006</t>
  </si>
  <si>
    <t>Rattikansukha, C; Millward, GE; Langston, WJ</t>
  </si>
  <si>
    <t>Rattikansukha, C.; Millward, G. E.; Langston, W. J.</t>
  </si>
  <si>
    <t>Partitioning of Cd, Zn and Fe in the Tissues and Cytosols of Blood Cockles (Anadara granosa) from the Gulf of Thailand</t>
  </si>
  <si>
    <t>Bioaccumulation; Blood cockles; Gulf of Thailand; Metals; Sediments; Cytosols; Metallothionein-like-proteins</t>
  </si>
  <si>
    <t>POLYCYCLIC AROMATIC-HYDROCARBONS; MAE-KLONG-ESTUARY; CHAO-PHRAYA RIVER; HEAVY-METALS; TRACE-METALS; BINDING SITE; SEDIMENTS; WATER; ZINC; METALLOTHIONEIN</t>
  </si>
  <si>
    <t>Anadara granosa is a bivalve blood cockle occurring abundantly in tropical estuarine intertidal sediments. The accumulation of Cd, Zn and Fe and their partitioning at the sub-cellular level in the cytosol has been investigated in the gills, digestive gland, body and foot of A. granosa from seven estuaries in the Gulf of Thailand. Cadmium and Zn were bioaccumulated predominantly in the gills with smaller concentrations distributed equally throughout the other tissues. Iron was present at relatively low concentrations in gills but was higher, and more evenly distributed, in the digestive gland, body and foot. The concentrations of metallothionein-like protein (MTLP) were found to be in the range 1-11mgg(-1) (dry weight) with the highest values being in the digestive gland at all sites. Partitioning of the metals in the cytosols between low molecular weight (LMW) compounds, MTLP and high molecular weight compounds (HMW) indicated that 16-39% of total Cd, 6.5-15% of total Fe and &lt;6% of total Zn were bound with MTLP. However, 23-27% of total Zn was bound with the HMW fraction, ascribed potentially to its association with the blood pigment haemoglobin (Hb). The metal-handling strategy, involving Zn, is likely important to blood cockles in supporting their uptake of dissolved oxygen in under-saturated tropical waters.</t>
  </si>
  <si>
    <t>[Rattikansukha, C.] Walailak Univ, Sch Engn &amp; Resources, Tha Sala 80161, Thailand; [Millward, G. E.] Plymouth Univ, Inst Marine, Plymouth PL4 8AA, Devon, England; [Langston, W. J.] Marine Biol Assoc UK, Citadel Hill, Plymouth PL1 2PB, Devon, England</t>
  </si>
  <si>
    <t>Walailak University; University of Plymouth; Marine Biological Association United Kingdom</t>
  </si>
  <si>
    <t>Millward, GE (corresponding author), Plymouth Univ, Inst Marine, Plymouth PL4 8AA, Devon, England.</t>
  </si>
  <si>
    <t>gmillward@plymouth.ac.uk</t>
  </si>
  <si>
    <t>Rattikansukah, Chuthamat/0000-0003-0624-8835; Millward, Geoffrey/0000-0001-5051-3574</t>
  </si>
  <si>
    <t>Ministry of Resources and Environment, Bangkok, Thailand; Scientific Committee on Oceanic Research (SCOR); Marine Biological Association</t>
  </si>
  <si>
    <t>Ministry of Resources and Environment, Bangkok, Thailand; Scientific Committee on Oceanic Research (SCOR); Marine Biological Association(UK Research &amp; Innovation (UKRI)Biotechnology and Biological Sciences Research Council (BBSRC))</t>
  </si>
  <si>
    <t>Dr. C. Rattikunsukha thanks the Ministry of Resources and Environment, Bangkok, Thailand for funds to carry out this research and to colleagues at the Pollution Control Department for field and laboratory support. Professor G.E. Millward thanks the Scientific Committee on Oceanic Research (SCOR) for a Visiting Scholarship toWalailak University, Thailand. Dr. W. Langston is grateful to the Marine Biological Association for an Associate Fellowship and the facilities to carry out this work.</t>
  </si>
  <si>
    <t>10.1007/s12237-018-0452-1</t>
  </si>
  <si>
    <t>http://dx.doi.org/10.1007/s12237-018-0452-1</t>
  </si>
  <si>
    <t>HG5OK</t>
  </si>
  <si>
    <t>WOS:000455026800017</t>
  </si>
  <si>
    <t>Carson, HS; López-Duarte, PC; Cook, GS; Fodrie, FJ; Becker, BJ; DiBacco, C; Levin, LA</t>
  </si>
  <si>
    <t>Carson, Henry S.; Lopez-Duarte, Paola C.; Cook, Geoffrey S.; Fodrie, F. Joel; Becker, Bonnie J.; DiBacco, Claudio; Levin, Lisa A.</t>
  </si>
  <si>
    <t>Temporal, spatial, and interspecific variation in geochemical signatures within fish otoliths, bivalve larval shells, and crustacean larvae</t>
  </si>
  <si>
    <t>Geochemical signatures; Trace-elemental fingerprinting; Connectivity; Dispersal; Mytilus californianus; Mytilus galloprovincialis; Musculista senhousia; Ostrea lurida; Paralichthys californicus; Hypsypops rubicundus; Pachygrapsus crassipes</t>
  </si>
  <si>
    <t>TRACE-ELEMENTAL FINGERPRINTS; SAN-DIEGO BAY; POPULATION CONNECTIVITY; ENVIRONMENTAL HISTORIES; OLYMPIA OYSTER; MYTILUS-EDULIS; NATURAL TAGS; TEMPERATURE; SALINITY; CALIFORNIA</t>
  </si>
  <si>
    <t>Geochemical signatures of early life stages are increasingly used to study population connectivity. This approach utilizes spatial variability in chemical signatures to predict natal or nursery origins of post-dispersal individuals by comparison with a chemical reference atlas created from individuals of known origin. To examine the relative importance of spatial, temporal, and species variation in elemental signatures, we synthesized the chemical information of otoliths, larval shells, and whole larvae from studies that employed natural geochemical signatures in San Diego County, USA between 1997 and 2009. We compared 8 elements analyzed from 4 bivalve species, 2 larval or juvenile fishes, and Stage 1 crab zoeae. Across all species, different sets of elements best discriminated among open-coast sites or within or among bays and lagoons. In mytilid mussels, which had the most complete record, all 8 elements were more variable over time than space at the site level, highlighting the need to resample the reference atlas during each study. More coarsely, however, bay and lagoon taxa maintained distinct chemical signatures both from each other and from those on the open coast, despite interannual variability. Spatially identifiable signatures for all species were likely imparted by a combination of pollution in bays and export to adjacent coastlines (copper, lead), a heterogeneous distribution of land-sourced elements (manganese, cobalt, uranium), and incorporation that may vary in response to temperature (barium, manganese, strontium) and salinity (7 elements). These results identify important elements for larval tracking of additional species depending on habitat and life history; however, source population signatures appear species-specific.</t>
  </si>
  <si>
    <t>[Carson, Henry S.] Univ Hawaii, Marine Sci Dept, Hilo, HI 96720 USA; [Lopez-Duarte, Paola C.] Rutgers State Univ, Inst Marine &amp; Coastal Sci, Marine Field Stn, Tuckerton, NJ 08087 USA; [Cook, Geoffrey S.] Univ Miami, Rosenstiel Sch Marine &amp; Atmospher Sci, Cooperat Inst Marine &amp; Atmospher Studies, Miami, FL 33149 USA; [Cook, Geoffrey S.] NOAA, Atlantic Oceanog &amp; Meteorol Lab, Miami, FL 33149 USA; [Fodrie, F. Joel] Univ N Carolina Chapel Hill, Inst Marine Sci, Morehead City, NC 28557 USA; [Becker, Bonnie J.] Univ Washington, Interdisciplinary Arts &amp; Sci, Tacoma, WA 98402 USA; [DiBacco, Claudio] Fisheries &amp; Oceans Canada, Bedford Inst Oceanog, Dartmouth, NS B2Y 4A2, Canada; [Levin, Lisa A.] Univ Calif San Diego, Scripps Inst Oceanog, Ctr Marine Biodivers &amp; Conservat, La Jolla, CA 92093 USA; [Levin, Lisa A.] Univ Calif San Diego, Scripps Inst Oceanog, Integrat Oceanog Div, La Jolla, CA 92093 USA</t>
  </si>
  <si>
    <t>University of Hawaii System; University Hawaii Hilo; Rutgers University System; Rutgers University New Brunswick; University of Miami; National Oceanic Atmospheric Admin (NOAA) - USA; Atlantic Oceanographic &amp; Meteorological Laboratory (AOML); University of North Carolina; University of North Carolina Chapel Hill; University of Washington; University of Washington Tacoma; Bedford Institute of Oceanography; Fisheries &amp; Oceans Canada; University of California System; University of California San Diego; Scripps Institution of Oceanography; University of California System; University of California San Diego; Scripps Institution of Oceanography</t>
  </si>
  <si>
    <t>Carson, HS (corresponding author), Univ Hawaii, Marine Sci Dept, Hilo, HI 96720 USA.</t>
  </si>
  <si>
    <t>hcarson@hawaii.edu</t>
  </si>
  <si>
    <t>Cook, Geoffrey/A-7469-2014</t>
  </si>
  <si>
    <t>Lopez-Duarte, Paola/0000-0003-1332-4859; Levin, Lisa/0000-0002-2858-8622; Becker, Bonnie/0009-0000-6118-9466</t>
  </si>
  <si>
    <t>National Science Foundation [OCE 0327209, OCE 0648656, OCE-1041062, OCE-0548190, OCE-0326110]; California Sea Grant [OCA6A479, NA080AR417066, NA080AR4170669]; Office of Naval Research [N00014-96-1-0025, N00014-97-1-0344, N00014-00-1-0174, N00014-01-1-0473]; UC Marine Science Council; Will J. Reid Foundation; Directorate For Geosciences; Division Of Ocean Sciences [1041062] Funding Source: National Science Foundation</t>
  </si>
  <si>
    <t>National Science Foundation(National Science Foundation (NSF)); California Sea Grant; Office of Naval Research(United States Department of DefenseUnited States NavyOffice of Naval Research); UC Marine Science Council; Will J. Reid Foundation; Directorate For Geosciences; Division Of Ocean Sciences(National Science Foundation (NSF)NSF - Directorate for Geosciences (GEO))</t>
  </si>
  <si>
    <t>We thank the many collaborators and volunteers in the original studies on which this synthesis was based. Funding for these studies was provided by the National Science Foundation Grants (OCE 0327209, OCE 0648656, OCE-1041062, OCE-0548190, and OCE-0326110), California Sea Grant (OCA6A479, NA080AR417066, and NA080AR4170669), Office of Naval Research (N00014-96-1-0025, N00014-97-1-0344, N00014-00-1-0174, and N00014-01-1-0473), and UC Marine Science Council. Funding for H.S.C.'s time during the preparation of the manuscript was generously provided by the Will J. Reid Foundation.</t>
  </si>
  <si>
    <t>10.3354/meps10078</t>
  </si>
  <si>
    <t>http://dx.doi.org/10.3354/meps10078</t>
  </si>
  <si>
    <t>073YZ</t>
  </si>
  <si>
    <t>WOS:000313780300010</t>
  </si>
  <si>
    <t>Popova, O; Blaha, L</t>
  </si>
  <si>
    <t>Popova, Olga; Blaha, Ludek</t>
  </si>
  <si>
    <t>Toxic effects of metals on two euryhaline ciliate species adapted to variable salinities</t>
  </si>
  <si>
    <t>BIOLOGIA</t>
  </si>
  <si>
    <t>brackish waters; intermediate salinity; ciliate; toxicity assay; metals</t>
  </si>
  <si>
    <t>HEAVY-METALS; SEDIMENT CONTAMINATION; NEREIS-DIVERSICOLOR; MARINE; COPPER; ESTUARINE; BIOASSAYS; CLAM; ACCUMULATION; TEMPERATURE</t>
  </si>
  <si>
    <t>Brackish waters having salinity lower than seawater but higher than fresh water are of high importance for mankind. They serve as waterways, sources of sea food, sand or gravel, and play role in number of biogeochemical cycles including nutrients. However, human activities lead to serious pollution in these ecosystems affecting aquatic biota, migrating birds and others. The available aquatic ecotoxicity assays use either organisms from freshwaters or species from marine waters. Tools to assess the toxic effects of chemicals under the intermediate salinities are thus limited. The present study developed a 72-h growth inhibition assay in 48-well microplates using two euryhaline ciliates Paramecium dubosqui and Paramecium nephridiatum, each adapted to two different salinities: 0.5% and 5%. The toxicities of metals under variable salinity conditions differed ( HgCl2 &gt; CuCl2 &gt; K2Cr2O7), though only minor differences between species or salinities were observed. Although we were not able to confirm pronounced differences, the developed assay is one of a few suitable tools for toxicity testing under brackish conditions. The use of two species provides additional information on interspecies variability with respect to sensitivity to toxicants.</t>
  </si>
  <si>
    <t>[Popova, Olga; Blaha, Ludek] Masaryk Univ, Fac Sci, RECETOX, CZ-62500 Brno, Czech Republic</t>
  </si>
  <si>
    <t>Masaryk University Brno</t>
  </si>
  <si>
    <t>Blaha, L (corresponding author), Masaryk Univ, Fac Sci, RECETOX, Kamenice 5 Bldg A29, CZ-62500 Brno, Czech Republic.</t>
  </si>
  <si>
    <t>blaha@recetox.muni.cz</t>
  </si>
  <si>
    <t>Popova, Olha/F-9858-2018; Blaha, Ludek/N-6343-2013</t>
  </si>
  <si>
    <t>Blaha, Ludek/0000-0002-7314-7455</t>
  </si>
  <si>
    <t>Ministry of Education of the Czech Republic [LO1214]</t>
  </si>
  <si>
    <t>Ministry of Education of the Czech Republic(Ministry of Education, Youth &amp; Sports - Czech Republic)</t>
  </si>
  <si>
    <t>The authors would like to acknowledge Mr. Matthew Nicholls for English proof reading. Research was supported by the Ministry of Education of the Czech Republic (LO1214).</t>
  </si>
  <si>
    <t>0006-3088</t>
  </si>
  <si>
    <t>1336-9563</t>
  </si>
  <si>
    <t>Biologia</t>
  </si>
  <si>
    <t>10.1515/biolog-2015-0065</t>
  </si>
  <si>
    <t>http://dx.doi.org/10.1515/biolog-2015-0065</t>
  </si>
  <si>
    <t>CH3TL</t>
  </si>
  <si>
    <t>WOS:000353953100009</t>
  </si>
  <si>
    <t>Soto, M; Ireland, MP; Marigomez, I</t>
  </si>
  <si>
    <t>The contribution of metal/shell-weight index in target-tissues to metal body burden in sentinel marine molluscs .1. Littorina littorea</t>
  </si>
  <si>
    <t>metals; accumulation; tissue distribution; AAS; mobilisation; excretion</t>
  </si>
  <si>
    <t>MUSSEL MYTILUS-EDULIS; HEAVY-METALS; SUBLETHAL CONCENTRATIONS; CRASSOSTREA-VIRGINICA; DIGESTIVE GLAND; CANCER-PAGURUS; POLLUTED SITES; SHELL-WEIGHT; FOOD-CHAIN; CADMIUM</t>
  </si>
  <si>
    <t>Accumulation and tissue distribution of Cu and Zn in target organs of Littorina littorea have been investigated. Weight changes in particular organs were associated with either Cu or Zn exposures and therefore, metal/shell-weight indices were used instead of metal concentrations to investigate metal accumulation and mobilisation. A regulatory mechanism was observed on exposure to low levels of Cu, but regulation did not occur between 8 and 80 mu g Cu/l seawater. Conversely, Zn was well-regulated up to a concentration of 80 mu g Zn/l seawater. Zn/Cu index increased linearly at increasing Zn exposure levels and decreased linearly at increasing Cu exposure levels. The gills are not target tissues reflecting environmental levels of either Cu or Zn, however, copper levels were elevated in gills after exposure to 80 mu g Cu/l seawater for 29 and 41 days. On the other hand, the highest concentration of Cu in the kidney was found after exposure to 8 mu g Cu/l seawater for 41 days. Higher exposures resulted in lower Cu concentrations. According to metal/shell-weight indices, Cu and Zn were not significantly accumulated in the digestive gland/gonad complex (DGGC) until a certain threshold value was reached (exposure level &gt;400 mu g . day/1). On the other hand, DGGC weight was significantly reduced and, concomitantly, Zn and Cu concentrations raised. However, the metal concentration values increased beyond those resulting simply from a weight reduction. In conclusion, dissimilar mechanisms performed by different cell types in the different organs, together with metal-induced weight changes, would account for the existence of different patterns of metal accumulation and tissue distribution. It is therefore suggested that the suitability of winkles as indicators of Cu and Zn pollution should be reconsidered on the basis of measurements of metal burdens at tissue and cell levels. (C) 1997 Elsevier Science B.V.</t>
  </si>
  <si>
    <t>UNIV WALES, INST BIOL SCI, ABERYSTWYTH SY23 3DA, DYFED, WALES</t>
  </si>
  <si>
    <t>Soto, M (corresponding author), EUSKAL HERRIKO UNIBERTSITATEA, ZELULEN DINAMIKA SAILA, BIOL ZELULARRA ATALA, ZITOL &amp; HISTOL LAB, E-48080 BILBAO, BASQUE COUNTRY, SPAIN.</t>
  </si>
  <si>
    <t>MAY 30</t>
  </si>
  <si>
    <t>10.1016/S0048-9697(97)05452-1</t>
  </si>
  <si>
    <t>http://dx.doi.org/10.1016/S0048-9697(97)05452-1</t>
  </si>
  <si>
    <t>WY412</t>
  </si>
  <si>
    <t>WOS:A1997WY41200003</t>
  </si>
  <si>
    <t>Schintu, M; Durante, L; Maccioni, A; Meloni, P; Degetto, S; Contu, A</t>
  </si>
  <si>
    <t>Schintu, M.; Durante, L.; Maccioni, A.; Meloni, P.; Degetto, S.; Contu, A.</t>
  </si>
  <si>
    <t>Measurement of environmental trace-metal levels in Mediterranean coastal areas with transplanted mussels and DGT techniques</t>
  </si>
  <si>
    <t>5th International Conference on Marine Pollution and Ecotoxicology</t>
  </si>
  <si>
    <t>JUN 03-06, 2007</t>
  </si>
  <si>
    <t>biomonitoring; transplanted mussels; trace metals; DGT; Sardinia; Mediterranean sea</t>
  </si>
  <si>
    <t>MYTILUS-EDULIS; CONDITION INDEX; HEAVY-METALS; THIN-FILMS; MARINE; ACCUMULATION; CADMIUM; GALLOPROVINCIALIS; BIOACCUMULATION; CONTAMINATION</t>
  </si>
  <si>
    <t>Mussels (Mytilus galloprovincialis) and diffusive gradients in thin films (DGT) devices were deployed together for three one-month periods in coastal waters of Sardinia (Italy), in order to assess the levels of Cd, Cu, Ni, and Pb in areas differently affected by anthropogenic activities. DGT devices were more sensitive than mussels in detecting differences in metal concentrations between sites, while interpretation of the biomonitoring data revealed difficulties related to the biotic and abiotic factors that can influence the measurements. Regression analysis showed a significant correlation between Cd and Pb concentrations measured in the mussel tissues and bioavailable metal levels in seawater. Moreover transplanted mussels did not accumulate Cu and Ni following pre-exposure, although DGT showed significant concentrations of bioavailable forms of these metals in seawater. The results provided an estimate of the water quality with respect to dissolved metals and pointed out the usefulness of a combination of biomonitoring and DGT techniques for a better understanding of trace metal availability in coastal waters. (C) 2008 Elsevier Ltd. All rights reserved.</t>
  </si>
  <si>
    <t>[Schintu, M.; Durante, L.; Maccioni, A.; Meloni, P.; Contu, A.] Univ Cagliari, Dipartimento Sanita Pubbl, I-09124 Cagliari, Italy; [Degetto, S.] CNR ICIS Corso Stati Uniti, I-35127 Padua, Italy</t>
  </si>
  <si>
    <t>University of Cagliari; Consiglio Nazionale delle Ricerche (CNR); Istituto di Chimica Inorganica e Delle Superfici (ICIS-CNR)</t>
  </si>
  <si>
    <t>Schintu, M (corresponding author), Univ Cagliari, Dipartimento Sanita Pubbl, Via GT Porcell 4, I-09124 Cagliari, Italy.</t>
  </si>
  <si>
    <t>schintu@unica.it</t>
  </si>
  <si>
    <t>Schintu, Marco/AAM-4430-2021</t>
  </si>
  <si>
    <t>Schintu, Marco/0000-0003-0535-3190</t>
  </si>
  <si>
    <t>6-12</t>
  </si>
  <si>
    <t>10.1016/j.marpolbul.2008.02.038</t>
  </si>
  <si>
    <t>http://dx.doi.org/10.1016/j.marpolbul.2008.02.038</t>
  </si>
  <si>
    <t>328RU</t>
  </si>
  <si>
    <t>WOS:000257816300075</t>
  </si>
  <si>
    <t>Leitao, A; Al-Shaikh, I; Hassan, H; Ben Hamadou, R; Bach, S</t>
  </si>
  <si>
    <t>Leitao, Alexandra; Al-Shaikh, Ismail; Hassan, Hassan; Ben Hamadou, Radhouan; Bach, Steffen</t>
  </si>
  <si>
    <t>First genotoxicity assessment of marine environment in Qatar using the local Pearl oyster Pinctada radiata</t>
  </si>
  <si>
    <t>Genotoxicity; Aneuploidy; Metal pollution; Organic pollution; Arabian Gulf; Pinctada radiata</t>
  </si>
  <si>
    <t>POLYCYCLIC AROMATIC-HYDROCARBONS; CRASSOSTREA-GIGAS; PACIFIC OYSTER; GILL CELLS; METAL POLLUTION; HEMOCYTE PARAMETERS; COASTAL SEDIMENTS; PERNA-VIRIDIS; HEAVY-METALS; ARABIAN GULF</t>
  </si>
  <si>
    <t>The Arabian Gulf countries' marine environment has been subjected to increasing industrial development and anthropogenic pressure, leading to the growing introduction of contaminants into the marine environment, with a large percentage of those consisting of potentially genotoxic substances. In this study, we performed the first integrated assessment of some of the genotoxic contaminants present in the Qatari marine environment and their biological effect, by the evaluation of the aneuploidy levels on the native pearl oyster Pinctada radiata. The aneuploidy levels varied significantly between sampling sites but not between sampling seasons. However, an important spatial and temporal variability of the bioaccumulated contaminants in the P. radiata tissues was observed, leading us to suggest that the high levels of aneuploidy found in the two harbor sampling sites could be a consequence of a local chronical contamination and not a direct response to the temporal fluctuations of the bioavailable contaminants to P. radiata. (C) 2017 Elsevier B.V. All rights reserved.</t>
  </si>
  <si>
    <t>[Leitao, Alexandra; Al-Shaikh, Ismail; Hassan, Hassan] Qatar Univ, ESC, Doha, Qatar; [Ben Hamadou, Radhouan] Qatar Univ, Dept Biol &amp; Environm Sci, Coll Arts &amp; Sci, POB 2713, Doha, Qatar; [Bach, Steffen] Maersk Oil Res &amp; Technol Ctr, Doha, Qatar</t>
  </si>
  <si>
    <t>Qatar University; Qatar University</t>
  </si>
  <si>
    <t>Leitao, A (corresponding author), Qatar Univ, ESC, Doha, Qatar.</t>
  </si>
  <si>
    <t>alexandrabessaleitao@gmail.com</t>
  </si>
  <si>
    <t>Leitao, Alexandra/F-8147-2011; Ben-Hamadou, Radhouan/F-8192-2011</t>
  </si>
  <si>
    <t>Hassan, Hassan/0000-0002-7986-2070; Al-Shaikh, Ismail/0009-0008-1028-7785; Leitao-BenHamadou, Alexandra/0000-0001-8903-3797; Ben-Hamadou, Radhouan/0000-0003-2686-5822</t>
  </si>
  <si>
    <t>Maersk Oil Qatar [3500082687]</t>
  </si>
  <si>
    <t>Maersk Oil Qatar</t>
  </si>
  <si>
    <t>The authors are grateful to Ms. Noora Al Shamary, Mrs. Marwa Al-Azhari, Mr. Ahmed Helmi, Mr. Hamood Al Saadi and Mr. Mazen Assali for the excellent technical assistance on the chemical analysis, Ms. Julie Camy for Fig. 1 and Mr. Faisal Al-Quaiti, Mr. Ghulam Osman and Mr. Reyniel Gasang for the assistance in the two sampling campaigns. This work was financially supported by Maersk Oil Qatar-3500082687. The authors are also grateful to Dr. P. Pereira for constructive comments and A. Good for revising the English.</t>
  </si>
  <si>
    <t>10.1016/j.rsma.2017.02.001</t>
  </si>
  <si>
    <t>http://dx.doi.org/10.1016/j.rsma.2017.02.001</t>
  </si>
  <si>
    <t>FP6UG</t>
  </si>
  <si>
    <t>WOS:000417761400004</t>
  </si>
  <si>
    <t>Vidal, ML; Bassères, A; Narbonne, JF</t>
  </si>
  <si>
    <t>Interest of a multibiomarker approach in the assessment of freshwater ecosystem quality:: laboratory and field studies</t>
  </si>
  <si>
    <t>1st World Water Congress of the International-Water-Association (IWA)</t>
  </si>
  <si>
    <t>JUL 03-07, 2000</t>
  </si>
  <si>
    <t>PARIS, FRANCE</t>
  </si>
  <si>
    <t>biomarkers; biomonitoring; caging; Corbicula fluminea; freshwater ecosystems; pollutants</t>
  </si>
  <si>
    <t>CORBICULA-FLUMINEA; CADMIUM EXPOSURE; CYTOCHROME-P450; HYDROCARBONS; INDUCTION</t>
  </si>
  <si>
    <t>The aims of this study were to validate several biochemical parameters as biomarkers of pollution in the freshwater bivalve Corbicula fluminea and to underline the interest of a multibiomarker approach in environmental biomonitoring. The study was divided into a laboratory exposure to 4 doses of trichloroethylene, toluene, cadmium chloride or a coal tar fraction for 5 days and a field exposure for one week in 5 sites surrounding an industrial effluent outlet. Whatever the product was, parameters that exhibited significant responses were mainly parameters related to oxidative stress and components of phase I metabolism. As a result of discriminant analysis, doses were clearly discriminated from the control and from each other. Likewise, products were discriminated from each other, based on results of the whole parameter responses obtained for the first dose. Concerning the field experiment, all biochemical parameters assayed exhibited significant responses for sites located downstream of the effluent outlet, compared to the upstream reference site. Through a discriminant analysis, sites could be distinguished from each other in terms of pollution intensity. In order to characterise pollution at a qualitative level, further laboratory and field studies are needed to obtain typical profiles for the main pollutants present in freshwater ecosystems.</t>
  </si>
  <si>
    <t>Univ Bordeaux 1, Dept Biochem Toxicol, Environm &amp; Toxicol Chem Lab, UPRES A 5472 CNRS, F-33405 Talence, France; ELF, Grp Res Lacq, Dept Environm, F-64170 Artix, France</t>
  </si>
  <si>
    <t>Vidal, ML (corresponding author), Univ Bordeaux 1, Dept Biochem Toxicol, Environm &amp; Toxicol Chem Lab, UPRES A 5472 CNRS, Ave Fac, F-33405 Talence, France.</t>
  </si>
  <si>
    <t>BASSERES, Anne/AAZ-5532-2021</t>
  </si>
  <si>
    <t>I W A PUBLISHING</t>
  </si>
  <si>
    <t>10.2166/wst.2001.0783</t>
  </si>
  <si>
    <t>http://dx.doi.org/10.2166/wst.2001.0783</t>
  </si>
  <si>
    <t>477KE</t>
  </si>
  <si>
    <t>WOS:000171282100039</t>
  </si>
  <si>
    <t>Kholodkevich, SV; Sharov, AN; Chuiko, GM; Kuznetsova, TV; Gapeeva, MV; Lozhkina, RA</t>
  </si>
  <si>
    <t>Kholodkevich, S. V.; Sharov, A. N.; Chuiko, G. M.; Kuznetsova, T. V.; Gapeeva, M. V.; Lozhkina, R. A.</t>
  </si>
  <si>
    <t>Quality Assessment of Freshwater Ecosystems by the Functional State of Bivalved Mollusks</t>
  </si>
  <si>
    <t>WATER RESOURCES</t>
  </si>
  <si>
    <t>assessment of the state of aquatic ecosystems; heavy metals; biomarkers; cardioactivity; bivalve mollusks</t>
  </si>
  <si>
    <t>BREAM ABRAMIS-BRAMA; BOTTOM SEDIMENTS; CARDIAC ACTIVITY; VALVE MOVEMENT; TOXICITY; POLLUTION; SYSTEM; RESPONSES; GULF</t>
  </si>
  <si>
    <t>The characteristics of cardioactivity and the accumulation of metals in the tissues of bivalve mollusks from different water areas of the eastern Gulf of Finland and Rybinsk Reservoirs have been considered. The functional state of the mollusks has been analyzed with the use of original hyperosmotic test impact. An approach is proposed to ranking the quality of freshwater ecosystems by the state of bivalve mollusks dwelling in them.</t>
  </si>
  <si>
    <t>[Kholodkevich, S. V.; Sharov, A. N.] St Petersburg State Univ, St Petersburg 199034, Russia; [Kholodkevich, S. V.; Sharov, A. N.; Kuznetsova, T. V.] Russian Acad Sci, St Petersburg Res Ctr Environm Safety, St Petersburg 197110, Russia; [Chuiko, G. M.; Gapeeva, M. V.; Lozhkina, R. A.] Russian Acad Sci, Papanin Inst Biol Inland Waters, Borok Settl 152742, Yaroslavl Oblas, Russia</t>
  </si>
  <si>
    <t>Saint Petersburg State University; Russian Academy of Sciences; Russian Academy of Sciences; Papanin Institute for Biology of Inland Waters</t>
  </si>
  <si>
    <t>Sharov, AN (corresponding author), St Petersburg State Univ, St Petersburg 199034, Russia.;Sharov, AN (corresponding author), Russian Acad Sci, St Petersburg Res Ctr Environm Safety, St Petersburg 197110, Russia.</t>
  </si>
  <si>
    <t>Gapeeva, Maria/Q-7317-2016; Kholodkevich, Sergey/N-6380-2013; Kuznetsova, Tatiana/ABD-1741-2020; Lozhkina, Roza/R-2797-2016; Chuiko, Grigorii/P-8305-2015; Sharov, Andrey/K-4222-2013</t>
  </si>
  <si>
    <t>Lozhkina, Roza/0000-0003-3087-0691; Chuiko, Grigorii/0000-0002-3334-7073; Sharov, Andrey/0000-0001-7581-2538</t>
  </si>
  <si>
    <t>0097-8078</t>
  </si>
  <si>
    <t>1608-344X</t>
  </si>
  <si>
    <t>WATER RESOUR+</t>
  </si>
  <si>
    <t>Water Resour.</t>
  </si>
  <si>
    <t>10.1134/S0097807819020064</t>
  </si>
  <si>
    <t>http://dx.doi.org/10.1134/S0097807819020064</t>
  </si>
  <si>
    <t>HZ1RJ</t>
  </si>
  <si>
    <t>WOS:000468625300012</t>
  </si>
  <si>
    <t>Claassens, L; Dahms, S; van Vuren, JHJ; Greenfield, R</t>
  </si>
  <si>
    <t>Claassens, L.; Dahms, S.; van Vuren, J. H. J.; Greenfield, R.</t>
  </si>
  <si>
    <t>Artificial mussels as indicators of metal pollution in freshwater systems: A field evaluation in the Koekemoer Spruit, South Africa</t>
  </si>
  <si>
    <t>Artificial mussels; Melanoides tuberculata; Metal accumulation; Water quality; Passive sampling devices</t>
  </si>
  <si>
    <t>MARINE ENVIRONMENTS; HEAVY-METALS; ACCUMULATION; MOLLUSKS; VALIDATION; RIVER</t>
  </si>
  <si>
    <t>There has been a recent increase in water quality problems in South Africa. The monitoring of water resources is important for the continued management of water resources. The use of artificial mussels (AMs) as passive sampling devices in the monitoring of metals within a freshwater system was evaluated in a recent field study. Correlation testing was conducted between the AMs and Melanoides tuberculate for As, Cd, Cr, Co, Cu, Pb, Mn, Ni, U, V and Zn. It was found that a positive significant correlation exists between AMs and M. tuberculate with regards to As, U, and Co accumulations. The trend of metal accumulation between AMs and M. tuberculate were found to be similar for all of the metals tested. Site 2 which is located close to a gold mine, was found to have the highest metal concentrations in this study. This study confirms the hypothesis that AMs can be used as a useful tool for monitoring metals in freshwater. (C) 2015 Elsevier Ltd. All rights reserved.</t>
  </si>
  <si>
    <t>[Claassens, L.; Dahms, S.; van Vuren, J. H. J.; Greenfield, R.] Univ Johannesburg, Dept Zool, POB 524, ZA-2006 Auckland Pk, South Africa</t>
  </si>
  <si>
    <t>Dahms-Verster, Simone/0000-0001-5488-6263; Janse van Vuren, Johannes Hendrik/0000-0003-1482-9074; Greenfield, Richard/0000-0002-4329-3566</t>
  </si>
  <si>
    <t>University of Johannesburg Research Committee</t>
  </si>
  <si>
    <t>The authors would like to express their appreciation to Mrs. E. Kroukamp and the University of Johannesburg's analytical facility (SPECTRUM) for assistance with ICP analysis. The project was funded by the University of Johannesburg Research Committee.</t>
  </si>
  <si>
    <t>10.1016/j.ecolind.2015.08.047</t>
  </si>
  <si>
    <t>http://dx.doi.org/10.1016/j.ecolind.2015.08.047</t>
  </si>
  <si>
    <t>CZ9GW</t>
  </si>
  <si>
    <t>WOS:000367407000095</t>
  </si>
  <si>
    <t>Moncaleano-Niño, AM; Gómez-Cubillos, MC; Luna-Acosta, A; Villamil, L; Casseres-Ruiz, S; Ahrens, MJ</t>
  </si>
  <si>
    <t>Moncaleano-Nino, Angela M.; Camila Gomez-Cubillos, Maria; Luna-Acosta, Andrea; Villamil, Luisa; Casseres-Ruiz, Samuel; Ahrens, Michael J.</t>
  </si>
  <si>
    <t>Monitoring metallothionein-like protein concentrations and cholinesterase activity in tropical cup oysters as biomarkers of exposure to metals and pesticides in the southern Caribbean, Colombia</t>
  </si>
  <si>
    <t>Caribbean; Biomarker; Cup oysters; Metals; Pesticides; Cholinesterase; Metallothionein</t>
  </si>
  <si>
    <t>MUSSELS MYTILUS-GALLOPROVINCIALIS; CLAM CORBICULA-FLUMINEA; CRASSOSTREA-GIGAS; TRACE-METALS; HEAVY-METALS; DIGESTIVE GLAND; SPATIAL-DISTRIBUTION; CADMIUM EXPOSURE; BIVALVE MOLLUSK; ACUTE TOXICITY</t>
  </si>
  <si>
    <t>Metallothionein-like protein concentrations (MT) and three functionally defined fractions of cholinesterase activity (ChE) were quantified in gill and digestive gland homogenates of tropical cup oysters from 5 nearshore locations in the Colombian Caribbean and correlated with sediment and tissue metal (9 metals) and pesticide (22 organophosphates, OPs, and 20 organochlorines-OCPs), as well as water physical-chemical parameters (salinity, pH, temperature, and dissolved oxygen). Tissue and sediment pesticide concentrations were below detection limits in all samples, whereas sediment and tissue metal concentrations exceeded environmental thresholds at several locations. Tissue MT and ChE biomarkers varied by a factor of 5-6 between locations. Inhibition of cholinesterase activity was negligible for all 5 sites, despite spatial-temporal variation in ChE activity, consistent with below-detection OP concentrations. Tissue MT and ChE biomarkers correlated with tissue and metal sediment concentrations, yet, statistically significant covariance between biomarkers and water chemistry parameters was also observed, indicating that both, metal concentrations and physical-chemical variables, are likely to be responsible for generating the observed spatial-temporal variations in biomarker patterns.</t>
  </si>
  <si>
    <t>[Moncaleano-Nino, Angela M.; Camila Gomez-Cubillos, Maria; Luna-Acosta, Andrea; Villamil, Luisa; Casseres-Ruiz, Samuel; Ahrens, Michael J.] Univ Bogota Jorge Tadeo Lozano, Dept Biol Sci, Carrera 4 22-61, Bogota, Colombia; [Camila Gomez-Cubillos, Maria] Pontifical Javeriana Univ, Dept Biol, Ecol &amp; Systemat Unit UNESIS, Ichthyol Lab, Transversal 4 42-00, Bogota, Colombia; [Luna-Acosta, Andrea] Pontifical Javeriana Univ, Fac Environm &amp; Rural Studies, Dept Ecol &amp; Terr, Transversal 4 42-00, Bogota, Colombia; [Villamil, Luisa] La Sabana Univ, Fac Engn, PhD Biosci, Campus Puente Comun,Km 7, Autopista Norte De Bogot, Chia, Colombia</t>
  </si>
  <si>
    <t>Universidad de Bogota Jorge Tadeo Lozano; Universidad de La Sabana</t>
  </si>
  <si>
    <t>Ahrens, MJ (corresponding author), Univ Bogota Jorge Tadeo Lozano, Dept Biol Sci, Carrera 4 22-61, Bogota, Colombia.</t>
  </si>
  <si>
    <t>michael.ahrens@utadeo.edu.co</t>
  </si>
  <si>
    <t>Villamil, Luisa/JCD-8051-2023; Ahrens, Michael/F-2315-2013</t>
  </si>
  <si>
    <t>Ahrens, Michael J./0000-0003-3556-006X</t>
  </si>
  <si>
    <t>Spanish Agency for International Development Cooperation [CARIBIOPOL-AECID 11-CAP2-1595]; Jorge Tadeo Lozano University [560-10-13]; COLCIENCIAS [528]</t>
  </si>
  <si>
    <t>Spanish Agency for International Development Cooperation(Spanish Government); Jorge Tadeo Lozano University; COLCIENCIAS(Departamento Administrativo de Ciencia, Tecnologia e Innovacion Colciencias)</t>
  </si>
  <si>
    <t>Financial support for this study came in part from a research grant from the Spanish Agency for International Development Cooperation (CARIBIOPOL-AECID 11-CAP2-1595), as well as from a research grant from Jorge Tadeo Lozano University (research grant 560-10-13, project MOSAICO-I) and from a scholarship to A.M. from COLCIENCIAS (Announcement No. 528).</t>
  </si>
  <si>
    <t>10.1007/s11356-021-17644-7</t>
  </si>
  <si>
    <t>http://dx.doi.org/10.1007/s11356-021-17644-7</t>
  </si>
  <si>
    <t>0I5OX</t>
  </si>
  <si>
    <t>WOS:000722980000009</t>
  </si>
  <si>
    <t>Nasser, B; Moustaid, K; Moukha, S; Mobio, TA; Essamadi, A; Creppy, EE</t>
  </si>
  <si>
    <t>Nasser, Boublker; Moustaid, Khadija; Moukha, Serge; Mobio, Theophile A.; Essamadi, Abdelkhalid; Creppy, Edmond E.</t>
  </si>
  <si>
    <t>Evaluation of the cytotoxicity and genotoxicity of extracts of mussels originating from Moroccan Atlantic coast, in human colonic epithelial cells Caco-2</t>
  </si>
  <si>
    <t>DNA fragmentation; macromolecules synthesis; mussels extracts; Caco-2 cells; toxins; toxic metal ions</t>
  </si>
  <si>
    <t>PARALYTIC SHELLFISH TOXINS; PROTEIN-SYNTHESIS; MYTILUS-EDULIS; OKADAIC ACID; METALLOTHIONEIN RESPONSE; DREISSENA-POLYMORPHA; HEAVY-METALS; CADMIUM; ACCUMULATION; INHIBITION</t>
  </si>
  <si>
    <t>processing of phosphates generates chemical wastes which are, without any treatment, discharged directly into the Atlantic Ocean at Jorf Lasfar (JL), located 120 km south of Casablanca (Morocco) were shellfish are also collected by people without any control. Marine bivalves concentrate these pollutants by filtration and serve as vectors in human's exposure. The objective of this study was to test and compare in vitro on human intestinal cells (Caco-2) the cytotoxicity and genotoxicity of mussels (Mytilus galloprovincialis) extracts (either hydrophilic or lipophilic) collected at two coastal sites; JL (neighboring a phosphate processing plat-form) and Oualidia (OL) (a vegetable growing area) located 160 km south of Casablanca (i.e. 40 km south of JL). Using Caco-2 cells, the following end-points have been evaluated, cytotoxicity as measured by MTS test, inhibition of cellular macromolecules syntheses (DNA and protein) and genotoxicity evaluated by DNA fragmentation in agarose gel electrophoresis. The results indicated, that hydrophilic and lipophilic OL mussels extracts are cytotoxic and inhibit cellular macromolecules syntheses. Moreover these extracts damage the DNA in Caco-2 cells. The lipophilic JL mussels extract is cytotoxic, inhibits cellular macromolecules syntheses, and damages the DNA in Caco-2 cells whereas the hydrophilic extract of JL mussels fails to inhibit protein synthesis and does not damage the DNA. This extract rather enhances protein synthesis, suggesting possible metallothioneins induction by metal ions. Altogether these in vitro data indicate that mussels collected from OL could be more harmful than those from JL even though the later is closer to the pollution site than OL. Nevertheless consumption of mussels from all these areas may present a risk for humans. Epidemiological studies will be needed for global risk assessment in humans living in these areas especially those consuming see food regularly. (C) 2008 Wiley Periodicals, Inc.</t>
  </si>
  <si>
    <t>[Nasser, Boublker; Mobio, Theophile A.; Creppy, Edmond E.] Univ Bordeaux 2, Dept Toxicol, F-33076 Bordeaux, France; [Nasser, Boublker; Moustaid, Khadija; Essamadi, Abdelkhalid] Univ Hassan, Fac Sci &amp; Tech, Lab Biochem &amp; Neurosci, Settat, Morocco; [Moukha, Serge] UPR 1264 MycSA, Ctr Rech Bordeaux Aquitaine, INRA, F-33883 Villenave Dornon, France</t>
  </si>
  <si>
    <t>Universite de Bordeaux; Hassan First University of Settat; Hassan II University of Casablanca; INRAE</t>
  </si>
  <si>
    <t>Nasser, B (corresponding author), Univ Bordeaux 2, Dept Toxicol, 146 Rue Leo Saignat, F-33076 Bordeaux, France.</t>
  </si>
  <si>
    <t>boubker_nasser@hotmail.com</t>
  </si>
  <si>
    <t>ABDELKHALID, ESSAMADI/0000-0003-4537-1684</t>
  </si>
  <si>
    <t>10.1002/tox.20364</t>
  </si>
  <si>
    <t>http://dx.doi.org/10.1002/tox.20364</t>
  </si>
  <si>
    <t>327JS</t>
  </si>
  <si>
    <t>WOS:000257726000015</t>
  </si>
  <si>
    <t>Jang, S; Park, K; Song, S; Lee, H; Park, S; Youn, B; Park, K</t>
  </si>
  <si>
    <t>Jang, Sanha; Park, Kyeongmun; Song, Sehwan; Lee, Haksoo; Park, Sungkyun; Youn, Buhyun; Park, Kanghyun</t>
  </si>
  <si>
    <t>Removal of Various Hazardous Materials Using a Multifunctional Biomass-Derived Hydroxyapatite (HAP) Catalyst and Its Antibacterial Effects</t>
  </si>
  <si>
    <t>biomass-derived material; nanomaterial; environmental chemistry; multifunctional catalyst; antibacterial; metal ion adsorption; phosphate ion adsorption</t>
  </si>
  <si>
    <t>WASTE OYSTER SHELLS; AQUEOUS-SOLUTIONS; CABIN AIR; LEAD; ION; PB; ADSORPTION; IMMOBILIZATION; FABRICATION; NANOFIBERS</t>
  </si>
  <si>
    <t>In the present study, oyster shells, a cause of environmental pollution, were employed effectively to synthesize hydroxyapatite (HAP) by facile oxidation and phosphorylation. The ability of HAP to adsorb various metal cations and inhibit bacterial growth was validated. The biomass-derived HAP catalyst exhibited high metal cation adsorption in water at room temperature and under various acidic conditions (M = Cr, Mn, Ni, Cu, Cd, Ba, and Pb). HAP was demonstrated to have a maximum removal efficiency of 92.8% for the heavy metal Pb. Even under different pH conditions, HAP was demonstrated to be effective for the removal of three harmful heavy metals, Cr, Cd, and Pb, with a particularly high removal efficiency demonstrated for Pb under all conditions (average removal efficiency of Cr: 63.0%, Cd: 59.9%, and Pb: 91.6%). In addition, HAP had a significant influence on phosphate ion adsorption in aqueous solution, eliminating 98.1% after 3 min. Furthermore, biomass-derived HAP was demonstrated to have significant antibacterial activity against E. coli and S. aureus (5 mM: 74% and 78.1%, 10 mM: 89.6% and 96.0%, respectively).</t>
  </si>
  <si>
    <t>[Jang, Sanha; Park, Kyeongmun; Park, Kanghyun] Pusan Natl Univ, Dept Chem, Busandaehak Ro 63beon Gil, Busan 46241, South Korea; [Song, Sehwan; Park, Sungkyun] Pusan Natl Univ, Dept Phys, Busandaehak Ro 63beon Gil, Busan 46241, South Korea; [Lee, Haksoo; Youn, Buhyun] Pusan Natl Univ, Dept Biol Sci, Busandaehak Ro 63beon Gil, Busan 46241, South Korea; [Park, Kanghyun] Pusan Natl Univ, SoulDot Co Ltd, Busandaehak Ro 63beon Gil, Busan 46241, South Korea</t>
  </si>
  <si>
    <t>Pusan National University; Pusan National University; Pusan National University; Pusan National University</t>
  </si>
  <si>
    <t>Park, K (corresponding author), Pusan Natl Univ, Dept Chem, Busandaehak Ro 63beon Gil, Busan 46241, South Korea.;Youn, B (corresponding author), Pusan Natl Univ, Dept Biol Sci, Busandaehak Ro 63beon Gil, Busan 46241, South Korea.;Park, K (corresponding author), Pusan Natl Univ, SoulDot Co Ltd, Busandaehak Ro 63beon Gil, Busan 46241, South Korea.</t>
  </si>
  <si>
    <t>jangs0522@naver.com; pkmkm951@naver.com; sehwansong465@gmail.com; hs950303@gmail.com; pak@pusan.ac.kr; bhyoun72@pusan.ac.kr; chemistry@pusan.ac.kr</t>
  </si>
  <si>
    <t>Song, Sehwan/GZK-2081-2022; Park, Kang/C-3209-2012</t>
  </si>
  <si>
    <t>Youn, BuHyun/0000-0002-8010-519X; Park, Kang Hyun/0000-0001-9946-0522</t>
  </si>
  <si>
    <t>Basic Science Research Program through a National Research Foundation of Korea (NRF) - Korean Government (MSIP) [NRF-2020R1I1A3067208]; Korea Basic Science Institute (National research Facilities and Equipment Center) - Ministry of Education [2021R1A6C101A429]</t>
  </si>
  <si>
    <t>Basic Science Research Program through a National Research Foundation of Korea (NRF) - Korean Government (MSIP)(National Research Foundation of Korea); Korea Basic Science Institute (National research Facilities and Equipment Center) - Ministry of Education(Ministry of Education (MOE), Republic of Korea)</t>
  </si>
  <si>
    <t>This research was supported by the Basic Science Research Program through a National Research Foundation of Korea (NRF) grant funded by the Korean Government (MSIP) (NRF-2020R1I1A3067208) and Korea Basic Science Institute (National research Facilities and Equipment Center) grant funded by the Ministry of Education (2021R1A6C101A429).</t>
  </si>
  <si>
    <t>10.3390/w13223302</t>
  </si>
  <si>
    <t>http://dx.doi.org/10.3390/w13223302</t>
  </si>
  <si>
    <t>XH3LF</t>
  </si>
  <si>
    <t>WOS:000725339400001</t>
  </si>
  <si>
    <t>Immel, F; Broussard, C; Catherinet, B; Plasseraud, L; Alcaraz, G; Bundeleva, I; Marin, F</t>
  </si>
  <si>
    <t>Immel, Francoise; Broussard, Cedric; Catherinet, Bastien; Plasseraud, Laurent; Alcaraz, GRard; Bundeleva, Irina; Marin, Frederic</t>
  </si>
  <si>
    <t>The Shell of the Invasive Bivalve Species Dreissena polymorpha: Biochemical, Elemental and Textural Investigations</t>
  </si>
  <si>
    <t>HEAVY-METAL POLLUTION; ORGANIC MATRIX; ZEBRA MUSSEL; INFRARED-SPECTROSCOPY; MANTLE TRANSCRIPTOME; POLYACRYLAMIDE-GELS; BIOACCUMULATION; PROTEINS; NACRE; MARGARITIFERA</t>
  </si>
  <si>
    <t>The zebra mussel Dreissena polymorpha is a well-established invasive model organism. Although extensively used in environmental sciences, virtually nothing is known of the molecular process of its shell calcification. By describing the microstructure, geochemistry and biochemistry/proteomics of the shell, the present study aims at promoting this species as a model organism in biomineralization studies, in order to establish a bridge with ecotoxicology, while sketching evolutionary conclusions. The shell of D. polymorpha exhibits the classical crossed-lamellar/complex crossed lamellar combination found in several heterodont bivalves, in addition to an external thin layer, the characteristics of which differ from what was described in earlier publication. We show that the shell selectively concentrates some heavy metals, in particular uranium, which predisposes D. polymorpha to local bioremediation of this pollutant. We establish the biochemical signature of the shell matrix, demonstrating that it interacts with the in vitro precipitation of calcium carbonate and inhibits calcium carbonate crystal formation, but these two properties are not strongly expressed. This matrix, although overall weakly glycosylated, contains a set of putatively calcium-binding proteins and a set of acidic sulphated proteins. 2D-gels reveal more than fifty proteins, twenty of which we identify by MS-MS analysis. We tentatively link the shell protein profile of D. polymorpha and the peculiar recent evolution of this invasive species of Ponto-Caspian origin, which has spread all across Europe in the last three centuries.</t>
  </si>
  <si>
    <t>[Immel, Francoise] Univ Bordeaux, CNRS, Lab Biogenese Membranaire, UMR5200, Villenave Dornon, France; [Immel, Francoise; Catherinet, Bastien; Bundeleva, Irina; Marin, Frederic] Univ Bourgogne Franche Comte, CNRS, Biogeosci UMR6282, Dijon, France; [Broussard, Cedric] Univ Paris 05, Inst Cochin, INSERM U1016, CNRS UMR8104, Paris, France; [Broussard, Cedric] Univ Paris 05, Sorbonne Paris Cite, Plateforme Prote 3P5, Paris, France; [Plasseraud, Laurent] Univ Bourgogne Franche Comte, CNRS, ICMUB UMR6302, Dijon, France; [Alcaraz, GRard] AgroSupDijon, Dept Agron Environm, UPSP PROXISS, Dijon, France</t>
  </si>
  <si>
    <t>Centre National de la Recherche Scientifique (CNRS); CNRS - National Institute for Biology (INSB); Universite de Bordeaux; Centre National de la Recherche Scientifique (CNRS); CNRS - Institute of Ecology &amp; Environment (INEE); Universite de Bourgogne; Centre National de la Recherche Scientifique (CNRS); CNRS - National Institute for Biology (INSB); Universite Paris Cite; Institut National de la Sante et de la Recherche Medicale (Inserm); Universite Paris Cite; Centre National de la Recherche Scientifique (CNRS); CNRS - Institute of Chemistry (INC); Universite de Bourgogne; Institut Agro; AgroSup Dijon</t>
  </si>
  <si>
    <t>Immel, F (corresponding author), Univ Bordeaux, CNRS, Lab Biogenese Membranaire, UMR5200, Villenave Dornon, France.;Immel, F; Marin, F (corresponding author), Univ Bourgogne Franche Comte, CNRS, Biogeosci UMR6282, Dijon, France.</t>
  </si>
  <si>
    <t>francoise.immel@u-bordeaux.fr; frederic.marin@u-bourgogne.fr</t>
  </si>
  <si>
    <t>Plasseraud, Laurent/ABD-5845-2020; Marín, Francisco/AFM-6681-2022; Immel, Françoise/N-7079-2019; Immel, Francoise/A-3168-2012</t>
  </si>
  <si>
    <t>Marin, Francisco/0000-0001-7246-7708; PLASSERAUD, Laurent/0000-0002-7870-1881; Immel, Francoise/0000-0002-2028-902X; Broussard, Cedric/0000-0001-9508-2341</t>
  </si>
  <si>
    <t>CNRS' FM</t>
  </si>
  <si>
    <t>'INSU 2013-InterrVie program (Comite Thematique 4) grant from CNRS' FM. '2013-2014 recurrent yearly CNRS/uB budget' FI, FM. The funders had no role in study design, data collection and analysis, decision to publish, or preparation of the manuscript.</t>
  </si>
  <si>
    <t>e0154264</t>
  </si>
  <si>
    <t>10.1371/journal.pone.0154264</t>
  </si>
  <si>
    <t>http://dx.doi.org/10.1371/journal.pone.0154264</t>
  </si>
  <si>
    <t>DN2FT</t>
  </si>
  <si>
    <t>WOS:000376880200004</t>
  </si>
  <si>
    <t>Mancini, G; Cappello, S; De Marco, G; Cappello, T; Maisano, M; Gornati, R; Scalici, M; Luciano, A; Viotti, P; Fino, D</t>
  </si>
  <si>
    <t>Mancini, Giuseppe; Cappello, Simone; De Marco, Giuseppe; Cappello, Tiziana; Maisano, Maria; Gornati, Rosalba; Scalici, Massimiliano; Luciano, Antonella; Viotti, Paolo; Fino, Debora</t>
  </si>
  <si>
    <t>Assessing the Impact of Hg-Contaminated Sediments Washing through Sentinel Species: A Mesocosm Approach</t>
  </si>
  <si>
    <t>sediments; mercury (Hg); soil washing; system biology; Mytilus galloprovincialis</t>
  </si>
  <si>
    <t>BF-MBR SYSTEM; MYTILUS-GALLOPROVINCIALIS; MERCURY SPECIATION; OIL; SOIL; REMEDIATION; ENVIRONMENT; RECOVERY; ACETYLCHOLINESTERASE; BIOREMEDIATION</t>
  </si>
  <si>
    <t>This study combines a traditional chemical characterization with a simultaneous biological evaluation through histological, immunohistochemical, and enzymatic observations to assess the efficiency and sustainability of soil washing on Hg-contaminated sediment in terms of the bioavailability of the contaminant before and after the treatment, as well as the potential drawbacks of the treatment that are not revealed by a simple chemical characterization of treated sediments on its own. Different extracting agents, that is, ethylenedinitrilotetraacetic acid (EDTA), ethylenediaminedisuccinic acid (EDDS), sodium thiosulfate, potassium iodide (KI), and iodine (I2), have been compared in this work to evaluate their efficiency in the removal of Hg from contaminated sediments. Speciation analysis was applied to assess the mobility of Hg from different fractions of aged sediments. Biological evaluation was carried out through the use of large mesocosms and Mytilus galloprovincialis as biological sentinels. Results from bench scale tests have shown Hg removal of up to 93% by means of the multi-step KI/I2 washing process of the sediment. Results from histological, immunohistochemical, and enzymatic analysis have shown significant differences in the degree of alteration of biological tissues and their functional integrity between organisms in contact with contaminated and restored sediments. The reduction in 5-HT3R immunopositivity in the mesocosm with treated sediments suggests a tendency for mussels to recover a healthy condition. This result was also confirmed by the measurement of the enzymatic activity of AChE in mussel gills, which was significantly reduced in organisms from the mesocosm with polluted sediments compared with those from the one with restored sediments. The proposed approach could help stakeholders all over the world select, at an early stage, the most efficient cleaning action from a more holistic perspective, including not only pollutant concentration and economic reduction but also a direct assessment of the ultimate impact of the selected process on the biological system.</t>
  </si>
  <si>
    <t>[Mancini, Giuseppe] Univ Catania, Elect Elect &amp; Comp Engn Dept, 5 Viale Andrea Doria 6, I-95125 Catania, Italy; [Cappello, Simone] Inst Biol Resources &amp; Marine Biotechnol IRBIM Natl, Via S Ranieri 86, I-98122 Messina, Italy; [De Marco, Giuseppe; Cappello, Tiziana; Maisano, Maria] Univ Messina, Dept Chem Biol Pharmaceut &amp; Environm Sci, Viale F Stagno dAlcontres 31, I-98166 Messina, Italy; [Gornati, Rosalba] Univ Insubria, Dept Biotechnol &amp; Life Sci, Via Dunant 3, I-21100 Varese, Italy; [Scalici, Massimiliano] Univ Roma Tre, Dept Sci, Viale G Marconi 446, I-00146 Rome, Italy; [Luciano, Antonella] ENEA Italian Natl Agcy New Technol Energy &amp; Sustai, RC Casaccia, I-00123 Rome, Italy; [Viotti, Paolo] Sapienza Univ Rome, Dept Civil Bldg &amp; Environm Engn, Via Eudossiana 18, I-00184 Rome, Italy; [Fino, Debora] Politecn Torino, Dept Appl Sci &amp; Technol DISAT, Cso Duca Abruzzi 24, I-10129 Turin, Italy</t>
  </si>
  <si>
    <t>University of Catania; University of Messina; University of Insubria; Italfarmaco; Roma Tre University; Sapienza University Rome; Polytechnic University of Turin</t>
  </si>
  <si>
    <t>De Marco, G (corresponding author), Univ Messina, Dept Chem Biol Pharmaceut &amp; Environm Sci, Viale F Stagno dAlcontres 31, I-98166 Messina, Italy.;Luciano, A (corresponding author), ENEA Italian Natl Agcy New Technol Energy &amp; Sustai, RC Casaccia, I-00123 Rome, Italy.</t>
  </si>
  <si>
    <t>giuseppe.mancini@unict.it; simone.cappello@cnr.it; gdemarco@unime.it; tcappello@unime.it; mmaisano@unime.it; rosalba.gornati@uninsubria.it; massimiliano.scalici@uniroma3.it; antonella.luciano@enea.it; paolo.viotti@uniroma1.it; debora.fino@polito.it</t>
  </si>
  <si>
    <t>De Marco, Giuseppe/AAR-4765-2021; Luciano, Antonella/C-4466-2015; Viotti, Paolo/J-7852-2013; CAPPELLO, TIZIANA/J-6902-2016; Mancini, Giuseppe/C-4544-2015</t>
  </si>
  <si>
    <t>DE MARCO, GIUSEPPE/0000-0003-1381-8146; Luciano, Antonella/0000-0002-1450-8425; Viotti, Paolo/0000-0001-6879-6197; CAPPELLO, TIZIANA/0000-0002-7790-6324; Cappello, Simone/0000-0002-5593-6004; Mancini, Giuseppe/0000-0002-0953-7934; Gornati, Rosalba/0000-0002-1544-2122</t>
  </si>
  <si>
    <t>Italian National Interest Research Project (PRIN 2010-2011) [2010ARBLT7_001/008]</t>
  </si>
  <si>
    <t>Italian National Interest Research Project (PRIN 2010-2011)</t>
  </si>
  <si>
    <t>This work was supported by the Italian National Interest Research Project (PRIN 2010-2011,prot. 2010ARBLT7_001/008).</t>
  </si>
  <si>
    <t>10.3390/w15183258</t>
  </si>
  <si>
    <t>http://dx.doi.org/10.3390/w15183258</t>
  </si>
  <si>
    <t>U3NU6</t>
  </si>
  <si>
    <t>WOS:001083906900001</t>
  </si>
  <si>
    <t>Hünicken, LA; Abrameto, M; Bonel, N</t>
  </si>
  <si>
    <t>Huenicken, Leandro A.; Abrameto, Mariza; Bonel, Nicolas</t>
  </si>
  <si>
    <t>Corbicula at its southernmost invasion front in Patagonia: unusual low density and asymmetric trait responses to varying environmental conditions</t>
  </si>
  <si>
    <t>JOURNAL OF MOLLUSCAN STUDIES</t>
  </si>
  <si>
    <t>DE-LA-PLATA; NEGRO RIVER-BASIN; POPULATION-DYNAMICS; FLUMINEA BIVALVIA; LIMNOPERNA-FORTUNEI; RESOURCE-ALLOCATION; NATURAL-POPULATION; LIFE-HISTORIES; ASIATIC CLAM; R-SELECTION</t>
  </si>
  <si>
    <t>Freshwater clams of the genus Corbicula are successful global invaders, but the processes that determine their geographic range limits remain poorly understood. Here we explored how this invasive clam responds to varying environmental pressures at the southernmost invasion front of its global distribution. We assessed population density, heavy metal content, body weight and shell growth of individuals collected from areas subjected to different farm drainage and runoff conditions in the Rio Negro estuary, Patagonia, Argentina. We found that clams from a habitat directly exposed to this source of pollution exhibited higher accumulation of copper, lower body weight, but higher individual growth than conspecifics from a downstream habitat less exposed to pollution, which followed the opposite trend. This asymmetric pattern supports the idea of resource-allocation strategies to varying environmental pressures occurring even over a small geographical range. Density showed no spatial differences, yet it was unusually low in spite of Corbicula having been established in the area for more than 15 years, which is consistent with a negligible population growth rate at the invasion front. This is the first study to report such an extended lag period for this successful worldwide invader. We discuss the implications of low densities for life-history traits that are selected for optimizing population growth at the invasion front.</t>
  </si>
  <si>
    <t>[Huenicken, Leandro A.] Museo Argentino Ciencias Nat Bernardino Rivadavia, Ave Angel Gallardo 470 C1405DJR, Buenos Aires, DF, Argentina; [Huenicken, Leandro A.; Bonel, Nicolas] Consejo Nacl Invest Cient &amp; Tecn CONICET, Buenos Aires, DF, Argentina; [Abrameto, Mariza] Univ Nacl Rio Negro, Sede Atlantica, Dept Ciencias Exactas Nat &amp; Ingn, Ave Don Bosco y Leloir,R8500AEC, Viedma, Argentina; [Bonel, Nicolas] Univ Nacl Sur, Dept Biol Bioquim &amp; Farm, Lab Zool Invertebrados 1, San Juan 670,B8000ICN, Bahia Blanca, Buenos Aires, Argentina; [Bonel, Nicolas] Univ Paul Valery Montpellier, Ecole Prat Hautes Etud IRD, Univ Montpellier, Ctr Ecol Fonct &amp; Evolut,CNRS,UMR 5175, F-34293 Montpellier 05, France</t>
  </si>
  <si>
    <t>Museo Argentino de Ciencias Naturales Bernardino Rivadavia (MACN); Consejo Nacional de Investigaciones Cientificas y Tecnicas (CONICET); National University of the South; Universite PSL; Ecole Pratique des Hautes Etudes (EPHE); Institut Agro; Montpellier SupAgro; CIRAD; Centre National de la Recherche Scientifique (CNRS); Institut de Recherche pour le Developpement (IRD); Universite Paul-Valery; Universite de Montpellier</t>
  </si>
  <si>
    <t>Hünicken, LA (corresponding author), Museo Argentino Ciencias Nat Bernardino Rivadavia, Ave Angel Gallardo 470 C1405DJR, Buenos Aires, DF, Argentina.;Hünicken, LA (corresponding author), Consejo Nacl Invest Cient &amp; Tecn CONICET, Buenos Aires, DF, Argentina.</t>
  </si>
  <si>
    <t>leandrohunicken@gmail.com</t>
  </si>
  <si>
    <t>Bonel, Nicolas/0000-0002-0508-7622; Hunicken, Leandro Andres/0000-0002-9763-2615</t>
  </si>
  <si>
    <t>Universidad Nacional del Sur [UNS 24/B153, UNS 24/B199]; Universidad Nacional de Rio Negro [UNRN 40C-455]</t>
  </si>
  <si>
    <t>Universidad Nacional del Sur; Universidad Nacional de Rio Negro</t>
  </si>
  <si>
    <t>We would like to express our gratitude to Francisco Sylvester, Pilar Alda, Esteban Paolucci, two anonymous reviewers and the Editor David Reid for their constructive suggestions on the manuscript. We thank Martin Luna and Daniel Barrio for field and laboratory assistance. Personnel from the Museo de Ciencias Naturales de la Plata and Museo Argentino de Ciencias Naturales 'Bernardino Rivadavia' provided access to databases on invaded locations in Argentina. This work was partially funded by research grants from the Universidad Nacional del Sur (UNS 24/B153 and UNS 24/B199 to Nestor J. Cazzaniga) and the Universidad Nacional de Rio Negro (UNRN 40C-455 to Mariza Abrameto).</t>
  </si>
  <si>
    <t>OXFORD UNIV PRESS</t>
  </si>
  <si>
    <t>GREAT CLARENDON ST, OXFORD OX2 6DP, ENGLAND</t>
  </si>
  <si>
    <t>0260-1230</t>
  </si>
  <si>
    <t>1464-3766</t>
  </si>
  <si>
    <t>J MOLLUS STUD</t>
  </si>
  <si>
    <t>J. Molluscan Stud.</t>
  </si>
  <si>
    <t>10.1093/mollus/eyy058</t>
  </si>
  <si>
    <t>http://dx.doi.org/10.1093/mollus/eyy058</t>
  </si>
  <si>
    <t>HQ7FP</t>
  </si>
  <si>
    <t>WOS:000462585500014</t>
  </si>
  <si>
    <t>Narbonne, JF; Daubèze, M; Clérandeau, C; Garrigues, P</t>
  </si>
  <si>
    <t>Scale of classification based on biochemical markers in mussels:: application to pollution monitoring in European coasts</t>
  </si>
  <si>
    <t>molecular biomarkers; Mytilus edulis; Mytilus galloprovincialis; benzo(a)pyrene; hydroxylase; glutathione S-transferase; catalase; malonedialdehyde; acetylcholinesterase; Baltic Sea; Mediterranean Sea</t>
  </si>
  <si>
    <t>MYTILUS-GALLOPROVINCIALIS; LIPID-PEROXIDATION; MEDITERRANEAN-SEA; DIGESTIVE GLAND; GLUTATHIONE; BIOMARKERS; ENZYMES; ACETYLCHOLINESTERASE; CONTAMINATION; SYSTEMS</t>
  </si>
  <si>
    <t>A battery of biochemical parameters is used to evaluate the response of mussels to a contaminated coastal environment. In the European BIOMAR programme, multimarker approach was developed, establishing a scale for the classification of the water quality in European coastal sites. AChE activity is highly sensitive to organophosphorus and carbamate insecticides but also to heavy metals. Catalase activity and lipid oxidation (evaluated as MDA) are markers of ox;dat;ve stress, GST activity is related to the conjugation of organic compounds and BPH activity is a marker of planar compounds (e.g. PAHs). These parameters were measured either in gills (AChE, GST) or digestive grand (BPH, GST, CAT, MDA). Contamination levels were estimated by measurement of PAHs and heavy metals in animals. For each biomarker, a discriminatory factor was calculated (maximum variation range/confidence interval) and a response index was allocated. For each site, a global response index vr;as calculated as the sum of the response index of each of the five biomarkers. As a result of our calculation method, the quality of the coastal environment at each site can be classified with a five level scale. Mussels were corrected during five cruises in 1995-1996 on the Baltic and Mediterranean coasts. The results show that water quality ranged from class 1 (clean areas in some sites of the French Riviera, Spanish Costa Brava and the Baltic coast) to class 5 (high pollution in main harbours, e.g. Kiel and Toulon). Some areas fall into class 4, e.g. Carteau, Cortiou, Barcelona, Warnemunde, Swinemunde, Ebro delta. The global Biomarker Index was positively correlated with the level of PAHs in mussels in Baltic transects. A number of Other contaminants or stressors may be present in the marine environment and the Biomarker Index appeared to be relevant to classify coastal environmental pollution.</t>
  </si>
  <si>
    <t>Univ Bordeaux 1, Lab Physicochim &amp; Toxicochim Syst Nat, CNRS, F-33405 Talence, France</t>
  </si>
  <si>
    <t>Narbonne, JF (corresponding author), Univ Bordeaux 1, Lab Physicochim &amp; Toxicochim Syst Nat, CNRS, UPRESA 5472,Ave Fac, F-33405 Talence, France.</t>
  </si>
  <si>
    <t>WOS:000084279600003</t>
  </si>
  <si>
    <t>Kozanoglou, C; Catsiki, VA</t>
  </si>
  <si>
    <t>Impact of products of a ferronickel smelting plant to the marine benthic life</t>
  </si>
  <si>
    <t>MUSSEL MYTILUS-EDULIS; SCANDINAVIAN WATERS; ANTIKYRA GULF; TRACE-METALS; CADMIUM; COPPER; GREECE; ZINC; POLLUTION; INDICATOR</t>
  </si>
  <si>
    <t>The determination of heavy metal concentrations in the tissues of biota is an accurate method to estimate the abundance and the bioavailability of metals in the marine environment. The concentration of Fe, Cr, Cu and Zn were measured by atomic absorption spectrophotometry in molluscs, algae and angiosperms from a marine area adjacent to a ferronickel smelting plant (situated at North Evoikos Gulf, Greece), in order to investigate the spatial distribution of metals along the coast and their impact on marine benthic Life. Results showed higher levels of Fe and Cr in biota from the sampling sites situated near the smelting plant or the dumping site of the metalliferous slag in contrast with the obviously lower levels of the more distant sites. Molluscs showed generally higher concentrations of Fe and Cr in their tissues than plants. Cu and Zn were distributed quite uniformely in the tissues of the studied species. Furthermore the concentration of Fe and Cr in mussels collected from two localities at Evoikos Gulf and kept in clear seawater under experimental conditions decreased by almost 50% in comparison to their initial concentration within 18-48 hours of detoxification. (C) 1997 Elsevier Science Ltd.</t>
  </si>
  <si>
    <t>NATL CTR MARINE RES,GR-16604 ELLINIKON,GREECE</t>
  </si>
  <si>
    <t>Kozanoglou, C (corresponding author), NATL CTR SCI RES DEMOKRITOS,GR-15310 ATHENS,GREECE.</t>
  </si>
  <si>
    <t>10.1016/S0045-6535(97)00093-3</t>
  </si>
  <si>
    <t>http://dx.doi.org/10.1016/S0045-6535(97)00093-3</t>
  </si>
  <si>
    <t>XD920</t>
  </si>
  <si>
    <t>WOS:A1997XD92000015</t>
  </si>
  <si>
    <t>Cassita, MLC; David, JAD</t>
  </si>
  <si>
    <t>Candido Cassita, Maristela Lino; de Oliveira David, Jose Augusto</t>
  </si>
  <si>
    <t>Historical Analysis of Environmental Pollution in Santos Estuary: Histological Study of Mytella falcata (Orbigny, 1846) Gills as Bioindicator</t>
  </si>
  <si>
    <t>Polycyclic aromatic hydrocarbons; Ecotoxicology; Heavy metals; Cubatao; Santos Port</t>
  </si>
  <si>
    <t>FILAMENTS</t>
  </si>
  <si>
    <t>Historically, the Santos estuary illustrated a scenario of pollution and environmental catastrophes. In 1980, it was called the Vale da Morte (Death Valley), after the public resonance and mitigation measures became a model of environmental recovery. This study aims at assessing the ecosystem health of Santos estuary using Mytella falcata bivalve as bioindicator, and histopathology as biomarker. Bivalves were collected at three sample sites: Site A, located in Branco River with no industrial impact; Sites B, located in Barnabe Island, at the left bank of Santos Port; Site C, located next to Companhia Siderurgica Paulista, in direct contact with industrial effluents. The collected animals had their gills dissected, fixed, and processed according to the histological routine. The tissue sections were dyed with hematoxylin and eosin to identify morphological changes. To analyze the slides, we used a disorder classification system and frequency index assignment to quantify the disorders observed. For the statistical background, tests of normality and of significant difference among the sample sites were performed. Results showed severe disorders in organisms from Sites B and C, such as tumors; however, the Site B revealed more expressive complications, such as necrosis. In contrast, Site A presented only mild disorders, such as infiltration. By analyzing the results and comparing environmental data, it is possible to affirm that the pollution status on the Santos estuary remains similar to the last histopathology study published, approximately 10 years ago, pointing out high concentrations of contaminants that directly affect the ecosystem and the organisms' health.</t>
  </si>
  <si>
    <t>[Candido Cassita, Maristela Lino; de Oliveira David, Jose Augusto] Univ Fed Sao Carlos, Ctr Ciencias Nat, Rodovia Lauri Simoes de Barros,Km 12,SP 189, BR-18290000 Buri, SP, Brazil</t>
  </si>
  <si>
    <t>Universidade Federal de Sao Carlos</t>
  </si>
  <si>
    <t>Cassita, MLC (corresponding author), Univ Fed Sao Carlos, Ctr Ciencias Nat, Rodovia Lauri Simoes de Barros,Km 12,SP 189, BR-18290000 Buri, SP, Brazil.</t>
  </si>
  <si>
    <t>maristelalcandido@gmail.com</t>
  </si>
  <si>
    <t>Conselho Nacional de Desenvolvimento Cientifico e Tecnologico (CNPq)</t>
  </si>
  <si>
    <t>Conselho Nacional de Desenvolvimento Cientifico e Tecnologico (CNPq)(Conselho Nacional de Desenvolvimento Cientifico e Tecnologico (CNPQ))</t>
  </si>
  <si>
    <t>The present study was supported by the Conselho Nacional de Desenvolvimento Cientifico e Tecnologico (CNPq) with a scientific initiation scholarship.</t>
  </si>
  <si>
    <t>10.1007/s11270-022-05525-9</t>
  </si>
  <si>
    <t>http://dx.doi.org/10.1007/s11270-022-05525-9</t>
  </si>
  <si>
    <t>ZP7CD</t>
  </si>
  <si>
    <t>WOS:000766576300002</t>
  </si>
  <si>
    <t>Stien, X; Percic, P; Gnassia-Barelli, M; Romeo, M; Lafaurie, M</t>
  </si>
  <si>
    <t>Evaluation of biomarkers in caged fishes and mussels to assess the quality of waters in a bay of the NW Mediterranean Sea</t>
  </si>
  <si>
    <t>biomarkers; sea bass; mussels; caging</t>
  </si>
  <si>
    <t>GLUTATHIONE S-TRANSFERASES; RAINBOW-TROUT; CYTOCHROME-P450 1A; TIME-COURSE; INDUCTION; BIOTRANSFORMATION; PROTEIN; BINDING; STRESS; ASSAY</t>
  </si>
  <si>
    <t>Specimens of sea bass (Dicentrarchus labrax) were placed in cages for 1 month in spring and autumn at different locations in the Bay of Cannes (NW Mediterranean). Biochemical markers evaluated were: ethoxyresorufin O-deethylase (EROD) and glutathione S-transferase (GST) activities in fish livers and acetylcholinesterase (AChE) activity in fish muscle. EROD and GST activities were higher in front of the outlet for the wastewater plant of Cannes and in the harbour than outside the marina. High EROD and GST activities may be induced by petrol hydrocarbons and/or polychlorinated biphenyls (PCBs). AChE was low in the muscles of the fish caged in the harbour compared with samples from the other cages. Low AChE activity could suggest the presence of organophosphorus and carbamate compounds in seawater from the harbour. Mussels (Mytilus galloprovincialis) were caged off Cannes for the same periods as the fishes. Heavy metal, metallothionein (MT) concentrations and lysosomal membrane stability were evaluated in the digestive gland of the mussels. Results show low heavy metal and MT concentrations, implying low metal concentrations in the surrounding waters. High lysosomal membrane stability revealed a good physiological status of these animals after caging. The whole set of data indicates that seawater in the Bay of Cannes appeared to be unpolluted as regards pollutants which may induce the measured biomarkers, except in restricted areas. (C) 1998 Elsevier Science Ltd. All rights reserved.</t>
  </si>
  <si>
    <t>Univ Nice, Fac Med, Lab Physiol &amp; Toxicol Environm, F-06107 Nice 2, France</t>
  </si>
  <si>
    <t>Romeo, M (corresponding author), Univ Nice, Fac Med, Lab Physiol &amp; Toxicol Environm, F-06107 Nice 2, France.</t>
  </si>
  <si>
    <t>10.1016/S0269-7491(98)00013-X</t>
  </si>
  <si>
    <t>http://dx.doi.org/10.1016/S0269-7491(98)00013-X</t>
  </si>
  <si>
    <t>103YA</t>
  </si>
  <si>
    <t>WOS:000074984400006</t>
  </si>
  <si>
    <t>Won, EJ; Kim, KT; Choi, JY; Kim, ES; Ra, K</t>
  </si>
  <si>
    <t>Won, Eun-Ji; Kim, Kyung-Tae; Choi, Jin-Young; Kim, Eun-Soo; Ra, Kongtae</t>
  </si>
  <si>
    <t>Target organs of the Manila clam Ruditapes philippinarum for studying metal accumulation and biomarkers in pollution monitoring: laboratory and in-situ transplantation experiments</t>
  </si>
  <si>
    <t>Manila clam; Ruditapes philippinarum; Trace metal; Bioaccumulation; Reactive oxygen species; Glutathione S-transferase; Metallothionein-like proteins (MTLPs)</t>
  </si>
  <si>
    <t>SUNDERBAN MANGROVE WETLAND; OXIDATIVE STRESS; HEAVY-METALS; EXPOSURE; CD; METALLOTHIONEIN; GRADIENT; MUSSELS; IMPACT; KOREA</t>
  </si>
  <si>
    <t>To characterize the target organs of the Manila clam Ruditapes philippinarum for use in environmental study, the accumulation of trace metals and three biomarkers was measured in different organs. Exposure with Cu and Pb carried out under laboratory conditions revealed a linear uptake of metals throughout the experimental period in each tissue. In particular, significant increase was observed in gills and mantle. The increase of intracellular reactive oxygen species showed the great potential of gills as a target tissue for both Cu and Pb exposure. The highest activity of glutathione S-transferase and their relative increase in activity were also observed in gills. Metallothionein-like protein levels, however, increased greatly in the digestive gland and mantle during Cu and Pb exposure, respectively, although all tissues, except the foot, showed significant changes after 24 h of metal exposure. In the field study, the highest concentration of metals was recorded in the gills and mantle, accounting for over 50 % of the total accumulated metal in all sites. Additionally, Cu and Pb increased significantly in these two organs, respectively. However, the order of accumulation rate in laboratory exposure was not concomitant with those of the lab-based study, suggesting that different routes of metal uptake and exposure duration induce distinct partitioning of metals and regulating system in R. philippinarum. These series of exposure studies demonstrated that gills, mantle, and digestive gland in R. philippinarum are potential target tissues in environmental monitoring study using metal concentrations and biomarkers.</t>
  </si>
  <si>
    <t>[Won, Eun-Ji; Kim, Kyung-Tae; Choi, Jin-Young; Ra, Kongtae] KIOST, Marine Chem &amp; Geochem Res Ctr, Ansan 15627, South Korea; [Kim, Kyung-Tae; Ra, Kongtae] Korea Univ Sci &amp; Technol UST, Dept Integrated Ocean Sci, Ansan 15627, South Korea; [Kim, Eun-Soo] KIOST, Ocean Observat &amp; Informat Sect, Ansan 15627, South Korea</t>
  </si>
  <si>
    <t>Korea Institute of Ocean Science &amp; Technology (KIOST); University of Science &amp; Technology (UST); Korea Institute of Ocean Science &amp; Technology (KIOST)</t>
  </si>
  <si>
    <t>Ra, K (corresponding author), KIOST, Marine Chem &amp; Geochem Res Ctr, Ansan 15627, South Korea.;Ra, K (corresponding author), Korea Univ Sci &amp; Technol UST, Dept Integrated Ocean Sci, Ansan 15627, South Korea.</t>
  </si>
  <si>
    <t>Won, Eun-Ji/ABI-5949-2020</t>
  </si>
  <si>
    <t>KIOST [PE99402]; National Research Foundation of Korea [NRF-2015R1C1A2A01053437]</t>
  </si>
  <si>
    <t>KIOST; National Research Foundation of Korea(National Research Foundation of Korea)</t>
  </si>
  <si>
    <t>This research was supported by a grant from the KIOST [PE99402] funded to Kongtae Ra and partially supported by grant from the National Research Foundation of Korea (NRF-2015R1C1A2A01053437) funded to Eun-Ji Won.</t>
  </si>
  <si>
    <t>10.1007/s10661-016-5485-y</t>
  </si>
  <si>
    <t>http://dx.doi.org/10.1007/s10661-016-5485-y</t>
  </si>
  <si>
    <t>DT0AH</t>
  </si>
  <si>
    <t>WOS:000381144300035</t>
  </si>
  <si>
    <t>Mikac, N; Branica, M; Wang, Y; Harrison, RM</t>
  </si>
  <si>
    <t>Organolead compounds in mussels (Mytilus galloprovincialis) from the eastern Adriatic coast</t>
  </si>
  <si>
    <t>IONIC ALKYLLEAD COMPOUNDS; ENVIRONMENTAL WATER; ORGANIC LEAD; GREAT-LAKES; SPECIATION; TETRAALKYLLEAD; REGION; FISH</t>
  </si>
  <si>
    <t>Mussels (Mytilus galloprovincialis) and surrounding seawater were collected from various sites on the eastern Adriatic coast and examined for the presence of alkyllead compounds and the total lead content. Organoleads were quantified by gas chromatography-atomic absorption spectrometry, and total lead was quantified by differential pulse anodic stripping voltammetry. The presence of all alkyllead species in mussel tissues was established (in nanograms/gram gram of wet weight): tetraalkyl (&lt;0.2-43.6), trialkyl (&lt;0.1-31.8), and dialkyl (&lt;0.1-9.2), with a dominance of ethyl derivatives. The organolead level in mussels is shown to be a better indicator of pollution with organic lead than that in seawater, whereas the total lead level cannot serve this purpose as it comes from other sources. Trimethyllead amounts in mussels and seawater are highly correlated; thus, mussels provide a good bioindicator for this chemical species. Correlation between alkyllead levels suggests the possible environmental methylation of lead. Bioconcentration factors between mussels and water for individual alkyllead compounds are, on average, lower than those for total lead, indicating less efficient bioaccumulation of organic lead.</t>
  </si>
  <si>
    <t>UNIV BIRMINGHAM,SCH CHEM,BIRMINGHAM B15 2TT,W MIDLANDS,ENGLAND</t>
  </si>
  <si>
    <t>University of Birmingham</t>
  </si>
  <si>
    <t>Mikac, N (corresponding author), RUDJER BOSKOVIC INST,CTR MARINE RES ZAGREB,ZAGREB 10000,CROATIA.</t>
  </si>
  <si>
    <t>Harrison, Roy/A-2256-2008</t>
  </si>
  <si>
    <t>1155 16TH ST, NW, WASHINGTON, DC 20036</t>
  </si>
  <si>
    <t>10.1021/es950234w</t>
  </si>
  <si>
    <t>http://dx.doi.org/10.1021/es950234w</t>
  </si>
  <si>
    <t>TT496</t>
  </si>
  <si>
    <t>WOS:A1996TT49600037</t>
  </si>
  <si>
    <t>Chase, ME; Jones, SH; Hennigar, P; Sowles, J; Harding, GCH; Freeman, K; Wells, PG; Krahforst, C; Coombs, K; Crawford, R; Pederson, J; Taylor, D</t>
  </si>
  <si>
    <t>Gulfwatch:: Monitoring spatial and temporal patterns of trace metal and organic contaminants in the Gulf of Maine (1991-1997) with the blue mussel, Mytilis edulis L</t>
  </si>
  <si>
    <t>Mytilus edulis; mussels; contaminants; trace metals; PAHs; PCBs; OC pesticides; monitoring; Gulf of Maine; Bay of Fundy; biomonitoring</t>
  </si>
  <si>
    <t>FOOD-WEB; ISOTOPE ANALYSIS; COASTAL WATERS; HEAVY-METALS; MERCURY; BIOMAGNIFICATION; BIOACCUMULATION; SEDIMENT; TRENDS; GROWTH</t>
  </si>
  <si>
    <t>Gulfwatch, established in 1991, is an international contaminant monitoring program in which the blue mussel, Mytilus edulis, is used as an indicator of the level and extent of contamination in the Gulf of Maine. Since 1991, trace metals, PAHs, PCBs, and OC pesticides have been measured in mussel tissues at 56 sites, The distribution of most metals was relatively uniform throughout the Gulf with the exception of Ag, Ph and Cr, However, the concentration of organic contaminants increased in a north-to-south direction. High concentrations of contaminants were correlated with large human population density and proximity to large rivers. Temporal analysis of five sites revealed that the majority of contaminant concentrations were either unchanged or decreasing. The concentrations of most contaminants were lower than the median of the National Status and Trends (NS &amp; T) Mussel Watch with the exceptions of Cr, Hg, Ph and Sigma PCB24, Hg concentrations at &gt; 80% of the Gulfwatch sites exceeded the NS &amp; T median +1 SD. Gulfwatch continues as a primary contaminant monitoring program in the Gulf of Maine, (C) 2001 Published by Elsevier Science Ltd.</t>
  </si>
  <si>
    <t>Univ New Hampshire, Jackson Estuarine Lab, Durham, NH 03824 USA; Environm Canada, Dartmouth, NS B2Y 2N6, Canada; Dept Environm Protect, Stn 17, Augusta, ME USA; Bedford Inst Oceanog, Dept Fisheries &amp; Oceans, Dartmouth, NS B2Y 4A2, Canada; Dalhousie Univ, Sch Resource &amp; Environm Studies, Halifax, NS B3H 3E2, Canada; Massachusetts Coastal Zone Management, Marine Monitoring &amp; Res, Boston, MA 02202 USA; New Brunswick Fish Aquaculture, St George, NB E0G 2Y0, Canada; MIT, Sea Grant Programs, Cambridge, MA 02139 USA; Nova Scotia Dept Environm, Halifax, NS B3J 3B7, Canada</t>
  </si>
  <si>
    <t>University System Of New Hampshire; University of New Hampshire; Environment &amp; Climate Change Canada; Bedford Institute of Oceanography; Fisheries &amp; Oceans Canada; Dalhousie University; Massachusetts Institute of Technology (MIT)</t>
  </si>
  <si>
    <t>Univ New Hampshire, Jackson Estuarine Lab, Durham, NH 03824 USA.</t>
  </si>
  <si>
    <t>shj@christa.unh.edu</t>
  </si>
  <si>
    <t>Jones, Stephanie/G-1849-2016</t>
  </si>
  <si>
    <t>451KU</t>
  </si>
  <si>
    <t>WOS:000169801900019</t>
  </si>
  <si>
    <t>Wilson, WA; Fritts, AK; Fritts, MW; Unrine, JM; Casper, AF</t>
  </si>
  <si>
    <t>Wilson, W. Aaron; Fritts, Andrea K.; Fritts, Mark W.; Unrine, Jason M.; Casper, Andrew F.</t>
  </si>
  <si>
    <t>Freshwater mussel (Unionidae) shells document the decline of trace element pollution in the regional watersheds of Chicago (Illinois, USA)</t>
  </si>
  <si>
    <t>Biomonitor; Bivalves; Sclerochronology; Historical ecotoxicology; Stable isotopes; Metal pollution</t>
  </si>
  <si>
    <t>CARBON-ISOTOPE RATIOS; NORTH-AMERICAN RIVER; BIVALVE SHELLS; DREISSENA-POLYMORPHA; NITROGEN ISOTOPES; METAL POLLUTION; FOOD WEBS; CORBICULA-FLUMINEA; MASS-SPECTROMETRY; URBAN LANDSCAPE</t>
  </si>
  <si>
    <t>The present study analyzed trace element concentrations from the shells of native freshwater mussels collected from the headwater tributaries of the Illinois River (USA). These analyses were conducted to determine whether (A) anthropogenic enrichment could be observed and (B) whether enrichment had decreased following the enactment of Clean Water Act legislation in the 1970s. Collections archived in museums allowed comparison of the pre-Columbian period, the mid-20th century, and the early 21st century. The element Cu was consistently elevated above pre-Columbian baselines, while the elements As, Cd, Fe, and Zn were elevated in some collections. Although higher than baseline, concentrations Zn consistently declined from the mid-20th century to modern times, although differences occurred at individual sites. There was evidence for food web influence: the element Mn was significantly negatively correlated to sediment primary productivity as indexed by shell delta C-13 and Cu was positively correlated to trophic position as reflected by shell delta N-15. Zn correlated to stream order across all time periods. We conclude that a mixture of historic factors affecting pollution control and land use patterns in the watershed led to sometimes conflicting effects on trace element bioaccumulation in mussel shells.</t>
  </si>
  <si>
    <t>[Wilson, W. Aaron] Roosevelt Univ, Dept Biol Chem &amp; Phys Sci, 430 S Michigan Ave, Chicago, IL 60605 USA; [Fritts, Andrea K.; Fritts, Mark W.; Casper, Andrew F.] Illinois Nat Hist Survey, Illinois River Biol Stn, Havana, IL 62644 USA; [Unrine, Jason M.] Univ Kentucky, Dept Plant &amp; Soil Sci, Lexington, KY 40546 USA; [Wilson, W. Aaron] Illinois Wesleyan Univ, Environm Studies Program, 1312 Pk St, Bloomington, IL 61701 USA; [Fritts, Andrea K.] USGS Upper Midwest Environm Sci Ctr, 2630 Fanta Reed Rd, La Crosse, WI 54603 USA; [Fritts, Mark W.] US Fish &amp; Wildlife Serv, La Crosse Fish &amp; Wildlife Conservat Off, 555 Lester Ave, Onalaska, WI 54650 USA; [Casper, Andrew F.] John G Shedd Aquarium, Daniel P Haerther Ctr Conservat &amp; Res, 1200 S Lake Shore Dr, Chicago, IL 60604 USA</t>
  </si>
  <si>
    <t>Roosevelt University; Illinois Natural History Survey; University of Kentucky; Illinois Wesleyan University; United States Department of the Interior; United States Geological Survey; United States Department of the Interior; US Fish &amp; Wildlife Service</t>
  </si>
  <si>
    <t>Wilson, WA (corresponding author), Roosevelt Univ, Dept Biol Chem &amp; Phys Sci, 430 S Michigan Ave, Chicago, IL 60605 USA.</t>
  </si>
  <si>
    <t>wshoults@iwu.edu; afritts@usgs.gov; mark_fritts@fws.gov; jason.unrine@uky.edu; afcasper@illinois.edu</t>
  </si>
  <si>
    <t>Casper, Andrew/B-3179-2013</t>
  </si>
  <si>
    <t>Fritts, Mark/0000-0003-0438-7671; Casper, Andrew/0000-0003-3450-0209; Fritts, Andrea/0000-0003-2142-3339</t>
  </si>
  <si>
    <t>Matching Research Awards Program through the University of Illinois; Prairie Research Institute; National Science Foundation STEP grant [DUE 0757053]</t>
  </si>
  <si>
    <t>Matching Research Awards Program through the University of Illinois; Prairie Research Institute; National Science Foundation STEP grant</t>
  </si>
  <si>
    <t>The authors thank N. Braus, M. Ciocan, D. Dominguez, and J. Fernandez for their diligent work in preparing samples, S. Shrestha for analyzing samples, and C. Gilliland and T. Beasley for assistance collecting specimens. K. Cummings and the Illinois Natural History Survey provided access to historical specimens and the Illinois State Archeological Survey provided access to archaeological specimens. This research received funding from the Matching Research Awards Program through the University of Illinois, Prairie Research Institute, and National Science Foundation STEP grant DUE 0757053.</t>
  </si>
  <si>
    <t>10.1007/s10750-018-3582-3</t>
  </si>
  <si>
    <t>http://dx.doi.org/10.1007/s10750-018-3582-3</t>
  </si>
  <si>
    <t>GE7FI</t>
  </si>
  <si>
    <t>WOS:000431398300014</t>
  </si>
  <si>
    <t>ChassardBouchaud, C</t>
  </si>
  <si>
    <t>Analytical microscopy and environment. Current developments using bioindicators of pollution by stable and radioactive elements</t>
  </si>
  <si>
    <t>SIMS microscopy; X-ray spectrometry; electron microscopy; marine; fresh water and atmospheric pollution bioindicators; heavy metals; radionuclides (U, Pu, Am); target organs and organelles (lysosomes)</t>
  </si>
  <si>
    <t>SUBCELLULAR-LOCALIZATION; AMERICIUM AM-241; SEA-WATER; ALUMINUM; VOSGES; TROUT; ACIDIFICATION; ORGANISMS; PLUTONIUM; PU-239</t>
  </si>
  <si>
    <t>Ecotoxicological investigations were performed on three sets of bioindicators. The first one concerns marine pollution of invertebrates (molluscs: the mussel Mytilus edulis and related species, crustaceans: the crab Liocarcinus puber and related species), contaminated by stable or radioactive elements originating from wastes discharged into sea water. The second one concerns freshwater pollution of vertebrates (fish: the brown trout Salmo trutta fario), contaminated by aluminium dissolved in rivers, as a consequence of an atmospheric pollution by acid rain. The third one concerns the atmospheric pollution of trees by plutonium (Casuarina equisetifolia). Mechanisms involved in the uptake, storage and elimination processes of these toxicants were studied, with a special emphasis on cellular and subcellular aspects of concentration sites. Two microanalytical methods were employed: Secondary Ion Mass Spectrometry (SIMS), using the ion microscope and the ion microprobe, and X-ray spectrometry using the electron microprobe (EMP). In marine organisms, the target organs and tissues of bioaccumulation of stable and radioactive elements (U-238, Pu-239, and Am-241), were shown to be mainly digestive gland, gill and exoskeleton. The target organelles were shown to be spherocrystals and lysosomes. Amoebocytes, enzymatically equipped with lysosomal phosphatase, were involved in the phagocytic clearance of metal pollutants. In trout, insolubilisation of Al phosphate within lysosomes and a high metal concentration within bones were observed. The tree Casuarina equisetifolia exhibits a particular ability to concentrate atmospheric plutonium within its leaves.</t>
  </si>
  <si>
    <t>ChassardBouchaud, C (corresponding author), UNIV PARIS 06,LAB BIOL &amp; PHYSIOL ORGANISMES MARINS,BOITE COURRIER 006,4 PL JUSSIEU,F-75252 PARIS 05,FRANCE.</t>
  </si>
  <si>
    <t>CELLULAR &amp; MOLECULAR BIOLOGY</t>
  </si>
  <si>
    <t>NOISY-LE-GRAND</t>
  </si>
  <si>
    <t>PROF R WEGMANN RESIDENCE HAUSSMANN 1 AVENUE DU PAVE NEUF, 93160 NOISY-LE-GRAND, FRANCE</t>
  </si>
  <si>
    <t>UQ808</t>
  </si>
  <si>
    <t>WOS:A1996UQ80800008</t>
  </si>
  <si>
    <t>Fung, CN; Lam, JCW; Zheng, GJ; Connell, DW; Monirith, I; Tanabe, S; Richardson, BJ; Lam, PKS</t>
  </si>
  <si>
    <t>Mussel-based monitoring of trace metal and organic contaminants along the east coast of China using Perna viridis and Mytilus edulis</t>
  </si>
  <si>
    <t>mussel; trace metals; trace organic contaminants; risk assessment; China</t>
  </si>
  <si>
    <t>POLYCYCLIC AROMATIC-HYDROCARBONS; MEMBRANE DEVICES SPMDS; HONG-KONG; TOLO HARBOR; SURFACE SEDIMENTS; RISK-ASSESSMENT; ESTUARY; WATERS; BAY; XIAMEN</t>
  </si>
  <si>
    <t>Green lipped mussels. Perna viridis, and blue mussels, Mytilus edulis, were collected from seven locations along the east coast of China in September and October 2001. The mussel tissues were analyzed for metals (Ag, As, Cd, Cr, Ni, Pb, Se, Zn, Cu, Fe and Hg), and trace organic contaminants including organochlorine compounds (OCs), polycyclic aromatic hydrocarbons (PAHs; based on 24 individual PAHs). polychlorinated biphenyls (PCBs) and petroleum hydrocarbons (PHCs). Maximum concentrations of Ag, As. Cd, Cr. Ni. Pb, Se, Zn, Cu, Fe and Hg in the mussel tissues were 0.14, 26.76, 5.31, 15.72, 4.78, 2.93, 7.40, 231.0, 54.17, 1002 and 317.3 mug/g dry weight respectively. Levels of DDTs, PAHs, PCBs and PHCs in the mussel samples were 14-640, 456-3495, 1-13 ng/g and 621-2863 mug/g dry weight, respectively. Results of this study indicated that contaminant levels were, in general, higher or at least comparable to those reported in other local or regional studies. Mussel samples collected in Chongming Dao in Shanghai and Jiao Zhou Wan in Qingdao had significantly higher levels of metal and trace organic contaminants among the seven sampling stations. Examination of the contaminant profiles suggests that PHCs originated from petrogenic sources, while both petrogenic and pyrolytic sources were important for PAHs. The generally high levels of metals and organochlorine compounds are probably the result of increasingly intense industrial activities along the east coast of China. An assessment of potential risks to human health due to consumption of the mussels was undertaken for the metals, PCBs, DDTs and chlordanes, and the results indicated that all metals, except Ni, could pose a health risk to heavy seafood consumers, while Hg appears to be of concern even for low level consumers. (C) 2003 Elsevier Ltd. All rights reserved.</t>
  </si>
  <si>
    <t>City Univ Hong Kong, Dept Biol &amp; Chem, Ctr Coastal Pollut &amp; Conservat, Kowloon, Hong Kong, Peoples R China; Griffith Univ, Sch Publ Hlth, Meadowbrook, Qld, Australia; Ehime Univ, Ctr Marine Environm Studies, Matsuyama, Ehime 7908566, Japan</t>
  </si>
  <si>
    <t>City University of Hong Kong; Griffith University; Griffith University - Logan Campus; Ehime University</t>
  </si>
  <si>
    <t>Lam, PKS (corresponding author), City Univ Hong Kong, Dept Biol &amp; Chem, Ctr Coastal Pollut &amp; Conservat, 83 Tat Chee Ave, Kowloon, Hong Kong, Peoples R China.</t>
  </si>
  <si>
    <t>Richardson, Bruce/A-6186-2009; Connell, Des/AAG-4849-2020; LAM, Kwan Sing Paul/B-9121-2008; Lam, James C.W./G-9676-2011; Tanabe, Shinsuke/G-6950-2013</t>
  </si>
  <si>
    <t>LAM, Kwan Sing Paul/0000-0002-2134-3710; CONNELL, DES/0000-0002-9909-1779; Lam, James C.W./0000-0002-5557-6213; Tanabe, Shinsuke/0000-0002-0911-6232; Richardson, Bruce/0000-0001-9339-6996</t>
  </si>
  <si>
    <t>10.1016/j.envpol.2003.08.007</t>
  </si>
  <si>
    <t>http://dx.doi.org/10.1016/j.envpol.2003.08.007</t>
  </si>
  <si>
    <t>759XK</t>
  </si>
  <si>
    <t>WOS:000187780000006</t>
  </si>
  <si>
    <t>Hines, A; Staff, FJ; Widdows, J; Compton, RM; Falciani, F; Viant, MR</t>
  </si>
  <si>
    <t>Hines, Adam; Staff, Fred J.; Widdows, John; Compton, Russell M.; Falciani, Francesco; Viant, Mark R.</t>
  </si>
  <si>
    <t>Discovery of Metabolic Signatures for Predicting Whole Organism Toxicology</t>
  </si>
  <si>
    <t>TOXICOLOGICAL SCIENCES</t>
  </si>
  <si>
    <t>metabolism; physiology; genetic algorithm; predictive toxicology; ecotoxicogenomics; oxidative stress</t>
  </si>
  <si>
    <t>MUSSELS MYTILUS-EDULIS; ENVIRONMENTAL METABOLOMICS; CONTAMINANT LEVELS; SOUTHAMPTON WATER; DRUG TOXICITY; HEAVY-METAL; POLLUTION; STRESS; GROWTH; COPPER</t>
  </si>
  <si>
    <t>Toxicological studies in sentinel organisms frequently use biomarkers to assess biological effect. Development of omic technologies has enhanced biomarker discovery at the molecular level, providing signatures unique to toxicant mode-of-action (MOA). However, these signatures often lack relevance to organismal responses, such as growth or reproduction, limiting their value for environmental monitoring. Our primary objective was to discover metabolic signatures in chemically exposed organisms that can predict physiological toxicity. Marine mussels (Mytilus edulis) were exposed for 7 days to 12 and 50 mu g/l copper and 50 and 350 mu g/l pentachlorophenol (PCP), toxicants with unique MOAs. Physiological responses comprised an established measure of organism energetic fitness, scope for growth (SFG). Metabolic fingerprints were measured in the same individuals using nuclear magnetic resonance-based metabolomics. Metabolic signatures predictive of SFG were sought using optimal variable selection strategies and multivariate regression and then tested upon independently field-sampled mussels from rural and industrialized sites. Copper and PCP induced rational metabolic and physiological changes. Measured and predicted SFG were highly correlated for copper (r(2) = 0.55, P = 2.82 x 10(-7)) and PCP (r(2) = 0.66, P = 3.20 x 10(-6)). Predictive metabolites included methionine and arginine/phosphoarginine for copper and allantoin, valine, and methionine for PCP. When tested on field-sampled animals, metabolic signatures predicted considerably reduced fitness of mussels from the contaminated (SFG = 6.0 J/h/g) versus rural (SFG = 15.2 J/h/g) site. We report the first successful discovery of metabolic signatures in chemically exposed environmental organisms that inform on molecular MOA and that can predict physiological toxicity. This could have far-reaching implications for monitoring impacts on environmental health.</t>
  </si>
  <si>
    <t>[Hines, Adam; Compton, Russell M.; Falciani, Francesco; Viant, Mark R.] Univ Birmingham, Sch Biosci, Birmingham B15 2TT, W Midlands, England; [Staff, Fred J.; Widdows, John] Plymouth Marine Lab, Plymouth PL1 3DH, Devon, England</t>
  </si>
  <si>
    <t>University of Birmingham; Plymouth Marine Laboratory</t>
  </si>
  <si>
    <t>Viant, MR (corresponding author), Univ Birmingham, Sch Biosci, Birmingham B15 2TT, W Midlands, England.</t>
  </si>
  <si>
    <t>m.viant@bham.ac.uk</t>
  </si>
  <si>
    <t>Falciani, Francesco/F-3490-2010; Viant, Mark/B-6339-2009</t>
  </si>
  <si>
    <t>Viant, Mark/0000-0001-5898-4119</t>
  </si>
  <si>
    <t>Natural Environment Research Council [NER/J/S/2002/00618]; Natural Environment Research Council and Centre for Environment, Fisheries, and Aquaculture Science; Biotechnology and Biological Sciences Research Council; NERC [pml010003] Funding Source: UKRI</t>
  </si>
  <si>
    <t>Natural Environment Research Council(UK Research &amp; Innovation (UKRI)Natural Environment Research Council (NERC)); Natural Environment Research Council and Centre for Environment, Fisheries, and Aquaculture Science; Biotechnology and Biological Sciences Research Council(UK Research &amp; Innovation (UKRI)Biotechnology and Biological Sciences Research Council (BBSRC)); NERC(UK Research &amp; Innovation (UKRI)Natural Environment Research Council (NERC))</t>
  </si>
  <si>
    <t>Natural Environment Research Council as an Advanced Fellowship to M.R.V. (NER/J/S/2002/00618); Natural Environment Research Council and Centre for Environment, Fisheries, and Aquaculture Science as a PhD CASE studentship to A.H.; Biotechnology and Biological Sciences Research Council as a PhD studentship to R.M.C.</t>
  </si>
  <si>
    <t>1096-6080</t>
  </si>
  <si>
    <t>1096-0929</t>
  </si>
  <si>
    <t>TOXICOL SCI</t>
  </si>
  <si>
    <t>Toxicol. Sci.</t>
  </si>
  <si>
    <t>10.1093/toxsci/kfq004</t>
  </si>
  <si>
    <t>http://dx.doi.org/10.1093/toxsci/kfq004</t>
  </si>
  <si>
    <t>600OR</t>
  </si>
  <si>
    <t>WOS:000277997100007</t>
  </si>
  <si>
    <t>Freitas, R; Almeida, A; Calisto, V; Velez, C; Moreira, A; Schneider, RJ; Esteves, VI; Wrona, FJ; Soares, AMVM; Figueira, E</t>
  </si>
  <si>
    <t>Freitas, Rosa; Almeida, Angela; Calisto, Vania; Velez, Cada; Moreira, Anthony; Schneider, Rudolf J.; Esteves, Valdemar I.; Wrona, Frederick J.; Soares, Amadeu M. V. M.; Figueira, Etelvina</t>
  </si>
  <si>
    <t>How life history influences the responses of the clam Scrobicularia plana to the combined impacts of carbamazepine and pH decrease</t>
  </si>
  <si>
    <t>Ocean acidification; Biomarkers; Oxidative stress; Bivalves; Pharmaceutical drugs</t>
  </si>
  <si>
    <t>OCEAN ACIDIFICATION; OXIDATIVE STRESS; PHARMACEUTICALS CARBAMAZEPINE; RUDITAPES-PHILIPPINARUM; ENDOCRINE DISRUPTION; BIOMARKER RESPONSES; ELLIPTIO-COMPLANATA; DRUG CARBAMAZEPINE; CERASTODERMA-EDULE; AVEIRO PORTUGAL</t>
  </si>
  <si>
    <t>In the present study, the bivalve Scrobicularia piano, collected from two contrasting areas (pristine location and mercury contaminated area), was selected to assess the biochemical alterations imposed by pH decrease, carbamazepine (an antiepileptic) and the combined effect of both stressors. The effects on oxidative stress related biomarkers after 96 h exposure revealed that pH decrease and carbamazepine induced alterations on clams, with greater impacts on individuals from the contaminated area which presented higher mortality, higher lipid peroxidation and higher glutathione S-transferase activity. These results emphasize the risk of extrapolating results from one area to another, since the same species inhabiting different areas may be affected differently when exposed to the same stressors. Furthermore, the results obtained showed that, when combined, the impact of pH decrease and carbamazepine was lower than each stressor acting alone, which could be related to the defence mechanism of valves closure when bivalves are under higher stressful conditions. (C) 2015 Elsevier Ltd. All rights reserved.</t>
  </si>
  <si>
    <t>[Freitas, Rosa; Almeida, Angela; Velez, Cada; Moreira, Anthony; Wrona, Frederick J.; Soares, Amadeu M. V. M.; Figueira, Etelvina] Univ Aveiro, Dept Biol, P-3810193 Aveiro, Portugal; [Freitas, Rosa; Almeida, Angela; Calisto, Vania; Velez, Cada; Moreira, Anthony; Esteves, Valdemar I.; Wrona, Frederick J.; Soares, Amadeu M. V. M.; Figueira, Etelvina] Univ Aveiro, CESAM, P-3810193 Aveiro, Portugal; [Calisto, Vania; Esteves, Valdemar I.] Univ Aveiro, Dept Chem, P-3810193 Aveiro, Portugal; [Schneider, Rudolf J.] BAM Fed Inst Mat Res &amp; Testing, D-12489 Berlin, Germany; [Wrona, Frederick J.] Univ Victoria, Dept Geog, Victoria, BC V8P 5C2, Canada</t>
  </si>
  <si>
    <t>Universidade de Aveiro; Universidade de Aveiro; Universidade de Aveiro; Federal Institute for Materials Research &amp; Testing; University of Victoria</t>
  </si>
  <si>
    <t>Calisto, Vania/A-8486-2012; Almeida, Angela/K-4044-2014; Schneider, Rudolf J./A-3771-2009; Esteves, Valdemar/B-7648-2008; Soares, Amadeu/A-8304-2008; Freitas, Rosa/A-7539-2012; Figueira, Etelvina/M-6116-2013; Moreira, Anthony/K-3968-2014</t>
  </si>
  <si>
    <t>Almeida, Angela/0000-0002-6662-1622; Schneider, Rudolf J./0000-0003-2228-1248; Esteves, Valdemar/0000-0003-4093-1814; Soares, Amadeu/0000-0003-0879-9470; Freitas, Rosa/0000-0003-4900-3897; Calisto, Vania/0000-0002-9872-6381; Figueira, Etelvina/0000-0002-6763-2665; Moreira, Anthony/0000-0003-0781-5424</t>
  </si>
  <si>
    <t>European Funds through COMPETE; National Funds through the Portuguese Science Foundation (FCT) [PEst-C/MAR/LA0017/2013]; Portuguese Fundacao para a Ciencia e Tecnologia (FCT) [SFRH/BPD/92258/2013, SFRH/BPD/78645/2011]; FCT [SFRH/BD/86356/2012, SFRH/BD/93107/2013]; Fundação para a Ciência e a Tecnologia [SFRH/BPD/78645/2011, SFRH/BPD/92258/2013, SFRH/BD/93107/2013] Funding Source: FCT</t>
  </si>
  <si>
    <t>European Funds through COMPETE; National Funds through the Portuguese Science Foundation (FCT)(Fundacao para a Ciencia e a Tecnologia (FCT)); Portuguese Fundacao para a Ciencia e Tecnologia (FCT)(Fundacao para a Ciencia e a Tecnologia (FCT)); FCT(Fundacao para a Ciencia e a Tecnologia (FCT)); Fundação para a Ciência e a Tecnologia(Fundacao para a Ciencia e a Tecnologia (FCT))</t>
  </si>
  <si>
    <t>This work was supported by European Funds through COMPETE and by National Funds through the Portuguese Science Foundation (FCT) within project PEst-C/MAR/LA0017/2013. Rosa Freitas and Vania Calisto benefited from a post-doc grants (SFRH/BPD/92258/2013 and SFRH/BPD/78645/2011, respectively) given by the Portuguese Fundacao para a Ciencia e Tecnologia (FCT). Catia Velez and Anthony Moreira benefited from a PhD grants (SFRH/BD/86356/2012 and SFRH/BD/93107/2013, respectively) given by the FCT.</t>
  </si>
  <si>
    <t>10.1016/j.envpol.2015.03.023</t>
  </si>
  <si>
    <t>http://dx.doi.org/10.1016/j.envpol.2015.03.023</t>
  </si>
  <si>
    <t>CI2MO</t>
  </si>
  <si>
    <t>WOS:000354581900025</t>
  </si>
  <si>
    <t>Moraga, D; Tanguy, A</t>
  </si>
  <si>
    <t>Moraga, D.; Tanguy, A.</t>
  </si>
  <si>
    <t>EFFECTS OF ANTHROPOGENIC FACTORS ON GENETIC DIVERSITY IN THE MARINE BIVALVE CRASSOSTREA GIGAS: SEARCH FOR GENETIC MARKERS</t>
  </si>
  <si>
    <t>VIE ET MILIEU-LIFE AND ENVIRONMENT</t>
  </si>
  <si>
    <t>BIOCIDES; ENVIRONMENT; POLLUTION; ALLOZYME POLYMORPHISM; DIVERSITY; GENETIC MARKERS</t>
  </si>
  <si>
    <t>The effects of various pollutants including heavy metals, pesticides and organic contaminant on the genetic structure of the marine bivalve Crassostrea gigas were studied as part of an environmental biomonitoring project. This research was carried out on two natural oyster populations from the French Atlantic coast. Results indicate a differential survival of allozyme genotypes for the populations which depends on the pollutant tested. The sensitivity of allozymes to environmental stress through differential mortality reflects the adaptive nature of the surviving individuals. Moreover, it supports the hypothesis that allozymes could be used as genetic indicators in marine bivalves. Our results revealed that the six studied enzyme loci (Aat-2, Ak, Pgdh, Cap-1, Pgi and Pgm) involved in the physiological processes were affected by the pollutants and can therefore be considered as potential genetic indicators.</t>
  </si>
  <si>
    <t>[Moraga, D.; Tanguy, A.] Univ Bretagne Occidentale, UMR CNRS 6539, Inst Univ Europeen Mer, F-29285 Brest, France</t>
  </si>
  <si>
    <t>Moraga, D (corresponding author), Univ Bretagne Occidentale, UMR CNRS 6539, Inst Univ Europeen Mer, 6 Ave Gorgeu,BP 809, F-29285 Brest, France.</t>
  </si>
  <si>
    <t>RDM (Marine Diversity Network)</t>
  </si>
  <si>
    <t>The authors wish to thank M. Johnson and M.C. Friocourt for her useful English corrections and A. Paimbeni for illustrations. This work was supported by the RDM (Marine Diversity Network).</t>
  </si>
  <si>
    <t>OBSERVATOIRE OCEANOLOGIQUE BANYULS</t>
  </si>
  <si>
    <t>BANYULS-SUR-MER CEDEX</t>
  </si>
  <si>
    <t>LABORATOIRE ARAGO, BP 44, 66651 BANYULS-SUR-MER CEDEX, FRANCE</t>
  </si>
  <si>
    <t>0240-8759</t>
  </si>
  <si>
    <t>VIE MILIEU</t>
  </si>
  <si>
    <t>Vie Milieu</t>
  </si>
  <si>
    <t>V22EJ</t>
  </si>
  <si>
    <t>WOS:000208258200011</t>
  </si>
  <si>
    <t>García-Luque, E; DelValls, AT; Forja, JM; Gómez-Parra, A</t>
  </si>
  <si>
    <t>Garcia-Luque, Enrique; DelValls, Angel T.; Forja, Jesus M.; Gomez-Parra, Abelardo</t>
  </si>
  <si>
    <t>Biological adverse effects on bivalves associated with trace metals under estuarine environments</t>
  </si>
  <si>
    <t>bioaccumulation; clams; estuaries; metallothioneins; simulation</t>
  </si>
  <si>
    <t>AZNALCOLLAR MINING SPILL; METALLOTHIONEIN CONCENTRATIONS; GUADALQUIVIR ESTUARY; RICH ESTUARY; HEAVY-METALS; CONTAMINATION; POLLUTION; BEHAVIOR; BINDING; SPAIN</t>
  </si>
  <si>
    <t>Toxic effects of pollutants on marine organisms can be studied both by performing field measurements, and by undertaking laboratory simulation experiments. Here is described the effect of trace metals Zn, Cd, Pb and Cu on the clam Scrobicularia plana along a salinity gradient simulated in a hypothetical estuary using simulation experiments. The simulator produces a continuous entry of trace metals into the estuary through injection in the lower salinity tank of the system. The clams were exposed during two weeks to different concentration of trace metals to assess the bioaccumulation process along a salinity gradient. Bivalves were analysed for body tissue residue to determine the bioaccumulation factors related to each metal and the salinity influence was addressed. Differences among tanks were observed as a result of the salinity gradient. In the achieved assays, the mechanism of bioaccumulation of Zn and Cd in organisms was more efficient at high salinity values. Bioaccumulation factors for both metals showed a linear increase with the increase of salinity values. It seems that the mechanism of bioaccumulation of Pb and Cu in organisms was dependent on two simultaneous processes: the proximity to the input point of metals and the low salinity values.</t>
  </si>
  <si>
    <t>Univ Cadiz, Fac Ciencias Mar, Dept Quim Fis, E-11510 Puerto Real, Spain</t>
  </si>
  <si>
    <t>García-Luque, E (corresponding author), Univ Cadiz, Fac Ciencias Mar, Dept Quim Fis, Campus Rio San Pedro S-N, E-11510 Puerto Real, Spain.</t>
  </si>
  <si>
    <t>; Del Valls, T. Angel/K-9664-2014; Garcia-Luque, Enrique/L-8743-2014</t>
  </si>
  <si>
    <t>Forja Pajares, Jesus/0000-0003-3780-059X; Del Valls, T. Angel/0000-0001-7674-9278; Gomez-Parra, Abelardo/0000-0002-9814-4218; Garcia-Luque, Enrique/0000-0002-8218-1583</t>
  </si>
  <si>
    <t>10.1007/s10661-006-9444-x</t>
  </si>
  <si>
    <t>http://dx.doi.org/10.1007/s10661-006-9444-x</t>
  </si>
  <si>
    <t>WOS:000247467900003</t>
  </si>
  <si>
    <t>Zhu, XT; Qiang, LY; Shi, HH; Cheng, JP</t>
  </si>
  <si>
    <t>Zhu, Xiaotong; Qiang, Liyuan; Shi, Huahong; Cheng, Jinping</t>
  </si>
  <si>
    <t>Bioaccumulation of microplastics and its in vivo interactions with trace metals in edible oysters</t>
  </si>
  <si>
    <t>Microplastics; Oyster; Bioaccumulation; Translocation; Trace metals; In vivo interactions</t>
  </si>
  <si>
    <t>PLASTIC PRODUCTION PELLETS; HEAVY-METALS; CRASSOSTREA-GIGAS; SURFACE SEDIMENTS; YELLOW SEA; MARINE; ACCUMULATION; INGESTION; POLLUTION; DEBRIS</t>
  </si>
  <si>
    <t>Microplastics have been an emerging threat to marine environments and marine life. Oysters as seafood are popular worldwide, yet also a high-risk group to accumulate pollutants due to their filter-feeding nature. In this study, edible oysters were collected from Yantai, a coastal city in China, to study the uptake, accumulation and translocation of microplastics in marine life, as well as their in vivo interactions with other persistent pollutants. Microplastics were found in all of the studied oyster tissue samples with an average concentration around 4.53 items/g wet weight (24.49 items/g dry weight). Microplastics were mainly translocated and distributed in the gills and mantle of the studied oysters in the form of fibers. The detected microplastics in the oysters were mostly cellophane and polyester as identified by the micro-Fourier transform infrared spectroscope. Cellophane tends to accumulate in gills, mantle and muscle while polyester tends to accumulate in digestive glands of the studied oysters. Excessive concentrations of trace metals (30.484, 4.415, 0.395 and 181.044 mu g/g dry weight of Cr, Cd, Pb and Cu, respectively) were detected in the studied oysters using inductively coupled plasma mass spectrometry. Trace metals of Cr, Mn, Ni, Cu, Zn, Cd and Pb were found to be adsorbed on the surface of microplastics isolated from the oysters. There was a correlation between the in vivo concentration of microplastics and the in vivo concentration of four trace metals: Cd, Cr, Cu and Pb, which suggests potential in vivo interactions between microplastics and trace metals. This study can help to understand the impacts of microplastics and their joint toxicity with other pollutants on marine life, especially on aquaculture seafood. This study will be an important reference for the assessment of health risks associated with consumption of edible coastal oysters in China.</t>
  </si>
  <si>
    <t>[Zhu, Xiaotong; Qiang, Liyuan; Shi, Huahong; Cheng, Jinping] East China Normal Univ, State Key Lab Estuarine &amp; Coastal Res, Shanghai 200062, Peoples R China; [Cheng, Jinping] Hong Kong Univ Sci &amp; Technol, Sch Sci, State Key Lab Marine Pollut, Kowloon, Clear Water Bay, Hong Kong, Peoples R China; [Cheng, Jinping] Hong Kong Univ Sci &amp; Technol, Sch Sci, Dept Ocean Sci, Kowloon, Clear Water Bay, Hong Kong, Peoples R China</t>
  </si>
  <si>
    <t>East China Normal University; Hong Kong University of Science &amp; Technology; Hong Kong University of Science &amp; Technology</t>
  </si>
  <si>
    <t>Cheng, JP (corresponding author), Hong Kong Univ Sci &amp; Technol, Sch Sci, State Key Lab Marine Pollut, Kowloon, Clear Water Bay, Hong Kong, Peoples R China.;Cheng, JP (corresponding author), Hong Kong Univ Sci &amp; Technol, Sch Sci, Dept Ocean Sci, Kowloon, Clear Water Bay, Hong Kong, Peoples R China.</t>
  </si>
  <si>
    <t>jincheng@ust.hk</t>
  </si>
  <si>
    <t>cheng, jinping/GLN-6785-2022; Shi, Huahong/F-1511-2011; Qiang, Liyuan/LBI-4651-2024</t>
  </si>
  <si>
    <t>Shi, Huahong/0000-0003-2978-0680; Cheng, Jinping/0000-0003-3585-6645</t>
  </si>
  <si>
    <t>State Key Laboratory of Estuarine and Coastal Research at East China Normal University; Hong Kong Branch of Southern Marine Science and Engineering Guangdong Laboratory (Guangzhou) [SMSEGL20SC01]; State Key Laboratory of Marine Pollution (City University of Hong Kong)</t>
  </si>
  <si>
    <t>State Key Laboratory of Estuarine and Coastal Research at East China Normal University; Hong Kong Branch of Southern Marine Science and Engineering Guangdong Laboratory (Guangzhou); State Key Laboratory of Marine Pollution (City University of Hong Kong)</t>
  </si>
  <si>
    <t>This work was supported by State Key Laboratory of Estuarine and Coastal Research at East China Normal University, and the Hong Kong Branch of Southern Marine Science and Engineering Guangdong Laboratory (Guangzhou) (Project: SMSEGL20SC01). The work was also partially supported by the State Key Laboratory of Marine Pollution (City University of Hong Kong). We thank Mr. Linus Lo for his kind help in the revision of this manuscript.</t>
  </si>
  <si>
    <t>10.1016/j.marpolbul.2020.111079</t>
  </si>
  <si>
    <t>http://dx.doi.org/10.1016/j.marpolbul.2020.111079</t>
  </si>
  <si>
    <t>WOS:000528205900050</t>
  </si>
  <si>
    <t>Banks, J; Ross, DJ; Keough, MJ</t>
  </si>
  <si>
    <t>Banks, Joanne; Ross, D. Jeff; Keough, Michael J.</t>
  </si>
  <si>
    <t>Short-term (24 h) effects of mild and severe hypoxia (20% and 5% dissolved oxygen) on metal partitioning in highly contaminated estuarine sediments</t>
  </si>
  <si>
    <t>metal pollution; hypoxia; DGT; estuarine sediment</t>
  </si>
  <si>
    <t>TRACE-METALS; DIFFUSIVE GRADIENTS; THIN-FILMS; BIOGEOCHEMICAL CONTROL; TRANSPLANTED MUSSELS; ORGANIC ENRICHMENT; PORE WATERS; DGT; AVAILABILITY; COPPER</t>
  </si>
  <si>
    <t>The effects of a short-term (24 h) reduction in bottom-water dissolved oxygen concentration (DO) on metal (Cd, Cu, Fe, Mn, Pb and Zn) partitioning within metal-contaminated sediments in replicated, undisturbed sediment/water chambers show that even very brief periods of hypoxia may significantly increase the dissolved fraction of these heavy metals within contaminated sediments, increasing their potential for ecological harm. This study used treatments consisting of three DO levels (75%, 20% and 5% saturation) representing ambient conditions, mild hypoxia and severe hypoxia. Although contaminant loads were very high in these sediments, pore-water concentrations were relatively low. Total sediment and dilute acid (1 M HCI) extracted metals were unaffected by low DO treatments but a diffusive gradient in thin-films samplers (DGTs), detected a two-fold increase in pore-water Cd and a five-fold increase in pore-water Cu in surface sediments (0-3 cm depth) under low oxygen conditions. (C) 2011 Elsevier Ltd. All rights reserved.</t>
  </si>
  <si>
    <t>[Banks, Joanne; Keough, Michael J.] Univ Melbourne, Dept Zool, Melbourne, Vic 3010, Australia; [Ross, D. Jeff] Univ Tasmania, Inst Marine &amp; Antarctic Studies, Taroona, Tas 7053, Australia</t>
  </si>
  <si>
    <t>University of Melbourne; University of Tasmania</t>
  </si>
  <si>
    <t>Banks, J (corresponding author), Univ Melbourne, Dept Zool, Melbourne, Vic 3010, Australia.</t>
  </si>
  <si>
    <t>jlbanks72@gmail.com; jeff.Ross@utas.edu.au; mjkeough@unimelb.edu.au</t>
  </si>
  <si>
    <t>; Ross, Donald/F-7607-2012</t>
  </si>
  <si>
    <t>Keough, Michael/0000-0002-3382-3068; Ross, Donald/0000-0002-8659-3833</t>
  </si>
  <si>
    <t>Australian Government's Coastal Catchments Initiative; ARC [LP0770222]; Norske-Skog Boyer; Derwent Estuary Program</t>
  </si>
  <si>
    <t>Australian Government's Coastal Catchments Initiative(Australian Government); ARC(Australian Research Council); Norske-Skog Boyer; Derwent Estuary Program</t>
  </si>
  <si>
    <t>This work was made possible due to funding support from the Australian Government's Coastal Catchments Initiative and an ARC Linkage grant (LP0770222) to D.J.R. and M.J.K. Norske-Skog Boyer and the Derwent Estuary Program provided financial and in-kind assistance. We would like to thank Ed Butler, Lois Koehnken and Ruth Eriksen for their invaluable manuscript comments. Thanks to John Keane for providing first-rate field and laboratory assistance. We would also like to acknowledge the excellent analytical skills of Ashley Townsend of Central Science Laboratories (CSL), University of Tasmania and John O'Reilly of Analytical Services Tasmania (AST).</t>
  </si>
  <si>
    <t>10.1016/j.ecss.2011.12.025</t>
  </si>
  <si>
    <t>http://dx.doi.org/10.1016/j.ecss.2011.12.025</t>
  </si>
  <si>
    <t>920ZR</t>
  </si>
  <si>
    <t>WOS:000302448300012</t>
  </si>
  <si>
    <t>dos Santos, FS; Krepsky, N; Teixeira, VL; Martins, VB; da Silva, PM; Neves, RAF</t>
  </si>
  <si>
    <t>dos Santos, Fernanda Silva; Krepsky, Natascha; Teixeira, Valeria Laneuville; Martins, Vinicius Barbosa; da Silva, Patricia Mirella; Neves, Raquel A. F.</t>
  </si>
  <si>
    <t>Fecal pollution increases susceptibility to diseases in brown mussel Perna perna from cultured and wild populations</t>
  </si>
  <si>
    <t>Commercial bivalve; Mariculture; Microbial contamination; Parasitic infection; Pathological conditions</t>
  </si>
  <si>
    <t>RIO-DE-JANEIRO; PHYSIOLOGICAL-RESPONSES; EMERGING POLLUTANTS; HARVESTING AREAS; CONTAMINATION; COAST; ENVIRONMENT; INDICATORS; STRESS; LAGOON</t>
  </si>
  <si>
    <t>Maricultural systems for food production have expanded worldwide since the 2000s, including the production of brown mussel Perna perna -a key aquaculture species in Venezuela, South Africa, and Brazil. Bivalves grown in sewage-polluted areas can act as sources for human diseases given their filter-feeding behavior. Moreover, sewage can affect mussels' microbiota and fitness, thereby making them more susceptible to infections and diseases, leading to mortalities. In the present study, we investigated the impacts of coastal fecal pollution on P. perna pathological conditions. Fecal indicator bacteria (FIB) were used to assess the microbiological quality in the seawater and mussels' hemolymph from four beaches located at Guanabara Bay, Rio de Janeiro, Brazil: Vermelha (VB), Icarai (IB), and Urca (UB), where mussels are exploited for consumption and local market sale; and Jurujuba (JB) farming area where mussels are cultured. Additionally, mussels had their organs surveyed for pathological conditions and parasitic infection by histology. UB presented the highest FIB counts in seawater, followed by IB, JB and VB. Moreover, significantly lower values of total coliforms (TC) were found in mussels' hemolymph from VB and IB than JB and UB, which are probably related to differences in the hydrodynamic of these beaches; VB and IB are open beaches, while JB and UB are sheltered. Our findings suggest that mussel's hemolymph could be used as an indicator of the water quality. Mussels from VB and IB presented lower overall incidence of pathological conditions than ones from JB and UB, suggesting that higher fecal contamination increases mussel susceptibility to pathologies. Mussels from VB were associated with an elasmobranch parasite (Tylocephalum sp.) that indicate a conservative ecological dynamic. Our findings highlight that sewage inputs into coastal systems and farming areas raises the risks of parasitosis and diseases in mussels, which may compromise the quantity and quality of shellfish production and lead to economic losses. In response, public investments in urban planning and sanitary regulation close to coastal systems and farming areas are crucial to prevent future problems for the shellfish market and human safety, especially in developing countries such as Brazil.</t>
  </si>
  <si>
    <t>[dos Santos, Fernanda Silva; Teixeira, Valeria Laneuville] Fluminense Fed Univ UFF, Inst Biol, Grad Program Sci &amp; Biotechnol, R Mario Santos Braga S-N, BR-24020141 Niteroi, RJ, Brazil; [Krepsky, Natascha; Teixeira, Valeria Laneuville; Neves, Raquel A. F.] Fed Univ State Rio de Janeiro UNIRIO, Inst Biosci IBIO, Grad Program Neotrop Biodivers PPGBIO, Ave Pasteur 458, BR-22290255 Rio De Janeiro, RJ, Brazil; [Martins, Vinicius Barbosa; da Silva, Patricia Mirella] Fed Univ Paraiba UFPB, Dept Mol Biol, Lab Immunol &amp; Pathol Marine Invertebrates LABIPI, BR-58051900 Joao Pessoa, Paraiba, Brazil; [Krepsky, Natascha] Fed Univ State Rio de Janeiro UNIRIO, Inst Biosci IBIO, Grad Program Ecotourism &amp; Conservat, Ave Pasteur 458, BR-22290255 Rio De Janeiro, RJ, Brazil; [dos Santos, Fernanda Silva; Neves, Raquel A. F.] Fed Univ State Rio de Janeiro UNIRIO, Inst Biosci IBIO, Res Grp Expt &amp; Aquat Ecol, Ave Pasteur 458-307, BR-22290240 Rio De Janeiro, RJ, Brazil</t>
  </si>
  <si>
    <t>Universidade Federal Fluminense; Universidade Federal do Estado do Rio de Janeiro; Universidade Federal do Estado do Rio de Janeiro; Universidade Federal do Estado do Rio de Janeiro</t>
  </si>
  <si>
    <t>dos Santos, FS (corresponding author), Fluminense Fed Univ UFF, Inst Biol, Grad Program Sci &amp; Biotechnol, R Mario Santos Braga S-N, BR-24020141 Niteroi, RJ, Brazil.</t>
  </si>
  <si>
    <t>fernandasildosan@hotmail.com</t>
  </si>
  <si>
    <t>Krepsky, Natascha/T-9257-2019; Teixeira, Valéria/E-8241-2018; da Silva, Patricia/A-5115-2018; Santos, Fernanda/M-8822-2018; A. F. Neves, Raquel/D-5128-2015; Krepsky, Natascha/F-3638-2011</t>
  </si>
  <si>
    <t>da Silva, Patricia Mirella/0000-0001-9687-0235; A. F. Neves, Raquel/0000-0002-2627-9666; Krepsky, Natascha/0000-0003-2314-5563; Silva dos Santos, Fernanda/0000-0002-5891-5858</t>
  </si>
  <si>
    <t>Brazilian National Council for Scientific and Technological Development (CNPq) [558083/2009-9, 441373/20160]; Foundation Carlos Chagas Filho Research Support of the State of Rio de Janeiro (FAPERJ) [136375, E-26/110.144/2013]; Coordenacao de Aperfeicoamento de Pessoal de Nivel Superior -Brasil (CAPES) [001, 88882.457000/2019.1]; Universidade Federal do Estado do Rio de Janeiro (UNIRIO) [INOVA UNIRIO IN-01/2019]; FAPERJ [SEI-260003/004772/2021, E-26/202.794/2018, E-26/201.016/2020]; CNPq [301964/2018-1]</t>
  </si>
  <si>
    <t>Brazilian National Council for Scientific and Technological Development (CNPq)(Conselho Nacional de Desenvolvimento Cientifico e Tecnologico (CNPQ)); Foundation Carlos Chagas Filho Research Support of the State of Rio de Janeiro (FAPERJ)(Fundacao Carlos Chagas Filho de Amparo a Pesquisa do Estado do Rio De Janeiro (FAPERJ)); Coordenacao de Aperfeicoamento de Pessoal de Nivel Superior -Brasil (CAPES)(Coordenacao de Aperfeicoamento de Pessoal de Nivel Superior (CAPES)); Universidade Federal do Estado do Rio de Janeiro (UNIRIO); FAPERJ(Fundacao Carlos Chagas Filho de Amparo a Pesquisa do Estado do Rio De Janeiro (FAPERJ)); CNPq(Conselho Nacional de Desenvolvimento Cientifico e Tecnologico (CNPQ))</t>
  </si>
  <si>
    <t>The authors are grateful to Professor Luciano N. Santos for helpful discussion about the manuscript and assistance in multivariate analysis and to the advisory of Professor Mirian Araujo Carlos Crapez during Fernanda Silva dos Santos Master's degree. This study is part of the project PELD/Guanabara: Pesquisas Ecologicas de Longa Duracao financially supported by Brazilian National Council for Scientific and Technological Development (CNPq; 558083/2009-9 and 441373/20160) and Foundation Carlos Chagas Filho Research Support of the State of Rio de Janeiro (FAPERJ; 136375 and E-26/110.144/2013). Moreover, this study was partially financed by the Coordenacao de Aperfeicoamento de Pessoal de Nivel Superior -Brasil (CAPES) -Finance Code 001 -[Fernanda Silva dos Santos-doctoral fellowship 88882.457000/2019.1], and financial support provided by the Universidade Federal do Estado do Rio de Janeiro (UNIRIO) -[INOVA UNIRIO IN-01/2019 attributed to Natascha Krepsky and INOVA UNIRIO IN-01/2019 attributed to Raquel A. F. Neves], and by the FAPERJ through the Research Grant attributed to Raquel A. F. Neves (SEI-260003/004772/2021). Val ' eria Laneuville Teixeira thanks Productivity Grant to CNPq (301964/2018-1) and FAPERJ (E-26/202.794/2018 and E-26/201.016/2020).</t>
  </si>
  <si>
    <t>MAR 30</t>
  </si>
  <si>
    <t>10.1016/j.aquaculture.2022.737922</t>
  </si>
  <si>
    <t>http://dx.doi.org/10.1016/j.aquaculture.2022.737922</t>
  </si>
  <si>
    <t>0A0LC</t>
  </si>
  <si>
    <t>WOS:000773652600014</t>
  </si>
  <si>
    <t>Caricato, R; Giordano, ME; Schettino, T; Maisano, M; Mauceri, A; Giannetto, A; Cappello, T; Parrino, V; Ancora, S; Caliani, I; Bianchi, N; Leonzio, C; Mancini, G; Cappello, S; Fasulo, S; Lionetto, MG</t>
  </si>
  <si>
    <t>Caricato, R.; Giordano, M. E.; Schettino, T.; Maisano, M.; Mauceri, A.; Giannetto, A.; Cappello, T.; Parrino, V.; Ancora, S.; Caliani, I.; Bianchi, N.; Leonzio, C.; Mancini, G.; Cappello, S.; Fasulo, S.; Lionetto, M. G.</t>
  </si>
  <si>
    <t>Carbonic anhydrase integrated into a multimarker approach for the detection of the stress status induced by pollution exposure in Mytilus galloprovincialis: A field case study</t>
  </si>
  <si>
    <t>Carbonic anhydrase; Mytilus galloprovincialis; Lysosome; Hif-alpha; Multi-marker approach; Metal pollution</t>
  </si>
  <si>
    <t>NMR-BASED METABOLOMICS; ATLANTIC BLUEFIN TUNA; FRESH-WATER MUSSEL; CAGED MUSSELS; ENVIRONMENTAL-POLLUTION; LYSOSOMAL RESPONSES; DIGESTIVE GLAND; PETROCHEMICAL CONTAMINATION; METALLOTHIONEIN EVALUATION; MARINE ORGANISMS</t>
  </si>
  <si>
    <t>The work was addressed to study the sensitivity of the enzyme carbonic anhydrase (CA) to chemical pollution in the hepatopancreas of the bioindicator organism Mytilus galloprovincialis in the context of a multimarker approach in view of ecotoxicological biomonitoring and assessment application. The study was carried out by means of a transplanting experiment in the field, using caged organisms from an initial population exposed in the field in two areas of interest: Augusta-Melilli-Priolo, an heavy polluted industrial site (eastern Sicily, Italy), and Brucoli (eastern Sicily, Italy) an area not affected by any contamination and selected as a reference site. Mussels in Augusta presented a significant increase in the digestive gland CA activity and gene expression compared to the animals caged in the control site of Brucoli. The CA response in animals from the polluted site was paralleled by proliferation/increase in the size of lysosomes, as assessed by Lysosensor green charged cells, induction of metallothionein, up-regulation of hif-alpha (hypoxia-inducible factor), metabolic changes associated with protein metabolism, and changes in the condition factor. Biological responses data were integrated with information about sediment chemical analysis and metal residue concentration in animal soft tissues. In conclusion, obtained results highlighted the induction of CAs in the hepatopancreas of Mytilus galloprovincialis following to pollution exposure, and demonstrated its suitability to be integrated into a multimarker approach for the detection and characterization of the stress status induced by pollution exposure in this bioindicator organism. (C) 2019 Elsevier B.V. All rights reserved.</t>
  </si>
  <si>
    <t>[Caricato, R.; Giordano, M. E.; Schettino, T.; Lionetto, M. G.] Univ Salento, Dip Sci &amp; Tecnol Biol &amp; Ambientali DiSTeBA, Via Prov Lecce Monteroni, I-73100 Lecce, Italy; [Maisano, M.; Mauceri, A.; Giannetto, A.; Cappello, T.; Parrino, V.; Fasulo, S.] Univ Messina, Dip Sci Chim Biol Farmaceut &amp; Ambientali, Via Ferdinando Stagno dAlcontres 31, I-98166 Messina, Italy; [Ancora, S.; Caliani, I.; Bianchi, N.; Leonzio, C.] Univ Siena, Dip Sci Fis Terra &amp; Ambiente, Str Laterina 8, Siena, Italy; [Mancini, G.] Univ Catania, Dip Ingn Elettr Elettron &amp; Informat, Viale Andrea Doria 6, Catania, Italy; [Cappello, S.] CNR, Ist Ambiente Marino Costiero, Spianata S Raineri 86, I-98122 Messina, Italy</t>
  </si>
  <si>
    <t>University of Salento; University of Messina; University of Siena; University of Catania; Consiglio Nazionale delle Ricerche (CNR); L'Istituto per l'Ambiente Marino Costiero (IAMC-CNR)</t>
  </si>
  <si>
    <t>Maisano, M (corresponding author), Univ Messina, Dip Sci Chim Biol Farmaceut &amp; Ambientali, Viale F Stagno DAlconters, I-98100 Messina, Italy.;Lionetto, MG (corresponding author), Univ Salento, Dip Sci &amp; Tecnol Biol &amp; Ambientali, Via Prov Lecce Monteroni, I-73100 Lecce, Italy.</t>
  </si>
  <si>
    <t>maria.maisano@unime.it; giulia.lionetto@unisalento.it</t>
  </si>
  <si>
    <t>Giordano, Maria/AEH-2986-2022; Parrino, Vincenzo/O-8408-2019; ANCORA, STEFANIA/AAG-6281-2021; Giannetto, Alessia/AAA-6735-2019; Mancini, Giuseppe/C-4544-2015; CAPPELLO, TIZIANA/J-6902-2016; Lionetto, Maria Giulia/H-1356-2011</t>
  </si>
  <si>
    <t>Mancini, Giuseppe/0000-0002-0953-7934; Ancora, Stefania/0000-0002-2716-3526; CAPPELLO, TIZIANA/0000-0002-7790-6324; PARRINO, Vincenzo/0000-0001-8331-212X; MAISANO, Maria/0000-0003-2517-5117; Lionetto, Maria Giulia/0000-0003-3752-0192</t>
  </si>
  <si>
    <t>PRIN project [2010ARBLT7_005]</t>
  </si>
  <si>
    <t>PRIN project(Ministry of Education, Universities and Research (MIUR)Research Projects of National Relevance (PRIN))</t>
  </si>
  <si>
    <t>This study was supported by the PRIN project prot. 2010ARBLT7_005.</t>
  </si>
  <si>
    <t>10.1016/j.scitotenv.2019.06.446</t>
  </si>
  <si>
    <t>http://dx.doi.org/10.1016/j.scitotenv.2019.06.446</t>
  </si>
  <si>
    <t>IT0QC</t>
  </si>
  <si>
    <t>WOS:000482549900015</t>
  </si>
  <si>
    <t>Snyman, RG; Reinecke, AJ; Reinecke, SA</t>
  </si>
  <si>
    <t>Changes in oocyte numbers in the ovoteslis of Helix aspersa, after experimenta exposure to the fungicide copper oxychloride</t>
  </si>
  <si>
    <t>LITTORINA-LITTOREA; POPULATION RESPONSES; LYSOSOMAL BIOMARKER; FIELD POPULATION; CADMIUM; OLIGOCHAETA; GASTROPODS; STRESSORS; POLLUTION; MUSSELS</t>
  </si>
  <si>
    <t>Cape Technikon, Dept Environm Sci, ZA-8000 Cape Town, South Africa; Univ Stellenbosch, Dept Zool, ZA-7602 Matieland, South Africa</t>
  </si>
  <si>
    <t>Cape Peninsula University of Technology; Stellenbosch University</t>
  </si>
  <si>
    <t>Snyman, RG (corresponding author), Cape Technikon, Dept Environm Sci, Private Bag 652, ZA-8000 Cape Town, South Africa.</t>
  </si>
  <si>
    <t>Snyman, Reinette G./ADY-1385-2022</t>
  </si>
  <si>
    <t>Snyman, Reinette G./0000-0001-6933-0866</t>
  </si>
  <si>
    <t>10.1007/s00128-004-0442-9</t>
  </si>
  <si>
    <t>http://dx.doi.org/10.1007/s00128-004-0442-9</t>
  </si>
  <si>
    <t>856ED</t>
  </si>
  <si>
    <t>WOS:000224027600027</t>
  </si>
  <si>
    <t>Rementeria, A; Mikolaczyk, M; Peña, A; Lanceleur, L; Blanc, G; Soto, M; Schäfer, J; Zaldibar, B</t>
  </si>
  <si>
    <t>Rementeria, Ane; Mikolaczyk, Mathilde; Pena, Ainhize; Lanceleur, Laurent; Blanc, Gerard; Soto, Manu; Schafer, Jorg; Zaldibar, Benat</t>
  </si>
  <si>
    <t>Assessment of health status of oysters (Crassostrea gigas) exposed to environmentally relevant concentrations of Ag and Cu in brackish waters</t>
  </si>
  <si>
    <t>15th International Symposium of Oceanography of the Bay of Biscay (ISOBAY)</t>
  </si>
  <si>
    <t>JUN 22-24, 2016</t>
  </si>
  <si>
    <t>Bilbao, SPAIN</t>
  </si>
  <si>
    <t>Trace metals; Biomarker; Crassostrea gigas; Integrative biological response; Ecotoxicology</t>
  </si>
  <si>
    <t>INTEGRATIVE BIOMARKER APPROACH; MUSSEL MYTILUS-EDULIS; PACIFIC OYSTER; DIGESTIVE GLAND; SUBCELLULAR-DISTRIBUTION; SEASONAL-VARIATION; RISK-ASSESSMENT; SILVER; ESTUARINE; SALINITY</t>
  </si>
  <si>
    <t>Human activities have altered estuarine environments leading to increased presence of different pollutants including metals. Although the implementation of new environmental policies has caused a considerable decrease in trace metal concentrations in estuaries around the Bay of Biscay, some elements such as copper (Cu) and silver (Ag) are still present in relatively high concentrations. Oysters have been widely used in environmental biomonitoring programs as sentinel organisms. Oysters Crassostrea gigas from an uncontaminated estuary were exposed to sublethal, environmentally relevant concentrations of Cu (2000 ng Cu/L) and Ag (500 ng Ag/L) during 14 days in brackish water (S = 18). A battery of cell and tissue level (exposure) biomarkers at different levels of biological complexity was applied and integrated into the Integrative Biological Response (IBR) index including: metallothionein contents, intralysosomal metal accumulation, digestive gland atrophy and digestive gland tissue integrity. Condition Index (CI) was incorporated into the IBR index as a complementary parameter that reflects the general physiological condition of oysters (organism level). Results indicated an increase in intralysosomal metal accumulation after 7 and 14 days of exposure to Ag together with an increase in the digestive epithelium atrophy and lipofuscin content after 7 days of exposure to Ag. The responses detected with the aid of biomarkers integrated in the IBR index showed higher toxicity in oysters exposed to Ag, inducing the dear onset of detoxification processes which also occurred, to a lower extent, in Cu exposed oysters.</t>
  </si>
  <si>
    <t>[Rementeria, Ane; Pena, Ainhize; Soto, Manu; Zaldibar, Benat] Univ Basque Country, Dept Zool &amp; Anim Cell Biol, Sci &amp; Technol Fac, CBET Res Grp,UPV EHU, POB 644, E-48080 Bilbao, Basque Country, Spain; [Rementeria, Ane; Pena, Ainhize; Soto, Manu; Zaldibar, Benat] Univ Basque Country, Res Ctr Expt Marine Biol &amp; Biotechnol PIE UPV EHU, UPV EHU, POB 644, E-48080 Bilbao, Basque Country, Spain; [Rementeria, Ane; Mikolaczyk, Mathilde; Lanceleur, Laurent; Blanc, Gerard; Schafer, Jorg] Univ Bordeaux, UMR EPOC 5805, Allee Geoffroy St Hilaire,CS50023, F-33615 Pessac, France; [Lanceleur, Laurent] Univ Pau &amp; Pays Adour, CNRS UMR 5254, IPREM, LCABIE, Heliparc Pau Pyrenees,2 Av P Angot, F-64053 Pau 9, France</t>
  </si>
  <si>
    <t>University of Basque Country; University of Basque Country; Universite de Bordeaux; Centre National de la Recherche Scientifique (CNRS); Universite de Pau et des Pays de l'Adour</t>
  </si>
  <si>
    <t>Rementeria, A (corresponding author), Univ Basque Country, Res Ctr Expt Marine Biol &amp; Biotechnol PIE UPV EHU, UPV EHU, POB 644, E-48080 Bilbao, Basque Country, Spain.;Rementeria, A (corresponding author), Univ Basque Country, Dept Zool &amp; Anim Cell Biol, Sci &amp; Technol Fac, UPV EHU, POB 644, E-48080 Bilbao, Spain.</t>
  </si>
  <si>
    <t>ane.rementeria@ehu.eus; mathilde.mikolaczyk@u-bordeaux.fr; apena032@ehu.ikasle.eus; laurent.lanceleur@univ-pau.fr; gerard.blanc@u-bordeaux.fr; manu.soto@ehu.eus; jorg.schafer@u-bordeaux.fr; benat.zaldibar@ehu.eus</t>
  </si>
  <si>
    <t>Zaldibar, Benat/Y-6728-2018</t>
  </si>
  <si>
    <t>Zaldibar, Benat/0000-0002-5528-451X; Schafer, Jorg/0000-0003-2631-908X; Blanc, Gerard/0009-0005-9814-0427; soto, manu/0000-0002-4541-8182</t>
  </si>
  <si>
    <t>Basque Government [IT810-13]; MINECO [CTM2012-40203-C02-01]; La Region de Aquitaine; le FEDER Aquitaine; l'Agence Nationale de Recherche [ANR-07-VULN-003]; Agence de l'Eau Adour-Garonne; University of the Basque Country (UPV/EHU)</t>
  </si>
  <si>
    <t>Basque Government(Basque Government); MINECO(Spanish Government); La Region de Aquitaine; le FEDER Aquitaine; l'Agence Nationale de Recherche(Agence Nationale de la Recherche (ANR)); Agence de l'Eau Adour-Garonne; University of the Basque Country (UPV/EHU)</t>
  </si>
  <si>
    <t>This work was funded by a grant of the Basque Government to consolidated research groups (IT810-13) and the Research Project, CTM2012-40203-C02-01 (MINECO), La Region de Aquitaine, le FEDER Aquitaine, l'Agence Nationale de Recherche (ANR-07-VULN-003) and the Agence de l'Eau Adour-Garonne. Rementeria A. received a PhD grant from the University of the Basque Country (UPV/EHU) for carrying out her PhD in co-tutelle between the University of the Basque Country (UPV/EHU) and the University of Bordeaux.</t>
  </si>
  <si>
    <t>10.1016/j.seares.2017.04.013</t>
  </si>
  <si>
    <t>http://dx.doi.org/10.1016/j.seares.2017.04.013</t>
  </si>
  <si>
    <t>FR9RF</t>
  </si>
  <si>
    <t>WOS:000419410100020</t>
  </si>
  <si>
    <t>Rodríguez-Ortega, MJ; Rodríguez-Ariza, A; Amezcua, O; López-Barea, J</t>
  </si>
  <si>
    <t>Mutagenic activation of arylamines by subcellular fractions of Chamaelea gallina clams exposed to environmental pollutants</t>
  </si>
  <si>
    <t>mollusks; 2-aminoanthracene; acetylaminofluorene; pollution biomarkers; mono-oxygenases; promutagens</t>
  </si>
  <si>
    <t>CARCINOGENIC AROMATIC-AMINES; METABOLIC-ACTIVATION; OXIDATIVE STRESS; BIOACTIVATION; CYTOCHROME-P-450; INDUCTION; OXIDASE; LIVER; TRIBUTYLTIN; INHIBITION</t>
  </si>
  <si>
    <t>Biochemical measurements in the sentinel clam Chamaelea gallina have been used as biomarkers of marine pollution. In this study, S9, cytosolic fractions (CF), and microsomal fractions (MF) prepared from unexposed clams and clams exposed to model pollutants were used to activate 2-aminoanthracene (2-AA) and 2-acetylaminofluorene (AAF) to mutagens in Salmonella typhimurium strain BA149, which overexpresses O-acetyltransferase. Arylamine activation was similar with subcellular fractions from unexposed and Aroclor 1 254-exposed clams, but decreased with fractions from As(III)- and Cu(II)-exposed clams. Bioactivation of arylamines by CF was higher than by MF, and higher with NADH than with NADPH as the reducing agent. a-Naphthoflavone inhibited AAF activation by CF and MF, but increased 2-AA activation nearly twofold. In contrast to the results with arylamine activation, benzo[a]pyrene hydrox-ylase (BPH) activity increased twofold in fractions from Aroclor 1254- and Cu(II)-exposed clams. Activation of 2-AA was also evaluated using S9 fractions from clams sampled at littoral sites with different pollutant levels. Compared to a reference site, lower 2-AA bioactivation and higher BPH activity were found in clams containing high levels of copper and organic contaminants, although the differences were not statistically significant. While these findings agree with the results of the model Cu(II) exposure, the effects of other pollutants cannot be ruled out. The results of the study demonstrate that arylamine activation by clams is not preferentially catalyzed by microsomal monooxygenases but by unknown cytosolic system(s), and that bioactivation of 2-AA and AAF appears to occur by different pathways. (C) 2003 Wiley-Liss, Inc.</t>
  </si>
  <si>
    <t>Univ Cordoba, Dept Biochem &amp; Mol Biol, Cordoba 14071, Spain; CICEM El Toruno, Cadiz, Spain</t>
  </si>
  <si>
    <t>Universidad de Cordoba</t>
  </si>
  <si>
    <t>Rodriguez-Ariza, Antonio/JAO-0548-2023; Rodriguez-Ortega, Manuel J./L-8244-2014; Rodriguez-Ariza, Antonio/U-4854-2017; Lopez-Barea, Juan/K-7258-2014</t>
  </si>
  <si>
    <t>Rodriguez-Ortega, Manuel J./0000-0002-8744-7045; Rodriguez-Ariza, Antonio/0000-0001-5304-5745; Lopez-Barea, Juan/0000-0002-2280-3379</t>
  </si>
  <si>
    <t>1098-2280</t>
  </si>
  <si>
    <t>10.1002/em.10130</t>
  </si>
  <si>
    <t>http://dx.doi.org/10.1002/em.10130</t>
  </si>
  <si>
    <t>640QD</t>
  </si>
  <si>
    <t>WOS:000180698700007</t>
  </si>
  <si>
    <t>Yu, YJ; Qing, M; Ma, YD; Zhang, Y; Zheng, ST; Yu, C; He, JL</t>
  </si>
  <si>
    <t>Yu, Yujie; Qing, Min; Ma, Yidan; Zhang, Yan; Zheng, Shuting; Yu, Chao; He, Junlin</t>
  </si>
  <si>
    <t>Polydopamine assembled stable core-shell nanoworms-DNAzyme probe for selective detection of Pb2+and in living cells imaging</t>
  </si>
  <si>
    <t>Lead ion; Pb2+-specific DNAzyme; Cell imaging; Polydopamine; Nanoworms</t>
  </si>
  <si>
    <t>MUSSEL-INSPIRED POLYDOPAMINE; FLUORESCENCE; NANOPARTICLES</t>
  </si>
  <si>
    <t>Lead ion (Pb2+) is a major non-degradable environmental pollutant and poses threat to human health. DNAzymes have proved to be a promising tool for the detection of extracellular metal ions. Owing to cellular uptake, enzymatic degradation and reliable signal output, using DNAzymes to quantitative intracellular sensing of Pb2+ still presents challenges. In this study, we report a core-shell nanoworms-DNAzyme nanoprobe combing hairpin -like DNAzyme (H DNAzyme) with polydopamine-coated Au cores plasmonic nanoworms (Au@PDA NWs) for imaging of Pb2+ in living cells. PDA with good biocompatibility, high near-infrared (NIR) fluorescence quenching efficiency, and provides a larger surface for further functionalization of biomolecules. H DNAzyme can loaded onto Au@PDA NWs via coordination interaction and 7C-7C stacking, resulting in significant quenching of their fluorescence by PDA shells and Au cores. In the presence of target Pb2+, the H DNAzyme are activated and release Cy5 fluorophore-labeled short strands from Au@PDA NWs. Therefore, an increased fluorescence signal is observed and allows imaging of Pb2+ in living cells. Moreover, the highly selective of H DNAzyme make the proposed method effectively discriminate against other nonspecific molecules. The Au@PDA NWs-H DNAzyme nanoprobe shows good biocompatibility and obviously decreased background fluorescence, which can monitor Pb2+ levels and biodistribution. The developed nanoprobe holds great potential for further extend to bioimaging of other metal ions.</t>
  </si>
  <si>
    <t>[Yu, Yujie; Ma, Yidan; Zhang, Yan; Zheng, Shuting; He, Junlin] Chongqing Med Univ, Sch Publ Hlth &amp; Management, Chongqing 400016, Peoples R China; [Yu, Yujie; Ma, Yidan; Zhang, Yan; Zheng, Shuting; He, Junlin] Chongqing Med Univ, Joint Int Res Lab Reprod &amp; Dev, Chongqing 400016, Peoples R China; [Qing, Min; Yu, Chao] Chongqing Med Univ, Coll Pharm, Chongqing 400016, Peoples R China</t>
  </si>
  <si>
    <t>Chongqing Medical University; Chongqing Medical University; Chongqing Medical University</t>
  </si>
  <si>
    <t>He, JL (corresponding author), Chongqing Med Univ, Sch Publ Hlth &amp; Management, Chongqing 400016, Peoples R China.</t>
  </si>
  <si>
    <t>hejunlin@cqmu.edu.cn</t>
  </si>
  <si>
    <t>yu, yujie/KFB-4291-2024</t>
  </si>
  <si>
    <t>Qing, Min/0000-0001-9491-0360</t>
  </si>
  <si>
    <t>Construction Project of Postgraduates Tutor Team of Chongqing; [dstd201809]</t>
  </si>
  <si>
    <t>Construction Project of Postgraduates Tutor Team of Chongqing;</t>
  </si>
  <si>
    <t>This work was supported by grants from Construction Project of Postgraduates Tutor Team of Chongqing (Grant no. dstd201809) .</t>
  </si>
  <si>
    <t>10.1016/j.talanta.2022.123984</t>
  </si>
  <si>
    <t>http://dx.doi.org/10.1016/j.talanta.2022.123984</t>
  </si>
  <si>
    <t>6L3LQ</t>
  </si>
  <si>
    <t>WOS:000888088300004</t>
  </si>
  <si>
    <t>Ostroumov, SA</t>
  </si>
  <si>
    <t>Some aspects of water filtering activity of filter-feeders</t>
  </si>
  <si>
    <t>filter-feeders; water purification; bivalves; pollution; filtering activity</t>
  </si>
  <si>
    <t>BENTHIC SUSPENSION FEEDERS; FILTRATION-RATE; MYTILUS-EDULIS; MUSSEL BEDS; PHYTOPLANKTON; QUALITY; EUTROPHICATION; BIODEPOSITION; NUTRIENTS; IMPACT</t>
  </si>
  <si>
    <t>On the basis of the previous publications, our new data and the existing scientific literature, we have formulated some fundamental principles that characterize the pivotal roles of the biodiversity of filter-feeders in ecosystems. Among those roles are: (1) the role of ecological repair of water quality, (2) the role of contributing to reliability and stability of the functioning of the ecosystem, (3) the role of contributing to creation of habitat heterogeneity, (4) the role of contributing to acceleration of migration of chemical elements. It is an important feature of the biomachinery of filter-feeders that it removes from water various particles of a very broad range of sizes. Another important principle is that the amount of the organic matter filtered out of water is larger than the amount assimilated so that a significant part of the removed material serves no useful function to the organism of the filter-feeder, but serves a beneficial function to some other species and to the ecosystem as a whole. The new experiments by the author additionally demonstrated a vulnerability of the filtration activity of filter feeders (e.g., bivalves and rotifers) to some xenobiotics (tetradecyltrymethylammonium bromide, heavy metals and some others). The inhibition of the filtration activity of filter-feeders may lead to the situation previously described as that of an ecological bomb of the second type.</t>
  </si>
  <si>
    <t>Moscow MV Lomonosov State Univ, Fac Biol, Dept Hydrobiol, Moscow 119992, Russia</t>
  </si>
  <si>
    <t>Lomonosov Moscow State University</t>
  </si>
  <si>
    <t>Moscow MV Lomonosov State Univ, Fac Biol, Dept Hydrobiol, Moscow 119992, Russia.</t>
  </si>
  <si>
    <t>saostro@online.ru</t>
  </si>
  <si>
    <t>Ostroumov, Sergei/F-8983-2010</t>
  </si>
  <si>
    <t>Ostroumov, Sergei/0000-0002-5593-5044</t>
  </si>
  <si>
    <t>10.1007/s10750-004-1875-1</t>
  </si>
  <si>
    <t>http://dx.doi.org/10.1007/s10750-004-1875-1</t>
  </si>
  <si>
    <t>964KE</t>
  </si>
  <si>
    <t>WOS:000231879200027</t>
  </si>
  <si>
    <t>Gendre, H; Ben Cheikh, Y; Le Foll, F; Geffard, A; Ladeiro, MP</t>
  </si>
  <si>
    <t>Gendre, Heloise; Ben Cheikh, Yosra; Le Foll, Frank; Geffard, Alain; Ladeiro, Melissa Palos</t>
  </si>
  <si>
    <t>Comparative immune responses of blue mussel and zebra mussel haemocytes to simultaneous chemical and bacterial exposure</t>
  </si>
  <si>
    <t>Dreissena polymorpha; Haemocyte; Immunomarker; Multistress; Mytilus edulis</t>
  </si>
  <si>
    <t>MYTILUS-EDULIS; DREISSENA-POLYMORPHA; BISPHENOL-A; IN-VITRO; PHAGOCYTIC-ACTIVITY; MARINE MUSSEL; IMMUNOMODULATION; COPPER; VIVO; 17-BETA-ESTRADIOL</t>
  </si>
  <si>
    <t>Biomonitoring at the scale of the aquatic continuum and based on biomarkers, requires various representative species and a knowledge of their sensitivity to contaminants. Mussel immunomarkers are established tools for evaluating immunotoxic stress, but little is known about the consequences of an immune activation by local microorganisms on their response to pollution. This study aims to compare the sensitivity of cellular immuno-markers in two mussel species from different environments, the marine mussel Mytilus edulis (blue mussel) and the freshwater mussel Dreissena polymorpha (zebra mussel), to chemical stressors combined with bacterial challenge. Haemocytes were exposed ex vivo to the contaminants (bisphenol A, caffeine, copper chloride, oes-tradiol, ionomycin) for 4 h. The chemical exposures were coupled with simultaneous bacterial challenges (Vibrio splendidus and Pseudomonas fluorescens) to trigger activation of the immune response. Cellular mortality, phagocytosis efficiency and phagocytosis avidity were then measured by flow cytometry. The two mussel species had different basal levels since D. polymorpha showed higher cell mortality than M. edulis (23.9 +/- 11% and 5.5 +/- 3% dead cells respectively), and lower phagocytosis efficiency (52.6 +/- 12% and 62.2 +/- 9%), but similar phagocytosis avidity (17.4 +/- 5 and 13.4 +/- 4 internalised beads). Both bacterial strains led to an increase in cellular mortality (+8.4% dead cells in D. polymorpha, +4.9% in M. edulis), as well an activation of phagocytosis (+9.2% of efficient cells in D. polymorpha, +6.2% efficient cells and +3 internalised beads per cell in M. edulis). All chemicals triggered an increase in haemocyte mortality and/or phagocytotic modulations, except for bisphenol A. The two species differed in the amplitude of their response. The addition of a bacterial challenge significantly altered cell responses to chemicals with synergetic and antagonistic variations compared to a single exposure, depending on the compound used and the mussel species. This work highlights the species-specific sensitivity of mussel immunomarkers to contaminants, with or without bacterial challenge, and the necessity of considering the presence of in natura non-pathogenic microorganisms for future in situ applications of immunomarkers.</t>
  </si>
  <si>
    <t>[Gendre, Heloise; Geffard, Alain; Ladeiro, Melissa Palos] Univ Reims, Univ Le Havre Normandie, INERIS, SEBIO,UMR I 02, Reims, France; [Gendre, Heloise; Ben Cheikh, Yosra; Le Foll, Frank] Univ Reims, Univ Le Havre Normandie, INERIS, SEBIO,UMR I 02, Le Havre, France; [Ladeiro, Melissa Palos] Univ Reims, UFR Sci Exactes &amp; Nat, UMR I 02 SEBIO, Campus Moulin Housse,BP 1039, F-51687 Reims 2, France</t>
  </si>
  <si>
    <t>Universite de Reims Champagne-Ardenne; Universite Le Havre Normandie; Institut National de l'Environnement Industriel et des Risques (INERIS); Universite Le Havre Normandie; Universite de Reims Champagne-Ardenne; Institut National de l'Environnement Industriel et des Risques (INERIS); Universite de Reims Champagne-Ardenne</t>
  </si>
  <si>
    <t>Ladeiro, MP (corresponding author), Univ Reims, UFR Sci Exactes &amp; Nat, UMR I 02 SEBIO, Campus Moulin Housse,BP 1039, F-51687 Reims 2, France.</t>
  </si>
  <si>
    <t>melissa.palos@univ-reims.fr</t>
  </si>
  <si>
    <t>Ben Cheikh, Yosra/JGL-9155-2023</t>
  </si>
  <si>
    <t>Gendre, Heloise/0000-0003-1289-5684; Ben Cheikh, Yosra/0000-0002-4839-4737; Palos Ladeiro, Melissa/0000-0003-4262-3380</t>
  </si>
  <si>
    <t>University of Reims Champagne-Ardenne (URCA)</t>
  </si>
  <si>
    <t>This work was supported by the Bitween project grant from University of Reims Champagne-Ardenne (URCA).</t>
  </si>
  <si>
    <t>10.1016/j.fsi.2023.108654</t>
  </si>
  <si>
    <t>http://dx.doi.org/10.1016/j.fsi.2023.108654</t>
  </si>
  <si>
    <t>A6BJ0</t>
  </si>
  <si>
    <t>WOS:000955951900001</t>
  </si>
  <si>
    <t>Yu, HR; Chen, QQ; Qiu, WH; Ma, CZ; Gao, Z; Chu, WH; Shi, HH</t>
  </si>
  <si>
    <t>Yu, Hairui; Chen, Qiqing; Qiu, Wenhui; Ma, Cuizhu; Gao, Zhuo; Chu, Wenhai; Shi, Huahong</t>
  </si>
  <si>
    <t>Concurrent water- and foodborne exposure to microplastics leads to differential microplastic ingestion and neurotoxic effects in zebrafish</t>
  </si>
  <si>
    <t>Microplastic; Waterborne; Food chain; Uptake; Neurotoxic effects</t>
  </si>
  <si>
    <t>MYTILUS-EDULIS L.; TROPHIC TRANSFER; DEVELOPMENTAL NEUROTOXICITY; DANIO-RERIO; FOOD-WEB; PARTICLES; NANOPLASTICS; DEPURATION; ECOSYSTEMS; MUSSELS</t>
  </si>
  <si>
    <t>Organisms constantly ingest microplastics directly from the environment or indirectly via trophic transfer due to the pervasiveness of microplastic pollution. However, most previous studies have only focused on waterborne exposure at the individual level, while few studies have investigated the contribution of trophic transfer to the exposure in organisms. We comprehensively evaluated the differences in microplastic ingestion and toxic effects in zebrafish exposed to microplastics via two concurrent routes (waterborne and foodborne). The polyethylene microplastics (40-47 mu m, 0.1-10 mg/L) concentration used here was set in a range closed to the environmentally relevant microplastic concentrations, especially considering the extreme high concentration scenarios in wastewater. The concentration of microplastics resulting from foodborne exposure (0.01 +/- 0.01 mu g/mg; 0.1 +/- 0.1 particles/mg) was significantly lower than that through waterborne exposure (0.06 +/- 0.02 mu g/mg; 0.8 +/- 0.3 particles/mg), suggesting the ingestion of microplastics in their tissues occurs mainly through direct environmental uptake rather than food chain transfer (though the initial microplastic concentration was 1000 folds lower). However, more sublethal impacts, including the significant abnormal hyperactive swimming behaviour (107 +/- 5% induction; p&lt; 0.05), were observed in the foodborne group than waterborne group. Additionally, ingenuity pathway analysis predicted both exposure routes caused obvious nervous system interference but through opposite modes of action. This was further verified by the alteration of neurotransmitter biomarkers that neurotoxicity mechanisms were completely different for the two exposure routes. The neurotoxic effects of microplastics are non-negligible and can exert together through both water- and foodborne exposure routes, which deserves further attention.</t>
  </si>
  <si>
    <t>[Yu, Hairui; Chen, Qiqing; Ma, Cuizhu; Gao, Zhuo; Shi, Huahong] East China Normal Univ, State Key Lab Estuarine &amp; Coastal Res, Shanghai 200241, Peoples R China; [Qiu, Wenhui] Southern Univ Sci &amp; Technol, Sch Environm Sci &amp; Engn, State Environm Protect Key Lab Integrated Surface, Guangdong Prov Key Lab Soil &amp; Groundwater Pollut, Shenzhen 518055, Peoples R China; [Chu, Wenhai] Tongji Univ, Coll Environm Sci &amp; Engn, State Key Lab Pollut Control &amp; Resource Reuse, Shanghai 200092, Peoples R China</t>
  </si>
  <si>
    <t>East China Normal University; Southern University of Science &amp; Technology; Tongji University</t>
  </si>
  <si>
    <t>Chen, QQ (corresponding author), East China Normal Univ, State Key Lab Estuarine &amp; Coastal Res, Shanghai 200241, Peoples R China.</t>
  </si>
  <si>
    <t>chenqiqing@sklec.ecnu.edu.cn</t>
  </si>
  <si>
    <t>yu, hairui/KYY-9160-2024; Qiu, Wenhui/AAR-6697-2021; Shi, Huahong/F-1511-2011</t>
  </si>
  <si>
    <t>Ma, Cuizhu/0000-0002-6667-1857; qiu, wenhui/0000-0002-9961-3928</t>
  </si>
  <si>
    <t>Natural Science Foundation of China [42077371]</t>
  </si>
  <si>
    <t>Acknowledgements We thank the financial support of the Natural Science Foundation of China (42077371) . We thank Prof. Weiye Wang (Shanghai Jiao Tong University) for help with the DanioVision monitoring.</t>
  </si>
  <si>
    <t>10.1016/j.watres.2022.118582</t>
  </si>
  <si>
    <t>http://dx.doi.org/10.1016/j.watres.2022.118582</t>
  </si>
  <si>
    <t>1V4OK</t>
  </si>
  <si>
    <t>WOS:000806070900004</t>
  </si>
  <si>
    <t>Jamil, A; Lajtha, K; Radan, S; Ruzsa, G; Cristofor, S; Postolache, C</t>
  </si>
  <si>
    <t>Mussels as bioindicators of trace metal pollution in the Danube Delta of Romania</t>
  </si>
  <si>
    <t>biogeochemistry; metals; mussels; bioindicators; delta; Romania</t>
  </si>
  <si>
    <t>FRESH-WATER MUSSELS; HEAVY-METALS; DREISSENA-POLYMORPHA; BIOLOGICAL INDICATOR; ANODONTA-CYGNEA; SEDIMENT SYSTEM; MYTILUS-EDULIS; NEW-ZEALAND; RIVER; BIOAVAILABILITY</t>
  </si>
  <si>
    <t>Specimens of mussels species Anodonta anatina, Unio pictorum, U. tumidus and surfical sediment samples were collected in the summers of 1994 and 1995 from twelve lakes in the Danube Delta, Romania. Whole mussel tissues were analyzed for metals (Ag, As, Cd, Co, Cu, Cr, Ni, Pb, Se and Zn), and sediment samples were subjected to weak acid extraction and to a sequential extraction procedure, and analyzed for Cr, Cu, Ni and Zn. Total mean Cu and Ag concentrations were statistically greater in Unio species than in Anodonta species, but other metal levels did not significantly differ between mussel species. There was a ten fold variation for Cd and Pb and five fold variation for Zn, Ag and Co concentrations in mussels among lakes. Mean concentrations of As, Cu, Se and Zn in mussel tissues varied two fold among lakes. Zn, Co and Cd concentrations in mussels were significantly negatively correlated with distance gradients from the origin of the Delta and with distance from main channels of the Danube. Other metal concentrations in mussels did not correlate with either distance gradient. Trace metal levels in mussel tissues were correlated with those in weak acid and in sequential extractions of sediment. Zn concentrations in the carbonate fraction was the best predictor of Zn concentrations in mussels. Cu and Ni levels in the organic matter and sulfide fraction were the best estimators of Cu and Ni concentrations in mussels.</t>
  </si>
  <si>
    <t>Oregon State Univ, Dept Bot &amp; Plant Pathol, Corvallis, OR 97331 USA; Boston Univ, Dept Earth Sci, Boston, MA 02215 USA; Romanian Ctr Marine Geol &amp; Geochem, Bucharest 70318, Romania; Inst Environm Res &amp; Engn, Environm Radioact Lab, Bucharest, Romania; Univ Bucharest, Dept Syst Ecol &amp; Management Nat Capital, Bucharest 76201, Romania</t>
  </si>
  <si>
    <t>Oregon State University; Boston University; University of Bucharest</t>
  </si>
  <si>
    <t>Lajtha, K (corresponding author), Oregon State Univ, Dept Bot &amp; Plant Pathol, Cordley 2082, Corvallis, OR 97331 USA.</t>
  </si>
  <si>
    <t>Postolache, Carmen/A-4057-2010</t>
  </si>
  <si>
    <t>Postolache, Carmen/0000-0002-1646-9765; Lajtha, Kate/0000-0002-6430-4818</t>
  </si>
  <si>
    <t>10.1023/A:1003555130831</t>
  </si>
  <si>
    <t>http://dx.doi.org/10.1023/A:1003555130831</t>
  </si>
  <si>
    <t>209EM</t>
  </si>
  <si>
    <t>WOS:000081035300006</t>
  </si>
  <si>
    <t>Carvalho, FP; Oliveira, JM; Alberto, G</t>
  </si>
  <si>
    <t>Carvalho, Fernando P.; Oliveira, Joao M.; Alberto, G.</t>
  </si>
  <si>
    <t>Factors affecting 210Po and 210Pb activity concentrations in mussels and implications for environmental bio-monitoring programmes</t>
  </si>
  <si>
    <t>Polonium-210; Lead-210; Mussels; Condition index; Environmental monitoring; Mussel watch</t>
  </si>
  <si>
    <t>COASTAL WATERS; MYTILUS-EDULIS; MARINE-ENVIRONMENT; MEDITERRANEAN SEA; CONDITION INDEX; PERNA-PERNA; NORTH-SEA; RADIONUCLIDES; ACCUMULATION; FISH</t>
  </si>
  <si>
    <t>The activity of Po-210 and Pb-210 was determined in mussels of the same size (3.5-4.0 cm shell length) sampled monthly over a 17-month period at the Atlantic coast of Portugal. Average radionuclide concentration values in mussels were 759 +/- 277 Bq kg(-1) for Po-210 (range 460-1470 Bq kg(-1) dry weight), and 45 +/- 19 Bq kg(-1) for Pb-210 (range 23-96 Bq kg(-1) dry weight). Environmental parameters and mussel biometric parameters were monitored during the same period. Although there was no seasonal variation of radionuclide concentrations in sea water during the study period, the concentration of radionuclide activity in mussels varied seasonally displaying peaks of high concentrations in winter and low concentrations in summer. Analysis of radionuclide data in relation to the physiological Condition Index of mussels revealed that Po-210 and Pb-210 activities in the mussel (average activity per individual) remained nearly constant during the investigation period, while mussel body weight fluctuated due to fat storage/expenditure in the soft tissues. Similar variation of radionuclide concentrations was observed in mussels transplanted from the sea coast into the Tejo Estuary. However, under estuarine environmental conditions and with higher food availability throughout the year, transplanted mussel Condition Index was higher than in coastal mussels and average radionuclide concentrations were 210 +/- 75 Bq kg(-1) (dry weight) for Po-210 and 10 +/- 4 Bq kg(-1) (dry weight) for Pb-210, therefore lower than in coastal mussels with similar shell length. It is concluded that the apparent seasonal fluctuation and inter-site difference of radionuclide concentrations were mostly caused by mussel body weight fluctuation and not by radionuclide body burden fluctuation. This interpretation can be extended to the apparent seasonal fluctuation in concentrations of lipophilic and lipophobic contaminants in mussels, and provides an explanation for occasional high concentrations of Po-210 and man-made contaminants measured in mussels far from pollution sources. (C) 2010 Elsevier Ltd. All rights reserved.</t>
  </si>
  <si>
    <t>[Carvalho, Fernando P.; Oliveira, Joao M.; Alberto, G.] Nucl &amp; Technol Inst ITN, Dept Radiol Protect &amp; Nucl Safety, P-2686953 Sacavem, Portugal</t>
  </si>
  <si>
    <t>Universidade de Lisboa</t>
  </si>
  <si>
    <t>Carvalho, FP (corresponding author), Nucl &amp; Technol Inst ITN, Dept Radiol Protect &amp; Nucl Safety, EN 10, P-2686953 Sacavem, Portugal.</t>
  </si>
  <si>
    <t>carvalho@itn.pt</t>
  </si>
  <si>
    <t>Carvalho, Fernando/K-3486-2013</t>
  </si>
  <si>
    <t>Carvalho, Fernando da Piedade/0000-0002-6639-6138</t>
  </si>
  <si>
    <t>10.1016/j.jenvrad.2010.11.003</t>
  </si>
  <si>
    <t>http://dx.doi.org/10.1016/j.jenvrad.2010.11.003</t>
  </si>
  <si>
    <t>721FN</t>
  </si>
  <si>
    <t>WOS:000287339100007</t>
  </si>
  <si>
    <t>Petersen, JK; Hasler, B; Timmermann, K; Nielsen, P; Torring, DB; Larsen, MM; Holmer, M</t>
  </si>
  <si>
    <t>Petersen, Jens Kjerulf; Hasler, Berit; Timmermann, Karen; Nielsen, Pernille; Torring, Ditte Bruunshoj; Larsen, Martin Mork; Holmer, Marianne</t>
  </si>
  <si>
    <t>Mussels as a tool for mitigation of nutrients in the marine environment</t>
  </si>
  <si>
    <t>Cost-effectiveness; Eutrophication; Mussel production; Nutrient removal; Mytilus edulis; Heavy metal bioaccumulation</t>
  </si>
  <si>
    <t>MYTILUS-EDULIS; FILTRATION-RATE; GROWTH; SEA</t>
  </si>
  <si>
    <t>Long-line mussel farming has been proposed as a mitigation tool for removal of excess nutrients in eutrophic coastal waters. A full-scale mussel farm optimized for cost efficient nutrient removal was established in the eutrophic Skive Fjord, Denmark where biological and economic parameters related to nutrient removal was monitored throughout a full production cycle (1 yr). The results showed that it was possible to obtain a high area specific biomass of 60 t WW ha(-1) eqvivalent to a nitrogen and phosphorus removal of 0.6-0.9 and 0.03-0.04 t ha(-1) yr, respectively. The analysis of the costs related to establishment, maintenance and harvest revealed that mussel production optimized for mitigation can be carried out at a lower cost compared to mussel production for (human) consumption. The costs for nutrient removal was 14.8 (sic) kg(-1) N making mitigation mussel production a cost-efficient measure compared to the most expensive land-based measures. (C) 2014 Elsevier Ltd. All rights reserved.</t>
  </si>
  <si>
    <t>[Petersen, Jens Kjerulf; Nielsen, Pernille; Torring, Ditte Bruunshoj] DTU Aqua, Danish Shellfish Ctr, DK-7900 Nykobing, Denmark; [Hasler, Berit] Aarhus Univ, Dept Environm Sci, DK-4000 Roskilde, Denmark; [Timmermann, Karen; Larsen, Martin Mork] Aarhus Univ, Dept Biosci, DK-4000 Roskilde, Denmark; [Nielsen, Pernille] Univ Copenhagen, Marine Biol Sect, DK-3000 Helsingor, Denmark; [Holmer, Marianne] Univ Southern Denmark, Dept Biol, DK-5230 Odense M, Denmark</t>
  </si>
  <si>
    <t>Technical University of Denmark; Aarhus University; Aarhus University; University of Copenhagen; University of Southern Denmark</t>
  </si>
  <si>
    <t>Timmermann, K (corresponding author), Aarhus Univ, Dept Biosci, POB 358,Frederiksborgvej 399, DK-4000 Roskilde, Denmark.</t>
  </si>
  <si>
    <t>kti@dmu.dk</t>
  </si>
  <si>
    <t>Larsen, Martin/AAY-4024-2021; Holmer, Marianne/M-6989-2014; Nielsen, Pernille/K-4897-2014; Hasler, Berit/F-8309-2015</t>
  </si>
  <si>
    <t>Holmer, Marianne/0000-0002-6095-5488; Timmermann, Karen/0000-0001-5989-4692; Nielsen, Pernille/0000-0003-4478-6335; Petersen, Jens Kjerulf/0000-0002-6412-7022; Hasler, Berit/0000-0003-0433-4086; Larsen, Martin M/0000-0003-4331-8548</t>
  </si>
  <si>
    <t>Danish Council for Strategic Research [09-066983]</t>
  </si>
  <si>
    <t>Danish Council for Strategic Research(Danske Strategiske Forskningsrad (DSF))</t>
  </si>
  <si>
    <t>This Study is part of the research project Production of Mussels -Mitigation and Feed for Husbandry (MuMiHus) funded by the Danish Council for Strategic Research under Grant Agreement No. 09-066983.</t>
  </si>
  <si>
    <t>10.1016/j.marpolbul.2014.03.006</t>
  </si>
  <si>
    <t>http://dx.doi.org/10.1016/j.marpolbul.2014.03.006</t>
  </si>
  <si>
    <t>AI2NT</t>
  </si>
  <si>
    <t>WOS:000336695900032</t>
  </si>
  <si>
    <t>Liu, N; Pan, LQ; Gong, XL; Tao, YX; Hu, YY; Miao, JJ</t>
  </si>
  <si>
    <t>Liu, Na; Pan, Luqing; Gong, XiaoLi; Tao, Yanxia; Hu, Yanyan; Miao, Jingjing</t>
  </si>
  <si>
    <t>Effects of benzo(a)pyrene on differentially expressed genes and haemocyte parameters of the clam Venerupis philippinarum</t>
  </si>
  <si>
    <t>Antibacterial and bacteriolytic activities; Biomarker; Differentially expressed genes; Marine bivalve; Polycyclic aromatic hydrocarbons; Suppression subtractive hybridisation</t>
  </si>
  <si>
    <t>POLYCYCLIC AROMATIC-HYDROCARBONS; EXPOSURE; MUSSEL; IMMUNITY; IDENTIFICATION; INVESTIGATE; BIOMARKERS; RESPONSES; PROTEINS; CADMIUM</t>
  </si>
  <si>
    <t>In this study a suppression subtractive hybridisation method was employed to identify differentially expressed genes of the clam Venerupis philippinarum exposed to benzo(a)pyrene (BaP). Nineteen known transcripts and seven predicted proteins were found from the subtractive cDNA library of the clam, which could provide more sequence information for further study. Seven of the differentially expressed genes were selected for mRNA expression analysis. Real-time PCR analysis revealed that the expression level of the selected cDNAs of clams was up-regulated to varying degrees by different concentration of BaP. They are suggested as potential molecular biomarkers for polycyclic aromatic hydrocarbons (PAHs) pollution monitoring in aquatic ecosystems. In addition, haemocyte parameters were also measured, and a decrease of total haemocyte counts and suppression of antibacterial and bacteriolytic activities were detected in BaP-stressed clams. We suggest that the modulation of the expression of the selected genes caused by PAHs probably leads to the disturbance of the immune defense of the clam. Meanwhile, the adverse effects of PAHs on haemocyte parameters caused the suppression of the immune defense and susceptibility to infectious diseases. Therefore, it is inferred that PAHs pollutants could interact with components of the immune system and interferes with defense functions of the clam V. philippinarum.</t>
  </si>
  <si>
    <t>[Liu, Na; Pan, Luqing; Gong, XiaoLi; Tao, Yanxia; Hu, Yanyan; Miao, Jingjing] Ocean Univ China, Key Lab Mariculture, Minist Educ, Qingdao 266003, Peoples R China</t>
  </si>
  <si>
    <t>Pan, LQ (corresponding author), Ocean Univ China, Key Lab Mariculture, Minist Educ, Qingdao 266003, Peoples R China.</t>
  </si>
  <si>
    <t>National Natural Sciences Foundation of China [30972237]; State Oceanic Administration Specific Public Project of China [201105013]</t>
  </si>
  <si>
    <t>National Natural Sciences Foundation of China(National Natural Science Foundation of China (NSFC)); State Oceanic Administration Specific Public Project of China</t>
  </si>
  <si>
    <t>The work was supported by the National Natural Sciences Foundation of China (30972237) and State Oceanic Administration Specific Public Project of China (201105013). We are thankful to the staff at the Laboratory of Environmental Physiology of Aquatic Animal for help with sampling and taking care of the clams.</t>
  </si>
  <si>
    <t>10.1007/s10646-013-1157-7</t>
  </si>
  <si>
    <t>AA3AT</t>
  </si>
  <si>
    <t>WOS:000330966000002</t>
  </si>
  <si>
    <t>Rajagopal, S; van der Velde, G; van der Gaag, M; Jenner, HA</t>
  </si>
  <si>
    <t>Byssal detachment underestimates tolerance of mussels to toxic compounds</t>
  </si>
  <si>
    <t>mussels; bioassays; byssal attachment; mortality; filtration rate; byssogenesis index</t>
  </si>
  <si>
    <t>DREISSENA-POLYMORPHA; MYTILUS-EDULIS; ZEBRA MUSSEL; PERNA-VIRIDIS; GREEN MUSSEL; BIOFOULING CONTROL; HEAVY-METALS; CHLORINATION; EXPOSURE; GALLOPROVINCIALIS</t>
  </si>
  <si>
    <t>Mussels are sedentary organisms attached to solid substrata by means of byssus threads. Mussels detached from their substratum tend to reattach by producing new byssus threads. Therefore, in bioassays using mussels, if the test animals are in an unattached status, increased byssogenic activity would expose their soft body parts to the toxic compound used. We test the tolerance of two mussel species (Mytilopsis leucophaeata and Mytilus edulis) to an oxidizing biocide (chlorine) and show that detached mussels are 24-28% less tolerant than byssally attached ones. Detached mussels also showed higher oxygen consumption, filtration rate, foot activity, byssus thread production and byssogenesis index, parameters which are associated with valve opening. A review of literature showed that most of the published data on toxicity against heavy metals and biocides are generated using unattached mussels. The data, therefore, represent an underestimation of the toxicity of the tested compound. Correction data are presented for chlorine tolerance of Dreissena polymorpha, Mytilopsis leucophaeata and Mytilus edulis. The present study suggests the importance of maintaining mussels in their attached status, while undertaking toxicity bioassays. (C) 2004 Elsevier Ltd. All rights reserved.</t>
  </si>
  <si>
    <t>Radboud Univ Nijmegen, Inst Wetland &amp; Water Res, Dept Anim Ecol &amp; Ecophysiol, NL-6525 ED Nijmegen, Netherlands; KEMA Power Generat &amp; Sustainables, NL-6800 ET Arnhem, Netherlands</t>
  </si>
  <si>
    <t>Radboud University Nijmegen</t>
  </si>
  <si>
    <t>Radboud Univ Nijmegen, Inst Wetland &amp; Water Res, Dept Anim Ecol &amp; Ecophysiol, Toernooiveld 1, NL-6525 ED Nijmegen, Netherlands.</t>
  </si>
  <si>
    <t>s.rajagopal@science.ru.nl</t>
  </si>
  <si>
    <t>van der Velde, Gerard/C-7776-2011; van der Gaag, Mark/A-6840-2008</t>
  </si>
  <si>
    <t>van der Gaag, Mark/0000-0002-3525-6415</t>
  </si>
  <si>
    <t>10.1016/j.marpolbul.2004.08.015</t>
  </si>
  <si>
    <t>896PB</t>
  </si>
  <si>
    <t>WOS:000226944900013</t>
  </si>
  <si>
    <t>Shirneshan, G; Bakhtiari, AR; Seyfabadi, J; Mortazavi, S</t>
  </si>
  <si>
    <t>Shirneshan, Golshan; Bakhtiari, Alireza Riyahi; Seyfabadi, Jafar; Mortazavi, Samar</t>
  </si>
  <si>
    <t>Bioaccumulation of Cd, Cu, Pb, and Zn in Oyster (Saccostrea cucullata) from Qeshm Island Coast in Persian Gulf: Implications of Provisional Maximum Tolerable Daily Intake (PMTDI)</t>
  </si>
  <si>
    <t>ENVIRONMENTAL FORENSICS</t>
  </si>
  <si>
    <t>Cd; Cu; Pb; Zn; Saccostrea cucullata; maximum residue level (MRLs); provisional maximum tolerable daily intake (PMTDI); Qeshm Island; Persian Gulf</t>
  </si>
  <si>
    <t>MUSSEL PERNA-VIRIDIS; HEAVY-METALS; TRACE-METALS; SEDIMENTS; CONTAMINATION; WATER; BAY; POLLUTION; BIVALVIA; MONITOR</t>
  </si>
  <si>
    <t>Concentrations of heavy metals (Cd, Cu, Pb, and Zn) were determined in soft tissue of 122 rock oyster (Saccostrea cucullata) collected at seven stations from the coastal zones of Qeshm Island. The exposure of the consumer is compared directly to maximum residue level and provisional maximum tolerable daily intake. Result indicated that levels of Cd, Pb, and Cu were within limits, but the level of Zn exceeded that the limit. Concentrations of Zn (1168.71g g(-1)) and Cu (105.16g g(-1)) were comparatively higher than the level recommended in the international food standards, such as Brazilian Ministry of Health, National Health Medical Research Council, Ministry of Agriculture, Fisheries and Food, and the Tasmania Public Health Regulation. The results, therefore, indicate possible risk in consuming the oysters.</t>
  </si>
  <si>
    <t>[Shirneshan, Golshan; Bakhtiari, Alireza Riyahi] Tarbiat Modares Univ, Fac Nat Resources, Dept Environm Sci, Noor, Mazandaran, Iran; [Seyfabadi, Jafar] Tarbiat Modares Univ, Fac Marine Sci, Dept Marine Biol Sci, Noor, Mazandaran, Iran; [Mortazavi, Samar] Malayer Univ, Fac Nat Resources &amp; Environm, Dept Environm Sci, Malayer, Hamedan, Iran</t>
  </si>
  <si>
    <t>Tarbiat Modares University; Tarbiat Modares University</t>
  </si>
  <si>
    <t>Bakhtiari, AR (corresponding author), Tarbiat Modares Univ, Fac Nat Resources, Dept Environm Sci, POB 46414-356, Noor, Mazandaran, Iran.</t>
  </si>
  <si>
    <t>ariyahi@gmail.com</t>
  </si>
  <si>
    <t>mortazavi, samar/ABE-6653-2021; Riyahi Bakhtiari, Alireza/JTV-7290-2023</t>
  </si>
  <si>
    <t>Mortazavi, Samar/0000-0002-0628-4724; Seyfabadi, Jafar/0000-0002-6791-1496</t>
  </si>
  <si>
    <t>Ministry of Science and Technology, Iran</t>
  </si>
  <si>
    <t>This study was supported by the Ministry of Science and Technology, Iran, who provided partial funding for this project. We thank Gafari, Ebrahimi, and Mortazavi from the faculty of Natural Resources and Marine Sciences, Tarbiat Modares University for their kind assistance in the collection of oyster samples.</t>
  </si>
  <si>
    <t>1527-5922</t>
  </si>
  <si>
    <t>ENVIRON FORENSICS</t>
  </si>
  <si>
    <t>Environ. Forensics</t>
  </si>
  <si>
    <t>APR 3</t>
  </si>
  <si>
    <t>10.1080/15275922.2013.781076</t>
  </si>
  <si>
    <t>163TX</t>
  </si>
  <si>
    <t>WOS:000320360900010</t>
  </si>
  <si>
    <t>Wu, FL; Kong, H; Xie, LT; Sokolova, IM</t>
  </si>
  <si>
    <t>Wu, Fangli; Kong, Hui; Xie, Lingtian; Sokolova, Inna M.</t>
  </si>
  <si>
    <t>Exposure to nanopollutants (nZnO) enhances the negative effects of hypoxia and delays recovery of the mussels ' immune system</t>
  </si>
  <si>
    <t>hypoxia; ZnO nanoparticles; Reoxygenation; Hemocytes; Immunomodulation; Ecotoxicology</t>
  </si>
  <si>
    <t>FLOW-CYTOMETRIC ANALYSIS; INNATE IMMUNITY; ANTIMICROBIAL PEPTIDES; CRASSOSTREA-VIRGINICA; ZNO NANOPARTICLES; OXIDATIVE STRESS; BIVALVE MOLLUSKS; HEMOCYTES; APOPTOSIS; RESPONSES</t>
  </si>
  <si>
    <t>Aquatic environments face escalating challenges from multiple stressors like hypoxia and nanoparticle exposure, with impact of these combined stressors on mussel immunity being poorly understood. We investigated the individual and combined effects of short-term and long-term hypoxia and exposure to zinc oxide nanoparticles (nZnO) on immune system of the mussels ( Mytilus edulis ). Hemocyte functional traits (mortality, adhesion capacity, phagocytosis, lysosomal abundance, and oxidative burst), and transcript levels of immune -related genes involved in pathogen recognition (the Toll -like receptors, the complement system components, and the adaptor proteins MyD88) were assessed. Short-term hypoxia minimally affected hemocyte parameters, while prolonged exposure led to immunosuppression, impacting hemocyte abundance, viability, phagocytosis, and defensin gene expression. Under normoxia, nZnO stimulated immune responses of mussel hemocytes. However, combined nZnO and hypoxia induced more pronounced and rapid immunosuppression than hypoxia alone, indicating a synergistic interaction. nZnO exposure hindered immune parameter recovery during post-hypoxic reoxygenation, suggesting persistent impact. Opposing trends were observed in pathogen -sensing and pathogen -elimination mechanisms, with a positive correlation between pathogen -recognition system activation and hemocyte mortality. These findings underscore a complex relationship and potential conflict between pathogen -recognition ability, immune function, and cell survival in mussel hemocytes under hypoxia and nanopollutant stress, and emphasize the importance of considering multiple stressors in assessing the vulnerability and adaptability of mussel immune system under complex environmental conditions of anthropogenically modified coastal ecosystems.</t>
  </si>
  <si>
    <t>[Wu, Fangli; Xie, Lingtian] South China Normal Univ, SCNU Environm Res Inst, Guangdong Prov Key Lab Chem Pollut &amp; Environm Safe, Guangzhou 510006, Peoples R China; [Wu, Fangli; Xie, Lingtian] South China Normal Univ, Key Lab Theoret Chem Environm, MOE, Guangzhou 510006, Peoples R China; [Wu, Fangli; Kong, Hui; Sokolova, Inna M.] Univ Rostock, Inst Biol Sci, Dept Marine Biol, Rostock, Germany; [Wu, Fangli; Xie, Lingtian] South China Normal Univ, Sch Environm, Guangzhou 510006, Peoples R China; [Sokolova, Inna M.] Univ Rostock, Interdisciplinary Fac, Dept Maritime Syst, Rostock, Germany</t>
  </si>
  <si>
    <t>South China Normal University; South China Normal University; University of Rostock; South China Normal University; University of Rostock</t>
  </si>
  <si>
    <t>Sokolova, Inna/AAE-4150-2019; Xie, Lingtian/AAE-3407-2019; Wu, Fangli/JJF-7839-2023; Sokolova, Inna/B-4955-2009</t>
  </si>
  <si>
    <t>Wu, Fangli/0000-0001-6443-0649; Xie, Lingtian/0000-0002-6962-3957; Sokolova, Inna/0000-0002-2068-4302; Kong, Hui/0009-0003-5883-0111</t>
  </si>
  <si>
    <t>Research Training Group 'Baltic TRANSCOAST' - DFG (Deutsche Forschungsgemeinschaft) [GRK 2000]</t>
  </si>
  <si>
    <t>Research Training Group 'Baltic TRANSCOAST' - DFG (Deutsche Forschungsgemeinschaft)(German Research Foundation (DFG))</t>
  </si>
  <si>
    <t>We express our gratitude to Duy Nghia Pham from the University of Rostock, Germany, for the samples collection, and to Fei Ye and Joydeep Dutta from KTH Royal Institute of Technology, Sweden, for their valuable assistance with the nanoparticle characterization. This work was supported by the Research Training Group 'Baltic TRANSCOAST' funded by the DFG (Deutsche Forschungsgemeinschaft) under grant number GRK 2000. This is Baltic TRANSCOAST publication no. GRK2000/00069. The mussel image used for the graphical abstract was obtained from Wikimedia Commons and is in public domain.</t>
  </si>
  <si>
    <t>10.1016/j.envpol.2024.124112</t>
  </si>
  <si>
    <t>TI1Q9</t>
  </si>
  <si>
    <t>WOS:001240549300001</t>
  </si>
  <si>
    <t>Cole, C; Coelho, AV; James, RH; Connelly, D; Sheehan, D</t>
  </si>
  <si>
    <t>Cole, Catherine; Coelho, Ana Varela; James, Rachael H.; Connelly, Doug; Sheehan, David</t>
  </si>
  <si>
    <t>Proteomic responses to metal-induced oxidative stress in hydrothermal vent-living mussels, Bathymodiolus sp., on the Southwest Indian Ridge</t>
  </si>
  <si>
    <t>Hydrothermal activity; Southwest Indian Ridge; Bathymodiolus sp.; Metals; Bioaccumulation; Oxidative stress; Detoxification; Proteome</t>
  </si>
  <si>
    <t>MID-ATLANTIC RIDGE; PROTEIN EXPRESSION PROFILES; HEAT-SHOCK-PROTEIN; MYTILUS-EDULIS; FUMARYLACETOACETATE HYDROLASE; ANTIOXIDANT DEFENSES; CRYSTAL-STRUCTURE; REDOX STATE; AZORICUS; ACTIN</t>
  </si>
  <si>
    <t>Bathymodiolin mussels are amongst the dominant fauna occupying hydrothermal vent ecosystems throughout the World's oceans. This subfamily inhabits a highly ephemeral and variable environment, where exceptionally high concentrations of reduced sulphur species and heavy metals necessitate adaptation of specialised detoxification mechanisms. Whilst cellular responses to common anthropogenic pollutants are well-studied in shallow-water species, they remain limited in deep-sea vent fauna. Bathymodiolus sp. were sampled from two newly-discovered vent sites on the Southwest Indian Ridge (Tiamat and Knuckers Gaff) by the remotely operated vehicle (ROV) Kiel 6000 during the RRS James Cook cruise, JC 067 in November 2011. Here, we use redox proteomics to investigate the effects of tissue metal accumulation on protein expression and thiol oxidation in gill. Following 2D PAGE, we demonstrate a significant difference in intensity in 30 protein spots in this organ between the two vent sites out of 205 matched spots. We also see significant variations in thiol oxidation in 15 spots, out of 143 matched. At Tiamat, 23 protein spots are up-regulated compared to Knuckers Gaff and we identify 5 of these with important roles in metabolism, cell structure, stress response, and redox homeostasis. We suggest that increased metal exposure triggers changes in the proteome, regulating tissue uptake. This is evident both between vent sites and across a chemical gradient within the Knuckers Gaff vent site. Our findings highlight the importance of proteomic plasticity in successful adaptation to the spatially and temporally fluctuating chemical environments that are characteristic of hydrothermal vent habitats. (C) 2013 Elsevier Ltd. All rights reserved.</t>
  </si>
  <si>
    <t>[Cole, Catherine] Univ Southampton, Dept Ocean &amp; Earth Sci, Southampton SO14 3ZH, Hants, England; [Coelho, Ana Varela] Univ Nova Lisboa, Inst Tecnol Quim &amp; Biol, P-2780157 Oeiras, Portugal; [James, Rachael H.; Connelly, Doug] Univ Southampton, Natl Oceanog Ctr, Southampton SO14 3ZH, Hants, England; [Sheehan, David] Univ Coll Cork, Environm Res Inst, Sch Biochem &amp; Cell Biol, Cork, Ireland</t>
  </si>
  <si>
    <t>NERC National Oceanography Centre; University of Southampton; Universidade Nova de Lisboa; NERC National Oceanography Centre; University of Southampton; University College Cork</t>
  </si>
  <si>
    <t>Cole, C (corresponding author), Univ Southampton, Dept Ocean &amp; Earth Sci, European Way,Waterfront Campus, Southampton SO14 3ZH, Hants, England.</t>
  </si>
  <si>
    <t>catherine.cole@noc.soton.ac.uk</t>
  </si>
  <si>
    <t>Sheehan, David/ABB-5315-2020; James, Rachael/G-8613-2011; Coelho, Ana/H-8885-2012</t>
  </si>
  <si>
    <t>Cole, Catherine/0000-0003-2397-0520; Coelho, Ana/0000-0002-6143-4203; James, Rachael/0000-0001-7402-2315</t>
  </si>
  <si>
    <t>Natural Environment Research Council (NERC) National Capability Programme; Graduate School of the National Oceanography Centre (GSNOCS); University of Southampton; NERC; NERC [noc010011, NE/H012087/1] Funding Source: UKRI</t>
  </si>
  <si>
    <t>Natural Environment Research Council (NERC) National Capability Programme(UK Research &amp; Innovation (UKRI)Natural Environment Research Council (NERC)); Graduate School of the National Oceanography Centre (GSNOCS); University of Southampton; NERC(UK Research &amp; Innovation (UKRI)Natural Environment Research Council (NERC)); NERC(UK Research &amp; Innovation (UKRI)Natural Environment Research Council (NERC))</t>
  </si>
  <si>
    <t>We thank the Captain and crew of the RRS James Cook and the ROV Kiel 6000 technical team for facilitating sample collection during JC 067; Dr Jon Copley and Leigh Marsh for ship-board sample preparation; and the Biochemical Department of University College Cork, particularly Louis Charles-Rainville and Tahira Ja'afar for their laboratory support. This work was funded by the Natural Environment Research Council (NERC) National Capability Programme and the Graduate School of the National Oceanography Centre (GSNOCS), NERC and University of Southampton.</t>
  </si>
  <si>
    <t>10.1016/j.marenvres.2013.09.003</t>
  </si>
  <si>
    <t>WOS:000334981600005</t>
  </si>
  <si>
    <t>Falfushynska, HI; Gnatyshyna, LL; Ivanina, AV; Sokolova, IM; Stoliar, OB</t>
  </si>
  <si>
    <t>Falfushynska, Halina I.; Gnatyshyna, Lesya L.; Ivanina, Anna V.; Sokolova, Inna M.; Stoliar, Oksana B.</t>
  </si>
  <si>
    <t>Detoxification and cellular stress responses of unionid mussels Unio tumidus from two cooling ponds to combined nano-ZnO and temperature stress</t>
  </si>
  <si>
    <t>Eco-exposome; Nanoparticles; Heating; Cytotoxicity; Molecular chaperones; Cellular thiols</t>
  </si>
  <si>
    <t>ZINC-OXIDE NANOPARTICLES; FRESH-WATER MUSSELS; ALKALI-LABILE PHOSPHATE; SITU EXPOSURE HISTORY; MOLECULAR RESPONSES; ANODONTA-ANATINA; OXIDATIVE STRESS; CLIMATE-CHANGE; ELEVATED-TEMPERATURE; EASTERN OYSTERS</t>
  </si>
  <si>
    <t>Bivalve mollusks from the cooling reservoirs of fuel power plants (PP) are acclimated to the chronic heating and chemical pollution. We investigated stress responses of the mussels from these ponds to determine their tolerance to novel environmental pollutant, zinc oxide nanoparticles (nZnO). Male Unio tumidus from the reservoirs of Dobrotvir and Burschtyn PPs (DPP and BPP), Ukraine were exposed for 14 days to nZnO (3.1 M), Zn2+ (3.1 M) at 18 degrees C, elevated temperature (T, 25 degrees C), or nZnO at 25 degrees C (nZnO T). Control groups were held at 18 degrees C. Zn-containing exposures resulted in the elevated concentrations of total and Zn-bound metallothionein (MT and Zn-MT) in the digestive gland, an increase in the levels of non-metalated MT (up to 5 times) and alkali-labile phosphates and lysosomal membrane destabilization in hemocytes. A common signature of nZnO exposures was modulation of the multixenobiotic-resistance protein activity (a decrease in the digestive gland and increase in the gills). The origin of population strongly affected the cellular stress responses of mussels. DPP-mussels showed depletion of caspase-3 in the digestive gland and up-regulation of HSP70, HSP72 and HSP60 levels in the gill during most exposures, whereas in the BPP-mussels caspase-3 was up-regulated and HSPs either downregulated or maintained stable. BPP-mussels were less adapted to heating shown by a glutathione depletion at elevated temperature (25 degrees C). Comparison with the earlier studies on mussels from pristine habitats show that an integrative 'eco-exposome'-based approach is useful for the forecast of the biological responses to novel adverse effects on aquatic organisms. (C) 2017 Elsevier Ltd. All rights reserved.</t>
  </si>
  <si>
    <t>[Falfushynska, Halina I.; Gnatyshyna, Lesya L.; Stoliar, Oksana B.] Ternopil Natl Pedag Univ, Res Lab Comparat Biochem &amp; Mol Biol, Ternopol, Ukraine; [Sokolova, Inna M.] Univ Rostock, Inst Biol Sci, Dept Marine Biol, Rostock, Germany; [Gnatyshyna, Lesya L.] Ternopil State Med Univ, Dept Gen Chem, Ternopol, Ukraine; [Ivanina, Anna V.] Univ North Carolina Charlotte, Dept Biol Sci, 9201 Univ City Blvd, Charlotte, NC 28223 USA</t>
  </si>
  <si>
    <t>Ministry of Education &amp; Science of Ukraine; Ternopil Volodymyr Hnatiuk National Pedagogical University; University of Rostock; I. Horbachevsky Ternopil State Medical University; University of North Carolina; University of North Carolina Charlotte</t>
  </si>
  <si>
    <t>Stoliar, OB (corresponding author), Ternopil Natl Pedag Univ, Res Lab Comparat Biochem &amp; Mol Biol, Ternopol, Ukraine.;Sokolova, IM (corresponding author), Univ Rostock, Inst Biol Sci, Dept Marine Biol, Rostock, Germany.</t>
  </si>
  <si>
    <t>inna.sokolova@uni-rostock.de; stolyar@tnpu.edu.ua</t>
  </si>
  <si>
    <t>Gnatyshyna, Lesya/AAA-6868-2021; Stoliar, Oksana/I-7397-2018; Falfushynska, Halina/B-6518-2015; Sokolova, Inna/B-4955-2009; Gnatyshyna, Lesya/M-7993-2015</t>
  </si>
  <si>
    <t>Stoliar, Oksana/0000-0002-8579-2881; Falfushynska, Halina/0000-0003-3058-4919; Sokolova, Inna/0000-0002-2068-4302; Gnatyshyna, Lesya/0000-0002-5205-1585</t>
  </si>
  <si>
    <t>U.S. Civilian Research and Development Foundation (CRDF) Cooperative Grants Program [UKB1-7109-TE-13]; Ministry of Education and Science of Ukraine [131B]; Faculty Research Grant of UNC Charlotte; Fulbright Scholarship; Alexander von Humboldt Stiftung</t>
  </si>
  <si>
    <t>U.S. Civilian Research and Development Foundation (CRDF) Cooperative Grants Program; Ministry of Education and Science of Ukraine; Faculty Research Grant of UNC Charlotte; Fulbright Scholarship; Alexander von Humboldt Stiftung(Alexander von Humboldt Foundation)</t>
  </si>
  <si>
    <t>This work was supported by the award of the U.S. Civilian Research and Development Foundation (CRDF) Cooperative Grants Program (UKB1-7109-TE-13) to O.B.S. and I.M.S., the Ministry of Education and Science of Ukraine (#131B, O.B.S. and research grant for young fellows, H.F. and LG.), by Faculty Research Grant of UNC Charlotte to I.M.S and by Fulbright Scholarship and stipend of Alexander von Humboldt Stiftung to H.F. The authors are grateful to State Agency of Environment Protection and State Agency of Fishery Supervision in Ternopil Region for the technical assistance. Graphic elements and photos for the graphical abstract were taken from Wikimedia Commons.</t>
  </si>
  <si>
    <t>10.1016/j.chemosphere.2017.11.079</t>
  </si>
  <si>
    <t>FU5KB</t>
  </si>
  <si>
    <t>WOS:000423890500132</t>
  </si>
  <si>
    <t>Contardo-Jara, V; Galanti, LN; Amé, MV; Monferrán, MV; Wunderlin, DA; Wiegand, C</t>
  </si>
  <si>
    <t>Contardo-Jara, Valeska; Galanti, Lucas N.; Ame, Maria V.; Monferran, Magdalena V.; Wunderlin, Daniel A.; Wiegand, Claudia</t>
  </si>
  <si>
    <t>Biotransformation and antioxidant enzymes of Limnoperna fortunei detect site impact in watercourses of Cordoba, Argentina</t>
  </si>
  <si>
    <t>Biomarker; Glutathione S-transferase; Glutathione peroxidase; Catalase; Urban watercourses; Water quality; Golden mussel; Biomonitoring; Biotransformation; Oxidative stress</t>
  </si>
  <si>
    <t>MUSSEL DREISSENA-POLYMORPHA; FRESH-WATER BIVALVES; DE-LA-PLATA; OXIDATIVE STRESS; MYTILUS-GALLOPROVINCIALIS; LIPID-PEROXIDATION; DIGESTIVE GLAND; HEAVY-METALS; GLUTATHIONE-PEROXIDASE; MOLECULAR BIOMARKERS</t>
  </si>
  <si>
    <t>The golden mussel Limnoperna fortunei was used as a biomonitor of environmental pollution in the Suquia River basin around Cordoba City (Argentina). The sampling sites along the river were chosen according to their increasing levels of pollutants (e.g. heavy metals) as well as biological oxygen demand (BOD) and chemical oxygen demand (COD). A water quality index (WQI) was constructed from the interaction of several normalized factors that affect the aquatic environment, such as the mentioned pollutants and physico-chemical characteristics of the sampling sites. Activity changes of biotransformation enzyme glutathione S-transferase (GST) and the antioxidant enzymes glutathione peroxidase (GPx), glutathione reductase (GR) and catalase (CAT), after exposure to pollutants, served as biomarkers. Membrane bound GST and antioxidant enzymes responded at the most polluted sampling site within 1 day showing increased activities lasting for 4 days. Further sampling was restricted due to no survival of the animals. Antioxidant enzymes GPx, GR and CAT were sensitive responding to the different pollution scenarios, showing good correlation to the chemical characterization. (C) 2009 Elsevier Inc. All rights reserved.</t>
  </si>
  <si>
    <t>[Contardo-Jara, Valeska; Wiegand, Claudia] Leibniz Inst Freshwater Ecol &amp; Inland Fisheries, Dept Inland Fisheries, D-12587 Berlin, Germany; [Galanti, Lucas N.; Ame, Maria V.; Monferran, Magdalena V.; Wunderlin, Daniel A.] Univ Nacl Cordoba, CONICET, Fac Ciencias Quim, Depto Bioquim Clin CIBICI, RA-5000 Cordoba, Argentina</t>
  </si>
  <si>
    <t>Leibniz Institut fur Gewasserokologie und Binnenfischerei (IGB); Consejo Nacional de Investigaciones Cientificas y Tecnicas (CONICET); National University of Cordoba</t>
  </si>
  <si>
    <t>Wiegand, C (corresponding author), Leibniz Inst Freshwater Ecol &amp; Inland Fisheries, Dept Inland Fisheries, Mueggelseedamm 301, D-12587 Berlin, Germany.</t>
  </si>
  <si>
    <t>cwiegand@igb-berlin.cle</t>
  </si>
  <si>
    <t>Contardo-Jara, Valeska/AAB-3509-2019; Wunderlin, Daniel/A-2195-2014</t>
  </si>
  <si>
    <t>Ame, Maria/0000-0003-2382-8196</t>
  </si>
  <si>
    <t>German Research Foundation (Deutsche Forschungsgemeinschaft-DFG) [780/II]</t>
  </si>
  <si>
    <t>German Research Foundation (Deutsche Forschungsgemeinschaft-DFG)(German Research Foundation (DFG))</t>
  </si>
  <si>
    <t>We thank the German Research Foundation (Deutsche Forschungsgemeinschaft-DFG) for providing V. Contardo-Jara the Ph.D. scholarship within the graduate school (780/II) Perspectives on Urban Ecology. We gratefully thank T. Downing for language suggestions.</t>
  </si>
  <si>
    <t>10.1016/j.ecoenv.2009.07.001</t>
  </si>
  <si>
    <t>WOS:000270292200008</t>
  </si>
  <si>
    <t>Ma, L; Wang, WX; Evans, RD</t>
  </si>
  <si>
    <t>Ma, Lan; Wang, Wen-Xiong; Evans, R. Douglas</t>
  </si>
  <si>
    <t>Distinguishing multiple Zn sources in oysters in a complex estuarine system using Zn isotope ratio signatures</t>
  </si>
  <si>
    <t>Zn source; Oysters; Estuary; Pollution; Tracking</t>
  </si>
  <si>
    <t>PEARL RIVER ESTUARY; CRASSOSTREA-HONGKONGENSIS; ZINC ISOTOPES; METALS; SEDIMENTS; POLLUTION; ELEMENTS</t>
  </si>
  <si>
    <t>The Pearl River Estuary (PRE), the largest estuary in Southern China, historically has suffered from metal contamination as a result of inputs from different riverine discharges. Determining the sources of metals accumulation in local aquatic flora and fauna remains a great challenge for this estuarine system with complex water circulation. In this study, Zn isotope ratios were measured in local oysters (Crassostrea hongkongensis) collected at 8 locations in the estuary on four occasions from 2014 to 2018, to better understand and assess the contamination sources. The results showed no significant differences (p &lt; 0.05) in delta Zn-66 values in oysters among the four sampling dates within individual sites. However, approximately a 0.67%. (range from -0.66 parts per thousand to 0.01 parts per thousand) difference in average delta Zn-66 values was consistently found in oysters collected from the east side of the estuary compared to the west side, despite their comparable Zn concentrations. A mixing model was subsequently used to estimate the relative contributions from various sources to the delta Zn-66 values in these oysters. The mixing model predicts that zinc derived from the dissolved fraction (approximately 80 %) was the dominant uptake pathway for oysters collected at the east shore whereas approximately 50 % of the Zn in oysters collected at the west shore was derived from the particulate fraction. The mixing model also was used to estimate the relative impacts of fresh versus saline water on the measured delta Zn-66 values. Contributions from these two sources also varied between the east and west shores. This study presents the first data for Zn isotope ratios in oysters from the PRE, providing new insight for using Zn isotope ratios in oysters as a powerful tracer of sources in a complex estuarine system.</t>
  </si>
  <si>
    <t>[Ma, Lan] Trent Univ, Environm &amp; Life Sci Grad Program, 1600 West Bank Dr, Peterborough, ON K9L 0G2, Canada; [Evans, R. Douglas] Trent Univ, Water Qual Ctr, 1600 West Bank Dr, Peterborough, ON K9L 0G2, Canada; [Ma, Lan; Wang, Wen-Xiong] City Univ Hong Kong, Sch Energy &amp; Environm, Kowloon, Hong Kong, Peoples R China; [Ma, Lan; Wang, Wen-Xiong] City Univ Hong Kong, Southern Marine Sci &amp; Engn Guangdong Lab Guangzh, Hong Kong Branch, Kowloon, Hong Kong, Peoples R China; [Ma, Lan; Wang, Wen-Xiong] City Univ Hong Kong, State Key Lab Marine Pollut, Kowloon, Hong Kong, Peoples R China</t>
  </si>
  <si>
    <t>Trent University; Trent University; City University of Hong Kong; City University of Hong Kong; City University of Hong Kong</t>
  </si>
  <si>
    <t>Wang, WX (corresponding author), City Univ Hong Kong, Sch Energy &amp; Environm, Kowloon, Hong Kong, Peoples R China.;Wang, WX (corresponding author), City Univ Hong Kong, Southern Marine Sci &amp; Engn Guangdong Lab Guangzh, Hong Kong Branch, Kowloon, Hong Kong, Peoples R China.;Wang, WX (corresponding author), City Univ Hong Kong, State Key Lab Marine Pollut, Kowloon, Hong Kong, Peoples R China.</t>
  </si>
  <si>
    <t>NSERC Canada (Natural Sciences and Engineering Research Council); Natural Science Foundation of China [21777134]; General Research Fund of Hong Kong Research Grants Council [CityU 16102918]; TUYF fund [19SC01]</t>
  </si>
  <si>
    <t>NSERC Canada (Natural Sciences and Engineering Research Council)(Natural Sciences and Engineering Research Council of Canada (NSERC)); Natural Science Foundation of China(National Natural Science Foundation of China (NSFC)); General Research Fund of Hong Kong Research Grants Council; TUYF fund</t>
  </si>
  <si>
    <t>We thank Drs. Guangyuan Lu, Nanyan Weng, Chunlian Lai, Yunlong Li for their help with sample collection. This research was funded by a NSERC Canada (Natural Sciences and Engineering Research Council) Discovery Grant to R.D.E., the Natural Science Foundation of China (21777134) , the General Research Fund of Hong Kong Research Grants Council (CityU 16102918) , and the TUYF fund (19SC01) to W.X.W. Hayla Evans helped to revise the manuscript.</t>
  </si>
  <si>
    <t>10.1016/j.envpol.2021.117941</t>
  </si>
  <si>
    <t>UR9GQ</t>
  </si>
  <si>
    <t>WOS:000697048700001</t>
  </si>
  <si>
    <t>Fang, JKH; Wu, RSS; Chan, AKY; Shin, PKS</t>
  </si>
  <si>
    <t>Fang, J. K. H.; Wu, R. S. S.; Chan, A. K. Y.; Shin, P. K. S.</t>
  </si>
  <si>
    <t>Metal concentrations in green-lipped mussels (Perna viridis) and rabbitfish (Siganus oramin) from Victoria Harbour, Hong Kong after pollution abatement</t>
  </si>
  <si>
    <t>HEAVY-METALS; PENINSULAR MALAYSIA; WEST-COAST; SITES; WATERS; FISH; ELEMENTS; CADMIUM; OYSTERS; COPPER</t>
  </si>
  <si>
    <t>[Shin, P. K. S.] City Univ Hong Kong, Ctr Coastal Pollut &amp; Conservat, Kowloon, Hong Kong, Peoples R China; City Univ Hong Kong, Dept Biol &amp; Chem, Kowloon, Hong Kong, Peoples R China</t>
  </si>
  <si>
    <t>Shin, PKS (corresponding author), City Univ Hong Kong, Ctr Coastal Pollut &amp; Conservat, 83 Tat Chee Ave, Kowloon, Hong Kong, Peoples R China.</t>
  </si>
  <si>
    <t>bhpshin@cityu.edu.hk</t>
  </si>
  <si>
    <t>Wu, Rudolf/B-4203-2010; Fang, James Kar-Hei/H-2088-2017</t>
  </si>
  <si>
    <t>Fang, James Kar-Hei/0000-0002-2969-7978</t>
  </si>
  <si>
    <t>University Grants Committee of the Hong Kong Special Administration Region, China [AoE/P-04/2004]</t>
  </si>
  <si>
    <t>University Grants Committee of the Hong Kong Special Administration Region, China</t>
  </si>
  <si>
    <t>This study was fully supported by the Area of Excellence Scheme under the University Grants Committee of the Hong Kong Special Administration Region, China (Project No. AoE/P-04/2004).</t>
  </si>
  <si>
    <t>10.1016/j.marpolbul.2008.05.001</t>
  </si>
  <si>
    <t>344ZC</t>
  </si>
  <si>
    <t>WOS:000258964800026</t>
  </si>
  <si>
    <t>Guo, ZQ; Gao, N; Wu, Y; Zhang, L</t>
  </si>
  <si>
    <t>Guo, Zhiqiang; Gao, Na; Wu, Yun; Zhang, Li</t>
  </si>
  <si>
    <t>The simultaneous uptake of dietary and waterborne Cd in gastrointestinal tracts of marine yellowstripe goby Mugilogobius chulae</t>
  </si>
  <si>
    <t>Heavy metals; Chyme; Intestine; Stomach; Metal uptake routes; Dual stable isotope tracer</t>
  </si>
  <si>
    <t>TROUT ONCORHYNCHUS-MYKISS; RAINBOW-TROUT; FRESH-WATER; CADMIUM UPTAKE; COPPER UPTAKE; BIOCONCENTRATION FACTOR; METAL BIOACCUMULATION; DAPHNIA-MAGNA; PERNA-VIRIDIS; GREEN MUSSEL</t>
  </si>
  <si>
    <t>Aquatic animals under waterborne metal exposure are also very likely exposed to elevated dietary metals. This study quantified the simultaneous uptake of dietary and waterborne Cd in gastrointestinal tracts (GT) of marine yellowstripe goby using a dual stable isotope tracer method. The Cd spiked diet (10 100 mu g g(-1), Cd-111 as tracers) were fed to the fish as a single meal, and then the fish were exposed to waterborne Cd (0-500 mu g L-1, Cd-113 as tracers) for 48 h, during which the time-course uptake of Cd in the stomach and intestine was determined. The findings revealed that the dietary Cd uptake mainly occurred within 12 h after feeding. The fish exposed to 500 mu g L-1 waterborne Cd showed significantly lower Cd assimilation efficiency (2.07%) than the control group (3.48%) at the dietary Cd of 100 mu g g(-1). Moreover, during 4-12 h when there was chyme in the GT, the waterborne Cd uptake in the intestine was lowest but the stomach showed the highest waterborne Cd uptake rate. The uptake of dietary and waterborne Cd, and the relative importance of dietary vs waterborne Cd was positively correlated with the Cd concentration in the chyme. Overall, this research demonstrated that there was interaction between dietary and waterborne Cd uptake in the GT of marine fish. The simultaneous uptake of metal from two routes is far more complex than the situation of a single route of metal uptake, which should be evaluated in determining metal bioaccumulation and toxicity in both laboratory and field metal exposure scenario. (C) 2016 Elsevier Ltd. All rights reserved.</t>
  </si>
  <si>
    <t>[Guo, Zhiqiang; Gao, Na; Wu, Yun; Zhang, Li] Chinese Acad Sci, Key Lab Trop Marine Bioresources &amp; Ecol, Guangdong Prov Key Lab Appl Marine Biol, South China Sea Inst Oceanol, Guangzhou 510301, Guangdong, Peoples R China; [Gao, Na] Univ Chinese Acad Sci, Beijing 100049, Peoples R China; [Wu, Yun] Nanjing Univ Informat Sci &amp; Technol, Collaborat Innovat Ctr Atmospher Environm &amp; Equip, Sch Environm Sci &amp; Engn, Nanjing 210044, Jiangsu, Peoples R China</t>
  </si>
  <si>
    <t>Chinese Academy of Sciences; South China Sea Institute of Oceanology, CAS; Chinese Academy of Sciences; University of Chinese Academy of Sciences, CAS; Nanjing University of Information Science &amp; Technology</t>
  </si>
  <si>
    <t>Zhang, L (corresponding author), Chinese Acad Sci, Key Lab Trop Marine Bioresources &amp; Ecol, Guangdong Prov Key Lab Appl Marine Biol, South China Sea Inst Oceanol, Guangzhou 510301, Guangdong, Peoples R China.</t>
  </si>
  <si>
    <t>zhangli@scsio.ac.cn</t>
  </si>
  <si>
    <t>Zhang, Li/A-7762-2014</t>
  </si>
  <si>
    <t>Zhang, Li/0000-0001-5705-6548</t>
  </si>
  <si>
    <t>Strategic Priority Research Program of the Chinese Academy of Sciences [XDA13020102]; State Key Development Program for Basic Research of China [2015CB452904]; Development Program for Basic Research of China [2015CB452904]; National Natural Science Foundation of China [U1301235, 31402316, 41376161, 41401579]; 100 Talents Project of Chinese Academy of Sciences</t>
  </si>
  <si>
    <t>Strategic Priority Research Program of the Chinese Academy of Sciences(Chinese Academy of Sciences); State Key Development Program for Basic Research of China(State Key Development Program for Basic Research of China); Development Program for Basic Research of China; National Natural Science Foundation of China(National Natural Science Foundation of China (NSFC)); 100 Talents Project of Chinese Academy of Sciences(Chinese Academy of Sciences)</t>
  </si>
  <si>
    <t>The research was financially supported by the Strategic Priority Research Program of the Chinese Academy of Sciences (XDA13020102), the State Key Development Program for Basic Research of China (2015CB452904), the National Natural Science Foundation of China (U1301235, 31402316, 41376161, 41401579), and the 100 Talents Project of Chinese Academy of Sciences to LZ.</t>
  </si>
  <si>
    <t>10.1016/j.envpol.2016.12.007</t>
  </si>
  <si>
    <t>WOS:000397359500004</t>
  </si>
  <si>
    <t>Milan, M; Carraro, L; Fariselli, P; Martino, ME; Cavalieri, D; Vitali, F; Boffo, L; Patarnello, T; Bargelloni, L; Cardazzo, B</t>
  </si>
  <si>
    <t>Milan, M.; Carraro, L.; Fariselli, P.; Martino, M. E.; Cavalieri, D.; Vitali, F.; Boffo, L.; Patarnello, T.; Bargelloni, L.; Cardazzo, B.</t>
  </si>
  <si>
    <t>Microbiota and environmental stress: how pollution affects microbial communities in Manila clams</t>
  </si>
  <si>
    <t>Ruditapes philippinarum; Adaptation; Microbial communities; Gene expression; Pollutants; Venice lagoon</t>
  </si>
  <si>
    <t>SP-NOV.; VENICE LAGOON; BACTERIAL COMMUNITIES; TAPES-PHILIPPINARUM; ACTIVATED-SLUDGE; RISK-ASSESSMENT; GUT MICROFLORA; HEAVY-METALS; DIVERSITY; POLLUTANTS</t>
  </si>
  <si>
    <t>Given the crucial role of microbiota in host development, health, and environmental interactions, genomic analyses focusing on host-microbiota interactions should certainly be considered in the investigation of the adaptive mechanisms to environmental stress. Recently, several studies suggested that microbiota associated to digestive tract is a key, although still not fully understood, player that must be considered to assess the toxicity of environmental contaminants. Bacteria-dependent metabolism of xenobiotics may indeed modulate the host toxicity. Conversely, environmental variables (including pollution) may alter the microbial community and/or its metabolic activity leading to host physiological alterations that may contribute to their toxicity. Here, 16s rRNA gene amplicon sequencing has been applied to characterize the hepatopancreas microbiota composition of the Manila clam, Ruditapes philippinararn. The animals were collected in the Venice lagoon area, which is subject to different anthropogenic pressures, mainly represented by the industrial activities of Porto Marghera (PM). Seasonal and geographic differences in clam microbiotas were explored and linked to host response to chemical stress identified in a previous study at the transcriptome level, establishing potential interactions among hosts, microbes, and environmental parameters. The obtained results showed the recurrent presence of putatively detoxifying bacterial taxa in PM clams during winter and over-representation of several metabolic pathways involved in xenobiotic degradation, which suggested the potential for host-microbial synergistic detoxifying actions. Strong interaction between seasonal and chemically-induced responses was also observed, which partially obscured such potentially synergistic actions. Seasonal variables and exposure to toxicants were therefore shown to interact and substantially affect clam microbiota, which appeared to mirror host response to environmental variation. It is clear that understanding how animals respond to chemical stress cannot ignore a key component of such response, the microbiota.</t>
  </si>
  <si>
    <t>[Milan, M.; Carraro, L.; Fariselli, P.; Patarnello, T.; Bargelloni, L.; Cardazzo, B.] Univ Padua, Dept Comparat Biomed &amp; Food Sci, I-35020 Legnaro, Italy; [Martino, M. E.] Univ Claude Bernard Lyon, IGFL, Ecole Normale Super Lyon, CNRS UMR 5242, Lyon, France; [Cavalieri, D.; Vitali, F.] Univ Florence, Dept Biol, Via Madonna Piano 6, I-50019 Florence, Italy; [Boffo, L.] Assoc Vongola Verace di Chioggia, Florence, Italy; [Milan, M.; Bargelloni, L.] CONISMA, Rome, Italy</t>
  </si>
  <si>
    <t>University of Padua; CHU Lyon; Centre National de la Recherche Scientifique (CNRS); Ecole Normale Superieure de Lyon (ENS de LYON); Universite Claude Bernard Lyon 1; CNRS - National Institute for Biology (INSB); University of Florence; CoNISMa</t>
  </si>
  <si>
    <t>Milan, M (corresponding author), Univ Padua, Dept Comparat Biomed &amp; Food Sci, I-35020 Legnaro, Italy.</t>
  </si>
  <si>
    <t>CAVALIERI, DUCCIO/T-3097-2017; Fariselli, Piero/HNJ-5136-2023; Milan, Massimo/H-7428-2019; martino, maria elena/R-5272-2018</t>
  </si>
  <si>
    <t>Vitali, Francesco/0000-0001-9125-4337; MARTINO, MARIA ELENA/0000-0001-5038-5605; martino, maria elena/0000-0003-2939-0375; MILAN, MASSIMO/0000-0003-0246-9008</t>
  </si>
  <si>
    <t>10.1016/j.aquatox.2017.11.019</t>
  </si>
  <si>
    <t>FU1YA</t>
  </si>
  <si>
    <t>WOS:000423644200022</t>
  </si>
  <si>
    <t>Kim, MS; Choi, MS; Kim, CK</t>
  </si>
  <si>
    <t>Kim, Mi Seon; Choi, Man Sik; Kim, Chan-Kook</t>
  </si>
  <si>
    <t>Monitoring Trace Metals in Seawater using a Diffusive Gradient in Thin Film Probe in Ulsan Bay, East Sea, Korea: Comparison with Transplanted Mussels</t>
  </si>
  <si>
    <t>OCEAN SCIENCE JOURNAL</t>
  </si>
  <si>
    <t>trace metals; seawater; monitoring; diffusive gradient in thin film (DGT); Ulsan Bay; transplanted mussels</t>
  </si>
  <si>
    <t>IN-SITU MEASUREMENT; BIOAVAILABLE METALS; MARINE ENVIRONMENTS; ARTIFICIAL MUSSEL; MYTILUS-EDULIS; HEAVY-METALS; DGT; WATERS; COPPER; POLLUTANTS</t>
  </si>
  <si>
    <t>To evaluate the applicability of a diffusive gradient in thin film (DGT) probe for monitoring dissolved metals in coastal seawater, DGT-labile metal concentrations were compared with total dissolved metal concentrations using spiked and natural seawater samples in the laboratory and transplanted mussels (Mytilus galloprovincialis). This was achieved through the simultaneous deployment of DGT probes and transplanted mussels in Ulsan Bay during winter and summer. DGT- labile metal concentrations were 45% (Cu) similar to 90% (Zn) of total dissolved concentrations, and the order of non- labile concentrations was Cu &gt; Pb &gt; Co similar to Ni &gt; Cd similar to Zn in both metal-contaminated and non-contaminated seawater samples, which was similar to the order of stability of metal complexes in the IrvingWilliams series. The overall variability of the DGT probe results within and between tanks was less than 10% (relative standard deviation: RSD) for all the metals tested during a 48-h deployment. The accumulation of metals, as determined by DGT probes, represented the spatial gradients better than the transplanted mussels did for all of the metals tested, and the extent of metal accumulation in mussels differed depending on the metal. The comparison of results for the DGT probe and the transplanted mussels in two seasons (winter and summer) suggested that metal accumulation in mussels was controlled by the physiological factors of mussels and partly by their diet (particulate metal loadings). The DGT probe could be used as a monitoring tool for dissolved metals in coastal seawater because its results explained only labile species. When using the DGT probe, slightly more than half of the total dissolved concentration in seawater samples for all the metals investigated displayed timeintegrated properties and distinct spatial gradients from pristine to metal- contaminated seawater.</t>
  </si>
  <si>
    <t>[Kim, Mi Seon; Choi, Man Sik] Chungnam Natl Univ, Coll Nat Sci, Dept Ocean Environm Sci, Daejeon 34134, South Korea; [Kim, Chan-Kook] EH R&amp;C Co LTD, Res Inst Environm Hlth &amp; Safety, Bucheon 14487, South Korea</t>
  </si>
  <si>
    <t>Chungnam National University</t>
  </si>
  <si>
    <t>Choi, MS (corresponding author), Chungnam Natl Univ, Coll Nat Sci, Dept Ocean Environm Sci, Daejeon 34134, South Korea.</t>
  </si>
  <si>
    <t>mschoi@cnu.ac.kr</t>
  </si>
  <si>
    <t>Kim, Dae/AAJ-7518-2021</t>
  </si>
  <si>
    <t>Choi, Mansik/0000-0001-7902-9567</t>
  </si>
  <si>
    <t>Ministry of Oceans and Fisheries, Korea; KOSEF [R01-2001-00084]</t>
  </si>
  <si>
    <t>Ministry of Oceans and Fisheries, Korea; KOSEF(Korea Science and Engineering Foundation)</t>
  </si>
  <si>
    <t>This research was a part of the project titled 'Development of techniques for assessment and management of hazardous chemicals in the marine environment', funded by the Ministry of Oceans and Fisheries, Korea. And KOSEF (R01-2001-00084) gave a partial financial support to this research.</t>
  </si>
  <si>
    <t>KOREA OCEAN RESEARCH DEVELOPMENT INST</t>
  </si>
  <si>
    <t>SEOUL</t>
  </si>
  <si>
    <t>P O BOX 29, SEOUL, 425-600, SOUTH KOREA</t>
  </si>
  <si>
    <t>1738-5261</t>
  </si>
  <si>
    <t>2005-7172</t>
  </si>
  <si>
    <t>OCEAN SCI J</t>
  </si>
  <si>
    <t>Ocean Sci. J.</t>
  </si>
  <si>
    <t>10.1007/s12601-016-0015-y</t>
  </si>
  <si>
    <t>DP1UP</t>
  </si>
  <si>
    <t>WOS:000378275200002</t>
  </si>
  <si>
    <t>Sfriso, AA; Chiesa, S; Sfriso, A; Buosi, A; Gobbo, L; Gnolo, AB; Argese, E</t>
  </si>
  <si>
    <t>Sfriso, Andrea Augusto; Chiesa, Stefania; Sfriso, Adriano; Buosi, Alessandro; Gobbo, Lorena; Gnolo, Alessia Boscolo; Argese, Emanuele</t>
  </si>
  <si>
    <t>Spatial distribution, bioaccumulation profiles and risk for consumption of edible bivalves: a comparison among razor clam, Manila clam and cockles in the Venice Lagoon</t>
  </si>
  <si>
    <t>Metal(loid) contamination; Razor clam; Manila clam; Lagoon cockle; Bioaccumulation; Venice Lagoon</t>
  </si>
  <si>
    <t>RUDITAPES-PHILIPPINARUM; HEAVY-METALS; SOLEN-MARGINATUS; CERASTODERMA-GLAUCUM; OF-VENICE; MYTILUS-GALLOPROVINCIALIS; SEDIMENTS; EDULE; WATER; BIOAVAILABILITY</t>
  </si>
  <si>
    <t>Despite their ecological and economical relevance, a lack of data is still occurring about the distribution, abundance, bioaccumulation and risks for consumption of some edible bivalves. The present study has been carried out in the Venice Lagoon taking into account three bivalve species to investigate i) the possible relationship among the biological features-distribution, abundance and bioaccumulation patterns- of razor clams (Solen marginatus Pulteney, 1799), Manila clams (Ruditapes philippinarum Adams and Reeve, 1850) and lagoon cockles (Cerastoderma glaucum Poiret, 1789) and the hydrological features, namely sediment physico-chemical characteristics and contamination; ii) their specific role as bioindicators of inorganic contamination; iii) the possible risks for human health associated with the consumption of these edible bivalves. Results showed that species distribution and abundance, especially for razor clams, was mainly influenced by environmental conditions and sediment granulometric composition, abovemetal(loid) contamination. The contamination patterns were different among species, as Manila clam generally showed higher bioaccumulation values for most of themetal(loid)s, whilst lagoon cockles preferentially accumulated Ni. Eventually, a serious concern exists for the human consumption, for all species and investigated sites regarding As. This study will raise attention on the effects of bioaccumulation of inorganic pollutants by edible bivalves and risks for consumers' safety, especially concerning razor clams and cockles, for which a critical lack of data on metal(loid) bioaccumulation occurs from the Northern Adriatic Sea. (c) 2018 Elsevier B.V. All rights reserved.</t>
  </si>
  <si>
    <t>[Sfriso, Andrea Augusto; Chiesa, Stefania; Gobbo, Lorena; Gnolo, Alessia Boscolo; Argese, Emanuele] Ca Foscari Univ Venice, Dept Mol Sci &amp; Nanosyst, Via Torino 155, I-30170 Venice, Italy; [Chiesa, Stefania; Sfriso, Adriano; Buosi, Alessandro] Ca Foscari Univ Venice, Dept Environm Sci Informat &amp; Stat, Via Torino 155, I-30170 Venice, Italy; [Chiesa, Stefania] Italian Inst Environm Protect &amp; Res, ISPRA, Via Vitaliano Brancati 48, I-00144 Rome, Italy</t>
  </si>
  <si>
    <t>Universita Ca Foscari Venezia; Universita Ca Foscari Venezia; Italian Institute for Environmental Protection &amp; Research (ISPRA); European Commission Joint Research Centre; EC JRC ISPRA Site</t>
  </si>
  <si>
    <t>Chiesa, S (corresponding author), Ca Foscari Univ Venice, Dept Mol Sci &amp; Nanosyst, Via Torino 155, I-30170 Venice, Italy.;Chiesa, S (corresponding author), Italian Inst Environm Protect &amp; Res, ISPRA, Via Vitaliano Brancati 48, I-00144 Rome, Italy.</t>
  </si>
  <si>
    <t>stefania.chiesa@unive.it</t>
  </si>
  <si>
    <t>Buosi, Alessandro/HLW-6702-2023; Chiesa, Stefania/M-3076-2013; Sfriso, Andrea/ABA-1815-2021; Sfriso, Andrea A./S-4227-2018</t>
  </si>
  <si>
    <t>Buosi, Alessandro/0000-0002-9543-5239; Sfriso, Andrea A./0000-0002-2956-2758</t>
  </si>
  <si>
    <t>Environmental Sciences, Informatics and Statistics Dept. Ca' Foscari University of Venice, Italy; Molecular Sciences and Nanosystems Dept., Ca' Foscari University of Venice, Italy</t>
  </si>
  <si>
    <t>This research was supported by own funds of the Environmental Sciences, Informatics and Statistics Dept. and of the Molecular Sciences and Nanosystems Dept., Ca' Foscari University of Venice, Italy.</t>
  </si>
  <si>
    <t>10.1016/j.scitotenv.2018.06.057</t>
  </si>
  <si>
    <t>GT6LZ</t>
  </si>
  <si>
    <t>WOS:000444625900055</t>
  </si>
  <si>
    <t>Thielen, F; Zimmermann, S; Baska, F; Taraschewski, H; Sures, B</t>
  </si>
  <si>
    <t>The intestinal parasite Pomphorhynchus laevis (Acanthocephala) from barbel as a bioindicator for metal pollution in the Danube River near Budapest, Hungary</t>
  </si>
  <si>
    <t>Pomphorhynchus laevis; Barbus barbus; parasites; bioindication; Danube; metals; pollution</t>
  </si>
  <si>
    <t>CHUB LEUCISCUS-CEPHALUS; PERCH PERCA-FLUVIATILIS; LEAD ACCUMULATION; ZEBRA MUSSELS; FRESH-WATER; FISH HOST; LUCII; PALAEACANTHOCEPHALA; INDICATORS; CADMIUM</t>
  </si>
  <si>
    <t>Concentrations of As, Al, Ag, Ba, Bi, Cd, Co, Cr, Cu, Fe, Ga, Mg, Mn, Ni, Pb, Sb, Sn, Sr, Tl, V and Zn were analyzed by inductively coupled mass spectrometry (ICP-MS) in the intestinal helminth Pomphorhynchus laevis and its host Barbus barbus. The fish were caught in the Danube river downstream of the city of Budapest (Hungary). Ten Out of twenty one elements analyzed were found at higher concentrations in the acanthocephalan than in different tissues (muscle, intestine, liver and kidney) of barbel. Considering the fish tissues. most of the elements were present at highest concentrations in liver, followed by kidney, intestine and muscle. Spearman correlation analyses indicate that there is competition for metals between the parasites and the host. The negative relationships between parasite number and metal levels in organs of the barbel Support this hypothesis. The bioconcentration factors for Ag,. As. Ba. Bi. Cu. Ga, Mn, Pb, Sr, Tl, and Zn showed that the parasites concentrated metals to a higher degree than the fish tissues, They accumulated the metals As, Cd, Cu, Fe, Ni, Pb, Sr and Zn even better than established bioindicators such as the Mussel Dreissena polymorpha as revealed by data from the literature. The results presented here emphasize that acanthocephalans of fish are very useful as sentinels for metal pollution in aquatic ecosystems. Ratio of metal concentrations in the parasites and the host tissues provide additional information. Not including acanthocephalans in accumulation bioindication studies with fishes (as still customarily done) may lead to false results. (C) 2004 Elsevier Ltd. All rights reserved.</t>
  </si>
  <si>
    <t>Univ Karlsruhe, Zool Okol Inst 1, D-76128 Karlsruhe, Germany; Szent Istvan Univ Budapest, Fac Vet Sci, Dept Pathol &amp; Vet Forens Med, Budapest, Hungary</t>
  </si>
  <si>
    <t>Helmholtz Association; Karlsruhe Institute of Technology; Hungarian University of Agriculture &amp; Life Sciences</t>
  </si>
  <si>
    <t>Univ Karlsruhe, Zool Okol Inst 1, Geb 07-01, D-76128 Karlsruhe, Germany.</t>
  </si>
  <si>
    <t>frankie.thielen@bio.uka.de</t>
  </si>
  <si>
    <t>Sures, Bernd/B-6652-2013; Thielen, Frankie/J-9934-2019</t>
  </si>
  <si>
    <t>Thielen, Frankie/0000-0001-8137-3877; Sures, Bernd/0000-0001-6865-6186</t>
  </si>
  <si>
    <t>10.1016/j.envpol.2003.11.011</t>
  </si>
  <si>
    <t>823CN</t>
  </si>
  <si>
    <t>WOS:000221587400009</t>
  </si>
  <si>
    <t>Sures, B; Zimmermann, S; Sonntag, C; Stüben, D; Taraschewski, H</t>
  </si>
  <si>
    <t>The acanthocephalan Paratenuisentis ambiguus as a sensitive indicator of the precious metals Pt and Rh from automobile catalytic converters</t>
  </si>
  <si>
    <t>Paratenuisentis ambiguus; eel; catalytic automobile exhaust gas converters; platinum-group-metals (PGM); Pt; Rh; metal pollution; SF-ICP-MS; bioindicator; bioaccumulation</t>
  </si>
  <si>
    <t>GROUP ELEMENTS PGE; FRESH-WATER ECOSYSTEMS; DREISSENA-POLYMORPHA; ANGUILLA-ANGUILLA; MOTORWAY RUNOFF; ZEBRA-MUSSEL; PLATINUM; PALLADIUM; PARASITES; ACCUMULATION</t>
  </si>
  <si>
    <t>Recent studies revealed that intestinal acanthocephalans of fish can accumulate heavy metals to concentrations orders of magnitude higher than those in the host tissues or the aquatic environment. This significant heavy metal accumulation by acanthocephalans, even surpassing that of established free living accumulation bioindicators, encouraged us to study the bioavailability of the platinum-group-metals (PGM) Pt and Rh for parasites. These precious metals are used in catalytic converters of cars for exhaust gas purification in Europe since the early 1980s. In addition to the beneficial effect in reducing the emission of CHx, CO and NOx of cars there is an increasing emission of these metals. However, it still remains unclear if these elements become accumulated in the biosphere and whether they affect the health of organisms. The present study reveals that in European eels (Anguilla anguilla) naturally infected with the eoacanthocephalan parasite Paratenuisentis ambiguus and experimentally exposed to ground catalytic converter material, the parasites take up and accumulate the catalytic active metals Pt and Rh whereas in the examined host tissues we found no metal uptake. Compared with the PGM concentrations in the water the worms contained 1600 times higher Rh and 50 times higher Pt concentrations. Thus, the parasites can be used as sentinel organisms reflecting even very low levels of precious metals. (C) 2002 Elsevier Science Ltd. All rights reserved.</t>
  </si>
  <si>
    <t>Univ Karlsruhe, Inst Zool 1, D-76128 Karlsruhe, Germany; Univ Karlsruhe, Inst Petrog &amp; Geochem, D-76128 Karlsruhe, Germany</t>
  </si>
  <si>
    <t>Helmholtz Association; Karlsruhe Institute of Technology; Helmholtz Association; Karlsruhe Institute of Technology</t>
  </si>
  <si>
    <t>Sures, B (corresponding author), Univ Karlsruhe, Inst Zool 1, Kornblumenstr 13,Geb 07-01, D-76128 Karlsruhe, Germany.</t>
  </si>
  <si>
    <t>Sures, Bernd/0000-0001-6865-6186; Sonntag, Carmen/0000-0003-2560-1710</t>
  </si>
  <si>
    <t>PII S0269-7491(02)00306-8</t>
  </si>
  <si>
    <t>10.1016/S0269-7491(02)00306-8</t>
  </si>
  <si>
    <t>WOS:000181539500009</t>
  </si>
  <si>
    <t>Ghosn, M; Mahfouz, C; Chekri, R; Ouddane, B; Khalaf, G; Guérin, T; Amara, R; Jitaru, P</t>
  </si>
  <si>
    <t>Ghosn, Micheline; Mahfouz, Celine; Chekri, Rachida; Ouddane, Baghdad; Khalaf, Gaby; Guerin, Thierry; Amara, Rachid; Jitaru, Petru</t>
  </si>
  <si>
    <t>Assessment of trace element contamination and bioaccumulation in algae (Ulva lactuca), bivalves (Spondylus spinosus) and shrimps (Marsupenaeus japonicus) from the Lebanese coast</t>
  </si>
  <si>
    <t>Bioaccumulation; Trace elements; Marine organisms; Lebanon; Eastern Mediterranean</t>
  </si>
  <si>
    <t>MUSSELS MYTILUS-GALLOPROVINCIALIS; HEAVY-METAL POLLUTION; BIOLOGICAL INDICATORS; AQUATIC INVERTEBRATES; SEASONAL-VARIATIONS; PENAEUS-KERATHURUS; MEDITERRANEAN SEA; ISKENDERUN GULF; MEILIANG BAY; TAIHU LAKE</t>
  </si>
  <si>
    <t>In this study, levels of 20 trace elements (Al, Ti, V, Cr, Mn, Fe, Co, Ni, Cu, Zn, As, Se, Ag, Cd, Sn, Sb, Ba, Hg, Pb and U) and the respective biota-sediment accumulation factors (BSAF) were assessed for three marine species from the Eastern Mediterranean (Lebanese coast) belonging to different trophic levels in the food chain (algae, bivalves and shrimps). Multivariate analyses showed significant differences in trace element accumulation between seasons, sites and species thus highlighting the importance of a multi-species and seasonal approach to monitor trace metals in coastal areas. Biotasediment accumulation factors (BSAF) showed limited transfer from sediments to marine organisms suggesting that the bioaccumulation of trace elements by marine organisms should be assessed by considering multiple sources of contaminants. Lead (Pb) levels (0.07-4.44 mg.kg(-1)) measured in algae and Cd (0.54-7.74 mg.kg(-1)) and Zn (42.88-972 mg.kg(-1)) levels found in the oyster, were similar and sometimes higher than those found in other polluted areas indicating that the Lebanese coast is subject to environmental pollution. (C) 2020 Elsevier B.V. All rights reserved.</t>
  </si>
  <si>
    <t>[Ghosn, Micheline; Amara, Rachid] Univ Littoral Cote dOpale, Univ Lille, Lab Oceanol &amp; Geosci, CNRS,UMR 8187, F-62930 Wimereux, France; [Ghosn, Micheline; Chekri, Rachida; Guerin, Thierry; Jitaru, Petru] Univ Paris Est, Lab Food Safety, ANSES, F-94701 Maisons Alfort, France; [Ghosn, Micheline; Mahfouz, Celine; Khalaf, Gaby] CNRS L, Natl Ctr Marine Sci, POB 534, Batroun, Lebanon; [Ouddane, Baghdad] Univ Lille, Lab Spectrochim Infrarouge &amp; Raman, UMR CNRS 8516, LASIR,Equipe Phys Chim Environm, Bat C8, F-59655 Villeneuve Dascq, France</t>
  </si>
  <si>
    <t>Universite du Littoral-Cote-d'Opale; Universite de Lille; Centre National de la Recherche Scientifique (CNRS); CNRS - National Institute for Earth Sciences &amp; Astronomy (INSU); Agence Nationale de Securite Sanitaire de l'Alimentation, de l'Environnement du Travail (ANSES); Laboratoire de Securite Aliments; Ecole Nationale Veterinaire d'Alfort (ENVA); Centre National de la Recherche Scientifique (CNRS) - Lebanon; National Center for Marine Sciences (CNRSL); Centre National de la Recherche Scientifique (CNRS); CNRS - Institute of Chemistry (INC); Universite de Lille</t>
  </si>
  <si>
    <t>Jitaru, P (corresponding author), Univ Paris Est, Lab Food Safety, ANSES, F-94701 Maisons Alfort, France.</t>
  </si>
  <si>
    <t>petru.jitaru@anses.fr</t>
  </si>
  <si>
    <t>RACHID, AMARA/E-2525-2012; GUERIN, Thierry/Q-6397-2019; Ouddane, Baghdad/Q-2630-2019; GUERIN, Thierry/AGM-5991-2022</t>
  </si>
  <si>
    <t>GUERIN, Thierry/0000-0003-4060-6616; AMARA, Rachid/0000-0002-7183-1333; Ouddane, Baghdad/0000-0002-3778-9696; JITARU, Petru/0000-0001-9521-6899; Ghosn, Micheline/0000-0001-8803-7454</t>
  </si>
  <si>
    <t>Lebanese National Council for Scientific Research (CNRS-L)</t>
  </si>
  <si>
    <t>MG thanks the Lebanese National Council for Scientific Research (CNRS-L) for the Ph.D. financial support and the Laboratory for Food Safety (Anses) for the opportunity to carry out the project in the unit Trace Metals and Minerals/Department of Chemical Contaminants in Food.</t>
  </si>
  <si>
    <t>10.1016/j.rsma.2020.101478</t>
  </si>
  <si>
    <t>OD3ZL</t>
  </si>
  <si>
    <t>WOS:000579792200010</t>
  </si>
  <si>
    <t>Sathish, MN; Jeyasanta, KI; Patterson, J</t>
  </si>
  <si>
    <t>Sathish, M. Narmatha; Jeyasanta, K. Immaculate; Patterson, Jamila</t>
  </si>
  <si>
    <t>Monitoring of microplastics in the clam Donax cuneatus and its habitat in Tuticorin coast of Gulf of Mannar (GoM), India</t>
  </si>
  <si>
    <t>Microplastics; Clam; Organism size; Bio-indicator</t>
  </si>
  <si>
    <t>MYTILUS-EDULIS L.; MARINE-ENVIRONMENT; POLLUTION; INGESTION; MUSSELS; DEGRADATION; ABUNDANCE; WATERS; FATE; SIZE</t>
  </si>
  <si>
    <t>Microplastics (MPs) in the marine environment are ubiquitous. The ingestion of these pollutants by marine organisms has drawn global attention. This work studies the distribution pattern and characteristics of MPs found in the body of the clam Donax cuneatus and its environment in order to understand the possible relationship between the MP concentration in the environment (water and sediment) and that in the clam's body. Samples of D. cuneatus were collected from the coast between Vembar and Periyathazhai in Tuticorin district along GoM. MP concentrations range from 0.6 to 1.3 items/g (wet weight) in clams, 10-30 items/l in water, and 24-235 items/kg in sediment. Small-sized clams contain the highest concentration of MPs. Hence it is hypothesised that allometric relationship exists between body size and MP concentration, depending on the surface-area to volume ratio. MP abundance in clam body has a clear, positive, significant correlation with MP abundance in sediment but not with abundance of MP in water. Microplastics of fiber type with size 100-250 mm have a predominant presence in clams. The study identified ten types of polymers, of which polyethylene is the most common polymer in all sample types. FTIR-ATR spectra and surface morphology indicate that most of the microplastics have been strongly weathered. Energy dispersive X-ray spectroscopy analysis detected heavy metals associated with MPs like Cd, Pb, Cu, Zn, Ni and Fe. Filter-feeding clams like Donax sp. can provide valuable information on the spatial patterns of MP distribution, and so can act as bio-indicators in monitoring MP pollution in coastal areas. (C) 2020 Elsevier Ltd. All rights reserved.</t>
  </si>
  <si>
    <t>[Sathish, M. Narmatha; Jeyasanta, K. Immaculate; Patterson, Jamila] Manonmaniam Sundaranar Univ, Suganthi Devadason Marine Res Inst, Tirunelveli, India</t>
  </si>
  <si>
    <t>Manonmaniam Sundaranar University</t>
  </si>
  <si>
    <t>Sathish, MN (corresponding author), Manonmaniam Sundaranar Univ, Suganthi Devadason Marine Res Inst, Tirunelveli, India.</t>
  </si>
  <si>
    <t>narsathish16@gmail.com</t>
  </si>
  <si>
    <t>Patterson, Jamila/GXW-1295-2022</t>
  </si>
  <si>
    <t>sathish, narmatha/0000-0002-5564-4650; jeyasanta, Dr. K.Immaculate/0000-0002-7547-4468</t>
  </si>
  <si>
    <t>Ministry of Environment, Forest and Climate Change under National Adaptation Fund for Climate Change; Department of Environment, Government of Tamil Nadu</t>
  </si>
  <si>
    <t>Ministry of Environment, Forest and Climate Change under National Adaptation Fund for Climate Change(Ministry of Environment, Forest and Climate Change (MoEFCC), Government of India); Department of Environment, Government of Tamil Nadu</t>
  </si>
  <si>
    <t>The authors are thankful to Ministry of Environment, Forest and Climate Change for funding support under National Adaptation Fund for Climate Change; to Department of Environment, Government of Tamil Nadu for support and encouragement; and to Suganthi Devadason Marine Research Institute for the facilities to carry out the study.</t>
  </si>
  <si>
    <t>10.1016/j.envpol.2020.115219</t>
  </si>
  <si>
    <t>NT5DF</t>
  </si>
  <si>
    <t>WOS:000572960600008</t>
  </si>
  <si>
    <t>Li, Y; Li, JQ; Xue, SY; Zhang, WW; Xu, H; Jiang, ZJ; Mao, YZ</t>
  </si>
  <si>
    <t>Li, Yang; Li, Jiaqi; Xue, Suyan; Zhang, Wenwen; Xu, Han; Jiang, Zengjie; Mao, Yuze</t>
  </si>
  <si>
    <t>Effects of Cu, Zn and Cd on larval development and respiratory metabolism of pacific abalone (Haliotis discus hannai)</t>
  </si>
  <si>
    <t>heavy metal; larval toxicity; pacific abalone; respiration metabolism; trochophore; veliger</t>
  </si>
  <si>
    <t>HEALTH-RISK ASSESSMENT; HEAVY-METALS; MYTILUS-GALLOPROVINCIALIS; OCEAN ACIDIFICATION; TRACE-METALS; SEA-URCHIN; TOXICITY; OYSTER; RESPONSES; EMBRYOS</t>
  </si>
  <si>
    <t>Trochophore and veliger are vulnerable pelagic larvae and susceptible to environmental toxicants, which are extremely crucial for the population renewal. Cu, Zn and Cd pollution are common elements in metal pollution in coastal areas. Though Pacific abalone is the main economic mollusc in China, its larval response to metals remains unclear. To understand this, the effect of Cu, Zn and Cd toxicity on malformation classification and respiratory metabolism of trochophore and veliger are analysed and measured in this paper. The 48 hr EC(50)for abalone trochophore was (18.9 +/- 1.0) mu g/L for Cu, (65.1 +/- 0.3) mu g/L for Zn and (1,377.8 +/- 68.9) mu g/L for Cd respectively. The LC(50)of veliger was (45.8 +/- 0.9) mu g/L for Cu, (50.0 +/- 0.9) mu g/L for Zn and (1,049.3 +/- 37.6) mu g/L for Cd respectively. Trochophore died with no shell at 128 mu g/L Cu, yet remained alive with multiple broken-shell bodies at 128 mu g/L Zn and failed to form well-developed shells at 20,480 mu g/L Cd. All veliger died with complete shells at the mentioned concentrations. A self-made device was used to study the effect on respiratory metabolism. The respiratory metabolism level was significantly fluctuating under Cu and Zn exposure and declined under Cd. The results indicated a decreasing order of the metal toxicity to trochophore and veliger as follows: Cu &gt; Zn &gt;&gt; Cd. Cu and Zn were the main causes of shell abnormality, and Cd was less toxic. Moreover, the affected respiratory has a negative impact on further larval development.</t>
  </si>
  <si>
    <t>[Li, Yang; Li, Jiaqi; Xue, Suyan; Zhang, Wenwen; Xu, Han; Jiang, Zengjie; Mao, Yuze] Chinese Acad Fishery Sci, Yellow Sea Fisheries Res Inst, Key Lab Sustainable Dev Marine Fisheries,Minist A, Shandong Prov Key Lab Fishery Resources &amp; Ecoenvi, Qingdao 266071, Peoples R China; [Li, Yang; Li, Jiaqi; Xue, Suyan; Zhang, Wenwen; Xu, Han; Mao, Yuze] Pilot Natl Lab Marine Sci &amp; Technol Qingdao, Lab Marine Ecol &amp; Environm Sci, Qingdao, Peoples R China; [Li, Yang; Zhang, Wenwen] Shanghai Ocean Univ, Coll Fishers &amp; Life Sci, Shanghai, Peoples R China</t>
  </si>
  <si>
    <t>Chinese Academy of Fishery Sciences; Yellow Sea Fisheries Research Institute, CAFS; Laoshan Laboratory; Shanghai Ocean University</t>
  </si>
  <si>
    <t>Mao, YZ (corresponding author), Chinese Acad Fishery Sci, Yellow Sea Fisheries Res Inst, Key Lab Sustainable Dev Marine Fisheries,Minist A, Shandong Prov Key Lab Fishery Resources &amp; Ecoenvi, Qingdao 266071, Peoples R China.</t>
  </si>
  <si>
    <t>maoyz@ysfri.ac.cn</t>
  </si>
  <si>
    <t>Li, Jiaqi/A-3494-2016; Mao, Yuze/AAG-3313-2021</t>
  </si>
  <si>
    <t>Li, Yang/0000-0001-8410-0655; MAO, Yuze/0000-0002-9138-6812</t>
  </si>
  <si>
    <t>Central Public-interest Scientific Institution Basal Research Fund, CAFS [2020TD50]; Creative Team Project of the Laboratory for Marine Ecology and Enviromental Science, Qingdao National Laboratory for Marine Science and Technology [LMEE-SCTSP-2018-4]; National Key Research and Development Project [2019YFD0900801]; Central Publicinterest Scientific Institution Basal Research Fund, YSFRI [20603022018029, 20603022020001]</t>
  </si>
  <si>
    <t>Central Public-interest Scientific Institution Basal Research Fund, CAFS; Creative Team Project of the Laboratory for Marine Ecology and Enviromental Science, Qingdao National Laboratory for Marine Science and Technology; National Key Research and Development Project(National Key Research &amp; Development Program of China); Central Publicinterest Scientific Institution Basal Research Fund, YSFRI</t>
  </si>
  <si>
    <t>Central Public-interest Scientific Institution Basal Research Fund, CAFS, Grant/Award Number: 2020TD50; Creative Team Project of the Laboratory for Marine Ecology and Enviromental Science, Qingdao National Laboratory for Marine Science and Technology,, Grant/Award Number: LMEE-SCTSP-2018-4; National Key Research and Development Project, Grant/Award Number: 2019YFD0900801; Central Publicinterest Scientific Institution Basal Research Fund, YSFRI, Grant/Award Number: 20603022018029 and 20603022020001</t>
  </si>
  <si>
    <t>10.1111/are.14768</t>
  </si>
  <si>
    <t>NN7SY</t>
  </si>
  <si>
    <t>WOS:000558923900001</t>
  </si>
  <si>
    <t>Soto-Jiménez, M; Páez-Osuna, F; Morales-Hernández, F</t>
  </si>
  <si>
    <t>Selected trace metals in oysters (Crassostrea iridescens) and sediments from the discharge zone of the submarine sewage outfall in Mazatlan Bay (southeast Gulf of California):: chemical fractions and bioaccumulation factors</t>
  </si>
  <si>
    <t>trace metals; oysters; sediments; sewage outfall; Gulf of California</t>
  </si>
  <si>
    <t>SUSPENDED PARTICULATE MATTER; HEAVY-METALS; BALTIC SEA; SEQUENTIAL EXTRACTION; ENVIRONMENTAL-IMPACT; SURFICIAL SEDIMENTS; CADMIUM; RIVER; SPECIATION; ORGANISMS</t>
  </si>
  <si>
    <t>Concentrations of Cd, Cr, Cu, Fe, Mn, Ni, Pb and Zn in the soft tissue of Crassostrea iridescens and the associated surface sediments (bulk and bioavailable metal concentrations) from an area influenced by a sewage outfall in Mazatlan Bay (southeast Gulf of California), were determined by atomic absorption spectrophotometry. Significant spatial differences in metal concentrations in both the bulk and bioavailable forms in the sediments were identified. An enrichment of Cu, Ni, Pb and Zn in sites located on a south-north transect was detected indicating a dominant influence of the sewage outfall toward the north. C. iridescens accumulated more Zn, Cu, Ni, Fe, Cd; and less Mn, Cr and Pb than were bioavailable in the sediments, as measured using conventional extraction analysis. The degree of enrichment and the bioavailable metal concentrations in the sediments of the south portion of Mazatlan Bay is discussed. The potential ability of C. iridescens as a biomonitor of metallic pollutants is postulated. (C) 2001 Elsevier Science Ltd. All rights reserved.</t>
  </si>
  <si>
    <t>Univ Nacl Autonoma Mexico, Unidad Acad Mazatlan, Programa Posgrado Ciencias Mat &amp; Limnol, Mexico City, DF, Mexico; Univ Nacl Autonoma Mexico, Unidad Acad Mazatlan, Inst Ciencias Mat &amp; Limnol, Mazatlan 82000, Sinaloa, Mexico</t>
  </si>
  <si>
    <t>Páez-Osuna, F (corresponding author), Univ Nacl Autonoma Mexico, Unidad Acad Mazatlan, Programa Posgrado Ciencias Mat &amp; Limnol, Mexico City, DF, Mexico.</t>
  </si>
  <si>
    <t>paezos@servidor.unam.mx</t>
  </si>
  <si>
    <t>10.1016/S0269-7491(00)00239-6</t>
  </si>
  <si>
    <t>WOS:000171001600007</t>
  </si>
  <si>
    <t>Caliani, I; De Marco, G; Cappello, T; Giannetto, A; Mancini, G; Ancora, S; Maisano, M; Parrino, V; Cappello, S; Bianchi, N; Oliva, S; Luciano, A; Mauceri, A; Leonzio, C; Fasulo, S</t>
  </si>
  <si>
    <t>Caliani, Ilaria; De Marco, Giuseppe; Cappello, Tiziana; Giannetto, Alessia; Mancini, Giuseppe; Ancora, Stefania; Maisano, Maria; Parrino, Vincenzo; Cappello, Simone; Bianchi, Nicola; Oliva, Sabrina; Luciano, Antonella; Mauceri, Angela; Leonzio, Claudio; Fasulo, Salvatore</t>
  </si>
  <si>
    <t>Assessment of the effectiveness of a novel BioFilm-Membrane BioReactor oil-polluted wastewater treatment technology by applying biomarkers in the mussel Mytilus galloprovincialis</t>
  </si>
  <si>
    <t>Oil wastewater treatment; Mesocosm-scale system; Mussel gills; Hypoxia; Environmental metabolomics; Genotoxicity</t>
  </si>
  <si>
    <t>NMR-BASED METABOLOMICS; BASS DICENTRARCHUS-LABRAX; ATLANTIC BLUEFIN TUNA; PETROCHEMICAL CONTAMINATION; GENE-EXPRESSION; HEAVY-METALS; LIZA-AURATA; MBR SYSTEMS; MECHANISMS; TAURINE</t>
  </si>
  <si>
    <t>Petrochemical industries and oil refineries are sources of hazardous chemicals into the aquatic environments, and often a leading cause of reduced oxygen availability, thus resulting in adverse effects in biota. This study is an expansion of our previous work on the assessment of the BioFilm-Membrane Bioreactor (BF-MBR) to mitigate the impact of oil-polluted wastewater on marine environments. Specifically, this study evaluated the reduction of selected chemical constituents (hydrocarbons and trace metals) and toxicity related to hypoxia and DNA damage to mussels Mytilus galloprovincialis, before and after treatment of oil-polluted wastewater with the BF-MBR. The application of a multidisciplinary approach provided evidence of the efficiency of BF-MBR to significantly reducing the pollutants load from oily contaminated seawaters. As result, the health status of mussels was preserved by a hypoxic condition due to oily pollutants, as evidenced by the modulation in the gene expression of HIF-1 alpha and PHD and changes in the level of hypotaurine and taurine. Moreover, ameliorative effects in the energy metabolism were also found in mussel gills showing increased levels of glycogen, glucose and ATP, as well as a mitigated genotoxicity was revealed by the Micronucleus and Comet assays. Overall, findings from this study support the use of the BF-MBR as a promising treatment biotechnology to avoid or limiting the compromise of marine environments from oil pollution.</t>
  </si>
  <si>
    <t>[Caliani, Ilaria; Ancora, Stefania; Bianchi, Nicola; Leonzio, Claudio] Univ Siena, Dept Phys Earth &amp; Environm Sci, Siena, Italy; [De Marco, Giuseppe; Cappello, Tiziana; Giannetto, Alessia; Maisano, Maria; Parrino, Vincenzo; Oliva, Sabrina; Mauceri, Angela; Fasulo, Salvatore] Univ Messina, Dept Chem Biol Pharmaceut &amp; Environm Sci, Viale F Stagno dAlcontres, I-98166 Messina, Italy; [Mancini, Giuseppe] Univ Catania, Elect Elect &amp; Comp Engn Dept, Catania, Italy; [Cappello, Simone] Inst Biol Resources &amp; Marine Biotechnol IRBIM Nat, Messina, Italy; [Luciano, Antonella] Casaccia Res Ctr, Energy &amp; Sustainable Econ Dev Dept Sustainabil, ENEA Italian Natl Agcy New Technol, Rome, Italy</t>
  </si>
  <si>
    <t>University of Siena; University of Messina; University of Catania; Italian National Agency New Technical Energy &amp; Sustainable Economics Development</t>
  </si>
  <si>
    <t>Maisano, M (corresponding author), Univ Messina, Dept Chem Biol Pharmaceut &amp; Environm Sci, Viale F Stagno dAlcontres, I-98166 Messina, Italy.</t>
  </si>
  <si>
    <t>maria.maisano@unime.it</t>
  </si>
  <si>
    <t>Mancini, Giuseppe/C-4544-2015; Parrino, Vincenzo/O-8408-2019; Cappello, Tiziana/J-6902-2016; De Marco, Giuseppe/AAR-4765-2021; Oliva, Sabrina/G-6809-2012; Giannetto, Alessia/AAA-6735-2019</t>
  </si>
  <si>
    <t>PARRINO, Vincenzo/0000-0001-8331-212X; DE MARCO, GIUSEPPE/0000-0003-1381-8146</t>
  </si>
  <si>
    <t>National Interest Research Project (PRIN 2010-2011) [2010ARBLT7_001/008]</t>
  </si>
  <si>
    <t>National Interest Research Project (PRIN 2010-2011)</t>
  </si>
  <si>
    <t>10.1016/j.aquatox.2021.106059</t>
  </si>
  <si>
    <t>WOS:000765528400006</t>
  </si>
  <si>
    <t>Dallas, LJ; Cheung, VV; Fisher, AS; Jha, AN</t>
  </si>
  <si>
    <t>Dallas, Lorna J.; Cheung, Victoria V.; Fisher, Andrew S.; Jha, Awadhesh N.</t>
  </si>
  <si>
    <t>Relative sensitivity of two marine bivalves for detection of genotoxic and cytotoxic effects: a field assessment in the Tamar Estuary, South West England</t>
  </si>
  <si>
    <t>Bivalve molluscs; Tamar estuary; Metals; Biomarkers; Comet assay; Neutral red retention</t>
  </si>
  <si>
    <t>MUSSEL MYTILUS-EDULIS; POLYCYCLIC AROMATIC-HYDROCARBONS; LYSOSOMAL MEMBRANE DAMAGE; COMET ASSAY MEASUREMENTS; DNA-DAMAGE; BLOOD-CELLS; CERASTODERMA-EDULE; HEALTH-STATUS; IN-VITRO; POLLUTION</t>
  </si>
  <si>
    <t>The input of anthropogenic contaminants to the aquatic environment is a major concern for scientists, regulators and the public. This is especially relevant in areas such as the Tamar valley in SW England, which has a legacy of contamination from industrial activity in the nineteenth and twentieth centuries. Following on from previous laboratory validation studies, this study aimed to assess the relationship between genotoxic and cytotoxic responses and heavy metal concentrations in two bivalve species sampled from locations along the Tamar estuary. Adult cockles, Cerastoderma edule, and blue mussels, Mytilus edulis, were sampled from five locations in the Tamar and one reference location on the south Devon coast. Bivalve haemocytes were processed for comet and neutral red retention (NRR) assays to determine potential genotoxic and cytotoxic effects, respectively. Sediment and soft tissue samples were analysed for metal content by inductively coupled plasma mass spectrometry. Sediment concentrations were consistent with the physico-chemical nature of the Tamar estuary. A significant correlation (P = 0.05) was found between total metal concentration in sediment and C. edule soft tissues, but no such correlation was found for M. edulis samples. DNA damage was elevated at the site with highest Cr concentrations for M. edulis and at the site with highest Ni and Pb concentrations for C. edule. Analysis of NRR revealed a slight increase in retention time at one site, in contrast to comet data. We conclude that the comet assay is a reliable indicator of genotoxic damage in the field for both M. edulis and C. edule and discuss reasons for the apparent discrepancy with NRR.</t>
  </si>
  <si>
    <t>[Dallas, Lorna J.; Cheung, Victoria V.; Jha, Awadhesh N.] Univ Plymouth, Sch Biol &amp; Biomed Sci, Plymouth PL4 8AA, Devon, England; [Fisher, Andrew S.] Univ Plymouth, Sch Geog Earth &amp; Environm Sci, Plymouth PL4 8AA, Devon, England</t>
  </si>
  <si>
    <t>Jha, AN (corresponding author), Univ Plymouth, Sch Biol &amp; Biomed Sci, Plymouth PL4 8AA, Devon, England.</t>
  </si>
  <si>
    <t>Dallas, Lorna/0000-0002-8976-9750; Fisher, Andrew/0000-0003-4373-4904; /0000-0002-5123-7134; Jha, Awadhesh/0000-0001-9660-4308</t>
  </si>
  <si>
    <t>European Regional Development Fund, INTERREG IVA [4059]</t>
  </si>
  <si>
    <t>European Regional Development Fund, INTERREG IVA(European Union (EU)Interreg Europe)</t>
  </si>
  <si>
    <t>Partial financial support from European Regional Development Fund, INTERREG IVA (grant no. 4059) is acknowledged.</t>
  </si>
  <si>
    <t>10.1007/s10661-012-2800-0</t>
  </si>
  <si>
    <t>100WV</t>
  </si>
  <si>
    <t>WOS:000315736500042</t>
  </si>
  <si>
    <t>Kilemade, M; Hartl, MGJ; Sheehan, D; Mothersill, C; van Pelt, FNAM; O'Brien, NM; O'Halloran, J</t>
  </si>
  <si>
    <t>An assessment of the pollutant status of surficial sediment in Cork Harbour in the South East of Ireland with particular reference to polycyclic aromatic hydrocarbons</t>
  </si>
  <si>
    <t>snapshot survey; Cork Harbour; surficial sediment; contaminants; oil refinery; power generating station</t>
  </si>
  <si>
    <t>PRINCE-WILLIAM-SOUND; VALDEZ-OIL-SPILL; HEAVY-METAL; POLYBROMINATED DIPHENYLETHERS; SOURCE IDENTIFICATION; MARINE-SEDIMENTS; TERM EXPOSURE; ORGANOCHLORINE; CONTAMINATION; MUSSELS</t>
  </si>
  <si>
    <t>Surface sediment from three polluted sites within Cork Harbour, Ireland, and from a relatively clean reference site were collected and analysed for polycyclic aromatic hydrocarbons (PAHs), polychlorinated biphenyls (PCBs), organochlorine pesticides (OCPs), brominated flame retardants (BFRs), organotins (OTs), and heavy metals. PAHs were determined to be the most abundant class of contaminant. Concentrations of the sum (Sigma) of the 21 PAHs measured from the Harbour sites (2877.70 ng g(-1), 1000.7 ng g(-1) and 924.40 ng g(-1) dry weight respectively) were significantly higher than that of the sediment from the reference site (528.30 ng g(-1) dry weight). An inner harbour site, Douglas being the more contaminated of the three harbour sites. A similar pattern was observed with the other contaminants however, these compounds, with the exception of the heavy metals, all tended to be detected at concentrations on or below detection limits. (C) 2004 Elsevier Ltd. All rights reserved.</t>
  </si>
  <si>
    <t>Natl Univ Ireland Univ Coll Cork, Environm Res Inst, Cork, Ireland; Natl Univ Ireland Univ Coll Cork, Dept Zool Ecol &amp; Plant Sci, Cork, Ireland; Natl Univ Ireland Univ Coll Cork, Dept Biochem, Cork, Ireland; Dublin Inst Technol, Radiat &amp; Environm Sci Ctr, Dublin 8, Ireland; Natl Univ Ireland Univ Coll Cork, Dept Pharmacol &amp; Therapeut, Cork, Ireland; Natl Univ Ireland Univ Coll Cork, Dept Food &amp; Nutrit Sci, Cork, Ireland</t>
  </si>
  <si>
    <t>University College Cork; University College Cork; University College Cork; Technological University Dublin; University College Cork; University College Cork</t>
  </si>
  <si>
    <t>Natl Univ Ireland Univ Coll Cork, Environm Res Inst, Cork, Ireland.</t>
  </si>
  <si>
    <t>j.ohalloran@ucc.ie</t>
  </si>
  <si>
    <t>Sheehan, David/M-4100-2013; Hartl, Mark/L-2274-2016</t>
  </si>
  <si>
    <t>Hartl, Mark/0000-0003-1208-2050</t>
  </si>
  <si>
    <t>10.1016/j.marpolbul.2004.08.002</t>
  </si>
  <si>
    <t>882GH</t>
  </si>
  <si>
    <t>WOS:000225926700036</t>
  </si>
  <si>
    <t>Marszewska, A; Kopczynska, K; Cichy, A; Zbikowska, E</t>
  </si>
  <si>
    <t>Marszewska, Anna; Kopczynska, Kamila; Cichy, Anna; Zbikowska, Elzbieta</t>
  </si>
  <si>
    <t>Infestation of Bivalvia by Dreissena polymorpha (Pallas, 1771) in thermally polluted lakes</t>
  </si>
  <si>
    <t>OCEANOLOGICAL AND HYDROBIOLOGICAL STUDIES</t>
  </si>
  <si>
    <t>zebra mussel; native unionid; alien clams; thermal pollution; Poland</t>
  </si>
  <si>
    <t>FRESH-WATER MUSSELS; ZEBRA MUSSELS; UNIONIDAE; IMPACT; SENSITIVITY; CLAMS</t>
  </si>
  <si>
    <t>Unionid mussel species belong to one of the most threatened invertebrate groups on Earth. Biological invasions, especially those by filtering species, are particularly harmful to native Unionidae species. In Poland, a significantly disturbing situation of native Unionidae is observed in thermally polluted aquatic ecosystems. Such water bodies have favorable conditions for the settlement of alien mollusks, including Sinanodonta woodiana or Corbicula fluminea, whose shells can potentially be a beneficial substrate for Dreissena polymorpha. The objective of the presented research was to check whether zebra mussels can hinder the invasion of alien species of bivalve mollusks in thermally polluted waters. Our results indicate that with the increase in thermal pollution associated with the growing invasion of alien species of bivalves, D. polymorpha infestations of clams decrease considerably, which leads to the conclusion that D. polymorpha does not pose a significant natural threat to bivalves in the lakes under study.</t>
  </si>
  <si>
    <t>[Marszewska, Anna; Kopczynska, Kamila; Cichy, Anna; Zbikowska, Elzbieta] Nicolaus Copernicus Univ Torun, Fac Biol &amp; Environm Protect, Dept Invertebrate Zool, Ul Lwowska 1, PL-87100 Torun, Poland</t>
  </si>
  <si>
    <t>Nicolaus Copernicus University</t>
  </si>
  <si>
    <t>Marszewska, A (corresponding author), Nicolaus Copernicus Univ Torun, Fac Biol &amp; Environm Protect, Dept Invertebrate Zool, Ul Lwowska 1, PL-87100 Torun, Poland.</t>
  </si>
  <si>
    <t>anna.marszewska@umk.pl</t>
  </si>
  <si>
    <t>Żbikowska, Elżbieta/AFW-7046-2022; Cichy, Anna/Y-8764-2019; Zbikowska, Elzbieta/G-7952-2014; Cichy, Anna/G-8657-2014</t>
  </si>
  <si>
    <t>Zbikowska, Elzbieta/0000-0002-6126-8540; Stanicka, Anna/0000-0002-4287-8482; Cichy, Anna/0000-0001-7827-0738</t>
  </si>
  <si>
    <t>1730-413X</t>
  </si>
  <si>
    <t>1897-3191</t>
  </si>
  <si>
    <t>OCEANOL HYDROBIOL ST</t>
  </si>
  <si>
    <t>Oceanol. Hydrobiol. Stud.</t>
  </si>
  <si>
    <t>10.1515/ohs-2019-0009</t>
  </si>
  <si>
    <t>HQ0AD</t>
  </si>
  <si>
    <t>WOS:000462053500009</t>
  </si>
  <si>
    <t>Ferreira, CP; Lima, D; Souza, P; Piazza, TB; Zacchi, FL; Mattos, JJ; Jorge, MB; Almeida, EA; Bianchini, A; Taniguchi, S; Sasaki, ST; Montone, RC; Bícego, MC; Bainy, ACD; Lüchmann, KH</t>
  </si>
  <si>
    <t>Ferreira, Clarissa P.; Lima, Daina; Souza, Patrick; Piazza, Thiago B.; Zacchi, Flavia L.; Mattos, Jaco J.; Jorge, Marianna B.; Almeida, Eduardo A.; Bianchini, Adalto; Taniguchi, Satie; Sasaki, Silvio T.; Montone, Rosalinda C.; Bicego, Marcia C.; Bainy, Afonso C. D.; Luchmann, Karim H.</t>
  </si>
  <si>
    <t>Short-term spatiotemporal biomarker changes in oysters transplanted to an anthropized estuary in Southern Brazil</t>
  </si>
  <si>
    <t>Estuary; Biomarkers; Mangrove oyster; Metals; Organic pollutants</t>
  </si>
  <si>
    <t>MESSENGER-RNA EXPRESSION; EXPOSED IN-SITU; CRASSOSTREA-BRASILIANA; OXIDATIVE STRESS; PACIFIC OYSTER; HEAVY-METALS; XENOBIOTIC BIOTRANSFORMATION; ENVIRONMENTAL-POLLUTION; BIOCHEMICAL BIOMARKERS; AGRICULTURAL SOILS</t>
  </si>
  <si>
    <t>Estuarine ecosystems are increasingly being affected by pollution caused by anthropogenic activities. In this study, Crassostrea gasar oysters were transplanted and maintained for seven days at three sites (S1, S2, and S3) in the Laguna Estuarine System (LES)-situated in southern Brazil-that has been exposed to multiple anthropic stresses. On the basis of the concentrations of metal and organic pollutants in oysters, we identified marked spatial variations in pollutant levels, with S3 showing the highest concentration of Ag, Fe, Ni, Zn, and total polycyclic aromatic hydrocarbons (PAHs), polychlorinated biphenyls (PCBs), and linear alkylbenzenes (LABs), followed by S2 and S1. Along with the concentrations of pollutants, a set of biomarkers was analyzed. Oysters maintained at S3 showed enhanced protective defenses in gills, as observed by the increased levels of superoxide dismutase (SOD-like) and heat shock protein 90 (HSP90-like) transcripts and catalase (CAT) activity, concomitant with reduced lipid peroxidation (MDA) levels. Decreased antioxidant activities together with increased MDA levels are indicative of the digestive gland being more susceptible to pollutant-induced oxidative damage. Oysters transplanted into LES showed lower levels of cytochrome P450 transcripts (CYP356A1-like and CYP2AU1), and decreased glutathione S-transferase (GST) enzyme activity, suggesting lower biotransformation capacity. By integrating information regarding the concentration of metal and organic pollutants with that of molecular as well as biochemical biomarkers, our study provides novel insights into pollutant exposure and the potential biological impacts of such exposure on estuarine organisms in southern Brazil. (C) 2019 Elsevier B.V. All rights reserved.</t>
  </si>
  <si>
    <t>[Ferreira, Clarissa P.; Souza, Patrick; Piazza, Thiago B.] Santa Catarina State Univ, Fishery Engn &amp; Biol Sci Dept, BR-88790000 Laguna, Brazil; [Lima, Daina; Bainy, Afonso C. D.] Univ Fed Santa Catarina, Lab Biomarkers Aquat Contaminat &amp; Immunochem LABC, BR-88034257 Florianopolis, SC, Brazil; [Zacchi, Flavia L.; Mattos, Jaco J.] Univ Fed Santa Catarina, Aquaculture Pathol Res Ctr NEPAQ, BR-88034257 Florianopolis, SC, Brazil; [Almeida, Eduardo A.] Univ Reg Blumenau, Dept Nat Sci, BR-89012170 Blumenau, Brazil; [Jorge, Marianna B.] Univ Fed Maranhao, Oceanog &amp; Limnol Dept, BR-65080805 Sao Luis, Maranhao, Brazil; [Bianchini, Adalto] Univ Rio Grande do Sul, Inst Marine Sci ICMar, BR-96203900 Rio Grande, Brazil; [Taniguchi, Satie; Sasaki, Silvio T.; Montone, Rosalinda C.; Bicego, Marcia C.] Univ Sao Paulo, Oceanog Inst, Lab Marine Organ Chem LABQOM, BR-05508120 Sao Paulo, Brazil; [Sasaki, Silvio T.] Fed Univ Southern Bahia, Format Ctr Environm Sci, Inst Humanities Arts &amp; Sci, BR-45810000 Porto Seguro, Brazil; [Luchmann, Karim H.] Santa Catarina State Univ, Dept Sci &amp; Technol Educ, BR-88035001 Florianopolis, SC, Brazil</t>
  </si>
  <si>
    <t>Universidade do Estado de Santa Catarina; Universidade Federal de Santa Catarina (UFSC); Universidade Federal de Santa Catarina (UFSC); Universidade Regional de Blumenau (FURB); Universidade Federal do Maranhao; Universidade de Sao Paulo; Universidade do Estado de Santa Catarina</t>
  </si>
  <si>
    <t>karim.luchmann@udesc.br</t>
  </si>
  <si>
    <t>Zacchi, Flavia/KLC-9516-2024; Lima, Daína/G-8008-2019; Sasaki, Silvio Tarou/ITW-1402-2023; Montone, Rosalinda/J-9110-2012; Bainy, Afonso/J-6097-2012; Jorge, Marianna/AAK-3898-2020; Taniguchi, Satie/D-2552-2013; Pellegrini Ferreira, Clarissa/R-7208-2017; Alves de Almeida, Eduardo/B-7630-2012; Bianchini, Adalto/C-5384-2013</t>
  </si>
  <si>
    <t>Lima, Daina/0000-0003-0018-9360; Jorge, Marianna/0000-0002-8459-6707; Joaquim Mattos, Jaco/0000-0002-8766-4285; Sasaki, Silvio Tarou/0000-0002-9207-241X; Taniguchi, Satie/0000-0002-6825-6390; Pellegrini Ferreira, Clarissa/0000-0001-8340-2424; Alves de Almeida, Eduardo/0000-0002-4604-9104; Lucena Zacchi, Flavia/0000-0003-1808-1390; Bainy, Afonso/0000-0002-3885-7718; Bianchini, Adalto/0000-0002-7627-7650</t>
  </si>
  <si>
    <t>Santa Catarina Research Fundation (FAPESC) [TR 2012 0000013]; CNPq</t>
  </si>
  <si>
    <t>Santa Catarina Research Fundation (FAPESC); CNPq(Conselho Nacional de Desenvolvimento Cientifico e Tecnologico (CNPQ))</t>
  </si>
  <si>
    <t>The authors acknowledge the financial support of the Santa Catarina Research Fundation (FAPESC, grant number TR 2012 0000013) during the present study to K.H. Luchmann. They also thank ClaudioM.R. Melo and Carlos H.A.M. Gomes for proving the oysters from the LMM/UFSC, and Fabricio Flores-Nunes for his contribution to the construction of mini floating rafts. Alvaro C.P. Mello, Romi S. Piazza, and JulianoM. Vilke are acknowledged for their help in the analysis of biomarkers. Bruno MoreiraMauricio, Cristian B. da Silveira, Fabio G. Daura-Jorge, and Pedro V. de Castilho are also acknowledged for assistance with the field transplantation experiment. A. Bianchini, A.C.D. Bainy, and E.A. Almeida are recipients of CNPq productivity fellowship.</t>
  </si>
  <si>
    <t>10.1016/j.scitotenv.2019.136042</t>
  </si>
  <si>
    <t>KJ8BS</t>
  </si>
  <si>
    <t>WOS:000512281700048</t>
  </si>
  <si>
    <t>Nowak, C; Vogt, C; Pfenninger, M; Schwenk, K; Oehlmann, J; Streit, B; Oetken, M</t>
  </si>
  <si>
    <t>Nowak, Carsten; Vogt, Christian; Pfenninger, Markus; Schwenk, Klaus; Oehlmann, Joerg; Streit, Bruno; Oetken, Matthias</t>
  </si>
  <si>
    <t>Rapid genetic erosion in pollutant-exposed experimental chironomid populations</t>
  </si>
  <si>
    <t>Allelic variation; Chemical pollution; Evolutionary ecotoxicology; Chironomidae; Microsatellites</t>
  </si>
  <si>
    <t>RIPARIUS DIPTERA; DIVERSITY; CONTAMINANTS; CADMIUM; TRIBUTYLTIN; CONSEQUENCES; REPRODUCTION; PARAMETERS; STRESS; LEVEL</t>
  </si>
  <si>
    <t>Few studies have evaluated how effectively environmental contamination may reduce genetic diversity of a population. Here, we chose a laboratory approach in order to test if tributyltin (TBT) exposure at environmentally relevant concentrations leads to reduced genetic variation in the midge Chironomus riparius. Two TBT-exposed and two unexposed experimental populations were reared simultaneously in the laboratory for 12 generations. We recorded several life-history traits in each generation and monitored genetic variation over time using five variable microsatellite markers. TBT-exposed strains showed increased larval mortality (treatments: 43.8%; controls: 27.8%), slightly reduced reproductive output, and delayed larval development. Reduction of genetic variation was strongest and only significant in the TBT-exposed strains (treatments: -45.9%, controls: -24.4% of initial heterozygosity) after 12 generations. Our findings document that chemical pollution may lead to a rapid decrease in genetic diversity, which has important implications for conservation strategies and ecological management in polluted environments. (C) 2008 Elsevier Ltd. All rights reserved.</t>
  </si>
  <si>
    <t>[Nowak, Carsten; Pfenninger, Markus; Schwenk, Klaus; Streit, Bruno] Goethe Univ Frankfurt, Inst Okol Evolut &amp; Diversitat, Abt Okol &amp; Evolut, D-60054 Frankfurt, Germany; [Vogt, Christian; Oehlmann, Joerg; Oetken, Matthias] Goethe Univ Frankfurt, Inst Okol Evolut &amp; Diversitat, Abt Aquat Okotoxikol, D-60054 Frankfurt, Germany</t>
  </si>
  <si>
    <t>Goethe University Frankfurt; Goethe University Frankfurt</t>
  </si>
  <si>
    <t>Nowak, C (corresponding author), Senckenberg Res Inst, Dept Limnol &amp; Conservat, Clamecystr 12, D-63571 Gelnhausen, Germany.</t>
  </si>
  <si>
    <t>cnowak@senckenberg.de; vogt@bio.uni-frankfurt.de; pfenninger@bio.uni-frankfurt.de; k.schwenk@bio.uni-frankfurt.de; oehlmann@bio.uni-frankfurt.de; streit@bio.uni-frankfurt.de; oetken@bio.uni-frankfurt.de</t>
  </si>
  <si>
    <t>Vogt, Christian/E-2028-2012; Pfenninger, Markus/A-8230-2012; Oetken, Matthias/C-9906-2010; Schwenk, Klaus/G-9603-2015; Oehlmann, Jorg/B-4565-2010; Nowak, Carsten/A-4466-2014</t>
  </si>
  <si>
    <t>Schwenk, Klaus/0000-0003-2427-4332; Oehlmann, Jorg/0000-0002-6075-2701; Nowak, Carsten/0000-0002-3139-1951</t>
  </si>
  <si>
    <t>Programm Lebensgrundlage Umwelt und ihre Sicherung (BWPLUS) of the federal state Baden-Wurttemberg [BWR 22018]</t>
  </si>
  <si>
    <t>Programm Lebensgrundlage Umwelt und ihre Sicherung (BWPLUS) of the federal state Baden-Wurttemberg</t>
  </si>
  <si>
    <t>We appreciate the kind assistance of several undergraduate students working on this project in the Departments Aquatic Ecotoxicology and Ecology &amp; Evolution. This work was financially supported by the Programm Lebensgrundlage Umwelt und ihre Sicherung (BWPLUS) of the federal state Baden-Wurttemberg (contract number BWR 22018).</t>
  </si>
  <si>
    <t>MAR 3</t>
  </si>
  <si>
    <t>10.1016/j.envpol.2008.11.005</t>
  </si>
  <si>
    <t>408SB</t>
  </si>
  <si>
    <t>WOS:000263454100023</t>
  </si>
  <si>
    <t>Yu, YY; Tong, DF; Yu, YH; Tian, DD; Zhou, WS; Zhang, XY; Shi, W; Liu, GX</t>
  </si>
  <si>
    <t>Yu, Yingying; Tong, Difei; Yu, Yihan; Tian, Dandan; Zhou, Weishang; Zhang, Xunyi; Shi, Wei; Liu, Guangxu</t>
  </si>
  <si>
    <t>Toxic effects of four emerging pollutants on cardiac performance and associated physiological parameters of the thick-shell mussel (Mytilus coruscus)</t>
  </si>
  <si>
    <t>Carbamazepine; Bisphenol A; Tetrabromobisphenol A; Tris(2-chloroethyl) phosphate; Cardiotoxicity; Mussels</t>
  </si>
  <si>
    <t>OXIDATIVE STRESS; BISPHENOL-A; ENVIRONMENTAL OCCURRENCE; ORGANOPHOSPHATE ESTERS; FLAME RETARDANTS; FRESH-WATER; MOUSE MODEL; HEART; TETRABROMOBISPHENOL; CARBAMAZEPINE</t>
  </si>
  <si>
    <t>Robust cardiac performance is critical for the health and even survival of an animal; however, it is sensitive to environmental stressors. At present, little is known about the cardiotoxicity of emerging pollutants to bivalve mollusks. Thus, in this study, the cardiotoxic effects of four emergent pollutants, carbamazepine (CBZ), bisphenol A (BPA), tetrabromobisphenol A (TBBPA), and tris(2-chloroethyl) phosphate (TCEP), on the thick-shell mussel, Mytilus coruscus, were evaluated by heartbeat monitoring and histological examinations. In addition, the impacts of these pollutants on parameters that closely related to cardiac function including neurotransmitters, calcium homeostasis, energy supply, and oxidative status were assessed. Our results demonstrated that 28-day exposure of the thick-shell mussel to these pollutants resulted in evident heart tissue lesions (indicated by hemocyte infiltration and myocardial fibrosis) and disruptions of cardiac performance (characterized by bradyrhythmia and arrhythmia). In addition to obstructing neurotransmitters and calcium homeostasis, exposure to pollutants also led to constrained energy supply and induced oxidative stress in mussel hearts. These findings indicate that although do differ somehow in their effects, these four pollutants may exert cardiotoxic impacts on mussels, which could pose severe threats to this important species and therefore deserves more attention.</t>
  </si>
  <si>
    <t>[Yu, Yingying; Tong, Difei; Yu, Yihan; Tian, Dandan; Zhou, Weishang; Zhang, Xunyi; Shi, Wei; Liu, Guangxu] Zhejiang Univ, Coll Anim Sci, 866 Yuhangtang Rd, Hangzhou 310058, Peoples R China</t>
  </si>
  <si>
    <t>Liu, GX (corresponding author), Zhejiang Univ, Coll Anim Sci, 866 Yuhangtang Rd, Hangzhou 310058, Peoples R China.</t>
  </si>
  <si>
    <t>guangxu_liu@zju.edu.cn</t>
  </si>
  <si>
    <t>yu, yingying/GRR-7851-2022; yu, xiao/KFT-1725-2024</t>
  </si>
  <si>
    <t>Liu, Guangxu/0000-0002-1039-7801</t>
  </si>
  <si>
    <t>National Natural Science Foun-dation of China [32172944]; Major Science and Technology Project of New Agricultural Varieties Breeding in Zhejiang Province [2021C02069-5-3]; Natural Science Foundation of Zhejiang Province [LQ21C190003]; Zhejiang Major Program of Science and Technology [2021C02025-5]; Open Fund of Zhejiang Key Laboratory of Explo-ration and Preservation of Coastal Bio-resources [J2021001]</t>
  </si>
  <si>
    <t>National Natural Science Foun-dation of China(National Natural Science Foundation of China (NSFC)); Major Science and Technology Project of New Agricultural Varieties Breeding in Zhejiang Province; Natural Science Foundation of Zhejiang Province(Natural Science Foundation of Zhejiang Province); Zhejiang Major Program of Science and Technology; Open Fund of Zhejiang Key Laboratory of Explo-ration and Preservation of Coastal Bio-resources</t>
  </si>
  <si>
    <t>This research was supported by the National Natural Science Foun-dation of China (32172944) , Major Science and Technology Project of New Agricultural Varieties Breeding in Zhejiang Province (2021C02069-5-3) , Natural Science Foundation of Zhejiang Province (LQ21C190003) , Zhejiang Major Program of Science and Technology (2021C02025-5) , and Open Fund of Zhejiang Key Laboratory of Explo-ration and Preservation of Coastal Bio-resources (J2021001) .</t>
  </si>
  <si>
    <t>10.1016/j.envpol.2023.122244</t>
  </si>
  <si>
    <t>P2EF3</t>
  </si>
  <si>
    <t>WOS:001048816500001</t>
  </si>
  <si>
    <t>Li, LZ; Liu, XL; You, LP; Zhang, LB; Zhao, JM; Wu, HF</t>
  </si>
  <si>
    <t>Li, Lianzhen; Liu, Xiaoli; You, Liping; Zhang, Linbao; Zhao, Jianmin; Wu, Huifeng</t>
  </si>
  <si>
    <t>Uptake pathways and subcellular fractionation of Cd in the polychaete Nereis diversicolor</t>
  </si>
  <si>
    <t>Cd; Uptake mechanism; Metal accumulation; Nereis diversicolor</t>
  </si>
  <si>
    <t>SCALLOP CHLAMYS-NOBILIS; CADMIUM UPTAKE; MEMBRANE-VESICLES; ZINC TRANSPORT; PERNA-VIRIDIS; TRACE-METALS; CALCIUM; INHIBITION; EARTHWORMS; MECHANISMS</t>
  </si>
  <si>
    <t>Polychaetes have often been utilized as indicator species to investigate the impacts of pollutants, such as heavy metals. The uptake of Cd by the polychaete Nereis diversicolor was determined at varying Ca concentrations and with pre-exposure to Ca ion channel blockers and metabolic inhibitors in simulated sea water over 1 week period. The supply of Ca in simulated sea water inhibited Cd uptake and increased Ca concentration in N. diversicolor after 10 mu M Cd exposure. Pre-exposure to a Ca-channel blocker (Lanthanum) significantly inhibited Cd uptake, suggesting that the uptake of Cd was exerted at a Ca channel. N-ethylmaleimide, which specifically binds to sulfhydryl groups, inhibited Cd uptake at 10 mu M, implying that the transport of Cd is carrier-mediated by proteins or other SH-containing compounds. Subcellular Cd distribution analysis showed that more than 60% of the total Cd associated with the cytosolic fraction. The presence of higher concentration of Ca in simulated sea water did not impact the proportional subcellular distribution of Cd in N. diversicolor. Nevertheless, the supply of Ca could significantly lower Cd concentration in cytosol and cellular debris. The present study provides evidence that Cd transport by N. diversicolor was mediated mainly through lanthanum- sensitive Ca ion channels and accumulated by SH-containing compounds. These results help to understand the uptake mechanism and subcellular distribution of Cd in polychaetes.</t>
  </si>
  <si>
    <t>[Li, Lianzhen; Liu, Xiaoli; You, Liping; Zhang, Linbao; Zhao, Jianmin; Wu, Huifeng] Chinese Acad Sci, Yantai Inst Coastal Zone Res, Shandong Prov Key Lab Coastal Zone Environm Proc, Yantai 264003, Peoples R China; [Li, Lianzhen; Liu, Xiaoli; You, Liping; Zhang, Linbao; Zhao, Jianmin; Wu, Huifeng] Chinese Acad Sci, Key Lab Coastal Zone Environm Proc, Yantai 264003, Peoples R China; [Liu, Xiaoli; You, Liping; Zhang, Linbao] Chinese Acad Sci, Grad Sch, Beijing 100049, Peoples R China</t>
  </si>
  <si>
    <t>Chinese Academy of Sciences; Yantai Institute of Coastal Zone Research, CAS; Chinese Academy of Sciences; Chinese Academy of Sciences; University of Chinese Academy of Sciences, CAS</t>
  </si>
  <si>
    <t>Wu, HF (corresponding author), Chinese Acad Sci, Yantai Inst Coastal Zone Res, Shandong Prov Key Lab Coastal Zone Environm Proc, Yantai 264003, Peoples R China.</t>
  </si>
  <si>
    <t>Chinese Academy of Sciences [KZCX2-YW-223, KZCX2-YW-225]; SDSFC [ZR2009CZ008]; Key Laboratory of Pollution Processes and Environmental Criteria (Nankai University); Chinese Academy of Sciences, Ministry of Education [KL-PPEC-2010-6]; CAS/SAFEA</t>
  </si>
  <si>
    <t>Chinese Academy of Sciences(Chinese Academy of Sciences); SDSFC; Key Laboratory of Pollution Processes and Environmental Criteria (Nankai University); Chinese Academy of Sciences, Ministry of Education; CAS/SAFEA(Chinese Academy of Sciences)</t>
  </si>
  <si>
    <t>This study is supported by the 100 Talents Program of the Chinese Academy of Sciences, SDSFC (ZR2009CZ008), Key Laboratory of Pollution Processes and Environmental Criteria (Nankai University), Initial Funding for Outstanding Doctoral Dissertation or Presidential Award of Chinese Academy of Sciences, Ministry of Education (KL-PPEC-2010-6), and Innovation Programs of the Chinese Academy of Sciences (KZCX2-YW-223 and KZCX2-YW-225), and in part by the CAS/SAFEA International Partnership Program for Creative Research Teams.</t>
  </si>
  <si>
    <t>10.1007/s10646-011-0770-6</t>
  </si>
  <si>
    <t>874ZF</t>
  </si>
  <si>
    <t>WOS:000298996900012</t>
  </si>
  <si>
    <t>de Pinho, JV; Willmer, IQ; Conte, CA Jr; Lopes, AP; Saint'Pierre, TD; dos Santos, EGN; Hauser-Davis, RA</t>
  </si>
  <si>
    <t>de Pinho, Julia Vianna; Willmer, Isabel Q.; Conte-Junior, Carlos Adam; Lopes, Amanda Pontes; Saint'Pierre, Tatiana D.; dos Santos, Everton G. N.; Hauser-Davis, Rachel Ann</t>
  </si>
  <si>
    <t>Differential metal and metalloid contents in fresh and cooked Charu mussels ( Mytella charruana ) from a southeastern Brazilian estuary and associated human health risks</t>
  </si>
  <si>
    <t>Elemental contamination; Bivalve; Rio de Janeiro; Risk assessment; Food safety</t>
  </si>
  <si>
    <t>GULF-OF-CALIFORNIA; RIO-DE-JANEIRO; HEAVY-METALS; MYTILUS-GALLOPROVINCIALIS; TRACE-METALS; POLLUTION; BAY; SEDIMENT; MERCURY; RIVER</t>
  </si>
  <si>
    <t>Sepetiba Bay, a key estuarine ecosystem in southeastern Brazil, faces significant metal inputs, with a differential pollution gradient from the bay 's entrance to inner areas, raising environmental and public health concerns. This study assessed metal levels in fresh and cooked samples of highly consumed Charu mussels ( Mytella charruana ) from three bay areas, one near the bay entrance (P1), with higher water renewal rates, one in the northern bay area (P2) and one the eastern bay (P3), presenting lower water renewal rates. Variations in metal and metalloid concentrations across sites were observed, with P3 exhibiting higher levels in fresh mussels for most elements, except for As, which was higher at P2 (0.35 +/- 0.45 mg kg(-1)). Cooked samples demonstrated similar trends for Cu (1.30 +/- 0.39 mg kg(-1)), Ni (0.28 +/- 0.20 mg kg(-1)), and V (0.75 +/- 0.28 mg/kg(-1)), indicating that cooking in contaminanted estuary water does not significantly reduce contamination. Significant differences were detected for Ni, Cd (0.014 +/- 0.008 mg kg(-1)), Zn (14.28 +/- 2.50 mg kg(-1)), and V at P1, which were significantly higher than at P3. Significant Fe (246 +/- 68 mg kg(-1)), Al (109 +/- 33 mg kg(-1)), and Mn increases were observed from P1 to P3. Mussels sampled from P3, near an abandoned military area and urban center, exhibited high Fe and Al levels, attributed to both natural processes and industrial activities. Metal concentrations in Charu mussels often exceeded regulatory limits set by Brazilian, North American, and European agencies. Calculated Se molar ratios indicate that while Se can mitigate Hg toxicity, high Hg levels in Sepetiba Bay 's Charu mussels still pose significant health risks. Similarly, high levels of Ag, Cd, and Pb suggest ineffective Se protection. However, Se appears effective against As toxicity. The Health Benefit Value of Selenium (HBVSe) indicate Se 's overall protective benefits against Hg toxicity. Higher HBVSe values in cooked mussels at P1 and P2 suggest that cooking increases Se bioavailability. However, raw mussels at P3 had higher HBVSe values than cooked ones, highlighting the need for site-specific assessments. Calculated Hazard Indices indicate general high health risks from mussel consumption, and As levels in Charu mussels indicate high carcinogenic risks. These findings emphasize the need for comprehensive Charu mussel monitoring and environmental management efforts at Sepetiba Bay.</t>
  </si>
  <si>
    <t>[de Pinho, Julia Vianna; Conte-Junior, Carlos Adam] Fed Univ Rio de Janeiro UFRJ, Ctr Food Anal NAL, Technol Dev Support Lab LADETEC, Cidade Univ, BR-21941598 Rio De Janeiro, RJ, Brazil; [de Pinho, Julia Vianna; Conte-Junior, Carlos Adam] Fundacao Oswaldo Cruz, Natl Inst Hlth Qual Control, BR-21040900 Rio De Janeiro, RJ, Brazil; [de Pinho, Julia Vianna; Conte-Junior, Carlos Adam] Oswaldo Cruz Fdn FIOCRUZ, Natl Inst Hlth Qual Control INCQS, Grad Program Sanit Surveillance PPGVS, BR-21040900 Rio De Janeiro, RJ, Brazil; [Willmer, Isabel Q.; Lopes, Amanda Pontes; Hauser-Davis, Rachel Ann] Fundacao Oswaldo Cruz, Lab Avaliacao &amp; Promocao Saude Ambiental, Inst Oswaldo Cruz, Rio De Janeiro, RJ, Brazil; [Conte-Junior, Carlos Adam] Fed Univ Rio de Janeiro UFRJ, Dept Biochem, Lab Adv Anal Biochem &amp; Mol Biol LAABBM, Cidade Univ, BR-21941909 Rio De Janeiro, RJ, Brazil; [Conte-Junior, Carlos Adam] Fluminense Fed Univ UFF, Fac Vet Med, Grad Program Vet Hyg PPGHV, BR-24220000 Niteroi, RJ, Brazil; [Conte-Junior, Carlos Adam] Fed Univ Rio de Janeiro UFRJ, Inst Chem IQ, Grad Program Food Sci PPGCAL, Cidade Univ, BR-21941909 Rio De Janeiro, RJ, Brazil; [Conte-Junior, Carlos Adam] Fed Univ Rio de Janeiro UFRJ, Inst Chem IQ, Grad Program Chem PGQu, Cidade Univ, BR-21941909 Rio De Janeiro, RJ, Brazil; [Saint'Pierre, Tatiana D.] Pontifical Catholic Univ Rio de Janeiro PUC Rio, Dept Chem, BR-22451900 Rio De Janeiro, RJ, Brazil; [dos Santos, Everton G. N.] Fundacao Inst Pesca Estado Rio de Janeiro, Escritorio Reg Metropolitano 2, Duque De Caxias, RJ, Brazil</t>
  </si>
  <si>
    <t>Fundacao Oswaldo Cruz; Fundacao Oswaldo Cruz; Fundacao Oswaldo Cruz; Universidade Federal Fluminense; Pontificia Universidade Catolica do Rio de Janeiro</t>
  </si>
  <si>
    <t>Hauser-Davis, RA (corresponding author), Fundacao Oswaldo Cruz, Lab Avaliacao &amp; Promocao Saude Ambiental, Inst Oswaldo Cruz, Rio De Janeiro, RJ, Brazil.</t>
  </si>
  <si>
    <t>Hauser-Davis, Rachel/C-7970-2013; Conte-Junior, Carlos/J-5815-2014</t>
  </si>
  <si>
    <t>de Pinho, Julia Vianna/0000-0003-3148-0273; Hauser-Davis, Rachel/0000-0002-9451-471X; Conte-Junior, Carlos/0000-0001-6133-5080</t>
  </si>
  <si>
    <t>10.1016/j.foodcont.2024.110700</t>
  </si>
  <si>
    <t>YT3Q4</t>
  </si>
  <si>
    <t>WOS:001270703000001</t>
  </si>
  <si>
    <t>Castro, BB; Silva, C; Macário, IPE; Oliveira, B; Gonçalves, F; Pereira, JL</t>
  </si>
  <si>
    <t>Castro, Bruno Branco; Silva, Carlos; Efe Macario, Ines Patrunilho; Oliveira, Bruno; Goncalves, Fernando; Pereira, Joana Luisa</t>
  </si>
  <si>
    <t>Feeding inhibition in Corbicula fluminea (OF Muller, 1774) as an effect criterion to pollutant exposure: Perspectives for ecotoxicity screening and refinement of chemical control</t>
  </si>
  <si>
    <t>Aquatic pollution; Behaviour; Biosensor; Chemical control; Clearance rate; Filter feeding</t>
  </si>
  <si>
    <t>INVASIVE ASIAN CLAM; VALVE CLOSURE BEHAVIOR; DAPHNIA-MAGNA; FILTRATION-RATES; ZEBRA MUSSEL; WATER; RESPONSES; BIVALVES; COPPER; CONTAMINATION</t>
  </si>
  <si>
    <t>Bivalves are commonly used in biomonitoring programs to track pollutants. Several features, including its filter feeding abilities, cumulatively argue in favour of the use of the Asian clam (Corbicula fluminea) as a biosentinel and an ecotoxicological model. Filtration in bivalves is very sensitive to external stimuli and its control is dictated by regulation of the opening/closure of the valves, which may be used as an avoidance defence against contaminants. Here, we investigate the filter-feeding behaviour of the Asian clam as an endpoint for assessing exposure to pollutants, driven by two complementary goals: (i) to generate relevant and sensitive toxicological information based on the ability of C. fluminea to clear an algal suspension, using the invasive species as a surrogate for native bivalves; (ii) to gain insight on the potential of exploring this integrative response in the refinement of chemical control methods for this pest. Clearance rates and proportion of algae removed were measured using a simple and reproducible protocol. Despite some variation across individuals and size classes, 50-90% of food particles were generally removed within 60-120 min by clams larger than 20 mm. Removal of algae was sensitive to an array of model contaminants with biocide potential, including fertilizers, pesticides, metals and salts: eight out of nine tested substances were detected at the mu g l(-1) or mg l(-1) range and triggered valve closure, decreasing filter-feeding in a concentration-dependent manner. For most toxicants, a good agreement between mortality (96 h - LC50 within the range 0.4-5500 mg l(-1)) and feeding (2 h - 1050 within the range 0.005-2317 mg l(-1)) was observed, demonstrating that a 120-min assay can be used as a protective surrogate of acute toxicity. However, copper sulphate was very strongly avoided by the clams (IC50 = 5.3 mu g l(-1)); on the contrary, dichlorvos (an organophosphate insecticide) did not cause feeding depression, either by being undetected by the clams' chemosensors and/or by interfering with the valve closure mechanism. Such an assay has a large potential as a simple screening tool for industry, environmental agencies and managers. The ability of dichlorvos to bypass the Asian clam's avoidance strategy puts it in the spotlight as a potential agent to be used alone or combined with others in eradication programs of this biofouler in closed or semi-closed industrial settings.</t>
  </si>
  <si>
    <t>[Castro, Bruno Branco] Univ Minho, Dept Biol, Ctr Mol &amp; Environm Biol CBMA, Braga, Portugal; [Silva, Carlos; Efe Macario, Ines Patrunilho; Oliveira, Bruno; Goncalves, Fernando; Pereira, Joana Luisa] Univ Aveiro, Dept Biol, Aveiro, Portugal; [Efe Macario, Ines Patrunilho; Goncalves, Fernando; Pereira, Joana Luisa] Univ Aveiro, CESAM, Dept Biol, Campus Univ Santiago, P-3810193 Aveiro, Portugal</t>
  </si>
  <si>
    <t>Universidade do Minho; Universidade de Aveiro; Universidade de Aveiro</t>
  </si>
  <si>
    <t>Pereira, JL (corresponding author), Univ Aveiro, CESAM, Dept Biol, Campus Univ Santiago, P-3810193 Aveiro, Portugal.</t>
  </si>
  <si>
    <t>jpereira@ua.pt</t>
  </si>
  <si>
    <t>Silva, Carlos/HTL-5711-2023; Macário, Inês/V-3880-2018; Oliveira, Bruno/D-7119-2017; Pereira, Joana/A-5003-2009; Goncalves, Fernando J. M./B-8000-2008; Castro, Bruno/B-7552-2008</t>
  </si>
  <si>
    <t>Pereira, Joana/0000-0001-7573-6184; Goncalves, Fernando J. M./0000-0002-9326-187X; Castro, Bruno/0000-0002-7130-6061; Dias Silva, Carlos Manuel/0000-0001-6791-8287; Macario, Ines/0000-0003-1694-0876</t>
  </si>
  <si>
    <t>European Regional Development Fund through COMPETE [UID/AMB/50017/2013 (POCI-01-0145-FEDER-007638), UID/BIA/04050/2013 (POCI-01-0145-FEDER-007569)]; European Regional Development Fund [UID/AMB/50017/2013 (POCI-01-0145-FEDER-007638), UID/BIA/04050/2013 (POCI-01-0145-FEDER-007569)]; Portuguese Science Foundation (FCT); FCT [SFRH/BPD/101971/2014]; Fundação para a Ciência e a Tecnologia [SFRH/BPD/101971/2014] Funding Source: FCT</t>
  </si>
  <si>
    <t>European Regional Development Fund through COMPETE(European Union (EU)); European Regional Development Fund(European Union (EU)); Portuguese Science Foundation (FCT)(Fundacao para a Ciencia e a Tecnologia (FCT)); FCT(Fundacao para a Ciencia e a Tecnologia (FCT)); Fundação para a Ciência e a Tecnologia(Fundacao para a Ciencia e a Tecnologia (FCT))</t>
  </si>
  <si>
    <t>This work was supported by the strategic programs UID/AMB/50017/2013 (POCI-01-0145-FEDER-007638) and UID/BIA/04050/2013 (POCI-01-0145-FEDER-007569), funded by the European Regional Development Fund through COMPETE2020 and PT2020, and by National Funds through the Portuguese Science Foundation (FCT). Funding entities had no role in the study design, in the collection, analysis and interpretation of data, in the writing of the paper, or in the decision to submit the article for publication. JL Pereira is a recipient of an individual research grant by FCT (SFRH/BPD/101971/2014).</t>
  </si>
  <si>
    <t>10.1016/j.aquatox.2018.01.002</t>
  </si>
  <si>
    <t>WOS:000426411600004</t>
  </si>
  <si>
    <t>Jiang, XM; Li, ZF; Shu, FY; Chen, J</t>
  </si>
  <si>
    <t>Jiang, Xiaoming; Li, Zhengfei; Shu, Fengyue; Chen, Jing</t>
  </si>
  <si>
    <t>Effects of river-lake disconnection and eutrophication on freshwater mollusc assemblages in floodplain lakes: Loss of congeneric species leads to changes in both assemblage composition and taxonomic relatedness</t>
  </si>
  <si>
    <t>Hydrological disconnection; Water pollution; Snails; Mussels; Species extirpation; Loss of endemism</t>
  </si>
  <si>
    <t>HYDROLOGICAL CONNECTIVITY; MULTIPLE THREATS; GLOBAL DIVERSITY; BIODIVERSITY; DISTINCTNESS; RESTORATION; GASTROPODS; GRADIENTS; RESPONSES; WETLANDS</t>
  </si>
  <si>
    <t>River floodplain ecosystems host one of the highest freshwater molluscan biodiversity on Earth. However, multiple human disturbances, such as loss of hydrological connectivity and deterioration of water quality, are seriously threatening most floodplain lakes throughout the world. Given the high imperilment rate of freshwater molluscs but the scarcity of studies examining the anthropogenic effects on this fauna, we test the response of mollusc assemblages to river-lake disconnection and eutrophication in 30 lakes in the Yangtze River floodplain, China. The species richness of entire Mollusca, Gastmpoda and Bivalvia and 6 dominant families were all much lower at disconnected lakes than that in connected lakes, and decreased with increasing water eutrophication. The assemblage structure differed significantly among four lake groups for datasets based on entire Mollusca, Gastropoda and Bivalvia, indicating the serious impacts of hydrological disconnection and eutrophication. Moreover, the connected lakes showed significantly lower values of average taxonomic distinctness (Delta(+)) but higher values of variation in taxonomic distinctness (Lambda(+)) than disconnected lakes. Such variations were triggered by the extirpation of congeneric and endemic species (mainly from families Unionidae and Viviparidae), which giving a waring of the loss of mollusc endemism in this region. In general, the present study showed that riverlake disconnection and deterioration of water quality resulted in serious biodiversity declines of both gastropods and bivalves in the Yangtze River floodplain lakes. A systematic approach including restoration of river-lake connectivity and habitats and improvement of water quality should be implemented in the conservation planning in this large river floodplain.</t>
  </si>
  <si>
    <t>[Jiang, Xiaoming] Xian Univ Technol, State Key Lab Ecohydraul Northwest Arid Reg C, Xian 710048, Shaanxi, Peoples R China; [Li, Zhengfei] Chinese Acad Sci, Key Lab Aquat Biodivers &amp; Conservat, Inst Hydrobiol, Wuhan 430072, Peoples R China; [Shu, Fengyue] Qufu Normal Univ, Prov Key Lab Wetland Ecol &amp; Environm Conservat La, Qufu 273165, Shandong, Peoples R China; [Chen, Jing] Zaozhuang Univ, Coll Life Sci, Zaozhuang 277160, Peoples R China</t>
  </si>
  <si>
    <t>Xi'an University of Technology; Chinese Academy of Sciences; Institute of Hydrobiology, CAS; Qufu Normal University; Zaozhuang University</t>
  </si>
  <si>
    <t>Shu, FY (corresponding author), Qufu Normal Univ, Prov Key Lab Wetland Ecol &amp; Environm Conservat La, Qufu 273165, Shandong, Peoples R China.</t>
  </si>
  <si>
    <t>shfyue01@163.com</t>
  </si>
  <si>
    <t>SHU, Fengyue/0000-0001-8951-7214; Jiang, Xiaoming/0000-0002-1363-7292</t>
  </si>
  <si>
    <t>10.1016/j.envpol.2021.118330</t>
  </si>
  <si>
    <t>WN3SZ</t>
  </si>
  <si>
    <t>WOS:000711693100008</t>
  </si>
  <si>
    <t>Borkovic-Mitic, S; Pavlovic, S; Perendija, B; Despotovic, S; Gavric, J; Gacic, Z; Saicic, Z</t>
  </si>
  <si>
    <t>Borkovic-Mitic, Slavica; Pavlovic, Sladan; Perendija, Branka; Despotovic, Svetlana; Gavric, Jelena; Gacic, Zoran; Saicic, Zorica</t>
  </si>
  <si>
    <t>Influence of some metal concentrations on the activity of antioxidant enzymes and concentrations of vitamin E and SH-groups in the digestive gland and gills of the freshwater bivalve Unio tumidus from the Serbian part of Sava River</t>
  </si>
  <si>
    <t>Antioxidant enzymes; Biomarkers; Digestive gland; Gills; Metals; Oxidative stress</t>
  </si>
  <si>
    <t>MUSSELS MYTILUS-GALLOPROVINCIALIS; DEPENDENT GLUTATHIONE-PEROXIDASE; MULLUS-BARBATUS L.; SUPEROXIDE-DISMUTASE; LIPID-PEROXIDATION; OXIDATIVE STRESS; SEASONAL-VARIATIONS; DEFENSE ENZYMES; INTEGRATED USE; HEAVY-METALS</t>
  </si>
  <si>
    <t>We examined whether the freshwater bivalve Unio tumidus from the Sava River can serve as a bioindicator organism for long-term biomonitoring of river ecosystems for the presence of metal pollutants. To this end, we assessed in the digestive glands and gills of mussels, changes in activity of antioxidant enzymes: superoxide dismutase (SOD), catalase (CAT), glutathione peroxidase (GSH-Px), glutathione reductase (GR), the phase II biotransformation enzyme glutathione-S-transferase (GST)), and changes in the concentrations of the non-enzymatic components of the antioxidant system (vitamin E and sulfhydryl groups (-SH), after exposure to metals in the environment. Mussels were collected at four sites where the concentrations of dissolved metals (Cu, Cd, Zn, Fe, Mn, Hg, Ni, As, Pb) were quantified. Cu, Ni and As exerted concentration-dependent inhibitory effects on CAT and GST activities. Increasing concentrations of Cd promoted increases in GSH-Px activity and -SH concentration. In response to increased Zn concentration GR activity increased whereas Fe promoted decreased enzymatic activity. Negative correlations between the concentrations of Cu and Cd and vitamin E, and a positive correlation between Mn and vitamin E concentrations were detected. The described correlations between components of the antioxidant system and metal levels in the environment reveal a high physiological sensitivity of freshwater mussels to pollution, supporting their use in biomonitoring of metal contamination in river ecosystems. (C) 2013 Elsevier Ltd. All rights reserved.</t>
  </si>
  <si>
    <t>[Borkovic-Mitic, Slavica; Pavlovic, Sladan; Perendija, Branka; Despotovic, Svetlana; Gavric, Jelena; Saicic, Zorica] Univ Belgrade, Inst Biol Res Sinisa Stankovic, Dept Physiol, Belgrade 11060, Serbia; [Gacic, Zoran] Univ Belgrade, Inst Multidisciplinary Res, Belgrade 11000, Serbia</t>
  </si>
  <si>
    <t>Borkovic-Mitic, S (corresponding author), Univ Belgrade, Inst Biol Res Sinisa Stankovic, Dept Physiol, Bulevar Despota Stefana 142, Belgrade 11060, Serbia.</t>
  </si>
  <si>
    <t>borkos@ibiss.bg.ac.rs</t>
  </si>
  <si>
    <t>Borkovic-Mitic, Slavica/J-2582-2019; Gavrilovic, Branka/JUF-4883-2023; Pavlovic, Sladan/AAH-9740-2021</t>
  </si>
  <si>
    <t>Borkovic-Mitic, Slavica/0000-0003-4895-9985; Gavrilovic, Branka/0000-0001-5771-6876; Despotovic, Svetlana/0000-0002-3894-8310; Gavric, Jelena/0000-0002-3242-9886; Pavlovic, Sladan/0000-0002-5651-7178; SAICIC, ZORICA/0000-0002-1980-7029</t>
  </si>
  <si>
    <t>Ministry of Education, Science and Technological Development of the Republic of Serbia [173041, 173045]</t>
  </si>
  <si>
    <t>Ministry of Education, Science and Technological Development of the Republic of Serbia</t>
  </si>
  <si>
    <t>This study was supported by the Ministry of Education, Science and Technological Development of the Republic of Serbia, grants nos. 173041 and 173045. The authors are grateful to Myra Macpherson Poznanovia for proofreading the manuscript.</t>
  </si>
  <si>
    <t>10.1016/j.ecolind.2013.03.024</t>
  </si>
  <si>
    <t>157JH</t>
  </si>
  <si>
    <t>WOS:000319891900024</t>
  </si>
  <si>
    <t>Peltier, GL; Meyer, JL; Jagoe, CH; Hopkins, WA</t>
  </si>
  <si>
    <t>Peltier, Gretchen Loeffler; Meyer, Judith L.; Jagoe, Charles H.; Hopkins, William A.</t>
  </si>
  <si>
    <t>Using trace element concentrations in Corbicula fluminea to identify potential sources of contamination in an urban river</t>
  </si>
  <si>
    <t>Corbicula fluminea; selenium; arsenic; urban; coal</t>
  </si>
  <si>
    <t>LAND-USE; WATER CHEMISTRY; ORGANIC-CARBON; CATCHMENT-AREA; HEAVY-METALS; MERCURY; STREAMS; SPECIATION; BASIN; PHARMACEUTICALS</t>
  </si>
  <si>
    <t>We used the biomonitor, Corbicula fluminea, to investigate the contributions of trace elements associated with different point sources and land uses in a large river. Trace elements were analyzed in tissues of clams collected from 15 tributary streams draining five land use or point source types: agriculture, forest, urban, coal-fired power plant (CFPP), and wastewater (WWTP). Clams from forested catchments had elevated Hg concentrations, and concentrations of arsenic and selenium were highest (5.0 +/- 0.2 and 13.6 +/- 0.9 mu g g(-1) dry mass (DM), respectively) in clams from CFPP sites. Cadmium concentrations were significantly higher in clams from urban and CFPP sites (4.1 +/- 0.2 and 3.6 +/- 0.9 P g g-1 DM, respectively). Non-metric multidimensional scaling (NMS) of tissue concentrations in clams clustered at CFPP and forest/agriculture sites at opposite ends of the ordination space, and the distribution of sites was driven by Cu, Zn, Cd, and Hg. (C) 2007 Elsevier Ltd. All rights reserved.</t>
  </si>
  <si>
    <t>[Peltier, Gretchen Loeffler; Meyer, Judith L.] Univ Georgia, Inst Ecol, Athens, GA 30602 USA; [Jagoe, Charles H.; Hopkins, William A.] Univ Georgia, Savannah River Ecol Lab, Aiken, SC 29802 USA</t>
  </si>
  <si>
    <t>University System of Georgia; University of Georgia; United States Department of Energy (DOE); Savannah River Ecology Laboratory; University System of Georgia; University of Georgia</t>
  </si>
  <si>
    <t>Peltier, GL (corresponding author), Columbia Univ, Earth Inst, New York, NY 10025 USA.</t>
  </si>
  <si>
    <t>gl232@columbia.edu</t>
  </si>
  <si>
    <t>Hopkins, William/JFK-5636-2023</t>
  </si>
  <si>
    <t>10.1016/j.envpol.2007.10.004</t>
  </si>
  <si>
    <t>320TU</t>
  </si>
  <si>
    <t>WOS:000257258700014</t>
  </si>
  <si>
    <t>WALKER, HA; LORDA, E; SAILA, SB</t>
  </si>
  <si>
    <t>A COMPARISON OF THE INCIDENCE OF 5 PATHOLOGICAL CONDITIONS IN SOFT-SHELL CLAMS, MYA-ARENARIA, FROM ENVIRONMENTS WITH VARIOUS POLLUTION HISTORIES</t>
  </si>
  <si>
    <t>The distribution of occurrences and co-occurrences of 5 pathological conditions in samples of the soft-shell clam, M. arenaria, from 17 locations on the east coast of the USA were compared by 2 different analytical techniques: the relative fit of Poisson and Lagrange-Poisson distributions to the data were related to the mortality rate and spread of the pathological conditions and a severity index based on a matrix of occurrences and co-occurrences and the analysis of its eigenvectors were used to measure and to characterize the severity of the spread. These 2 techniques were compared with the help of a cluster analysis and discussed in the context of the pollution history of the 17 locations. Although causal inferences could not be drawn, the analyses suggested that crude oils and heavy metals had less effect on the incidence of hyperplasia and neoplasia than more refined petrochemicals. Neoplasia was found in clean and polluted environments.</t>
  </si>
  <si>
    <t>UNIV RHODE ISL, GRAD SCH OCEANOG, KINGSTON, RI 02881 USA.</t>
  </si>
  <si>
    <t>10.1016/0141-1136(81)90027-1</t>
  </si>
  <si>
    <t>MF931</t>
  </si>
  <si>
    <t>WOS:A1981MF93100003</t>
  </si>
  <si>
    <t>Bringer, A; Thomas, H; Prunier, G; Dubillot, E; Bossut, N; Churlaud, C; Clérandeau, C; Le Bihanic, F; Cachot, J</t>
  </si>
  <si>
    <t>Bringer, Arno; Thomas, Helene; Prunier, Gregoire; Dubillot, Emmanuel; Bossut, Noemie; Churlaud, Carine; Clerandeau, Christelle; Le Bihanic, Florane; Cachot, Jerome</t>
  </si>
  <si>
    <t>High density polyethylene (HDPE) microplastics impair development and swimming activity of Pacific oyster D-larvae, Crassostrea gigas, depending on particle size</t>
  </si>
  <si>
    <t>Polyethylene microplastics; Pacific oyster; Early life stage; Development; Swimming behaviour</t>
  </si>
  <si>
    <t>POLYSTYRENE MICROPLASTICS; MARINE-ENVIRONMENT; MYTILUS-EDULIS; S-METOLACHLOR; COPPER; NANOPLASTICS; TEMPERATURE; RESPONSES; CAPTURE; METABOLITES</t>
  </si>
  <si>
    <t>Understanding the effects of plastic debris on marine ecosystems is essential in encouraging decisionmakers to take action. The present study investigates the effect of a 24 h experimental exposure to high density polyethylene (HDPE) microplastics (MPs) of different sizes (4-6, 11-13 and 20-25 mu m) and at three concentrations (0.1, 1 and 10 mg MP.L-1) on the development and locomotor activity of early stages of Pacific oyster, Crassostrea gigas. The bivalve embryo-larval assay (NF ISO 17244, 2015) was used in this study but with additional toxicity criteria: developmental arrests, abnormal D-larvae, maximum speed and swimming trajectory. Copper (Cu), was used as a positive control. Our results show that smaller MPs (4-6 and 11-13 mu m) induced higher rates of malformations and developmental arrests than the larger ones (20-25 mu m). In addition, a dose-dependent decrease of maximum swimming speed was observed for larvae exposed to MPs of 4-6 and 11-13 mu m. On the other hand, there was no significant difference in swimming speed with the largest MPs size tested (20-25 mu m). For all three sizes of MPs, there was a decrease in straight-line swimming trajectories, and an increase in circular trajectories. This abnormal swimming behaviour could affect larvae survival as well as colonization of new habitats. (C) 2020 Elsevier Ltd. All rights reserved.</t>
  </si>
  <si>
    <t>[Bringer, Arno; Thomas, Helene; Prunier, Gregoire; Dubillot, Emmanuel; Bossut, Noemie; Churlaud, Carine] La Rochelle Univ, Littoral Environm &amp; Soc LIENSs, UMR 7266, CNRS, 2 Rue Olympe Gouges, F-17042 La Rochelle 01, France; [Clerandeau, Christelle; Le Bihanic, Florane; Cachot, Jerome] Univ Bordeaux, Lab Environm &amp; Paleoenvironm Ocean &amp; Continentaux, UMR CNRS 5805, F-33600 Pessac, France</t>
  </si>
  <si>
    <t>Centre National de la Recherche Scientifique (CNRS); Universite de Bordeaux; Centre National de la Recherche Scientifique (CNRS); CNRS - National Institute for Earth Sciences &amp; Astronomy (INSU)</t>
  </si>
  <si>
    <t>Cachot, J (corresponding author), Univ Bordeaux, Lab Environm &amp; Paleoenvironm Ocean &amp; Continentaux, UMR CNRS 5805, F-33600 Pessac, France.</t>
  </si>
  <si>
    <t>Bossut, Noemie/0009-0003-2990-7888; THOMAS, Helene/0000-0002-7932-6841; Cachot, Jerome/0000-0002-1492-9684</t>
  </si>
  <si>
    <t>PhD grant (Comite Regional de la Conchyliculture de la Charente Maritime, CRC17); Comite Departemental de la Charente Maritime (CD17); AQUAECOs (Amelioration de la QUAlite Environnementale sur les zones COnchylicoles des Pertuis Charentais) project - CRC17, AFB (Agence Francaise de la Biodiversite, Parc naturel marin de l'estuaire de la Gironde et de la mer des Pertuis); La Rochelle University; University of Bordeaux; Centre National de la Recherche Scientifique (France); Region Nouvelle Aquitaine</t>
  </si>
  <si>
    <t>PhD grant (Comite Regional de la Conchyliculture de la Charente Maritime, CRC17); Comite Departemental de la Charente Maritime (CD17); AQUAECOs (Amelioration de la QUAlite Environnementale sur les zones COnchylicoles des Pertuis Charentais) project - CRC17, AFB (Agence Francaise de la Biodiversite, Parc naturel marin de l'estuaire de la Gironde et de la mer des Pertuis); La Rochelle University; University of Bordeaux; Centre National de la Recherche Scientifique (France)(Centre National de la Recherche Scientifique (CNRS)); Region Nouvelle Aquitaine(Region Nouvelle-Aquitaine)</t>
  </si>
  <si>
    <t>A. Bringer was recipient of a PhD grant (Comite Regional de la Conchyliculture de la Charente Maritime, CRC17) and for financial support by Region Nouvelle Aquitaine and Comite Departemental de la Charente Maritime (CD17) to develop this research. This work was supported by grants from the AQUAECOs (Amelioration de la QUAlite Environnementale sur les zones COnchylicoles des Pertuis Charentais) project funded by partnership CRC17, AFB (Agence Francaise de la Biodiversite, Parc naturel marin de l'estuaire de la Gironde et de la mer des Pertuis). Funding was also supported in part by the La Rochelle University, the University of Bordeaux, the Centre National de la Recherche Scientifique (France). The authors greatly thank France Naissain for providing the oysters genitors specimens &amp; James Emery for its kind contribution to English review of the manuscript. We thanks' all collaborators for their works and their help during this study.</t>
  </si>
  <si>
    <t>10.1016/j.envpol.2020.113978</t>
  </si>
  <si>
    <t>WOS:000528537600090</t>
  </si>
  <si>
    <t>ROULEAU, C; PELLETIER, E; TJALVE, H</t>
  </si>
  <si>
    <t>DISTRIBUTION KINETICS OF TROPHIC SINGLE DOSES OF METHYLMERCURY, TRIBUTYLTIN, AND CORRESPONDING INORGANIC-IONS IN THE STARFISH LEPTASTERIAS-POLARIS</t>
  </si>
  <si>
    <t>MERCURY; METHYLMERCURY; TIN; TRIBUTYLTIN; DISTRIBUTION; KINETIC; FOOD; STARFISH; LEPTASTERIAS POLARIS</t>
  </si>
  <si>
    <t>WATER PARTITION-COEFFICIENT; MYTILUS-EDULIS; MERCURY; ACCUMULATION; ENVIRONMENT; POLLUTION; CHLORIDE; MUSSELS; TISSUE; MODELS</t>
  </si>
  <si>
    <t>Whole-body autoradiography (WBARG) and a multicompartmental model were used to describe, quantify, and compare the distribution kinetics over 48 h of trophic single doses of methylmercury (MeHg), tributyltin (But(3)Sn), and the corresponding inorganic ions, Hg(II) and Sn(IV), in starfish Leptasterias polaris. The food consisted of homogenized mussel flesh spiked with 2.5 nmol g(-1) of (HgCl2)-Hg-203, (CH3HgCl)-Hg-203, (SnCl4)-Sn-113 or (BUt)(3)(SnCl)-Sn-113. The model presented differs from conventional multicompartmental pharmacokinetic models as compartment contents are related to the whole-body content rather than the concentration of metal species in a reference tissue. WBARG indicated that transfer of labelled compounds from the stomach (Compartment E) to pyloric caeca (Compartment C), and from pyloric caeca to the rest of the starfish (coelomic fluid, gonads, body wall, podia; Compart ment R) proceeded mainly by transport via the pyloric ducts and by diffusion in the coelomic fluid, respectively, with a negligible contribution from the haemal system. Pyloric caeca were the main sites of accumulation for inorganic Hg and Sn (61 to 63% of total content) at steady-state while MeHg was more evenly distributed, each compartment accounting for one-third of the whole-body content. But(3)Sn content of starfish also tended to be more homogeneously distributed between compartments. Transfer of MeHg (rate constant alpha(1) = 0.208 h(-1)) from the stomach to pyloric caeca proceeded at a rate similar to inorganic Hg(II) and Sn(IV) (alpha(1) = 0.196 and 0.178 h(-1), respectively) and was assumed to be mainly a passive process associated with food transport. However, MeHg was transfered at a faster rate (alpha(2) = 0.099 h(-1)) from the pyloric caeca to the rest of the individual (coelomic fluid, gonads, body wall, podia) than inorganic Hg(II) (alpha(2) = 0.061 h(-1)), this effect being associated to the facility of MeHg to cross biological membranes. But(3)Sn distribution kinetic was the slowest (alpha(1) = 0.071 h(-1) and alpha(2) = 0.017 h(-1)). This result may be related to the strong binding capacity of But(3)Sn towards biological ligands and its low water solubility, coupled to other physical properties like sterical hindrance. Although organ distributions of MeHg and But(3)Sn at steady-state were rather similar, their kinetics were radically different, allowing a clear distinction between the 2 organometals. This finding enhances the necessity to consider the contaminant uptake problem from the point of view of both thermodynamic and kinetic approaches. The model developed in this work allowed the distinction between 2 transfer modes differentiated by their own chemical mechanisms. Such a model could be used for further studies on the distribution kinetics of trace metals, organometals, and other substances (Like nutrients) in aquatic and terrestrial invertebrates.</t>
  </si>
  <si>
    <t>UNIV QUEBEC, INRS OCEANOL, RIMOUSKI, PQ G5L 3A1, CANADA; UNIV QUEBEC, DEPT OCEANOG, RIMOUSKI, PQ G5L 3A1, CANADA; SWEDISH UNIV AGR SCI, FAC VET MED, DEPT PHARMACOL &amp; TOXICOL, S-75123 UPPSALA, SWEDEN</t>
  </si>
  <si>
    <t>University of Quebec; Institut national de la recherche scientifique (INRS); University of Quebec; Swedish University of Agricultural Sciences</t>
  </si>
  <si>
    <t>10.3354/meps124143</t>
  </si>
  <si>
    <t>RW867</t>
  </si>
  <si>
    <t>WOS:A1995RW86700012</t>
  </si>
  <si>
    <t>Shaw, JP; Moore, MN; Readman, JW; Mou, Z; Langston, WJ; Lowe, DM; Frickers, PE; Al-Moosawi, L; Pascoe, C; Beesley, A</t>
  </si>
  <si>
    <t>Shaw, J. P.; Moore, M. N.; Readman, J. W.; Mou, Z.; Langston, W. J.; Lowe, D. M.; Frickers, P. E.; Al-Moosawi, L.; Pascoe, C.; Beesley, A.</t>
  </si>
  <si>
    <t>Oxidative stress, lysosomal damage and dysfunctional autophagy in molluscan hepatopancreas (digestive gland) induced by chemical contaminants</t>
  </si>
  <si>
    <t>Lysosomal membrane stability; Dysfunctional autophagy; Lipofuscinosis; Lipidosis; Oxidative stress; Molluscs; Hepatopancreas/digestive gland; Chemical pollutants</t>
  </si>
  <si>
    <t>MYTILUS-GALLOPROVINCIALIS L.; COMMON MUSSEL; ENVIRONMENTAL PROGNOSTICS; PROTECTIVE PROCESS; RISK-ASSESSMENT; EDULIS-L; RESPONSES; EXPOSURE; PROTEIN; CELLS</t>
  </si>
  <si>
    <t>Autophagy is a highly conserved evolutionary survival or defence process that enables cells and organisms to survive periods of environmental stress by breaking down cellular organelles and macromolecules in autolyso-somes to provide a supply of nutrients for cell maintenance. However, autophagy is also a part of normal cellular physiology that facilitates the turnover of cellular constituents under normal conditions: it can be readily augmented by mild environmental stress; but becomes dysfunctional with severe oxidative stress leading to cellular pathology. The molluscan hepatopancreas or digestive gland provides a versatile and environmentally relevant model to investigate lysosomal autophagy and stress-induced dysfunctional autophagy. This latter process has been implicated in many animal and human disease conditions, including degenerative and neurodegenerative diseases, as well as obesity related conditions. Many environmental pollutants have also been found to induce dysfunctional autophagy in molluscan hepatopancreatic digestive cells, and in this study, the marine blue mussel Mytlius galloprovincialis was exposed for 7 days to: 0.1 mu M, 1 mu M and 10 mu M concentrations of fluoranthene and phenanthrene (PAHs); chlorpyrifos and malathion (organophosphorus compounds); atrazine (triazine herbicide); copper (transition metal) and dodecylbenzene sulphonic acid (LAS, surfactant). The marine snail or periwinkle, Littorina littorea, was also exposed to phenanthrene, chlorpyrifos and copper. Indices of oxidative stress, cell injury and dysfunctional autophagy were measured (i.e., lysosomal membrane stability, protein carbonyls, lipofuscin, and lysosomal accumulation of lipid or lipidosis). Evidence of oxidative stress, based on the elevation of lipofuscin and protein carbonyls, was found for all compounds tested; with chlorpyrifos being the most toxic to both species. Dysfunctional autophagy was induced by all of the compounds tested in both species, except for atrazine in mussels. This failure of normal autophagy was consistently associated with oxidative stress. Autophagic dysfunction is an important emerging feature in the aetiology of many disease conditions in animals and humans; and an explanatory conceptual mechanistic model has been developed for dysregulation of autophagy in response to oxidative stress.</t>
  </si>
  <si>
    <t>[Shaw, J. P.; Moore, M. N.; Readman, J. W.; Mou, Z.; Lowe, D. M.; Frickers, P. E.; Al-Moosawi, L.; Pascoe, C.; Beesley, A.] Plymouth Marine Lab, Prospect Pl, Plymouth PL1 3DH, Devon, England; [Moore, M. N.] Univ Exeter, Sch Med, ECEHH, Knowledge Spa,Royal Cornwall Hosp, Truro TR1 3HD, England; [Moore, M. N.; Readman, J. W.] Univ Plymouth, Sch Biol &amp; Marine Sci, Plymouth PL4 8AA, Devon, England; [Langston, W. J.] Marine Biol Assoc UK, Citadel Hill, Plymouth PL1 2PB, Devon, England</t>
  </si>
  <si>
    <t>Plymouth Marine Laboratory; Royal Cornwall Hospital; University of Exeter; University of Plymouth; Marine Biological Association United Kingdom</t>
  </si>
  <si>
    <t>UK Department for Environment, Food and Rural Affairs (Defra, UK) [AE1136]; Natural Environment Research Council (NERC UK)</t>
  </si>
  <si>
    <t>UK Department for Environment, Food and Rural Affairs (Defra, UK)(Department for Environment, Food &amp; Rural Affairs (DEFRA)); Natural Environment Research Council (NERC UK)(UK Research &amp; Innovation (UKRI)Natural Environment Research Council (NERC))</t>
  </si>
  <si>
    <t>This work was part of the PREDICT 2 project jointly supported by the UK Department for Environment, Food and Rural Affairs (Defra, UK) (contract number AE1136) and the Natural Environment Research Council (NERC UK). There are no conflicts of interest.</t>
  </si>
  <si>
    <t>10.1016/j.marenvres.2019.104825</t>
  </si>
  <si>
    <t>JR6MI</t>
  </si>
  <si>
    <t>WOS:000499736700008</t>
  </si>
  <si>
    <t>Dang, C; Tan, T; Moffit, D; Deboutteville, JD; Barnes, AC</t>
  </si>
  <si>
    <t>Dang, Cecile; Tan, Terence; Moffit, Dylan; Deboutteville, Jerome Delamare; Barnes, Andrew C.</t>
  </si>
  <si>
    <t>Gender differences in hemocyte immune parameters of bivalves: The Sydney rock oyster Saccostrea glomerata and the pearl oyster Pinctada fucata</t>
  </si>
  <si>
    <t>Bivalve; Gender; Cellular immunity; Saccostrea glomerata; Pinctada fucata</t>
  </si>
  <si>
    <t>CLAM MYA-ARENARIA; CRASSOSTREA-GIGAS THUNBERG; FLOW-CYTOMETRIC ANALYSIS; EASTERN OYSTERS; PACIFIC OYSTER; RUDITAPES-PHILIPPINARUM; PERKINSUS-MARINUS; IMMUNOLOGICAL PARAMETERS; PROROCENTRUM-MINIMUM; MARTEILIA-SYDNEYI</t>
  </si>
  <si>
    <t>Many authors have highlighted a high inter-individual variability in immune parameters of marine bivalves. A high number of studies have reported the impact of external factors on hemocytes immune parameters such as temperature, salinity, pollutants or pathogens. However, only a few of them considered the impact of intrinsic parameters such as sex. Therefore, the present study assessed the impact of gender on hemocytes functions on two marine bivalves. Our results led to the conclusion that the gender contributes to this inter-individual variability. When studying the impact of an environmental variable, a pathogen or a pollutant, the sex of each animal should be determined and taken into account in the analysis and interpretation of immune parameters. (C) 2012 Elsevier Ltd. All rights reserved.</t>
  </si>
  <si>
    <t>[Dang, Cecile; Tan, Terence; Moffit, Dylan; Deboutteville, Jerome Delamare; Barnes, Andrew C.] Univ Queensland, Sch Biol Sci, Brisbane, Qld 4072, Australia</t>
  </si>
  <si>
    <t>University of Queensland</t>
  </si>
  <si>
    <t>Dang, C (corresponding author), Univ Queensland, Sch Biol Sci, Brisbane, Qld 4072, Australia.</t>
  </si>
  <si>
    <t>c.dang@uq.edu.au</t>
  </si>
  <si>
    <t>Barnes, Andrew/G-7334-2012; Barnes, Andrew/J-9012-2014</t>
  </si>
  <si>
    <t>Barnes, Andrew/0000-0002-3990-8070; Delamare Deboutteville, Jerome/0000-0003-4169-2456</t>
  </si>
  <si>
    <t>10.1016/j.fsi.2012.04.007</t>
  </si>
  <si>
    <t>960HK</t>
  </si>
  <si>
    <t>WOS:000305378400018</t>
  </si>
  <si>
    <t>Gunther, AJ; Davis, JA; Hardin, DD; Gold, J; Bell, D; Crick, JR; Scelfo, GM; Sericano, J; Stephenson, M</t>
  </si>
  <si>
    <t>Long-term bioaccumulation monitoring with transplanted bivalves in the San Francisco Estuary</t>
  </si>
  <si>
    <t>MUSSEL WATCH; MYTILUS-GALLOPROVINCIALIS; CRASSOSTREA-VIRGINICA; BENTHIC FLUXES; CALIFORNIA; BAY; OYSTERS; TRENDS; ORGANOCHLORINES; CONTAMINANTS</t>
  </si>
  <si>
    <t>The California State Mussel Watch and the Regional Monitoring Program for Trace Substances have conducted biomonitoring for trace elements and organic contaminants in the San Francisco Estuary using transplanted bivalves (Mytilus californianus, Crassostrea gigas, and Corbicula fluminea). Significant declines (p &lt; 0.01) in contaminant concentrations in M. californianus for the period 1980-1996 were observed for PCBs, p,p'-DDE, cis-chlordane, dieldrin, and Ag, while a significant increase was observed far Cr (p &lt; 0.05). Certain limitations of the mussel watch approach are illustrated by examining data on survival, body condition, and contaminant uptake, including the inability of the technique to predict accumulation of mercury and selenium at higher trophic levels in the ecosystem, These results indicate that biomonitoring using transplanted bivalves, when part of a consistently supported long-term program, can produce valuable data on the spatially and temporally averaged abundance and distribution of certain contaminants in coastal ecosystems, (C) 1999 Elsevier Science Ltd. All rights reserved.</t>
  </si>
  <si>
    <t>Appl Marine Sci Inc, Livermore, CA 94550 USA; San Francisco Estuary Inst, Richmond, CA 94804 USA; Univ Calif Santa Cruz, Dept Environm Toxicol, Santa Cruz, CA 95064 USA; Texas A&amp;M Univ, Geochem &amp; Environm Res Grp, College Stn, TX 77845 USA; Marine Pollut Studies Lab, Moss Landing, CA 95039 USA</t>
  </si>
  <si>
    <t>University of California System; University of California Santa Cruz; Texas A&amp;M University System; Texas A&amp;M University College Station</t>
  </si>
  <si>
    <t>Appl Marine Sci Inc, 4749 Bennett Dr,Suite L, Livermore, CA 94550 USA.</t>
  </si>
  <si>
    <t>gunther@amarine.com</t>
  </si>
  <si>
    <t>10.1016/S0025-326X(98)00185-4</t>
  </si>
  <si>
    <t>WOS:000079884500010</t>
  </si>
  <si>
    <t>Lehtonen, KK; d'Errico, G; Korpinen, S; Regoli, F; Ahkola, H; Kinnunen, T; Lastumäki, A</t>
  </si>
  <si>
    <t>Lehtonen, Kari K.; d'Errico, Giuseppe; Korpinen, Samuli; Regoli, Francesco; Ahkola, Heidi; Kinnunen, Tanja; Lastumaki, Anu</t>
  </si>
  <si>
    <t>Mussel Caging and the Weight of Evidence Approach in the Assessment of Chemical Contamination in Coastal Waters of Finland (Baltic Sea)</t>
  </si>
  <si>
    <t>Baltic Sea; biomonitoring; marine pollution; mussel caging; biomarkers; weight of evidence; integrated assessment</t>
  </si>
  <si>
    <t>FLOUNDER PLATICHTHYS-FLESUS; BIVALVES MYTILUS-EDULIS; CAGED MUSSELS; BIOMARKER RESPONSES; POLLUTION GRADIENT; MACOMA-BALTHICA; ACETYLCHOLINESTERASE ACTIVITY; HAZARDOUS SUBSTANCES; LYSOSOMAL STABILITY; SEDIMENT CHEMISTRY</t>
  </si>
  <si>
    <t>Contamination status of coastal areas of Finland (northern Baltic Sea) markedly affected by anthropogenic activities (harbors, shipyards and maritime activity, industry, municipal and agricultural inputs, legacy contamination) was assessed for the first time using the weight of evidence (WOE) approach. The key element of the study was the caging (transplantation) of Baltic mussels (Mytilus trossulus) for the measurement of tissue accumulation of polycyclic aromatic hydrocarbons (PAHs) and applying a suite of biomarkers of biological effects of contaminants. Additional variables included in the assessment were trace metals in seawater, macrozoobenthos, near-bottom oxygen levels and eutrophication indicators. The chemical parameters were supported by passive sampling of PAHs and organotins at the study sites. The integrated approach combining all the line of evidence (LOE) variables into the WOE showed separation of some sites as more affected by hazardous substances than others, with the most contaminated areas found around harbor and ship yard areas. The contaminant levels measured in the different matrices were not alarmingly high at none of the areas compared to many other areas within or outside the Baltic Sea under more heavy anthropogenic impact, rarely exceeding any given threshold values for Good Environmental Status of the EU Marine Strategy Framework Directive. However, significant biological effects were recorded in mussels in the most contaminated sites, signifying that the combined effects caused by the contaminants and other environmental factors are disturbing the health of marine organisms in the area. The results of this successful combined application based on the mussel transplantation method and the WOE approach are highly encouraging for further trials in developing the monitoring of chemical contamination in the Baltic Sea.</t>
  </si>
  <si>
    <t>[Lehtonen, Kari K.; Korpinen, Samuli; Kinnunen, Tanja; Lastumaki, Anu] Finnish Environm Inst, Marine Res Ctr, Helsinki, Finland; [d'Errico, Giuseppe; Regoli, Francesco] Univ Politecn Marche, Dipartimento Sci Vita &amp; Ambiente, Ancona, Italy; [Ahkola, Heidi] Finnish Environm Inst, Jyvaskyla Off, Jyvaskyla, Finland</t>
  </si>
  <si>
    <t>Finnish Environment Institute; Marche Polytechnic University; Finnish Environment Institute</t>
  </si>
  <si>
    <t>Lehtonen, KK (corresponding author), Finnish Environm Inst, Marine Res Ctr, Helsinki, Finland.</t>
  </si>
  <si>
    <t>kari.lehtonen@ymparisto.fi</t>
  </si>
  <si>
    <t>; Regoli, Francesco/K-2719-2018</t>
  </si>
  <si>
    <t>Korpinen, Samuli/0000-0001-6024-1250; Ahkola, Heidi/0000-0002-3329-3749; Lehtonen, Kari Kullervo/0000-0002-7757-2336; Regoli, Francesco/0000-0001-6084-6188</t>
  </si>
  <si>
    <t>Ministry of the Environment of Finland</t>
  </si>
  <si>
    <t>The authors are grateful to the crew of r/v Aranda and technical staff of SYKE for highly professional work performances during the deployment and recovery of the mussel cages. Jari Nuutinen and Timo Sara-Aho (SYKE) performed the PAH and trace metal analyses, respectively. Thanks are also directed to Jaakko Mannio, Katri Siimes, and Emmi Vaha for management, help, and expertize during the projects leading to this paper and its preparation. The projects MerPAH and UuPri during which the data was collected were funded by the Ministry of the Environment of Finland.</t>
  </si>
  <si>
    <t>10.3389/fmars.2019.00688</t>
  </si>
  <si>
    <t>JN2RV</t>
  </si>
  <si>
    <t>WOS:000496749000001</t>
  </si>
  <si>
    <t>Akakçe, N; Görgün, AU; Kizilkaya, IT; Atay, NÖ</t>
  </si>
  <si>
    <t>Akakce, Nurdan; Gorgun, Aysun Ugur; Kizilkaya, Inci Tuney; Atay, Nevra Ozturk</t>
  </si>
  <si>
    <t>Effect of Radionuclides and Trace Elements on Antioxidant System of Brown Seaweeds</t>
  </si>
  <si>
    <t>Cystoseira crinita; Halopteris scoparia; Radionuclides; Heavy metal; Enzymes; Defence mechanism</t>
  </si>
  <si>
    <t>MUSSELS MYTILUS-GALLOPROVINCIALIS; BLACK-SEA; HEAVY-METALS; MARINE MACROALGAE; OXIDATIVE STRESS; ALGAE CYSTOSEIRA; SCENEDESMUS SP; RED-SEA; PO-210; PB-210</t>
  </si>
  <si>
    <t>Ecological effects in marine living can be understood via the determination of antioxidant molecules in aquatic organisms against pollutants. This study aims to evaluate the radionuclides and trace element stress with response molecules. Cystoseira crinita and Halopteris scoparia have been chosen as study materials because of their susceptibility to pollution. The radionuclides Po-210, U-238, Th-232 and K-40 and trace elements Al, Fe, Mn, Cr, As, Zn and Pb levels were analysed as well as antioxidants and antioxidant enzymes in two brown algae, seasonally. Marine pollutants in terms of radionuclides and trace elements were correlated with antioxidant molecules in these species and may be used as biomarkers for assessing the radioactive stress. The Po-210 and Mn concentrations in C. crinita seem to activate catalase (CAT) and superoxide dismutase (SOD) enzyme activities while Po-210 concentrations inclined the proline amount in H. scoparia. This study demonstrated the radiation stress-induced the antioxidant defence system in macroalgae, the primary producers of the marine environment.</t>
  </si>
  <si>
    <t>[Akakce, Nurdan; Gorgun, Aysun Ugur] Ege Univ, Inst Nucl Sci, Izmir, Turkiye; [Akakce, Nurdan; Atay, Nevra Ozturk] Ege Univ Applicat &amp; Res Ctr Testing &amp; Anal EGE MA, Izmir, Turkiye; [Kizilkaya, Inci Tuney] Ege Univ, Fac Sci, Dept Biol, Izmir, Turkiye</t>
  </si>
  <si>
    <t>Akakçe, N (corresponding author), Ege Univ, Inst Nucl Sci, Izmir, Turkiye.;Akakçe, N (corresponding author), Ege Univ Applicat &amp; Res Ctr Testing &amp; Anal EGE MA, Izmir, Turkiye.</t>
  </si>
  <si>
    <t>nurdan.akakce@ege.edu.tr</t>
  </si>
  <si>
    <t>Tuney, Inci/GLR-3086-2022</t>
  </si>
  <si>
    <t>Ege University Scientific Research Projects Coordination Unit [FDK-2018-20143]; Ege University Planning and Monitoring Coordination of Organizational Development and Directorate of Library and Documentation</t>
  </si>
  <si>
    <t>Ege University Scientific Research Projects Coordination Unit(Ege University); Ege University Planning and Monitoring Coordination of Organizational Development and Directorate of Library and Documentation</t>
  </si>
  <si>
    <t>This work was supported by Ege University Scientific Research Projects Coordination Unit (Project number FDK-2018-20143) and EGE-MATAL. We are grateful to Ege University Planning and Monitoring Coordination of Organizational Development and Directorate of Library and Documentation for their support in editing and proofreading service of this study.</t>
  </si>
  <si>
    <t>10.1007/s00128-022-03677-2</t>
  </si>
  <si>
    <t>8Q0IA</t>
  </si>
  <si>
    <t>WOS:000926897900001</t>
  </si>
  <si>
    <t>Figueira, E; Freitas, R</t>
  </si>
  <si>
    <t>Figueira, Etelvina; Freitas, Rosa</t>
  </si>
  <si>
    <t>Consumption of Ruditapes philippinarum and Ruditapes decussatus: comparison of element accumulation and health risk</t>
  </si>
  <si>
    <t>Clams; Marine food; Metal and As accumulation; PTWI; Maximum levels (MLs); Coastal lagoon; Ria de Aveiro</t>
  </si>
  <si>
    <t>BIVALVE CERASTODERMA-EDULE; MUSSEL PERNA-VIRIDIS; HEAVY-METAL; TRACE-METAL; SUBCELLULAR COMPARTMENTALIZATION; MYTILUS-GALLOPROVINCIALIS; CHEMICAL CONCENTRATIONS; ATLANTIC COAST; CLAM; SEDIMENT</t>
  </si>
  <si>
    <t>Ruditapes philippinarum, a species native from the Indo-Pacific region, was introduced in Europe at the beginning of the 1970s for culture purposes, leading to a massive decrease of the native species Ruditapes decussatus and a high increase of R. philippinarum yields in Europe. Bivalves can accumulate high amounts of metals and thus easily reach concentrations that are toxic not only to themselves but also to consumers. Since differences in the accumulation of pollutants may exist between bivalve species, different health risks may be overcome. For this reason, the level of metals in seafood raises public health concerns, and international organisations like European Food Safety Authority, United States Food and Drug Administration, and Food Standards Australia and New Zealand (FSANZ) set maximum levels (MLs), above which edible seafood cannot be marketed. In order to evaluate the risk associated with the consumption of R. philippinarum and R. decussatus, both clam species were collected in the same site in Ria de Aveiro and the concentration of eight elements determined in organisms before and after a 48-h depuration period. Results evidence that even at low contaminated areas, the MLs for some elements can easily be achieved. The concentrations of As were above the reference values for FSANZ, and the provisional tolerable weekly intake (PTWI) is exceeded for As when more than 0.5 kg of R. decussatus and 0.9 kg of R. philippinarum clam flesh is consumed, in 1 week, by an adult (70 kg). When comparing with other systems worldwide, consumers of depurated clams from this coastal system have a similar or lower risk of exceeding the PTWI for Cd, As, Pb, and Hg. The recently introduced clam, R. philippinarum, accumulates lower amounts of the most health-threatening elements (less than 71 % of Cd, 40 % of As, and 20 % of Hg) than the native R. decussatus, except for Pb. R. philippinarum also reduces more the element burden when subjected to depuration than R. decussatus. Moreover, R. philippinarum allocates a lower proportion of the accumulated elements in the soluble fraction, where they are readily available. Thus, it is safer to consume R. philippinarum than R. decussatus, except when clams come from areas heavily polluted by Pb.</t>
  </si>
  <si>
    <t>[Figueira, Etelvina; Freitas, Rosa] Univ Aveiro, Dept Biol, P-3810193 Aveiro, Portugal; [Freitas, Rosa] Univ Aveiro, CESAM, P-3810193 Aveiro, Portugal</t>
  </si>
  <si>
    <t>Figueira, E (corresponding author), Univ Aveiro, Dept Biol, Campus Univ Santiago, P-3810193 Aveiro, Portugal.</t>
  </si>
  <si>
    <t>Figueira, Etelvina/M-6116-2013; Freitas, Rosa/A-7539-2012</t>
  </si>
  <si>
    <t>Figueira, Etelvina/0000-0002-6763-2665; Freitas, Rosa/0000-0003-4900-3897</t>
  </si>
  <si>
    <t>CESAM (Department of Biology, University of Aveiro)</t>
  </si>
  <si>
    <t>This work was supported by CESAM (Department of Biology, University of Aveiro) and our own research funds.</t>
  </si>
  <si>
    <t>10.1007/s11356-013-1587-z</t>
  </si>
  <si>
    <t>WOS:000321908600057</t>
  </si>
  <si>
    <t>Dabrowska, H; Kopko, O; Lehtonen, KK; Lang, T; Waszak, I; Balode, M; Strode, E</t>
  </si>
  <si>
    <t>Dabrowska, Henryka; Kopko, Orest; Lehtonen, Kari K.; Lang, Thomas; Waszak, Ilona; Balode, Maija; Strode, Evita</t>
  </si>
  <si>
    <t>An integrated assessment of pollution and biological effects in flounder, mussels and sediment in the southern Baltic Sea coastal area</t>
  </si>
  <si>
    <t>Baltic Sea; Chemical pollution; Biological effects; Flounder; Mussels; Sediments; Integrated assessment; Good environmental status</t>
  </si>
  <si>
    <t>PERCH PERCA-FLAVESCENS; PLATICHTHYS-FLESUS; BIOMARKER RESPONSE; MYTILUS-TROSSULUS; FISH CAUGHT; MERCURY; COPPER; CONTAMINANTS; QUANTITATION; VARIABILITY</t>
  </si>
  <si>
    <t>Organic and metal contaminants and biological effects were investigated in flounder, mussels, and sediments in the southern Baltic Sea coastal area in order to assess environmental quality status in that area. Four sites were selected, including two within the Gulf of Gdansk (GoG). In biota and sediment at each site, DDTs dominated over PCBs and PBDEs were the least abundant among organic contaminants. Their concentrations decreased progressively outward from GoG. Among metal contaminants, the levels of Hg, Pb, and Cd were elevated in GoG. Biomarkers in flounder, EROD activity and DNA SB, showed moderate positive correlations with organic and metal contaminants. In flounder, the integrated biomarker index (IBR/n) presented a spatial trend coherent with chemical pollution index (CPI), but there was no clear spatial correspondence between IBR/n and CPI in mussels nor between sediment toxicity index (STI) and sediment CPI. The integrated assessment of contaminant and biological effect data against available assessment criteria indicated that in biota, the contaminant assessment thresholds were most often exceeded by CB-118, heptachlor, PBDE, and Hg (in the GoG sediments by p,p'-DDT, Hg and Cd), while of the biological determinants, the threshold was breeched by AChE activity in mussels in GoG. Applying the ICES/OSPAR traffic-light approach showed that of the 50 parameters assessed at each site, there were 18% of determinants in the red color category in the two GoG sites and 8% of determinants in the two sites outside GoG, which indicated that none of the four investigated sites attained good environmental status (GES).</t>
  </si>
  <si>
    <t>[Dabrowska, Henryka; Kopko, Orest; Waszak, Ilona] NMFRI, Gdynia, Poland; [Lehtonen, Kari K.] Finnish Environm Inst, Ctr Marine Res, Helsinki, Finland; [Lang, Thomas] Johann Heinrich von Thunen Inst Inst Fisheries Ec, Cuxhaven, Germany; [Balode, Maija; Strode, Evita] Latvian Inst Aquat Ecol, Riga, Latvia</t>
  </si>
  <si>
    <t>Finnish Environment Institute; Johann Heinrich von Thunen Institute</t>
  </si>
  <si>
    <t>Dabrowska, H (corresponding author), NMFRI, Gdynia, Poland.</t>
  </si>
  <si>
    <t>dabrowska@mir.gdynia.pl</t>
  </si>
  <si>
    <t>Lehtonen, Kari Kullervo/0000-0002-7757-2336; Strode, Evita/0000-0002-0844-789X; Waszak, Ilona/0000-0002-8504-9094</t>
  </si>
  <si>
    <t>European Community's Seventh Framework Programme (FP/2007-2013) [217246]; Joint Baltic Sea Research and Development Programme BONUS+ (BEAST project); Polish Ministry of Science and Higher Education</t>
  </si>
  <si>
    <t>European Community's Seventh Framework Programme (FP/2007-2013); Joint Baltic Sea Research and Development Programme BONUS+ (BEAST project); Polish Ministry of Science and Higher Education(Ministry of Science and Higher Education, Poland)</t>
  </si>
  <si>
    <t>The research received funding from the European Community's Seventh Framework Programme (FP/2007-2013) under grant agreement number 217246 made with the Joint Baltic Sea Research and Development Programme BONUS+ (BEAST project) and from the Polish Ministry of Science and Higher Education. The authors thank Agnieszka Gora (NMFRI) for assistance with organic chemical analysis and Lucyna Polak-Juszczak (NMFRI) for metal analysis.</t>
  </si>
  <si>
    <t>10.1007/s11356-016-8117-8</t>
  </si>
  <si>
    <t>WOS:000397004600036</t>
  </si>
  <si>
    <t>Blaise, C; Gagné, F; Pellerin, J; Hansen, PD; Trottier, S</t>
  </si>
  <si>
    <t>Molluscan shellfish biomarker study of the Quebec, Canada, Saguenay Fjord with the soft-shell clam, Mya arenaria</t>
  </si>
  <si>
    <t>biomarkers; bivalves; Saguenay Fjord; Quebec; Canada; metals; industrial and urban pollution</t>
  </si>
  <si>
    <t>FRESH-WATER BIVALVE; METAL CONTAMINATION GRADIENT; RAINBOW-TROUT; METALLOTHIONEIN RESPONSE; VITELLOGENIN SYNTHESIS; FIELD TRANSPLANTATION; ANTIOXIDANT ENZYMES; PYGANODON GRANDIS; LIPASE ACTIVITY; DNA-DAMAGE</t>
  </si>
  <si>
    <t>A spatial and temporal survey of six sites in the Saguenay Fjord and of one adjacent site in the St. Lawrence River estuary (Quebec, Canada) was undertaken to study the possible effects of anthropogenic contaminant input on soft-shell clam (Mya arenaria) populations. Bivalve sampling sites were selected because they reflected a range of areas representative of either no known (or apparent) pollution sources or of areas potentially influenced by different gradients and types of contamination sources. The most upstream site selected in the Saguenay Fjord, nearest to a highly populated and industrialized sector, and the most downstream site, near its mouth with the St. Lawrence River estuary, spanned a distance of some 70 km and encompassed the entire intertidal area suitable for Mya arenaria habitat. To measure effects in collected animals, we used a comprehensive battery of biomarkers composed of metallothionein-like proteins (MT), 7-ethoxyresorufin O-deethylase activity (EROD), DNA damage (DID), lipid peroxidation (LPO), vitellinlike proteins (Vn), phagocytosis (PHAG), nonspecific esterase (NspE) activity, and condition factor (weight-to-length ratio of clams), Vn, PHAG, DID, and NspE biomarkers were assayed in hemolymph (or hemocytes), whereas others (MT, EROD, LPO) were determined in the digestive gland. Whole-tissue metal content was also quantified in clams collected in the spatial survey, The spatial survey conducted in June 1997 showed significant effects at all sites, and principal component analysis indicated in addition that the more important responses were linked to the MT, LPO, and NspE biomarkers, Clams collected from sites closest to the upstream reaches of the fjord generally displayed higher levels of tissue metals (cadmium, manganese), as well as greater responses of NspE activity, MT, LPO, and PHAG. Animals collected from sites influenced by municipal wastewaters had higher levels of Vn, suggesting the presence of environmental estrogens. The results of the temporal survey (six monthly samplings of clams at three sites from May through October, 1997) showed that the bivalve reproductive cycle (vitellogenesis and spawning) can modulate the expression of several biomarkers. Vn levels, for example, were positively correlated with DID and EROD and negatively correlated with MT, suggesting that reproduction can influence the susceptibility of clams to some contaminants. Discrimination analysis over the 6 months of sampling revealed that the mean value of the discriminant function changed significantly over time, suggesting important changes in the relative contribution of each biomarker. In short, this study has provided evidence that clam populations in the Saguenay Fjord are impacted by multiple sources of contamination whose effects can be modulated by reproduction. (C) 2002 Wiley Periodicals, Inc.</t>
  </si>
  <si>
    <t>Environm Canada, St Lawrence Ctr, Montreal, PQ H2Y 2E7, Canada; Univ Quebec, ISMER, Rimouski, PQ G5L 3A1, Canada; Tech Univ Berlin, FB 7, Inst Ecol Res &amp; Technol, Dept Ecotoxicol, D-10589 Berlin, Germany</t>
  </si>
  <si>
    <t>Environment &amp; Climate Change Canada; University of Quebec; Technical University of Berlin</t>
  </si>
  <si>
    <t>Environm Canada, St Lawrence Ctr, 105 McGill St, Montreal, PQ H2Y 2E7, Canada.</t>
  </si>
  <si>
    <t>10.1002/tox.10048</t>
  </si>
  <si>
    <t>WOS:000176717400004</t>
  </si>
  <si>
    <t>Giarratano, E; Trovant, B; Hernández-Moresino, RD</t>
  </si>
  <si>
    <t>Giarratano, Erica; Trovant, Berenice; Hernandez-Moresino, Rodrigo D.</t>
  </si>
  <si>
    <t>Asian clam Corbicula fluminea as potential biomonitor of microplastics and metal(oid)s in a Patagonian River</t>
  </si>
  <si>
    <t>Chubut River; Arsenic; Raman Analysis; Argentina; Invasive bivalve</t>
  </si>
  <si>
    <t>FRESH-WATER; METAL POLLUTION; HEAVY-METALS; BIVALVES; EXPOSURE; SYSTEM; IMPACT; LAKE</t>
  </si>
  <si>
    <t>This study summarizes the concentration in dry weight (dw) of several metal(oid)s (As, Cd, Cr, Cu, Mn, Ni, Pb, and Zn), as well as the abundance and characteristics of microplastics (MP) in wet weight (ww) of the soft tissues of clam Corbicula fluminea from Chubut River (Patagonia, Argentina). The contents of essential elements were in the following decreasing order: Zn &gt; Mn &gt; Cu &gt; Ni; meanwhile, non-essential elements Cd, Cr and Pb were below the detection limit ( &lt;0.5 g/g dw). A high mean concentration of As (6.1 +/- 0.3 mu g/g dw) was found, surpassing the maximum allowable limit established by the Argentine Food Code for bivalve molluscs. The number of MP ranged from 0.07 to 1.27 items/ind. and from 0.2 to 2.9 items/g ww. Fibers were the most common shape, mainly transparent. The size of MP ranged from 42 to 1917 mu m, accounting for 62 % of MP between 50 and 450 mu m. The dominant polymer was PET based on the results of Raman spectroscopy. Based on the widespread distribution of MP in the environment and the wide range of effects on organisms, it is necessary to develop long-term monitoring programs for MP contamination in different environmental matrices. Understanding the bioaccumulation of MP in bivalves is crucial to assess the potential risk to human health through consumption and to the ecosystem. We propose that the widespread Asian clam could serve as a useful biomonitor for MP and As pollution in freshwater and estuarine environments such as the Chubut River.</t>
  </si>
  <si>
    <t>[Giarratano, Erica; Hernandez-Moresino, Rodrigo D.] Ctr Estudio Sistemas Marinos CESIMAR CONICET, Blvd Brown 2915,U9120ACP, Puerto Madryn, Chubut, Argentina; [Trovant, Berenice] Inst Diversidad &amp; Evoluc Austral IDEAus CONICET, Blvd Brown 2915,U9120ACP, Puerto Madryn, Chubut, Argentina</t>
  </si>
  <si>
    <t>Giarratano, E (corresponding author), Ctr Estudio Sistemas Marinos CESIMAR CONICET, Blvd Brown 2915,U9120ACP, Puerto Madryn, Chubut, Argentina.</t>
  </si>
  <si>
    <t>giarratano@cenpat-conicet.gob.ar; trovant@cenpat-conicet.gob.ar; rodrigo@cenpat-conicet.gob.ar</t>
  </si>
  <si>
    <t>Trovant, Berenice/J-9392-2019</t>
  </si>
  <si>
    <t>Hernandez-Moresino, Rodrigo Daniel/0000-0002-2654-2372</t>
  </si>
  <si>
    <t>National Agency for Scientific and Technological Promotion (ANPCyT) [PICT2021-GRF-TI- 00506]</t>
  </si>
  <si>
    <t>National Agency for Scientific and Technological Promotion (ANPCyT)(ANPCyT)</t>
  </si>
  <si>
    <t>Funding This research was partially supported by the National Agency for Scientific and Technological Promotion (ANPCyT) (PICT2021-GRF-TI- 00506) .</t>
  </si>
  <si>
    <t>10.1016/j.marenvres.2024.106548</t>
  </si>
  <si>
    <t>TK6W1</t>
  </si>
  <si>
    <t>WOS:001241205200001</t>
  </si>
  <si>
    <t>Amiard-Triquet, C; Altmann, S; Amiard, JC; Ballan-Dufrancais, C; Baumard, P; Budzinski, H; Crouzet, C; Garrigues, P; His, E; Jeantet, AY; Menasria, R; Mora, P; Mouneyrac, C; Narbonne, JF; Pavillon, JF</t>
  </si>
  <si>
    <t>Fate and effects of micropollutants in the Gironde estuary, France: a multidisciplinary approach</t>
  </si>
  <si>
    <t>3rd International Joint Conference on Limnology and Oceanography : Oceans, Rivers and Lakes - Energy and Substance Transfers at Interfaces</t>
  </si>
  <si>
    <t>OCT, 1996</t>
  </si>
  <si>
    <t>NANTES, FRANCE</t>
  </si>
  <si>
    <t>sediment-bound pollutants; sediment toxicity tests; bioavailability; bivalves; translocation experiments; biomarkers</t>
  </si>
  <si>
    <t>SEQUENTIAL EXTRACTION PROCEDURE; CRASSOSTREA-GIGAS THUN; LIPID-PEROXIDATION; MYTILUS-GALLOPROVINCIALIS; TRACE-METALS; GLUTATHIONE; SEDIMENTS; OYSTER; WATER; ACETYLCHOLINESTERASE</t>
  </si>
  <si>
    <t>Important Cd contamination has been observed in the Gironde estuary, France, but other metallic and organic pollutants are also present. Since sediment is well-known as a major compartment for the storage of numerous pollutants in aquatic environments, its contribution as a source of pollutants for the biota has been examined according to different methodologies. Geochemical studies have provided estimates of Cd mobility particularly with decreasing pHs and increasing salinity, a result in agreement with the relative abundance of exchangeable Cd and Cd bound to carbonates shown by sequential extraction. When in vitro assays tended to be more realistic with regard to the digestion process in bivalves, Cd extraction at low pH was lowered but was still important compared to Cu or Zn. Moreover, toxicity of Gironde sediments to copepod and sea urchin larval stages (not to oyster larvae) brought indirect evidence of the bioavailability of sediment-bound pollutants. Except the aromatic compound perylene, bioaccumulation in bivalves concerns mainly metals. In oysters they were found preferentially in the soluble phase and, in the cytosol, a strong relationship between cadmium and metallothionein-like proteins has been shown, suggesting a detoxication process in this species. This hypothesis is in agreement with the fact that neither cytopathological effects in gills and digestive glands nor marked changes of condition index were observed. On the other hand, no changes in MTLP levels in mussels were induced by metal accumulation in individuals transplanted from a comparatively unpolluted area (Bay of Bourgneuf). The stability of GST activity may be related to a poor accumulation of aromatic compounds. Changes in MDA concentration, AChE and catalase activities are discussed. Mobility, bioavailability of pollutants, significant responses of biomarkers suggest a potential environmental hazard. However, since interspecific differences occur, is the risk at the level of the whole estuarine ecosystem equilibrium or is it limited to a small number of species?.</t>
  </si>
  <si>
    <t>Univ Nantes, CNRS, GDR1117 Ecotoxicol &amp; Chim Marines, F-44035 Nantes, France; Bur Rech Geol &amp; Minieres, DR PCI, Orleans, France; IFREMER, Arcachon, France</t>
  </si>
  <si>
    <t>Centre National de la Recherche Scientifique (CNRS); Nantes Universite; Bureau de Recherches Geologiques et Minieres (BRGM); Ifremer</t>
  </si>
  <si>
    <t>Univ Nantes, CNRS, GDR1117 Ecotoxicol &amp; Chim Marines, 1 Rue Gaston Veil, F-44035 Nantes, France.</t>
  </si>
  <si>
    <t>Mora, Pablo/KOD-2715-2024</t>
  </si>
  <si>
    <t>132BL</t>
  </si>
  <si>
    <t>WOS:000076609900022</t>
  </si>
  <si>
    <t>Lyons, BP; Barber, JL; Rumney, HS; Bolam, TPC; Bersuder, P; Law, RJ; Mason, C; Smith, AJ; Morris, S; Devlin, MJ; Al-Enezi, M; Massoud, MS; Al-Zaidan, AS; Al-Sarawi, HA</t>
  </si>
  <si>
    <t>Lyons, B. P.; Barber, J. L.; Rumney, H. S.; Bolam, T. P. C.; Bersuder, P.; Law, R. J.; Mason, C.; Smith, A. J.; Morris, S.; Devlin, M. J.; Al-Enezi, M.; Massoud, M. S.; Al-Zaidan, A. S.; Al-Sarawi, H. A.</t>
  </si>
  <si>
    <t>Baseline survey of marine sediments collected from the State of Kuwait: PAFIs, PCBs, brominated flame retardants and metal contamination</t>
  </si>
  <si>
    <t>Sediment contamination; Kuwait; Metals; Polycyclic aromatic hydrocarbons; Polychlorinated biphenyls; Brominated flame retardants</t>
  </si>
  <si>
    <t>POLYCYCLIC AROMATIC-HYDROCARBONS; RECEIVING INDUSTRIAL EFFLUENTS; CLAM AMIANTIS-UMBONELLA; NORTHERN ARABIAN GULF; TRACE-METALS; POLYCHLORINATED-BIPHENYLS; PETROLEUM-HYDROCARBONS; SPATIAL-DISTRIBUTION; COASTAL SEDIMENTS; SURFACE SEDIMENTS</t>
  </si>
  <si>
    <t>A geographically extensive baseline survey of sediment contamination was undertaken at twenty nine locations around Kuwait. Samples were assessed in relation to a wide range of industrial pollutants, including metals, PAHs, PCBs, PBDEs and HBCDs. The data generated indicated that levels of pollutants were generally low and below commonly applied sediment quality guidelines (SQGs). However, naturally high background concentrations of certain metals present in sediment from the region may prohibit the direct assessment against some of the routinely applied SQGs. Hot spots of contamination were identified for PAHs, PCBs and PBDEs, that were mainly associated with the Shuaiba Industrial Area, located south of the city, and known to contain a diverse mix of both light and heavy industry. Crown Copyright (C) 2015 Published by Elsevier Ltd.</t>
  </si>
  <si>
    <t>[Lyons, B. P.; Morris, S.] Cefas, Weymouth Lab, Weymouth DT4 8UB, Dorset, England; [Barber, J. L.; Rumney, H. S.; Bolam, T. P. C.; Bersuder, P.; Law, R. J.; Mason, C.; Smith, A. J.] Cefas, Lowestoft Lab, Lowestoft NR33 0HT, Suffolk, England; [Devlin, M. J.] James Cook Univ, Catchment Reef Res Grp, Trop Water, Townsville, Qld 4811, Australia; [Al-Enezi, M.; Massoud, M. S.; Al-Zaidan, A. S.; Al-Sarawi, H. A.] Kuwait Environm Publ Author, Safat 13104, Kuwait</t>
  </si>
  <si>
    <t>Centre for Environment Fisheries &amp; Aquaculture Science; Centre for Environment Fisheries &amp; Aquaculture Science; James Cook University</t>
  </si>
  <si>
    <t>Lyons, BP (corresponding author), Cefas, Weymouth Lab, Barrack Rd, Weymouth DT4 8UB, Dorset, England.</t>
  </si>
  <si>
    <t>brett.lyons@cefas.co.uk</t>
  </si>
  <si>
    <t>Devlin, Michelle/HGC-1104-2022; Smith, Andy/I-4857-2013; Alsarawi, Hanan A/JFS-3676-2023; Devlin, Michelle/M-5870-2014</t>
  </si>
  <si>
    <t>Devlin, Michelle/0000-0003-2194-2534; Smith, Andy/0000-0001-5146-1905; Lyons, Brett/0000-0003-3681-9344; Bersuder, Philippe/0000-0003-3538-7359</t>
  </si>
  <si>
    <t>Kuwait Environment Public Authority (KEPA)</t>
  </si>
  <si>
    <t>This work was funded by the Kuwait Environment Public Authority (KEPA). The authors would like to thank KEPA staff from the Water Pollution Monitoring Section with their assistance in collecting sediment samples used in this paper.</t>
  </si>
  <si>
    <t>NOV 30</t>
  </si>
  <si>
    <t>10.1016/j.marpolbul.2015.08.014</t>
  </si>
  <si>
    <t>CZ4YC</t>
  </si>
  <si>
    <t>WOS:000367108100005</t>
  </si>
  <si>
    <t>PETERSON, SM; BATLEY, GE; SCAMMELL, MS</t>
  </si>
  <si>
    <t>TETRACYCLINE IN ANTIFOULING PAINTS</t>
  </si>
  <si>
    <t>OXYTETRACYCLINE; RESIDUES; DEGRADATION; ANTIBIOTICS; PRODUCTS; SALMON; FISH</t>
  </si>
  <si>
    <t>The banning of the use of tributyltin (TBT)-based antifouling paints on boats under 25 m in length, has lead to a search for replacement biocides. A recent yachting magazine article advocated the use of capsules of the antibiotic tetracycline to be added to cheap copper-based paints. The impact of such a paint on non-target bacteria, algae and oysters was investigated. Tetracycline was found to leach rapidly from painted surfaces and degrade quickly in seawater. The concentrations released were insufficient to cause any deleterious effects on marine organisms, including those responsible for fouling boat hulls.</t>
  </si>
  <si>
    <t>UNIV SYDNEY, INST MARINE ECOL, DEPT ZOOL, SYDNEY, NSW 2005, AUSTRALIA</t>
  </si>
  <si>
    <t>CSIRO, DIV COAL &amp; ENERGY TECHNOL, CTR ADV ANALYT CHEM, PRIVATE MAIL BAG 7, MENAI, NSW 2234, AUSTRALIA.</t>
  </si>
  <si>
    <t>BATLEY, Graeme/A-4805-2008</t>
  </si>
  <si>
    <t>10.1016/0025-326X(93)90098-5</t>
  </si>
  <si>
    <t>KP020</t>
  </si>
  <si>
    <t>WOS:A1993KP02000011</t>
  </si>
  <si>
    <t>MERSCH, J; PIHAN, JC</t>
  </si>
  <si>
    <t>SIMULTANEOUS ASSESSMENT OF ENVIRONMENTAL-IMPACT ON CONDITION AND TRACE-METAL AVAILABILITY IN ZEBRA MUSSELS DREISSENA-POLYMORPHA TRANSPLANTED INTO THE WILTZ RIVER, LUXEMBOURG - COMPARISON WITH THE AQUATIC MOSS</t>
  </si>
  <si>
    <t>FRESH-WATER CLAMS; MYTILUS-EDULIS; HEAVY-METALS; CADMIUM CHLORIDE; HISTOCHEMICAL-LOCALIZATION; ELLIPTIO-COMPLANATA; REPRODUCTIVE-CYCLE; ANODONTA-ANATINA; ACCUMULATION; COPPER</t>
  </si>
  <si>
    <t>Caged freshwater mussels Dreissena polymorpha were transplanted for three months at ten sites along the Wiltz River in the North of the Grand-Duchy of Luxembourg. Three different biological parameters were employed to assess the physiological condition of the molluscs after 27, 51, 75, and 90 days of exposure: mortality, reattachment success, and dry weight. Besides the introduced zebra mussels, translocated aquatic mosses, Fontinalis antipyretica, were employed as a second trace metal indicator, though with a different experimental design. The moss tufts were replaced in toto every time the mussels were sampled in order to separately monitor temporal changes in the water metal levels. The biological responses of the mussels and trace metal accumulation in their tissues reflected the successive major anthropogenic impacts on the river. The differences observed in the biological significance of the examined condition parameters suggest the use of several descriptors in combination for an accurate in situ assessment of the biological impact of water pollution. The precise localization of metal input sources (i.e., natural Cd, Pb and industrial Cd, Cr, Cu, Sn) and the assessment of their spatial impact were particularly successful with Dreissena polymorpha. The major factor influencing metal concentrations in the molluscs was the change in dry weight. This source of variability could be eliminated by the calculation of metal body burdens. The comparison of the contamination profiles in mussels and in mosses revealed specific accumulation properties for both indicators. In particular, Cr and Sn were hardly detected in the bryophytes. The coherent data obtained for Cd, Cu, and Pb suggest that the monitoring results in translocated zebra mussels remained reliable even when severe changes in the condition of the molluscs occurred.</t>
  </si>
  <si>
    <t>10.1007/BF00210727</t>
  </si>
  <si>
    <t>LT328</t>
  </si>
  <si>
    <t>WOS:A1993LT32800008</t>
  </si>
  <si>
    <t>An overview of trace metal pollution in the coastal waters of Hong Kong</t>
  </si>
  <si>
    <t>trace metal pollution; barnacles; Perna viridis; Ulva lactuca; biomonitors</t>
  </si>
  <si>
    <t>HEAVY-METALS; TOLO HARBOR; ULVA-LACTUCA; FAR-EAST; SEDIMENTS; MUSSELS; MARINE; OYSTER; ORGANOCHLORINES; CONTAMINATION</t>
  </si>
  <si>
    <t>The state of metal pollution in Hong Kong's coastal waters has been assessed by measuring metal levels in: (i) the water column; (ii) sediments and (iii) in organisms, i.e. biomonitors. Current literature is reviewed. Data from sediment analysis have shown that metal pollution is most severe in the urban areas of Victoria Harbour, Tolo Harbour, Deep Bay and Northwestern waters. Bottom sediments in typhoon shelters are particularly heavily polluted with, for example, Cu levels from Kowloon Bay reaching 5300 mg.kg(-1) in 1995. Since 1987, levels of pollution have generally either stabilized or fallen in Deep Bay and Victoria Harbour but have increased in Inner Tolo Harbour and Northwestern waters. Many biomonitors have been used to study metal pollution in Hong Kong, the most popular of which are barnacles, mussels (in particular Perna uiridis) and algae (in particular Ulva lactuca). Biomonitoring studies generally recorded high levels of metal pollution in Victoria Harbour in the late nineteen seventies and early eighties, with increasing pollution of the semi-enclosed Tolo Harbour through the eighties and early nineties. In a recent study using barnacles, the levels of Ag, As, Cd, Cu, Hg, Pb and Zn were shown to be greatly reduced as compared to those recorded in 1986 and 1989, respectively. Levels of metal pollution in Hong Kong coastal waters may have lowered in the last 10 years. (C) 1998 Elsevier Science B.V.</t>
  </si>
  <si>
    <t>Univ Hong Kong, Swiss Inst Marine Sci, Cape Aguilar Shek O, Peoples R China; Univ Hong Kong, Dept Ecol &amp; Biodivers, Cape Aguilar Shek O, Peoples R China</t>
  </si>
  <si>
    <t>University of Hong Kong; University of Hong Kong</t>
  </si>
  <si>
    <t>Univ Hong Kong, Swiss Inst Marine Sci, Cape Aguilar Shek O, Peoples R China.</t>
  </si>
  <si>
    <t>blackmor@hkusua.hku.hk</t>
  </si>
  <si>
    <t>10.1016/S0048-9697(98)00052-7</t>
  </si>
  <si>
    <t>WOS:000074280500003</t>
  </si>
  <si>
    <t>Jebali, J; Banni, M; de Almeida, EA; Boussetta, H</t>
  </si>
  <si>
    <t>Jebali, Jamel; Banni, Mohamed; de Almeida, Eduardo Alves; Boussetta, Hamadi</t>
  </si>
  <si>
    <t>Oxidative DNA damage levels and catalase activity in the clam Ruditapes decussatus as pollution biomarkers of Tunisian marine environment</t>
  </si>
  <si>
    <t>Ruditapes decussatus; 8-oxodG; oxidative DNA damage; HPLC-EC; pollution</t>
  </si>
  <si>
    <t>CADMIUM; STRESS; 7,8-DIHYDRO-8-OXODEOXYGUANOSINE; MECHANISM; TOXICITY; PROTEINS; MUSSELS; COPPER; GILLS; GABES</t>
  </si>
  <si>
    <t>Levels of the oxidative DNA damage 7, 8-dihydro-8-oxo-2'-deoxyguanosine (8-oxodG) and catalase (CAT) activity were measured in the digestive gland and gills of clams Ruditapes decussatus, related to the presence of pollutants along Tunisian marine environment. Increased levels of CAT were observed in tissues of clams from all the sites studied, compared to control values, and elevated 8-oxodG levels were observed at specific sites. Results obtained in this work indicate that the measurement of 8-oxodG levels and CAT activity in tissues of R. decussatus is promising in pollution monitoring studies of the Tunisian marine environment.</t>
  </si>
  <si>
    <t>Ecole Super Hort &amp; Elevage, Lab Biochim &amp; Toxicol Environm, Chott Mariem 4042, Tunisia; Univ Sao Paulo, Inst Quim, Dept Bioquim, BR-05513970 Sao Paulo, Brazil</t>
  </si>
  <si>
    <t>Universidade de Sao Paulo</t>
  </si>
  <si>
    <t>Jebali, J (corresponding author), Ecole Super Hort &amp; Elevage, Lab Biochim &amp; Toxicol Environm, Chott Mariem 4042, Tunisia.</t>
  </si>
  <si>
    <t>jebali.jamel@laposte.net</t>
  </si>
  <si>
    <t>Alves de Almeida, Eduardo/B-7630-2012; Banni, Mohamed/M-2144-2014; jebali, jamel/E-4813-2013</t>
  </si>
  <si>
    <t>Alves de Almeida, Eduardo/0000-0002-4604-9104; Banni, Mohamed/0000-0001-9764-0343; jebali, jamel/0000-0003-1444-1432</t>
  </si>
  <si>
    <t>10.1007/s10661-006-9217-6</t>
  </si>
  <si>
    <t>135UM</t>
  </si>
  <si>
    <t>WOS:000244179400013</t>
  </si>
  <si>
    <t>Haidari, B; Bakhtiari, AR; Yavari, V; Kazemi, A; Shirneshan, G</t>
  </si>
  <si>
    <t>Haidari, Behnam; Bakhtiari, Alireza Riyahi; Yavari, Vhid; Kazemi, Ali; Shirneshan, Golshan</t>
  </si>
  <si>
    <t>Biomonitoring of Ni and V Contamination Using Oysters (Saccostrea cucullata) at Lengeh Port, Persian Gulf, Iran</t>
  </si>
  <si>
    <t>Minimal risk level; Organic matrix; Ostreidae; Provisional maximum tolerable daily intake</t>
  </si>
  <si>
    <t>MUSSEL PERNA-VIRIDIS; HEAVY-METAL CONCENTRATIONS; DIFFERENT SOFT-TISSUES; TRACE-METALS; COASTAL WATERS; WEST-COAST; INTERSPECIFIC VARIATION; ELEMENT CONCENTRATIONS; BIVALVE MOLLUSKS; PINCTADA-RADIATA</t>
  </si>
  <si>
    <t>Vanadium and nickel are two important indicators of oil pollution. Lengthy exposure to these elements causes serious harmful effects in human health, different harsh allergies being examples. The accumulation of two heavy metals (Ni and V) in sediment and the soft and hard tissues of Saccostrea cucullata were analyzed at three sampling sites along the coast of Lengeh Port, Persian Gulf. Results indicated at all the sampling sites; the Ni levels in soft tissues (STs) were higher than in the shells (SHs) and sediments, whereas the V levels were higher in the sediments. In addition, meaningful relationship (r = 0.65; p &lt; 0.05) was observed across Ni levels in ST of S. cucullata and sediment, while for V concentrations a strong relationship (r = 0.83; p &lt; 0.01) was found in SH of S. cucullata and sediment. This indicates that ST and SH of oyster can be considered as a biomonitoring agent for Ni and V levels, in coastal waters, respectively. The exposure of the consumer is compared directly to minimal risk level and provisional maximum tolerable daily intake. Result indicated that levels of Ni and V were within the safety limits for human consumption.</t>
  </si>
  <si>
    <t>[Haidari, Behnam] Islamic Azad Univ, Dept Environm Pollut, Sci &amp; Res Branch, Khouzestan, Iran; [Bakhtiari, Alireza Riyahi; Kazemi, Ali; Shirneshan, Golshan] Tarbiat Modares Univ, Fac Nat Resource &amp; Marine Sci, Dept Environm Sci, Noor, Mazandaran, Iran; [Yavari, Vhid] Khorramshahr Univ Marine Sci &amp; Technol, Fac Marine Nat Resources, Dept Fisheries, Khouzestan, Iran</t>
  </si>
  <si>
    <t>Islamic Azad University; Tarbiat Modares University; Khorramshahr University of Marine Science &amp; Technology</t>
  </si>
  <si>
    <t>Bakhtiari, AR (corresponding author), Tarbiat Modares Univ, Fac Nat Resource &amp; Marine Sci, Dept Environm Sci, POB 46414-356, Noor, Mazandaran, Iran.</t>
  </si>
  <si>
    <t>riahi@modares.ac.ir</t>
  </si>
  <si>
    <t>Yavari, Vahid/AAC-7829-2019; Kazemi, Ali/J-3734-2017; Riyahi Bakhtiari, Alireza/JTV-7290-2023</t>
  </si>
  <si>
    <t>(KMSU), khorramshahr university of marine Science and technology/0000-0001-8329-9690; Kazemi, Ali/0000-0003-0618-6435; Yavari, Vahid/0000-0002-0882-9759</t>
  </si>
  <si>
    <t>10.1002/clen.201100564</t>
  </si>
  <si>
    <t>075JA</t>
  </si>
  <si>
    <t>WOS:000313880000011</t>
  </si>
  <si>
    <t>Cheng, MCF; Tan, ALS; Rinaldi, A; Giacoletti, A; Sarà, G; Williams, GA</t>
  </si>
  <si>
    <t>Cheng, Martin C. F.; Tan, Alicia L. S.; Rinaldi, Alessandro; Giacoletti, Antonio; Sara, Gianluca; Williams, Gray A.</t>
  </si>
  <si>
    <t>Predicting effective aquaculture in subtropical waters: A dynamic energy budget model for the green lipped mussel, Perna viridis</t>
  </si>
  <si>
    <t>DEB model; Environmental pollution; Perna viridis; Parameterisation; Aquaculture management</t>
  </si>
  <si>
    <t>MEDITERRANEAN SEA; MYTILUS-GALLOPROVINCIALIS; CRASSOSTREA-VIRGINICA; MULTIPLE STRESSORS; COVARIATION METHOD; PHYSIOLOGICAL-RESPONSES; BRACHIDONTES-PHARAONIS; ENVIRONMENTAL-STRESS; PARAMETER-ESTIMATION; ORGANIC-MATTER</t>
  </si>
  <si>
    <t>The green lipped mussel, Perna viridis, is an important aquaculture species throughout the Indo- Pacific region where production is often impacted by environmental degradation. To predict the impacts and mitigate against environmental problems due to various kinds of anthropogenic pollution, such as heavy metals and eutrophication, on P. viridis aquaculture a Dynamic Energy Budget (DEB) model was constructed. By integrating species- specific parameters and regional- specific environmental data the DEB model determined how the life history traits of P. viridis respond to changing environmental conditions. Using various levels of basal maintenance costs and food availability to elucidate the energetic costs due to environmental pollution, the DEB model predicted that a 20% increase in basal maintenance cost due to environmental pollution such as heavy metals will result in a subsequent decrease in both lifetime reproductive output and ultimate body size of P. viridis by similar to 18% and similar to 8%, respectively. Increasing food availability can, however, mitigate the energetic constraints due to increased basal maintenance cost. The time to reach commercial size, for example, will be longer by 13% and 3% under lower and higher food availability conditions, respectively when there is a 20% increase in maintenance cost due to environmentally induced stress, which would significantly increase the operational cost of an aquaculture facility. In light of the increased importance of P. viridis as an aquaculture species, the P. viridis DEB model can, therefore, be used to illustrate the effects of varying environmental conditions on P. viridis life history traits which are relevant to the success of aquaculture facilities, and contribute towards better management of this species.</t>
  </si>
  <si>
    <t>[Cheng, Martin C. F.; Tan, Alicia L. S.; Williams, Gray A.] Univ Hong Kong, Swire Inst Marine Sci, Pokfulam Rd, Hong Kong, Hong Kong, Peoples R China; [Cheng, Martin C. F.; Tan, Alicia L. S.; Williams, Gray A.] Univ Hong Kong, Sch Biol Sci, Pokfulam Rd, Hong Kong, Hong Kong, Peoples R China; [Rinaldi, Alessandro; Giacoletti, Antonio; Sara, Gianluca] Univ Palermo, Dept Earth &amp; Marine Sci, Palermo, Italy</t>
  </si>
  <si>
    <t>University of Hong Kong; University of Hong Kong; University of Palermo</t>
  </si>
  <si>
    <t>Williams, GA (corresponding author), Univ Hong Kong, Swire Inst Marine Sci, Pokfulam Rd, Hong Kong, Hong Kong, Peoples R China.;Williams, GA (corresponding author), Univ Hong Kong, Sch Biol Sci, Pokfulam Rd, Hong Kong, Hong Kong, Peoples R China.</t>
  </si>
  <si>
    <t>hrsbwga@hku.hk</t>
  </si>
  <si>
    <t>Rinaldi, Alessandro/IUQ-1241-2023; Williams, Gray/D-3139-2009; Sara, Gianluca/AAG-7215-2020; Giacoletti, Antonio/D-8408-2017</t>
  </si>
  <si>
    <t>Rinaldi, Alessandro/0000-0002-5237-4990; Cheng, Martin C.F./0000-0002-6398-5391; Giacoletti, Antonio/0000-0002-6350-720X</t>
  </si>
  <si>
    <t>HKU; Hong Kong Government RGC GRF Grant [780913]</t>
  </si>
  <si>
    <t>HKU(University of Hong Kong); Hong Kong Government RGC GRF Grant</t>
  </si>
  <si>
    <t>MCFC and ALST were supported by HKU postgraduate studentships. This work was supported by Hong Kong Government RGC GRF Grant 780913 to GAW. Ms. Cecily Law, Charles Chui, Tak Chi Tsoi, Gabriel Lee and Mavis Law were indispensable for their help in the field and in experiment maintenance.</t>
  </si>
  <si>
    <t>10.1016/j.aquaculture.2018.04.008</t>
  </si>
  <si>
    <t>GN5RW</t>
  </si>
  <si>
    <t>WOS:000439123500090</t>
  </si>
  <si>
    <t>Zeng, Y; Li, ZT; Wang, QF; Xu, CC; Li, YQ; Tang, J</t>
  </si>
  <si>
    <t>Zeng, Yue; Li, Zhongtao; Wang, Qianfeng; Xu, Changcheng; Li, Yunqin; Tang, Jia</t>
  </si>
  <si>
    <t>Metal accumulation in Asiatic clam from the Lower Min River (China) and implications for human health</t>
  </si>
  <si>
    <t>FRONTIERS OF EARTH SCIENCE</t>
  </si>
  <si>
    <t>metal accumulation; Asiatic clam; source identifications; health risk; Min River</t>
  </si>
  <si>
    <t>CORBICULA-FLUMINEA; HEAVY-METALS; RISK-ASSESSMENT; STREET DUSTS; TRACE-METALS; CONTAMINATION; SEDIMENTS; POLLUTION; BIVALVES; ESTUARY</t>
  </si>
  <si>
    <t>Considering growing concerns regarding polluted estuaries and their adverse effects on public health, this study aimed to identify concentrations of metal (Zn, Fe, Cr, Ni, Cd, Mn, As, Cu, and Pb) in Asiatic clams sampled along the Lower Min River, China. Multivariate methods were used to identify and apportion pollution sources. Noncarcinogenic and carcinogenic health risk assessments were performed to gauge adverse consumer health effects. Results showed that Cr, Pb, and Zn concentrations were higher than the limits prescribed in Chinese government guidelines. In comparison with concentrations of selected metals in other rivers, Cr, Pb, Zn, and As concentrations in clams were generally higher. Pollution assessment using the metal pollution index showed that sampling sites surrounding developing industrial and residential areas were the most polluted. Principal component analysis indicated significant anthropogenic metal contributions in clams. Health risk assessment indicated significant risk for clam consumers along the Lower Min River in terms of hazard quotient and carcinogenic risk and, thus, clam consumption from the study area should be avoided. The present findings would help in establishing environmental monitoring plans and contribute to preserving public health as well as the development of water conservation strategies to alleviate the metal pollution.</t>
  </si>
  <si>
    <t>[Zeng, Yue; Li, Zhongtao; Wang, Qianfeng; Xu, Changcheng; Li, Yunqin; Tang, Jia] Fuzhou Univ, Coll Environm &amp; Resources, Fuzhou 350116, Fujian, Peoples R China; [Zeng, Yue; Wang, Qianfeng; Xu, Changcheng; Tang, Jia] Minist Educ China, Key Lab Spatial Data Min &amp; Informat Sharing, Fuzhou 350116, Fujian, Peoples R China; [Zeng, Yue; Wang, Qianfeng; Xu, Changcheng; Tang, Jia] Fuzhou Univ, Fujian Prov Key Lab Remote Sensing Soil Eros, Fuzhou 350116, Fujian, Peoples R China</t>
  </si>
  <si>
    <t>Wang, QF (corresponding author), Fuzhou Univ, Coll Environm &amp; Resources, Fuzhou 350116, Fujian, Peoples R China.;Wang, QF (corresponding author), Minist Educ China, Key Lab Spatial Data Min &amp; Informat Sharing, Fuzhou 350116, Fujian, Peoples R China.;Wang, QF (corresponding author), Fuzhou Univ, Fujian Prov Key Lab Remote Sensing Soil Eros, Fuzhou 350116, Fujian, Peoples R China.</t>
  </si>
  <si>
    <t>wangqianfeng@fzu.edu.cn</t>
  </si>
  <si>
    <t>Wang, Guang/JFS-8374-2023; wang, qianfeng/AAY-6922-2020; wang, qianfeng/C-2777-2014</t>
  </si>
  <si>
    <t>wang, qianfeng/0000-0002-8460-6821</t>
  </si>
  <si>
    <t>Natural Science Foundation of Fujian Province [2018J01745, 2013J01045]; China Scholarship Council [201406655031]; Science and Technology Development Foundation of Fuzhou University [2013-XQ- 19]</t>
  </si>
  <si>
    <t>Natural Science Foundation of Fujian Province(Natural Science Foundation of Fujian Province); China Scholarship Council(China Scholarship Council); Science and Technology Development Foundation of Fuzhou University</t>
  </si>
  <si>
    <t>The research was funded by the Natural Science Foundation of Fujian Province (Nos. 2018J01745 and 2013J01045), the China Scholarship Council (No. 201406655031), and the Science and Technology Development Foundation of Fuzhou University (No. 2013-XQ- 19). We would like to thank Dr. Xiaoxu Lin and Dr. Jinliang Huang for their comments and suggestions.</t>
  </si>
  <si>
    <t>2095-0195</t>
  </si>
  <si>
    <t>2095-0209</t>
  </si>
  <si>
    <t>FRONT EARTH SCI-PRC</t>
  </si>
  <si>
    <t>Front. Earth Sci.</t>
  </si>
  <si>
    <t>10.1007/s11707-018-0724-x</t>
  </si>
  <si>
    <t>HY7PQ</t>
  </si>
  <si>
    <t>WOS:000468328700010</t>
  </si>
  <si>
    <t>Cruz-Rodríguez, LA; Chu, FLE</t>
  </si>
  <si>
    <t>Heat-shock protein (HSP70) response in the eastern oyster, Crassostrea virginica, exposed to PAHs sorbed to suspended artificial clay particles and to suspended field contaminated sediments</t>
  </si>
  <si>
    <t>oysters; HSP70; suspended sediments; PAHs; bioaccumulation</t>
  </si>
  <si>
    <t>MYTILUS-EDULIS-L; PERKINSUS-MARINUS DISEASE; STRESS-PROTEIN; AROMATIC-HYDROCARBONS; MUSSEL; ACCUMULATION; EXPRESSION; INDUCTION; SUSCEPTIBILITY; TRIBUTYLTIN</t>
  </si>
  <si>
    <t>Sediments are a potentially significant source of pollutants, containing not only organic contaminants but heavy metals as well. The heat shock protein response (HSP70 family) in the eastern oyster exposed to suspended clay particles spiked with polynuclear aromatic hydrocarbons (PAHs) and to suspended field contaminated sediments (SFCS) was investigated. In experiment 1, oysters were exposed to 1.0, 1.5 or 2.0 g suspended clay particles with concentrations of 65.6, 159.0 and 242 mug PAHs per g of wet clay particles, respectively, and sampled after 40 days. Controls were exposed to 0, 1.0, 1.5, and 2.0 g suspended unspiked clay particles. In experiment 2, oysters were exposed to 0, 1.0, 1.5, and 2.0 g SFCS and the HSP70 expression was determined after 5, 10, 20 and 40 days exposure. Oysters exposed to suspended clay particles spiked with PAHs showed a significant increase in HSP70 levels, while oysters exposed to 1.0, 1.5 or 2.0 g suspended unspiked clay particles did not show changes (P = 0.78) in HSP70 levels compared to the group receiving 0 g clay particles. Exposure to the SFCS resulted in a significant increase in HSP70 as a function of exposure (P &lt; 0.001) and treatment (P = 0.006). The response, however, was not dose dependent. Compared to the control group (0 g SFCS), groups exposed to 1.0, 1.5 and 2.0 g SFCS reached significantly higher levels in HSP70 at 40 days of exposure, with those exposed to 2.0 g SFCS expressing the highest levels. The HSP70 expression for each treatment showed fluctuations at various time intervals. No mortalities were recorded during the exposure experiments. The major contaminants in the SFCS were PAHs, heavy metals and polychlorinated biphenyls (PCBs). These results reveal that exposure to PAHs sorbed to clay particles and to SFCS induced a HSP70 response in the eastern oyster. (C) 2002 Elsevier Science B.V. All rights reserved.</t>
  </si>
  <si>
    <t>Coll William &amp; Mary, Sch Marine Sci, Virginia Inst Marine Sci, Dept Environm Sci, Gloucester Point, VA 23062 USA</t>
  </si>
  <si>
    <t>Coll William &amp; Mary, Sch Marine Sci, Virginia Inst Marine Sci, Dept Environm Sci, Box 1346, Gloucester Point, VA 23062 USA.</t>
  </si>
  <si>
    <t>chu@vims.edu</t>
  </si>
  <si>
    <t>PII S0166-445X(02)00008-5</t>
  </si>
  <si>
    <t>10.1016/S0166-445X(02)00008-5</t>
  </si>
  <si>
    <t>594TZ</t>
  </si>
  <si>
    <t>WOS:000178068200001</t>
  </si>
  <si>
    <t>André, C; Auclair, J; Gagné, F</t>
  </si>
  <si>
    <t>Andre, C.; Auclair, J.; Gagne, F.</t>
  </si>
  <si>
    <t>The influence of rainfall events on the toxicity of urban wastewaters to freshwater mussels Elliptio complanata</t>
  </si>
  <si>
    <t>Municipal effluents; Rainfall overflows; Freshwater mussels; Vitellogenin; Metallothioneins; Genotoxicity; Biotransformation</t>
  </si>
  <si>
    <t>COMBINED SEWER OVERFLOWS; LONG-TERM; DNA; EFFLUENT; FEMINIZATION; DOWNSTREAM; METABOLISM; BIOMARKER; EXPOSURE; IMPACT</t>
  </si>
  <si>
    <t>The cumulative impacts of rainfall frequency and intensity towards the ecotoxicity of urban pollution is gaining more and more attention in these times of climate change. The purpose of this study was to examine the ecotoxicological impacts of combined sewers overflows and municipal effluent discharge sites during 3 periods (years) of varying intensity precipitations to freshwater mussels Elliptio complanata. Mussels were placed in benthic cages for 3 months during the summer at 2 overflow discharge and 8 km downstream sites including an upstream site for three consecutive years with low (164 mm), medium (182 mm) and high (248 mm) amounts of rain. The results revealed that the effects were mainly influenced by suspended matter loadings and to the dissolved components to a lesser extent. Impacts at the downstream and overflow sites were noticeable at the reproduction (vitellogenin), genotoxicity, neurotoxicity (dopamine and serotonin changes) levels in addition to xenobiotic biotransformation revealed by glutathione S-transferase activity and metallothioneins for organic and heavy metals respectively. The site downstream the effluent produced most of the effects compared to the overflow sites in the Saint-Lawrence River. However, the impacts of combined sewers overflows could become problematic in low dilution systems such as small river and lakes.</t>
  </si>
  <si>
    <t>[Andre, C.; Auclair, J.; Gagne, F.] Environm &amp; Climate Change Canada, Aquat Contaminants Res Div, 105 McGill, Montreal, PQ H2Y 2E7, Canada</t>
  </si>
  <si>
    <t>Gagné, F (corresponding author), Environm &amp; Climate Change Canada, Aquat Contaminants Res Div, 105 McGill, Montreal, PQ H2Y 2E7, Canada.</t>
  </si>
  <si>
    <t>Saint-Lawrence Action plan of Environment and Climate Change Canada</t>
  </si>
  <si>
    <t>This work was funded by the Saint-Lawrence Action plan of Environment and Climate Change Canada.</t>
  </si>
  <si>
    <t>10.1016/j.cbpc.2024.109842</t>
  </si>
  <si>
    <t>IP5H1</t>
  </si>
  <si>
    <t>WOS:001167541200001</t>
  </si>
  <si>
    <t>Thu, VT; Trieu, MH; An, NHT; Dat, NT; Linh, ND; Manh, NB</t>
  </si>
  <si>
    <t>Thu, Vu Thi; Trieu, Mai Hai; An, Nguyen Hoang Thuy; Dat, Nguyen Tien; Linh, Nguyen Dieu; Manh, Nguyen Ba</t>
  </si>
  <si>
    <t>Mussel-Inspired biosorbent combined with graphene oxide for removal of organic pollutants from aqueous solutions</t>
  </si>
  <si>
    <t>Nanosorbent; Methylene blue; Water remediation; Mussel -inspired surface chemistry; Graphene oxide</t>
  </si>
  <si>
    <t>RESPONSE-SURFACE METHODOLOGY; METHYLENE-BLUE; CRYSTAL VIOLET; POLYDOPAMINE; ADSORPTION; FUNCTIONALIZATION; NANOPARTICLES; ADSORBENTS; ISOTHERM; DYES</t>
  </si>
  <si>
    <t>In this work, we develop a mussel-inspired biosorbent combined with graphene oxide for removal of organic dyes in water sources. The composite was prepared via self-polymerization of dopamine in weak alkaline solution containing graphene oxide at ambient condition. Morphological and structural studies revealed that polydop-amine has gradually grown to cover the surface of graphene oxide flakes, partially reduced these flakes, and somehow form many grains (size around 20 nm) on the flakes instead of making very large aggregates as usual. The mass ratio between two components of the composite was also investigated to find the optimal one which provides enough surface area (20 m2.g- 1) and maintain adhesive sites in order to ensure high-efficiency removal of organic molecules. The adsorption kinetics and isotherms of as-prepared adsorbent towards methylene blue were found to fit well with pseudo-first order kinetics model and Langmuir isotherm. The maximum adsorption capacity (qm) and Langmuir constant (kL) were estimated to be 270 mg.g-1 and 0.49 L. mg -1. The as-prepared bio-sorbent is very promising for remediation of water sources contaminated with cationic organic molecules and heavy metal ions.</t>
  </si>
  <si>
    <t>[Thu, Vu Thi; Trieu, Mai Hai; Linh, Nguyen Dieu] Univ Sci &amp; Technol Hanoi USTH, Vietnam Acad Sci &amp; Technol VAST, 18 Hoang Quoc Viet, Hanoi, Vietnam; [An, Nguyen Hoang Thuy] Hanoi Natl Univ Educ HNUE, 144 Xuan Thuy, Hanoi, Vietnam; [Dat, Nguyen Tien] Hanoi Univ Sci &amp; Technol HUST, 1 Dai Co Viet, Hanoi, Vietnam; [Manh, Nguyen Ba] Vietnam Acad Sci &amp; Technol VAST, Inst Chem IOC, 18 Hoang Quoc Viet, Hanoi, Vietnam</t>
  </si>
  <si>
    <t>Vietnam Academy of Science &amp; Technology (VAST); University of Science &amp; Technology of Hanoi (USTH); Hanoi National University of Education; Hanoi University of Science &amp; Technology (HUST); Vietnam Academy of Science &amp; Technology (VAST)</t>
  </si>
  <si>
    <t>Thu, VT (corresponding author), Univ Sci &amp; Technol Hanoi USTH, Vietnam Acad Sci &amp; Technol VAST, 18 Hoang Quoc Viet, Hanoi, Vietnam.</t>
  </si>
  <si>
    <t>thuvu.edu86@gmail.com</t>
  </si>
  <si>
    <t>Nguyen, HuuTung/AAD-6670-2019; Nguyen, Minh-Hoang/GQO-9183-2022</t>
  </si>
  <si>
    <t>Nguyen Tien, Dat/0000-0003-4906-004X</t>
  </si>
  <si>
    <t>Vietnam National Foundation for Sci- ence and Technology Development (NAFOSTED) [103.02- 2018.360]</t>
  </si>
  <si>
    <t>Vietnam National Foundation for Sci- ence and Technology Development (NAFOSTED)(National Foundation for Science &amp; Technology Development (NAFOSTED))</t>
  </si>
  <si>
    <t>The authors declare the following financial interests/personal re- lationships which may be considered as potential competing interests: Vu Thi Thu reports financial support was provided by National Foun- dation for Science and Technology Development. This work was supported by Vietnam National Foundation for Sci- ence and Technology Development (NAFOSTED) (grant number 103.02- 2018.360) . We are also very thankful for the support from Dr. Nguyen Van Quyen and Ms Vu Minh Thu on XPS measurements.</t>
  </si>
  <si>
    <t>10.1016/j.ecoenv.2023.114793</t>
  </si>
  <si>
    <t>A9XF8</t>
  </si>
  <si>
    <t>WOS:000958566700001</t>
  </si>
  <si>
    <t>Slobodskova, VV; Zhuravel, EV; Kukla, SP; Chelomin, VP</t>
  </si>
  <si>
    <t>Slobodskova, Valentina V.; Zhuravel, Elena V.; Kukla, Sergey P.; Chelomin, Victor P.</t>
  </si>
  <si>
    <t>Evaluation of DNA Damage in the Marine Mussel Crenomytilus grayanus as a Genotoxic Biomarker of Pollution</t>
  </si>
  <si>
    <t>genotoxicity; DNA comet assay; Crenomytilus grayanus; pollution</t>
  </si>
  <si>
    <t>THE-GREAT BAY; GILL CELLS; MIZUHOPECTEN-YESSOENSIS; HEAVY-METALS; WATER; SEA; HYDROCARBONS; HEMOCYTES; SHELLFISH; CADMIUM</t>
  </si>
  <si>
    <t>Marine pollution affects all life processes in aquatic organisms. The genotoxic effect of pollution on the mussel Crenomytilus grayanus was assessed. Bivalves were collected from the clean' (Vostochnaya Cove) and polluted (Nakhodka Bay) areas in the Peter the Great Bay. The degree of DNA damage in C. grayanus was determined by alkaline comet assay as mean percentage of DNA in tail, and the genetic damage index was calculated. Our results indicate that almost one-third of DNA in cells of gills and digestive gland of C. grayanus inhabiting the Nakhodka Bay had destructive changes compared to the individuals of this species from the Vostochnaya Cove. This study has shown that chronic pollution of the aquatic environment causes destructive changes to DNA in gill and digestive gland cells of C. grayanus.</t>
  </si>
  <si>
    <t>[Slobodskova, Valentina V.; Kukla, Sergey P.; Chelomin, Victor P.] Russian Acad Sci, Far Eastern Branch, VI Ilichev Pacific Oceanol Inst, Lab Marine Ecotoxicol, Vladivostok 600041, Russia; [Zhuravel, Elena V.; Chelomin, Victor P.] Far Eastern Fed Univ, Sch Nat Sci, Vladivostok 600091, Russia</t>
  </si>
  <si>
    <t>Slobodskova, VV (corresponding author), Russian Acad Sci, Far Eastern Branch, VI Ilichev Pacific Oceanol Inst, Lab Marine Ecotoxicol, Vladivostok 600041, Russia.</t>
  </si>
  <si>
    <t>slobodskovav@gmail.com</t>
  </si>
  <si>
    <t>Chelomin, Viktor/W-3277-2017; Zhuravel, Elena/B-3514-2017</t>
  </si>
  <si>
    <t>Chelomin, Victor/0000-0002-1840-3057; Zhuravel, Elena/0009-0000-9395-330X; Slobodskova, Valentina/0000-0001-9562-7719</t>
  </si>
  <si>
    <t>10.1007/s11802-019-3573-7</t>
  </si>
  <si>
    <t>HH1ML</t>
  </si>
  <si>
    <t>WOS:000455483900015</t>
  </si>
  <si>
    <t>FAVRETTO, L; FAVRETTO, LG; CECCON, L; VOJNOVIC, D</t>
  </si>
  <si>
    <t>DIFFERENTIATION OF WILD OYSTERS FROM 3 SITES BY CHEMOMETRIC PROCEDURES</t>
  </si>
  <si>
    <t>ATOMIC ABSORPTION SPECTROMETRY; PRINCIPAL COMPONENT ANALYSIS; OYSTERS; TRACE METALS</t>
  </si>
  <si>
    <t>MULTIPLE DISCRIMINANT-ANALYSIS; PRINCIPAL COMPONENT ANALYSIS; POLLUTION SOURCES; CLASSIFICATION; NORMALITY; MUSSELS; METALS; WINES; SEA</t>
  </si>
  <si>
    <t>The total contents of twelve trace elements (Al, Cr, Mn, Fe, Co, Ni, Cu, Zn, Mo, Cd, Hg and Pb) in the whole soft part of oysters (Ostrea edulis L.) sampled at two sites of the gulf of Trieste and at one site of the Grado Lagoon (Northern Adriatic Sea) were considered. The trace elements were determined in the dissolved ash obtained from 21 samples, by electrothermal atomic absorption spectrometry; mercury was determined by cold-vapour atomic absorption spectrometry after acid digestion. Oysters from the three sites were first differentiated by using discriminant analysis. The correlation matrix around the mean was used as the starting matrix for principal component analysis; dimensions were reduced to five principal components accounting for 84% of the total variance. A two-dimensional plot of the principal component scores was only partly successful in separating the oysters from the three different sites; a three-dimensional representation was satisfactory.</t>
  </si>
  <si>
    <t>FAVRETTO, L (corresponding author), UNIV TRIESTE, DIPARTIMENTO ECON &amp; MERCEOL RISORSE NAT &amp; PROD, VIA A VALERIO 6, I-34127 TRIESTE, ITALY.</t>
  </si>
  <si>
    <t>Voinovich, Dario/0000-0003-3830-8038</t>
  </si>
  <si>
    <t>10.1016/S0003-2670(00)80868-5</t>
  </si>
  <si>
    <t>FY566</t>
  </si>
  <si>
    <t>WOS:A1991FY56600004</t>
  </si>
  <si>
    <t>Metal accumulation, growth and reproduction of razor clam Sinonovacula constricta transplanted in a multi-metal contaminated estuary</t>
  </si>
  <si>
    <t>Clams metal contamination estuary bioaccumulation reproduction</t>
  </si>
  <si>
    <t>HUDSON RIVER ESTUARY; SAN-FRANCISCO BAY; HEAVY-METALS; TRACE-METALS; SOUTH CHINA; SEDIMENT; BIOACCUMULATION; ENVIRONMENTS; POLLUTION; BIVALVE</t>
  </si>
  <si>
    <t>In recent years, elevated metal discharges have seriously affected the health of many estuarine ecosystems in China. This study examined the influences of metal pollution on the growth and reproduction of razor clam, Sinonovacula constricta. An eight-month field experiment was conducted at two sites with different contamination levels inliulong River Estuary of Southern China. Concentrations of Ag, As, Cd, Cr, Cu, Ni, Pb and Zn in seawater, suspended particles, surface sediments, and clams, as well as the clam growth and gonad condition were simultaneously determined on a monthly basis. Over the 8-month period, Ag, Cu and Ni concentrations in the clams were significantly higher at the more polluted site, whereas the concentrations of other metals were rather comparable between the two sites. Comparison of the 3-month pattern of metal concentrations among different compartments suggested that Ag, As, Cd, Cu and Zn bioaccumulation in the clams was mainly derived from ingestion of suspended particles, whereas Cr and Ni accumulation was mainly from the waterborne uptake. The growth of clams in the more polluted site was depressed and there was no significant growth after 4 months of transplantation, which was mainly caused by Cu and Ag accumulation in the clam tissues. Correspondingly, the gonad somatic index was also lower at the more polluted site. Our study demonstrated a significant impact of multi-metal pollution on the growth and reproduction of clams in an estuary. Simultaneous measurements of metal bioaccumulation were important for the interpretation of metal toxicity observed in the field. (C) 2018 Published by Elsevier B.V.</t>
  </si>
  <si>
    <t>[Ke, Yizhou; Wang, Wen-Xiong] Xiamen Univ, Coll Ocean &amp; Earth Sci, Xiamen 361102, Fujian, Peoples R China; [Ke, Yizhou; Wang, Wen-Xiong] Xiamen Univ, Ctr Marine Environm Chem &amp; Toxicol, Xiamen 361102, Fujian, Peoples R China; [Wang, Wen-Xiong] HKUST Shenzhen Res Inst, MEL, Shenzhen 518057, Peoples R China</t>
  </si>
  <si>
    <t>Xiamen University; Xiamen University; Hong Kong University of Science &amp; Technology; Shenzhen Research Institute, The Hong Kong University of Science &amp; Technology</t>
  </si>
  <si>
    <t>Wang, WX (corresponding author), HKUST Shenzhen Res Inst, MEL, Shenzhen 518057, Peoples R China.</t>
  </si>
  <si>
    <t>Natural Science Foundation of China [22777134]</t>
  </si>
  <si>
    <t>We thank the anonymous reviewers for their helpful comments on this work, which was supported by a grant from the Natural Science Foundation of China (22777134).</t>
  </si>
  <si>
    <t>10.1016/j.scitotenv.2018.04.338</t>
  </si>
  <si>
    <t>GK9TR</t>
  </si>
  <si>
    <t>WOS:000436599000080</t>
  </si>
  <si>
    <t>Uluturhan, E; Darilmaz, E; Kontas, A; Bilgin, M; Alyuruk, H; Altay, O; Sevgi, S</t>
  </si>
  <si>
    <t>Uluturhan, Esin; Darilmaz, Enis; Kontas, Aynur; Bilgin, Mustafa; Alyuruk, Hakan; Altay, Oya; Sevgi, Selin</t>
  </si>
  <si>
    <t>Seasonal variations of multi-biomarker responses to metals and pesticides pollution in M. galloprovincialis and T. decussatus from Homa Lagoon, Eastern Aegean Sea</t>
  </si>
  <si>
    <t>Mytilus galloprovincialis; Tapes decussatus; Metal; Pesticide; Biomarker; Homa Lagoon</t>
  </si>
  <si>
    <t>MUSSELS MYTILUS-GALLOPROVINCIALIS; TRACE-METALS; OXIDATIVE STRESS; ORGANOCHLORINE PESTICIDES; HEAVY-METALS; IZMIR BAY; POLYCHLORINATED-BIPHENYLS; TRANSPLANTED MUSSELS; TAPES-PHILIPPINARUM; ORGANIC POLLUTION</t>
  </si>
  <si>
    <t>Biomarkers (CAT, SOD, GPx, and AChE) were investigated in hepatopancreas and soft tissues of mussels (Mytilns galloprovincialis) and clams (Tapes decussatus) in response to metal and pesticide pollutions in Homa Lagoon. Mussel and clam samples were seasonally collected in January, May, August and November 2015. According to the results, higher metal concentrations determined in the soft tissues of both species in January. Hepatopancreas was found to accumulate higher levels of metals than soft tissue. Metal deposition potential in clams were higher than mussels. Pesticide levels were below detection limits in clams. In mussels, only 4,4'-DDE was detected in soft tissues and hepatopancreas in November. Highest AChE, CAT, SOD and GPx activities in mussels were determined in January. On the other hand, maximum AChE and CAT activities in clams were found in November. Seasonal variations of metals and biomarker levels might be related to species-specific physiology and environmental conditions.</t>
  </si>
  <si>
    <t>[Uluturhan, Esin; Darilmaz, Enis; Kontas, Aynur; Alyuruk, Hakan; Altay, Oya] Dokuz Eylul Univ, Inst Marine Sci &amp; Technol, TR-35340 Izmir, Turkey; [Bilgin, Mustafa; Sevgi, Selin] Dokuz Eylul Univ, Inst Nat &amp; Appl Sci, Tinaztepe Campus, Izmir, Turkey</t>
  </si>
  <si>
    <t>Uluturhan, E (corresponding author), Dokuz Eylul Univ, Inst Marine Sci &amp; Technol, TR-35340 Izmir, Turkey.</t>
  </si>
  <si>
    <t>SUZER, Esin/Q-1793-2019; DARILMAZ, Enis/P-2116-2019; Bilgin, Mustafa/HJH-5454-2023; Alyuruk, Hakan/L-7694-2013</t>
  </si>
  <si>
    <t>SUZER, ESIN/0000-0002-7886-922X; Bilgin, Mustafa/0000-0003-4680-5931; DARILMAZ, ENIS/0000-0002-9090-9319; Alyuruk, Hakan/0000-0001-8632-4281</t>
  </si>
  <si>
    <t>TUBITAK (The Scientific and Technological Research Council of Turkey) [114Y028]</t>
  </si>
  <si>
    <t>TUBITAK (The Scientific and Technological Research Council of Turkey)(Turkiye Bilimsel ve Teknolojik Arastirma Kurumu (TUBITAK))</t>
  </si>
  <si>
    <t>This study was funded by TUBITAK (The Scientific and Technological Research Council of Turkey, project number 114Y028). The authors greatly appreciate the contribution of staff in Homa Lagoon for their help in samplings.</t>
  </si>
  <si>
    <t>10.1016/j.marpolbul.2019.02.035</t>
  </si>
  <si>
    <t>WOS:000465509700021</t>
  </si>
  <si>
    <t>Mamede, R; Santos, A; Díaz, S; da Silva, EF; Patinha, C; Calado, R; Ricardo, F</t>
  </si>
  <si>
    <t>Mamede, Renato; Santos, Andreia; Diaz, Seila; da Silva, Eduardo Ferreira; Patinha, Carla; Calado, Ricardo; Ricardo, Fernando</t>
  </si>
  <si>
    <t>Elemental fingerprints of bivalve shells (Ruditapes decussatus and R. philippinarum) as natural tags to confirm their geographic origin and expose fraudulent trade practices</t>
  </si>
  <si>
    <t>Seafood; Bivalves; Grooved carpet shell; Manila clam; ICP-MS; Food safety</t>
  </si>
  <si>
    <t>RARE-EARTH-ELEMENTS; ESTUARY PORTUGAL; SOFT-TISSUES; SADO ESTUARY; SEDIMENTS; SEAFOOD; METALS; AUTHENTICITY; POPULATIONS; PROVENANCE</t>
  </si>
  <si>
    <t>Bivalves are some of the most valued and consumed seafood species worldwide. However, these organisms can represent a threat to consumers' health, particularly species harvested from contaminated areas (e.g., historical pollution by heavy or toxins produced by phytoplankton). The elemental composition of bivalve shells generally mirrors the geochemical conditions of the habitat where these organisms have grown. As such, in this study, the geographic origin of two economically important bivalves, the grooved carpet shell (Ruditapes decussatus) and Manila clam (R. philippinarum), sourced from several locations along the NW, W and SW Iberian coast was confirmed based on the EF of their shells. Overall, random forest analyses of EF (expressed as ratios to Ca) correctly identified the site of harvest of individuals with remarkably high success rate among locations (96.3% for R. decussatus and 98.1% for R. philippinarum). In general, the most relevant ratios for this discrimination success were the same for both species (i.e., Ba/Ca, Co/Ca, Fe/Ca and Mn/Ca). However, species-specific differences in the EF of shells could also be perceived for specimens of the two bivalve species sampled in the same location. The present findings can allow authorities to expose fraudulent practices associated with the mislabeling of geographic origin of bivalves, namely R. philippinarum, whose harvest in one of the sampled locations (Tagus estuary) is currently forbidden due to public health issues, and develop origin certification for highly valued bivalve species sourced from specific locations (such as R. decussatus from Ria Formosa).</t>
  </si>
  <si>
    <t>[Mamede, Renato; Santos, Andreia; Calado, Ricardo; Ricardo, Fernando] Univ Aveiro, CESAM Ctr Environm &amp; Marine Studies, Dept Biol, ECOMARE, Santiago Univ Campus, P-3810193 Aveiro, Portugal; [Diaz, Seila] Univ Santiago de Compostela, Dept Zool Genet &amp; Phys Anthropol, CIMUS, Genomes &amp; Dis Grp, Campus Santiago de Compostela, Santiago De Compostela 15706, Spain; [Diaz, Seila] Univ Vigo, Ctr Invest Marina, ECIMAT, Vigo 36331, Spain; [da Silva, Eduardo Ferreira; Patinha, Carla] Univ Aveiro, Dept Geosci, GEOBIOTEC, Santiago Univ Campus, P-3810193 Aveiro, Portugal</t>
  </si>
  <si>
    <t>Universidade de Aveiro; Universidade de Santiago de Compostela; Universidade de Vigo; CIM UVIGO; Universidade de Aveiro</t>
  </si>
  <si>
    <t>Mamede, R; Ricardo, F (corresponding author), Univ Aveiro, CESAM Ctr Environm &amp; Marine Studies, Dept Biol, ECOMARE, Santiago Univ Campus, P-3810193 Aveiro, Portugal.</t>
  </si>
  <si>
    <t>renatomamede@ua.pt; fafr@ua.pt</t>
  </si>
  <si>
    <t>Patinha, Carla/AAS-8699-2020; da Silva, Eduardo/AAT-5115-2020; Diaz, Seila/D-7270-2018; Mamede, Renato/R-2555-2019; Ricardo, Fernando/C-7644-2018</t>
  </si>
  <si>
    <t>Diaz, Seila/0000-0002-6607-290X; Patinha, Carla/0000-0001-6006-344X; Mamede, Renato/0000-0003-3702-5474; Ricardo, Fernando/0000-0002-2641-7897</t>
  </si>
  <si>
    <t>project TraSeafood -Tracing the geographic origin of seafood as a pathway towards the smart valorization of endogenous marine resources - FEDER, through PT2020 Partnership Agreement and Compete 2020 [PTDC/BIA-BMA/29491/2017]; national funds (OE), through FCT/MCTES; Integrated Programme SRAMP;TD Smart Valorization of Endogenous Marine Biological Resources Under a Changing Climate [Centro-01-0145-FEDER-000018]; Centro 2020 program, Portugal 2020, European Union, through the European Regional Development Fund; FCT/MEC [UIDP/50017/2020+UIDB/50017/2020]; FEDER, within the PT2020 Partnership Agreement and Compete 2020; GEOBIOTEC [UIDP/04035/2020]; project Impacto e Consolidac ao em IAMP;DT da Unidade de Investigacao Quimica Organica, Produtos Naturais e Agroalimentares emareas Agroalimentares e afins [ICT_2009_02_005_2034]; Fundação para a Ciência e a Tecnologia [PTDC/BIA-BMA/29491/2017] Funding Source: FCT</t>
  </si>
  <si>
    <t>project TraSeafood -Tracing the geographic origin of seafood as a pathway towards the smart valorization of endogenous marine resources - FEDER, through PT2020 Partnership Agreement and Compete 2020; national funds (OE), through FCT/MCTES(Fundacao para a Ciencia e a Tecnologia (FCT)); Integrated Programme SRAMP;TD Smart Valorization of Endogenous Marine Biological Resources Under a Changing Climate; Centro 2020 program, Portugal 2020, European Union, through the European Regional Development Fund; FCT/MEC(Fundacao para a Ciencia e a Tecnologia (FCT)); FEDER, within the PT2020 Partnership Agreement and Compete 2020; GEOBIOTEC; project Impacto e Consolidac ao em IAMP;DT da Unidade de Investigacao Quimica Organica, Produtos Naturais e Agroalimentares emareas Agroalimentares e afins; Fundação para a Ciência e a Tecnologia(Fundacao para a Ciencia e a Tecnologia (FCT))</t>
  </si>
  <si>
    <t>This work was financially supported by project TraSeafood -Tracing the geographic origin of seafood as a pathway towards the smart valorization of endogenous marine resources (PTDC/BIA-BMA/29491/2017), funded by FEDER, through PT2020 Partnership Agreement and Compete 2020 and by national funds (OE), through FCT/MCTES. This work was also funded by the Integrated Programme SR&amp;TD Smart Valorization of Endogenous Marine Biological Resources Under a Changing Climate (Centro-01-0145-FEDER-000018), co-funded by the Centro 2020 program, Portugal 2020, European Union, through the European Regional Development Fund. We also acknowledge FCT/MEC for the financial support to CESAM (UIDP/50017/2020+UIDB/50017/2020) through national funds and co-funding by FEDER, within the PT2020 Partnership Agreement and Compete 2020. This study was also supported by GEOBIOTEC (UIDP/04035/2020) through national funds and co-funding by FEDER, within the PT2020 Partnership Agreement and Compete 2020. We also acknowledge the project Impacto e Consolidac ao em I&amp;DT da Unidade de Investigacao Quimica Organica, Produtos Naturais e Agroalimentares emareas Agroalimentares e afins ICT_2009_02_005_2034 to finance the ICP-MS.</t>
  </si>
  <si>
    <t>10.1016/j.foodcont.2021.108785</t>
  </si>
  <si>
    <t>YH0FJ</t>
  </si>
  <si>
    <t>WOS:000742852400001</t>
  </si>
  <si>
    <t>Mohamed, AS; Bin Dajem, S; Al-Kahtani, M; Ali, SB; Alshehri, M; Shati, A; Morsy, K; Fahmy, SR</t>
  </si>
  <si>
    <t>Mohamed, Ayman S.; Bin Dajem, Saad; Al-Kahtani, Mohammed; Ali, Sara B.; Alshehri, Mohammed; Shati, Ali; Morsy, Kareem; Fahmy, Sohair R.</t>
  </si>
  <si>
    <t>Freshwater Clam as a Potential Bioindicator for Silver/Saponin Nanocomposites Toxicity</t>
  </si>
  <si>
    <t>Clam; Silver; saponin nanoparticles; Water pollution; Toxicity; Coelatura aegyptiaca; Oxidative stress</t>
  </si>
  <si>
    <t>MUSSEL MYTILUS-GALLOPROVINCIALIS; ZINC-OXIDE NANOPARTICLES; OXIDATIVE STRESS; NITRIC-OXIDE; EXPOSURE</t>
  </si>
  <si>
    <t>Despite the progress in using silver nano products in many fields, including medicine, food, and industry, their effects on the environment need more attention. Therefore, the current study aimed to assess the effect of silver/saponin nanocomposites (Ag/S NCs) for the first time on the aquatic environment by using freshwater clam, Caelatura aegyptiaca, as a fundamental bioindicator in the freshwater system. Following the preparation and characterization of Ag/S NCs by using atomic absorption spectrophotometer, UV-Vis spectrophotometer, X-ray diffraction, transmission electron microscopy, and acute toxicity study, we exposed the clam to three different doses of Ag/S NCs (12.5, 25 and 50 mg L-1) for consecutive 6 days. All Ag/S NCs concentrations caused a significant increase in malondialdehyde and nitric oxide while induced a notable decrease in glutathione and catalase levels in all studied organs. Moreover, the histological alternations were observed in gills, labial palp, and foot tissues, particularly at dose 50 mg L-1. From the results of our work, we concluded that toxicity of Ag/S NCs on freshwater clam leads to an oxidative stress response as well as histopathological changes. Besides, we assumed that Coelatura aegyptiaca could be used as a sensitive bioindicator for monitoring water pollution caused by different nanoparticles. Therefore, we do recommend performing further studies by using fresh clam to provide a better assessment for our aquatic environment to prevent water pollution locally and globally.</t>
  </si>
  <si>
    <t>[Mohamed, Ayman S.; Ali, Sara B.; Fahmy, Sohair R.] Cairo Univ, Fac Sci, Zool Dept, Giza, Egypt; [Bin Dajem, Saad; Al-Kahtani, Mohammed; Alshehri, Mohammed; Shati, Ali; Morsy, Kareem] King Khalid Univ, Fac Sci, Biol Dept, Abha, Saudi Arabia</t>
  </si>
  <si>
    <t>Egyptian Knowledge Bank (EKB); Cairo University; King Khalid University</t>
  </si>
  <si>
    <t>Mohamed, AS (corresponding author), Cairo Univ, Fac Sci, Zool Dept, Giza, Egypt.</t>
  </si>
  <si>
    <t>ayman81125@hotmail.com; malekksm764@gmail.com; ahmed_Moh14@yahoo.com; sara.bayoumi@yahoo.com; eiadelsewefy@gmail.com; krmmrs@gmail.com; kareemsaid156@yahoo.com; sohairfahmy@gmail.com</t>
  </si>
  <si>
    <t>Morsy, Kareem/O-7820-2017; Shati, Ali/J-8491-2012; Mohamed, Ayman/AGZ-7259-2022</t>
  </si>
  <si>
    <t>Mohamed, Ayman/0000-0003-3975-4355</t>
  </si>
  <si>
    <t>Deanship of Scientific Research at King Khalid University [G.R.P-19 -41]; Faculty of Science, Cairo University, Egypt</t>
  </si>
  <si>
    <t>Deanship of Scientific Research at King Khalid University; Faculty of Science, Cairo University, Egypt</t>
  </si>
  <si>
    <t>The authors extend their appreciation to the Deanship of Scientific Research at King Khalid University for funding this work through General Research Project under Grant Number (G.R.P-19 -41) and to the Faculty of Science, Cairo University, Egypt for supporting the current work.</t>
  </si>
  <si>
    <t>10.1007/s00128-020-03038-x</t>
  </si>
  <si>
    <t>PA4BU</t>
  </si>
  <si>
    <t>WOS:000587101000001</t>
  </si>
  <si>
    <t>Meksumpun, C; Meksumpun, S</t>
  </si>
  <si>
    <t>Meksumpun, Charumas; Meksumpun, Shettapong</t>
  </si>
  <si>
    <t>Integration of aquatic ecology and biological oceanographic knowledge for development of area-based eutrophication assessment criteria leading to water resource remediation and utilization management: a case study in Tha Chin, the most eutrophic river of Thailand</t>
  </si>
  <si>
    <t>ecosystem response; eutrophication; Tha Chin River and Estuary; water quality criteria; zonation management</t>
  </si>
  <si>
    <t>This research was carried out in Tha Chin Watershed in the central part of Thailand with attempts to apply multidisciplinary knowledge for understanding ecosystem structure and response to anthropogenic pollution and natural impacts leading to a proposal for an appropriate zonation management approach for sustainable utilization of the area. Water quality status of the Tha Chin River and Estuary had been determined by analyzing ecological, hydrological, and coastal oceanographic information from recent field surveys ( during March 2006 to November 2007) together with secondary data on irrigation, land utilization, and socio-economic status. Results indicated that the Tha Chin River and Estuary was eutrophic all year round. Almost 100% of the brackish to marine areas reflected strongly hypertrophic water condition during both dry and high-loading periods. High NH4+ and PO43- loads from surrounding agricultural land use, agro-industry, and community continuously flew into the aquatic environment. Deteriorated ecosystem was clearly observed by dramatically low DO levels (ca 1 mg/l) in riverine to coastal areas and Noctiluca and Ceratium red tide outbreaks occurred around tidal front closed to the estuary. Accordingly, fishery resources were significantly decreased. Some riverine benthic habitats became dominated by deposit-feeding worms e. g. Lumbriculus, Branchiura, and Tubifex, while estuarine benthic habitats reflected succession of polychaetes and small bivalves. Results on analysis on integrated ecosystem responses indicated that changing functions were significantly influenced by particulates and nutrients dynamics in the system. Based on the overall results, the Tha Chin River and Estuary should be divided into 4 zones (I: Upper freshwater zone; II: Middle freshwater zone; III Lower freshwater zone; and IV: Lowest brackish to marine zone) for further management schemes on water remediation. In this study, the importance of habitat morphology and water flow regimes was recognized. Moreover, nearshore extensive shrimp culture ponds, irrigation canals, and surrounding mangrove habitats belonging to local households seemed to act as effective natural water treatment system that can yet provide food resources in turns. These remediation-production integrated functions should be deserved depth considerations for water quality development of the Tha Chin areas.</t>
  </si>
  <si>
    <t>[Meksumpun, Charumas] Kasetsart Univ, Dept Fishery Biol, Bangkok 10900, Thailand; [Meksumpun, Shettapong] Kasetsart Univ, Dept Marine Sci, Bangkok 10900, Thailand</t>
  </si>
  <si>
    <t>Kasetsart University; Kasetsart University</t>
  </si>
  <si>
    <t>Meksumpun, C (corresponding author), Kasetsart Univ, Dept Fishery Biol, Bangkok 10900, Thailand.</t>
  </si>
  <si>
    <t>ffiscmc@ku.ac.th</t>
  </si>
  <si>
    <t>Meksumpun, Shettapong/V-9521-2019</t>
  </si>
  <si>
    <t>Meksumpum, Shettapong/0000-0001-5444-6698</t>
  </si>
  <si>
    <t>National Research Council of Thailand</t>
  </si>
  <si>
    <t>National Research Council of Thailand(National Research Council of Thailand (NRCT))</t>
  </si>
  <si>
    <t>The research was supported by National Research Council of Thailand. We gratefully acknowledge Assoc. Prof. Sangtien Ajjimangkul for her suggestion. Special thank is due to Marut Suksomjit for kind providing particulate phosphorus data. Thanks are also due to Pattrawut Thaipichitburapa, Suchitta Champa, Pattira Kasemsiri and all members of Sediment and Aquatic Environment Laboratory ( Department of Fishery Biology) and Marine Environment Laboratory ( Department of Marine Sciences) for their kind cooperation in both field surveys and laboratory analyses.</t>
  </si>
  <si>
    <t>10.2166/wst.2008.929</t>
  </si>
  <si>
    <t>387CY</t>
  </si>
  <si>
    <t>WOS:000261930500004</t>
  </si>
  <si>
    <t>Borgmann, U; Nowierski, M; Grapentine, LC; Dixon, DG</t>
  </si>
  <si>
    <t>Assessing the cause of impacts on benthic organisms near Rouyn-Noranda, Quebec</t>
  </si>
  <si>
    <t>metals; cause; bioavailability; sediment assessment; toxicity; benthic community composition; Hyalella</t>
  </si>
  <si>
    <t>HYALELLA-AZTECA; CADMIUM ACCUMULATION; CHRONIC TOXICITY; SEDIMENT; COPPER; METALS; BIOACCUMULATION; INVERTEBRATES; LAKES; ZINC</t>
  </si>
  <si>
    <t>Sediments from lakes near Rouyn-Noranda, Quebec, contain elevated concentrations of several metals, including Cd, Cu, Pb and Zn. Amphipods, fingernail clams, mayflies and tanytarsid midges were absent, and sediment toxicity was observed in chronic tests with Hyalella in sediments from Lac Dufault, the lake closest to Rouyn-Noranda. Bioaccumulation by Hyalella demonstrated elevated bioavailability of Cd, Co, Cr, Pb and Tl, but only Cd was accumulated to levels close to the toxic threshold. Copper, which is regulated by Hyalella, was not elevated in these amphipods, but it was elevated in overlying water in the toxicity tests. Toxic effects in Lac Dufault sediments are probably caused primarily by Cd, at least in amphipods, with a possible minor contribution from Cu. An integrated assessment, including sediment chemistry, benthic community composition, sediment toxicity, metal bioaccumulation in benthos, and comparison of bioaccumulation and/or overlying water concentrations with threshold effect concentrations, provides the best indication of effects and their cause. Crown Copyright (C) 2003 Published by Elsevier Ltd. All rights reserved.</t>
  </si>
  <si>
    <t>Environm Canada, Natl Water Res Inst, Burlington, ON L7R 4A6, Canada; Univ Waterloo, Dept Biol, Waterloo, ON N2L 3G1, Canada</t>
  </si>
  <si>
    <t>Environment &amp; Climate Change Canada; National Water Research Institute; University of Waterloo</t>
  </si>
  <si>
    <t>Borgmann, U (corresponding author), Environm Canada, Natl Water Res Inst, 867 Lakeshore Rd,POB 5050, Burlington, ON L7R 4A6, Canada.</t>
  </si>
  <si>
    <t>uwe.borgmann@ec.ga.ca</t>
  </si>
  <si>
    <t>10.1016/j.envpol.2003.09.023</t>
  </si>
  <si>
    <t>803RQ</t>
  </si>
  <si>
    <t>WOS:000220248600006</t>
  </si>
  <si>
    <t>Laska, D; Vahey, G; Faith, T; Vena, J; Williams, EM</t>
  </si>
  <si>
    <t>Laska, Deborah; Vahey, Grace; Faith, Trevor; Vena, John; Williams, Edith M.</t>
  </si>
  <si>
    <t>Seafood consumption habits of South Carolina shrimp baiters</t>
  </si>
  <si>
    <t>METAL POLLUTION; HEAVY-METALS; FISH; MERCURY; HUMANS; RIVER; RISK</t>
  </si>
  <si>
    <t>Shrimp baiting is a fishing technique used by many South Carolinians and has been regulated in the state since the late 1980s. A postcard survey was developed and included with 400 South Carolina Department of Natural Resources (SCDNR) annual surveys of registered shrimp baiters over a two-year period. The survey contained questions concerning frequency, portion size, baiting locations, and preparation techniques for shrimp as well as other species consumed and demographic information. An overall response rate of 37% was received. The majority of respondents were men over the age of 55 years. Charleston and Beaufort counties were the most common locations for shrimp baiting. Almost half (45.9%) of respondents reported eating locally caught shrimp at least 2-3 times per month. The most common portion size was 1/2 pound (8 oz. or 277 g), with 44.8% of respondents reporting this as their typical amount of shrimp ingested at one meal. Only 3.7% of respondents reported typically eating the whole shrimp, while all other respondents ingested shrimp with the head removed. The most commonly consumed species besides shrimp were blue crab, oysters, and flounder. According to the US Food and Drug Administration mercury (Hg) guidelines, the majority (97%) of our respondents were not at risk for consuming unsafe levels of Hg from locally caught shrimp. However, this does not take into account other local seafood eaten or other contaminants of concern. These consumption results may be used in conjunction with data on contaminant levels in shrimp to determine potential adverse health risks associated with consumption of locally caught shrimp.</t>
  </si>
  <si>
    <t>[Laska, Deborah] NOAA, Natl Ocean Serv, Ctr Coastal Environm Hlth &amp; Biomol Res, Charleston, SC USA; [Vahey, Grace; Faith, Trevor; Vena, John; Williams, Edith M.] Med Univ South Carolina, Dept Publ Hlth Sci, 135 Cannon St, Charleston, SC 29425 USA</t>
  </si>
  <si>
    <t>National Oceanic Atmospheric Admin (NOAA) - USA; National Ocean Service, NOAA; Medical University of South Carolina</t>
  </si>
  <si>
    <t>Williams, EM (corresponding author), Med Univ South Carolina, Dept Publ Hlth Sci, 135 Cannon St, Charleston, SC 29425 USA.</t>
  </si>
  <si>
    <t>wiled@musc.edu</t>
  </si>
  <si>
    <t>USC Environmental Research Incentive Grants Program; Vena (PI) 2/1/05-8/1/06 NIEHS Super Fund Basic Research Program [2/1/05-8/1/06]; Center Grants Competition: Community and Environmental Health Risks Associated with Superfund Sites in Southeastern Coastal Systems [22000-036]</t>
  </si>
  <si>
    <t>USC Environmental Research Incentive Grants Program; Vena (PI) 2/1/05-8/1/06 NIEHS Super Fund Basic Research Program; Center Grants Competition: Community and Environmental Health Risks Associated with Superfund Sites in Southeastern Coastal Systems</t>
  </si>
  <si>
    <t>This project was funded by the USC Environmental Research Incentive Grants Program, Vena (PI) 2/1/05-8/1/06 NIEHS Super Fund Basic Research Program, Center Grants Competition: Community and Environmental Health Risks Associated with Superfund Sites in Southeastern Coastal Systems [grant number 22000-036].</t>
  </si>
  <si>
    <t>10.1080/15287394.2016.1261747</t>
  </si>
  <si>
    <t>EO6GH</t>
  </si>
  <si>
    <t>WOS:000396789600005</t>
  </si>
  <si>
    <t>Maggi, C; Berducci, MT; Di Lorenzo, B; Dattolo, M; Cozzolino, A; Mariotti, S; Fabrizi, V; Spaziani, R; Lamberti, CV</t>
  </si>
  <si>
    <t>Maggi, Chiara; Berducci, Maria Teresa; Di Lorenzo, Bianca; Dattolo, Manuela; Cozzolino, Antonella; Mariotti, Silvia; Fabrizi, Valerio; Spaziani, Roberta; Lamberti, Claudia Virno</t>
  </si>
  <si>
    <t>Temporal evolution of the environmental quality of the Vallona Lagoon (Northern Mediterranean, Adriatic Sea)</t>
  </si>
  <si>
    <t>Metals; Sediment; Biota; Environmental; Quality Standard; Vallona lagoon</t>
  </si>
  <si>
    <t>TRACE-METALS CONTAMINATION; HEAVY-METALS; VENICE LAGOON; TRANSITIONAL WATERS; MARINE-ENVIRONMENT; PIALASSA-BAIONA; MUSSEL-WATCH; SEDIMENTS; NORTHWESTERN; COAST</t>
  </si>
  <si>
    <t>Guidance Document 25/2010, suggests sediment and biota are the most suitable matrices for the trend monitoring purpose, because they integrate the pollution over time and space. So, from 2005 to 2014, the sediment and biota concentrations of heavy metals (As, Cd, Cr, Hg, Ni, Pb) were analysed in the Vallona Lagoon (northern Adriatic Sea, Italy), widely used for intensive and extensive bivalve farming. The contamination levels in sediment and biota were compared with Environmental Quality Standard (EQS) and threshold levels (TL) for human health. The results identified critical issues related to Cd in sediment samples as well as to Hg and Pb in biota which were not only ascribable to the physiological and seasonal variability of organisms. The Cr and Ni levels in sediment were higher than the EQS. However, the concentration increases at biota stations close to sites where EQS excesses were observed in sediment were not verified.</t>
  </si>
  <si>
    <t>[Maggi, Chiara; Berducci, Maria Teresa; Di Lorenzo, Bianca; Dattolo, Manuela; Cozzolino, Antonella; Mariotti, Silvia; Fabrizi, Valerio; Spaziani, Roberta; Lamberti, Claudia Virno] Italian Natl Inst Environm Protect &amp; Res, Rome, Italy</t>
  </si>
  <si>
    <t>Italian Institute for Environmental Protection &amp; Research (ISPRA)</t>
  </si>
  <si>
    <t>Berducci, MT (corresponding author), Italian Natl Inst Environm Protect &amp; Res, Rome, Italy.</t>
  </si>
  <si>
    <t>mariateresa.berducci@isprambiente.it</t>
  </si>
  <si>
    <t>10.1016/j.marpolbul.2017.07.046</t>
  </si>
  <si>
    <t>WOS:000418727000019</t>
  </si>
  <si>
    <t>Riba, I; Conradi, M; Forja, JM; DelValls, TA</t>
  </si>
  <si>
    <t>Sediment quality in the Guadalquivir estuary: lethal effects associated with the Aznalcollar mining spill</t>
  </si>
  <si>
    <t>sediment contamination; Aznalcollar mining spill; lethal effects; amphipod test; clam bioassay; heavy metals</t>
  </si>
  <si>
    <t>MARINE-SEDIMENTS; SW SPAIN; MULTIVARIATE-ANALYSIS; LABORATORY TESTS; HEAVY-METALS; CONTAMINATION; TOXICITY; ABUNDANCE; IMPACT</t>
  </si>
  <si>
    <t>Monitoring from 1998 to 2001 has assessed the impact of the Aznalcollar mining spill on the sediment quality in the Guadalquivir estuary. Chemical analysis has been completed with biological effects measured in different organisms. The toxicity of sediments obtained from dilutions of toxic mud and from environmental stations affected by the accidental spill was tested using the amphipod Ampelisca brevicornis and the clam Scrobicularia plana. The results obtained show that amphipods are more sensitive to the accidental spill than the clams. A dilution of clean sediment by more than 1.8% of toxic mud produced 100% mortality of amphipods. In GR2 station is detected toxicity to amphipods but not to clams. The rest of the environmental stations show no toxicity. Toxicity to amphipods in GR2 station decreased along time (from 50% to 60% of mortality in 1998 to 10 to 15% in 2001) and it can be associated with a recovery of the areas impacted by the accidental spill. (C) 2003 Elsevier Ltd. All rights reserved.</t>
  </si>
  <si>
    <t>Univ Cadiz, Fac Ciencias Mar, Dpto Quim Fis, Cadiz 11510, Spain; Univ Sevilla, Fac Biol, Dpto Biol Anim, E-41012 Seville, Spain</t>
  </si>
  <si>
    <t>Universidad de Cadiz; University of Sevilla</t>
  </si>
  <si>
    <t>; Conradi Barrena, Mercedes/L-3207-2017; Del Valls, T. Angel/K-9664-2014</t>
  </si>
  <si>
    <t>Forja Pajares, Jesus/0000-0003-3780-059X; Conradi Barrena, Mercedes/0000-0001-9458-303X; Del Valls, T. Angel/0000-0001-7674-9278</t>
  </si>
  <si>
    <t>10.1016/S0025-326X(03)00391-6</t>
  </si>
  <si>
    <t>WOS:000188642800027</t>
  </si>
  <si>
    <t>Chahouri, A; Yacoubi, B; Moukrim, A; Banaoui, A</t>
  </si>
  <si>
    <t>Chahouri, Abir; Yacoubi, Bouchra; Moukrim, Abdellatif; Banaoui, Ali</t>
  </si>
  <si>
    <t>Bivalve molluscs as bioindicators of multiple stressors in the marine environment: Recent advances</t>
  </si>
  <si>
    <t>Biomarkers; Bivalves; Marine ecosystems; Pollutants</t>
  </si>
  <si>
    <t>GLUTATHIONE-S-TRANSFERASE; MUSSELS MYTILUS-EDULIS; INTEGRATED BIOMARKER RESPONSE; CLAMS RUDITAPES-DECUSSATUS; ECOLOGICAL RISK-ASSESSMENT; INDUCED OXIDATIVE STRESS; FRESH-WATER MUSSEL; ANTIOXIDANT ENZYMES; LIPID-PEROXIDATION; DIGESTIVE GLAND</t>
  </si>
  <si>
    <t>Ecosystems around the world are facing challenging issue in pollution management and ocean services for the coastal community. Population growth in coastal areas, coupled with increasing pollution rates, pollutant diversity, and declining natural resources due to overfishing and overexploitation, are among the major concerns of central and local governments. This dramatic increase makes pollutant management difficult and inadequate, leading to environmental dispersion. To fully understand the current state of these ecosystems, bivalves are among the most widely used species to identify and quantify coastal pollution levels. Their sessile, burrowing and filter-feeding lifestyle expose them to a full range of pollutants including metals, persistent organic pollutants, pathogens, plastics, and environmental changes induced by anthropogenic activities. Integration of different types of biomarkers is recommended for a better characterization of coastal ecosystem as well as to target all levels to overcome possible variations according to natural factors. Therefore, this study provide a baseline data for a better understanding of various pollutants' effects in aquatic environment, which will strengthen the pollution management by bivalve species at the domestic, municipal, and ecosystem levels.</t>
  </si>
  <si>
    <t>[Chahouri, Abir; Yacoubi, Bouchra; Banaoui, Ali] Ibn Zohr Univ, Fac Sci Agadir, Dept Biol, Aquat Syst Lab Marine &amp; Continental Environm, Agadir, Morocco; [Moukrim, Abdellatif] Hassan I Univ, Settat, Morocco</t>
  </si>
  <si>
    <t>10.1016/j.csr.2023.105056</t>
  </si>
  <si>
    <t>M1EQ6</t>
  </si>
  <si>
    <t>WOS:001027655600001</t>
  </si>
  <si>
    <t>Wang, Y; Zhang, Y; Hou, C; Liu, MZ</t>
  </si>
  <si>
    <t>Wang, Yang; Zhang, Yun; Hou, Chen; Liu, Mingzhu</t>
  </si>
  <si>
    <t>Mussel-inspired synthesis of magnetic polydopamine-chitosan nanoparticles as biosorbent for dyes and metals removal</t>
  </si>
  <si>
    <t>JOURNAL OF THE TAIWAN INSTITUTE OF CHEMICAL ENGINEERS</t>
  </si>
  <si>
    <t>Biosorbent; Chitosan; Polydopamine; Adsorption; Multiple pollutants</t>
  </si>
  <si>
    <t>AQUEOUS-SOLUTIONS; NI(II) IONS; ADSORPTION; CU(II); HG(II); CD(II); EQUILIBRIUM; RECOVERY; SURFACE; ZN(II)</t>
  </si>
  <si>
    <t>A novel magnetic polydopamine (PDA) and chitosan (CS) hybrid nano-biosorbent was fabricated by assembling biomimetic polymer (PDA) and CS onto magnetic nanoparticles (NPs). The resulting PDA/CS/Fe3O4 nano-absorbent was characterized by means of the Fourier transform infrared spectra (FTIR), transmission electron microscope (TEM), elemental analysis, vibrating sample magnetometer (VSM), and X-ray photoelectron (XPS). Based on the high surface area of nanoparticles and high-level active sites from polydopamine and chitosan, a multiple interactions to absorb pollutants with of resulted biosorbent can be anticipated. Demonstrated by batch tests, the nano-absorbent showed highly effective adsorption ability for target heavy metals and dyes, the maximum adsorption capacity was up to 245.6 mg g(-1), 47 mg g(-1), 151.6 mg g(-1), 204 mg g(-1) and 61 mg g(-1) and the removal percentage reached 98.4%, 92%, 95.8%, 96.9% and 92.5% for Hg(II), Pb(II), Cr(VI), Methylene blue and malachite green, respectively. Consequently, PDA/CS/Fe3O4 with excellent absorbability, stability and reusability could be used as a promising adsorbent for removal multiple pollutants in wastewaters. (C) 2016 Taiwan Institute of Chemical Engineers. Published by Elsevier B.V. All rights reserved.</t>
  </si>
  <si>
    <t>[Wang, Yang; Zhang, Yun; Hou, Chen; Liu, Mingzhu] Lanzhou Univ, Key Lab Nonferrous Met Chem &amp; Resources Utilizat, Inst Biochem Engn &amp; Environm Technol,Coll Resourc, State Key Lab Appl Organ Chem,Coll Chem &amp; Chem En, Lanzhou 730000, Peoples R China</t>
  </si>
  <si>
    <t>Lanzhou University</t>
  </si>
  <si>
    <t>Zhang, Y; Liu, MZ (corresponding author), Lanzhou Univ, Key Lab Nonferrous Met Chem &amp; Resources Utilizat, Inst Biochem Engn &amp; Environm Technol,Coll Resourc, State Key Lab Appl Organ Chem,Coll Chem &amp; Chem En, Lanzhou 730000, Peoples R China.</t>
  </si>
  <si>
    <t>zhangyun@lzu.edu.cn; mzliu@lzu.edu.cn</t>
  </si>
  <si>
    <t>MINGZHU, LIU/AHH-2010-2022; Wang, Yang/S-8821-2019; zhang, Yun/P-5873-2018</t>
  </si>
  <si>
    <t>zhang, yun/0000-0003-2165-3708</t>
  </si>
  <si>
    <t>National Natural Science Foundation of China [21304040]; Natural Science Foundation of Gansu Province [1308RJYA027]; Chinese Postdoctoral Funds [2013M532090]</t>
  </si>
  <si>
    <t>National Natural Science Foundation of China(National Natural Science Foundation of China (NSFC)); Natural Science Foundation of Gansu Province; Chinese Postdoctoral Funds</t>
  </si>
  <si>
    <t>The authors gratefully acknowledge financial supports from the National Natural Science Foundation of China (No. 21304040), Natural Science Foundation of Gansu Province (1308RJYA027) and Chinese Postdoctoral Funds (2013M532090). This paper is dedicated to memory of Prof. Yanfeng Li, who passed away recently.</t>
  </si>
  <si>
    <t>1876-1070</t>
  </si>
  <si>
    <t>1876-1089</t>
  </si>
  <si>
    <t>J TAIWAN INST CHEM E</t>
  </si>
  <si>
    <t>J. Taiwan Inst. Chem. Eng.</t>
  </si>
  <si>
    <t>10.1016/j.jtice.2016.01.008</t>
  </si>
  <si>
    <t>DI3RY</t>
  </si>
  <si>
    <t>WOS:000373417400035</t>
  </si>
  <si>
    <t>Gallmetzer, I; Haselmair, A; Tomasovych, A; Mautner, AK; Schnedl, SM; Cassin, D; Zonta, R; Zuschin, M</t>
  </si>
  <si>
    <t>Gallmetzer, Ivo; Haselmair, Alexandra; Tomasovych, Adam; Mautner, Anna-Katharina; Schnedl, Sara-Maria; Cassin, Daniele; Zonta, Roberto; Zuschin, Martin</t>
  </si>
  <si>
    <t>TRACING ORIGIN AND COLLAPSE OF HOLOCENE BENTHIC BASELINE COMMUNITIES IN THE NORTHERN ADRIATIC SEA</t>
  </si>
  <si>
    <t>PALAIOS</t>
  </si>
  <si>
    <t>LEVEL RISE; SEDIMENT ACCUMULATION; MEDITERRANEAN SEA; TRANSGRESSIVE DEPOSITS; MOLLUSCAN ASSEMBLAGES; ENVIRONMENTAL-CHANGES; DEATH ASSEMBLAGES; ORGANIC-MATTER; COASTAL-PLAIN; SHELL BEDS</t>
  </si>
  <si>
    <t>The shallow northern Adriatic Sea has a long history of anthropogenic impacts that reaches back many centuries. While the effects of eutrophication, overfishing, pollution, and trawling over recent decades have been extensively studied, the major ecological turnovers during the Holocene as a whole remain poorly explored. In this study, we reconstruct ecological baselines defining benthic ecosystem composition prior to major anthropogenic changes at four stations characterized by low sedimentation and millennial-scale time averaging of molluscan assemblages. We discriminate between natural and anthropogenic drivers based on (1) stratigraphic changes in the composition of molluscan communities observed in sediment cores and (2) changes in concentrations of heavy metals, pollutants, and organic enrichment. The four 1.5-m long sediment cores reach back to the Pleistocene-Holocene boundary, allowing for a stratigraphic distinction of the major sea-level phases of the Holocene. During the transgressive phase and maximum flooding, sea-level and establishment of the modern circulation pattern determined the development of benthic communities in shallow-water, vegetated habitats with epifaunal biostromes and, in deeper waters, with bryozoan meadows. After sea-level stabilization, the composition of these baseline communities remained relatively uniform and started to change markedly only with the intensification of human impacts in the late highstand, leading to a dominance of infauna and a decline of epifauna at all sites. This profound ecological change reduced species richness, increased the abundance of infaunal suspension feeders, and led to a decline of grazers and deposit feeders. We suggest that modern soft-bottom benthic communities in the northern Adriatic Sea today do not show the high geographic heterogeneity in composition characteristic of benthos prior to anthropogenic influences.</t>
  </si>
  <si>
    <t>[Gallmetzer, Ivo; Haselmair, Alexandra; Mautner, Anna-Katharina; Schnedl, Sara-Maria; Zuschin, Martin] Univ Vienna, Dept Paleontol, Althanstr 14, A-1090 Vienna, Austria; [Tomasovych, Adam] Slovak Acad Sci, Earth Sci Inst, Dubravska Cesta 9, Bratislava 84005, Slovakia; [Cassin, Daniele; Zonta, Roberto] CNR, Ist Sci Marine, Castello 2737-F, I-30122 Venice, Italy</t>
  </si>
  <si>
    <t>University of Vienna; Slovak Academy of Sciences; Earth Science Institute, SAS; Consiglio Nazionale delle Ricerche (CNR); Istituto di Scienze Marine (ISMAR-CNR)</t>
  </si>
  <si>
    <t>Gallmetzer, I (corresponding author), Univ Vienna, Dept Paleontol, Althanstr 14, A-1090 Vienna, Austria.</t>
  </si>
  <si>
    <t>ivo.gallmetzer@univie.ac.at</t>
  </si>
  <si>
    <t>Tomasovych, Adam/C-9623-2010; Zuschin, Martin/M-9951-2016</t>
  </si>
  <si>
    <t>Tomasovych, Adam/0000-0002-0471-9480; Zuschin, Martin/0000-0002-5235-0198</t>
  </si>
  <si>
    <t>Slovak Research and Development Agency [APVV 17-0155]; Slovak Scientific Grant Agency [VEGA 0169/19]; Austrian Science Fund (FWF) [P24901]</t>
  </si>
  <si>
    <t>Slovak Research and Development Agency(Slovak Research and Development Agency); Slovak Scientific Grant Agency(Vedecka grantova agentura MSVVaS SR a SAV (VEGA)); Austrian Science Fund (FWF)(Austrian Science Fund (FWF))</t>
  </si>
  <si>
    <t>Many thanks to the captain of the coring vessel, Jernej Sedmak, for his tireless commitment during the coring campaign in summer 2013. We thank Christa Hermann and Assistant Professor Dr. Robert Peticzka (Laboratory of Physical Geography, University of Vienna) for their help with grain size analysis, and Graham Oliver for his assistance with the identification of bivalves. We thank Thomas Olszewski and two anonymous reviewers for their helpful comments on the manuscript. Adam Tomasovych was supported by the Slovak Research and Development Agency (APVV 17-0155) and by the Slovak Scientific Grant Agency (VEGA 0169/19). This work was funded by the Austrian Science Fund (FWF): P24901.</t>
  </si>
  <si>
    <t>SEPM-SOC SEDIMENTARY GEOLOGY</t>
  </si>
  <si>
    <t>TULSA</t>
  </si>
  <si>
    <t>6128 EAST 38TH ST, STE 308, TULSA, OK 74135-5814 USA</t>
  </si>
  <si>
    <t>0883-1351</t>
  </si>
  <si>
    <t>1938-5323</t>
  </si>
  <si>
    <t>Palaios</t>
  </si>
  <si>
    <t>10.2110/palo.2018.068</t>
  </si>
  <si>
    <t>Geology; Paleontology</t>
  </si>
  <si>
    <t>HR0VD</t>
  </si>
  <si>
    <t>WOS:000462846100001</t>
  </si>
  <si>
    <t>Adams, SM; Shorey, CD</t>
  </si>
  <si>
    <t>Energy dispersive spectroscopy of granular concretions in the mantle of the freshwater mussel Hyridella depressa from Lake Burragorang as a technique to monitor metals in aquatic systems</t>
  </si>
  <si>
    <t>freshwater; mussels; granules; XRMA; bioindicator; metals</t>
  </si>
  <si>
    <t>WATER MUSSELS; RAPID ASSESSMENT; AUSTRALIA; CADMIUM; RIVER; MACROINVERTEBRATES; INDICATOR; MOLLUSKS; TISSUES; QUALITY</t>
  </si>
  <si>
    <t>Concerns for river health and water quality have led to aquatic organisms being used as bioindicators of these resources. X-Ray microanalysis with Energy Dispersive Spectroscopy was utilised to analyse the metal-ion content of granular concretions in the mantle of the Australian freshwater mussel Hyridella depressa from an uncontaminated water storage, Lake Burragorang. This study established a baseline level of potential contaminants for future work using mussels as bioindicators of metal pollution. Eleven elements were analysed: Cu, Zn, Pb, Al, Mg, P, Ca, Mn, S, Ba and Fe. Analysis of data from five sites in the lake determined that Lake Burragorang could be used as a baseline reference site which would allow replication. (C) 1998 Elsevier Science B.V. All rights reserved.</t>
  </si>
  <si>
    <t>Univ Sydney, Dept Anat &amp; Histol, Sydney, NSW 2006, Australia</t>
  </si>
  <si>
    <t>Adams, SM (corresponding author), Univ Sydney, Dept Anat &amp; Histol, Sydney, NSW 2006, Australia.</t>
  </si>
  <si>
    <t>10.1016/S0166-445X(98)00068-X</t>
  </si>
  <si>
    <t>153UD</t>
  </si>
  <si>
    <t>WOS:000077850300007</t>
  </si>
  <si>
    <t>GARDNER, GR; YEVICH, PP; HARSHBARGER, JC; MALCOLM, AR</t>
  </si>
  <si>
    <t>CARCINOGENICITY OF BLACK ROCK HARBOR SEDIMENT TO THE EASTERN OYSTER AND TROPHIC TRANSFER OF BLACK ROCK HARBOR CARCINOGENS FROM THE BLUE MUSSEL TO THE WINTER FLOUNDER</t>
  </si>
  <si>
    <t>METABOLIC COOPERATION; BACTERIAL MUTAGENS; BIVALVE MOLLUSKS; AQUATIC ANIMALS; AROMATIC-AMINES; ACTIVATION; POLLUTANTS; DISEASES; LIVER</t>
  </si>
  <si>
    <t>The eastern oyster (Crassostrea virginica) developed neoplastic disorders when experimentally exposed both in the laboratory and field to chemically contaminated sediment from Black Rock Harbor (BRH), Bridgeport, Connecticut. Neoplasia was observed in oysters after 30 and 60 days of continuous exposure in a laboratory flow-through system to a 20 mg/L suspension of BRH sediment plus postexposure periods of 0, 30, or 60 days. Composite tumor incidence was 13.6% (49 neoplasms in 40, n = 295) for both exposures. Tumor occurrence was highest in the renal excretory epithelium, followed in order by gill, gonad, gastrointestinal, heart, and embryonic neural tissue. Regression of experimental neoplasia was not observed when the stimulus was discontinued. In field experiments, gill neoplasms developed in oysters deployed in cages for 30 days at BRH and 36 days at a BRH dredge material disposal area in Central Long Island Sound, and kidney and gastrointestinal neoplasms developed in caged oysters deployed 40 days in Quincy Bay, Boston Harbor. Oysters exposed to BRH sediment in the laboratory and in the field accumulated high concentrations of polychlorinated biphenyls (PCBs), polyaromatic hydrocarbons (PAHs), and chlorinated pesticides. Chemical analyses demonstrated high concentrations of PCBs, PAHs, chlorinated pesticides, and heavy metals in BRH sediment. Known genotoxic carcinogens, cocarcinogens, and tumor promoters were present as contaminants. The uptake of parent PAH and PCBs from BRH sediment observed in oysters also occurs in blue mussels (Mytilus edulis). Winter flounder fed BRH-contaminated blue mussels contained xenobiotic chemicals analyzed in mussels. The flounder developed renal and pancreatic neoplasms and hepatotoxic neoplastic precursor lesions, demonstrating trophic transfer of sediment-bound carcinogens up the food chain.</t>
  </si>
  <si>
    <t>NATL MUSEUM NAT HIST, REGISTRY TUMORS LOWER ANIM, WASHINGTON, DC 20560 USA</t>
  </si>
  <si>
    <t>Smithsonian Institution; Smithsonian National Museum of Natural History</t>
  </si>
  <si>
    <t>NCI NIH HHS [N01-CP-61063] Funding Source: Medline; PHS HHS [MW-75-930029] Funding Source: Medline</t>
  </si>
  <si>
    <t>NCI NIH HHS(United States Department of Health &amp; Human ServicesNational Institutes of Health (NIH) - USANIH National Cancer Institute (NCI)); PHS HHS(United States Department of Health &amp; Human ServicesUnited States Public Health Service)</t>
  </si>
  <si>
    <t>10.2307/3430845</t>
  </si>
  <si>
    <t>FD603</t>
  </si>
  <si>
    <t>WOS:A1991FD60300008</t>
  </si>
  <si>
    <t>Bertucci, A; Pierron, F; Thébault, J; Klopp, C; Bellec, J; Gonzalez, P; Baudrimont, M</t>
  </si>
  <si>
    <t>Bertucci, Anthony; Pierron, Fabien; Thebault, Julien; Klopp, Christophe; Bellec, Julie; Gonzalez, Patrice; Baudrimont, Magalie</t>
  </si>
  <si>
    <t>Transcriptomic responses of the endangered freshwater mussel Margaritifera margaritifera to trace metal contamination in the Dronne River, France</t>
  </si>
  <si>
    <t>Freshwater mussel; Transcriptomics; RNA sequencing; Metal pollution; Sclerochronology; Margaritifera margaritifera; In situ study</t>
  </si>
  <si>
    <t>OYSTER CRASSOSTREA-GIGAS; GENE-EXPRESSION; TRANSPOSABLE ELEMENTS; CONSERVATION GENETICS; STRESS; PROTEIN; COPPER; POLLUTION; EXPOSURE; CADMIUM</t>
  </si>
  <si>
    <t>The freshwater pearl mussel Margaritifera margaritifera is one of the most threatened freshwater bivalves worldwide. In this study, we aimed (i) to study the processes by which water quality might affect freshwater mussels in situ and (ii) to provide insights into the ecotoxicological significance of water pollution to natural populations in order to provide necessary information to enhance conservation strategies. M. margaritifera specimens were sampled in two close sites located upstream or downstream from an illegal dumping site. The renal transcriptome of these animals was assembled and gene transcription determined by RNA-seq. Correlations between transcription levels of each single transcript and the bioaccumulation of nine trace metals, age (estimated by sclerochronology), and condition index were determined in order to identify genes likely to respond to a specific factor. Amongst the studied metals, Cr, Zn, Cd, and Ni were the main factors correlated with transcription levels, with effects on translation, apoptosis, immune response, response to stimulus, and transport pathways. However, the main factor explaining changes in gene transcription appeared to be the age of individuals with a negative correlation with the transcription of retrotransposon-related genes. To investigate this effect further, mussels were classified into three age classes. In young, middle-aged and old animals, transcription levels were mainly explained by Cu, Zn and age, respectively. This suggests differences in the molecular responses of this species to metals during its lifetime that must be better assessed in future ecotoxicology studies.</t>
  </si>
  <si>
    <t>[Bertucci, Anthony; Pierron, Fabien; Gonzalez, Patrice; Baudrimont, Magalie] Univ Bordeaux, UMR EPOC CNRS 5805, F-33615 Pessac, France; [Thebault, Julien; Bellec, Julie] Univ Brest, Inst Univ Europeen Mer, Lab Sci Environm Marin, LEMAR UMR CNRS UBO IRD Ifremer 6539, F-29280 Plouzane, France; [Klopp, Christophe] INRA, Plate Forme Bioinformat Genotoul, Math &amp; Informat Appl Toulouse, F-31326 Castanet Tolosan, France</t>
  </si>
  <si>
    <t>Centre National de la Recherche Scientifique (CNRS); CNRS - National Institute for Earth Sciences &amp; Astronomy (INSU); Universite de Bordeaux; Universite de Bretagne Occidentale; Institut Universitaire Europeen de la Mer (IUEM); Centre National de la Recherche Scientifique (CNRS); Ifremer; Institut de Recherche pour le Developpement (IRD); INRAE</t>
  </si>
  <si>
    <t>Bertucci, A (corresponding author), Univ Bordeaux, UMR EPOC CNRS 5805, F-33615 Pessac, France.</t>
  </si>
  <si>
    <t>anthony.bertucci@u-bordeaux.fr</t>
  </si>
  <si>
    <t>Klopp, Christophe/J-3164-2019; Gonzalez, Patrice/KGK-5933-2024; Bertucci, Anthony/O-6974-2014; Thebault, Julien/F-6198-2011</t>
  </si>
  <si>
    <t>Bertucci, Anthony/0000-0001-5727-7228; Pierron, Fabien/0000-0001-6176-3050; Gonzalez, Patrice/0000-0003-2628-2993; Thebault, Julien/0000-0002-3111-4428; Baudrimont, Magalie/0000-0001-9901-8435</t>
  </si>
  <si>
    <t>European Union program LIFE+ Nature [LIFE13 NAT/FR/000506]</t>
  </si>
  <si>
    <t>European Union program LIFE+ Nature</t>
  </si>
  <si>
    <t>This work was supported by the European Union program LIFE+ Nature (project LIFE13 NAT/FR/000506). We are grateful to all the staff members of the Perigord-Limousin national park for their contribution to this project. We thank the four anonymous reviewers for their careful reading and insightful comments on our work.</t>
  </si>
  <si>
    <t>10.1007/s11356-017-0294-6</t>
  </si>
  <si>
    <t>WOS:000417545800022</t>
  </si>
  <si>
    <t>Gokul, T; Kumar, KR; Veeramanikandan, V; Arun, A; Balaji, P; Faggio, C</t>
  </si>
  <si>
    <t>Gokul, Tamilselvan; Kumar, Kamatchi Ramesh; Veeramanikandan, Veeramani; Arun, Alagarsamy; Balaji, Paulraj; Faggio, Caterina</t>
  </si>
  <si>
    <t>Impact of particulate pollution on aquatic invertebrates</t>
  </si>
  <si>
    <t>Air pollution; Invertebrates; Toxicity; Atmospheric Particulate matter; Environmental risk</t>
  </si>
  <si>
    <t>MICROPLASTICS; NANOPARTICLES; EXPOSURE; TOXICITY; MUSSELS; MATTER; WATER</t>
  </si>
  <si>
    <t>A serious global problem, air pollution poses a risk to both human and environmental health. It contains hazardous material like heavy metals, nanoparticles, and others that can create an impact on both land and marine environments. Particulate pollutants, which can enter water systems through a variety of ways, including precipitation and industrial runoff, can have a particularly adverse influence on aquatic invertebrates. Once in the water, these particles can harm aquatic invertebrates physically, physiologically, and molecularly, resulting in developmental problems and multi-organ toxicity. Further research at the cellular and molecular levels in numerous locations of the world is necessary to completely understand the impacts of particle pollution on aquatic invertebrates. Understanding how particle pollution affects aquatic invertebrates is vital as the significance of ecotoxicological studies on particulate contaminants increases. This review gives a comprehensive overview of the current understanding of how particle pollution affects aquatic invertebrates.</t>
  </si>
  <si>
    <t>[Gokul, Tamilselvan; Kumar, Kamatchi Ramesh] Vivekananda Coll, PG &amp; Res Ctr Zool, Madurai, Tamil Nadu, India; [Veeramanikandan, Veeramani] MGR Coll, PG &amp; Res Ctr Microbiol, Hosur, Tamil Nadu, India; [Arun, Alagarsamy] Alagappa Univ, Dept Microbiol, Karaikkudi, Tamil Nadu, India; [Balaji, Paulraj] MGR Coll, PG &amp; Res Ctr Biotechnol, Hosur, Tamil Nadu, India; [Faggio, Caterina] Univ Messina, Dept Chem Biol Pharmaceut &amp; Environm Sci, Messina, Italy</t>
  </si>
  <si>
    <t>Alagappa University; University of Messina</t>
  </si>
  <si>
    <t>Balaji, P (corresponding author), MGR Coll, PG &amp; Res Ctr Biotechnol, Hosur, Tamil Nadu, India.;Faggio, C (corresponding author), Univ Messina, Dept Chem Biol Pharmaceut &amp; Environm Sci, Messina, Italy.</t>
  </si>
  <si>
    <t>balaji_paulraj@yahoo.com; cfaggio@unime.it</t>
  </si>
  <si>
    <t>Paulraj, Balaji/G-3392-2012</t>
  </si>
  <si>
    <t>faggio, caterina/0000-0002-0066-2421; , T. A. Gokul/0000-0001-9049-9359</t>
  </si>
  <si>
    <t>10.1016/j.etap.2023.104146</t>
  </si>
  <si>
    <t>I3KY7</t>
  </si>
  <si>
    <t>WOS:001001813800001</t>
  </si>
  <si>
    <t>Patra, P; Mohandass, C; Chakraborty, P</t>
  </si>
  <si>
    <t>Patra, Prantick; Mohandass, Chellandi; Chakraborty, Parthasarathi</t>
  </si>
  <si>
    <t>Snapshot of environmental condition in different tropical estuarine systems by using S. cucullata (an edible oyster) as bio-indicator</t>
  </si>
  <si>
    <t>Bioaccumulation; Pathogen; Toxic metals; Biomarker; Antioxidant enzymes</t>
  </si>
  <si>
    <t>PATHOGENIC VIBRIO-PARAHAEMOLYTICUS; OXIDATIVE STRESS; SOUTHWEST COAST; HEAVY-METALS; TRACE-METALS; WEST-COAST; MOLLUSCAN SHELLFISH; SEDIMENT; MERCURY; CADMIUM</t>
  </si>
  <si>
    <t>Accumulation of toxic metals and indigenous bacteria in oyster, (Saccostrea cucullata) and their impact on antioxidant enzyme activities in the biological system was studied and used to provide snapshot of environmental condition in different tropical estuarine systems. The sedimentary Cd, Pb, and Hg concentration varied from 0.1 to 1.8, 22.0 to 98.0, and 0.03 to 0.11 mg kg(-1) (dry wt.) respectively. The bioaccumulated Cd, Pb, and Hg concentration in the oysters ranged from 3.6 to 9.0, 0.03 to 8.0, and 0.06 to 0.1 mg kg(-1) (dry wt.) respectively. In the oyster, the Cd concentration was well above the safe limit whereas the Pb and Hg concentrations were below the safe limit recommended by the European Commission (EC No. 1881/2006) for human consumption. The MPN value in the raw oyster for fecal coliforms (33-110 x 10(3)/100 g) exceeded the United States Food and Drug Administration (USFDA) approved limits. Increase in antioxidant enzymes (catalase, superoxide dismutase, glutathione-s-transferase, and metallothionein) activities with increasing pollutants loading was observed. The activities of antioxidant enzymes in the oyster were found to be very useful tool for evaluating environmental condition in any tropical estuarine systems.</t>
  </si>
  <si>
    <t>[Patra, Prantick] CSIR Natl Inst Oceanog, Biol Oceanog Div, Panaji 403004, Goa, India; [Mohandass, Chellandi] CS1R Natl Inst Oceanog Reg Ctr, Mumbai 400053, Maharashtra, India; [Chakraborty, Parthasarathi] CSIR Natl Inst Oceanog, Geol Oceanog Div, Panaji 403004, Goa, India; [Chakraborty, Parthasarathi] Indian Inst Technol Kharagpur, Ctr Oceans Rivers Atmosphere &amp; Land Sci, Kharagpur 721302, W Bengal, India</t>
  </si>
  <si>
    <t>Council of Scientific &amp; Industrial Research (CSIR) - India; CSIR - National Institute of Oceanography (NIO); Council of Scientific &amp; Industrial Research (CSIR) - India; CSIR - National Institute of Oceanography (NIO); Council of Scientific &amp; Industrial Research (CSIR) - India; CSIR - National Institute of Oceanography (NIO); Indian Institute of Technology System (IIT System); Indian Institute of Technology (IIT) - Kharagpur</t>
  </si>
  <si>
    <t>Mohandass, C (corresponding author), CS1R Natl Inst Oceanog Reg Ctr, Mumbai 400053, Maharashtra, India.</t>
  </si>
  <si>
    <t>cmohan@nio.org</t>
  </si>
  <si>
    <t>Patra, Prantick/JFJ-3134-2023</t>
  </si>
  <si>
    <t>Patra, Prantick/0000-0002-6291-9309</t>
  </si>
  <si>
    <t>Council of Scientific &amp; Industrial Research (CSIR), India</t>
  </si>
  <si>
    <t>Council of Scientific &amp; Industrial Research (CSIR), India(Council of Scientific &amp; Industrial Research (CSIR) - India)</t>
  </si>
  <si>
    <t>The authors are grateful to Director, CSIR-NIO, for his encouragement and providing necessary support for this work. Dr. Suhas S. Shetye is acknowledged for analytical help. One of the authors Prantick Patra would like to acknowledge Council of Scientific &amp; Industrial Research (CSIR), India, for providing the fellowship to carry out his Ph.D. research. This article bears NIO contribution number 6354.</t>
  </si>
  <si>
    <t>10.1007/s11356-019-04564-w</t>
  </si>
  <si>
    <t>HT8ZR</t>
  </si>
  <si>
    <t>WOS:000464854500076</t>
  </si>
  <si>
    <t>Gonzalez-Rey, M; Lau, TC; Gomes, T; Maria, VL; Bebianno, MJ; Wu, R</t>
  </si>
  <si>
    <t>Gonzalez-Rey, M.; Lau, T. C.; Gomes, T.; Maria, V. L.; Bebianno, M. J.; Wu, R.</t>
  </si>
  <si>
    <t>Comparison of metal accumulation between 'Artificial Mussel' and natural mussels (Mytilus galloprovincialis) in marine environments</t>
  </si>
  <si>
    <t>Artificial mussels; Metal monitoring; Metal concentrations; Mytilus galloprovincialis</t>
  </si>
  <si>
    <t>MONITORING HEAVY-METALS</t>
  </si>
  <si>
    <t>The passive sampler called 'Artificial Mussel' (AM) developed by Wu et al. (2007) can provide a time-integrated estimate of metal concentrations in the marine environment, and offers a potential device to assess and compare metal concentration in different marine environments worldwide. The aim of this study was to compare metal accumulation on AM and natural mussel Mytilus galloprovincialis at three sites with different metal loads along the Portuguese coast for four months. M. galloprovincialis were placed in cages alongside AMs at each site. Samples were collected monthly and Cd, Cr, Cu, Pb. and Zn concentrations in whole soft tissues and AMs compared. For both Cu and Cd, the results were similar between AMs and natural mussels. Higher concentrations of Zn were observed in natural mussels, whereas the inverse was shown for Pb (about 10-fold higher). Our results showed that AMs are promising tools for assessing metal concentrations in marine environments. (C) 2010 Elsevier Ltd. All rights reserved.</t>
  </si>
  <si>
    <t>[Gonzalez-Rey, M.; Gomes, T.; Maria, V. L.; Bebianno, M. J.] Univ Algarve, CIMA, Ctr Marine &amp; Environm Res, Fac Sci &amp; Technol, Faro, Portugal; [Lau, T. C.] City Univ Hong Kong, Dept Biol &amp; Chem, Kowloon, Hong Kong, Peoples R China; [Wu, R.] Univ Hong Kong, Sch Biol Sci, Hong Kong, Hong Kong, Peoples R China; [Wu, R.] Univ Hong Kong, MERIT, Ctr Marine Environm Res &amp; Innovat Technol, Hong Kong, Hong Kong, Peoples R China</t>
  </si>
  <si>
    <t>Universidade do Algarve; City University of Hong Kong; University of Hong Kong; University of Hong Kong</t>
  </si>
  <si>
    <t>Bebianno, MJ (corresponding author), Univ Algarve, CIMA, Ctr Marine &amp; Environm Res, Fac Sci &amp; Technol, Campus Gambelas, Faro, Portugal.</t>
  </si>
  <si>
    <t>Bebianno, Maria/L-3761-2014; Gomes, Tânia/X-7771-2019; de Almeida Maria, Vera Lucia/I-5142-2013</t>
  </si>
  <si>
    <t>Gonzalez-Rey, Maria/0000-0002-9343-8460; Bebianno, Maria/0000-0003-1492-8566; Lau, Tai-Chu/0000-0002-0867-9746; de Almeida Maria, Vera Lucia/0000-0002-0331-3489</t>
  </si>
  <si>
    <t>Research Grants Council of the Hong Kong SAR government [AoE/P-04/2004]; Centre of Marine and Environmental Research (Portugal); Foundation of Science and Technology (FCT) (Portugal)</t>
  </si>
  <si>
    <t>Research Grants Council of the Hong Kong SAR government(Hong Kong Research Grants Council); Centre of Marine and Environmental Research (Portugal); Foundation of Science and Technology (FCT) (Portugal)(Fundacao para a Ciencia e a Tecnologia (FCT))</t>
  </si>
  <si>
    <t>This study was supported by the Area of Excellence Scheme awarded by The Research Grants Council of the Hong Kong SAR government (Project No. AoE/P-04/2004), The Centre of Marine and Environmental Research (Portugal) and Foundation of Science and Technology (FCT) (Portugal).</t>
  </si>
  <si>
    <t>10.1016/j.marpolbul.2010.12.007</t>
  </si>
  <si>
    <t>WOS:000294092700013</t>
  </si>
  <si>
    <t>Geffard, A; Amiard-Triquet, C; Amiard, JC</t>
  </si>
  <si>
    <t>Do seasonal changes affect metallothionein induction by metals in mussels, Mytilus edulis?</t>
  </si>
  <si>
    <t>metallothionein; biomarker; metal pollution; mussel; translocation</t>
  </si>
  <si>
    <t>OYSTERS CRASSOSTREA-GIGAS; CLAM RUDITAPES-DECUSSATUS; DIGESTIVE GLAND; MACOMA-BALTHICA; TRACE-METALS; CADMIUM; PROTEINS; COPPER; COAST; ZINC</t>
  </si>
  <si>
    <t>Mussels have been proposed as biomonitors of metal pollution based on the determination of metallothionein (MT) concentrations as a biomarker, but a comprehensive study taking into account both intersite and long-term temporal variations in MT and metal concentrations in different organs is lacking. Thus, the present study was designed to examine the concentrations of cytosolic and insoluble Cd, Cu, Zn, and MT in gills and digestive gland of mussels (Mytilus edulis) of homogeneous size and age obtained from aquaculture and kept on a reference site or translocated to a metal-rich site throughout their reproductive season (March-October 1997). Relatively significant binding of metals to the insoluble fraction was observed in both tissues. In the digestive gland, monthly MT concentrations were strongly correlated to cytosolic metal levels. Moreover, despite significant temporal variations, the grand mean MT concentration based on all individual determinations in the digestive gland (reference, n = 54; transplants, n = 50) was significantly higher in mussels from the metal-rich site. On the other hand, gill MT concentrations did not reflect metal contamination as reliably. (c) 2005 Elsevier Inc. All rights reserved.</t>
  </si>
  <si>
    <t>CNRS, GDR 1117, ISOmer, SMAB,Serv Ecotoxicol, F-44322 Nantes, France</t>
  </si>
  <si>
    <t>URVVC, UPRES,EA 2069, UFR Sci,Dept Biol Biochim, Lab Ecotoxicol, Moulin Housse,BP 1039, F-51587 Reims, France.</t>
  </si>
  <si>
    <t>10.1016/j.ecoenv.2005.01.004</t>
  </si>
  <si>
    <t>WOS:000229385800006</t>
  </si>
  <si>
    <t>Peña-Llopis, S; Ferrando, MD; Peña, JB</t>
  </si>
  <si>
    <t>Impaired glutathione redox status is associated with decreased survival in two organophosphate-poisoned marine bivalves</t>
  </si>
  <si>
    <t>fenitrothion; pesticides; oxidative stress; biomarkers; mussels; scallops</t>
  </si>
  <si>
    <t>MYTILUS-GALLOPROVINCIALIS; LIPID-PEROXIDATION; DIGESTIVE GLAND; ANTIOXIDANT ENZYMES; RAT-LIVER; IN-VIVO; RESISTANCE; EXPOSURE; BIOMARKERS; DEFENSE</t>
  </si>
  <si>
    <t>Biomonitoring organophosphate (OP) exposure in marine environments is generally achieved by the measurement of acetylcholinesterase activity in bivalves like mussels. However, there is evidence that indicates that oxidative stress may be implied in OP toxicity. The aim of this study was to evaluate the relationship between survival from the OP insecticide fenitrothion and glutathione levels in marine bivalves. Mussels (Mytilus galloprovincialis Lam.) and scallops (Flexopecten flexuosus Poli) were exposed, in a time to death test, to their LC85 of fenitrothion for 96 h. OP-poisoned mussels showed reduced (GSH) and oxidised (GSSG) glutathione depletion in the digestive gland, muscle and gills. Pectinid spats exposed to this insecticide presented GSH depletion in the digestive gland and mantle, and a reduction of the GSH/GSSG ratio in gills and mantle. Although survival curves were significantly different and mussels withstood twice as much fenitrothion as pectinid spats, muscular GSH/GSSG ratio was highly related to mortality in both species. We suggest that an impairment in the glutathione redox status could result in an induction of the cell death, either by apoptosis or necrosis, leading ultimately to the death of the organism. We conclude that whereas glutathione depletion can be used as a biomarker of exposure, the muscular GSH/GSSG ratio might be used as a biochemical marker of effect and individual susceptibility to mortality of marine bivalves exposed to fenitrothion or other pollutants that induce oxidative stress. (C) 2002 Elsevier Science Ltd. All rights reserved.</t>
  </si>
  <si>
    <t>CSIC, Inst Acuicultura Torre Sal, E-12595 Ribera De Cabanes, Castellon, Spain; Univ Valencia, Dept Biol Anim Fisiol Anim, E-46100 Burjassot, Valencia, Spain</t>
  </si>
  <si>
    <t>Consejo Superior de Investigaciones Cientificas (CSIC); CSIC - Instituto de Acuicultura de Torre de la Sal (IATS); University of Valencia</t>
  </si>
  <si>
    <t>CSIC, Inst Acuicultura Torre Sal, E-12595 Ribera De Cabanes, Castellon, Spain.</t>
  </si>
  <si>
    <t>samuel@iats.csic.es</t>
  </si>
  <si>
    <t>Peña-Llopis, Samuel/ABH-2358-2020; Pena-Llopis, Samuel/LBH-4206-2024</t>
  </si>
  <si>
    <t>Pena-Llopis, Samuel/0000-0003-3847-1353</t>
  </si>
  <si>
    <t>PII S0045-6535(01)00323-X</t>
  </si>
  <si>
    <t>10.1016/S0045-6535(01)00323-X</t>
  </si>
  <si>
    <t>547NW</t>
  </si>
  <si>
    <t>WOS:000175339500003</t>
  </si>
  <si>
    <t>Vieira, KS; Crapez, MAC; Lima, LS; Delgado, JF; Brito, EBCC; Fonseca, EM; Neto, JAB; Aguiar, VMC</t>
  </si>
  <si>
    <t>Vieira, K. S.; Crapez, M. A. C.; Lima, L. S.; Delgado, J. F.; Brito, E. B. C. C.; Fonseca, E. M.; Baptista Neto, J. A.; Aguiar, V. M. C.</t>
  </si>
  <si>
    <t>Evaluation of bioavailability of trace metals through bioindicators in a urbanized estuarine system in southeast Brazil</t>
  </si>
  <si>
    <t>Trace metal; Bioindicators; Perna perna; Estuaries; Vitoria Bay; Pollution</t>
  </si>
  <si>
    <t>MUSSEL MYTILUS-GALLOPROVINCIALIS; PERNA-PERNA LINNAEUS; HEAVY-METALS; SAO-PAULO; BIOACCUMULATION; CONTAMINATION; CADMIUM; RISK; BAY; BIVALVES</t>
  </si>
  <si>
    <t>The mussel Perna perna is one of the most used bioindicators of coastal areas and the most economically exploited species in Brazil through mariculture. In the present study, P. perna was used to investigate metal pollution in the estuarine area of Vitoria Bay. Four sampling sites were located along an estuarine branch of Vitoria Bay and stations were sampled during three campaigns. Trace metals in the tissues of P. perna were evaluated as well as dissolved trace metals and other ancillary variables in the water column. Dissolved Cd, Pb, Cu, Ni, and Fe concentrations surpassed the tolerance limits stablished by legislation in all the sampling campaigns. P. perna exhibited concentrations in disagreement with the Brazilian legislation for Cr and As. A general trend of higher concentrations in outer stations was observed for most metals, what suggested the occurrence of flocculation process in the lower estuary, reducing the concentrations of dissolved elements and increasing their bioavailability for the biota through the particulate form. Cd was highlighted with elevated concentrations in dissolved fraction but not detected in P. perna, probably due to chlor-complex formation under influence of more saline waters. Al, Ba, Mn, Fe, Cu, Zn, Ni, Cr, Pb, and As were considered bioavailable, once they were accumulated in the mussels' tissues. Hazard index (HI) and target cancer risk (TCR) showed that the consumption of mussels from the study area offers health risk issues, being iron and arsenic the main contributors for the high indexes.</t>
  </si>
  <si>
    <t>[Vieira, K. S.; Lima, L. S.; Delgado, J. F.; Brito, E. B. C. C.; Fonseca, E. M.; Baptista Neto, J. A.; Aguiar, V. M. C.] Univ Fed Fluminense, LAGEMAR, Dept Geol Marinha, Av Gen Milton Tavares de Souza S-N, BR-24210340 Niteroi, RJ, Brazil; [Crapez, M. A. C.] Univ Fed Fluminense, MICROMAR, Dept Biol Marinha, Lab Microbiol Marinha, Outeiro Sao Joao Batista S-N, BR-24001970 Niteroi, RJ, Brazil</t>
  </si>
  <si>
    <t>Aguiar, VMC (corresponding author), Univ Fed Fluminense, LAGEMAR, Dept Geol Marinha, Av Gen Milton Tavares de Souza S-N, BR-24210340 Niteroi, RJ, Brazil.</t>
  </si>
  <si>
    <t>Aguiar, Valquiria/HZJ-5714-2023; Neto, José/AAL-2773-2021</t>
  </si>
  <si>
    <t>This research was funded by SNP (Secretaria Nacional de Portos).Data availabilityData will be made available under request.</t>
  </si>
  <si>
    <t>JAN 3</t>
  </si>
  <si>
    <t>10.1007/s10661-020-08809-x</t>
  </si>
  <si>
    <t>PQ3IL</t>
  </si>
  <si>
    <t>WOS:000606440900001</t>
  </si>
  <si>
    <t>McEneff, G; Quinn, B; Bennion, M; Dolan, S; O'Rourke, K; Morrison, L</t>
  </si>
  <si>
    <t>McEneff, Gillian; Quinn, Brian; Bennion, Matthew; Dolan, Sorcha; O'Rourke, Kathleen; Morrison, Liam</t>
  </si>
  <si>
    <t>Bioaccumulation of metals in juvenile rainbow trout (oncorhynchus mykiss) via dietary exposure to blue mussels</t>
  </si>
  <si>
    <t>Aquatic pollutants; Metals; Trophic transfer; Bivalves; Fish; Inductively coupled plasma; Mass spectrometry</t>
  </si>
  <si>
    <t>HEAVY-METALS; TRACE-METALS; FISH; AZNALCOLLAR; CONTAMINATION; FOOD; ACCUMULATION; ATLANTIC; SELENIUM; ELEMENTS</t>
  </si>
  <si>
    <t>The potential for metals to bioaccumulate in aquatic species, such as fish, via trophic level transfer was investigated. An in vivo experiment was set up in a flow-through system in which juvenile rainbow trout were fed blue mussels collected from a Class A pristine site and an effluent-impacted river estuary, over a period of 28 days. Selected elements (As, Cd, Cr, Co, Cu, Fe, Pb, Mn, Mo, Ni, Se, Sn, V, Zn) were determined in the mussels and fish tissues (muscle and skin) collected at 0, 14 and 28 days. This study reveals the occurrence of metals in mussels sampled in the Irish marine environment and highlights the bio-accumulation potential of metals in fish tissues via trophic transfer. All 14 monitored metals were determined in the mussels collected from both sites and mussels collected from the effluent-impacted site contained three times more Co, Mo, Sn and V than the mussels collected from the Class A site. Following a 28-day dietary exposure, concentrations of As and Se (fish muscle), and Pb, Se and Zn (fish skin), were significantly greater in fish feeding on contaminated mussels compared to those with a regular fish feed diet. The significance of metal detection and bioaccumulation in the mussel and fish tissues, highlights the potential for metal exposure to humans through the food chain. As fish are recommended as a healthy and nutritious food source, it is important to fully understand metal bioaccumulation in commercially important aquatic species and ensure the safety of human consumers. (C) 2017 Elsevier Ltd. All rights reserved.</t>
  </si>
  <si>
    <t>[McEneff, Gillian] Kings Coll London, Sch Biomed Sci, Analyt &amp; Environm Sci Div, Franklin Wilkins Bldg,150 Stamford St, London SE1 9NH, England; [Quinn, Brian] Univ West Scotland, IBEHR, Paisley PA1 2BE, Renfrew, Scotland; [Bennion, Matthew; Dolan, Sorcha; Morrison, Liam] Natl Univ Ireland, Sch Nat Sci, Earth &amp; Ocean Sci, Galway, Ireland; [Bennion, Matthew; Dolan, Sorcha; Morrison, Liam] Natl Univ Ireland, Ryan Inst, Galway, Ireland; [O'Rourke, Kathleen] Enterprise Ireland, Shannon Aquat Toxicol Lab, Shannon, Clare, Ireland; [McEneff, Gillian] Univ West London, Sch Human &amp; Social Sci, Boston Manor Rd, Brentford TW8 9GA, England</t>
  </si>
  <si>
    <t>University of London; King's College London; University of West Scotland; Ollscoil na Gaillimhe-University of Galway; Ollscoil na Gaillimhe-University of Galway; University of West London</t>
  </si>
  <si>
    <t>McEneff, G (corresponding author), Kings Coll London, Sch Biomed Sci, Analyt &amp; Environm Sci Div, Franklin Wilkins Bldg,150 Stamford St, London SE1 9NH, England.;Morrison, L (corresponding author), Natl Univ Ireland, Sch Nat Sci, Earth &amp; Ocean Sci, Galway, Ireland.;Morrison, L (corresponding author), Natl Univ Ireland, Ryan Inst, Galway, Ireland.;McEneff, G (corresponding author), Univ West London, Sch Human &amp; Social Sci, Boston Manor Rd, Brentford TW8 9GA, England.</t>
  </si>
  <si>
    <t>gillian.mceneff@uwl.ac.uk; liam.morrison@nuigalway.ie</t>
  </si>
  <si>
    <t>Quinn, Brian/E-9317-2013</t>
  </si>
  <si>
    <t>Quinn, Brian/0000-0002-4182-1118; McEneff, Gillian/0000-0003-2590-413X</t>
  </si>
  <si>
    <t>Irish Government under the National Development Plan; Department of Communications, Energy and Natural Resources under the National Geoscience Programme</t>
  </si>
  <si>
    <t>Liam Curran and Robert Heman are greatly acknowledged for their help with sample collection. This work is published as part of the Science, Technology, Research and Innovation for the Environment (STRIVE) Programme which is funded by the Irish Government under the National Development Plan 2007-2013 and administered on behalf of the Department of the Environment, Heritage and Local Government by the Environmental Protection Agency (2007-DRP-3). The authors also wish to acknowledge funding from the Department of Communications, Energy and Natural Resources under the National Geoscience Programme 2007-2013 (Griffiths Award). The views expressed in the study are the authors' own and do not necessarily reflect the views and opinions of the funding government bodies.</t>
  </si>
  <si>
    <t>10.1016/j.chemosphere.2017.08.141</t>
  </si>
  <si>
    <t>FK3II</t>
  </si>
  <si>
    <t>WOS:000413378400061</t>
  </si>
  <si>
    <t>Belivermis, M; Kiliç, Ö; Çotuk, Y</t>
  </si>
  <si>
    <t>Belivermis, Murat; Kilic, Onder; Cotuk, Yavuz</t>
  </si>
  <si>
    <t>Assessment of metal concentrations in indigenous and caged mussels (Mytilus galloprovincialis) on entire Turkish coastline</t>
  </si>
  <si>
    <t>Biomonitoring; Transplantation; Metal; Mussel; Mytilus galloprovincialis</t>
  </si>
  <si>
    <t>TRANSPLANTED MUSSELS; HEAVY-METALS; BLACK-SEA; TRACE-ELEMENTS; AEGEAN SEA; BIOACCUMULATION; TURKEY; CONTAMINATION; RETENTION; SEDIMENTS</t>
  </si>
  <si>
    <t>This survey was conducted to determine metal concentrations in the biomonitor organism Mytilus galloprovincialis collected from all coasts of Turkey. Naturally-occurring mussels were gathered along the coast of the Black Sea, Sea of Marmara, Bosphorus and Aegean Sea, while a 6-month transplantation session was implemented on the Levantine Sea coast where M. galloprovincialis does not adapt naturally. Mussels collected from the Izmir area were employed for transplantation to five locations along the Levantine Sea coast of Turkey. Concentrations of Ag, Al, As, Cd, Co, Cr, Cu, Fe, K, Mn, Ni, Pb, Sn, V, and Zn were measured using ICP-MS (Inductively Coupled Plasma-Mass Spectrometry). Results showed that concentrations of some essential elements (Co, Fe, K, Mn, Zn) generally fell within the range of acceptable global values. However, at some sampling sites the metal concentrations were found at higher levels compared to the world average and recommended limits. For instance, very high Ag and Cu concentrations were observed in mussel caged at Yumurtalik. Elevated As, Ni, Pb, and V concentrations were observed at the Tirebolu, Eskihisar, and Tekirdag locations, respectively. Taking into account all measured metals, it can be inferred that Yumurtalik is the most metal-contaminated locality. The results highlighted metal-specific pollution at coastal areas in each sea cover Turkey. In spite of the high metal levels estimated daily intakes (EDI) of the measured elements were well below through very low mussel consumption by Turkish public. (C) 2015 Elsevier Ltd. All rights reserved.</t>
  </si>
  <si>
    <t>[Belivermis, Murat; Kilic, Onder; Cotuk, Yavuz] Istanbul Univ, Dept Biol, Fac Sci, TR-34134 Istanbul, Turkey</t>
  </si>
  <si>
    <t>Belivermis, M (corresponding author), Istanbul Univ, Dept Biol, Fac Sci, TR-34134 Istanbul, Turkey.</t>
  </si>
  <si>
    <t>Kilic, Onder/0000-0002-1765-6036; Belivermis, Murat/0000-0003-4826-5246</t>
  </si>
  <si>
    <t>Scientific Research Projects Coordination Unit of Istanbul University [10236]</t>
  </si>
  <si>
    <t>This work was supported by the Scientific Research Projects Coordination Unit of Istanbul University, Project No.: 10236. The authors are grateful to Furkan Gozel, Narin Sezer and Gulsah Kalyci for their excellent assistance.</t>
  </si>
  <si>
    <t>10.1016/j.chemosphere.2015.10.098</t>
  </si>
  <si>
    <t>DA4MQ</t>
  </si>
  <si>
    <t>WOS:000367774400251</t>
  </si>
  <si>
    <t>Fu, HR; Tian, J; Shi, CY; Li, Q; Liu, SK</t>
  </si>
  <si>
    <t>Fu, Huiru; Tian, Jing; Shi, Chenyu; Li, Qi; Liu, Shikai</t>
  </si>
  <si>
    <t>Ecological significance of G protein-coupled receptors in the Pacific oyster (Crassostrea gigas): Pervasive gene duplication and distinct transcriptional response to marine environmental stresses</t>
  </si>
  <si>
    <t>Environmental stresses; GPCR; Pacific oyster; Transcriptome</t>
  </si>
  <si>
    <t>PHYLOGENETIC ANALYSIS; ENERGY-METABOLISM; SUMMER MORTALITY; CLIMATE-CHANGE; BAY; EXPRESSION; IDENTIFICATION; TEMPERATURE; REPERTOIRE; ADAPTATION</t>
  </si>
  <si>
    <t>Marine ecosystems with ocean warming and industry pollution threaten the survival and adaptation of organisms. G protein-coupled receptors (GPCRs) play critical roles in various physiological and toxicological processes in vertebrates and invertebrates. The Pacific oyster (Crassostrea gigas) was widely used to study the adaptation of marine molluscs to coastal environments. In this work, we identified a total of 586 GPCRs in C. gigas genome. The C. gigas GPCRs were divided into five classes (including class A, B, C, E and F) with different degrees of expansion. Meta-analysis of multiple RNA-seq datasets revealed that transcriptional expression patterns of GPCRs in C. gigas were distinct in response to high temperature, salinity, air exposure, heavy metal, ostreid herpes virus 1 (OsHV-1) and Vibrio challenge. This work for the first time characterized the GPCR gene family and provided insights into the potential roles of GPCRs in adaptation of marine molluscs to stressful coastal environment.</t>
  </si>
  <si>
    <t>[Fu, Huiru; Tian, Jing; Shi, Chenyu; Li, Qi; Liu, Shikai] Ocean Univ China, Key Lab Maericulture, Coll Fisheries, Qingdao 266003, Peoples R China; [Fu, Huiru; Tian, Jing; Shi, Chenyu; Li, Qi; Liu, Shikai] Ocean Univ China, Coll Fisheries, Qingdao 266003, Peoples R China; [Li, Qi; Liu, Shikai] Qingdao Natl Lab Marine Sci &amp; Technol, Lab Marine Fisheries Sci &amp; Food Prod Proc, Qingdao 266237, Peoples R China; [Liu, Shikai] Ocean Univ China, Key Lab Mariculture, Coll Fisheries, Qingdao, Peoples R China; [Liu, Shikai] Ocean Univ China, Coll Fisheries, Qingdao, Peoples R China</t>
  </si>
  <si>
    <t>Ocean University of China; Ocean University of China; Laoshan Laboratory; Ocean University of China; Ocean University of China</t>
  </si>
  <si>
    <t>Liu, SK (corresponding author), Ocean Univ China, Key Lab Mariculture, Coll Fisheries, Qingdao, Peoples R China.;Liu, SK (corresponding author), Ocean Univ China, Coll Fisheries, Qingdao, Peoples R China.</t>
  </si>
  <si>
    <t>Liu, Shikai/AAO-2247-2021</t>
  </si>
  <si>
    <t>National Natural Science Foundation of China; Young Talent Program of Ocean University of China; OUC-AU Joint Center Grant Program; [31802293]; [41976098]; [201812013]</t>
  </si>
  <si>
    <t>National Natural Science Foundation of China(National Natural Science Foundation of China (NSFC)); Young Talent Program of Ocean University of China; OUC-AU Joint Center Grant Program; ; ;</t>
  </si>
  <si>
    <t>This study was supported by the grant from National Natural Science Foundation of China (Nos. 31802293 and 41976098) , the Young Talent Program of Ocean University of China (No. 201812013) and OUC-AU Joint Center Grant Program.</t>
  </si>
  <si>
    <t>10.1016/j.marpolbul.2022.114269</t>
  </si>
  <si>
    <t>WOS:000891759700007</t>
  </si>
  <si>
    <t>Tsangaris, C; Kaberi, H; Catsiki, VA</t>
  </si>
  <si>
    <t>Tsangaris, Catherine; Kaberi, Helen; Catsiki, Vassiliki-Angelique</t>
  </si>
  <si>
    <t>Metal levels in sediments and transplanted mussels in Pagassitikos Gulf (Aegean Sea, Eastern Mediterranean)</t>
  </si>
  <si>
    <t>Metals; Marine sediments; Transplanted mussels; Pagassitikos Gulf; Eastern Mediterranean</t>
  </si>
  <si>
    <t>BIOMARKER RESPONSE INDEX; HEAVY-METALS; SURFACE SEDIMENTS; TRACE-METALS; POLLUTION; QUALITY; IMPACT; WATERS; GREECE; BAY</t>
  </si>
  <si>
    <t>Metal concentrations were determined in surface sediments and transplanted mussels in a shallow semi-enclosed bay, Pagassitikos Gulf, Aegean Sea. Cu, Zn, Pb, Hg, and As levels in sediments were enriched close to point sources of pollution, i.e., Volos Port and cement plant. Fe, Mn, Cr, and Ni spatial distributions in sediments were rather uniform with increasing concentrations towards deeper sites, suggesting natural enrichment, whereas levels found in the port, although elevated, were not the highest in the study area. Spatial variations in concentrations of most metals in mussels transplanted nearshore were generally in accordance to those in sediments, with the highest Fe, Mn, Cr, Ni, and Cu levels in the port and the highest Hg levels close to the cement plant. Concentrations of metals in sediments and transplanted mussels were comparable to those reported in Mediterranean areas. Results indicate that pollution point sources contribute to anthropogenic metal enrichment in the study area.</t>
  </si>
  <si>
    <t>[Tsangaris, Catherine; Kaberi, Helen; Catsiki, Vassiliki-Angelique] HCMR, Inst Oceanog, Anavyssos 19013, Greece</t>
  </si>
  <si>
    <t>Tsangaris, C (corresponding author), HCMR, Inst Oceanog, 46-7 Km,Athinon Souniou Ave,POB 712, Anavyssos 19013, Greece.</t>
  </si>
  <si>
    <t>ctsangar@hcmr.gr</t>
  </si>
  <si>
    <t>Kaberi, Helen/KHV-7896-2024; Tsangaris, Catherine/G-4378-2011</t>
  </si>
  <si>
    <t>Tsangaris, Catherine/0000-0001-6724-9394; Kaberi, Helen/0000-0002-4399-4055</t>
  </si>
  <si>
    <t>10.1007/s10661-012-3008-z</t>
  </si>
  <si>
    <t>155MY</t>
  </si>
  <si>
    <t>WOS:000319753600058</t>
  </si>
  <si>
    <t>Orabi, OH; El-Badry, AA; Alhejoj, I</t>
  </si>
  <si>
    <t>Orabi, Orabi H.; El-Badry, Abd El-Monsef A.; Alhejoj, Ikhlas</t>
  </si>
  <si>
    <t>Response of Mollusk Assemblages to Environmental Conditions: A Case Study from the Burullus Lagoon, Egypt</t>
  </si>
  <si>
    <t>JOURNAL OF THE GEOLOGICAL SOCIETY OF INDIA</t>
  </si>
  <si>
    <t>POLLUTION; IMPACTS; SEDIMENTATION; COASTAL; SEWAGE; RIVER; OIL; PH</t>
  </si>
  <si>
    <t>The identified mollusks from the Burullus lagoon of Egypt (Eastern Mediterranean) are represented by four bivalve species and four gastropod species. Sources of heavy metals pollution in the Burullus lagoon include phosphate fertilizers, sewage and oil spills from fishing boats. The Cerastoderma glaucum species has a wide distribution in the central part of the studied area with satisfying criteria required for good bio-monitors of pollution. High concentrations of heavy metals are found in water, at the eastern side of the lagoon, while low concentrations were detected in the central and western sides of the lagoon. Pirenella conica constitutes the total gastropods assemblages, reflecting this species tolerance to the high concentration of heavy metals. Meanwhile, the total pelecypods in bottom lagoon sediments are completely absent in the eastern parts of the lagoon, which may be due to the sensitivity of pelecypods to the accumulation of heavy metals.</t>
  </si>
  <si>
    <t>[Orabi, Orabi H.] Menoufia Univ, Fac Sci, Geol Dept, Menoufia, Egypt; [El-Badry, Abd El-Monsef A.] Natl Inst Oceanog &amp; Fisheries, Aswan Res Stn, Alexandria, Egypt; [Alhejoj, Ikhlas] Univ Jordan, Dept Geol, Amman 11942, Jordan</t>
  </si>
  <si>
    <t>Egyptian Knowledge Bank (EKB); Menofia University; Egyptian Knowledge Bank (EKB); National Institute of Oceanography &amp; Fisheries (NIOF); University of Jordan</t>
  </si>
  <si>
    <t>Orabi, OH (corresponding author), Menoufia Univ, Fac Sci, Geol Dept, Menoufia, Egypt.</t>
  </si>
  <si>
    <t>Oraby1952@yahoo.com</t>
  </si>
  <si>
    <t>Alhejoj, Ikhlas/G-9183-2018</t>
  </si>
  <si>
    <t>Alhejoj, Ikhlas/0000-0002-6823-1273; Hassan, Ahmed/0000-0001-8723-8983</t>
  </si>
  <si>
    <t>SPRINGER INDIA</t>
  </si>
  <si>
    <t>7TH FLOOR, VIJAYA BUILDING, 17, BARAKHAMBA ROAD, NEW DELHI, 110 001, INDIA</t>
  </si>
  <si>
    <t>0016-7622</t>
  </si>
  <si>
    <t>0974-6889</t>
  </si>
  <si>
    <t>J GEOL SOC INDIA</t>
  </si>
  <si>
    <t>J. Geol. Soc. India</t>
  </si>
  <si>
    <t>10.1007/s12594-018-0908-8</t>
  </si>
  <si>
    <t>GH2EJ</t>
  </si>
  <si>
    <t>WOS:000433214300010</t>
  </si>
  <si>
    <t>Cataldo, D; Colombo, JC; Boltovskoy, D; Bilos, C; Landoni, P</t>
  </si>
  <si>
    <t>Environmental toxicity assessment in the Parana river delta (Argentina):: simultaneous evaluation of selected pollutants and mortality rates of Corbicula fluminea (Bivalvia) early juveniles</t>
  </si>
  <si>
    <t>Corbicula fluminea; toxicity; contaminants; Parana river; molluscs</t>
  </si>
  <si>
    <t>DE-LA-PLATA; POLYCHLORINATED-BIPHENYLS; CHLORINATED PESTICIDES; SEDIMENT TOXICITY; ASIATIC CLAMS; HEAVY-METALS; TRACE-METALS; ESTUARY; BIOASSAY; URUGUAY</t>
  </si>
  <si>
    <t>Water and sediment samples were collected in the lower Parana delta at four sites with different levels of exposure to pollution to evaluate the anthropogenic impact through chemical analyses and mortality bioassays. Individual polychlorinated biphenyls, chlorinated pesticides, aliphatic hydrocarbons, polycyclic aromatic hydrocarbons, and heavy metals were measured in waters, porewaters and sediments. The same three phases were also subjected to toxicity assays with straight-hinged juveniles of Corbicula fluminea. Concentrations of several pollutants were above levels recommended for the protection of aquatic life: in waters, Zn, Cu and Cr were 1.6-4.9 times higher, whereas in the sediments Cr was 1.8-3.6, and benzo(a)pyrene was 2.8-5.6 times higher. Pollutant concentrations followed a clear geographic pattern with highest values in the densely populated area of the Reconquista and Lujan rivers, lower levels in the San Antonio, and lowest loadings in the remote Parana de las Palmas. This gradient was adequately matched by the pattern of mortality rates of C. fluminea early juveniles, which were highest in the Reconquista-Lujan (40-93 %) and lowest land not significantly different from the control) in the Parana (3.3-23%). Mortality rates also increased from surface waters (3.3-53%), to porewaters (12-73%), to sediments (23-93%). Although toxicity was probably mainly due to dissolved contaminants, agreement between chemical and biological evidence of pollution was best for the sediment compartment, whereas porewater and surface water showed a higher degree of variability. (C) 2001 Elsevier Science Ltd. All rights reserved.</t>
  </si>
  <si>
    <t>Univ Buenos Aires, Dept Ciencias Biol, Fac Ciencias Exactas &amp; Nat, RA-1428 Buenos Aires, DF, Argentina; Consejo Nacl Invest Cient &amp; Tecn, Buenos Aires, DF, Argentina; Museo Argentino Ciencias Nat Bernardino Rivadavia, Buenos Aires, DF, Argentina; Natl Univ La Plata, Fac Ciencias Nat &amp; Museo, Lab Quim Ambiental &amp; Biogeoquim, RA-1900 La Plata, Argentina; Comision Invest Cientificas Prov, Buenos Aires, DF, Argentina</t>
  </si>
  <si>
    <t>University of Buenos Aires; Consejo Nacional de Investigaciones Cientificas y Tecnicas (CONICET); Museo Argentino de Ciencias Naturales Bernardino Rivadavia (MACN); National University of La Plata; Museo La Plata; Comision de Investigaciones Cientificas</t>
  </si>
  <si>
    <t>Univ Buenos Aires, Dept Ciencias Biol, Fac Ciencias Exactas &amp; Nat, RA-1428 Buenos Aires, DF, Argentina.</t>
  </si>
  <si>
    <t>daniel@bg.fcen.uba.ar</t>
  </si>
  <si>
    <t>Bilos, Claudio/V-5900-2019; Boltovskoy, Demetrio/ITA-5729-2023</t>
  </si>
  <si>
    <t>CATALDO, DANIEL/0000-0002-3643-0809; Bilos, Claudio/0000-0003-1199-7515; Boltovskoy, Demetrio/0000-0003-3484-2954</t>
  </si>
  <si>
    <t>10.1016/S0269-7491(00)00145-7</t>
  </si>
  <si>
    <t>413QC</t>
  </si>
  <si>
    <t>WOS:000167622400010</t>
  </si>
  <si>
    <t>Lee, JH; Birch, GF; Simpson, SL</t>
  </si>
  <si>
    <t>Lee, J. -H.; Birch, G. F.; Simpson, S. L.</t>
  </si>
  <si>
    <t>Metal-contaminated resuspended sediment particles are a minor metal-uptake route for the Sydney rock oyster (Saccostrea glomerata) - A mesocosm study, Sydney Harbour estuary, Australia</t>
  </si>
  <si>
    <t>Oysters; Sediments; Resuspension; Bioaccumulation; Metals; Mesocosm</t>
  </si>
  <si>
    <t>CRASSOSTREA-GIGAS THUNBERG; TOTAL SUSPENDED-SOLIDS; MUSSEL MYTILUS-EDULIS; PORT JACKSON ESTUARY; TRACE-METAL; REDUNDANCY ANALYSIS; PACIFIC OYSTERS; BOUND METALS; HEAVY-METALS; FRESH-WATER</t>
  </si>
  <si>
    <t>Resuspension of surficial sediments is considered a key process influencing bioaccumulation of metals in filter-feeders in the contaminated Sydney Harbour estuary (Australia). However, previous investigations were unable to establish a significant relationship between metals in sediments or suspended particulate matter (SPM) and oyster tissue concentrations. This study used a 60-d laboratory mesocosm experiment to expose Sydney rock oysters, Saccostrea glomerata, to a natural range of SPM concentrations with different SPM-metal concentrations. Dissolved metal concentrations were low and the availability of algae provided as food was constant for all treatments. Tissue metal concentrations of Cu, Pb and Zn increased significantly, however, no relationship was determined between tissue metal concentrations in the oyster and either SPM or SPM-metal concentrations. The results indicated that exposure to resuspended contaminated sediment particles contributed little to the observed metal uptake. Dissolved or algae food sources appear to be more important for metal accumulation in these oysters. (C) 2016 Elsevier Ltd. All rights reserved.</t>
  </si>
  <si>
    <t>[Lee, J. -H.; Birch, G. F.] Univ Sydney, Environm Geol Grp, Sch Geosci, Sydney, NSW 2006, Australia; [Simpson, S. L.] CSIRO Land &amp; Water, Ctr Environm Contaminants Res, Sydney, NSW, Australia</t>
  </si>
  <si>
    <t>University of Sydney; Commonwealth Scientific &amp; Industrial Research Organisation (CSIRO)</t>
  </si>
  <si>
    <t>Lee, JH (corresponding author), Univ Sydney, Environm Geol Grp, Sch Geosci, Sydney, NSW 2006, Australia.</t>
  </si>
  <si>
    <t>jungho.lee@sydney.edu.au</t>
  </si>
  <si>
    <t>Simpson, Stuart/JCE-1589-2023</t>
  </si>
  <si>
    <t>Australian Research Council [LP0991037]; Australian Research Council [LP0991037] Funding Source: Australian Research Council</t>
  </si>
  <si>
    <t>Australian Research Council(Australian Research Council); Australian Research Council(Australian Research Council)</t>
  </si>
  <si>
    <t>This study was supported by an Australian Research Council grant (No. LP0991037). Conan Clark is thanked for his help in constructing the mesocosm devices. The study was conducted at the Sydney Institute of Marine Science (SIMS), and we would like to thank Josh Aldridge, Ulysses Bove, Amanda Scholes and Paul Hallam for their assistance in the aquarium and laboratory. Tom Savage (University of Sydney) is thanked for his help with ICP-AES analysis of oyster tissue metals. We also thank Dr. Russell Richards from the University of Queensland for his contribution to study design and result interpretation. Lastly, the authors would like to thank Ian Hamilton and Joshua King from CSIRO, Lucas Heights for their assistance with sediment metal extraction and ICP-AES analysis as well as Dr. Graeme Batley and David Spadaro for proof-reading the manuscript.</t>
  </si>
  <si>
    <t>10.1016/j.marpolbul.2016.01.039</t>
  </si>
  <si>
    <t>DJ4SK</t>
  </si>
  <si>
    <t>WOS:000374198100034</t>
  </si>
  <si>
    <t>Leung, KMY; Furness, RW; Svavarsson, J; Lau, TC; Wu, RSS</t>
  </si>
  <si>
    <t>Leung, Kenneth M. Y.; Furness, Robert W.; Svavarsson, Joerundur; Lau, T. C.; Wu, Rudolf S. S.</t>
  </si>
  <si>
    <t>Field validation, in Scotland and Iceland, of the artificial mussel for monitoring trace metals in temperate seas</t>
  </si>
  <si>
    <t>environmental monitoring; mussel watch; environmental technology; Perna viridis</t>
  </si>
  <si>
    <t>DOGWHELK NUCELLA-LAPILLUS; MYTILUS-EDULIS L.; METALLOTHIONEIN INDUCTION; HEAVY-METALS; CADMIUM; BIOACCUMULATION; GROWTH; AVAILABILITY; RESPONSES</t>
  </si>
  <si>
    <t>The artificial mussel (AM), a novel chemical sampling device, has been developed for monitoring dissolved trace metals in marine environments. The AM consists of Chelex-100 suspended in artificial seawater within Perspex tubing and enclosed with semi-permeable polyacrylamide gel at both ends. To validate the field performance of the AM in temperate waters, we deployed AMs alongside transplanted blue mussels Mytilus edulis in coastal environments in Scotland (Holy Loch, Loch Fyne, Loch Striven and Millport) and Iceland (Reykjavikurhofn, Gufunes, South of perney, Hofsvik, Hvalfjorour and Sandgeroi) for monitoring trace metals. While uptake patterns of Cd between the AM and M. edulis were highly comparable, discrepancies were found in the accumulation profiles of the other metals (Cu, Cr, Pb and Zn), in particular Zn. Nonetheless, the AMs gave a better resolution to accurately reveal the spatial difference in dissolved metal contamination when compared with M. edulis. AMs complement the use of mussels since AMs indicate dissolved metals in seawater, whereas uptake by mussels indicates a mixture of dissolved and particulate metals. Our results also indicated that historical metal exposure of the transplanted M. edulis could significantly confound their metal concentrations especially when the deployment period was short (i.e. &lt;34 d). This study suggested that the AM can overcome problems associated with variable biological attributes and pre-exposure history in the mussel, and provides a standardized and representative time-integrated estimate of dissolved metal concentrations in different marine environments. (C) 2008 Elsevier Ltd. All rights reserved.</t>
  </si>
  <si>
    <t>[Leung, Kenneth M. Y.; Furness, Robert W.] Univ Glasgow, Inst Biomed &amp; Life Sci, Glasgow G12 8QQ, Lanark, Scotland; [Svavarsson, Joerundur] Univ Iceland, Inst Biol, Reykjavik, Iceland; [Lau, T. C.; Wu, Rudolf S. S.] City Univ Hong Kong, Dept Biol &amp; Chem, Kowloon, Hong Kong, Peoples R China</t>
  </si>
  <si>
    <t>University of Glasgow; University of Iceland; City University of Hong Kong</t>
  </si>
  <si>
    <t>Leung, KMY (corresponding author), Univ Hong Kong, Swire Inst Marine Sci, Div Ecol &amp; Biodivers, Sch Biol Sci, Pokfulam, Hong Kong, Peoples R China.</t>
  </si>
  <si>
    <t>Lau, Tai-Chu/0000-0002-0867-9746; Svavarsson, Jorundur/0000-0003-1842-7515; Leung, Kenneth Mei Yee/0000-0002-2164-4281</t>
  </si>
  <si>
    <t>10.1016/j.marpolbul.2008.01.033</t>
  </si>
  <si>
    <t>WOS:000257816300070</t>
  </si>
  <si>
    <t>Bolognesi, C; Frenzilli, G; Lasagna, C; Perrone, E; Roggieri, P</t>
  </si>
  <si>
    <t>Genotoxicity biomarkers in Mytilus galloprovincialis:: Wild versus caged mussels</t>
  </si>
  <si>
    <t>biomonitoring; DNA damage; micronucleus test; chromosomal damage; wild and caged mussels</t>
  </si>
  <si>
    <t>MICRONUCLEUS TEST; DNA-DAMAGE; MARINE; POLLUTION; CONTAMINANTS; ASSAY; INDICATORS; INDUCTION; HEMOLYMPH; METAL</t>
  </si>
  <si>
    <t>A biomonitoring programme of wild and caged mussels (Mytilus galloprovincialis) was carried out at four selected sites along the Ligurian coast: Cornigliano, Voltri, Zinola, and Sanremo (Italy). Mussels of a very narrow size range were left in situ for 30 days. Adult specimen of mussels from natural substrates were collected in the same areas. Animals from a mussel farm located in La Spezia were used as controls. Micronucleus frequency and DNA single strand breaks, evaluated by alkaline elution, were used as biomarkers of genotoxicity. Mussels were also analyzed for polycyclic aromatic hydrocarbons (PAH) and heavy metals (Hg and Cd). Different gradients of PAH and metal concentrations were detected in tissues of mussels from different samplings sites. A weak correlation was found between single strand breaks and PAH content while MN frequency correlated with Hg concentration (r = 0.28, P. &lt; 0.002). A,clear distinction between the sites, allowing classification along a pollution gradient (Sanremo &lt; Zinola &lt; Voltri &lt; Cornigliano) was demonstrated by the. analysis of genotoxicity parameters. The obtained results suggested that the micronucleus assay compared with DNA damage determination by alkaline elution allow to better discriminate the selected sites. DNA damage expressed as constant of elution (k ml(-1) x 10(3)) ranges from 30 +/-9.6 to 89.60 +/- 40.10, and micronuclei frequency from. 1.78 +/- 1.04 to 24.4 +/- 12.9, in control animals and in mussels from the most polluted site, respectively. Wild mussels accumulated significant concentrations of chemicals and showed a higher induction of chromosomal damage than caged mussels, expressed as micronuclei frequency. Caged mussels showed higher level of DNA damage than wild mussels, probably as a result of recent-exposure. DNA damage was higher in September than in May, as opposed to micronuclei frequency being higher in May than in September. Endogenous and exogenous factors, such as change of pollutant input levels or compositions, could be considered the cause of such variability. (C) 2004 Elsevier B.V. All rights reserved.</t>
  </si>
  <si>
    <t>Natl Inst Canc Res, Environm Carcinogenesis Unit, I-16132 Genoa, Italy; Univ Pisa, Dept Human Morphol &amp; Appl Biol, Biol &amp; Genet Sect, I-56126 Pisa, Italy; Azienda Mediterranea Gas &amp; Acqua, Genoa, Italy</t>
  </si>
  <si>
    <t>University of Genoa; IRCCS AOU San Martino IST; University of Pisa</t>
  </si>
  <si>
    <t>Natl Inst Canc Res, Environm Carcinogenesis Unit, Largo R Benzi 10, I-16132 Genoa, Italy.</t>
  </si>
  <si>
    <t>Bolognesi, Claudia/0000-0002-9684-8406</t>
  </si>
  <si>
    <t>10.1016/j.mrfmmm.2004.06.012</t>
  </si>
  <si>
    <t>847EY</t>
  </si>
  <si>
    <t>WOS:000223376700011</t>
  </si>
  <si>
    <t>Sforzini, S; Oliveri, C; Orrù, A; Chessa, G; Pacchioni, B; Millino, C; Jha, AN; Viarengo, A; Banni, M</t>
  </si>
  <si>
    <t>Sforzini, Susanna; Oliveri, Caterina; Orru, Andrea; Chessa, Giannina; Pacchioni, Beniamina; Millino, Caterina; Jha, Awadhesh N.; Viarengo, Aldo; Banni, Mohamed</t>
  </si>
  <si>
    <t>Application of a new targeted low density microarray and conventional biomarkers to evaluate the health status of marine mussels: A field study in Sardinian coast, Italy</t>
  </si>
  <si>
    <t>Biomarkers; Targeted microarray; Mussels; Data integration</t>
  </si>
  <si>
    <t>TISSUE-SPECIFIC EXPRESSION; REAL-TIME PCR; MYTILUS-GALLOPROVINCIALIS; ENVIRONMENTAL STRESSORS; LYSOSOMAL REACTIONS; OXIDATIVE STRESS; BIVALVE MOLLUSK; DNA-ADDUCTS; RAS GENES; RESPONSES</t>
  </si>
  <si>
    <t>In the present study, we investigated the health status of marine mussels (Mytilus galloprovincialis) caged and deployed at three different sites on the Sardinian coastline characterized by different levels of contamination: Fornelli (F, the reference site), Cala Real (CR), and Porto Torres (PT). A new low density oligonucleotide microarray was used to investigate global gene expression in the digestive gland of mussels. Target genes were selected to cover most of the biological processes involved in the stress response in bivalve mollusks (e.g. DNA metabolism, translation, immune response, cytoskeleton organization). A battery of classical biomarkers was also employed to complement the gene expression analyses. Chemical analysis revealed higher loads of heavy metals (Pb and Cu) and total polycyclic aromatic hydrocarbons (PAHs) at PT compared to the other sites. In mussels deployed at CR, functional genomics analysis of the microarray data rendered 78 differentially expressed genes (DEGs) involved in 11 biological processes. Animals exposed at PT had 105 DEGs that were characterized by the regulation of 14 biological processes, including mitochondrial activity, adhesion to substrate, DNA metabolism, translation, metal resistance, and cytoskeleton organization. Biomarker data (lysosomal membrane stability, lysosomal/cytoplasm volume ratio, lipofuscin accumulation, metallothionein content, micronucleus frequency, and cyloskeleton alteration) were in trend with transcriptomic output. Biomarker data were integrated using the Mussel Expert System (MES), allowing defining the area in which the presence of chemicals is toxic for mussels. Our study provides the opportunity to adopt a new approach of integrating transcriptomic (microarray) results with classical biomarkers to assess the impact of pollutants on marine mussels in biomonitoring programs. (C) 2018 Elsevier B.V. All rights reserved.</t>
  </si>
  <si>
    <t>[Sforzini, Susanna; Oliveri, Caterina; Viarengo, Aldo; Banni, Mohamed] Univ Piemonte Orientale, Dept Sci &amp; Technol Innovat DiSIT, Vle T Michel 11, I-15121 Alessandria, Italy; [Sforzini, Susanna; Viarengo, Aldo] IRCCS Ist Ric Farmacol Mario Negri, Lab Environm Chem &amp; Toxicol, Via Giuseppe La Masa 19, I-20156 Milan, Italy; [Orru, Andrea; Chessa, Giannina] Ist Zooprofilatt Sperimentale Sardegna, Via Flli Kennedy 2, I-08100 Nuoro, Italy; [Pacchioni, Beniamina; Millino, Caterina] Univ Padua, Via U Bassi 58-b, I-35121 Padua, Italy; [Jha, Awadhesh N.] Univ Plymouth, Sch Biol &amp; Marine Sci, Plymouth PL4 8AA, Devon, England; [Banni, Mohamed] ISA, Lab Biochem &amp; Environm Toxicol, Sousse, Tunisia</t>
  </si>
  <si>
    <t>University of Eastern Piedmont Amedeo Avogadro; Istituto di Ricerche Farmacologiche Mario Negri IRCCS; IZS Della Sardegna; University of Padua; University of Plymouth; Universite de Tunis-El-Manar; Institut Salah Azaiez</t>
  </si>
  <si>
    <t>Banni, M (corresponding author), Univ Piemonte Orientale, Dept Sci &amp; Technol Innovat DiSIT, Vle T Michel 11, I-15121 Alessandria, Italy.</t>
  </si>
  <si>
    <t>susanna.sforzini@mfn.unipmn.it; m_banni@yahoo.fr</t>
  </si>
  <si>
    <t>Chessa, Giannina/0000-0002-6856-3366; Jha, Awadhesh/0000-0001-9660-4308; Banni, Mohamed/0000-0001-9764-0343; Viarengo, Aldo/0000-0002-1557-6526; Sforzini, Susanna/0000-0002-7310-7605</t>
  </si>
  <si>
    <t>Natural Environment Research Council (NERC), UK [NE/L006782/1]; Istituto Zooprofilattico Sperimentale della Sardegna [IZS SA 08/11 RC]; NERC [NE/L006782/1] Funding Source: UKRI</t>
  </si>
  <si>
    <t>Natural Environment Research Council (NERC), UK(UK Research &amp; Innovation (UKRI)Natural Environment Research Council (NERC)); Istituto Zooprofilattico Sperimentale della Sardegna; NERC(UK Research &amp; Innovation (UKRI)Natural Environment Research Council (NERC))</t>
  </si>
  <si>
    <t>This study was supported financially by the Natural Environment Research Council (NERC), UK (Grant No. NE/L006782/1; PI: ANJ) and by Istituto Zooprofilattico Sperimentale della Sardegna (IZS SA 08/11 RC).</t>
  </si>
  <si>
    <t>628-629</t>
  </si>
  <si>
    <t>10.1016/j.scitotenv.2018.01.293</t>
  </si>
  <si>
    <t>GG1QP</t>
  </si>
  <si>
    <t>WOS:000432462000035</t>
  </si>
  <si>
    <t>Atamanalp, M; Kokturk, M; Guenduez, F; Parlak, V; Ucar, A; Alwazeer, D; Alak, G</t>
  </si>
  <si>
    <t>Atamanalp, Muhammed; Kokturk, Mine; Guenduez, Fatih; Parlak, Veysel; Ucar, Arzu; Alwazeer, Duried; Alak, Gonca</t>
  </si>
  <si>
    <t>The Use of Zebra Mussel (Dreissena polymorpha) as a Sentinel Species for the Microplastic Pollution of Freshwater: The Case of Beyhan Dam Lake, Turkey</t>
  </si>
  <si>
    <t>SUSTAINABILITY</t>
  </si>
  <si>
    <t>freshwater mussel; microplastics; water pollution; Beyhan dam lake; bioindicator</t>
  </si>
  <si>
    <t>EXTRACTION; PROTOCOL; FISH</t>
  </si>
  <si>
    <t>The presence of microplastics (MPs) in several components of different ecosystems has aroused great concern and led to numerous studies on MP pollution. Although there has been an increasing number of these studies in aquatic ecosystems, no data about the MP pollution in zebra mussel (Dreissena polymorpha, Pallas 1771) living in Beyhan dam lake (Elazig, Turkiye) are available. This study aimed to investigate the presence of MPs in freshwater mussel species found in this water reservoir. The distribution and characterization of MPs were investigated by Fourier transform infrared spectroscopy (FTIR) in zebra mussel (D. polymorpha) samples at four different stations. A significant difference in the MP presence between the 1st and 4th stations was observed (p &lt; 0.05). A total of 52 MPs were determined in mussels collected from different stations in Beyhan Dam Lake. A total of 18 MPs of this total (1.80 +/- 0.92 MP/individual) were obtained in station 1 and 7 of them (0.70 +/- 0.82 MP/individual) were from the 4th station. Results of the MP investigation showed that the dominant color was black, the common size range was 1001-2000 mu m, the dominant polymer shape was fiber, and the main polymer type was polypropylene (PP). A positive correlation was found among total MP and factors (length, tissue weight, and MP/individual). The detection of MPs in a freshwater mussel of the Beyhan dam lake can be suggested as a threat indicator and offers the possibility of using D. polymorpha as a bioindicator in the aquatic ecosystems' MP pollution.</t>
  </si>
  <si>
    <t>[Atamanalp, Muhammed; Ucar, Arzu] Ataturk Univ, Fac Fisheries, Dept Aquaculture, TR-25030 Erzurum, Turkiye; [Kokturk, Mine] Igdir Univ, Fac Appl Sci, Dept Organ Agr Management, TR-76000 Igdir, Turkiye; [Guenduez, Fatih] Fisheries Res Inst, TR-23000 Elazig, Turkiye; [Parlak, Veysel] Ataturk Univ, Fac Fisheries, Dept Basic Sci, TR-25030 Erzurum, Turkiye; [Alwazeer, Duried] Igdir Univ, Res Ctr Redox Applicat Foods RCRAF, TR-76000 Igdir, Turkiye; [Alwazeer, Duried] Igdir Univ, Innovat Food Technol Dev Applicat &amp; Res Ctr, TR-76000 Igdir, Turkiye; [Alwazeer, Duried] Igdir Univ, Fac Hlth Sci, Dept Nutr &amp; Dietet, TR-76000 Igdir, Turkiye; [Alak, Gonca] Ataturk Univ, Fac Fisheries, Dept Seafood Proc, TR-25030 Erzurum, Turkiye</t>
  </si>
  <si>
    <t>Ataturk University; Igdir University; Ataturk University; Igdir University; Igdir University; Igdir University; Ataturk University</t>
  </si>
  <si>
    <t>Alak, G (corresponding author), Ataturk Univ, Fac Fisheries, Dept Seafood Proc, TR-25030 Erzurum, Turkiye.</t>
  </si>
  <si>
    <t>galak@atauni.edu.tr</t>
  </si>
  <si>
    <t>UÇAR, Arzu/AAA-2325-2022; ALAK, Gonca/HZK-0144-2023; Atamanalp, Muhammed/AAG-2950-2020; PARLAK, VEYSEL/L-3436-2018; Alwazeer, Duried/G-2589-2015</t>
  </si>
  <si>
    <t>ATAMANALP, MUHAMMED/0000-0002-2038-3921; UCAR, Arzu/0000-0001-5675-9401; alak, gonca/0000-0002-7539-1152; Alwazeer, Duried/0000-0002-2291-1628</t>
  </si>
  <si>
    <t>2071-1050</t>
  </si>
  <si>
    <t>SUSTAINABILITY-BASEL</t>
  </si>
  <si>
    <t>Sustainability</t>
  </si>
  <si>
    <t>10.3390/su15021422</t>
  </si>
  <si>
    <t>8Q3FH</t>
  </si>
  <si>
    <t>WOS:000927096000001</t>
  </si>
  <si>
    <t>Wang, S; Hu, P; Wang, HL; Wang, M; Chen, JT; Tang, JL; Ruan, DY</t>
  </si>
  <si>
    <t>Wang, Shu; Hu, Pu; Wang, Hui-Li; Wang, Ming; Chen, Ju-Tao; Tang, Jiu-Lai; Ruan, Di-Yun</t>
  </si>
  <si>
    <t>Effects of Cd2+ on AMPA receptor-mediated synaptic transmission in rat hippocampal CA1 area</t>
  </si>
  <si>
    <t>Cd2+; AMPA receptor; EPSCs; whole-cell recording; hippocampus</t>
  </si>
  <si>
    <t>PAIRED-PULSE FACILITATION; LONG-TERM POTENTIATION; FROG NEUROMUSCULAR-JUNCTION; TRANSMITTER RELEASE; GLUTAMATE-RECEPTOR; PRENATAL EXPOSURE; CADMIUM EXPOSURE; NEURONS; LEAD; CURRENTS</t>
  </si>
  <si>
    <t>Cadmium (Cd2+) is a common pollutant that causes a wide variety of toxic effects on the central nervous system. However, the mechanism of Cd2+ neurotoxicity remains to be elucidated. In the present study, we examined the effects of Cd2+ on AMPA receptor-mediated synaptic transmission and short-term synaptic plasticity in hippocampal CA1 area, using whole-cell patch clamp technique. Cd2+ significantly inhibited the peak amplitude of evoked EPSCs (eEPSCs) in a concentration-dependent manner and enhanced the short-term synaptic plasticity including paired-pulse facilitation and frequency facilitation. Cd2+ also decreased the frequency and amplitude of spontaneous EPSCs (sEPSCs) but had no effect on those of miniature EPSCs (mEPSCs). These effects of Cd2+ may involve a presynaptic mechanism of blockade of action potential-sensitive, calcium-dependent release of glutamate. In addition, Cd2+ prolonged the decay time of both sEPSCs and mEPSCs, which suggested a postsynaptic action site of Cd2+. This study demonstrates that Cd2+ impairs the Schaffer collateral-commissural-CA1 glutamatergic synaptic transmission and short-term plasticity in rat hippocampal slices, which may be a possible contributing mechanism for the Cd2+-induced neurotoxic effects. (c) 2007 Elsevier Ireland Ltd. All rights reserved.</t>
  </si>
  <si>
    <t>[Tang, Jiu-Lai] Anhui Med Univ, Affiliated Hosp, Hefei 230022, Anhui, Peoples R China; [Wang, Shu; Hu, Pu; Wang, Hui-Li; Wang, Ming; Chen, Ju-Tao; Ruan, Di-Yun] Univ Sci &amp; Technol China, Sch Life Sci, Hefei 230027, Anhui, Peoples R China</t>
  </si>
  <si>
    <t>Anhui Medical University; Chinese Academy of Sciences; University of Science &amp; Technology of China, CAS</t>
  </si>
  <si>
    <t>Tang, JL (corresponding author), Anhui Med Univ, Affiliated Hosp, Hefei 230022, Anhui, Peoples R China.</t>
  </si>
  <si>
    <t>ruandy@ustc.edu.cn</t>
  </si>
  <si>
    <t>Wang, Ming/N-8366-2013; wang, hui/GRS-4730-2022</t>
  </si>
  <si>
    <t>Wang, Hui-Li/0000-0001-6852-8002</t>
  </si>
  <si>
    <t>1879-3169</t>
  </si>
  <si>
    <t>10.1016/j.toxlet.2007.11.008</t>
  </si>
  <si>
    <t>275MQ</t>
  </si>
  <si>
    <t>WOS:000254076700006</t>
  </si>
  <si>
    <t>DOHERTY, FG</t>
  </si>
  <si>
    <t>THE ASIATIC CLAM, CORBICULA SPP, AS A BIOLOGICAL MONITOR IN FRESH-WATER ENVIRONMENTS</t>
  </si>
  <si>
    <t>Asiatic clams, Corbicula spp., are filter-feeding freshwater bivalves that are widely distrubuted, abundant, and fast growing with a lifespan of 1-3 yrs. A review of the existing literature demonstrates that Asiatic clams can concentrate organic pollutants from both water and sediment and heavy metals from water. Inconjunction with these traits, they exhibit a high tolerance for the effects resulting from exposure to toxic substances. While an organism must possess these traits to serve as an effective biological monitor, they have also permitted the Asiatic clam to rapidly colonize natural and industrial environments resulting in purported ecological disturbances and severe economic repurcussions, respectively. Its invasive biofouling attributes therefore restrict the use of Asiatic clams for biomonitoring purposes from Corbicula-free drainage systems.</t>
  </si>
  <si>
    <t>SYRACUSE RES CORP, AQUAT TOXICOL LAB, MERRILL LANE, SYRACUSE, NY 13210 USA.</t>
  </si>
  <si>
    <t>10.1007/BF00398912</t>
  </si>
  <si>
    <t>DQ271</t>
  </si>
  <si>
    <t>WOS:A1990DQ27100003</t>
  </si>
  <si>
    <t>Assessment of antioxidant responses and trace metal accumulation by digestive gland of ribbed mussel Aulacomya atra atra from Northern Patagonia</t>
  </si>
  <si>
    <t>Biomarkers; Trace metals; Oxidative stress; Ribbed mussel Aulacomya atra atra; Biomonitoring</t>
  </si>
  <si>
    <t>MYTILUS-GALLOPROVINCIALIS; HEAVY-METALS; OXIDATIVE STRESS; LIPID-PEROXIDATION; MEDITERRANEAN MUSSEL; DEFENSE ENZYMES; BEAGLE CHANNEL; BIOMARKERS; GLUTATHIONE; MECHANISMS</t>
  </si>
  <si>
    <t>Seasonal and spatial variability of trace metal concentrations and of a battery of antioxidant parameters were evaluated in digestive gland of the ribbed mussel Aulacomya atra atra. Fe, Al and Cu accumulated in tissue exhibited maximum values in winter, coinciding partially with the highest labile concentrations of Fe and Cu in sediment. Metals, as other pollutants, are known to influence the oxidative status of organisms and antioxidant enzymes have been often proposed as biomarkers of contaminant effects. Seasonal variations of trace metals did not appear to influence those of biochemical parameters, which generally showed an opposite trend with higher enzymatic activities in summer when trace metal concentrations were lower. Organisms from Punta Cuevas (control site) showed higher induction of reactive oxygen species production than those from both considered impacted sites, suggesting the possibility of some biochemical adaptation in organisms or a higher modulation of environmental and physiological factors on antioxidant responses than levels of trace metals. This study, which is the first in the area in this matter, showed that seasonal variations of potential biomarkers should be incorporated into interpretation of long-term biomonitoring studies in this marine coastal ecosystem. (c) 2013 Elsevier Inc. All rights reserved.</t>
  </si>
  <si>
    <t>[Giarratano, Erica; Gil, Monica N.] Ctr Nacl Patagon CENPAT CONICET, RA-9120 Puerto Madryn, Chubut, Argentina; [Malanga, Gabriela] Univ Buenos Aires, Fac Farm &amp; Bioquim, Fisicoquim PRALIB CONICET, RA-1113 Buenos Aires, Argentina</t>
  </si>
  <si>
    <t>Consejo Nacional de Investigaciones Cientificas y Tecnicas (CONICET); Centro Nacional Patagonico (CENPAT); University of Buenos Aires; Consejo Nacional de Investigaciones Cientificas y Tecnicas (CONICET)</t>
  </si>
  <si>
    <t>Giarratano, E (corresponding author), Ctr Nacl Patagon CENPAT CONICET, Blvd Brown 2915, RA-9120 Puerto Madryn, Chubut, Argentina.</t>
  </si>
  <si>
    <t>giarratano@cenpat.edu.ar; monicagil@cenpat.edu.ar; gmalanga@ffyb.uba.ar</t>
  </si>
  <si>
    <t>University of Buenos Aires; ANPCyT; CONICET; Laboratorio de Oceanografia Quimica y Contaminacion de Aguas (CENPAT)</t>
  </si>
  <si>
    <t>University of Buenos Aires(University of Buenos Aires); ANPCyT(ANPCyT); CONICET(Consejo Nacional de Investigaciones Cientificas y Tecnicas (CONICET)); Laboratorio de Oceanografia Quimica y Contaminacion de Aguas (CENPAT)</t>
  </si>
  <si>
    <t>This study was supported by grants from the University of Buenos Aires, ANPCyT, CONICET and funds generated by the Laboratorio de Oceanografia Quimica y Contaminacion de Aguas (CENPAT). The authors are grateful to Florencia Toteda for the assistance in the laboratory and Sr. Bernabe Urtubey for spell and grammar checking of the manuscript. We appreciate the valuable comments of the three anonymous reviewers for their constructive review of the manuscript.</t>
  </si>
  <si>
    <t>10.1016/j.ecoenv.2013.02.007</t>
  </si>
  <si>
    <t>145QA</t>
  </si>
  <si>
    <t>WOS:000319030700006</t>
  </si>
  <si>
    <t>Nusetti, O; Esclapés, M; Salazar, G; Nusetti, S; Pulido, S</t>
  </si>
  <si>
    <t>Biomarkers of oxidative stress in the polychaete Eurythoe complanata (Amphinomidae) under short term copper exposure</t>
  </si>
  <si>
    <t>MIXED-FUNCTION OXYGENASE; MYTILUS-GALLOPROVINCIALIS; ANTIOXIDANT ENZYMES; LIPID-PEROXIDATION; RESPONSES; MUSSEL; GLUTATHIONE; POLLUTION; TOXICITY; SYSTEM</t>
  </si>
  <si>
    <t>Univ Oriente, Escuela Ciencias, Cumama, Venezuela; Intevep SA, PDVSA, Caracas 1070A, Venezuela; Inst Univ Tecnol, Div Invest, Cumana 1, Venezuela</t>
  </si>
  <si>
    <t>PDVSA</t>
  </si>
  <si>
    <t>Nusetti, O (corresponding author), Univ Oriente, Escuela Ciencias, Cumama, Venezuela.</t>
  </si>
  <si>
    <t>425KT</t>
  </si>
  <si>
    <t>WOS:000168290300005</t>
  </si>
  <si>
    <t>Castello, A; Alio, V; Cammilleri, G; Sciortino, S; Macaluso, A; Ferrantelli, V; Dall'Ara, S; Pino, F; Servadei, I; Oliveri, G; Costa, A</t>
  </si>
  <si>
    <t>Castello, Annamaria; Alio, Vincenzina; Cammilleri, Gaetano; Sciortino, Sonia; Macaluso, Andrea; Ferrantelli, Vincenzo; Dall'Ara, Sonia; Pino, Fiorella; Servadei, Irene; Oliveri, Giuseppa; Costa, Antonella</t>
  </si>
  <si>
    <t>Microbiological and Toxicological Investigations on Bivalve Molluscs Farmed in Sicily</t>
  </si>
  <si>
    <t>food safety; shellfish; enteropathogenic Vibrio; Arcobacter spp.; Aeromonas spp.; Salmonella spp.; Escherichia coli; algal biotoxins</t>
  </si>
  <si>
    <t>VIBRIO-PARAHAEMOLYTICUS; ESCHERICHIA-COLI; MYTILUS-GALLOPROVINCIALIS; ADRIATIC SEA; HEAVY-METALS; MUSSELS; CLIMATE; MICROORGANISMS; TEMPERATURE; PREVALENCE</t>
  </si>
  <si>
    <t>Bivalves can concentrate biological and chemical pollutants, causing foodborne outbreaks whose occurrence is increasing, due to climatic and anthropic factors that are difficult to reverse, hence the need for improved surveillance. This study aimed to evaluate the hygienic qualities of bivalves sampled along the production and distribution chain in Sicily and collect useful data for consumer safety. Bacteriological and molecular analyses were performed on 254 samples of bivalves for the detection of enteropathogenic Vibrio, Arcobacter spp., Aeromonas spp., Salmonella spp., and beta-glucuronidase-positive Escherichia coli. A total of 96 out of 254 samples, collected in the production areas, were processed for algal biotoxins and heavy metals detection. Bacterial and algal contaminations were also assessed for 21 samples of water from aquaculture implants. Vibrio spp., Arcobacter spp., Aeromonas hydrophila, Salmonella spp., and Escherichia coli were detected in 106/254, 79/254, 12/254, 16/254, and 95/254 molluscs, respectively. A total of 10/96 bivalves tested positive for algal biotoxins, and metals were under the legal limit. V. alginolyticus, A. butzleri, and E. coli were detected in 5, 3, and 3 water samples, respectively. Alexandrium minutum, Dinophysis acuminata, Lingulodinium polyedra, and Pseudonitzschia spp. were detected in water samples collected with the biotoxin-containing molluscs. Traces of yessotoxins were detected in molluscs from water samples containing the corresponding producing algae. Despite the strict regulation by the European Commission over shellfish supply chain monitoring, our analyses highlighted the need for efficiency improvement.</t>
  </si>
  <si>
    <t>[Castello, Annamaria; Alio, Vincenzina; Cammilleri, Gaetano; Sciortino, Sonia; Macaluso, Andrea; Ferrantelli, Vincenzo; Oliveri, Giuseppa; Costa, Antonella] Ist Zooprofilatt Sperimentale Sicilia A Mirri, Via G Marinuzzi 3, I-90100 Palermo, Italy; [Dall'Ara, Sonia; Pino, Fiorella; Servadei, Irene] Fdn Ctr Ric Marine, Natl Reference Lab Marine Biotoxins, Vle A Vespucci 2, I-47042 Cesenatico, Italy</t>
  </si>
  <si>
    <t>IZS Sicilia</t>
  </si>
  <si>
    <t>Castello, A (corresponding author), Ist Zooprofilatt Sperimentale Sicilia A Mirri, Via G Marinuzzi 3, I-90100 Palermo, Italy.</t>
  </si>
  <si>
    <t>annamaria.castello@izssicilia.it; fiorella.pino@centroricerchemarine.it; irene.servadei@centroricerchemarine.it; antonella.costa@izssicilia.it</t>
  </si>
  <si>
    <t>Sciortino, Sonia/J-6454-2016; Cammilleri, Gaetano/P-2814-2015; Castello, Annamaria/AAZ-3921-2020; Costa, Antonella/E-1846-2016</t>
  </si>
  <si>
    <t>dall'ara, sonia/0000-0002-2120-6775; Costa, Antonella/0000-0002-6152-3636; Castello, Annamaria/0000-0003-2722-1244</t>
  </si>
  <si>
    <t>10.3390/foods13040552</t>
  </si>
  <si>
    <t>JG6I0</t>
  </si>
  <si>
    <t>WOS:001172047900001</t>
  </si>
  <si>
    <t>Amiard, JC; Journel, R; Bacheley, H</t>
  </si>
  <si>
    <t>Amiard, J. -C.; Journel, R.; Bacheley, H.</t>
  </si>
  <si>
    <t>Influence of field and experimental exposure of mussels (Mytilus sp.) to nickel and vanadium on metallothionein concentration</t>
  </si>
  <si>
    <t>metallothionein; vanadium; nickel; mussel; experimental exposure; field study</t>
  </si>
  <si>
    <t>BARNACLES BALANUS-IMPROVISUS; HEAVY-METAL POLLUTION; TRACE-METALS; MARINE ORGANISMS; WATER-QUALITY; EDULIS; GALLOPROVINCIALIS; BIOMARKERS; TROSSULUS; TOXICITY</t>
  </si>
  <si>
    <t>in mussels impacted by the V- and Ni-rich oil dispersed in the environment after the Erika wreck, a significant and positive correlation was observed between metallothionein (MT) and V concentrations whereas no correlation was observed between MT and Ni concentrations. Mussels were exposed separately to V and Ni in the laboratory. The highest concentrations tested (&gt;= 2000 ng V per individual; &gt;= 50 ng Ni per individual) were responsible for V and Ni bioaccumulation. In the case of V, the metal was preferentially stored in the insoluble fraction of the soft tissues but with increasing body burden, the part of soluble V increased from 19 to 41%. Metallothionein was induced in mussels exposed to V but not in those exposed to Ni. In addition, in mussels originating from a shellfish farming area which showed abnormally high levels of V, depuration showed concomitant decreases of V and MT. It is the first report in the literature of a functional link between MT and V. When interpreting surveys of metal pollution based upon the use of MT, one must be aware that V may be responsible for MT synthesis, explaining likely high levels of this biomarker in the absence of metals known as MT inducers. (c) 2008 Published by Elsevier Inc.</t>
  </si>
  <si>
    <t>[Amiard, J. -C.; Journel, R.; Bacheley, H.] Univ Nantes, Nantes Atlantique Univ, Grp SMAB EA 2160, Serv Ecotoxicol,Fac Pharm, F-44000 Nantes, France</t>
  </si>
  <si>
    <t>Nantes Universite</t>
  </si>
  <si>
    <t>Amiard, JC (corresponding author), Univ Nantes, Nantes Atlantique Univ, Grp SMAB EA 2160, Serv Ecotoxicol,Fac Pharm, 2 Rue Houssiniere,BP 92208, F-44000 Nantes, France.</t>
  </si>
  <si>
    <t>Jean-Claude.Amiard@univ-nantes.fr</t>
  </si>
  <si>
    <t>10.1016/j.cbpc.2008.01.006</t>
  </si>
  <si>
    <t>285QW</t>
  </si>
  <si>
    <t>WOS:000254792300016</t>
  </si>
  <si>
    <t>Ieshko, EP; Murzina, SA; Khurtina, SN; Nikerova, KM; Efremov, DA; Ruch'yov, MA; Parshukov, AN; Sokolov, SG; Repkina, NS; Polikarpova, NV; Terentjev, PM; Sandimirov, SS; Bernadskaya, DS</t>
  </si>
  <si>
    <t>Ieshko, Evgeny P.; Murzina, Svetlana A.; Khurtina, Svetlana N.; Nikerova, Kseniya M.; Efremov, Denis A.; Ruch'yov, Mikhail A.; Parshukov, Aleksey N.; Sokolov, Sergey G.; Repkina, Natalia S.; Polikarpova, Natalia V.; Terentjev, Petr M.; Sandimirov, Sergey S.; Bernadskaya, Daria S.</t>
  </si>
  <si>
    <t>Zn, Cu, Ni, Cd, and Pb in the foot tissue of freshwater pearl mussels from Green Belt rivers of Fennoscandia</t>
  </si>
  <si>
    <t>Freshwater pearl mussel; metals; foot; the Rivers Green Belt of Fennoscandia</t>
  </si>
  <si>
    <t>MARGARITIFERA-MARGARITIFERA L.; HEAVY-METALS; SAMPLES; CONSERVATION; POPULATIONS; MICROWAVE; TOXICITY; IMPACT; SPP.; ZINC</t>
  </si>
  <si>
    <t>Margaritifera margaritifera is a critically threatened species in Europe. Metal pollution may be one of the reasons for its decline, but the influence of this factor remains insufficiently studied. Zn, Cu, Ni, Cd, and Pb were determined in the foot tissue of the freshwater pearl mussel Margaritifera margaritifera (bivalvia, margaritiferidae) from Green Belt rivers of Fennoscandia [the Murmansk region (Kola Peninsula) and Karelia (northern part)] and the accumulation of the metals was shown to be variable; however, their levels in the molluscs, being quite long-lived aquatic organisms, do not exceed the established standards of the Russian Federation. The recorded levels of the metals in the foot tissue of the Margaritifera margaritifera can be considered indicators of the background levels of geologic and anthropogenic metal concentrations in the environment influencing the distribution and development of this protected species in the lake-river systems of the Green Belt of Fennoscandia.</t>
  </si>
  <si>
    <t>[Ieshko, Evgeny P.; Murzina, Svetlana A.; Khurtina, Svetlana N.; Efremov, Denis A.; Ruch'yov, Mikhail A.; Parshukov, Aleksey N.; Sokolov, Sergey G.; Repkina, Natalia S.] Russian Acad Sci IB KarRC RAS, Inst Biol, Karelian Res Ctr, Petrozavodsk, Russia; [Nikerova, Kseniya M.] Russian Acad Sci FRI KarRC RAS, Forest Res Inst, Karelian Res Ctr, Petrozavodsk, Russia; [Polikarpova, Natalia V.] Pasvik State Reserve, Rajakoski, Russia; [Terentjev, Petr M.; Sandimirov, Sergey S.; Bernadskaya, Daria S.] Russian Acad Sci INEP KSC RAS, Inst Ind Ecol Problems, North Kola Sci Ctr, Apatity, Russia; [Sokolov, Sergey G.] Russian Acad Sci IPEE RAS, AN Severtsov Inst Ecol &amp; Evolut, Moscow, Russia</t>
  </si>
  <si>
    <t>Russian Academy of Sciences; Karelian Research Centre of the Russian Academy of Sciences; Institute of Biology of Karelian Research Centre RAS; Russian Academy of Sciences; Karelian Research Centre of the Russian Academy of Sciences; Forest Research Institute of Karelian Research Centre Russian Academy of Sciences; Russian Academy of Sciences; Kola Science Centre of the Russian Academy of Sciences; Institute of North Industrial Ecology Problems, Kola Science Centre of the Russian Academy of Sciences; Russian Academy of Sciences; Saratov Scientific Center of the Russian Academy of Sciences; Severtsov Institute of Ecology &amp; Evolution</t>
  </si>
  <si>
    <t>Khurtina, SN (corresponding author), Russian Acad Sci IB KarRC RAS, Inst Biol, Karelian Res Ctr, Petrozavodsk, Russia.</t>
  </si>
  <si>
    <t>pek-svetlana@mail.ru</t>
  </si>
  <si>
    <t>Pekkoeva, Svetlana/AAV-1871-2021; Repkina, Natalia/A-5934-2014; Murzina, Svetlana/A-7624-2014; Terentjev, Petr/K-3164-2018; Sokolov, Sergey/J-2716-2018; Nikerova, Kseniya/H-8636-2017</t>
  </si>
  <si>
    <t>Sokolov, Sergey/0000-0002-4822-966X; Terentjev, Petr/0000-0002-6810-1823; Khurtina (Pekkoeva), Svetlana/0000-0001-8706-731X; Nikerova, Kseniya/0000-0001-8437-0858</t>
  </si>
  <si>
    <t>Ministry of Science and Higher Education of the Russian Federation under the state tasks of the Karelian Research Centre of the Russian Academy of Sciences [FMEN-2022-0005, FMEN-2022-0006, FMEN-2022-0007]; Kola Science Centre of Russian Academy of Sciences [FMEZ-2022-0008]; ENI-CBC Kolarctic project, SALMUS [KO1017]</t>
  </si>
  <si>
    <t>Ministry of Science and Higher Education of the Russian Federation under the state tasks of the Karelian Research Centre of the Russian Academy of Sciences; Kola Science Centre of Russian Academy of Sciences(Russian Academy of Sciences); ENI-CBC Kolarctic project, SALMUS</t>
  </si>
  <si>
    <t>The study was financed from the Ministry of Science and Higher Education of the Russian Federation under the state tasks of the Karelian Research Centre of the Russian Academy of Sciences [FMEN-2022-0005], [FMEN-2022-0006] and [FMEN-2022-0007] and Kola Science Centre of Russian Academy of Sciences [FMEZ-2022-0008]. The research was carried out with partial funding from ENI-CBC Kolarctic project, SALMUS, [KO1017] &lt;&lt; Salmonid Fish and Freshwater Pearl Mussel - Ecosystem Services and Biodiversity in the Green Belt of Fennoscandia &gt;&gt;.</t>
  </si>
  <si>
    <t>NOV 26</t>
  </si>
  <si>
    <t>8-10</t>
  </si>
  <si>
    <t>10.1080/02772248.2023.2244108</t>
  </si>
  <si>
    <t>SZ8M1</t>
  </si>
  <si>
    <t>WOS:001049847100001</t>
  </si>
  <si>
    <t>Liu, X; Yu, S; Chen, PJ; Hong, B; Zhang, Y; Lin, XD; Ma, T; Zhou, TT; Li, YA</t>
  </si>
  <si>
    <t>Liu, Xun; Yu, Shen; Chen, Peiji; Hong, Bing; Zhang, Yan; Lin, Xiaodan; Ma, Tao; Zhou, Tongtong; Li, Yuehai</t>
  </si>
  <si>
    <t>Metal loadings in estuarine bivalve and gastropod shellfish in response to socioeconomic development in watershed</t>
  </si>
  <si>
    <t>Metals; Socioeconomic pattern; Bivalve; Gastropod; Tissue and shell; Multi-estuaries</t>
  </si>
  <si>
    <t>HEAVY-METAL; TRACE-METALS; CONTAMINATION; POLLUTION; SEDIMENT; BIOACCUMULATION; MOLLUSKS; OYSTER; COAST; RIVER</t>
  </si>
  <si>
    <t>Metal contamination in estuary was monitored globally using shellfish while estuarine metal loadings were influenced by socioeconomic development in watershed, i.e., a watershed-estuary chain effect. Socioeconomic pattern of metal loadings in estuarine shellfish has scarcely been studied. Eight metals and metalloids (As, Cd, Cr, Cu, Hg, Ni, Pb, and Zn) highly associated with anthropogenic activities were quantified in tissue and shell of bivalves and gastropods (two feeding-habits) among 7 estuaries along the Southeastern China coast in the period 2016-2019. Results indicated that Cu and Zn in shellfish had the greatest loadings at 1,663 and 6,828 mg kg(-1)&amp; nbsp;dry mass in tissue and 387 and 151 mg kg(-1) dry mass in shell, respectively, in the most developed Estuary Yong. Metal loadings in tissue and shell of bivalves (6 common species) and gastropods (3 common species) in the estuaries were highly associated with urbanization and socioeconomic indicators in their watersheds. The socioeconomic patterns had evident shellfish class-specification and metal-dependency due to the feeding-habit. The class-specification was confirmed by the fractionation of stable isotope compositions for the socioeconomic pattern of Pb loadings in both tissue and shell. In short, both shellfish class-specification and metal dependency hinted that multi-bioindicators might be required for a comprehensive understanding of the estuarine environment quality, in particular at two dimensions of water and sediment.</t>
  </si>
  <si>
    <t>[Liu, Xun; Yu, Shen; Chen, Peiji; Hong, Bing; Zhang, Yan; Lin, Xiaodan; Ma, Tao; Zhou, Tongtong; Li, Yuehai] Chinese Acad Sci, Inst Urban Environm, Xiamen 361021, Peoples R China; [Liu, Xun; Chen, Peiji; Ma, Tao] Univ Chinese Acad Sci, Beijing 100049, Peoples R China</t>
  </si>
  <si>
    <t>Chinese Academy of Sciences; Institute of Urban Environment, CAS; Chinese Academy of Sciences; University of Chinese Academy of Sciences, CAS</t>
  </si>
  <si>
    <t>Yu, S (corresponding author), 1799 Jimei Rd, Xiamen 361021, Peoples R China.</t>
  </si>
  <si>
    <t>syu@iue.ac.cn</t>
  </si>
  <si>
    <t>Yu, Shen/C-2750-2009; ma, tao/JTS-7892-2023</t>
  </si>
  <si>
    <t>Yu, Shen/0000-0002-7543-6082</t>
  </si>
  <si>
    <t>National Natural Science Foundation of China [41661144033, 41571483, 71961137007]</t>
  </si>
  <si>
    <t>Acknowledgements This work was supported by the National Natural Science Foundation of China [No. 41661144033, 41571483, 71961137007] . Authors gratefully thank Ms. Qiaoqiao Chi and other at the Instrument Center for assistance in metal quantifications.</t>
  </si>
  <si>
    <t>10.1016/j.marenvres.2022.105593</t>
  </si>
  <si>
    <t>WOS:000779963600005</t>
  </si>
  <si>
    <t>Prat, N; Toja, J; Solà, C; Burgos, MD; Plans, M; Rieradevall, M</t>
  </si>
  <si>
    <t>Effect of dumping and cleaning activities on the aquatic ecosystems of the Guadiamar River following a toxic flood</t>
  </si>
  <si>
    <t>mining accident; river recovery; metal accumulation; mine wastes; sewage pollution</t>
  </si>
  <si>
    <t>DONANA-NATIONAL-PARK; MUSSEL DREISSENA-POLYMORPHA; SOUTH WEST SPAIN; ACID-MINE-WATER; METAL CONCENTRATIONS; CHIRONOMUS-RIPARIUS; HEAVY-METALS; CADMIUM; LARVAE; POLLUTION</t>
  </si>
  <si>
    <t>The main aim of the study was to document the recovery of the aquatic ecosystem after the release of toxic mining waste in the Guadiamar River Basin (Sevilla, SW Spain) in April 1998. Samples of water, plankton, periphyton and macroinvertebrates were taken once a month at nine sampling stations (six affected by the toxic release and three for control). Water hardness and pH recovered in a few weeks and did not change significantly thereafter in the river or in the marsh stations. Only the Agrio River (the tributary that received the initial waste dump) had a low pH (3-5) throughout the study period. High ammonia contents (up to 300 mu M) were measured at two sampling stations due to sewage and oil mill pollution. Eutrophication was also common at most of the stations, including one reference site. The planktonic community did not differ substantially between reference and affected stations. On all occasions the small phytoplankton and zooplankton (rotifers) were dominant. Compared with the reference station, chlorophyll a in the riverine area increased, especially in the sewage-affected stations, while in the marsh area, no significant differences were found between affected and reference stations. After 6 months of cleaning operations, in November 1998 the macroinvertebrate community of the river was composed mainly of species of short life cycles typical of ponds (Heteroptera, Coleoptera and Odonata), while typical riverine species found at the upstream control station had not recolonised the river due to the transformation of the river into a series of artificial ponds constructed as sediment traps. An analysis of variance showed significantly higher values (P &lt; 0.05) for all heavy metals analysed (Zn, Cu, Pb, As, Cd, Sb, Tl) in plankton and macroinvertebrate communities from impacted sites. Values found in invertebrates were highly variable, with a mean concentration of the most abundant metals, Zn and Cu, between two and three times those found in unpolluted areas. Values for As were up to five times higher while Pb, Sb and Tl showed up to 10-fold increases. At the affected stations, the metal concentrations found in biofilms, plankton and particulate material were more than five times greater than those in invertebrates. The slow recovery of the aquatic ecosystem clearly reflected the impact of the metal discharge and the subsequent cleaning activities following the mine spill, as well as the sewage inputs at two of the stations studied. (C) 1999 Elsevier Science B.V. All rights reserved.</t>
  </si>
  <si>
    <t>Univ Barcelona, Dept Ecol, E-08028 Barcelona, Spain; Univ Sevilla, Dept Plant Biol &amp; Ecol, E-41080 Seville, Spain</t>
  </si>
  <si>
    <t>University of Barcelona; University of Sevilla</t>
  </si>
  <si>
    <t>Prat, N (corresponding author), Univ Barcelona, Dept Ecol, Av Diagonal 645, E-08028 Barcelona, Spain.</t>
  </si>
  <si>
    <t>Prat, Narcis/D-4405-2014</t>
  </si>
  <si>
    <t>10.1016/S0048-9697(99)00393-9</t>
  </si>
  <si>
    <t>WOS:000084565400017</t>
  </si>
  <si>
    <t>Iqbal, ANMZ; Khan, MS</t>
  </si>
  <si>
    <t>Iqbal, Muhammed Zafar A. N.; Khan, M. S.</t>
  </si>
  <si>
    <t>A novel DNase like compound that inhibits virus propagation from Asian Green Mussel, Perna viridis (Linn.)</t>
  </si>
  <si>
    <t>Antiviral property; Bivalves; DNase-like bioactivity; Plasmid pBR 322</t>
  </si>
  <si>
    <t>MYTILUS-GALLOPROVINCIALIS; VIRAL-INFECTIONS; MARINE BIVALVES; ANTIVIRAL DRUGS; ADRIATIC SEA; DENGUE; CULTURE; INDIA</t>
  </si>
  <si>
    <t>Viral diseases are not only responsible for health related issues but also exert pressure on the Stateeconomy. Tropical and subtropical countries have more prevalence of virus associated pathological conditions such as chickenpox, adenovirus related infections, dengue, chickengunya, infectious mononucleosis, etc. Treatment options with effective antiviral drugs are limited and are unfortunately not free from undesirable effects. The Asian Green Mussel, Perna viridis (Linn.) (Mytilidae) are not only important for their evolutionary significance, high caloric index, ecological role in the sequestration of environmental pollutants especially heavy metals, but also are potential source for extraction of therapeutic and bioactive compounds. On the other hand, generally in bivalves, virus mediated mortality is not uncommon. In this study, we made a maiden attempt of exploring DNAse like bioactivity for natural non-protenacious compound(s) extracted from P. viridis. Crude Methanol Extract (CME) of soft tissue of P. viridis and subsequently its partially purified component (PPC) possess exceptional ability to degrade indiscriminately both low and high molecular weight DNAs. In vitro digestions for1, 2 and 3 h with CME and PPC were found to be comparable to commercial (Sigma-Aldrich) enzyme, DNase I. Bioactive assays conducted to evaluate antimicrobial property, have shown that CME and PPC exclusively inhibit viral propagation. Nonetheless, CME &amp; PPC have no effect on the propagation of bacteria (0 mm ZOI). These results indicate the possibility of a source of potential antiviral drug against DNA Group I viruses. Although our study does not provide any data to correlate to any physiological functions of these substances but provides a clue towards an important role in the biology of mussels. Any conclusion at this stage is premature. However, taking into consideration the significantly high virus mediated mortality in bivalves and the antiviral bioactivity of these substances, it appears that mussels have evolved some mechanisms to counteract some viruses.</t>
  </si>
  <si>
    <t>[Iqbal, Muhammed Zafar A. N.; Khan, M. S.] CSIR, Div Biol Oceanog, Natl Inst Oceanog, Panaji 403004, Goa, India; [Khan, M. S.] Integral Univ, Dept Biotechnol, Kursi Rd, Lucknow 226026, Uttar Pradesh, India; [Iqbal, Muhammed Zafar A. N.] Govt Arts &amp; Sci Coll, Dept Post Grad Studies Zool, Karwar 581301, Karnataka, India</t>
  </si>
  <si>
    <t>Council of Scientific &amp; Industrial Research (CSIR) - India; CSIR - National Institute of Oceanography (NIO); Integral University</t>
  </si>
  <si>
    <t>Iqbal, ANMZ (corresponding author), CSIR, Div Biol Oceanog, Natl Inst Oceanog, Panaji 403004, Goa, India.;Iqbal, ANMZ (corresponding author), Govt Arts &amp; Sci Coll, Dept Post Grad Studies Zool, Karwar 581301, Karnataka, India.</t>
  </si>
  <si>
    <t>zafar_ian@yahoo.co.uk</t>
  </si>
  <si>
    <t>Navalgund, Dr. Muhammed Zafar Iqbal/Z-1985-2018</t>
  </si>
  <si>
    <t>Navalgund, Dr. Muhammed Zafar Iqbal/0000-0002-7616-1228</t>
  </si>
  <si>
    <t>Department of Biotechnology, Government of India, New Delhi</t>
  </si>
  <si>
    <t>Department of Biotechnology, Government of India, New Delhi(Department of Biotechnology (DBT) India)</t>
  </si>
  <si>
    <t>The authors acknowledge the Department of Biotechnology, Government of India, New Delhi for providing the financial support.</t>
  </si>
  <si>
    <t>EE4FZ</t>
  </si>
  <si>
    <t>WOS:000389559000003</t>
  </si>
  <si>
    <t>Raith, A; Perkins, WT; Pearce, NJG; Jeffries, TE</t>
  </si>
  <si>
    <t>Environmental monitoring on shellfish using UV laser ablation ICP-MS</t>
  </si>
  <si>
    <t>German ICP-MS Users Meeting</t>
  </si>
  <si>
    <t>SEP 01-04, 1995</t>
  </si>
  <si>
    <t>WERNIGERODE, GERMANY</t>
  </si>
  <si>
    <t>HEAVY-METALS; ELEMENTS; WALES</t>
  </si>
  <si>
    <t>Laser ablation inductive coupled plasma - mass spectrometry (LA-ICP-MS) was used to analyse minor and trace elements in the hard parts of a shellfish, representing the environmental changes. A large, long-lived bivalve such as Arctica islandica can produce historical records of trace element fluctuations in seawater. Analytical traverses using LA-ICP-MS were performed from the inner to the outer wall of the shell at different locations. The development of the UV laser system now offers spatial resolution of craters of 10 mu m diameter, enabling several analyses between the various growthbands. The elemental changes between growthbands of the shell are discussed, showing the potential for precise determination of heavy-metal pollution over the years.</t>
  </si>
  <si>
    <t>UNIV COLL WALES, INST EARTH STUDIES, ABERYSTWYTH SY23 3DB, DYFED, WALES</t>
  </si>
  <si>
    <t>Raith, A (corresponding author), VG ELEMENTAL, ION PATH, RD 3, WINSFORD CW7 3BX, CHESHIRE, ENGLAND.</t>
  </si>
  <si>
    <t>Jeffries, Teresa/F-4415-2014; Pearce, Nicholas J G/B-5295-2009</t>
  </si>
  <si>
    <t>UY975</t>
  </si>
  <si>
    <t>WOS:A1996UY97500007</t>
  </si>
  <si>
    <t>Sarkar, A; Ray, D; Shrivastava, AN; Sarker, S</t>
  </si>
  <si>
    <t>Sarkar, A.; Ray, D.; Shrivastava, Amulya N.; Sarker, Subhodeep</t>
  </si>
  <si>
    <t>Molecular biomarkers: Their significance and application in marine pollution monitoring</t>
  </si>
  <si>
    <t>International Workshop on Marine Pollution and Ecotoxicology</t>
  </si>
  <si>
    <t>FEB 25-26, 2004</t>
  </si>
  <si>
    <t>Natl Inst Oceanog, Dona Paula, INDIA</t>
  </si>
  <si>
    <t>Natl Inst Oceanog</t>
  </si>
  <si>
    <t>molecular biomarker; cytochrome P4501A enzyme induction; DNA integrity; acetylcholinesterase inhibition; metallothioneins induction; marine pollution; marine mollusks</t>
  </si>
  <si>
    <t>MUSSEL MYTILUS-GALLOPROVINCIALIS; LYSOSOMAL MEMBRANE STABILITY; DNA-STRAND BREAKS; ACETYLCHOLINESTERASE ACTIVITY; PERNA-VIRIDIS; METAL CONTAMINATION; TOXICITY ASSESSMENT; CRASSOSTREA-GIGAS; DIGESTIVE GLAND; ASTERIAS-RUBENS</t>
  </si>
  <si>
    <t>This paper presents an overview of the significance of the use of molecular biomarkers as diagnostic and prognostic tools for marine pollution monitoring. In order to assess the impact of highly persistent pollutants such as polychlorinated biphenyls (PCB), polychlorinated dibenzo-dioxins (PCDD), polychlorinated dibenzo-furans (PCDF), polynuclear aromatic hydrocarbons (PAH), tributyltin (TBT) and other toxic metals on the marine ecosystem a suite of biomarkers are being extensively used worldwide. Among the various types of biomarkers, the following have received special attention: cytochrome P4501A induction, DNA integrity, acetylcholinesterase activity and metallothionein induction. These biomarkers are being used to evaluate exposure of various species of sentinel marine organisms (e.g. mussels, clams, oysters, snails, fishes, etc.) to and the effect of various contaminants (organic xenobiotics and metals) using different molecular approaches [biochemical assays, enzyme linked immuno-sorbent assays (ELISA), spectrophotometric, fluorometric measurement, differential pulsed polarography, liquid chromatography, atomic absorption spectrometry]. The induction of the biotransformation enzyme, cytochrome P4501A in fishes (Callionymus lyra, Limanda limanda, Serranus sp., Mullus barbatus) and mussels (Dreissena polymorpha) by various xenobiotic contaminants such as PCBs, PAHs, PCDs is used as a biomarker of exposure to such organic pollutants. The induction of cytochrome P4501A is involved in chemical carcinogenesis through catalysis of the covalent bonding of organic contaminants to a DNA strand leading to formation of DNA adduct. Measurement of the induction of cytochrome P4501A in terms of EROD (7-ethoxy resorufin O-deethylase) activity is successfully used as a potential biomarker of exposure to xenobiotic contaminants in marine pollution monitoring. In order to assess the impact of neurotoxic compounds on marine environment the evaluation of acetylcholinesterase activity in marine organisms is used as a biomarker of exposure to neurotoxic agents such as organophosphorus, carbamate pesticides etc. Metallothioneins (MTs) are induced by toxic metals such as Cd, Hg, and Cu by chelation through cysteine residues and are used in both vertebrates and invertebrates as a biomarker of metal exposure. The measurement of the levels of DNA integrity in marine organisms such as Sea stars (Asterias rubens) from the North Sea and the marine snails (Planaxis sulcatus) from the Arabian Sea along the Goa coast exposed to environmental xenobiotic contaminants clearly indicated the extent and the nature of pollution at the sampling sites along coastal environment.</t>
  </si>
  <si>
    <t>Natl Inst Oceanog, Chem Oceanog Div, Marine Pollut Assessment &amp; Ecotoxicol Grp, Panaji 403004, Goa, India; Birla Inst Technol, Dept Biotechnol, Mesra 835215, Ranchi, India</t>
  </si>
  <si>
    <t>Council of Scientific &amp; Industrial Research (CSIR) - India; CSIR - National Institute of Oceanography (NIO); Birla Institute of Technology Mesra</t>
  </si>
  <si>
    <t>Sarkar, A (corresponding author), Natl Inst Oceanog, Chem Oceanog Div, Marine Pollut Assessment &amp; Ecotoxicol Grp, Panaji 403004, Goa, India.</t>
  </si>
  <si>
    <t>anupam1_in@yahoo.com</t>
  </si>
  <si>
    <t>Shrivastava, Amulya Nidhi/0000-0002-1322-8018; Sarker, Subhodeep/0000-0002-2222-2072</t>
  </si>
  <si>
    <t>10.1007/s10646-006-0069-1</t>
  </si>
  <si>
    <t>056JF</t>
  </si>
  <si>
    <t>WOS:000238518000003</t>
  </si>
  <si>
    <t>Zha, GC; Chen, VP; Luk, WKW; Zou, XH; Choi, RCY; Tsim, KWK</t>
  </si>
  <si>
    <t>Zha, Guangcai; Chen, Vicky P.; Luk, Wilson K. W.; Zou, Xianghui; Choi, Roy C. Y.; Tsim, Karl W. K.</t>
  </si>
  <si>
    <t>Characterization of acetylcholinesterase in Hong Kong oyster (Crassostrea hongkongensis) from South China Sea</t>
  </si>
  <si>
    <t>International Meeting on Cholinesterases</t>
  </si>
  <si>
    <t>JUN 04-09, 2012</t>
  </si>
  <si>
    <t>Kazan, RUSSIA</t>
  </si>
  <si>
    <t>Acetylcholinesterase; Oyster; Organophosphate; Biomarker</t>
  </si>
  <si>
    <t>BIOMARKERS; POLLUTION; CHOLINESTERASES; ORGANOPHOSPHATE; IDENTIFICATION; DICHLORVOS; EXPRESSION; VIRGINICA; EXPOSURE; BIVALVIA</t>
  </si>
  <si>
    <t>Acetylcholinesterase (AChE) activity has been used to evaluate the exposure of mollusk bivalves to organophosphates, carbamate pesticides, and heavy metals. Crassostrea hongkongensis is a Hong Kong endemic oyster, and has a high commercial value along the coastal area of South China. The use of this species as a bio-indicator of the marine environment, and the use of AChE activity measurements in tissues of C. hongkongensis require prior characterization of AChE in this species. Here, we report that gill tissue contains the highest AChE activity in C hongkongensis, and that the molecular form of AChE is most likely to be a dimeric form. In addition, the effect of the pesticide acephate on AChE activity in the gill of C hongkongensis was analyzed, and the mean inhibition concentration (IC50) value was determined. This study suggests that AChE activity in the gill tissue of C. hongkongensis might be used as a biomarker in monitoring organophosphate contamination in the marine fauna of South China. (C) 2012 Elsevier Ireland Ltd. All rights reserved.</t>
  </si>
  <si>
    <t>[Zha, Guangcai; Zou, Xianghui] Hanshan Normal Univ, Dept Biol, Chaozhou, Guangdong, Peoples R China; [Chen, Vicky P.; Luk, Wilson K. W.; Choi, Roy C. Y.; Tsim, Karl W. K.] Hong Kong Univ Sci &amp; Technol, Div Life Sci, Ctr Chinese Med, Hong Kong, Hong Kong, Peoples R China; [Chen, Vicky P.; Luk, Wilson K. W.; Choi, Roy C. Y.; Tsim, Karl W. K.] Hong Kong Univ Sci &amp; Technol, State Key Lab Mol Neurosci, Hong Kong, Hong Kong, Peoples R China</t>
  </si>
  <si>
    <t>Hanshan Normal University; Hong Kong University of Science &amp; Technology; Hong Kong University of Science &amp; Technology</t>
  </si>
  <si>
    <t>Tsim, KWK (corresponding author), Hong Kong Univ Sci &amp; Technol, Div Life Sci, Ctr Chinese Med, Clear Water Bay Rd, Hong Kong, Hong Kong, Peoples R China.</t>
  </si>
  <si>
    <t>BOTSIM@UST.HK</t>
  </si>
  <si>
    <t>CHEN, VICKY/C-9223-2016</t>
  </si>
  <si>
    <t>Tsim, Karl/0000-0003-4808-1674</t>
  </si>
  <si>
    <t>Research Grants Council of Hong Kong SAR [662911, TUYF12SC03, G_HK015-I/II, 660409, 660411, 2011B050300018]; Marie Curie Actions (MSCA) [660411] Funding Source: Marie Curie Actions (MSCA)</t>
  </si>
  <si>
    <t>Research Grants Council of Hong Kong SAR(Hong Kong Research Grants Council); Marie Curie Actions (MSCA)(Marie Curie Actions)</t>
  </si>
  <si>
    <t>This research was supported by Research Grants Council of Hong Kong SAR (662911 &amp; TUYF12SC03 to KWKT; G_HK015-I/II, 660409 &amp; 660411 to RCYC; and 2011B050300018 to GCZ).</t>
  </si>
  <si>
    <t>MAR 25</t>
  </si>
  <si>
    <t>10.1016/j.cbi.2012.09.005</t>
  </si>
  <si>
    <t>134HU</t>
  </si>
  <si>
    <t>WOS:000318201800055</t>
  </si>
  <si>
    <t>Time changes in biomarker responses in two species of oyster transplanted into a metal contaminated estuary</t>
  </si>
  <si>
    <t>Oysters; Metals, estuarine pollution; Biomarkers</t>
  </si>
  <si>
    <t>LYSOSOMAL MEMBRANE STABILITY; SYDNEY ROCK OYSTER; CRASSOSTREA-GIGAS; MYTILUS-GALLOPROVINCIALIS; SACCOSTREA-GLOMERATA; LIPID-PEROXIDATION; OXIDATIVE STRESS; PACIFIC OYSTER; METALLOTHIONEIN CONCENTRATION; CADMIUM ACCUMULATION</t>
  </si>
  <si>
    <t>The Jiulong Estuary in Southern China suffers from serious metal pollution, leading to the appearance of 'colored' oysters in this estuary. In this study, two species of oysters Crassostrea hongkongensis and Crassostrea angulata were transplanted to three sites in the Jiulong Estuary over a two-month period. The time-series changes of various biomarkers were measured, coupled with simultaneous quantification of metal bioaccumulation (Ag, Cd, Cr, Cu, Ni and Zn). Cu and Zn accumulation increased linearly and reached up to 2% and 1.5% dry tissue weight by the end of exposure. Negative correlations between the tissue Cu or Zn accumulation and catalase or superoxide dismutase activities strongly indicated that Cu and Zn in 'colored' oysters induced the adjustments of oyster antioxidant systems. Metallothionein (MT) detoxification was insufficient for sequestering all the absorbed metals and its concentrations in the oysters were suppressed following an initial increase, primarily due to the high metal accumulation in the tissues. Interestingly, gradual recoveries of lysosomal membrane stability after the initial strong inhibitions were observed in both oysters. We also documented an increasing 'watering' of oyster tissues presumably as a result of rupturing of tissue cells under metal stress. This study demonstrated the complexity of biomarker responses under field condition, therefore the time changes of biomarker responses to metals need to be considered in evaluating the biological impacts of metal pollution on estuarine organisms. (C) 2015 Elsevier B.V. All rights reserved.</t>
  </si>
  <si>
    <t>[Liu, Xuan; Wang, Wen-Xiong] Hong Kong Univ Sci &amp; Technol, Div Life Sci, Kowloon, Hong Kong, Peoples R China</t>
  </si>
  <si>
    <t>We are very grateful to the anonymous reviewers for their helpful suggestions. This work was supported by supported by a Key Project from the National Natural Science Foundation (21237004) and a General Research Fund grant from the Hong Kong Research Grants Council (662813).</t>
  </si>
  <si>
    <t>10.1016/j.scitotenv.2015.11.120</t>
  </si>
  <si>
    <t>DC8TB</t>
  </si>
  <si>
    <t>WOS:000369491500033</t>
  </si>
  <si>
    <t>Riba, I; García-Luque, E; Maz-Courrau, A; de Canales, MLG; DelValls, TA</t>
  </si>
  <si>
    <t>Riba, Inmaculada; Garcia-Luque, Enrique; Maz-Courrau, Alejandra; Luisa Gonzalez de Canales, Maria; Angel DelValls, Tomas</t>
  </si>
  <si>
    <t>Influence of Salinity in the Bioavailability of Zn in Sediments of the Gulf of Cadiz (Spain)</t>
  </si>
  <si>
    <t>Zinc; Bioavailability; Toxicity; Ruditapes philippinarum; Gulf of Cadiz</t>
  </si>
  <si>
    <t>HEAVY-METALS; MARINE-SEDIMENTS; TOXICITY; RESPONSES; BAY; PH</t>
  </si>
  <si>
    <t>This study assesses the effect of salinity in bioavailability and toxicity of Zn by means of laboratory bioassays by observing contamination in both sediment and water, accumulation of Zn in biological tissues, and histopathological damage in the gills and guts tissues of Ruditapes philippinarum clams, which were exposed to different types of sediments from the Gulf of Cadiz (SW Spain) as well as two dilutions of toxic mud coming from an accidental mining spill. With this objective, the coefficients of distribution (K (D)) for Zn between overlying water and sediments were calculated, the histopathological frequencies in the tissues of the gills and guts of clams were determined, and the biota-sediment bioaccumulation factors as well as the bioaccumulation factors were quantified in the different stations. Results showed that the greatest histopathological damages appeared when the salinity values decreased. Statistical results showed that salinity was inversely correlated with histopathological damage (p &lt; 0.01) for the lesion index for gills. The most outstanding results were observed in the two dilutions of toxic mud (0.3% and 7.9%) at a salinity value of 10. Salinity was inversely correlated with the concentration of Zn in biological tissues (p &lt; 0.05) and inversely correlated with the concentration of Zn in water and sediment. Zn mobilization to the overlying water is produced when salinity values decrease.</t>
  </si>
  <si>
    <t>[Riba, Inmaculada; Garcia-Luque, Enrique; Maz-Courrau, Alejandra; Angel DelValls, Tomas] Univ Cadiz, Dpto Quim Fis, Fac Ciencias Mar, Cadiz 11510, Spain; [Riba, Inmaculada] CSIC, ICMAN, Cadiz 11510, Spain; [Luisa Gonzalez de Canales, Maria] Univ Cadiz, Dpto Biol, Fac Ciencias Mar, Cadiz 11510, Spain</t>
  </si>
  <si>
    <t>Universidad de Cadiz; Consejo Superior de Investigaciones Cientificas (CSIC); CSIC - Instituto de Ciencias Marinas de Andalucia (ICMAN); Universidad de Cadiz</t>
  </si>
  <si>
    <t>García-Luque, E (corresponding author), Univ Cadiz, Dpto Quim Fis, Fac Ciencias Mar, Campus Rio San Pedro S-N, Cadiz 11510, Spain.</t>
  </si>
  <si>
    <t>Garcia-Luque, Enrique/L-8743-2014; Del Valls, T. Angel/K-9664-2014</t>
  </si>
  <si>
    <t>Garcia-Luque, Enrique/0000-0002-8218-1583; Del Valls, T. Angel/0000-0001-7674-9278; Riba, Inmaculada/0000-0003-1271-2534</t>
  </si>
  <si>
    <t>10.1007/s11270-010-0346-8</t>
  </si>
  <si>
    <t>652EH</t>
  </si>
  <si>
    <t>WOS:000281983900028</t>
  </si>
  <si>
    <t>Kavun, VY; Yurchenko, OV; Podgurskaya, OV</t>
  </si>
  <si>
    <t>Kavun, Victor Ya.; Yurchenko, Olga V.; Podgurskaya, Olga V.</t>
  </si>
  <si>
    <t>Integrated assessment of the acclimation capacity of the marine bivalve Crenomytilus grayanus under naturally highly contaminated conditions: Subcellular distribution of trace metals and structural alterations of nephrocytes</t>
  </si>
  <si>
    <t>Mussels; Upwelling; Nephrocyte ultrastructure; Subcellular partitioning</t>
  </si>
  <si>
    <t>MUSSEL MYTILUS-GALLOPROVINCIALIS; SNAIL LYMNAEA-STAGNALIS; KURIL ISLANDS; METALLOTHIONEIN INDUCTION; ACCUMULATION KINETICS; AQUATIC INVERTEBRATES; CADMIUM ACCUMULATION; MODIOLUS-MODIOLUS; CRASSOSTREA-GIGAS; OXIDATIVE STRESS</t>
  </si>
  <si>
    <t>The aim of our work was to assess whether the cellular processes in the nephrocytes of the long-lived mussel Crenomytilus grayanus tend to acclimation or destruction under trace metal contamination. Mussels were collected from three sites in the north-western Pacific Ocean: reference site, upwelling site, and a site highly contaminated with trace metals. Concentration, subcellular distribution of trace metals (Cd, Cu, Zn, and Pb) in the mussel kidneys, and ultrastructural alterations of the nephrocytes were studied. To assess the total load of accumulated trace metals, the total concentration coefficient (Sigma CC) was determined. In the kidneys of the reference C. grayanus, trace metals were eliminated from cell metabolism mainly by lysosomal granules or residue bodies. Under high levels of contamination, the defense mechanisms of C. grayanus are practically suppressed (no metallothionein-like protein peak, decreased content of granules) by the total effect of accumulated pollutants that leads to the destruction of cellular structures. Under natural conditions (upwelling site), increased accumulation of trace metals in the mussel kidneys did not lead to an increase in the number or size of lysosomal granules. However, abnormal high Cd accumulation in the kidneys caused the synthesis of high levels of metallothionein-like proteins that sequester most of the studied trace metals. To quickly lower the metal levels in nephrocytes under these conditions, a unique long-term acclimatory response apocrine-like secretion in nephrocytes, which provides rapid elimination of meMTLP complexes from the cell arose. Thus, our integrated study of the subcellular distribution of trace metals and ultrastructural alterations in nephrocytes allowed us to characterize the features of the structural and functional alterations in mussel cells under the field conditions tested.</t>
  </si>
  <si>
    <t>[Kavun, Victor Ya.; Yurchenko, Olga V.; Podgurskaya, Olga V.] Russian Acad Sci, Far Eastern Brunch, AV Zhirmunsky Natl Sci Ctr Marine Biol, Vladivostok 690041, Russia</t>
  </si>
  <si>
    <t>Podgurskaya, OV (corresponding author), Russian Acad Sci, Far Eastern Brunch, AV Zhirmunsky Natl Sci Ctr Marine Biol, Vladivostok 690041, Russia.</t>
  </si>
  <si>
    <t>Kavun, Victor/0000-0003-4739-4951; Yurchenko, Olga/0000-0001-6499-0195; Podgurskaya, Olga/0000-0002-9100-7069</t>
  </si>
  <si>
    <t>Russian Foundation for Basic Research [19-04-00792]</t>
  </si>
  <si>
    <t>The authors sincerely thank Dr. A. Reunov for his help duringmaterial preparing, Dr. Alexander Kalachev for his help in stereological analysis and the staff of the Far East Centre of Electron Microscopy for their technical assistance in TEMstudies. The ultrastructural study (transmission electron microscopy) was supported by the Russian Foundation for Basic Research (grants.18-34-20064 and 19-04-00792).</t>
  </si>
  <si>
    <t>10.1016/j.scitotenv.2020.139015</t>
  </si>
  <si>
    <t>LY1HB</t>
  </si>
  <si>
    <t>WOS:000540272000012</t>
  </si>
  <si>
    <t>Toledo-Ibarra, GA; Resendiz, KJGD; Ventura-Ramón, GH; Romero-Bañuelos, CA; Medina-Díaz, IM; Rojas-García, AE; Vega-López, A; Girón-Pérez, MI</t>
  </si>
  <si>
    <t>Toledo-Ibarra, G. A.; Diaz Resendiz, K. J. G.; Ventura-Ramon, G. H.; Romero-Banuelos, C. A.; Medina-Diaz, I. M.; Rojas-Garcia, A. E.; Vega-Lopez, A.; Giron-Perez, M. I.</t>
  </si>
  <si>
    <t>Assessment of pollution of the Boca de Camichin Estuary in Nayarit (Mexico) and its influence on oxidative stress in Crassostrea corteziensis oysters</t>
  </si>
  <si>
    <t>Oyster; Contamination; Oxidative stress; Boca de Camichin estuary</t>
  </si>
  <si>
    <t>ANTIOXIDANT ENZYMES; HEAVY-METALS; ANTIFOULING PAINT; DIGESTIVE GLAND; TRACE-METALS; PERNA-PERNA; EXPOSURE; VIRGINICA; MUSSEL; ACETYLCHOLINESTERASE</t>
  </si>
  <si>
    <t>Boca de Camichin Estuary is one of the main producers of Crassostrea corteziensis oysters in Mexico, but the presence of pollutants can affect oyster production. Molluscs produce reactive oxygen species (ROS) in response to changes in the environment and pollution. These ROS induce oxidative damage in biomolecules. The main objective of this study was to evaluate pollution in the estuary and the subsequent oxidative stress in C. corteziensis oysters during the 2010 production cycle. For this aim, we performed monthly samplings in the oyster farms from January to May. We took water samples to quantify polycyclic aromatic hydrocarbon (PAH) and metal content; also, we evaluated oxidative damage (lipoperoxidation, lipidic hydroperoxides, protein oxidation) and enzyme activity (CAT, SOD, GPx, GST and AChE) in oyster gills. The results show the presence of Cu, Fe, Mn, naphthalene, benz[a]anthracene, pyrene, benz[a]pyrene and benzo[k]fluoranthene. On the other hand, AChE activity was not inhibited, which suggests that organophosphorus pollutants or carbamates were absent. Regarding oxidative stress, oysters from the estuary had oxidative damage in lipids, not proteins, and altered antioxidant enzyme activity, when compared to control organisms. Interestingly, we did not observe any correlation between the pollutants and the oxidative stress parameters evaluated in this study. Thus, we cannot rule out that a synergistic effect between the environmental variables and the pollutants is causing the oxidative stress in these oysters. (C) 2016 Elsevier Inc All rights reserved.</t>
  </si>
  <si>
    <t>[Toledo-Ibarra, G. A.; Diaz Resendiz, K. J. G.; Giron-Perez, M. I.] Univ Autonoma Nayarit, Lab Inmunotoxicol, Cd Culture Amado Nervo S-N, Tepic 63000, Nayarit, Mexico; [Ventura-Ramon, G. H.] Univ Autonoma Nayarit, Unidad Acad Ciencias Quim Biol &amp; Farmaceut, Cd Culture Amado Nervo S-N, Tepic 63000, Nayarit, Mexico; [Romero-Banuelos, C. A.; Medina-Diaz, I. M.; Rojas-Garcia, A. E.] Univ Autonoma Nayarit, Lab Contaminat &amp; Toxicol Ambiental, Cd Culture Amado Nervo S-N, Tepic 63000, Nayarit, Mexico; [Vega-Lopez, A.] Inst Politecn Nacl, Escuela Natl Ciencias Biol, Lab Toxicol Ambiental, Unidad Profes Zacatenco, Av Wilfrido Massieu S-N, Mexico City 07738, DF, Mexico</t>
  </si>
  <si>
    <t>Girón-Pérez, MI (corresponding author), Univ Autonoma Nayarit, Lab Inmunotoxicol, Cd Culture Amado Nervo S-N, Tepic 63000, Nayarit, Mexico.</t>
  </si>
  <si>
    <t>García, Aurora/C-7120-2018; GIRON, MANUEL/AAE-9629-2021; Vega-Lopez, Armando/E-4211-2012; Diaz Resendiz, Karina Janice Guadalupe/AFS-4746-2022</t>
  </si>
  <si>
    <t>Medina Diaz, Irma Martha/0000-0001-8923-3895; GIRON-PEREZ PhD., MANUEL IVAN/0000-0001-6808-6590; Vega-Lopez, Armando/0000-0001-8827-4353; Ventura Ramon, Guadalupe Herminia/0000-0003-3573-965X; Diaz Resendiz, Karina Janice Guadalupe/0000-0002-9602-9881</t>
  </si>
  <si>
    <t>10.1016/j.cbpa.2016.05.003</t>
  </si>
  <si>
    <t>WOS:000383936700006</t>
  </si>
  <si>
    <t>Chiesa, S; Chainho, P; Almeida, A; Figueira, E; Soares, AMVM; Freitas, R</t>
  </si>
  <si>
    <t>Chiesa, Stefania; Chainho, Paula; Almeida, Angela; Figueira, Etelvina; Soares, Amadeu M. V. M.; Freitas, Rosa</t>
  </si>
  <si>
    <t>Metals and As content in sediments and Manila clam Ruditapes philippinarum in the Tagus estuary (Portugal): Impacts and risk for human consumption</t>
  </si>
  <si>
    <t>Manila clam; Tagus estuary; Metals and As content; Health risk; Biomarkers</t>
  </si>
  <si>
    <t>COCKLES CERASTODERMA-EDULE; VENICE LAGOON; OXIDATIVE STRESS; BIOACCUMULATION PATTERNS; BIOMARKER RESPONSES; QUALITY ASSESSMENT; SURFACE SEDIMENTS; COASTAL AREAS; HEAVY-METALS; CONTAMINATION</t>
  </si>
  <si>
    <t>The Manila clam is emerging as a relevant species for the Portuguese market. The present work was conducted in the Tagus estuary to evaluate 1) the metals and As content in the sediments of the Tagus estuary, especially on those areas subjected to Manila clam harvesting 2) the metals and As content in clams, and the risk associated with their consumption 3) the physiological and biochemical responses of the clam to metals and As contamination, and its possible role as a pollution bioindicator in the estuarine environment. The most contaminated sediments were identified nearby industrial areas, nevertheless clams collected in low contaminated areas showed high metals and As concentrations. The condition index, glycogen content, membrane oxidative damage, biotransformation enzymes and metallothioneins showed consistent responses to metals and As content in clams. Results emphasize the need for the development of a management plan for the species exploitation in the Tagus estuary.</t>
  </si>
  <si>
    <t>[Chiesa, Stefania; Almeida, Angela; Figueira, Etelvina; Soares, Amadeu M. V. M.; Freitas, Rosa] Univ Aveiro, CESAM, Dept Biol, Campus Santiago, P-3810193 Aveiro, Portugal; [Chainho, Paula] Lisbon Univ, Fac Sci, Marine &amp; Environm Sci Ctr, MARE, P-1749016 Lisbon, Portugal</t>
  </si>
  <si>
    <t>Universidade de Aveiro; Universidade de Lisboa</t>
  </si>
  <si>
    <t>Freitas, R (corresponding author), Univ Aveiro, CESAM, Dept Biol, Campus Santiago, P-3810193 Aveiro, Portugal.</t>
  </si>
  <si>
    <t>Almeida, Ângela/K-4044-2014; Chiesa, Stefania/M-3076-2013; Figueira, Etelvina/M-6116-2013; Soares, Amadeu/A-8304-2008; Freitas, Rosa/A-7539-2012; Chainho, Paula/B-3935-2012</t>
  </si>
  <si>
    <t>Figueira, Etelvina/0000-0002-6763-2665; Soares, Amadeu/0000-0003-0879-9470; Freitas, Rosa/0000-0003-4900-3897; Chainho, Paula/0000-0002-3539-9942</t>
  </si>
  <si>
    <t>CESAM [UID/AMB/50017]; FCT/MEC; FEDER; Compete; Portuguese Science Foundation (FCT) - European Social Fund, Programa Operacional Capital Humano (POCH) [SFRH/BPD/91923/2012, SFRH/BPD/92258/2013, SFRH/BD/110218/2015]; European Community; [PEst-OE/MAR/UI0199/2014]; Fundação para a Ciência e a Tecnologia [SFRH/BD/110218/2015, SFRH/BPD/91923/2012, PEst-OE/MAR/UI0199/2014] Funding Source: FCT</t>
  </si>
  <si>
    <t>CESAM; FCT/MEC(Fundacao para a Ciencia e a Tecnologia (FCT)); FEDER(European Union (EU)Spanish Government); Compete; Portuguese Science Foundation (FCT) - European Social Fund, Programa Operacional Capital Humano (POCH); European Community; ; Fundação para a Ciência e a Tecnologia(Fundacao para a Ciencia e a Tecnologia (FCT))</t>
  </si>
  <si>
    <t>This work has been supported by CESAM (UID/AMB/50017), FCT/MEC through national funds, and the co-funding by the FEDER, within the PT2020 Partnership Agreement and Compete 2020. Stefania Chiesa and Rosa Freitas benefited from Post-Doctoral grants (SFRH/BPD/91923/2012 and SFRH/BPD/92258/2013), Angela Almeida benefited from a Doctoral grant (SFRH/BD/110218/2015), all given by the National Funds through the Portuguese Science Foundation (FCT), supported by European Social Fund, Programa Operacional Capital Humano (POCH) and European Community. Paula Chainho was supported by project PEst-OE/MAR/UI0199/2014.</t>
  </si>
  <si>
    <t>10.1016/j.marpolbul.2017.10.088</t>
  </si>
  <si>
    <t>WOS:000425569400034</t>
  </si>
  <si>
    <t>Barák, V; Jahelková, V; Simon, O; Bíly, M; Douda, K</t>
  </si>
  <si>
    <t>Barak, Vojtech; Jahelkova, Vaclava; Simon, OnclFej; Bily, Michal; Douda, Karel</t>
  </si>
  <si>
    <t>Experimental quantification of multiple point-source pollution effects on juvenile freshwater mussels in a stream exposure gradient</t>
  </si>
  <si>
    <t>AQUATIC CONSERVATION-MARINE AND FRESHWATER ECOSYSTEMS</t>
  </si>
  <si>
    <t>effluent-induced toxicity; episodic pollution; growth; longitudinal profile; Margaritifera margaritifera; oxygen saturation; survival; total ammonia nitrogen</t>
  </si>
  <si>
    <t>MARGARITIFERA MARGARITIFERA L.; PEARL-MUSSELS; DISSOLVED-OXYGEN; ACUTE TOXICITY; VILLOSA-IRIS; SURVIVAL; GROWTH; UNIONIDAE; AMMONIA; RIVER</t>
  </si>
  <si>
    <t>Population declines in freshwater mussels (Unionida) resulting from failed recruitment, together with episodic water pollution potentially leading to juvenile mussel mortality, are often suspected (but rarely well documented), even in the most strictly protected aquatic areas. The aim of this study was to test a robust design for an in situ investigation of the water pollution effects on juvenile freshwater pearl mussel (FPM, Margaritifera margaritifera) in the protected Malse River (Czech Republic), which acts as a model system. A 30-km river reach was delineated to include a section with previously recorded episodic multiple point-source pollution events, as well as downstream and upstream control sections. Juvenile FPMs in open water mesh cages were exposed to river water at 15 sites in 42 exposure units (342 juveniles in individual chambers), and their survival and shell growth were assessed after a 33-day period of low-flow and high-temperature conditions. The main physicochemical indicators related to municipal water pollution were measured weekly. The study results confirmed significantly impaired water quality indicated by episodic changes in total ammonia nitrogen (up to 1.037 mg L-1), total phosphorus (up to 0.516 mg L-1) and oxygen saturation (down to 75.0%) in the impaired section. While the growth of FPM (corrected for temperature effects) was significantly increased (shell length increment: 32.7 +/- 9.7% - impaired, 26.4 +/- 10.0% - control sections; mean +/- SD), the survival (mean +/- SD) of juveniles was significantly decreased in the impaired section (86.4 +/- 12.5%) compared with the control sections (97.4 +/- 5.7%). This study has demonstrated the capacity of applying a caged bivalve model at a fine spatial scale within a longitudinal river profile to document the impacts of water pollution. The methodology applied here may provide a useful tool for assessing and improving the level of water quality management and is applicable in FPM action plans and stream biotope conservation in general.</t>
  </si>
  <si>
    <t>[Barak, Vojtech; Jahelkova, Vaclava; Simon, OnclFej; Bily, Michal] Czech Univ Life Sci Prague, Fac Environm Sci, Praha Suchdol, Czech Republic; [Barak, Vojtech; Douda, Karel] Czech Univ Life Sci Prague, FAFNR, Dept Zool &amp; Fisheries, Kamycka 129, Praha Suchdol 16500, Czech Republic</t>
  </si>
  <si>
    <t>Czech University of Life Sciences Prague; Czech University of Life Sciences Prague</t>
  </si>
  <si>
    <t>Douda, K (corresponding author), Czech Univ Life Sci Prague, FAFNR, Dept Zool &amp; Fisheries, Kamycka 129, Praha Suchdol 16500, Czech Republic.</t>
  </si>
  <si>
    <t>k.douda@gmail.com</t>
  </si>
  <si>
    <t>Barák, Vojtěch/ABD-8831-2020; Simon, Ondřej/HDN-5128-2022; Douda, Karel/D-4759-2011</t>
  </si>
  <si>
    <t>Douda, Karel/0000-0002-7778-5147</t>
  </si>
  <si>
    <t>European Regional Development Fund [CZ.02.1.01/0.0/0.0/16_019/0000845, ATCZ37]; Grantova Agentura Ceske Republiky [19-05510S]</t>
  </si>
  <si>
    <t>European Regional Development Fund(European Union (EU)); Grantova Agentura Ceske Republiky(Grant Agency of the Czech Republic)</t>
  </si>
  <si>
    <t>European Regional Development Fund, Grant/Award Numbers: CZ.02.1.01/0.0/0.0/16_019/0000845, ATCZ37; Grantova Agentura Ceske Republiky, Grant/Award Number: 19-05510S</t>
  </si>
  <si>
    <t>1052-7613</t>
  </si>
  <si>
    <t>1099-0755</t>
  </si>
  <si>
    <t>AQUAT CONSERV</t>
  </si>
  <si>
    <t>Aquat. Conserv.-Mar. Freshw. Ecosyst.</t>
  </si>
  <si>
    <t>10.1002/aqc.3879</t>
  </si>
  <si>
    <t>Environmental Sciences; Marine &amp; Freshwater Biology; Water Resources</t>
  </si>
  <si>
    <t>5V6UB</t>
  </si>
  <si>
    <t>WOS:000846455900001</t>
  </si>
  <si>
    <t>Baudrimont, M; Schäfer, J; Marie, V; Maury-Brachet, R; Bossy, C; Boudou, A; Blanc, G</t>
  </si>
  <si>
    <t>Geochemical survey and metal bioaccumulation of three bivalve species (Crassostrea gigas, Cerastoderma edule and Ruditapes philippinarum) in the Nord Medoc salt marshes (Gironde estuary, France)</t>
  </si>
  <si>
    <t>geochemical survey; Cd; Zn; Cu; Hg; metal bioaccumulation; Crassostrea gigas; Cerastoderma edule; Ruditapes philippinarum</t>
  </si>
  <si>
    <t>ATOMIC-ABSORPTION SPECTROMETRY; FLUVIAL SYSTEM FRANCE; MARENNES-OLERON BAY; CORBICULA-FLUMINEA; IN-SITU; MACROTIDAL ESTUARY; TRACE-METALS; RIVER FRANCE; CADMIUM; LOT</t>
  </si>
  <si>
    <t>A 15-month experiment combining a geochemical survey of Cd, Cu, Zn and Fig with a bioaccumulation study for three filter-feeding bivalve species (oysters, Crassostrea gigas; cockles, Cerastoderma edule; and clams, Ruditapes philippinarum) was conducted in a breeding basin of the Nord Medoc salt marshes connected to the Gironde estuary, which is affected by historic polymetallic pollution. Regular manual surface measurements of temperature, salinity, pH and dissolved O-2 concentration and hourly multiprobe in situ measurements throughout several periods for 6-8 weeks were performed. The geochemical behavior of metals in water, suspended particulate matter and sediment and their ecotoxicological impact on the three bivalve species were evaluated by in situ exposure of juvenile oysters (water column) and adult cockles and clams (sediment surface). The physico-chemical parameters reflected seasonal variations and basin management. A distinct daily periodicity (except salinity) indicated intense photosynthesis and respiration. In summer, low dissolved O-2 saturations (similar to 40-50%) occurred in the early morning at 30 cm above the sediment, whereas in depressions, the water column near the sediment surface was suboxic. Cadmium, Zn and Cu concentrations in suspended particulate matter exceeded typical estuarine values and were much higher than the homogeneously distributed concentrations in different depth ranges of the basin sediment. Particles collected in sediment traps showed intermediate metal concentrations close to sediment values. These results suggest trace metal recycling due to reductive dissolution under suboxic conditions at the sediment surface resulting in trace metal release to the water column and adsorption onto suspended particles. Dissolved Cd, Zn and Hg concentrations (e.g. 13-136 ng 1(-1); 0.3-25.1 mug 1(-1) and 0.5-2.0 ng 1(-1), respectively) in the basin corresponded to the concentration range typically observed in the Gironde estuary, except for some maximum values attributed to metal recycling. In contrast, dissolved Cu concentrations (1.08-6.08 mug 1(-1)) were mostly higher than typical estuarine values, probably due to recycled Cu complexation by dissolved organic matter. Growth, bioaccumulation rates and kinetics in the whole soft body of the bivalves were analyzed every 40 days. Although Cd bioaccumulation of oysters was lower in the basin than in the estuary during the same period (27,000 ng g(-1), dry weight and 40,000 ng g(-1), respectively) these values are largely above the new human consumption safety level (5000 ng g(-1), dw; European Community, 2002). For cockles and clams, Cd bioaccumulation was lower, reaching 1400 ng g(-1) and 950 ng g(-1), respectively. Similar results were obtained for Zn and Cu suggesting physiological differences between the species and/or differences in the exposure of the organisms due to physico-chemical conditions and metal distribution between dissolved and particulate phases. In contrast, Hg bioaccumulation was highest for cockles reaching bioconcentration factors of similar to 200,000, which even exceeded that of Cd in oysters (50,000) for the same exposition period. Nevertheless, Hg concentrations remained relatively low in the three bivalve species. (C) 2004 Elsevier B.V. All rights reserved.</t>
  </si>
  <si>
    <t>Univ Bordeaux 1, CNRS, UMR 5805,EPOC, LEESA, F-33120 Arcachon, France; Univ Bordeaux 1, CNRS, UMR 5805, TGM,EPOC,Equipe Traceurs Geochim &amp; Mineralog, F-33405 Talence, France</t>
  </si>
  <si>
    <t>Baudrimont, M (corresponding author), Univ Bordeaux 1, CNRS, UMR 5805,EPOC, LEESA, Pl Dr B Peyneau, F-33120 Arcachon, France.</t>
  </si>
  <si>
    <t>m.baudrimont@epoc.u-bordeaux1.fr; j.schaefer@epoc.u-bordeaux1.fr</t>
  </si>
  <si>
    <t>Schafer, Jorg/0000-0003-2631-908X; Baudrimont, Magalie/0000-0001-9901-8435; Blanc, Gerard/0009-0005-9814-0427</t>
  </si>
  <si>
    <t>JAN 20</t>
  </si>
  <si>
    <t>10.1016/j.scitotenv.2004.07.009</t>
  </si>
  <si>
    <t>892PE</t>
  </si>
  <si>
    <t>WOS:000226661700023</t>
  </si>
  <si>
    <t>Palma-Fleming, H; Quiroz, E; Campillay, C; Figueroa, M; Varas, A; Velásquez, D; Jara, B; Palma-Larrea, X</t>
  </si>
  <si>
    <t>Palma-Fleming, Hernan; Quiroz R, Eduardo; Campillay, Claudia; Figueroa, Mauricio; Varas, Alex; Velasquez, Domingo; Jara, Bernardo; Palma-Larrea, Ximena</t>
  </si>
  <si>
    <t>TEMPORAL AND SPATIAL TRENDS OF TOTAL ALIPHATIC HYDROCARBONS OF DIESEL RANGE AND TRACE ELEMENTS IN SEDIMENTS AND MUSSELS OF THE CORRAL BAY AREA, VALDIVIA, SOUTH CENTRAL CHILE</t>
  </si>
  <si>
    <t>JOURNAL OF THE CHILEAN CHEMICAL SOCIETY</t>
  </si>
  <si>
    <t>POLYCYCLIC AROMATIC-HYDROCARBONS; LA-PLATA ESTUARY; ENVIRONMENTAL FORENSIC TECHNIQUES; OIL-SPILL; CHEMICAL CHARACTERIZATION; PETROLEUM-HYDROCARBONS; ORGANIC CONTAMINATION; POLLUTION; TOXICITY; METAL</t>
  </si>
  <si>
    <t>Sediments and mussel specimens of Mytilus chilensis were analyzed for organic pollutant fingerprints and heavy metals in the Corral Bay area of Valdivia, South Central Chile during the period 2003-2004. GC-MS analysis show hydrocarbon fingerprints corresponding mainly to mixed inputs of aliphatic hydrocarbons of the TPH-diesel fraction and biogenic hydrocarbons, indicating low to medium contamination by petroleum hydrocarbons with high biodegradation of petroleum in sediments at Las Coloradas, La Escuela and Corral Bay (C-17/Pri &lt; 1 and C-18/Phy &lt; 1). Mussel TPH fingerprints show weathered hydrocarbons resulting in a zone of increased concentration of cyclic respect to acyclic aliphatic components (UCM), indicating the presence of petroleum hydrocarbons. No temporal variation the in concentration of TPH-diesel found in sediments as well as mussels were observed except for samples collected during January 2004. TPH concentration levels in the sediments varied from 0.4 mu gg(-1) to 33.8 mu gg(-1) d.w. whereas in mussels varied between 61 mu g g(-1) and 287 mu gg(-1) d.w. Heavy metals were also analyzed by atomic absorption spectrometry and low concentration as well as no seasonal variations of concentration were found in mussels at each sampling point and a relatively even distribution of metals among stations was observed. Maximum concentrations in all sampling points of sediments were found for Fe (24128-43791 mu gg(-1)) and Mn (181-388 mu gg(-1)) while the minimum concentration was found for Pb (nd-12 mu gg(-1)). According to the Sediment Quality Guidelines (SQGs-NOA A), the concentration levels of Cu and As in all sediment sampling points are above the Effects Range-Low (ER L), indicating that there may be a probable toxicity effect over the biota and attention must be paid on a moderate range of priority.</t>
  </si>
  <si>
    <t>[Palma-Fleming, Hernan] Univ Austral Chile, Fac Ciencias, Inst Ciencias Quim, Valdivia, Chile; Univ Austral Chile, Inst Quim, Fac Ciencias, Valdivia, Chile</t>
  </si>
  <si>
    <t>Universidad Austral de Chile; Universidad Austral de Chile</t>
  </si>
  <si>
    <t>Palma-Fleming, H (corresponding author), Univ Austral Chile, Fac Ciencias, Inst Ciencias Quim, Casilla 567, Valdivia, Chile.</t>
  </si>
  <si>
    <t>hernanpalma@uach.cl</t>
  </si>
  <si>
    <t>Office of Research and Development of the Universidad Austral de Chile [S-200511]; Corral Bay Municipality-Universidad Austral de Chile [130404-01-EN/2004]; Academy of Finland (AKA) [200511] Funding Source: Academy of Finland (AKA)</t>
  </si>
  <si>
    <t>Office of Research and Development of the Universidad Austral de Chile; Corral Bay Municipality-Universidad Austral de Chile; Academy of Finland (AKA)(Research Council of Finland)</t>
  </si>
  <si>
    <t>This study was supported by the following sponsors: Office of Research and Development of the Universidad Austral de Chile (Grant S-200511) and Corral Bay Municipality-Universidad Austral de Chile Agreement No 130404-01-EN/2004.</t>
  </si>
  <si>
    <t>SOC CHILENA QUIMICA</t>
  </si>
  <si>
    <t>CASILLA 2613, CONCEPCION, 00000, CHILE</t>
  </si>
  <si>
    <t>0717-9707</t>
  </si>
  <si>
    <t>J CHIL CHEM SOC</t>
  </si>
  <si>
    <t>J. Chil. Chem. Soc.</t>
  </si>
  <si>
    <t>10.4067/S0717-97072012000200003</t>
  </si>
  <si>
    <t>957NN</t>
  </si>
  <si>
    <t>WOS:000305169800003</t>
  </si>
  <si>
    <t>Bosnjak, I; Hrabar, J; Petric, M; Lusic, J; Sver, L; Mladineo, I</t>
  </si>
  <si>
    <t>Bosnjak, Ivana; Hrabar, Jerko; Petric, Mirela; Lusic, Jelena; Sver, Lidija; Mladineo, Ivona</t>
  </si>
  <si>
    <t>Multixenobiotic Resistance Mechanism in Gills of Reared vs. Wild Mediterranean Mussel Mytilus galloprovincialis (Lamarck, 1819)</t>
  </si>
  <si>
    <t>Apoptosis; Multixenobiotic resistance (MXR) mechanism; Metals; Gill tissue; Mytilus galloprovincialis</t>
  </si>
  <si>
    <t>TRI-N-BUTYLTIN; MULTIDRUG-RESISTANCE; P-GLYCOPROTEIN; EFFLUX TRANSPORTER; AQUATIC ORGANISMS; DREISSENA-POLYMORPHA; CRASSOSTREA-GIGAS; MARINE MUSSEL; APOPTOSIS; DEFENSE</t>
  </si>
  <si>
    <t>Mussel (Mytilus galloprovincialis (Lamarck, 1819)) is directly exposed to sea water contamination that elicits significant physiological and cellular response, although its extent mounted in aquaculturereared in comparison to wild bivalve populations is scarcely known. Therefore, we have compared contamination biomarkers in mussels from reared (Marina farm) and wild, anthropogenically affected site (Vranjic Bay). While predictably, the levels of metals (Cu, Cd, Pb, Zn, Fe, and Hg) in whole bivalve tissues determined by atomic absorption spectrophotometry resulted in significantly higher concentrations in wild mussels, accompanied by elevated number of apoptotic cells in gills, the activity of multixenobiotic resistance defense mechanism (MXR), measured as the accumulation rate of model substrate rhodamine B (RB) gave contrasting results. The functional RB assay evidenced a lower MXR efflux activity in the gill tissue of wild mussels, indicating two possible scenarios that will need further focus: (1) persisting sea water pollution increased cell damage of bivalve gill cells and consequently led to leakage of the RB into cytoplasm and dysfunctional MXR efflux in wild mussels; or/and (2) a mixture of different toxic compounds present in Vranjic Bay sea water induced oversaturation of MXR efflux, inducing elevated accumulation of the dye. Consequently, it seems that an efficient physiological functioning of MXR in wild mussels is strongly hampered by existence of an unknown quantity of sea water pollutants that may endanger intrinsic organismal defense system and lead toward the enhancement of toxicity.</t>
  </si>
  <si>
    <t>[Bosnjak, Ivana; Sver, Lidija] Fac Food Technol &amp; Biotechnol, Dept Biochem Engn, Lab Biol &amp; Microbial Genet, Zagreb, Croatia; [Hrabar, Jerko; Mladineo, Ivona] Inst Oceanog &amp; Fisheries, Lab Aquaculture, Split 21000, Croatia; [Petric, Mirela] Univ Split, Univ Dept Marine Studies, Split 21000, Croatia; [Lusic, Jelena] Inst Oceanog &amp; Fisheries, Lab Chem Oceanog &amp; Sedimentol Sea, Split 21000, Croatia</t>
  </si>
  <si>
    <t>University of Zagreb; Croatian Institute of Oceanography &amp; Fisheries (IZOR); University of Split; Croatian Institute of Oceanography &amp; Fisheries (IZOR)</t>
  </si>
  <si>
    <t>Bosnjak, I (corresponding author), Fac Food Technol &amp; Biotechnol, Dept Biochem Engn, Lab Biol &amp; Microbial Genet, Pierottijeva 6, Zagreb, Croatia.</t>
  </si>
  <si>
    <t>ibosnjak@pbf.hr</t>
  </si>
  <si>
    <t>Babic, Ivana/KFT-0807-2024; Mladineo, Ivona/AAC-5813-2021; Petric, Mirela/F-1782-2017; Lusic, Jelena/AAM-5326-2021; Hrabar, Jerko/R-9037-2019</t>
  </si>
  <si>
    <t>Petric, Mirela/0000-0002-8547-4293; Lusic, Jelena/0000-0002-4084-1838; Babic, Ivana/0000-0003-0272-5788; Hrabar, Jerko/0000-0002-7665-6319</t>
  </si>
  <si>
    <t>Croatian Ministry of Science, Education and Sport [001-0000000-3633, 058-0582261-2246]</t>
  </si>
  <si>
    <t>This study was fulfilled under and supported by the Croatian Ministry of Science, Education and Sport (Project Nos. 001-0000000-3633 and 058-0582261-2246).</t>
  </si>
  <si>
    <t>10.1007/s11270-014-2073-z</t>
  </si>
  <si>
    <t>AN3ZM</t>
  </si>
  <si>
    <t>WOS:000340527400037</t>
  </si>
  <si>
    <t>Li, Y; Lu, GY; Wang, WX; Li, HZ; You, J</t>
  </si>
  <si>
    <t>Li, Yang; Lu, Guangyuan; Wang, Wen-Xiong; Li, Huizhen; You, Jing</t>
  </si>
  <si>
    <t>Temporal and spatial characteristics of PAHs in oysters from the Pearl River Estuary, China during 2015-2020</t>
  </si>
  <si>
    <t>Long-term biomonitoring; Precipitation; Salinity; Composition; Inland outflows</t>
  </si>
  <si>
    <t>POLYCYCLIC AROMATIC-HYDROCARBONS; ORGANIC CONTAMINANTS; SOURCE APPORTIONMENT; PERNA-VIRIDIS; COASTAL AREA; HEAVY-METALS; WATER; POLLUTION; BIOACCUMULATION; TEMPERATURE</t>
  </si>
  <si>
    <t>Estuary connects the inland freshwater and open seawater, which may become a sink for pollutants from land-derived outflows, especially for persistent organic pollutants (e.g., polycyclic aromatic hydrocarbons, PAHs). Due to complex fluctuation in estuary, it's difficult to achieve a comprehensive assessment of the pollution characteristics by grabbed environmental samples. Oysters serve as efficient biomonitors of pollution status in highly dynamic and anthropogenically impacted estuaries, like the Pearl River Estuary (PRE), South China. Here, we investigated the annual, seasonal, and spatial variations of PAHs in the soft tissues of oysters from the PRE over the last six years (2015-2020) and quantitatively analyzed the influence of environmental factors on PAH occur-rence in the oysters. The concentrations of Sigma(15)PAH in oysters ranged from 74 to 1164 (337 +/- 218) ng/g dry wt., with a peak occurrence in 2017. Highly seasonal and geographical variations in PAH pollution were documented in the PRE, with higher concentrations in oysters during the wet season than dry season, and in the eastern coast than western coast. Furthermore, geographical variation in PAH levels in the oysters was enhanced during the wet season, indicating a possible contribution of heavy rainfall flushing from the Pearl River. In addition to precipitation, water temperature and salinity also significantly influenced PAH levels in the oysters from the PRE by changing the bioavailability and biokinetics. Long-term biomonitoring using oysters in the current study reflected the pollution status and variation trends of PAHs in the highly dynamic PRE. (C) 2021 Elsevier B.V. All rights reserved.</t>
  </si>
  <si>
    <t>[Li, Yang; Li, Huizhen; You, Jing] Jinan Univ, Sch Environm, Guangdong Key Lab Environm Pollut &amp; Hlth, Guangzhou 511443, Peoples R China; [Lu, Guangyuan; Wang, Wen-Xiong] City Univ Hong Kong, Shenzhen Res Inst, Res Ctr Oceans &amp; Human Hlth, Shenzhen 518057, Peoples R China; [Wang, Wen-Xiong] City Univ Hong Kong, Sch Energy &amp; Environm, Kowloon, Hong Kong, Peoples R China; [Wang, Wen-Xiong] City Univ Hong Kong, State Key Lab Marine Pollut, Kowloon, Hong Kong, Peoples R China</t>
  </si>
  <si>
    <t>Jinan University; Shenzhen Research Institute, City University of Hong Kong; City University of Hong Kong; City University of Hong Kong; City University of Hong Kong</t>
  </si>
  <si>
    <t>Li, HZ (corresponding author), Jinan Univ, Sch Environm, Guangdong Key Lab Environm Pollut &amp; Hlth, Guangzhou 511443, Peoples R China.</t>
  </si>
  <si>
    <t>lihuizhen@jnu.edu.cn</t>
  </si>
  <si>
    <t>Li, Huizhen/JPX-2563-2023; Wang, Wenxiong/E-7254-2011; Lu, Guangyuan/H-5051-2018</t>
  </si>
  <si>
    <t>National Natural Science Foundation of China [U1901220, 41977343]; Guangdong Provincial Department of Science and Technology [2019B151502020]; Innovative Research Team of Department of Education of Guangdong Province [2020KCXTD005]</t>
  </si>
  <si>
    <t>National Natural Science Foundation of China(National Natural Science Foundation of China (NSFC)); Guangdong Provincial Department of Science and Technology; Innovative Research Team of Department of Education of Guangdong Province</t>
  </si>
  <si>
    <t>This work was supported by the National Natural Science Foundation of China (U1901220 and 41977343) , the Guangdong Provincial Department of Science and Technology (2019B151502020) , and Innovative Research Team of Department of Education of Guangdong Province (2020KCXTD005) .</t>
  </si>
  <si>
    <t>10.1016/j.scitotenv.2021.148495</t>
  </si>
  <si>
    <t>UJ9MX</t>
  </si>
  <si>
    <t>WOS:000691602900014</t>
  </si>
  <si>
    <t>Kumar, MR; Krishnan, KA; Vimexen, V</t>
  </si>
  <si>
    <t>Kumar, M. Ratheesh; Krishnan, K. Anoop; Vimexen, V.</t>
  </si>
  <si>
    <t>Effect of trace metal contamination in sediments on the bioaccumulation of bivalve Meretrix meretrix</t>
  </si>
  <si>
    <t>Bioaccumulation; Trace metals; Sediments; Meretrix meretrix</t>
  </si>
  <si>
    <t>HEAVY-METALS; SURFICIAL SEDIMENTS; ESTUARINE SEDIMENTS; PERNA-VIRIDIS; PARTICLE-SIZE; WATER; ACCUMULATION; POLLUTION; COASTAL; COPPER</t>
  </si>
  <si>
    <t>A quinquennial seasonal study (2015-2019) has been conducted to evaluate the bioaccumulation pattern of trace metals in Meretrix meretrix. The concentration of trace metals in the clam was observed as Cr &gt; Cu &gt; Ni &gt; Zn &gt; Pb &gt; Cd &gt; Hg, (Body &gt; Mantle &gt; Gills), similar to sediments. Contamination Factor of Cu and Cr in sediments showed strong association with the corresponding metal concentration in the body (r = 0.687, r = 0.962), mantle (r = 0.880, r = 0.956) and gills (r = 0.937, r = 0.863). Bioconcentration Factor was high for Cr followed by Ni. Mean Metal Concentration Rate (MMCR) of Cr was high and Hg was low (Body &gt; Mantle &gt; Gills). Our study establishes that the trace metal intake by Meretrix meretrix is associated with seasonal variation, physicochemical factors, sediment texture, chemical speciation and the metabolic stress created within the species induced from increased demand for protein synthesis. The latter resulted in the augmented rate of accumulation of Cu and Cr.</t>
  </si>
  <si>
    <t>[Kumar, M. Ratheesh; Krishnan, K. Anoop; Vimexen, V.] Natl Ctr Earth Sci Studies NCESS, Biogeochem Grp, Thiruvananthapuram, Kerala, India</t>
  </si>
  <si>
    <t>Kumar, MR (corresponding author), Natl Ctr Earth Sci Studies NCESS, Biogeochem Grp, Thiruvananthapuram, Kerala, India.</t>
  </si>
  <si>
    <t>COMAPS laboratory, National Centre for Earth Science Studies (NCESS); Central Chemical Laboratory, National Centre for Earth Science Studies (NCESS); Ministry of Earth Sciences (MoES), Govt. of India; National Centre for Earth Science Studies (NCESS), Thiruvananthapuram, Kerala</t>
  </si>
  <si>
    <t>COMAPS laboratory, National Centre for Earth Science Studies (NCESS); Central Chemical Laboratory, National Centre for Earth Science Studies (NCESS); Ministry of Earth Sciences (MoES), Govt. of India(Ministry of Earth Science (MoES), Government of India); National Centre for Earth Science Studies (NCESS), Thiruvananthapuram, Kerala</t>
  </si>
  <si>
    <t>Thanks to the instrumentation facility &amp; support received from erstwhile COMAPS laboratory &amp; Central Chemical Laboratory, National Centre for Earth Science Studies (NCESS). Thank you to friends and researchers of Marine Biology Lab, Microbiology Lab, Hydrochemistry Lab &amp; CCL Lab for supporting us in field work, long term bio-accumulation studies, histological analysis (Macrobenthos &amp; Mei benthos Analysis Wing) &amp; taxonomical analysis. We also thank Ministry of Earth Sciences (MoES), Govt. of India and The Director, National Centre for Earth Science Studies (NCESS), Thiruvananthapuram, Kerala for the support.</t>
  </si>
  <si>
    <t>10.1016/j.marpolbul.2022.113422</t>
  </si>
  <si>
    <t>0H7VY</t>
  </si>
  <si>
    <t>WOS:000778940700010</t>
  </si>
  <si>
    <t>Lim, YC; Albarico, FPJB; Chen, CF; Chen, CW; Dong, CD</t>
  </si>
  <si>
    <t>Lim, Yee Cheng; Albarico, Frank Paolo Jay B.; Chen, Chih-Feng; Chen, Chiu-Wen; Dong, Cheng-Di</t>
  </si>
  <si>
    <t>Pollution sources and ecological risks of potentially toxic metals in sediments from a multi-functional Hsingda Harbor in southwestern Taiwan</t>
  </si>
  <si>
    <t>Metal; Sediment; Hsingda Harbor; Pollution index; Sequential extraction; Chemical partitioning</t>
  </si>
  <si>
    <t>HEAVY-METALS; SOURCE APPORTIONMENT; ENRICHMENT FACTOR; TRACE-ELEMENTS; YANGTZE-RIVER; CONTAMINATION; QUALITY; MARINE; INDEX; ESTUARY</t>
  </si>
  <si>
    <t>Sediment metal pollution was assessed in a multi-functional harbor in southwestern Taiwan, Hsingda Harbor, which was developed from a traditional fishing port. Contamination level and ecological risks were identified using multiple sediment pollution indices referenced from the total metal contents (Cu, Zn, Pb, Cr, Ni, Hg, and Ag) and their chemical partitioning factions. This study used local background, normalization with Fe content, and correlation with total organic carbon to differentiate between natural and anthropogenic sources. Results showed that fisheries-related activities and the nearby coal-fired power plant primarily contributed to potentially toxic metal pollution. Remarkably, Cu, Zn, Pb, Cr, and Hg contents in the sediments along the nearshore fishing port (77.7, 270, 50.4, 99.1, and 0.31 mg/kg) were up to 2.1-9.5 times higher the background site. Significant Cu and Pb enrichment (EF: 5.4-6.6) may be attributed to antifouling paints and coal ashes. The adjacent oyster farm sediments were enriched with Cu and Zn (EF: 2.5-4.5), potentially threatening the oyster quality and public health. Moderate-high and low ecological risks were obtained from the assessments of total metal contents (PERI: 116-340) and extractable fractions (GRI: 9.0-28.6), respectively. Using total metals and chemical partitioning data provides a better understanding of potential ecological risks in sediments. Our results provide valuable information for environmental pollution control and mitigation during harbor development and management.(c) 2022 Elsevier B.V. All rights reserved.</t>
  </si>
  <si>
    <t>[Lim, Yee Cheng; Albarico, Frank Paolo Jay B.; Chen, Chih-Feng; Chen, Chiu-Wen; Dong, Cheng-Di] Natl Kaohsiung Univ Sci &amp; Technol, Dept Marine Environm Engn, Kaohsiung 81157, Taiwan; [Albarico, Frank Paolo Jay B.] Natl Kaohsiung Univ Sci &amp; Technol, Inst Aquat Sci &amp; Technol, Kaohsiung 81157, Taiwan; [Albarico, Frank Paolo Jay B.] Northern Negros State Coll Sci &amp; Technol, Coll Fisheries &amp; Allied Sci, Sagay City 6122, Philippines</t>
  </si>
  <si>
    <t>National Kaohsiung University of Science &amp; Technology; National Kaohsiung University of Science &amp; Technology</t>
  </si>
  <si>
    <t>Chen, CW; Dong, CD (corresponding author), Natl Kaohsiung Univ Sci &amp; Technol, Dept Marine Environm Engn, Kaohsiung 81157, Taiwan.</t>
  </si>
  <si>
    <t>cwchen@nkust.edu.tw; cddong@nkust.edu.tw</t>
  </si>
  <si>
    <t>Lim, Yee Cheng/IAL-9326-2023; Chen, Chih-Feng/HTP-3222-2023; Albarico, Frank Paolo Jay B./AAE-7348-2021</t>
  </si>
  <si>
    <t>Lim, Yee Cheng/0000-0002-5491-2043; Chen, Chih-Feng/0000-0002-0935-4847; Albarico, Frank Paolo Jay B./0000-0001-6173-4567</t>
  </si>
  <si>
    <t>10.1016/j.rsma.2022.102780</t>
  </si>
  <si>
    <t>7F7BQ</t>
  </si>
  <si>
    <t>WOS:000901998700001</t>
  </si>
  <si>
    <t>D'Agata, A; Cappello, T; Maisano, M; Parrino, V; Giannetto, A; Brundo, MV; Ferrante, M; Mauceri, A</t>
  </si>
  <si>
    <t>D'Agata, A.; Cappello, T.; Maisano, M.; Parrino, V.; Giannetto, A.; Brundo, M. V.; Ferrante, M.; Mauceri, A.</t>
  </si>
  <si>
    <t>Cellular biomarkers in the mussel Mytilus galloprovincialis (Bivalvia: Mytilidae) from Lake Faro (Sicily, Italy)</t>
  </si>
  <si>
    <t>ITALIAN JOURNAL OF ZOOLOGY</t>
  </si>
  <si>
    <t>neurotransmitters; Mussels; cytochrome; lysosomal stability; genotoxicity</t>
  </si>
  <si>
    <t>LYSOSOMAL MEMBRANE STABILITY; DNA-DAMAGE; ACETYLCHOLINESTERASE ACTIVITY; DIGESTIVE GLAND; ENVIRONMENTAL-POLLUTION; MARINE MUSSELS; IN-VIVO; EDULIS; RESPONSES; FIELD</t>
  </si>
  <si>
    <t>Lake Faro (Sicily, Italy) is a natural confined brackish environment particularly subject to anthropogenic impact, resulting in a mixture of xenobiotic substances, i.e. heavy metals and polycyclic aromatic hydrocarbons (PAHs), and characterised by low hydrodynamics. In order to assess the water quality status of this pond, a multi-biomarker approach was applied on mussel Mytilus galloprovincialis (Lamarck, 1819) both inhabiting the lake and from a control site (Goro). Different biomarkers were investigated on mussel digestive glands and gills, including biomarkers of exposure (cytochrome P450 4, CYP4), neurotoxicity (acetylcholinesterase, AChE; choline acetyltransferase, ChAT), general stress (lysosomal membrane stability, LMS), and genotoxicity (micronucleus and comet assays). The results suggest significant responses related to the selected area. A statistically significant inhibition (P&lt;0.0001) of CYP4 in the digestive gland, and of AChE and ChAT in the gills, was found in specimens collected from Faro compared with the control. The lysosomal membrane stability of mussels from Lake Faro was lower than the reference site, while the DNA damages were significantly higher in mussels from the brackish area compared to the control. This study represents the first time the quality status of Lake Faro is assessed using a multi-biomarker approach on the mussel M. galloprovincialis, which proved to be suitable to identify the effects of environmental pollutants at molecular and cellular levels.</t>
  </si>
  <si>
    <t>[D'Agata, A.; Cappello, T.; Maisano, M.; Parrino, V.; Giannetto, A.; Mauceri, A.] Univ Messina, Dept Biol &amp; Environm Sci, I-98166 Messina, Italy; [Maisano, M.; Parrino, V.; Mauceri, A.] Ctr Univ CUTGANA, Catania, Italy; [Brundo, M. V.] Univ Catania, Dept Biol Marcello La Greca, I-95124 Catania, Italy; [Ferrante, M.] Univ Catania, Dept Hyg &amp; Publ Hlth GF Ingrassia, I-95124 Catania, Italy</t>
  </si>
  <si>
    <t>Maisano, M (corresponding author), Univ Messina, Dept Biol &amp; Environm Sci, Viale F Stagno dAlcontres 31, I-98166 Messina, Italy.</t>
  </si>
  <si>
    <t>mmaisano@unime.it</t>
  </si>
  <si>
    <t>Giannetto, Alessia/AAA-6735-2019; Parrino, Vincenzo/O-8408-2019; Ferrante, Margherita/B-2781-2011; Brundo, Maria Violetta/Q-4354-2016; CAPPELLO, TIZIANA/J-6902-2016</t>
  </si>
  <si>
    <t>MAISANO, Maria/0000-0003-2517-5117; Brundo, Maria Violetta/0000-0001-5146-3564; CAPPELLO, TIZIANA/0000-0002-7790-6324; GIANNETTO, alessia/0000-0002-5853-2881; PARRINO, Vincenzo/0000-0001-8331-212X; MAUCERI, Angela Rita/0000-0002-3136-1103</t>
  </si>
  <si>
    <t>1125-0003</t>
  </si>
  <si>
    <t>1748-5851</t>
  </si>
  <si>
    <t>ITAL J ZOOL</t>
  </si>
  <si>
    <t>Ital. J. Zoolog.</t>
  </si>
  <si>
    <t>10.1080/11250003.2013.878400</t>
  </si>
  <si>
    <t>AF6LS</t>
  </si>
  <si>
    <t>WOS:000334827200006</t>
  </si>
  <si>
    <t>Yusseppone, MS; Bianchi, VA; Castro, JM; Abad, TN; Minaberry, YS; Sabatini, SE; Luquet, CM; de Molin, MCR; Rocchetta, I</t>
  </si>
  <si>
    <t>Yusseppone, M. S.; Bianchi, V. A.; Castro, J. M.; Noya Abad, T.; Minaberry, Y. S.; Sabatini, S. E.; Luquet, C. M.; Rios de Molin, M. C.; Rocchetta, I.</t>
  </si>
  <si>
    <t>In situ experiment to evaluate biochemical responses in the freshwater mussel Diplodon chilensis under anthropogenic eutrophication conditions</t>
  </si>
  <si>
    <t>Dipolodon chilensis; Bivalve caging; Metabolism; Pollution</t>
  </si>
  <si>
    <t>MITOCHONDRIAL COMPLEX-III; METABOLIC-RATE DEPRESSION; LINE TRACE-METALS; OXIDATIVE STRESS; ORGANIC-MATTER; MYTILUS-EDULIS; AULACOMYA-ATRA; BEAGLE CHANNEL; 1828 BIVALVIA; SOFT-TISSUES</t>
  </si>
  <si>
    <t>An in-situ experiment was performed to study metabolic responses of the freshwater mussel Diplodon chilensis to water contaminated by leachates from an open dump and cattle activity, in order to analyze both the effects of those contaminants on aquatic environments and the potential use of a native bivalve to evaluate the effects of anthropic influence and eutrophication. Bivalves from a reference site were cage-transplanted to a control site (site A) and to a temporal water pond (site B) over 30 and 60 periods. Water quality analyses revealed that the site B was affected by anthropogenic influence. Mussel's hemocytes from site B showed 50% lower reactive oxygen species production and 130% higher lysosomal membrane stability in the site B mussels. In addition, no oxidative stress was evident in gills, despite the elevated copper and iron concentrations recorded in the site B water samples (Cu-B = 0.3350 +/- 0.0636 mg. L-1 vs. Cu-A = 0.0045 +/- 0.0007 mg. L-1; Fe-B = 3.8650 +/- 0.4031 mg. L-1 vs. Fe-A = 0.0365 +/- 0.0049 mg.L-1). In contrast, the adductor muscle accumulated more Fe (similar to 10-20-fold) than the gills and showed signs of oxidative stress, e.g. superoxide dismutase activity and TSARS levels were increased by 10% were 34%, respectively, in the site B compared with the site A after 60 days of exposure. Additionally, the adductor muscle showed signs of anaerobic metabolism activation. Cu is accumulated in gills from both sites' individuals, at 60 days, in concordance with the increase in the activity of the cu-containing enzyme cytochrome-c-oxidase. There was a reduction in the overall condition and digestive gland index in bivalves exposed at site B, associated with diminished levels of lipid and protein contents. Metal-pollution and eutrophication affects D. chilensis metabolism and is associated to tissue-specific exposure, anaerobic metabolism and general energetic condition depletion.</t>
  </si>
  <si>
    <t>[Yusseppone, M. S.; Noya Abad, T.; Sabatini, S. E.; Rios de Molin, M. C.] Univ Buenos Aires, CONICET, Consejo Nacl Invest Cient &amp; Tecn,IQUIBICEN, Dept Quim Biol,Fac Ciencias Exactas &amp; Nat, Buenos Aires, DF, Argentina; [Bianchi, V. A.; Castro, J. M.; Luquet, C. M.; Rocchetta, I.] Consejo Nacl Invest Cient &amp; Tecn, Consejo Nacl Invest Cient &amp; Tecn, Lab Ecotoxicol Acuat, INIBIOMA,CEAN,UNCo, Junin De Los Andes, Neuquen, Argentina; [Minaberry, Y. S.] Univ Buenos Aires, Consejo Nacl Invest Cient &amp; Tecn, CONICET,Fac Ciencias Exactas &amp; Nat, Dept Quim Inorgan Analit &amp; Quim Fis,INIQUIMAE, Buenos Aires, DF, Argentina</t>
  </si>
  <si>
    <t>Consejo Nacional de Investigaciones Cientificas y Tecnicas (CONICET); University of Buenos Aires; Consejo Nacional de Investigaciones Cientificas y Tecnicas (CONICET); Consejo Nacional de Investigaciones Cientificas y Tecnicas (CONICET); University of Buenos Aires</t>
  </si>
  <si>
    <t>Yusseppone, MS (corresponding author), Univ Buenos Aires, CONICET, Consejo Nacl Invest Cient &amp; Tecn,IQUIBICEN, Dept Quim Biol,Fac Ciencias Exactas &amp; Nat, Buenos Aires, DF, Argentina.;Rocchetta, I (corresponding author), Consejo Nacl Invest Cient &amp; Tecn, Consejo Nacl Invest Cient &amp; Tecn, Lab Ecotoxicol Acuat, INIBIOMA,CEAN,UNCo, Junin De Los Andes, Neuquen, Argentina.</t>
  </si>
  <si>
    <t>msyusseppone@gmail.com; irocchetta@gmail.com</t>
  </si>
  <si>
    <t>Minaberry, Yanina/0000-0002-8778-3882; Rocchetta, Iara/0000-0003-1169-4047</t>
  </si>
  <si>
    <t>Centro de Ecologia Aplicada del Neuquen; University of Buenos Aires [UBACYT 42520020130100882BA]; National Scientific and Technical Research Council [PIP 11220130100020CO]; Alexander von Humboldt Foundation [PUD7306A01/2012-428 2014]; National Agency for Scientific and Technological Promotion, Argentina [FONCYT-PICT-429 0293-2016]; Lanin National Park [815]</t>
  </si>
  <si>
    <t>Centro de Ecologia Aplicada del Neuquen; University of Buenos Aires(University of Buenos Aires); National Scientific and Technical Research Council; Alexander von Humboldt Foundation(Alexander von Humboldt Foundation); National Agency for Scientific and Technological Promotion, Argentina(ANPCyT); Lanin National Park</t>
  </si>
  <si>
    <t>We acknowledge support and permissions from Lanin National Park (No 815) and Centro de Ecologia Aplicada del Neuquen. Santiago Franzoni, Flavia Bieczynski, and Alfredo, Charo and Ana Ciunfrini are thanked for scuba diving and field assistance. This work was supported by the University of Buenos Aires (UBACYT 42520020130100882BA, PI: M.C Rios de Molina), the National Scientific and Technical Research Council (PIP 11220130100020CO PI: M.0 Rios de Molina; PIP 0529, PI: C. Luquet). Alexander von Humboldt Foundation granted to I. Rocchetta (PUD7306A01/2012-428 2014), and National Agency for Scientific and Technological Promotion, Argentina (FONCYT-PICT-429 0293-2016, PI: I. Rocchetta).</t>
  </si>
  <si>
    <t>10.1016/j.ecoenv.2020.110341</t>
  </si>
  <si>
    <t>KW9RD</t>
  </si>
  <si>
    <t>WOS:000521519900030</t>
  </si>
  <si>
    <t>Shin, PKS; Ng, AWM; Cheung, RYH</t>
  </si>
  <si>
    <t>Burrowing responses of the short-neck clam Ruditapes philippinarum to sediment contaminants</t>
  </si>
  <si>
    <t>bivalves; burrowing responses; metal; sediment toxicity</t>
  </si>
  <si>
    <t>BIVALVE MACOMONA-LILIANA; SAN-FRANCISCO BAY; ESTUARINE SEDIMENT; TOXICITY TESTS; HONG-KONG; BIOASSAY</t>
  </si>
  <si>
    <t>The burrowing responses of a common tropical bivalve, the short-neck clam Ruditapes philippinarum, to cadmium (Cd)-spiked sediment, variations of sediment grain size and natural sediments collected from 15 locations in Hong Kong's inshore waters were investigated through a series of laboratory tests. Results showed that the burrowing response exhibited a negative relationship with an increase in Cd concentration in the spiked sediments. The level of Cd was also found to be directly proportional to the percent mortality of the clam. However, there was no significant difference (p &gt; 0.05) in the time elapsed for the clam to burrow into sediments with different grain size composition. The elapsed time for 50%, of the test clams to burrow into the sediment (ET50) over a period of 48 h was calculated for the sediment samples collected from the 15 locations. Results of ANOVA showed significant difference (p &lt; 0.05) among the sediment samples. Tukey's multiple comparison test revealed two groups of sediments: group I containing 3 sediment samples collected from Victoria Harbour and group 2 containing 12 samples obtained from other coastal areas of Hong Kong. The ET50 value for group I sediments was found to be greater than 2880 min whilst the ET50 for group 2 sediments had a mean of 173.9 min. Agglomerative classification of the sediment samples, based on metal content (As, Cd, Cr, Cu, Ni, Pb, Zn), also showed two similar groups, suggesting that the ET50 values were correlated with the metal level of the sediment samples. Group I sediments collected from Victoria Harbour had greater concentrations of Cd, Cr, Cu, Ni and Zn as compared to that in group 2. The present study demonstrated that high metal content in the sediment tends to inhibit the burrowing responses of the clam and that there is potential to develop the burrowing responses of R. philippinarum as a sublethal sediment toxicity test. (C) 2002 Elsevier Science Ltd. All rights reserved.</t>
  </si>
  <si>
    <t>City Univ Hong Kong, Dept Biol &amp; Chem, Kowloon, Hong Kong, Peoples R China</t>
  </si>
  <si>
    <t>City Univ Hong Kong, Dept Biol &amp; Chem, Tat Chee Ave, Kowloon, Hong Kong, Peoples R China.</t>
  </si>
  <si>
    <t>Perera, Chris/J-7130-2019</t>
  </si>
  <si>
    <t>NG, ANNE/0000-0002-7698-9068; CHEUNG, Yun Hing Richard/0000-0002-1022-9402</t>
  </si>
  <si>
    <t>PII S0025-326X(01)00299-5</t>
  </si>
  <si>
    <t>10.1016/S0025-326X(01)00299-5</t>
  </si>
  <si>
    <t>WOS:000178336300017</t>
  </si>
  <si>
    <t>Villar, C; Stripeikis, J; D'Huicque, L; Tudino, M; Troccoli, O; Bonetto, C</t>
  </si>
  <si>
    <t>Cd, Cu and Zn concentrations in sediments and the invasive bivalves Limnoperna fortunei and Corbicula fluminea at the Rio de la Plata basin, Argentina</t>
  </si>
  <si>
    <t>metal content; invasive bivalves; Limnoperna fortunei; Corbicula fluminea; Parana River; Rio de la Plata Estuary</t>
  </si>
  <si>
    <t>ASIATIC CLAMS; PARANA-RIVER; ESTUARY; ZINC; DISCHARGES; CADMIUM; COPPER; GROWTH; PLANT</t>
  </si>
  <si>
    <t>Cd, Cu and Zn content in sediments and bivalves ( Limnoperna fortunei and Corbicula fluminea) were studied in the lower 500 km stretch of the Parana River and in the right margin of the Rio de la Plata Estuary. Both bivalves species showed higher metal contents at the Parana River, possibly related to water chemistry. The Parana water is circumneutral and soft, while the Rio de la Plata coastal water is alkaline, hard, with a higher organic content. Bivalves sampled at the thermal effluent of the Atucha Nuclear Power Plant, at the Parana River, showed the highest metal content, either from increased absorption at the higher water temperatures (12 degrees C higher than the river water) or from metal corrosion of the power plant cooling system. L. fortunei and C. fluminea appeared to be successful biomonitor organisms for Cd pollution in the basin, while Cu and Zn content in bivalve tissues was apparently not related to metal load.</t>
  </si>
  <si>
    <t>Inst Limnol Dr Raul A Ringuelet, RA-1900 La Plata, Argentina; INQUIMAE, FCEyN, RA-1428 Buenos Aires, DF, Argentina</t>
  </si>
  <si>
    <t>Inst Limnol Dr Raul A Ringuelet, CC 712, RA-1900 La Plata, Argentina.</t>
  </si>
  <si>
    <t>cvillar@ilpla.edu.ar</t>
  </si>
  <si>
    <t>10.1023/A:1003811223880</t>
  </si>
  <si>
    <t>280XY</t>
  </si>
  <si>
    <t>WOS:000085130100004</t>
  </si>
  <si>
    <t>Pérez, E; Blasco, J; Solé, M</t>
  </si>
  <si>
    <t>Biomarker responses to pollution in two invertebrate species:: Scrobicularia plana and Nereis diversicolor from the Cadiz bay (SW Spain)</t>
  </si>
  <si>
    <t>pollution; biomarkers; domestic waters; Nereis diversicolor; Scrobicularia plana</t>
  </si>
  <si>
    <t>The clam Scrobicularia Plana and the polychaete worm Nereis diversicolor were collected in several sites from a littoral enclosure in SW Spain. The aim of our study was to relate various biomarker responses in these species to a pollution gradient caused by untreated domestic discharges and to verify the adequacy of the selected species as sentinels in this habitat. The biomarkers selected were the antioxidant enzymes catalase (CAT), glutathione peroxidase (GPX) and DT-diaphorase (DT-D). In addition, the activities of cytochrome P450-dependent ethoxyresorufin O-deethylase (EROD) activity, the phase 11 detoxifying enzyme glutathione Stransferase (GST) and the neurotoxicity marker acetylcholinesterase (AChE) were measured. Metallothionein levels were selected;as biomarkers of heavy metals exposure in both species. The results suggest a different response in the water filtering organism (clam) and the sediment eater (polychaete), probably as a consequent of different pollution exposure and that samples from the Cano Sancti-Petri were exposed to biologically active compounds that altered some of their biochemical responses. AChE was the most sensitive biomarker in both species and N. diversicolor proved to be a more robust sentinel in this ecosystem. (C) 2004 Elsevier Ltd. All rights reserved.</t>
  </si>
  <si>
    <t>CSIC, Inst Ciencias Marinas Andalucia, E-11510 Puerto Real, Spain</t>
  </si>
  <si>
    <t>CSIC, Inst Ciencias Marinas Andalucia, Av Republ Saharaui 2, E-11510 Puerto Real, Spain.</t>
  </si>
  <si>
    <t>montserrat.sole@icman.csic.es</t>
  </si>
  <si>
    <t>sole, montserrat/C-7398-2013; Blasco, Julian/A-5319-2008</t>
  </si>
  <si>
    <t>sole, montserrat/0000-0002-9920-5051; Blasco, Julian/0000-0002-9750-383X</t>
  </si>
  <si>
    <t>10.1016/j.marenvres.2004.03.071</t>
  </si>
  <si>
    <t>WOS:000222199100028</t>
  </si>
  <si>
    <t>Georgieva, E; Antal, L; Stoyanova, S; Aranudova, D; Velcheva, I; Iliev, I; Vasileva, T; Bivolarski, V; Mitkovska, V; Chassovnikarova, T; Todorova, B; Uzochukwu, IE; Nyeste, K; Yancheva, V</t>
  </si>
  <si>
    <t>Georgieva, Elenka; Antal, Laszlo; Stoyanova, Stela; Aranudova, Desislava; Velcheva, Iliana; Iliev, Ilia; Vasileva, Tonka; Bivolarski, Veselin; Mitkovska, Vesela; Chassovnikarova, Tsenka; Todorova, Borislava; Uzochukwu, Ifeanyi Emmanuel; Nyeste, Krisztian; Yancheva, Vesela</t>
  </si>
  <si>
    <t>Biomarkers for pollution in caged mussels from three reservoirs in Bulgaria: A pilot study</t>
  </si>
  <si>
    <t>Water; Pollution; Transplants; Caged mussels; Biomarkers</t>
  </si>
  <si>
    <t>FRESH-WATER FISH; POLYCYCLIC AROMATIC-HYDROCARBON; POLYBROMINATED DIPHENYL ETHERS; MYTILUS-EDULIS SPP.; DREISSENA-POLYMORPHA; OXIDATIVE STRESS; BLUE MUSSELS; DNA-DAMAGE; SINANODONTA-WOODIANA; HEAVY-METALS</t>
  </si>
  <si>
    <t>The mussel-watch concept was firstly proposed in 1975, which was later adopted by several international monitoring programs worldwide. However, for the very first time, a field experiment with caged mussels was performed in three reservoirs in Bulgaria to follow the harmful effects of sub-chronic pollution (30 days) of metals, trace, and macro-elements, as well as some organic toxicants, such as polybrominated diphenyl ethers and chlorinated paraffins. Therefore, we studied the biometric indices, histochemical lesions in the gills, biochemical changes in the digestive glands (antioxidant defense enzymes, such as catalase, glutathione reductase, and glutathione peroxidase; metabolic enzymes, such as lactate dehydrogenase, alanine aminotransferase, and aspartate aminotransferase, and the neurotransmitter cholinesterase), in addition to the DNA damage in the Chinese pond mussel, Sinanodonta woodiana (Lea, 1834) in Kardzhali, Studen Kladenets and Zhrebchevo reservoirs in Bulgaria. Significant correlation trends between the pollution levels, which we reported before, and the biomarker responses were established in the current paper. Overall, we found that both tested organs were susceptible to pollution-induced oxidative stress. The different alterations in the selected biomarkers in the caged mussels compared to the reference group were linked to the different kinds and levels of water pollution in the reservoirs, and also to the simultaneously conducted bioaccumulation studies.</t>
  </si>
  <si>
    <t>[Georgieva, Elenka; Stoyanova, Stela] Paisij Hilendarski Univ Plovdiv, Fac Biol, Dept Dev Biol, Plovdiv, Bulgaria; [Antal, Laszlo; Nyeste, Krisztian; Yancheva, Vesela] Univ Debrecen, Fac Sci &amp; Technol, Dept Hydrobiol, Debrecen, Hungary; [Aranudova, Desislava; Mitkovska, Vesela; Chassovnikarova, Tsenka] Paisij Hilendarski Univ Plovdiv, Fac Biol, Dept Zool, Plovdiv, Bulgaria; [Velcheva, Iliana; Todorova, Borislava; Yancheva, Vesela] Paisij Hilendarski Univ Plovdiv, Fac Biol, Dept Ecol &amp; Environm Conservat, Plovdiv, Bulgaria; [Vasileva, Tonka; Bivolarski, Veselin] Paisij Hilendarski Univ Plovdiv, Fac Biol, Dept Biochem &amp; Microbiol, Plovdiv, Bulgaria; [Chassovnikarova, Tsenka] Inst Biodivers &amp; Ecosyst Res, Bulgarian Acad Sci, Sofia, Bulgaria; [Uzochukwu, Ifeanyi Emmanuel] Univ Debrecen, Pal Juhasz Nagy Doctoral Sch Biol &amp; Environm Sci, Debrecen, Hungary</t>
  </si>
  <si>
    <t>Plovdiv University; University of Debrecen; Plovdiv University; Plovdiv University; Plovdiv University; Bulgarian Academy of Sciences; University of Debrecen</t>
  </si>
  <si>
    <t>Nyeste, K (corresponding author), Univ Debrecen, Fac Sci &amp; Technol, Dept Hydrobiol, Debrecen, Hungary.</t>
  </si>
  <si>
    <t>nyeste.krisztian@science.unideb.hu</t>
  </si>
  <si>
    <t>Yancheva, Vesela/AAJ-3251-2020; Chassovnikarova, Tsenka/HMW-0049-2023; Todorova, Borislava/KLC-8650-2024; Uzochukwu, Ifeanyi/AEE-8846-2022; Georgieva, Elenka/GXG-8061-2022; mitkovska, vesela/HKE-7290-2023; Stoyanova, Stela/GYJ-7435-2022; Antal, László/A-8492-2012</t>
  </si>
  <si>
    <t>Uzochukwu, Ifeanyi Emmanuel/0000-0003-2424-0327; Laszlo, Antal/0000-0001-9831-1429; Yancheva, Vesela/0000-0001-8316-1990; Chassovnikarova, Tsenka/0000-0002-5343-0472</t>
  </si>
  <si>
    <t>e09069</t>
  </si>
  <si>
    <t>10.1016/j.heliyon.2022.e09069</t>
  </si>
  <si>
    <t>0P5GT</t>
  </si>
  <si>
    <t>WOS:000784250800008</t>
  </si>
  <si>
    <t>Ghedira, J; Jebali, J; Banni, M; Chouba, L; Boussetta, H; López-Barea, J; Alhama, J</t>
  </si>
  <si>
    <t>Ghedira, Jihene; Jebali, Jamel; Banni, Mohamed; Chouba, Lassaad; Boussetta, Hamadi; Lopez-Barea, Juan; Alhama, Jose</t>
  </si>
  <si>
    <t>Use of oxidative stress biomarkers in Carcinus maenas to assess littoral zone contamination in Tunisia</t>
  </si>
  <si>
    <t>AQUATIC BIOLOGY</t>
  </si>
  <si>
    <t>Biomonitoring; Biochemical effects; Antioxidant enzymes; Lipid peroxidation; Multivariate analysis; Digestive gland; Gills; Metals; Organophosphates; Sediment pollution</t>
  </si>
  <si>
    <t>CLAM RUDITAPES-DECUSSATUS; ASSESS SEDIMENT QUALITY; IN-SITU; SHORE CRAB; MYTILUS-GALLOPROVINCIALIS; CADMIUM CONTAMINATION; POLLUTION BIOMARKERS; PROCAMBARUS-CLARKII; ANTIOXIDANT ENZYMES; METAL CONTAMINATION</t>
  </si>
  <si>
    <t>Biological effects of pollutants were studied in Carcinus maenas crabs from 3 polluted sites (Bizerte, Teboulba, Gargour) along the Tunisian littoral zone using biochemical biomarkers. A metal contamination gradient was found, Bizerte standing out as the most metal-polluted area. Gargour animals nonetheless showed higher oxidative stress responses, such as gluta thione reductase and 6-phosphogluconate dehydrogenase activities, as well as malondialdehyde (MDA) levels in gills. The gills showed higher lipid peroxidation than did the digestive gland, in keeping with their respiratory role. Animals were also exposed for different periods to 2 model pollutants, cadmium and chlorpyriphos-ethyl. Although cadium induces oxidative stress, mainly in gills, thus increasing lipid peroxidation, principal-component analysis indicated that metal content in sediments and crabs from in-field monitoring does not fully correlate with oxidative stress biomarker responses. Catalase and MDA were the most sensitive biomarkers, and gills the most responsive organ. A lower catalase content in gills was linked to higher MDA levels.</t>
  </si>
  <si>
    <t>[Lopez-Barea, Juan; Alhama, Jose] Univ Cordoba, Dept Biochem &amp; Mol Biol, Cordoba 14071, Spain; [Ghedira, Jihene; Jebali, Jamel; Banni, Mohamed; Boussetta, Hamadi] Higher Inst Agr, Lab Biochem &amp; Environm Toxicol, Chott Mariem 4042, Sousse, Tunisia; [Chouba, Lassaad] La Goulette Ctr, Chem Lab, Higher Inst Marine Sci &amp; Technol, Tunis 2060, Tunisia</t>
  </si>
  <si>
    <t>Universidad de Cordoba; Institut National des Sciences et Technologies de la Mer</t>
  </si>
  <si>
    <t>Alhama, J (corresponding author), Univ Cordoba, Dept Biochem &amp; Mol Biol, Severo Ochoa Bldg,Rabanales Campus,Highway A4,Km, Cordoba 14071, Spain.</t>
  </si>
  <si>
    <t>bb2alcaj@uco.es</t>
  </si>
  <si>
    <t>Lassaad Chouba, L/D-9407-2013; Alhama-Carmona, Jose/H-6379-2015; Banni, Mohamed/M-2144-2014; Lopez-Barea, Juan/K-7258-2014; jebali, jamel/E-4813-2013</t>
  </si>
  <si>
    <t>Alhama-Carmona, Jose/0000-0002-3931-263X; Banni, Mohamed/0000-0001-9764-0343; Lopez-Barea, Juan/0000-0002-2280-3379; jebali, jamel/0000-0003-1444-1432</t>
  </si>
  <si>
    <t>Spanish Ministry of Foreign Affairs, Spanish Agency of International Cooperation [A/016113/08]; Spanish Ministry of Science and Education [CTM2009-12858-C02]; Ministry of Higher Education, Scientific Research and Technology, Tunisia [UR 04AGR05]; Institution de la Recherche et de l'Enseignement Superieur Agricole, Tunisia</t>
  </si>
  <si>
    <t>Spanish Ministry of Foreign Affairs, Spanish Agency of International Cooperation; Spanish Ministry of Science and Education(Spanish Government); Ministry of Higher Education, Scientific Research and Technology, Tunisia; Institution de la Recherche et de l'Enseignement Superieur Agricole, Tunisia</t>
  </si>
  <si>
    <t>This work was funded by a mobility grant (A/016113/08) from the Spanish Ministry of Foreign Affairs, Spanish Agency of International Cooperation, within the Spain-Tunisia program, and a grant (CTM2009-12858-C02) from the Spanish Ministry of Science and Education. The authors also thank the Ministry of Higher Education, Scientific Research and Technology, Tunisia (Unite de Recherche en Biochimie et Toxicologie Environnementale grant no. UR 04AGR05), and the Institution de la Recherche et de l'Enseignement Superieur Agricole, Tunisia.</t>
  </si>
  <si>
    <t>1864-7790</t>
  </si>
  <si>
    <t>1864-7782</t>
  </si>
  <si>
    <t>AQUAT BIOL</t>
  </si>
  <si>
    <t>Aquat. Biol.</t>
  </si>
  <si>
    <t>10.3354/ab00377</t>
  </si>
  <si>
    <t>857FH</t>
  </si>
  <si>
    <t>WOS:000297701500009</t>
  </si>
  <si>
    <t>Dosis, I; Athanassiadis, I; Karamanlis, X</t>
  </si>
  <si>
    <t>Dosis, Ioannis; Athanassiadis, Ioannis; Karamanlis, Xanthippos</t>
  </si>
  <si>
    <t>Polybrominated diphenyl ethers (PBDEs) in mussels from cultures and natural population</t>
  </si>
  <si>
    <t>Brominated flame retardants; BFR; Aquatic ecosystem; Environmental pollution; Mytilus galloprovincialis; Bivalves</t>
  </si>
  <si>
    <t>BROMINATED FLAME RETARDANTS; CARP CYPRINUS-CARPIO; DIETARY EXPOSURE; COASTAL WATERS; BLUE MUSSELS; POLYCHLORINATED-BIPHENYLS; MYTILUS-EDULIS; ORGANOCHLORINE PESTICIDES; CHLORINATED COMPOUNDS; SPATIAL-DISTRIBUTION</t>
  </si>
  <si>
    <t>Polybrominated diphenyl ether (PBDE) mass fractions were determined in mussel samples collected from 6 locations around Thermaikos Gulf in north Greece. PBDEs were present in all sampling sites and the average total (2,PBDEs) ranged from 17.7 to 323 ng/g l.w., characterising Thermaikos as low polluted, a fact further supported by congener ratios and literature comparison. Distribution was even among stations with one exception. Congener profiles exhibited predominance of penta-/octa-BDEs as well as BDE-209. Statistical analysis showed significant difference in pollution levels between the two types of mussel cultures. No variations were observed for mussel bunch position or between cultures and natural population. Congener correlation analysis suggested different pollution sources between higher and lower brominated congeners as well as different metabolic/degradation processes. Bioaccumulation factors indicated that an increase in congener bromination degree leads to bioaccumulation capacity reduction. Consumption of mussels from Thermaikos gulf area poses no threat for public health concerning PBDEs. (C) 2016 Elsevier Ltd. All rights reserved.</t>
  </si>
  <si>
    <t>[Dosis, Ioannis; Karamanlis, Xanthippos] Aristotle Univ Thessaloniki, Dept Ecol &amp; Protect Environm, Sch Vet Med, Univ Box 404, Thessaloniki 54124, Greece; [Athanassiadis, Ioannis] Stockholm Univ, Dept Environm Sci &amp; Analyt Chem, SE-11418 Stockholm, Sweden</t>
  </si>
  <si>
    <t>Aristotle University of Thessaloniki; Stockholm University</t>
  </si>
  <si>
    <t>Dosis, I (corresponding author), Aristotle Univ Thessaloniki, Dept Ecol &amp; Protect Environm, Sch Vet Med, Univ Box 404, Thessaloniki 54124, Greece.</t>
  </si>
  <si>
    <t>idosis@vet.auth.gr</t>
  </si>
  <si>
    <t>Dosis, Ioannis/0000-0001-9557-0687</t>
  </si>
  <si>
    <t>Greek State Scholarships Foundation</t>
  </si>
  <si>
    <t>Greek State Scholarships Foundation(Greek Ministry of Development-GSRT)</t>
  </si>
  <si>
    <t>This work is dedicated to the memory of Dr. M. Athanasiadou. The project was financially supported by the Greek State Scholarships Foundation. The authors would like to thank the Sailing and Rowing Team from the Department of Physical Training &amp; Athletics, Hellenic Police Academy for their invaluable help during sampling procedures, as well as mussel farmers T. Bebis and H. Pontikas for their collaboration.</t>
  </si>
  <si>
    <t>10.1016/j.marpolbul.2016.04.013</t>
  </si>
  <si>
    <t>WOS:000377726700025</t>
  </si>
  <si>
    <t>BERTHET, B; AMIARD, JC; AMIARDTRIQUET, C; MARTOJA, M; JEANTET, AY</t>
  </si>
  <si>
    <t>BIOACCUMULATION, TOXICITY AND PHYSICOCHEMICAL SPECIATION OF SILVER IN BIVALVE MOLLUSKS - ECOTOXICOLOGICAL AND HEALTH CONSEQUENCES</t>
  </si>
  <si>
    <t>SILVER; BIVALVE; BIOACCUMULATION; BIODISPONSIBILITY; TOXICITY; PHYSICOCHEMICAL FORMS OF STORAGE</t>
  </si>
  <si>
    <t>MACOMA-BALTHICA; MYTILUS-EDULIS; CONTAMINATION; ACCUMULATION; COPPER; PROTEINS; MUSSEL; WATER; FOOD; AG</t>
  </si>
  <si>
    <t>The toxicity and bioaccumulation of silver have been studied comparatively in the freshwater bivalve Dreissena polymorpha and in four marine species: the oyster Crassostrea gigas, the mussel Mytilus galloprovincialis, the scallop Chlamys varia and the clam Scrobicularia plana. In the freshwater and marine mussels, the silver absorption was very limited but M. galloprovincialis was more susceptible than D. polymorpha. The oysters and scallops were silver accumulators but the effect of the metal was much more noxious in the second species. These data have demonstrated that no direct relationships exist between the global concentration in soft tissues and the susceptibility of the different bivalves. Thus the physico-chemical forms of storage of silver (silver sulphide, metal-binding proteinic compounds) were determined in each species and related to the high variability of biological responses. The modes of exposure (through food or water) influenced the binding of silver with cytosolic compounds (in oysters) and its biological effects (in scallops). Changes in salinity had only a moderate effect on silver bioaccumulation in oysters, a fact which is interesting since pollutions due to this metal often affect estuarine and coastal areas. In the light of these data, the potential injuries due to silver pollution may be attributable: (1) to noxious effects on susceptible species with a resulting imbalance of biocoenosis structure; and (2) to the existence of silver accumulation with a risk of transfer to the food web. However, the knowledge of the chemical speciation of silver in organisms permit to predict the importance of this risk.</t>
  </si>
  <si>
    <t>FAC PHARM NANTES,CNRS,URA 1356,SERV ECOTOXICOL,F-44035 NANTES,FRANCE; INST OCEANOG,F-75005 PARIS,FRANCE; UNIV PARIS 06,HISTOPHYSIOL FUNDAMENTALE LAB,F-75230 PARIS 05,FRANCE</t>
  </si>
  <si>
    <t>Nantes Universite; Centre National de la Recherche Scientifique (CNRS); Sorbonne Universite</t>
  </si>
  <si>
    <t>BERTHET, B (corresponding author), CHR NANTES,SERT,PLATEAU TECHN,QUAI MONCOUSU,F-44035 NANTES,FRANCE.</t>
  </si>
  <si>
    <t>10.1016/0048-9697(92)90385-6</t>
  </si>
  <si>
    <t>WOS:A1992JR72300010</t>
  </si>
  <si>
    <t>Richter, P; Seguel, R; Ahumada, I; Verdugo, R; Narváez, J; Shibata, Y</t>
  </si>
  <si>
    <t>Arsenic speciation in environmental samples of a mining impacted sector of central Chile</t>
  </si>
  <si>
    <t>arsenic speciation; river pollution; water; sediment; soil</t>
  </si>
  <si>
    <t>SPECTROMETRY</t>
  </si>
  <si>
    <t>The presence of high concentrations of arsenic and copper was determined in most of the environmental matrixes under study (river water, river sediments, and soils), which suggests a real impact of the copper mining activity throughout the region, specifically the surroundings of the Caletones smelter, in the VI Region of Chile. The presence of arsenic in water and sediments is probably due to acid drainage, because pollution clearly diminished with increasing distance from the source. In the case of soils, they may be impacted by irrigation with river water. However, the high concentration values determined at sites far from the source suggest that soil pollution is more related to airborne particles deposited in soil. Arsenic speciation studies were carried out in river water samples and in edible tissues of fish (black kingclip, Chilean hake and croaker) and shellfish (clam, mussel and barnacle) samples, collected in the Pacific Ocean, close to the Cachapoal River outflow. In water samples, arsenic is mainly present as As(V); organic arsenic species (MMAA and DMAA) were not detected. In fish, around 80 % of arsenic is present as arsenobetaine.</t>
  </si>
  <si>
    <t>Univ Chile, Fac Ciencias Bioquim &amp; Farmaceut, Dept Quim Inorgan &amp; Analit, Santiago, Chile; Univ Chile, CENMA, Santiago, Chile; NIES, Tsukuba, Ibaraki 305, Japan</t>
  </si>
  <si>
    <t>Universidad de Chile; Universidad de Chile; National Institute for Environmental Studies - Japan</t>
  </si>
  <si>
    <t>Univ Chile, Fac Ciencias Bioquim &amp; Farmaceut, Dept Quim Inorgan &amp; Analit, Casilla 233, Santiago, Chile.</t>
  </si>
  <si>
    <t>prichter@ciq.uchile.cl</t>
  </si>
  <si>
    <t>Seguel, Rodrigo/AAB-9241-2020</t>
  </si>
  <si>
    <t>Seguel, Rodrigo/0000-0003-4641-5618; Richter, Pablo/0000-0002-7978-0657</t>
  </si>
  <si>
    <t>880UU</t>
  </si>
  <si>
    <t>WOS:000225815900011</t>
  </si>
  <si>
    <t>Leung, KMY; Dewhurst, RE; Halldórsson, H; Svavarsson, K</t>
  </si>
  <si>
    <t>Metallothioneins and trace metals in the dogwhelk Nucella lapillus (L.) collected from Icelandic coasts</t>
  </si>
  <si>
    <t>biomonitoring; metal-binding proteins; snails; biomarkers; Nordic regions</t>
  </si>
  <si>
    <t>THAIS-CLAVIGERA GASTROPODA; MYTILUS-EDULIS; TBT CONTAMINATION; MARINE GASTROPODS; TRIBUTYLTIN TBT; CADMIUM; EXPOSURE; MUSSELS; GROWTH; WATERS</t>
  </si>
  <si>
    <t>Different sizes of the dogwhelk Nucella lapillus were collected from eight locations along the southwest and north coasts of Iceland. Concentrations of total metallothioneins (MTs) and heavy metals (Cd, Cu, Cr, Mn, Ni, and Zn) were analysed using the silver saturation method and inductively coupled plasma-atomic emission spectrometry. The level of tributyltin (TBT) contamination was also assessed using imposex indices, the vas deferens stage index (VDSI) and relative penis size index (RPSI). Gufunes N. lapillus presented the highest values of VDSI (4.0) and RPSI (11.1), followed by Grenivik individuals (VDSI = 3.0; RPSI = 0.9), while the Strandakirkja population showed the lowest VDSI (0.3) and zero RPSI. At a standardised size (0.25 g dry soft-body weight), Grenivik N. lapillus exhibited significantly higher concentrations of all metals whereas overall metal concentrations were significantly lower in individuals from Strandakirkja and Garoskagi compared to other study sites. Partial correlation analyses with size correction indicated that MT concentrations were better correlated with Cd and Cu concentrations than with other metals. At the standard size, the pattern of MIT concentrations in N. lapillus from different sites was, however, very different from those of metal profiles. Such discrepancies between the patterns of NIT and metals in N. lapillus might be explained by the fact that NIT induction could be influenced by various factors such as temperature, dietary metal intake, growth rate and co-existence of other NIT-inducing chemicals. (c) 2005 Elsevier Ltd. All rights reserved.</t>
  </si>
  <si>
    <t>Sandgeroi Marine Ctr, IS-245 Sandgeroi, Iceland; Univ London Royal Holloway &amp; Bedford New Coll, Sch Biol Sci, Egham TW20 0EX, Surrey, England; Univ Iceland, Inst Biol, IS-101 Reykjavik, Iceland</t>
  </si>
  <si>
    <t>University of London; Royal Holloway University London; University of Iceland</t>
  </si>
  <si>
    <t>Univ Hong Kong, Swire Inst Marine Sci, Dept Ecol &amp; Biodivers, Hong Kong, Hong Kong, Peoples R China.</t>
  </si>
  <si>
    <t>kmvleung@hkucc.hku.hk</t>
  </si>
  <si>
    <t>; Leung, Kenneth Mei Yee/C-1055-2009; Halldorsson, Halldor Palmar/M-2778-2015</t>
  </si>
  <si>
    <t>Svavarsson, Jorundur/0000-0003-1842-7515; Leung, Kenneth Mei Yee/0000-0002-2164-4281; Halldorsson, Halldor Palmar/0000-0001-5529-1536</t>
  </si>
  <si>
    <t>10.1016/j.marpolbul.2005.04.013</t>
  </si>
  <si>
    <t>WOS:000234079700013</t>
  </si>
  <si>
    <t>Yologlu, E; Uçkun, M; Uçkun, AA</t>
  </si>
  <si>
    <t>Yologlu, Ertan; Uckun, Mirac; Uckun, Aysel Alkan</t>
  </si>
  <si>
    <t>Metal accumulation and biochemical variations in the freshwater mussels (Unio mancus) collected from Ataturk Dam Lake, Turkey</t>
  </si>
  <si>
    <t>Ataturk Dam Lake; Metal toxicity; Unio mancus; Biochemical markers; ICP-MS</t>
  </si>
  <si>
    <t>ST-LAWRENCE-RIVER; DIGESTIVE GLAND; MYTILUS-GALLOPROVINCIALIS; OXIDATIVE STRESS; HEAVY-METALS; DREISSENA-POLYMORPHA; BIVALVE MOLLUSKS; DAPHNIA-MAGNA; IN-VITRO; BIOMARKERS</t>
  </si>
  <si>
    <t>In this study, we aimed to determine the toxic effects of metals on mussels (Unio mancus) selected as biomonitor organisms in the Ataturk Dam Lake. The effect of metal pollution was evaluated using some biochemical markers [glutathione-S-transferase (GST), acetylcolinesterase (AChE), carboxylesterase (CaE), glutathione reductase (GR), metallothionein (MT)] in the digestive gland of the mussels. Mussels were collected from four sampling sites of dam lake in the winter and summer of 2016. The metal levels in the mussel samples varied significantly across the sites and seasons (p &lt; 0.05). Fe was the most accumulated metal, followed by Zn, Cu, and As, while Hg was the least accumulated metal. There were significant differences among sites and between seasons for enzyme activities and MT levels (p &lt; 0.05). Although AChE was inhibited in summer at all sites, the lowest level of AChE was determined for the Sitilce site. Our results showed that there were statistical differences for CaE, GR, and GST activities among sites and between seasons. MT levels were statistically higher in summer than in winter at all sites (p &lt; 0.05). The highest MT level was detected at the Sarisu site in summer, while the lowest MT level was detected at Sitilce in winter. According to the results of correlation analysis, we observed strong correlations between MT and some metal concentrations in both winter and summer (p &lt; 0.05). Our data suggest that industrial activities and domestic wastes along the coast of Ataturk Dam Lake are the main sources of metal pollutants at these sites.</t>
  </si>
  <si>
    <t>[Yologlu, Ertan] Adiyaman Univ, Fac Educ, Dept Sci Educ, TR-02040 Adiyaman, Turkey; [Uckun, Mirac] Adiyaman Univ, Fac Educ, Dept Food Engn, Adiyaman, Turkey; [Uckun, Aysel Alkan] Adiyaman Univ, Fac Educ, Dept Environm Engn, Adiyaman, Turkey</t>
  </si>
  <si>
    <t>Adiyaman University; Adiyaman University; Adiyaman University</t>
  </si>
  <si>
    <t>Yologlu, E (corresponding author), Adiyaman Univ, Fac Educ, Dept Sci Educ, TR-02040 Adiyaman, Turkey.</t>
  </si>
  <si>
    <t>eyologlu@adiyaman.edu.tr</t>
  </si>
  <si>
    <t>Miraç, Uçkun/ABG-5824-2021; Alkan Uçkun, Aysel/AAX-6889-2021; Yologlu, Ertan/W-2811-2017</t>
  </si>
  <si>
    <t>UCKUN, MIRAC/0000-0002-9018-8515; Yologlu, Ertan/0000-0002-9730-9471</t>
  </si>
  <si>
    <t>Adiyaman University Scientific Research Projects Foundation [EFBAP/2014-0002]</t>
  </si>
  <si>
    <t>Adiyaman University Scientific Research Projects Foundation(Adiyaman University)</t>
  </si>
  <si>
    <t>The authors wishes to thank the Adiyaman University Scientific Research Projects Foundation (Project Number; EFBAP/2014-0002) for supporting this study. The authors also thank Dr. Serdar Sonmez for his support to create the site map.</t>
  </si>
  <si>
    <t>1873-2925</t>
  </si>
  <si>
    <t>10.1016/j.bse.2018.05.006</t>
  </si>
  <si>
    <t>GM6XD</t>
  </si>
  <si>
    <t>WOS:000438321400012</t>
  </si>
  <si>
    <t>Tang, ZW; Lin, XX; Chen, YL; Pan, YW; Yang, YQ; Mondal, AK; Yu, MQ; Wu, H</t>
  </si>
  <si>
    <t>Tang, Zuwu; Lin, Xinxing; Chen, Yalan; Pan, Yuwei; Yang, Yuqing; Mondal, Ajoy Kanti; Yu, Meiqiong; Wu, Hui</t>
  </si>
  <si>
    <t>Preparation of mussel-inspired polydopamine-functionalized TEMPO-oxidized cellulose nanofiber-based composite aerogel as reusable adsorbent for water treatment</t>
  </si>
  <si>
    <t>Composite aerogel; TEMPO-oxidized cellulose nanofiber; Polydopamine; Water treatment</t>
  </si>
  <si>
    <t>HEAVY-METAL ION; GREEN SYNTHESIS; HIGH ADSORPTION; CHITOSAN; REMOVAL</t>
  </si>
  <si>
    <t>Water pollution is an ongoing trouble that is of significant urgency to resolve worldwide. However, traditional materials used in the process of water purification are costly and energy intensive. The preparation of low-cost, green and sustainable aerogels with low density, high porosity and high specific surface area (SSA) is a great challenge. In this paper, a mussel-inspired, low-cost, polydopamine (PDA)-functionalized TEMPO-oxidized cel-lulose nanofiber (TOCNF) PDA/TOCNF composite aerogel has been rationally designed and fabricated with low-density, high porosity and high SSA. The PDA/TOCNF composite aerogel shows low density (18.2 mg/cm3), high porosity (98.7 %), and large surface areas (41.3 m2/g). The resulting PDA/TOCNF composite aerogel could adsorb a maximum of 314.6 mg/g of methylene blue (MB). The recycle experiment for reusing of adsorbent showed that after five consecutive cycles, the removal ability of MB by the PDA/TOCNF composite aerogel still maintained higher than 90 %. In addition, the PDA/TOCNF composite aerogel also had a high adsorption ca-pacity of heavy metal ions, for example, it adsorbs 446.0 mg/g of Cu2+, 222.0 mg/g of Pb2+, 267.0 mg/g of Cd2+, and 600.0 mg/g of Fe3+, respectively. The possible adsorption mechanisms imply that the PDA/TOCNF com-posite aerogel adsorbs MB due to the synergistic binding interactions, such as electrostatic attraction, pi-pi stacking interaction, Vander waals force, and hydrogen bonding. Similarly, the PDA/TOCNF composite aerogel adsorbs metal ions due to the electrostatic attraction and chelation of metal ions with the PDA/TOCNF aerogel. There-fore, PDA/TOCNF composite aerogels may have potential applications in wastewater treatment because of their sustainability and low energy consumption.</t>
  </si>
  <si>
    <t>[Tang, Zuwu; Lin, Xinxing; Chen, Yalan; Pan, Yuwei; Yang, Yuqing; Yu, Meiqiong] Fujian Polytech Normal Univ, Sch Mat &amp; Packaging Engn, Fuzhou 350300, Fujian, Peoples R China; [Mondal, Ajoy Kanti] Bangladesh Council Sci &amp; Ind Res, Inst Natl Analyt Res &amp; Serv, Dhanmondi, Dhaka 1205, Bangladesh; [Yu, Meiqiong; Wu, Hui] Fujian Agr &amp; Forestry Univ, Coll Mat Engn, Fuzhou 350108, Fujian, Peoples R China; [Yu, Meiqiong; Wu, Hui] Natl Forestry &amp; Grassland Adm, Key Lab Plant Fiber Funct Mat, Fuzhou 350108, Fujian, Peoples R China</t>
  </si>
  <si>
    <t>Fujian Polytechnic Normal University; Bangladesh Council of Scientific &amp; Industrial Research (BCSIR); Institute of National Analytical Research &amp; Service (INARS); Fujian Agriculture &amp; Forestry University</t>
  </si>
  <si>
    <t>Yu, MQ (corresponding author), Fujian Polytech Normal Univ, Sch Mat &amp; Packaging Engn, Fuzhou 350300, Fujian, Peoples R China.;Mondal, AK (corresponding author), Bangladesh Council Sci &amp; Ind Res, Inst Natl Analyt Res &amp; Serv, Dhanmondi, Dhaka 1205, Bangladesh.;Yu, MQ; Wu, H (corresponding author), Fujian Agr &amp; Forestry Univ, Coll Mat Engn, Fuzhou 350108, Fujian, Peoples R China.</t>
  </si>
  <si>
    <t>ajoymondal325@yahoo.com; joan091600@126.com; wuhui@fafu.edu.cn</t>
  </si>
  <si>
    <t>Mondal, Ajoy Kanti/AGZ-7591-2022; yang, yuqing/GRJ-8747-2022; Chen, Yalan/HNI-2380-2023; Mondal, Ajoy Kanti/JAZ-0494-2023; Pan, Yvette/ITU-1421-2023; Wu, Hui/G-2008-2012</t>
  </si>
  <si>
    <t>Wu, Hui/0000-0002-9755-8371; Mondal, Dr. Ajoy Kanti/0000-0002-0982-0457; Tang, Zuwu/0009-0004-8334-1210</t>
  </si>
  <si>
    <t>Natural Science Foundation of Fujian Province, China [2023J05212, 2021J05270]; Education and Scientific Research Project for Young and Middle-aged Teachers of Fujian Province, China [JAT220249]</t>
  </si>
  <si>
    <t>Natural Science Foundation of Fujian Province, China(Natural Science Foundation of Fujian Province); Education and Scientific Research Project for Young and Middle-aged Teachers of Fujian Province, China</t>
  </si>
  <si>
    <t>This work was supported by the Natural Science Foundation of Fujian Province, China (2023J05212, 2021J05270) and the Education and Scientific Research Project for Young and Middle-aged Teachers of Fujian Province, China (JAT220249) .</t>
  </si>
  <si>
    <t>1872-633X</t>
  </si>
  <si>
    <t>10.1016/j.indcrop.2023.117735</t>
  </si>
  <si>
    <t>Y7RS6</t>
  </si>
  <si>
    <t>WOS:001107202100001</t>
  </si>
  <si>
    <t>Ivankovic, D; Pavicic, J; Erk, M; Filipovic-Marijic, V; Raspor, B</t>
  </si>
  <si>
    <t>Evaluation of the Mytilus galloprovincialis Lam. digestive gland metallothionein as a biomarker in a long-term field study:: Seasonal and spatial variability</t>
  </si>
  <si>
    <t>metallothionein; biomarker; metals; digestive gland; Mytilus galloprovincialis; field study</t>
  </si>
  <si>
    <t>LYSOSOMAL MEMBRANE STABILITY; TRACE-METAL CONCENTRATIONS; OYSTERS CRASSOSTREA-GIGAS; HEAVY-METALS; MUSSEL; CADMIUM; ZINC; CONTAMINATION; ORGANISMS; RESPONSES</t>
  </si>
  <si>
    <t>A study was made of seasonal and spatial variability of metallothionein (MT) concentrations, determined spectrophotometrically in the soluble fraction of the digestive gland of mussels Mytilus galloprovincialis, collected between 1999 and 2001 from several coastal and estuarine locations along the central Eastern Adriatic coast (Croatia). The seasonal influence on the MT and metal concentrations (higher values in winter-spring season, than in summer-autumn season) is more pronounced than the local site-specific influence. Furthermore, within each season a significant site-specific dependence on the MT and trace metal variations can be detected. An inverse relationship of mussel condition index (Cl) and temperature with MT and trace metals levels indicates the influence of food abundance and mussel annual reproductive Cycle. Substantially higher concentrations of both MT and Cd were recorded in mussels inhabiting estuarine locations, possibly indicating a markedly higher Cd bioavailability at these locations. The positive correlations obtained between MT and Cd in all seasons except autumn support an argument for application of digestive gland MT as a biomarker of Cd exposure, providing evidence for assessing the most appropriate season for Mussel sampling. (c) 2005 Elsevier Ltd. All rights reserved.</t>
  </si>
  <si>
    <t>Rudjer Boskovic Inst, Ctr Marine &amp; Environm Res, HR-10002 Zagreb, Croatia</t>
  </si>
  <si>
    <t>Rudjer Boskovic Inst, Ctr Marine &amp; Environm Res, POB 180, HR-10002 Zagreb, Croatia.</t>
  </si>
  <si>
    <t>djuric@rudjer.irb.hr</t>
  </si>
  <si>
    <t>Erk, Marijana/0000-0001-7221-5551; Ivankovic, Dusica/0000-0003-0349-7908</t>
  </si>
  <si>
    <t>10.1016/j.marpolbul.2005.04.039</t>
  </si>
  <si>
    <t>WOS:000234098200026</t>
  </si>
  <si>
    <t>Romero-Murillo, P; Campos, NHC; Orrego, R</t>
  </si>
  <si>
    <t>Romero-Murillo, Patricia; Campos Campos, Nestor Hernando; Orrego, Rodrigo</t>
  </si>
  <si>
    <t>Metal concentrations in Isognomon alatus by stages and climatic seasons in San Andres Island, Colombian Caribbean</t>
  </si>
  <si>
    <t>ACTA BIOLOGICA COLOMBIANA</t>
  </si>
  <si>
    <t>Marine Pollution; Invertebrates; Bivalve; Particulate Material; Mangroves</t>
  </si>
  <si>
    <t>TRACE-METALS; HEAVY-METALS; ORGANIC POLLUTANTS; BASE-LINE; BIOACCUMULATION; CADMIUM; SIZE; BIVALVES; EXPOSURE; WEIGHT</t>
  </si>
  <si>
    <t>This study evaluates the potential of the flat oyster Isognomon alatus as a biomonitor species for metal contamination, based on bioaccumulation patterns in adults and juveniles present in the Seaflower Biosphere Reserve on San Andres Island (Colombia) in three seasons climatic. The analysis by Atomic Absorption Spectrometry of I. alatus specimens and water samples collected in SAI (2009 and 2010) allowed us to observe higher concentrations (Max: 2,235 mu g/g dry weight) of Zn in seston, compared to Cd (Max: 0.078 mu g/g dry weight) and Cu (Max: 0.069 mu g/g dry weight). These concentrations varied seasonally in relation to the intensity of rainfall in the area. By means of a two-way ANOVA (p&lt;0.05), statistically significant differences were determined between sampling sites and seasons for metal concentrations (Cd, Cu, Zn) in organisms and for the Bioconcentration Factor (BCF), which corresponds to the relationship between the metal concentration in oysters and seston. Regarding the effect of age/size, the Cd concentration obtained and evaluated by ranges in juveniles is significantly lower than that observed in adults during the dry season, like what was recorded in other oyster studies. A comparison of the results obtained with the available data for I. alatus indicated that SAI had been impacted by Zn contamination. The results confirm the bioavailability of Cd previously reported; and the bioaccumulation of metals, especially Cu and Zn, according to FBC estimates.</t>
  </si>
  <si>
    <t>[Romero-Murillo, Patricia] Univ Sinu Secc Cartagena, Grp Invest GIBEAM, Escuela Biol Marina, Cartagena De Indias, Colombia; [Campos Campos, Nestor Hernando] Univ Nacl Colombia, Inst Estudios Ciencias del Mar CECIMAR, Santa Marta, Colombia; [Orrego, Rodrigo] Univ Antofagasta, Fac Marine Sci &amp; Biol Resources, Nat Sci Inst Alexander von Humboldt, Aquat Toxicol Lab AQUATOX, Antofagasta, Chile</t>
  </si>
  <si>
    <t>Universidad Nacional de Colombia; Universidad de Antofagasta</t>
  </si>
  <si>
    <t>Romero-Murillo, P (corresponding author), Univ Sinu Secc Cartagena, Grp Invest GIBEAM, Escuela Biol Marina, Cartagena De Indias, Colombia.</t>
  </si>
  <si>
    <t>patricia.romero@unisinu.edu.co</t>
  </si>
  <si>
    <t>Orrego, Rodrigo/U-9077-2018</t>
  </si>
  <si>
    <t>Orrego, Rodrigo/0000-0002-7606-2828; Campos, Nestor Hernando/0000-0003-2510-3009</t>
  </si>
  <si>
    <t>Universidad Nacional de Colombia (UNAL), Caribbean campus [10491]</t>
  </si>
  <si>
    <t>Universidad Nacional de Colombia (UNAL), Caribbean campus</t>
  </si>
  <si>
    <t>This research is a part of the project Determinacion de la capacidad de acumulacion de metales pesados (Cd, Cu, Zn) en Isognomon alatus de la isla de San Andres led by Nestor Hernando Campos. This research was funded by Universidad Nacional de Colombia (UNAL), Caribbean campus, project Code 10491 awarded to Nestor Hernando Campos. The results presented here are part of the MS Thesis of Patricia Romero Murillo at Facultad de Ciencias, UNAL.</t>
  </si>
  <si>
    <t>UNIV NAC COLOMBIA, FAC CIENCIAS, DEPT BIOL</t>
  </si>
  <si>
    <t>BOGOTA</t>
  </si>
  <si>
    <t>APARTADO AEREO 14490, BOGOTA, 00000, COLOMBIA</t>
  </si>
  <si>
    <t>0120-548X</t>
  </si>
  <si>
    <t>1900-1649</t>
  </si>
  <si>
    <t>ACTA BIOL COLOMB</t>
  </si>
  <si>
    <t>Acta Biol. Colomb.</t>
  </si>
  <si>
    <t>10.15446/abc.v28n3.97227</t>
  </si>
  <si>
    <t>Plant Sciences; Zoology</t>
  </si>
  <si>
    <t>GN3I8</t>
  </si>
  <si>
    <t>WOS:001153306000008</t>
  </si>
  <si>
    <t>Brooks, PR; Browne, MA; Benedetti-Cecchi, L; Lyons, DA; Crowe, TP</t>
  </si>
  <si>
    <t>Brooks, Paul R.; Browne, Mark Anthony; Benedetti-Cecchi, Lisandro; Lyons, Devin A.; Crowe, Tasman P.</t>
  </si>
  <si>
    <t>A response-surface approach into the interactive effects of multiple stressors reveals new insights into complex responses</t>
  </si>
  <si>
    <t>non-additive effects; antagonistic; synergistic; levels of organization; ecosystem; assemblage; mussels</t>
  </si>
  <si>
    <t>MEAN EFFECT SIZE; CLIMATE-CHANGE; MARINE-INVERTEBRATES; ECOLOGICAL PROCESSES; MYTILUS-EDULIS; BOTTOM-UP; COPPER; IMPACTS; BIODIVERSITY; FOOD</t>
  </si>
  <si>
    <t>Understanding the difficult to predict interactive effects of anthropogenic stressors is recognized as one of the major challenges facing environmental scientists and ecosystem managers. Despite burgeoning research, predicting stressor interactions is still difficult, in part because the same two stressors can interact, or not, depending on their intensities. While laboratory experiments have provided useful insights about how organisms respond to serial doses of single stressors, we lack 'response-surface' field experiments in which naturally occurring assemblages are exposed to multiple types and concentrations of stressors. Here we used a field-based dosing system combined with a 'response-surface' design to test the individual and combined effects of two stressors (copper and chlorpyrifos) at five concentrations of each, for a total of 25 replicated treatments (n=4). After six weeks of dosing, chemical uptake and impacts at several levels of biological organization in mussel assemblages were measured. Stressor combinations produced interactive effects that would not have been revealed without using this replicated 'response-surface approach'. Results show that non-additive effects of multiple stressors may be more complex and more common than previously thought. Additionally, our findings suggest that interactive effects of multiple stressors vary across levels of organization which has implications for monitoring and managing the chemical, biological and ecological impacts of priority pollutants in the real world.</t>
  </si>
  <si>
    <t>[Brooks, Paul R.; Crowe, Tasman P.] Univ Coll Dublin, Earth Inst, Dublin, Ireland; [Brooks, Paul R.; Crowe, Tasman P.] Univ Coll Dublin, Sch Biol &amp; Environm Sci, Dublin, Ireland; [Browne, Mark Anthony] Univ New South Wales, Sch Civil &amp; Environm Engn, Sydney, NSW, Australia; [Benedetti-Cecchi, Lisandro] Univ Pisa, Dept Biol, Pisa, Italy; [Lyons, Devin A.] Univ Alberta, Dept Biol Sci, Edmonton, AB, Canada</t>
  </si>
  <si>
    <t>University College Dublin; University College Dublin; University of New South Wales Sydney; University of Pisa; University of Alberta</t>
  </si>
  <si>
    <t>Brooks, PR (corresponding author), Univ Coll Dublin, Earth Inst, Dublin, Ireland.;Brooks, PR (corresponding author), Univ Coll Dublin, Sch Biol &amp; Environm Sci, Dublin, Ireland.</t>
  </si>
  <si>
    <t>paul.brooks@ucd.ie</t>
  </si>
  <si>
    <t>Lyons, Devin/A-9928-2011; Benedetti-Cecchi, Lisandro/J-8225-2019</t>
  </si>
  <si>
    <t>Benedetti-Cecchi, Lisandro/0000-0001-5244-5202</t>
  </si>
  <si>
    <t>PB was supported by IRC as part of the UCD Graduate Research Education Program. MB was supported by an IRCSET Fellowship.; IRC as part of the UCD Graduate Research Education Program; IRCSET Fellowship</t>
  </si>
  <si>
    <t>Sincere thanks to R. Clough and A. Fisher (Plymouth University) for providing access to instruments for the analysis of copper in tissue samples. Thanks to Jen Coughlan, Donal Lennon, and the technical staff at SBES. Many thanks to members of the MarBEE group (Silvia Saloni, Claire Gollety, &amp; amp; Sergio Mascolino) and those from SBES (Bas Boots, Emma Boston, Judith Kochmann, Paul O'Callaghan &amp; amp; Phil Fanning) for assistance in the field. We thank D. Offer and the staff at Malahide Marina for access, storage, and facilities to do this experiment.r PB was supported by IRC as part of the UCD Graduate Research Education Program. MB was supported by an IRCSET Fellowship.</t>
  </si>
  <si>
    <t>SEP 6</t>
  </si>
  <si>
    <t>10.3389/fmars.2023.1169677</t>
  </si>
  <si>
    <t>S0SC4</t>
  </si>
  <si>
    <t>WOS:001068343500001</t>
  </si>
  <si>
    <t>Cossu, C; Doyotte, A; Babut, M; Exinger, A; Vasseur, P</t>
  </si>
  <si>
    <t>Antioxidant biomarkers in freshwater bivalves, Unio tumidus, in response to different contamination profiles of aquatic sediments</t>
  </si>
  <si>
    <t>antioxidant systems; glutathione reductase; glutathione peroxidases; glutathione; lipid peroxidation; freshwater bivalves; Unio sp.; field studies; contaminated sediments</t>
  </si>
  <si>
    <t>BULLHEAD AMERIURUS-NEBULOSUS; MYTILUS-EDULIS-L; GLUTATHIONE-PEROXIDASE-ACTIVITY; CATFISH ICTALURUS-PUNCTATUS; EEL ANGUILLA-ANGUILLA; LIPID-PEROXIDATION; OXIDATIVE STRESS; DIGESTIVE GLAND; CHANNEL CATFISH; BROWN BULLHEAD</t>
  </si>
  <si>
    <t>Antioxidant systems were studied in the freshwater bivalve Unio tumidus transplanted from a control site to four different contaminated areas, in order to study the biological response according to the contamination characteristics. Reduced and oxidized glutathione (GSH, GSSG), the activities of antioxidant enzymes such as selenium-dependent and non-selenium-dependent glutathione peroxidases (SeGPx and non-SeGPx), and glutathione reductase (GRd) were measured in the gills and the digestive gland of the mussels after 15 days of exposure at different sites. Lipid peroxidation (LPO) was evaluated by means of malondialdehyde measurements (MDA). The four sites investigated were located in the valleys of Fensch (F), Moselle (M), Lot et Garonne (LG), and Sarthe (S). At each site, the bivalves were placed upstream (Up) from an identified pollution source (a cokery, a laundry, or a foundry) and downstream (Do), close to the effluent outfall (Do(1)) or farther (Do(2)). The goal was to study the antioxidant response in relation to the pollution gradient. Metals and congeners of PAHs, PCBs, and organochlorinated pesticides were analyzed in the river sediments of each station. The exposure of the bivalves at the most highly polluted sites or close to the pollution source led to a sharp depletion in some antioxidant parameters, namely GRd, SeGPx, and GSH. The decrease in enzyme activities could reach 80% for GRd and 70% for SeGPx, while GSH depletion could yield 70%, leading then in an induction of lipid peroxidation, either in the digestive gland or in the gills. The higher the MDA concentrations, the lower the activity of these three antioxidant parameters, suggesting that they could be biomarkers for toxicity. Yet, a depletion in these parameters was sometimes insufficient for cytotoxicity to be induced, since lipid peroxidation failed to appear in some cases where antioxidant depletion was clear, although not so severe. The response of the gills and the digestive gland was not always paralleled, which can be explained by differences in the bioavailability of pollutants. In some cases, a relationship was not found between the antioxidant response and the degree and the type of contamination in sediments, suggesting that the effects could result from nonidentified pollutants or/and be indicators of bioavailability. (C) 2000 Academic Press.</t>
  </si>
  <si>
    <t>Univ Metz, EBSE, Ctr Environm Sci, F-57040 Metz, France; Agence Eau Meuse, F-57061 Moulins Les Metz, France; Univ Louis Pasteur Strasbourg 1, Ctr Analyse &amp; Rech, Illkirch Graffenstaden, France</t>
  </si>
  <si>
    <t>Universite de Lorraine; Universites de Strasbourg Etablissements Associes; Universite de Strasbourg</t>
  </si>
  <si>
    <t>Vasseur, P (corresponding author), Univ Metz, EBSE, Ctr Environm Sci, BP 94025, F-57040 Metz, France.</t>
  </si>
  <si>
    <t>10.1006/eesa.1999.1842</t>
  </si>
  <si>
    <t>282RA</t>
  </si>
  <si>
    <t>WOS:000085231000002</t>
  </si>
  <si>
    <t>Mok, JS; Lee, TS; Kim, PH; Lee, HJ; Ha, KS; Shim, KB; Lee, KJ; Jung, YJ; Kim, JH</t>
  </si>
  <si>
    <t>Mok, Jong Soo; Lee, Tae Seek; Kim, Poong Ho; Lee, Hee Jung; Ha, Kwang Soo; Shim, Kil Bo; Lee, Ka Jeong; Jung, Yeoun Joong; Kim, Ji Hoe</t>
  </si>
  <si>
    <t>Bacteriological quality evaluation of seawater and oysters from the Hansan-Geojeman area in Korea, 2011-2013: impact of inland pollution sources</t>
  </si>
  <si>
    <t>Water quality; Hansan-Geojeman area; Oyster; Fecal bacteria; Wastewater; Pollution source</t>
  </si>
  <si>
    <t>HEAVY-METALS; HUMAN HEALTH; SHELLFISH CONSUMPTION; FOODBORNE DISEASES; ESCHERICHIA-COLI; POTENTIAL RISK; UNITED-STATES; BIOACCUMULATION; VARIABILITY; SEAFOOD</t>
  </si>
  <si>
    <t>From 2011 to 2013, we conducted a full sanitary survey of pollution sources in proximity to a shellfish growing area in the Hansan-Geojeman region in Korea, which includes a designated shellfish growing area. In the sea area, 1152 seawater and 209 oyster samples were collected and examined to evaluate their bacteriological quality. There were 758 potential pollution sources in the drainage area, including 40 sources discharging water in 2013. Fecal coliform (FC) concentrations and impact radii of discharges ranged from 1.8 to 700,000 MPN/100 mL and from 3 to 600 m, respectively; however, the pollutants did not reach the designated area. This demonstrates that the dilution of waste was sufficient such that no significant impact occurred within the designated shellfish growing area. The variation in the FC levels of seawater was closely related to season and rainfall. The FC levels of seawater and oysters from the designated area met the regulation limits set by various countries. No pathogens were found in any oysters. The results of the survey indicate that the oysters produced in this area are apparently safe for raw consumption based on their bacterial quality.</t>
  </si>
  <si>
    <t>[Mok, Jong Soo; Lee, Ka Jeong; Jung, Yeoun Joong] Natl Inst Fisheries Sci, Southeast Sea Fisheries Res Inst, 397-68 Sanyangilju Ro, Tongyeong 53085, South Korea; [Lee, Tae Seek; Kim, Poong Ho; Lee, Hee Jung; Ha, Kwang Soo; Shim, Kil Bo; Kim, Ji Hoe] Natl Inst Fisheries Sci, Food Safety Res Div, 216 Gijanghaean Ro, Busan 46083, South Korea</t>
  </si>
  <si>
    <t>National Institute of Fisheries Science; National Institute of Fisheries Science</t>
  </si>
  <si>
    <t>Mok, JS (corresponding author), Natl Inst Fisheries Sci, Southeast Sea Fisheries Res Inst, 397-68 Sanyangilju Ro, Tongyeong 53085, South Korea.</t>
  </si>
  <si>
    <t>National Institute of Fisheries Science in Korea [R2016007]</t>
  </si>
  <si>
    <t>This work was supported by a grant from the National Institute of Fisheries Science in Korea (R2016007).</t>
  </si>
  <si>
    <t>AUG 24</t>
  </si>
  <si>
    <t>10.1186/s40064-016-3049-9</t>
  </si>
  <si>
    <t>EH5CH</t>
  </si>
  <si>
    <t>WOS:000391789700011</t>
  </si>
  <si>
    <t>Baudrimont, M; de Montaudouin, X; Palvadeau, A</t>
  </si>
  <si>
    <t>Bivalve vulnerability is enhanced by parasites through the deficit of metallothionein synthesis:: A field monitoring on cockles (Cerastoderma edule)</t>
  </si>
  <si>
    <t>CLAM RUDITAPES DECUSSATUS; CORBICULA-FLUMINEA; METAL EXPOSURE; FRANCE</t>
  </si>
  <si>
    <t>The effect of the parasite Labratrema minimus (digenean trematode) on metallothionein (MTs) biosynthesis by the cockle Cerastoderma edule (bivalve) was investigated. An in situ monitoring allowed to describe and compare monthly variations of MTs concentrations in cockles with and without L. minimus in a site free of metal pollution (Banc d'Arguin, Arcachon Bay, France). These concentrations are correlated with the reproductive cycle of the bivalve: (1) in spent cockles, MTs concentrations are higher in infected cockles, probably due to host tissue lysis; (2) during maturation, MTs biosynthesis increases in all cockles. However, concentrations are lower in parasitized individuals in relation with castration by parasites. Therefore, parasite infection in cockles, which can affect 100% of individuals, may contribute to a higher vulnerability of organisms to metal contamination.</t>
  </si>
  <si>
    <t>Univ Bordeaux 1, LEESA, UMR 5805, CNRS,EPOC, F-33120 Arcachon, France; Univ Bordeaux 1, Lab Oceanog Biol, UMR 5805, CNRS,EPOC, F-33120 Arcachon, France</t>
  </si>
  <si>
    <t>Centre National de la Recherche Scientifique (CNRS); Universite de Bordeaux; CNRS - National Institute for Earth Sciences &amp; Astronomy (INSU); Universite de Bordeaux; Centre National de la Recherche Scientifique (CNRS); CNRS - National Institute for Earth Sciences &amp; Astronomy (INSU)</t>
  </si>
  <si>
    <t>Univ Bordeaux 1, LEESA, UMR 5805, CNRS,EPOC, Pl Dr Peyneau, F-33120 Arcachon, France.</t>
  </si>
  <si>
    <t>10.1051/jp4:20030260</t>
  </si>
  <si>
    <t>WOS:000183782300033</t>
  </si>
  <si>
    <t>Oros, M; Hanzelová, V</t>
  </si>
  <si>
    <t>Oros, Mikulas; Hanzelova, Vladimira</t>
  </si>
  <si>
    <t>Re-establishment of the fish parasite fauna in the Tisa River system (Slovakia) after a catastrophic pollution event</t>
  </si>
  <si>
    <t>HEAVY-METAL POLLUTION; FARMED COMMON CARP; LIFE-CYCLE; CARYOPHYLLAEIDAE; ECOSYSTEMS; INDICATORS; ABUNDANCE; DIGENEA; CESTODA; CYANIDE</t>
  </si>
  <si>
    <t>An extensive survey of helminth parasites in 1,316 freshwater fish representing 31 species from two aquatic ecosystems in southeastern Slovakia characterized by different level of environmental pollution was carried out. The helminth species diversity was compared between the Tisa River, heavily polluted with cyanides and heavy metals after a series of ecological disasters in 2000, and the less anthropogenically influenced Latorica River. A parasitological survey found 31 gastrointestinal helminths: Trematoda (11 species), Cestoda (14), Acanthocephala (3) and Nematoda (3). As many as 70 host-parasite combinations have been found. Twenty of them (28.6%) represent new host-parasite finding records for the territory of Slovakia. The component communities were species-poor in both rivers, with high dominance of one to three helminth species. Even though the fish communities were qualitatively similar (ICS = 81%) and the number of fish examined was approximately the same (676 and 640) in both localities, the helminth species richness and diversity of host-parasite combinations were two times lower in the more polluted Tisa River. The helminth communities were also much less abundant in the Tisa River. Based on the Czekanowski-Sorensen similarity index (ICS = 48.8%) and the Percentage similarity index (PI = 19.5%), the helminth communities were qualitatively and quantitatively different in the two rivers. The remarkable lack of species diversity in the Tisa River can be explained by the negative impact of residual contamination of the Tisa river bottom on certain freshwater invertebrates (bivalves and prosobranch mollusks, copepods and amphipods) which serve as obligatory intermediate hosts for the helminths. Four species, the aspidogastrean Aspidogaster limacoides Diesing, 1835, the acanthocephalan Pomphorhynchus tereticollis (Rudolphi, 1809) tapeworms Atractolytocestus huronensis Anthony, 1958 and Khawia sinensis Hsu, 1935 are recorded in Slovakia for the first time.</t>
  </si>
  <si>
    <t>[Oros, Mikulas; Hanzelova, Vladimira] Slovak Acad Sci, Inst Parasitol, Kosice 04001, Slovakia; [Oros, Mikulas] Acad Sci Czech Republic, Inst Parasitol, Ctr Biol, CR-37005 Ceske Budejovice, Czech Republic</t>
  </si>
  <si>
    <t>Slovak Academy of Sciences; Czech Academy of Sciences; Biology Centre of the Czech Academy of Sciences</t>
  </si>
  <si>
    <t>Hanzelová, V (corresponding author), Slovak Acad Sci, Inst Parasitol, Hlinkova 3, Kosice 04001, Slovakia.</t>
  </si>
  <si>
    <t>hanzel@saske.sk</t>
  </si>
  <si>
    <t>Oros, Mikulas/AAP-8046-2020</t>
  </si>
  <si>
    <t>Oros, Mikulas/0000-0002-0518-5708</t>
  </si>
  <si>
    <t>10.1007/s00436-009-1356-6</t>
  </si>
  <si>
    <t>436UW</t>
  </si>
  <si>
    <t>WOS:000265442600035</t>
  </si>
  <si>
    <t>Bonneris, E; Perceval, O; Masson, S; Hare, L; Campbell, PGC</t>
  </si>
  <si>
    <t>Sub-cellular partitioning of Cd, Cu and Zn in tissues of indigenous unionid bivalves living along a metal exposure gradient and links to metal-induced effects</t>
  </si>
  <si>
    <t>sub-cellular partitioning; molluscs; detoxification; metallothionein; malondialdehyde</t>
  </si>
  <si>
    <t>FRESH-WATER BIVALVES; ENVIRONMENTAL CADMIUM GRADIENT; MUSSEL MYTILUS-EDULIS; PYGANODON-GRANDIS; ANODONTA-CYGNEA; METALLOTHIONEIN SYNTHESIS; CALCIUM CONCRETIONS; LIPID-PEROXIDATION; ACCUMULATING CELLS; GILLS</t>
  </si>
  <si>
    <t>We studied organ and sub-cellular distributions of several trace metals in a freshwater bivalve that has been proposed for use as a metal biomonitor. Specimens of Pyganodon grandis were collected from nine lakes located along a Cd, Cu and Zri concentration gradient (Rouyn-Noranda area, Quebec). Gills and digestive gland were isolated, homogenized and six sub-cellular fractions were separated by differential centrifugation and analysed for their Cd, Cu and Zri content. Metallothionein was quantified independently. Gill tissues contained abundant calcium concretions that accounted for over 60% of the total gill burden of each metal. Cadmium and Zn concentrations in this granule fraction reflected ambient metal concentrations. Metal concentrations in the digestive gland also responded to the metal contamination gradient, but to a lesser extent than the gills, reflecting the lower abundance of granules in the digestive gland. Metals (Cd, Cu) in this organ were present largely in the heat-stable proteins fraction, and metal concentrations in this fraction were strongly correlated with those of both metallothionein and, to a lesser extent, the lysosomes + microsomes and mitochondria fractions. In both organs, Cd concentrations in the heat-denaturable protein fraction remained low and constant, suggesting reasonably effective metal detoxification. Some evidence for oxidative stress was noted in the gills but not in the digestive gland. Overall, we conclude that in nature metals in P. grandis are bound differently in the gills and in the digestive gland and that metal detoxification in the former organ may be less effective than in the latter. (c) 2004 Elsevier Ltd. All rights reserved.</t>
  </si>
  <si>
    <t>Univ Quebec, Inst Natl Rech Sci, INRS Eau Terre &amp; Environm, Quebec City, PQ G1K 9A9, Canada; INRA, DGER, UMR 1233, Mycotoxines &amp; Toxicol Comparees Xenobiot, F-69290 Marcy Letoile, France; Univ Montreal, Dept Biol Sci, GRIL, Montreal, PQ H3C 3J7, Canada</t>
  </si>
  <si>
    <t>University of Quebec; Institut national de la recherche scientifique (INRS); INRAE; Universite de Montreal</t>
  </si>
  <si>
    <t>Campbell, PGC (corresponding author), Univ Quebec, Inst Natl Rech Sci, INRS Eau Terre &amp; Environm, 490 Couronne, Quebec City, PQ G1K 9A9, Canada.</t>
  </si>
  <si>
    <t>campbell@ete.mrs.ca</t>
  </si>
  <si>
    <t>10.1016/j.envpol.2004.11.007</t>
  </si>
  <si>
    <t>907DN</t>
  </si>
  <si>
    <t>WOS:000227695600002</t>
  </si>
  <si>
    <t>Sloss, BL; Romano, MA; Anderson, RV</t>
  </si>
  <si>
    <t>Pollution-tolerant allele in fingernail clams (Musculium transversum)</t>
  </si>
  <si>
    <t>UPPER MISSISSIPPI RIVER; ALLOZYME GENOTYPES; GENETIC DISTANCE; POPULATIONS; SELECTION; SURVIVORSHIP; COPPER</t>
  </si>
  <si>
    <t>For nearly 50 years, the fingernail clam (Musculium transversum) was believed to be virtually eliminated from the Illinois River. In 1991, workers began finding substantial populations of M. transversum in the Illinois River including several beds in and around the highly polluted Chicago Sanitary District. In order to determine if populations of M. transversum from polluted sites exhibited any genetic response to the high levels of toxins and to examine the genetic structure of several populations of M. transversum for any changes due to the population crash, starch-gel electrophoresis was performed on M. transversum from three Illinois River localities and four Mississippi River basin locations. The sampled populations produced an inbreeding coefficient (F-IS) of 0.929, indicating that the populations were highly inbred. The results of a suspected founder effect due to a bottleneck was suggested by an F-ST = 0.442. The isozyme Glucose-6-phosphate isomerase-2 (Gpi-2) produced allelic frequency patterns that were consistent with expected patterns of a pollution-tolerant allele. Polluted sites exhibited elevated frequencies of Gpi-2(100) whereas nonpolluted sites exhibited elevated frequencies of Gpi-2(74). This frequency pattern suggested that natural selection was occurring in populations under severe toxic pressures, leading to an increase in the frequency of the allele Gpi-2(100) Therefore, Gpi-2(100) is a possible pollution-tolerant mutation in M. transversum.</t>
  </si>
  <si>
    <t>Western Illinois Univ, Dept Biol Sci, Macomb, IL 61455 USA</t>
  </si>
  <si>
    <t>Western Illinois University</t>
  </si>
  <si>
    <t>Romano, MA (corresponding author), So Illinois Univ, Dept Zool, Cooperat Fisheries Res Lab, Carbondale, IL 62901 USA.</t>
  </si>
  <si>
    <t>10.1007/s002449900380</t>
  </si>
  <si>
    <t>ZZ058</t>
  </si>
  <si>
    <t>WOS:000074691500015</t>
  </si>
  <si>
    <t>Bodin, N; Burgeot, T; Stanisière, JY; Bocquené, G; Menard, D; Minier, C; Boutet, I; Amat, A; Cherel, Y; Budzinski, H</t>
  </si>
  <si>
    <t>Seasonal variations of a battery of biomarkers and physiological indices for the mussel Mytilus galloprovincialis transplanted into the northwest Mediterranean Sea</t>
  </si>
  <si>
    <t>active biomonitoring; biomarkers; basal levels; caging; chemical pollutants; Mytilus galloprovincialis; physiological indices; seasonal variations</t>
  </si>
  <si>
    <t>FIELD APPLICATION; LYSOSOMAL DESTABILIZATION; AQUATIC ORGANISMS; STRESS-PROTEINS; MARINE; EDULIS; CONTAMINATION; POLLUTION; EXPOSURE; ACETYLCHOLINESTERASE</t>
  </si>
  <si>
    <t>Seasonal variations of six mussel (Mytilus galloprovincialis) biomarkers at two sites in the Mediterranean Sea were compared with physiological indices (condition, growth and gonad maturation), environmental parameters (temperature, salinity and turbidity), and chemical contamination levels. The basal levels of acetylcholinesterase (AChE), DNA adducts, benzo[a]pyrene hydroxylase (BPH), heat-shock proteins (HSP70), metallothioneins (MT) and P-glycoprotein (P-gp)-mediated multixenobiotic resistance (MXR) were estimated as early warning signals in caged mussels sampled at Carteau (native site) and La Fourcade (transplantation site) over a 2-year period. The Carteau and La Fourcade mussels have specific chemical contamination profiles but a similar range of values. For example, both are highly contaminated by heavy metals (201 and 258.4 mg kg(-1) dw, respectively) and considered as moderately impacted for polychlorinated biphenyls (PCBs) and polycyclic aromatic hydrocarbons (PAHs). However, contamination levels at Carteau are twice as big h for PAHs (101.5 mg g(-1) dw) and PCBs (90.2 mg g(-1) dw) than La Fourcade. The seasonal contamination trend at Carteau showed six-fold higher levels of pyrolytic pollutants in winter. Although few tissue lesions were detected in individuals studied at either site, greater parasitic infestation was observed at Carteau. The results of findings from the two Mediterranean pilot studies support the adaptability of transplanted mussels to be used as biomarkers and to establish physiological endpoints for chemical contaminant exposure. (C) 2004 Elsevier Inc. All rights reserved.</t>
  </si>
  <si>
    <t>IFREMER, Chem Pollutants, Lab Ecotoxicol, F-44311 Nantes, France; IFREMER, F-83507 La Seyne Sur Mer, France; Univ Havre, F-76058 Le Havre, France; Univ Bretagne Occidentale, LEMAR, F-29280 Plouzane, France; ENSAT, Lab Toxicol &amp; Securite Alimentaire, F-31326 Auzeville Tolosane, France; Ecole Natl Vet, Lab Histopathol Anim, Nantes, France; Univ Bordeaux 1, LPTC, F-33405 Talence, France</t>
  </si>
  <si>
    <t>Ifremer; Ifremer; Universite Le Havre Normandie; Centre National de la Recherche Scientifique (CNRS); Ifremer; Institut de Recherche pour le Developpement (IRD); Universite de Bretagne Occidentale; Ecole Nationale Veterinaire, Agroalimentaire et de l'Alimentation Nantes-Atlantique; Universite de Bordeaux</t>
  </si>
  <si>
    <t>IFREMER, Chem Pollutants, Lab Ecotoxicol, BP 21105, F-44311 Nantes, France.</t>
  </si>
  <si>
    <t>tburgeot@ifremer.fr</t>
  </si>
  <si>
    <t>Bodin, Nathalie/D-2184-2009</t>
  </si>
  <si>
    <t>BUDZINSKI, Helene/0000-0001-5282-9011; Boutet, Isabelle/0000-0003-0619-9316; Bodin, Nathalie/0000-0001-8464-0213</t>
  </si>
  <si>
    <t>10.1016/j.cca.2004.04.009</t>
  </si>
  <si>
    <t>874RF</t>
  </si>
  <si>
    <t>WOS:000225366800001</t>
  </si>
  <si>
    <t>Bashnin, T; Verhaert, V; De Jonge, M; Vanhaecke, L; Teuchies, J; Bervoets, L</t>
  </si>
  <si>
    <t>Bashnin, Tayebeh; Verhaert, Vera; De Jonge, Maarten; Vanhaecke, Lynn; Teuchies, Johannes; Bervoets, Lieven</t>
  </si>
  <si>
    <t>Relationship between pesticide accumulation in transplanted zebra mussel (Dreissena polymorpha) and community structure of aquatic macroinvertebrates</t>
  </si>
  <si>
    <t>Pesticides; Dissolved metals; Bioavailability; Ecological status; Biomonitoring</t>
  </si>
  <si>
    <t>METAL BIOAVAILABILITY; BODY BURDENS; BIOACCUMULATION; BIOMONITORS; THRESHOLDS; IMPACT; RIVER; CADDISFLIES; DISTURBANCE; RESPONSES</t>
  </si>
  <si>
    <t>This study examined to what degree bioaccumulated pesticides in transplanted zebra mussels can give an insight to pesticide bioavailability in the environment. In addition, it was investigated if pesticide body residues could be related to ecological responses (changes in macroinvertebrate community composition). For this at 17 locations, 14 pesticide concentrations and nine dissolved metals were measured in translocated zebra mussels and the results were related to the structure of the macro invertebrate community. Critical body burdens in zebra mussel, above which the ecological status was always low, could be estimated for chlorpyrifos, terbuthylazine and dimethoate being respectively 8.0, 2.08 and 2.0 ng/g dry weight. With multivariate analysis, changes in the community structure of the macroinvertebrates were related to accumulated pesticides and dissolved metals. From this analysis, it was clear that the composition of the macroinvertebrate communities was not only affected by pesticides but also by metal pollution. Two different regions could be clearly separated, one dominated by metal pollution, and one where pesticide pollution was more important. The results of this study demonstrated that zebra mussel body burdens can be used to measure pesticide bioavailability and that pesticide body burdens might give insight in the ecological impacts of pesticide contamination. Given the interrelated impacts of pesticides and heavy metals, it is important to further validate all threshold values before they can be used by regulators. (C) 2019 Elsevier Ltd. All rights reserved.</t>
  </si>
  <si>
    <t>[Bashnin, Tayebeh; Verhaert, Vera; Teuchies, Johannes; Bervoets, Lieven] Univ Antwerp, Dept Biol, Lab Syst Physiol &amp; Ecotoxicol Res, Groenenborgerlaan 171, B-2020 Antwerp, Belgium; [De Jonge, Maarten] Flemish Environm Agcy, Dept Water Monitoring, Diestsepoort 6,Bus 73, B-3000 Leuven, Belgium; [Vanhaecke, Lynn] Univ Ghent, Dept Vet Publ Hlth &amp; Food Safety, Chem Anal Lab, Salisburylaan 133, B-9820 Merelbeke, Belgium</t>
  </si>
  <si>
    <t>University of Antwerp; Ghent University</t>
  </si>
  <si>
    <t>Bashnin, T (corresponding author), Univ Antwerp, Dept Biol, Lab Syst Physiol &amp; Ecotoxicol Res, Groenenborgerlaan 171, B-2020 Antwerp, Belgium.</t>
  </si>
  <si>
    <t>tayebeh.bashnin@uantwerpen.be</t>
  </si>
  <si>
    <t>Bervoets, Lieven/E-5012-2015; Vanhaecke, Lynn/N-1061-2017</t>
  </si>
  <si>
    <t>Vanhaecke, Lynn/0000-0003-0400-2188</t>
  </si>
  <si>
    <t>10.1016/j.envpol.2019.05.140</t>
  </si>
  <si>
    <t>IT6SQ</t>
  </si>
  <si>
    <t>WOS:000483005500062</t>
  </si>
  <si>
    <t>Stankovic, S; Jovic, M; Tanaskovski, B; Mihajlovic, ML; Joksimovic, D; Pezo, L</t>
  </si>
  <si>
    <t>Stankovic, Slavka; Jovic, Mihajlo; Tanaskovski, Bojan; Mihajlovic, Marija L.; Joksimovic, Danijela; Pezo, Lato</t>
  </si>
  <si>
    <t>Can the origin of some metals in the seagrass Posidonia oceanica be determined by the indexes of metals pollutions?</t>
  </si>
  <si>
    <t>Heavymetals; Surface sediment; Posidonia oceanica; Metal pollution index; Enrichment factor; Correlation coefficient; Multivariate analysis</t>
  </si>
  <si>
    <t>HEAVY-METALS; TRACE-METALS; SEDIMENTS; COAST; BAY; TISSUES; WATER; ACCUMULATION; MOLLUSKS; MUSSELS</t>
  </si>
  <si>
    <t>To assess metal pollution, Fe, Mn, Cu, Zn, Pb, Ni, Co, As, Cd, and Hg contents in samples of the seagrass Posidonia oceanica and surface sediment, collected at eight locations along the Montenegrin coast, were determined. The metal pollution index (MPI) and metal enrichment factor (EF) were then calculated. MPI and EF were lower in sediment than in P. oceanica at the same locations. This was very evident for EF values of Hg and Cd. Based on the Pearson's correlations and EF values, it was possible to conclude that the last two metals' content in the seagrass did not originate from the crustal sources or natural weathering processes.</t>
  </si>
  <si>
    <t>[Stankovic, Slavka; Tanaskovski, Bojan] Univ Belgrade, Fac Technol &amp; Met, Dept Analyt Chem, Belgrade 11000, Serbia; [Jovic, Mihajlo] Univ Belgrade, Vinca Inst Nucl Sci, Belgrade 11001, Serbia; [Mihajlovic, Marija L.] Inst Technol Nucl &amp; Other Mineral Raw Mat, Belgrade 11000, Serbia; [Joksimovic, Danijela] Univ Podgorica, IBM, Kotor 85330, Montenegro; [Pezo, Lato] Univ Belgrade, Inst Gen &amp; Phys Chem, Belgrade 11000, Serbia</t>
  </si>
  <si>
    <t>Stankovic, S (corresponding author), Univ Belgrade, Fac Technol &amp; Met, Dept Analyt Chem, Belgrade 11000, Serbia.</t>
  </si>
  <si>
    <t>Joksimovic, Danijela/AAH-7688-2019; Ercegovic, Marija/ABA-9198-2021; Jovic, Mihajlo/U-8340-2017; Pezo, Lato/D-6650-2014</t>
  </si>
  <si>
    <t>Ercegovic, Marija/0000-0002-7145-8671; Jovic, Mihajlo/0000-0002-3293-5797; Pezo, Lato/0000-0002-0704-3084</t>
  </si>
  <si>
    <t>Ministry of Education, Science and Technological Development of the Republic of Serbia [III 43009]</t>
  </si>
  <si>
    <t>This work was supported by Project III 43009 of the Ministry of Education, Science and Technological Development of the Republic of Serbia.</t>
  </si>
  <si>
    <t>10.1007/s11356-014-3953-x</t>
  </si>
  <si>
    <t>CI7QX</t>
  </si>
  <si>
    <t>WOS:000354960300022</t>
  </si>
  <si>
    <t>Ji, Y; Wen, YY; Wang, Z; Zhang, SF; Guo, MJ</t>
  </si>
  <si>
    <t>Ji, Yong; Wen, Yingying; Wang, Zhong; Zhang, Shifeng; Guo, Minjie</t>
  </si>
  <si>
    <t>Eco-friendly fabrication of a cost-effective cellulose nanofiber-based aerogel for multifunctional applications in Cu(II) and organic pollutants removal</t>
  </si>
  <si>
    <t>Nanocellulose-based aerogel; Tannic acid; Contaminant; Adsorption; Hydrophilicity</t>
  </si>
  <si>
    <t>MUSSEL-INSPIRED SYNTHESIS; HEAVY-METALS REMOVAL; EFFICIENT REMOVAL; AQUEOUS-SOLUTION; REUSABLE ADSORBENTS; OIL ABSORPTION; ADSORPTION; GRAPHENE; WASTE; WATER</t>
  </si>
  <si>
    <t>Eco-friendly and cost-effective designs of adsorbents are highly desirable to realize highly efficient removal of heavy metals and organic pollutants from wastewater. Herein, the biomimetic co-deposition from polyphenol-substance tannic acid induced the grafting of renewable cardanol-derived siloxane on a cellulose nanofiber (CNF) framework to form an eco-friendly and low-cost microporous aerogel to capture Cu(II) and organic contamination. Owing to the three-dimensional cellulosic porous structure and easily accessible active sites, the as-prepared aerogel manifested a low density and favorable hydrophobicity, which were vital for highly efficient absorption toward Cu(II) and oil droplets. The saturated adsorption capacity of modified aerogels for Cu(II) was found to be 45.6 mg/L, which is higher than the majority of reported biobased adsorbents. Based on thermodynamic and kinetic studies, the Cu(II) adsorption closely approximated that of a spontaneous and endothermic chemisorption process. In addition, the modified aerogel effectively collected various oils and organic solvents from water, with maximum absorption capacities up to 108 g/g (chloroform); it also exhibited good stability in a Cu(II)/ chloroform binary system. The multiple separation efficiency indicated that the obtained aerogel is very suitable for application in practical water purification. It is particularly important that the whole synthesis process of modified aerogels is green and economical without additional toxic agents; this allows them to significantly reduce secondary pollution to the environment after use, contamination emissions to the environment. These results demonstrated that the novel nanostructured composites with a naturally functional polymer layer have unexpected potential as an ideal candidate for practical water purification. (C) 2020 Elsevier Ltd. All rights reserved.</t>
  </si>
  <si>
    <t>[Ji, Yong; Wen, Yingying] Nanchang Inst Technol, Coll Water Conservancy &amp; Ecol Engn, Nanchang 330099, Peoples R China; [Wang, Zhong; Zhang, Shifeng] Beijing Forestry Univ, Beijing Key Lab Wood Sci &amp; Engn, Beijing 100083, Peoples R China; [Guo, Minjie] Tianjin Univ Sci &amp; Technol, Coll Chem Engn &amp; Mat Sci, Tianjin 300457, Peoples R China</t>
  </si>
  <si>
    <t>Nanchang Institute Technology; Beijing Forestry University; Tianjin University Science &amp; Technology</t>
  </si>
  <si>
    <t>Ji, Y (corresponding author), Nanchang Inst Technol, Coll Water Conservancy &amp; Ecol Engn, Nanchang 330099, Peoples R China.;Zhang, SF (corresponding author), Beijing Forestry Univ, Beijing Key Lab Wood Sci &amp; Engn, Beijing 100083, Peoples R China.</t>
  </si>
  <si>
    <t>jiyong@nit.edu.cn; shifeng.zhang@bjfu.edu.cn</t>
  </si>
  <si>
    <t>Guo, Minjie/ADZ-0076-2022; zhang, Shifeng/HPH-0217-2023; Wang, Zhong/C-3737-2014</t>
  </si>
  <si>
    <t>Guo, Minjie/0000-0002-7870-6172</t>
  </si>
  <si>
    <t>National Natural Science Foundation of China [51779005, 51769015, 51879128]; Jiangxi Provincial Technology Department [20171ACB21050, 20182BCB22013]; Tianjin Science and Technology Committee Major Project Program [18ZXJMTG00070]</t>
  </si>
  <si>
    <t>National Natural Science Foundation of China(National Natural Science Foundation of China (NSFC)); Jiangxi Provincial Technology Department; Tianjin Science and Technology Committee Major Project Program</t>
  </si>
  <si>
    <t>This study was supported by the National Natural Science Foundation of China (51779005; 51769015; 51879128), Jiangxi Provincial Technology Department (20171ACB21050; 20182BCB22013), and Tianjin Science and Technology Committee Major Project Program(18ZXJMTG00070). All authors reviewed the manuscript.</t>
  </si>
  <si>
    <t>10.1016/j.jclepro.2020.120276</t>
  </si>
  <si>
    <t>KW1TG</t>
  </si>
  <si>
    <t>WOS:000520953200047</t>
  </si>
  <si>
    <t>Paul, N; Tillmann, A; Lannig, G; Pogoda, B; Lucassen, M; Mackay-Roberts, N; Gerdts, G; Bock, C</t>
  </si>
  <si>
    <t>Paul, Nina; Tillmann, Anette; Lannig, Gisela; Pogoda, Bernadette; Lucassen, Magnus; Mackay-Roberts, Nicholas; Gerdts, Gunnar; Bock, Christian</t>
  </si>
  <si>
    <t>Microplastics and low tide warming: Metabolic disorders in intertidal Pacific oysters (Crassostrea gigas)</t>
  </si>
  <si>
    <t>NMR-based metabolomics; Pollution; Global change; Bivalves; Oxidative stress; Anthropogenic stressors</t>
  </si>
  <si>
    <t>MUSSELS MYTILUS-GALLOPROVINCIALIS; POLYSTYRENE MICROPLASTICS; STRESS; TOLERANCE; POLLUTION; EGESTION; EXPOSURE; ENVIRONMENT; ORGANISMS; INGESTION</t>
  </si>
  <si>
    <t>Sessile intertidal organisms live in a harsh environment with challenging environmental conditions and increasing anthropogenic pressure such as microplastic (MP) pollution. This study focused on effects of environmentally relevant MP concentrations on the metabolism of intertidal Pacific oyster Crassostrea gigas, and its potential MP-induced vulnerability to warming during midday low tide. Oysters experienced a simulated semidiurnal tidal cycle based on their natural habitat, and were exposed to a mixture of polystyrene microbeads (4, 7.5 and 10 mu m) at two environmentally relevant concentrations (0.025 mu g L- 1 and 25 mu g L- 1) for 16 days, with tissue samplings after 3 and 12 days to address dose-dependent effects over time. On the last day of exposure, the remaining oysters were additionally exposed to low tide warming (3 degrees C h- 1) to investigate possible MP-induced susceptibility to aerial warming. Metabolites of digestive gland and gill tissues were analysed by using untargeted 1H nuclear magnetic resonance (NMR) based metabolomics. For the digestive gland metabolite profiles were comparable to each other independent of MP concentration, exposure time, or warming. In contrast, gill metabolites were significantly affected by high MP exposure and warming irrespective of MP, initiating the same cellular stress response to counteract induced oxidative stress. The activated cascade of antioxidant defence mechanisms required energy on top of the general energy turnover to keep up homeostasis, which in turn may lead to subtle, and likely sub-lethal, effects within intertidal oyster populations. Present results underline the importance of examining the effects of environmentally relevant MP concentrations not only alone but in combination with other environmental stressors.</t>
  </si>
  <si>
    <t>[Paul, Nina; Tillmann, Anette; Lannig, Gisela; Lucassen, Magnus; Bock, Christian] Alfred Wegener Inst, Helmholtz Ctr Polar &amp; Marine Res, Integrat Ecophysiol, Handelshafen 12, D-27570 Bremerhaven, Germany; [Pogoda, Bernadette; Mackay-Roberts, Nicholas; Gerdts, Gunnar] Alfred Wegener Inst, Helmholtz Ctr Polar &amp; Marine Res, Shelf Sea Syst Ecol, D-27498 Kurpromenade, Helgoland, Germany</t>
  </si>
  <si>
    <t>Helmholtz Association; Alfred Wegener Institute, Helmholtz Centre for Polar &amp; Marine Research; Helmholtz Association; Alfred Wegener Institute, Helmholtz Centre for Polar &amp; Marine Research</t>
  </si>
  <si>
    <t>Paul, N; Bock, C (corresponding author), Alfred Wegener Inst, Helmholtz Ctr Polar &amp; Marine Res, Handelshafen 12, D-27570 Bremerhaven, Germany.</t>
  </si>
  <si>
    <t>Nina.Paul@awi.de; Christian.Bock@awi.de</t>
  </si>
  <si>
    <t>Pogoda, Bernadette/Q-6351-2016</t>
  </si>
  <si>
    <t>Paul, Nina/0000-0001-9967-4459</t>
  </si>
  <si>
    <t>AWI Strategy Fund Helmholtz Association</t>
  </si>
  <si>
    <t>The authors greatly acknowledge the help of F. C. Veliz Moraleda and A. Karamyar in setting up the tidal incubation system at AWI. We further thank R. Saborowski and L. Gutow for fruitful discussions, E. Petersen, F. C. Veliz Moraleda and A. Karamyar for their support in animal supply, and S. Gotze and C. Eymann for their great help during sampling. The present study is part of the OMAP project: Oysters and Mussels under Anthropogenic Pressure-Does microplastic limit the tolerance to climate change of ecologically and economically important bivalves? funded through the AWI Strategy Fund as part of the research program Changing Earth-Sustaining our Future in the program-oriented funding periods (PoF IV subtopic 6.2-Adaptation of marine life: from genes to ecosystems) of the Helmholtz Association. We further thank the anonymous reviewers who provided valuable comments to improve the manuscript.</t>
  </si>
  <si>
    <t>10.1016/j.ecoenv.2024.116873</t>
  </si>
  <si>
    <t>D6I9L</t>
  </si>
  <si>
    <t>WOS:001297204500001</t>
  </si>
  <si>
    <t>Mansour, C; Guardiola, FA; Esteban, MA; Mosbahi, DS</t>
  </si>
  <si>
    <t>Mansour, Chalbia; Guardiola, Francisco Antonio; Angeles Esteban, Maria; Mosbahi, Dalila Saidane</t>
  </si>
  <si>
    <t>Combination of polycyclic aromatic hydrocarbons and temperature exposure: In vitro effects on immune response of European clam (Ruditapes decussatus)</t>
  </si>
  <si>
    <t>Polycyclic aromatic hydrocarbons (PAHs); Temperature; Haemocyte; Immunity; European clam (Ruditapes decussatus)</t>
  </si>
  <si>
    <t>CRASSOSTREA-GIGAS THUNBERG; MUSSELS MYTILUS-GALLOPROVINCIALIS; OXIDATIVE STRESS; EASTERN OYSTERS; PACIFIC OYSTER; PERNA-VIRIDIS; MARINE MUSSEL; PHENOLOXIDASE ACTIVITY; MERCENARIA-MERCENARIA; PERKINSUS-ATLANTICUS</t>
  </si>
  <si>
    <t>Marine organisms are subjected to various biotic and abiotic factors such as changes of temperature and pollutants [e.g. polycyclic aromatic hydrocarbons (PAHs), polychlorinated biphenyls (PCBs), and heavy metals, which may affect their defense mechanisms. In this context, the aim was to evaluate the combined effects of temperature (20 and 30 degrees C) and PAHs (fluorene, phenanthrene and pyrene) at two concentrations (10(-5) and 10(-3) mg mL(-1)) on the immune responses of the European clam Ruditapes decussatus were after 24 h of in vitro exposure. Total haemocyte count, cell viability, phenoloxidase, lysozyme, alkaline phosphatase, esterase, antibacterial and agglutinating activities were measured. Exposure to high temperatures resulted in lower phosphatase alkaline activity and higher haemocyte viability and antibacterial and haemagglutinating activities, compared with the values recorded for clams maintained at low temperature. Only pyrene induced a significant decrease in haemocyte lysozyme (at 20 and 30 degrees C) and esterase (at 30 degrees C) activities. The total haemocyte count was increased by phenanthrene and pyrene at 20 degrees C and at 30 degrees C, respectively. Alkaline phosphatase activity increased when haemocytes were exposed to pyrene at 30 degrees C but decreased in the presence of fluorene at 20 degrees C. Furthermore, haemocyte viability was low in the presence of pyrene and fluorene at 20 degrees C and 30 degrees C, respectively, but was unaffected by phenanthrene. Antibacterial activity was significantly increased and no-significantly affected by the presence of pyrene and fluorene at 20 degrees C and 30 degrees C, respectively. The present study demonstrates the strong effect of PAHs and high temperature on haemocyte viability and other important immune functions, including phosphatase alkaline and antibacterial activities. Furthermore, changes in the immune parameters of European clam resulting from high temperatures may modulate the effects of PAHs and vice versa. (C) 2017 Elsevier Ltd. All rights reserved.</t>
  </si>
  <si>
    <t>[Mansour, Chalbia; Mosbahi, Dalila Saidane] Univ Monastir, Fac Pharm, Lab Anal Treatment &amp; Valorizat Pollutants Environ, Monastir, Tunisia; [Guardiola, Francisco Antonio] Univ Porto, Ctr Interdisciplinar Invest Marinha &amp; Ambiental C, Fish Nutr &amp; Immunobiol Grp, Ave Gen Norton de Matos S-N, P-4450208 Oporto, Portugal; [Guardiola, Francisco Antonio; Angeles Esteban, Maria] Univ Murcia, Fac Biol, Dept Cell Biol &amp; Histol, Fish Innate Immune Syst Grp, Campus Reg Excelencia Int,Campus Mare Nostrum, E-30100 Murcia, Spain</t>
  </si>
  <si>
    <t>Universite de Monastir; Universidade do Porto; University of Murcia</t>
  </si>
  <si>
    <t>Esteban, MA (corresponding author), Univ Murcia, Fac Biol, Dept Cell Biol &amp; Histol, Fish Innate Immune Syst Grp, Campus Reg Excelencia Int,Campus Mare Nostrum, E-30100 Murcia, Spain.</t>
  </si>
  <si>
    <t>aesteban@um.es</t>
  </si>
  <si>
    <t>Esteban, María/D-6709-2011; CIIMAR, BYT/N-6498-2017; Guardiola, Francisco Antonio/K-5544-2015</t>
  </si>
  <si>
    <t>MANSOUR, CHALBIA/0000-0003-4910-6837; CIIMAR, BYT/0000-0002-3703-4402; Esteban, Maria Angeles/0000-0002-6264-1458; Guardiola, Francisco Antonio/0000-0002-1018-5446</t>
  </si>
  <si>
    <t>Ministry of Scientific Research and Technology; University of Monastir (Tunisia); Fondos Europeos de Desarrollo Regional/European Regional Development Funds [AGL2014-51839-C5-1-R]; Fundacion Seneca de la Region de Murcia (Grupo de Excelencia) [19883/GERM/15]; Fundacao para a Ciencia e Tecnologia (Portugal) [SFRH/BPD/104497/2014]; Spanish Ministry of Economy and Competitiveness; Fundação para a Ciência e a Tecnologia [SFRH/BPD/104497/2014] Funding Source: FCT</t>
  </si>
  <si>
    <t>Ministry of Scientific Research and Technology; University of Monastir (Tunisia)(Universite de Monastir); Fondos Europeos de Desarrollo Regional/European Regional Development Funds; Fundacion Seneca de la Region de Murcia (Grupo de Excelencia)(Fundacion Seneca); Fundacao para a Ciencia e Tecnologia (Portugal)(Fundacao para a Ciencia e a Tecnologia (FCT)); Spanish Ministry of Economy and Competitiveness(Spanish Government); Fundação para a Ciência e a Tecnologia(Fundacao para a Ciencia e a Tecnologia (FCT))</t>
  </si>
  <si>
    <t>This study was supported by the Ministry of Scientific Research and Technology, the University of Monastir (Tunisia), the Spanish Ministry of Economy and Competitiveness co-funded with Fondos Europeos de Desarrollo Regional/European Regional Development Funds (Grant no. AGL2014-51839-C5-1-R) and Fundacion Seneca de la Region de Murcia (Grupo de Excelencia. Grant no. 19883/GERM/15). F.A. Guardiola wants to thank the Fundacao para a Ciencia e Tecnologia (Portugal) for his grant (SFRH/BPD/104497/2014).</t>
  </si>
  <si>
    <t>10.1016/j.fsi.2017.06.008</t>
  </si>
  <si>
    <t>FC3GE</t>
  </si>
  <si>
    <t>WOS:000406726300013</t>
  </si>
  <si>
    <t>Mahmoud, SA; Mohamedein, LI; Orabi, AS; El-Moselhy, KM; Saad, EM</t>
  </si>
  <si>
    <t>Mahmoud, Safaa A.; Mohamedein, Lamiaa I.; Orabi, Adel S.; El-Moselhy, Khalid M.; Saad, Eman M.</t>
  </si>
  <si>
    <t>Evaluation of trace elements concentration using sediments and mussels as bioindicators and pollution indices in the Egyptian Red Sea</t>
  </si>
  <si>
    <t>Trace elements; Sediments; Mussels; Red Sea; Pollution indices; Bioindicator</t>
  </si>
  <si>
    <t>HEAVY-METALS; COAST; GULF; MOLLUSKS; WATER; SUEZ; BAY</t>
  </si>
  <si>
    <t>The current work was designed to evaluate the pollution status of the coastline region of the Egyptian Red Sea through monitoring the trace elements in sediments and mussels (Brachidontes variabilis and Modiolus auriculatus) that sampled during winter and summer 2019 from nineteen stations along the investigated area. The analyzed elements showed an annual mean of 20.21, 2.08, 4.79, 46.41, 11.35, 18.14, 128.93 and 12,520.07 mu g/g (sediments), 1.02, 0.39, 3.35, 23.73, 0.59, 1.14, 1.43 and 81.94 mu g/g (B. variabilis) and 1.39, 0.47, 1.70, 24.69, 0.77, 1.66, 2.16 and 119.80 mu g/g (M. auriculatus) for Pb, Cd, Cu, Zn, Co, Ni, Mn and Fe, respectively. The summer recorded highest values of all studied elements in the mussels' species with significant temporal variations (p &lt; 0.05) for the most investigated elements. The pollution indices like CF, PLI, MPI, Igeo and EF were calculated to evaluate the elements contamination degree in the examined areas.</t>
  </si>
  <si>
    <t>[Mahmoud, Safaa A.; Saad, Eman M.] Suez Univ, Fac Sci, Dept Chem, Suez, Egypt; [Mohamedein, Lamiaa I.; El-Moselhy, Khalid M.] Natl Inst Oceanog &amp; Fisheries, Cairo, Egypt; [Orabi, Adel S.] Suez Canal Univ, Fac Sci, Dept Chem, Ismailia, Egypt</t>
  </si>
  <si>
    <t>Egyptian Knowledge Bank (EKB); Suez University; Egyptian Knowledge Bank (EKB); National Institute of Oceanography &amp; Fisheries (NIOF); Egyptian Knowledge Bank (EKB); Suez Canal University</t>
  </si>
  <si>
    <t>Saad, EM (corresponding author), Suez Univ, Fac Sci, Dept Chem, Suez, Egypt.;El-Moselhy, KM (corresponding author), Natl Inst Oceanog &amp; Fisheries, Cairo, Egypt.</t>
  </si>
  <si>
    <t>khalidelmoselhy@yahoo.com; emmsaad@yahoo.com</t>
  </si>
  <si>
    <t>Orabi, Adel S/0000-0003-3171-130X</t>
  </si>
  <si>
    <t>Faculty of Science, Suez University [2019-A4]</t>
  </si>
  <si>
    <t>Faculty of Science, Suez University</t>
  </si>
  <si>
    <t>This research was funded by Faculty of Science, Suez University; 2019-A4.</t>
  </si>
  <si>
    <t>10.1016/j.marpolbul.2023.115623</t>
  </si>
  <si>
    <t>Y7BU1</t>
  </si>
  <si>
    <t>WOS:001106783800001</t>
  </si>
  <si>
    <t>Essumang, DK; Adokoh, CK; Boamponsem, L</t>
  </si>
  <si>
    <t>Essumang, D. K.; Adokoh, C. K.; Boamponsem, L.</t>
  </si>
  <si>
    <t>Levels of Platinum Group Metals in Selected Species (Sarotherodon melanotheron, Chonophorus lateristriga, Macrobrachium vollenhovenii and Crassostrea tulipa) in Some Estuaries and Lagoons Along the Coast of Ghana</t>
  </si>
  <si>
    <t>THESCIENTIFICWORLDJOURNAL</t>
  </si>
  <si>
    <t>neutron activation analysis; platinum group metals; Sarotherodon melanotheron; Chonophorus lateristriga; Macrobrachium vollenhovenii; Crassostrea tulipa</t>
  </si>
  <si>
    <t>GROUP ELEMENTS; BIOACCUMULATION; PALLADIUM; IMPACT; PD; POLLUTION; EXPOSURE; RH</t>
  </si>
  <si>
    <t>The use of some biota as bioindicators of heavy metal pollution has been demonstrated as particularly adequate due to their capacity of bioconcentration. This study evaluated the levels of platinum group metals (PGMs) in some selected species along the coastal belt of Ghana, using the neutron activation analysis (NAA) method. The result was processed to evaluate pollution indices in order to map the distribution of the metals in those species in the lagoons and estuaries along the costal belt of Ghana. The analysis showed significant levels of all PGMs in blackchin tilapia (Sarotherodon melanotheron Cichlidae), brown goby (Chonophorus lateristriga Gobiidae), shrimp (Macrobrachium vollenhovenii Palaemonidae), and mangrove oysters (Crassostrea tulipa Ostreidae) in the lagoons and river Pra estuary. However, the oysters showed an elevated mean concentration of 0.13 mu g/g (dry weight) Pd. From the pollution indices, most of the sampling sites registered mean contamination factor (CF) values between 1.20 and 3.00 for Pt, Pd, and Rh. The pollution load index (PLI) conducted also gave an average pollution index between 0.79 and 2.37, indicating progressive contamination levels. The results revealed that anthropogenic sources, industrial and hospital effluent, etc., together with vehicular emissions, could be the contributing factors to the deposition of PGMs along the Ghanaian coast.</t>
  </si>
  <si>
    <t>[Essumang, D. K.; Adokoh, C. K.; Boamponsem, L.] Univ Cape Coast, Environm Res Grp, Dept Chem, Cape Coast, Ghana</t>
  </si>
  <si>
    <t>University of Cape Coast</t>
  </si>
  <si>
    <t>Essumang, DK (corresponding author), Univ Cape Coast, Environm Res Grp, Dept Chem, Cape Coast, Ghana.</t>
  </si>
  <si>
    <t>kofiessumang@yahoo.com</t>
  </si>
  <si>
    <t>Essumang, David/M-7220-2019; Adokoh, Christian K./P-9090-2018</t>
  </si>
  <si>
    <t>Essumang, David Kofi/0000-0002-0589-7895; Adokoh, Christian K./0000-0002-4341-3361</t>
  </si>
  <si>
    <t>Government of Ghana</t>
  </si>
  <si>
    <t>The authors wish to express their sincere appreciation to the staff of Ghana Atomic Energy Commission at Kwabenya - Accra, for their kind assistance in the analysis of the samples. Sincere thanks also go to the entire laboratory staff of the Chemistry Department, University of Cape Coast for their support. Finally, we wish to thank the government of Ghana for financial assistance.</t>
  </si>
  <si>
    <t>1537-744X</t>
  </si>
  <si>
    <t>THESCIENTIFICWORLDJO</t>
  </si>
  <si>
    <t>TheScientificWorldJOURNAL</t>
  </si>
  <si>
    <t>10.1100/tsw.2010.197</t>
  </si>
  <si>
    <t>Environmental Sciences; Multidisciplinary Sciences</t>
  </si>
  <si>
    <t>Environmental Sciences &amp; Ecology; Science &amp; Technology - Other Topics</t>
  </si>
  <si>
    <t>665XW</t>
  </si>
  <si>
    <t>WOS:000283072200001</t>
  </si>
  <si>
    <t>Yan, MJ; Chen, XB; Xue, JR; Liu, HB; Yang, J</t>
  </si>
  <si>
    <t>Yan, Mingjun; Chen, Xiubao; Xue, Junren; Liu, Hongbo; Yang, Jian</t>
  </si>
  <si>
    <t>Reconstruction of Historical Metal Backgrounds in Lacustrine Environments of China Using an Anodonta woodiana Specimen Bank</t>
  </si>
  <si>
    <t>Specimen bank; Freshwater mussel; Element; Lake; Monitoring</t>
  </si>
  <si>
    <t>ACCUMULATION</t>
  </si>
  <si>
    <t>Anodonta woodiana samples from Xidong Water Works and Mashan in Taihu Lake, Yiyang near Dongting Lake, and Taiping Harbor in Gehu Lake preserved in a specimen bank established for the Freshwater Mussel Watch monitoring program were used to determine the historical metal backgrounds from different waters in the present study. The elements Co, Ni, Mo, Cd, Al, Cr, Mn, Fe, Cu, Zn, As, Ba, and Pb were determined using A. woodiana from four lacustrine sites. The results showed that Al, Cr, Mn, Fe, Cu, Zn, As, Ba, and Pb were all detected, whereas Co, Ni, Mo, and Cd were below the detection limits of 0.0165, 0.0106, 0.0189 and 0.0182 mu g kg(- 1), respectively. In particular, A. woodiana was noted to be an unusual Mn hyperaccumulator (ranged from 5124.09 to 13015.47 mu g g(- 1)). The results of discriminant analysis showed that the four water samples could be accurately separated. This difference has the potential to infer the background difference of heavy metal pollution in different lacustrine habitats.</t>
  </si>
  <si>
    <t>[Yan, Mingjun; Yang, Jian] Nanjing Agr Univ, Wuxi Fisheries Coll, Wuxi 214081, Peoples R China; [Chen, Xiubao; Xue, Junren; Liu, Hongbo; Yang, Jian] Chinese Acad Fishery Sci, Freshwater Fisheries Res Ctr, Lab Fishery Microchem, Wuxi 214081, Peoples R China</t>
  </si>
  <si>
    <t>Nanjing Agricultural University; Chinese Academy of Fishery Sciences; Freshwater Fisheries Research Center, CAFS</t>
  </si>
  <si>
    <t>Yang, J (corresponding author), Nanjing Agr Univ, Wuxi Fisheries Coll, Wuxi 214081, Peoples R China.;Yang, J (corresponding author), Chinese Acad Fishery Sci, Freshwater Fisheries Res Ctr, Lab Fishery Microchem, Wuxi 214081, Peoples R China.</t>
  </si>
  <si>
    <t>Liu, Hongbo/KIK-1780-2024</t>
  </si>
  <si>
    <t>Central Public-interest Scientific Institution Basal Research Fund, Chinese Academy of Fishery Sciences; Central Public-Interest Scientific Institution Basal Research Fund [2023JBFM01]; FFRC [2022XT0504]; CAFS</t>
  </si>
  <si>
    <t>Central Public-interest Scientific Institution Basal Research Fund, Chinese Academy of Fishery Sciences; Central Public-Interest Scientific Institution Basal Research Fund; FFRC; CAFS</t>
  </si>
  <si>
    <t>This research was funded by the Central Public-Interest Scientific Institution Basal Research Fund, FFRC (2023JBFM01) and CAFS (2022XT0504).</t>
  </si>
  <si>
    <t>10.1007/s00128-024-03906-w</t>
  </si>
  <si>
    <t>SD5S6</t>
  </si>
  <si>
    <t>WOS:001232539400001</t>
  </si>
  <si>
    <t>Lavradas, RT; Rocha, RCC; Bordon, ICAC; Saint'Pierre, TD; Godoy, JM; Hauser-Davis, RA</t>
  </si>
  <si>
    <t>Lavradas, Raquel T.; Rocha, Rafael C. C.; Bordon, Isabella C. A. C.; Saint'Pierre, Tatiana D.; Godoy, Jose M.; Hauser-Davis, Rachel A.</t>
  </si>
  <si>
    <t>Differential metallothionein, reduced glutathione and metal levels in Perna perna mussels in two environmentally impacted tropical bays in southeastern Brazil</t>
  </si>
  <si>
    <t>Metals; Metallothionein; Oxidative stress; Mussels; Risk assessment; Tropical Bays</t>
  </si>
  <si>
    <t>RIO-DE-JANEIRO; DIFFERENT PURIFICATION PROCEDURES; MYTILUS-GALLOPROVINCIALIS; HEAVY-METALS; OXIDATIVE STRESS; TRACE-ELEMENTS; SAO-PAULO; SEDIMENTS; FISH; BIOACCUMULATION</t>
  </si>
  <si>
    <t>Mussel farming is an important economic activity in Brazil, and these organisms are consumed by the majority of the population in most coastal zones in the country. However, despite the increasing pollution of aquatic ecosystems in Brazil, little is known about the biochemical activity in mussels in response to metal exposure. In this context, the aim of the present study was to investigate metal and metalloid exposure effects in Perna perna mussels, by determining metal levels, the induction of metallothionein (MT) synthesis, and oxidative stress, in the form of reduced glutathione (GSH) in 3 contaminated areas from the Guanabara Bay in comparison to a reference site, Ilha Grande Bay, both in summer and winter. Metal and metalloid concentrations were also compared to Brazilian and international guidelines, to verify potential health risks to human consumers. Mussels from all sampling sites were shown to be improper for human consumption due to metal contamination, including Ilha Grande Bay, which has previously been considered a reference site. Several statistically significant correlations and seasonal differences were observed between MT, GSH and metals and metalloids in both analyzed tissues. A Discriminant Canonical Analysis indicated that the digestive gland is a better bioindicator for environmental contamination by metals and metalloids in this species and offers further proof that MT variations observed are due to metal exposure and not oxidative stress, since GSH influence for both muscle tissue and the digestive glands was non-significant in this analysis. These results show that P. perna mussels are an adequate sentinel species for metal contamination with significant effects on oxidative stress and metal exposure biomarkers. To the best of our knowledge, this is the first study to report metals, metalloids, MT and GSH levels in the muscle tissue of this species. (C) 2016 Elsevier Inc. All rights reserved.</t>
  </si>
  <si>
    <t>[Lavradas, Raquel T.; Rocha, Rafael C. C.; Saint'Pierre, Tatiana D.; Godoy, Jose M.] Pontifical Catholic Univ Rio de Janeiro PUC Rio, Dept Chem, Rua Marques de Sao Vicente 225, BR-22453900 Rio De Janeiro, RJ, Brazil; [Bordon, Isabella C. A. C.] Sao Paulo State Univ UNESP, Campus Litoral Paulista, BR-11330900 Sao Vicente, SP, Brazil; [Hauser-Davis, Rachel A.] Fed Univ State Rio de Janeiro UNIRIO, Neotrop Biodivers Postgrad Program, Av Pasteur 458, BR-22290240 Rio De Janeiro, RJ, Brazil</t>
  </si>
  <si>
    <t>Pontificia Universidade Catolica do Rio de Janeiro; Universidade Estadual Paulista; Universidade Federal do Estado do Rio de Janeiro</t>
  </si>
  <si>
    <t>Hauser-Davis, RA (corresponding author), Fed Univ State Rio de Janeiro UNIRIO, Neotrop Biodivers Postgrad Program, Av Pasteur 458, BR-22290240 Rio De Janeiro, RJ, Brazil.</t>
  </si>
  <si>
    <t>Hauser-Davis, Rachel/C-7970-2013; Godoy, Jose/B-2579-2014; Saint'Pierre, Tatiana/E-2965-2015; Bordon, Isabella/F-7028-2012</t>
  </si>
  <si>
    <t>Hauser-Davis, Rachel/0000-0002-9451-471X; Bordon, Isabella/0000-0001-9413-8227; Saint Pierre, Tatiana/0000-0002-7619-5620</t>
  </si>
  <si>
    <t>FAPERJ - Research Support Foundation of the State of Rio de Janeiro</t>
  </si>
  <si>
    <t>FAPERJ - Research Support Foundation of the State of Rio de Janeiro(Fundacao Carlos Chagas Filho de Amparo a Pesquisa do Estado do Rio De Janeiro (FAPERJ))</t>
  </si>
  <si>
    <t>The authors would like to thank FAPERJ - Research Support Foundation of the State of Rio de Janeiro for the first author's doctorate scholarship.</t>
  </si>
  <si>
    <t>10.1016/j.ecoenv.2016.03.011</t>
  </si>
  <si>
    <t>WOS:000375166800010</t>
  </si>
  <si>
    <t>Chong-López, JE; Salgado-Souto, SA; Del Rio-Salas, R; Talavera-Mendoza, O; Sarmiento-Villagrana, A; García-Ibáñez, S; Portales, RL; Flores-Garza, R; Rader, S; Aguirre-Noyola, JL</t>
  </si>
  <si>
    <t>Chong-Lopez, Jose Eduardo; Salgado-Souto, Sergio Adrian; Del Rio-Salas, Rafael; Talavera-Mendoza, Oscar; Sarmiento-Villagrana, Alicia; Garcia-Ibanez, Sergio; Portales, Rene Loredo-; Flores-Garza, Rafael; Rader, Shelby; Aguirre-Noyola, Jose Luis</t>
  </si>
  <si>
    <t>Bioavailability, risk assessment, and source traceability of potentially toxic elements in bivalve species widely consumed in the emblematic Acapulco Bay, Mexico</t>
  </si>
  <si>
    <t>Bioavailability; Potentially toxic elements; Human health risk; Pb and Sr isotopes</t>
  </si>
  <si>
    <t>GULF-OF-CALIFORNIA; OYSTERS CRASSOSTREA-GIGAS; TRACE-METALS; LEAD ISOTOPES; HEAVY-METALS; OCEAN ACIDIFICATION; SOFT-TISSUES; POLLUTION; BIOACCUMULATION; COAST</t>
  </si>
  <si>
    <t>The concentration of potentially toxic elements (PTE) was determined in edible tissue, digestive system, and shells of two bivalve species ( Hyotissa hyotis and Spondylus limbatus ) highly consumed in Acapulco Bay (southern Mexico) to evaluate the impact on marine ecosystems and human health risk associated with the consumption of potentially contaminated bivalves. PTE concentrations (Ba-Cd-Cu-Co-Cr-Mn-Ni-Pb-Sr-V-Zn) in edible tissues were lower than in the digestive system and shells in both bivalve species. Except for Cr, Pb, and Cd, PTE concentrations in the edible tissue of both species did not exceed international threshold limits. In addition, the biota-sediment accumulation factor values indicate bioaccumulation in edible tissues (Ni, Cd, Pb, Co, and Zn), digestive system (V, Ni, Cu, Cd, Pb, Co, and Zn), and shells (V, Cr, Pb, Co, and Mn), evidencing availability of pollutants in the Acapulco Bay. Contents of Pb and Cd found in edible tissue can threaten human health. Target Hazard Quotient values indicate that the consumption of edible tissue does not represent any risk of developing non-cancerogenic effects. However, the Target Cancer Risk values indicate a moderate risk of developing carcinogenic effects due to the accumulation of Cr and Pb and an even greater risk due to the accumulation of Cd. Additionally, although local rocks and sediments should be the only source of PTE in uncontaminated marine ecosystems, a low radiogenic Pb isotope composition was detected in the bivalve shells, which partially overlap with Pb isotope compositions of paints and gasoline, indicating anthropogenic lead sources participation in the Acapulco Bay.</t>
  </si>
  <si>
    <t>[Chong-Lopez, Jose Eduardo] Univ Autonoma Guerrero, Fac Ecol Marina, Maestria Recursos Nat &amp; Ecol, Gran Via trop 20,Fraccionamiento Playas, Acapulco De Juarez 39390, Guerrero, Mexico; [Salgado-Souto, Sergio Adrian; Talavera-Mendoza, Oscar] Univ Autonoma Guerrero, Escuela Super Ciencias Tierra, Exhacienda San Juan Bautista S-N, Taxco El Viejo 40323, Guerrero, Mexico; [Del Rio-Salas, Rafael; Portales, Rene Loredo-] Univ Nacl Autonoma Mexico, Estn Reg Noroeste, Inst Geol, Colosio &amp; Madrid S-N, Hermosillo 83000, Sonora, Mexico; [Del Rio-Salas, Rafael; Portales, Rene Loredo-] Lab Nacl Geoquim &amp; Mineral LANGEM, Mexico City 04510, Mexico; [Sarmiento-Villagrana, Alicia] Univ Autonoma Guerrero, Fac Ciencias Agr &amp; Ambientales, Perifer Poniente Frente Colonia Villa Guadalupe S-, Iguala De La Independenci 40040, Guerrero, Mexico; [Garcia-Ibanez, Sergio; Flores-Garza, Rafael] Univ Autonoma Guerrero, Fac Ecol Marina, Gran Via trop 20,Fraccionamiento Playas, Acapulco De Juarez 39390, Guerrero, Mexico; [Rader, Shelby] Indiana Univ, Dept Earth &amp; Atmospher Sci, Bloomington, IN USA; [Aguirre-Noyola, Jose Luis] Lab Nacl Ciencias Sostenibil LANCIS, Inst Ecol, UNAM Circuito Exterior S-N,Junto Jardin Bot,Coyaca, Mexico City 04510, Mexico</t>
  </si>
  <si>
    <t>Universidad Nacional Autonoma de Mexico; Indiana University System; Indiana University Bloomington</t>
  </si>
  <si>
    <t>Salgado-Souto, SA (corresponding author), Univ Autonoma Guerrero, Escuela Super Ciencias Tierra, Exhacienda San Juan Bautista S-N, Taxco El Viejo 40323, Guerrero, Mexico.</t>
  </si>
  <si>
    <t>sergiosalgado@uagro.mx</t>
  </si>
  <si>
    <t>Flores-Garza, Rafael/K-7891-2017</t>
  </si>
  <si>
    <t>Rader, Shelby/0000-0002-9146-1253</t>
  </si>
  <si>
    <t>Consejo Nacional de Ciencia y Tecnologia, Mexico (CONAHCYT)</t>
  </si>
  <si>
    <t>The authors are grateful to Mark Baker, manager of the Laboratory of Geochemistry of the Department of Geosciences, at The University of Arizona, for the support in acquiring Sr and Pb isotope measurements. We also thank Daniel Ramos Perez and the Environmental Sciences Laboratory (LCA) for acquiring geochemical data. The present contribution formed part of a Master of Science thesis of JECL. This research was accomplished thanks to the support and scholarship from the Consejo Nacional de Ciencia y Tecnologia, Mexico (CONAHCYT) .</t>
  </si>
  <si>
    <t>1872-9134</t>
  </si>
  <si>
    <t>10.1016/j.apgeochem.2024.106014</t>
  </si>
  <si>
    <t>SU1X8</t>
  </si>
  <si>
    <t>WOS:001236879200001</t>
  </si>
  <si>
    <t>Metian, M; Bustamante, P; Hédouin, L; Warnau, M</t>
  </si>
  <si>
    <t>Metian, M.; Bustamante, P.; Hedouin, L.; Warnau, M.</t>
  </si>
  <si>
    <t>Accumulation of nine metals and one metalloid in the tropical scallop Comptopallium radula from coral reefs in New Caledonia</t>
  </si>
  <si>
    <t>tropical environment; trace elements; arsenic; radiotracers; pectinidae; risk assessment; bioindicator species</t>
  </si>
  <si>
    <t>TRACE-ELEMENTS; GEOGRAPHICAL VARIATIONS; ADAMUSSIUM-COLBECKI; ARSENIC SPECIATION; MARINE-ENVIRONMENT; HEAVY-METALS; LAGOON; TISSUES; WATERS; SITES</t>
  </si>
  <si>
    <t>Uptake of waterborne Cd, Co, Mn and Zn was determined in laboratory experiments using radiotracer techniques (Cd-109, Co-57, Mn-54 and Zn-65). Labelled Zn was mainly accumulated in the digestive gland (65%) and Co in kidneys (81%); Cd and Mn were similarly distributed in digestive gland and gills. In a complementary field study, Ag, As, Cd, Co, Cr, Cu, Fe, Mn, Ni, and Zn were analysed in scallops collected at two stations showing different contamination levels. Digestive gland and kidneys displayed the highest concentrations. Ag, As, Cd, and Fe differed in soft tissues from the two stations, suggesting that Comptopallium radula could be a valuable local biomonitor species for these elements. Low Mn and Zn concentrations found in kidneys suggest that their content in calcium-phosphate concretions differs from the other pectinids. Preliminary risk considerations suggest that As would be the only element potentially leading to exposure of concern for seafood consumers. (c) 2007 Elsevier Ltd. All rights reserved.</t>
  </si>
  <si>
    <t>[Metian, M.; Hedouin, L.; Warnau, M.] IAEA, Marine Environm Labs, MC-98000 Monaco, Monaco; [Metian, M.; Bustamante, P.; Hedouin, L.] Univ La Rochelle, Ctr Rech Ecosyst Littoraux Anthropises, CNRS, IFREMER,UMR 6217, F-17042 La Rochelle 01, France; [Hedouin, L.] IRD, Ctr Noumea, Noumea 98848, New Caledonia</t>
  </si>
  <si>
    <t>La Rochelle Universite; Ifremer; Centre National de la Recherche Scientifique (CNRS); Institut de Recherche pour le Developpement (IRD)</t>
  </si>
  <si>
    <t>Warnau, M (corresponding author), IAEA, Marine Environm Labs, 4 Quai Antoine Ler, MC-98000 Monaco, Monaco.</t>
  </si>
  <si>
    <t>mametian@gmail.com; pbustama@univ-lr.fr; m.warnau@iaea.org</t>
  </si>
  <si>
    <t>Metian, Marc/F-8010-2018; Bustamante, Paco/G-5833-2011</t>
  </si>
  <si>
    <t>Metian, Marc/0000-0003-1485-5029; Bustamante, Paco/0000-0003-3877-9390; HEDOUIN, Laetitia/0000-0001-6565-3633</t>
  </si>
  <si>
    <t>10.1016/j.envpol.2007.07.009</t>
  </si>
  <si>
    <t>WOS:000255432400004</t>
  </si>
  <si>
    <t>Kamel, N; Burgeot, T; Banni, M; Chalghaf, M; Devin, S; Minier, C; Boussetta, H</t>
  </si>
  <si>
    <t>Kamel, Naouel; Burgeot, Thierry; Banni, Mohamed; Chalghaf, Mohamed; Devin, Simon; Minier, Christophe; Boussetta, Hamadi</t>
  </si>
  <si>
    <t>Effects of increasing temperatures on biomarker responses and accumulation of hazardous substances in rope mussels (Mytilus galloprovincialis) from Bizerte lagoon</t>
  </si>
  <si>
    <t>Biomarkers; Mussels; Lagoon biomonitoring; Integrated biomarker response</t>
  </si>
  <si>
    <t>MULTIXENOBIOTIC RESISTANCE MECHANISM; POLYCYCLIC AROMATIC-HYDROCARBONS; POLYBROMINATED DIPHENYL ETHERS; OXIDATIVE STRESS; DIGESTIVE GLAND; CONDITION INDEX; METALLOTHIONEIN SYNTHESIS; SEASONAL-VARIATIONS; MARINE ORGANISMS; INTEGRATED USE</t>
  </si>
  <si>
    <t>This study examined the influence of increasing temperatures in spring and summer on biochemical biomarkers in Mytilus galloprovincialis mussels sampled from Bizerte lagoon (northern Tunisia). Spatial and seasonal variations in a battery of seven biomarkers were analyzed in relation to environmental parameters (temperature, salinity, and pH), physiological status (condition and gonad indexes), stress on stress (SoS), and chemical contaminant levels (heavy metals, polycyclic aromatic hydrocarbons (PAHs), and PCBs) in digestive glands. Integrated biological response (IBR) was calculated using seven biomarkers (acetylcholinesterase (AChE), benzo[a]pyrene hydroxylase (BPH), multixenobiotic resistance (MXR), glutathione S-transferase (GST), catalase (CAT), malondialdehyde (MDA), and metallothioneins (MT). Seasonal variations in biological response were determined during a critical period between spring and summer at two sites, where chemical contamination varies by a factor of 2 for heavy metals and a factor 2.5 for PAHs. The analysis of a battery of biomarkers was combined with the measurement of physiological parameters at both sites, in order to quantify a maximum range of metabolic regulation with a temperature increase of 11 A degrees C between May and August. According to our results, the MT, MDA, CAT, and AChE biomarkers showed the highest amplitude during the 11 A degrees C rise, while the BPH, GST, and MXR biomarkers showed the lowest amplitude. Metabolic amplitude measured with the IBR at Menzel Abdelrahmen-the most severely contaminated station-revealed the highest metabolic stress in Bizerte lagoon in August, when temperatures were highest 29.1 A degrees C. This high metabolic rate was quantified for each biomarker in the North African lagoon area and confirmed in August, when the highest IBR index values were obtained at the least contaminated site 2 (IBR = 9.6) and the most contaminated site 1 (IBR = 19.6). The combined effects of chemical contamination and increased salinity and temperatures in summer appear to induce a highest metabolic adaptation response and can therefore be used to determine thresholds of effectiveness and facilitate the interpretation of monitoring biomarkers. This approach, applied during substantial temperature increases at two sites with differing chemical contamination, is a first step toward determining an environmental assessment criteria (EAC) threshold in a North African lagoon.</t>
  </si>
  <si>
    <t>[Kamel, Naouel; Banni, Mohamed; Boussetta, Hamadi] ISA Sousse Univ, Biochem &amp; Environm Toxicol Res Unit, Chott Mariem, Tunisia; [Kamel, Naouel; Burgeot, Thierry] IFREMER, Biogeochem &amp; Ecotoxicol Res Unit, Lab Ecotoxicol, F-44311 Nantes, France; [Chalghaf, Mohamed] ISPA Bizerte, Aquat Environm Exploitat Res Unit, Rimel, Tunisia; [Devin, Simon] Univ Lorraine, Interdisciplinary Lab Continental Environm, Metz, France; [Minier, Christophe] Univ Havre, Lab Ecotoxicol, F-76058 Le Havre, France</t>
  </si>
  <si>
    <t>Universite de Sousse; Ifremer; Universite de Lorraine; Universite Le Havre Normandie; Universite de Reims Champagne-Ardenne</t>
  </si>
  <si>
    <t>Kamel, N (corresponding author), ISA Sousse Univ, Biochem &amp; Environm Toxicol Res Unit, Chott Mariem, Tunisia.</t>
  </si>
  <si>
    <t>kamel_naouel@yahoo.fr; tburgeot@ifremer.fr</t>
  </si>
  <si>
    <t>Banni, Mohamed/0000-0001-9764-0343; Devin, Simon/0000-0003-4431-4987</t>
  </si>
  <si>
    <t>10.1007/s11356-014-2540-5</t>
  </si>
  <si>
    <t>AF4LS</t>
  </si>
  <si>
    <t>WOS:000334684700035</t>
  </si>
  <si>
    <t>Breitwieser, M; Viricel, A; Graber, M; Murillo, L; Becquet, V; Churlaud, C; Fruitier-Arnaudin, I; Huet, V; Lacroix, C; Pante, E; Le Floch, S; Thomas-Guyon, H</t>
  </si>
  <si>
    <t>Breitwieser, Marine; Viricel, Amelia; Graber, Marianne; Murillo, Laurence; Becquet, Vanessa; Churlaud, Carine; Fruitier-Arnaudin, Ingrid; Huet, Valerie; Lacroix, Camille; Pante, Eric; Le Floch, Stephane; Thomas-Guyon, Helene</t>
  </si>
  <si>
    <t>Short-Term and Long-Term Biological Effects of Chronic Chemical Contamination on Natural Populations of a Marine Bivalve</t>
  </si>
  <si>
    <t>PERSISTENT ORGANIC POLLUTANTS; CRASSOSTREA-GIGAS THUNBERG; SCALLOP CHLAMYS-VARIA; OXIDATIVE STRESS; GENETIC DIVERSITY; PACIFIC OYSTER; CRYPTIC LINEAGES; TRACE-ELEMENTS; WATER-COLUMN; EXPOSURE</t>
  </si>
  <si>
    <t>Understanding the effects of chronic chemical contamination on natural populations of marine organisms is complex due to the combined effects of different types of pollutants and environmental parameters that can modulate the physiological responses to stress. Here, we present the effects of a chronic contamination in a marine bivalve by combining multiple approaches that provide information on individual and population health. We sampled variegated scallops (Mimachlamys varia) at sites characterized by different contaminants and contamination levels to study the short and long-term (intergenerational) responses of this species to physiological stress. We used biomarkers (SOD, MDA, GST, laccase, citrate synthase and phosphatases) as indicators of oxidative stress, immune system alteration, mitochondrial respiration and general metabolism, and measured population genetic diversity at each site. In parallel, concentration of 14 trace metals and 45 organic contaminants (PAHs, PCBs, pesticides) in tissues were measured. Scallops were collected outside and during their reproductive season to investigate temporal variability in contaminant and biomarker levels. Our analyses revealed that the levels of two biomarkers (Lac-case-type phenoloxidase and malondialdehyde) were significantly correlated with Cd concentration. Additionally, we observed significant seasonal differences for four of the five biomarkers, which is likely due to the scallop reproductive status at time of sampling. As a source of concern, a location that was identified as a reference site on the basis of inorganic contaminant levels presented the same level of some persistent organic pollutants (DDT and its metabolites) than more impacted sites. Finally, potential long-term effects of heavy metal contamination were observed for variegated scallops as genetic diversity was depressed in the most polluted sites.</t>
  </si>
  <si>
    <t>[Breitwieser, Marine; Viricel, Amelia; Graber, Marianne; Murillo, Laurence; Becquet, Vanessa; Churlaud, Carine; Fruitier-Arnaudin, Ingrid; Huet, Valerie; Pante, Eric; Thomas-Guyon, Helene] Univ La Rochelle, Littoral Environm &amp; Soc LIENSs, UMR 7266, CNRS, 2 Rue Olympe de Gouges, F-17042 La Rochelle 01, France; [Lacroix, Camille; Le Floch, Stephane] Ctr Documentat Rech &amp; Expt Pollut Accid Eaux, Cedre, 715 Rue Alain Colas, F-41836 Brest 2, France</t>
  </si>
  <si>
    <t>Viricel, A; Thomas-Guyon, H (corresponding author), Univ La Rochelle, Littoral Environm &amp; Soc LIENSs, UMR 7266, CNRS, 2 Rue Olympe de Gouges, F-17042 La Rochelle 01, France.</t>
  </si>
  <si>
    <t>amelia.viricel@gmail.com; helene.thomas@univ-lr.fr</t>
  </si>
  <si>
    <t>LE FLOCH, Stephane/E-7863-2016; Thomas, Howard/A-3152-2009; Arnaudin, ingrid/N-8053-2014; Graber, Marianne/O-1702-2014</t>
  </si>
  <si>
    <t>Arnaudin, ingrid/0000-0001-8993-1095; THOMAS, Helene/0000-0002-7932-6841; Graber, Marianne/0000-0002-5696-2407; Viricel, Amelia/0000-0002-2789-6869; Lacroix, Camille/0000-0003-4020-3489; MURILLO, Laurence/0000-0002-0934-4227</t>
  </si>
  <si>
    <t>Port de Plaisance de La Rochelle; ATER grant from Universite de la Rochelle; Ministere des Affaires etrangeres-Royal Norwegian Embassy; Centre National pour la Recherche Scientifique</t>
  </si>
  <si>
    <t>This study was supported by a Master grant from the Port de Plaisance de La Rochelle and an ATER grant from Universite de la Rochelle for Marine Breitwieser and Amelia Viricel, respectively. Additional funding was provided by the Ministere des Affaires etrangeres-Royal Norwegian Embassy, the Centre National pour la Recherche Scientifique, the Port de Plaisance de La Rochelle. The funders had no role in study design, data collection and analysis, decision to publish, or preparation of the manuscript.</t>
  </si>
  <si>
    <t>e0150184</t>
  </si>
  <si>
    <t>10.1371/journal.pone.0150184</t>
  </si>
  <si>
    <t>DG0EB</t>
  </si>
  <si>
    <t>WOS:000371735200060</t>
  </si>
  <si>
    <t>LENIHAN, HS; OLIVER, JS</t>
  </si>
  <si>
    <t>ANTHROPOGENIC AND NATURAL DISTURBANCES TO MARINE BENTHIC COMMUNITIES IN ANTARCTICA</t>
  </si>
  <si>
    <t>ANCHOR ICE; ANTARCTICA; BENTHIC COMMUNITIES; HUMAN DISTURBANCES; HEAVY METALS; ICEBERG GROUNDING; MURINE POLLUTION; OIL; ORGANIC ENRICHMENT; RECOVERY</t>
  </si>
  <si>
    <t>MCMURDO-SOUND; CRUDE-OIL; RHEPOXYNIUS-ABRONIUS; SOUTHERN-CALIFORNIA; ORGANIC ENRICHMENT; INFAUNAL BENTHOS; NORTH-SEA; POLLUTION; PATTERNS; ICE</t>
  </si>
  <si>
    <t>Sampling and field experiments were conducted from 1975 to 1990 to test how the structure of marine benthic communities around McMurdo Station, Antarctica varied with levels of anthropogenic contaminants in marine sediments. The structure of communities (e.g., infauna density, species composition, and life history characteristics) in contaminated and uncontaminated areas were compared with the structure of communities influenced by two large-scale natural disturbances, anchor ice formation and uplift or iceberg scour. Benthic communities changed radically along a steep spatial gradient of anthropogenic hydrocarbon, metal, and PCB contamination around McMurdo Station. The heavily contaminated end of the gradient, Winter Quarters Bay, was low in infaunal and epifaunal abundance and was dominated by a few opportunistic species of polychaete worms, especially Capitella spp., Ophryotrocha claperedii, and Gyptis sp. These are relatively small and motile species. Closely related species live in organically enriched and anthropogenically disturbed sediments throughout temperate latitudes. The edge of the heavily contaminated bay, the transition area, contained several motile polychaete species with less opportunistic life histories, especially Tharyx sp. and Haploscoloplos kerguelensis. Uncontaminated sedimentary habitats harbored dense tube mats of infaunal animals numerically dominated by populations of polychaete worms, crustaceans, and a large suspension feeding bivalve. These species are generally large and relatively sessile, except for several crustacean species living among the tubes. Community patterns along the anthropogenic disturbance gradient were similar to community changes along a natural gradient of anchor ice disturbance. The same motile and opportunistic polychaete worms were most abundant where anchor ice freezing and uplift were most severe. The motile polychaetes, Tharyx sp., Haploscoloplos kerguelensis, and Polygordius sp., were abundant at the edge of the anchor ice disturbance zone. The undisturbed bottom harbored the same dense tube mat community and large bivalve population. Community changes along the anthropogenic disturbance gradient were also similar to colonization patterns into bottom areas gouged by icebergs. The most recent ice gouges along the east side of McMurdo Sound contained large numbers of the motile opportunistic polychaete worms. Ice gouges along the western sound contained more motile species of infauna compared to adjacent undisturbed bottoms with large numbers of tube-dwelling infauna. Motile species were also the first to colonize experimental sediments placed on the sea floor for 6 yr. Although the community patterns around anthropogenic and natural disturbances were similar, particularly the motile and opportunistic species at heavily disturbed and marginal areas, the natural disturbances cover much greater areas of the sea floor around the entire Antarctic continent. On the other hand, recovery from chemical contamination is likely to take many more decades than recovery from natural disturbances as contaminant degradation is a slow process. This process can be enhanced by ongoing pollution abatement and cleanup operations.</t>
  </si>
  <si>
    <t>MOSS LANDING MARINE LABS,MOSS LANDING,CA 95039</t>
  </si>
  <si>
    <t>ECOLOGICAL SOC AMER</t>
  </si>
  <si>
    <t>TEMPE</t>
  </si>
  <si>
    <t>ARIZONA STATE UNIV CENTER ENVIRONMENTAL STUDIES, TEMPE, AZ 85287</t>
  </si>
  <si>
    <t>10.2307/1942024</t>
  </si>
  <si>
    <t>QY378</t>
  </si>
  <si>
    <t>WOS:A1995QY37800010</t>
  </si>
  <si>
    <t>Gauff, RPM; Mugnai, F; Mancuso, FP; Porri, F; Costantini, F; Airoldi, L</t>
  </si>
  <si>
    <t>Gauff, Robin Pierre Maximilien; Mugnai, Francesco; Mancuso, Francesco Paolo; Porri, Francesca; Costantini, Federica; Airoldi, Laura</t>
  </si>
  <si>
    <t>Distribution of native and non-indigenous bivalves and their settlers along an urban gradient</t>
  </si>
  <si>
    <t>marine urbanization; propagule pressure; invasive species; post-settlement; recruitment; metabarcoding; larvae; pollution</t>
  </si>
  <si>
    <t>MYTILUS-GALLOPROVINCIALIS; XENOSTROBUS-SECURIS; MUSSEL; DIVERSITY; RESPONSES; HARBOR; TEMPERATURE; DOMINANCE; COMMUNITY; POLLUTION</t>
  </si>
  <si>
    <t>Marine coastal habitats are often characterized by strong gradients of anthropogenic disturbance such as pollution, typically most severe at urban waterfronts. These variations create stress for local organisms leading to their distribution along the disturbance as a function of their tolerance. non-indigenous species (NIS) are considered more tolerant to anthropogenic disturbances than their native counterparts, thriving in urban areas, where native species are sparser. It is however not yet entirely clear if these distribution patterns are due to larval behavior and preferential settlement or post-settlement processes. In the present study, we investigated the abundance of adults and settlers of two native (Ostrea edulis, Mytilus galloprovincialis) and two non-indigenous (Magallana gigas, Xenostrobus securis) bivalves along a strong marine urban environmental gradient. Oysters had sparse abundances of both adults and settlers at all sites, with no obvious distributional gradients. The two mussel species showed different settler-adult distributions along the gradient. Both settlers and adults of the native mussel M. galloprovincialis strongly decreased moving from the outermost periurban site to the innermost urban site, consistent with preferential settlement of larvae according to environmental conditions. The non-indigenous adult mussel X. securis showed a distribution pattern opposite to that of M. galloprovincialis, markedly increasing in abundance from the outermost to the innermost site. This was not paralleled by the distribution of X. securis settlers, which established over a larger area, including sites where adults were essentially absent. The mismatch between settler and adult distributions for X. securis suggests that post-settlement factors dictate spatial adult distribution.</t>
  </si>
  <si>
    <t>[Gauff, Robin Pierre Maximilien; Airoldi, Laura] Univ Padua, Dept Biol, Unita Operativa CoNISMa Uo CoNISMa, Chioggia Hydrobiol Stn Umberto D Ancona, Chioggia, Italy; [Mugnai, Francesco; Costantini, Federica] Univ Bologna, Unita Org Sede UOS Ravenna, Dipartiment Biol Geol &amp; Environm Sci BIGEA, Uo CoNISMa, Ravenna, Italy; [Mancuso, Francesco Paolo] Univ Palermo, Dipartiment Earth &amp; Marine Sci DiSTeM, Palermo, Italy; [Porri, Francesca] Natl Res Fdn, South African Inst Aquat Biodivers, Makhanda, South Africa; [Porri, Francesca] Rhodes Univ, Dept Ichthyol &amp; Fisheries Sci, Makhanda, South Africa; [Costantini, Federica] Univ Bologna, Interdipartimental Ctr Res Environm Sci, Ravenna, Italy; [Airoldi, Laura] Natl Biodivers Future Ctr, Palermo, Italy</t>
  </si>
  <si>
    <t>University of Padua; University of Bologna; University of Palermo; National Research Foundation - South Africa; South African Institute for Aquatic Biodiversity; Rhodes University; University of Bologna</t>
  </si>
  <si>
    <t>Costantini, F (corresponding author), Univ Bologna, Unita Org Sede UOS Ravenna, Dipartiment Biol Geol &amp; Environm Sci BIGEA, Uo CoNISMa, Ravenna, Italy.;Mancuso, FP (corresponding author), Univ Palermo, Dipartiment Earth &amp; Marine Sci DiSTeM, Palermo, Italy.;Costantini, F (corresponding author), Univ Bologna, Interdipartimental Ctr Res Environm Sci, Ravenna, Italy.</t>
  </si>
  <si>
    <t>francesco.mancuso@unipa.it; Federica.costantini@unibo.it</t>
  </si>
  <si>
    <t>Porri, Francesca/M-4258-2017; COSTANTINI, FEDERICA/ABH-9194-2020; Mancuso, Francesco/V-1621-2017; Airoldi, Laura/I-3553-2019</t>
  </si>
  <si>
    <t>National Biodiversity Future Center - NBFC under the National Recovery and Resilience Plan (PNRR), Mission 4 Component 2 Investment 1.4 of the Italian Ministry of University and Research - European Union - NextGenerationEU [CN_00000033, 1034, CUP D33C22000960007, 3138, 3175]; RETURN Extended Partnership - European Union Next-GenerationEU (National Recovery and Resilience Plan - NRRP, Mission 4, Component 2, Investment 1.3) [D.D. 1243, PE0000005]; Project Ecosystem for Sustainable Transition in Emilia-Romagna (ECOSISTER) [ECS_00000033 - CUP: B33D21019790006]</t>
  </si>
  <si>
    <t>National Biodiversity Future Center - NBFC under the National Recovery and Resilience Plan (PNRR), Mission 4 Component 2 Investment 1.4 of the Italian Ministry of University and Research - European Union - NextGenerationEU; RETURN Extended Partnership - European Union Next-GenerationEU (National Recovery and Resilience Plan - NRRP, Mission 4, Component 2, Investment 1.3); Project Ecosystem for Sustainable Transition in Emilia-Romagna (ECOSISTER)</t>
  </si>
  <si>
    <t>The author(s) declare financial support was received for the research, authorship, and/or publication of this article. This work was done within the World Harbor Project (www.worldharbourproject.org). During the writing LA was supported by the National Biodiversity Future Center - NBFC (Project code CN_00000033, Concession Decree No. 1034 of 17 June 2022, CUP D33C22000960007) under the National Recovery and Resilience Plan (PNRR), Mission 4 Component 2 Investment 1.4 - Call for tender No. 3138 of 16 December 2021, rectified by Decree n.3175 of 18 December 2021 of the Italian Ministry of University and Research funded by the European Union - NextGenerationEU and FC was supported by the RETURN Extended Partnership funded by the European Union Next-GenerationEU (National Recovery and Resilience Plan - NRRP, Mission 4, Component 2, Investment 1.3 - D.D. 1243 2/8/2022, PE0000005) and by the project Ecosystem for Sustainable Transition in Emilia-Romagna (ECOSISTER, Code: ECS_00000033 - CUP: B33D21019790006; Mission 04 Education and research - Component 2 From research to business Investment 1.5 - NextGenerationEU).</t>
  </si>
  <si>
    <t>JUL 25</t>
  </si>
  <si>
    <t>10.3389/fmars.2024.1401552</t>
  </si>
  <si>
    <t>D1L0V</t>
  </si>
  <si>
    <t>WOS:001293859800001</t>
  </si>
  <si>
    <t>Labieniec, M; Gabryelak, T</t>
  </si>
  <si>
    <t>Labieniec, Magdalena; Gabryelak, Teresa</t>
  </si>
  <si>
    <t>Antioxidative and oxidative changes in the digestive gland cells of freshwater mussels Unio tumidus caused by selected phenolic compounds in the presence of H2O2 or Cu2+ ions</t>
  </si>
  <si>
    <t>polyphenols; oxidative stress; antioxidant; thiol groups; apoptosis; necrosis</t>
  </si>
  <si>
    <t>CYPRINUS-CARPIO L.; TANNIC-ACID; GALLIC ACID; POLYPHENOLIC ANTIOXIDANTS; RADICAL FORMATION; PROPYL GALLATE; DNA-DAMAGE; INDUCTION; APOPTOSIS; BINDING</t>
  </si>
  <si>
    <t>Research on biomarkers as early bioindicators of perturbation in populations and individuals has received increasing interest during recent decades. These ecotoxicity studies allow us to measure the impact of environmental stressors and to monitor and evaluate the degradation or restoration of systems. In the present study we used bivalve molluscs (mussels), which are sensitive biomarkers of aquatic ecosystem pollution, to assess the effects of three polyphenols: tannic acid, ellagic acid and gallic acid. These compounds were used in the 1-60 mu M concentration range, alone and in the presence of H2O2 (40 and 100 mu M) or Cu2+ ions (50 mu M). The fluorescence probe dichlorofluorescein-diacetate (DCFH-DA) was used to measure reactive oxygen species (ROS). The oxidation of DCFH-DA to the fluorescent DCF (dichlorofluorescein) by the phenolic compounds was investigated spectrofluorimetrically. The results showed that the polyphenols tested can act as antioxidants against the ROS present in the digestive gland cells, but their activity is decreased after incubation with hydrogen peroxide or copper ions. SH-groups were determined spectrophotometrically using Ellman's reagent. The results showed that oxidative modification of proteins increased in a concentration-dependent manner in cells incubated with polyphenols (above 15 mu M) alone. Incubation of the cells with phenolic acids and H2O2 or Cu2+ ions revealed that the phenolic acids had prooxidant properties in all concentrations used except for 1 mu M tannic and ellagic acid and 40 mu M H2O2. DNA fragmentation was estimated by a fluorescence method using Hoechst 33258/propidium iodine binding. The data showed that the phenolic acids alone and in the presence of hydrogen peroxide or copper ions can induce apoptosis and necrosis. The methods used and results obtained indicate that the polyphenols selected can act not only as antioxidants but also as prooxidants in digestive gland cells of Unio tumidus. (c) 2006 Elsevier Ltd. All rights reserved.</t>
  </si>
  <si>
    <t>Univ Lodz, Dept Gen Biophys, Inst Biophys, PL-90237 Lodz, Poland</t>
  </si>
  <si>
    <t>University of Lodz</t>
  </si>
  <si>
    <t>Gabryelak, T (corresponding author), Univ Lodz, Dept Gen Biophys, Inst Biophys, 12-16 Banacha St, PL-90237 Lodz, Poland.</t>
  </si>
  <si>
    <t>tgabryl@biol.uni.lodz.pl</t>
  </si>
  <si>
    <t>Labieniec-Watala, Magdalena/E-3040-2013</t>
  </si>
  <si>
    <t>Gabryelak, Teresa/0000-0001-5781-2331</t>
  </si>
  <si>
    <t>10.1016/j.tiv.2006.09.017</t>
  </si>
  <si>
    <t>135RA</t>
  </si>
  <si>
    <t>WOS:000244169500019</t>
  </si>
  <si>
    <t>Akcha, F; Tanguy, A; Leday, G; Pelluhet, L; Budzinski, H; Chiffoleau, JF</t>
  </si>
  <si>
    <t>Measurement of DNA single-strand breaks in gill and hemolymph cells of mussels, Mytilus sp., collected on the French Atlantic Coast</t>
  </si>
  <si>
    <t>mussel; DNA damage; strand breaks; comet; oxidative stress</t>
  </si>
  <si>
    <t>COMET ASSAY; EXPOSURE</t>
  </si>
  <si>
    <t>DNA single-strand breaks were measured by the comet assay in both gill and hemolymph cells of mussels collected in 3 sampling areas of the French coast (Pointe du Castelli, Pen Bron and Saint-Nazaire Harbour). Whole mussel tissue samples were also collected for the chemical determination of PAH, PCB and heavy metal concentrations. In mussel, a higher level of DNA strand breaks was measured in gill than in hemolymph cells (p &lt; 0.001). Despite a factor of contamination from 2 to 3 between sites, no difference in the extent of mussel DNA strand breaks was shown between sampling locations (P &gt; 0.05), questioning the sensitivity of the assays used in biomonitoring studies. (C) 2004 Elsevier Ltd. All rights reserved.</t>
  </si>
  <si>
    <t>IFREMER, Dept Polluanta Chim, F-44311 Nantes 03, France; Univ Bordeaux 1, Lab Physico &amp; Toxicochim Syst Nat, UMR 5472, CNRS, F-33405 Talence, France</t>
  </si>
  <si>
    <t>Ifremer; Universite de Bordeaux; Centre National de la Recherche Scientifique (CNRS)</t>
  </si>
  <si>
    <t>IFREMER, Dept Polluanta Chim, Rue Lle Yeu,BP 21105, F-44311 Nantes 03, France.</t>
  </si>
  <si>
    <t>farida.akcha@ifremer.fr</t>
  </si>
  <si>
    <t>Akcha, Farida/0000-0003-0734-1951; BUDZINSKI, Helene/0000-0001-5282-9011</t>
  </si>
  <si>
    <t>10.1016/j.marenvres.2004.03.090</t>
  </si>
  <si>
    <t>WOS:000222199100094</t>
  </si>
  <si>
    <t>KIRCHIN, MA; MOORE, MN; DEAN, RT; WINSTON, GW</t>
  </si>
  <si>
    <t>THE ROLE OF OXYRADICALS IN INTRACELLULAR PROTEOLYSIS AND TOXICITY IN MUSSELS</t>
  </si>
  <si>
    <t>6TH INTERNATIONAL SYMP ON RESPONSES OF MARINE ORGANISMS TO POLLUTANTS</t>
  </si>
  <si>
    <t>MYTILUS-EDULIS-L; DIGESTIVE GLAND; COMMON MUSSEL; LYSOSOMES; RESPONSES</t>
  </si>
  <si>
    <t>Studies were performed on the common mussel, M. edulis L., to determine whether copper (Cu) exposure can affect the extent to which digestive cell proteins are oxidised and whether such oxidative damage is mediated by free radicals. Three age groups of mussels were exposed for 6 days to environmentally realistic concentrations of Cu and then digestive gland homogenates were examined for evidence of protein carbonyl formation. Significant increases in carbonyls relative to untreated control mussels were seen for the youngest (2-4 year-old) and oldest (greater-than-or-equal-to 10 year-old) mussels only after exposure for 6 days, followed by recovery from exposure for a further 6 days. Untreated mussels also showed an age-related difference in protein oxidation, with a significantly lower concentration in the youngest animals (2-4 year olds). Copper did not affect the levels of modified tryptophan or tyrosine residues or the extent of total lipid peroxidation in digestive gland homogenate. Significant depletion of total vitamin E (alpha-tocopherol) was seen only in young and medium-aged mussels following exposure for 6 days. The levels of protein carbonyl groups were increased in digestive cell cytosol and lighter lysosomes but not in heavier lysosomes or digestive gland microsomes following 5 days exposure to Cu. Dihydrorhodamine-123 was converted to fluorescent rhodamine-123 following sequestration into digestive cell lysosomes. The results suggest a link between the lysosomal sequestration of copper, a concomitant increase in the production of oxyradicals and the potential for intracellular oxidative damage, as well as an increased capacity for oxidative damage in older animals.</t>
  </si>
  <si>
    <t>PLYMOUTH MARINE LAB,CITADEL HILL,PLYMOUTH P11 2RB,DEVON,ENGLAND; BRUNEL UNIV,CELL BIOL RES GRP,UXBRIDGE UB8 3PH,MIDDX,ENGLAND; LOUISIANA STATE UNIV,DEPT BIOCHEM,BATON ROUGE,LA 70803</t>
  </si>
  <si>
    <t>Plymouth Marine Laboratory; Brunel University; Louisiana State University System; Louisiana State University</t>
  </si>
  <si>
    <t>Dean, Roger Thornton/0000-0002-8859-8902</t>
  </si>
  <si>
    <t>10.1016/0141-1136(92)90127-8</t>
  </si>
  <si>
    <t>WOS:A1992KB00500055</t>
  </si>
  <si>
    <t>Selleslagh, J; Echard, A; Pécheyran, C; Baudrimont, M; Lobry, J; Daverat, F</t>
  </si>
  <si>
    <t>Selleslagh, Jonathan; Echard, Aurelie; Pecheyran, Christophe; Baudrimont, Magalie; Lobry, Jeremy; Daverat, Francoise</t>
  </si>
  <si>
    <t>Can analysis of Platichthys flesus otoliths provide relevant data on historical metal pollution in estuaries? Experimental and in situ approaches</t>
  </si>
  <si>
    <t>Flatfish; Trace metals; Otolith microchemistry</t>
  </si>
  <si>
    <t>EEL ANGUILLA-ANGUILLA; GIRONDE ESTUARY; HEAVY-METALS; SUBLETHAL EXPOSURE; CORBICULA-FLUMINEA; FISH OTOLITHS; CD; ZN; BIOACCUMULATION; CONTAMINATION</t>
  </si>
  <si>
    <t>Despite recent efforts to manage them more efficiently, estuaries are natural sinks for a wide range of metal contaminants, many of which accumulate at potentially toxic concentrations for fish populations, posing a threat to recruitment and stocks. While analysis of metal concentrations in soft tissue and water samples calls for continuous and long-term sampling operations, the use of otoliths to study metal pollution may be one way of providing a historical record of pollutant exposure. In this study, we examine the potential use of otoliths as natural tracers of metal contamination. A cocktail of different metals (Cd, Pb and Ni) was used to test bio-accumulation in otoliths and tissue (liver, kidney, muscle and gills) extracted from juvenile flounder (Platichthys flesus). Assessment took place under controlled conditions over a three month period, with water exposure concentrations increasing every 3 weeks. The concentrations used were natural (T1), X5 (T2), X10 (T3), and null (T4). Chemical analyses were carried out using an inductively coupled plasma optical emission spectrometer ICP-OES and atomic absorption spectrometer AAS for water and tissue, while otolith microchemistry analyses were performed using a femtosecond laser ablation-high resolution inductively coupled plasma mass spectrometer (fsLA-ICP-MS-HR). Significant differences between control and exposed individuals, as well as an increase in metal concentrations according to exposure level, were observed in all tissues except in muscle tissue. Significant increases in Pb were also detected in contaminated fish otoliths compared with control specimens, with the highest concentrations occurring in T3. Cartographies of Pb distribution in otoliths of both control and contaminated fish only showed high concentrations of Pb at the edge of contaminated fish otoliths, indicating an accumulation of metal during the experiment. Although the relationships between exposure level and Pb concentration in otoliths were complex, the concentrations were correlated with those in the water. Analysis of flounder specimens collected from 2007 to 2014 in the Gironde estuary (SW France) showed interannual variability in Pb concentrations, with higher values for fish otoliths from 2007 to 2010 than those from 2012 to 2014. This trend indicated a decrease in Pb in the Gironde estuary over the last decade, which is consistent with the results of other surveys on bivalves. Our study demonstrates that it is possible to use otolith microchemistry as a tool in assessing and retracing long-term metal pollution in estuarine systems. (C) 2016 Elsevier B.V. All rights reserved.</t>
  </si>
  <si>
    <t>[Selleslagh, Jonathan; Baudrimont, Magalie] Univ Bordeaux, CNRS, Stn Marine Arcachon, UMR EPOC 5805, Pl Docteur Peyneau, F-33120 Arcachon, France; [Echard, Aurelie; Lobry, Jeremy; Daverat, Francoise] IRSTEA Ctr Bordeaux, Unite EABX, 50 Ave Verdun, F-33612 Cestas, France; [Pecheyran, Christophe] Univ Pau &amp; Pays Adour, CNRS, LCABIE IPREM UMR 5254, F-64053 Pau, France</t>
  </si>
  <si>
    <t>Universite de Bordeaux; Centre National de la Recherche Scientifique (CNRS); CNRS - National Institute for Earth Sciences &amp; Astronomy (INSU); INRAE; Centre National de la Recherche Scientifique (CNRS); CNRS - Institute of Chemistry (INC); Universite de Pau et des Pays de l'Adour</t>
  </si>
  <si>
    <t>Selleslagh, J (corresponding author), Univ Bordeaux, CNRS, Stn Marine Arcachon, UMR EPOC 5805, Pl Docteur Peyneau, F-33120 Arcachon, France.</t>
  </si>
  <si>
    <t>Jonathan.Selleslagh@u-bordeaux.fr</t>
  </si>
  <si>
    <t>Daverat, Françoise/AAG-6527-2020; Lobry, Jeremy/C-1925-2012; Daverat, Francoise/F-9990-2015</t>
  </si>
  <si>
    <t>Lobry, Jeremy/0000-0002-4567-3714; Baudrimont, Magalie/0000-0001-9901-8435; Daverat, Francoise/0000-0003-4763-8098; PECHEYRAN, Christophe/0000-0001-6503-4859</t>
  </si>
  <si>
    <t>French National Research Agency (ANR) [ANR-10-LABX-45]; Region Aquitaine; FEDER [34774]</t>
  </si>
  <si>
    <t>French National Research Agency (ANR)(Agence Nationale de la Recherche (ANR)Norwegian Agency for Development Cooperation - NORAD); Region Aquitaine(Region Nouvelle-Aquitaine); FEDER(European Union (EU)Spanish Government)</t>
  </si>
  <si>
    <t>This study was carried out with financial support from the French National Research Agency (ANR) in the frame of the Investments for the future Programme, within the Cluster of Excellence COTE (ANR-10-LABX-45). The authors would like to thank Pierre-Yves Gourves, Bruno Etcheverria and Gaelle Barbotin for their help in experiment realization or trace element analyses in tissues and otoliths. Region Aquitaine and FEDER are thanked for financial support for the fsLA-HR-ICP-MS instrumental park (grant number no34774). The authors wish to thank anonymous reviewers and the editor for providing useful comments on the manuscript.</t>
  </si>
  <si>
    <t>10.1016/j.scitotenv.2016.03.014</t>
  </si>
  <si>
    <t>DK7VZ</t>
  </si>
  <si>
    <t>WOS:000375136200003</t>
  </si>
  <si>
    <t>Jaafar, SNT; Coelho, AV; Sheehan, D</t>
  </si>
  <si>
    <t>Jaafar, Siti Nur Tahirah; Coelho, Ana Varela; Sheehan, David</t>
  </si>
  <si>
    <t>Redox proteomic analysis of mytilus edulis gills: effects of the pharmaceutical diclofenac on a non-target organism</t>
  </si>
  <si>
    <t>DRUG TESTING AND ANALYSIS</t>
  </si>
  <si>
    <t>pharmaceuticals; environmental; pollutant; bivalve; mussel; oxidative; Stress; redox proteomics; proteomics</t>
  </si>
  <si>
    <t>GLUTATHIONE-S-TRANSFERASE; HEAT-SHOCK COGNATE; BLUE MUSSEL; OXIDATIVE STRESS; ARGININE KINASE; DIGESTIVE GLAND; PROTEIN; RESPONSES; GALLOPROVINCIALIS; IDENTIFICATION</t>
  </si>
  <si>
    <t>Veterinary and human pharmaceuticals are an emerging category of chemical pollutants with potential to cause serious toxicity to non-target organisms. Filter-feeding aquatic organisms such as mussels are especially threatened. In this study, the blue mussel, Mytilus edulis, was exposed to two doses (0.2mg/L and 1mg/L) of the anti-inflammatory diclofenac. Effects on the gill, the principal feeding organ of mussels, were investigated. It was noted that, while no effect was evident on gill glutathione transferase or catalase activities, there was a tissue-specific increase in glutathione reductase activity and reduction in total protein thiol groups. Two dimensional electrophoresis was performed and some affected proteins identified by in-gel tryptic digestion and peptide mass fingerprinting. Of these, four unique proteins (caspase 3/7-4, heat-shock cognate protein 70, a predicted enolase-like protein, arginine kinase) were found to be oxidized whilst eight unique proteins (-tubulin, actin, isocitrate dehydrogenase, arginine kinase, heavy metal-binding HIP, cytosolic malate dehydrogenase, proteasome subunit alpha type 2, Mg: bb02e05 (glyceraldehyde-3-phosphate dehydrogenase) and superoxide dismutase) were found to have altered abundance. In addition, bioinformatic analysis suggested putative identities for six hypothetical proteins which either were oxidized or decreased in abundance. These were; 78kDa glucose-regulated protein precursor, -enolase, calreticulin, mitochondrial H+-ATPase, palmitoyl protein thioesterase 1 and initiation factor 5a. It is concluded that diclofenac causes significant oxidative stress to gills and that this affects key structural, metabolic and stress-response proteins. Copyright (c) 2015 John Wiley &amp; Sons, Ltd.</t>
  </si>
  <si>
    <t>[Jaafar, Siti Nur Tahirah; Sheehan, David] Natl Univ Ireland Univ Coll Cork, Sch Biochem &amp; Cell Biol, Prote Res Grp, Cork, Ireland; [Jaafar, Siti Nur Tahirah] Univ Malaysia Terengganu, Sch Marine Sci &amp; Environm, Marine Biol Program, Terengganu, Malaysia; [Coelho, Ana Varela] Univ Nova Lisboa, Inst Chem &amp; Biol Technol ITQB, Analyt Serv Unit, Mass Spectrometry Lab, P-2784505 Oeiras, Portugal</t>
  </si>
  <si>
    <t>University College Cork; Universiti Malaysia Terengganu; Universidade Nova de Lisboa</t>
  </si>
  <si>
    <t>Sheehan, D (corresponding author), Natl Univ Ireland Univ Coll Cork, Sch Biochem &amp; Cell Biol, Western Gateway Bldg,Western Rd, Cork, Ireland.</t>
  </si>
  <si>
    <t>Sheehan, David/ABB-5315-2020; Jaafar, Siti/AAS-4976-2020; Jaafar, Siti NurTahirah/X-5237-2018; Coelho, Ana/H-8885-2012</t>
  </si>
  <si>
    <t>Jaafar, Siti NurTahirah/0000-0001-5857-8700; Coelho, Ana/0000-0002-6143-4203</t>
  </si>
  <si>
    <t>Malaysian Government; Universiti Malaysia Terengganu</t>
  </si>
  <si>
    <t>Siti NurTahirah Jaafar received an Academic Training Scheme scholarship from Malaysian Government and Universiti Malaysia Terengganu. The authors thank Dr Maria O'Mahony, manager of the AFDC (Aquaculture and Fisheries Development Centre), School of Biological, Earth and Environmental Sciences, University College Cork, Ireland, for facilitating the facility for exposure experimental work.</t>
  </si>
  <si>
    <t>1942-7603</t>
  </si>
  <si>
    <t>1942-7611</t>
  </si>
  <si>
    <t>DRUG TEST ANAL</t>
  </si>
  <si>
    <t>Drug Test. Anal.</t>
  </si>
  <si>
    <t>10.1002/dta.1786</t>
  </si>
  <si>
    <t>Biochemical Research Methods; Chemistry, Analytical; Pharmacology &amp; Pharmacy</t>
  </si>
  <si>
    <t>Biochemistry &amp; Molecular Biology; Chemistry; Pharmacology &amp; Pharmacy</t>
  </si>
  <si>
    <t>CT3FE</t>
  </si>
  <si>
    <t>WOS:000362691800012</t>
  </si>
  <si>
    <t>Liu, YH; Xu, JY; Wang, Y; Yang, S</t>
  </si>
  <si>
    <t>Liu, Yonghua; Xu, Jiayu; Wang, Yong; Yang, Song</t>
  </si>
  <si>
    <t>Trace metal bioaccumulation in oysters (Crassostrea gigas) from Liaodong Bay (Bohai Sea, China)</t>
  </si>
  <si>
    <t>Trace metal; Bioaccumulation; Oyster; Season; Size; Liaodong Bay</t>
  </si>
  <si>
    <t>HEALTH-RISK ASSESSMENT; HEAVY-METALS; SACCOSTREA-CUCULLATA; BLACK-SEA; SEDIMENTS; POLLUTION; COAST; GULF; ZN; CD</t>
  </si>
  <si>
    <t>Cd, Cr, Cu, Pb, and Zn concentrations were measured in oysters (C. gigas), plankton, and seawater during spring, summer, and autumn in Liaodong Bay (Bohai Sea, China) to elucidate the effects of season, region, and oyster size on metal bioaccumulation in oysters. Metal concentrations were quantified via atomic absorption spectrophotometry. Our study determined that metal concentrations in oysters, plankton, and seawater were the highest in summer, whereas the lowest levels occurred in autumn. Regarding oyster sizes, the highest Pb levels occurred in C3-sized oysters (&gt; 5-cm length), whereas the highest Cd, Cr, Cu, and Zn levels occurred in C2 (3-5-cm length) oysters. In contrast, the lowest Cu and Pb levels occurred in C1 (&lt; 3-cm length) oysters, whereas the lowest mean Cd, Cr, and Zn concentrations were observed in C3 oysters. Significant differences in trace metal concentrations in the three sample types were observed in all sampling sites.</t>
  </si>
  <si>
    <t>[Liu, Yonghua; Xu, Jiayu; Wang, Yong; Yang, Song] Jinzhou Med Univ, Coll Anim Husb &amp; Vet, 40 Songpo St Linghe Dist, Jinzhou 121000, Liaoning, Peoples R China</t>
  </si>
  <si>
    <t>Jinzhou Medical University</t>
  </si>
  <si>
    <t>Yang, S (corresponding author), Jinzhou Med Univ, Coll Anim Husb &amp; Vet, 40 Songpo St Linghe Dist, Jinzhou 121000, Liaoning, Peoples R China.</t>
  </si>
  <si>
    <t>13604164557@163.com; 19926451@qq.com; 65669671@qq.com; lymyys0710@126.com</t>
  </si>
  <si>
    <t>Natural Fund Guidance Program of the Liaoning Province of China [2019-ZD0814]; Key Research and Development Guidance Program of the Liaoning Province of China [2018225028]; College students' innovation and entrepreneurship training program of the Liaoning Province of China [201910160080]</t>
  </si>
  <si>
    <t>Natural Fund Guidance Program of the Liaoning Province of China; Key Research and Development Guidance Program of the Liaoning Province of China; College students' innovation and entrepreneurship training program of the Liaoning Province of China</t>
  </si>
  <si>
    <t>This study was supported by grants from the Natural Fund Guidance Program of the Liaoning Province of China (No. 2019-ZD0814), the Key Research and Development Guidance Program of the Liaoning Province of China (No. 2018225028), and the College students' innovation and entrepreneurship training program of the Liaoning Province of China (201910160080).</t>
  </si>
  <si>
    <t>10.1007/s11356-020-11968-6</t>
  </si>
  <si>
    <t>RY0XX</t>
  </si>
  <si>
    <t>WOS:000605574200001</t>
  </si>
  <si>
    <t>Pinto, J; Costa, M; Leite, C; Borges, C; Coppola, F; Henriques, B; Monteiro, R; Russo, T; Di Cosmo, A; Soares, AMVM; Polese, G; Pereira, E; Freitas, R</t>
  </si>
  <si>
    <t>Pinto, Joao; Costa, Marcelo; Leite, Carla; Borges, Claudia; Coppola, Francesca; Henriques, Bruno; Monteiro, Rui; Russo, Tania; Di Cosmo, Anna; Soares, Amadeu M. V. M.; Polese, Gianluca; Pereira, Eduarda; Freitas, Rosa</t>
  </si>
  <si>
    <t>Ecotoxicological effects of lanthanum in Mytilus galloprovincialis: Biochemical and histopathological impacts</t>
  </si>
  <si>
    <t>Rare-earth elements; Mussels; Oxidative stress; Metabolism; Neurotoxicity; Histological alterations</t>
  </si>
  <si>
    <t>RARE-EARTH-ELEMENTS; ELECTRON-TRANSPORT SYSTEM; OXIDATIVE STRESS; ANTHROPOGENIC LANTHANUM; SUPEROXIDE-DISMUTASE; METAL CONCENTRATIONS; CHRONIC TOXICITY; RHINE RIVER; MUSSEL; EXPOSURE</t>
  </si>
  <si>
    <t>Inappropriate processing and disposal of electronic waste contributes to the contamination of aquatic systems by various types of pollutants such as the rare-earth elements (REE) in which lanthanum (La) is included. Knowledge on the toxicity of these elements in marine organisms is still scarce when compared to other metals such as mercury (Hg) and arsenic (As). Therefore, this study aims to assess the toxicity of La on the mussel Mytilus galloprovincialis, considered a good bioindicator of aquatic pollution, through the analysis of metabolic, oxidative stress, neurotoxicity and histopathological markers. Organisms were exposed to different concentrations of La for a period of 28 days (0, 0.1, 1, 10 mg/L) under controlled temperature (18 degrees C +/- 1.0) and salinity (30 +/- 1) conditions. La concentrations in mussels increased in higher exposure concentrations. La exposure demonstrated a biochemical response in mussels, evidenced by lowered metabolism and accumulation of energy reserves, activation of the antioxidant defences SOD and GPx as well as the biotransformation enzymes GSTs, especially at intermediate concentrations. Despite oxidative stress being shown by a decrease in GSH/GSSG, oxidative damage was avoided as evidenced by lower LPO and PC levels. Inhibition of the enzyme AChE demonstrated the neurotoxicity of La in this species. Histopathological indices were significantly different from the control group, indicating impacts in gonads, gills and digestive glands of mussels due to La. These results show that La can be considered a risk for marine organisms and thus its discharge into the environment should be monitored.</t>
  </si>
  <si>
    <t>[Pinto, Joao; Costa, Marcelo; Borges, Claudia; Henriques, Bruno; Monteiro, Rui; Pereira, Eduarda] Univ Aveiro, Dept Quim, P-3810193 Aveiro, Portugal; [Leite, Carla; Coppola, Francesca; Soares, Amadeu M. V. M.; Freitas, Rosa] Univ Aveiro, Dept Biol, Campus Univ Santiago, P-3810193 Aveiro, Portugal; [Coppola, Francesca; Soares, Amadeu M. V. M.; Freitas, Rosa] Univ Aveiro, CESAM, P-3810193 Aveiro, Portugal; [Henriques, Bruno; Monteiro, Rui; Pereira, Eduarda] Univ Aveiro, CESAM &amp; LAQV REQUIMTE, P-3810193 Aveiro, Portugal; [Monteiro, Rui] Univ Porto, CIIMAR, P-4050123 Porto, Portugal; [Russo, Tania; Di Cosmo, Anna; Polese, Gianluca] Univ Napoli Federico II, Dipartimento Biol, I-80126 Naples, Italy</t>
  </si>
  <si>
    <t>Universidade de Aveiro; Universidade de Aveiro; Universidade de Aveiro; Universidade de Aveiro; Universidade do Porto; University of Naples Federico II</t>
  </si>
  <si>
    <t>Coppola, Francesca/U-8869-2018; Pereira, Eduarda/A-5907-2012; Monteiro, Rui/Q-6628-2018; Costa, Marcelo/AAJ-1631-2020; Polese, Gianluca/P-4444-2019; Pinto, João/ABF-8890-2021; Leite, Carla/F-1683-2019; Henriques, Bruno/B-6258-2017; Soares, Amadeu/A-8304-2008; Freitas, Rosa/A-7539-2012; Polese, Gianluca/F-3496-2013; Russo, Tania/AHA-0304-2022</t>
  </si>
  <si>
    <t>Leite, Carla/0000-0001-8579-293X; Coppola, Francesca/0000-0002-7039-9630; Pereira, Eduarda/0000-0002-6046-5243; Henriques, Bruno/0000-0002-6472-5479; Soares, Amadeu/0000-0003-0879-9470; Costa, Marcelo/0000-0003-0253-0905; Di Cosmo, Anna/0000-0002-1018-9957; Freitas, Rosa/0000-0003-4900-3897; Polese, Gianluca/0000-0002-6322-7769; Russo, Tania/0000-0002-3531-3977; Pinto, Joao/0000-0002-6175-2906; Monteiro, Rui/0000-0003-4910-7282</t>
  </si>
  <si>
    <t>national funds (OE), through FCT - Fundacao para a Ciencia e a Tecnologia, I.P.; Portuguese Science Foundation (FCT) - FSE [SFRH/BD/118582/2016]; Programa Operacional Capital Humano (POCH) e da Uniao Europeia [SFRH/BD/112576/2015]; CESAM [UID/AMB/50017/2019]; FCT/MEC; FEDER, within the PT2020 Partnership Agreement; Programa Operacional Competitividade e Internacionalizacao FEDER BISPECIA1 - BIvalves under Polluted Environment and Climate change [POCI-01-0145-FEDER-028425]; FEDER, within Compete 2020</t>
  </si>
  <si>
    <t>national funds (OE), through FCT - Fundacao para a Ciencia e a Tecnologia, I.P.(Fundacao para a Ciencia e a Tecnologia (FCT)); Portuguese Science Foundation (FCT) - FSE(Fundacao para a Ciencia e a Tecnologia (FCT)); Programa Operacional Capital Humano (POCH) e da Uniao Europeia; CESAM; FCT/MEC(Fundacao para a Ciencia e a Tecnologia (FCT)); FEDER, within the PT2020 Partnership Agreement(Marie Curie Actions); Programa Operacional Competitividade e Internacionalizacao FEDER BISPECIA1 - BIvalves under Polluted Environment and Climate change; FEDER, within Compete 2020(European Union (EU)Marie Curie Actions)</t>
  </si>
  <si>
    <t>Bruno Henriques and Rosa Freitas benefited from a Research position funded by national funds (OE), through FCT - Fundacao para a Ciencia e a Tecnologia, I.P., in the scope of the framework contract foreseen in the numbers 4, 5 and 6 of the article 23, of the Decree -Law 57/2016, of August 29, changed by Law 57/2017, of July 19. Francesca Coppola and Rui Monteiro benefited from PhD grants (SFRH/BD/118582/2016 and SFRH/BD/112576/2015, respectively) given by the National Funds through the Portuguese Science Foundation (FCT), supported by FSE and Programa Operacional Capital Humano (POCH) e da Uniao Europeia. Thanks are due for the financial support to CESAM (UID/AMB/50017/2019), to FCT/MEC through national funds, and the co -funding by the FEDER, within the PT2020 Partnership Agreement and Compete 2020, and Programa Operacional Competitividade e Internacionalizacao FEDER (POCI-01-0145-FEDER-028425) BISPECIA1 - BIvalves under Polluted Environment and Climate change.</t>
  </si>
  <si>
    <t>10.1016/j.aquatox.2019.03.017</t>
  </si>
  <si>
    <t>HZ2WC</t>
  </si>
  <si>
    <t>WOS:000468708500019</t>
  </si>
  <si>
    <t>Lima, D; Santos, MM; Ferreira, AM; Micaelo, C; Reis-Henriques, MA</t>
  </si>
  <si>
    <t>Lima, D.; Santos, M. M.; Ferreira, A. M.; Micaelo, C.; Reis-Henriques, M. A.</t>
  </si>
  <si>
    <t>The use of the shanny Lipophrys pholis for pollution monitoring:: A new sentinel species for the northwestern European marine ecosystems</t>
  </si>
  <si>
    <t>sentinel organism; Lipophrys pholis; organic contaminant; EROD; FACs; PAHs; marine; Atlantic</t>
  </si>
  <si>
    <t>EELPOUT ZOARCES-VIVIPARUS; BILIARY PAH METABOLITES; EMPRESS OIL-SPILL; DNA ADDUCT LEVELS; EROD ACTIVITY; PETROLEUM-HYDROCARBONS; MONOOXYGENASE SYSTEM; GENOTOXIC IMPACT; ECONOMIC DAMAGES; BROWN BULLHEADS</t>
  </si>
  <si>
    <t>The contamination of aquatic ecosystems by organic contaminants such as polycyclic aromatic hydrocarbons (PAHs) is a matter of great concern. Mussels have been extensively used as sentinel species in a large number of monitoring programs. However, the use of bivalves as the sole species has some limitations, because they are not as responsive as fish to Aryl Hydrocarbon Receptor agonists. Hence, for many marine areas, there is the need to validate new sentinel fish species that can be used in the assessment of pollution by organic contaminants. The shanny Lipophrys pholis is an intertidal fish that combines many characteristics required in a sentinel species: is abundant and easy to catch, has a wide geographical distribution and restrict home range. After larvae recruitment to the intertidal rocky shores, they remain in the same area for the rest of the life-cycle, thus reflecting local pollutants exposure. In order to evaluate the species sensitivity to organic contaminants under field conditions, L. pholis were collected at six sites reflecting different degrees of anthropogenic contamination. The induction of two biomarkers extensively validated in the assessment of PAHs contamination ethoxyresorufin-O-deethylase activity (EROD) and Fluorescent Aromatic Compounds (FACs) was evaluated. In parallel, mussels were collected at the same locations and levels of 16 PAHs and selected heavy metals determined. Overall, the specimens collected in the urban areas showed a significant induction of EROD and FACs (up to a six-fold induction) if compared with the reference sites. Additionally, a positive correlation was observed between the biomarkers and PAHs levels in mussel tissues. Even though further validation is currently in progress, the available data indicate that L. pholis is responsive to organic contaminants such as PAHs, suggesting its future integration in monitoring programmes designed to evaluate the presence of these contaminants in European marine ecosystems. (C) 2007 Elsevier Ltd. All rights reserved.</t>
  </si>
  <si>
    <t>[Lima, D.; Santos, M. M.; Reis-Henriques, M. A.] Univ Porto, Ctr Marine &amp; Environm Res, CIMAR, P-4050123 Oporto, Portugal; [Reis-Henriques, M. A.] Univ Porto, Inst Biomed Sci Abel Salazar, ICBAS, P-4099003 Oporto, Portugal; [Ferreira, A. M.; Micaelo, C.] Inst Fisheries &amp; Sea Res, IPIMAR, P-1449006 Lisbon, Portugal</t>
  </si>
  <si>
    <t>Universidade do Porto; Universidade do Porto; Portuguese Institute of Sea &amp; Fisheries Research (IPIMAR)</t>
  </si>
  <si>
    <t>Santos, MM (corresponding author), Univ Porto, Ctr Marine &amp; Environm Res, CIMAR, Rua Bragas 177, P-4050123 Oporto, Portugal.</t>
  </si>
  <si>
    <t>santos@ciimar.up.pt</t>
  </si>
  <si>
    <t>Santos, Miguel/AAD-9267-2021; Ferreira, Andressa/JAX-8008-2023</t>
  </si>
  <si>
    <t>Henriques, Maria Armanda/0000-0001-5721-282X; Reis Henriques, Maria Armanda/0000-0001-7602-9641; Lima, Daniela/0000-0002-4732-979X; Santos, Miguel/0000-0001-7347-0546</t>
  </si>
  <si>
    <t>10.1016/j.envint.2007.07.007</t>
  </si>
  <si>
    <t>254RE</t>
  </si>
  <si>
    <t>WOS:000252604900012</t>
  </si>
  <si>
    <t>Atici, AA</t>
  </si>
  <si>
    <t>Atici, Ataman Altug</t>
  </si>
  <si>
    <t>The first evidence of microplastic uptake in natural freshwater mussel, Unio stevenianus from Karasu River, Turkey</t>
  </si>
  <si>
    <t>Microplastic; contamination; biomarker; freshwater mussel; bivalves; pollution</t>
  </si>
  <si>
    <t>PLASTIC RESIN PELLETS; MARINE-ENVIRONMENT; SYNTHETIC-POLYMERS; EASTERN ANATOLIA; METAL POLLUTION; HEAVY-METALS; NORTH-SEA; LAKE VAN; BIVALVES; QUALITY</t>
  </si>
  <si>
    <t>Purpose Microplastic pollution is a major problem that threatens freshwater mussels as well as marine bivalves, since these filter-feeding organisms are directly exposed to microplastics in the water column. There is no study on the microplastic contamination of Unio stevenianus as a bioindicator organism. The aim of this study is to determine the microplastic contamination in U. stevenianus. Materials and methods In total, 32 U. stevenianus were obtained from three different sites from Karasu River, in October 2020. The soft tissue of each mussel was digested and filtered. The filters with microplastics were observed under a stereomicroscope. Results A total of 1,253 microplastics, ranging from 0.81 to 6.69 items/gram (mean 2.85 +/- 1.27 items/g) and 13.00 to 84.73 items/individual (mean 39.15 +/- 16.95 items/individual), were extracted from soft tissues of mussel for all stations. The dominant of the detected microplastics consisted of fragment (48.8%) followed by fiber (47.5%) types, and &lt;0.1 mm size (44.8%), irregular shape (48.7%) and black coloured (48.8%) items were the most uptaked microplastics. Conclusion This study indicated that U. stevenianus has a lot of pollution where there are a lot of microplastics in the river.</t>
  </si>
  <si>
    <t>[Atici, Ataman Altug] Van Yuzuncu Yil Univ, Fac Fisheries, Dept Fisheries Basic Sci, Zeve Campus, TR-65080 Van, Turkey</t>
  </si>
  <si>
    <t>Yuzuncu Yil University</t>
  </si>
  <si>
    <t>Atici, AA (corresponding author), Van Yuzuncu Yil Univ, Fac Fisheries, Dept Fisheries Basic Sci, Zeve Campus, TR-65080 Van, Turkey.</t>
  </si>
  <si>
    <t>atamanaltug@yyu.edu.tr</t>
  </si>
  <si>
    <t>Atici, Ataman Altug/0000-0001-8700-8969</t>
  </si>
  <si>
    <t>FEB 17</t>
  </si>
  <si>
    <t>10.1080/1354750X.2021.2020335</t>
  </si>
  <si>
    <t>YS7US</t>
  </si>
  <si>
    <t>WOS:000734786800001</t>
  </si>
  <si>
    <t>Banni, M; Bouraoui, Z; Ghedira, J; Clearandeau, C; Jebali, J; Boussetta, H</t>
  </si>
  <si>
    <t>Banni, Mohamed; Bouraoui, Zied; Ghedira, Jihene; Clearandeau, Cristelle; Jebali, Jamel; Boussetta, Hamadi</t>
  </si>
  <si>
    <t>Seasonal variation of oxidative stress biomarkers in clams Ruditapes decussatus sampled from Tunisian coastal areas</t>
  </si>
  <si>
    <t>Catalase; Lipofuscin; Malondialdehyde; Neutral lipids; Pollution; Ruditapes decussatus; Seasonal variation</t>
  </si>
  <si>
    <t>ANTIOXIDANT DEFENSE SYSTEMS; LIPID-PEROXIDATION; DIGESTIVE CELLS; MYTILUS-EDULIS; ENVIRONMENTAL CONTAMINANTS; ENZYME-ACTIVITIES; POLLUTION; RESPONSES; GALLOPROVINCIALIS; METALLOTHIONEINS</t>
  </si>
  <si>
    <t>Seven (7) sites from to the Tunisian coastal area were monitored through four seasons using several oxidative stress biomarkers including lipid peroxidation. Catalase (CAT) specific activity was determined in clam Ruditapes decussatus digestive gland. Lipid peroxidation was assessed in the same tissues using malondialdehyde (MDA) concentration, neutral lipid (NL) and lipofuscin accumulation. Results show that catalase specific activity varies between sites and fluctuates in time. The highest CAT activities were recorded in sites from Bizerta Lagoon and sites neighbouring Sfax city. Malondialdehyde accumulation in digestive gland cells seems to be very pronounced in animals sampled in summer and autumn. Digestive gland sections of clams sampled from reported heavy metal polluted sites exhibited higher volume density of residual bodies. Our results showed that the neutral lipids and lipofuscin content in clam's digestive gland are more sensitive to general stress as compared to other biomarkers, and could be used successfully in clams as early warning tools in field biomonitoring programs.</t>
  </si>
  <si>
    <t>[Banni, Mohamed] Higher Inst Hort 4042, Lab Biochem &amp; Ecotoxicol, Chott Mariem, Sousse, Tunisia; [Banni, Mohamed; Bouraoui, Zied; Ghedira, Jihene; Jebali, Jamel; Boussetta, Hamadi] Inst Super Agron, Lab Biochim &amp; Toxicol Environm, Chott Mariem, Sousse, Tunisia; [Clearandeau, Cristelle] Univ Bordeaux 1, Lab Physicotoxico Chim Syst Nat, Bordeaux, France</t>
  </si>
  <si>
    <t>Banni, M (corresponding author), Higher Inst Hort 4042, Lab Biochem &amp; Ecotoxicol, Chott Mariem, Sousse, Tunisia.</t>
  </si>
  <si>
    <t>jebali, jamel/E-4813-2013; Banni, Mohamed/M-2144-2014</t>
  </si>
  <si>
    <t>jebali, jamel/0000-0003-1444-1432; Banni, Mohamed/0000-0001-9764-0343; BOURAOUI, Zied/0000-0003-4710-1039</t>
  </si>
  <si>
    <t>Tunisian Ministry of Higher Education, Scientific Research and Technology [04/G0907]</t>
  </si>
  <si>
    <t>Tunisian Ministry of Higher Education, Scientific Research and Technology</t>
  </si>
  <si>
    <t>The work described in this paper was partially support by founds from the Tunisian Ministry of Higher Education, Scientific Research and Technology (Unite de recherche en Biochimie et Toxicologie de l'Environment) and the Project CMCU N degrees 04/G0907.</t>
  </si>
  <si>
    <t>10.1007/s10661-008-0422-3</t>
  </si>
  <si>
    <t>WOS:000267887000010</t>
  </si>
  <si>
    <t>Aguirre-Rubí, JR; Luna-Acosta, A; Etxebarría, N; Soto, M; Espinoza, F; Ahrens, MJ; Marigómez, I</t>
  </si>
  <si>
    <t>Aguirre-Rubi, Javier R.; Luna-Acosta, Andrea; Etxebarria, Nestor; Soto, Manu; Espinoza, Felix; Ahrens, Michael J.; Marigomez, Ionan</t>
  </si>
  <si>
    <t>Chemical contamination assessment in mangrove-lined Caribbean coastal systems using the oyster Crassostrea rhizophorae as biomonitor species</t>
  </si>
  <si>
    <t>Crassotrea; Mangrove cupped oyster; Bioaccumulation; Ecosystem health; Monitoring; Caribbean; Pollution; Pollution indices</t>
  </si>
  <si>
    <t>POLYCYCLIC AROMATIC-HYDROCARBONS; TRACE-METAL CONTAMINATION; ECOLOGICAL RISK-ASSESSMENT; SAN-FRANCISCO-ESTUARY; MUSSEL-WATCH; CHLORINATED PESTICIDES; HEAVY-METAL; PAH CONTAMINATION; ORGANIC-COMPOUNDS; MARINE POLLUTION</t>
  </si>
  <si>
    <t>This paper aims to contribute to the use of mangrove cupped oyster, Crassostrea rhizophorae, as a biomonitor species for chemical contamination assessment in mangrove-lined Caribbean coastal systems. Sampling was carried out in eight localities (three in Nicaragua and five in Colombia) with different types and levels of contamination. Oysters were collected during the rainy and dry seasons of 2012-2013 and the tissue concentrations of metals, polycyclic aromatic hydrocarbons (PAHs), and persistent organic pollutants (POPs) were determined. Low tissue concentrations of metals (except Hg) and PAHs; moderate-to-high tissue concentrations of Hg, hexachlorocyclohexanes (HCHs), and dichlorodiphenyl-trichloroethanes (DDTs); detectable levels of chlorpyrifos, polychlorinated biphenyls (PCBs) (mainly CB28, CB118, CB138 and CB 153) and brominated diphenyl ethers 85 (BDE85); and negligible levels of musks were recorded in Nicaraguan oysters. A distinct profile of POPs was identified in Colombia, where the tissue concentrations of PCBs and synthetic musk fragrances were low to moderate, and Ag, As, Cd, Pb, and PAHs ranged from moderate to extremely high. Overall, the values recorded for HCHs, DDTs and PCBs in Nicaraguan mangrove cupped oysters greatly exceeded the reference values in tissues of C. rhizophorae from the Wider Caribbean Region, whereas only the levels of PCBs were occasionally surpassed in Colombia. Different contaminant profiles were distinguished between oysters from Nicaragua and Colombia in radar plots constructed using the main groups of contaminants (metals, PAHs, musks, PCBs, and organochlorine pesticides (OCPs)). Likewise, integrated pollution indices revealed differences in the levels of contaminants. Moreover, the profiles and levels in oyster tissues also varied with season. Thus, principal component analysis clearly discriminated Nicaraguan and Colombian localities and, especially in Colombia, seasonal trends in chemical contamination and differences amongst localities were evidenced. The geographical and environmental disparity of the studied scenarios may represent to a large extent the diversity of mangrove-lined Caribbean coastal systems and therefore the present results support the use of C. rhizophorae as suitable biomonitor species at Caribbean regional scale, where seasonal variability is a major factor controlling pollutant mobility and bioavailability.</t>
  </si>
  <si>
    <t>[Aguirre-Rubi, Javier R.; Soto, Manu; Marigomez, Ionan] Univ Basque Country, UPV EHU, Dept Zool &amp; Anim Cell Biol, CBET Res Grp, Leioa, Basque Country, Spain; [Aguirre-Rubi, Javier R.; Etxebarria, Nestor; Soto, Manu; Marigomez, Ionan] Univ Basque Country, PiE UPV EHU, Plentzia Marine Stn, Res Ctr Expt Marine Biol &amp; Biotechnol, Plentzia, Basque Country, Spain; [Aguirre-Rubi, Javier R.; Espinoza, Felix] Natl Autonomous Univ Nicaragua Leon UNAN Leon, Leon, Nicaragua; [Luna-Acosta, Andrea; Ahrens, Michael J.] UJTL, Dept Biol &amp; Environm Sci, Bogota, Colombia; [Luna-Acosta, Andrea] Pontificia Univ Javeriana, Dept Ecol &amp; Terr, Bogota, Colombia; [Etxebarria, Nestor] Univ Basque Country, UPV EHU, IBEA Res Grp, Dept Analyt Chem, Leioa, Basque Country, Spain</t>
  </si>
  <si>
    <t>University of Basque Country; University of Basque Country; Universidad Nacional Autonoma de Nicaragua - Leon; Pontificia Universidad Javeriana; University of Basque Country</t>
  </si>
  <si>
    <t>Marigómez, I (corresponding author), Univ Basque Country, UPV EHU, Dept Zool &amp; Anim Cell Biol, CBET Res Grp, Leioa, Basque Country, Spain.;Marigómez, I (corresponding author), Univ Basque Country, PiE UPV EHU, Plentzia Marine Stn, Res Ctr Expt Marine Biol &amp; Biotechnol, Plentzia, Basque Country, Spain.</t>
  </si>
  <si>
    <t>Ahrens, Michael/F-2315-2013; MARIGOMEZ ALLENDE, Ionan/C-3909-2017; Etxebarria, Nestor/C-7341-2008</t>
  </si>
  <si>
    <t>soto, manu/0000-0002-4541-8182; Ahrens, Michael J./0000-0003-3556-006X; MARIGOMEZ ALLENDE, Ionan/0000-0001-6274-541X; Etxebarria, Nestor/0000-0002-2942-9463</t>
  </si>
  <si>
    <t>Spanish Agency for International Development Cooperation [CARIBIOPOL-AECID 11-CAP2-1595]; Spanish Ministry of Economy and Finances [BMW-CTM2012-40203-C02-01]; University of the Basque Country UPV/EHU [UFI 11/37]; Basque Government through Consolidated Research Groups fellowship [IT810-B]</t>
  </si>
  <si>
    <t>Spanish Agency for International Development Cooperation(Spanish Government); Spanish Ministry of Economy and Finances; University of the Basque Country UPV/EHU; Basque Government through Consolidated Research Groups fellowship</t>
  </si>
  <si>
    <t>The authors are indebted to Drs L Garmendia and M Ortiz-Zarragoitia from PiE-UPV/EHU, to Dr. L Villamil, A Moncaleano and S Caceres from UJTL and to colleagues from the Department of Biology (Environ Educ Prog, UNAN-Leon) for their invaluable assistance during sampling. This work was funded by the Spanish Agency for International Development Cooperation (CARIBIOPOL-AECID 11-CAP2-1595) and supported by the Spanish Ministry of Economy and Finances (BMW-CTM2012-40203-C02-01), by The University of the Basque Country UPV/EHU (UFI 11/37), and by the Basque Government through Consolidated Research Groups fellowship (IT810-B). The authors also want to thank the scientific staff of the Department of Biology from Bluefields Indian and Caribbean University (BICU) for their support in the logistic and sampling strategy, as well as the Research Center on Health, Work, and Environment (CISTA, UNAN-Leon) for their collaboration in the pretreatment of samples for chemical analysis.</t>
  </si>
  <si>
    <t>10.1007/s11356-017-9159-2</t>
  </si>
  <si>
    <t>GG9RK</t>
  </si>
  <si>
    <t>WOS:000433038500018</t>
  </si>
  <si>
    <t>Rivero, LE; Lares, ML</t>
  </si>
  <si>
    <t>A technique for the separation of the most recently deposited nacreous layer in Mytilus californianus shells for trace metal analysis</t>
  </si>
  <si>
    <t>Mytilus californianus; shell; nacreous layer; cadmium</t>
  </si>
  <si>
    <t>EDULIS; POLLUTION</t>
  </si>
  <si>
    <t>A new method to separate a section of the most recently deposited nacreous layer from the rest of the shell of Mytilus californianus was developed. Techniques described for other mussel species proved unsuitable for this species. In this new method, the shells are soaked in 30% hydrogen peroxide for 10-15 min at 80-85degreesC to eliminate the periostracum, a potential source of trace metal contamination. Next, the shells are heated in a muffle furnace at 350degreesC for 1 h to separate the nacreous layer from the calcite layer. Finally, the nacreous band is easily separated from the rest of the shell by gently tapping it with a stainless steel needle. This is a simple and fast method that is proposed for trace metal monitoring purposes using M. californianus shells. To illustrate the application of the method, results from an experiment performed in our laboratory, in which mussels were exposed to two different Cd concentrations for 60 days and their shells processed by this technique, are included. The most recently deposited nacreous layer showed significant increases in Cd concentrations, which were proportional to the exposed ambient concentrations.</t>
  </si>
  <si>
    <t>Ctr Invest Cient &amp; Educ Super Ensenada, Dept Ecol, Ensenada 22800, Baja California, Mexico</t>
  </si>
  <si>
    <t>CICESE - Centro de Investigacion Cientifica y de Educacion Superior de Ensenada</t>
  </si>
  <si>
    <t>Ctr Invest Cient &amp; Educ Super Ensenada, Dept Ecol, Ensenada 22800, Baja California, Mexico.</t>
  </si>
  <si>
    <t>10.7773/cm.v30i2.181</t>
  </si>
  <si>
    <t>WOS:000221976100008</t>
  </si>
  <si>
    <t>Yuan, XT; Yang, HS; Meng, LM; Wang, LL; Li, Y</t>
  </si>
  <si>
    <t>Yuan, Xiutang; Yang, Hongsheng; Meng, Leiming; Wang, Lili; Li, Yan</t>
  </si>
  <si>
    <t>Impacts of temperature on the scavenging efficiency by the deposit-feeding holothurian Apostichopus japonicus on a simulated organic pollutant in the bivalve-macroalage polyculture from the perspective of nutrient budgets</t>
  </si>
  <si>
    <t>Apostichopus japonicus; Bivalve-macroalgae polyculture; Self-pollutant; Scavenging efficiency; Temperature; Aestivation</t>
  </si>
  <si>
    <t>CUCUMBER AUSTRALOSTICHOPUS-MOLLIS; SEA-CUCUMBER; IN-SITU; GROWTH; SELENKA; CONSUMPTION; JUVENILES; CULTURE; SYSTEM; BAY</t>
  </si>
  <si>
    <t>Self-pollutants of bivalve biodeposits and macroalgae detritus from the raft bivalve-macroalgae polyculture may lead to increased organic matter in sediment; the deposit-feeding holothurians can effectively scavenge such particulate wastes and plays an ecological role of bioremediation. In the present study, a diet containing 75% biodeposits and 25% powdered algae was prepared to simulate the common mixture of the organic self-pollutant from the bivalve-macroalgae culture system. Furthermore, carbon and nitrogen budgets of the sea cucumber Apostichopus japonicus fed on the diet were modeled at six seawater temperatures (5, 10, 15, 20, 25 and 30 degrees C), and the influence of temperatures on the scavenging efficiencies for carbon and nitrogen (SEC, SEN) were assessed. The results showed that the temperature had a significant impact on the physio-ecological parameters (rates of ingestion, defecation, growth, respiration and excretion) and further affected the carbon and nitrogen budgets. The established budgets (except 30 degrees C) showed that the carbon loss in feces accounted for the majority of the ingested carbon (61.9-73.2%), and the nitrogen loss in feces and in excretion had similar percentages (42.6-83.6% and 42.9-61.2%, respectively). Meanwhile, the percentage of the ingested carbon or nitrogen allocated to growth increased, but that allocated to respiration carbon or excretion nitrogen decreased, with temperatures increasing from 5 degrees C to 15 degrees C; by contrast, the allocation patterns was exact opposite from 15 degrees C to 25 degrees C. At 30 degrees C, no carbon or nitrogen was ingested or defecated due to aestivation. The SEC and SEN at different temperatures were 0.0-38.5 mg C g(-1) d(-1) and 0.0-6.7 mg N g(-1) d(-1), respectively. A trend was observed that SEC and SEN peaked at 15 degrees C and decreased above and below this temperature; moreover, the SEC and SEN decreased to zero when temperature increased to 30 degrees C. Our study suggests that the scavenging capacity of A. japonicus on the organic pollutant from the raft polyculture is greatly influenced by the ambient water temperature, and the regression equations between SEC or SEN and the temperature (T) yield as SEC = 0.7639 T-3 - 11.886 T-2 + 48.745 T - 30.316 and SEN = 0.2324 T-3 - 3.0212 T-2 + 10.869 T - 6.760. Crown Copyright (C) 2013 Published by Elsevier B.V. All rights reserved.</t>
  </si>
  <si>
    <t>[Yuan, Xiutang; Meng, Leiming; Wang, Lili; Li, Yan] State Ocean Adm, Natl Marine Environm Monitoring Ctr, Dalian 116023, Peoples R China; [Yuan, Xiutang; Yang, Hongsheng] Chinese Acad Sci, Inst Oceanol, Qingdao 266071, Peoples R China</t>
  </si>
  <si>
    <t>National Marine Environmental Monitoring Center; Chinese Academy of Sciences; Institute of Oceanology, CAS</t>
  </si>
  <si>
    <t>Yang, HS (corresponding author), Chinese Acad Sci, Inst Oceanol, Qingdao 266071, Peoples R China.</t>
  </si>
  <si>
    <t>xtyuan@nmemc.gov.cn; hshyang@ms.qdio.ac.cn</t>
  </si>
  <si>
    <t>Zhang, Lanyue/JNS-8209-2023; Yuan, Xiutang/KIB-3491-2024</t>
  </si>
  <si>
    <t>National Natural Science Foundation of China [30871932]; National Marine Public Welfare Research Project [201305043/200805069]</t>
  </si>
  <si>
    <t>National Natural Science Foundation of China(National Natural Science Foundation of China (NSFC)); National Marine Public Welfare Research Project</t>
  </si>
  <si>
    <t>This study was funded by the National Natural Science Foundation of China (No. 30871932), National Marine Public Welfare Research Project (Nos. 201305043/200805069). We would like to thank Martin J. Booth for English grammar improvement and three anonymous reviewers for constructive suggestions on this manuscript.</t>
  </si>
  <si>
    <t>AUG 25</t>
  </si>
  <si>
    <t>10.1016/j.aquaculture.2013.05.009</t>
  </si>
  <si>
    <t>190CV</t>
  </si>
  <si>
    <t>WOS:000322316400013</t>
  </si>
  <si>
    <t>Kapranova, LL; Ryabushko, VI; Kapranov, SV</t>
  </si>
  <si>
    <t>Kapranova, L. L.; Ryabushko, V. I.; Kapranov, S. V.</t>
  </si>
  <si>
    <t>Analysis of the Elemental Composition of Gonads, Gametes and Larvae of the Mussel Mytilus galloprovincialis in the Spawning Period</t>
  </si>
  <si>
    <t>mussel Mytilus galloprovincialis; gonads; sperm; eggs; larvae; elements; Black Sea</t>
  </si>
  <si>
    <t>HEAVY-METALS; MARINE MUSSEL; EDULIS L; COPPER; SPERM; MOLLUSK; RESPIRATION; EMBRYOS; BLACK; ZINC</t>
  </si>
  <si>
    <t>In this work, we studied the elemental composition of gonads,eggs, sperm and larvae of the mussel Mytilusgalloprovincialis during spawning, when the contentsof biologically active compounds and minerals are maximal. A comparativeanalysis of the contents showed that the elements are involved inthe mussel gametogenesis in different pathways. There were significant differencesin the contents of Li, B, Mg, Si, P, K, Ca, V, Cr, Mn, Fe, Co, Ni,Zn, Ge, As, Se, Br, Rb, Sr, Mo, Pd, Sn, I, Ba and Ce in male andfemale gonads before and after spawning, gametes and larvae of mussels.It is likely that some of the listed elements are not only passivelyaccumulated in the mollusk body, but are also essential, being directlyinvolved in the reproduction process. Most of significant differencesin the element contents were found between eggs and larvae and betweenmale gonads before spawning and sperm. By spawning, mussel gonadsaccumulated mainly p- and d-elements, apparently due to the abilityof their ions to form complexes and, consequently, to be includedin the structure of enzymes. The contents of B, Mg, Si, P, K, Ca,Cr, Mn, Fe, Cu, Zn, As, Se, Br, Sr and Ba in male and female gonads,gametes and larvae were an order or several orders of magnitudehigher than those of other elements. The contents of Ca, Fe, Sr,Sn and I in mussel larvae were significantly higher than in gonadsand gametes. Sn is a technological hydropollutant, and thus, larvaecan serve as a bioindicator of the aquatic environment pollutionwith this element. The data obtained are of practical interest forimproving the biotechnology of reproduction of marine hydrobiontsand obtaining functional products based on them, which is importantfor the optimization of aquaculture management and for addressing humanhealth-related issues.</t>
  </si>
  <si>
    <t>[Kapranova, L. L.; Ryabushko, V. I.; Kapranov, S. V.] RAS, Kovalevsky Inst Biol Southern Seas, Sevastopol, Russia</t>
  </si>
  <si>
    <t>Russian Academy of Sciences; AO Kovalevsky Institute of Biology of the Southern Seas of RAS (IBSS)</t>
  </si>
  <si>
    <t>Kapranova, LL (corresponding author), RAS, Kovalevsky Inst Biol Southern Seas, Sevastopol, Russia.</t>
  </si>
  <si>
    <t>lar_sa1980@mail.ru</t>
  </si>
  <si>
    <t>Kapranova, Larisa/ABB-6462-2020; Kapranov, Sergey/Z-1471-2018</t>
  </si>
  <si>
    <t>Kapranov, Sergey/0000-0001-5614-065X</t>
  </si>
  <si>
    <t>10.1134/S0022093023020187</t>
  </si>
  <si>
    <t>F0QU8</t>
  </si>
  <si>
    <t>WOS:000979487900018</t>
  </si>
  <si>
    <t>Mitric, M; Ramsak, A</t>
  </si>
  <si>
    <t>Mitric, Milena; Ramsak, Andreja</t>
  </si>
  <si>
    <t>Sampling Site Specific Biomarker Responses in Mediterranean Mussels from the Adriatic Sea</t>
  </si>
  <si>
    <t>Pollution; Biomarkers; Health status; Mytilus galloprovincialis; Adriatic Sea</t>
  </si>
  <si>
    <t>This study aims to explore the spatial and temporal patterns in biomarker responses during early spring and late summer in Mytilus galloprovincialis using samples from two Adriatic Sea ecosystems between 2009 and 2012. The condition index was higher in September at all sampling sites and suggests that mussels can store energy during summer for wintertime spawning and survival through the winter. Over the entire study period, higher values of metallothioneins indicated sites with higher levels of heavy metals (Boka Kotorska Bay), while acetylcholine esterase activity was inhibited at the Gulf of Trieste. Genotoxicity was similar among sampling sites. We summarized biomarker responses in a stress index, IBRv2, and found that sampling sites in the Gulf of Trieste had lower stress levels while the highest stress levels were detected in the Boka Kotorska Bay.</t>
  </si>
  <si>
    <t>[Mitric, Milena] Univ Montenegro, Inst Marine Biol, POB 69, Kotor 85330, Montenegro; [Ramsak, Andreja] Natl Inst Biol, Marine Biol Stn Piran, Fornace 41, Piran 6330, Slovenia</t>
  </si>
  <si>
    <t>University of Montenegro; National Institute of Biology - Slovenia</t>
  </si>
  <si>
    <t>Ramsak, A (corresponding author), Natl Inst Biol, Marine Biol Stn Piran, Fornace 41, Piran 6330, Slovenia.</t>
  </si>
  <si>
    <t>Ramsak, Andreja/0000-0003-1961-5120</t>
  </si>
  <si>
    <t>Slovenian Research Agency [P1-0237, BI-ME/10-11-7]</t>
  </si>
  <si>
    <t>Slovenian Research Agency(Slovenian Research Agency - Slovenia)</t>
  </si>
  <si>
    <t>The authors acknowledge the project (Dynamics of Northern and Southern Adriatic Sea in relation to pollutants spreading and response of biomarkers, agreement BI-ME/10-11-7) and research core funding No. P1-0237 Coastal Sea Research was financially supported by the Slovenian Research Agency.</t>
  </si>
  <si>
    <t>10.1007/s00128-020-03083-6</t>
  </si>
  <si>
    <t>QH9SI</t>
  </si>
  <si>
    <t>WOS:000607371800001</t>
  </si>
  <si>
    <t>Guendouzi, Y; Soualili, DL; Fowler, SW; Boulahdid, M</t>
  </si>
  <si>
    <t>Guendouzi, Yassine; Soualili, Dina Lila; Fowler, Scott W.; Boulahdid, Mostefa</t>
  </si>
  <si>
    <t>Environmental and human health risk assessment of trace metals in the mussel ecosystem from the Southwestern Mediterranean</t>
  </si>
  <si>
    <t>Mytilus galloprovincialis; Environmental monitoring; Metal bioavailability; Bioconcentration factor; Health risk assessment</t>
  </si>
  <si>
    <t>MYTILUS-GALLOPROVINCIALIS; SUSPENDED MATTER; HEAVY-METALS; SEDIMENTS; PB; CONTAMINATION; POLLUTION; SEAWATER; CD; ELEMENTS</t>
  </si>
  <si>
    <t>This study evaluates the geographical distribution of Pb, Cd, Cr, Ni, Co, Cu, Zn, Mn and Fe in wild mussels Mytilus galloprovincialis as well as in associated suspended particulate matter (SPM) and sediments from the Algerian coast. The bio-accumulation (metal concentrations in tissue), bioavailability (metal indices) and bioconcentration of trace metals from the adjacent environment were assessed. The computed pollution load index (PLI) indicates that the sediments are not polluted by these metals, except for Zn which shows a moderate level of contamination. All the metals in SPM samples are in a 'safe range' with respect to the computed degree of contamination (DC &lt; 2). The target hazard quotients (THQ) and the hazard index (HI) values indicate a risk level with Fe. However, the Cr measured in mussels is considered 'extreme', according to the consumption rate limit for mussels (CRlim) which limits their consumption to 0.5 kg/day.</t>
  </si>
  <si>
    <t>[Guendouzi, Yassine] Tipaza Univ Ctr, Sci Inst, Dept Nat Sci &amp; Life, Ouade Merzouk 42000, Tipaza, Algeria; [Soualili, Dina Lila] Abdelhamid Ibn Badis Univ, Fac Nat Sci &amp; Life, Dept Marine Sci &amp; Aquaculture, POB 300, Mostaganem 27000, Algeria; [Fowler, Scott W.] SUNY Stony Brook, Sch Marine &amp; Atmospher Sci, Stony Brook, NY 11794 USA; [Boulahdid, Mostefa] Natl Sch Marine Sci &amp; Coastal Management, POB 19,Univ Campus, Dely Ibrahim 16320, Algeria; [Fowler, Scott W.] Inst Bobby, 8 Allele Orangers, F-06320 Cap Dail, France</t>
  </si>
  <si>
    <t>Universite Abdelhamid Ibn Badis de Mostaganem; State University of New York (SUNY) System; State University of New York (SUNY) Stony Brook</t>
  </si>
  <si>
    <t>Guendouzi, Y (corresponding author), Tipaza Univ Ctr, Sci Inst, Dept Nat Sci &amp; Life, Ouade Merzouk 42000, Tipaza, Algeria.</t>
  </si>
  <si>
    <t>guendouzi.yacine@cu-tipaza.dz</t>
  </si>
  <si>
    <t>10.1016/j.marpolbul.2019.110820</t>
  </si>
  <si>
    <t>KN3RQ</t>
  </si>
  <si>
    <t>WOS:000514758400071</t>
  </si>
  <si>
    <t>Dobosy, P; Almeshal, W; Illés, A; Tserendorj, D; Sandil, S; Kovács, Z; Endrédi, A; Záray, G</t>
  </si>
  <si>
    <t>Dobosy, Peter; Almeshal, Wael; Illes, Adam; Tserendorj, Davaakhuu; Sandil, Sirat; Kovacs, Zsofia; Endredi, Anett; Zaray, Gyula</t>
  </si>
  <si>
    <t>Particle-based nutrients and metal contaminants in the habitat of Unionidae mussels in the Tisza River (Hungary)</t>
  </si>
  <si>
    <t>FRONTIERS IN ENVIRONMENTAL SCIENCE</t>
  </si>
  <si>
    <t>riverine sediment; mussels; habitat; nutrients; metal contaminants</t>
  </si>
  <si>
    <t>FRESH-WATER MUSSELS; ORGANIC-MATTER; HEAVY-METALS; SURFACE SEDIMENTS; SUSPENDED-SOLIDS; PARTICULATE; QUALITY; CARBON; POLLUTANTS; FILTRATION</t>
  </si>
  <si>
    <t>Introduction: Unioniade is a species-rich family of freshwater mussels with an almost worldwide distribution. In Central European rivers Unio crassus, Unio tumidus and Unio pictorum have relatively high populations. In order to characterize the habitats of these suspension feeders, their nutrient supply and potential metal contaminants were investigated in near-bottom suspended (NBS) sediments and bottom sediments (BS) collected at four sampling locations along the Tisza River. Methods: The grain size distribution of sediments was determined by laser-diffraction technique. The total organic carbon (TOC) and the total Kjeldahl nitrogen (TN) were measured by a TOC analyzer and automated colorimetry, respectively. The phosphorous and metal concentrations were determined by inductively coupled plasma mass spectrometry following a microwave assisted acidic extraction of sediments with aqua regia. Results: The NBS sediments contained smaller grains than the BS samples, with roughly 85%-90% of the particles being less than 60 mu m, allowing these mussels to catch them. Contrarily, only 2.47%-51.8% of BS samples were less than 60 mu m. The NBS sediments contained 30, 23, and 15% more organic carbon, nitrogen, and phosphorous, respectively, than the BS samples. The rounded C:N:P molar ratios in the NBS sediments were 60:4:1, whereas they were 45:3:1 in the bottom sediments. The concentration of metals was also greater in the NBS sediments with the exception of Zn at Tokaj and Fe, Al, Mn, and Cr at Szeged, where prior contaminations transported by the tributaries Bodrog and Maros are stored in the top 10 cm of BS. Discussion: On basis of the measured C:N:P molar ratios it can be stated that soil-derived organic materials are the main sources of the nutrient elements in the habitats of suspension feeders in the Tisza River. The finer NBS sediments have higher specific surface area than the BS and thereby contain more biofilms on the grains resulting in higher proportion of organic nutrients and metal ions bounded as complexes or chelates. Comparing the measured metal concentrations of sediments with the concentration limits summarized in the Consensus-Based Sediment Quality Guidelines developed for evaluation of potential risk of metal contaminants in sediments for the benthic-dwelling organisms, it can be established that only the Hg concentration exceeded the probable effect concentration.</t>
  </si>
  <si>
    <t>[Dobosy, Peter; Illes, Adam; Tserendorj, Davaakhuu; Sandil, Sirat; Endredi, Anett; Zaray, Gyula] Inst Aquat Ecol, Ctr Ecol Res, Budapest, Hungary; [Dobosy, Peter; Illes, Adam; Sandil, Sirat] Natl Lab Water Sci &amp; Water Secur, Inst Aquat Ecol, Ctr Ecol Res, Budapest, Hungary; [Almeshal, Wael] Eotvos Lorand Univ, Doctoral Sch Environm Sci, Budapest, Hungary; [Kovacs, Zsofia] Univ Pannonia, Fac Engn, Veszprem, Hungary</t>
  </si>
  <si>
    <t>Hungarian Academy of Sciences; Hungarian Research Network; HUN-REN Centre for Ecological Research; Hungarian Academy of Sciences; Hungarian Research Network; HUN-REN Centre for Ecological Research; Eotvos Lorand University; University of Pannonia</t>
  </si>
  <si>
    <t>Záray, G (corresponding author), Inst Aquat Ecol, Ctr Ecol Res, Budapest, Hungary.</t>
  </si>
  <si>
    <t>zaray.gyula@ecolres.hu</t>
  </si>
  <si>
    <t>Endrédi, Anett/D-4484-2018; Sandil, Sirat/IAQ-5957-2023</t>
  </si>
  <si>
    <t>Economic Development and Innovation Operational Program [GINOP-2.2.1-15-2017-00070]; Szechenyi Plan Plus program [RRF 2.3.1 21 2022 00008]</t>
  </si>
  <si>
    <t>Economic Development and Innovation Operational Program; Szechenyi Plan Plus program</t>
  </si>
  <si>
    <t>This research was supported by the Economic Development and Innovation Operational Program (Grant No. GINOP-2.2.1-15-2017-00070). The research presented in the article was carried out within the framework of the Szechenyi Plan Plus program with the support of the RRF 2.3.1 21 2022 00008 project.</t>
  </si>
  <si>
    <t>2296-665X</t>
  </si>
  <si>
    <t>FRONT ENV SCI-SWITZ</t>
  </si>
  <si>
    <t>Front. Environ. Sci.</t>
  </si>
  <si>
    <t>10.3389/fenvs.2023.1209118</t>
  </si>
  <si>
    <t>L2KF8</t>
  </si>
  <si>
    <t>WOS:001021591800001</t>
  </si>
  <si>
    <t>Goulletquer, P; Wolowicz, M; Latala, A; Brown, C; Cragg, S</t>
  </si>
  <si>
    <t>Application of a micro-respirometric volumetric method to respiratory measurements of larvae of the Pacific oyster Crassostrea gigas</t>
  </si>
  <si>
    <t>respiratory rate; metabolism; larvae; volumetric micro-respirometry; CCA; leachate; Crassostrea gigas</t>
  </si>
  <si>
    <t>MARINE INVERTEBRATE EMBRYOS; OXYGEN-CONSUMPTION; PHYSIOLOGICAL ENERGETICS; OSTREA-EDULIS; GROWTH; METABOLISM; SCALLOP; RATES; MODEL</t>
  </si>
  <si>
    <t>The application of a simple, fast and reliable volumetric microrespirometric method to assess respiration of bivalve larvae is discussed. As a model, C. gigas larvae of various sizes were used. Metabolic activity of veliger larvae was assessed by measuring respiratory rate for use in ecophysiological modelling. As an example of the application of this approach, additional measurements of veliger respiratory rates were carried out to assess the effect on larval metabolism of different concentrations of leachate from wood treated with chromated copper-arsenate (CCA). Veligers of Crassostrea gigas (length from 95 to 331 pm) were fed with a mixture of Isochrysis galbana) and Chaetoceros pumilum cells. Experiments were performed in a 20 degreesC constant seawater temperature. The wet and dry weight of four length (L in pm) classes of larvae were obtained from which the relationship between total dry weight and veliger length was derived {DW = e((3.27+Lx0.0154))} (R-2 = 99%). Moreover, tissue dry weight (TDW; in ng) was calculated according to Gerdes (1983). Since the mathematical model between larval length and respiratory rate explained 88% of the total variability. a more conservative approach using oyster larval dry meat weight (in ng) and respiratory rate (in mu\O-2 h(-1)) was developed to establish a linear model explaining 94.5% of the variability: Resp. = -3.849 x 10(-4) + 5.211 X 10(-6) X TDW. These experiments provided updated figures of C gigas larval respiratory rates for use in ecophysiological models. The relationship between tissue dry weight and respiratory rate was close to previous estimates obtained by Gerdes (1983) and Hoegh-Guldberg and Manahan (1995) at 25 degreesC and 20 degreesC respectively. Our experiments demonstrate that volumetric microrespirometry is suitable for assessing larval respiratory rate and therefore can be used to assess impacts Of Pollutants on an early larval stage. Oysters exposed to leachates from chromated copper arsenate (CCA) treated timber at 5 kg m(-3) showed initially highly variable respitory rates while those rates decreased drasctically for a 15 kg m(-3) CCA treatment exposure. Among bioindicators using physiological response to assess pollutant effects, swimming activity and respiratory rates can be compared, the later showing a significant response at a lower pollutant concentration.</t>
  </si>
  <si>
    <t>IFREMER, Genet Aquaculture &amp; Pathol Res Lab, F-17390 Ronce Les Bains, France; Univ Gdansk, Inst Oceanog, Dept Marine Ecosyst Funct, PL-81378 Gdynia, Poland; Scottish Assoc Marine Sci, Dunstaffnage Marine Lab, Oban PA37 1QA, Argyll, Scotland; Univ Portsmouth, Inst Marine Sci, Sch Biol Sci, Portsmouth PO4 9LY, Hants, England</t>
  </si>
  <si>
    <t>Ifremer; Fahrenheit Universities; University of Gdansk; University of the Highlands &amp; Islands; University of Portsmouth</t>
  </si>
  <si>
    <t>IFREMER, Genet Aquaculture &amp; Pathol Res Lab, BP 133, F-17390 Ronce Les Bains, France.</t>
  </si>
  <si>
    <t>Philippe.Goulletquer@ifremer.fr</t>
  </si>
  <si>
    <t>Brown, Craig/N-7364-2013; Cragg, Simon/C-8463-2011</t>
  </si>
  <si>
    <t>Cragg, Simon/0000-0003-1082-7653; Brown, Craig/0000-0002-5125-978X; GOULLETQUER, PHILIPPE/0000-0002-3407-0520; Latala, Adam/0000-0001-7241-2213</t>
  </si>
  <si>
    <t>10.1051/alr:2004018</t>
  </si>
  <si>
    <t>836XZ</t>
  </si>
  <si>
    <t>WOS:000222591000012</t>
  </si>
  <si>
    <t>Vermeulen, LA; Wepener, V</t>
  </si>
  <si>
    <t>Spatial and temporal variations of metals in Richards Bay Harbour (RBH), South Africa</t>
  </si>
  <si>
    <t>Little data are available on the level of metals in biotic and abiotic components at Richards Bay Harbour (RBH). The most recent records are from a survey done around the time of the construction of the harbour in 1976. Industrial and human activities in and around this area have increased dramatically in the last 20 years, the impact of which remains unknown. The aim of this study is to establish spatial and temporal variations in metals in RBH through a seasonal biomonitoring programme. Biotic (mussels and fish) and abiotic (sediments and water) samples were collected from each of the eleven sites on a seasonal basis. Samples were wet digested using a two to one ratio of nitric to perchloric acid. Samples were filtered and analysed for aluminium, chromium and iran using a Varian SpectrAA 50B spectrophotometer. Aluminium, chromium and iron concentrations in water, sediments and biota showed spatial and temporal variations. Concentrations of iron in sediment samples were found to be higher than concentrations recorded in previous studies. (C) 1999 Elsevier Science Ltd. All rights reserved.</t>
  </si>
  <si>
    <t>Univ Zululand, Coastal Res Unit Zululand, ZA-3886 Kwa Dlangezwa, South Africa</t>
  </si>
  <si>
    <t>University of Zululand</t>
  </si>
  <si>
    <t>Univ Zululand, Coastal Res Unit Zululand, Private Bag X1001, ZA-3886 Kwa Dlangezwa, South Africa.</t>
  </si>
  <si>
    <t>Wepener, Victor/S-8421-2019</t>
  </si>
  <si>
    <t>10.1016/S0025-326X(99)00083-1</t>
  </si>
  <si>
    <t>WOS:000083356500043</t>
  </si>
  <si>
    <t>Cross, I; Merlo, MA; Rodríguez, ME; Portela-Bens, S; Rebordinos, L</t>
  </si>
  <si>
    <t>Cross, Ismael; Merlo, Manuel A.; Rodriguez, Maria E.; Portela-Bens, Silvia; Rebordinos, Laureana</t>
  </si>
  <si>
    <t>Adaptation to abiotic stress in the oyster Crassostrea angulata relays on genetic polymorphisms</t>
  </si>
  <si>
    <t>Oysters; Crassostrea gigas; Crassostrea angulata; Genome adaptations; Genome SNPs</t>
  </si>
  <si>
    <t>IMMUNE-RESPONSE; PACIFIC OYSTER; CUPPED OYSTER; GROWTH; CONTAMINATION; GIGAS; METALS; GENOME; OSTREIDAE; SURVIVAL</t>
  </si>
  <si>
    <t>Here we describe the whole genome re-sequencing of the Portuguese oyster Crassostrea angulata, an edible cupped oyster of major commercial importance with an important role as biosensor of coastal water pollution. We sequenced the genome of the C angulata to 29.3-fold coverage using ABI SOLID system. Comparisons of the sequences with the reference assembly of the Pacific oyster (Crassostrea gigas), yielded 129 million SNPs, 151,620 from which were located in 20,908 genes from the C gigas database. The analysis of Gene Ontology (GO) terms associated with gene regions containing SNPs, revealed that significant GO terms showing differences between the two oyster species, were related to activities of response to stress caused both by drying and by metal contamination. In the Biological Process domain, the GO terms ion transport, phosphorylation and proteolysis processes, among others, showed many polymorphic genes in C angulata. These processes are related to combating genotoxic and hypo-osmotic stress in the oyster. It is noteworthy that more than 200 polymorphic genes were associated with DNA repair processes. These results reveal that most of the gene polymorphisms observed in C. angulata are associated with processes related to genome adaptation to abiotic stress in estuarine regions and support that genetic polymorphisms may be the base to the observed ability of C angulata to retain the phenomenally high concentrations of toxic heavy metals. Our results also provide the framework for future investigations to establish the molecular basis of phenotypic variation of adaptive traits and should contribute to the management of the species' genetic resources. (C) 2014 Elsevier Ltd. All rights reserved.</t>
  </si>
  <si>
    <t>[Cross, Ismael; Merlo, Manuel A.; Rodriguez, Maria E.; Portela-Bens, Silvia; Rebordinos, Laureana] Univ Cadiz, Fac Marine &amp; Environm Sci, Genet Lab, CACYTMAR, Cadiz 11510, Spain</t>
  </si>
  <si>
    <t>Rebordinos, L (corresponding author), Univ Cadiz, Fac Marine &amp; Environm Sci, Genet Lab, CACYTMAR, Campus Rio San Pedro, Cadiz 11510, Spain.</t>
  </si>
  <si>
    <t>ismael.cross@uca.es; alejandro.merlo@uca.es; mariaesther.rodriguez@uca.es; silvia.portela@uca.es; laureana.rebordinos@uca.es</t>
  </si>
  <si>
    <t>Portela Bens, Silvia/K-2209-2014; Merlo Torres, Manuel Alejandro/K-1203-2014; Cross, Ismael/K-1674-2014; Rodriguez, Maria Esther/K-7672-2017; REBORDINOS, LAUREANA/K-1327-2014</t>
  </si>
  <si>
    <t>Portela Bens, Silvia/0000-0001-5269-2182; Merlo Torres, Manuel Alejandro/0000-0002-5049-5481; Cross, Ismael/0000-0002-2291-5629; Rodriguez, Maria Esther/0000-0002-4475-2170; REBORDINOS, LAUREANA/0000-0001-6255-9449</t>
  </si>
  <si>
    <t>AQUAGENET project [SOE2/P1/E287]; INTERREG IVB SUDOE program; Junta de Andalucia (Spain)</t>
  </si>
  <si>
    <t>AQUAGENET project; INTERREG IVB SUDOE program; Junta de Andalucia (Spain)(Junta de Andalucia)</t>
  </si>
  <si>
    <t>This study has been supported by the AQUAGENET project (SOE2/P1/E287), INTERREG IVB SUDOE program and by grants from the Junta de Andalucia (Spain) to the PAI BIO-219 group. The authors wish to thank to the Head of Bioinformatic Department in the GeneSystems Company, Juan Carlos Trivino, for his advice in the bioinformatic treatment of the data and Frederico Baptista from the IPMA (Portugal) for providing us the samples for the study.</t>
  </si>
  <si>
    <t>10.1016/j.fsi.2014.10.011</t>
  </si>
  <si>
    <t>AX6FB</t>
  </si>
  <si>
    <t>WOS:000347017500060</t>
  </si>
  <si>
    <t>Richir, J; Gobert, S</t>
  </si>
  <si>
    <t>Richir, J.; Gobert, S.</t>
  </si>
  <si>
    <t>A reassessment of the use of Posidonia oceanica and Mytilus galloprovincialis to biomonitor the coastal pollution of trace elements: New tools and tips</t>
  </si>
  <si>
    <t>Posidonia oceanica; Mytilus galloprovincialis; Mediterranean; Trace Element Spatial Variation Index; Trace Element Pollution Index; Bioaccumulation behaviour</t>
  </si>
  <si>
    <t>METAL CONTAMINATION; HEAVY-METALS; L. DELILE; LEPIDOCHRONOLOGICAL ANALYSIS; CHEMICAL CONTAMINATION; CARBONATE SEDIMENTS; MARINE-ENVIRONMENT; SEAGRASS; MUSSELS; WATER</t>
  </si>
  <si>
    <t>The present study gives a summary using state-of-the-art technology to monitor Posidonia oceanica and Mytilus galloprovincialis as bioindicators of the pollution of the Mediterranean littoral with trace elements (TEs), and discusses their complementarity and specificities in terms of TE bioaccumulation. Furthermore, this study presents two complementary indices, the Trace Element Spatial Variation Index (TESVI) and the Trace Element Pollution Index (TEPI): these indices were shown to be relevant monitoring tools since they led to the ordering of TEs according to the overall spatial variability of their environmental levels (TESVI) and to the relevant comparison of the global TE pollution between monitored sites (TEPI). In addition, this study also discusses some underestimated aspects of P. oceanica and M. galloprovincialis bioaccumulation behaviour, with regard to their life style and ecophysiology. It finally points out the necessity of developing consensual protocols between monitoring surveys in order to publish reliable and comparable results. (C) 2014 Elsevier Ltd. All rights reserved.</t>
  </si>
  <si>
    <t>[Richir, J.; Gobert, S.] Univ Liege, MARE Ctr, Lab Oceanol, B-4000 Sort Tilman, Belgium</t>
  </si>
  <si>
    <t>University of Liege</t>
  </si>
  <si>
    <t>Richir, J (corresponding author), Univ Liege, MARE Ctr, Lab Oceanol, B6C, B-4000 Sort Tilman, Belgium.</t>
  </si>
  <si>
    <t>jonathan.richir@alumni.ulg.ac.be</t>
  </si>
  <si>
    <t>Richir, Jonathan/AAB-1982-2021</t>
  </si>
  <si>
    <t>University of Liege (Fonds speciaux); FRS-FNRS (FRFC) [2.4.502.08]; French Community of Belgium (ARC Race) [05/10-333]; Territorial Collectivity of Corsica; French Water Agency (PACA-Corsica)</t>
  </si>
  <si>
    <t>University of Liege (Fonds speciaux)(University of Liege); FRS-FNRS (FRFC)(Fonds de la Recherche Scientifique - FNRS); French Community of Belgium (ARC Race); Territorial Collectivity of Corsica(Region Corse); French Water Agency (PACA-Corsica)</t>
  </si>
  <si>
    <t>Funding was provided by the University of Liege (Fonds speciaux), by the FRS-FNRS (FRFC 2.4.502.08) and by the French Community of Belgium (ARC Race 05/10-333). This study is part of the STARECAPMED (STAtion of Reference and rEsearch on Change of local and global Anthropogenic Pressures on Mediterranean Ecosystems Drifts) project funded by the Territorial Collectivity of Corsica and by The French Water Agency (PACA-Corsica). Authors are grateful to the Ifremer Center of Toulon, in particular to Dr. S. Sartoretto, and to the STARESO for facilities and field assistance, and to Mr. B. Pantalacci, manager of the shellfish farm SARL Etang de Diane, and his employees who furnished mussel ropes. Authors are also grateful to N. Luy, P. Serpe, L. Lefebvre, M. Roland, M. Fassin and A. Deraikem who processed samples during their master thesis, to R. Biondo who performed ICP-MS analyses, to an anonymous Reviewer for its valuable comments on an earlier version of the manuscript and to Dr. A. Ford who improved the language of the manuscript. This publication has the MARE publication number MARE270.</t>
  </si>
  <si>
    <t>10.1016/j.marpolbul.2014.08.030</t>
  </si>
  <si>
    <t>WOS:000347494700059</t>
  </si>
  <si>
    <t>May, C; Williams, ID; Hudson, MD; Osborne, PE; Restrepo, LZ</t>
  </si>
  <si>
    <t>May, C.; Williams, I. D.; Hudson, M. D.; Osborne, P. E.; Restrepo, L. Zapata</t>
  </si>
  <si>
    <t>The Solent Strait: Water quality trends within a heavily trafficked marine environment, 2000 to 2020</t>
  </si>
  <si>
    <t>Marine water quality; Pollution; Scrubber; Shipping; Exhaust gas cleaning system</t>
  </si>
  <si>
    <t>POLYCYCLIC AROMATIC-HYDROCARBONS; MUSSEL MYTILUS-EDULIS; OCEAN ACIDIFICATION; SOUTHAMPTON WATER; CARCINUS-MAENAS; ZINC; ACCUMULATION; ESTUARY; ORGANISMS; DISCHARGE</t>
  </si>
  <si>
    <t>This study presents an important long-term historical analysis of water quality in an internationally crucial waterway (the Solent, Hampshire, UK), in the context of increasing adoption of open-loop Exhaust Gas Cleaning Systems by shipping. The pollutants studied were acidification (pH), zinc, and benzo [a] pyrene, alongside temperature. We compared baseline sites to locations likely to be impacted by pollution. The Solent's average water temperature is slightly increasing, with temperatures at wastewater sites significantly higher. Acidification suggests a complex story, with a highly significant small overall increase in pH during the study period but significantly different values at wastewater and port sites. Zn concentrations have significantly reduced but increased in enclosed waters such as marinas. BaP showed no long-term trend with values at marinas signifi-cantly and consistently higher. The findings provide valuable long-term background data and insights that can feed into the upcoming review of the European Union's Marine Strategy Framework Directive and ongoing discussions about the regulation of, and future monitoring and management strategies for coastal/marine waterways.</t>
  </si>
  <si>
    <t>[May, C.; Hudson, M. D.; Osborne, P. E.] Univ Southampton, Fac Environm &amp; Life Sci, Sch Geog &amp; Environm Sci, Highfield Campus, Southampton SO17 1BJ, England; [Williams, I. D.; Restrepo, L. Zapata] Univ Southampton, Fac Engn &amp; Phys Sci, Sch Engn, Highfield Campus, Southampton SO17 1BJ, England</t>
  </si>
  <si>
    <t>University of Southampton; University of Southampton</t>
  </si>
  <si>
    <t>Williams, ID (corresponding author), Univ Southampton, Fac Engn &amp; Phys Sci, Sch Engn, Highfield Campus, Southampton SO17 1BJ, England.</t>
  </si>
  <si>
    <t>idw@soton.ac.uk</t>
  </si>
  <si>
    <t>Osborne, Patrick E./0000-0001-8919-5710</t>
  </si>
  <si>
    <t>European Union [874990]</t>
  </si>
  <si>
    <t>European Union(European Union (EU))</t>
  </si>
  <si>
    <t>This paper has been produced as part of the European Union project EMERGE: Evaluation, control and Mitigation of the EnviRonmental impacts of shippinG Emissions (referred to as EMERGE) . The EMERGE project has received funding from the European Union's Horizon 2020 Programme Research and Innovation action under grant agreement No 874990. We are grateful to colleagues from the United Kingdom Environment Agency's Water Quality Information Monitoring System for provision of data.</t>
  </si>
  <si>
    <t>10.1016/j.marpolbul.2023.115251</t>
  </si>
  <si>
    <t>O1RD0</t>
  </si>
  <si>
    <t>WOS:001041651700001</t>
  </si>
  <si>
    <t>Campillo, JA; Sevilla, A; González-Fernández, C; Bellas, J; Bernal, C; Cánovas, M; Albentosa, M</t>
  </si>
  <si>
    <t>Campillo, Juan A.; Sevilla, Angel; Gonzalez-Fernandez, Carmen; Bellas, Juan; Bernal, Cristina; Canovas, Manuel; Albentosa, Marina</t>
  </si>
  <si>
    <t>Metabolomic responses of mussel Mytilus galloprovincialis to fluoranthene exposure under different nutritive conditions</t>
  </si>
  <si>
    <t>Metabolomics; Nutritive stress; Mussel; Pollution; PAHs</t>
  </si>
  <si>
    <t>CLAM RUDITAPES-PHILIPPINARUM; LAGOON MAR MENOR; OXIDATIVE-STRESS; ANTIOXIDANT DEFENSES; POWERFUL APPROACH; POLLUTION; BIOMARKERS; STARVATION; TAURINE; OIL</t>
  </si>
  <si>
    <t>Biomarkers are useful tools to assess biological effects of pollutants that are extensively used in monitoring programs to assess ecosystem health. However, they are strongly affected by mussel physiological state, especially nutritive status, which has led to the search of new biological indicators of chemical pollutants exposition. Environmental metabolomics is an approach for examining the metabolic responses (measurement of low molecular weight endogenous metabolites) of an organism to both natural and anthropogenic stressors that can occur in its environment. The aim of the present work was to assess the effect of the polycyclic aromatic hydrocarbon fluoranthene (FLU) exposure on the metabolomic profiles of mussel digestive glands under different nutritive conditions. To achieve this objective, mussels were reared, for a period of 56 days, under three different food rations in order to obtain a gradient of nutritive status (negative, zero and positive energy balance), and after that, they were exposed, during 3 weeks, to a nominal concentration of 3 mu g FLU L-1. A total of 43 metabolites, including aminoacids (Ala, Val, Leu, Ile, etc.), energy metabolism related metabolites (ATP, AMP, etc.), organic osmolytes (taurine, etc.), redox metabolism (GSH, NADP +) and nucleotides, were identified and quantified in the digestive glands of the mussels. Principal Component Analysis (PCA) defined two principal components (PC1 and PC2) that explained 55.6% of the total variance, although the first component explains more than 80% of this variance, this being related to the mussel nutritive condition. The effect of the toxicant, explained by the PC2, is similar to that produced under conditions of food restriction, which masks the effect of the toxicant under these conditions. As the feeding conditions are more favorable, the toxic effect becomes more apparent. Therefore, the great influence of nutritive condition on mussel metabolome implies a handicap for the use of metabolomic biomarkers, as previously demonstrated for biochemical and other molecular biomarkers, in large-scale monitoring programs in which several food conditions coexist with pollution levels.</t>
  </si>
  <si>
    <t>[Campillo, Juan A.; Gonzalez-Fernandez, Carmen; Albentosa, Marina] Oceanog Ctr Murcia, Spanish Inst Oceanog, IEO, Varadero 1, E-30740 Murcia, Spain; [Sevilla, Angel; Bernal, Cristina; Canovas, Manuel] Univ Murcia, Dept Biochem &amp; Mol Biol B &amp; Immunol, Fac Chem, Campus Espinardo, E-30100 Murcia, Spain; [Bellas, Juan] Spanish Inst Oceanog, Oceanog Ctr Vigo, IEO, Subida Radio Faro 50, E-36390 Vigo, Spain</t>
  </si>
  <si>
    <t>Spanish Institute of Oceanography; University of Murcia; Spanish Institute of Oceanography</t>
  </si>
  <si>
    <t>Albentosa, M (corresponding author), Oceanog Ctr Murcia, Spanish Inst Oceanog, IEO, Varadero 1, E-30740 Murcia, Spain.</t>
  </si>
  <si>
    <t>marina.albentosa@ieo.es</t>
  </si>
  <si>
    <t>Campillo, Juan/G-8312-2017; González Fernández, Carmen/K-7113-2019; Canovas, Manuel/K-3860-2014; Bellas, Juan/N-1594-2015</t>
  </si>
  <si>
    <t>Canovas, Manuel/0000-0003-3254-1736; Gonzalez-Fernandez, Carmen/0000-0002-8731-6504; Bellas, Juan/0000-0001-6179-8528; Albentosa, Marina/0000-0003-4771-5137</t>
  </si>
  <si>
    <t>BIOCOM project (Ministry of Economy and Competitiveness, Spain) [CTM2012-30737]; Spanish Institute of Oceanography through the IEO-Training Research Program 2012-2016</t>
  </si>
  <si>
    <t>BIOCOM project (Ministry of Economy and Competitiveness, Spain); Spanish Institute of Oceanography through the IEO-Training Research Program 2012-2016</t>
  </si>
  <si>
    <t>This study has been funded by BIOCOM project (ID Project: CTM2012-30737, Ministry of Economy and Competitiveness, Spain). During the development of this study, Carmen Gonzalez-Fernandez was recipient of a predoctoral fellowship from the Spanish Institute of Oceanography through the IEO-Training Research Program 2012-2016.</t>
  </si>
  <si>
    <t>10.1016/j.marenvres.2019.01.012</t>
  </si>
  <si>
    <t>HP2RQ</t>
  </si>
  <si>
    <t>WOS:000461523500021</t>
  </si>
  <si>
    <t>Navarro, A; Faria, M; Barata, C; Piña, B</t>
  </si>
  <si>
    <t>Navarro, Anna; Faria, Melissa; Barata, Carlos; Pina, Benjamin</t>
  </si>
  <si>
    <t>Transcriptional response of stress genes to metal exposure in zebra mussel larvae and adults</t>
  </si>
  <si>
    <t>Transcriptional regulation; Metal toxicity; ANOVA; Ebro river; In vitro exposure; Chronic and acute toxicity; Molluscs</t>
  </si>
  <si>
    <t>ANTIOXIDANT ENZYME-ACTIVITIES; CRASSOSTREA-VIRGINICA GMELIN; FRESH-WATER MUSSELS; DREISSENA-POLYMORPHA; CADMIUM EXPOSURE; MESSENGER-RNA; HEAVY-METALS; METALLOTHIONEIN GENES; RUDITAPES-DECUSSATUS; OXIDATIVE STRESS</t>
  </si>
  <si>
    <t>Development of stress markers for the invader freshwater zebra mussel (Dreissena polymorpha) is of great interest for both conservation and biomonitoring purposes. Gene expression profiles of several putative or already established gene expression stress markers (Metallothionein, Superoxide dismutase, Catalase, Glutathione S transferase, Glutathione peroxidase, Cytochrome c oxidase, the multixenobiotic resistance P-gp1, and heat shock proteins HSP70 and HSP90) were analyzed by quantitative Real-Time PCR in adults and pediveliger larvae after exposure to metals (Hg, Cu, Cd). A defined pattern of coordinated responses to metal exposure and, presumably, to oxidative stress was observed in gills and digestive gland from adults. A similar, albeit partial response was observed in larvae, indicating an early development of stress-related gene responses in zebra mussel. The tools developed in this study may be useful both for future control strategies and for the use of zebra mussel as sentinel species in water courses with stable populations. (C) 2010 Elsevier Ltd. All rights reserved.</t>
  </si>
  <si>
    <t>[Navarro, Anna; Faria, Melissa; Barata, Carlos; Pina, Benjamin] Inst Environm Assessment &amp; Water Res IDAEA CSIC, Barcelona 08034, Spain</t>
  </si>
  <si>
    <t>Piña, B (corresponding author), Inst Environm Assessment &amp; Water Res IDAEA CSIC, Jordi Girona 18, Barcelona 08034, Spain.</t>
  </si>
  <si>
    <t>Faria, Melissa/ABI-2225-2020; Barata, Carlos/K-8232-2014; Pina, Benjamin/A-1671-2011; Navarro Cuenca, Anna/F-9980-2012</t>
  </si>
  <si>
    <t>Barata, Carlos/0000-0002-3360-0729; Pina, Benjamin/0000-0001-9216-2768; Navarro Cuenca, Anna/0000-0003-3762-4135; Faria, Melissa/0000-0003-1451-4427</t>
  </si>
  <si>
    <t>Spanish Ministries of Environment and of Science and Innovation [041/SGTB/2007/1.1, 042/RN08/03.4, CGL2008-01898]</t>
  </si>
  <si>
    <t>Spanish Ministries of Environment and of Science and Innovation</t>
  </si>
  <si>
    <t>This work has been supported by the Spanish Ministries of Environment and of Science and Innovation projects 041/SGTB/2007/1.1, 042/RN08/03.4 and CGL2008-01898. We also thank the Institute of Aquaculture of Sant Caries de la Rapita (IRTA, Tarragona, Spain) for culturing D. polymorpha larval stages.</t>
  </si>
  <si>
    <t>10.1016/j.envpol.2010.09.018</t>
  </si>
  <si>
    <t>WOS:000285129600014</t>
  </si>
  <si>
    <t>Thompson, EL; Taylor, DA; Nair, SV; Birch, G; Hose, GC; Raftos, DA</t>
  </si>
  <si>
    <t>Thompson, Emma L.; Taylor, Daisy A.; Nair, Sham V.; Birch, Gavin; Hose, Grant C.; Raftos, David A.</t>
  </si>
  <si>
    <t>Proteomic analysis of Sydney Rock oysters (Saccostrea glomerata) exposed to metal contamination in the field</t>
  </si>
  <si>
    <t>Metal contamination; Molecular biomarkers; Saccostrea glomerata; Sydney Rock oysters; Environmental proteomics</t>
  </si>
  <si>
    <t>NEW-SOUTH-WALES; LAKE MACQUARIE; HEAVY-METALS; BIOMARKER DISCOVERY; PROTEIN EXPRESSION; STRESS-PROTEINS; SEDIMENTS; ESTUARY; ACCUMULATION; POLLUTION</t>
  </si>
  <si>
    <t>This study used proteomics to assess the impacts of metal contamination in the field on Sydney Rock oysters. Oysters were transplanted into Lake Macquarie, NSW, for two weeks in both 2009 and 2010. Two-dimensional electrophoresis identified changes in protein expression profiles of oyster haemolymph between control and metal contaminated sites. There were unique protein expression profiles for each field trial. Principal components analysis attributed these differences in oyster proteomes to the different combinations and concentrations of metals and other environmental variables present during the three field trials. Identification of differentially expressed proteins showed that proteins associated with cytoskeletal activity and stress responses were the most commonly affected biological functions in the Sydney Rock oyster. Overall, the data show that proteomics combined with multivariate analysis has the potential to link the effects of contaminants with biological consequences. Crown Copyright (c) 2012 Published by Elsevier Ltd. All rights reserved.</t>
  </si>
  <si>
    <t>[Thompson, Emma L.; Taylor, Daisy A.; Nair, Sham V.; Hose, Grant C.; Raftos, David A.] Macquarie Univ, Dept Biol Sci, N Ryde, NSW 2109, Australia; [Thompson, Emma L.; Taylor, Daisy A.; Raftos, David A.] Sydney Inst Marine Sci, Chowder Bay, NSW 2088, Australia; [Birch, Gavin] Univ Sydney, Dept Geochem, Sydney, NSW 2006, Australia</t>
  </si>
  <si>
    <t>Macquarie University; Sydney Institute of Marine Science; University of Sydney</t>
  </si>
  <si>
    <t>Hose, Grant/0000-0003-2106-5543; Thompson, Emma/0000-0003-0850-0547</t>
  </si>
  <si>
    <t>Australian Research Council Linkage Grant; Department of Environment, Climate Change and Water; Macquarie University</t>
  </si>
  <si>
    <t>Australian Research Council Linkage Grant(Australian Research Council); Department of Environment, Climate Change and Water; Macquarie University</t>
  </si>
  <si>
    <t>This research was supported by an Australian Research Council Linkage Grant in collaboration with the Department of Environment, Climate Change and Water. Research has been facilitated by access to the Sydney Institute of Marine Science (manuscript reference number 56), and the Australian Proteome Analysis Facility established under the Australian Government's Major National Research Program. E Thompson is the recipient of an MQRES postgraduate scholarship from Macquarie University.</t>
  </si>
  <si>
    <t>10.1016/j.envpol.2012.06.015</t>
  </si>
  <si>
    <t>001HB</t>
  </si>
  <si>
    <t>WOS:000308450100014</t>
  </si>
  <si>
    <t>Satheeswaran, T; Yuvaraj, P; Damotharan, P; Karthikeyan, V; Jha, DK; Dharani, G; Balasubramanian, T; Kirubagaran, R</t>
  </si>
  <si>
    <t>Satheeswaran, Thangaraj; Yuvaraj, Purushothaman; Damotharan, Palani; Karthikeyan, Velmurugan; Jha, Dilip Kumar; Dharani, Gopal; Balasubramanian, Thangavel; Kirubagaran, Ramalingam</t>
  </si>
  <si>
    <t>Assessment of trace metal contamination in the marine sediment, seawater, and bivalves of Parangipettai, southeast coast of India</t>
  </si>
  <si>
    <t>Sediment; Seawater; Trace metal; Marine pollution; Permissible level; Parangipettai; Guidelines value; Pollution indices</t>
  </si>
  <si>
    <t>ECOLOGICAL RISK-ASSESSMENT; EAST-COAST; HEAVY-METALS; SURFACE SEDIMENTS; PERNA-VIRIDIS; TAMIL-NADU; POLLUTION; BAY; MULTIVARIATE; ESTUARINE</t>
  </si>
  <si>
    <t>Industrial and domestic discharge into the coastal environment has driven us to propose an integrated approach to delineate stations contaminated with metals on the Parangipettai coast by collecting sediment and seawater samples monthly at 18 stations from 2015 to 2017. Descriptive statistics revealed that the concentrations of some metals in the sediment and seawater samples were beyond the permissible level. Further, factor analysis showed a sampling adequacy of 0.90 with high positive loading for Ni (0.94), Cd (0.91), Co (0.90), Pb (0.89), and Zn (0.87) in sediment samples. The degree of contamination by metals was evaluated using pollution indices. The results of the contamination index revealed that some stations in the study area were moderately polluted, and those of the ecological index showed that open sea was under low risk while other stations were in the moderate-to-high-risk category. The results obtained are essential to establish the reference condition for a comparative study in similar environments in the tropical regions.</t>
  </si>
  <si>
    <t>[Satheeswaran, Thangaraj; Yuvaraj, Purushothaman; Damotharan, Palani; Karthikeyan, Velmurugan; Jha, Dilip Kumar; Dharani, Gopal; Balasubramanian, Thangavel; Kirubagaran, Ramalingam] Govt India, Minist Earth Sci, Natl Inst Ocean Technol, Ocean Sci &amp; Technol Isl, Chennai 600100, Tamil Nadu, India</t>
  </si>
  <si>
    <t>Ministry of Earth Sciences (MoES) - India; National Institute of Ocean Technology (NIOT)</t>
  </si>
  <si>
    <t>Satheeswaran, T; Dharani, G (corresponding author), Govt India, Minist Earth Sci, Natl Inst Ocean Technol, Ocean Sci &amp; Technol Isl, Chennai 600100, Tamil Nadu, India.</t>
  </si>
  <si>
    <t>satheeswaran1990@gmail.com; dhara@niot.res.in</t>
  </si>
  <si>
    <t>Jha, Dilip/ABH-1936-2021; Karthikeyan, V/O-8594-2017</t>
  </si>
  <si>
    <t>Karthikeyan, V/0000-0001-8063-7527; Jha, Dr. Dilip Kumar/0000-0002-9981-9141</t>
  </si>
  <si>
    <t>Ministry of Earth Sciences [MoES/MB/NIOT/4/2017-PC-II]</t>
  </si>
  <si>
    <t>Ministry of Earth Sciences</t>
  </si>
  <si>
    <t>The authors are grateful to the Ministry of Earth Sciences, Govt. of India, for the financial support (MoES/MB/NIOT/4/2017-PC-II) to carry out the present study. The authors are thankful to Dr. M. A. Atmanand, Director, National Institute of Ocean Technology (NIOT), Chennai, for his constant support. They thank the IL&amp;FS authority for their constant support to accomplish this work.</t>
  </si>
  <si>
    <t>10.1016/j.marpolbul.2019.110499</t>
  </si>
  <si>
    <t>WOS:000501387300116</t>
  </si>
  <si>
    <t>Rodriguez-Iruretagoiena, A; Rementeria, A; Zaldibar, B; de Vallejuelo, SFO; Gredilla, A; Arana, G; de Diego, A</t>
  </si>
  <si>
    <t>Rodriguez-Iruretagoiena, A.; Rementeria, A.; Zaldibar, B.; Fdez-Ortiz de Vallejuelo, S.; Gredilla, A.; Arana, G.; de Diego, A.</t>
  </si>
  <si>
    <t>Is there a direct relationship between stress biomarkers in oysters and the amount of metals in the sediments where they inhabit?</t>
  </si>
  <si>
    <t>Oysters; Stress biomarkers; Sediments; Metals</t>
  </si>
  <si>
    <t>DIGESTIVE GLAND; MYTILUS-GALLOPROVINCIALIS; SUBCELLULAR-DISTRIBUTION; ESTUARINE SEDIMENTS; TRACE-ELEMENTS; MARINE MUSSEL; HEAVY-METALS; URDAIBAI; METALLOTHIONEIN; CELL</t>
  </si>
  <si>
    <t>The effects exerted by metals in oysters are still a matter of debate and require more detailed studies. In this work we have investigated whether the health status of oysters are affected by the amount of metals present in the sediments of their habitat. Sediments and oysters were collected in the tidal part of the estuary of the Oka River (Basque Country), representative of other mesotidal, well mixed and short estuaries of the European Atlantic coast. The concentrations of 14 elements were determined in all the samples. Several biomarkers were also measured in the soft tissues of oysters. According to the concentrations found, the sediments were classified as non-toxic or slightly toxic. In good agreement, the histological alterations observed in oysters were not severe. Interestingly, in those sampling sites where the sediments showed relatively high metal concentrations, the metallic content in oysters was lower, and vice versa. (C) 2016 Elsevier Ltd. All rights reserved.</t>
  </si>
  <si>
    <t>[Rodriguez-Iruretagoiena, A.; Fdez-Ortiz de Vallejuelo, S.; Gredilla, A.; Arana, G.; de Diego, A.] Univ Basque Country UPV EHU, Dept Analyt Chem, POB 644, E-48080 Bilbao, Basque Country, Spain; [Rementeria, A.; Zaldibar, B.] Univ Basque Country UPV EHU, Dept Zool &amp; Anim Cell Biol, Cell Biol &amp; Histol Lab, Sch Sci &amp; Technol, POB 644, E-48080 Bilbao, Basque Country, Spain</t>
  </si>
  <si>
    <t>University of Basque Country; University of Basque Country</t>
  </si>
  <si>
    <t>Rodriguez-Iruretagoiena, A (corresponding author), Univ Basque Country UPV EHU, Dept Analyt Chem, POB 644, E-48080 Bilbao, Basque Country, Spain.</t>
  </si>
  <si>
    <t>azibar.rodriguez@ehu.eus</t>
  </si>
  <si>
    <t>de Diego, Alberto/L-7381-2014; Gredilla, Ainara/AAA-2621-2019; Zaldibar, Benat/Y-6728-2018; Arana, Gorka/K-5958-2014</t>
  </si>
  <si>
    <t>Zaldibar, Benat/0000-0002-5528-451X; Gredilla, Ainara/0000-0002-8289-0048; DE DIEGO RODRIGUEZ, ALBERTO/0000-0002-3480-2795; Arana, Gorka/0000-0001-7854-855X</t>
  </si>
  <si>
    <t>University of the Basque Country (UPV/EHU); SUDOE Interreg IV B Programme through the ORQUE SUDOE project [SOE3/P2/F591/5]; Basque Government through Consolidated Research Group Project [IT-742-13]; Basque Government research project [GIC07/26-IT-393-07]</t>
  </si>
  <si>
    <t>University of the Basque Country (UPV/EHU); SUDOE Interreg IV B Programme through the ORQUE SUDOE project; Basque Government through Consolidated Research Group Project; Basque Government research project</t>
  </si>
  <si>
    <t>A. Rodriguez-Iruretagoiena is grateful to the University of the Basque Country (UPV/EHU) for his post-doctoral fellowship. This work has been financially supported by the SUDOE Interreg IV B Programme through the ORQUE SUDOE (Ref. SOE3/P2/F591/5) project, the Basque Government through Consolidated Research Group Project 2013-2018 (Ref. IT-742-13) and by the Basque Government (GIC07/26-IT-393-07) research project. We want to thank Chris Applebee and James Miles for his careful English revision of the manuscript.</t>
  </si>
  <si>
    <t>10.1016/j.marpolbul.2016.07.025</t>
  </si>
  <si>
    <t>WOS:000384854100021</t>
  </si>
  <si>
    <t>PELLETIER, E</t>
  </si>
  <si>
    <t>ACUTE TOXICITY OF SOME METHYLMERCURY COMPLEXES TO MYTILUS-EDULIS AND LACK OF SELENIUM PROTECTION</t>
  </si>
  <si>
    <t>Laboratory experiments have been conducted to estimate the acute toxicity of three different chemical forms of methylmercury to Mytilus edulis. The possible antagonistic activity of dissolved inorganic and complexed organic selenium was also evaluated. The following findings were made: 1. several chemical forms of methylmercury, having different solubility in seawater, were absorbed by mussels, 2. the total mercury body burden was not influenced by dissolved Na2SeO3, and selenium was not significantly bioaccumulated despite its chemical form, 3. the high toxicity of all methylmercury complexes was indicated by a significant loss of animal weight and a relatively high cumulative mortality after 32 days of exposure to 3 .mu.g Hg l-1, 4. selenium showed no evident antagonistic effect, but the relative proportion of mercury bioaccumulated in the mantle was slightly increased in the presence of dissolved sodium selenite in the flowing seawater. Two different chemical mechanisms of methylmercury assimilation are discussed.</t>
  </si>
  <si>
    <t>INST NATL RECH SCI, 310 AVE URSULINES, RIMOUSKI G5L 3A1, QUEBEC, CANADA.</t>
  </si>
  <si>
    <t>10.1016/0025-326X(88)90233-0</t>
  </si>
  <si>
    <t>N6687</t>
  </si>
  <si>
    <t>WOS:A1988N668700022</t>
  </si>
  <si>
    <t>Yap, CK; Azmizan, AR; Hanif, MS</t>
  </si>
  <si>
    <t>Yap, C. K.; Azmizan, A. R.; Hanif, M. S.</t>
  </si>
  <si>
    <t>Biomonitoring of Trace Metals (Fe, Cu, and Ni) in the Mangrove Area of Peninsular Malaysia Using Different Soft Tissues of Flat Tree Oyster Isognomon alatus</t>
  </si>
  <si>
    <t>Biomonitoring; Isognomon alatus; Trace metals; Mangrove area of Peninsular Malaysia</t>
  </si>
  <si>
    <t>HEAVY-METAL; INTERTIDAL SEDIMENTS; PERNA-VIRIDIS; WEST-COAST; BIVALVES; ESTUARY; ZN; PB; CD; CONTAMINATION</t>
  </si>
  <si>
    <t>It is well documented that marine oysters are net bioaccumulators of trace metals and they can be employed as biomonitors of time-integrated measurements of bioavailable metal fractions over their lifetime. In this study, the Malaysian mangrove flat tree oyster Isognomon alatus collected from the estuaries of Lukut River (five sites), Sepang Besar River (one site), and one metal-polluted site at Kg. Pasir Puteh were dissected into muscle, mantle plus gills, byssus, and remaining soft tissues. All the four different soft tissues were analyzed for Fe, Cu, and Ni. Significant spatial differences in the accumulated metal concentrations of the oysters were found between sampling sites, and these could be attributed to anthropogenic inputs including discharges of shrimp ponds (Lukut), animal husbandry (Sepang Besar), sewage, shipping, and industrial effluents (Kg. Pasir Puteh). For Fe, the tissue distribution followed: byssus &gt; mantle plus gill &gt; muscle &gt; remaining soft tissues, while for Cu and Ni, both followed byssus &gt; remaining soft tissues &gt; mantle plus gill &gt; muscle. This indicated that byssus could act as an excretion route for the metals. Based on a correlation analysis between oyster tissues and sediments, selected tissues of I. alatus were shown to be good biomonitors of Ni and Cu contamination, while high regulative capacity of Fe in the oyster tissues could hardly reflect the actual Fe levels in the surroundings. However, the clustering patterns based on metal levels in the four different soft tissues were not in agreement with those based on the geochemical fractions of sediment data. This phenomenon which was due to the metal contamination might not necessarily create high bioavailabilities of metals to the biomonitor I. alatus, which might involve differences in uptake, excretion, and sequestration of metals. Similarly to the Mussel Watch approach, this study points to the very potential use of the different soft tissues of I. alatus as biomonitors for regular biomonitoring in the mangrove area of Peninsular Malaysia.</t>
  </si>
  <si>
    <t>[Yap, C. K.; Azmizan, A. R.; Hanif, M. S.] Univ Putra Malaysia, Fac Sci, Dept Biol, Upm Serdang 43400, Selangor, Malaysia</t>
  </si>
  <si>
    <t>Universiti Putra Malaysia [91986]</t>
  </si>
  <si>
    <t>The authors would like to acknowledge the financial support provided through the Research University Grant Schemes (RUGSs, Vote no. 91986) by Universiti Putra Malaysia.</t>
  </si>
  <si>
    <t>10.1007/s11270-010-0621-8</t>
  </si>
  <si>
    <t>765QT</t>
  </si>
  <si>
    <t>WOS:000290724400005</t>
  </si>
  <si>
    <t>Baudrimont, M; Chelini, A; Gourves, PY; Maury-Brachet, R; Legeay, A</t>
  </si>
  <si>
    <t>Baudrimont, Magalie; Chelini, Audrey; Gourves, Pierre-Yves; Maury-Brachet, Regine; Legeay, Alexia</t>
  </si>
  <si>
    <t>On the possibility to produce again oysters Crassostrea gigas in the North Medoc salt marshes (Gironde estuary, Southwestern France): A comparison study of metals bioaccumulation in spats 13 years after</t>
  </si>
  <si>
    <t>Spat oyster; Crassostrea gigas; Gironde estuary; Metals; Bioaccumulation</t>
  </si>
  <si>
    <t>GEOCHEMICAL SIGNALS; CADMIUM; FLUXES; EXPOSURE; SILVER; ZN; CD; SEDIMENTS; POLLUTION; SYSTEM</t>
  </si>
  <si>
    <t>The Gironde Estuary is known for its historic poly-metallic contamination, leading to levels of Cd in oysters Crassostrea gigas above the human consumption limit. However, since 25 years, Cd concentrations progressively decreased in the estuary and the question is raised if the same evolution occurred in the North Medoc salt marshes. In this aim, we analyzed 12 metals in juveniles of oysters transplanted from a hatchery on a 12 months period in 2 salt marshes. Moreover, the comparison of four metals already measured 13 years ago was conducted. The major results showed an overall decrease of the metals in the salt marshes, with a significant decrease of Cd reaching 80% compared to the Gironde estuary where it occurs for only 50% between 2001 and 2014. The concentrations in 2014 remained below the human consumption threshold, suggesting the possibility to produce again oysters in the salt marshes. (C) 2016 Elsevier Ltd. All rights reserved.</t>
  </si>
  <si>
    <t>Univ Bordeaux, UMR EPOC 5805, Pl Dr Peyneau, F-33120 Arcachon, France; CNRS, UMR EPOC 5805, Pl Dr Peyneau, F-33120 Arcachon, France</t>
  </si>
  <si>
    <t>Baudrimont, M (corresponding author), Univ Bordeaux, CNRS, UMR EPOC 5805, Pl Dr Peyneau, F-33120 Arcachon, France.</t>
  </si>
  <si>
    <t>Legeay, Alexia/0000-0002-1052-142X; Baudrimont, Magalie/0000-0001-9901-8435</t>
  </si>
  <si>
    <t>Communaute de communes de la Pointe du Medoc; Conseil General 33; Comite Regional de la Conchyliculture; Aquitaine Region; SMIDDEST; Grand Port Autonome de Bordeaux; Feder</t>
  </si>
  <si>
    <t>Communaute de communes de la Pointe du Medoc; Conseil General 33(Region Nouvelle-Aquitaine); Comite Regional de la Conchyliculture; Aquitaine Region(Region Nouvelle-Aquitaine); SMIDDEST; Grand Port Autonome de Bordeaux(Region Nouvelle-Aquitaine); Feder(European Union (EU)Spanish Government)</t>
  </si>
  <si>
    <t>We would like to thank Berenice Lapouyade (CPIE Medoc), Bertrand lung (Eau Medoc farm) and Jean-Marie Berthet (Facem farm) for their useful help in the field during all the experimentations. This work was supported by the Communaute de communes de la Pointe du Medoc, the Conseil General 33, the Comite Regional de la Conchyliculture, the Aquitaine Region, the SMIDDEST, the Grand Port Autonome de Bordeaux, the Feder and the professional farmers.</t>
  </si>
  <si>
    <t>10.1016/j.marpolbul.2016.07.012</t>
  </si>
  <si>
    <t>WOS:000384854100030</t>
  </si>
  <si>
    <t>Kouali, H; Chaouti, A; Achtak, H; Elkalay, K; Dahbi, A</t>
  </si>
  <si>
    <t>Kouali, Hassnae; Chaouti, Abdellatif; Achtak, Hafid; Elkalay, Khalid; Dahbi, Abdallah</t>
  </si>
  <si>
    <t>Trace metal contents in the mussel Mytilus galloprovincialis from Atlantic coastal areas in northwestern Morocco: Levels of contamination and assessment of potential risks to human health</t>
  </si>
  <si>
    <t>Biomonitoring; Human health risk assessment; Mussel consumption; Northern Africa; Seafood safety standards; Trace elements</t>
  </si>
  <si>
    <t>HEAVY-METALS; EL-JADIDA; SEASONAL-VARIATIONS; PERNA-PERNA; BIOACCUMULATION; POLLUTION; ELEMENTS; ACCUMULATION; EXPOSURE; QUALITY</t>
  </si>
  <si>
    <t>The bioaccumulation of trace metals Cd, Cr, Cu and Zn in soft tissues of the mussel Mytilus galloprovincialis was studied seasonally along the Atlantic coast of northwestern Morocco. Average concentrations (mu g g(-1) dry weight) decreased in the following order: Zn (141.61 +/- 78.06) &gt; Cr (22.57 +/- 15.47) &gt; Cu (18.95 +/- 20.01) &gt; Cd (16.33 +/- 19.01), with higher amounts during wet seasons. The Metal Pollution Index and Individual Multimetal Bioaccumulation Index suggested a higher mussel contamination in industrialized areas. Moreover, Cd and Cr concentrations were above the permissible guidelines' limits. The related risks to human health associated with mussel consumption were also assessed. The Target Hazard Quotient for Cd and Cr revealed a threat to children when mussels originated from polluted stations, while the Hazard Index indicated a hazard to them in all stations. Regarding the Maximum Safe Consumption, children should not consume mussels, even in low quantities. This study represents the first datum in Morocco to assess such a risk to human health.</t>
  </si>
  <si>
    <t>[Kouali, Hassnae; Achtak, Hafid; Dahbi, Abdallah] Cadi Ayyad Univ, Polydisciplinary Fac, Dept Biol, Res Team Environm &amp; Hlth, Safi, Morocco; [Kouali, Hassnae; Elkalay, Khalid] Cadi Ayyad Univ, High Sch Technol, Lab Appl Sci Environm &amp; Sustainable Dev, Essaouira, Morocco; [Chaouti, Abdellatif] Chouaib Doukkali Univ, Fac Sci, Phycol Blue Biodivers &amp; Biotechnol RU, Lab Plant Biotechnol Ecol &amp; Ecosyst Valorizat,CNR, El Jadida 24000, Morocco</t>
  </si>
  <si>
    <t>Chaouti, A (corresponding author), Chouaib Doukkali Univ, Fac Sci, Phycol Blue Biodivers &amp; Biotechnol RU, Lab Plant Biotechnol Ecol &amp; Ecosyst Valorizat,CNR, El Jadida 24000, Morocco.</t>
  </si>
  <si>
    <t>hassnae.kouali@edu.uca.ac.ma; chaouti@ucd.ac.ma; h.achtak@uca.ma; k.elkalay@uca.ma; abdallahdahbi68@gmail.com</t>
  </si>
  <si>
    <t>Abdellatif, Chaouti/GYJ-1831-2022; ACHTAK, Hafid/JOZ-7512-2023</t>
  </si>
  <si>
    <t>10.1016/j.marpolbul.2022.113680</t>
  </si>
  <si>
    <t>5N9GI</t>
  </si>
  <si>
    <t>WOS:000872094100003</t>
  </si>
  <si>
    <t>Pedrosa, JAM; Cocchiararo, B; Verdelhos, T; Soares, AMVM; Pestana, JLT; Nowak, C</t>
  </si>
  <si>
    <t>Pedrosa, Joao A. M.; Cocchiararo, Berardino; Verdelhos, Tiago; Soares, Arnadeu M. V. M.; Pestana, Joao L. T.; Nowak, Carsten</t>
  </si>
  <si>
    <t>Population genetic structure and hybridization patterns in the cryptic sister species Chironomus riparius and Chironomus piger across differentially polluted freshwater systems</t>
  </si>
  <si>
    <t>Genetic diversity; Genetic erosion; Metal contamination; Interspecific hybridization; Microsatellites</t>
  </si>
  <si>
    <t>REPRODUCTIVE ISOLATION; MERCURY CONTAMINATION; HUMAN DISTURBANCE; HEAVY-METALS; LIFE-HISTORY; RIVER; DIVERSITY; DIPTERA; CADMIUM; QUALITY</t>
  </si>
  <si>
    <t>Chironomids are an integral and functionally important part of many freshwater ecosystems. Yet, to date, there is limited understanding of their microevolutionary processes under chemically polluted natural environments. In this study, we investigated the genetic variation within populations of the ecotoxicological model species Chironomus riparius and its cryptic sister species Chironomus piger at 18 metal-contaminated and reference sites in northwestern Portugal. Microsatellite analysis was conducted on 909 samples to answer if metal contamination affects genetic variation in natural chironomid populations as previously suggested from controlled laboratory experiments. Similarly high levels of genetic diversity and significant but weak genetic substructuring were found across all sites and temporal replicates, with no effects of metal contamination on the genetic variation or species' abundance, although C. piger tended to be less frequent at highly contaminated sites. Our results indicate that high levels of gene flow and population dynamic processes may overlay potential pollutant effects. At least for our study species, we conclude that the genetic erosion hypothesis, which suggests that chemical pollution will reduce genome-wide genetic variability in affected populations, does not hold under natural conditions. Interestingly, our study provides evidence of successful hybridization between the two sister species under natural conditions.</t>
  </si>
  <si>
    <t>[Pedrosa, Joao A. M.; Soares, Arnadeu M. V. M.; Pestana, Joao L. T.] Univ Aveiro, Dept Biol, P-3810193 Aveiro, Portugal; [Pedrosa, Joao A. M.; Soares, Arnadeu M. V. M.; Pestana, Joao L. T.] Univ Aveiro, CESAM, P-3810193 Aveiro, Portugal; [Pedrosa, Joao A. M.; Cocchiararo, Berardino; Nowak, Carsten] Senckerzberg Res Inst, Conservat Genet Grp, Clamecystr 12, D-63571 Gelnhausen, Germany; [Pedrosa, Joao A. M.; Cocchiararo, Berardino; Nowak, Carsten] Nat Hist Museum Frankfurt, Clamecystr 12, D-63571 Gelnhausen, Germany; [Verdelhos, Tiago] Univ Coimbra, Fac Sci &amp; Technol, MARE Marine &amp; Environm Sci Ctr, P-3004517 Coimbra, Portugal</t>
  </si>
  <si>
    <t>Pedrosa, JAM (corresponding author), Univ Aveiro, Dept Biol, P-3810193 Aveiro, Portugal.;Pedrosa, JAM (corresponding author), Univ Aveiro, CESAM, P-3810193 Aveiro, Portugal.</t>
  </si>
  <si>
    <t>joaoampedrosa@gmail.com</t>
  </si>
  <si>
    <t>Cocchiararo, Berardino/ABG-5283-2020; Soares, Amadeu/A-8304-2008; Nowak, Carsten/A-4466-2014; Pestana, Joao/A-9279-2008</t>
  </si>
  <si>
    <t>Verdelhos, Tiago/0000-0003-4713-3006; Soares, Amadeu/0000-0003-0879-9470; Nowak, Carsten/0000-0002-3139-1951; Pestana, Joao/0000-0003-1322-2959</t>
  </si>
  <si>
    <t>Portuguese Science Foundation (FCT) [CESAM: UID/AMB/50017/2013]; COMPETE program (Programa Operacional Fatores de Competitividade, FEDER component); National funding through FCT - Fundacao para a Ciencia e Tecnologia within the research project MIDGE - Microevolutionary Dynamics and Genetic Erosion in pollution-affected Chironomus [PTDC/BIA-BEC/104125/2008]; POPH/FSE (Programa Operacional Potencial Humano/Fundo Social Europeu) [SFRH/BPD/103897/2014]; FCT; [SFRH/BD/75606/2010]; Fundação para a Ciência e a Tecnologia [SFRH/BPD/103897/2014, SFRH/BD/75606/2010, PTDC/BIA-BEC/104125/2008] Funding Source: FCT</t>
  </si>
  <si>
    <t>Portuguese Science Foundation (FCT)(Fundacao para a Ciencia e a Tecnologia (FCT)); COMPETE program (Programa Operacional Fatores de Competitividade, FEDER component); National funding through FCT - Fundacao para a Ciencia e Tecnologia within the research project MIDGE - Microevolutionary Dynamics and Genetic Erosion in pollution-affected Chironomus; POPH/FSE (Programa Operacional Potencial Humano/Fundo Social Europeu); FCT(Fundacao para a Ciencia e a Tecnologia (FCT)); ; Fundação para a Ciência e a Tecnologia(Fundacao para a Ciencia e a Tecnologia (FCT))</t>
  </si>
  <si>
    <t>This work was supported by the Portuguese Science Foundation (FCT) through CESAM: UID/AMB/50017/2013. We are thankful for the financial support of COMPETE program (Programa Operacional Fatores de Competitividade, FEDER component) and National funding through FCT - Fundacao para a Ciencia e Tecnologia within the research project MIDGE - Microevolutionary Dynamics and Genetic Erosion in pollution-affected Chironomus (Ref: PTDC/BIA-BEC/104125/2008). We are also thankful to FCT and POPH/FSE (Programa Operacional Potencial Humano/Fundo Social Europeu) for the post-doctoral fellowship of Joao L.T. Pestana (SFRH/BPD/103897/2014) and Joao A.M. Pedrosa PhD grant (SFRH/BD/75606/2010).</t>
  </si>
  <si>
    <t>10.1016/j.ecoenv.2017.03.004</t>
  </si>
  <si>
    <t>EU2ST</t>
  </si>
  <si>
    <t>WOS:000400880900036</t>
  </si>
  <si>
    <t>He, M; Wang, WX</t>
  </si>
  <si>
    <t>He, Mei; Wang, Wen-Xiong</t>
  </si>
  <si>
    <t>Factors Affecting the Bioaccessibility of Methylmercury in Several Marine Fish Species</t>
  </si>
  <si>
    <t>methylmercury; fish; bioaccessibility; subcellular distribution</t>
  </si>
  <si>
    <t>VITRO DIGESTION METHOD; TROPHIC TRANSFER; GREEN TEA; SUBCELLULAR COMPARTMENTALIZATION; PREDATORY GASTROPOD; SOIL CONTAMINANTS; BIO ACCESSIBILITY; EDIBLE SEAWEED; DIFFERENT PREY; 2 BIVALVES</t>
  </si>
  <si>
    <t>Bioaccessibility refers to the maximum bioavailability of pollutant ingested with food, and its measurements can lead to a more accurate risk assessment as compared to the measurements of total concentrations of pollutant in food. This study examined the factors affecting the bioaccessibility of methylmercury (MeHg) in nine species of marine fish with an aim to identify ways of reducing MeHg bioaccessibility. MeHg bioaccessibility without any treatment in the nine species of marine fish ranged from 16.0 to 67.7%. Steaming, grilling, and frying reduced MeHg bioaccessibility by 29.4-77.4% for rabbitfish and 74.6-95.8% for grouper. Co-consumption of phytochemical-rich foods such as green tea decreased the bioaccessibility of MeHg by 72.2% for rabbitfish and 74.0% for grouper, whereas meso-2,3-dimercaptosuccinic acid increased it by 39.2-108% for rabbitfish and 45.3-75.7% for grouper. The bioaccessibilities of both MeHg and inorganic mercury were independent of the total Hg concentration and the exposure route (dietary vs dissolved). In eight of the nine species studied, bioaccessibility was negatively correlated with the extent to which MeHg was partitioned into the metal-rich granule fraction and the trophically available fraction. It was positively correlated with partitioning into the cellular debris fraction. This study demonstrated the important control of subcellular distribution in MeHg bioaccessibility.</t>
  </si>
  <si>
    <t>[He, Mei; Wang, Wen-Xiong] Xiamen Univ, Coll Oceanog &amp; Environm Sci, State Key Lab Marine Environm Sci, Xiamen 361005, Peoples R China; [He, Mei; Wang, Wen-Xiong] HKUST, Div Life Sci, Kowloon, Hong Kong, Peoples R China</t>
  </si>
  <si>
    <t>Wang, WX (corresponding author), Xiamen Univ, Coll Oceanog &amp; Environm Sci, State Key Lab Marine Environm Sci, Xiamen 361005, Peoples R China.</t>
  </si>
  <si>
    <t>Hong Kong Research Grants Council [663009, 662610]; program for Changjiang Scholars and Innovative Research Team in University (PCSIRT) [IRT0941]</t>
  </si>
  <si>
    <t>Hong Kong Research Grants Council(Hong Kong Research Grants Council); program for Changjiang Scholars and Innovative Research Team in University (PCSIRT)(Program for Changjiang Scholars &amp; Innovative Research Team in University (PCSIRT))</t>
  </si>
  <si>
    <t>This study was supported by General Research Funds from the Hong Kong Research Grants Council (663009, 662610) to W.-X.W and the program for Changjiang Scholars and Innovative Research Team in University (PCSIRT, IRT0941).</t>
  </si>
  <si>
    <t>1520-5118</t>
  </si>
  <si>
    <t>JUL 13</t>
  </si>
  <si>
    <t>10.1021/jf201424g</t>
  </si>
  <si>
    <t>788AL</t>
  </si>
  <si>
    <t>WOS:000292417700045</t>
  </si>
  <si>
    <t>Guerlet, E; Ledy, K; Meyer, A; Giambérini, L</t>
  </si>
  <si>
    <t>Guerlet, Edwige; Ledy, Karine; Meyer, Antoinette; Giamberini, Laure</t>
  </si>
  <si>
    <t>Towards a validation of a cellular biomarker suite in native and transplanted zebra mussels:: A 2-year integrative field study of seasonal and pollution-induced variations</t>
  </si>
  <si>
    <t>lysosomal and peroxisomal systems; gonadal index; seasonality; multivariate analysis; active and passive biomonitoring; Dreissena polymorpha</t>
  </si>
  <si>
    <t>MYTILUS-GALLOPROVINCIALIS; DREISSENA-POLYMORPHA; DIGESTIVE GLAND; CYTOCHEMICAL RESPONSES; EXPERIMENTAL EXPOSURE; ENVIRONMENTAL-STRESS; LYSOSOMAL RESPONSES; ENERGY ALLOCATION; EDULIS; COPPER</t>
  </si>
  <si>
    <t>Two of the questions raised in the validation process of biomarkers are their relevance in the identification and discrimination of environmental perturbations, and the influence of seasonal factors on these biological endpoints. Determining the advantages and restrictions associated with the use of native or transplanted animals and comparing their responses is also needed. To obtain this information, a 2-year integrative field study was conducted in the vicinity of a nuclear power plant in northeastern France. A station was located in the reservoir receiving the cooling waters of the plant, and two other sites were studied 2 km upstream and 5 km downstream from the reservoir's discharge in the Moselle river. Elevated temperatures, copper contamination and a 1.4-fold-concentration factor of dissolved salts affected water quality of the reservoir. Native and transplanted zebra mussels (Dreissena polymorpha) were collected monthly and their digestive glands were processed for histochemical determinations of the lysosomal and peroxisomal systems and of the lipofuscin and neutral lipid contents. The responses were quantified using automated image analysis and stereology. Apart from neutral lipid contents, there were no systematic seasonal patterns in mussel populations or from I year to another. Principal Component Analyses showed a general higher discrimination potential of biological responses in transplanted organisms compared to native ones. They also pointed out the relationships between the cellular and physiological markers and abiotic factors. The present multiple biomarker integrative approach in transplanted D. polymorpha brings promising elements in their validation process as relevant biomonitoring tools. (c) 2007 Elsevier B.V. All rights reserved.</t>
  </si>
  <si>
    <t>Univ Paul Verlaine Metz, CNRS, UMR 7146, Lab Ecotoxicite Sante Environm, F-57070 Metz, France</t>
  </si>
  <si>
    <t>Universite de Lorraine; Centre National de la Recherche Scientifique (CNRS)</t>
  </si>
  <si>
    <t>Giambérini, L (corresponding author), Univ Paul Verlaine Metz, CNRS, UMR 7146, Lab Ecotoxicite Sante Environm, Rue Gen Delestraint, F-57070 Metz, France.</t>
  </si>
  <si>
    <t>giamb@univ-metz.fr</t>
  </si>
  <si>
    <t>10.1016/j.aquatox.2006.12.016</t>
  </si>
  <si>
    <t>154IU</t>
  </si>
  <si>
    <t>WOS:000245501200004</t>
  </si>
  <si>
    <t>Interactive effects of metal pollution and ocean acidification on physiology of marine organisms</t>
  </si>
  <si>
    <t>CURRENT ZOOLOGY</t>
  </si>
  <si>
    <t>CO2; Trace metals; Metal accumulation; Acid-base homeostasis; Bioenergetics; Estuaries</t>
  </si>
  <si>
    <t>BIVALVES CRASSOSTREA-VIRGINICA; ACID-BASE-BALANCE; CARBON-DIOXIDE CONCENTRATIONS; URCHIN EMBRYO DEVELOPMENT; ELEVATED-TEMPERATURE; SEA-URCHIN; EASTERN OYSTERS; HEAVY-METALS; CADMIUM EXPOSURE; SEDIMENT ACIDIFICATION</t>
  </si>
  <si>
    <t>Changes in the global environment such as ocean acidification (OA) may interact with anthropogenic pollutants including trace metals threatening the integrity of marine ecosystems. We analyze recent studies on the interactive effects of OA and trace metals on marine organisms with a focus on the physiological basis of these interactions. Our analysis shows that the responses to elevated CO2 and metals are strongly dependent on the species, developmental stage, metal biochemistry and the degree of environmental hypercapnia, and cannot be directly predicted from the CO2-induced changes in metal solubility and speciation. The key physiological functions affected by both the OA and trace metal exposures involve acid-base regulation, protein turnover and mitochondrial bioenergetics, reflecting the sensitivity of the underlying molecular and cellular pathways to CO2 and metals. Physiological interactions between elevated CO2 and metals may impact the organisms' capacity to maintain acid-base homeostasis and reduce the amount of energy available for fitness-related functions such as growth, development and reproduction thereby affecting survival and performance of estuarine populations. Environmental hypercapnia may also affect the marine food webs by altering predator-prey interactions and the trophic transfer of metals in the food chain. However, our understanding of the degree to which these effects can impact the function and integrity of marine ecosystems is limited due the scarcity of the published research and its bias towards certain taxonomic groups. Future research priorities should include studies of metal x P-CO2 interactions focusing on critical physiological functions (including acid-base, protein and energy homeostasis) in a greater range of ecologically and economically important marine species, as well as including the field populations naturally exposed (and potentially adapted) to different levels of metals and CO2 in their environments</t>
  </si>
  <si>
    <t>[Ivanina, Anna V.; Sokolova, Inna M.] Univ N Carolina, Dept Biol Sci, Charlotte, NC 28223 USA</t>
  </si>
  <si>
    <t>Ivanina, AV (corresponding author), Univ N Carolina, Dept Biol Sci, Charlotte, NC 28223 USA.</t>
  </si>
  <si>
    <t>aivanina@uncc.edu</t>
  </si>
  <si>
    <t>National Science Foundation [IOS-095107]; UNC Charlotte's Faculty Research Grant</t>
  </si>
  <si>
    <t>National Science Foundation(National Science Foundation (NSF)); UNC Charlotte's Faculty Research Grant</t>
  </si>
  <si>
    <t>This work was in part supported by funds provided by the National Science Foundation award IOS-095107 and UNC Charlotte's Faculty Research Grant to I.M.S.</t>
  </si>
  <si>
    <t>1674-5507</t>
  </si>
  <si>
    <t>2396-9814</t>
  </si>
  <si>
    <t>CURR ZOOL</t>
  </si>
  <si>
    <t>Curr. Zool.</t>
  </si>
  <si>
    <t>10.1093/czoolo/61.4.653</t>
  </si>
  <si>
    <t>CQ2US</t>
  </si>
  <si>
    <t>WOS:000360458000010</t>
  </si>
  <si>
    <t>Paul-Pont, I; Lacroix, C; Fernández, CG; Hégaret, H; Lambert, C; Le Goïc, N; Frère, L; Cassone, AL; Sussarellu, R; Fabioux, C; Guyomarch, J; Albentosa, M; Huvet, A; Soudant, P</t>
  </si>
  <si>
    <t>Paul-Pont, Ika; Lacroix, Camille; Gonzalez Fernandez, Carmen; Hegaret, Helene; Lambert, Christophe; Le Goic, Nelly; Frere, Laura; Cassone, Anne-Laure; Sussarellu, Rossana; Fabioux, Caroline; Guyomarch, Julien; Albentosa, Marina; Huvet, Arnaud; Soudant, Philippe</t>
  </si>
  <si>
    <t>Exposure of marine mussels Mytilus spp. to polystyrene microplastics: Toxicity and influence on fluoranthene bioaccumulation</t>
  </si>
  <si>
    <t>Microplastics; Fluoranthene; Mussel; Depuration; Oxidative system</t>
  </si>
  <si>
    <t>POLYCYCLIC AROMATIC-HYDROCARBONS; PERSISTENT ORGANIC POLLUTANTS; CRASSOSTREA-GIGAS; TISSUE CONCENTRATIONS; EDULIS; RESPONSES; BIOMARKERS; CELLS; QUANTIFICATION; CONTAMINANTS</t>
  </si>
  <si>
    <t>The effects of polystyrene microbeads (micro-PS; mix of 2 and 6 mu m; final concentration: 32 mu g L-1) alone or in combination with fluoranthene (30 mu g L-1) on marine mussels Mytilus spp. were investigated after 7 days of exposure and 7 days of depuration under controlled laboratory conditions. Overall, fluoranthene was mostly associated to algae Chaetoceros muelleri (partition coefficient Log Kp = 4.8) used as a food source for mussels during the experiment. When micro-PS were added in the system, a fraction of FLU transferred from the algae to the microbeads as suggested by the higher partition coefficient of micro-PS (Log Kp = 6.6), which confirmed a high affinity of fluoranthene for polystyrene microparticles. However, this did not lead to a modification of fluoranthene bioaccumulation in exposed individuals, suggesting that micro-PS had a minor role in transferring fluoranthene to mussels tissues in comparison with waterborne and foodborne exposures. After depuration, a higher fluoranthene concentration was detected in mussels exposed to micro-PS and fluoranthene, as compared to mussels exposed to fluoranthene alone. This may be related to direct effect of micro-PS on detoxification mechanisms, as suggested by a down regulation of a P-glycoprotein involved in pollutant excretion, but other factors such as an impairment of the filtration activity or presence of remaining beads in the gut cannot be excluded. Micro-PS alone led to an increase in hemocyte mortality and triggered substantial modulation of cellular oxidative balance: increase in reactive oxygen species production in hemocytes and enhancement of anti-oxidant and glutathione-related enzymes in mussel tissues. Highest histopathological damages and levels of anti-oxidant markers were observed in mussels exposed to micro-PS together with fluoranthene. Overall these results suggest that under the experimental conditions of our study micro-PS led to direct toxic effects at tissue, cellular and molecular levels, and modulated fluoranthene kinetics and toxicity in marine mussels. (C) 2016 Elsevier Ltd. All rights reserved.</t>
  </si>
  <si>
    <t>[Paul-Pont, Ika; Lacroix, Camille; Hegaret, Helene; Lambert, Christophe; Le Goic, Nelly; Frere, Laura; Cassone, Anne-Laure; Fabioux, Caroline; Soudant, Philippe] IFREMER Inst Univ Europeen Mer, Technopole Brest Iroise, Lab Sci Environm Marin LEMAR, CNRS,UBO,IRD,UMR 6539, Rue Dumont dUrville, F-29280 Plouzane, France; [Lacroix, Camille; Guyomarch, Julien] CEDRE, 715 Rue Alain Colas, F-29218 Brest 2, France; [Gonzalez Fernandez, Carmen; Albentosa, Marina] IEO, Ctr Oceanog Murcia, Varadero 1, E-30740 Murcia, Spain; [Sussarellu, Rossana] IFREMER, Lab Ecotoxicol, Nantes, France; [Huvet, Arnaud] IFREMER, Lab Sci Environm Marin LEMAR, UMR 6539, UBO,CNRS,IRD,Ctr Bretagne, CS 10070, F-29280 Plouzane, France</t>
  </si>
  <si>
    <t>Universite de Bretagne Occidentale; Centre National de la Recherche Scientifique (CNRS); Ifremer; Institut de Recherche pour le Developpement (IRD); CNRS - Institute of Ecology &amp; Environment (INEE); Spanish Institute of Oceanography; Ifremer; Centre National de la Recherche Scientifique (CNRS); Ifremer; Institut de Recherche pour le Developpement (IRD); Universite de Bretagne Occidentale</t>
  </si>
  <si>
    <t>Paul-Pont, I (corresponding author), IFREMER Inst Univ Europeen Mer, Technopole Brest Iroise, Lab Sci Environm Marin LEMAR, CNRS,UBO,IRD,UMR 6539, Rue Dumont dUrville, F-29280 Plouzane, France.</t>
  </si>
  <si>
    <t>ika.paulpont@univ-brest.fr</t>
  </si>
  <si>
    <t>Fabioux, Caroline/AAC-4378-2019; González Fernández, Carmen/K-7113-2019; sussarellu, rossana/HGE-5566-2022; Hegaret, Helene/B-7206-2008</t>
  </si>
  <si>
    <t>Fabioux, Caroline/0000-0002-9436-5128; sussarellu, rossana/0000-0001-6997-5058; Hegaret, Helene/0000-0003-4639-9013; Soudant, Philippe/0000-0003-3090-5612; Paul-Pont, Ika/0000-0003-3734-0909; Huvet, Arnaud/0000-0001-6912-881X; Gonzalez-Fernandez, Carmen/0000-0002-8731-6504; Albentosa, Marina/0000-0003-4771-5137; Lacroix, Camille/0000-0003-4020-3489; Lambert, Christophe/0000-0002-5885-467X</t>
  </si>
  <si>
    <t>MICRO EU Interreg project [MICRO 09-002-BE]</t>
  </si>
  <si>
    <t>MICRO EU Interreg project(Interreg Europe)</t>
  </si>
  <si>
    <t>This study was partly funded by the MICRO EU Interreg-funded project (MICRO 09-002-BE). The authors are grateful to M. Van der Meulen, L Devriese, D. Vethaak, T. Maes, and D. Mazurais for their valuable support and helpful discussions and also the anonymous reviewers of the paper who greatly helped improving the scientific quality of the manuscript. We also thank Pr R. Whittington for his helpful revision of the English and his comments on the manuscript.</t>
  </si>
  <si>
    <t>10.1016/j.envpol.2016.06.039</t>
  </si>
  <si>
    <t>DW8UH</t>
  </si>
  <si>
    <t>WOS:000383930500078</t>
  </si>
  <si>
    <t>Liu, ZB; Hu, DC; Zheng, CY; Yu, KH; Zhang, XC; Ma, WS</t>
  </si>
  <si>
    <t>Liu, Zhengbiao; Hu, Dechao; Zheng, Chengyu; Yu, Kanghua; Zhang, Xiancheng; Ma, Wenshi</t>
  </si>
  <si>
    <t>Bioinspired High-Performance Silicone Elastomers by Catalyst-Free Dopamine Cross-Linking</t>
  </si>
  <si>
    <t>INDUSTRIAL &amp; ENGINEERING CHEMISTRY RESEARCH</t>
  </si>
  <si>
    <t>ADHESIVE; COATINGS; RUBBER</t>
  </si>
  <si>
    <t>Silicone elastomers, as good sealants and adhesives, have been widely applied in protective coatings, architectural decoration, electronic packaging, and other fields. However, the traditional cross-linking of silicone elastomers is highly dependent on toxic catalysts or heavy metals, which may inevitably lead to severe environmental pollution. Moreover, most silicone elastomers suffer from a poor adhesive performance. In this study, inspired by the high adhesion properties of mussels, an eco-friendly and catalyst-free silicone elastomer with high adhesion properties was prepared by using dopamine as a cross-linker and amino-functionalized polysiloxane as a base. Under mild conditions (pH = 8.5), dopamine was self-polymerized and underwent Michael addition and Schiff base reactions with amino groups to form robust elastomers. It was found that the cross-linking degree gradually increases with the dopamine content increasing from 2 to 6%, and the solvent resistance and thermal stability exhibit significant improvement. Meanwhile, the tensile strength increased by 245% from 0.22 to 0.77 MPa. Especially, the as-obtained silicone elastomers have excellent adhesion to different materials. The lap shear strength with aluminum substrates (1.09 MPa) is 3.6 times higher than that of conventional silicone elastomers. The development of catalyst-free bioinspired silicone elastomers with high adhesion may shed light on the research of eco-friendly silicone materials and offer innovative insight for mussel-inspired adhesives.</t>
  </si>
  <si>
    <t>[Liu, Zhengbiao; Zheng, Chengyu; Ma, Wenshi] South China Univ Technol, Sch Mat Sci &amp; Engn, Guangzhou 510640, Peoples R China; [Hu, Dechao] Foshan Univ, Sch Mat Sci &amp; Hydrogen Energy, Guangdong Key Lab Hydrogen Energy Technol, Foshan 528000, Peoples R China; [Yu, Kanghua; Zhang, Xiancheng; Ma, Wenshi] Hubei Junbang New Mat Technol Co ltd, Yichang 443701, Peoples R China</t>
  </si>
  <si>
    <t>South China University of Technology; Foshan University</t>
  </si>
  <si>
    <t>Ma, WS (corresponding author), South China Univ Technol, Sch Mat Sci &amp; Engn, Guangzhou 510640, Peoples R China.;Hu, DC (corresponding author), Foshan Univ, Sch Mat Sci &amp; Hydrogen Energy, Guangdong Key Lab Hydrogen Energy Technol, Foshan 528000, Peoples R China.;Ma, WS (corresponding author), Hubei Junbang New Mat Technol Co ltd, Yichang 443701, Peoples R China.</t>
  </si>
  <si>
    <t>msdchu@163.com; mcwshma@scut.edu.cn</t>
  </si>
  <si>
    <t>Ma, Wenshi/AAD-2496-2019; Hu, Dechao/P-3055-2019</t>
  </si>
  <si>
    <t>Hu, Dechao/0000-0002-7966-7152</t>
  </si>
  <si>
    <t>National Natural Science Foundation of China [2021A1515110405]; Guangdong Basic and Applied Basic Research Foundation [52303074]; National Natural Science Foundation of China</t>
  </si>
  <si>
    <t>National Natural Science Foundation of China(National Natural Science Foundation of China (NSFC)); Guangdong Basic and Applied Basic Research Foundation; National Natural Science Foundation of China(National Natural Science Foundation of China (NSFC))</t>
  </si>
  <si>
    <t>This work was supported by the Guangdong Basic and Applied Basic Research Foundation (2021A1515110405) and the National Natural Science Foundation of China (52303074).</t>
  </si>
  <si>
    <t>0888-5885</t>
  </si>
  <si>
    <t>1520-5045</t>
  </si>
  <si>
    <t>IND ENG CHEM RES</t>
  </si>
  <si>
    <t>Ind. Eng. Chem. Res.</t>
  </si>
  <si>
    <t>10.1021/acs.iecr.3c03658</t>
  </si>
  <si>
    <t>GV8W9</t>
  </si>
  <si>
    <t>WOS:001155550600001</t>
  </si>
  <si>
    <t>BRUNETTI, R; GOLA, I; MAJONE, F</t>
  </si>
  <si>
    <t>SISTER-CHROMATID EXCHANGE IN DEVELOPING EGGS OF MYTILUS-GALLOPROVINCIALIS LMK (BIVALVIA)</t>
  </si>
  <si>
    <t>MUTATION RESEARCH</t>
  </si>
  <si>
    <t>A simple and rapid experimental technique for detecting SCE in developing eggs of Mytilus galloprovincialis (Bivalvia) was set up. Eggs, fertilized in the laboratory, were treated with nitrilotriacetic acid (NTA), HgCl2 and HgCl2 plus NTA (1:1). Results confirm the high genotoxicity of mercury, indicating an absence of activity by NTA and a lack of interaction between NTA and the metal. Eggs from mussels collected in two stations characterized by different levels of sea-waste and hydrocarbon pollution presented a significant difference in their SCE frequencies. This indicates that a genetic effect can also be produced in gametes. This system may be used for laboratory studies as well as for monitoring the environmental genotoxicity of marine pollutants.</t>
  </si>
  <si>
    <t>UNIV PADUA, DEPARTIMENTO BIOL, VIA LOREDAN 10, I-35100 PADUA, ITALY.</t>
  </si>
  <si>
    <t>0921-8262</t>
  </si>
  <si>
    <t>MUTAT RES</t>
  </si>
  <si>
    <t>Mutat. Res.</t>
  </si>
  <si>
    <t>10.1016/0165-7992(86)90153-3</t>
  </si>
  <si>
    <t>D1470</t>
  </si>
  <si>
    <t>WOS:A1986D147000011</t>
  </si>
  <si>
    <t>Maioli, OLG; Rodrigues, KC; Knoppers, BA; Azevedo, DA</t>
  </si>
  <si>
    <t>Maioli, Otavio L. G.; Rodrigues, Kamila C.; Knoppers, Bastiaan A.; Azevedo, Debora A.</t>
  </si>
  <si>
    <t>Polycyclic aromatic and aliphatic hydrocarbons in Mytella charruana, a bivalve mollusk from Mundau Lagoon, Brazil</t>
  </si>
  <si>
    <t>15th Brazilian Meeting in Analytical Chemistry/3rd Ibero-American Congress in Analytical Chemistry</t>
  </si>
  <si>
    <t>OCT 18-21, 2009</t>
  </si>
  <si>
    <t>Salvador, BRAZIL</t>
  </si>
  <si>
    <t>PAH; Bivalve mollusks; Aliphatic hydrocarbon; Brazilian areas; Pollution sources</t>
  </si>
  <si>
    <t>ORGANIC CONTAMINANTS; PAH CONTAMINATION; MYTILUS-EDULIS; RIVER ESTUARY; SEDIMENT; MUSSEL; SEA; GEOCHEMISTRY; SYSTEM</t>
  </si>
  <si>
    <t>The levels of selected organic markers, such as 17 polycyclic aromatic hydrocarbons (PAHs), 16 of which are classified as priority pollutants by the US-EPA, perylene, aliphatic hydrocarbons (linear alkanes) and petroleum biomarkers (hopanes and steranes) were assessed in Mytella charruana, a common bivalve mollusk from the convergence of the Mundau Lagoon, Maceio, Alagoas, Brazil. The organic markers were evaluated in three campaigns (Jul/2006, Oct/2007 and Feb/2008) aiming to identify pollution sources, understand their status of contamination and determine baseline data looking for future management strategies. Higher Sigma 16HPAs concentration was observed in organisms with 10-30 mm (80% of the total mass of organisms from Mundau Lagoon) collected in Feb/2008, whereas in individuals with 30-40 mm, the PAH concentrations were higher during Jul/2006 and Oct/2007. The sugarcane burning in Maceio-AL occurs between October and March. The Flt/(Flt + Py) and BaA/(BaA + Chry) ratios in Feb/2008 indicated a combustion process source. The PAH concentrations in Mytella charruana are below of the limit value considered by the WHO (10 ng g(-1) for BaP). However, the results suggest that the sugarcane burning process lead to higher PAH concentrations in these organisms in Feb/2008. Many samples showed significant contamination by petroleum biomarkers, hopanes and steranes. Also, the aliphatic hydrocarbon chromatographic profiles were characteristic of petrogenic sources. The hydrocarbons measured in Mytella charruana from Mundau Lagoon seems to be impacted by PAH in sugarcane burning periods. On the other hand, urban residues and fishing boats could be pointed as important petrogenic sources of aliphatic hydrocarbons in the same bivalve mollusk. (C) 2010 Elsevier B.V. All rights reserved.</t>
  </si>
  <si>
    <t>[Maioli, Otavio L. G.; Rodrigues, Kamila C.; Azevedo, Debora A.] Univ Fed Rio de Janeiro, Inst Quim, BR-21941909 Rio De Janeiro, Brazil; [Knoppers, Bastiaan A.] Univ Fed Fluminense, Dept Geoquim, BR-24020150 Niteroi, RJ, Brazil</t>
  </si>
  <si>
    <t>Universidade Federal do Rio de Janeiro; Universidade Federal Fluminense</t>
  </si>
  <si>
    <t>Azevedo, DA (corresponding author), Univ Fed Rio de Janeiro, Inst Quim, BR-21941909 Rio De Janeiro, Brazil.</t>
  </si>
  <si>
    <t>otaviomaioli@iq.ufrj.br; debora@iq.ufrj.br</t>
  </si>
  <si>
    <t>Knoppers, Bastiaan/AAK-2311-2021; AZEVEDO, DEBORA/U-1887-2017</t>
  </si>
  <si>
    <t>10.1016/j.microc.2010.03.001</t>
  </si>
  <si>
    <t>615UM</t>
  </si>
  <si>
    <t>WOS:000279163200032</t>
  </si>
  <si>
    <t>Dimitriadis, VK; Domouhtsidou, GP; Raftopoulou, E</t>
  </si>
  <si>
    <t>Localization of Hg and Pb in the palps, the digestive gland and the gills in Mytilus galloprovincialis (L.) using autometallography and X-ray microanalysis</t>
  </si>
  <si>
    <t>Mytilus galloprovincialis; palps; digestive gland; gills; autometallography; X-ray microanalysis</t>
  </si>
  <si>
    <t>LITTORINA-LITTOREA L; ULTRASTRUCTURAL-LOCALIZATION; SILVER AMPLIFICATION; CELL LYSOSOMES; POLLUTED SITES; COMMON WINKLE; HEAVY-METALS; ZEBRA MUSSEL; TRACE-METALS; CADMIUM</t>
  </si>
  <si>
    <t>The intracellular localization of heavy metals using autometallography (AMG) and X-ray microanalysis was studied in the palps, the digestive gland and the gills of mussels Mytilus galloprovincialis, after an experimental exposure to 0.1 mg l(-1) of Hg and 0.1 mg l(-1), of Ph, for 10 and 60 days. In the examined tissues, autometallographical black silver deposits (BSD) were localized mainly in the residual bodies and heterolysosomes of the digestive cells, as well as in the dense bodies of the epithelial cells. Metal deposition after Hg exposure was much more abundant compared to Ph exposure. Using X-ray microanalysis, Hg was traced on the BSD in all examined tissues. while Ph was not traced in these deposits. The results are discussed in comparison to previous results on long-term exposure to the same metals; in addition, the palps are introduced as a new metal storing organ and, finally, the use of X-ray microanalysis under a scanning electron microscope in order to enhance the specificity of AMG is suggested. (C) 2003 Elsevier Science Ltd. All rights reserved.</t>
  </si>
  <si>
    <t>Aristotle Univ Thessaloniki, Sch Biol, Dept Genet Dev &amp; Mol Biol, Thessaloniki 54124, Greece</t>
  </si>
  <si>
    <t>10.1016/S0269-7491(03)00122-2</t>
  </si>
  <si>
    <t>705DA</t>
  </si>
  <si>
    <t>WOS:000184347400006</t>
  </si>
  <si>
    <t>Ivanina, AV; Hawkins, C; Beniash, E; Sokolova, IM</t>
  </si>
  <si>
    <t>Ivanina, Anna V.; Hawkins, Chelsea; Beniash, Elia; Sokolova, Inna M.</t>
  </si>
  <si>
    <t>Effects of environmental hypercapnia and metal (Cd and Cu) exposure on acid-base and metal homeostasis of marine bivalves</t>
  </si>
  <si>
    <t>Ocean acidification; Metals; pH; Free metals; Hemocytes; Acid-base homeostasis; Metal homeostasis</t>
  </si>
  <si>
    <t>OYSTERS CRASSOSTREA-VIRGINICA; OCEAN ACIDIFICATION; NA+/H+ EXCHANGER; INTRACELLULAR ALKALINIZATION; EASTERN OYSTERS; MITOCHONDRIAL ACONITASE; ENERGY-METABOLISM; OXIDATIVE STRESS; AIR EXPOSURE; TRACE-METALS</t>
  </si>
  <si>
    <t>Elevated CO2 levels reduce seawater pH and may affect bioavailability of trace metals in estuaries. We studied the interactive effects of common metal pollutants (50 mu g l(-1) Cd or Cu) and P-CO2 (similar to 395,800 and 2000 mu atm) on metal levels, intracellular pH, expression of metal binding proteins and stress biomarkers in estuarine bivalves Crassostrea virginica (oysters) and Mercenaria mercenaria (hard clams). Cd (but not Cu or hypercapnia) exposure affected the acid-base balance of hemocytes resulting in elevated intracellular pH. Cd and Cu exposure led to the increase in the tissue metal burdens, and metal accumulation was reduced by elevated P-CO2 in the mantle but not hemocytes. No change was found in the intracellular free Cd2+ Cu+ or Fe2+ during Cu or Cd exposure indicating that these metals are bound to intracellular ligands. Free Zn2+ content in oyster hemocytes was suppressed by Cd and Cu exposure and below the detection limits in clam hemocytes, which went hand-in-hand with the elevated mRNA expression of metallothioneins and ferritin in Cd- and Cu-exposed bivalves, enhanced by hypercapnia. The metal-binding and antioxidant mechanisms of oysters and clams were sufficient to effectively maintain intracellular redox status, even though metal exposure combined with moderate hypercapnia (similar to 800 mu atm P-CO2) led to the elevated production of reactive oxygen species in hemocytes. Overall, while hypercapnia modulates metal accumulation, binding capacity and oxidative stress in estuarine bivalves, the physiological effects of elevated CO2 are mild compared to the effects of other common stressors. (C) 2015 Elsevier Inc All rights reserved.</t>
  </si>
  <si>
    <t>[Ivanina, Anna V.; Hawkins, Chelsea; Sokolova, Inna M.] Univ N Carolina, Dept Biol Sci, Charlotte, NC 28223 USA; [Beniash, Elia] Univ Pittsburgh, Dept Oral Biol, Pittsburgh, PA USA</t>
  </si>
  <si>
    <t>University of North Carolina; University of North Carolina Charlotte; Pennsylvania Commonwealth System of Higher Education (PCSHE); University of Pittsburgh</t>
  </si>
  <si>
    <t>Sokolova, IM (corresponding author), Univ N Carolina, Dept Biol Sci, Charlotte, NC 28223 USA.</t>
  </si>
  <si>
    <t>National Science Foundation [IOS-095107]; U.S. Civil Research and Defense Foundation award CRDF Global [14-0083]; UNC Charlotte's Faculty Research Grant; Direct For Biological Sciences; Division Of Environmental Biology [0951079] Funding Source: National Science Foundation</t>
  </si>
  <si>
    <t>National Science Foundation(National Science Foundation (NSF)); U.S. Civil Research and Defense Foundation award CRDF Global; UNC Charlotte's Faculty Research Grant; Direct For Biological Sciences; Division Of Environmental Biology(National Science Foundation (NSF)NSF - Directorate for Biological Sciences (BIO))</t>
  </si>
  <si>
    <t>This work was supported by funds provided by the National Science Foundation award IOS-095107 to I.M.S. and E.B., the U.S. Civil Research and Defense Foundation award CRDF Global # 14-0083 and UNC Charlotte's Faculty Research Grant to I.M.S. The authors thank Dr. Markus Etzkorn (Department of Chemistry, UNC Charlotte) for providing salicylaldehyde isonicotinoyl hydrazine for this study and Emily Schmidt for the assistance with the TAOC assays.</t>
  </si>
  <si>
    <t>10.1016/j.cbpc.2015.05.001</t>
  </si>
  <si>
    <t>CO6OC</t>
  </si>
  <si>
    <t>WOS:000359275000001</t>
  </si>
  <si>
    <t>Atzori, G; Aru, V; Marincola, FC; Chiarantini, L; Medas, D; Sarais, G; Cabiddu, S</t>
  </si>
  <si>
    <t>Atzori, Giulia; Aru, Violetta; Marincola, Flaminia Cesare; Chiarantini, Laura; Medas, Daniela; Sarais, Giorgia; Cabiddu, Serenella</t>
  </si>
  <si>
    <t>Sediments distribution of trace metals in a coastal lagoon (Southern Sardinia, Mediterranean Sea): assessment of contamination and ecological risk</t>
  </si>
  <si>
    <t>Lagoon; sediments; metals; organic matter</t>
  </si>
  <si>
    <t>HEAVY-METALS; GRAIN-SIZE; POLLUTION; MERCURY; RIVER; IMPACTS; MARINE; BIOAVAILABILITY; DYNAMICS; QUALITY</t>
  </si>
  <si>
    <t>Coastal lagoons are subject to several sources of contaminations. To shade light on the contamination level of the Santa Gilla lagoon (Tyrrhenian Sea) we investigated the spatial distribution of Cr, Ni, Pb, Zn and Hg in sediments and their correlation with grain size and organic matter contents. Moreover, sediment contamination levels and the ecological risk associated with metal concentration were assessed using different abiotic indicators. The lagoon is characterised by low levels of contamination, with exceptions for Pb and Hg, whose distribution reflects the position of an old chlor-alkali plant and that of an airport. These results indicate that the restoration put in place 30 years ago have not reached the expected target and that the presence of the airport deserves further attention. In the outer section of the lagoon, where clam fishery occurs, we observed low levels of contamination suggesting that such artisanal fishery could somehow help mobilising metals. We conclude that the area exposed to Hg pollution, though tentatively restored, still suffers of a potential risk of ecosystem deterioration. We pinpoint that further investigations on the mobility, bioavailability and toxicity of metals are needed to finally address the actual impairment of the Santa Gilla lagoon.</t>
  </si>
  <si>
    <t>[Atzori, Giulia; Sarais, Giorgia; Cabiddu, Serenella] Univ Cagliari, Dept Life &amp; Environm Sci, Via Fiorelli 1, I-09126 Cagliari, CA, Italy; [Aru, Violetta; Marincola, Flaminia Cesare; Medas, Daniela] Univ Cagliari, Dept Chem &amp; Geol Sci, Monserrato, Italy; [Aru, Violetta] Univ Copenhagen, Dept Food Sci, Qual &amp; Technol, Frederiksberg C, Denmark; [Chiarantini, Laura] CNR, IGG, Florence, Italy</t>
  </si>
  <si>
    <t>University of Cagliari; University of Cagliari; University of Copenhagen; Consiglio Nazionale delle Ricerche (CNR); Istituto di Geoscienze e Georisorse (IGG-CNR)</t>
  </si>
  <si>
    <t>Cabiddu, S (corresponding author), Univ Cagliari, Dept Life &amp; Environm Sci, Via Fiorelli 1, I-09126 Cagliari, CA, Italy.</t>
  </si>
  <si>
    <t>cabiddus@unica.it</t>
  </si>
  <si>
    <t>; Cesare Marincola, Flaminia/G-3520-2015</t>
  </si>
  <si>
    <t>Medas, Daniela/0000-0002-9540-4635; Chiarantini, Laura/0000-0002-1936-423X; Aru, Violetta/0000-0002-5719-4622; Cesare Marincola, Flaminia/0000-0002-9695-5957</t>
  </si>
  <si>
    <t>10.1080/02757540.2018.1491557</t>
  </si>
  <si>
    <t>GO1MF</t>
  </si>
  <si>
    <t>WOS:000439715200003</t>
  </si>
  <si>
    <t>Reed, LA; Pennington, PL; Wirth, E</t>
  </si>
  <si>
    <t>Reed, Lou Ann; Pennington, Paul L.; Wirth, Edward</t>
  </si>
  <si>
    <t>A survey of trace element distribution in tissues of stone crabs (Menippe mercenaria) from South Carolina Coastal Waters</t>
  </si>
  <si>
    <t>Stone crab; Menippe mercenaria; South Carolina; Trace metals; Arsenic; Mercury</t>
  </si>
  <si>
    <t>CARCINUS-MAENAS; TIDAL CREEK; BAY</t>
  </si>
  <si>
    <t>The stone crab (Menippe mercenaria) is an important component of the estuarine food web as both predator and prey. Stone crabs live in sediment, primarily consume oysters, and as a result, have the potential to accumulate significant quantities of pollutants including metals. In South Carolina, the stone crab is becoming a targeted fishery as an ecologically sustainable seafood choice. To date, no studies have reported metals in stone crab tissues. This study examined the distribution of major and minor trace elements in chelae and body muscle, gill, and hepatopancreas. Crabs were collected from three tidal areas within Charleston County, South Carolina, with differing upland use. Results were compared by collection location and by tissue type. Concentrations of some metals associated with anthropogenic activities were up to three times higher in crabs from sites adjacent to more urbanized areas. Concentrations in edible tissues were below historical FDA levels of concern. Published by Elsevier Ltd.</t>
  </si>
  <si>
    <t>[Reed, Lou Ann; Wirth, Edward] NOAA, NOS, NCCOS, Ctr Coastal Environm Hlth &amp; Biomol Res, Charleston, SC USA; [Pennington, Paul L.] JHT Inc NOAA, Ctr Coastal Environm Hlth &amp; Biomol Res, Charleston, SC USA</t>
  </si>
  <si>
    <t>National Oceanic Atmospheric Admin (NOAA) - USA; National Ocean Service, NOAA; National Oceanic Atmospheric Admin (NOAA) - USA</t>
  </si>
  <si>
    <t>Reed, LA (corresponding author), NOAA, NOS, NCCOS, Ctr Coastal Environm Hlth &amp; Biomol Res, Charleston, SC USA.</t>
  </si>
  <si>
    <t>LouAnn.Reed@noaa.gov; Paul.Pennington@noaa.-gov; Ed.Wirth@noaa.gov</t>
  </si>
  <si>
    <t>Reed, Lou Ann/0000-0001-9671-2368</t>
  </si>
  <si>
    <t>South Carolina Sea Grant Consortium; South Carolina Department of Natural Resources Cooperative Fisheries Research Grants Project</t>
  </si>
  <si>
    <t>This study complements South Carolina Sea Grant Consortium and the South Carolina Department of Natural Resources Cooperative Fisheries Research Grants Project, Evaluation of the Viability of a Stone Crab Fishery in South Carolina Using a GIS. SC Dept. of Natural Resources is acknowledged for providing Experimental Permit EX09-0067 to allow collection of the stone crabs. The authors would like to thank commercial stone crab fisherman, Daniel K. Morey, for his expertise and assistance in the field collection of stone crabs.</t>
  </si>
  <si>
    <t>10.1016/j.marpolbul.2010.09.025</t>
  </si>
  <si>
    <t>700JU</t>
  </si>
  <si>
    <t>WOS:000285735700030</t>
  </si>
  <si>
    <t>Zhang, YW; Li, AW; Tian, T; Zhou, XY; Liu, YT; Zhao, M; Zhao, LS</t>
  </si>
  <si>
    <t>Zhang, Yiwen; Li, Anwen; Tian, Tian; Zhou, Xunyong; Liu, Yutong; Zhao, Min; Zhao, Longshan</t>
  </si>
  <si>
    <t>Preparation of amino functionalized magnetic oyster shell powder adsorbent for selective removal of anionic dyes and Pb (II) from wastewater</t>
  </si>
  <si>
    <t>Oyster shell; Adsorption; Magnetic separation</t>
  </si>
  <si>
    <t>SOLID-PHASE EXTRACTION; AQUEOUS-SOLUTION; EFFICIENT REMOVAL; BETA-CYCLODEXTRIN; CONGO RED; ADSORPTION; NANOCOMPOSITE; COMPOSITE; POLLUTANTS; METALS</t>
  </si>
  <si>
    <t>A kind of new magnetic oyster shell (OS) composite (OS-Fe3O4@SiO2@NH2@PEI) was synthesized and used as an adsorbent to remove carmine (CM), sunset yellow (SY) and Pb (II) from water. Firstly, Fe3O4 magnetic nanoparticles were introduced on the surface of waste oyster shell powder, then amino silanization was used to improve the stability of the material, and finally polyethylenimide (PEI) was grafted by Schiff base reaction. The composite was characterized by FT-IR, SEM, EDS, XPS, VSM, BET, TEM and zeta potential. The effects of adsorbent dosage and initial solution pH on the three samples were investigated by adsorption experiments. The adsorption kinetics and isotherms were investigated in depth under the best experimental conditions. The composite adsorbent not only selectively removed anionic azo dyes, but also had good recycling. In addition, OSFe3O4@SiO2@NH2@PEI still had good performance in mixed samples. These results indicated that OSFe3O4@SiO2@NH2@PEI was successfully used for the removal of a wide range of anionic dyes and heavy metal ions from the environment, and provided a new strategy for recycling waste.</t>
  </si>
  <si>
    <t>[Zhang, Yiwen; Li, Anwen; Tian, Tian; Liu, Yutong; Zhao, Min; Zhao, Longshan] Shenyang Pharmaceut Univ, Sch Pharm, 103 Wenhua Rd, Shenyang 110016, Liaoning, Peoples R China; [Zhou, Xunyong] HC Enzyme Biotech Co Ltd, Shenzhen 518001, Guangdong, Peoples R China</t>
  </si>
  <si>
    <t>Shenyang Pharmaceutical University</t>
  </si>
  <si>
    <t>Zhao, M; Zhao, LS (corresponding author), Shenyang Pharmaceut Univ, Sch Pharm, 103 Wenhua Rd, Shenyang 110016, Liaoning, Peoples R China.</t>
  </si>
  <si>
    <t>zm19871224@sina.com; longshanzhao@163.com</t>
  </si>
  <si>
    <t>Zhang, Yiwen/GWM-7219-2022; Zhao, Longshan/AFR-4720-2022; Zhao, Min/JGM-3156-2023; Cheng, Lin/KFQ-3111-2024</t>
  </si>
  <si>
    <t>Youqing lift Program of Shenyang Pharmaceutical University [YQ202206]; Middle-aged Backbone Personnel Training Program of Shenyang Pharmaceutical University [ZQN2016011]</t>
  </si>
  <si>
    <t>Youqing lift Program of Shenyang Pharmaceutical University; Middle-aged Backbone Personnel Training Program of Shenyang Pharmaceutical University</t>
  </si>
  <si>
    <t>This work was supported by the Youqing lift Program of Shenyang Pharmaceutical University (YQ202206) and the Middle-aged Backbone Personnel Training Program of Shenyang Pharmaceutical University (ZQN2016011) .</t>
  </si>
  <si>
    <t>10.1016/j.ijbiomac.2024.129414</t>
  </si>
  <si>
    <t>HR8D9</t>
  </si>
  <si>
    <t>WOS:001161316100001</t>
  </si>
  <si>
    <t>Bouzidi, I; Sellami, B; Boulanger, A; Joyeux, C; Harrath, AH; Albeshr, MF; Pacioglu, O; Boufahja, F; Beyrem, H; Mougin, K</t>
  </si>
  <si>
    <t>Bouzidi, Imen; Sellami, Badreddine; Boulanger, Anna; Joyeux, Cecile; Harrath, Abdel Halim; Albeshr, Mohammed Fahad; Pacioglu, Octavian; Boufahja, Fehmi; Beyrem, Hamouda; Mougin, Karine</t>
  </si>
  <si>
    <t>Metallic nanoparticles affect uptake of polycyclic aromatic hydrocarbons and impacts in the Mediterranean mussels Mytilus galloprovincialis</t>
  </si>
  <si>
    <t>Nanoparticles; Persistent organic pollutants; Neurotoxicity; Accumulation; Antagonism</t>
  </si>
  <si>
    <t>MUMMICHOGS FUNDULUS-HETEROCLITUS; TIO2 NANOPARTICLES; OXIDE NANOPARTICLES; SURFACE SEDIMENTS; PHOTOCATALYTIC ACTIVITY; SILVER NANOPARTICLES; MARINE POLLUTION; ACCUMULATION; TOXICITY; COASTAL</t>
  </si>
  <si>
    <t>The impact of metallic nanoparticles (NPs) on the uptake and toxicity of persistent organic pollutants by marine bivalves was assessed through a comparative laboratory study by exposing mussels to polycyclic aromatic hy-drocarbon (PAHs), in the presence and absence of ZnO and TiO2 NPs. PAHs and NPs concentration was analyzed after 14 days of exposure in mussels by GC/MS and ICP/AES. Furthermore, impact on the physiology and neurotoxicity of PAHs and NPs acting alone or in mixtures were also determined. Our results confirmed the bio-uptake of PAHs and NPs by mussels. In addition, the exposure NPs-PAHs resulted in different bio-uptake profile to that of PAHs alone. The NPs and accumulation of PAHs led to disturbance of essential metals concentration and to different impact profiles in the filtration and respiration capacities as well as in the acetylcholinesterase activity. Antagonist interactions between NPs and PAHs could occur after exposure.</t>
  </si>
  <si>
    <t>[Bouzidi, Imen; Boufahja, Fehmi; Beyrem, Hamouda] Univ Carthage, Fac Sci Bizerte, Coastal Ecol &amp; Ecotoxicol Unit, LR01ES14 Lab Environm Biomonitoring, Zarzouna 7021, Tunisia; [Bouzidi, Imen; Mougin, Karine] Univ Haute Alsace, Univ Strasbourg, Inst Sci Mat, IS2M CNRS UMR 7361, 15 Rue Jean Starcky, F-68057 Mulhouse, France; [Sellami, Badreddine] Inst Natl Sci &amp; Technol Mer, Tabarka, Tunisia; [Boulanger, Anna; Joyeux, Cecile] Univ Strasbourg, Univ Haute Alsace, IRJBD Equipe Biomol Synth &amp; Methodol, Lab Innovat Mol &amp; Applicat,UMR CNRS 7042, Strasbourg, France; [Harrath, Abdel Halim; Albeshr, Mohammed Fahad] King Saud Univ, Coll Sci, Zool Dept, Box 2455, Riyadh 11451, Saudi Arabia; [Pacioglu, Octavian] Natl Inst Res &amp; Dev Biol Sci, Bucharest, Romania</t>
  </si>
  <si>
    <t>Universite de Carthage; Universites de Strasbourg Etablissements Associes; Universite de Haute-Alsace (UHA); Universite de Strasbourg; Institut National des Sciences et Technologies de la Mer; Universites de Strasbourg Etablissements Associes; Universite de Strasbourg; Universite de Haute-Alsace (UHA); King Saud University; National Research Institute for Biological Sciences</t>
  </si>
  <si>
    <t>Boufahja, F (corresponding author), Univ Carthage, Fac Sci Bizerte, Coastal Ecol &amp; Ecotoxicol Unit, LR01ES14 Lab Environm Biomonitoring, Zarzouna 7021, Tunisia.</t>
  </si>
  <si>
    <t>Pacioglu, Octavian/A-2347-2017; mougin, karine/JGM-0039-2023; Harrath, Abdel Halim/K-2166-2014</t>
  </si>
  <si>
    <t>King Saud University, Riyadh, Saudi Arabia [RSP2023R17]</t>
  </si>
  <si>
    <t>The authors extend their appreciation to the Researchers supporting project number (RSP2023R17) at King Saud University, Riyadh, Saudi Arabia. The authors would like to thank Nathalie Kocenko and Centre de Resource Technologique (Cetim Grand Est - Site de Strasbourg) for the analytical contribution. Pr. David Sheehan is gratefully acknowledged as native English speaker for her helpful criticisms and for English improvements.</t>
  </si>
  <si>
    <t>10.1016/j.marpolbul.2023.114641</t>
  </si>
  <si>
    <t>8N2DB</t>
  </si>
  <si>
    <t>WOS:000924959100001</t>
  </si>
  <si>
    <t>WHITE, DH; STENDELL, RC; MULHERN, BM</t>
  </si>
  <si>
    <t>RELATIONS OF WINTERING CANVASBACKS TO ENVIRONMENTAL-POLLUTANTS - CHESAPEAKE BAY, MARYLAND</t>
  </si>
  <si>
    <t>WILSON BULLETIN</t>
  </si>
  <si>
    <t>The levels of environmental pollutants [heptachlor epoxide, oxychlordane, hexachlorobenzene, cis-chlordane, trans-nonachlor, dieldrin, toxaphene, DDE, DDT, DDD and polychlorinated biphenyls] in Canvasbacks wintering on Chesapeake Bay, Maryland, and their food items, were studied in 1973, 1975 and 1976. Canvasback carcasses were analyzed for organochlorine pesticides and polychlorinated biphenyls; livers, kidneys, wingbones and food items (clams) were analyzed for selected heavy metals. Levels of toxicants in Canvasbacks were below those levels known to cause problems in other avian species. Of the samples, 10% appeared to have elevated Pb levels based on wingbone residues. Cu and Zn residues were high in Canvasback livers but their potential effects are unknown.</t>
  </si>
  <si>
    <t>PATUXENT WILDLIFE RES CTR, LAUREL, MD 20811 USA; US FISH &amp; WILDLIFE SERV, PROGRAM ENVIRONM CONTAMINANTS EVALUAT, WASHINGTON, DC 20240 USA</t>
  </si>
  <si>
    <t>PATUXENT WILDLIFE RES CTR, GULF COAST FIELD STN, POB 2506, VICTORIA, TX 77901 USA.</t>
  </si>
  <si>
    <t>WILSON ORNITHOLOGICAL SOC</t>
  </si>
  <si>
    <t>WACO</t>
  </si>
  <si>
    <t>5400 BOSQUE BLVD, STE 680, WACO, TX 76710 USA</t>
  </si>
  <si>
    <t>0043-5643</t>
  </si>
  <si>
    <t>WILSON BULL</t>
  </si>
  <si>
    <t>Wilson Bull.</t>
  </si>
  <si>
    <t>HF694</t>
  </si>
  <si>
    <t>WOS:A1979HF69400009</t>
  </si>
  <si>
    <t>El Haimeur, B; Bouhallaoui, M; Zbiry, M; Elkhiati, N; Talba, S; Sforzini, S; Viarengo, A; Benhra, A</t>
  </si>
  <si>
    <t>El Haimeur, Bouchra; Bouhallaoui, Mina; Zbiry, Mariama; Elkhiati, Najat; Talba, Sophia; Sforzini, Susanna; Viarengo, Aldo; Benhra, Ali</t>
  </si>
  <si>
    <t>Use of biomarkers to evaluate the effects of environmental stressors on Mytilus galloprovincialis sampled along the Moroccan coasts: Integrating biological and chemical data</t>
  </si>
  <si>
    <t>Lysosomal membrane stability; Acetylcholinesterase; Metallothionein; Malondialdehyde; Biomarker data integration; Mytilus galloprovincialis</t>
  </si>
  <si>
    <t>DECISION-SUPPORT-SYSTEM; MARINE ECOSYSTEMS; DIGESTIVE CELLS; ACETYLCHOLINESTERASE ACTIVITY; METAL CONTAMINATION; OXIDATIVE STRESS; CAGED MUSSELS; HEALTH-STATUS; METALLOTHIONEIN; EDULIS</t>
  </si>
  <si>
    <t>A biomonitoring study using wild Mytilus galloprovincialis mussels sampled from six sites along the Moroccan coasts evaluated whether select biomarkers are suitable for identifying and quantifying pollution-induced stress syndrome in mussels. Lysosomal membrane stability was confirmed to be a highly sensitive biological parameter, and acetylcholinesterase activity was found a suitable biomarker of neurotoxicity. Metallothionein concentrations were in line with heavy metal concentrations detected in mussel tissues. However, malondialdehyde was not sensitive, suggesting the need for alternative biomarkers of oxidative stress. Three different approaches were used for biomarker and chemical data integration. The Integrated Biomarker Response (IBR) was suitable for classifying the stress response but did not allow to evaluate the level of stress in the organisms. The Mussel Expert System (MES) was suitable for ranking the biological effects of pollutants, also providing an indication of the evolution of the stress syndrome in the animals. Finally, the use of Principal Component Analysis (PCA) provided indication of the inorganic chemicals contributing to the detrimental biological effects. (C) 2017 Elsevier Ltd. All rights reserved.</t>
  </si>
  <si>
    <t>[El Haimeur, Bouchra; Bouhallaoui, Mina; Benhra, Ali] INRH, Lab Ecotoxicol, Labs Centraux, Bd Sidi Abderrahmane 2 Ain Diab, Casablanca, Morocco; [El Haimeur, Bouchra; Zbiry, Mariama; Elkhiati, Najat] Fac Sci Ain Chock, Dept Biol, Lab Sante &amp; Environm, Casablanca, Morocco; [Talba, Sophia] Fac Sci Ben MSik, Dept Biol, Lab Ecol &amp; Environm, Casablanca, Morocco; [Sforzini, Susanna; Viarengo, Aldo] Univ Piemonte Orientale, Dept Sci &amp; Technol Innovat DiSIT, Vle T Michel 11, I-15121 Alessandria, Italy</t>
  </si>
  <si>
    <t>Hassan II University of Casablanca; Hassan II University of Casablanca; University of Eastern Piedmont Amedeo Avogadro</t>
  </si>
  <si>
    <t>El Haimeur, B (corresponding author), Fac Sci Ain Chock, Dept Biol, Lab Sante &amp; Environm, Casablanca, Morocco.</t>
  </si>
  <si>
    <t>elhaimeur16@gmail.com</t>
  </si>
  <si>
    <t>Viarengo, Aldo/0000-0002-1557-6526; Sforzini, Susanna/0000-0002-7310-7605</t>
  </si>
  <si>
    <t>10.1016/j.marenvres.2017.05.010</t>
  </si>
  <si>
    <t>FK3JY</t>
  </si>
  <si>
    <t>WOS:000413382600007</t>
  </si>
  <si>
    <t>Forlin, L; Livingstone, DR; Magnusson, K; Peters, LD; Sole, M; Sjolin, A; Granmo, A</t>
  </si>
  <si>
    <t>Molecular investigations into pollutant impact on roundnose grenadier (C-rupestris) and transplanted common mussel (M-edulis) in Skagerrak, the North Sea</t>
  </si>
  <si>
    <t>8th International Symposium on Pollutant Responses in Marine Organisms (PRIMO 9)</t>
  </si>
  <si>
    <t>APR 02-05, 1995</t>
  </si>
  <si>
    <t>PACIFIC GROVE, CA</t>
  </si>
  <si>
    <t>RAINBOW-TROUT; LITTORINA-LITTOREA; SALMO-GAIRDNERI; MYTILUS-EDULIS; CYTOCHROME-P-450; SYSTEM; MONOOXYGENASE; RESPONSES</t>
  </si>
  <si>
    <t>The use of a suite of different biochemical markers in the deep sea fish Roundnose grenadier and caged common mussels, and analyses of contaminant levels in the mussels, indicate that Skagerrak are more polluted than waters around the Faroe Islands. In Roundnose, induction of ethoxyresorufin-O-deethylase (EROD) is consistent with increased benzo(a)pyrene hydroxylase (BPH) in mussels and elevated levels of polynuclear aromatic hydrocarbons (PAHs) in mussels and sediment from Skagerrak. This evidence of a large-scale environmental impact of pollutants should lead to further efforts to decrease transport into, and deposition of, waste compounds in the Skagerrak area. Copyright (C) 1996 Elsevier Science Ltd.</t>
  </si>
  <si>
    <t>NERC,PLYMOUTH MARINE LAB,PLYMOUTH PL1 2PB,DEVON,ENGLAND; GOTHENBURG UNIV,KRISTINEBERG MARINE RES STN,S-45034 FISKEBACKSKIL,SWEDEN</t>
  </si>
  <si>
    <t>Plymouth Marine Laboratory; UK Research &amp; Innovation (UKRI); Natural Environment Research Council (NERC); University of Gothenburg</t>
  </si>
  <si>
    <t>Forlin, L (corresponding author), GOTHENBURG UNIV,DEPT ZOOPHYSIOL,S-41390 GOTHENBURG,SWEDEN.</t>
  </si>
  <si>
    <t>sole, montserrat/C-7398-2013</t>
  </si>
  <si>
    <t>sole, montserrat/0000-0002-9920-5051</t>
  </si>
  <si>
    <t>JUN-OCT</t>
  </si>
  <si>
    <t>10.1016/0141-1136(95)00060-7</t>
  </si>
  <si>
    <t>UU369</t>
  </si>
  <si>
    <t>WOS:A1996UU36900034</t>
  </si>
  <si>
    <t>Sun, XM; Chen, BJ; Xia, B; Han, Q; Zhu, L; Qu, KN</t>
  </si>
  <si>
    <t>Sun, Xuemei; Chen, Bijuan; Xia, Bin; Han, Qian; Zhu, Lin; Qu, Kerning</t>
  </si>
  <si>
    <t>Are CuO nanoparticles effects on hemocytes of the marine scallop (Chlamys farreri) caused by particles and/or corresponding released ions?</t>
  </si>
  <si>
    <t>CuO nanoparticles; Hemocyte; Scallops; Particles; Released ions; Integrated biomarker response</t>
  </si>
  <si>
    <t>METAL-OXIDE NANOPARTICLES; MUSSEL MYTILUS-GALLOPROVINCIALIS; COPPER-OXIDE; TIO2 NANOPARTICLES; HALIOTIS-TUBERCULATA; OXIDATIVE STRESS; PRIMARY CULTURES; DIGESTIVE GLAND; ORGANIC-MATTER; PERNA-VIRIDIS</t>
  </si>
  <si>
    <t>Manufactured nanoparticles (NPs) have become emerging pollutants and attracted extensive concern about their potential effects on the marine environment. However, the contribution of particles and their corresponding released ions to the overall toxicity of CuO NPs is poorly understood. In this study, we investigated the toxicological effects of CuO NPs and their corresponding released ions on the hemocytes of Chlamys furred. Both copper species induced membrane damage, and increased lysosome contents in hemocytes. Based on the integrated biomarker responses method, the relative contributions of particles (NPparticle) and dissolved ions (NPion) to the toxicity of CuO NPs after 2 h of exposure were 62.07% and 37.93%, respectively, indicating that the particles rather than the dissolved ions were the dominant source of NP toxicity. Transmission/sranriing electron microscopy analysis confirmed the greater histopathological effects exerted by particles than Cu ions. Higher reactive oxygen species (ROS) generation induced by NPparticle wide than by NPion suggested that the intracellular ROS production might be responsible for the NP toxicity. Our findings suggest that particles effects play a key role in risk assessment of CuO NPs on the marine ecosystem.</t>
  </si>
  <si>
    <t>[Sun, Xuemei; Chen, Bijuan; Xia, Bin; Han, Qian; Zhu, Lin; Qu, Kerning] Chinese Acad Fishery Sci, Yellow Sea Fisheries Res Inst, Qingdao 266071, Peoples R China; [Sun, Xuemei; Chen, Bijuan; Xia, Bin; Zhu, Lin; Qu, Kerning] Qingdao Natl Lab Marine Sci &amp; Technol, Lab Marine Ecol &amp; Environm Sci, Qingdao 266071, Peoples R China</t>
  </si>
  <si>
    <t>Chinese Academy of Fishery Sciences; Yellow Sea Fisheries Research Institute, CAFS; Laoshan Laboratory</t>
  </si>
  <si>
    <t>Xia, B (corresponding author), Chinese Acad Fishery Sci, Yellow Sea Fisheries Res Inst, Qingdao 266071, Peoples R China.</t>
  </si>
  <si>
    <t>xiabin@ysfri.ac.cn</t>
  </si>
  <si>
    <t>sun, xuemei/0000-0003-4918-4202; Xia, Bin/0000-0002-4260-270X</t>
  </si>
  <si>
    <t>National Natural Science Foundation of China [41206100]; Special Scientific Research Funds for Central Non-profit Institutes; Yellow Sea Fisheries Research Institutes [20603022016015, 20603022012020]; Special Scientific Research Funds for Central Non-profit Institute; Chinese Academy of Fishery Sciences [2014A02YQ02]; Joint Fund Project of National Fund Committee and Shandong Province [U1406403]</t>
  </si>
  <si>
    <t>National Natural Science Foundation of China(National Natural Science Foundation of China (NSFC)); Special Scientific Research Funds for Central Non-profit Institutes; Yellow Sea Fisheries Research Institutes; Special Scientific Research Funds for Central Non-profit Institute; Chinese Academy of Fishery Sciences; Joint Fund Project of National Fund Committee and Shandong Province</t>
  </si>
  <si>
    <t>This work was funded by the National Natural Science Foundation of China (41206100), the Special Scientific Research Funds for Central Non-profit Institutes, Yellow Sea Fisheries Research Institutes (20603022016015, 20603022012020), the Special Scientific Research Funds for Central Non-profit Institute, Chinese Academy of Fishery Sciences (2014A02YQ02), and the Joint Fund Project of National Fund Committee and Shandong Province (No. U1406403). We thank Donghui Xu, FeiTei Ma, Lill Huang, Qi Sui, and Bin Gu for their technical assistance.</t>
  </si>
  <si>
    <t>10.1016/j.ecoenv.2017.01.014</t>
  </si>
  <si>
    <t>EO4BY</t>
  </si>
  <si>
    <t>WOS:000396640600009</t>
  </si>
  <si>
    <t>DAVENPORT, J</t>
  </si>
  <si>
    <t>A STUDY OF EFFECTS OF COPPER APPLIED CONTINUOUSLY AND DISCONTINUOUSLY TO SPECIMENS OF MYTILUS-EDULIS (L) EXPOSED TO STEADY AND FLUCTUATING SALINITY LEVELS</t>
  </si>
  <si>
    <t>Survival and behavior of specimens of M. edulis exposed to discontinuous and continuous Cu regimes was investigated in both fluctuating salinity conditions and constant full strenght sea water. Continuous 0.5 and 0.25 ppm added Cu caused damage to mussels within 1-2 days; the M.L.T. [median lethol time] for 0.5 ppm Cu2+ was about 2 days, for 0.25 ppm Cu2+ 4-5 days. In full strength sea water a 6 h on, 6 h off 0.5 ppm Cu2+ regime caused no damage at all in 5 days; this was because Mytilus can detect Cu in its environment and close its shell valves to avoid detrimental consequences of exposure to Cu. In fluctuating salinity regimes, the timing of Cu delivery was extremely important; animals survived Cu delivery occurring at low or falling salinities because of interacting closure responses to Cu and low salinites. These results may cast doubt on the usefulness of Mytilus and other animals which possess similar closure mechanisms, in the role of a biological pollutant monitoring system.</t>
  </si>
  <si>
    <t>NERC, MARINE SCI LABS, MARINE INVERTEBRATE BIOL UNIT, GWYNEDD, ENGLAND</t>
  </si>
  <si>
    <t>UK Research &amp; Innovation (UKRI); Natural Environment Research Council (NERC); Bangor University</t>
  </si>
  <si>
    <t>10.1017/S0025315400021238</t>
  </si>
  <si>
    <t>DB343</t>
  </si>
  <si>
    <t>WOS:A1977DB34300007</t>
  </si>
  <si>
    <t>Pytharopoulou, S; Kouvelaa, EC; Sazakli, E; Leotsinidis, M; Kalpaxis, DL</t>
  </si>
  <si>
    <t>Pytharopoulou, Sofia; Kouvelaa, Ekaterini C.; Sazakli, Eleni; Leotsinidis, Michel; Kalpaxis, Dimitrios L.</t>
  </si>
  <si>
    <t>Evaluation of the global protein synthesis in Mytilus galloprovincialis in marine pollution monitoring:: Seasonal variability and correlations with other biomarkers</t>
  </si>
  <si>
    <t>protein synthesis; metal bioaccumulation; metallothionein; lysosomal membrane stability; micronuclei frequency; mussels</t>
  </si>
  <si>
    <t>LYSOSOMAL MEMBRANE STABILITY; GENOTOXICITY BIOMARKERS; DIGESTIVE GLAND; ACETYLCHOLINESTERASE ACTIVITY; TRANSLATION INITIATION; MUSSEL; METALLOTHIONEIN; FIELD; LAM.; L.</t>
  </si>
  <si>
    <t>Protein synthesis down-regulation is a life-saving mechanism for many organisms exposed to xenobiotics that threaten normal life. The present study was designed to assess the spatial and seasonal variability of global protein synthesis, determined in the microsomal fraction of digestive glands from caged Mytilus galloprovincialis mussels exposed for 30 days in a relatively clean region and two unevenly polluted areas (Stations 1 and 2) along the Gulf of Patras (Greece). The in vivo activity of translating ribosomes was evaluated by analyzing the translating ribosomes, polysome content, which may serve as an indicator of the efficiency of the protein-synthesizing machinery. To correlate with classical biomonitoring strategies, various biomarkers were measured in digestive glands, including metallothionein content, heavy-metal content, and lysosomal membrane stability. In parallel, gill cells were examined for micronucleus frequency. Metal ion concentrations were also estimated in the surrounding waters as a measure of metal exposure. Substantially lower polysome content was recorded in caged mussels collected from Station 1, in particular during the winter and spring sampling. As verified by chemical analysis of the seawater and measurement of other biomarkers, Station I was more contaminated than Station 2. Polysome content was found negatively correlated with metallothionein levels, micronucleus frequency and cytosolic Cu and Hg in all seasons. In addition, negative correlations were obtained between polysome content and lysosomal membrane stability in winter and spring. A progressive increase in polysomes was observed from winter to autumn, in particular in samples from Station 1. A non-uniform trend was detected in 80S ribosomal monosomes, whereas the seasonal changes in ribosomal subunits were opposite to those found in polysome content. Comparisons between seasonal and local site-specific influences on polysome content provides evidence that winter and spring are the most appropriate sampling seasons for application of translation activity as a possible biomarker in biomonitoring studies. (c) 2006 Elsevier B.V. All rights reserved.</t>
  </si>
  <si>
    <t>Univ Patras, Sch Med, Biochem Lab, GR-26110 Patras, Greece; Univ Patras, Sch Med, Publ Hlth Lab, GR-26110 Patras, Greece</t>
  </si>
  <si>
    <t>Kalpaxis, DL (corresponding author), Univ Patras, Sch Med, Biochem Lab, GR-26110 Patras, Greece.</t>
  </si>
  <si>
    <t>Sazakli, Eleni/A-2798-2013; Kalpaxis, Dimitrios/A-5195-2008</t>
  </si>
  <si>
    <t>Pytharopoulou, Sofia/0000-0003-3923-1554; Leotsinidis, Michalis/0000-0002-0345-9410; Sazakli, Eleni/0000-0002-5673-2214</t>
  </si>
  <si>
    <t>10.1016/j.aquatox.2006.07.010</t>
  </si>
  <si>
    <t>095MX</t>
  </si>
  <si>
    <t>WOS:000241313000003</t>
  </si>
  <si>
    <t>Séguin, A; Caplat, C; Serpentini, A; Lebel, JM; Menet-Nedelec, F; Costil, K</t>
  </si>
  <si>
    <t>Seguin, A.; Caplat, C.; Serpentini, A.; Lebel, J. M.; Menet-Nedelec, F.; Costil, K.</t>
  </si>
  <si>
    <t>Metal bioaccumulation and physiological condition of the Pacific oyster (Crassostrea gigas) reared in two shellfish basins and a marina in Normandy (northwest France)</t>
  </si>
  <si>
    <t>Crassostrea gigas; Metallic contamination; Bioaccumulation; Physiological condition; Oxidative stress; France</t>
  </si>
  <si>
    <t>DELAYED GAMETOGENESIS; DIGESTIVE GLAND; COASTAL WATERS; ZEBRA MUSSELS; HEAVY-METALS; MYA-ARENARIA; CONTAMINATION; BIOMARKERS; POLLUTION; ESTUARY</t>
  </si>
  <si>
    <t>A 5-month experiment combining a geochemical survey of metals with a bioaccumulation study in batches of Crassostrea gigas was conducted in two shellfish farming areas and a marina in Normandy (France). Various endpoints at different levels of biological organization were studied. ROCCH data showed differences in biota contamination between the two shellfish areas but the present study revealed only slight differences in metallic contamination and biomarkers. By contrast, significantly different values were recorded in the marina in comparison with the two other sites. Indeed, higher levels of Cd, Cu and Zn were measured in the oysters from the marina, and these oysters also showed a poorer physiological condition (e.g., condition index, histopathological alterations and neutral lipid content). For coastal monitoring, the multi-biomarker approach coupled with an assessment of metallic contamination in biota appeared to be suitable for discriminating spatial differences in environmental quality after only a few months of exposure. (C) 2016 Elsevier Ltd. All rights reserved.</t>
  </si>
  <si>
    <t>[Seguin, A.; Caplat, C.; Serpentini, A.; Lebel, J. M.; Costil, K.] Univ Caen Normandie, Normandie Univ, F-14032 Caen, France; [Seguin, A.; Caplat, C.; Serpentini, A.; Lebel, J. M.; Costil, K.] Univ Caen Normandie, UMR BOREA Biol Organismes &amp; Ecosyst Aquat, Esplanade Paix, MNHN,UPMC,UCBN,CNRS 7208,IRD 207,IBFA, F-14032 Caen 5, France; [Menet-Nedelec, F.] IFREMER, LERN, Ave Gal de Gaulle,BP 32, F-14520 Port En Bessin, France</t>
  </si>
  <si>
    <t>Universite de Caen Normandie; Universite de Caen Normandie; Museum National d'Histoire Naturelle (MNHN); Institut de Recherche pour le Developpement (IRD); Sorbonne Universite; Ifremer</t>
  </si>
  <si>
    <t>Costil, K (corresponding author), Univ Caen Normandie, UMR BOREA, F-14032 Caen, France.</t>
  </si>
  <si>
    <t>katherine.costil@unicaen.fr</t>
  </si>
  <si>
    <t>Menet-Nedelec, Florence/K-2262-2015</t>
  </si>
  <si>
    <t>Menet-Nedelec, Florence/0000-0002-0933-2509</t>
  </si>
  <si>
    <t>ANR; NSERC Agencies (joined France-Canada project) as a part of the research programme IPOC) [ANR-12-ISV7-0004-01]</t>
  </si>
  <si>
    <t>ANR(Agence Nationale de la Recherche (ANR)); NSERC Agencies (joined France-Canada project) as a part of the research programme IPOC)</t>
  </si>
  <si>
    <t>We gratefully acknowledge the staff of the UMR BOREA laboratory in the University of Caen and particularly Christophe Roger and Beatrice Adeline. We thank the SATMAR team, who kindly provided juvenile oysters. We are grateful to the members of the Lycee Maritime et Aquacole de Cherbourg (ferme d'application de Saint-Vaast-La-Hougue) and the Centre de Recherche en Environnement Cotier (CREC) in Luc-sur-Mer (especially Jean-Paul Lehodey) for providing technical facilities. We also thank Dr. Aude Jouaux, who quantified the viral loads in oysters at the Centre de Reference sur l'Huitre (CRH). This work was supported by a grant from both ANR and NSERC Agencies (joined France-Canada project) as a part of the research programme IPOC (Interactions between POllution and Climate changes: Development of improved monitoring strategy, ANR-12-ISV7-0004-01, 2013-2015).</t>
  </si>
  <si>
    <t>10.1016/j.marpolbul.2016.02.068</t>
  </si>
  <si>
    <t>WOS:000376545900038</t>
  </si>
  <si>
    <t>Boukadida, K; Banni, M; -Ramirez, AR; Clerandeau, C; Gourves, PY; Cachot, J</t>
  </si>
  <si>
    <t>Boukadida, Khouloud; Banni, Mohamed; -Ramirez, Alicia Romero; Clerandeau, Christelle; Gourves, Pierre-Yves; Cachot, Jerome</t>
  </si>
  <si>
    <t>Metal contamination and heat stress impair swimming behavior and acetylcholinesterase activity in embryo-larval stages of the Mediterranean mussel, Mytilus galloprovincialis</t>
  </si>
  <si>
    <t>Swimmingbehavior; D-larvae; Mytilusgalloprovincialis; Metals; Acetylcholinesterase; Temperature</t>
  </si>
  <si>
    <t>EARLY-LIFE STAGES; CHOLINESTERASE ACTIVITY; THERMAL-STRESS; DAPHNIA-MAGNA; OYSTER LARVAE; TEMPERATURE; RESPONSES; INHIBITION; DISPERSAL; POLLUTION</t>
  </si>
  <si>
    <t>Behavioral parameters are increasingly considered sensitive and early bioindicators of toxicity in aquatic or-ganisms. A video-tracking tool was specifically developed to monitor the swimming behaviour of D-larvae of the Mediterranean mussel, Mytilus galloprovincialis, in controlled laboratory conditions. Both maximum and average swimming speeds and trajectories were recorded. We then investigated the impact of copper and silver with or without a moderate rise of temperature on swimming behavior and acetylcholinesterase (AChE) activity of mussel D-larvae and the possible mechanistic link between both biological responses. Our results showed that copper and/or silver exposure, as well as temperature increase, disrupts the swimming behavior of mussel larvae which could compromise their dispersal and survival. In addition, the combined effect of temperature and metals significantly (p &lt; 0.05) increased AChE activity in mussel larvae. Pearson's correlation analysis was performed and results showed that the AChE activity is positively correlated with maximum speeds (r = 0.71, p &lt; 0.01). This study demonstrates the value of behavioral analyzes of aquatic invertebrates as a sensitive and integrate marker of the effects of stressors.</t>
  </si>
  <si>
    <t>[Boukadida, Khouloud; -Ramirez, Alicia Romero; Clerandeau, Christelle; Gourves, Pierre-Yves; Cachot, Jerome] Univ Bordeaux, Lab Ocean &amp; Continental Environm &amp; Paleoenvironm, EPOC, UMR 5805, F-33600 Pessac, France; [Boukadida, Khouloud; Banni, Mohamed] ISA, Lab Agrobiodivers &amp; Ecotoxicol, Sousse 4042, Tunisia; [Banni, Mohamed] Univ Monastir, Higher Inst Biotechnol, Monastir, Tunisia</t>
  </si>
  <si>
    <t>Universite de Bordeaux; Centre National de la Recherche Scientifique (CNRS); CNRS - National Institute for Earth Sciences &amp; Astronomy (INSU); Universite de Tunis-El-Manar; Institut Salah Azaiez; Universite de Monastir</t>
  </si>
  <si>
    <t>Boukadida, K (corresponding author), ISA, Lab Agrobiodivers &amp; Ecotoxicol, Sousse 4042, Tunisia.</t>
  </si>
  <si>
    <t>Khouloud.boukadida@gmail.com</t>
  </si>
  <si>
    <t>BOUKADIDA, Khouloud/0000-0003-3876-9862</t>
  </si>
  <si>
    <t>European Union; University of Bordeaux; Ministry of Higher Education of the tunisian government; Laboratory of Agrobiodiversity and Ecotoxicology [LR21AGR02]</t>
  </si>
  <si>
    <t>European Union(European Union (EU)); University of Bordeaux; Ministry of Higher Education of the tunisian government; Laboratory of Agrobiodiversity and Ecotoxicology</t>
  </si>
  <si>
    <t>Khouloud Boukadida was recipient of a Ph.D. scholarship from the European Union in the framework of the Erasmus Mundus EU Metallic II Program. This work formed part of the LABEX COTE cluster of excellence Continental to coastal Ecosystems: evolution, adaptability, and governance. This project was supported by the University of Bordeaux, Ministry of Higher Education of the tunisian government. , and the Laboratory of Agrobiodiversity and Ecotoxicology (LR21AGR02) .</t>
  </si>
  <si>
    <t>10.1016/j.marenvres.2022.105677</t>
  </si>
  <si>
    <t>3A4KW</t>
  </si>
  <si>
    <t>WOS:000827231600007</t>
  </si>
  <si>
    <t>METCALFESMITH, JL; GREEN, RH</t>
  </si>
  <si>
    <t>AGING STUDIES ON 3 SPECIES OF FRESH-WATER MUSSELS FROM A METAL-POLLUTED WATERSHED IN NOVA-SCOTIA, CANADA</t>
  </si>
  <si>
    <t>UNIONID CLAM; ELLIPTIO-COMPLANATA; ANODONTA-GRANDIS; LAKE; GROWTH; BIOMASS; SIZE; POPULATION; SEDIMENTS; BIVALVIA</t>
  </si>
  <si>
    <t>Freshwater mussels are increasingly used to monitor metal pollution in freshwater systems. Mussels are long-lived, and age is a factor that may influence metal concentrations in their tissues. Species that can be precisely aged are most suitable for biomonitoring because they can be standardized for this factor. Precise age estimates are also needed for determining the effects of contamination on population parameters such as growth rate. Elliptio complanata, Anodonta implicata, and Alasmidonta undulata (family Unionidae) were collected from two Nova Scotia lakes contaminated with arsenic and mercury. Mussel shells were weighed, measured, and sectioned, and two independent counts of internal growth bands were made. External rings were also counted for A. implicata. Age estimates based on internal bands were most precise for E. complanata (r2 = 0.71 vs. 0.35 for A. implicata and 0.29 for A. undulata). Estimates based on external rings were more precise (r2 = 0.69) than those based on internal bands for A. implicata, but were believed to include disturbance rings. Shell length and weight were similarly correlated with age for a given species and population, but relationships were less clear in the lake with the more variable habitat. Elliptio complanata were much smaller at a given age in the more contaminated lake.</t>
  </si>
  <si>
    <t>UNIV WESTERN ONTARIO,DEPT ZOOL,LONDON N6A 5B7,ONTARIO,CANADA</t>
  </si>
  <si>
    <t>Western University (University of Western Ontario)</t>
  </si>
  <si>
    <t>METCALFESMITH, JL (corresponding author), NATL WATER RES INST BRANCH,POB 5050,RIVERS RES BRANCH,867 LAKESHORE RD,BURLINGTON L7R 4A6,ONTARIO,CANADA.</t>
  </si>
  <si>
    <t>10.1139/z92-179</t>
  </si>
  <si>
    <t>JL311</t>
  </si>
  <si>
    <t>WOS:A1992JL31100003</t>
  </si>
  <si>
    <t>The degree of trace metal pyritization in subtidal sediments of a mariculture area: Application to the assessment of toxic risk</t>
  </si>
  <si>
    <t>diagenesis; anoxic marine sediments; pyrite; DTMP; trace element; shallow coastal environment</t>
  </si>
  <si>
    <t>ANOXIC MARINE-SEDIMENTS; NW IBERIAN PENINSULA; SIMON BAY RIA; HEAVY-METALS; MYTILUS-GALLOPROVINCIALIS; PARACENTROTUS-LIVIDUS; INTERTIDAL SEDIMENTS; DE-VIGO; SPAIN; SPECIATION</t>
  </si>
  <si>
    <t>Four 2-3 in sediment cores were taken at the sites on the periphery of mussel raft concentrations in the subtidal zone of the inner Ria de Vigo (Galicia, NW Spain) with a view to evaluate the potential risk to mariculture from sediment-borne trace elements (As, Cd, Cr, Cu, Mn, Ni, Ph and Zn). The distribution of each of these elements in reactive, organic, pyrite and silicate-bound fractions was determined at 64 samples, and these data were used to calculate the degree of trace metal pyritization (DTMP) of each metal/metalloid. In the top 10-20 cm, relatively oxic conditions led to As, Cd, Cu, Ph and Zn having large reactive fractions due to their association with Fe and Mn oxyhydroxides. At lower levels, anoxic conditions favoured by intense diagenesis led to the precipitation of trace metals and metalloids as sulphides, with or without association with pyrite. Particularly large pyrite fractions in the 20-100 cm layer are attributed to the organic matter of this layer being more marine in origin than that of deeper sediments. DTMP was greatest for Cu and As, and least for Ph, Zn and Cr. The risk of trace element toxicity in the event of disturbances instituting oxic conditions in these sediments is discussed. (C) 2008 Elsevier Ltd. All rights reserved.</t>
  </si>
  <si>
    <t>[Alvarez-Iglesias, P.; Rubio, B.] Univ Vigo, Fac Ciencias, Dept Geociencias Marinas &amp; Ordenac Terr, Vigo 36310, Pontevedra, Spain</t>
  </si>
  <si>
    <t>Rubio, B (corresponding author), Univ Vigo, Fac Ciencias, Dept Geociencias Marinas &amp; Ordenac Terr, Vigo 36310, Pontevedra, Spain.</t>
  </si>
  <si>
    <t>Rubio, Belén/A-6326-2008; Iglesias, Paula/A-8660-2017</t>
  </si>
  <si>
    <t>10.1016/j.marpolbul.2008.01.026</t>
  </si>
  <si>
    <t>WOS:000256713500027</t>
  </si>
  <si>
    <t>Luna-Acosta, A; Budzinski, H; Le Menach, K; Thomas-Guyon, H; Bustamante, P</t>
  </si>
  <si>
    <t>Luna-Acosta, A.; Budzinski, H.; Le Menach, K.; Thomas-Guyon, H.; Bustamante, P.</t>
  </si>
  <si>
    <t>Persistent organic pollutants in a marine bivalve on the Marennes-Oleron Bay and the Gironde Estuary (French Atlantic Coast)-Part 1: Bioaccumulation</t>
  </si>
  <si>
    <t>Polycyclic aromatic hydrocarbons; Persistent organic pollutants; Bivalve; Bioaccumulation; Active biomonitoring</t>
  </si>
  <si>
    <t>MYTILUS-GALLOPROVINCIALIS; POLYCHLORINATED-BIPHENYLS; SEASONAL-VARIATIONS; MEDITERRANEAN SEA; PAH CONTAMINATION; CRASSOSTREA-GIGAS; SUMMER MORTALITY; BALTIC SEA; FRANCE; OYSTERS</t>
  </si>
  <si>
    <t>The aim of this study was to determine 1) the relevance of using the Pacific oyster Crassostrea gigas as a sentinel organism, at a juvenile stage, for polycyclic aromatic hydrocarbon (PAH) and persistent organic pollutant (polychlorobiphenyl, PCB, polybromodimethylether, PBDE, and organochlorine pesticide, OCP) contamination, 2) the potential levels of chemical organic contamination in the Marennes-Oleron Bay, and their potential sources and 3) the potential influence of physiological or environmental factors on contaminant body burdens in oysters. To this end, juvenile oysters purchased from an oyster hatchery were transplanted to a reference site, in Bouin, and to different transplantation sites in the Marennes-Oleron Bay, the first oyster production area in France, and in the Gironde Estuary, the biggest estuary in Occidental Europe. Transplantations were done during summer and winter. Whole oyster soft tissues from each site were analysed for PAHs, PCBs, PBDEs and OCPs. Results obtained with a transplantation period of 3 months suggest that C. gigas, at the juvenile stage, is a relevant sentinel organism for short-term assessment of contamination for these contaminants. In addition, no significant effects of physiological factors on contaminant body burdens were observed. Principal component analysis revealed two distinct groups of contaminants (PAHs and OPCs, and PCBs and PBDEs) and three groups of sites: 1) the reference site, 2) Les Palles (LP) and Boyard (BOY) in winter and 3) all the other sites. The group of LP and BOY was clearly defined by the levels of PAHs and OCPs, suggesting higher levels of contamination of these chemical compounds on these sites, potentially due to local contamination sources. In addition, no relevant effects of physiological or environmental factors on contaminant body burdens were observed. Results suggest also a predominance of contaminants related to agricultural activities along the Marennes-Oleron Bay, and therefore, further studies on the presence of pesticides in this region should be considered. (C) 2014 Elsevier B.V. All rights reserved.</t>
  </si>
  <si>
    <t>[Luna-Acosta, A.; Thomas-Guyon, H.; Bustamante, P.] Univ La Rochelle, UMR CNRS 7266, Littoral Environm &amp; Soc LIENSs, F-17042 La Rochelle 01, France; [Budzinski, H.; Le Menach, K.] Univ Bordeaux 1, UMR CNRS 5805, UMR EPOC, Lab Phys ToxicoChim Environm LPTC, F-33405 Talence, France; [Budzinski, H.; Le Menach, K.] Univ Bordeaux 1, CNRS, UMR 5805, EPOC,Lab Phys ToxicoChim Environm LPTC, F-33405 Talence, France</t>
  </si>
  <si>
    <t>La Rochelle Universite; Universite de Bordeaux; Centre National de la Recherche Scientifique (CNRS); CNRS - National Institute for Earth Sciences &amp; Astronomy (INSU); Universite de Bordeaux; Centre National de la Recherche Scientifique (CNRS); CNRS - National Institute for Earth Sciences &amp; Astronomy (INSU)</t>
  </si>
  <si>
    <t>Luna-Acosta, A (corresponding author), Univ Javeriana, Dept Ecol &amp; Terr, Transv 4 42-00, Bogota, Colombia.</t>
  </si>
  <si>
    <t>THOMAS, Helene/JZW-5193-2024; Bustamante, Paco/G-5833-2011</t>
  </si>
  <si>
    <t>Bustamante, Paco/0000-0003-3877-9390; Luna-Acosta, Andrea/0000-0002-4712-2721; THOMAS, Helene/0000-0002-7932-6841; BUDZINSKI, Helene/0000-0001-5282-9011</t>
  </si>
  <si>
    <t>Conseil General de the Charente-Maritime; Region Poitou-Charentes,; Region Aquitaine; Conseil General de la Charente-Maritime; Conseil General de la Gironde; Agence de l'Eau Adour-Garonne; CPER A2E</t>
  </si>
  <si>
    <t>Conseil General de the Charente-Maritime(Region Nouvelle-Aquitaine); Region Poitou-Charentes,(Region Nouvelle-Aquitaine); Region Aquitaine(Region Nouvelle-Aquitaine); Conseil General de la Charente-Maritime(Region Nouvelle-Aquitaine); Conseil General de la Gironde(Region Nouvelle-Aquitaine); Agence de l'Eau Adour-Garonne; CPER A2E</t>
  </si>
  <si>
    <t>This study was supported by a PhD grant from the Conseil General de the Charente-Maritime for A. Luna-Acosta. Authors wish to thank M. Baudrimont and D. Fichet for supporting this study through the 'Defi Cadmium' project, financed by Region Poitou-Charentes, Region Aquitaine, Conseil General de la Charente-Maritime, Conseil General de la Gironde, and Agence de l'Eau Adour-Garonne. CPER A2E is also acknowledged for financial support. Authors acknowledge also R. Galois for his scientific advice for lipid and glycogen content analyses, C. Trichet, D. Vilday, M. Caille, J. Laheux and M. Pelmoine for their assistance during the study, and the Ifremer networks ROCCH and RAZLEC, the 'Site Ifremer consacre a l'environnement littoral' and especially O. Le Moine, P. Soletchnik, S. Guesdon, P-G. Sauriau, P. Miramand and T. Guyot, for data and references from Marennes-Oleron Bay. Authors wish to warmly thank also T. Caquet for his scientific advice and help in statistical analyses.</t>
  </si>
  <si>
    <t>10.1016/j.scitotenv.2014.08.071</t>
  </si>
  <si>
    <t>CE7RM</t>
  </si>
  <si>
    <t>WOS:000352039500053</t>
  </si>
  <si>
    <t>Chen, L; Zhang, YB; Liu, YZ; Cao, RC; Lv, XQ</t>
  </si>
  <si>
    <t>Chen, Le; Zhang, Yibo; Liu, Yongzhi; Cao, Ruichen; Lv, Xianqing</t>
  </si>
  <si>
    <t>Research on scallop shells transport of the Yantai coastal region in the Bohai Sea</t>
  </si>
  <si>
    <t>adjoint assimilation; Lagrangian particle tracking; Bohai Sea; tidal residual current; pollutant transport</t>
  </si>
  <si>
    <t>OCEAN; MODEL</t>
  </si>
  <si>
    <t>Introduction Bivalve aquaculture is an important pillar of China's fisheries, with over 1 million tonnes of scallop shells produced annually. However, most of these shells are directly discarded into the sea, leading to continuous pollution of the marine and coastal environments, especially the coast of Yantai in the Bohai Sea where a large number of discarded scallop shell have accumulated.Methods To trace the fate of scallop shells in the ocean, this study established a model for the transport of scallop shells, coupling a two-dimensional tidal current model using the adjoint method with a Lagrangian particle model. By simulating nested tidal models, the distribution of tidal residual current in the Yantai coastal region was obtained. Then, a Lagrangian particle model was used to track the transport pathways of pollutants in the sea.Results Driven by the residual current calculated from the tidal model with the actual situation, possible pollutant release areas were inferred. The results of Lagrangian particle tracking experiments indicate that pollutants were released from the upstream accumulation area, specifically the area near Penglai Hulushan, confirming previous speculation.Discussion The scallop shells transport model can accurately simulate the spatiotemporal profile of scallop shells, which is helpful for managing scallop shell resources and improving the level of shell reuse.</t>
  </si>
  <si>
    <t>[Chen, Le; Zhang, Yibo; Cao, Ruichen; Lv, Xianqing] Ocean Univ China, Frontier Sci Ctr Deep Ocean Multispheres &amp; Earth S, Phys Oceanog Lab, Qingdao, Peoples R China; [Liu, Yongzhi] Qingdao Marine Sci &amp; Technol Ctr, Minist Nat Resources, Inst Oceanog 1, Ctr Ocean &amp; Climate Res, Qingdao, Peoples R China</t>
  </si>
  <si>
    <t>Ocean University of China; First Institute of Oceanography, Ministry of Natural Resources; Ministry of Natural Resources of the People's Republic of China</t>
  </si>
  <si>
    <t>Cao, RC (corresponding author), Ocean Univ China, Frontier Sci Ctr Deep Ocean Multispheres &amp; Earth S, Phys Oceanog Lab, Qingdao, Peoples R China.;Liu, YZ (corresponding author), Qingdao Marine Sci &amp; Technol Ctr, Minist Nat Resources, Inst Oceanog 1, Ctr Ocean &amp; Climate Res, Qingdao, Peoples R China.</t>
  </si>
  <si>
    <t>yzliu@fio.org.cn; crc@stu.ouc.edu.cn</t>
  </si>
  <si>
    <t>Liu, Yongzhi/D-3839-2015; Cao, Ruichen/JMB-9044-2023</t>
  </si>
  <si>
    <t>Key R&amp;D Program of Shandong Province (S &amp; T Demonstration Project) [2021SFGC0701]; National Natural Science Foundation of China [42076011, U2006210]</t>
  </si>
  <si>
    <t>Key R&amp;D Program of Shandong Province (S &amp; T Demonstration Project); National Natural Science Foundation of China(National Natural Science Foundation of China (NSFC))</t>
  </si>
  <si>
    <t>The author(s) declare financial support was received for the research, authorship, and/or publication of this article. This work is supported by the Key R&amp;D Program of Shandong Province (S &amp; T Demonstration Project) (No. 2021SFGC0701) and the National Natural Science Foundation of China (Grant No. 42076011 and Grant No. U2006210).</t>
  </si>
  <si>
    <t>10.3389/fmars.2024.1425697</t>
  </si>
  <si>
    <t>YX9H7</t>
  </si>
  <si>
    <t>WOS:001271900400001</t>
  </si>
  <si>
    <t>Rossbach, M; Jayasekera, R; Kniewald, G</t>
  </si>
  <si>
    <t>Marine specimen banking: archive and pollution control for the 21st century</t>
  </si>
  <si>
    <t>environmental impact assessment; marine environment; pollution; specimen banking</t>
  </si>
  <si>
    <t>ORGANOCHLORINES; MAMMALS</t>
  </si>
  <si>
    <t>The oceans have in the past been extensively used as disposal sites for various kinds of waste. The world ocean - being the final sink for many natural and anthropogenic substances - is a 'labile' ecosystem, which is and has for a long time been the focal point of extensive interdisciplinary research. Measurements of heavy metals and a suite of various chemical compounds in the marine environment have mostly been carried out on limited scales, within national (or regional at best) monitoring programmes (e.g, the Mussel Watch programme in the USA, or the North Sea or Baltic survey by the Northern European countries). Most of these actions were restricted to coastal waters and estuaries, which are more severely impacted by pollution than the open ocean. A long-term systematic investigation of human impact on the oceans of the world (along the global currents, the Gulf Stream or El Nino and verging on the main shipping trails) would ideally require a central survey station accompanied by an extensive banking facility, capable of handling a large volume of various marine samples. As biological specimens seem to be a category highly suitable for collection and processing for analysis, one of the aims of a Marine Environmental Specimen Bank (MESB) should be to focus on such samples. Storage of authentic materials is not only valuable for real-time monitoring and basic research activities but also opens the possibility for longterm trend evaluation through retrospective analysis of well-characterized samples taken according to stringent sampling protocols.</t>
  </si>
  <si>
    <t>Forschungszentrum Julich, Inst Chem &amp; Dynam Geosphare ICG7, D-52425 Julich, Germany; Univ Kelaniya, Dept Bot, Kelaniya, Sri Lanka; Rudjer Boskovic Inst, Dept Marine &amp; Environm Res, Zagreb 10000, Croatia</t>
  </si>
  <si>
    <t>Helmholtz Association; Research Center Julich; University Kelaniya; Rudjer Boskovic Institute</t>
  </si>
  <si>
    <t>Forschungszentrum Julich, Inst Chem &amp; Dynam Geosphare ICG7, D-52425 Julich, Germany.</t>
  </si>
  <si>
    <t>m.rossbach@fz-juelich.de</t>
  </si>
  <si>
    <t>Rossbach, Matthias/M-5686-2013</t>
  </si>
  <si>
    <t>Rossbach, Matthias/0000-0002-4342-743X</t>
  </si>
  <si>
    <t>10.1504/IJEP.2000.002322</t>
  </si>
  <si>
    <t>WOS:000088280100017</t>
  </si>
  <si>
    <t>Gilbert, BM; Jirsa, F; Avenant-Oldewage, A</t>
  </si>
  <si>
    <t>Gilbert, Beric M.; Jirsa, Franz; Avenant-Oldewage, Annemarie</t>
  </si>
  <si>
    <t>First record of trace element accumulation in a freshwater ectoparasite, Paradiplozoon ichthyoxanthon (Monogenea; Diplozoidae), infecting the gills of two yellowfish species, Labeobarbus aeneus and Labeobarbus kimberleyensis</t>
  </si>
  <si>
    <t>Zinc; Rubidium; Parasites as sentinels; Water quality; Vaal River; Bioaccumulation</t>
  </si>
  <si>
    <t>POMPHORHYNCHUS-LAEVIS; METAL POLLUTION; VAAL DAM; ACANTHOCEPHALUS-LUCII; ZEBRA MUSSEL; SOUTH-AFRICA; PARASITES; FISH; RIVER; BOTHRIOCEPHALUS</t>
  </si>
  <si>
    <t>Background: Elevated levels of trace elements in the aquatic environment poses risks to the health of biota and humans. Parasites are important components in ecosystems; responding to changes in the health of aquatic ecosystems and can accumulate trace elements in their tissues to higher levels than their hosts. Monogeneans are an important group of fish ectoparasites being directly exposed to the aquatic environment. Methods: In this study concentrations of Ti, Fe, Cu, Zn, Rb, Sr and Ag were analysed in the monogenean parasite, Paradiplozoon ichthyoxanthon (by total reflection x-ray fluorescence spectrometry and graphite furnace atomic absorption spectrometry), and the muscle, liver and gills of two host fish species, Labeobarbus aeneus and Labeobarbus kimberleyensis (by inductively coupled plasma - mass spectrometry). Results: Most striking was the accumulation pattern for Zn in parasites; mean levels of Zn were as high as 1448 and 1652 mg kg(-1) dw, respectively, with no significant difference between the two host-parasite groups, leading to bioconcentration factors of approximately 93 (parasite/fish muscle) and 15 (parasite/fish liver). In addition, Fe was accumulated in the parasite to a higher degree compared to the fish hosts' tissues. Cu levels were higher in P. ichthyoxanthon than in the muscle tissue of both host fishes, but lower than liver tissue. Conclusion: These findings demonstrate the usefulness of this parasite species as a sentinel organism in aquatic ecosystems it inhabits for Fe and Zn. Other trace elements under investigation were not accumulated higher in the parasite compared to its fish host. Lower Rb levels in the parasite compared to its hosts indicate no bio-magnification of this metal. Further investigations are required to determine if similar trends in trace element accumulation occur in other monogeneans. Data availability: All data generated in the analysis of host and parasite tissues are presented in the manuscript.</t>
  </si>
  <si>
    <t>[Gilbert, Beric M.; Jirsa, Franz; Avenant-Oldewage, Annemarie] Univ Johannesburg, Dept Zool, POB 524, ZA-2006 Auckland Pk, South Africa; [Jirsa, Franz] Univ Vienna, Fac Chem, Inst Inorgan Chem, Althanstr 14, A-1090 Vienna, Austria</t>
  </si>
  <si>
    <t>University of Johannesburg; University of Vienna</t>
  </si>
  <si>
    <t>Gilbert, BM (corresponding author), Univ Johannesburg, Dept Zool, POB 524, ZA-2006 Auckland Pk, South Africa.</t>
  </si>
  <si>
    <t>bericg@uj.ac.za; franz.jirsa@univie.ac.at; aoldewage@uj.ac.za</t>
  </si>
  <si>
    <t>Avenant-Oldewage, Annemarie/A-7778-2011; Gilbert, Beric/ABB-7255-2021</t>
  </si>
  <si>
    <t>National Research Foundation South Africa NRF-bilateral [116067]; University of Johannesburg, Faculty Research Committee; University of Johannesburg, Central Research Committee; National Research Foundation (NRF) [120683]</t>
  </si>
  <si>
    <t>National Research Foundation South Africa NRF-bilateral(National Research Foundation - South Africa); University of Johannesburg, Faculty Research Committee; University of Johannesburg, Central Research Committee; National Research Foundation (NRF)</t>
  </si>
  <si>
    <t>The authors would like to thank the National Research Foundation South Africa NRF-bilateral (grant no. 116067) for funding to travel to the University of Vienna, Austria and to undertake field work. The University of Johannesburg, Faculty Research Committee and Central Research Committee are thanked for infrastructure, and funding to undertake field work and ICP-MS analysis. Gratitude is extended to the National Research Foundation (NRF) for providing postdoctoral funding to BMG (Grant Number: 120683).</t>
  </si>
  <si>
    <t>1878-3252</t>
  </si>
  <si>
    <t>10.1016/j.jtemb.2022.127053</t>
  </si>
  <si>
    <t>8X1YO</t>
  </si>
  <si>
    <t>WOS:000931815000003</t>
  </si>
  <si>
    <t>Besada, V; Sericano, JL; Schultze, F</t>
  </si>
  <si>
    <t>Besada, Victoria; Sericano, Jose L.; Schultze, Fernando</t>
  </si>
  <si>
    <t>An assessment of two decades of trace metals monitoring in wild mussels from the Northwest Atlantic and Cantabrian coastal areas of Spain, 1991-2011</t>
  </si>
  <si>
    <t>Trace metals; Wild mussels; Temporal trends; Spain</t>
  </si>
  <si>
    <t>LONG-TERM TRENDS; NW SPANISH COAST; MYTILUS-GALLOPROVINCIALIS; HEAVY-METALS; TEMPORAL TRENDS; BAJA-CALIFORNIA; MEDITERRANEAN MUSSEL; SPATIAL-DISTRIBUTION; ASTURIAS SPAIN; NORTHERN SPAIN</t>
  </si>
  <si>
    <t>Since 1991, the Instituto Espanol de Oceanografia has monitored the concentrations of trace metals in wild mussels from the north (Cantabrian Sea) and northwest (Atlantic) coasts of Spain to define geographical distributions and temporal trends. While Cu, Zn and As concentrations presented fairly uniform geographical distributions, Hg and Pb concentrations were higher in mussels from the Cantabrian sea region as a result of historical anthropogenic activities. Cd, on the other hand, appeared to be more affected by natural processes on the northwest Atlantic coast (i.e., upwelling) than by human activity. Approximately 70% of the paired observations showed downward trends, 50% of these significant, with time. An improvement in environmental conditions along the northern coasts of Spain is evident despite that some metal levels resulted above the Background Assessment Concentrations given by OSPAR to assess potentially harmful occurrences. (C) 2014 Elsevier Ltd. All rights reserved.</t>
  </si>
  <si>
    <t>[Besada, Victoria; Schultze, Fernando] Ctr Oceanog Vigo, Inst Espanol Oceanog, Vigo 36390, Spain; [Sericano, Jose L.] Texas A&amp;M Univ, Geochem &amp; Environm Res Grp, College Stn, TX 77845 USA</t>
  </si>
  <si>
    <t>Spanish Institute of Oceanography; Texas A&amp;M University System; Texas A&amp;M University College Station</t>
  </si>
  <si>
    <t>Besada, V (corresponding author), Ctr Oceanog Vigo, Inst Espanol Oceanog, Subida Radio Faro 50, Vigo 36390, Spain.</t>
  </si>
  <si>
    <t>victoria.besada@vi.ieo.es; jlsericano@geos.tamu.edu; fernando.schultze@vi.ieo.es</t>
  </si>
  <si>
    <t>Besada, Victoria/H-4532-2015</t>
  </si>
  <si>
    <t>Instituto Espanol de Oceanografia; Spanish Ministry of Agriculture, Food and Environment; Campus do Mar; Geochemical and Environmental Research group (GERG) at Texas A&amp;M University, U.S.A.</t>
  </si>
  <si>
    <t>The authors would like to thank Bruno Cambeiro and Maria Lopez as well as the technical staff of the Chemical Pollution Laboratory of the Centro Oceanografico de Vigo (Instituto Espanol de Oceanografia), for their assistance during sampling, sample preparation, and chemical analyses. The authors are grateful to Juan Bellas for his comments which have improved the manuscript and to Juan Jose Gonzalez who initiated this monitoring Program. This study was supported by the Instituto Espanol de Oceanografia and the Spanish Ministry of Agriculture, Food and Environment. Victoria Besada acknowledges a Scholarship from the Campus do Mar to spend three months with the Geochemical and Environmental Research group (GERG) at Texas A&amp;M University, U.S.A.</t>
  </si>
  <si>
    <t>10.1016/j.envint.2014.05.024</t>
  </si>
  <si>
    <t>AP0IQ</t>
  </si>
  <si>
    <t>WOS:000341745100001</t>
  </si>
  <si>
    <t>Szalaj, D; De Orte, MR; Goulding, TA; Medeiros, ID; DelValls, TA; Cesar, A</t>
  </si>
  <si>
    <t>Szalaj, D.; De Orte, M. R.; Goulding, T. A.; Medeiros, I. D.; DelValls, T. A.; Cesar, A.</t>
  </si>
  <si>
    <t>The effects of ocean acidification and a carbon dioxide capture and storage leak on the early life stages of the marine mussel Perna perna (Linneaus, 1758) and metal bioavailability</t>
  </si>
  <si>
    <t>Carbon dioxide capture and storage (CCS); Ocean acidification (OA); Climate change; Metal bioavailability; Marine mussel; Early life stages</t>
  </si>
  <si>
    <t>ELEVATED PCO(2); CO2 LEAKAGE; CO2-INDUCED ACIDIFICATION; DISSOCIATION-CONSTANTS; SEAWATER ACIDIFICATION; JUVENILE PERFORMANCE; LARVAL DEVELOPMENT; CRASSOSTREA-GIGAS; SHELL FORMATION; HEAVY-METALS</t>
  </si>
  <si>
    <t>The study assesses the effects of carbon dioxide capture and storage (CCS) leaks and ocean acidification (OA) on the metal bioavailability and reproduction of the mytilid Perna perna. In laboratory-scale experiments, CCS leakage scenarios (pH 7.0, 6.5, 6.0) and one OA (pH 7.6) scenario were tested using metal-contaminated sediment elutriates and seawater from Santos Bay. The OA treatment did not have an effect on fertilisation, while significant effects were observed in larval-development bioassays where only 16 to 27 % of larva developed normally. In treatments that simulated CO2 leaks, when compared with control, fertilisation success gradually decreased and no larva developed to the D-shaped stage. A fall in pH increased the bioavailability of metals to marine mussels. Larva shell size was significantly affected by both elutriates when compared with seawater; moreover, a significant difference occurred at pH 6.5 between elutriates in the fertilisation bioassay.</t>
  </si>
  <si>
    <t>[Szalaj, D.; De Orte, M. R.; Medeiros, I. D.; Cesar, A.] Univ Fed Sao Paulo, Dept Cincias Mar, Inst Mar, Campus Baixada Santista, BR-11030400 Santos, SP, Brazil; [Szalaj, D.] Univ Lisbon, Inst Dom Luiz, Fac Ciencias, P-1749016 Lisbon, Portugal; [Goulding, T. A.; DelValls, T. A.] Univ Cadiz, Fac Ciencias Mar &amp; Ambientales, Dept Quim Fis, UNESCO UNITWIN Wicop, Poligono Rio San Pedro S-N, Puerto Real 11510, Spain</t>
  </si>
  <si>
    <t>Universidade Federal de Sao Paulo (UNIFESP); Universidade de Lisboa; Universidad de Cadiz</t>
  </si>
  <si>
    <t>Szalaj, D (corresponding author), Univ Fed Sao Paulo, Dept Cincias Mar, Inst Mar, Campus Baixada Santista, BR-11030400 Santos, SP, Brazil.;Szalaj, D (corresponding author), Univ Lisbon, Inst Dom Luiz, Fac Ciencias, P-1749016 Lisbon, Portugal.</t>
  </si>
  <si>
    <t>dszalaj@fc.ul.pt</t>
  </si>
  <si>
    <t>Szalaj, Dorota/HLH-2491-2023; Del Valls, T./K-9664-2014; MEDEIROS, IGOR/J-9957-2014; Cesar, Augusto/H-7523-2012</t>
  </si>
  <si>
    <t>Goulding, Thomas/0000-0001-8689-5885; Szalaj, Dorota/0000-0001-8346-6583; MEDEIROS, IGOR/0000-0002-8756-8402; /0000-0002-5388-161X</t>
  </si>
  <si>
    <t>Erasmus Mundus Programme; Sao Paulo Research Foundation (FAPESP) [2014/22273-1]; Brazilian National Council for Scientific and Technological Development (CNPq PQ) [305869/2013-2]; Coordination for the Improvement of Higher Education Personnel (CAPES-CNPq) within science without borders program; Brazilian Government as the part of the project: CAPES (CNPq) [PVE 126/2012, 402921/2012-7]; Spanish Ministry of Economy and Competitiveness [CTM2012-36476-C02-01-02]; Fundacao de Amparo a Pesquisa do Estado de Sao Paulo (FAPESP) [14/22273-1] Funding Source: FAPESP</t>
  </si>
  <si>
    <t>Erasmus Mundus Programme; Sao Paulo Research Foundation (FAPESP)(Fundacao de Amparo a Pesquisa do Estado de Sao Paulo (FAPESP)); Brazilian National Council for Scientific and Technological Development (CNPq PQ); Coordination for the Improvement of Higher Education Personnel (CAPES-CNPq) within science without borders program; Brazilian Government as the part of the project: CAPES (CNPq); Spanish Ministry of Economy and Competitiveness(Spanish Government); Fundacao de Amparo a Pesquisa do Estado de Sao Paulo (FAPESP)(Fundacao de Amparo a Pesquisa do Estado de Sao Paulo (FAPESP))</t>
  </si>
  <si>
    <t>The first author thanks the Erasmus Mundus Programme for the Master Fellowship. M.R. De Orte thanks the Sao Paulo Research Foundation (FAPESP) for the postdoctoral fellowship granted under process 2014/22273-1. A. Cesar thanks the Brazilian National Council for Scientific and Technological Development (CNPq PQ no. 305869/2013-2) for the productivity fellowships awarded. A. DelValls thanks Coordination for the Improvement of Higher Education Personnel (CAPES-CNPq) for the visiting professor fellowships awarded within science without borders program. The work was funded by the Brazilian Government as the part of the project: CAPES PVE 126/2012 (CNPq no. 402921/2012-7). Additionally, it has been partially supported by grant CTM2012-36476-C02-01-02 funded by the Spanish Ministry of Economy and Competitiveness. The authors showed gratitude to Dr. C.D.S Pereira who provided insight and expertise that greatly assisted the research. The authors thank J. Gaspar and Dr. M.D. Basallote for their assistance in the performance of the bioassays. Moreover, we are grateful to the fishing club in Santos for mussel sampling permission and University of Santa Cecilia (UNISANTA) ecotoxicology laboratory group for their logistical support. Also, we would like to thank the anonymous reviewers whose comments and revision substantially contribute to the improvement of the manuscript.</t>
  </si>
  <si>
    <t>10.1007/s11356-016-7863-y</t>
  </si>
  <si>
    <t>WOS:000392105700072</t>
  </si>
  <si>
    <t>Labuschagne, M; Wepener, V; Nachev, M; Zimmermann, S; Sures, B; Smit, NJ</t>
  </si>
  <si>
    <t>Labuschagne, Marelize; Wepener, Victor; Nachev, Milen; Zimmermann, Sonja; Sures, Bernd; Smit, Nico J.</t>
  </si>
  <si>
    <t>The Application of Artificial Mussels in Conjunction with Transplanted Bivalves to Assess Elemental Exposure in a Platinum Mining Area</t>
  </si>
  <si>
    <t>platinum; bioaccumulation; passive sample; freshwater clam; Corbicula fluminalis africana</t>
  </si>
  <si>
    <t>MONITORING HEAVY-METALS; POLLUTION; WATER; VALIDATION; RUSTENBURG; PARAMETERS; PALLADIUM; SEDIMENTS; COMPLEX; SYSTEM</t>
  </si>
  <si>
    <t>There is increasing evidence that platinum group elements (PGE) are pollutants of emerging concern worldwide. Limited information exists on levels, particularly in regions where PGEs are mined. A passive sampling device (i.e., the artificial mussel (AM)) and transplanted indicator organisms (i.e., the freshwater clam Corbicula fluminalis africana) were deployed along a PGE mining gradient in the Hex River, South Africa, and concentrations of As, Cd, Co, Cr, Ni, Pb, Pt, V, and Zn were determined after six weeks of exposure. Results showed differential uptake patterns for Pt, Cr, and Ni between the AMs and clams indicating availability differences. For monitoring purposes, a combination of AMs and indicator organisms provides a more holistic assessment of element exposure in aquatic environments.</t>
  </si>
  <si>
    <t>[Labuschagne, Marelize; Wepener, Victor; Zimmermann, Sonja; Smit, Nico J.] North West Univ, Unit Environm Sci &amp; Management, Water Res Grp, ZA-2520 Potchefstroom, South Africa; [Nachev, Milen; Zimmermann, Sonja; Sures, Bernd] Univ Duisburg Essen, Dept Aquat Ecol, D-45141 Essen, Germany; [Nachev, Milen; Zimmermann, Sonja; Sures, Bernd] Univ Duisburg Essen, Ctr Water &amp; Environm Res, D-45141 Essen, Germany</t>
  </si>
  <si>
    <t>North West University - South Africa; University of Duisburg Essen; University of Duisburg Essen</t>
  </si>
  <si>
    <t>Labuschagne, M (corresponding author), North West Univ, Unit Environm Sci &amp; Management, Water Res Grp, ZA-2520 Potchefstroom, South Africa.</t>
  </si>
  <si>
    <t>marelizelabuschagne94@gmail.com; victor.wepener@nwu.ac.za; milen.nachev@uni-due.de; sonja.zimmermann@uni-due.de; bernd.sures@uni-due.de; nico.smit@nwu.ac.za</t>
  </si>
  <si>
    <t>Sures, Bernd/B-6652-2013; Wepener, Victor/AAV-2116-2020; Smit, Nico J/L-4905-2013</t>
  </si>
  <si>
    <t>Nachev, Milen/0000-0003-2501-9157; Zimmermann, Sonja/0000-0001-6929-7541; Sures, Bernd/0000-0001-6865-6186; Smit, Nico J/0000-0001-7950-193X; Wepener, Victor/0000-0002-9374-7191; Labuschagne, Marelize/0000-0002-6215-9223</t>
  </si>
  <si>
    <t>NRF (National Research Foundation, South Africa) [UID108852]; National Research Foundation (NRF) of South Africa (NRF) [GERM160623173784, 105875]; BMBF/PT-DLR (Federal Ministry of Education and Research) [01DG17022]</t>
  </si>
  <si>
    <t>NRF (National Research Foundation, South Africa)(National Research Foundation - South Africa); National Research Foundation (NRF) of South Africa (NRF); BMBF/PT-DLR (Federal Ministry of Education and Research)</t>
  </si>
  <si>
    <t>The financial assistance of the NRF (National Research Foundation, South Africa), [UID108852] towards this research is hereby acknowledged. This work is based on the research and researchers supported by the National Research Foundation (NRF) of South Africa (NRF Project GERM160623173784; grant 105875; NJ Smit, PI) and BMBF/PT-DLR (Federal Ministry of Education and Research, German, grant 01DG17022; B Sures, PI). Opinions, findings, conclusions, and recommendations expressed in this publication are that of the authors, and the NRF and BMBF/PT-DLR accept no liability whatsoever in this regard.</t>
  </si>
  <si>
    <t>10.3390/w12010032</t>
  </si>
  <si>
    <t>KU6TM</t>
  </si>
  <si>
    <t>WOS:000519847200032</t>
  </si>
  <si>
    <t>Perosevic, A; Pezo, L; Joksimovic, D; Durovic, D; Milasevic, I; Radomirovic, M; Stankovic, S</t>
  </si>
  <si>
    <t>Perosevic, Ana; Pezo, Lato; Joksimovic, Danijela; Durovic, Dijana; Milasevic, Ivana; Radomirovic, Milena; Stankovic, Slavka</t>
  </si>
  <si>
    <t>The impacts of seawater physicochemical parameters and sediment metal contents on trace metal concentrations in musselsa chemometric approach</t>
  </si>
  <si>
    <t>Trace metals; Mussels; Sediment; Seawater parameters; Multiple impacts</t>
  </si>
  <si>
    <t>CRASSOSTREA-VIRGINICA GMELIN; SOUTHEASTERN ADRIATIC COAST; BOKA KOTORSKA BAY; MYTILUS-GALLOPROVINCIALIS; HEAVY-METALS; SURFACE SEDIMENTS; ORGANIC-CARBON; PERNA-VIRIDIS; TEMPERATURE TOLERANCE; MEDITERRANEAN MUSSEL</t>
  </si>
  <si>
    <t>The concentrations of Al, Ba, Cd, Co, Cr, Cu, Fe, Li, Mn, Ni, Pb, Sr, Zn, and Hg were studied in Mytilus galloprovincialis collected from the coastal area of Montenegro. The impact of seawater temperature, salinity, dissolved oxygen, total organic carbon (TOC), and metal content in sediment samples on the metal contents in mussels collected from three locations in four different seasons was analyzed by a Pearson correlation coefficient (r), principal component analysis (PCA), and cluster analysis (CA). These analyses were used to discriminate groups of samples, elements, and seawater parameters, according to similarity of samples chemical composition in different seasons, as well as the impact of seawater parameters and surface sediment composition on the mussels' element concentrations. Synergistic interactions occurred between seawater TOC, Fe, and Al concentrations in mussels. Compared with other studies, which are usually performed under constant laboratory conditions where mussels undergo only one stress at a time, this study was performed in nature. The analyses showed the importance of considering simultaneously acting environmental parameters that make determining of separate impacts of each factor selected very difficult and complex.</t>
  </si>
  <si>
    <t>[Perosevic, Ana] Univ Montenegro, BIO ICT Ctr Excellence Bioinformat, Podgorica 81000, Montenegro; [Pezo, Lato] Univ Belgrade, Inst Gen &amp; Phys Chem, Studentski Trg 12-5, Belgrade 11000, Serbia; [Joksimovic, Danijela] Univ Montenegro, Inst Marine Biol, Kotor 85330, Montenegro; [Durovic, Dijana; Milasevic, Ivana] Inst Publ Hlth Montenegro, Podgorica 81000, Montenegro; [Radomirovic, Milena; Stankovic, Slavka] Univ Belgrade, Fac Technol &amp; Met, Dept Analyt Chem, Karnegijeva 4, Belgrade 11000, Serbia</t>
  </si>
  <si>
    <t>University of Montenegro; University of Belgrade; University of Montenegro; University of Belgrade</t>
  </si>
  <si>
    <t>Perosevic, A (corresponding author), Univ Montenegro, BIO ICT Ctr Excellence Bioinformat, Podgorica 81000, Montenegro.</t>
  </si>
  <si>
    <t>anap@ac.me</t>
  </si>
  <si>
    <t>Radomirovic, Milena/JBS-3612-2023; Joksimovic, Danijela/AAH-7688-2019; Perošević-Bajčeta, Ana/AAH-4443-2019; Pezo, Lato/D-6650-2014</t>
  </si>
  <si>
    <t>Pezo, Lato/0000-0002-0704-3084; Perosevic-Bajceta, Ana/0000-0002-2083-7612; Radomirovic, Milena/0000-0003-1575-0720</t>
  </si>
  <si>
    <t>Ministry of Science of Montenegro; HERIC project through the BIO-ICT Centre of Excellence [01-1001]</t>
  </si>
  <si>
    <t>Ministry of Science of Montenegro; HERIC project through the BIO-ICT Centre of Excellence</t>
  </si>
  <si>
    <t>10.1007/s11356-018-2855-8</t>
  </si>
  <si>
    <t>GU3YC</t>
  </si>
  <si>
    <t>WOS:000445215500050</t>
  </si>
  <si>
    <t>Özdilek, SY; Demir, N; Gürkan, SE</t>
  </si>
  <si>
    <t>Ozdilek, Sukran Yalcin; Demir, Neslihan; Gurkan, Selin Erturk</t>
  </si>
  <si>
    <t>Assessment of pollution biomarker and stable isotope data in Mytilus galloprovincialis tissues</t>
  </si>
  <si>
    <t>Bioindicator; C-13; N-15; Antioxidant; Mussel</t>
  </si>
  <si>
    <t>OXIDATIVE STRESS BIOMARKERS; MARINE FOOD-WEB; SUPEROXIDE-DISMUTASE; DIGESTIVE GLAND; ANTIOXIDANT ENZYMES; AQUATIC ORGANISMS; TROPHIC EXPOSURE; CARBON ISOTOPES; LAKE MALAWI; NITROGEN</t>
  </si>
  <si>
    <t>Superoxide dismutase (SOD) is one of the antioxidant defense enzymes in mussels and converts the superoxide anion into hydrogen peroxide and this enzyme is used as biomarkers of oxidative damage. As well as many topics in ecology, stable isotopes are also signature for organic and heavy metal pollution in aquatic ecosystems. This study aims to compare the stable carbon and nitrogen values of different mussel tissues and the changes on the SOD values of the same tissues in order to understand the relationship between two mechanisms of bioindicator processes of physiological response of mussel to pollution. The changes in SOD activity in the gill, hepatopancreas, and mantle tissues of Mytilus galloprovincialis with C-13 and N-15 isotopes were assessed in two locations (Kepez and Guzelyal) in Canakkale. The SOD values of mussel samples were found as the gill &gt; hepatopancreas &gt; mantle collected from Kepez and the gill &gt; hepatopancreas collected from Guzelyal. There were no significant differences among the mean SOD values of different tissues. There was enrichment both in nitrogen and carbon isotope values of hepatopancreas tissues both in Kepez and Guzelyal samples. There was a negative correlation between both isotope values and SOD values of samples. As well as SOD values, the isotopic composition of particularly hepatopancreas tissue is a good indicator for evaluation of pollution.</t>
  </si>
  <si>
    <t>[Ozdilek, Sukran Yalcin; Demir, Neslihan; Gurkan, Selin Erturk] Canakkale Onsekiz Mart Univ, Dept Biol, Fac Sci &amp; Arts, Canakkale, Turkey</t>
  </si>
  <si>
    <t>Özdilek, SY (corresponding author), Canakkale Onsekiz Mart Univ, Dept Biol, Fac Sci &amp; Arts, Canakkale, Turkey.</t>
  </si>
  <si>
    <t>syalcinozdilek@gmail.com</t>
  </si>
  <si>
    <t>Ertürk Gürkan, Selin/AAC-8560-2022; Demir, Neslihan/U-4529-2018; Yalcin Ozdilek, Sukran/K-8393-2012</t>
  </si>
  <si>
    <t>ERTURK GURKAN, SELIN/0000-0003-3319-0616; Yalcin Ozdilek, Sukran/0000-0001-8264-7606</t>
  </si>
  <si>
    <t>10.1007/s10661-019-7189-6</t>
  </si>
  <si>
    <t>HH1VS</t>
  </si>
  <si>
    <t>WOS:000455508600001</t>
  </si>
  <si>
    <t>Liao, CM; Chang, CF; Yeh, CH; Chen, SC; Chiang, KC; Chio, CP; Chou, BYH; Jou, LJ; Lien, GW; Lin, CM; Shen, HH; Wu, GD</t>
  </si>
  <si>
    <t>Liao, Chung-Min; Chang, Chao-Fang; Yeh, Ching-Hung; Chen, Szu-Chieh; Chiang, Kuo-Chin; Chio, Chia-Pin; Chou, Berry Yun-Hua; Jou, Li-John; Lien, Guang-Wen; Lin, Chieh-Ming; Shen, Huan-Hsiang; Wu, Guan-De</t>
  </si>
  <si>
    <t>Metal stresses affect the population dynamics of disease transmission in aquaculture species</t>
  </si>
  <si>
    <t>aquaculture; density dependence; disease; ecotoxicology; host-pathogen interactions; epidemiology; metal stress; population dynamics</t>
  </si>
  <si>
    <t>JUVENILE CHINOOK SALMON; HEMATOPOIETIC NECROSIS VIRUS; INCREASED SUSCEPTIBILITY; RAINBOW-TROUT; CARRYING-CAPACITY; DENSITY; EXPOSURE; FURUNCULOSIS; EPIDEMICS; IMPACTS</t>
  </si>
  <si>
    <t>The purpose of this study is to develop a mechanistic-based population dynamics of disease model to predict the effect of heavy-metal stresses on the susceptibility of the aquaculture species to pollution-associated infectious diseases. We link an ecologically based nonlinear epidemiological dynamics of host-parasite interactions with a deterministic susceptibility-infectious-mortality (SIM) model to evaluate the host susceptibility to the waterborne metal stressors. We test the proposed pollution-associated population dynamics of disease model against published data regarding the effect of metal cations (Cd2+, Cu2+, and Hg2+) on the susceptibility of hard clam (Meretrix hisoria) to birnavirus. We estimate stressor-specific transmission rate and basic reproductive number (R-0), defined as the average number of secondary cases generated by one primary infected case, by fitting SIM model to published cumulative mortality data. The median pollution-associated R-0 estimates range from 0.99 to 1.03. Here we show that the interplay of environmental chemical stressors and disease transmission explains the host-pathogen interactions presenting in the immunomodulating chemicals contaminated aquacultural systems, suggesting that predicting schemes will require the consideration of both environmental stressor variability and host size in aquaculture species populations. We suggest that in the future potential management actions the pathogen manipulation is better to be integrated to improve the on-line environmental stressors monitoring in aquacultural systems. (c) 2006 Elsevier B.V. All rights reserved.</t>
  </si>
  <si>
    <t>Natl Taiwan Univ, Dept Bioenvironm Syst Engn, Ecotoxicol Modeling Ctr, Taipei 10617, Taiwan; Natl Ilan Univ, Dept Biomechatron Engn, Ilan 260, Taiwan; Natl Taiwan Univ, Inst Environm Hlth, Taipei 10617, Taiwan; Natl Taiwan Univ, Inst Environm Engn, Taipei 10617, Taiwan</t>
  </si>
  <si>
    <t>National Taiwan University; National Ilan University; National Taiwan University; National Taiwan University</t>
  </si>
  <si>
    <t>Liao, CM (corresponding author), Natl Taiwan Univ, Dept Bioenvironm Syst Engn, Ecotoxicol Modeling Ctr, Taipei 10617, Taiwan.</t>
  </si>
  <si>
    <t>Chio, Chia-Pin/HGD-2055-2022</t>
  </si>
  <si>
    <t>Chio, Chia-Pin/0000-0001-6986-3611</t>
  </si>
  <si>
    <t>10.1016/j.aquaculture.2006.02.076</t>
  </si>
  <si>
    <t>055NI</t>
  </si>
  <si>
    <t>WOS:000238457000038</t>
  </si>
  <si>
    <t>Markich, SJ; Jeffree, RA</t>
  </si>
  <si>
    <t>Markich, Scott J.; Jeffree, Ross A.</t>
  </si>
  <si>
    <t>The euryhaline pygmy mussel, Xenostrobus securis, is a useful biomonitor of key metal contamination in the highly urbanised Sydney Estuary, Australia</t>
  </si>
  <si>
    <t>Bivalve; Bioaccumulation; Enrichment factor; Body size; Sediment</t>
  </si>
  <si>
    <t>TRACE-ELEMENT ACCUMULATION; MYTILUS-GALLOPROVINCIALIS; HEAVY-METALS; BLUE MUSSEL; REPRODUCTIVE OUTPUT; MARINE MUSSELS; PERNA-VIRIDIS; BODY-SIZE; EDULIS; PARTICULATE</t>
  </si>
  <si>
    <t>This study critically evaluated the native pygmy mussel (Xenostrobus securis) as a biomonitor of the key metal contaminants in the highly urbanised Sydney Estuary, south-eastern Australia. Five metals (Cd, Cr, Cu, Pb and Zn) were identified as key contaminants, based on their enrichment factors (EFs) in the whole soft tissue of X. securis at 24 sampling sites, relative to baseline values from near-pristine reference sites in the adjacent Hawkesbury Estuary. Inverse relationships established between mussel size (dry tissue weight) and tissue concentrations of each metal were used to reduce variance (by 4-fold) among individuals; gender and reproductive status had no significant (p &gt; 0.05) effect on tissue metal concentrations in X. securis. Metal concentrations in three environmental matrices - filtered (&lt;0.2 mu m) surface water (operationally defined as the dissolved/colloidal phase), suspended particulate matter (SPM; &gt;0.2 mu m) and surface sediment (&lt;2 mm particle size), which are most relevant to a suspension-feeding estuarine bivalve, were also determined at each sampling site. For each of the five metals, highly significant (p &lt; 0.01) positive linear regressions were established between metal EFs for mussel tissue and each environmental matrix. Metals in surface sediment and SPM explained 80-91% and 81-90%, respectively, of the variability in metal concentrations in mussel tissue, with filtered surface water explaining 74-86%. Cumulative mussel tissue EFs of all five metals, when regressed against each environmental matrix, showed that surface sediment concentrations explained 93% of their variability between sites, SPM 94% and filtered surface water 87-90%. Hence, X. securis very closely reflects the metal concentrations in its aquatic environment. The study provides a quality-assured benchmark of key metal contamination in the Sydney Estuary, and an appropriate methodology that may be used to discern any changes in metal contaminant status using X. securis. (C) 2019 Elsevier Ltd. All rights reserved.</t>
  </si>
  <si>
    <t>[Markich, Scott J.] Aquat Solut Int, North Narrabeen Beach, NSW 2101, Australia; [Markich, Scott J.] Macquarie Univ, Dept Environm Sci, 12 Wallys Walk, N Ryde, NSW 2109, Australia; [Jeffree, Ross A.] Jeffree Conservat &amp; Res, 45 Casuarina Rd, Alfords Point, NSW 2234, Australia</t>
  </si>
  <si>
    <t>Markich, SJ (corresponding author), Aquat Solut Int, North Narrabeen Beach, NSW 2101, Australia.</t>
  </si>
  <si>
    <t>asi@krunch.com.au</t>
  </si>
  <si>
    <t>10.1016/j.envpol.2019.05.131</t>
  </si>
  <si>
    <t>WOS:000483005500087</t>
  </si>
  <si>
    <t>Marigomez, I; Kortabitarte, M; Dussart, GBJ</t>
  </si>
  <si>
    <t>Tissue-level biomarkers in sentinel slugs as cost-effective tools to assess metal pollution in soils</t>
  </si>
  <si>
    <t>LITTORINA-LITTOREA L; ARION-ATER L; GLAND-GONAD COMPLEX; DIGESTIVE GLAND; QUANTITATIVE ALTERATIONS; MYTILUS-GALLOPROVINCIALIS; COPPER TREATMENT; ACHATINA-FULICA; HELIX-ASPERSA; CADMIUM</t>
  </si>
  <si>
    <t>In previous laboratory experiments, slugs were shown to be sensitive to metal pollution. Therefore, they might be invaluable instruments for biological assessment of soil pollution. The present investigation was carried out to validate previous laboratory results in a field study. Slugs were collected from an abandoned copper mine (Parys mountain top, PMT), from a site 7 km away from the mine (Parys mountain bottom, PMB), and from a clean site (Snowdonia Cwm Idwal, SCI) in Wales in early July 1994. Whole soft body and digestive gland Cd, Cu, and Zn concentrations were measured by means of atomic absorption spectrophotometry (AAS). The digestive gland was the main tissue for metal accumulation. with significant differences in tissue metal levels between samples from different sites. PMB presented the highest Cd: and Zn levels and the highest Cu levels were found at PMT. In addition, metals were demonstrated in situ by autometallography as black silver deposits (BSD) on histological sections of digestive gland tissue. The extent of BSD within lysosomes of digestive cells was closely related to metal levels determined by AAS. Histochemistry revealed that Ca metabolism and structural and reserve connective tissues might be altered in slugs living in metal-polluted soils. Finally, tissue-level biomarkers of biological effect [mean epithelial thickness (MET), mean diverticular radius (MDR), mean luminal radius (MLR), MET/MDR and MLR/MET] were quantified by image analysis of digestive gland histological sections stained with hematoxylin-eosin. MET and MDR values of slugs collected from SCI were high, while slugs from PMB presented low MLR/MET associated with environmental stress induced by metal exposure. We conclude that exposure and effect biomarkers recorded in sentinel slugs could be sensitive, quick, and cheap indices of metal pollution in soils. A Slug Watch monitoring program could be developed similar to the Mussel Watch program, which is currently applied to assess environmental quality in coastal and estuarine areas.</t>
  </si>
  <si>
    <t>Euskal Herriko Unibertsitatea, Zientzi Fak, Zool Anim Zelulen Dinamika Saila, Biol Zelularra Atala, E-48080 Bilbao, Spain; Canterbury Christ Church Coll, Ecol Res Grp, Canterbury CT1 1QU, Kent, England</t>
  </si>
  <si>
    <t>University of Basque Country; Canterbury Christ Church University</t>
  </si>
  <si>
    <t>Marigomez, I (corresponding author), Euskal Herriko Unibertsitatea, Zientzi Fak, Zool Anim Zelulen Dinamika Saila, Biol Zelularra Atala, E-48080 Bilbao, Spain.</t>
  </si>
  <si>
    <t>10.1007/s002449900301</t>
  </si>
  <si>
    <t>YU296</t>
  </si>
  <si>
    <t>WOS:000071702400008</t>
  </si>
  <si>
    <t>Ruelas-Inzunza, J; Spanopoulos-Zarco, P; Páez-Osuna, F</t>
  </si>
  <si>
    <t>Ruelas-Inzunza, J.; Spanopoulos-Zarco, P.; Paez-Osuna, F.</t>
  </si>
  <si>
    <t>Cd, Cu, Pb and Zn in clams and sediments from an impacted estuary by the oil industry in the southwestern Gulf of Mexico: Concentrations and bioaccumulation factors</t>
  </si>
  <si>
    <t>Trace metals; surficial sediments; bivalves; Coatzacoalcos estuary; biota-sediment accumulation factor</t>
  </si>
  <si>
    <t>HEAVY-METALS; TRACE-METALS; COATZACOALCOS ESTUARY; SURFICIAL SEDIMENTS; POLLUTION; BIOTA</t>
  </si>
  <si>
    <t>With the objective of estimating the temporal variation and bioavailability of Cd, Cu, Pb and Zn in Coatzacoalcos estuary, the biota-sediment accumulation factors (BSAF) were calculated. For this purpose, surficial sediments and clams from 14 selected sites were collected during three climatic seasons. In surficial sediments, highest levels of Cd and Cu were measured during the rainy season near to the industrial area of Minatitlan, while highest concentrations of Pb and Zn were registered during the windy season in sediments collected near to the industrial area of Coatzacoalcos. Considering all the sampling seasons and bivalve species, average metal concentrations followed the order Zn&gt;Cu&gt;Cd&gt;Pb. BSAF ranged from 0.01 (Pb) in Corbicula fluminea during the hot season to 25.1 (Cd) in Polymesoda caroliniana during the windy season. BSAF of Cd, Cu and Zn were higher during the windy season; in the case of Pb, the dry season was the time when such figure was more elevated. It can be stated that Polymesoda caroliniana is a net accumulator of Cd and Zn and a weak accumulator of Pb for the studied estuary.</t>
  </si>
  <si>
    <t>[Ruelas-Inzunza, J.; Spanopoulos-Zarco, P.] Technol Inst Mazatlan, Mazatlan, Sinaloa, Mexico; [Paez-Osuna, F.] Univ Nacl Autonoma Mexico, Inst Ciencias Mary Limnol, Mazatlan, Sinaloa, Mexico</t>
  </si>
  <si>
    <t>Ruelas-Inzunza, J (corresponding author), Technol Inst Mazatlan, Calle Corsario 1 203, Mazatlan, Sinaloa, Mexico.</t>
  </si>
  <si>
    <t>CONACYT [SEMARNAT-CONACYT-2004-C01-32]</t>
  </si>
  <si>
    <t>CONACYT(Consejo Nacional de Ciencia y Tecnologia (CONACyT))</t>
  </si>
  <si>
    <t>To Z. Castillo-Rodriguez, for her help with the taxonomic identification of clams; A. Castro del Rio, for granulometric analyses; H. Bojorquez-Leyva, for his collaboration during the trace metal determinations; C. Ramirez Jauregui, for the compilation of bibliographic information; G. Ramirez-Resendiz, for the computing assistance. Thanks are due to CONACYT for financial support through project SEMARNAT-CONACYT-2004-C01-32.</t>
  </si>
  <si>
    <t>10.1080/10934520903263280</t>
  </si>
  <si>
    <t>517KC</t>
  </si>
  <si>
    <t>WOS:000271611300003</t>
  </si>
  <si>
    <t>Kamel, N; Jebali, J; Banni, M; Ben Khedher, S; Chouba, L; Boussett, H</t>
  </si>
  <si>
    <t>Kamel, Naouel; Jebali, Jamel; Banni, Mohamed; Ben Khedher, Sana; Chouba, Lassaad; Boussett, Hamadi</t>
  </si>
  <si>
    <t>Biochemical responses and metals levels in Ruditapes decussatus after exposure to treated municipal effluents</t>
  </si>
  <si>
    <t>Ruditapes decussatus; Treated municipal effluents; Biochemicals biomarkers; Metals</t>
  </si>
  <si>
    <t>FRESH-WATER MUSSELS; WASTE-WATER; OXIDATIVE STRESS; MYTILUS-GALLOPROVINCIALIS; PERNA-PERNA; ACETYLCHOLINESTERASE ACTIVITY; POLLUTION BIOMARKERS; MARINE-ENVIRONMENT; CARCINUS-MAENAS; DNA-DAMAGE</t>
  </si>
  <si>
    <t>This study assessed the responses of biochemical biomarkers and metals levels in Ruditapes decussatus exposed to the increasing concentrations of treated municipal effluents (TME) discharged into the Tunisian coastal area. Clams were exposed to 0%, 1%, 3% and 10% for 7 and 14 day and the following biochemical responses were measured: (1) catalase activity and lipid peroxidation levels (TBARS) as oxidative stress biomarkers, (2) gluthathione S-transferase (GST) activity as a phase II conjugation enzyme; (3) cholinesterase activity (ChE) as biomarker of neurotoxicity, and (4) metallothioneins as a proteins highly induced by heavy metals. A significant uptake of Cu, Cd and Zn in digestive gland and serious biochemical alterations were observed. Thus, exposure of clams to croissant concentration of TME have the potential to increase the oxidative stress biomarkers (TBARS, CAT activity) and MT levels: and decrease ChE activity in both gills and digestive gland. Current experimental results suggest that CAT, GST, ChE activities and MT and TBARs levels in gills and digestive gland of clam R. decussatus are sensitive and suitable responses for assessing the effects of anthropogenic contaminants on the aquatic ecosystems, particularly effluent complex mixtures. (C) 2012 Elsevier Inc. All rights reserved.</t>
  </si>
  <si>
    <t>[Kamel, Naouel; Jebali, Jamel; Banni, Mohamed; Ben Khedher, Sana; Boussett, Hamadi] Higher Inst Agr, Lab Biochem &amp; Environm Toxicol, Chott Mariem 4042, Sousse, Tunisia; [Chouba, Lassaad] La Goulette Ctr, Chem Lab, Higher Inst Marine Sci &amp; Technol, Tunis 2060, Tunisia</t>
  </si>
  <si>
    <t>Institut National des Sciences et Technologies de la Mer</t>
  </si>
  <si>
    <t>Jebali, J (corresponding author), Higher Inst Agr, Lab Biochem &amp; Environm Toxicol, Chott Mariem 4042, Sousse, Tunisia.</t>
  </si>
  <si>
    <t>Lassaad Chouba, L/D-9407-2013; Banni, Mohamed/M-2144-2014; jebali, jamel/E-4813-2013</t>
  </si>
  <si>
    <t>Ministry of Scientific Research and Technology, University of Sousse, Tunisia (Research Unit of Biochemistry and Environmental Toxicology) [UR 04AGR05]; Institution de la Recherche et de l'Enseignement Superieur Agricole, (IRESA; Tunisia)</t>
  </si>
  <si>
    <t>Ministry of Scientific Research and Technology, University of Sousse, Tunisia (Research Unit of Biochemistry and Environmental Toxicology); Institution de la Recherche et de l'Enseignement Superieur Agricole, (IRESA; Tunisia)</t>
  </si>
  <si>
    <t>This work was supported by a fund from the Ministry of Scientific Research and Technology, University of Sousse, Tunisia (Research Unit of Biochemistry and Environmental Toxicology UR 04AGR05), and Institution de la Recherche et de l'Enseignement Superieur Agricole, (IRESA; Tunisia). We wish to acknowledge the suggestions and comments of the anonymous reviewers, which helped to improve the quality of the manuscript.</t>
  </si>
  <si>
    <t>10.1016/j.ecoenv.2012.05.008</t>
  </si>
  <si>
    <t>976VY</t>
  </si>
  <si>
    <t>WOS:000306616700006</t>
  </si>
  <si>
    <t>Moreira, AMS; Freitas, ETF; Reis, MD; Nogueira, JM; Barbosa, NPD; Reis, ALM; Pelli, A; Camargo, PRD; Cardoso, AV; de Paula, RS; Jorge, EC</t>
  </si>
  <si>
    <t>Moreira, Amanda Maria Siqueira; Freitas, Erico Tadeu Fraga; Reis, Mariana de Paula; Nogueira, Julia Meireles; Barbosa, Newton Pimentel de Ulhoa; Reis, Andre Luiz Martins; Pelli, Afonso; Camargo, Paulo Ricardo da Silva; Cardoso, Antonio Valadao; de Paula, Rayan Silva; Jorge, Erika Cristina</t>
  </si>
  <si>
    <t>Acute Exposure to Two Biocides Causes Morphological and Molecular Changes in the Gill Ciliary Epithelium of the Invasive Golden Mussel Limnoperna fortunei (Dunker, 1857)</t>
  </si>
  <si>
    <t>biocides; gill epithelium; golden mussel; histology; invasive mollusks; Limnoperna fortunei; molluscicide; stress biomarkers</t>
  </si>
  <si>
    <t>TOXICITY; HISTOPATHOLOGY; CHLORINATION; BIOMARKERS; PARTICLES; POLLUTION; RESPONSES; BIVALVIA; FATE; CLAM</t>
  </si>
  <si>
    <t>Limnoperna fortunei, the golden mussel, is a bivalve mollusk considered an invader in South America. This species is responsible for ecological and economic damages due to its voluminous fouling capability. Chemical biocides such as MXD-100 (TM) and sodium dichloroisocyanurate (NaDCC) are often used to control L. fortunei infestations in hydraulic systems. Thus, we proposed to investigate the effects of different periods (24, 48 and 72 h) of exposure to MXD-100 (TM) (0.56 mg L-1) and NaDCC (1.5 mg L-1) on the gills of L. fortunei through morphological and molecular analyses. NaDCC promoted progressive morphological changes during the analyzed periods and only an upregulation of SOD and HSP70 expression during the first 24 h of exposure. MXD-100 (TM) led to severe morphological changes from the first period of exposure, in addition to an upregulation of SOD, CAT, HSP70 and CYP expression during the first 24 h. In contrast, MXD-100 (TM) led to a downregulation of CAT transcription between 24 and 48 h. In static conditions, NaDCC causes lethal damage after 72 h of exposure, and that exposure needs to be continuous to achieve the control of the species. Meanwhile, the MXD-100 (TM) treatment presented several effects during the first 24 h, showing acute toxicity in a shorter period of time.</t>
  </si>
  <si>
    <t>[Moreira, Amanda Maria Siqueira; Nogueira, Julia Meireles; de Paula, Rayan Silva; Jorge, Erika Cristina] Univ Fed Minas Gerais UFMG, Inst Ciencias Biol, Lab Biol Oral &amp; Desenvolvimento, BR-31270901 Belo Horizonte, MG, Brazil; [Moreira, Amanda Maria Siqueira; Freitas, Erico Tadeu Fraga; Reis, Mariana de Paula; Barbosa, Newton Pimentel de Ulhoa; Pelli, Afonso; Camargo, Paulo Ricardo da Silva; Cardoso, Antonio Valadao; de Paula, Rayan Silva] Ctr Bioengn Especies Invasoras Hidreletr CBEIH, BR-31035536 Belo Horizonte, MG, Brazil; [Freitas, Erico Tadeu Fraga] Michigan Technol Univ, Electron Opt Facil, Mat Sci &amp; Engn, Houghton, MI 49931 USA; [Reis, Andre Luiz Martins] Garvan Inst Med Res, Ctr Populat Genom, Darlinghurst, NSW 2010, Australia; [Pelli, Afonso; Camargo, Paulo Ricardo da Silva] Univ Fed Triangulo Mineiro, Bioterio Nico Nieser, BR-38025100 Uberaba, MG, Brazil; [Cardoso, Antonio Valadao] Univ Estado Minas Gerais UEMG, Escola Design, BR-30140091 Belo Horizonte, MG, Brazil</t>
  </si>
  <si>
    <t>Michigan Technological University; Garvan Institute of Medical Research; Universidade Federal do Triangulo Mineiro</t>
  </si>
  <si>
    <t>Jorge, EC (corresponding author), Univ Fed Minas Gerais UFMG, Inst Ciencias Biol, Lab Biol Oral &amp; Desenvolvimento, BR-31270901 Belo Horizonte, MG, Brazil.</t>
  </si>
  <si>
    <t>amandamsmoreira@outlook.com; efragafr@mtu.edu; mapreis@gmail.com; jumeirelesn@gmail.com; newtonulhoa@gmail.com; andreluiz2207@gmail.com; afonso.pelli@uftm.edu.br; pricardocamargo826@gmail.com; antonio.cardoso@uemg.br; rayansdpaula@gmail.com; erika.cris.jorge@gmail.com</t>
  </si>
  <si>
    <t>Jorge, Erika/F-7056-2012; Pelli, Afonso/AAF-4165-2019; , avcardoso2007/HRC-2049-2023; Camargo, Paulo/I-1128-2013; Reis, André/ABI-1802-2020; Pimentel de Ulhoa Barbosa, Newton/E-9481-2013; de Paula, Rayan Silva/IVV-5692-2023</t>
  </si>
  <si>
    <t>Moreira, Amanda Maria/0000-0002-1093-2851; Pimentel de Ulhoa Barbosa, Newton/0000-0001-5040-9566; Pelli, Afonso/0000-0001-8279-2221; Camargo, Paulo Ricardo da Silva/0000-0003-2089-4905; de Paula, Rayan Silva/0000-0001-8769-9800; Freitas, Erico/0000-0002-8509-8662; Valadao Cardoso, Antonio/0000-0003-0225-5157</t>
  </si>
  <si>
    <t>ANEEL-Brazilian National Agency for Electric Energy/CEMIG S.A., Companhia Energetica de Minas Gerais [PD-04951-0604/2017]</t>
  </si>
  <si>
    <t>ANEEL-Brazilian National Agency for Electric Energy/CEMIG S.A., Companhia Energetica de Minas Gerais</t>
  </si>
  <si>
    <t>This research was funded by ANEEL-Brazilian National Agency for Electric Energy/CEMIG S.A., Companhia Energetica de Minas Gerais, grant number PD-04951-0604/2017.</t>
  </si>
  <si>
    <t>10.3390/ani13203258</t>
  </si>
  <si>
    <t>W9QP8</t>
  </si>
  <si>
    <t>WOS:001094907900001</t>
  </si>
  <si>
    <t>Ghribi, R; Correia, AT; Elleuch, B; Nunes, B</t>
  </si>
  <si>
    <t>Ghribi, Rayda; Correia, Alberto Teodorico; Elleuch, Boubaker; Nunes, Bruno</t>
  </si>
  <si>
    <t>Effects of chronic exposure to sediments from the Zarzis area, Gulf of Gabes, measured in the mussel (Mytilusspp.): a multi-biomarker approach involving oxidative stress and neurotoxicity</t>
  </si>
  <si>
    <t>Mediterranean Sea; pollution; sediments; mussels; biochemical effects</t>
  </si>
  <si>
    <t>HEAVY-METAL POLLUTION; POLYCYCLIC AROMATIC-HYDROCARBONS; GLUTATHIONE S-TRANSFERASES; ANTIOXIDANT DEFENSE SYSTEMS; RUDITAPES-DECUSSATUS; SURFACE SEDIMENTS; BLUE MUSSEL; ACETYLCHOLINESTERASE ACTIVITY; BIOCHEMICAL MARKERS; LIPID-PEROXIDATION</t>
  </si>
  <si>
    <t>The hereby study was conducted to assess the chronic biological effects of potentially contaminated sediments collected at the Zarzis area, Tunisia, on the marine mussel species (Mytilusspp.). Useful information can be provided through the analysis of biomarkers that allow inferring about the presence of pollutants and their adverse effects, contributing for a better assessment of ecosystems' quality and functions. Three sampling sites were chosen taking into account the putative impact of different human activities at several sites located in Zarzis area, compared to an unpolluted reference site, located in Afurada, Vila Nova de Gaia, Portugal. Physical-chemical characterization involved the survey of metals (Cd, Cu, Cr, Hg, Zn and Pb) and polycyclic aromatic hydrocarbons (PAHs), whose toxic effects are involved in the onset of oxidative stress. Biomarkers involving oxidative stress and neurotoxicity were quantified in hemolymph, gills, and digestive gland tissues ofMytilusspp. following the chronic exposure to the distinct sediments. Organisms exposed to sediments collected at the Zarzis area presented the highest values of the tested oxidative stress biomarkers and a significant inhibition of AChE activity in comparison with the unpolluted reference site. This set of results suggests that biomarker responses representing different biological endpoints inMytilusspp. are useful for the assessment of environmental pollution effects, namely by PAHs and metals. Our results suggest the presence of these chemicals in specific sampling sites whose sediment caused evident biological responses in mussels.</t>
  </si>
  <si>
    <t>[Ghribi, Rayda; Elleuch, Boubaker] Univ Sfax, Ecole Natl Ingenieurs Sfax, Lab Genie Environm &amp; Ecotechnol, GEET, Sfax, Tunisia; [Ghribi, Rayda; Correia, Alberto Teodorico] CIIMAR CIMAR, Ctr Interdisciplinar Invest Marinha &amp; Ambiental, P-4450208 Porto, Portugal; [Ghribi, Rayda; Nunes, Bruno] Univ Aveiro, Ctr Escudos Ambience &amp; Mar CESAM, Campus Univ Santiago, Aveiro, Portugal; [Correia, Alberto Teodorico] Univ Fernando Pessoa FCS UFP, Fac Ciencias Saude, Rua Carlos Maia 296, Porto, Portugal; [Nunes, Bruno] Univ Aveiro, Dept Biol, Campus Santiago, Aveiro, Portugal</t>
  </si>
  <si>
    <t>Universite de Sfax; Ecole Nationale dIngenieurs de Sfax (ENIS); Universidade do Porto; Universidade de Aveiro; Universidade de Aveiro</t>
  </si>
  <si>
    <t>Nunes, B (corresponding author), Univ Aveiro, Dept Biol, CESAM, Campus Santiago, P-3810193 Aveiro, Portugal.</t>
  </si>
  <si>
    <t>nunes.b@ua.pt</t>
  </si>
  <si>
    <t>Correia, Alberto/J-3665-2012</t>
  </si>
  <si>
    <t>Correia, Alberto/0000-0002-2831-025X</t>
  </si>
  <si>
    <t>Erasmus Mundus Programme through the 'Battuta' program (Building Academic Ties towards Universities through Training Activities); Tunisian Ministry of Higher Education and Scientific Research; Researcher FCT Program (Operational Program for Human Potential, QREN, EU) [IF/01744/2013]; FundacAo para a Ciencia e a Tecnologia [POCI-01-0145-FEDER-029203]; CESAM [UIDB/50017/2020+UIDP/50017/2020]; FCT/MCTES through national funds (PIDDAC); FEDER, within the PT2020 Partnership Agreement; Compete 2020; FCT - Foundation for Science and Technology [UIDB/04423/2020, UIDP/04423/2020]</t>
  </si>
  <si>
    <t>Erasmus Mundus Programme through the 'Battuta' program (Building Academic Ties towards Universities through Training Activities); Tunisian Ministry of Higher Education and Scientific Research; Researcher FCT Program (Operational Program for Human Potential, QREN, EU); FundacAo para a Ciencia e a Tecnologia(Fundacao para a Ciencia e a Tecnologia (FCT)); CESAM; FCT/MCTES through national funds (PIDDAC)(Fundacao para a Ciencia e a Tecnologia (FCT)); FEDER, within the PT2020 Partnership Agreement; Compete 2020; FCT - Foundation for Science and Technology(Fundacao para a Ciencia e a Tecnologia (FCT))</t>
  </si>
  <si>
    <t>We are grateful to the 'Erasmus Mundus Programme' for providing scholarship to R. Ghribi through the 'Battuta' program (Building Academic Ties towards Universities through Training Activities) dedicated to the development of relations between Europe and North Africa through grants of excellence between the two regions. The Tunisian Ministry of Higher Education and Scientific Research also supported this research study. This work was conducted in the framework of Researcher FCT Program (Operational Program for Human Potential, QREN, EU; IF/01744/2013) which hired Bruno Nunes. Thanks are also due to FundacAo para a Ciencia e a Tecnologia, namely to the project ECO-R-pharmplast - Ecotoxicity of realistic combinations of pharmaceutical drugs and microplastics in marine ecosystems, (reference POCI-01-0145-FEDER-029203). The authors are particularly thankful to Prof. Abdelmajid Dammak for his contribution to correct grammatical errors and to improve the English writing skills of this paper. This research was also financially supported by CESAM (UIDB/50017/2020+UIDP/50017/2020), by FCT/MCTES through national funds (PIDDAC), and by the co-funding by the FEDER, within the PT2020 Partnership Agreement and Compete 2020. This research was supported by national funds through FCT - Foundation for Science and Technology within the scope of UIDB/04423/2020 and UIDP/04423/2020.</t>
  </si>
  <si>
    <t>OCT 2</t>
  </si>
  <si>
    <t>10.1080/15320383.2020.1771275</t>
  </si>
  <si>
    <t>MQ4DV</t>
  </si>
  <si>
    <t>WOS:000552846000003</t>
  </si>
  <si>
    <t>Nobles, T; Zhang, YX</t>
  </si>
  <si>
    <t>Nobles, Trey; Zhang, Yixin</t>
  </si>
  <si>
    <t>Survival, Growth and Condition of Freshwater Mussels: Effects of Municipal Wastewater Effluent</t>
  </si>
  <si>
    <t>TREATMENT-PLANT; ELLIPTIO-COMPLANATA; VILLOSA-IRIS; LIFE STAGES; TOXICITY; CONTAMINANTS; UNIONIDAE; EXPOSURE; RIVER; COMMUNITIES</t>
  </si>
  <si>
    <t>Freshwater mussels (Family Unionidae) are among the most imperiled group of organisms in the world, with nearly 65% of North American species considered endangered. Anthropogenic disturbances, including altered flow regimes, habitat alteration, and pollution, are the major driver of this group's decline. We investigated the effects of tertiary treated municipal wastewater effluent on survivorship, growth, and condition of freshwater mussels in experimental cages in a small Central Texas stream. We tested the effluent effects by measuring basic physical parameters of native three ridge mussels (Amblema plicata) and of non-native Asian clams (Corbicula fluminea), before and after 72-day exposure at four sites above and below a municipal wastewater treatment plant outfall. Survivorship and growth of the non-native Asian clams and growth and condition indices of the native three ridge mussels were significantly higher at the reference site above the outfall than in downstream sites. We attribute this reduction in fitness below the outfall to elevated nutrient and heavy metal concentrations, and the potential presence of other untested-for compounds commonly found in municipal effluent. These results, along with an absence of native mussels below the discharge, indicate a significant negative impact of wastewater effluent on both native and non-native mussels in the stream.</t>
  </si>
  <si>
    <t>[Nobles, Trey] Texas State Univ, Dept Biol, San Marcos, TX USA; [Zhang, Yixin] Xian Jiaotong Liverpool Univ, Dept Environm Sci, Suzhou, Peoples R China</t>
  </si>
  <si>
    <t>Texas State University System; Texas State University San Marcos; Xi'an Jiaotong-Liverpool University</t>
  </si>
  <si>
    <t>Zhang, YX (corresponding author), Xian Jiaotong Liverpool Univ, Dept Environm Sci, Suzhou, Peoples R China.</t>
  </si>
  <si>
    <t>yixin.zhang@xjtlu.edu.cn</t>
  </si>
  <si>
    <t>Zhang, Yixin/AAG-3575-2021</t>
  </si>
  <si>
    <t>Zhang, Yixin/0000-0003-1546-4150</t>
  </si>
  <si>
    <t>City of Austin [NA120000106]</t>
  </si>
  <si>
    <t>City of Austin</t>
  </si>
  <si>
    <t>The City of Austin provided funding (#NA120000106) to support this work. The funder had no role in study design, data collection and analysis, decision to publish, or preparation of the manuscript.</t>
  </si>
  <si>
    <t>JUN 4</t>
  </si>
  <si>
    <t>e0128488</t>
  </si>
  <si>
    <t>10.1371/journal.pone.0128488</t>
  </si>
  <si>
    <t>CJ7TC</t>
  </si>
  <si>
    <t>WOS:000355701600050</t>
  </si>
  <si>
    <t>Viricel, A; Becquet, V; Dubillot, E; Pante, E</t>
  </si>
  <si>
    <t>Viricel, Amelia; Becquet, Vanessa; Dubillot, Emmanuel; Pante, Eric</t>
  </si>
  <si>
    <t>De novo assembly and functional annotation of the transcriptome of Mimachlamys varia, a bioindicator marine bivalve</t>
  </si>
  <si>
    <t>Pectinidae; de novo assembly; Variegated scallop; Functional annotation; RNA-seq; Biomarker</t>
  </si>
  <si>
    <t>OXIDATIVE STRESS; BIOMARKERS</t>
  </si>
  <si>
    <t>Developing genomic resources for species used as bioindicators of environmental pollution facilitates identification of new biomarkers of interest. The variegated scallop Mimachlamys varia (Pectinidae) is a marine bivalve used to evaluate and monitor chemical contamination on the French Atlantic coast. Because natural populations of this species are commercially harvested, there is particular interest in understanding its responses to environmental pollution and pathogens. We assembled and annotated the transcriptome of M. varia obtained from a pool of five tissue types (gills, mantle, digestive gland, gonad, adductor muscle). In depth Illumina sequencing led to the assembly of 333,022 transcripts, covering 98% of genes conserved among eukaryotes.</t>
  </si>
  <si>
    <t>[Viricel, Amelia; Becquet, Vanessa; Dubillot, Emmanuel; Pante, Eric] Univ La Rochelle, CNRS, UMR 7266, Littoral Environm &amp; Soc LIENSs, 2 Rue Olympe Gouges, F-17042 La Rochelle 01, France</t>
  </si>
  <si>
    <t>Viricel, A (corresponding author), Univ La Rochelle, CNRS, UMR 7266, Littoral Environm &amp; Soc LIENSs, 2 Rue Olympe Gouges, F-17042 La Rochelle 01, France.</t>
  </si>
  <si>
    <t>amelia.viricel@gmail.com</t>
  </si>
  <si>
    <t>Viricel, Amelia/0000-0002-2789-6869</t>
  </si>
  <si>
    <t>contrat de plan Etat-Region (CPER/FEDER) ECONAT (RPC DYPOMAR)</t>
  </si>
  <si>
    <t>This work was supported by the contrat de plan Etat-Region (CPER/FEDER) ECONAT (RPC DYPOMAR). We would like to thank Nathalie Imbert and Denis Fichet for coordinating axe 2 of DYPOMAR and Benoit Simon-Bouhet for additional funding. RNA extractions were prepared at the Molecular Core Facility at the University of La Rochelle. We thank two anonymous reviewers for their constructive comments on the manuscript.</t>
  </si>
  <si>
    <t>10.1016/j.margen.2018.04.002</t>
  </si>
  <si>
    <t>HA0LX</t>
  </si>
  <si>
    <t>WOS:000449900600006</t>
  </si>
  <si>
    <t>Varol, M; Sünbül, MR</t>
  </si>
  <si>
    <t>Biomonitoring of Trace Metals in the Keban Dam Reservoir (Turkey) Using Mussels (Unio elongatulus eucirrus) and Crayfish (Astacus leptodactylus)</t>
  </si>
  <si>
    <t>Metals; Mussel; Crayfish; Biomonitoring; Keban Dam Reservoir</t>
  </si>
  <si>
    <t>HEAVY-METALS; RISK-ASSESSMENT; DREISSENA-POLYMORPHA; PROCAMBARUS-CLARKII; EUPHRATES RIVER; HEALTH-RISK; WATER; LAKE; FISH; POLLUTION</t>
  </si>
  <si>
    <t>Freshwater mussels and crayfish are commonly used as biomonitors of trace metals. In the present study, the concentrations of ten metals were determined in mussels (Unio elongatulus eucirrus) and crayfish (Astacus leptodactylus) collected from the Keban Dam Reservoir in Turkey. The significant spatial differences in concentrations of studied metals except As in mussels were not found. However, Co, Cr, Cu, and Zn concentrations in mussels and As, Co, Cu, Fe, Pb, and Zn concentrations in crayfish showed significant seasonal differences. As, Cd, and Mn levels in mussels were about nine times higher than those in crayfish. The concentrations of Cd, Cr, Cu, Pb, Zn, and inorganic As in crayfish and mussels were lower than maximum permissible levels. When compared with other biomonitoring studies using mussels and crayfish, high concentrations of As, Cd, Co, Cr, and Ni in mussels and Cr and Ni in crayfish were observed due to lithogenic sources and anthropogenic activities in the basin. Bioconcentration factor values of Fe, Mn, Cd, and Zn in mussels and Zn, Cu, Fe, and Co in crayfish were &gt; 1000, which indicates that both U. e. eucirrus and A. leptodactylus have potential to bioaccumulate these metals. Therefore, attention should be paid to mussels and crayfish from ecological and human health perspective, because they are potential vectors of metals to higher trophic levels.</t>
  </si>
  <si>
    <t>mvarol23@gmail.com</t>
  </si>
  <si>
    <t>Scientific and Technological Research Council of Turkey (TUBITAK) [114Y018]</t>
  </si>
  <si>
    <t>Scientific and Technological Research Council of Turkey (TUBITAK)(Turkiye Bilimsel ve Teknolojik Arastirma Kurumu (TUBITAK))</t>
  </si>
  <si>
    <t>The study was supported by The Scientific and Technological Research Council of Turkey (TUBITAK) (Project No: 114Y018).</t>
  </si>
  <si>
    <t>10.1007/s12011-017-1238-1</t>
  </si>
  <si>
    <t>GP7WA</t>
  </si>
  <si>
    <t>WOS:000441120100025</t>
  </si>
  <si>
    <t>Mok, JS; Lee, KJ; Kim, PH; Lee, TS; Lee, HJ; Jung, YJ; Kim, JH</t>
  </si>
  <si>
    <t>Mok, Jong Soo; Lee, Ka Jeong; Kim, Poong Ho; Lee, Tae Seek; Lee, Hee Jung; Jung, Yeoun Joong; Kim, Ji Hoe</t>
  </si>
  <si>
    <t>Bacteriological quality evaluation of seawater and oysters from the Jaranman-Saryangdo area, a designated shellfish growing area in Korea: Impact of inland pollution sources</t>
  </si>
  <si>
    <t>Water quality; Shellfish growing area; Oyster; Fecal bacteria; Wastewater; Pollution source</t>
  </si>
  <si>
    <t>WATER-QUALITY; HEAVY-METALS; FOODBORNE DISEASES; POTENTIAL RISK; UNITED-STATES; HUMAN HEALTH; BIOACCUMULATION; VARIABILITY; CONSUMPTION; CALIFORNIA</t>
  </si>
  <si>
    <t>From 2011 to 2013, we conducted a full sanitary survey of pollution sources in proximity to a designated shellfish growing area in Korea, and their impact on the sea area therein. From this area, 836 seawater samples and 93 oyster samples were examined to evaluate their bacteriological quality. There were 483 potential pollution sources in the drainage area of the Jaranman-Saryangdo area, including 38 sources discharging water. It demonstrates that while many pollution sources have been identified, no significant impact occurred within the designated shellfish growing area. Variations in fecal coliform (FC) levels in seawater were closely related to rainfall. The FC levels of seawater and oysters from the designated area met the regulation limits set by various countries. Our study indicates that the oysters produced in this area are apparently safe for raw consumption based on their bacterial quality. (C) 2016 Elsevier Ltd. All rights reserved.</t>
  </si>
  <si>
    <t>[Mok, Jong Soo; Lee, Ka Jeong; Jung, Yeoun Joong] Natl Fisheries Res &amp; Dev Inst, Southeast Sea Fisheries Res Inst, 397-68 Sanyang Iljuro, Sanyang Up 650943, Tongyeong, South Korea; [Kim, Poong Ho; Lee, Tae Seek; Lee, Hee Jung; Kim, Ji Hoe] Natl Fisheries Res &amp; Dev Inst, Food Safety Res Div, 216 Gijang Haeanro, Busan 619705, South Korea</t>
  </si>
  <si>
    <t>Mok, JS (corresponding author), Natl Fisheries Res &amp; Dev Inst, Southeast Sea Fisheries Res Inst, 397-68 Sanyang Iljuro, Sanyang Up 650943, Tongyeong, South Korea.</t>
  </si>
  <si>
    <t>10.1016/j.marpolbul.2016.04.036</t>
  </si>
  <si>
    <t>DQ3LD</t>
  </si>
  <si>
    <t>WOS:000379102900030</t>
  </si>
  <si>
    <t>Navarro, R; Arana, G; Etxebarria, N; Dean, JR</t>
  </si>
  <si>
    <t>Navarro, R.; Arana, G.; Etxebarria, N.; Dean, J. R.</t>
  </si>
  <si>
    <t>Evaluation of the physiologically based extraction test as an indicator of metal toxicity in mussel tissue</t>
  </si>
  <si>
    <t>mussel; physiologically based extraction test; metal toxicity; inductively coupled plasma-mass spectrometer</t>
  </si>
  <si>
    <t>MYTILUS-GALLOPROVINCIALIS; ARSENIC BIOAVAILABILITY; SOIL CONTAMINANTS; MARINE POLLUTION; HEAVY-METALS; TRACE-METALS; BIOACCESSIBILITY; SAMPLES; COAST; FISH</t>
  </si>
  <si>
    <t>In order to estimate the bioaccessibility of metals from mussel tissues, an in vitro physiologically based extraction test was applied to simulate the human gastrointestinal conditions. The samples were subjected to human body temperature, and Ag, Co, Cr, Cu, Mn, Ni, Pb and Sn were sequentially extracted with simulated gastric solution, followed by extraction with a simulated intestinal solution. Both gastric and intestinal extracted solutions and microwave-digested residue were analysed by ICP-MS. The procedure was applied to a certified reference material NIST 2977 (mussel tissue) to prove the accuracyof the method. Some mussel tissue samples from Northern Spain were subjected to this procedure to determine their metal content and their metal oral bioaccessibility. (c) 2008 Elsevier B.V All rights reserved.</t>
  </si>
  <si>
    <t>[Dean, J. R.] Northumbria Univ, Sch Appl Sci, Biomol &amp; Biomed Res Ctr, Ellison Bldg, Newcastle Upon Tyne NE1 8ST, Tyne &amp; Wear, England; [Navarro, R.; Arana, G.; Etxebarria, N.] Univ Basque Country, Dept Analyt Chem, Fac Sci &amp; Technol, Bilbao 48080, Spain</t>
  </si>
  <si>
    <t>Northumbria University; University of Basque Country</t>
  </si>
  <si>
    <t>Dean, JR (corresponding author), Northumbria Univ, Sch Appl Sci, Biomol &amp; Biomed Res Ctr, Ellison Bldg, Newcastle Upon Tyne NE1 8ST, Tyne &amp; Wear, England.</t>
  </si>
  <si>
    <t>; Etxebarria, Nestor/C-7341-2008; Arana, Gorka/K-5958-2014</t>
  </si>
  <si>
    <t>Dean, John/0000-0001-5729-356X; Etxebarria, Nestor/0000-0002-2942-9463; Arana, Gorka/0000-0001-7854-855X</t>
  </si>
  <si>
    <t>10.1016/j.aca.2008.05.052</t>
  </si>
  <si>
    <t>330RO</t>
  </si>
  <si>
    <t>WOS:000257960700012</t>
  </si>
  <si>
    <t>Patterson, J; Jeyasanta, KI; Laju, RL; Edward, JKP</t>
  </si>
  <si>
    <t>Patterson, Jamila; Jeyasanta, K. Immaculate; Laju, R. L.; Edward, J. K. Patterson</t>
  </si>
  <si>
    <t>Microplastic contamination in Indian edible mussels (Perna perna and Perna viridis) and their environs</t>
  </si>
  <si>
    <t>Microplastic; Water; Sediment; Mussels; Perna perna; Perna viridis; FTIR-ATR; SEM-EDAX</t>
  </si>
  <si>
    <t>MARINE-ENVIRONMENT; MYTILUS-EDULIS; COASTAL WATERS; PLASTIC DEBRIS; FRESH-WATERS; FISH; INGESTION; EXPOSURE; INVERTEBRATES; DEGRADATION</t>
  </si>
  <si>
    <t>This study investigated the microplastic (MPs) contamination of the mussels, P. viridis and P. perna of different sizes, and their environment viz. water and sediment. MPs were recovered from the soft tissues of both species. The mean abundance of MPs ranges from 0.87 +/- 0.55 to 10.02 +/- 4.15 items/individual; 0.1 +/- 0.03 to 2.05 +/- 0.33 items/g; 31.57 +/- 7.63 to 59.25 +/- 14.32 items/l in water, and 79.54 +/- 18.66 to 108 +/- 40.36 items/kg in sediment. Smaller mussels (3-6 cm) are capable of ingesting higher quantities of MPs per gram of tissue weight, and the rate of MP uptake decreases when the mussels grow in size. These might be due to the faster filtration rate in smaller mussels. MPs of fiber type and blue color in the size range of 500 mu m to 1 mm are predominant in mussels. Eleven different polymeric groups were identified, of which PE is the most common, followed by PP. The distribution patterns of MP abundance, shape, size, color, and polymer in mussels more closely resemble those in water. There is no significant difference in MP quantities between P. perna and P. viridis (p &gt; 0.05). FTIRATR spectroscopy and SEM analysis show that most of the MPs have been strongly weathered. EDAX analysis detects heavy metals like As, Ni, Fe, Zn, and Cd associated with MPs. This study shows that the MPs contents of both the mussel species are transferred from seawater to their edible meat. This study again proved that mussels can act as bio indicator of MPs pollution.</t>
  </si>
  <si>
    <t>[Patterson, Jamila; Jeyasanta, K. Immaculate; Laju, R. L.; Edward, J. K. Patterson] Suganthi Devadason Marine Res Inst, Tuticorin, Tamil Nadu, India</t>
  </si>
  <si>
    <t>Patterson, J (corresponding author), Suganthi Devadason Marine Res Inst, Tuticorin, Tamil Nadu, India.</t>
  </si>
  <si>
    <t>jamilapat@sdmri.in</t>
  </si>
  <si>
    <t>jeyasanta, Dr. K.Immaculate/0000-0002-7547-4468</t>
  </si>
  <si>
    <t>Ministry of Environment, Forest and Climate Change, Government of India under National Adaptation Fund for Climate Change</t>
  </si>
  <si>
    <t>The authors are thankful to Ministry of Environment, Forest and Climate Change, Government of India for funding support under Na-tional Adaptation Fund for Climate Change; to Department of Environ-ment, Government of Tamil Nadu for encouragement; and to Suganthi Devadason Marine Research Institute for facilities.</t>
  </si>
  <si>
    <t>10.1016/j.marpolbul.2021.112678</t>
  </si>
  <si>
    <t>US5QU</t>
  </si>
  <si>
    <t>WOS:000697484400006</t>
  </si>
  <si>
    <t>Zis, T; Ronningen, V; Scrosati, R</t>
  </si>
  <si>
    <t>Minor improvement for intertidal seaweeds and invertebrates after acid mine drainage diversion at Britannia Beach, Pacific Canada</t>
  </si>
  <si>
    <t>acid mine drainage; Britannia Mine; British Columbia; Fucus gardneri; intertidal community structure; Mytilus trossulus</t>
  </si>
  <si>
    <t>COPPER MINE; HOWE SOUND; ALGAE; ZINC</t>
  </si>
  <si>
    <t>In December 2001, acid mine drainage (AMD) from an abandoned copper mine at Britannia Beach (British Columbia, Canada) was diverted to flow from Britannia Creek into an outfall at 30 m depth in Howe Sound. Britannia Beach was studied in early 2003 to determine whether AMD diversion resulted in improved conditions for intertidal organisms. Species number and abundance have increased at the intertidal zone since AMD diversion, although they were still lower than at an unpolluted control site nearby (Furry Creek). Survivorship and growth rates of transplanted Mytilus trossulus (mussel) have increased since AMD diversion, although they were still significantly lower than at the control site. Transplanted Fucus gardneri (seaweed) performed better than before the AMD diversion; at Britannia Beach the chlorophyll a concentration in tissues was not significantly different from that at the control site, although the concentration of chlorophyll c in tissues and the chlorophyll c to a ratio was lower than at the control site six weeks after transplantation. Britannia Beach is still subject to leaching of metals from surrounding soils, low levels of AMD coming down the creek, and AMD discharge from the deep outfall. Although there has been an improvement, the intertidal environment at Britannia Beach still seems unable to support normal growth and survival of organisms. (C) 2003 Elsevier Ltd. All rights reserved.</t>
  </si>
  <si>
    <t>Univ British Columbia, Dept Bot, Vancouver, BC V6T 1Z4, Canada</t>
  </si>
  <si>
    <t>1998 Matthews Ave, Vancouver, BC V6J 2T7, Canada.</t>
  </si>
  <si>
    <t>thaliaz@interchange.ubc.ca</t>
  </si>
  <si>
    <t>Scrosati, Ricardo Augusto/K-6172-2016</t>
  </si>
  <si>
    <t>Scrosati, Ricardo Augusto/0000-0002-3050-132X</t>
  </si>
  <si>
    <t>10.1016/j.marpolbul.2003.12.007</t>
  </si>
  <si>
    <t>831XO</t>
  </si>
  <si>
    <t>WOS:000222230300015</t>
  </si>
  <si>
    <t>Pan, JF; Wang, WX</t>
  </si>
  <si>
    <t>Influences of dissolved and colloidal organic carbon on the uptake of Ag, Cd, and Cr by the marine mussel Perna viridis</t>
  </si>
  <si>
    <t>dissolved organic carbon; colloidal organic carbon; metals; bioavailability; mussels</t>
  </si>
  <si>
    <t>TRACE-METALS; MYTILUS-EDULIS; AMERICAN OYSTERS; NATURAL COLLOIDS; MACOMA-BALTHICA; DAPHNIA-MAGNA; HEAVY-METALS; CADMIUM; BIOAVAILABILITY; ACCUMULATION</t>
  </si>
  <si>
    <t>The cross-flow ultrafiltration and radiotracer techniques were used to study the influences of natural dissolved organic carbon (DOC) and colloidal organic carbon (COC) on the bioavailability of Ag, Cd, and Cr to the green mussel Perna viridis. We examined the uptake of these metals by the mussels at different concentrations of DOC and COC front different origins (estuarine, coastal, and diatom decomposed). Using the DOC originating from the decomposed diatom (Thalassiosira pseudonana), we demonstrated that Cd and Cr uptake. quantified by the concentration factor (DCF), increased linearly with increasing DOC concentration. There was, however. no consistent influence of natural DOC concentration on the metal uptake when the DOC was obtained from different sources of seawater (coastal and estuarine). The influences of COC on metal bioavailability were metal-specific and dependent on the geochemical properties of colloids and colloid-metal complexation. Cd uptake rate was not influenced by the COC concentrations. Uptake of diatom-decomposed colloidal Cr was enhanced by 3.4x, whereas the uptake of diatom-decomposed colloidal Ag, was decreased by 8.2 x compared with the uptake of low molecular weight Cr and Ag (&lt; 1 kDa). The uptake of diatom-decomposed colloidal Cr and Ag was generally lower than the Uptake of metals bound with the same type of colloids to 2 days. Further aging of the colloid-metal binding reduced metal bioavailability to the Mussels. In the presence of different sizes of colloidal particles where there was no major binding of colloids with the metals, metal Uptake by the mussels was not influenced by different COC concentrations. Overall, our study suggests that although metal dissociation from colloids may be an important step for the uptake of colloidal metals. other mechanisms such as pinocytosis and co-transport may also be involved in the uptake of these metals. especially in aquatic environments with high DOC and COC concentrations. (C) 2004 Elsevier Ltd. All rights reserved.</t>
  </si>
  <si>
    <t>Hong Kong Univ Sci &amp; Technol, Dept Biol, Clear Water Bay, Kowloon, Hong Kong, Peoples R China.</t>
  </si>
  <si>
    <t>10.1016/j.envpol.2003.11.015</t>
  </si>
  <si>
    <t>WOS:000221587400013</t>
  </si>
  <si>
    <t>Gonçalves, JM; Benedetti, M; d'Errico, G; Regoli, F; Bebianno, MJ</t>
  </si>
  <si>
    <t>Goncalves, J. M.; Benedetti, M.; d'Errico, G.; Regoli, F.; Bebianno, M. J.</t>
  </si>
  <si>
    <t>Polystyrene nanoplastics in the marine mussel Mytilus galloprovincialis.*</t>
  </si>
  <si>
    <t>Polystyrene nanoplastics; Ingestion; Neurotoxicity; Cytotoxicity; Mytilus galloprovincialis; LC50</t>
  </si>
  <si>
    <t>MICROPLASTICS; HEMOCYTES; NANOPARTICLES; TOXICITY; BEHAVIOR; COPPER</t>
  </si>
  <si>
    <t>Concerns about plastic pollution and its toxicity towards animals and people are growing. Polystyrene (PS) is a plastic polymer highly produced in Europe for packaging purposes and building insulation amongst others. Whatever their source-illegal dumping, improper waste management, or a lack of treatment for the removal of plastic debris from wastewater treatment plants-PS products ultimately end up in the marine environment. Nanoplastics (&lt;1000 nm) are the new focus for plastic pollution, gaining broad interest. Whether primary or secondary, their small size permits nanoparticles to cross cellular boundaries, consequently leading to adverse toxic effects. An in vitro assay of Mytilus galloprovincialis haemocytes exposed to 10 &amp; mu;g/L of polystyrene nano-plastics (PS-NPs; 50 nm) for 24 h was used to test cellular viability along with the luminescence inhibition (LC50) of Aliivibrio fischeri bacteria to evaluate acute toxicity. Cellular viability of mussel haemocytes decreased significantly after a 24 h exposure and PS-NPs LC50 range from 180 to 217, &amp; mu;g/L. In addition, a 28-day exposure of the marine bivalve M. galloprovincialis to PS-NPs (10 &amp; mu;g/L; 50 nm) was performed to evaluate the neurotoxic effects and the uptake of these plastic particles in three bivalve tissues (gills, digestive gland, and gonads). The ingestion of PS-NPs was time-and tissue-specific, suggesting that PS-NPs are ingested through the gills and then translocated through the mussel bloodstream, to the digestive gland and gonads where the highest amount of ingested PS-NPs was reported. Ingested PS-NPs may compromise the digestive glands' key metabolic function and impair mussels' gametogenic and reproductive success. Data on acetylcholinesterase inhibition and those previously obtained on a wide range of cellular biomarkers were elaborated through weighted criteria providing a synthetic assessment of cellular hazard from PS-NPs.</t>
  </si>
  <si>
    <t>[Goncalves, J. M.; Bebianno, M. J.] Univ Algarve, Ctr Marine &amp; Environm Res, CIMA, ARNET Infrastruct Network Aquat Res, Campus Gambelas, P-8000139 Faro, Portugal; [Benedetti, M.; d'Errico, G.; Regoli, F.] Univ Politecn Marche, Dipartimento Sci Vita &amp; Ambiente, Via Brecce Bianche, I-60131 Ancona, Italy; [Benedetti, M.; Regoli, F.] Natl Future Biodivers Ctr NFBC, Palermo, Italy</t>
  </si>
  <si>
    <t>Universidade do Algarve; Marche Polytechnic University</t>
  </si>
  <si>
    <t>Bebianno, MJ (corresponding author), Univ Algarve, Ctr Marine &amp; Environm Res, CIMA, ARNET Infrastruct Network Aquat Res, Campus Gambelas, P-8000139 Faro, Portugal.</t>
  </si>
  <si>
    <t>d'Errico, Giada/G-2419-2018</t>
  </si>
  <si>
    <t>Goncalves, Joanna/0000-0002-3242-1032; Bebianno, Maria/0000-0003-1492-8566</t>
  </si>
  <si>
    <t>FCT~ [UI/BD/150758/2020, FCT JPIOCEANS/0005/2020, UID/00350/2020, ALG-01-0145-FEDER-030922]; European Regional Development Fund (ERDF) through Portugal 2020 [LA/P/0069/2020]; European Regional Development Fund (ERDF) through Portuguese national funds [ALG-01-0145-FEDER-030922]</t>
  </si>
  <si>
    <t>FCT~(Fundacao para a Ciencia e a Tecnologia (FCT)); European Regional Development Fund (ERDF) through Portugal 2020(European Union (EU)Marie Curie Actions); European Regional Development Fund (ERDF) through Portuguese national funds(European Union (EU)Marie Curie Actions)</t>
  </si>
  <si>
    <t>A PhD grant (UI/BD/150758/2020), the JPI Oceans project RESPONSE (FCT JPIOCEANS/0005/2020), which was funded by FCT &amp; nbsp;and the European Regional Development Fund (ERDF) (ALG-01-0145-FEDER-030922) through Portugal 2020 and Portuguese national funds, were all used to support this research. We also value the funding provided by FCT for projects LA/P/0069/2020, awarded to the Associate Laboratory ARNET and UID/00350/2020, awarded to CIMA of the University of Algarve.</t>
  </si>
  <si>
    <t>10.1016/j.envpol.2023.122104</t>
  </si>
  <si>
    <t>M5KN0</t>
  </si>
  <si>
    <t>WOS:001030605200001</t>
  </si>
  <si>
    <t>Variations of trace metals in two estuarine environments with contrasting pollution histories</t>
  </si>
  <si>
    <t>Estuary; Metals; Partitioning; Oysters; Biomonitor</t>
  </si>
  <si>
    <t>SEASONAL-VARIATION; RIVER ESTUARY; BODY-SIZE; GONADAL MATURATION; DIGESTIVE GLAND; HEAVY-METALS; SOUTH CHINA; OYSTERS; CD; ZN</t>
  </si>
  <si>
    <t>In the present study, seasonal variations of metal concentrations were examined in two oyster species, Crassostrea hongkongensis and Crassostrea sikamea, and in seawater from a heavily contaminated estuary and a reference estuary. Strong temporal fluctuations of metal concentration were observed in oyster tissues as well as in seawater from both estuaries, especially for the contaminated estuary and for C. hongkongensis with higher accumulation ability. A closer inter-element correlation was observed for Cu, Zn, Cr and Ni in both the dissolved and particulate phases from the contaminated site, indicating that these metals originated from the same industrial sources. Seasonal variations of metals in oysters were not significantly related to their concentrations in seawater, but were related to the variations of condition index. Our results showed that the seasonal patterns of metal concentrations in oysters were largely controlled by the biological process, while the variation as well as the concentration were dependent on the contamination levels and bioaccumulation ability. (C) 2014 Elsevier B.V. All rights reserved.</t>
  </si>
  <si>
    <t>[Weng, Nanyan; Wang, Wen-Xiong] Xiamen Univ, Coll Environm &amp; Ecol, Minist Educ, Key Lab Coastal &amp; Wetland Ecosyst, Xiamen 361005, Peoples R China; [Wang, Wen-Xiong] Hong Kong Univ Sci &amp; Technol, Div Life Sci, Kowloon, Hong Kong, Peoples R China</t>
  </si>
  <si>
    <t>General Research Fund from the Hong Kong Research Grants Council [662813]; Key Project from the National Natural Science Foundation of China [21237004]</t>
  </si>
  <si>
    <t>General Research Fund from the Hong Kong Research Grants Council; Key Project from the National Natural Science Foundation of China(National Natural Science Foundation of China (NSFC))</t>
  </si>
  <si>
    <t>We thank the anonymous reviewers for their comments. This study was supported by the General Research Fund from the Hong Kong Research Grants Council (662813) and a Key Project from the National Natural Science Foundation of China (21237004).</t>
  </si>
  <si>
    <t>10.1016/j.scitotenv.2014.03.110</t>
  </si>
  <si>
    <t>AI9NJ</t>
  </si>
  <si>
    <t>WOS:000337259000063</t>
  </si>
  <si>
    <t>Shen, H; Kibria, G; Wu, RSS; Morrison, P; Nugegoda, D</t>
  </si>
  <si>
    <t>Shen, Hao; Kibria, Golam; Wu, Rudolf S. S.; Morrison, Paul; Nugegoda, Dayanthi</t>
  </si>
  <si>
    <t>Spatial and temporal variations of trace metal body burdens of live mussels Mytilus galloprovincialis and field validation of the Artificial Mussels in Australian inshore marine environment</t>
  </si>
  <si>
    <t>Trace metal; Body burden; Biomonitoring; Artificial mussel; Port phillip bay</t>
  </si>
  <si>
    <t>PORT PHILLIP BAY; MONITORING HEAVY-METALS; NEW-SOUTH-WALES; DIGESTIVE GLAND; POLLUTION; BIOAVAILABILITY; ESTUARY; EDULIS; METALLOTHIONEIN; ACCUMULATION</t>
  </si>
  <si>
    <t>The body burdens of eight trace metals: Cd, Pb, Cu, Zn, Cr, Se, Hg, and As, were measured in live mussels (LMs) Mytilus galloprovincialis at 14 coastal sites in Port Phillip Bay, Victoria, Australia in winter and summer between 2017 and 2018. The spatial and temporal variations of body burdens were evaluated. The results revealed significantly higher body burdens of Cd, Pb, Cu, Zn, Cr, and Hg in summer at the sites where the city centre and industries are located. Elevated levels of most trace metals including 3 toxic, non-essential metals (Cd, Pb, and Hg) were detected in LMs from the site of Geelong. The body burdens of Zn, Cr, Se, and As appeared higher at the sites from the Bellarine Peninsula and the mouth of Port Phillip Bay. Besides, the Artificial Mussels (AMs) were deployed at the same sites in summer for 28 d and retrieved when the LMs were collected. The accumulations of the eight metals were compared between AMs and LMs summer results. It indicated significant correlations for Pb, Cu, and Cr, lower correlations in Zn and Hg, and irregular correlations for Se and As. The AM results of Cd were below the detection limit of the analytical method. This study demonstrates that AMs are excellent replacement of LMs for the biomonitoring of multiple kinds of trace metals. (C) 2020 Elsevier Ltd. All rights reserved.</t>
  </si>
  <si>
    <t>[Shen, Hao; Nugegoda, Dayanthi] RMIT Univ, Sch Appl Sci, Ecotoxicol Res Grp, Melbourne, Vic, Australia; [Kibria, Golam; Morrison, Paul] RMIT Univ, Sch Appl Sci, Melbourne, Vic, Australia; [Wu, Rudolf S. S.] Educ Univ Hong Kong, Dept Sci &amp; Environm Studies, Hong Kong, Peoples R China</t>
  </si>
  <si>
    <t>Royal Melbourne Institute of Technology (RMIT); Royal Melbourne Institute of Technology (RMIT); Education University of Hong Kong (EdUHK)</t>
  </si>
  <si>
    <t>Shen, H (corresponding author), POB 71, Bundoora, Vic 3083, Australia.</t>
  </si>
  <si>
    <t>s3638754@student.rmit.edu.au</t>
  </si>
  <si>
    <t>Nugegoda, Dayanthi/R-9770-2019; Wu, Rudolf/B-4203-2010; Shen, Hao/JCE-4715-2023</t>
  </si>
  <si>
    <t>Nugegoda, Dayanthi/0000-0002-6327-4581; Shen, Hao/0000-0002-9190-5299</t>
  </si>
  <si>
    <t>10.1016/j.chemosphere.2020.126004</t>
  </si>
  <si>
    <t>WOS:000527930600053</t>
  </si>
  <si>
    <t>Mesquita, AF; Gonçalves, FJM; Gonçalves, AMM</t>
  </si>
  <si>
    <t>Mesquita, Andreia F.; Goncalves, Fernando J. M.; Goncalves, Ana M. M.</t>
  </si>
  <si>
    <t>Effects of Inorganic and Organic Pollutants on the Biomarkers' Response of Cerastoderma edule under Temperature Scenarios</t>
  </si>
  <si>
    <t>chemical pollution; pesticides; metals; climate change; marine bivalves; biochemical biomarkers</t>
  </si>
  <si>
    <t>SOLID-PHASE EXTRACTION; FATTY-ACIDS PROFILES; OXIDATIVE STRESS; SCROBICULARIA-PLANA; METAL CONTAMINATION; CLIMATE-CHANGE; HERBICIDE; ACCUMULATION; OXYFLUORFEN; PERFORMANCE</t>
  </si>
  <si>
    <t>Currently, there is increased chemical pollution, and climate change is a major concern to scientific, political and social communities globally. Marine systems are very susceptible to changes, and considering the ecological and economic roles of bivalve species, like Cerastoderma edule, studies evaluating the effects of both stressors are of great importance. This study intends to (a) determine the toxicity of copper (Cu) and oxyfluorfen at the lethal level, considering the temperature; (b) assess the changes in the antioxidant defence enzymes as a consequence of the simultaneous exposure to chemical and warming pressures; and (c) determine if lipid peroxidation (LPO) and neurotoxic effects occur after the exposure to chemical and temperature stressors. C. edule was exposed to Cu and oxyfluorfen at different temperatures (15 C-degrees, 20 C-degrees and 25 C-degrees) for 96 h. The ecotoxicological results reveal a higher tolerance of C. edule to oxyfluorfen than to Cu, regardless of the temperature. The antioxidant defence system revealed efficiency in fighting the chemicals' action, with no significant changes in the thiobarbituric reactive species (TBARS) levels to 15 C-degrees and 20 C-degrees. However, a significant inhibition of acetylcholinesterase (AChE) was observed on the organisms exposed to oxyfluorfen at 20 C-degrees, as well as a decreasing trend on the ones exposed to Cu at this temperature. Moreover, the catalase (CAT) showed a significant increase in the organisms exposed to the two highest concentrations of Cu at 15 C-degrees and in the ones exposed to the highest concentration of oxyfluorfen at 20 C-degrees. Looking at the temperature as a single stressor, the organisms exposed to 25 C-degrees revealed a significant increase in the TBARS level, suggesting potential LPO and explaining the great mortality at this condition.</t>
  </si>
  <si>
    <t>[Mesquita, Andreia F.; Goncalves, Fernando J. M.; Goncalves, Ana M. M.] Univ Aveiro, Dept Biol, P-3810193 Aveiro, Portugal; [Mesquita, Andreia F.; Goncalves, Fernando J. M.; Goncalves, Ana M. M.] Univ Aveiro, CESAM Ctr Environm &amp; Marine Studies, P-3810193 Aveiro, Portugal; [Goncalves, Ana M. M.] Univ Coimbra, MARE Marine &amp; Environm Sci Ctr, Dept Life Sci, ARNET Aquat Res Network, P-3000456 Coimbra, Portugal</t>
  </si>
  <si>
    <t>Gonçalves, AMM (corresponding author), Univ Aveiro, Dept Biol, P-3810193 Aveiro, Portugal.;Gonçalves, AMM (corresponding author), Univ Aveiro, CESAM Ctr Environm &amp; Marine Studies, P-3810193 Aveiro, Portugal.;Gonçalves, AMM (corresponding author), Univ Coimbra, MARE Marine &amp; Environm Sci Ctr, Dept Life Sci, ARNET Aquat Res Network, P-3000456 Coimbra, Portugal.</t>
  </si>
  <si>
    <t>filipamesquita@ua.pt; fjmg@ua.pt; amgoncalves@uc.pt</t>
  </si>
  <si>
    <t>Goncalves, Ana/KFA-4223-2024; Goncalves, Fernando J. M./B-8000-2008; Goncalves, Ana Marta/A-5151-2013</t>
  </si>
  <si>
    <t>Goncalves, Fernando J. M./0000-0002-9326-187X; Goncalves, Ana Marta/0000-0002-8611-7183; Costa Mesquita, Andreia Filipa/0000-0002-9601-943X</t>
  </si>
  <si>
    <t>Fundacao para a Ciencia e a Tecnologia (FCT) [LA/P/0069/2020, UIDB/04292/2020, UIDP/50017/2020+UIDB/50017/2020+ LA/P/0094/2020]; PORBIOTA, E-Infrastructure Portuguese Information and Research in Biodiversity [POCI-01-0145-FEDER-022127]; Competitiveness and Internationalization Operational Programme; Regional Operational Programme of Lisbon through FEDER; Portuguese Foundation for Science and Technology (FCT); FCT [SFRH/BD/139831/2018]; Human Potential Operational Programme; European Social Fund (EU); program POPH/FSE; University of Coimbra [IT057-18-7253]</t>
  </si>
  <si>
    <t>Fundacao para a Ciencia e a Tecnologia (FCT)(Fundacao para a Ciencia e a Tecnologia (FCT)); PORBIOTA, E-Infrastructure Portuguese Information and Research in Biodiversity; Competitiveness and Internationalization Operational Programme; Regional Operational Programme of Lisbon through FEDER; Portuguese Foundation for Science and Technology (FCT)(Fundacao para a Ciencia e a Tecnologia (FCT)); FCT(Fundacao para a Ciencia e a Tecnologia (FCT)); Human Potential Operational Programme; European Social Fund (EU)(European Union (EU)European Social Fund (ESF)); program POPH/FSE(European Social Fund (ESF)); University of Coimbra</t>
  </si>
  <si>
    <t>This study was supported by Fundacao para a Ciencia e a Tecnologia (FCT) through thestrategic projects LA/P/0069/2020 granted to the Associate Laboratory ARNET, UIDB/04292/2020 granted to the Marine and Environmental Sciences Centre (MARE) and UIDP/50017/2020+UIDB/50017/2020+ LA/P/0094/2020 granted to CESAM. This research was also partially supported by PORBIOTA, E-Infrastructure Portuguese Information and Research in Biodiversity (POCI-01-0145-FEDER-022127), by the Competitiveness and Internationalization Operational Programme and Regional Operational Programme of Lisbon through FEDER and by the Portuguese Foundation for Science and Technology (FCT) through national funds (OE). A. F. Mesquita thanks FCT for the financial support provided through doctoral grants SFRH/BD/139831/2018, co-funded by the Human Potential Operational Programme (National Strategic Reference Framework 2007-2013), the European Social Fund (EU) and the program POPH/FSE. A. M. M. Goncalves also acknowledges the University of Coimbra for contract IT057-18-7253.</t>
  </si>
  <si>
    <t>10.3390/antiox12091756</t>
  </si>
  <si>
    <t>T0MC4</t>
  </si>
  <si>
    <t>WOS:001075004500001</t>
  </si>
  <si>
    <t>Grimm, A; Chen, F; dos Reis, GS; Dinh, V; Khokarale, SG; Finell, M; Mikkola, JP; Hultberg, M; Dotto, GL; Xiong, SJ</t>
  </si>
  <si>
    <t>Grimm, Alejandro; Chen, Feng; dos Reis, Glaydson Simoes; Dinh, Van Minh; Khokarale, Santosh Govind; Finell, Michael; Mikkola, Jyri-Pekka; Hultberg, Malin; Dotto, Guilherme L.; Xiong, Shaojun</t>
  </si>
  <si>
    <t>Cellulose Fiber Rejects as Raw Material for Integrated Production of Pleurotus spp. Mushrooms and Activated Biochar for Removal of Emerging Pollutants from Aqueous Media</t>
  </si>
  <si>
    <t>ACS OMEGA</t>
  </si>
  <si>
    <t>EFFICIENT REMOVAL; OYSTER MUSHROOMS; SUBSTRATE; OSTREATUS; DECOLORIZATION; PASTEURIZATION; CULTIVATION; DYE</t>
  </si>
  <si>
    <t>Cellulose fiber rejects from industrial-scale recycling of waste papers were dried and de-ashed using a combined cyclone-drying and sieving process. The upgraded fiber reject was used as a component of substrates for the cultivation of Pleurotus ostreatus and Pleurotus eryngii mushrooms. Acetic acid (AA) and acid whey (AW) were used to adjust the pH of fiber reject-based substrates. Spent substrate (SMS) was used for the production of activated biochar using H3PO4 and KOH as activating agents and pyrolysis temperatures of 500, 600, and 700 degrees C. The effectiveness of the biochars in removing pollutants from water was determined using acetaminophen and amoxicillin. By using a feeding rate of 250 kg/h and a drying air temperature of 70 degrees C, the moisture content of the raw fiber rejects (57.8 wt %) was reduced to 5.4 wt %, and the ash content (39.2 wt %) was reduced to 21.5 wt %. Substrates with 60 and 80 wt % de-ashed cellulose fiber were colonized faster than a birch wood-based control substrate. The adjustment of the pH of these two substrates to approximately 6.5 by using AA led to longer colonization times but biological efficiencies (BEs) that were higher or comparable to that of the control substrate. The contents of ash, crude fiber, crude fat, and crude protein of fruit bodies grown on fiber reject-based substrates were comparable to that of those grown on control substrates, and the contents of toxic heavy metals, that is, As, Pb, Cd, and Hg, were well below the up-limit values for food products set in EC regulations. Activated biochar produced from fiber reject-based SMS at a temperature of 700 degrees C resulted in a surface area (BET) of 396 m2/g (H3PO4-activated biochar) and 199 m2/g (KOH-activated biochar). For both activated biochars, the kinetics of adsorption of acetaminophen and amoxicillin were better described using the general order model. The isotherms of adsorption were better described by the Freundlich model (H3PO4-activated biochar) and the Langmuir model (KOH-activated biochar).</t>
  </si>
  <si>
    <t>[Grimm, Alejandro; Chen, Feng; dos Reis, Glaydson Simoes; Finell, Michael; Xiong, Shaojun] Swedish Univ Agr Sci, Dept Forest Biomat &amp; Technol, SE-90183 Umea, Sweden; [Dinh, Van Minh; Khokarale, Santosh Govind; Mikkola, Jyri-Pekka] Umea Univ, Chem Biol Ctr, Dept Chem, Tech Chem, SE-90187 Umea, Sweden; [Mikkola, Jyri-Pekka] Abo Akad Univ, Johan Gadolin Proc Chem Ctr, Ind Chem &amp; React Engn, Abo Turku 20500, Finland; [Hultberg, Malin] Swedish Univ Agr Sci, Dept Biosyst &amp; Technol, SE-23053 Alnarp, Sweden; [Dotto, Guilherme L.] Univ Fed Santa Maria, Res Grp Adsorpt &amp; Catalyt Proc Engn ENGEPAC, BR-97105900 Santa Maria, RS, Brazil</t>
  </si>
  <si>
    <t>Swedish University of Agricultural Sciences; Umea University; Abo Akademi University; Swedish University of Agricultural Sciences; Universidade Federal de Santa Maria (UFSM)</t>
  </si>
  <si>
    <t>Grimm, A (corresponding author), Swedish Univ Agr Sci, Dept Forest Biomat &amp; Technol, SE-90183 Umea, Sweden.</t>
  </si>
  <si>
    <t>Alejandro.Grimm@slu.se</t>
  </si>
  <si>
    <t>; Dotto, Guilherme Luiz/I-8271-2015; Grimm, Alejandro/G-7363-2016; Simoes dos Reis, Glaydson/H-6451-2017</t>
  </si>
  <si>
    <t>DINH, VAN/0000-0003-1473-6812; Xiong, Shaojun/0000-0001-5700-9493; Dotto, Guilherme Luiz/0000-0002-4413-8138; Grimm, Alejandro/0000-0001-8502-8069; Simoes dos Reis, Glaydson/0000-0001-8727-9793</t>
  </si>
  <si>
    <t>Swedish Research Council FORMAS [2021-00877]; Swedish Energy Agency Re:source program [P42481]; Swedish government; Swedish University of Agricultural Sciences; Formas [2021-00877] Funding Source: Formas</t>
  </si>
  <si>
    <t>Swedish Research Council FORMAS(Swedish Research Council Formas); Swedish Energy Agency Re:source program(Swedish Energy Agency); Swedish government; Swedish University of Agricultural Sciences; Formas(Swedish Research Council Formas)</t>
  </si>
  <si>
    <t>This research was funded by the Swedish Research Council FORMAS (2021-00877) and the Swedish Energy Agency Re:source program (P42481) . The authors wish to thank Bio4Energy, a strategic research environment appointed by the Swedish government, as well as the Swedish University of Agricultural Sciences for supporting this work. The Vibrational Spectroscopy Core Facility (ViSp) at the Chemical Biological Centre (KBC) , Umea University, and the Wallenberg Wood Science Center (WWSC) are gratefully acknowledged. This work was also a part of the Johan Gadolin Process Chemistry Centre at the Abo Akademi University, Finland.</t>
  </si>
  <si>
    <t>2470-1343</t>
  </si>
  <si>
    <t>ACS Omega</t>
  </si>
  <si>
    <t>FEB 14</t>
  </si>
  <si>
    <t>10.1021/acsomega.2c06453</t>
  </si>
  <si>
    <t>C5RA0</t>
  </si>
  <si>
    <t>WOS:000927011900001</t>
  </si>
  <si>
    <t>Bustamante, P; Germain, P; Leclerc, G; Miramand, P</t>
  </si>
  <si>
    <t>Concentration and distribution of 210Po in the tissues of the scallop Chlamys varia and the mussel Mytilus edulis from the coasts of Charente-Maritime (France)</t>
  </si>
  <si>
    <t>Po-210; molluscs; scallops; bioaccumulation; digestive gland; subcellular fractionation</t>
  </si>
  <si>
    <t>ADAMUSSIUM-COLBECKI; MARINE ORGANISMS; PB-210; FISH; SEA; METALLOTHIONEIN; LOCALIZATION; MOLLUSKS; BINDING; CADMIUM</t>
  </si>
  <si>
    <t>Polonium-210 (Po-210) has been analysed in the soft parts of two bivalves species, the scallop Chlamys varia and the common mussel Mytilus edulis, from the Bay of La Roehelle and Re Island, on the French Atlantic coast. Between those sites, the highest Po-210 concentrations have been found in whole scallop soft parts from La Rochelle, reaching 1181 +/- 29 Bq kg(-1) dry weight (dwt), a size effect being related to the highest Po-210 concentration in the smallest scallops. The results show a significant difference in concentrations for similar size individuals between species in each site (C. varia &gt; M. edulis) and between sites for each species (Re Island &gt; Bay of La Rochelle). Very high Po-210 concentrations have been found in the digestive gland of C. raria, ranging 3150-4637 Bq kg(-1) dwt. Thus, the digestive gland contains up to 60% of the radionuclide. Subcellular investigations have shown that approximately 40% of the Po-210 contained in the digestive gland is in the cytosolic fraction, suggesting a high bioavailability of the Po-210 from this fraction to the trophic upper level. Calculations will show that approximately 4 kg of scallops flesh intake would be necessary to reach the annual incorporation limit of 1 mSv. (C) 2002 Elsevier Science Ltd. All rights reserved.</t>
  </si>
  <si>
    <t>Univ La Rochelle, Lab Biol &amp; Environm Marins, UPRES EA 3168, F-17042 La Rochelle, France; LERFA, Inst Radioprotect &amp; Surete Nucl, Dept Radioprotect Environm, F-50130 Octeville, France</t>
  </si>
  <si>
    <t>Univ La Rochelle, Lab Biol &amp; Environm Marins, UPRES EA 3168, 22 Ave Michel Crepeau, F-17042 La Rochelle, France.</t>
  </si>
  <si>
    <t>PII S0025-326X(02)00135-2</t>
  </si>
  <si>
    <t>10.1016/S0025-326X(02)00135-2</t>
  </si>
  <si>
    <t>WOS:000179296900012</t>
  </si>
  <si>
    <t>Falfushynska, H; Sokolov, EP; Haider, F; Oppermann, C; Kragl, U; Ruth, W; Stock, M; Glufke, S; Winkel, EJ; Sokolova, IM</t>
  </si>
  <si>
    <t>Falfushynska, Halina; Sokolov, Eugene P.; Haider, Fouzia; Oppermann, Christina; Kragl, Udo; Ruth, Wolfgang; Stock, Marius; Glufke, Sabrina; Winkel, Eileen J.; Sokolova, Inna M.</t>
  </si>
  <si>
    <t>Effects of a common pharmaceutical, atorvastatin, on energy metabolism and detoxification mechanisms of a marine bivalve Mytilus edulis</t>
  </si>
  <si>
    <t>Statins; Bioenergetics; Lipids; Carbohydrates; Proteins; Mitochondria; Oxygen consumption; Biotransformation; Toxicity; LC-MS analysis</t>
  </si>
  <si>
    <t>VIRGINICA GMELIN BIVALVIA; PERSONAL CARE PRODUCTS; CRASSOSTREA-VIRGINICA; CADMIUM EXPOSURE; P-GLYCOPROTEIN; ENVIRONMENTAL RISK; MULTIXENOBIOTIC RESISTANCE; ACCLIMATION TEMPERATURE; MITOCHONDRIAL-FUNCTION; GENE-EXPRESSION</t>
  </si>
  <si>
    <t>Biologically active compounds from pharmaceuticals cause concern due to their common occurrence in water and sediments of urbanized coasts and potential threat to marine organisms. Atorvastatin (ATO), a globally prescribed drug, is environmentally stable and bioavailable to marine organisms; however, the physiological and toxic effects of this drug on ecologically important coastal species are yet to be elucidated. We studied the effect of ATO ((similar to)1.2 mu g L-1) on bioenergetics (including whole-organism and mitochondrial respiration, as well as tissue energy reserves and mRNA expression of genes involved in mitochondrial biogenesis and fatty acid metabolism in the gills and the digestive gland) of a keystone bivalve Mytulis edulis (the blue mussel) from the Baltic Sea. Xenobiotic detoxification systems including activity and mRNA expression of P-glycoprotein, and Phase I and II biotransformation enzymes (cytochrome P450 monooxygenase CYP1A and glutathione transferase, GST) were also assessed in the gill and digestive gland of the mussels. Exposure to ATO caused rapid uptake and biotransformation of the drug by the mussels. Standard metabolic rate of ATO-exposed mussels increased by 56% indicating higher maintenance costs, yet no changes were detected in the respiratory capacity of isolated mitochondria. ATO exposure led to (similar to)60% decrease in the lysosomal membrane stability of hemocytes and (similar to)3-fold decrease in the whole-organism P-glycoprotein-driven and diffusional efflux of xenobiotics indicating altered membrane properties. The digestive gland was a major target of ATO toxicity in the mussels. Exposure of mussels to ATO led to depletion of lipid, carbohydrate and protein pools, and suppressed transcription of key enzymes involved in mitochondrial biogenesis (peroxisome proliferator-activated receptor gamma coactivator 1-alpha PGC-1 alpha) and fatty acid metabolism (acetyl-CoA carboxylase and CYP4Y1) in the digestive gland. No bioenergetic disturbances were observed in the gills of ATO-exposed mussels, and elevated GST activity indicated enhanced ATO detoxification in this tissue. These data demonstrate that ATO can act as a metabolic disruptor and chemosensitizer in keystone marine bivalves and warrant further investigations of statins as emerging pollutants of concern in coastal marine ecosystems.</t>
  </si>
  <si>
    <t>[Falfushynska, Halina; Haider, Fouzia; Stock, Marius; Glufke, Sabrina; Winkel, Eileen J.; Sokolova, Inna M.] Univ Rostock, Inst Biol Sci, Dept Marine Biol, Rostock, Germany; [Falfushynska, Halina] Ternopil V Hnatiuk Natl Pedag Univ, Dept Human Hlth Phys Rehabil &amp; Vital Act, Ternopol, Ukraine; [Sokolov, Eugene P.] Leibniz Inst Balt Sea Res, Leibniz Sci Campus Phosphorus Res Rostock, Warnemunde, Germany; [Oppermann, Christina; Kragl, Udo; Ruth, Wolfgang] Univ Rostock, Inst Chem, Dept Ind Chem, Rostock, Germany; [Sokolova, Inna M.] Univ Rostock, Interdisciplinary Fac, Dept Maritime Syst, Rostock, Germany</t>
  </si>
  <si>
    <t>University of Rostock; Ministry of Education &amp; Science of Ukraine; Ternopil Volodymyr Hnatiuk National Pedagogical University; Leibniz Institut fur Ostseeforschung Warnemunde; University of Rostock; University of Rostock</t>
  </si>
  <si>
    <t>Sokolova, IM (corresponding author), Univ Rostock, Dept Marine Biol, Albert Einstein Str 3, D-18059 Rostock, Germany.</t>
  </si>
  <si>
    <t>Inna.Sokolova@uni-rostock.de</t>
  </si>
  <si>
    <t>Kragl, Udo/A-3691-2015; Sokolova, Inna/AAE-4150-2019; Falfushynska, Halina/B-6518-2015; Sokolova, Inna/B-4955-2009</t>
  </si>
  <si>
    <t>Haider, Fouzia/0000-0002-5388-6453; Falfushynska, Halina/0000-0003-3058-4919; Sokolova, Inna/0000-0002-2068-4302</t>
  </si>
  <si>
    <t>funding line Strategic Networks of the Leibniz Association; Research Training Group 'Baltic TRANSCOAST' - DFG (Deutsche Forschungsgemeinschaft) [GRK 2000]; Alexander von Humboldt Fellowship</t>
  </si>
  <si>
    <t>funding line Strategic Networks of the Leibniz Association; Research Training Group 'Baltic TRANSCOAST' - DFG (Deutsche Forschungsgemeinschaft)(German Research Foundation (DFG)); Alexander von Humboldt Fellowship(Alexander von Humboldt Foundation)</t>
  </si>
  <si>
    <t>This work was in part supported by the funding line Strategic Networks of the Leibniz Association within the scope of the Leibniz ScienceCampus Phosphorus Research Rostock (www.sciencecampus-rostock.de) to ES, the Research Training Group 'Baltic TRANSCOAST' funded b.y the DFG (Deutsche Forschungsgemeinschaft) under grant number GRK 2000 (www.baltic-transcoast.uni-rostock.de) to IS and FH, and Alexander von Humboldt Fellowship to HF. This is Baltic TRANSCOAST publication no. GRK2000/0021.</t>
  </si>
  <si>
    <t>10.1016/j.aquatox.2018.12.022</t>
  </si>
  <si>
    <t>HN1ME</t>
  </si>
  <si>
    <t>WOS:000459950500006</t>
  </si>
  <si>
    <t>Hédouin, L; Metian, M; Lacoue-Labarthe, T; Fichez, R; Teyssié, JL; Bustamante, P; Warnau, M</t>
  </si>
  <si>
    <t>Hedouin, Laetitia; Metian, Marc; Lacoue-Labarthe, Thomas; Fichez, Renaud; Teyssie, Jean-Louis; Bustamante, Paco; Warnau, Michel</t>
  </si>
  <si>
    <t>Influence of food on the assimilation of selected metals in tropical bivalves from the New Caledonia lagoon: Qualitative and quantitative aspects</t>
  </si>
  <si>
    <t>Mollusks; Isognomon isognomon; Gafrarium tumidum; New Caledonia; Radiotracer; Feeding</t>
  </si>
  <si>
    <t>ALGA LOBOPHORA-VARIEGATA; MUSSEL MYTILUS-EDULIS; HEAVY-METALS; RADIOTRACER TECHNIQUES; KINETIC-MODEL; SEA-WATER; BIOACCUMULATION; BIOCONCENTRATION; RADIONUCLIDES; CONTAMINATION</t>
  </si>
  <si>
    <t>The present study aimed at examining the influence of food quality and quantity on the assimilation efficiency (AE) of metals in two abundant bivalves in the New Caledonia lagoon, the oyster Isognomon isognomon and the clam Gafrarium tumidum. Bivalves were exposed via their food to the radiotracers of three metals of concern in New Caledonia (Mn-54, Co-57 and Zn-65) under different feeding conditions (phyto-plankton species, cell density, and cell-associated metal concentration). When bivalves were fed Heterocapsa triquetra, Emiliania huxleyi and Isochrysis galbana, AE of Mn, Co and Zn was strongly influenced by the phytoplankton species and by the metal considered. In contrast, when fed one given phytoplankton species previously exposed to different concentrations of Co, phytoplankton-associated Co load had no influence on the AE and on the retention time of the metal in both bivalves. Metals ingested with I. galbana displayed generally the highest AE in both bivalve species, except for Mn in clams for which the highest AE was observed for H. triquetra. Influence of food quantity was investigated by exposing bivalves to different cell densities oft. galbana (5 x 10(3), 10(4) or 5 x 10(4) cell ml(-1)). As for food quality, food quantity was found to influence AE of Mn, Co and Zn, the highest AE being observed when bivalves were fed the lowest cell density. Overall, results indicate that the two bivalve species are able to adjust their feeding strategies according to the food conditions prevailing in their environment. (C) 2010 Elsevier Ltd. All rights reserved.</t>
  </si>
  <si>
    <t>[Hedouin, Laetitia; Metian, Marc; Teyssie, Jean-Louis; Warnau, Michel] IAEA MEL, MC-98000 Monaco, Monaco; [Hedouin, Laetitia; Metian, Marc; Lacoue-Labarthe, Thomas; Bustamante, Paco; Warnau, Michel] Univ La Rochelle, CNRS, Littoral Environm &amp; Soc LIENSs, UMR 6250, F-17042 La Rochelle, France; [Hedouin, Laetitia; Fichez, Renaud] Noumea Ctr, IRD, Noumea 98848, New Caledonia</t>
  </si>
  <si>
    <t>Metian, Marc/F-8010-2018; Lacoue-Labarthe, Thomas/H-4963-2019; Bustamante, Paco/G-5833-2011</t>
  </si>
  <si>
    <t>Fichez, Renaud/0000-0002-2374-1018; HEDOUIN, Laetitia/0000-0001-6565-3633; Metian, Marc/0000-0003-1485-5029; Lacoue-Labarthe, Thomas/0000-0002-4682-8730; Bustamante, Paco/0000-0003-3877-9390</t>
  </si>
  <si>
    <t>Goro-Nickel Company, New Caledonia; National Fund for Scientific Research (NFSR, Belgium); Conseil Regional de Poitou-Charentes; IAEA; French PNEC Programme (Chantier Nouvelle-Caledonie); IRD</t>
  </si>
  <si>
    <t>Goro-Nickel Company, New Caledonia; National Fund for Scientific Research (NFSR, Belgium)(Fonds de la Recherche Scientifique - FNRS); Conseil Regional de Poitou-Charentes(Region Nouvelle-Aquitaine); IAEA(International Atomic Energy Agency); French PNEC Programme (Chantier Nouvelle-Caledonie); IRD</t>
  </si>
  <si>
    <t>The authors thank O. Pringault (IRD-Noumea) for critical reading of the manuscript. LH was beneficiary of a PhD grant (CIFRE, France) supported by the Goro-Nickel Company, New Caledonia. M.W. is an Honorary Senior Research Associate of the National Fund for Scientific Research (NFSR, Belgium) and has benefited from a 2008-2009 Invited Expert position at LIENSs (CNRS-Universite de La Rochelle), supported by the Conseil Regional de Poitou-Charentes. This work was supported by the IAEA, the French PNEC Programme (Chantier Nouvelle-Caledonie) and IRD. The IAEA is grateful for the support provided to its Marine Environment Laboratories by the Government of Monaco.</t>
  </si>
  <si>
    <t>10.1016/j.marpolbul.2010.06.034</t>
  </si>
  <si>
    <t>WOS:000282113200023</t>
  </si>
  <si>
    <t>Rossi, F; Palombella, S; Pirrone, C; Mancini, G; Bernardini, G; Gornati, R</t>
  </si>
  <si>
    <t>Rossi, Federica; Palombella, Silvia; Pirrone, Cristina; Mancini, Giuseppe; Bernardini, Giovanni; Gornati, Rosalba</t>
  </si>
  <si>
    <t>Evaluation of tissue morphology and gene expression as biomarkers of pollution in mussel Mytilus galloprovincialis caging experiment</t>
  </si>
  <si>
    <t>mRNA; Stress-related genes; Quantitative PCR; Sentinel organisms; TEM</t>
  </si>
  <si>
    <t>HEAVY-METAL CONTAMINATION; REAL-TIME PCR; BENTHIC FORAMINIFERA; COASTAL AREAS; EDULIS; NAPLES; BIOACCUMULATION; RESPONSES; CELLS; GULF</t>
  </si>
  <si>
    <t>The ecosystem is being anthropogenically disturbed, which has serious consequences for the environment and human health, having strong social and economic impacts on the community. One of the most common methods to evaluate the effects of toxic contaminants is based on biomonitoring, e.g., placing Mytilus galloprovincialis in the polluted areas investigated. In this study, we have combined two different methods, transcriptomic and morphological analysis, with the purpose of determining whether cell morphology and the ultrastructural organization of our animal model are related to gene expression in outdoor experiments. The most pronounced changes were observed in mussel gills and digestive gland for mRNA involved in protein machinery (18S, 28S and EF1), while HSP70, MT10, CYP4Y1, SOD1, and CAT mRNAs showed scattered modifications not related to the studied area. In agreement with 18S, 28S, and EF1 mRNA evaluation, optical and electron microscopy demonstrated an initial inflammatory response of the cells that can lead to apoptosis in the caged mussels in all the polluted areas. In conclusion, the application of a multi-disciplinary approach proved to be effective for assessing the biological effects of contaminations on the health of aquatic organisms, and thus suitable to be applied in eco-toxicological studies. Although affected by several uncontrolled environmental variables, the assessment of mRNA can represent a useful endpoint for an integrated estimation of the overall threats to the sea environment within a field research approach. (C) 2016 The Authors. Published by Elsevier B.V.</t>
  </si>
  <si>
    <t>[Rossi, Federica; Palombella, Silvia; Pirrone, Cristina; Bernardini, Giovanni; Gornati, Rosalba] Univ Insubria, Dipartimento Biotecnol &amp; Sci Vita, Via Dunant 3, Varese, Italy; [Bernardini, Giovanni; Gornati, Rosalba] Politecn Milan, Prot Factory Res Ctr, ICRM CNR Milano, Via Mancinelli 7, Milan, Italy; [Bernardini, Giovanni; Gornati, Rosalba] Univ Insubria, Via Mancinelli 7, Milan, Italy; [Mancini, Giuseppe] Univ Catania, Dipartimento Ingn Elettr Elettron &amp; Informat, Viale Andrea Doria 6, Catania, Italy</t>
  </si>
  <si>
    <t>University of Insubria; Polytechnic University of Milan; Consiglio Nazionale delle Ricerche (CNR); Istituto di Chimica del Riconoscimento Molecolare (ICRM-CNR); University of Insubria; University of Catania</t>
  </si>
  <si>
    <t>Gornati, R (corresponding author), Univ Insubria, Dipartimento Biotecnol &amp; Sci Vita, Via Dunant 3, Varese, Italy.</t>
  </si>
  <si>
    <t>Palombella, Silvia/AAU-2251-2020; Bernardini, Giovanni/GRJ-0070-2022; Mancini, Giuseppe/C-4544-2015; Palombella, Silvia/K-5448-2018</t>
  </si>
  <si>
    <t>Mancini, Giuseppe/0000-0002-0953-7934; Palombella, Silvia/0000-0002-7628-5677</t>
  </si>
  <si>
    <t>PRIN [T7_2010ARBL001/008]; FAR (Fondo comune di Ateneo per la Ricerca)</t>
  </si>
  <si>
    <t>PRIN(Ministry of Education, Universities and Research (MIUR)Research Projects of National Relevance (PRIN)); FAR (Fondo comune di Ateneo per la Ricerca)</t>
  </si>
  <si>
    <t>We would like to thank Riccardo Balzaretti, Ilaria Armenia and Simone Cappello for helping during the mussel sampling campaign. This research was supported by grants: PRIN (Prot. T7_2010ARBL001/008) and FAR (Fondo comune di Ateneo per la Ricerca 2013). The authors gratefully acknowledge Centro Grandi Attrezzature per la Ricerca Biomedica University of Insubria for instrument availability and for hospitability. Silvia Palombella is a PhD student of the Biotechnology, Biosciences and Surgical Technology course at University degli Studi dell'Insubria.</t>
  </si>
  <si>
    <t>10.1016/j.aquatox.2016.10.018</t>
  </si>
  <si>
    <t>ED8EN</t>
  </si>
  <si>
    <t>WOS:000389104900007</t>
  </si>
  <si>
    <t>Przytarska, JE; Sokolowski, A; Wolowicz, M; Hummel, H; Jansen, J</t>
  </si>
  <si>
    <t>Przytarska, Joanna Ewa; Sokolowski, Adam; Wolowicz, Maciej; Hummel, Herman; Jansen, Jeroen</t>
  </si>
  <si>
    <t>Comparison of trace metal bioavailabilities in European coastal waters using mussels from Mytilus edulis complex as biomonitors</t>
  </si>
  <si>
    <t>Mytilus; Trace metals; European marginal seas; Biomonitoring; Pollution; Seasonal variation coefficient</t>
  </si>
  <si>
    <t>BARNACLES BALANUS-IMPROVISUS; HEAVY-METAL; ANTIOXIDANT ENZYMES; MARINE-ENVIRONMENT; SCHELDT ESTUARY; BALTIC SEA; NORTH-SEA; GALLOPROVINCIALIS; TROSSULUS; CONTAMINATION</t>
  </si>
  <si>
    <t>Mussels from Mytilus edulis complex were used as biomonitors of the trace metals Fe, Mn, Pb, Zn, and Cu at 17 sampling sites to assess the relative bioavailability of metals in coastal waters around the European continent. Because accumulated metal concentrations in a given area can differ temporally, data were corrected for the effect of season before large-scale spatial comparisons were made. The highest concentration of Fe was noted in the North Sea and of Mn in the Baltic. Increased tissue concentrations of Pb were recorded in the mussels from the Bay of Biscay and the Baltic Sea. Low concentrations of metals were determined in the mussels from the Mediterranean Sea and the Northern Baltic. Relatively low geographic variations of Cu and Zn indicate that mussels are able to partially regulate accumulated body concentrations, which means Cu and Zn are, to some extent, independent of environmental concentrations.</t>
  </si>
  <si>
    <t>[Przytarska, Joanna Ewa; Sokolowski, Adam; Wolowicz, Maciej] Univ Gdansk, Inst Oceanog, Lab Estuarine Ecol, PL-81378 Gdynia, Poland; [Przytarska, Joanna Ewa] Polish Acad Sci, Inst Oceanol, PL-81712 Sopot, Poland; [Hummel, Herman; Jansen, Jeroen] Netherlands Inst Ecol, Ctr Estuarine &amp; Marine Ecol, NL-4401 NT Yerseke, Netherlands</t>
  </si>
  <si>
    <t>Fahrenheit Universities; University of Gdansk; Polish Academy of Sciences; Institute of Oceanology of the Polish Academy of Sciences; Royal Netherlands Academy of Arts &amp; Sciences; Netherlands Institute of Ecology (NIOO-KNAW)</t>
  </si>
  <si>
    <t>Przytarska, JE (corresponding author), Univ Gdansk, Inst Oceanog, Lab Estuarine Ecol, Al Pilsudskiego 46, PL-81378 Gdynia, Poland.</t>
  </si>
  <si>
    <t>jprzytarska@iopan.gda.pl</t>
  </si>
  <si>
    <t>Jansen, Jeroen/D-6120-2012; Hummel, Herman/A-9610-2011</t>
  </si>
  <si>
    <t>European Community [BIOCOMBE; EVK3-CT-2002-00072]; ARI [HPRI-CT-2002-00193]; University of Gdansk [BW/13A0-5-0287-4]</t>
  </si>
  <si>
    <t>European Community; ARI; University of Gdansk</t>
  </si>
  <si>
    <t>This work was supported by the European Community RTD project The impact of biodiversity changes in coastal marine benthic ecosystems (BIOCOMBE; EVK3-CT-2002-00072), the ARI project Sandgerdi Marine Centre (SMC; HPRI-CT-2002-00193), and by a grant (BW/13A0-5-0287-4) awarded to Adam Sokolowski by the University of Gdansk. Halldor P. Halldorsson, from the University of Iceland, and Rafal Lasota, from the University of Gdansk, are thanked for their kind help in sampling bivalves. Thanks are due to Jennifer Zielinska from Accurate English for improving the English of this manuscript.</t>
  </si>
  <si>
    <t>10.1007/s10661-009-1015-5</t>
  </si>
  <si>
    <t>615IV</t>
  </si>
  <si>
    <t>WOS:000279129100036</t>
  </si>
  <si>
    <t>Sánchez-Marin, P; Besada, V; Beiras, R</t>
  </si>
  <si>
    <t>Sanchez-Marin, Paula; Besada, Victoria; Beiras, Ricardo</t>
  </si>
  <si>
    <t>Use of whole mussels and mussel gills in metal pollution biomonitoring</t>
  </si>
  <si>
    <t>bioaccumulation; metal bioavailability; mussels; Ria de Vigo</t>
  </si>
  <si>
    <t>MYTILUS-EDULIS; MARINE POLLUTION; COASTAL WATERS; TRACE-METALS; BIOACCUMULATION; CD; ZN; CU; SEDIMENTS; COPPER</t>
  </si>
  <si>
    <t>The use of marine bivalves in metal pollution monitoring is undoubtedly one of the best tools to evaluate metal pollution in coastal areas worldwide. However, since bivalves integrate metal pollution from both the dissolved and the particulate phases, it cannot be assured that metal bioaccumulation in their tissues will predict the risk posed by metals to sensitive organisms such as invertebrate larvae or microalgae, which are known to be mainly affected by the free metal ion fraction. This study aims to test the usefulness of mussel gills-the primary exchange surfaces with dissolved metals-in reflecting dissolved metal bioavailability in the field. For that, we analyzed metal concentrations in environmental samples (whole soft tissues of mussels, mussel gills, sediment, and particulate and dissolved fractions in the water column) collected from 7 sampling sites during a multi-year investigative monitoring survey in the Ria de Vigo. The results showed a different pattern of Cu and Zn accumulation in gills compared to whole soft tissues, and these differences are attributable to the faster response of gills to changes in dissolved metal concentrations and to the regulation of essential metals at the whole body level. In the case of Pb, by contrast, concentrations in gills were very similar to those in the whole body. The use of mussel gills in metal pollution biomonitoring is a promising tool for the detection of changes in bioavailable metals in the environment, especially for essential metals such as Cu and Zn.</t>
  </si>
  <si>
    <t>[Sanchez-Marin, Paula; Beiras, Ricardo] Univ Vigo, Toralla Marine Sci Stn ECIMAT, E-36331 Vigo, Galicia, Spain; [Sanchez-Marin, Paula; Besada, Victoria] Ctr Oceanog Vigo, IEO, Subida Radio Faro 50, E-36390 Vigo, Spain</t>
  </si>
  <si>
    <t>Universidade de Vigo; CIM UVIGO; Spanish Institute of Oceanography</t>
  </si>
  <si>
    <t>Sánchez-Marin, P (corresponding author), Univ Vigo, Toralla Marine Sci Stn ECIMAT, E-36331 Vigo, Galicia, Spain.;Sánchez-Marin, P (corresponding author), Ctr Oceanog Vigo, IEO, Subida Radio Faro 50, E-36390 Vigo, Spain.</t>
  </si>
  <si>
    <t>paula.sanchez@ieo.es</t>
  </si>
  <si>
    <t>Besada, Victoria/H-4532-2015; Beiras, Ricardo/M-1680-2019; Sanchez Marin, Paula/B-7567-2013</t>
  </si>
  <si>
    <t>Spanish government [REN2003-00958]; Galician government [PGIDIT10MDS700006PR]</t>
  </si>
  <si>
    <t>Spanish government(Spanish Government); Galician government</t>
  </si>
  <si>
    <t>This study was supported by the Spanish government (project no. REN2003-00958) and the Galician government (project no. PGIDIT10MDS700006PR). We thank I Duran and JI Lorenzo for their participation in previous stages of this work, and F Schultze and the technical staff at the Chemical Pollution Laboratory of the Centro Oceanografico de Vigo (Instituto Espanol de Oceanografia) for their assistance during sampling, sample preparation, and chemical analyses.</t>
  </si>
  <si>
    <t>10.7773/cm.v44i4.2861</t>
  </si>
  <si>
    <t>HF3JC</t>
  </si>
  <si>
    <t>WOS:000454130300005</t>
  </si>
  <si>
    <t>Seetharaman, P; Sarma, K; George, G; Krishnan, P; Roy, SD; Sankar, K</t>
  </si>
  <si>
    <t>Seetharaman, Prabukumar; Sarma, Kamal; George, Grinson; Krishnan, Pandian; Roy, S. Dam; Sankar, Kiruba</t>
  </si>
  <si>
    <t>Impact of Coastal Pollution on Microbial and Mineral Profile of Edible Oyster (Crassostrea rivularis) in the Coastal Waters of Andaman</t>
  </si>
  <si>
    <t>Oyster; Crassostrea rivularis; Atpases; Coliform bacteria; Mineral; Pollution</t>
  </si>
  <si>
    <t>HEAVY-METALS; ATPASE ACTIVITIES; BIOMARKERS; BIOACCUMULATION; FISH; SEDIMENTS; GULF; SEA; BIOINDICATORS; EXPOSURE</t>
  </si>
  <si>
    <t>The impact of coastal pollution was studied using edible oysters, Crassostrea rivularis as an indicator at two sites viz., North Wandoor (NW) and Phoenix Jetty (PJ) in Port Blair, Andaman. The hydrographic parameters showed that nitrite, nitrate and phosphate concentration were less and dissolved oxygen were more at NW compared to PJ. The oysters were collected from the study sites and biochemical, microbial, mineral profiles and ATPase activities were estimated. ATPase activity was inhibited in the gill tissue of oysters (p &lt; 0.05) of PJ sample. Total microbial load in the water and oyster, and coliform bacteria (MPN) in the water were significantly (p &lt; 0.05) higher at PJ compared to the NW. There was no significant difference (p &gt; 0.05) in the mineral profile of water collected from both the sites. However, calcium and magnesium were more in the oysters collected from NW (p &lt; 0.05), and Cu, Zn and Cd were more in PJ samples (p &lt; 0.05).</t>
  </si>
  <si>
    <t>[Seetharaman, Prabukumar; Sarma, Kamal; George, Grinson; Krishnan, Pandian; Roy, S. Dam; Sankar, Kiruba] ICAR Res Complex, Cent Agr Res Inst, Andaman Nicobar Isl 744101, Port Blair, India; [Sarma, Kamal] ICAR Res Complex Eastern Reg, Patna 800014, Bihar, India</t>
  </si>
  <si>
    <t>Indian Council of Agricultural Research (ICAR); ICAR - Central Island Agricultural Research Institute; Indian Council of Agricultural Research (ICAR); ICAR - ICAR Research Complex for Eastern Region</t>
  </si>
  <si>
    <t>Sarma, K (corresponding author), ICAR Res Complex, Cent Agr Res Inst, Andaman Nicobar Isl 744101, Port Blair, India.</t>
  </si>
  <si>
    <t>kamalsarma6@rediffmail.com</t>
  </si>
  <si>
    <t>Sankar, Kiruba/AAD-5775-2021; Sarma, Kamal/ABE-2342-2020; Seetharaman, Dr.Prabu kumar/GQA-3618-2022; George, Grinson/M-1484-2019</t>
  </si>
  <si>
    <t>George, Grinson/0000-0002-0136-5445; Seetharaman, Prabu kumar/0000-0003-1098-5248; /0000-0003-3776-631X</t>
  </si>
  <si>
    <t>Central Agricultural Research Institute, Port Blair</t>
  </si>
  <si>
    <t>For this manuscript, authors declare that they have no conflict of interest. The present work is a part of a dissertation work of the first author for the award of M.Sc. Degree and the work was carried out at Central Agricultural Research Institute, Port Blair. In the acknowledgement section, authors have acknowledged the facilities received from the Director of Central Agricultural Research Institute, Port Blair.</t>
  </si>
  <si>
    <t>10.1007/s00128-015-1601-x</t>
  </si>
  <si>
    <t>CT7WX</t>
  </si>
  <si>
    <t>WOS:000363026800010</t>
  </si>
  <si>
    <t>Prego, R; Caetano, M; Ospina-Alvarez, N; Raimundo, J; Vale, C</t>
  </si>
  <si>
    <t>Prego, Ricardo; Caetano, Miguel; Ospina-Alvarez, Natalia; Raimundo, Joana; Vale, Carlos</t>
  </si>
  <si>
    <t>Basin-scale contributions of Cr, Ni and Co from Ortegal Complex to the surrounding coastal environment (SW Europe)</t>
  </si>
  <si>
    <t>Trace metals; Land-sea contributions; Natural enrichment; Bioaccumulation; Biomonitoring</t>
  </si>
  <si>
    <t>HEAVY-METAL POLLUTION; SURFACE SEDIMENTS; TRACE-ELEMENTS; RIVER ESTUARY; CABO-ORTEGAL; NW SPAIN; CONTAMINATION; RIA; GEOCHEMISTRY; DEPOSITION</t>
  </si>
  <si>
    <t>The enrichment of Cr and Ni in the coastal zones is usually associated with anthropogenic sources such as the tanning, galvanization, ceramic, and cement industries. However, geological complexes of specific lithologic composition located near shorelines may act as natural sources of metals to the continental shelf. Cape Ortegal (SW Europe) is an ultramafic complex that has Cr, Ni and Co enriched in rocks due to the minerals chromite, chromospinel, gersdorfite and pentlandite. Thus, the hypothesis that this geological complex contributes to metal enrichment in Ortigueira and Barqueiro Rias and the adjacent continental shelf was tested. Chromium, Ni, and Co were determined in water and in suspended particulate matter of ria tributaries, rainfall, surface sediments, mussels, and algae. High contents of Cr (max. 1670 mg . kg(-1)) and Ni (max. 1360 mg . kg(-1)) were found in the sediments surrounding Cape Ortegal and the Ortigueira Ria as a result of erosion of exposed cliffs. Dissolved Cr and Ni concentrations in fluvial waters were significantly higher in the rivers that crosses the Ortegal Complex, i.e. Lourido (0.47 mu gCr . L-1; 9.4 mu gNi . L-1) and Landoi (0.37 mu gCr . L-1; 4.3 mu gNi . L-1), in comparison with the nearby basin out of the complex influence (Sor River: &lt;0.01 mu gCr . L-1; 0.57 mu gNi . L-1). The annual fluvial contributions of Cr and Ni to the Ortigueira Ria were higher than fluxes into the Barqueiro Ria. Moreover, the increase in Cr and Ni in the rainfall in summer demonstrated the importance of the atmosphere pathway for introducing these elements into the aquatic environment. As a consequence, the contents of these metals in soft tissues and shell of mussels and algae from the Ortigueira Ria were higher than the organisms from Barqueiro Ria. Thus, geological complexes, such as the Cape Ortegal, located in an uncontaminated area, can increase the land-sea exchange of trace metals. (C) 2013 Elsevier B.V. All rights reserved.</t>
  </si>
  <si>
    <t>[Prego, Ricardo; Ospina-Alvarez, Natalia] CSIC, Marine Res Inst, Vigo 36208, Spain; [Caetano, Miguel; Raimundo, Joana; Vale, Carlos] IPMA Portuguese Inst Sea &amp; Atmosphere, P-1449006 Lisbon, Portugal</t>
  </si>
  <si>
    <t>Consejo Superior de Investigaciones Cientificas (CSIC); CSIC - Instituto de Investigaciones Marinas (IIM); Instituto Portugues do Mar e da Atmosfera</t>
  </si>
  <si>
    <t>Caetano, M (corresponding author), IPMA Portuguese Inst Sea &amp; Atmosphere, Av Brasilia, P-1449006 Lisbon, Portugal.</t>
  </si>
  <si>
    <t>mcaetano@ipma.pt</t>
  </si>
  <si>
    <t>Prego, Ricardo/H-4169-2012; Raimundo, Joana/G-2018-2014; Ospina-Alvarez, Natalia/B-8067-2010; Caetano, Miguel/A-9438-2013</t>
  </si>
  <si>
    <t>Raimundo, Joana/0000-0002-5610-0903; Prego, Ricardo/0000-0001-8922-6775; Ospina-Alvarez, Natalia/0000-0001-8916-9934; Caetano, Miguel/0000-0001-5121-0719; vale, carlos/0000-0003-0162-1960</t>
  </si>
  <si>
    <t>project INTERESANTE [CTM2007-62546-C03/MAR]; project MITOFE [CTM2011-28792-C02]; CICYT; MINECO; Spanish-Portuguese Action [2007PT0021, 9/CSIC/2008]; CSIC</t>
  </si>
  <si>
    <t>project INTERESANTE; project MITOFE; CICYT(Consejo Interinstitucional de Ciencia y Tecnologia (CICYT)Spanish Government); MINECO(Spanish Government); Spanish-Portuguese Action; CSIC</t>
  </si>
  <si>
    <t>The manuscript has benefited greatly from the reviews of the anonymous referees and the editing and comments of the Assistant Editor - Dr. Mae Gustin. Authors thank the crew and staff of INTERESANTE project cruises on board the IEO R.V. Lura and CSIC R.V. Mytilus for their kind assistance during the field sampling and laboratory analysis. We also acknowledge the 'Delegacion Territorial de Lugo de la Consellenia do Mar (Xunta de Galicia)' for laboratory facilities in Celeiro Harbour; 'Augas de Galicia' for the river flows of gauging stations; the 'AEMET (Gobierno de Espana)' for meteorological data of the Estaca-de-Bares station. This article is a contribution to the Spanish LOICZ program and was supported by the research projects INTERESANTE (ref. CTM2007-62546-C03/MAR) and MITOFE (ref. CTM2011-28792-C02) financed by CICYT and MINECO, respectively, in cooperation with the Spanish-Portuguese Action references 2007PT0021 and 9/CSIC/2008. M.Sc. N. Ospina-Alvarez expresses gratitude to CSIC support by means of a JAE-preDoc contract.</t>
  </si>
  <si>
    <t>10.1016/j.scitotenv.2013.08.036</t>
  </si>
  <si>
    <t>AB4QW</t>
  </si>
  <si>
    <t>WOS:000331776000054</t>
  </si>
  <si>
    <t>Iannello, M; Mezzelani, M; Dalla Rovere, G; Smits, M; Patarnello, T; Ciofi, C; Carraro, L; Boffo, L; Ferraresso, S; Babbucci, M; Mazzariol, S; Centelleghe, C; Cardazzo, B; Carrer, C; Varagnolo, M; Nardi, A; Pittura, L; Benedetti, M; Fattorini, D; Regoli, F; Ghiselli, F; Gorbi, S; Bargelloni, L; Milan, M</t>
  </si>
  <si>
    <t>Iannello, Mariangela; Mezzelani, Marica; Dalla Rovere, Giulia; Smits, Morgan; Patarnello, Tomaso; Ciofi, Claudio; Carraro, Lisa; Boffo, Luciano; Ferraresso, Serena; Babbucci, Massimiliano; Mazzariol, Sandro; Centelleghe, Cinzia; Cardazzo, Barbara; Carrer, Claudio; Varagnolo, Maurizio; Nardi, Alessandro; Pittura, Lucia; Benedetti, Maura; Fattorini, Daniele; Regoli, Francesco; Ghiselli, Fabrizio; Gorbi, Stefania; Bargelloni, Luca; Milan, Massimo</t>
  </si>
  <si>
    <t>Long-lasting effects of chronic exposure to chemical pollution on the hologenome of the Manila clam</t>
  </si>
  <si>
    <t>EVOLUTIONARY APPLICATIONS</t>
  </si>
  <si>
    <t>ecotoxicology; hologenome; host-microbiota interactions; phenotypic plasticity; Ruditapes philippinarum</t>
  </si>
  <si>
    <t>RUDITAPES-PHILIPPINARUM; MICROBIAL COMMUNITY; TAPES-PHILIPPINARUM; GENE-EXPRESSION; BIOCONDUCTOR PACKAGE; ENVIRONMENTAL-STRESS; EXTRAPALLIAL FLUID; ACTIVATED-SLUDGE; GUT MICROFLORA; PACIFIC OYSTER</t>
  </si>
  <si>
    <t>Chronic exposure to pollutants affects natural populations, creating specific molecular and biochemical signatures. In the present study, we tested the hypothesis that chronic exposure to pollutants might have substantial effects on the Manila clam hologenome long after removal from contaminated sites. To reach this goal, a highly integrative approach was implemented, combining transcriptome, genetic and microbiota analyses with the evaluation of biochemical and histological profiles of the edible Manila clam Ruditapes philippinarum, as it was transplanted for 6 months from the polluted area of Porto Marghera (PM) to the clean area of Chioggia (Venice lagoon, Italy). One month post-transplantation, PM clams showed several modifications to its resident microbiota, including an overrepresentation of the opportunistic pathogen Arcobacter spp. This may be related to the upregulation of several immune genes in the PM clams, potentially representing a host response to the increased abundance of deleterious bacteria. Six months after transplantation, PM clams demonstrated a lower ability to respond to environmental/physiological stressors related to the summer season, and the hepatopancreas-associated microbiota still showed different compositions among PM and CH clams. This study confirms that different stressors have predictable effects in clams at different biological levels and demonstrates that chronic exposure to pollutants leads to long-lasting effects on the animal hologenome. In addition, no genetic differentiation between samples from the two areas was detected, confirming that PM and CH clams belong to a single population. Overall, the obtained responses were largely reversible and potentially related to phenotypic plasticity rather than genetic adaptation. The results here presented will be functional for the assessment of the environmental risk imposed by chemicals on an economically important bivalve species.</t>
  </si>
  <si>
    <t>[Iannello, Mariangela; Ghiselli, Fabrizio] Univ Bologna, Dept Biol Geol &amp; Environm Sci, Bologna, Italy; [Mezzelani, Marica; Nardi, Alessandro; Pittura, Lucia; Benedetti, Maura; Fattorini, Daniele; Regoli, Francesco; Gorbi, Stefania] Polytech Univ Marche, Dept Life &amp; Environm Sci, Ancona, Italy; [Dalla Rovere, Giulia; Smits, Morgan; Patarnello, Tomaso; Carraro, Lisa; Ferraresso, Serena; Babbucci, Massimiliano; Mazzariol, Sandro; Centelleghe, Cinzia; Cardazzo, Barbara; Bargelloni, Luca; Milan, Massimo] Univ Padua, Dept Comparat Biomed &amp; Food Sci, Viale Univ 16, I-35020 Legnaro, PD, Italy; [Ciofi, Claudio] Univ Florence, Dept Biol, Sesto Fiorentino, Italy; [Boffo, Luciano] Assoc Vongola Verace Chioggia, Chioggia, Italy; [Carrer, Claudio] Magistrato Acque Venezia Ufficio Tecn Antinquinam, Padua, Italy; [Varagnolo, Maurizio] Soc Agr Kappa SS di Varagnolo Maurizio EC, Chioggia, Italy</t>
  </si>
  <si>
    <t>University of Bologna; Marche Polytechnic University; University of Padua; University of Florence</t>
  </si>
  <si>
    <t>Bargelloni, L (corresponding author), Univ Padua, Dept Comparat Biomed &amp; Food Sci, Viale Univ 16, I-35020 Legnaro, PD, Italy.</t>
  </si>
  <si>
    <t>luca.bargelloni@unipd.it</t>
  </si>
  <si>
    <t>Milan, Massimo/H-7428-2019; Gorbi, Stefania/K-5662-2016; Ciofi, Claudio/AAH-9461-2019; Smits, Merlijn/AAM-5481-2020; Fattorini, Daniele/A-2969-2010; Mazzariol, Sandro/D-7763-2011; Nardi, Alessandro/AAH-1535-2021; Regoli, Francesco/K-2719-2018; Ghiselli, Fabrizio/D-2260-2010; Centelleghe, Cinzia/J-2884-2018</t>
  </si>
  <si>
    <t>Mazzariol, Sandro/0000-0002-4756-1871; Regoli, Francesco/0000-0001-6084-6188; Ghiselli, Fabrizio/0000-0002-1680-8616; MILAN, MASSIMO/0000-0003-0246-9008; Iannello, Mariangela/0000-0001-5736-1024; Centelleghe, Cinzia/0000-0002-7577-2107</t>
  </si>
  <si>
    <t>Italian Ministry of Education, University and Research (MIUR)</t>
  </si>
  <si>
    <t>Italian Ministry of Education, University and Research (MIUR)(Ministry of Education, Universities and Research (MIUR))</t>
  </si>
  <si>
    <t>1752-4571</t>
  </si>
  <si>
    <t>EVOL APPL</t>
  </si>
  <si>
    <t>Evol. Appl.</t>
  </si>
  <si>
    <t>10.1111/eva.13319</t>
  </si>
  <si>
    <t>Evolutionary Biology</t>
  </si>
  <si>
    <t>XP1EY</t>
  </si>
  <si>
    <t>WOS:000722884300001</t>
  </si>
  <si>
    <t>Gendre, H; Ladeiro, MP; Geffard, A; Poret, A; Le Foll, F; Ben Cheikh, Y</t>
  </si>
  <si>
    <t>Gendre, Heloise; Ladeiro, Melissa Palos; Geffard, Alain; Poret, Agnes; Le Foll, Frank; Ben Cheikh, Yosra</t>
  </si>
  <si>
    <t>Modulation of haemocyte motility by chemical and biological stresses in Mytilus edulis and Dreissena polymorpha</t>
  </si>
  <si>
    <t>Haemocyte velocity; Multistress; Bivalves; Cell tracking</t>
  </si>
  <si>
    <t>IN-VIVO; BIOMARKERS; CALCIUM; MUSSELS; OYSTER; COPPER; ACTIN; ATTRACTION; PARAMETERS; ORGANISMS</t>
  </si>
  <si>
    <t>Mussels are constantly exposed to various pollutants in the environment, which can impair their immune defences against microbes and thus threaten their survival. In this study, we expand the insight into a key parameter of immune response in two mussel species by exploring the impact of exposure to pollutants or bacteria or simultaneous chemical and biological exposure on haemocyte motility. Basal haemocyte velocity in primary culture was high and increasing over time in Mytilus edulis (mean cell speed of 2.32 &amp; mu;m/min &amp; PLUSMN; 1.57) whereas Dreissena polymorpha showed a constant and rather low cell motility with time (mean cell speed of 0.59 &amp; mu;m/min &amp; PLUSMN; 0.1). In the presence of bacteria, the motility of haemocytes was instantly enhanced and slowed down after 90 min for M. edulis. In contrast, in vitro exposure of haemocytes to chemicals, either Bisphenol A, oestradiol, copper, or caffeine, induced an inhibition of cell motility in both mussel species. Finally, the cellular activation observed during bacterial challenges was inhibited by simultaneous exposure to bacteria and pollutants. Overall, our results indicate that chemical contaminants can alter haemocyte migration in mussels which can weaken their response to pathogens and therefore increase their susceptibility to infectious diseases.</t>
  </si>
  <si>
    <t>[Gendre, Heloise; Ladeiro, Melissa Palos; Geffard, Alain] Univ Reims, Normandie Univ, ULH, INERIS,SEBIO,UMR I 02, Reims, France; [Poret, Agnes] Univ Le Havre Normandie, Univ Reims Champagne Ardenne, INERIS, SEBIO,UMR I 02, Le Havre, France; [Ben Cheikh, Yosra] Univ Le Havre Normandie, UMR I 02, SEBIO, 25,rue Philippe Lebon,BP1123, F-76063 Le Havre, France</t>
  </si>
  <si>
    <t>Universite de Reims Champagne-Ardenne; Institut National de l'Environnement Industriel et des Risques (INERIS); Universite Le Havre Normandie; Institut National de l'Environnement Industriel et des Risques (INERIS); Universite de Reims Champagne-Ardenne; Universite Le Havre Normandie; Universite Le Havre Normandie; Universite de Reims Champagne-Ardenne</t>
  </si>
  <si>
    <t>Ben Cheikh, Y (corresponding author), Univ Le Havre Normandie, UMR I 02, SEBIO, 25,rue Philippe Lebon,BP1123, F-76063 Le Havre, France.</t>
  </si>
  <si>
    <t>yosra.ben-cheikh@univ-lehavre.fr</t>
  </si>
  <si>
    <t>Le Foll, Frank/0000-0002-9585-9250; Gendre, Heloise/0000-0003-1289-5684; Ben Cheikh, Yosra/0000-0002-4839-4737</t>
  </si>
  <si>
    <t>This work was supported by the Bitween project grant from the University of Reims Champagne-Ardenne (URCA) .</t>
  </si>
  <si>
    <t>10.1016/j.fsi.2023.108919</t>
  </si>
  <si>
    <t>O0YE0</t>
  </si>
  <si>
    <t>WOS:001041155800001</t>
  </si>
  <si>
    <t>Dessai, NSP; Juvekar, VS; Nasnodkar, MR</t>
  </si>
  <si>
    <t>Dessai, Nidhi Shrinivas Prabhu; Juvekar, Vedhangee Santosh; Nasnodkar, Maheshwar Ramakant</t>
  </si>
  <si>
    <t>Assessment of metal bioavailability in sediments and bioaccumulation in edible bivalves, and phyto-remediation potential of mangrove plants in the tropical (Kali) estuary, India</t>
  </si>
  <si>
    <t>Metals; Speciation; Toxicity; Mangroves; Phyto-remediation</t>
  </si>
  <si>
    <t>HEAVY-METALS; ZUARI ESTUARY; TRACE-METALS; SOUTHWEST COAST; WEST-COAST; ACCUMULATION; GEOCHEMISTRY; ENVIRONMENT; SPECIATION; PNEUMATOPHORES</t>
  </si>
  <si>
    <t>The bioavailability of metals (Fe, Mn, Zn, Cu, Co and Ni) in sediment cores (K-1, K-2, K-3 and K-4) and bioaccumulation in edible bivalves were studied to determine the toxicity of metals in the Kali Estuary, India. Enrichment Factor (EF) construed anthropogenic sources of Zn, Co and Ni, while Geo-accumulation Index (Igeo) revealed pollution of Zn and Ni based on total metal analysis. The Pollution Load Index (PLI &gt;1) supported anthropogenic origin of metals in estuary. Metal speciation study indicated bioavailability of metals in sediments. The bioavailable Mn and Co equalled/exceeded the Apparent Effect Threshold (AET) limit (cores K-1, K-3 and K-4) and indicated toxicity to estuarine biota. The metals in Metetrix casta (Fe, Mn, Zn, Cu, and Ni), Saccostrea cucullata (Fe, Mn, Zn, Cu, Co and Ni) and Villorita cyprinoides (Fe, Mn, Zn, Cu, Co and Ni) exceeded the permissible bioaccumulation limit. Thus, revealed metal toxicity to bivalves and labelled them un-safe for human consumption. Translocation Factor (TF &gt; 1) indicated the use of Kandelia candel in phyto-remediation of Fe, Zn, Cu, Co and Ni at station K-3, and Sonnaretia caseoloris in phyto-remediation of Fe, Zn and Ni at station K-4.</t>
  </si>
  <si>
    <t>[Dessai, Nidhi Shrinivas Prabhu; Juvekar, Vedhangee Santosh; Nasnodkar, Maheshwar Ramakant] Goa Univ, Marine Sci, Sch Earth Ocean &amp; Atmospher Sci, Taleigao 403206, Goa, India</t>
  </si>
  <si>
    <t>Goa University</t>
  </si>
  <si>
    <t>Nasnodkar, MR (corresponding author), Goa Univ, Marine Sci, Sch Earth Ocean &amp; Atmospher Sci, Taleigao 403206, Goa, India.</t>
  </si>
  <si>
    <t>maheshwar@unigoa.ac.in</t>
  </si>
  <si>
    <t>10.1016/j.marpolbul.2023.115419</t>
  </si>
  <si>
    <t>T9DP6</t>
  </si>
  <si>
    <t>WOS:001080919800001</t>
  </si>
  <si>
    <t>Nigro, M; Falleni, A; Del Barga, I; Scarcelli, V; Lucchesi, P; Regoli, F; Frenzilli, G</t>
  </si>
  <si>
    <t>Nigro, M.; Falleni, A.; Del Barga, I.; Scarcelli, V.; Lucchesi, P.; Regoli, F.; Frenzilli, G.</t>
  </si>
  <si>
    <t>Cellular biomarkers for monitoring estuarine environments: Transplanted versus native mussels</t>
  </si>
  <si>
    <t>biomarkers; ecotoxicology; DNA damage; lysosomal alterations; mussel; micronucleus test</t>
  </si>
  <si>
    <t>OXYRADICAL SCAVENGING CAPACITY; SAN-JORGE BAY; MYTILUS-GALLOPROVINCIALIS; GENOTOXICITY BIOMARKERS; PERUMYTILUS-PURPURATUS; MEDITERRANEAN MUSSEL; FIELD APPLICATION; DIGESTIVE CELLS; DNA INTEGRITY; COMMON MUSSEL</t>
  </si>
  <si>
    <t>In developed countries, estuarine environments are often subjected to chemical pollution, whose biological impact is profitably evaluated by the use of multi-biomarker approaches on sentinel species. In this paper, we investigate genotoxicity and lysosomal alterations in the Mediterranean mussel (Mytilus galloprovincialis), from the estuary of the River Cecina (Tuscany, Italy), selected as pilot basin within the Water Frame Directive (2000/60 European Community). Both native and I month transplanted mussels were used in order to compare these two approaches in terms of sensitiveness of specific biomarker responses. Genotoxic effects were evaluated as strand breaks, by single cell get electrophoresis (or Comet assay), and as chromosomal alterations, by the micronucleus test in gill cells. Lysosomal alterations were assessed by the neutral red retention time (in haemocytes), lipofuscin accumulation and ultrastructure (in digestive cells). Heavy metal bioaccumulation was also analysed. Mussels from the River Cecina showed a general alteration of all the biomarkers investigated, accompanied by an elevation of tissue metal levels. However, some differences in specific responses occurred between transplanted and native mussels. Early biomarkers, such as those based on DNA and lysosomal membrane integrity, were induced at similar degree in native and transplanted mussels; while alterations resulting from cumulative events, as the increase of micronuclei frequency were much more elevated in native specimens (23.1 +/- 7.6) than in transplanted (9.3 +/- 4.7) and reference ones (5.8 +/- 5.2). Similarly, the comparison between lipofuscin accumulation and mean lysosomal diameter in impacted and control sites, gave significant differences exclusively with transplanted mussels. These results suggest that the parallel use of caged and native mussels in environmental biomonitoring can improve the characterization of the study area. (c) 2006 Elsevier B.V. All rights reserved.</t>
  </si>
  <si>
    <t>Univ Pisa, Dipartimento Morfol Umana &amp; Biol Applicata, Sez Biol &amp; Genet, I-54126 Pisa, Italy; Univ Politecn Marche, Ist Biol &amp; Genet, I-60100 Ancona, Italy</t>
  </si>
  <si>
    <t>University of Pisa; Marche Polytechnic University</t>
  </si>
  <si>
    <t>Nigro, M (corresponding author), Univ Pisa, Dipartimento Morfol Umana &amp; Biol Applicata, Sez Biol &amp; Genet, Volta 4, I-54126 Pisa, Italy.</t>
  </si>
  <si>
    <t>nigro@biomed.unipi.it</t>
  </si>
  <si>
    <t>10.1016/j.aquatox.2005.12.013</t>
  </si>
  <si>
    <t>046LP</t>
  </si>
  <si>
    <t>WOS:000237813400001</t>
  </si>
  <si>
    <t>Coldsnow, KD; Hintz, WD; Schuler, MS; Stoler, AB; Relyea, RA</t>
  </si>
  <si>
    <t>Coldsnow, Kayla D.; Hintz, William D.; Schuler, Matthew S.; Stoler, Aaron B.; Relyea, Rick A.</t>
  </si>
  <si>
    <t>Calcium chloride pollution mitigates the negative effects of an invasive clam</t>
  </si>
  <si>
    <t>BIOLOGICAL INVASIONS</t>
  </si>
  <si>
    <t>Dreissena polymorpha; Corbicula fluminea; Invasive species; Road deicing salt</t>
  </si>
  <si>
    <t>CORBICULA-FLUMINEA; ROAD SALT; UNITED-STATES; ZEBRA MUSSEL; TOLERANCE; FOOD; SALINIZATION; IMPACTS; DAPHNIA; SPREAD</t>
  </si>
  <si>
    <t>Invasive bivalves can drastically alter freshwater ecosystems and affect ecosystem services, but they can be influenced by external factors including calcium concentrations. When a common road salt, calcium chloride (CaCl2), enters freshwater ecosystems, it may be toxic to organisms or facilitate bivalves by serving as a calcium source. Therefore, CaCl2 could benefit invasive mollusks tolerant to chloride that require calcium to grow. We used mesocosms to investigate the impacts of CaCl2 (35-187 mg Ca2+ L-1) and invasive bivalves (Asian clams, Corbicula fluminea; zebra mussels, Dreissena polymorpha) on a native lake food web. We hypothesized that invasive bivalves facilitate benthic algae because they reduce phytoplankton and excrete waste. These changes in primary producers would subsequently impact consumers. We also hypothesized that low to moderate CaCl2 concentrations promote the survival, growth, and reproduction of native and invasive mollusks, while causing few toxic effects. If so, we hypothesized that invaded communities exposed to CaCl2 experience stronger impacts from the invasive bivalves. We found that invasive bivalves decreased phytoplankton, which led to decreases in periphyton, zooplankton, and native clams. They caused increases in filamentous algae and isopods. While zebra mussels survived poorly in all treatments, moderate concentrations of CaCl2 substantially reduced Asian clams, which reduced their community effects. Our highest CaCl2 treatments also reduced zooplankton densities. Thus, while freshwater salinization from road salts poses a concern, we observed no indication that CaCl2 road salt will benefit Asian clams and zebra mussels. However, the community-wide consequences from Asian clams at low CaCl2 emphasize the extensive effects that invasive bivalves can have on freshwater communities and the immense concern surrounding their invasions.</t>
  </si>
  <si>
    <t>[Coldsnow, Kayla D.; Hintz, William D.; Schuler, Matthew S.; Stoler, Aaron B.; Relyea, Rick A.] Rensselaer Polytech Inst, Darrin Fresh Water Inst, Dept Biol Sci, 110 8th St, Troy, NY 12180 USA; [Coldsnow, Kayla D.] US Environm Protect Agcy, Div Hlth Effects, Off Pesticide Programs, Res Triangle Pk, NC USA; [Hintz, William D.] Univ Toledo, Dept Environm Sci, Oregon, OH USA; [Hintz, William D.] Univ Toledo, Lake Erie Ctr, Oregon, OH USA; [Schuler, Matthew S.] Montclair State Univ, Dept Biol, Montclair, NJ USA; [Stoler, Aaron B.] Stockton Univ, Sch Nat Sci &amp; Math, Galloway, NJ USA</t>
  </si>
  <si>
    <t>Rensselaer Polytechnic Institute; United States Environmental Protection Agency; University System of Ohio; University of Toledo; University System of Ohio; University of Toledo; Montclair State University; Stockton University</t>
  </si>
  <si>
    <t>Coldsnow, KD (corresponding author), Rensselaer Polytech Inst, Darrin Fresh Water Inst, Dept Biol Sci, 110 8th St, Troy, NY 12180 USA.;Coldsnow, KD (corresponding author), US Environm Protect Agcy, Div Hlth Effects, Off Pesticide Programs, Res Triangle Pk, NC USA.</t>
  </si>
  <si>
    <t>kaylacoldsnow@gmail.com</t>
  </si>
  <si>
    <t>Schuler, Matthew/0000-0002-4258-3000</t>
  </si>
  <si>
    <t>Jefferson Project at Lake George; Rensselaer Polytechnic Institute; International Business Machines (IBM); Fund for Lake George; National Science Foundation [DGE 1744655]</t>
  </si>
  <si>
    <t>Jefferson Project at Lake George; Rensselaer Polytechnic Institute; International Business Machines (IBM)(International Business Machines (IBM)); Fund for Lake George; National Science Foundation(National Science Foundation (NSF))</t>
  </si>
  <si>
    <t>This study was funded by the Jefferson Project at Lake George, which is supported by Rensselaer Polytechnic Institute, International Business Machines (IBM), and The Fund for Lake George. K.D. Coldsnow was supported by the National Science Foundation Graduate Research Fellowship under Grant No. DGE 1744655.</t>
  </si>
  <si>
    <t>1387-3547</t>
  </si>
  <si>
    <t>1573-1464</t>
  </si>
  <si>
    <t>BIOL INVASIONS</t>
  </si>
  <si>
    <t>Biol. Invasions</t>
  </si>
  <si>
    <t>10.1007/s10530-020-02443-x</t>
  </si>
  <si>
    <t>RP6ZN</t>
  </si>
  <si>
    <t>WOS:000604192800008</t>
  </si>
  <si>
    <t>Borretzen, P; Salbu, B</t>
  </si>
  <si>
    <t>Borretzen, Peer; Salbu, Brit</t>
  </si>
  <si>
    <t>Bioavailability of sediment-associated and low-molecular-mass species of radionuclides/trace metals to the mussel Mytilus edulis</t>
  </si>
  <si>
    <t>Bioaccumulation factor; Marine sediments; Mytilus edulis; Toxicokinetic model</t>
  </si>
  <si>
    <t>MARINE-SEDIMENTS; ADSORPTION; INDICATOR; POLLUTION; BIVALVES; CADMIUM; GROWTH; WATERS; COPPER; ZINC</t>
  </si>
  <si>
    <t>Sediments call act as a sink for contaminants in effluents from industrial and nuclear installations Or when released from dumped waste. However, contaminated sediments may also act as a potential source of radionuclides and trace metals to the water phase due to remobilisation of metals as dissolved species and resuspension Of particles. The marine mussel Mytilus edulis is a filter-feeding organism that via the gills is subjected to contaminants ill dissolved form and from contaminants associated to Suspended particles via the digestive system. Ill this paper the bioavailability of sediment-associated and seawater diluted Cs, Co, Cd and Zn radioactive tracers to the Filtering bivalve M. edulis has been examined. The mussels were exposed 10 tracers diluted in ultrafiltered (&lt;10 kDa) seawater (LOW Molecular Mass from) or to tracers associated with sediment particles from the Stepovogo Fjord at Novaya Zemlya ill short-term Uptake experiments, followed by I-month depuration experiments ill flow-through tanks. A toxicokinetic model was fitted to the uptake and depuration data, and the obtained parameters Were used to Simulate the significance of the two uptake pathways at different suspended sediment loads and sediment-seawater distribution coefficients. The results of the model simulations, assuming steady state conditions, suggest that resuspended particles from contaminated sediments call be a highly significant pathway for mussels in the order (109)Cd (65)Zn &lt; (134)Cs &lt; (60)Co. The significance increases with higher Suspended sediment load and with higher K(d). Furthermore, the experimental deputation data suggest that Cs is retained longer and Co, Cd and Zn shorter by the Mussels when associated with ingested sediments, than if the metals are taken Up from the low Molecular mass (LMM) phase. (C) 2009 Elsevier Ltd. All rights reserved.</t>
  </si>
  <si>
    <t>[Borretzen, Peer; Salbu, Brit] Norwegian Univ Life Sci, Dept Plant &amp; Environm Sci, N-1432 As, Norway</t>
  </si>
  <si>
    <t>Norwegian University of Life Sciences</t>
  </si>
  <si>
    <t>Borretzen, P (corresponding author), Norwegian Univ Life Sci, Dept Plant &amp; Environm Sci, POB 50003, N-1432 As, Norway.</t>
  </si>
  <si>
    <t>peer.borretzen@gmail.com</t>
  </si>
  <si>
    <t>Norwegian Research Council [110823/720]</t>
  </si>
  <si>
    <t>Norwegian Research Council(Research Council of Norway)</t>
  </si>
  <si>
    <t>The biological uptake and depuration experiments were carried Out at the Marine Research Station Solbergstrand, Norwegian Institute for Water Research (NIVA). This work was funded by the Norwegian Research Council (contract no. 110823/720).</t>
  </si>
  <si>
    <t>10.1016/j.jenvrad.2008.12.020</t>
  </si>
  <si>
    <t>425PL</t>
  </si>
  <si>
    <t>WOS:000264649500009</t>
  </si>
  <si>
    <t>PATEL, S; PATEL, B</t>
  </si>
  <si>
    <t>EFFECT OF ENVIRONMENTAL PARAMETERS ON LYSOSOMAL MARKER ENZYMES IN THE TROPICAL BLOOD CLAM ANADARA-GRANOSA</t>
  </si>
  <si>
    <t>The lysosomal marker enzymes, arylsulfatase and acid phosphatase, in a tropical burrowing arcid clam Anadara granosa L. exhibited seasonal variations. The activity of both enzymes decreased with increase in ambient temperature and fell with increase in salinity. Lysosomal latency for these enzymes, was not significantly affected by environmental parameters, including salinity, temperature, nutritional status, breeding season, etc. The physico-chemical characteristics of the habitat induced reversible changes in the lysosomal latency and enzyme activity. Exposure to elevated temperature (.DELTA.T = 7.degree. to 8.degree. C), towards the upper limit of its physiological tolerance, labilized the lysosomes. The biochemical methods optimized for the demonstration of lysosomal stability under exposure to environmental stressors could also be extended to quantify the impact of various pollutants, including heavy metals, radionuclides, etc. at the subcellular level.</t>
  </si>
  <si>
    <t>10.1007/BF00393244</t>
  </si>
  <si>
    <t>AJR45</t>
  </si>
  <si>
    <t>WOS:A1985AJR4500003</t>
  </si>
  <si>
    <t>Park, J; Presley, BJ</t>
  </si>
  <si>
    <t>Trace metals contamination of sediments and organisms from the Swan Lake area of Galveston Bay</t>
  </si>
  <si>
    <t>metal pollution; trace metals; tin smelter; anthropogenic input; sediments; bioaccumulation</t>
  </si>
  <si>
    <t>HEAVY-METALS; MEXICO; GULF; ACCUMULATION</t>
  </si>
  <si>
    <t>Swan Lake is a sub-bay of the Galveston Bay system. The area received runoff from a tin smelter during the 1940s and 1950s via a dredged channel called the Wah Chang Ditch. The ditch was cut off by a hurricane protection levee in 1968. An industrial waste disposal facility borders the area on the north and the surrounding region is highly industrialized. Consequently, there is ample potential for metal contamination. In this study, concentrations of Ag, Al, As, Cd, Cu, Fe, Hg, Mn, Ni, Pb, Se, Sn and Zn were determined in sediments and organisms (oyster, mussel, snail, crab, fish, shrimp, and marsh grass). The geographic trends in trace metal concentrations in sediments strongly suggest that tin smelter residues cause elevations relative to sediment from Galveston Bay and other Texas bays. Especially high concentrations were found along the Wah Chang Ditch, neat Highway 197 and in the NE corner of Swan Lake. Sediment in these areas was as high as 8000 ppm in Sn, 3700 ppm in Pb, and 500 ppm in As. Concentrations varied widely over small space scales and with depth in the sediment column due to differential erosion and deposition. Surface sediment was, however, generally much less contaminated than deeper sediment, indicating less input of metal recently than in the past. In contrast to other metals, anthropogenic inputs have not greatly influenced the natural concentrations of Fe, Al and Ni in sediments. Most organisms showed very small spatial variations in metal concentration. However, the oysters in Swan Lake were found to be enriched in most metals relative to those from Galveston Bay and other US Gulf of Mexico areas. The mussels analyzed for this study did not reflect the highly elevated metal concentrations in the sediments fi om which they were taken. Iron and Pb concentrations in oysters seemed to be directly related to sediment concentrations at each location. For the organisms collected, trace metal concentrations were generally in the order oysters &gt; snail &gt; crab &gt; shrimp &gt; fish. (C) 1998 Elsevier Science Ltd. All rights reserved.</t>
  </si>
  <si>
    <t>Texas A&amp;M Univ, Dept Oceanog, College Stn, TX 77843 USA</t>
  </si>
  <si>
    <t>Park, J (corresponding author), Texas A&amp;M Univ, Dept Oceanog, College Stn, TX 77843 USA.</t>
  </si>
  <si>
    <t>10.1016/S0269-7491(97)00137-1</t>
  </si>
  <si>
    <t>YY083</t>
  </si>
  <si>
    <t>WOS:000072110500009</t>
  </si>
  <si>
    <t>Kolaiti, RM; Lucas, JM; Kouyanou-Koutsoukou, S</t>
  </si>
  <si>
    <t>Kolaiti, Regina-Maria; Lucas, Jared M.; Kouyanou-Koutsoukou, Sophia</t>
  </si>
  <si>
    <t>Molecular cloning of the ribosomal P-proteins MgP1, MgP2, MgP0, and superoxide dismutase (SOD) in the mussel Mytilus galloprovincialis and analysis of MgP0 at stress conditions</t>
  </si>
  <si>
    <t>Ribosomal stalk; Phosphorylation; Purification; Stress; Over expression</t>
  </si>
  <si>
    <t>SACCHAROMYCES-CEREVISIAE; PHOSPHOPROTEIN P0; OXIDATIVE STRESS; STALK; PHOSPHORYLATION; BINDING; METALLOTHIONEIN; MECHANISMS; EXPRESSION; POLLUTION</t>
  </si>
  <si>
    <t>The stalk, a characteristic structure of the large ribosomal subunit, is directly involved in the interaction with the soluble factors during translation. In the Mediterranean mussel Mytilus galloprovincialis, the stalk consists of one 32 kDa protein, MgP0, and two smaller, 12 kDa acidic proteins, MgP1 and MgP2, of pl 3.0 and 4.0, respectively, as revealed by analysis of purified ribosomes with electrophoresis and Western blot with a specific monoclonal antibody. Treatment of the ribosomes with alkaline phosphatase showed movement of the bands corresponding to the acidic MgP1 and MgP2 proteins to more basic pH after isoelectrofocusing, implying phosphorylation. The cDNA molecules of M. galloprovincialis ribosomal proteins MgP0, MgP1 and MgP2 and superoxide dismutase (MgSOD) were isolated from a cDNA library or constructed by RT-PCR, cloned in expression vectors and expressed in Escherichia coli. The recombinant proteins were purified with immobilized metal ion affinity chromatography (IMAC) and identified with immunoblotting. Exposure of mussels at cadmium and sorbitol and analysis of gill tissue extracts showed over expression of MgP0 protein. (C) 2008 Elsevier B.V. All rights reserved.</t>
  </si>
  <si>
    <t>[Kolaiti, Regina-Maria; Kouyanou-Koutsoukou, Sophia] Univ Athens, Fac Biol, Dept Genet &amp; Biotechnol, Athens 15701, Greece; [Lucas, Jared M.] Fred Hutchinson Canc Res Ctr, Div Human Biol, Seattle, WA 98109 USA</t>
  </si>
  <si>
    <t>National &amp; Kapodistrian University of Athens; Fred Hutchinson Cancer Center</t>
  </si>
  <si>
    <t>Kouyanou-Koutsoukou, S (corresponding author), Univ Athens, Fac Biol, Dept Genet &amp; Biotechnol, Athens 15701, Greece.</t>
  </si>
  <si>
    <t>skougian@biol.uoa.gr</t>
  </si>
  <si>
    <t>University of Athens; Special Account for Research Grants of Athens University [70/4/7803]; National Fellowship Foundation</t>
  </si>
  <si>
    <t>University of Athens; Special Account for Research Grants of Athens University; National Fellowship Foundation</t>
  </si>
  <si>
    <t>The authors are grateful to Dr J.P.G Ballesta, for helpful scientific advice and discussion and for kindly providing the monoclonal antibody 3BH5, to Dr C. Gaitanaki and E. Gourgou for helpful scientific advice with mussel handling and stress conditions, to Mr Kastanis for kindly providing the mussels and to Y. Drosos, H. Lasthiotaki and A. Sielouvari for scientific help and discussion. This work was supported by the University of Athens, the Special Account for Research Grants of Athens University (SARG, 70/4/7803 to SK) and by the National Fellowship Foundation (IKY), (fellowship to RMK).</t>
  </si>
  <si>
    <t>10.1016/j.gene.2008.10.024</t>
  </si>
  <si>
    <t>400OK</t>
  </si>
  <si>
    <t>WOS:000262877600011</t>
  </si>
  <si>
    <t>Ciocan, C; Sunila, I</t>
  </si>
  <si>
    <t>Disseminated neoplasia in blue mussels, Mytilus galloprovincialis, from the Black Sea, Romania</t>
  </si>
  <si>
    <t>disseminated neoplasia; hemic neoplasia; leukemia; mussels; Mytilus galloprovincialis; Black Sea</t>
  </si>
  <si>
    <t>SOFT SHELL CLAMS; MYA-ARENARIA; HEMIC NEOPLASIA; BIVALVE MOLLUSKS; BAY MUSSELS; EDULIS-L; HEMATOPOIETIC NEOPLASIA; EPIZOOTIC NEOPLASIA; HISTOPATHOLOGY; TRANSMISSION</t>
  </si>
  <si>
    <t>Disseminated neoplasia, also called leukemia or hemic neoplasia, has been detected in 15 species of marine bivalve mollusks worldwide. The disease is characterized by the presence of single anaplastic cells with enlarged nuclei and sometimes frequent mitosis, in hemolyinph vessels and sinuses. The neoplastic cells gradually replace normal hemocytes leading to the increased mortality of animals. The neoplasia reaches epizootic prevalences in blue mussels, Mytilus trossuhis, in some areas, whereas prevalences in Mytilus edulis are generally very low. Mytilus galloprovincialis was Suggested to be resistant to the disease although very low prevalences were documented from Spain in the Atlantic Ocean and Italy in the Mediterranean Sea. A case of disseminated neoplasia was discovered in M. galloprovincialis from among 200 specimens studied from the coast of the Romanian Black Sea. Histological preparation revealed the presence of large anaplastic cells with lobed nuclei. This observation extends the geographic range of marine bivalve Mollusks with disseminated neoplasia to include the Black Sea. (c) 2005 Elsevier Ltd. All rights reserved.</t>
  </si>
  <si>
    <t>Natl Inst Marine Res &amp; Dev, Constanta 8700, Romania; State Connecticut Dept Agr, Bur Aquaculture, Milford, CT 06460 USA</t>
  </si>
  <si>
    <t>Ciocan, C (corresponding author), Natl Inst Marine Res &amp; Dev, Mamaia Blv 300, Constanta 8700, Romania.</t>
  </si>
  <si>
    <t>c.m.ciocan@sussex.ac.uk</t>
  </si>
  <si>
    <t>Ciocan, Corina/0000-0002-4511-7398</t>
  </si>
  <si>
    <t>10.1016/j.marpolbul.2005.04.042</t>
  </si>
  <si>
    <t>WOS:000234098200029</t>
  </si>
  <si>
    <t>Maisano, M; Cappello, T; Natalotto, A; Vitale, V; Parrino, V; Giannetto, A; Oliva, S; Mancini, G; Cappello, S; Mauceri, A; Fasulo, S</t>
  </si>
  <si>
    <t>Maisano, Maria; Cappello, Tiziana; Natalotto, Antonino; Vitale, Valeria; Parrino, Vincenzo; Giannetto, Alessia; Oliva, Sabrina; Mancini, Giuseppe; Cappello, Simone; Mauceri, Angela; Fasulo, Salvatore</t>
  </si>
  <si>
    <t>Effects of petrochemical contamination on caged marine mussels using a multi-biomarker approach: Histological changes, neurotoxicity and hypoxic stress</t>
  </si>
  <si>
    <t>6th Bilateral Seminar Italy-Japan (BSIJ) on Physical and Chemical Impacts on Marine Organisms - Supporting Blue Growth in Meaningful Mutual Symbiosis with the Marine Environment</t>
  </si>
  <si>
    <t>NOV 19-20, 2014</t>
  </si>
  <si>
    <t>Palermo, ITALY</t>
  </si>
  <si>
    <t>Environmental toxicology; PAHs; Hg; Mytilus galloprovincialis; Gills; Serotonin; Acetylcholinesterase; Hypoxia</t>
  </si>
  <si>
    <t>BASS DICENTRARCHUS-LABRAX; FISH LIZA-AURATA; MYTILUS-GALLOPROVINCIALIS; ENVIRONMENTAL-POLLUTION; OXIDATIVE STRESS; METABOLOMICS; EXPRESSION; EXPOSURE; ACETYLCHOLINESTERASE; MECHANISMS</t>
  </si>
  <si>
    <t>This work was designed to evaluate the biological effects of petrochemical contamination on marine mussels. Mytilus galloprovincialis, widely used as sentinel organisms in biomonitoring studies, were caged at the Augusta-Melilli-Priolo industrial site (eastern Sicily, Italy), chosen as one of the largest petrochemical areas in Europe, and Brucoli, chosen as reference site. Chemical analyses of sediments at the polluted site revealed high levels of PAHs and mercury, exceeding the national and international guideline limits. In mussels from the polluted site, severe morphological alterations were observed in gills, mainly involved in nutrient uptake and gas exchange. Changes in serotonergic and cholinergic systems, investigated through immunohistochemical, metabolomics and enzymatic approaches, were highlighted in gills, as well as onset of hypoxic adaptive responses with up-regulation of hypoxia-inducible factor transcript. Overall, the application of a multi-biomarker panel results effective in assessing the biological effects of petrochemical contamination on the health of aquatic organisms. (C) 2016 Elsevier Ltd. All rights reserved.</t>
  </si>
  <si>
    <t>[Maisano, Maria; Cappello, Tiziana; Natalotto, Antonino; Vitale, Valeria; Parrino, Vincenzo; Giannetto, Alessia; Oliva, Sabrina; Mauceri, Angela; Fasulo, Salvatore] Univ Messina, Dept Chem Biol Pharmaceut &amp; Environm Sci, Viale F Stagno dAlcontres 31, I-98166 Messina, Italy; [Mancini, Giuseppe] Univ Catania, Dept Ind Engn, Catania, Italy; [Cappello, Simone] CNR, Inst Coastal Marine Environm, Messina, Italy</t>
  </si>
  <si>
    <t>University of Messina; University of Catania; Consiglio Nazionale delle Ricerche (CNR)</t>
  </si>
  <si>
    <t>Maisano, M; Fasulo, S (corresponding author), Univ Messina, Dept Chem Biol Pharmaceut &amp; Environm Sci, Viale F Stagno dAlcontres 31, I-98166 Messina, Italy.</t>
  </si>
  <si>
    <t>mmaisano@unime.it; sfasulo@unime.it</t>
  </si>
  <si>
    <t>Parrino, Vincenzo/O-8408-2019; Giannetto, Alessia/AAA-6735-2019; Oliva, Sabrina/G-6809-2012; CAPPELLO, TIZIANA/J-6902-2016; Mancini, Giuseppe/C-4544-2015</t>
  </si>
  <si>
    <t>Oliva, Sabrina/0000-0002-0111-8276; PARRINO, Vincenzo/0000-0001-8331-212X; CAPPELLO, TIZIANA/0000-0002-7790-6324; MAISANO, Maria/0000-0003-2517-5117; Mancini, Giuseppe/0000-0002-0953-7934</t>
  </si>
  <si>
    <t>10.1016/j.marenvres.2016.03.008</t>
  </si>
  <si>
    <t>EY1PC</t>
  </si>
  <si>
    <t>WOS:000403736800013</t>
  </si>
  <si>
    <t>Kanduc, T; Slejkovec, Z; Falnoga, I; Mori, N; Budic, B; Kovacic, I; Pavicic-Hamer, D; Hamer, B</t>
  </si>
  <si>
    <t>Kanduc, Tjasa; Slejkovec, Zdenka; Falnoga, Ingrid; Mori, Natasa; Budic, Bojan; Kovacic, Ines; Pavicic-Hamer, Dijana; Hamer, Bojan</t>
  </si>
  <si>
    <t>Environmental status of the NE Adriatic Sea, Istria, Croatia: Insights from mussel Mytilus galloprovincialis condition indices, stable isotopes and metal (loid)</t>
  </si>
  <si>
    <t>Mytilus galloprovincialis; Condition indices; Stable isotopes; Metal(loid)s; As speciation; NE Adriatic Sea</t>
  </si>
  <si>
    <t>DISSOLVED INORGANIC CARBON; HEAVY-METALS; TRANSPLANTED MUSSELS; ORGANIC-CARBON; TRACE-ELEMENTS; POLLUTION; EDULIS; ESTUARY; SITES; CD</t>
  </si>
  <si>
    <t>The environmental status of the marine environment in the NE Adriatic Sea was assessed, using as a bioindicator species the Mediterranean mussel Mytilus galloprovincialis Lamarck, 1819. Samples were collected seasonally from mariculture sites and from major Istrian ports between the years 2010 and 2013. The condition indices of mussels ranged from 13.3 to 20.9% at mariculture sites and from 14.3 to 23.3% at port locations. The seasonally delta C-13(DIC) values of seawater varied between -10.9 to 0.7%o. Pollution by sewage sludge (based on delta N-15 values) was confirmed only in two ports. Tissue concentrations of Mn, Co, Ni, Cu, Zn, Se, Cd, and Pb were significantly higher in the tissue of the mussels collected from the ports (polluted sites). Arsenobetaine was the major As compound present in the samples and there was no significant difference in the levels of total As in mussel tissues from mariculture and port sites.</t>
  </si>
  <si>
    <t>[Kanduc, Tjasa; Slejkovec, Zdenka; Falnoga, Ingrid] Jozef Stefan Inst, Dept Environm Sci, Jamova Cesta 39, Ljubljana 1000, Slovenia; [Mori, Natasa] Natl Inst Biol, Dept Organisms &amp; Ecosyst Res, Vecna Pot 111, Ljubljana 1000, Slovenia; [Budic, Bojan] Natl Inst Chem, Hajdrihova 19, Ljubljana 1000, Slovenia; [Kovacic, Ines] Juraj Dobrila Univ Pula, Dept Nat &amp; Hlth Sci, Zagrebacka 30, Pula 52100, Croatia; [Kovacic, Ines; Pavicic-Hamer, Dijana; Hamer, Bojan] Rudjer Boskovic Inst, Ctr Marine Res, Giordana Paliaga 5, Rovinj 52210, Croatia</t>
  </si>
  <si>
    <t>Slovenian Academy of Sciences &amp; Arts (SASA); Jozef Stefan Institute; National Institute of Biology - Slovenia; National Institute of Chemistry - Slovenia; University of Juraj Dobrila Pula; Rudjer Boskovic Institute</t>
  </si>
  <si>
    <t>Kanduc, T (corresponding author), Jozef Stefan Inst, Dept Environm Sci, Jamova Cesta 39, Ljubljana 1000, Slovenia.</t>
  </si>
  <si>
    <t>tjasa.kanduc@ijs.si</t>
  </si>
  <si>
    <t>Mori, Nataša/G-5841-2019; Kovacic, Ines/GXG-5332-2022; falnoga, ingrid/AAE-9696-2020; Hamer, Bojan/P-2279-2015</t>
  </si>
  <si>
    <t>Kanduc, Tjasa/0000-0003-2466-3485; Hamer, Bojan/0000-0002-3142-8128; , ingrid/0000-0001-7179-0917; Slejkovec, Zdenka/0000-0002-3265-5031</t>
  </si>
  <si>
    <t>Slovenian Research Agency [P1-0143, P1-0255]; ERA Chair ISO-FOOD project for isotope techniques in food quality, safety and traceability [621329]; MASSTWIN-H Twinning project; Spreading Excellence and Widening Participation in Support of Mass Spectrometry and Related Techniques in Health, Environment, and Food Analysis [692241]; [BI-HR/12-13-037]</t>
  </si>
  <si>
    <t>Slovenian Research Agency(Slovenian Research Agency - Slovenia); ERA Chair ISO-FOOD project for isotope techniques in food quality, safety and traceability; MASSTWIN-H Twinning project; Spreading Excellence and Widening Participation in Support of Mass Spectrometry and Related Techniques in Health, Environment, and Food Analysis;</t>
  </si>
  <si>
    <t>This study was performed in the frame of the bilateral Slovenia-Croatian project (Tracing natural and anthropogenic influences to marine ecosystem along Istrian-Adriatic coast with Mediterranean mussel Mytilus galloprovincialis (project number BI-HR/12-13-037), and was financially supported by Slovenian Research Agency (P1-0143, P1-0255). The authors are grateful to Mr. Stojan Zigon for technical support. The research represent a part of the ERA Chair ISO-FOOD project for isotope techniques in food quality, safety and traceability (Grant Agreement No. 621329) and MASSTWIN-H2020 Twinning project; Spreading Excellence and Widening Participation in Support of Mass Spectrometry and Related Techniques in Health, Environment, and Food Analysis (Grant Agreement No. 692241). Thanks to David J. Heath for linguistic corrections.</t>
  </si>
  <si>
    <t>10.1016/j.marpolbul.2017.09.052</t>
  </si>
  <si>
    <t>WOS:000425569400066</t>
  </si>
  <si>
    <t>Scanes, PR</t>
  </si>
  <si>
    <t>Uptake and depuration of organochlorine compounds in Sydney rock oysters (Saccostrea commercialis)</t>
  </si>
  <si>
    <t>oysters; Saccostrea commercialis; organochlorine compounds; uptake; depuration; mussel watch; pollution monitoring</t>
  </si>
  <si>
    <t>NEW-SOUTH-WALES; WESTERN-AUSTRALIA; HONG-KONG; METALS; CONGENERS; POLLUTION; COPPER; ZINC</t>
  </si>
  <si>
    <t>Field experiments were done to determine the rates of uptake and depuration of chlordane, dieldrin, heptachlor epoxide, PCBs, DDT, DDD and DDE in Sydney rock oysters (Saccostrea commercialis). Oysters from a clean source were placed in a contaminated location and concentrations of organochlorines determined in samples collected at a number of times during the deployment After 209 days (which was long enough for equilibrium to have been reached), the oysters were moved to an uncontaminated location and concentrations of the compounds were determined at various times. Mean weight of the oysters changed during the study, but not in any consistent manner. Mean content of lipids did not change significantly during the study. Detectable concentrations of all organochlorines were present after 3 days. Times to equilibrium and biological half-lives were calculated using kinetic models. Generally, rates of depuration were of the same order, but slower, than rates of uptake. There was a strong correlation between percentage lipid and organochlorine concentration, but little difference in times to equilibrium and biological half-lives derived from concentrations per wet weight and those per weight of lipid. The experiments show that times to equilibrium for each compound differ and that this should be taken into account when designing a programme to monitor these compounds.</t>
  </si>
  <si>
    <t>UNIV SYDNEY,MARINE ECOL LABS,INST MARINE ECOL,A11,SYDNEY,NSW 2006,AUSTRALIA</t>
  </si>
  <si>
    <t>Scanes, PR (corresponding author), NSW ENVIRONM PROTECT AUTHOR,LOCKED BAG 1502,BANKSTOWN,NSW 2200,AUSTRALIA.</t>
  </si>
  <si>
    <t>C S I R O PUBLICATIONS</t>
  </si>
  <si>
    <t>150 OXFORD ST, PO BOX 1139, COLLINGWOOD VICTORIA 3066, AUSTRALIA</t>
  </si>
  <si>
    <t>10.1071/MF96043</t>
  </si>
  <si>
    <t>WV939</t>
  </si>
  <si>
    <t>WOS:A1997WV93900001</t>
  </si>
  <si>
    <t>Narbonne, JF; Aarab, N; Clerandeau, C; Daubéze, M; Narbonne, J; Champeau, O; Garrigues, P</t>
  </si>
  <si>
    <t>Scale of classification based on biochemical markers in mussels:: application to pollution monitoring in Mediterranean coasts and temporal trends</t>
  </si>
  <si>
    <t>molecular biomarkers; Mytilus galloprovincialis; benzo(a) pyrene hydroxylase; glutathione S-transferase; catalase; malonedialdehyde; acetyl cholinesterase; Mediterranean Sea</t>
  </si>
  <si>
    <t>ECOLOGICAL RISK-ASSESSMENT; MYTILUS-GALLOPROVINCIALIS; BIOMARKERS; ACETYLCHOLINESTERASE; GLUTATHIONE; ENZYMES; SEA; BIOINDICATORS; CONTAMINATION; FIELD</t>
  </si>
  <si>
    <t>A battery of biochemical parameters was used to evaluate the response of mussels to a contaminated coastal environment. A multimarker approach was developed, establishing a scale for the classification of the water quality in European coastal sites (BIOMAR European programme). This study allows the evaluation of the temporal trends of this scale when applied to selected sites of European Mediterranean coast ( BEEP Biological Effects of Environmental Pollution in Marine Coastal Ecosystems: European programme). Acetylcholinesterase activity (AChE) is highly sensitive to organophosphorus and carbamate insecticides and, to some extent, also to heavy metals. Catalase activity ( CAT) and lipid oxidation ( evaluated as malonedialdehyde) are markers of oxidative stress, glutathione S-transferase (GST) activity is related to conjugation of organic compounds and benzo( a) pyrene hydroxylase activity (BPH) is a marker of effect of certain planar organic compounds ( e. g. polycyclic aromatic hydrocarbons, PAHs). These parameters were measured either in gills ( AChE, GST) or digestive gland ( BPH, GST, CAT, MDA). For each biomarker, a discriminatory factor was calculated ( maximum variation range/confidence interval) and a response index was allocated. For each site, a Multimarker Pollution Index (MPI) was calculated as the sum of the response index of each of the five more discriminating biomarkers. As the result of our calculation method, the quality of the coastal environment at each site can be classified according to a five levels scale. Samples collected for five cruises in May 2001, 2002, 2003, and September 2001 and 2002 showed MPI evolutions. The results show that water quality can be classified from class 1 ( clean areas in some sites of France, Italy and Spain) to class 4 ( high pollution in main harbours). Results of the use of the biomarker scale in WP3 (Work Package Concernant Biomonitoring Programmes in Mediterranean Sea) during the BEEP programme make a strong contribution to the establishment of standardized strategies and methods for internationally agreed protocols for biomarker-based monitoring programmes. In comparison with scale pollution methodology used in the BIOMAR programme, the main contribution of BEEP was ( 1) to select from discriminatory analysis the biomarkers to be included in calculation of scale pollution; ( 2) to improve the use of the biomarker index in order to identify the main contaminants by analysis of individual contributions to the MPI; and ( 3) to apply methodology for temporal trends at sampled sites.</t>
  </si>
  <si>
    <t>Univ Bordeaux, Lab Phys &amp; Toxicochim Syst Nat, UPRESA CNRS 5472, Talence, France</t>
  </si>
  <si>
    <t>Narbonne, JF (corresponding author), LPTC CNRS 5472, Ave Fac, F-33405 Talence, France.</t>
  </si>
  <si>
    <t>jf.narbonne@lptc.u-bordeaux1.fr</t>
  </si>
  <si>
    <t>Champeau, Olivier/0000-0002-1892-678X</t>
  </si>
  <si>
    <t>10.1080/13547500500071339</t>
  </si>
  <si>
    <t>927NV</t>
  </si>
  <si>
    <t>WOS:000229201500005</t>
  </si>
  <si>
    <t>Ou, MY; Ting, Y; Ch'ng, BL; Chen, C; Cheng, YH; Chang, TC; Hsi, HC</t>
  </si>
  <si>
    <t>Ou, Meng-Yuan; Ting, Yu; Ch'ng, Boon-Lek; Chen, Chi; Cheng, Yung-Hua; Chang, Tien-Chin; Hsi, Hsing-Cheng</t>
  </si>
  <si>
    <t>Using Mixed Active Capping to Remediate Multiple Potential Toxic Metal Contaminated Sediment for Reducing Environmental Risk</t>
  </si>
  <si>
    <t>active capping; toxic metal; sediment; remediation; multiple materials</t>
  </si>
  <si>
    <t>MUSSEL SHELL; AQUEOUS-SOLUTIONS; OYSTER SHELL; HEAVY-METALS; COW BONE; HYDROXYAPATITE; SOIL; ADSORPTION; REMOVAL; MERCURY</t>
  </si>
  <si>
    <t>In this study, kaolinite, carbon black (CB), iron sulfide (FeS), hydroxyapatite (HAP), and oyster shell powder (OSP) were selected as potentially ideal amendments to immobilize metals in sediment, including Ni, Cr, Cu, Zn, and Hg. In aqueous batch experiments, the five adsorbents were tested for capturing the five potential toxic metals individually at various concentrations. HAP and OSP showed the largest removal efficiencies towards Ni (OSP: 76.47%), Cr (OSP: 100.00%), Cu (HAP: 98.39%), and Zn (HAP: 64.56%), with CB taking the third place. In contrast, FeS and CB played a more significant role in Hg removal (FeS: 100.00%; CB: 86.40%). In the modified six-column microcosm experiments, five mixing ratios based on various considerations using the five adsorbent materials were tested; the water samples were collected and analyzed every week for 135 days. Results showed that caps including CB could immobilize the release of Hg and methylmercury (MeHg) better than those with FeS. More economical caps, namely, with a higher portion of OSP in the mixed capping, could not reach comparable effects to those with more HAP for immobilizing Ni, but performed almost the same for the other four metals. All columns with active caps showed greater metal immobilization as compared to the controlled column without caps.</t>
  </si>
  <si>
    <t>[Ou, Meng-Yuan; Ting, Yu; Ch'ng, Boon-Lek; Chen, Chi; Cheng, Yung-Hua; Hsi, Hsing-Cheng] Natl Taiwan Univ, Grad Inst Environm Engn, 1,Sec 4,Roosevelt Rd, Taipei 10671, Taiwan; [Chang, Tien-Chin] Natl Taipei Univ Technol, Inst Environm Engn &amp; Management, 1,Sec 3,Zhongxiao E Rd, Taipei 10608, Taiwan</t>
  </si>
  <si>
    <t>National Taiwan University; National Taipei University of Technology</t>
  </si>
  <si>
    <t>Hsi, HC (corresponding author), Natl Taiwan Univ, Grad Inst Environm Engn, 1,Sec 4,Roosevelt Rd, Taipei 10671, Taiwan.</t>
  </si>
  <si>
    <t>auanlie@outlook.com; yuting821216@gmail.com; r06541135@ntu.edu.tw; q2461015@gmail.com; r08541121@ntu.edu.tw; tcchang@ntut.edu.tw; hchsi@ntu.edu.tw</t>
  </si>
  <si>
    <t>Ting, yu/HIR-1566-2022; wang, chen/JED-7289-2023</t>
  </si>
  <si>
    <t>Hsi, Hsing-Cheng/0000-0001-5558-2077; CHNG, BOON-LEK/0000-0002-8004-2213</t>
  </si>
  <si>
    <t>Groundwater Pollution Remediation Funds of Taiwan Environmental Protection Administration</t>
  </si>
  <si>
    <t>We are very grateful to all members of the project team and the Groundwater Pollution Remediation Funds of Taiwan Environmental Protection Administration for their funding support.</t>
  </si>
  <si>
    <t>10.3390/w12071886</t>
  </si>
  <si>
    <t>MW6UP</t>
  </si>
  <si>
    <t>WOS:000557169400001</t>
  </si>
  <si>
    <t>WIDDOWS, J; DONKIN, P; BRINSLEY, MD; EVANS, SV; SALKELD, PN; FRANKLIN, A; LAW, RJ; WALDOCK, MJ</t>
  </si>
  <si>
    <t>SCOPE FOR GROWTH AND CONTAMINANT LEVELS IN NORTH-SEA MUSSELS MYTILUS-EDULIS</t>
  </si>
  <si>
    <t>NORTH SEA; POLLUTION; MUSSELS; MONITORING</t>
  </si>
  <si>
    <t>PHYSIOLOGICAL ENERGETICS; WATER; HYDROCARBONS; ACCUMULATION; POPULATIONS; RESPONSES; PARTICLES; MERCURY; COPPER; CHAIN</t>
  </si>
  <si>
    <t>Mussels Mytilus edulis, collected from 26 coastal sites from the Shetland Islands to the Thames estuary and 8 offshore Light vessels, were used to monitor changes in environmental quality along the North Sea coastline of the UK (July 1990 and August 1991). The combined measurements of the stress response, scope for growth (SFG), and chemical contaminants in the tissues of mussels were able to detect, quantify and identify some of the major toxicants causing the observed pollution effects. SFG declined from north to south, reflecting both the major inflow of clean water from the North Atlantic via the north of Scotland, and the overall increase in environmental contamination with increasing urbanisation and industrialisation towards the south. There were coastal regions (e.g. Humber-Wash area and the Thames estuary) as well as specific sites (e.g. Ythan, Montrose, Blyth, Teesmouth, Whitby) which showed markedly reduced SFG. Using experimentally derived tissue concentration-response relationships it was shown that at over half the sites the reduced SFG could be entirely explained by the recorded concentrations of contaminants in the tissues. At the majority of sites, a large contribution towards the observed decline in SFG was caused by toxic (mainly polyaromatic) hydrocarbons, largely reflecting urbanisation and shipping activity. in addition, reductions in SFG appear to be partially explained by the accumulation of significant amounts of 'polar organic compounds' and tributyltin. At no sites were metals accumulated to concentrations that could cause a significant reduction in SFG. At those sites with a large 'unexplained component' to the very low SFG values, there was a significant correlation between this 'residual unexplained toxicity' and concentrations of organochlorines in the mussels. More research on the toxicity of these organochlorine compounds to mussels is needed.</t>
  </si>
  <si>
    <t>MAFF, FISHERIES LAB, BURNHAM ON CROUCH CM0 8HA, ESSEX, ENGLAND</t>
  </si>
  <si>
    <t>WIDDOWS, J (corresponding author), PLYMOUTH MARINE LAB, PROSPECT PL, PLYMOUTH PL1 3DH, DEVON, ENGLAND.</t>
  </si>
  <si>
    <t>10.3354/meps127131</t>
  </si>
  <si>
    <t>TG880</t>
  </si>
  <si>
    <t>WOS:A1995TG88000013</t>
  </si>
  <si>
    <t>Robledo, JAF; Vasta, GR; Record, NR</t>
  </si>
  <si>
    <t>Robledo, Jose A. Fernandez; Vasta, Gerardo R.; Record, Nicholas R.</t>
  </si>
  <si>
    <t>Protozoan Parasites of Bivalve Molluscs: Literature Follows Culture</t>
  </si>
  <si>
    <t>OYSTER OSTREA-EDULIS; IN-VITRO CULTURE; MARINUS EXTRACELLULAR PRODUCTS; HAPLOSPORIDIUM-NELSONI MSX; HOST-PATHOGEN INTERACTIONS; COPEPOD PARACARTIA-GRANI; RIBOSOMAL-RNA LOCUS; PERKINSUS-MARINUS; EASTERN OYSTER; CRASSOSTREA-VIRGINICA</t>
  </si>
  <si>
    <t>Bivalve molluscs are key components of the estuarine environments as contributors to the trophic chain, and as filter feeders, for maintaining ecosystem integrity. Further, clams, oysters, and scallops are commercially exploited around the world both as traditional local shellfisheries, and as intensive or semi-intensive farming systems. During the past decades, populations of those species deemed of environmental or commercial interest have been subject to close monitoring given the realization that these can suffer significant decline, sometimes irreversible, due to overharvesting, environmental pollution, or disease. Protozoans of the genera Perkinsus, Haplosporidium, Marteilia, and Bonamia are currently recognized as major threats for natural and farmed bivalve populations. Since their identification, however, the variable publication rates of research studies addressing these parasitic diseases do not always appear to reflect their highly significant environmental and economic impact. Here we analyzed the peer-reviewed literature since the initial description of these parasites with the goal of identifying potential milestone discoveries or achievements that may have driven the intensity of the research in subsequent years, and significantly increased publication rates. Our analysis revealed that after initial description of the parasite as the etiological agent of a given disease, there is a time lag before a maximal number of yearly publications are reached. This has already taken place for most of them and has been followed by a decrease in publication rates over the last decade (20- to 30-year lifetime in the literature). Autocorrelation analyses, however, suggested that advances in parasite purification and culture methodologies positively drive publication rates, most likely because they usually lead to novel molecular tools and resources, promoting mechanistic studies. Understanding these trends should help researchers in prioritizing research efforts for these and other protozoan parasites, together with their development as model systems for further basic and translational research in parasitic diseases.</t>
  </si>
  <si>
    <t>[Robledo, Jose A. Fernandez; Record, Nicholas R.] Bigelow Lab Ocean Sci, Boothbay, ME 04544 USA; [Vasta, Gerardo R.] Univ Maryland, Sch Med, Dept Microbiol &amp; Immunol, Inst Marine &amp; Environm Technol, Baltimore, MD 21201 USA</t>
  </si>
  <si>
    <t>Bigelow Laboratory for Ocean Sciences; University System of Maryland; University of Maryland Baltimore; University of Maryland Center for Environmental Science; Institute of Marine &amp; Environmental Technology</t>
  </si>
  <si>
    <t>Robledo, JAF (corresponding author), Bigelow Lab Ocean Sci, Boothbay, ME 04544 USA.</t>
  </si>
  <si>
    <t>jfernandez-robledo@bigelow.org</t>
  </si>
  <si>
    <t>Bigelow Laboratory for Ocean Sciences from the National Institutes of Health [1R21AI076797-01A2]; National Science Foundation [IOS 1050518, IOS 0958016]; Division Of Integrative Organismal Systems; Direct For Biological Sciences [0958016] Funding Source: National Science Foundation</t>
  </si>
  <si>
    <t>Bigelow Laboratory for Ocean Sciences from the National Institutes of Health; National Science Foundation(National Science Foundation (NSF)); Division Of Integrative Organismal Systems; Direct For Biological Sciences(National Science Foundation (NSF)NSF - Directorate for Biological Sciences (BIO)NSF - Division of Integrative Organismal Systems (IOS))</t>
  </si>
  <si>
    <t>Institutional funds from Bigelow Laboratory for Ocean Sciences grants 1R21AI076797-01A2 from the National Institutes of Health, and IOS 1050518 and IOS 0958016 from the National Science Foundation. The funders had no role in study design, data collection and analysis, decision to publish, or preparation of the manuscript.</t>
  </si>
  <si>
    <t>JUN 23</t>
  </si>
  <si>
    <t>e100872</t>
  </si>
  <si>
    <t>10.1371/journal.pone.0100872</t>
  </si>
  <si>
    <t>AL1WV</t>
  </si>
  <si>
    <t>WOS:000338917900103</t>
  </si>
  <si>
    <t>Bordalo, D; Cuccaro, A; Meucci, V; De Marchi, L; Soares, AMVM; Pretti, C; Freitas, R</t>
  </si>
  <si>
    <t>Bordalo, Diana; Cuccaro, Alessia; Meucci, Valentina; De Marchi, Lucia; Soares, Amadeu M. V. M.; Pretti, Carlo; Freitas, Rosa</t>
  </si>
  <si>
    <t>Will warmer summers increase the impact of UV filters on marine bivalves?</t>
  </si>
  <si>
    <t>Butyl methoxydibenzoylmethane; Mussels; Emerging pollutants; Warming; Oxidative stress; Antioxidant responses</t>
  </si>
  <si>
    <t>PERSONAL CARE PRODUCTS; MYTILUS-GALLOPROVINCIALIS; OXIDATIVE STRESS; FERTILIZATION SUCCESS; SPERM QUALITY; FATTY-ACIDS; BIOMARKERS; TEMPERATURE; EXPOSURE; RESPONSES</t>
  </si>
  <si>
    <t>Marine organisms are constantly exposed to multiple stressors including pollutants released into the environment, such as personal care products (PCPs), and climate change-derived factors, namely warming, which are aggravated by anthropogenic drivers and pose increasing pressure on coastal ecosystems. Avobenzone (AVO) is one of the most used ultraviolet (UV) filters in PCPs which have been increasingly used and, thereby, identified in aquatic environ-ments. However, data regarding the influence of warming on the impacts caused by AVO in bivalves is lacking. Mussels are considered good bioindicators thus being often employed in ecotoxicology studies. Hence, the present study aimed to evaluate the toxic effects of an environmentally relevant concentration of AVO (0.5 mu g/L) and warming (21 degrees C), act-ing alone or in combination, on sperm and adults of the Mediterranean mussel species Mytilus galloprovincialis, through in vitro and in vivo tests, respectively. AVO and warming effects were evaluated by assessing oxidative status, viability, genotoxicity, motility, and kinetics in sperm, together with the quantification of energy content, metabolic capacity, biological defence mechanisms, cellular damage, and neurotoxicity in adults. AVO induced genotoxicity and increased respiration rate in sperm while enhancing the biotransformation enzymes' activity in adults. Exposure to warming led to an increase in respiration rate, ROS overproduction, cellular damage, and viability decrease in sperm whereas met-abolic capacity increased in adults. AVO combined with warming caused oxidative stress, cellular damage, genotoxic-ity, and decreased motility in sperm, while only antioxidant enzymes' activity was enhanced in adults. Overall, the present study demonstrated that when acting in combination the effects of both stressors were more prominent. Fur-thermore, considering the multiple-stressor scenario tested, major toxic effects occurred in male gametes in compari-son to adults.</t>
  </si>
  <si>
    <t>[Bordalo, Diana; Cuccaro, Alessia; Soares, Amadeu M. V. M.; Freitas, Rosa] Univ Aveiro, Dept Biol, P-3810193 Aveiro, Portugal; [Cuccaro, Alessia; Soares, Amadeu M. V. M.; Freitas, Rosa] Univ Aveiro, Ctr Environm &amp; Marine Studies CESAM, P-3810193 Aveiro, Portugal; [Cuccaro, Alessia; Meucci, Valentina; Pretti, Carlo] Univ Pisa, Dept Vet Sci, I-56122 Pisa, Italy; [De Marchi, Lucia; Pretti, Carlo] Interuniv Consortium Marine Biol &amp; Appl Ecol G Bac, I-57128 Livorno, Italy</t>
  </si>
  <si>
    <t>Universidade de Aveiro; Universidade de Aveiro; University of Pisa; Consorzio per il Centro Interuniversitario di Biologia Marina ed Ecologia Applicata G. Bacci</t>
  </si>
  <si>
    <t>dianabordalo@ua.pt; rosafreitas@ua.pt</t>
  </si>
  <si>
    <t>De Marchi, Lucia/ABG-1246-2021; Freitas, Rosa/A-7539-2012; Bordalo, Diana/JRY-6602-2023; Pretti, Carlo/K-5948-2017; Cuccaro, Alessia/AAN-4418-2020; Soares, Amadeu/A-8304-2008; meucci, valentina/K-7823-2016</t>
  </si>
  <si>
    <t>Cuccaro, Alessia/0000-0001-8631-3822; De Marchi, Lucia/0000-0001-6899-4476; Soares, Amadeu/0000-0003-0879-9470; meucci, valentina/0000-0001-5672-7856; Bordalo, Diana/0000-0003-4352-0068</t>
  </si>
  <si>
    <t>National Funds through the Portuguese Science Foundation (Fundacao para a Ciencia e a Tecnologia, FCT) [PD/BD/150609/2020]; FCT/MCTES [UIDP/50017/2020 + UIDB/50017/2020 + LA/P/0094/2020]</t>
  </si>
  <si>
    <t>National Funds through the Portuguese Science Foundation (Fundacao para a Ciencia e a Tecnologia, FCT); FCT/MCTES(Fundacao para a Ciencia e a Tecnologia (FCT))</t>
  </si>
  <si>
    <t>Alessia Cuccaro benefited from a Ph.D. grant (PD/BD/150609/2020) given by the National Funds through the Portuguese Science Foundation (Fundacao para a Ciencia e a Tecnologia, FCT). We acknowledge financial support to CESAM by FCT/MCTES (UIDP/50017/2020 + UIDB/50017/2020 + LA/P/0094/2020), through national funds.</t>
  </si>
  <si>
    <t>10.1016/j.scitotenv.2023.162108</t>
  </si>
  <si>
    <t>A2VW4</t>
  </si>
  <si>
    <t>WOS:000953771100001</t>
  </si>
  <si>
    <t>HANLEY, JR; COURIEL, D</t>
  </si>
  <si>
    <t>COASTAL MANAGEMENT ISSUES IN THE NORTHERN-TERRITORY - AN ASSESSMENT OF CURRENT AND FUTURE-PROBLEMS</t>
  </si>
  <si>
    <t>HEAVY-METAL CONCENTRATION; DARWIN HARBOR; PRAWN TRAWLERS; AUSTRALIA; SEDIMENTS; OYSTERS; WATERS; BAY</t>
  </si>
  <si>
    <t>The major current and future coastal management issues relevant to the Northern Territory, Australia, are discussed. In general, the coastline is still pristine. Impacts such as reclamation of intertidal land, sewage effluent and urban runoff, and heavy metal pollution are identified as significant issues for the larger coastal population centres of Darwin and Nhulunbuy. In coastal waters, the potential impacts of various existing or proposed fisheries are examined. Future development including industries such as oil and gas extraction and refining, mineral sands. aquaculture, and associated population growth are recognized as producers of potentially important impacts on the existing coastal environment. In the short term, most development appears likely to take place on non-aboriginal land.</t>
  </si>
  <si>
    <t>NO TERR MUSEUM ARTS &amp; SCI, POB 4646, DARWIN, NT 0801, AUSTRALIA.</t>
  </si>
  <si>
    <t>5-8</t>
  </si>
  <si>
    <t>10.1016/0025-326X(92)90216-S</t>
  </si>
  <si>
    <t>KJ818</t>
  </si>
  <si>
    <t>WOS:A1992KJ81800003</t>
  </si>
  <si>
    <t>Cuccaro, A; Freitas, R; De Marchi, L; Monni, G; Meucci, V; Oliva, M; Fumagalli, G; Pretti, C</t>
  </si>
  <si>
    <t>Cuccaro, Alessia; Freitas, Rosa; De Marchi, Lucia; Monni, Gianfranca; Meucci, Valentina; Oliva, Matteo; Fumagalli, Giorgia; Pretti, Carlo</t>
  </si>
  <si>
    <t>Multi-biomarker approach for the (eco)toxicity of UV-filter environmental pollution on the Mediterranean mussel Mytilus galloprovincialis in a multiple stressor context. The case of 4-MBC under salinity shifts.</t>
  </si>
  <si>
    <t>Climate change -related factor; Salinity variations; PCPs; UV -Filters; Mussels ' adult responses; IBR index</t>
  </si>
  <si>
    <t>4-METHYLBENZYLIDENE CAMPHOR 4-MBC; OXIDATIVE STRESS; RISK-ASSESSMENT; MARINE ORGANISMS; CLIMATE-CHANGE; WASTE-WATER; RESPONSES; BIOACCUMULATION; TEMPERATURE; TOLERANCE</t>
  </si>
  <si>
    <t>Marine-coastal ecosystems are rapidly transforming because of climate change (CC). At the same time, the im-pacts of emerging organic contaminants (i.e., organic UV-filters) on these ecosystems are intensifying. In the Mediterranean, the consequences of these disturbances are occurring at a fast pace making this area a potential sentinel site to be investigated. While singular effects of organic UV-filters or CC-related factors on marine biota have been relatively described, their combined impact is still largely unknown. Thus, the objective of this study was to assess the long-term responses of the Mediterranean mussel Mytilus galloprovincialis towards anticipated salinity changes (decreases-S20 or increases-S40) when exposed to environmentally relevant concentrations of the UV-filter 4-methylbenzylidene camphor (4-MBC). An integrated multi-biomarker approach was applied, featuring general and oxidative stress, antioxidant and biotransformation enzyme capacity, energy metabolism, genotoxicity, and neurotoxicity biomarkers. Results showed that both projected salinities, considered separately, exerted non-negligible impacts on mussels' health status, with greater biological impairments found at S 40. Combining both stressors resulted in an evident increase in mussels' susceptibility to the UV-filter, which exacerbated the toxicity of 4-MBC. The dominant influence of salinity in the climate change-contaminant interaction played a crucial role in this outcome. The most severe scenario occurred when S 20 was combined with 4-MBC. In this situation, mussels exhibited a decrease in filtration rate, metabolic capacity and deployment of energy reserves increased, with an upregulation of biotransformation and inhibition of antioxidant enzyme activities. This exposure also led to the observation of cellular and DNA damage, as well as an increase in AChE activity. Furthermore, salinity-dependent bioaccumulation patterns were evaluated revealing that the lowest values in contaminated mussels are found at S 20. Overall, the present findings provide evidence that projected CC/pollutant scenarios may represent high risks for mussels' populations, with global relevant implications for the ecosystem level.</t>
  </si>
  <si>
    <t>[Cuccaro, Alessia; Freitas, Rosa] Univ Aveiro, Ctr Environm &amp; Marine Studies CESAM, P-3810193 Aveiro, Portugal; [Cuccaro, Alessia; Freitas, Rosa] Univ Aveiro, Dept Biol, P-3810193 Aveiro, Portugal; [Cuccaro, Alessia; De Marchi, Lucia; Monni, Gianfranca; Meucci, Valentina; Pretti, Carlo] Univ Pisa, Dept Vet Sci, I-56122 San Piero A Grad, PI, Italy; [Oliva, Matteo; Fumagalli, Giorgia; Pretti, Carlo] Interuniv Consortium Marine Biol &amp; Appl Ecol G Bac, I-57128 Livorno, Italy; [Pretti, Carlo] Univ Pisa, Dept Vet Sci, Via Livornese Lato Monte, I-56122 San Piero A Grado, PI, Italy</t>
  </si>
  <si>
    <t>Universidade de Aveiro; Universidade de Aveiro; University of Pisa; Consorzio per il Centro Interuniversitario di Biologia Marina ed Ecologia Applicata G. Bacci; University of Pisa</t>
  </si>
  <si>
    <t>Pretti, C (corresponding author), Univ Pisa, Dept Vet Sci, Via Livornese Lato Monte, I-56122 San Piero A Grado, PI, Italy.</t>
  </si>
  <si>
    <t>carlo.pretti@unipi.it</t>
  </si>
  <si>
    <t>De Marchi, Lucia/ABG-1246-2021; Cuccaro, Alessia/AAN-4418-2020; PRETTI, CARLO/K-5948-2017; Freitas, Rosa/A-7539-2012; Oliva, Matteo/O-9624-2018; meucci, valentina/K-7823-2016</t>
  </si>
  <si>
    <t>PRETTI, CARLO/0000-0003-4949-2088; Freitas, Rosa/0000-0003-4900-3897; Cuccaro, Alessia/0000-0001-8631-3822; De Marchi, Lucia/0000-0001-6899-4476; MONNI, GIANFRANCA/0000-0001-7891-373X; Oliva, Matteo/0000-0002-0008-0827; meucci, valentina/0000-0001-5672-7856</t>
  </si>
  <si>
    <t>Ghent, Belgium</t>
  </si>
  <si>
    <t>Alessia Cuccaro benefited from a PhD grant (PD/BD/150609/2020) given by the National Funds through the Portuguese Science Foundation (Fundacao para a Ciencia e a Tecnologia, FCT). We acknowledge financial support to CESAM by FCT/MCTES (UIDP/50017/2020+UIDB/50017/2020+ LA/P/0094/2020), through national funds. We acknowledge the contribution of Dr. Linda Rutigliano at University of Cabral, Cadena-Aizaga, Ghent, Belgium, in revising the final manuscript for language correctness and consistency.r Ghent, Belgium, in revising the final manuscript for language correct-ness and consistency.</t>
  </si>
  <si>
    <t>10.1016/j.envpol.2023.122490</t>
  </si>
  <si>
    <t>T7PW3</t>
  </si>
  <si>
    <t>WOS:001079875700001</t>
  </si>
  <si>
    <t>Reichwaldt, ES; Ghadouani, A</t>
  </si>
  <si>
    <t>Reichwaldt, Elke S.; Ghadouani, Anas</t>
  </si>
  <si>
    <t>Can mussels be used as sentinel organisms for characterization of pollution in urban water systems?</t>
  </si>
  <si>
    <t>HYDROLOGY AND EARTH SYSTEM SCIENCES</t>
  </si>
  <si>
    <t>SWAN RIVER ESTUARY; STABLE NITROGEN ISOTOPES; FOOD-CHAIN STRUCTURE; MYTILUS-EDULIS; FRESH-WATER; IN-SITU; ANTHROPOGENIC NITROGEN; SEASONAL VARIABILITY; SPATIAL VARIABILITY; WESTERN-AUSTRALIA</t>
  </si>
  <si>
    <t>Urbanization strongly impacts aquatic ecosystems by decreasing water quality and altering water cycles. Today, much effort is put towards the restoration and conservation of urban waterbodies to enhance ecosystem service provision, leading to liveable and sustainable cities. To enable a sustainable management of waterbodies, the quantification of the temporal and spatial variability of pollution levels and biogeochemical processes is essential. Stable isotopes have widely been used to identify sources of pollution in ecosystems. For example, increased nitrogen levels in waterbodies are often accompanied with a higher nitrogen stable isotope signature (delta N-15), which can then be detected in higher trophic levels such as mussels. The main aim of this study was to assess the suitability of nitrogen stable isotopes as measured in mussels (Mytilus edulis), as an indicator able to resolve spatial and temporal variability of nitrogen pollution in an urban, tidally influenced estuary (Swan River estuary in Western Australia). Nitrogen concentrations were generally low and nitrogen stable isotope values of nitrate throughout the estuary were well within natural values of uncontaminated groundwater, organic nitrate from soils, or marine-derived sources, indicating groundwater inflow rather than pollution by human activity was responsible for differences between sites. The delta N-15 signature in mussels was very stable over time within each site which indicated that mussels can be used as time-integrated sentinel organisms in urban systems. In addition, our study shows that the nature of the relationship between delta N-15 in the mussels and the nitrate in the water can provide insights into site-specific biogeochemical transformation of nutrients. We suggest that mussels and other sentinel organisms can become a robust tool for the detection and characterization of the dynamics of a number of emerging anthropogenic pollutants of concern in urban water systems.</t>
  </si>
  <si>
    <t>[Reichwaldt, Elke S.; Ghadouani, Anas] Univ Western Australia, Sch Civil Environm &amp; Min Engn, Aquat Ecol &amp; Ecosys Studies, M015,35 Stirling Highway, Crawley, WA 6009, Australia</t>
  </si>
  <si>
    <t>Reichwaldt, ES (corresponding author), Univ Western Australia, Sch Civil Environm &amp; Min Engn, Aquat Ecol &amp; Ecosys Studies, M015,35 Stirling Highway, Crawley, WA 6009, Australia.</t>
  </si>
  <si>
    <t>elke.reichwaldt@uwa.edu.au</t>
  </si>
  <si>
    <t>Reichwaldt, Elke/A-4046-2012; Ghadouani, Anas/A-2568-2008</t>
  </si>
  <si>
    <t>Ghadouani, Anas/0000-0002-1252-4851</t>
  </si>
  <si>
    <t>University of Western Australia; Australian Research Council Linkage Project [LP0776571]; Water Corporation of Western Australia</t>
  </si>
  <si>
    <t>University of Western Australia; Australian Research Council Linkage Project(Australian Research Council); Water Corporation of Western Australia</t>
  </si>
  <si>
    <t>This study was supported by a Research Development Award (2009) from The University of Western Australia to Elke S. Reichwaldt and by an Australian Research Council Linkage Project (LP0776571) and the Water Corporation of Western Australia. The authors would like to thank S. C. Sinang, H. Song, and L. X. Coggins for help in the field and in the laboratory; L. X. Coggins for editing an earlier version of the manuscript; and C. Harrod for valuable help during the preparation of the manuscript. The permit for sampling mussels was obtained from the Department of Environment and Conservation, Western Australia (Licence no. SF007464). Discharge data were courtesy of the Department of Water, Western Australia.</t>
  </si>
  <si>
    <t>1027-5606</t>
  </si>
  <si>
    <t>1607-7938</t>
  </si>
  <si>
    <t>HYDROL EARTH SYST SC</t>
  </si>
  <si>
    <t>Hydrol. Earth Syst. Sci.</t>
  </si>
  <si>
    <t>10.5194/hess-20-2679-2016</t>
  </si>
  <si>
    <t>Geosciences, Multidisciplinary; Water Resources</t>
  </si>
  <si>
    <t>Geology; Water Resources</t>
  </si>
  <si>
    <t>DQ7WY</t>
  </si>
  <si>
    <t>WOS:000379420000007</t>
  </si>
  <si>
    <t>Kapranov, SV; Karavantseva, NV; Bobko, NI; Ryabushko, VI; Kapranova, LL</t>
  </si>
  <si>
    <t>Kapranov, Sergey V.; Karavantseva, Nadezhda V.; Bobko, Nikolay I.; Ryabushko, Vitaliy I.; Kapranova, Larisa L.</t>
  </si>
  <si>
    <t>Sex- and sexual maturation-related aspects of the element accumulation in soft tissues of the bivalve Mytilus galloprovincialis Lam. collected off coasts of Sevastopol (southwestern Crimea, Black Sea)</t>
  </si>
  <si>
    <t>Mussels; Mytilus galloprovincialis; Gonadal ripening stages; Trace elements; ICP-MS; Accumulation; Multivariate analysis; Clusters</t>
  </si>
  <si>
    <t>PLASMA-MASS SPECTROMETRY; RARE-EARTH-ELEMENTS; TRACE-METAL CONTENT; HEAVY-METALS; MUSSEL WATCH; BODY-SIZE; DIGESTIVE GLAND; EDULIS L; ZINC; CADMIUM</t>
  </si>
  <si>
    <t>Mussels are widely used to monitor trace element pollution, but the role of their sex and sexual maturation in the element accumulation was not comprehensively studied and the number of elements under consideration never exceeded three dozen. In this work, concentrations of 67 elements in different tissues of females and males of the Mediterranean mussel are determined. Statistically significant differences are obtained in the element composition of analogous tissues of mussel males and females and in gonads of the same sex at different sexual maturation stages. The significantly higher concentrations of some elements found in gonads of females (Mn, Zn, As) and males (P) at most of the sexual maturation stages suggest essentiality of these elements in the reproduction. Elements exhibit several accumulation patterns in gonads during the ripening, with the most general one being the accumulation after spawning. Indications of a new phenomenon of circulation of most elements in gonads over the reproductive cycle are obtained, with the element concentrations decreasing at the first two stages and increasing at the posterior stages. Principal component analysis shows that the differences in the element accumulation are mainly due to the element uptake pathways and sexual differentiation. The most important identified factors determining the decrease in concentrations of tissue elements are their redistribution over mussel's body, biomass dilution, sequestration, and release with gametes. Five detected non-overlapping clusters of the non-normalized element concentrations in the pooled mussel tissues are associated with macroelements, two groups of trace elements, and two groups of ultratrace elements.</t>
  </si>
  <si>
    <t>[Kapranov, Sergey V.; Karavantseva, Nadezhda V.; Bobko, Nikolay I.; Ryabushko, Vitaliy I.; Kapranova, Larisa L.] Russian Acad Sci, AO Kovalevsky Inst Biol Southern Seas, Nakhimov Ave 2, Sevastopol 299011, Russia</t>
  </si>
  <si>
    <t>Kapranov, SV (corresponding author), Russian Acad Sci, AO Kovalevsky Inst Biol Southern Seas, Nakhimov Ave 2, Sevastopol 299011, Russia.</t>
  </si>
  <si>
    <t>sergey.v.kapranov@yandex.ru</t>
  </si>
  <si>
    <t>Ryabushko, Vitaly/H-4163-2014; Kapranov, Sergey/Z-1471-2018; Kapranova, Larisa/ABB-6462-2020</t>
  </si>
  <si>
    <t>Kapranov, Sergey/0000-0001-5614-065X; Kapranova, Larisa/0000-0001-9081-1074</t>
  </si>
  <si>
    <t>[AAAA-A18-118021350003-6]; [AAAAA19-119060690014-5]</t>
  </si>
  <si>
    <t>The work has received financial support within the governmental research assignments AAAA-A18-118021350003-6 and AAAAA19-119060690014-5.</t>
  </si>
  <si>
    <t>10.1007/s11356-020-12024-z</t>
  </si>
  <si>
    <t>RZ2BJ</t>
  </si>
  <si>
    <t>WOS:000607298000005</t>
  </si>
  <si>
    <t>Han, Y; Zhou, WS; Tang, Y; Shi, W; Shao, YQ; Ren, P; Zhang, JM; Xiao, GQ; Sun, HX; Liu, GX</t>
  </si>
  <si>
    <t>Han, Yu; Zhou, Weishang; Tang, Yu; Shi, Wei; Shao, Yanqing; Ren, Peng; Zhang, Jiongming; Xiao, Guoqiang; Sun, Hongxiang; Liu, Guangxu</t>
  </si>
  <si>
    <t>Microplastics aggravate the bioaccumulation of three veterinary antibiotics in the thick shell mussel Mytilus coruscus and induce synergistic immunotoxic effects</t>
  </si>
  <si>
    <t>microplastics; veterinary antibiotic; accumulation; immunotoxic</t>
  </si>
  <si>
    <t>WASTE-WATER CONTAMINANTS; SIGNALING PATHWAYS; OXIDATIVE DAMAGE; TOXICITY; ACTIN; NANOPARTICLES; EXPRESSION; EXPOSURE; STRESS; GROWTH</t>
  </si>
  <si>
    <t>Marine bivalves living in pollution-prone coastal areas may be simultaneously coexposed to veterinary antibiotic residuals and microplastics (MPs). However, the synergistic effects of these two types of emergent pollutants have not been fully elucidated in mussel species. Therefore, the immunotoxic effects of the three representative antibiotics, oxytetracycline (OTC, 270 ng/L), florfenicol (FLO, 42 ng/L), and sulfamethoxazole (SMX, 140 ng/L), with and without the copresence of polystyrene MPs (0.26mg/L, dimeter: 500 nm), were investigated in the thick shell mussel. Our data showed that the immunity was significantly hampered by exposure to the pollutants and MP-antibiotic coexposure induced synergistic immunotoxicity. For instance, compared to those treated with antibiotics (OTC, FLO, and SMX) alone, mussels coexposed to antibiotic and MPs had significantly lower phagocytic rate (further decline by approximately 28.80%, 34.21%, and 11.22%, respectively) and total hemocyte count (further reduced by approximately 37.45%, 61.67%, and 46.32%, respectively). Exposure to the pollutants tested also led to inductions in intracellular reactive oxygen species (ROS), decreases in the F-actin cytoskeleton, declines in the cell viability of hemocytes, and downregulation of cytoskeleton- and immune-related genes. In addition, mussels coexposed to antibiotic-MP accumulated significantly greater amounts of antibiotics, which may partially explain the synergic immunotoxic effect detected. Exposure to pollutants tested also led to suppression in the activity of glutathione-S-transferase (GST) and downregulation of detoxification-related genes whereas induction in the level of lipid peroxidation (indicated by MDA content) in gills, which may facilitate the entry whereas constrain the exclusion of antibiotics and therefore result in an elevation in accumulation of antibiotics. (C) 2021 Elsevier B.V. All rights reserved.</t>
  </si>
  <si>
    <t>[Han, Yu; Zhou, Weishang; Tang, Yu; Shi, Wei; Sun, Hongxiang; Liu, Guangxu] Zhejiang Univ, Coll Anim Sci, 866 Yuhangtang Rd, Hangzhou 310058, Peoples R China; [Shao, Yanqing; Ren, Peng; Zhang, Jiongming; Xiao, Guoqiang] Zhejiang Maricutture Res Inst, Wenzhou 325005, Peoples R China</t>
  </si>
  <si>
    <t>Sun, Hongxiang/AGQ-9249-2022; Shi, Wei/P-2846-2019</t>
  </si>
  <si>
    <t>Sun, Hongxiang/0000-0003-4849-7127; Shi, Wei/0000-0003-0811-2165</t>
  </si>
  <si>
    <t>National Key Research &amp; Development Program of China [2018YFD0900603]; China Postdoctoral Science Foundation [2020M671743]; Science &amp; Technology Project of Wenzhou [Z20170013]; Zhejiang Key S&amp;T Project of New Agricultural Varieties [2016C02055-9-2]; Key R&amp;D Program of Zhejiang Province [2018C02039, 2019C02045]</t>
  </si>
  <si>
    <t>National Key Research &amp; Development Program of China(National Key Research &amp; Development Program of China); China Postdoctoral Science Foundation(China Postdoctoral Science Foundation); Science &amp; Technology Project of Wenzhou; Zhejiang Key S&amp;T Project of New Agricultural Varieties; Key R&amp;D Program of Zhejiang Province</t>
  </si>
  <si>
    <t>This work was funded by the National Key Research &amp; Development Program of China (No. 2018YFD0900603), China Postdoctoral Science Foundation (2020M671743), Science &amp; Technology Project ofWenzhou (Z20170013), Zhejiang Key S&amp;T Project of New Agricultural Varieties (2016C02055-9-2), and Key R&amp;D Program of Zhejiang Province (2018C02039, 2019C02045).</t>
  </si>
  <si>
    <t>MAY 20</t>
  </si>
  <si>
    <t>10.1016/j.scitotenv.2021.145273</t>
  </si>
  <si>
    <t>QV3SX</t>
  </si>
  <si>
    <t>WOS:000627896100092</t>
  </si>
  <si>
    <t>Veldhoen, N; Kobylarz, M; Lowe, CJ; Meloche, L; deBruyn, AMH; Helbing, CC</t>
  </si>
  <si>
    <t>Veldhoen, Nik; Kobylarz, Marek; Lowe, Christopher J.; Meloche, Lizanne; deBruyn, Adrian M. H.; Helbing, Caren C.</t>
  </si>
  <si>
    <t>Relationship between mRNA biomarker candidates and location near a marine municipal wastewater outfall in the benthic indicator species Modiolus modiolus (L.)</t>
  </si>
  <si>
    <t>Marine sentinel; mRNA; Municipal wastewater; Modiolus; Real-time PCR; Toxicogenomics</t>
  </si>
  <si>
    <t>MUSSELS MYTILUS-EDULIS; GENE-EXPRESSION; ENZYME-ACTIVITIES; DIGESTIVE GLAND; CAGED MUSSELS; GALLOPROVINCIALIS; EXPOSURE; POLLUTION; BIVALVES; HSP70</t>
  </si>
  <si>
    <t>The deep-sea horse mussel Modiolus modiolus (L.) is a sentinel bivalve species used for the assessment of potential biological exposure to anthropogenic contaminants in benthic environments. Using a combination of endpoints that included gross biological metrics, reproductive status, tissue contaminant load, and mRNA abundance profiles, we characterized variation in the local M. modiolus population situated in different spatial zones relative to a municipal wastewater outfall. Significant differences were observed in reproductive indicators, growth parameters, and abundance of four specific mRNA transcripts representative of stress response or membrane transport (CAT, NET/SCF6, ABCA4 and HSP70) in adductor muscle tissue of animals adjacent to the wastewater outfall. Concentrations of metals and organic chemicals in M. modiolus tissue were generally highest directly at the outfall site with much lower levels at 100-800 m from the outfall. This general pattern did not match the mRNA profiles. HSP70 and ABCA4 mRNA showed increased abundance in all regions adjacent to the municipal outfall compared to the reference site. One site group located within 100-200 m south/south-easterly of the outfall had increased levels of all four transcripts. Some mRNAs showed significant correlations with nickel, arsenic, lead, selenium, copper, and one of thirteen polycyclic aromatic hydrocarbons measured (dibenzo(a,h)-anthracene). Three mRNAs (CAT, NET/SCF6, and ABCA4) were negatively correlated with bis(2-ethylhexyl)phthalate. The data suggest that these benthic organisms are exhibiting biological responses to the outfall and support an alternate interpretation regarding dispersal of contaminants. The potential effects of emerging chemicals of concern entering the receiving environment merits further assessment. (C) 2011 Elsevier B.V. All rights reserved.</t>
  </si>
  <si>
    <t>[Veldhoen, Nik; Kobylarz, Marek; Helbing, Caren C.] Univ Victoria, Dept Biochem &amp; Microbiol, STN CSC, Victoria, BC V8W 3P6, Canada; [Lowe, Christopher J.] Capital Reg Dist, Environm Sustainabil Dept, Victoria, BC V8W 2S6, Canada; [Meloche, Lizanne; deBruyn, Adrian M. H.] Golder Associates, Burnaby, BC V5C 6C6, Canada</t>
  </si>
  <si>
    <t>University of Victoria</t>
  </si>
  <si>
    <t>Helbing, CC (corresponding author), Univ Victoria, Dept Biochem &amp; Microbiol, STN CSC, POB 3055, Victoria, BC V8W 3P6, Canada.</t>
  </si>
  <si>
    <t>chelbing@uvic.ca</t>
  </si>
  <si>
    <t>Lowe, Christopher/0000-0002-1491-2428; Helbing, Caren/0000-0002-8861-1070</t>
  </si>
  <si>
    <t>10.1016/j.aquatox.2011.05.020</t>
  </si>
  <si>
    <t>WOS:000294317500013</t>
  </si>
  <si>
    <t>Mohammed, FK; Deonarine, DL; Seepersaud, M</t>
  </si>
  <si>
    <t>Mohammed, Faisal K.; Deonarine, Deanna L.; Seepersaud, Mohindra</t>
  </si>
  <si>
    <t>An assessment of contamination and ecological risk of metals in sediments of the Guaracara, Caparo and Couva rivers in Trinidad, West Indies</t>
  </si>
  <si>
    <t>Contamination factor; geoaccumulation; metals; sediments; principal component analysis; Trinidad</t>
  </si>
  <si>
    <t>HEAVY-METALS; SURFACE-WATER; POLLUTION; SHITALAKHYA; BANGLADESH; OYSTERS; LEAD</t>
  </si>
  <si>
    <t>The presence of metals in an aquatic environment can serve as a biomarker for pollution and can be used to evaluate its contamination status. Rapid industrialisation in recent decades has propelled Trinidad and Tobago to be one of the most developed nations within the Caribbean region and has stimulated the awareness of potential ecological risks from various industrial activities affecting the rivers of Trinidad. Sediment samples from three rivers along the West coast of Trinidad were analysed for Cd, Cr, Cu, Mn, Ni, Pb and Zn. For all three rivers, the metal concentrations in sediments were in the range of 0.40-2.31g/g, 12.77-33.04g/g, 14.51-72.89g/g, 224.90-4472.83g/g, 8.20-43.08g/g, 22.63-38.34g/g and 92.0-5462.60g/g for Cd, Cr, Cu, Mn, Ni, Pb and Zn, respectively. Assessment of the pollution status indicated that all three rivers were considered polluted, with significant contributions from Cr, Cu, Mn, Ni and Zn. The potential ecological risk for all three rivers, however, was low and multivariate statistics revealed that mainly anthropogenic sources contributed to the metal concentrations in sediments of all three rivers.</t>
  </si>
  <si>
    <t>[Mohammed, Faisal K.; Seepersaud, Mohindra] Univ West Indies, Dept Chem, Fac Sci &amp; Technol, St Augustine, Trinidad Tobago; [Deonarine, Deanna L.] Univ West Indies, Dept Chem, Fac Sci &amp; Technol, OESH Programme, St Augustine, Trinidad Tobago</t>
  </si>
  <si>
    <t>Seepersaud, M (corresponding author), Univ West Indies, Dept Chem, Fac Sci &amp; Technol, St Augustine, Trinidad Tobago.</t>
  </si>
  <si>
    <t>University of the West Indies</t>
  </si>
  <si>
    <t>This study received support from The University of the West Indies.</t>
  </si>
  <si>
    <t>10.1080/02757540.2017.1420177</t>
  </si>
  <si>
    <t>FX5QE</t>
  </si>
  <si>
    <t>WOS:000426133900004</t>
  </si>
  <si>
    <t>Quinn, B; Gagné, F; Weber, JP; Blaise, C</t>
  </si>
  <si>
    <t>Ecotoxicological effects of a semi-submerged municipal dump (Castle harbour, Bermuda) on the Calico scallop Argopecten gibbus</t>
  </si>
  <si>
    <t>biomarkers; Argopecten gibbus; Bermuda; atlantis; metals; vitellin-like proteins</t>
  </si>
  <si>
    <t>MUSSEL DREISSENA-POLYMORPHA; GLUTATHIONE-S-TRANSFERASE; RAINBOW-TROUT HEPATOCYTES; FRESH-WATER MUSSELS; SAGUENAY FJORD; MYA-ARENARIA; LIPID-PEROXIDATION; METALLOTHIONEIN; BIOMARKER; CANADA</t>
  </si>
  <si>
    <t>A biomarker study was undertaken using the Calico scallop Argopecten gibbus to assess the ecotoxicological effects of a semi-submerged municipal dump on the adjacent patch reef lagoon ecosystem (Castle harbour, Bermuda). Caged scallops were deployed in situ for 2 months at various distances from the dump (50 in, 900 m and 2.7 km) and at a reference site (14 km). A suite of biomarkers comprising metallothionein (MT), lipid peroxidation (LPO), vitellin-like proteins (Vn), glutathione S-transferase (GST), DNA strand breaks and condition factor (CF) were investigated in various tissues of the scallop (gill, digestive gland and gonad). Levels of heavy metals were also measured in the whole scallop soft tissue. While there was some variation in response between tissues, in general the results indicated that the dump was negatively impacting scallops deployed in the adjacent marine environment: elevated levels of MT, DNA strand breaks, Vn and GST and reduced condition factor were found for scallops deployed nearest to the dump and at the site 1.5 km from this point source of contamination (Tuckers town) in Castle harbour, with respect to the reference site, North Rock (although this exhibited some degree of metal contamination). The gills from scallops deployed at the dump site were the most responsive tissue, with the highest expression of MT, LPO and DNA damage. This study indicates the potential of the Calico scallop as a convenient bioindicator species in the marine tropical benthos. Crown Copyright (c) 2005 Published by Elsevier Ltd. All rights reserved.</t>
  </si>
  <si>
    <t>Environm Canada, St Lawrence Ctr, Montreal, PQ H2Y 2E7, Canada; Inst Natl St Publ Que, Ctr Toxicol, Ste Foy, PQ G1V 5B3, Canada</t>
  </si>
  <si>
    <t>Birches Lane, Dundalk, Louth, Ireland.</t>
  </si>
  <si>
    <t>quinnbrian@gmail.com</t>
  </si>
  <si>
    <t>Weber, Jason/KIJ-6396-2024; Quinn, Brian/E-9317-2013</t>
  </si>
  <si>
    <t>Quinn, Brian/0000-0002-4182-1118</t>
  </si>
  <si>
    <t>5-7</t>
  </si>
  <si>
    <t>10.1016/j.marpolbul.2005.07.019</t>
  </si>
  <si>
    <t>995BP</t>
  </si>
  <si>
    <t>WOS:000234075200006</t>
  </si>
  <si>
    <t>Wang, Z; Leung, KMY; Li, X; Zhang, T; Qiu, JW</t>
  </si>
  <si>
    <t>Wang, Zhi; Leung, Kenneth M. Y.; Li, Xinzheng; Zhang, Tong; Qiu, Jian-Wen</t>
  </si>
  <si>
    <t>Macrobenthic communities in Hong Kong waters: Comparison between 2001 and 2012 and potential link to pollution control</t>
  </si>
  <si>
    <t>8th International Conference on Marine Pollution and Ecotoxicology (ICMPE)</t>
  </si>
  <si>
    <t>JUN 20-24, 2016</t>
  </si>
  <si>
    <t>Hong Kong, HONG KONG</t>
  </si>
  <si>
    <t>Benthos; Bivalves; Hong Kong; Pollution; Polychaetes; Sediment</t>
  </si>
  <si>
    <t>SPATIOTEMPORAL CHANGES; MARINE MACROBENTHOS; SUBTROPICAL WATERS; COASTAL WATERS; TOLO HARBOR; RECOVERY; EUTROPHICATION; DYNAMICS; QUALITY; BENTHOS</t>
  </si>
  <si>
    <t>Macrobenthic communities in 2001 and 2012 were compared across the marine environment of Hong Kong based on sediment grab samples collected from 28 stations. CLUSTER analysis showed in both surveys that the stations could be divided into four groups at 20% faunal similarity. However, there were notable changes in the macrobenthic community structure between 2001 and 2012 in three focal areas of pollution control (i.e., Victoria Harbour, Deep Bay and Tolo Harbour). The potential link between macrobenthos and pollution abatement measures, and the contributions of environmental conditions to the differential responsiveness of macrobenthos were explored. Notably, a reduction in nutrient input to the eastern part of Victoria Harbour might have led to recovery of benthic communities therein.</t>
  </si>
  <si>
    <t>[Wang, Zhi; Qiu, Jian-Wen] Hong Kong Baptist Univ, Dept Biol, 224 Waterloo Rd, Kowloon, Hong Kong, Peoples R China; [Leung, Kenneth M. Y.] Univ Hong Kong, Sch Biol Sci, Swire Inst Marine Sci, Pokfulam Rd, Hong Kong, Hong Kong, Peoples R China; [Li, Xinzheng] Chinese Acad Sci, Inst Oceanol, Qingdao, Peoples R China; [Li, Xinzheng] Univ Chinese Acad Sci, Beijing 100029, Peoples R China; [Li, Xinzheng] Qingdao Natl Lab Marine Sci &amp; Technol, Lab Marine Biol &amp; Biotechnol, 1 Wenhai Rd, Qingdao 266071, Peoples R China; [Zhang, Tong] Univ Hong Kong, Dept Civil Engn, Pokfulam, Hong Kong, Peoples R China; [Qiu, Jian-Wen] City Univ Hong Kong, SKLMP, Kowloon, Hong Kong, Peoples R China</t>
  </si>
  <si>
    <t>Hong Kong Baptist University; University of Hong Kong; Chinese Academy of Sciences; Institute of Oceanology, CAS; Chinese Academy of Sciences; University of Chinese Academy of Sciences, CAS; Laoshan Laboratory; University of Hong Kong; City University of Hong Kong</t>
  </si>
  <si>
    <t>Qiu, JW (corresponding author), Hong Kong Baptist Univ, Dept Biol, 224 Waterloo Rd, Kowloon, Hong Kong, Peoples R China.</t>
  </si>
  <si>
    <t>qiujw@hkbu.edu.hk</t>
  </si>
  <si>
    <t>Wang, Zhi/GVS-7963-2022; Zhang, Tong/C-6786-2008; Leung, Kenneth Mei Yee/C-1055-2009</t>
  </si>
  <si>
    <t>Qiu, Jian-Wen/0000-0002-1541-9627; Li, Xinzheng/0000-0001-6344-6542; Leung, Kenneth Mei Yee/0000-0002-2164-4281; Zhang, Tong/0000-0003-1148-4322</t>
  </si>
  <si>
    <t>Research Grants Council via a Collaborative Research Fund [CRF HKU5/CRF/12G]</t>
  </si>
  <si>
    <t>Research Grants Council via a Collaborative Research Fund</t>
  </si>
  <si>
    <t>We thank the Agriculture, Fisheries and Conservation Department (AFCD) for permission to use the 2001 survey data collected by Paul Shin, and the Environmental Protection Department (EPD) for permission to use the 2012 survey data collected by Jian-Wen Qiu and Kenneth Leung and sediment monitoring data available on the department's website. Zhi Wang received a PhD studentship from a project supported by the Research Grants Council via a Collaborative Research Fund (project no. CRF HKU5/CRF/12G). The views expressed in this paper are those of the authors and may not necessarily reflect the views of the Hong Kong Special Administrative Region Government.</t>
  </si>
  <si>
    <t>10.1016/j.marpolbul.2017.04.026</t>
  </si>
  <si>
    <t>FP9JY</t>
  </si>
  <si>
    <t>WOS:000417964500016</t>
  </si>
  <si>
    <t>Microplastics influence physiological processes, growth and reproduction in the Manila clam, Ruditapes philippinarum</t>
  </si>
  <si>
    <t>Microplastics; Ruditapes philippinarum; Physiological process; Growth; Reproduction</t>
  </si>
  <si>
    <t>MYTILUS-EDULIS; POLYSTYRENE MICROPLASTICS; BIOCHEMICAL RESPONSES; FILTRATION-RATE; PLASTIC DEBRIS; ENERGY BUDGET; MUSSEL; EXPOSURE; BIVALVE; SCOPE</t>
  </si>
  <si>
    <t>Microplastics (&lt;5 mm) are widely distributed in marine environments and pose a serious threat to bivalves. Here, the ingestion and accumulation of polystyrene microplastics (PS microplastics, diameters 5 and 10 mu m) by the Manila clam, Ruditapes philippinarum, and their impacts on physiological processes, growth and reproduction were studied. The results showed that both PS microplastics were ingested by the Manila clam and accumulated in their gills, hepatopancreases and intestines. Furthermore, the accumulation of 5 and 10 mu m PS microplastics significantly increased the rates of respiration and excretion while significantly decreasing feeding and absorption efficiency (AE), leading to a dramatically reduced amount of energy available for growth (SfG) and ultimately led to slower growth. The dynamic energy budget (DEB) model predicts that PS microplastic exposure for 200 days would cause lower shell/flesh growth rates and reproductive potentiality. Transcriptomic profiles support these results, as carbon and protein metabolism and oxytocin and insulin-related signaling pathways were significantly altered in clams in response to PS microplastics. This study provides evidence that microplastics strongly affect the physiological activities, energy allocation, growth and reproduction of filter-feeding bivalves.</t>
  </si>
  <si>
    <t>[Jiang, Weiwei; Fang, Jinghui; Du, Meirong; Gao, Yaping; Fang, Jianguang; Jiang, Zengjie] Chinese Acad Fishery Sci, Yellow Sea Fisheries Res Inst, Minist Agr, Key Lab Sustainable Dev Marine Fisheries, Qingdao 266071, Peoples R China; [Jiang, Weiwei; Fang, Jinghui; Du, Meirong; Gao, Yaping; Fang, Jianguang; Jiang, Zengjie] Qingdao Pilot Natl Lab Marine Sci &amp; Technol, Lab Marine Fisheries Sci &amp; Food Prod Proc, Qingdao 266200, Peoples R China</t>
  </si>
  <si>
    <t>Jiang, ZJ (corresponding author), Chinese Acad Fishery Sci, Yellow Sea Fisheries Res Inst, Minist Agr, Key Lab Sustainable Dev Marine Fisheries, Qingdao 266071, Peoples R China.</t>
  </si>
  <si>
    <t>Natural Science Foundation of Shandong Province; Central Public-interest Scientific Institution Basal Research Fund, CAFS [2020TD50]; Young Taishan Scholars Program of Shandong Province [tsqn201909166]; China Agriculture Research System of MOF and MARA; Central Public-interest Scientific Institution Basal Research Fund, YSFRI, CAFS [20603022020012]; National Key R &amp; D Program of China [2019YFE0103800]</t>
  </si>
  <si>
    <t>Natural Science Foundation of Shandong Province(Natural Science Foundation of Shandong Province); Central Public-interest Scientific Institution Basal Research Fund, CAFS; Young Taishan Scholars Program of Shandong Province; China Agriculture Research System of MOF and MARA; Central Public-interest Scientific Institution Basal Research Fund, YSFRI, CAFS; National Key R &amp; D Program of China</t>
  </si>
  <si>
    <t>The research was supported by the Natural Science Foundation of Shandong Province (Energy metabolism of Manila clam, Ruditapes philippinarum responding to microplastics stress and its mechanism) , Central Public-interest Scientific Institution Basal Research Fund, CAFS (2020TD50) , Young Taishan Scholars Program of Shandong Province (tsqn201909166) , China Agriculture Research System of MOF and MARA, Central Public-interest Scientific Institution Basal Research Fund, YSFRI, CAFS (20603022020012) and National Key R &amp; D Program of China (2019YFE0103800) .</t>
  </si>
  <si>
    <t>10.1016/j.envpol.2021.118502</t>
  </si>
  <si>
    <t>YJ0OW</t>
  </si>
  <si>
    <t>WOS:000744239600003</t>
  </si>
  <si>
    <t>Bae, H; Lee, JH; Song, SJ; Park, J; Kwon, BO; Hong, S; Ryu, J; Choi, K; Khim, JS</t>
  </si>
  <si>
    <t>Bae, Hanna; Lee, Jung-Ho; Song, Sung Joon; Park, Jinsoon; Kwon, Bong-Oh; Hong, Seongjin; Ryu, Jongseong; Choi, Kyungsik; Khim, Jong Seong</t>
  </si>
  <si>
    <t>Impacts of environmental and anthropogenic stresses on macrozoobenthic communities in Jinhae Bay, Korea</t>
  </si>
  <si>
    <t>Spatiotemporal distribution; Ecological quality index; Sediment quality assessment; Marine pollution; Jinhae bay</t>
  </si>
  <si>
    <t>MARINE-SEDIMENTS; BIOTIC INDEXES; ORGANIC-MATTER; POLLUTION; WATERS; CONTAMINATION; PERFORMANCE; POLYCHAETA; SPIONIDAE; DISCHARGE</t>
  </si>
  <si>
    <t>In this study, spatiotemporal dynamics of macrofaunal assemblages and their associations with environmental conditions were examined in Jinhae Bay (10 sites), where the obvious sources of pollution including industries, oyster farms (hanging cultures), and municipal discharges has surrounded. The survey had performed over five consecutive seasons in 2013-2014. Target sedimentary variables included grain size, organic content, C/N ratio, carbon and nitrogen stable isotope ratios, and some heavy metals. Five ecological quality indices (EcoQ) were calculated from the benthic community data to evaluate ecological qualities in site-specific manner. Jinhae Bay is a shallow (depths range, 11-24 m) and typical semi -enclosed bay. The benthic environments represented mud dominated bottoms (&gt;70%) with fairly substantial organic content levels (&gt;2%) over all five seasons. Seasonal patterns were observed with peak abundances in the spring and distinctive macrozoobenthos species shifts in the summer. The spring bloom could be explained by drastic increases of some polychaetes, mainly Capitella sp., at certain site, particularly near the shore. The oyster farms situated in the innermost locations seem to provide organic rich bottoms being dominated by opportunistic species and/or organic pollution indicator species, such as Lumbrineris longifolia, Capitella sp., and Paraprionospio patiens. In general, the EcoQ indicators indicated that Jinhae Bay was moderately polluted, with exceptionally poor EcoQ in a few locations during the specific season(s). Overall, adverse effects on benthic community was broadly attributable to contaminations of heavy metals and nearby aquatic farm activities in Jinhae Bay, which requires a prompt action toward ecosystem-based management practice in the given area. (C) 2016 Elsevier Ltd. All rights reserved.</t>
  </si>
  <si>
    <t>[Bae, Hanna; Song, Sung Joon; Kwon, Bong-Oh; Choi, Kyungsik; Khim, Jong Seong] Seoul Natl Univ, Sch Earth &amp; Environm Sci, 1 Gwanak Ro, Seoul 08826, South Korea; [Bae, Hanna; Song, Sung Joon; Kwon, Bong-Oh; Choi, Kyungsik; Khim, Jong Seong] Seoul Natl Univ, Res Inst Oceanog, 1 Gwanak Ro, Seoul 08826, South Korea; [Lee, Jung-Ho; Ryu, Jongseong] Anyang Univ, Dept Marine Biotechnol, Incheon, South Korea; [Park, Jinsoon] Natl Marine Biodivers Inst Korea, Seocheon, South Korea; [Hong, Seongjin] Chungnam Natl Univ, Dept Ocean Environm Sci, Daejeon, South Korea</t>
  </si>
  <si>
    <t>Seoul National University (SNU); Seoul National University (SNU); Anyang University; Marine Biodiversity Institute of Korea (MABIK); Chungnam National University</t>
  </si>
  <si>
    <t>Khim, JS (corresponding author), Seoul Natl Univ, Sch Earth &amp; Environm Sci, 1 Gwanak Ro, Seoul 08826, South Korea.;Khim, JS (corresponding author), Seoul Natl Univ, Res Inst Oceanog, 1 Gwanak Ro, Seoul 08826, South Korea.</t>
  </si>
  <si>
    <t>jskocean@snu.ac.kr</t>
  </si>
  <si>
    <t>Hong, Seongjin/AAO-8503-2020; Khim, Jong Seong/AAD-3054-2020; Park, Jinsoon/AAI-1904-2020; Hong, Seongjin/B-5933-2013</t>
  </si>
  <si>
    <t>Hong, Seongjin/0000-0002-6305-8731; Khim, Jong Seong/0000-0001-7977-0929; Choi, Kyungsik/0000-0002-4723-1397; Kwon, Bong-Oh/0000-0002-1057-437X; Park, Jinsoon/0000-0003-1588-4673; Song, Sung Joon/0000-0001-6177-2723</t>
  </si>
  <si>
    <t>project entitled Investigation of Spatial and Temporal Characteristics of Coastal Environments in the Vicinity of the LNG Receiving Terminal (Tongyeong and Samcheok) - Korea Gas Corporation; project entitled Integrated Management of Marine Environment and Ecosystems Around Saemangeum - Ministry of Oceans and Fisheries of Korea (MOF) [2014-0257]; project entitled Development of Integrated Estuarine Management System - Ministry of Oceans and Fisheries of Korea (MOF) [2014-0431]</t>
  </si>
  <si>
    <t>project entitled Investigation of Spatial and Temporal Characteristics of Coastal Environments in the Vicinity of the LNG Receiving Terminal (Tongyeong and Samcheok) - Korea Gas Corporation; project entitled Integrated Management of Marine Environment and Ecosystems Around Saemangeum - Ministry of Oceans and Fisheries of Korea (MOF); project entitled Development of Integrated Estuarine Management System - Ministry of Oceans and Fisheries of Korea (MOF)</t>
  </si>
  <si>
    <t>This work was supported by the projects entitled Investigation of Spatial and Temporal Characteristics of Coastal Environments in the Vicinity of the LNG Receiving Terminal (Tongyeong and Samcheok) funded by the Korea Gas Corporation and Integrated Management of Marine Environment and Ecosystems Around Saemangeum (2014-0257) and Development of Integrated Estuarine Management System (2014-0431) funded by the Ministry of Oceans and Fisheries of Korea (MOF) granted to JR and JSK.</t>
  </si>
  <si>
    <t>10.1016/j.chemosphere.2016.12.112</t>
  </si>
  <si>
    <t>EK4XL</t>
  </si>
  <si>
    <t>WOS:000393931100079</t>
  </si>
  <si>
    <t>Jin, YY; Wang, JC; Li, XZ; Hu, Y; Han, Y; Zhang, YX; Wu, YB; Lei, ZQ; Lu, DD</t>
  </si>
  <si>
    <t>Jin, Yuanyuan; Wang, Jiachen; Li, Xuzhu; Hu, Ying; Han, Yong; Zhang, Yongxian; Wu, Yubiao; Lei, Ziqiang; Lu, Dedai</t>
  </si>
  <si>
    <t>Biomimetic and Multifunctional Polypeptides for Green Leather Processing: Design, Preparation, and Properties</t>
  </si>
  <si>
    <t>polypeptides; Cr3+-free tanning agent; fatliquoring agent; retanning agent; ring-openingpolymerization</t>
  </si>
  <si>
    <t>TANNING PROCESS; CHROMIUM UPTAKE; TANNED LEATHER; DOPA; HYDROGELS; PROTEIN; ENHANCEMENT; ADHESIVE; VI</t>
  </si>
  <si>
    <t>Chrome tanning is the most widely used method in the leather industry; however, the resulting chromium residue causes great harm to both the environment and humans. Inspired by mussel adhesive proteins, a series of Cr3+-free, multifunctional, environment-friendly, and amphiphilic poly[L-epsilon-N-oleoyl lysine-b-(l-threonine-ran-L-DOPA)]s (POLTD) were synthesized and employed as leather tanning agents with fatliquoring and filling effects. These well-degradable polypeptides could determine the hydrothermal stability and mechanical properties of the leathers by different monomer ratios and average molecular weights. Through the orthogonal optimizations of polymer structures and tanning process parameters, results show that POLTD effectively increases the shrinkage temperature of leathers to about 40 degrees C higher than that of hides, up to 73.5 degrees C, and thickens the leathers by about 30%. While combined with tanning, POLTD synergies well with Cr3+ and Al3+ tanning agents; it not only enhances the absorption and reduces the usage amount of metal tanning agents as well as water pollution, but also improves leather performances, such as the poor washability of Al(3+-)treated leathers. Coincidentally, POLTD further fills and liquefies the leather collagen fibers in retanning processes and improves the properties of chrome tanning leathers. These findings provide a simple, nonpollution, and environmentally friendly application of polypeptide materials to meet the related technologies toward eco-friendly leather manufacture.</t>
  </si>
  <si>
    <t>[Jin, Yuanyuan; Wang, Jiachen; Li, Xuzhu; Hu, Ying; Han, Yong; Lei, Ziqiang; Lu, Dedai] Northwest Normal Univ, Coll Chem &amp; Chem Engn, Key Lab Polymer Mat Gansu Prov, Key Lab Ecoenvironm Related Polymer Mat,Minist Edu, Lanzhou 730070, Peoples R China; [Zhang, Yongxian] Gansu Res Inst Light Ind Co Ltd, Lanzhou 730030, Peoples R China; [Wu, Yubiao] Baiyin Puruite Chem Co Ltd, Baiyin 730999, Peoples R China</t>
  </si>
  <si>
    <t>Northwest Normal University - China</t>
  </si>
  <si>
    <t>Lu, DD (corresponding author), Northwest Normal Univ, Coll Chem &amp; Chem Engn, Key Lab Polymer Mat Gansu Prov, Key Lab Ecoenvironm Related Polymer Mat,Minist Edu, Lanzhou 730070, Peoples R China.</t>
  </si>
  <si>
    <t>ludedai@nwnu.edu.cn</t>
  </si>
  <si>
    <t>Wu, Yu-Biao/IZQ-3575-2023</t>
  </si>
  <si>
    <t>Northwest Normal University [21865029, 22265028]; National Natural Science Foundation of China [2018[99]]; West Light Foundation of the Chinese Academy of Sciences [NWNU-LKQN-16-2]; Innovation Team Project of NWNU; Ministry of Education and Key Laboratory of Eco-environmental Polymer Materials of Gansu Province</t>
  </si>
  <si>
    <t>Northwest Normal University; National Natural Science Foundation of China(National Natural Science Foundation of China (NSFC)); West Light Foundation of the Chinese Academy of Sciences(Chinese Academy of Sciences); Innovation Team Project of NWNU; Ministry of Education and Key Laboratory of Eco-environmental Polymer Materials of Gansu Province</t>
  </si>
  <si>
    <t>This work was supported in part by the National Natural Science Foundation of China (Nos. 21865029 and 22265028), West Light Foundation of the Chinese Academy of Sciences (2018[99]), and Innovation Team Project of NWNU(NWNU-LKQN-16-2). We also thank Key Laboratory of Eco-Functional Polymer Materials of the Ministry of Education and Key Laboratory of Eco-environmental Polymer Materials of Gansu Province for financial support.</t>
  </si>
  <si>
    <t>APR 24</t>
  </si>
  <si>
    <t>10.1021/acsapm.4c00789</t>
  </si>
  <si>
    <t>RL9H7</t>
  </si>
  <si>
    <t>WOS:001227932600001</t>
  </si>
  <si>
    <t>Deep, SS; Nasnodkar, MR</t>
  </si>
  <si>
    <t>Deep, Sarang S.; Nasnodkar, Maheshwar Ramakant</t>
  </si>
  <si>
    <t>Metal speciation in sediments and bioaccumulation in edible bivalves to assess metal toxicity in a sand mining impacted tropical (Aghanashini) estuary, southern India</t>
  </si>
  <si>
    <t>Bioavailability; Metal accumulation; Ecotoxicology; Anthropogenic activity; Estuary</t>
  </si>
  <si>
    <t>ECOLOGICAL RISK-ASSESSMENT; HEAVY-METALS; GEOCHEMICAL SPECIATION; TRACE-ELEMENTS; WEST-COAST; SURFACE SEDIMENTS; ZUARI ESTUARY; MARINE; BIOAVAILABILITY; EXTRACTION</t>
  </si>
  <si>
    <t>The study aims to understand the metal toxicity through the relationship between bioavailability in sediments and bioaccumulation in edible bivalves in an estuary subjected to extensive sand mining. The higher deposition of total Fe, Mn, Ni and Zn in the middle region (core M) was ascribed to estuarine processes and proximity to anthropogenic sources. EF revealed moderate to severe enrichment of Ni and Cu in sediments. Igeo showed moderate degree of pollution from Co, moderate to strong pollution from Ni and strong to extreme level of pollution from Cu. In core N, the average bioavailable concentration of Fe, Mn, Zn, Cu, Co and Ni was 1.76 %, 43.18 %, 59.14 %, 62.11 %, 60.42 % and 27.33 % respectively. The average bioavailable concentration of Fe (61.23 %), Mn (56.87 %), Cu (67.98 %), Co (69.77 %) and Ni (40.99 %) was higher in the core M as compared to core N except for Zn (56.98 %). The significant (&gt;25.00 %) proportion of metals in bioavailable fractions in cores N and M construed their non-natural sources. Metal speciation study indicated bioavailability to fauna that likely to enhance by extensive sand mining. The level of Fe, Mn, Zn, Cu and Ni in Saccostrea cucullate, Meretrix casta and Villorita cyprinoides revealed toxicity to bivalves and probably to humans.</t>
  </si>
  <si>
    <t>[Deep, Sarang S.; Nasnodkar, Maheshwar Ramakant] Goa Univ, Sch Earth Ocean &amp; Atmospher Sci, Marine Sci, Taleigao 403206, Goa, India</t>
  </si>
  <si>
    <t>Nasnodkar, MR (corresponding author), Goa Univ, Sch Earth Ocean &amp; Atmospher Sci, Marine Sci, Taleigao 403206, Goa, India.</t>
  </si>
  <si>
    <t>10.1016/j.marpolbul.2023.115455</t>
  </si>
  <si>
    <t>GY4N9</t>
  </si>
  <si>
    <t>WOS:001156224000001</t>
  </si>
  <si>
    <t>BEBIANNO, MJ</t>
  </si>
  <si>
    <t>EFFECTS OF POLLUTANTS IN THE RIA-FORMOSA-LAGOON, PORTUGAL</t>
  </si>
  <si>
    <t>RIA FORMOSA LAGOON; PORTUGAL; MOLLUSCEAN SHELLFISH; BIVALVES; ANTHROPOGENIC POLLUTANTS</t>
  </si>
  <si>
    <t>MYTILUS-GALLOPROVINCIALIS; CADMIUM; INDUCTION</t>
  </si>
  <si>
    <t>The Ria Formosa is a most significant area from the point of view of fisheries, particularly with respect to the culture of molluscean shellfish. Eighty percent of the bivalves (e.g. cross-cut carpet shell, Venerupis decussata) harvested in Portugal come from this area. There are in this coastal lagoon rapidly increasing levels of anthropogenic releases of contaminants transported by untreated sewage and industrial and agriculture effluents. High levels of bacteria, nutrients, metals and organochlorine compounds were detected in the water column as well as suspended solids and sediments in several areas of the lagoon, mainly in the areas surrounding the main cities. Some of these pollutants have been accumulating in the tissues of several bivalve species. The accumulation of these pollutants along with the increase in temperature over the summer resulted in deleterious effects on these species some of which became unsafe for human consumption. These anthropogenic releases together with an ineffective clam harvest practice resulted in a massive clam mortality. This mortality generally occurs after summer and bivalve production has shown a significant decrease in the past 5 years with a negative impact on the economy of the region. Along with held experiments, laboratory studies have been carried out to investigate the biological effects of sublethal concentrations of some of these pollutants in the most commercially important species harvested in the region.</t>
  </si>
  <si>
    <t>BEBIANNO, MJ (corresponding author), UNIV ALGARVE,CAMPUS GAMBELAS,P-8000 FARO,PORTUGAL.</t>
  </si>
  <si>
    <t>10.1016/0048-9697(95)04672-9</t>
  </si>
  <si>
    <t>WOS:A1995TB23600014</t>
  </si>
  <si>
    <t>Santos-Echeandía, J; Zeler, A; Gago, J; Lacroix, C</t>
  </si>
  <si>
    <t>Santos-Echeandia, Juan; Zeler, Aurore; Gago, Jesus; Lacroix, Camille</t>
  </si>
  <si>
    <t>The role of cigarette butts as vectors of metals in the marine environment: Could it cause bioaccumulation in oysters?</t>
  </si>
  <si>
    <t>TRACE-ELEMENTS; FILTER; MICROPLASTICS; ASSOCIATION; DEGRADATION; MECHANISM; POLLUTION; CADMIUM; PELLETS; WASTE</t>
  </si>
  <si>
    <t>Tobacco is a well-documented threat to human health. However, its environmental impact has only recently been considered. Metals can interact with cigarette butts (CBs) being transported in the marine environment and reaching organisms. To understand this mechanism, a series of metal(loid)s were analyzed in cigarette filters (virgin, artificially smoked, leached in seawater and aged in beach and harbour) as well as in artificially contaminated oyster tissues. Smoked filters showed higher levels of metals compared to the virgin ones showing enrichment factors up to 90, probably associated with tobacco metal content. Once the CBs are delivered to the environment, metals can be leached to seawater until reaching equilibrium, which may be dependent on initial metal levels in the water. Copper was the element with the highest percentage of desorption (91 +/- 3%) while strontium showed the lowest percentage (40 +/- 0%). CBs revealed a great capacity to accumulate metals from the environment when weathered in contaminated areas. A chemical impact derived from CBs contamination might exist as they serve as a carrier for metals in the marine environment. The release of metals from CBs or the ingestion of metal loaded CBs may pose a toxicological risk for marine organisms via accumulation in their tissues.</t>
  </si>
  <si>
    <t>[Santos-Echeandia, Juan; Gago, Jesus] Inst Espanol Oceanog, Ctr Oceanog Vigo, Subida Radio Faro,5052, Vigo 36390, Spain; [Zeler, Aurore; Lacroix, Camille] Ctr Documentat Res &amp; Expt Accid Water Pollut, 715 rue Alain Colas,CS 41836, F-29218 Brest 2, France</t>
  </si>
  <si>
    <t>Santos-Echeandía, J (corresponding author), Inst Espanol Oceanog, Ctr Oceanog Vigo, Subida Radio Faro,5052, Vigo 36390, Spain.</t>
  </si>
  <si>
    <t>juan.santos@ieo.es</t>
  </si>
  <si>
    <t>Santos Echeandia, Juan/HMD-1503-2023; Gago, Jesus/N-6786-2019</t>
  </si>
  <si>
    <t>SANTOS-ECHEANDIA, JUAN/0000-0001-9101-7307; Gago, Jesus/0000-0003-0188-9844</t>
  </si>
  <si>
    <t>CleanAtlantic Project: Tackling Marine Litter in the Atlantic Area from the 2016 Interreg Atlantic Area Call [EAPA_46/2016]; Spanish State Research Agency (AEI); Ministry of Science, Innovation and Universities (MICIU) (MICIU/AEI/FEDER, EU) [CTM2017-90890-REDT]</t>
  </si>
  <si>
    <t>CleanAtlantic Project: Tackling Marine Litter in the Atlantic Area from the 2016 Interreg Atlantic Area Call; Spanish State Research Agency (AEI)(Spanish Government); Ministry of Science, Innovation and Universities (MICIU) (MICIU/AEI/FEDER, EU)</t>
  </si>
  <si>
    <t>This study has been carried out in the framework of the CleanAtlantic Project: Tackling Marine Litter in the Atlantic Area from the 2016 Interreg Atlantic Area Call (EAPA_46/2016) . It only reflects the authors view, thus the Atlantic Area Programme authorities are not liable for any use that may be made of the information contained therein. The authors acknowledge Fernando Schultze for his help during sample digestion for trace metal analyses and are grateful to Leticia Vidal, Lucia Solino and Patricia Perez for their help with the grammar and English style. The authors also acknowledge the financial support from the Spanish State Research Agency (AEI) and the Ministry of Science, Innovation and Universities (MICIU) to support the Thematic Network of Excellence (NET4SEA) on emerging contaminants in marine settings (CTM201790890REDT, MICIU/AEI/FEDER, EU) .</t>
  </si>
  <si>
    <t>10.1016/j.jhazmat.2021.125816</t>
  </si>
  <si>
    <t>SW8JI</t>
  </si>
  <si>
    <t>WOS:000664760300003</t>
  </si>
  <si>
    <t>BROWN, CL; LUOMA, SN</t>
  </si>
  <si>
    <t>USE OF THE EURYHALINE BIVALVE POTAMOCORBULA-AMURENSIS AS A BIOSENTINEL SPECIES TO ASSESS TRACE-METAL CONTAMINATION IN SAN-FRANCISCO BAY</t>
  </si>
  <si>
    <t>POTAMOCORBULA AMURENSIS; BIOSENTINEL; TRACE METALS; SAN FRANCISCO BAY; SIZE; GUT CONTENT; VARIABILITY</t>
  </si>
  <si>
    <t>MUSSEL MYTILUS-EDULIS; MACOMA-BALTHICA; HEAVY-METALS; INHERENT VARIABILITY; SCROBICULARIA-PLANA; REMARKABLE INVASION; AQUATIC ORGANISMS; INDICATOR; CADMIUM; POLLUTION</t>
  </si>
  <si>
    <t>Potamocorbula amurensis was assessed as a biosentinel species in San Francisco Bay, California, USA. Uptake of metal in both the laboratory and field showed that P. amurensis was sufficiently responsive to Ag, Cd, Cr, Ni and V to detect environmental differences in exposure; It was less suitable as an indicator of Cu and Zn contamination. Concentration factors for P. amurensis were: Ag, 386 000; Cd, 50 200; Cr, 36 600; Cu, 12 200; Ni, 5200; and Zn, 115 500. Samples were collected from 6 stations throughout the bay at near-monthly intervals from January 1991 to March 1992. Variability within a collection was influenced by gut content and animal size. Other sources of variability were time [coefficient of variation (CV) = 10 to 21%], small-scale spatial variability (within 3 km, CV = 10 to 25%), and large-scale spatial variability (CV = 3.3 to 12.4%). Depuration for 48 h was necessary to mitigate bias from gut content. Precision was improved by analyzing large numbers of individuals (60 to 120) separated into several (5 to 14) composites at each collection and by determining, from regression, the mean and variance for samples with significant correlations between metal concentration and shell length. Repeated monthly sampling increased the accuracy of long-term site characterizations. Temporal variability was small because of drought. The grand means of the concentrations of Ag, Cd, Cr, Ni, and V in the tissues of P. amurensis at each station for the 15 mo period revealed persistent contamination from industrialized Suisun Bay to the mouth of San Francisco Bay. Demonstration of responsiveness, precision and accuracy should be a prerequisite for the optimal use of biosentinels.</t>
  </si>
  <si>
    <t>BROWN, CL (corresponding author), US GEOL SURVEY, 345 MIDDLEFIELD RD, MAIL STOP 465, MENLO PK, CA 94025 USA.</t>
  </si>
  <si>
    <t>10.3354/meps124129</t>
  </si>
  <si>
    <t>WOS:A1995RW86700011</t>
  </si>
  <si>
    <t>Baraj, B; Niencheski, LF; Corradi, C</t>
  </si>
  <si>
    <t>Trace metal content trend of mussel Perna perna (Linnaeus, 1758) from the Atlantic Coast of Southern Brazil</t>
  </si>
  <si>
    <t>AAS; Atlantic Ocean; metals; Perna perna; Southern Brazil</t>
  </si>
  <si>
    <t>MYTILUS-EDULIS; HEAVY-METALS; BAY</t>
  </si>
  <si>
    <t>The concentration assessment of Hg, Pb, Cd, Cu, Zn, Cr, Mn and Fe in marine mussels Perna perna, sampled at 15 stations along the 800 km Southern Brazilian Coast, has been carried out. Samplings were taken twice, in summer and winter of 2000. The concentrations found were lower than similar studies carried out along the Central Coast of Brazil and lower than the maximum limits permitted in bivalve molluscs designated for human consumption ( Brazilian, Spanish and Luxembourg legislation sets). The data also showed lower values compared with other regions of the world. The comparison of present data with the data obtained 10 years ago at the same stations did not show significant differences, consequently the concentrations found could be used as baseline values.</t>
  </si>
  <si>
    <t>Fdn Univ Rio Grande, Lab Hidroquim, Rio Grande, RS, Brazil</t>
  </si>
  <si>
    <t>Universidade Federal do Rio Grande</t>
  </si>
  <si>
    <t>Niencheski, LF (corresponding author), Fdn Univ Rio Grande, Lab Hidroquim, Rio Grande, RS, Brazil.</t>
  </si>
  <si>
    <t>Niencheski, Luis/D-4199-2013</t>
  </si>
  <si>
    <t>Baraj, Besnik/0009-0002-7786-6489</t>
  </si>
  <si>
    <t>10.1023/A:1023614822121</t>
  </si>
  <si>
    <t>WOS:000182709500015</t>
  </si>
  <si>
    <t>GALGANI, F; BOCQUENE, G; TRUQUET, P; BURGEOT, T; CHIFFOLEAU, JF; CLAISSE, D</t>
  </si>
  <si>
    <t>MONITORING OF POLLUTANT BIOCHEMICAL EFFECTS ON MARINE ORGANISMS OF THE FRENCH COASTS</t>
  </si>
  <si>
    <t>RAINBOW-TROUT; CYTOCHROME-P-450 ISOZYMES; MONOOXYGENASE ACTIVITY; STENOTOMUS-CHRYSOPS; ACETYLCHOLINESTERASE; TOXICITY; ORGANOPHOSPHATES; METALLOTHIONEIN; CHOLINESTERASE; INHIBITION</t>
  </si>
  <si>
    <t>The establishment of a network to assess pollutant effects is a current concern of international bodies such as the North Sea Task Force, the International Council for the Exploration of the Sea and the Intergovernmental Oceanographic Commission. With respect to the French coasts, three major considerations have been defined : the choice of monitoring areas ; the determination of a target species according to different criteria such as wide distribution, limited migration and contact with pollutant-rich sediments; and the selection of suitable parameters. This paper concerns the strategy adopted for the French coast. Ethoxyresorufin-O-deethylase, a specific cytochrome P450-dependent monooxygenase, measured by a simple microplate assay, was selected as an indicator of polyaromatic hydrocarbon and polychlorobiphenyl effects in Callionymus lyra and Limanda limanda in measurements conducted in the Seine Bay. Assessment of metallothionein in oysters in the Gironde Estuary indicated the absence of induction along a cadmium contamination gradient. Acetylcholinesterase was selected to measure the effects of organophosphorus and carbamates in Mytilus edulis along the French coasts and in Limanda limanda and Pleuronectes platessa from the Seine Bay. The results clearly demonstrate the feasibility of studying such parameters in the field and provide the scientific and technical basis for a network for the monitoring of pollutant effects along the French coasts.</t>
  </si>
  <si>
    <t>GALGANI, F (corresponding author), IFREMER, CTR NANTES, RUE ILE YEU, BP 1049, F-44037 NANTES 01, FRANCE.</t>
  </si>
  <si>
    <t>JU566</t>
  </si>
  <si>
    <t>WOS:A1992JU56600004</t>
  </si>
  <si>
    <t>Bayen, S; Lee, HK; Obbard, JP</t>
  </si>
  <si>
    <t>Bayen, Stephane; Lee, Hian Kee; Obbard, Jeffrey Philip</t>
  </si>
  <si>
    <t>Exposure and response of aquacultured oysters, Crassostrea gigas, to marine contaminants</t>
  </si>
  <si>
    <t>oysters; aquaculture; persistent organic pollutants; chambering effect; South-east Asia</t>
  </si>
  <si>
    <t>PERSISTENT ORGANIC POLLUTANTS; PACIFIC OYSTER; PCB ACCUMULATION; GREEN MUSSEL; HEAVY-METALS; BAY; VIRGINICA; THUNBERG; DEPURATION; PESTICIDES</t>
  </si>
  <si>
    <t>Comparative growth rates were monitored in the Pacific oyster, Crassostrea gigas, at two sites in Singapore, one uncontaminated and the other contaminated with respect to ambient seawater quality. Growth rates differed significantly at the two sites, revealing that marine water quality can have potentially adverse effects for the oyster aquaculture industry in Singapore. Shell abnormalities (chambering) were observed for juvenile and mature oysters at the contaminated site. Water quality parameters including temperature, salinity, dissolved oxygen, total organic carbon and chlorophyll-a were essentially similar at both sites. Differences in the levels of tributyl tin detected in soft tissues were not observed, but significant differences in the burden of persistent organic pollutants (POPs) existed between the two sites. On a positive note, the effects of pollution on oysters were found to be reversible, where transplantation of individuals to the uncontaminated site resulted in the ability of C gigas to recover in terms of growth rate and the burden of bioaccumulated POPs. (c) 2006 Elsevier Inc. All rights reserved.</t>
  </si>
  <si>
    <t>Univ Geneva, Chim Analyt &amp; Biophys Chim Environm, CH-1211 Geneva 4, Switzerland; Natl Univ Singapore, Dept Chem, Singapore 177543, Singapore; Natl Univ Singapore, Trop Marine Sci Inst, Singapore 110223, Singapore</t>
  </si>
  <si>
    <t>University of Geneva; National University of Singapore; National University of Singapore</t>
  </si>
  <si>
    <t>Bayen, S (corresponding author), Univ Geneva, Chim Analyt &amp; Biophys Chim Environm, 30 Quai Ernest Ansermet, CH-1211 Geneva 4, Switzerland.</t>
  </si>
  <si>
    <t>stephane.bayen@cabe.unige.ch</t>
  </si>
  <si>
    <t>Lee, Hian Kee/0000-0002-5664-9509; Bayen, Stephane/0000-0002-9935-6685</t>
  </si>
  <si>
    <t>10.1016/j.envres.2006.06.012</t>
  </si>
  <si>
    <t>145ZB</t>
  </si>
  <si>
    <t>WOS:000244903200011</t>
  </si>
  <si>
    <t>Worboys, MA; Leung, KMY; Grist, EPM; Crane, M</t>
  </si>
  <si>
    <t>Time should be considered in developmental ecotoxicity test</t>
  </si>
  <si>
    <t>CRASSOSTREA-VIRGINICA; AMERICAN OYSTER; LARVAE; EMBRYOS; COPPER; TOXICITY; CADMIUM; STRESS; METALS; GROWTH</t>
  </si>
  <si>
    <t>Developmental toxicity tests are often used for the hazard assessment of chemicals and environmental media. One of the most widely used is the oyster embryo larval test (OEL), in which the development of oyster larvae is arrested at a single fixed time (e.g. 24 or 48 h) of toxic exposure, and the proportion of normal larvae measured. However, a major problem with this conventional approach is the lack of information on temporal trends in development. In this study, Pacific oyster Crassostica gigas embryos were exposed to nominal concentrations of copper (CuSO4) of &lt;0.001 (control), 0.60, 1.25, 2.5, 5.0, 10.0 and 20.0 mug l(-1) (at 20 degreesC, salinity 35%, and pH 8.1). Three replicates from each group were arrested and examined every 8 h during 24-72 h of exposure, and the number of viable larvae developed to D-shape was determined. The results revealed that the number of viable D-shape larvae in the control increased rapidly and reached an optimum at 32 li, before declining gradually due to starvation. Analysis of covariance (ANCOVA) showed that larval developmental rates during 0-32 h were significantly inhibited by Cu at all concentrations. This paper demonstrates that arrest and measurement at different time periods are important and should be incorporated into the OEL test. This would maximise the sensitivity of the test in detecting developmental effects in spiked or environmental samples. (C) 2002 Elsevier Science Ltd. All rights reserved.</t>
  </si>
  <si>
    <t>Univ Hong Kong, Swire Inst Marine Sci, Hong Kong, Hong Kong, Peoples R China; Univ Hong Kong, Dept Ecol &amp; Biodivers, Hong Kong, Hong Kong, Peoples R China; Univ London Royal Holloway &amp; Bedford New Coll, Sch Biol Sci, Egham TW20 0EX, Surrey, England</t>
  </si>
  <si>
    <t>University of Hong Kong; University of Hong Kong; University of London; Royal Holloway University London</t>
  </si>
  <si>
    <t>Univ Hong Kong, Swire Inst Marine Sci, Hong Kong, Hong Kong, Peoples R China.</t>
  </si>
  <si>
    <t>PII S0025-326X(02)00116-9</t>
  </si>
  <si>
    <t>10.1016/S0025-326X(02)00116-9</t>
  </si>
  <si>
    <t>WOS:000178336300012</t>
  </si>
  <si>
    <t>Fogelson, SB; Rikard, FS; Brady, Y; Wallace, RK</t>
  </si>
  <si>
    <t>Fogelson, Susan B.; Rikard, F. Scott; Brady, Yolanda; Wallace, Richard K.</t>
  </si>
  <si>
    <t>HISTOPATHOLOGY OF THE DIGESTIVE TISSUES AND WHOLE-BODY ANAEROBIC BACTERIA COUNTS OF THE EASTERN OYSTER, CRASSOSTREA VIRGINICA, AFTER EXPERIMENTAL EXPOSURE TO ANOXIA</t>
  </si>
  <si>
    <t>Crassostrea virginica; oyster; anoxia; histology; digestive tubule; bacteria</t>
  </si>
  <si>
    <t>ACUTE INFLAMMATORY REACTION; PACIFIC OYSTER; GIGAS THUNBERG; MOBILE-BAY; HYPOXIA; RESPONSES; ALABAMA; TUBULE; SETTLEMENT; SURVIVAL</t>
  </si>
  <si>
    <t>The Eastern oyster, Crassostrea virginica, is a sensitive bio-indicator of environmental changes ranging from tidal flux to heavy-metal pollution. Extreme fluctuations in dissolved oxygen levels are well documented in Mobile Bay, AL. Extended periods of low dissolved oxygen occurring during the summer months have been shown to cause oyster mortality. The current study examined the effects of anoxia on tubule morphology of the digestive gland in the Eastern oyster as well as the quantity and quality of whole-body anaerobic bacteria counts. Oysters were exposed to anoxic conditions (&lt;0.1 mg/L O(2)) at 28 degrees C in a laboratory setting and sampled at 0 h (preexposure), 24 h, 48 h, and 60 h, and after a 4-wk recovery interval. The whole-body anaerobic bacteria count for test oysters (Mean = 1.11 X 10(6) cfu/mL) from the 60-h interval was significantly higher than counts for the preexposure oysters, 24-h, and 48-h experimental intervals. The most common bacteria isolated were Clostridium sp. Histological examination of oysters exposed to anoxic conditions indicated stress in the digestive gland. Changes in shape and size of digestive tubule epithelial cells occurred, as well as sloughing of secretory absorptive cells into the digestive tubule lumen. Necrosis and inflammation composed of aggregates of hemocytes along with bacterial infiltration into digestive tissue was noted in oysters exposed to anoxic conditions. Digestive tubule lumen ratios of oysters sampled after a 60-h exposure to anoxia were increased significantly in comparison with preexposure oysters. Digestive tubule lumen ratios returned to preexposurc morphology after a 4-wk week recovery period. Oysters have the ability to regenerate digestive gland tissue if environmental conditions return to normal. These findings indicate that anoxia exposure at summer temperatures contributes to digestive gland atrophy and necrosis in C. virginica. The combination of digestive gland atrophy, necrosis, and bacterial infiltration into digestive tissues suggests that oysters may be succumbing to infection during periods of anoxic stress.</t>
  </si>
  <si>
    <t>[Fogelson, Susan B.; Brady, Yolanda] Auburn Univ, Dept Fisheries &amp; Allied Aquacultures, Auburn, AL 36849 USA; [Rikard, F. Scott] Auburn Univ, Shellfish Lab, Dauphin Isl, AL 36528 USA; [Wallace, Richard K.] Auburn Univ, Marine Extens &amp; Res Ctr, Mobile, AL 36615 USA</t>
  </si>
  <si>
    <t>Auburn University System; Auburn University; Auburn University System; Auburn University; Auburn University System; Auburn University</t>
  </si>
  <si>
    <t>Fogelson, SB (corresponding author), Auburn Univ, Dept Fisheries &amp; Allied Aquacultures, 203 Swingle Hall, Auburn, AL 36849 USA.</t>
  </si>
  <si>
    <t>fogelsb@ufl.edu</t>
  </si>
  <si>
    <t>10.2983/035.030.0305</t>
  </si>
  <si>
    <t>876WO</t>
  </si>
  <si>
    <t>WOS:000299138700005</t>
  </si>
  <si>
    <t>Szefer, P; Frelek, K; Szefer, K; Lee, CB; Kim, BS; Warzocha, J; Zdrojewska, I; Ciesielski, T</t>
  </si>
  <si>
    <t>Distribution and relationships of trace metals in soft tissue, byssus and shells of Mytilus edulis trossulus from the southern Baltic</t>
  </si>
  <si>
    <t>trace metals; Mytilus edulis; soft tissue; shells; byssus; southern Baltic</t>
  </si>
  <si>
    <t>COMMON MUSSEL; HEAVY-METALS; BLUE MUSSEL; MERCURY CONCENTRATIONS; SCANDINAVIAN WATERS; FUCUS-VESICULOSUS; ESTUARINE WATERS; NORTHWEST COAST; KYUSHU-ISLAND; EAST-COAST</t>
  </si>
  <si>
    <t>Concentrations of Hg, Cd, Pb, Ag, Cu, Zn, Cr, Ni, Co, Mn, and Fe in soft tissues, shells and byssus of blue mussel (Mytilus edulis trossulus) from 23 sites along the Polish coast of the Baltic Sea were determined by AAS method. Byssus, as compared with the soft tissue, concentrated more effectively Pb, Cu, Cr, and especially Ag, Ni, Mn and Fe, moderately Hg and Zn and less effectively Cd. Significant inter-regional and inter-size differences in metal concentrations in both soft tissues and byssus were recorded. Highly significant correlations (P&lt;0.01, P&lt;0.05) were observed between tissue and byssal concentrations of Cd, Pb, Ni and Ag. Factor analysis showed clear separation of both the tissue and byssi samples based on their geographic distribution, possibly reflecting a different rate of deposition of clay minerals at the head of the Pomeranian Bay and the Gulf of Gdansk. The Pomeranian Bay differs from the Gulf of Gdansk in respect to geological structure of bottom sediments as a substrata for the M. edulis trossulus as well as in rotation to various sources of metallic pollutants. From the data obtained in the present study and those reported previously the soft tissue and especially byssus of H. edulis, in contrast to shells, appear to be a significantly better bioindicator for identification of coastal areas exposed to metallic contaminants. (C) 2002 Elsevier Science Ltd. All rights reserved.</t>
  </si>
  <si>
    <t>Med Univ Gdansk, Dept Food Sci, PL-80416 Gdansk, Poland; Sea Fisheries Res Inst, PL-81332 Gdynia, Poland; Seoul Natl Univ, Dept Oceanog, Seoul 151742, South Korea; Med Univ Gdansk, Dept Analyt Chem, PL-80416 Gdansk, Poland</t>
  </si>
  <si>
    <t>Fahrenheit Universities; Medical University Gdansk; Seoul National University (SNU); Fahrenheit Universities; Medical University Gdansk</t>
  </si>
  <si>
    <t>pszef@farmacja.amg.gda.pl</t>
  </si>
  <si>
    <t>Zdrojewska, Izabela/LEM-6258-2024; Lee, Claire/ISB-7475-2023; Ciesielski, Tomasz/J-9039-2012</t>
  </si>
  <si>
    <t>Zdrojewska, Izabela/0009-0006-4620-8159; Ciesielski, Tomasz Maciej/0000-0001-7509-1662</t>
  </si>
  <si>
    <t>PII S0269-7491(02)00111-2</t>
  </si>
  <si>
    <t>10.1016/S0269-7491(02)00111-2</t>
  </si>
  <si>
    <t>WOS:000178582800032</t>
  </si>
  <si>
    <t>Azevedo, JS; Sarkis, JES; Hortellani, MA; Ladle, RJ</t>
  </si>
  <si>
    <t>Azevedo, J. S.; Sarkis, J. E. S.; Hortellani, M. A.; Ladle, R. J.</t>
  </si>
  <si>
    <t>Are Catfish (Ariidae) Effective Bioindicators for Pb, Cd, Hg, Cu and Zn?</t>
  </si>
  <si>
    <t>Bioindicators; Metals; Pollution monitoring; Estuaries; Cathorops; Brazil</t>
  </si>
  <si>
    <t>TRACE-METALS; OREOCHROMIS-NILOTICUS; HEAVY-METALS; FISH; POLLUTION; CONTAMINATION; MERCURY; MUSSEL; ZINC; BAY</t>
  </si>
  <si>
    <t>Ariidae catfish species are numerically abundant along the coast of Brazil. Their benthic habits and broad spectrum diets make them good potential candidates for sub-lethal biomonitoring studies. In this study, we assess the levels of various metal contaminants (Pb, Cd, Hg, Cu and Zn) in the muscle tissues of two Ariidae species, Cathorops spixii and Genidens genidens, from three sites in So Paulo State, Southeast Brazil: two polluted sites in the Santos-So Vicente estuary and a relatively unpolluted site in the Canan,ia estuary. The Zn levels observed in the polluted areas in the Santos-So Vicente estuary were similar to those obtained for Ariidae from the reference site in Canan,ia. The concentrations of Hg and Cu in the muscle tissue of both fish species were higher in individuals from the Santos-So Vicente than those from the Canan,ia estuary. Both Ariidae species were observed to accumulate the Cu, Zn and Hg in their tissues; however C. spixii showed a more stable response suggesting its potential utility as a bioindicator species. The Zn and Cu concentrations probably reflect normal levels without a significant influence of anthropogenic contamination. The levels of Cd and Pb in muscle tissue of C. spixii and G. genidens were relatively low, but the PCA indicated the presence of the levels of these metals in the reference area (thereby supporting the need for monitoring in Canan,ia estuary). The detection of Hg in fish from Santos-So Vicente and from the unpolluted site (Canan,ia) is of particular concern as scientists frequently use this area as a reference site for biomonitoring studies on the Southwest coast of Brazil.</t>
  </si>
  <si>
    <t>[Azevedo, J. S.; Sarkis, J. E. S.; Hortellani, M. A.] Inst Energy &amp; Nucl Res, Ctr Chem &amp; Environm, Sao Paulo, Brazil; [Ladle, R. J.] Univ Fed Alagoas, Inst Biol Sci &amp; Hlth, Maceio, Alagoas, Brazil; [Ladle, R. J.] Univ Oxford, Sch Geog &amp; Environm, Oxford, England</t>
  </si>
  <si>
    <t>Comissao Nacional de Energia Nuclear (CNEN); Instituto de Pesquisas Energeticas e Nucleares (IPEN); Universidade Federal de Alagoas; University of Oxford</t>
  </si>
  <si>
    <t>Azevedo, JS (corresponding author), Inst Energy &amp; Nucl Res, Ctr Chem &amp; Environm, Av Prof Lineu Prestes,2242,Cidade Univ, Sao Paulo, Brazil.</t>
  </si>
  <si>
    <t>julianaazevedo_1978@yahoo.com.br</t>
  </si>
  <si>
    <t>Azevedo, Juliana/AAQ-8209-2020; Hortellani, Marcos/E-2241-2012; Ladle, Richard/E-4228-2014; de Souza Sarkis, Jorge Eduardo/D-5266-2012; Azevedo, Juliana/D-6348-2012</t>
  </si>
  <si>
    <t>Ladle, Richard/0000-0003-3200-3946; de Souza Sarkis, Jorge Eduardo/0000-0002-6745-8185; Azevedo, Juliana/0000-0002-8231-9669</t>
  </si>
  <si>
    <t>Sao Paulo Foundation for Research Support-FAPESP [2008/58261-6]; Institute of Energy and Nuclear Research</t>
  </si>
  <si>
    <t>Sao Paulo Foundation for Research Support-FAPESP(Fundacao de Amparo a Pesquisa do Estado de Sao Paulo (FAPESP)); Institute of Energy and Nuclear Research</t>
  </si>
  <si>
    <t>The authors would like to thank the Sao Paulo Foundation for Research Support-FAPESP for the postdoc fellowship to J.S. Azevedo (Process 2008/58261-6)-and the Institute of Energy and Nuclear Research for supporting this research.</t>
  </si>
  <si>
    <t>10.1007/s11270-012-1160-2</t>
  </si>
  <si>
    <t>985OO</t>
  </si>
  <si>
    <t>WOS:000307276400028</t>
  </si>
  <si>
    <t>ANTIOXIDANT AND DETOXIFICATION RESPONSES OF OYSTERS CRASSOSTREA HONGKONGENSIS IN A MULTIMETAL-CONTAMINATED ESTUARY</t>
  </si>
  <si>
    <t>Pearl River Estuary; Toxic metals; Biomarker; Antioxidant; Detoxification</t>
  </si>
  <si>
    <t>SCALLOP CHLAMYS-NOBILIS; BIVALVE UNIO-TUMIDUS; SYDNEY ROCK OYSTER; OXIDATIVE STRESS; SACCOSTREA-GLOMERATA; METAL ACCUMULATION; DIGESTIVE GLAND; HEAVY-METALS; MYTILUS-GALLOPROVINCIALIS; CADMIUM ACCUMULATION</t>
  </si>
  <si>
    <t>The contaminated oysters discovered in the Pearl River Estuary (Guangdong province, China) contained high levels of metals in their tissues, especially Cu and Zn, indicating that this large and densely urbanized estuary in Southern China suffers from serious metal pollution. The present study aimed to investigate the impacts of multimetal pollution in the Pearl River Estuary on oyster antioxidant and detoxification systems. The responses of various biochemical biomarkers in the ecologically important oyster Crassostrea hongkongensis collected from 7 sites in the Pearl River Estuary were quantified. Significant correlations were demonstrated between the accumulation of Cu and Zn and oxidative stress (lipid peroxidation) and oxidative stress defenses (catalase, glutathione peroxidase) in the oyster gills. Significant correlations between the accumulation of Cd and Cu and detoxification (glutathione and glutathione transferase) in the gills were also documented. Interestingly, metallothionein concentrations were positively correlated with Cd, but negatively correlated with Cu, Ni, and Zn concentrations in the gills. These measurements indicated that Cu in the Pearl River Estuary induced various biochemical responses in the oysters and influenced the susceptibility of oysters to environmental stress. The present study has provided the first evidence of antioxidant and detoxification responses in native contaminated oysters from a field environment seriously contaminated by metals. Coupling biomarkers with tissue metal concentration measurements was a promising approach to identify the metals causing biological impacts in a multimetal-contaminated estuary. (C) 2016 SETAC</t>
  </si>
  <si>
    <t>The present study was supported by a Key Project from the National Natural Science Foundation (21237004), and a General Research Fund grant from the Hong Kong Research Grants Council (662813). We thank the anonymous reviewers for their helpful comments.</t>
  </si>
  <si>
    <t>10.1002/etc.3455</t>
  </si>
  <si>
    <t>EA2XU</t>
  </si>
  <si>
    <t>WOS:000386461000018</t>
  </si>
  <si>
    <t>Spann, N; Harper, EM; Aldridge, DC</t>
  </si>
  <si>
    <t>Spann, Nicole; Harper, Elizabeth M.; Aldridge, David C.</t>
  </si>
  <si>
    <t>The unusual mineral vaterite in shells of the freshwater bivalve Corbicula fluminea from the UK</t>
  </si>
  <si>
    <t>NATURWISSENSCHAFTEN</t>
  </si>
  <si>
    <t>Vaterite; Biomineralisation; Shell formation; Corbicula fluminea; Shell deformation</t>
  </si>
  <si>
    <t>CALCIUM-CARBONATE; RIVER YARE; HEAVY-METALS; SPATIAL-DISTRIBUTION; AQUEOUS-SOLUTION; ARAGONITE; CRYSTALS; NORFOLK; BROADS; GROWTH</t>
  </si>
  <si>
    <t>Asian clams (Corbicula fluminea) with abnormally thickened shell valves were found in four rivers in the UK (Rivers Yare, Waveney, Thames and New Bedford River). The material making up these malformations was the rare calcium carbonate polymorph vaterite. Vaterite is seldom found in the natural environment because it is less stable than the other calcium carbonate polymorphs (aragonite and calcite). In the few reported cases of vaterite formation in molluscs, it is usually related to unusual biomineralisation events such as shell regeneration, pearls and initial stages of shell formation. We compared two populations from the Rivers Yare and Waveney in the Norfolk Broads, UK, one (River Waveney) displaying dominantly the normal Corbicula shell form with aragonitic shells. In the River Yare population, all individuals sampled had shell deformations to different extents. These deformations were apparent as bulges on the inside of the ventral shell margin. X-ray diffraction confirmed that the shell material in the bulges of recently collected clams was vaterite. Other parts of the deformed shells were aragonitic. The shell deformations alter the shell morphology, leading to higher and wider shells. The shell microstructure is fibrous in the vateritic parts and crossed-lamellar in the aragonitic parts of deformed or non-deformed shells. The cause for the malformations is probably a disrupted biomineralisation process in the bivalves. Fossil Corbicula specimens from the late Pleistocene had similar deformations, suggesting that this is not a response to anthropogenic causes, such as pollution.</t>
  </si>
  <si>
    <t>[Spann, Nicole; Aldridge, David C.] Univ Cambridge, Dept Zool, Cambridge CB2 3EJ, England; [Harper, Elizabeth M.] Univ Cambridge, Dept Earth Sci, Cambridge CB2 3EQ, England</t>
  </si>
  <si>
    <t>University of Cambridge; University of Cambridge</t>
  </si>
  <si>
    <t>Spann, N (corresponding author), Univ Cambridge, Dept Zool, Downing St, Cambridge CB2 3EJ, England.</t>
  </si>
  <si>
    <t>nicole.spann@web.de</t>
  </si>
  <si>
    <t>Harper, Elizabeth/B-3890-2008</t>
  </si>
  <si>
    <t>Aldridge, David/0000-0001-9067-8592; Spann, Nicole/0000-0001-7497-9491</t>
  </si>
  <si>
    <t>Biotechnology and Biological Sciences Research Council; Cambridge European Trust; Balfour Fund</t>
  </si>
  <si>
    <t>Biotechnology and Biological Sciences Research Council(UK Research &amp; Innovation (UKRI)Biotechnology and Biological Sciences Research Council (BBSRC)); Cambridge European Trust; Balfour Fund</t>
  </si>
  <si>
    <t>The authors want to thank the staff from the Broads Authority, especially Dr. Dan Hoare, for their invaluable support during the sampling period. We are also very grateful to Philine zu Ermgassen, Dr. Paul Elliott, Derek Howlett, Roy Baker and Robert Winkler who helped with the collection of the specimens and Max Frenzel who helped search the fossil collections. Dr. John Taylor facilitated the use of the collections at the Natural History Museum (London). We want to thank Tony Abrahams for running the XRD samples and Dudley Simons for the beautiful photographs used in Fig. 1. Four anonymous reviewers greatly helped to improve the manuscript. Nicole Spann was supported by Ph. D. studentships from the Biotechnology and Biological Sciences Research Council, the Cambridge European Trust and the Balfour Fund. The experiments reported in this manuscript comply with the laws of the UK.</t>
  </si>
  <si>
    <t>0028-1042</t>
  </si>
  <si>
    <t>1432-1904</t>
  </si>
  <si>
    <t>Naturwissenschaften</t>
  </si>
  <si>
    <t>10.1007/s00114-010-0692-9</t>
  </si>
  <si>
    <t>630LE</t>
  </si>
  <si>
    <t>WOS:000280273800006</t>
  </si>
  <si>
    <t>Romero-Ruiz, A; Alhama, J; Blasco, J; Gómez-Ariza, JL; López-Barea, J</t>
  </si>
  <si>
    <t>Romero-Ruiz, Antonio; Alhama, Jose; Blasco, Julian; Luis Gomez-Ariza, Jose; Lopez-Barea, Juan</t>
  </si>
  <si>
    <t>New metallothionein assay in Scrobicularia plana: Heating effect and correlation with other biomarkers</t>
  </si>
  <si>
    <t>Bivalve molluscs; Metals; Reversed-phase high performance liquid; chromatography; Fluorescence detection; Donana National Park; Guadalquivir Estuary; Aznalcollar pyrite mine</t>
  </si>
  <si>
    <t>MUSSEL MYTILUS-GALLOPROVINCIALIS; GUADALQUIVIR ESTUARY; BIOCHEMICAL BIOMARKERS; LIPID-PEROXIDATION; OXIDATIVE STRESS; HEAVY-METALS; POLLUTION; INDUCTION; QUANTIFICATION; BIOACCUMULATION</t>
  </si>
  <si>
    <t>Metallothionein (MT) and other biomarker levels were measured in Scrobicularia piano clams to assess pollution of the Guadalquivir Estuary possibly affected by metals released from Aznalcollar pyrite mine in 1998. After optimizing reagent concentrations for monobromobimane derivatization, MT levels were quantified by reversed-phase high-performance liquid chromatography coupled to fluorescence detection (RP-HPLC-FD) in heated or unheated digestive gland extracts and compared to those obtained by differential pulse polarography (DPP). MT content assayed by RP-HPLC-FD in unheated samples was higher than that obtained by DPP and correlated better with metals and anti-oxidant activities. MT assay by RP-HPLC-FD in unheated extracts would be preferable for assessing metal pollution, due to its greater sensitivity and specificity. In addition to MT induction, glyoxalase II inhibition was well correlated with metal contents. Our results suggest that metals at the estuary do not originate from Aznalcollar spill, but from those carried along by the river and deposited at its concave bank. (C) 2008 Elsevier Ltd. All rights reserved.</t>
  </si>
  <si>
    <t>[Romero-Ruiz, Antonio; Alhama, Jose; Lopez-Barea, Juan] Univ Cordoba, Dept Biochem &amp; Mol Biol, Cordoba, Spain; [Blasco, Julian] CSIC, Andalusia Inst Marine Sci, Cadiz, Spain; [Luis Gomez-Ariza, Jose] Univ Huelva, Dept Chem &amp; Mat Sci, Huelva, Spain</t>
  </si>
  <si>
    <t>Universidad de Cordoba; Consejo Superior de Investigaciones Cientificas (CSIC); Universidad de Huelva</t>
  </si>
  <si>
    <t>Alhama, J (corresponding author), S Ochoa Bldg,Rabanales Campus,Highway A4,Km 396A, Cordoba 14071, Spain.</t>
  </si>
  <si>
    <t>Romero-Ruiz, Antonio/ABF-2083-2020; Blasco, Julian/A-5319-2008; Alhama-Carmona, Jose/H-6379-2015; Gomez-Ariza, Jose Luis/G-5525-2015; Romero Ruiz, Antonio/H-7107-2015; Lopez-Barea, Juan/K-7258-2014</t>
  </si>
  <si>
    <t>Blasco, Julian/0000-0002-9750-383X; Alhama-Carmona, Jose/0000-0002-3931-263X; Gomez-Ariza, Jose Luis/0000-0001-7997-7444; Romero Ruiz, Antonio/0000-0002-7651-9402; Lopez-Barea, Juan/0000-0002-2280-3379</t>
  </si>
  <si>
    <t>Spanish Ministry of Education and Science [CMT2006-08960-CO2]; Donana 2005 Program; Andalusian Research Plan [CVI-151, FQM-141]</t>
  </si>
  <si>
    <t>Spanish Ministry of Education and Science(Spanish Government); Donana 2005 Program; Andalusian Research Plan</t>
  </si>
  <si>
    <t>This work was funded by grant CMT2006-08960-CO2 from the Spanish Ministry of Education and Science, a grant from the Donana 2005 Program, and grants CVI-151 and FQM-141 from the Andalusian Research Plan. A.R.-R. had a predoctoral fellowship from the Spanish Ministry of Education and Science.</t>
  </si>
  <si>
    <t>10.1016/j.envpol.2008.02.022</t>
  </si>
  <si>
    <t>383MW</t>
  </si>
  <si>
    <t>WOS:000261678700097</t>
  </si>
  <si>
    <t>Falfushynska, H; Gnatyshyna, L; Yurchak, I; Ivanina, A; Stoliar, O; Sokolova, I</t>
  </si>
  <si>
    <t>Falfushynska, H.; Gnatyshyna, L.; Yurchak, I.; Ivanina, A.; Stoliar, O.; Sokolova, I.</t>
  </si>
  <si>
    <t>Habitat pollution and thermal regime modify molecular stress responses to elevated temperature in freshwater mussels (Anodonta anatina: Unionidae)</t>
  </si>
  <si>
    <t>Mollusks; Heating; Oxidative stress; Metabolism; Metallothioneins; Apoptosis</t>
  </si>
  <si>
    <t>MYTILUS-GALLOPROVINCIALIS; BIOCHEMICAL MARKERS; LACTATE-DEHYDROGENASE; GLUTATHIONE DISULFIDE; DREISSENA-POLYMORPHA; ENVIRONMENTAL-STRESS; LYSOSOMAL-ENZYMES; OXIDATIVE STRESS; HEALTH-STATUS; BIOMARKERS</t>
  </si>
  <si>
    <t>Elevated temperature and pollution are common stressors in freshwater ecosystems. We study cellular stress response to acute warming in Anodonta anatina (Unionidae) from sites with different thermal regimes and pollution levels: a pristine area and an agriculturally polluted site with normal temperature regimes (F and A, respectively) and a polluted site with elevated temperature (N) from the cooling pond of an electrical power plant. Animals were exposed to different temperatures for 14 days and stress response markers were measured in gills, digestive gland and hemocytes. Mussels from site N and A had elevated background levels of lactate dehydrogenase activity indicating higher reliance on anaerobic metabolism for ATP production and/or redox maintenance. Exposure to 25 degrees C and 30 degrees C induced oxidative stress (indicated by elevated levels of lipid peroxidation products) in digestive gland and gills of mussels from A and F sites, while in mussels from N sites elevated oxidative stress was only apparent at 30 degrees C. Temperature-induced changes in levels of antioxidants (superoxide dismutase, metallothioneins and glutathione) were tissue- and population-specific. Acute warming led to destabilization of lysosomal membranes and increased frequencies of nuclear lesions in mussels from F and A sites but not in their counterparts from N site. Elevated temperature led to an increase in the frequency of micronuclei in hemocytes in mussels from F and A sites at 25 degrees C and 30 degrees C and in mussels from N site at 30 degrees C. The mussels from N site also demonstrated better survival at elevated temperature (30 degrees C) than their counterparts from the F and A sites. Taken together, these data indicate that long-term acclimation and/or adaptation of A. anatina to elevated temperatures result in increased thermotolerance and alleviate stress response to moderate temperature rise. In contrast, extreme warming (30 degrees C) is harmful to mussels from all populations indicating limit to this induced thermotolerance. Published by Elsevier B.V.</t>
  </si>
  <si>
    <t>[Falfushynska, H.; Gnatyshyna, L.; Yurchak, I.; Stoliar, O.] Temopil Natl Pedag Univ, Res Lab Comparat Biochem &amp; Mol Biol, UA-46027 Ternopol, Ukraine; [Ivanina, A.; Sokolova, I.] Univ N Carolina, Dept Biol Sci, Charlotte, NC 28223 USA</t>
  </si>
  <si>
    <t>Sokolova, I (corresponding author), Univ N Carolina, Dept Biol Sci, 9207 Univ City Blvd, Charlotte, NC 28223 USA.</t>
  </si>
  <si>
    <t>Gnatyshyna, Lesya/AAA-6868-2021; Gnatyshyna, Lesya/M-7993-2015; Sokolova, Inna/B-4955-2009; Stoliar, Oksana/I-7397-2018; Falfushynska, Halina/B-6518-2015</t>
  </si>
  <si>
    <t>Gnatyshyna, Lesya/0000-0002-5205-1585; Sokolova, Inna/0000-0002-2068-4302; Stoliar, Oksana/0000-0002-8579-2881; Falfushynska, Halina/0000-0003-3058-4919</t>
  </si>
  <si>
    <t>Ministry of Education and Science of Ukraine [125B]; State Agency of Science, Innovation and Informatization of Ukraine [M/78-2014]; State Fund of Fundamental Research [GF/056/017]; U.S. Civilian Research and Development Foundation (CRDF) Cooperative Grants Program [UKB1-7109-TE-13]; Faculty Research Grant of UNC Charlotte</t>
  </si>
  <si>
    <t>Ministry of Education and Science of Ukraine; State Agency of Science, Innovation and Informatization of Ukraine; State Fund of Fundamental Research; U.S. Civilian Research and Development Foundation (CRDF) Cooperative Grants Program; Faculty Research Grant of UNC Charlotte</t>
  </si>
  <si>
    <t>This work was supported by the Ministry of Education and Science of Ukraine (#125B, O.B.S.), the State Agency of Science, Innovation and Informatization of Ukraine (#M/78-2014,O.B.S.), the State Fund of Fundamental Research (GF/056/017), the U.S. Civilian Research and Development Foundation (CRDF) Cooperative Grants Program award (UKB1-7109-TE-13) to O.B.S. and I.M.S., and by the Faculty Research Grant of UNC Charlotte to I.M.S. The authors are grateful to State Agency of Environment Protection and State Agency of Fishery Supervision in Ternopil Region for the technical assistance.</t>
  </si>
  <si>
    <t>10.1016/j.scitotenv.2014.08.112</t>
  </si>
  <si>
    <t>AU6OX</t>
  </si>
  <si>
    <t>WOS:000345723100034</t>
  </si>
  <si>
    <t>Yam, RSW; Fan, YT; Tan, ZH; Wang, TD; Chiu, CY</t>
  </si>
  <si>
    <t>Yam, Rita S. W.; Fan, Yen-Tzu; Tan, Zhehan; Wang, Tzu-Dan; Chiu, Chiu-Yu</t>
  </si>
  <si>
    <t>Assessing Impacts of Metallic Contamination along the Tidal Gradient of a Riverine Mangrove: Multi-metal Bioaccumulation and Biomagnification of Filter-Feeding Bivalves</t>
  </si>
  <si>
    <t>FORESTS</t>
  </si>
  <si>
    <t>metal burden; bioindicator; bioaccumulation; biomagnification; urbanized estuary; mangroves</t>
  </si>
  <si>
    <t>ECOLOGICAL RISK-ASSESSMENT; HEAVY-METALS; TRACE-ELEMENTS; SEDIMENT; ESTUARY; ACCUMULATION; BAY; SALINITY; WATER; ECOSYSTEMS</t>
  </si>
  <si>
    <t>Most riverine mangroves (characterized by salinity fluctuations and tidal inundations), are seriously threatened by metallic pollution. Whether differences in salinity and tidal effects along the river continuum can affect metallic bioaccumulation and the biomagnification of species is still unknown. Bivalves are representative sessile inhabitants in mangrove ecosystems, with a high capacity to bioaccumulate metallic contaminants. The present study used two bivalves,Meretrix lusoriaandMytilopsis sallei, to monitor inter-site changes in metallic contamination and assess the associated ecological impacts along the tidal gradients of riverine mangroves. The concentrations of a total of six metals (Cr, Ni, Cu, Zn, Cd and Pb) inM. lusoriaandM. sallei, collected at three different sites along Danshuei Riverine Mangrove, were investigated. The metallic concentrations of the whole soft body of the studied bivalves, and the associated surface sediment from each site, were analyzed using inductively coupled plasma mass spectrometry (ICP-MS) to determine the inter-site effects on the bioaccumulation and biomagnification of metallic contaminants in bivalves. There are increasing concentrations of four metallic contaminants, Zn, Cr, Cd and Cu, in the seaward direction of the bivalves. The increasing mean metallic concentrations along the seaward direction may be the effect of salinity, further decreasing the rate of the elimination of these metals, thus resulting in a net increase in metallic contaminants. Our results clearly show prominent inter-site changes in the metallic burdens of bivalves in our study on riverine mangrove ecosystems associated with different levels of bioaccumulation and biomagnification of metallic contaminants. Thus, it is important to monitor multiple sites along the dynamic environment of riverine mangroves in order to gain a good understanding of the ecological impact of metallic pollution risks. The present findings provide important evidence of the use of simple indices to assess the ecological impacts of metallic pollution in riverine mangroves.</t>
  </si>
  <si>
    <t>[Yam, Rita S. W.; Fan, Yen-Tzu; Tan, Zhehan; Wang, Tzu-Dan] Natl Taiwan Univ, Dept Bioenvironm Syst Engn, Taipei 10617, Taiwan; [Chiu, Chiu-Yu] Acad Sinica, Biodivers Res Ctr, Taipei 11529, Taiwan</t>
  </si>
  <si>
    <t>Yam, RSW (corresponding author), Natl Taiwan Univ, Dept Bioenvironm Syst Engn, Taipei 10617, Taiwan.</t>
  </si>
  <si>
    <t>ritayam@ntu.edu.tw; d02622007@ntu.edu.tw; r04622035@ntu.edu.tw; r04622044@ntu.edu.tw; bochiu@sinica.edu.tw</t>
  </si>
  <si>
    <t>Fan, Yen-Tzu/0000-0002-3383-2570; Chiu, Chih-Yu/0000-0002-6842-1253; Yam, Rita S.W./0000-0001-8304-0320</t>
  </si>
  <si>
    <t>Ministry of Science and Technology, Taiwan [MOST 105-2313-B-002-027-MY3, MOST 107-2621-M-001-001-, MOST 108-2621-M-002-014]</t>
  </si>
  <si>
    <t>This research was funded by the Ministry of Science and Technology, Taiwan: MOST 105-2313-B-002-027-MY3, MOST 107-2621-M-001-001-, MOST 108-2621-M-002-014.</t>
  </si>
  <si>
    <t>1999-4907</t>
  </si>
  <si>
    <t>Forests</t>
  </si>
  <si>
    <t>10.3390/f11050504</t>
  </si>
  <si>
    <t>Forestry</t>
  </si>
  <si>
    <t>MB6UE</t>
  </si>
  <si>
    <t>WOS:000542736000045</t>
  </si>
  <si>
    <t>Li, JY; Pan, LQ; Miao, JJ</t>
  </si>
  <si>
    <t>Li, Jiaying; Pan, Luqing; Miao, Jingjing</t>
  </si>
  <si>
    <t>Using digital gene expression profile to detect representational difference of Chlamys farreri genes after laboratory exposure to persistent organic pollutants</t>
  </si>
  <si>
    <t>GENES &amp; GENOMICS</t>
  </si>
  <si>
    <t>Chlamys farreri; Persistent organic pollutant; Gene expression profiling; Toxic response; Bioinformatics analysis</t>
  </si>
  <si>
    <t>CLAM RUDITAPES-PHILIPPINARUM; RNA-SEQ DATA; OXIDATIVE STRESS; IV COLLAGEN; CRASSOSTREA-GIGAS; REFERENCE GENOME; IMMUNE DEFENSE; DNA-DAMAGE; IDENTIFICATION; TRANSCRIPTOME</t>
  </si>
  <si>
    <t>Chlamys farreri (C. farreri), as an economic species of marine bivalves, can tolerate manifold anthropogenic stressors including persistent organic pollutants (POPs) stress. A systematic study of transcriptome after POPs exposure may provide insights into the mechanism of acquired pollution tolerance. In this study, we compared C. farreri transcriptome by reanalyzing DGE (digital gene expression) data from previous study. Our results revealed a toxicant-dependent pattern of global transcriptional responses, with 108, 126 and 138 DEGs regulated by BaP, TBBPA and PAHs cocktail (mixed by benzo(a)pyrene, benz(a)anthracene, benzo(b)fluoranthene and chrysene with the ratio of 5:3:1:1) exposure, respectively. Among these DEGs, 219 were commonly regulated by all pollutants, whereas the minority of differences were condition-specific. In addition, we performed the first hierarchical cluster analysis of the common transcripts throughout three types of contaminants stress ulteriorly, leading to new discoveries of genes' association information with dynamical gene expression data of C. farreri, which goes beyond the focus on individuals. It revealed a cascade of gene expression patterns in the response of C. farreri to different environmental stresses and may be beneficial for further analysis of novel environmental metrics.</t>
  </si>
  <si>
    <t>[Li, Jiaying; Pan, Luqing; Miao, Jingjing] Ocean Univ China, Key Lab Mariculture, Minist Educ, Qingdao 266003, Peoples R China</t>
  </si>
  <si>
    <t>Li, Jiaying/0000-0002-2648-9946</t>
  </si>
  <si>
    <t>Provincial Science and Technology Key Project of Shandong [2008GG1005010]</t>
  </si>
  <si>
    <t>Provincial Science and Technology Key Project of Shandong</t>
  </si>
  <si>
    <t>This work was supported by Provincial Science and Technology Key Project of Shandong (Research Grant No. 2008GG1005010). The authors appreciate all the help from team members at the Laboratory of Environmental Physiology of Aquatic Animal.</t>
  </si>
  <si>
    <t>1976-9571</t>
  </si>
  <si>
    <t>2092-9293</t>
  </si>
  <si>
    <t>GENES GENOM</t>
  </si>
  <si>
    <t>Genes Genom.</t>
  </si>
  <si>
    <t>10.1007/s13258-015-0360-8</t>
  </si>
  <si>
    <t>Biochemistry &amp; Molecular Biology; Biotechnology &amp; Applied Microbiology; Genetics &amp; Heredity</t>
  </si>
  <si>
    <t>DF3MJ</t>
  </si>
  <si>
    <t>WOS:000371248000003</t>
  </si>
  <si>
    <t>Sanchez-Marin, P; Schultze, F; Besada, V</t>
  </si>
  <si>
    <t>Sanchez-Marin, Paula; Schultze, Fernando; Besada, Victoria</t>
  </si>
  <si>
    <t>Use of limpets as alternative to mussels in metal pollution monitoring; application in the Canary Islands</t>
  </si>
  <si>
    <t>Patella; Mytilus; Bioaccumulation; Biomonitoring</t>
  </si>
  <si>
    <t>PATELLA-SPP. MOLLUSCA; TRACE-ELEMENTS; WILD MUSSELS; BIOACCUMULATION; GASTROPODA; TENERIFE; CADMIUM; VULGATA; COPPER; CONTAMINATION</t>
  </si>
  <si>
    <t>Metal pollution monitoring programs make use of organisms, such as mussels, as biomonitors to evaluate and compare the metal pollution status of coastal areas worldwide. Despite the widespread distribution of mussels of the genus Mytilus, there are places where these organisms are absent or where their abundance is insufficient for biomonitoring purposes, such as in the Canary Islands (Spain). This study considers the use of limpets of the genus Patella as alternative/complementary species in metal pollution monitoring, and compares the bioaccumulation capacity of mussels and limpets collected simultaneously during several sampling campaigns at 11 sampling sites along the continental Spanish Atlantic coastline. Results show that there are some differences in bioaccumulation capacity between limpets and mussels, with limpets showing in average higher concentrations of Cd, Cr, Ni, As and Cu, and lower concentrations of Zn, while concentrations of Hg and Pb were similar for both types of organisms. Significant correlations between metal concentration in mussels and limpets were found for most metals, with the notable exception of Cd, that showed a very different bioaccumulation pattern in both types of organisms. Limpet to mussel metal concentration ratios were derived that can be used to compare the results of metal biomonitoring using either limpets or mussels, and limpets were successfully used in a monitoring survey in the Canary Islands.</t>
  </si>
  <si>
    <t>[Sanchez-Marin, Paula; Schultze, Fernando; Besada, Victoria] Ctr Oceanog Vigo IEO CSIC, Subida Radio Faro 50, Vigo 36390, Spain</t>
  </si>
  <si>
    <t>Sanchez-Marin, P (corresponding author), Ctr Oceanog Vigo IEO CSIC, Subida Radio Faro 50, Vigo 36390, Spain.</t>
  </si>
  <si>
    <t>paula.sanchez@ieo.csic.es</t>
  </si>
  <si>
    <t>; Sanchez Marin, Paula/B-7567-2013; Besada, Victoria/H-4532-2015</t>
  </si>
  <si>
    <t>SCHULTZE, FERNANDO/0000-0002-0710-8191; Sanchez Marin, Paula/0000-0001-6466-0284; Besada, Victoria/0000-0003-2039-6498</t>
  </si>
  <si>
    <t>10.1016/j.envpol.2022.119614</t>
  </si>
  <si>
    <t>2M7SL</t>
  </si>
  <si>
    <t>WOS:000817894800007</t>
  </si>
  <si>
    <t>Roméo, M; Frasila, C; Gnassia-Barelli, M; Damiens, G; Micu, D; Mustata, G</t>
  </si>
  <si>
    <t>Biomonitoring of trace metals in the Black Sea (Romania) using mussels Mytilus galloprovincialis</t>
  </si>
  <si>
    <t>biomonitoring; trace metals; Black Sea; Romania; mussels</t>
  </si>
  <si>
    <t>CADMIUM; EDULIS; ZINC; TROSSULUS; WATERS; CD</t>
  </si>
  <si>
    <t>In a preliminary biomonitoring study, accumulated trace metal concentrations (Cd, Cu, Zn, Hg, Fe, Mn) have been measured in the mussel Mytilus galloprovincialis collected in the Black Sea, at 100km from the Danube Delta in February 2001 and February 2002. Mussels were collected from four sites. In 2001 metal concentrations were determined in the whole soft body whereas, in 2002, the distribution of metals was evaluated in three different organs (gills, visceral mass and remaining tissues). The results obtained in 2002 confirmed those of 2001. For a given site, concentrations were always higher in the gills and visceral mass of mussels than in the remaining tissues. Principal component analysis allowed separating stations as a function of the metal concentrations in the organs. It is concluded that the mussels M. galloprovincialis are suitable biomonitors to assess changes in metal pollution in this coastal area of the Black Sea. (C) 2004 Elsevier Ltd. All rights reserved.</t>
  </si>
  <si>
    <t>Univ Nice Sophia Antipolis, Fac Sci, UMR INRA, ROSE UNSA 1112, F-06108 Nice 2, France; Alexandru Ioan Cuza Univ, Fac Geog &amp; Geol, Iasi, Romania; Alexandru Ioan Cuza Univ, Fac Biol, Iasi, Romania</t>
  </si>
  <si>
    <t>Universite Cote d'Azur; INRAE; Alexandru Ioan Cuza University; Alexandru Ioan Cuza University</t>
  </si>
  <si>
    <t>Univ Nice Sophia Antipolis, Fac Sci, UMR INRA, ROSE UNSA 1112, BP 71, F-06108 Nice 2, France.</t>
  </si>
  <si>
    <t>10.1016/j.watres.2004.09.026</t>
  </si>
  <si>
    <t>901HG</t>
  </si>
  <si>
    <t>WOS:000227273000010</t>
  </si>
  <si>
    <t>Noger-Huet, É; Vagner, M; Le Grand, F; Graziano, N; Bideau, A; Brault-Favrou, M; Churlaud, C; Bustamante, P; Lacoue-Labarthe, T</t>
  </si>
  <si>
    <t>Noger-Huet, Elise; Vagner, Marie; Le Grand, Fabienne; Graziano, Nicolas; Bideau, Antoine; Brault-Favrou, Maud; Churlaud, Carine; Bustamante, Paco; Lacoue-Labarthe, Thomas</t>
  </si>
  <si>
    <t>Risk and benefit assessment of seafood consumption harvested from the Pertuis Charentais region of France*</t>
  </si>
  <si>
    <t>LC n-3 PUFA; Essential and non-essential trace elements; Mercury; Net risk; benefit index</t>
  </si>
  <si>
    <t>POLYUNSATURATED FATTY-ACIDS; CORONARY-HEART-DISEASE; SARDINE SARDINA-PILCHARDUS; SHELLFISH SAMPLES. RISK; EDIBLE FISH; ESSENTIAL ELEMENTS; MEDITERRANEAN SEA; METAL POLLUTION; HEALTH BENEFIT; TOTAL MERCURY</t>
  </si>
  <si>
    <t>Seafood is well recognized as a major source of Long Chain n-3 Polyunsaturated Fatty Acids (LC n-3 PUFA, especially ecosapentaenoic acid, i.e. EPA and docosaheaxaenoic acid, i.e. DHA) and essential trace elements (As, Cu, Fe, Mn, Se, and Zn). It is also a source of non-essential trace elements (Ag, Cd, Hg, Pb) that can be deleterious for health even at low concentrations. Edible parts of sixteen species (fish, cephalopods, crustaceans and bivalves) of great importance in the Pertuis Charentais region, one of the main shellfish farming and fishing areas along the french coastline, were sampled in winter and analyzed to determine their fatty acid (FA) composition and trace element concentrations. Based on these analyses, a suite of indices was calculated to estimate risk and benefit of seafood consumption: the n-6/n-3 ratio, the atherogenic index, the thrombogenic index, the EPA + DHA daily recommended portion, as well as the maximum safe consumption. The results showed that fish contributed the most to LC n-3 PUFA supply, while bivalves and crustaceans were more beneficial in essential trace elements. Whatever the species, the concentrations of non-essential elements were not limiting for seafood consumption, as important amounts of the analyzed species can be eaten daily or weekly before becoming hazardous to consumers. Yet, concentrations of Hg in dogfish and seabass can become a concern for frequent seafood consumers (&gt;three meals a week), confirming that varying seafood items is a key point for consumers to optimize the benefits of diverse seafood resources. Considering FA composition, whiting and pilchard are the most beneficial fish species for human diet, while surmullet was the least beneficial one. However, using an index integrating the relative risk due to Hg content, the surmullet appears as one of the most beneficial. This study provides a temporal shot of the quality of marine resources consumed in winter period in the studied area and highlights the complexity of a quantitative risk and benefit assessment with respect to the biochemical attributes of selected seafood.</t>
  </si>
  <si>
    <t>[Noger-Huet, Elise; Vagner, Marie; Brault-Favrou, Maud; Churlaud, Carine; Bustamante, Paco; Lacoue-Labarthe, Thomas] La Rochelle Univ, CNRS, UMR LIENSs, 2 Rue Olympe Gouges, F-17000 La Rochelle, France; [Vagner, Marie; Le Grand, Fabienne; Graziano, Nicolas; Bideau, Antoine] Univ Brest, UMR LEMAR, IRD, CNRS,Ifremer, Pl Nicolas Copern, F-29280 Plouzane, France; [Bustamante, Paco] Inst Univ France IUF, 1 Rue Descartes, F-75005 Paris, France</t>
  </si>
  <si>
    <t>Centre National de la Recherche Scientifique (CNRS); Universite de Bretagne Occidentale; Centre National de la Recherche Scientifique (CNRS); Ifremer; Institut de Recherche pour le Developpement (IRD); Institut Universitaire de France</t>
  </si>
  <si>
    <t>Lacoue-Labarthe, T (corresponding author), Univ La Rochelle, CNRS, UMR 7266, 2 Rue Olympe Gouges, F-17000 La Rochelle, France.</t>
  </si>
  <si>
    <t>tlacouel@univ-lr.fr</t>
  </si>
  <si>
    <t>Lacoue-Labarthe, Thomas/H-4963-2019; Vagner, Marie/H-5717-2019; Bustamante, Paco/G-5833-2011</t>
  </si>
  <si>
    <t>Lacoue-Labarthe, Thomas/0000-0002-4682-8730; Graziano, Nicolas/0009-0006-1062-5102; Vagner, Marie/0000-0002-2777-006X; Bustamante, Paco/0000-0003-3877-9390</t>
  </si>
  <si>
    <t>Contrat de Plan Etat-Region (CPER); CNRS; European Regional Development Fund (FEDER) through the project QUALIDRIS (Ressour-ces Marines et Littorales: Qualite et Eco-valorisation); CPER; FEDER</t>
  </si>
  <si>
    <t>Contrat de Plan Etat-Region (CPER); CNRS(Centre National de la Recherche Scientifique (CNRS)); European Regional Development Fund (FEDER) through the project QUALIDRIS (Ressour-ces Marines et Littorales: Qualite et Eco-valorisation)(Marie Curie Actions); CPER; FEDER(European Union (EU)Spanish Government)</t>
  </si>
  <si>
    <t>This work is a contribution to the project ECONAT Axe 1-Ressources Marines Littorales: qualite et eco-valorisation, funded by the Contrat de Plan Etat-Region (CPER) and the CNRS and the European Regional Development Fund (FEDER) through the project QUALIDRIS (Ressour-ces Marines et Littorales: Qualite et Eco-valorisation) . Authors warmly thank Christine Dupuy for her key role in the coordination of these projects. Thanks also to the CPER and FEDER for their support to the plateforme Analyse Elementaire of ENSs by funding the ICP-MS and the ICP-AES. Authors thank Lucas Weppe for its assistance in sample preparation. This work benefitted from the French GDR Aquatic Eco-toxicology framework which aims at fostering stimulating scientific discussions and collaborations for more integrative approaches. The IUF (Institut Universitaire de France) is acknowledged for its support to PB as a Senior Member.</t>
  </si>
  <si>
    <t>10.1016/j.envpol.2021.118388</t>
  </si>
  <si>
    <t>YJ0PA</t>
  </si>
  <si>
    <t>WOS:000744240000004</t>
  </si>
  <si>
    <t>Ji, CL; Wang, Q; Wu, HF; Tan, QG; Wang, WX</t>
  </si>
  <si>
    <t>Ji, Chenglong; Wang, Qing; Wu, Huifeng; Tan, Qiaoguo; Wang, Wen-Xiong</t>
  </si>
  <si>
    <t>A metabolomic investigation of the effects of metal pollution in oysters Crassostrea hongkongensis</t>
  </si>
  <si>
    <t>Metal pollution; Crassostrea hongkongensis; Gills; Metabolomics; H-1 NMR</t>
  </si>
  <si>
    <t>CLAM RUDITAPES-PHILIPPINARUM; NMR-BASED METABOLOMICS; MYTILUS-GALLOPROVINCIALIS; ENVIRONMENTAL-POLLUTION; MUSSELS; RESPONSES; COPPER; CONTAMINATION</t>
  </si>
  <si>
    <t>Metal pollution has been of great concern in the estuaries in Southern China. In this study, metabolic differences between oysters Crassostrea hongkongensis from clean and metal-polluted sites were characterized using NMR-based metabolomics. We collected oyster samples from one clean (Jiuzhen) and two metal polluted sites (Baijiao and Fugong). The metal concentrations in oyster gills indicated that both the Baijiao and Fugong sites were severely polluted by several metals, including Cr, Ni, Cu, Zn, Ag, Cd and Pb. In particular, Cu and Zn were the major contaminants from the Baijiao and Fugong sites. Compared with those oysters from the clean site (JZ), metal pollution in BJ and FG induced disturbances in osmotic regulation and energy metabolism via different metabolic pathways, as indicated by different metabolic biomarkers. This study demonstrates that NMR-based metabolomics is a useful tool for characterizing metabolic responses induced by metal pollution. (C) 2014 Elsevier Ltd. All rights reserved.</t>
  </si>
  <si>
    <t>[Ji, Chenglong; Wang, Qing; Wu, Huifeng] Chinese Acad Sci, Yantai Inst Coastal Zone Res YIC, Key Lab Coastal Zone Environm Proc, Yantai 264003, Peoples R China; [Ji, Chenglong; Wang, Qing; Wu, Huifeng] YICCAS, Shandong Prov Key Lab Coastal Zone Environm Proc, Yantai 264003, Peoples R China; [Tan, Qiaoguo] Xiamen Univ, Coll Environm &amp; Ecol, Minist Educ, Key Lab Coastal &amp; Wetland Ecosyst, Xiamen 361102, Peoples R China; [Wang, Wen-Xiong] Hong Kong Univ Sci &amp; Technol, Div Life Sci, Kowloon, Hong Kong, Peoples R China</t>
  </si>
  <si>
    <t>Chinese Academy of Sciences; Yantai Institute of Coastal Zone Research, CAS; Xiamen University; Hong Kong University of Science &amp; Technology</t>
  </si>
  <si>
    <t>Wu, HF (corresponding author), Chinese Acad Sci, Yantai Inst Coastal Zone Res YIC, Key Lab Coastal Zone Environm Proc, Yantai 264003, Peoples R China.</t>
  </si>
  <si>
    <t>Wang, Qing/O-1991-2013; Ji, Chenglong/U-5411-2017; Wang, Wenxiong/E-7254-2011; Tan, Qiao-Guo/B-8688-2009</t>
  </si>
  <si>
    <t>NSFC [21237004]</t>
  </si>
  <si>
    <t>NSFC(National Natural Science Foundation of China (NSFC))</t>
  </si>
  <si>
    <t>This work was supported by a Key Project from NSFC (21237004). We thank Prof. Mark Viant for the use of ProMetab software.</t>
  </si>
  <si>
    <t>10.1016/j.marpolbul.2014.11.006</t>
  </si>
  <si>
    <t>CA5QX</t>
  </si>
  <si>
    <t>WOS:000348964000049</t>
  </si>
  <si>
    <t>Bellas, J; Albentosa, M; Vidal-Liñán, L; Besada, V; Franco, MA; Fumega, J; González-Quijano, A; Viñas, L; Beiras, R</t>
  </si>
  <si>
    <t>Bellas, Juan; Albentosa, Marina; Vidal-Linan, Leticia; Besada, Victoria; Angeles Franco, M.; Fumega, Jose; Gonzalez-Quijano, Amelia; Vinas, Lucia; Beiras, Ricardo</t>
  </si>
  <si>
    <t>Combined use of chemical, biochemical and physiological variables in mussels for the assessment of marine pollution along the N-NW Spanish coast</t>
  </si>
  <si>
    <t>Marine pollution; Biological effects; Integrative assessment; Scope for growth; Biomarker; Confounding factors; Mytilus galloprovincialis</t>
  </si>
  <si>
    <t>POLYBROMINATED DIPHENYL ETHERS; POLYCYCLIC-AROMATIC-HYDROCARBONS; MYTILUS-GALLOPROVINCIALIS LMK; WILD MUSSELS; TEMPORAL TRENDS; HEAVY-METALS; GLUTATHIONE METABOLISM; INTEGRATIVE ASSESSMENT; CONTAMINANT LEVELS; CLEARANCE RATE</t>
  </si>
  <si>
    <t>This study undertakes an overall assessment of pollution in a large region (over 2500 km of coastline) of the N-NW Spanish coast, by combining the use of biochemical (AChE, GST, GPx) and physiological (SFG) responses to pollution, with chemical analyses in wild mussel populations (Mytilus galloprovincialis). The application of chemical analysis and biological techniques identified polluted sites and quantified the level of toxicity. High levels of pollutants were found in mussel populations located close to major cities and industrialized areas and, in general, average concentrations were higher in the Cantabrian than in the Iberian Atlantic coast. AChE activities ranged between 5.8 and 27.1 nmol/min/mg prot, showing inhibition in 12 sampling sites, according to available ecotoxicological criteria. GST activities ranged between 29.5 and 112.7 nmol/min/mg prot, and extreme variability was observed in GPx, showing activities between 2.6 and 64.5 nmol/min/mg prot. Regarding SFG, only 5 sites showed 'moderate stress' (SFG value below 20 J/g/h), and most sites presented a 'high potential growth' (&gt;35 J/g/h) corresponding to a 'healthy state'. Multivariate statistical techniques applied to the chemical and biological data identified PCBs, organochlorine pesticides and BDEs as the main responsible of the observed toxicity. However, the alteration of biological responses caused by pollutants seems to be, in general, masked by biological variables, namely age and mussel condition, which have an effect on the mussels' response to pollutant exposure. (C) 2013 Elsevier Ltd. All rights reserved.</t>
  </si>
  <si>
    <t>[Bellas, Juan; Besada, Victoria; Angeles Franco, M.; Fumega, Jose; Gonzalez-Quijano, Amelia; Vinas, Lucia] IEO, Ctr Oceanog Vigo, Vigo 36390, Spain; [Albentosa, Marina] IEO, Ctr Oceanog Murcia, San Pedro Del Pinatar 30740, Spain; [Vidal-Linan, Leticia; Beiras, Ricardo] Univ Vigo, ECIMAT, Vigo 36331, Galicia, Spain</t>
  </si>
  <si>
    <t>Spanish Institute of Oceanography; Spanish Institute of Oceanography; Universidade de Vigo; CIM UVIGO</t>
  </si>
  <si>
    <t>Bellas, J (corresponding author), IEO, Ctr Oceanog Vigo, Subida Radio Faro 50, Vigo 36390, Spain.</t>
  </si>
  <si>
    <t>juan.bellas@vi.ieo.es</t>
  </si>
  <si>
    <t>Beiras, Ricardo/M-1680-2019; Franco, Maria/KQV-0926-2024; Fumega, Jose/E-9362-2011; Bellas, Juan/N-1594-2015; Besada, Victoria/H-4532-2015; Vinas, Lucia/B-7804-2008</t>
  </si>
  <si>
    <t>Albentosa, Marina/0000-0003-4771-5137; Fumega, Jose/0000-0002-0425-998X; Bellas, Juan/0000-0001-6179-8528; Vidal-Linan, Leticia/0000-0002-4496-0826; Beiras, Ricardo/0000-0002-1010-2647; Besada, Victoria/0000-0003-2039-6498; Vinas, Lucia/0000-0002-3816-5359</t>
  </si>
  <si>
    <t>IEO; Spanish Ministry of Agriculture, Food an Environment; BIOCOM project (Spanish Ministry of Economy and Competitiveness) [CTM2012-30737]</t>
  </si>
  <si>
    <t>IEO; Spanish Ministry of Agriculture, Food an Environment; BIOCOM project (Spanish Ministry of Economy and Competitiveness)</t>
  </si>
  <si>
    <t>Authors are grateful to the auxiliary staff of the oceanographic centers of Vigo and Murcia (IEO), and ECIMAT (Universidade de Vigo), for assistance in sample treatment and analysis. The study has been funded by a Fund Management Agreement between the IEO and the Spanish Ministry of Agriculture, Food an Environment (2010-2012), and by BIOCOM project (CTM2012-30737, Spanish Ministry of Economy and Competitiveness).</t>
  </si>
  <si>
    <t>10.1016/j.marenvres.2013.09.015</t>
  </si>
  <si>
    <t>WOS:000334981600013</t>
  </si>
  <si>
    <t>Lin, YF; Liu, QQ; Meng, FP; Lin, YC; Du, YX</t>
  </si>
  <si>
    <t>Lin, Yufei; Liu, Qunqun; Meng, Fanping; Lin, Yichen; Du, Yongxiang</t>
  </si>
  <si>
    <t>Integrated toxicity evaluation of metals in sediments of Jiaozhou Bay (China): Based on biomarkers responses in clam Ruditapes philippinarum exposed to sediment extracts</t>
  </si>
  <si>
    <t>Metals; Sediments; Biomarkers; Chemical extraction; Jiaozhou Bay</t>
  </si>
  <si>
    <t>MUSSELS MYTILUS-GALLOPROVINCIALIS; ECOLOGICAL RISK-ASSESSMENT; SCALLOP CHLAMYS-FARRERI; HEAVY-METALS; SURFACE SEDIMENTS; ENVIRONMENTAL-POLLUTION; DICENTRARCHUS-LABRAX; ESTUARINE SEDIMENTS; ENZYME-ACTIVITIES; CAGED MUSSELS</t>
  </si>
  <si>
    <t>To evaluate the integrated toxicity of metals in sediments of Jiaozhou Bay, we exposed clam (Ruditapes philippinarurn) to sediments extracts obtained using of sediment extraction with deionised water adjusted to pH 4 which simulated the weak acidity in the digestive juice of clams and tested the selected biomarkers responses in clams for exposure over 15 days. At the same time, the contents of metals in sediments were assessed with method of the mean sediment quality guideline quotient (SQG-Q). The integrated biomarker response version 2 (IBRv2) was used to assess the integrated toxicity induced by metals in sediment extracts based on biomarkers response in clams: the results demonstrated that site S7 located in the mouth of Nanxin'an River show higher IBRv2 values compared to the other sites. The IBRv2 values exhibited the good consistency with SQG-Q values.</t>
  </si>
  <si>
    <t>[Lin, Yufei] Ocean Univ China, Coll Chem &amp; Chem Engn, Qingdao 266100, Peoples R China; [Lin, Yufei] Natl Marine Hazard Mitigat Serv, Risk Management Dept, Beijing 100194, Peoples R China; [Liu, Qunqun; Meng, Fanping; Lin, Yichen; Du, Yongxiang] Ocean Univ China, Minist Educ, Key Lab Marine Environm Sci &amp; Ecol, Qingdao 266100, Peoples R China; [Lin, Yichen] Chinese Acad Sci, Yantai Inst Coastal Zone Res, Yantai 264003, Peoples R China; [Du, Yongxiang] Rizhao Environm Protect Bur, Rizhao 276800, Peoples R China</t>
  </si>
  <si>
    <t>Ocean University of China; Ocean University of China; Chinese Academy of Sciences; Yantai Institute of Coastal Zone Research, CAS</t>
  </si>
  <si>
    <t>Meng, FP (corresponding author), Ocean Univ China, Minist Educ, Key Lab Marine Environm Sci &amp; Ecol, Qingdao 266100, Peoples R China.</t>
  </si>
  <si>
    <t>National Natural Science Foundation of China [41240040]; Ocean Public Service Foundation of China [201005012]</t>
  </si>
  <si>
    <t>National Natural Science Foundation of China(National Natural Science Foundation of China (NSFC)); Ocean Public Service Foundation of China</t>
  </si>
  <si>
    <t>This work was supported by the National Natural Science Foundation of China (Grant No. 41240040) and the Ocean Public Service Foundation of China (Grant No. 201005012).</t>
  </si>
  <si>
    <t>10.1016/j.marpolbul.2018.04.024</t>
  </si>
  <si>
    <t>WOS:000437060300021</t>
  </si>
  <si>
    <t>Huang, X; Zheng, JL; Liu, CX; Liu, L; Liu, YH; Fan, HY; Zhang, TF</t>
  </si>
  <si>
    <t>Huang, Xu; Zheng, Jialun; Liu, Chaoxiang; Liu, Lin; Liu, Yuhong; Fan, Hongyong; Zhang, Tingfeng</t>
  </si>
  <si>
    <t>Performance and bacterial community dynamics of vertical flow constructed wetlands during the treatment of antibiotics-enriched swine wastewater</t>
  </si>
  <si>
    <t>Constructed wetlands; Antibiotics; Bacterial community; Swine wastewater</t>
  </si>
  <si>
    <t>TETRACYCLINE-RESISTANT-BACTERIA; MICROBIAL COMMUNITY; VETERINARY ANTIBIOTICS; NITROGEN REMOVAL; GENES; MICROCOSMS; SUBSTRATE; ARCHAEAL; CHINA; SULFAMETHAZINE</t>
  </si>
  <si>
    <t>This study aimed to evaluate the nutrient removal and microbial response during the treatment of antibiotics-enriched swine wastewater by vertical flow constructed wetlands with different water flow directions and substrates. Better NH4-N and TN removal were achieved in down-flow and up-flow treatments, respectively. The concentrations of all the chemical properties including oxytetracycline (OTC), difloxacin (DIF), copper (Cu) and zinc (Zn), nitrite/nitrate, sulphate and total organic carbon (TOC) in down-flow treatment soils were significantly higher than those in up-flow treatments on day 30, 60 and 90 (p &lt; 0.05). Bacterial alpha-diversity indices in soils were negatively correlated with the concentrations of OTC, DIF, Cu and Zn significantly (p &lt; 0.05). Among experimental factors, substrate type significantly contributed to variation of bacterial communities in waters, while water flow direction and sampling time significantly contributed to those in soils (p &lt; 0.01). Among environmental factors, OTC + DIF, Cu + Zn, nitrate/nitrite and sulphate significantly contributed to variation of bacterial communities in soils (p &lt; 0.05). The taxonomy assignment indicated that antibiotics accumulation in soils promoted the growth of 19 dominant genera, including several antibiotic-resistant or degrading bacteria, which however were generally not dominant in effluents. In addition, although the TN and NH4-N removals were reduced when antibiotic concentrations in soils increased, the available community data cannot strongly support the inhibition effect of antibiotics on nitrogen transformation. Further assessment found that some dominant genera in water samples and those enriched under the stress of antibiotics in soils tended to increase their abundances in the effluents of oyster shell-based CWs. (C) 2017 Elsevier B.V. All rights reserved.</t>
  </si>
  <si>
    <t>[Huang, Xu; Liu, Chaoxiang] Chinese Acad Sci, Inst Urban Environm, Key Lab Urban Pollutant Convers, Xiamen 361021, Peoples R China; Univ Chinese Acad Sci, Beijing 100049, Peoples R China</t>
  </si>
  <si>
    <t>Huang, X; Liu, CX (corresponding author), Chinese Acad Sci, Inst Urban Environm, Key Lab Urban Pollutant Convers, Xiamen 361021, Peoples R China.</t>
  </si>
  <si>
    <t>xhuang@iue.ac.cn; cxliu@iue.ac.cn</t>
  </si>
  <si>
    <t>Liu, Lin/U-2072-2017</t>
  </si>
  <si>
    <t>Liu, Lin/0000-0001-5261-650X</t>
  </si>
  <si>
    <t>Natural Science Foundation of Fujian Province, China [2015J01151]; Science and Technology Planning Project of Xiamen City, China [3502Z20162005]; knowledge Innovation Program of the Chinese Academy of Sciences [IUEQN201504]; National Natural Science Foundation of China [31100371, 51278480]</t>
  </si>
  <si>
    <t>Natural Science Foundation of Fujian Province, China(Natural Science Foundation of Fujian Province); Science and Technology Planning Project of Xiamen City, China; knowledge Innovation Program of the Chinese Academy of Sciences(Chinese Academy of SciencesKnowledge Innovation Program of the Chinese Academy of Sciences); National Natural Science Foundation of China(National Natural Science Foundation of China (NSFC))</t>
  </si>
  <si>
    <t>This study was financially supported by grants from the Natural Science Foundation of Fujian Province, China (2015J01151), the Science and Technology Planning Project of Xiamen City, China (3502Z20162005), the knowledge Innovation Program of the Chinese Academy of Sciences (IUEQN201504) and the National Natural Science Foundation of China (31100371, 51278480).</t>
  </si>
  <si>
    <t>10.1016/j.cej.2017.02.029</t>
  </si>
  <si>
    <t>ER7IK</t>
  </si>
  <si>
    <t>WOS:000398985200075</t>
  </si>
  <si>
    <t>Distribution of the pill clam Pisidium langleyanum Melvill &amp; Ponsonby, 1891 (Bivalvia: Sphaeriidae) in South Africa</t>
  </si>
  <si>
    <t>Pisidium langleyanum; pill clam; freshwater Bivalvia; geographical distribution; habitat analysis; South Africa</t>
  </si>
  <si>
    <t>FRESH-WATER SNAIL; INTERMEDIATE HOST; HABITATS; MOLLUSCA; PARASITES; AMNICUM; ECOLOGY; RIVER; PARK</t>
  </si>
  <si>
    <t>This article focuses on the geographical distribution and habitats of the pill clam, Pisidium langleyanum as reflected by 632 samples oil record in the database of the National Freshwater Snail Collection (NFSC). The 177 different loci (1/16-degree squares) from which these samples were collected display,I relatively continuous distribution in southern Gauteng, north-eastern Free State, the central area of Mpumulanga and the western part of Lesotho. However, it is discontinuously spread through KwaZulu-Natal and the Eastern Cape, poorly represented in North West, nearly absent in the Northern and Western Cape and completely absent from Limpopo. Details of each habitat as described by collectors during surveys were statistically analysed, as well as altitude and mean annual air temperatures and rainfall for each locality. This species was reported from 10 of the 14 water-body types represented in the database, but the largest Dumber of samples was recovered from rivers, swamps and streams. Chi-square and effect-size values were calculated and an integrated decision tree constructed from the data which indicated that temperature, attitude, types of water-body and substrata were the important factors that significantly influenced the distribution of P. langleyanum in South Africa. In view of the many agents reported for this genus elsewhere in the world that could facilitate its passive dispersal and the fact that this species was already recorded in 1891 from South Africa, it is suggested that its absence in large areas of this country could most probably be attributed to unsuitable environmental conditions. The possible effect of climatic changes oil the geographical distribution Of P. langleyanum and the conservation status of Pisidium species in South Africa is briefly discussed. The feasibility to exploit this species for monitoring heavy metal pollution in freshwater biotopes and its ability to act as intermediate host for economically important trematode parasites Should be investigated.</t>
  </si>
  <si>
    <t>[de Kock, K. N.] NorthWest Univ, Unit Environm Sci &amp; Management, ZA-2520 Potchefstroom, South Africa; [Wolmarans, C. T.] NorthWest Univ, Sch Environm Sci &amp; Dev, ZA-2520 Potchefstroom, South Africa</t>
  </si>
  <si>
    <t>North West University - South Africa; North West University - South Africa</t>
  </si>
  <si>
    <t>de Kock, KN (corresponding author), NorthWest Univ, Unit Environm Sci &amp; Management, Potchefstroom Campus,Private Bag X6001, ZA-2520 Potchefstroom, South Africa.</t>
  </si>
  <si>
    <t>North-West University</t>
  </si>
  <si>
    <t>The authors wish to thank the following persons for their assistance in processing the data: Professors I-IS Steyn, head of the Statistical Consulting Service and DA de Waal of the Centre for Business Mathematics and Informatics of the North-West University, Potchefstroom Campus. We are also indebted to the North-West University for financial support and infrastructure.</t>
  </si>
  <si>
    <t>378GK</t>
  </si>
  <si>
    <t>WOS:000261309000012</t>
  </si>
  <si>
    <t>Manly, R; Blundell, SP; Fifield, FW; McCabe, PJ</t>
  </si>
  <si>
    <t>Trace metal concentrations in Mytilus edulis L from the Laguna San Rafael, southern Chile</t>
  </si>
  <si>
    <t>COMMON MUSSEL; HEAVY-METALS; ZINC CONCENTRATIONS; NORTHERN-TERRITORY; POLLUTION; CADMIUM; COPPER; CRUSTACEANS; ANTARCTICA; AUSTRALIA</t>
  </si>
  <si>
    <t>KINGSTON UNIV, FAC SCI, PENRHYN RD, KINGSTON UPON THAMES KT1 2EE, SURREY, ENGLAND.</t>
  </si>
  <si>
    <t>10.1016/0025-326X(96)00006-9</t>
  </si>
  <si>
    <t>WOS:A1996UR12600019</t>
  </si>
  <si>
    <t>McFadzen, I; Eufemia, N; Heath, C; Epel, D; Moore, M; Lowe, D</t>
  </si>
  <si>
    <t>Multidrug resistance in the embryos and larvae of the mussel Mytilus edulis</t>
  </si>
  <si>
    <t>multidrug resistance; Mytilus edulis; embryos; larvae</t>
  </si>
  <si>
    <t>Cells exhibiting the multidrug resistance (MDR) phenotype demonstrate a decreased intracellular drug accumulation due to an active outward transport and decreased intracellular flux. This study demonstrates the inhibition of MDR in mussel (Mytilus edulis) embryos and larvae based on a simple bioassay. The development of embryos was assessed and abnormalities identified at key stages of development, including gastrulation, trochophore and prodissoconch stages. The incidence of developmental abnormalities was significantly increased in the presence of vinblastine, MMS, chloroquine, mitomycin-C, cadmium chloride and colchicine, compared to clean seawater. Consistently, there was a further increase in the number and severity of deformities observed when each toxin was added in the presence of verapamil. Larval growth was also significantly impaired in the presence of verapamil. Increased accumulation of fluorescent MDR dyes, such as rhodamine B, has been measured and shown to be verapamil sensitive. This bioassay encompasses a period of intense cellular activity during which the impairment of a number of critical processes results in abnormal growth and development. (C) 2000 Elsevier Science Ltd. All rights reserved.</t>
  </si>
  <si>
    <t>Plymouth Marine Lab, CCMS, Plymouth PL1 3DH, Devon, England; Stanford Univ, Hopkins Marine Stn, Pacific Grove, CA 93950 USA; Vienna Int Ctr, UNIDO, A-1400 Vienna, Austria</t>
  </si>
  <si>
    <t>Plymouth Marine Laboratory; Stanford University</t>
  </si>
  <si>
    <t>McFadzen, I (corresponding author), Plymouth Marine Lab, CCMS, Prospect Pl,Hoe, Plymouth PL1 3DH, Devon, England.</t>
  </si>
  <si>
    <t>Pascoe, Christine/KMX-2656-2024</t>
  </si>
  <si>
    <t>10.1016/S0141-1136(00)00057-X</t>
  </si>
  <si>
    <t>WOS:000165486700052</t>
  </si>
  <si>
    <t>Dunkai, TI; Bogatyrenko, EA; Kim, AV</t>
  </si>
  <si>
    <t>Dunkai, T. I.; Bogatyrenko, E. A.; Kim, A. V.</t>
  </si>
  <si>
    <t>Biodiversity and Metabolic Properties of Bacterial Communities from the Digestive System of the Bivalve Crenomytilus grayanus</t>
  </si>
  <si>
    <t>MICROBIOLOGY</t>
  </si>
  <si>
    <t>Crenomytilus grayanus; microbiome; NGS; anthropogenic pollution; atrazine; bisphenol; hydrocarbons</t>
  </si>
  <si>
    <t>MYTILUS-GALLOPROVINCIALIS; HETEROTROPHIC BACTERIA; SEA; INVERTEBRATES; BAY</t>
  </si>
  <si>
    <t>-Biodiversity of the bacterial communities in the digestive system of Crenomytilus grayanus inhabiting the coastal Sea of Japan waters with chronic anthropogenic pollution was investigated using metabarcoding. Apart from marine bacteria, the taxa typical under contamination with oil (Rhodobacteraceae, Corynebacteriaceae), heavy metals (Asinibacterium), and unprocessed municipal waste (Cloacibacterium,Globicatella) were revealed in the microbiota. A collection of 411 cultured heterotrophic bacterial strains isolated in the course of this study was characterized taxonomically. The intestinal microbiome of the studied mollusks was shown to have a unique composition, depending on their habitat. Ability of bacterial strains isolated from the C. grayanus digestive system to degrade various nutrient substrates (sugars, amino acids, and polysaccharides) and xenobiotics (oil hydrocarbons, bisphenol A, and atrazine) was studied. Most isolates degraded a broad range of organic substrates; 13% (54 strains) oxidized oil hydrocarbons; 1% (4 strains) oxidized bisphenol A; and 0.5% (2 strains) degraded atrazine. The possible role of the microbiome C. grayanus microbiome in symbiotic digestion and in detoxication of the mollusk is discussed.</t>
  </si>
  <si>
    <t>[Dunkai, T. I.; Bogatyrenko, E. A.; Kim, A. V.] Far Eastern Fed Univ, Vladivostok 690922, Russia; [Dunkai, T. I.] Russian Acad Sci, Zhirmunsky Natl Sci Ctr Marine Biol, Far Eastern Branch, Vladivostok 690041, Russia; [Kim, A. V.] Russian Acad Sci, Fed Sci Ctr East Asia Terr Biodivers, Far Eastern Branch, Vladivostok 690022, Russia</t>
  </si>
  <si>
    <t>Far Eastern Federal University; Russian Academy of Sciences; National Scientific Center of Marine Biology, Far East Branch of the Russian Academy of Sciences; Russian Academy of Sciences; Federal Scientific Center of the East Asia Terrestrial Biodiversity, Far Eastern Branch of the Russian Academy of Sciences</t>
  </si>
  <si>
    <t>Bogatyrenko, EA (corresponding author), Far Eastern Fed Univ, Vladivostok 690922, Russia.</t>
  </si>
  <si>
    <t>bogatyrenko.ea@dvfu.ru</t>
  </si>
  <si>
    <t>Kim, Aleksandra/U-6196-2018; Bogatyrenko, Elena/A-9488-2014</t>
  </si>
  <si>
    <t>Far Eastern Federal University (Program PRIORITY 2030) [22-05.-1.60-0012]</t>
  </si>
  <si>
    <t>Far Eastern Federal University (Program PRIORITY 2030)</t>
  </si>
  <si>
    <t>This work was supported by Far Eastern Federal University (Program PRIORITY 2030: Ocean Science, projectno. 22-05.-1.60-0012).</t>
  </si>
  <si>
    <t>0026-2617</t>
  </si>
  <si>
    <t>1608-3237</t>
  </si>
  <si>
    <t>MICROBIOLOGY+</t>
  </si>
  <si>
    <t>Microbiology</t>
  </si>
  <si>
    <t>10.1134/S0026261723600982</t>
  </si>
  <si>
    <t>N0CL4</t>
  </si>
  <si>
    <t>WOS:001033799400008</t>
  </si>
  <si>
    <t>Auguste, M; Leonessi, M; Balbi, T; Doni, L; Oliveri, C; Vezzulli, L; Canesi, L</t>
  </si>
  <si>
    <t>Auguste, M.; Leonessi, M.; Balbi, T.; Doni, L.; Oliveri, C.; Vezzulli, L.; Canesi, L.</t>
  </si>
  <si>
    <t>Seasonal fluctuations of hemolymph microbiota and immune parameters in Mytilus galloprovincialis farmed at La Spezia, Italy</t>
  </si>
  <si>
    <t>Aquacultured species; Mussel farming; Microbial communities; Immune biomarkers; Environmental conditions</t>
  </si>
  <si>
    <t>MORTALITY; RESPONSES; DISEASES; OYSTERS; STRESS; VIBRIO</t>
  </si>
  <si>
    <t>Marine bivalves include economically highly important aquacultured species worldwide (oysters, mussels, clams, scallops). Although one third of production in Europe is represented by mussels (Mytilus edulis, M. galloprovincialis) a significant decline has been observed in the last two decades, whose causes are likely to be multifactorial, from the presence of pathogens to climate change, often exacerbated by local conditions, leading to mortality outbreaks. Knowledge of the composition of the microbial communities, together with their relationship with the host, represents a primary target for understanding bivalve health in different environmental conditions. The microbiome is strongly influenced by both local environmental factors and endogenous factors, such as the host immune status. However, information on the seasonal fluctuations of microbial communities in mussels, together with immune parameters, is still lacking. In the present work, M. galloprovincialis cultivated in north-western Italy (La Spezia) were sampled from February to November 2020 and hemolymph microbiome was evaluated using 16S rRNA gene, together with a set of immune biomarkers in hemocytes (lysosomal membrane stability-LMS, phagocytic activity, ROS production) and soluble lysozyme activity, and parameters of general health conditions (gametogenesis, survival in air). The results show that M. galloprovincialis hemolymph microbiota was characterized by the constant presence of 8 bacterial genera (Vibrio, Pseudoalteromonas, Tenacibaculum, Colwellia, Shewanella, Amphritea, and 2 from the Arcobacteracea family, Halarcobacter and Arcobacter-like). Seasonal changes in their relative abundance were observed, showing a distinct pattern in winter (February-November) and summer (July, September). Water temperature contributed to shaping the microbiota composition, in particular with regards to the abundance of Vibrios, Psychrilobacter and Photobacterium, Halarcobacter and Arcobacter-like, that was favored by higher temperatures. Seasonal variations of LMS and phagocytosis were also observed, indicating a reduced immunocompetence in winter, concomitant with general stressful conditions associated with spawning. In contrast, the main fluctuations in extracellular immune defences (ROS and lysozyme) were apparently independent of temperature or gametogenic stage. Overall, the results confirm the robustness of mussel immune system, at the same time underlying the potential susceptibility to disease at certain times of the year to additional stressful conditions (i.e. pathogen challenge, pollutant exposure, or further changes in water chemico-physical parameters). These data provide background information useful for monitoring local mussel farming and predicting potential impacts of changing environmental conditions.</t>
  </si>
  <si>
    <t>[Auguste, M.; Leonessi, M.; Balbi, T.; Doni, L.; Oliveri, C.; Vezzulli, L.; Canesi, L.] Univ Genoa, Dept Environm Earth &amp; Life Sci, DISTAV, Genoa, Italy; [Leonessi, M.; Balbi, T.; Vezzulli, L.; Canesi, L.] Natl Biodivers Future Ctr, Palermo, Italy</t>
  </si>
  <si>
    <t>Auguste, M (corresponding author), Univ Genoa, Dept Environm Earth &amp; Life Sci, DISTAV, Genoa, Italy.</t>
  </si>
  <si>
    <t>manon.auguste@edu.unige.it</t>
  </si>
  <si>
    <t>Balbi, Teresa/0000-0002-7495-6000</t>
  </si>
  <si>
    <t>Carige foundation [2019/0034]; National Recovery and Resilience Plan (NRRP) , Mission 4 Component 2 Investment 1.4-Call of Italian Ministry of University and Research - European Union - NextGenerationEU [3138, 3175, CN_00000033, 1034, CUP D33C22000960007]</t>
  </si>
  <si>
    <t>Carige foundation(Fondazione CarigeGeneral Electric); National Recovery and Resilience Plan (NRRP) , Mission 4 Component 2 Investment 1.4-Call of Italian Ministry of University and Research - European Union - NextGenerationEU</t>
  </si>
  <si>
    <t>This project has received funding from Carige foundation for a research grant-no . 2019/0034 and was partially supported by: Funder: Project funded under the National Recovery and Resilience Plan (NRRP) , Mission 4 Component 2 Investment 1.4-Call for tender No. 3138 of 16 December 2021, rectified by Decree n.3175 of 18 December 2021 of Italian Ministry of University and Research funded by the European Union - NextGenerationEU; Award Number: Project code CN_00000033, Concession Decree No. 1034 of 17 June 2022 adopted by the Italian Ministry of University and Research, CUP D33C22000960007, Project title National Biodiversity Future Center-NBFC.</t>
  </si>
  <si>
    <t>10.1016/j.aquaculture.2023.740028</t>
  </si>
  <si>
    <t>D5G0Y</t>
  </si>
  <si>
    <t>WOS:001296454300001</t>
  </si>
  <si>
    <t>Bode, H; Nusch, EA</t>
  </si>
  <si>
    <t>Advanced river quality monitoring in the Ruhr basin</t>
  </si>
  <si>
    <t>8th IAWQ River Basin Conference</t>
  </si>
  <si>
    <t>SEP 13-16, 1998</t>
  </si>
  <si>
    <t>Ruhr River; early warning systems; automated sampling; biomonitoring; chlorophyll fluorescence</t>
  </si>
  <si>
    <t>The water quality management of Ruhr River Association is challenged by the dual use pattern, i. e. drinking water supply and wastewater discharge simultaneously into the same river. in the past 10 years accidental or illegal pollution occurred statistically every twenty days. Identification of water pollutants (and polluters) was often impossible because water samples could not be secured for analysis in time, The water quality surveillance system could be extended with financial support of the European Union by another two automated monitoring stations equipped with sophisticated on-line analysators (e. g. for ammonia, chromium, chlorophyll fluorescence) and biomonitors using water fleas and mussels as detectors. Monitoring strategies, methods, techniques and costs for buildings, equipment and operation are reported. Experience and results obtained so far let assume that the integrated water quality monitoring is able to prove its merits concerning reconnaissance of accidental water pollution and subsequent early warning of water works. (C) 1999 Published by Elsevier Science Ltd on behalf of the IAWQ. All rights reserved.</t>
  </si>
  <si>
    <t>Ruhrverband, Dept Water Qual Monitoring, Chem &amp; Biol Lab, D-45128 Essen, Germany</t>
  </si>
  <si>
    <t>Bode, H (corresponding author), Ruhrverband, Dept Water Qual Monitoring, Chem &amp; Biol Lab, Kronprinzenstr 37, D-45128 Essen, Germany.</t>
  </si>
  <si>
    <t>10.1016/S0273-1223(99)00684-8</t>
  </si>
  <si>
    <t>264GV</t>
  </si>
  <si>
    <t>WOS:000084173000020</t>
  </si>
  <si>
    <t>Seo, D; Vasconcellos, MBA; Saiki, M; Catharino, MGM; Moreira, EG; de Sousa, ECPM; Pereira, CDS</t>
  </si>
  <si>
    <t>Seo, D.; Vasconcellos, M. B. A.; Saiki, M.; Catharino, M. G. M.; Moreira, E. G.; de Sousa, E. C. P. M.; Pereira, C. D. S.</t>
  </si>
  <si>
    <t>Vanadium biomonitoring by using Perna perna (Linnaeus, 1758) mussels transplanted in the coast of the State of So Paulo, Brazil</t>
  </si>
  <si>
    <t>13th International Conference on Modern Trends in Activation Analysis</t>
  </si>
  <si>
    <t>MAR 13-18, 2011</t>
  </si>
  <si>
    <t>College Station, TX</t>
  </si>
  <si>
    <t>Vanadium; Neutron activation analysis; Perna perna mussel; Biomonitoring</t>
  </si>
  <si>
    <t>SPECTROMETRY; METALS</t>
  </si>
  <si>
    <t>The increased pollution in the aquatic ecosystem has led to the investigation of toxic elements in sea water by using marine organisms to assess marine pollution from human activities. Among these organisms, the mollusks bivalves have been used as biomonitors since they can accumulate trace elements and other substances, without the occurrence of their death. In this study, Perna perna mussels were transplanted from a mussel farm (reference region) to four sites located in coastal regions of So Paulo State, Brazil, close to anthropic discharge areas. Vanadium was determined in mussel tissues by instrumental neutron activation analysis (INAA). Quality control of V analysis was checked by analyzing biological reference materials and the results obtained were precise and in good agreement with the certified values. Comparisons between the V concentrations obtained in transplanted mussels indicated that those from So Sebastio region, close to an oil terminal presented the highest concentration of this element, during spring.</t>
  </si>
  <si>
    <t>[Seo, D.; Vasconcellos, M. B. A.; Saiki, M.; Catharino, M. G. M.; Moreira, E. G.] IPEN CNEN SP, BR-05508000 Sao Paulo, Brazil; [de Sousa, E. C. P. M.] Univ Sao Paulo, Inst Oceanog, Lab Ecotoxicol Marinha &amp; Microfitobentos, IO USP, BR-05508120 Sao Paulo, Brazil; [Pereira, C. D. S.] Univ Santa Cecilia UNISANTA, BR-11045907 Santos, SP, Brazil</t>
  </si>
  <si>
    <t>Comissao Nacional de Energia Nuclear (CNEN); Instituto de Pesquisas Energeticas e Nucleares (IPEN); Universidade de Sao Paulo; Universidade Santa Cecilia</t>
  </si>
  <si>
    <t>Seo, D (corresponding author), IPEN CNEN SP, Av Prof Lineu Prestes 2242,Cidade Univ, BR-05508000 Sao Paulo, Brazil.</t>
  </si>
  <si>
    <t>danyseo@uol.com.br</t>
  </si>
  <si>
    <t>Pereira, Camilo/H-8352-2012; Catharino, Marilia/C-7330-2015; Moreira, Edson/B-3547-2013; Vasconcellos, Marina/E-8538-2014; Saiki, Mitiko/B-7975-2012</t>
  </si>
  <si>
    <t>Pereira, Camilo/0000-0001-8357-8112; Goncalves Moreira, Edson/0000-0002-7186-2025; Saiki, Mitiko/0000-0003-2197-3592</t>
  </si>
  <si>
    <t>Sao Paulo Research Foundation; Brazilian National Council for Scientific and Technological Development from Brazil; International Atomic Energy Agency</t>
  </si>
  <si>
    <t>Sao Paulo Research Foundation(Fundacao de Amparo a Pesquisa do Estado de Sao Paulo (FAPESP)); Brazilian National Council for Scientific and Technological Development from Brazil; International Atomic Energy Agency(International Atomic Energy Agency)</t>
  </si>
  <si>
    <t>The authors would like to acknowledge to the Sao Paulo Research Foundation and Brazilian National Council for Scientific and Technological Development from Brazil and the International Atomic Energy Agency for the financial support. To Oceanographic Institute of the University of Sao Paulo for the support in the sample collection.</t>
  </si>
  <si>
    <t>10.1007/s10967-011-1238-0</t>
  </si>
  <si>
    <t>861HU</t>
  </si>
  <si>
    <t>WOS:000298010800018</t>
  </si>
  <si>
    <t>Rocha, TL; Gomes, T; Sousa, VS; Mestre, NC; Bebianno, MJ</t>
  </si>
  <si>
    <t>Rocha, Thiago Lopes; Gomes, Tania; Sousa, Vania Serrao; Mestre, Nelia C.; Bebianno, Maria Joao</t>
  </si>
  <si>
    <t>Ecotoxicological impact of engineered nanomaterials in bivalve molluscs: An overview</t>
  </si>
  <si>
    <t>Nanoparticles; Nanoecotoxicity; Marine organisms; Mussels; Mode of action</t>
  </si>
  <si>
    <t>ZINC-OXIDE NANOPARTICLES; TITANIUM-DIOXIDE NANOPARTICLES; TELLURIDE QUANTUM DOTS; NATURAL ORGANIC-MATTER; MUSSEL MYTILUS-EDULIS; SILVER NANOPARTICLES; GOLD NANOPARTICLES; SCROBICULARIA-PLANA; OXIDATIVE STRESS; MARINE BIVALVE</t>
  </si>
  <si>
    <t>The increasing production and application of engineered nanomaterials (ENMs) in consumer products over the past decade will inevitably lead to their release into aquatic systems and thereby cause the exposure to aquatic organisms, resulting in growing environmental and human health concern. Since bivalves are widely used in the monitoring of aquatic pollution, the aim of this review was to compile and analyse data concerning the ecotoxicity of ENMs using bivalve molluscs. The state of the art regarding the experimental approach, characterization, behaviour, fate, bioaccumulation, tissue and subcellular distribution and mechanisms of toxicity of ENMs in marine and freshwater bivalve molluscs is summarized to achieve a new insight into the mode of action of these nanoparticles in invertebrate organisms. This review shows that the studies about the toxic effects of ENMs in bivalves were conducted mainly with seawater species compared to freshwater ones and that the genus Mytilus is the main taxa used as a model system. There is no standardization of experimental approaches for toxicity testing and reviewed data indicate the need to develop standard protocols for ENMs ecotoxicological testing. In general, the main organ for ENM accumulation is the digestive gland and their cellular fate differs according to nanospecific properties, experimental conditions and bivalve species. Endosomal-lysosomal system and mitochondria are the major cellular targets of ENMs. Metal based ENMs mode of action is related mainly to the dissolution and/or release of the chemical component of the particle inducing immunotoxicity, oxidative stress and cellular injury to proteins, membrane and DNA damage. This review indicates that the aquatic environment is the potential ultimate fate for ENMs and confirms that bivalve molluscs are key model species for monitoring aquatic pollution by ENMs. (C) 2015 Elsevier Ltd. All rights reserved.</t>
  </si>
  <si>
    <t>[Rocha, Thiago Lopes; Sousa, Vania Serrao; Mestre, Nelia C.; Bebianno, Maria Joao] Univ Algarve, Fac Sci &amp; Technol, CIMA, P-8005139 Faro, Portugal; [Gomes, Tania] Norwegian Inst Water Res NIVA, NO-0349 Oslo, Norway</t>
  </si>
  <si>
    <t>Universidade do Algarve; Norwegian Institute for Water Research (NIVA)</t>
  </si>
  <si>
    <t>Gomes, Tânia/X-7771-2019; Sousa, Vânia/AAF-9184-2020; Bebianno, Maria/L-3761-2014; Mestre, Nelia/C-1943-2009; Lopes Rocha, Thiago/A-3864-2015</t>
  </si>
  <si>
    <t>Serrao Sousa, Vania/0000-0002-3800-1688; Mestre, Nelia/0000-0001-6871-9984; Bebianno, Maria/0000-0003-1492-8566; Lopes Rocha, Thiago/0000-0003-0551-6842</t>
  </si>
  <si>
    <t>Portuguese Foundation for Science and Technology (FCT) project (NANOECOTOX) [PTDC/AAC-AMB/121650/2010]; Brazilian National Council for Scientific and Technological Development (CNPq) [239524/2012-8]</t>
  </si>
  <si>
    <t>Portuguese Foundation for Science and Technology (FCT) project (NANOECOTOX); Brazilian National Council for Scientific and Technological Development (CNPq)(Conselho Nacional de Desenvolvimento Cientifico e Tecnologico (CNPQ))</t>
  </si>
  <si>
    <t>10.1016/j.marenvres.2015.06.013</t>
  </si>
  <si>
    <t>WOS:000364726000009</t>
  </si>
  <si>
    <t>Coteur, G; Danis, B; Wantier, P; Pernet, P; Dubois, P</t>
  </si>
  <si>
    <t>Increased phagocytic activity in contaminated seastars (Asterias rubens) collected in the Southern Bight of the North Sea</t>
  </si>
  <si>
    <t>immunity; echinoderms; Asterias rubens; contamination; North Sea; heavy metals; PCBs</t>
  </si>
  <si>
    <t>FIELD CONTAMINATION; MYTILUS-EDULIS; IMMUNE CELLS; METALS; STARFISH; ECHINODERMATA; EXPOSURE; MUSSEL; PCBS</t>
  </si>
  <si>
    <t>In invertebrates, the phagocytosis exerted by immune Cells Constitutes the main line of internal defence against offending microorganisms. This Study assessed during two consecutive years the phagocytic activity in seastars (Asterias rubens) collected in stations along the Belgian and Dutch coasts. The contamination of these seastars by metals and PCBs were measured in parallel. Increased phagocytic activities were found in seastars collected in the plume of the Scheldt river. This correlated with the contamination of seastars by metals, mainly Pb, but not with the contamination by the analysed PCB congeners. Furthermore, the relationship between phagocytosis and metal contamination was reproducible from one year to another. The possible mechanisms explaining this effect are discussed in light of a direct or indirect link between phagocytic activity and metal contamination of seastars. (c) 2005 Elsevier Ltd. All rights reserved.</t>
  </si>
  <si>
    <t>Univ Libre Bruxelles, Biol Marine Lab, B-1050 Brussels, Belgium; Univ Mons, Chim Organ Lab, B-7000 Mons, Belgium</t>
  </si>
  <si>
    <t>Universite Libre de Bruxelles; University of Mons</t>
  </si>
  <si>
    <t>Univ Libre Bruxelles, Biol Marine Lab, CP 160-115,50 Av FD Roosevelt, B-1050 Brussels, Belgium.</t>
  </si>
  <si>
    <t>gcoteur@ulb.ac.be</t>
  </si>
  <si>
    <t>Danis, Bruno/AAS-8444-2021</t>
  </si>
  <si>
    <t>Danis, Bruno/0000-0002-9037-7623</t>
  </si>
  <si>
    <t>10.1016/j.marpolbul.2005.04.038</t>
  </si>
  <si>
    <t>WOS:000234098200025</t>
  </si>
  <si>
    <t>Zou, XH; Xie, HDQH; Zha, GC; Chen, VP; Sun, YJ; Zheng, YZ; Tsim, KWK; Dong, TTX; Choi, RCY; Luk, WKW</t>
  </si>
  <si>
    <t>Zou, Xiang-Hui; Xie, Heidi Qun-Hui; Zha, Guang-Cai; Chen, Vicky Ping; Sun, Yan-Jie; Zheng, Yu-Zhong; Tsim, Karl Wah-Keung; Dong, Tina Ting-Xia; Choi, Roy Chi-Yan; Luk, Wilson Kin-Wai</t>
  </si>
  <si>
    <t>Characterizations of Cholinesterases in Golden Apple Snail (Pomacea canaliculata)</t>
  </si>
  <si>
    <t>JOURNAL OF MOLECULAR NEUROSCIENCE</t>
  </si>
  <si>
    <t>14th International Symposium on Cholinergic Mechanisms (ISCM)</t>
  </si>
  <si>
    <t>MAY, 2013</t>
  </si>
  <si>
    <t>Hangzhou, PEOPLES R CHINA</t>
  </si>
  <si>
    <t>Acetylcholinesterase; Butyrylcholinesterase; Gold apple snail; Biomarker</t>
  </si>
  <si>
    <t>HEAVY-METALS; ACETYLCHOLINESTERASE; BUTYRYLCHOLINESTERASE; WATER; SEDIMENTS; EXPOSURE</t>
  </si>
  <si>
    <t>Cholinesterases (ChEs) have been identified in vertebrates and invertebrates. Inhibition of ChE activity in invertebrates, such as bivalve molluscs, has been used to evaluate the exposure of organophosphates, carbamate pesticides, and heavy metals in the marine system. The golden apple snail (Pomacea canaliculata) is considered as one of the worst invasive alien species harmful to rice and other crops. The ChE(s) in this animal, which has been found recently, but poorly characterized thus far, could serve as biomarker(s) for environmental surveillance as well as a potential target for the pest control. In this study, the tissue distribution, substrate preference, sensitivity to ChE inhibitors, and molecular species of ChEs in P. canaliculata were investigated. It was found that the activities of both AChE and BChE were present in all test tissues. The intestine had the most abundant ChE activities. Both enzymes had fair activities in the head, kidney, and gills. The BChE activity was more sensitive to tetra-isopropylpyrophosphoramide (iso-OMPA) than the AChE. Only one BChE molecular species, 5.8S, was found in the intestine and head, whereas two AChE species, 5.8S and 11.6S, were found there. We propose that intestine ChEs of this snail may be potential biomarkers for manipulating pollutions.</t>
  </si>
  <si>
    <t>[Zou, Xiang-Hui; Zha, Guang-Cai; Sun, Yan-Jie; Zheng, Yu-Zhong] Hanshan Normal Univ, Dept Biol, Chaozhou 521041, Guangdong, Peoples R China; [Xie, Heidi Qun-Hui] Chinese Acad Sci, Res Ctr Ecoenvironm Sci, State Key Lab Environm Chem &amp; Ecotoxicol, Beijing, Peoples R China; [Chen, Vicky Ping; Tsim, Karl Wah-Keung; Dong, Tina Ting-Xia; Choi, Roy Chi-Yan; Luk, Wilson Kin-Wai] Hong Kong Univ Sci &amp; Technol, Div Life Sci, Hong Kong, Hong Kong, Peoples R China; [Chen, Vicky Ping; Tsim, Karl Wah-Keung; Dong, Tina Ting-Xia; Choi, Roy Chi-Yan; Luk, Wilson Kin-Wai] Hong Kong Univ Sci &amp; Technol, Ctr Chinese Med, Hong Kong, Hong Kong, Peoples R China</t>
  </si>
  <si>
    <t>Hanshan Normal University; Chinese Academy of Sciences; Research Center for Eco-Environmental Sciences (RCEES); Hong Kong University of Science &amp; Technology; Hong Kong University of Science &amp; Technology</t>
  </si>
  <si>
    <t>Zha, GC (corresponding author), Hanshan Normal Univ, Dept Biol, Chaozhou 521041, Guangdong, Peoples R China.</t>
  </si>
  <si>
    <t>103674378@qq.com</t>
  </si>
  <si>
    <t>0895-8696</t>
  </si>
  <si>
    <t>1559-1166</t>
  </si>
  <si>
    <t>J MOL NEUROSCI</t>
  </si>
  <si>
    <t>J. Mol. Neurosci.</t>
  </si>
  <si>
    <t>10.1007/s12031-013-0168-4</t>
  </si>
  <si>
    <t>Biochemistry &amp; Molecular Biology; Neurosciences</t>
  </si>
  <si>
    <t>Biochemistry &amp; Molecular Biology; Neurosciences &amp; Neurology</t>
  </si>
  <si>
    <t>AM6ES</t>
  </si>
  <si>
    <t>WOS:000339956700019</t>
  </si>
  <si>
    <t>de Cerio, OD; Reina, L; Squatrito, V; Etxebarria, N; Gonzalez-Gaya, B; Cancio, I</t>
  </si>
  <si>
    <t>Diaz de Cerio, Oihane; Reina, Lander; Squatrito, Valeria; Etxebarria, Nestor; Gonzalez-Gaya, Belen; Cancio, Ibon</t>
  </si>
  <si>
    <t>Gametogenesis-Related Fluctuations in Ovothiol Levels in the Mantle of Mussels from Different Estuaries: Fighting Oxidative Stress for Spawning in Polluted Waters</t>
  </si>
  <si>
    <t>Mytilus galloprovincialis; ovothiol; ovothiol synthase; glutathione; oxidative stress; metabolome; oocytes; pollution biomonitoring</t>
  </si>
  <si>
    <t>BATHYMODIOLUS-AZORICUS; LIPID-PEROXIDATION; AMINO-ACID; FERTILIZATION; EXPOSURE; IMPACTS; OOCYTES</t>
  </si>
  <si>
    <t>Reactive oxygen species present a challenge for marine organisms releasing gametes into the water. Thiol-containing molecules protect cells against oxidative stress, and ovothiol (OSH), an antioxidant-reducing mercaptohistidine, has been described as especially relevant in the oocytes of marine invertebrates. Ovothiol synthase (ovoA), in charge of the first step in OSH synthesis, was sequenced in mussels, Mytilus galloprovincialis. Transcription levels of ovoA in mantle did not significantly change along the reproductive cycle. No alterations of ovoA transcription were observed after a laboratory copper (10 mu g/L) exposure or in mussels captured in a highly polluted site. Conversely, the metabolomic analysis of the hydrophilic metabolite content in mantle clearly classified mussels according to their site of origin, especially at the most advanced stages of oogenesis. Quantification of OSH-A and -B and glutathione (GSH), revealed stable levels in mantle at early gametogenesis in the unpolluted sampling site, but a strong increase in female mantle previous to spawning in the polluted site. These increased concentrations under pollution suggest that OSH-A accumulates along oogenesis, independent of gene transcription regulation. The concerted accumulation of OSH-A and GSH suggests the building of a balanced cellular redox-system to scavenge ROS produced in the oocyte before and during fertilization.</t>
  </si>
  <si>
    <t>[Diaz de Cerio, Oihane; Reina, Lander; Squatrito, Valeria; Cancio, Ibon] Univ Basque Country, UPV EHU, EMBRC Spain,CBET Res Grp, Fac Sci &amp; Technol FCT ZTF,Dept Zool &amp; Anim Cell B, Areatza Hiribidea 47, Plentzia 48620, Basque Country, Spain; [Diaz de Cerio, Oihane; Reina, Lander; Squatrito, Valeria; Etxebarria, Nestor; Gonzalez-Gaya, Belen; Cancio, Ibon] Univ Basque Country, UPV EHU, EMBRC Spain, Res Ctr Expt Marine Biol &amp; Biotechnol PiE, Areatza Hiribidea 47, Plentzia 48620, Basque Country, Spain; [Etxebarria, Nestor; Gonzalez-Gaya, Belen] Univ Basque Country, UPV EHU, EMBRC Spain, Dept Analyt Chem,Fac Sci &amp; Technol FCT ZTF,IBEA R, Areatza Hiribidea 47, Plentzia 48620, Basque Country, Spain</t>
  </si>
  <si>
    <t>University of Basque Country; University of Basque Country; University of Basque Country</t>
  </si>
  <si>
    <t>Cancio, I (corresponding author), Univ Basque Country, UPV EHU, EMBRC Spain,CBET Res Grp, Fac Sci &amp; Technol FCT ZTF,Dept Zool &amp; Anim Cell B, Areatza Hiribidea 47, Plentzia 48620, Basque Country, Spain.;Cancio, I (corresponding author), Univ Basque Country, UPV EHU, EMBRC Spain, Res Ctr Expt Marine Biol &amp; Biotechnol PiE, Areatza Hiribidea 47, Plentzia 48620, Basque Country, Spain.</t>
  </si>
  <si>
    <t>oihane.diazdecerio@ehu.eus; lanreiher@gmail.com; valeria.squatrito@studio.unibo.it; nestor.etxebarria@ehu.eus; belen.gonzalez@ehu.eus; ibon.cancio@ehu.eus</t>
  </si>
  <si>
    <t>Gonzalez-Gaya, Belen/P-6640-2019; Cancio, Ibon/M-4594-2019; Cancio, Ibon/I-2821-2015; Diaz de cerio, Oihane/H-3336-2015; Etxebarria, Nestor/C-7341-2008</t>
  </si>
  <si>
    <t>Cancio, Ibon/0000-0003-4841-0079; Diaz de cerio, Oihane/0000-0002-5605-8434; Etxebarria, Nestor/0000-0002-2942-9463; Gonzalez-Gaya, Belen/0000-0003-1497-9486</t>
  </si>
  <si>
    <t>Basque Government [IT1302-19]; Spanish MINECO [EU-FEDER/ERDF AGL2015-63936-R]; postdoctoral Juan de la Cierva fellowship of the Spanish Ministry of Science and Innovation</t>
  </si>
  <si>
    <t>Basque Government(Basque Government); Spanish MINECO(Spanish Government); postdoctoral Juan de la Cierva fellowship of the Spanish Ministry of Science and Innovation</t>
  </si>
  <si>
    <t>Basque Government through project IT1302-19 and Spanish MINECO through project EU-FEDER/ERDF AGL2015-63936-R. B.G.G. is the recipient of a postdoctoral Juan de la Cierva fellowship of the Spanish Ministry of Science and Innovation.</t>
  </si>
  <si>
    <t>10.3390/biom10030373</t>
  </si>
  <si>
    <t>LJ0PZ</t>
  </si>
  <si>
    <t>WOS:000529877600024</t>
  </si>
  <si>
    <t>Schintu, M; Marrucci, A; Marras, B; Atzori, M; Pellegrini, D</t>
  </si>
  <si>
    <t>Schintu, Marco; Marrucci, Alessandro; Marras, Barbara; Atzori, Marco; Pellegrini, David</t>
  </si>
  <si>
    <t>Passive sampling monitoring of PAHs and trace metals in seawater during the salvaging of the Costa Concordia wreck (Parbuckling Project)</t>
  </si>
  <si>
    <t>Passive sampling: Concordia; Parbuckling; Trace metals seawater: PAH seawater</t>
  </si>
  <si>
    <t>SEMIPERMEABLE-MEMBRANE DEVICES; SITU INTERCOMPARISON EXERCISE; FILMS TECHNIQUE DGT; THIN-FILMS; DIFFUSIVE GRADIENTS; PERFORMANCE-CHARACTERISTICS; ORGANIC CONTAMINANTS; TRANSPLANTED MUSSELS; POSIDONIA-OCEANICA; NATURAL-WATERS</t>
  </si>
  <si>
    <t>Passive sampling techniques were used for monitoring trace metals and polycyclic aromatic hydrocarbons (PAHs) in the seawater surrounding the Costa Concordia shipwreck (Isola del Giglio, Italy). The monitoring lasted two and a half years (2012-2014) and considered all four phases of the parbuckling project: stabilisation of the wreckage, installation of steel caissons on both sides of the wreck, parbuckling, and refloating. Dissolved trace metals (Cd, Cr, Cu, Hg, Ni, Pb, and V) were measured with diffusive gradients in thin films (DGT), while freely dissolved PAHs were measured with semi-permeable membrane devices (SPMDs). Passive sampling allowed to detect very low concentrations of contaminants, and indicated significant differences among the sampling stations and among the different steps for salvaging the wreck. The results suggested that the main source of contamination was the heavy working vessel traffic at the disaster site, rather than the release of contaminants from the wreck.</t>
  </si>
  <si>
    <t>[Schintu, Marco; Marrucci, Alessandro; Marras, Barbara; Atzori, Marco] Univ Cagliari, Cagliari, Italy; [Pellegrini, David] Ist Super Protez &amp; Ric Ambientale, Livorno, Italy</t>
  </si>
  <si>
    <t>University of Cagliari</t>
  </si>
  <si>
    <t>Schintu, M (corresponding author), Univ Cagliari, Cagliari, Italy.</t>
  </si>
  <si>
    <t>Marras, Barbara/0000-0002-7783-6493; Schintu, Marco/0000-0003-0535-3190</t>
  </si>
  <si>
    <t>Italian Civil Protection of the Italian Ministry of Environment</t>
  </si>
  <si>
    <t>This work was supported by funding from the Italian Civil Protection of the Italian Ministry of Environment.</t>
  </si>
  <si>
    <t>10.1016/j.marpolbul.2018.08.011</t>
  </si>
  <si>
    <t>WOS:000448094200089</t>
  </si>
  <si>
    <t>Belivermis, M; Kiliç, O; Gezginci-Oktayoglu, S; Sezer, N; Demiralp, S; Sahin, B; Dupont, S</t>
  </si>
  <si>
    <t>Belivermis, Murat; Kilic, Onder; Gezginci-Oktayoglu, Selda; Sezer, Narin; Demiralp, Selcan; Sahin, Berna; Dupont, Sam</t>
  </si>
  <si>
    <t>Physiological and gene expression responses of the mussel Mytilus galloprovincialis to low pH and low dissolved oxygen</t>
  </si>
  <si>
    <t>Hypoxia; Acidification; Multiple stressors; Physiology; Gene expression; Bivalves</t>
  </si>
  <si>
    <t>OCEAN ACIDIFICATION; OXIDATIVE STRESS; CRASSOSTREA-GIGAS; SEAWATER ACIDIFICATION; PACIFIC OYSTER; PERNA-VIRIDIS; HYPOXIA; EXPOSURE; RESPIRATION; METABOLISM</t>
  </si>
  <si>
    <t>The prevalence and frequency of hypoxia events have increased worldwide over the past decade as a conse-quence of global climate change and coastal biological oxygen depletions. On the other hand, anthropogenic emissions of CO2 and consequent accumulation in the sea surface result in a perturbation of the seawater car-bonate system, including a decrease in pH, known as ocean acidification. While the effect of decreases in pH and dissolved oxygen (DO) concentration is better understood, their combined effects are still poorly resolved. Here, we exposed adult mussels (Mytilus galloprovincialis) to two pHs (8.27 and 7.63) and DO concentrations (7.65 and 2.75 mg L- 1) over 17 days in a full-factorial design. These levels correspond to extremes of the present natural variability and are relevant in the context of ocean acidification and hypoxia. No mortality was observed during the experiment. However, sublethal effects were observed for clearance and oxygen consumption rates, as well as total haemocytes count and haemocytes viability and gene expression in mussels exposed to the combination of low pH and low DO. Respiration and excretion rates were not significantly impacted by low pH and DO, alone or in combination. Overall, low pH alone led to a decrease in all tested physiological parameters while low DO alone led to a decline in clearance rate, haemocyte parameters and an increase in carbohydrate content. Both pa-rameters led to up-or down-regulation of most of the selected genes. Not surprisingly, the combined effect of low pH and low DO could not be predicted by a simple arithmetic additive response at the effect level, highlighting more complex and non-linear effects.</t>
  </si>
  <si>
    <t>[Belivermis, Murat; Kilic, Onder; Gezginci-Oktayoglu, Selda] Istanbul Univ, Fac Sci, Dept Biol, TR-34134 Istanbul, Turkiye; [Sezer, Narin] Istanbul Arel Univ, Med Serv &amp; Tech Dept, Med Lab Tech Program, TR-34295 Istanbul, Turkiye; [Demiralp, Selcan; Sahin, Berna] Istanbul Univ, Inst Grad Studies Sci, Istanbul, Turkiye; [Dupont, Sam] Univ Gothenburg, Dept Biol &amp; Environm Sci, S-45178 Fiskebackskil, Sweden; [Dupont, Sam] IAEA, Environm Labs, MC-98000 Principality Of Monaco, Monaco</t>
  </si>
  <si>
    <t>Istanbul University; Istanbul Arel University; Istanbul University; University of Gothenburg</t>
  </si>
  <si>
    <t>Belivermis, M (corresponding author), Istanbul Univ, Fac Sci, Dept Biol, TR-34134 Istanbul, Turkiye.</t>
  </si>
  <si>
    <t>Oktayoglu, Selda/HPH-2183-2023; KILIÇ, ÖNDER/AAC-5645-2020; Belivermis, Murat/AAC-8059-2020</t>
  </si>
  <si>
    <t>Sezer, Narin/0000-0002-3659-722X; Kilic, Onder/0000-0002-1765-6036; Belivermis, Murat/0000-0003-4826-5246</t>
  </si>
  <si>
    <t>Scientific Research Projects Coordination Unit of Istanbul University [34965]</t>
  </si>
  <si>
    <t>This study was funded by Scientific Research Projects Coordination Unit of Istanbul University. Project number: 34965. Graphical abstract was created with BioRender.com .</t>
  </si>
  <si>
    <t>10.1016/j.marpolbul.2023.114602</t>
  </si>
  <si>
    <t>8H6KP</t>
  </si>
  <si>
    <t>WOS:000921140400001</t>
  </si>
  <si>
    <t>Romdhani, I; Gallo, A; Venditti, M; Abelouah, MR; Varchetta, R; Najahi, H; Boukadida, K; Boni, R; Alla, AA; Minucci, S; Banni, M</t>
  </si>
  <si>
    <t>Romdhani, Ilef; Gallo, Alessandra; Venditti, Massimo; Abelouah, Mohamed Rida; Varchetta, Rita; Najahi, Hana; Boukadida, Khouloud; Boni, Raffaele; Alla, Aicha Ait; Minucci, Sergio; Banni, Mohamed</t>
  </si>
  <si>
    <t>Unveiling the impact of environmental microplastics on mussel spermatozoa: First evidence of prothymosin-α detection in invertebrate's male gametes</t>
  </si>
  <si>
    <t>Environmental microplastics; Mussels; Sperm quality assessment; Apoptosis; Prothymosine-alpha</t>
  </si>
  <si>
    <t>OXIDATIVE STRESS; MYTILUS-GALLOPROVINCIALIS; SPERM; EXPRESSION; VIABILITY; SPERMATOGENESIS; NANOPARTICLES; LOCALIZATION; DEGRADATION; INTEGRITY</t>
  </si>
  <si>
    <t>Mytilus galloprovincialis mussels, like many other marine invertebrates, employ external fertilization as a mating strategy, exposing their gametes to various contaminants upon release into seawater. Environmental microplastics (EMP) are prevalent marine pollutants that pose a significant threat to aquatic biota. In this regard, our study aimed to investigate the potential effects of exposing mussels' male gametes to increasing concentrations of EMP (1, 10, 50, and 100 mu g/l) collected from a Mediterranean sandy beach. We focused on assessing gamete quality by analysing physiological parameters such as viability, mitochondrial membrane potential, oxidative status, and motility. Additionally, we evaluated DNA integrity and activation of apoptosis. Furthermore, our study aimed to detect the presence of the prothymosin-alpha (PTMA) protein, which has never been previously investigated in invertebrate spermatozoa. Our data revealed that exposure of mussel spermatozoa to EMPs altered their oxidative status and mitochondrial membrane potential, induced a decrease in motility, DNA integrity, and an increased apoptotic occurrence, leading to a decline in overall viability. The localization of PTMA into the head and flagellum of spermatozoa further supported its presence and susceptibility to the effects of microplastics. These findings raise concerns about the reproductive capacity of mussels under environmental microplastic pollution and highlight potential long-term threats to population sustainability.</t>
  </si>
  <si>
    <t>[Romdhani, Ilef; Abelouah, Mohamed Rida; Najahi, Hana; Boukadida, Khouloud; Banni, Mohamed] Univ Sousse, Higher Inst Agron, Lab Agrobiodivers &amp; Ecotoxicol, Sousse, Tunisia; [Romdhani, Ilef; Abelouah, Mohamed Rida; Najahi, Hana; Boukadida, Khouloud; Banni, Mohamed] Univ Monastir, Higher Inst Biotechnol, Monastir, Tunisia; [Romdhani, Ilef; Venditti, Massimo; Minucci, Sergio] Univ Campania Luigi Vanvitelli, Dept Expt Med, Via Santa Maria Costantinopoli,16, I-80138 Naples, Italy; [Gallo, Alessandra; Varchetta, Rita; Boni, Raffaele] Stn Zool Anton Dohrn, Dept Biol &amp; Evolut Marine Organisms, Villa Comunale, I-80121 Naples, Italy; [Abelouah, Mohamed Rida; Alla, Aicha Ait] Ibn Zohr Univ, Fac Sci, Lab Aquat Syst Marine &amp; Continental Environm, Agadir, Morocco; [Boni, Raffaele] Univ Basilicata, Dept Sci, Viale Ateneo Lucano 10, I-85100 Potenza, Italy</t>
  </si>
  <si>
    <t>Universite de Sousse; Universite de Monastir; Universita della Campania Vanvitelli; Stazione Zoologica Anton Dohrn di Napoli; Ibn Zohr University of Agadir; Italfarmaco; University of Basilicata</t>
  </si>
  <si>
    <t>Banni, M (corresponding author), Univ Monastir, Higher Inst Biotechnol, Monastir, Tunisia.</t>
  </si>
  <si>
    <t>Venditti, Massimo/Q-2804-2019; Varchetta, Rita/KMA-7028-2024; Minucci, Sergio/I-7039-2019; Boni, Raffaele/K-6192-2019; ALLA, Aicha/ABB-9749-2020; Gallo, Alessandra/AAA-3132-2022</t>
  </si>
  <si>
    <t>Gallo, Alessandra/0000-0002-2558-4722; Romdhani, Ilef/0009-0003-5500-9846</t>
  </si>
  <si>
    <t>Ministry of Higher Education of Tunisia [LR21AGR02]; Tunisia; Morocco [PRD12/20221]; Italian Ministry of University and Research [PRIN]</t>
  </si>
  <si>
    <t>Ministry of Higher Education of Tunisia; Tunisia; Morocco; Italian Ministry of University and Research(Ministry of Education, Universities and Research (MIUR))</t>
  </si>
  <si>
    <t>This work was supported by funds from the Ministry of Higher Education of Tunisia, (LR21AGR02) and Project for excellence 2022 as well as the Bilateral Cooperation Project between Tunisia and Morocco PRD12/20221. This work was also supported by the Italian Ministry of University and Research (Grant No PRIN to S.M., 2020 prot 20204YRYS5). Authors thank Mr Alberto Macina from the Stazione Zoologica Anton Dohrn, Napoli for technical support in mussel's maintenance</t>
  </si>
  <si>
    <t>10.1016/j.jhazmat.2023.132521</t>
  </si>
  <si>
    <t>T9UY7</t>
  </si>
  <si>
    <t>WOS:001081375100001</t>
  </si>
  <si>
    <t>Chen, XB; Su, YP; Liu, HB; Yang, J</t>
  </si>
  <si>
    <t>Chen, Xiubao; Su, Yanping; Liu, Hongbo; Yang, Jian</t>
  </si>
  <si>
    <t>Active Biomonitoring of Metals with Cultured Anodonta woodiana: A Case Study in the Taihu Lake, China</t>
  </si>
  <si>
    <t>Anodonta woodiana; Active biomonitoring; Metals; Taihu Lake</t>
  </si>
  <si>
    <t>HEAVY-METALS; TRACE-METALS; MUSSELS; WATER; SEDIMENTS</t>
  </si>
  <si>
    <t>Freshwater bivalves (Anodonta woodiana), cultured in the Nanquan Aquaculture Base, were translocated to the water source area of Xidong Waterworks in the Taihu Lake for 18-months to biomonitor 13 metals, and determine the suitability of using these cultures as an indicator of long-term metal contamination. Mussel and water samples were analyzed every 6 months, with the Nanquan Aquaculture Base serving as control. Metal concentrations in water and mussels from both sites were generally within the Chinese permissible levels. Metal pollution indexes between the two sites were similar. However, the metal loads of mussels in the water source area of Xidong Waterworks were 57.3, 1.7, and 295.5-fold higher after 6-, 12-, and 18-months relative to the control mussels from the Nanquan Aquaculture Base, respectively. Moreover, the water area in Taihu Lake was moderately, considerably, and highly contaminated by Cd, Al, and Cu, respectively.</t>
  </si>
  <si>
    <t>[Chen, Xiubao; Su, Yanping; Liu, Hongbo; Yang, Jian] Chinese Acad Fishery Sci, Freshwater Fisheries Res Ctr, Key Lab Fishery Ecoenvironm Assessment &amp; Resource, Shanshui East Rd 9, Wuxi City 214081, Jiangsu, Peoples R China</t>
  </si>
  <si>
    <t>Chinese Academy of Fishery Sciences; Freshwater Fisheries Research Center, CAFS</t>
  </si>
  <si>
    <t>Yang, J (corresponding author), Chinese Acad Fishery Sci, Freshwater Fisheries Res Ctr, Key Lab Fishery Ecoenvironm Assessment &amp; Resource, Shanshui East Rd 9, Wuxi City 214081, Jiangsu, Peoples R China.</t>
  </si>
  <si>
    <t>Liu, Hongbo/H-2790-2013</t>
  </si>
  <si>
    <t>Natural Science Funds of Jiangsu Province [BK20161144]; National Natural Science Foundation of China [31502166, 31072214]; Central Public-interest Scientific Institution Basal Research Fund [2015JBFM14]</t>
  </si>
  <si>
    <t>Natural Science Funds of Jiangsu Province(Natural Science Foundation of Jiangsu Province); National Natural Science Foundation of China(National Natural Science Foundation of China (NSFC)); Central Public-interest Scientific Institution Basal Research Fund</t>
  </si>
  <si>
    <t>This work was supported by Natural Science Funds of Jiangsu Province (Grant No. BK20161144); National Natural Science Foundation of China (Grant Nos. 31502166, 31072214); and Central Public-interest Scientific Institution Basal Research Fund (Grant No. 2015JBFM14).</t>
  </si>
  <si>
    <t>10.1007/s00128-018-2482-6</t>
  </si>
  <si>
    <t>HM2FQ</t>
  </si>
  <si>
    <t>WOS:000459273600009</t>
  </si>
  <si>
    <t>Yu, ZH; Robinson, SMC; Xia, JJ; Sun, HY; Hu, CQ</t>
  </si>
  <si>
    <t>Yu, Zonghe; Robinson, Shawn M. C.; Xia, Jianjun; Sun, Hongyan; Hu, Chaoqun</t>
  </si>
  <si>
    <t>Growth, bioaccumulation and fodder potentials of the seaweed Sargassum hemiphyllum grown in oyster and fish farms of South China</t>
  </si>
  <si>
    <t>Aquaculture pollution; Integrated multi-trophic aquaculture (IMTA); Seaweed; Nutritional value; Bioaccumulation</t>
  </si>
  <si>
    <t>NUTRIENT CONTENT; COASTAL WATERS; CULTURE; NITROGEN; BIOREMEDIATION; CULTIVATION; AQUACULTURE; PHOSPHORUS; RHODOPHYTA; ALGA</t>
  </si>
  <si>
    <t>Fish and shellfish aquaculture industries in Dapeng Cove, South China, have profound impacts on the coastal marine ecosystem in recent years. In this study, the local seaweed Sargassum hemiphyllum was introduced into oyster and fish farms as a biofilter during winter and early spring of 2013. Results showed that S. hemiphyllumgrown in the fish farm suffered greater fouling and herbivory than these in the oyster farm. Thalli grown in both sites could achieve high growth rates during January and February; meanwhile, the specific growth rates for wet weight (SGR(W)) of seaweeds in the oysters farm at January, February and April samplings (7.16, 6.16 and 2.25% d(-1), respectively) were all higher than those in the fish farm at the same sampling period (2.89, 3.19 and 0.90% d(-1), respectively). The mean fresh-weight biomass increments for thalli grown in the oyster and fish farms were similar to 40 and 7 times, respectively, during the 4-month culture period. The N and P contents of S. hemiphyllum grown in both sites all varied significantly over time, and P contents of thalli in the oyster farm always higher than those of the fish farm at the same sampling period. The C, N and P bioaccumulation capacities of S. hemiphyllum cultured in the oyster farm were 15016.90 +/- 6241.78, 1112.45 +/- 459.81 and 134.69 +/- 55.46 mg thallus(-1), respectively, over the study period, which were all significantly higher than those in the fish farm(2457.46 +/- 1073.78, 180.27 +/- 75.23 and 13.69 +/- 5.88 mg thallus(-1), respectively). The nutritional composition of S. hemiphyllum in both sites were always comparable or higher than those of the seaweeds used as holothurian feed, and the heavy metal contents (Pb, Cd and Cr) were all well below the maximum allowable concentration for aquatic feed; thalli grown in the oyster farm were always with higher crude protein and fat contents, but lower heavy metal levels than those in the fish farm. We consider large-scale cultivation of S. hemiphyllum in Dapeng Cove can efficiently relieve the total environmental impact of aquaculture on the ecosystem of the whole bay, while give high yield of seaweed product with better quality. Statement of relevance: This article provides useful information on the seaweed-based integrated multi-trophic aquaculture in fish and shellfish farms, and it can also give suggestion for the practice of large-scale cultivation of Sargassum and sustainable aquaculture in coastal area. (C) 2016 Elsevier B.V. All rights reserved.</t>
  </si>
  <si>
    <t>[Yu, Zonghe; Xia, Jianjun; Hu, Chaoqun] Chinese Acad Sci, South China Sea Inst Oceanol, Key Lab Appl Marine Biol Guangdong Prov, CAS Key Lab Trop Marine Bioresources &amp; Ecol LMB, Guangzhou 510301, Guangdong, Peoples R China; [Yu, Zonghe; Xia, Jianjun; Hu, Chaoqun] Chinese Acad Sci, South China Sea Inst Oceanol, Chinese Acad Sci LAMB, Guangzhou 510301, Guangdong, Peoples R China; [Robinson, Shawn M. C.] Fisheries &amp; Oceans Canada, St Andrews Biol Stn, St Andrews, NB E5B 2L9, Canada; [Sun, Hongyan] South China Agr Univ, Coll Marine Sci, Guangzhou 510642, Guangdong, Peoples R China</t>
  </si>
  <si>
    <t>Chinese Academy of Sciences; South China Sea Institute of Oceanology, CAS; Chinese Academy of Sciences; South China Sea Institute of Oceanology, CAS; Fisheries &amp; Oceans Canada; South China Agricultural University</t>
  </si>
  <si>
    <t>Hu, CQ (corresponding author), Chinese Acad Sci, South China Sea Inst Oceanol, Guangzhou 510301, Guangdong, Peoples R China.</t>
  </si>
  <si>
    <t>hucq@scsio.ac.cn</t>
  </si>
  <si>
    <t>Robinson, Shawn/0000-0002-1705-7930</t>
  </si>
  <si>
    <t>National Natural Science Foundation of China [41406194]; Natural Science Foundation of Guangdong Province [2014A030313730]; National Science &amp; Technology Pillar Program [2011BAD13B02]</t>
  </si>
  <si>
    <t>National Natural Science Foundation of China(National Natural Science Foundation of China (NSFC)); Natural Science Foundation of Guangdong Province(National Natural Science Foundation of Guangdong Province); National Science &amp; Technology Pillar Program</t>
  </si>
  <si>
    <t>This research was supported by the National Natural Science Foundation of China (41406194), the Natural Science Foundation of Guangdong Province (2014A030313730), and the Key Projects in the National Science &amp; Technology Pillar Program during the 12th Five-year Plan Period (2011BAD13B02). We thank Mr. Yu and Mr. Wang for their assistance in the field study.</t>
  </si>
  <si>
    <t>10.1016/j.aquaculture.2016.07.031</t>
  </si>
  <si>
    <t>DW0YT</t>
  </si>
  <si>
    <t>WOS:000383370300060</t>
  </si>
  <si>
    <t>Henley, WF; Beaty, BB; Jones, JW</t>
  </si>
  <si>
    <t>Henley, William F.; Beaty, Braven B.; Jones, Jess W.</t>
  </si>
  <si>
    <t>EVALUATIONS OF ORGAN TISSUES FROM ACTINONAIAS PECTOROSA COLLECTED DURING A MUSSEL DIE-OFF IN 2016 AT KYLES FORD, CLINCH RIVER, TENNESSEE</t>
  </si>
  <si>
    <t>freshwater mussels; Actinonaias pectorosa; mussel die-off; histology; Clinch River</t>
  </si>
  <si>
    <t>APLYSIA-DEPILANS MOLLUSCA; FRESH-WATER MUSSELS; DIGESTIVE GLAND; OXIDATIVE STRESS; MYTILUS-EDULIS; SEDIMENT QUALITY; PERNA-PERNA; HEAVY-METAL; BIOMARKERS; POLLUTION</t>
  </si>
  <si>
    <t>To investigate a unionid mussel die-off that began in 2016 in the Clinch River, organ tissues from 10 pheasantshells Actinonaias pectorosa (Conrad, 1834) were collected from Kyles Ford, TN. on October 6, 2016. Histological evaluations quantified abundances of tissue lesions in gills, digestive glands, and kidneys; gamete production and resorption levels in reproductive acini; and percentages of mussels infested with parasites. Atrophy and necrosis of digestive gland tissues were prevalent in most mussels, and pervasive necrosis in vesicular connective tissues (VCT) also was observed. Nine of the 10 mussels were infested with parasites. One mussel stained Gram positive, and examination revealed the presence of unidentified streptococci-like bacteria. Nine mussels stained Gram negative, and the stained spherical structures resembled cocci. High fractions of kidney cells containing lipofuscin were observed in the study mussels, indicating high levels of oxidative stress and probable impairment of important organ functions. It is likely that oxidative stress and consequent lipofuscin abundances in the kidney cells resulted from the combined effects of lesions (tissue damage, parasitic infestations, and presumptive bacterial infections) and the low-concentration contaminant array in the Clinch River. Necrosis in digestive glands and VCT decreased the available somatic energy (i.e., lipids and carbohydrates). although energy demands were high because of parasitic infestation. presumptive bacterial infection, altered physiological functions, and needed tissue repair. Although the results of this study could not determine the actual causes of mortality during the mussel die-off, they revealed numerous pervasive tissue lesions in the mussels, which led to starvation-like conditions due to unidentified environmental stressors.</t>
  </si>
  <si>
    <t>[Henley, William F.] Virginia Tech, Dept Fish &amp; Wildlife Conservat, Freshwater Mollusk Conservat Ctr, 100 Cheatham Hall, Blacksburg, VA 24061 USA; [Beaty, Braven B.] Nature Conservancy, Clinch Valley Program, 4245 North Fairfax Dr, Abingdon, VA 22203 USA; [Jones, Jess W.] Virginia Tech, US Fish &amp; Wildlife Serv, Dept Fish &amp; Wildlife Conservat, 106 Cheatham Hall, Blacksburg, VA 24061 USA</t>
  </si>
  <si>
    <t>Virginia Polytechnic Institute &amp; State University; Nature Conservancy; United States Department of the Interior; US Fish &amp; Wildlife Service; Virginia Polytechnic Institute &amp; State University</t>
  </si>
  <si>
    <t>Henley, WF (corresponding author), Virginia Tech, Dept Fish &amp; Wildlife Conservat, Freshwater Mollusk Conservat Ctr, 100 Cheatham Hall, Blacksburg, VA 24061 USA.</t>
  </si>
  <si>
    <t>whenley@vt.edu</t>
  </si>
  <si>
    <t>Clinch River Program, The Nature Conservancy, Abingdon, VA</t>
  </si>
  <si>
    <t>Funding for this project was provided by the Clinch River Program, The Nature Conservancy, Abingdon, VA. We thank Andrew Phipps, Freshwater Mollusk Conservation Center, Virginia Tech, Blacksburg, VA, and Tim Lane, Aquatic Wildlife Conservation Center, Virginia Department of Game and Inland Fisheries, Marion, VA, for their assistance during collection of the mussels.</t>
  </si>
  <si>
    <t>10.2983/035.038.0320</t>
  </si>
  <si>
    <t>JY9ZC</t>
  </si>
  <si>
    <t>WOS:000504763000020</t>
  </si>
  <si>
    <t>Zhang, X; Wang, XX; Yan, B</t>
  </si>
  <si>
    <t>Zhang, Xin; Wang, Xingxing; Yan, Bo</t>
  </si>
  <si>
    <t>Single and combined effects of phenanthrene and polystyrene microplastics on oxidative stress of the clam (Mactra veneriformis)</t>
  </si>
  <si>
    <t>Phenanthrene; Microplastic; Antioxidant biomarker; Clam Mactra veneriformis</t>
  </si>
  <si>
    <t>POLYCYCLIC AROMATIC-HYDROCARBONS; ZEBRAFISH DANIO-RERIO; RESPONSES; NANOPLASTICS; TOXICITY; EXPOSURE; BIOMARKERS; MUSSELS; HEALTH; BIOACCUMULATION</t>
  </si>
  <si>
    <t>Toxicity of single organic pollutants or microplastics on organisms have been reported widely, however, their combined toxicity on bivalves was rarely investigated. In this paper, single and combined effects of phenanthrene (Phe, 20 mu g.L-1 and 50 mu g.L-1) and polystyrene (PS, 17 mu m and 150 mu m with 1 mg.L-1) microplastics on oxidative stress of the clam Mactra veneriformis were assayed under laboratory conditions with biomarkers including superoxide dismutase (SOD), glutathione-S-transferase (GST) and malondialdehyde (MDA). We found that Phe or PS single stress source could induce oxidative stress to clams. Besides, exposed to Phe 50 mu g.L-1 or PS 150 mu m caused the reduced expression of SOD and GST activities, leading to potential oxidative injury in clams. At each Pheconcentration level, the order of single and combined toxicity on clams was Phe+PS150 mu m&gt; Phe approximate to Phe+PS 17 mu m. Phe exhibited a stronger toxic effect on clams than PS. Under joint exposure stress, the toxicity influence of Phe is still dominant. Furthermore, MDA and GST could be considered the most sensitive oxidative stress biomarkers in clams under Phe or PS single and combined exposures, respectively. (C) 2021 Elsevier B.V. All rights reserved.</t>
  </si>
  <si>
    <t>[Zhang, Xin; Wang, Xingxing; Yan, Bo] Tianjin Univ Sci &amp; Technol, Coll Marine &amp; Environm Sci, Tianjin 300457, Peoples R China; [Yan, Bo] Tianjin Marine Environm Protect &amp; Restorat Techno, Tianjin 300457, Peoples R China; [Yan, Bo] Tianjin Key Lab Marine Resources &amp; Chem, Tianjin 300457, Peoples R China</t>
  </si>
  <si>
    <t>Tianjin University Science &amp; Technology</t>
  </si>
  <si>
    <t>Yan, B (corresponding author), Tianjin Univ Sci &amp; Technol, Coll Marine &amp; Environm Sci, Tianjin 300457, Peoples R China.</t>
  </si>
  <si>
    <t>yanbo@tust.edu.cn</t>
  </si>
  <si>
    <t>Yan, Bo/AAI-6096-2021</t>
  </si>
  <si>
    <t>10.1016/j.scitotenv.2020.144728</t>
  </si>
  <si>
    <t>QV3SV</t>
  </si>
  <si>
    <t>WOS:000627895900012</t>
  </si>
  <si>
    <t>Hassan, H; Benvenuto, C; Al-Maslamani, I; Chatting, M; Mondal, D; Leitao, A</t>
  </si>
  <si>
    <t>Hassan, Hassan; Benvenuto, Chiara; Al-Maslamani, Ibrahim; Chatting, Mark; Mondal, Debapriya; Leitao, Alexandra</t>
  </si>
  <si>
    <t>Methylmercury, Trace Metals, Organotins and Their Effects on the Qatari Mangrove Shrimp, Palaemon khori</t>
  </si>
  <si>
    <t>aneuploidy; environmental pollution levels; genotoxicity; methylmercury; organotins; Palaemon khori; survival; trace metals</t>
  </si>
  <si>
    <t>METHYL-MERCURY; HEAVY-METALS; GENOTOXICITY BIOMARKERS; OXYGEN-CONSUMPTION; AMMONIUM EXCRETION; MARINE-SEDIMENTS; PACIFIC OYSTERS; BINARY-MIXTURES; WHITE SHRIMP; COMET ASSAY</t>
  </si>
  <si>
    <t>The Qatari mangroves of Al-Khor are being increasingly exposed to a wide variety of anthropogenic pollutants due to land reclamation and urban expansion. In this study, we evaluated the lethal and genotoxic effects of methylmercury, trace metals, and organotins, assessing mortality and aneuploidy levels (abnormal number of chromosomes) in the endemic shrimp Palaemon khori under laboratory conditions. In the experimental design, two different concentrations were used for each family of contaminant (single or combined): an environmental concentration equivalent to the maximum value reported in the environment and a value ten times higher, for a period of eight weeks. Survival decreased significantly when pollutants were administrated in combination, even at environmental concentrations (as shown by Cox proportional hazards ratios): similar levels of mortality would be reached by individual type of pollutants only at ten times the environmental concentration. This critical result, under controlled lab conditions, highlights the importance of monitoring mixtures of contaminant types over single ones in the marine environment. Aneuploidy was reported in all treatments and control ranging from 5% to 19% at week four and from 7% to 21% at week eight. All treatments presented significantly higher aneuploidy levels when compared to the control. However, no significant difference was observed between the two time periods, even though 30% of the treatments could not be assessed at week eight, as not enough animals were still alive. In conclusion, the use of endemic species should be considered a valuable tool to determine local perturbations, representing a regional bioindicator of multiple environmental stressors from the initial stages of contamination.</t>
  </si>
  <si>
    <t>[Hassan, Hassan; Al-Maslamani, Ibrahim; Chatting, Mark; Leitao, Alexandra] Qatar Univ, Environm Sci Ctr, POB 2713, Doha, Qatar; [Hassan, Hassan; Benvenuto, Chiara] Univ Salford, Ecosyst &amp; Environm Res Ctr, Sch Sci Engn &amp; Environm, Salford M5 4WT, Lancs, England; [Mondal, Debapriya] St Georges Univ London, Inst Med &amp; Biomed Educ, Cranmer Terrace, London SW17 0RE, England</t>
  </si>
  <si>
    <t>Qatar University; University of Salford; City St Georges, University of London</t>
  </si>
  <si>
    <t>Hassan, H (corresponding author), Qatar Univ, Environm Sci Ctr, POB 2713, Doha, Qatar.;Hassan, H (corresponding author), Univ Salford, Ecosyst &amp; Environm Res Ctr, Sch Sci Engn &amp; Environm, Salford M5 4WT, Lancs, England.</t>
  </si>
  <si>
    <t>hassan.hassan@qu.edu.qa; c.benvenuto@salford.ac.uk; almaslamani@qu.edu.qa; mchatting@qu.edu.qa; dmondal@sgul.ac.uk; alexandra.hamadou@qu.edu.qa</t>
  </si>
  <si>
    <t>Mondal, Debapriya/I-6540-2019</t>
  </si>
  <si>
    <t>Benvenuto, Chiara/0000-0002-8378-8168; Mondal, Debapriya/0000-0002-5144-626X; Hassan, Hassan/0000-0002-7986-2070; Chatting, Mark/0000-0002-7916-7107</t>
  </si>
  <si>
    <t>Qatar University(Qatar National Research Fund (QNRF))</t>
  </si>
  <si>
    <t>The authors are grateful to S. Al Saadi for her assistance in the sample preparation, M. Rafeek, M. Abdulkader and M. Pindath for their help in the experimental set up and shrimp maintenance. The authors are also indebted to Najat Hussain A. Al-Omari for her help with the imaging and would like to extend their acknowledgement to the Staff at the Environmental Science Center (ESC), Qatar University, for the support provided.</t>
  </si>
  <si>
    <t>10.3390/jmse10070843</t>
  </si>
  <si>
    <t>3H3HO</t>
  </si>
  <si>
    <t>gold, Green Published, Green Accepted</t>
  </si>
  <si>
    <t>WOS:000831929600001</t>
  </si>
  <si>
    <t>Chelyadina, NS; Popov, MA; Pospelova, NV</t>
  </si>
  <si>
    <t>Chelyadina, Natalya S.; Popov, Mark A.; Pospelova, Natalya V.</t>
  </si>
  <si>
    <t>The effect of sex hormones on sex inversion in the mussel Mytilus galloprovincialis</t>
  </si>
  <si>
    <t>Bivalves; Black sea; Pollution; Aquaculture; Mortality; Sex ratio</t>
  </si>
  <si>
    <t>MARINE BIVALVE; STEROIDS; MORTALITY; MOLLUSKS; DIFFERENTIATION; REPRODUCTION; POPULATIONS; GENDER; TISSUE</t>
  </si>
  <si>
    <t>Global changes in the coastal ecosystems of oceans and seas, influenced by natural environmental factors and anthropogenic load, have led to a shift in the sexual structure of the mussel Mytilus galloprovincialis, , a species cultivated in many countries. This paper is the first to study the effects of steroid hormones on sex inversion and mortality in the M. galloprovincialis. . A unidirectional pattern of sex change from females to males was observed. A 100% sex change of females was achieved under the influence of the hormone testosterone during the period of post-spring restructuring of the gonads. No sex change occurred when males and females were exposed to 17(3estradiol. The mortality of mollusks did not exceed 5%.</t>
  </si>
  <si>
    <t>[Chelyadina, Natalya S.; Popov, Mark A.; Pospelova, Natalya V.] RAS, AO Kovalevsky Inst Biol Southern Seas, Nakhimov Ave 2, Sevastopol 299011, Russia</t>
  </si>
  <si>
    <t>Pospelova, NV (corresponding author), RAS, AO Kovalevsky Inst Biol Southern Seas, Nakhimov Ave 2, Sevastopol 299011, Russia.</t>
  </si>
  <si>
    <t>10.1016/j.marenvres.2024.106710</t>
  </si>
  <si>
    <t>F0K0I</t>
  </si>
  <si>
    <t>WOS:001306783900001</t>
  </si>
  <si>
    <t>D'costa, AH; Shyama, SK; Kumar, MKP; Furtado, S</t>
  </si>
  <si>
    <t>D'costa, Avelyno H.; Shyama, S. K.; Kumar, Praveen M. K.; Furtado, Swizzle</t>
  </si>
  <si>
    <t>The Backwater Clam (Meretrix casta) as a bioindicator species for monitoring the pollution of an estuarine environment by genotoxic agents</t>
  </si>
  <si>
    <t>Comet assay; Micronucleus test; Condition index</t>
  </si>
  <si>
    <t>MUSSELS MYTILUS-GALLOPROVINCIALIS; DETECTING DNA-DAMAGE; SOUTH-WEST ENGLAND; COMET ASSAY; OXIDATIVE STRESS; RUDITAPES-PHILIPPINARUM; MARINE-ENVIRONMENT; CONDITION INDEX; HEAVY-METALS; RELATIVE SENSITIVITY</t>
  </si>
  <si>
    <t>The coast of Goa receives anthropogenic stress through its major rivers, which carry mining wastes, including iron and manganese ores from upstream mining sites, and petroleum hydrocarbons from shipping activities. These contaminants show seasonal variation in concentration and may be bioaccumulated by fauna inhabiting these waters. These fauna, including the bivalve molluscs, are particularly at risk due to these insults. In the present study, the use of the bacicwater clam, Meretrix casta (Chemnitz), as a bioindicator species was evaluated, comparing two sites (Vasco and Palolem) on the Goan coast. DNA damage was assessed in the gill cells using the micronucleus and comet assays; physiological condition was determined from the condition index. These values were tested for correlations with the concentrations of total petroleum hydrocarbons and trace metals in the whole soft tissues and with the physico-chemical parameters of water from these sites. Specimens collected from Vasco showed high incidence of micronuclei and % tail DNA and a low condition index ratio compared to those from Palolem, which correlates with the higher level of pollutants in the bivalves the former site. We believe that M. costa is a suitable species for biomonitoring studies of this type.</t>
  </si>
  <si>
    <t>[D'costa, Avelyno H.; Shyama, S. K.; Kumar, Praveen M. K.; Furtado, Swizzle] Goa Univ, Dept Zool, Genet Toxicol Lab, Taleigao 403206, Goa, India</t>
  </si>
  <si>
    <t>Shyama, SK (corresponding author), Goa Univ, Dept Zool, Genet Toxicol Lab, Taleigao 403206, Goa, India.</t>
  </si>
  <si>
    <t>skshyama@gmail.com</t>
  </si>
  <si>
    <t>D'Costa, Avelyno/ABB-1276-2020</t>
  </si>
  <si>
    <t>D'costa, Avelyno/0000-0002-9171-5639</t>
  </si>
  <si>
    <t>Ministry of Earth Sciences (MoES), Govt. of India [MoES/11-MRDF/1/38/P/10-PC-III]; University Grants Commission (UGC) [F1-17.1/2013-14/IVIANF-2013-14-CHR-GOA-25375]</t>
  </si>
  <si>
    <t>Ministry of Earth Sciences (MoES), Govt. of India(Ministry of Earth Science (MoES), Government of India); University Grants Commission (UGC)(University Grants Commission, India)</t>
  </si>
  <si>
    <t>This work was a part of the Ministry of Earth Sciences (MoES), Govt. of India funded project (Sanction No. MoES/11-MRDF/1/38/P/10-PC-III dated 30/06/2010). The authors also express their gratitude to the University Grants Commission (UGC) for providing the Maulana Azad National Fellowship (F1-17.1/2013-14/IVIANF-2013-14-CHR-GOA-25375). The authors also wish to acknowledge Dr. S.R. Ganihar for his valuable assistance in data compilation and analyses.</t>
  </si>
  <si>
    <t>10.1016/j.mrgentox.2017.11.001</t>
  </si>
  <si>
    <t>FT2UK</t>
  </si>
  <si>
    <t>WOS:000423001300002</t>
  </si>
  <si>
    <t>Gorinstein, S; Jung, ST; Moncheva, S; Arancibia-Avila, P; Park, YS; Kang, SG; Goshev, I; Trakhtenberg, S; Namiesnik, J</t>
  </si>
  <si>
    <t>Partial characterization of proteins from mussel Mytilus galloprovincialis as a biomarker of contamination</t>
  </si>
  <si>
    <t>FIELD TRANSLOCATION EXPERIMENT; METAL CONCENTRATIONS; DIGESTIVE GLAND; SERUM-ALBUMIN; METALLOTHIONEIN; EDULIS; FLUORESCENCE; STABILITY; POLLUTION; BIVALVES</t>
  </si>
  <si>
    <t>Preservation of a healthy environment is a very important task, especially in the time of the total industrial revolution. Therefore, attempts to find new additional biomarkers of contamination are welcomed. For this aim, the functional and antioxidant properties of mussel Mytilus galloprovincialis proteins and the heavy metals Cd and Pb were explored. Mussels were collected in contaminated and noncontaminated sites in the Varna area of the Bulgarian Black Sea coast. Proteins were extracted from mussel entire soft tissue and analyzed using instrumental (Fourier transform infrared [FT-IR] spectroscopy, fluorescence, atomic absorption spectrophotometry), and biochemical (2,2'-azinobis 3-ethylbenzothiazoline-6-sulfonate) radical cation [ABTS(center dot+)]) methods. It was found that mussel proteins from the contaminated sites had specific qualitative changes: partial unfolding of the alpha-helix, slight shift in amide I bands, increased hydrophobicity, and fluorescent intensity in native and denatured samples. In the same mussel samples, an increased radical-scavenging capacity and increased contents of Cd and Pb in entire soft tissue were registered. Therefore, the above-mentioned indices could be used as additional biomarkers of sea water contamination.</t>
  </si>
  <si>
    <t>Hebrew Univ Jerusalem, Hadassah Med Sch, Sch Pharm, Dept Med Chem &amp; Nat Prod, IL-91120 Jerusalem, Israel; Mokpo Natl Univ, Dept Food Engn, Muan Jeonnam 534729, South Korea; Bulgarian Acad Sci, Inst Oceanol, Varna 9000, Bulgaria; Univ Bio Bio, Dept Basic Sci, Chillan, Chile; Mokpo Natl Univ, Dept Hort Sci, Muan Jeonnam 534729, South Korea; Mokpo Natl Univ, Food Ind Technol Res Ctr, Muan Jeonnam 534729, South Korea; Bulgarian Acad Sci, Inst Organ Chem, BG-1040 Sofia, Bulgaria; Bulgarian Acad Sci, Ctr Phytochem, BG-1040 Sofia, Bulgaria; Kaplan Univ Med Ctr, Rehovot, Israel; Gdansk Univ Technol, Fac Chem, PL-80952 Gdansk, Poland</t>
  </si>
  <si>
    <t>Hebrew University of Jerusalem; Mokpo National University; Bulgarian Academy of Sciences; Universidad del Bio-Bio; Mokpo National University; Mokpo National University; Bulgarian Academy of Sciences; Bulgarian Academy of Sciences; Fahrenheit Universities; Gdansk University of Technology</t>
  </si>
  <si>
    <t>Namiesnik, Jacek/0000-0001-9598-2198; Arancibia-Avila, Patricia/0000-0002-5814-1725</t>
  </si>
  <si>
    <t>10.1007/s00244-004-0238-2</t>
  </si>
  <si>
    <t>978ET</t>
  </si>
  <si>
    <t>WOS:000232857100008</t>
  </si>
  <si>
    <t>Nippard, L; Ciocan, C</t>
  </si>
  <si>
    <t>Nippard, L.; Ciocan, C.</t>
  </si>
  <si>
    <t>POTENTIAL IMPACT OF AQUACULTURE EFFLUENTS IN LOCH CRERAN, SCOTLAND</t>
  </si>
  <si>
    <t>MARINE POLLUTION; MYTILUS EDULIS; AQUACULTURE; BIOINDICATOR; HISTOLOGY</t>
  </si>
  <si>
    <t>MYTILUS-EDULIS; MUSSELS; SEDIMENTS; POLLUTION</t>
  </si>
  <si>
    <t>The aquaculture industry is developing at a fast pace, growing from 1 million tonnes a year harvested in the 1950s, to more than 75 million tonnes nowadays. However, there are rising concerns over the environment impacts. The aim of this study is to investigate the impacts of salmon aquaculture in Loch Creran, Scotland, using mussels Mytilus edulis (Linnaeus, 1758) as a bioindicator. Water samples and mussel tissues were collected from two different sites along the loch shore and were analysed for contaminant bioaccumulation and biological effects, using gas chromatography and histology techniques. The results showed high levels of heavy metals and organic compounds (n-hexadecanoic acid, 1-Heptatriacontanol, Iso-phorone, Cholestan-3-ol and oleic acid) in mussel tissues close to the salmon farms. The histology results indicate that the mussels from the aquaculture site are in poor health condition, with 90 % of tissue samples exhibiting one or more signs of pollutant induced stress, such as haemocyte infiltrations, lipofuscin accumulation, parasites and possible neoplasms.</t>
  </si>
  <si>
    <t>[Nippard, L.; Ciocan, C.] Univ Brighton, Sch Pharm &amp; Biomol Sci, Brighton BN2 4GJ, E Sussex, England</t>
  </si>
  <si>
    <t>University of Brighton</t>
  </si>
  <si>
    <t>Ciocan, C (corresponding author), Univ Brighton, Sch Pharm &amp; Biomol Sci, Brighton BN2 4GJ, E Sussex, England.</t>
  </si>
  <si>
    <t>C.Ciocan@brighton.ac.uk</t>
  </si>
  <si>
    <t>IK5XU</t>
  </si>
  <si>
    <t>WOS:000476659900005</t>
  </si>
  <si>
    <t>Guterres, BD; Guerreiro, AD; Sandrini, JZ; Botelho, SSD</t>
  </si>
  <si>
    <t>Guterres, Bruna de Vargas; Guerreiro, Amanda da Silveira; Sandrini, Juliana Zomer; da Costa Botelho, Silvia Silva</t>
  </si>
  <si>
    <t>Feasibility of visual signals on the construction of biosensors based on behavioral analysis of Perna perna mussels</t>
  </si>
  <si>
    <t>ECOLOGICAL INFORMATICS</t>
  </si>
  <si>
    <t>Mussels; Behavioral analysis; Valvometry; Biosensors</t>
  </si>
  <si>
    <t>Bivalve mollusks are well known for their sentinel characteristics being sensitive to environmental changes. Considering the capability of closing their valves to isolate their soft tissues from the aquatic medium, the analysis of bivalves behavior has been used in the construction of aquatic pollution biosensors. Hall effect sensors are a well-established and widely used valvometry method and present several advantages. However, its use still requires fixing components in the animal shells. The present study has investigated the feasibility of using visual signals for the behavioral analysis of Perna perna mussels. In this sense, it has described a computer vision algorithm for the analysis of mussels valve-activity. Moreover, the valve-activity responses obtained through the computer vision algorithm have demonstrated a very similar pattern to the signal obtained with Hall effect sensors. In conclusion, the use of visual signals in the behavioral monitoring of Perna perna mussels have proved to be feasible. Furthermore, results indicated that the study of more robust computer-vision techniques may lead to the construction of totally non-invasive biosensors.</t>
  </si>
  <si>
    <t>[Guterres, Bruna de Vargas; da Costa Botelho, Silvia Silva] Univ Fed Rio Grande FURG, Ctr Ciencias Comp, Programa Posgrad Engn Comp, C3, BR-96203900 Rio Grande, RS, Brazil; [Guerreiro, Amanda da Silveira; Sandrini, Juliana Zomer] Univ Fed Rio Grande FURG, ICB, Programa Posgrad Ciencias Fisiol, BR-96203900 Rio Grande, RS, Brazil</t>
  </si>
  <si>
    <t>Guterres, BD (corresponding author), Univ Fed Rio Grande FURG, Ctr Ciencias Comp, Programa Posgrad Engn Comp, C3, BR-96203900 Rio Grande, RS, Brazil.</t>
  </si>
  <si>
    <t>guterres.bruna@furg.br</t>
  </si>
  <si>
    <t>da Silveira Guerreiro, Amanda/AAV-3232-2020; Sandrini, Juliana/E-2893-2015</t>
  </si>
  <si>
    <t>Guerreiro, Amanda/0000-0002-1518-328X</t>
  </si>
  <si>
    <t>Coordenacao de Aperfeicoamento de Pessoal de Nivel Superior - Brazil (CAPES) [001]; Conselho Nacional de Desenvolvimento Cientifico e Tecnologico Brazil (CNPq)</t>
  </si>
  <si>
    <t>Coordenacao de Aperfeicoamento de Pessoal de Nivel Superior - Brazil (CAPES)(Coordenacao de Aperfeicoamento de Pessoal de Nivel Superior (CAPES)); Conselho Nacional de Desenvolvimento Cientifico e Tecnologico Brazil (CNPq)(Conselho Nacional de Desenvolvimento Cientifico e Tecnologico (CNPQ))</t>
  </si>
  <si>
    <t>This study was sponsored by the Coordenacao de Aperfeicoamento de Pessoal de Nivel Superior - Brazil (CAPES; Finance Code 001) and Conselho Nacional de Desenvolvimento Cientifico e Tecnologico Brazil (CNPq). Amanda da S. Guerreiro and Bruna de V. Guterres are graduate fellows of CAPES. Silvia S. C. Botelho is a 1-D productivity fellow of CNPQ.</t>
  </si>
  <si>
    <t>1574-9541</t>
  </si>
  <si>
    <t>1878-0512</t>
  </si>
  <si>
    <t>ECOL INFORM</t>
  </si>
  <si>
    <t>Ecol. Inform.</t>
  </si>
  <si>
    <t>10.1016/j.ecoinf.2020.101118</t>
  </si>
  <si>
    <t>NH4CF</t>
  </si>
  <si>
    <t>WOS:000564618700001</t>
  </si>
  <si>
    <t>Duarte, CA; Giarratano, E; Gil, MN</t>
  </si>
  <si>
    <t>Alejandra Duarte, Claudia; Giarratano, Erica; Gil, Monica N.</t>
  </si>
  <si>
    <t>Trace metal content in sediments and autochthonous intertidal organisms from two adjacent bays near Ushuaia, Beagle Channel (Argentina)</t>
  </si>
  <si>
    <t>Trace metals; Intertidal environment; Beagle Channel; Limpets; Mussels; Sediment; Pollution</t>
  </si>
  <si>
    <t>TIERRA-DEL-FUEGO; HEAVY-METALS; SOFT-TISSUE; MYTILUS-EDULIS; COASTAL SEDIMENTS; MARINE-SEDIMENTS; KYUSHU-ISLAND; EAST-COAST; MUSSELS; BIOMARKERS</t>
  </si>
  <si>
    <t>The aim of this work was to monitor levels of Cd, Cu, Pb, Zn and Fe in sediments, mussels (Mytilus edulis chilensis) and limpets (Nacella magellanica) from the Industrial zone (IZ): fuel dock (FD) and Ushuaia Peninsula (UP) on the Beagle Channel. In sediments, seasonal variations showed high values of Cu and Pb in spring and Zn in autumn. Comparing among sites, Cd concentration was superior in UP (2.07 mu g/g); while Pb was maximum in FD (41.00 mu g/g). In mussels, a higher bioaccumulation in winter was found. Mussels from UP showed the highest bioaccumulation of Cu (5.95 mu g/g) and those from FD presented the highest of Zn (170.15 mu g/g). A seasonal trend was not found for limpets, while differences among sites were observed for Cd being the highest at IZ (3.02 mu g/g). Although pollution level found was low, anthropic activities at the studied sites could result in deterioration, further monitoring is recommended. (C) 2012 Elsevier Ltd. All rights reserved.</t>
  </si>
  <si>
    <t>[Alejandra Duarte, Claudia] Ctr Austral Invest Cient CADIC CONICET, Ushuaia, Tierra Del Fueg, Argentina; [Giarratano, Erica; Gil, Monica N.] Ctr Nacl Patagon CENPAT CONICET, RA-9120 Puerto Madryn, Chubut, Argentina</t>
  </si>
  <si>
    <t>Consejo Nacional de Investigaciones Cientificas y Tecnicas (CONICET); Consejo Nacional de Investigaciones Cientificas y Tecnicas (CONICET); Centro Nacional Patagonico (CENPAT)</t>
  </si>
  <si>
    <t>Duarte, CA (corresponding author), Ctr Austral Invest Cient CADIC CONICET, Av B Houssay 200,V9410BFD, Ushuaia, Tierra Del Fueg, Argentina.</t>
  </si>
  <si>
    <t>ANPCyT-PICTR [0090, PICT06 1261]; GEF-PNUD ARG [02/018]</t>
  </si>
  <si>
    <t>ANPCyT-PICTR(ANPCyT); GEF-PNUD ARG</t>
  </si>
  <si>
    <t>This study was supported by ANPCyT-PICTR 0090 and PICT06 1261 and GEF-PNUD ARG 02/018 grants. We are grateful to Dr Oscar Amin and Dr Laura Comoglio for knowledge and equipment provided; to Dr Jorge Marcovecchio, Dr Sandra Botte and Dr. Nedda Chiarello (IADO-CONICET) for their valuable collaboration during trace metal determinations, to Sr. Ricardo Saenz Samaniego for his technical support and to Sr. Bernabe Urtubey for check the grammar and spelling of the manuscript.</t>
  </si>
  <si>
    <t>10.1016/j.marenvres.2012.05.003</t>
  </si>
  <si>
    <t>983CO</t>
  </si>
  <si>
    <t>WOS:000307094000006</t>
  </si>
  <si>
    <t>Gomiero, A; De Biasi, AM; Da Ros, L; Nasci, C; Spagnolo, A; Scarcella, G; Fabi, G</t>
  </si>
  <si>
    <t>Gomiero, A.; De Biasi, A. M.; Da Ros, L.; Nasci, C.; Spagnolo, A.; Scarcella, G.; Fabi, G.</t>
  </si>
  <si>
    <t>A multidisciplinary approach to evaluate the environmental impact of offshore gas platforms in the western Adriatic Sea</t>
  </si>
  <si>
    <t>gas platforms; benthic community; sediments; biomarkers; body burden accumulation</t>
  </si>
  <si>
    <t>MYTILUS-GALLOPROVINCIALIS; BENTHIC COMMUNITIES; TRACE-METALS; OIL; MUSSELS; POLLUTION; METALLOTHIONEIN; HYDROCARBONS; BIOMARKERS; SEWAGE</t>
  </si>
  <si>
    <t>Detecting the anthropogenic impacts of offshore gas platforms requires reliable tools, because the traditional evaluation based only on chemical analyses is neither appropriate nor sufficiently sensitive. Thus, a 3-year monitoring project was carried out to evaluate the impact of a platform based on a chemical-biological approach. Benthic communities are investigated as they are widely used to monitor the effects of marine impacts because the organisms are mostly sessile and integrate the effects of pollutants over time. Changes in benthic infauna, sediments and water quality, as well as biota bioaccumulation, caused by drilling and platform operations were evaluated experimentally. Furthermore, mussels (Mytilus galloprovincialis) were collected seasonally from the platform legs, both close to and far from the sacrificial anodes and at a control site. Responses of biomarkers of exposure and effect were related to the average levels of polycyclic and aliphatic hydrocarbons, organic matter content and heavy metals in bivalve tissues. Our data suggested that a slight perturbation can be detected only by integrating the results of chemical analyses on water and sediments and those obtained from benthic biological surveys.</t>
  </si>
  <si>
    <t>[Gomiero, A.; Da Ros, L.; Nasci, C.] CNR Ist Sci Marine ISMAR, Venice, Italy; [Gomiero, A.; Nasci, C.] Thetis SpA, Venice, Italy; [De Biasi, A. M.] Consorzio Interuniv Biol Marina &amp; Ecol Applicata, Livorno, Italy; [Spagnolo, A.; Scarcella, G.; Fabi, G.] CNR Ist Sci Marine ISMAR, Ancona, Italy</t>
  </si>
  <si>
    <t>Consiglio Nazionale delle Ricerche (CNR); Istituto di Scienze Marine (ISMAR-CNR); Consiglio Nazionale delle Ricerche (CNR); Istituto di Scienze Marine (ISMAR-CNR)</t>
  </si>
  <si>
    <t>Gomiero, A (corresponding author), CNR Ist Sci Marine ISMAR, Venice, Italy.</t>
  </si>
  <si>
    <t>alessio.gomiero@thetis.it</t>
  </si>
  <si>
    <t>Spagnolo, Alessandra/AAB-5760-2020; gomiero, alessio/N-5069-2019; Scarcella, Giuseppe/AAW-3850-2020; Spagnolo, Alessandra/B-7924-2015; CNR, Ismar/P-1247-2014; gomiero, alessio/K-1510-2015</t>
  </si>
  <si>
    <t>Spagnolo, Alessandra/0000-0001-7936-6002; Gomiero, Alessio/0000-0001-8995-9565; CNR, Ismar/0000-0001-5351-1486; Scarcella, Giuseppe/0000-0001-6540-1997; gomiero, alessio/0000-0001-6496-6857</t>
  </si>
  <si>
    <t>10.1080/02757540.2011.625943</t>
  </si>
  <si>
    <t>884FV</t>
  </si>
  <si>
    <t>WOS:000299691200001</t>
  </si>
  <si>
    <t>Geffard, A; Amiard-Triquet, C; Amiard, JC; Mouneyrac, C</t>
  </si>
  <si>
    <t>Temporal variations of metallothionein and metal concentrations in the digestive gland of oysters (Crassostrea gigas) from a clean and a metal-rich site</t>
  </si>
  <si>
    <t>NATURAL FACTORS SALINITY; MACOMA-BALTHICA; PACIFIC OYSTER; CADMIUM; EXPOSURE; PROTEINS; BIVALVE; CD; CONTAMINATION; POPULATIONS</t>
  </si>
  <si>
    <t>The concentrations of metallothionein (MT) in bivalves, a potential biomarker of metal pollution, are variable according to specific organs, the highest concentrations being encountered in the digestive glands of oysters. Thus, the present study has been focused on this organ with a view to validate the use of MT as a biomarker in the field, the temporal changes of metal and metallothionein concentrations have been examined from March to October 1997 in the digestive gland of resident oysters from a clean site (Bay of Bourgneuf, France) and a metal-rich site, the Gironde estuary which has been shown as the most CD-contaminated marine area in France but is also enriched with Cu and Zn. Moreover, oysters from the clean site have been translocated to the Gironde estuary over the same period. Taking into account all the samples collected over the 7 months of the study, MT concentrations in the digestive gland were positively correlated with weight whereas metal levels were negatively correlated with weight. However, considering monthly samples including specimens from both sites (resident or translocated oysters), a positive correlation was shown between MT and metal concentrations in autumn (September and October) but not in spring ans summer. These findings limit the interest of using the digestive gland of oysters as the preferred tissue for the determination of MT concentration as a biomarker. The alternative use of gills should be considered.</t>
  </si>
  <si>
    <t>CNRS, Fac Pharm, SMAB, ISOMer,Serv Ecotoxicol, F-44322 Nantes 3, France; IRFA, Dept Sci Vie &amp; Terre, Lab Ecol Anim, F-49100 Angers, France</t>
  </si>
  <si>
    <t>Centre National de la Recherche Scientifique (CNRS); Nantes Universite</t>
  </si>
  <si>
    <t>Geffard, A (corresponding author), CNRS, Fac Pharm, SMAB, ISOMer,Serv Ecotoxicol, GDR1117,2 Rue Houssiniere,BP 92208, F-44322 Nantes 3, France.</t>
  </si>
  <si>
    <t>11 NEW FETTER LANE, LONDON EC4P 4EE, ENGLAND</t>
  </si>
  <si>
    <t>10.1080/13547500010000860</t>
  </si>
  <si>
    <t>419VR</t>
  </si>
  <si>
    <t>WOS:000167969900001</t>
  </si>
  <si>
    <t>Sun, SG; Shi, W; Tang, Y; Han, Y; Du, XY; Zhou, WS; Zhang, WX; Sun, CS; Liu, GX</t>
  </si>
  <si>
    <t>Sun, Shuge; Shi, Wei; Tang, Yu; Han, Yu; Du, Xueying; Zhou, Weishang; Zhang, Weixia; Sun, Changsen; Liu, Guangxu</t>
  </si>
  <si>
    <t>The toxic impacts of microplastics (MPs) and polycyclic aromatic hydrocarbons (PAHs) on haematic parameters in a marine bivalve species and their potential mechanisms of action</t>
  </si>
  <si>
    <t>Microplastics; Polycyclic aromatic hydrocarbons (PAHs); Haematic parameters; Bivalve mollusks</t>
  </si>
  <si>
    <t>EMBRYONIC EXPOSURE; LARVAL DEVELOPMENT; OXIDATIVE STRESS; DNA-DAMAGE; BLOOD CLAM; GROWTH; BIOACCUMULATION; REPRODUCTION; ZEBRAFISH; SEDIMENTS</t>
  </si>
  <si>
    <t>Microplastics (MPs) and polycyclic aromatic hydrocarbons (PAHs) are universally detected in the marine ecosystem and may exert adverse impacts on marine species. Although under realistic pollution scenarios, PAH pollution usually occurs as a mixture of different PAH compounds, the toxic impacts of PAH mixtures on marine organisms remain largely unknown to date, including their interactions with other emergent pollutants such as MPs. In this study, the single and combined toxic impacts of polystyrene MPs and a mixture of PAHs (standard mix of 16 representative PAHs) on haematic parameters were evaluated in the blood clam Tegillarca granosa. Our data demonstrated that blood clams treated with the pollutants examined led to decreased total haemocyte count (THC), changed haematic composition, and inhibited phagocytosis of haemocytes. Further analyses indicated that MPs and a mixture of PAHs may exert toxic impacts on haematic parameters by elevating the intracellular contents of reactive oxygen species (ROS), giving rise to lipid peroxidation (LPO) and DNA damage, reducing the viability of haemocytes, and disrupting important molecular signalling pathways (indicated by significantly altered expressions of key genes). In addition, compared to clams treated with a single type of pollutant, coexposure to MPs and a mixture of PAHs exerted more severe adverse impacts on all the parameters investigated, indicating a significant synergistic effect of MPs and PAHs. (c) 2021 Elsevier B.V. All rights reserved.</t>
  </si>
  <si>
    <t>[Sun, Shuge; Shi, Wei; Tang, Yu; Han, Yu; Du, Xueying; Zhou, Weishang; Zhang, Weixia; Liu, Guangxu] Zhejiang Univ, Coll Anim Sci, 866 Yuhangtang Rd, Hangzhou 310058, Peoples R China; [Sun, Changsen] Zhejiang Wanli Univ, Ninghai Inst Mariculture Breeding &amp; Seed Ind, Ninghai 315604, Peoples R China</t>
  </si>
  <si>
    <t>Zhejiang University; Zhejiang Wanli University</t>
  </si>
  <si>
    <t>Liu, GX (corresponding author), Zhejiang Univ, Coll Anim Sci, 866 Yuhangtang Rd, Hangzhou 310058, Peoples R China.;Sun, CS (corresponding author), Zhejiang Wanli Univ, Ninghai Inst Mariculture Breeding &amp; Seed Ind, Ninghai 315604, Peoples R China.</t>
  </si>
  <si>
    <t>changsen_1977@hotmail.com; guangxu_liu@zju.edu.cn</t>
  </si>
  <si>
    <t>Shi, Wei/P-2846-2019</t>
  </si>
  <si>
    <t>Shi, Wei/0000-0003-0811-2165</t>
  </si>
  <si>
    <t>National Key Research and Development Program of China [2018YFD0900603]; China Postdoctoral Science Foundation [2020M671743]; Natural Science Foundation of Zhejiang Province [LQ21C190003]; Open Project of Key Laboratory of Environmental Biotechnology, CAS [kf2018005]; Open Fund of Key Laboratory of Marine Ecosystem Dynamics, SIO [MED2020004]</t>
  </si>
  <si>
    <t>National Key Research and Development Program of China(National Key Research &amp; Development Program of China); China Postdoctoral Science Foundation(China Postdoctoral Science Foundation); Natural Science Foundation of Zhejiang Province(Natural Science Foundation of Zhejiang Province); Open Project of Key Laboratory of Environmental Biotechnology, CAS; Open Fund of Key Laboratory of Marine Ecosystem Dynamics, SIO</t>
  </si>
  <si>
    <t>This work was funded by the National Key Research and Development Program of China (No. 2018YFD0900603) , China Postdoctoral Science Foundation (2020M671743) , the Natural Science Foundation of Zhejiang Province (LQ21C190003) , the Open Project of Key Laboratory of Environmental Biotechnology, CAS (kf2018005) , and the Open Fund of Key Laboratory of Marine Ecosystem Dynamics, SIO (MED2020004) .</t>
  </si>
  <si>
    <t>AUG 20</t>
  </si>
  <si>
    <t>10.1016/j.scitotenv.2021.147003</t>
  </si>
  <si>
    <t>SL6AK</t>
  </si>
  <si>
    <t>WOS:000656998500017</t>
  </si>
  <si>
    <t>Jin, Q; Pan, LQ; Liu, D; Hu, FX; Xiu, M</t>
  </si>
  <si>
    <t>Jin, Qian; Pan, Luqing; Liu, Dong; Hu, Fengxiao; Xiu, Meng</t>
  </si>
  <si>
    <t>Assessing PAHs pollution in Qingdao coastal area (China) by the combination of chemical and biochemical responses in scallops, Chlamys farreri</t>
  </si>
  <si>
    <t>Biochemical response; Coastal area; Pollution monitoring; Chlamys farreri; Polycyclic aromatic hydrocarbons</t>
  </si>
  <si>
    <t>POLYCYCLIC AROMATIC-HYDROCARBONS; OXIDATIVE DAMAGE; EROD ACTIVITY; BIOMARKER RESPONSES; LIPID-PEROXIDATION; DNA-DAMAGE; MUSSELS; SEA; CADMIUM; BAY</t>
  </si>
  <si>
    <t>The PAHs concentrations in seawater and tissues from the scallop Chlamys farreri were detected in three sites in Qingdao, China in 2011. The PAHs concentrations in seawater ranged from 25.32 ng/L to 314.62 ng/L. There were significant differences (p &lt; 0.05) between the residual levels among scallop tissues. The highest concentrations of PAHs in seawater and tissues were found in S2. The ethoxyresorufin-O-deethylase (EROD) activity of the digestive gland and the malondialdehyde (MDA) contents of the digestive gland and gill were sensitive to PAHs (p &lt; 0.05). This study integrated the PAHs concentrations in seawater, residual levels, the variation of biochemical response and the correlation coefficient analysis, and concluded that Qingdao is a medium PAR-contaminated area on a global scale. The highest PAHs were accumulated in the digestive gland followed by the gill, soft tissue and adductor muscle. The EROD activity of the digestive gland and the MDA contents of the digestive gland and gill could be applied to assess the PAL-Is pollution status in Qingdao, China. (C) 2014 Elsevier Ltd. All rights reserved.</t>
  </si>
  <si>
    <t>[Jin, Qian; Pan, Luqing; Liu, Dong; Hu, Fengxiao; Xiu, Meng] Ocean Univ China, Key Lab Mariculture, Minist Educ, Qingdao 266003, Peoples R China</t>
  </si>
  <si>
    <t>Pan, LQ (corresponding author), Ocean Univ China, Coll Fisheries, Yushan Rd 5, Qingdao 266003, Peoples R China.</t>
  </si>
  <si>
    <t>Xiu, Meng/HJP-5185-2023</t>
  </si>
  <si>
    <t>Xiu, Meng/0000-0002-7374-9093</t>
  </si>
  <si>
    <t>Technological Development Projects of Shandong, China [2008GG1005010]; Scientific and Technological Development Projects of Qingdao, China [09-1-3-15-jch]</t>
  </si>
  <si>
    <t>Technological Development Projects of Shandong, China; Scientific and Technological Development Projects of Qingdao, China</t>
  </si>
  <si>
    <t>The work was supported by Technological Development Projects of Shandong, China (2008GG1005010) and Scientific and Technological Development Projects of Qingdao, China (09-1-3-15-jch). We are thankful to the staff at the Laboratory of Environmental Physiology of Aquatic Animal for their help with sampling and taking care of the scallops.</t>
  </si>
  <si>
    <t>10.1016/j.marpolbul.2014.09.026</t>
  </si>
  <si>
    <t>WOS:000347494700068</t>
  </si>
  <si>
    <t>Rocchetta, I; Pasquevich, MY; Heras, H; de Molina, MDR; Luquet, CM</t>
  </si>
  <si>
    <t>Rocchetta, Iara; Pasquevich, Maria Y.; Heras, Horacio; del Carmen Rios de Molina, Maria; Luquet, Carlos M.</t>
  </si>
  <si>
    <t>Effects of sewage discharges on lipid and fatty acid composition of the Patagonian bivalve Diplodon chilensis</t>
  </si>
  <si>
    <t>Freshwater bivalve; Pollution; Domestic effluents; Oxidative stress; Lipofuscins; Fatty acid markers</t>
  </si>
  <si>
    <t>PARTICULATE ORGANIC-MATTER; WATER-SOLUBLE FRACTION; SEABREAM SPARUS-AURATA; BIOCHEMICAL-COMPOSITION; MESODESMA-MACTROIDES; LIPOXIDATIVE DAMAGE; EMBRYO DEVELOPMENT; ENERGY RESERVES; YELLOW CLAM; GROWTH</t>
  </si>
  <si>
    <t>Lipid and fatty acid (FA) composition and selected oxidative stress parameters of freshwater clams (Dipolodon chilensis), from a sewage-polluted (SMA) and a clean site, were compared. Trophic markers FA were analyzed in clams and sediment. Saturated FA (SAFA), and bacteria and sewage markers were abundant in SMA sediments, while diatom markers were 50% lower. Proportions of SAFA, branched FA, 20:5n - 3 (EPA) and 22:6n - 3 (DHA) were higher in SMA clams. Chronic exposure of D. chilensis to increasing eutrophication affected its lipid and FA composition. The increase in EPA and DHA proportions could be an adaptive response, which increases stress resistance but could also lead to higher susceptibility to lipid peroxidation TSARS, lipofuscins (20-fold) and GSH concentrations were higher in SMA clams. FA markers indicated terrestrial plant detritus and bacteria are important items in D. chilensis diet. Anthropogenic input in their food could be traced using specific FA as trophic markers. (C) 2013 Elsevier Ltd. All rights reserved.</t>
  </si>
  <si>
    <t>[Rocchetta, Iara; del Carmen Rios de Molina, Maria] Univ Buenos Aires, Fac Ciencias Exactas &amp; Nat, Dept Quim Biol, INQUIBICEN,CONICET, RA-1428 Buenos Aires, DF, Argentina; [Pasquevich, Maria Y.; Heras, Horacio] Univ Nacl La Plata, CONICET CCT La Plata, Fac Ciencias Med, Inst Invest Bioquim Plata INIBIOLP, RA-1900 La Plata, Buenos Aires, Argentina; [Rocchetta, Iara; Luquet, Carlos M.] UNCo, CONICET, INIBIOMA, Lab Ecotoxicol Acuat,CEAN, RA-8371 Junin De Los Andes, Neuquen, Argentina</t>
  </si>
  <si>
    <t>University of Buenos Aires; Consejo Nacional de Investigaciones Cientificas y Tecnicas (CONICET); Consejo Nacional de Investigaciones Cientificas y Tecnicas (CONICET); National University of La Plata; Consejo Nacional de Investigaciones Cientificas y Tecnicas (CONICET)</t>
  </si>
  <si>
    <t>Rocchetta, I (corresponding author), Alfred Wegener Inst Polar &amp; Marine Res, Funct Ecol Dept, Handelshafen 12, D-27570 Bremerhaven, Germany.</t>
  </si>
  <si>
    <t>Iara.Rocchetta@awi.de</t>
  </si>
  <si>
    <t>Heras, Horacio/R-9555-2018</t>
  </si>
  <si>
    <t>Heras, Horacio/0000-0003-3379-0216; Rocchetta, Iara/0000-0003-1169-4047</t>
  </si>
  <si>
    <t>University of Buenos Aires, UBACYT X985, Consejo Nacional de Investigaciones Cientificas y Tecnicas (CONICET) [PIP 0492, PIP 0238]; Agencia Nacional de Promocion Cientifica y Tecnologica (ANPCYT) [PICT 1293]; PICT; Lanin National Park and Cooperativa de Agua y Saneamiento de San Martin de los Andes</t>
  </si>
  <si>
    <t>University of Buenos Aires, UBACYT X985, Consejo Nacional de Investigaciones Cientificas y Tecnicas (CONICET); Agencia Nacional de Promocion Cientifica y Tecnologica (ANPCYT)(ANPCyTSpanish Government); PICT(ANPCyT); Lanin National Park and Cooperativa de Agua y Saneamiento de San Martin de los Andes</t>
  </si>
  <si>
    <t>This work was supported by Grants from the University of Buenos Aires, UBACYT X985, Consejo Nacional de Investigaciones Cientificas y Tecnicas (CONICET) PIP 0492 to M.C.R.M. and PIP 0238 to C.M.L and Agencia Nacional de Promocion Cientifica y Tecnologica (ANPCYT) PICT 1293 to I.R. and PICT to H.H.. IR was granted by Alexander von Humboldt Foundation. We acknowledge support and permissions from Lanin National Park and Cooperativa de Agua y Saneamiento de San Martin de los Andes. We thank Miguel Selser, Santiago Franzoni, Alfredo Ciunfrini and Flavia Bieczynski for their kind help in sample collection. We also want to thanks Dr. Laura Bartel for transporting the samples and Dr. Daniel Lombardo and Dr. Juan Boviez for their kind help in finding out lipofucsins in the histological samples.</t>
  </si>
  <si>
    <t>10.1016/j.marpolbul.2013.12.011</t>
  </si>
  <si>
    <t>AC3QM</t>
  </si>
  <si>
    <t>WOS:000332436300038</t>
  </si>
  <si>
    <t>Jahan, S; Strezov, V; Weldekidan, H; Kumar, R; Kan, T; Sarkodie, SA; He, J; Dastjerdi, B; Wilson, SP</t>
  </si>
  <si>
    <t>Jahan, Sayka; Strezov, Vladimir; Weldekidan, Haftom; Kumar, Ravinder; Kan, Tao; Sarkodie, Samuel Asumadu; He, Jing; Dastjerdi, Behnam; Wilson, Scott P.</t>
  </si>
  <si>
    <t>Interrelationship of microplastic pollution in sediments and oysters in a seaport environment of the eastern coast of Australia</t>
  </si>
  <si>
    <t>Microplastics; Sediment; Oyster; Seaport</t>
  </si>
  <si>
    <t>20 MU-M; MARINE-ENVIRONMENT; SPATIAL-DISTRIBUTION; SURFACE SEDIMENTS; PLASTIC DEBRIS; MYTILUS-EDULIS; HEAVY-METALS; YELLOW SEA; NILE RED; BEACHES</t>
  </si>
  <si>
    <t>Since the middle of the twentieth century, microplastics have emerged as a pollutant of concern. Sea ports are recipients of large amount of discharges through ballast water, ship traffic and other commercial activities, which may additionally add to the overall marine microplastic pollution. The aim of this study was to determine the interrelationship of microplastic pollution in the sediments and oysters at six major seaports (Port Jackson, Botany, Kembla, Newcastle, Yamba and Eden) of New South Wales (NSW). The results revealed the significant abundance of microplastic particles both in sediments and oysters in all the studied seaports which were estimated to be around 83-350 particles/kg dry weight in the sediments and 0.15-0.83 particles/g wet weight in the oysters. Although, the abundance of microplastics showed similar pattern in the sediments and oysters of the studied seaports, oysters had higher number of microplastics than sediments in all sea ports. Moreover, the results showed that the shapes, size and colours in the oysters did not necessarily match the main components in the sediments, although the polymer types matched well between each other. Black fibres between 0.1 mm-0.5 mm in size were the most abundant microplastics in oysters, whereas white spherules between 0.5 mm-1 mm in size were dominant in the sediments of NSW seaports. Moreover, the analysis of variance between microplastic abundance in sediment and oysters showed a non-significant positive linear relationship. Fourier Transform Infrared analysis further indicated that both sediments and oysters contained microplastics with two main polymers, polyethylene terephthalate and nylon, which suggests that the abundance of microplastics in the study ports was highly influenced by the port activities, mainly the intensive commercial fishing and fish processing activities along with intensive anthropogenic and industrial activities inside and surroundings the port environments. (c) 2019 Elsevier B.V. All rights reserved.</t>
  </si>
  <si>
    <t>[Jahan, Sayka; Strezov, Vladimir; Weldekidan, Haftom; Kumar, Ravinder; Kan, Tao; Sarkodie, Samuel Asumadu; He, Jing; Dastjerdi, Behnam; Wilson, Scott P.] Macquarie Univ, Fac Sci &amp; Engn, Dept Environm Sci, Sydney, NSW 2109, Australia</t>
  </si>
  <si>
    <t>Jahan, S (corresponding author), Macquarie Univ, Fac Sci &amp; Engn, Dept Environm Sci, Sydney, NSW 2109, Australia.</t>
  </si>
  <si>
    <t>sayka.jahan@students.mq.edu.au</t>
  </si>
  <si>
    <t>Kan, Tao/AGY-8209-2022; He, Jing/ABO-6933-2022; Hosseini Dastjerdi, behnam/JNR-3422-2023; Kumar, Ravinder/X-9741-2019; Strezov, Vladimir/J-4827-2019; Weldekidan, Haftom/AAC-7698-2021; Sarkodie, Samuel Asumadu/I-3854-2015</t>
  </si>
  <si>
    <t>Hosseini Dastjerdi, Behnam/0000-0001-5010-2345; Wilson, Scott/0000-0001-8675-9517; Sarkodie, Samuel Asumadu/0000-0001-5035-5983; Kumar, Ravinder/0000-0002-7775-2767; Kan, Tao/0000-0002-8468-4475; He, Jing/0000-0001-5973-2335; Strezov, Vladimir/0000-0002-9129-9284; Weldekidan, Haftom/0000-0002-4682-6583</t>
  </si>
  <si>
    <t>International Macquarie Research Excellence Scholarship Program of Macquarie University [iMQRES-2016237]</t>
  </si>
  <si>
    <t>International Macquarie Research Excellence Scholarship Program of Macquarie University</t>
  </si>
  <si>
    <t>This work was financed by the International Macquarie Research Excellence Scholarship Program (iMQRES-2016237) of Macquarie University which should be greatly acknowledged.</t>
  </si>
  <si>
    <t>10.1016/j.scitotenv.2019.133924</t>
  </si>
  <si>
    <t>JN3LY</t>
  </si>
  <si>
    <t>WOS:000496802200102</t>
  </si>
  <si>
    <t>Zhao, XY; Zhai, YQ; Zhou, YC; Liu, ZH; Kang, ZW; Wang, BQ; Regulacio, MD; Yang, DP</t>
  </si>
  <si>
    <t>Zhao, Xiaoyan; Zhai, Yuqi; Zhou, Yongcheng; Liu, Zhihua; Kang, Zewen; Wang, Bingqing; Regulacio, Michelle D.; Yang, Da-Peng</t>
  </si>
  <si>
    <t>Transforming oyster shell and rice husk biowaste into functional calcium silicate board with highly-efficient photo-enhanced antimicrobial activities</t>
  </si>
  <si>
    <t>CONSTRUCTION AND BUILDING MATERIALS</t>
  </si>
  <si>
    <t>Oyster shell; Rice husk; Calcium silicate; Photo-enhanced antimicrobial</t>
  </si>
  <si>
    <t>FLY-ASH; ANTIBACTERIAL; NANOCOMPOSITES; MECHANISM; NANOPARTICLES; MORPHOLOGIES; BIOCHAR; CEMENT; ACID</t>
  </si>
  <si>
    <t>Green construction materials based on biomass waste are attracting tremendous research attention in recent years as a means to satisfy the low-cost and sustainable construction requirements in the modern building industry. In this work, the use of oyster shell and rice husk biowaste as raw materials for the environment-friendly preparation of calcium silicate boards is presented. To endow the calcium silicate boards with an antimicrobial functionality, CuSe/CaCO3 is incorporated. The antimicrobial effect is credited to the presence of CuSe nanoparticles, which are capable of inhibiting microbial growth through light-induced generation of radicals, release of copper ions, and photothermal heating. The fabrication process of the antimicrobial calcium silicate boards is optimized by studying the effect of different loading amounts and processing conditions. It was determined that the calcium silicate board that exhibits the most satisfying flexural strength and antimicrobial efficacy can be prepared using the following parameters: Ca/Si ratio of 0.83, molding pressure of 30 MPa, curing temperature of 180 celcius, curing time of 10 h, and 10 wt% of CuSe/CaCO3. Our work might shed light on the sustainable preparation of functional calcium silicate boards through valorization of biowaste. The utilization of biowaste as building materials can significantly aid in mitigating environmental pollution and in lowering the overall cost of construction.</t>
  </si>
  <si>
    <t>[Zhao, Xiaoyan; Zhai, Yuqi; Zhou, Yongcheng] Hebei Univ Technol, Sch Civil &amp; Transportat Engn, Tianjin 300400, Peoples R China; [Yang, Da-Peng] Univ Hlth &amp; Rehabil Sci, Sch Rehabil Sci &amp; Engn, Qingdao 266024, Peoples R China; [Liu, Zhihua; Kang, Zewen; Wang, Bingqing; Yang, Da-Peng] Quanzhou Normal Univ, Coll Chem Engn &amp; Mat Sci, Quanzhou 362000, Peoples R China; [Regulacio, Michelle D.] Univ Philippines Diliman, Inst Chem, Quezon City 1101, Philippines</t>
  </si>
  <si>
    <t>Hebei University of Technology; University of Health &amp; Rehabilitation Sciences; Quanzhou Normal University; University of the Philippines System; University of the Philippines Diliman</t>
  </si>
  <si>
    <t>Yang, DP (corresponding author), Univ Hlth &amp; Rehabil Sci, Sch Rehabil Sci &amp; Engn, Qingdao 266024, Peoples R China.;Regulacio, MD (corresponding author), Univ Philippines Diliman, Inst Chem, Quezon City 1101, Philippines.</t>
  </si>
  <si>
    <t>mdregulacio@up.edu.ph; yangdp@qztc.edu.cn</t>
  </si>
  <si>
    <t>Liu, Zhihua/ABB-2202-2020; Regulacio, Michelle/J-6446-2019</t>
  </si>
  <si>
    <t>Regulacio, Michelle D./0000-0002-8622-0965</t>
  </si>
  <si>
    <t>National Natural Science Foundation of China [52278253]; Fujian Provincial Key Science and Technology Project [K30001]; Fuxiaquan Collaborative Innovation Platform; [2022G02029]</t>
  </si>
  <si>
    <t>National Natural Science Foundation of China(National Natural Science Foundation of China (NSFC)); Fujian Provincial Key Science and Technology Project; Fuxiaquan Collaborative Innovation Platform;</t>
  </si>
  <si>
    <t>The authors gratefully acknowledge the support of the National Natural Science Foundation of China (Project No. 52278253) , Fuxiaquan Collaborative Innovation Platform (K30001) , Fujian Provincial Key Science and Technology Project (2022G02029) .</t>
  </si>
  <si>
    <t>0950-0618</t>
  </si>
  <si>
    <t>1879-0526</t>
  </si>
  <si>
    <t>CONSTR BUILD MATER</t>
  </si>
  <si>
    <t>Constr. Build. Mater.</t>
  </si>
  <si>
    <t>JAN 12</t>
  </si>
  <si>
    <t>10.1016/j.conbuildmat.2023.134505</t>
  </si>
  <si>
    <t>Construction &amp; Building Technology; Engineering, Civil; Materials Science, Multidisciplinary</t>
  </si>
  <si>
    <t>Construction &amp; Building Technology; Engineering; Materials Science</t>
  </si>
  <si>
    <t>EO6I4</t>
  </si>
  <si>
    <t>WOS:001139902800001</t>
  </si>
  <si>
    <t>Guerra-García, JM; García-Gómez, JC</t>
  </si>
  <si>
    <t>Soft bottom mollusc assemblages and pollution in a harbour with two opposing entrances</t>
  </si>
  <si>
    <t>mollusc; harbours; pollution; sediments; bioindicator; North Africa</t>
  </si>
  <si>
    <t>COMMUNITY STRUCTURE; TRACE-METALS; MACROBENTHIC COMMUNITY; MARINE MOLLUSKS; SOUTHERN SPAIN; BAY; BIOINDICATOR; ESTUARY; AFRICA; GULF</t>
  </si>
  <si>
    <t>Conventional harbours, provided with only one entrance and devoid of channels, are enclosed areas with low water renewal, high sedimentation rate and high concentrations of pollutants in sediments; the soft bottom communities are characterised by low species richness and low values of the diversity and evenness indexes. The harbour of Ceuta, North Africa, presents an unusual structure since it is provided with two opposing entrances and a channel, which increase the water renewal across the middle of the harbour. These unusual characteristics turn the harbour of Ceuta into an adequate locality to test its environmental implications on macrofaunal assemblages. In the present study, the spatial distribution of mollusc community associated with soft bottoms was studied in relation to the influence of environmental factors on the harbour of Ceuta and nearby areas, North Africa. Twenty-one stations (15 inside and six outside the harbour) were sampled and 26 variables were measured in the sediment of each station: depth, %sand, organic matter, lipids, P, N, Al, As, B, Ba, Ca, Cd, Co, Cr, Cu, Fe, K, Li, Mg, Mn, Na, Ni, Pb, S, Sr, Zn. The special configuration of Ceuta harbour created a great variability in sediment characteristics and environmental measures depending on the stations and, due to this heterogeneity, the mollusc species richness in the sediments inside the harbour (45 species) was higher than in conventional harbours. The multivariate approach based on MDS analysis was much more sensitive than univariate techniques to detect differences between internal and external stations of the harbour of Ceuta. The percentage of sand was the main factor to affect the distribution of the mollusc assemblages according to the BIO-ENV procedure and the CCA. SIMPER showed that the bivalves Parvicardium exiguum, Ervilia castanea, Spisula subtruncata and Digitaria digitata were the species that most contributed to the dissimilarity between internal and external stations; P. exiguum, S. subtruncata and D. digitata were more abundant in the internal stations whereas E. castanea was more abundant in the external stations. The bivalves P. exiguum, Abra alba and Corbula gibba and the opistobranch Retusa obtusa dominated in the most enclosed stations inside the harbour where sediments contained very high values of organic matter, lipids, and heavy metals. The data of the present study might assist in the building of new harbours in the future. (C) 2004 Elsevier Ltd. All rights reserved.</t>
  </si>
  <si>
    <t>Univ Seville, Fac Biol, Dept Fisiol &amp; Zool, Biol Marine Lab, Seville 41012, Spain</t>
  </si>
  <si>
    <t>Univ Seville, Fac Biol, Dept Fisiol &amp; Zool, Biol Marine Lab, Avda Reina Mercedes 6, Seville 41012, Spain.</t>
  </si>
  <si>
    <t>Guerra-Garcia, Jose Manuel/P-1700-2014</t>
  </si>
  <si>
    <t>Guerra-Garcia, Jose Manuel/0000-0001-6050-4997; Guerra, Jose M/0000-0001-5397-9177; Garcia Gomez, Jose Carlos/0000-0002-6913-1215</t>
  </si>
  <si>
    <t>10.1016/j.ecss.2004.01.004</t>
  </si>
  <si>
    <t>823DZ</t>
  </si>
  <si>
    <t>WOS:000221591200010</t>
  </si>
  <si>
    <t>Charifi, M; Khalifa, R; Giraldes, BW; Sow, M; Hizam, Z; Carrara, M; Maneux, E; Hamza, S; Bassères, A; Blanc, P; Leitao, A; Massabuau, JC</t>
  </si>
  <si>
    <t>Charifi, Mohcine; Khalifa, Razan; Giraldes, Bruno W.; Sow, Mohamedou; Hizam, Zainab; Carrara, Mathieu; Maneux, Eric; Hamza, Shafeeq; Basseres, Anne; Blanc, Philippe; Leitao, Alexandra; Massabuau, Jean-Charles</t>
  </si>
  <si>
    <t>Deep behavioral impairment in the pearl oyster Pinctada radiata exposed to anthropogenic noise and light stress</t>
  </si>
  <si>
    <t>pearl oyster; Arabian Gulf; HFNI; spawning; reproductive behavior; light pollution; noise pollution</t>
  </si>
  <si>
    <t>IMPACTS; MUSSELS; GROWTH; GULF</t>
  </si>
  <si>
    <t>The pearl oyster Pinctada radiata is an iconic species in the Arabian Gulf, which is one of the ecosystems most at risk in the world because of the multiple sources of pollution it faces. Alongside chemical pollution, the Gulf is ranked first with regard to noise and light pollution, and pearl oyster populations are at risk. The impact of these latter types of pollution on marine invertebrates is still poorly known. We used the difference in noise and brightness that can exist between a very quiet room without artificial lighting and a standard laboratory room equipped with a standard aquarium as a testbed to explore the possible impact of noise and light pollution on the behavioral and biological traits of Pinctada radiata without added chemical exposure. During an experiment that lasted 2.5 months, we analyzed their grouping behavior, valve activity, biological rhythm, growth rate and spawning activity. In the standard aquarium kept in the laboratory room, the oysters dispersed instead of regrouping as in their natural environment, regrouping which was observed in the quiet room. They stayed closed longer, the opening amplitude of their valves was systematically lower, and in the closed position, they squeezed their valves more tightly when subjected to noise and light pollution. Their daily opening rhythm was strongly structured by switching the electric light on and off, and females showed significantly less egg-laying behavior. In conclusion, seemingly innocuous human activities can lead to very significant alterations in pearl oyster behavior. We propose that it could have significant effects on populations and ecosystems.</t>
  </si>
  <si>
    <t>[Charifi, Mohcine; Sow, Mohamedou; Maneux, Eric; Massabuau, Jean-Charles] Univ Bordeaux, Unite Mixte Rech UMR, Environm &amp; Paleoenvironm Ocean &amp; Continentaux EPOC, Arcachon, France; [Charifi, Mohcine; Sow, Mohamedou; Maneux, Eric] ADERA, Pessac, France; [Charifi, Mohcine; Sow, Mohamedou; Massabuau, Jean-Charles] MolluSCAN Eye SAS, Bordeaux, France; [Khalifa, Razan; Giraldes, Bruno W.; Hizam, Zainab; Hamza, Shafeeq; Leitao, Alexandra] Qatar Univ, Environm Sci Ctr, Doha, Qatar; [Carrara, Mathieu] TotalEnergies E&amp;P QATAR TotalEnergies Res Ctr Qata, Doha, Qatar; [Basseres, Anne; Blanc, Philippe] Ctr Sci &amp; Tech Jean Feger CSTJF, TotalEnergies, Pau, France; [Massabuau, Jean-Charles] Ctr Natl Rech Sci CNRS, Unite Mixte Rech UMR, Environm &amp; Paleoenvironm Ocean &amp; Continentaux EPOC, Talence, France</t>
  </si>
  <si>
    <t>Universite de Bordeaux; Qatar University; Total SA; Centre Scientifique et Technique Jean Feger (CSTJF); Centre National de la Recherche Scientifique (CNRS)</t>
  </si>
  <si>
    <t>Massabuau, JC (corresponding author), Univ Bordeaux, Unite Mixte Rech UMR, Environm &amp; Paleoenvironm Ocean &amp; Continentaux EPOC, Arcachon, France.;Massabuau, JC (corresponding author), MolluSCAN Eye SAS, Bordeaux, France.;Leitao, A (corresponding author), Qatar Univ, Environm Sci Ctr, Doha, Qatar.;Massabuau, JC (corresponding author), Ctr Natl Rech Sci CNRS, Unite Mixte Rech UMR, Environm &amp; Paleoenvironm Ocean &amp; Continentaux EPOC, Talence, France.</t>
  </si>
  <si>
    <t>alexandra.hamadou@qu.edu.qa; jean-charles.massabuau@molluscan-eye.com</t>
  </si>
  <si>
    <t>This publication was made possible by the NPRP award [NPRP11S-0115-180308 Innovative In situ Biotechnology for Continuous Water Quality Monitoring on the Qatari Marine Environment] from the Qatar National Research Fund (a member of Qatar Foundation). The [NPRP11S-0115-180308]; Qatar National Research Fund (a member of Qatar Foundation); TotalEnergies Eamp;P QATAR</t>
  </si>
  <si>
    <t>This publication was made possible by the NPRP award [NPRP11S-0115-180308 Innovative In situ Biotechnology for Continuous Water Quality Monitoring on the Qatari Marine Environment] from the Qatar National Research Fund (a member of Qatar Foundation). The; Qatar National Research Fund (a member of Qatar Foundation)(Qatar National Research Fund (QNRF)); TotalEnergies Eamp;P QATAR</t>
  </si>
  <si>
    <t>The authors would like to thank Dr. Alexei Godina for constructive comments and support and Mr. Faisal Al-Quaiti and Mr. Reyneil Garstang for their support in the collection of the samples.r This publication was made possible by the NPRP award [NPRP11S-0115-180308 Innovative In situ Biotechnology for Continuous Water Quality Monitoring on the Qatari Marine Environment] from the Qatar National Research Fund (a member of Qatar Foundation). The authors declare that this study also received funding from TotalEnergies E &amp; P QATAR. The funder was not involved in the study design, collection, analysis, interpretation of data, the writing of this article. It was involved in the decision to submit it for publication.</t>
  </si>
  <si>
    <t>10.3389/fmars.2023.1251011</t>
  </si>
  <si>
    <t>Y4JY6</t>
  </si>
  <si>
    <t>WOS:001104953700001</t>
  </si>
  <si>
    <t>Da Ros, L; Moschino, V; Macic, V; Schintu, M</t>
  </si>
  <si>
    <t>Da Ros, L.; Moschino, V.; Macic, V.; Schintu, M.</t>
  </si>
  <si>
    <t>An ecotoxicological approach for the Boka Kotorska Bay (south-eastern Adriatic Sea): First evaluation of lysosomal responses and metallothionein induction in mussels</t>
  </si>
  <si>
    <t>Biomonitoring; Boka Kotorska Bay; Lysosomes; Metallothioneins; Mytilus galloprovincialis</t>
  </si>
  <si>
    <t>LAGOON-OF-VENICE; MYTILUS-GALLOPROVINCIALIS; DIGESTIVE CELLS; HEAVY-METALS; ENVIRONMENTAL-POLLUTION; CELLULAR BIOMARKERS; SEASONAL-VARIATIONS; SENTINEL ORGANISMS; LIPID-CONTENT; TRACE-METALS</t>
  </si>
  <si>
    <t>Mytilus galloprovincialis was used as a biomonitoring organism in Boka Kotorska Bay, a coastal transitional ecosystem in south-western Montenegro. Native mussels were collected in June 2008 at four sites thought to be differently impacted. Biological effects were investigated analysing both generic and specific biomarkers at cellular level (metallothionein content, lysosomal membrane stability, lipofuscin and neutral lipid accumulation, lysosomal structural changes). Trace element levels in mussels were quite low, only Cu and Zn exhibiting slight increases in the two sampling sites of Tivat Bay, the first one in front of a small working dockyard and the other in the water area of a former Naval dockyard. Mussels collected from these sites exhibited the highest values in neutral lipid and lysosomal volume density and the lowest neutral red retention times. Metallothionein content was always low, reflecting the minor body burden of the trace elements and suggesting a non-relevant environmental induction. (C) 2011 Elsevier Ltd. All rights reserved.</t>
  </si>
  <si>
    <t>[Da Ros, L.; Moschino, V.] ISMAR CNR, Inst Marine Sci, I-30122 Venice, Italy; [Macic, V.] Inst Marine Biol, Kotor 85330, Montenegro; [Schintu, M.] Univ Cagliari, Dipartimento Sanita Pubbl, I-09124 Cagliari, Italy</t>
  </si>
  <si>
    <t>Consiglio Nazionale delle Ricerche (CNR); Istituto di Scienze Marine (ISMAR-CNR); University of Cagliari</t>
  </si>
  <si>
    <t>Schintu, Marco/AAM-4430-2021; Mačić, Vesna/AAB-9534-2020; CNR, Ismar/P-1247-2014</t>
  </si>
  <si>
    <t>Schintu, Marco/0000-0003-0535-3190; CNR, Ismar/0000-0001-5351-1486</t>
  </si>
  <si>
    <t>EU Commission</t>
  </si>
  <si>
    <t>EU Commission(European Union (EU)European Commission Joint Research Centre)</t>
  </si>
  <si>
    <t>This collaborative study was supported by the EU Commission in the framework of the COWAMA Project - Coastal Water Management (2007-2008). We are grateful to S. Degetto and C. Cantaluppi (ICIS-CNR) for their financial and technical support and to N. Nesto (ISMAR-CNR) for metallothionein analyses.</t>
  </si>
  <si>
    <t>10.1016/j.marpolbul.2011.03.015</t>
  </si>
  <si>
    <t>WOS:000294092700038</t>
  </si>
  <si>
    <t>Birch, GF; Melwani, A; Lee, JH; Apostolatos, C</t>
  </si>
  <si>
    <t>Birch, G. F.; Melwani, A.; Lee, J. -H.; Apostolatos, C.</t>
  </si>
  <si>
    <t>The discrepancy in concentration of metals (Cu, Pb and Zn) in oyster tissue (Saccostrea glomerata) and ambient bottom sediment (Sydney estuary, Australia)</t>
  </si>
  <si>
    <t>Metals; Saccostrea glomerata; Bioaccumulation; Sydney estuary; Sediments; Tissue</t>
  </si>
  <si>
    <t>PORT-JACKSON ESTUARY; HEAVY-METALS; TRACE-METALS; MYTILUS-GALLOPROVINCIALIS; MUSSEL WATCH; ROCK OYSTER; QUALITY GUIDELINES; CRASSOSTREA-GIGAS; COASTAL WATERS; CONTAMINATED SEDIMENTS</t>
  </si>
  <si>
    <t>The current study aimed to examine the relationship between metals in sediments and metal bioaccumulation in oyster tissue in a highly-modified estuary (Sydney estuary, Australia). While extensive metal contamination was observed in surficial sediments, suspended particulate matter and oyster tissue, a significant relationship between these media could not be established. No relationship was determined between sediment quality guidelines and oyster size or weight, nor with human consumption levels for metals in oyster tissue. Moreover, oyster tissue metal concentrations varied greatly at a single locality over temporal scales of years. Oyster tissue at all 19 study sites exceeded consumptions levels for Cu. Bioaccumulation of metals in oyster tissue is a useful dynamic indicator of anthropogenic influence within estuaries, however oysters cannot be used in Sydney estuary as a valid biomonitor due to overriding internal regulation (homoestasis) by the animal, or by external natural (sediment resuspension) and anthropogenic (sewer/stormwater discharges) pressures, or both. (C) 2013 Elsevier Ltd. All rights reserved.</t>
  </si>
  <si>
    <t>[Birch, G. F.; Lee, J. -H.; Apostolatos, C.] Univ Sydney, Environm Geol Grp, Sch Geosci, Sydney, NSW 2006, Australia; [Melwani, A.] Macquarie Univ, Dept Biol Sci, N Ryde, NSW 2109, Australia</t>
  </si>
  <si>
    <t>University of Sydney; Macquarie University</t>
  </si>
  <si>
    <t>10.1016/j.marpolbul.2013.12.005</t>
  </si>
  <si>
    <t>AE4IQ</t>
  </si>
  <si>
    <t>WOS:000333946500041</t>
  </si>
  <si>
    <t>Wang, XZ; Ma, Y; Chen, L; Zhang, WY; Chen, X</t>
  </si>
  <si>
    <t>Wang, Xinzhi; Ma, Ying; Chen, Lu; Zhang, Wenying; Chen, Xiang</t>
  </si>
  <si>
    <t>Multi-Year Survey and Bayesian Modeling Approach for Characterizing Arsenic Pollution in Marine Clams Cultivated Along the Tidal Flats of Mid-Eastern China</t>
  </si>
  <si>
    <t>arsenic; arsenic species; marine clams; mid-eastern China; Bayesian modeling; health risk</t>
  </si>
  <si>
    <t>HEAVY-METAL POLLUTION; HEALTH-RISKS; SHELLFISH; CONTAMINATION; PROVINCE; SEAFOOD</t>
  </si>
  <si>
    <t>Marine clam is one of the main sources of arsenic (As), and the tidal flats of Jiangsu Province are considered major culturing areas for clams in mid-eastern China. In view of increasingly severe pollution in this region, concerns have been raised by the consumers with the safety of clams they purchased or may purchase. To address these concerns, we conducted a multi-year survey to determine the levels of As and As species in five major clam species cultivated in eight production areas of this region. Based on the above analysis data, Bayesian statistics used a Markov Chain Monte Carlo approach was applied to predict the toxic As residue distributions in clams produced in this region and their health risks to Chinese adults. It was found that the bioaccumulation ability of total As (tAs) and inorganic As (iAs) was species-specific, while Mactra veneriformis (MV) had the strongest accumulation capacity for toxic iAs (0.22-2.85 mg/kg dw). Up to 6.7% of the tested MV samples exceeding the iAs limit of China Food and Drug Administration. The content of iAs was also found to be related significantly to the harvest seasons, with clam in the spawning period (June) having the lowest iAs concentrations. The non-carcinogenic and carcinogenic health risk from dietary exposure to iAs associated with MV consumption was rather high, which suggested that specific attention should be paid to the safety of clam consumption in this region.</t>
  </si>
  <si>
    <t>[Wang, Xinzhi; Chen, Lu; Zhang, Wenying; Chen, Xiang] Nanjing Univ Chinese Med, Coll Pharm, Nanjing, Peoples R China; [Wang, Xinzhi; Chen, Lu] Jiangsu Key Lab Res &amp; Dev Marine Bioresource Phar, Nanjing, Peoples R China; [Ma, Ying] Nanjing Univ Sci &amp; Technol Hosp, Dept Med, Nanjing, Peoples R China</t>
  </si>
  <si>
    <t>Nanjing University of Chinese Medicine</t>
  </si>
  <si>
    <t>Wang, XZ (corresponding author), Nanjing Univ Chinese Med, Coll Pharm, Nanjing, Peoples R China.;Wang, XZ (corresponding author), Jiangsu Key Lab Res &amp; Dev Marine Bioresource Phar, Nanjing, Peoples R China.</t>
  </si>
  <si>
    <t>xinzhiwang@njucm.edu.cn</t>
  </si>
  <si>
    <t>Zhang, Wenying/P-2509-2018</t>
  </si>
  <si>
    <t>Natural Science Foundation of Jiangsu Province [BK20181419]; Natural Foundation of Jiangsu Higher Education Institutions of China [19KJA310006]; Natural Science Foundation of China [82074067]</t>
  </si>
  <si>
    <t>Natural Science Foundation of Jiangsu Province(Natural Science Foundation of Jiangsu Province); Natural Foundation of Jiangsu Higher Education Institutions of China; Natural Science Foundation of China(National Natural Science Foundation of China (NSFC))</t>
  </si>
  <si>
    <t>Funding This research was founded by the Natural Science Foundation of Jiangsu Province (BK20181419); Natural Foundation of Jiangsu Higher Education Institutions of China (19KJA310006) and Natural Science Foundation of China (82074067).</t>
  </si>
  <si>
    <t>OCT 21</t>
  </si>
  <si>
    <t>10.3389/fenvs.2021.763257</t>
  </si>
  <si>
    <t>XI5VM</t>
  </si>
  <si>
    <t>WOS:000726178900001</t>
  </si>
  <si>
    <t>Yu, XJ; Pan, K; Liu, FJ; Yan, Y; Wang, WX</t>
  </si>
  <si>
    <t>Yu, Xiu-Juan; Pan, Ke; Liu, Fengjie; Yan, Yan; Wang, Wen-Xiong</t>
  </si>
  <si>
    <t>Spatial variation and subcellular binding of metals in oysters from a large estuary in China</t>
  </si>
  <si>
    <t>Pearl River Estuary; Metals; Crassostrea hongkongensis; Cd hazard; Detoxification</t>
  </si>
  <si>
    <t>PEARL RIVER ESTUARY; SOUTH CHINA; CRASSOSTREA-VIRGINICA; AMERICAN OYSTER; 2 BIVALVES; SEDIMENTS; CADMIUM; COPPER; ZINC; CONTAMINATION</t>
  </si>
  <si>
    <t>Pearl River Estuary (PRE) is the largest estuary in Southern China and there has been an increasing concern of metal pollution due to regional industrialization. In this study, we investigated the spatial variation of metal pollution (Ag, As, Cd, Cu, Pb, and Zn) as well as their subcellular handling in the oyster Crassostrea hongkongensis. Hot spots of metal contamination in the oysters were found in different sites, suggesting that there were different sources of metals in the estuary associated with industrial activity. Metals differed in their subcellular bindings in the oysters from different locations. Metal distribution in the biologically detoxified fraction decreased for Cu but increased for Zn with increasing contamination in the oysters. For Zn, there was a significant difference in its two detoxification pools (metal-rich granules and metallothionein-like proteins) in response to Zn contamination. The high Cd concentrations in oysters may carry a high Cd hazard to the consumers. (C) 2013 Elsevier Ltd. All rights reserved.</t>
  </si>
  <si>
    <t>[Yu, Xiu-Juan; Yan, Yan] Chinese Acad Sci, South China Sea Inst Oceanol, Guangzhou 510301, Guangdong, Peoples R China; [Pan, Ke; Liu, Fengjie; Wang, Wen-Xiong] Hong Kong Univ Sci &amp; Technol, Div Life Sci, Kowloon, Hong Kong, Peoples R China</t>
  </si>
  <si>
    <t>Chinese Academy of Sciences; South China Sea Institute of Oceanology, CAS; Hong Kong University of Science &amp; Technology</t>
  </si>
  <si>
    <t>Wang, Wenxiong/0000-0001-9033-0158; LIU, Fengjie/0000-0002-2359-5022</t>
  </si>
  <si>
    <t>National Natural Science Foundation [21237004]; National Natural Science Foundation of China [40806057]</t>
  </si>
  <si>
    <t>National Natural Science Foundation(National Natural Science Foundation of China (NSFC)); National Natural Science Foundation of China(National Natural Science Foundation of China (NSFC))</t>
  </si>
  <si>
    <t>This study was supported by a Key Project from the National Natural Science Foundation (21237004 to W.-X. Wang) and a Young Scientist Project from the National Natural Science Foundation of China (Grant No. 40806057, to X.-J. Yu).</t>
  </si>
  <si>
    <t>10.1016/j.marpolbul.2013.02.036</t>
  </si>
  <si>
    <t>159UI</t>
  </si>
  <si>
    <t>WOS:000320072400046</t>
  </si>
  <si>
    <t>Meng, FP; Wang, ZF; Cheng, FL; Du, XP; Fu, WC; Wang, Q; Yi, XY; Li, YF; Zhou, Y</t>
  </si>
  <si>
    <t>Meng, Fanping; Wang, Zhifeng; Cheng, Fenglian; Du, Xiuping; Fu, Wenchao; Wang, Qun; Yi, Xiaoyan; Li, Yongfu; Zhou, You</t>
  </si>
  <si>
    <t>The assessment of environmental pollution along the coast of Beibu Gulf, northern South China Sea: An integrated biomarker approach in the clam Meretrix meretrix</t>
  </si>
  <si>
    <t>Meretrix meretrix; Beibu Gulf; Integrated biomarker response; Environmental monitoring; Biomarker; Metals; Polychlorinated biphenyls; Sediment</t>
  </si>
  <si>
    <t>POLYCYCLIC AROMATIC-HYDROCARBONS; ECOLOGICAL RISK-ASSESSMENT; MYTILUS-GALLOPROVINCIALIS; POLYCHLORINATED-BIPHENYLS; SURFACE SEDIMENTS; HEAVY-METALS; ACETYLCHOLINESTERASE ACTIVITY; ORGANOCHLORINE CONTAMINANTS; GLUTATHIONE-PEROXIDASE; BIOCHEMICAL RESPONSES</t>
  </si>
  <si>
    <t>The clam Meretrix meretrix was used as a biomonitor to implement an environmental monitoring program along the coast of Beibu Gulf in October 2011. This program not only analyzed biomarkers including acetylcholinesterase, glutathione peroxidase, glutathione S-transferase, catalase and superoxide dismutase activities, total glutathione content and lipid peroxidation level in M. meretrix but also adopted a multi-biomarker approach - integrated biomarker response (IBR) to assess the environmental quality in this ecosystem. In addition, the metal (Hg, As, Cu, Pb, Zn, Cd and Cr) and polychlorinated biphenyls (PCBs) content in the surface sediment at the study area were also measured. The results showed that IBR index was able to distinguish a space trend between sampling sites with different degrees of anthropogenic environmental stress. Integrated contamination degree were displayed in the form of star plots and compared to IBR plots. There was a visual consistency between the pollution level and IBR variation. Based on the results, it was proved that the IBR method coupled with chemical analysis was quite useful for the assessment of environmental pollution in the coastal system. (C) 2013 Elsevier Ltd. All rights reserved.</t>
  </si>
  <si>
    <t>[Meng, Fanping; Wang, Zhifeng; Cheng, Fenglian; Du, Xiuping; Fu, Wenchao; Wang, Qun; Yi, Xiaoyan; Li, Yongfu; Zhou, You] Ocean Univ China, Minist Educ, Key Lab Marine Environm Sci &amp; Ecol, Qingdao 266100, Peoples R China</t>
  </si>
  <si>
    <t>Meng, FP (corresponding author), Ocean Univ China, Coll Environm Sci &amp; Engn, Songling Rd 238, Qingdao 266100, Peoples R China.</t>
  </si>
  <si>
    <t>Li, Yongfu/AAF-9268-2020; Wang, Zhifeng/ITT-2561-2023</t>
  </si>
  <si>
    <t>Ocean Public Service Foundation of China [201005012-2]</t>
  </si>
  <si>
    <t>This work was financially supported by Ocean Public Service Foundation of China (No. 201005012-2). We gratefully acknowledge all the members of the Key Laboratory who participated in the campaign. Special gratitude goes to Zhifeng Wang for his very excellent work during this study and article preparation. We sincerely thank Heng Hu and Xianglei Li for their assistance in the tissue preparation. Also, many thanks to the referees for their encouraging comments and constructive criticisms which finally improved the work. For improving the style of the manuscript we are very thankful to Dr. Xiaoshan Zhu.</t>
  </si>
  <si>
    <t>10.1016/j.marenvres.2013.01.003</t>
  </si>
  <si>
    <t>111EO</t>
  </si>
  <si>
    <t>WOS:000316504300008</t>
  </si>
  <si>
    <t>Marigomez, I; Orbea, A; Olabarrieta, I; Etxeberria, M; Cajaraville, MP</t>
  </si>
  <si>
    <t>Structural changes in the digestive lysosomal system of sentinel mussels as biomarkers of environmental stress in mussel-watch programmes</t>
  </si>
  <si>
    <t>15th Annual Conference of the European-Society-for-Comparative-Physiology-and-Biochemistry</t>
  </si>
  <si>
    <t>SEP 20-23, 1994</t>
  </si>
  <si>
    <t>GENOA, ITALY</t>
  </si>
  <si>
    <t>lysosomes; digestive cells; histochemistry; image analysis; environmental stress; biomarkers; mussel-watch programmes; metallic pollution; hydrocarbon pollution</t>
  </si>
  <si>
    <t>MYTILUS-EDULIS; RESPONSES; POLLUTION; CELLS; INDICATORS; EXPOSURE; HYDROCARBONS; WINKLES; CADMIUM; OIL</t>
  </si>
  <si>
    <t>A field study has been carried out to validate the measure of structural changes in the digestive lysosomal system of sentinel mussels as biomarkers of environmental stress. Previous laboratory studies demonstrated that the digestive lysosomal system of molluscs reponds to a variety of pollutants and to different stress situations by exhibiting significant changes in its structure. Mussels were collected monthly over 1 year at the Abra estuary (Bizkaia, Biscay Bay) from six sites with different degrees of pollution. The changes in the structure of the digestive lysosomes were quantified on cryostat sections of the digestive gland by means of automated image analysis. Four stereological parameters were recorded: lysosomal volume density, surface density, surface-to volume ratio and numerical density. A seasonal pattern in the structure of the digestive lysosomes was evidenced with reduced volume, surface, size and numbers of lysosomes in winter-spring; increased volume, surface, size and numbers in summer and an intermediate situation in autumn. The structure of digestive lysosomes was also dissimilar among sites, the most significant differences being found between Plentzia (nonpolluted site) and Galea (polluted site). The digestive lysosomes of mussels collected from Galea were smaller and more abundant than in Plentzia's mussels in most sampling times. The basis of these differences are discussed to conclude that organic chemical pollution might be the cause for these specific changes which are different from the enlargement of digestive lysosomes described as a result of various sources of environmental stress. It is concluded that structural changes in the digestive lysosomes of sentinel mussels are sensitive to pollution-induced environmental stress even in the complex situation of the field where many factors may interact to affect the structure of the digestive lysosomal system.</t>
  </si>
  <si>
    <t>Marigomez, I (corresponding author), UNIV BASQUE COUNTRY, ZIENTZI FAK, BIOL ZELULARRA &amp; ZIENTZIA MORFOL SAILA, ZITOL &amp; HISTOL LAB, 644 PK, E-48080 BILBAO, SPAIN.</t>
  </si>
  <si>
    <t>/I-2501-2015; MARIGOMEZ ALLENDE, Ionan/C-3909-2017; Cajaraville, Miren P/I-4757-2015</t>
  </si>
  <si>
    <t>MARIGOMEZ ALLENDE, Ionan/0000-0001-6274-541X; ORBEA DEL REY, AMAIA/0000-0002-0229-4482; Cajaraville, Miren P/0000-0001-6527-6137</t>
  </si>
  <si>
    <t>10.1016/0742-8413(95)02100-0</t>
  </si>
  <si>
    <t>UH465</t>
  </si>
  <si>
    <t>WOS:A1996UH46500026</t>
  </si>
  <si>
    <t>Zhang, TY; Wang, X; Zhang, QQ; Yang, DL; Zhang, XL; Liu, H; Dong, ZJ; Zhao, JM</t>
  </si>
  <si>
    <t>Zhang, Tianyu; Wang, Xin; Zhang, Qianqian; Yang, Dinglong; Zhang, Xiaoli; Liu, Hui; Dong, Zhijun; Zhao, Jianmin</t>
  </si>
  <si>
    <t>Interactive effects of multiple antibiotic residues and ocean acidification on physiology and metabolome of the bay scallops Argopecten irradians irradians</t>
  </si>
  <si>
    <t>Antibiotics residues; Ocean acidification; Physiological response; Metabolomics; Bay scallop</t>
  </si>
  <si>
    <t>OXIDATIVE STRESS; SEASONAL-VARIATION; RESISTANCE GENES; COASTAL WATER; DNA; MUSSELS; RESPONSES; TOXICITY; ACID; SEA</t>
  </si>
  <si>
    <t>Coastal areas are confronted with compounding threats arising from both climatic and non-climatic stressors. Antibiotic pollution and ocean acidification are two prevalently concurrent environmental stressors. Yet their interactive effects on marine biota have not been investigated adequately and the compound hazard remain obscure. In this study, bay scallops Argopecten irradians irradians were exposed to multiple antibiotics (sulfamethoxazole, tetracycline, oxytetracycline, norfloxacin, and erythromycin, each at a concentration of 1 mu g/L) combined with/without acidic seawater (pH 7.6) for 35 days. The single and interactive effects of the two stressors on A. irradians irradians were determined from multidimensional bio-responses, including energetic physiological traits as well as the molecular underpinning (metabolome and expressions of key genes). Results showed that multiple antibiotics predominantly enhanced the process of DNA repair and replication via disturbing the purine metabolism pathway. This alternation is perhaps to cope with the DNA damage induced by oxidative stress. Ocean acidification mainly disrupted energy metabolism and ammonia metabolism of the scallops, as evidenced by the increased ammonia excretion rate, the decreased O:N ratio, and perturbations in amino acid metabolism pathways. Moreover, the antagonistic effects of multiple antibiotics and ocean acidification caused alternations in the relative abundance of neurotransmitter and gene expression of neurotransmitter receptors, which may lead to neurological disorders in scallops. Overall, the revealed alternations in physiological traits, metabolites and gene expressions provide insightful information for the health status of bivalves in a natural environmental condition under the climate change scenarios.</t>
  </si>
  <si>
    <t>[Zhang, Tianyu; Wang, Xin; Zhang, Qianqian; Yang, Dinglong; Zhang, Xiaoli; Liu, Hui; Dong, Zhijun; Zhao, Jianmin] Chinese Acad Sci, Yantai Inst Coastal Zone Res, Key Lab Coastal Biol &amp; Biol Resources Utilizat, Yantai 264003, Peoples R China; [Zhang, Tianyu; Wang, Xin; Zhang, Qianqian; Yang, Dinglong; Zhang, Xiaoli; Liu, Hui; Dong, Zhijun; Zhao, Jianmin] Chinese Acad Sci, Yantai Inst Coastal Zone Res, Muping Coastal Environm Res Stn, Yantai 264117, Peoples R China; [Zhang, Tianyu; Wang, Xin] Univ Chinese Acad Sci, Beijing 100049, Peoples R China; [Zhao, Jianmin] Chinese Acad Sci, Yantai Inst Coastal Zone Res, Key Lab Coastal Zone Environm Proc &amp; Ecol Remediat, Yantai 264117, Peoples R China</t>
  </si>
  <si>
    <t>Chinese Academy of Sciences; Yantai Institute of Coastal Zone Research, CAS; Chinese Academy of Sciences; Yantai Institute of Coastal Zone Research, CAS; Chinese Academy of Sciences; University of Chinese Academy of Sciences, CAS; Chinese Academy of Sciences; Yantai Institute of Coastal Zone Research, CAS</t>
  </si>
  <si>
    <t>Zhao, JM (corresponding author), Chinese Acad Sci, Yantai Inst Coastal Zone Res, Key Lab Coastal Biol &amp; Biol Resources Utilizat, Yantai 264003, Peoples R China.;Zhao, JM (corresponding author), Chinese Acad Sci, Yantai Inst Coastal Zone Res, Muping Coastal Environm Res Stn, Yantai 264117, Peoples R China.;Zhao, JM (corresponding author), Chinese Acad Sci, Yantai Inst Coastal Zone Res, Key Lab Coastal Zone Environm Proc &amp; Ecol Remediat, Yantai 264117, Peoples R China.</t>
  </si>
  <si>
    <t>Dong, Zhijun/B-9172-2009; Zhang, Qianqian/HHZ-6216-2022</t>
  </si>
  <si>
    <t>Wang, Xin/0000-0003-3902-9524</t>
  </si>
  <si>
    <t>Strategic Priority Research Program of the Chinese Academy of Sciences [XDA23050303]; National Science &amp; Technology Fundamental Resources Investigation Program of China [2022FY100600]; Seed Project of Yantai Institute of Coastal Zone Research, Chinese Academy of Sciences [YICE351010101]; Youth Innovation Promotion Association, Chinese Academy of Sciences [2022211]</t>
  </si>
  <si>
    <t>Strategic Priority Research Program of the Chinese Academy of Sciences(Chinese Academy of Sciences); National Science &amp; Technology Fundamental Resources Investigation Program of China; Seed Project of Yantai Institute of Coastal Zone Research, Chinese Academy of Sciences; Youth Innovation Promotion Association, Chinese Academy of Sciences</t>
  </si>
  <si>
    <t>This study was supported by grants from the Strategic Priority Research Program of the Chinese Academy of Sciences (XDA23050303) , the National Science &amp; Technology Fundamental Resources Investigation Program of China (2022FY100600) , the Seed Project of Yantai Institute of Coastal Zone Research, Chinese Academy of Sciences (No. YICE351010101) , and the Youth Innovation Promotion Association, Chinese Academy of Sciences (No. 2022211) .</t>
  </si>
  <si>
    <t>10.1016/j.scitotenv.2023.168941</t>
  </si>
  <si>
    <t>DR2E0</t>
  </si>
  <si>
    <t>WOS:001133719600001</t>
  </si>
  <si>
    <t>Sasikumar, G; Krishnakumar, PK; Bhat, GS</t>
  </si>
  <si>
    <t>Sasikumar, Geetha; Krishnakumar, P. K.; Bhat, G. S.</t>
  </si>
  <si>
    <t>Monitoring trace metal contaminants in green mussel, Perna viridis from the coastal waters of Karnataka, southwest coast of India</t>
  </si>
  <si>
    <t>MYTILUS-EDULIS; SUSPENDED MATTER; SOUTHEAST COAST; DIGESTIVE CELLS; HEAVY-METALS; PUGET-SOUND; BALTIC-SEA; POLLUTION; LEAD; ACCUMULATION</t>
  </si>
  <si>
    <t>The green mussel (Perna viridis) is widely distributed in the coastal waters of Asia and is used in mussel watch programmes for monitoring environmental contaminants throughout the region. Green mussels representing different size groups and habitats were sampled from their natural beds at 28 locations in the inshore waters of Karnataka (southwest coast of India) to analyze the tissue concentrations of Cd, Cr, Cu, Fe, Mn, Ni, Pb, and Zn. Tissue concentrations of Cr, Cu, Fe, and Pb were significantly higher in smaller mussels than in the larger size group. Significantly higher concentrations of Cr, Cu, Fe, Mn, and Ni were observed in mussels sampled from intertidal beds when compared to mussels from the subtidal beds. The sampling sites were categorized into industrial sites (IS), urban sites (US), and nonurban sites (NS) based on principal component analysis of metal concentrations in mussel. Spatial variations in tissue concentrations of all metals were observed except for Zn. Generally, the levels of toxic trace metals like Pb, Cd, Ni, and Cr in the whole tissue of P. viridis were within safe limits throughout the coast of Karnataka. However, relatively high concentrations of Cd, Cr, and Pb were observed in the whole tissue of green mussels collected from the industrial sites (IS), which may be derived from a variety of anthropogenic activities.</t>
  </si>
  <si>
    <t>Cent Marine Fisheries Res Inst, Mangalore Res Ctr, Karnataka 575001, India</t>
  </si>
  <si>
    <t>Krishnakumar, PK (corresponding author), Cent Marine Fisheries Res Inst, Mangalore Res Ctr, Post Box 244, Karnataka 575001, India.</t>
  </si>
  <si>
    <t>kkumarpk@touchtelindia.net</t>
  </si>
  <si>
    <t>10.1007/s00244-005-0055-2</t>
  </si>
  <si>
    <t>054FL</t>
  </si>
  <si>
    <t>WOS:000238362100006</t>
  </si>
  <si>
    <t>Lu, GY; Zhu, AJ; Fang, HD; Dong, YH; Wang, WX</t>
  </si>
  <si>
    <t>Lu, Guangyuan; Zhu, Aijia; Fang, Hongda; Dong, Yanhong; Wang, Wen-Xiong</t>
  </si>
  <si>
    <t>Establishing baseline trace metals in marine bivalves in China and worldwide: Meta-analysis and modeling approach</t>
  </si>
  <si>
    <t>Baseline; Bivalve; Bioaccumulation; Biomonitoring; Biokinetic; Cumulative frequency</t>
  </si>
  <si>
    <t>SEDIMENT QUALITY GUIDELINES; ECOLOGICAL RISK-ASSESSMENT; BIOACCUMULATION; COPPER; FIELD; TOXICITY; AVAILABILITY; ACCUMULATION; BIODYNAMICS; ENVIRONMENT</t>
  </si>
  <si>
    <t>Bivalves are extensively employed as biomonitors of coastal pollution, but the comparability among different species and geographic environments needs to be further scrutinized. The present study conducted a meta-analysis of trace metals (Ag, Cd, Cr, Cu, Ni, Pb, Ti, and Zn) in the soft tissues of three groups of marine bivalves (oysters, mussels, and clams) collected from China and worldwide. By conducting cumulative frequency distribution analysis of metal distribution, we modeled the 5% cumulative values as the bio-baseline metal concentrations in these bivalves. We further modeled their potential baseline concentrations using a well-developed biokinetic model. The baseline concentrations of Cd, Cu, and Zn in the tissue-specific Environmental Quality Standards (EQSs) for China were 0.99, 34.5, and 340 mu g/g dw in oysters, 0.38, 4.32, and 49.6 mu g/g dw in mussels, and 0.35, 3.02, 51.4 mu g/g dwin clams, respectively. Of the 8 metals examined in this study, the calculated baseline concentrations of Ag, Cr, Cd, Cu and Zn in the oysters were 3.7-48, 2.7-3.6, 2.6-2.8, 8.0-11.4, 6.6-6.8 times higher than those in the mussels and clams, and only Ti showed comparable baseline concentrations among the three bivalves (8.43-9.67 mu g/g dw). These data strongly suggested the inter-group as well as inter-metal difference in the baseline metal concentrations in marine bivalves. Further, the potential baseline concentrations of Cd and Cu predicted by the biokinetic model were comparable to those modeled by the probability frequency distribution. Combined statistical frequency analysis and biokinetic modeling therefore provided an innovative method to establish the baseline metal concentrations in bivalves and the tissue-specific EQSs, which are now urgently needed for coastal management, biomonitoring, and geochemical records in the world. (C) 2019 Elsevier B.V. All rights reserved.</t>
  </si>
  <si>
    <t>[Lu, Guangyuan; Wang, Wen-Xiong] Hong Kong Univ Sci &amp; Technol HKUST, Shenzhen Res Inst, Shenzhen Key Lab Edible &amp; Med Bioresources, Shenzhen 518000, Peoples R China; [Lu, Guangyuan; Wang, Wen-Xiong] HKUST, Dept Ocean Sci, Kowloon, Clearwater Bay, Hong Kong, Peoples R China; [Zhu, Aijia; Fang, Hongda; Dong, Yanhong] State Ocean Adm, South China Sea Environm Monitoring Ctr, Guangzhou 510300, Guangdong, Peoples R China</t>
  </si>
  <si>
    <t>Wang, WX (corresponding author), HKUST, Dept Ocean Sci, Kowloon, Clearwater Bay, Hong Kong, Peoples R China.</t>
  </si>
  <si>
    <t>National Natural Science Foundation of China [21777134]; Doctoral Startup of Guangdong Province [2017A030310586]; Shenzhen Science and Technology Innovation Commission [JCYJ20160530190902836, ZDSYS201707281432317]; Earmarked Fund for Modern Agro-industry Technology Research System [CARS-49]</t>
  </si>
  <si>
    <t>National Natural Science Foundation of China(National Natural Science Foundation of China (NSFC)); Doctoral Startup of Guangdong Province; Shenzhen Science and Technology Innovation Commission; Earmarked Fund for Modern Agro-industry Technology Research System</t>
  </si>
  <si>
    <t>We thank the anonymous reviewers for their comments. This study was supported by the National Natural Science Foundation of China (21777134), the Doctoral Startup of Guangdong Province (2017A030310586), Shenzhen Science and Technology Innovation Commission (JCYJ20160530190902836, ZDSYS201707281432317), and the Earmarked Fund for Modern Agro-industry Technology Research System (No. CARS-49).</t>
  </si>
  <si>
    <t>10.1016/j.scitotenv.2019.03.164</t>
  </si>
  <si>
    <t>HS2AM</t>
  </si>
  <si>
    <t>WOS:000463663500072</t>
  </si>
  <si>
    <t>Degger, N; Wepener, V; Richardson, BJ; Wu, RSS</t>
  </si>
  <si>
    <t>Degger, N.; Wepener, V.; Richardson, B. J.; Wu, R. S. S.</t>
  </si>
  <si>
    <t>Application of artificial mussels (AMs) under South African marine conditions: A validation study</t>
  </si>
  <si>
    <t>Artificial mussel; South Africa; Metals; Monitoring</t>
  </si>
  <si>
    <t>DOGWHELK NUCELLA-LAPILLUS; MONITORING HEAVY-METALS; RICHARDS BAY HARBOR; TRACE-METAL; ENVIRONMENTS</t>
  </si>
  <si>
    <t>Over the last three decades there has been a significant decline in the number of marine pollution monitoring-related studies in South Africa. Thus, the current study was conducted to assess the current state of metal contamination within the South African marine environment through the validation of the artificial mussel (AM). Indigenous reference mussels (Perna perna) were deployed alongside the passive device within the South African marine environment for a 6 week exposure period. Analysis of metal uptake (Cd, Cr, Cu, Pb and Zn) was determined by filtration and elution of the AM chelex resins, microwave digestion of the transplanted mussels, and determination of their metal concentrations by ICP-MS and ICP-OES analysis. Uptake patterns between the AM and transplanted mussels showed significant temporal and spatial correlation for the majority of the elements analysed. While the AM provided relevant and complementary information on the dissolved metal concentrations, limitations were also observed. (C) 2011 Elsevier Ltd. All rights reserved.</t>
  </si>
  <si>
    <t>[Degger, N.; Wepener, V.] Univ Johannesburg, Dept Zool, ZA-2006 Auckland Pk, South Africa; [Richardson, B. J.] City Univ Hong Kong, Dept Biol &amp; Chem, Kowloon, Hong Kong, Peoples R China; [Wu, R. S. S.] Univ Hong Kong, Sch Biol Sci, Hong Kong, Hong Kong, Peoples R China</t>
  </si>
  <si>
    <t>University of Johannesburg; City University of Hong Kong; University of Hong Kong</t>
  </si>
  <si>
    <t>Wepener, V (corresponding author), Univ Johannesburg, Dept Zool, POB 524, ZA-2006 Auckland Pk, South Africa.</t>
  </si>
  <si>
    <t>victorw@uj.ac.za</t>
  </si>
  <si>
    <t>Richardson, Bruce/A-6186-2009; Wepener, Victor/S-8421-2019; Wu, Rudolf/B-4203-2010</t>
  </si>
  <si>
    <t>Richardson, Bruce/0000-0001-9339-6996; Wepener, Victor/0000-0002-9374-7191</t>
  </si>
  <si>
    <t>10.1016/j.marpolbul.2011.04.040</t>
  </si>
  <si>
    <t>WOS:000294092700008</t>
  </si>
  <si>
    <t>Zakharikhina, L; Rudev, P; Paltseva, A</t>
  </si>
  <si>
    <t>Zakharikhina, Lalita; Rudev, Peter; Paltseva, Anna</t>
  </si>
  <si>
    <t>Chemical composition and morphology of the Mediterranean mussel, Black Sea coast of Russia</t>
  </si>
  <si>
    <t>Mediterranean mussels; Anthropogenic pollution; Biogeochemistry; Morphometric characteristics</t>
  </si>
  <si>
    <t>MYTILUS-GALLOPROVINCIALIS; HEAVY-METALS; PB; FRACTIONATION; ACCUMULATION; PROTEINS; ELEMENTS; SOILS; ZN; CU</t>
  </si>
  <si>
    <t>Mussels, whose soft tissues are used in food and are rich in high-quality protein, are essential in marine fisheries. Mediterranean mussels (Mytilus galloprovincialis Lam) used to assesses the pollution level of a coastal marine zone due to exposure to local technological processes populate the metal piles of a pier built for the 2014 Olympics in Sochi Olympic Park. The chemical composition of mussel soft tissues (61 elements analyzed by the ICP method) indicates anthropogenic pollution of the coastal zone ecosystem, most pronounced in the 50-m zone along the coast due to run off from the terrestrial ecosystem affected by the Olympic construction. Line measurements of annual rings of 6-year-old individuals of mussels showed stabilization of the ecological situation in the coastalmarine zone by 2019. This study can be used for comprehensive ecological monitoring of coastal-marine zones with similar conditions and anthropogenic load.</t>
  </si>
  <si>
    <t>[Zakharikhina, Lalita; Rudev, Peter] Russian Acad Sci, Subtrop Sci Ctr, Fed Res Ctr, 2-28 Janis Fabriciuss, Krasnodar Krai 354002, Sochi, Russia; [Paltseva, Anna] Univ Louisiana, Sch Geosci, 611 McKinley St, Lafayette, LA 70504 USA</t>
  </si>
  <si>
    <t>Russian Academy of Sciences; University of Louisiana Lafayette</t>
  </si>
  <si>
    <t>Zakharikhina, L (corresponding author), Russian Acad Sci, Subtrop Sci Ctr, Fed Res Ctr, 2-28 Janis Fabriciuss, Krasnodar Krai 354002, Sochi, Russia.</t>
  </si>
  <si>
    <t>zlv63@yandex.ru</t>
  </si>
  <si>
    <t>Zakharikhina, Lalita/AGP-3663-2022; Paltseva, Anna/AAM-6166-2020</t>
  </si>
  <si>
    <t>Kuban Science Foundation of the RFBR [MFI-20.1/6]; Krasnodar Krai [19-45-230020 r a]; State Task FRC SSC RAS [0492-2021-0016]</t>
  </si>
  <si>
    <t>Kuban Science Foundation of the RFBR; Krasnodar Krai; State Task FRC SSC RAS</t>
  </si>
  <si>
    <t>The authors are grateful to the Director of the Caucasian State Natural Biosphere Reserve, S.G. Shevelev, for assisting in organizing the fieldwork. This publication is a part of the implementation of the State Task FRC SSC RAS No. 0492-2021-0016, written with the financial support of the Kuban Science Foundation within the framework of the scientific project No. MFI-20.1/6 Grant of the RFBR and Krasnodar Krai No. 19-45-230020 r a. Thanks to Elsevier Language Editing Services for English editing.</t>
  </si>
  <si>
    <t>10.1016/j.marpolbul.2022.113692</t>
  </si>
  <si>
    <t>WOS:000872094100007</t>
  </si>
  <si>
    <t>Li, DL; Wang, J; Pi, J; Yu, JB; Zhang, T</t>
  </si>
  <si>
    <t>Li, Deliang; Wang, Jian; Pi, Jie; Yu, Jianbo; Zhang, Ting</t>
  </si>
  <si>
    <t>Biota-sediment metal accumulation and human health risk assessment of freshwater bivalve Corbicula fluminea in Dongting Lake, China</t>
  </si>
  <si>
    <t>Biota-sediment accumulation factor; Metals; Target hazard quotient; Total target hazard quotient</t>
  </si>
  <si>
    <t>HEAVY-METALS; BELLAMYA-AERUGINOSA; SURFACE SEDIMENTS; XIANGJIANG RIVER; TAIHU LAKE; EXPOSURE; BIOACCUMULATION; CONTAMINATION; POLLUTION; TOXICITY</t>
  </si>
  <si>
    <t>In this study, we analyzed the concentrations of metals in sediments and Corbicula fluminea in China's Dongting Lake to assess the suitability of C. fluminea as an effective biomonitor of metal contamination in sediments and food safety. We analyzed the biota-accumulation capacity by calculating the biota-sediment accumulation factor (BSAF) and assessed the potential human health risk of metals exposure via consumption of C. fluminea using the target hazard quotient (THQ) and total target hazard quotient (TTHQ). The results showed that the average concentrations of As (31.93mgkg(-1)), Cd (5.54mgkg(-1)), Cr (105.50mgkg(-1)), Cu (32.53mgkg(-1)), and Zn (207.89mgkg(-1)) in sediments were higher than their respective standard set by the General Administration of Quality Supervision, Inspection and Quarantine of the People's Republic of China. The sediment metals, which were mainly anthropogenic in origin, were at high levels and pose a relatively high ecological risk. Cadium (Cd) showed very high potential ecological risk levels and should be included in the prior pollutants list in the studied area. The mean levels of As (0.81mgkg(-1)) in C. fluminea were 1.62-times higher than that set by the National Health Commission of the People's Republic of China. BSAF values of the soft tissues of C. fluminea were between 0.05 and 2.14, with higher values for Cu (2.14), Cd (1.77), Zn (1.60), and Ni (1.27). Soft tissues of C. fluminea were able to reflect spatial differences in Sr within sediments around Dongting Lake. The results indicated that C. fluminea could be an potential biomonitor for sediment metals assessment in biomonitoring programs, especially for Cu, Cd, Zn, Ni, and Sr. The mean values for THQ and TTHQ of all the analyzed metals were below 1.0, indicating that the intake of metals via comsumption of C. fluminea does not result in an appreciable risk to human health.</t>
  </si>
  <si>
    <t>[Li, Deliang; Wang, Jian; Pi, Jie; Yu, Jianbo] Hunan Agr Univ, Coll Anim Sci &amp; Technol, Hunan Engn Technol Res Ctr Featured Aquat Resourc, Changsha 410128, Hunan, Peoples R China; [Zhang, Ting] Cent S Univ, Coll Chem &amp; Chem Engn, Changsha 410083, Hunan, Peoples R China</t>
  </si>
  <si>
    <t>Hunan Agricultural University; Central South University</t>
  </si>
  <si>
    <t>, Ting/0000-0002-5163-9416</t>
  </si>
  <si>
    <t>Special Fund for Agro-Scientific Research in the Public Interest of China [201503108]; Scientific Research Fund of Hunan Provincial Education Department [17A099]; Hunan Provincial Key Research and Development Program [2017NK2290]</t>
  </si>
  <si>
    <t>Special Fund for Agro-Scientific Research in the Public Interest of China; Scientific Research Fund of Hunan Provincial Education Department(Hunan Provincial Education Department); Hunan Provincial Key Research and Development Program</t>
  </si>
  <si>
    <t>This study was supported by the Special Fund for Agro-Scientific Research in the Public Interest of China (No. 201503108), Scientific Research Fund of Hunan Provincial Education Department (No. 17A099), and Hunan Provincial Key Research and Development Program (2017NK2290).</t>
  </si>
  <si>
    <t>10.1007/s11356-019-04931-7</t>
  </si>
  <si>
    <t>HZ4SZ</t>
  </si>
  <si>
    <t>WOS:000468842100022</t>
  </si>
  <si>
    <t>Xu, SF; Zhan, LH; Hong, CY; Chen, XM; Chen, X; Oyama, M</t>
  </si>
  <si>
    <t>Xu, Shifen; Zhan, Linghong; Hong, Chengyi; Chen, Xiaomei; Chen, Xi; Oyama, Munetaka</t>
  </si>
  <si>
    <t>Metal-organic framework-5 as a novel phosphorescent probe for the highly selective and sensitive detection of Pb(II) in mussels</t>
  </si>
  <si>
    <t>SENSORS AND ACTUATORS B-CHEMICAL</t>
  </si>
  <si>
    <t>Metal-organic framework-5; Pb(II); Turn-on; Phosphorescence; Sensor</t>
  </si>
  <si>
    <t>LEAD; SENSOR; IONS; PB2+; LUMINESCENCE; ADSORPTION; CHILDREN</t>
  </si>
  <si>
    <t>Lead ion (Pb(II)) has emerged as a major mussel pollutant in recent decades, thus the development of sensors capable of detecting Pb(II) is of considerable interest. In this work, a novel, rapid, and turn-on phosphorescent sensor was developed to monitor Pb(II) using metal-organic framework-5 (MOF-5, Zn4O(TPA)(3), TPA: terephthalic acid) as a highly selective and sensitive luminescent probe. A mechanism describing the leaching of Zn (II) from Zn4O complexes and self-assembly of TPA after Pb(II) coordination is proposed for the MOF-5-Pb(II) system. Using enhanced phosphorescence, the sensor displays a wide linear detection range of 0.01 - 10 mu mol/L and a low detection limit of 2 nmol/L for the determination of Pb(II). Moreover, it is noteworthy that when immobilized in a polyethylene glycol (PEG) film, the MOF-5 probe exhibited a visually distinct color change at 1.0 mu mol/L Pb(II) under 365 nm UV light. From these results, a test strip was prepared for semi-quantitative analysis of Pb(II) content. Finally, the proposed phosphorescent sensor was successfully utilized to detect Pb(II) content in mussel. This study demonstrates the first MOF-based turn-on phosphorescent sensor for monitoring Pb(II), from which future high-performance phosphorescent sensors to determine food pollutants may be developed.</t>
  </si>
  <si>
    <t>[Xu, Shifen; Zhan, Linghong; Hong, Chengyi; Chen, Xiaomei] Jimei Univ, Coll Food &amp; Biol Engn, Xiamen 361021, Peoples R China; [Chen, Xi] Xiamen Univ, Coll Chem &amp; Chem Engn, State Key Lab Marine Environm Sci, Xiamen 361005, Peoples R China; [Oyama, Munetaka] Kyoto Univ, Grad Sch Engn, Dept Mat Chem, Nishikyo Ku, Kyoto 6158520, Japan</t>
  </si>
  <si>
    <t>Jimei University; Xiamen University; Kyoto University</t>
  </si>
  <si>
    <t>Chen, XM (corresponding author), Jimei Univ, Coll Food &amp; Biol Engn, Xiamen 361021, Peoples R China.</t>
  </si>
  <si>
    <t>xmchen@jmu.edu.cn</t>
  </si>
  <si>
    <t>Xiao-mei, CHEN/I-1498-2012; Oyama, Munetaka/D-6541-2014</t>
  </si>
  <si>
    <t>Chen, Xiaomei/0000-0003-1875-5869; Oyama, Munetaka/0000-0001-7422-9914</t>
  </si>
  <si>
    <t>National Natural Science Foundation of China [21675062]; National Key R&amp;D Program of China [2018YFD0901004]; Science and Technology Planning Project of Fujian Province, China [2018D0019, 2017J05053]</t>
  </si>
  <si>
    <t>National Natural Science Foundation of China(National Natural Science Foundation of China (NSFC)); National Key R&amp;D Program of China; Science and Technology Planning Project of Fujian Province, China</t>
  </si>
  <si>
    <t>This work was financially supported by the National Natural Science Foundation of China (21675062), the National Key R&amp;D Program of China (2018YFD0901004), the Science and Technology Planning Project of Fujian Province, China (2018D0019, 2017J05053). We would like to thank Editage (www.editage.cn) for English language editing.</t>
  </si>
  <si>
    <t>0925-4005</t>
  </si>
  <si>
    <t>SENSOR ACTUAT B-CHEM</t>
  </si>
  <si>
    <t>Sens. Actuator B-Chem.</t>
  </si>
  <si>
    <t>10.1016/j.snb.2020.127733</t>
  </si>
  <si>
    <t>Chemistry, Analytical; Electrochemistry; Instruments &amp; Instrumentation</t>
  </si>
  <si>
    <t>Chemistry; Electrochemistry; Instruments &amp; Instrumentation</t>
  </si>
  <si>
    <t>KI1ZR</t>
  </si>
  <si>
    <t>WOS:000511146700027</t>
  </si>
  <si>
    <t>Walker, TR; Grant, J</t>
  </si>
  <si>
    <t>Walker, Tony R.; Grant, Jon</t>
  </si>
  <si>
    <t>Metal(loid)s in sediment, lobster and mussel tissues near historical gold mine sites</t>
  </si>
  <si>
    <t>Sediment contaminants; Lobster (Homarus americanus); Blue mussels (Mytilus spp.); Mine tailings</t>
  </si>
  <si>
    <t>SYDNEY TAR PONDS; NOVA-SCOTIA; MYTILUS-EDULIS; BLUE MUSSELS; WATER-QUALITY; NEW-BRUNSWICK; BASE-LINE; HARBOR; REMEDIATION; CONTAMINATION</t>
  </si>
  <si>
    <t>Previous studies near historical gold mining districts in Nova Scotia have identified significant enrichment of metal(loid)s in coastal marine sediments. Most of this inventory is buried below biologically active zones, although in some areas arsenic has bioaccumulated in marine biota resulting in localised bivalve shellfish closures. Isaacs Harbour is poised for future industrial development, but before potential impacts are predicted, current marine baseline conditions must be determined. To address this gap, this study established a baseline using surface sediments and biota (mussel and lobster tissues), to provide a broader picture of metal(loid)s in the marine environment. Results confirmed previous studies showing that most sediment metal(loid) concentrations still exceeded Canadian Marine Sediment Quality Guidelines, and also provided evidence of Canadian Food Inspection Agency fish tissue exceedances of arsenic in lobster and lead in mussel tissues indicating that some bioaccumulation of legacy contaminants in marine biota continues to the present day. (C) 2015 Elsevier Ltd. All rights reserved.</t>
  </si>
  <si>
    <t>[Walker, Tony R.] Dalhousie Univ, Sch Resource &amp; Environm Studies, Halifax, NS, Canada; [Grant, Jon] Dalhousie Univ, Dept Oceanog, Halifax, NS, Canada</t>
  </si>
  <si>
    <t>Dalhousie University; Dalhousie University</t>
  </si>
  <si>
    <t>Maple LNG</t>
  </si>
  <si>
    <t>This study was supported by Maple LNG. We thank representatives from Nova Scotia Environment, Environment Canada, Natural Resources Canada (particularly Michael Parsons who made constructive comments to greatly improve this paper), and Fisheries and Oceans Canada for valuable input and Colin Negus for help with field work.</t>
  </si>
  <si>
    <t>10.1016/j.marpolbul.2015.10.010</t>
  </si>
  <si>
    <t>WOS:000367630700059</t>
  </si>
  <si>
    <t>Thomas, Y; Garen, P; Bennett, A; Le Pennec, M; Clavier, J</t>
  </si>
  <si>
    <t>Thomas, Y.; Garen, P.; Bennett, A.; Le Pennec, M.; Clavier, J.</t>
  </si>
  <si>
    <t>Multi-scale distribution and dynamics of bivalve larvae in a deep atoll lagoon (Ahe, French Polynesia)</t>
  </si>
  <si>
    <t>Bivalve larvae; Distribution patterns; Vertical migration; Pinctada margaritifera settlement; Deep atoll lagoon; French Polynesia</t>
  </si>
  <si>
    <t>OYSTER PINCTADA-MARGARITIFERA; LIP PEARL OYSTER; MARINE INVERTEBRATE LARVAE; TUAMOTU ARCHIPELAGO; VERTICAL-DISTRIBUTION; SPATIAL HETEROGENEITY; CONNECTIVITY; ZOOPLANKTON; BLACKLIP; TRANSPORT</t>
  </si>
  <si>
    <t>Bivalve larvae and hydrographic parameters were sampled over a range of spatio-temporal scales in a deep atoll lagoon. Bivalve larvae abundances were very high throughout the year: 18,550 m(-3) in average. Larvae were (i) concentrated at mid-depth with nocturnal ascent and diurnal descent, (ii) heterogeneously dispersed at the lagoon scale, (iii) subject to day-to-day variation in abundance and (iv) transferred between different parts of the lagoon providing evidence of intra-lagoonal connectivity. The primacy of physical factors was seen on large spatial scale with the diluting effect of water renewal and transfers by hydrodynamics. On smaller spatial scale, the primacy of biological processes was recognised, with larval swimming activity leading to dial vertical migration correlated with food concentration. Variations in larval abundance were driven by bivalve reproductive activity correlated with meteorological conditions (i.e. windy periods). Finally, relationship between bivalve larvae patterns and pearl oyster (Pinctada margaritifera) settlement structuring is discussed. (C) 2012 Elsevier Ltd. All rights reserved.</t>
  </si>
  <si>
    <t>[Thomas, Y.] IFREMER, DPFOM LPI, F-29840 Presquile Du Vivier, Argenton, France; [Thomas, Y.; Garen, P.; Bennett, A.] IFREMER, COP, Taravao 98719, Tahiti, France; [Le Pennec, M.] Univ Polynesie Francaise, Faaa 98702, Tahiti, France; [Clavier, J.] CNRS, UMR LEMAR 6539, IUEM, F-29280 Plouzane, France</t>
  </si>
  <si>
    <t>Ifremer; Ifremer; Centre National de la Recherche Scientifique (CNRS); CNRS - Institute of Ecology &amp; Environment (INEE); Universite de Bretagne Occidentale; Institut Universitaire Europeen de la Mer (IUEM); Ifremer; Institut de Recherche pour le Developpement (IRD)</t>
  </si>
  <si>
    <t>Thomas, Y (corresponding author), IFREMER, DPFOM LPI, F-29840 Presquile Du Vivier, Argenton, France.</t>
  </si>
  <si>
    <t>yoann.thomas1@gmail.com</t>
  </si>
  <si>
    <t>Thomas, Yoann/G-6648-2016</t>
  </si>
  <si>
    <t>Thomas, Yoann/0000-0001-7980-5239</t>
  </si>
  <si>
    <t>Institut Francais de Recherche pour l'Exploitation de la Mer (Ifremer); French Polynesian government (research delegation)</t>
  </si>
  <si>
    <t>This study was funded by the Institut Francais de Recherche pour l'Exploitation de la Mer (Ifremer) and the French Polynesian government (research delegation) with technical support of the Service de la Perliculture. Authors wish to express their gratitude to the Ifremer and Service de la Perliculture staff for their efficient help during sample collection. We also thank the Pa'umotu: the Maifano family for their effective assistance on Ahe atoll. We thank H. McCombie for her helpful comments and English revision.</t>
  </si>
  <si>
    <t>10-12</t>
  </si>
  <si>
    <t>10.1016/j.marpolbul.2011.12.028</t>
  </si>
  <si>
    <t>010HW</t>
  </si>
  <si>
    <t>WOS:000309086500005</t>
  </si>
  <si>
    <t>LOEHR, LC; COLLIAS, EE</t>
  </si>
  <si>
    <t>OLD CANNERY WASTES, A POTENTIAL SOURCE OF TRACE-METALS IN THE MARINE-ENVIRONMENT</t>
  </si>
  <si>
    <t>High levels of Pb and Zn were measured in the California mussel Mytilus californianus taken from southern Monterey Bay [California, USA] as part of the California State Mussel Watch program. The levels of Pb and Zn increased steadily from Cypress Point towards Cannery Row. The California State Water Resources Control Board (which funded but did not conduct the State Mussel Watch) attributed the high levels to heavy metals contributed by sewage. The state mussel watch data reports did not consider the historic canning wastes from &gt; 30 canneries along Cannery Row as a possible source of trace metals. Leachates from old cannery wastes may have been a major source of Pb and Zn in mussels in southern Monterey Bay and must be considered in assessing any data from the State Mussel Watch program.</t>
  </si>
  <si>
    <t>NW CONSULTANT OCEANOGRAPHERS INC, POB 15310, SEATTLE, WA 98115 USA.</t>
  </si>
  <si>
    <t>10.1016/0025-326X(83)90605-7</t>
  </si>
  <si>
    <t>RS938</t>
  </si>
  <si>
    <t>WOS:A1983RS93800007</t>
  </si>
  <si>
    <t>Geffard, O; Budzinski, H; His, E; Seaman, MNL; Garrigues, P</t>
  </si>
  <si>
    <t>Relationships between contaminant levels in marine sediments and their biological effects on embryos of oysters, Crassostrea gigas</t>
  </si>
  <si>
    <t>Crassostrea gigas; elutriate; embryotoxicity test; sediment quality; ecotoxicological bioassay</t>
  </si>
  <si>
    <t>CORPUS-CHRISTI BAY; TOXICITY TESTS; ESTUARINE; EXTRACTION; QUALITY; SURVIVAL; BIOASSAY; AMMONIA; LARVAE; RIVER</t>
  </si>
  <si>
    <t>Surface sediment samples from 10 coastal locations were analyzed with respect to their physical and chemical characteristics as well as their biological quality. The toxicity of the decanted fresh and freeze-dried sediments and of their elutriates was assessed by bioassays with embryos of the oysters Crassostrea gigas. The concentration inhibiting normal embryogenesis in 20% of the larvae (EC20) was used as a measure of toxicity and compared with the physical and chemical properties of the sediments and elutriates by principal components analysis. Decanted whole sediments were one to four orders of magnitude more toxic than their elutriates because the latter have lower contaminant concentrations. The biological effects of decanted whole sediment depended mostly on the levels of heavy metals and polycyclic aromatic hydrocarbons (PAHs), while in the case of the elutriates, the toxicity was mainly correlated with the concentrations of total ammonia and of dissolved organic carbon (DOC). Freeze-dried sediments and their elutriates were up to one order of magnitude more toxic than fresh sediments and elutriates, respectively, presumably because the freeze-drying procedure increases pollutant bioavailability or causes a release of unidentified organic compounds having toxic effects.</t>
  </si>
  <si>
    <t>Univ Bordeaux 1, LPTC, Lab Physicotoxicochim Syst Nat, F-33405 Talence, France; IFREMER, DEL PC, Stn Arcachon, F-33120 Arcachon, France; Inst Marine Sci, D-24105 Kiel, Germany</t>
  </si>
  <si>
    <t>Universite de Bordeaux; Ifremer</t>
  </si>
  <si>
    <t>Univ Bordeaux 1, LPTC, Lab Physicotoxicochim Syst Nat, 351 Cours Liberat, F-33405 Talence, France.</t>
  </si>
  <si>
    <t>o.geffard@lptc.u-bordeaux.fr</t>
  </si>
  <si>
    <t>BUDZINSKI, Helene/0000-0001-5282-9011; Geffard, olivier/0000-0001-7760-4644</t>
  </si>
  <si>
    <t>10.1002/etc.5620211108</t>
  </si>
  <si>
    <t>604ZP</t>
  </si>
  <si>
    <t>WOS:000178651200008</t>
  </si>
  <si>
    <t>Desjardins, K; Khadra, M; Caron, A; Ponton, DE; Rosabal, M; Amyot, M</t>
  </si>
  <si>
    <t>Desjardins, Kimberley; Khadra, Melissa; Caron, Antoine; Ponton, Dominic E.; Rosabal, Maikel; Amyot, Marc</t>
  </si>
  <si>
    <t>Significance of chemical affinity on metal subcellular distribution in yellow perch (Perca flavescens) livers from Lake Saint-Pierre (QUEBEC, Canada)</t>
  </si>
  <si>
    <t>Trace element; Metal class; Subcellular partitioning; Bioaccumulation; Fish</t>
  </si>
  <si>
    <t>ST-LAWRENCE-RIVER; FRESH-WATER ORGANISMS; TRACE-ELEMENTS; ANGUILLA-ANGUILLA; CADMIUM TOXICITY; IRON-METABOLISM; HEAVY-METALS; 2 BIVALVES; CD; MERCURY</t>
  </si>
  <si>
    <t>The subcellular partitioning approach provides useful information on the location of metals within cells and is often used on organisms with high levels of bioaccumulation to establish relationships between the internal concentration and the potential toxicity of metals. Relatively little is known about the subcellular partitioning of metals in wild fish with low bioaccumulation levels in comparison with those from higher contaminated areas. This study aims to examine the subcellular partitioning of various metals considering their chemical affinity and essentiality at relatively low contamination levels. Class A (Y, Sr), class B (Cu, Cd, MeHg), and borderline (Fe, Mn) metal concentrations were measured in livers and subcellular fractions of yellow perch (n = 21) collected in Lake Saint-Pierre, QC, Canada. The results showed that all metals, apart from MeHg, were distributed among subcellular fractions according to their chemical affinity. More than 60% of Y, Sr, Fe, and Mn were found in the metal-sensitive fractions. Cd and Cu were largely associated with the metallothionein-like proteins and peptides (60% and 67% respectively) whereas MeHg was found mainly in the metal-sensitive fractions (86%). In addition, the difference between the subcellular distribution of Cu and other essential metals like Fe and Mn denotes that, although the essentiality of some metals is a determinant of their subcellular distribution, the chemical affinity of metals is also a key driver. The similarity of the subcellular partitioning results with previous studies on yellow perch and other fish species from higher contaminated areas supports the idea that metals are distributed in the cellular environment according to their chemical properties regardless of the bioaccumulation gradient.</t>
  </si>
  <si>
    <t>[Desjardins, Kimberley; Caron, Antoine; Amyot, Marc] Univ Montreal, Dept Sci Biol Complexe Sci, Grp Interuniv limnol &amp; Environm aquat GRIL, 1375 Ave Therese-Lavoie-Roux, Montreal, PQ H2V 0B3, Canada; [Rosabal, Maikel] Univ Quebec Montreal, Succursale Ctr Ville, Dept Sci Biol, Grp Interuniv limnol &amp; Environm aquat GRIL, 8888,Succursale,Centre-Ville, Montreal, PQ H3C 3P8, Canada</t>
  </si>
  <si>
    <t>Universite de Montreal; University of Quebec; University of Quebec Montreal</t>
  </si>
  <si>
    <t>Amyot, M (corresponding author), Univ Montreal, Dept Sci Biol Complexe Sci, Grp Interuniv limnol &amp; Environm aquat GRIL, 1375 Ave Therese-Lavoie-Roux, Montreal, PQ H2V 0B3, Canada.</t>
  </si>
  <si>
    <t>m.amyot@umontreal.ca</t>
  </si>
  <si>
    <t>Ponton, Dominic/Q-5260-2019; Amyot, Marc/A-7182-2008</t>
  </si>
  <si>
    <t>Rosabal, Maikel/0000-0002-5420-3490; Amyot, Marc/0000-0002-0340-3249; Desjardins, Kimberley/0000-0002-6111-2773; Ponton, Dominic/0000-0002-3443-5278</t>
  </si>
  <si>
    <t>FRQNT Programme d'initiatives strategiques pour l'innovation (ISI); NSERC; Canada Research Chairs program; NSERC CREATE EcoLac training program in Lake and Fluvial Ecology</t>
  </si>
  <si>
    <t>FRQNT Programme d'initiatives strategiques pour l'innovation (ISI); NSERC(Natural Sciences and Engineering Research Council of Canada (NSERC)); Canada Research Chairs program(Canada Research Chairs); NSERC CREATE EcoLac training program in Lake and Fluvial Ecology(Natural Sciences and Engineering Research Council of Canada (NSERC))</t>
  </si>
  <si>
    <t>This project was financially supported by a FRQNT Programme d'initiatives strategiques pour l'innovation (ISI) grant to M.A, by an NSERC Discovery grant to M.A, and by the Canada Research Chairs program to M.A. K.D. received a scholarship through the NSERC CREATE EcoLac training program in Lake and Fluvial Ecology. We acknowledge Dolors Planas, Philippe Brodeur, Nicolas Auclair and Remi Bacon (Minist`ere des Forets, de la Faune des des Parcs du Quebec) and local fishermen during fish sampling. We acknowledge laboratory assistance from Dominic Belanger, Maria Chrifi Alaoui, Jeremy De Bonville and Gwenola Capelle, and field assistance from Jeremy De Bonville, Maxime Leclerc, Lucie Baillon, Valerie Rene and Alexandre Arscott-Gauvin. We acknowledge the staff at Pourvoirie Roger Gladu (Saint-Ignace-de-Loyola, Quebec) for accommodation and field equipment.</t>
  </si>
  <si>
    <t>10.1016/j.envpol.2022.120077</t>
  </si>
  <si>
    <t>4R3EF</t>
  </si>
  <si>
    <t>WOS:000856650300002</t>
  </si>
  <si>
    <t>Fernández-Calviño, D; Cutillas-Barreiro, L; Núñez-Delgado, A; Fernández-Sanjurjo, MJ; Alvarez-Rodriguez, E; Nóvoa-Muñoz, JC; Arias-Estévez, M</t>
  </si>
  <si>
    <t>Fernandez-Calvino, David; Cutillas-Barreiro, Laura; Nunez-Delgado, Avelino; Jose Fernandez-Sanjurjo, Maria; Alvarez-Rodriguez, Esperanza; Carlos Novoa-Munoz, Juan; Arias-Estevez, Manuel</t>
  </si>
  <si>
    <t>CU IMMOBILIZATION AND LOLIUM PERENNE DEVELOPMENT IN AN ACID VINEYARD SOIL AMENDED WITH CRUSHED MUSSEL SHELL</t>
  </si>
  <si>
    <t>plant growth; Cu uptake; crushed mussel shells; ryegrass; acid vineyard soil; bioavailable Cu; exchangeable Cu</t>
  </si>
  <si>
    <t>POLLUTED SOILS; COPPER PHYTOTOXICITY; SPATIAL-DISTRIBUTION; TOLERANCE PICT; METALS; PH; REVEGETATION; FRACTIONS; RYEGRASS; PLANTS</t>
  </si>
  <si>
    <t>Cu pollution and erosion pose an important risk of degradation in vineyard devoted soils. Therefore, minimizing harmful effects of Cu in the soil and avoiding erosion are important challenges in vineyard soil management. The addition of low cost bio-adsorbents to the soil which decreased Cu bioavailability in soil and/or increased cover crops development may be an important management practice for soil stabilization in vineyards. This study investigated the effect on Lolium perenne performance because of crushed mussel shell (CMS) amendment in an acid Cu-polluted vineyard soil. Quadruplicate samples of a Cu polluted soil were amended with 4 doses (0, 6, 24 and 48gkg(-1)) of CMS by in lab pots, where L. perenne was sowed and incubated for 51days. The soil pH, as well as Cu bioavailability and exchangeable Cu, was analysed. The effect of CMS on L. perenne response was measured using plant germination, plant growth and Cu uptake. The plant growth was assessed in both roots and shoots by measuring length and biomass. Cu uptake by roots and shoots was also determined. The CMS amendment on the acid vineyard soil increased the pH and reduced the bioavailable Cu concentration. Moreover, shoot and root growth increased for low and intermediate CMS doses, and decreased for higher doses. The increase in plant growth corresponded with increases in soil pH up to 70, whereas the highest mussel shell dose caused a pH increase over the neutrality (78). The CMS amendment decreased Cu uptake by both, roots and shoots, and it was highly correlated with changes in Cu bioavailability in the soil. The CMS amendment on a Cu-polluted acid soil presented positive effects on Cu immobilization and L. perenne growth. However, mussel shell application must be performed carefully, taking into account that high doses can lead to decreases on plant growth. Copyright (C) 2016 John Wiley &amp; Sons, Ltd.</t>
  </si>
  <si>
    <t>[Fernandez-Calvino, David; Cutillas-Barreiro, Laura; Carlos Novoa-Munoz, Juan; Arias-Estevez, Manuel] Univ Vigo, Fac Sci, Sect Soil Sci &amp; Agr Chem, Depatment Plant &amp; Soil Sci, As Lagoas 1, Orense 32004, Spain; [Nunez-Delgado, Avelino; Jose Fernandez-Sanjurjo, Maria; Alvarez-Rodriguez, Esperanza] Univ Santiago de Compostela, Engn Polytech Sch, Dept Soil Sci &amp; Agr Chem, Lugo 27002, Spain</t>
  </si>
  <si>
    <t>Fernández-Calviño, D (corresponding author), Univ Vigo, Fac Sci, Sect Soil Sci &amp; Agr Chem, Depatment Plant &amp; Soil Sci, As Lagoas 1, Orense 32004, Spain.</t>
  </si>
  <si>
    <t>davidfc@uvigo.es</t>
  </si>
  <si>
    <t>Nóvoa-Muñoz, J. C./A-9181-2009; Fernández-Sanjurjo, María/ABC-6938-2020; Estévez, Manuel/M-8629-2016; Nunez-Delgado, Avelino/K-3964-2013; Fernandez-Calvino, David/C-5756-2015; Alvarez, Esperanza/B-3154-2018</t>
  </si>
  <si>
    <t>Nunez-Delgado, Avelino/0000-0001-5373-1606; Fernandez-Calvino, David/0000-0003-0864-7039; Novoa-Munoz, Juan Carlos/0000-0003-3062-4191; Alvarez, Esperanza/0000-0003-3470-2679; Fernandez-Sanjurjo, Maria J./0000-0001-6728-7147</t>
  </si>
  <si>
    <t>Spanish Ministry of Economy and Competitiveness [CGL2012-36805-C02-01, CGL2012-36805-C02-02]; European Regional Development Fund (ERDF) (FEDER in Spain)</t>
  </si>
  <si>
    <t>Spanish Ministry of Economy and Competitiveness(Spanish Government); European Regional Development Fund (ERDF) (FEDER in Spain)(Spanish Government)</t>
  </si>
  <si>
    <t>This study was funded by the Spanish Ministry of Economy and Competitiveness by means of the research projects CGL2012-36805-C02-01 and CGL2012-36805-C02-02. It was also partially financed by the European Regional Development Fund (ERDF) (FEDER in Spain).</t>
  </si>
  <si>
    <t>10.1002/ldr.2634</t>
  </si>
  <si>
    <t>EL9QQ</t>
  </si>
  <si>
    <t>WOS:000394955500035</t>
  </si>
  <si>
    <t>Cao, XT; Luo, JQ; Woodley, JM; Wan, YH</t>
  </si>
  <si>
    <t>Cao, Xiaotong; Luo, Jianquan; Woodley, John M.; Wan, Yinhua</t>
  </si>
  <si>
    <t>Mussel-inspired co-deposition to enhance bisphenol A removal in a bifacial enzymatic membrane reactor</t>
  </si>
  <si>
    <t>Laccase immobilization; Biocatalytic membrane; Micro-pollutant; Tertiary wastewater treatment; Enzymatic membrane reactor</t>
  </si>
  <si>
    <t>WASTE-WATER; CERAMIC MEMBRANES; LACCASE; DEGRADATION; BIOTRANSFORMATION; MICROPOLLUTANTS; IMMOBILIZATION; NANOPARTICLE; ADSORPTION; FILTRATION</t>
  </si>
  <si>
    <t>In this study, the biocatalytic membranes were prepared by 'reverse filtration' of laccase and subsequently various mussel-inspired coating strategies: single dopamine (DA) deposition, DA/polyethyleneimine (PEI) co-deposition, and DA/Cu2+ co-deposition, where nanofiltration (NF) membranes were used as the matrix to further exploit the potential of the biocatalytic membranes. Such prepared biocatalytic membranes were enzymatically active on both sides, making it possible to construct a bifacial enzymatic membrane reactor (EMR) for highly efficient micro-pollutants removal (taking bisphenol A (BPA) as an example). Compared with the single polydopamine (PDA) coated membrane, the biocatalytic membranes prepared by DA/PEI and DA/Cu2+ co-depositions exhibited much better performances in terms of enzyme loading, activity and permeability as well as the stability of immobilized enzyme. The BPA removal efficiency was highest for the EMR with the PDA/Cu2+ coated membrane attributed to copper-enhanced electron transfer, while it was lowest for the EMR with the PDA/PEI coated membrane due to the high diffusional resistance of the dense PDA/PEI layer. Meanwhile, the mechanism for performance deterioration of biocatalytic membrane during BPA treatment was revealed, and it was found that the trade-off between BPA removal efficiency and long-term stability could be broken by applying the bifacial EMR with PDA/Cu2+ coated membrane in flow-through mode, since the pressure-induced convective mass transfer improved the substrate accessibility to enzyme together with products removal.</t>
  </si>
  <si>
    <t>[Cao, Xiaotong; Luo, Jianquan; Wan, Yinhua] Chinese Acad Sci, Inst Proc Engn, State Key Lab Biochem Engn, Beijing 100190, Peoples R China; [Cao, Xiaotong; Luo, Jianquan; Wan, Yinhua] Univ Chinese Acad Sci, Beijing 100049, Peoples R China; [Woodley, John M.] Tech Univ Denmark, Dept Chem &amp; Biochem Engn, DK-2800 Lyngby, Denmark</t>
  </si>
  <si>
    <t>Institute of Process Engineering, CAS; Chinese Academy of Sciences; Chinese Academy of Sciences; University of Chinese Academy of Sciences, CAS; Technical University of Denmark</t>
  </si>
  <si>
    <t>Luo, JQ; Wan, YH (corresponding author), Chinese Acad Sci, Inst Proc Engn, State Key Lab Biochem Engn, Beijing 100190, Peoples R China.</t>
  </si>
  <si>
    <t>jqluo@ipe.ac.cn; yhwan@ipe.ac.cn</t>
  </si>
  <si>
    <t>Woodley, John/P-9960-2016; Luo, Jianquan/AAE-7795-2019; Wang, Shaohua/G-8194-2018</t>
  </si>
  <si>
    <t>Woodley, John/0000-0002-7976-2483; Wan, Yinhua/0000-0003-0687-3382</t>
  </si>
  <si>
    <t>National Science Foundation of China [21506229]; 100 Talents Program; Youth Innovation Promotion Association of Chinese Academy of Sciences [2017069]</t>
  </si>
  <si>
    <t>National Science Foundation of China(National Natural Science Foundation of China (NSFC)); 100 Talents Program(Chinese Academy of Sciences); Youth Innovation Promotion Association of Chinese Academy of Sciences</t>
  </si>
  <si>
    <t>This work was supported by the National Science Foundation of China (No. 21506229), 100 Talents Program and Youth Innovation Promotion Association (2017069) of Chinese Academy of Sciences.</t>
  </si>
  <si>
    <t>10.1016/j.cej.2017.12.042</t>
  </si>
  <si>
    <t>FZ5EN</t>
  </si>
  <si>
    <t>WOS:000427614800030</t>
  </si>
  <si>
    <t>Wu, YF; Wei, JX; Guo, SY; Yu, KX; Zhuang, ZY; Yu, Y</t>
  </si>
  <si>
    <t>Wu, Yufeng; Wei, Jinxin; Guo, Siyi; Yu, Kaixin; Zhuang, Zanyong; Yu, Yan</t>
  </si>
  <si>
    <t>Recycling biowaste shells to produce 0D/2D Mn-Ca nanostructures for efficient trace-level metal extraction: confined growth of nanosheets and good dispersion of quantum dots</t>
  </si>
  <si>
    <t>JOURNAL OF MATERIALS CHEMISTRY A</t>
  </si>
  <si>
    <t>GRAPHENE OXIDE; POTENTIAL APPLICATION; CALCIUM SILICATE; AQUEOUS-SOLUTION; REMOVAL; PERFORMANCE; PB(II); IONS; HYDROXYAPATITE; COMPOSITE</t>
  </si>
  <si>
    <t>Utilizing biowaste shells (&gt;95 wt% CaCO3) in chemical synthesis can both remediate environmental pollution and produce novel functional materials. Nonetheless, syntheses of nanomaterials from solid matter such as bio-shells are still rare. Herein, we for the first time reported the synthesis of a 0D/2D nanostructure, i.e., Ca(OH)(2) nanosheets decorated with Mn3O4 quantum dots, from bio-shells in a green manner. Specifically, eggshells were calcined to form porous CaO that inherited a hierarchical framework from the source shell. The shell-derived CaO was then stirred together with KMnO4 in anhydrous ethanol at room temperature to generate the 0D/2D Ca(OH)(2)/Mn3O4 nanostructure (denoted as the Mn-Ca composite), in which Mn3O4 quantum dots were evenly dispersed on thin Ca(OH)(2) nanosheets. Mechanism studies revealed that a trace amount of H2O released from the redox reaction between KMnO4 and ethanol regulated the slow hydrolysis and exfoliation of Ca(OH)(2) nanosheets from the CaO framework. At the same time, the redox reaction generated Mn3O4 quantum dots that were deposited in situ on the Ca(OH)(2) nanosheets, i.e., only where H2O was liberated and the hydrolysis of CaO took place. This mechanism allowed the uniform dispersion of Mn3O4 on the newly formed Ca(OH)(2) nanosheets. Thanks to its unique 0D/2D structure, this Mn-Ca composite could highly efficiently extract trace-level Pb(II) from synthetic wastewater and outperformed many other Mn-based nanomaterials prepared purely from chemical reagents. This 0D/2D Mn-Ca composite possessed a high capacity for Pb removal (up to 1580 mg g(-1) when the initial Pb(II) concentration was 1 g L-1), and it could also scavenge various other heavy metal ions such as Cu(II), Cd(II), Eu(III), Co(II), and Ag(I). Other biowaste shells such as oyster shells and clam shells also successfully produced a functional nanomaterial via the presented methodology. The current findings open a new way for biowaste recycling and may inspire the design of novel nanomaterials.</t>
  </si>
  <si>
    <t>[Wu, Yufeng; Wei, Jinxin; Guo, Siyi; Yu, Kaixin; Zhuang, Zanyong; Yu, Yan] Fujian Prov Univ, Fuzhou Univ, Key Lab Ecomat Adv Technol, Fuzhou, Fujian, Peoples R China; [Wu, Yufeng; Wei, Jinxin; Guo, Siyi; Yu, Kaixin; Zhuang, Zanyong; Yu, Yan] Fuzhou Univ, Coll Mat Sci &amp; Engn, New Campus, Minhou 350108, Fujian, Peoples R China</t>
  </si>
  <si>
    <t>Zhuang, ZY; Yu, Y (corresponding author), Fujian Prov Univ, Fuzhou Univ, Key Lab Ecomat Adv Technol, Fuzhou, Fujian, Peoples R China.;Zhuang, ZY; Yu, Y (corresponding author), Fuzhou Univ, Coll Mat Sci &amp; Engn, New Campus, Minhou 350108, Fujian, Peoples R China.</t>
  </si>
  <si>
    <t>yufeng, wu/AAK-8528-2020; Yu, Yan/GYV-4514-2022; Zhuang, Zanyong/P-1421-2016</t>
  </si>
  <si>
    <t>National Natural Science Foundation of China [51672046, 51402295, 51472050, 51772053]; Fujian Provincial Department of Science and Technology [2017H6101]; Program for New Century Excellent Talents in Fujian Province University</t>
  </si>
  <si>
    <t>National Natural Science Foundation of China(National Natural Science Foundation of China (NSFC)); Fujian Provincial Department of Science and Technology; Program for New Century Excellent Talents in Fujian Province University(Program for New Century Excellent Talents in University (NCET))</t>
  </si>
  <si>
    <t>This work was financially supported by the National Natural Science Foundation of China (No. 51672046, 51402295, 51472050, and 51772053), Fujian Provincial Department of Science and Technology (2017H6101) and Program for New Century Excellent Talents in Fujian Province University.</t>
  </si>
  <si>
    <t>2050-7488</t>
  </si>
  <si>
    <t>2050-7496</t>
  </si>
  <si>
    <t>J MATER CHEM A</t>
  </si>
  <si>
    <t>J. Mater. Chem. A</t>
  </si>
  <si>
    <t>OCT 14</t>
  </si>
  <si>
    <t>10.1039/c7ta06176e</t>
  </si>
  <si>
    <t>Chemistry, Physical; Energy &amp; Fuels; Materials Science, Multidisciplinary</t>
  </si>
  <si>
    <t>Chemistry; Energy &amp; Fuels; Materials Science</t>
  </si>
  <si>
    <t>FJ5HI</t>
  </si>
  <si>
    <t>WOS:000412781700040</t>
  </si>
  <si>
    <t>Ta, AT; Pupuang, P; Babel, S; Wang, LP</t>
  </si>
  <si>
    <t>Ta, Anh Tuan; Pupuang, Piyathida; Babel, Sandhya; Wang, Li Pang</t>
  </si>
  <si>
    <t>Investigation of microplastic contamination in blood cockles and green mussels from selected aquaculture farms and markets in Thailand</t>
  </si>
  <si>
    <t>Microplastics; Aquaculture; Blood cockle; Green mussel; Commercial markets</t>
  </si>
  <si>
    <t>ABUNDANCE; INGESTION; BIVALVES; IMPACTS; FIBERS; WATER; FISH</t>
  </si>
  <si>
    <t>Recent studies have indicated that bivalves are bioindicators for microplastic pollution since they are filter feeders and accumulate microplastics (MPs) during their feeding process. This study focused on the investigation of MPs in blood cockles (Tegillarca granosa) and green mussels (Perna viridis) from selected aquaculture farms and markets in Thailand. The abundance of MPs was identified by fluorescence microscopy with Nile Red tagging and the polymer detection by micro-Fourier Transform Infrared Spectroscopy (micro-FTIR). The number of MPs in blood cockle samples from the Khlong Dan market and the BangBo aquaculture farm was 11 +/- 5 and 6 +/- 1 particles/individual, respectively. For green mussel samples, the number of MPs from the Talaad Thai market and the Sriracha fisheries research station was 96 +/- 19 and 11 +/- 7 particles/individual, respectively. The results of the study indicate that the number of MPs in bivalve samples from the markets is much higher than in the aquaculture farms. This probably is due to the contamination of MPs in bivalves during the packaging and transportation processes. However, further studies are needed to confirm this. The predominant MPs were fragments and fibres with a size range of 0.05-0.3 mm. Most polymers were polypropylene, polyethylene, copolymer, polyester, and nylon. In brief, this study showed the contamination of MPs in bivalves cultivated for human consumption. The accumulation of MPs in these marine bivalves can lead to the biomagnification of MPs along the food chain. This can impact food safety and human health.</t>
  </si>
  <si>
    <t>[Ta, Anh Tuan; Pupuang, Piyathida; Babel, Sandhya] Thammasat Univ, Sirindhorn Int Inst Technol, Sch Biochem Engn &amp; Technol, POB 22, Pathum Thani 12121, Thailand; [Wang, Li Pang] Natl Taipei Univ Technol, Inst Environm Engn &amp; Management, Coll Engn, Taipei 10608, Taiwan</t>
  </si>
  <si>
    <t>Thammasat University; National Taipei University of Technology</t>
  </si>
  <si>
    <t>Babel, S (corresponding author), Thammasat Univ, Sirindhorn Int Inst Technol, Sch Biochem Engn &amp; Technol, POB 22, Pathum Thani 12121, Thailand.;Wang, LP (corresponding author), Natl Taipei Univ Technol, Inst Environm Engn &amp; Management, Coll Engn, Taipei 10608, Taiwan.</t>
  </si>
  <si>
    <t>sandhya@siit.tu.ac.th; kuniwang@ntut.edu.tw</t>
  </si>
  <si>
    <t>Ta, Anh Tuan/GQR-1926-2022</t>
  </si>
  <si>
    <t>Ta, Anh Tuan/0000-0002-8678-6328; Babel, Sandhya/0000-0003-2378-4891</t>
  </si>
  <si>
    <t>Thammasat University [MF 3/2564]; NTUT-TU Joint Research Program [NTUT-TU-110-03]; Thammasat Postdoctoral Fellowship [TUPD26/2564]</t>
  </si>
  <si>
    <t>Thammasat University; NTUT-TU Joint Research Program; Thammasat Postdoctoral Fellowship</t>
  </si>
  <si>
    <t>This research was supporting by Matching Fund between Thammasat University and the National Taipei University of Technology under Contract No. MF 3/2564, and NTUT-TU Joint Research Program under Grant No. NTUT-TU-110-03. This study was also partially supported by Thammasat Postdoctoral Fellowship (TUPD26/2564) .</t>
  </si>
  <si>
    <t>10.1016/j.chemosphere.2022.134918</t>
  </si>
  <si>
    <t>1S2LY</t>
  </si>
  <si>
    <t>WOS:000803889100001</t>
  </si>
  <si>
    <t>Lu, Guang-Yuan; Wang, Wen-Xiong</t>
  </si>
  <si>
    <t>Trace metals and macroelements in mussels from Chinese coastal waters: National spatial patterns and normalization</t>
  </si>
  <si>
    <t>Mussels; Biomonitors; Metals; Non-linear analysis; Normalization</t>
  </si>
  <si>
    <t>SCALLOP CHLAMYS-NOBILIS; HUMAN HEALTH-RISK; MYTILUS-EDULIS; PERNA-VIRIDIS; MARINE-PHYTOPLANKTON; BIOMARKER RESPONSES; ANTIFOULING PAINT; MAJOR CATIONS; SALINITY; POLLUTION</t>
  </si>
  <si>
    <t>Metal contamination is one of the most ubiquitous and complex problems in the Chinese coastal environment. To explore the large-scale spatial patterns of bioavailable metals, we sampled three major mussels, including 784 blue mussels (Mytilus edulis Linnaeus, 1758) of 14 sites, 224 hard-shelled mussels (Mytilus unguiculatus Valenciennes, 1858) of 4 sites, and 392 green mussels (Perna viridis (Linnaeus, 1758)) of 7 sites, ranging from temperate to tropical coastlines of China, during August and September 2015. The concentrations of macroelements (Na, K, Ca, Mg, and P) and toxic trace metals (Ag, Cd, Cr, Cu, Ni, Pb, Ti, and Zn) in the mussel's whole soft tissues were determined. Among the four Chinese coastal basins, Cd, Ti and Cr in the mussel tissues were the highest at Bohai Sea (BS) and Yellow Sea (YS), and Cu, Ni, Pb and Ag in the mussel tissues were the highest at East China Sea (ECS) and South China Sea (SCS). Zinc concentrations in mussels from YS were significantly higher than those from the other regions. Given the variability of environmental conditions such as salinity and nutrients, we further normalized the measured tissue metal concentrations with tissue Na and P levels. After Na normalization as the salinity proxy, the variability of Cd, Cu, Zn, Ag, and Ni was reduced. Trace elements accumulation in the mussel tissues was significantly related to both macroelements (Na or P) and body dry weight. The present study demonstrated that nonlinear optimization of different elements was necessary in assessing metal bioaccumulation patterns in marine mussels at a large spatial scale. (c) 2018 Elsevier B.V. All rights reserved.</t>
  </si>
  <si>
    <t>[Lu, Guang-Yuan; Wang, Wen-Xiong] Hong Kong Univ Sci &amp; Technol, Shenzhen Res Inst, Marine Environm Lab, Shenzhen 518000, Peoples R China; [Lu, Guang-Yuan; Wang, Wen-Xiong] HKUST, Div Life Sci, Kowloon, Hong Kong, Peoples R China</t>
  </si>
  <si>
    <t>Wang, WX (corresponding author), Hong Kong Univ Sci &amp; Technol, Shenzhen Res Inst, Marine Environm Lab, Shenzhen 518000, Peoples R China.</t>
  </si>
  <si>
    <t>National Natural Science Foundation of China [21777134]; Free Exploration Program of Shenzhen [JCYJ20160530190902836]; Doctoral Startup of Guangdong Province [2017A030310586]; Modern Agro-industry Technology Research System of China [CARS-49]</t>
  </si>
  <si>
    <t>National Natural Science Foundation of China(National Natural Science Foundation of China (NSFC)); Free Exploration Program of Shenzhen; Doctoral Startup of Guangdong Province; Modern Agro-industry Technology Research System of China</t>
  </si>
  <si>
    <t>This study was supported by the National Natural Science Foundation of China (21777134), Free Exploration Program of Shenzhen (JCYJ20160530190902836), the Doctoral Startup of Guangdong Province (2017A030310586), and the Modern Agro-industry Technology Research System of China (No. CARS-49). We gratefully acknowledge Prof. Caihuan Ke for his generous support in the mussel sampling.</t>
  </si>
  <si>
    <t>10.1016/j.scitotenv.2018.01.018</t>
  </si>
  <si>
    <t>GA2YS</t>
  </si>
  <si>
    <t>WOS:000428194000031</t>
  </si>
  <si>
    <t>Joyce, PWS; Falkenberg, LJ</t>
  </si>
  <si>
    <t>Joyce, Patrick W. S.; Falkenberg, Laura J.</t>
  </si>
  <si>
    <t>Microplastic abundances in co-occurring marine mussels: species and spatial differences</t>
  </si>
  <si>
    <t>Filter feeder; Hong Kong; Microplastic; Mussel; Plastic pollution; Synthetic polymer</t>
  </si>
  <si>
    <t>POLLUTION; ORGANISMS; SEDIMENTS; WATERS; SEA</t>
  </si>
  <si>
    <t>Microplastics in marine ecosystems are ingested by a range of organisms. Bivalves are particularly susceptible to microplastic ingestion as they filter large volumes of water for feeding. Many inves-tigations have focussed on commercially important species, with little research investigating other ecosystem engineering species. Here, microplastics in three co-existing mussel species Brachidontes variabilis, Perna viridis, and Xenostrobus securis were examined at four sites in Hong Kong. Microplastic abundance was greater within P. viridis compared to both other species. Average abundances of microplastics observed per individual mussel were 0.2-0.7 ind-1 for B. variabilis, 2.8-14.7 ind-1 for P. viridis, and 0.6-3.1 ind-1 for X. securis, and when standardised to flesh weight were 0.9-3.1 g-1 for B. variabilis, 2.4-15.1 g-1 for P. viridis, and 1.5-8.4 g-1 for X. securis. Microplastic abundance within mussels was also significantly different among the sites sampled. Over 90% of observed microplastics were fibres, and the colour of microplastics were either red (67%), colourless (16%), blue (9%), or black (6%). The proportion of the microplastic colours found differed among species and sites. This is the first observation of microplastics within B. variabilis and X. securis. By confirming the presence of microplastics within these ecologically important ecosystem engineering species, we suggest that further research be conducted to understand the potential impacts of microplastic ingestion. Further, future microplastic impact investigations should incorporate exposures to microplastic fibres, owing to the high proportion observed within mussels here, and that their presence may lead to damaging effects on the functioning of economically and ecologically important bivalve species.(c) 2022 Elsevier B.V. All rights reserved.</t>
  </si>
  <si>
    <t>[Joyce, Patrick W. S.; Falkenberg, Laura J.] Chinese Univ Hong Kong, Sch Life Sci, Simon FS Li Marine Sci Lab, Hong Kong, Peoples R China</t>
  </si>
  <si>
    <t>Chinese University of Hong Kong</t>
  </si>
  <si>
    <t>Falkenberg, LJ (corresponding author), Chinese Univ Hong Kong, Sch Life Sci, Simon FS Li Marine Sci Lab, Hong Kong, Peoples R China.</t>
  </si>
  <si>
    <t>laurafalkenberg@cuhk.edu.hk</t>
  </si>
  <si>
    <t>Falkenberg, Laura/AAC-3227-2020; Joyce, Patrick/ABB-9341-2020</t>
  </si>
  <si>
    <t>Falkenberg, Laura/0000-0002-5868-2310; Joyce, Patrick/0000-0003-1058-7901</t>
  </si>
  <si>
    <t>10.1016/j.rsma.2022.102730</t>
  </si>
  <si>
    <t>7C6XU</t>
  </si>
  <si>
    <t>WOS:000899954200013</t>
  </si>
  <si>
    <t>Cones, SF; Jézéquel, Y; Jarriel, S; Aoki, N; Brewer, H; Collins, J; Chauvaud, L; Mooney, TA</t>
  </si>
  <si>
    <t>Cones, Seth F.; Jezequel, Youenn; Jarriel, Sierra; Aoki, Nadege; Brewer, Hannah; Collins, John; Chauvaud, Laurent; Mooney, T. Aran</t>
  </si>
  <si>
    <t>Offshore windfarm construction elevates metabolic rate and increases predation vulnerability of a key marine invertebrate</t>
  </si>
  <si>
    <t>Sound pollution; Predation; Scallop; Noise; Metabolism</t>
  </si>
  <si>
    <t>SCALLOP PLACOPECTEN-MAGELLANICUS; FOOD AVAILABILITY; CANCER-IRRORATUS; SEA SCALLOPS; RESPONSES; TEMPERATURE; ENERGETICS; BEHAVIOR; SIGNALS; IMPACT</t>
  </si>
  <si>
    <t>A global increase in offshore windfarm development is critical to our renewable energy future. Yet, widespread construction plans have generated substantial concern for impacts to co-occurring organisms and the communities they form. Pile driving construction, prominent in offshore windfarm development, produces among the highest amplitude sounds in the ocean creating widespread concern for a diverse array of taxa. However, studies addressing ecologically key species are generally lacking and most research is disparate, failing to integrate across response types (e.g., behavior, physiology, and ecological interactions), particularly in situ. . The lack of integrative field studies presents major challenges to understand or mitigate actual impacts of offshore wind development. Here, we examined critical behavioral, physiological, and antipredator impacts of actual pile driving construction on the giant sea scallop ( Placopecten magellanicus). ). Benthic taxa including bivalves are of particular concern because they are sound-sensitive, cannot move appreciable distances away from the stressor, and support livelihoods as one of the world's most economically and socially important fisheries. Overall, pile driving sound impacted scallops across a series of behavioral and physiological assays. Sound-exposed scallops consistently reduced their valve opening (22%), resulting in lowered mantle water oxygen levels available to the gills. Repeated and rapid valve adductions led to a 56% increase in metabolic rates relative to pre-exposure baselines. Consequently, in response to predator stimuli, sound-exposed scallops displayed a suite of significantly weaker antipredator behaviors including fewer swimming events and shorter time-to-exhaustion. These results show aquatic construction activities can induce metabolic and ecologically relevant changes in a key benthic animal. As offshore windfarm construction accelerates globally, our field-based study highlights that spatial overlap with benthic taxa may cause substantial metabolic changes, alter important fisheries resources, and ultimately could lead to increased predation.</t>
  </si>
  <si>
    <t>[Cones, Seth F.; Aoki, Nadege] MIT &amp; Woods Hole Oceanog Inst Joint Program Oceano, Cambridge, MA 02139 USA; [Jezequel, Youenn; Jarriel, Sierra; Mooney, T. Aran] Woods Hole Oceanog Inst, Biol Dept, Woods Hole, MA 02543 USA; [Brewer, Hannah; Collins, John] Woods Hole Oceanog Inst, Geol &amp; Geophys Dept, Woods Hole, MA USA; [Chauvaud, Laurent] Ifremer, LIA BeBEST, UMR 6539, Lab Sci Environm Marin,UBO,CNRS,IRD, Rue Dumont Urville, F-29280 Plouzane, France</t>
  </si>
  <si>
    <t>Woods Hole Oceanographic Institution; Woods Hole Oceanographic Institution; Centre National de la Recherche Scientifique (CNRS); Ifremer; Institut de Recherche pour le Developpement (IRD); CNRS - Institute of Ecology &amp; Environment (INEE); Universite de Bretagne Occidentale; Institut Universitaire Europeen de la Mer (IUEM)</t>
  </si>
  <si>
    <t>Cones, SF (corresponding author), MIT &amp; Woods Hole Oceanog Inst Joint Program Oceano, Cambridge, MA 02139 USA.</t>
  </si>
  <si>
    <t>sethfcones@gmail.com</t>
  </si>
  <si>
    <t>Cones, Seth/0000-0002-8616-975X; Aoki, Nadege/0000-0003-3111-4273</t>
  </si>
  <si>
    <t>Bureau of Ocean Energy Management Cooperative Agreements [M20AC10009, M24AC00004-00]</t>
  </si>
  <si>
    <t>Bureau of Ocean Energy Management Cooperative Agreements</t>
  </si>
  <si>
    <t>We thank Nate Perry for proving the scallops used in these experiments. We thank Nathan Formel and Jenni Stanley for their help in the field. We also thank the W.S. Shultz, Co., for their pile driving support, especially Matthew Bumpus and Ben Karson. We thank Edward O'Brien and Kimberly Malkoski for facilitating SCUBA operations throughout the experiment. We thank Rick Galat and Kerry Strome for coordinating dock space and vessel traffic; support was also provided by an array of WHOI Facilities staff. We appreciate the patience of WHOI staff in range of the audible stimulus. This work was funded by the Bureau of Ocean Energy Management Cooperative Agreements #M20AC10009 and #M24AC00004-00 and we appreciate the support and suggestions of Shane Guan, Brian Hooker and Jacob Levenson, of BOEM's Ecosystem Studies Division and its Center for Marine Acoustics. The authors declare no conflict of interest.</t>
  </si>
  <si>
    <t>10.1016/j.envpol.2024.124709</t>
  </si>
  <si>
    <t>D7J5D</t>
  </si>
  <si>
    <t>WOS:001297909400001</t>
  </si>
  <si>
    <t>Benito, D; Guls, HD; Halldórsson, HP; Ciesielski, TM; Izagirre, U; Lekube, X; Etxebarria, N; Marigómez, I; Zaldibar, B; Soto, M</t>
  </si>
  <si>
    <t>Benito, Denis; Guls, Hermann Dreki; Halldorsson, Halldor Palmar; Ciesielski, Tomasz Maciej; Izagirre, Urtzi; Lekube, Xabier; Etxebarria, Nestor; Marigomez, Ionan; Zaldibar, Benat; Soto, Manu</t>
  </si>
  <si>
    <t>Integrated assessment of biological responses to pollution in wild mussels (Mytilus edulis) from subarctic and arctic areas in the Norwegian sea</t>
  </si>
  <si>
    <t>Biomarkers; Ecotoxicology; Arctic; Monitoring; Histopathology</t>
  </si>
  <si>
    <t>POLYCYCLIC AROMATIC-HYDROCARBONS; BASE-LINE LEVELS; DIGESTIVE CELLS; BALTIC SEA; SEASONAL-VARIATION; BIOMARKER; GALLOPROVINCIALIS; TROSSULUS; INDEXES; COASTS</t>
  </si>
  <si>
    <t>North Atlantic and Arctic Oceans contain large amount of undiscovered oil and gas reserves. Therefore threat of oil spills and its hazardous ecological consequences are of great importance to the marine environment. Although mussels (Mytilus sp.) respond clearly to contaminants, biomarkers have shown variability linked to biological and environmental changes. In order to help avoiding misinterpretation of biological responses the aim of this study was to reveal the effect of natural variability in the responsiveness to pollution of a battery of cell and tissue-level biomarkers in mussels. Mussels were collected in relatively non-impacted and potentially impacted sites at ports and the vicinity of a waste water treatment plant in Trondheim and Tromso in autumn of 2016. Although the battery of biomarkers used herein proved to be useful to discriminate impacted and non-impacted mussel populations, some confounding factors altering the biological responses were identified. Geographical/latitudinal factors seemed to be critical regarding the reproductive cycle, reserve material storage and the prevalence of parasites such as Gymnophallus cf. Bursicola trematodes. Mussels from the reference site in Tromso displayed general stress responses at different levels, which could be influenced by the pathogenic effect of the Gymnophallus cf. Bursicola trematode and by a more advanced gametogenic developmental stage compared to the mussels from Trondheim, which could lead to misinterpretation of the reasons behind the measured stress levels in those mussels. Despite these confounding effects, the use of integrative tools such as IBR index helped to discriminate mussel populations from chemically impacted and non-impacted sites. Overall, this work serves as an anchor point both as a reference of the baseline level values of the analyzed endpoints in the studied geographical area and time of the year, and as an indication of the potential extent of the environmental confounding factors in monitoring programs causing stress on the analyzed mussel populations.</t>
  </si>
  <si>
    <t>[Benito, Denis; Izagirre, Urtzi; Lekube, Xabier; Marigomez, Ionan; Zaldibar, Benat; Soto, Manu] Fac Sci &amp; Technol, Dept Zool &amp; Anim Cell Biol, CBET Res Grp, Leioa, Basque Country, Spain; [Benito, Denis; Izagirre, Urtzi; Lekube, Xabier; Etxebarria, Nestor; Marigomez, Ionan; Zaldibar, Benat; Soto, Manu] Univ Basque Country UPV EHU, Res Ctr Expt Marine Biol &amp; Biotechnol PIE, Plentzia 48620, Spain; [Guls, Hermann Dreki; Halldorsson, Halldor Palmar] Univ Iceland, Res Ctr Sudurnes, Gardvegi 1, IS-245 Suournesjabaer, Iceland; [Ciesielski, Tomasz Maciej] Norwegian Univ Sci &amp; Technol, Dept Biol, Hgsk Ringen 5, NO-7491 Trondheim, Norway; [Ciesielski, Tomasz Maciej] Univ Ctr Svalbard, Dept Arctic Technol, N-9171 Longyearbyen, Norway; [Etxebarria, Nestor] Univ Basque Country UPV EHU, Dept Analyt Chem, Leioa, Spain</t>
  </si>
  <si>
    <t>University of Basque Country; University of Iceland; Norwegian University of Science &amp; Technology (NTNU); University Centre Svalbard (UNIS); University of Basque Country</t>
  </si>
  <si>
    <t>Benito, D (corresponding author), Fac Sci &amp; Technol, Dept Zool &amp; Anim Cell Biol, CBET Res Grp, Leioa, Basque Country, Spain.</t>
  </si>
  <si>
    <t>denis.benito@ehu.eus</t>
  </si>
  <si>
    <t>Benito, Denis/IXW-5881-2023; Etxebarria, Nestor/C-7341-2008; Ciesielski, Tomasz/J-9039-2012; Halldorsson, Halldor Palmar/M-2778-2015; Zaldibar, Benat/Y-6728-2018; Izagirre, Urtzi/C-3848-2017; MARIGOMEZ ALLENDE, Ionan/C-3909-2017; Lekube, Xabier/Y-7006-2018</t>
  </si>
  <si>
    <t>soto, manu/0000-0002-4541-8182; Halldorsson, Halldor Palmar/0000-0001-5529-1536; Zaldibar, Benat/0000-0002-5528-451X; BENITO FERNANDEZ, DENIS/0000-0002-2623-3983; Izagirre, Urtzi/0000-0002-3477-4974; MARIGOMEZ ALLENDE, Ionan/0000-0001-6274-541X; Ciesielski, Tomasz Maciej/0000-0001-7509-1662; Lekube, Xabier/0000-0002-1005-4593</t>
  </si>
  <si>
    <t>EU GRACE Project [679266]; University of the Basque Country (UPV/EHU); Basque Government [IT810-13]</t>
  </si>
  <si>
    <t>EU GRACE Project; University of the Basque Country (UPV/EHU); Basque Government(Basque Government)</t>
  </si>
  <si>
    <t>This work has been partially funded by the following sources: EU GRACE Project (Grant Agreement Number 679266); University of the Basque Country (UPV/EHU, predoctoral fellowship to DB), and Basque Government (IT810-13). Thanks to Dr. Perrine Geraudie (Akvaplanniva, Tromso) for her invaluable assistance in the mussel sampling campaign in Tromso.</t>
  </si>
  <si>
    <t>10.1016/j.envpol.2023.122454</t>
  </si>
  <si>
    <t>S1TK6</t>
  </si>
  <si>
    <t>WOS:001069063900001</t>
  </si>
  <si>
    <t>Noor, MN; Wu, FL; Sokolov, EP; Falfushynska, H; Timm, S; Haider, F; Sokolova, IM</t>
  </si>
  <si>
    <t>Noor, Mirza Nusrat; Wu, Fangli; Sokolov, Eugene P.; Falfushynska, Halina; Timm, Stefan; Haider, Fouzia; Sokolova, Inna M.</t>
  </si>
  <si>
    <t>Salinity-dependent effects of ZnO nanoparticles on bioenergetics and intermediate metabolite homeostasis in a euryhaline marine bivalve, Mytilus edulis</t>
  </si>
  <si>
    <t>Nanopollutants; Osmotic stress; Stressor interactions; Cell volume regulation; Bioenergetics; Mitochondrial function</t>
  </si>
  <si>
    <t>MUSSELS UNIO-TUMIDUS; ZINC-OXIDE NANOPARTICLES; AMINO-ACIDS; GALLOPROVINCIALIS LAMARCK; ELEVATED-TEMPERATURE; ENERGY-METABOLISM; STRESS RESPONSES; CELLULAR STRESS; NANO-ZNO; TAURINE</t>
  </si>
  <si>
    <t>Engineered nanoparticles including ZnO nanoparticles (nZnO) are important emerging pollutants in aquatic ecosystems creating potential risks to coastal ecosystems and associated biota. The toxicity of nanoparticles and its interaction with the important environmental stressors (such as salinity variation) are not well understood in coastal organisms and require further investigation. Here, we examined the interactive effects of 100 mu g l(-1) nZnO or dissolved Zn (as a positive control for Zn2+ release) and salinity (normal 15, low 5, and fluctuating 5-15) on bioenergetics and intermediate metabolite homeostasis of a keystone marine bivalve, the blue mussel Mytilus edulis from the Baltic Sea. nZnO exposures did not lead to strong disturbances in energy or intermediate metabolite homeostasis regardless of the salinity regime. Dissolved Zn exposures suppressed the mitochondrial ATP synthesis capacity and coupling as well as anaerobic metabolism and modified the free amino acid profiles in the mussels indicating that dissolved Zn is metabolically more damaging than nZnO. The environmental salinity regime strongly affected metabolic homeostasis and altered physiological and biochemical responses to nZnO or dissolved Zn in the mussels. Exposure to low (5) or fluctuating (5-15) salinity affected the physiological condition, energy metabolism and homeostasis, as well as amino acid metabolism in M. edulis. Generally, fluctuating salinity (5-15) appeared bioenergetically less stressful than constantly hypoosmotic stress (salinity 5) in M. edulis indicating that even short (24 h) periods of recovery might be sufficient to restore the metabolic homeostasis in this euryhaline species. Notably, the biological effects of nZnO and dissolved Zn became progressively less detectable as the salinity stress increased. These findings demonstrate that habitat salinity must be consid-ered in the biomarker-based assessment of the toxic effects of nanopollutants on coastal organisms. (c) 2021 Elsevier B.V. All rights reserved.</t>
  </si>
  <si>
    <t>[Noor, Mirza Nusrat; Wu, Fangli; Falfushynska, Halina; Haider, Fouzia; Sokolova, Inna M.] Univ Rostock, Inst Biol Sci, Dept Marine Biol, Rostock, Germany; [Sokolov, Eugene P.] Leibniz Inst Balt Sea Res, Leibniz Sci Campus Phosphorus Res, Rostock, Germany; [Falfushynska, Halina] Ternopil V Hnatiuk Natl Pedag Univ, Dept Human Hlth Phys Rehabil &amp; Vital Act, Ternopol, Ukraine; [Timm, Stefan] Univ Rostock, Dept Plant Physiol, Rostock, Germany; [Sokolova, Inna M.] Univ Rostock, Interdisciplinary Fac, Dept Maritime Syst, Rostock, Germany</t>
  </si>
  <si>
    <t>University of Rostock; Leibniz Institut fur Ostseeforschung Warnemunde; Ministry of Education &amp; Science of Ukraine; Ternopil Volodymyr Hnatiuk National Pedagogical University; University of Rostock; University of Rostock</t>
  </si>
  <si>
    <t>Timm, Stefan/HII-7311-2022; Falfushynska, Halina/B-6518-2015; Sokolova, Inna/AAE-4150-2019; Wu, Fangli/JJF-7839-2023</t>
  </si>
  <si>
    <t>Wu, Fangli/0000-0001-6443-0649; Haider, Fouzia/0000-0002-5388-6453; Timm, Stefan/0000-0003-3105-6296</t>
  </si>
  <si>
    <t>Research Training Group 'Baltic TRANSCOAST' - DFG (Deutsche Forschungsgemeinschaft) [GRK 2000]; Alexander von Humboldt Fellowship; Erasmus Mundus Program European MSc in Marine Environment and Resources; China Scholarship Council (CSC); Leibniz Science Campus Phosphorus Research Rostock; Hochschulbauforderungsgesetz program [GZ: INST 264/125-1 FUGG]</t>
  </si>
  <si>
    <t>Research Training Group 'Baltic TRANSCOAST' - DFG (Deutsche Forschungsgemeinschaft)(German Research Foundation (DFG)); Alexander von Humboldt Fellowship(Alexander von Humboldt Foundation); Erasmus Mundus Program European MSc in Marine Environment and Resources; China Scholarship Council (CSC)(China Scholarship Council); Leibniz Science Campus Phosphorus Research Rostock; Hochschulbauforderungsgesetz program</t>
  </si>
  <si>
    <t>This work was in part supported by the Research Training Group 'Baltic TRANSCOAST' funded by the DFG (Deutsche Forschungsgemeinschaft) under grant number GRK 2000 to IMS, Alexander von Humboldt Fellowship to HF, Erasmus Mundus Program European MSc in Marine Environment and Resources to MNN, the China Scholarship Council (CSC) to FW, and the Leibniz Science Campus Phosphorus Research Rostock to ES. We thank Fei Ye and Joydeep Dutta (KTH Royal Institute of Technology, Sweden) for their assistance with the nanoparticle characterization. The LC-MS equipment at the University of Rostock was funded through the Hochschulbauforderungsgesetz program (GZ: INST 264/125-1 FUGG). This is Baltic TRANSCOAST publication no. GRK2000/00042.</t>
  </si>
  <si>
    <t>JUN 20</t>
  </si>
  <si>
    <t>10.1016/j.scitotenv.2021.145195</t>
  </si>
  <si>
    <t>RO6NN</t>
  </si>
  <si>
    <t>WOS:000641160200011</t>
  </si>
  <si>
    <t>Bhatkhande, AD; Nasnodkar, MR</t>
  </si>
  <si>
    <t>Bhatkhande, Apurva Deepak; Nasnodkar, Maheshwar Ramakant</t>
  </si>
  <si>
    <t>Metal enrichment in sediments and bioaccumulation in edible bivalve Saccostrea cucullata from mudflats of a tropical estuary, India: a study to investigate toxicity and consumption suitability</t>
  </si>
  <si>
    <t>Metal contamination; Speciation; Edible bivalve; Bioaccumulation; Toxicity</t>
  </si>
  <si>
    <t>SEQUENTIAL EXTRACTION PROCEDURE; PEARL RIVER ESTUARY; TRACE-METALS; HEAVY-METALS; WEST-COAST; SOUTHEAST COAST; MARINE-SEDIMENTS; CORE SEDIMENTS; GREEN MUSSEL; ELEMENTS</t>
  </si>
  <si>
    <t>Mudflat sediment cores from lower (C-1), middle (C-2), and lower regions of upper (C-3) Chapora Estuary were investigated for grain size composition, total organic carbon, total and bioavailable Fe, Mn, Cu, Co, Ni, and Zn to assess metal contamination. Accumulation of metals by Saccostrea cucullata was studied to understand metal toxicity. In core C-1, Fe, Mn, Cu, Co, Ni, and Zn showed an average concentration of 1.73%, 648 ppm, 12 ppm, 12 ppm, 16 ppm, and 25 ppm, respectively, while core C-2 revealed their average concentration as 1.34%, 709 ppm, 10 ppm, 11 ppm, 13 ppm, and 28 ppm respectively. In core C-3, an average concentration of Fe, Mn, Cu, Co, Ni, and Zn was 1.72%, 907 ppm, 14 ppm, 13 ppm, 18 ppm, and 31 ppm respectively. Metals in sediments varied within the estuary due to hydrodynamics, discrepancies in metal sources and sand mining-induced remobilization of metals. Correlation and principal component analysis revealed Fe oxides as the key regulator of trace metal distribution in sediments along with clay and total organic carbon. Enrichment factor (EF) and geo-accumulation index (I-geo) showed more or less moderate contamination of Mn in core C-3. Also, the potential contamination index (PCI) indicated moderate contamination of Mn in core C-3 using the shale value as background concentration, whereas the application of upper crustal value revealed moderate contamination of Fe, Mn, Cu, Co, and Ni in core C-1, Mn, Co, and Ni in core C-2 and of Cu, Co, and Ni in core C-3. Mn was severely to very severely contaminated in core C-3. The mean probable effect level quotient and mean effect range median quotient showed medium to low-level contamination of Cu, Ni, and Zn. Metals were considerably allied to Fe-Mn oxide and organic/sulphide fractions which revealed their bioavailability. Mn was 36% in labile form (lower estuary) and indicated a high risk to biota. Mn, Ni, and Zn in Saccostrea cucullata exceeded the permissible limit and suggested toxicity and non-suitability for human consumption.</t>
  </si>
  <si>
    <t>[Bhatkhande, Apurva Deepak; Nasnodkar, Maheshwar Ramakant] Goa Univ, Marine Sci, Sch Earth Ocean &amp; Atmospher Sci, Taleigao 403206, Goa, India</t>
  </si>
  <si>
    <t>Bhatkhande, Apurva/IWU-8672-2023</t>
  </si>
  <si>
    <t>Directorate of Research Development and Resource Mobilization (D-RDRM), Goa University, Goa, India [GU/D-RDRM/Seed money/RKK/CHEM/2018/65]</t>
  </si>
  <si>
    <t>Directorate of Research Development and Resource Mobilization (D-RDRM), Goa University, Goa, India</t>
  </si>
  <si>
    <t>Dr. Maheshwar Ramakant Nasnodkar received grants from the Directorate of Research Development and Resource Mobilization (D-RDRM), Goa University, Goa, India, under Seed Money Grant order No. GU/D-RDRM/Seed money/RKK/CHEM/2018/65 dated 26.11.2018.</t>
  </si>
  <si>
    <t>10.1007/s11356-022-19999-x</t>
  </si>
  <si>
    <t>3Y4BJ</t>
  </si>
  <si>
    <t>WOS:000781246800001</t>
  </si>
  <si>
    <t>Guendouzi, Y; Benhalima, M; Serbah, I; Fara, M; Fowler, SW; Boulahdid, M; Soualili, DL</t>
  </si>
  <si>
    <t>Guendouzi, Yassine; Benhalima, Moustafa; Serbah, Iman; Fara, Manal; Fowler, Scott W.; Boulahdid, Mostefa; Soualili, Dina Lila</t>
  </si>
  <si>
    <t>A novel approach to assess temporal baseline levels of trace metal contamination in the mussel M. galloprovincialis in the Mediterranean, Marmara and Black Seas</t>
  </si>
  <si>
    <t>Bioindicator; Monitoring tools; Health risk assessment; Metal background; Large-scale survey</t>
  </si>
  <si>
    <t>MYTILUS-GALLOPROVINCIALIS; HEAVY-METALS; COASTAL WATERS; ELEMENT CONTAMINATION; RISK-ASSESSMENT; ADRIATIC SEA; HEALTH-RISKS; BIOACCUMULATION; BAY; GULF</t>
  </si>
  <si>
    <t>This study reports, for the first time, the baseline levels for fifteen trace metals in M. galloprovincialis tissue from around the Mediterranean, Marmara and Black Seas. The environmental quality in the surrounding seawater was assessed i.e., a mussel farm was investigated by using CF and DC indices, and the water quality was qualified as good for the aquacultural activities. A strong Cu-regulation in the transplanted mussels was observed and it ranged between 3.20 and 3.60 mu g/g d.w. The highest bioavailability and bioconcentration of the particulate Fe fraction could present a health risk to consumers with a low risk level (1 &lt; THQ &lt; 9.9). Cr is considered the limiting metal for mussel consumption (&lt; 2 kg/day). The metal contamination gradient was assessed using TEPI and TESVI indices that identified seven reference stations on the large scale and revealed that Cd is the most investigated metal in the literature databases, and found that Pb was the most bioavailable contaminant in the areas examined.</t>
  </si>
  <si>
    <t>[Guendouzi, Yassine; Benhalima, Moustafa; Serbah, Iman; Fara, Manal] Univ Ctr Tipaza Morsli Abdallah, Sci Inst, Lab Management &amp; Valorizat Agr &amp; Aquat Ecosyst, Tipasa 42200, Algeria; [Fowler, Scott W.] SUNY Stony Brook, Sch Marine &amp; Atmospher Sci, Stony Brook, NY 11794 USA; [Boulahdid, Mostefa] Natl Higher Sch Marine Sci &amp; Coastal Management EN, Lab Marine &amp; Coastal Ecosyst ECOSYSMarL, BP19,Univ Campus Dely Ibrahim, Algiers 16320, Algeria; [Soualili, Dina Lila] Abdelhamid Ibn Badis Univ, Dept Marine Sci &amp; Aquaculture, POB 300 Ave Hossine Hamadou, Mostaganem 27000, Algeria</t>
  </si>
  <si>
    <t>State University of New York (SUNY) System; State University of New York (SUNY) Stony Brook; Universite Abdelhamid Ibn Badis de Mostaganem</t>
  </si>
  <si>
    <t>Guendouzi, Y (corresponding author), Univ Ctr Tipaza Morsli Abdallah, Sci Inst, Lab Management &amp; Valorizat Agr &amp; Aquat Ecosyst, Tipasa 42200, Algeria.</t>
  </si>
  <si>
    <t>yacine.guendouzi@gmail.com</t>
  </si>
  <si>
    <t>Guendouzi, Yassine/AAQ-5554-2020; BENHALIMA, Moustafa/CAI-1714-2022</t>
  </si>
  <si>
    <t>We thank M. Khoudja Boualam , the person responsible at Orca Ma-rine farm, for her help and acceptance of the implantation of mussels on his farm. We are also grateful to Lydia Guenatri- Hamdouche for her assistance in the laboratory (LNCAPPASM, Algiers. Algeria) .</t>
  </si>
  <si>
    <t>10.1016/j.marpolbul.2024.116367</t>
  </si>
  <si>
    <t>C2T4W</t>
  </si>
  <si>
    <t>WOS:001287930200001</t>
  </si>
  <si>
    <t>Jha, DK; Ratnam, K; Rajaguru, S; Dharani, G; Devi, MP; Kirubagaran, R</t>
  </si>
  <si>
    <t>Jha, Dilip Kumar; Ratnam, Krupa; Rajaguru, S.; Dharani, G.; Devi, M. Prashanthi; Kirubagaran, R.</t>
  </si>
  <si>
    <t>Evaluation of trace metals in seawater, sediments, and bivalves of Nellore, southeast coast of India, by using multivariate and ecological tool</t>
  </si>
  <si>
    <t>Seawater; Sediment; Trace metal; Nellore; Contamination factor; Ecological risk index</t>
  </si>
  <si>
    <t>EAST-COAST; PHYSICOCHEMICAL PARAMETERS; ESTUARINE SEDIMENTS; SURFACE SEDIMENTS; WATER-QUALITY; RIVER ESTUARY; HEAVY-METALS; CONTAMINATION; POLLUTION; BAY</t>
  </si>
  <si>
    <t>Urbanization in recent years has driven us to investigate metal contamination on Nellore coast by collecting seawater, sediment, and bivalve samples monthly at five stations from 2015 to 2017. Non-metric multidimensional scaling and cluster analysis indicated that open sea (OS) samples were markedly different from the samples collected at other stations. Strong factor loadings of Al (0.76), Mn (0.79), and Cd (0.78) showed variability in seawater, while those for Fe (0.76), Ni (0.77), Zn (0.85), and Pb (0.81) showed variability in sediment. The mean values of Fe (346 ppm) and Mn (21 ppm) were high in bivalves compared to the mean values of other metals. A higher contamination factor was observed for Cd at Buckingham Canal, while the lowest was observed for sediment in OS. The order of trace metals in sediments according to risk index was Cd &gt; Pb &gt; Cu &gt; Cr &gt; Zn. The results obtained are essential to establish a reference for better comparison of tropical environments.</t>
  </si>
  <si>
    <t>[Jha, Dilip Kumar; Ratnam, Krupa; Rajaguru, S.; Dharani, G.; Kirubagaran, R.] Govt India, Minist Earth Sci, Natl Inst Ocean Technol, Ocean Sci &amp; Technol Isl, Chennai, Tamil Nadu, India; [Devi, M. Prashanthi] Bharathidasan Univ, Dept Environm Sci &amp; Management, Sch Environm Sci, Tiruchirappalli, Tamil Nadu, India</t>
  </si>
  <si>
    <t>Ministry of Earth Sciences (MoES) - India; National Institute of Ocean Technology (NIOT); Bharathidasan University</t>
  </si>
  <si>
    <t>Jha, DK (corresponding author), Govt India, Minist Earth Sci, Natl Inst Ocean Technol, Ocean Sci &amp; Technol Isl, Chennai, Tamil Nadu, India.</t>
  </si>
  <si>
    <t>dilipjhaniot@gmail.com</t>
  </si>
  <si>
    <t>Jha, Dilip/ABH-1936-2021</t>
  </si>
  <si>
    <t>RATNAM, KRUPA/0000-0001-5475-8501; Jha, Dr. Dilip Kumar/0000-0002-9981-9141</t>
  </si>
  <si>
    <t>Ministry of Earth Sciences, Govt. of India [MoES/MB/NIOT/4/2017-PC-II]</t>
  </si>
  <si>
    <t>The authors are grateful to the Ministry of Earth Sciences, Govt. of India, for providing financial support (MoES/MB/NIOT/4/2017-PC-II) to carry out the present study. We are thankful to Dr. M. A. Atmanand, Director, NIOT, Chennai, for his constant encouragement and support. We are thankful to Dr. Jenny Stauber, Chief Research Scientist, CSIRO, Land and Water, Australia, for critically reviewing this manuscript. We are thankful to anonymous reviewers for providing productive comments. The first author is thankful to his colleague Dr. Pankaj Verma for his suggestions. We also thank scientific and supporting staffs of NIOT, Chennai, India, for their support in the field and in the laboratory during the course of this study.</t>
  </si>
  <si>
    <t>10.1016/j.marpolbul.2019.05.044</t>
  </si>
  <si>
    <t>JC0VX</t>
  </si>
  <si>
    <t>WOS:000488999000001</t>
  </si>
  <si>
    <t>Nazir, K; Mu, YT; Hussain, K; Kalhoro, MA; Mohsin, M; Hyder, S; Kartika, S; Sun, ZQ; Na, AN</t>
  </si>
  <si>
    <t>Nazir, Kiran; Mu Yongtong; Hussain, Khadim; Kalhoro, Mohsin Ali; Mohsin, Mohammad; Hyder, Shamsher; Kartika, Selly; Sun Zhaoqun; Na, A. N.</t>
  </si>
  <si>
    <t>Bio indicators (Mussels) are at Danger along Karachi Coast affecting Economy in Pakistan</t>
  </si>
  <si>
    <t>Perna viridis; Mussel; Bio-indicator; Karachi Coast</t>
  </si>
  <si>
    <t>In the present study an attempt has been made to investigate economic importance of mussels (Perna viridis) and discussed major problems responsible for their mortality. Mollusks are good source of protein intake in the world and they have economic importance in the seafood industries of several countries. Perna viridis occurs in the Asia Pacific region used as bio indicator of pollution. Perna viridis are abundantly found along Karachi Coast but due to environmental problems this specie is at danger. Marine economy of Pakistan could lead in the international seafood market if proper strategies applied to protect this worthy creature.</t>
  </si>
  <si>
    <t>[Nazir, Kiran; Mu Yongtong; Mohsin, Mohammad; Hyder, Shamsher; Kartika, Selly; Sun Zhaoqun; Na, A. N.] Ocean Univ China, Coll Fisheries, Qingdao 266003, Peoples R China; [Kalhoro, Mohsin Ali] Lasbela Univ Agr Water &amp; Marine Sci, Fac Marine Sci, Baluchistan, Pakistan; [Hussain, Khadim] Shah Abdul Latif Univ, Dept Zool, Khairpur, Sindh, Pakistan</t>
  </si>
  <si>
    <t>Ocean University of China; Shah Abdul Latif University</t>
  </si>
  <si>
    <t>Mu, YT (corresponding author), Ocean Univ China, Coll Fisheries, Qingdao 266003, Peoples R China.</t>
  </si>
  <si>
    <t>ytmu@ouc.edu.cn</t>
  </si>
  <si>
    <t>Memon, Khadim/S-1163-2019</t>
  </si>
  <si>
    <t>Memon, Dr. Khadim Hussain/0000-0002-8567-2732</t>
  </si>
  <si>
    <t>Modern Agro-industry Technology research system [CARS-48]; Ocean University of China (Qingdao)</t>
  </si>
  <si>
    <t>Modern Agro-industry Technology research system; Ocean University of China (Qingdao)</t>
  </si>
  <si>
    <t>The first author is thankful to Chinese Scholarship Council (CSC). This study is funded by the Modern Agro-industry Technology research system (Project No. CARS-48) and Ocean University of China (Qingdao). We acknowledge Food and Agriculture department (FAO), (MFD) Marine Fisheries Department and (CBI) Ministry of foreign affairs of Netherland for providing informative data about mollusk fishing industry in Pakistan</t>
  </si>
  <si>
    <t>WOS:000380867100006</t>
  </si>
  <si>
    <t>Dragun, Z; Erk, M; Raspor, B; Ivankovic, D; Pavicic, J</t>
  </si>
  <si>
    <t>Metal and metallothionein level in the heat-treated cytosol of gills of transplanted mussels Mytilus galloprovincialis Lmk</t>
  </si>
  <si>
    <t>Mytilus galloprovincialis; trace metals; metallothionein; cytosol; gills</t>
  </si>
  <si>
    <t>SEASONAL-VARIATIONS; MACOMA-BALTHICA; TRACE-METALS; CADMIUM; MERCURY; COPPER; BIOACCUMULATION; TEMPERATURE; DEPURATION; INDUCTION</t>
  </si>
  <si>
    <t>A stock of mussels Mytilus galloprovincialis was transplanted over 1 year to four sites in a semi-enclosed bay in Croatia which is under the influence of various sources of pollution. The positive correlation of metal (Cd, Zn, Cu, Mn, Fe) and metallothionein (MT) tissue contents based on the analysis of heat-treated cytosol of gills with shell mass, as an indicator of mussel age, indicated to accumulation of metals, as well as the increase of MTs with mussel age. The principal component analysis (PCA) revealed that 74% of total variance of obtained results could be explained through two principal components. The first principal component was highly correlated with MT, Cd and Zn indices (metal or MT content/shell mass), and the second one with Cu, Mn, and Fe indices, as well as the gill index. High correlation of MTs with Zn and Cd is consistent with their affinity for binding to MTs. (C) 2004 Elsevier Ltd. All rights reserved.</t>
  </si>
  <si>
    <t>Rudjer Boskovic Inst, Ctr Marine &amp; Environm Res, Zagreb 10002, Croatia</t>
  </si>
  <si>
    <t>Dragun, Z (corresponding author), Rudjer Boskovic Inst, Ctr Marine &amp; Environm Res, POB 180, Zagreb 10002, Croatia.</t>
  </si>
  <si>
    <t>zdragun@rudjer.irb.hr</t>
  </si>
  <si>
    <t>Dragun, Zrinka/0000-0002-1289-0114; Ivankovic, Dusica/0000-0003-0349-7908; Erk, Marijana/0000-0001-7221-5551</t>
  </si>
  <si>
    <t>10.1016/j.envint.2004.05.001</t>
  </si>
  <si>
    <t>854BF</t>
  </si>
  <si>
    <t>WOS:000223874300003</t>
  </si>
  <si>
    <t>Prakash, S; Kumar, A</t>
  </si>
  <si>
    <t>Prakash, S.; Kumar, Amit</t>
  </si>
  <si>
    <t>Influencing intertidal food web: Implications of ocean acidification on the physiological energetics of key species the 'wedge' ' clam Donax faba</t>
  </si>
  <si>
    <t>Ocean acidification; Intertidal; Clam; Antioxidants; Physiology; Nutrient profiling</t>
  </si>
  <si>
    <t>INDUCE OXIDATIVE STRESS; SEAWATER ACIDIFICATION; CRASSOSTREA-VIRGINICA; MARINE ORGANISMS; EASTERN OYSTERS; REDUCED PH; SEA-URCHIN; RESPONSES; METABOLISM; IMPACTS</t>
  </si>
  <si>
    <t>Ocean acidification has become increasingly severe in coastal areas. It poses emerging threats to coastal organisms and influences ecological functioning. Donax faba, a dominant clam in the intertidal zone of the Bay of Bengal, plays an important role in the coastal food web. This clam has been widely consumed by the local communities and also acts as a staple diet for shorebirds and crustaceans. In this paper, we investigated how acidified conditions will influence the physiology, biochemical constituents, and energetics of Donax faba. Upon incubation for 2 months in lowered pH 7.7 +/- 0.05 and control 8.1 +/- 0.05 conditions, we found a delayed growth in the acidified conditions followed by decrease in calcium ions in the clam shell. Although not significant, we found the digestive enzymes showed a downward trend. Total antioxidant was significantly increased in the acidified condition compared to the control. Though not significant, the expression level of MDA and antioxidant enzymes (SOD, CAT, GST, GPX, and APX) showed increasing trend in acidified samples. Among nutrients such as amino acids and fatty acids, there was no significant difference between treatments, however, showed a downward trend in the acidified conditions compared to control. Among the minerals, iron and zinc showed significant increase in the acidified conditions. The above results suggest that the clam growth, and physiological energetics may have deleterious effects if exposed for longer durations at lowered pH condition thereby affecting the organisms involved in the coastal food web.</t>
  </si>
  <si>
    <t>[Prakash, S.] Sathyabama Inst Sci &amp; Technol, Ctr Climate Change Studies, Chennai 600119, Tamil Nadu, India; Sathyabama Marine Res Stn, Sallimalai St, Rameswaram 623526, Tamil Nadu, India</t>
  </si>
  <si>
    <t>Sathyabama Institute of Science &amp; Technology</t>
  </si>
  <si>
    <t>Prakash, S (corresponding author), Sathyabama Inst Sci &amp; Technol, Ctr Climate Change Studies, Chennai 600119, Tamil Nadu, India.</t>
  </si>
  <si>
    <t>prakash.cccs@sathyabama.ac.in; amitkumar.cccs@sathyabama.ac.in</t>
  </si>
  <si>
    <t>Authors thank Dr. T. Sasipraba, Vice Chancellor, Sathyabama Insti-tute of Science and Technology, Chennai for her constant encourage-ment. Authors are thankful to the management of Sathyabama Institute of Science and Technology for their constant support towards the Centre for Climate Change Studies (CCCS) and Sathyabama Marine Research Station (SMRS) , Rameswaram.</t>
  </si>
  <si>
    <t>10.1016/j.marpolbul.2024.116366</t>
  </si>
  <si>
    <t>C1W0T</t>
  </si>
  <si>
    <t>WOS:001287321000001</t>
  </si>
  <si>
    <t>Mancia, A; Abelli, L; Palladino, G; Candela, M; Lucon-Xiccato, T; Bertolucci, C; Fossi, MC; Baini, M; Panti, C</t>
  </si>
  <si>
    <t>Mancia, Annalaura; Abelli, Luigi; Palladino, Giorgia; Candela, Marco; Lucon-Xiccato, Tyrone; Bertolucci, Cristiano; Fossi, Maria Cristina; Baini, Matteo; Panti, Cristina</t>
  </si>
  <si>
    <t>Sorbed environmental contaminants increase the harmful effects of microplastics in adult zebrafish, Danio rerio</t>
  </si>
  <si>
    <t>Polyethylene; Model organism; Epithelial distress; Microbiome; Fish behavior</t>
  </si>
  <si>
    <t>POLYSTYRENE PARTICLES; PLASTIC DEBRIS; SIZE; EXPRESSION; INGESTION; COMMUNITY; MUSSEL; FASTER; WATER; L.</t>
  </si>
  <si>
    <t>Aquatic animals ingest Microplastics (MPs) which have the potential to affect the uptake and bioavailability of sorbed co-contaminants. However, the effects on living organisms still need to be properly understood. The present study was designed to assess the combined effects of MPs and environmental contaminants on zebrafish (Danio rerio) health and behavior. Adult specimens were fed according to three different protocols: 1) untreated food (Control group); 2) food supplemented with 0.4 mg/L pristine polyethylene-MPs (PE-MPs; 0.1-0.3 mm diameter) (PEv group); 3) food supplemented with 0.4 mg/L PE-MPs previously incubated (PEi group) for 2 months in seawater. Analysis of contaminants in PEi detected trace elements, such as lead and copper. After 15 days of exposure, zebrafish underwent behavioral analysis and were then dissected to sample gills and intestine for histology, and the latter also for microbiome analysis. Occurrence of PEv and PEi in the intestine and con-taminants in the fish carcass were analyzed. Both PEv-and PEi-administered fish differed from controls in the assays performed, but PEi produced more harmful effects in most instances. Overall, MPs after environmental exposure revealed higher potential to alter fish health through combined effects (e.g. proportion of microplastics, pollutants and/or microorganisms).</t>
  </si>
  <si>
    <t>[Mancia, Annalaura; Abelli, Luigi; Lucon-Xiccato, Tyrone; Bertolucci, Cristiano] Univ Ferrara, Dept Life Sci &amp; Biotechnol, Via L Borsari,46, I-44121 Ferrara, Italy; [Palladino, Giorgia; Candela, Marco] Univ Bologna, Dept Pharm &amp; Biotechnol, Unit Microbiome Sci &amp; Biotechnol, Via Belmeloro,6, I-40126 Bologna, Italy; [Palladino, Giorgia; Candela, Marco] Fano Marine Ctr, Interinst Ctr Res Marine Biodivers Resources &amp; Bi, vialeAdriat 1-N, I-61032 Fano, Italy; [Fossi, Maria Cristina; Baini, Matteo; Panti, Cristina] Univ Siena, Dept Environm Earth &amp; Phys Sci, Via PA Mattioli,4, I-53100 Siena, Italy</t>
  </si>
  <si>
    <t>University of Ferrara; University of Bologna; University of Siena</t>
  </si>
  <si>
    <t>Mancia, A (corresponding author), Univ Ferrara, Dept Life Sci &amp; Biotechnol, Via L Borsari,46, I-44121 Ferrara, Italy.</t>
  </si>
  <si>
    <t>annalaura.mancia@unife.it</t>
  </si>
  <si>
    <t>Baini, Matteo/IAR-1459-2023; Candela, Marco/G-5411-2012; Lucon-Xiccato, Tyrone/AAG-9221-2020; Mancia, Annalaura/F-9706-2013; Bertolucci, Cristiano/H-1916-2015</t>
  </si>
  <si>
    <t>Mancia, Annalaura/0000-0001-8680-3530; Lucon-Xiccato, Tyrone/0000-0002-1017-9230; Baini, Matteo/0000-0003-2237-7688; Bertolucci, Cristiano/0000-0003-0252-3107</t>
  </si>
  <si>
    <t>10.1016/j.aquatox.2023.106544</t>
  </si>
  <si>
    <t>I2OS2</t>
  </si>
  <si>
    <t>WOS:001001234600001</t>
  </si>
  <si>
    <t>Dong, LQ; Deng, RJ; Xiao, HY; Chen, F; Zhou, YF; Li, JK; Chen, S; Yan, B</t>
  </si>
  <si>
    <t>Dong, Liqin; Deng, Ruijie; Xiao, Hongyan; Chen, Fang; Zhou, Yifan; Li, Jikang; Chen, Sheng; Yan, Bin</t>
  </si>
  <si>
    <t>Hierarchical polydopamine coated cellulose nanocrystal microstructures as efficient nanoadsorbents for removal of Cr(VI) ions</t>
  </si>
  <si>
    <t>CELLULOSE</t>
  </si>
  <si>
    <t>Cr(VI) removal; Polydopamine; Cellulose nanocrystals; Hierarchical microstructure</t>
  </si>
  <si>
    <t>HEXAVALENT CHROMIUM; AQUEOUS-SOLUTION; BACTERIAL CELLULOSE; NANOPARTICLES; ADSORPTION; BEHAVIOR; NANOMATERIALS; MICROSPHERES; BIOSORPTION; ADSORBENT</t>
  </si>
  <si>
    <t>Cellulose nanocrystals (CNCs) have been extensively explored as adsorbents for removal of heavy metals, dyes and other pollutants, but the pristine CNCs only show very limited adsorption capacity for Cr(VI) and usually demand complicated surface modification strategies to achieve acceptable Cr(VI) adsorption performance. In this work, we report a facile and efficient strategy to develop CNC-based nanoadsorbents with excellent Cr(VI) adsorption performance through polydopamine (PDA) surface modification. By controlling dopamine polymerization on the surfaces of CNCs and in the bulk solution, we achieved a hierarchical PDA coated cellulose nanocrystal (CNC@PDA) microstructure wherein PDA nanoparticles of less than 30nm are uniformly attached on PDA coated CNCs. This special hierarchical microstructure endows the developed CNC@PDA adsorbents with a high specific surface area 101.88m(2)/g thereby affording high Cr(VI) adsorption capacity 205mg/g, which outperformed most adsorbents based on cellulose materials. Moreover, the Cr(VI) adsorbed CNC@PDA nanoadsorbents precipitate out from the solution and thus can be easily removed to reclaim the purified water. This mussel-inspired strategy to fabricate hybrid nanomaterials with hierarchical microstructures might open up new opportunity to modify cellulose-based agriculture by-products for their application in sewage treatment. [GRAPHICS] .</t>
  </si>
  <si>
    <t>[Dong, Liqin; Deng, Ruijie; Xiao, Hongyan; Chen, Fang; Zhou, Yifan; Li, Jikang; Chen, Sheng; Yan, Bin] Sichuan Univ, Coll Light Ind Text &amp; Food Engn, Chengdu 610065, Sichuan, Peoples R China</t>
  </si>
  <si>
    <t>Sichuan University</t>
  </si>
  <si>
    <t>Chen, S; Yan, B (corresponding author), Sichuan Univ, Coll Light Ind Text &amp; Food Engn, Chengdu 610065, Sichuan, Peoples R China.</t>
  </si>
  <si>
    <t>chensheng@scu.edu.cn; yanbinscu@126.com</t>
  </si>
  <si>
    <t>Yan, Bin/Y-7642-2019; Deng, Ruijie/P-3278-2018; ZHANG, XIAOLONG/IZQ-4553-2023</t>
  </si>
  <si>
    <t>Zhou, Yifan/0009-0006-6536-1220; Chen, Sheng/0000-0002-9428-3675</t>
  </si>
  <si>
    <t>National Natural Science Foundation of China [21876119]; Sichuan Science and Technology Program [2018GZ0381]; Fundamental Research Funds for the Central Universities [YJ201732]</t>
  </si>
  <si>
    <t>National Natural Science Foundation of China(National Natural Science Foundation of China (NSFC)); Sichuan Science and Technology Program; Fundamental Research Funds for the Central Universities(Fundamental Research Funds for the Central Universities)</t>
  </si>
  <si>
    <t>B.Y thanks for the supports of the National Natural Science Foundation of China (under Grant No. 21876119), Sichuan Science and Technology Program (under Grant No. 2018GZ0381) and the Fundamental Research Funds for the Central Universities (under Grant No. YJ201732). Useful discussions with Dr. Yingchun Gu are gratefully acknowledged. Special thanks to Jiayou Lin for the help on preparing 3D scheme of nanocrystal cellulose.</t>
  </si>
  <si>
    <t>0969-0239</t>
  </si>
  <si>
    <t>1572-882X</t>
  </si>
  <si>
    <t>Cellulose</t>
  </si>
  <si>
    <t>10.1007/s10570-019-02529-3</t>
  </si>
  <si>
    <t>Materials Science, Paper &amp; Wood; Materials Science, Textiles; Polymer Science</t>
  </si>
  <si>
    <t>IG2AZ</t>
  </si>
  <si>
    <t>WOS:000473598400002</t>
  </si>
  <si>
    <t>Suárez, P; Ruiz, Y; Alonso, A; San Juan, F</t>
  </si>
  <si>
    <t>Suarez, Pilar; Ruiz, Yolanda; Alonso, Ana; San Juan, Fuencisla</t>
  </si>
  <si>
    <t>Organochlorine compounds in mussels cultured in the Ria of Vigo: Accumulation and origin</t>
  </si>
  <si>
    <t>PCBs; OCPs; Organochlorine pollution sources; Mytilus galloprovincialis; Mussel farms; Ria of Vigo</t>
  </si>
  <si>
    <t>POLYCHLORINATED BIPHENYL CONGENERS; OYSTER CRASSOSTREA-ANGULATA; MYTILUS-EDULIS; CHLORINATED PESTICIDES; BIOCHEMICAL-COMPOSITION; SEASONAL DIFFERENCES; PCB CONCENTRATIONS; LIPID-COMPOSITION; MARINE SYSTEMS; HEAVY-METALS</t>
  </si>
  <si>
    <t>This paper analyzes the influence of mussel physiological conditions on bioaccumulation of organochlorine pollutants. A direct relationship between reproductive stage, lipid content and accumulation of PCBs, DDTs and HCHs was observed. The organochlorine compounds accumulated by mussels cultured in the Ria of Vigo show levels below the limits set by the European legislation for human consumption, ranging between 12.50-58, 2.21-10.80 and 0.50-2.69 mu g kg(-1) dry weight for PCBs, DDTs and HCHs, respectively. Other organochlorine pesticides normally present in estuarine areas, such as hexachlorobenzene (HCB), aldrin, chlordane and nonachlor were not detected. The proportion of PCBs, between 2 and 7 times higher than OCPs, indicates a pollution of predominantly industrial origin in the sampling area. Several molecular indices were used to identify the source of accumulated OCPs by Mytilus, showing recent inputs of technical DDT, mainly in summer-autumn, and continued discharges of lindane. On the other hand, other pesticides containing DDT impurities, such as dicofol, can contribute to DDT pollution in the Ria of Vigo. Multivariate analysis suggests the usefulness of including physiological parameters such as the gonad condition index and lipid content of sentinel organisms in environmental biomonitoring of lipophilic pollutants, as well as in the determination of their origin. (C) 2012 Elsevier Ltd. All rights reserved.</t>
  </si>
  <si>
    <t>[Suarez, Pilar] Univ Vigo, Fac Ciencias del Mar, Dept Bioquim Genet &amp; Inmunol, Vigo 36310, Spain</t>
  </si>
  <si>
    <t>Suárez, P (corresponding author), Univ Vigo, Fac Ciencias del Mar, Dept Bioquim Genet &amp; Inmunol, Lagoas Marco Sende S-N, Vigo 36310, Spain.</t>
  </si>
  <si>
    <t>psuarez@uvigo.es; yruiz@uvigo.es; amam@uvigo.es; fsanjuan@uvigo.es</t>
  </si>
  <si>
    <t>Suarez, Pilar/L-6497-2014; San Juan Serrano, Fuencisla/L-6300-2014</t>
  </si>
  <si>
    <t>Autonomous Government of Galicia [PGIDT06RMA 31201PR]</t>
  </si>
  <si>
    <t>Autonomous Government of Galicia</t>
  </si>
  <si>
    <t>The authors thank Antonio Antepazos and the fishermen of the Antepazos I who kindly provided the mussels used in this work. We are also grateful to Mary Villar Blanco for revising the English translation of the manuscript. This work was supported by a Grant from The Autonomous Government of Galicia (PGIDT06RMA 31201PR).</t>
  </si>
  <si>
    <t>10.1016/j.chemosphere.2012.02.030</t>
  </si>
  <si>
    <t>046KS</t>
  </si>
  <si>
    <t>WOS:000311764500002</t>
  </si>
  <si>
    <t>Hartard, C; Leclerc, M; Rivet, R; Maul, A; Loutreul, J; Banas, S; Boudaud, N; Gantzer, C</t>
  </si>
  <si>
    <t>Hartard, C.; Leclerc, M.; Rivet, R.; Maul, A.; Loutreul, J.; Banas, S.; Boudaud, N.; Gantzer, C.</t>
  </si>
  <si>
    <t>F-Specific RNA Bacteriophages, Especially Members of Subgroup II, Should Be Reconsidered as Good Indicators of Viral Pollution of Oysters</t>
  </si>
  <si>
    <t>APPLIED AND ENVIRONMENTAL MICROBIOLOGY</t>
  </si>
  <si>
    <t>norovirus; F-specific RNA bacteriophages; shellfish; viral pollution</t>
  </si>
  <si>
    <t>COMMERCIAL HARVESTING AREAS; WASTE-WATER TREATMENT; HEPATITIS-A VIRUS; NOROVIRUS CONTAMINATION; ESCHERICHIA-COLI; NORWALK VIRUS; CRASSOSTREA-VIRGINICA; POTENTIAL INDICATORS; HUMAN ADENOVIRUSES; ENTERIC VIRUSES</t>
  </si>
  <si>
    <t>Norovirus (NoV) is the leading cause of gastroenteritis outbreaks linked to oyster consumption. In this study, we investigated the potential of F-specific RNA bacteriophages (FRNAPH) as indicators of viral contamination in oysters by focusing especially on FRNAPH subgroup II (FRNAPH-II). These viral indicators have been neglected because their behavior is sometimes different from that of NoV in shellfish, especially during the depuration processes usually performed before marketing. However, a significant bias needs to be taken into account. This bias is that, in the absence of routine culture methods, NoV is targeted by genome detection, while the presence of FRNAPH is usually investigated by isolation of infectious particles. In this study, by targeting both viruses using genome detection, a significant correlation between the presence of FRNAPH-II and that of NoV in shellfish collected from various European harvesting areas impacted by fecal pollution was observed. Moreover, during their depuration, while the long period of persistence of NoV was confirmed, a similar or even longer period of persistence of the FRNAPH-II genome, which was over 30 days, was observed. Such a striking genome persistence calls into question the relevance of molecular methods for assessing viral hazards. Targeting the same virus (i.e., FRNAPH-II) by culture and genome detection in specimens from harvesting areas as well as during depuration, we concluded that the presence of genomes in shellfish does not provide any information on the presence of the corresponding infectious particles. In view of these results, infectious FRNAPH detection should be reconsidered as a valuable indicator in oysters, and its potential for use in assessing viral hazard needs to be investigated. IMPORTANCE This work brings new data about the behavior of viruses in shellfish, as well as about the relevance of molecular methods for their detection and evaluation of the viral hazard. First, a strong correlation between the presence of F-specific RNA bacteriophages of subgroup II (FRNAPH-II) and that of norovirus (NoV) in shellfish impacted by fecal contamination has been observed when both viruses are detected using molecular approaches. Second, when reverse transcription-PCR and culture are used to detect FRNAPH-II in shellfish, it appears that the genomes of the viruses present a longer period of persistence than infectious virus, and thus, virus genome detection fails to give information about the concomitant presence of infectious viruses. Finally, this study shows that FRNAPH persist at least as long as NoVdoes. These data are major arguments to reconsider the potential of FRNAPH as indicators of shellfish viral quality.</t>
  </si>
  <si>
    <t>[Hartard, C.; Rivet, R.; Banas, S.; Gantzer, C.] Univ Lorraine, LCPME, UMR 7564, Fac Pharm, Nancy, France; [Hartard, C.; Rivet, R.; Banas, S.; Gantzer, C.] CNRS, LCPME, UMR 7564, Nancy, France; [Hartard, C.; Rivet, R.; Banas, S.; Gantzer, C.] Univ Lorraine, Inst Jean Barriol, Fac Sci &amp; Technol, Vandoeuvre Les Nancy, France; [Leclerc, M.; Loutreul, J.; Boudaud, N.] Actalia, Food Safety Dept, St Lo, France; [Maul, A.] Univ Lorraine, LIEC, UMR 7360, Metz, France</t>
  </si>
  <si>
    <t>Universite de Lorraine; Centre National de la Recherche Scientifique (CNRS); CNRS - Institute of Chemistry (INC); Centre National de la Recherche Scientifique (CNRS); CNRS - Institute of Chemistry (INC); Universite de Lorraine; Universite de Lorraine; CHU de Nancy; Centre National de la Recherche Scientifique (CNRS); CNRS - National Institute for Earth Sciences &amp; Astronomy (INSU); Universite de Lorraine</t>
  </si>
  <si>
    <t>Gantzer, C (corresponding author), Univ Lorraine, LCPME, UMR 7564, Fac Pharm, Nancy, France.</t>
  </si>
  <si>
    <t>christophe.gantzer@univ-lorraine.fr</t>
  </si>
  <si>
    <t>Boudaud, Nicolas/KEJ-0492-2024</t>
  </si>
  <si>
    <t>RIVET, Romain/0000-0002-7290-6069</t>
  </si>
  <si>
    <t>Fonds Europeen pour les Affaires Maritimes et la Peche (FEAMP); Joint Technological Unit ACTIA VIROcontrol; Institut Carnot Energie et Environnement en Lorraine (ICEEL); Conseil Regional de Normandie</t>
  </si>
  <si>
    <t>The results of this study were obtained within the scope of OxyVir, a project funded by the Fonds Europeen pour les Affaires Maritimes et la Peche (FEAMP). This study was supported by the Joint Technological Unit ACTIA VIROcontrol, the Institut Carnot Energie et Environnement en Lorraine (ICEEL), and the Conseil Regional de Normandie.</t>
  </si>
  <si>
    <t>AMER SOC MICROBIOLOGY</t>
  </si>
  <si>
    <t>1752 N ST NW, WASHINGTON, DC 20036-2904 USA</t>
  </si>
  <si>
    <t>0099-2240</t>
  </si>
  <si>
    <t>1098-5336</t>
  </si>
  <si>
    <t>APPL ENVIRON MICROB</t>
  </si>
  <si>
    <t>Appl. Environ. Microbiol.</t>
  </si>
  <si>
    <t>e01866-17</t>
  </si>
  <si>
    <t>10.1128/AEM.01866-17</t>
  </si>
  <si>
    <t>Biotechnology &amp; Applied Microbiology; Microbiology</t>
  </si>
  <si>
    <t>FQ0IY</t>
  </si>
  <si>
    <t>WOS:000418039700021</t>
  </si>
  <si>
    <t>Su, WH; Zha, SJ; Wang, YC; Shi, W; Xiao, GQ; Chai, XL; Wu, HX; Liu, GX</t>
  </si>
  <si>
    <t>Su, Wenhao; Zha, Shanjie; Wang, Yichen; Shi, Wei; Xiao, Guoqiang; Chai, Xueliang; Wu, Hongxi; Liu, Guangxu</t>
  </si>
  <si>
    <t>Benzo[a]pyrene exposure under future ocean acidification scenarios weakens the immune responses of blood clam, Tegillarca granosa</t>
  </si>
  <si>
    <t>Ocean acidification; Persistent organic pollutants; Blood clam; Immune toxicology; Gene expression</t>
  </si>
  <si>
    <t>EARLY-LIFE STAGES; OXIDATIVE STRESS; CADMIUM EXPOSURES; MARINE BIVALVES; MYTILUS-EDULIS; ACUTE COPPER; BENZO(A)PYRENE; CALCIFICATION; METABOLISM; PATHWAYS</t>
  </si>
  <si>
    <t>Persistent organic pollutants (POPS) are known to converge into the ocean and accumulate in the sediment, posing great threats to marine organisms such as the sessile bottom burrowing bivalves. However, the immune toxicity of POPs, such as B[a]P, under future ocean acidification scenarios remains poorly understood to date. Therefore, in the present study, the impacts of B[a]P exposure on the immune responses of a bivalve species, Tegillarca granosa, under present and future ocean acidification scenarios were investigated. Results obtained revealed an increased immune toxicity of B[a]P under future ocean acidification scenarios in terms of reduced THC, altered haemocyte composition, and hampered phagocytosis, which may attribute to the synergetic effects of B[a]P and ocean acidification. In addition, the gene expressions of pathogen pattern recognition receptors (TLR1, TLR2, TLR4, TLR6), pathway mediators (TRAF6, TAK1, TAB2, IKK alpha and Myd88), and effectors (NF-kappa B) of the important immune related pathways were significantly down-regulated upon exposure to B[a]P under future ocean acidification scenarios. Results of the present study suggested an increased immune toxicity of B[a]P under future ocean acidification scenarios, which will significantly hamper the immune responses of T. granosa and subsequently render individuals more susceptible to pathogens challenges. (C) 2017 Elsevier Ltd. All rights reserved.</t>
  </si>
  <si>
    <t>[Su, Wenhao; Zha, Shanjie; Wang, Yichen; Shi, Wei; Liu, Guangxu] Zhejiang Univ, Coll Anim Sci, Hangzhou, Zhejiang, Peoples R China; [Xiao, Guoqiang; Chai, Xueliang] Zhejiang Mariculture Res Inst, Wenzhou, Peoples R China; [Wu, Hongxi] Zhejiang Fisheries Technol Extens Stn, Hangzhou, Zhejiang, Peoples R China</t>
  </si>
  <si>
    <t>Liu, GX (corresponding author), Zhejiang Univ, Agr Environm Biol Grp, Room 551,Zijingang Campus,866 Yuhangtang Rd, Hangzhou 310058, Zhejiang, Peoples R China.</t>
  </si>
  <si>
    <t>National Natural Science Foundation of China [31672634]; Open Fund of Key Laboratory for Ecological and Environment in Costal Areas, SOA [201603]; Open Fund of Key Laboratory of Exploration &amp; Preservation of Costal Bio-resources of Zhejiang [J2015002, J2016001]</t>
  </si>
  <si>
    <t>National Natural Science Foundation of China(National Natural Science Foundation of China (NSFC)); Open Fund of Key Laboratory for Ecological and Environment in Costal Areas, SOA; Open Fund of Key Laboratory of Exploration &amp; Preservation of Costal Bio-resources of Zhejiang</t>
  </si>
  <si>
    <t>Authors greatly thank Prof. Jane Lo (College of Animal Sciences, Zhejiang University) for polishing the manuscript. This work was funded by National Natural Science Foundation of China (No. 31672634), Open Fund of Key Laboratory for Ecological and Environment in Costal Areas, SOA (No. 201603), and Open Fund of Key Laboratory of Exploration &amp; Preservation of Costal Bio-resources of Zhejiang (No. J2015002, J2016001).</t>
  </si>
  <si>
    <t>10.1016/j.fsi.2017.02.046</t>
  </si>
  <si>
    <t>ER5VA</t>
  </si>
  <si>
    <t>WOS:000398870700050</t>
  </si>
  <si>
    <t>Beiras, R; Bellas, J</t>
  </si>
  <si>
    <t>Beiras, R.; Bellas, J.</t>
  </si>
  <si>
    <t>Inhibition of embryo development of the Mytilus galloprovincialis marine mussel by organic pollutants;: assessment of risk for its extensive culture in the Galician Rias</t>
  </si>
  <si>
    <t>Mytilus; embryo; larva; toxicity; bioassay; risk assessment</t>
  </si>
  <si>
    <t>DISSOLVED MERCURY; EMBRYOGENESIS; SEAWATER; BIVALVE; LARVAE; ORGANOTIN; QUALITY; WATER; BIOACCUMULATION; SENSITIVITY</t>
  </si>
  <si>
    <t>This study evaluates the risk posed by selected organic pollutants on the culture of the marine mussel in the Galician coast (NW Iberian Peninsula), which depends on collection of natural seed in densely populated coastal areas. With this aim toxicity tests were carried out with embryos of the Mytilus galloprovincialis mussel, and the toxicity of the surfactant sodium dodecyl sulphate (SIDS) and the biocides TBT chlorpyrifos and lindane was quantified in terms of median effective concentration (EC50) and toxicity threshold (EC10 and LOEC), using embryogenesis success as end point. The EC10 and EC50 values were 161 and 377 ng/L for TBT, 79 and 154 mu g/L for chlorpyrifos, 495 and 2353 mu g/L for SIDS, 1.41 and 1.99 mg/L for lindane. Toxicity thresholds for mussel embryos from this study and crustacean larvae from the literature were compared to environmental concentrations in coastal waters, either directly measured or estimated from mussel bioaccumulation data, in an attempt to evaluate the risk posed by those pollutants to these commercial species. It was concluded that SDS and, especially, chlorpyrifos and lindane, do not pose a threat to these commercial resources. In contrast, TBT risk quotients derived either from actual seawater measurements or mussel bioaccumulation data were both unacceptably high. TBT pollution represents thus a potential threat to natural availability of spat, the basis of extensive mussel culture. At the light of the data presented, current TBT seawater quality criterion seems underprotective and it should be revised. (C) 2008 Elsevier B.V. All rights reserved.</t>
  </si>
  <si>
    <t>[Beiras, R.; Bellas, J.] Univ Vigo, Area Ecoloxia, Lab Ecoloxia Marina, E-36200 Vigo, Galicia, Spain</t>
  </si>
  <si>
    <t>Beiras, R (corresponding author), Univ Vigo, Area Ecoloxia, Lab Ecoloxia Marina, Campus Lagoas Marcosende, E-36200 Vigo, Galicia, Spain.</t>
  </si>
  <si>
    <t>10.1016/j.aquaculture.2008.03.002</t>
  </si>
  <si>
    <t>306VK</t>
  </si>
  <si>
    <t>WOS:000256275700013</t>
  </si>
  <si>
    <t>Andrade, M; Soares, AMVM; Solé, M; Pereira, E; Freitas, R</t>
  </si>
  <si>
    <t>Andrade, Madalena; Soares, Amadeu M. V. M.; Sole, Montserrat; Pereira, Eduarda; Freitas, Rosa</t>
  </si>
  <si>
    <t>Threats of Pollutants Derived from Electronic Waste to Marine Bivalves: The Case of the Rare-Earth Element Yttrium</t>
  </si>
  <si>
    <t>Bioconcentration; cellular damage; metabolism; mussels; oxidative stress; rare-earth elements</t>
  </si>
  <si>
    <t>FRESH-WATER MUSSEL; INTEGRATED BIOMARKER RESPONSE; MYTILUS-GALLOPROVINCIALIS; ANTHROPOGENIC LANTHANUM; LIPID-PEROXIDATION; ORGANIC-CHEMICALS; GADOLINIUM; SEAWATER; BIOAVAILABILITY; TECHNOLOGY</t>
  </si>
  <si>
    <t>The production of electrical and electronic equipment waste (e-waste) is increasing at an alarming rate worldwide. This may eventually lead to its accumulation in aquatic environments, mainly because of the presence of nonbiodegradable components. The rare-earth element yttrium (Y) is particularly relevant because it is present in a wide variety of electro-based equipment. Within this context, the present study investigated the biological consequences of anthropogenic Y exposure in Mytilus galloprovincialis. Mussels were exposed to Y (0, 5, 10, 20, 40 mu g/L) for 28 days, and their bioaccumulation and biomarkers related to metabolism, oxidative stress defenses, cellular damage, and neurotoxicity were evaluated. The results revealed that tissue Y content increased at increasing exposure concentrations (though the bioconcentration factor decreased). At the lowest Y dosage (5 mu g/L), mussels lowered their electron transport system (ETS) activity, consumed more energy reserves (glycogen), and activated superoxide dismutase activity, thus preventing cellular damage. At the highest Y dosage (40 mu g/L), mussels reduced their biotransformation activities with no signs of cellular damage, which may be associated with the low toxicity of Y and the lower/maintenance of ETS activity. Although only minor effects were observed, the present findings raise an environmental concern for aquatic systems where anthropogenic Y concentrations are generally low but still may compromise organisms' biochemical performance. Particularly relevant are the alterations in energy metabolism and detoxification processes for their longer-term impacts on growth and reproduction but also as defense mechanisms against other stressors. Environ Toxicol Chem 2022;00:1-12. (c) 2022 The Authors. Environmental Toxicology and Chemistry published by Wiley Periodicals LLC on behalf of SETAC.</t>
  </si>
  <si>
    <t>[Andrade, Madalena; Soares, Amadeu M. V. M.; Freitas, Rosa] Univ Aveiro, Dept Biol, Aveiro, Portugal; [Andrade, Madalena; Soares, Amadeu M. V. M.; Freitas, Rosa] Univ Aveiro, CESAM, Aveiro, Portugal; [Sole, Montserrat] Inst Ciencias Mar ICM CSIC, Dept Recursos Marinos Renovables, Barcelona, Spain; [Pereira, Eduarda] Univ Aveiro, Dept Quim, Aveiro, Portugal; [Pereira, Eduarda] Univ Aveiro, CESAM LAQV REQUIMTE, Aveiro, Portugal</t>
  </si>
  <si>
    <t>Universidade de Aveiro; Universidade de Aveiro; Consejo Superior de Investigaciones Cientificas (CSIC); CSIC - Centro Mediterraneo de Investigaciones Marinas y Ambientales (CMIMA); CSIC - Instituto de Ciencias del Mar (ICM); Universidade de Aveiro; Universidade de Aveiro</t>
  </si>
  <si>
    <t>Freitas, R (corresponding author), Univ Aveiro, Dept Biol, Aveiro, Portugal.;Freitas, R (corresponding author), Univ Aveiro, CESAM, Aveiro, Portugal.</t>
  </si>
  <si>
    <t>Andrade, Madalena/F-1780-2019; Sole, Montserrat/C-7398-2013; Pereira, Eduarda/A-5907-2012; Soares, Amadeu/A-8304-2008; Freitas, Rosa/A-7539-2012</t>
  </si>
  <si>
    <t>Pereira, Eduarda/0000-0002-6046-5243; Soares, Amadeu/0000-0003-0879-9470; Freitas, Rosa/0000-0003-4900-3897; Silva Andrade, Maria Madalena/0000-0002-5704-8668</t>
  </si>
  <si>
    <t>National Funds through the Portuguese Science Foundation (Fundacao para a Ciencia e a Tecnologia, FCT) [SFRH/BD/143422/2019]; RED RIESCOS-Evaluacion de los Efectos de los Contaminantes Emergentes en Organismos Acuaticos y sobre la Salud Humana, from the Programa Iberoamericano de Ciencia y Tecnologia para el Desarrollo [419RT0578]; Severo Ochoa Centre of Excellence accreditation [CEX2019000928-S]; [UIDB/50006/2020]; [UIDP/50017/2020 + UIDB/50017/2020 + LA/P/0094/2020]</t>
  </si>
  <si>
    <t>National Funds through the Portuguese Science Foundation (Fundacao para a Ciencia e a Tecnologia, FCT); RED RIESCOS-Evaluacion de los Efectos de los Contaminantes Emergentes en Organismos Acuaticos y sobre la Salud Humana, from the Programa Iberoamericano de Ciencia y Tecnologia para el Desarrollo; Severo Ochoa Centre of Excellence accreditation; ;</t>
  </si>
  <si>
    <t>Madalena Andrade benefits from a PhD grant (SFRH/BD/143422/2019) by the National Funds through the Portuguese Science Foundation (Fundacao para a Ciencia e a Tecnologia, FCT). Thanks for financial support to the REQUIMTE (UIDB/50006/2020) and CESAM (UIDP/50017/2020 + UIDB/50017/2020 + LA/P/0094/2020). The authors also acknowledge the RED RIESCOS-Evaluacion de los Efectos de los Contaminantes Emergentes en Organismos Acuaticos y sobre la Salud Humana, from the Programa Iberoamericano de Ciencia y Tecnologia para el Desarrollo (419RT0578) and the institutional support of the Severo Ochoa Centre of Excellence accreditation (CEX2019000928-S).</t>
  </si>
  <si>
    <t>10.1002/etc.5508</t>
  </si>
  <si>
    <t>WOS:000897866600001</t>
  </si>
  <si>
    <t>Tian, SM; Pan, LQ; Zhang, H</t>
  </si>
  <si>
    <t>Tian, Shuangmei; Pan, Luqing; Zhang, Hui</t>
  </si>
  <si>
    <t>Identification of a CYP3A-like gene and CYPs mRNA expression modulation following exposure to benzo[a]pyrene in the bivalve mollusk Chlamys farreri</t>
  </si>
  <si>
    <t>CYP3A-like; mRNA; Benzo[a]pyrene; Pollution effects; Ecotoxicology; Chlamys farreri; CYPs expression</t>
  </si>
  <si>
    <t>POLYCYCLIC AROMATIC-HYDROCARBONS; RETINOID-X-RECEPTOR; POLYCHAETE PERINEREIS-NUNTIA; MUSSEL MYTILUS-EDULIS; DNA STRAND BREAKS; CYTOCHROME-P450 GENES; DIGESTIVE GLAND; IMMUNOPOSITIVE PROTEINS; OXIDATIVE STRESS; NEREIS-VIRENS</t>
  </si>
  <si>
    <t>In this study, we isolated a CYP3A-like gene from ovary of the scallop (Chlamys farreri). High levels of CYP3A-like gene expression occur in the digestive gland and gonad, which suggested their role in the metabolism of steroids and xenobiotics. Scallops were exposed to a polycyclic aromatic hydrocarbons (PAHs), benzo[a]pyrene (B[a]P) for 10 days. The CYP4 and CYP3A-like gene can be up-regulated by Nap in a dose-dependent manner after 10 days exposure. But no induction of the CYP3A-like was observed in 10 mu g/L B[a]P group. The CYP1A-like expression can only be induced by 0.025 mu g/L B[a]P. 0.5 and 10 mu g/L B [a]) caused significant DNA damage and 10 mu g/L B[a]l) can also lead to oxidative damage. These results demonstrate that the mollusk CYPs can be modulated by environmental pollutant, and the blocked induction of CYP3A-like and CYP1A-like expression probably results from the high genotoxicity and oxidative damage partly. (C) 2013 Elsevier Ltd. All rights reserved.</t>
  </si>
  <si>
    <t>[Tian, Shuangmei; Pan, Luqing; Zhang, Hui] Ocean Univ China, Coll Fisheries, Key Lab Mariculture, Minist Educ, Qingdao 266003, Peoples R China</t>
  </si>
  <si>
    <t>Pan, LQ (corresponding author), Ocean Univ China, Coll Fisheries, Key Lab Mariculture, Minist Educ, Yushan Rd 5, Qingdao 266003, Peoples R China.</t>
  </si>
  <si>
    <t>Tian, Shuangmei/X-2707-2019</t>
  </si>
  <si>
    <t>Tian, Shuangmei/0000-0002-6857-249X</t>
  </si>
  <si>
    <t>National Natural Science Foundation of China [30972237]</t>
  </si>
  <si>
    <t>This work was supported by the National Natural Science Foundation of China (30972237). We thank the staff of the Laboratory of Physiology for the help with sampling and taking care of the scallops.</t>
  </si>
  <si>
    <t>10.1016/j.marenvres.2013.11.001</t>
  </si>
  <si>
    <t>AB3IM</t>
  </si>
  <si>
    <t>WOS:000331684500002</t>
  </si>
  <si>
    <t>Bueris, V; Sellera, FP; Fuga, B; Sano, E; Carvalho, MPN; Couto, SCF; Moura, Q; Lincopan, N</t>
  </si>
  <si>
    <t>Bueris, Vanessa; Sellera, Fabio P.; Fuga, Bruna; Sano, Elder; Carvalho, Marcelo P. N.; Couto, Samuel C. F.; Moura, Quezia; Lincopan, Nilton</t>
  </si>
  <si>
    <t>Convergence of virulence and resistance in international clones of WHO critical priority enterobacterales isolated from Marine Bivalves</t>
  </si>
  <si>
    <t>PATHOGENIC ESCHERICHIA-COLI; ANTIBIOTIC-RESISTANCE; AUTOTRANSPORTER TOXIN; MULTIDRUG-RESISTANT; BIOFILM FORMATION; ADHERENCE; ENTEROTOXIN-1; SECRETION; EMERGENCE; CELLS</t>
  </si>
  <si>
    <t>The global spread of critical-priority antimicrobial-resistant Enterobacterales by food is a public health problem. Wild-caught seafood are broadly consumed worldwide, but exposure to land-based pollution can favor their contamination by clinically relevant antimicrobial-resistant bacteria. As part of the Grand Challenges Explorations: New Approaches to Characterize the Global Burden of Antimicrobial Resistance Program, we performed genomic surveillance and cell culture-based virulence investigation of WHO critical priority Enterobacterales isolated from marine bivalves collected in the Atlantic Coast of South America. Broad-spectrum cephalosporin-resistant Klebsiella pneumoniae and Escherichia coli isolates were recovered from eight distinct geographical locations. These strains harbored bla(CTX-M)-type or bla(CMY)-type genes. Most of the surveyed genomes confirmed the convergence of wide virulome and resistome (i.e., antimicrobials, heavy metals, biocides, and pesticides resistance). We identified strains belonging to the international high-risk clones K. pneumoniae ST307 and E. coli ST131 carrying important virulence genes, whereas in vitro experiments confirmed the high virulence potential of these strains. Thermolabile and thermostable toxins were identified in some strains, and all of them were biofilm producers. These data point to an alarming presence of resistance and virulence genes in marine environments, which may favor horizontal gene transfer and the spread of these traits to other bacterial species.</t>
  </si>
  <si>
    <t>[Bueris, Vanessa; Fuga, Bruna; Sano, Elder; Moura, Quezia; Lincopan, Nilton] Univ Sao Paulo, Inst Biomed Sci, Dept Microbiol, Sao Paulo, Brazil; [Bueris, Vanessa; Couto, Samuel C. F.] Butantan Inst, Lab Genet, Sao Paulo, Brazil; [Sellera, Fabio P.] Univ Sao Paulo, Sch Vet Med &amp; Anim Sci, Dept Internal Med, Sao Paulo, Brazil; [Sellera, Fabio P.] Univ Metropolitana Santos, Sch Vet Med, Santos, SP, Brazil; [Sellera, Fabio P.; Fuga, Bruna; Sano, Elder; Lincopan, Nilton] One Hlth Brazilian Resistance Project OneBR, Sao Paulo, Brazil; [Fuga, Bruna; Lincopan, Nilton] Univ Sao Paulo, Fac Pharmaceut Sci, Dept Clin Anal, Sao Paulo, Brazil; [Carvalho, Marcelo P. N.] Univ Fed Minas Gerais, Dept Vet Clin &amp; Surg, Belo Horizonte, MG, Brazil</t>
  </si>
  <si>
    <t>Universidade de Sao Paulo; Instituto Butantan; Universidade de Sao Paulo; Universidade de Sao Paulo; Universidade Federal de Minas Gerais</t>
  </si>
  <si>
    <t>Bueris, V (corresponding author), Univ Sao Paulo, Inst Biomed Sci, Dept Microbiol, Sao Paulo, Brazil.;Bueris, V (corresponding author), Butantan Inst, Lab Genet, Sao Paulo, Brazil.</t>
  </si>
  <si>
    <t>vanbueris@usp.br</t>
  </si>
  <si>
    <t>Sano, Elder/ABD-5630-2021; Couto, Samuel/KEJ-1491-2024; de Carvalho, Marcelo/S-6552-2018; Fuga, Bruna/HSI-4299-2023; Lincopan, Nilton/C-3818-2012; Sellera, Fábio/F-2832-2015</t>
  </si>
  <si>
    <t>Sano, Elder/0000-0002-9615-2281; Couto, Samuel/0000-0002-8430-9085</t>
  </si>
  <si>
    <t>Bill &amp; Melinda Gates Foundation (Grand Challenges Explorations Brazil) [OPP1193112]; Fundacao de Amparo a Pesquisa do Estado de Sao Paulo [2020/08224-9]; Conselho Nacional de Desenvolvimento Cientifico e Tecnologico [AMR 443819/2018-1, 312249/2017-9, 433128/20186]; CNPq [312249/2017-9]</t>
  </si>
  <si>
    <t>Bill &amp; Melinda Gates Foundation (Grand Challenges Explorations Brazil); Fundacao de Amparo a Pesquisa do Estado de Sao Paulo(Fundacao de Amparo a Pesquisa do Estado de Sao Paulo (FAPESP)); Conselho Nacional de Desenvolvimento Cientifico e Tecnologico(Conselho Nacional de Desenvolvimento Cientifico e Tecnologico (CNPQ)); CNPq(Conselho Nacional de Desenvolvimento Cientifico e Tecnologico (CNPQ))</t>
  </si>
  <si>
    <t>This work was supported by the Bill &amp; Melinda Gates Foundation (Grand Challenges Explorations Brazil OPP1193112), the Fundacao de Amparo a Pesquisa do Estado de Sao Paulo (2020/08224-9), and Conselho Nacional de Desenvolvimento Cientifico e Tecnologico (AMR 443819/2018-1, 312249/2017-9 and 433128/20186). N.L. is a CNPq research fellow (312249/2017-9).</t>
  </si>
  <si>
    <t>APR 5</t>
  </si>
  <si>
    <t>10.1038/s41598-022-09598-8</t>
  </si>
  <si>
    <t>0L5OM</t>
  </si>
  <si>
    <t>WOS:000781522600022</t>
  </si>
  <si>
    <t>Zhao, XG; Sun, SG; Shi, W; Sun, XM; Zhang, Y; Zhu, L; Sui, Q; Xia, B; Qu, KM; Chen, BJ; Liu, GX</t>
  </si>
  <si>
    <t>Zhao, Xinguo; Sun, Shuge; Shi, Wei; Sun, Xuemei; Zhang, Yan; Zhu, Lin; Sui, Qi; Xia, Bin; Qu, Keming; Chen, Bijuan; Liu, Guangxu</t>
  </si>
  <si>
    <t>Mussel Byssal Attachment Weakened by Anthropogenic Noise</t>
  </si>
  <si>
    <t>anthropogenic noise; mussel; byssal thread; attachment; mechanical performance; gene expression</t>
  </si>
  <si>
    <t>MYTILUS-EDULIS; ACOUSTIC COMMUNICATION; SEAWATER ACIDIFICATION; SEASONAL-VARIATION; BLUE MUSSELS; BOAT NOISE; EXPOSURE; ADHESION; BEHAVIOR; GALLOPROVINCIALIS</t>
  </si>
  <si>
    <t>The increasing underwater noise generated by anthropogenic activities has been widely recognized as a significant and pervasive pollution in the marine environment. Marine mussels are a family of sessile bivalves that attach to solid surfaces via the byssal threads. They are widely distributed along worldwide coastal areas and are of great ecological and socio-economic importance. Studies found that anthropogenic noise negatively affected many biological processes and/or functions of marine organisms. However, to date, the potential impacts of anthropogenic noise on mussel byssal attachment remain unknown. Here, the thick shell mussels Mytilus coruscus were exposed to an ambient underwater condition (similar to 50 dB re 1 mu Pa) or the playbacks of pile-driving noise (similar to 70 or similar to 100 dB re 1 mu Pa) for 10 days. Results showed that the noise significantly reduced the secretion of byssal threads (e.g., diameter and volume) and weakened their mechanical performances (e.g., strength, extensibility, breaking stress, toughness and failure location), leading to a 16.95-44.50% decrease in mussel byssal attachment strength. The noise also significantly down-regulated the genes expressions of seven structural proteins (e.g., mfp-1, mfp-2, mfp-3, mfp-6, preCOL-P, preCOL-NG, and preCOL-D) of byssal threads, probably mediating the weakened byssal attachment. Given the essential functions of strong byssal attachment, the findings demonstrate that the increasing underwater anthropogenic noise are posing a great threat to mussel population, mussel-bed community and mussel aquaculture industry. We thus suggest that future work is required to deepen our understanding of the impacts of anthropogenic noise on marine invertebrates, especially these with limited locomotion ability, like bivalves.</t>
  </si>
  <si>
    <t>[Zhao, Xinguo; Sun, Xuemei; Zhang, Yan; Zhu, Lin; Sui, Qi; Xia, Bin; Qu, Keming; Chen, Bijuan] Chinese Acad Fishery Sci, Yellow Sea Fisheries Res Inst, Qingdao, Peoples R China; [Zhao, Xinguo; Sun, Xuemei; Zhang, Yan; Zhu, Lin; Sui, Qi; Xia, Bin; Chen, Bijuan] Qingdao Natl Lab Marine Sci &amp; Technol, Lab Marine Ecol &amp; Environm Sci, Qingdao, Peoples R China; [Sun, Shuge; Shi, Wei; Liu, Guangxu] Zhejiang Univ, Coll Anim Sci, Hangzhou, Peoples R China</t>
  </si>
  <si>
    <t>Chinese Academy of Fishery Sciences; Yellow Sea Fisheries Research Institute, CAFS; Laoshan Laboratory; Zhejiang University</t>
  </si>
  <si>
    <t>Liu, GX (corresponding author), Zhejiang Univ, Coll Anim Sci, Hangzhou, Peoples R China.</t>
  </si>
  <si>
    <t>Zhao, Xinguo/T-1846-2019; 隋, 启君/HNP-6469-2023; Shi, Wei/P-2846-2019</t>
  </si>
  <si>
    <t>Shi, Wei/0000-0003-0811-2165; Zhao, Xinguo/0000-0001-5613-4620</t>
  </si>
  <si>
    <t>Shandong Provincial Natural Science Foundation [ZR2020QC209]; National Natural Science Foundation of China [42106195]; Central Public-interest Scientific Institution Basal Research Fund, CAFS [2020TD12]; Central Public-interest Scientific Institution Basal Research Fund, YSFRI, CAFS [20603022021005]</t>
  </si>
  <si>
    <t>Shandong Provincial Natural Science Foundation(Natural Science Foundation of Shandong Province); National Natural Science Foundation of China(National Natural Science Foundation of China (NSFC)); Central Public-interest Scientific Institution Basal Research Fund, CAFS; Central Public-interest Scientific Institution Basal Research Fund, YSFRI, CAFS</t>
  </si>
  <si>
    <t>This work was funded by the Shandong Provincial Natural Science Foundation (No. ZR2020QC209), the National Natural Science Foundation of China (No. 42106195), the Central Public-interest Scientific Institution Basal Research Fund, CAFS (No.2020TD12), and the Central Public-interest Scientific Institution Basal Research Fund, YSFRI, CAFS (No. 20603022021005).</t>
  </si>
  <si>
    <t>DEC 23</t>
  </si>
  <si>
    <t>10.3389/fmars.2021.821019</t>
  </si>
  <si>
    <t>YK5PF</t>
  </si>
  <si>
    <t>WOS:000745263700001</t>
  </si>
  <si>
    <t>Ji, J; Choi, HJ; Ahn, IY</t>
  </si>
  <si>
    <t>Ji, Jungyoun; Choi, Heeseon J.; Ahn, In-Young</t>
  </si>
  <si>
    <t>Evaluation of Manila clam Ruditapes philippinarum as a sentinel species for metal pollution monitoring in estuarine tidal flats of Korea:: Effects of size, sex, and spawning on baseline accumulation</t>
  </si>
  <si>
    <t>MYTILUS-EDULIS; TAPES-PHILIPPINARUM; TRACE-METALS; CHEMICAL CONCENTRATIONS; CADMIUM ACCUMULATION; LITTORINA-LITTOREA; CRASSOSTREA-GIGAS; HEAVY-METALS; BODY-WEIGHT; WEST-COAST</t>
  </si>
  <si>
    <t>Korea Ocean Res &amp; Dev Inst, Korea Polar Res Inst, Ansan 426744, South Korea</t>
  </si>
  <si>
    <t>Korea Polar Research Institute (KOPRI); Korea Institute of Ocean Science &amp; Technology (KIOST)</t>
  </si>
  <si>
    <t>Ahn, IY (corresponding author), Korea Ocean Res &amp; Dev Inst, Korea Polar Res Inst, Sa 2 Dong, Ansan 426744, South Korea.</t>
  </si>
  <si>
    <t>iahn@kordi.re.kr</t>
  </si>
  <si>
    <t>10.1016/j.marpolbul.2005.12.012</t>
  </si>
  <si>
    <t>WOS:000237944700022</t>
  </si>
  <si>
    <t>Hawkins, SJ; O'Shaughnessy, KA; Adams, LA; Langston, WJ; Bray, S; Allen, JR; Wilkinson, S; Bohn, K; Mieszkowska, N; Firth, LB</t>
  </si>
  <si>
    <t>Hawkins, S. J.; O'Shaughnessy, K. A.; Adams, L. A.; Langston, W. J.; Bray, S.; Allen, J. R.; Wilkinson, S.; Bohn, K.; Mieszkowska, N.; Firth, L. B.</t>
  </si>
  <si>
    <t>Recovery of an urbanised estuary: Clean-up, de-industrialisation and restoration of redundant dock-basins in the Mersey</t>
  </si>
  <si>
    <t>Conservation; Pollution; Contamination; Disused docks; Liverpool; Biodiversity</t>
  </si>
  <si>
    <t>FLOUNDER PLATICHTHYS-FLESUS; COD GADUS-MORHUA; UNITED-KINGDOM; WATER-QUALITY; POLYCHLORINATED-BIPHENYLS; SEDIMENT CORES; ESTROGENIC CONTAMINATION; ENDOCRINE DISRUPTION; BIRD MORTALITIES; TEMPERATE MARINE</t>
  </si>
  <si>
    <t>For much of the 20th century, the Mersey in North West England was one of the worst polluted estuaries in Europe. Water from a range of polluting industries plus domestic sewage was discharged into the Mersey Catchment and Estuary. Recovery came through a concerted clean-up campaign and tightening environmental regulations, partly driven by European Commission Directives, coupled with de-industrialisation from the 1970s onward. Recovery of oxygen levels in the Estuary led to the return of a productive ecosystem. This led to conservation designations, but also concerns about transfer of pollutants to higher trophic levels in fish, birds and humans. As part of urban renewal, ecosystems in disused dock basins were restored using mussel biofiltration and artificial de-stratification, facilitating commercial redevelopment and creation of a tourist destination. The degradation and recovery of the Mersey from peak-pollution in the mid-20th century is put in the context of wider environmental change and briefly compared to other systems to develop a hysteresis model of degradation and recovery, often to novel ecosystems.</t>
  </si>
  <si>
    <t>[Hawkins, S. J.; Bohn, K.] Univ Southampton, Natl Oceanog Ctr, Ocean &amp; Earth Sci, Southampton SO17 3ZH, Hants, England; [Hawkins, S. J.; O'Shaughnessy, K. A.; Adams, L. A.; Langston, W. J.; Mieszkowska, N.] Marine Biol Assoc UK, The Lab, Citadel Hill, Plymouth PL1 2PB, Devon, England; [Hawkins, S. J.; Firth, L. B.] Univ Plymouth, Sch Biol &amp; Marine Sci, Plymouth PL4 8AA, Devon, England; [Hawkins, S. J.; Allen, J. R.; Wilkinson, S.] Univ Liverpool, Dept Environm &amp; Evolutionary Biol, Liverpool L69 7ZB, Merseyside, England; [O'Shaughnessy, K. A.] Univ Plymouth, Sch Geog Earth &amp; Environm Sci, Plymouth PL4 8AA, Devon, England; [Bray, S.] Univ Southampton, Sch Biol Sci, Life Sci Bldg 85, Southampton SO17 1BJ, Hants, England; [Bray, S.] AQASS Ltd, Unit 16, Sidings Ind Estate, Southampton SO31 5QA, Hants, England; [Wilkinson, S.] Joint Nat Conservat Comm, Peterborough PE1 1JY, England; [Mieszkowska, N.] Univ Liverpool, Sch Environm Sci, Liverpool L69 3BX, Merseyside, England; [Bohn, K.] Nat England, Nottingham NG2 4LA, England</t>
  </si>
  <si>
    <t>NERC National Oceanography Centre; University of Southampton; Marine Biological Association United Kingdom; University of Plymouth; University of Liverpool; University of Plymouth; University of Southampton; University of Liverpool</t>
  </si>
  <si>
    <t>O'Shaughnessy, KA (corresponding author), Marine Biol Assoc UK, The Lab, Citadel Hill, Plymouth PL1 2PB, Devon, England.</t>
  </si>
  <si>
    <t>kathryn.oshaughnessy@plymouth.ac.uk</t>
  </si>
  <si>
    <t>Mieszkowska, Nova/U-8479-2019</t>
  </si>
  <si>
    <t>O'Shaughnessy, Kathryn/0000-0002-8587-4473</t>
  </si>
  <si>
    <t>Mersey Dock and Harbour Company; Merseyside Development Corporation; UK Nature Conservancy Council; National Rivers Authority; Environment Agency; MBA; THESEUS (EU FP7) [244104]; URBANE projects (Urban research on biodiversity on artificial and natural coastal environments: enhancing biodiversity by sensitive design) - Esmee Fairbairn Foundation; Porcupine Marine Natural History Society Small Project Grant; Natural Resources Wales; English Nature; Natural England; DELOS EU-Project [EVK3-CT-2000-00041]; Marine Biological Association Fellowship; NERC</t>
  </si>
  <si>
    <t>Mersey Dock and Harbour Company; Merseyside Development Corporation; UK Nature Conservancy Council; National Rivers Authority; Environment Agency; MBA; THESEUS (EU FP7); URBANE projects (Urban research on biodiversity on artificial and natural coastal environments: enhancing biodiversity by sensitive design) - Esmee Fairbairn Foundation; Porcupine Marine Natural History Society Small Project Grant; Natural Resources Wales; English Nature; Natural England; DELOS EU-Project; Marine Biological Association Fellowship; NERC(UK Research &amp; Innovation (UKRI)Natural Environment Research Council (NERC))</t>
  </si>
  <si>
    <t>Work was supported in the 1970s and 1980s by Mersey Dock and Harbour Company, as well as the Merseyside Development Corporation, and the UK Nature Conservancy Council in the 1980s and 1990s. Work by W J Langston was supported by the National Rivers Authority and the Environment Agency. Write up was supported by a bursary from the MBA to KAO. LBF and SJH have been supported by the THESEUS (EU FP7, contract number 244104: Innovative technologies for safer European coasts in a changing climate) and URBANE projects (Urban research on biodiversity on artificial and natural coastal environments: enhancing biodiversity by sensitive design) funded by the Esmee Fairbairn Foundation. LBF was supported by a Porcupine Marine Natural History Society Small Project Grant. NM and SJH were supported by Natural Resources Wales (formerly Countryside Council for Wales) through the ongoing MarClim project (www.marclim.co.uk).SJH was supported by English Nature and now Natural England and the DELOS EU-Project (Contract no. EVK3-CT-2000-00041) for work in 2004. NM was supported by a Marine Biological Association Fellowship. SJH was supported by NERC grant-in-aid to the MBA. SJH and LBF were supported by a NERC facilities grant for diving support for work on the disused docks.</t>
  </si>
  <si>
    <t>10.1016/j.marpolbul.2020.111150</t>
  </si>
  <si>
    <t>WOS:000539160000062</t>
  </si>
  <si>
    <t>McDonagh, B; Sheehan, D</t>
  </si>
  <si>
    <t>McDonagh, Brian; Sheehan, David</t>
  </si>
  <si>
    <t>Effect of oxidative stress on protein thiols in the blue mussel Mytilus edulis:: Proteomic identification of target proteins</t>
  </si>
  <si>
    <t>actin; carbonylation; Mytilus edulis; PDI; protein thiol</t>
  </si>
  <si>
    <t>GLUTATHIONE-S-TRANSFERASE; DISULFIDE-ISOMERASE; REDOX PROTEOMICS; 2-DIMENSIONAL ELECTROPHORESIS; CONFORMATIONAL STABILITY; ENDOPLASMIC-RETICULUM; EXPRESSION PROFILES; CHAPERONE; DISEASE; CARBONYLATION</t>
  </si>
  <si>
    <t>Protein thiols are targets of oxidative stress. Their modification was analysed in gill extracts of the mussel Mytilus edulis, exposed to menadione. Diagonal gel electrophoresis revealed two clusters of carbonylated proteins involved in interchain disulphide linkages. Immunoblotting identified these as being associated with protein disulphide isomerase (PDI) and actin and this was confirmed by immunoprecipitation. Protein free thiols (-SH) were identified in 2-DE separations by labelling with 5-iodoacetamidofluorescein (IAF). Cysteines involved in disulphide bridges were identified by blocking free -SH with N-ethylmaleimide, reducing disulphides with DTT and IAF labelling. Several protein spots containing free thiols disappeared on exposure to menadione. Conversely, new protein spots containing disulphides appeared in response to menadione which may be protective against oxidative stress. In-gel tryptic digestion followed by LC/MS-MS and database searching identified some of the free thiol targets: PDI; hsp gp96; calreticulin; heavy metal binding protein. Tabulin, PDI, enolase and gelsolin contained new disulphide bridges in response to menadione. Our findings indicate a protein level response to oxidative stress principally involving PDI, chaperone-like and cytoskeletal proteins. Since many environmental pollutants cause oxidative stress, studies on PDI and structural proteins may be particularly relevant to understanding toxicity in this popular sentinel species.</t>
  </si>
  <si>
    <t>Natl Univ Ireland Univ Coll Cork, Dept Biochem, Environm Res Inst, Proteom Res Grp, Cork, Ireland</t>
  </si>
  <si>
    <t>University College Cork</t>
  </si>
  <si>
    <t>Sheehan, D (corresponding author), Natl Univ Ireland Univ Coll Cork, Dept Biochem, Lee Maltings,Prospect Row, Cork, Ireland.</t>
  </si>
  <si>
    <t>d.Sheehan@ucc.ie</t>
  </si>
  <si>
    <t>Sheehan, David/M-4100-2013; McDonagh, Brian/I-1903-2015</t>
  </si>
  <si>
    <t>McDonagh, Brian/0000-0003-2534-4427</t>
  </si>
  <si>
    <t>10.1002/pmic.200700241</t>
  </si>
  <si>
    <t>216UG</t>
  </si>
  <si>
    <t>WOS:000249903900016</t>
  </si>
  <si>
    <t>Cytological and physiological biomarker responses from green mussels, Perna viridis (L.) transplanted to contaminated sites in Hong Kong coastal waters</t>
  </si>
  <si>
    <t>pollution effects; metals; Perna viridis; lysosomal membranes; heart rate; condition index</t>
  </si>
  <si>
    <t>MYTILUS-EDULIS; TRACE-METALS; DIGESTIVE CELLS; LYSOSOMES; ACCUMULATION; POLLUTION; COPPER; ZINC; GALLOPROVINCIALIS; INDICATORS</t>
  </si>
  <si>
    <t>Biological monitoring of marine contaminants often involves the analysis of metals accumulated in mussel tissues. Critiques of this type of monitoring suggest that although relatively good indications of ambient metal concentrations are determined, actual biological harm is not elucidated. Biomarkers, techniques originally developed in medicine, have recently been employed in an attempt to ascertain the health of marine mussels, Biomarkers have been used with good effect in temperate marine pollution monitoring programmes. The use of biomarkers in the toxicological evaluation of tropical and subtropical waters is, however, generally lacking, which is somewhat surprising, as considerable industrialisation and environmental degradation is taking place in the Pacific-rim countries of Southeast Asia. In the present study, a suite of cytological and physiological biomarkers have been measured from mussels (Perna viridis: Mytilidae) transplanted within the coastal waters of Hong Kong, Mussels from contaminated sites, had labile lysosomal membranes, whereas animals from a cleaner reference site had more stable membranes. These cytological responses have been related to metal-induced stress and are simple, cost-effective markers of pollution, Cardiac activity from mussels transplanted to polluted sites was generally similar to that of individuals from the reference site, although a mild tachycardia was associated with one site. The cause of the tachycardia and the use of heart rate in mussels as a biomarker is discussed. Integrated physiological responses to stress, condition indices, revealed mussels from a clean reference site had higher indices than animals from contaminated sites. The relative sensitivities of the cytological and physiological biomarkers deployed in this study and their application to pollution monitoring is discussed. (C) 1999 Elsevier Science Ltd. All rights reserved.</t>
  </si>
  <si>
    <t>10.1016/S0025-326X(98)90189-8</t>
  </si>
  <si>
    <t>WOS:000083356500038</t>
  </si>
  <si>
    <t>Botté, A; Payton, L; Tran, D</t>
  </si>
  <si>
    <t>Botte, Audrey; Payton, Laura; Tran, Damien</t>
  </si>
  <si>
    <t>Artificial light at night at environmental intensities disrupts daily rhythm of the oyster Crassostrea gigas</t>
  </si>
  <si>
    <t>ALAN; Biological rhythm; Circadian clock; Crassostrea gigas; Behavior</t>
  </si>
  <si>
    <t>POLLUTION; IMPACT; TIME; CYCLES</t>
  </si>
  <si>
    <t>Artificial Light At Night (ALAN) masks the natural light cycles and thus can disturb the synchronization of or-ganisms' biological rhythms with their environment. Although coastlines are highly exposed to this growing threat, studies concerning the impacts of ALAN on coastal organisms remain scarce. In this study, we investigated the ALAN exposure effects at environmentally realistic intensities (0.1, 1, 10, 25 lx) on the oyster Crassostrea gigas, a sessile bivalve subject to light pollution on shores. We focused on the effects on oyster's daily rhythm at behavioral and molecular levels. Our results showed that ALAN disrupts the oyster's daily rhythm by increasing valve activity and annihilating day / night differences of expression of circadian clock and clock-associated genes. ALAN effects occur starting from 0.1 lx, in the range of artificial skyglow illuminances. We concluded that realistic ALAN exposure affects oysters' biological rhythm, which could lead to severe physiological and ecological consequences.</t>
  </si>
  <si>
    <t>[Botte, Audrey; Payton, Laura; Tran, Damien] Univ Bordeaux, CNRS, Bordeaux INP, EPOC,UMR 5805, F-33120 Arcachon, France</t>
  </si>
  <si>
    <t>Tran, D (corresponding author), Univ Bordeaux, CNRS, Bordeaux INP, EPOC,UMR 5805, F-33120 Arcachon, France.</t>
  </si>
  <si>
    <t>damien.tran@u-bordeaux.fr</t>
  </si>
  <si>
    <t>Payton, Laura/0000-0001-5090-0929; Tran, Damien/0000-0002-7432-7765</t>
  </si>
  <si>
    <t>French National Research Agency (ANR), LUCIOLE project [ANR-22-CE34-0010-01]; Bordeaux University PhD scholarship</t>
  </si>
  <si>
    <t>French National Research Agency (ANR), LUCIOLE project(Agence Nationale de la Recherche (ANR)); Bordeaux University PhD scholarship</t>
  </si>
  <si>
    <t>This work was supported by the financial support of the French National Research Agency (ANR), LUCIOLE project (ANR-22-CE34- 0010-01) and a Bordeaux University PhD scholarship for A. Botte</t>
  </si>
  <si>
    <t>10.1016/j.marpolbul.2023.114850</t>
  </si>
  <si>
    <t>E0GE1</t>
  </si>
  <si>
    <t>WOS:000972413900001</t>
  </si>
  <si>
    <t>Ugarte, A; Unceta, N; Pecheyran, C; Goicolea, MA; Barrio, RJ</t>
  </si>
  <si>
    <t>Ugarte, Ana; Unceta, Nora; Pecheyran, Christophe; Goicolea, M. Aranzazu; Barrio, Ramon J.</t>
  </si>
  <si>
    <t>Development of matrix-matching hydroxyapatite calibration standards for quantitative multi-element LA-ICP-MS analysis: application to the dorsal spine of fish</t>
  </si>
  <si>
    <t>PLASMA-MASS SPECTROMETRY; ELEMENTAL FINGERPRINTS; TRACE-ELEMENTS; SCALLOP SHELLS; MUSSEL SHELLS; BLUEFIN TUNA; ABLATION; STRONTIUM; SCALES; LEAD</t>
  </si>
  <si>
    <t>A series of hydroxyapatite pellets were produced to use as matrix-matched standards for LA-ICP-MS analysis of trace metals in the first dorsal spine of tuna fish species (albacore tuna, Thunnus alalunga, and Atlantic bluefin tuna, Thunnus thynnus). These structures are interesting because they present growth rings and therefore could potentially be used as indicators of environmental pollution. The produced standards containing twelve analytes (Mg, Al, V, Mn, Zn, As, Sr, Rb, Cd, Ba, Hg and Pb) were prepared by co-precipitation of hydroxyapatite from calcium nitrate tetrahydrate and ammonium dihydrogen phosphate. Once synthesized, the concentration of the analytes in the standards was carefully determined in the laboratory and recoveries for the analytes were calculated. The hydroxyapatite enriched standards were found to be homogeneous and provided a linear calibration (correlation coefficients were better than 0.991 for most of the analytes). The methodology was applied to the determination of trace element concentration profiles in cross- sections of tuna fish dorsal spines. Limits of detection were estimated between 1.4 ng g(-1) for cadmium and 751 ng g(-1) for aluminium. The measured values for Mg, Zn, Sr and Pb in pelletized SRM 1486 Bone Meal were in good agreement with certified reference values.</t>
  </si>
  <si>
    <t>[Ugarte, Ana; Unceta, Nora; Goicolea, M. Aranzazu; Barrio, Ramon J.] Univ Basque Country, Dept Analyt Chem, Fac Pharm, UPV EHU, Vitoria 01006, Spain; [Pecheyran, Christophe] Univ Pau &amp; Pays Adour, CNRS, Lab Chim Analyt &amp; Bioinorgan, UMR IPREM 5254, F-64053 Pau 9, France</t>
  </si>
  <si>
    <t>University of Basque Country; Centre National de la Recherche Scientifique (CNRS); Universite de Pau et des Pays de l'Adour</t>
  </si>
  <si>
    <t>Barrio, RJ (corresponding author), Univ Basque Country, Dept Analyt Chem, Fac Pharm, UPV EHU, Paseo Univ 7, Vitoria 01006, Spain.</t>
  </si>
  <si>
    <t>r.barrio@ehu.es</t>
  </si>
  <si>
    <t>; Barrio, Ramon J./E-9214-2011; GOICOLEA, MARIA ARANZAZU/E-6367-2016</t>
  </si>
  <si>
    <t>UNCETA ZABALLA, NORA/0000-0002-6590-8816; PECHEYRAN, Christophe/0000-0001-6503-4859; Barrio, Ramon J./0000-0002-1685-6685; GOICOLEA, MARIA ARANZAZU/0000-0001-8276-2903</t>
  </si>
  <si>
    <t>Spanish Ministry of Education [TME2009-00777]; Research Office of UPV/EHU</t>
  </si>
  <si>
    <t>Spanish Ministry of Education(Spanish Government); Research Office of UPV/EHU</t>
  </si>
  <si>
    <t>A.U. acknowledges the Spanish Ministry of Education for partial financial support under mobility grant TME2009-00777 and the Research Office of UPV/EHU for her Pre-doctoral grant. The authors are also grateful to A. Castetbon and R. Dedryvere (Universite de Pau, France) for advice on the precipitation of hydroxyapatite standards and help with XRD analysis, respectively. Technical and human support provided by Alava Central Service of Analysis, SGIker (UPV/EHU, MICINN, GV/EJ, ESF) is gratefully acknowledged.</t>
  </si>
  <si>
    <t>10.1039/c1ja10037h</t>
  </si>
  <si>
    <t>781PS</t>
  </si>
  <si>
    <t>WOS:000291946600013</t>
  </si>
  <si>
    <t>Fang, JKH; Wu, RSS; Yip, CKM; Shin, PKS</t>
  </si>
  <si>
    <t>Fang, J. K. H.; Wu, R. S. S.; Yip, C. K. M.; Shin, P. K. S.</t>
  </si>
  <si>
    <t>Power analysis for biomarkers in mussels for use in coastal pollution monitoring</t>
  </si>
  <si>
    <t>Power analysis; Optimum sample size; Minimum detectable difference; Natural variability; Environmental monitoring</t>
  </si>
  <si>
    <t>NEUTRAL RED RETENTION; LAGOON-OF-VENICE; MYTILUS-GALLOPROVINCIALIS; PERNA-VIRIDIS; MICRONUCLEUS TEST; ADRIATIC SEA; BLUE MUSSELS; HONG-KONG; ACETYLCHOLINESTERASE ACTIVITY; SEASONAL VARIABILITY</t>
  </si>
  <si>
    <t>Data from literature on neutral red retention time (NRRT) in lysosomes, micronucleus (MN) frequency and condition index (CI) in mussel Mytilus, especially Mytilus edulis and Mytilus galloprovincialis, were re-analyzed to ascertain their statistical power in detecting a minimum 20% spatial/temporal change in field studies. Results showed that CI largely displayed higher statistical power (&gt;90%) than lysosomal NRRT and MN frequency (&lt;50%), suggesting that data from the latter two biomarkers may lead to erroneous conclusions if sample size is inadequate. Samples of green-lipped mussel Perna viridis were also analyzed in Hong Kong. To achieve statistically valid power, the optimal sample sizes for monitoring lysosomal NRRT, MN frequency, CI and gonosomatic index (GSI) were determined as &gt;= 34, &gt;= 90, &gt;= 16 and &gt;= 29, respectively. Natural variability of lysosomal NRRT and MN frequency was significantly greater than CI and/or GSI in mussels, rejecting the general belief in the greater variability of higher-tiered hierarchical biomarkers. (C) 2009 Elsevier Ltd. All rights reserved.</t>
  </si>
  <si>
    <t>[Fang, J. K. H.; Wu, R. S. S.; Yip, C. K. M.; Shin, P. K. S.] City Univ Hong Kong, Dept Biol &amp; Chem, Ctr Coastal Pollut &amp; Conservat, Kowloon, Hong Kong, Peoples R China</t>
  </si>
  <si>
    <t>Shin, PKS (corresponding author), City Univ Hong Kong, Dept Biol &amp; Chem, Ctr Coastal Pollut &amp; Conservat, 83 Tat Chee Ave, Kowloon, Hong Kong, Peoples R China.</t>
  </si>
  <si>
    <t>YIP, Chong/AAU-7049-2020; Wu, Rudolf/B-4203-2010; Fang, James Kar-Hei/H-2088-2017</t>
  </si>
  <si>
    <t>We were grateful to Dr. Kenneth Leung and his student from The University of Hong Kong for their assistance in the micronucleus frequency assay. This study was fully supported by the Area of Excellence Scheme under the University Grants Committee of the Hong Kong Special Administration Region, China (Project No. AoE/P-04/2004).</t>
  </si>
  <si>
    <t>10.1016/j.marpolbul.2009.04.003</t>
  </si>
  <si>
    <t>WOS:000269142000018</t>
  </si>
  <si>
    <t>Gibb, JOT; Allen, JR; Hawkins, SJ</t>
  </si>
  <si>
    <t>The application of biomonitors for the assessment of mine-derived pollution on the west coast of the Isle of Man</t>
  </si>
  <si>
    <t>MYTILUS-EDULIS L; METAL POLLUTION; COMMON MUSSEL; HEAVY-METALS; TRACE-METALS; INDICATOR; ESTUARIES; LEAD; COPPER; ZINC</t>
  </si>
  <si>
    <t>UNIV LIVERPOOL, PORT ERIN MARINE LAB, PORT ERIN IM9 6JA, ENGLAND</t>
  </si>
  <si>
    <t>University of Liverpool</t>
  </si>
  <si>
    <t>10.1016/0025-326X(96)00007-0</t>
  </si>
  <si>
    <t>UW416</t>
  </si>
  <si>
    <t>WOS:A1996UW41600018</t>
  </si>
  <si>
    <t>Milinkovitch, T; Geraudie, P; Camus, L; Huet, V; Thomas-Guyon, H</t>
  </si>
  <si>
    <t>Milinkovitch, Thomas; Geraudie, Perrine; Camus, Lionel; Huet, Valerie; Thomas-Guyon, Helene</t>
  </si>
  <si>
    <t>Biomarker modulation associated with marine diesel contamination in the Iceland scallop (Chlamys islandica)</t>
  </si>
  <si>
    <t>Marine diesel; Iceland scallops; Glutathione-S-transferase; Oxidative stress; Haemolymph metabolites; Digestive gland</t>
  </si>
  <si>
    <t>OXIDATIVE STRESS; OIL EXPOSURE; CRUDE-OIL; RESPONSES; ANTIOXIDANT; BIOACCUMULATION; PARAMETERS; TOXICITY; SURVIVAL; FRACTION</t>
  </si>
  <si>
    <t>The decrease of ice cover in the Arctic will lead to an increase of ship traffic in the upcoming decades. Consequently, oil pollution is expected. In this context, the goals of this study were to evaluate the biological impact of marine diesel contamination and, on this basis, to determine analytical tools of interest (biomarkers) for future biomonitoring of diesel spills. Using a 7-day contamination protocol, this study investigated biochemical modulations in the digestive gland of the Iceland scallop (Chlamys islandica). Incorporation of contaminants was verified assessing haemolymph metabolites. Results showed a response of glutathione-S-transferase to contamination suggesting detoxification processes and the suitability of such a tool for diesel spill biomonitoring. The lack of modulation of superoxide dismutase activity and lipid peroxidation suggests no oxidative stress and the unsuitability of these molecular tools for biomonitoring.</t>
  </si>
  <si>
    <t>[Milinkovitch, Thomas; Huet, Valerie; Thomas-Guyon, Helene] Univ La Rochelle, CNRS, Littoral Environm &amp; Soc LIENSs, UMR 7266, F-17042 La Rochelle 01, France; [Milinkovitch, Thomas] CNR, Ist Ambiente Marino Costiero, I-09170 Torregrande, Oristano, Italy; [Geraudie, Perrine; Camus, Lionel] High North Res Ctr Climate &amp; Environm, FRAM, Akvaplan Niva, N-9296 Tromso, Norway; [Camus, Lionel] UiT Arctic Univ Norway, Dept Engn &amp; Safety, N-9037 Tromso, Norway</t>
  </si>
  <si>
    <t>La Rochelle Universite; Centre National de la Recherche Scientifique (CNRS); Consiglio Nazionale delle Ricerche (CNR); L'Istituto per l'Ambiente Marino Costiero (IAMC-CNR); Akvaplan-niva; UiT The Arctic University of Tromso</t>
  </si>
  <si>
    <t>Milinkovitch, T (corresponding author), Univ La Rochelle, CNRS, Littoral Environm &amp; Soc LIENSs, UMR 7266, 2 Rue Olympe Gouges, F-17042 La Rochelle 01, France.</t>
  </si>
  <si>
    <t>t.milinkovitch@hotmail.fr; perrine.geraudie@akvaplan.niva.no; lionel.camus@akvaplan.niva.no; valerie.huet@univ-lr.fr; helene.thomas@univ-lr.fr</t>
  </si>
  <si>
    <t>THOMAS, Helene/0000-0002-7932-6841</t>
  </si>
  <si>
    <t>Ambassade Royale de Norvege; Ministere des Affaires Etrangeres (France); Svalbard Miljovernfund; FearIce project of the Fram centre; Akvaplan-Niva; Universite de La Rochelle; Centre National de la Recherche Scientifique; FEDER; Conseil Regional Poitou-Charentes (France); Government of Svalbard</t>
  </si>
  <si>
    <t>Ambassade Royale de Norvege; Ministere des Affaires Etrangeres (France); Svalbard Miljovernfund; FearIce project of the Fram centre; Akvaplan-Niva(Akvaplan-niva); Universite de La Rochelle; Centre National de la Recherche Scientifique(Centre National de la Recherche Scientifique (CNRS)); FEDER(European Union (EU)Spanish Government); Conseil Regional Poitou-Charentes (France)(Region Nouvelle-Aquitaine); Government of Svalbard</t>
  </si>
  <si>
    <t>Postdoctoral fellow, mobility grants and experimentation costs for this work were supported by grants from Ambassade Royale de Norvege and Ministere des Affaires Etrangeres (France). Parts of the experimentation costs were supported by Svalbard Miljovernfund, the FearIce project of the Fram centre, Akvaplan-Niva, Universite de La Rochelle, Centre National de la Recherche Scientifique, FEDER, Conseil Regional Poitou-Charentes (France) and the Government of Svalbard. The authors thank Eric Rosenfeld for his helpful advices.</t>
  </si>
  <si>
    <t>10.1007/s11356-015-5615-z</t>
  </si>
  <si>
    <t>CX6MU</t>
  </si>
  <si>
    <t>WOS:000365816000092</t>
  </si>
  <si>
    <t>Shariati, F; Shariati, S</t>
  </si>
  <si>
    <t>Shariati, Fatemeh; Shariati, Shahab</t>
  </si>
  <si>
    <t>Review on Methods for Determination of Metallothioneins in Aquatic Organisms</t>
  </si>
  <si>
    <t>Toxic metal; Pollution; Aquatic organisms; Biomarker; Metallothionein</t>
  </si>
  <si>
    <t>PLASMA-MASS SPECTROMETRY; TISSUE-SPECIFIC CADMIUM; MUSSEL MYTILUS-EDULIS; CARP CYPRINUS-CARPIO; FRESH-WATER FISH; HEAVY-METALS; GENE-EXPRESSION; CAPILLARY-ELECTROPHORESIS; ANGUILLA-ANGUILLA; OXIDATIVE STRESS</t>
  </si>
  <si>
    <t>One aspect of environmental degradation in coastal areas is pollution from toxic metals, which are persistent and are bioaccumulated by marine organisms, with serious public health implications. A conventional monitoring system of environmental metal pollution includes measuring the level of selected metals in the whole organism or in respective organs. However, measuring only the metal content in particular organs does not give information about its effect at the subcellular level. Therefore, the evaluation of biochemical biomarker metallothionein may be useful in assessing metal exposure and the prediction of potential detrimental effects induced by metal contamination. There are some methods for the determination of metallothioneins including spectrophotometric method, electrochemical methods, chromatography, saturation-based methods, immunological methods, electrophoresis, and RT-PCR. In this paper, different methods are discussed briefly and the comparison between them will be presented.</t>
  </si>
  <si>
    <t>[Shariati, Fatemeh] Islamic Azad Univ, Dept Environm, Fac Nat Resources, Lahijan Branch, Lahijan, Iran; [Shariati, Shahab] Islamic Azad Univ, Dept Chem, Fac Sci, Rasht Branch, Rasht, Iran</t>
  </si>
  <si>
    <t>Islamic Azad University; Islamic Azad University</t>
  </si>
  <si>
    <t>Shariati, F (corresponding author), Islamic Azad Univ, Dept Environm, Fac Nat Resources, Lahijan Branch, Lahijan, Iran.</t>
  </si>
  <si>
    <t>shariati@liau.ac.ir</t>
  </si>
  <si>
    <t>Shariati, Fatemeh/ABG-8635-2021; Shariati, Shahab/N-7343-2013</t>
  </si>
  <si>
    <t>Shariati, Shahab/0000-0001-7647-0285</t>
  </si>
  <si>
    <t>10.1007/s12011-010-8740-z</t>
  </si>
  <si>
    <t>765SB</t>
  </si>
  <si>
    <t>WOS:000290727800035</t>
  </si>
  <si>
    <t>Genetic indicators of herbicide stress in the Pacific oyster Crassostrea gigas under experimental conditions</t>
  </si>
  <si>
    <t>oyster; environment; herbicide contamination; allozymes; genetic markers</t>
  </si>
  <si>
    <t>ALLOZYME GENOTYPES; GAMBUSIA-HOLBROOKI; MOSQUITOFISH; POLLUTION; POLYMORPHISM; POPULATIONS; INSECTICIDE; SELECTION; EXPOSURE; CADMIUM</t>
  </si>
  <si>
    <t>This study examined use of the oyster Crassostrea gigas as a bioindicator of experimental pollution caused by two concentrations of live pesticides (atrazine, isoproturon, alachlore, metolachlore, and diuron) used in agricultural and urban activities. The effect of these pesticides on the genetic structure of the marine bivalve was studied as part of an environmental biomonitoring project. This research was performed on two natural estuarine populations sampled along the French Atlantic coast as part of an ongoing monitoring program to survey the ecosystem of Brittany using two approaches: identifying the genetic markers based on the alleles and genotypes associated with pollution effects, and searching for a correlation between these markers and the sensitivity or tolerance of individuals under stress conditions. Results indicate a differential survival of individuals subjected to the various pollutants examined. The sensitivity of alleles and genotypes to environmental stress can be assessed based on the significant differences in allele and genotype frequencies observed between resistant and sensitive individuals: when subjected to the pesticides. This genetic study included examination of five enzyme systems (Ak, Pgi, Cap, Pgm, and Mdh) involved in physiologic processes. A total of six alleles and five genotypes at three loci (Ak, Pgi, and Pgm) were identified as being markers of resistance or sensitivity. It is hypothesized that these markers could be used as potential generic markers in estuarine ecosystem monitoring.</t>
  </si>
  <si>
    <t>Univ Bretagne Occidentale, Inst Univ Europeen Mer, CNRS, UMR 6539, F-29280 Plouzane, France</t>
  </si>
  <si>
    <t>Universite de Bretagne Occidentale; Institut Universitaire Europeen de la Mer (IUEM); Centre National de la Recherche Scientifique (CNRS); Ifremer; Institut de Recherche pour le Developpement (IRD); CNRS - Institute of Ecology &amp; Environment (INEE)</t>
  </si>
  <si>
    <t>Univ Bretagne Occidentale, Inst Univ Europeen Mer, CNRS, UMR 6539, Pl Copern,TEchnopole Brest Iroise, F-29280 Plouzane, France.</t>
  </si>
  <si>
    <t>10.1002/etc.5620190324</t>
  </si>
  <si>
    <t>286VB</t>
  </si>
  <si>
    <t>WOS:000085468600024</t>
  </si>
  <si>
    <t>Torres-Quiroz, C; Dissanayake, J; Park, J</t>
  </si>
  <si>
    <t>Torres-Quiroz, Cecilia; Dissanayake, Janith; Park, Junboum</t>
  </si>
  <si>
    <t>Modified oyster shell powder with iron (II) sulfate heptahydrate to improve arsenic uptake in solution and in contaminated soils</t>
  </si>
  <si>
    <t>Soil remediation; Potentially toxic metals; Soil stabilization; Low-cost binders; Waste materials; Arsenic sorption</t>
  </si>
  <si>
    <t>HEAVY-METALS; REMEDIATION; WATER; SOLIDIFICATION/STABILIZATION; IMMOBILIZATION; ADSORBENTS; EXTRACTION; SORPTION; REMOVAL; LEAD</t>
  </si>
  <si>
    <t>Arsenic is a metalloid whose presence can be due to natural or anthropological causes. It is considered as a toxic chemical that puts human health at high risk. In this study, we evaluated a novel modified oyster shell (MOS) that was coated with iron (II) sulfate heptahydrate using two different proportions through batch sorption experiments in an arsenic solution and in arsenic-contaminated soils. The arsenic solution was prepared using As(III)-standard solution. The arsenic contaminated soils were extracted from a contaminated site in Cheonan, South Korea, where the average arsenic concentration of the soil was reported as 136.28 mg/kg. Different doses of oyster shell and modified oyster were used to understand the effect of the addition of iron (II) sulfate heptahydrate via sorption batch experiments in solution and sorption tests in soils. The sorption tests were conducted with 50 g of contaminated soil; then, 150 g of soils was used for the pot cultivation tests, and finally, 150 g of contaminated soils was used for column percolation test. Through the experiments, the authors observed a comparable improvement of arsenic stabilization from 10 to 60% with the addition of iron (II) sulfate heptahydrate to oyster shell.</t>
  </si>
  <si>
    <t>[Torres-Quiroz, Cecilia; Dissanayake, Janith; Park, Junboum] Seoul Natl Univ, Dept Civil &amp; Environm Engn, 1 Gwanak Ro, Seoul 08826, South Korea; [Torres-Quiroz, Cecilia] DongMyeong Consulting Engn &amp; Architecture, 15Fl Gyeongdong Union Bldg,127 Wangsan Ro, Seoul, South Korea; [Dissanayake, Janith] Newnop Co Ltd, 22Ho Bizplant,18th Floor,Bldg A,58-1 Giheung Ro, Yongin, Gyeonggi Do, South Korea; [Park, Junboum] Seoul Natl Univ, Inst Construct &amp; Environm Engn, 1 Gwanak Ro, Seoul, South Korea</t>
  </si>
  <si>
    <t>Seoul National University (SNU); Seoul National University (SNU)</t>
  </si>
  <si>
    <t>Park, J (corresponding author), Seoul Natl Univ, Dept Civil &amp; Environm Engn, 1 Gwanak Ro, Seoul 08826, South Korea.;Park, J (corresponding author), Seoul Natl Univ, Inst Construct &amp; Environm Engn, 1 Gwanak Ro, Seoul, South Korea.</t>
  </si>
  <si>
    <t>ctorresq89@dmec.co.kr; cto@newnop.com; junbpark@snu.ac.kr</t>
  </si>
  <si>
    <t>Dissanayake, Janith/0000-0002-8568-6704</t>
  </si>
  <si>
    <t>Korea Ministry of Environment [2019002470002]</t>
  </si>
  <si>
    <t>Korea Ministry of Environment(Ministry of Environment (ME), Republic of Korea)</t>
  </si>
  <si>
    <t>This research was supported by the Korea Ministry of Environment through the grant 2019002470002 The SEM (Subsurface Environment Management) projects. The authors would also like to thank the Institute of Engineering Research and the Institute of Construction and Environmental Engineering at Seoul National University.</t>
  </si>
  <si>
    <t>10.1007/s11356-022-24831-7</t>
  </si>
  <si>
    <t>F2UA7</t>
  </si>
  <si>
    <t>WOS:000903501300001</t>
  </si>
  <si>
    <t>WILSON, DM; NAIMO, TJ; WIENER, JG; ANDERSON, RV; SANDHEINRICH, MB; SPARKS, RE</t>
  </si>
  <si>
    <t>DECLINING POPULATIONS OF THE FINGERNAIL CLAM MUSCULIUM-TRANSVERSUM IN THE UPPER MISSISSIPPI RIVER</t>
  </si>
  <si>
    <t>MUSCULIUM TRANSVERSUM; FINGERNAIL CLAM; MISSISSIPPI RIVER; TREND ANALYSIS; POPULATION DENSITY; POLLUTION</t>
  </si>
  <si>
    <t>NAVIGATION POOLS; AMMONIA; SPHAERIIDAE; COMMUNITY; TOXICITY; METALS; LAKES</t>
  </si>
  <si>
    <t>We examined recent temporal trends in the abundance of fingernail clams Musculium transversum (formerly Sphaerium transversum) in the upper Mississippi River. Historical data on densities of fingernail clams were obtained from regional scientists and published literature. We also sampled benthos in six navigation pools in summer 1991, finding very few fingernail clams. The combined data set, including historical data and sampling results, extended from 1973 to 1992 and was sufficient to statistically evaluate trends in densities of fingernail clams in eight pools. Populations of fingernail clams declined significantly in five of the eight pools examined (Pools 2, 5, 7, 9, and 19), which spanned a 700-km reach on fingernail clam abundance, averaged 30000 m(-2) in 1985 and progressively declined to zero in 1990. Combined data from all eight pools showed a significant decline in abundance of fingernail clams. An evaluation of potential causal factors led us to hypothesize that the population declines in Pools 2 to 9 were linked to point-source pollution rather than to dredging activity or commercial navigation traffic. In Pool 19, the declines of fingernail clams may have resulted from low-flow conditions during drought periods, but the causal mechanisms by which low flow influences fingernail clam abundance are unclear. The decrease in fingernail clam populations may adversely affect certain fish and wildlife, such as migrating lesser scaup Aythya affinis, which feed heavily on the small mollusk. Moreover, the decreases in populations of this pollution-sensitive mollusk may signal a large-scale deterioration in the health of this riverine ecosystem.</t>
  </si>
  <si>
    <t>NATL FISHERIES RES CTR,NATL BIOL SURVEY,LA CROSSE,WI 54602; WESTERN ILLINOIS UNIV,DEPT BIOL SCI,MACOMB,IL 61455; UNIV WISCONSIN,CTR RIVER STUDIES,DEPT BIOL &amp; MICROBIOL,LA CROSSE,WI 54601; ILLINOIS NAT HIST SURVEY,STEPHEN A FORBES BIOL STN,RIVER RES LAB,HAVANA,IL 62644</t>
  </si>
  <si>
    <t>Western Illinois University; University of Wisconsin System; Illinois Natural History Survey</t>
  </si>
  <si>
    <t>Sparks, Richard/B-6121-2015</t>
  </si>
  <si>
    <t>Newton, Teresa/0000-0001-9351-5852</t>
  </si>
  <si>
    <t>10.1007/BF02329315</t>
  </si>
  <si>
    <t>RH462</t>
  </si>
  <si>
    <t>WOS:A1995RH46200005</t>
  </si>
  <si>
    <t>Schmidt, V; Zander, S; Körting, W; Broeg, K; von Westernhagen, H; Dizer, H; Hansen, PD; Skouras, A; Steinhagen, D</t>
  </si>
  <si>
    <t>Parasites of flounder (Platichthys flesus L.) from the German Bight, North Sea, and their potential use in biological effects monitoring -: C.: Pollution effects on the parasite community and a comparison to biomarker responses</t>
  </si>
  <si>
    <t>pollution monitoring; Platichthys flesus; parasite community; biomarker; bioindicator</t>
  </si>
  <si>
    <t>COASTAL MARINE SITES; TRACE-ELEMENT LEVELS; BALTIC SEA; FISH; FJORD; RED</t>
  </si>
  <si>
    <t>In the frame of an integrated biological effect monitoring programme, the parasite community of flounder (Platichthys flesus) was investigated at different locations in the German Bight from 1995 to 2000. In order to assess the impact of environmental contamination caused by anthropogenic activities on the parasite community, selected parasitological parameters that displayed significant differences between the sampling sites were subjected to correlation analyses with site-specific contamination and individual pollution loads of their fish hosts. In addition, correlation analyses were conducted with the responses of selected genetic, biochemical, histopathological, physiological and immunological parameters of fish, used as potential biomarkers. In total, 802 flounder were analysed for these parameters. Information on the chemical background at the sampling sites was derived from sediment samples and from 120 samples of blue mussel (Mytilus edulis) tissue, collected at each of the sampling sites. Based on chemical data available from the sediment and blue mussel samples, a pollution gradient could be established between the sampling sites for individual contaminants. The relative abundance of Acanthochondria cornuta, Cucullanus heterochrous and Zoogonoides viviparus, and the community measures species richness and number of heteroxenous species decreased with increasing concentrations of individual heavy metals or hydrocarbons in sediment and blue mussel samples. Most of the parasitological parameters significantly reflected the established site-specific contamination gradient, when data were pooled over all sampling campaigns. Significant correlations were also found with the contamination level of individual flounder. The parasitological parameters included the parasite species Lepeophtheirus pectoralis and Lernaeocera branchialis, which were not correlated to sitespecific contamination. Several biomarkers were significantly correlated to the abundance of parasitic copepods A. cornuta, Lemaeocera branchialis and Lepeophtheirus pectoralis and to parasite community parameters. The results showed that the abundance of several metazoan parasite species, species richness and parasite diversify, were reduced in contaminated habitats, and that differences between sites were not only related to natural factors, such as salinity, but also to pollution-induced stress. Thus, it can be concluded that the parasite community of fish responds to the level of pollution at a specific site as well as to residues of xenobiotics in individual fish. These findings give indications that the parasite community of fish is a valuable parameter for the assessment of ecological consequences of chemical contamination in aquatic habitats.</t>
  </si>
  <si>
    <t>Fish Dis Res Unit, Sch Vet Med, D-30559 Hannover, Germany; Alfred Wegener Inst Polar &amp; Marine Res, D-27570 Bremerhaven, Germany; Tech Univ Berlin, Dept Ecotoxicol, Inst Ecol Res &amp; Technol, Berlin, Germany</t>
  </si>
  <si>
    <t>University of Veterinary Medicine Hannover; Helmholtz Association; Alfred Wegener Institute, Helmholtz Centre for Polar &amp; Marine Research; Technical University of Berlin</t>
  </si>
  <si>
    <t>Fish Dis Res Unit, Sch Vet Med, Bunteweg 17, D-30559 Hannover, Germany.</t>
  </si>
  <si>
    <t>dieter.steinhagen@tiho-hannover.de</t>
  </si>
  <si>
    <t>Skouras, Athanasios/AAW-6858-2020</t>
  </si>
  <si>
    <t>Steinhagen, Dieter/0000-0002-2303-8533</t>
  </si>
  <si>
    <t>10.1007/s10152-003-0159-x</t>
  </si>
  <si>
    <t>WOS:000186604600015</t>
  </si>
  <si>
    <t>Ponnurangam, A; Bau, M; Brenner, M; Koschinsky, A</t>
  </si>
  <si>
    <t>Ponnurangam, A.; Bau, M.; Brenner, M.; Koschinsky, A.</t>
  </si>
  <si>
    <t>Mussel shells of Mytilus edulis as bioarchives of the distribution of rare earth elements and yttrium in seawater and the potential impact of pH and temperature on their partitioning behavior</t>
  </si>
  <si>
    <t>BIOGEOSCIENCES</t>
  </si>
  <si>
    <t>ANTHROPOGENIC GADOLINIUM; TRACE-ELEMENTS; METAL POLLUTION; IRON-FORMATIONS; CALCITE; WATER; COMPLEXATION; CARBONATE; GEOCHEMISTRY; SPECIATION</t>
  </si>
  <si>
    <t>Mussel shells are potential bioarchives of proxies for changes in the physicochemical conditions in the bivalve's habitat. One such proxy is the distribution of rare earths and yttrium (REY) in seawater, as REY speciation in seawater is sensitive to pH and temperature variations, due to the impact of these parameters on the activity of CO32- in seawater. We present a new protocol for sample preparation and determination of ultratrace concentrations of REY in bulk bivalve shells (comprised of calcite and aragonite) that includes sample treatment with NaOCl followed by REY separation and preconcentration. The data obtained were used to calculate REY partition coefficients between bulk bimineralic shells of Mytilus edulis (calcite aragonite mix) and ambient seawater, and the results acquired were then used to investigate the potential effects of pH and temperature on REY partitioning. Shells of Mytilus edulis mussels from the North Sea show consistent shale-normalized (SN) REY patterns that increase from the light REY to the middle REY and decrease from the middle REY to the heavy REY. Despite being different from the general seawater REYSN pattern, the shells still display distinct REY features of seawater, such as a negative Ce-SN anomaly and small positive Y-SN and Gd-SN anomalies. Apparent REY partition coefficients between shells and seawater (D-app(Tot.REY)shell/seawater) are low and decrease strongly from the light REY (4.04 for La) to the heavy REY (0.34 for Lu). However, assuming that only the free REY3+ are incorporated into the shell, D-mod(FreeREY3+)shell/seawater values are higher and comparatively similar for all REY (102.46 for La; 113.44 for Lu) but show a slight maximum at Tb (199.18). Although the impact of vital effects, such as REY speciation in a mussel's extrapallial fluid from which the carbonate minerals precipitate, cannot be quantified yet, it appears that M. edulis shells are bioarchives of some REY features of seawater. We modeled the REYSN patterns of a hypothetical mussel shell at pH 8.2 and 7.6 and at temperatures of 25 and 5 degrees C, assuming that only free REY3+ are incorporated into the carbonate's crystal lattice and that vital effects do not obliterate the REY signal of the shells. The results suggest that with lower pH, REY concentrations in shells increase, but with little effect on the shape of the REYSN patterns, while a temperature change has an impact on the REYSN pattern but only minor effects on REY concentrations. Hence, after additional calibration studies, the REY systematics in mussel shells may become a valuable proxy for paleo-pH and ocean acidification.</t>
  </si>
  <si>
    <t>[Ponnurangam, A.; Bau, M.; Koschinsky, A.] Jacobs Univ Bremen, Dept Phys &amp; Earth Sci, Campus Ring 1, D-28759 Bremen, Germany; [Brenner, M.] Alfred Wegener Inst Polar &amp; Marine Res, Handelshafen 12, D-27570 Bremerhaven, Germany; [Brenner, M.] Univ Rostock, Dept Aquaculture &amp; Sea Ranching, Justus von Liebig Weg 6, D-18059 Rostock, Germany</t>
  </si>
  <si>
    <t>Jacobs University; Helmholtz Association; Alfred Wegener Institute, Helmholtz Centre for Polar &amp; Marine Research; Justus Liebig University Giessen; University of Rostock</t>
  </si>
  <si>
    <t>Ponnurangam, A (corresponding author), Jacobs Univ Bremen, Dept Phys &amp; Earth Sci, Campus Ring 1, D-28759 Bremen, Germany.</t>
  </si>
  <si>
    <t>a.ponnurangam@jacobs-university.de</t>
  </si>
  <si>
    <t>Bau, Michael/D-4457-2016; Koschinsky, Andrea/R-2927-2016</t>
  </si>
  <si>
    <t>Bau, Michael/0000-0002-7746-3762; Koschinsky, Andrea/0000-0002-9224-0663</t>
  </si>
  <si>
    <t>Helmholtz Graduate School for Polar and Marine Research (POLMAR)</t>
  </si>
  <si>
    <t>This research was financially supported by a Ph.D. scholarship from the Helmholtz Graduate School for Polar and Marine Research (POLMAR) to A. Ponnurangam. The authors would also like to thank Daniela Meissner and Jule Mawick from the Geochemistry Laboratory of Jacobs University Bremen for their kind assistance with lab work. We also would like to thank Katja Schmidt, who provided valuable help with the analysis of the results, and Nathalie Tepe and Dennis Kramer, who provided help with the speciation modeling. This paper benefited from comments and thorough reviews by A. D. Wanamaker, one anonymous reviewer, and associate editor D. Gillikin.</t>
  </si>
  <si>
    <t>1726-4170</t>
  </si>
  <si>
    <t>1726-4189</t>
  </si>
  <si>
    <t>Biogeosciences</t>
  </si>
  <si>
    <t>10.5194/bg-13-751-2016</t>
  </si>
  <si>
    <t>Ecology; Geosciences, Multidisciplinary</t>
  </si>
  <si>
    <t>Environmental Sciences &amp; Ecology; Geology</t>
  </si>
  <si>
    <t>DE9QV</t>
  </si>
  <si>
    <t>WOS:000370973900009</t>
  </si>
  <si>
    <t>Adeleke, B; Robertson-Andersson, D; Moodley, G</t>
  </si>
  <si>
    <t>Adeleke, Babatunde; Robertson-Andersson, Deborah; Moodley, Gan</t>
  </si>
  <si>
    <t>Comparative analysis of trace metal levels in the crab Dotilla fenestrata, sediments and water in Durban Bay harbour, Richards Bay harbour and Mlalazi estuary, Kwazulu-Natal, South Africa</t>
  </si>
  <si>
    <t>Marine biology; Fauna; Environmental analysis; Environmental pollution; Water chemistry; Environmental toxicology; Trace metals; Dotilla fenestrata; Water; Sediments; Estuary</t>
  </si>
  <si>
    <t>SEQUENTIAL EXTRACTION PROCEDURE; EASTERN OYSTERS; HEAVY-METALS; CADMIUM; BIOACCUMULATION; ACIDIFICATION; TOXICITY; GULF; CONTAMINATION; OCYPODIDAE</t>
  </si>
  <si>
    <t>Durban Bay and Richards Bay Harbours are the largest and most economically active shipping harbours in South Africa supporting a diversity of ecosystems and biota of ecological importance. This study assessed and compared levels of metals in selected tissues of the sand bubbler crab (Dotilla fenestrata), water and sediments from anthropogenically impacted Durban and Richards Bay Harbours with those of Mlalazi estuary, a considered pristine site due to its sheltered catchments. Metal concentrations (Cd, Cu, Pb and Zn) were investigated using Inductively Coupled Plasma Optical Emission Spectrometry (ICP-OES). Metals concentrations in crab tissues were as follows; exoskeleton &gt; gill &gt; digestive gland, metal concentrations in tissues followed the order Cu &gt; Zn &gt; Pb &gt; Cd. Metal levels in crabs from Durban Harbour (Cd 0.42, Cu 83.8, Pb 2.43and Zn 6.4 mu g/g) were significantly higher than Richards Bay (Cd 0.22, Cu 27.7, Pb 1.23 and Zn 9.54 mu g/g) and Mlalazi estuary (Cd 0.17, Cu 18.7, Pb 3.53 and Zn 6.91 mu g/g). Metal levels in sediments followed the order Zn &gt; Cu &gt; Pb &gt; Cd. Mlalazi had significantly elevated metal levels in sediment (Cd 6.83, Cu 35.63, Pb 33.43 and Zn 56.27 mu g/g) compared to Durban Harbour (Cd 2.73, Cu 16.07, Pb 12.20 and Zn 38.70 mu g/g) and Richards Bay (Cd 3.10, Cu 16.00, Pb 11.43 and Zn 26.07 mu g/g). Metal concentrations in water were Cu &gt; Zn &gt; Pb &gt; Cd save Mlalazi estuary with significantly higher Zn levels. Mlalazi estuary, the considered pristine site had significantly elevated metal levels in the sediments and water compared with the impacted sites; however, had significantly lower metal levels in the crabs' tissues due to lower metal bioavailability. Factors such as high natural metal concentrations, metal speciation, sediment grain and organic matter content could possibly account for high metal concentrations without corresponding bioaccumulation and magnification in crabs from Mlalazi estuary.</t>
  </si>
  <si>
    <t>[Adeleke, Babatunde; Robertson-Andersson, Deborah; Moodley, Gan] Univ KwaZulu Natal, Sch Life Sci, Marine Biol, Durban, Kzn, South Africa</t>
  </si>
  <si>
    <t>University of Kwazulu Natal</t>
  </si>
  <si>
    <t>Adeleke, B (corresponding author), Univ KwaZulu Natal, Sch Life Sci, Marine Biol, Durban, Kzn, South Africa.</t>
  </si>
  <si>
    <t>tundeadeleke@gmail.com</t>
  </si>
  <si>
    <t>Adeleke, Babatunde Ayoade/0000-0002-2183-830X; Robertson-Andersson, Deborah/0000-0001-7757-4852</t>
  </si>
  <si>
    <t>NRF South Africa</t>
  </si>
  <si>
    <t>NRF South Africa(National Research Foundation - South Africa)</t>
  </si>
  <si>
    <t>This work was supported by NRF South Africa and Gay Langmuir.</t>
  </si>
  <si>
    <t>e04725</t>
  </si>
  <si>
    <t>10.1016/j.heliyon.2020.e04725</t>
  </si>
  <si>
    <t>NN4JS</t>
  </si>
  <si>
    <t>WOS:000568756300022</t>
  </si>
  <si>
    <t>Alonso, A; Suárez, P; Ruiz, Y; Dobal, V; San Juan, F</t>
  </si>
  <si>
    <t>Alonso, Ana; Suarez, Pilar; Ruiz, Yolanda; Dobal, Vladimir; San Juan, Fuencisla</t>
  </si>
  <si>
    <t>Gonadal Histopathological Disorders in Mytilus galloprovincialis Male Exposed to Tars Used in Mussel Farms</t>
  </si>
  <si>
    <t>Mytilus galloprovincialis; histopathology; tar; mussel farms; gonad</t>
  </si>
  <si>
    <t>POLYCYCLIC-AROMATIC-HYDROCARBONS; HEAVY-METALS; OXIDATIVE STRESS; RISK-ASSESSMENT; ENDOCRINE DISRUPTORS; MOLECULAR MECHANISMS; POLLUTION GRADIENT; PACIFIC OYSTER; CANCER-RISK; EDULIS-L</t>
  </si>
  <si>
    <t>Polycyclic aromatic hydrocarbons (PAHs) and trace metals are pollutants widely distributed in the marine environment with toxic effects on live organisms, but few laboratory studies have proved their causal relationship with histopathologic alterations from invertebrates. We analyse the histopathologic effects of a tar mixture used in mussel farms on the gonad of male mussels. Mussels were exposed to water-accommodated fractions from different sub-lethal concentrations of that tar mixture during different times. The accumulation of PAHs and metals in mussels was quantified in each one tar exposure condition, and a comparative histological and morphometric analysis of the male gonad was performed, as well as of the gametogenic disorders and the cellular pathologies induced. Spermatogenesis disruption and alterations of somatic and germinal cells were observed as a direct effect of treatment. The pathologies observed followed an increasing malignity sequence depending on dose and exposure time: spawning induction; arrest of spermatogenesis and spermiogenesis; suppression of immune response; dysplasia of Sertoli and connective cells and finally, severe disorders of germinal cells. We demonstrate for the first time that tar used in waterproofing of floating rafts from the mussel farms causes severe effects on male mussel gonad, constituting a direct risk to the health of these organisms, affecting gametogenesis, quality of gametes and, ultimately, the sustainability of this resource and their quality for human consumption. Moreover, we propose the pathologies described in mussel as biomarkers of marine pollution and the mussel gonad as study model of testicular toxicity mechanisms in male reproduction.</t>
  </si>
  <si>
    <t>[Alonso, Ana; Suarez, Pilar; San Juan, Fuencisla] Univ Vigo, ECIMAT Marine Sci Stn Toralla, Vigo, Spain; [Suarez, Pilar; Ruiz, Yolanda; Dobal, Vladimir; San Juan, Fuencisla] Univ Vigo, Dept Biochem Genet &amp; Immunol, Vigo, Spain</t>
  </si>
  <si>
    <t>Universidade de Vigo; CIM UVIGO; Universidade de Vigo</t>
  </si>
  <si>
    <t>San Juan, F (corresponding author), Univ Vigo, ECIMAT Marine Sci Stn Toralla, Vigo, Spain.;San Juan, F (corresponding author), Univ Vigo, Dept Biochem Genet &amp; Immunol, Vigo, Spain.</t>
  </si>
  <si>
    <t>fsanjuan@uvigo.es</t>
  </si>
  <si>
    <t>San Juan Serrano, Fuencisla/L-6300-2014</t>
  </si>
  <si>
    <t>SEP 11</t>
  </si>
  <si>
    <t>10.3389/fmars.2019.00577</t>
  </si>
  <si>
    <t>IW5HL</t>
  </si>
  <si>
    <t>WOS:000485009200001</t>
  </si>
  <si>
    <t>ALSAYED, HA; MAHASNEH, AM; ALSAAD, J</t>
  </si>
  <si>
    <t>VARIATIONS OF TRACE-METAL CONCENTRATIONS IN SEAWATER AND PEARL OYSTER PINCTADA-RADIATA FROM BAHRAIN (ARABIAN GULF)</t>
  </si>
  <si>
    <t>HEAVY-METALS</t>
  </si>
  <si>
    <t>Concentrations of seven trace metals in oysters (Pinctada radiata) and paired seawater samples from two stations in Bahrain (Arabian Gulf) were determined every 6-8 weeks during the period March 1991-March 1992. The measured annual means in oysters were higher for Pb (7.64 mug g-1) and Cd (2.48 mug g-1) at an offshore Station 2, while Ni was higher in oysters at a nearshore Station 1. For Cu and Mn no differences were observed between oysters of both stations, however, Fe and Zn were higher in oysters of Station 1. No significant difference was observed in concentrations of trace metals in seawater of the nearshore or offshore stations or between individual metals. Seasonal distribution of metals in oysters and water indicated a tendency to increase towards the hot summer months (June, July-September). Generally, metal concentrations were higher in oysters irrespective of the station and the levels of Pb and Cd exceeded the WHO limits.</t>
  </si>
  <si>
    <t>UNIV BAHRAIN, DEPT BIOL SCI, ISA TOWN, BAHRAIN</t>
  </si>
  <si>
    <t>University of Bahrain</t>
  </si>
  <si>
    <t>10.1016/0025-326X(94)90274-7</t>
  </si>
  <si>
    <t>NY412</t>
  </si>
  <si>
    <t>WOS:A1994NY41200009</t>
  </si>
  <si>
    <t>Lopes, FC; de Castro, MR; Patrocinio, GTA; Guerreiro, AD; Barbosa, SC; Primel, EG; Martins, CDG</t>
  </si>
  <si>
    <t>Lopes, Fernanda Chaves; de Castro, Micheli Rosa; Patrocinio, Guilherme Toledo Alves; Guerreiro, Amanda da Silveira; Barbosa, Sergiane Caldas; Primel, Ednei Gilberto; Martins, Camila de Martinez Gaspar</t>
  </si>
  <si>
    <t>Detoxification and effects of the UV filter Benzophenone-3 in the digestive gland and hemocytes of yellow clam (Amarilladesma mactroides) under a perspective of global warming scenario</t>
  </si>
  <si>
    <t>Climate change; Temperature; PPCPs; Oxybenzone; Oxidative stress; Biomarker</t>
  </si>
  <si>
    <t>INTEGRATED BIOMARKER RESPONSE; ECOLOGICAL RISK-ASSESSMENT; MYTILUS-GALLOPROVINCIALIS; OXIDATIVE STRESS; THERMAL TOLERANCE; ENVIRONMENTAL OCCURRENCE; ANTIOXIDANT ENZYMES; MARINE ORGANISMS; COPPER EXPOSURE; BIOACCUMULATION</t>
  </si>
  <si>
    <t>In this study, evaluated the combined effects of exposure to Benzophenone-3 (BP3), at an environmentally relevant concentration, with temperature increasing in the marine bivalve Amarilladesma mactroides. The BP3 (0.56 mu g/L) at 20 degrees C increased reactive oxygen species (ROS) and antioxidants in the digestive glands of clams, without causing significant effect on lipid peroxidation (LPO). However, at high temperature (24 degrees C), BP3 suppressed antioxidant defenses, mainly glutathione peroxidase (GPx), lead to a rise in LPO in the digestive gland, however this condition increased hemocyte viability. The Integrated Biological Responses (IBR) approach shows that temperature influences BP3 effects, as the highest score was observed for animals exposed to 0.56 mu g/ L of BP3 at 20 degrees C (9.35), while the lowest was observed BP3 group at 24 degrees C (1.02). These results draw attention to the harmful effects of BP3 on bivalves, especially in a scenario of thermal stress.</t>
  </si>
  <si>
    <t>[Lopes, Fernanda Chaves; de Castro, Micheli Rosa; Patrocinio, Guilherme Toledo Alves; Guerreiro, Amanda da Silveira; Martins, Camila de Martinez Gaspar] Univ Fed Rio Grande, Programa Posgraduacao Ciencias Fisiol, Inst Ciencias Biol, Av Italia Km 8, BR-96203900 Rio Grande, RS, Brazil; [Barbosa, Sergiane Caldas; Primel, Ednei Gilberto] Univ Fed Rio Grande, Escola Quim &amp; Alimentos, Av Italia Km 8, BR-96203900 Rio Grande, RS, Brazil; [Lopes, Fernanda Chaves] Fed Univ Rio Grande FURG, Inst Biol Sci ICB, Av Italia Km 8,Carreiros Campus, BR-96203900 Rio Grande, RS, Brazil</t>
  </si>
  <si>
    <t>Lopes, FC (corresponding author), Fed Univ Rio Grande FURG, Inst Biol Sci ICB, Av Italia Km 8,Carreiros Campus, BR-96203900 Rio Grande, RS, Brazil.</t>
  </si>
  <si>
    <t>fernandachlopes@gmail.com; camilamartins@furg.br</t>
  </si>
  <si>
    <t>da Silveira Guerreiro, Amanda/AAV-3232-2020; Primel, Ednei/W-9324-2019; Martins, Camila/J-2400-2013; Caldas, Sergiane/C-5596-2013</t>
  </si>
  <si>
    <t>Toledo Alves Patrocinio, Guilherme/0000-0003-1826-5608; Primel, Ednei Gilberto Primel; Primel, Ednei; GilbertoPrimel; Ednei G.Primel; GPrimel, E; G.Prime; Ednei G./0000-0002-8147-232X; Caldas Barbosa, Sergiane/0000-0002-9369-7331</t>
  </si>
  <si>
    <t>Coordination for the Improvement of Higher Education Personnel (CAPES), Brazil [001]; iGUi Ecologia Student Program; CNPq [PQ 312898/2020-7]</t>
  </si>
  <si>
    <t>Coordination for the Improvement of Higher Education Personnel (CAPES), Brazil(Coordenacao de Aperfeicoamento de Pessoal de Nivel Superior (CAPES)); iGUi Ecologia Student Program; CNPq(Conselho Nacional de Desenvolvimento Cientifico e Tecnologico (CNPQ))</t>
  </si>
  <si>
    <t>This work was supported by the Coordination for the Improvement of Higher Education Personnel (CAPES) -code 001, Brazil with a grant awarded to FCL. GTAP was supported by the iGUi Ecologia Student Program. MRC is a post-doctoral fellow from CAPES (PNPD-2018) . CMGM is a research fellow from CNPq (PQ 312898/2020-7) .</t>
  </si>
  <si>
    <t>10.1016/j.marpolbul.2022.114188</t>
  </si>
  <si>
    <t>WOS:000891759700006</t>
  </si>
  <si>
    <t>Larsen, LH; Sagerup, K; Ramsvatn, S</t>
  </si>
  <si>
    <t>Larsen, Lars-Henrik; Sagerup, Kjetil; Ramsvatn, Silje</t>
  </si>
  <si>
    <t>The mussel path - Using the contaminant tracer, Ecotracer, in Ecopath to model the spread of pollutants in an Arctic marine food web</t>
  </si>
  <si>
    <t>PAHs; Pechora Sea; Walrus; Food-web; Ecotoxicology; Modelling</t>
  </si>
  <si>
    <t>PECHORA SEA; OIL; ECOSYSTEM; BIOACCUMULATION; EXPOSURE; NETWORK; MERCURY; GROWTH</t>
  </si>
  <si>
    <t>As the polar ice cap is receding, shipping in the Arctic seas becomes easier, and both destination and Atlantic-Pacific transit shipping is expected to increase. Thereby, the risk of accidents increase. Immediate negative impacts are expected from oil spills through the acute mortality for marine organisms, especially from heavy fuel oil (HFO). Marine Diesel oil (MDO) is therefore suggested as a preferable fuel for ships operating in Arctic waters. However, Polycyclic Aromatic Hydrocarbons (PAHs) are toxic components in both types of fuel, are highly bioavailable and can transfer up the food chain. A spill of MDO following a shipwreck could therefore have impacts beyond the spill site and long after the diesel has spread and evaporated. We model the spread of PAHs from a fictitious spill of MDO in the Pechora Sea (South Eastern Barents Sea) using the contaminant tracer module Ecotracer, in the Ecopath modelling software. We address the effects on the food-web including long term effects by combining toxicology and food web modelling. Ecotracer assumes that pollutants follow the biomass passively through the system, and degradation of pollutants is following user specified rates. By combining in natura measurements of PAHs in seawater and in blue mussels (Mytilus edulis) recorded at an accidental MDO spill site, with experiments conducted on the red king crab (Paralithodes camtschaticus) and blue mussels, we derived values as inputs into the model. The Ecotracer predicted that the pollution in the mussels will spread throughout the food-web, especially to the top predators of mussels, king eider (Somateria spectabilis) and Atlantic walrus (Odobenus rosmarus rosmarus) and also from snow crab (Chionoecetes opilio) to seals and toothed whales. (C) 2015 Elsevier B.V. All rights reserved.</t>
  </si>
  <si>
    <t>[Larsen, Lars-Henrik; Sagerup, Kjetil; Ramsvatn, Silje] Akvaplan Niva, Fram Ctr, Postbox 6606, N-9296 Tromso, Norway</t>
  </si>
  <si>
    <t>Akvaplan-niva</t>
  </si>
  <si>
    <t>Larsen, LH (corresponding author), Akvaplan Niva, Fram Ctr, Postbox 6606, N-9296 Tromso, Norway.</t>
  </si>
  <si>
    <t>Lars@apn.biz</t>
  </si>
  <si>
    <t>Sagerup, Kjetil/F-1834-2014</t>
  </si>
  <si>
    <t>Norwegian Ministry of Foreign Affairs through the Barents program [12/00900]</t>
  </si>
  <si>
    <t>Norwegian Ministry of Foreign Affairs through the Barents program</t>
  </si>
  <si>
    <t>This study is conducted as part of a large interdisciplinary research programme, A-lex a co-operation between UiT-The Arctic University of Norway (Faculty of Law and Faculty of Social Science), Akvaplan-niva (environmental studies) and Marintek (technology for the future of Arctic Shipping). Funding comes from the Norwegian Ministry of Foreign Affairs through the Barents 2020 program, ref no 12/00900. We would like to thank Dmitri Prozorkevich at PINRO for supplying stock estimates from the Pechora Sea and the participants at the 30 years of Ecopath conference for valuable feed-back and discussions during the conference, and Chris Emblow, Akvaplan-niva, for preparing Fig. 1 and correcting the authors English.</t>
  </si>
  <si>
    <t>10.1016/j.ecolmodel.2015.10.011</t>
  </si>
  <si>
    <t>DN1NC</t>
  </si>
  <si>
    <t>WOS:000376831700008</t>
  </si>
  <si>
    <t>Wang, SX; Hu, MH; Zheng, JH; Huang, W; Shang, YY; Fang, JKH; Shi, HH; Wang, YJ</t>
  </si>
  <si>
    <t>Wang, Shixiu; Hu, Menghong; Zheng, Jiahui; Huang, Wei; Shang, Yueyong; Fang, James Kar-Hei; Shi, Huahong; Wang, Youji</t>
  </si>
  <si>
    <t>Ingestion of nano/micro plastic particles by the mussel Mytilus coruscus is size dependent</t>
  </si>
  <si>
    <t>Dynamic accumulation; Microplastics; Mussel; Nanoplastics; Size dependent ingestion</t>
  </si>
  <si>
    <t>MICROPLASTIC POLLUTION; LAKE-ONTARIO; EDULIS; NANOPARTICLES; BIVALVES; BEHAVIOR; DEBRIS; FISH; WILD</t>
  </si>
  <si>
    <t>Plastic particles are thought to accumulate in aquatic organisms and cause potential physiological effects. The uneven sizes of plastic particles may affect the ingestion by marine filter feeding bivalves and may lead to differential further physiological effects. To tackle this scientific question, we investigated the size dependent ingestion and dynamic accumulation of nano/micro plastic particles with different diameters (0.07, 0.5, 5, 10 and 100 mu m) in the thick shell mussel Mytilus coruscus. The accumulation of particles in gill, digestive tract and mantle of mussels was measured after 3, 15, 87 h exposure and following 87 h depuration. The results showed that particle ingestion was negatively size dependant and positively related to time in digestive tract. In mantle, particles accumulated over the depuration time with a delay, indicating the translocation of particles. Moreover, our results showed that gill was not a target tissue for steady particle accumulation but the digestive tract was. This study showed size dependent and dynamic ingestion of nano/micro particles in mussels which are one of the main marine organisms for accumulating microplastics. (C) 2020 Elsevier Ltd. All rights reserved.</t>
  </si>
  <si>
    <t>[Wang, Shixiu; Hu, Menghong; Zheng, Jiahui; Shang, Yueyong; Wang, Youji] Shanghai Ocean Univ, Int Res Ctr Marine Biosci, Minist Sci &amp; Technol, Shanghai, Peoples R China; [Huang, Wei; Wang, Youji] Minist Nat Resources, Key Lab Satellite Ocean Environm Dynam, Inst Oceanog 2, Hangzhou, Peoples R China; [Wang, Shixiu; Hu, Menghong; Zheng, Jiahui; Shang, Yueyong; Wang, Youji] Shanghai Ocean Univ, Key Lab Explorat &amp; Utilizat Aquat Genet Resources, Shanghai, Peoples R China; [Shi, Huahong] East China Normal Univ, State Key Lab Estuarine &amp; Coastal Res, Shanghai 200062, Peoples R China; [Huang, Wei] Minist Nat Resources, Key Lab Marine Ecosyst &amp; Biogeochem, Inst Oceanog 2, Hangzhou 310012, Peoples R China; [Fang, James Kar-Hei] Hong Kong Polytech Univ, Dept Appl Biol &amp; Chem Technol, Kowloon, Hong Kong, Peoples R China</t>
  </si>
  <si>
    <t>Shanghai Ocean University; Ministry of Natural Resources of the People's Republic of China; Second Institute of Oceanography, Ministry of Natural Resources; Shanghai Ocean University; East China Normal University; Ministry of Natural Resources of the People's Republic of China; Second Institute of Oceanography, Ministry of Natural Resources; Hong Kong Polytechnic University</t>
  </si>
  <si>
    <t>Wang, YJ (corresponding author), Shanghai Ocean Univ, Int Res Ctr Marine Biosci, Minist Sci &amp; Technol, Shanghai, Peoples R China.</t>
  </si>
  <si>
    <t>youjiwang2@gmail.com</t>
  </si>
  <si>
    <t>Huang, Wei/L-7090-2019; Shang, Yueyong/HTL-4592-2023; Shi, Huahong/F-1511-2011; Fang, James/H-2088-2017; Wang, Youji/B-8086-2011</t>
  </si>
  <si>
    <t>Shang, Yueyong/0000-0002-6330-3418; Shi, Huahong/0000-0003-2978-0680; Wang, Youji/0000-0003-3011-1919; Zheng, Jiahui/0000-0002-5961-7385</t>
  </si>
  <si>
    <t>State Key Laboratory of Satellite Ocean Environment Dynamics [SOEDZZ 1902]; China-APEC Cooperation Fund [2029901]; Natural Science Foundation of China [31872587]; Shanghai Pujiang Program [18PJ1404000]; Open Research Fund of State Key Laboratory of Estuarine and Coastal Research [SKLEC-KF201706]</t>
  </si>
  <si>
    <t>State Key Laboratory of Satellite Ocean Environment Dynamics; China-APEC Cooperation Fund; Natural Science Foundation of China(National Natural Science Foundation of China (NSFC)); Shanghai Pujiang Program(Shanghai Pujiang Program); Open Research Fund of State Key Laboratory of Estuarine and Coastal Research</t>
  </si>
  <si>
    <t>This work was supported State Key Laboratory of Satellite Ocean Environment Dynamics (No. SOEDZZ 1902) and China-APEC Cooperation Fund (No. 2029901), a research grant (project no. 31872587) from the Natural Science Foundation of China, the Shanghai Pujiang Program (18PJ1404000), and the Open Research Fund of State Key Laboratory of Estuarine and Coastal Research (Grant number SKLEC-KF201706).</t>
  </si>
  <si>
    <t>10.1016/j.chemosphere.2020.127957</t>
  </si>
  <si>
    <t>WOS:000595802200097</t>
  </si>
  <si>
    <t>Dang, DH; Schäfer, J; Brach-Papa, C; Lenoble, V; Durrieu, G; Dutruch, L; Chiffoleau, JF; Gonzalez, JL; Blanc, G; Mullot, JU; Mounier, S; Garnier, C</t>
  </si>
  <si>
    <t>Duc Huy Dang; Schaefer, Joerg; Brach-Papa, Christophe; Lenoble, Veronique; Durrieu, Gael; Dutruch, Lionel; Chiffoleau, Jean-Francois; Gonzalez, Jean-Louis; Blanc, Gerard; Mullot, Jean-Ulrich; Mounier, Stephane; Garnier, Cedric</t>
  </si>
  <si>
    <t>Evidencing the Impact of Coastal Contaminated Sediments on Mussels Through Pb Stable Isotopes Composition</t>
  </si>
  <si>
    <t>HEAVY-METALS; TRACE-METALS; MYTILUS-GALLOPROVINCIALIS; GIRONDE ESTUARY; ORGANIC-MATTER; PERNA-VIRIDIS; WATER COLUMN; TOULON BAY; BOUND CD; ELEMENTS</t>
  </si>
  <si>
    <t>Heavily contaminated sediments are a serious concern for ecosystem quality, especially in coastal areas, where vulnerability is high due to intense anthropogenic pressure. Surface sediments (54 stations), 50 cm interface cores (five specific stations), river particles, coal and bulk Pb plate from past French Navy activities, seawater and mussels were collected in Toulon Bay (NW Mediterranean Sea). Lead content and Pb stable isotope composition have evidenced the direct impact of sediment pollution stock on both the water column quality and the living organisms, through the specific Pb isotopic signature in these considered compartments. The history of pollution events including past and present contaminant dispersion in Toulon Bay were also demonstrated by historical records of Pb content and Pb isotope ratios in sediment profiles. The sediment resuspension events, as simulated by batch experiments, could be a major factor contributing to the high Pb mobility in the considered ecosystem. A survey of Pb concentrations in surface seawater at 40 stations has revealed poor seawater quality, affecting both the dissolved fraction and suspended particles and points to marina/harbors as additional diffuse sources of dissolved Pb.</t>
  </si>
  <si>
    <t>[Duc Huy Dang; Lenoble, Veronique; Durrieu, Gael; Mounier, Stephane; Garnier, Cedric] Univ Toulon &amp; Var, PROTEE, EA 3819, F-83957 La Garde, France; [Duc Huy Dang] Trent Univ, Water Qual Ctr, Peterborough, ON K9J 7B8, Canada; [Schaefer, Joerg; Dutruch, Lionel; Blanc, Gerard] Univ Bordeaux, UMR EPOC 5805, CS50023, F-33615 Pessac, France; [Brach-Papa, Christophe; Chiffoleau, Jean-Francois] IFREMER, Ctr Atlantique, LBCM, F-44311 Nantes, France; [Gonzalez, Jean-Louis] IFREMER, Ctr Mediterranee, LBCM, F-83507 La Seyne Sur Mer, France; [Mullot, Jean-Ulrich] LASEM Toulon, F-83800 Toulon, France</t>
  </si>
  <si>
    <t>Universite de Toulon; Trent University; Universite de Bordeaux; Ifremer; Ifremer</t>
  </si>
  <si>
    <t>Garnier, C (corresponding author), Univ Toulon &amp; Var, PROTEE, EA 3819, F-83957 La Garde, France.</t>
  </si>
  <si>
    <t>cgarnier@univ-tln.fr</t>
  </si>
  <si>
    <t>; MOUNIER, Stephane Jean Louis/P-9135-2015</t>
  </si>
  <si>
    <t>Mullot, Jean Ulrich/0000-0001-6518-8436; Gonzalez, Jean-Louis/0000-0002-7068-8686; Blanc, Gerard/0009-0005-9814-0427; Brach-Papa, Christophe/0009-0008-4171-4743; MOUNIER, Stephane Jean Louis/0000-0002-9624-0230; lenoble, veronique/0000-0002-7601-3380; Schafer, Jorg/0000-0003-2631-908X</t>
  </si>
  <si>
    <t>Toulon-Provence-Mediterranee (TPM); Region PACA; l'Agence de l'Eau Rhone-Mediterranee et Corse; Toulon University; Toulon-Provence-Mediterranee; Conseil Departemental du Var; FEDER (Fonds Europeen de Developpement Regional); Region Aquitaine</t>
  </si>
  <si>
    <t>Toulon-Provence-Mediterranee (TPM); Region PACA(Region Provence-Alpes-Cote d'Azur); l'Agence de l'Eau Rhone-Mediterranee et Corse; Toulon University; Toulon-Provence-Mediterranee; Conseil Departemental du Var(Region Provence-Alpes-Cote d'Azur); FEDER (Fonds Europeen de Developpement Regional)(European Union (EU)); Region Aquitaine(Region Nouvelle-Aquitaine)</t>
  </si>
  <si>
    <t>This study was performed in the framework of MerMex-WP3-C3A research program (part of the international IMBER project), CARTOCHIM and CARTOC research programs (funded by Toulon-Provence-Mediterranee (TPM), the Region PACA, and l'Agence de l'Eau Rhone-Mediterranee et Corse), PREVENT research program (funded by Toulon University, Toulon-Provence-Mediterranee, and the Conseil Departemental du Var). We acknowledge support from FEDER (Fonds Europeen de Developpement Regional) and the Region Aquitaine. The authors wish to thank the French Navy for diving and sampling assistance, Dr. Omanovic for HR ICP-MS analysis (RBI, Zagreb, Croatia), Dr. C. Dufresne and Dr. C. Duffa (IRSN, La Seyne s/Mer, France) for tributary particle sampling and conditioning, Dr. B. Oursel (IMBE, Marseille, France) for sampling assistance. We thank the three anonymous reviewers for their helpful comments.</t>
  </si>
  <si>
    <t>OCT 6</t>
  </si>
  <si>
    <t>10.1021/acs.est.5b01893</t>
  </si>
  <si>
    <t>CT2JZ</t>
  </si>
  <si>
    <t>WOS:000362629100022</t>
  </si>
  <si>
    <t>Domouhtsidou, GP; Dimitriadis, VK</t>
  </si>
  <si>
    <t>Lysosomal and lipid alterations in the digestive gland of mussels, Mytilus galloprovincialis (L.) as biomarkers of environmental stress</t>
  </si>
  <si>
    <t>Mytilus galloprovincialis; lysosomal membrane stability; lysosomes; lipids; Thermaikos Gulf-Greece</t>
  </si>
  <si>
    <t>X-RAY-MICROANALYSIS; LITTORINA-LITTOREA; QUANTITATIVE ALTERATIONS; EDULIS-L; EXPERIMENTAL EXPOSURE; WATCH PROGRAMS; IMAGE-ANALYSIS; COMMON MUSSEL; METALS CU; RESPONSES</t>
  </si>
  <si>
    <t>Lysosomal and lipid alterations in the digestive gland cells of the common mussel Mytilus galloprovincialis collected from six stations along Thermaikos Gulf (Northern Greece) were monitored through a 1-year period. The ultrastructural observations of the digestive cells of sampled mussels indicated a higher incidence of granular or dark residual bodies in the relatively more polluted stations compared to less polluted ones. Alterations in the lysosomal system of digestive cells were assessed (1) using the lysosomal membrane stability test (2) quantifying lysosomal structural alterations of the residual bodies and the heterolysosomes of the digestive cells at the ultrastructural level, and (3) determining the elemental composition of lysosomes by means of X-ray microanalysis on epoxy resin sections. Evaluation of neutral lipids was realized using image analysis on histochemical resin sections. Mussels from the most heavily polluted stations exhibited reduced lysosomal. membrane stability, higher volume density and diameter of heterolysosomes and residual bodies, and, in some cases, relatively higher lysosomal heavy metal content compared to mussels from less polluted stations. The results showed that the lysosomal membrane stability and the volume density of the residual bodies are more sensitive to general stress compared to the other biomarkers used, and could be used successfully as early warning tools in biomonitoring programs. (C) 2001 Elsevier Science Ltd. All rights reserved.</t>
  </si>
  <si>
    <t>Aristotelian Univ Thessaloniki, Dept Genet Dev &amp; Mol Biol, Sch Biol, GR-54006 Thessaloniki, Greece</t>
  </si>
  <si>
    <t>Dimitriadis, VK (corresponding author), Aristotelian Univ Thessaloniki, Dept Genet Dev &amp; Mol Biol, Sch Biol, GR-54006 Thessaloniki, Greece.</t>
  </si>
  <si>
    <t>10.1016/S0269-7491(00)00233-5</t>
  </si>
  <si>
    <t>WOS:000171238500013</t>
  </si>
  <si>
    <t>Green, NW; Knutzen, J</t>
  </si>
  <si>
    <t>Organohalogens and metals in marine fish and mussels and some relationships to biological variables at reference localities in Norway</t>
  </si>
  <si>
    <t>monitoring; organochlorines; metals; indicator organisms; reference levels; accumulation characteristics</t>
  </si>
  <si>
    <t>COD GADUS-MORHUA; ADRIATIC COASTAL WATERS; LONG-TERM TRENDS; MYTILUS-EDULIS; POLYCHLORINATED-BIPHENYLS; MERSEY ESTUARY; ORGANOCHLORINE CONTAMINANTS; TOXAPHENE RESIDUES; HEAVY-METALS; BLUE MUSSEL</t>
  </si>
  <si>
    <t>The main goals of this study were to define, for the Norwegian coast, high background levels of micropollutants routinely monitored within the the Oslo and Paris Commission Joint Assessment and Monitoring Programme, and to reassess the present Norwegian reference levels used as the basis for a classification of environmental quality. The indicator organisms analysed as bulked/individual samples were cod (Gadus morhua, n approximate to 1170; n approximate to 240 for organochlorines), dab. (Limanda limanda, n approximate to 75), plaice (Pleuronectes platessa, n approximate to 55) lemon sole (Microstomus kitt, n approximate to 13). and blue mussels (Mytilus edulis, n approximate to 200) collected between 1991 2000. Based on the 90-95 percentiles of measurements at localities far from point sources, we propose for liver of cod a reference level for SigmaPCB(7) (CBs 28, 52, 101, 118, 138, 153 and 180) of 500 mug kg(-1). w.w. and further for DDE 200 mug kg(-1), SigmaHCHs 30 mug kg(-1), HCB 20 and OCS 5 mug kg(-1) w.w. In the same order the proposed reference levels for liver of dab are: 150, 60, 15, 5, and 2 mug kg(-1) w.w.; and for the soft body of mussels: 3, 1, 1, 0.1 and 0.1 mug kg(-1) wet weight. Reference levels of metals are 0.1 mg Hg kg(-1) w.w. in fish fillet, and for Hg, Cd, Pb, Zn, Cu in mussels 0.2, 2, 3, 200 and 10 mg kg(-1) d.w., respectively. Hg in fillet of cod and dab were positively correlated with length and weight. PCB levels in liver of cod and dab showed a positive but weak correlation with length, whereas no co-variation was found between PCBs and liver fat. The results of introductory recordings of polychlorinated dibenzo-p-dioxins/dibenzofurans, polychlorinated naphtalenes, Toxaphene and brominated flame retardants in liver of cod from reference sites are also presented. (C) 2003 Elsevier Science Ltd. All rights reserved.</t>
  </si>
  <si>
    <t>Norwegian Inst Water Res, NIVA, N-0411 Oslo, Norway</t>
  </si>
  <si>
    <t>Norwegian Institute for Water Research (NIVA)</t>
  </si>
  <si>
    <t>Norwegian Inst Water Res, NIVA, POB 173 Kjelsas, N-0411 Oslo, Norway.</t>
  </si>
  <si>
    <t>norman.green@niva.no</t>
  </si>
  <si>
    <t>10.1016/S0025-326X(02)00515-5</t>
  </si>
  <si>
    <t>655XY</t>
  </si>
  <si>
    <t>WOS:000181579000024</t>
  </si>
  <si>
    <t>Klerks, PL</t>
  </si>
  <si>
    <t>Acclimation to contaminants by the grass shrimp Palaemonetes pugio:: Individual contaminants vs. mixtures</t>
  </si>
  <si>
    <t>acclimation; grass shrimp; complex mixtures; metals; PAHs</t>
  </si>
  <si>
    <t>AROMATIC-HYDROCARBONS; FUNDULUS-HETEROCLITUS; CADMIUM TOLERANCE; FATHEAD MINNOWS; MYTILUS-EDULIS; MARINE MUSSELS; INDUCTION; METALLOTHIONEIN; PREEXPOSURE; TOXICITY</t>
  </si>
  <si>
    <t>In acclimation, a pre-exposure to a sublethal level of a contaminant results in an increased resistance in a subsequent exposure to a higher concentration of this contaminant. This research, using the grass shrimp Palaemonetes pugio as a model species, compared the occurrence of acclimation to individual contaminants to that for contaminant mixtures. Grass shrimp collected from Pass Fourchon (a produced-water discharge site with highly-elevated sediment PAH levels as well as elevated metal levels) and conspecifics collected from a nearby control site did not differ in resistance in laboratory exposures to Pass Fourchon sediment. Similarly, grass shrimp collected from the control area and kept for two weeks in enclosures at different sites along the pollution gradient in Pass Fourchon, did not differ in resistance in subsequent laboratory exposures to contaminated sediment. To investigate if these absences of acclimation could be explained by contamination complexity, pre-exposures were then conducted in the laboratory, where specific metals and PAHs in solution were used instead of field-collected contaminated sediments. Typical acclimation responses (an increased resistance at low pre-exposure levels, declining to a reduced resistance at higher pre-exposure levels) were observed for zinc and for naphthalene. No acclimation was observed for phenanthrene, for the combination of zinc and naphthalene, or for a mixture of three metals and three PAHs. These results indicate that acclimation may become less likely as the number of contaminants increases. Potential mechanisms for such a pattern are that one contaminant may inhibit the detoxification of another contaminant, that the energetic requirements (for repair/detoxification) for exposure to one contaminant may compete with those for another contaminant, or that increases in resistance for some contaminants may be offset by decreases in resistance for other contaminants.</t>
  </si>
  <si>
    <t>Univ Louisiana, Dept Biol, Lafayette, LA 70504 USA</t>
  </si>
  <si>
    <t>University of Louisiana Lafayette</t>
  </si>
  <si>
    <t>Univ Louisiana, Dept Biol, POB 42451, Lafayette, LA 70504 USA.</t>
  </si>
  <si>
    <t>klerks@usl.edu</t>
  </si>
  <si>
    <t>Klerks, Paul/B-6135-2011</t>
  </si>
  <si>
    <t>Klerks, Paul/0000-0001-9895-5144</t>
  </si>
  <si>
    <t>10.1023/A:1008929215781</t>
  </si>
  <si>
    <t>254DN</t>
  </si>
  <si>
    <t>WOS:000083596800004</t>
  </si>
  <si>
    <t>Bayat, Z; Hassanshahian, M; Hesni, MA</t>
  </si>
  <si>
    <t>Bayat, Zeynab; Hassanshahian, Mehdi; Hesni, Majid Askari</t>
  </si>
  <si>
    <t>Study the symbiotic crude oil-degrading bacteria in the mussel Mactra stultorum collected from the Persian Gulf</t>
  </si>
  <si>
    <t>Crude oil; Marine environment; Mussel; Persian Gulf; Pollution</t>
  </si>
  <si>
    <t>MYTILUS-GALLOPROVINCIALIS; MICROBIAL COMMUNITY; WASTE-WATER; SEAWATER; BIOREMEDIATION; STRAINS; YEAST</t>
  </si>
  <si>
    <t>Symbiotic associations are complex partnerships that can lead to new metabolic capabilities and the establishment of novel organisms. The diversity of these associations is very broad and there are still many mysteries about the origin and the exact relationship between the organisms that are involved in a symbiosis. The aim of the present study is to find symbiotic crude-oil degrading bacteria in the mussels that collected from the Persian Gulf. Fifteen crude-oil degrading bacteria were isolated from Mactra stultorum mussel that collected from oil contaminated area at Persian Gulf. According to high growth rate on crude oil five strains were selected from 15 isolated strains for more study. Determination of the nucleotide sequence of the gene encoding 16S rRNA show that these isolated strains belong to: Alcanivorax dieselolei strain BHA25, Idiomarina baltica strain BHA28, A. dieselolei strain BHA30, Alcanivorax sp. strain BHA32 and Vibrio azureus strain BHA36. Analysis of remaining of crude oil by Gas Chromatography (GC) confirmed that these strains can degrade: 64%, 63%, 71%, 58% and 75% of crude oil respectively. (C) 2016 Elsevier Ltd. All rights reserved.</t>
  </si>
  <si>
    <t>[Bayat, Zeynab; Hassanshahian, Mehdi; Hesni, Majid Askari] Shahid Bahonar Univ Kerman, Fac Sci, Dept Biol, Kerman, Iran</t>
  </si>
  <si>
    <t>Shahid Bahonar University of Kerman (SBUK)</t>
  </si>
  <si>
    <t>Hassanshahian, M (corresponding author), Shahid Bahonar Univ Kerman, Fac Sci, Dept Biol, Kerman, Iran.</t>
  </si>
  <si>
    <t>mshahi@uk.ac.ir</t>
  </si>
  <si>
    <t>Askari Hesni, Majid/HOC-3623-2023; Hassanshahian, Mehdi/AAF-4209-2020; Bayat, Zeynab/HKW-2628-2023</t>
  </si>
  <si>
    <t>Bayat, Zeynab/0000-0002-6865-3003; Askari Hesni, Majid/0000-0001-9309-2212; Hassanshahian, Mehdi/0000-0001-9899-7168</t>
  </si>
  <si>
    <t>Shahid Bahonar University of Kerman</t>
  </si>
  <si>
    <t>This work was supported financially by Shahid Bahonar University of Kerman.</t>
  </si>
  <si>
    <t>10.1016/j.marpolbul.2016.02.042</t>
  </si>
  <si>
    <t>WOS:000375816000028</t>
  </si>
  <si>
    <t>Nikiforov, SM; Zvyagintsev, AY</t>
  </si>
  <si>
    <t>Nikiforov, S. M.; Zvyagintsev, A. Yu.</t>
  </si>
  <si>
    <t>Allozyme diversity among local populations of the pacific mussel Mytilus trossulus (Bivalvia: Mytilidae) from polluted areas of Peter the Great Bay (Sea of Japan)</t>
  </si>
  <si>
    <t>Pacific mussel; Mytilus trossulus; allozyme variability; pollution</t>
  </si>
  <si>
    <t>HETEROZYGOSITY; CADMIUM; GROWTH</t>
  </si>
  <si>
    <t>Allozyme variability was assessed, using starch gel electrophoresis, at 15 polymorphic loci in two samples of the Pacific mussel Mytilus trossulus collected from local populations in heavily (Golden Horn Bay) and slightly polluted areas (Sukhoputnaya Bay) of Peter the Great Bay. Significant differences between samples were found in the genotypic frequencies at nine loci and in allele frequencies, at six loci. The results are suggestive of the differential survival of individuals having different genotypes and alleles at some of the surveyed loci under conditions of pollution. Our data are not in conflict with the hypothesis of the adaptive significance of allozyme polymorphism.</t>
  </si>
  <si>
    <t>[Nikiforov, S. M.; Zvyagintsev, A. Yu.] Russian Acad Sci, Far Eastern Div, AV Zhirmunsky Inst Marine Biol, Vladivostok 690041, Russia</t>
  </si>
  <si>
    <t>Nikiforov, SM (corresponding author), Russian Acad Sci, Far Eastern Div, AV Zhirmunsky Inst Marine Biol, Vladivostok 690041, Russia.</t>
  </si>
  <si>
    <t>10.1134/S1063074008010069</t>
  </si>
  <si>
    <t>309JK</t>
  </si>
  <si>
    <t>WOS:000256456300006</t>
  </si>
  <si>
    <t>Sparks, C; Odendaal, J; Snyman, R</t>
  </si>
  <si>
    <t>Sparks, Conrad; Odendaal, James; Snyman, Reinette</t>
  </si>
  <si>
    <t>An analysis of historical Mussel Watch Programme data from the west coast of the Cape Peninsula, Cape Town</t>
  </si>
  <si>
    <t>Metals; Mussels; Mytilus galloprovincialis; Long term monitoring; Cape Town; South Africa</t>
  </si>
  <si>
    <t>TRACE-METAL; MYTILUS-GALLOPROVINCIALIS; UNITED-STATES; ACCUMULATION; POLLUTION; MARINE; MANGANESE; CADMIUM; FRANCE; COPPER</t>
  </si>
  <si>
    <t>The concentrations of metals in the mussel Mytilus galloprovincialis (Lamarck, 1819) prevalent along the west coast of the Cape Peninsula, Cape Town are presented. The mussels were sampled during the routine Mussel Watch Programme (MWP) between 1985 and 2008. Levels of Cu, Cd, Pb, Zn, Hg, Fe and Mn at Cape Point, Hout Bay, Sea Point, Milnerton and Bloubergstrand were analysed for autumn and spring and showed consistent similar mean values for the five sites. There was a highly significant temporal (annual and seasonal) difference between all metals as well as a significant difference in metal concentrations between the five sites. The concentrations of Zn, Fe, Cd and Pb were higher than previous investigations and possibly indicative of anthropogenic sources of metals. The results provide a strong motivation to increase efforts in marine pollution research in the area. (C) 2014 The Authors. Published by Elsevier Ltd.</t>
  </si>
  <si>
    <t>[Sparks, Conrad; Snyman, Reinette] Cape Peninsula Univ Technol, Dept Biodivers &amp; Conservat, ZA-8000 Cape Town, South Africa; [Odendaal, James] Cape Peninsula Univ Technol, Dept Environm &amp; Occupat Studies, ZA-8000 Cape Town, South Africa</t>
  </si>
  <si>
    <t>Cape Peninsula University of Technology; Cape Peninsula University of Technology</t>
  </si>
  <si>
    <t>Sparks, C (corresponding author), Cape Peninsula Univ Technol, Dept Biodivers &amp; Conservat, POB 652, ZA-8000 Cape Town, South Africa.</t>
  </si>
  <si>
    <t>sparksc@cput.ac.za</t>
  </si>
  <si>
    <t>Sparks, Conrad/AAQ-3307-2020; DASO, ADEGBENRO/H-8452-2019; Snyman, Reinette G./ADY-1385-2022; Sparks, Conrad/E-2768-2018</t>
  </si>
  <si>
    <t>Sparks, Conrad/0000-0001-9721-3544; Odendaal, James/0000-0002-5814-8142; Snyman, Reinette G./0000-0001-6933-0866</t>
  </si>
  <si>
    <t>Cape Peninsula University of Technology</t>
  </si>
  <si>
    <t>We acknowledge that the samples were collected and processed by the South African Department of Environmental Affairs (Oceans and Coasts) and we thank the Department for providing the data for this investigation. This work was supported by Cape Peninsula University of Technology.</t>
  </si>
  <si>
    <t>10.1016/j.marpolbul.2014.07.047</t>
  </si>
  <si>
    <t>WOS:000343951800056</t>
  </si>
  <si>
    <t>Duan, C; Che, SS; Tian, GD; Che, YY; Nie, XR; Dai, L</t>
  </si>
  <si>
    <t>Duan, Chao; Che, Shasha; Tian, Guodong; Che, Yiyang; Nie, Xiaoran; Dai, Lei</t>
  </si>
  <si>
    <t>Mussel-inspired polydopamine and Zr-porphyrin MOF co-decoration of a cellulose paper-based composite membrane for efficient photoreduction of Cr(VI) and photothermal antibacterial in wastewater</t>
  </si>
  <si>
    <t>SEPARATION AND PURIFICATION TECHNOLOGY</t>
  </si>
  <si>
    <t>Cellulose paper; PDA; Zr-TCPP; Photoreduction Cr(VI); Antibacterial</t>
  </si>
  <si>
    <t>PERFORMANCE; REDUCTION</t>
  </si>
  <si>
    <t>Abundant hazardous pollutants, in particular heavy metal ions and microbes, in aqueous systems seriously threaten ecological safety and human health. Photocatalysis is deemed an appealing solution yet remains challenging to exploit more efficient, economical, and sustainable photocatalytic materials. In this study, we successfully fabricated a cellulose paper-based composite membrane, namely Zr-TCPP@PDA@FP, for photoreduction of Cr(VI) and photothermal antimicrobial. For the resultant composite membrane, the selfpolymerization polydopamine (PDA)-coated cellulose fibers act as sustainable scaffolds to anchor the in-situ synthesized porphyrin-doped UiO-66-NH2 (Zr-TCPP) nano-photocatalysts. The hypotheses are that: 1) porphyrin doping in Zr-TCPP can both reinforce the visible-light absorption and the transport of photogenerated electrons; 2) mussel-inspired PDA coating on fiber surface not only services as binder to promote the Zr-TCPP loading and dispersion, but also functions as heterojunction interface to accelerate photogenerated electron separation and transfer from Zr-TCPP; As a result, Zr-TCPP@PDA@FP exhibited significant photocatalytic reduction towards Cr(VI), achieving a removal efficiency of 93.9 % within 20 mins and cycling stability. Besides, the hybrid membrane also featured excellent photothermal antibacterial performance (over 99 % for both E. coli and S. aureus). This work will inspire the development of economic and sustainable cellulose-based functional materials for efficient wastewater remediation.</t>
  </si>
  <si>
    <t>[Duan, Chao; Che, Shasha; Tian, Guodong; Che, Yiyang; Nie, Xiaoran] Shaanxi Univ Sci &amp; Technol, Coll Bioresources Chem &amp; Mat Engn, Shaanxi Prov Key Lab Papermaking Technol &amp; Special, Xian 710021, Peoples R China; [Dai, Lei] Jiangnan Univ, Coll Text Sci &amp; Engn, Wuxi 214222, Peoples R China</t>
  </si>
  <si>
    <t>Shaanxi University of Science &amp; Technology; Jiangnan University</t>
  </si>
  <si>
    <t>Duan, C (corresponding author), Shaanxi Univ Sci &amp; Technol, Coll Bioresources Chem &amp; Mat Engn, Shaanxi Prov Key Lab Papermaking Technol &amp; Special, Xian 710021, Peoples R China.;Dai, L (corresponding author), Jiangnan Univ, Coll Text Sci &amp; Engn, Wuxi 214222, Peoples R China.</t>
  </si>
  <si>
    <t>duanchaonba@126.com; dailei_ju@hotmail.com</t>
  </si>
  <si>
    <t>National Natural Science Foundation of China [22178208, 31901265]</t>
  </si>
  <si>
    <t>The authors would like to acknowledge the financial support of National Natural Science Foundation of China (22178206) . The project also supported by the National Natural Science Foundation of China (grant number: 22178208; 31901265) .</t>
  </si>
  <si>
    <t>1383-5866</t>
  </si>
  <si>
    <t>1873-3794</t>
  </si>
  <si>
    <t>SEP PURIF TECHNOL</t>
  </si>
  <si>
    <t>Sep. Purif. Technol.</t>
  </si>
  <si>
    <t>JAN 19</t>
  </si>
  <si>
    <t>10.1016/j.seppur.2024.128255</t>
  </si>
  <si>
    <t>WC4A2</t>
  </si>
  <si>
    <t>WOS:001252644100001</t>
  </si>
  <si>
    <t>Maruya, KA; Dodder, NG; Weisberg, SB; Gregorio, D; Bishop, JS; Klosterhaus, S; Alvarez, DA; Furlong, ET; Bricker, S; Kimbrough, KL; Lauenstein, GG</t>
  </si>
  <si>
    <t>Maruya, Keith A.; Dodder, Nathan G.; Weisberg, Stephen B.; Gregorio, Dominic; Bishop, Jonathan S.; Klosterhaus, Susan; Alvarez, David A.; Furlong, Edward T.; Bricker, Suzanne; Kimbrough, Kimani L.; Lauenstein, Gunnar G.</t>
  </si>
  <si>
    <t>The Mussel Watch California pilot study on contaminants of emerging concern (CECs): Synthesis and next steps</t>
  </si>
  <si>
    <t>Mussel Watch; Mytilus; Contaminants of emerging concern (CECs); Passive sampling devices; California; Coastal ecosystems</t>
  </si>
  <si>
    <t>POLYBROMINATED DIPHENYL ETHERS; FLAME RETARDANTS; WATER; SEDIMENTS; WILDLIFE; ESTUARY; BIGHT</t>
  </si>
  <si>
    <t>A multiagency pilot study on mussels (Mytilus spp.) collected at 68 stations in California revealed that 98% of targeted contaminants of emerging concern (CECs) were infrequently detectable at concentrations &lt;= 1 ng/g. Selected chemicals found in commercial and consumer products were more frequently detected at mean concentrations up to 470 ng/g dry wt. The number of CECs detected and their concentrations were greatest for stations categorized as urban or influenced by storm water discharge. Exposure to a broader suite of CECs was also characterized by passive sampling devices (PSDs), with estimated water concentrations of hydrophobic compounds correlated with Mytilus concentrations. The results underscore the need for focused CEC monitoring in coastal ecosystems and suggest that PSDs are complementary to bivalves in assessing water quality. Moreover, the partnership established among participating agencies led to increased spatial coverage, an expanded list of analytes and a more efficient use of available resources. (C) 2013 Elsevier Ltd. All rights reserved.</t>
  </si>
  <si>
    <t>[Maruya, Keith A.; Dodder, Nathan G.; Weisberg, Stephen B.] Southern Calif Coastal Water Res Project Author, Costa Mesa, CA 92626 USA; [Bishop, Jonathan S.] Calif State Water Resources Control Board, Sacramento, CA 95814 USA; [Klosterhaus, Susan] San Francisco Estuary Inst, Richmond, CA 94804 USA; [Alvarez, David A.] US Geol Survey, Columbia, MO 65201 USA; [Furlong, Edward T.] US Geol Survey, Denver Fed Ctr, Denver, CO 80225 USA; [Bricker, Suzanne; Kimbrough, Kimani L.; Lauenstein, Gunnar G.] NOAA, Natl Ctr Coastal Ocean Sci, Silver Spring, MD 20910 USA</t>
  </si>
  <si>
    <t>Southern California Coastal Water Research Project; United States Department of the Interior; United States Geological Survey; United States Department of the Interior; United States Geological Survey; National Oceanic Atmospheric Admin (NOAA) - USA; National Ocean Service, NOAA; National Centers for Coastal Ocean Science (NOOCS)</t>
  </si>
  <si>
    <t>Maruya, KA (corresponding author), Southern Calif Coastal Water Res Project Author, 3535 Harbor Blvd Suite 110, Costa Mesa, CA 92626 USA.</t>
  </si>
  <si>
    <t>keithm@sccwrp.org; gglauenstein@gmail.com</t>
  </si>
  <si>
    <t>Dodder, Nathan/C-7971-2015; Furlong, Edward/C-3999-2011; Weisberg, Stephen/B-2477-2008</t>
  </si>
  <si>
    <t>Furlong, Edward/0000-0002-7305-4603; Weisberg, Stephen/0000-0002-0655-9425; Dodder, Nathan/0000-0001-5913-1767</t>
  </si>
  <si>
    <t>NOAA [MOA-2006-054/7001]; SWRCB; member agencies of the SCCWRP and the SFEI Regional Monitoring Program</t>
  </si>
  <si>
    <t>NOAA(National Oceanic Atmospheric Admin (NOAA) - USA); SWRCB; member agencies of the SCCWRP and the SFEI Regional Monitoring Program</t>
  </si>
  <si>
    <t>This study was supported by NOAA MOA-2006-054/7001, and by in-kind contributions from the SWRCB, the member agencies of the SCCWRP and the SFEI Regional Monitoring Program. The authors thank M. Edwards, A. Jacob, E. Johnson, G. Piniak, J. Christensen and R. Callender of NOAA, C. Beegan and E. Siegel of the SWRCB, M. Sedlak, J. Davis and R. Hoenicke of SFEI, B. Schaffner of SCCWRP, as well as two anonymous reviewers of the original manuscript.</t>
  </si>
  <si>
    <t>10.1016/j.marpolbul.2013.04.023</t>
  </si>
  <si>
    <t>WOS:000336707900009</t>
  </si>
  <si>
    <t>Yap, CK; Tan, SG</t>
  </si>
  <si>
    <t>Yap, C. K.; Tan, S. G.</t>
  </si>
  <si>
    <t>A Study on the Potential of the Periostracum of Perna viridis as a Biomonitoring Material for Pb in Tropical Coastal Waters Based on Correlation Analysis</t>
  </si>
  <si>
    <t>SAINS MALAYSIANA</t>
  </si>
  <si>
    <t>Biomonitoring material; Cd; Pb; periostracum; Perna viridis</t>
  </si>
  <si>
    <t>WEST-COAST; PENINSULAR MALAYSIA; TRACE-ELEMENTS; MUSSEL SHELLS; SOFT-TISSUE; METAL; MYTILUS; CD; ACCUMULATION; LINNAEUS</t>
  </si>
  <si>
    <t>The periostracum is the outermost layer overlying the inner prismatic and nacreous layers of the shells of bivalves. In the present study, the distributions of Cd and Pb in the soft tissues (ST) and periostracum of the green-lipped mussel Perna viridis sampled from 15 Sampling sites in the coastal waters of Peninsular Malaysia were determined. The concentrations of Cd (0.21-10.87 mg/g dry weight) and Pb (1.16-40.20 mg/g dry weight) in the periostracum were generally higher than those in the ST (Cd: 0.10-5.55 mg/g dry weight; Pb: 2.53-18.62 mg/g dry weight). Based on correlation analysis from nine geographical populations, the higher correlation coefficients (R values) between the periostracum-geochemical fractions of the sediments than between the sT-geochemical fractions of the sediments indicated that the periostracum could be a potential biomonitoring material for Pb. Hence, the present results supported the use of the periostracum of P. viridis as a potential biomonitoring material for Pb but not for Cd. However, more studies are warranted to verify its usefulness for the biomonitoring of heavy metal pollution in tropical coastal waters.</t>
  </si>
  <si>
    <t>[Yap, C. K.] Univ Putra Malaysia, Fac Sci, Dept Biol, Serdang 43400, Selangor, Malaysia; [Tan, S. G.] Univ Putra Malaysia, Fac Biotechnol &amp; Biomol Sci, Dept Cell &amp; Mol Biol, Serdang 43400, Selangor, Malaysia</t>
  </si>
  <si>
    <t>Tan, S/0000-0001-9960-4493; Yap, Chee Kong/0000-0003-0317-0999</t>
  </si>
  <si>
    <t>This study was partly supported by the Research University Grant Scheme (RUGS), [Vote no.: 91986], by Universiti Putra Malaysia.</t>
  </si>
  <si>
    <t>UNIV KEBANGSAAN MALAYSIA</t>
  </si>
  <si>
    <t>SELANGOR</t>
  </si>
  <si>
    <t>FACULTY SCIENCE &amp; TECHNOLOGY, BANGI, SELANGOR, 43600, MALAYSIA</t>
  </si>
  <si>
    <t>0126-6039</t>
  </si>
  <si>
    <t>SAINS MALAYS</t>
  </si>
  <si>
    <t>Sains Malays.</t>
  </si>
  <si>
    <t>813QL</t>
  </si>
  <si>
    <t>WOS:000294381900001</t>
  </si>
  <si>
    <t>Smolders, R; Bervoets, L; De Coen, W; Blust, R</t>
  </si>
  <si>
    <t>Cellular energy allocation in zebra mussels exposed along a pollution gradient: linking cellular effects to higher levels of biological organization</t>
  </si>
  <si>
    <t>effluent; zebra mussel; cellular energy allocation; biological organization; energy budgets</t>
  </si>
  <si>
    <t>TRANSPORT SYSTEM ETS; DREISSENA-POLYMORPHA; DAPHNIA-MAGNA; CONSUMPTION; BIOMONITORS; INDICATORS; PARAMETERS; BIOASSAYS; TOXICITY; CADMIUM</t>
  </si>
  <si>
    <t>Organisms exposed to suboptimal environments incur a cost of dealing with stress in terms of metabolic resources. The total amount of energy available for maintenance, growth and reproduction, based on the biochemical analysis of the energy budget, may provide a sensitive measure of stress in an organism. While the concept is clear, linking cellular or biochemical responses to the individual and population or community level remains difficult. The aim of this study was to validate, under field conditions, using cellular energy budgets [i.e. changes in glycogen-, lipid- and protein-content and mitochondrial electron transport system (ETS)] as an ecologically relevant measurement of stress by comparing these responses to physiological and organismal endpoints. Therefore, a 28-day in situ bioassay with zebra mussels (Dreissena polymorpha) was performed in an effluent-dominated stream. Five locations were selected along the pollution gradient and compared with a nearby (reference) site. Cellular Energy Allocation (CEA) served as a biomarker of cellular energetics, while Scope for Growth (SFG) indicated effects on a physiological level and Tissue Condition Index and wet tissue weight/dry tissue weight ratio were used as endpoints of organismal effects. Results indicated that energy budgets at a cellular level of biological organization provided the fastest and most sensitive response and energy budgets are a relevant currency to extrapolate cellular effects to higher levels of biological organization within the exposed mussels. (C) 2003 Elsevier Ltd. All rights reserved.</t>
  </si>
  <si>
    <t>Univ Antwerp, RUCA, Lab Ecophysiol Biochem &amp; Toxicol, B-2020 Antwerp, Belgium</t>
  </si>
  <si>
    <t>Univ Antwerp, RUCA, Lab Ecophysiol Biochem &amp; Toxicol, Groenenborgerlaan 171, B-2020 Antwerp, Belgium.</t>
  </si>
  <si>
    <t>roel.smolders@ua.ac.be</t>
  </si>
  <si>
    <t>Bervoets, Lieven/E-5012-2015; Smolders, Roel/AAO-1699-2020</t>
  </si>
  <si>
    <t>Smolders, Roel/0000-0002-6565-3905</t>
  </si>
  <si>
    <t>10.1016/j.envpol.2003.09.027</t>
  </si>
  <si>
    <t>WOS:000220248600012</t>
  </si>
  <si>
    <t>Zhou, WS; Tang, Y; Du, XY; Han, Y; Shi, W; Sun, SG; Zhang, WX; Zheng, HQ; Liu, GX</t>
  </si>
  <si>
    <t>Zhou, Weishang; Tang, Yu; Du, Xueying; Han, Yu; Shi, Wei; Sun, Shuge; Zhang, Weixia; Zheng, Huoqing; Liu, Guangxu</t>
  </si>
  <si>
    <t>Fine polystyrene microplastics render immune responses more vulnerable to two veterinary antibiotics in a bivalve species</t>
  </si>
  <si>
    <t>Microplastics; Oxytetracycline; Florfenicol; Immune responses; Bivalves</t>
  </si>
  <si>
    <t>Living in close proximity to the sediment of coastal areas, bivalves may be exposed to veterinary antibiotic residuals and microplastics (MPs) simultaneously. However, the immunotoxic impacts of veterinary antibiotics remain unknown in bivalves, let alone their interactions with MPs. Therefore, the immune responses of two representative veterinary antibiotics, oxytetracycline and florfenicol, was investigated in a bivalve species, the blood clam (Tegillarca granosa). The effects of the copresence of MPs on the immune responses triggered by these antibiotics were also analyzed. Results showed that exposure to antibiotics investigated led to significant alteration in hematic parameters and reduction in lectin content in serum. In addition to inducing ROS production, aggravating lipid peroxidation and DNA damage, and suppressing the hemocyte viability, antibiotic treatments also downregulated the expression of immune-and detoxification-related genes but upregulated apoptosis-related Caspase-3. Furthermore, the toxic impacts of antibiotics were found to be significantly increased by the copresence of MPs.</t>
  </si>
  <si>
    <t>[Zhou, Weishang; Tang, Yu; Du, Xueying; Han, Yu; Shi, Wei; Sun, Shuge; Zhang, Weixia; Zheng, Huoqing; Liu, Guangxu] Zhejiang Univ, Coll Anim Sci, 866 Yuhangtang Rd, Hangzhou 310058, Peoples R China</t>
  </si>
  <si>
    <t>Shi, Wei/P-2846-2019; Zheng, Huoqing/AAQ-3307-2021</t>
  </si>
  <si>
    <t>National Key Research and Development Program of China [2018YFD0900603]; National Natural Science Foundation of China [31672634]; Open Project of Key Laboratory of Environmental Biotechnology, CAS [kf2018005]; China Postdoctoral Science Foundation [2020M671743]; Natural Science Foundation of Zhejiang Province [LQ21C190003]</t>
  </si>
  <si>
    <t>National Key Research and Development Program of China(National Key Research &amp; Development Program of China); National Natural Science Foundation of China(National Natural Science Foundation of China (NSFC)); Open Project of Key Laboratory of Environmental Biotechnology, CAS; China Postdoctoral Science Foundation(China Postdoctoral Science Foundation); Natural Science Foundation of Zhejiang Province(Natural Science Foundation of Zhejiang Province)</t>
  </si>
  <si>
    <t>This work was funded by the National Key Research and Development Program of China (No. 2018YFD0900603) , the National Natural Science Foundation of China (No. 31672634) , and the Open Project of Key Laboratory of Environmental Biotechnology, CAS (kf2018005) awarded to G.X. Liu, and the China Postdoctoral Science Foundation (2020M671743) and Natural Science Foundation of Zhejiang Province (LQ21C190003) awarded to W. Shi.</t>
  </si>
  <si>
    <t>10.1016/j.marpolbul.2021.111995</t>
  </si>
  <si>
    <t>RB7DJ</t>
  </si>
  <si>
    <t>WOS:000632268100010</t>
  </si>
  <si>
    <t>Buisson, S; Bouchart, V; Guerlet, E; Malas, JP; Costil, K</t>
  </si>
  <si>
    <t>Buisson, Sophie; Bouchart, Valerie; Guerlet, Edwige; Malas, Jean Paul; Costil, Katherine</t>
  </si>
  <si>
    <t>Level of contamination and impact of pesticides in cupped oyster, Crassostrea gigas, reared in a shellfish production area in Normandy (France)</t>
  </si>
  <si>
    <t>JOURNAL OF ENVIRONMENTAL SCIENCE AND HEALTH PART B-PESTICIDES FOOD CONTAMINANTS AND AGRICULTURAL WASTES</t>
  </si>
  <si>
    <t>1st International Conference on Environmental Management, Engineering, Planning and Economics (CEMEPE)</t>
  </si>
  <si>
    <t>JUN 24-28, 2007</t>
  </si>
  <si>
    <t>Skiathos Isl, GREECE</t>
  </si>
  <si>
    <t>Pacific oyster; Normandy; pesticides; NRR assay; histopathology; gametogenesis</t>
  </si>
  <si>
    <t>RED RETENTION ASSAY; PACIFIC OYSTER; BIVALVE MOLLUSKS; ESTUARINE MESOCOSM; SUMMER MORTALITY; MUSSELS; POLLUTION; SALINITY; STRESS; EDULIS</t>
  </si>
  <si>
    <t>Over the last decade, oysters in the Bay of Veys (Northwest France) have sporadically experienced significant summer mortality events which appear to be due to a combination of extrinsic and intrinsic factors. In the present work, the involvement of pesticides (as additional stressors) was investigated using both artificial exposure and field studies (at two sites). Six herbicides were detected in seawater following tests for a total of 15 herbicides. The most estuarine site was the most contaminated, showing relatively high values compared with those recorded in a neighboring river. No pesticides were detected in the flesh of oysters in the field but exposure experiments led to an accumulation of two substituted ureas (diuron and isoproturon, from 0.5 mu g/L and 1 mu gL(-1) respectively). Some physiological effects were observed in terms of reproduction (partial spawning) and histopathology (atrophy of the digestive tubule epithelium) but results related to other tissue alterations and to neutral red retention (NRR) assays were not conclusive and require further investigation.</t>
  </si>
  <si>
    <t>[Buisson, Sophie; Guerlet, Edwige; Costil, Katherine] Univ Caen BN, Lab Biol &amp; Biotechnol Marines, IFREMER, IFR ICORE,UMR 100, F-14032 Caen, France; [Bouchart, Valerie; Malas, Jean Paul] Lab Dept Frank Duncombe, Caen, France</t>
  </si>
  <si>
    <t>Costil, K (corresponding author), Univ Caen BN, Lab Biol &amp; Biotechnol Marines, IFREMER, IFR ICORE,UMR 100, F-14032 Caen, France.</t>
  </si>
  <si>
    <t>0360-1234</t>
  </si>
  <si>
    <t>J ENVIRON SCI HEAL B</t>
  </si>
  <si>
    <t>J. Environ. Sci. Health Part B-Pestic. Contam. Agric. Wastes</t>
  </si>
  <si>
    <t>10.1080/03601230802352732</t>
  </si>
  <si>
    <t>362XF</t>
  </si>
  <si>
    <t>WOS:000260229800004</t>
  </si>
  <si>
    <t>Magniez, G; Franco, A; Geffard, A; Rioult, D; Bonnard, I; Delahaut, L; Joachim, S; Daniele, G; Vulliet, E; Porcher, JM; Bonnard, M</t>
  </si>
  <si>
    <t>Magniez, Gabrielle; Franco, Alban; Geffard, Alain; Rioult, Damien; Bonnard, Isabelle; Delahaut, Laurence; Joachim, Sandrine; Daniele, Gaelle; Vulliet, Emmanuelle; Porcher, Jean-Marc; Bonnard, Marc</t>
  </si>
  <si>
    <t>Determination of a new index of sexual maturity (ISM) in zebra mussel using flow cytometry: interest in ecotoxicology</t>
  </si>
  <si>
    <t>Annual Workshop of the Fundamental-and-Applied-Ecotoxicology-Society (SEFA)</t>
  </si>
  <si>
    <t>JUN 29-30, 2016</t>
  </si>
  <si>
    <t>Reims, FRANCE</t>
  </si>
  <si>
    <t>Reprotoxicity; Spermatogenesis; Zebra mussel; Freshwater ecosystems; Cell cycle analysis; Germ cells</t>
  </si>
  <si>
    <t>MALE GERM-CELLS; DREISSENA-POLYMORPHA; MOUSE SPERMATOGENESIS; DRUG CARBAMAZEPINE; REPRODUCTION; EXPOSURE; POLLUTION; ECOSYSTEM; BIVALVES; TOXICITY</t>
  </si>
  <si>
    <t>The global dynamic spread of chemical contamination through the aquatic environment calls for the development of biomarkers of interest. Reproduction is a key element to be considered because it is related to the sustainability of species. Spermatogenesis is a complex process that leads to the formation of mature germ cells, whose steps and impairments need to be finely described in ecotoxicological analyses. The physiological process has been commonly described by histological analyses of gonads in different taxa. In the present paper, we describe the development of a novel technique to characterize spermatogenesis based on the analysis of the DNA content of germ cells by flow cytometry, using a DNA-intercalating agent. This new biomarker, referred to as an index of sexual maturity, proved relevant to describe the seasonal reproductive cycle of the zebra mussel, Dreissena polymorpha (Pallas, 1771), used as a sentinel species in the biomonitoring of continental waters and sensitive to highlight the reprotoxicity of carbamazepine (an anti-epileptic pharmaceutical) tested under ecosystemic conditions (mesocosms).</t>
  </si>
  <si>
    <t>[Magniez, Gabrielle; Franco, Alban; Geffard, Alain; Rioult, Damien; Bonnard, Isabelle; Delahaut, Laurence; Bonnard, Marc] Univ Reims, UMR I SEBIO Stress Environm &amp; BIOsurveillance Mil, UFR Sci Exactes &amp; Nat, BP 1039, F-51687 Reims 2, France; [Joachim, Sandrine; Porcher, Jean-Marc] Inst Natl Environm Ind &amp; Risques INERIS, UMR I SEBIO 02, Parc Technol Alata,BP 2, F-60550 Verneuil En Halatte, France; [Daniele, Gaelle; Vulliet, Emmanuelle] Univ Claude Bernard Lyon1, Univ Lyon, CNRS, Ens Lyon,Inst Sci Analyt,UMR 5280, 5 Rue Doua, F-69100 Villeurbanne, France</t>
  </si>
  <si>
    <t>Universite de Reims Champagne-Ardenne; Universite de Reims Champagne-Ardenne; Institut National de l'Environnement Industriel et des Risques (INERIS); Ecole Normale Superieure de Lyon (ENS de LYON); Centre National de la Recherche Scientifique (CNRS); CNRS - Institute of Chemistry (INC); Universite Claude Bernard Lyon 1</t>
  </si>
  <si>
    <t>Magniez, G; Bonnard, M (corresponding author), Univ Reims, UMR I SEBIO Stress Environm &amp; BIOsurveillance Mil, UFR Sci Exactes &amp; Nat, BP 1039, F-51687 Reims 2, France.</t>
  </si>
  <si>
    <t>gabrielle.magniez@univ-reims.fr; marc.bonnard@univ-reims.fr</t>
  </si>
  <si>
    <t>Vulliet, Emmanuelle/B-1074-2015; PORCHER, Jean-Marc/S-7342-2018</t>
  </si>
  <si>
    <t>Geffard, Alain/0000-0001-9236-2890; Joachim, Sandrine/0000-0001-7383-0097; Bonnard, Marc/0000-0002-6155-0191; VULLIET, Emmanuelle/0000-0002-6325-1531; PORCHER, Jean-Marc/0000-0002-4135-3078</t>
  </si>
  <si>
    <t>French Agency for the Safety of Health Products (ANSM)</t>
  </si>
  <si>
    <t>The authors thank both the French Agency for the Safety of Health Products (ANSM) for financing the 2013-2016 Doremipharm project (coordinators: A. Pery and S. Andres-INERIS), as well as the Champagne-Ardenne Region for the 2013-2016 Trecopolem project (coordinator: Pr. E. Guillon-ICMR, URCA), which aim to assess the environmental risk of pharmaceuticals in aquatic environments. The authors also thank Voies Navigables de France (VNF) for their authorization to transplant zebra mussels into the Canal de l'Aisne a la Marne (Ecluse Flechambault-Reims) as well as the cytometry platform Mobicyte (URCA) for all flow cytometry analyses. The authors warmly acknowledge Mrs. Annie Buchwalter for revising the English form of the paper.</t>
  </si>
  <si>
    <t>10.1007/s11356-017-9256-2</t>
  </si>
  <si>
    <t>GF2SM</t>
  </si>
  <si>
    <t>WOS:000431790000009</t>
  </si>
  <si>
    <t>González-Macías, C; Schifter, I; Lluch-Cota, DB; Méndez-Rodríguez, L; Hernández-Vázquez, S</t>
  </si>
  <si>
    <t>Gonzalez-Macias, C.; Schifter, I.; Lluch-Cota, D. B.; Mendez-Rodriguez, L.; Hernandez-Vazquez, S.</t>
  </si>
  <si>
    <t>Assessment of benthic changes during 20 years of monitoring the Mexican Salina Cruz Bay</t>
  </si>
  <si>
    <t>Surface sediments; Bay of Salina Cruz Mexico; Mollusk communities; Contamination; Metals; Hydrocarbons</t>
  </si>
  <si>
    <t>HEAVY-METALS; AROMATIC-HYDROCARBONS; MYTILUS-EDULIS; MARINE; POLLUTION; MOLLUSKS; COASTAL; COMMUNITIES; VARIABILITY; EXPLORATION</t>
  </si>
  <si>
    <t>In this work a non-parametric multivariate analysis was used to assess the impact of metals and organic compounds in the macro infaunal component of the mollusks benthic community using surface sediment data from several monitoring programs collected over 20 years in Salina Cruz Bay, Mexico. The data for benthic mollusks community characteristics ( richness, abundance and diversity) were linked to multivariate environmental patterns, using the Alternating Conditional Expectations method to correlate the biological measurements of the mollusk community with the physicochemical properties of water and sediments. Mollusks community variation is related to environmental characteristics as well as lead content. Surface deposit feeders are increasing their relative density, while subsurface deposit feeders are decreasing with respect to time, these last are expected to be more related with sediment and more affected then by its quality. However gastropods with predatory carnivore as well as chemosymbiotic deposit feeder bivalves have maintained their relative densities along time.</t>
  </si>
  <si>
    <t>[Gonzalez-Macias, C.; Schifter, I.] Inst Mexicano Petr, Direcc Seguridad &amp; Medio Ambiente, Mexico City 07730, DF, Mexico; [Lluch-Cota, D. B.; Mendez-Rodriguez, L.; Hernandez-Vazquez, S.] Ctr Invest Biol Noroeste, La Paz 23090, Bcs, Mexico</t>
  </si>
  <si>
    <t>Instituto Mexicano del Petroleo; CIBNOR - Centro de Investigaciones Biologicas del Noroeste; Telefonica SA</t>
  </si>
  <si>
    <t>Schifter, I (corresponding author), Inst Mexicano Petr, Direcc Seguridad &amp; Medio Ambiente, Eje Cent Lazaro Cardenas 152, Mexico City 07730, DF, Mexico.</t>
  </si>
  <si>
    <t>ishifter@imp.mx</t>
  </si>
  <si>
    <t>Mendez, Lia/AAF-2271-2020; Lluch-Cota, Daniel/AEU-0658-2022</t>
  </si>
  <si>
    <t>Lluch-Cota, Daniel Bernardo/0000-0002-9045-9821; Mendez-Rodriguez, Lia/0000-0002-4356-1305</t>
  </si>
  <si>
    <t>10.1007/s10661-008-0187-8</t>
  </si>
  <si>
    <t>404NL</t>
  </si>
  <si>
    <t>WOS:000263159800011</t>
  </si>
  <si>
    <t>Regoli, F</t>
  </si>
  <si>
    <t>Trace metals and antioxidant enzymes in gills and digestive gland of the Mediterranean mussel Mytilus galloprovincialis</t>
  </si>
  <si>
    <t>HEAVY-METAL; LIPID-PEROXIDATION; AQUATIC ANIMALS; POLLUTION; EDULIS; RESPONSES; WEIGHT; HYDROCARBON; GLUTATHIONE; ENVIRONMENT</t>
  </si>
  <si>
    <t>A seasonal variability of trace metal concentrations and antioxidant enzymes was observed in gills and digestive gland of the Mediterranean mussel Mytilus galloprovincialis from both a polluted and a nonpolluted population. Trace metals (As, Cu, Fe, Mn, Fb, and Zn) exhibited. in both organs, maximum values in later winter-early spring followed by a progressive decrease during the summer. While in the gills this behavior probably reflects a different bioavailability of metals, in the digestive gland it is influenced mainly by the progressive infiltration of the organ by gonadic tissues during gametogenesis. Metals, as other pollutants, are known to influence the oxidative status of these organisms and antioxidant enzymes have been often proposed as biomarkers of exposure to contaminants. In this respect, it was of interest to compare the variations of these biochemical parameters with those of metal levels in two mussel populations from a polluted and a nonpolluted site, respectively. The biochemical parameters examined included the level of glutathione and the activity of the following glutathione dependent and antioxidant enzymes: glyoxalase I, EC 4.4.1.5; glyoxalase II, EC3.1.2.6; glutathione S-transferases, EC 2.5.1.18, glutathione reductase, EC 1.6.4.2; Se-dependent, EC 1.11.1.9 and Se-independent, EC 2.5.1.18 glutathione peroxidases; catalase, EC 1.11.1.6; superoxide dismutase, EC 1.15.1.1, Seasonal variations of trace metals did not appear to influence those of biochemical parameters, which generally showed an opposite trend with higher enzymatic activities in summer when trace metal concentrations were lower,The effects of metals on antioxidant enzymes were more evident when the two mussel populations were compared. In particular, organisms from the polluted site showed lower levels of glutathione and higher enzymatic activities of glyoxalase I even though the magnitude of these differences was not constant during the year. Moreover, native mussels from both the polluted and control populations exhibited limited differences in the activities of glutathione reductase, glutathione peroxidases, catalase, and superoxide dismutase, suggesting the possibility of some biochemical adaptation in organisms from chronically polluted environments.</t>
  </si>
  <si>
    <t>Univ Ancona, Ist Biol E Genet, I-60100 Ancona, Italy</t>
  </si>
  <si>
    <t>Univ Ancona, Ist Biol E Genet, Via Ranieri Monte Dago, I-60100 Ancona, Italy.</t>
  </si>
  <si>
    <t>10.1007/s002449900285</t>
  </si>
  <si>
    <t>YP024</t>
  </si>
  <si>
    <t>WOS:000071233600008</t>
  </si>
  <si>
    <t>Gonzalez-Oreja, JA; Salinas, JIS</t>
  </si>
  <si>
    <t>Recovery simulations of grossly polluted sediments in the Bilbao Estuary</t>
  </si>
  <si>
    <t>Bilbao Estuary; bivalves Scrobicularia plana; sediment; recovery; pollution</t>
  </si>
  <si>
    <t>SPAIN</t>
  </si>
  <si>
    <t>The Bilbao Estuary is one of the most contaminated estuaries on the north coast of Spain, and vast efforts have been made to abate pollution there. In fact, the local water authority has forecast a biological recovery of the native fauna after a substantial increase in dissolved oxygen to normoxic levels. In order to assess this prediction by evaluating the extent of natural regeneration of these polluted sediments, two long-term bioassays (t = 90 d) were performed. In both of them, lethal (differences in survival) and sublethal (differences in length and weight growth) effects were measured by using juvenile individuals of the autochthonous clam, Scrobicularia plana (Da Costa, 1778). The sediments tested differed in pollution levels, as measured by a set of indicators including PAHs, PCBs, heavy metals, volatile organic matter and coprostanol. All sediments were finally exposed to normoxic conditions in situ in the Bilbao Estuary (DO similar to 6.3 mg l(-1)). In the first experiment, concerning moderately polluted sediments from the Bilbao Estuary and reference sediments from the pristine Plentzia Estuary, no significant differences (P &gt; 0.05) were found regarding animal survival (similar to94.5%) or growth in length or weight between the sediments tested. In the second experiment, also involving grossly polluted sediments (GPS) from the Bilbao Estuary, survival (24.5%) was statistically lower (P &lt; 0.05) than in the other sediments (similar to93%). No significant differences were found in growth (length, weight) between animals exposed to moderately polluted or reference sediments. We interpret this dramatic difference in survival as the lethal effect on the animals tested of the GPS of the Bilbao Estuary, indicating a situation where biological recovery is not possible due to the adverse consequences of contaminants sorbed into sediments. The extensive use of this inexpensive bioassay could help to distinguish sediments in which homeostatic recovery is possible from grossly polluted hot spots, which need costly remedial actions. (C) 2002 Elsevier Science Ltd. All rights reserved.</t>
  </si>
  <si>
    <t>Univ Basque Country, Dept Zool, Bilbao 48080, Spain; Univ Basque Country, ACD, Bilbao 48080, Spain; Univ Americas Puebla, Depto Quim &amp; Biol, Cholula 72820, Mexico</t>
  </si>
  <si>
    <t>University of Basque Country; University of Basque Country; Universidad Americas Puebla (UDLAP)</t>
  </si>
  <si>
    <t>Univ Basque Country, Dept Zool, POB 644, Bilbao 48080, Spain.</t>
  </si>
  <si>
    <t>jgonzorj@mail.udlap.mx; zopsasaj@lg.ehu.es</t>
  </si>
  <si>
    <t>Salinas, Jose/I-5216-2015; Gonzalez-Oreja, Jose A./B-1235-2011</t>
  </si>
  <si>
    <t>Gonzalez-Oreja, Jose A./0000-0001-6831-926X</t>
  </si>
  <si>
    <t>PII S0025-326X(02)00137-6</t>
  </si>
  <si>
    <t>10.1016/S0025-326X(02)00137-6</t>
  </si>
  <si>
    <t>WOS:000181014600017</t>
  </si>
  <si>
    <t>Sun, CF; Teng, J; Wang, DY; Li, JS; Wang, XD; Zhao, JM; Shan, EC; Chen, H; Wang, Q</t>
  </si>
  <si>
    <t>Sun, Chaofan; Teng, Jia; Wang, Dongyu; Li, Jiashen; Wang, Xiaodan; Zhao, Jianmin; Shan, Encui; Chen, Hao; Wang, Qing</t>
  </si>
  <si>
    <t>Potential threats of microplastics and pathogenic bacteria to the immune system of the mussels Mytilus galloprovincialis</t>
  </si>
  <si>
    <t>Microplastics; Vibrio. Parahaemolyticus; Bivalve; Immune system; Long-term</t>
  </si>
  <si>
    <t>MARICULTURE; BIOMARKERS; CHALLENGE; HEMOCYTES; STABILITY; HEMOLYMPH; DEFENSIN; SEA; BAY</t>
  </si>
  <si>
    <t>As one of the main components of marine pollution, microplastics (MPs) inevitably enter the mussel aquaculture environment. At the same time, pathogenic bacteria, especially pathogens such as Vibrio, can cause illness outbreaks, leading to large-scale death of mussels. The potential harm of MPs and pathogenic bacteria to bivalve remains unclear. This study designed two experiments (1) mussels (Mytilus galloprovincialis) were exposed to 100 particles/L or 1,000 particles/L polymethyl methacrylate (PMMA, 17.01 +/- 6.74 mu m) MPs and 1 x 107 CFU/mL Vibrio parahaemolyticus at the same time (14 days), and (2) mussels were exposed to 100 particles/L or 1,000 particles/L MPs for a long time (30 days) and then exposed to 1 x 107 CFU/mL V. parahaemolyticus to explore the effects of these two stresses on the mussel immune system. The results showed that after the combined exposure of V. parahaemolyticus and MPs, the lysosomal membrane stability of hemocytes decreased, lysozyme activity was inhibited, and hemocytes were induced to produce more lectins and defensins to fight pathogenic invasion. Longterm exposure to MPs caused a large amount of energy consumption in mussels, inhibited most of the functions of humoral immunity, increased the risk of mussel infection with pathogenic bacteria, and negatively affected mussel condition factor, the number of hemocytes, and the number of byssuses. Mussels may allocate more energy to deal with MPs and pathogenic bacterial infections rather than for growth. Above all, MPs exposure can affect mussel immune function or reduce its stress resistance, which in turn has an impact on mollusk farming.</t>
  </si>
  <si>
    <t>[Sun, Chaofan; Teng, Jia; Wang, Dongyu; Li, Jiashen; Wang, Xiaodan; Zhao, Jianmin; Shan, Encui; Wang, Qing] Chinese Acad Sci, Yantai Inst Coastal Zone Res, Res &amp; Dev Ctr Efficient Utilizat Coastal Bioresour, Yantai 264003, Peoples R China; [Sun, Chaofan; Teng, Jia; Wang, Dongyu; Li, Jiashen; Zhao, Jianmin; Shan, Encui; Wang, Qing] Qingdao Marine Sci &amp; Technol Ctr, Lab Marine Biol &amp; Biotechnol, Qingdao 266237, Peoples R China; [Sun, Chaofan; Teng, Jia; Wang, Dongyu; Li, Jiashen; Zhao, Jianmin; Shan, Encui; Wang, Qing] Chinese Acad Sci, Muping Coastal Environm Res Stn, Yantai Inst Coastal Zone Res, Yantai 264003, Peoples R China; [Sun, Chaofan; Teng, Jia; Wang, Dongyu; Li, Jiashen; Zhao, Jianmin; Shan, Encui; Wang, Qing] Chinese Acad Sci, Key Lab Coastal Environm Proc &amp; Ecol Remediat, Yantai Inst Coastal Zone Res, Yantai 264003, Peoples R China; [Sun, Chaofan; Teng, Jia; Wang, Dongyu; Li, Jiashen; Shan, Encui] Univ Chinese Acad Sci, Beijing 100049, Peoples R China; [Chen, Hao] Ludong Univ, Coll Resources &amp; Environm Engn, Yantai, Peoples R China</t>
  </si>
  <si>
    <t>Chinese Academy of Sciences; Yantai Institute of Coastal Zone Research, CAS; Chinese Academy of Sciences; Yantai Institute of Coastal Zone Research, CAS; Chinese Academy of Sciences; Yantai Institute of Coastal Zone Research, CAS; Chinese Academy of Sciences; University of Chinese Academy of Sciences, CAS; Ludong University</t>
  </si>
  <si>
    <t>Wang, Q (corresponding author), Chinese Acad Sci, Yantai Inst Coastal Zone Res, Res &amp; Dev Ctr Efficient Utilizat Coastal Bioresour, Yantai 264003, Peoples R China.;Wang, Q (corresponding author), Qingdao Marine Sci &amp; Technol Ctr, Lab Marine Biol &amp; Biotechnol, Qingdao 266237, Peoples R China.;Wang, Q (corresponding author), Chinese Acad Sci, Muping Coastal Environm Res Stn, Yantai Inst Coastal Zone Res, Yantai 264003, Peoples R China.;Wang, Q (corresponding author), Chinese Acad Sci, Key Lab Coastal Environm Proc &amp; Ecol Remediat, Yantai Inst Coastal Zone Res, Yantai 264003, Peoples R China.</t>
  </si>
  <si>
    <t>qingwang@yic.ac.cn</t>
  </si>
  <si>
    <t>Wang, Xiaodan/AAC-5241-2021</t>
  </si>
  <si>
    <t>National Natural Science Fund of China [42306180, 42106136, 42176161]</t>
  </si>
  <si>
    <t>National Natural Science Fund of China(National Natural Science Foundation of China (NSFC))</t>
  </si>
  <si>
    <t>This study was supported by the National Natural Science Fund of China (42306180, 42106136, 42176161) .</t>
  </si>
  <si>
    <t>10.1016/j.aquatox.2024.106959</t>
  </si>
  <si>
    <t>TS3S0</t>
  </si>
  <si>
    <t>WOS:001243214900001</t>
  </si>
  <si>
    <t>Gallmetzer, I; Haselmair, A; Tomasovych, A; Stachowitsch, M; Zuschin, M</t>
  </si>
  <si>
    <t>Gallmetzer, Ivo; Haselmair, Alexandra; Tomasovych, Adam; Stachowitsch, Michael; Zuschin, Martin</t>
  </si>
  <si>
    <t>Responses of molluscan communities to centuries of human impact in the northern Adriatic Sea</t>
  </si>
  <si>
    <t>GULF-OF-TRIESTE; AMPHIURA-FILIFORMIS; INTEGRATED APPROACH; SPECIES COMPOSITION; SEDIMENT TRANSPORT; BENTHIC MACROFAUNA; HYPOXIC TOLERANCE; DEATH ASSEMBLAGES; OXYGEN DEFICIENCY; LEVEL CHANGES</t>
  </si>
  <si>
    <t>In sediment cores spanning similar to 500 years of history in the Gulf of Trieste, down-core changes in molluscan community structure are characterized by marked shifts in species and functional composition. Between the 16th and 19th century, a strong heavy metal contamination of the sediments, most notably by Hg, together with the effects of natural climatic oscillations (increased sedimentation and organic enrichment) drive community changes. Since the early 20th century up to 2013, the combined impacts of cultural eutrophication, frequent hypoxic events and intensifying bottom trawling replace heavy metal contamination and climatic factors as the main drivers. The pollution-tolerant and opportunistic bivalve Corbula gibba and the scavenging gastropod Nassarius pygmaeus significantly increase in abundance during the 20 th century, while species more sensitive to disturbances and hypoxia such as Turritella communis and Kurtiella bidentata become rare or absent. An infaunal life habit and scavenging emerge as the dominant life strategies during the late 20 th century. Down-core shifts in the proportional abundances of molluscan species and functional groups represent a sensitive proxy for past ecological changes and reveal a century-long anthropogenic impact as the main driver behind these processes in the northern Adriatic Sea, offering also a unique perspective for other shallow marine ecosystems worldwide.</t>
  </si>
  <si>
    <t>[Gallmetzer, Ivo; Haselmair, Alexandra; Zuschin, Martin] Univ Vienna, Dept Palaeontol, Vienna, Austria; [Tomasovych, Adam] Slovak Acad Sci, Geol Inst, Bratislava, Slovakia; [Stachowitsch, Michael] Univ Vienna, Dept Limnol &amp; Biooceanog, Ctr Ecol, Vienna, Austria</t>
  </si>
  <si>
    <t>University of Vienna; Slovak Academy of Sciences; University of Vienna</t>
  </si>
  <si>
    <t>Gallmetzer, I (corresponding author), Univ Vienna, Dept Palaeontol, Vienna, Austria.</t>
  </si>
  <si>
    <t>Zuschin, Martin/M-9951-2016; Tomasovych, Adam/C-9623-2010</t>
  </si>
  <si>
    <t>Zuschin, Martin/0000-0002-5235-0198; Tomasovych, Adam/0000-0002-0471-9480</t>
  </si>
  <si>
    <t>Austrian Science Fund (FWF) [P24901]; Austrian Science Fund (FWF) [P24901] Funding Source: Austrian Science Fund (FWF)</t>
  </si>
  <si>
    <t>Austrian Science Fund (FWF)(Austrian Science Fund (FWF)); Austrian Science Fund (FWF)(Austrian Science Fund (FWF))</t>
  </si>
  <si>
    <t>This work was supported by the Austrian Science Fund (FWF), grant number P24901.The Austrian Science Fund (FWF) supported this study under grant number P24901.</t>
  </si>
  <si>
    <t>JUL 19</t>
  </si>
  <si>
    <t>e0180820</t>
  </si>
  <si>
    <t>10.1371/journal.pone.0180820</t>
  </si>
  <si>
    <t>FB3UH</t>
  </si>
  <si>
    <t>WOS:000406067800027</t>
  </si>
  <si>
    <t>Risk, MJ; Burchell, M; de Roo, K; Nairn, R; Tubrett, M; Forsterra, G</t>
  </si>
  <si>
    <t>Risk, Michael J.; Burchell, Meghan; de Roo, Katharina; Nairn, Rob; Tubrett, Mike; Forsterra, Gunter</t>
  </si>
  <si>
    <t>Trace elements in bivalve shells from the Rio Cruces, Chile</t>
  </si>
  <si>
    <t>Egeria densa; Black-necked swans; delta O-18; Bivalves; Diplodon chilensis; Trace elements; CELCO Plant</t>
  </si>
  <si>
    <t>MUSSEL DIPLODON-CHILENSIS; GROWTH; RECORD; METALS; RIVER; POLLUTION; BEHAVIOR; BARIUM; COPPER; BANDS</t>
  </si>
  <si>
    <t>In May 1960, the largest recorded earthquake in the earth's history struck southern Chile, and lowered the course of the Rio Cruces by approximately 2 m. This created a wetland, which was colonised by the waterweed Egeria densa and, subsequently, by large populations of the black-necked swan, which fed on the weed. Reported catastrophic declines in the weed and swan populations in 2004 coincided with the opening of a large cellulose plant upstream, leading to popular and scientific condemnation of the plant. In 2008, samples of the freshwater bivalve Diplodon chilensis were retrieved from the bed of the Rio Cruces at several locations downstream of the plant, and the growth patterns of the bivalves were studied in thin section. Trace element profiles of bivalves were determined by laser ablation inductively coupled plasma mass spectrometry (LA-ICP/MS). Some of the bivalves had ages of almost 50 yr, indicating that they colonised the drowned riverbed less than a decade after the earthquake. There were no growth recessions or abnormalities in the shells corresponding to 2004, the year the plant opened. Patterns of trace elements in the shells describe aspects of the evolution of the watershed, track annual cycles in rainfall and indicate patterns of soil erosion and/or sediment input. Sr, Ba and Mn have strong annual cyclicity; Ba and Mn are viewed as indicators of soil erosion. Peaks in Ba were large immediately after the earthquake, whereas Ba peaks in the last few decades were of much smaller amplitude. The changes in Ba patterns probably indicate changes in patterns of soil erosion: high erosion rates immediately after the earthquake, slowing as the basin fills. Cu appears as annual low-level peaks in abundance in about 1975, which continue to the present. This may be the result of spraying of fungicides in the watershed, which is heavily used by agriculture. Similarly, scattered peaks in As around 1980 may indicate the use of pesticides. There is no evidence in the bivalve shells of a chemical spill in 2004.</t>
  </si>
  <si>
    <t>[Risk, Michael J.] McMaster Univ, Sch Earth Sci, Hamilton, ON, Canada; [Burchell, Meghan] McMaster Univ, Dept Anthropol, Hamilton, ON, Canada; [de Roo, Katharina; Nairn, Rob] Baird &amp; Associates, Oakville, ON, Canada; [Tubrett, Mike] Mem Univ Newfoundland, Inco Innovat Ctr, St John, NF, Canada; [Forsterra, Gunter] Pontificia Univ Catolica Valparaiso, Valparaiso, Chile</t>
  </si>
  <si>
    <t>McMaster University; McMaster University; Memorial University Newfoundland; Pontificia Universidad Catolica de Valparaiso</t>
  </si>
  <si>
    <t>Risk, MJ (corresponding author), McMaster Univ, Sch Earth Sci, Hamilton, ON, Canada.</t>
  </si>
  <si>
    <t>riskmj@mcmaster.ca</t>
  </si>
  <si>
    <t>Forestal Arauco; Baird and Associates; Natural Sciences and Engineering Research Council of Canada; Canadian Foundation for Innovation</t>
  </si>
  <si>
    <t>Forestal Arauco; Baird and Associates; Natural Sciences and Engineering Research Council of Canada(Natural Sciences and Engineering Research Council of Canada (NSERC)CGIAR); Canadian Foundation for Innovation(Canada Foundation for Innovation)</t>
  </si>
  <si>
    <t>This work was funded by a contract between Forestal Arauco and Baird and Associates, and by grants to M.J.R. awarded by the Natural Sciences and Engineering Research Council of Canada. Thin section and image preparation was completed at the Fisheries Archaeology Research Centre of McMaster University (Dr. A. Cannon), funded by the Canadian Foundation for Innovation. Stable isotope analyses were performed at the University of Waterloo Environmental Isotope Lab. Additional trace element data, and a limited set of analyses of delta18O, are available at: www.int-res.com/articles/suppl/b010p085_supp.pdf</t>
  </si>
  <si>
    <t>U109</t>
  </si>
  <si>
    <t>10.3354/ab00268</t>
  </si>
  <si>
    <t>636UI</t>
  </si>
  <si>
    <t>WOS:000280768200009</t>
  </si>
  <si>
    <t>Tian, YM; Liu, J; Pan, LQ</t>
  </si>
  <si>
    <t>Tian, Yimeng; Liu, Jing; Pan, Luqing</t>
  </si>
  <si>
    <t>The mechanism of Mitogen-Activated Protein Kinases to mediate apoptosis and immunotoxicity induced by Benzo[a]pyrene on hemocytes of scallop Chlamys farreri in vitro</t>
  </si>
  <si>
    <t>Chlamys farreri; B[a]P; MAPKs; Apoptosis; Immunotoxicity</t>
  </si>
  <si>
    <t>POLYCYCLIC AROMATIC-HYDROCARBONS; SIGNAL-REGULATED KINASE; CELL-CYCLE ARREST; MAPK PATHWAY; DNA-DAMAGE; MYTILUS-HEMOCYTES; IMMUNE-RESPONSES; RISK-ASSESSMENT; MARINE MUSSEL; P38 MAPK</t>
  </si>
  <si>
    <t>Benzo [a]pyrene (B [a]P) has received widespread attention for serious pollution in the sea, which may reduce immunity and lead to the outbreak of disease in bivalves. However, the mechanism of immunotoxicity induced by B [a]P in bivalves was still unclear. Previous studies have found that Mitogen-Activated Protein Kinases (MAPKs) including three classic pathways (ERK, p38 and JNK) play an important role in mediating this process. Thus, in order to explore the mechanism of immunotoxicity induced by B [a]P in scallop Chlamys farreri, hemocytes were treated with PD98059 (ERK inhibitor), SB203580 (p38 inhibitor) and SP600125 (JNK inhibitor) for 1 h and then incubation with B [a]P for 24 h at 1 mu g/mL. Indexes including oxidative damage, apoptotic rate, and immune indicators were detected in the present study. The results showed that the increase of Reactive Oxygen Species (ROS) and DNA damage induced by B [a]P was inhibited with PD98059 and SB203580. Besides, lysosomal membrane stability (LMS) damage was promoted by PD98059, while it was opposite when treated with SB203580. Moreover, the ascended apoptosis rate induced by B [a]P was increased significantly after treatment with PD98059, but it was remarkably attenuated by SB203580 and SP600125. However, the opposite pattern was showed in phagocytosis compared with apoptosis rate in all of three inhibitors. In addition, anti-bacterial activity and bacteriolytic activity were enhanced by SB203580 while inhibited by PD98059. Therefore, these results showed that MAPKs directly or indirectly mediate the decrease of oxidative damage, apoptosis and immune defense ability of C. farreri hemocytes, which suggesting ERK/p38/JNK pathways have different functions in the apoptosis and immunity of C. farreri hemocytes after B [a]P exposure. In conclusion, this study intended to enrich the theoretical basis for immunotoxicology of bivalves exposed to pollutants.</t>
  </si>
  <si>
    <t>[Tian, Yimeng; Liu, Jing; Pan, Luqing] Ocean Univ China, Key Lab Mariculture, Minist Educ, Qingdao 266003, Peoples R China</t>
  </si>
  <si>
    <t>Pan, LQ (corresponding author), Ocean Univ China, Key Lab Mariculture, Minist Educ, Qingdao 266003, Peoples R China.;Pan, LQ (corresponding author), Ocean Univ China, Fisheries Coll, Yushan Rd 5, Qingdao 266003, Peoples R China.</t>
  </si>
  <si>
    <t>tian, yimeng/HHM-8171-2022</t>
  </si>
  <si>
    <t>Key Technology Research and Development Program of Shandong [2018GHY115007]</t>
  </si>
  <si>
    <t>Key Technology Research and Development Program of Shandong</t>
  </si>
  <si>
    <t>The work was supported by the Key Technology Research and Development Program of Shandong (2018GHY115007).</t>
  </si>
  <si>
    <t>10.1016/j.fsi.2020.04.006</t>
  </si>
  <si>
    <t>LU5VL</t>
  </si>
  <si>
    <t>WOS:000537822700008</t>
  </si>
  <si>
    <t>Donaghy, L; Jauzein, C; Volety, AK</t>
  </si>
  <si>
    <t>Donaghy, Ludovic; Jauzein, Cecile; Volety, Aswani K.</t>
  </si>
  <si>
    <t>First report of severe hemocytopenia and immunodepression in the sunray venus clam, Macrocallista nimbosa, a potential new aquaculture species in Florida</t>
  </si>
  <si>
    <t>Sunray venus clam; Macrocallista nimbosa; Hemocytes; Hemocytopenia; Immunodepression; Flow cytometry</t>
  </si>
  <si>
    <t>FLOW-CYTOMETRIC ANALYSIS; ATLANTIC BLUE-CRAB; CRASSOSTREA-GIGAS; DEFENSE-MECHANISMS; HEMOCYTES; BACTERIA; OYSTER; PHAGOCYTOSIS; NEUROPEPTIDE; CLEARANCE</t>
  </si>
  <si>
    <t>The Florida cultured hard clam industry has drastically increased over the past thirty years but is built upon a single species. In order to increase economic stability and growth of the industry, the sunray venus clam, Macrocallista nimbosa, is now being evaluated as a potential new aquaculture species. Very little is known about the physiological characteristics of this species. It is important to investigate the sunray venus clam's physiology, to predict its susceptibility to environmental variations, pathogens or pollutions. The objective of this study was to characterize the hemocytes in adult sunray venus clams, using flow cytometry. The present work led to the discovery of severe immunodepression in M. nimbosa from Florida. Immunodepressed individuals accounted for about 17% of clams and displayed a drastic loss of circulating hemocytes (hemocytopenia) as well as no immune capacity. Immunodepression was thought as resulting from a recent infection. Although immunodepressed individuals were not dying, severe immunosuppression may constitute a serious threat to the ability of sunray venus clams to cope with environmental or pathogenic stresses. Due to its current evaluation as a potential new aquaculture species in Florida, further investigations are necessary to determine the etiological agent and the impact on sunray venus clam populations. (C) 2012 Elsevier B.V. All rights reserved.</t>
  </si>
  <si>
    <t>[Donaghy, Ludovic; Jauzein, Cecile; Volety, Aswani K.] Florida Gulf Coast Univ, Dept Marine &amp; Ecol Sci, Coastal Watershed Inst, Coll Arts &amp; Sci, Ft Myers, FL 33965 USA</t>
  </si>
  <si>
    <t>State University System of Florida; Florida Gulf Coast University</t>
  </si>
  <si>
    <t>Volety, AK (corresponding author), Florida Gulf Coast Univ, Dept Marine &amp; Ecol Sci, Coastal Watershed Inst, Coll Arts &amp; Sci, 10501 FGCU Blvd S, Ft Myers, FL 33965 USA.</t>
  </si>
  <si>
    <t>avolety@fgcu.edu</t>
  </si>
  <si>
    <t>; Donaghy, Ludovic/F-1720-2016</t>
  </si>
  <si>
    <t>Jauzein, Cecile/0000-0001-6291-6821; Donaghy, Ludovic/0000-0002-6840-2204</t>
  </si>
  <si>
    <t>U.S. Department of Education [P116Z090117]</t>
  </si>
  <si>
    <t>U.S. Department of Education(US Department of Education)</t>
  </si>
  <si>
    <t>The authors are highly grateful to Tom McCrudden and Carter Davis from Research Aquaculture Inc. (Tequesta, Florida), for generously providing sunray venus clams. The contents of this scientific publication were developed under a Congressionally-directed grant from the U.S. Department of Education (P116Z090117). However, the contents do not necessarily represent the policy of the U.S. Department of Education, nor an endorsement by the Federal Government.</t>
  </si>
  <si>
    <t>10.1016/j.aquaculture.2012.08.045</t>
  </si>
  <si>
    <t>030LD</t>
  </si>
  <si>
    <t>WOS:000310571300036</t>
  </si>
  <si>
    <t>Chouikh, NE; Gillet, P; Cheggour, M; Maarouf, A; El Hachimi, Y; Mounir, A; Alahyane, H; Mouabad, A</t>
  </si>
  <si>
    <t>Chouikh, Nor-eddine; Gillet, Patrick; Cheggour, Mohamed; Maarouf, Abdelmalek; El Hachimi, Youssef; Mounir, Abdelaziz; Alahyane, Hassan; Mouabad, Abdelfattah</t>
  </si>
  <si>
    <t>Bioaccumulation of Trace Metals in Sabellaria alveolata (Annelida: Polychaeta) and Their Controlling Factors Along the Essaouira Protected Coastal Area (Atlantic Coast of Morocco)</t>
  </si>
  <si>
    <t>Assessment; Essaouira; Trace metals; Bioaccumulation; Sabellaria alveolata</t>
  </si>
  <si>
    <t>MUSSEL MYTILUS-EDULIS; HEDISTE-DIVERSICOLOR; NEREIS-DIVERSICOLOR; DISSOLVED-OXYGEN; HEAVY-METALS; VIRENS SARS; POLLUTION; TOXICITY; CADMIUM; ESTUARY</t>
  </si>
  <si>
    <t>This study assessed, for the first time, the bioaccumulation of trace metals in the tissues of Sabellaria alveolata (Annelida: Polychaeta) collected from the Essaouira protected coastal area (Atlantic coast of Morocco), and examined the relationships between metal contents and some physico-chemical parameters of seawater. The biogenic reefs of S. alveolata were seasonally collected from April 2017 to February 2018, and physico-chemical parameters of seawater were measured. In the laboratory, dried and mineralized samples of S. alveolata were analysed using inductively coupled plasma atomic emission spectroscopy (ICP-AES). The physico-chemical parameters of seawater are within acceptable limits for survival, growth and metabolic activity of aquatic organisms, and metal concentrations in the tissues of S. alveolata showed decreasing levels in the order Fe &gt; Al &gt; Zn &gt; Cu &gt; Cd &gt; Cr &gt; Pb &gt; Ag. Concentrations were lower than levels reported in other species of polychaetes in other Moroccan and world regions except for Al and Fe. Spatial and seasonal variations of metals were highly significant, with two essential periods of high concentrations: winter and summer. Cluster analysis showed that the studied sites, urbanized and non-urbanized, were similar except for one site (SK) that differs slightly from the others, probably due to the absence of real industrial activity coupled with the dilution of metals under the influence of hydrodynamic factors in this area. The analysis also showed that Al and Fe are derived from the same source, most likely related to continental inputs, and that Cd, Cr and Cu are derived from another source which is more urban than continental while Zn maintains a dual origin, both continental and urban. Assessment of the pollution gradient, via calculation of metal contamination index (Ic(Sx)), revealed that the Essaouira protected coastal area is less polluted compared with other coastal areas of Morocco.</t>
  </si>
  <si>
    <t>[Chouikh, Nor-eddine] Sultan Moulay Slimane Univ, Higher Sch Technol Khenifra, Dept Environm Engn, Khenifra 54000, Morocco; [Gillet, Patrick] Catholic Univ West UCO Angers, Fac Sci, Dept Biol Environm, F-49008 Angers, France; [Cheggour, Mohamed] Cadi Ayyad Univ, Normal Grad Sch, Dept Biol, Marrakech 40000, Morocco; [Chouikh, Nor-eddine; Maarouf, Abdelmalek; El Hachimi, Youssef; Mouabad, Abdelfattah] Cadi Ayyad Univ, Fac Sci &amp; Tech, Dept Biol, Lab Food Environm &amp; Hlth, Marrakech 40000, Morocco; [Mounir, Abdelaziz] Cadi Ayyad Univ, Fac Sci Semlalia, Dept Biol, Lab Water Biodivers &amp; Climate Change, Marrakech 40000, Morocco; [Alahyane, Hassan] Cadi Ayyad Univ, Fac Sci Semlalia, Lab Pharmacol Neurol Anthropol &amp; Environm, Marrakech 40000, Morocco</t>
  </si>
  <si>
    <t>Sultan Moulay Slimane University of Beni Mellal; Cadi Ayyad University of Marrakech; Cadi Ayyad University of Marrakech; Cadi Ayyad University of Marrakech; Cadi Ayyad University of Marrakech</t>
  </si>
  <si>
    <t>Chouikh, NE (corresponding author), Sultan Moulay Slimane Univ, Higher Sch Technol Khenifra, Dept Environm Engn, Khenifra 54000, Morocco.;Chouikh, NE (corresponding author), Cadi Ayyad Univ, Fac Sci &amp; Tech, Dept Biol, Lab Food Environm &amp; Hlth, Marrakech 40000, Morocco.</t>
  </si>
  <si>
    <t>chouikh.noreddine@gmail.com</t>
  </si>
  <si>
    <t>Hassan, ALAHYANE/0000-0002-4105-8327</t>
  </si>
  <si>
    <t>KOREA INST OCEAN SCIENCE &amp; TECHNOLOGY-KIOST</t>
  </si>
  <si>
    <t>BUSAN</t>
  </si>
  <si>
    <t>HAEYANG-RO 385, YEONGDO-GU, BUSAN, SOUTH KOREA</t>
  </si>
  <si>
    <t>10.1007/s12601-022-00057-z</t>
  </si>
  <si>
    <t>3B2GN</t>
  </si>
  <si>
    <t>WOS:000767720600001</t>
  </si>
  <si>
    <t>Gagnaire, B; Gay, M; Huvet, A; Daniel, JY; Saulnier, D; Renault, T</t>
  </si>
  <si>
    <t>Gagnaire, Beatrice; Gay, Melanie; Huvet, Arnaud; Daniel, Jean-Yves; Saulnier, Denis; Renault, Tristan</t>
  </si>
  <si>
    <t>Combination of a pesticide exposure and a bacterial challenge:: In vivo effects on immune response of Pacific oyster, Crassostrea gigas (Thunberg)</t>
  </si>
  <si>
    <t>Pacific oyster; Crassostrea gigas; bivalve immunity; pesticides; hemocyte; phagocytosis; pathogenesis; vibrio splendidus; flow cytometry; gene expression</t>
  </si>
  <si>
    <t>GENE DISCOVERY; CATHEPSIN-L; EXPRESSION; SUSCEPTIBILITY; IDENTIFICATION; HEMOCYTES; ATRAZINE; DEFENSE; IMMUNOTOXICITY; VIRGINICA</t>
  </si>
  <si>
    <t>To assess the impact of pollution induced by pesticides on Pacific oyster, Crassostrea gigas, health in France, in vivo effects of combined pesticide exposure and bacterial challenge on cell activities and gene expression in hemocytes were tested using flow cytometry and real-time PCR. As a first step, an in vivo model of experimental contamination was developed. Pacific oysters were exposed to a mixture of eight pesticides (atrazine, glyphosate, alachlor, metolachlor, fosetyl-alumimium, terbuthylazine, diuron and carbaryl) at environmentally relevant concentrations over a 7-day period. Hemocyte parameters (cell mortality, enzyme activities and phagocytosis) were monitored using flow cytometry and gene expression was evaluated by real-time PCR (RT-PCR). The expression of 19 genes involved in C gigas hemocyte functions was characterized using RT-PCR. After 7 days of exposure, phagocytosis was significantly reduced and the 19 selected genes were down-regulated in treated animals. As a second step, the experimental contamination method previously developed was used to study interactions between pesticide exposure and bacterial challenge by intramuscular injection of two Vibrio splendidus-related pathogenic strains. Oyster mortality and expression of 10 of the 19 selected genes were followed 4 and 24 h post-injection. Oyster mortality was higher in pesticide-treated oysters compared to untreated oysters after the bacterial challenge. Gene expression was up-regulated in pesticide-treated oysters compared to untreated oysters after the bacterial challenge. We hypothesize that gene over-expression due to an interaction between pesticides and bacteria could lead to an injury of host tissues, resulting in higher mortality rates. In conclusion, this study is the first to show effects of pesticides at environmentally relevant concentrations on C. gigas hemocytes and to hypothesize that pesticides modulate the immune response to a bacterial challenge in oysters. (c) 2007 Elsevier B.V. All rights reserved.</t>
  </si>
  <si>
    <t>IFREMER, LGP, F-17390 La Tremblade, France; AFSSA, Lab Etud &amp; Rech Prod Peche, F-62200 Boulogne, France; IFREMER, UMR100, F-29280 Plouzane, France</t>
  </si>
  <si>
    <t>Ifremer; Agence Nationale de Securite Sanitaire de l'Alimentation, de l'Environnement du Travail (ANSES); Ifremer</t>
  </si>
  <si>
    <t>Renault, T (corresponding author), IFREMER, LGP, F-17390 La Tremblade, France.</t>
  </si>
  <si>
    <t>beatrice.gagnaire@free.fr; m.gay@boulgone.afssa.fr; ahuvet@ifremer.fr; jydaniel@ifiremer.fir; dsaulnier@ifremer.fr; trenault@ifremer.fr</t>
  </si>
  <si>
    <t>RENAULT, Tristan/H-6405-2011; saulnier, denis/A-6690-2011</t>
  </si>
  <si>
    <t>Gagnaire, Beatrice/0000-0003-4865-9544; GAY, Melanie/0000-0002-4644-5270; Huvet, Arnaud/0000-0001-6912-881X</t>
  </si>
  <si>
    <t>10.1016/j.aquatox.2007.06.002</t>
  </si>
  <si>
    <t>WOS:000249165800010</t>
  </si>
  <si>
    <t>Cui, M; Jang, M; Kang, K; Kim, D; Snyder, SA; Khim, J</t>
  </si>
  <si>
    <t>Cui, Mingcan; Jang, Min; Kang, Kyounglim; Kim, Dukmin; Snyder, Shane A.; Khim, Jeehyeong</t>
  </si>
  <si>
    <t>A novel sequential process for remediating rare-earth wastewater</t>
  </si>
  <si>
    <t>Rare-earth; Wastewater; Precipitation; Adsorption; Oxidation</t>
  </si>
  <si>
    <t>ACID-MINE DRAINAGE; ADSORPTION; ARSENATE; URANIUM; PRECIPITATION; SORPTION; SULFATE; THORIUM; SYSTEM</t>
  </si>
  <si>
    <t>A novel and economic sequential process consisting of precipitation, adsorption, and oxidation was developed to remediate actual rare-earth (RE) wastewater containing various toxic pollutants, including radioactive species. In the precipitation step, porous air stones (PAS) containing waste oyster shell (WOS), PAS(WOS), was prepared and used to precipitate most heavy metals with &gt;97% removal efficiencies. The SEM-EDS analysis revealed that PAS plays a key role in preventing the surface coating of precipitants on the surface of WOS and in releasing the dissolved species of WOS successively. For the adsorption step, a polyurethane (PU) impregnated by coal mine drainage sludge (CMDS), PUCMDS, was synthesized and applied to deplete fluoride (F), arsenic (As), uranium (U), and thorium (Th) that remained after precipitation. The continuous-mode sequential process using PAS(WOS), PUCMDS, and ozone (O-3) had 99.9-100% removal efficiencies of heavy metals, 99.3-99.9% of F and As, 95.8-99.4% of U and Th, and 92.4% of CODCr for 100 days. The sequential process can treat RE wastewater economically and effectively without stirred-tank reactors, pH controller, continuous injection of chemicals, and significant sludge generation, as well as the quality of the outlet met the EPA recommended limits. (C) 2015 Elsevier Ltd. All rights reserved.</t>
  </si>
  <si>
    <t>[Cui, Mingcan; Kang, Kyounglim; Khim, Jeehyeong] Korea Univ, Sch Civil Environm &amp; Architectural Engn, Seoul 136701, South Korea; [Jang, Min] Univ Malaya, Fac Engn, Dept Civil Engn, Kuala Lumpur 50603, Malaysia; [Jang, Min] Univ Malaya, Nanotechnol &amp; Catalysis Res Ctr NANOCAT, Kuala Lumpur 50603, Malaysia; [Kim, Dukmin] Korea Mine Reclamat Corp, Cheonan Si 331803, South Korea; [Snyder, Shane A.] Univ Arizona, Chem &amp; Environm Engn, Tucson, AZ USA</t>
  </si>
  <si>
    <t>Korea University; Universiti Malaya; Universiti Malaya; Mine Reclamation Corporation; University of Arizona</t>
  </si>
  <si>
    <t>Khim, J (corresponding author), Korea Univ, Sch Civil Environm &amp; Architectural Engn, 5 Anam Dong, Seoul 136701, South Korea.</t>
  </si>
  <si>
    <t>minjang@um.edu.my; hyeong@korea.ac.kr</t>
  </si>
  <si>
    <t>Park, Jeonghyuk/AAE-3814-2020; Cui, Mingcan/K-2890-2013; Jang, Min/J-2230-2012; Snyder, Shane/AAE-8252-2021; Kim, Duk-Min/AAI-1642-2020; Snyder, Shane/A-3302-2011</t>
  </si>
  <si>
    <t>Kim, Duk-Min/0000-0002-1537-6866; Jang, Min/0000-0002-5900-0991; Snyder, Shane/0000-0003-2709-9840</t>
  </si>
  <si>
    <t>Korean Institute of Energy Technology Evaluation and Planning (KETEP) Project (KETEP) [Q1512121]; Malaysian Government Ministry of Higher Education through the High Impact Research Grant [D000062-16001]</t>
  </si>
  <si>
    <t>Korean Institute of Energy Technology Evaluation and Planning (KETEP) Project (KETEP); Malaysian Government Ministry of Higher Education through the High Impact Research Grant</t>
  </si>
  <si>
    <t>This work was supported by the Korean Institute of Energy Technology Evaluation and Planning (KETEP) Project (KETEP, No. Q1512121) and by the Malaysian Government Ministry of Higher Education through the High Impact Research Grant (D000062-16001).</t>
  </si>
  <si>
    <t>10.1016/j.chemosphere.2015.10.107</t>
  </si>
  <si>
    <t>WOS:000367774400264</t>
  </si>
  <si>
    <t>Yildirim, P; Cardak, M; Colakoglu, S; Türker, G; Ormanci, HB</t>
  </si>
  <si>
    <t>Yildirim, Pinar; Cardak, Mine; Colakoglu, Serhat; Turker, Gulen; Ormanci, Hasan Basri</t>
  </si>
  <si>
    <t>Seasonal variations and human health risk assessment of trace elements in the bivalve ecosystem in the Sea of Marmara</t>
  </si>
  <si>
    <t>FOOD ADDITIVES &amp; CONTAMINANTS PART B-SURVEILLANCE</t>
  </si>
  <si>
    <t>Bivalve molluscs; bioaccumulation; trace elements; health risk assessment; Sea of Marmara</t>
  </si>
  <si>
    <t>MUSSELS MYTILUS-GALLOPROVINCIALIS; HEAVY-METALS; CHAMELEA-GALLINA; SOUTHERN COAST; RAPANA-VENOSA; MARINE FISH; BIOACCUMULATION; MOLLUSKS; BAY; POPULATION</t>
  </si>
  <si>
    <t>Twelve trace elements were studied in four economically important bivalve molluscs (Mediterranean mussel, manila clam, striped venus clam, and truncated wedge clam) from the southern Marmara Sea for seasonal bioaccumulation and human health risk assessment. According to the findings, Fe and Zn were the most accumulative and element concentrations changed considerably (P &lt; 0.05) between seasons and species. Daily, weekly, monthly intake and target hazard quotients of the trace elements were estimated and compared with maximum limits. The results revealed that consuming these bivalve molluscs from the southern Marmara Sea could be considered safe for human consumption. Nevertheless, further monitoring is needed in order to better follow the development in time of elemental pollution due to increasing environmental pressure on the Marmara Sea basin, together with research on other different bioaccumulative organisms.</t>
  </si>
  <si>
    <t>[Yildirim, Pinar; Cardak, Mine; Ormanci, Hasan Basri] Canakkale Onsekiz Mart Univ, Fac Appl Sci, Dept Fisheries Technol, Canakkale, Turkey; [Colakoglu, Serhat] Canakkale Onsekiz Mart Univ, Vocat Sch Tech Sci, Dept Food Proc, Canakkale, Turkey; [Turker, Gulen] Canakkale Onsekiz Mart Univ, Fac Appl Sci, Dept Food Technol, Canakkale, Turkey</t>
  </si>
  <si>
    <t>Canakkale Onsekiz Mart University; Canakkale Onsekiz Mart University; Canakkale Onsekiz Mart University</t>
  </si>
  <si>
    <t>Yildirim, P; Ormanci, HB (corresponding author), Canakkale Onsekiz Mart Univ, Fac Appl Sci, Dept Fisheries Technol, Canakkale, Turkey.</t>
  </si>
  <si>
    <t>pinaryildirim@comu.edu.tr; basriormanci@comu.edu.tr</t>
  </si>
  <si>
    <t>Ormanci, Hasan/U-2703-2019</t>
  </si>
  <si>
    <t>TURKER, GULEN/0000-0002-7554-1544; COLAKOGLU, Serhat/0000-0003-3526-6477; Cardak, Mine/0000-0003-1383-4875; Ormanci, Hasan Basri/0000-0003-3136-9196</t>
  </si>
  <si>
    <t>Scientific Research Fund of Canakkale Onsekiz Mart University [FBA-2017-1290]</t>
  </si>
  <si>
    <t>Scientific Research Fund of Canakkale Onsekiz Mart University(Canakkale Onsekiz Mart University)</t>
  </si>
  <si>
    <t>This study is part of research project FBA-2017-1290, funded by the Scientific Research Fund of Canakkale Onsekiz Mart University.</t>
  </si>
  <si>
    <t>1939-3210</t>
  </si>
  <si>
    <t>1939-3229</t>
  </si>
  <si>
    <t>FOOD ADDIT CONTAM B</t>
  </si>
  <si>
    <t>Food Addit. Contam. Part B-Surveill.</t>
  </si>
  <si>
    <t>JUL 3</t>
  </si>
  <si>
    <t>10.1080/19393210.2022.2084567</t>
  </si>
  <si>
    <t>2R8IU</t>
  </si>
  <si>
    <t>WOS:000812094800001</t>
  </si>
  <si>
    <t>Lusic, J; Cvitkovic, I; Despalatovic, M; Zunec, A; Zuljevic, A</t>
  </si>
  <si>
    <t>Lusic, Jelena; Cvitkovic, Ivan; Despalatovic, Marija; Zunec, Ante; Zuljevic, Ante</t>
  </si>
  <si>
    <t>Mediterranean fanworm, Sabella spallanzanii (Gmelin, 1791), as a potential biomonitor of trace metal pollution in the marine environment</t>
  </si>
  <si>
    <t>Sabella spallanzanii; Trace metals; Bioaccumulation; Biomonitoring</t>
  </si>
  <si>
    <t>MALI STON BAY; HEAVY-METALS; HEDISTE-DIVERSICOLOR; AQUATIC ORGANISMS; ADRIATIC SEA; BLUE MUSSEL; POLYCHAETA; BIOACCUMULATION; ACCUMULATION; COAST</t>
  </si>
  <si>
    <t>Levels of trace metals (Cd, Cr, Cu, Fe, Ni, Pb, Mn, and Zn) were measured in soft tissues and external tubes of the Mediterranean fanworm, Sabella spallanzanii (Gmelin, 1791), to evaluate its suitability as a biomonitor of metal pollution. Study was conducted in the coastal area of the eastern Adriatic Sea. Polychaetes were collected from two locations, a site located in a local marina and an unpolluted control site. Results indicate that S. spallanzanii has the capacity to accumulate metals in soft tissues as well as in tubes. The levels of most metals were considerably higher in tubes compared to soft tissues, indicating long-term accumulation of metals in tubes. High levels of several metals (Cu, Zn, Cr, Pb and Fe), found in soft tissues and tubes sampled at the marina site, reflect the elevated contaminant levels in the marina, associated with the use of antifouling agents, paints, petrol additives, and ship maintenance activities. Metal concentrations in tissues and tubes generally decreased with size, indicating the influence of growth and metabolic rates on trace metal uptake. Trace metal levels found in S. spallanzanii tissues were comparable to the levels found in Mytilus galloprovincialis, a species commonly used in biomonitoring studies, in areas exposed to similar levels of anthropogenic stressors. According to the results of the present study, S. spallanzanii has been identified as a suitable biomonitor of metal pollution due to its sedentary nature, widespread distribution, abundance and the ability to accumulate high levels of metals within its tissues and tubes.</t>
  </si>
  <si>
    <t>[Lusic, Jelena] Inst Oceanog &amp; Fisheries, Lab Chem Oceanog &amp; Sedimentol, Setaliste I Mestrovica 63, Split 21000, Croatia; [Cvitkovic, Ivan; Despalatovic, Marija; Zunec, Ante; Zuljevic, Ante] Inst Oceanog &amp; Fisheries, Lab Benthos, Setaliste I Mestrovica 63, Split 21000, Croatia</t>
  </si>
  <si>
    <t>Croatian Institute of Oceanography &amp; Fisheries (IZOR); Croatian Institute of Oceanography &amp; Fisheries (IZOR)</t>
  </si>
  <si>
    <t>Cvitkovic, I (corresponding author), Inst Oceanog &amp; Fisheries, Lab Benthos, Setaliste I Mestrovica 63, Split 21000, Croatia.</t>
  </si>
  <si>
    <t>cvite@izor.hr</t>
  </si>
  <si>
    <t>zuljevic, ante/R-7455-2016; Lusic, Jelena/AAM-5326-2021</t>
  </si>
  <si>
    <t>10.1016/j.chemosphere.2021.132123</t>
  </si>
  <si>
    <t>WD4YK</t>
  </si>
  <si>
    <t>WOS:000704947900008</t>
  </si>
  <si>
    <t>Kristan, U; Kanduc, T; Osterc, A; Slejkovec, Z; Ramsak, A; Stibilj, V</t>
  </si>
  <si>
    <t>Kristan, Urska; Kanduc, Tjasa; Osterc, Andrej; Slejkovec, Zdenka; Ramsak, Andreja; Stibilj, Vekoslava</t>
  </si>
  <si>
    <t>Assessment of pollution level using Mytilus galloprovincialis as a bioindicator species: The case of the Gulf of Trieste</t>
  </si>
  <si>
    <t>Biomarkers; Stable isotopes; Metals; As speciation; Mytilus galloprovincialis; Gulf of Trieste</t>
  </si>
  <si>
    <t>HEAVY-METALS; AQUATIC INVERTEBRATES; ARSENIC COMPOUNDS; DIGESTIVE GLAND; ORGANIC-MATTER; ADRIATIC SEA; EDULIS L.; MUSSEL; CARBON; SEDIMENTS</t>
  </si>
  <si>
    <t>A multidisciplinary approach was used to estimate the pollution level of the marine environment in the North Eastern Adriatic by measurement of the isotopic composition of carbon and nitrogen (delta C-13, delta N-15) metal/metalloids analyses (Fe, Cu, Zn, As, Se, Cd and Pb, including As speciation) in the Mytilus galloprovincialis, as well by using metallothioneins (MT) concentrations, micronuclei (MN) in gill cells and biological parameters (condition index and gonadosomatic index). Concentrations of MT were in the range from 44 to 175 mu g g(-1) wet matter tissue and were higher at the end of the winter season. The frequency of MN did not indicate an elevated level. Sewage sludge pollution was not confirmed. Elevated As concentrations in mussel are related to salinity and low nutrients concentrations and not to pollution. Elevated concentrations of Cu, Zn and Pb were found in the Bay of Koper in comparison with the Bays of Strunjan and Piran. (C) 2014 Elsevier Ltd. All rights reserved.</t>
  </si>
  <si>
    <t>[Kristan, Urska; Kanduc, Tjasa; Osterc, Andrej; Slejkovec, Zdenka; Stibilj, Vekoslava] Jozef Stefan Inst, Dept Environm Sci, Ljubljana 1000, Slovenia; [Ramsak, Andreja] Natl Inst Biol, Marine Biol Stn Piran, Piran 6330, Slovenia</t>
  </si>
  <si>
    <t>Slovenian Academy of Sciences &amp; Arts (SASA); Jozef Stefan Institute; National Institute of Biology - Slovenia</t>
  </si>
  <si>
    <t>Stibilj, V (corresponding author), Jozef Stefan Inst, Dept Environm Sci, Jamova Cesta 39, Ljubljana 1000, Slovenia.</t>
  </si>
  <si>
    <t>urska.kristan@ijs.si; tjasa.kanduc@ijs.si; andrej.osterc@ijs.si; zdenka.slejkovec@ijs.si; andreja.ramsak@nib.si; vekoslava.stibilj@ijs.si</t>
  </si>
  <si>
    <t>Slejkovec, Zdenka/0000-0002-3265-5031; Ramsak, Andreja/0000-0003-1961-5120</t>
  </si>
  <si>
    <t>National Monitoring Programme of Slovenia Programme for the Assessment and Control of Pollution (Environmental Agency of the Republic of Slovenia) and Coastal Marine Research [P1-0237]; programme research group Cycling of nutrients and contaminants in the environment, mass balances and modelling environmental processes and risk analysis [P1-0143]; [PR-03781]; [V4-1120]</t>
  </si>
  <si>
    <t>National Monitoring Programme of Slovenia Programme for the Assessment and Control of Pollution (Environmental Agency of the Republic of Slovenia) and Coastal Marine Research; programme research group Cycling of nutrients and contaminants in the environment, mass balances and modelling environmental processes and risk analysis; ;</t>
  </si>
  <si>
    <t>The work of Andreja Ramsak was financially supported by the National Monitoring Programme of Slovenia Programme for the Assessment and Control of Pollution (Environmental Agency of the Republic of Slovenia) and Coastal Marine Research (P1-0237). The work of the authors from the jozef Stefan Institute was financed by the programme research group Cycling of nutrients and contaminants in the environment, mass balances and modelling environmental processes and risk analysis (P1-0143) and projects PR-03781 V4-1120. We thank Dr. Natasa Mori for statistical processing of the data. Thanks go to Dr. Ingrid Falnoga for discussion and Mateja Poje, M.Sc. from the Environmental Agency of the Republic of Slovenia for providing data on element concentrations in seawater from the Gulf of Trieste.</t>
  </si>
  <si>
    <t>10.1016/j.marpolbul.2014.09.046</t>
  </si>
  <si>
    <t>WOS:000347494700066</t>
  </si>
  <si>
    <t>WONG, MH; CHAN, KC; CHOY, CK</t>
  </si>
  <si>
    <t>EFFECT OF IRON-ORE TAILINGS ON COASTAL ENVIRONMENT OF TOLO HARBOR, HONG-KONG</t>
  </si>
  <si>
    <t>The effect of Fe ore tailings on the coastal environment of Ma On Shan, Hong Kong was studied. The Fe ore tailings were dumped along the coast of Tolo Harbor since 1906 from an Fe ore mine. Pollutants with a high concentration of various heavy metals together with the effect of land-filling activities recently created conditions detrimental to the already poorly flushed and domestically polluted inland sea in places such as Tolo Harbor. The physical, chemical and biological parameters of the polluted area were studied. Transects were run downshore and the number of species and the number of individuals were recorded in the field, and edaphic and water analyses were carried out in the laboratory. The animal diversity in the polluted areas varied according to the type of deposited materials and the time of deposition. In general, the number of animals was low compared with the other sites not under the influence of the tailings. Crustaceans and bivalves were the dominant organisms and other organisms were absent in the polluted area, possibly due to the presence of heavy metals and the large amount of fine material deposited. Higher levels of Fe, Zn, Mn and Cu were detected in the tissue of the most dominant species, Scopimera intermedia.</t>
  </si>
  <si>
    <t>Wong, Ming Hung/0009-0002-6077-4369</t>
  </si>
  <si>
    <t>10.1016/0013-9351(78)90116-0</t>
  </si>
  <si>
    <t>FF431</t>
  </si>
  <si>
    <t>WOS:A1978FF43100003</t>
  </si>
  <si>
    <t>Kiralj, Z; Dragun, Z; Lajtner, J; Trgovcic, K; Valic, D; Ivankovic, D</t>
  </si>
  <si>
    <t>Kiralj, Zoran; Dragun, Zrinka; Lajtner, Jasna; Trgovcic, Kresimira; Valic, Damir; Ivankovic, Dusica</t>
  </si>
  <si>
    <t>Accumulation of metal(loid)s in the digestive gland of the mussel Unio crassus Philipsson, 1788: A reliable detection of historical freshwater contamination</t>
  </si>
  <si>
    <t>Bioaccumulation; Bivalve; Freshwater; Long-term pollution; Subcellular distribution; Trace elements</t>
  </si>
  <si>
    <t>MYTILUS-GALLOPROVINCIALIS; EXPOSURE; CADMIUM; METALS; TISSUE; UNIONIDAE; BIVALVES; MOLLUSK</t>
  </si>
  <si>
    <t>The possible influence of historical contamination of water/sediments on the metal(loid) bioaccumulation in the digestive gland of mussel Unio crassus Philipsson, 1788, from two differently contaminated sites at the Mrez ˇnica River was studied in three seasons. The first data for this species on total/cytosolic concentrations of 27 (non) essential elements were obtained by HR ICP-MS. Higher bioaccumulation was observed at the historically contaminated site, with several nonessential elements (Bi, Cs, Pb, Sb, Tl, U) found in 5-6 times higher con-centrations compared to the reference site. Although both total and cytosolic levels revealed the influence of water/sediment contamination, the latter showed association between bioaccumulation and exposure for larger number of studied elements. At the reference site, several elements (Ba, Ca, Cd, Cr, Mn, Sr) were also found in 2-10 times higher concentrations compared to contaminated one, but it was attributed to background levels characteristic for karst rivers (for Ca and Cd), and to coaccumulation due to chemical similarity (for Ba, Cr, Mn, Sr). The seasonal variability was also observed, with generally highest metal(loid) concentrations in mussel digestive glands found in autumn which was associated to mussels reproductive period. Our results confirmed that sediment-dwelling mussels, specifically U. crassus, represent a good bioindicators for detection of historical pollution due to their direct contact/exposure to contaminants stored in sediments, with concurrent consider-ation of physiological/chemical factors. Historical contamination potentially can have serious impact on fresh-water environment even long time after its cessation, and, therefore, a careful continuous monitoring is recommended.</t>
  </si>
  <si>
    <t>[Kiralj, Zoran; Dragun, Zrinka; Valic, Damir; Ivankovic, Dusica] Rudjer Boskovic Inst, Div Marine &amp; Environm Res, Bijenicka Cesta 54, Zagreb, Croatia; [Lajtner, Jasna] Univ Zagreb, Fac Sci, Dept Biol, Roosveltov Trg 6, Zagreb, Croatia; [Trgovcic, Kresimira] Vodovod i kanalizacija Doo Karlovac, Gazanski Trg 8, Karlovac, Croatia</t>
  </si>
  <si>
    <t>Rudjer Boskovic Institute; University of Zagreb</t>
  </si>
  <si>
    <t>Ivankovic, D (corresponding author), Rudjer Boskovic Inst, Div Marine &amp; Environm Res, Bijenicka Cesta 54, Zagreb, Croatia.</t>
  </si>
  <si>
    <t>dusica.ivankovic@irb.hr</t>
  </si>
  <si>
    <t>Lajtner, Jasna/0000-0002-6427-0750; Ivankovic, Dusica/0000-0003-0349-7908; Kiralj, Zoran/0009-0005-2019-8784; Dragun, Zrinka/0000-0002-1289-0114</t>
  </si>
  <si>
    <t>Croatian Science Foundation [IP-2019-04-2636]</t>
  </si>
  <si>
    <t>Croatian Science Foundation</t>
  </si>
  <si>
    <t>This work has been supported by Croatian Science Foundation under the project Metal-binding biomolecules and health disturbances of fresh-water organisms exposed to industrial wastes (METABIOM; IP-2019-04-2636) .</t>
  </si>
  <si>
    <t>10.1016/j.envpol.2023.122164</t>
  </si>
  <si>
    <t>P3KH5</t>
  </si>
  <si>
    <t>WOS:001049659400001</t>
  </si>
  <si>
    <t>SADIQ, M; ALAM, IA; ALMOHANNA, H</t>
  </si>
  <si>
    <t>BIOACCUMULATION OF NICKEL AND VANADIUM BY CLAMS (MERETRIX-MERETRIX) LIVING IN DIFFERENT SALINITIES ALONG THE SAUDI COAST OF THE ARABIAN GULF</t>
  </si>
  <si>
    <t>MARINE-ENVIRONMENT; NORTH PACIFIC; COPPER; OCEAN; CADMIUM; METALS; ZINC; SEA</t>
  </si>
  <si>
    <t>The objective of this study was to investigate bioaccumulation of nickel (Ni) and vanadium (V) in clams living in different salinity regimes along the Saudi coast of the Arabian Gulf. Several hundred clam (Meretrix meretrix), sediment, and seawater samples were collected from 12 locations. Concentrations of Ni and V were determined in these samples using an inductively coupled argon plasma analyzer. Concentrations of Ni and V in the clams varied between 0.35 and 2.61 mg kg-1 and between 0.13 and 0.35 mg kg-1 wet tissue, respectively. Analysis of variance of the data revealed significant (P &lt; 0.01) inter- and intra-station variations in Ni concentrations in clams. In contrast, the mean concentration of V in clams from all the stations were statistically similar. Correlation between the biometric characteristics of clams and Ni and V concentrations were not statistically significant. Significant (P &lt; 0.05) geographical variations in Ni and V concentrations in the sediment samples were found, with relatively higher concentrations in the northern part of the Gulf where there are many oil fields. Ni and V in the sediments were significantly (P &lt; 0.05) correlated, suggesting a common contamination source for these elements. Interactions between Ni and V in clams and sediment were poor.</t>
  </si>
  <si>
    <t>Sadiq, Muhammad/HMP-3877-2023</t>
  </si>
  <si>
    <t>10.1016/0269-7491(92)90141-V</t>
  </si>
  <si>
    <t>HP229</t>
  </si>
  <si>
    <t>WOS:A1992HP22900006</t>
  </si>
  <si>
    <t>Bigas, M; Durfort, H; Poquet, M</t>
  </si>
  <si>
    <t>Cytological effects of experimental exposure to Hg on the gill epithelium of the European flat oyster Ostrea edulis:: ultrastructural and quantitative changes related to bioaccumulation</t>
  </si>
  <si>
    <t>TISSUE &amp; CELL</t>
  </si>
  <si>
    <t>oyster; gills; mucocytes; mercuric chloride; ultrastructure</t>
  </si>
  <si>
    <t>MUSSEL MYTILUS-EDULIS; LITTORINA-LITTOREA; MERCURIC-CHLORIDE; BIVALVIA; CADMIUM; COPPER; POLLUTION; MOLLUSCA; METALS; CELLS</t>
  </si>
  <si>
    <t>The significance of ultrastructural changes in the grill epithelial cells as a parameter of detection of Hg exposure in the flat oyster, Ostrea edulis, was tested by a 34-day exposure to 5 mug l(-1) of Hg. The concentration of Hg (38.76 mug g(-1) dry weight) in gill tissue was maximal after 25 days and then decreased. The histological pattern of gill filaments in control samples did not vary throughout the experiment, except for the volume of mucocytes after 4 days of exposure, as an adaptation to experimental conditions. This volume increased significantly and then decreased according to the accumulation of Hg in the gills, after 18 days, absorptive and ciliated cells of the gill epithelium showed blebs in microvilli membranes, discocilia and swollen mitochondria; cristae. both cell types showed distinct cellular lysis stages after 25 days of exposure. These are the target cells of Hg and other metals and the reported hypertrophy of mucocytes increase occurs in response to pollution by Hg, which could contribute to the detoxification process. (C) 2001 Harcourt Publishers Ltd.</t>
  </si>
  <si>
    <t>Univ Barcelona, Dept Biol Celular, E-08028 Barcelona, Spain</t>
  </si>
  <si>
    <t>Poquet, M (corresponding author), Univ Barcelona, Dept Biol Celular, Diagonal 645, E-08028 Barcelona, Spain.</t>
  </si>
  <si>
    <t>CHURCHILL LIVINGSTONE</t>
  </si>
  <si>
    <t>EDINBURGH</t>
  </si>
  <si>
    <t>JOURNAL PRODUCTION DEPT, ROBERT STEVENSON HOUSE, 1-3 BAXTERS PLACE, LEITH WALK, EDINBURGH EH1 3AF, MIDLOTHIAN, SCOTLAND</t>
  </si>
  <si>
    <t>0040-8166</t>
  </si>
  <si>
    <t>TISSUE CELL</t>
  </si>
  <si>
    <t>Tissue Cell</t>
  </si>
  <si>
    <t>10.1054/tice.2000.0169</t>
  </si>
  <si>
    <t>Anatomy &amp; Morphology; Cell Biology</t>
  </si>
  <si>
    <t>431ZY</t>
  </si>
  <si>
    <t>WOS:000168662700009</t>
  </si>
  <si>
    <t>Feidantsis, K; Papadopoulos, DK; Lattos, A; Theodorou, JA; Michaelidis, B; Giantsis, IA</t>
  </si>
  <si>
    <t>Feidantsis, Konstantinos; Papadopoulos, Dimitrios K.; Lattos, Athanasios; Theodorou, John A.; Michaelidis, Basile; Giantsis, Ioannis A.</t>
  </si>
  <si>
    <t>EFFECTS OF BIOFOULING BY ASCIDIANS ON CULTURED MUSSELS: APOPTOSIS, AUTOPHAGY, AND ANTIOXIDANT DEFENSE</t>
  </si>
  <si>
    <t>aquaculture; ascidians; biofouling; gene expression; climate change; stress response</t>
  </si>
  <si>
    <t>OXIDATIVE STRESS BIOMARKERS; CLIMATE-CHANGE; MYTILUS-GALLOPROVINCIALIS; GENE-TRANSCRIPTION; LIPID-PEROXIDATION; CRASSOSTREA-GIGAS; FOOD RESTRICTION; PACIFIC OYSTER; OXYGEN; EXPRESSION</t>
  </si>
  <si>
    <t>Marine bivalves are exposed to several environmental stressors depending on fluctuations in abiotic factors (pollutants, salinity, and temperature) and biotic factors, including ascidian biofouling. Increased seawater temperature may lead to oxidative stress in marine animals, whereas the additional burden presented by ascidian biofouling narrows their thermal window and can cause a sharper decline in shellfish health, with subsequent effects on shellfish aquaculture. The aim of the present study was to investigate the role of seawater temperature variations in the severity of the stress caused by ascidian biofouling to Mytilus galloprovincialis cell machinery, particularly in the antioxidant defense system, and the apoptotic and autophagic pathways. Fouled and nonfouled mussels were seasonally collected, and several key indicators of the previously mentioned cellular processes were determined in their mantle and posterior adductor muscle tissues. Results indicate that ascidian biofouling increases hypoxic conditions and oxidative stress, subsequently triggering cell death pathways in mussels. Although the stress caused by ascidians may be the consequence of both reduced feeding and oxygen consumption, it affects the mussels to a greater extent than seasonality. The induced stress by biofouling, along with elevated water temperatures in summer, may severely harm mussel physiology and fitness, adversely affecting aquaculture sustainability.</t>
  </si>
  <si>
    <t>[Feidantsis, Konstantinos; Papadopoulos, Dimitrios K.; Lattos, Athanasios; Michaelidis, Basile] Aristotle Univ Thessaloniki, Sch Biol, Dept Zool, Physiol Anim Lab, Univ Campus, GR-54124 Thessaloniki, Greece; [Feidantsis, Konstantinos; Theodorou, John A.] Univ Patras, Dept Fisheries &amp; Aquaculture, Nea Ktiria, GR-26504 Mesolonghi, Greece; [Giantsis, Ioannis A.] Univ Western Macedonia, Fac Agr Sci, Dept Anim Sci, Terma Kontopoulou, GR-53100 Florina, Greece</t>
  </si>
  <si>
    <t>Aristotle University of Thessaloniki; University of Patras</t>
  </si>
  <si>
    <t>Giantsis, IA (corresponding author), Univ Western Macedonia, Fac Agr Sci, Dept Anim Sci, Terma Kontopoulou, GR-53100 Florina, Greece.</t>
  </si>
  <si>
    <t>igiants@agro.auth.gr</t>
  </si>
  <si>
    <t>Giantsis, Ioannis/D-4382-2013; Lattos, Athanasios/GZB-6037-2022</t>
  </si>
  <si>
    <t>Giantsis, Ioannis/0000-0002-6323-2955</t>
  </si>
  <si>
    <t>EU-Greece Operational Program of Fisheries, EPAL 2014-202 [MIS: 5048463]; [2014-202]</t>
  </si>
  <si>
    <t>EU-Greece Operational Program of Fisheries, EPAL 2014-202;</t>
  </si>
  <si>
    <t>The present work is a part of the project Development of the best control practices of invasive ascidians in mussel farming infrastructures and remediation of economic effects of invasion (Code MIS: 5048463) funded by the EU-Greece Operational Program of Fisheries, EPAL 2014-202.</t>
  </si>
  <si>
    <t>10.2983/035.042.0202</t>
  </si>
  <si>
    <t>R9JD9</t>
  </si>
  <si>
    <t>WOS:001067433600002</t>
  </si>
  <si>
    <t>Gentric, C; Rehel, K; Dufour, A; Sauleau, P</t>
  </si>
  <si>
    <t>Gentric, Charline; Rehel, Karine; Dufour, Alain; Sauleau, Pierre</t>
  </si>
  <si>
    <t>Bioaccumulation of metallic trace elements and organic pollutants in marine sponges from the South Brittany Coast, France</t>
  </si>
  <si>
    <t>Bioaccumulation; marine sponges; metallic trace elements; polycyclic aromatic hydrocarbons; polychlorinated biphenyls</t>
  </si>
  <si>
    <t>HALICHONDRIA-PANICEA PALLAS; CRASSOSTREA-GIGAS THUNBERG; PACIFIC OYSTER; CADMIUM; ZINC; ACCUMULATION; COPPER; BIOREMEDIATION; CONTAMINATION; HYDROCARBONS</t>
  </si>
  <si>
    <t>The purpose of this study was to compare the accumulation of metallic and organic pollutants in marine sponges with the oyster Crassostrea gigas used as sentinel species. The concentrations of 12 Metallic Trace Elements (MTEs), 16 Polycyclic Aromatic Hydrocarbons (PAHs), 7 PolyChlorinated Biphenyls (PCBs), and 3 organotin derivatives were measured in 7 marine sponges collected in the Etel River (South Brittany, France). Results indicated Al, Co, Cr, Fe, Pb, and Ti particularly accumulated in marine sponges such as Hymeniacidon perlevis and Raspailia ramosa at higher levels compared to oysters. At the opposite, Cu and Zn accumulated significantly at higher concentrations in oysters. Among PAHs analyzed, benzo(a)pyrene bioaccumulated in H. perlevis at levels up to 17-fold higher than in oysters. In contrast, PCBs bioaccumulated preferentially in oysters. Significant differences exist in the abilities of marine phyla and sponge species to accumulate organic and metallic pollutants however, among the few sponge species studied, H. perlevis showed impressive bioaccumulation properties. The use of this species as bioindicator and/or bioremediator near shellfish farming areas is also discussed.</t>
  </si>
  <si>
    <t>[Gentric, Charline; Rehel, Karine; Dufour, Alain; Sauleau, Pierre] Univ South Brittany, European Univ Inst Sea, Lab Biotechnol &amp; Marine Chem, Lorient, France</t>
  </si>
  <si>
    <t>Sauleau, P (corresponding author), Univ Bretagne Sud, Lab Biotechnol &amp; Chim Marines, F-56321 Lorient, France.</t>
  </si>
  <si>
    <t>pierre.sauleau@univ-ubs.fr</t>
  </si>
  <si>
    <t>Dufour, Alain/0000-0003-0112-6046</t>
  </si>
  <si>
    <t>Fonds Europeen pour la Peche (FEP) Axe - 4 Pays d'Auray; Conseil General du Morbihan; Conseil Regional de Bretagne</t>
  </si>
  <si>
    <t>Fonds Europeen pour la Peche (FEP) Axe - 4 Pays d'Auray; Conseil General du Morbihan(Region Bretagne); Conseil Regional de Bretagne(Region Bretagne)</t>
  </si>
  <si>
    <t>This work was funded by the Fonds Europeen pour la Peche (FEP) Axe - 4 Pays d'Auray and supported by a PhD grant from the Conseil General du Morbihan and the Conseil Regional de Bretagne.</t>
  </si>
  <si>
    <t>FEB 23</t>
  </si>
  <si>
    <t>10.1080/10934529.2015.1094327</t>
  </si>
  <si>
    <t>CZ9AG</t>
  </si>
  <si>
    <t>WOS:000367389600003</t>
  </si>
  <si>
    <t>MAT, I; MAAH, MJ; JOHARI, A</t>
  </si>
  <si>
    <t>TRACE-METAL GEOCHEMICAL ASSOCIATIONS IN SEDIMENTS FROM THE CULTURE-BED OF ANADARA-GRANOSA</t>
  </si>
  <si>
    <t>ESTUARINE SEDIMENTS; LAKE-SEDIMENTS; HEAVY-METALS; AVAILABILITY; IRON; BIOAVAILABILITY; ORGANISMS; MANGANESE</t>
  </si>
  <si>
    <t>Geochemical associations of certain trace metals in sediments from the culture-bed of Anadara granosa were studied. Trace metals were sequentially extracted from texturally homogeneous sediments collected along the mudflat of Kuala Juru, Malaysia. Mean total concentrations of Cd, Cu, Fe, Mn, Ni, Pb, and Zn were 2.5, 41, 11 485, 197, 19, 44, and 266 mug g-1, respectively. Mean concentrations of Cd, Cu, Fe, Mn, Ni, Pb, and Zn in the non-residual fraction on the other hand, were 1.0, 17, 4566, 138, 14, 13, and 210 mug g-1, respectively. These concentrations accounted for 40, 42, 40, 70, 76, 30, and 29% of total metal concentrations present in sediments, respectively. In the nonresidual fraction, 6.8% Cd, 4.9% Cu, 0.04% Fe, 13% Mn, 8% Ni, 12% Pb, and 9.8% Zn and 4.9% Cd, 1.1% Cu, 1.1% Fe, 13% Mn, 3.7% Ni, 7.5% Pb, and 10% Zn were present in the exchangeable and easily reducible fractions, respectively. In the moderately reducible fraction, 40% Cd, 6.9% Cu, 49% Fe, 11%, Mn, 1.1% Ni, and 21% Zn were demonstrated to be associated with this fraction. Lead was, however, not detected in this fraction. Most trace metals were shown to be associated with the organic/sulphide fraction having 48, 87, 50, 64, 87, 80, and 59% of Cd, Cu, Fe, Mn, Ni, Pb, and Zn, respectively. It appears that the exchangeable, easily reducible and moderately reducible fractions in most cases are considered to be geochemically insignificant in the sorption of trace metals in partially anaerobic sediments investigated. The organic/sulphide fraction was, however, assumed to have an important role as a reservoir for trace metals in the sediments. As these metals were poorly concentrated in the exchangeable phase, the present results tend to indicate that the economically important bivalve, A. granosa is not at risk of being heavily contaminated by toxicologically significant trace metals.</t>
  </si>
  <si>
    <t>UNIV MALAYA, CTR FDN, KUALA LUMPUR 59100, MALAYSIA.</t>
  </si>
  <si>
    <t>MAAH, MOHD/B-5230-2010</t>
  </si>
  <si>
    <t>10.1016/0025-326X(94)90158-9</t>
  </si>
  <si>
    <t>NR504</t>
  </si>
  <si>
    <t>WOS:A1994NR50400012</t>
  </si>
  <si>
    <t>Oliva, AL; Ovaert, J; Arias, AH; Souissi, S; Marcovecchio, JE</t>
  </si>
  <si>
    <t>Oliva, A. L.; Ovaert, J.; Arias, A. H.; Souissi, S.; Marcovecchio, J. E.</t>
  </si>
  <si>
    <t>Mussels as Bioindicators of PAHs Pollution within Argentinean Coastal Environments, South America</t>
  </si>
  <si>
    <t>Biological monitoring; Coastal environments; Persistent Organic Compounds; Hydrocarbons; Health Risk Assessment</t>
  </si>
  <si>
    <t>POLYCYCLIC AROMATIC-HYDROCARBONS; LA-PLATA ESTUARY; MARINE-SEDIMENTS; MYTILUS-GALLOPROVINCIALIS; PETROLEUM-HYDROCARBONS; SOURCE APPORTIONMENT; SURFICIAL SEDIMENTS; TEMPORAL TRENDS; CONTAMINATION; BAY</t>
  </si>
  <si>
    <t>The Bahia Blanca Estuary, located at the Atlantic coast of Argentina, includes a governmental nature reserve to protect biodiversity, lands and water; however, as the process of industrialization and urbanization is stepping rapidly at the neighbouring area, the potential increase in contaminant loads is a serious concern. After several contaminants surveys at the estuary, no single study has been yet performed in order to study the native mussels population assemblages vs. the chemical environment; then, to test the ability of Brachidontes rodriguezii assemblages as pollution indicators, native populations were chosen at three different sites from the Bahia Blanca Estuary. After quadrants sampling, the populations were assessed for size classification, density, sex rate, surrounding sediment and body burden of Polycyclic Aromatic Hydrocarbons (PAHs) as chemical pollution markers. Soxhlet extracted samples were measured through Capillary Gas Chromatography (Hewlett-Packard P68906C)/Mass Spectrometry (HP 5972). Mussels appeared to be better pollution indicators than sediments and could be used to classify the average pollution level at the area as moderate along the studied period. A positive correlational analyses was found between the population assemblage disruption vs. PAH's tissue burden, supporting the suitability of this specie to be used as biomonitor. In addition, source apportionment procedures could successfully discern between PAHs petrogenic and combustion inputs, leading to tag each site with the major contributing PAHs sources. Finally, screening values analysis concluded a certain health risk to potential consumers; thus, highlighting the urgent need of a systematic monitoring program.</t>
  </si>
  <si>
    <t>[Oliva, A. L.; Arias, A. H.; Marcovecchio, J. E.] CCT CONICET, Inst Argentino Oceanog IADO, CC 804, Bahia Blanca, Buenos Aires, Argentina; [Ovaert, J.; Marcovecchio, J. E.] Univ FASTA, Mar Del Plata, Buenos Aires, Argentina; [Arias, A. H.] Univ Nacl Sur, Dept Quim, Area Quim Analit, RA-8000 Bahia Blanca, Buenos Aires, Argentina; [Souissi, S.] Univ Lille 1, Nord Pas De Calais, France; [Marcovecchio, J. E.] UTN, FRBB, Bahia Blanca, Buenos Aires, Argentina</t>
  </si>
  <si>
    <t>Consejo Nacional de Investigaciones Cientificas y Tecnicas (CONICET); National University of the South; Universite de Lille</t>
  </si>
  <si>
    <t>Arias, AH (corresponding author), CCT CONICET, Inst Argentino Oceanog IADO, CC 804, Bahia Blanca, Buenos Aires, Argentina.</t>
  </si>
  <si>
    <t>aharias@criba.edu.ar</t>
  </si>
  <si>
    <t>Marcovecchio, Jorge/AAQ-3365-2020; Souissi, Sami/C-5146-2018</t>
  </si>
  <si>
    <t>Arias, Andres Hugo/0000-0003-3322-330X; Oliva, Ana Laura/0000-0001-9620-200X; Souissi, Sami/0000-0002-6720-0096</t>
  </si>
  <si>
    <t>Science and Technnical Secretary of Universidad Nacional del Sur from Argentina [24/Q012]; National Agency for Promotion of Science and Technology-ANPCyT- (PICT) from Argentina [1302]</t>
  </si>
  <si>
    <t>Science and Technnical Secretary of Universidad Nacional del Sur from Argentina; National Agency for Promotion of Science and Technology-ANPCyT- (PICT) from Argentina</t>
  </si>
  <si>
    <t>We thank the staff of IADO IV research vessel for the cooperation and skill at sea. This study was supported with grants funded by Science and Technnical Secretary of Universidad Nacional del Sur (project 24/Q012) and National Agency for Promotion of Science and Technology-ANPCyT- (2010 PICT No1302), all of them from Argentina.</t>
  </si>
  <si>
    <t>FAL</t>
  </si>
  <si>
    <t>DD0VM</t>
  </si>
  <si>
    <t>WOS:000369638700021</t>
  </si>
  <si>
    <t>Birch, GF; Shalem, Y; Lewtas, K; Besley, CH</t>
  </si>
  <si>
    <t>Birch, G. F.; Shalem, Y.; Lewtas, K.; Besley, C. H.</t>
  </si>
  <si>
    <t>Metal concentrations in Sydney Cockle (Anadara trapezia) tissue and ambient sediment in a highly-modified estuary (Sydney estuary, Australia)</t>
  </si>
  <si>
    <t>Sediment-tissue relationship; Prawns; Mussels; Oysters; BSAFs; Human consumption</t>
  </si>
  <si>
    <t>EXPOSURE-DOSE-RESPONSE; NEW-SOUTH-WALES; PORT-JACKSON; HEAVY-METALS; MYTILUS-GALLOPROVINCIALIS; SURFICIAL SEDIMENTS; QUALITY GUIDELINES; SMOOTH TOADFISH; TRACE-METALS; ORGANOCHLORINE PESTICIDES</t>
  </si>
  <si>
    <t>The influence of sedimentary metals on the cockle A. trapezia tissue was examined using a strong difference in sedimentary metal concentrations in an embayment (Hen and Chicken Bay) highly contaminated in Cu and an adjacent cove (Iron Cove), strongly enriched in Cd, Cu, Pb and Zn within the heavily-urbanised Sydney estuary catchment (Australia). Statistically significant differences were recorded for cockle tissue metal concentrations between the study locations reflecting differences in surficial sediment metal concentrations. Low metal uptake was apparent in A. trapezia tissue, which were considerably less than background sedimentary concentrations and was of low-risk for human consumption. Dissimilar bioconcentration of Cd, Cu, Pb and Zn was apparent in tissue of cockles (A. trapezia), prawns (Metapenaeus bennettae), mussels (Mytilus galloprovincialis) and oysters (Saccostrea glomerata), due possibly to different feeding patterns and biogeochemical conditions in bottom sediments.</t>
  </si>
  <si>
    <t>[Birch, G. F.; Shalem, Y.; Lewtas, K.] Univ Sydney, Sch Geosci, Sydney, NSW 2006, Australia; [Besley, C. H.] Sydney Water, Monitoring Design &amp; Reporting Customer Delivery, Potts Hill, NSW 2143, Australia</t>
  </si>
  <si>
    <t>Besley, CH (corresponding author), Sydney Water, Monitoring Design &amp; Reporting Customer Delivery, Potts Hill, NSW 2143, Australia.</t>
  </si>
  <si>
    <t>colin.besley@sydneywater.com.au</t>
  </si>
  <si>
    <t>10.1016/j.marpolbul.2019.04.075</t>
  </si>
  <si>
    <t>IE9HY</t>
  </si>
  <si>
    <t>WOS:000472686700033</t>
  </si>
  <si>
    <t>Krishna, MVB; Arunachalam, J</t>
  </si>
  <si>
    <t>Ultrasound-assisted extraction procedure for the fast estimation of major, minor and trace elements in lichen and mussel samples by ICP-MS and ICP-AES</t>
  </si>
  <si>
    <t>lichens; mussel tissue; ultrasound-assisted extraction; microwave digestion; ICP-MS; ICP-AES</t>
  </si>
  <si>
    <t>ATOMIC-ABSORPTION-SPECTROMETRY; SOLID-LIQUID EXTRACTION; DIGESTION METHODS; METAL POLLUTION; COPPER; ZINC; DISSOLUTION; MANGANESE; CADMIUM; MOSSES</t>
  </si>
  <si>
    <t>The application of ultrasound-assisted extraction procedure has been examined for the estimation of major, minor and trace elements in a set of bio-environmental samples (IAEA lichen 336 and mussel tissue NIST 2976) as a possible alternative to conventional digestion methods. Inductively coupled plasma mass spectrometry (ICP-MS) and inductively coupled plasma atomic emission spectrometry (ICP-AES) were used for the quantification of the elements. Parameters affecting extraction such as extractant concentration, sonication time and ultrasound amplitude were optimized to get quantitative recovery of elements. These studies indicate that the method is a fast (within 15 min including centrifugation time) and simple method for the estimation of Na, K, Ca, Mg, Cr, Mn, Co, Ni, Cu, Zn, Ge, As, Se, Rb, Sr, Zr, Ag, Cd, In, Sb, Cs, Ba, Pb and Bi. Quantitative recoveries for most of the elements for which certified concentrations available, were obtained using a 1% (v/v) HNO3 as extractant and metal solubilization can be achieved within 4 min sonication time at 40% sonication amplitude and 100 mg sample weight. The supernatant obtained upon centrifugation was used for analysis. Quantitative recovery was achieved for many elements which are well in agreement with certified values. An overall precision of better than 10% could be achieved for many elements in multiple extractions. similar extraction procedure was tested on two field lichen samples. Closed-microwave digestion method was also used for the estimation of various elements in lichen and mussel samples for comparison purposes. (C) 2004 Elsevier B.V. All rights reserved.</t>
  </si>
  <si>
    <t>Bhabha Atom Res Ctr, Natl Ctr Composit Characterizat Mat, Dept Atom Energy, Hyderabad 500062, Andhra Pradesh, India</t>
  </si>
  <si>
    <t>Bhabha Atom Res Ctr, Natl Ctr Composit Characterizat Mat, Dept Atom Energy, ECIL Post, Hyderabad 500062, Andhra Pradesh, India.</t>
  </si>
  <si>
    <t>aruncccm@rediffmail.com</t>
  </si>
  <si>
    <t>10.1016/j.aca.2004.07.006</t>
  </si>
  <si>
    <t>853ZO</t>
  </si>
  <si>
    <t>WOS:000223869800006</t>
  </si>
  <si>
    <t>Mills, SC; Reynolds, JD</t>
  </si>
  <si>
    <t>The importance of species interactions in conservation:: the endangered European bitterling Rhodeus sericeus and its freshwater mussel hosts</t>
  </si>
  <si>
    <t>ANIMAL CONSERVATION</t>
  </si>
  <si>
    <t>PROXIMATE CUE; HYPOXIA; FISH; OXYGEN; CLAM; VENTILATION; RESPONSES; SYMBIOSIS; SPHAERIUM; BIOMASS</t>
  </si>
  <si>
    <t>Species conservation may be complicated in symbiotic interactions. Sub-lethal impacts of human activities on one species may be lethal to other species on which they depend. We investigated the impact of two aspects of eutrophication - changes in phytoplankton and oxygen levels - on the interaction between a freshwater fish that is endangered in several countries, the European bitterling, Rhodeus sericeus, and the unionid mussel hosts that they require for spawning. Reduced concentrations of algae and oxygen each led to a greater proportion of bitterling embryos being ejected prematurely from the mussel hosts. Reduced algal concentrations also led to reductions in mussel ventilation rates and to mussels spending less time with their valves open. Bitterling mortality may have been due to three causes: direct effects of environmental conditions on embryonic survival, active expulsion by mussels when stressed and through responses by mussels that created internal conditions that bitterling embryos could not survive. Our study shows that the sub-lethal effects of pollution on one species can have lethal effects on another species with which it interacts. Such interactions need to be considered in conservation programmes.</t>
  </si>
  <si>
    <t>Univ E Anglia, Sch Biol Sci, Ctr Ecol Evolut &amp; Conservat, Norwich NR4 7TJ, Norfolk, England</t>
  </si>
  <si>
    <t>University of East Anglia</t>
  </si>
  <si>
    <t>Dept Biol &amp; Environm Sci, POB 35 YAC 4, FIN-40014 Jyvaskyla, Finland.</t>
  </si>
  <si>
    <t>mills@sooozie.co.uk</t>
  </si>
  <si>
    <t>Mills, Suzanne/K-5538-2012; Reynolds, John/L-6345-2015</t>
  </si>
  <si>
    <t>Mills, Suzanne Caroline/0000-0001-8948-3384</t>
  </si>
  <si>
    <t>1367-9430</t>
  </si>
  <si>
    <t>1469-1795</t>
  </si>
  <si>
    <t>ANIM CONSERV</t>
  </si>
  <si>
    <t>Anim. Conserv.</t>
  </si>
  <si>
    <t>10.1017/S1367943004001416</t>
  </si>
  <si>
    <t>857IY</t>
  </si>
  <si>
    <t>WOS:000224111100005</t>
  </si>
  <si>
    <t>Parolini, M; Magni, S; Castiglioni, S; Zuccato, E; Binelli, A</t>
  </si>
  <si>
    <t>Parolini, Marco; Magni, Stefano; Castiglioni, Sara; Zuccato, Ettore; Binelli, Andrea</t>
  </si>
  <si>
    <t>Realistic mixture of illicit drugs impaired the oxidative status of the zebra mussel (Dreissena polymorpha)</t>
  </si>
  <si>
    <t>Illicit drugs; Mixture; Oxidative stress; Zebra mussel</t>
  </si>
  <si>
    <t>COCAINE METABOLITE BENZOYLECGONINE; PERSONAL CARE PRODUCTS; WASTE-WATER; BACTERIAL COMMUNITIES; BIOLOGICAL MODEL; VIBRIO-FISCHERI; PHARMACEUTICALS; TOXICITY; GROWTH; FISH</t>
  </si>
  <si>
    <t>Illicit drugs are considered to be emerging aquatic pollutants since they are commonly found in freshwater ecosystems in the high ng L-1 to low lig L-1 range concentrations. Although the environmental occurrence of the most common psychoactive compounds is well known, recently some investigations showed their potential toxicity toward non-target aquatic organisms. However, to date, these studies completely neglected that organisms in the real environment are exposed to a complex mixture, which could lead to dissimilar adverse effects. The present study investigated the oxidative alterations of the freshwater bivalve Dreissena polymorpha induced by a 14-d exposure to an environmentally relevant mixture of the most common illicit drugs found in the aquatic environment, namely cocaine (50 ng L-1), benzoylecgonine (300 ng L-1), amphetamine (300 ng L-1), morphine (100 ng L-1) and 3,4-methylenedioxymethamphetamine (50 ng L-1). The total oxidant status (TOS) was measured to investigate the increase in the reactive oxygen species' levels, while the activity of antioxidant enzymes and glutathione S-transferase were measured to note the eventual imbalances between pro-oxidant and antioxidant molecules. In addition, oxidative damage was assessed by measuring the levels of lipid peroxidation and protein carbonylation. Significant time-dependent increases of all the antioxidant activities were induced by the mixture. Moreover, the illicit drug mixture significantly increased the levels of carbonylated proteins and caused a slight variation in lipid peroxidation. Our results showed that a mixture of illicit drugs at realistic environmental concentrations can impair the oxidative status of the zebra mussel, posing a serious hazard to the health status of this bivalve species. (C) 2015 Elsevier Ltd. All rights reserved.</t>
  </si>
  <si>
    <t>[Parolini, Marco; Magni, Stefano; Binelli, Andrea] Univ Milan, Dept Biosci, I-20133 Milan, Italy; [Castiglioni, Sara; Zuccato, Ettore] IRCCS, Ist Ric Farmacol Mario Negri, Dept Environm Hlth Sci, I-20156 Milan, Italy</t>
  </si>
  <si>
    <t>University of Milan; Istituto di Ricerche Farmacologiche Mario Negri IRCCS</t>
  </si>
  <si>
    <t>Parolini, M (corresponding author), Univ Milan, Dept Biosci, Via Celoria 26, I-20133 Milan, Italy.</t>
  </si>
  <si>
    <t>marco.parolini@unimi.it</t>
  </si>
  <si>
    <t>Zuccato, Ettore/AAB-2116-2020; Castiglioni, Sara/AAA-9189-2020; Binelli, Andrea/B-2685-2017</t>
  </si>
  <si>
    <t>Zuccato, Ettore/0000-0003-2094-2305; Binelli, Andrea/0000-0001-9953-7315; Parolini, Marco/0000-0003-0226-1709; Magni, Stefano/0000-0002-5440-5236; Castiglioni, Sara/0000-0002-7313-8495</t>
  </si>
  <si>
    <t>10.1016/j.chemosphere.2014.12.092</t>
  </si>
  <si>
    <t>CF1SJ</t>
  </si>
  <si>
    <t>WOS:000352327900014</t>
  </si>
  <si>
    <t>Sardenne, F; Le Loc'h, F; Bodin, N; Mve-Beh, JH; Munaron, JM; Mbega, JD; Nzigou, AR; Sadio, O; Budzinski, H; Leboulanger, C</t>
  </si>
  <si>
    <t>Sardenne, Fany; Le Loc'h, Francois; Bodin, Nathalie; Mve-Beh, Jean-Herve; Munaron, Jean-Marie; Mbega, Jean-Daniel; Nzigou, Aime Roger; Sadio, Oumar; Budzinski, Helene; Leboulanger, Christophe</t>
  </si>
  <si>
    <t>Persistent organic pollutants and trace metals in selected marine organisms from the Akanda National Park, Gabon (Central Africa)</t>
  </si>
  <si>
    <t>contaminats; Fish; Mangrove; Marine protected area; Mollusks</t>
  </si>
  <si>
    <t>POLYBROMINATED DIPHENYL ETHERS; MANGROVE ECOSYSTEMS; HEAVY-METAL; FOOD-WEB; CONTAMINATION; SENEGAL; FISH; BIOMAGNIFICATION; MOLLUSKS; LAGOONS</t>
  </si>
  <si>
    <t>Akanda National Park (ANP) is composed of mangrove ecosystems bordering Libreville, Gabon's capital. The contamination of aquatic resources from the ANP by persistent organic pollutants (POPs) and trace metals (TMs) was never evaluated. To provide a basis for their monitoring in the ANP, five species (two fish, two mollusks, and one crustacean) were analyzed from three sampling sites in 2017. Contamination levels for POPs and TMs were below maximum acceptable limits for seafood, including Cd and Pb. No DDT was found in any sample. Inter-specific differences were more obvious than the differences among sites, although the results may be biased by an unbalanced sampling design. The oyster Crassostrea gasar was the most contaminated species, making this species a good candidate to assess environmental contamination in the area. The studied species also contained essential elements, such as Fe, Zn and Mn at interesting levels in a nutritional point of view.</t>
  </si>
  <si>
    <t>[Sardenne, Fany; Le Loc'h, Francois; Mve-Beh, Jean-Herve; Munaron, Jean-Marie] Univ Brest, IRD, CNRS, Ifremer,LEMAR,IUEM, F-29280 Plouzane, France; [Bodin, Nathalie] Sustainable Ocean Seychelles, Mahe, Seychelles; [Mve-Beh, Jean-Herve; Mbega, Jean-Daniel] Inst Rech Agron &amp; Forestieres, CENAREST Lab Hydrobiol &amp; Ichtyol, BP 2246, Libreville, Gabon; [Nzigou, Aime Roger] Univ Sci &amp; Tech Masuku, Franceville, Gabon; [Sadio, Oumar] Univ Brest, IRD, CNRS, Ifremer,LEMAR, Dakar, Senegal; [Budzinski, Helene] Bordeaux Univ, EPOC LPTC, UMR CNRS 5805, Talence, France; [Leboulanger, Christophe] Univ Montpellier, MARBEC, IRD, Ifremer,CNRS, F-34200 Sete, France</t>
  </si>
  <si>
    <t>Universite de Bretagne Occidentale; Institut Universitaire Europeen de la Mer (IUEM); Centre National de la Recherche Scientifique (CNRS); Ifremer; Institut de Recherche pour le Developpement (IRD); Centre National de la Recherche Scientifique (CNRS); Ifremer; Institut de Recherche pour le Developpement (IRD); Centre National de la Recherche Scientifique (CNRS); CNRS - National Institute for Earth Sciences &amp; Astronomy (INSU); Institut de Recherche pour le Developpement (IRD); Universite de Montpellier; Centre National de la Recherche Scientifique (CNRS); Ifremer</t>
  </si>
  <si>
    <t>Sardenne, F (corresponding author), Univ Brest, IRD, CNRS, Ifremer,LEMAR,IUEM, F-29280 Plouzane, France.</t>
  </si>
  <si>
    <t>fany.sardenne@ird.fr</t>
  </si>
  <si>
    <t>Le Loc'h, Francois/A-5038-2008; Leboulanger, Christophe/W-9859-2018</t>
  </si>
  <si>
    <t>Le Loc'h, Francois/0000-0002-3372-6997; NZIGOU, Aime Roger/0009-0001-1816-1270; Leboulanger, Christophe/0000-0001-5836-4294; Sardenne, Fany/0000-0002-6549-473X</t>
  </si>
  <si>
    <t>10.1016/j.marpolbul.2023.116009</t>
  </si>
  <si>
    <t>HH2S7</t>
  </si>
  <si>
    <t>WOS:001158542400001</t>
  </si>
  <si>
    <t>Su, WH; Shi, W; Han, Y; Hu, Y; Ke, AY; Wu, HX; Liu, GX</t>
  </si>
  <si>
    <t>Su, Wenhao; Shi, Wei; Han, Yu; Hu, Yuan; Ke, Aiying; Wu, Hongxi; Liu, Guangxu</t>
  </si>
  <si>
    <t>The health risk for seafood consumers under future ocean acidification (OA) scenarios: OA alters bioaccumulation of three pollutants in an edible bivalve species through affecting the in vivo metabolism</t>
  </si>
  <si>
    <t>Ocean acidification; Benzo[a] pyrene; Chloramphenicol; Nitrofurazone; Food safety</t>
  </si>
  <si>
    <t>LIQUID-CHROMATOGRAPHY; ZEBRAFISH EMBRYOS; CARBONIC-ACID; HEAVY-METALS; BLOOD CLAM; TOXICITY; EXPOSURE; FOOD; NITROFURAZONE; SEAWATER</t>
  </si>
  <si>
    <t>The current knowledge about the effect of pCO(2)-driven ocean acidification on the bioaccumulation of pollutants in marine species is still scarce, as only limited types of pollutants have been investigated. Therefore, to obtain a better understanding of the effect of ocean acidification on the process of bioaccumulation and subsequent food safety, the accumulation of benzo[a] pyrene (B[a]P), chloramphenicol (CAP), and nitrofurazone (NFZ) in an edible bivalve species, Tegillarca granosa, under present and near-future ocean acidification scenarios was investigated in the present study. The health risks associated with consuming contaminated blood clams were also assessed using target hazard quotient (THQ), lifetime cancer risk (CR), or margin of exposure (MoE). To explain the alterations in bioaccumulation of these pollutants, the expressions of genes encoding corresponding key metabolic proteins were analyzed as well. The results obtained showed that ocean acidification exerted a significant effect on the accumulation of B[a]P, NFZ, and CAP in the clams. After four-week exposure to B[a] P, NFZ, or CAP contaminated seawater acidified with CO2 at pH 7.8 and 7.4, significantly greater amounts of B[a] P and lower amounts of NFZ and CAP were accumulated in the clams compared to that in the control. Although no non-carcinogenic risk of consuming B[a] P-contaminated blood clams was detected using the THQ values obtained, the CR values obtained indicated a high life-time risk in all groups. In addition, according to the MoE values obtained, the health risks in terms of consuming NFZ- and CAP-contaminated clams were significantly reduced under ocean acidification scenarios but still cannot be ignored, especially for children. The gene expression results showed that the ability of clams to eliminate B[a]P may be significantly constrained, whereas the ability to eliminate NFZ and CAP may be enhanced under ocean acidification scenarios, indicating that the changes in the accumulation of these pollutants may be due to the altered in vivo metabolism. (C) 2018 Elsevier B.V. All rights reserved.</t>
  </si>
  <si>
    <t>[Su, Wenhao; Shi, Wei; Han, Yu; Liu, Guangxu] Zhejiang Univ, Coll Anim Sci, Hangzhou, Zhejiang, Peoples R China; [Hu, Yuan; Ke, Aiying] Zhejiang Mariculture Res Inst, Wenzhou, Peoples R China; [Wu, Hongxi] Zhejiang Fisheries Technol Extens Stn, Hangzhou, Zhejiang, Peoples R China</t>
  </si>
  <si>
    <t>Liu, GX (corresponding author), Zhejiang Univ, Agr Environm Biol Grp, Room 551,Zijingang Campus,886 Yuhangtang Rd, Hangzhou, Zhejiang, Peoples R China.</t>
  </si>
  <si>
    <t>National Natural Science Foundation of China [31672634]; Open Fund of Key Laboratory for Marine Ecosystem and Biogeochemistry, SOA [LMEB201708]; Open Fund of Key Laboratory of Eco-Environment &amp; Disaster Preservation of Shandong, North China Sea Branch of SOA [201704]</t>
  </si>
  <si>
    <t>National Natural Science Foundation of China(National Natural Science Foundation of China (NSFC)); Open Fund of Key Laboratory for Marine Ecosystem and Biogeochemistry, SOA; Open Fund of Key Laboratory of Eco-Environment &amp; Disaster Preservation of Shandong, North China Sea Branch of SOA</t>
  </si>
  <si>
    <t>This work was funded by National Natural Science Foundation of China (No. 31672634), Open Fund of Key Laboratory for Marine Ecosystem and Biogeochemistry, SOA (No. LMEB201708), and Open Fund of Key Laboratory of Eco-Environment &amp; Disaster Preservation of Shandong, North China Sea Branch of SOA (No. 201704).</t>
  </si>
  <si>
    <t>10.1016/j.scitotenv.2018.10.056</t>
  </si>
  <si>
    <t>GX6LB</t>
  </si>
  <si>
    <t>WOS:000447871400126</t>
  </si>
  <si>
    <t>Bellotto, VR; Miekeley, N</t>
  </si>
  <si>
    <t>Bellotto, V. R.; Miekeley, N.</t>
  </si>
  <si>
    <t>Trace metals in mussel shells and corresponding soft tissue samples:: a validation experiment for the use of Perna perna shells in pollution monitoring</t>
  </si>
  <si>
    <t>ANALYTICAL AND BIOANALYTICAL CHEMISTRY</t>
  </si>
  <si>
    <t>trace metals; mussel shells; Perna perna; LA-ICP-MS; marine pollution</t>
  </si>
  <si>
    <t>ABLATION ICP-MS; PLASMA-MASS-SPECTROMETRY; LASER-ABLATION; MYTILUS-EDULIS; MERCENARIA-MERCENARIA; COASTAL WATERS; LEAD POLLUTION; ELEMENTS; RECORD; WATCH</t>
  </si>
  <si>
    <t>The uptake of Cr, Mn, Ni, Cu, Zn, Cd and Pb in soft tissue of Perna perna mussels and their shells has been studied in aquarium experiments in which mussels were exposed for 30 or 60 days to seawater spiked with different concentrations of these contaminants (125 and 500 mu g L-1). Tissue samples were analyzed after acid digestion by conventional solution nebulization ICP-MS. Laser ablation ICP-MS was used for the quantitative determination of trace elements in different areas of the corresponding shells. With the exception of Mn and Zn, all other elements studied showed a significant concentration enhancements in soft tissue, with the magnitude of this enhancement following the order: Cr &gt; Ni &gt; Cd &gt; Cu &gt; Pb. A corresponding increase in most contaminants, although less pronounced, was also observed in the newly formed growth rings of mussel shells, contributing to the validation of Perna perna mussel shell as a bioindicator of toxic elements.</t>
  </si>
  <si>
    <t>Pontificia Univ Catolica Rio de Janeiro, Dept Chem, BR-22451900 Rio De Janeiro, Brazil; Univ Vale Itajai, Ctr Technol Earth &amp; Ocean Sci, CTTMAR, BR-88302202 Itajai, Brazil</t>
  </si>
  <si>
    <t>Pontificia Universidade Catolica do Rio de Janeiro; Universidade do Vale do Itajai</t>
  </si>
  <si>
    <t>Miekeley, N (corresponding author), Pontificia Univ Catolica Rio de Janeiro, Dept Chem, Rua Marques Sao Vicente 225, BR-22451900 Rio De Janeiro, Brazil.</t>
  </si>
  <si>
    <t>miekeley@rdc.puc-rio.br</t>
  </si>
  <si>
    <t>Bellotto, Valeria/E-1585-2013</t>
  </si>
  <si>
    <t>Bellotto, Valeria/0000-0001-6909-6707</t>
  </si>
  <si>
    <t>1618-2642</t>
  </si>
  <si>
    <t>1618-2650</t>
  </si>
  <si>
    <t>ANAL BIOANAL CHEM</t>
  </si>
  <si>
    <t>Anal. Bioanal. Chem.</t>
  </si>
  <si>
    <t>10.1007/s00216-007-1420-y</t>
  </si>
  <si>
    <t>213DH</t>
  </si>
  <si>
    <t>WOS:000249645800013</t>
  </si>
  <si>
    <t>Di Poi, C; Costil, K; Bouchart, V; Halm-Lemeille, MP</t>
  </si>
  <si>
    <t>Di Poi, Carole; Costil, Katherine; Bouchart, Valerie; Halm-Lemeille, Marie-Pierre</t>
  </si>
  <si>
    <t>Toxicity assessment of five emerging pollutants, alone and in binary or ternary mixtures, towards three aquatic organisms</t>
  </si>
  <si>
    <t>Pharmaceuticals; Personal care products; Pesticides; Mixture and single-compound toxicity; Freshwater species; Marine bivalve</t>
  </si>
  <si>
    <t>EMBRYO-LARVAL DEVELOPMENT; PERSONAL CARE PRODUCTS; RISK-ASSESSMENT; FRESH-WATER; HUMAN PHARMACEUTICALS; PACIFIC OYSTER; WASTE-WATER; SWIMMING BEHAVIOR; DEGRADATE AMPA; GLYPHOSATE</t>
  </si>
  <si>
    <t>Despite a growing scientific attention on ecological impact of emerging pollutants (EPs) such as pharmaceuticals, personal care products, and pesticides, knowledge gaps remain regarding mixture toxicity and effects on aquatic organisms. Several EPs were screened in seawater (Normandy, France), and the ecotoxicity of five compounds, chosen on their occurrence in ecosystems and use worldwide, was assessed and were the biocides methylparaben (MP) and triclosan (TCS), a pesticide degradation product (AMPA), and the pharmaceuticals venlafaxine (VEN) and carbamazepine (CBZ). The acute or sub-chronic toxicity, alone or in binary/ternary mixtures of three of them (CBZ, AMPA, and MP), was assessed on one marine and two freshwater organisms: Crassostrea gigas, Pseudokirchneriella subcapitata, and Daphnia magna. TCS and AMPA were, respectively, the most (EC50 &lt; 1 mg L-1) and the least (EC50 &gt; 50 mg L-1) toxic chemicals for the four endpoints (algal growth inhibition, daphnia immobilization, oyster embryotoxicity, and metamorphosis). The anxiolytic VEN (EC50 &lt; 1 mg L-1) was particularly toxic to oyster larvae showing sensitivity difference between freshwater and marine organisms. If all the mixtures appeared to be in the same range of toxicity, the joint-toxic effects mainly led to synergistic or antagonistic interactions compared to single-compound toxicity. The data also highlighted species-dependent differing models of toxicity and underscored the need for an awareness of cocktail effects for better ecological risk assessment.</t>
  </si>
  <si>
    <t>[Di Poi, Carole; Costil, Katherine] Univ Caen Normandie, CNRS, UPMC, UCBN,BOREA,MNHN,UMR 7208,IRD 207,CS 14032, F-14032 Caen, France; [Di Poi, Carole] CNRS, Ctr Bretagne, IFREMER, LEMAR,UMR 6539,UBO,IRD,ZI Pointe Diable,CS 10070, F-29280 Plouzane, France; [Bouchart, Valerie] Lab LABEO Frank Duncombe, 1 Route Rosel, F-14053 Caen 4, France; [Halm-Lemeille, Marie-Pierre] Univ Caen Normandie, CNRS, ICORE, CERMN,UNICAEN,EA 4258,FR 3038,INC3M,SF 4206, Blvd Becquerel, F-14032 Caen, France; [Halm-Lemeille, Marie-Pierre] IFREMER, LER, Stn Port Bessin, Ave Gen Gaulle,BP 32, F-14520 Port En Bessin, France</t>
  </si>
  <si>
    <t>Universite de Caen Normandie; Centre National de la Recherche Scientifique (CNRS); Institut de Recherche pour le Developpement (IRD); Museum National d'Histoire Naturelle (MNHN); Sorbonne Universite; Centre National de la Recherche Scientifique (CNRS); Ifremer; Institut de Recherche pour le Developpement (IRD); Universite de Bretagne Occidentale; Universite de Caen Normandie; Universite Le Havre Normandie; Centre National de la Recherche Scientifique (CNRS); CNRS - Institute of Chemistry (INC); Ifremer</t>
  </si>
  <si>
    <t>Di Poi, C (corresponding author), Univ Caen Normandie, CNRS, UPMC, UCBN,BOREA,MNHN,UMR 7208,IRD 207,CS 14032, F-14032 Caen, France.;Di Poi, C (corresponding author), CNRS, Ctr Bretagne, IFREMER, LEMAR,UMR 6539,UBO,IRD,ZI Pointe Diable,CS 10070, F-29280 Plouzane, France.</t>
  </si>
  <si>
    <t>carole.dipoi@ifremer.fr</t>
  </si>
  <si>
    <t>; Di Poi, Carole/H-6493-2017</t>
  </si>
  <si>
    <t>, Marie pierre/0000-0002-8718-7298; Di Poi, Carole/0000-0001-7846-5287</t>
  </si>
  <si>
    <t>Direction de l'Agriculture et des Ressources Marines from the Region Normandie (France)</t>
  </si>
  <si>
    <t>This work was funded by the Direction de l'Agriculture et des Ressources Marines from the Region Normandie (France). The authors acknowledge C. Dureule (Laboratoire LABEO Franck Duncombe) for the analytical analyses and A. Voisin-Anastasie (student at Unicaen) for his helpful assistance in animal testing.</t>
  </si>
  <si>
    <t>10.1007/s11356-017-9306-9</t>
  </si>
  <si>
    <t>WOS:000426571000005</t>
  </si>
  <si>
    <t>Donaghy, L; Hong, HK; Kim, M; Park, HS; Choi, KS</t>
  </si>
  <si>
    <t>Donaghy, Ludovic; Hong, Hyun-Ki; Kim, Moonkoo; Park, Heung-Sik; Choi, Kwang-Sik</t>
  </si>
  <si>
    <t>Assessment of the fitness of the mussel Mytilus galloprovincialis two years after the Hebei Spirit oil spill</t>
  </si>
  <si>
    <t>Hebei spirit oil spill; Mytilus galloprovincialis; PAHs; Hemocytes; Energetic status</t>
  </si>
  <si>
    <t>CLAM RUDITAPES-PHILIPPINARUM; HEMOCYTE PARAMETERS; SENTINEL BIVALVES; IMMUNE PARAMETERS; CRASSOSTREA-GIGAS; INNATE IMMUNITY; PACIFIC OYSTER; WATCH PROGRAM; NOAA STATUS; RESPONSES</t>
  </si>
  <si>
    <t>In December 2007, &gt;150 km of the West coast of Korea were heavily polluted by crude oil leaked from the oil tanker Hebei Spirit, leading to mass mortality of bivalve mollusks on the intertidal areas. Two years after, mussels Mytilus galloprovincialis were collected from two impacted sites to investigate sub-lethal effects of the oil spill. Tissue content in polycyclic aromatic hydrocarbons (PAHs), hemocyte parameters, reproductive status and energetic reserves were analyzed. PAHs in tissues of mussels as well as hemocyte parameters were not different between impacted and control sites. Energetic reserves were altered in mussels from the impacted sites. Glycogen content remained low at polluted sites, whatever the season. Two years after the Hebei Spirit oil spill, mussels then presented altered energetic metabolism. Further investigations are thus warranted to monitor the sustain ability of mussel populations on the oil spilled West coast of Korea. (C) 2016 Elsevier Ltd. All rights reserved.</t>
  </si>
  <si>
    <t>[Donaghy, Ludovic; Hong, Hyun-Ki; Choi, Kwang-Sik] Jeju Natl Univ, Sch Marine Biomed Sci PLUS BK21, 102 Jejudaehakno, Jeju 63243, South Korea; [Kim, Moonkoo] Korea Inst Ocean Sci &amp; Technol, South Sea Inst, Oil &amp; POPs Res Grp, Geoje 656834, South Korea; [Park, Heung-Sik] Korean Inst Ocean Sci &amp; Technol, Marine Ecosyst &amp; Environm Res Div, Ansan 425600, South Korea</t>
  </si>
  <si>
    <t>Jeju National University; Korea Institute of Ocean Science &amp; Technology (KIOST)</t>
  </si>
  <si>
    <t>Choi, KS (corresponding author), Jeju Natl Univ, Sch Marine Biomed Sci PLUS BK21, 102 Jejudaehakno, Jeju 63243, South Korea.</t>
  </si>
  <si>
    <t>skchoi@jejunu.ac.kr</t>
  </si>
  <si>
    <t>Choi, Kwang-Sik/B-5367-2011; Kim, Moonkoo/C-2938-2008; Donaghy, Ludovic/F-1720-2016</t>
  </si>
  <si>
    <t>HONG, HYUN-KI/0000-0002-6646-3417; Choi, Kwang-Sik/0000-0002-6868-9460; Kim, Moonkoo/0000-0002-9079-1736; Donaghy, Ludovic/0000-0002-6840-2204</t>
  </si>
  <si>
    <t>Ministry of Oceans and Fisheries, Korea [PM59291]; Ministry of Oceans and Fisheries of Korea, through a project, Long-term changes of structure and function in marine ecosystems of Korea</t>
  </si>
  <si>
    <t>Ministry of Oceans and Fisheries, Korea; Ministry of Oceans and Fisheries of Korea, through a project, Long-term changes of structure and function in marine ecosystems of Korea</t>
  </si>
  <si>
    <t>The authors thank the staff of the Shellfish Aquaculture and Research Laboratory at Jeju National University for their assistance in sampling and laboratory work. This research was a part of the project Oil spill environmental impact assessment and environmental restoration (PM59291) funded by the Ministry of Oceans and Fisheries, Korea. This study was also, in part, supported by the funding from the Ministry of Oceans and Fisheries of Korea, through a project, Long-term changes of structure and function in marine ecosystems of Korea (2016).</t>
  </si>
  <si>
    <t>10.1016/j.marpolbul.2016.10.007</t>
  </si>
  <si>
    <t>EG0PL</t>
  </si>
  <si>
    <t>WOS:000390734600060</t>
  </si>
  <si>
    <t>Jovic, M; Stankovic, S</t>
  </si>
  <si>
    <t>Jovic, Mihajlo; Stankovic, Slavka</t>
  </si>
  <si>
    <t>DETERMINATION OF MARINE POLLUTION BY COMPARATIVE ANALYSIS OF METAL POLLUTION INDICES</t>
  </si>
  <si>
    <t>Mytilus galloprovincialis; Posidonia oceanica; trace metals; MPI; Adriatic Sea</t>
  </si>
  <si>
    <t>MUSSEL MYTILUS-GALLOPROVINCIALIS; TRACE-METALS; POSIDONIA-OCEANICA; ELEMENT CONCENTRATIONS; ATLANTIC COAST; ADRIATIC SEA; HEAVY-METALS; HEALTH-RISK; SOFT-TISSUE; MONTENEGRO</t>
  </si>
  <si>
    <t>Due to the specific geographical and hydrological structure of Boka Kotorska Bay, that is characterized by a low flow of water through the bay, the anthropogenic impact is pronounced, exerting direct effects on this unique ecosystem. Trace metal (Pb, Hg, Ni, Co and Cd) concentrations were measured in the winter, spring and fall of 2008 in two marine organisms (Posidonia oceanica and Mytilus galloprovincialis) selected as biomonitors of trace metals in the Boka Kotorska Bay. These marine organisms have the ability to accumulate trace metals from their environment. Metal pollution indexes (MPI) for both species were compared, confirming that the most polluted was Tivat bay and the least Kotor bay.</t>
  </si>
  <si>
    <t>[Jovic, Mihajlo] Univ Belgrade, Vinca Inst Nucl Sci, Belgrade 11001, Serbia; [Stankovic, Slavka] Univ Belgrade, Fac Technol &amp; Met, Belgrade 11000, Serbia</t>
  </si>
  <si>
    <t>Jovic, M (corresponding author), Univ Belgrade, Vinca Inst Nucl Sci, Mike Petrovica Alasa 12-14, Belgrade 11001, Serbia.</t>
  </si>
  <si>
    <t>Jovic, Mihajlo/U-8340-2017</t>
  </si>
  <si>
    <t>Ministry of Education, Science and Technological Development of the Republic of Serbia [III43009]</t>
  </si>
  <si>
    <t>This research was financed by the Ministry of Education, Science and Technological Development of the Republic of Serbia, Contract No. III43009.</t>
  </si>
  <si>
    <t>10.2298/ABS1403205J</t>
  </si>
  <si>
    <t>AW7YG</t>
  </si>
  <si>
    <t>WOS:000346476900032</t>
  </si>
  <si>
    <t>Quintáns-Fondo, A; Gustavo, FC; Paradelo-Núñez, R; Nóvoa-Muñoz, JC; Arias-Estévez, M; Fernández-Sanjurjo, MJ; Alvarez-Rodríguez, E; Núñez-Delgado, A</t>
  </si>
  <si>
    <t>Quintans-Fondo, Ana; Ferreira-Coelho, Gustavo; Paradelo-Nunez, Remigio; Carlos Novoa-Munoz, Juan; Arias-Estevez, Manuel; Fernandez-Sanjurjo, Maria J.; Alvarez-Rodriguez, Esperanza; Nunez-Delgado, Avelino</t>
  </si>
  <si>
    <t>Promoting sustainability in the mussel industry: mussel shell recycling to fight fluoride pollution</t>
  </si>
  <si>
    <t>Fluoride; Granitic material; Mussel shell; Pyritic material; Soil; Sorption</t>
  </si>
  <si>
    <t>MIXTURES INCLUDING WASTES; ALUMINUM SMELTER; SOIL; ADSORPTION; DESORPTION; SORPTION; RETENTION; FRACTIONATION; CHROMIUM; AS(V)</t>
  </si>
  <si>
    <t>Taking into account a background situation where some industrial activities greatly influence fluoride pollution, while other industries generate by-products that could be effective as fluoride bio-sorbents, and bearing in mind sustainability and environmental concern, batch-type experiments were performed to study fluoride sorption/desorption on individual (un-amended) and mussel shell-amended soils and materials. Specifically, the research focused on a forest soil, a vineyard soil, pyritic material, granitic material, and ground mussel shell, as well as on both soils and the pyritic and granitic materials amended with mussel shell. The main findings of the research indicate that the shell amendment clearly increased fluoride sorption in the pyritic material (reaching more than 90%), showing no effect as regards fluoride desorption from this material. The amendment caused a slight increase in fluoride sorption on forest soil, as well as a slight decrease in fluoride desorption from it. The un-amended vineyard soil and the un-amended granitic material had lower fluoride-retention capacity than the forest soil and pyritic material, and it did not change after amending with mussel shell. The mussel shell by itself showed the lowest fluoride-retention potential among the tested materials. As a conclusion, and focusing on applicability, these results can be useful to program the correct use of mussel shell amendment on soils and even on degraded environments with the aim of increasing fluoride retention or removal, thus decreasing risk of environmental pollution due to excessive fluoride concentrations in solid and/or liquid media, also facilitating recycling, sustainability and cleaner production in the mussel shell industry. (C) 2016 Elsevier Ltd. All rights reserved.</t>
  </si>
  <si>
    <t>[Quintans-Fondo, Ana; Fernandez-Sanjurjo, Maria J.; Alvarez-Rodriguez, Esperanza; Nunez-Delgado, Avelino] Univ Santiago de Compostela, Engn Polytech Sch, Dept Soil Sci &amp; Agr Chem, Lugo 27002, Spain; [Ferreira-Coelho, Gustavo] State Univ West Parana, Ctr Agr Sci, Marechal Candido Rodondo, Parana, Brazil; [Paradelo-Nunez, Remigio; Carlos Novoa-Munoz, Juan; Arias-Estevez, Manuel] Univ Vigo, Fac Sci, Dept Plant Biol &amp; Soil Sci, Campus Ourense, Orense 32004, Spain</t>
  </si>
  <si>
    <t>Universidade de Santiago de Compostela; Universidade Estadual do Oeste do Parana; Universidade de Vigo</t>
  </si>
  <si>
    <t>Paradelo, Remigio/H-8296-2019; Fernández-Sanjurjo, María/ABC-6938-2020; Estévez, Manuel/M-8629-2016; Nóvoa-Muñoz, J. C./A-9181-2009; Coelho, Gustavo/F-4986-2015; Alvarez, Esperanza/B-3154-2018; Nunez-Delgado, Avelino/K-3964-2013</t>
  </si>
  <si>
    <t>Novoa-Munoz, Juan Carlos/0000-0003-3062-4191; Fernandez-Sanjurjo, Maria J./0000-0001-6728-7147; Alvarez, Esperanza/0000-0003-3470-2679; Nunez-Delgado, Avelino/0000-0001-5373-1606; Paradelo Nunez, Remigio/0000-0002-4165-177X</t>
  </si>
  <si>
    <t>Ministerio de Economia y Competitividad (Government of Spain) [CGL2012-36805-C02-01, CGL2012-36805-C02-02]; European Regional Development Fund (ERDF) (FEDER in Spain); Juan de la Cierva [JCI-2012-11778]</t>
  </si>
  <si>
    <t>Ministerio de Economia y Competitividad (Government of Spain)(Spanish Government); European Regional Development Fund (ERDF) (FEDER in Spain)(Spanish Government); Juan de la Cierva(Instituto de Salud Carlos IIISpanish Government)</t>
  </si>
  <si>
    <t>This study was funded by the Ministerio de Economia y Competitividad (Government of Spain), grant numbers CGL2012-36805-C02-01 and CGL2012-36805-C02-02. It was also partially financed by the European Regional Development Fund (ERDF) (FEDER in Spain). Dr. Remigio Paradelo-Nunez holds a Juan de la Cierva post-doctoral contract (JCI-2012-11778).</t>
  </si>
  <si>
    <t>10.1016/j.jclepro.2016.04.154</t>
  </si>
  <si>
    <t>DQ5UP</t>
  </si>
  <si>
    <t>WOS:000379270900047</t>
  </si>
  <si>
    <t>Inoue, M; Nohara, M; Okai, T; Suzuki, A; Kawahata, H</t>
  </si>
  <si>
    <t>Concentrations of trace elements in carbonate reference materials coral JCp-1 and giant clam JCt-1 by inductively coupled plasma-mass spectrometry</t>
  </si>
  <si>
    <t>GEOSTANDARDS AND GEOANALYTICAL RESEARCH</t>
  </si>
  <si>
    <t>coral JCp-1; giant clam JCt-1; reference material; trace elements; ICP-MS</t>
  </si>
  <si>
    <t>ICP-MS; RECORDS; METALS; LEAD; POLLUTION; CADMIUM; OCEAN</t>
  </si>
  <si>
    <t>Trace elements in the Geological Survey of Japan carbonate reference materials Coral JCp-1 and Giant Clam JCt-1 were determined by inductively coupled plasma-mass spectrometry after digestion with 2% v/v HNO3. A standard addition method was adopted in this determination in order to neutralise the Ca matrix effect. in addition, Sc, Y, In and Bi were used as internal standards to control the matrix effect and correct instrumental drift. Of the eighteen elements measured in JCp-1, precisions for fourteen elements, including Cu, Cd and Ba, were better than 10% RSD and concentrations ranged from 0.002 mu g g(-1) (Cs) to 8.02 mu g g(-1) (Ba). The concentrations of measured trace elements in JCt-1, except for Cu, were lower than those in JCp-1. Precisions for all elements with concentrations higher than 0.04 mu g g(-1) in JCt-1 were also better than 10% RSD and concentrations were found to be between 0.001 mu g g(-1) (Cs) and 4.84 mu g g(-1) (Ba). The concentrations of more than fifteen trace elements in the aragonite reference materials are reported here for the first time. Both reference materials are suitable for use in geochernical studies of environmental reconstruction based upon biogenic carbonate materials.</t>
  </si>
  <si>
    <t>Tohoku Univ, Grad Sch Sci, Aoba Ku, Sendai, Miyagi 9808578, Japan; Natl Inst AIST, Geol Survey Japan, Tsukuba, Ibaraki 3058567, Japan</t>
  </si>
  <si>
    <t>Tohoku University; National Institute of Advanced Industrial Science &amp; Technology (AIST)</t>
  </si>
  <si>
    <t>Inoue, M (corresponding author), Tohoku Univ, Grad Sch Sci, Aoba Ku, Sendai, Miyagi 9808578, Japan.</t>
  </si>
  <si>
    <t>mayuri-inoue@aist.go.jp</t>
  </si>
  <si>
    <t>Suzuki, Atsushi/L-6120-2018; Okai, Takashi/M-2601-2018; Kawahata, Hodaka/F-9065-2016</t>
  </si>
  <si>
    <t>Okai, Takashi/0000-0003-2422-524X; Kawahata, Hodaka/0000-0003-4236-7356; Suzuki, Atsushi/0000-0002-0266-5765</t>
  </si>
  <si>
    <t>GEOSTANDARDS</t>
  </si>
  <si>
    <t>VANDOEUVRE NANCY</t>
  </si>
  <si>
    <t>15 RUE NOTRE-DAME-DES-PAUVRES BP 20, 54501 VANDOEUVRE NANCY, FRANCE</t>
  </si>
  <si>
    <t>1639-4488</t>
  </si>
  <si>
    <t>GEOSTAND GEOANAL RES</t>
  </si>
  <si>
    <t>Geostand. Geoanal. Res.</t>
  </si>
  <si>
    <t>10.1111/j.1751-908X.2004.tb00759.x</t>
  </si>
  <si>
    <t>912UW</t>
  </si>
  <si>
    <t>WOS:000228106400005</t>
  </si>
  <si>
    <t>Li, ZQ; Li, LA; Sokolova, I; Shang, YY; Huang, W; Khor, W; Fang, JKH; Wang, YJ; Hu, MH</t>
  </si>
  <si>
    <t>Li, Zhuoqing; Li, Li 'ang; Sokolova, Inna; Shang, Yueyong; Huang, Wei; Khor, Waiho; Fang, James K. H.; Wang, Youji; Hu, Menghong</t>
  </si>
  <si>
    <t>Effects of elevated temperature and different crystal structures of TiO2 nanoparticles on the gut microbiota of mussel Mytilus coruscus</t>
  </si>
  <si>
    <t>TiO2 NPs; Crystal structure; Elevated temperature; Mytilus coruscus; Gut microbiota</t>
  </si>
  <si>
    <t>INTESTINAL MICROBIOTA; TITANIUM-DIOXIDE; IMMUNE-RESPONSES; OXIDATIVE STRESS; BIVALVE MOLLUSKS; DIGESTIVE GLAND; DIVERSITY; MICROPLASTICS; EXPOSURE; CRAB</t>
  </si>
  <si>
    <t>Coastal habitats are exposed to increasing pressure of nanopollutants commonly combined with warming due to the seasonal temperature cycles and global climate change. To investigate the toxicological effects of TiO2 nanoparticles (TiO2 NPs) and elevated temperature on the intestinal health of the mussels (Mytilus coruscus), the mussels were exposed to 0.1 mg/L TiO2 NPs with different crystal structures for 14 days at 20 degree celsius and 28 degree celsius, respectively. Compared to 20 degree celsius, the agglomeration of TiO2 NPs was more serious at 28 degree celsius. Exposure to TiO2 NPs led to elevated mortality of M. coruscus and modified the intestinal microbial community as shown by 16S rRNA sequence analysis. Exposure to TiO2 NPs changed the relative abundance of Bacteroidetes, Proteobacteria and Firmicutes. The relative abundances of putative mutualistic symbionts Tenericutes and Fusobacteria increased in the gut of M. coruscus exposed to anatase, which have contributed to the lower mortality in this group. LEfSe showed the combined stress of warming and TiO2 NPs increased the risk of M. coruscus being infected with potential pathogenic bacteria. This study emphasizes the toxicity differences between crystal structures of TiO2 NPs, and will provides an important reference for analyzing the physiological and ecological effects of nanomaterial pollution on bivalves under the background of global climate change.</t>
  </si>
  <si>
    <t>[Li, Zhuoqing; Li, Li 'ang; Shang, Yueyong; Wang, Youji; Hu, Menghong] Minist Sci &amp; Technol, Shanghai Ocean Univ, Int Res Ctr Marine Biosci, Shanghai 201306, Peoples R China; [Huang, Wei] Minist Nat Resources, Inst Oceanog 2, Key Lab Marine Ecosyst Dynam, Hangzhou 310012, Peoples R China; [Li, Zhuoqing; Li, Li 'ang; Shang, Yueyong; Wang, Youji; Hu, Menghong] Shanghai Ocean Univ, Key Lab Explorat &amp; Utilizat Aquat Genet Resources, Minist Educ, Shanghai 201306, Peoples R China; [Sokolova, Inna] Univ Rostock, Inst Biol Sci, Dept Marine Biol, Rostock, Germany; [Sokolova, Inna] Univ Rostock, Interdisciplinary Fac, Dept Maritime Syst, Rostock, Germany; [Khor, Waiho] Univ Malaysia Terengganu, Higher Inst Ctr Excellence HICoE, Inst Trop Aquaculture &amp; Fisheries, Kuala Terengganu 20000, Terengganu, Malaysia; [Fang, James K. H.] Hong Kong Polytech Univ, Dept Appl Biol &amp; Chem Technol, Hung Hom, Hong Kong, Peoples R China; [Hu, Menghong] Lingang Special Area Marine Biomed Innovat Platfor, Merchant Marine Coll, Shanghai 201306, Peoples R China; [Li, Zhuoqing] Chinese Acad Sci, Inst Oceanol, Qingdao 266071, Peoples R China</t>
  </si>
  <si>
    <t>Shanghai Ocean University; Ministry of Natural Resources of the People's Republic of China; Second Institute of Oceanography, Ministry of Natural Resources; Shanghai Ocean University; University of Rostock; University of Rostock; Universiti Malaysia Terengganu; Hong Kong Polytechnic University; Shanghai Maritime University; Chinese Academy of Sciences; Institute of Oceanology, CAS</t>
  </si>
  <si>
    <t>Wang, YJ; Hu, MH (corresponding author), Minist Sci &amp; Technol, Shanghai Ocean Univ, Int Res Ctr Marine Biosci, Shanghai 201306, Peoples R China.</t>
  </si>
  <si>
    <t>youjiwang2@gmail.com; mhhu@shou.edu.cn</t>
  </si>
  <si>
    <t>Fang, James/H-2088-2017; WANG, Youji/B-8086-2011; Huang, Wei/L-7090-2019; Shang, Yueyong/HTL-4592-2023</t>
  </si>
  <si>
    <t>Natural Science Foundation of China [42176144]; Shuguang Program of Shanghai Education Development Foundation [20SG47]; Shanghai Municipal Education Commission, China Postdoctoral Science Foundation [2023TQ0209]; National Funded Postdoctoral Researcher Program [GZC20231542]; German Research Foundation (Deutsche Forschungsgemeinschaft); DFG [430581461]</t>
  </si>
  <si>
    <t>Natural Science Foundation of China(National Natural Science Foundation of China (NSFC)); Shuguang Program of Shanghai Education Development Foundation; Shanghai Municipal Education Commission, China Postdoctoral Science Foundation; National Funded Postdoctoral Researcher Program; German Research Foundation (Deutsche Forschungsgemeinschaft)(German Research Foundation (DFG)); DFG(German Research Foundation (DFG))</t>
  </si>
  <si>
    <t>This study was supported by the Natural Science Foundation of China (42176144) , Shuguang Program (20SG47) of Shanghai Education Development Foundation and Shanghai Municipal Education Commission, China Postdoctoral Science Foundation (2023TQ0209) and National Funded Postdoctoral Researcher Program (GZC20231542) . Inna Sokolova gratefully acknowledges support of the German Research Foundation (Deutsche Forschungsgemeinschaft) through the project CRASSOBIOM, DFG project #430581461.</t>
  </si>
  <si>
    <t>10.1016/j.marpolbul.2023.115979</t>
  </si>
  <si>
    <t>GS2C0</t>
  </si>
  <si>
    <t>WOS:001154586600001</t>
  </si>
  <si>
    <t>Almeida, A; Freitas, R; Calisto, V; Esteves, VI; Schneider, RJ; Soares, AMVM; Figueira, E; Campos, B; Barata, C</t>
  </si>
  <si>
    <t>Almeida, Angela; Freitas, Rosa; Calisto, Vania; Esteves, Valdemar I.; Schneider, Rudolf J.; Soares, Amadeu M. V. M.; Figueira, Etelvina; Campos, Bruno; Barata, Carlos</t>
  </si>
  <si>
    <t>Effects of carbamazepine and cetirizine under an ocean acidification scenario on the biochemical and transcriptome responses of the clam Ruditapes philippinarum</t>
  </si>
  <si>
    <t>Pharmaceuticals; Mode of action; Biomarkers; Transcriptomic; Bivalves</t>
  </si>
  <si>
    <t>EARLY-LIFE STAGES; GENE-EXPRESSION; MANILA CLAM; DRUG CARBAMAZEPINE; IMMUNE-RESPONSE; MYTILUS-GALLOPROVINCIALIS; HUMAN PHARMACEUTICALS; MEDITERRANEAN MUSSEL; CERASTODERMA-EDULE; EXTRACELLULAR PH</t>
  </si>
  <si>
    <t>Several works evaluated the toxicity of pharmaceutical drugs and climate related changes in invertebrates but few explored the combined effects of both stressors, namely considering their mode of action (MoA). Carbamazepine (CBZ) and cetirizine (CTZ) are pharmaceutical drugs detected in the environment and the toxicity derived from the combined effects of these drugs with ocean acidification (OA) is poorly explored. Thus, the present study investigated the biochemical parameters related to an oxidative stress response and the transcription of genes related to the MoA of CBZ (1.0 mu g/L) and CTZ (0.6 mu g/L) in the clam Ruditapes philippinarum chronically exposed (28 days) to control (7.8) and low (7.5) pH conditions. The results obtained showed that despite the clams accumulated both drugs, at low pH the clams exposed to CTZ decreased drug concentration and BCF values (CTZ uptake: 2.0 +/- 0.5 ng/g fresh weight; BCF: 3.8 +/- 0.9) in comparison with clams exposed to control pH (CTZ uptake: 2.9 +/- 0.3 ng/g fresh weight; BCF: 5.5 +/- 0.6). No oxidative stress was induced by the exposure to CBZ or CTZ at each pH level, but the transcription of several genes related with the MoA (neurotransmission, immunity and biomineralization) was altered by low pH, drug exposure and the combination of both stressors. At both pH conditions, CBZ increased the transcription of GABA receptor gene (neurotransmission) and CTZ led to a decrease of Perlucin gene (biomineralization) transcription. The transcription of MyD88 gene (immunity) decreased at low pH (7.5) combined with drug exposure (CBZ or CTZ). Thus, it was highlighted that the interaction of drug exposure and low pH conditions can change bivalves' sensitivity to drugs or alter drugs toxicity. (C) 2018 Elsevier Ltd. All rights reserved.</t>
  </si>
  <si>
    <t>[Almeida, Angela; Freitas, Rosa; Soares, Amadeu M. V. M.; Figueira, Etelvina] Univ Aveiro, Biol Dept, P-3810193 Aveiro, Portugal; [Almeida, Angela; Freitas, Rosa; Calisto, Vania; Esteves, Valdemar I.; Soares, Amadeu M. V. M.; Figueira, Etelvina] Univ Aveiro, CESAM, P-3810193 Aveiro, Portugal; [Calisto, Vania; Esteves, Valdemar I.] Univ Aveiro, Chem Dept, P-3810193 Aveiro, Portugal; [Schneider, Rudolf J.] BAM Fed Inst Mat Res &amp; Testing, Richard Willstaetter Str 11, D-12489 Berlin, Germany; [Campos, Bruno; Barata, Carlos] CSIC, IDAEA, Dept Environm Chem, Jordi Girona 18, ES-08034 Barcelona, Spain</t>
  </si>
  <si>
    <t>Universidade de Aveiro; Universidade de Aveiro; Universidade de Aveiro; Federal Institute for Materials Research &amp; Testing; Consejo Superior de Investigaciones Cientificas (CSIC); CSIC - Centro de Investigacion y Desarrollo Pascual Vila (CID-CSIC); CSIC - Instituto de Diagnostico Ambiental y Estudios del Agua (IDAEA)</t>
  </si>
  <si>
    <t>Freitas, R (corresponding author), Univ Aveiro, Biol Dept, P-3810193 Aveiro, Portugal.;Freitas, R (corresponding author), Univ Aveiro, CESAM, P-3810193 Aveiro, Portugal.</t>
  </si>
  <si>
    <t>Calisto, Vania/A-8486-2012; Freitas, Rosa/A-7539-2012; Campos, Bruno/K-9213-2014; Figueira, Etelvina/M-6116-2013; Almeida, Angela/K-4044-2014; Barata, Carlos/K-8232-2014; Esteves, Valdemar/B-7648-2008; Soares, Amadeu/A-8304-2008; Schneider, Rudolf J./A-3771-2009</t>
  </si>
  <si>
    <t>Freitas, Rosa/0000-0003-4900-3897; Campos, Bruno/0000-0002-3701-4858; Figueira, Etelvina/0000-0002-6763-2665; Almeida, Angela/0000-0002-6662-1622; Barata, Carlos/0000-0002-3360-0729; Calisto, Vania/0000-0002-9872-6381; Esteves, Valdemar/0000-0003-4093-1814; Soares, Amadeu/0000-0003-0879-9470; Schneider, Rudolf J./0000-0003-2228-1248</t>
  </si>
  <si>
    <t>Portuguese Science Foundation (FCT) - FSE, Programa Operacional Capital Humano (POCH) [SFRH/BPD/78645/2011, SFRH/BD/110218/2015]; Uniao Europeia; Integrated Programme of SR&amp;TD Smart Valorization of Endogenous Marine Biological Resources Under a Changing Climate - Centro program, Portugal [Centro-01-0145-FEDER-000018]; European Union, through the European Regional Development Fund; CESAM [UID/AMB/50017]; FCT/MEC; FEDER; Compete 2020; Fundação para a Ciência e a Tecnologia [SFRH/BD/110218/2015, SFRH/BPD/78645/2011] Funding Source: FCT</t>
  </si>
  <si>
    <t>Portuguese Science Foundation (FCT) - FSE, Programa Operacional Capital Humano (POCH); Uniao Europeia; Integrated Programme of SR&amp;TD Smart Valorization of Endogenous Marine Biological Resources Under a Changing Climate - Centro program, Portugal; European Union, through the European Regional Development Fund(European Union (EU)); CESAM; FCT/MEC(Fundacao para a Ciencia e a Tecnologia (FCT)); FEDER(European Union (EU)Spanish Government); Compete 2020; Fundação para a Ciência e a Tecnologia(Fundacao para a Ciencia e a Tecnologia (FCT))</t>
  </si>
  <si>
    <t>Vania Calisto benefited from post-doc grant (SFRH/BPD/78645/2011) and Angela Almeida benefited from a PhD grant (SFRH/BD/110218/2015) given by the National Funds through the Portuguese Science Foundation (FCT), supported by FSE, Programa Operacional Capital Humano (POCH) and Uniao Europeia. Rosa Freitas benefited from a research position funded by the Integrated Programme of SR&amp;TD Smart Valorization of Endogenous Marine Biological Resources Under a Changing Climate (reference Centro-01-0145-FEDER-000018), co-funded by Centro 2020 program, Portugal 2020, European Union, through the European Regional Development Fund. Thanks are due, for the financial support to CESAM (UID/AMB/50017), to FCT/MEC through national funds, and the co-funding by the FEDER, within the PT2020 Partnership Agreement and Compete 2020.</t>
  </si>
  <si>
    <t>10.1016/j.envpol.2017.12.121</t>
  </si>
  <si>
    <t>GA1TL</t>
  </si>
  <si>
    <t>WOS:000428100200090</t>
  </si>
  <si>
    <t>Beone, GM; Cattani, I; Fontanella, MC; Ravera, O</t>
  </si>
  <si>
    <t>Beone, Gian Maria; Cattani, Ilenia; Fontanella, Maria Chiara; Ravera, Oscar</t>
  </si>
  <si>
    <t>Relationship between element concentrations and body size in the Lake Maggiore population of Unio pictorum mancus (Mollusca, Bivalvia)</t>
  </si>
  <si>
    <t>freshwater mussel; metals; shell size; bioindicators</t>
  </si>
  <si>
    <t>MUSSEL PERNA-VIRIDIS; SEASONAL-VARIATIONS; HEAVY-METALS; UNIONIDAE POPULATIONS; MERCENARIA-MERCENARIA; TRACE-ELEMENTS; SHELL; WATER; ACCUMULATION; CADMIUM</t>
  </si>
  <si>
    <t>The study focused on using a fresh-water mussel (Unio pictorum mancus) as a bioindicator of various pollutants, and particularly metals. The elements considered were: Al, As, Ca, Cd, Co, Cr, Cu, Fe, Mn, Mo, Ni, Pb, V and Zn. This research was carried out at a site where various other studies have been conducted on important characteristics of the same population of Unio. This site is a small bay called Sabbie d'Oro located on the south-cost coast of Lake Maggiore. Our study involved quantifying the capacity of this mollusc to concentrate large amounts of metal in its body without evident consequences by using detoxification mechanisms. We analysed not only element concentrations, but also their variability (expressed as CM) in the soft tissues and in the shell, for two main reasons: i) the sampling design should include a preliminary analysis to determine how Many specimens is necessary collect to ensure a specified level of precision: ii,) the sample variability value may be combined with the value of analytical precision (BCR) to obtain an estimate of the experimental precision. In soft tissue, Ca accumulation tended to increase with size, and AI accumulation decreased with size. In shell. Ca and Ni were stored more than in soft tissue, but not proportionally to size. V, Cr and Mo tended to accumulate in the shell progressively over the years, whereas Co and Al are diluted during growth. or are absorbed mainly during the juvenile stage. Partition between shell and soft tissue resulted roughly the same in the juvenile and adult stages for the following elements: Fe, Al, Co, As, Pb. The relationships among the various elements were schematized in a hierarchical tree plot.</t>
  </si>
  <si>
    <t>[Beone, Gian Maria; Cattani, Ilenia; Fontanella, Maria Chiara] Univ Cattolica Sacro Cuore, Ist Chim Agr &amp; Ambientale, I-29122 Piacenza, Italy; [Ravera, Oscar] Inst Ecosyst Study, CNR, I-28922 Verbania, Italy</t>
  </si>
  <si>
    <t>Catholic University of the Sacred Heart; Consiglio Nazionale delle Ricerche (CNR); Istituto per lo Studio degli Ecosistemi (ISE-CNR)</t>
  </si>
  <si>
    <t>Beone, GM (corresponding author), Univ Cattolica Sacro Cuore, Ist Chim Agr &amp; Ambientale, Via E Parmense 84, I-29122 Piacenza, Italy.</t>
  </si>
  <si>
    <t>gian.beone@unicatt.it</t>
  </si>
  <si>
    <t>Beone, Gian Maria/0000-0002-5124-860X; Fontanella, Maria Chiara/0000-0002-7667-0532</t>
  </si>
  <si>
    <t>PAGEPRESS PUBL</t>
  </si>
  <si>
    <t>PAVIA</t>
  </si>
  <si>
    <t>MEDITGROUP, VIA G BELLI, 4, PAVIA, 27100, ITALY</t>
  </si>
  <si>
    <t>1723-8633</t>
  </si>
  <si>
    <t>10.4081/jlimnol.2011.283</t>
  </si>
  <si>
    <t>812VG</t>
  </si>
  <si>
    <t>WOS:000294320400014</t>
  </si>
  <si>
    <t>Ruelas-Inzunza, JR; Páez-Osuna, F</t>
  </si>
  <si>
    <t>Comparative bioavailability of trace metals using three filter-feeder organisms in a subtropical coastal environment (Southeast Gulf of California)</t>
  </si>
  <si>
    <t>trace metals; oysters; mussels; barnacles; Gulf of California</t>
  </si>
  <si>
    <t>MUSSEL MYTILUS-EDULIS; CRASSOSTREA-IRIDESCENS; BALANUS-AMPHITRITE; NORTHWEST COAST; ZINC; ACCUMULATION; COPPER; BIOMONITORS; INDICATOR; ESTUARINE</t>
  </si>
  <si>
    <t>To evaluate the relative bioavailability of Cd, Cr, Cu, Fe, Mn, Ni. Ph and Zn in the coastal waters of one selected site in Mazatlan Harbor, different filler feeder organisms, an oyster (Crassostrea corteziensis), a mussel (Mytella strigata) and a barnacle (Fistulobalanus dentivarians), were sampled during 1 year. Seasonal and interspecific variations in some metal concentrations were evident, especially for Cd, Ni, Pb and Zn. In contrast with Fe, Pb and Zn, the concentrations of Cd varied accordingly in both bivalves. Even though the organisms live in the same site and have a common feeding mechanism, accumulated body Cd concentrations were different. Mussels concentrated significantly higher levels of Ni than the other organisms, while barnacles were better concentrators of Cd, Pb and Zn. A relationship existed between the concentrations of Cd, Fe and Zn in the soft tissues of the two bivalves. which is useful in monitoring studies when only one species occurs. (C) 2000 Elsevier Science Ltd. All rights reserved.</t>
  </si>
  <si>
    <t>Univ Nacl Autonoma Mexico, Estac Mazatlan, Inst Ciencias Mar &amp; Limnol, Programa Posgrado Ciencias Mar &amp; Limnol, Mazatlan 82000, Sinaloa, Mexico</t>
  </si>
  <si>
    <t>Páez-Osuna, F (corresponding author), Univ Nacl Autonoma Mexico, Estac Mazatlan, Inst Ciencias Mar &amp; Limnol, Programa Posgrado Ciencias Mar &amp; Limnol, Mazatlan 82000, Sinaloa, Mexico.</t>
  </si>
  <si>
    <t>10.1016/S0269-7491(99)00157-8</t>
  </si>
  <si>
    <t>287DF</t>
  </si>
  <si>
    <t>WOS:000085489200018</t>
  </si>
  <si>
    <t>Wu, HY; Zhang, F; Dong, CF; Zheng, GC; Zhang, ZH; Zhang, YY; Tan, ZJ</t>
  </si>
  <si>
    <t>Wu, Hai-Yan; Zhang, Fan; Dong, Chen-Fan; Zheng, Guan-Chao; Zhang, Zhi-Hua; Zhang, Ya-Ya; Tan, Zhi-Jun</t>
  </si>
  <si>
    <t>Variations in the toxicity and condition index of five bivalve species throughout a red tide event caused by Alexandrium catenella: A field study</t>
  </si>
  <si>
    <t>Bivalves; Paralytic shellfish toxins; Condition index; Metabolites; Biotransformation capacity</t>
  </si>
  <si>
    <t>PARALYTIC SHELLFISH TOXINS; MUSSEL MYTILUS-EDULIS; CRASSOSTREA-GIGAS; POISONING TOXINS; ENERGY BUDGETS; ACCUMULATION; TAMARENSE; SCALLOP; OYSTER; GROWTH</t>
  </si>
  <si>
    <t>Harmful red tides in China have caused paralytic shellfish toxins (PSTs) pollution and led to severe socioeco-nomic effects in shellfish aquaculture. Although shellfish can survive harmful algal blooms, the effects on their Condition Index (CI) have been underestimated. This study sought to evaluate the effects of the profiles and levels of paralytic shellfish toxins on variations in the CI in bivalves under natural blooming conditions. We observed clear soft tissue lesions to varying degrees except in Mytilus galloprovincialis after toxin exposure. Among the five species of shellfish exposed in situ, only M. galloprovincialis accumulated PSTs content above the maximum permitted level (800 mu g STX di-HCl eq./kg). The highest toxin content in all sample tissues was observed in Patinopecten yessoensis. Significant interspecies differences in PSTs accumulation among the five bivalve species were observed in the hepatopancreas. A total of nine PSTs components and four new C-11 hy-droxyl metabolites (so-called M-toxins) toxins were detected, and detoxification diversity was observed among bivalves. We observed a higher proportion of M-toxin in early stages, and the proportions changed only slightly over time in M. galloprovincialis and Magallana gigas, thus accounting for the significantly higher metabolism rate. Notably, the CI in M. gigas and Argopecten irradians was positively correlated with lowest toxin accumulation of PSTs content, but significantly inhibited. In conclusion, our results revealed a significant inhibitory effect on the CI in shellfish, in a species specific manner, with distinct levels of inhibition correlated with different toxin metabolites. Our study revealed the toxin content of different bivalves exposed to a natural red tide environment and the consequent effects on growth, thus building a foundation for research on the mechanisms underlying the effects of PSTs on growth. These data establish the ecological and economic significance of the effects of harmful algal blooms on bivalves.</t>
  </si>
  <si>
    <t>[Wu, Hai-Yan; Dong, Chen-Fan; Zheng, Guan-Chao; Zhang, Ya-Ya; Tan, Zhi-Jun] Chinese Acad Fishery Sci, Yellow Sea Fisheries Res Inst, Key Lab Testing &amp; Evaluat Aquat Prod Safety &amp; Qual, Minist Agr &amp; Rural Affairs, Qingdao 266071, Peoples R China; [Zhang, Fan] Ocean Univ China, Coll Food Sci &amp; Engn, Qingdao 266071, Peoples R China; [Dong, Chen-Fan] Shanghai Ocean Univ, Coll Food Sci &amp; Technol, Shanghai 201306, Peoples R China; [Zhang, Zhi-Hua] Hebei Prov Aquat Prod Qual Inspection &amp; Testing St, Shijiazhuang 050011, Peoples R China; [Tan, Zhi-Jun] Pilot Natl Lab Marine Sci &amp; Technol Qingdao, Qingdao 266071, Peoples R China</t>
  </si>
  <si>
    <t>Chinese Academy of Fishery Sciences; Yellow Sea Fisheries Research Institute, CAFS; Ministry of Agriculture &amp; Rural Affairs; Ocean University of China; Shanghai Ocean University; Laoshan Laboratory</t>
  </si>
  <si>
    <t>Tan, ZJ (corresponding author), Chinese Acad Fishery Sci, Yellow Sea Fisheries Res Inst, Key Lab Testing &amp; Evaluat Aquat Prod Safety &amp; Qual, Minist Agr &amp; Rural Affairs, Qingdao 266071, Peoples R China.</t>
  </si>
  <si>
    <t>zhang, zhihua/AAW-6011-2020; dong, chenfan/GZM-2060-2022</t>
  </si>
  <si>
    <t>WU, Haiyan/0000-0001-5880-3998; dong, chenfan/0000-0001-5940-5422</t>
  </si>
  <si>
    <t>National Natural Science Foundation of China [32072329, 31772075]; Central Public-interest Scientific Institution Basal Research Fund, CAFS [2020TD71]</t>
  </si>
  <si>
    <t>National Natural Science Foundation of China(National Natural Science Foundation of China (NSFC)); Central Public-interest Scientific Institution Basal Research Fund, CAFS</t>
  </si>
  <si>
    <t>This work was supported by the National Natural Science Foundation of China (grant number 32072329, 31772075) and the Central Public-interest Scientific Institution Basal Research Fund, CAFS (grant number 2020TD71) .</t>
  </si>
  <si>
    <t>10.1016/j.envres.2022.114327</t>
  </si>
  <si>
    <t>5S0XB</t>
  </si>
  <si>
    <t>WOS:000874923000003</t>
  </si>
  <si>
    <t>Albergamo, A; Rigano, F; Purcaro, G; Mauceri, A; Fasulo, S; Mondello, L</t>
  </si>
  <si>
    <t>Albergamo, Ambrogina; Rigano, Francesca; Purcaro, Giorgia; Mauceri, Angela; Fasulo, Salvatore; Mondello, Luigi</t>
  </si>
  <si>
    <t>Free fatty acid profiling of marine sentinels by nanoLC-EI-MS for the assessment of environmental pollution effects</t>
  </si>
  <si>
    <t>Free fatty acids (FFAs); M. galloprovincialis; NanoLC-EI-MS; Biomonitoring; Bioindicator; Environmental pollution</t>
  </si>
  <si>
    <t>MUSSELS MYTILUS-GALLOPROVINCIALIS; CAGED MUSSELS; GAS-CHROMATOGRAPHY; MASS-SPECTROMETRY; LIPID-METABOLISM; CADMIUM; MERCURY; STRESS; METABOLOMICS; ACTIVATION</t>
  </si>
  <si>
    <t>The present work aims to elucidate the free fatty acid (FFA) profile of the mussel Mytilus galloprovincialis caged in an anthropogenically impacted area and in a reference site through an innovative and validated analytical approach for the assessment of biological alterations induced by marine pollution. The FFA pattern is involved in the regulation of different cellular pathways and differs with respect to metabolic stimuli. To this purpose, the lipid fraction of mussels coming from both sampling areas was extracted and the FFA fractions were isolated and purified by a solid phase extraction; then, nano-scale liquid chromatography coupled to electron ionization mass spectrometry (nanoLC-EI-MS) was employed for the characterization of the two samples. A total of 19 and 17 FFAs were reliably identified in the mussels coming from the reference and polluted site, respectively. Significant qualitative and quantitative differences found in saturated, monounsaturated and polyunsaturated species may be exploited as typical pollution biomarkers (e.g, alteration of the fatty acid biosynthetic system and lipotoxicity) and explain adverse and compromising effects (e.g. oxidative stress and inflammatory processes) related to environmental pollution. (C) 2016 Elsevier B.V. All rights reserved.</t>
  </si>
  <si>
    <t>[Albergamo, Ambrogina; Mauceri, Angela; Fasulo, Salvatore; Mondello, Luigi] Univ Messina, Dipartimento Sci Chim Biol Farmaceut &amp; Ambientali, Polo Annunziata Viale Annunziata, I-98168 Messina, Italy; [Rigano, Francesca; Purcaro, Giorgia; Mondello, Luigi] Univ Messina, Chromaleont Srl, Polo Annunziata Viale Annunziata, I-98168 Messina, Italy; [Mondello, Luigi] Univ Campus BioMed Rome, Ctr Integrato Ric, Via Alvaro del Portillo 21, I-00128 Rome, Italy</t>
  </si>
  <si>
    <t>University of Messina; University of Messina; University Campus Bio-Medico - Rome Italy</t>
  </si>
  <si>
    <t>Mondello, L (corresponding author), Univ Messina, Dipartimento Sci Chim Biol Farmaceut &amp; Ambientali, Polo Annunziata Viale Annunziata, I-98168 Messina, Italy.</t>
  </si>
  <si>
    <t>aalbergamo@unime.it; francesca.rigano@chromaleont.it; giorgia.purcaro@chromaleont.it; amauceri@unime.it; sfasulo@unime.it; lmondello@unime.it</t>
  </si>
  <si>
    <t>Purcaro, Giorgia/B-5658-2014; Mondello, Luigi/C-6891-2008; Rigano, Francesca/E-5488-2018</t>
  </si>
  <si>
    <t>Rigano, Francesca/0000-0001-7887-7134; Mondello, Luigi/0000-0002-8890-675X; albergamo, ambrogina/0000-0002-3823-174X</t>
  </si>
  <si>
    <t>National Interest Research Project (PRIN) [Prot. 2010ARBLT7_001/008]</t>
  </si>
  <si>
    <t>This work was supported by a National Interest Research Project (PRIN 2010-2011, Prot. 2010ARBLT7_001/008).</t>
  </si>
  <si>
    <t>10.1016/j.scitotenv.2016.07.082</t>
  </si>
  <si>
    <t>DW8UG</t>
  </si>
  <si>
    <t>WOS:000383930400096</t>
  </si>
  <si>
    <t>Ma, L; Li, YL; Wang, W; Weng, NY; Evans, RD; Wang, WX</t>
  </si>
  <si>
    <t>Ma, Lan; Li, Yunlong; Wang, Wei; Weng, Nanyan; Evans, R. Douglas; Wang, Wen-Xiong</t>
  </si>
  <si>
    <t>Zn Isotope Fractionation in the Oyster Crassostrea hongkongensis and Implications for Contaminant Source Tracking</t>
  </si>
  <si>
    <t>TRACE-METAL; ZINC ISOTOPES; HEAVY-METAL; ESTUARINE; POLLUTION; CD; SALINITY; MERCURY; RATIOS; CHINA</t>
  </si>
  <si>
    <t>Variations in stable isotope ratios have been used to trace sources of contaminants as well as their biogeochemical pathways in the environment. In this study, we investigated the influences of internal redistribution among tissues and ambient water conditions on Zn isotope fractionation in oysters. There was no significant difference in Zn isotope ratios during in vivo Zn transportation among various oyster tissues. Estuarine oysters were exposed to additional Zn either at different salinities or at different Zn concentrations, following which the Zn isotope ratios in the oysters were measured. Results showed no significant difference in delta(66)/Zn-64 values in the oysters exposed at different salinities. Tissue Zn accumulation increased with increasing Zn levels in water over the 30 day exposure. Within this period, there was a nearly 0.3 parts per thousand difference in averaged delta(66)/Zn-64 values in the exposed oysters compared to the initial delta(66)/Zn-64 values in the oysters prior to exposure. However, there was no evidence of significant difference in delta(66)/Zn-64 values in oysters exposed at different Zn levels, with postexposure signatures similar to the delta(66)/Zn-64 values of the Zn solution added. Our results suggested that the delta(66)/Zn-64 values measured in the oysters were approaching the delta(66)/Zn-64 values of the source faster with increasing Zn concentrations added in the water. This study highlighted the absence of Zn isotope fractionation during Zn internal distribution and in vivo transport in oysters. The calculation of the contributions of different Zn sources demonstrated that oysters can be a sentinel animal for Zn source tracking in marine environments.</t>
  </si>
  <si>
    <t>[Ma, Lan; Wang, Wei] Trent Univ, Environm &amp; Life Sci Grad Program, 1600 West Bank Dr, Peterborough, ON K9L 0G2, Canada; [Ma, Lan; Li, Yunlong; Weng, Nanyan; Wang, Wen-Xiong] HKUST, Dept Ocean Sci, Kowloon, Hong Kong, Peoples R China; [Ma, Lan; Li, Yunlong; Weng, Nanyan; Wang, Wen-Xiong] HKUST, Shenzhen Res Inst, Marine Environm Lab, Shenzhen 518000, Peoples R China; [Evans, R. Douglas] Trent Univ, Water Qual Ctr, 1600 West Bank Dr, Peterborough, ON K9L 0G2, Canada</t>
  </si>
  <si>
    <t>Trent University; Hong Kong University of Science &amp; Technology; Hong Kong University of Science &amp; Technology; Shenzhen Research Institute, The Hong Kong University of Science &amp; Technology; Trent University</t>
  </si>
  <si>
    <t>Wang, WX (corresponding author), HKUST, Dept Ocean Sci, Kowloon, Hong Kong, Peoples R China.;Wang, WX (corresponding author), HKUST, Shenzhen Res Inst, Marine Environm Lab, Shenzhen 518000, Peoples R China.</t>
  </si>
  <si>
    <t>Wang, Wenxiong/0000-0001-9033-0158; Li, Yunlong/0000-0002-4978-4788</t>
  </si>
  <si>
    <t>NSERC Canada (Natural Sciences and Engineering Research Council); TUYF fund [19SC01]</t>
  </si>
  <si>
    <t>NSERC Canada (Natural Sciences and Engineering Research Council)(Natural Sciences and Engineering Research Council of Canada (NSERC)); TUYF fund</t>
  </si>
  <si>
    <t>We thank the anonymous reviewers for their comments on this work. This research was funded by a NSERC Canada (Natural Sciences and Engineering Research Council) Discovery Grant to R.D.E. and a TUYF fund (19SC01) to W.-X.W. We would like to thank Hayla Evans for helping to revise the manuscript.</t>
  </si>
  <si>
    <t>10.1021/acs.est.8b06855</t>
  </si>
  <si>
    <t>IC2MK</t>
  </si>
  <si>
    <t>WOS:000470793900030</t>
  </si>
  <si>
    <t>Parolini, M; Panseri, S; Gaeta, FH; Rossi, L; Dell'Anno, M; Ceriani, F; De Felice, B; Rafoss, T; Arioli, F; Pilu, S; Chiesa, LM</t>
  </si>
  <si>
    <t>Parolini, Marco; Panseri, Sara; Haland Gaeta, Federico; Rossi, Luciana; Dell'Anno, Matteo; Ceriani, Federica; De Felice, Beatrice; Rafoss, Trond; Arioli, Francesco; Pilu, Salvatore; Chiesa, Luca Maria</t>
  </si>
  <si>
    <t>Trends and potential human health risk of trace elements accumulated in transplanted blue mussels during restoration activities of Flekkefjord fjord (Southern Norway)</t>
  </si>
  <si>
    <t>Active biomonitoring; Bioaccumulation; Ecosystem restoration; Food safety</t>
  </si>
  <si>
    <t>PERSISTENT ORGANIC POLLUTANTS; MYTILUS-EDULIS SPP.; METAL CONTAMINATION; ESCHERICHIA-COLI; TOXICITY; SEROTONIN; GALLOPROVINCIALIS; RESPONSES; PROTEIN; GILL</t>
  </si>
  <si>
    <t>The monitoring of contaminants represents a priority to preserve the integrity of marine ecosystems, as well as to plan and to manage restoration activities in order to protect environmental and human health. In the present study, a 6-months active biomonitoring was performed to explore the levels of eighteen trace and toxic elements, including heavy metals (TEs; i.e. Al, As, Ca, Cd, Cr, Cu, Fe, Hg, K, Mg, Mn, Na, Ni, P, Pb, Sr, Ti, and Zn), accumulated in soft tissues of blue mussel (Mytilus edulis Linnaeus, 1758) individuals transplanted at different depths (5- and 15-m depth) in five locations within the Flekkefjord fjord (Southern Norway). As this area suffered a long-lasting contamination due to both organic and inorganic contaminants, a series of restoration activities were activated to tackle and to prevent potential risks for ecosystem and local population. Our results demonstrated that the levels of TEs accumulated in edible tissues of transplanted mussels in the Flekkefjord fjord were generally low before the beginning of the restoration activities. However, location- and time-specific differences in the accumulation of TEs were noted after the implementation of such activities. Interestingly, the levels of Fe and Mn significantly increased after the beginning of the restoration activities, likely because the release of these TEs from the slag used in such operations and/or resuspension of contaminated sediments. However, assuming that native mussels can accumulate the same TEs at levels measured in transplanted individuals, our results suggest a substantial safety for human consumption of native mussels from the Flekkefjord fjord, regardless of restoration activities.</t>
  </si>
  <si>
    <t>[Parolini, Marco; De Felice, Beatrice] Univ Milan, Dept Environm Sci &amp; Policy, Via Celoria 26, I-20133 Milan, Italy; [Panseri, Sara; Rossi, Luciana; Dell'Anno, Matteo; Ceriani, Federica; Arioli, Francesco; Chiesa, Luca Maria] Univ Milan, Dept Hlth Anim Sci &amp; Food Safety, Via Celoria 10, I-20133 Milan, Italy; [Haland Gaeta, Federico] Norwegian Inst Water Res NIVA, N-4879 Grimstad, Norway; [Rafoss, Trond] Univ Agder UiA, Dept Nat Sci, N-4630 Kristiansand, Norway; [Pilu, Salvatore] Univ Milan, Pilu Dept Agr &amp; Environm Sci Prod, Land, Agroenergy, Via Celoria 2, I-20133 Milan, Italy</t>
  </si>
  <si>
    <t>University of Milan; University of Milan; Norwegian Institute for Water Research (NIVA); University of Agder; University of Milan</t>
  </si>
  <si>
    <t>Parolini, M (corresponding author), Univ Milan, Dept Environm Sci &amp; Policy, Via Celoria 26, I-20133 Milan, Italy.</t>
  </si>
  <si>
    <t>Panseri, Silvia/AAW-2856-2020; Rossi, Luciana/I-5142-2012; Dell'Anno, Matteo/AAX-6815-2021</t>
  </si>
  <si>
    <t>DE FELICE, BEATRICE/0000-0002-3510-8375; PILU, SALVATORE ROBERTO/0000-0003-0181-2169; Parolini, Marco/0000-0003-0226-1709; Dell'Anno, Matteo/0000-0002-2171-864X</t>
  </si>
  <si>
    <t>FORSKNINGSMOBILISERING AGDER</t>
  </si>
  <si>
    <t>This research was supported by FORSKNINGSMOBILISERING AGDER, thanks to the no-profit organization Akvalab sor AS. The authors would like to thank Dr. Emma Hoysaeter Minken for her support in sampling and analysis of trace elements in mussels, as well as Dr. Liv Birkeland, project manager of INNAKVA project from Lister Nyskapning AS, for her assistance and suggestion during the whole project duration. Lastly, the authors would like to thank the Norsk Oppdrettsservice AS for the logistic facilitation during the field activity.</t>
  </si>
  <si>
    <t>10.1007/s10661-022-09835-7</t>
  </si>
  <si>
    <t>ZF4WF</t>
  </si>
  <si>
    <t>WOS:000759569300001</t>
  </si>
  <si>
    <t>Marku, E; Nuro, A; Bishyti, D; Haxhiaj, B</t>
  </si>
  <si>
    <t>Marku, E.; Nuro, A.; Bishyti, D.; Haxhiaj, B.</t>
  </si>
  <si>
    <t>ESTIMATION OF AN EXTRACTION TECNIQUE FOR ORGANOCHLORINATED CONTAMINANTS IN BIOTA AND MARINE SAMPLES</t>
  </si>
  <si>
    <t>extraction methods; ultrasonic extraction; organochlorinated pesticides; PCB; biota; marine sediment; GC/ECD</t>
  </si>
  <si>
    <t>GAS-CHROMATOGRAPHY; PESTICIDES</t>
  </si>
  <si>
    <t>In this article we present evaluation of an analytical technique for the extraction of organochlorinated pesticides and polychlorinated biphenyls (PCB) in biota samples and marine sediments. For extraction of organochlorinated pollutants different methods are currently used: from classical Soxhlet extraction to automated extractions method as accelerated solvent extraction (ASE) and supercritical fluid extraction (SFE). For solid samples ultrasonic extraction is widespread for its facilities. To introduce this last method for biota and sediment marine samples, CRM of mussels homogenate IAEA-435 and sediment marine sample IAEA-383 were used. Reference method for marine pollution studies 71 was used as standard technique for extraction of biota and sediment samples using Soxhlet extraction for organochlorinated pollutants. Ultrasonic extraction was used for the same reference samples. Different solvent mixtures, time and temperature of the extraction were used for optimising extraction technique for both samples. Clean-up procedure was the same after each extraction for biota sample based on lipid hydrolysis using sulphuric acid treatment in a Florisil filled column. The extract of sediment sample was 'cleaned' also in the same way for both extraction techniques using metallic mercury for elementary sulphur removal. Quantification of organochlorinated compounds was performed by gas chromatography technique. Ultrasonic extraction technique was more efficient, more easily to be used, shorter in time and also required a smaller quantity of solvent.</t>
  </si>
  <si>
    <t>[Marku, E.; Nuro, A.; Bishyti, D.; Haxhiaj, B.] Tirana Univ, Dept Chem, Fac Nat Sci, Tirana, Albania</t>
  </si>
  <si>
    <t>Nuro, A (corresponding author), Tirana Univ, Dept Chem, Fac Nat Sci, Tirana, Albania.</t>
  </si>
  <si>
    <t>eldamarku@hotmail.com</t>
  </si>
  <si>
    <t>Marku, Elda/KRP-6698-2024</t>
  </si>
  <si>
    <t>583BZ</t>
  </si>
  <si>
    <t>WOS:000276648900011</t>
  </si>
  <si>
    <t>Vázquez, JA; Rodrigues, AC; Fuciños, P; Pastrana, L; Murado, MA</t>
  </si>
  <si>
    <t>Vazquez, Jose A.; Rodrigues, Ana C.; Fucinos, Pablo; Pastrana, Lorenzo; Murado, Miguel A.</t>
  </si>
  <si>
    <t>Bio-silage of mussel work-processing wastes by lactobacilli on semi-solid culture</t>
  </si>
  <si>
    <t>JOURNAL OF FOOD ENGINEERING</t>
  </si>
  <si>
    <t>Mussel wastes; By-products upgrading; Lactobacilli; Bio-silage; Lactic acid production</t>
  </si>
  <si>
    <t>LACTIC-ACID BACTERIA; SUBSP CASEI CECT-4043; MORHUA L. VISCERA; FISH VISCERA; PEDIOCOCCUS-ACIDILACTICI; PROBIOTIC CULTURE; MICROBIAL-GROWTH; WEANED PIGLETS; BY-PRODUCT; PEPTONES</t>
  </si>
  <si>
    <t>The aim of this work was to evaluate the fermentability of mussel work-processing wastes by lactic acid bacteria in order to remove and to upgrade a material that generate important focuses of pollution in coastal areas. With this perspective, three lactobacilli (Lactobacillus casei, Lactobacillus plantarum and Lactobacillus buchneri) were employed, and the production of metabolites, as well as the nutrient uptake, was evaluated. The effects of inoculum concentration and previous sterilization process were also studied. The kinetic tests were performed in semi-solid cultures and the results indicated the high feasibility of these materials as substrate for bio-silage production. Cultivations of 24 h led to productions of more than 90 g L-1 of lactic acid and 9 g L-1 of final protein. All the fermentation assays were stable for various days without contaminations by other bacteria. (C) 2009 Elsevier Ltd. All rights reserved.</t>
  </si>
  <si>
    <t>[Vazquez, Jose A.; Rodrigues, Ana C.; Murado, Miguel A.] CSIC, Inst Invest Marinas, Grp Reciclado &amp; Valorizac Mat Residuales, Vigo 36208, Galicia, Spain; [Rodrigues, Ana C.; Fucinos, Pablo; Pastrana, Lorenzo] Univ Vigo, Dept Quim Analit &amp; Alimentaria, Fac Ciencias Ourense, Orense 32004, Galicia, Spain</t>
  </si>
  <si>
    <t>Consejo Superior de Investigaciones Cientificas (CSIC); CSIC - Instituto de Investigaciones Marinas (IIM); Universidade de Vigo</t>
  </si>
  <si>
    <t>Vázquez, JA (corresponding author), CSIC, Inst Invest Marinas, Grp Reciclado &amp; Valorizac Mat Residuales, R Eduardo Cabello 6, Vigo 36208, Galicia, Spain.</t>
  </si>
  <si>
    <t>jvazquez@iim.csic.es</t>
  </si>
  <si>
    <t>Rodrigues, Ana Cláudia/HSI-4115-2023; Pastrana, Lorenzo/AAZ-9606-2020; Vazquez Alvarez, Jose Antonio/K-5938-2014; Fucinos, Pablo/D-1137-2015</t>
  </si>
  <si>
    <t>Vazquez Alvarez, Jose Antonio/0000-0002-1122-4726; Duarte, Cristina/0000-0002-8281-8417; Fucinos, Pablo/0000-0002-4502-1660; Pastrana, Lorenzo/0000-0002-6637-3462</t>
  </si>
  <si>
    <t>Xunta de Galicia</t>
  </si>
  <si>
    <t>We wish to thank the Xunta de Galicia for financial support. Thanks also to Ana Duran and Margarita Nogueira for their excellent technical assistance. Dr. J.A. VAzquez had a postdoctoral contract (Programa Isabel Barreto, financed by the Xunta de Galicia). Special acknowledgments are made to Jorge Arias from R&amp;D staff of Calizas Marinas, S.A. for supplying the raw materials.</t>
  </si>
  <si>
    <t>0260-8774</t>
  </si>
  <si>
    <t>1873-5770</t>
  </si>
  <si>
    <t>J FOOD ENG</t>
  </si>
  <si>
    <t>J. Food Eng.</t>
  </si>
  <si>
    <t>10.1016/j.jfoodeng.2009.10.029</t>
  </si>
  <si>
    <t>Engineering, Chemical; Food Science &amp; Technology</t>
  </si>
  <si>
    <t>Engineering; Food Science &amp; Technology</t>
  </si>
  <si>
    <t>556QH</t>
  </si>
  <si>
    <t>WOS:000274605700010</t>
  </si>
  <si>
    <t>Pérez-Mayol, S; Blasco, J; Tornero, V; Morales-Nin, B; Massanet, A; Tovar-Sánchez, A</t>
  </si>
  <si>
    <t>Perez-Mayol, Silvia; Blasco, Julian; Tornero, Victoria; Morales-Nin, Beatriz; Massanet, Ana; Tovar-Sanchez, Antonio</t>
  </si>
  <si>
    <t>Are the shells of Scrobicularia plana useful for monitoring trace metal pollution events?</t>
  </si>
  <si>
    <t>Contamination; Mine spill; Micromill; Scrobicularia plane; Trace metals</t>
  </si>
  <si>
    <t>AZNALCOLLAR MINING SPILL; ABLATION ICP-MS; GUADALQUIVIR ESTUARY; HEAVY-METALS; SW SPAIN; NEREIS-DIVERSICOLOR; BIVALVE SHELLS; VERTICAL-DISTRIBUTION; OTOLITH CHEMISTRY; MEDITERRANEAN SEA</t>
  </si>
  <si>
    <t>The rupture of amine dam in Aznalcollar (SW Spain) in April 1998 entailed the contamination of Guadalquivir River and its estuary. To study the ability of bivalve shells to monitor the temporal changes on metal composition in the area, two year old Scrobicularia plana were obtained from two different locations of the estuary (Pantalan highly influenced and Pantoca less influenced) during the year 2000 and 2007. Co, Hg, Mo, Ni and Zn content was measured in shell and soft tissue of S. plana. Metal composition in shells sampled by micromilling and corresponding to the years 1999, 2000, 2006 and 2007 was higher in Pantalan (Co: 5.88 +/- 2.7 mu g g(-1); Hg: 0.04 +/- 0.03 mu g g(-1); Mo: 0.41 +/- 7.90 mu g g(-1); Ni: 37.66 +/- 25.56 mu g g(-1) and Zn: 9.19 +/- 8.88 mu g g(-1)) than in Pantoca (Co: 3.64 +/- 0.50 mu g g(-1); Hg: 0.02 +/- 0.02 mu g g(-1); Mo: 4.70 +/- 1.20 mu g g(-1); Ni: 7.21 +/- 13.60 mu g g(-1) and Zn: 3.90 +/- 1.89 mu g g(-1)). A marked temporal decrease was observed for all metals in Pantalan station with concentrations of Co, Hg, Mo, Ni and Zn varying respectively from 7.35 +/- 3.02, 0.05 +/- 0.03, 19.90 +/- 2.40, 70.58 +/- 21.94 and 18.04 +/- 0.98 mu g g(-1) in 1999 to 3.07 +/- 1.08, 0.009 +/- 0.001, 2.40 +/- 1.43, 10.11 +/- 3.80 and 1.11 +/- 0.33 mu g g(-1) in 2007, indicating that the effect of the mine accident had diminished significantly. Metal content in soft tissues did not follow the same decreasing trend indicating that soft tissues present a different capacity to accumulate metals from the environment. Our results confirm that micromilling shells are a suitable tool to assess bioaccumulation of contaminants during the entire life-span of bivalves.</t>
  </si>
  <si>
    <t>[Perez-Mayol, Silvia; Morales-Nin, Beatriz] IMEDEA Inst Mediterrani Estudis Avancats UIB CSIC, Dept Ecol &amp; Marine Resources, Fish Ecol Group, Esporles 07190, Balearic Island, Spain; [Blasco, Julian; Tornero, Victoria] Campus Univ Rio San Pedro, ICMAN Inst Ciencias Marinas Andalucia CSIC, Cadiz 11510, Spain; [Massanet, Ana; Tovar-Sanchez, Antonio] IMEDEA Inst Mediterrani Estudis Avancats UIB CSIC, Dept Global Change Res, Esporles 07190, Balearic Island, Spain</t>
  </si>
  <si>
    <t>Consejo Superior de Investigaciones Cientificas (CSIC); Consejo Superior de Investigaciones Cientificas (CSIC); CSIC - Instituto de Ciencias Marinas de Andalucia (ICMAN); Consejo Superior de Investigaciones Cientificas (CSIC)</t>
  </si>
  <si>
    <t>Pérez-Mayol, S (corresponding author), IMEDEA Inst Mediterrani Estudis Avancats UIB CSIC, Dept Ecol &amp; Marine Resources, Fish Ecol Group, C Miguel Marques 21, Esporles 07190, Balearic Island, Spain.</t>
  </si>
  <si>
    <t>silvia@imedea.uib-csic.es</t>
  </si>
  <si>
    <t>Tornero, Victoria/GPP-1018-2022; Tovar-Sánchez, Antonio/B-8003-2010; Blasco, Julian/A-5319-2008</t>
  </si>
  <si>
    <t>, Victoria/0000-0002-1265-551X; Perez-Mayol, Silvia/0000-0003-3974-7657; , Ana Massanet/0000-0003-4253-779X; Blasco, Julian/0000-0002-9750-383X; Tovar-Sanchez, Antonio/0000-0003-4375-1982; Morales-Nin, Beatriz/0000-0002-7264-0918</t>
  </si>
  <si>
    <t>Spanish MICINN [CTM2007-30924-E/TECNO]; Spanish Ministry as part of the program MICINN-PTA [PTA2010-03812]</t>
  </si>
  <si>
    <t>Spanish MICINN(Spanish Government); Spanish Ministry as part of the program MICINN-PTA</t>
  </si>
  <si>
    <t>This work is a result of the project funded by Spanish MICINN reference CTM2007-30924-E/TECNO. The salary of SPM was funded by the Spanish Ministry as part of the program MICINN-PTA (PTA2010-03812). We thank J. A. Gonzalez (SCT, UIB) for helping in chemical analyses.</t>
  </si>
  <si>
    <t>WOS:000329258400003</t>
  </si>
  <si>
    <t>Bringer, A; Thomas, H; Dubillot, E; Le Floch, S; Receveur, J; Cachot, J; Tran, D</t>
  </si>
  <si>
    <t>Bringer, Arno; Thomas, Helene; Dubillot, Emmanuel; Le Floch, Stephane; Receveur, Justine; Cachot, Jerome; Tran, Damien</t>
  </si>
  <si>
    <t>Subchronic exposure to high-density polyethylene microplastics alone or in combination with chlortoluron significantly affected valve activity and daily growth of the Pacific oyster, Crassostrea gigas</t>
  </si>
  <si>
    <t>Bivalve molluscs; Experimental biomonitoring; Microplastics; Pesticide; Valve behaviour; Growth</t>
  </si>
  <si>
    <t>EMBRYO-LARVAL DEVELOPMENT; CLAM CORBICULA-FLUMINEA; URANIUM BIOACCUMULATION; PESTICIDE-RESIDUES; DIGESTIVE GLAND; ECOLOGICAL RISK; ACUTE TOXICITY; S-METOLACHLOR; WATER; NANOPLASTICS</t>
  </si>
  <si>
    <t>Nowadays, pesticides and microplastics (MPs) are commonly found in coastal waters worldwide. Due to their widespread use, their persistence and toxicity, they may induce adverse effects on physiology and behaviour of marine organisms such as the Pacific oyster (Crassostrea gigas). This study explored the growth and valve activity of juvenile oysters exposed for 24 days to two frequently detected pollutants in the Pertuis Charentais (South West, France): a herbicide (chlortoluron, 85 mu g.L-1) and high-density polyethylene microparticles (HDPE 20-25 mu m, 112 MP.mL-1) alone or in combination (cocktail condition; 97 mu g.L-1 of chlortoluron + 108 MP. mL-1). The valve activity of juvenile oysters recorded by using a High Frequency and Non-Invasive valvometer (HFNI) was characterized by three parameters: the number of valve micro-closures (VMC), the Valve Opening Amplitude (VOA), and the Valve Opening Duration (VOD). Additionally, daily shell growth and the oyster daily rhythm were assessed. The exposure to MPs of oysters led to a significant increase of VMC and a decrease of VOD and shell growth. The exposure to chlortoluron showed a significant increase of VOA and a decrease of VMC. In combination with MPs, chlortoluron still increased VOA and decreased VMC but also reduced the shell growth. Chronobiological analysis did not reveal any effects on the daily rhythm of both contaminants. This work highlighted significant effects of high environmental concentrations of MPs and Chlortoluron on the behaviour and growth of the Pacific oyster.</t>
  </si>
  <si>
    <t>[Bringer, Arno; Thomas, Helene; Dubillot, Emmanuel] Univ La Rochelle, CNRS, UMR 7266, Littoral Environm &amp; Soc LIENSs, 2 Rue Olympe Gouges, F-17042 La Rochelle 01, France; [Cachot, Jerome; Tran, Damien] Univ Bordeaux, CNRS, EPOC, EPHE,UMR 5805, F-33600 Pessac, France; [Le Floch, Stephane; Receveur, Justine] Cedre, 715 Rue Alain Colas, F-29218 Brest 2, France</t>
  </si>
  <si>
    <t>La Rochelle Universite; Centre National de la Recherche Scientifique (CNRS); Centre National de la Recherche Scientifique (CNRS); CNRS - National Institute for Earth Sciences &amp; Astronomy (INSU); Universite de Bordeaux; Universite PSL; Ecole Pratique des Hautes Etudes (EPHE)</t>
  </si>
  <si>
    <t>Bringer, A (corresponding author), Univ La Rochelle, CNRS, UMR 7266, Littoral Environm &amp; Soc LIENSs, 2 Rue Olympe Gouges, F-17042 La Rochelle 01, France.</t>
  </si>
  <si>
    <t>arno.bringer1@univ-lr.fr</t>
  </si>
  <si>
    <t>Tran, Damien/AAU-8147-2020; THOMAS, Helene/JZW-5193-2024; LE FLOCH, Stephane/E-7863-2016</t>
  </si>
  <si>
    <t>Tran, Damien/0000-0002-7432-7765; THOMAS, Helene/0000-0002-7932-6841; Cachot, Jerome/0000-0002-1492-9684</t>
  </si>
  <si>
    <t>Comit 'e R 'egional de la Conchyliculture de la Charente Maritime [CRC17]; R 'egion Nouvelle Aquitaine; Comit 'e D 'epartemental de la Charente Maritime [CD17]; AFB (Agence Francaise de la Biodiversit 'e, Parc naturel marin de l'estuaire de la Gironde et de la mer des Pertuis); University of La Rochelle; University of Bordeaux; Centre National de la Recherche Scientifique (France)</t>
  </si>
  <si>
    <t>Comit 'e R 'egional de la Conchyliculture de la Charente Maritime; R 'egion Nouvelle Aquitaine(Region Nouvelle-Aquitaine); Comit 'e D 'epartemental de la Charente Maritime; AFB (Agence Francaise de la Biodiversit 'e, Parc naturel marin de l'estuaire de la Gironde et de la mer des Pertuis); University of La Rochelle; University of Bordeaux; Centre National de la Recherche Scientifique (France)(Centre National de la Recherche Scientifique (CNRS))</t>
  </si>
  <si>
    <t>A. Bringer received a PhD grant (Comit ' e R ' egional de la Conchyliculture de la Charente Maritime CRC17) as well as financial support from the R ' egion Nouvelle Aquitaine and Comit ' e D ' epartemental de la Charente Maritime (CD17) to develop his research. The AQUAECOs project (Am ' elioration de la QUAlit ' e Environnementale sur les zones COnchylicoles des Pertuis Charentais), funded by a partnership with CRC17, and the AFB (Agence Francaise de la Biodiversit ' e, Parc naturel marin de l'estuaire de la Gironde et de la mer des Pertuis) contributed financially to this study. The funding was partly supported by the University of La Rochelle, the University of Bordeaux, and the Centre National de la Recherche Scientifique (France). The authors thank the France Naissain hatchery for providing the oyster specimens, as well as our collaborators for their work and help.</t>
  </si>
  <si>
    <t>10.1016/j.aquatox.2021.105880</t>
  </si>
  <si>
    <t>UD7TH</t>
  </si>
  <si>
    <t>WOS:000687406900001</t>
  </si>
  <si>
    <t>Giandomenico, S; Cardellicchio, N; Spada, L; Annicchiarico, C; Di Leo, A</t>
  </si>
  <si>
    <t>Giandomenico, Santina; Cardellicchio, Nicola; Spada, Lucia; Annicchiarico, Cristina; Di Leo, Antonella</t>
  </si>
  <si>
    <t>Metals and PCB levels in some edible marine organisms from the Ionian Sea: dietary intake evaluation and risk for consumers</t>
  </si>
  <si>
    <t>PCBs; Metals; Dietary intake; Bioaccumulation; Marine organisms</t>
  </si>
  <si>
    <t>MUSSEL MYTILUS-GALLOPROVINCIALIS; POLYCHLORINATED-BIPHENYLS PCBS; TOXIC EQUIVALENCY FACTORS; DIOXIN-LIKE PCBS; HEAVY-METALS; ORGANOCHLORINE COMPOUNDS; TRACE-METALS; MERCURY; FISH; SEDIMENTS</t>
  </si>
  <si>
    <t>Concentrations of some metals (Cd, Cu, As, Hg, Pb) and polychlorinated biphenyls (PCBs) were investigated in edible marine organisms from different trophic levels and feeding behaviour like bivalve molluscs (Mytilus galloprovincialis and Chlamys glabra), gastropod molluscs (Hexaplex trunculus) and some commercial species of fish (Trachurus trachurus, Boops boops, Sarpa salpa and Gobius niger). These species were collected in the first inlet of the Mar Piccolo of Taranto (Ionian Sea, Southern Italy), classified as 'Site of National Interest' established by National Law 426 (1998) and included in the 'National Environmental Remediation and Restoration Projects'. The aim of this work was to investigate contamination levels and public health risks, associated with consuming seafood harvested from these areas. Moreover, in this study, was also estimated the weekly intake in children and adults, both for metals and PCBs. In comparison with the permissible limits set by EC Regulations, Cd and Pb levels were over the limit in the H. trunculus (in all sampling stations) and in the fish T. trachurus respectively. PCBs were over the legal limit in all sampled species with the exception of M. galloprovincialis (station 1), C. glabra and the herbivorous fish S. salpa. In the fish T. trachurus, for example, the concentration of six target PCBs was about five times higher than the EC limit. The estimated intakes of those trace elements included in this study through seafood consumption by the population exceed the provisional tolerable weekly intake recommended by the Joint FAO/WHO Expert Committee on Food Additives for Cd and Hg in the H. trunculus and T. trachurus, especially in children. Moreover, hazard quotience (HQ) for Hg and Cd was &gt; 1 in the children for T. trachurus and H. trunculus consumption. As regard non-dioxin-like PCB (NDL-PCB), the estimated intake were always above the 'provisional guidance value' (70 ng/kg body weight) Arnich et al. (Regul Toxicol Pharm 54: 287-2, 2009) for all sampled organism. Thus, health risks due to the dietary Hg, Cd and PCBs intake, especially for children, cannot be excluded. Therefore, an extended remediation programme is necessary to safeguard marine ecosystem, human health and, not less important, the economic activities, in the Taranto marine area.</t>
  </si>
  <si>
    <t>[Giandomenico, Santina; Cardellicchio, Nicola; Spada, Lucia; Annicchiarico, Cristina; Di Leo, Antonella] CNR, Operat Unit Taranto, Inst Coastal Marine Environm, Via Roma 3, I-74123 Taranto, Italy</t>
  </si>
  <si>
    <t>Spada, L (corresponding author), CNR, Operat Unit Taranto, Inst Coastal Marine Environm, Via Roma 3, I-74123 Taranto, Italy.</t>
  </si>
  <si>
    <t>Project Bandiera RITMARE-La Ricerca Italiana per il Mare; Ministry for Education within the National Research Programme</t>
  </si>
  <si>
    <t>The activities described in this publication were funded by the Project Bandiera RITMARE-La Ricerca Italiana per il Mare coordinated by the National Research Council and funded by the Ministry for Education, University and Research within the National Research Programme 2011-2013</t>
  </si>
  <si>
    <t>10.1007/s11356-015-5280-2</t>
  </si>
  <si>
    <t>WOS:000378817300009</t>
  </si>
  <si>
    <t>Abidli, S; Zaidi, S; Ben Younes, R; Lahbib, Y; El Menif, NT</t>
  </si>
  <si>
    <t>Abidli, Sami; Zaidi, Salha; Ben Younes, Ridha; Lahbib, Youssef; El Menif, Najoua Trigui</t>
  </si>
  <si>
    <t>Impact of polyethylene microplastics on the clam Ruditapes decussatus (Mollusca: Bivalvia): examination of filtration rate, growth, and immunomodulation</t>
  </si>
  <si>
    <t>Plastic pollution; Clam; Biomarkers; Filtering activity; Development; Immune response</t>
  </si>
  <si>
    <t>MYTILUS-EDULIS; MARINE; MUSSELS; TISSUE; CONTAMINANTS; BIOMARKERS; HEMOCYTES; EXPOSURE; OYSTER; WATER</t>
  </si>
  <si>
    <t>The present study was conducted to assess, for the first time, the effects of a 14 days experimental exposure to polyethylene (PE) based MPs (40-48 &amp; mu;m) on the clam Ruditapes decussatus. Clams were exposed to three different concentrations of MPs in controlled laboratory conditions: 10 &amp; mu;g/L (low), 100 &amp; mu;g/L (medium), and 1000 &amp; mu;g/L (high). The effects of MPs were assessed using a multi-marker approach, including the filtration rate, growth, and the integrity of immune cells (such as haemocyte numbers, viability, and lysosomal membrane destabilization). The results revealed that as the concentration of PE-MPs increased, the filtration rate decreased, indicating that PE-MPs hindered the clams' ability to filter water. Furthermore, there was a noticeable decrease in the overall weight of the clams, particularly in the group exposed to 1000 &amp; mu;g/L. This decrease could be attributed to the impairment of their nutrient filtration function. In terms of immune system biomarkers, exposure to PE-MPs led to immune system disruption, characterized by a significant increase in the number of haemocytic cells, especially in the group exposed to the high concentration. Additionally, there was a notable reduction in the viability of haemocytes, resulting in the destabilization of their lysosomal membranes, particularly in the groups exposed to medium and high PE-MPs concentrations. The findings of this study indicate that the sensitivity of hemolymph parameter changes and filtration rate in R. decussatus exposed to PE-MPs (100 and 1000 &amp; mu;g/L), surpasses that of growth performance and can serve as reliable indicators to assess habitat conditions and contaminant levels.</t>
  </si>
  <si>
    <t>[Abidli, Sami; Zaidi, Salha; Lahbib, Youssef; El Menif, Najoua Trigui] Univ Carthage, Fac Sci Bizerte, Lab Environm Biomonitoring, Zarzouna 7021, Bizerte, Tunisia; [Ben Younes, Ridha] Univ Carthage, Fac Sci Bizerte, Res Unit Immunomicrobiol Environm &amp; Carcinogenesis, Zarzouna 7021, Bizerte, Tunisia</t>
  </si>
  <si>
    <t>Universite de Carthage; Universite de Carthage</t>
  </si>
  <si>
    <t>Abidli, S (corresponding author), Univ Carthage, Fac Sci Bizerte, Lab Environm Biomonitoring, Zarzouna 7021, Bizerte, Tunisia.</t>
  </si>
  <si>
    <t>abidli_sami@yahoo.fr</t>
  </si>
  <si>
    <t>Lahbib, Youssef/AAT-8410-2021; YOUNES, Ridha/G-7349-2016</t>
  </si>
  <si>
    <t>Encouragement of Young Researchers project attributed to Sami Abidli from the Directorate General for Scientific Research, Department of National Research Programs [19PEJC05-05]; Ministry of Higher Education and Scientific Research in Tunisia</t>
  </si>
  <si>
    <t>Encouragement of Young Researchers project attributed to Sami Abidli from the Directorate General for Scientific Research, Department of National Research Programs; Ministry of Higher Education and Scientific Research in Tunisia</t>
  </si>
  <si>
    <t>The authors declare that a partial financial support was received from the Encouragement of Young Researchers project attributed to Sami Abidli (Reference: 19PEJC05-05) from the Directorate General for Scientific Research, Department of National Research Programs, the Ministry of Higher Education and Scientific Research in Tunisia.</t>
  </si>
  <si>
    <t>10.1007/s10646-023-02683-2</t>
  </si>
  <si>
    <t>HY3D7</t>
  </si>
  <si>
    <t>WOS:001031391400001</t>
  </si>
  <si>
    <t>Jovic, M; Onjia, A; Stankovic, S</t>
  </si>
  <si>
    <t>Jovic, Mihajlo; Onjia, Antonije; Stankovic, Slavka</t>
  </si>
  <si>
    <t>Toxic metal health risk by mussel consumption</t>
  </si>
  <si>
    <t>ENVIRONMENTAL CHEMISTRY LETTERS</t>
  </si>
  <si>
    <t>Mussels; Trace elements; PTWI; Consumption; Health risks</t>
  </si>
  <si>
    <t>MYTILUS-GALLOPROVINCIALIS; DIETARY EXPOSURE; ADRIATIC SEA; HEAVY-METALS; TRACE-METALS; BAY; BIOINDICATOR; ISLANDS; IMPACT; COAST</t>
  </si>
  <si>
    <t>Seafood is a major dietary food worldwide. However, seafood consumption by humans can induce health risk because seafood may be contaminated by various pollutants. The mussel Mytilus galloprovincialis is widely distributed in the coastal waters of Montenegro, SouthEast Adriatic Sea. Here, Zn, Fe, Cu, Ni, Cd, Pb, As, and Hg contents in M. galloprovincialis from ten sites were analyzed to investigate health risks associated with the consumption of wild and cultivated mussels. Since there is a lack of data on the mussel consumption rate in Montenegro, the amount of mussels that can be ingested weekly over a lifetime with no risk of negative health effects was calculated using provisional tolerable weekly intakes (PTWI). We found that Cd concentrations were the limiting factor for mussels as a food. The weekly consumptions of 0.64-1.2 kg of fresh wild and 0.84-1.2 kg of fresh cultivated mussel would be sufficient to reach the PTWICd, which may result in a risky weekly intake of Cd for long-term exposure. Moreover, weekly intake of 125 g mussels was used to calculate the dietary intake of trace elements by mussel consumption and compared with the prescribed PTWIs. Here, we found that there is no risk for human health for all investigated elements. In this case, the highest Cd level obtained in wild and in cultivated mussels represents 19.8 and 14.9% of the PTWICd, respectively. This is the first study in Montenegro giving an assessment of the health risk from trace elements via the consumption of wild and cultivated M. galloprovincialis.</t>
  </si>
  <si>
    <t>[Stankovic, Slavka] Univ Belgrade, Fac Technol &amp; Met, Belgrade 11000, Serbia; [Jovic, Mihajlo; Onjia, Antonije] Univ Belgrade, Vinca Inst Nucl Sci, Belgrade 11001, Serbia</t>
  </si>
  <si>
    <t>Jovic, Mihajlo/U-8340-2017; Onjia, Antonije/AAA-6417-2021</t>
  </si>
  <si>
    <t>Jovic, Mihajlo/0000-0002-3293-5797; Onjia, Antonije/0000-0002-5694-7960</t>
  </si>
  <si>
    <t>Ministry of Science and Technological Development of the Republic of Serbia [III43009]</t>
  </si>
  <si>
    <t>This research was financed by the Ministry of Science and Technological Development of the Republic of Serbia, Contract No. III43009.</t>
  </si>
  <si>
    <t>1610-3653</t>
  </si>
  <si>
    <t>ENVIRON CHEM LETT</t>
  </si>
  <si>
    <t>Environ. Chem. Lett.</t>
  </si>
  <si>
    <t>10.1007/s10311-011-0330-6</t>
  </si>
  <si>
    <t>Chemistry, Multidisciplinary; Engineering, Environmental; Environmental Sciences</t>
  </si>
  <si>
    <t>Chemistry; Engineering; Environmental Sciences &amp; Ecology</t>
  </si>
  <si>
    <t>940GH</t>
  </si>
  <si>
    <t>WOS:000303877500011</t>
  </si>
  <si>
    <t>Charles, M; Bernard, I; Villalba, A; Oden, E; Burioli, EAV; Allain, G; Trancart, S; Bouchart, V; Houssin, M</t>
  </si>
  <si>
    <t>Charles, Maud; Bernard, Ismael; Villalba, Antonio; Oden, Elise; Burioli, Erika A., V; Allain, Gwenael; Trancart, Suzanne; Bouchart, Valerie; Houssin, Maryline</t>
  </si>
  <si>
    <t>High mortality of mussels in northern Brittany - Evaluation of the involvement of pathogens, pathological conditions and pollutants</t>
  </si>
  <si>
    <t>Mytilus edulis; Multi-parametric; Neoplasia; Vibrio splendidus; Marteilia; Hemocytic infiltration</t>
  </si>
  <si>
    <t>REAL-TIME PCR; MYTILUS-EDULIS; BLUE MUSSELS; DISSEMINATED NEOPLASIA; MYTILICOLA-INTESTINALIS; BIOCHEMICAL-COMPOSITION; MARTEILIA-REFRINGENS; SEASONAL-VARIATIONS; CRASSOSTREA-GIGAS; DIGESTIVE GLAND</t>
  </si>
  <si>
    <t>In 2014, a high and unusual mass mortality of mussels occurred in several important production areas along the French coasts of the Atlantic and English Channel. In the first quarter of 2016, mass mortalities hit farms on the west coast of the country once again. These heterogeneous mortality events elicited a multi-parametric study conducted during the 2017 mussel season in three sites in northern Brittany (Brest, Lannion and St. Brieuc). The objective was to assess the health status of these mussels, follow mortality and attempt to identify potential causes of the abnormal high mortality of farmed mussels in northern Brittany. Brest was the most affected site with 70% cumulative mortality, then Lannion with 40% and finally St. Brieuc with a normal value of 15%. We highlighted a temporal 'mortality window' that opened throughout the spring season, and concerned the sites affected by mortality of harmful parasites (including pathogenic bacteria), neoplasia, metal contamination, and tissue alterations. Likely, the combination of all these factors leads to a weakening of mussels that can cause death.</t>
  </si>
  <si>
    <t>[Charles, Maud; Houssin, Maryline] Normandie Univ, Univ Caen Normandie, FRE BOREA, CNRS 7208,IRD 207,MNHN,UPMC,UCN,Esplanade Paix, F-14032 Caen 4, France; [Charles, Maud; Oden, Elise; Burioli, Erika A., V; Trancart, Suzanne; Bouchart, Valerie; Houssin, Maryline] LABEO Frank Duncombe, 1 Route Rosel, F-14053 Caen 4, France; [Bernard, Ismael] Eureka Modelisat, F-22740 Lezardrieux, France; [Villalba, Antonio] Conselleria Mar CIMA, Ctr Invest Marinas, Xunta Galicia, Vilanova De Arousa 36620, Spain; [Villalba, Antonio] Univ Alcala, Dept Ciencias Vida, Alcala De Henares 28871, Spain; [Villalba, Antonio] Univ Basque Country UPV EHU, Res Ctr Expt Marine Biol &amp; Biotechnol PIE, Plentzia 48620, Basque Country, Spain; [Allain, Gwenael] Armeria, 31B Rue Concorde, F-56670 Riantec, France</t>
  </si>
  <si>
    <t>Institut de Recherche pour le Developpement (IRD); Museum National d'Histoire Naturelle (MNHN); Sorbonne Universite; Universite de Caen Normandie; Universidad de Alcala; University of Basque Country</t>
  </si>
  <si>
    <t>Charles, M (corresponding author), LABEO Frank Duncombe, Pole Rech, 1 Route Rosel, F-14053 Caen 4, France.</t>
  </si>
  <si>
    <t>maud.charles@outlook.fr</t>
  </si>
  <si>
    <t>Villalba, Antonio/E-3621-2013</t>
  </si>
  <si>
    <t>Villalba, Antonio/0000-0001-8049-0502; Burioli, Erika/0000-0003-2666-9258; CHARLES, Maud/0000-0003-0033-7458</t>
  </si>
  <si>
    <t>Regional Shellfish Committee of North Brittany (CRCBN), throught the European Maritime and Fisheries Fund (EMFF); laboratory LABEO; Normandy region; laboratory LABEO Frank Duncombe</t>
  </si>
  <si>
    <t>The Regional Shellfish Committee of North Brittany (CRCBN), throught the European Maritime and Fisheries Fund (EMFF), and the laboratory LABEO financially supported this study. Maud Charles received co-funding from the Normandy region and from the laboratory LABEO Frank Duncombe.</t>
  </si>
  <si>
    <t>10.1016/j.jip.2019.107308</t>
  </si>
  <si>
    <t>MQ3VU</t>
  </si>
  <si>
    <t>WOS:000552825100004</t>
  </si>
  <si>
    <t>Grundy, MM; Ratcliffe, NA; Moore, MN</t>
  </si>
  <si>
    <t>Immune inhibition in marine mussels by polycyclic aromatic hydrocarbons</t>
  </si>
  <si>
    <t>EXPOSURE; CHEMICALS; SYSTEM</t>
  </si>
  <si>
    <t>Polycyclic aromatic hydrocarbons (PAHs) are a ubiquitous class of environmental pollutants produced by a range of industrial processes and the combustion of fossil fuels. They eventually enter the marine environment, and are bioaccumulated in the tissues of sessile, filter-feeding bivalves, causing a variety of sublethal effects. Few studies, however, have examined immune inhibition in molluscs by these xenobiotics. Here, the immunotoxic effects of PAHs were investigated in marine mussels (Mytilus edulis) by means of in vivo exposure experiments. Animals were exposed to a PAH cocktail of anthracene, fluoranthene and phenanthrene for 2 or 4 weeks. The haemolymph was then extracted and phagocytosis and lysosomal neutral red retention assays performed to examine the effects of PAHs on particle uptake by haemocytes and lysosome integrity, respectively. PAHs were found to inhibit phagocytosis and damage lysosomes. It is hypothesized that PAHs exert their toxicity directly on the lysosomes. A possible consequence of such lysosomal damage will be immune impairment in mussels leading to reduced resistance to infectious diseases. Copyright (C) 1996 Elsevier Science Ltd.</t>
  </si>
  <si>
    <t>PLYMOUTH MARINE LAB,PLYMOUTH PL1 2PB,DEVON,ENGLAND</t>
  </si>
  <si>
    <t>Grundy, MM (corresponding author), UNIV COLL SWANSEA,SCH BIOL SCI,SINGLETON PK,SWANSEA SA2 8PP,W GLAM,WALES.</t>
  </si>
  <si>
    <t>10.1016/0141-1136(95)00033-X</t>
  </si>
  <si>
    <t>WOS:A1996UU36900030</t>
  </si>
  <si>
    <t>Bouzidi, I; Sellami, B; Mezni, A; Hedfi, A; Almalki, M; Pacioglu, O; Boufahja, F; Mougin, K; Beyrem, H</t>
  </si>
  <si>
    <t>Bouzidi, Imen; Sellami, Badreddine; Mezni, Amine; Hedfi, Amor; Almalki, Mohammed; Pacioglu, Octvian; Boufahja, Fehmi; Mougin, Karine; Beyrem, Hamouda</t>
  </si>
  <si>
    <t>Nanoparticles influence the herbicide diuron mediated toxicity on marine mussel Mytilus galloprovincialis: single and mixture exposure study</t>
  </si>
  <si>
    <t>MATERIALS RESEARCH EXPRESS</t>
  </si>
  <si>
    <t>diuron; oxidative stress; co-exposure; nanoparticles; biomarkers</t>
  </si>
  <si>
    <t>FRESH-WATER MUSSELS; TIO2 NANOPARTICLES; RUDITAPES-PHILIPPINARUM; DEHYDROABIETIC ACID; OXIDE NANOPARTICLES; DIGESTIVE GLAND; RISK-ASSESSMENT; STRESS; RESPONSES; NANOMATERIALS</t>
  </si>
  <si>
    <t>The exposure of habitats to the herbicide diuron, one of the most effective and highly used antifouling agents worldwide, leads to serious environmental toxicity, mainly for marine invertebrates. Moreover, nanoparticles (NPs) act as carriers of organic pollutants in marine ecosystems, thereby influencing their bioaccumulation and toxicity in exposed organisms. This study aimed to investigate the individual and combined toxicity of diuron and two NPs (ZnO NPs and TiO2 NPs) at sub-lethal doses on the marine mussel Mytilus galloprovincialis.</t>
  </si>
  <si>
    <t>[Bouzidi, Imen; Boufahja, Fehmi; Beyrem, Hamouda] Univ Carthage, Fac Sci Bizerta, Coastal Ecol Unit, Lab Environm Biomonitoring, Zarzouna, Tunisia; [Bouzidi, Imen; Mougin, Karine] Univ Strasbourg, Univ Haute Alsace, Inst Sci Mat, IS2M CNRS UMR 7361, 15 Rue Jean Starcky, F-68057 Mulhouse, France; [Sellami, Badreddine] Inst Natl Sci &amp; Technol Mer, Tabarka, Tunisia; [Mezni, Amine; Hedfi, Amor; Almalki, Mohammed] Taif Univ, Coll Sci, POB 11099, At Taif 21944, Saudi Arabia; [Pacioglu, Octvian] Natl Inst Res &amp; Dev Biol Sci, Bucharest, Romania</t>
  </si>
  <si>
    <t>Universite de Carthage; Universites de Strasbourg Etablissements Associes; Universite de Strasbourg; Universite de Haute-Alsace (UHA); Institut National des Sciences et Technologies de la Mer; Taif University; National Research Institute for Biological Sciences</t>
  </si>
  <si>
    <t>Boufahja, F (corresponding author), Univ Carthage, Fac Sci Bizerta, Coastal Ecol Unit, Lab Environm Biomonitoring, Zarzouna, Tunisia.</t>
  </si>
  <si>
    <t>Pacioglu, Octavian/AAR-8518-2021; Hedfi, Amor/AAS-6273-2021; mougin, karine/JGM-0039-2023</t>
  </si>
  <si>
    <t>Pacioglu, Octavian/0000-0003-2233-2308; Amor, Hedfi/0000-0002-3476-4178</t>
  </si>
  <si>
    <t>National Institute of Marine Sciences and Technologies; Ministry of Higher Education, Carthage (Tunisia), Laboratory of Environment Biomonitoring [99/UR12-30]; Universite de Haute Alsace, Institut de Science des Materiaux (France) [IS2M-CNRS-UMR 7361]; Taif University, Taif, Saudi Arabia [TURSP-2020/225]; National Core Program - Romanian Ministry of Research and Innovation Program [25 N/2019 BIODIVERS 19270103]</t>
  </si>
  <si>
    <t>National Institute of Marine Sciences and Technologies; Ministry of Higher Education, Carthage (Tunisia), Laboratory of Environment Biomonitoring; Universite de Haute Alsace, Institut de Science des Materiaux (France); Taif University, Taif, Saudi Arabia; National Core Program - Romanian Ministry of Research and Innovation Program</t>
  </si>
  <si>
    <t>This work was supported by grants from the National Institute of Marine Sciences and Technologies, the Ministry of Higher Education, Carthage (Tunisia), Laboratory of Environment Biomonitoring, Unit of research 99/UR12-30 and Universite de Haute Alsace, Institut de Science des Materiaux, IS2M-CNRS-UMR 7361 (France). The authors would like to thank the Deanship of Scientific Research at Taif university for funding this work through Taif University Research Supporting Project number (TURSP-2020/225), Taif University, Taif, Saudi Arabia. OP was supported by the National Core Program - Romanian Ministry of Research and Innovation Program, project 25 N/2019 BIODIVERS 19270103.</t>
  </si>
  <si>
    <t>IOP Publishing Ltd</t>
  </si>
  <si>
    <t>BRISTOL</t>
  </si>
  <si>
    <t>TEMPLE CIRCUS, TEMPLE WAY, BRISTOL BS1 6BE, ENGLAND</t>
  </si>
  <si>
    <t>2053-1591</t>
  </si>
  <si>
    <t>MATER RES EXPRESS</t>
  </si>
  <si>
    <t>Mater. Res. Express</t>
  </si>
  <si>
    <t>10.1088/2053-1591/ac19eb</t>
  </si>
  <si>
    <t>Materials Science, Multidisciplinary</t>
  </si>
  <si>
    <t>Materials Science</t>
  </si>
  <si>
    <t>TY1PG</t>
  </si>
  <si>
    <t>WOS:000683556900001</t>
  </si>
  <si>
    <t>Patra, P; Mohandass, C; Chakraborty, P; Seleyi, SC</t>
  </si>
  <si>
    <t>Patra, Prantick; Mohandass, Chellandi; Chakraborty, Parthasarathi; Seleyi, Seyieleno C.</t>
  </si>
  <si>
    <t>Biochemical responses of oysters in evaluating environmental quality of tropical Indian estuarine systems</t>
  </si>
  <si>
    <t>Sedimentary toxic metals; Bacteria; Antioxidant enzyme; Oxidative stress; Biomarker; Pollution in tropical estuary</t>
  </si>
  <si>
    <t>HEAVY-METALS; MYTILUS-GALLOPROVINCIALIS; CRASSOSTREA-VIRGINICA; VIBRIO-VULNIFICUS; ECOLOGICAL RISK; SEASONAL-VARIATION; OXIDATIVE STRESS; SOUTHWEST COAST; TRACE-METALS; MARINE</t>
  </si>
  <si>
    <t>Impact of varying concentrations and counts of toxic metals and indigenous bacteria on antioxidative defense system in edible oyster, Saccostrea cucullata, collected from four tropical estuarine systems of Goa (west coast of India), are presented in this study. Relatively high abundance of bacteria was estimated from the oysters especially during monsoon season (June-September). Density of total and fecal coliforms were about 24 times higher in the organism than the surrounding water (average TC: 4360 and FC: 3475 MPN 100 ml(-1)). Sedimentary Cd, Pb, and Hg concentrations varied from 0.12 to 0.48, 19.28-102.48, and 0.03-0.13 mg kg(-1) (dry wt.) while, bioaccumulation of Cd, Pb, and Hg in the oysters ranged from 5.17 to 10.6, 0.18-7.99, and 0.06-0.22 mg kg(-1) (dry wt.) respectively. Higher degree of pollution and moderate ecotoxicological risks with increasing toxicity (36-37%) was observed in two of the tropical estuaries. Biomarker response in the oysters was somewhat inconsistent with pollution load in the estuarine systems. Elevated environmental stress was observed during pre-monsoon (March-May) followed by the monsoon period. Sedimentary metals were identified as predominant inducers of antioxidative defence system in oysters from the study areas. This study suggests that, biomarker can be useful in assessing the combined effects of metal and bacterial contaminations on native oysters and in evaluating environmental quality in tropical estuarine systems. (C) 2021 Elsevier Ltd. All rights reserved.</t>
  </si>
  <si>
    <t>[Patra, Prantick; Seleyi, Seyieleno C.] CSIR Natl Inst Oceanog, Biol Oceanog Div, Panaji 403004, Goa, India; [Patra, Prantick] Acad Sci &amp; Innovat Res AcSIR, Ghaziabad 201002, India; [Mohandass, Chellandi] CSIR Natl Inst Oceanog, Reg Ctr, Mumbai 400053, Maharashtra, India; [Chakraborty, Parthasarathi] Indian Inst Technol Kharagpur, Ctr Oceans Rivers Atmosphere &amp; Land Sci, Kharagpur 721302, W Bengal, India</t>
  </si>
  <si>
    <t>Council of Scientific &amp; Industrial Research (CSIR) - India; CSIR - National Institute of Oceanography (NIO); Academy of Scientific &amp; Innovative Research (AcSIR); Council of Scientific &amp; Industrial Research (CSIR) - India; CSIR - National Institute of Oceanography (NIO); Indian Institute of Technology System (IIT System); Indian Institute of Technology (IIT) - Kharagpur</t>
  </si>
  <si>
    <t>Mohandass, C (corresponding author), CSIR NIO, Reg Ctr Mumbai, Lokhandwala Rd,Four Bungalows,Andheri West, Mumbai 400053, Maharashtra, India.</t>
  </si>
  <si>
    <t>Seleyi, Seyieleno/0000-0001-7900-5717; Patra, Prantick/0000-0002-6291-9309</t>
  </si>
  <si>
    <t>Council of Scientific &amp; Industrial Research (CSIR), India; Academy of Scientific and Innovative Research (AcSIR)</t>
  </si>
  <si>
    <t>Council of Scientific &amp; Industrial Research (CSIR), India(Council of Scientific &amp; Industrial Research (CSIR) - India); Academy of Scientific and Innovative Research (AcSIR)</t>
  </si>
  <si>
    <t>The authors are grateful to Director, CSIR-NIO, for his encouragement and constant support for this work. Dr. Suhas S. Shetye and Dr. Maria-Judith Gonsalves are acknowledged for their analytical help. We are thankful to Council of Scientific &amp; Industrial Research (CSIR), India for funding the project. One of the authors, Prantick Patra would like to acknowledge Academy of Scientific and Innovative Research (AcSIR) and Council of Scientific &amp; Industrial Research (CSIR), India for providing the opportunity and fellowship to carry out his Ph.D. work. This article bears NIO contribution number 6710.</t>
  </si>
  <si>
    <t>10.1016/j.chemosphere.2021.130338</t>
  </si>
  <si>
    <t>SP1ZK</t>
  </si>
  <si>
    <t>WOS:000659471700032</t>
  </si>
  <si>
    <t>Saldaña-Serrano, M; Bastolla, CLV; Mattos, JJ; de Lima, D; Piazza, CE; Righetti, BPH; Martiol, R; Dias, VHV; Ferreira, CP; Nogueira, DJ; Gomes, CHAD; Taniguchi, S; Bícego, MC; Bainy, ACD</t>
  </si>
  <si>
    <t>Saldana-Serrano, Miguel; Bastolla, Camila Lisarb Velasquez; Mattos, Jaco Joaquim; de Lima, Daina; Piazza, Clei Endrigo; Righetti, Barbara Pacheco Harrison; Martiol, Renata; Dias, Vera Helena Vidal; Ferreira, Clarissa Pellegrini; Nogueira, Diego Jose; Gomes, Carlos Henrique Araujo de Miranda; Taniguchi, Satie; Bicego, Marcia Caruso; Bainy, Afonso Celso Dias</t>
  </si>
  <si>
    <t>Biochemical responses in Pacific oysters Magallana gigas (Thunberg, 1793) :Tools to evaluate the environmental quality of aquaculture areas</t>
  </si>
  <si>
    <t>Biochemical biomarkers; Bivalve; Water quality; Sewage; Monitoring</t>
  </si>
  <si>
    <t>LINEAR ALKYLBENZENES LABS; CRASSOSTREA-BRASILIANA; MOLECULAR RESPONSES; OXIDATIVE STRESS; BLUE MUSSELS; WASTE-WATER; SEWAGE; BIOMARKERS; MARKERS; BAY</t>
  </si>
  <si>
    <t>The discharge of sanitary sewage into the bays of the Florianopolis Metropolitan Area (Southern Brazil), has led to the contamination of oyster farms. Consequently, linear alkylbenzenes (LABs) were quantified in the sediment, and the biochemical responses in gills and digestive gland of oysters from six farms were assessed. Our findings revealed elevated levels of LABs in the sediment of the Imaruim and Serraria farms. Additionally, alterations were observed in the antioxidant enzymes: catalase, glutathione peroxidase and superoxide dismutase in both oyster tissue from the Serraria, Santo Antonio de Lisboa and Sambaqui farms. Furthermore, correlation analyses indicated strong and moderate associations between biochemical responses, organic contaminants, and certain physicochemical parameters. Consequently, our results demonstrated the activation of the antioxidant system in oysters, representing a protective response to the presence of sanitary sewage and other contaminants. Therefore, we propose the utilization of biochemical biomarkers for monitoring the environmental quality of farms.</t>
  </si>
  <si>
    <t>[Saldana-Serrano, Miguel; Bastolla, Camila Lisarb Velasquez; de Lima, Daina; Piazza, Clei Endrigo; Righetti, Barbara Pacheco Harrison; Martiol, Renata; Dias, Vera Helena Vidal; Nogueira, Diego Jose; Bainy, Afonso Celso Dias] Fed Univ Santa Catarina UFSC, Dept Biochem, BR-88034257 Florianopolis, SC, Brazil; [Mattos, Jaco Joaquim] Fed Univ Santa Catarina UFSC, Aquaculture Pathol Res Ctr NEPAQ, BR-88034257 Florianopolis, SC, Brazil; [Ferreira, Clarissa Pellegrini] Univ Santa Catarina State UDESC, Dept Fisheries Engn &amp; Biol Sci, BR-88790000 Laguna, SC, Brazil; [Gomes, Carlos Henrique Araujo de Miranda] Fed Univ Santa Catarina UFSC, Ctr Agr Sci, Dept Aquaculture, Lab Marine Mollusks LMM, BR-88040900 Florianopolis, SC, Brazil; [Taniguchi, Satie; Bicego, Marcia Caruso] Univ Sao Paulo, Oceanog Inst, Lab Marine Organ Chem LABQOM, BR-05508120 Sao Paulo, Brazil</t>
  </si>
  <si>
    <t>Bainy, ACD (corresponding author), Fed Univ Santa Catarina UFSC, Dept Biochem, BR-88034257 Florianopolis, SC, Brazil.</t>
  </si>
  <si>
    <t>afonso.bainy@ufsc.br</t>
  </si>
  <si>
    <t>Taniguchi, Satie/D-2552-2013; Lima, Daína/G-8008-2019; Bainy, Afonso/J-6097-2012; Piazza, Clei/C-1700-2019; Nogueira, Diego Jose/I-5306-2012</t>
  </si>
  <si>
    <t>Bainy, Afonso/0000-0002-3885-7718; Joaquim Mattos, Jaco/0000-0002-8766-4285; Lima, Daina/0000-0003-0018-9360; Piazza, Clei/0000-0002-3108-1638; Nogueira, Diego Jose/0000-0001-5831-4043; Vidal Dias, Vera Helena/0000-0002-0675-0641; SALDANA SERRANO, MIGUEL ANGEL/0000-0003-4992-8996</t>
  </si>
  <si>
    <t>Fundacao de Amparo a Pesquisa do Estado de Sao Paulo [FAPESP 2016/18348 - 1]; CNPq productivity fellowship [304274/2018-6, PEC-PG/2018]; The Programa de Estudantes-Convenio de Posgraduacao; [311725/2021-0]</t>
  </si>
  <si>
    <t>Fundacao de Amparo a Pesquisa do Estado de Sao Paulo(Fundacao de Amparo a Pesquisa do Estado de Sao Paulo (FAPESP)); CNPq productivity fellowship(Conselho Nacional de Desenvolvimento Cientifico e Tecnologico (CNPQ)); The Programa de Estudantes-Convenio de Posgraduacao;</t>
  </si>
  <si>
    <t>The authors are thankful to all the oyster producers of the North and South Bay of the Santa Catarina state. Who collaborated with the donation of the organisms for the realization of this study. We would like to thank the staff of the Fundacao de Amparo a Pesquisa do Estado de Sao Paulo (FAPESP 2016/18348 - 1) for the use of gas chromatograph with triple quadrupole mass spectrometer (GC/MS-MS) . Miguel Saldana-Serrano is a PhD fellowship of the Programa de Estudantes-Convenio de Posgraduacao (PEC-PG/2018) . Coordenacao de Aperfeicoamento de Pessoal de Nivel Superior (CAPES). ACDB (311725/2021-0) and MCB (304274/2018-6) are recipients of CNPq productivity fellowship.</t>
  </si>
  <si>
    <t>10.1016/j.marpolbul.2024.116244</t>
  </si>
  <si>
    <t>PO7C2</t>
  </si>
  <si>
    <t>WOS:001215074400001</t>
  </si>
  <si>
    <t>White, J; Ruesink, JL; Trimble, AC</t>
  </si>
  <si>
    <t>White, Jacqueline; Ruesink, Jennifer L.; Trimble, Alan C.</t>
  </si>
  <si>
    <t>THE NEARLY FORGOTTEN OYSTER: OSTREA LURIDA CARPENTER 1864 (OLYMPIA OYSTER) HISTORY AND MANAGEMENT IN WASHINGTON STATE</t>
  </si>
  <si>
    <t>oyster; Ostrea lurida; Crassostrea gigas; Olympia oyster; management; overexploitation; restoration</t>
  </si>
  <si>
    <t>Overexploited fisheries are a worldwide problem. Restoration efforts aimed at these fisheries often involve a combination of reduced catch. hatcheries, and habitat improvement. The native oyster of Western North America, Ostrea lurida,dagger was commercially extinct in most locations more than a century ago. In this paper, we track the history of its management for insight into its demise and failed recovery in Washington State. We document six phases of management: open access, aquaculture, control of water pollution sources, substitution by nonindigenous oysters, harvest regulations and marine reserves, and restoration. Three general lessons emerge from this historical analysis, which may apply generally to exploited fisheries that fail to recover. First, the introduction of substitute species led to neglect of the native species for many decades. Second, reserves were not fully protected and instead were designed for commercial removal of newly settled oysters, thus they largely failed. Finally, current restoration efforts are hampered by several biological problems, including water pollution, invasive competitors and predators, and habitat loss.</t>
  </si>
  <si>
    <t>[White, Jacqueline; Ruesink, Jennifer L.; Trimble, Alan C.] Univ Washington, Dept Biol, Seattle, WA 98195 USA</t>
  </si>
  <si>
    <t>University of Washington; University of Washington Seattle</t>
  </si>
  <si>
    <t>Ruesink, JL (corresponding author), Univ Washington, Dept Biol, Box 351800, Seattle, WA 98195 USA.</t>
  </si>
  <si>
    <t>ruesink@u.washington.edu</t>
  </si>
  <si>
    <t>Washington Research Foundation; Andrew W. Mellon Foundation</t>
  </si>
  <si>
    <t>The authors thank the Washington Research Foundation for their support administered through the University of Washington Undergraduate Research Program's Research Fellowships for Advanced Undergraduates (JMW) and from the Andrew W. Mellon Foundation (JLR, ACT). Critical historic documents were available ill libraries of the University of Washington and Washington State archives.</t>
  </si>
  <si>
    <t>10.2983/035.028.0109</t>
  </si>
  <si>
    <t>433BA</t>
  </si>
  <si>
    <t>WOS:000265177200005</t>
  </si>
  <si>
    <t>GIBLIN, AE; VALIELA, I; TEAL, JM</t>
  </si>
  <si>
    <t>THE FATE OF METALS INTRODUCED INTO A NEW-ENGLAND SALT-MARSH</t>
  </si>
  <si>
    <t>As part of a study to investigate the effect of chronic eutrophication on salt marshes, a sewage sludge fertilizer was applied to experimental plots in Great Sippewissett Marsh, MA [USA] since 1974. The fertilizer contained substantial amounts of heavy metals. Sediments from fertilized plots contained elevated levels of Cu, Cd, Zn, Fe, Mn, Cr and Pb. The above- and below-ground portions of the dominate grass, Spartina alterniflora, contained significantly higher levels of Cd, Cr, Cu and Zn when compared to control plots. The mussel, Modiolus demissus, from fertilized plots contained elevated levels of Cu, Cd and Cr. The fiddler crab, Uca pugnax contained more Cu and Cd than controls. Low marsh sediments fertilized for 8 yr retained 15% Cd, 24% Fe, 27% Mn, 28% Zn, 45% Cr, 49% Cu and 60% of the Pb in the fertilizer. Plots which had only received fertilizer for 1 yr retained a higher percentage of the metals which had been added. The differential solubilization of metals from the fertilizer was one factor influencing metal retention on the plots although changes in sediment chemistry due to nutrient addition were also a factor.</t>
  </si>
  <si>
    <t>BOSTON UNIV, BIOL LAB, PROGRAM MARINE, WOODS HOLE, MA 02543 USA</t>
  </si>
  <si>
    <t>Boston University</t>
  </si>
  <si>
    <t>Giblin, Anne/AAV-6838-2020</t>
  </si>
  <si>
    <t>Giblin, Anne/0000-0003-3851-2178</t>
  </si>
  <si>
    <t>10.1007/BF00279500</t>
  </si>
  <si>
    <t>QV396</t>
  </si>
  <si>
    <t>WOS:A1983QV39600010</t>
  </si>
  <si>
    <t>Giannapas, M; Karnis, L; Dailianis, S</t>
  </si>
  <si>
    <t>Giannapas, Marios; Karnis, Loukas; Dailianis, Stefanos</t>
  </si>
  <si>
    <t>Generation of free radicals in haemocytes of mussels after exposure to low molecular weight PAH components: Immune activation, oxidative and genotoxic effects</t>
  </si>
  <si>
    <t>Acid phosphatase; Free radicals; Genotoxicity; Haemocytes; Stress on stress</t>
  </si>
  <si>
    <t>POLYCYCLIC AROMATIC-HYDROCARBONS; NEUTRAL RED RETENTION; LAGOON-OF-VENICE; MYTILUS-GALLOPROVINCIALIS; ANTIOXIDANT ENZYMES; PEROXISOME PROLIFERATION; POLLUTION BIOMARKERS; LIPID-PEROXIDATION; MARINE POLLUTION; STRESS INDEXES</t>
  </si>
  <si>
    <t>Polycyclic aromatic hydrocarbons (PAHs) constituents, such as phenanthrene (PH) and anthracene (AN), are considered toxic for marine organisms, including bivalve mollusks. The present study showed that the perturbation of health status in mussels, as well as their inability to survive in air (stress on stress response), following exposure to either PH or AN (at a final concentration of 0.1 mg/L respectively), and a mixture of them (ration 1:1, at a final concentration of 0.2 mg/L) for 7 days, is probably related with alterations occurred in their haemocytes. According to the present study. PH and AN, either alone or in a mixture, could induce elevated levels of superoxide anions (O-center dot(2)-) within haemocytes of mussels, thus leading to immune susceptibility as indicated by the increased levels of cell death and the elevated levels of lysosomal membrane acid phosphatase (AcP) activity, probably occurred via its overproduction or its release into the cytosol after lysosomal membrane destabilisation. PAH-mediated oxidative and genotoxic effects, indicated by the increased levels of both lipid peroxidation (MDA content) and nuclear abnormalities (MN test) could be related with haemocytes' inability to overcome free radical generation, thus leading to attenuation of general health status, before other disturbances, such as death, occur. (C) 2011 Elsevier Inc. All rights reserved.</t>
  </si>
  <si>
    <t>[Giannapas, Marios; Karnis, Loukas; Dailianis, Stefanos] Univ Patras, Dept Biol, Sect Anim Biol, Patras 26500, Greece</t>
  </si>
  <si>
    <t>Dailianis, S (corresponding author), Univ Patras, Dept Biol, Sect Anim Biol, Patras 26500, Greece.</t>
  </si>
  <si>
    <t>Dailianis, Stefanos/0000-0002-4156-2419</t>
  </si>
  <si>
    <t>University of Patras, Greece</t>
  </si>
  <si>
    <t>This study was supported by the annual research grant sanctioned to the Section of Animal Biology by the University of Patras, Greece.</t>
  </si>
  <si>
    <t>10.1016/j.cbpc.2011.08.001</t>
  </si>
  <si>
    <t>882QY</t>
  </si>
  <si>
    <t>WOS:000299580200002</t>
  </si>
  <si>
    <t>Sanil, NK; Vijayan, KK; Kripa, V; Mohamed, KS</t>
  </si>
  <si>
    <t>Sanil, N. K.; Vijayan, K. K.; Kripa, V.; Mohamed, K. S.</t>
  </si>
  <si>
    <t>Occurrence of the protozoan parasite, Perkinsus olseni in the wild and farmed Pearl Oyster, Pinctada fucata (Gould) from the Southeast coast of India</t>
  </si>
  <si>
    <t>Pearl oyster; Pinctada fucata; Perkinsus olseni; Southeast coast of India</t>
  </si>
  <si>
    <t>N-SP; PROTISTAN PARASITE; MARINUS; GULF; ZOOSPORULATION; APICOMPLEXA; DECUSSATUS; ALIGNMENT; ABALONE; CLAMS</t>
  </si>
  <si>
    <t>The pearl oyster, Pinctada fucata (Gould). is a commercially important bivalve distributed in the Gulf of Mannar along the southeast coast of India and had supported a healthy. traditional pearl fishery until the 1950s. But, during the past few decades, the natural pearl oyster beds in the Gulf of Mannar have showed a sharp decline leading to the closure of the traditional pearl fishery and was presumed to be due to overexploitation and pollution. Except for a preliminary report on Perkinsus marinus infection in Crassostrea madrasensis in 1988, no incidence of perkinsosis or other Office International des Epizooties (OIE) notified protozoan infections in mollusks has been reported from the Indian subcontinent and the pathogen profile of P. fucata from the region has not been studied. Since Perkinsus spp. is known to have destroyed many oyster beds worldwide, the present study was taken up to screen the pearl oyster population along the Gulf of Mannar coast for the presence of Perkinsus spp. and examine the probable role of Perkinsus in the decline of the natural pearl oyster beds. Thirty individuals of adult P. fucata were collected from wild populations at three different locations in the Gulf of Mannar and 10 individuals from a pearl farm containing hatchery reared stock at Tuticorin. The tissue samples were subjected to Ray's fluid thioglycollate medium (RFTM) culture, histology and polymerase chain reaction (PCR). All the samples showed enlarged blue-black hypnospores in RFTM, indicating the presence of Perkinsus spp. Perkinsus-like organisms were also observed in the histological preparations. Screening of the tissues using the Perkinsus genus specific internal transcribed spacer (ITS) 85 and ITS 750 primers. amplified the product specific to the genus Perkinsus (ca. 700 base pairs) and further, the specific identity of the parasite was determined by sequencing the amplified PCR products which showed 99% identity to Perkinsus olseni. The pairwise genetic distance values and phylogenetic analysis also confirm that the present isolate from P. fucata is a member of the A olseni clade. This preliminary investigation suggests a possibility that perkinsosis could be one of the major reasons for the decline of the A fucata beds in the Gulf of Mannar over a period of time. This forms the first report on the existence of P. olseni, an OIE listed pathogen in the wild and cultured A fucata populations from the Indian subcontinent. (C) 2009 Elsevier B.V. All rights reserved.</t>
  </si>
  <si>
    <t>[Sanil, N. K.; Vijayan, K. K.] Cent Marine Fisheries Res Inst, Marine Biotechnol Div, Fish Hlth Sect, Cochin 682018, Kerala, India; [Kripa, V.] Cent Marine Fisheries Res Inst, Mariculture Div, Cochin 682018, Kerala, India; [Mohamed, K. S.] Cent Marine Fisheries Res Inst, Molluscan Fisheries Div, Cochin 682018, Kerala, India</t>
  </si>
  <si>
    <t>Indian Council of Agricultural Research (ICAR); ICAR - Central Marine Fisheries Research Institute; Indian Council of Agricultural Research (ICAR); ICAR - Central Marine Fisheries Research Institute; Indian Council of Agricultural Research (ICAR); ICAR - Central Marine Fisheries Research Institute</t>
  </si>
  <si>
    <t>Sanil, NK (corresponding author), Cent Marine Fisheries Res Inst, Marine Biotechnol Div, Fish Hlth Sect, PB 1603,Ernakulam N PO, Cochin 682018, Kerala, India.</t>
  </si>
  <si>
    <t>nksanil@gmail.com</t>
  </si>
  <si>
    <t>Mohamed, Kolliyil/AAU-5142-2021</t>
  </si>
  <si>
    <t>Mohamed, Kolliyil/0000-0002-7720-4090</t>
  </si>
  <si>
    <t>10.1016/j.aquaculture.2009.12.007</t>
  </si>
  <si>
    <t>562EW</t>
  </si>
  <si>
    <t>WOS:000275033500002</t>
  </si>
  <si>
    <t>Song, DR; Peng, JX; Zhao, XN; Wu, HY; Zheng, GC; Zhao, YF; Jiang, YH; Sheng, XF; Guo, MM; Tan, ZJ</t>
  </si>
  <si>
    <t>Song, Dongru; Peng, Jixing; Zhao, Xinnan; Wu, Haiyan; Zheng, Guanchao; Zhao, Yanfang; Jiang, Yanhua; Sheng, Xiaofeng; Guo, Mengmeng; Tan, Zhijun</t>
  </si>
  <si>
    <t>Quality and safety profiles of Chlamys farreri cultured in the Shandong peninsula: Analysis of nutritional content, flavor, and hazards</t>
  </si>
  <si>
    <t>Chlamys farreri; Nutrient composition; Hazard; Evaluation</t>
  </si>
  <si>
    <t>ACID-COMPOSITION; TASTE; SHELLFISH; BENEFITS; DISEASE; METALS; MEAT</t>
  </si>
  <si>
    <t>This study firstly examined the quality and safety profiles of scallop Chlamys farreri cultured, a major bivalve species cultured along the coast of the Shandong province. Samples were collected from 10 different regions in the Shandong peninsula, and then, the nutrient components, including proximate, amino acids, fatty acids, mineral elements, and vitamins, as well as primary biological and chemical hazards, such as banned antibiotics, organic pollutants, heavy metal, shellfish toxins, and pathogenic bacteria in Chlamys farreri were analyzed. The comprehensive indexes contain almost 70 chemical and microbial hazards and 90 kinds of nutritional and flavor substance. A comprehensive evaluation method was established to ascertain major nutrient quality character-istics, including amino acid score, fatty acid score, taste activity value, equivalent umami concentration and nutrient index. Feature indicators were comprehensively evaluated using correlation analysis, system cluster analysis, orthogonal partial least squares discriminant analysis, and factor analysis. On the basis of 17 charac-teristic component filtered from 33 significant differential indexes, the quality of Chlamys farreri from different regions was ranked by factor analysis. The factor analysis score shows that Xunshan &gt; Laoshan &gt; Changdao &gt; Kongtongdao &gt; Yangmadao &gt; Yuanyao &gt; Rushan &gt; Shidao &gt; Shuangdao &gt; RenJiatai.</t>
  </si>
  <si>
    <t>[Song, Dongru; Peng, Jixing; Zhao, Xinnan; Wu, Haiyan; Zheng, Guanchao; Zhao, Yanfang; Jiang, Yanhua; Sheng, Xiaofeng; Guo, Mengmeng; Tan, Zhijun] Chinese Acad Fishery Sci, Minist Agr &amp; Rural Affairs, Yellow Sea Fisheries Res Inst, Key Lab Testing &amp; Evaluat Aquat Prod Safety &amp; Qual, Qingdao 266071, Peoples R China; [Tan, Zhijun] Pilot Natl Lab Marine Sci &amp; Technol Qingdao, Qingdao 266237, Peoples R China; [Tan, Zhijun] Chinese Acad Fishery Sci, Yellow Sea Fisheries Res Inst, Qingdao 266071, Peoples R China</t>
  </si>
  <si>
    <t>Chinese Academy of Fishery Sciences; Yellow Sea Fisheries Research Institute, CAFS; Ministry of Agriculture &amp; Rural Affairs; Laoshan Laboratory; Chinese Academy of Fishery Sciences; Yellow Sea Fisheries Research Institute, CAFS</t>
  </si>
  <si>
    <t>Drsong97@163.com; Pengjx@ysfri.ac.cn; Zhaoxn@ysfri.ac.cn; Wuhy@ysfri.ac.cn; Zhenggc@ysfri.ac.cn; Zhaoyf@ysfri.ac.cn; Jiangyh@ysfri.ac.cn; Shengxf@ysfri.ac.cn; Guomm@ysfri.ac.cn; Tanzj@ysfri.ac.cn</t>
  </si>
  <si>
    <t>Zhao, Yanfang/GTS-2003-2022</t>
  </si>
  <si>
    <t>Peng, Jixing/0000-0002-2073-3389</t>
  </si>
  <si>
    <t>National Key R&amp;D Program of China [2019YFE0103800, 2018YFD0901004]; Central Public-interest Scientific Institution Basal Research Fund, CAFS [2020TD48, 2020TD71]; earmarked fund for CARS [CARS-49]</t>
  </si>
  <si>
    <t>National Key R&amp;D Program of China; Central Public-interest Scientific Institution Basal Research Fund, CAFS; earmarked fund for CARS</t>
  </si>
  <si>
    <t>This study was supported by the National Key R &amp; D Program of China (2019YFE0103800, 2018YFD0901004) , the Central Public-interest Scientific Institution Basal Research Fund, CAFS (2020TD48, 2020TD71) , and the earmarked fund for CARS (CARS-49) .</t>
  </si>
  <si>
    <t>10.1016/j.jfca.2023.105193</t>
  </si>
  <si>
    <t>9I9PC</t>
  </si>
  <si>
    <t>WOS:000939831700001</t>
  </si>
  <si>
    <t>Xu, L; Wang, ZY; Zhao, J; Lin, MQ; Xing, BS</t>
  </si>
  <si>
    <t>Xu, Lina; Wang, Zhenyu; Zhao, Jian; Lin, Meiqi; Xing, Baoshan</t>
  </si>
  <si>
    <t>Accumulation of metal-based nanoparticles in marine bivalve mollusks from offshore aquaculture as detected by single particle ICP-MS</t>
  </si>
  <si>
    <t>splCP-MS; Bivalve mollusks; Size distribution; Toxicity; NP accumulation</t>
  </si>
  <si>
    <t>ZINC-OXIDE NANOPARTICLES; CELLS IN-VITRO; ENGINEERED NANOMATERIALS; SILVER NANOPARTICLES; TIO2 NANOPARTICLES; TOXICITY; AG; ORGANISMS; HEALTH; CUO</t>
  </si>
  <si>
    <t>The exposure risk of metal-based nanoparticles (NPs) to marine organisms and related food safety have attracted increasing attention, but the actual concentrations of these NPs in seawater and marine organisms are unknown. In this work, single particle inductively coupled plasma-mass spectrometry (splCP-MS) was used to quantify the concentrations and size distributions of NPs in different marine mollusks (oysters, mussels, scallops, clams, and ark shells) from an offshore aquaculture farm. Results showed that Ti, Cu, Zn, and Ag bearing NPs were detected in all the five mollusks with the mean sizes at 65.4-70.9, 72.2-89.6, 97.8-108.3, and 42.9-51.0 nm, respectively. The particle concentrations of Ti, Cu, Zn, and Ag bearing NPs in all mollusks (0.88-3.26 x 10(7) particles/g fresh weight) were much higher than that in the seawater (0.46-0.79 x 10(7) particles/mL), suggesting bio-accumulation of NPs. For all the five mollusks, Ag bearing NPs had the highest number-based bioconcentration factors (NBCFs) in all the tested NPs due to the smallest mean size of Ag bearing NPs in seawater (30.5 nm). In addition, the clams exhibited the lowest NBCFs of the four NPs than other mollusks. All four NPs were mainly accumulated in the gill and digestive gland, and could transfer to adductor muscle of all mollusks. Although all the four metals (Ti, Cu, Zn, Ag) in mollusks were safe for human consumption by the estimated daily intake (EDI) analysis, the risk of NPs remaining in the mollusks should be further considered when evaluating the toxicity of metals for human health. The findings could improve our understanding on the distribution and health risk of NPs in marine mollusks under offshore aquaculture. (C) 2020 Elsevier Ltd. All rights reserved.</t>
  </si>
  <si>
    <t>[Xu, Lina] Qingdao Agr Univ, Coll Landscape Architecture &amp; Forestry, Qingdao 266100, Peoples R China; [Xu, Lina; Zhao, Jian] Qingdao Natl Lab Marine Sci &amp; Technol, Lab Marine Ecol &amp; Environm Sci, Qingdao 266071, Peoples R China; [Xu, Lina; Zhao, Jian; Lin, Meiqi] Ocean Univ China, Inst Coastal Environm Pollut Control, Minist Educ, Key Lab Marine Environm &amp; Ecol, Qingdao 266100, Peoples R China; [Wang, Zhenyu] Jiangnan Univ, Sch Environm &amp; Civil Engn, Inst Environm Proc &amp; Pollut Control, Wuxi 214122, Jiangsu, Peoples R China; [Xing, Baoshan] Univ Massachusetts, Stockbridge Sch Agr, Amherst, MA 01003 USA</t>
  </si>
  <si>
    <t>Qingdao Agricultural University; Laoshan Laboratory; Ocean University of China; Jiangnan University; University of Massachusetts System; University of Massachusetts Amherst</t>
  </si>
  <si>
    <t>Zhao, J (corresponding author), Ocean Univ China, Inst Coastal Environm Pollut Control, Minist Educ, Key Lab Marine Environm &amp; Ecol, Qingdao 266100, Peoples R China.</t>
  </si>
  <si>
    <t>jzhao@ouc.edu.cn</t>
  </si>
  <si>
    <t>Xing, Baoshan/AAE-7826-2019; Zhao, Jian/JYP-2185-2024</t>
  </si>
  <si>
    <t>Zhao, Jian/0000-0002-4971-5643</t>
  </si>
  <si>
    <t>Natural Science Foundation of China [41530642, 41822705, 41629101]; Natural Science Foundation of Shandong Province [JQ201805]; Taishan Scholars Programof Shandong Province [tsqn201909051]; Youth Talent Support Program of the Laboratory for Marine Ecology and Environmental Technology (Qingdao) [LMEES-YTSP-2018-02-09]; USDA-NIFA Hatch program [MAS 00549]</t>
  </si>
  <si>
    <t>Natural Science Foundation of China(National Natural Science Foundation of China (NSFC)); Natural Science Foundation of Shandong Province(Natural Science Foundation of Shandong Province); Taishan Scholars Programof Shandong Province; Youth Talent Support Program of the Laboratory for Marine Ecology and Environmental Technology (Qingdao); USDA-NIFA Hatch program</t>
  </si>
  <si>
    <t>This research was supported by Natural Science Foundation of China (41530642, 41822705, 41629101), Natural Science Foundation of Shandong Province (JQ201805), Taishan Scholars Programof Shandong Province (tsqn201909051), the Youth Talent Support Program of the Laboratory for Marine Ecology and Environmental Technology (Qingdao) (LMEES-YTSP-2018-02-09), and USDA-NIFA Hatch program (MAS 00549).</t>
  </si>
  <si>
    <t>10.1016/j.envpol.2020.114043</t>
  </si>
  <si>
    <t>WOS:000528537600021</t>
  </si>
  <si>
    <t>Zorita, I; Larreta, J; Montero, N; Rodríguez, JG; Franco, J; Borja, A</t>
  </si>
  <si>
    <t>Zorita, Izaskun; Larreta, Joana; Montero, Natalia; Rodriguez, Jose German; Franco, Javier; Borja, Angel</t>
  </si>
  <si>
    <t>Evaluation of the use of bioaccumulation and biological effects tools in caged mussels, within the European Water Framework Directive</t>
  </si>
  <si>
    <t>biological effects; pollutants; caged mussels; Oiartzun estuary; investigative monitoring; Water Framework Directive</t>
  </si>
  <si>
    <t>MYTILUS-GALLOPROVINCIALIS; BIOMARKER RESPONSES; TRANSITIONAL WATERS; BENTHIC COMMUNITIES; LIPID-PEROXIDATION; DIGESTIVE GLAND; STRESS-RESPONSE; NORTHERN SPAIN; QUALITY STATUS; HEAVY-METALS</t>
  </si>
  <si>
    <t>Bioaccumulation and biological effects of pollution were assessed in mussels (Mytilus galloprovincialis) caged for one month at three sites in the Oiartzun estuary (south-eastern Bay of Biscay, Spain) with the aim of evaluating their usefulness within the investigative monitoring defined in the European Union Water Framework Directive (WFD). The highest concentrations of organic contaminants determined in mussels' tissue were detected towards the inner part of the estuary but no gradient pattern was found for metal bioaccumulation. Population fitness responses measured as condition index, stress on stress and gonad index were similar in all caged mussels and did not follow the organic pollution gradient. However, biomarkers determined at tissue, cell and protein level (histopathology, micronuclei frequency, malondialdehyde levels and vitellogenin-like protein levels) revealed a higher stress syndrome at the inner part of the estuary showing signs of genotoxicity, oxidative stress and endocrine disruption. Overall, the integrated chemical-biological approach in connection with mussel caging technique proved to be a useful tool to assess environmental pollution, allowing a better understanding of the cause-effect relationship within the investigative monitoring defined in the WFD.</t>
  </si>
  <si>
    <t>[Zorita, Izaskun; Larreta, Joana; Montero, Natalia; Rodriguez, Jose German; Franco, Javier; Borja, Angel] AZTI Tecnalia, Div Marine Res, Pasaia, Spain</t>
  </si>
  <si>
    <t>Zorita, I (corresponding author), AZTI Tecnalia, Div Marine Res, Pasaia, Spain.</t>
  </si>
  <si>
    <t>izorita@azti.es</t>
  </si>
  <si>
    <t>; Borja, Angel/I-3665-2018; Rodriguez, J. German/B-8232-2009</t>
  </si>
  <si>
    <t>Franco, Javier/0000-0002-8629-3558; Larreta, Joana/0000-0001-8276-9232; Borja, Angel/0000-0003-1601-2025; Rodriguez, J. German/0000-0003-1565-4851; Zorita, Izaskun/0000-0003-0718-8184; Montero, Natalia/0000-0003-4731-4229</t>
  </si>
  <si>
    <t>Industry, Commerce and Tourism Department of the Basque Government through IKERKOSTA project [S-PC08UN03]; Spanish Ministry of Economy and Competitiveness through DIAGNOSEAS project [CTM-2012-40203-C02-02]; Programme Torres Quevedo (Ministry of Education and Science and European Social Fund)</t>
  </si>
  <si>
    <t>Industry, Commerce and Tourism Department of the Basque Government through IKERKOSTA project; Spanish Ministry of Economy and Competitiveness through DIAGNOSEAS project; Programme Torres Quevedo (Ministry of Education and Science and European Social Fund)</t>
  </si>
  <si>
    <t>This research was funded by the Industry, Commerce and Tourism Department of the Basque Government through IKERKOSTA project [S-PC08UN03] and by the Spanish Ministry of Economy and Competitiveness through DIAGNOSEAS project [CTM-2012-40203-C02-02]. Two of the authors were supported by the Programme Torres Quevedo (Ministry of Education and Science and European Social Fund). This paper is contribution number 703 from AZTI (Marine Research Division).</t>
  </si>
  <si>
    <t>10.1080/02757540.2015.1050003</t>
  </si>
  <si>
    <t>CP2ZO</t>
  </si>
  <si>
    <t>WOS:000359746800004</t>
  </si>
  <si>
    <t>Kolandhasamy, P; Su, L; Li, JN; Qu, XY; Jabeen, K; Shi, HH</t>
  </si>
  <si>
    <t>Kolandhasamy, Prabhu; Su, Lei; Li, Jiana; Qu, Xiaoyun; Jabeen, Khalida; Shi, Huahong</t>
  </si>
  <si>
    <t>Adherence of microplastics to soft tissue of mussels: A novel way to uptake microplastics beyond ingestion</t>
  </si>
  <si>
    <t>Ingestion; Adherence; Man-made fiber; Mussels; Accumulation</t>
  </si>
  <si>
    <t>MYTILUS-EDULIS; COASTAL; FISH; POLLUTANTS; BIVALVES; WATERS</t>
  </si>
  <si>
    <t>Microplastic pollution is recognized as an emerging threat to aquatic ecosystems. One of the main environmental risks associated with microplastics is their bioavailability to marine organisms. Up to date, ingestion has been widely accepted as the sole way for the animals to uptake microplastics. Nevertheless, microplastics have also been found in some organs which are not involved in the process of ingestion. We hypothesize that the animal might uptake microplastics through adherence in addition to ingestion. To test this hypothesis, we collected mussels from the fishery farms, conducted exposure/clearance experiments and analyzed the accumulation of microplastics in specific organ of mussels. Our studies clearly showed the uptake of microplastic in multiple organs of mussels. In the field investigations, we found that the abundance of microplastic by weight but not by individual showed significant difference among organs, and the intestine contained the highest level of microplastics (9.2 items/g). In the uptake and clearance experiment, the accumulation and retention of microfibers could also be observed in all tested organs of mussels including foot and mantle. Our results strongly suggest that adherence rather than ingestion led to the accumulation of microplastics in those organs which are not involved in ingestion process. To our best knowledge, it is the first time to propose that adherence is a novel way for animals to uptake microplastics beyond ingestion. This new finding makes us rethink about the bioavailability, accumulation and toxicity of microplastics to aquatic animals. (C) 2017 Elsevier B.V. All rights reserved.</t>
  </si>
  <si>
    <t>[Kolandhasamy, Prabhu; Su, Lei; Li, Jiana; Qu, Xiaoyun; Jabeen, Khalida; Shi, Huahong] East China Normal Univ, State Key Lab Estuarine &amp; Coastal Res, Shanghai 200062, Peoples R China</t>
  </si>
  <si>
    <t>East China Normal University</t>
  </si>
  <si>
    <t>Shi, HH (corresponding author), East China Normal Univ, State Key Lab Estuarine &amp; Coastal Res, Shanghai 200062, Peoples R China.</t>
  </si>
  <si>
    <t>hhshi@des.ecnu.edu.cn</t>
  </si>
  <si>
    <t>Su, Lei/ABD-6915-2021; Shi, Huahong/F-1511-2011; YAN, LING/JXY-6904-2024; KOLANDHASAMY, PRABHU/H-3818-2014</t>
  </si>
  <si>
    <t>KOLANDHASAMY, PRABHU/0000-0002-8452-5589; Shi, Huahong/0000-0003-2978-0680</t>
  </si>
  <si>
    <t>Natural Science Foundation of China [41571467, 21507031]; National Key Research and Development [2016YFC1402204]</t>
  </si>
  <si>
    <t>Natural Science Foundation of China(National Natural Science Foundation of China (NSFC)); National Key Research and Development(National Key Research &amp; Development Program of China)</t>
  </si>
  <si>
    <t>This work was supported by the Natural Science Foundation of China (41571467, 21507031) and grants from the National Key Research and Development (2016YFC1402204).</t>
  </si>
  <si>
    <t>10.1016/j.scitotenv.2017.08.053</t>
  </si>
  <si>
    <t>FI3VI</t>
  </si>
  <si>
    <t>WOS:000411897700065</t>
  </si>
  <si>
    <t>David, JAD; Fontanetti, CS</t>
  </si>
  <si>
    <t>de Oliveira David, Jose Augusto; Fontanetti, Carmem S.</t>
  </si>
  <si>
    <t>The Role of Mucus in Mytella falcata (Orbigny 1842) Gills from Polluted Environments</t>
  </si>
  <si>
    <t>Bivalve; Mussel; Biomarker; Mucous cell; Histochemistry</t>
  </si>
  <si>
    <t>PERNA-VIRIDIS L; SANTOS ESTUARY; MUSSEL; COPPER; SURFACE</t>
  </si>
  <si>
    <t>Bivalve mussels can concentrate pollutants which, in high amounts, can cause cellular, physiological and behavioral changes. The gill mucus is essential for many metabolic and behavioral procedures on marine mussels including the response to environmental pollution. The present work analyzed the mucous cell number in Mytella falcata gill filaments from three sites of Santos estuary (Brazil) with different levels of sediment contamination named as sites A, B, and C. Site A is located at a low impacted region of the estuary, and sites B and C are under influence of port activities, domestic sewage, and industries like a still mill located in front of site C (the most contaminated area with high amounts of polycyclic aromatic hydrocarbons). An increase in mucous cell number was detected in animals from sites B and C, when compared to site A; this increase occurred preferentially in the frontal zone and was related to sediment contamination. Mucous cell analysis can be used as an efficient biomarker. It is suggested that mucus produced in lateral and abfrontal zones is responsible for eliminating pollutants previously absorbed and mucus produced in frontal zone is responsible for pollutant arrest and elimination as pseudofeces.</t>
  </si>
  <si>
    <t>[de Oliveira David, Jose Augusto] Fed Univ Para, Inst Ciencias Biol, Lab Citogenet, BR-66075900 Belem, Para, Brazil; [Fontanetti, Carmem S.] UNESP, Dept Biol, Inst Biociencias, BR-13506900 Rio Claro, SP, Brazil</t>
  </si>
  <si>
    <t>Universidade Federal do Para; Universidade Estadual Paulista</t>
  </si>
  <si>
    <t>David, JAD (corresponding author), Fed Univ Para, Inst Ciencias Biol, Lab Citogenet, Av Perimetral Sn, BR-66075900 Belem, Para, Brazil.</t>
  </si>
  <si>
    <t>joseaugustodavid@hotmail.com</t>
  </si>
  <si>
    <t>Fontanetti, Carmem/E-7120-2012</t>
  </si>
  <si>
    <t>David, Jose Augusto de Oliveira/0000-0001-8232-0574</t>
  </si>
  <si>
    <t>Coordenacao de Aperfeicoamento de Pessoal de Nivel Superior; Conselho Nacional de Desenvolvimento Cientifico e Tecnologico; Fundacao para o Desenvolvimento da UNESP</t>
  </si>
  <si>
    <t>Coordenacao de Aperfeicoamento de Pessoal de Nivel Superior(Coordenacao de Aperfeicoamento de Pessoal de Nivel Superior (CAPES)); Conselho Nacional de Desenvolvimento Cientifico e Tecnologico(Conselho Nacional de Desenvolvimento Cientifico e Tecnologico (CNPQ)); Fundacao para o Desenvolvimento da UNESP</t>
  </si>
  <si>
    <t>The authors are thankful to Coordenacao de Aperfeicoamento de Pessoal de Nivel Superior, Conselho Nacional de Desenvolvimento Cientifico e Tecnologico, and Fundacao para o Desenvolvimento da UNESP for financial support, to Nautica da Ilha and Marcia M. Hoshina for helping during collecting trips, to Cristiane M. Mileo, for the illustrations, and to Gerson Mello Souza for the support during technical procedures.</t>
  </si>
  <si>
    <t>10.1007/s11270-009-0009-9</t>
  </si>
  <si>
    <t>495UG</t>
  </si>
  <si>
    <t>WOS:000269919900022</t>
  </si>
  <si>
    <t>Gaillard, S; Le Goïc, N; Malo, F; Boulais, M; Fabioux, C; Zaccagnini, L; Carpentier, L; Sibat, M; Réveillon, D; Séchet, V; Hess, P; Hégaret, H</t>
  </si>
  <si>
    <t>Gaillard, Sylvain; Le Goic, Nelly; Malo, Florent; Boulais, Myrina; Fabioux, Caroline; Zaccagnini, Lucas; Carpentier, Liliane; Sibat, Manoella; Reveillon, Damien; Sechet, Veronique; Hess, Philipp; Hegaret, Helene</t>
  </si>
  <si>
    <t>Cultures of Dinophysis sacculus, D. acuminata and pectenotoxin 2 affect gametes and fertilization success of the Pacific oyster, Crassostrea gigas</t>
  </si>
  <si>
    <t>Dinophysis spp.; Okadaic acid; Pectenotoxins; Oyster gametes; Fertilization success</t>
  </si>
  <si>
    <t>HARMFUL ALGAL BLOOMS; DINOFLAGELLATE ALEXANDRIUM-CATENELLA; PINCTADA-FUCATA-MARTENSII; OKADAIC ACID; EASTERN OYSTER; KARENIA-BREVIS; KARLODINIUM-VENEFICUM; PROROCENTRUM-MINIMUM; PEARL OYSTER; SECO ACID</t>
  </si>
  <si>
    <t>Harmful algal blooms (HABs) of toxic species of the dinoflagellate genus Dinophysis are a threat to human health as they are mainly responsible for diarrheic shellfish poisoning (DSP) in the consumers of contaminated shellfish. Such contamination leads to shellfish farm closures causing major economic and social issues. The direct effects of numerous HAB species have been demonstrated on adult bivalves, whereas the effects on critical early life stages remain relatively unexplored. The present study aimed to determine the in vitro effects of either cultivated strains of D. sacculus and D. acuminata isolated from France or their associated toxins (i.e. okadaic acid (OA) and pectenotoxin 2 (PTX2)) on the quality of the gametes of the Pacific oyster Crassostrea gigas. This was performed by assessing the ROS production and viability of the gametes using flow cytometry, and fertilization success using microscopic counts. Oocytes were more affected than spermatozoa and their mortality and ROS production increased in the presence of D. sacculus and PTX2, respectively. A decrease in fertilization success was observed at concentrations as low as 0.5 cell mL(-1) of Dinophysis spp. and 5 nM of PTX2, whereas no effect of OA could be observed. The effect on fertilization success was higher when both gamete types were concomitantly exposed compared to separate exposures, suggesting a synergistic effect. Our results also suggest that the effects could be due to cell-to-cell contact. These results highlight a potential effect of Dinophysis spp. and PTX2 on reproduction and recruitment of the Pacific oyster. (C) 2020 Elsevier Ltd. All rights reserved.</t>
  </si>
  <si>
    <t>[Gaillard, Sylvain; Malo, Florent; Carpentier, Liliane; Sibat, Manoella; Reveillon, Damien; Sechet, Veronique; Hess, Philipp] Ifremer, DYNECO, Lab Phycotoxines, F-44000 Nantes, France; [Le Goic, Nelly; Boulais, Myrina; Fabioux, Caroline; Zaccagnini, Lucas; Hegaret, Helene] Univ Brest, LEMAR, Ifremer, CNRS,IRD, F-29280 Plouzane, France</t>
  </si>
  <si>
    <t>Ifremer; Centre National de la Recherche Scientifique (CNRS); Ifremer; Institut de Recherche pour le Developpement (IRD); Universite de Bretagne Occidentale</t>
  </si>
  <si>
    <t>Gaillard, S (corresponding author), Ifremer, DYNECO, Lab Phycotoxines, F-44000 Nantes, France.</t>
  </si>
  <si>
    <t>sylvain.gaillard@ifremer.fr; philipp.hess@ifremer.fr; helene.hegaret@univ-brest.fr</t>
  </si>
  <si>
    <t>Fabioux, Caroline/AAC-4378-2019; Hess, Philipp/G-1761-2010; Reveillon, Damien/AFM-7811-2022; Hegaret, Helene/B-7206-2008; Sibat-dubois, manoella/ACN-5475-2022</t>
  </si>
  <si>
    <t>GAILLARD, Sylvain/0000-0001-5592-4460; Hegaret, Helene/0000-0003-4639-9013; Reveillon, Damien/0000-0002-6706-6077; Sibat-dubois, manoella/0000-0001-5105-6467; sechet, veronique/0000-0002-7085-3215; Fabioux, Caroline/0000-0002-9436-5128</t>
  </si>
  <si>
    <t>EPA (IE); ANR(FR); BMBF(DE); UEFISCDI (RO); RCN (NO); FORMAS (SE); European Union [690462]; project CoCliME which is part of ERA4CS; ERA-NET; JPI Climate</t>
  </si>
  <si>
    <t>EPA (IE)(Environmental Protection Agency Ireland (EPA)); ANR(FR)(Agence Nationale de la Recherche (ANR)); BMBF(DE)(Federal Ministry of Education &amp; Research (BMBF)); UEFISCDI (RO)(Consiliul National al Cercetarii Stiintifice (CNCS)Unitatea Executiva pentru Finantarea Invatamantului Superior, a Cercetarii, Dezvoltarii si Inovarii (UEFISCDI)); RCN (NO); FORMAS (SE)(Swedish Research Council Formas); European Union(European Union (EU)); project CoCliME which is part of ERA4CS; ERA-NET; JPI Climate</t>
  </si>
  <si>
    <t>This work was funded by the project CoCliME which is part of ERA4CS, an ERA-NET initiated by JPI Climate, and funded by EPA (IE), ANR (FR), BMBF (DE), UEFISCDI (RO), RCN (NO) and FORMAS (SE), with co-funding by the European Union (Grant 690462). We thank David Jaen (LCCRRPP, Huelva, Spain) for T. amphioxeia and Per Juel Hansen for M. rubrum cultures. We acknowledge Justine Castrec for her valuable help during the experiment, as well as Nadine Neaud-Masson and Marc Sourisseau for extraction of data from Quadrige2 (the database of the REPHY network).</t>
  </si>
  <si>
    <t>10.1016/j.envpol.2020.114840</t>
  </si>
  <si>
    <t>NH3EM</t>
  </si>
  <si>
    <t>WOS:000564557000012</t>
  </si>
  <si>
    <t>Dose, A; Kennington, WJ; Evans, JP</t>
  </si>
  <si>
    <t>Dose, Annika; Kennington, Winn Jason; Evans, Jonathan Paul</t>
  </si>
  <si>
    <t>Heat stress mediates toxicity of rutile titanium dioxide nanoparticles on fertilisation capacity in the broadcast spawning mussel Mytilus galloprovincialis</t>
  </si>
  <si>
    <t>Ecotoxicology; Pollution effects; Temperature; Stress tolerance; Climate change; External fertilisation</t>
  </si>
  <si>
    <t>SEA-URCHIN; MARINE-INVERTEBRATES; OXIDATIVE STRESS; ENGINEERED NANOMATERIALS; ENVIRONMENTAL EMISSIONS; PARACENTROTUS-LIVIDUS; SILVER NANOPARTICLES; TIO2 NANOPARTICLES; METAL POLLUTION; TEMPERATURE</t>
  </si>
  <si>
    <t>Titanium dioxide nanoparticle (nTiO2) pollution of marine environments is rapidly increasing with potentially deleterious effects on wildlife. Yet, the impacts of nTiO2 on reproduction remain poorly understood. This is especially the case for broadcast spawners, who are likely to be more severely impacted by environmental disturbances because their gametes are directly exposed to the environment during fertilisation. In addition, it is unclear whether rising water temperatures will further exacerbate the impact of nTiO2 toxicity. Here, in a series of fertilisation trials, we systematically examine the main and interactive effects of nTiO2 exposure and seawater temperature on fertilisation success in the Mediterranean mussel Mytilus galloprovincialis. Specifically, our fertilisation trials explored whether nTiO2 exposure influences fertilisation rates when (i) eggs alone are exposed, (ii) both sperm and eggs are exposed simultaneously, and (iii) whether increases in seawater temperature interact with nTiO2 exposure to influence fertilisation rates. We also ask whether changes in nTiO2 concentrations influence key sperm motility traits using computer-assisted sperm analysis (CASA). In fertilisation trials for treatment groups (i) and (ii), we found no main effects of nTiO2 at environmentally relevant concentrations of 5, 10 and 50 mu g L- 1 on fertilisation capacity relative to the control. Consistent with these findings, we found no effect of nTiO2 exposure on sperm motility. However, in treatment group (iii), when fertilisation trials were conducted at higher temperatures (+6 degrees C), exposure of gametes from both sexes to 10 mu g L- 1 nTiO2 led to a reduction in fertilisation rates that was significantly greater than when gametes were exposed to elevated</t>
  </si>
  <si>
    <t>[Dose, Annika; Kennington, Winn Jason; Evans, Jonathan Paul] Univ Western Australia, Sch Biol Sci, Crawley, WA 6009, Australia</t>
  </si>
  <si>
    <t>Dose, A (corresponding author), Univ Western Australia, Sch Biol Sci, Crawley, WA 6009, Australia.</t>
  </si>
  <si>
    <t>annika.dose@research.uwa.edu.au; jason.kennington@uwa.edu.au; jonathan.evans@uwa.edu.au</t>
  </si>
  <si>
    <t>Kennington, Jason/H-5182-2014</t>
  </si>
  <si>
    <t>Kennington, Jason/0000-0001-6100-6543</t>
  </si>
  <si>
    <t>University Graduate Award University of Western Australia</t>
  </si>
  <si>
    <t>We would like to thank Jessica Hadlow, Cameron Duggin, Rowan Lymbery for assistance with mussel collections and experiments. A.D. was supported by a University Graduate Award from the University of Western Australia.</t>
  </si>
  <si>
    <t>10.1016/j.scitotenv.2024.175567</t>
  </si>
  <si>
    <t>E2E6V</t>
  </si>
  <si>
    <t>WOS:001301190900001</t>
  </si>
  <si>
    <t>Saavedra, MJ; Fernandes, C; Teixeira, A; Alvarez, X; Varandas, S</t>
  </si>
  <si>
    <t>Saavedra, Maria Jose; Fernandes, Conceicao; Teixeira, Amilcar; Alvarez, Xana; Varandas, Simone</t>
  </si>
  <si>
    <t>Multiresistant bacteria: Invisible enemies of freshwater mussels*</t>
  </si>
  <si>
    <t>Antibacterial; Bivalves; Margaritifera margaritifera; Potomida littoralis; Bioindicators; Water quality; Coliform bacteria; Escherichia coli</t>
  </si>
  <si>
    <t>ANTIBIOTIC-RESISTANT BACTERIA; MARGARITIFERA-MARGARITIFERA; DIPLODON-CHILENSIS; BIVALVES; PATHOGEN; QUALITY; SHELLS</t>
  </si>
  <si>
    <t>Freshwater mussels are among the most endangered groups of fauna anywhere in world. The indiscriminate use of antibiotics has led to the emergence of resistant strains. These antibiotic-resistant bacteria play a key role in increasing the risk allied with the use of surface water and in spread of resistance genes. Two endangered freshwater mussel species, Margaritifera margaritifera and Potomida littoralis, were sampled at 4 sampling sites along a 50 km stretch of River Tua. Water samples were taken at same sites. Of the total of 135 isolates, 64.44% (39.26% from water and 25.19% from mussels) were coliform bacteria. Site T1, with the lowest concentration of coliform bacteria, and site T2 were the only ones where M. margaritifera was found. No E. coli isolates were found in this species and the pattern between water and mussels was similar. P. littoralis, which was present at T3/T4 sites, is the one that faces the highest concentration of bacterial toxins, which are found in treated wastewater effluents and around population centers. Sites T3/T4 have the isolates (water and mussels) with the highest resistance pattern, mainly to beta-lactams. Water and P. littoralis isolates (T3/T4) showed resistance to penicillins and their combination with clavulanic acid, and to cephalosporins, precisely to a fourth generation of cephalosporin antibiotics. The analysis provides important information on the risk to water systems, as well as the need to investigate possible management measures. It is suggested that future studies on the health status of freshwater bivalves should incorporate measures to indicate bacteriological water quality.</t>
  </si>
  <si>
    <t>[Saavedra, Maria Jose; Varandas, Simone] Univ Tros Os Montes &amp; Alto Douro, Inst Innovat Capac Bldg &amp; Sustainabil Agrifood Pr, Ctr Res &amp; Technol Agroenvironm &amp; Biol Sci, CITAB Inov4Agro, P-5000801 Vila Real, Portugal; [Saavedra, Maria Jose] Univ Porto, Interdisciplinary Ctr Marine &amp; Environm Res, CIMAR, CIIMAR, P-4450208 Matosinhos, Portugal; [Fernandes, Conceicao; Teixeira, Amilcar] PolytechnInst Braganca, ESA, Mt Res Ctr, CIMO, Campus Santa Apolonia, P-5300253 Braganca, Portugal; [Alvarez, Xana] Univ Vigo, Agroforestry Grp, Sch Forestry Engn, Pontevedra 36005, Spain; [Varandas, Simone] Univ Porto, Res Ctr Biodivers &amp; Genet Resources, InBIO, CIBIO, Campus Agr Vairao, Vairao, Portugal</t>
  </si>
  <si>
    <t>University of Tras-os-Montes &amp; Alto Douro; Universidade do Porto; Instituto Politecnico de Braganca; Universidade de Vigo; Universidade do Porto</t>
  </si>
  <si>
    <t>Alvarez, X (corresponding author), Univ Vigo, Agroforestry Grp, Sch Forestry Engn, Pontevedra 36005, Spain.</t>
  </si>
  <si>
    <t>saavedra@utad.pt; conceicao.fernandes@ipb.pt; amilt@ipb.pt; xaalvarez@uvigo.es; simonev@utad.pt</t>
  </si>
  <si>
    <t>Bermúdez, Xana/AAB-4079-2019; Saavedra, Maria José/K-6362-2013; Teixeira, Amilcar/E-9067-2012; Varandas, Simone/AAN-7277-2020</t>
  </si>
  <si>
    <t>Fernandes, Conceicao/0000-0003-2873-501X; Alvarez, Xana/0000-0002-0950-3080; Saavedra, Maria Jose/0000-0002-7492-4965; Teiga Teixeira, Amilcar Antonio/0000-0001-5336-1174</t>
  </si>
  <si>
    <t>10.1016/j.envpol.2021.118671</t>
  </si>
  <si>
    <t>ZP4KY</t>
  </si>
  <si>
    <t>WOS:000766394300007</t>
  </si>
  <si>
    <t>Drew, CA; Eddy, M; Kwak, TJ; Cope, WG; Augspurger, T</t>
  </si>
  <si>
    <t>Drew, C. Ashton; Eddy, Michele; Kwak, Thomas J.; Cope, W. Gregory; Augspurger, Tom</t>
  </si>
  <si>
    <t>Hydrologic characteristics of freshwater mussel habitat: novel insights from modeled flows</t>
  </si>
  <si>
    <t>FRESHWATER SCIENCE</t>
  </si>
  <si>
    <t>Unionidae; freshwater mussel; hydrology; Parvaspina steinstansana; endemic species; surrogate species; ordination; altered flow</t>
  </si>
  <si>
    <t>UPPER MISSISSIPPI RIVER; CLIMATE-CHANGE; UNITED-STATES; LAND-USE; SPECIES DISTRIBUTIONS; MICROHABITAT USE; UNIONID MUSSELS; INSTREAM FLOW; STREAM; BIVALVIA</t>
  </si>
  <si>
    <t>The ability to model freshwater stream habitat and species distributions is limited by the spatially sparse flow data available from long-term gauging stations. Flow data beyond the immediate vicinity of gauging stations would enhance our ability to explore and characterize hydrologic habitat suitability. The southeastern USA supports high aquatic biodiversity, but threats, such as landuse alteration, climate change, conflicting water-resource demands, and pollution, have led to the imperilment and legal protection of many species. The ability to distinguish suitable from unsuitable habitat conditions, including hydrologic suitability, is a key criterion for successful conservation and restoration of aquatic species. We used the example of the critically endangered Tar River Spinymussel (Parvaspina steinstansana) and associated species to demonstrate the value of modeled flow data (WaterFALL (TM)) to generate novel insights into population structure and testable hypotheses regarding hydrologic suitability. With ordination models, we: 1) identified all catchments with potentially suitable hydrology, 2) identified 2 distinct hydrologic environments occupied by the Tar River Spinymussel, and 3) estimated greater hydrological habitat niche breadth of assumed surrogate species associates at the catchment scale. Our findings provide the first demonstrated application of complete, continuous, regional modeled hydrologic data to freshwater mussel distribution and management. This research highlights the utility of modeling and data-mining methods to facilitate further exploration and application of such modeled environmental conditions to inform aquatic species management. We conclude that such an approach can support landscape-scale management decisions that require spatial information at fine resolution (e.g., enhanced National Hydrology Dataset catchments) and broad extent (e.g., multiple river basins).</t>
  </si>
  <si>
    <t>[Drew, C. Ashton] North Carolina State Univ, Dept Appl Ecol, North Carolina Cooperat Fish &amp; Wildlife Res Unit, Raleigh, NC 27695 USA; [Eddy, Michele] RTI Int, 3040 Cornwallis Rd, Res Triangle Pk, NC 27709 USA; [Kwak, Thomas J.] North Carolina State Univ, Dept Appl Ecol, North Carolina Cooperat Fish &amp; Wildlife Res Unit, US Geol Survey, Raleigh, NC 27695 USA; [Cope, W. Gregory] North Carolina State Univ, Dept Appl Ecol, Raleigh, NC 27695 USA; [Augspurger, Tom] US Fish &amp; Wildlife Serv, Ecol Serv, Raleigh Field Off, Raleigh, NC 27636 USA; [Drew, C. Ashton] KDV Decis Anal LLC, 1414 Links Dr, Morrisville, NC 27560 USA</t>
  </si>
  <si>
    <t>North Carolina State University; Research Triangle Institute; United States Department of the Interior; United States Geological Survey; North Carolina State University; North Carolina State University; United States Department of the Interior; US Fish &amp; Wildlife Service</t>
  </si>
  <si>
    <t>Drew, CA (corresponding author), North Carolina State Univ, Dept Appl Ecol, North Carolina Cooperat Fish &amp; Wildlife Res Unit, Raleigh, NC 27695 USA.;Drew, CA (corresponding author), KDV Decis Anal LLC, 1414 Links Dr, Morrisville, NC 27560 USA.</t>
  </si>
  <si>
    <t>ashton.drew@kdv-decisions.com; mceddy@rti.org; tkwak@ncsu.edu; gcope@ncsu.edu; tom_augspurger@fws.gov</t>
  </si>
  <si>
    <t>Kwak, Thomas/0000-0002-0616-137X; Cope, W. Gregory/0000-0003-2745-1939; Eddy, Michele/0000-0002-4740-9415</t>
  </si>
  <si>
    <t>US Fish and Wildlife Service (USFWS), South Atlantic Landscape Conservation [180]; North Carolina State University; North Carolina Wildlife Resources Commission; US Geological Survey; USFWS; Wildlife Management Institute</t>
  </si>
  <si>
    <t>US Fish and Wildlife Service (USFWS), South Atlantic Landscape Conservation; North Carolina State University; North Carolina Wildlife Resources Commission; US Geological Survey(United States Geological Survey); USFWS(US Fish &amp; Wildlife Service); Wildlife Management Institute</t>
  </si>
  <si>
    <t>This research was funded by the US Fish and Wildlife Service (USFWS), South Atlantic Landscape Conservation Cooperative through a grant to the North Carolina Cooperative Fish and Wildlife Research Unit as Research Work Order 180. Rob Nichols provided the state mussel survey data. Rua Mordecai, Pete Benjamin, Wendy Moore, Joe Pittman, and the late Kenneth McDermond assisted with grant administration. Robert Bringolf and Colin Shea provided constructive reviews of early manuscript drafts. The North Carolina Cooperative Fish and Wildlife Research Unit is jointly supported by North Carolina State University, North Carolina Wildlife Resources Commission, US Geological Survey, USFWS, and Wildlife Management Institute. Any use of trade, firm, or product names is for descriptive purposes only and does not imply endorsement by the US Government. The findings and conclusions in this report are those of the authors and do not necessarily represent the views of the USFWS.</t>
  </si>
  <si>
    <t>UNIV CHICAGO PRESS</t>
  </si>
  <si>
    <t>CHICAGO</t>
  </si>
  <si>
    <t>1427 E 60TH ST, CHICAGO, IL 60637-2954 USA</t>
  </si>
  <si>
    <t>2161-9549</t>
  </si>
  <si>
    <t>2161-9565</t>
  </si>
  <si>
    <t>FRESHW SCI</t>
  </si>
  <si>
    <t>Freshw. Sci.</t>
  </si>
  <si>
    <t>10.1086/697947</t>
  </si>
  <si>
    <t>GF8VS</t>
  </si>
  <si>
    <t>WOS:000432253900013</t>
  </si>
  <si>
    <t>Manduzio, H; Monsinjon, T; Galap, C; Leboulenger, F; Rocher, W</t>
  </si>
  <si>
    <t>Seasonal variations in antioxidant defences in blue mussels Mytilus edulis collected from a polluted area:: major contributions in gills of an inducible isoform of Cu/Zn-superoxide dismutase and of glutathione S-transferase</t>
  </si>
  <si>
    <t>antioxidant enzymes; superoxide dismutase isoform; glutathione S-transferase; blue mussel; seasonality</t>
  </si>
  <si>
    <t>CHLORINATION BY-PRODUCTS; OXIDATIVE MODIFICATION; PEROXIDASE; BIOMARKERS; WATER</t>
  </si>
  <si>
    <t>In the present work, we investigated in the blue mussel (Mytilus edulis) the seasonal variations in the activity of several enzymes, which participate in the cellular defence system that is involved in the adaptive response of organisms to pollution. The activity levels of glutathione S-transferase, glutathione peroxidase, glutathione reductase and three isoforms of Cu/Zn-superoxide dismutase in gills and digestive glands of this bivalve species were used as biomarkers. Adult wild mussels were collected in Le Havre harbour (north-west coast of France) from four sites with different environmental conditions. Measurements of enzymatic activities were performed on tissue homogenates except for Cu/Zn-superoxide dismutase for which the activity of each isoform was detected on gel after isoelectric focusing. Seasonal variations in antioxidant enzyme activities were observed, characterized by low activity levels during winter, a period where oxidative stress is known to be high in bivalves. A clear-cut discrepancy between tissues was noted concerning inter-individual variability of data, which was low in gills but high in digestive gland, leading to the conclusion that gills could preferentially be used in biomonitoring studies dealing with oxidative stress in the blue mussel. As compared to animals from the reference site, mussels from the most polluted sites exhibited changes in the Cu/Znsuperoxide dismutase pattern characterized by an increase in the activity of the more acidic isoform without significant variation of the total activity of the enzyme. The most striking data were recorded in mussels collected at the outlet of a thermoelectric power plant. When compared to animals from the reference site, not only their gills showed a highly significant induction of the most acidic isoform of the Cu/Zn-superoxide dismutase (+340%, P &lt; 0.001) but also high levels of glutathione S-transferase activity (+269%, P &lt; 0.001). This study points out the usefulness of Cu/Zn-superoxide dismutase expression pattern as a biomarker of exposure to environmental stress rather than measurement of total activity of the enzyme, in field studies using Mytilus edulis.</t>
  </si>
  <si>
    <t>Univ Le Harve, Lab Ecotoxicol, LEMA, UPRES EA 3222,IFRMP 23,UFR Sci &amp; Tech, F-76058 Le Havre, France</t>
  </si>
  <si>
    <t>Universite de Reims Champagne-Ardenne</t>
  </si>
  <si>
    <t>Univ Le Harve, Lab Ecotoxicol, LEMA, UPRES EA 3222,IFRMP 23,UFR Sci &amp; Tech, 25 Rue Philippe Lebon BP 540, F-76058 Le Havre, France.</t>
  </si>
  <si>
    <t>helene.manduzio@univ-lehavre.fr</t>
  </si>
  <si>
    <t>monsinjon, Tiphaine/0000-0001-6959-5522</t>
  </si>
  <si>
    <t>10.1016/j.aquatox.2004.07.003</t>
  </si>
  <si>
    <t>862RN</t>
  </si>
  <si>
    <t>WOS:000224508700007</t>
  </si>
  <si>
    <t>Yin, QJ; Wang, WX</t>
  </si>
  <si>
    <t>Yin, Qijun; Wang, Wen-Xiong</t>
  </si>
  <si>
    <t>Multiple trace element accumulation in the mussel Septifer virgatus: Counteracting effects of salinity on uptake and elimination</t>
  </si>
  <si>
    <t>Salinity; Bioaccumulation; Uptake; Elimination; Trace elements; Mussels</t>
  </si>
  <si>
    <t>PERNA-VIRIDIS; MARINE MUSSELS; NICKEL ACCUMULATION; BIVALVE MOLLUSKS; MYTILUS-EDULIS; MAJOR CATIONS; METAL; ZN; CD; OYSTER</t>
  </si>
  <si>
    <t>Salinity effects on the bioaccumulation and biokinetic processes of eight trace elements (Cu, Cr, Pb, Ni, Zn, Cd, Se, and As) in the black mussel Septifer virgatus were explored in the present study. A 6-week laboratory waterborne exposure first showed that salinity (15, 20, 25, and 30) had relatively weak or even no significant influence on trace element accumulation in the black mussels. Biokinetics including uptake and efflux was then quantified in the mussels at different salinities. Uptake rates of Ni and Zn were negatively correlated with the salinity, while the uptake of Cd was not significantly influenced by salinity. The efflux rates of Ni and Zn also exhibited an inverse relationship with salinity, whereas the case of Cd was on the contrary. Biokinetic modeling showed that the salinity effects on uptake and elimination of Ni and Zn counteracted with each other, thus weakening the combined effects on accumulation. Overall, the response of uptake to salinity could weakened, removed, or even overturned by elimination, depending on the relative magnitude of the change of the two processes. The combined effects of uptake and elimination further led to negative, no, or positive relationship between trace element accumulation and salinity. (C) 2018 Elsevier Ltd. All rights reserved.</t>
  </si>
  <si>
    <t>[Yin, Qijun; Wang, Wen-Xiong] HKUST Shenzhen Res Inst, Marine Environm Lab, Shenzhen 518057, Peoples R China; [Yin, Qijun; Wang, Wen-Xiong] Hong Kong Univ Sci &amp; Technol, Dept Ocean Sci, Hong Kong, Hong Kong, Peoples R China</t>
  </si>
  <si>
    <t>Wang, WX (corresponding author), HKUST Shenzhen Res Inst, Marine Environm Lab, Shenzhen 518057, Peoples R China.</t>
  </si>
  <si>
    <t>10.1016/j.envpol.2018.06.101</t>
  </si>
  <si>
    <t>GV5NX</t>
  </si>
  <si>
    <t>WOS:000446150300041</t>
  </si>
  <si>
    <t>Yang, YY; Pan, LQ; Zhou, YY; Xu, RY; Miao, JJ; Gao, ZY; Li, DY</t>
  </si>
  <si>
    <t>Yang, Yingying; Pan, Luqing; Zhou, Yueyao; Xu, Ruiyi; Miao, Jingjing; Gao, Zhongyuan; Li, Dongyu</t>
  </si>
  <si>
    <t>Damages to biological macromolecules in gonadal subcellular fractions of scallop Chlamys farreri following benzo[a]pyrene exposure: Contribution to inhibiting gonadal development and reducing fertility*</t>
  </si>
  <si>
    <t>Benzo[a]pyrene; Chlamys farreri; Gonadal subcellular fractions; Macromolecular damages; Reproductive toxicity</t>
  </si>
  <si>
    <t>POLYCYCLIC AROMATIC-HYDROCARBONS; OYSTER SACCOSTREA-CUCULLATA; INDUCED OXIDATIVE STRESS; PERCH PERCA-FLAVESCENS; DNA-DAMAGE; LIPID-PEROXIDATION; STRAND BREAKS; ENDOPLASMIC-RETICULUM; DIGESTIVE GLAND; RISK-ASSESSMENT</t>
  </si>
  <si>
    <t>Benzo[a]pyrene (B[a]P), a representative polycyclic aromatic hydrocarbon (PAH) compound in marine ecosystem, has great potential for chronic toxicity to marine animals. It is becoming increasingly apparent that reproductive system is the major target of B[a]P, but the adverse effects of B[a]P on sub cellular fractions in bivalve gonads have not been elucidated. Scallops Chlamys farreri are used as the experimental species since they are sensitive to environmental pollutants. This study was conducted to investigate how B[a]P affected the gonadal subcellular fractions, including plasma membrane, nucleus, mitochondria and microsome in scallops, and whether subcellular damages were related to reproductive toxicity. The results showed that mature gametes' counts were significantly decreased in B[a]P-treated scallops. Three biological macromolecules (viz., DNA, lipids and proteins) in gonadal subcellular fractions obtained by differential centrifugation suffered damages, including DNA damage, lipid peroxidation and protein carbonylation in B[a]P treatment groups. Interestingly, mitochondria and microsome were more vulnerable to lipid peroxidation and protein carbonylation than plasma membrane and nucleus, meanwhile males were more susceptible to DNA damage than females under B[a]P exposure. In addition, histological analysis showed that B[a]P delayed gonadal development in C. farreri. To summarize, our results indicated that B[a]P caused damages to biological macromolecules in gonadal subcellular fractions and then induced damages to gonadal tissues of C. farreri, which further inhibited gonadal development and ultimately leaded to reduction in fertility. This study firstly reports the impacts of PAHs on subcellular fractions in bivalves and their relationship with reproductive toxicity. Moreover, exposure of reproductive scallops to B[a]P leads to defects in reproduction, raising concerns on the possible longterm consequences of PAHs for natural populations of bivalves. (c) 2021 Elsevier Ltd. All rights reserved.</t>
  </si>
  <si>
    <t>[Yang, Yingying; Pan, Luqing; Zhou, Yueyao; Xu, Ruiyi; Miao, Jingjing; Gao, Zhongyuan; Li, Dongyu] Ocean Univ China, Key Lab Mariculture, Minist Educ, Qingdao 266003, Peoples R China</t>
  </si>
  <si>
    <t>Pan, LQ (corresponding author), Ocean Univ China, Fisheries Coll, Yushan Rd 5, Qingdao 266003, Peoples R China.</t>
  </si>
  <si>
    <t>Yang, Yingying/ABB-3961-2020</t>
  </si>
  <si>
    <t>Gao, Zhongyuan/0000-0002-1421-7572</t>
  </si>
  <si>
    <t>Key Research and Development Program of Shandong Province [2018GHY115007]</t>
  </si>
  <si>
    <t>Key Research and Development Program of Shandong Province</t>
  </si>
  <si>
    <t>The authors declare that they have no known competing financial interests or personal relationships that could have appeared to influence the work reported in this paper. This work was supported by the Key Research and Development Program of Shandong Province (2018GHY115007) . We thank the staff of the Laboratory of Physiology for the help with the exposure and scallops sampling.</t>
  </si>
  <si>
    <t>10.1016/j.envpol.2021.117084</t>
  </si>
  <si>
    <t>SU4TC</t>
  </si>
  <si>
    <t>WOS:000663131000002</t>
  </si>
  <si>
    <t>Lombard, NJ; Bokare, M; Harrison, R; Yonkos, L; Pinkney, A; Murali, D; Ghosh, U</t>
  </si>
  <si>
    <t>Lombard, Nathalie J.; Bokare, Mandar; Harrison, Rachel; Yonkos, Lance; Pinkney, Alfred; Murali, Dev; Ghosh, Upal</t>
  </si>
  <si>
    <t>Codeployment of Passive Samplers and Mussels Reveals Major Source of Ongoing PCB Inputs to the Anacostia River in Washington, DC</t>
  </si>
  <si>
    <t>passive sampling; bioaccumulation; source identification; PCB; freshwater mussel; Elliptio</t>
  </si>
  <si>
    <t>FRESH-WATER MUSSEL; HYDROPHOBIC ORGANIC CONTAMINANTS; PERFORMANCE REFERENCE COMPOUNDS; ACTIVATED CARBON AMENDMENT; PARTITION-COEFFICIENTS; ELLIPTIO-COMPLANATA; FOOD-WEB; SEDIMENTS; BIOAVAILABILITY; BIOACCUMULATION</t>
  </si>
  <si>
    <t>Remedial investigations of sites contaminated with legacy pollutants like polychlorinated biphenyls (PCBs) have traditionally focused on mapping sediment contamination to develop a site conceptual model and select remedy options. Ignoring dissolved concentrations that drive transport and bioaccumulation often leads to an incomplete assessment of ongoing inputs to the water column and overestimation of potential effectiveness of sediment remediation. Here, we demonstrate the utility of codeployment of passive equilibrium samplers and freshwater mussels as dual lines of evidence to identify ongoing sources of PCBs from eight main tributaries of the Anacostia River in Washington, DC, that has been historically polluted from industrial and other human activities. The freely dissolved PCB concentrations measured using passive samplers tracked well with the accumulation in mussels and allowed predictions of biouptake within a factor of 2 for total PCBs and a factor of 4 for most congeners. One tributary was identified as the primary source of PCBs to the water column and became a focus of additional ongoing investigations. Codeployment of passive samplers and mussels provides strong lines of evidence to refine site conceptual models and identify ongoing sources critical to control to achieve river water quality standards and reduce bioaccumulation in the aquatic food web.</t>
  </si>
  <si>
    <t>[Lombard, Nathalie J.; Bokare, Mandar; Ghosh, Upal] Univ Maryland Baltimore Cty, Dept Chem Biochem &amp; Environm Engn, Baltimore, MD 21250 USA; [Harrison, Rachel; Yonkos, Lance] Univ Maryland, Dept Environm Sci &amp; Technol, College Pk, MD 20740 USA; [Pinkney, Alfred] US Fish &amp; Wildlife Serv, Chesapeake Bay Field Off, Annapolis, MD 21401 USA; [Murali, Dev] Dist Columbia Dept Energy &amp; Environm, Washington, DC 20002 USA</t>
  </si>
  <si>
    <t>University System of Maryland; University of Maryland Baltimore County; University System of Maryland; University of Maryland College Park; United States Department of the Interior; US Fish &amp; Wildlife Service</t>
  </si>
  <si>
    <t>Ghosh, U (corresponding author), Univ Maryland Baltimore Cty, Dept Chem Biochem &amp; Environm Engn, Baltimore, MD 21250 USA.</t>
  </si>
  <si>
    <t>ughosh@umbc.edu</t>
  </si>
  <si>
    <t>JAN 24</t>
  </si>
  <si>
    <t>10.1021/acs.est.2c06646</t>
  </si>
  <si>
    <t>E2SR7</t>
  </si>
  <si>
    <t>WOS:000913365500001</t>
  </si>
  <si>
    <t>Evensen, KG; Figueroas, AE; Goncalves, AM; Chan, TJ; Vu, EB; Hounain, I; Poynton, HC</t>
  </si>
  <si>
    <t>Evensen, K. Garrett; Figueroas, Alexandra E.; Goncalves, Alyssa M.; Chan, Tiffany J.; Vu, Emily B.; Hounain, Isaac; Poynton, Helen C.</t>
  </si>
  <si>
    <t>Prevalence and effects of a parasitic trematode on the blue mussel, Mytilus edulis, in the Boston Harbor</t>
  </si>
  <si>
    <t>EXPERIMENTAL PARASITOLOGY</t>
  </si>
  <si>
    <t>Blue mussel decline; Trematode; Gonadal development; Heat shock proteins; Hemolymph; Proctoeces maculatus</t>
  </si>
  <si>
    <t>PROCTOECES-MACULATUS LOOSS; LIFE-CYCLE STAGES; PROSORHYNCHUS-SQUAMATUS; DIGENETIC TREMATODE; TEMPERATURE; CASTRATION; GROWTH; L.; FELLODISTOMIDAE; INFECTION</t>
  </si>
  <si>
    <t>The blue mussel, Mytilus edulis, is a keystone species in the North Atlantic that plays critical roles in nutrient cycling, water filtration, and habitat creation. Blue mussel populations have declined significantly throughout the North Atlantic due to various factors, including habitat loss, pollution, increasing water temperature, and parasites. One parasite is Proctoeces maculatus, a digenetic trematode, which uses M. edulis as an intermediate host. This parasite causes reduced growth, castration, and death in mussels. The range of P. maculatus has expanded northward from Cape Cod, MA to Maine which may be associated with rising temperatures in the Gulf of Maine. To evaluate the negative impacts of P. maculatus on mussels, we analyzed its infections in M. edulis throughout the Boston Harbor, MA. P. maculatus was present in every population and time point analyzed, with approximately 50% of mussels in the harbor infected. The parasite reduced gonadal development in infected mussels, which could lead to decreased fecundity. Severe P. maculatus infections induced a stress response, indicated by increased HSP70 expression. We developed a non-destructive hemolymph-based assay to determine if mussels are infected with P. maculatus, thus speeding up the evaluation process and eliminating the need to sacrifice individuals. With P. maculatus' continued expansion northward, more mussel populations will be under threat from this parasite.</t>
  </si>
  <si>
    <t>[Evensen, K. Garrett; Figueroas, Alexandra E.; Goncalves, Alyssa M.; Chan, Tiffany J.; Vu, Emily B.; Hounain, Isaac; Poynton, Helen C.] Univ Massachusetts Boston, 100 Morrissey Blvd, Boston, MA 02125 USA</t>
  </si>
  <si>
    <t>Poynton, HC (corresponding author), Univ Massachusetts Boston, 100 Morrissey Blvd, Boston, MA 02125 USA.</t>
  </si>
  <si>
    <t>K.evensen001@umb.edu; A.Figueroa001@umb.edu; Alyssa.Goncalves@umb.edu; tchan0378@gmail.com; emilybtvu@gmail.com; Isaac.Hounain001@umb.edu; Helen.poynton@umb.edu</t>
  </si>
  <si>
    <t>US National Science Foundation; [OCE-1950074]; [IOS-2122449]</t>
  </si>
  <si>
    <t>US National Science Foundation(National Science Foundation (NSF)); ;</t>
  </si>
  <si>
    <t>This work was supported by the US National Science Foundation grants OCE-1950074 and IOS-2122449 to HCP. We would like to acknowledge Dr. William Robinson whose preliminary studies contributed to the development of the hemolymph assay. We would also like to thank Mr. Hudson Filas for assistance with mussel collection in the Boston Harbor Islands.</t>
  </si>
  <si>
    <t>0014-4894</t>
  </si>
  <si>
    <t>1090-2449</t>
  </si>
  <si>
    <t>EXP PARASITOL</t>
  </si>
  <si>
    <t>Exp. Parasitol.</t>
  </si>
  <si>
    <t>10.1016/j.exppara.2023.108624</t>
  </si>
  <si>
    <t>U8OG8</t>
  </si>
  <si>
    <t>WOS:001087334900001</t>
  </si>
  <si>
    <t>Malécot, M; Guével, B; Pineau, C; Holbech, BF; Bormans, M; Wiegand, C</t>
  </si>
  <si>
    <t>Malecot, Melodie; Guevel, Blandine; Pineau, Charles; Holbech, Bente Frost; Bormans, Myriam; Wiegand, Claudia</t>
  </si>
  <si>
    <t>Specific Proteomic Response of Unio pictorum Mussel to a Mixture of Glyphosate and Microcystin-LR</t>
  </si>
  <si>
    <t>JOURNAL OF PROTEOME RESEARCH</t>
  </si>
  <si>
    <t>DIGE; cyanobacteria; Roundup; proteomics; bivalve; Unionid</t>
  </si>
  <si>
    <t>DIFFERENTIAL PROTEIN EXPRESSION; CYANOBACTERIAL TOXINS; OXIDATIVE STRESS; LIPID-PEROXIDATION; ORIGINAL FORMULATION; PRIORITY POLLUTANTS; CORBICULA-FLUMINEA; HERBICIDE AFFECTS; ACUTE EXPOSURE; WATER</t>
  </si>
  <si>
    <t>Cyanobacterial toxins and pesticides regularly impact fresh-waters. Microcystin-LR is one of the most toxic and common cyanobacterial toxins whereas glyphosate is the active ingredient of a widely use herbicide. As filter feeders, freshwater mussels are particularly exposed. Like many native bivalve species, Unio pictorum suffers from a continuous decline in Europe. In order to get a deeper insight of its response to contaminants, U. pictorum was exposed to either 10 mu g L-1 of microcystin-LR or 10 mu g L-1 of glyphosate or a mixture of both. Proteins of the digestive glands were extracted and analyzed by DIGE. Gel analysis revealed 103 spots with statistical variations, and the response seems to be less toward glyphosate than to microcystin-LR. Specific spots have variations only when exposed to the mixture, showing that there is an interaction of both contaminants in the responses triggered. The proteins of 30 spots have been identified. They belong mostly to the cytoskeleton family, but proteins of the oxidative pathway, detoxification, and energetic metabolism were affected either by glyphosate or microcystin-LR or by the mixture. These results demonstrate the importance to study contaminants at low concentrations representative of those found in the field and that multicontaminations can lead to different response pathways.</t>
  </si>
  <si>
    <t>[Malecot, Melodie; Wiegand, Claudia] Univ Europeenne Bretagne, F-35000 Rennes, France; [Malecot, Melodie; Bormans, Myriam; Wiegand, Claudia] Univ Rennes 1, CNRS, UMR Ecobio 6553, F-35042 Rennes, France; [Guevel, Blandine; Pineau, Charles] Inserm U1085, Prote Core Facil Biogenouest, IRSET, F-35042 Rennes, France; [Holbech, Bente Frost; Wiegand, Claudia] Univ So Denmark, Dept Biol, DK-5230 Odense M, Denmark</t>
  </si>
  <si>
    <t>Universite de Bretagne Occidentale; Centre National de la Recherche Scientifique (CNRS); CNRS - Institute of Ecology &amp; Environment (INEE); Universite de Rennes; Universite de Rennes; Institut National de la Sante et de la Recherche Medicale (Inserm); University of Southern Denmark</t>
  </si>
  <si>
    <t>Wiegand, C (corresponding author), Univ Europeenne Bretagne, 5 Blvd Laennec, F-35000 Rennes, France.</t>
  </si>
  <si>
    <t>wiegand@biology.sdu.dk</t>
  </si>
  <si>
    <t>Guével, Blandine/B-7076-2012; Pineau, Charles/D-9185-2013</t>
  </si>
  <si>
    <t>GUEVEL, Blandine/0000-0002-4592-603X; Bormans, Myriam/0000-0002-4755-6327; Pineau, Charles/0000-0002-7461-5433</t>
  </si>
  <si>
    <t>European University of Brittany (UEB), Rennes, France</t>
  </si>
  <si>
    <t>This study was financed by the European University of Brittany (UEB), Rennes, France. We thank Emmanuelle Corn (Proteomic Core Facility Biogenouest) for advice and technical assistance.</t>
  </si>
  <si>
    <t>1535-3893</t>
  </si>
  <si>
    <t>1535-3907</t>
  </si>
  <si>
    <t>J PROTEOME RES</t>
  </si>
  <si>
    <t>J. Proteome Res.</t>
  </si>
  <si>
    <t>10.1021/pr4006316</t>
  </si>
  <si>
    <t>247JZ</t>
  </si>
  <si>
    <t>WOS:000326615000049</t>
  </si>
  <si>
    <t>Thai, GP; Thi, LD; Kieu, LVT; Minh, NNT; Thi, TP; Tran, HT; Seong, JD; Kyungmin, H</t>
  </si>
  <si>
    <t>Pham Thai, Giang; Dang Thi, Lua; Vu Thi Kieu, Loan; Nguyen Thi Minh, Nguyet; Pham Thi, Thanh; Tong Tran, Huy; Dae Seong, Jeong; Kyungmin, Han</t>
  </si>
  <si>
    <t>Potential risks of climate change and tropical storms on ecosystem and clams culture activities in Giao Thuy, Nam Dinh, Vietnam</t>
  </si>
  <si>
    <t>Climate change; storm; ecological; aquaculture; clams</t>
  </si>
  <si>
    <t>WATER-QUALITY; MYA-ARENARIA; SUSPENDED PARTICLES; HURRICANE IMPACTS; PH; TURBIDITY; RESPONSES; PACIFIC; OYSTER</t>
  </si>
  <si>
    <t>Ecosystem and aquaculture in estuary areas are sensitive to climate change and severe climatic events. In this study, three environmental monitoring events were carried out on a 1800-ha clam culture area in Giao Thuy district, Nam Dinh province, Vietnam. The first monitoring was carried out in fair weather. The second and 3rd monitorings were conducted two days after the Ma On and Noru storms, respectively. The variation of water and sediment physicochemical variables, zoobenthos and plankton composition and density, and clam pathogen were investigated at five locations. In addition, long-term variations of temperature, rainfall, and sunshine duration in the area were investigated. The results illustrated the increased temperature, rainfall, and sunshine duration tendency. The clam-cultured species and activities had substantially changed. Ma On and Noru negatively impacted water quality by decreasing the water quality index by 39% and 30%, respectively. Storms decreased water salinity, alkalinity, and sediment's phosphorus, iron, lead. However, they increased water's nitrite, phosphorus, total suspended solid, phytoplankton, zooplankton density, and sediment's total nitrogen, cadimium. The total Vibrio spp. density in clam highly fluctuated between the two storm events. The effect of storm varied according to site location. Shallow and domestic wastewater adjacent sites suffered high risks of extreme temperature, salinity variation, and organic pollution.</t>
  </si>
  <si>
    <t>[Pham Thai, Giang; Dang Thi, Lua; Vu Thi Kieu, Loan; Nguyen Thi Minh, Nguyet; Pham Thi, Thanh; Tong Tran, Huy] Res Inst Aquaculture 1, Tu Son, Bac Ninh, Vietnam; [Dae Seong, Jeong] Pukyong Natl Univ, Inst Fisheries Sci, Busan, South Korea; [Kyungmin, Han] Hyundae Asan Cooperat, Seoul, South Korea</t>
  </si>
  <si>
    <t>Pukyong National University</t>
  </si>
  <si>
    <t>Thai, GP (corresponding author), Res Inst Aquaculture 1, Tu Son, Bac Ninh, Vietnam.</t>
  </si>
  <si>
    <t>National Institute of Fisheries Science (NIFS), Korea; National Institute of Fisheries Science (NIFS), Korea</t>
  </si>
  <si>
    <t>This research is supported by National Institute of Fisheries Science (NIFS), Korea, under The International Cooperation program.</t>
  </si>
  <si>
    <t>APR 21</t>
  </si>
  <si>
    <t>10.1080/10807039.2023.2194998</t>
  </si>
  <si>
    <t>AL7G3</t>
  </si>
  <si>
    <t>WOS:000963815800001</t>
  </si>
  <si>
    <t>Seoane, M; Cid, A; Herrero, C; Esperanza, M</t>
  </si>
  <si>
    <t>Seoane, Marta; Cid, Angeles; Herrero, Concepcion; Esperanza, Marta</t>
  </si>
  <si>
    <t>Comparative acute toxicity of benzophenone derivatives and bisphenol analogues in the Asian clam Corbicula fluminea</t>
  </si>
  <si>
    <t>Clam; Bisphenols; Benzophenones; Filtration rates; Biomarkers</t>
  </si>
  <si>
    <t>ORGANIC UV-FILTERS; WASTE-WATER TREATMENT; PERSONAL CARE PRODUCTS; ZEBRAFISH DANIO-RERIO; FRESH-WATER; OXIDATIVE STRESS; LIQUID-CHROMATOGRAPHY; MYTILUS-GALLOPROVINCIALIS; EMERGING CONTAMINANTS; HUMAN EXPOSURE</t>
  </si>
  <si>
    <t>Among UV-filters, benzophenones are one of the most abundantly used and detected groups in the environment. Bisphenols are also one of the most widely used chemicals in plastics, but their demonstrated deleterious effects on several organisms and humans have led to the production of alternative analogues. However, few comparative studies on the ecotoxicological effects of these derivatives or analogues have been carried out. The present study aimed to investigate the effects of two benzophenones (BP-3 and BP-4) and two bisphenols (BPA and BPS) in a short-term exposure of the freshwater endobenthic bivalve Corbicula fluminea. Clams were exposed for 96 h to several concentrations of the four pollutants: BP-3 (0.63; 1.25; 2.5; 5 mg l(-1)), BP-4 (4.75; 9.5; 19; 38 mg l(-1)), BPA (3.75; 7.5; 15; 30 mg l(-1)), and BPS (2.5; 5; 10; 20 mg l(-1)). The comparative acute toxicity of these pollutants was evaluated by the analysis of the post-exposure filtering capacity of clams, lipid peroxidation (LP) levels and the activity of the antioxidant enzymes catalase (CAT) and glutathione reductase (GR). After the exposure period, except for BP-4, the chemicals tested seemed to be detected by clams and provoked valve closure, decreasing filter-feeding in a concentration-dependent manner. Furthermore, C. fluminea exposed to the highest concentrations of BP-3, BP-4 and BPA showed a significant increase in LP, CAT and GR activities with respect to their controls. BP-3 and BPA were the most toxic compounds showing significant differences in all the parameters analysed at the highest concentrations assayed. However, clams exposed to BPS showed only significant alterations in filtration parameters and in GR activity, in the two highest concentrations tested, indicating that this compound was the least toxic to clams. Obtained results highlight the importance of investigating the effects that emerging pollutants have on aquatic organisms.</t>
  </si>
  <si>
    <t>[Seoane, Marta; Cid, Angeles; Herrero, Concepcion; Esperanza, Marta] Univ A Coruna, Fac Ciencias, Lab Microbiol, Campus Zapateira S-N, La Coruna 15071, Spain</t>
  </si>
  <si>
    <t>Universidade da Coruna</t>
  </si>
  <si>
    <t>Esperanza, M (corresponding author), Univ A Coruna, Fac Ciencias, Lab Microbiol, Campus Zapateira S-N, La Coruna 15071, Spain.</t>
  </si>
  <si>
    <t>marta.esperanza@udc.es</t>
  </si>
  <si>
    <t>Esperanza, Marta/F-8657-2016; Cid, Angeles/I-9167-2014; Seoane, Marta/H-3974-2016; Herrero, Concepcion/I-5536-2014</t>
  </si>
  <si>
    <t>Esperanza, Marta/0000-0003-3974-5344; Cid, Angeles/0000-0002-0111-2122; Seoane, Marta/0000-0001-5752-5041; Herrero, Concepcion/0000-0003-1911-6786</t>
  </si>
  <si>
    <t>Spanish Ministerio de Economia, Industria y Competitividad [CTM2017- 88668-R]</t>
  </si>
  <si>
    <t>Spanish Ministerio de Economia, Industria y Competitividad(Spanish Government)</t>
  </si>
  <si>
    <t>This work was carried out with the financial support of the Spanish Ministerio de Economia, Industria y Competitividad (CTM2017- 88668-R).</t>
  </si>
  <si>
    <t>10.1007/s10646-020-02299-w</t>
  </si>
  <si>
    <t>PW2YK</t>
  </si>
  <si>
    <t>WOS:000587280000001</t>
  </si>
  <si>
    <t>Salmond, NH; Wing, SR</t>
  </si>
  <si>
    <t>Salmond, Nichola H.; Wing, Stephen R.</t>
  </si>
  <si>
    <t>Sub-lethal and lethal effects of chronic ammonia exposure and hypoxia on a New Zealand bivalve</t>
  </si>
  <si>
    <t>Multiple stressors; Hypoxia; Nutrient pollution; Bivalve; Chronic stress; Eutrophication</t>
  </si>
  <si>
    <t>DISSIMILATORY NITRATE REDUCTION; CHIONE-STUTCHBURYI BIVALVIA; CLAM CORBICULA-FLUMINEA; MUSSEL MYTILUS-EDULIS; FRESH-WATER; BENTHIC MACROFAUNA; NITROGEN-EXCRETION; MARINE ECOSYSTEMS; ORGANIC-MATTER; MASS MORTALITY</t>
  </si>
  <si>
    <t>Eutrophication-induced hypoxia is among the most widespread anthropogenically deleterious environmental issues occurring globally in coastal marine environments, contributing to a suite of major stressors on marine organisms. Changes to biogeochemical processes and loss of biodiversity and ecosystem function are symptoms of stressors on aerobic organisms, particularly in estuaries. The response of a species to a single stressor is often very different when compared to exposure in a multiple stressor environment. Using an experimental approach, we tested the sub-lethal and lethal effects of hypoxia and chronic nutrient enrichment on the critical estuarine bivalve Austrovenus stutchburyi. Findings of the present study highlight the cumulative mortality of A. stutchburyi nearly doubled when exposed to elevated ammonia when it was combined with elevated hypoxic stress. A positive feedback loop is hypothesized to explain the result, whereby A. stutchburyi stressed by low oxygen produce and excrete more ammonia waste, increasing their risk of mortality and subsequent lethal ammonia concentrations. Water samples taken across the 45-day experiment support the hypothesis, with ammonia concentrations differing between treatments with bivalves in hypoxic treatments producing more ammonia than normoxic treatments. Siphon activity and respiration rate responses to hypoxic stress also demonstrated the importance of hypoxia as a primary driver of stress responses by A. stutchburyi. These findings highlight the threats to estuarine ecosystems with bivalve populations, whereby, extensive degradation of algal mats results in increased oxygen consumption from microbial respiration, which leads to hypoxia and shallowing of the oxygenated layer. Consequently, chemical reduction in sediments can be associated with an efflux of ammonium into the water column. The experimental results presented here on interactions between stressors highlights the substantial detrimental implications for bivalve populations and subsequent ecosystem functions given increased prevalence of warming and eutrophication in estuaries and coastal environments.</t>
  </si>
  <si>
    <t>[Salmond, Nichola H.; Wing, Stephen R.] Univ Otago, Dept Marine Sci, POB 56, Dunedin 9054, New Zealand</t>
  </si>
  <si>
    <t>University of Otago</t>
  </si>
  <si>
    <t>Salmond, NH (corresponding author), Univ Otago, Dept Marine Sci, POB 56, Dunedin 9054, New Zealand.</t>
  </si>
  <si>
    <t>nichola.salmond@niwa.co.nz; steve.wing@otago.ac.nz</t>
  </si>
  <si>
    <t>National Science Challenge: Sustainable Seas project 4.1.1 Ecosystem Connectivity; University of Otago's Research Committee</t>
  </si>
  <si>
    <t>We thank the technical staff at Portobello Marine Laboratory for assistance with implementation of the experimental set up. Monetary support was provided by grants from the National Science Challenge: Sustainable Seas project 4.1.1 Ecosystem Connectivity and the University of Otago's Research Committee (SRW). The authors have no conflicts of interest to declare.</t>
  </si>
  <si>
    <t>10.1016/j.jembe.2022.151696</t>
  </si>
  <si>
    <t>0V1ZX</t>
  </si>
  <si>
    <t>WOS:000788144600001</t>
  </si>
  <si>
    <t>Pereira, SM; Fernández-Tajes, J; Rábade, T; Flórez-Barrós, F; Laffon, B; Méndez, J</t>
  </si>
  <si>
    <t>Pereira, Sandra M.; Fernandez-Tajes, Juan; Rabade, Tamara; Florez-Barros, Fernanda; Laffon, Blanca; Mendez, Josefina</t>
  </si>
  <si>
    <t>COMPARISON BETWEEN TWO BIVALVE SPECIES AS TOOLS FOR THE ASSESSMENT OF POLLUTION LEVELS IN AN ESTUARIAN ENVIRONMENT</t>
  </si>
  <si>
    <t>POLYCYCLIC AROMATIC-HYDROCARBONS; MUSSELS MYTILUS-GALLOPROVINCIALIS; COASTAL MARINE-SEDIMENTS; DNA-DAMAGE; CHRONIC EXPOSURE; HEAVY-METALS; COMET ASSAY; OIL-SPILL; PAHS; SEA</t>
  </si>
  <si>
    <t>Estuaries are semi-enclosed marine areas with water short residence times. Estuary ecosystems show a higher susceptibility to contamination, as historically these sites are linked to urban and industrial development. Polycyclic aromatic hydrocarbons (PAH) are ubiquitous contaminants present in high quantities in these marine environments. Chemical analyses of sediments provides information regarding PAH pollution levels but not a direct measure of the toxicological effects attributed to these contaminants. Samples of sediments and of two bivalve species, Cerastoderma edule and Mytilus galloprovincialis, were collected from two locations (Corcubion and A Concha) in an estuary from northwestern Spain. The PAH levels in sediment and bivalve species and possible sources were determined. A moderate level and a low level of pyrogenic PAH contamination were observed in Corcubion and in A Concha, respectively. Genotoxic damage was evaluated in gills and hemocytes from mussels and cockles by means of the comet assay. DNA damage measured as DNAt values showed a reliable relationship with pollution load levels of the two sampling sites. The higher sensitivity of C. edule compared to M. galloprovincialis enables one to recommend including another species coupled with mussels for biomonitoring estuarine environments.</t>
  </si>
  <si>
    <t>[Pereira, Sandra M.; Fernandez-Tajes, Juan; Rabade, Tamara; Florez-Barros, Fernanda; Mendez, Josefina] Univ A Coruna, Fac Sci, Dept Cell &amp; Mol Biol, La Coruna 15071, Spain; [Laffon, Blanca] Univ A Coruna, Dept Psychobiol, Toxicol Unit, La Coruna 15071, Spain</t>
  </si>
  <si>
    <t>Universidade da Coruna; Universidade da Coruna</t>
  </si>
  <si>
    <t>Pereira, SM (corresponding author), Univ A Coruna, Fac Sci, Dept Cell &amp; Mol Biol, A Zapateira S-N, La Coruna 15071, Spain.</t>
  </si>
  <si>
    <t>spereiraf@udc.es</t>
  </si>
  <si>
    <t>Mendez, Josefina/H-7318-2016; Laffon, Blanca/K-4608-2014</t>
  </si>
  <si>
    <t>Mendez, Josefina/0000-0002-7567-980X; Laffon, Blanca/0000-0001-7649-2599</t>
  </si>
  <si>
    <t>Conselleria de Innovacion e Industria (Xunta de Galicia) [07MMA013103PR]</t>
  </si>
  <si>
    <t>Conselleria de Innovacion e Industria (Xunta de Galicia)(Xunta de Galicia)</t>
  </si>
  <si>
    <t>This work was funded by grant 07MMA013103PR (Desenvolvemento de biomarcadores citoxeneticos e moleculares na ameixa fina (Ruditapes decussatus) en condicions ambientais adversas) from the Conselleria de Innovacion e Industria (Xunta de Galicia). We are grateful to Cofradia de Pescadores y mariscadores de Corcubion for providing samples in this study, to Mrs. Ceres Fernandez for her kindly revision of the English grammar style, and to Dr. Gerardo Martinez for his help in the PAH determination.</t>
  </si>
  <si>
    <t>15-16</t>
  </si>
  <si>
    <t>10.1080/15287394.2011.582271</t>
  </si>
  <si>
    <t>820KK</t>
  </si>
  <si>
    <t>WOS:000294904400007</t>
  </si>
  <si>
    <t>Dabrowska, H; Kopko, O; Turja, R; Lehtonen, KK; Góra, A; Polak-Juszczak, L; Warzocha, J; Kholodkevich, S</t>
  </si>
  <si>
    <t>Dabrowska, Henryka; Kopko, Orest; Turja, Raisa; Lehtonen, Kari K.; Gora, Agnieszka; Polak-Juszczak, Lucyna; Warzocha, Jan; Kholodkevich, Sergey</t>
  </si>
  <si>
    <t>Sediment contaminants and contaminant levels and biomarkers in caged mussels (Mytilus trossulus) in the southern Baltic Sea</t>
  </si>
  <si>
    <t>Baltic Sea; Sediment; Mussels; PCBs; OCPs; PAHs; Metals; Sediment quality; Biomarkers; IBR index</t>
  </si>
  <si>
    <t>POLYCYCLIC AROMATIC-HYDROCARBONS; COASTAL WATERS; ACETYLCHOLINESTERASE ACTIVITY; POLYCHLORINATED-BIPHENYLS; CHEMICAL CONTAMINATION; MARINE-SEDIMENTS; TEMPORAL TRENDS; MACOMA-BALTHICA; ADRIATIC SEA; HEAVY-METALS</t>
  </si>
  <si>
    <t>Sediment from four southern Baltic Sea locations and caged mussels were analyzed for PCBs, organochlorine pesticides and metals (Cu, Zn, Cd, Pb, Hg). In mussels, which were additionally analyzed for 16 individual PAHs, a set of biomarker responses was measured to derive an integrated biomarker response (IBR) index as a part of integrative assessment of pollution in this area. Concentrations of PCBs, Sigma DDT, and metals in sediment and mussels, greatest within the Gulf of Gdansk area, showed decreasing gradients outwards from the Gulf. Sediment quality quotients (SQQs) and biological impact quotients (BIQs), reflecting on sediment- and mussel-accumulated contaminants' potential for biological effects, respectively, pointed out to the Gulf of Gdansk to be of greatest concern among the examined sites. The IBRs corresponded poorly with the SQQs and BIQs, nevertheless, provided a line of evidence indicative of biological effects of contaminants to support more complex processes of environmental status assessment. (C) 2012 Elsevier Ltd. All rights reserved.</t>
  </si>
  <si>
    <t>[Dabrowska, Henryka; Kopko, Orest; Gora, Agnieszka; Polak-Juszczak, Lucyna; Warzocha, Jan] Natl Marine Fisheries Res Inst, PL-81332 Gdynia, Poland; [Turja, Raisa; Lehtonen, Kari K.] Finnish Environm Inst, Ctr Marine Res, FI-00251 Helsinki, Finland; [Kholodkevich, Sergey] Russian Acad Sci, Sci Res Ctr Ecol Safety, St Petersburg 196140, Russia</t>
  </si>
  <si>
    <t>National Marine Fisheries Research Institute; Finnish Environment Institute; Russian Academy of Sciences; St. Petersburg Federal Research Center of the Russian Academy of Sciences</t>
  </si>
  <si>
    <t>Dabrowska, H (corresponding author), Natl Marine Fisheries Res Inst, Kollataja 1, PL-81332 Gdynia, Poland.</t>
  </si>
  <si>
    <t>Gora, Agnieszka/ADH-5163-2022; Turja, Raisa/AAT-1959-2021; Kholodkevich, Sergey/N-6380-2013</t>
  </si>
  <si>
    <t>Warzocha, Jan/0000-0002-7320-0068; Kholodkevich, Sergey/0000-0002-7561-9743; Gora, Agnieszka/0000-0003-0742-4810; Lehtonen, Kari Kullervo/0000-0002-7757-2336</t>
  </si>
  <si>
    <t>European Community [217246]; Polish Ministry of Science and Higher Education</t>
  </si>
  <si>
    <t>European Community; Polish Ministry of Science and Higher Education(Ministry of Science and Higher Education, Poland)</t>
  </si>
  <si>
    <t>The research has received funding from the European Community's Seventh Framework Programme (FP/2007-2013) under grant agreement no 217246 made with the joint Baltic Sea research and development programme BONUS (BEAST project), and from the Polish Ministry of Science and Higher Education.</t>
  </si>
  <si>
    <t>10.1016/j.marenvres.2012.11.001</t>
  </si>
  <si>
    <t>090VE</t>
  </si>
  <si>
    <t>WOS:000315007300001</t>
  </si>
  <si>
    <t>Bouiba, S; Bendimerad, ME; Rouane-Hacene, O; Boualga, A; Richir, J</t>
  </si>
  <si>
    <t>Bouiba, Samira; Bendimerad, Mohammed El Amine; Rouane-Hacene, Omar; Boualga, Ahmed; Richir, Jonathan</t>
  </si>
  <si>
    <t>Metallic trace element dynamics in Paracentrotus lividus from Algeria: Environmental and human health risk assessment</t>
  </si>
  <si>
    <t>Metallic trace elements; Paracentrotus lividus; Health risk assessment; Environmental monitoring; Mediterranean Sea; Atlantic</t>
  </si>
  <si>
    <t>MUSSELS MYTILUS-GALLOPROVINCIALIS; SOUTHERN ADRIATIC SEA; HEAVY-METALS; REPRODUCTIVE-CYCLE; POSIDONIA-OCEANICA; HUMAN EXPOSURE; MEDITERRANEAN SEA; CADMIUM EXPOSURE; BREAST-CANCER; URCHIN</t>
  </si>
  <si>
    <t>This paper evaluates the dynamic of metallic trace elements (MTEs; Cd, Pb, Fe, Cu, Zn, Ni and Co) in the sea urchin Paracentrotus lividus collected in five sites: four contaminated and one reference, along the western coast of Algeria, recontextualizes this contamination within a wider geographical distribution area throughout 84 sites among the Mediterranean Sea and Atlantic and focuses on the potential risk on human health for the first time in Algeria. The Trace Element Pollution Index places Algeria, and generally the North African coasts, as the region most contaminated by MTEs. The Trace Element Spatial Variation Index ranks Pb as an MTE of key environmental concern according to global spatial variability. The health risk assessment indicates that Cd and Pb, exceed the maximum limits set by the Commission Regulation (EC) No 1881/2006 on three of the four contaminated sites.</t>
  </si>
  <si>
    <t>[Bouiba, Samira; Bendimerad, Mohammed El Amine] Abou Bekr Belkaid Univ, Fac Nat &amp; Life Sci, Dept Ecol &amp; Environm, Lab Valorizat Human Act Protect Environm &amp; Applica, Tilimsen, Algeria; [Rouane-Hacene, Omar] Univ Oran 1 Ahmed Ben Bella, Dept Biol, El Mnaouer, Oran, Algeria; [Boualga, Ahmed] Univ Oran 1 Ahmed Ben Bella, Fac Nat &amp; Life Sci, Lab Clin &amp; Metab Nutr, Oran, Algeria; [Richir, Jonathan] SciSca, Maillen, Belgium</t>
  </si>
  <si>
    <t>Universite Abou Bekr Belkaid</t>
  </si>
  <si>
    <t>Bouiba, S (corresponding author), Abou Bekr Belkaid Univ, Fac Nat &amp; Life Sci, Dept Ecol &amp; Environm, Lab Valorizat Human Act Protect Environm &amp; Applica, Tilimsen, Algeria.</t>
  </si>
  <si>
    <t>hedli_habiba@yahoo.com; boualga.ahmed@univ-oran1.dz; jonathan.richir@gmail.com</t>
  </si>
  <si>
    <t>10.1016/j.marpolbul.2022.114485</t>
  </si>
  <si>
    <t>7Z9RH</t>
  </si>
  <si>
    <t>WOS:000915887500001</t>
  </si>
  <si>
    <t>Ackman, RG; Zhou, SY</t>
  </si>
  <si>
    <t>Rimando, AM; Schrader, KK</t>
  </si>
  <si>
    <t>Natural and waterborne petroleum hydrocarbons in marine sentinel blue mussels</t>
  </si>
  <si>
    <t>OFF-FLAVORS IN AQUACULTURE</t>
  </si>
  <si>
    <t>ACS SYMPOSIUM SERIES</t>
  </si>
  <si>
    <t>Symposium on Off-Flavors in Aquaculture held at the 223rd National Meeting of the American-Chemical-Society</t>
  </si>
  <si>
    <t>APR 07-11, 2002</t>
  </si>
  <si>
    <t>ORLAND, FLORIDA</t>
  </si>
  <si>
    <t>PRINCE-WILLIAM-SOUND; LIPID DETERMINATION METHOD; SALMON SALMO-SALAR; VALDEZ OIL-SPILL; NOVA-SCOTIA; MYTILUS-GALLOPROVINCIALIS; EXTRACTION METHOD; SOLUBLE FRACTION; MUSCLE-TISSUE; FISH MUSCLE</t>
  </si>
  <si>
    <t>Some chemicals produced by algae are water soluble, volatile, or both. They may be offensive in certain concentrations and attractive at others (e.g. dimethyl sulfide in cooking clams). Quality grading, safety, and regulatory inspections are factors often in use before consumers ever see foods. The frequent use of petroleum hydrocarbons in our world has led to reports of environmental contamination, and mussels were selected as very convenient bioconcentrators for helping to identify organic pollutants in marine waters. Low-boiling petroleum fractions have alkane profiles similar to the C10-C24 n-alkanes present as a natural background from algal hydrocarbons and are almost always present in ocean water. This review suggests that the ratio of two common isoprenoid hydrocarbons, pristane and phytane, may be important in distinguishing the profiles of biogenic and abiogenic hydrocarbons. General problems with mussels, used as sentinels for examining this range of hydrocarbons, are briefly reviewed.</t>
  </si>
  <si>
    <t>Dalhousie Univ, Dept Food Sci &amp; Technol, Halifax, NS B3J 2X4, Canada; Minute Maid Co, Apopka, FL USA</t>
  </si>
  <si>
    <t>Ackman, RG (corresponding author), Dalhousie Univ, Dept Food Sci &amp; Technol, Box 1000, Halifax, NS B3J 2X4, Canada.</t>
  </si>
  <si>
    <t>1155 SIXTEENTH ST NW, WASHINGTON, DC 20036 USA</t>
  </si>
  <si>
    <t>0097-6156</t>
  </si>
  <si>
    <t>0-8412-3821-9</t>
  </si>
  <si>
    <t>ACS SYM SER</t>
  </si>
  <si>
    <t>Chemistry, Multidisciplinary; Fisheries; Marine &amp; Freshwater Biology</t>
  </si>
  <si>
    <t>Chemistry; Fisheries; Marine &amp; Freshwater Biology</t>
  </si>
  <si>
    <t>BW83U</t>
  </si>
  <si>
    <t>WOS:000183307100006</t>
  </si>
  <si>
    <t>Reproductive Responses and Detoxification of Estuarine Oyster Crassostrea hongkongensis under Metal Stress: A Seasonal Study</t>
  </si>
  <si>
    <t>MAJOR HEAVY-METALS; SAN-FRANCISCO BAY; PACIFIC OYSTER; MYA-ARENARIA; SUBCELLULAR-DISTRIBUTION; DELAYED GAMETOGENESIS; ENDOCRINE DISRUPTORS; RUDITAPES-DECUSSATUS; DREISSENA-POLYMORPHA; MICROPROBE ANALYSIS</t>
  </si>
  <si>
    <t>Understanding the impacts of metal stress on the reproduction of dominant species, such as oysters, in seriously contaminated estuarine environments has great ecological implications. In the present study, the reproductive conditions were examined monthly for 1 year in oysters Crassostrea hongkongensis from a heavily metal-contaminated site (Baijiao, mainly by Cu and Zn) in the Jiulong River estuary and a relatively clean nearby estuary (Jiuzhen). Oysters sampled in the contaminated site showed a delayed gametogenesis, a relatively shorter spawning period, and a lower gonad condition index in comparison to the oysters sampled in the reference site. In particular, we found that the proportion of females increased significantly in the contaminated oysters, which provided the first evidence that the feminization in wild oyster populations could be related to trace metal pollution. Additionally, the potential detoxification mechanism of trace metals in oysters was also investigated. Compartmentalization of trace metals in membrane-limited vesicles in hemocytes could be an important detoxification mechanism for the contaminated oysters. Our findings indicated that the long-term metal exposure may greatly influence the reproduction of the oysters and finally affect the recruitment and population of this species.</t>
  </si>
  <si>
    <t>[Weng, Nanyan; Wang, Wen-Xiong] Xiamen Univ, Minist Educ, Key Lab Coastal &amp; Wetland Ecosyst, Coll Environm &amp; Ecol, Xiamen 361102, Fujian, Peoples R China; [Wang, Wen-Xiong] Hong Kong Univ Sci &amp; Technol, Div Life Sci, Kowloon, Hong Kong, Peoples R China</t>
  </si>
  <si>
    <t>Wang, WX (corresponding author), Xiamen Univ, Minist Educ, Key Lab Coastal &amp; Wetland Ecosyst, Coll Environm &amp; Ecol, Xiamen 361102, Fujian, Peoples R China.</t>
  </si>
  <si>
    <t>National Natural Science Foundation [21237004]; General Research Fund grant from the Hong Kong Research Grants Council [662813]</t>
  </si>
  <si>
    <t>National Natural Science Foundation(National Natural Science Foundation of China (NSFC)); General Research Fund grant from the Hong Kong Research Grants Council</t>
  </si>
  <si>
    <t>The authors thank the anonymous reviewers for their very detailed comments. This study was supported by a Key Project from the National Natural Science Foundation (21237004) and a General Research Fund grant from the Hong Kong Research Grants Council (662813).</t>
  </si>
  <si>
    <t>10.1021/es505486v</t>
  </si>
  <si>
    <t>CC8IH</t>
  </si>
  <si>
    <t>WOS:000350611100067</t>
  </si>
  <si>
    <t>Shi, DL; Blackmore, G; Wang, WX</t>
  </si>
  <si>
    <t>Effects of aqueous and dietary preexposure and resulting body burden on silver biokinetics in the green mussel Perna viridis</t>
  </si>
  <si>
    <t>CLAM RUDITAPES-PHILIPPINARUM; MYTILUS-EDULIS; TRACE-ELEMENTS; TROPHIC TRANSFER; HEAVY-METALS; BIOACCUMULATION; ACCUMULATION; ASSIMILATION; CADMIUM; GROWTH</t>
  </si>
  <si>
    <t>To determine whether preexposure of green mussel Perna viridis to Ag influenced metal uptake kinetics we compared various physiological indicators of metal uptake kinetics between the control mussels and mussels preexposed to Ag in both diet and water at different levels (up to 5 weeks). In all preexposed mussels, the assimilation of Ag increased by 1.1-3.0 times with increasing Ag body concentration (0.651-19.3 mug g(-1)) as compared with the controls (Ag body concentration of 0.311-0.479 mug g(-1)), whereas the efflux rate constants decreased by 45-88%. There was no significant increase in Ag associated with the metallothionein-like protein (MTLP) fraction following exposure of the mussels to Ag through either the dissolved or food phase. The clearance rates were little affected or depressed by Ag preexposure,and the relationship between the Ag influx rate from the dissolved phase and the Ag preexposure was somewhat complicated. The influx rate decreased with increasing Ag body burden at &lt;2.5 mug g(-1), above which it increased with increasing Ag body burden. Our results indicate that the mussels may modify physiological processes to ambient chronic Ag exposure, consequently accumulating more Ag. Ag body concentration in these mussels may therefore increase disproportionally in response to increasing Ag concentration in the ambient environments. Ag preexposure and resulting body burden should be considered carefully when interpreting the observed Ag concentration in biomonitoring animals to evaluate the Ag pollution in seawater.</t>
  </si>
  <si>
    <t>HKUST, Dept Biol, Kowloon, Hong Kong, Peoples R China</t>
  </si>
  <si>
    <t>Wang, WX (corresponding author), HKUST, Dept Biol, Kowloon, Hong Kong, Peoples R China.</t>
  </si>
  <si>
    <t>Shi, Dalin/E-6361-2011; Wang, Wenxiong/E-7254-2011</t>
  </si>
  <si>
    <t>Shi, Dalin/0000-0003-4432-1992; Wang, Wenxiong/0000-0001-9033-0158</t>
  </si>
  <si>
    <t>10.1021/es025929t</t>
  </si>
  <si>
    <t>650HY</t>
  </si>
  <si>
    <t>WOS:000181258600034</t>
  </si>
  <si>
    <t>Montalvao, MF; Chagas, TQ; Alvarez, TGD; Mesak, C; Araujo, APD; Gomes, AR; Vieira, JED; Rocha, TL; Malafaia, G</t>
  </si>
  <si>
    <t>Montalvao, Mateus Flores; Chagas, Thales Quintao; da Silva Alvarez, Tenilce Gabriela; Mesak, Carlos; da Costa Araujo, Amanda Pereira; Gomes, Alex Rodrigues; de Andrade Vieira, Julya Emmanuela; Rocha, Thiago Lopes; Malafaia, Guilherme</t>
  </si>
  <si>
    <t>Cigarette butt leachate as a risk factor to the health of freshwater bivalve</t>
  </si>
  <si>
    <t>Emerging pollutants; Molluscs; Aquatic pollution; Behavioural biomarkers</t>
  </si>
  <si>
    <t>ANODONTITES-TRAPESIALIS BIVALVIA; BURROWING BEHAVIOR; SEDIMENT TYPE; METAL UPTAKE; TOXICITY; RESPONSES; EXPOSURE; MUSSEL; DYNAMICS; MOLLUSKS</t>
  </si>
  <si>
    <t>The toxicity caused by smoking to human health has been demonstrated in several scientific studies. However, little attention has been given to damages caused to aquatic biota when cigarette butts (CB) are disposed of on water surface. Thus, the main aim of the current study is to evaluate the behavioural toxicity of cigarette butt leachates (CBL) in freshwater bivalve species Anodontites trapesialis exposed to different environmentally-relevant dilutions (CBL1x = 1.375%, CBL10x: 13.75%). There were significant CBL effects on the burrowing performance of the evaluated bivalves, after 14 exposure days. Animals exposed to CBL presented higher latency to foot emission and to start the burrowing process, as well as larger number of cycles required for burial. In addition, there were lower burrowing angle and burrowing rate index in CBL-exposed bivalves than in the unexposed ones. Chemical analyses performed on the muscle tissues of animals exposed to both CBL dilutions evidenced the bioaccumulation of several metals at high concentrations in CBL (Cr, Ni, Pb, Mn, Zn and Na); this outcome enabled associating these metals with behavioural changes observed in CBL-exposed groups. Thus, the current study firstly reports that even highly-diluted CBL concentrations can induce behavioural changes in freshwater bivalves, as well as that CBL extrapolation to natural environments can lead to several damages to the fitness of living organisms and to the dynamics of their population. (C) 2019 Elsevier Ltd. All rights reserved.</t>
  </si>
  <si>
    <t>[Montalvao, Mateus Flores; Chagas, Thales Quintao; da Silva Alvarez, Tenilce Gabriela; Mesak, Carlos; da Costa Araujo, Amanda Pereira; Gomes, Alex Rodrigues; Malafaia, Guilherme] Goiano Fed Inst, Cerrado Nat Resource Conservat &amp; Biol Res Lab, Postgrad Program, Urutai Campus, Go, Brazil; [de Andrade Vieira, Julya Emmanuela; Malafaia, Guilherme] Goiano Fed Inst, Biol Res Lab, Urutai Campus, Go, Brazil; [Rocha, Thiago Lopes] Univ Fed Goias, Trop Pathol &amp; Publ Hlth Inst, Lab Environm Biotechnol &amp; Ecotoxicol, Goiania, Go, Brazil</t>
  </si>
  <si>
    <t>Instituto Federal de Goias (IFG); Instituto Federal de Goias (IFG); Universidade Federal de Goias</t>
  </si>
  <si>
    <t>Malafaia, G (corresponding author), Goiano Fed Inst, Cerrado Nat Resource Conservat &amp; Biol Res Lab, Postgrad Program, Urutai Campus, Go, Brazil.</t>
  </si>
  <si>
    <t>guilhermeifgoiano@gmail.com</t>
  </si>
  <si>
    <t>de Lima Rodrigues, Aline/AAY-2965-2020; Rocha, Thiago/A-3864-2015; Malafaia, Guilherme/G-6510-2013</t>
  </si>
  <si>
    <t>Malafaia, Guilherme/0000-0003-4773-7598; Rodrigues Gomes, Alex/0000-0003-1336-4252</t>
  </si>
  <si>
    <t>Brazilian National Research Council (CNPq) (Brazilian research agency) [426531/2018-3]; Instituto Federal Goiano [23219.000555/2019-10]; Coordenacao de Aperfeicoamento de Pessoal de Nivel Superior (CAPES, Brazil); Fundaca o de Amaparo a Pesquisa do Estado de Goias (FAPEG, Brazil); CNPq [307743/2018-7]</t>
  </si>
  <si>
    <t>Brazilian National Research Council (CNPq) (Brazilian research agency)(Conselho Nacional de Desenvolvimento Cientifico e Tecnologico (CNPQ)Fundacao de Apoio a Pesquisa do Distrito Federal (FAPDF)); Instituto Federal Goiano; Coordenacao de Aperfeicoamento de Pessoal de Nivel Superior (CAPES, Brazil)(Coordenacao de Aperfeicoamento de Pessoal de Nivel Superior (CAPES)); Fundaca o de Amaparo a Pesquisa do Estado de Goias (FAPEG, Brazil); CNPq(Conselho Nacional de Desenvolvimento Cientifico e Tecnologico (CNPQ))</t>
  </si>
  <si>
    <t>The authors are grateful to students Thiarlen Marinho da Luz and Nadielly Abadia Mendonca Vital, for their help in finalizing the experiment; to the Brazilian National Research Council (CNPq) (Brazilian research agency) (Proc. N. 426531/2018-3) and to Instituto Federal Goiano, for the financial support (Proc. N.23219.000555/2019-10). Moreover, the authors are grateful to Coordenacao de Aperfeicoamento de Pessoal de Nivel Superior (CAPES, Brazil) and to Fundaca o de Amaparo a Pesquisa do Estado de Goias (FAPEG, Brazil), for granting the scholarship to the student who developed the current study. Researcher Malafaia G. holds productivity grants by CNPq (Proc. N. 307743/2018-7).</t>
  </si>
  <si>
    <t>10.1016/j.chemosphere.2019.06.100</t>
  </si>
  <si>
    <t>JA8YC</t>
  </si>
  <si>
    <t>WOS:000488136200041</t>
  </si>
  <si>
    <t>Hedman, JE; Bradshaw, C; Thorsson, MH; Gilek, M; Gunnarsson, JS</t>
  </si>
  <si>
    <t>Hedman, Jenny E.; Bradshaw, Clare; Thorsson, Maria H.; Gilek, Michael; Gunnarsson, Jonas S.</t>
  </si>
  <si>
    <t>Fate of contaminants in Baltic Sea sediments: role of bioturbation and settling organic matter</t>
  </si>
  <si>
    <t>cadmium; BDE-99; HOC; POP; flame retardant; Marenzelleria spp.; Macoma balthica; Monoporeia affinis; remobilisation</t>
  </si>
  <si>
    <t>BROMINATED FLAME RETARDANTS; FUNCTIONAL-GROUP APPROACH; MARINE-SEDIMENTS; NEREIS-DIVERSICOLOR; AMPHIURA-FILIFORMIS; MONOPOREIA-AFFINIS; BENTHIC MACROFAUNA; FOOD AVAILABILITY; ARENICOLA-MARINA; MACOMA-BALTHICA</t>
  </si>
  <si>
    <t>This experimental study examined the interactive effects of bioturbation and settling organic matter (OM) on the fate (burial and remobilisation) of 2 surface-deposited contaminants in Baltic Sea sediment: the metal Cd and a hydrophobic organic pollutant, the flame retardant BDE-99. Three macrofaunal species with diverse feeding and bioturbation strategies were used: the amphipod Monoporeia affinis, the clam Macoma balthica and the polychaete Marenzelleria spp. Radiolabelled contaminants were added to the sediment surface in association with 3 different OM types: (1) phytoplankton, (2) terrestrial lignin and (3) Baltic sediment. Bioturbation by all species increased the retention of both contaminants in the sediment, most effectively M affinis and M balthica. A decoupled transport of Cd and BDE-99 by Marenzelleria was observed. Generally, Marenzelleria buried the highest amount of Cd into the sediment but also caused the highest remobilisation to the water, indicating an effective transport of (soluble) Cd over the sediment-water interface via bioirrigation. Lack of the highly hydrophobic and mainly particle-associated BDE-99 below the sediment surface suggests that Marenzelleria caused no significant particle mixing. The addition of various OM types significantly affected the distribution of Cd, but not of BDE-99. There was an interactive effect between bioturbation (species) and OM type, generally showing an increased burial and release of Cd when associated with phytoplankton in the presence of Marenzelleria. Our results emphasise the importance of understanding the complex interactions between ecological (e.g. infaunal feeding and bioturbation activities) and physiochemical processes (contaminant speciation and sorption kinetics) when assessing the fate of contaminants in aquatic ecosystems.</t>
  </si>
  <si>
    <t>[Hedman, Jenny E.; Bradshaw, Clare; Gunnarsson, Jonas S.] Stockholm Univ, Dept Syst Ecol, S-10691 Stockholm, Sweden; [Bradshaw, Clare; Thorsson, Maria H.; Gilek, Michael] Sodertorn Univ Coll, Sch Life Sci, S-14189 Huddinge, Sweden</t>
  </si>
  <si>
    <t>Stockholm University; Sodertorn University</t>
  </si>
  <si>
    <t>Hedman, JE (corresponding author), Stockholm Univ, Dept Syst Ecol, S-10691 Stockholm, Sweden.</t>
  </si>
  <si>
    <t>jenny@ecology.su.se</t>
  </si>
  <si>
    <t>Bradshaw, Clare/I-1833-2013</t>
  </si>
  <si>
    <t>Bradshaw, Clare/0000-0002-8421-2750</t>
  </si>
  <si>
    <t>10.3354/meps07218</t>
  </si>
  <si>
    <t>288CN</t>
  </si>
  <si>
    <t>WOS:000254963900003</t>
  </si>
  <si>
    <t>Fiorito, F; Di Concilio, D; Lambiase, S; Amoroso, MG; Langellotti, AL; Martello, A; Esposito, M; Galiero, G; Fusco, G</t>
  </si>
  <si>
    <t>Fiorito, Filomena; Di Concilio, Denise; Lambiase, Sara; Amoroso, Maria Grazia; Langellotti, Antonio L.; Martello, Anna; Esposito, Mauro; Galiero, Giorgio; Fusco, Giovanna</t>
  </si>
  <si>
    <t>Oyster Crassostrea gigas, a good model for correlating viral and chemical contamination in the marine environment</t>
  </si>
  <si>
    <t>Oyster; NDL-PCBs; PAHs; Metals; Foodborne viruses</t>
  </si>
  <si>
    <t>POLYCYCLIC AROMATIC-HYDROCARBONS; POLYCHLORINATED-BIPHENYLS PCBS; HUMAN ENTERIC VIRUSES; HEPATITIS-A-VIRUS; MYTILUS-EDULIS; HEAVY-METALS; AICHI VIRUS; BIVALVE-MOLLUSKS; BLUE MUSSELS; NOROVIRUS</t>
  </si>
  <si>
    <t>To establish a relationship between viruses and chemicals, they were analysed in oyster Crassostrea gigas from an Italian experimental station. The chemicals concentrations were: Sigma 6 NDL-PCBs 0.82-7.12 ng g(-1); BaP LOQ (&lt;0.2 mu g kg(-1)) to 1.2 mu g kg(-1); PAH4 LOQ (&lt;0.2 mu g kg(-1)) to 9.8 mu g kg(-1); Cd 0.073-0.365 mg kg(-1); Pb 0.010-0.487 mg kg(-1); and Hg &lt; LOQ (0.089 mg kg(-1)). The viruses identified included: noroviruses (NoVGI/GII), astrovirus (AsV), rotavirus (RV), adenovirus (AdV), and sapovirus (SaV), while hepatitis A, hepatitis E, and Aichi viruses were not detected. Significant correlations were observed for NDL-PCBs with NoVGI, NoVGII, and AdV; BaP and PAH4 with NoVGI and AsV; Cd with RV; Pb with NoVGI and AsV; PAHs with Pb; AsV with NoVGI; and AdV with NoVGII. The study indicated as C. gigas is a model for correlating pollutants and foodborne viruses, whose co-presence may represent an additional food safety risk.</t>
  </si>
  <si>
    <t>[Fiorito, Filomena] Univ Napoli Federico II, Dipartimento Med Vet &amp; Prod Animali, Naples, Italy; [Di Concilio, Denise; Lambiase, Sara; Amoroso, Maria Grazia; Esposito, Mauro; Galiero, Giorgio; Fusco, Giovanna] Ist Zooprofilatt Sperimentale Mezzogiorno, Naples, Italy; [Langellotti, Antonio L.; Martello, Anna] Univ Napoli Federico II, Ctr Ateneo Innovaz &amp; Sviluppo Ind Alimentare CAIS, Naples, Italy; [Esposito, Mauro] Ist Zooprofilatt Sperimentale Mezzogiorno, Ctr Referenza Nazl Anal &amp; Studio Correlaz Ambient, Naples, Italy</t>
  </si>
  <si>
    <t>University of Naples Federico II; IZS del Mezzogiorno; University of Naples Federico II; IZS del Mezzogiorno</t>
  </si>
  <si>
    <t>Fiorito, F (corresponding author), Univ Napoli Federico II, Dipartimento Med Vet &amp; Prod Animali, Naples, Italy.;Lambiase, S; Amoroso, MG (corresponding author), Ist Zooprofilatt Sperimentale Mezzogiorno, Naples, Italy.</t>
  </si>
  <si>
    <t>filomena.fiorito@unina.it; sara.lambiase@izsmportici.it; mariagrazia.amoroso@izsmportici.it</t>
  </si>
  <si>
    <t>Fusco, Giovanna/AAY-5344-2021; Fiorito, Filomena/O-2175-2016; Langellotti, Antonio Luca/ABR-7921-2022; amoroso, maria/K-1777-2018; Esposito, Mauro/G-2336-2019; LAMBIASE, SARA/G-2653-2019; Fusco, Giovanna/J-2675-2018; Esposito, Mauro/AAU-8936-2020</t>
  </si>
  <si>
    <t>Langellotti, Antonio Luca/0000-0002-9667-1903; Fusco, Giovanna/0000-0003-3139-7672; Esposito, Mauro/0000-0002-0558-0185</t>
  </si>
  <si>
    <t>Ministry of Health [IZSME 03/2016]</t>
  </si>
  <si>
    <t>Ministry of Health</t>
  </si>
  <si>
    <t>This work was supported by the Ministry of Health (Ricerca Corrente IZSME 03/2016).</t>
  </si>
  <si>
    <t>10.1016/j.marpolbul.2021.112825</t>
  </si>
  <si>
    <t>US9VH</t>
  </si>
  <si>
    <t>WOS:000697773100007</t>
  </si>
  <si>
    <t>Shang, YY; Wang, XH; Chang, XQ; Sokolova, IM; Wei, SS; Liu, W; Fang, JKH; Hu, MH; Huang, W; Wang, YJ</t>
  </si>
  <si>
    <t>Shang, Yueyong; Wang, Xinghuo; Chang, Xueqing; Sokolova, Inna M.; Wei, Shuaishuai; Liu, Wei; Fang, James K. H.; Hu, Menghong; Huang, Wei; Wang, Youji</t>
  </si>
  <si>
    <t>The Effect of Microplastics on the Bioenergetics of the Mussel Mytilus coruscus Assessed by Cellular Energy Allocation Approach</t>
  </si>
  <si>
    <t>microplastic; energy status; cellular energy allocation; energy metabolism; mussel</t>
  </si>
  <si>
    <t>NEOMYSIS-INTEGER CRUSTACEA; POLYSTYRENE MICROPLASTICS; ZEBRA MUSSEL; MYSIDACEA; EXPOSURE; OYSTERS; ESTUARY; EDULIS; GALLOPROVINCIALIS; MICROBEADS</t>
  </si>
  <si>
    <t>Marine microplastics pollution is a major environmental concern in marine ecosystems worldwide, yet the biological impacts of microplastics on the coastal biota are not yet fully understood. We investigated the impact of suspended microplastics on the energy budget of the mussels Mytilus coruscus using the Cellular Energy Allocation (CEA) approach. The mussels were exposed to control conditions (no microplastics) or to one of the three concentrations of 2 mu m polystyrene microspheres (10, 10(4), and 10(6) particles/L) for 14 days, followed by 7 days of recovery. Exposure to high concentrations of microplastics (10(4) or 10(6) particles/L) increased cellular energy demand (measured as the activity of the mitochondrial electron transport system, ETS) and depleted cellular energy stores (carbohydrates, lipids, and proteins) in the mussels whereas exposure to 10 particles/L had no effect. Carbohydrate levels decreased already after 7 days of microplastics exposure and were restored after 7 days of recovery. In contrast, the tissue levels of lipids and proteins declined more slowly (after 14 days of exposure) and did not fully recover after 7 days following the removal of microplastics. Therefore, the total energy content and the CEA declined after 7-14 days of exposure to high microplastics concentrations, and remained suppressed during 7 days of subsequent recovery. These findings demonstrate a negative impact of microplastics on energy metabolism at the cellular level that cannot be restored during a short time recovery. Given a close link of CEA with the organismal energy balance, suppression of CEA by microplastics exposure suggests that bioenergetics disturbances might lead to decreases in growth and productivity of mussels' populations in environments with heavy microplastics loads.</t>
  </si>
  <si>
    <t>[Shang, Yueyong; Wang, Xinghuo; Chang, Xueqing; Hu, Menghong; Wang, Youji] Shanghai Ocean Univ, Int Res Ctr Marine Biosci, Minist Sci &amp; Technol, Shanghai, Peoples R China; [Huang, Wei; Wang, Youji] Second Inst Oceanog, Minist Nat Resources, State Key Lab Satellite Ocean Environm Dynam, Hangzhou, Peoples R China; [Sokolova, Inna M.] Univ Rostock, Inst Biol Sci, Dept Marine Biol, Rostock, Germany; [Sokolova, Inna M.] Univ Rostock, Interdisciplinary Fac, Dept Maritime Syst, Rostock, Germany; [Liu, Wei] Univ Geneva, Dept FA Forel Environm &amp; Aquat Sci Environm Bioge, Fac Sci Earth &amp; Environm Sci, Geneva, Switzerland; [Fang, James K. H.] Hong Kong Polytech Univ, Dept Appl Biol &amp; Chem Technol, Kowloon, Hong Kong, Peoples R China; [Hu, Menghong; Wang, Youji] Shanghai Ocean Univ, Key Lab Explorat &amp; Utilizat Aquat Genet Resources, Minist Educ, Shanghai, Peoples R China; [Huang, Wei] Second Inst Oceanog, Key Lab Marine Ecosyst Dynam, Minist Nat Resources, Hangzhou, Peoples R China</t>
  </si>
  <si>
    <t>Shanghai Ocean University; Ministry of Natural Resources of the People's Republic of China; Second Institute of Oceanography, Ministry of Natural Resources; University of Rostock; University of Rostock; University of Geneva; Hong Kong Polytechnic University; Shanghai Ocean University; Ministry of Natural Resources of the People's Republic of China; Second Institute of Oceanography, Ministry of Natural Resources</t>
  </si>
  <si>
    <t>Wang, YJ (corresponding author), Shanghai Ocean Univ, Int Res Ctr Marine Biosci, Minist Sci &amp; Technol, Shanghai, Peoples R China.;Huang, W; Wang, YJ (corresponding author), Second Inst Oceanog, Minist Nat Resources, State Key Lab Satellite Ocean Environm Dynam, Hangzhou, Peoples R China.;Wang, YJ (corresponding author), Shanghai Ocean Univ, Key Lab Explorat &amp; Utilizat Aquat Genet Resources, Minist Educ, Shanghai, Peoples R China.;Huang, W (corresponding author), Second Inst Oceanog, Key Lab Marine Ecosyst Dynam, Minist Nat Resources, Hangzhou, Peoples R China.</t>
  </si>
  <si>
    <t>willhuang@sio.org.cn; youjiwang2@gmail.com</t>
  </si>
  <si>
    <t>Shang, Yueyong/HTL-4592-2023; LIU, WEI/AAE-1299-2019; Fang, James/H-2088-2017; Sokolova, Inna/AAE-4150-2019; Huang, Wei/L-7090-2019; Wang, Youji/B-8086-2011</t>
  </si>
  <si>
    <t>hu, menghong/0000-0003-1382-8571; Wang, Youji/0000-0003-3011-1919</t>
  </si>
  <si>
    <t>National Natural Science Foundation of China [31872587, 42076169]; Scientific Research Fund of the Second Institute of Oceanography [JG2109]; Zhejiang Provincial Natural Science Founds for Distinguished Young Scientists [LR21D060001]; State Key Laboratory of Satellite Ocean Environment Dynamics [SOEDZZ2102]</t>
  </si>
  <si>
    <t>National Natural Science Foundation of China(National Natural Science Foundation of China (NSFC)); Scientific Research Fund of the Second Institute of Oceanography; Zhejiang Provincial Natural Science Founds for Distinguished Young Scientists; State Key Laboratory of Satellite Ocean Environment Dynamics</t>
  </si>
  <si>
    <t>We acknowledge grants from the National Natural Science Foundation of China (31872587 and 42076169), the Scientific Research Fund of the Second Institute of Oceanography (MNR, JG2109), the Zhejiang Provincial Natural Science Founds for Distinguished Young Scientists (LR21D060001), and the State Key Laboratory of Satellite Ocean Environment Dynamics (No. SOEDZZ2102).</t>
  </si>
  <si>
    <t>10.3389/fmars.2021.754789</t>
  </si>
  <si>
    <t>UR3RY</t>
  </si>
  <si>
    <t>WOS:000696670300001</t>
  </si>
  <si>
    <t>Dash, MK; Rahman, MS</t>
  </si>
  <si>
    <t>Dash, Mohan Kumar; Rahman, Md Saydur</t>
  </si>
  <si>
    <t>Molecular and biochemical responses to tributyltin (TBT) exposure in the American oyster: Triggers of stress-induced oxidative DNA damage and prooxidant-antioxidant imbalance in tissues by TBT</t>
  </si>
  <si>
    <t>TBT; Oxidative; nitrative stress; DNA lesions; AChE; Catalase; Body fluid; Oysters</t>
  </si>
  <si>
    <t>MUSSEL MYTILUS-GALLOPROVINCIALIS; MESSENGER-RNA EXPRESSION; EEL ANGUILLA-ANGUILLA; AQUATIC ORGANISMS; CRASSOSTREA-GIGAS; REACTIVE OXYGEN; PACIFIC OYSTER; ACETYLCHOLINESTERASE ACTIVITY; MULTIBIOMARKER ASSESSMENT; PHYSIOLOGICAL-RESPONSES</t>
  </si>
  <si>
    <t>Environmental pollution increases due to anthropogenic activities. Toxic chemicals in the environment affect the health of aquatic organisms. Tributyltin (TBT) is a toxic chemical widely used as an antifouling paint on boats, hulls, and ships. The toxic effect of TBT is well documented in aquatic organisms; however, little is known about the effects of TBT on DNA lesions in shellfish. The American oyster (Crassostrea virginica, an edible and commercially important species) is an ideal marine mollusk to examine the effects of TBT exposure on DNA lesions and oxidative/nitrative stress. In this study, we investigated the effects of TBT on 8 '-hydroxy-2 '-deoxy-guanosine (8-OHdG, a biomarker of pro-mutagenic DNA lesion), double-stranded DNA (dsDNA), dinitrophenyl protein (DNP, a biomarker on reactive oxygen species, ROS), 3-nitrotyrosine protein (NTP, a biomarker of reactive nitrogen species, RNS), catalase (CAT, an antioxidant), and acetylcholinesterase (AChE, a cholinergic enzyme) expressions in the gills and digestive glands of oysters. We also analyzed extrapallial (EF) fluid con-ditions. Immunohistochemical and qRT-PCR results showed that TBT exposure significantly increased 8-OHdG, dsDNA, DNP, NTP, and CAT mRNA and/or protein expressions in the gills and digestive glands. However, AChE mRNA and protein expressions, and EP fluid pH and protein concentrations were decreased in TBT-exposed oysters. Taken together, these results suggest that antifouling biocide-induced production of ROS/RNS results in DNA damage, which may lead to decreased cellular functions in oysters. To the best of our knowledge, the present study provides the first molecular/biochemical evidence that TBT exposure results in oxidative/nitrative stress and DNA lesions in oysters.</t>
  </si>
  <si>
    <t>[Dash, Mohan Kumar; Rahman, Md Saydur] Univ Texas Rio Grande Valley, Sch Earth Environm &amp; Marine Sci, Brownsville, TX USA; [Rahman, Md Saydur] Univ Texas Rio Grande Valley, Dept Biol, Brownsville, TX USA; [Rahman, Md Saydur] Univ Texas Rio Grande Valley, Dept Biol, Brownsville, TX 78520 USA</t>
  </si>
  <si>
    <t>University of Texas System; University of Texas Rio Grande Valley; University of Texas System; University of Texas Rio Grande Valley; University of Texas System; University of Texas Rio Grande Valley</t>
  </si>
  <si>
    <t>Rahman, MS (corresponding author), Univ Texas Rio Grande Valley, Dept Biol, Brownsville, TX 78520 USA.</t>
  </si>
  <si>
    <t>md.rahman@utrgv.edu</t>
  </si>
  <si>
    <t>Rahman, MdSaydur/KEH-9249-2024</t>
  </si>
  <si>
    <t>UTRGV College of Sciences Dean Graduate Research Assistant (DGRA); University of Texas Rio Grandy Valley (UTRGV) College of Science SEED grant [210000371]</t>
  </si>
  <si>
    <t>UTRGV College of Sciences Dean Graduate Research Assistant (DGRA); University of Texas Rio Grandy Valley (UTRGV) College of Science SEED grant</t>
  </si>
  <si>
    <t>This study was funded in part by the UTRGV College of Sciences Dean Graduate Research Assistant (DGRA) to Mohan Kumar Dash, and the start-up fund and University of Texas Rio Grandy Valley (UTRGV) College of Science SEED grant (grant no. 210000371) to Md Saydur Rahman.</t>
  </si>
  <si>
    <t>10.1016/j.cbpc.2022.109523</t>
  </si>
  <si>
    <t>7M8GG</t>
  </si>
  <si>
    <t>WOS:000906889200002</t>
  </si>
  <si>
    <t>Bassères, A; Simonet, F; Lafont, M; Coste, M; Narbonne, JF</t>
  </si>
  <si>
    <t>Validation of biomarkers for impact evaluation of aqueous industrial waste in mesocosms</t>
  </si>
  <si>
    <t>5th IWA Conference on Trends in Sustainable Production</t>
  </si>
  <si>
    <t>NOV 13-15, 2002</t>
  </si>
  <si>
    <t>NIMES, FRANCE</t>
  </si>
  <si>
    <t>artificial stream; biomarkers; biomonitoring; fresh water; impact; mesocosm</t>
  </si>
  <si>
    <t>FRESH-WATER BIVALVES; ARTIFICIAL STREAM; POLLUTION; FIELD; SEDIMENT; DESIGN; RISK</t>
  </si>
  <si>
    <t>The use of exposure biomarkers in measuring the impact of aqueous waste holds promise because such tools have short response times, are flexible in use and may give an indication about the type of pollution. However, their ecological significance has not yet been demonstrated. It is necessary to validate these responses under controlled conditions before using such biomarkers for biomonitoring. The TotalFinaElf company has developed a pilot scheme incorporating such controlled conditions. This pilot is a dynamic open mesocosm (16 channels 40 m in length supplied with river water). The research programme currently carried out in the Pilot Rivers aims at validating biochemical parameters (components of phases I and II (de)toxication metabolism and propionylcholinesterase activity), measured in a fresh water bivalve Corbicula fluminea as a biomarker of water quality. The comparison between biomarker responses and community ones (reference) gives information about the precocity and sensitivity of these biomarker responses. Pure substances (trichloroethylene (TCE), cadmium (CD) and anthracenic oil (AO)) have been injected during one month. Biomarker responses are as sensitive as the most sensitive community response in the presence of CID and AO. With TCE, community responses are more sensitive. Precocity of biomarker response is observed only in the presence of CID.</t>
  </si>
  <si>
    <t>TotalFinaElf, GRL, F-64170 Artix, France; Agence Eau Adour Garonne, Toulouse, France; CEMAGREF, Lyon, France; CEMAGREF, Bordeaux, France; LPTC, Talence, France</t>
  </si>
  <si>
    <t>Total SA; INRAE; INRAE</t>
  </si>
  <si>
    <t>Bassères, A (corresponding author), TotalFinaElf, GRL, BP 34, F-64170 Artix, France.</t>
  </si>
  <si>
    <t>basseres@atofina.com; francois.simonet@eau-adour-garonne.fr; michel.lafont@cemagref.fr; michel.coste@cemagref.fr; jf.narbonne@lptc.u-bordeaux.fr</t>
  </si>
  <si>
    <t>10.2166/wst.2004.0036</t>
  </si>
  <si>
    <t>775WX</t>
  </si>
  <si>
    <t>WOS:000189084600018</t>
  </si>
  <si>
    <t>Lacorte, S; Viana, P; Guillamon, M; Tauler, R; Vinhas, T; Barceló, D</t>
  </si>
  <si>
    <t>Main findings and conclusions of the implementation of Directive 76/464/CEE concerning the monitoring of organic pollutants in surface waters (Portugal, April 1999-May 2000)</t>
  </si>
  <si>
    <t>SOLID-PHASE EXTRACTION; LIQUID-CHROMATOGRAPHY; ORGANOPHOSPHORUS PESTICIDES; ELECTROCHEMICAL DETECTION; PHENOLIC-COMPOUNDS; ESTUARINE WATERS; COASTAL WATERS; IRGAROL-1051; METABOLITES; DEGRADATION</t>
  </si>
  <si>
    <t>The purpose of this paper is it) relate the implementation of Directive 76/464/CEE concerning the survey of priority dangerous substances and indicate the main priority pollutants encountered throughout a systematic monitoring program carried out in Portugal during a period of 14 months (April 1999-May 2000). Contrary to what it seems, the implementation of such a Directive is not straightforward owing to the large number of compounds and samples to be analyzed at trace levels. During this period of time, 115 priority semivolatile organic compounds (SVOCs), 41 volatile organic compounds (VOCs), six organotin compounds, 14 heavy metals. phosphate, nitrates, nitrites and ammonia were determined in 644 surface water samples (corresponding to 14 months and 46 sites). In addition, priority SVOCs were also determined in sediment, mussels and fish (muscle and liver). This paper reports the procedure and analytical tools used and necessary to determine the levels of 115 priority toxic and persistent semivolatile organic compounds selected from the EC Council Directive list (76/464/EEC). An advanced analytical protocol was developed involving enrichment of water samples in Oasis solid-phase extraction cartridges (SPE) in the Lisbon laboratory with a Gilson ASPEC XL automated extraction system and by sending the enriched cartridges to Barcelona by aeroplane at 4 C, where elution and analysis were performed. Final determination was performed with gas chromatography-electron ionization mass spectrometry (GC-EI-MS). Acidic herbicides were determined by liquid chromatography with diode array detection. Owing to the great amount of data generated throughout the monitoring study, statistical analysis of the more representative contaminants was performed, allowing the identification of the more relevant contamination sources, percentages of findings and the description of their temporal and spatial (geographical) distributions. Recommendations and compounds that should be included in future monitoring programs are given.</t>
  </si>
  <si>
    <t>CSIC, IIQAB, Dept Environm Chem, ES-08034 Barcelona, Spain; Minist Ambiente, Direcao Geral Ambiente, P-2720 Zambujal, Amadora, Portugal; Univ Barcelona, Dept Analyt Chem, E-08028 Barcelona, Spain</t>
  </si>
  <si>
    <t>Consejo Superior de Investigaciones Cientificas (CSIC); University of Barcelona</t>
  </si>
  <si>
    <t>Lacorte, S (corresponding author), CSIC, IIQAB, Dept Environm Chem, Jordi Girona 18-26, ES-08034 Barcelona, Spain.</t>
  </si>
  <si>
    <t>BARCELO, DAMIA/O-4558-2016; Lacorte, Silvia/M-5649-2014</t>
  </si>
  <si>
    <t>Tauler, Roma/0000-0001-8559-9670; Lacorte, Silvia/0000-0001-7192-4057; Barcelo, Damia/0000-0002-8873-0491</t>
  </si>
  <si>
    <t>10.1039/b104832p</t>
  </si>
  <si>
    <t>WOS:000171794600008</t>
  </si>
  <si>
    <t>Mariano, B; Cristian, O; Marcela, P; Porta, A</t>
  </si>
  <si>
    <t>Mariano, Belaich; Cristian, Oliver; Marcela, Pilloff; Porta, Andres</t>
  </si>
  <si>
    <t>Evaluation of a biomarker of Cd(II) exposure on Limnoperna fortunei</t>
  </si>
  <si>
    <t>Limnoperna fortunei; aquatic-pollution; Cd; polypeptides; biomarkers</t>
  </si>
  <si>
    <t>CORBICULA-FLUMINEA; ALPHA-CRYSTALLIN; WATER; METALLOTHIONEINS; QUANTIFICATION; CONTAMINATION; EXPRESSION; SEDIMENTS; CHAPERONE; PROTEINS</t>
  </si>
  <si>
    <t>The use of organisms to monitor contamination allows the access to information that cannot be acquired by chemical methods. Limnoperna fortunei, mussel frequently found in Rio de la Plata estuary, fulfils the requirements to be used as a biomonitoring organism. In this work we report that a polypeptide of 22 kDa of molecular weight (LF22) is induced when L. fortunei is exposed to Cd (II), Cu(II) and Hg(II) sublethal levels. To characterize LF22, mussels were sampled from a non-polluted region and whole soft tissue was homogenized, with and without previous exposure to 100 mu g/L of Cd(II). The cytosolic proteins were evaluated by mono and bidimensional SDS-PAGE, and size exclusion chromatography. All the methods showed that LF22 triples its concentration in presence of Cd(II). Purification of LF22 was achieved by fractioned precipitation, salting-out, ionic exchange and size exclusion chromatography. We conclude that LF22 is a useful biomarker of heavy metal exposure. (c) 2006 Elsevier Ltd. All rights reserved.</t>
  </si>
  <si>
    <t>Univ Nacl La Plata, Fac Ciencias Exactas, CIMA, 47&amp;115, RA-1900 La Plata, Argentina; Univ Nacl Quilmes, Dept Ciencia &amp; Tecnol, RA-1876 Bernal, Argentina</t>
  </si>
  <si>
    <t>National University of La Plata; Consejo Nacional de Investigaciones Cientificas y Tecnicas (CONICET)</t>
  </si>
  <si>
    <t>Porta, A (corresponding author), Univ Nacl La Plata, Fac Ciencias Exactas, CIMA, 47&amp;115, RA-1900 La Plata, Argentina.</t>
  </si>
  <si>
    <t>mbelaich@unq.edu.ar; cristian_1966@hotmail.com; mpilloff@unq.edu.ar; aaporta@yahoo.com.ar</t>
  </si>
  <si>
    <t>10.1016/j.envpol.2005.12.015</t>
  </si>
  <si>
    <t>WOS:000241138100036</t>
  </si>
  <si>
    <t>Lacaze, E; Pédelucq, J; Fortier, M; Brousseau, P; Auffret, M; Budzinski, H; Fournier, M</t>
  </si>
  <si>
    <t>Lacaze, Emilie; Pedelucq, Julie; Fortier, Marlene; Brousseau, Pauline; Auffret, Michel; Budzinski, Helene; Fournier, Michel</t>
  </si>
  <si>
    <t>Genotoxic and immunotoxic potential effects of selected psychotropic drugs and antibiotics on blue mussel (Mytilus edulis) hemocytes</t>
  </si>
  <si>
    <t>Pharmaceuticals; Invertebrate; Hemolymph; Comet assay; Phagocytosis; Intracellular ROS</t>
  </si>
  <si>
    <t>WASTE-WATER CONTAMINANTS; SEROTONIN REUPTAKE INHIBITORS; SOLID-PHASE EXTRACTION; PERSONAL CARE PRODUCTS; PHARMACEUTICAL COMPOUNDS; LIQUID-CHROMATOGRAPHY; DREISSENA-POLYMORPHA; IN-VITRO; ENVIRONMENTAL CONTAMINANTS; AQUATIC ENVIRONMENT</t>
  </si>
  <si>
    <t>The potential toxicity of pharmaceuticals towards aquatic invertebrates is still poorly understood and sometimes controversial. This study aims to document the in vitro genotoxicity and immunotoxicity of psychotropic drugs and antibiotics on Mytilus edulis. Mussel hemocytes were exposed to fluoxetine, paroxetine, venlafaxine, carbamazepine, sulfamethoxazole, trimethoprim and erythromycin, at concentrations ranging from mu g/L to mg/L. Paroxetine at 1.5 mu g/L led to DNA damage while the same concentration of venlafaxine caused immunomodulation. Fluoxetine exposure resulted in genotoxicity, immunotoxicity and cytotoxicity. In the case of antibiotics, trimethoprim was genotoxic at 200 mu g/L and immunotoxic at 20 mg/L whereas erythromycin elicited same detrimental effects at higher concentrations. DNA metabolism seems to be a highly sensitive target for psychotropic drugs and antibiotics. Furthermore, these compounds affect the immune system of bivalves, with varying intensity. This attests the relevance of these endpoints to assess the toxic mode of action of pharmaceuticals in the aquatic environment. (C) 2015 Elsevier Ltd. All rights reserved.</t>
  </si>
  <si>
    <t>[Lacaze, Emilie; Pedelucq, Julie; Fortier, Marlene; Brousseau, Pauline; Fournier, Michel] Univ Quebec, Inst Armand Frappier, INRS, Laval, PQ H7V 1B7, Canada; [Pedelucq, Julie; Budzinski, Helene] Univ Bordeaux 1, EPOC LPTC, UMR 5805, F-33405 Talence, France; [Auffret, Michel] Inst Univ Europeen Mer, LEMAR UMR CNRS 6539, F-29280 Plouzane, France</t>
  </si>
  <si>
    <t>University of Quebec; Institut national de la recherche scientifique (INRS); Centre National de la Recherche Scientifique (CNRS); CNRS - National Institute for Earth Sciences &amp; Astronomy (INSU); Universite de Bordeaux; Universite de Bretagne Occidentale; Institut Universitaire Europeen de la Mer (IUEM); Centre National de la Recherche Scientifique (CNRS); Ifremer; Institut de Recherche pour le Developpement (IRD)</t>
  </si>
  <si>
    <t>Lacaze, E (corresponding author), Univ Quebec, Inst Armand Frappier, INRS, 531 Prairies Blvd, Laval, PQ H7V 1B7, Canada.</t>
  </si>
  <si>
    <t>emilie.lacaze01@gmail.com; julie.pedelucq@iaf.inrs.ca; h.budzinski@epoc.u-bordeaux1.fr; michel.foumier@iaf.inrs.ca</t>
  </si>
  <si>
    <t>task 3 of the ANR/NSERC International Research Program IPOC (Interaction between POllution and Climate changes)</t>
  </si>
  <si>
    <t>task 3 of the ANR/NSERC International Research Program IPOC (Interaction between POllution and Climate changes)(Agence Nationale de la Recherche (ANR))</t>
  </si>
  <si>
    <t>This study was funded under the task 3 of the ANR/NSERC International Research Program IPOC (Interaction between POllution and Climate changes). The authors are grateful to Simon Doche and Antoine Gougeard for helping in laboratory. The authors thank Christine Kleinert for the English revision of the manuscript.</t>
  </si>
  <si>
    <t>10.1016/j.envpol.2015.03.025</t>
  </si>
  <si>
    <t>WOS:000354581900022</t>
  </si>
  <si>
    <t>Shenai-Tirodkar, P. S.; Gauns, M. U.; Ansari, Z. A.</t>
  </si>
  <si>
    <t>Evaluation of surface water and sediment quality in Chicalim Bay, Nerul Creek, and Chapora Bay from Goa coast, India-a statistical approach</t>
  </si>
  <si>
    <t>Environment quality; Oyster beds; Anthropogenic activities; Multivariate analysis; Estuaries</t>
  </si>
  <si>
    <t>WEST-COAST; ORGANIC-MATTER; ZUARI ESTUARY; RIVER INDIA; MANDOVI; ANDAMAN</t>
  </si>
  <si>
    <t>To better understand the spatial and temporal variation in surface water and sediment quality, parameters were evaluated from the three sites Chicalim Bay (CB), Nerul Creek (NC), and Chapora Bay (ChB) along the Goa coast, which has major oyster beds. Multivariate analysis such as cluster analysis (CA), Box-Whisker plot (Box plot), and principle component analysis (PCA) revealed that nitrate (NO3-N), nitrite (NO2-N), phosphate (PO4-P), particulate organic carbon (POC), total suspended solids (TSS), dissolved oxygen (DO), and phaeopigments are the responsible parameters for spatio-temporal variability among the studied sites. Results showed an elevated level of ecotoxicological hazard at CB while moderate toxicological risks were observed for organisms at NC. In contrast, ChB was considerably pristine compared with other two sampling sites. Results of present study showed marked dominance of nutrients, phaeopigments, POC, and TSS at CB and NC. The increased levels of these parameters are attributed to the anthropogenic activities which may cause potential risk to humans via consumption of oysters. Therefore, we suggest monitoring heavy metal concentrations in tissue of commercially important oyster species, and their ambient environment (water and sediment) from these estuaries is necessary to create a comprehensive pollution database.</t>
  </si>
  <si>
    <t>[Shenai-Tirodkar, P. S.; Gauns, M. U.; Ansari, Z. A.] CSIR Natl Inst Oceanog, Panaji 403004, Goa, India</t>
  </si>
  <si>
    <t>Gauns, MU (corresponding author), CSIR Natl Inst Oceanog, Panaji 403004, Goa, India.</t>
  </si>
  <si>
    <t>gmangesh@nio.org</t>
  </si>
  <si>
    <t>The authors are thankful to S. W. A. Naqvi, Director, CSIR-NIO for his encouragement and providing all facilities to carry out this work. I would also like to acknowledge CSIR, New Delhi for providing CSIR-Senior Research Fellowship. We thank our colleagues Mr. Prakash Mehra from Marine Instrumentation Division, for sharing the measured climatological data and Mrs. Supriya Karapurkar from Chemical Oceanography Division for her valuable help in analyzing element from sediment. This paper forms a part of the PhD research of P. S. Shenai-Tirodkar. We thank the anonymous reviewers for their constructive comments on our manuscript. This is NIO contribution no. 5907.</t>
  </si>
  <si>
    <t>10.1007/s10661-016-5445-6</t>
  </si>
  <si>
    <t>WOS:000381144300029</t>
  </si>
  <si>
    <t>Mikac, N; Turk, MF; Petrovic, D; Bigovic, M; Krivokapic, S</t>
  </si>
  <si>
    <t>Mikac, Nevenka; Turk, Martina Furdek; Petrovic, Dragana; Bigovic, Miljan; Krivokapic, Sladjana</t>
  </si>
  <si>
    <t>First assessment of butyltins (BuTs) contamination of the Montenegrin coast (Southeast Adriatic): Tributyltin (TBT) poses a threat to the marine ecosystem</t>
  </si>
  <si>
    <t>Tributyltin (TBT); Butyltins (BuTs); Pollution; Montenegrin Adriatic coast; Sediments; Mussels</t>
  </si>
  <si>
    <t>ORGANOTIN COMPOUNDS; DESORPTION BEHAVIOR; PORT CAMARGUE; BALTIC SEA; SEDIMENTS; POLLUTION; IMPOSEX; TIN; SORPTION; ENVIRONMENTS</t>
  </si>
  <si>
    <t>This study presents the first assessment of butyltins (BuTs) pollution of the Montenegrin coast. The distribution of tributyltin (TBT), dibutyltin (DBT) and monobutyltin (MBT) was investigated in mussels, sediments and water overlying sediment after the sediment resuspension. The results showed that the investigated sites (marinas, ports, shipyards) are contaminated with BuTs (19-402 ng (Sn)/g in mussels; 43-20,641 ng (Sn)/g in sediments; 9-566 ng (Sn)/L in overlying waters). The measured TBT concentrations indicate that toxic effects on marine organisms are expected at most locations. The simultaneous analysis of BuTs and total Sn in sediment cores allowed the assessment of TBT historical input, while it was demonstrated that resuspension of contaminated sediments leads to the release of all BuTs into the water column. This study shows that, despite the ban of TBT-based antifouling paints more than a decade ago, pollution of the marine environment with TBT is still a problem and regular monitoring remains essential.</t>
  </si>
  <si>
    <t>[Mikac, Nevenka; Turk, Martina Furdek] Rudjer Boskovic Inst, Div Marine &amp; Environm Res, Zagreb 10000, Croatia; [Petrovic, Dragana; Bigovic, Miljan; Krivokapic, Sladjana] Univ Montenegro, Fac Nat Sci &amp; Math, Podgorica 81000, Montenegro</t>
  </si>
  <si>
    <t>Rudjer Boskovic Institute; University of Montenegro</t>
  </si>
  <si>
    <t>Turk, MF (corresponding author), Rudjer Boskovic Inst, Div Marine &amp; Environm Res, Zagreb 10000, Croatia.</t>
  </si>
  <si>
    <t>mfurdek@irb.hr</t>
  </si>
  <si>
    <t>Bigovic, Miljan/ABG-3194-2020; Furdek Turk, Martina/JWP-7025-2024</t>
  </si>
  <si>
    <t>Croatian Science Foundation [7555]; Croatian and Montenegrin Ministries of Science</t>
  </si>
  <si>
    <t>Croatian Science Foundation; Croatian and Montenegrin Ministries of Science</t>
  </si>
  <si>
    <t>The work was supported by the Croatian Science Foundation [grant number 7555] and carried out in the frame of the bilateral Croatian-Montenegrin collaboration supported by the Croatian and Montenegrin Ministries of Science. The authors would like to thank Dr. Radmila Milacic and Dr. Janez Scancar for the analyses of BuTs in water samples, and to Dr. Niko Bacic, Dr. Mavro Lucic and Dr. Maja Ivanic for their contribution in the field research.</t>
  </si>
  <si>
    <t>10.1016/j.marpolbul.2022.114270</t>
  </si>
  <si>
    <t>6Q5KE</t>
  </si>
  <si>
    <t>WOS:000891651800001</t>
  </si>
  <si>
    <t>Villela, IV; de Oliveira, IM; da Silva, J; Henriques, JAP</t>
  </si>
  <si>
    <t>Villela, Izabel Vianna; de Oliveira, Iuri Marques; da Silva, Juliana; Pegas Henriques, Joao Antonio</t>
  </si>
  <si>
    <t>DNA damage and repair in haemolymph cells of golden mussel (Limnoperna fortunei) exposed to environmental contaminants</t>
  </si>
  <si>
    <t>Limnoperna fortunei; water genotoxicity; comet assay; micronucleus test</t>
  </si>
  <si>
    <t>IN-VIVO; ZEBRA MUSSEL; GENOTOXICITY ASSESSMENT; DREISSENA-POLYMORPHA; MICRONUCLEUS ASSAY; STRAND BREAKS; COMET ASSAY; GILL CELLS; HEMOCYTES; INDUCTION</t>
  </si>
  <si>
    <t>The development of methodologies for biomonitoring freshwater ecosystems is of particular relevance in view of the serious problem of aquatic environmental pollution. The mussel species Limnoperna fortunei (golden mussel) was chosen to be tested as a biomonitor organism based on its population data and distribution. L. fortunei individuals were exposed to UV radiation in vitro, and in vivo to pentachlorophenol (PCP) and copper sulphate (CuSO4), with the aim of standardizing comet assay and micronucleus test methodologies and evaluating the potential of this organism as a biomonitor. Haemolymph cells immobilized in agarose on slides exposed to UV radiation showed a dose-response relationship with maximum damage at 4.2 J/m(2). For the chemical tests, individuals were exposed for 2 h for the comet assay and 24 and 48 h for the micronucleus test. A dose-response relationship was observed for both chemicals. 3 x 10(-5) M CuSO4 induced high genotoxicity, also producing some toxicity after 48 h of exposure. PCP induced maximum damage in both assays at 150 mu g/L. Individuals exposed to PCP showed 100% repair 2 h after the exposure period, as assessed by the comet assay. Exposure to an environmental sample over 7 days confirmed the mussel sensitivity to water contaminants, detected both by the comet assay and the micronucleus test. The results allow us to suggest the golden mussel as a potential biomonitor organism. (c) 2006 Elsevier B.V. All rights reserved.</t>
  </si>
  <si>
    <t>Univ Fed Rio Grande do Sul, GENOTOX Ctr Biotecnol, PPG Biol Celular &amp; Mol, BR-91501970 Porto Alegre, RS, Brazil; Univ Luterana Brasil, Lab Genet Toxicol, Curso Biol, Curso Farm, Canoas, RS, Brazil</t>
  </si>
  <si>
    <t>Universidade Federal do Rio Grande do Sul; Universidade Luterana do Brasil</t>
  </si>
  <si>
    <t>Henriques, JAP (corresponding author), Univ Fed Rio Grande do Sul, GENOTOX Ctr Biotecnol, PPG Biol Celular &amp; Mol, Av Bento Goncalves,Predio 43421,Campus Vale,Caixa, BR-91501970 Porto Alegre, RS, Brazil.</t>
  </si>
  <si>
    <t>pegas@cbiot.ufrgs.br</t>
  </si>
  <si>
    <t>de oliveira, Iuri/L-7585-2015; da Silva, Juliana/J-8996-2012</t>
  </si>
  <si>
    <t>da Silva, Juliana/0000-0002-1089-6766; Villela, Izabel/0000-0003-2722-8198</t>
  </si>
  <si>
    <t>10.1016/j.mrgentox.2006.02.006</t>
  </si>
  <si>
    <t>054TN</t>
  </si>
  <si>
    <t>WOS:000238401600009</t>
  </si>
  <si>
    <t>Wu, H; Liu, JL; Bi, XY; Lin, GH; Feng, CC; Li, ZJ; Qi, F; Zheng, TL; Xie, LQ</t>
  </si>
  <si>
    <t>Wu, Hao; Liu, Jinling; Bi, Xiangyang; Lin, Guanghui; Feng, Christopher C.; Li, Zhengjie; Qi, Fei; Zheng, Tianling; Xie, Liqi</t>
  </si>
  <si>
    <t>Trace metals in sediments and benthic animals from aquaculture ponds near a mangrove wetland in Southern China</t>
  </si>
  <si>
    <t>Trace metal; Aquaculture; Mangrove wetland</t>
  </si>
  <si>
    <t>HEAVY-METALS; HONG-KONG; RISK-ASSESSMENT; MARICULTURE; WATER; FISH; POLLUTION; SOIL; CONTAMINATION; AVAILABILITY</t>
  </si>
  <si>
    <t>In this study, we measured the concentrations of trace metals (Cr, Cu, Zn, As, Cd, Pb and Hg) in typical cultured animals (crabs, clams, and shrimps) and sediments from aquaculture ponds nearby mangrove wetlands in Zhangjiang estuary, China. The contents of Cr, Cu, Cd, and Pb in mangrove sediments were significantly higher than those in pond sediments, while an inverse distribution was observed for Zn, As, and Hg. Significantly higher concentrations of trace metals were found in clams from the mangrove mudfiats compared to those from the aquaculture ponds. The sources of trace metals in the clams were primarily from organic fertilizer, whereas those in the shrimp were from contaminated sediment. The results of geo-accumulation index and the ecological risk assessment indicated that the aquaculture ponds near the mangrove wetlands in this subtropical estuary posed a special risk of endogenous and exogenous trace metal pollution to nearby systems. (C) 2017 Elsevier Ltd. All rights reserved.</t>
  </si>
  <si>
    <t>[Liu, Jinling; Bi, Xiangyang] China Univ Geosci, Sch Earth Sci, Wuhan 430074, Peoples R China; [Wu, Hao] Shenzhen Entry Exit Inspect &amp; Quarantine Bur, Food Inspect &amp; Quarantine Technol Ctr, Shenzhen 518016, Peoples R China; [Wu, Hao; Lin, Guanghui; Feng, Christopher C.] Tsinghua Univ, Shenzhen Key Lab Coastal Dynam &amp; Environm, Grad Sch Shenzhen, Div Ocean Sci &amp; Technol, Shenzhen 518055, Peoples R China; [Li, Zhengjie; Qi, Fei; Zheng, Tianling; Xie, Liqi] Xiamen Univ, Coll Environm, Key Lab MOE Coast &amp; Wetland Ecosyst, Xiamen 361005, Peoples R China</t>
  </si>
  <si>
    <t>China University of Geosciences; Tsinghua Shenzhen International Graduate School; Tsinghua University; Xiamen University</t>
  </si>
  <si>
    <t>Liu, JL (corresponding author), China Univ Geosci, Sch Earth Sci, Wuhan 430074, Peoples R China.</t>
  </si>
  <si>
    <t>liujinling@cug.edu.cn</t>
  </si>
  <si>
    <t>Zheng, TL/G-3974-2010; Yan, Jing/JFA-6705-2023; Hao, Wu/AAS-8505-2021; Li, Zhengjie/L-9250-2013; LI, MINGZE/KEI-2317-2024</t>
  </si>
  <si>
    <t>Liu, Jinling/0000-0002-9989-6550; Wu, Hao/0000-0002-9227-2614</t>
  </si>
  <si>
    <t>Fundamental Research Funds for the Central Universities; China University of Geosciences (Wuhan) [CUGL160403]; National Natural Science Foundation of China [21307140, 41503086]</t>
  </si>
  <si>
    <t>Fundamental Research Funds for the Central Universities(Fundamental Research Funds for the Central Universities); China University of Geosciences (Wuhan); National Natural Science Foundation of China(National Natural Science Foundation of China (NSFC))</t>
  </si>
  <si>
    <t>This study was funded in part by the Fundamental Research Funds for the Central Universities, China University of Geosciences (Wuhan) (No. CUGL160403), and National Natural Science Foundation of China (No. 21307140, 41503086).</t>
  </si>
  <si>
    <t>10.1016/j.marpolbul.2017.01.026</t>
  </si>
  <si>
    <t>WOS:000399258600067</t>
  </si>
  <si>
    <t>Paixoa, JF; Nascimento, IA; Pereira, SA; Leite, MBL; Carvalho, GC; Silveira, JSC ; Rebouças, M; Matias, GRA; Rodrigues, ILP</t>
  </si>
  <si>
    <t>Paixoa, J. F.; Nascimento, I. A.; Pereira, S. A.; Leite, M. B. L.; Carvalho, G. C.; Silveira, J. S. C., Jr.; Reboucas, M.; Matias, G. R. A.; Rodrigues, I. L. P.</t>
  </si>
  <si>
    <t>Estimating the gasoline components and formulations toxicity to microalgae (Tetraselmis chuii) and oyster (Crassostrea rhizophorae) ernbryos: An approach to minimize environmental pollution risk</t>
  </si>
  <si>
    <t>gasoline toxicity; gasoline-component's toxicity; microalgae-toxicity-test; oyster embryonic-development-toxicity-test</t>
  </si>
  <si>
    <t>POLYCYCLIC AROMATIC-HYDROCARBONS; SEDIMENTS; PAHS; BIOAVAILABILITY; PHOTOSYNTHESIS; ORIGIN</t>
  </si>
  <si>
    <t>Even though petrochemical contamination frequently occurs in the form of oil spills, it is thought that a greater danger to coastal habitats is posed by chronic petrochemical toxicity associated with urban run-off, in which gasoline water-soluble-fraction (WSF) plays an important role. The hypothesis of the entrepreneurs, who were associated to the scientists uncharged of this research, was that recycled petrochemical waste may provide different gasoline formulations, having different toxic properties; the correlation between the gasoline formulations and their components' toxicological effects might contribute to the reformulation of the products, in such a way that the gasoline generated could be less toxic and less harmful to the environment. The aim of this research was to determine the toxic effects of 14 different types of gasoline (formulated, in accordance with National Petroleum Agency standards, from petrochemical waste), on Tetraselmis chuii (microalgae culture) and Crassostrea rhizophorae (embryos). Microalgae and oyster embryos were exposed to different gasoline formulations water-soluble fractions (WSF) at a range of concentrations (0%, 4.6%, 10.0%, 22.0%, 46.0%, and 100%), for 96 and 24h, respectively. The tests were carried out under controlled conditions. End-points have been CI50-96h (concentration causing 50% growth inhibition in microalgae cultures) and EC50-24h (concentration causing abnormalities on 50% of the exposed embryos). Through these procedures, gasoline formulations, which represent the lowest environmental risk, were selected. Bioassays carried out on the 8 different gasoline components aimed to correlate gasoline toxicity with the toxic potential of its components. The analysis of principal components showed that the C9DI, a mixture of aromatic hydrocarbons of 9 carbon atoms, had the highest level of toxic potential, followed by C9S (a mixture of aromatics with 9-11 carbon atoms) and heavy naphtha. The results showed gasoline formulations 1-4 (monoaromatic hydrocarbons being the most conspicuous components) to be the least toxic, whilst formulations 12-14 (having higher content of C9131, C9S and naphtha) were found to be the most harmful to organisms. This study led to the identification of the most toxic WSF gasoline components (C9DI and C9S), and to the possibility of developing more ecocompatible gasoline formulations. (c) 2006 Elsevier Inc. All rights reserved.</t>
  </si>
  <si>
    <t>Univ Fed Bahia, Inst Biol, BR-40210 Salvador, BA, Brazil; Technol &amp; Sci Fac, Salvador, BA, Brazil; BRASKEM, Camacari, BA, Brazil</t>
  </si>
  <si>
    <t>Universidade Federal da Bahia; Braskem</t>
  </si>
  <si>
    <t>Nascimento, IA (corresponding author), Ave Ocean 2353-403, BR-40140131 Salvador, BA, Brazil.</t>
  </si>
  <si>
    <t>iracema@ftc.br</t>
  </si>
  <si>
    <t>Nascimento, Iracema/L-5069-2015; Armond Matias Ferreira, Graça Regina/JLM-3311-2023; Reboucas, Marcio/H-3079-2016; Carvalho, Gilson/F-8051-2014</t>
  </si>
  <si>
    <t>Reboucas, Marcio/0000-0002-8094-9587; Carvalho, Gilson/0000-0003-1800-888X</t>
  </si>
  <si>
    <t>10.1016/j.envres.2006.06.015</t>
  </si>
  <si>
    <t>WOS:000244903200010</t>
  </si>
  <si>
    <t>Gao, YM; Huang, W; Jiang, NJ; Fang, JKH; Hu, MH; Shang, YY; Wang, YJ</t>
  </si>
  <si>
    <t>Gao, Yiming; Huang, Wei; Jiang, Ningjin; Fang, James K. H.; Hu, Menghong; Shang, Yueyong; Wang, Youji</t>
  </si>
  <si>
    <t>Combined effects of microfibers and polychlorinated biphenyls on the immune function of hemocytes in the mussel Mytilus coruscus</t>
  </si>
  <si>
    <t>Microfibers; Polychlorinated biphenyls; Combined stress; Hemocyte</t>
  </si>
  <si>
    <t>CRASSOSTREA-GIGAS; ORGANOCHLORINE PESTICIDES; ORGANIC POLLUTANTS; OXIDATIVE STRESS; LOW-TEMPERATURE; PACIFIC OYSTER; CELL-DEATH; MICROPLASTICS; RESPONSES; EXPOSURE</t>
  </si>
  <si>
    <t>Numerous studies have shown that microplastics can interact with other pollutants in the environment to produce synergistic effects, leading to more serious impacts. To date, there is little consensus on the combined effects of microfibers (MFs) and polychlorinated biphenyls (PCBs, Aroclor 1254), two legacy and alarming environmental pollutants. There is an urgent need to assess the impact of combined exposures on bivalve immune defences. In this study, we assessed the immune response of the mussels (Mytilus coruscus) hemocyte to MFs and PCBs alone and in combination by using flow cytometry. M. coruscus were exposed to MFs (1000 pieces/L) and PCBs (PCBs) (100 ng/L and 1000 ng/L) alone or in combination for 14 consecutive days and recovered for 7 days. The hemocyte of M. coruscus was collected on day 7, 14 and 21. MF exposure alone had no effect on the hemocyte. The total hemocyte count (THC), esterase (EA), lysosomal contents (LC), mitochondrial number (MN) and mitochondrial membrane potential (MMP) of mussels showed a decreasing trend with increasing PCB concentrations, both individually and in combination; The decreases in EA, MN and MMP were associated with the induction of reactive oxygen species (ROS). Hemocyte mortality (HM) was associated with a decrease in THC. Combined exposure to MFs and PCBs would exacerbate the effects on hemocyte immunity. These new findings improve our understanding of the toxic effects of MFs and organic chemical pollutants, and demonstrate the potential mechanism of PCBs to bivalves through changes in hemolymph immunity-related indicators.</t>
  </si>
  <si>
    <t>[Gao, Yiming; Jiang, Ningjin; Hu, Menghong; Shang, Yueyong; Wang, Youji] Shanghai Ocean Univ, Int Res Ctr Marine Biosci, Minist Sci &amp; Technol, Shanghai 201306, Peoples R China; [Huang, Wei; Wang, Youji] Minist Nat Resources, Inst Oceanog 2, State Key Lab Satellite Ocean Environm Dynam, Hangzhou 310012, Peoples R China; [Gao, Yiming; Jiang, Ningjin; Hu, Menghong; Shang, Yueyong; Wang, Youji] Shanghai Ocean Univ, Key Lab Explorat &amp; Utilizat Aquat Genet Resources, Minist Educ, Shanghai 201306, Peoples R China; [Fang, James K. H.] Hong Kong Polytech Univ, Dept Food Sci &amp; Nutr, Hung Hom, Hong Kong, Peoples R China; [Huang, Wei] Minist Nat Resources, Inst Oceanog 2, Key Lab Marine Ecosyst Dynam, Hangzhou 310012, Peoples R China</t>
  </si>
  <si>
    <t>Shanghai Ocean University; Ministry of Natural Resources of the People's Republic of China; Second Institute of Oceanography, Ministry of Natural Resources; Shanghai Ocean University; Hong Kong Polytechnic University; Ministry of Natural Resources of the People's Republic of China; Second Institute of Oceanography, Ministry of Natural Resources</t>
  </si>
  <si>
    <t>Shang, YY; Wang, YJ (corresponding author), Shanghai Ocean Univ, Int Res Ctr Marine Biosci, Minist Sci &amp; Technol, Shanghai 201306, Peoples R China.</t>
  </si>
  <si>
    <t>yyshang06@gmail.com; youjiwang2@gmail.com</t>
  </si>
  <si>
    <t>Shang, Yueyong/HTL-4592-2023; Fang, James/H-2088-2017; Huang, Wei/L-7090-2019; Wang, Youji/B-8086-2011</t>
  </si>
  <si>
    <t>Wang, Youji/0000-0003-3011-1919</t>
  </si>
  <si>
    <t>Innovation Program of Shanghai Municipal Education Commission [2023-05-58, 31872587]; National Natural Science Foundation of China</t>
  </si>
  <si>
    <t>Innovation Program of Shanghai Municipal Education Commission(Innovation Program of Shanghai Municipal Education Commission); National Natural Science Foundation of China(National Natural Science Foundation of China (NSFC))</t>
  </si>
  <si>
    <t>This work was supported by the Innovation Program of Shanghai Municipal Education Commission (2023-05-58) and the grant (31872587) from the National Natural Science Foundation of China.</t>
  </si>
  <si>
    <t>10.1016/j.marenvres.2023.106214</t>
  </si>
  <si>
    <t>Z6IZ4</t>
  </si>
  <si>
    <t>WOS:001113107100001</t>
  </si>
  <si>
    <t>Louis, F; Devin, S; Giambérini, L; Potet, M; David, E; Pain-Devin, S</t>
  </si>
  <si>
    <t>Louis, Fanny; Devin, Simon; Giamberini, Laure; Potet, Marine; David, Elise; Pain-Devin, Sandrine</t>
  </si>
  <si>
    <t>Energy allocation in two dreissenid species under metal stress</t>
  </si>
  <si>
    <t>Dreissena spp.; Metal; Biomarkers; Scope for growth</t>
  </si>
  <si>
    <t>MULTI-BIOMARKER RESPONSES; FRESH-WATER MUSSEL; ZEBRA MUSSEL; PHYSIOLOGICAL ENERGETICS; QUAGGA MUSSELS; POLLUTION GRADIENT; GENE-EXPRESSION; MYTILUS-EDULIS; POLYMORPHA; GROWTH</t>
  </si>
  <si>
    <t>Measurements of biological responses on living organisms are essential in aquatic biomonitoring. In freshwaters, Dreissena polymorpha is an invasive bivalve commonly used in ecotoxicological studies and considered as a model organism. However, D. polymorpha abundances are declining while another species colonizes most of the freshwaters: Dreissena rostriformis bugensis. This species has already been studied in ecophysiology but there is still a lack of data concerning its responses to stressors before its use as a bioindicator of environmental pollution. This study aims to compare the responses of the two species exposed to metal stress. Responses at different levels of biological organization were targeted with measurement of sub-cellular and individual biomarkers following an exposure of up to 7 days to cadmium at 10 mu g.L-1. At the individual level, the scope for growth (SFG) was measured. It corresponds to the energy allocated to growth and reproduction. D. polymorpha exhibits variations in biomarker measurements as well as in the SEC in presence of Cd. D. r. bugensis shows no variation in its responses at the different targeted levels. According to the present results, energy metabolism seems to have an essential role for these species when facing a metal stress. Different energy allocation strategies were evidenced between the two species, although the link with biochemical biomarkers is more evident for D. polymorpha than for D. r. bugensis. (C) 2018 Elsevier Ltd. All rights reserved.</t>
  </si>
  <si>
    <t>[Louis, Fanny; David, Elise] Univ Reims, UMR 02 SEBIO Stress Environm &amp; Biosurveillance Mi, Reims, France; [Louis, Fanny; Devin, Simon; Giamberini, Laure; Potet, Marine; Pain-Devin, Sandrine] Univ Lorraine, CNRS, LIEC, F-57000 Metz, France</t>
  </si>
  <si>
    <t>Universite de Reims Champagne-Ardenne; Centre National de la Recherche Scientifique (CNRS); Universite de Lorraine</t>
  </si>
  <si>
    <t>Louis, F (corresponding author), SEBIO, UFR SEN, Campus Moulin Housse,BP 1039, F-51687 Reims 2, France.</t>
  </si>
  <si>
    <t>fanny.louis@univ-reims.fr</t>
  </si>
  <si>
    <t>Devin, Simon/0000-0003-4431-4987; David, Elise/0000-0001-8190-4498; Louis, Fanny/0000-0002-9101-0786</t>
  </si>
  <si>
    <t>French foundation ROVALTA1N through PolQua program (RT2E 2015)</t>
  </si>
  <si>
    <t>We wish to thank Sharon Kruger for English corrections, Jean Francois Poinsaint for his help during experimental set up as well as Benedicte Sohm for his help with the cytometer. We also acknowledge the diving club Club Aquasport Plongee for its help during organisms' collection. This work was supported by the French foundation ROVALTA1N through PolQua program (RT2E 2015).</t>
  </si>
  <si>
    <t>10.1016/j.envpol.2018.11.079</t>
  </si>
  <si>
    <t>HJ9IK</t>
  </si>
  <si>
    <t>WOS:000457511900095</t>
  </si>
  <si>
    <t>Manachini, B; Arizza, V; Rinaldi, A; Montalto, V; Sarà, G</t>
  </si>
  <si>
    <t>Manachini, B.; Arizza, V.; Rinaldi, A.; Montalto, V.; Sara, G.</t>
  </si>
  <si>
    <t>Eco-physiological response of two marine bivalves to acute exposition to commercial Bt-based pesticide</t>
  </si>
  <si>
    <t>Bacillus thuringiensis; Mytilaster minimus; Brachidontes pharaonis; Biological pollution; Biopesticides; Alien species; Agricultural coastal areas</t>
  </si>
  <si>
    <t>THURINGIENSIS VAR. ISRAELENSIS; CORN CRY1AB GENE; ENERGY BUDGET; AGRICULTURAL INTENSIFICATION; ELLIPTIO-COMPLANATA; BIOLOGICAL-CONTROL; CRASSOSTREA-GIGAS; ORGANIC-MATTER; PACIFIC OYSTER; BACILLUS</t>
  </si>
  <si>
    <t>Microbial products based on the entomopathogenic bacterium Bacillus thuringiensis (Bt) are among the most common biopesticides used worldwide to suppress insect pests in forests, horticulture and agricultural crops. Some of the effects of commercial Bt have been recorded for terrestrial and freshwater non-target organisms but little research is available on marine fauna. Nevertheless, due to the contiguity of agro-ecosystems and coastal habitats, marine fauna may be highly influenced by this control method. We studied the effect of a commercial Bt product on the physiological and ecological responses and the energy budget of two of the most frequent marine intertidal bivalves in the Mediterranean, the native Mytilaster minimus and the invasive Brachidontes pharaonis. To test the effects experimentally, we simulated the worst scenarios possible using the average dose applied to fields and a hypothetical accumulation dose. The results showed the feeding rates of both species were affected detrimentally by the different experimental conditions; higher concentrations led to higher respiration rates, however neither species showed any significant difference in excretion rates. The biopesticide had a significant effect on the energy budget, the values decreasing with doses. In addition, it led to high mortality for the worst treatments and, in both species, induced significantly higher cardiac activity than in the controls. These results indicate a measurable effect of Bt commercial products on marine organisms, and great attention should be paid to biopesticides composed by entomopathogenic bacteria and addictive compounds. In addition, the results highlight the urgent need to study not only the effects of anthropogenic pressures on target organisms but also to extend our view to other ecosystems not expected to be influenced. Gaining data at the organismal level should help increase the sustainability of pest control and reduce the consequences of side-effects. (C) 2012 Elsevier Ltd. All rights reserved.</t>
  </si>
  <si>
    <t>[Manachini, B.; Arizza, V.] Univ Palermo, Dipartimento Biol Ambientale &amp; Biodiversita, I-90128 Palermo, Italy; [Rinaldi, A.; Montalto, V.; Sara, G.] Univ Palermo, Dipartimento Sci Terra &amp; Mare DiSTeM, I-90128 Palermo, Italy</t>
  </si>
  <si>
    <t>University of Palermo; University of Palermo</t>
  </si>
  <si>
    <t>Sarà, G (corresponding author), Univ Palermo, Dipartimento Sci Terra &amp; Mare DiSTeM, Viale Sci Ed 16, I-90128 Palermo, Italy.</t>
  </si>
  <si>
    <t>gianluca.sara@unipa.it</t>
  </si>
  <si>
    <t>Sara, Gianluca/AAG-7215-2020; Manachini, Barbara/F-6606-2012; Rinaldi, Alessandro/IUQ-1241-2023; Arizza, Vincenzo/I-3477-2012</t>
  </si>
  <si>
    <t>Manachini, Barbara/0000-0002-8857-4847; SARA', Gianluca/0000-0002-7658-5274; Arizza, Vincenzo/0000-0002-8772-7143; Rinaldi, Alessandro/0000-0002-5237-4990</t>
  </si>
  <si>
    <t>European Commission [200847CA28_002]</t>
  </si>
  <si>
    <t>European Commission(European Union (EU)European Commission Joint Research Centre)</t>
  </si>
  <si>
    <t>This paper has been partially inspired and sustained by INTERMED in the framework of the Circle ERA Net project (funded by the European Commission 6th Framework Programme) and PRIN 2008 n. 200847CA28_002. We are grateful to the students of the Experimental Ecology Lab for their help in the collection of date during mesocosm experiments.</t>
  </si>
  <si>
    <t>10.1016/j.marenvres.2012.10.006</t>
  </si>
  <si>
    <t>079UY</t>
  </si>
  <si>
    <t>WOS:000314198900005</t>
  </si>
  <si>
    <t>Mezghani-Chaari, S; Machreki-Ajmi, M; Tremolet, G; Kellner, K; Geffard, A; Minier, C; Hamza-Chaffai, A</t>
  </si>
  <si>
    <t>Mezghani-Chaari, Sawssan; Machreki-Ajmi, Monia; Tremolet, Gauthier; Kellner, Kristell; Geffard, Alain; Minier, Christophe; Hamza-Chaffai, Amel</t>
  </si>
  <si>
    <t>The endocrine-disrupting effect and other physiological responses of municipal effluent on the clam Ruditapes decussatus</t>
  </si>
  <si>
    <t>R. decussatus; Municipal wastewater effluents; Androgenic and estrogenic activities; Biomarkers; Reproduction; Endocrine disruption</t>
  </si>
  <si>
    <t>WATER TREATMENT-PLANT; ANTIOXIDANT ENZYME-ACTIVITIES; MUSSELS DREISSENA-POLYMORPHA; CELLULAR-ENERGY ALLOCATION; ESTROGENIC ACTIVITY; LIPID-PEROXIDATION; COLORIMETRIC DETERMINATION; ANDROGENIC ACTIVITY; MYA-ARENARIA; IN-VIVO</t>
  </si>
  <si>
    <t>In order to document the potential endocrine disrupting and toxic effect of the municipal wastewater effluents discharged into the Sfax coastal area (South of Tunisia), specimens of clam R. decussatus were collected from a reference site and were in vivo exposed to treated sewage effluent for 30 days. To this end, estrogenic and androgenic activities were measured in the gills to assess potential accumulation and regulation of active compounds. After effluent exposure androgenic activity in organic extracts increased up to fivefold compared to controls and remained elevated, while estrogenic activity was not significantly affected by exposure. As a consequence, remarkable disruptions in the gametogenesis activity, glycogen content, and Vitellogenin-like protein levels in male clams were observed. A parallel analysis of heavy metals in clam tissues was determined. A significant uptake of Ni, Zn, and Pb in soft tissues of exposed clams was observed. The significant increase of malondialdehyde (MDA) concentrations as a function of exposure time implies that clams have been exposed to an oxidative stress probably due to the presence of high metal concentrations in sewage effluent. Correlation analysis has revealed a statistically significant and positive relationship between MDA levels and metal concentrations in clams' tissues. The acetylcholinesterase activity was not significantly affected by exposure. Altogether, these results showed that a short-term exposure to a mixture of chemical compounds released by the Sfax wastewater treatment plant induce adverse physiological and reproductive effects in R. decussatus. Further studies are underway in order to evaluate its long-term impacts on aquatic wildlife in the gulf of Gabes area.</t>
  </si>
  <si>
    <t>[Mezghani-Chaari, Sawssan; Machreki-Ajmi, Monia; Hamza-Chaffai, Amel] Sfax Univ, Unit Marine &amp; Environm Toxicol, IPEIS, Sfax 3018, Tunisia; [Mezghani-Chaari, Sawssan; Tremolet, Gauthier; Minier, Christophe] Normandie Univ, UMR I SEBIO 02, F-76058 Le Havre, France; [Kellner, Kristell] Univ Caen Basse Normandie, CNRS INEE BioMEA FRE3484, F-14032 Caen, France; [Geffard, Alain] Univ Reims, UMR I SEBIO 02, F-51687 Reims, France</t>
  </si>
  <si>
    <t>Universite de Sfax; Universite Le Havre Normandie; Universite de Reims Champagne-Ardenne; Universite de Caen Normandie; Centre National de la Recherche Scientifique (CNRS); CNRS - Institute of Ecology &amp; Environment (INEE); Universite de Reims Champagne-Ardenne</t>
  </si>
  <si>
    <t>Mezghani-Chaari, S (corresponding author), Sfax Univ, Unit Marine &amp; Environm Toxicol, IPEIS, BP 1172, Sfax 3018, Tunisia.</t>
  </si>
  <si>
    <t>mezghani.sawssen@tunet.tn</t>
  </si>
  <si>
    <t>Geffard, Alain/0000-0001-9236-2890; AMEL, HAMZA-CHAFFAI/0000-0002-6210-7837</t>
  </si>
  <si>
    <t>10.1007/s11356-015-5199-7</t>
  </si>
  <si>
    <t>CY8CX</t>
  </si>
  <si>
    <t>WOS:000366637300039</t>
  </si>
  <si>
    <t>Luna-Acosta, A; Bustamante, P; Budzinski, H; Huet, V; Thomas-Guyon, H</t>
  </si>
  <si>
    <t>Luna-Acosta, A.; Bustamante, P.; Budzinski, H.; Huet, V.; Thomas-Guyon, H.</t>
  </si>
  <si>
    <t>Persistent organic pollutants in a marine bivalve on the Marennes-Oleron Bay and the Gironde Estuary (French Atlantic Coast)-Part 2: Potential biological effects</t>
  </si>
  <si>
    <t>Crassostrea gigas; Oxidative stress; Immune humoral defences; Polycyclic aromatic hydrocarbons; Persistent organic pollutants; Active biomonitoring</t>
  </si>
  <si>
    <t>OYSTER CRASSOSTREA-GIGAS; POLYCYCLIC AROMATIC-HYDROCARBONS; MUSSEL MYTILUS-GALLOPROVINCIALIS; SEASONAL-VARIATIONS; ANTIOXIDANT ENZYMES; SUMMER MORTALITY; PACIFIC OYSTERS; POLYCHLORINATED-BIPHENYLS; IMMUNOLOGICAL PARAMETERS; PEROXISOME PROLIFERATION</t>
  </si>
  <si>
    <t>Contaminant effects on defence responses of ecologically and economically important organisms, such as the Pacific oyster Crassostrea gigas, are likely to influence their ability to resist infectious diseases, particularly at the young stages. The aim of this study was to explore the potential relationships between organic contaminants accumulated in the soft tissues of juvenile oysters, defence responses and physiological condition. Oysters were transplanted during summer and winter periods in different sites in the Marennes-Oleron Bay, the first area of oyster production in France, and in the Gironde Estuary, the biggest estuary in Occidental Europe. Amongst the battery of biochemical and physiological biomarkers applied in the present work [superoxide dismutase (SOD), catalase, glutathione peroxidase (GPx), malondyaldehyde (MDA), catecholase, laccase and lysozyme in gills, digestive glands, mantle and haemolymph, glycogen, proteins and lipids in the digestive gland and the condition index at the whole-organism level], MDA and lysozyme in the digestive gland and SOD, GPx and laccase in plasma contributed in order to significantly discriminate the sites in which oysters bioaccumulated different levels of heavy polycyclic aromatic hydrocarbons (HPAHs), polychlorobiphenyls (PCBs), polybromodiphenylethers (PBDEs), dichlorodiphenyltrichloroethanes (DDTs) and lindane. These results strengthen the hypothesis that it is possible to differentiate sites depending on their contamination levels and biological effects by carrying out studies with transplanted juvenile oysters. In addition, correlations were found between antioxidant and immune-defence responses, and PAH and DDT body burdens in the first area of oyster production in France (the Marennes-Oleron Bay) and where considerable oyster mortalities have been reported. This result suggests that the presence of organic chemical contaminants in the Marennes-Oleron Bay may influence defence responses in juveniles of C. gigas, and, therefore, could influence their ability to resist infectious diseases. (C) 2014 Elsevier B.V. All rights reserved.</t>
  </si>
  <si>
    <t>[Luna-Acosta, A.; Bustamante, P.; Huet, V.; Thomas-Guyon, H.] Univ La Rochelle, UMR CNRS 7266, Littoral Environm &amp; Soc LIENSs, F-17042 Rochelle 01, France; [Budzinski, H.] Univ Bordeaux 1, UMR CNRS 5805, UMR EPOC, Lab Phys ToxicoChim Environm LPTC, F-33405 Talence, France; [Budzinski, H.] Univ Bordeaux 1, CNRS, UMR 5805, EPOC,Lab Phys ToxicoChim Environm LPTC, F-33405 Talence, France</t>
  </si>
  <si>
    <t>La Rochelle Universite; Centre National de la Recherche Scientifique (CNRS); CNRS - National Institute for Earth Sciences &amp; Astronomy (INSU); Universite de Bordeaux; Centre National de la Recherche Scientifique (CNRS); CNRS - National Institute for Earth Sciences &amp; Astronomy (INSU); Universite de Bordeaux</t>
  </si>
  <si>
    <t>Thomas, Howard/A-3152-2009; Bustamante, Paco/G-5833-2011</t>
  </si>
  <si>
    <t>THOMAS, Helene/0000-0002-7932-6841; Luna-Acosta, Andrea/0000-0002-4712-2721; Huet, Valerie/0000-0003-0976-5600; Bustamante, Paco/0000-0003-3877-9390; BUDZINSKI, Helene/0000-0001-5282-9011</t>
  </si>
  <si>
    <t>Conseil General de the Charente-Maritime; Region Poitou-Charentes; Region Aquitaine; Conseil General de la Charente-Maritime; Conseil General de la Gironde; Agence de l'Eau Adour-Garonne; CPER A2E</t>
  </si>
  <si>
    <t>Conseil General de the Charente-Maritime(Region Nouvelle-Aquitaine); Region Poitou-Charentes(Region Nouvelle-Aquitaine); Region Aquitaine(Region Nouvelle-Aquitaine); Conseil General de la Charente-Maritime(Region Nouvelle-Aquitaine); Conseil General de la Gironde(Region Nouvelle-Aquitaine); Agence de l'Eau Adour-Garonne; CPER A2E</t>
  </si>
  <si>
    <t>This study was supported by a PhD grant from the Conseil General de the Charente-Maritime for A. Luna-Acosta. Authors wish to thank M. Baudrimont and D. Fichet for supporting this study through the 'Defi Cadmium' project, financed by Region Poitou-Charentes, Region Aquitaine, Conseil General de la Charente-Maritime, Conseil General de la Gironde, and Agence de l'Eau Adour-Garonne. CPER A2E is also acknowledged for financial support. Authors also acknowledge R. Galois and M. Metian for their scientific advice for lipid and glycogen content and condition index analyses, M. Caine, J. Laheux and M. Pelmoine for their assistance during the study, and the Ifremer networks ROCCH and RAZLEC, the 'Site Ifremer consacre a l'environnement littoral' and especially O. Le Moine, P. Soletchnik, S. Guesdon, P-G. Sauriau, P. Miramand and T. Guyot, for data and references from Marennes-Oleron Bay. Authors also acknowledge C. Trichet and D. Vilday for their technical assistance during the study. Authors wish to also warmly thank T. Caquet and P. Legendre for their scientific advice and help in statistical analyses.</t>
  </si>
  <si>
    <t>10.1016/j.scitotenv.2014.10.050</t>
  </si>
  <si>
    <t>WOS:000352039500054</t>
  </si>
  <si>
    <t>Hannam, ML; Bamber, SD; Sundt, RC; Galloway, TS</t>
  </si>
  <si>
    <t>Hannam, M. L.; Bamber, S. D.; Sundt, R. C.; Galloway, T. S.</t>
  </si>
  <si>
    <t>Immune modulation in the blue mussel Mytilus edulis exposed to North Sea produced water</t>
  </si>
  <si>
    <t>Produced water; Polycyclic aromatic hydrocarbons; Mytilus edulis; Immunotoxicity; Phagocytosis</t>
  </si>
  <si>
    <t>POLYCYCLIC AROMATIC-HYDROCARBONS; COMMON MARINE MUSSEL; SAN-FRANCISCO BAY; MORPHOLOGICAL CHARACTERIZATION; INDUCED IMMUNOMODULATION; IMMUNOTOXIC RESPONSES; MULTIPLE BIOMARKERS; OIL-SPILL; HEMOCYTES; COPPER</t>
  </si>
  <si>
    <t>The discharge of oil well produced water (PW) provides a constant source of contaminants to the marine environment including polycyclic aromatic hydrocarbons, alkylated phenols, metals and production chemicals. High concentrations of PW cause adverse effects to exposed biota, including reduced survival, growth and reproduction. Here we explore the effects of PW on immune function in the blue mussel, Mytilus edulis. Mussels were exposed for 21 days to sublethal PW concentrations (0.125-0.5%) and cellular parameters were measured. Cell viability, phagocytosis and cytotoxicity were inhibited after exposure to 0.25% and 0.5% PW, whilst the 0.125% PW treatment produced significant increases in these biomarker responses. This biphasic response was only observed after 7 days exposure; longer exposure periods led to a reduction in immune parameters. Results indicate that PW concentrations close to the discharge point cause modulation to cellular immunity, The implications for longer-term disease resistance are discussed. (C) 2009 Elsevier Ltd. All rights reserved</t>
  </si>
  <si>
    <t>[Hannam, M. L.] Univ Plymouth, Sch Biol Sci, Ecotoxicol &amp; Stress Biol Res Ctr, Plymouth PL4 8AA, Devon, England; [Bamber, S. D.; Sundt, R. C.] IRIS Biomiljo, N-4070 Randaberg, Norway; [Galloway, T. S.] Univ Exeter, Sch Biosci, Hatherly Labs, Exeter EX4 4PS, Devon, England</t>
  </si>
  <si>
    <t>University of Plymouth; University of Exeter</t>
  </si>
  <si>
    <t>Hannam, ML (corresponding author), Univ Plymouth, Sch Biol Sci, Ecotoxicol &amp; Stress Biol Res Ctr, Plymouth PL4 8AA, Devon, England.</t>
  </si>
  <si>
    <t>marie.hannam@plymouth.ac.uk</t>
  </si>
  <si>
    <t>Galloway, Tamara/C-1662-2009</t>
  </si>
  <si>
    <t>Galloway, Tamara/0000-0002-7466-6775</t>
  </si>
  <si>
    <t>Joint Industry Project 'Produced Water Effects: Ekofisk Case Study', University of Plymouth (UK); IRIS-Akvamiljo (Norway).</t>
  </si>
  <si>
    <t>This study was funded by Total E&amp;P Norge AS and ConocoPhillips Norge through the Joint Industry Project 'Produced Water Effects: Ekofisk Case Study', University of Plymouth (UK) and IRIS-Akvamiljo (Norway).</t>
  </si>
  <si>
    <t>10.1016/j.envpol.2008.12.031</t>
  </si>
  <si>
    <t>447KY</t>
  </si>
  <si>
    <t>WOS:000266191200029</t>
  </si>
  <si>
    <t>de Campos, BG; Fontes, MK; Gusso-Choueri, PK; Marinsek, GP; Nobre, CR; Moreno, BB; Abreu, FEL; Fillmann, G; Mari, RD; Abessa, DMD</t>
  </si>
  <si>
    <t>de Campos, Bruno Galvao; Fontes, Mayana Karoline; Gusso-Choueri, Paloma Kachel; Marinsek, Gabriela Pustiglione; Nobre, Caio Rodrigues; Moreno, Beatriz Barbosa; Lemos Abreu, Fiamma Eugenia; Fillmann, Gilberto; Mari, Renata de Britto; de Souza Abessa, Denis Moledo</t>
  </si>
  <si>
    <t>A preliminary study on multi-level biomarkers response of the tropical oyster Crassostrea brasiliana to exposure to the antifouling biocide DCOIT</t>
  </si>
  <si>
    <t>Sea-nine; Bivalve; Toxicity; Neutral red; Histopathology; Environmental hazard</t>
  </si>
  <si>
    <t>MYTILUS-GALLOPROVINCIALIS L.; MUSSEL PERNA-PERNA; 4,5-DICHLORO-2-N-OCTYL-4-ISOTHIAZOLIN-3-ONE DCOIT; BOOSTER BIOCIDES; OXIDATIVE STRESS; ACETYLCHOLINESTERASE ACTIVITY; ENVIRONMENTAL CONCENTRATIONS; SEA-9 211(TM); SEDIMENT; ASSAY</t>
  </si>
  <si>
    <t>This study investigated the sublethal effects of environmentally relevant concentrations of DCOIT on the neotropical oyster Crassostrea brasiliana. Gills and digestive glands of animals exposed to increasing concentrations of DCOIT were analyzed for biochemical, cellular, and histopathological responses. Exposure to DCOIT (0.2 to 151 mu g L-1) for 120 h triggered oxidative stress in both tissues (through the modulation of GPX, GST, GSH and GR), which led to damage of membrane lipids (increase of LPO and reduction of the NRRT). DCOIT increased histopathological pathologies in gills, such as necrosis, lymphocyte infiltration and epithelial desquamation. This study showed that short term exposure to environmental concentrations of DCOIT causes negative effects on C. brasiliana at biochemical, physiological, and histological levels. Therefore, the use of DCOIT as a booster biocide in antifouling paints should be further assessed, as it may cause environmental hazards to marine organisms.</t>
  </si>
  <si>
    <t>[de Campos, Bruno Galvao; Fontes, Mayana Karoline; Marinsek, Gabriela Pustiglione; Nobre, Caio Rodrigues; Mari, Renata de Britto; de Souza Abessa, Denis Moledo] Sao Paulo State Univ, UNESP, Biosci Inst, Praca Infante Dom Henrique S-N, BR-11330900 Sao Vicente, SP, Brazil; [Gusso-Choueri, Paloma Kachel] Univ Santa Cecilia, Dept Ecotoxicol, Santos, SP, Brazil; [Marinsek, Gabriela Pustiglione] Sao Paulo State Univ, UNESP, Inst Adv Studies Ocean, Av Joao Francisco Bensdorp 1178, BR-11350011 Sao Vicente, SP, Brazil; [Moreno, Beatriz Barbosa] Univ Fed Sao Paulo UNIFESP, Inst Mar, Rua Maria Maximo 168, BR-11030100 Santos, SP, Brazil; [Lemos Abreu, Fiamma Eugenia; Fillmann, Gilberto] Univ Fed Rio Grande FURG, Inst Oceanog, Av Italia S-N,Km 8,Campus Carreiros, BR-96203900 Rio Grande, RS, Brazil</t>
  </si>
  <si>
    <t>Universidade Estadual Paulista; Universidade Santa Cecilia; Universidade Estadual Paulista; Universidade Federal de Sao Paulo (UNIFESP); Universidade Federal do Rio Grande</t>
  </si>
  <si>
    <t>de Campos, BG (corresponding author), Sao Paulo State Univ, UNESP, Biosci Inst, Praca Infante Dom Henrique S-N, BR-11330900 Sao Vicente, SP, Brazil.</t>
  </si>
  <si>
    <t>b.campos@unesp.br</t>
  </si>
  <si>
    <t>Gusso-Choueri, Paloma/H-8222-2012; Abreu, Fiamma/AAQ-4963-2021; Pustiglione Marinsek, Gabriela/HNI-8809-2023; Nobre, Caio/JFJ-2689-2023; Fillmann, Gilberto/AAK-1497-2020; de Britto Mari, Renata/C-9197-2012; Abessa, Denis/D-6507-2014; Fapesp, Biota/F-8655-2017</t>
  </si>
  <si>
    <t>de Britto Mari, Renata/0000-0003-2065-3060; Abessa, Denis/0000-0003-4609-1668; Gusso-Choueri, Paloma/0000-0001-5165-7529; Rodrigues Nobre, Caio/0000-0001-6626-3354; Fillmann, Gilberto/0000-0001-7615-8128; Fapesp, Biota/0000-0002-9887-8449; Barbosa Moreno, Beatriz/0000-0003-3212-9717</t>
  </si>
  <si>
    <t>FINEP -Financiadora de Estudos e Projetos [1111/13 -01.14.0141.00]; CAPES -Coordenacao de Aperfeicoamento de Pessoal de Nivel Superior [88881.156405/2017-01]; CNPq -Conselho Nacional de Desenvolvimento de Cientifico e Tecnologico [456372/2013-0]; Fundacao de Amparo a Pesquisa do Estado de Sao Paulo (FAPESP) [2017/10211-0, 2017/04970-5, 2020/03004-0]; CAPES [001]</t>
  </si>
  <si>
    <t>FINEP -Financiadora de Estudos e Projetos(Financiadora de Inovacao e Pesquisa (Finep)); CAPES -Coordenacao de Aperfeicoamento de Pessoal de Nivel Superior(Coordenacao de Aperfeicoamento de Pessoal de Nivel Superior (CAPES)); CNPq -Conselho Nacional de Desenvolvimento de Cientifico e Tecnologico(Conselho Nacional de Desenvolvimento Cientifico e Tecnologico (CNPQ)Fundacao de Apoio a Pesquisa do Distrito Federal (FAPDF)); Fundacao de Amparo a Pesquisa do Estado de Sao Paulo (FAPESP)(Fundacao de Amparo a Pesquisa do Estado de Sao Paulo (FAPESP)); CAPES(Coordenacao de Aperfeicoamento de Pessoal de Nivel Superior (CAPES))</t>
  </si>
  <si>
    <t>The authors would like to thank the FINEP -Financiadora de Estudos e Projetos (Proc. No. 1111/13 -01.14.0141.00), CAPES -Coordenacao de Aperfeicoamento de Pessoal de Nivel Superior (grant #88881.156405/2017-01), and CNPq -Conselho Nacional de Desenvolvimento de Cientifico e Tecnologico (grant #456372/2013-0) for the financial support. B. G. Campos (Grants #2017/10211-0) and P. K. G. Choueri (Grants #2017/04970-5), and D. M. S. Abessa (Grants #2020/03004-0) thank the Fundacao de Amparo `a Pesquisa do Estado de Sao Paulo (FAPESP) for the financial support. F. E. L. Abreu was sponsored by CAPES -finance code 001, while G. Fillmann (PQ #314202/2018-8) and D.M.S. Abessa (PQ #308533/2018-6) are research fellows of CNPq.</t>
  </si>
  <si>
    <t>10.1016/j.marpolbul.2021.113241</t>
  </si>
  <si>
    <t>XY8KU</t>
  </si>
  <si>
    <t>WOS:000737215300009</t>
  </si>
  <si>
    <t>Li, GY; Xu, XY; Chen, E; Fan, J; Xiong, GJ</t>
  </si>
  <si>
    <t>Li, Gengying; Xu, Xiaoyang; Chen, E.; Fan, Jie; Xiong, Guangjing</t>
  </si>
  <si>
    <t>Properties of cement-based bricks with oyster-shells ash</t>
  </si>
  <si>
    <t>Recycled oyster-shell; Unfired fly ash brick; Mechanical property; Durability</t>
  </si>
  <si>
    <t>COAL FLY-ASH; FINE AGGREGATE; CONCRETE; BLOCKS; WASTE; PERFORMANCE; SHRINKAGE; MORTARS; SLAG</t>
  </si>
  <si>
    <t>The large amounts of abandoned oyster-shells in ostrea-culture have led to serious environmental problems and health hazards. This paper presents a parametric experimental study on the recycling of calcined oyster-shells ash (OS) to replace lime in the production of unfired fly ash bricks (UFB). Experiments were conducted with five different replacement levels of OS (between 0% and 20%) to study the effect on mechanical strength and freeze thaw resistance. In addition, this study investigates the effect of wet dry cycles on the shrinkage, water absorption and strength of UFB samples. According to the test results, the bricks incorporating OS and lime achieved 28-day strength and durability within grade M15 according to GB/T2542-2012 (Chinese Standard). Moreover, the wet dry cycles within the investigated limits in this study showed positive effect on mechanical properties, indicating that the bricks are usable in both wet and dry environmental conditions. The present investigation demonstrates a potential application of waste OS that can enhance the sustainable of society by reducing environmental pollution by converting hazardous waste into useful construction material. (C) 2014 Elsevier Ltd. All rights reserved.</t>
  </si>
  <si>
    <t>[Li, Gengying; Xu, Xiaoyang; Fan, Jie; Xiong, Guangjing] Shantou Univ, Dept Civil Engn, Shantou 515063, Peoples R China; [Li, Gengying; Chen, E.] Hong Kong Univ Sci &amp; Technol, Dept Civil &amp; Environm Engn, Hong Kong 852, Hong Kong, Peoples R China; [Xu, Xiaoyang; Fan, Jie; Xiong, Guangjing] Guangdong Higher Educ Inst, Key Lab Struct &amp; Wind Tunnel, Shantou 515063, Peoples R China</t>
  </si>
  <si>
    <t>Shantou University; Hong Kong University of Science &amp; Technology</t>
  </si>
  <si>
    <t>Li, GY (corresponding author), Shantou Univ, Dept Civil Engn, Shantou 515063, Peoples R China.</t>
  </si>
  <si>
    <t>gyli@stu.edu.cn</t>
  </si>
  <si>
    <t>Zhao, Yunlong/HPC-9555-2023</t>
  </si>
  <si>
    <t>Natural Science Foundation of China [51378303, 51378462]; Natural Science Foundation of Guangdong Province [S2013010011951]; Scientific and Technological Innovation Project from Department of Education of Guangdong Province [2013KJCX0074]; Science and Technology Plan of Shantou City [2012-164]</t>
  </si>
  <si>
    <t>Natural Science Foundation of China(National Natural Science Foundation of China (NSFC)); Natural Science Foundation of Guangdong Province(National Natural Science Foundation of Guangdong Province); Scientific and Technological Innovation Project from Department of Education of Guangdong Province; Science and Technology Plan of Shantou City</t>
  </si>
  <si>
    <t>The authors gratefully acknowledge the funding provided by Natural Science Foundation of China (51378303, 51378462), Natural Science Foundation of Guangdong Province (S2013010011951), Scientific and Technological Innovation Project from Department of Education of Guangdong Province (2013KJCX0074) and Science and Technology Plan of Shantou City (2012-164). Comments from Prof. Christopher Leung of the Hong Kong University of Science and Technology are also acknowledged.</t>
  </si>
  <si>
    <t>10.1016/j.jclepro.2014.12.023</t>
  </si>
  <si>
    <t>CD2WT</t>
  </si>
  <si>
    <t>WOS:000350940400032</t>
  </si>
  <si>
    <t>Hassan, F; Geethalakshmi, V; Jeeva, JC; Babu, MR</t>
  </si>
  <si>
    <t>Hassan, Femeena; Geethalakshmi, V.; Jeeva, J. Charles; Babu, M. Remya</t>
  </si>
  <si>
    <t>Combined effect of lime (Citrus aurantitolia) and drying on reducing bacteria of public health significance in Edible Oyster (Crassostrea madrasensis)</t>
  </si>
  <si>
    <t>JOURNAL OF FOOD SCIENCE AND TECHNOLOGY-MYSORE</t>
  </si>
  <si>
    <t>Edible oyster; Lime; Drying; Microbiological quality</t>
  </si>
  <si>
    <t>VIBRIO-PARAHAEMOLYTICUS; VULNIFICUS; ESTUARINE</t>
  </si>
  <si>
    <t>Combined effect of lime and drying on bacteria of public health significance in Edible Oyster (Crassostrea madrasensis) from Munambam coastal belt (Kerala, India) were studied (without depuration). Samples were examined for Total Plate Count (TPC), Staphylococcus aureus (hygiene indicator), Total coliforms, Faecal coliforms, Escherichia coli, (faecal indicator) Faecal Streptococci (faecal indicator), Salmonella, Vibrio cholera and Listeria monocytogenes. The fresh oyster meat though did not confirm to the specifications laid by National shellfish sanitation programme (NSSP), after treatment with lime with and without drying found to show significant reduction in counts and meet the required standards. Prevalence of faecal indicators in the fresh sample indicated faecal pollution in the area. The isolation of potentially pathogenic bacteria, V. parahaemolyticus in fresh sample indicates high risk of people consuming and handling oysters in raw and semi processed form and also it may lead to cross contamination. The present study indicates that treatment with natural organic product like lime and simple preservation technique, drying can effectively reduce the bacterial load. The study also revealed that TPC of water and soil collected from the site from where oysters were collected was less than from the meat.</t>
  </si>
  <si>
    <t>[Hassan, Femeena; Geethalakshmi, V.; Jeeva, J. Charles; Babu, M. Remya] Cent Inst Fisheries Technol, Kochi 682029, India</t>
  </si>
  <si>
    <t>Indian Council of Agricultural Research (ICAR); ICAR - Central Institute of Fisheries Technology</t>
  </si>
  <si>
    <t>Hassan, F (corresponding author), Cent Inst Fisheries Technol, Kochi 682029, India.</t>
  </si>
  <si>
    <t>femeenahassan@rediffmail.com</t>
  </si>
  <si>
    <t>Geethalakshmi, V./L-3152-2019</t>
  </si>
  <si>
    <t>0022-1155</t>
  </si>
  <si>
    <t>0975-8402</t>
  </si>
  <si>
    <t>J FOOD SCI TECH MYS</t>
  </si>
  <si>
    <t>J. Food Sci. Technol.-Mysore</t>
  </si>
  <si>
    <t>10.1007/s13197-011-0550-6</t>
  </si>
  <si>
    <t>042YO</t>
  </si>
  <si>
    <t>WOS:000311509000029</t>
  </si>
  <si>
    <t>Fiori, SM; Simonetti, P; La Colla, NS; Giménez, J; Otegui, MBP; Palacios, P; Orazi, M; Arias, AH; Ronda, AC; Botté, SE</t>
  </si>
  <si>
    <t>Fiori, Sandra M.; Simonetti, Pia; La Colla, Noelia S.; Gimenez, Juliana; Otegui, Mariana B. P.; Palacios, Pilar; Orazi, Melina; Arias, Andres H.; Ronda, Ana C.; Botte, Sandra E.</t>
  </si>
  <si>
    <t>Assessment of coastal pollutants and health status of Pacific oysters ( Magallana gigas ) in the Bahía Blanca Estuary and adjacent beaches (Argentina)</t>
  </si>
  <si>
    <t>Crassostrea gigas; Metals; Polycyclic aromatic hydrocarbons (PAHs); Organochlorine pesticides (OCPs); Microplastics (MPs)</t>
  </si>
  <si>
    <t>CRASSOSTREA-GIGAS; HYDROCARBONS; VIRGINICA; MUSSEL; METALLOTHIONEIN; MICROPLASTICS; BIVALVES; STRESS; METALS; COPPER</t>
  </si>
  <si>
    <t>This study assessed the effects of pollutants on Magallana gigas along a coastal zone with different levels of human activity: a highly impacted zone in the Bah &amp; iacute;a Blanca Estuary and a less impacted zone on the adjacent sandy beaches. Oysters collected in 2021 were analyzed for various factors, including metals, polycyclic aromatic hydrocarbons (PAHs), organochlorine pesticides, microplastics, oxidative stress and histology. Oysters of both environments exhibited detectable concentrations of all these pollutants in their tissues. However, the estuarine oysters showed higher concentrations of Zn, Cu and As and total PAHs than the beach oysters. Banned organochlorine pesticides were detected only in beach oysters. Estuarine oysters displayed morphological changes in their digestive gland including a reduction in the mean epithelial thickness of the tubule and elevated lipid peroxidation levels, indicating cellular damage. This study underscores the widespread presence of pollutants in M. gigas , indicating the need for effective strategies to safeguard coastal ecosystem health.</t>
  </si>
  <si>
    <t>[Fiori, Sandra M.; Simonetti, Pia; La Colla, Noelia S.; Palacios, Pilar; Orazi, Melina; Arias, Andres H.; Ronda, Ana C.; Botte, Sandra E.] UNS, Consejo Nacl Invest Cienticas &amp; Tecn CONICET, Inst Argentino Oceanog IADO, Bahia Blanca, Buenos Aires, Argentina; [Fiori, Sandra M.; La Colla, Noelia S.; Orazi, Melina; Ronda, Ana C.; Botte, Sandra E.] Univ Nacl Sur UNS, Dept Biol Bioquim &amp; Farm DBByF, Bahia Blanca, Buenos Aires, Argentina; [Gimenez, Juliana] Univ Buenos Aires UBA, Fac Ciencias Exactas &amp; Nat FCEN, Dept Biodiversidad &amp; Biol Expt DBBE, Buenos Aires, Argentina; [Gimenez, Juliana; Otegui, Mariana B. P.] UBA, Consejo Nacl Invest Cienticas &amp; Tecn CONICET, Inst Biodiversidad &amp; Biol Expt &amp; Aplicada, Buenos Aires, Argentina; [Palacios, Pilar; Arias, Andres H.] Univ Nacl Sur UNS, Dept Quim, Bahia Blanca, Buenos Aires, Argentina</t>
  </si>
  <si>
    <t>National University of the South; National University of the South; University of Buenos Aires; University of Buenos Aires; National University of the South</t>
  </si>
  <si>
    <t>Fiori, SM (corresponding author), UNS, Consejo Nacl Invest Cienticas &amp; Tecn CONICET, Inst Argentino Oceanog IADO, Bahia Blanca, Buenos Aires, Argentina.</t>
  </si>
  <si>
    <t>sfiori@criba.edu.ar; simonetti@criba.edu.ar; nlacolla@iado-conicet.gob.ar; jgimenez@bg.fcen.uba.ar; ppalacios@iado-conicet.gob.ar; aharias@criba.edu.ar; acronda@criba.edu.ar</t>
  </si>
  <si>
    <t>Gimenez, Juliana/V-4522-2019</t>
  </si>
  <si>
    <t>Ministry of Science, Technology and Productive Innovation, Argentina; National Agency for the Promotion of Science and Technology [BID PICT 2019-02963]</t>
  </si>
  <si>
    <t>Ministry of Science, Technology and Productive Innovation, Argentina; National Agency for the Promotion of Science and Technology(ANPCyT)</t>
  </si>
  <si>
    <t>This work was funded by grants from the Ministry of Science, Technology and Productive Innovation, Argentina to SMF (Desafio N5-impaCT-AR project) and the National Agency for the Promotion of Science and Technology to ACR (BID PICT 2019-02963) .</t>
  </si>
  <si>
    <t>10.1016/j.marpolbul.2024.116652</t>
  </si>
  <si>
    <t>XN6A3</t>
  </si>
  <si>
    <t>WOS:001262391700001</t>
  </si>
  <si>
    <t>Contamination and ecological risk assessment of trace metals in surface sediments from coastal areas (El Jadida, Safi and Essaouira) along the Atlantic coast of Morocco</t>
  </si>
  <si>
    <t>Trace metals; Surface sediments; Pollution assessment; Ecological risk assessment; Sediment quality guidelines; Coastal areas</t>
  </si>
  <si>
    <t>MUSSEL PERNA-PERNA; HEAVY-METAL; MARINE-SEDIMENTS; POLLUTION ASSESSMENT; QUALITY ASSESSMENT; CORE SEDIMENTS; RED-SEA; WATER; BAY; LAGOON</t>
  </si>
  <si>
    <t>Concentrations of four trace metals (Cd, Cr, Cu and Zn) in surface sediments were quantified seasonally to evaluate the metal contamination and to determine the possible environmental risks at three coastal areas in northwest Morocco (El Jadida, Safi and Essaouira). Sampling was conducted quarterly at six intertidal stations with two stations per area (north to south: El Jadida: S1 vs. S2; Safi: S3 vs. S4 and Essaouira: S5 vs. S6). The trace metal concentrations were generally found to be greater in wet seasons for all sampling stations, and their mean values were arranged in the following decreasing order: Zn (28.35-136.10 mu g g(-1) dry weight) &gt; Cr (6.50-130.90 mu g g(-1)) &gt; Cu (5.00-83.40 mu g g(-1)) &gt; Cd (0.02-5.95 mu g g(-1)). As expected, the highest metal concentrations were recorded at stations exposed to the polluting point-source discharges from important industrial phosphate plants near El Jadida (S2-Jorf Lasfar) and Safi (S4-Jorf Lihoudi), which greatly exceeded the geochemical background values (Cd: 0.3 mu g g(-1) dry weight, Cr: 90 mu g g(-1), Cu: 45 mu g g(-1) and Zn: 95 mu g g(-1)). All of the four trace metals were significantly correlated with each other, implying the same source of contamination and a similar pollution history. This was mainly derived from industrial waste generated by these huge phosphate industry plants. Meanwhile, results from hierarchical cluster analysis confirmed the findings from the correlations. This ecotoxicological evidence was primarily associated with untreated industrial discharge. The contamination Factor, degree of Contamination, and modified Degree of Contamination indices confirmed that these two stations were the metal contamination hotspots, and the most affected in this region, especially for Cd. Moreover, Pollution Load Index and Geo-accumulation Index reflected a spatial distribution of pollution following the decreasing sequence S4 &gt; S2 &gt; S1 &gt; S6 &gt; S3 &gt; S5. Based on the Potential Ecological Risk Index, Cd concentrations indicated a moderate to very high potential ecological risk at all sampling stations, except at one pristine station S5 (Bhibeh). The spatial distribution of Mean-Effect Range Median-Quotient (M-ERM-Q) showed a negligible ecological risk at Cap Beddouza (S3) and Bhibeh. The mean values of Toxic Units (Sigma TU) were found in the following decreasing order Cd &gt; Cu &gt; Cr &gt; Zn, with a major contribution to the Sigma TU coming from Cd (35.42%) and Cu (24.99%). Comparison of the current results with those found in other areas around the world revealed that the metal levels obtained here are in general low, except for Cd, which appeared to be in higher concentrations. Concentrations of Cd, Cr and Cu in sediments at S2 and S4 exceeded either the Threshold Effect Level of the Canadian sediment quality guidelines and Effect Range Low of the US National Oceanic and Atmospheric Administration, which demonstrated that these trace elements posed environmental risks while Zn appeared to present no environmental threat at all of the studied areas.</t>
  </si>
  <si>
    <t>[Kouali, Hassnae; Achtak, Hafid; Dahbi, Abdallah] Cadi Ayyad Univ, Polydisciplinary Fac, Dept Biol, Res Team Environm &amp; Hlth, Safi, Morocco; [Kouali, Hassnae; Elkalay, Khalid] Cadi Ayyad Univ, High Sch Technol, Lab Appl Sci Environm &amp; Sustainable Dev, Essaouira, Morocco; [Chaouti, Abdellatif] Chouaib Doukkali Univ, Fac Sci, Dept Biol,Res Unit Phycol Blue Biodivers &amp; Biotec, Lab Vegetal Biotechnol Ecol &amp; Ecosyst Valorizat, El Jadida, Morocco</t>
  </si>
  <si>
    <t>Kouali, H (corresponding author), Cadi Ayyad Univ, Polydisciplinary Fac, Dept Biol, Res Team Environm &amp; Hlth, Safi, Morocco.</t>
  </si>
  <si>
    <t>hassnae.kouali@edu.uca.ac.ma</t>
  </si>
  <si>
    <t>10.1016/j.jafrearsci.2021.104417</t>
  </si>
  <si>
    <t>YK2RM</t>
  </si>
  <si>
    <t>WOS:000745066800002</t>
  </si>
  <si>
    <t>Parolini, M; Panseri, S; Gaeta, FH; Ceriani, F; De Felice, B; Nobile, M; Rafoss, T; Schnell, J; Herrada, I; Arioli, F; Chiesa, LM</t>
  </si>
  <si>
    <t>Parolini, Marco; Panseri, Sara; Gaeta, Federico Haland; Ceriani, Federica; De Felice, Beatrice; Nobile, Maria; Rafoss, Trond; Schnell, Jeff; Herrada, Isaline; Arioli, Francesco; Chiesa, Luca Maria</t>
  </si>
  <si>
    <t>Incidence of persistent contaminants through blue mussels biomonitoring from Flekkefjord fjord and their relevance to food safety</t>
  </si>
  <si>
    <t>FOOD ADDITIVES AND CONTAMINANTS PART A-CHEMISTRY ANALYSIS CONTROL EXPOSURE &amp; RISK ASSESSMENT</t>
  </si>
  <si>
    <t>Biomonitoring; blue mussel; organohalogen compounds; PAHs; food safety</t>
  </si>
  <si>
    <t>MYTILUS-EDULIS SPP.; ORGANIC POLLUTANTS; METALS; PCBS; FISH; BIOAVAILABILITY; ACCUMULATION; CONSUMPTION; ESTUARY; RISKS</t>
  </si>
  <si>
    <t>Dredging activities can lead to the re-suspension of contaminated sediments, resulting in a potential hazard for the whole ecosystem and also for human health. Six-month active biomonitoring was performed in order to monitor the trends of different classes of both legacy (organochlorine - OCPs - and organophosphate (OPs) compounds and polychlorinated biphenyls - PCBs) and emerging (polybromodiphenyl ethers - PBDE - and per- and polyfluoroalkyl substances - PFASs) organohalogen compounds, as well as polycyclic aromatic hydrocarbons (PAHs), in blue mussel (Mytilus edulis spp.) specimens transplanted at different depths in the Flekkefjord fjord. Such biomonitoring was performed to evaluate the efficacy of sediment restoration activities and to check for the potential environmental risk for the biota and food safety for human seafood. Negligible contamination by OCPs, OPs, PBDEs and PFASs was noted in mussels over the 6-month biomonitoring, while a notable increase in the concentrations of PCBs and PAHs occurred in mussels transplanted at 15 m depth in three sampling sites within the fjord, as a consequence of an undersea landslide which occurred during restoration activities. Levels of PCBs and PAHs suggested a potential risk for mussel predators and also for the human health, as they exceeded the limit set by the European Commission for the consumption of bivalve molluscs. These results confirm the reliability of active biomonitoring to flank dredging activities aimed at ecosystem restoration in order to monitor the trend of contaminants and to estimate the potential risk for the aquatic communities and human health.</t>
  </si>
  <si>
    <t>[Parolini, Marco; De Felice, Beatrice] Univ Milan, Dept Environm Sci &amp; Policy, Via Celoria 26, I-20133 Milan, Italy; [Panseri, Sara; Ceriani, Federica; Nobile, Maria; Arioli, Francesco; Chiesa, Luca Maria] Univ Milan, Dept Hlth Anim Sci &amp; Food Safety, Via Celoria 10, I-20133 Milan, Italy; [Gaeta, Federico Haland] Norwegian Inst Water Res NIVA, Grimstad, Norway; [Rafoss, Trond] Univ Agder Uia, Dept Nat Sci, Kristiansand, Norway; [Schnell, Jeff; Herrada, Isaline] Cyanotope AS, Flekkefjord, Norway</t>
  </si>
  <si>
    <t>University of Milan; University of Milan; Norwegian Institute for Water Research (NIVA); University of Agder</t>
  </si>
  <si>
    <t>Parolini, M (corresponding author), Univ Milan, Dept Environm Sci &amp; Policy, Via Celoria 26, I-20133 Milan, Italy.;Arioli, F (corresponding author), Univ Milan, Dept Hlth Anim Sci &amp; Food Safety, Via Celoria 10, I-20133 Milan, Italy.</t>
  </si>
  <si>
    <t>marco.parolini@unimi.it; francesco.arioli@unimi.it</t>
  </si>
  <si>
    <t>DE FELICE, BEATRICE/0000-0002-3510-8375</t>
  </si>
  <si>
    <t>This research was supported by FORSKNINGSMOBILISERING AGDER, thanks to the no-profit organization Akvalab sOr AS. We thank our colleagues Prof. Tove M. Gabrielsen from Department of Natural Sciences, University of Agder (UiA), who provided insight and expertise that greatly assisted the research. We thank also Dr Liv Birkeland, project manager of INNAKVA project from the business incubation center Lister Nyskapning AS for her assistance and suggestion during the whole project duration. Lastly, we thank the Norsk Oppdrettsservice AS for the logistic facilitation during the field activity.</t>
  </si>
  <si>
    <t>1944-0049</t>
  </si>
  <si>
    <t>1944-0057</t>
  </si>
  <si>
    <t>FOOD ADDIT CONTAM A</t>
  </si>
  <si>
    <t>Food Addit. Contam. Part A-Chem.</t>
  </si>
  <si>
    <t>MAY 3</t>
  </si>
  <si>
    <t>10.1080/19440049.2020.1730986</t>
  </si>
  <si>
    <t>LK6QP</t>
  </si>
  <si>
    <t>WOS:000520355700001</t>
  </si>
  <si>
    <t>Patil, MP; Woo, HE; Lee, IC; Nakashita, S; Kim, K; Kim, JO; Kim, K</t>
  </si>
  <si>
    <t>Patil, Maheshkumar Prakash; Woo, Hee-Eun; Lee, In-Cheol; Nakashita, Shinya; Kim, Kyeongmin; Kim, Jong-Oh; Kim, Kyunghoi</t>
  </si>
  <si>
    <t>A microcosm study of microbial community profiles during sediment remediation using pyrolyzed oyster shells</t>
  </si>
  <si>
    <t>Microbial diversity; Proteobacteria; Marine sediment remediation; Oyster shell; Nitrogen; Phosphate</t>
  </si>
  <si>
    <t>WASTE-WATER TREATMENT; OXIDIZING BACTERIA; PHOSPHORUS; PHOSPHATE; REMOVAL; RELEASE; BIODIVERSITY; MODEL</t>
  </si>
  <si>
    <t>The accumulation of organic and inorganic components in sediments leads to a deterioration in the environment and an imbalance in the coastal ecosystem. Currently, capping is the most effective technology for remediating polluted sediment and restoring ecosystems. A microcosm experiment was designed using pyrolyzed oyster shell (POS). These were mixed in with coastal sediment or added as a capping layer. The results showed that POS effectively decreased pollutants, including PO4-P and NH4-N. Metagenomics analysis was performed using 16S rRNA gene sequencing and the most abundant phyla identified in the POS treated and untreated sediments were Proteobacteria, followed by Firmicutes, Bacteroidetes, Chloroflexi, Fusobacteria, Nitrospirae, and Spirochaetes. The relative abundance of Proteobacteria members of the Class Gammaproteobacteria significantly increased, but Deltaproteobacteria gradually decreased throughout the experiment in POS-covered sediment. This suggests that the POS effectively promoted a shift from anaerobic to facultative anaerobic or aerobic microbial communities in the sediment. Dominant species of facultative anaerobic or microaerophilic bacteria from the order Chromatiales and phylum Nitrospirae were observed in the POS-covered sediment. Based on these study results, it can be concluded that POS is an effective covering material for sediment remediation and restores the microbial communities in sediments.</t>
  </si>
  <si>
    <t>[Patil, Maheshkumar Prakash] Pukyong Natl Univ, Ind Univ Cooperat Fdn, 45 Yongso-Ro, Pusan 48513, South Korea; [Woo, Hee-Eun; Lee, In-Cheol; Kim, Kyunghoi] Pukyong Natl Univ, Dept Ocean Engn, 45 Yongso Ro, Pusan 48513, South Korea; [Nakashita, Shinya; Kim, Kyeongmin] Hiroshima Univ, Grad Sch Adv Sci &amp; Engn, Kagamiyama 1-4-1, Hiroshima, Hiroshima 7398527, Japan; [Kim, Kyeongmin] Port &amp; Airport Res Inst, Coastal &amp; Estuarine Sediment Dynam Grp, 3-1-1 Nagase, Yokosuka, Kanagawa 2390826, Japan; [Kim, Jong-Oh] Pukyong Natl Univ, Dept Microbiol, 45 Yongso Ro, Pusan 48513, South Korea; [Kim, Jong-Oh] Pukyong Natl Univ, Sch Marine &amp; Fisheries Life Sci, 45 Yongso Ro, Pusan 48513, South Korea</t>
  </si>
  <si>
    <t>Pukyong National University; Pukyong National University; Hiroshima University; Port &amp; Airport Research Institute; Pukyong National University; Pukyong National University</t>
  </si>
  <si>
    <t>Kim, K (corresponding author), Pukyong Natl Univ, Dept Ocean Engn, 45 Yongso Ro, Pusan 48513, South Korea.;Kim, JO (corresponding author), Pukyong Natl Univ, Dept Microbiol, 45 Yongso Ro, Pusan 48513, South Korea.;Kim, JO (corresponding author), Pukyong Natl Univ, Sch Marine &amp; Fisheries Life Sci, 45 Yongso Ro, Pusan 48513, South Korea.</t>
  </si>
  <si>
    <t>jokim@pknu.ac.kr; hoikim@pknu.ac.kr</t>
  </si>
  <si>
    <t>Kim, Kyeongmin/X-4689-2019; Patil, Maheshkumar/N-7384-2017</t>
  </si>
  <si>
    <t>Patil, Maheshkumar/0000-0001-5303-5985; Kim, Kyeongmin/0000-0002-1513-4779</t>
  </si>
  <si>
    <t>Basic Science Research Program through the National Research Foundation (NRF) - Ministry of Education [2021R1I1A306037411]</t>
  </si>
  <si>
    <t>Basic Science Research Program through the National Research Foundation (NRF) - Ministry of Education(National Research Foundation of Korea)</t>
  </si>
  <si>
    <t>This research was financially supported by the Basic Science Research Program through the National Research Foundation (NRF) funded by the Ministry of Education (Grant no. 2021R1I1A306037411) , South Korea.</t>
  </si>
  <si>
    <t>10.1016/j.jenvman.2022.115229</t>
  </si>
  <si>
    <t>1Q3UQ</t>
  </si>
  <si>
    <t>WOS:000802617200010</t>
  </si>
  <si>
    <t>Belamy, T; Legeay, A; Cachot, J; Clérandeau, C; Baudrimont, M</t>
  </si>
  <si>
    <t>Belamy, Tiare; Legeay, Alexia; Cachot, Jerome; Clerandeau, Christelle; Baudrimont, Magalie</t>
  </si>
  <si>
    <t>Locomotion behavior of juveniles of the freshwater pearl mussel Margaritifera margaritifera: A new non-invasive tool for the evaluation of stress effects</t>
  </si>
  <si>
    <t>Behavior; Freshwater pearl mussel juveniles; Ecotoxicity; Video tracking system</t>
  </si>
  <si>
    <t>EARLY WARNING SYSTEM; CONTAMINANTS; FISH; ECOTOXICOLOGY; SENSITIVITY; BIOMARKER; RESPONSES; TOXICITY; EXPOSURE</t>
  </si>
  <si>
    <t>The lack of knowledge about the sensitivity of the endangered freshwater pearl mussel (FWPM) Margaritifera margaritifera to environmental pollution and the rapid decline of its populations in Europe, have led to the need of developing non-destructive experimental protocols in order to assess the impact of such pollution. This species has a complex life cycle and the early life stages are considered the most sensitive. This study deals with the development of a methodology for the assessment of juvenile mussels' locomotor behavior using an automated video tracking system. Different parameters were determined such as the duration of the video recording and light exposure as a stimulus during the experiment. Locomotion behavior pattern of juveniles was assessed in control condition and also following exposure to sodium chloride as a positive control in order to validate the experimental protocol developed in this study. Results showed that juveniles locomotion behavior was stimu-lated under light exposure. Moreover, exposure to sublethal concentrations of sodium chloride (0.8 and 1.2 g/L) for 24 h was found to decrease juveniles' locomotion by almost three-times, thus validating our experimental methodology. This study allowed to provide a new tool for the assessment of stress condition impacts on the juveniles of the endangered FWPM, highlighting the interest of such non-destructive biomarker of health for protected species. Consequently, this will help in the improvement of our knowledge on M. margaritifera sensitivity to environmental pollution.</t>
  </si>
  <si>
    <t>[Belamy, Tiare; Legeay, Alexia; Cachot, Jerome; Clerandeau, Christelle; Baudrimont, Magalie] Univ Bordeaux, CNRS, Bordeaux INP, EPOC,UMR 5805, F-33600 Pessac, France; [Belamy, Tiare] Univ French Polynesia, EIO, UMR 241, F-98702 Tahiti, French Polynesi, France</t>
  </si>
  <si>
    <t>Belamy, T (corresponding author), Univ Bordeaux, CNRS, Bordeaux INP, EPOC,UMR 5805, F-33600 Pessac, France.;Baudrimont, M (corresponding author), Univ Bordeaux, UMR EPOC 5805, Stn Marine Arcachon, Pl Dr Peyneau, F-33120 Arcachon, France.</t>
  </si>
  <si>
    <t>tiare.belamy@upf.pf; magalie.baudrimont@u-bordeaux.fr</t>
  </si>
  <si>
    <t>LIFE13-NAT_FR_000506 program - European Community; Agence de l'Eau Adour Garonne; Region Nouvelle Aquitaine; Dordogne Department; French government; Initiative Biosphere Dordogne</t>
  </si>
  <si>
    <t>LIFE13-NAT_FR_000506 program - European Community; Agence de l'Eau Adour Garonne; Region Nouvelle Aquitaine(Region Nouvelle-Aquitaine); Dordogne Department; French government; Initiative Biosphere Dordogne</t>
  </si>
  <si>
    <t>This work was supported by the LIFE13-NAT_FR_000506 program, funded by the European Community, the Agence de l'Eau Adour Garonne, the Region Nouvelle Aquitaine, the Dordogne Department, the French government and the Initiative Biosphere Dordogne. We also thank A. Racher and F. Lalanne for providing juvenile mussels for testing.</t>
  </si>
  <si>
    <t>10.1016/j.chemosphere.2023.138521</t>
  </si>
  <si>
    <t>D6GJ1</t>
  </si>
  <si>
    <t>WOS:000969691600001</t>
  </si>
  <si>
    <t>Martyniuk, V; Matskiv, T; Yunko, K; Khoma, V; Gnatyshyna, L; Faggio, C; Stoliar, O</t>
  </si>
  <si>
    <t>Martyniuk, Viktoria; Matskiv, Tetiana; Yunko, Kateryna; Khoma, Vira; Gnatyshyna, Lesya; Faggio, Caterina; Stoliar, Oksana</t>
  </si>
  <si>
    <t>Reductive stress and cytotoxicity in the swollen river mussel (Unio tumidus) exposed to microplastics and salinomycin</t>
  </si>
  <si>
    <t>Mussels; Multi-stress; Redox system; Thiol-containing compounds; Pro-apoptotic proteases</t>
  </si>
  <si>
    <t>IONOPHORE ANTIBIOTICS; OXIDATIVE STRESS; THERMAL-STRESS; WATER; RESPONSES; DEATH; METALLOTHIONEINS; TEMPERATURE; APOPTOSIS; FISH</t>
  </si>
  <si>
    <t>Multistress effects lead to unpredicted consequences in aquatic ecotoxicology and are extremely concerning. The goal of this study was to trace how specific effects of the antibiotic salinomycin (Sal) and microplastics (MP) on the bivalve molluscs are manifested in the combined environmentally relevant exposures. Unio tumidus specimens were treated with Sal (0.6 mu g L -1 ), MP (1 mg L -1 , 2 mu m size), and both at 18 degrees C (Mix) and 25 degrees C (MixT) for 14 days. The redox stress and apoptotic enzyme responses and the balance of Zn/Cu in the digestive gland were analyzed. The shared signs of stress included a decrease in NAD + /NADH and Zn/Cu ratios and lysosomal integrity and an increase in Zn-metallothioneins and cholinesterase levels. MP caused a decrease in the glutathione (GSH) concentration and redox state, total antioxidant capacity, and Zn levels. MP and Mix induced coordinated apoptotic/autophagy activities, increasing caspase-3 and cathepsin D (CtD) total and extralysosomal levels. Sal activated caspase-3 only and increased by five times Cu level in the tissue. Due to the discriminant analysis, the cumulative effect was evident in the combined exposure at 18 degrees C. However, under heating, the levels of NAD + , NADH, GSH, GSH/GSSG and metallothionein-related thiols were decreased, and coordination of the cytosolic and lysosomal death stimuli was distorted, confirming that heating and pollution could exert unexpected synergistic effects on aquatic life.</t>
  </si>
  <si>
    <t>[Martyniuk, Viktoria; Matskiv, Tetiana; Yunko, Kateryna; Stoliar, Oksana] Ternopil Volodymyr Hnatiuk Natl Pedag Univ, Dept Chem &amp; Methods Its Teaching, Kryvonosa Str 2, UA-46027 Ternopol, Ukraine; [Matskiv, Tetiana; Gnatyshyna, Lesya] I Horbachevsky Ternopil Natl Med Univ, Dept Gen Chem, Maidan Voli 1, UA-46001 Ternopol, Ukraine; [Khoma, Vira] Minist Internal Affairs Ukraine, Dept Res Mat Subst &amp; Prod, Ternopil Sci Res Forens Ctr, St Budny 48, UA-46020 Ternopol, Ukraine; [Faggio, Caterina; Stoliar, Oksana] Univ Messina, Dept Chem Biol Pharmaceut &amp; Environm Sci, Viale Ferdinando Stagno Alcontres,S Agata,31, I-98166 Messina, Italy; [Faggio, Caterina] Stn Zool Anton Dohrn, Dept Ecosustainable Marine Biotechnol, Naples, Italy; [Stoliar, Oksana] Ternopil Volodymyr Hnatiuk Natl Pedag Univ, Kryvonosa Str 2, UA-46027 Ternopol, Ukraine</t>
  </si>
  <si>
    <t>Ministry of Education &amp; Science of Ukraine; Ternopil Volodymyr Hnatiuk National Pedagogical University; I. Horbachevsky Ternopil State Medical University; Ministry of Internal Affairs of Ukraine; University of Messina; Stazione Zoologica Anton Dohrn di Napoli; Ministry of Education &amp; Science of Ukraine; Ternopil Volodymyr Hnatiuk National Pedagogical University</t>
  </si>
  <si>
    <t>martinuk@tnpu.edu.ua; mackiw@tdmu.edu.ua; yunkokateryna@tnpu.edu.ua; khomav@tnpu.edu.ua; gnatyshynall@tdmu.edu.ua; cfaggio@unime.it; Oksana.Stolyar@tnpu.edu.ua</t>
  </si>
  <si>
    <t>Matskiv, Tetiana/0000-0003-0987-1489; Gnatyshyna, Lesya/0000-0002-5205-1585; Stoliar, Oksana/0000-0002-8579-2881; faggio, caterina/0000-0002-0066-2421; Martyniuk, Viktoriia/0000-0002-2235-7217</t>
  </si>
  <si>
    <t>Ministry of Education and Science of Ukraine [M/84-2021, M/13-2022]; University of Messina, Italy</t>
  </si>
  <si>
    <t>Ministry of Education and Science of Ukraine; University of Messina, Italy</t>
  </si>
  <si>
    <t>This work has been partially granted to Oksana Stoliar by the Ministry of Education and Science of Ukraine (Projects ##M/84-2021, M/13-2022) and University of Messina, Italy (Award of Visiting professor in the academic year 2022/2023) . The authors are grateful Dr Vitaliy Mocharsky from the Ternopil Ivan Puluj National Technical University for the assistance in the metallographic microscopy and PhD Federica Impillitteri from the Messina University for the correction of English grammar.</t>
  </si>
  <si>
    <t>10.1016/j.envpol.2024.123724</t>
  </si>
  <si>
    <t>TH1B6</t>
  </si>
  <si>
    <t>WOS:001240272400001</t>
  </si>
  <si>
    <t>Wu, FL; Falfushynska, H; Dellwig, O; Piontkivska, H; Sokolova, IM</t>
  </si>
  <si>
    <t>Wu, Fangli; Falfushynska, Halina; Dellwig, Olaf; Piontkivska, Helen; Sokolova, Inna M.</t>
  </si>
  <si>
    <t>Interactive effects of salinity variation and exposure to ZnO nanoparticles on the innate immune system of a sentinel marine bivalve, Mytilus edulis</t>
  </si>
  <si>
    <t>ZINC-OXIDE NANOPARTICLES; CLAM RUDITAPES-PHILIPPINARUM; FLOW-CYTOMETRIC ANALYSIS; FAMILY-MEMBER IRAK-2; MUSSELS UNIO-TUMIDUS; TOLL-LIKE RECEPTORS; COMPLEMENT C3 GENE; CRASSOSTREA-VIRGINICA; IN-VITRO; SINONOVACULA-CONSTRICTA</t>
  </si>
  <si>
    <t>ZnO nanoparticles (nZnO) are released into the coastal environment from multiple sources, yet their toxicity to marine organisms is not well understood. We investigated the interactive effects of salinity (normal 15, low 5, and fluctuating 5-15) and nZnO (100 mu g l(-1)) on innate immunity of the blue mussels Mytilus edulis from a brackish area of the Baltic Sea. Exposure to ionic Zn (100 mu g l(-1)) was used to test whether the toxic effects of nZnO can be attributed to the potential release of Zn2+. Functional parameters and the expression of key immune-related genes were investigated in the mussels exposed to nZnO or ionic Zn under different salinity regimes for 21 days. nZnO exposures elevated hemocyte mortality, suppressed adhesion, stimulated phagocytosis, and led to an apparent increase in lysosomal volume. At salinity 15, nZnO suppressed the mRNA expression of the Toll-like receptors TLRb and c, C-lectin, and the complement system component C3q indicating impaired ability for pathogen recognition. In contrast, the mRNA levels of an antimicrobial peptide defensin increased during nZnO exposure at salinity 15. At fluctuating salinity (5-15), nZnO exposure increased expression of multiple immune-related genes in hemocytes including the complement system components C1 and C3q, and the Toll-like receptors TLRa, b and c. Low salinity (5) had strong immunosuppressive effects on the functional and molecular immune traits of M. edulis that overshadowed the effects of nZnO. The salinity-dependent modulation of immune response to nZnO cannot be attributed to the differences in the aggregation or solubility of nZnO, and likely reflects the interaction of the toxic effects of nanoparticles and physiological effects of the osmotic stress. These findings have implications for the environmental risk assessment of nanomaterials and the development of the context-specific biomarker baselines for coastal pollution monitoring. (C) 2020 Elsevier B.V. All rights reserved.</t>
  </si>
  <si>
    <t>[Wu, Fangli; Falfushynska, Halina; Sokolova, Inna M.] Univ Rostock, Inst Biol Sci, Dept Marine Biol, Rostock, Germany; [Falfushynska, Halina] Ternopil V Hnatiuk Natl Pedag Univ, Dept Human Hlth Phys Rehabil &amp; Vital Act, Ternopol, Ukraine; [Dellwig, Olaf] Leibniz Inst Balt Sea Res Warnemunde, Dept Marine Geol, Rostock, Germany; [Piontkivska, Helen] Kent State Univ, Dept Biol Sci, Kent, OH 44242 USA; [Sokolova, Inna M.] Univ Rostock, Interdisciplinary Fac, Dept Martime Syst, Rostock, Germany</t>
  </si>
  <si>
    <t>University of Rostock; Ministry of Education &amp; Science of Ukraine; Ternopil Volodymyr Hnatiuk National Pedagogical University; Leibniz Institut fur Ostseeforschung Warnemunde; University System of Ohio; Kent State University; Kent State University Salem; Kent State University Kent; University of Rostock</t>
  </si>
  <si>
    <t>Piontkivska, Helen/AAK-3915-2020; Falfushynska, Halina/B-6518-2015; Sokolova, Inna/B-4955-2009; Wu, Fangli/JJF-7839-2023</t>
  </si>
  <si>
    <t>Dellwig, Olaf/0000-0002-0028-8812; Sokolova, Inna/0000-0002-2068-4302; Wu, Fangli/0000-0001-6443-0649</t>
  </si>
  <si>
    <t>Research Training Group 'Baltic TRANSCOAST' - DFG (Deutsche Forschungsgemeinschaft) [GRK 2000]; Alexander von Humboldt Foundation; China Scholarship Council (CSC); Kent State University Brain Health Institute Pilot Award</t>
  </si>
  <si>
    <t>Research Training Group 'Baltic TRANSCOAST' - DFG (Deutsche Forschungsgemeinschaft)(German Research Foundation (DFG)); Alexander von Humboldt Foundation(Alexander von Humboldt Foundation); China Scholarship Council (CSC)(China Scholarship Council); Kent State University Brain Health Institute Pilot Award</t>
  </si>
  <si>
    <t>This work was in part supported by the Research Training Group 'Baltic TRANSCOAST' funded by the DFG (Deutsche Forschungsgemeinschaft) under grant number GRK 2000 (www.baltic-transcoast.uni-rostock.de) to IMS, Alexander von Humboldt Foundation to HF, and the China Scholarship Council (CSC) to FW. HP was supported by Kent State University Brain Health Institute Pilot Award. We thank Fei Ye and Joydeep Dutta (KTH Royal Institute of Technology, Sweden) for their assistance with the nanoparticle characterization, and Mirza Nusrat Noor for the help with experimental exposures. The project metadata are submitted to PANGAEA (R) Data Publisher open access database (https://doi.org/10.1594/PANGAEA.908851) (Sokolova et al., 2019). This is Baltic TRANSCOAST publication no. GRK2000/0027.</t>
  </si>
  <si>
    <t>10.1016/j.scitotenv.2019.136473</t>
  </si>
  <si>
    <t>KJ9JB</t>
  </si>
  <si>
    <t>WOS:000512369600085</t>
  </si>
  <si>
    <t>Zhu, L; Tang, XX; Wang, Y; Sui, YD; Xiao, H</t>
  </si>
  <si>
    <t>Zhu Lin; Tang Xuexi; Wang Ying; Sui Yadong; Xiao Hui</t>
  </si>
  <si>
    <t>Use of antioxidant enzymes of clam Ruditapes philippinarum as biomarker to polycyclic aromatic hydrocarbon pollution</t>
  </si>
  <si>
    <t>polycyclic aromatic hydrocarbons (PAHs); anthracene; antioxidant enzyme; Ruditapes philippinarum</t>
  </si>
  <si>
    <t>ANTHRACENE; RESPONSES; SEDIMENT; EXPOSURE; CADMIUM</t>
  </si>
  <si>
    <t>The typical organic pollutant polycyclic aromatic hydrocarbon (PAH) anthracene was selected as a contaminant to investigate its effects on the activities of superoxide dismutase (SOD), catalase (CAT) and glutathione peroxidase (GSH-Px) in the clam Ruditapes philippinarum. The results show that SOD, CAT and GSH-Px had diff erent induction and inhibition reactions to anthracene stress, and that three diff erent organs in R. philippinarum (visceral mass, muscle tissue and mantle) had diff erent sensitivities to anthracene stress. This study suggest that SOD activities of the visceral mass, CAT activitities of the mantle and the visceral mass, and GSH-Px activity of the muscle tissue could be used as sensitive indicators of anthracene stress in R. philippinarum.</t>
  </si>
  <si>
    <t>[Zhu Lin; Tang Xuexi; Wang Ying; Sui Yadong; Xiao Hui] Ocean Univ China, Qingdao 266003, Peoples R China; [Zhu Lin] Chinese Acad Fishery Sci, Yellow Sea Fisheries Res Inst, Qingdao 266071, Peoples R China</t>
  </si>
  <si>
    <t>Ocean University of China; Chinese Academy of Fishery Sciences; Yellow Sea Fisheries Research Institute, CAFS</t>
  </si>
  <si>
    <t>Xiao, H (corresponding author), Ocean Univ China, Qingdao 266003, Peoples R China.</t>
  </si>
  <si>
    <t>xiaoh28@163.com</t>
  </si>
  <si>
    <t>Wang, Ying/L-6963-2018</t>
  </si>
  <si>
    <t>Wang, Ying/0000-0002-9940-7606</t>
  </si>
  <si>
    <t>National Natural Science Foundation of China [U1406403]; Marine Science Research Center of People's Government of Shandong Province [U1406403]</t>
  </si>
  <si>
    <t>National Natural Science Foundation of China(National Natural Science Foundation of China (NSFC)); Marine Science Research Center of People's Government of Shandong Province</t>
  </si>
  <si>
    <t>Supported by the Joint Funds of the National Natural Science Foundation of China and the Marine Science Research Center of People's Government of Shandong Province (No. U1406403)</t>
  </si>
  <si>
    <t>10.1007/s00343-015-4327-z</t>
  </si>
  <si>
    <t>DF8KQ</t>
  </si>
  <si>
    <t>WOS:000371607000019</t>
  </si>
  <si>
    <t>Ben-Haddad, M; Abelouah, MR; Hajji, S; De-la-Torre, GE; Abou Oualid, H; Rangel-Buitrago, N; Alla, AA</t>
  </si>
  <si>
    <t>Ben-Haddad, Mohamed; Abelouah, Mohamed Rida; Hajji, Sara; De-la-Torre, Gabriel E.; Abou Oualid, Hicham; Rangel-Buitrago, Nelson; Alla, Aicha Ait</t>
  </si>
  <si>
    <t>The wedge clam Donax trunculus L., 1758 as a bioindicator of microplastic pollution</t>
  </si>
  <si>
    <t>Bivalve; Bioindicator; Sentinel species; Donax trunculus; Beach urbanization; Coast; Morocco</t>
  </si>
  <si>
    <t>COPPER TOXICITY; CONTAMINATION; MUSSELS; SOUTHWESTERN; POPULATION; ORGANISMS; AREAS; COAST</t>
  </si>
  <si>
    <t>This study describes the use of D. trunculus as a bioindicator of microplastic (MPs) pollution due to beach urbanization related to the development of the Taghazout Bay tourist resort in Morocco. In six sites located on the coast, MPs densities ranged from 1.75 to 5.93 items per gram of D. trunculus wet weight. MPs contamination was significantly influenced spatiotemporally by the urbanization degree in the area. The shapes found were fibers (90.5%) and fragments (9.5%). The Fourier Transform Infrared Spectroscopy (FTIR) analysis reported two polymers: polyethylene (65%) and polypropylene (35%). MPs colors were dark and light, with a predominance of light blue (23.8%). The species ingested different sizes of MPs, mainly the 0.1 and 0.5 mm fractions. Scanning Electron Microscope coupled with an energy dispersive X-ray analyzer (SEM/EDX) revealed weathered MPs with chemical elements adhered to their surface (Cu, Fe, Mg, S, Cl, etc.). The results of this study recommend the use of D. trunculus as a new bioindicator of MPs pollution following an urban change in the coastal scenery. Also, a sustainable coastal management must be implemented in the study area.</t>
  </si>
  <si>
    <t>[Ben-Haddad, Mohamed; Abelouah, Mohamed Rida; Hajji, Sara; Alla, Aicha Ait] Ibn Zohr Univ, Fac Sci, Lab Aquat Syst Marine &amp; Continental Environm, Agadir, Morocco; [De-la-Torre, Gabriel E.] Univ San Ignacio de Loyola, Av La Fontana 501, Lima 12, Peru; [Abou Oualid, Hicham] IRESEN UM6P, Green Energy Pk, Benguerir, Morocco; [Rangel-Buitrago, Nelson] Univ Atlantico, Fac Ciencias Basicas, Programa Fis, Barranquilla, Atlantico, Colombia; [Rangel-Buitrago, Nelson] Univ Atlantico, Fac Ciencias Basicas, Programa Biol, Barranquilla, Atlantico, Colombia</t>
  </si>
  <si>
    <t>Ibn Zohr University of Agadir; Universidad San Ignacio de Loyola</t>
  </si>
  <si>
    <t>Alla, AA (corresponding author), Ibn Zohr Univ, Fac Sci, Lab Aquat Syst Marine &amp; Continental Environm, Agadir, Morocco.</t>
  </si>
  <si>
    <t>mohamed.ben-haddad@edu.uiz.ac.ma; a.aitalla@uiz.ac.ma</t>
  </si>
  <si>
    <t>Rangel-Buitrago, Nelson/GLU-6836-2022; BEN-HADDAD, Mohamed/HTM-1558-2023; ALLA, Aicha/ABB-9749-2020; De-la-Torre, Gabriel/AAC-9255-2020; De la Torre, Gabriel/B-2238-2019</t>
  </si>
  <si>
    <t>De la Torre, Gabriel/0000-0002-0268-2784; BEN-HADDAD, Mohamed/0000-0003-1332-2036</t>
  </si>
  <si>
    <t>10.1016/j.marpolbul.2022.113607</t>
  </si>
  <si>
    <t>WOS:000806352600008</t>
  </si>
  <si>
    <t>Di Poi, C; Evariste, L; Séguin, A; Mottier, A; Pedelucq, J; Lebel, JM; Serpentini, A; Budzinski, H; Costil, K</t>
  </si>
  <si>
    <t>Di Poi, Carole; Evariste, Lauris; Seguin, Alexis; Mottier, Antoine; Pedelucq, Julie; Lebel, Jean-Marc; Serpentini, Antoine; Budzinski, Helene; Costil, Katherine</t>
  </si>
  <si>
    <t>Sub-chronic exposure to fluoxetine in juvenile oysters (Crassostrea gigas): uptake and biological effects</t>
  </si>
  <si>
    <t>Antidepressant; Fluoxetine; Sub-chronic exposure; Growth; Histopathology; Enzymatic activities; Oxidative stress</t>
  </si>
  <si>
    <t>SEROTONIN REUPTAKE INHIBITORS; PACIFIC OYSTER; ENVIRONMENTAL CONCENTRATIONS; DIGESTIVE GLAND; PHARMACEUTICALS; MUSSEL; BIOMARKERS; PHARMACOKINETICS; POLLUTION; NORMANDY</t>
  </si>
  <si>
    <t>The bioconcentration potential of fluoxetine (FLX) and its biological effects were investigated in juvenile Pacific oyster exposed for 28 days to environmentally relevant concentrations of FLX (1 ng L-1, 100 ng L-1 and up to 10 mu g L-1). FLX bioaccumulated in oyster flesh resulting in 28-day bioconcentration factors greater than 2,000 and 10,000 by referring to wet and dry weights, respectively. Nevertheless, FLX did not induce oyster mortality, delayed gametogenesis, or lead to adverse histopathological alterations. At the two highest concentrations, despite non-optimal trophic conditions, FLX stimulated shell growth but only in a transient manner, suggesting a role of serotonin in the regulation of feeding and metabolism in bivalves. Those high concentrations seemed to drive bell-shaped responses of catalase and glutathione S-transferase activities throughout the exposure period, which may indicate the activation of antioxidant enzyme synthesis and then an enhanced catabolic rate or direct inhibition of those enzymes. However, no clear oxidative stress was detected because no strong differences in thiobarbituric acid-reactive substance (TBARS) content (i.e. lipid peroxidation) were observed between oyster groups, suggesting that cellular defence mechanisms were effective. These results demonstrate the importance of considering additional biomarkers of oxidative stress to obtain a comprehensive overview of the FLX-induced changes in marine bivalves exposed under realistic conditions. Considering the battery of biomarkers used, FLX appears to induce little or no effects on oyster physiology even at a concentration of 10 mu g L-1. These results do not confirm the lowest observed effect concentration (LOEC) values reported by some authors in other mollusc species.</t>
  </si>
  <si>
    <t>[Di Poi, Carole; Evariste, Lauris; Seguin, Alexis; Mottier, Antoine; Lebel, Jean-Marc; Serpentini, Antoine; Costil, Katherine] Normandie Univ, F-14032 Caen, France; [Di Poi, Carole; Evariste, Lauris; Seguin, Alexis; Mottier, Antoine; Lebel, Jean-Marc; Serpentini, Antoine; Costil, Katherine] Univ Caen Basse Normandie, UMR Biol Organismes &amp; Ecosyst Aquat BOREA, CNRS 7208, MNHN,UPMC,UCBN,IRD 207,IBFA,Esplanada Paix, F-14032 Caen 5, France; [Pedelucq, Julie; Budzinski, Helene] Univ Bordeaux 1, Lab Phys &amp; Tox Chim Environm LPTC, UMR CNRS EPOC 5805, Batiment A12,351 Crs Liberat, F-33405 Talence, France</t>
  </si>
  <si>
    <t>Sorbonne Universite; Museum National d'Histoire Naturelle (MNHN); Institut de Recherche pour le Developpement (IRD); Universite de Caen Normandie; Centre National de la Recherche Scientifique (CNRS); Universite de Bordeaux</t>
  </si>
  <si>
    <t>Costil, K (corresponding author), Normandie Univ, F-14032 Caen, France.</t>
  </si>
  <si>
    <t>BUDZINSKI, Helene/0000-0001-5282-9011; Mottier, Antoine/0000-0001-7040-1836; Evariste, Lauris/0000-0001-8718-7776; Di Poi, Carole/0000-0001-7846-5287</t>
  </si>
  <si>
    <t>French National Research Agency</t>
  </si>
  <si>
    <t>We gratefully acknowledge the staff of the laboratory UMR BOREA at the University of Caen and especially Beatrice Adeline. We are also grateful to our colleagues involved in the French program Pharm@ecotox and especially to Dr. Marie Pierre HalmLemeille who coordinates the program, for fruitful discussions. We thank Dr. Aude Jouaux, who quantified viral loads in oysters at the Centre de Reference sur l'Huitre (CRH). We also thank the SATMAR team, who kindly provided us with juvenile oysters and the Centre de Recherche en Environnement Cotier (CREC) in Luc-sur-Mer, which provided technical facilities. This study was supported by the French National Research Agency (http://www.agence-nationale-recherche.fr/en/). Finally, we would like to thank the anonymous reviewers for their constructive comments for improving the manuscript.</t>
  </si>
  <si>
    <t>10.1007/s11356-014-3702-1</t>
  </si>
  <si>
    <t>WOS:000373609300005</t>
  </si>
  <si>
    <t>Shi, W; Guan, XF; Han, Y; Zha, SJ; Fang, J; Xiao, GQ; Yan, MC; Liu, GX</t>
  </si>
  <si>
    <t>Shi, Wei; Guan, Xiaofan; Han, Yu; Zha, Shanjie; Fang, Jun; Xiao, Guoqiang; Yan, Maocang; Liu, Guangxu</t>
  </si>
  <si>
    <t>The synergic impacts of TiO2 nanoparticles and 17β-estradiol (E2) on the immune responses, E2 accumulation, and expression of immune-related genes of the blood clam, Tegillarca granosa</t>
  </si>
  <si>
    <t>Tegillarca granosa; TiO2 nanoparticles; Immune responses; 17 beta-estradiol</t>
  </si>
  <si>
    <t>TITANIUM-DIOXIDE NANOPARTICLES; MARINE BIVALVE; ENDOCRINE DISRUPTORS; ENVIRONMENTAL CONCENTRATIONS; MYTILUS-GALLOPROVINCIALIS; AQUATIC ENVIRONMENT; TOXICITY; EXPOSURE; ACIDIFICATION; BIOMARKER</t>
  </si>
  <si>
    <t>The extensive use of TiO2 nanoparticles (nTiO(2)) in industrial products has led to their release into the marine environment, thereby posing a potential risk to marine organisms. However, in addition to affecting marine organisms through its inherent properties, nTiO(2) can also act as a vehicle for other toxic pollutants due to their strong adsorption ability through the Trojan horse effect. Due to their potential hazard, the endocrine disrupting chemicals (EDCs) such as 17 beta-estradiol (E2), have been considered as one of the most serious anthropogenic threats to biodiversity and ecosystem health. However, there is still a lack of knowledge regarding the possible synergistic effects of nTiO(2) and endocrine disrupting chemicals (EDCs) on marine organisms to date. Therefore, the combined effects of nTiO(2) and 17 beta-estradiol (E2) on the immune responses of the blood clam, Tegillarca granosa, were investigated in this study. After 10 days of treatment, the total number, phagocytic activity, red granulocytes ratio, and the phagocytosis of hemocytes were significantly reduced in almost all treatment groups. Furthermore, expressions of genes from NF kappa beta and Toll-like receptor signaling pathways were significantly altered after exposure to nTiO(2) and/or E2, indicating a reduced sensitivity to pathogen challenges. In addition, compared to exposure to E2 alone, co-exposure to E2 and nTiO(2) led to a significant increase in the content of alkali-labile phosphate (ALP) in hemolymph, suggesting an enhanced E2 bioconcentration in the presence of nTiO(2). In general, the present study demonstrated that nTiO(2) enhanced the immunotoxicity of E2 to the blood clam, which may be due to the increased E2 uptake in the presence of nTiO(2).</t>
  </si>
  <si>
    <t>[Shi, Wei; Guan, Xiaofan; Han, Yu; Zha, Shanjie; Liu, Guangxu] Zhejiang Univ, Coll Anim Sci, Hangzhou, Zhejiang, Peoples R China; [Fang, Jun; Xiao, Guoqiang; Yan, Maocang] Mariculture Res Inst Zhejiang Prov, Wenzhou, Peoples R China</t>
  </si>
  <si>
    <t>Liu, GX (corresponding author), Zhejiang Univ, Coll Anim Sci, Hangzhou, Zhejiang, Peoples R China.</t>
  </si>
  <si>
    <t>Yan, MC/JAC-0877-2023; Shi, Wei/P-2846-2019; fang, jun/KAM-4441-2024</t>
  </si>
  <si>
    <t>National Natural Science Foundation of China [31672634]; Open Fund of Key Laboratory of Marine Ecosystem and Biogeochemistry SOA [LMEB201708]; Open Fund of Key Laboratory of Eco-Environment &amp; Disaster Preservation of Shandong, North China Sea Branch of SOA [201704]</t>
  </si>
  <si>
    <t>National Natural Science Foundation of China(National Natural Science Foundation of China (NSFC)); Open Fund of Key Laboratory of Marine Ecosystem and Biogeochemistry SOA; Open Fund of Key Laboratory of Eco-Environment &amp; Disaster Preservation of Shandong, North China Sea Branch of SOA</t>
  </si>
  <si>
    <t>This work was funded by National Natural Science Foundation of China (No. 31672634), Open Fund of Key Laboratory of Marine Ecosystem and Biogeochemistry SOA (LMEB201708), and Open Fund of Key Laboratory of Eco-Environment &amp; Disaster Preservation of Shandong, North China Sea Branch of SOA (No. 201704).</t>
  </si>
  <si>
    <t>10.1016/j.fsi.2018.07.009</t>
  </si>
  <si>
    <t>WOS:000443665900004</t>
  </si>
  <si>
    <t>Kumar-Roiné, S; Guillemot, N; Labrosse, P; N'guyen, JM; Fernandez, JM</t>
  </si>
  <si>
    <t>Kumar-Roine, Shilpa; Guillemot, Nicolas; Labrosse, Pierre; N'guyen, Jean-Michel; Fernandez, Jean Michel</t>
  </si>
  <si>
    <t>Trace element accumulation in the muscles of reef fish collected from southern new Caledonian lagoon: Risk assessment for consumers and grouper Plectropomus leopardus as a possible bioindicator of mining contamination br</t>
  </si>
  <si>
    <t>Fish consumption; New Caledonia; Metal accumulation; Risk assessment; Plectropomus leopardus; Bioindicator</t>
  </si>
  <si>
    <t>ALGA LOBOPHORA-VARIEGATA; SEAFOOD CONSUMPTION; METAL CONTAMINATION; ANGUILLIFORM FISH; TROPICAL BIVALVES; HEAVY-METALS; CORAL-REEFS; BIOACCUMULATION; PACIFIC; FOOD</t>
  </si>
  <si>
    <t>Flesh of 141 fish specimens collected along the southern coast of New Caledonia, close to the mining industry Prony Resources New Caledonia, were analyzed for 10 elements (As, Cd, Co, Cr, Cu, Fe, Hg, Mn, Ni and Zn). The leopard coral grouper Plectopomus leopardus revealed significant spatial variations for Cr, Fe, Mn and Zn and sizedependent accumulation of Hg. Sanitary risk assessment suggests that Hg and Me-Hg could potentially be a concern for heavy fish consumers. A previous study in New Caledonia had demonstrated the capacity of P. leopardus to differentially accumulate Ag, Cd, Cu, Hg and Zn and as such its potential as bioindicator specie to monitor contamination status in urban areas (Metian et al., 2013). Our results demonstrate that this specie can also to be used as a bioindicator to monitor the contamination status of Cr, Fe and Mn in New Caledonian lagoon in relation to mining activities.</t>
  </si>
  <si>
    <t>[Kumar-Roine, Shilpa; Fernandez, Jean Michel] AEL LEA, BP A5, Noumea 98848, New Caledonia; [Guillemot, Nicolas] Dexen, BP 32401, Noumea 98897, New Caledonia; [Labrosse, Pierre] Ctr Atlantique, BP 21102, F-44311 Nantes, France; [N'guyen, Jean-Michel] Prony Ressources New Caledonia, BP 218, Noumea 98800, New Caledonia</t>
  </si>
  <si>
    <t>Fernandez, JM (corresponding author), AEL LEA, BP A5, Noumea 98848, New Caledonia.</t>
  </si>
  <si>
    <t>jmfernandez@ael-environnement.nc</t>
  </si>
  <si>
    <t>PRNC</t>
  </si>
  <si>
    <t>This study was funded by PRNC as part of its environmental moni- toring requirements and carried out by the AEL/LEA. The authors would also like to acknowledge Adeline Goyaud, Ludovic Breau and Stephanie Pluchino for their technical assistances.</t>
  </si>
  <si>
    <t>10.1016/j.marpolbul.2022.114210</t>
  </si>
  <si>
    <t>5X3PV</t>
  </si>
  <si>
    <t>WOS:000878515600007</t>
  </si>
  <si>
    <t>Lu, X; Gao, ZW; Wang, GH; Chen, S; Gu, YC; Yan, B; Yang, Q</t>
  </si>
  <si>
    <t>Lu, Xi; Gao, Zhiwei; Wang, Guihua; Chen, Sheng; Gu, Yingchun; Yan, Bin; Yang, Qin</t>
  </si>
  <si>
    <t>Mussel-inspired PDA/Ag nanocomposite catalyst for highly-efficient Cr(vi) removal via visible light-induced reduction and absorption</t>
  </si>
  <si>
    <t>NEW JOURNAL OF CHEMISTRY</t>
  </si>
  <si>
    <t>PHOTOCATALYTIC REDUCTION; SILVER NANOPARTICLES; HEXAVALENT CHROMIUM; TIO2 PARTICLES; CITRIC-ACID; POLYDOPAMINE; PHOTOREDUCTION; PERFORMANCE; COMPOSITES; CR(III)</t>
  </si>
  <si>
    <t>Toxic pollutants containing Cr(vi) are unavoidable in industrial production. Photoreduction is commonly performed during the removal of Cr(vi) by reducing Cr(vi) to Cr(iii). In this work, polydopamine/Ag-nanoparticles (PDA/AgNPs) were synthesized under mild conditions through the self-polymerization of PDA and the in situ reduction of Ag+ to Ag nanoparticles via PDA. The relevant structural characterizations were confirmed by X-ray diffraction (XRD) and X-ray photoelectron spectroscopy (XPS). The electrochemical characterizations were performed through photoluminescence (PL) spectroscopy and electrochemical impedance spectroscopy (EIS) performance. PDA/AgNPs-2 (2.5 mg) catalysts showed outstanding catalytic ability with a 98% removal ratio after 60 min illumination. Unique adhesion behavior and the good electrical conductivity of PDA/AgNPs led to the excellent removal performance of Cr(vi) via absorption and photo-induced reduction. The PDA/AgNPs were acceptably reused after 7 cycles. This work provides a feasible reference to synthesize photocatalyst materials for removing hazardous Cr(vi).</t>
  </si>
  <si>
    <t>[Lu, Xi] Sinopec Petr Explorat &amp; Prod Res Inst, Beijing 100083, Peoples R China; [Gao, Zhiwei] Sinopec, Xinjiang Xinchun Petr Dev Co Ltd, Dongying 257000, Shandong, Peoples R China; [Wang, Guihua; Chen, Sheng; Gu, Yingchun; Yan, Bin; Yang, Qin] Sichuan Univ, Coll Biomass Sci &amp; Engn, Natl Engn Lab Clean Technol Leather Manufacture, Chengdu 610065, Peoples R China</t>
  </si>
  <si>
    <t>Sinopec; Sinopec; Sichuan University</t>
  </si>
  <si>
    <t>Yang, Q (corresponding author), Sichuan Univ, Coll Biomass Sci &amp; Engn, Natl Engn Lab Clean Technol Leather Manufacture, Chengdu 610065, Peoples R China.</t>
  </si>
  <si>
    <t>yangqin@scu.edu.cn</t>
  </si>
  <si>
    <t>Gao, Zhiwei/AAQ-7508-2020; Yan, Bin/Y-7642-2019; Wang, Guihua/B-4458-2010</t>
  </si>
  <si>
    <t>Yang, Qin/0000-0002-4304-2687; Chen, Sheng/0000-0002-9428-3675</t>
  </si>
  <si>
    <t>National Natural Science Foundation of China [21876119, 22001182]; National Key R&amp;D Program of China [2018YFA0702400]; Special Engineering Team of Sichuan University [2020SCUNG122]; Sichuan Science and Technology Program, China [22ZDYF2875, 2022NSFSC1254]; Chengdu Science and Technology Program, China [2019-GH02-00029-HZ]</t>
  </si>
  <si>
    <t>National Natural Science Foundation of China(National Natural Science Foundation of China (NSFC)); National Key R&amp;D Program of China; Special Engineering Team of Sichuan University; Sichuan Science and Technology Program, China; Chengdu Science and Technology Program, China</t>
  </si>
  <si>
    <t>This work was supported by the National Natural Science Foundation of China (No. 21876119 and 22001182), the National Key R&amp;D Program of China (No. 2018YFA0702400), Special Engineering Team of Sichuan University (No. 2020SCUNG122), Sichuan Science and Technology Program, China (No. 22ZDYF2875 and 2022NSFSC1254) and Chengdu Science and Technology Program, China (No. 2019-GH02-00029-HZ). The authors thank the Analytical and Testing Center of Sichuan University for structured illumination microscopy work and are grateful to Mrs Yong Liu, Mrs Hongyan Xiao, Dr Sha Deng, Dr Zhonghui Wang, and Dr Jingwei Zhang for the experimental assistance.</t>
  </si>
  <si>
    <t>1144-0546</t>
  </si>
  <si>
    <t>1369-9261</t>
  </si>
  <si>
    <t>NEW J CHEM</t>
  </si>
  <si>
    <t>New J. Chem.</t>
  </si>
  <si>
    <t>10.1039/d3nj00622k</t>
  </si>
  <si>
    <t>F9QE4</t>
  </si>
  <si>
    <t>WOS:000975750000001</t>
  </si>
  <si>
    <t>Ruelas-Inzunza, J; Páez-Osuna, F</t>
  </si>
  <si>
    <t>Ruelas-Inzunza, Jorge; Paez-Osuna, Federico</t>
  </si>
  <si>
    <t>Essential and toxic metals in nine fish species for human consumption from two coastal lagoons in the Eastern Gulf of California</t>
  </si>
  <si>
    <t>trace metals; commercial fish; tissue distribution; Guaymas lagoon; Altata-Ensenada del Pabellon lagoon; Gulf of California</t>
  </si>
  <si>
    <t>ORGANISMS; MARINE; INDICATOR; POLLUTION; CADMIUM; MERCURY; ZINC</t>
  </si>
  <si>
    <t>With the aim of knowing concentrations of Cd, Cu, Fe, Mn, Pb and Zn; percentage of daily mineral intake (PMI) for essential elements and percentage of weekly intake (PWI) of toxic metals in commercial fish from 2 coastal lagoons in the Eastern Gulf of California, analyses were carried out in 9 species. Highest values of Cd were detected in the liver of the sharks Sphyrna lewini and Carcharhinus leucas, Pb was mostly detected in the liver of S. lewini; Cu and Mn in the liver and gills of the mullet Mugil cephalus, respectively; Fe in the liver of the catfish Galeichthys peruvianus; and Zn in viscera of the catfish Cathoropsjuerthii. From the point of view of public health and considering the edible portion, only in a few cases levels were above limits considered as safe for human consumption, such is the case of Cd in muscle of bull shark C leucas (2.8 mu g g(-1)) and catfish G peruvianus (1.55 mu g g(-1)), Pb in muscle of scalloped hammerhead S. lewini (5.2 mu g g(-1)), Cu in muscle of scalloped hammerhead S. lewini (20.6 mu g g(-1)) and Zn in muscle of Pacific herring Opisthonema libertate (53 mu g g(-1)) and S. lewini (104 mu g g(-1)).</t>
  </si>
  <si>
    <t>Technol Inst Mazatlan, Mazatlan, Mexico; Univ Nacl Autonoma Mexico, Inst Marine Sci &amp; Limnol, Mazatlan, Mexico</t>
  </si>
  <si>
    <t>Ruelas-Inzunza, J (corresponding author), Technol Inst Mazatlan, Corsario 1,No 203,Col Urias, Mazatlan, Mexico.</t>
  </si>
  <si>
    <t>10.1080/10934520701480615</t>
  </si>
  <si>
    <t>206IG</t>
  </si>
  <si>
    <t>WOS:000249176500008</t>
  </si>
  <si>
    <t>Wang, J; Lu, L; Wang, MX; Jiang, T; Liu, XS; Ru, SG</t>
  </si>
  <si>
    <t>Wang, Jun; Lu, Lin; Wang, Mingxiao; Jiang, Tao; Liu, Xiaoshou; Ru, Shaoguo</t>
  </si>
  <si>
    <t>Typhoons increase the abundance of microplastics in the marine environment and cultured organisms: A case study in Sanggou Bay, China</t>
  </si>
  <si>
    <t>Microplastic; Typhoon; Sanggou Bay; Oyster; Scanning electron microscopy/energy dispersive spectroscopy</t>
  </si>
  <si>
    <t>SURFACE WATERS; RESIN PELLETS; SEDIMENTS; SEA; CONTAMINATION; POLLUTION; BIVALVES; BEACHES; ESTUARY; SYSTEM</t>
  </si>
  <si>
    <t>Microplastic contamination in the ocean has emerged as an environmental issue of global importance. The most effective strategy to control microplastic pollution is to reduce the terrestrial input, but severe weather conditions make it difficult. This study investigated microplastic abundance and characteristics in the seawater, sediments, and cultured oysters (Crassostrea gigas) of Sanggou Bay (China) before and after two typhoons with an average rainfall of 19.2 mm/d over 8 days. Prior to the typhoons, microplastic levels in the seawater, sediment, and oysters were 63.6 +/- 37.4 items/L, 2178 +/- 369 items/kg, and 41.0 +/- 15.5 items/individual, with fibers being the predominant shape. Typhoons increased the average concentrations of microplastics in the seawater and sediments by approximately 40%, and the proportions of fragments, spherules, and granules in the sediments increased by 9.6%, 4.0%, and 43%, respectively. The majority of microplastics in seawater, sediments, and oysters collected before the typhoons could be grouped into sizes of 0.1-0.5 mm (36.7%), 0.05-0.1 mm (42.6%), and 0.1-05 mm (47.1%), respectively. After the typhoons, the most abundant size classes of microplastics in the three environmental compartments were 0.05-0.1 mm (39.2%) for seawater, 0.1-0.5 mm (37.1%) for sediments, and 0.05-0.1 mm (29.9%) for oysters. The typhoons also altered color distribution of microplastics and increased the proportions of polypropylene, polystyrene, and polyethylene terephthalate in seawater. Scanning electron microscopy/energy dispersive spectroscopy showed that organic matter and heavy metals were present on the microplastics collected from oysters. Our results suggest that weather conditions should be considered when investigating marine microplastics. (C) 2019 Elsevier B.V. All rights reserved.</t>
  </si>
  <si>
    <t>[Wang, Jun; Wang, Mingxiao; Liu, Xiaoshou; Ru, Shaoguo] Ocean Univ China, Coll Marine Life Sci, 5 Yushan Rd, Qingdao 266003, Shandong, Peoples R China; [Lu, Lin; Jiang, Tao] Chinese Acad Fishery Sci, Key Lab Sustainable Dev Marine Fisheries, Minist Agr, Yellow Sea Fisheries Res Inst, Qingdao 266071, Peoples R China</t>
  </si>
  <si>
    <t>Ocean University of China; Ministry of Agriculture &amp; Rural Affairs; Chinese Academy of Fishery Sciences; Yellow Sea Fisheries Research Institute, CAFS</t>
  </si>
  <si>
    <t>Liu, XS; Ru, SG (corresponding author), Ocean Univ China, Coll Marine Life Sci, 5 Yushan Rd, Qingdao 266003, Shandong, Peoples R China.</t>
  </si>
  <si>
    <t>liuxs@ouc.edu.cn; rusg@ouc.edu.cn</t>
  </si>
  <si>
    <t>Liu, Xiaoshou/I-3001-2019; Jiang, Tao/AAQ-6588-2020; Wang, Jun/AAE-8438-2022; Liu, Xiaoshou/B-3741-2008</t>
  </si>
  <si>
    <t>Wang, Jun/0000-0002-4606-5585; Liu, Xiaoshou/0000-0002-0017-7186</t>
  </si>
  <si>
    <t>National Natural Science Foundation of China [21607144, 41576135]; China Postdoctoral Science Foundation [2017M610448]</t>
  </si>
  <si>
    <t>National Natural Science Foundation of China(National Natural Science Foundation of China (NSFC)); China Postdoctoral Science Foundation(China Postdoctoral Science Foundation)</t>
  </si>
  <si>
    <t>This research was supported by the National Natural Science Foundation of China (21607144, 41576135) and China Postdoctoral Science Foundation funded project (2017M610448).</t>
  </si>
  <si>
    <t>10.1016/j.scitotenv.2019.02.367</t>
  </si>
  <si>
    <t>HP4WI</t>
  </si>
  <si>
    <t>WOS:000461676600001</t>
  </si>
  <si>
    <t>Corsi, I; Mariottini, M; Menchi, V; Sensini, C; Balocchi, C; Focardi, S</t>
  </si>
  <si>
    <t>Corsi, Ilaria; Mariottini, Michela; Menchi, Valentina; Sensini, Christiana; Balocchi, Cristiana; Focardi, Silvano</t>
  </si>
  <si>
    <t>Monitoring a Marine Coastal Area: Use of Mytilus galloprovincialis and Mullus barbatus as Bioindicators</t>
  </si>
  <si>
    <t>MARINE ECOLOGY-PUBBLICAZIONI DELLA STAZIONE ZOOLOGICA DI NAPOLI I</t>
  </si>
  <si>
    <t>Fish; mussel; contamination; biomarkers; gonad histology</t>
  </si>
  <si>
    <t>Samples of Mytilus galloprovincialis and Mullus barbatus were collected in eight coastal sites along the South Adriatic and Ionic coasts of Italy in spring 2000 for a survey of coastal pollution in the Mediterranean basin. Specimens were analysed using an integrated approach based on residue analysis of common aquatic pollutants like organochlorines such as hexachlorobenzene (HCB), DDTs and polychlorinated biphenyls (PCBs), polycyclic aromatic hydrocarbons (PAHs), heavy metals and nonylphenols (NPnE) and biomarker responses such as acetylcholinesterase (AChE) activity, and the two specific P450 activities benzo(a)pyrene monooxygenase (BPMO) and 7-ethoxyre-sorufin-O-deethylase (EROD). Biological and morphological parameters like somatic liver index (SLI), gonadosomatic index (GSI) and gonadal and gamete histology (eggs and sperms) were also evaluated in red mullet samples. A contamination gradient in which several hot spots occur were revealed in this study. The hot spots account for high levels of organochlorines in both species near incinerators and of PAHs in harbour areas. Levels of both NPnE and AChE activity were highest in two protected marine areas and were within detectable limits in others. This finding was confirmed by P450 activities, in which maximum levels were detected in harbours and protected marine areas. No morphological alterations of male and female gonads were observed on the histological level.</t>
  </si>
  <si>
    <t>[Corsi, Ilaria; Mariottini, Michela; Menchi, Valentina; Sensini, Christiana; Balocchi, Cristiana; Focardi, Silvano] Univ Siena, Dipartimento Sci Ambientali, I-53100 Siena, Italy</t>
  </si>
  <si>
    <t>Corsi, I (corresponding author), Univ Siena, Dipartimento Sci Ambientali, Via Cerchia 3, I-53100 Siena, Italy.</t>
  </si>
  <si>
    <t>corsii@unisi.it</t>
  </si>
  <si>
    <t>mariottini, michela/H-7121-2012; corsi, ilaria/D-3795-2012</t>
  </si>
  <si>
    <t>CoNISMa (Consorzio Nazionale Interuniversitario per le Scienze del Mare)</t>
  </si>
  <si>
    <t>This investigation was conducted in the framework of INTERREG II Italy-Greece funded by the CoNISMa (Consorzio Nazionale Interuniversitario per le Scienze del Mare).</t>
  </si>
  <si>
    <t>MAR ECOL-P S Z N I</t>
  </si>
  <si>
    <t>Mar. Ecol.-Pubbl. Stn. Zool. Napoli</t>
  </si>
  <si>
    <t>10.1111/j.1439-0485.2002.tb00014.x</t>
  </si>
  <si>
    <t>V22XZ</t>
  </si>
  <si>
    <t>WOS:000208309200014</t>
  </si>
  <si>
    <t>Rainbow, PS; Wolowicz, M; Fialkowski, W; Smith, BD; Sokolowski, A</t>
  </si>
  <si>
    <t>Biomonitoring of trace metals in the Gulf of Gdansk, using mussels (Mytilus trossulus) and barnacles (Balanus improvisus)</t>
  </si>
  <si>
    <t>biomonitoring; trace metals; Gulf of Gdansk; Poland; Baltic; mussels; barnacles</t>
  </si>
  <si>
    <t>SOUTHERN BALTIC SEA; SURFICIAL SEDIMENTS; PUCK BAY; SCANDINAVIAN WATERS; UNITED-STATES; EDULIS-L; POLAND; POLLUTION; CADMIUM; ZINC</t>
  </si>
  <si>
    <t>In a preliminary biomonitoring study, accumulated trace metal concentrations (Cu, Zn, Fe, Cd, Pb, Mn, Ni) have been measured in the mussel Mytilus trossulus and the barnacle Balanus improvisus collected in the Gulf of Gdansk, Poland in 1998. Mussels were collected From five sites in May 1998, and from one site in each of January and February 1998. Barnacles were collected simultaneously from four of the five sites in May 1998. Analysis of covariance has shown significant geographical and temporal differences in the local bioavailabilities of trace metals to mussels and barnacles, as reflected in the concentrations of accumulated trace metals. It is concluded that the mussel and barnacle are suitable biomonitors to employ in programmes designed to assess changes in metal pollution in the Gulf of Gdansk, one of the most metal polluted parts of the Baltic Sea; due to the outflow of the River Vistula. (C) 2000 Elsevier Science Ltd. All rights reserved.</t>
  </si>
  <si>
    <t>Nat Hist Museum, Dept Zool, London SW7 5BD, England; Univ Gdansk, Lab Estuarine Ecol, PL-81378 Gdynia, Poland; Jagiellonian Univ, Dept Hydrobiol, PL-30063 Krakow, Poland</t>
  </si>
  <si>
    <t>Natural History Museum London; Fahrenheit Universities; University of Gdansk; Jagiellonian University</t>
  </si>
  <si>
    <t>Rainbow, PS (corresponding author), Nat Hist Museum, Dept Zool, Cromwell Rd, London SW7 5BD, England.</t>
  </si>
  <si>
    <t>Fialkowski, Wojciech/A-9029-2016</t>
  </si>
  <si>
    <t>Fialkowski, Wojciech/0000-0002-7350-4504; Sokolowski, Adam/0000-0002-7551-3199</t>
  </si>
  <si>
    <t>10.1016/S0043-1354(99)00345-0</t>
  </si>
  <si>
    <t>293RT</t>
  </si>
  <si>
    <t>WOS:000085867500007</t>
  </si>
  <si>
    <t>de Cerio, OD; Hands, E; Humble, J; Cajaraville, MP; Craft, JA; Cancio, I</t>
  </si>
  <si>
    <t>Diaz de Cerio, O.; Hands, E.; Humble, J.; Cajaraville, M. P.; Craft, J. A.; Cancio, I.</t>
  </si>
  <si>
    <t>Construction and characterization of a forward subtracted library of blue mussels Mytilus edulis for the identification of gene transcription signatures and biomarkers of styrene exposure</t>
  </si>
  <si>
    <t>Blue mussel; Styrene; SSH</t>
  </si>
  <si>
    <t>OYSTER CRASSOSTREA-GIGAS; EXPRESSION; STRESS; HEMOCYTES; RESPONSES; PROTEINS; CELLS; DNA; HYBRIDIZATION; INVOLVEMENT</t>
  </si>
  <si>
    <t>Transcriptional profiling can elucidate adaptive/toxicity pathways participating in achieving homeostasis or leading to pathogenesis in marine biota exposed to chemical substances. With the aim of analyzing transcriptional responses in the mussel Mytilus edulis exposed to the corrosive and putatively carcinogenic hydrocarbon styrene (3-5 ppm, 3 days), a forward subtracted (SSH) cDNA library was produced. Female mussels were selected and digestive gland mRNA was isolated. A library with 1440 clones was produced and a total of 287 clones were sequenced, 53% being identified through BlastN analysis against Mytibase and DeepSeaVent databases. Those genes included GO terms such as 'response to drugs', 'immune defense' and 'cell proliferation'. Furthermore, sequences related to chitin and beta-1-3-glucan metabolism were also up-regulated by styrene. Many of the obtained sequences could not be annotated constituting new mussel sequences. In conclusion, this SSH study reveals novel sequences useful to generate molecular biomarkers of styrene exposure in mussels. (C) 2013 Elsevier Ltd. All rights reserved.</t>
  </si>
  <si>
    <t>[Diaz de Cerio, O.; Cajaraville, M. P.; Cancio, I.] Univ Basque Country UPV EHU, CBET Res Ctr Expt Marine Biol &amp; Biotechnol Plentz, Bilbao, Spain; [Diaz de Cerio, O.; Cajaraville, M. P.; Cancio, I.] Univ Basque Country UPV EHU, Zool &amp; Cell Biol Dept, Fac Sci &amp; Technol, Bilbao, Spain; [Hands, E.; Humble, J.; Craft, J. A.] Glasgow Caledonian Univ, Dept Biol &amp; Biomed Sci, Glasgow G4 0BA, Lanark, Scotland</t>
  </si>
  <si>
    <t>University of Basque Country; University of Basque Country; Glasgow Caledonian University</t>
  </si>
  <si>
    <t>Cancio, I (corresponding author), Univ Basque Country UPV EHU, Sch Sci &amp; Technol, Dept Zool &amp; Anim Cell Biol, Lab Anim Cell Biol, Biscay 48940, Basque Country, Spain.</t>
  </si>
  <si>
    <t>ibon.cancio@ehu.es</t>
  </si>
  <si>
    <t>Cancio, Ibon/I-2821-2015; Cajaraville, Miren P/I-4757-2015; Diaz de cerio, Oihane/H-3336-2015</t>
  </si>
  <si>
    <t>Cancio, Ibon/0000-0003-4841-0079; Cajaraville, Miren P/0000-0001-6527-6137; Diaz de cerio, Oihane/0000-0002-5605-8434</t>
  </si>
  <si>
    <t>European Commission (Directorate-General Environment) through the PRAGMA project A pragmatic and integrated approach for the evaluation of environmental impact of oil and chemicals spilled at sea: Input to European guidelines [07.030900/2005/429172/SUB/A5]; Spanish MEC [CTM2006-06192/MAR]; Basque Government through project SAIOTEK-IKERKOSTA [S-PC08UN03]; Basque Government through the strategic action ETORTEK-IMPRES [ETORTEK2004-IMPRES]; Natural Environment Research Council (UK) [NE/G523398/1]; [GIC07/26-IT-393-07]; [UFI11/37]; NERC [NE/G523398/1] Funding Source: UKRI</t>
  </si>
  <si>
    <t>European Commission (Directorate-General Environment) through the PRAGMA project A pragmatic and integrated approach for the evaluation of environmental impact of oil and chemicals spilled at sea: Input to European guidelines; Spanish MEC(Spanish Government); Basque Government through project SAIOTEK-IKERKOSTA(Basque Government); Basque Government through the strategic action ETORTEK-IMPRES(Basque Government); Natural Environment Research Council (UK)(UK Research &amp; Innovation (UKRI)Natural Environment Research Council (NERC)); ; ; NERC(UK Research &amp; Innovation (UKRI)Natural Environment Research Council (NERC))</t>
  </si>
  <si>
    <t>This work has been supported by the European Commission (Directorate-General Environment) through the PRAGMA project A pragmatic and integrated approach for the evaluation of environmental impact of oil and chemicals spilled at sea: Input to European guidelines (Contract no. 07.030900/2005/429172/SUB/A5), the Spanish MEC (project CANCERMAR, CTM2006-06192/MAR) and the Basque Government through project SAIOTEK-IKERKOSTA (S-PC08UN03), and also through the strategic action ETORTEK-IMPRES (ETORTEK2004-IMPRES) and through a grant to consolidated research groups (GIC07/26-IT-393-07) and the grant to Unit of Formation and Research (UFI11/37). JLH thanks the Natural Environment Research Council (UK) for a Doctoral Training Grant (NE/G523398/1). Special thanks are due to Dr. T. Boussant from IRIS Stavanger (Norway) for his help in the design of the study.</t>
  </si>
  <si>
    <t>10.1016/j.marpolbul.2013.02.034</t>
  </si>
  <si>
    <t>173OG</t>
  </si>
  <si>
    <t>WOS:000321088200040</t>
  </si>
  <si>
    <t>Turanli, N; Gedik, K</t>
  </si>
  <si>
    <t>Turanli, Nurdan; Gedik, Kenan</t>
  </si>
  <si>
    <t>Spatial trace element bioaccumulation along with consumer risk simulations of Mediterranean mussels in coastal waters of Turkey</t>
  </si>
  <si>
    <t>Monte Carlo simulation; Probabilistic distribution; Cancer risk; Target hazard quotient; Mytilus galloprovincialis</t>
  </si>
  <si>
    <t>POTENTIAL HEALTH-RISK; EASTERN BLACK-SEA; HEAVY-METALS; MYTILUS-GALLOPROVINCIALIS; BAY</t>
  </si>
  <si>
    <t>Turkey borders three seas and the most populous locations are squeezed into the coastal territories. Thus, organisms living in these aquatic territories are under longstanding anthropogenic pressure. Hence, this study investigated the consumption outcomes leading to potential child and adult health risks along with the spatial distribution of As, Cd, Cr, Cu, Ni, Pb, V, and Zn in the Mediterranean mussels (Mytilus galloprovincialis) sampled at 23 different stations from the Black Sea, the Sea of Marmara, and the Aegean Sea coastal waters of Turkey. The mean concentrations of trace elements found in the Mediterranean mussels followed Zn (39.75 mg kg(-1)) &gt; Cu (1.95 mg kg(-1)) &gt; As (1.84 mg kg(-1)) &gt; Pb (0.99 mg kg(-1)) &gt; Ni (0.65 mg kg(-1)) &gt; Cr (0.62 mg kg(-1)) &gt; V (0.47 mg kg(-1)) &gt; Cd (0.08 mg kg(-1)). Factor analysis revealed that trace elements were mostly derived from anthropogenic sources. Pb values were found to be above the permissible European Union limits at 10 sampling stations. While the estimated weekly intake did not exceed the Joint FAO/WHO Expert Committee on Food Additives limits, the target hazard quotient for As was found &gt;1 for children. The lifetime cancer risk (CR) for adults and children was unacceptable (&gt;10(-4)) at high consumption rates for As according to US Environmental Protection Agency. Monte Carlo simulation confirmed a CR to adult (62.98%) and children (97.24%) mussel consumers caused by As.</t>
  </si>
  <si>
    <t>[Turanli, Nurdan; Gedik, Kenan] Recep Tayyip Erdogan Univ, Vocat Sch Tech Sci, TR-53100 Rize, Turkey</t>
  </si>
  <si>
    <t>nurdan.turanli@gmail.com; kenan.gedik@erdogan.edu.tr</t>
  </si>
  <si>
    <t>Recep Tayyip Erdogan University Research Funds [FYL-2019-1033]</t>
  </si>
  <si>
    <t>This work was supported by the Recep Tayyip Erdogan University Research Funds (grant number: FYL-2019-1033).</t>
  </si>
  <si>
    <t>10.1007/s11356-021-13506-4</t>
  </si>
  <si>
    <t>TY6DN</t>
  </si>
  <si>
    <t>WOS:000635506400017</t>
  </si>
  <si>
    <t>Ugge, GMOE; Jonsson, A; Olsson, B; Sjoback, R; Berglund, O</t>
  </si>
  <si>
    <t>Ugge, Gustaf Magnus Oskar Ekelund; Jonsson, Annie; Olsson, Bjorn; Sjoback, Robert; Berglund, Olof</t>
  </si>
  <si>
    <t>Transcriptional and biochemical biomarker responses in a freshwater mussel (Anodonta anatina) under environmentally relevant Cu exposure</t>
  </si>
  <si>
    <t>Bivalve; Gene expression; Response variability; Sex effects; Effect size; RT-qPCR</t>
  </si>
  <si>
    <t>DISSOLVED ORGANIC-CARBON; MYTILUS-GALLOPROVINCIALIS; HEAVY-METALS; BIOCONCENTRATION FACTOR; DREISSENA-POLYMORPHA; COPPER TOXICITY; BIOACCUMULATION; ACCUMULATION; SENSITIVITY; GLUTATHIONE</t>
  </si>
  <si>
    <t>Molecular biomarkers, like gene transcripts or enzyme activities, are potentially powerful tools for early warning assessment of pollution. However, a thorough understanding of response and baseline variation is required to distinguish actual effects from pollution. Here, we assess the freshwater mussel Anodonta anatina as a biomarker model species for freshwater ecosystems, by testing responses of six transcriptional (cat, gst, hsp70, hsp90, mt, and sod) and two biochemical (AChE and GST) biomarkers to environmentally relevant Cu water concentrations. Mussels (n = 20), collected from a stream free from point source pollution, were exposed in the laboratory, for 96 h, to Cu treatments (&lt; 0.2 mu g/L, 0.77 +/- 0.87 mu g/L, and 6.3 +/- 5.4 mu g/L). Gills and digestive glands were extracted and analyzed for transcriptional and biochemical responses. Biological and statistical effect sizes from Cu treatments were in general small (mean log(2) fold-change &lt;= 0.80 and Cohen's f &lt;= 0.69, respectively), and no significant treatment effects were observed. In contrast, four out of eight biomarkers (cat, gst, hsp70, and GST) showed a significant sex:tissue interaction, and additionally one (sod) showed significant overall effects from sex. Specifically, three markers in gills (cat, mt, GST) and one in digestive gland (AChE) displayed significant sex differences, independent of treatment. Results suggest that sex or tissue effects might obscure low-magnitude biomarker responses and potential early warnings. Thus, variation in biomarker baselines and response patterns needs to be further addressed for the future use of A. anatina as a biomarker model species.</t>
  </si>
  <si>
    <t>[Ugge, Gustaf Magnus Oskar Ekelund; Berglund, Olof] Lund Univ, Dept Biol, Solvegatan 37, S-22362 Lund, Sweden; [Ugge, Gustaf Magnus Oskar Ekelund; Jonsson, Annie; Olsson, Bjorn] Univ Skovde, Sch Biosci, Hogskolevagen 3, S-54128 Skovde, Sweden; [Sjoback, Robert] TATAA Bioctr, Odinsgatan 28, S-41103 Gothenburg, Sweden</t>
  </si>
  <si>
    <t>Ugge, GMOE (corresponding author), Lund Univ, Dept Biol, Solvegatan 37, S-22362 Lund, Sweden.;Ugge, GMOE (corresponding author), Univ Skovde, Sch Biosci, Hogskolevagen 3, S-54128 Skovde, Sweden.</t>
  </si>
  <si>
    <t>10.1007/s11356-020-07660-4</t>
  </si>
  <si>
    <t>LB9LF</t>
  </si>
  <si>
    <t>WOS:000524949600099</t>
  </si>
  <si>
    <t>Santos, A; Hauser-Davis, RA; Santos, MJS; De Simone, SG</t>
  </si>
  <si>
    <t>Santos, Antonia; Hauser-Davis, Rachel Ann; Soares Santos, Manoel Jose; De Simone, Salvatore Giovani</t>
  </si>
  <si>
    <t>Potentially toxic filamentous fungi associated to the economically important Nodipecten nodosus (Linnaeus, 1758) scallop farmed in southeastern Rio de Janeiro, Brazil</t>
  </si>
  <si>
    <t>Aquatic filamentous fungi; Brazil; Mollusks; Public health concerns; Scallop; Toxic fungi</t>
  </si>
  <si>
    <t>THE-GREAT BAY; SHELLFISH; MUSSELS; RISK; SEA</t>
  </si>
  <si>
    <t>Numerous countries have been confronted with infectious diseases in mariculture activities, including fungi infections, although reports in scallops are scarce. Thus, this study aimed to investigate the occurrence of filamentous fungi in Nodipecten nodosus specimens from three marine farms in Southeastern Brazil. Eight fungi genera were observed in the branchial arches, intestine and muscle tissue of the scallop specimens. These include potentially toxin-producing species, such as Aspergillus, Penicillium and Fusarium. Their presence may lead to potential public health concerns, since all sampling sites showed the presence of fungi in all scallop organs, with special concern regarding edible muscle tissue. A significant number of species was observed at one of the study areas, which could indicate a previously unknown source of contamination, since increases in fungi species richness in polluted coastal waters have been reported. This is also, to the best of our knowledge, the first report of Pestalotiopsis in shellfish. (C) 2016 Elsevier Ltd. All rights reserved.</t>
  </si>
  <si>
    <t>[Santos, Antonia; De Simone, Salvatore Giovani] Fundacao Oswaldo Cruz, Lab Bioquim Expt &amp; Computac Farmacos, BR-21040360 Rio De Janeiro, RJ, Brazil; [Hauser-Davis, Rachel Ann] Fundacao Oswaldo Cruz, Escola Nacl Saude Publ, Ctr Estudos Saude Trabalhador &amp; Ecol Humana, BR-21041210 Rio De Janeiro, RJ, Brazil; [Hauser-Davis, Rachel Ann] Univ Fed Rio de Janeiro, Programa Posgrad Biodiversidade Neotrop, BR-22290240 Rio De Janeiro, RJ, Brazil; [Soares Santos, Manoel Jose] Fiocruz MS, ENSP, DCB, Dept Ciencias Biol, Rio De Janeiro, Brazil</t>
  </si>
  <si>
    <t>Fundacao Oswaldo Cruz; Fundacao Oswaldo Cruz; Universidade Federal do Rio de Janeiro; Fundacao Oswaldo Cruz</t>
  </si>
  <si>
    <t>Santos, A (corresponding author), Fundacao Oswaldo Cruz, Lab Bioquim Expt &amp; Computac Farmacos, BR-21040360 Rio De Janeiro, RJ, Brazil.</t>
  </si>
  <si>
    <t>santoslucia1303@gmail.com</t>
  </si>
  <si>
    <t>Hauser-Davis, Rachel/C-7970-2013; Santos, Antonia/AGX-9863-2022; De-Simone, Salvatore Giovanni/I-2989-2013</t>
  </si>
  <si>
    <t>Hauser-Davis, Rachel/0000-0002-9451-471X; De-Simone, Salvatore Giovanni/0000-0002-2172-656X</t>
  </si>
  <si>
    <t>10.1016/j.marpolbul.2016.11.058</t>
  </si>
  <si>
    <t>WOS:000394399800021</t>
  </si>
  <si>
    <t>López, IR; Kalman, J; Vale, C; Blasco, J</t>
  </si>
  <si>
    <t>Riba Lopez, Inmaculada; Kalman, Judit; Vale, Carlos; Blasco, Julian</t>
  </si>
  <si>
    <t>Influence of sediment acidification on the bioaccumulation of metals in Ruditapes philippinarum</t>
  </si>
  <si>
    <t>Carbon dioxide capture; Clams; Estuaries; pH; Sediment quality</t>
  </si>
  <si>
    <t>AZNALCOLLAR MINING SPILL; ACUTE COPPER TOXICITY; HEAVY-METALS; GUADALQUIVIR ESTUARY; MARINE-SEDIMENTS; BIOAVAILABILITY; CONTAMINATION; ACCUMULATION; PH; SALINITY</t>
  </si>
  <si>
    <t>Background, aim and scope The influence of pH (range 6.5-8.5) on the uptake of Zn, Cd, Pb, Cu, Ni, Cr, Hg, and As by juveniles of the clam Ruditapes philippinarum was examined in order to understand whether variation in sediment pH has significant repercussions on metal bioaccumulation. Materials and methods Clams were exposed to sediments collected in three locations in the Gulf of Cadiz (Huelva, Guadalquivir and Bay of Cadiz) and to contaminated particles derived from an accidental mining spill in Spain. Results With a notable exception of metal Cd, the concentration of metals within clams significantly increased (p &lt; 0.1) when sediment pH was lowered by one or two units. Moreover, the magnitude of this effect was dependent on the type of sediment contamination. Discussion Lower pH increases metal solubility and reduces or invert the metal sorption of metals to sediments. Increases in free metal ions in water favors metal uptake by clams, hence pH is an important factor controlling the mobility of these metals within sediments and their subsequent bioaccumulation within biota. Although sediment-water exchange of Cd can increase with acidification, this excess may be counterbalanced by the presence of ligands in seawater preventing the uptake by organism. Besides chlorines, Cd has also an affinity with carbonates and other ligands present in sea water. These Cd-carbonate complexes may reduce the bioavailable to organisms. Conclusions These results highlight the potential implications of sediment acidification, either due to the storage excess of organic matter or to the forced capture of CO2, on the increasing metal availability to benthic organisms. Recommendations and perspectives This kind of studies should be increased to address the influence of acidification in the behavior, bioavailability, toxicity, and risk assessment of contaminants associated with sediments either above sub-seabed geological formations in marine environments or in high enriched by organic matter in estuarine areas. Recently, the capture of CO2 in marine environments has been approved and started; it is necessary to address the potential impacts associated with leakages or other events occurring during the procedure of injection and storage of CO2.</t>
  </si>
  <si>
    <t>[Riba Lopez, Inmaculada; Vale, Carlos] Natl Inst Biol Resources, Biodivers &amp; Marine Environm Unit IPIMAR, P-1449016 Lisbon, Portugal; [Riba Lopez, Inmaculada; Kalman, Judit; Blasco, Julian] Inst Ciencias Marinas Andalucia ICMAN CSIC, Cadiz 11510, Spain; [Riba Lopez, Inmaculada; Kalman, Judit] Univ Cadiz, Fac Ciencias Mar, Dept Quim Fis, Cadiz 11510, Spain</t>
  </si>
  <si>
    <t>López, IR (corresponding author), Natl Inst Biol Resources, Biodivers &amp; Marine Environm Unit IPIMAR, Ave Brasilia S-N, P-1449016 Lisbon, Portugal.</t>
  </si>
  <si>
    <t>inmaculada.riba@uca.es; julian.blasco@icman.csic.es</t>
  </si>
  <si>
    <t>; Blasco, Julian/A-5319-2008; Kalman, Judit/L-7274-2015</t>
  </si>
  <si>
    <t>Riba, Inmaculada/0000-0003-1271-2534; vale, carlos/0000-0003-0162-1960; Blasco, Julian/0000-0002-9750-383X; Kalman, Judit/0000-0002-3610-1968</t>
  </si>
  <si>
    <t>Spanish Ministry of Science and Innovation [CTM2008-06344-C03-02/TECNO, CTM2008-06344-C03-03/TECNO]; Junta de Andalucia [P08-RNM-3924]; I3P program</t>
  </si>
  <si>
    <t>Spanish Ministry of Science and Innovation(Spanish Government); Junta de Andalucia(Junta de Andalucia); I3P program</t>
  </si>
  <si>
    <t>The authors would like to thank the staff at IPIMAR for their help in setting up the manuscript. The described work was partially supported by grants funded by the Spanish Ministry of Science and Innovation (CTM2008-06344-C03-02/TECNO and CTM2008-06344-C03-03/TECNO) and by grant P08-RNM-3924 funded by 'Junta de Andalucia'. Dra. Inmaculada Riba (Ramon y Cajal contract) thanks the Spanish Science and Innovation program 'Jose Castillejo' for supporting her stay at IPIMAR. Judit Kalman also thanks the I3P program for funding her research at ICMAN/CSIC.</t>
  </si>
  <si>
    <t>10.1007/s11356-010-0338-7</t>
  </si>
  <si>
    <t>655AL</t>
  </si>
  <si>
    <t>WOS:000282212900004</t>
  </si>
  <si>
    <t>Sui, YM; Zhang, T; Yao, XY; Yan, M; Yang, LG; Mohsen, M; Nguyen, H; Zhang, SM; Jiang, HC; Lv, LL; Zheng, L</t>
  </si>
  <si>
    <t>Sui, Yanming; Zhang, Tao; Yao, Xinyun; Yan, Ming; Yang, Liguo; Mohsen, Mohamed; Nguyen, Haidang; Zhang, Shengmao; Jiang, Hucheng; Lv, Linlan; Zheng, Liang</t>
  </si>
  <si>
    <t>Synthesized effects of medium-term exposure to seawater acidification and microplastics on the physiology and energy budget of the thick shell mussel Mytilus coruscus</t>
  </si>
  <si>
    <t>Low pH stress; Microplastics exposure; Interactive effects; Physiological response related to energy; Thick shell mussel</t>
  </si>
  <si>
    <t>OCEAN ACIDIFICATION; CRASSOSTREA-VIRGINICA; FEEDING PHYSIOLOGY; ELEVATED-TEMPERATURE; OXYGEN-CONSUMPTION; MARINE-ENVIRONMENT; SEASONAL-VARIATION; PEARL OYSTER; GROWTH; EDULIS</t>
  </si>
  <si>
    <t>Ocean acidification (OA) and microplastics (MPs) contamination are two results of human excises. In regions like estuarine areas, OA and MPs exposure are happening at the same time. The current research investigated the synthesized effects of OA and MPs exposure for a medium-term duration on the physiology and energy budget of the thick shell mussel Mytilus coruscus. Mussels were treated by six combinations of three MPs levels (0, 10 and 1000 items L-1) x two pH levels (7.3, 8.1) for 21 d. As a result, under pH 7.3, clearance rate (CR), food absorption efficiency (AE), respiration rate (RR), and scope for growth (SFG) significantly decreased, while the fecal organic dry weight ratio (E) significantly increased. 1000 items L-1 MPs led to decrease of CR, E, SFG and increase of AE under pH 8.1. Interactive effects from combination of pH and MPs were found in terms of CR, AE, E and RR, but not for SFG of M. coruscus.</t>
  </si>
  <si>
    <t>[Sui, Yanming; Yao, Xinyun; Yan, Ming; Lv, Linlan] Yancheng Inst Technol, Coll Marine &amp; Biol Engn, Yancheng, Peoples R China; [Sui, Yanming; Yang, Liguo; Zhang, Shengmao; Zheng, Liang] Chinese Acad Fishery Sci, East China Sea Fishery Res Inst, Shanghai, Peoples R China; [Zhang, Tao] Marine Fisheries Res Inst Zhejiang, Zhejiang Prov Key Lab Mariculture &amp; Enhancement, Zhoushan, Peoples R China; [Mohsen, Mohamed] Chinese Acad Sci, Inst Oceanol, CAS Key Lab Marine Ecol &amp; Environm Sci, Qingdao, Peoples R China; [Sui, Yanming] Univ Rostock, Inst Biol Sci, Dept Marine Biol, Rostock, Germany; [Nguyen, Haidang] Res Inst Aquaculture, 1 Dinh Bang, Bac Ninh 16352, Vietnam; [Jiang, Hucheng] Freshwater Fisheries Res Inst Jiangsu Prov, Nanjing, Peoples R China</t>
  </si>
  <si>
    <t>Yancheng Institute of Technology; Chinese Academy of Fishery Sciences; East China Sea Fisheries Research Institute, CAFS; Chinese Academy of Sciences; Institute of Oceanology, CAS; University of Rostock</t>
  </si>
  <si>
    <t>Zheng, L (corresponding author), Chinese Acad Fishery Sci, East China Sea Fishery Res Inst, Shanghai, Peoples R China.</t>
  </si>
  <si>
    <t>kingfishercheng@163.com</t>
  </si>
  <si>
    <t>Mohsen, Mohamed/ABC-1331-2020; zhang, shengmao/A-3630-2011; cheng, lane/GRJ-9629-2022</t>
  </si>
  <si>
    <t>sui, yanming/0000-0003-2273-8367; Yang, Liguo/0000-0003-1349-8162; Dang, Nguyen Hai/0000-0001-8622-3536; Mohsen, Mohamed/0000-0003-1258-8764</t>
  </si>
  <si>
    <t>National Natural Science Foundation of China [41706142, 61936014]; Central Public-interest Scientific Institution Basal Research Fund, CAFS [2019HY-XKQ0307]; Open Project Fund of Zhejiang Province Key Lab of Mariculture and Enhancement [2021KF003]; Jiangsu Agricultural In-dustry Technology System [JATS (2021) 411]; Funding for School-level Research Projects of Yancheng Institute of Technology [XJR2021035]; China Scholarship Council</t>
  </si>
  <si>
    <t>National Natural Science Foundation of China(National Natural Science Foundation of China (NSFC)); Central Public-interest Scientific Institution Basal Research Fund, CAFS; Open Project Fund of Zhejiang Province Key Lab of Mariculture and Enhancement; Jiangsu Agricultural In-dustry Technology System; Funding for School-level Research Projects of Yancheng Institute of Technology; China Scholarship Council(China Scholarship Council)</t>
  </si>
  <si>
    <t>This study was funded by research grants from National Natural Science Foundation of China (No.41706142 &amp; 61936014) , Central Public-interest Scientific Institution Basal Research Fund, CAFS (2019HY-XKQ0307) , Open Project Fund of Zhejiang Province Key Lab of Mariculture and Enhancement (2021KF003) ,Jiangsu Agricultural In-dustry Technology System [JATS (2021) 411] and Funding for School-level Research Projects of Yancheng Institute of Technology (XJR2021035) . Yanming Sui is supported by a fellowship from China Scholarship Council. We thank Ms. Jessica Lee for providing help in language revisions of this manuscript.</t>
  </si>
  <si>
    <t>10.1016/j.envpol.2022.119598</t>
  </si>
  <si>
    <t>2T8JT</t>
  </si>
  <si>
    <t>WOS:000822715000007</t>
  </si>
  <si>
    <t>Resgalla, C; Radetski, CM; Schettini, CAF</t>
  </si>
  <si>
    <t>Resgalla, C., Jr.; Radetski, C. M.; Schettini, C. A. F.</t>
  </si>
  <si>
    <t>Physiological energetics of the brown mussel Perna perna (L.) transplanted in the Itajai-A‡u river mouth, Southern Brazil</t>
  </si>
  <si>
    <t>Metals; Bivalve physiology; Sub-lethal effects; Coast; Pollution effects</t>
  </si>
  <si>
    <t>MYTILUS-EDULIS; LINNAEUS; METALS; SCOPE; RATES</t>
  </si>
  <si>
    <t>Groups of the mussel Perna perna were transplanted to two points and at three different depths in the coastal region close to the Itajai-A double dagger u River mouth, an impacted river in the south of Brazil. With the objective of evaluating the physiology changes in the organisms in relation to the control area (origin of the organisms), the clearance, respiration and excretion rates, absorption efficiency and growth were estimated. The levels of metals in the organism tissue were determined in an attempt to explain the physiological changes occurring in the study area. Organisms from Point 2 placed near the bottom showed physiological changes in comparison to the control and the transplanted organisms from Point 1. Point 2 showed greater sediment resuspension and availability of trace metals to the organisms closer to the bed. The increase in Cr concentration in the tissues of the organisms (up to 0.21 mg kg(-1) ww) was not sufficient to explain the decrease in the inhibition of clearance (28.8%) and in the absorption efficiency (15.7%), or the increased excretion rate (282.5%), which led to the organisms having a reduced scope for growth (48.6%). This indicates the possible presence of other contaminants, which were not measured, and which probably had synergistic action with the trace metals investigated.</t>
  </si>
  <si>
    <t>[Resgalla, C., Jr.; Radetski, C. M.; Schettini, C. A. F.] CTTMar UNIVVALI, BR-88302202 Itajai, SC, Brazil</t>
  </si>
  <si>
    <t>Resgalla, C (corresponding author), CTTMar UNIVVALI, Cx P 458, BR-88302202 Itajai, SC, Brazil.</t>
  </si>
  <si>
    <t>cresgalla@univali.br</t>
  </si>
  <si>
    <t>Schettini, Carlos/D-2443-2011; Resgalla Jr., Charrid/CAJ-5329-2022; Radetski, Claudemir/AAM-8531-2021</t>
  </si>
  <si>
    <t>Radetski, Claudemir M./0000-0002-8537-1497; Resgalla, Charrid/0000-0002-4444-3968</t>
  </si>
  <si>
    <t>Fundacao de Amparo a Pesquisa de Santa Catarina-FAPESC; Conselho Nacional de Desenvolvimento Cientifico e Tecnologico (National Research Council; CNPq) [302165/2008-8, 300898/2007-0, 306217/2007-4]</t>
  </si>
  <si>
    <t>Fundacao de Amparo a Pesquisa de Santa Catarina-FAPESC; Conselho Nacional de Desenvolvimento Cientifico e Tecnologico (National Research Council; CNPq)(Conselho Nacional de Desenvolvimento Cientifico e Tecnologico (CNPQ))</t>
  </si>
  <si>
    <t>The study was partially funded by Fundacao de Amparo a Pesquisa de Santa Catarina-FAPESC, through the project ITAPLA-Interactions between the Itajai-Acu estuary and adjacent shelf, and its implications in terms of coastal evolution and biological productivity. We would also like to thank the Conselho Nacional de Desenvolvimento Cientifico e Tecnologico (National Research Council; CNPq) for the Grants 302165/2008-8 C. Resgalla; 300898/2007-0 CM Radetski and 306217/2007-4 CAF Schettini.</t>
  </si>
  <si>
    <t>10.1007/s10646-009-0422-2</t>
  </si>
  <si>
    <t>548PP</t>
  </si>
  <si>
    <t>WOS:000273979000015</t>
  </si>
  <si>
    <t>HOLE, LM; MOORE, MN; BELLAMY, D</t>
  </si>
  <si>
    <t>AGE-RELATED DIFFERENCES IN THE RECOVERY OF LYSOSOMES FROM STRESS-INDUCED PATHOLOGICAL REACTIONS IN MARINE MUSSELS</t>
  </si>
  <si>
    <t>MYTILUS-EDULIS; CONTAMINATION</t>
  </si>
  <si>
    <t>This study was conducted to investigate the adaptability of marine mussels Mytilus edulis of increasing age to induced stress and subsequent recovery. Lysosomes, present in large numbers in the molluscan digestive gland, play a major role in intracellular digestion, and the stability of their membranes provides a sensitive biomarker for generalised cell injury which is correlated with the stress response of the whole animal. Lysosomal stability was measured in mussels of three age groups (2-4, 6-8 and greater-than-or-equal-to 10 years) during exposure to hypoxia/hyperthermia and, in a separate experiment, to copper (50 ppb; where billion = 10(9)). The lysosomal reactions of all three age groups to both experimental stressors were similar. However, recovery from the induced pathological reactions was most pronounced in the youngest animals and least apparent in the oldest group. These findings indicate that the stress reaction is independent of age but that the potential for recovery of lysosomal integrity is age-related.</t>
  </si>
  <si>
    <t>UNIV WALES COLL CARDIFF,SCH PURE &amp; APPL BIOL,CARDIFF CF1 1XL,S GLAM,WALES</t>
  </si>
  <si>
    <t>Cardiff University</t>
  </si>
  <si>
    <t>HOLE, LM (corresponding author), NERC,PLYMOUTH MARINE LAB,CITADEL HILL,PLYMOUTH PL1 2PB,ENGLAND.</t>
  </si>
  <si>
    <t>10.1016/0141-1136(92)90086-2</t>
  </si>
  <si>
    <t>WOS:A1992KB00500014</t>
  </si>
  <si>
    <t>Zimmer, LA; Asmund, G; Johansen, P; Mortensen, J; Hansen, BW</t>
  </si>
  <si>
    <t>Zimmer, Louise Aastrup; Asmund, Gert; Johansen, Poul; Mortensen, John; Hansen, Benni Winding</t>
  </si>
  <si>
    <t>Pollution from mining in South Greenland: uptake and release of Pb by blue mussels (Mytilus edulis L.) documented by transplantation experiments</t>
  </si>
  <si>
    <t>Mytilus edulis; Greenland; Pb; Release; Uptake; Transplantation</t>
  </si>
  <si>
    <t>SEASONAL-VARIATION; ARCHIVAL MONITOR; MARINE MUSSEL; METAL CONTENT; FJORD SYSTEM; LEAD; WATER; ZINC; TEMPERATURE; EXPOSURE</t>
  </si>
  <si>
    <t>Long-term impact of former mining activities on the marine sub-Arctic ecosystem in the Ivittuut area, Arsuk Fjord, South Greenland, was studied by transplantation experiments with the blue mussel Mytilus edulis. Measurements of metal concentration in mussels were conducted using atomic absorption spectrometry (flame AAS) and graphite furnace atomic absorption spectrometry (graphite furnace AAS). Uptake and release of Pb were documented to be slow processes. For mussels transplanted from the pristine Kugnait Bay to the polluted mining site at Ivittuut, a continuous accumulation throughout the experiments was found. Linear uptake rates of 5.86, 6.94 and 11.62 mu g Pb month(-1) for small, medium and large mussels were found for a 6-week experiment, whereas exponential uptake rates of 0.26, 0.20 and 0.28 month(-1) were found for a 9-month experiment. It is estimated that the transplanted mussels will reach the same level as the resident population 12-16 months following transplantation. Mussels transplanted from the polluted mining site at Ivittuut to the pristine Kugnait Bay depurated only 7-21% of their original Pb content, and the release was within the first 10 days following transplantation, after which the Pb content remained constant.</t>
  </si>
  <si>
    <t>[Hansen, Benni Winding] Roskilde Univ Ctr, Dept Environm Social &amp; Spatial Change, DK-4000 Roskilde, Denmark; [Zimmer, Louise Aastrup] Old Dominion Univ, Dept Ocean Earth &amp; Atmospher Sci, Norfolk, VA 23529 USA; [Asmund, Gert; Johansen, Poul] Aarhus Univ, Dept Arctic Environm, Natl Environm Res Inst, DK-4000 Roskilde, Denmark; [Mortensen, John] Roskilde Univ Ctr, Dept Sci Syst &amp; Models, DK-4000 Roskilde, Denmark</t>
  </si>
  <si>
    <t>Roskilde University; Old Dominion University; Aarhus University; Roskilde University</t>
  </si>
  <si>
    <t>Hansen, BW (corresponding author), Roskilde Univ Ctr, Dept Environm Social &amp; Spatial Change, Univ Svej 1, DK-4000 Roskilde, Denmark.</t>
  </si>
  <si>
    <t>bhansen@ruc.dk</t>
  </si>
  <si>
    <t>; Hansen, Benni/K-3299-2015</t>
  </si>
  <si>
    <t>Mortensen, John/0000-0001-9736-1934; Hansen, Benni/0000-0003-1145-561X</t>
  </si>
  <si>
    <t>10.1007/s00300-010-0898-5</t>
  </si>
  <si>
    <t>734QC</t>
  </si>
  <si>
    <t>WOS:000288349800012</t>
  </si>
  <si>
    <t>Godebo, TR; Stoner, H; Pechilis, M; Taylor-Arnold, H; Ashmead, J; Claman, L; Guest, L; Consolati, W; DiMatteo, O; Johnson, M; Cowden, K; Shaferman, D; Gordon, E; Dillman, H; Phan, N; Tegegn, A; Garrido, SV; Heard, E</t>
  </si>
  <si>
    <t>Godebo, Tewodros Rango; Stoner, Hannah; Pechilis, Madeline; Taylor-Arnold, Hadley; Ashmead, Julia; Claman, Leah; Guest, Liam; Consolati, Will; DiMatteo, Oona; Johnson, Madison; Cowden, Kalista; Shaferman, Danny; Gordon, Evan; Dillman, Hayden; Phan, Nati; Tegegn, Aaron; Garrido, Sandra Vazquez; Heard, Eames</t>
  </si>
  <si>
    <t>Toxic metals and essential elements contents in commercially available fruit juices and other non-alcoholic beverages from the United States</t>
  </si>
  <si>
    <t>Toxic metals and trace elements; Soft-beverages; Fruit juices; Plant-based milk; Artificial; soda drinks; New Orleans USA</t>
  </si>
  <si>
    <t>TRACE-ELEMENTS; ICP-OES; HEAVY-METALS; ORANGE JUICE; APPLE; LEAD; PRODUCTS; DRINKS; MARKET</t>
  </si>
  <si>
    <t>Elevated levels of toxic metals and essential elements in commonly consumed soft beverages are of public and regulatory agencies' concern, and thus frequent monitoring of these elements is critically important. The study determined 25 elements in 60 soft beverages: single fruit juice, mixed fruit juice, plant-based milk, artificial/ soda, and tea purchased in New Orleans, Louisiana, and commercially availabe in the United States. Elemental concentrations were determined using ICP-MS. The 95th percentile concentration ranges of the elements were: 0.06-5 mu g/kg (Tl, Sb, Th, Pb, Cd, Co); 5-15 mu g/kg (As, U, Se); 20-40 mu g/kg (Mo, Li, Cr); 200-450 mu g/kg (Ni, Ba, Cu); 1500-2000 mu g/kg (Al, B); 4000-6000 mu g/kg (Fe, Sr, Zn, Mn); and 125-2000 mg/kg (Mg, Na, Ca, K). Seven of the 25 elements-Ni, Mn, B, Cd, Sr, As, and Se-exceeded the drinking water standards in 38.3%, 36.7%, 16.7%, 5%, 5%, 3.3%, and 1.6% of the beverage samples, respectively. Aluminum and Zn exceeded the secondary non -enforceable drinking water standards in 40% and 6.7% of the samples, respectively. Mixed fruit juices and plant -based milk frequently contained elevated concentrations of most of the elements. While toxicity is unlikely unless individuals consume a large volume, moderating consumption of these beverages is required, especially to protect infants and young children. Regular monitoring of these chemicals in beverages is required for food safety and to provide sound nutritional advice.</t>
  </si>
  <si>
    <t>[Godebo, Tewodros Rango; Stoner, Hannah; Pechilis, Madeline; Taylor-Arnold, Hadley; Ashmead, Julia; Claman, Leah; Guest, Liam; DiMatteo, Oona; Johnson, Madison; Cowden, Kalista; Shaferman, Danny; Gordon, Evan; Dillman, Hayden; Phan, Nati] Tulane Univ, Sch Publ Hlth &amp; Trop Med, Dept Environm Hlth Sci, New Orleans, LA 70112 USA; [Consolati, Will] Tulane Univ, Sch Sci &amp; Engn, Dept Earth &amp; Environm Sci, New Orleans, LA 70118 USA; [Tegegn, Aaron] Tulane Univ, Sch Sci &amp; Engn, Dept Cell &amp; Mol Biol, New Orleans, LA 70118 USA; [Garrido, Sandra Vazquez] Tulane Univ, Sch Profess Advancement, New Orleans, LA 70118 USA; [Heard, Eames] Tulane Univ, Sch Liberal Arts, Dept Environm Studies, New Orleans, LA 70118 USA</t>
  </si>
  <si>
    <t>Tulane University; Tulane University; Tulane University; Tulane University; Tulane University</t>
  </si>
  <si>
    <t>Godebo, TR (corresponding author), Tulane Univ, Sch Publ Hlth &amp; Trop Med, Dept Environm Hlth Sci, New Orleans, LA 70112 USA.</t>
  </si>
  <si>
    <t>tgodebo@tulane.edu</t>
  </si>
  <si>
    <t>[SPHU 3100]</t>
  </si>
  <si>
    <t>Start-up fund of the first author made this undergraduate students? class project possible for the course Environmental Pollution and Health Biomarkers (SPHU 3100; Spring 2022) .</t>
  </si>
  <si>
    <t>10.1016/j.jfca.2023.105230</t>
  </si>
  <si>
    <t>0A2HM</t>
  </si>
  <si>
    <t>WOS:000951648600001</t>
  </si>
  <si>
    <t>Conti, ME; Iacobucci, M; Cecchetti, G; Alimonti, A</t>
  </si>
  <si>
    <t>Conti, Marcelo Enrique; Iacobucci, Marta; Cecchetti, Gaetano; Alimonti, Alessandro</t>
  </si>
  <si>
    <t>Influence of weight on the content of trace metals in tissues of Mytilus galloprovincialis (Lamarck, 1819):: a forecast model</t>
  </si>
  <si>
    <t>environmental biomonitoring; mytilus galloprovincialis; trace metals</t>
  </si>
  <si>
    <t>BODY-SIZE; MARINE-ENVIRONMENT; HEAVY-METALS; EDULIS; BIOACCUMULATION; MUSSELS; POLLUTION; MOLLUSKS; SEAWATER; LEAD</t>
  </si>
  <si>
    <t>Fifty seven samples of Mytilus galloprovincialis (Lamarck, 1819) collected along the breakwater barriers of Fano (station 1) and Pesaro (station 2), Adriatic Sea, Marche Region, central Italy, were analyzed by atomic absorption spectrometry and Cd, Cu, Pb and Zn concentrations in the soft tissues were measured. The aims of this work were the statistical analysis of Cd-weight, Cu-weight, Pb-weight, Zn-weight relationships, and the building of a tendency function that allows assessing with a good approximation the concentrations of a metal in different weight organisms. In Mytilus galloprovincialis the content of Cd proportionally grew with the weight and therefore its concentration was independent from this factor; while the concentration of Pb decreased as the weight increased. In both cases the accuracy of multiple regression models improved considering the variable 'site', while the same approach appeared not reliable for Cu and Zn, that were two essential metals. Our results showed that a tendency function was reliable, solid and able to predict to a very satisfying extent the concentration of non-physiological metals, like Cd and Pb; while it did not show a good approximation with real Cu and Zn contents.</t>
  </si>
  <si>
    <t>[Conti, Marcelo Enrique] Univ Roma La Sapienza, SPES Dev Studies Res Ctr, Rome, Italy; [Iacobucci, Marta; Cecchetti, Gaetano] Univ Urbino, Fac Sci &amp; Technol, I-61029 Urbino, Italy; [Alimonti, Alessandro] Natl Italian Inst Hlth, Dept Environm &amp; Primary Prevent, Rome, Italy</t>
  </si>
  <si>
    <t>Conti, ME (corresponding author), Univ Roma La Sapienza, SPES Dev Studies Res Ctr, Rome, Italy.</t>
  </si>
  <si>
    <t>marcelo.conti@uniromal.it</t>
  </si>
  <si>
    <t>10.1007/s10661-007-9875-z</t>
  </si>
  <si>
    <t>WOS:000255627200003</t>
  </si>
  <si>
    <t>GARRIGUES, P; NARBONNE, JF; LAFAURIE, M; RIBERA, D; LEMAIRE, P; RAOUX, C; MICHEL, X; SALAUN, JP; MONOD, JL; ROMEO, M</t>
  </si>
  <si>
    <t>BANKING OF ENVIRONMENTAL-SAMPLES FOR SHORT-TERM BIOCHEMICAL AND CHEMICAL MONITORING OF ORGANIC CONTAMINATION IN COASTAL MARINE ENVIRONMENTS - THE GICBEM EXPERIENCE (1986-1990)</t>
  </si>
  <si>
    <t>MARINE ECOTOXICOLOGY; MIXED FUNCTION OXYGENASE (MFO) ACTIVITY; POLYCYCLIC AROMATIC HYDROCARBONS (PAH); MEDITERRANEAN SEA; POLYCHLOROBIPHENYLS</t>
  </si>
  <si>
    <t>CYTOCHROME-P-450</t>
  </si>
  <si>
    <t>The GICBEM (Groupe Interface Chimie Biologie des Ecosystemes Marins) program consists of an evaluation of the ecosystem health status in the Mediterranean Sea mainly based on chemical and biochemical approaches. Specific chemical contaminants (polycyclic aromatic hydrocarbons (PAH), polychlorobiphenyls (PCB), heavy metals) in waters, sediments, and related biotransformation indicators in target organisms (mussels, fish) have been selected for a complete survey of the coastal waters. In order to provide an appropriate sampling program for standardization for each sampling cruise, various aspects have been studied: (a) parameters for the choice of the sample sites; (b) ways of collection the samples (waters, sediments, marine organisms); and (c) preparation of the samples for a short term storage on board ship and for further analyses in the ground laboratory. Methods of preparation and storage of the samples are described and could be used to initiate an environmental banking program including both possible retrospective analyses of chemical pollutants and biochemical indicators. Moreover, the correlation between chemicals (PAH) and biochemical (mixed function oxygenase activities) parameters has been studied and this demonstrates the capability of the enzyme activities as reliable pollution biomarkers.</t>
  </si>
  <si>
    <t>FAC MED NICE,F-06034 NICE,FRANCE; INST BOT,CNRS,URA 1182,F-67083 STRASBOURG,FRANCE; FAC PHARM MARSEILLE,F-13385 MARSEILLE 5,FRANCE</t>
  </si>
  <si>
    <t>Universite Cote d'Azur; Centre National de la Recherche Scientifique (CNRS)</t>
  </si>
  <si>
    <t>GARRIGUES, P (corresponding author), UNIV BORDEAUX 1,CNRS,URA 348,F-33405 TALENCE,FRANCE.</t>
  </si>
  <si>
    <t>MH628</t>
  </si>
  <si>
    <t>WOS:A1993MH62800020</t>
  </si>
  <si>
    <t>Serrano, O; Davis, G; Lavery, PS; Duarte, CM; Martinez-Cortizas, A; Mateo, MA; Masqué, P; Arias-Ortiz, A; Rozaimi, M; Kendrick, GA</t>
  </si>
  <si>
    <t>Serrano, Oscar; Davis, Grace; Lavery, Paul S.; Duarte, Carlos M.; Martinez-Cortizas, Antonio; Angel Mateo, Miguel; Masque, Pere; Arias-Ortiz, Ariane; Rozaimi, Mohammad; Kendrick, Gary A.</t>
  </si>
  <si>
    <t>Reconstruction of centennial-scale fluxes of chemical elements in the Australian coastal environment using seagrass archives</t>
  </si>
  <si>
    <t>Marine biogeochemical cycles; Contamination; Posidonia seagrass archive; Recent Holocene; Southern Hemisphere</t>
  </si>
  <si>
    <t>POSIDONIA-OCEANICA; TRACE-METALS; ATMOSPHERIC-POLLUTION; SEDIMENT ACCUMULATION; HISTORICAL TRENDS; HOLOCENE CLIMATE; REGIME SHIFTS; HEAVY-METALS; MORETON BAY; CONTAMINATION</t>
  </si>
  <si>
    <t>The study of a Posidonia australis sedimentary archive has provided a record of changes in element concentrations (Al, Fe, Mn, Pb, Zn, Cr, Cd, Co, As, Cu, Ni and S) over the last 3000 years in the Australian marine environment. Human-derived contamination in Oyster Harbor (SW Australia) started similar to 100 years ago (AD similar to 1900) and exponentially increased until present. This appears to be related to European colonization of Australia and the subsequent impact of human activities, namely mining, coal and metal production, and extensive agriculture. Two contamination periods of different magnitude have been identified: Expansion period (EXP, AD similar to 1900-1970) and Establishment period (EST, AD similar to 1970 to present). Enrichments of chemical elements with respect to baseline concentrations (in samples older than similar to 115 cal years BP) were found for all elements studied in both periods, except for Ni, As and S. The highest enrichment factors were obtained for the EST period (ranging from 1.3-fold increase in Cu to 7.2-fold in Zn concentrations) compared to the EXP period (1.1-fold increase for Cu and Cr to 2.4-fold increase for Pb). Zinc, Pb, Mn and Co concentrations during both periods were 2- to 7-fold higher than baseline levels. This study demonstrates the value of Posidonia mats as long-termarchives of element concentrations and trends in coastal ecosystems. We also provide preliminary evidence on the potential for Posidonia meadows to act as significant long-term biogeochemical sinks of chemical elements. (C) 2015 Elsevier B.V. All rights reserved.</t>
  </si>
  <si>
    <t>[Serrano, Oscar; Davis, Grace; Lavery, Paul S.; Angel Mateo, Miguel; Masque, Pere; Rozaimi, Mohammad] Edith Cowan Univ, Sch Nat Sci, Joondalup, WA 6027, Australia; [Serrano, Oscar; Davis, Grace; Lavery, Paul S.; Angel Mateo, Miguel; Masque, Pere; Rozaimi, Mohammad] Edith Cowan Univ, Ctr Marine Ecosyst Res, Fac Hlth Engn &amp; Sci, Joondalup, WA 6027, Australia; [Serrano, Oscar; Duarte, Carlos M.; Masque, Pere; Kendrick, Gary A.] Univ Western Australia, UWA Oceans Inst, Crawley, WA, Australia; [Lavery, Paul S.; Angel Mateo, Miguel] CSIC, Ctr Estudios Avanzados Blanes, Blanes 17300, Spain; [Duarte, Carlos M.] King Abdullah Univ Sci &amp; Technol, Red Sea Res Ctr, Thuwal 239556900, Saudi Arabia; [Duarte, Carlos M.] IMEDEA CSIC UIB, Inst Mediterrani Estudis Avancats, Dept Global Change Res, Mallorca, Spain; [Martinez-Cortizas, Antonio] Univ Santiago Compostela, Fac Biol, Dept Edafol &amp; Quim Agr, E-15706 Santiago, Spain; [Masque, Pere] Univ Western Australia, Sch Phys, Crawley, WA 6009, Australia; [Masque, Pere; Arias-Ortiz, Ariane] Univ Autonoma Barcelona, Dept Fis, Bellaterra 08193, Catalonia, Spain; [Masque, Pere; Arias-Ortiz, Ariane] Univ Autonoma Barcelona, Inst Ciencia &amp; Tecnol Ambientals, Bellaterra 08193, Catalonia, Spain; [Rozaimi, Mohammad] Univ Kebangsaan Malaysia, Fac Sci &amp; Technol, Sch Environm &amp; Nat Resource Sci, Bangi 43600, Selangor, Malaysia; [Kendrick, Gary A.] Univ Western Australia, Sch Plant Biol, Crawley, WA, Australia</t>
  </si>
  <si>
    <t>Edith Cowan University; Edith Cowan University; University of Western Australia; Consejo Superior de Investigaciones Cientificas (CSIC); CSIC - Centre d'Estudis Avancats de Blanes (CEAB); King Abdullah University of Science &amp; Technology; Universitat de les Illes Balears; Consejo Superior de Investigaciones Cientificas (CSIC); ATTITUS Educacao; Universidade de Santiago de Compostela; University of Western Australia; Autonomous University of Barcelona; Autonomous University of Barcelona; Universiti Kebangsaan Malaysia; University of Western Australia</t>
  </si>
  <si>
    <t>Serrano, O (corresponding author), Edith Cowan Univ, Sch Nat Sci, Joondalup, WA 6027, Australia.</t>
  </si>
  <si>
    <t>o.serranogras@ecu.edu.au</t>
  </si>
  <si>
    <t>Kendrick, Gary/B-3460-2011; Masque, Pere/AAC-9349-2022; Rozaimi, Mohammad/Q-4282-2019; Mateo, Miguel/J-8988-2012; Martinez Cortizas, Antonio/M-6196-2015; Arias Ortiz, Ariane/AFD-6226-2022; Duarte, Carlos M./A-7670-2013; Masque, Pere/B-7379-2008</t>
  </si>
  <si>
    <t>Martinez Cortizas, Antonio/0000-0003-0430-5760; Arias Ortiz, Ariane/0000-0001-9408-0061; Duarte, Carlos M./0000-0002-1213-1361; Masque, Pere/0000-0002-1789-320X; Kendrick, Gary/0000-0002-0276-6064; Serrano Gras, Oscar/0000-0002-5973-0046; Lavery, Paul/0000-0001-5162-273X</t>
  </si>
  <si>
    <t>ECU Faculty Research Grant Scheme; ECU Early Career Research Grant Scheme; CSIRO Flagship Marine &amp; Coastal Carbon Biogeochemical Cluster; CSIRO Flagship Collaboration Fund; Gledden Visiting Fellowship; Obra Social la Caixa</t>
  </si>
  <si>
    <t>ECU Faculty Research Grant Scheme; ECU Early Career Research Grant Scheme; CSIRO Flagship Marine &amp; Coastal Carbon Biogeochemical Cluster; CSIRO Flagship Collaboration Fund(Commonwealth Scientific &amp; Industrial Research Organisation (CSIRO)); Gledden Visiting Fellowship; Obra Social la Caixa(La Caixa Foundation)</t>
  </si>
  <si>
    <t>This work was supported by the ECU Faculty Research Grant Scheme, the ECU Early Career Research Grant Scheme, and the CSIRO Flagship Marine &amp; Coastal Carbon Biogeochemical Cluster with funding from the CSIRO Flagship Collaboration Fund. PM was supported by a Gledden Visiting Fellowship and AAO by Obra Social la Caixa. The authors are grateful to N. MarbA, G. Bastyan and D. Kyrwood for their help in field and/or laboratory tasks, as well as to L. Lopez-Merino and four anonymous reviewers for their comments.</t>
  </si>
  <si>
    <t>10.1016/j.scitotenv.2015.09.017</t>
  </si>
  <si>
    <t>CW8ZY</t>
  </si>
  <si>
    <t>WOS:000365289300093</t>
  </si>
  <si>
    <t>Levesque, B; Cachot, J; Boët, P; Lepage, M; Mazella, N; Martin, C; Gourves, PY; Legeay, A</t>
  </si>
  <si>
    <t>Levesque, Berenger; Cachot, Jerome; Boet, Philippe; Lepage, Mario; Mazella, Nicolas; Martin, Caroline; Gourves, Pierres-Yves; Legeay, Alexia</t>
  </si>
  <si>
    <t>Seasonal variations of contamination and exoskeletal malformations in the white shrimps Palaemon longirostris in the Gironde estuary, France</t>
  </si>
  <si>
    <t>Estuaries; Invertebrate; Disease; Monitoring; Organic contamination; Metallic contamination; France; Bay of Biscay; Gironde estuary</t>
  </si>
  <si>
    <t>PHARMACEUTICAL COMPOUNDS; LARVAL DEVELOPMENT; CRASSOSTREA-GIGAS; PACIFIC OYSTER; HEAVY-METALS; DECAPODA; HYPOXIA; ZN; CD; CU</t>
  </si>
  <si>
    <t>Since the end of the 1980s, white shrimps (Palaemon longirostris) from the Gironde estuary have exhibited exoskeletal malformations, mainly involving cephalothorax, rostrum, scaphocerites and uropods. An 8-month study was carried out in 2015. Each month, 200 individuals were sampled and examined for exoskeletal malformations. Temporal variations in malformation frequency were noted, particularly during the breeding period, along with decreases in the size of non-deformed shrimps related to the appearance of juveniles in breeding sites, and high mortality among deformed shrimps. A significant increase in proportions of deformed shrimp was observed, relating particularly to the size (and therefore the age) of individuals. No significant difference was found between shrimp proportions with different numbers of malformations (one to four) for a fixed size class, nor was there any variation in proportions within different size classes for a fixed number of malformations. This would appear to indicate that the number of malformations is acquired and new malformations do not seem to appear during the life cycle, except for the smallest (youngest) shrimps. The malformation spectrum showed no significant differences between the biggest and smallest individuals for the different malformation associations, except for those involving cephalothorax, rostrum and uropods. This would suggest that some malformation associations lead to a higher mortality rate in shrimps subjected to them, due to greater impairment of feeding and/or swimming behaviour. Multiple component analysis of the different types of malformation showed correlations between exoskeletal pieces (rostrum and cephalothorax) and appendixes (scaphocerites and uropods). Regarding metal contamination in shrimp, no significant difference was highlighted between deformed and non-deformed shrimps. Organic pollutants were not measured in tissues. Certain herbicides such as metolachlore and chlortoluron were detected at high concentrations in the Gironde estuary during the breeding period corresponding to the higher occurrence of exoskeletal malformations.</t>
  </si>
  <si>
    <t>[Levesque, Berenger; Boet, Philippe; Lepage, Mario; Mazella, Nicolas; Martin, Caroline] Irstea, UR EABX, Av Verdun, F-33612 Cestas, France; [Cachot, Jerome] Univ Bordeaux, EPOC, UMR 5805, F-33400 Talence, France; [Gourves, Pierres-Yves; Legeay, Alexia] Univ Bordeaux, CNRS, Stn Marine Arcachon, EPOC,OASU,UMR 5805, Pl Docteur Bertrand Peyneau, F-33120 Arcachon, France</t>
  </si>
  <si>
    <t>INRAE; Centre National de la Recherche Scientifique (CNRS); CNRS - National Institute for Earth Sciences &amp; Astronomy (INSU); Universite de Bordeaux; Centre National de la Recherche Scientifique (CNRS); Universite de Bordeaux; Universite Bordeaux-Montaigne; CNRS - National Institute for Earth Sciences &amp; Astronomy (INSU)</t>
  </si>
  <si>
    <t>Levesque, B (corresponding author), Irstea, UR EABX, Av Verdun, F-33612 Cestas, France.</t>
  </si>
  <si>
    <t>Berenger.Levesque@irstea.fr</t>
  </si>
  <si>
    <t>; Lepage, Mario/J-7110-2012</t>
  </si>
  <si>
    <t>Mazzella, Nicolas/0000-0002-8499-9688; Cachot, Jerome/0000-0002-1492-9684; Legeay, Alexia/0000-0002-1052-142X; Lepage, Mario/0000-0002-8996-5305</t>
  </si>
  <si>
    <t>10.1007/s11356-018-2241-6</t>
  </si>
  <si>
    <t>GP6QC</t>
  </si>
  <si>
    <t>WOS:000441007000033</t>
  </si>
  <si>
    <t>Sore, PZ; Mera, AC; Concepción, AD; Rivera, JLV; Fernández, MV; Rojas, CAN; Alfonso-Alvarez, A</t>
  </si>
  <si>
    <t>Sore, Pablo Zavala; Mera, Adriana C.; Concepcion, Armando Diaz; Rivera, Jose Luis Valin; Fernandez, Meyli Valin; Rojas, Carlos Arturo Navarrete; Alfonso-Alvarez, Alexander</t>
  </si>
  <si>
    <t>Removal of Contaminants in Water with Scallop Shell Waste</t>
  </si>
  <si>
    <t>scallop shells; wastes; caffeic acid; arsenic(III); water contamination</t>
  </si>
  <si>
    <t>OYSTER SHELL; CALCIUM-CARBONATE; CAFFEIC ACID; BIO-FILLER; ADSORPTION; COMPOSITES; TEMPERATURE; OXIDATION; SOIL; GAS</t>
  </si>
  <si>
    <t>Currently, the cultivation and harvesting of mollusks is a crucial activity worldwide. However, this industry generates a large amount of mollusk shell waste disposed of in landfills, causing environmental pollution. In addition, the companies linked to this item allocate large sums of money to depositing the shells in authorized landfills. In South America, Chile is one of the leading producers worldwide of scallop shell (Argopecten purpuratus) waste, creating a growing environmental and financial problem in the country, especially considering that there has yet to be progress in the development of new technologies that may reuse this waste in Chile. This study used different techniques to completely characterize the northern Chile scallop shell waste's physical and chemical properties for the first time. The XRD result corresponded with calcite crystal structures (CaCO3), and the XFR showed 97.68% purity. Three particle sizes were obtained: BS (595-100 mu m), MS (250-595 mu m), and SS (&lt;250 m). In addition, the potential use of these wastes to remove contaminants present in water from the wine industry (caffeic acid) and some drinking water (arsenic(III)) was evaluated. The powder with the smallest particle size (SS), which has a surface area of 1 m(2)/g, 0.0050 m(3)/g of pore volume and pore diameter of 18.0 nm, removed 100.0% of CA and 23.0% As(III) in a pH condition of 4.6. The results show that scallop shell waste can be used to treat water and reinforce polymeric matrix composite materials to improve mechanical properties.</t>
  </si>
  <si>
    <t>[Sore, Pablo Zavala; Alfonso-Alvarez, Alexander] Univ La Serena, Fac Ingn, Dept Ingn Mecan, Benavente 980, La Serena 1700000, Chile; [Mera, Adriana C.] Univ La Serena, Inst Interdisciplinario Invest &amp; Postgrad, Raul Bitran 1305, La Serena 1700000, Chile; [Concepcion, Armando Diaz] Univ Tecnol La Habana, Ctr Estudios Ingn Mantenimiento, Havana 19390, Cuba; [Rivera, Jose Luis Valin] Pontificia Univ Catolica Valparaiso, Escuela Ingn Mecan, Valparaiso 2340025, Chile; [Fernandez, Meyli Valin] Univ Concepcion, Fac Engn FI, Dept Mech Engn DIM, Concepcion 4030000, Chile; [Rojas, Carlos Arturo Navarrete] Univ La Serena, Fac Ciencias, Dept Matemat, La Serena 1700000, Chile</t>
  </si>
  <si>
    <t>Universidad de La Serena; Universidad de La Serena; Pontificia Universidad Catolica de Valparaiso; Universidad de Concepcion; Universidad de La Serena</t>
  </si>
  <si>
    <t>Alfonso-Alvarez, A (corresponding author), Univ La Serena, Fac Ingn, Dept Ingn Mecan, Benavente 980, La Serena 1700000, Chile.</t>
  </si>
  <si>
    <t>pzavalasore@hotmail.com; amera@userena.cl; adiaz@mecanica.cujae.edu.cu; jose.valin@pucv.cl; mvalin@udec.cl; cnavarrete@userena.cl; alexander.alfonso@userena.cl</t>
  </si>
  <si>
    <t>Alfonso Alvarez, Alexander/AAC-1712-2022; Mera, Adriana/H-8747-2019; Alfonso Alvarez, Alexander/R-9733-2017</t>
  </si>
  <si>
    <t>Valin Fernandez, Meyli/0000-0003-2339-3719; Zavala Sore, Pablo Nicolas/0009-0000-0582-7929; valin rivera, Jose luis/0000-0002-1584-6901; Alfonso Alvarez, Alexander/0000-0001-5129-7164</t>
  </si>
  <si>
    <t>DIDULS/ULS</t>
  </si>
  <si>
    <t>10.3390/app14083499</t>
  </si>
  <si>
    <t>PA6P7</t>
  </si>
  <si>
    <t>WOS:001211401800001</t>
  </si>
  <si>
    <t>Freitas, R; Coppola, F; Henriques, B; Wrona, F; Figueira, E; Pereira, E; Soares, AMVM</t>
  </si>
  <si>
    <t>Freitas, Rosa; Coppola, Francesca; Henriques, Bruno; Wrona, Fredrick; Figueira, Etelvina; Pereira, Eduarda; Soares, Amadeu M. V. M.</t>
  </si>
  <si>
    <t>Does pre-exposure to warming conditions increase Mytilus galloprovincialis tolerance to Hg contamination?</t>
  </si>
  <si>
    <t>Heat-shock treatment; Metals bioaccumulation; Oxidative stress; Metabolism Mussels</t>
  </si>
  <si>
    <t>CLAM CHAMELEA-GALLINA; RUDITAPES-PHILIPPINARUM; CRASSOSTREA-VIRGINICA; CERASTODERMA-EDULE; OXIDATIVE STRESS; PHYSIOLOGICAL-RESPONSE; SEAWATER ACIDIFICATION; ELEVATED-TEMPERATURES; SCROBICULARIA-PLANA; CADMIUM EXPOSURE</t>
  </si>
  <si>
    <t>The degree to which marine invertebrate populations can tolerate extreme weather events, such as short-term exposure to high temperatures, and the underlying biochemical response mechanisms are not yet fully understood. Furthermore, scarce information is available on how marine organisms respond to the presence of pollutants after exposure to heat stress conditions. Therefore, the present study aimed to understand how the mussel Mytilus galloprovincialis responds to Hg pollution after pre-exposure to warming conditions. Mussels were exposed to control (17 degrees C) and warming (21 degrees C) conditions during 14 days, followed by Hg contamination during 28 days under different temperature regimes (17 and 21 degrees C). The results obtained demonstrated significantly higher Hg concentrations in mussels under 17 degrees C during the entire experiment than in organisms exposed to 21 degrees C during the same period, which resulted in higher oxidative stress in mussels under control temperature. Significantly higher Hg concentrations were also observed in mussels pre-exposed to 21 degrees C followed by a 17 degrees C exposure comparing with organisms maintained the entire experiment at 21 degrees C. These results may be explained by higher metabolic capacity in organisms exposed to 17 degrees C after pre-exposure to 21 degrees C that although induced antioxidant defences were not enough to prevent oxidative stress. No significant differences in terms of Hg concentration were found between mussels exposed to 17 degrees C during the entire experiment and organisms pre-exposed to 21 degrees C followed by a 17 degrees C exposure, leading to similar oxidative stress levels in mussels exposed to both conditions. Therefore, our findings demonstrated that pre-exposure to warming conditions did not change mussels' accumulation and tolerance to Hg in comparison to Hg contaminated mussels maintained at control temperature. Furthermore, the present study indicate that organisms maintained under warming conditions for long periods may prevent the accumulation of pollutants by decreasing their metabolism which will limit cellular injuries. Capsule: Mussels under warming conditions presented reduced metabolic capacity, resulting in lower Hg accumulation, which in turn prevented higher damages and, consequently, physiological impairments.</t>
  </si>
  <si>
    <t>[Freitas, Rosa; Coppola, Francesca; Wrona, Fredrick; Figueira, Etelvina; Soares, Amadeu M. V. M.] Univ Aveiro, Dept Biol, Campus Univ Santiago, P-3810193 Aveiro, Portugal; [Freitas, Rosa; Coppola, Francesca; Henriques, Bruno; Wrona, Fredrick; Figueira, Etelvina; Pereira, Eduarda; Soares, Amadeu M. V. M.] Univ Aveiro, CESAM, P-3810193 Aveiro, Portugal; [Henriques, Bruno; Pereira, Eduarda] Univ Aveiro, Dept Quim, P-3810193 Aveiro, Portugal; [Henriques, Bruno] Univ Porto, CIIMAR, P-4050123 Oporto, Portugal; [Wrona, Fredrick] Univ Victoria, Natl Water Res Inst, Dept Geog, STN CSC, Victoria, BC, Canada</t>
  </si>
  <si>
    <t>Universidade de Aveiro; Universidade de Aveiro; Universidade de Aveiro; Universidade do Porto; University of Victoria; Environment &amp; Climate Change Canada; National Water Research Institute</t>
  </si>
  <si>
    <t>Coppola, Francesca/U-8869-2018; Pereira, Eduarda/A-5907-2012; Soares, Amadeu/A-8304-2008; Figueira, Etelvina/M-6116-2013; CIIMAR, BYT/N-6498-2017; Freitas, Rosa/A-7539-2012; Henriques, Bruno/B-6258-2017</t>
  </si>
  <si>
    <t>Coppola, Francesca/0000-0002-7039-9630; Soares, Amadeu/0000-0003-0879-9470; Figueira, Etelvina/0000-0002-6763-2665; CIIMAR, BYT/0000-0002-3703-4402; Pereira, Eduarda/0000-0002-6046-5243; Freitas, Rosa/0000-0003-4900-3897; Henriques, Bruno/0000-0002-6472-5479</t>
  </si>
  <si>
    <t>National Funds through the Portuguese Science Foundation (FCT) [SFRH/BD/118582/2016]; FSE; Programa Operational Capital Humano (POCH) e da Unido Europeia; CESAM [UID/AMB/50017]; CIIMAR [UID/Multi/04423/2013]; FCT/MEC through national funds; FEDER; Integrated Programme of SR &amp; TD Smart Valorization of Endogenous Marine Biological Resources Under a Changing Climate [Centro01-0145-FEDER-000018]; European Union, through the European Regional Development Fund; [SFRH/BPD/92258/2013]; [SFRH/BPD/112576/2015]; Fundação para a Ciência e a Tecnologia [SFRH/BPD/112576/2015] Funding Source: FCT</t>
  </si>
  <si>
    <t>National Funds through the Portuguese Science Foundation (FCT)(Fundacao para a Ciencia e a Tecnologia (FCT)); FSE(European Social Fund (ESF)); Programa Operational Capital Humano (POCH) e da Unido Europeia; CESAM; CIIMAR; FCT/MEC through national funds(Fundacao para a Ciencia e a Tecnologia (FCT)); FEDER(European Union (EU)Spanish Government); Integrated Programme of SR &amp; TD Smart Valorization of Endogenous Marine Biological Resources Under a Changing Climate; European Union, through the European Regional Development Fund(European Union (EU)); ; ; Fundação para a Ciência e a Tecnologia(Fundacao para a Ciencia e a Tecnologia (FCT))</t>
  </si>
  <si>
    <t>Rosa Freitas, Bruno Henriques benefited from post-doc grants (SFRH/BPD/92258/2013 and SFRH/BPD/112576/2015, respectively) and Francesca Coppola benefited from a PhD grants (SFRH/BD/ 118582/2016) given by the National Funds through the Portuguese Science Foundation (FCT), supported by FSE and Programa Operational Capital Humano (POCH) e da Unido Europeia. Thanks are due, for the financial support to CESAM (UID/AMB/50017), to CIIMAR (UID/Multi/04423/2013), to FCT/MEC through national funds, and the co-funding by the FEDER, within the PT2020 Partnership Agreement and Compete 2020. This work was supported by the Integrated Programme of SR &amp; TD Smart Valorization of Endogenous Marine Biological Resources Under a Changing Climate (reference Centro01-0145-FEDER-000018), co-funded by Centro 2020 program, Portugal 2020, European Union, through the European Regional Development Fund. Thanks are due, for the financial support to CESAM (UID/AMB/50017), to FCT/MEC through national funds, and the co-funding by the FEDER, within the PT2020 Partnership Agreement and Compete 2020.</t>
  </si>
  <si>
    <t>10.1016/j.cbpc.2017.09.010</t>
  </si>
  <si>
    <t>FO1DL</t>
  </si>
  <si>
    <t>WOS:000416496800001</t>
  </si>
  <si>
    <t>Ramírez, E; Carmona-Pérez, D; Marco, JF; Sanchez-Lievanos, KR; Sabinas-Hernández, SA; Knowles, KE; Elizalde-González, MP</t>
  </si>
  <si>
    <t>Ramirez, Erick; Carmona-Perez, Daniela; Marco, J. F.; Sanchez-Lievanos, Karla R.; Sabinas-Hernandez, Sergio A.; Knowles, Kathryn E.; Elizalde-Gonzalez, Maria P.</t>
  </si>
  <si>
    <t>Comparison of MAF-32 and a One-Pot Synthesized Superparamagnetic Iron Oxide/MAF-32 Composite for the Adsorption of Diclofenac</t>
  </si>
  <si>
    <t>pharmaceuticals; magnetic material; coordination polymer; water pollution; Metal Azolate Framework</t>
  </si>
  <si>
    <t>ZEOLITIC IMIDAZOLATE FRAMEWORKS; ZIF-8; WATER; NANOPARTICLES; DEGRADATION; MAGNETITE; MAGHEMITE; CAPACITY; REMOVAL; OXIDE</t>
  </si>
  <si>
    <t>The global presence of pharmaceutical pollutants in water sources represents a burgeoning public health concern. Recent studies underscore the urgency of addressing this class of emerging contaminants. In this context, our work focuses on synthesizing a composite material, FexOy/MAF-32, through a streamlined one-pot reaction process, as an adsorbent for diclofenac, an emerging environmental contaminant frequently found in freshwater environments and linked to potential toxicity towards several organisms such as fish and mussels. A thorough characterization was performed to elucidate the structural composition of the composite. The material presents magnetic properties attributed to its superparamagnetic behavior, which facilitates the recovery efficiency of the composite post-diclofenac adsorption. Our study further involves a comparative analysis between the FexOy/MAF-32 and a non-magnetic counterpart, comprised solely of 2-ethylimidazolate zinc polymer. This comparison aims to discern the relative advantages and disadvantages of incorporating magnetic iron oxide nanoparticles in the contaminant removal process facilitated by a coordination polymer. Our findings reveal that even a minimal incorporation of iron oxide nanoparticles substantially enhanced the composite's overall performance in pollutant adsorption.</t>
  </si>
  <si>
    <t>[Ramirez, Erick; Carmona-Perez, Daniela; Elizalde-Gonzalez, Maria P.] Benemerita Univ Autonoma Puebla, Ctr Quim, Inst Ciencias, Ciudad Univ,Edif IC7, Puebla 72570, Pue, Mexico; [Marco, J. F.] Inst Quim Fis Blas Cabrera, CSIC, C Serrano 119, Madrid 28006, Spain; [Sanchez-Lievanos, Karla R.; Knowles, Kathryn E.] Univ Rochester, Dept Chem, Rochester, NY 14627 USA; [Sabinas-Hernandez, Sergio A.] Benemerita Univ Autonoma Puebla, Ciudad Universitaria, Ciudad Univ,Apartado Postal J-48, Puebla 72570, Pue, Mexico</t>
  </si>
  <si>
    <t>Benemerita Universidad Autonoma de Puebla; Consejo Superior de Investigaciones Cientificas (CSIC); University of Rochester; Benemerita Universidad Autonoma de Puebla</t>
  </si>
  <si>
    <t>Ramírez, E (corresponding author), Benemerita Univ Autonoma Puebla, Ctr Quim, Inst Ciencias, Ciudad Univ,Edif IC7, Puebla 72570, Pue, Mexico.</t>
  </si>
  <si>
    <t>erick.ramirez@correo.buap.mx; daniela.carmo@alumno.buap.mx; jfmarco@iqfr.csic.es; ksanche6@ur.rochester.edu; ssabinas@ifuap.buap.mx; knowles@chem.rochester.edu; maria.elizalde@correo.buap.mx</t>
  </si>
  <si>
    <t>Marco, JF/N-3176-2014; Sabinas, Sergio/ABC-5136-2020; Ramirez Zenteno, Erick/KFQ-1867-2024</t>
  </si>
  <si>
    <t>Marco, JF/0000-0002-5147-1449; Sabinas, Sergio/0000-0003-0293-4846; Knowles, Kathryn/0000-0001-6315-6473; Ramirez Zenteno, Erick/0000-0003-2424-4950</t>
  </si>
  <si>
    <t>Consejo Nacional de Humanidades, Ciencias y Tecnologas</t>
  </si>
  <si>
    <t>We thank M. E. de Anda Reyes for magnetic measurements.</t>
  </si>
  <si>
    <t>10.3390/ma17102269</t>
  </si>
  <si>
    <t>RY8W7</t>
  </si>
  <si>
    <t>WOS:001231320600001</t>
  </si>
  <si>
    <t>Li, JN; You, LH; Xu, ZC; Gin, KYH; He, YL</t>
  </si>
  <si>
    <t>Li, Junnan; You, Luhua; Xu, Zichen; Gin, Karina Yew-Hoong; He, Yiliang</t>
  </si>
  <si>
    <t>Nano-scale and micron-scale plastics amplify the bioaccumulation of benzophenone-3 and ciprofloxacin, as well as their co-exposure effect on disturbing the antioxidant defense system in mussels, Perna viridis</t>
  </si>
  <si>
    <t>Microplastics; Nanoplastics; Bioaccumulation; Benzophenone-3; Ciprofloxacin; Mussels</t>
  </si>
  <si>
    <t>UV FILTERS; MYTILUS-EDULIS; MICROPLASTICS; NANOPARTICLES; MUSSEL; INGESTION; TOXICITY; EXPOSURE; BIOAVAILABILITY; REPRODUCTION</t>
  </si>
  <si>
    <t>Plastics ranging from nano-scale to micron-scale are frequently ingested by many marine animals. These particles exhibit biotoxicity and additionally perform as vectors that convey and amass adsorbed chemicals within organisms. Meanwhile, the frequency of detection of the benzophenone-3 and ciprofloxacin can be adsorbed on plastic particles, then accumulated in bivalves, causing biotoxicity. To understand their unknown accumulative kinetics in vivo affected by different plastic sizes and toxic effect from co-exposure, several scenarios were set up in which the mode organism were exposed to 0.6 mg/L of polystyrene carrying benzophenone-3 and ciprofloxacin in three sizes (300 nm, 38 mu m, and 0.6 mm). The live Asian green mussels were chosen as mode organism for exposure experiments, in which they were exposed to environments with plastics of different sizes laden with benzophenone-3 and ciprofloxacin, then depurated for 7 days. The bioaccumulation and depuration kinetics of benzophenone-3 and ciprofloxacin were measured using HPLC-MS/MS after one week of exposure and depuration. Meanwhile, their toxic effect were investigated by measuring the changes in six biomarkers (condition index, reactive oxygen species, catalase, glutathione, lipid peroxidation, cytochrome P450 and DNA damage). The bioconcentration factors in mussels under different exposure conditions were 41.48-111.75 for benzophenone-3 and 6.45 to 12.35 for ciprofloxacin. The results suggested that microplastics and nanoplastics can act as carriers to increase bioaccumulation and toxicity of adsorbates in mussels in a size-dependent manner. Overproduction of reactive oxygen species caused by microplastics and nanoplastics led to increased DNA damage, lipid peroxidation, and changes in antioxidant enzymes and non-enzymatic antioxidants during exposure. Marked disruption of antioxidant defenses and genotoxic effects in mussels during depuration indicated impaired recovery. Compared to micron-scale plastic with sizes over a hundred micrometers that had little effect on bivalve bioaccumulation and toxicity, nano-scale plastic greatly enhanced the biotoxicity effect.</t>
  </si>
  <si>
    <t>[Li, Junnan; He, Yiliang] Shanghai Jiao Tong Univ, Sch Environm Sci &amp; Engn, Shanghai 200240, Peoples R China; [You, Luhua; Gin, Karina Yew-Hoong; He, Yiliang] Natl Univ Singapore, Environm Res Inst, 1 Create Way 15-02, Singapore 138602, Singapore; [Xu, Zichen] Natl Univ Singapore, Dept Civil &amp; Environm Engn, Singapore 117575, Singapore; [Gin, Karina Yew-Hoong] Natl Univ Singapore, Dept Civil &amp; Environm Engn, Block E1A07-03,1 Engn Dr 2, Singapore 117576, Singapore; [Li, Junnan; You, Luhua; Gin, Karina Yew-Hoong; He, Yiliang] Energy &amp; Environm Sustainabil Solut Megac, Campus Res Excellence &amp; Technol Enterprise, Singapore 138602, Singapore</t>
  </si>
  <si>
    <t>Shanghai Jiao Tong University; National University of Singapore; National University of Singapore; National University of Singapore</t>
  </si>
  <si>
    <t>He, YL (corresponding author), Shanghai Jiao Tong Univ, Sch Environm Sci &amp; Engn, Shanghai 200240, Peoples R China.</t>
  </si>
  <si>
    <t>ylhe@sjtu.edu.cn</t>
  </si>
  <si>
    <t>Gin, Karina/AIB-8230-2022</t>
  </si>
  <si>
    <t>XU, ZICHEN/0009-0000-0052-7505</t>
  </si>
  <si>
    <t>National Research Foundation, Prime Minister's Office, Singapore through its Campus for Research Excellence and Technological Enterprise (CREATE); National Research Foundation, Prime Minister's Office, Singapore is funding this research through IntraCreate Seed Collaboration Grant [NRF2019- ITS005-0028]</t>
  </si>
  <si>
    <t>National Research Foundation, Prime Minister's Office, Singapore through its Campus for Research Excellence and Technological Enterprise (CREATE); National Research Foundation, Prime Minister's Office, Singapore is funding this research through IntraCreate Seed Collaboration Grant</t>
  </si>
  <si>
    <t>The National Research Foundation, Prime Minister's Office, Singapore is funding this research through its Campus for Research Excellence and Technological Enterprise (CREATE) programme and the IntraCreate Seed Collaboration Grant (Grant number: NRF2019- ITS005-0028) .</t>
  </si>
  <si>
    <t>10.1016/j.envpol.2024.123547</t>
  </si>
  <si>
    <t>NS5N7</t>
  </si>
  <si>
    <t>WOS:001202457500001</t>
  </si>
  <si>
    <t>Mkuye, R; Huang, LM; Yang, CY; Yang, XY; Masanja, F; Ibrahim, S; Lu, FL; Zhu, SJ; Wu, HL; Deng, YW</t>
  </si>
  <si>
    <t>Mkuye, Robert; Huang, Luomin; Yang, Chuangye; Yang, Xiuyan; Masanja, Fortunatus; Ibrahim, Salifu; Lu, Fenglan; Zhu, Shaojie; Wu, Hailing; Deng, Yuewen</t>
  </si>
  <si>
    <t>The impacts of PVC microplastics on physiology and transcriptomic responses of pearl oyster Pinctada fucata martensii</t>
  </si>
  <si>
    <t>microplastic (MP); Pinctada fucata martensii; oxidative stress; transcriptome</t>
  </si>
  <si>
    <t>MARINE MUSSELS; RAS GENE; MYTILUS; IDENTIFICATION; MICROBEADS; BIVALVES; TOXICITY; PATTERNS; EXPOSURE; GROWTH</t>
  </si>
  <si>
    <t>Microplastics (MPs), particularly polyvinyl chloride microplastics (PVC MPs) have become a notable environmental pollutant that affect various marine organisms such as Pinctada fucata martensii. As filter feeders, these bivalves consume significant volumes of water containing MPs, leading to contact with and ingestion of MPs. Moreover, given the ecological and economic importance of P. f. martensii in artificial pearl production, investigating the effects of PVC MPs exposure is crucial. This study aimed to investigate the effects of PVC MPs exposure on nucleus retention, pearl formation, oxidative stress by examining superoxide dismutase (SOD) activity, catalase (CAT) activity, lipid peroxidation (LPO), and total antioxidant capacity (TAOC) of P. f. martensii, while also exploring transcriptomic changes at different concentrations and exposure time points, including a recovery period. The pearl oysters were exposed to PVC MPs at concentrations of 1-, 2.5-, and 5-mg PVC MPs/L for 10 d followed by 6 d of recovery. After 1-, 4-, 10-d of exposure, and additional 6 d of recovery, samples were taken and analyzed. Findings revealed that only prolonged exposure (10 d) to PVC MPs affected SOD activity, while CAT activity, LPO, and TAOC remained unaffected throughout the experiment. Notably, SOD activity was restored during the 6-d recovery phase. Transcriptome analysis highlighted significant gene alterations linked to various pathways, affecting cellular processes, environmental information processing, genetic information processing, metabolism, and organismal systems, with an increase in pathway-related genes during recovery, implying a potential role of PVC MPs as gene inhibitors. This study provided insights into the effects of PVC MPs on P. f. martensii, shedding light on pearl retention, oxidative systems, and molecular pathways influenced by PVC MPs. Additionally, it contributed novel information on potential MPs exposure biomarkers, particularly relevant to marine organisms like P. f. martensii.</t>
  </si>
  <si>
    <t>[Mkuye, Robert; Huang, Luomin; Yang, Chuangye; Yang, Xiuyan; Masanja, Fortunatus; Ibrahim, Salifu; Lu, Fenglan; Zhu, Shaojie; Wu, Hailing; Deng, Yuewen] Guangdong Ocean Univ, Fisheries Coll, Zhanjiang 524088, Peoples R China; [Deng, Yuewen] Guangdong Sci &amp; Innovat Ctr Pearl Culture, Zhanjiang 524088, Peoples R China; [Deng, Yuewen] Pearl Breeding &amp; Proc Engn Technol Res Ctr Guangdo, Zhanjiang 524088, Peoples R China; [Deng, Yuewen] Guangdong Prov Key Lab Aquat Anim Dis Control &amp; Hl, Zhanjiang 524088, Peoples R China; [Deng, Yuewen] Guangdong Marine Ecol Early Warning &amp; Monitoring L, Zhanjiang 524088, Peoples R China</t>
  </si>
  <si>
    <t>Guangdong Ocean University</t>
  </si>
  <si>
    <t>Yang, CY (corresponding author), Guangdong Ocean Univ, Fisheries Coll, Zhanjiang 524088, Peoples R China.</t>
  </si>
  <si>
    <t>yangcy@gdou.edu.cn</t>
  </si>
  <si>
    <t>Yang, Chuangye/K-5151-2019</t>
  </si>
  <si>
    <t>Masanja, Fortunatus/0000-0001-5599-0687</t>
  </si>
  <si>
    <t>Science and Technology Program of Guangdong Province [2022A1515010030]; National Natural Science Foundation of China [32102817]; Department of Education of Guangdong Province [2020ZDZX1045, 2021KCXTD026]; Earmarked fund for CARS-49; Students Innovation and Entrepreneurship Training Program [CXXL2022015]; Technology Program of Guangdong Zhanjiang [2022A01010]; Hengli Biosciences Excellence Project of Guangdong Ocean University [B23335-4]</t>
  </si>
  <si>
    <t>Science and Technology Program of Guangdong Province; National Natural Science Foundation of China(National Natural Science Foundation of China (NSFC)); Department of Education of Guangdong Province(National Natural Science Foundation of Guangdong Province); Earmarked fund for CARS-49; Students Innovation and Entrepreneurship Training Program; Technology Program of Guangdong Zhanjiang; Hengli Biosciences Excellence Project of Guangdong Ocean University</t>
  </si>
  <si>
    <t>Supported by the Science and Technology Program of Guangdong Province (No. 2022A1515010030), the National Natural Science Foundation of China (No. 32102817), the Department of Education of Guangdong Province (Nos. 2020ZDZX1045, 2021KCXTD026), the earmarked fund for CARS-49, Students Innovation and Entrepreneurship Training Program (No. CXXL2022015), the Technology Program of Guangdong Zhanjiang (No. 2022A01010), and the Hengli Biosciences Excellence Project of Guangdong Ocean University (No. B23335-4)</t>
  </si>
  <si>
    <t>2024 JUL 27</t>
  </si>
  <si>
    <t>10.1007/s00343-024-4024-x</t>
  </si>
  <si>
    <t>ZW6B9</t>
  </si>
  <si>
    <t>WOS:001278352200009</t>
  </si>
  <si>
    <t>Balzani, P; Kouba, A; Tricarico, E; Kourantidou, M; Haubrock, PJ</t>
  </si>
  <si>
    <t>Balzani, Paride; Kouba, Antonin; Tricarico, Elena; Kourantidou, Melina; Haubrock, Phillip J.</t>
  </si>
  <si>
    <t>Metal accumulation in relation to size and body condition in an all-alien species community</t>
  </si>
  <si>
    <t>Environmental pollution; Bioaccumulation; Fish; Ecotoxicology; Freshwater ecosystems; Metals; Fulton condition factor</t>
  </si>
  <si>
    <t>FRESH-WATER FISH; CATFISH SILURUS-GLANIS; HEAVY-METALS; TRACE-ELEMENTS; ARNO RIVER; NORTHERN TUSCANY; ECONOMIC COSTS; MARINE FISH; ICP-MS; BIOACCUMULATION</t>
  </si>
  <si>
    <t>Metal pollution is one of the main environmental threats in freshwater ecosystems. Aquatic animals can accumulate these substances and transfer them across the food web, posing risks for both predators and humans. Accumulation patterns strongly vary depending on the location, species, and size (which in fish and crayfish is related to age) of individuals. Moreover, high metal concentrations can negatively affect animals' health. To assess the intraspecific relationship between metal accumulation and size and health (proxied by the body condition) of individuals, the concentration of 14 metals (Al, As, Cd, Co, Cr, Cu, Fe, Hg, Mg, Mn, Ni, Pb, Se, Zn) was analyzed in six alien species from the highly anthropogenically altered Arno River (Central Italy): five fish (Alburnus alburnus, Pseudorasbora parva, Lepomis gibbosus, Ictalurus punctatus, and Silurus glanis) and one crayfish (Procambarus clarkii). We found that in P. clarkii, Cu was negatively related to size, as well as Al in L. gibbosus and Mg for adult I. punctatus. Positive size-dependent relationships were found for Hg in L. gibbosus, Fe in S. glanis, and Cr in juvenile I. punctatus. Only Co and Mg in S. glanis were found to negatively correlate with individual health. Since metal concentrations in animal tissue depend on trade-offs between uptake and excretion, the few significant results suggest different types of trade-offs across different species and age classes. However, only predatory fish species (L. gibbosus, I. punctatus, and S. glanis) presented significant relationships, suggesting that feeding habits are one of the primary drivers of metal accumulation.</t>
  </si>
  <si>
    <t>[Balzani, Paride; Tricarico, Elena] Univ Florence, Dept Biol, Via Madonna Piano 6, I-50019 Sesto Fiorentino, Italy; [Balzani, Paride; Kouba, Antonin; Haubrock, Phillip J.] Univ South Bohemia Ceske Budejovice, Fac Fisheries &amp; Protect Waters, South Bohemian Res Ctr Aquaculture &amp; Biodivers Hy, Zatisi 728-2, Vodnany 38925, Czech Republic; [Kourantidou, Melina] Hellen Ctr Marine Res, Inst Marine Biol Resources &amp; Inland Waters, Athens 16452, Greece; [Kourantidou, Melina] Univ Southern Denmark, Dept Sociol Environm &amp; Business Econ, Degnevej 14, DK-6705 Esbjerg O, Denmark; [Haubrock, Phillip J.] Senckenberg Res Inst, Dept River Ecol &amp; Conservat, Clamecystr 12, D-63571 Gelnhausen, Germany; [Haubrock, Phillip J.] Nat Hist Museum Frankfurt, Clamecystr 12, D-63571 Gelnhausen, Germany</t>
  </si>
  <si>
    <t>University of Florence; University of South Bohemia Ceske Budejovice; Hellenic Centre for Marine Research; University of Southern Denmark; Senckenberg Gesellschaft fur Naturforschung (SGN)</t>
  </si>
  <si>
    <t>Haubrock, PJ (corresponding author), Univ South Bohemia Ceske Budejovice, Fac Fisheries &amp; Protect Waters, South Bohemian Res Ctr Aquaculture &amp; Biodivers Hy, Zatisi 728-2, Vodnany 38925, Czech Republic.;Haubrock, PJ (corresponding author), Senckenberg Res Inst, Dept River Ecol &amp; Conservat, Clamecystr 12, D-63571 Gelnhausen, Germany.;Haubrock, PJ (corresponding author), Nat Hist Museum Frankfurt, Clamecystr 12, D-63571 Gelnhausen, Germany.</t>
  </si>
  <si>
    <t>phillip.haubrock@senckenberg.de</t>
  </si>
  <si>
    <t>Tricarico, Elena/ABC-9819-2021; Haubrock, Phillip/K-5955-2019; Kouba, Antonin/C-9338-2015; Balzani, Paride/A-2538-2019</t>
  </si>
  <si>
    <t>Kouba, Antonin/0000-0001-8118-8612; Haubrock, Phillip Joschka/0000-0003-2154-4341; Kourantidou, Melina/0000-0001-9595-3354; Balzani, Paride/0000-0003-1549-7139; Tricarico, Elena/0000-0002-7392-0794</t>
  </si>
  <si>
    <t>Projekt DEAL; Aquainvad-ED project [ITN-2014-ETN642197]</t>
  </si>
  <si>
    <t>Projekt DEAL; Aquainvad-ED project</t>
  </si>
  <si>
    <t>Open Access funding enabled and organized by Projekt DEAL. Funding was partly provided by the Aquainvad-ED project (2020 Marie Sklodowska-Curie ITN-2014-ETN642197).</t>
  </si>
  <si>
    <t>10.1007/s11356-021-17621-0</t>
  </si>
  <si>
    <t>WOS:000724663500010</t>
  </si>
  <si>
    <t>Akcha, F; Spagnol, C; Rouxel, J</t>
  </si>
  <si>
    <t>Akcha, F.; Spagnol, C.; Rouxel, J.</t>
  </si>
  <si>
    <t>Genotoxicity of diuron and glyphosate in oyster spermatozoa and embryos</t>
  </si>
  <si>
    <t>Genotoxicity; Embryotoxicity; Oyster; Gametes; Pesticides; Diuron; Glyphosate</t>
  </si>
  <si>
    <t>URCHIN PARACENTROTUS-LIVIDUS; PACIFIC OYSTER; CRASSOSTREA-GIGAS; COMET ASSAY; INDUCED EMBRYOTOXICITY; COASTAL WATERS; SPERM; MUSSEL; HERBICIDES; EXPOSURE</t>
  </si>
  <si>
    <t>We investigated the effects of genotoxicant exposure in gametes and embryos to find a possible link between genotoxicity and reproduction/developmental impairment, and explore the impact of chemical genotoxicity on population dynamics. Our study focused on the genotoxic effects of two herbicides on oyster gametes and embryos: glyphosate (both as an active substance and in the Roundup formulation) and diuron. France is Europe's leading consumer of agrochemical substances and as such, contamination of France's coastal waters by pesticides is a major concern. Glyphosate and diuron are among the most frequently detected herbicides in oyster production areas; as oyster is a specie with external reproduction, its gametes and embryos are in direct contact with the surrounding waters and are hence particularly exposed to these potentially dangerous substances. In the course of this study, differences in genotoxic and embryotoxic responses were observed in the various experiments, possibly due to differences in pollutant sensitivity between the tested genitor lots. Glyphosate and Roundup had no effect on oyster development at the concentrations tested, whereas diuron significantly affected embryo-larval development from the lowest tested concentration of 0.05 mu g L-1, i.e. an environmentally realistic concentration. Diuron may therefore have a significant impact on oyster recruitment rates in the natural environment. Our spermiotoxicity study revealed none of the tested herbicides to be cytotoxic for oyster spermatozoa. However, the alkaline comet assay showed diuron to have a significant genotoxic effect on oyster spermatozoa at concentrations of 0.05 mu g L-1 upwards. Conversely, no effects due to diuron exposure were observed on sperm mitochondrial function or acrosomal membrane integrity. Although our initial results showed no negative effect on sperm function, the possible impact on fertilization rate and the consequences of the transmission of damaged DNA for oyster development and physiological performances, requires further investigation. A likely hypothesis to explain the embryotoxic and genotoxic effects of diuron is that it may act via causing oxidative stress. (C) 2011 Elsevier B.V. All rights reserved.</t>
  </si>
  <si>
    <t>[Akcha, F.; Spagnol, C.; Rouxel, J.] IFREMER, Lab Ecotoxicol, Dept Biogeochem &amp; Ecotoxicol, F-44311 Nantes 03, France</t>
  </si>
  <si>
    <t>Akcha, F (corresponding author), IFREMER, Lab Ecotoxicol, Dept Biogeochem &amp; Ecotoxicol, Rue Ile dYeu,BP 21105, F-44311 Nantes 03, France.</t>
  </si>
  <si>
    <t>fakcha@ifremer.fr</t>
  </si>
  <si>
    <t>Akcha, Farida/0000-0003-0734-1951</t>
  </si>
  <si>
    <t>French Research Institute for Sea Exploration (Ifremer)</t>
  </si>
  <si>
    <t>This work was funded by the French Research Institute for Sea Exploration (Ifremer). The authors are grateful to L Haugarreau and M. Hubert for their punctual technical assistance.</t>
  </si>
  <si>
    <t>10.1016/j.aquatox.2011.10.018</t>
  </si>
  <si>
    <t>891GN</t>
  </si>
  <si>
    <t>WOS:000300205300013</t>
  </si>
  <si>
    <t>Wan, R; Meng, FP; Fu, WC; Wang, Q; Su, EP</t>
  </si>
  <si>
    <t>Wan, Ru; Meng, Fanping; Fu, Wenchao; Wang, Qun; Su, Enping</t>
  </si>
  <si>
    <t>Biochemical responses in the gills of Meretrix meretrix after exposure to treated municipal effluent</t>
  </si>
  <si>
    <t>Sewage treatment plant; Effluent; Marine bivalve; Oxidative stress</t>
  </si>
  <si>
    <t>MYTILUS-GALLOPROVINCIALIS; ENDOCRINE DISRUPTION; CAGED MUSSELS; WASTE-WATER; BIOMARKER; GLUTATHIONE; ACETYLCHOLINESTERASE; ANTIOXIDANTS; ORGANISMS; INDUCTION</t>
  </si>
  <si>
    <t>The biochemical effects in marine bivalves exposed to increasing concentrations of treated municipal effluent (TME), as discharged into receiving marine waters, are investigated. The effluent was collected from a municipal sewage treatment plant (STP) in Qingdao (China). Meretrix meretrix were exposed to effluent volume ratio (EVR, ratio of effluent volume accounted for tailwater seawater mixture) 0%, 1%, 5%, 10%, and 20% (v/v) TME for 15 days and the following biochemical responses in gills were measured: (1) the activity of superoxide dismutase (SOD), catalase (CAT), glutathione peroxidase (GPx), glutathione reductase (GR), and glutathione (GSH) content, and lipid peroxidation levels of malondialdehyde (MDA), as oxidative stress biomarkers; (2) the activity of 7-ethoxyresorufin O-deethylase (EROD) and gluthathione S-transferase (GST), as phase I and phase II conjugation enzymes, respectively; (3) acetylcholinesterase (AChE), as a biomarker of neurotoxicity, and (4) metallothioneins (MTs), as proteins strongly induced by heavy metals. Most of the biochemical indices present high and significant variation frequency (above 50%). There is enhancement in the antioxidant enzymes, EROD, GST, AChE, and MTs, as well as consumption of GSH. The current experimental results suggest that effluent with concentrations less than 20% (v/v) do not cause lipid peroxidation damage. This implies that the activated defense is sufficient to protect the bivalves' gill tissues from cytotoxicity produced by the effluent. Furthermore, GSH, GPx, MTs, and GR are suitable, and sufficiently sensitive, biomarkers to indicate the pollution levels in marine environments receiving such effluent. (C) 2014 Elsevier Inc. All rights reserved.</t>
  </si>
  <si>
    <t>[Wan, Ru; Meng, Fanping; Fu, Wenchao; Wang, Qun; Su, Enping] Ocean Univ China, Minist Educ, Key Lab Marine Environm &amp; Ecol, Qingdao 266100, Shandong, Peoples R China</t>
  </si>
  <si>
    <t>Meng, FP (corresponding author), Ocean Univ China, Minist Educ, Key Lab Marine Environm &amp; Ecol, Qingdao 266100, Shandong, Peoples R China.</t>
  </si>
  <si>
    <t>This work was supported by the National Natural Science Foundation of China (41240040) and Ocean Public Service Foundation of China (No. 201005012).</t>
  </si>
  <si>
    <t>10.1016/j.ecoenv.2014.09.038</t>
  </si>
  <si>
    <t>AY0DK</t>
  </si>
  <si>
    <t>WOS:000347267800011</t>
  </si>
  <si>
    <t>TRACE-METALS IN SEDIMENTS AND POTENTIAL AVAILABILITY TO ANADARA-GRANOSA</t>
  </si>
  <si>
    <t>ESTUARINE SEDIMENTS; CHEMICAL-FRACTIONS; MARINE-SEDIMENTS; LAKE-SEDIMENTS; HEAVY-METALS; ORGANISMS; BIOAVAILABILITY; WATER; AREA; LEAD</t>
  </si>
  <si>
    <t>Trace metals in the sediments non-residual fraction and their relative abundance in various sedimentary components from the culture bed of Anadara granosa were investigated. High levels of Cd (40%), Ni (40%), and Pb (43%) were associated with the sediment exchangeable phase (EP). The sediment moderately reducible phase (MRP) was more predominant than the easily reducible phase (ERP) and the organic sulphide phase (OSP) in the sorption of available trace metals. However, this area was not considered to be heavily impacted by trace metal pollution. Since there was no significant concentration gradients observed in sediments and bivalves collected from all stations, trace metal enrichment factors were determined. A. granosa collected from this area was enriched by Zn, Cu, Pb, Ni, Cd, and Ni.</t>
  </si>
  <si>
    <t>MAT, I (corresponding author), UNIV MALAYA,CTR FDN STUDIES SCI,KUALA LUMPUR 59100,MALAYSIA.</t>
  </si>
  <si>
    <t>NK798</t>
  </si>
  <si>
    <t>WOS:A1994NK79800011</t>
  </si>
  <si>
    <t>Karikari, AY; Duah, AA; Akurugu, BA; Darko, HF</t>
  </si>
  <si>
    <t>Karikari, A. Y.; Duah, A. A.; Akurugu, B. A.; Darko, H. F.</t>
  </si>
  <si>
    <t>Assessing the impacts of artisanal mining on the quality ofvf South-western Rivers System in Ghana</t>
  </si>
  <si>
    <t>Small-scale mining; Water quality; Water pollution; Ghana; Turbidity; TSS</t>
  </si>
  <si>
    <t>GROUNDWATER-FLOW; BASIN</t>
  </si>
  <si>
    <t>Artisanal small-scale mining has been part of Ghana's history, but recent public outcry on the devastating impacts of the phenomenon on water bodies, due to expansion in the sector, has led to clamp downs by various governments on the activity. This has called for evaluation of the water quality of the South-western Rivers System, which are small-scale mining endemic areas. Thirty-five river samples were collected in July 2018 and were analyzed for physico-chemical parameters using procedures outlined in the Standard Methods for the Examination of Water and Wastewaters. The results revealed that the rivers are polluted with Fe and Cu, accompanied by very high levels of turbidity (mean = 488 NTU) and total suspended solids (TSS) (mean = 382 mg/L). NH3-N, PO4-P, BOD, and DO levels indicated mild pollution in the waters. Pollution of the rivers is attributable to impacts of artisanal small-scale mining, surface run-off as a result of high intensity rainfall, anthropogenic (indiscriminate waste disposal) and geogenic factors such as dissolution of minerals from the soil zone. It was observed that, if not strictly regulated, turbidity and TSS levels arising mainly from illegal small-scale mining activities could lead to shutdowns of a number of Ghana Water Company Limited treatment plants, leading to water supply challenges in the study area.</t>
  </si>
  <si>
    <t>[Karikari, A. Y.; Duah, A. A.; Akurugu, B. A.; Darko, H. F.] CSIR Water Res Inst, Box AH 38, Achimota, Accra, Ghana</t>
  </si>
  <si>
    <t>Karikari, AY (corresponding author), CSIR Water Res Inst, Box AH 38, Achimota, Accra, Ghana.</t>
  </si>
  <si>
    <t>aykarikari@hotmail.com</t>
  </si>
  <si>
    <t>Akurugu, Bismark Awinbire/LDF-7743-2024</t>
  </si>
  <si>
    <t>Akurugu, Bismark Awinbire/0000-0001-6277-9716</t>
  </si>
  <si>
    <t>STAR Ghana through Media coalition against galamsey; CSIR-Water Research Institute (CSIR-WRI), Ghana</t>
  </si>
  <si>
    <t>This research was funded by STAR Ghana through Media coalition against galamsey and CSIRWater Research Institute (CSIR-WRI), Ghana. The authors thank the laboratory staff of Environmental Chemistry and Sanitation Engineering and Surface Water Divisions of CSIRWRI for their technical assistance.</t>
  </si>
  <si>
    <t>10.1007/s10661-021-09515-y</t>
  </si>
  <si>
    <t>WG1LO</t>
  </si>
  <si>
    <t>WOS:000706760000005</t>
  </si>
  <si>
    <t>Guerlet, E; Ledy, K; Giambérini, L</t>
  </si>
  <si>
    <t>Guerlet, Edwige; Ledy, Karine; Giamberini, Laure</t>
  </si>
  <si>
    <t>Is the freshwater gammarid, Dikerogammarus villosus, a suitable sentinel species for the implementation of histochemical biomarkers?</t>
  </si>
  <si>
    <t>cell biomarkers; passive biomonitoring; amphipod; lysosome; peroxisome; unsaturated neutral lipids</t>
  </si>
  <si>
    <t>DIGESTIVE GLAND; VENTRAL CECA; COPPER; MUSSELS; AMPHIPODA; CRUSTACEA; POLLUTION; INVERTEBRATES; RESPONSES; GRADIENT</t>
  </si>
  <si>
    <t>In order to enlarge the range of potential sentinel species for the implementation of a multiple biomarker approach, spatial and monthly morphological variations of four cellular compartments and contents were assessed during two years in the hepatopancreatic caeca of the freshwater gammarid, Dikerogammarus villosus (Crustacea, Amphipoda), using histochemistry coupled to image analysis. Among the three study sites, the second one, located in a reservoir receiving the overheated and copper-contaminated waters of a nuclear power plant, was the most anthropised. During this passive biomonitoring survey, unsaturated neutral lipids were more abundant, the surface densities of the lysosomal and peroxisomal systems were, respectively less and more important, and lipofuscin granules tended to accumulate in the amphipods from the second site compared to both others. Nonetheless, in this context, the present cellular biomarker suite, analysed through an integrative approach, was not powerful enough to highlight spatial heterogeneity significantly. This may partly result from particularities in the patterns of metal accumulation and copper physiological requirements of amphipods (haemocyanin synthesis). Nevertheless, we think that the use of this Ponto-Caspian non-indigenous species in biomonitoring surveys deserves further investigation, owing to its current position in freshwater and brackish European ecosystems, considering both biomass and functioning. Cellular responses could be studied in parallel with endpoints at other levels of the biological organization to compose a more powerful biomarker suite. Furthermore, comparing biological responses to environmental stress in this invasive species and less competitive autochthonous gammarids could be of great interest. (C) 2008 Elsevier Ltd. All rights reserved.</t>
  </si>
  <si>
    <t>[Guerlet, Edwige; Ledy, Karine; Giamberini, Laure] Univ Paul Verlaine Metz, LIEBE, CNRS, UMR 7146, F-57070 Metz, France</t>
  </si>
  <si>
    <t>Centre National de la Recherche Scientifique (CNRS); Universite de Lorraine</t>
  </si>
  <si>
    <t>Giambérini, L (corresponding author), Univ Paul Verlaine Metz, LIEBE, CNRS, UMR 7146, Campus Bridoux,Rue Gen Delestraint, F-57070 Metz, France.</t>
  </si>
  <si>
    <t>10.1016/j.chemosphere.2008.04.013</t>
  </si>
  <si>
    <t>320HG</t>
  </si>
  <si>
    <t>WOS:000257223700001</t>
  </si>
  <si>
    <t>Catharino, M; Vasconcellos, M; de Sousa, ECPM; Moreira, E; Pereira, C</t>
  </si>
  <si>
    <t>Catharino, M. G. M.; Vasconcellos, M. B. A.; de Sousa, E. C. P. M.; Moreira, E. G.; Pereira, C. D. S.</t>
  </si>
  <si>
    <t>Biomonitoring of Hg, Cd, Pb and other elements in coastal regions of Sao Paulo State, Brazil, using the transplanted mussel Perna perna (Linnaeus, 1758)</t>
  </si>
  <si>
    <t>TOTAL MERCURY; POLLUTION</t>
  </si>
  <si>
    <t>Biomonitoring of coastal areas using marine organisms is an attractive approach for studying pollution caused by anthropic discharges. Most of the experiments are based on the collection and analysis of native organisms, but this method has the disadvantage of dealing with many natural variations. In this work, the marine bivalve Perna perna, very abundant in the coast of the State of Sao Paulo, Brazil, was transplanted from a mussel farm and used for biomonitoring of four sites, situated in coastal regions close to domestic and/or industrial discharges. Hg, Cd and Pb were determined in the transplanted organisms by AAS and As, Ca, Co, Cr, Fe, Na, Se and Zn were determined by INAA.</t>
  </si>
  <si>
    <t>[Catharino, M. G. M.; Vasconcellos, M. B. A.; Moreira, E. G.] IPEN CNEN SP, BR-05508000 Sao Paulo, Brazil; [de Sousa, E. C. P. M.; Pereira, C. D. S.] IOUSP, BR-05508120 Sao Paulo, Brazil</t>
  </si>
  <si>
    <t>Comissao Nacional de Energia Nuclear (CNEN); Instituto de Pesquisas Energeticas e Nucleares (IPEN)</t>
  </si>
  <si>
    <t>Catharino, M (corresponding author), IPEN CNEN SP, Av Prof Lineu Prestes,2242 Cidade Univ, BR-05508000 Sao Paulo, Brazil.</t>
  </si>
  <si>
    <t>mbvascon@ipen.br</t>
  </si>
  <si>
    <t>Catharino, Marilia/C-7330-2015; Pereira, Camilo/H-8352-2012; Moreira, Edson/B-3547-2013; Vasconcellos, Marina/E-8538-2014</t>
  </si>
  <si>
    <t>Pereira, Camilo/0000-0001-8357-8112; Goncalves Moreira, Edson/0000-0002-7186-2025</t>
  </si>
  <si>
    <t>10.1007/s10967-008-1003-1</t>
  </si>
  <si>
    <t>377PG</t>
  </si>
  <si>
    <t>WOS:000261262500003</t>
  </si>
  <si>
    <t>Genta-Jouve, G; Cachet, N; Oberhänsli, F; Noyer, C; Teyssié, JL; Thomas, OP; Lacoue-Labarthe, T</t>
  </si>
  <si>
    <t>Genta-Jouve, Gregory; Cachet, Nadja; Oberhaensli, Francois; Noyer, Charlotte; Teyssie, Jean-Louis; Thomas, Olivier P.; Lacoue-Labarthe, Thomas</t>
  </si>
  <si>
    <t>Comparative bioaccumulation kinetics of trace elements in Mediterranean marine sponges</t>
  </si>
  <si>
    <t>Biomonitor; Demosponge; Metal; Radionuclide; Radiotracer; Uptake</t>
  </si>
  <si>
    <t>HEAVY-METALS; SEA-WATER; ACCUMULATION; CONTAMINATION; BIOMONITORS; CADMIUM; BIOKINETICS; OFFICINALIS; EVOLUTION; POLLUTION</t>
  </si>
  <si>
    <t>While marine organisms such as bivalves, seagrasses and macroalgae are commonly used as biomonitors for the environment pollution assessment, widely distributed sponges received little attention as potential helpful species for monitoring programmes. In this study, the trace element and radionuclide bioaccumulation and retention capacities of some marine sponges were estimated in a species-comparative study using radiotracers technique. Six Mediterranean species were exposed to background dissolved concentrations of Ag-110m, Am-241, Cd-109, Co-60. Cs-134, Mn-54, Se-75, Zn-65 allowing the assessment of the uptake and depuration kinetics for selected elements. Globally, massive demosponges Agelas oroides, Chondrosia reniformis and Ircinia variabilis displayed higher concentration factor (CF) than the erectile ones (Acanthella acuta, Cymbaxinella damicornis, Cymbaxinella verrucosa) at the end of exposure, suggesting that the morphology is a key factor in the metal bioaccumulation efficiency. Considering this observation, two exceptions were noted: (1) A. acuta reached the highest CF for Ag-110m and strongly retained the accumulated metal without significant Ag loss when placed in depuration conditions and (2) C. reniformis did not accumulate Se as much as A. oroides and I. variabilis. These results suggest that peculiar metal uptake properties in sponges could be driven by specific metabolites or contrasting biosilification processes between species, respectively. This study demonstrated that sponges could be considered as valuable candidate for biomonitoring metal contamination but also that there is a need to experimentally highlight metal-dependant characteristic among species. (C) 2012 Elsevier Ltd. All rights reserved.</t>
  </si>
  <si>
    <t>[Lacoue-Labarthe, Thomas] IAEA EL, Radioecol Lab, MC-98000 Monaco, Monaco; [Genta-Jouve, Gregory; Cachet, Nadja; Thomas, Olivier P.] Univ Nice Sophia Antipolis, Nice Inst Chem PCRE, CNRS, UMR 7272,Fac Sci, F-06108 Nice 02, France; [Noyer, Charlotte] CSIC, CEAB, Dept Marine Ecol, Blanes 17300, Girona, Spain</t>
  </si>
  <si>
    <t>Centre National de la Recherche Scientifique (CNRS); Universite Cote d'Azur; Consejo Superior de Investigaciones Cientificas (CSIC); CSIC - Centre d'Estudis Avancats de Blanes (CEAB)</t>
  </si>
  <si>
    <t>Lacoue-Labarthe, T (corresponding author), IAEA EL, Radioecol Lab, 4 Quai Antoine Ier, MC-98000 Monaco, Monaco.</t>
  </si>
  <si>
    <t>tlacouel@gmail.com</t>
  </si>
  <si>
    <t>Lacoue-Labarthe, Thomas/H-4963-2019; Genta-Jouve, Gregory/I-7680-2012; Genta-Jouve, Gregory/E-9896-2014</t>
  </si>
  <si>
    <t>THOMAS, Olivier/0000-0002-5708-1409; Lacoue-Labarthe, Thomas/0000-0002-4682-8730; Genta-Jouve, Gregory/0000-0002-9239-4371</t>
  </si>
  <si>
    <t>Government of Principality of Monaco; Conseil Regional Provence Alpes Cote d'Azur; French ANR [ANR-06-BDIV-001]; European Union through BIOCAPITAL UE Grant [MRTN-CT-2004-512301]</t>
  </si>
  <si>
    <t>Government of Principality of Monaco; Conseil Regional Provence Alpes Cote d'Azur(Region Provence-Alpes-Cote d'AzurRegion Auvergne-Rhone-Alpes); French ANR(Agence Nationale de la Recherche (ANR)); European Union through BIOCAPITAL UE Grant</t>
  </si>
  <si>
    <t>The International Atomic Energy Agency is grateful to the Government of the Principality of Monaco for the support provided to its Environment Laboratories. We thank the Conseil Regional Provence Alpes Cote d'Azur, the French ANR (www.ecimar.org, ANR-06-BDIV-001) and the European Union through the BIOCAPITAL UE Grant (MRTN-CT-2004-512301) for financial supports (G.G.J and C.N.). T. Perez (DIMAR, Marseille) is greatly acknowledged for his help in the sponge identification and fruitful discussions.</t>
  </si>
  <si>
    <t>10.1016/j.chemosphere.2012.04.052</t>
  </si>
  <si>
    <t>991DL</t>
  </si>
  <si>
    <t>WOS:000307681600020</t>
  </si>
  <si>
    <t>Okafor, EC; Opuene, K</t>
  </si>
  <si>
    <t>Okafor, E. C.; Opuene, K.</t>
  </si>
  <si>
    <t>Preliminary assessment of trace metals and polycyclic aromatic hydrocarbons in the sediments</t>
  </si>
  <si>
    <t>trace metals; polycyclic aromatic hydrocarbons; sediments; Taylor Creek</t>
  </si>
  <si>
    <t>HEAVY-METALS; PETROLEUM-HYDROCARBONS; BIOAVAILABILITY; MONTEVIDEO; EXPOSURE; URUGUAY; MUSSEL; ORIGIN; HARBOR; WATERS</t>
  </si>
  <si>
    <t>Total concentrations of Cd, Cr, Co, Fe, Pb, Ni, Mn and Zn were determined by atomic absorption spectrophotometry in the surface sediments of Taylor Creek, Southern Nigeria. The most concentrated trace metals, :ranging from 113.2 to 5160.7 mg/g-dry weights were Fe, Pb, Mn, Ni and Zn. There was no significant variation in sediment-associated metal levels (P&gt;0.05). The metal pollution index was highest at Agbia/Nedugo and is attributed to local contamination of the Creek. The concentrations of low molecular weight polycyclic aromatic hydrocarbons (PAHs) were also detected and quantified in the sediments by capillary gas chromatography equipped with a flame ionization detector. The concentration levels of 178.1-1266.3 mg/g-wet weights were high for the PAHs. The results indicate that the pollutants, which are bio-accumulatable, could contribute to inferior biodiversity, and shifts in community composition From sensitive to tolerant taxa.</t>
  </si>
  <si>
    <t>[Okafor, E. C.; Opuene, K.] Univ Nigeria, Dept Pure &amp; Ind Chem, Fac Phys Sci, Nsukka, Nigeria</t>
  </si>
  <si>
    <t>University of Nigeria</t>
  </si>
  <si>
    <t>Opuene, K (corresponding author), Univ Nigeria, Dept Pure &amp; Ind Chem, Fac Phys Sci, Nsukka, Nigeria.</t>
  </si>
  <si>
    <t>ecokafor12@yahoo.com; opuenekings@yahoo.com</t>
  </si>
  <si>
    <t>CTR ENVIRONMENT &amp; ENERGY RESEARCH &amp; STUDIES</t>
  </si>
  <si>
    <t>IAU, GRADUATE SCH ENVIRONMENT &amp; ENERGY, SCIENCE &amp; RESEARCH CAMPUS, PO BOX 14515-775, TEHRAN, 00000, IRAN</t>
  </si>
  <si>
    <t>10.1007/BF03326279</t>
  </si>
  <si>
    <t>284YG</t>
  </si>
  <si>
    <t>WOS:000254743700010</t>
  </si>
  <si>
    <t>Benedicto, J; Andral, B; Martínez-Gómez, C; Guitart, C; Deudero, S; Cento, A; Scarpato, A; Caixach, J; Benbrahim, S; Chouba, L; Boulahdid, M; Galgani, F</t>
  </si>
  <si>
    <t>Benedicto, Jose; Andral, Bruno; Martinez-Gomez, Concepcion; Guitart, Carlos; Deudero, Salud; Cento, Alessandro; Scarpato, Alfonso; Caixach, Josep; Benbrahim, Samir; Chouba, Lassaad; Boulahdid, Mostefa; Galgani, Francois</t>
  </si>
  <si>
    <t>A large scale survey of trace metal levels in coastal waters of the Western Mediterranean basin using caged mussels (Mytilus galloprovincialis)</t>
  </si>
  <si>
    <t>HEAVY-METALS; ENVIRONMENTAL-POLLUTION; TRANSPLANTED MUSSELS; BALEARIC-ISLANDS; BLUE MUSSELS; CONTAMINATION; BIOMARKERS; EDULIS; GULF; SEDIMENTS</t>
  </si>
  <si>
    <t>A large scale study of trace metal contamination (Hg, Cd, Pb and Ni) by means of caged mussels Mytilus galloprovincialis was undertaken along the coastal waters of the Western Mediterranean Sea within the context of the MYTILOS project. Individual mussels from an homogeneous population (shell size 50 +/- 5 mm) obtained from an aquaculture farm were consecutively caged and deployed at 123 sites located in the Alboran, North-Western, South-Western and Tyrrhenian sub-basins for 12 weeks (April-July) in 2004, 2005 and 2006. After cage recoveries, both the metal content in the whole mussel tissue and the allometric parameters were measured. Statistical analysis of the datasets showed significant differences in concentrations between sub-basins for some metals and mussel condition index (CI). Linear regression models coupled to the CI were revisited for the data adjustment of certain trace metals (Hg, Cd and Ni), and four level categories were statistically derived to facilitate interregional comparison. Seawater masses surrounding coastal areas impacted by run-off from land mineralised coasts and industrial activities displayed the highest concentration ranges (Hg: 0.15-0.31 mg kg(-1) dw; Cd: 1.97-2.11; Ni: 2.18-3.20 and Pb: 3.1-3.8), although the levels obtained in most of the sites fitted within moderate or low categories, and they could be considered as baseline concentrations. However, few sites considered little-influenced by human activities, at present, showed high concentrations of Cd, Ni and Pb, which constitute new areas of concern. Overall, the use of active biomonitoring (ABM) approach allowed to investigate trace metal contamination in order to support policy makers in establishing regional strategies (particularly, with regard to the European Marine Strategy Directive).</t>
  </si>
  <si>
    <t>[Benedicto, Jose; Martinez-Gomez, Concepcion; Guitart, Carlos; Deudero, Salud] Ctr Oceanog Murcia, IEO, Murcia 30740, Spain; [Andral, Bruno; Galgani, Francois] IFREMER, Lab Environm Resource Provence Azur Corse, F-83507 La Seyne Sur Mer, France; [Deudero, Salud] Lab Biol Marina, Palma de Mallorca 07122, Spain; [Deudero, Salud] GOI IMEDEA CSIC UIB, Palma de Mallorca 07122, Spain; [Cento, Alessandro] SS G Agnelli Angolo, I-95030 Catania, Sicilia, Italy; [Scarpato, Alfonso] ISPRA, I-00166 Rome, Italy; [Caixach, Josep] IDAEA CSIC, Barcelona 08034, Spain; [Benbrahim, Samir] INRH, Casablanca 04, Morocco; [Chouba, Lassaad] INSTM, Salammbo 2025, Tunisia; [Boulahdid, Mostefa] Inst Natl Sci Mer &amp; Amenagement Littoral ISMAL, Algiers 16320, Algeria</t>
  </si>
  <si>
    <t>Spanish Institute of Oceanography; Ifremer; Consejo Superior de Investigaciones Cientificas (CSIC); ATTITUS Educacao; Italian Institute for Environmental Protection &amp; Research (ISPRA); Consejo Superior de Investigaciones Cientificas (CSIC); CSIC - Centro de Investigacion y Desarrollo Pascual Vila (CID-CSIC); CSIC - Instituto de Diagnostico Ambiental y Estudios del Agua (IDAEA); Institut National des Sciences et Technologies de la Mer; Ecole Nationale Superieure des Sciences de la Mer et Amenagement du Littoral (ENSSMAL)</t>
  </si>
  <si>
    <t>Benedicto, J (corresponding author), Ctr Oceanog Murcia, IEO, C Varadero 1, Murcia 30740, Spain.</t>
  </si>
  <si>
    <t>jose.benedicto@mu.ieo.es; carlos.guitart@mu.ieo.es</t>
  </si>
  <si>
    <t>Martínez-Gómez, Concepción/HIK-2317-2022; Caixach, Josep/R-9568-2019; Lassaad Chouba, L/D-9407-2013; Deudero Company, Salud/I-1883-2015; Martinez-Gomez, Concepcion/L-2591-2017; galgani, francois/A-1973-2011</t>
  </si>
  <si>
    <t>Deudero Company, Salud/0000-0001-5584-2801; Caixach, Josep/0000-0003-2326-9443; Martinez-Gomez, Concepcion/0000-0002-2833-1093; galgani, francois/0000-0001-8770-6054</t>
  </si>
  <si>
    <t>EEC; UNEP MEDPOL Program</t>
  </si>
  <si>
    <t>The authors wish to thank to Dr E. Lahdes (Finnish Institute of Marine Research), Dr A. D. Vethaak (Deltares/VU University Amsterdam) and Mariona De Torres (Catalan Water Agency, ACA), for their scientific advice. We also thank C. Tomasino, E. Emery, H. Gilles, and C. Ravel, from IFREMER, and J. Guerrero, from IEO, for their technical assistance. This research was supported by EEC (Interreg/MedoccIIIB/MYTI-LOS Project). INRH (Morocco), ESSMAL (Algeria) and INSTM (Tunisia) were supported by UNEP MEDPOL Program.</t>
  </si>
  <si>
    <t>10.1039/c0em00725k</t>
  </si>
  <si>
    <t>758LR</t>
  </si>
  <si>
    <t>WOS:000290166800041</t>
  </si>
  <si>
    <t>Bonnail, E; Sarmiento, AM; DelValls, TA; Nieto, JM; Riba, I</t>
  </si>
  <si>
    <t>Bonnail, E.; Sarmiento, A. M.; DelValls, T. A.; Nieto, J. M.; Riba, I.</t>
  </si>
  <si>
    <t>Assessment of metal contamination, bioavailability, toxicity and bioaccumulation in extreme metallic environments (Iberian Pyrite Belt) using Corbicula fluminea</t>
  </si>
  <si>
    <t>Corbicula fluminea; Acid mine drainage; Iberian Pyrite Belt; Metal(oid) biomonitoring; Trace metal pollution; Toxic characterization</t>
  </si>
  <si>
    <t>ACID-MINE DRAINAGE; AZNALCOLLAR MINING SPILL; WATER BIVALVE CORBICULA; SW SPAIN; HEAVY-METALS; TRACE-METALS; ASIATIC CLAM; GUADALQUIVIR ESTUARY; LITTORAL ECOSYSTEMS; AQUATIC ORGANISMS</t>
  </si>
  <si>
    <t>The Iberian Pyrite Belt (SW Iberian Peninsula) has intense mining activity. Currently, its fluvial networks receive extremely acid lixiviate residue discharges that are rich in sulphates and metals in solution (acid mine drainage, AMD) from abandoned mines. In the current study, the sediment and water quality were analysed in three different areas of the Odiel River to assess the risk associated with the metal content and its speciation and bioavailability. Furthermore, sediment contact bioassays were performed using the freshwater clam Corbicula fluminea to determine its adequacy as a biomonitoring tool in relation to theoretical risk indexes and regulatory thresholds. Reburial activity and mortality were used as the toxic responses of clams when exposed to contaminated sediment. The results showed coherence between the water and sediment chemical contamination for most of the metals. The reburial activity was correlated with the metal toxicity, but no clam mortality was registered. The bioaccumulation of the studied metals in the clam did not have a significant correlation with the bioavailable fraction of the metal content in the environment, which could be related to a potential different speciation in this singular environment. The bioaccumulation responses were negative for As, Cd and Zn in highly contaminated environments and were characterized as severe, considerable and low potential environmental risks, respectively. The results show that C. fluminea is a good biomonitor of Cu and Pb. (C) 2015 Elsevier B.V. All rights reserved.</t>
  </si>
  <si>
    <t>[Bonnail, E.; DelValls, T. A.; Riba, I.] Univ Cadiz, Fac Marine &amp; Environm Sci, Dept Phys Chem, UNESCO UNITWIN WiCop, Campus Rio San Pedro, Cadiz 11510, Spain; [Sarmiento, A. M.] Univ Huelva, Fac Expt Sci, Dept Geodynam &amp; Palaeontol, Campus El Carmen, Huelva 21071, Spain; [Nieto, J. M.] Univ Huelva, Fac Expt Sci, Dept Geol, Campus El Carmen, Huelva 21071, Spain</t>
  </si>
  <si>
    <t>Universidad de Cadiz; Universidad de Huelva; Universidad de Huelva</t>
  </si>
  <si>
    <t>Bonnail, E (corresponding author), Univ Cadiz, Fac Marine &amp; Environm Sci, Dept Phys Chem, UNESCO UNITWIN WiCop, Campus Rio San Pedro, Cadiz 11510, Spain.</t>
  </si>
  <si>
    <t>estefania.bonnail@uca.es</t>
  </si>
  <si>
    <t>Del Valls, T./K-9664-2014; Miguel Sarmiento, Aguasanta/K-1168-2014; Bonnail, Estefania/J-1823-2015; Nieto, Jose Miguel/K-1935-2014</t>
  </si>
  <si>
    <t>Miguel Sarmiento, Aguasanta/0000-0002-8496-3124; Bonnail, Estefania/0000-0003-3190-921X; Nieto, Jose Miguel/0000-0002-0086-252X</t>
  </si>
  <si>
    <t>Bank Santander/UNESCO Chair UNITWIN/WiCop; Erasmus Mundus Programme [SGA 2012-1701/001-001-EMJD]; Programa de Fortalecimiento de las Capacidades en I + D + I of the University of Huelva</t>
  </si>
  <si>
    <t>Bank Santander/UNESCO Chair UNITWIN/WiCop; Erasmus Mundus Programme; Programa de Fortalecimiento de las Capacidades en I + D + I of the University of Huelva</t>
  </si>
  <si>
    <t>The authors are grateful to the International Grant from Bank Santander/UNESCO Chair UNITWIN/WiCop. The first author thanks the Erasmus Mundus Programme for the MACOMA Doctoral funding contract (SGA 2012-1701/001-001-EMJD) and to the Servicio de A. Forestales y Agronomicas (Condeferacion Hidrografica del Guadiana) for valuable help during organisms sampling. A.M.S. was financially supported by the postdoctoral position within the Programa de Fortalecimiento de las Capacidades en I + D + I of the University of Huelva. Authors thank the American Journal Experts for their revision of the English grammar and style. We also thank the reviewers for their valuable comments.</t>
  </si>
  <si>
    <t>10.1016/j.scitotenv.2015.11.131</t>
  </si>
  <si>
    <t>WOS:000369491500109</t>
  </si>
  <si>
    <t>Guan, XF; Tang, Y; Zha, SJ; Han, Y; Shi, W; Ren, P; Yan, MC; Pan, QC; Hu, Y; Fang, J; Zhang, JM; Liu, GX</t>
  </si>
  <si>
    <t>Guan, Xiaofan; Tang, Yu; Zha, Shanjie; Han, Yu; Shi, Wei; Ren, Peng; Yan, Maocang; Pan, Qicun; Hu, Yuan; Fang, Jun; Zhang, Jiongming; Liu, Guangxu</t>
  </si>
  <si>
    <t>Exogenous Ca2+ mitigates the toxic effects of TiO2 nanoparticles on phagocytosis, cell viability, and apoptosis in haemocytes of a marine bivalve mollusk, Tegillarca granosa</t>
  </si>
  <si>
    <t>Nanoparticle; Titanium dioxide; Phagocytosis; Blood clam; Calcium</t>
  </si>
  <si>
    <t>OCEAN ACIDIFICATION; BLOOD CLAM; ENGINEERED NANOPARTICLES; IMMUNE-RESPONSES; GENE-EXPRESSION; CALCIUM; MECHANISM; EXPOSURE; PROTEIN; CD2+</t>
  </si>
  <si>
    <t>Phagocytosis suppression induced by nanoparticles (NPs) exposure is increasingly reported in marine species. However, the mechanisms underlying this impact remain poorly understood. In order to improve our present understanding of the immunotoxicity of NPs, acute (96 h) TiO2 NP exposure and rescue trials via exogenous supply of Ca2+ were performed in the blood clam, Tegillarca granosa. The results show that the phagocytosis rate, cell viability, and intracellular Ca2+ concentration of haemocytes were significantly suppressed, whereas the intracellular ROS concentration of haemocytes significantly increased upon nTiO(2) exposure. Exposure to nTiO(2) also led to the significant downregulation of Caspase-3, Caspase-6, apoptosis regulator Bcl-2, Bcl-2-associated X, calmodulin kinase II, and calmodulin kinase kinase II. Furthermore, the toxic impacts of nTiO(2) were partially mitigated by the addition of exogenous Ca2+, as indicated by the recovery tendency in almost all the measured parameters. The present study indicates that Ca2+ signaling could be one of the key pathways through which nTiO(2) attacks phagocytosis. (C) 2019 Elsevier Ltd. All rights reserved.</t>
  </si>
  <si>
    <t>[Guan, Xiaofan; Tang, Yu; Zha, Shanjie; Han, Yu; Shi, Wei; Liu, Guangxu] Zhejiang Univ, Coll Anim Sci, Hangzhou 310058, Zhejiang, Peoples R China; [Ren, Peng; Yan, Maocang; Pan, Qicun; Hu, Yuan; Fang, Jun; Zhang, Jiongming] Mariculture Res Inst Zhejiang Prov, Wenzhou 325005, Peoples R China</t>
  </si>
  <si>
    <t>Liu, GX (corresponding author), Zhejiang Univ, Coll Anim Sci, Hangzhou 310058, Zhejiang, Peoples R China.</t>
  </si>
  <si>
    <t>Shi, Wei/P-2846-2019; Yan, MC/JAC-0877-2023; fang, jun/KAM-4441-2024</t>
  </si>
  <si>
    <t>National Key R&amp;D Program of China [2018YFD0900603]; National Natural Science Foundation of China [31672634]</t>
  </si>
  <si>
    <t>National Key R&amp;D Program of China; National Natural Science Foundation of China(National Natural Science Foundation of China (NSFC))</t>
  </si>
  <si>
    <t>This work was funded by National Key R&amp;D Program of China (NO. 2018YFD0900603) and National Natural Science Foundation of China (No. 31672634).</t>
  </si>
  <si>
    <t>10.1016/j.envpol.2019.06.053</t>
  </si>
  <si>
    <t>IU2JF</t>
  </si>
  <si>
    <t>WOS:000483405400087</t>
  </si>
  <si>
    <t>Valbonesi, P; Sartor, G; Fabbri, E</t>
  </si>
  <si>
    <t>Characterization of cholinesterase activity in three bivalves inhabiting the North Adriatic sea and their possible use as sentinel organisms for biosurveillance programmes</t>
  </si>
  <si>
    <t>acetylcholinesterase; Ostrea edulis; Tapes philippinarum; Mytilus galloprovincialis; pesticides; biomarker</t>
  </si>
  <si>
    <t>OYSTER CRASSOSTREA-GIGAS; MYTILUS-GALLOPROVINCIALIS; ACETYLCHOLINESTERASE ACTIVITY; HEAVY-METALS; INHIBITION; POLLUTION; ORGANOPHOSPHATE; BIOMARKER; WATER; METALLOTHIONEIN</t>
  </si>
  <si>
    <t>Anticholinesterases constitute a major portion of modern synthetic insecticides and the assessment of cholinesterase (ChE) inhibition is widely used as a specific biomarker for evaluating the exposure of non-target organisms to these pollutants. To evaluate the possible exposure of the North Adriatic sea coastal environment to residues of agriculture practices, we ascertained whether the oyster, Ostrea edulis and the clam, Tapes philippinarum, highly valuable resources commercially harvested in the area, could be selected as sentinel species. We characterized the ChE biochemical properties in their gills, and for comparison the analysis was carried out also in gills of the mussel, Mytilus galloprovincialis, extensively used as a biological indicator of water quality. In the oysters and mussels, the ChE activity was a function of increasing concentrations of substrate in the range 0.01-0.5 mM. K-m values were 93 +/- 15 and 77 +/- 8 muM for O. edulis and M. galloprovincialis, respectively No detectable ChE activity was found in gills of T philippinarum, at any tested condition. Significant inhibition of ChE activity by eserine, carbaryl, and ethyl-paraoxon was observed in gills of O. edulis and M. galloprovincialis. Although field validation is needed, the present study suggests that O. edulis may be employed as a biological indicator for assessing pesticide contamination, whilst T philippinarum does not seem useful for this purpose. (C) 2003 Elsevier Science B.V. All rights reserved.</t>
  </si>
  <si>
    <t>Univ Bologna, Interdepartmental Ctr Environm Sci Res, I-48100 Ravenna, Italy</t>
  </si>
  <si>
    <t>Univ Bologna, Interdepartmental Ctr Environm Sci Res, Via Tombesi Ova 55, I-48100 Ravenna, Italy.</t>
  </si>
  <si>
    <t>e.fabbri@ambra.unibo.it</t>
  </si>
  <si>
    <t>10.1016/S0048-9697(03)00227-4</t>
  </si>
  <si>
    <t>708TH</t>
  </si>
  <si>
    <t>WOS:000184585100009</t>
  </si>
  <si>
    <t>Morillo, J; Usero, J; Gracia, I</t>
  </si>
  <si>
    <t>Biomonitoring of trace metals in a mine-polluted estuarine system (Spain)</t>
  </si>
  <si>
    <t>biomonitoring; metal pollution; barnacles; Balanus balanoides; Huelva estuary; Tinto river; Odiel river</t>
  </si>
  <si>
    <t>KONG COASTAL WATERS; HONG-KONG; TETRACLITA-SQUAMOSA; HEAVY-METALS; BARNACLES; MUSSELS; ENVIRONMENT; CALIFORNIA; ORGANISMS; BEHAVIOR</t>
  </si>
  <si>
    <t>In this paper, we examine metal concentrations in the water and in the crustacean Balanus balanoides from the Huelva estuary, one of the most polluted estuaries in Europe. Metal levels in waters are very high, especially those of Zn, Fe and Cu. Zn presents the highest concentrations, with a mean value of 690 mu g l(-1) in 2001 and 301 mu g l(-1) in 2002. As the water flows down through the estuary toward the sea, the metal concentrations drop sharply and the pH rises. The metal concentrations in balanoides tissues are, in general, very high, undoubtedly due to the high metal pollution of the water where it lives. Metal concentrations in Balanus balanoides tissues behave similarly to those in the water, reaching maximums in the upper part of the estuary and diminishing as we approach the sea. The element that reaches the highest levels in Balanus balanoides is Zn, with a mean value of 54.6 g kg(-1) in 2001 and 29.9 g kg(-1) in 2002, followed by Cu and Fe. There is a significant correlation (p &lt; 0.01) for concentrations of Cd, Cu, Fe, Mn, Ni and Zn in Balanus balanoides relative to their concentration in waters. Barnacles showed a great capacity to accumulate metals, especially Zn, Cu and Fe. Based on the results obtained, we can conclude that Balanus balanoides is a good tool for monitoring trace metals in the Huelva estuary. (c) 2004 Elsevier Ltd. All rights reserved.</t>
  </si>
  <si>
    <t>Univ Seville, Dept Environm Chem &amp; Engn, Seville 41092, Spain</t>
  </si>
  <si>
    <t>Morillo, J (corresponding author), Univ Seville, Dept Environm Chem &amp; Engn, Camino Descubrimientos S-N, Seville 41092, Spain.</t>
  </si>
  <si>
    <t>10.1016/j.chemosphere.2004.09.093</t>
  </si>
  <si>
    <t>905SE</t>
  </si>
  <si>
    <t>WOS:000227589200014</t>
  </si>
  <si>
    <t>Lin, HR; Hou, QY; Sun, XH; Hu, GR; Yu, RL</t>
  </si>
  <si>
    <t>Lin, Huirong; Hou, Quanyang; Sun, Xiaohui; Hu, Gongren; Yu, Ruilian</t>
  </si>
  <si>
    <t>Oyster shell for drinking water filtration compared with granular activated carbon: advantages and limitations</t>
  </si>
  <si>
    <t>Antibiotic resistance genes; Drinking water treatment; Filter; Granular activated carbon; Oyster shell</t>
  </si>
  <si>
    <t>ANTIBIOTIC-RESISTANCE GENES; MICROBIAL COMMUNITY; TREATMENT PLANTS; ORGANIC-MATTER; PERFORMANCE; REMOVAL; SUBSTRATE; FILTERS; ENVIRONMENT; AMMONIUM</t>
  </si>
  <si>
    <t>Deliberate media selection can be conducted to achieve targeted objective in filters. In this study, three biofilters (BFs) packed with calcinated oyster shell (COS), granular activated carbon (GAC), and COS + GAC (Mix) were set up in parallel following a rough filter packed with natural oyster shell to compare the performance for treating micro-polluted source water. Different media showed selective removal effects for different pollutants. GAC outperformed COS in terms of TOC and UV254. COS achieved higher reduction in turbidity than GAC. Due to the removal of total bacteria, the absolute and relative abundance of antibiotic resistance genes (ARGs) both decreased much in rough filter treated water (1.16 x 1014 to 1.40 x 1013 copies L-1 and 81.6 to 36.9%, respectively). The highest diverse and rich bacterial community was found in the biofilms on the COS filler, so microbial leakage gave rise to high bacterial content, leading to the highest absolute abundance of ARGs in COS BF effluent (2.11 x 1013 copies L-1). The highest relative abundance of ARGs (41.2%) was found in GAC BF effluent. SourceTracker and biomarker analysis both suggested that treatment process played a more important role in shaping the bacterial community structure in Mix BF effluent than single media BFs, which contributed to the lowest absolute (8.69 x 1012 copies L-1) and relative abundance (25.2%) of ARGs in Mix BF effluent among the three BFs. Our results suggested that mix COS + GAC can not only give full play to their respective advantages for traditional pollutants, but also achieve highest reduction in ARGs.</t>
  </si>
  <si>
    <t>[Lin, Huirong; Hou, Quanyang; Sun, Xiaohui; Hu, Gongren; Yu, Ruilian] Huaqiao Univ, Coll Chem Engn, Xiamen 361021, Peoples R China; [Lin, Huirong; Hou, Quanyang; Hu, Gongren; Yu, Ruilian] Huaqiao Univ, Inst Environm &amp; Ecol Engn, Xiamen 361021, Peoples R China</t>
  </si>
  <si>
    <t>Huaqiao University; Huaqiao University</t>
  </si>
  <si>
    <t>Yu, RL (corresponding author), Huaqiao Univ, Coll Chem Engn, Xiamen 361021, Peoples R China.;Yu, RL (corresponding author), Huaqiao Univ, Inst Environm &amp; Ecol Engn, Xiamen 361021, Peoples R China.</t>
  </si>
  <si>
    <t>ruiliany@hqu.edu.cn</t>
  </si>
  <si>
    <t>the STS Program of Fujian Science and Technology Project</t>
  </si>
  <si>
    <t>We thank the staff of Instrumental Analysis Center of Huaqiao University for help.</t>
  </si>
  <si>
    <t>10.1007/s11356-023-30781-5</t>
  </si>
  <si>
    <t>EY9P7</t>
  </si>
  <si>
    <t>WOS:001142618000031</t>
  </si>
  <si>
    <t>Le Bris, H; Pouliquen, H</t>
  </si>
  <si>
    <t>Experimental study on the bioaccumulation of oxytetracycline and oxolinic acid by the blue mussel (Mytilus edulis).: An evaluation of its ability to bio-monitor antibiotics in the marine environment</t>
  </si>
  <si>
    <t>Mytilus edulis; blue mussel; antibiotics; seawater; bioaccumulation; biomonitoring</t>
  </si>
  <si>
    <t>PERFORMANCE LIQUID-CHROMATOGRAPHY; OYSTER CRASSOSTREA-GIGAS; SOFT-TISSUE; FISH FARM; SEAWATER; WATER; SHELL; PHARMACOKINETICS; DECONTAMINATION; ACCUMULATION</t>
  </si>
  <si>
    <t>The ability of blue mussel (Mytilus edulis) to act as a potential antibiotic bioindicator in marine waters was experimentally tested by the study of the kinetics of two veterinary antibiotics (oxolinic acid: OA and oxytetracycline: OTC). Antibiotic uptake was fast in the soft parts of the mussels. OA was quickly eliminated while OTC was released more slowly (half-life in viscera=3.9 days). OA and OTC were preferentially accumulated in gills and in viscera, respectively. Bio-accumulation factors were low (maximum: 2 for OTC in viscera) in accordance with the low K(ow)s. It was assumed that the higher OTC bioaccumulation pattern was related to its binding to mineral and organic compounds that led to its activity inhibition (62%). The antibiotics were persistent in shells (OTC half-life=8.3 days). Most veterinary and human antibiotics such as tetracyclines and sulphonamides have low logK(ow) (&lt;2) and should weakly accumulate in mussel. This might limit the use of blue mussel to bio-monitor antibiotics in the marine environment. (C) 2003 Elsevier Ltd. All rights reserved.</t>
  </si>
  <si>
    <t>Ecole Natl Vet Nantes, UMR INRA ENVN Chimiotherapie Aquacole &amp; Environm, F-44307 Nantes 03, France</t>
  </si>
  <si>
    <t>Ecole Nationale Veterinaire, Agroalimentaire et de l'Alimentation Nantes-Atlantique; INRAE</t>
  </si>
  <si>
    <t>Ecole Natl Vet Nantes, UMR INRA ENVN Chimiotherapie Aquacole &amp; Environm, BP 40706 Atlanpole, F-44307 Nantes 03, France.</t>
  </si>
  <si>
    <t>lebris@vet-nantes.fr</t>
  </si>
  <si>
    <t>10.1016/j.marpolbul.2003.08.018</t>
  </si>
  <si>
    <t>WOS:000220131500017</t>
  </si>
  <si>
    <t>Xu, MX; Zhang, YY; Cao, S; Li, YY; Wang, JY; Dong, HH; Wang, Y</t>
  </si>
  <si>
    <t>Xu, Mengxue; Zhang, Yaya; Cao, Sai; Li, Yuanyuan; Wang, Jiayi; Dong, Huihui; Wang, You</t>
  </si>
  <si>
    <t>A simulated toxic assessment of cesium on the blue mussel Mytilus edulis provides evidence for the potential impacts of nuclear wastewater discharge on marine ecosystems</t>
  </si>
  <si>
    <t>Stable cesium(Cs-133); Radiocesium; Nuclear wastewater; Marine ecosystems; Mytilus edulis</t>
  </si>
  <si>
    <t>EXTERNAL GAMMA-IRRADIATION; BIOACCUMULATION; HEMOCYTES; EXPOSURE; GALLOPROVINCIALIS; TRANSLOCATION; TEMPERATURE; METABOLISM; STRESS; OYSTER</t>
  </si>
  <si>
    <t>The toxic effects of cesium (Cs) on the blue mussel Mytilus edulis were experimentally investigated to assess the potential environmental consequences of the discharge of nuclear wastewater containing radionuclides. A simulated experimental system of stable cesium (Cs-133) was set up to mimic the impacts of radiocesium, and its heavy metal property was emphasized. The mussels were exposed to a concentration gradient of Cs-133 for 21 days, followed by another 21-day elimination period. Cs-133 exposure resulted in effective bioaccumulation with distinct features of concentration dependence and tissue specificity, and hemolymph, gills and digestive glands were recognized as the most target tissues for accumulation. Although the elimination period was helpful in reducing the accumulated Cs-133, the remaining concentrations of tissues were still significant. Cs-133 exposure presented little effect on growth status at the individual level but had distinct interference on feeding and metabolism indicated by the oxygen consumption rate, ammonia-N excretion rate and O:N ratio, simultaneously with the impairment of digestive glands. Regarding hemocytes in the hemolymph, the cell mortality increment, micronucleus promotion, lysosomal membrane stability disruption and phagocytic ability inhibition suggested that the immune function was injured. The cooccurrence of reactive oxygen species overproduction had a close relationship with the observed damages and was thought to be the possible explanation for the immune toxicity. The assay based integrated biomarker response (IBR) presented a good linear relation with the exposure con-centrations, suggesting that it was a promising method for assessing the risk of Cs-133. The results indicated that Cs-133 exposure damaged M. edulis at the tissue and cell before at the macroscopic individual, evidencing the potentially detrimental impacts of nuclear wastewater discharge on marine ecosystems.</t>
  </si>
  <si>
    <t>[Xu, Mengxue; Zhang, Yaya; Cao, Sai; Li, Yuanyuan; Wang, Jiayi; Dong, Huihui; Wang, You] Ocean Univ China, Coll Marine Life Sci, Dept Marine Ecol, Qingdao 266003, Peoples R China; [Wang, You] Pilot Natl Lab Marine Sci &amp; Technol Qingdao, Lab Marine Ecol &amp; Environm Sci, Qingdao 266071, Peoples R China; [Wang, You] Ocean Univ China, 5 Yu Shan Rd, Qingdao, Peoples R China</t>
  </si>
  <si>
    <t>Ocean University of China; Laoshan Laboratory; Ocean University of China</t>
  </si>
  <si>
    <t>Wang, Y (corresponding author), Ocean Univ China, 5 Yu Shan Rd, Qingdao, Peoples R China.</t>
  </si>
  <si>
    <t>xumengxue2013@163.com; zhangyaya5321@163.com; caosai@stu.ouc.edu.cn; liyuanyuan1004@stu.ouc.edu.cn; wangjiayi@ouc.edu.cn; dgjyeah@163.com; wangyou@ouc.edu.cn</t>
  </si>
  <si>
    <t>dong, hui/JDN-2423-2023</t>
  </si>
  <si>
    <t>Pilot National Laboratory for Marine Science and Technology (QNLM) Fourteen Five major project [2021QNLM040001]; Natural Science Foundation of China [42106139]; Zhejiang Environmental Protection Scientific Research Plan Project [2019A003]</t>
  </si>
  <si>
    <t>Pilot National Laboratory for Marine Science and Technology (QNLM) Fourteen Five major project; Natural Science Foundation of China(National Natural Science Foundation of China (NSFC)); Zhejiang Environmental Protection Scientific Research Plan Project</t>
  </si>
  <si>
    <t>The work was financially supported by the Pilot National Laboratory for Marine Science and Technology (QNLM) Fourteen Five major project (2021QNLM040001), the Natural Science Foundation of China (42106139) and the Zhejiang Environmental Protection Scientific Research Plan Project (2019A003). The authors were thankful to all the members in the lab for their assistance.</t>
  </si>
  <si>
    <t>10.1016/j.envpol.2022.120458</t>
  </si>
  <si>
    <t>6C1JD</t>
  </si>
  <si>
    <t>WOS:000881777200005</t>
  </si>
  <si>
    <t>Magara, G; Khan, FR; Pinti, M; Syberg, K; Inzirillo, A; Elia, AC</t>
  </si>
  <si>
    <t>Magara, Gabriele; Khan, Farhan R.; Pinti, Marika; Syberg, Kristian; Inzirillo, Angelo; Elia, Antonia Concetta</t>
  </si>
  <si>
    <t>Effects of combined exposures of fluoranthene and polyethylene or polyhydroxybutyrate microplastics on oxidative stress biomarkers in the blue mussel (Mytilus edulis)</t>
  </si>
  <si>
    <t>Biodegradable polymer; biomarker profile; bioplastics; blue mussels; microplastic</t>
  </si>
  <si>
    <t>MARINE MUSSELS; SUBACUTE TOXICITY; GLUTATHIONE; RESPONSES; ANTIOXIDANT; ACTIVATION; URANIUM; TISSUE; RISK; ACID</t>
  </si>
  <si>
    <t>A growing interest in developing and commercialization of new eco-friendly plastic polymers is occurring attributed to the impact of marine plastics debris and microplastics that result from the degradation of oil-based polymers as these substances adversely affect ecosystem health. Recently, polyhydroxybutyrate (PHB) has become of interest due to its biodegradability and physicochemical properties. However, biological consequences resulting from bioplastics exposure remain to be determined. Further, few data are apparently available regarding the potential for bioplastics to act as a vector for exogenous chemicals in the environment. The aim of the study was to compare the effects of polyethylene (PE MPs) and polyhydroxybutyrate (PHB MPs) microplastics administered alone or in combination with fluoranthene (Flu) on detoxifying enzymes in digestive glands and gills of Mytilus edulis. Blue mussels were exposed for 96h to eight experimental groups: control, Flu-only, PE MPs-only, PHB MPs-only, PE MPs-Flu co-exposure, PHB MPs-Flu co-exposure, Flu-incubated PE MPs, and Flu-incubated PHB MPs. Activities of superoxide dismutase (SOD), catalase (CAT), glutathione peroxidases (GPx), glutathione S-transferase (GST), and glutathione reductase (GR) were found to be significantly susceptible to Flu and plastics in both tissues. Interestingly, a single exposure to PHB MPs led to decreased activity levels of CAT and GST in gills, SOD in digestive glands and SeGPx in both tissues. In co-exposure and incubation treatments, biochemical responses were generally comparable with those exerted by PE MPs or PHB MPs only, suggesting an apparent absence of combined effects of microplastics with the pollutant. Data demonstrated the ecotoxicological impact of bioplastics materials on digestive glands and gills of Mytilus edulis.</t>
  </si>
  <si>
    <t>[Magara, Gabriele; Pinti, Marika; Inzirillo, Angelo; Elia, Antonia Concetta] Univ Perugia, Dept Chem Biol &amp; Biotechnol, Perugia, Italy; [Khan, Farhan R.; Syberg, Kristian] Roskilde Univ, Dept Sci &amp; Environm, Roskilde, Denmark</t>
  </si>
  <si>
    <t>University of Perugia; Roskilde University</t>
  </si>
  <si>
    <t>Elia, AC (corresponding author), Univ Perugia, Dept Chem Biol &amp; Biotechnol, Perugia, Italy.;Khan, FR (corresponding author), Roskilde Univ, Dept Sci &amp; Environm, Roskilde, Denmark.</t>
  </si>
  <si>
    <t>frkhan@ruc.dk; antonia.elia@unipg.it</t>
  </si>
  <si>
    <t>Syberg, Kristian/HOA-9759-2023; Elia, Antonia Concetta/F-4646-2014; Khan, Farhan/J-4316-2016</t>
  </si>
  <si>
    <t>Elia, Antonia Concetta/0000-0002-7750-6339; Syberg, Kristian/0000-0001-5914-7427; Khan, Farhan/0000-0002-9251-2972</t>
  </si>
  <si>
    <t>LLP/Erasmus Placement program (2015/2016 Perugia, Italy)</t>
  </si>
  <si>
    <t>The visit of A. Inzirillo to Department of Science and Environment, Roskilde University, was funded by an LLP/Erasmus Placement program (2015/2016 Perugia, Italy). The Authors thank Prodotti Gianni S.R.L. (Milano, Italy) company kindly providing the PHB beads.</t>
  </si>
  <si>
    <t>10.1080/15287394.2019.1633451</t>
  </si>
  <si>
    <t>JUN 2019</t>
  </si>
  <si>
    <t>IM1BE</t>
  </si>
  <si>
    <t>WOS:000473054100001</t>
  </si>
  <si>
    <t>Beddaa, H; Ouazi, I; Ben Fraj, A; Lavergne, F; Torrenti, JM</t>
  </si>
  <si>
    <t>Beddaa, Hamza; Ouazi, Ilyass; Ben Fraj, Amor; Lavergne, Francis; Torrenti, Jean-Michel</t>
  </si>
  <si>
    <t>Reuse potential of dredged river sediments in concrete: Effect of sediment variability</t>
  </si>
  <si>
    <t>Sediment variability; Concrete; Hydration; Strength; Shrinkage</t>
  </si>
  <si>
    <t>PERSISTENT ORGANIC POLLUTANTS; DRYING SHRINKAGE; PAVING BLOCKS; SOIL STABILIZATION; PORTLAND-CEMENT; MARINE; DURABILITY; AGGREGATE; STRENGTH; BEHAVIOR</t>
  </si>
  <si>
    <t>Dredged river sediments may potentially be reused as aggregate in concrete production. The variability of dredged sediments has been quantified by measuring their concentrations of heavy metals, several distinct pollutants, specific granular fractions and organic content at various locations in the Seine River watershed over three years (2015-2017). It has been shown that the sediment deposit does not significantly change from one year to the next, while the organic content, which delays cement hydration, concentrates in the finest fraction removable by sieving. Moreover, 30% of sediment volume is mainly sand and readily reusable in the form of concrete aggregate. Various sediments have thus been sieved to coarse aggregates, sands and fines in order to formulate concretes. Substituting 30% of aggregate volume by the resulting coarse aggregates or sands, once depleted of silt and organic matter: marginally affects hydration, extends setting time to just under 3 h, decreases compressive strength by 10%, and increases shrinkage strain by 15%. In contrast, the finest part of the sediment significantly alters these properties, owing to its soluble organic matter and silt contents.</t>
  </si>
  <si>
    <t>[Beddaa, Hamza; Ouazi, Ilyass; Ben Fraj, Amor; Lavergne, Francis] Cerema, Project Team DIMA, 120 Rue Paris,BP 216 Sourdun, F-77487 Provins, France; [Beddaa, Hamza] Clamens, Rue Carrieres ZI SUD, F-77270 Villeparisis, France; [Beddaa, Hamza; Torrenti, Jean-Michel] Paris Est Univ, IFSTTAR, 14 Blvd Newton, F-77455 Champs Sur Marne, France</t>
  </si>
  <si>
    <t>Universite Gustave-Eiffel</t>
  </si>
  <si>
    <t>Ben Fraj, A (corresponding author), Cerema, Project Team DIMA, 120 Rue Paris,BP 216 Sourdun, F-77487 Provins, France.</t>
  </si>
  <si>
    <t>amor.ben-fraj@cerema.fr</t>
  </si>
  <si>
    <t>Torrenti, Jean/B-1080-2011; FRAJ, Amor/ABI-2332-2020</t>
  </si>
  <si>
    <t>lavergne, francis/0000-0001-6984-3784; BEN FRAJ, Amor/0000-0001-6436-3802</t>
  </si>
  <si>
    <t>Clamens organization; Cerema organization; Paris Region; France's Navigable Waterways Authority (VNF/DTBS)</t>
  </si>
  <si>
    <t>Clamens organization; Cerema organization; Paris Region(Region Ile-de-France); France's Navigable Waterways Authority (VNF/DTBS)</t>
  </si>
  <si>
    <t>The authors hereby gratefully acknowledge the financial support received from all SEDIFLUV project partners, the Paris Region, France's Navigable Waterways Authority (VNF/DTBS), and the Clamens and Cerema organizations.</t>
  </si>
  <si>
    <t>10.1016/j.jclepro.2020.121665</t>
  </si>
  <si>
    <t>LY0MI</t>
  </si>
  <si>
    <t>WOS:000540217900002</t>
  </si>
  <si>
    <t>Schuster, R; Strehse, JS; Ahvo, A; Turja, R; Maser, E; Bickmeyer, U; Lehtonen, KK; Brenner, M</t>
  </si>
  <si>
    <t>Schuster, Romina; Strehse, Jennifer S.; Ahvo, Aino; Turja, Raisa; Maser, Edmund; Bickmeyer, Ulf; Lehtonen, Kari K.; Brenner, Matthias</t>
  </si>
  <si>
    <t>Exposure to dissolved TNT causes multilevel biological effects in Baltic mussels (Mytilus spp.)</t>
  </si>
  <si>
    <t>Baltic sea; Bioaccumulation; Biological effects; Biomarkers; Mytilus spp; TNT; Toxicity</t>
  </si>
  <si>
    <t>EXPLOSIVE COMPOUNDS; MARINE MUSSEL; 2,4,6-TRINITROTOLUENE; TRINITROTOLUENE; POLLUTION; TOXICITY; BIOACCUMULATION; ACCUMULATION; METABOLITES; AMMUNITION</t>
  </si>
  <si>
    <t>Baltic mussels (Mytilus spp.) were exposed to the explosive trinitrotoluene (TNT) for 96 h (0.31-10.0 mg/L) and 21 d (0.31-2.5 mg/L). Bioaccumulation of TNT and its degradation products (2- and 4-ADNT) as well as biological effects ranging from the gene and cellular levels to behaviour were investigated. Although no mortality occurred in the concentration range tested, uptake and metabolism of TNT and responses in antioxidant enzymes and histochemical biomarkers were observed already at the lowest concentrations. The characteristic shell closure behaviour of bivalves at trigger concentrations led to complex exposure patterns and non-linear responses to the exposure concentrations. Conclusively, exposure to TNT exerts biomarker reponses in mussels already at 0.31 mg/L while effects are recorded also after a prolonged exposure although no mortality occurs. Finally, more attention should be paid on shell closure of bivalves in exposure studies since it plays a marked role in definining toxicity threshold levels.</t>
  </si>
  <si>
    <t>[Schuster, Romina; Bickmeyer, Ulf; Brenner, Matthias] Helmholtz Ctr Polar &amp; Marine Res, Alfred Wegener Inst, Handelshafen 12, D-27570 Bremerhaven, Germany; [Strehse, Jennifer S.; Maser, Edmund] Univ Med Sch, Inst Toxicol &amp; Pharmacol Nat Scientists, Brunswiker Str 10, D-24105 Kiel, Germany; [Ahvo, Aino; Turja, Raisa; Lehtonen, Kari K.] Ctr Marine Res, Finnish Environm Inst, Agnes Sjobergin Katu 2, Helsinki 00790, Finland</t>
  </si>
  <si>
    <t>Helmholtz Association; Alfred Wegener Institute, Helmholtz Centre for Polar &amp; Marine Research; Finnish Environment Institute</t>
  </si>
  <si>
    <t>Brenner, M (corresponding author), Helmhotz Ctr Polar &amp; Marine Res AWI, Alfred Wegener Inst, Handelshafen 12, D-27570 Bremerhaven, Germany.</t>
  </si>
  <si>
    <t>Matthias.Brenner@awi.de</t>
  </si>
  <si>
    <t>Turja, Raisa/AAT-1959-2021; Maser, Edmund/B-1728-2010</t>
  </si>
  <si>
    <t>Bickmeyer, Ulf/0000-0002-5351-2902; Lehtonen, Kari Kullervo/0000-0002-7757-2336</t>
  </si>
  <si>
    <t>European Union Regional Development Fund</t>
  </si>
  <si>
    <t>European Union Regional Development Fund(European Union (EU))</t>
  </si>
  <si>
    <t>The studies presented in this paper have been partly financed by the European Union Regional Development Fund within the framework of the Baltic Sea Region Programme flagship project Decision Aid for Marine Munitions (DAIMON) . Furthermore, we are very thankful to Dr. Jodrn Reinhardt and his team from the German Federal Facility for the Removal and Remediation for Explosives and Chemical Warfare Agents (GEKA, Munster, Germany) for providing the dissolved TNT used for the exposure studies. In addition, we thank Nicole Stollberg for her editing efforts. Last but not least, we are thankful to the anonymous reviewers for providing us with valuable comments that helped us to improve the quality of the paper.</t>
  </si>
  <si>
    <t>10.1016/j.marenvres.2021.105264</t>
  </si>
  <si>
    <t>SE0WV</t>
  </si>
  <si>
    <t>WOS:000651797100001</t>
  </si>
  <si>
    <t>Scanes, E; Kutti, T; Fang, JKH; Johnston, EL; Ross, PM; Bannister, RJ</t>
  </si>
  <si>
    <t>Scanes, Elliot; Kutti, Tina; Fang, James K. H.; Johnston, Emma L.; Ross, Pauline M.; Bannister, Raymond J.</t>
  </si>
  <si>
    <t>The long-lived deep-sea bivalve Acesta excavata is sensitive to the dual stressors of sediment and warming</t>
  </si>
  <si>
    <t>TEMPERATURE-DEPENDENT BIOGEOGRAPHY; SUSPENSION-FEEDING BIVALVES; SPONGE GEODIA-BARRETTI; CORAL LOPHELIA-PERTUSA; MYTILUS-EDULIS; CLIMATE-CHANGE; ENVIRONMENTAL-ISSUES; LYSOSOMAL STABILITY; PARTICLE SELECTION; SUSPENDED SEDIMENT</t>
  </si>
  <si>
    <t>Human influence in the deep-sea is increasing as mining and drilling operations expand, and waters warm because of climate change. Here, we investigate how the long-lived deep-sea bivalve, Acesta excavata responds to sediment pollution and/or acute elevated temperatures. A. excavata were exposed to suspended sediment, acute warming, and a combination of the two treatments for 40 days. We measured O 2 consumption, NH 4 + release, Total Organic Carbon (TOC), and lysosomal membrane stability (LMS). We found suspended sediment and warming interacted to decrease O:N ratios, while sediment as a single stressor increased the release of TOC and warming increased NH 4 + release in A. excavata . Warming also increased levels of LMS. We found A. excavata used protein catabolism to meet elevated energetic demands indicating a low tolerance to stress. A. excavata has limited capacity for physiological responses to the stressors of warming and sediment which may lead to decreased fitness of A. excavata .</t>
  </si>
  <si>
    <t>[Scanes, Elliot; Johnston, Emma L.; Ross, Pauline M.] Univ Sydney, Sch Life &amp; Environm Sci, Camperdown, NSW 2006, Australia; [Scanes, Elliot] Univ Technol Sydney, Climate Change Cluster, Ultimo, NSW 2007, Australia; [Kutti, Tina; Bannister, Raymond J.] Inst Marine Res, POB 1870, N-5817 Bergen, Norway; [Fang, James K. H.] Hong Kong Polytech Univ, Dept Food Sci &amp; Nutr, Hung Hom, Hong Kong, Peoples R China; [Fang, James K. H.] Hong Kong Polytech Univ, Res Inst Future Food, Hung Hom, Hong Kong, Peoples R China; [Fang, James K. H.; Johnston, Emma L.] City Univ Hong Kong, State Key Lab Marine Pollut, Kowloon Tong, Hong Kong, Peoples R China; [Fang, James K. H.; Johnston, Emma L.] Univ New South Wales, Evolut &amp; Ecol Res Ctr, Sch Biol &amp; Environm Sci, Sydney, NSW 2052, Australia</t>
  </si>
  <si>
    <t>University of Sydney; University of Technology Sydney; Institute of Marine Research - Norway; Hong Kong Polytechnic University; Hong Kong Polytechnic University; City University of Hong Kong; University of New South Wales Sydney</t>
  </si>
  <si>
    <t>Scanes, E (corresponding author), Univ Sydney, Sch Life &amp; Environm Sci, Camperdown, NSW 2006, Australia.</t>
  </si>
  <si>
    <t>Elliot.scanes@uts.edu.au</t>
  </si>
  <si>
    <t>Johnston, Emma/B-7210-2009; Fang, James/H-2088-2017; Scanes, Elliot/W-1244-2018</t>
  </si>
  <si>
    <t>Scanes, Elliot/0000-0001-7520-3804</t>
  </si>
  <si>
    <t>Norwegian Research Council [225283]; FIMITA project of FRAM-High North Research Centre for Climate and Environment; Institute of Marine Research [14515]</t>
  </si>
  <si>
    <t>Norwegian Research Council(Research Council of Norway); FIMITA project of FRAM-High North Research Centre for Climate and Environment; Institute of Marine Research</t>
  </si>
  <si>
    <t>This project was partially financed through the Institute of Marine Research on project grant no. 14515 and the Norwegian Research Council on project grant no. 225283 awarded to RB, and the FIMITA project of FRAM-High North Research Centre for Climate and Environment awarded to TK.</t>
  </si>
  <si>
    <t>10.1016/j.marpolbul.2024.116323</t>
  </si>
  <si>
    <t>RJ7Y3</t>
  </si>
  <si>
    <t>WOS:001227374000001</t>
  </si>
  <si>
    <t>Cao, JZ; Ju, P; Chen, ZY; Dou, KP; Li, JX; Zhang, P; Zhu, ZH; Sun, CJ</t>
  </si>
  <si>
    <t>Cao, Jiazhen; Ju, Peng; Chen, Zheyang; Dou, Kunpeng; Li, Jingxi; Zhang, Peng; Zhu, Zuhao; Sun, Chengjun</t>
  </si>
  <si>
    <t>Trash to treasure: Green synthesis of novel Ag2O/Ag2CO3 Z-scheme heterojunctions with highly efficient photocatalytic activities derived from waste mussel shells</t>
  </si>
  <si>
    <t>Mussel shells; Ag2CO3; Z-scheme heterojunctions; Photocatalysis; Green synthesis</t>
  </si>
  <si>
    <t>PHASE-TRANSFORMATION SYNTHESIS; ONE-POT SYNTHESIS; FACILE SYNTHESIS; OXYGEN VACANCY; THERMAL-DECOMPOSITION; DEGRADATION; COMPOSITE; MECHANISM; WATER; PHOTODEGRADATION</t>
  </si>
  <si>
    <t>Shells, valuable renewable natural resources with particular mechanical properties and structures, are mostly abandoned as waste and accumulated in environment, leading to serious pollution and resource waste. To realize the high value reutilization and environmental protection, here, novel Ag-based photocatalysts were in-situ fabricated via a facile ball milling method using waste mussel shells as precursors for the first time. The composition, structure and photocatalytic activity of the obtained Ag-based photocatalysts can be regulated by the alkalinity of the reaction system caused by different treatments towards mussel shells. Among the obtained products, the Ag2O/Ag2CO3 Z-scheme heterojunctions with massive oxygen vacancies displayed the strongest visible-light photocatalytic ability and superior reusability in degrading sulfadiazine, which can be attributed to the wider light response region and faster separation of photoinduced charge carriers. Besides, the photocatalytic mechanism was speculated according to the tests of radicals trapping, electron spin resonance and simulation calculations, verifying the charge transfer direction and chief roles of center dot O-2(-) and h(+) during the photocatalytic reaction. Above all, this study not only provides a convenient in-situ solid-state strategy to construct novel Agbased photocatalysts with excellent photocatalytic activity, but also opens up a new perspective towards high value reutilization of waste shells in environmental remediation, One Stone Two Birds realizing the control of waste by waste and trash to treasure.</t>
  </si>
  <si>
    <t>[Cao, Jiazhen; Ju, Peng; Chen, Zheyang; Li, Jingxi; Zhang, Peng; Zhu, Zuhao; Sun, Chengjun] Minist Nat Resources, Key Lab Marine Ecoenvironm Sci &amp; Technol, Marine Bioresource &amp; Environm Res Ctr, Inst Oceanog 1, 6 Xianxialing Rd, Qingdao 266061, Peoples R China; [Ju, Peng; Zhu, Zuhao] Minist Nat Resources, Inst Oceanog 4, Guangxi Key Lab Beibu Gulf Marine Resources Enviro, Beihai 536000, Peoples R China; [Sun, Chengjun] Pilot Natl Lab Marine Sci &amp; Technol Qingdao, Lab Marine Drugs &amp; Bioprod, 1 Wenhai Rd, Qingdao 266237, Peoples R China; [Zhang, Peng] Chinese Acad Agr Sci, Tobacco Res Inst, Qingdao 266101, Peoples R China; [Dou, Kunpeng] Ocean Univ China, Coll Informat Sci &amp; Engn, Qingdao 266100, Peoples R China</t>
  </si>
  <si>
    <t>Ministry of Natural Resources of the People's Republic of China; First Institute of Oceanography, Ministry of Natural Resources; Ministry of Natural Resources of the People's Republic of China; Fourth Institute of Oceanography, Ministry of Natural Resources; Laoshan Laboratory; Chinese Academy of Agricultural Sciences; Tobacco Research Institute, CAAS; Ocean University of China</t>
  </si>
  <si>
    <t>Zhang, P; Zhu, ZH; Sun, CJ (corresponding author), Minist Nat Resources, Key Lab Marine Ecoenvironm Sci &amp; Technol, Marine Bioresource &amp; Environm Res Ctr, Inst Oceanog 1, 6 Xianxialing Rd, Qingdao 266061, Peoples R China.</t>
  </si>
  <si>
    <t>zhangpeng@caas.cn; zhuzuhao@4io.org.cn; csun@fio.org.cn</t>
  </si>
  <si>
    <t>Zhu, Zuhao/G-9674-2017; zhang, peng/KRQ-2784-2024; xin, liang/JFS-5770-2023; dou, kunpeng/A-9316-2017</t>
  </si>
  <si>
    <t>Basic Scientific Fund for National Public Research Institutes of China [2020S02, 2019Y03]; Open Fund of Guangxi Key Laboratory of Beibu Gulf Marine Resources, Environment and Sustainable Development [MRESD-2022-A03]; Guangxi NSF Youth Science Foundation [2019GXNSFBA185036]; National Natural Science Foundation of China [51702328]; Key Research and Development Program of Shandong Province (Major Scientific and Technological Innovation Project) [2019JZZY020711]</t>
  </si>
  <si>
    <t>Basic Scientific Fund for National Public Research Institutes of China; Open Fund of Guangxi Key Laboratory of Beibu Gulf Marine Resources, Environment and Sustainable Development; Guangxi NSF Youth Science Foundation; National Natural Science Foundation of China(National Natural Science Foundation of China (NSFC)); Key Research and Development Program of Shandong Province (Major Scientific and Technological Innovation Project)</t>
  </si>
  <si>
    <t>This work was supported by the Basic Scientific Fund for National Public Research Institutes of China (2020S02 and 2019Y03) , Open Fund of Guangxi Key Laboratory of Beibu Gulf Marine Resources, Environ- ment and Sustainable Development (MRESD-2022-A03) , Guangxi NSF Youth Science Foundation (2019GXNSFBA185036) , National Natural Science Foundation of China (51702328) , and the Key Research and Development Program of Shandong Province (Major Scientific and Technological Innovation Project) (2019JZZY020711) .</t>
  </si>
  <si>
    <t>10.1016/j.cej.2022.140259</t>
  </si>
  <si>
    <t>6Y6XB</t>
  </si>
  <si>
    <t>WOS:000897234600005</t>
  </si>
  <si>
    <t>BELIAEFF, B; COCHARD, ML</t>
  </si>
  <si>
    <t>APPLYING GEOSTATISTICS TO IDENTIFICATION OF SPATIAL PATTERNS OF FECAL CONTAMINATION IN A MUSSEL FARMING AREA (HAVRE DE LA VANLEE, FRANCE)</t>
  </si>
  <si>
    <t>BACTERIOLOGICAL MONITORING; FECAL COLIFORMS; MUSSEL BEDS; SYSTEMATIC SAMPLING; SPATIAL STRUCTURE; KRIGING; INTERPOLATION; MAPPING; SAMPLING OPTIMIZATION</t>
  </si>
  <si>
    <t>ECOSYSTEM THAU BASIN; BACTERIAL</t>
  </si>
  <si>
    <t>Microbiological quality of shellfish production areas along the French coast is assessed through quantification of fecal coliforms, commonly used as indicators of fecal pollution. Their concentration is measured in filter-feeding molluscs, presumed to integrate highly fluctuating quantities of these germs from the surrounding filtrated water. In the context of a bacteriological monitoring network, knowledge of contamination spatial structures may help for further optimal sampling designs. This study aims at applying geostatistical techniques to describe and characterize the spatial structure of the fecal contamination in mussels (Mytilus edulis) over a given production area (Havre de la Vanlee, France), located in macrotidal waters. In comparison with common interpolation methods, the kriging estimator, a basic tool in geostatistics, presents the major advantage of providing unbiased estimates with known and minimum variances. It thus appears to be the most powerful procedure to produce contour maps for the concentration estimates and their standard deviations. Differences in mean concentration between the two conducted surveys are compared with differences in concentration found in continental inputs. Although two surveys are not sufficient to assess accurately spatio-temporal variabilities, the use of kriging reveals high spatial heterogeneity, with different structures and meteorological conditions from one survey to the other. This leads to questioning the validity of a monitoring based on a few sampling stations over a large area sampled monthly to estimate a mean bacteriological level.</t>
  </si>
  <si>
    <t>IFREMER, F-44037 NANTES 01, FRANCE; IFREMER, F-29280 PLOUZANE, FRANCE</t>
  </si>
  <si>
    <t>10.1016/0043-1354(94)00294-H</t>
  </si>
  <si>
    <t>QW061</t>
  </si>
  <si>
    <t>WOS:A1995QW06100015</t>
  </si>
  <si>
    <t>Xu, P; Junaid, M; Liu, Y; Jiang, XL; Chen, YP; Bi, CQ; Wang, J; Xu, N</t>
  </si>
  <si>
    <t>Xu, Peng; Junaid, Muhammad; Liu, Yan; Jiang, Xilin; Chen, Yupeng; Bi, Chunqing; Wang, Jun; Xu, Nan</t>
  </si>
  <si>
    <t>Nanoplastics influence the perfluorooctane sulfonate (PFOS) mediated toxicity on marine mussel Perna viridis: Single and mixture exposure study</t>
  </si>
  <si>
    <t>GONDWANA RESEARCH</t>
  </si>
  <si>
    <t>PFOS; Polystyrene nanoplastics; Co-exposure; Oxidative stress; Gene expression; Perna viridis</t>
  </si>
  <si>
    <t>MESSENGER-RNA EXPRESSION; OXIDATIVE STRESS; MULTIXENOBIOTIC RESISTANCE; MICROPLASTIC EXPOSURE; CORBICULA-FLUMINEA; MOLECULAR-CLONING; FLAME RETARDANTS; HEAVY-METALS; RESPONSES; WATER</t>
  </si>
  <si>
    <t>Nanoplastics (NPs, &lt;1000 nm) may adsorb organic pollutants in the aquatic environment, thereby, influencing their bioavailability to organisms. This study aims to investigate the individual and combined toxicity of perfluorooctane sulfonate (PFOS) and virgin yellow-green fluorescent polystyrene NPs (200 nm) at sub-lethal doses on the marine mussel Perna viridis. Our results demonstrated that both PFOS single and PFOS-NP co-exposure at 1000 mu g/L significantly increased PFOS distribution in the gills, gonads, and visceral mass (p &lt; 0.05), compared to the control. Further, PFOS single and PFOS-NP co-exposures at 100 and 1000 mu g/L significantly increased the reactive oxygen species (ROS) levels in mussel tissues that consequently altered the responses of antioxidant entities including MDA, CAT, SOD, GR, and GST. The transcriptional profiling of oxidative stress-related genes (cyp4, hsp22, hsp60, gst-omega, and gst-pi), showed significantly downregulated expressions at the lowest level of co-exposure (PFOS 10 mu g/L) in all tissues, especially in gills, compared to the control group. Overall, the enhanced integrated biomarker response (EIBR) revealed PFOS-NP co-exposure at 1000 mu g/L, as the most stressful circumstance to induce mixture toxicity, at which more structural damage to the gills and gonads were observed than single PFOS/NPs exposure. In summary, the co-exposure significantly enhanced the PFOS bioaccumulation and ROS levels in mussel tissues, resulting in altered antioxidant and genetic responses, suggesting that NPs could affect the distribution of PFOS between P. viridis and seawater. Hence, further studies should be conducted to unveil the interactive toxic effects of NPs and PFOS on marine organisms.</t>
  </si>
  <si>
    <t>[Xu, Peng; Junaid, Muhammad; Liu, Yan; Jiang, Xilin; Chen, Yupeng; Bi, Chunqing; Xu, Nan] Peking Univ, Shenzhen Grad Sch, Sch Environm &amp; Energy, Key Lab Heavy Met Pollut Control &amp; Reutilizat, Shenzhen 518055, Peoples R China; [Junaid, Muhammad; Wang, Jun] China Agr Univ, Coll Marine Sci, Joint Lab Guangdong Prov &amp; Hong Kong Reg Marine S, Guangzhou 510642, Peoples R China</t>
  </si>
  <si>
    <t>Peking University; China Agricultural University</t>
  </si>
  <si>
    <t>Xu, N (corresponding author), Peking Univ, Shenzhen Grad Sch, Sch Environm &amp; Energy, Key Lab Heavy Met Pollut Control &amp; Reutilizat, Shenzhen 518055, Peoples R China.</t>
  </si>
  <si>
    <t>xunan@pkusz.edu.cn</t>
  </si>
  <si>
    <t>Jiang, Xilin/GLQ-7643-2022; Junaid, Muhammad/GNW-3090-2022; XU, nan/KDP-0628-2024</t>
  </si>
  <si>
    <t>Junaid, Muhammad/0000-0002-0675-5864</t>
  </si>
  <si>
    <t>National Natural Science of China [51879003, 21707003]</t>
  </si>
  <si>
    <t>National Natural Science of China(National Natural Science Foundation of China (NSFC))</t>
  </si>
  <si>
    <t>The present study was supported by the National Natural Science of China (51879003, 21707003).</t>
  </si>
  <si>
    <t>1342-937X</t>
  </si>
  <si>
    <t>1878-0571</t>
  </si>
  <si>
    <t>GONDWANA RES</t>
  </si>
  <si>
    <t>Gondwana Res.</t>
  </si>
  <si>
    <t>10.1016/j.gr.2021.12.001</t>
  </si>
  <si>
    <t>G1CI4</t>
  </si>
  <si>
    <t>WOS:000986616300001</t>
  </si>
  <si>
    <t>Calisi, A; Lionetto, MG; Caricato, R; Giordano, ME; Schettino, T</t>
  </si>
  <si>
    <t>Calisi, Antonio; Lionetto, Maria Giulia; Caricato, Roberto; Giordano, Maria Elena; Schettino, Trifone</t>
  </si>
  <si>
    <t>Morphometric alterations in Mytilus galloprovincialis granulocytes:: A new biomarker</t>
  </si>
  <si>
    <t>Mytilus galloprovincialis; biomarker; haemocyte; Mussel watch</t>
  </si>
  <si>
    <t>ENVIRONMENTAL-STRESS; MUSSEL-WATCH; HEMOCYTES; CADMIUM; METALS; COPPER; METALLOTHIONEIN; CYTOSKELETON; STABILITY; POLLUTION</t>
  </si>
  <si>
    <t>Bivalve molluscs, particularly marine mussels, are used widely as sentinel organisms in environmental quality monitoring and assessment. Biochemical and cellular responses to pollutant exposure (i.e., biomarkers) increasingly are investigated in mussel tissues and their measurements largely used in marine environmental monitoring. The aim of the present study was to investigate possible pollutant-induced morphometric alterations in Mytilus galloprovincialis granulocytes in view of future applications as a sensitive, simple, and quick biomarker for monitoring and assessment applications. Granulocyte morphometric alterations were determined by image analysis on Diff-Quick(R) stained cells. For the first time, the rapid alcohol-fixed Diff-Quick stain protocol, utilized in clinical and veterinary applications for immediate interpretation of histological samples, was shown to be suitable for rapid cytological staining of M. galloprovincialis haemocytes. The present study was carried out in standardized laboratory conditions and further validated in field conditions. Results show consistent pollutant-induced enlargement of mussel granulocytes. This was verified by standardized biomarkers such as metallothionein concentrations in the digestive gland or lysosomal membrane stability in laboratory and field exposures. Results further suggest that the observed morphometric alterations can be used as a biomarker of chemical stress. Because no single biomarker generally is adequate for describing the complexity of effects induced by environmental pollutants on the organisms, we propose that morphometric alterations of granulocytes should be used in a biomarker battery in marine environmental monitoring programs such as Mussel Watch.</t>
  </si>
  <si>
    <t>[Calisi, Antonio; Lionetto, Maria Giulia; Caricato, Roberto; Giordano, Maria Elena; Schettino, Trifone] Univ Lecce, Dipto Sci &amp; Tecnol Biol &amp; Ambientali, I-73100 Lecce, Italy</t>
  </si>
  <si>
    <t>Lionetto, MG (corresponding author), Univ Lecce, Dipto Sci &amp; Tecnol Biol &amp; Ambientali, Via Prov Lecce Monteroni, I-73100 Lecce, Italy.</t>
  </si>
  <si>
    <t>Giordano, Maria/AEH-2986-2022; calisi, antonio/AGQ-2382-2022; Lionetto, Maria Giulia/H-1356-2011</t>
  </si>
  <si>
    <t>caricato, roberto/0000-0002-7928-4573; calisi, antonio/0000-0002-8146-7280; schettino, trifone/0000-0002-4484-9677; Lionetto, Maria Giulia/0000-0003-3752-0192</t>
  </si>
  <si>
    <t>10.1897/07-396.1</t>
  </si>
  <si>
    <t>301OS</t>
  </si>
  <si>
    <t>WOS:000255906100025</t>
  </si>
  <si>
    <t>Rebelo, MD; do Amaral, MCR; Pfeiffer, WC</t>
  </si>
  <si>
    <t>High Zn and Cd accumulation in the oyster Crassostrea rhizophorae, and its relevance as a sentinel species</t>
  </si>
  <si>
    <t>TRACE-METALS; SEPETIBA BAY; SEDIMENTS; CADMIUM; COPPER; BRAZIL; ZINC</t>
  </si>
  <si>
    <t>Univ Fed Rio de Janeiro, CCS, Lab Radioisotopos Eduardo Penna Franca, Inst Biofis Carlos Chagas Filho, BR-21941900 Rio De Janeiro, RJ, Brazil</t>
  </si>
  <si>
    <t>Universidade Federal do Rio de Janeiro</t>
  </si>
  <si>
    <t>Univ Fed Rio de Janeiro, CCS, Lab Radioisotopos Eduardo Penna Franca, Inst Biofis Carlos Chagas Filho, Bl G, BR-21941900 Rio De Janeiro, RJ, Brazil.</t>
  </si>
  <si>
    <t>mrebelo@biof.ufrj.br</t>
  </si>
  <si>
    <t>de Freitas Rebelo, Mauro/G-9008-2011</t>
  </si>
  <si>
    <t>10.1016/S0025-326X(03)00244-3</t>
  </si>
  <si>
    <t>735HJ</t>
  </si>
  <si>
    <t>WOS:000186106900027</t>
  </si>
  <si>
    <t>Lu, WX; Guo, BY; Wang, XY; Xu, KD; Qi, PZ</t>
  </si>
  <si>
    <t>Lu, Weixiao; Guo, Baoying; Wang, Xiaoyan; Xu, Kaida; Qi, Pengzhi</t>
  </si>
  <si>
    <t>The receptor for activated C kinase 1 (RACK1) mediating immune response in thick shell mussel Mytilus coruscus</t>
  </si>
  <si>
    <t>DEVELOPMENTAL AND COMPARATIVE IMMUNOLOGY</t>
  </si>
  <si>
    <t>Mytilus coruscus; Receptor for activated C kinase 1; Innate immune response; Antioxidant system</t>
  </si>
  <si>
    <t>NF-KAPPA-B; ANCHORING PROTEIN; PKC-BETA; SCAFFOLD PROTEIN; GENE; EXPRESSION; INTERACTS; HOMOLOG; IDENTIFICATION; POLLUTION</t>
  </si>
  <si>
    <t>The receptor for activated C kinase 1 (RACK1) is a intracellular receptor for the protein kinase C family which mediates various biological processes. Here, a novel RACK1 gene termed Mc-RACK1 was identified from thick shell mussel, Mytilus coruscus. Mc-RACK1 shared typical RACK1 domains containing WD repeats, PKC phosphorylation sites, N-myristoylation sites, PKC activation sites, TK phosphorylation site and WD motifs. Mc-RACK1 was constitutively expressed in all examined tissues, and its expression in gills, haemocytes and digestive glands were significantly up-regulated upon LPS challenge. Mc-RACK1 showed a significantly down-regulated expression in gills and haemocytes at the early phase upon copper exposure. Mc-RACK1 in haemocytes was silenced after receiving its dsRNA, meanwhile, the increases of SOD and CAT activity were investigated. Further, Mc-RACK1 could activate the NF-icB and ISRE reporter in HEK-293T cells. These suggested that Mc-RACK1 had a deeper involvement in mollusc immunity, and played an important role in antioxidant system. (C) 2018 Elsevier Ltd. All rights reserved.</t>
  </si>
  <si>
    <t>[Lu, Weixiao; Guo, Baoying; Wang, Xiaoyan; Qi, Pengzhi] Zhejiang Ocean Univ, Marine Sci &amp; Technol Coll, Natl Engn Res Ctr Marine Facil Aquaculture, Zhoushan 316004, Peoples R China; [Xu, Kaida] Marine Fisheries Res Inst Zhejiang, Key Lab Sustainable Utilizat Technol Res, Zhoushan 316021, Peoples R China</t>
  </si>
  <si>
    <t>Qi, PZ (corresponding author), Zhejiang Ocean Univ, Marine Sci &amp; Technol Coll, Natl Engn Res Ctr Marine Facil Aquaculture, Zhoushan 316004, Peoples R China.</t>
  </si>
  <si>
    <t>wang, xiaoyan/ABE-3431-2021</t>
  </si>
  <si>
    <t>Zhejiang public welfare project [2017C32009]; Zhejiang Provincial Natural Science Foundation of China [LY17C190006]; NSFC-Zhejiang Joint Fund for the Integration of Industrialization and Informatization [U1609204]</t>
  </si>
  <si>
    <t>Zhejiang public welfare project; Zhejiang Provincial Natural Science Foundation of China(Natural Science Foundation of Zhejiang Province); NSFC-Zhejiang Joint Fund for the Integration of Industrialization and Informatization</t>
  </si>
  <si>
    <t>This research was supported by the Zhejiang public welfare project (No. 2017C32009), Zhejiang Provincial Natural Science Foundation of China (No. LY17C190006) and NSFC-Zhejiang Joint Fund for the Integration of Industrialization and Informatization (U1609204).</t>
  </si>
  <si>
    <t>0145-305X</t>
  </si>
  <si>
    <t>1879-0089</t>
  </si>
  <si>
    <t>DEV COMP IMMUNOL</t>
  </si>
  <si>
    <t>Dev. Comp. Immunol.</t>
  </si>
  <si>
    <t>10.1016/j.dci.2018.04.004</t>
  </si>
  <si>
    <t>Fisheries; Immunology; Veterinary Sciences; Zoology</t>
  </si>
  <si>
    <t>GG2GY</t>
  </si>
  <si>
    <t>WOS:000432509400008</t>
  </si>
  <si>
    <t>Grinchenko, A; Sokolnikova, Y; Tumas, A; Mokrina, M; Tsoy, E; Buriak, I; Kumeiko, V; Onishchenko, M</t>
  </si>
  <si>
    <t>Grinchenko, Andrei; Sokolnikova, Yulia; Tumas, Ayna; Mokrina, Mariia; Tsoy, Elizaveta; Buriak, Ivan; Kumeiko, Vadim; Onishchenko, Mariia</t>
  </si>
  <si>
    <t>Hemolymph Parameters Are a Useful Tool for Assessing Bivalve Health and Water Quality</t>
  </si>
  <si>
    <t>DIVERSITY-BASEL</t>
  </si>
  <si>
    <t>bivalves; hemolymph; immune; health; pollution; monitoring</t>
  </si>
  <si>
    <t>THE-GREAT BAY; MODIOLUS-KURILENSIS BERNARD; CELLULAR DEFENSE-MECHANISMS; MUSSELS MYTILUS-EDULIS; SPIRIT OIL-SPILL; HEMOCYTE PARAMETERS; CRASSOSTREA-GIGAS; IMMUNE FUNCTION; PACIFIC OYSTER; HEAVY-METALS</t>
  </si>
  <si>
    <t>Bivalves play a key role in aquatic ecosystems and are a valuable commercial resource. The prosperity of these aquatic organisms depends mainly on the effectiveness of their immune defense, in which the hemolymph plays a central role. Hemolymph may be used as an effective non-lethal criterion of health. However, the predictive value of hemolymph analysis depends on the comparison between the obtained results and reference data from healthy individuals living in natural aquatic environments. We collected hemolymph from 15 commercially important species from wild populations at stations located in non-impacted and impacted water areas of the Sea of Japan. Of the 11 hemolymph parameters we analyzed, the total hemocyte count, percentage of hemocyte types, phagocytic activity, presence of reactive oxygen species, and protein concentration differed significantly between populations from non-impacted and impacted water areas. The most responsive species to pollution were Magallana gigas, Crenomytilus grayanus, Mizuhopecten yessoensis, and Mactra chinensis. This work is the first to examine a large number of commercially important species simultaneously. The results of this study are the basis for establishing the health status criteria of commercial bivalves for veterinary control in aquaculture and biomonitoring.</t>
  </si>
  <si>
    <t>[Grinchenko, Andrei; Sokolnikova, Yulia; Tumas, Ayna; Mokrina, Mariia; Tsoy, Elizaveta; Buriak, Ivan; Kumeiko, Vadim] Russian Acad Sci, AV Zhirmunsky Natl Sci Ctr Marine Biol, Far Eastern Branch, Vladivostok 690041, Russia; [Grinchenko, Andrei; Tsoy, Elizaveta; Buriak, Ivan; Kumeiko, Vadim; Onishchenko, Mariia] Far Eastern Fed Univ, Sch Med &amp; Life Sci, Vladivostok 690922, Russia</t>
  </si>
  <si>
    <t>Sokolnikova, Y (corresponding author), Russian Acad Sci, AV Zhirmunsky Natl Sci Ctr Marine Biol, Far Eastern Branch, Vladivostok 690041, Russia.</t>
  </si>
  <si>
    <t>yulia.sn@mail.ru</t>
  </si>
  <si>
    <t>Andrei, Grinchenko/A-9171-2014; Kumeiko, Vadim/AAR-9786-2021; Sokolnikova, Yulia/AAD-9584-2019</t>
  </si>
  <si>
    <t>Kumeiko, Vadim/0000-0002-1639-664X; Sokolnikova, Yulia/0000-0002-0689-4186; Tsoy, Elizaveta/0009-0009-1501-9066</t>
  </si>
  <si>
    <t>Russian Science Foundation [23-76-10051]</t>
  </si>
  <si>
    <t>This research was funded by the Russian Science Foundation grant, grant number 23-76-10051 (https://rscf.ru/en/project/23-76-10051/ accessed on 13 July 2024).</t>
  </si>
  <si>
    <t>1424-2818</t>
  </si>
  <si>
    <t>Diversity-Basel</t>
  </si>
  <si>
    <t>10.3390/d16070404</t>
  </si>
  <si>
    <t>ZU0M7</t>
  </si>
  <si>
    <t>WOS:001277684700001</t>
  </si>
  <si>
    <t>Tran, VT; Nguyen, PD; Strady, E</t>
  </si>
  <si>
    <t>Viet Tuan Tran; Phuoc-Dan Nguyen; Strady, Emilie</t>
  </si>
  <si>
    <t>Bioaccumulation of trace elements in the hard clam, Meretrix lyrata, reared downstream of a developing megacity, the Saigon-Dongnai River Estuary, Vietnam</t>
  </si>
  <si>
    <t>White hard clam; Trace metal; Condition index; Biomonitoring; Human health risk</t>
  </si>
  <si>
    <t>CHI MINH CITY; HEAVY-METALS; MYTILUS-GALLOPROVINCIALIS; RISK-ASSESSMENT; HEALTH-RISK; SEDIMENTS; COASTAL; CONTAMINATION; BIOMONITOR; POLLUTION</t>
  </si>
  <si>
    <t>A large number of white hard clam farms are in the estuary shoreline of Saigon-Dongnai Rivers, which flow through Ho Chi Minh City, a megacity, and numerous industrial zones in the basin catchment area. In this study, eleven trace elements (Mn, Fe, Co, Ni, Cu, Zn, As, Se, Cd, Hg, and Pb) in the hard clam Meretrix lyrata and its habitats including surface water, suspended particulate matter, and sediment were evaluated to understand the bioaccumulation of trace metals from the environment into the whole tissues of the hard clam as well as its different organs. The samples were collected monthly in dry, transition, and wet seasons of the southern part of Vietnam from March to September 2016. The results showed that seasonal and spatial variations of the studied metal concentrations in the hard clam M. lyrata might be influenced by the sea current as well as the surface runoff in the rainy season. The relationship between condition index and the element concentrations in M. lyrata might be affected by the living environment conditions and farming methods. In addition, the hazard index values of all trace elements in the hard clam M. lyrata harvested in the sampling time show that the hard clams farmed in the study area were safe for local consumers.</t>
  </si>
  <si>
    <t>[Viet Tuan Tran] Vietnam Inst Trop Technol &amp; Environm Protect VITT, 57A Truong Quoc Dung St, Ho Chi Minh City, Vietnam; [Viet Tuan Tran; Phuoc-Dan Nguyen; Strady, Emilie] Ho Chi Minh City Univ Technol HCMUT, Ctr Asiat Rech Eau CARE, Dist 10, Ho Chi Minh City, Vietnam; [Phuoc-Dan Nguyen] Univ Grenoble Alpes, IGE, Grenoble INP, CNRS,IRD, F-38000 Grenoble, France; [Strady, Emilie] Vietnam Natl Univ Ho Chi Minh City VNU HCM, Ho Chi Minh City, Vietnam; [Strady, Emilie] Aix Marseille Univ, Univ Toulon, Mediterranean Inst Oceanog MIO, CNRS IRD, Marseille, France</t>
  </si>
  <si>
    <t>Vietnam National University Hochiminh City; Ho Chi Minh City University of Technology (HCMUT); Communaute Universite Grenoble Alpes; Universite Grenoble Alpes (UGA); Centre National de la Recherche Scientifique (CNRS); Institut de Recherche pour le Developpement (IRD); Institut National Polytechnique de Grenoble; Vietnam National University Hochiminh City; Institut de Recherche pour le Developpement (IRD); Aix-Marseille Universite</t>
  </si>
  <si>
    <t>Nguyen, PD (corresponding author), Ho Chi Minh City Univ Technol HCMUT, Ctr Asiat Rech Eau CARE, Dist 10, Ho Chi Minh City, Vietnam.</t>
  </si>
  <si>
    <t>npdan@hcmut.edu.vn</t>
  </si>
  <si>
    <t>Tran, Viet/0000-0002-2203-8849; strady, emilie/0000-0001-5683-0810</t>
  </si>
  <si>
    <t>UNU &amp; GIST Joint Program from the Gwangju Institute of Science and Technology [B201620-05]</t>
  </si>
  <si>
    <t>UNU &amp; GIST Joint Program from the Gwangju Institute of Science and Technology</t>
  </si>
  <si>
    <t>The major financial support is given by the UNU &amp; GIST Joint Program from the Gwangju Institute of Science and Technology and VNU-HCMunder Grant No. B201620-05.</t>
  </si>
  <si>
    <t>AUG 7</t>
  </si>
  <si>
    <t>10.1007/s10661-020-08502-z</t>
  </si>
  <si>
    <t>NC3IG</t>
  </si>
  <si>
    <t>WOS:000561107700001</t>
  </si>
  <si>
    <t>Leitao, A; Chaves, R; Joaquim, S; Matias, D; Ruano, F; Guedes-Pinto, H</t>
  </si>
  <si>
    <t>Leitao, Alexandra; Chaves, Raquel; Joaquim, Sandra; Matias, Domitilia; Ruano, Francisco; Guedes-Pinto, Henrique</t>
  </si>
  <si>
    <t>Supernumerary chromosomes on Southern European populations of the cockle Cerastoderma edule:: Consequence of environmental pollution?</t>
  </si>
  <si>
    <t>Cerastoderma edule; chromosomal abnormalities; environmental adversity; fission; in situ restriction enzyme banding; oil spill</t>
  </si>
  <si>
    <t>MUSSEL MYTILUS-GALLOPROVINCIALIS; GENETIC-STRUCTURE; PACIFIC OYSTERS; DNA-DAMAGE; CRASSOSTREA; ANEUPLOIDY; DIGESTION; ATRAZINE; BIVALVE; POLYMORPHISM</t>
  </si>
  <si>
    <t>Cerastoderma edule (Cardiidae) has a diploid chromosome number of 2n = 38, its karyotype consisting of 12 submetacentric, 4 subtelocentric and 3 telocentric chromosome pairs. Hyperdiploid cells had previously been observed in two populations of the Northern Galician coasts (northwest of Spain). The supernumerary chromosomes being easily distinguished by their reduced differentiated size and by their intra- and inter-individual variability. After the recent observation of 35% of cells with supernumerary chromosomes in a population of the Southern Galician coasts (Vigo) and 15% of cells with supernumerary chromosomes in a population of the south of Portugal (Ria Formosa, Algarve), we attempted, in this paper, an elucidation of the nature of these supernumerary chromosomes, by differential banding technique with restriction enzymes on these hypercliploid cells. Analysis of the restriction enzyme banding of the 2n &gt; 38 karyotypes led us to propose the occurrence of a chromosomal fission event involving the largest submetacentric chromosome pair. This study represents the first description of the occurrence of a possible chromosomal fission in marine bivalves. Different levels of environmental pollution are suggested as possible explanation for the differences observed on the proportion of hyperdiploid cells between the Southern Portugal population and the three Galician ones. (C) 2008 Elsevier Ltd. All rights reserved.</t>
  </si>
  <si>
    <t>[Leitao, Alexandra; Joaquim, Sandra; Matias, Domitilia] IP IPIMAR, INRB, P-8700305 Olhao, Portugal; [Leitao, Alexandra; Chaves, Raquel; Guedes-Pinto, Henrique] Univ Tras os Montes &amp; Alto Douro CGB UTAD, Dept Genet &amp; Biotechnol, Ctr Genet &amp; Biotechnol, P-5000911 Vila Real, Portugal; [Ruano, Francisco] IP IPIMAR, INRB, P-1449006 Lisbon, Portugal</t>
  </si>
  <si>
    <t>Portuguese Institute of Sea &amp; Fisheries Research (IPIMAR); University of Tras-os-Montes &amp; Alto Douro; Portuguese Institute of Sea &amp; Fisheries Research (IPIMAR)</t>
  </si>
  <si>
    <t>Leitao, A (corresponding author), IP IPIMAR, INRB, Avenida 5 Outubro, P-8700305 Olhao, Portugal.</t>
  </si>
  <si>
    <t>aleitao@ipimar.pt</t>
  </si>
  <si>
    <t>Matias, Domitilia/AFP-2678-2022; Joaquim, Sandra/G-8572-2011; Leitao, Alexandra/F-8147-2011; , Henrique/M-1830-2013; Chaves, Raquel/K-3044-2013</t>
  </si>
  <si>
    <t>, Henrique/0000-0001-7125-6204; Matias, Domitilia/0000-0002-2191-7497; Chaves, Raquel/0000-0002-5970-7428; Leitao-BenHamadou, Alexandra/0000-0001-8903-3797; Joaquim, Sandra/0000-0002-6324-5908</t>
  </si>
  <si>
    <t>10.1016/j.ecss.2008.03.015</t>
  </si>
  <si>
    <t>330XY</t>
  </si>
  <si>
    <t>WOS:000257977300018</t>
  </si>
  <si>
    <t>Gómez-Mendikute, A; Elizondo, M; Venier, P; Cajaraville, M</t>
  </si>
  <si>
    <t>Characterization of mussel gill cells in vivo and in vitro</t>
  </si>
  <si>
    <t>CELL AND TISSUE RESEARCH</t>
  </si>
  <si>
    <t>gill cells; histochemistry; primary culture; cell proliferation; mussel; Mytilus galloprovincialis (Mollusca)</t>
  </si>
  <si>
    <t>SISTER-CHROMATID EXCHANGE; MYTILUS-EDULIS; DIGESTIVE GLAND; PROLIFERATING CELLS; HEMOCYTES; CADMIUM; GALLOPROVINCIALIS; CULTURES; COPPER; DAMAGE</t>
  </si>
  <si>
    <t>Mussel gill cells are attractive models in ecotoxicological studies because gills are the first uptake site for many toxicants in the aquatic environment; gill cells are thus often affected by exposure to pollutants. Our aim was to characterize mussel gill cells in vivo and in vitro by using morphological, histochemical and functional end-points. In paraffin sections stained with haematoxylin-eosin, three zones were distinguished in the long central gill filaments: frontal, intermediate and abfrontal. Various types of ciliated cells were present in the frontal zone, and both ciliated and non-ciliated cells were found in the abfrontal zone. The intermediate zone was comprised of flattened endothelial cells. Lipofuscin granules occurred in the three zones in variable amounts, depending on the specimen. Haemocytes were found in the haemolymph sinus of gill filaments. Mucocytes were identified in both frontal and abfrontal zones by means of periodic acid Schiff-alcian blue (PAS-AB) staining. In cryostat sections, succinate dehydrogenase (SDH) activity was mainly found in ciliated cells, whereas neutral lipids and acid-phosphatase-reactive lysosomes were present in all portions of the gill filament, mostly being related to lipofuscin granules. In mussels exposed to 5'-bromo-2'-deoxyuridine in vivo, proliferating cells were scattered throughout the gill filament. Gill cells (typically 2x10(7)cells/ml per mussel; 95% viability) were isolated by dissociation with dispase. Gill cell suspensions were heterogeneous: 58% were ciliated epithelial cells (positive for SDH), 42% were non-ciliated cells (including epithelial cells and haemocytes), 2.3% were mucocytes (positive for PAS-AB) and 4.25% were haemocytes (able to phagocytose neutral red-stained zymosan). Gill cell cultures were maintained up to 18 days without changing the culture medium, viability decreasing below 50% at day 18. Primary cultures of mussel gill cells might therefore be useful models for the in vitro assessment of xenobiotic impacts on coastal and estuarine ecosystems.</t>
  </si>
  <si>
    <t>Univ Basque Country, Euskal Herriko Unibersitatea, Zientzia &amp; Teknol Fak, Biol Zelularra &amp; Histol Lab,Zool &amp; Biol Zelularra, Bilbao 48080, Basque Country, Spain; Univ Padua, Dipartimento Biol, I-35128 Padua, Italy</t>
  </si>
  <si>
    <t>University of Basque Country; University of Padua</t>
  </si>
  <si>
    <t>Univ Basque Country, Euskal Herriko Unibersitatea, Zientzia &amp; Teknol Fak, Biol Zelularra &amp; Histol Lab,Zool &amp; Biol Zelularra, 644 PK, Bilbao 48080, Basque Country, Spain.</t>
  </si>
  <si>
    <t>Venier, Paola/J-6302-2019; Cajaraville, Miren P/I-4757-2015</t>
  </si>
  <si>
    <t>Venier, Paola/0000-0001-9634-3662; Cajaraville, Miren P/0000-0001-6527-6137</t>
  </si>
  <si>
    <t>0302-766X</t>
  </si>
  <si>
    <t>1432-0878</t>
  </si>
  <si>
    <t>CELL TISSUE RES</t>
  </si>
  <si>
    <t>Cell Tissue Res.</t>
  </si>
  <si>
    <t>10.1007/s00441-005-1093-9</t>
  </si>
  <si>
    <t>942XU</t>
  </si>
  <si>
    <t>WOS:000230317000014</t>
  </si>
  <si>
    <t>Karagiannis, D; Vatsos, IN; Angelidis, P</t>
  </si>
  <si>
    <t>Karagiannis, Dimitrios; Vatsos, Ioannis N.; Angelidis, Panagiotis</t>
  </si>
  <si>
    <t>Effects of atrazine on the viability and the formation of byssus of the mussel Mytilus galloprovincialis</t>
  </si>
  <si>
    <t>Atrazine; Mussel; Viability; Byssus</t>
  </si>
  <si>
    <t>SEASONAL FLUCTUATIONS; THERMAIKOS GULF; DRINKING-WATER; PESTICIDES; GREECE; POLLUTION; STRESS; BASIN; TRANSPORTATION; BIOMARKERS</t>
  </si>
  <si>
    <t>Shellfish farming often takes place in areas subjected to various recurring pollutions. The intensive use of herbicides in agriculture leads to the presence of residues in the aquatic ecosystems. In the present study, the effects of atrazine on the viability of the mussel Mytilus galloprovincialis and the formation of their byssus were studied. A total of 720 mussels (mean length 24 mm +/- 2.1 SD) were divided into six groups. The mussels from the first five groups were exposed to five concentrations of atrazine, 10, 8, 5, 2 and 1 ppm, while one group was used as control. The LC50 was calculated after 48 h, while the long-term effect of atrazine on the viability and byssus formation of the mussels were studied for 21 days. The LC50 was found to be 6.33 ppm. From all the concentrations of atrazine to which the mussels were exposed, only in two of them (2 and 1 ppm) some mussels survived up to the last day of the experiment. The survival rate in the control group was significantly higher than those of mussels that were exposed to atrazine. Regarding the byssus formation, the number of byssal threads was significant lower in the mussels that were exposed to 2 and 1 ppm atrazine compared to the control group, while no byssal threads were formed by the mussels exposed to 10, 8 and 5 ppm. All the mussels that survived on day 21 were then exposed to air. The LT50 for the control group and the mussels which had been exposed to 1 and 2 ppm atrazine were 5.14, 2.77 and 1.98 days, respectively. The results of the present study indicate that atrazine has a significant effect on the viability of mussels both in the water and in air and on their ability to form byssus.</t>
  </si>
  <si>
    <t>[Karagiannis, Dimitrios; Vatsos, Ioannis N.; Angelidis, Panagiotis] Aristotle Univ Thessaloniki, Fac Vet Med, Lab Ichthyol, Thessaloniki 54124, Greece</t>
  </si>
  <si>
    <t>Vatsos, IN (corresponding author), Aristotle Univ Thessaloniki, Fac Vet Med, Lab Ichthyol, POB 395, Thessaloniki 54124, Greece.</t>
  </si>
  <si>
    <t>ivatsos@vet.auth.gr</t>
  </si>
  <si>
    <t>Karagiannis, Dimitrios/AAW-8563-2021; Vatsos, Ioannis/ABD-2900-2021</t>
  </si>
  <si>
    <t>Karagiannis, Dimitrios/0000-0002-4151-7554; Vatsos, Ioannis/0000-0003-3056-0589</t>
  </si>
  <si>
    <t>10.1007/s10499-010-9344-5</t>
  </si>
  <si>
    <t>706EJ</t>
  </si>
  <si>
    <t>WOS:000286200300009</t>
  </si>
  <si>
    <t>Zhang, TY; Wang, X; Zhang, QQ; Li, K; Yang, DL; Zhang, XL; Liu, H; Wang, Q; Dong, ZJ; Yuan, XT; Zhao, JM</t>
  </si>
  <si>
    <t>Zhang, Tianyu; Wang, Xin; Zhang, Qianqian; Li, Ke; Yang, Dinglong; Zhang, Xiaoli; Liu, Hui; Wang, Qing; Dong, Zhijun; Yuan, Xiutang; Zhao, Jianmin</t>
  </si>
  <si>
    <t>Intrinsic and extrinsic pathways of apoptosis induced by multiple antibiotics residues and ocean acidification in hemocytes of scallop Argopecten irradians irradians: An interactionist perspective</t>
  </si>
  <si>
    <t>Antibiotics residues; Ocean acidification; Apoptosis; Bay scallop</t>
  </si>
  <si>
    <t>SEAWATER ACIDIFICATION; OXIDATIVE STRESS; PACIFIC OYSTER; DNA-DAMAGE; CELL-DEATH; MITOCHONDRIA; DICLOFENAC; PHARMACEUTICALS; BIOACCUMULATION; RECOGNITION</t>
  </si>
  <si>
    <t>The increasing prevalence of antibiotics in seawater across global coastal areas, coupled with the ocean acidification induced by climate change, present a multifaceted challenge to marine ecosystems, particularly impacting the key physiological processes of marine organisms. Apoptosis is a critical adaptive response essential for maintaining cellular homeostasis and defending against environmental threats. In this study, bay scallops Argopecten irradians irradians were exposed to multiple antibiotics (sulfamethoxazole, tetracycline, oxytetracycline, norfloxacin, and erythromycin, each at a concentration of 1 mu g/L) combined with/without acidic seawater (pH 7.6) for 35 days. The single and interactive effects of the two stressors on apoptosis and the underlying mechanisms in hemocytes of A. irradians irradians were determined through flow cytometry analysis, comet assay, oxidative stress biomarkers analysis, and transcriptome analysis. Results showed that apoptosis could be triggered by either AM exposure or OA exposure, but through different pathways. Exposure to AM leads to mitochondrial dysfunction and oxidative damage, which in turn triggers apoptosis via a series of cellular events in both intrinsic and extrinsic pathways. Conversely, while OA exposure similarly induced apoptosis, its effects are comparatively subdued and are predominantly mediated through the intrinsic pathway. Additionally, the synergistic effects of AM and OA exposure induced pronounced mitochondrial dysfunction and oxidative damages in the hemocytes of A. irradians irradians. Despite the evident cellular distress and the potential initiation of apoptotic pathways, the actual execution of apoptosis appears to be restrained, which might be attributed to an energy deficit within the hemocytes. Our findings underscore the constrained tolerance capacity of A. irradians irradians when faced with multiple environmental stressors, and shed light on the ecotoxicity of antibiotic pollution in the ocean under prospective climate change scenarios.</t>
  </si>
  <si>
    <t>[Zhang, Tianyu; Wang, Xin; Zhang, Qianqian; Li, Ke; Yang, Dinglong; Zhang, Xiaoli; Liu, Hui; Wang, Qing; Dong, Zhijun; Yuan, Xiutang; Zhao, Jianmin] Chinese Acad Sci, Yantai Inst Coastal Zone Res, Key Lab Coastal Biol &amp; Biol Resources Utilizat, Yantai 264003, Peoples R China; [Zhang, Tianyu; Wang, Xin; Zhang, Qianqian; Yang, Dinglong; Zhang, Xiaoli; Liu, Hui; Wang, Qing; Dong, Zhijun; Yuan, Xiutang; Zhao, Jianmin] Chinese Acad Sci, Muping Coastal Environm Res Stn, Yantai Inst Coastal Zone Res, Yantai 264117, Peoples R China; [Zhang, Tianyu; Wang, Xin] Univ Chinese Acad Sci, Beijing 100049, Peoples R China; [Zhao, Jianmin] Chinese Acad Sci, Yantai Inst Coastal Zone Res, Key Lab Coastal Zone Environm Proc &amp; Ecol Remediat, Yantai 264117, Peoples R China</t>
  </si>
  <si>
    <t>Zhao, JM (corresponding author), Chinese Acad Sci, Yantai Inst Coastal Zone Res, Key Lab Coastal Biol &amp; Biol Resources Utilizat, Yantai 264003, Peoples R China.</t>
  </si>
  <si>
    <t>Zhang, Qianqian/HHZ-6216-2022; Dong, Zhijun/B-9172-2009; Yuan, Xiutang/KIB-3491-2024; Liu, Hui/ABB-2141-2021; Li, Ke/JGL-6006-2023</t>
  </si>
  <si>
    <t>Strategic Priority Research Program of the Chinese Academy of Sciences [XDA23050303]; National Science &amp; Technology Fundamental Resources Investigation Program of China [2022FY100600]; Youth Innovation Promotion Association, Chinese Academy of Sciences [2022211]</t>
  </si>
  <si>
    <t>Strategic Priority Research Program of the Chinese Academy of Sciences(Chinese Academy of Sciences); National Science &amp; Technology Fundamental Resources Investigation Program of China; Youth Innovation Promotion Association, Chinese Academy of Sciences</t>
  </si>
  <si>
    <t>This study was supported by grants from the Strategic Priority Research Program of the Chinese Academy of Sciences (XDA23050303) , the National Science &amp; Technology Fundamental Resources Investigation Program of China (2022FY100600) , and the Youth Innovation Promotion Association, Chinese Academy of Sciences (No. 2022211) .</t>
  </si>
  <si>
    <t>10.1016/j.ecoenv.2023.115806</t>
  </si>
  <si>
    <t>EU5C0</t>
  </si>
  <si>
    <t>WOS:001141450100001</t>
  </si>
  <si>
    <t>Gardon, T; Huvet, A; Paul-Pont, I; Cassone, AL; Koua, MS; Soyez, C; Jezequel, R; Receveur, J; Le Moullac, G</t>
  </si>
  <si>
    <t>Gardon, Tony; Huvet, Arnaud; Paul-Pont, Ika; Cassone, Anne-Laure; Koua, Manaarii Sham; Soyez, Claude; Jezequel, Ronan; Receveur, Justine; Le Moullac, Gilles</t>
  </si>
  <si>
    <t>Toxic effects of leachates from plastic pearl-farming gear on embryo-larval development in the pearl oyster Pinctada margaritifera</t>
  </si>
  <si>
    <t>Aquaculture; Synthetic materials; Hazardous chemicals; Toxicity; Marine bivalve; Early development</t>
  </si>
  <si>
    <t>PERSISTENT ORGANIC POLLUTANTS; DOSE-RESPONSE; MARINE; MICROPLASTICS; ADDITIVES; TRANSPORT; CHEMICALS; CONTAMINATION; POLYETHYLENE; EXTRACTION</t>
  </si>
  <si>
    <t>Pearl-farming leads to significant plastic pollution in French Polynesia (FP) as the end of life of most farming gear is currently poorly managed. Plastic debris released into the aquatic environment accumulates, with potentially detrimental effects on the lagoon ecosystem and pearl oyster Pinctada margaritifera, a species of ecological, commercial and social value. Here, we tested the effects of leachates from new (N) and aged (A) plastic pearl-farming gear (spat collector and synthetic rope) obtained after 24 h and 120 h incubation, on the embryo-larval development of the pearl oyster using an in-vitro assay. Embryos were exposed for 24 h and 48 h to a negative control (0) and the leachate from 0.1, 1, 10 and 100 g of plastic. L-1. After 24 h exposure to leachate at 100 g.L-1, effects were observed on embryo development (-38% to -60% of formed larvae) and mortality (+72% to +82%). Chemical analyses of plastic gear indicated the presence of 26 compounds, consisting of organic contaminants (PAHs) and additives (mainly phthalates). Screening of leachates demonstrated that these compounds leach into the surrounding seawater with an additional detection of pesticides. Higher levels of phthalates were measured in leachates obtained from new (6.7-9.1 mg.L-1) than from aged (0.4-0.5 mg.L-1) plastics, which could be part of the explanation of the clear difference in toxicity observed after 48 h exposure at lower concentrations (0.1-10 g.L-1), associated with mortality ranging from 26 to 86% and 17-28%, respectively. Overall, this study suggests that plastic gear used in the pearl-farming industry releases significant amounts of hazardous chemicals over their lifetime, which may affect pearl oyster development that call for in-situ exploration. (c) 2020 The Authors. Published by Elsevier Ltd.</t>
  </si>
  <si>
    <t>[Gardon, Tony; Koua, Manaarii Sham; Soyez, Claude; Le Moullac, Gilles] Univ Polynesie Francaise, Inst Louis Malarde, EIO, IFREMER,IRD, F-98719 Tahiti, French Polynesi, France; [Huvet, Arnaud; Paul-Pont, Ika; Cassone, Anne-Laure] Univ Brest, LEMAR, CNRS, IFREMER,IRD, F-29280 Plouzane, France; [Jezequel, Ronan; Receveur, Justine] CEDRE, 715 Rue Alain Colas, F-29218 Brest 2, France</t>
  </si>
  <si>
    <t>Ifremer; Institut de Recherche pour le Developpement (IRD); Universite de Bretagne Occidentale; Centre National de la Recherche Scientifique (CNRS); Ifremer; Institut de Recherche pour le Developpement (IRD)</t>
  </si>
  <si>
    <t>Gardon, T (corresponding author), Univ Polynesie Francaise, Inst Louis Malarde, EIO, IFREMER,IRD, F-98719 Tahiti, French Polynesi, France.;Huvet, A (corresponding author), Univ Brest, LEMAR, CNRS, IFREMER,IRD, F-29280 Plouzane, France.</t>
  </si>
  <si>
    <t>tony.gardon@ifremer.fr; arnaud.huvet@ifremer.fr</t>
  </si>
  <si>
    <t>Gardon, Tony/U-6242-2019</t>
  </si>
  <si>
    <t>Gardon, Tony/0000-0002-5761-0526; Le Moullac, Gilles/0000-0003-3749-8239; Huvet, Arnaud/0000-0001-6912-881X</t>
  </si>
  <si>
    <t>Direction des Ressources Marines (DRM) of French Polynesia; Ifremer [09793]</t>
  </si>
  <si>
    <t>Direction des Ressources Marines (DRM) of French Polynesia; Ifremer</t>
  </si>
  <si>
    <t>This study was financially supported by the MICROLAG project funded by Direction des Ressources Marines (DRM) of French Polynesia. T. Gardon was funded by a doctoral research grant No09793 from Ifremer.</t>
  </si>
  <si>
    <t>10.1016/j.watres.2020.115890</t>
  </si>
  <si>
    <t>LU3YU</t>
  </si>
  <si>
    <t>Green Submitted, Green Published, hybrid</t>
  </si>
  <si>
    <t>WOS:000537695500018</t>
  </si>
  <si>
    <t>CHU, FLE; HALE, RC</t>
  </si>
  <si>
    <t>RELATIONSHIP BETWEEN POLLUTION AND SUSCEPTIBILITY TO INFECTIOUS-DISEASE IN THE EASTERN OYSTER, CRASSOSTREA-VIRGINICA</t>
  </si>
  <si>
    <t>DEFENSE-RELATED ACTIVITIES; TROUT SALMO-GAIRDNERI; PERKINSUS-MARINUS; RAINBOW-TROUT; EXPOSURE; FISH; HEMOCYTES; SALINITY; COPPER; HYDROCARBONS</t>
  </si>
  <si>
    <t>Infectious disease epizootics seriously affect many populations of marine organisms. Pollution has been hypothesized to contribute to some aquatic epizootics, although this link has not been adequately examined To further evaluate this hypothesis, the effect of a complex mixture of sediment derived pollutants on the susceptibility of the eastern oyster, Crassostrea virginica, to an infectious disease was investigated. The disease studied is caused by the protozoan parasite Perkinsus marinus (Dermo) and results in significant oyster mortalities in the mid-Atlantic region of the United States. Oysters were exposed to 0, 15 and 30% dilutions of water soluble fractions, generated from sediments collected from the Elizabeth River, a heavily, polluted subestuary of the Chesapeake Bay, USA. Oysters were then challenged with P. marinus meronts. Pollutant exposure enhanced preexisting P. marinus infections and increased the oysters' susceptibility to experimentally induced infection, in a dose-dependent manner.</t>
  </si>
  <si>
    <t>CHU, FLE (corresponding author), VIRGINIA INST MARINE SCI,COLL WILLIAM &amp; MARY,SCH MARINE SCI,DEPT ENVIRONM SCI,GLOUCESTER POINT,VA 23062, USA.</t>
  </si>
  <si>
    <t>Hale, Robert/D-7601-2013</t>
  </si>
  <si>
    <t>Hale, Robert/0000-0002-3066-8891</t>
  </si>
  <si>
    <t>10.1016/0141-1136(94)90026-4</t>
  </si>
  <si>
    <t>WOS:A1994PN88400001</t>
  </si>
  <si>
    <t>Dahbi, A; El-Azzouzi, Z; Kouali, H; Achtak, H; Chaouti, A</t>
  </si>
  <si>
    <t>Dahbi, Abdallah; El-Azzouzi, Zakaria; Kouali, Hassnae; Achtak, Hafid; Chaouti, Abdellatif</t>
  </si>
  <si>
    <t>The goose barnacle Pollicipes pollicipes as a tool for trace metal biomonitoring and health risk assessment for human consumers in northwestern Atlantic coast of Morocco</t>
  </si>
  <si>
    <t>Barnacle consumption; Bioaccumulation; Biomonitors and coastal pollution monitoring; Human health risk assessment; Seafood safety; Trace metal contamination</t>
  </si>
  <si>
    <t>MUSSELS MYTILUS-GALLOPROVINCIALIS; HEAVY-METAL; BALANUS-AMPHITRITE; SEASONAL-VARIATION; TROPHIC TRANSFER; ENVIRONMENTAL-STRESS; WATERS; CONTAMINATION; MARINE; BIOACCUMULATION</t>
  </si>
  <si>
    <t>The bioaccumulation of trace metals Cd, Cr, Cu, Fe, and Zn in soft tissues of the barnacle Pollicipes pollicipes was investigated seasonally along the Atlantic coast of northwestern Morocco. Average concentrations (mu g g(-1) dry weight) exhibited a decreasing order: Fe (548.15 +/- 132.43) &gt; Zn (430.80 +/- 181.68) &gt; Cd (17.46 +/- 9.99) &gt; Cu (7.72 +/- 1.26) &gt; Cr (3.12 +/- 0.80), with the highest levels during wet seasons. The Metal Pollution Index and Individual Multimetal Bioaccumulation Index revealed a substantial barnacle contamination in industrialized areas. Additionally, Cd and Zn concentrations surpassed permissible guideline limits. While the Target Hazard Quotient and Hazard Index unveiled no significant health risks associated with barnacle consumption for humans, Cd posed potential risks, particularly for children consuming barnacles from polluted locations. Regarding the Maximum Safe Consumption, Cd demonstrated potential harm across all sex and age groups. These findings contribute valuable data on the safety of barnacle consumption, marking the initial assessment of such risks in Morocco. The study offers evidence of metal pollution occurrence and proposes the barnacle species as a reliable biomonitor of trace metal bioavailabilities in marine coastal areas. To our knowledge, this investigation is the first comprehensive report of metal contamination biomonitoring using barnacles from Moroccan Atlantic waters.</t>
  </si>
  <si>
    <t>[Dahbi, Abdallah; El-Azzouzi, Zakaria; Kouali, Hassnae; Achtak, Hafid] Cadi Ayyad Univ, Polydisciplinary Fac, Dept Biol, Res Team Environm &amp; Hlth, Safi, Morocco; [El-Azzouzi, Zakaria; Chaouti, Abdellatif] Chouaib Doukkali Univ, Fac Sci, CNRST Labeled Res Unit 10, Lab Plant Biotechnol Ecol &amp; Ecosyst Valorizat,Phyc, El Jadida 24000, Morocco</t>
  </si>
  <si>
    <t>Cadi Ayyad University of Marrakech; Chouaib Doukkali University of El Jadida</t>
  </si>
  <si>
    <t>Chaouti, A (corresponding author), Chouaib Doukkali Univ, Fac Sci, CNRST Labeled Res Unit 10, Lab Plant Biotechnol Ecol &amp; Ecosyst Valorizat,Phyc, El Jadida 24000, Morocco.</t>
  </si>
  <si>
    <t>chaouti@ucd.ac.ma</t>
  </si>
  <si>
    <t>Abdellatif, Chaouti/GYJ-1831-2022</t>
  </si>
  <si>
    <t>10.1016/j.scitotenv.2024.172393</t>
  </si>
  <si>
    <t>D9S3B</t>
  </si>
  <si>
    <t>WOS:001299500900001</t>
  </si>
  <si>
    <t>Huang, Q; Liu, MY; Guo, R; Mao, LC; Wan, Q; Zeng, GJ; Huang, HY; Deng, FJ; Zhang, XY; Wei, Y</t>
  </si>
  <si>
    <t>Huang, Qiang; Liu, Meiying; Guo, Ren; Mao, Liucheng; Wan, Qing; Zeng, Guangjian; Huang, Hongye; Deng, Fengjie; Zhang, Xiaoyong; Wei, Yen</t>
  </si>
  <si>
    <t>Facile synthesis and characterization of poly(levodopa)-modified silica nanocomposites via self-polymerization of levodopa and their adsorption behavior toward Cu2+</t>
  </si>
  <si>
    <t>JOURNAL OF MATERIALS SCIENCE</t>
  </si>
  <si>
    <t>HEAVY-METAL IONS; FUNCTIONALIZED CARBON NANOTUBES; MUSSEL INSPIRED CHEMISTRY; AQUEOUS-SOLUTION; GRAPHENE OXIDE; BIOINSPIRED STRATEGY; SURFACE MODIFICATION; MESOPOROUS SILICA; ACTIVATED CARBON; REMOVAL</t>
  </si>
  <si>
    <t>In this study, a facile surface functionalization method was applied to synthesize poly-levodopa (PDOPA)-modified silica nanocomposites (denoted as SiO2-PDOPA). The adsorption capacity of SiO2-PDOPA was found to be higher than that of unmodified SiO2 NPs. The successful preparation of SiO2-PDOPA was confirmed by Fourier transform infrared spectroscopy, transmission electron microscopy, and thermo gravimetric analysis. The adsorption behavior was investigated using SiO2-PDOPA as adsorbents and Cu2+ as a model heavy metal pollutant. Various adsorption parameters, including contact time, solution pH, temperature, and initial Cu2+ concentrations were studied. The results showed that pH could markedly affect the adsorption process of SiO2-PDOPA to Cu2+. The optimum pH for Cu2+ adsorption was found to be 7.0. The adsorption kinetic data were analyzed using pseudofirst-order, pseudosecond-order, and intraparticle diffusion models. The adsorption isotherms could be described by Langmuir and Freundlich isotherm models. The fitting results showed that the adsorption kinetics and isotherms were better described by the pseudosecond-order and Langmuir model, respectively. The values of thermodynamics constants, including entropy change (Delta S (0) ), enthalpy change (Delta H (0) ), and Gibbs free energy (Delta G (0) ) were determined at different temperatures. Results suggested that the adsorption process of SiO2-PDOPA to Cu2+ is a feasible, endothermic, and spontaneous process.</t>
  </si>
  <si>
    <t>[Huang, Qiang; Liu, Meiying; Guo, Ren; Mao, Liucheng; Wan, Qing; Zeng, Guangjian; Huang, Hongye; Deng, Fengjie; Zhang, Xiaoyong] Nanchang Univ, Dept Chem, 999 Xuefu Ave, Nanchang 330031, Peoples R China; [Wei, Yen] Tsinghua Univ, Dept Chem, Beijing 100084, Peoples R China; [Wei, Yen] Tsinghua Univ, Tsinghua Ctr Frontier Polymer Res, Beijing 100084, Peoples R China</t>
  </si>
  <si>
    <t>Nanchang University; Tsinghua University; Tsinghua University</t>
  </si>
  <si>
    <t>Zhang, XY (corresponding author), Nanchang Univ, Dept Chem, 999 Xuefu Ave, Nanchang 330031, Peoples R China.</t>
  </si>
  <si>
    <t>xiaoyongzhang1980@gmail.com</t>
  </si>
  <si>
    <t>liu, meiying/H-7762-2013; Wei, Yen/H-5329-2012; zhang, xiaoyong/D-9539-2011; Qiang, Huang/F-6265-2015</t>
  </si>
  <si>
    <t>National Natural Science Foundation of China [51363016, 21474057, 21564006, 21561022]; National 973 Project [2011CB935700]</t>
  </si>
  <si>
    <t>National Natural Science Foundation of China(National Natural Science Foundation of China (NSFC)); National 973 Project(National Basic Research Program of China)</t>
  </si>
  <si>
    <t>This research was supported by the National Natural Science Foundation of China (Nos. 51363016, 21474057, 21564006, 21561022) and the National 973 Project (Nos. 2011CB935700).</t>
  </si>
  <si>
    <t>0022-2461</t>
  </si>
  <si>
    <t>1573-4803</t>
  </si>
  <si>
    <t>J MATER SCI</t>
  </si>
  <si>
    <t>J. Mater. Sci.</t>
  </si>
  <si>
    <t>10.1007/s10853-016-0178-z</t>
  </si>
  <si>
    <t>DT0OF</t>
  </si>
  <si>
    <t>WOS:000381182200008</t>
  </si>
  <si>
    <t>Khidkhan, K; Imsilp, K; Poapolathep, A; Poapolathep, S; Tanhan, P</t>
  </si>
  <si>
    <t>Khidkhan, Kraisiri; Imsilp, Kanjana; Poapolathep, Amnart; Poapolathep, Saranya; Tanhan, Phanwimol</t>
  </si>
  <si>
    <t>Potential human health risk from consumption of metallic elements-contaminated benthic mollusks from Don Hoi Lot sandbar, Thailand</t>
  </si>
  <si>
    <t>Metallic elements; Human health risk; THQ; Solen corneus; Meretrix meretrix</t>
  </si>
  <si>
    <t>HEAVY-METALS; ACCUMULATION RATES; TRACE-ELEMENTS; UPPER GULF; SEDIMENTS; BIOACCUMULATION; WATER; POLLUTION; EXPOSURE; FISH</t>
  </si>
  <si>
    <t>Environmental pollutants have raised more concerns for human health risk, especially via consumption of contaminated food. Terrestrial as well as aquatic animals are capable of bioaccumulation a variety of toxic substances including metallic elements. With increasing anthropogenic activities along the coastal areas, living organisms have more chances to be exposed to released contaminants. In this study, seven metallic elements (Cd, Cu, Fe, Mn, Ni, Pb and Zn) were determined in sediments and Water from Don Hoi Lot sandbar, Samutsongkharm province, Thailand. Potential human health risks via the consumption of two benthic bivalves Solen corneus (Larmarck, 1818) and Meretrix meretrix (Linnaeus, 1758) were also estimated using the target hazard quotients (THQs). The variations of metallic element concentrations were apparent betWeen wet and dry season. Fe was the predominate metallic element in the sediinent and the remaining were Mn &gt; Pb &gt; Zn &gt; Ni &gt; Cu &gt; Cd. Whereas metallic element concentrations in water were Pb &gt; Ni &gt; Fe &gt; Zn &gt; Cu &gt; Mn &gt; Cd. PCA analysis confirmed that the contaminations of these metallic elements were from Mae Klong river surface water. Most Pb THQ values in both S. corneus and M. meretrix were &gt;1 indicating that human health risk is of concern. However, the sum of THQs of an individual metallic element should also be considered since multiple metallic elements exposure is so common. (C) 2017 Elsevier B.V. All rights reserved.</t>
  </si>
  <si>
    <t>[Khidkhan, Kraisiri; Imsilp, Kanjana; Poapolathep, Amnart; Poapolathep, Saranya; Tanhan, Phanwimol] Kasetsart Univ, Fac Vet Med, Dept Pharmacol, 50 Ngamwongwan Rd, Bangkok 10900, Thailand</t>
  </si>
  <si>
    <t>Tanhan, P (corresponding author), Kasetsart Univ, Fac Vet Med, Dept Pharmacol, 50 Ngamwongwan Rd, Bangkok 10900, Thailand.</t>
  </si>
  <si>
    <t>fvetpmt@ku.ac.th</t>
  </si>
  <si>
    <t>Poapolathep, Amnart/B-9629-2009</t>
  </si>
  <si>
    <t>KHIDKHAN, KRAISIRI/0000-0003-2935-8711; Poapolathep, Amnart/0000-0001-5322-3281</t>
  </si>
  <si>
    <t>Graduate School, Kasetsart University</t>
  </si>
  <si>
    <t>This study was supported by Graduate School, Kasetsart University. The authors are grateful to Dr. Kittithorn Sanpanich Institute of Marine Science, Burapha University, Thailand for identifications of mollusk samples.</t>
  </si>
  <si>
    <t>10.1016/j.scitotenv.2017.01.188</t>
  </si>
  <si>
    <t>ES2KX</t>
  </si>
  <si>
    <t>WOS:000399358500122</t>
  </si>
  <si>
    <t>Chou, CL; Paon, LA; Moffatt, JD; Buzeta, MI; Fenton, D; Rutherford, RJ</t>
  </si>
  <si>
    <t>Distribution of contaminants in biota and sediments in the Musquash Estuary, Atlantic Canada, marine protected area site initiative and contaminant exclusion zone</t>
  </si>
  <si>
    <t>marine protected areas; marine environmental quality; contaminant exclusion zones; metals; American lobster; blue mussels; sediments; Musquash</t>
  </si>
  <si>
    <t>LOBSTER HOMARUS-AMERICANUS; INNER BAY; CADMIUM; COPPER; SILVER; FUNDY; ZINC</t>
  </si>
  <si>
    <t>The Musquash Estuary, one of the last ecologically intact estuaries in New Brunswick, has been designated an area of interest for a marine protected area (MPA) under the Oceans Act. The area has been assessed for contaminant background levels as required for establishing MPA environmental quality. American lobster (Homarus americanus), blue mussel (Mytilus edulis) and sediments were collected for assessing contaminant levels and distribution in the harbour. Levels of contaminants from the indicator species and the abiotic component have shown: (1) two extremes of high and low Cu and Ag in lobster from the area; and (2) lower metal levels in inner Musquash Harbour sediments and mussels than in those from the harbour mouth. These suggest that deposition of contaminants into the Musquash MPA site was due to transport of contaminants by coastal currents from upstream coastal industrial activities. This reverse trend with higher contaminant levels in the biotic and abiotic components in the outer harbour than in the inner harbour differs from a contaminated harbour and suggests that a contaminant exclusion zone should be considered for controlling contamination from nearby coastal and estuarine industrial sites to protect the sensitive habitats within the marine protected area. (C) 2003 Elsevier Ltd. All rights reserved.</t>
  </si>
  <si>
    <t>Fisheries &amp; Oceans Canada, Bedford Inst Oceanog, Sci Branch, Oceans &amp; Environm Branch, Dartmouth, NS B2Y 4A2, Canada; Fisheries &amp; Oceans Canada, Oceans &amp; Environm Branch, St Andrews, NB E5B 1B3, Canada</t>
  </si>
  <si>
    <t>Fisheries &amp; Oceans Canada; Bedford Institute of Oceanography; Fisheries &amp; Oceans Canada</t>
  </si>
  <si>
    <t>Fisheries &amp; Oceans Canada, Bedford Inst Oceanog, Sci Branch, Oceans &amp; Environm Branch, Maritimes Reg,POB 1006, Dartmouth, NS B2Y 4A2, Canada.</t>
  </si>
  <si>
    <t>chouc@mar.dfo-mpo.gc.ca</t>
  </si>
  <si>
    <t>10.1016/j.marpolbul.2003.11.012</t>
  </si>
  <si>
    <t>820NB</t>
  </si>
  <si>
    <t>WOS:000221395200018</t>
  </si>
  <si>
    <t>Gomiero, A; Volpato, E; Nasci, C; Perra, G; Viarengo, A; Dagnino, A; Spagnolo, A; Fabi, G</t>
  </si>
  <si>
    <t>Gomiero, A.; Volpato, E.; Nasci, C.; Perra, G.; Viarengo, A.; Dagnino, A.; Spagnolo, A.; Fabi, G.</t>
  </si>
  <si>
    <t>Use of multiple cell and tissue-level biomarkers in mussels collected along two gas fields in the northern Adriatic Sea as a tool for long term environmental monitoring</t>
  </si>
  <si>
    <t>Gas platforms; Long term monitoring; Mussels; Biomarkers; Mussel Expert System; Bioaccumulation</t>
  </si>
  <si>
    <t>POLYCYCLIC AROMATIC-HYDROCARBONS; OIL-PRODUCTION PLATFORM; MYTILUS-GALLOPROVINCIALIS; HEAVY-METALS; TRACE-METALS; DIGESTIVE CELLS; CANARY-ISLANDS; WATER COLUMN; BLUE MUSSELS; ALIPHATIC-HYDROCARBONS</t>
  </si>
  <si>
    <t>As a consequence of the growing global demand of energy supplies, intense oil and gas exploration and exploitation programs have been carried out worldwide especially within the marine environments. The release of oil-derived compounds in the sea from anthropogenic sources both as effluents or accidental spill is perceived as a major environmental concern. An approach based on a combination of biomarkers and the distribution of some classes of environmentally relevant pollutants was used to investigate the occurrence of a stress syndrome in mussels (Mytilus galloprovincialis) collected at three gas platforms placed in two distinct oceanographic districts within the Adriatic Sea. Biological responses were integrated by a ranking algorithm which demonstrated both a range of biological effects reflecting exposure gradients and a temporal related trend in the investigated responses. The overall results demonstrate a moderate to absent pollution from studied gas platforms with low but remarkable biological disturbance in sentinel organisms. (C) 2014 Elsevier Ltd. All rights reserved.</t>
  </si>
  <si>
    <t>[Gomiero, A.; Spagnolo, A.; Fabi, G.] CNR, ISMAR, I-60125 Ancona, Italy; [Gomiero, A.; Viarengo, A.; Dagnino, A.] Univ Piemonte Orientate, Dept Sci &amp; Technol Innovat DiSIT, I-15123 Alessandria, Italy; [Volpato, E.; Nasci, C.] Thetis SpA, I-30122 Venice, Italy; [Perra, G.] Univ Siena, Dept Phys Sci Earth &amp; Environm, I-53100 Siena, Italy</t>
  </si>
  <si>
    <t>Consiglio Nazionale delle Ricerche (CNR); Istituto di Scienze Marine (ISMAR-CNR); University of Eastern Piedmont Amedeo Avogadro; University of Siena</t>
  </si>
  <si>
    <t>Gomiero, A (corresponding author), CNR, ISMAR, Largo Fiera Pesca 1, I-60125 Ancona, Italy.</t>
  </si>
  <si>
    <t>alessio.gomiero@an.ismar.cnr.it</t>
  </si>
  <si>
    <t>Spagnolo, Alessandra/AAB-5760-2020; Perra, Guido/H-7375-2012; gomiero, alessio/N-5069-2019; Fabi, Gianna/AAD-7388-2021; Spagnolo, Alessandra/B-7924-2015; gomiero, alessio/K-1510-2015</t>
  </si>
  <si>
    <t>Spagnolo, Alessandra/0000-0001-7936-6002; Viarengo, Aldo/0000-0002-1557-6526; gomiero, alessio/0000-0001-6496-6857; Perra, Guido/0000-0002-4139-5171</t>
  </si>
  <si>
    <t>10.1016/j.marpolbul.2014.12.034</t>
  </si>
  <si>
    <t>CH0ST</t>
  </si>
  <si>
    <t>WOS:000353733400037</t>
  </si>
  <si>
    <t>Ruiz, Y; Suárez, P; Alonso, A; Longo, E; San Juan, F</t>
  </si>
  <si>
    <t>Ruiz, Yolanda; Suarez, Pilar; Alonso, Ana; Longo, Elisa; San Juan, Fuencisla</t>
  </si>
  <si>
    <t>Mutagenicity test using Vibrio harveyi in the assesment of water quality from mussel farms</t>
  </si>
  <si>
    <t>Marine pollution; Mutagenicity test; Vibrio harveyi; Gonadal neoplasia; Mytilus galloprovincialis</t>
  </si>
  <si>
    <t>POLYCYCLIC AROMATIC-HYDROCARBONS; MACOMA-BALTHICA L.; MYTILUS-GALLOPROVINCIALIS; TEMPORAL TRENDS; HEAVY-METALS; CHLORINATED PESTICIDES; PETROLEUM-HYDROCARBONS; DISSEMINATED NEOPLASIA; ENVIRONMENTAL-QUALITY; GONADAL NEOPLASMS</t>
  </si>
  <si>
    <t>This work analyses the mutagenicity of seawater from mussel farms using the Vibrio harveyi mutagenicity test and its relationship with the accumulated pollutants and the development of gonadal neoplasia in mussels. Histological disorders identified as germinoma were observed in the gonad of Mytilus galloprovincialis during the period of study. The prevalence of this pathology is significantly correlated with certain levels of pollutants accumulated in mussels, mainly of PAHs and PCBs, whose toxic equivalents were calculated as EROD induction equivalency. The mutagenicity and toxicity of the water surrounding mussel's farms is clearly correlated with the pollutants accumulated and with the neoplasia prevalence in mussels. Such correlations are corroborated by a multivariate analysis. Our results conclude with the utility of V. harveyi test as an optimal and rapid method in the monitoring of the quality of the water from mussel farms and as a tool to control the risks of pollution on mussel production and its safety for human food. (C) 2013 Elsevier Ltd. All rights reserved.</t>
  </si>
  <si>
    <t>[Ruiz, Yolanda; Suarez, Pilar; Alonso, Ana; San Juan, Fuencisla] Univ Vigo, Dept Biochem Genet &amp; Immunol, Vigo 36310, Spain; [Longo, Elisa] Univ Vigo, Dept Funct Biol &amp; Hlth Sci, Vigo 36310, Spain</t>
  </si>
  <si>
    <t>Universidade de Vigo; Universidade de Vigo</t>
  </si>
  <si>
    <t>Ruiz, Y (corresponding author), Univ Vigo, Dept Biochem Genet &amp; Immunol, Vigo 36310, Spain.</t>
  </si>
  <si>
    <t>yruiz@uvigo.es</t>
  </si>
  <si>
    <t>Suarez, Pilar/L-6497-2014; San Juan Serrano, Fuencisla/L-6300-2014; longo, elisa/L-6265-2014</t>
  </si>
  <si>
    <t>Autonomous Galician Government [PGIDIT06RMA31201PR, PGIDIT10MDS312030PR]</t>
  </si>
  <si>
    <t>Autonomous Galician Government</t>
  </si>
  <si>
    <t>The authors are very grateful to Dr. G. Wegrzyn (Gdansk University) for kindly providing us the strains of Vibrio harveyi, as well as to Antonio Antepazos and the fishermen of Antepazos I, who provided us the mussels used in this work. We also thank to Spanish Institute of Oceanography to which were contracted the pollutant analyses. This work was supported by grants from the Autonomous Galician Government (PGIDIT06RMA31201PR; PGIDIT10MDS312030PR).</t>
  </si>
  <si>
    <t>10.1016/j.watres.2013.02.031</t>
  </si>
  <si>
    <t>132EY</t>
  </si>
  <si>
    <t>WOS:000318051900012</t>
  </si>
  <si>
    <t>Hua, W; Di, Q; Liang, T; Liu, J; Zhang, J</t>
  </si>
  <si>
    <t>Hua, Wei; Di, Qing; Liang, Tao; Liu, Jia; Zhang, Jie</t>
  </si>
  <si>
    <t>Effects of spent mushroom substrate biochar on growth of oyster mushroom (Pleurotus ostreatus)</t>
  </si>
  <si>
    <t>Biochar; Oyster mushroom; Spent mushroom substrate; Food safety; Recycling</t>
  </si>
  <si>
    <t>MYCELIUM GROWTH; RESIDUES; CULTIVATION; MANAGEMENT; CARBON; YIELD</t>
  </si>
  <si>
    <t>China produces the largest amount of spent mushroom substrate (SMS) in mushroom production industry. The SMS are the residual compost waste that can lead to environmental pollution. Recycling the SMS as fertilizer is a growing opportunity for agriculture, but its efficiency is relatively low. In this study, we introduced a novel application strategy in mushroom production industry to turn the conventional SMS into a renewable biochar SMS. A cultivation experiment with oyster mushroom (Pleurotus ostreatus) was conducted to evaluate the benefits of renewable SMS in producing edible mushrooms. The results showed that the renewable SMS had greater mushroom yields (20%-25%) and faster fruiting time (4-6 days) than conventional SMS. Biochar increased mushroom yields by retaining substrate moisture and reducing nutrient loss. Further metabolomic and contaminant analyses showed that the renewable SMS could guarantee the food safety of oyster mushrooms. Economic analyses show that renewable SMS has a greater output-to-input ratio than conventional SMS. More importantly, the basic properties of renewable SMS and their effect on mushroom growth remained even after repeated uses. Our study demonstrates that the sustainable recycling of SMS can be achieved through the use of biocharred substrate, which exhibits great application potential in edible mushroom production and environmental security. (c) 2022 The Author(s). Published by Elsevier B.V. This is an open access article under the CC BY-NC-ND license (http://creativecommons.org/licenses/by-nc-nd/4.0/).</t>
  </si>
  <si>
    <t>[Hua, Wei; Di, Qing; Liang, Tao] Chongqing Acad Agr Sci, Chongqing 401329, Peoples R China; [Hua, Wei; Liu, Jia] Jiangxi Acad Agr Sci, Soil &amp; Fertilizer Resources &amp; Environm Inst, Nanchang 330200, Jiangxi, Peoples R China; [Liu, Jia] Minist Agr &amp; Rural Affairs, Key Lab Acidified Soil Ameliorat &amp; Utilizat, Nanchang 330200, Jiangxi, Peoples R China; [Zhang, Jie] Nanchang Inst Technol, Nanchang 330099, Jiangxi, Peoples R China</t>
  </si>
  <si>
    <t>Chongqing Academy of Agricultural Sciences; Jiangxi Academy of Agricultural Sciences; Ministry of Agriculture &amp; Rural Affairs; Nanchang Institute Technology</t>
  </si>
  <si>
    <t>Zhang, J (corresponding author), Nanchang Inst Technol, Nanchang 330099, Jiangxi, Peoples R China.</t>
  </si>
  <si>
    <t>mn_zhangjie@163.com</t>
  </si>
  <si>
    <t>Hu, Wei/0000-0003-1896-7482</t>
  </si>
  <si>
    <t>Chongqing Postdoctoral Science Foundation [cstc2020jcyj-bshX0004]; Chongqing Academy of Agricultural Sciences project [cqaas2021jxj126]; National Natural Science Foundation of China [32060333]; Jiangxi Provincial Science and Technology Program [20204BCJL23046]; Jiangxi Provincial Natural Science Foundation, China [2020ACBL213007]</t>
  </si>
  <si>
    <t>Chongqing Postdoctoral Science Foundation; Chongqing Academy of Agricultural Sciences project; National Natural Science Foundation of China(National Natural Science Foundation of China (NSFC)); Jiangxi Provincial Science and Technology Program; Jiangxi Provincial Natural Science Foundation, China</t>
  </si>
  <si>
    <t>This work was supported by the Chongqing Postdoctoral Science Foundation (Grant No. cstc2020jcyj-bshX0004), Chongqing Academy of Agricultural Sciences project (cqaas2021jxj126), National Natural Science Foundation of China (32060333), Jiangxi Provincial Science and Technology Program (20204BCJL23046) and Jiangxi Provincial Natural Science Foundation, China (2020ACBL213007).</t>
  </si>
  <si>
    <t>10.1016/j.eti.2022.102729</t>
  </si>
  <si>
    <t>6P7ZD</t>
  </si>
  <si>
    <t>WOS:000891144400019</t>
  </si>
  <si>
    <t>Falfushynska, HI; Gnatyshyna, LL; Ivanina, AV; Khoma, VV; Stoliar, OB; Sokolova, IM</t>
  </si>
  <si>
    <t>Falfushynska, Halina I.; Gnatyshyna, Lesya L.; Ivanina, Anna V.; Khoma, Vira V.; Stoliar, Oksana B.; Sokolova, Inna M.</t>
  </si>
  <si>
    <t>Bioenergetic responses of freshwater mussels Unio tumidus to the combined effects of nano-ZnO and temperature regime</t>
  </si>
  <si>
    <t>Nanoparticles; Heating; Energetic reserves; ATP; Adaptation; Bivalve mollusk</t>
  </si>
  <si>
    <t>ZINC-OXIDE NANOPARTICLES; CRASSOSTREA-VIRGINICA GMELIN; CELLULAR-ENERGY ALLOCATION; POWER-PLANT EFFLUENT; MYTILUS-GALLOPROVINCIALIS; HEPATIC METALLOTHIONEINS; ENGINEERED NANOPARTICLES; RUDITAPES-PHILIPPINARUM; CATOSTOMUS-COMMERSONII; STRESS RESPONSES</t>
  </si>
  <si>
    <t>Bivalves from the cooling reservoirs of electrical power plants (PP) are exposed to the chronic heating and chemical pollution making them a suitable model to study the combined effects of these stressors. We investigated the effect of in situ exposures to chemical and thermal pollution in the PP cooling ponds on the metabolic responses of unionid bivalves (Unio tumidus) to a novel widespread pollutant, ZnO nanoparticles (nZnO). Male U. tumidus from the reservoirs of Dobrotvir and Burshtyn PPs (DPP and BPP) were maintained in clean water at 18 degrees C, or exposed for 14 days to one of the following conditions: nZnO (3.1 mu M) or Zn2+ (3.1 mu M, a positive control for Zn impacts) at 18 degrees C, elevated temperature (T, 25 degrees C), or nZnO at 25 degrees C (nZnO + T). Baseline levels of glycogen, lipids and ATP were similar in the two studied populations, whereas the levels of proteins, lactate/pyruvate ratio (L/P) and extralysosomal cathepsin D level were higher in the tissues of BPP mussels. The levels of glycogen and glucose declined in most experimental exposures indicating elevated energy demand except for a slight increase in the digestive gland of warming-exposed BPP mussels and in the gills of the nZnO + T-exposed DPP-mussels. Experimental exposures stimulated cathepsin D activity likely reflecting onset of autophagic processes to compensate for stress-induced energy demand. No depletion of ATP in Zn-containing exposures was observed indicating that the cellular metabolic adjustments were sufficient for such compensation. Unexpectedly, experimental warming mitigated most metabolic responses to nZnO in co-exposures. Our data thus indicate that metabolic effects of nZnO strongly depend on the environmental context of the mussels (such as temperature and acclimation history) which must be taken into account for the molecular and cellular biomarker-based assessment of the nanoparticle effects in the field. (C) 2018 Elsevier B.V. All rights reserved.</t>
  </si>
  <si>
    <t>[Falfushynska, Halina I.; Gnatyshyna, Lesya L.; Khoma, Vira V.; Stoliar, Oksana B.] Ternopil V Hnatiuk Natl Pedag Univ, Res Lab Comparat Biochem &amp; Mol Biol, Ternopol, Ukraine; [Sokolova, Inna M.] Univ Rostock, Inst Biol Sci, Dept Marine Biol, Rostock, Germany; [Gnatyshyna, Lesya L.] IYa Horbachevsky Ternopil State Med Univ, Dept Gen Chem, Ternopol, Ukraine; [Ivanina, Anna V.; Sokolova, Inna M.] Univ North Carolina Charlotte, Dept Biol Sci, Charlotte, NC USA</t>
  </si>
  <si>
    <t>Gnatyshyna, Lesya/AAA-6868-2021; Sokolova, Inna/B-4955-2009; Falfushynska, Halina/B-6518-2015; Stoliar, Oksana/I-7397-2018; Gnatyshyna, Lesya/M-7993-2015</t>
  </si>
  <si>
    <t>Khoma, Vira/0000-0002-1148-7323; Sokolova, Inna/0000-0002-2068-4302; Falfushynska, Halina/0000-0003-3058-4919; Stoliar, Oksana/0000-0002-8579-2881; Gnatyshyna, Lesya/0000-0002-5205-1585</t>
  </si>
  <si>
    <t>Ministry of Education and Science of Ukraine [132B, MV-1]; Alexander von Humboldt Foundation (Germany)</t>
  </si>
  <si>
    <t>Ministry of Education and Science of Ukraine; Alexander von Humboldt Foundation (Germany)(Alexander von Humboldt Foundation)</t>
  </si>
  <si>
    <t>This work has been supported in part by the Ministry of Education and Science of Ukraine (Project # 132B, MV-1) and the Alexander von Humboldt Foundation (Germany). We thank Prof. Joydeep Dutta and Dr. Fei Ye (KTH Royal Institute of Technology, Sweden) for their assistance with the physico-chemical characterization of the nanoparticles.</t>
  </si>
  <si>
    <t>10.1016/j.scitotenv.2018.09.136</t>
  </si>
  <si>
    <t>GW6ST</t>
  </si>
  <si>
    <t>WOS:000447092700145</t>
  </si>
  <si>
    <t>Nesci, S; Ventrella, V; Trombetti, F; Pirini, M; Pagliarani, A</t>
  </si>
  <si>
    <t>Nesci, Salvatore; Ventrella, Vittoria; Trombetti, Fabiana; Pirini, Maurizio; Pagliarani, Alessandra</t>
  </si>
  <si>
    <t>Tri-n-butyltin binding to a low-affinity site decreases the F1FO-ATPase sensitivity to oligomycin in mussel mitochondria</t>
  </si>
  <si>
    <t>APPLIED ORGANOMETALLIC CHEMISTRY</t>
  </si>
  <si>
    <t>F1FO-ATPase; oligomycin sensitivity; mitochondria; mussel; tri-n-butyltin</t>
  </si>
  <si>
    <t>MG-ATPASE ACTIVITY; AMINO-ACID SUBSTITUTIONS; TRIBUTYLTIN TBT; SYNTHASE; INHIBITION; MUTATION; MECHANISM; ROTATION; DNA</t>
  </si>
  <si>
    <t>In mussel digestive gland mitochondria the environmental pollutant tri-n-butyltin (TBT), other than strongly inhibiting ATPase activity at &lt;1.0 mu m, at =1.0 mu m concentration was previously found to desensitize F1FO-ATPase to the antibiotic oligomycin. While F1FO-ATPase inhibition is widely known as one of the main mitochondrial damages caused by TBT, the enzyme's desensitization to oligomycin was quite unexpected. The possible mechanisms involved are here stepwise approached, aiming at enlightening the molecular mechanism(s) of TBT toxicity and the still poorly investigated oligomycin interaction with FO. The findings strongly suggest that the oligomycin desensitization directly stems from the covalent binding of TBT to monothiols of the F1FO-ATPase. This binding implies sulfur oxidation, irrespective of the possible formation of radical species in mitochondria, a mechanism which does not seem to be involved here. It is hypothesized that TBT interacts with the enzyme complex in at least two sites distinguished by different affinities: TBT binding to the high-affinity site would lead to ATPase inhibition, while TBT binding to monothiols in the low-affinity site could mirror the decrease in F1FO-ATPase oligomycin sensitivity at =1.0 mu m TBT. Experiments carried out on inside-out submitochondrial particles hint that TBT binding destabilizes the oligomycin-blocked FO conformation, allowing proton flux recovery within FO, without uncoupling the catalytic function from proton channeling. Copyright (c) 2012 John Wiley &amp; Sons, Ltd.</t>
  </si>
  <si>
    <t>[Nesci, Salvatore; Ventrella, Vittoria; Trombetti, Fabiana; Pirini, Maurizio; Pagliarani, Alessandra] Univ Bologna, Dept Vet Med Sci, I-40064 Bologna, Italy</t>
  </si>
  <si>
    <t>Pagliarani, A (corresponding author), Univ Bologna, Dept Vet Med Sci, Via Tolara di Sopra 50, I-40064 Bologna, Italy.</t>
  </si>
  <si>
    <t>alessandra.pagliarani@unibo.it</t>
  </si>
  <si>
    <t>VENTRELLA, VITTORIA/B-7422-2012; Pagliarani, Alessandra/G-3725-2012; Nesci, Salvatore/L-7791-2015</t>
  </si>
  <si>
    <t>Pagliarani, Alessandra/0000-0002-0604-4587; TROMBETTI, FABIANA/0000-0003-1611-8727; Nesci, Salvatore/0000-0001-8569-7158</t>
  </si>
  <si>
    <t>This work was financed by an RFO 2009 grant from the University of Bologna.</t>
  </si>
  <si>
    <t>0268-2605</t>
  </si>
  <si>
    <t>1099-0739</t>
  </si>
  <si>
    <t>APPL ORGANOMET CHEM</t>
  </si>
  <si>
    <t>Appl. Organomet. Chem.</t>
  </si>
  <si>
    <t>10.1002/aoc.2904</t>
  </si>
  <si>
    <t>Chemistry, Applied; Chemistry, Inorganic &amp; Nuclear</t>
  </si>
  <si>
    <t>028AD</t>
  </si>
  <si>
    <t>WOS:000310394300006</t>
  </si>
  <si>
    <t>Lu, X; He, CY; Gao, ZW; Ban, WZ; Chen, C; Zhou, CM; Gu, YC; Chen, S</t>
  </si>
  <si>
    <t>Lu, Xi; He, Changyuan; Gao, Zhiwei; Ban, Wenzheng; Chen, Chong; Zhou, Chaomei; Gu, Yingchun; Chen, Sheng</t>
  </si>
  <si>
    <t>Mussel-inspired cationic chitosan-based flocculants with floc enlarging capacity for efficient removal of anionic dye</t>
  </si>
  <si>
    <t>MATERIALS EXPRESS</t>
  </si>
  <si>
    <t>Chitosan; Flocculant; MusselInspired; Anionic Dye; Floc Size</t>
  </si>
  <si>
    <t>SIZE</t>
  </si>
  <si>
    <t>Biomass-based flocculants have been widely studied and applied to wastewater treatment due to their envi-IP 2038 10920 On: Sun 18 Jun 2023 10:27:36 ronmental friendliness. However, these flocculants ted to generate flocs with small size and lead to difficult Copyright: American Scientific Publishers solid-liquid separation after the flocculation. The ky to solving he floc size problem is enhancing intermolec-Delivered by Ingenta ular or intramolecular interaction forces by changing the molecular structure and functional groups of floccu-lants. Herein, we developed a mussel-inspired cationic biomass flocculant by functionalizing chitosan (CS) with cation component acryloyloxyethyltrimethyl ammonium chloride (DAC) and mussel-inspired monomer N-2-(3, 4-dihydroxyphenethyl) acrylamide (DAA) through free radical polymerization. The prepared flocculant could provide multiple interaction forces such as electrostatic interaction, cation-7 interaction, a - a stack-ing, and hydrogen bonding to pollutants. As a result, the spent CS-g-p (DAC-co-DAA) flocculant generate dye-containing flocs with dramatically increased size when compared with its counterpart CS-g-pDAC without catechol groups and are capable to realize more than 95% removal efficiency towards organic dyes such as MB and CR over a broad pH range from 3 to 9. This study provides some insights in how to apply this mussel-inspired strategy to develop environmentally friendly biomass-derived flocculants with floc enlarging capacity to treat organic wastewaters in wide pH range.</t>
  </si>
  <si>
    <t>[Lu, Xi] Sinopec Petr Explorat &amp; Prod Res Inst, Oil Prod Engn Div, Beijing 100083, Peoples R China; [He, Changyuan; Ban, Wenzheng; Chen, Chong; Zhou, Chaomei; Gu, Yingchun; Chen, Sheng] Sichuan Univ, Coll Biomass Sci &amp; Engn, Natl Engn Lab Clean Technol Leather Manufacture, Chengdu 610065, Peoples R China; [Gao, Zhiwei] Sinopec, Xinjiang Xinchun Petr Dev Co Ltd, Dongying 257000, Shandong, Peoples R China</t>
  </si>
  <si>
    <t>Sinopec; Sichuan University; Sinopec</t>
  </si>
  <si>
    <t>Chen, S (corresponding author), Sichuan Univ, Coll Biomass Sci &amp; Engn, Natl Engn Lab Clean Technol Leather Manufacture, Chengdu 610065, Peoples R China.</t>
  </si>
  <si>
    <t>Gao, Zhiwei/AAQ-7508-2020; Chen, Chong/AAR-4186-2021; Lu, Xi/AAE-6744-2021</t>
  </si>
  <si>
    <t>National Natural Science Foundation of China [21876119]; Science and Technology Foundation of Sichuan Province [22ZDYF2875]; open project of the Key Laboratory of Fine Chemical Application Technology of Luzhou [HYJH-2303-A]</t>
  </si>
  <si>
    <t>National Natural Science Foundation of China(National Natural Science Foundation of China (NSFC)); Science and Technology Foundation of Sichuan Province; open project of the Key Laboratory of Fine Chemical Application Technology of Luzhou</t>
  </si>
  <si>
    <t>This work was supported by the National Natural Science Foundation of China (No. 21876119) , the Science and Technology Foundation of Sichuan Province (No. 22ZDYF2875) and the open project of the Key Laboratory of Fine Chemical Application Technology of Luzhou (No. HYJH-2303-A) .</t>
  </si>
  <si>
    <t>AMER SCIENTIFIC PUBLISHERS</t>
  </si>
  <si>
    <t>VALENCIA</t>
  </si>
  <si>
    <t>26650 THE OLD RD, STE 208, VALENCIA, CA 91381-0751 USA</t>
  </si>
  <si>
    <t>2158-5849</t>
  </si>
  <si>
    <t>2158-5857</t>
  </si>
  <si>
    <t>MATER EXPRESS</t>
  </si>
  <si>
    <t>Mater. Express</t>
  </si>
  <si>
    <t>10.1166/mex.2023.2380</t>
  </si>
  <si>
    <t>K9XF7</t>
  </si>
  <si>
    <t>WOS:001019883500001</t>
  </si>
  <si>
    <t>Soliman, T; Robertson, T; McKenzie, J; Williams, J; Djanibekov, U; Inglis, GJ</t>
  </si>
  <si>
    <t>Soliman, Tarek; Robertson, Thomas; McKenzie, Jeremy; Williams, James; Djanibekov, Utkur; Inglis, Graeme J.</t>
  </si>
  <si>
    <t>An evaluation of strategies for restoring a degraded New Zealand scallop fishery using stochastic dynamic simulation modelling</t>
  </si>
  <si>
    <t>Scallop population; Resource management under uncertainty; Integrated agricultural and marine models; Freshwater policy</t>
  </si>
  <si>
    <t>PECTEN-NOVAEZELANDIAE; MOTUEKA RIVER; BAY; RECRUITMENT; MANAGEMENT; COLLAPSE; ENHANCEMENT; MORTALITY; SEDIMENT; SCIENCE</t>
  </si>
  <si>
    <t>A decision-theoretical approach was used to evaluate strategies to rebuild a severely depleted scallop (Pecten novaezelandiae) populations in the Tasman Bay and Golden Bay of New Zealand. These strategies were: no intervention, cessation of seabed bottom contact fishing, and reduction of sediment and nutrient runoff from surrounding land through on-farm practices. Our approach combined outputs of estimated effects of on-farm practices on erosion and nutrient reduction with a stochastic dynamic model of the scallop populations. The most effective individual intervention is eliminating bottom contact fishing through dredging and trawling which increased scallop biomass on average by 73% compared to the no intervention scenario. Although on-farm practices have reduced sedimentation and nutrient runoff significantly (28-36% and 2%, respectively), they have no effect on scallop biomass if implemented individually and led to only marginal improvements in scallop biomass if implemented alongside cessation of bottom contact fishing (2-4%). Although our results showed, on average, substantial recovery in the scallop population when reducing seabed bottom contact and water pollu-tion, the large uncertainty boundaries makes it unclear whether these improvements would be realized. The long-term success of such strategies will depend on the available habitat being able to sustain high densities of healthy scallop adults and recruits, a situation that has been posited in our analysis. Where scallop juvenile survival is compromised by sedimentation, nutrient pollution, or other exogenous influences, proposed interventions may be insufficient to aid recovery.</t>
  </si>
  <si>
    <t>[Soliman, Tarek; Djanibekov, Utkur] Manaaki Whenua Landcare Res, Auckland Mail Ctr, Private Bag 92170, Auckland 1142, New Zealand; [Robertson, Thomas] 509 South Union Ave, Fergus Falls, MN USA; [McKenzie, Jeremy; Williams, James] Natl Inst Water &amp; Atmospher Res Ltd NIWA, 41 Market Pl, Auckland 1010, New Zealand; [Inglis, Graeme J.] Natl Inst Water &amp; Atmospher Res Ltd NIWA, 10 Kyle St, Christchurch 8011, New Zealand</t>
  </si>
  <si>
    <t>Landcare Research - New Zealand; National Institute of Water &amp; Atmospheric Research (NIWA) - New Zealand; National Institute of Water &amp; Atmospheric Research (NIWA) - New Zealand</t>
  </si>
  <si>
    <t>Soliman, T (corresponding author), Manaaki Whenua Landcare Res, Auckland Mail Ctr, Private Bag 92170, Auckland 1142, New Zealand.</t>
  </si>
  <si>
    <t>Solimant@landcareresearch.co.nz</t>
  </si>
  <si>
    <t>Soliman, Tarek/0000-0003-2302-3873; May, Kelly/0000-0002-7423-0605</t>
  </si>
  <si>
    <t>Ministry of Business, Innovation and Employment (MBIE) through National Institute of Water and Atmospheric Research (NIWA) [C01X1515, SUSS18502]</t>
  </si>
  <si>
    <t>Ministry of Business, Innovation and Employment (MBIE) through National Institute of Water and Atmospheric Research (NIWA)(New Zealand Ministry of Business, Innovation and Employment (MBIE))</t>
  </si>
  <si>
    <t>This article was funded by Ministry of Business, Innovation and Employment (MBIE) contract C01X1515 (Sustainable Seas) through National Institute of Water and Atmospheric Research (NIWA) Project Number SUSS18502 (Risk and uncertainty) . We would like to thank the participants of the scoping workshop held on the 2nd April2019 at NIWA in Nelson who helped formulate the model structure and the participants at workshops for the related Sustainable Seas projects that developed the Systems Model and BDN model of SCA 7.</t>
  </si>
  <si>
    <t>10.1016/j.jenvman.2021.113547</t>
  </si>
  <si>
    <t>WD5MW</t>
  </si>
  <si>
    <t>WOS:000704985500007</t>
  </si>
  <si>
    <t>Phothakwanpracha, J; Lirdwitayaprasit, T; Pairohakul, S</t>
  </si>
  <si>
    <t>Phothakwanpracha, Juthamas; Lirdwitayaprasit, Thaithaworn; Pairohakul, Supanut</t>
  </si>
  <si>
    <t>Effects of sizes and concentrations of different types of microplastics on bioaccumulation and lethality rate in the green mussel, Perna viridis</t>
  </si>
  <si>
    <t>Acute toxicity; Accumulation; Lethal concentration; Microplastics; Mussel</t>
  </si>
  <si>
    <t>GOBY POMATOSCHISTUS-MICROPS; MUSSELS MYTILUS-EDULIS; POLYSTYRENE MICROPLASTICS; MARINE; INGESTION; PARTICLES; COAST; NANOPLASTICS; POLLUTION; ORGANISMS</t>
  </si>
  <si>
    <t>Microplastics (MPs) can be defined as small pieces of plastics that are less than five millimetres in diameter. MPs can be consumed and may be accumulated by filter-feeding organisms such as mussels. Therefore, this study aimed to determine the acute effects of different types, sizes and concentrations of artificially synthesized MPs on the mortality rate and MP accumulation of the green mussel Perna viridis. The samples were exposed to 66, 333, 666, and 1333 items/L of small MPs (&lt;30 mu m), medium MPs (30-300 mu m), and large MPs (300-1000 mu m) polystyrene (PS), polypropylene (PP), and polybutylene succinate (PBS) for 96 h. MPs accumulation in the soft tissue of mussels and mortality effects from MPs ingestion were assessed. There was no mortality observed in the control group. Small PP particles can lead to more mortality than PS and PBS particles of the same size. However, medium-and large PS caused a higher mortality percentage than the same size particles of PP and PBS. Large PS, PP, and PBS showed higher mortality potential than other sizes. MPs largely accumulated in the soft tissues rather than in gill tissues following the 96-hour exposure period. Increased accumulation of the three types of MPs was accompanied by an increase in the percentage of mussel mortality. The study highlights how particle size and type are key factors in plastic particulate toxicity.</t>
  </si>
  <si>
    <t>[Phothakwanpracha, Juthamas; Lirdwitayaprasit, Thaithaworn; Pairohakul, Supanut] Chulalongkorn Univ, Fac Sci, Dept Marine Sci, Bangkok, Thailand</t>
  </si>
  <si>
    <t>Pairohakul, S (corresponding author), Chulalongkorn Univ, Fac Sci, Dept Marine Sci, Bangkok, Thailand.</t>
  </si>
  <si>
    <t>Supanut.P@chula.ac.th</t>
  </si>
  <si>
    <t>Pairohakul, Supanut/0009-0000-5338-5424; Phothakwanpracha, Juthamas/0009-0009-8166-9155</t>
  </si>
  <si>
    <t>National Research Council of Thailand (NRCT), Thailand</t>
  </si>
  <si>
    <t>National Research Council of Thailand (NRCT), Thailand(National Research Council of Thailand (NRCT))</t>
  </si>
  <si>
    <t>We would like to thank Associate Professor Dr. SupakijSuttiruengwong, Faculty of Engineering and Industrial Technology, Silpakorn University, Thailand for supplying artificial microplastic samples. This research project was financially funded by National Research Council of Thailand (NRCT) , Thailand.</t>
  </si>
  <si>
    <t>10.1016/j.marpolbul.2021.112954</t>
  </si>
  <si>
    <t>US9TF</t>
  </si>
  <si>
    <t>WOS:000697767700009</t>
  </si>
  <si>
    <t>Mohamed, AS; Bin Dajem, S; Al-Kahtani, M; Ali, SB; Ibrahim, E; Morsy, K; Fahmy, SR</t>
  </si>
  <si>
    <t>Mohamed, Ayman Saber; Bin Dajem, Saad; Al-Kahtani, Mohammed; Ali, Sara Bayoumi; Ibrahim, Essam; Morsy, Kareem; Fahmy, Sohair Ramadan</t>
  </si>
  <si>
    <t>Silver/chitosan nanocomposites induce physiological and histological changes in freshwater bivalve</t>
  </si>
  <si>
    <t>Silver; Chitosan; Nanocomposites; Toxicity; Coelatura aegyptiaca</t>
  </si>
  <si>
    <t>LIGHT PHOTOCATALYTIC DEGRADATION; ZINC-OXIDE NANOPARTICLES; HEAVY-METALS; NITRIC-OXIDE; REMOVAL; SILVER; GLUTATHIONE; TOXICITY; EXPOSURE; CARBON</t>
  </si>
  <si>
    <t>Background: Bivalves can accumulate and concentrate most pollutants, even if they are present in somewhat low concentrations. The present study aimed to use freshwater bivalveas for the first time as vital indicator for silver/ chitosan nanocomposites (Ag-CS NCs) in the freshwater environment. Methods: Following the preparation and characterization of Ag-CS NCs by using UV?vis spectrophotometer, X-ray diffraction, transmission electron microscopy, and acute toxicity study, the animals exposed to three different dose of nano chitosan (CS), AgNPs, and Ag-CS NCs (12.5, 25 and 50 mg/L) for consecutive 6 days. Results: Ag-CS particles were in size range of 8?19 nm. The nominal concentrations for Ag-CS NCs were 12.5, 25 and 50 mg Ag L-1 were corresponding to measured concentration of AgNPs 0.37, 0.81, and 1.65 mg Ag L-1, respectively. All concentrations of Ag-CS NCs caused a significant increase in MDA and NO, while GSH and CAT levels decreased significantly in all organs. Histological investigation of the gills, labial palp and foot tissues showed alternation after exposure to Ag-CS NCs, especially at dose 50 mg/L. Conclusion: The present study showed that exposure to Ag-CS NCs caused oxidative stress responses in Coelatura aegyptiaca and histological changes in the organs. These physiological and histological changes observed after exposure to Ag-CS NCs were most likely the result of the action of AgNPs themselves while the effect of chitosan on these changes was negligible. We concluded that Coelatura aegyptiaca was a sensitive bio-indicator for monitoring of the past and the present water pollution by nanoparticles.</t>
  </si>
  <si>
    <t>[Mohamed, Ayman Saber; Ali, Sara Bayoumi; Fahmy, Sohair Ramadan] Cairo Univ, Dept Zool, Fac Sci, Cairo, Egypt; [Bin Dajem, Saad; Al-Kahtani, Mohammed; Ibrahim, Essam; Morsy, Kareem] King Khalid Univ, Dept Biol, Fac Sci, Abha, Saudi Arabia; [Ibrahim, Essam] Natl Org Res &amp; Control Biol, Blood Prod Qual Control &amp; Res Dept, Cairo, Egypt</t>
  </si>
  <si>
    <t>Mohamed, AS (corresponding author), Cairo Univ, Dept Zool, Fac Sci, Cairo, Egypt.</t>
  </si>
  <si>
    <t>ayman81125@hotmail.com; malekksm764@gmail.com; ahmed_Moh14@yahoo.com; sara.bayoumi@yahoo.com; essamebrahim@hotmail.com; kareemsaid156@yahoo.com; sohairfahmy@gmail.com</t>
  </si>
  <si>
    <t>Morsy, Kareem/O-7820-2017; Mohamed, Ayman/AGZ-7259-2022; Ibrahim, Essam/G-1960-2018</t>
  </si>
  <si>
    <t>Mohamed, Ayman/0000-0003-3975-4355; Ibrahim, Essam/0000-0003-0130-2257</t>
  </si>
  <si>
    <t>Deanship of Scientific Research at King Khalid University [G.R.P-19-41]</t>
  </si>
  <si>
    <t>Deanship of Scientific Research at King Khalid University</t>
  </si>
  <si>
    <t>The authors extend their appreciation to the Deanship of Scientific Research at King Khalid University for funding this work through General Research Project under grant number (G.R.P-19-41).</t>
  </si>
  <si>
    <t>10.1016/j.jtemb.2021.126719</t>
  </si>
  <si>
    <t>RF5LP</t>
  </si>
  <si>
    <t>WOS:000634880100003</t>
  </si>
  <si>
    <t>Liu, Z; Liu, T; Li, Y; Zhang, X; Xu, YC; Li, JZ; Gao, Q</t>
  </si>
  <si>
    <t>Liu, Zheng; Liu, Tao; Li, Yue; Zhang, Xin; Xu, Yecheng; Li, Jianzhang; Gao, Qiang</t>
  </si>
  <si>
    <t>Performance of soybean protein adhesive cross-linked by lignin and cuprum</t>
  </si>
  <si>
    <t>Protein adhesive; Lignin; Bionic; Low viscosity; Multifunctionality</t>
  </si>
  <si>
    <t>As a substitute for aldehyde adhesives, soybean protein adhesive has drawn wide interest in addressing formaldehyde pollution in human living rooms. However, during the preparation process, the addition of a cross-linking agent from petroleum resources is necessary to improve the strength and cause the problems of high viscosity and brittleness. Inspired by the adhesion structure of catechol in mussels, lignin with a catechol structure was constructed by one-step demethylation in this study. Lignin, copper ions, and soybean protein isolate were mixed to produce a biobased adhesive exhibiting a triple network structure without adding a petroleum-based epoxy crosslinking agent. The quinone in the lignin and the amino group in the soybean protein underwent a cross-linking reaction to ensure the bond strength and water resistance of the adhesive. The catechol structure built a sacrificial network by forming hydrogen bonds to improve the toughness and coating performance of the adhesive. Multifunctional copper ions formed multiple interface coordination bonds, reducing the viscosity of the adhesive. The wet shear strength of the adhesive with the triple cross-linked network structure reached 1.29 MPa, which was 92.5% higher than that of the pristine adhesive. The viscosity decreased to 24340 mPa s, reflecting a reduction of 84%, and the toughness and coating performance improved. Notably, the prepared adhesive showed mildew resistance (120 h), antibacterial properties (antibacterial zone = 6.8 mm), flame retardancy, and low VOCs release (6.86 x 106 mg/m2.h).</t>
  </si>
  <si>
    <t>[Gao, Qiang] Beijing Forestry Univ, MOE Key Lab Wooden Mat Sci &amp; Applicat, Beijing 100083, Peoples R China; Beijing Forestry Univ, Beijing Key Lab Wood Sci &amp; Engn, Beijing 100083, Peoples R China</t>
  </si>
  <si>
    <t>Beijing Forestry University; Beijing Forestry University</t>
  </si>
  <si>
    <t>Gao, Q (corresponding author), Beijing Forestry Univ, MOE Key Lab Wooden Mat Sci &amp; Applicat, Beijing 100083, Peoples R China.</t>
  </si>
  <si>
    <t>gaoqiang@bjfu.edu.cn</t>
  </si>
  <si>
    <t>Liu, Tao/0009-0005-5108-4309; Gao, Qiang/0000-0001-7571-4903</t>
  </si>
  <si>
    <t>National Natural Science Foundation of China [32071702]; Beijing Forestry University Outstanding Young Talent Cultivation Project [2019JQ03004]</t>
  </si>
  <si>
    <t>National Natural Science Foundation of China(National Natural Science Foundation of China (NSFC)); Beijing Forestry University Outstanding Young Talent Cultivation Project</t>
  </si>
  <si>
    <t>The authors are very appreciative of the support by financial support from the National Natural Science Foundation of China (32071702) , and Beijing Forestry University Outstanding Young Talent Cultivation Project (2019JQ03004) .</t>
  </si>
  <si>
    <t>10.1016/j.jclepro.2022.132906</t>
  </si>
  <si>
    <t>4Y8OG</t>
  </si>
  <si>
    <t>WOS:000861781000003</t>
  </si>
  <si>
    <t>Narbonne, JF; Mora, P; Michel, X; Budzinski, H; Garrigues, P; Lafaurie, M; Salaun, JP; Berge, JB; Den Besten, P; Pagano, G; Porte, C; Livingstone, D; Hansen, PD; Herbert, A</t>
  </si>
  <si>
    <t>Biological markers of environmental contamination in marine ecosystems: BIOMAR project</t>
  </si>
  <si>
    <t>JOURNAL OF TOXICOLOGY-TOXIN REVIEWS</t>
  </si>
  <si>
    <t>3rd International Symposium of Monastir on Environmental Toxicants and Pathologies</t>
  </si>
  <si>
    <t>APR 02-04, 1998</t>
  </si>
  <si>
    <t>MONASTIR, TUNISIA</t>
  </si>
  <si>
    <t>MUSSEL MYTILUS-GALLOPROVINCIALIS; SEDIMENT; BENZO(A)PYRENE; HYDROXYLASE; ASSAY</t>
  </si>
  <si>
    <t>Biochemical markers measured in marine animals can be investigated to improve their detection, quantification and to understand the significance of their exposure to contaminants in the marine environment. The main objectives of the BIOMAR project are the following: (i) Getting a better knowledge about biological mechanisms developed by marine organisms (mussel, fish, sea star, sea urchin) in coastal environments under the effects of contaminants, by in vitro and in vivo experiments; (ii) Investigation of the relationship between biochemical markers measured in marine organisms and chemical pollutants (aromatic compounds, PCB, heavy metals) determined in the marine environment (sediment, water and biota); (iii) Characterization of the criteria and physiological/biochemical/cellular parameters for an efficient coastal: contamination biomonitoring program based on biomarkers; and (iv) Automation of biomarker measurements for routine and onboard analysis. An overview of the result is presented from laboratory and field experiments with multimarker and multispecies approaches as the main objective.</t>
  </si>
  <si>
    <t>Univ Bordeaux 1, F-33405 Talence, France; Fac Med, F-06107 Nice 02, France; INRA, F-06606 Antibes, France; Aquasense, NL-1090 HC Amsterdam, Netherlands; Ist Nazl Studio &amp; Cura, I-80131 Naples, Italy; CSIC, CID, Dept Ouim Ambiental, ES-08034 Barcelona, Spain; TU Berlin, Inst Okol, D-10589 Berlin, Germany; Univ Strasbourg 1, CNRS, UPR 406, F-67083 Strasbourg, France; Plymouth Marine Lab, Plymouth PL1 2PB, Devon, England</t>
  </si>
  <si>
    <t>Universite de Bordeaux; INRAE; Consejo Superior de Investigaciones Cientificas (CSIC); CSIC - Centro de Investigacion y Desarrollo Pascual Vila (CID-CSIC); Technical University of Berlin; Universites de Strasbourg Etablissements Associes; Universite de Strasbourg; Centre National de la Recherche Scientifique (CNRS); Plymouth Marine Laboratory</t>
  </si>
  <si>
    <t>Narbonne, JF (corresponding author), Univ Bordeaux 1, F-33405 Talence, France.</t>
  </si>
  <si>
    <t>; Porte, Cinta/L-3191-2014</t>
  </si>
  <si>
    <t>BUDZINSKI, Helene/0000-0001-5282-9011; Porte, Cinta/0000-0002-3940-6409</t>
  </si>
  <si>
    <t>0731-3837</t>
  </si>
  <si>
    <t>J TOXICOL-TOXIN REV</t>
  </si>
  <si>
    <t>J. Toxicol.-Toxin Rev.</t>
  </si>
  <si>
    <t>10.3109/15569549909009253</t>
  </si>
  <si>
    <t>249EQ</t>
  </si>
  <si>
    <t>WOS:000083320300003</t>
  </si>
  <si>
    <t>Geffard, O; His, E; Budzinski, H; Chiffoleau, JF; Coynel, A; Etcheber, H</t>
  </si>
  <si>
    <t>Effects of storage method and duration on the toxicity of marine sediments to embryos of Crassostrea gigas oysters</t>
  </si>
  <si>
    <t>sediment; storage method effects; toxicity; embryo-larval test; Crassostrea gigas</t>
  </si>
  <si>
    <t>TEMPERATURE; AMMONIA; EXTRACTION; BIOASSAYS; LARVAE; TIME; IDENTIFICATION; CONTAMINATION; TOLERANCE; FRESH</t>
  </si>
  <si>
    <t>The objective of laboratory sediment bioassays is to estimate in situ toxicity. This goal is difficult to achieve, as one of the main limitations of sediment toxicity tests is disruption of sediment geochemistry during sampling, handling and preservation. The effects of storage on the estimation of marine sediment toxicity to Crassostrea gigas embryos and larvae were investigated. Three storage methods and four storage periods were compared with three different sediment types contaminated by heavy metals, polycyclic aromatic hydrocarbons (PAHs) and both contaminants. Freezing and freeze-drying considerably increased the toxicity of decanted sediments and their elutriates as compared to the toxicity obtained with fresh sediments. Concerning the elutriates, the toxicity found with frozen and freeze-dried sediments was correlated with DOC, ammonia and PAH contents. However, the toxicity of fresh sediments kept at 4 degreesC increased with increasing duration of storage and was also correlated with the amount of ammonia in the elutriates. (C) 2004 Elsevier Ltd. All rights reserved.</t>
  </si>
  <si>
    <t>Irstea, Lab Ecotoxicol, F-69336 Lyon, France; Univ Bordeaux 1, Lab Physicotoxicochim Syst Nat, F-33405 Talence, France; IFREMER, DEL PC, Stn Arcachon, F-33120 Arcachon, France; Ctr Nantes, IFREMER, DEL PC, F-44311 Nantes, France; Univ Bordeaux 1, Lab Geol &amp; Oceanog, F-33405 Talence, France</t>
  </si>
  <si>
    <t>INRAE; Universite de Bordeaux; Ifremer; Ifremer; Nantes Universite; Universite de Bordeaux</t>
  </si>
  <si>
    <t>Irstea, Lab Ecotoxicol, 3 Bis Quai Chauveau, F-69336 Lyon, France.</t>
  </si>
  <si>
    <t>geffard@lyon.cemagref.fr</t>
  </si>
  <si>
    <t>Coynel, Alexandra/0000-0003-4725-4190; BUDZINSKI, Helene/0000-0001-5282-9011; Geffard, olivier/0000-0001-7760-4644</t>
  </si>
  <si>
    <t>10.1016/j.envpol.2003.11.014</t>
  </si>
  <si>
    <t>WOS:000221587400012</t>
  </si>
  <si>
    <t>Zaldibar, B; Rodrigues, A; Lopes, M; Amaral, A; Marigómez, L; Soto, M</t>
  </si>
  <si>
    <t>Zaldibar, Benat; Rodrigues, Armindo; Lopes, Marco; Amaral, Andre; Marigomez, Lonan; Soto, Manu</t>
  </si>
  <si>
    <t>Freshwater molluscs from volcanic areas as model organisms to assess adaptation to metal chronic pollution</t>
  </si>
  <si>
    <t>volcanism; exposure biomarkers; biomarkers of effect; snails</t>
  </si>
  <si>
    <t>MUSSELS MYTILUS-GALLOPROVINCIALIS; PETROLEUM HYDROCARBON EXPOSURE; DIGESTIVE CELL LYSOSOMES; GLAND-GONAD COMPLEX; DREISSENA-POLYMORPHA; SUBCELLULAR-DISTRIBUTION; FIELD APPLICATION; HEAVY-METALS; CADMIUM; RESPONSES</t>
  </si>
  <si>
    <t>Cellular biomarkers of exposure and biological effects were measured in digestive gland of snails (Physa acuta) sampled in sites with and without active volcanism in Sao Miguel Island (Azores). Metal content in digestive cell lysosomes was determined by image analysis after autometallography (AMG) as volume density of autometallographed black silver deposits (Vv(BSD)). Lysosomal structural changes (lysosomal volume, surface and numerical densities - Vv(LYS), Sv(LYS) and Nv(LYS-), and surface-to-volume ratio - S/V-LYS-) were quantified by image analysis, after demonstration of beta-glucuronidase activity, on digestive gland cryotome sections. Additional chemical analyses (atomic absorption spectrophotometry) were done in the digestive gland of snails. The highest metal concentrations were found in snails from the active volcanic site, which agreed with high intralysomal Vv(BSD). Digestive cell lysosomes in snails inhabiting sites with active volcanism resembled a typical stress situation (enlarged and less numerous lysosomes). In conclusion, the biomarkers used in this work can be applied to detect changes in metal bioavailability due to chronic exposure to metals (volcanism), in combination with chemical analyses. (c) 2006 Elsevier B.V. All rights reserved.</t>
  </si>
  <si>
    <t>Euskal Herriko Unibersitatea, Zientzi Fak, Biol Zelularra &amp; Histol Lab, E-48080 Bilbao, Spain; Univ Acores, Cirn &amp; Dept Biol, P-9501855 Ponta Delgada, Portugal</t>
  </si>
  <si>
    <t>University of Basque Country; Universidade dos Acores</t>
  </si>
  <si>
    <t>Soto, M (corresponding author), Euskal Herriko Unibersitatea, Zientzia &amp; Teknol Fak, Zool &amp; Anim Biol Zelularra Saila,644 PK, E-48080 Bilbao, Spain.</t>
  </si>
  <si>
    <t>manu.soto@ehu.es</t>
  </si>
  <si>
    <t>Soto, Manu/C-3995-2017; MARIGOMEZ ALLENDE, Ionan/C-3909-2017; Amaral, Andre F. S./A-7662-2008; Rodrigues, Armindo/M-8200-2013; Zaldibar, Benat/Y-6728-2018</t>
  </si>
  <si>
    <t>MARIGOMEZ ALLENDE, Ionan/0000-0001-6274-541X; Amaral, Andre F. S./0000-0002-0369-9449; Rodrigues, Armindo/0000-0002-9851-5429; soto, manu/0000-0002-4541-8182; Zaldibar, Benat/0000-0002-5528-451X</t>
  </si>
  <si>
    <t>10.1016/j.scitotenv.2006.09.004</t>
  </si>
  <si>
    <t>WOS:000242431100017</t>
  </si>
  <si>
    <t>QUEVAUVILLER, P; LAVIGNE, R; PINEL, R; ASTRUC, M</t>
  </si>
  <si>
    <t>ORGANO-TINS IN SEDIMENTS AND MUSSELS FROM THE SADO ESTUARINE SYSTEM (PORTUGAL)</t>
  </si>
  <si>
    <t>Analyses of methyl- and butyl-tin levels in freshwater, estuarine and marine sediments from the Sado estuarine system, and in mussels (Mytilus galloprovincialis) from its adjacent coast, have been performed in order to detect the contaminated areas. The main inputs of tributyl-tin (TBT), along with degradation products di- and monobutyl-tin (DBT and MBT), were detected in the estuarine zone, due to high discharge from shipyards located in this area. These levels are sometimes very high, ranging from 235 to 122000 ng g-1 totla butyl-tins in sediments. Such inputs lead to higher bioconcentration values in mussels in the estuarine zone, as well as in a habour located along the adjacent coast. The bioconcentration of organo-tins in mussel tissues could be enhanced in estuarine turbid waters, due to an ingestion of butyl-tins adsorbed onto fine particles, in comparison with non-turbid coastal waters. Debutylation processes occur in both sediments and mussel tissues; in organisms, these processes may lead to the formation of inorganic tin, which may be methylated differently according to the period of the year.</t>
  </si>
  <si>
    <t>FAC SCI PAU, CHIM ANALYT LAB, F-64000 PAU, FRANCE</t>
  </si>
  <si>
    <t>Universite de Pau et des Pays de l'Adour</t>
  </si>
  <si>
    <t>UNIV BORDEAUX 1, CHIM PHYS LAB A, OCEANOG PHYS CHIM GRP, F-33405 TALENCE, FRANCE.</t>
  </si>
  <si>
    <t>10.1016/0269-7491(89)90007-9</t>
  </si>
  <si>
    <t>T8505</t>
  </si>
  <si>
    <t>WOS:A1989T850500007</t>
  </si>
  <si>
    <t>Jahan, S; Strezov, V</t>
  </si>
  <si>
    <t>Jahan, Sayka; Strezov, Vladimir</t>
  </si>
  <si>
    <t>Assessment of trace elements pollution in the sea ports of New South Wales (NSW), Australia using oysters as bioindicators</t>
  </si>
  <si>
    <t>HEAVY-METAL CONCENTRATIONS; MUSSEL-WATCH; CRASSOSTREA-GIGAS; SEDIMENT QUALITY; PACIFIC OYSTERS; RISK-ASSESSMENT; LAKE MACQUARIE; SYDNEY HARBOR; BIOACCUMULATION; CONTAMINATION</t>
  </si>
  <si>
    <t>In this study Sydney rock oysters (S. glomerata) from six major sea ports of NSW, Australia were used as bioindicators to assess the distribution and levels of trace element accumulation in the ports. Substantial enrichment of Cu, Pb and Zn in the oysters of the sea ports were detected when compared to their background samples and the US Environmental Protection Agency (USEPA) provisional tolerable intake standard. Enrichment of As, Al, Fe, Mn, Br, Sr were also found in the oysters at the port areas. The bioconcentration ratios of the trace elements illustrated significant Fe, Cu, Zn, As, Mn, Al, Pb and Cr accumulation in S. glomerate. The biota sediment accumulation factor suggested Cu, Mn and Zn accumulation at two of the ports (Port Yamba and Botany), indicating availability of these metals in the oysters as strong metal accumulators. In addition, integrated metal contamination illustrated notable Fe, Zn, Cu and Al contamination at port environment, whereas cluster analysis portrayed interconnection between the contaminants and the study sites.</t>
  </si>
  <si>
    <t>[Jahan, Sayka; Strezov, Vladimir] Macquarie Univ NSW, Fac Sci &amp; Engn, Dept Environm Sci, Sydney, NSW 2109, Australia</t>
  </si>
  <si>
    <t>Jahan, S (corresponding author), Macquarie Univ NSW, Fac Sci &amp; Engn, Dept Environm Sci, Sydney, NSW 2109, Australia.</t>
  </si>
  <si>
    <t>Strezov, Vladimir/J-4827-2019</t>
  </si>
  <si>
    <t>Strezov, Vladimir/0000-0002-9129-9284</t>
  </si>
  <si>
    <t>Macquarie University [2016237]</t>
  </si>
  <si>
    <t>The authors honorably appreciate Macquarie University for the funding (iMQRES, grant no-2016237) of this research.</t>
  </si>
  <si>
    <t>10.1038/s41598-018-38196-w</t>
  </si>
  <si>
    <t>HK2OR</t>
  </si>
  <si>
    <t>WOS:000457753000013</t>
  </si>
  <si>
    <t>Zhao, M; Zhang, SH</t>
  </si>
  <si>
    <t>Zhao, Miao; Zhang, Shenghui</t>
  </si>
  <si>
    <t>The influence of shellfish farming on sedimentary organic carbon mineralization: A case study in a coastal scallop farming area of Yantai, China</t>
  </si>
  <si>
    <t>OC mineralization; Sulfate reduction; Dissimilatory Fe reduction; Scallop farming area</t>
  </si>
  <si>
    <t>SULFATE REDUCTION; IRON REDUCTION; SURFACE SEDIMENTS; MARINE-SEDIMENTS; MANGANESE; MATTER; OXIDATION; SEA; SHELF; DEGRADATION</t>
  </si>
  <si>
    <t>This study quantified the rate and relative contribution of each sedimentary organic carbon (OC) mineralization pathway in the Yantai coastal area. The results showed that scallop farming activities with raft-breeding facilities led to increased accumulation of OC and reactive Fe(III), which in turn promoted OC aerobic mineralization, Fe reduction, and competitively inhibited sulfate reduction. In the scallop farming area (SFA), O2 reduction, dissimilatory Fe reduction, and sulfate reduction contributed 32.17 %, 27.77 %, and 30.18 % of the total OC mineralization, 1.6 times, 1.2 times, and 0.6 times those of the non-farming area, respectively. Nevertheless, scallop harvesting and resuspension by water currents will increase the short-term risk of dissolved inorganic carbon accumulation in the water column. The OC budget showed that the Yantai coastal area exhibited more OC mineralization than storage, with only 5.0-7.2 % of the net settled OC being permanently buried in the sediment.</t>
  </si>
  <si>
    <t>[Zhao, Miao; Zhang, Shenghui] Chinese Acad Sci, Yantai Inst Coastal Zone Res, Res Ctr Coastal Environm Engn Technol Shandong Pro, CAS Key Lab Coastal Environm Proc &amp; Ecol Remediat,, Yantai 264003, Peoples R China; [Zhao, Miao] Univ Chinese Acad Sci, Beijing 100049, Peoples R China</t>
  </si>
  <si>
    <t>Zhang, SH (corresponding author), Chinese Acad Sci, Yantai Inst Coastal Zone Res, Res Ctr Coastal Environm Engn Technol Shandong Pro, CAS Key Lab Coastal Environm Proc &amp; Ecol Remediat,, Yantai 264003, Peoples R China.</t>
  </si>
  <si>
    <t>shzhang@yic.ac.cn</t>
  </si>
  <si>
    <t>National Natural Science Foundation of China [42006047]; Chinese Academy of Sciences [XDB42000000]; Original Innovation Project [ZDBS-LY-DQC009]; National Key Research and Development Program of China [2019YFD0901103]</t>
  </si>
  <si>
    <t>National Natural Science Foundation of China(National Natural Science Foundation of China (NSFC)); Chinese Academy of Sciences(Chinese Academy of Sciences); Original Innovation Project; National Key Research and Development Program of China(National Key Research &amp; Development Program of China)</t>
  </si>
  <si>
    <t>This work was financially supported by the Original Innovation Project [ZDBS-LY-DQC009] ; the National Natural Science Foundation of China [Grant No. 42006047] ; the Strategic Priority Research Program [XDB42000000] of Chinese Academy of Sciences; and the National Key Research and Development Program of China [2019YFD0901103] .</t>
  </si>
  <si>
    <t>10.1016/j.marpolbul.2022.113941</t>
  </si>
  <si>
    <t>5E1FB</t>
  </si>
  <si>
    <t>WOS:000865373800003</t>
  </si>
  <si>
    <t>Franzellitti, S; Buratti, S; Du, B; Haddad, SP; Chambliss, CK; Brooks, BW; Fabbri, E</t>
  </si>
  <si>
    <t>Franzellitti, Silvia; Buratti, Sara; Du, Bowen; Haddad, Samuel P.; Chambliss, C. Kevin; Brooks, Bryan W.; Fabbri, Elena</t>
  </si>
  <si>
    <t>A multibiomarker approach to explore interactive effects of propranolol and fluoxetine in marine mussels</t>
  </si>
  <si>
    <t>Marine mussel; Fluoxetine; Propranolol; Bioaccumulation; Biomarkers; Lysosomal responses; Drug-drug interaction; Adverse outcome pathway</t>
  </si>
  <si>
    <t>PERSONAL CARE PRODUCTS; REAL-TIME PCR; GENE-EXPRESSION; MYTILUS-GALLOPROVINCIALIS; ANTIDEPRESSANT FLUOXETINE; MASS-SPECTROMETRY; STRESS SYNDROME; EXPERT-SYSTEM; PHARMACEUTICALS; ENVIRONMENT</t>
  </si>
  <si>
    <t>A multi-biomarker approach, including several lysosomal parameters, activity and mRNA expression of antioxidant enzymes, and DNA damage, was employed to investigate the nominal effects of 0.3 ng/L fluoxetine (FX) and 0.3 ng/L propranolol (PROP) alone or in combination (0.3 ng/L FX + 0.3 ng/L PROP) on Mediterranean mussels after a 7 day treatment. FX co-exposure appears to facilitate PROP bioaccumulation because PROP only accumulated in digestive gland of FX + PROP treated mussels. Lysosomal parameters were significantly impaired by FX + PROP treatment, while no clear antioxidant responses at the catalytic and transcriptional levels were observed. Biomarker responses led to a medium stress level diagnosis in FX + PROP treated mussels, according to the Expert System, whereas 0.3 ng/L PROP or FX alone did not induce consistent stress conditions. These findings suggest vulnerability of coastal marine mussels to FX and PROP contamination at environmentally relevant levels. (C) 2015 Elsevier Ltd. All rights reserved.</t>
  </si>
  <si>
    <t>[Franzellitti, Silvia; Fabbri, Elena] Univ Bologna, Dept Biol Geol &amp; Environm Sci, I-40100 Bologna, Italy; [Franzellitti, Silvia; Buratti, Sara; Fabbri, Elena] Univ Bologna, Interdept Ctr Environm Sci Res, I-48123 Ravenna, Italy; [Du, Bowen; Haddad, Samuel P.; Brooks, Bryan W.] Baylor Univ, Dept Environm Sci, Waco, TX 76798 USA; [Chambliss, C. Kevin] Baylor Univ, Dept Chem &amp; Biochem, Waco, TX 76798 USA</t>
  </si>
  <si>
    <t>University of Bologna; University of Bologna; Baylor University; Baylor University</t>
  </si>
  <si>
    <t>Franzellitti, S (corresponding author), Univ Bologna, Dept Biol Geol &amp; Environm Sci BIGEA, Via St Alberto 163, I-48123 Ravenna, Italy.</t>
  </si>
  <si>
    <t>Guenat, Heather/H-6528-2014; Fabbri, Elena/KAM-0365-2024; Brooks, Bryan/B-2612-2010</t>
  </si>
  <si>
    <t>Franzellitti, Silvia/0000-0001-6104-7812; FABBRI, Elena/0000-0002-9957-8202; Brooks, Bryan/0000-0002-6277-9852</t>
  </si>
  <si>
    <t>MEECE EU-FP7 Project; Italian Ministry of University and Research [RFO2013]</t>
  </si>
  <si>
    <t>MEECE EU-FP7 Project; Italian Ministry of University and Research(Ministry of Education, Universities and Research (MIUR))</t>
  </si>
  <si>
    <t>The research has been funded by MEECE EU-FP7 Project, and Italian Ministry of University and Research (RFO2013) to E.F.</t>
  </si>
  <si>
    <t>10.1016/j.envpol.2015.05.020</t>
  </si>
  <si>
    <t>CS8AM</t>
  </si>
  <si>
    <t>WOS:000362308100008</t>
  </si>
  <si>
    <t>Zhang, WX; Tang, Y; Han, Y; Zhou, WS; Shi, W; Teng, SS; Ren, P; Xiao, GQ; Li, SG; Liu, GX</t>
  </si>
  <si>
    <t>Zhang, Weixia; Tang, Yu; Han, Yu; Zhou, Weishang; Shi, Wei; Teng, Shuangshuang; Ren, Peng; Xiao, Guoqiang; Li, Shiguo; Liu, Guangxu</t>
  </si>
  <si>
    <t>Microplastics boost the accumulation of tetrabromobisphenol A in a commercial clam and elevate corresponding food safety risks</t>
  </si>
  <si>
    <t>Microplastics; Tetrabromobisphenol A; Accumulation; Food safety; Detoxification; Energy supply</t>
  </si>
  <si>
    <t>BROMINATED FLAME RETARDANTS; PYRUVATE-KINASE M2; DETOXIFICATION RESPONSES; MARINE-SEDIMENTS; OXIDATIVE STRESS; MYTILUS-EDULIS; P-GLYCOPROTEIN; TBBPA; EXPOSURE; BIOACCUMULATION</t>
  </si>
  <si>
    <t>Marine bivalve molluscs are one of the primary seafood for consumers. Inhabiting terrigenous pollutant-convergent coastal areas and feeding through seawater filtration, edible bivalves are subjected to waterborne emerging pollutants such as microplastics (MPs) and tetrabromobisphenol A (TBBPA). Nevertheless, the potential risks of consuming MP-TBBPA contaminated seafood are still largely unknown. With that, accumulation of TBBPA with and without the presence of MPs in a commercial bivalve species, blood clam (Tegillarca granosa), was determined in the present study. Meanwhile, corresponding target hazard quotients (THQs) as well as margins of exposure (MoEs) were estimated to evaluate the potential health risks for clam consumers. Furthermore, the impacts of pollutants accumulation on the detoxification process and energy supply were analysed. The data obtained demonstrated that MPs aggravate the accumulation of TBBPA in clams, leading to elevated potential food safety risks (indicated by higher THQ values and lower MoE values) for consumers. In addition, the in vivo contents of CYP1A1 and UDP-glucuronosyltransferase, the enzymatic activity of glutathione-S-transferase, and the expression levels of five detoxification-related genes were all dramatically suppressed by MP-TBBPA. Furthermore, clams exposed to MP-TBBPA had significantly lower adenosine triphosphate contents and lower pyruvate kinase and phosphofructokinase activities. These results indicated that the aggravation of TBBPA accumulation may be due to the hence disruption of detoxification process and limited energy available for detoxification.</t>
  </si>
  <si>
    <t>[Zhang, Weixia; Tang, Yu; Han, Yu; Zhou, Weishang; Shi, Wei; Liu, Guangxu] Zhejiang Univ, Coll Anim Sci, 866 Yuhangtang Rd, Hangzhou 310058, Peoples R China; [Teng, Shuangshuang; Ren, Peng; Xiao, Guoqiang] Zhejiang Mariculture Res Inst, Wenzhou 325005, Peoples R China; [Li, Shiguo] Chinese Acad Sci, Res Ctr Ecoenvironm Sci, Key Lab Environm Biotechnol, Beijing 100085, Peoples R China</t>
  </si>
  <si>
    <t>Zhejiang University; Chinese Academy of Sciences; Research Center for Eco-Environmental Sciences (RCEES)</t>
  </si>
  <si>
    <t>Shi, Wei/P-2846-2019; Li, Shiguo/HMB-8322-2023</t>
  </si>
  <si>
    <t>Li, Shiguo/0000-0002-1578-8844</t>
  </si>
  <si>
    <t>National Natural Science Foundation of China [32172944, 31902358]; Zhejiang Major Program of Science and Tchnology [2021C02069-7]; Natural Science Foundation of Zhejiang Province [LQ21C190003]; Key R&amp;D Program of Zhejiang Province [2021C02048, 2019C02045]; Zhejiang Provincial Key Laboratory Construction Plans [2020E10025]; Open Project of Key Laboratory of Environmental Biotechnology, CAS [kf2018005]</t>
  </si>
  <si>
    <t>National Natural Science Foundation of China(National Natural Science Foundation of China (NSFC)); Zhejiang Major Program of Science and Tchnology; Natural Science Foundation of Zhejiang Province(Natural Science Foundation of Zhejiang Province); Key R&amp;D Program of Zhejiang Province; Zhejiang Provincial Key Laboratory Construction Plans; Open Project of Key Laboratory of Environmental Biotechnology, CAS</t>
  </si>
  <si>
    <t>Authors thanks financially support from the National Natural Science Foundation of China (32172944, 31902358), the Zhejiang Major Program of Science and Tchnology (2021C02069-7), the Natural Science Foundation of Zhejiang Province (LQ21C190003), the Key R&amp;D Program of Zhejiang Province (2021C02048; 2019C02045), the Zhejiang Provincial Key Laboratory Construction Plans (2020E10025), and the Open Project of Key Laboratory of Environmental Biotechnology, CAS (kf2018005).</t>
  </si>
  <si>
    <t>10.1016/j.chemosphere.2021.133499</t>
  </si>
  <si>
    <t>ZD6BS</t>
  </si>
  <si>
    <t>WOS:000758283900002</t>
  </si>
  <si>
    <t>Widdows, J; Donkin, P; Staff, FJ; Matthiessen, P; Law, RJ; Allen, YT; Thain, JE; Allchin, CR; Jones, BR</t>
  </si>
  <si>
    <t>Measurement of stress effects (scope for growth) and contaminant levels in mussels (Mytilus edulis) collected from the Irish Sea</t>
  </si>
  <si>
    <t>Irish Sea; mussels; scope for growth; contaminants; pollution monitoring; effects-physiology; hydrocarbons; metals; sewage</t>
  </si>
  <si>
    <t>PHYSIOLOGICAL ENERGETICS; LINEAR ALKYLBENZENES; MARINE-ENVIRONMENT; PETROLEUM-HYDROCARBONS; WATERS; SEDIMENTS; SEWAGE; TRIBUTYLTIN; ESTUARY; MERCURY</t>
  </si>
  <si>
    <t>The objective of this research was to quantify the impact of pollution along the coastlines of the Irish Sea. Pollution assessment was based on the combined measurement of scope for growth (SFG), and chemical contaminants in the tissues of mussels (Mytilus edulis) collected from 38 coastal sites around the Irish Sea during June-July in 1996 and 1997. On the UK mainland coast, the SFG showed a general trend with a significant decline in water quality in the Liverpool and Morecambe Bay region. High water quality was recorded along the west coast of Wales, as well as southwest England and northwest Scotland (clean reference sites outside the Irish Sea). Along the coast of Ireland there was a similar trend with reduced SFG within the Irish Sea region. SFG was generally low north of Duncannon and then improved north of Belfast. The poor water quality on both sides of the Irish Sea is consistent with the prevailing hydrodynamics and the spatial distribution of contaminants associated with urban/ industrial development. The decline in SFG of mussels on both sides of the Irish Sea was associated with a general increase in contaminant levels in the mussels. Certain contaminants, including PAHs, TBT, SigmaDDT, Dieldrin, gamma-HCH, PCBs, and a few of the metals (Cd, Se, Ag, Pb), showed elevated concentrations. Many of these contaminants were particularly elevated in the coastal margins of Liverpool Bay, Morecambe Bay and Dublin Bay. A quantitative toxicological interpretation (QTI) of the combined tissue residue chemistry and SFG measurements indicated that at the majority of coastal sites, c. 50 to &gt;80% of the observed decline in SFG was due to PAHs as a result of fossil fuel combustion and oil spills. TBT levels were highest at major ports and harbours, but these concentrations only made a minor contribution to the overall reduction in SFG. At no sites were individual metals accumulated to concentrations that could cause a significant effect on SFG. The study identified many sites where the observed reduction in SFG was far greater than predicted from the limited number of chemical contaminants analysed, thus indicating the presence of additional 'unknown toxicants'. Sewage (containing domestic., agricultural and industrial components) appears to be an important contributor to reduced SFG and linear alkylbenzenes (LABs) and As may provide suitable 'sewage markers'. There was a highly significant positive correlation between SFG and As (P&lt;0.001). This relationship may be due to reduced As uptake by algal food material and mussels at sites with elevated PO4 concentrations (e.g. at sites with sewage inputs). Phosphate is a known competitive inhibitor of As accumulation, at least in algae. The results highlight that further research is required on 'sewage markers' in mussels. The SFG approach therefore provides a rapid, cost-effective and quantitative measure of pollution impact, as well as a means of identifying the causes through a QTI of tissue contaminants levels. It also serves to identify the presence of unidentified toxicants and areas that require further study. (C)) 2002 Elsevier Science Ltd. All rights reserved.</t>
  </si>
  <si>
    <t>Plymouth Marine Lab, Plymouth PL1 3DH, Devon, England; Ctr Environm Fisheries &amp; Aquaculture Sci, Burnham Lab, Burnham On Crouch CM0 8HA, Essex, England</t>
  </si>
  <si>
    <t>Plymouth Marine Laboratory; Centre for Environment Fisheries &amp; Aquaculture Science</t>
  </si>
  <si>
    <t>Widdows, J (corresponding author), Plymouth Marine Lab, Prospect Pl, Plymouth PL1 3DH, Devon, England.</t>
  </si>
  <si>
    <t>PII S0141-1136(01)00120-9</t>
  </si>
  <si>
    <t>10.1016/S0141-1136(01)00120-9</t>
  </si>
  <si>
    <t>539HG</t>
  </si>
  <si>
    <t>WOS:000174864000001</t>
  </si>
  <si>
    <t>León, K; Riverón, AM; Arencibia, O; Santamaría, Y; López-Cánovas, L</t>
  </si>
  <si>
    <t>Leon, Karen; Maria Riveron, Ana; Arencibia, Oscar; Santamaria, Yenis; Lopez-Canovas, Lilia</t>
  </si>
  <si>
    <t>Two-Dimensional Pulsed Field Minigel Electrophoresis with High Throughput Sample Format</t>
  </si>
  <si>
    <t>JOURNAL OF FOOD SAFETY</t>
  </si>
  <si>
    <t>PHYSICAL MAP; GENOME; CHROMOSOME; SEPARATION; KARYOTYPE; FRAGMENTS</t>
  </si>
  <si>
    <t>A rapid procedure for two-dimensional pulsed field minigel electrophoresis (2D-mini-PFGE) with high throughput sample format was standardized to separate chromosomal DNA molecules of yeast. Molecules separation in the first dimension (1D) was done in 4.5h using the contour-clamped homogeneous electric field minichamber. 1D-minigel was negatively stained with zinc-imidazole and the lanes containing the chromosomal bands were excised from the 1D-minigel. The strips were loaded into the second dimension (2D) minigel(s). 2D runs were performed in the single or multiple minigels of the transversal alternating field electrophoresis (TAFE) or multi-TAFE minichamber, respectively, for 7h. Total running time (1D+2D) was 11.5h. The 2D-mini-PFGE resolved co-migrating molecules in the Saccharomyces cerevisiae 1D-electrophoretic karyotypes and detected chromosome length polymorphisms in three distinct strains. Also, the multi-TAFE minichamber allowed obtaining up to 12 2D-DNA patterns simultaneously. This procedure could be suitable for monitoring of industrial yeast strains by molecular methods. Practical Applications This work reports the standardization of a rapid and economic two-dimensional pulsed field minigel electrophoresis procedure with high throughput sample format to separate DNA molecules with chromosomal sizes. This procedure enhances the resolution of chromosomal DNA molecules in the 1D-electrophoretic karyotypes from microorganisms and reveals chromosome length polymorphisms of different yeast strains without using restriction enzymes. The procedure also includes the staining of the 1D-minigels with zinc-imidazole. It avoids the environmental pollution caused by the ethidium bromide when the 1D-DNA molecules are visualized and prevents DNA damages due to UV-irradiation. The procedure permits to analyze from 1 to 12 DNA samples by 2D-PFGE simultaneously. It could be suitable for maintenance, monitoring and control of industrial yeast strains by molecular methods.</t>
  </si>
  <si>
    <t>[Leon, Karen; Maria Riveron, Ana; Arencibia, Oscar; Santamaria, Yenis; Lopez-Canovas, Lilia] Cuban Neurosci Ctr, Dept Mol Biol, Havana 11600, Cuba</t>
  </si>
  <si>
    <t>López-Cánovas, L (corresponding author), Cuban Neurosci Ctr, Dept Mol Biol, Ave 25 &amp; 158 15202, Havana 11600, Cuba.</t>
  </si>
  <si>
    <t>llc@cneuro.edu.cu</t>
  </si>
  <si>
    <t>Leon Arcia, Karen/0000-0001-5143-1642</t>
  </si>
  <si>
    <t>Cuban Neurosciences Center; Institute of Science and Technology of the Federal District Mexico</t>
  </si>
  <si>
    <t>We thank Maritza Arcia for providing language help and Rainel Cabarroi for supporting the figures design. This work was supported in part by the Cuban Neurosciences Center and the Institute of Science and Technology of the Federal District Mexico.</t>
  </si>
  <si>
    <t>0149-6085</t>
  </si>
  <si>
    <t>1745-4565</t>
  </si>
  <si>
    <t>J FOOD SAFETY</t>
  </si>
  <si>
    <t>J. Food Saf.</t>
  </si>
  <si>
    <t>10.1111/jfs.12042</t>
  </si>
  <si>
    <t>133BX</t>
  </si>
  <si>
    <t>WOS:000318113500014</t>
  </si>
  <si>
    <t>Gorain, B; Chakraborty, S; Pal, MM; Sarkar, R; Samanta, SK; Karmakar, S; Sen, T</t>
  </si>
  <si>
    <t>Gorain, Bapi; Chakraborty, Sumon; Pal, Murari Mohan; Sarkar, Ratul; Samanta, Samir Kumar; Karmakar, Sanmoy; Sen, Tuhinadri</t>
  </si>
  <si>
    <t>Arylamine N-acetyl Transferase (NAT) in the blue secretion of Telescopium telescopium: xenobiotic metabolizing enzyme as a biomarker for detection of environmental pollution</t>
  </si>
  <si>
    <t>ACETYLCHOLINESTERASE ACTIVITY; MYTILUS-GALLOPROVINCIALIS; BIVALVE MOLLUSKS; ACETYLTRANSFERASE; PURIFICATION; COAST</t>
  </si>
  <si>
    <t>Telescopium telescopium, a marine mollusc collected from Sundarban mangrove, belongs to the largest mollusca phylum in the world and exudes a blue secretion when stimulated mechanically. The blue secretion was found to metabolize (preferentially) para-amino benzoic acid, a substrate for N-acetyl transferase (NAT), thereby indicating acetyl transferase like activity of the secretion. Attempts were also made to characterise bioactive fraction of the blue secretion and to further use this as a biomarker for monitoring of marine pollution. NAT like enzyme from marine mollusc is a potential candidate for detoxification of different harmful chemicals. A partially purified extract of blue secretion was obtained by fractional precipitation with (NH4)(2)SO4. From different fractions obtained by precipitation, the 0-30% fraction (30S) displayed NAT like activity (using para amino benzoic acid as a substrate with para nitrophenyl phosphate or acetyl coenzyme A as acetyl group donors). Maximum NAT like enzyme activity was attained at 25 degrees C and at a pH of 6. The enzyme activity was found to be inhibited by 5 mM phenyl methyl sulfonyl fluoride. The divalent metal ions reduced NAT like activity of 30S. Moreover, Cu2+ and Zn2+ (at concentration of 1 mM) completely inhibited NAT activity. The thermal stability and bench-top stability studies were performed and it was found that the enzyme was stable at room temperature for more than 24 hours. Results from the present study further indicate that heavy metal content in blue secretion gradually decreased from pre-monsoon to post-monsoon season, which also corresponded to the change in NAT like activity. Therefore, this article stresses the importance of biomarker research for monitoring pollution.</t>
  </si>
  <si>
    <t>[Gorain, Bapi; Chakraborty, Sumon; Pal, Murari Mohan; Sarkar, Ratul; Karmakar, Sanmoy; Sen, Tuhinadri] Jadavpur Univ, Dept Pharmaceut Technol, Kolkata 700032, India; [Sarkar, Ratul; Sen, Tuhinadri] Jadavpur Univ, Sch Nat Prod Studies, Kolkata 700032, India; [Samanta, Samir Kumar] Calcutta Inst Pharmaceut Technol, Ulluberia 711316, Howrah, India</t>
  </si>
  <si>
    <t>Jadavpur University; Jadavpur University</t>
  </si>
  <si>
    <t>Gorain, B (corresponding author), Jadavpur Univ, Dept Pharmaceut Technol, Kolkata 700032, India.</t>
  </si>
  <si>
    <t>bgorain@research.jdvu.ac.in</t>
  </si>
  <si>
    <t>Gorain, Bapi/M-9706-2017</t>
  </si>
  <si>
    <t>Gorain, Bapi/0000-0002-8487-1748; KARMAKAR, SANMOY/0000-0003-2162-5061</t>
  </si>
  <si>
    <t>DRDO (ER &amp; IPR), New Delhi [ERIP/ER/0603580/M/01/1059]</t>
  </si>
  <si>
    <t>DRDO (ER &amp; IPR), New Delhi(Defence Research &amp; Development Organisation (DRDO))</t>
  </si>
  <si>
    <t>We are thankful to the DRDO (ER &amp; IPR), New Delhi, for the financial support in the form of a research project (Sanction No. ERIP/ER/0603580/M/01/1059). We thankfully acknowledge the support of Prof. Amlan Dasgupta towards improving the language of the manuscript.</t>
  </si>
  <si>
    <t>10.1186/2193-1801-3-666</t>
  </si>
  <si>
    <t>CO4FF</t>
  </si>
  <si>
    <t>WOS:000359115700001</t>
  </si>
  <si>
    <t>Bioaccumulation and metabolomics responses in oysters Crassostrea hongkongensis impacted by different levels of metal pollution</t>
  </si>
  <si>
    <t>Crassostrea hongkongensis; Metals; Metabolomics; Contaminants; H-1 NMR spectrometry</t>
  </si>
  <si>
    <t>CLAM RUDITAPES-PHILIPPINARUM; NMR-BASED METABOLOMICS; MUSSEL MYTILUS-EDULIS; CONTAMINATED ESTUARY; DREISSENA-POLYMORPHA; TRACE-METALS; COPPER; TOXICITY; EXPOSURE; STRESS</t>
  </si>
  <si>
    <t>Jiulong River Estuary, located in southern China, was heavily contaminated by metal pollution. In this study, the estuarine oysters Crassostrea hongkongensis were transplanted to two sites with similar hydrological conditions but different levels of metal pollution in Jiulong River Estuary over a six-month period. We characterized the time-series change of metal bioaccumulation and final metabolomics responses of oysters. Following transplantation, all metals (Cd, Cu, Cr, Ni, Pb, and Zn) in the oyster digestive glands had elevated concentrations overtime. By the end of six-month exposure, Cu, Zn and Cd were the main metals significantly differentiating the two sites. Using H-1 NMR metabolite approach, we further demonstrated the disturbance in osmotic regulation, energy metabolism, and glycerophospholipid metabolism induced by metal contaminations. Six months later, the oysters transplanted in the two sites showed a similar metabolite variation pattern when compared with the initial oysters regardless of different metal levels in the tissues. Interestingly, by comparing the oysters from two sites, the more severely polluted oysters accumulated significantly higher amounts of osmolytes (betaine and homarine) and lower energy storage compounds (glycogen) than the less polluted oysters; these changes could be the potential biomarkers for different levels of metal pollution. Our study demonstrated the complexity of biological effects under field conditions, and NMR metabolomics provides an important approach to detect sensitive variation of oyster inner status. (C) 2016 Elsevier Ltd. All rights reserved.</t>
  </si>
  <si>
    <t>[Cao, Chen; Wang, Wen-Xiong] Hong Kong Univ Sci &amp; Technol, Div Life Sci, Kowloon, Hong Kong, Peoples R China; [Cao, Chen; Wang, Wen-Xiong] HKUST Shenzhen Res Inst, Shenzhen 518057, Peoples R China</t>
  </si>
  <si>
    <t>Hong Kong University of Science &amp; Technology; Shenzhen Research Institute, The Hong Kong University of Science &amp; Technology; Hong Kong University of Science &amp; Technology</t>
  </si>
  <si>
    <t>Cao, Chen/0000-0001-6909-5739; Wang, Wenxiong/0000-0001-9033-0158</t>
  </si>
  <si>
    <t>We thank the anonymous reviewers for valuable suggestions to improve the quality of the paper. We are very grateful to Professor Jianghua Feng (Xiamen University).and Zhishui Li for the assistance with NMR, and Yizhou Me for the help of samples collection. This work was supported by a Key Project from the National Natural Science Foundation (21237004) and a General Research Fund grant from the Hong Kong Research Grants Council (662813).</t>
  </si>
  <si>
    <t>10.1016/j.envpol.2016.05.047</t>
  </si>
  <si>
    <t>WOS:000383930500018</t>
  </si>
  <si>
    <t>Bartolomé, L; Navarro, P; Raposo, JC; Arana, G; Zuloaga, O; Etxebarria, N; Soto, M</t>
  </si>
  <si>
    <t>Bartolome, L.; Navarro, P.; Raposo, J. C.; Arana, G.; Zuloaga, O.; Etxebarria, N.; Soto, M.</t>
  </si>
  <si>
    <t>Occurrence and Distribution of Metals in Mussels from the Cantabrian Coast</t>
  </si>
  <si>
    <t>ELEMENT CONCENTRATIONS; MYTILUS; GALLOPROVINCIALIS; BIOACCUMULATION; CONTAMINATION; BIOMARKERS; EXPOSURE; VANADIUM; CADMIUM; MERCURY</t>
  </si>
  <si>
    <t>From February 2004 to April 2006, the concentrations of more than 10 metals in mussels (Mytilus galloprovincialis) were measured in 10 stations from Galicia to the Basque Country in 8 different times of sampling. The mean highest concentrations are found for Zn [226.8 mu g/g, dry weight (d.w.)] followed by Mn, As, Cu, and Co (between 10 and 25 mu g/g d.w.). Lower mean concentrations are found for Se, Cr, Pb, V, and Ni (between 2 and 8 mu g/g d.w.) and the lowest are for Cd, Sn, Hg, and Sb (between 0.05 and 1 mu g/g d.w.). Among the statistical treatments used, the factor analysis showed a clustering of the mussels according to the geographical location. In addition, the temporal trend of the metal concentrations was studied by means of the Mann-Kendall test. In this sense, some stations showed a decreasing trend in the accumulation of the metallic content. However, there were some local pollution events that could be explained as a consequence of anthropogenic activities. Finally, the effects of the oil spill from the Prestige are discussed based on the experimental Ni/V ratio values obtained from this work and those of the original oil.</t>
  </si>
  <si>
    <t>[Bartolome, L.; Navarro, P.; Raposo, J. C.; Arana, G.; Zuloaga, O.; Etxebarria, N.] Univ Basque Country, Dept Analyt Chem, Leioa 48940, Spain; [Soto, M.] Univ Basque Country, Dept Zool &amp; Anim Cell Biol, Leioa 48940, Spain</t>
  </si>
  <si>
    <t>Bartolomé, L (corresponding author), Univ Basque Country, Dept Analyt Chem, Leioa 48940, Spain.</t>
  </si>
  <si>
    <t>luis.bartolome@ehu.es</t>
  </si>
  <si>
    <t>Etxebarria, Nestor/C-7341-2008; Arana, Gorka/K-5958-2014; ZULOAGA ZUBIETA, OLATZ/Y-6497-2018</t>
  </si>
  <si>
    <t>Etxebarria, Nestor/0000-0002-2942-9463; Bartolome, Luis/0000-0002-2103-9073; Arana, Gorka/0000-0001-7854-855X; soto, manu/0000-0002-4541-8182; ZULOAGA ZUBIETA, OLATZ/0000-0002-3614-6293</t>
  </si>
  <si>
    <t>Ministry of Education [VEM2003-20082-C06-04]; Basque Government; Basque Country Government; Ministry of Education and Science; European Social Found</t>
  </si>
  <si>
    <t>Ministry of Education; Basque Government(Basque Government); Basque Country Government(Basque Government); Ministry of Education and Science(Ministry of Education, Culture, Sports, Science and Technology, Japan (MEXT)); European Social Found(European Social Fund (ESF))</t>
  </si>
  <si>
    <t>This work has been financially supported by the Ministry of Education through the VEM2003-20082-C06-04 project and by the Basque Government through the ETORTEK-IMPRES project. Dr. J. C. Raposo is grateful to the Central Service of Analysis for providing the analytical resources at the University of the Basque Country (supported by the Basque Country Government, the Ministry of Education and Science, and the European Social Found).</t>
  </si>
  <si>
    <t>10.1007/s00244-010-9476-7</t>
  </si>
  <si>
    <t>WOS:000280225900007</t>
  </si>
  <si>
    <t>Almeida, JM; Palma, C; Félix, PM; Brito, AC</t>
  </si>
  <si>
    <t>Almeida, Jose Miguel; Palma, Carla; Felix, Pedro M.; Brito, Ana C.</t>
  </si>
  <si>
    <t>Long-term variation of dissolved metals and metalloid in the waters of an Atlantic mesotidal estuary (Sado Estuary, Portugal)</t>
  </si>
  <si>
    <t>Metals; Contamination; Estuarine waters; Quality assessment; Long-term series</t>
  </si>
  <si>
    <t>TRACE-METALS; SEA-WATER; CONTAMINATION; SEDIMENTS; ZINC; MANAGEMENT; MANGANESE; CADMIUM; MERCURY; SYSTEMS</t>
  </si>
  <si>
    <t>Estuaries have long been preferred sites of human settlement due to the benefits regarding proximity to fresh water and the ocean. As such, these environments have been subject to increasing anthropogenic pressures, resulting in issues of pollution and contamination. However, since the second half of the 20th century an environmental concern has reflected in the development of legislation, monitoring programmes and measures to diminish and control those impacts. The study presented herein integrates metals and metalloid concentrations from surface water samples obtained in a long-term monitoring programme (1986-2020) conducted in the Sado Estuary. The results obtained show a decrease and stabilisation of the concentrations of elements (between 81 % for Pb and 11 % for As in the average concentrations, between 83 % for Pb and 11 % for Cd in the median concentrations, and an increase of 1 % in the As median values). Nevertheless, high concentrations were still observed in the stations closest to the industrial area and the main freshwater to confluence with the estuary. Despite the efforts in improving the environmental quality of the Sado Estuary, possible effects in native species such as cuttlefishes and oysters are still a possibility, particularly in the stations where higher concentrations were registered, as well as close to nurseries as a result of trace metal transport through currents and tides.</t>
  </si>
  <si>
    <t>[Almeida, Jose Miguel; Palma, Carla] Inst Hidrog, Rua Trinas 49, P-1249093 Lisbon, Portugal; [Felix, Pedro M.; Brito, Ana C.] Univ Lisbon, Fac Ciencias, MARE Marine &amp; Environm Sci Ctr, ARNET Aquat Res NETwork, P-1749016 Lisbon, Portugal; [Brito, Ana C.] Univ Lisbon, Fac Ciencias, Dept Biol Vegetal, P-1749016 Lisbon, Portugal</t>
  </si>
  <si>
    <t>Universidade de Lisboa; Universidade de Lisboa</t>
  </si>
  <si>
    <t>Almeida, JM (corresponding author), Inst Hidrog, Rua Trinas 49, P-1249093 Lisbon, Portugal.</t>
  </si>
  <si>
    <t>jose.almeida@hidrografico.pt</t>
  </si>
  <si>
    <t>Palma, Carla/Q-9590-2017; Felix, Pedro/JEP-5440-2023</t>
  </si>
  <si>
    <t>Felix, Pedro/0000-0002-0466-3464; Almeida, Jose Miguel/0009-0002-7099-0436</t>
  </si>
  <si>
    <t>Operational Program Mar2020 [CEECIND/0095/2017]; Fundacao para a Ciencia e a Tecnologia (FCT) [UIDB/04292/2020]; Fundacao para a Ciencia e a Tecnologia [LA/P/0069/2020, PINFRA/22128/2016]; Infrastructure CoastNet; [MAR - 02.01.01-FEAMP-0051]</t>
  </si>
  <si>
    <t>Operational Program Mar2020; Fundacao para a Ciencia e a Tecnologia (FCT)(Fundacao para a Ciencia e a Tecnologia (FCT)); Fundacao para a Ciencia e a Tecnologia(Fundacao para a Ciencia e a Tecnologia (FCT)); Infrastructure CoastNet;</t>
  </si>
  <si>
    <t>This work was conducted within the framework of AQUASADO Project (MAR - 02.01.01-FEAMP-0051) - Promoting sustainable aqua-culture in the Sado Estuary, funded by the Operational Program Mar2020. A.C. Brito was funded by the Fundacao para a Ciencia e a Tecnologia (FCT), through the Scientific Employment Stimulus Pro-gramme (CEECIND/0095/2017). This work also received further support from Fundacao para a Ciencia e a Tecnologia, through the strategic projects (UIDB/04292/2020, LA/P/0069/2020) granted to MARE and ARNET. The work also benefited from the Infrastructure CoastNet (PINFRA/22128/2016). The 1986-2010 data were provided by the Instituto Hidrografico as part of their internal project POLSADO.</t>
  </si>
  <si>
    <t>10.1016/j.marpolbul.2023.114615</t>
  </si>
  <si>
    <t>D4TJ5</t>
  </si>
  <si>
    <t>WOS:000968670600001</t>
  </si>
  <si>
    <t>Gardon, T; Morvan, L; Huvet, A; Quillien, V; Soyez, C; Le Moullac, G; Le Luyer, J</t>
  </si>
  <si>
    <t>Gardon, Tony; Morvan, Lucie; Huvet, Arnaud; Quillien, Virgile; Soyez, Claude; Le Moullac, Gilles; Le Luyer, Jeremy</t>
  </si>
  <si>
    <t>Microplastics induce dose-specific transcriptomic disruptions in energy metabolism and immunity of the pearl oyster Pinctada margaritifera</t>
  </si>
  <si>
    <t>Microbeads; Marine bivalve; Differentially expressed genes; Stress response; Energy-limited tolerance</t>
  </si>
  <si>
    <t>POLYSTYRENE MICROPLASTICS; MYTILUS-EDULIS; OXIDATIVE STRESS; MARINE ORGANISMS; MANILA CLAM; INGESTION; EXPOSURE; MUSSEL; SIZE; BIOTRANSFORMATION</t>
  </si>
  <si>
    <t>A combined approach integrating bioenergetics and major biological activities is essential to properly understand the impact of microplastics (MP) on marine organisms. Following experimental exposure of polystyrene microbeads (micro-PS of 6 and 10 mu m) at 0.25, 2.5, and 25 mu g L-1, which demonstrated a dose-dependent decrease of energy balance in the pearl oyster Pinctada margaritifera, a transcriptomic study was conducted on mantle tissue. Transcriptomic data helped us to decipher the molecular mechanisms involved in P. margaritifera responses to micro-PS and search more broadly for effects on energetically expensive maintenance functions. Genes related to the detoxification process were impacted by long-term micro-PS exposure through a decrease in antioxidant response functioning, most likely leading to oxidative stress and damage, especially at higher micro-PS doses. The immune response was also found to be dose-specific, with a stress-related activity stimulated by the lowest dose present after a 2-month exposure period. This stress response was not observed following exposure to higher doses, reflecting an energy-limited capacity of pearl oysters to cope with prolonged stress and a dramatic shift to adjust to pessimum conditions, mostly limited and hampered by a lowered energetic budget. This preliminary experiment lays the foundation for exploring pathways and gene expression in P. margaritifera, and marine mollusks in general, under MP exposure. We also propose a conceptual framework to properly assess realistic MP effects on organisms and population resilience in future investigations. (C) 2020 The Authors. Published by Elsevier Ltd.</t>
  </si>
  <si>
    <t>[Gardon, Tony; Morvan, Lucie; Quillien, Virgile; Soyez, Claude; Le Moullac, Gilles; Le Luyer, Jeremy] Univ Polynesie Francaise, IFREMER, Inst Louis Malarde, IRD,EIO, F-98719 Tahiti, French Polynesi, France; [Huvet, Arnaud; Quillien, Virgile] Univ Brest, IFREMER, CNRS, IRD,LEMAR, F-29280 Plouzane, France</t>
  </si>
  <si>
    <t>Ifremer; Institut de Recherche pour le Developpement (IRD); Centre National de la Recherche Scientifique (CNRS); Ifremer; Institut de Recherche pour le Developpement (IRD); Universite de Bretagne Occidentale</t>
  </si>
  <si>
    <t>Le Luyer, J (corresponding author), Univ Polynesie Francaise, IFREMER, Inst Louis Malarde, IRD,EIO, F-98719 Tahiti, French Polynesi, France.</t>
  </si>
  <si>
    <t>jeremy.le.luyer@ifremer.fr</t>
  </si>
  <si>
    <t>Le Moullac, Gilles/0000-0003-3749-8239; Le Luyer, Jeremy/0000-0001-9409-3196; Huvet, Arnaud/0000-0001-6912-881X; Gardon, Tony/0000-0002-5761-0526</t>
  </si>
  <si>
    <t>Ifremer; Direction des Ressources Marines (DRM)</t>
  </si>
  <si>
    <t>This study was a part of the MICROLAG project funded by Ifremer and the Direction des Ressources Marines (DRM).</t>
  </si>
  <si>
    <t>10.1016/j.envpol.2020.115180</t>
  </si>
  <si>
    <t>NR3DP</t>
  </si>
  <si>
    <t>WOS:000571443200012</t>
  </si>
  <si>
    <t>Leite, C; Coppola, F; Monteiro, R; Russo, T; Polese, G; Silva, MRF; Lourenço, MAO; Ferreira, P; Soares, AMVM; Pereira, E; Freitas, R</t>
  </si>
  <si>
    <t>Leite, Carla; Coppola, Francesca; Monteiro, Rui; Russo, Tania; Polese, Gianluca; Silva, Mariana R. F.; Lourenco, Mirtha A. O.; Ferreira, Paula; Soares, Amadeu M. V. M.; Pereira, Eduarda; Freitas, Rosa</t>
  </si>
  <si>
    <t>Toxic impacts of rutile titanium dioxide in Mytilus galloprovincialis exposed to warming conditions</t>
  </si>
  <si>
    <t>Climate changes; Mussels; Titanium dioxide; Oxidative stress; Metabolism; Histopathology</t>
  </si>
  <si>
    <t>OXIDATIVE STRESS; TIO2 NANOPARTICLES; DIGESTIVE GLAND; HISTOPATHOLOGICAL INDEXES; RUDITAPES-DECUSSATUS; MEDITERRANEAN MUSSEL; BIOCHEMICAL MARKERS; THERMAL-STRESS; WASTE-WATER; ACCUMULATION</t>
  </si>
  <si>
    <t>Climate change is leading to a gradual increase in the ocean temperature, which can cause physiological and biochemical impairments in aquatic organisms. Along with the environmental changes, the presence of emerging pollutants such as titanium dioxide (TiO2) in marine coastal systems has also been a topic of concern, especially considering the interactive effects that both factors may present to inhabiting organisms. In the present study, it has been assessed the effects of the presence in water of particles of rutile, the most common polymorph of TiO2, in Mytilus galloprovincialis, under actual and predicted warming conditions. Organisms were exposed to different concentrations of rutile (0, 5, 50,100 mu g/L) at control (18 +/- 1.0 degrees C) and increased (22 +/- 1.0 degrees C) temperatures. Histopathological and biochemical changes were evaluated in mussels after 28 days of exposure. Histopathological examination revealed similar alterations on mussels' gills and digestive glands with increasing rutile concentrations at both temperatures. Biochemical markers showed that contaminated mussels have an unchanged metabolic capacity at 18 degrees C, which increased at 22 degrees C. Although antioxidant defences were activated in contaminated organisms at 22 degrees C, cellular damage was still observed. Overall, our findings showed that histopathological impacts occurred after rutile exposure regardless of the temperature, while biochemical alterations were only significantly noticeable when temperature was enhanced to 22 degrees C. Thus, this study demonstrated that temperature rise may significantly enhance the sensitivity of bivalves towards emerging pollutants. (C) 2020 Elsevier Ltd. All rights reserved.</t>
  </si>
  <si>
    <t>[Leite, Carla; Coppola, Francesca; Soares, Amadeu M. V. M.; Freitas, Rosa] Univ Aveiro, Dept Biol, Campus Univ Santiago, P-3810193 Aveiro, Portugal; [Leite, Carla; Coppola, Francesca; Soares, Amadeu M. V. M.; Freitas, Rosa] Univ Aveiro, CESAM, P-3810193 Aveiro, Portugal; [Monteiro, Rui; Pereira, Eduarda] Univ Aveiro, Dept Quim, P-3810193 Aveiro, Portugal; [Monteiro, Rui; Pereira, Eduarda] Univ Aveiro, CESAM, LAQV REQUIMTE, P-3810193 Aveiro, Portugal; [Russo, Tania; Polese, Gianluca] Univ Napoli Federico II, Dipartimento Biol, I-80126 Naples, Italy; [Silva, Mariana R. F.; Lourenco, Mirtha A. O.; Ferreira, Paula] Univ Aveiro, CICECO Inst Mat Aveiro, Dept Engn Mat &amp; Ceram, P-3810193 Aveiro, Portugal; [Lourenco, Mirtha A. O.] Ctr Sustainable Future Technol, Ist Italiano Tecnol, Via Livorno 60, I-10144 Turin, TO, Italy; [Monteiro, Rui] Univ Porto, CIIMAR, P-4050123 Porto, Portugal</t>
  </si>
  <si>
    <t>Universidade de Aveiro; Universidade de Aveiro; Universidade de Aveiro; Universidade de Aveiro; University of Naples Federico II; Universidade de Aveiro; Istituto Italiano di Tecnologia - IIT; Universidade do Porto</t>
  </si>
  <si>
    <t>Lourenco, Mirtha/KYR-3375-2024; Freitas, Rosa/A-7539-2012; silva, mariana/ABW-5799-2022; Pereira, Eduarda/A-5907-2012; Monteiro, Rui/Q-6628-2018; Coppola, Francesca/U-8869-2018; Soares, Amadeu/A-8304-2008; Ferreira, Paula/I-5618-2013; Polese, Gianluca/F-3496-2013; Russo, Tania/AHA-0304-2022; Leite, Carla/F-1683-2019</t>
  </si>
  <si>
    <t>Soares, Amadeu/0000-0003-0879-9470; Ferreira, Paula/0000-0002-6578-8164; Coppola, Francesca/0000-0002-7039-9630; Polese, Gianluca/0000-0002-6322-7769; Russo, Tania/0000-0002-3531-3977; Lourenco, Mirtha/0000-0003-0260-3422; Rodrigues Ferreira Silva, Mariana/0000-0002-4338-5399; Leite, Carla/0000-0001-8579-293X</t>
  </si>
  <si>
    <t>Portuguese Science Foundation (FCT) [NSFC/0001/2016]; National Funds through the FCT - FSE [SFRH/BD/118582/2016, SFRH/BD/108535/2015]; Programa Operacional Capital Humano (POCH) e da Uniao Europeia; national funds (OE), through FCT [4, 5, 6, Law 57/2016]; project BISPECIAl: BIvalveS under Polluted Environment and ClImate chAnge - FEDER, through COMPETE2020 - Programa Operacional Competitividade e Internacionalizacao (POCI) [PTDC/CTA-AMB/28425/2017, POCI-01-0145-FEDER-028425]; national funds (OE), through FCT/MCTES; CESAM [UIDB/50017/2020, UIDP/50017/2020]; CICECO [UIDB/50011/2020, UIDP/50011/2020]; Smart Green Homes Project - national funds through the FCT/MEC [POCI-01-0247-FEDER-007678]; FEDER under the PT2020 Partnership Agreement; FEDER under Compete 2020; [IF/00300/2015]; Fundação para a Ciência e a Tecnologia [PTDC/CTA-AMB/28425/2017, NSFC/0001/2016] Funding Source: FCT</t>
  </si>
  <si>
    <t>Portuguese Science Foundation (FCT)(Fundacao para a Ciencia e a Tecnologia (FCT)); National Funds through the FCT - FSE; Programa Operacional Capital Humano (POCH) e da Uniao Europeia; national funds (OE), through FCT(Fundacao para a Ciencia e a Tecnologia (FCT)); project BISPECIAl: BIvalveS under Polluted Environment and ClImate chAnge - FEDER, through COMPETE2020 - Programa Operacional Competitividade e Internacionalizacao (POCI); national funds (OE), through FCT/MCTES(Fundacao para a Ciencia e a Tecnologia (FCT)); CESAM; CICECO; Smart Green Homes Project - national funds through the FCT/MEC; FEDER under the PT2020 Partnership Agreement; FEDER under Compete 2020; ; Fundação para a Ciência e a Tecnologia(Fundacao para a Ciencia e a Tecnologia (FCT))</t>
  </si>
  <si>
    <t>Carla Leite benefited from BSc grant under the project ASAR-ISAFE (NSFC/0001/2016) funded by the Portuguese Science Foundation (FCT). Francesca Coppola, and Rui Monteiro benefited from PhD grants (SFRH/BD/118582/2016 and SFRH/BD/108535/2015, respectively), given by the National Funds through the FCT, supported by FSE and Programa Operacional Capital Humano (POCH) e da Uniao Europeia. Paula Ferreira acknowledge the grant IF/00300/2015. Rosa Freitas was funded by national funds (OE), through FCT, in the scope of the framework contract foreseen in the numbers 4, 5 and 6 of the article 23, of the Decree-Law 57/2016, of August 29, changed by Law 57/2017, of July 19. This work was also financially supported by the project BISPECIAl: BIvalveS under Polluted Environment and ClImate chAnge PTDC/CTA-AMB/28425/2017 (POCI-01-0145-FEDER-028425) funded by FEDER, through COMPETE2020 - Programa Operacional Competitividade e Internacionalizacao (POCI), and by national funds (OE), through FCT/MCTES. Thanks are due for the financial support to CESAM (UIDB/50017/2020thornUIDP/50017/2020), CICECO (UIDB/50011/2020 &amp; UIDP/50011/2020) and Smart Green Homes Project (POCI-01-0247-FEDER-007678), financed by national funds through the FCT/MEC and co-financed by FEDER under the PT2020 Partnership Agreement and Compete 2020.</t>
  </si>
  <si>
    <t>10.1016/j.chemosphere.2020.126563</t>
  </si>
  <si>
    <t>LP5SH</t>
  </si>
  <si>
    <t>WOS:000534377000073</t>
  </si>
  <si>
    <t>Forlin, L; Baden, SP; Eriksson, S; Granmo, A; Lindesjoo, E; Magnusson, K; Ekelund, R; Esselin, A; Sturve, J</t>
  </si>
  <si>
    <t>Effects of contaminants in roundnose grenadier (Coryphaenoides rupestris) and Norway lobster (Nephrops norvegicus) and contaminant levels in mussels (Mytilus edulis) in the Skagerrak and Kattegat compared to the Faroe Islands</t>
  </si>
  <si>
    <t>biomonitoring; fish; contaminants; mussels; hypoxia; lobster</t>
  </si>
  <si>
    <t>BIOTRANSFORMATION ENZYME-ACTIVITIES; PULP-MILL EFFLUENTS; RAINBOW-TROUT; FISH; CYTOCHROME-P-450; PHYSIOLOGY; MANGANESE; POLLUTION; SEDIMENT; WATERS</t>
  </si>
  <si>
    <t>in situ biomonitoring of roundnose grenadier (Coryphaenoides rupestris) and Norway lobster (Nephrops norvegicus) and measurements of pollutant levels in caged common mussel (Mytilus edulis) were used to assess the environmental impact of contaminants in the Skagerrak and Kattegat and near the Faroe Islands. By comparing the responses of a suite of established and potential biomarkers, i.e. different liver detoxification enzymes and histopathology in roundnose grenadier in the Skagerrak, and at a reference site off the Faroe islands, evidence was found that the deeper parts of the Skagerrak are affected by anthropogenic contaminants. Levels of polycyclic aromatic hydrocarbons (PAH) and organochlorines in caged mussels were compared with those in sediment. The Skagerrak/Kattegat area was found to be more polluted than the Faroe area and the caged mussels bioaccumulated the PAHs to a higher degree than the organochlorines. This seems to indicate that the PAHs in the sediments are more bioavailable than the organochlorines and that the induced ethoxyresorufin-O-deethylase activities observed in Skagerrak roundnose grenadier may be due to RAN exposure. The Norway lobster accumulated manganese to Various degrees in the different parts of the organism. The excretion rate of manganese could not cope with the uptake rate at higher exposure concentrations. Enhanced manganese concentrations, especially in the gills and haemolymph, seem to be a useful indication of increased manganese levels in the water. Hypoxia makes sediment-bound manganese much more bioavailable. The elevated levels of manganese in Norway lobster from the Skagerrak/Kattegat area therefore seem to reflect the increasing occurrence of hypoxic conditions in the Kattegat and coastal areas of the Skagerrak. Accumulated manganese in Norway lobster may thus serve as a biomarker of hypoxia. In conclusion, the use of a suite of different biomarkers in ecotoxicological and ecophysiological studies and analyses of contaminant levels have provided evidence of a large-scale environmental impact of pollutants and nutrients in the Skagerrak/Kattegat area. This should lead to further efforts to decrease transport into and deposition of waste compounds in the sea.</t>
  </si>
  <si>
    <t>GOTHENBURG UNIV, KRISTINEBERG MARINE RES STN, S-45034 FISKEBACKSKIL, SWEDEN; UNIV STOCKHOLM, INST APPL ENVIRONM RES, LAB AQUAT ECOTOXICOL, S-61182 NYKOPING, SWEDEN</t>
  </si>
  <si>
    <t>University of Gothenburg; Stockholm University</t>
  </si>
  <si>
    <t>Forlin, L (corresponding author), GOTHENBURG UNIV, DEPT ZOOPHYSIOL, MED AREGATAN 18, S-41390 GOTHENBURG, SWEDEN.</t>
  </si>
  <si>
    <t>Sturve, Joachim/0000-0001-9370-993X; Baden, Susanne/0000-0002-2126-8941</t>
  </si>
  <si>
    <t>10.1016/S1385-1101(96)90748-0</t>
  </si>
  <si>
    <t>WOS:A1996UR70200020</t>
  </si>
  <si>
    <t>RUIZ, JM; BRYAN, GW; GIBBS, PE</t>
  </si>
  <si>
    <t>EFFECTS OF TRIBUTYLTIN (TBT) EXPOSURE ON THE VELIGER LARVAE DEVELOPMENT OF THE BIVALVE SCROBICULARIA-PLANA (DACOSTA)</t>
  </si>
  <si>
    <t>BIVALVE SCROBICULARIA PLANA; TOXIC EFFECT; TRIBUTYLTIN (TBT); VELIGER LARVAE DEVELOPMENT</t>
  </si>
  <si>
    <t>ISOGNOMON-CALIFORNICUM; MERCENARIA-MERCENARIA; HAWAIIAN BIVALVE; MYTILUS-EDULIS; ACUTE TOXICITY; GROWTH; ESTUARIES; SURVIVAL; CADMIUM; EMBRYOS</t>
  </si>
  <si>
    <t>Laboratory-obtained veliger larvae of the bivalve Scrobicularia plana were used to test the toxicity of the antifoulant tributyltin (TBT) by means of a static renewal trial which monitored larval survival and growth as influenced by nominal TBT concentrations of 50, 125, 250 and 500 ng Sn . 1(-1) during 10-day exposure. While S. plana veligers (mean initial shell length = 100 mu m) were found to develop to pediveligers (mean length = 230 mu m) in 10 days under control culture conditions, all levels of TBT tested significantly reduced the veliger growth rate (by a factor of greater than or equal to 2.7); probable lethal effects of nominal levels greater than or equal to 250 ng Sn . 1(-1) could not be demonstrated because of reduced larval survival in the solvent control. The results are discussed in relation to the widespread disappearance of S. plana in North Atlantic European estuaries during the 1980s and the concurrent TBT pollution in their waters. It is concluded that TBT has probably contributed to the reported demise of clam populations by preventing the successful and timely development of their veliger larvae.</t>
  </si>
  <si>
    <t>Ruiz, Jose M./E-5363-2010</t>
  </si>
  <si>
    <t>10.1016/0022-0981(94)00151-3</t>
  </si>
  <si>
    <t>QN803</t>
  </si>
  <si>
    <t>WOS:A1995QN80300005</t>
  </si>
  <si>
    <t>Rodrigues, LJ; Blemker, SR; Frangos, SC; De Jesus, B; Soler, IR; Ríos, RV; Goldsmith, ST</t>
  </si>
  <si>
    <t>Rodrigues, Lisa J.; Blemker, Samantha R.; Frangos, Sean C.; De Jesus, Beatriz; Ramos Soler, Ismael; Viqueira Rios, Roberto; Goldsmith, Steven T.</t>
  </si>
  <si>
    <t>Bioaccumulation of trace metals in two oyster species from southwest Puerto Rico</t>
  </si>
  <si>
    <t>Biomonitoring; Guanica; Oyster; Trace metal; Ecosystem management</t>
  </si>
  <si>
    <t>CHEMICAL CONCENTRATIONS; GUANICA BAY; CONTAMINATION; COPPER; MUSSELS; MARINE; TRENDS; ZINC; MANAGEMENT; SEDIMENTS</t>
  </si>
  <si>
    <t>As coastal ecosystems are impacted by land use change and anthropogenic activities, oysters can be an important tool for monitoring local water quality. We collected oysters (Crassostrea rhizophorae and Isognomon alatus) from coastal sites near Gu ' anica and La Parguera in southwest Puerto Rico and analyzed their tissue for concentrations of Ag, As, Cd, Co, Cr, Cu, Ni, Pb, V, and Zn. All trace metals were found in both species, with high bioaccumulation factors for Ag, Cd, and Zn in both species and Cr in C. rhizophorae. Some trace metals are likely associated with anthropogenic sources, including paints and vehicles (Cu and Zn), oil (Ni and V), and wood preservatives (As). Cr in oysters near Gu ' anica is most likely associated with sediment from erosion in the watershed. Both species could be used to monitor changes in trace metal concentrations and the influence of future watershed management strategies in the region.</t>
  </si>
  <si>
    <t>[Rodrigues, Lisa J.; Blemker, Samantha R.; Frangos, Sean C.; De Jesus, Beatriz; Goldsmith, Steven T.] Villanova Univ, Dept Geog &amp; Environm, 800 Lancaster Ave, Villanova, PA 19085 USA; [Ramos Soler, Ismael] Aleli Environm Inc, POB 3442, Lajas, PR 00667 USA; [Viqueira Rios, Roberto] Protectores Cuencas, POB 1563, Yauco, PR 00698 USA</t>
  </si>
  <si>
    <t>Villanova University</t>
  </si>
  <si>
    <t>Rodrigues, LJ (corresponding author), Villanova Univ, Dept Geog &amp; Environm, 800 Lancaster Ave, Villanova, PA 19085 USA.</t>
  </si>
  <si>
    <t>lisa.rodrigues@villanova.edu</t>
  </si>
  <si>
    <t>Rodrigues, Lisa/A-2541-2009</t>
  </si>
  <si>
    <t>Rodrigues, Lisa/0000-0002-0973-0451; Goldsmith, Steven/0000-0002-5413-7796</t>
  </si>
  <si>
    <t>National Fish and Wildlife Foundation [46613]; College of Liberal Arts and Sciences, Villanova University</t>
  </si>
  <si>
    <t>National Fish and Wildlife Foundation; College of Liberal Arts and Sciences, Villanova University</t>
  </si>
  <si>
    <t>Acknowledgements We thank K. Radabaugh and D. Smith for assistance in the field; P. Marenco, Bryn Mawr College for assistance with trace metal analyses; and M. Gandy for assistance with GIS analyses. Funding was provided by the National Fish and Wildlife Foundation (#46613) to STG, LJR, S. J. Levas, and R. P. Moyer, with matching funds provided by the College of Liberal Arts and Sciences, Villanova University; neither sponsor had any role in the study design, data collection, interpretation, or analysis, or writing of the submitted article.</t>
  </si>
  <si>
    <t>10.1016/j.marpolbul.2022.113581</t>
  </si>
  <si>
    <t>WOS:000806352600003</t>
  </si>
  <si>
    <t>Prego, R; Belzunce, MJ; Cobelo, A; Helios-Rybicka, E</t>
  </si>
  <si>
    <t>Prego, R.; Belzunce, M. J.; Cobelo, A.; Helios-Rybicka, E.</t>
  </si>
  <si>
    <t>Particulate metal in the Ulla River estuary: State and sources of contamination (Arosa Ria, NW Iberian Peninsula)</t>
  </si>
  <si>
    <t>estuary; metal; sediment; suspended particulate matter; Ulla River</t>
  </si>
  <si>
    <t>HEAVY-METALS; SEDIMENTS; SPAIN; VIGO; ACCUMULATION; AUSTRALIA; POLLUTION; BEHAVIOR; GALICIA; MUSSEL</t>
  </si>
  <si>
    <t>The metal content measured in surface sediment and suspended particulate matter (SPM) samples collected from the Ulla River estuary (NW Spain) showed evidence of contamination by Cr, Cu, Mn, Ni, and Zn, but not by Cd, Fe, and Pb. The metals are trapped mainly in the sediment of two estuary zones, just before they reach the Arosa Ria. The first zone is located at the estuary head, where estuarine mixing occurs and the SPM from the Ulla River contributes Cu, Mn, Ni, and Zn, while the Sar River discharges urban waste and Cr. The second zone is located at the estuary mouth (ria head), where a weak sediment dynamics and the presence of mussel rafts results in contamination by Cu and Cr, metals that are abundant in the SPM that manages to traverse a shallow sand bar found before the estuary Mouth.</t>
  </si>
  <si>
    <t>[Prego, R.; Cobelo, A.] CSIC, Inst Invest Marinas, Marine Biogeochem Res Grp, Vigo, Spain; [Belzunce, M. J.] AZTI, San Sebastian, Spain; [Helios-Rybicka, E.] Univ Min &amp; Met Krakow, Fac Geog, Krakow, Poland</t>
  </si>
  <si>
    <t>Consejo Superior de Investigaciones Cientificas (CSIC); CSIC - Instituto de Investigaciones Marinas (IIM); AZTI; AGH University of Krakow</t>
  </si>
  <si>
    <t>Prego, R (corresponding author), CSIC, Inst Invest Marinas, Marine Biogeochem Res Grp, Vigo, Spain.</t>
  </si>
  <si>
    <t>prego@iim.csic.es</t>
  </si>
  <si>
    <t>Prego, Ricardo/H-4169-2012</t>
  </si>
  <si>
    <t>Prego, Ricardo/0000-0001-8922-6775</t>
  </si>
  <si>
    <t>Spanish Ministry of Science and Innovation; Spain's Interministerial Commission for Science and Technology (CICYT) [REN2003-04106-C03]</t>
  </si>
  <si>
    <t>Spanish Ministry of Science and Innovation(Spanish Government); Spain's Interministerial Commission for Science and Technology (CICYT)(Consejo Interinstitucional de Ciencia y Tecnologia (CICYT))</t>
  </si>
  <si>
    <t>We wish to thank A Labandeira, M Gonzalez, D Caride, and A Rodriguez for their technical assistance, and the Spanish Ministry of Science and Innovation for financial assistance to E Helios-Rybicka (travel and stay at the IIM-CSIC). This article is a contribution to the LOICZ-Spain program through the project Biogeochemical budget and 3-D modeling of metal transport in a ria (ref. REN2003-04106-C03), financed by Spain's Interministerial Commission for Science and Technology (CICYT).</t>
  </si>
  <si>
    <t>10.7773/cm.v34i3.1399</t>
  </si>
  <si>
    <t>364CA</t>
  </si>
  <si>
    <t>WOS:000260312600012</t>
  </si>
  <si>
    <t>Tang, Y; Han, Y; Zhang, WX; Yu, YH; Huang, L; Zhou, WS; Shi, W; Tian, DD; Liu, GX</t>
  </si>
  <si>
    <t>Tang, Yu; Han, Yu; Zhang, Weixia; Yu, Yihan; Huang, Lin; Zhou, Weishang; Shi, Wei; Tian, Dandan; Liu, Guangxu</t>
  </si>
  <si>
    <t>Bisphenol A and microplastics weaken the antimicrobial ability of blood clams by disrupting humoral immune responses and suppressing hemocyte chemotactic activity</t>
  </si>
  <si>
    <t>Microplastics; Bisphenol A; Antimicrobial ability; Humoral immunity; Hemocyte chemotactic activity</t>
  </si>
  <si>
    <t>MYTILUS-GALLOPROVINCIALIS; OXIDATIVE STRESS; RIVER; BPA; REPRODUCTION; TOXICITY; EXPOSURE; MAPK; FATE; SEA</t>
  </si>
  <si>
    <t>Robust antimicrobial capability is crucial for marine organisms survival in complex ocean environments. Although the detrimental impacts of emergent pollutants on cellular immune response of marine bivalve mollusks were increasingly documented, the effects of bisphenol A (BPA) and microplastics (MPs) on humoral immune response and hemocyte chemotactic activity remain unclear. Therefore, in this study, the toxicities of BPA and MPs, alone or in combination, to the antimicrobial ability, humoral immune response, and hemocyte chemotactic activity were investigated in the blood clam Tegillarca granosa. Our data demonstrated that exposure of blood clams to BPA, MPs, and BPA-MPs for 2 weeks lead to significant reductions in their survival rates upon pathogenic bacterial challenge, indicating evident impairment of antimicrobial ability. Compared to control, the plasma of pollutant-incubated blood clams exhibited significantly less antimicrobial activity against the growth of V. harveyi, suggesting significant reduction in humoral immune effectors including defensin, lysozyme (LZM), and lectin. Moreover, hemocytes migration across the polycarbonate membrane to the serum containing chamber was markedly arrested by 2-week exposure to BPA, MPs, and BPA-MPs, suggesting a hampered chemotactic activity. In addition, the intracellular contents of ROS and protein carbonyl in hemocytes were markedly induced whereas the expression levels of key genes from the MAPK and actin cytoskeleton regulation pathways were significantly suppressed upon exposure. In this study, it was also found that BPA-MP coexposure was significantly more toxic than single exposures. In summary, our findings revealed that exposure to the pollutants tested possibly impair the antimicrobial ability of blood clam through (1) reducing the inhibitory effect of plasma on bacterial growth, the contents of humoral immune effectors, and the chemotactic activity of hemocytes, (2) interrupting IL-17 activation of MAPK signal pathway, (3) inducing intracellular ROS, elevating protein carbonylation levels, and disrupting actin cytoskeleton regulation in hemocytes.</t>
  </si>
  <si>
    <t>[Tang, Yu; Han, Yu; Zhang, Weixia; Yu, Yihan; Huang, Lin; Zhou, Weishang; Shi, Wei; Tian, Dandan; Liu, Guangxu] Zhejiang Univ, Inst Lab Origin, Coll Anim Sci, Hangzhou 310058, Peoples R China; [Liu, Guangxu] Zhejiang Univ, Agr Environm Biol Grp, Room 551,Zijingang Campus,866 Yuhangtang Rd, Hangzhou 310058, Zhejiang, Peoples R China</t>
  </si>
  <si>
    <t>Zhejiang University; Zhejiang University</t>
  </si>
  <si>
    <t>National Natural Science Foundation of China [32172944, 31902358]; Zhejiang Major Pro-gram of Science and Technology [2021C02069-7]; Natural Science Foundation of Zhejiang Province [LQ21C190003]; Key R&amp;D Pro-gram of Zhejiang Province [2021C02048, 2019C02045]; Zhejiang Provincial Key Laboratory Construction Plans [2020E10025]; Open Project of Key Laboratory of Environmental Biotechnology, CAS [kf2018005]</t>
  </si>
  <si>
    <t>National Natural Science Foundation of China(National Natural Science Foundation of China (NSFC)); Zhejiang Major Pro-gram of Science and Technology; Natural Science Foundation of Zhejiang Province(Natural Science Foundation of Zhejiang Province); Key R&amp;D Pro-gram of Zhejiang Province; Zhejiang Provincial Key Laboratory Construction Plans; Open Project of Key Laboratory of Environmental Biotechnology, CAS</t>
  </si>
  <si>
    <t>Acknowledgement Authors thanks financially support from the National Natural Science Foundation of China (32172944, 31902358) , the Zhejiang Major Pro-gram of Science and Technology (2021C02069-7) , the Natural Science Foundation of Zhejiang Province (LQ21C190003) , the Key R&amp;D Pro-gram of Zhejiang Province (2021C02048; 2019C02045) , the Zhejiang Provincial Key Laboratory Construction Plans (2020E10025) , and the Open Project of Key Laboratory of Environmental Biotechnology, CAS (kf2018005) .</t>
  </si>
  <si>
    <t>10.1016/j.envpol.2022.119497</t>
  </si>
  <si>
    <t>1T8RS</t>
  </si>
  <si>
    <t>WOS:000804993600009</t>
  </si>
  <si>
    <t>Katalay, S; Yavasoglu, A; Yigitturk, G; Oltulu, F; Sari, G; Yavasoglu, NUK</t>
  </si>
  <si>
    <t>Katalay, Selma; Yavasoglu, Altug; Yigitturk, Gurkan; Oltulu, Fatih; Sari, Gozde; Yavasoglu, N. Ulku Karabay</t>
  </si>
  <si>
    <t>HISTOLOGICAL EFFECTS OF POLLUTION ON GILL AND HEPATOPANCREAS TISSUES OF BLACK MUSSELS (M. GALLOPROVINCIALIS L.) FROM IZMIR BAY OF TURKEY</t>
  </si>
  <si>
    <t>M.galloprovincialis; pollution; histology; gill; hepatopancreas</t>
  </si>
  <si>
    <t>POLYCYCLIC AROMATIC-HYDROCARBONS; HEAVY-METAL POLLUTION; MYTILUS-EDULIS; DIGESTIVE GLAND; TRACE-METALS; EXPOSURE; HISTOPATHOLOGY; RESPONSES; CELLS; FIELD</t>
  </si>
  <si>
    <t>In the present study, the histological examination of the hepatopancreas (digestive gland) and gills of black mussels, Mytilus galloprovincialis was performed as a part of the biomonitoring programs carried out to assess the biological effects of the Izmir Bay (Western coast of Turkey). Mussels collected from five stations; Urla in the outer Bay and Inciralti, Goztepe, Konak, Pasaport in the inner Bay of Izmir Bay. While normal histology on hepatopancreas tissue was observed in Urla samples, vacuolar degenerations and hemocytic infiltrations were abundant in hepatopancreas throughout the other four stations. Also breakdown of digestive epithelium was determined in only Pasaport station. In gill tissues, while hemocytic infiltration was observed in Urla samples, gradually increasing cilia erosion, fusion, cell loss and necrosis was observed in Inciralti, Goztepe, Konak, Pasaport samples. Lumen was determined as normal in Urla and Goztepe samples and enlarged in Inciralti samples. The lumen in each filament was thinner and in some parts adjoined to each other and in Konak and Pasaport samples. Also the gills abfrontal tissue integrity was disturbed in these two stations.</t>
  </si>
  <si>
    <t>[Katalay, Selma; Sari, Gozde] Celal Bayar Univ, Fac Sci &amp; Art, Dept Biol, TR-45140 Manisa, Turkey; [Yavasoglu, Altug; Yigitturk, Gurkan; Oltulu, Fatih] Ege Univ, Dept Histol &amp; Embryol, Fac Med, TR-35100 Izmir, Turkey; [Yavasoglu, N. Ulku Karabay] Ege Univ, Dept Biol, Fac Sci, TR-35100 Izmir, Turkey</t>
  </si>
  <si>
    <t>Katalay, S (corresponding author), Celal Bayar Univ, Fen Edebiyat Fak, Biyol Bolumu Muradiye, Manisa, Turkey.</t>
  </si>
  <si>
    <t>katalayselma@gmail.com</t>
  </si>
  <si>
    <t>Karabay Yavasoglu, N.Ulku/0000-0002-7483-0184</t>
  </si>
  <si>
    <t>DQ1NL</t>
  </si>
  <si>
    <t>WOS:000378967600018</t>
  </si>
  <si>
    <t>Shiry, N; Derakhshesh, N; Alavinia, SJ; Pouladi, M; Falco, F; Faggio, C</t>
  </si>
  <si>
    <t>Shiry, Nima; Derakhshesh, Negin; Alavinia, Seyed Jalil; Pouladi, Mojtaba; Falco, Francesca; Faggio, Caterina</t>
  </si>
  <si>
    <t>Anodonta cygnea, a freshwater swan mussel, exposed to diazinon: toxicity thresholds in behaviour and physiology</t>
  </si>
  <si>
    <t>Pesticide; Mussel (Anodonta cygnea); Behavioral markers; Biomarker; Acetylcholinesterase (AChE)</t>
  </si>
  <si>
    <t>ASIAN CLAM; OXIDATIVE STRESS; RUDITAPES-PHILIPPINARUM; CORBICULA-FLUMINEA; FILTRATION-RATES; ACHE INHIBITION; HEAVY-METALS; BIOMARKERS; ANTIOXIDANT; HEMOCYTES</t>
  </si>
  <si>
    <t>Swan mussels (Anodonta cygnea) have been suggested as suitable bioindicators for the presence of pollutants in the environment. Application of the physiological and behavioral markers in these sessile species can be beneficial for environmental monitoring. The present study aimed to investigate the relationship between the behavioral disorders of movement and siphoning associated with the inhibition of tissue Acetylcholinesterase (AChE). For experiments, overally 120 bivalves of Anodonta cygnea (mean total length 80.33 +/- 6.7 mm) were transported from the agricultural drains and canals in Sari county (Mazandaran Province, Iran) to our laboratory. First, the LC50-96 h of diazinon was estimated according to the Organization for Economic Co-operation and Development (OECD 1992) guideline with static water conditions. The sub-lethal toxicity pesticide experiments were conducted on the basis of the lowest observed effect concentration (LOEC) and the maximum acceptable toxicant concentration (MATC). The LC50-96 h, LOEC, and MATC values of diazinon were 85.2, 42.1, and 8.5 mg L- 1, respectively. Based on the observations of mussels' movement, the burrowing and displacement decreased with the concentration of toxicant in water. Moreover, the presence of diazinon in water and its exposure to experimental animals significantly reduces their siphoning rate. The RDA showed that the AChE activity had a higher correlation with the siphoning behavior than the movement behavior. The comparison of enzyme activity at different exposure and recovery times showed that there was a significant difference among the groups affected by the consumed pesticide (p = 0.001, between contrasts). The most remarkable morphometric characteristic was the siphon opening that was inversely correlated with the enzymatic activity. Studies in bioethics might benefit from paying attention to these traits that are directly related to the level of toxicity and behavioral adaptations required for animal survival.</t>
  </si>
  <si>
    <t>[Shiry, Nima] Shiraz Univ, Sch Vet Med, Dept Clin Sci, Shiraz, Iran; [Shiry, Nima; Derakhshesh, Negin] Iran Fisheries Org, Adm Khuzestan Prov, Abadan, Iran; [Alavinia, Seyed Jalil] Univ Tehran, Fac Nat Resources, Dept Fisheries, Karaj, Iran; [Alavinia, Seyed Jalil] Univ Tehran, Sch Vet Med, Dept Aquat Anim Hlth, Tehran, Iran; [Pouladi, Mojtaba] Iran Fisheries Org, Adm Bushehr Prov, Bushehr, Iran; [Falco, Francesca] Inst Biol Resources &amp; Marine Biotechnol IRBIM, Natl Res Council, Mazara Del Vallo, Italy; [Faggio, Caterina] Univ Messina, Dept Chem Biol Pharmaceut &amp; Environm Sci, Messina, Italy</t>
  </si>
  <si>
    <t>Shiraz University; University of Tehran; University of Tehran; Consiglio Nazionale delle Ricerche (CNR); Istituto per le Risorse Biologiche Biotecnologie Marine (IRBIM-CNR); University of Messina</t>
  </si>
  <si>
    <t>Faggio, C (corresponding author), Univ Messina, Dept Chem Biol Pharmaceut &amp; Environm Sci, Messina, Italy.</t>
  </si>
  <si>
    <t>Shiry, Nima/HNB-3824-2023; falco, francesca/ABA-8531-2021</t>
  </si>
  <si>
    <t>falco, francesca/0000-0002-4236-4916; Alavinia, Seyed Jalil/0000-0002-4547-2744; Shiry, Nima/0000-0002-7838-269X</t>
  </si>
  <si>
    <t>University of Tehran University College of Agriculture and Natural Resources</t>
  </si>
  <si>
    <t>The authors gratefully acknowledge Dr. Hadi Pourbagher (Campus of Agriculture and Natural Resources, University of Tehran) for some facilities provided to us. We report financial support, equipment, drugs, or supplies provided by the University of Tehran University College of Agriculture and Natural Resources.</t>
  </si>
  <si>
    <t>1573-7446</t>
  </si>
  <si>
    <t>10.1007/s11259-023-10078-1</t>
  </si>
  <si>
    <t>R4KG8</t>
  </si>
  <si>
    <t>WOS:000931831700001</t>
  </si>
  <si>
    <t>Gorski, J; Nugegoda, D</t>
  </si>
  <si>
    <t>Gorski, J.; Nugegoda, D.</t>
  </si>
  <si>
    <t>Toxicity of trace metals to juvenile abalone, Haliotis rubra following short-term exposure</t>
  </si>
  <si>
    <t>COPPER TOXICITY; DIVERSICOLOR-SUPERTEXTA; CADMIUM; ACCUMULATION; MERCURY; ZINC; TOLERANCE; POLLUTION; OYSTER; MUCUS</t>
  </si>
  <si>
    <t>RMIT Univ, Dept Biotechnol &amp; Environm Biol, Bundoora, Vic 3083, Australia</t>
  </si>
  <si>
    <t>Gorski, J (corresponding author), RMIT Univ, Dept Biotechnol &amp; Environm Biol, POB 71, Bundoora, Vic 3083, Australia.</t>
  </si>
  <si>
    <t>Nugegoda, Dayanthi/R-9770-2019</t>
  </si>
  <si>
    <t>Nugegoda, Dayanthi/0000-0002-6327-4581</t>
  </si>
  <si>
    <t>10.1007/s00128-006-1125-5</t>
  </si>
  <si>
    <t>116LT</t>
  </si>
  <si>
    <t>WOS:000242805100017</t>
  </si>
  <si>
    <t>Dovzhenko, NV; Chelomin, VP; Mazur, AA; Kukla, SP; Slobodskova, VV; Istomina, AA; Zhukovskaya, AF</t>
  </si>
  <si>
    <t>Dovzhenko, Nadezda Vladimirovna; Chelomin, Victor Pavlovich; Mazur, Andrey Alexandrovich; Kukla, Sergey Petrovich; Slobodskova, Valentina Vladimirovna; Istomina, Aleksandra Anatolievna; Zhukovskaya, Avianna Fayazovna</t>
  </si>
  <si>
    <t>Oxidative Stress in Far Eastern Mussel Mytilus trossulus (Gould, 1850) Exposed to Combined Polystyrene Microspheres (μPSs) and CuO-Nanoparticles (CuO-NPs)</t>
  </si>
  <si>
    <t>microplastics; nanoparticles; genotoxicity; bivalve; oxidative stress</t>
  </si>
  <si>
    <t>TITANIUM-DIOXIDE NANOPARTICLES; COPPER-OXIDE NANOPARTICLES; POMATOSCHISTUS-MICROPS; GOLD NANOPARTICLES; MICROPLASTICS; TOXICITY; GENOTOXICITY; BIOMARKERS; ORGANISMS; JUVENILES</t>
  </si>
  <si>
    <t>The ingress of nanoparticles of metal oxides and microfragments of synthetic polymers (microplastics) into a marine environment causes unpredictable consequences. The effects of such particles cannot be predicted due to a lack of ecotoxicological information. In this research, a series of laboratory experiments were conducted on the combined effects of CuO-nanoparticles (CuO-NPs) and polystyrene microspheres (mu PSs) on the development of oxidative stress processes in the marine filter-feeder mollusk Mytilus trossulus. Biomarkers of oxidative stress, including the lysosome membrane stability of hematocytes (LMS), the index of antioxidant activity (IAA), the levels of malonaldehyde (MDA) and protein carbonyls (PCs), and DNA damage in digestive gland cells, were measured after 5 days of exposure. Based on a battery of biochemical markers, it was shown that oxidative stress was induced at varying degrees in the experimental mollusks when exposed to CuO-NPs and mu PSs both separately and in combination. In contrast, the single-treatment effect on the lysosomal membrane was enhanced by the combined CuO-NPs and mu PSs (from 77.14 +/- 8.56 to 42 +/- 4.26 min). In addition, exposure to both the compounds alone and in combination decreased the IAA (from 22.87 +/- 1.25, to 19.55 +/- 0.21, 10.73 +/- 0.53, and 12.06 +/- 1.62 nM/mg protein, respectively). The PC level significantly increased only after CuO-NP exposure (from 0.496 +/- 0.02 to 0.838 +/- 0.03 mu M/mg protein). Furthermore, the results showed that the investigated particles, both alone and in combination, promoted DNA damage in digestive gland cells (from 2.02 +/- 0.52 to 5.15 +/- 0.37, 18.29 +/- 2.14, and 10.72 +/- 2.53%, respectively), indicating that these compounds are genotoxic. Overall, the results obtained suggest that oxidative stress is the leading factor in the negative effects of CuO-NPs and mu PSs. Considering the exceptional role of genome integrity in the functioning of biological systems, the revealed damages in the DNA molecule structure should be attributed to the most important manifestations of the toxicity of these two forms of marine pollution.</t>
  </si>
  <si>
    <t>[Dovzhenko, Nadezda Vladimirovna; Chelomin, Victor Pavlovich; Mazur, Andrey Alexandrovich; Kukla, Sergey Petrovich; Slobodskova, Valentina Vladimirovna; Istomina, Aleksandra Anatolievna; Zhukovskaya, Avianna Fayazovna] Russian Acad Sci, Ilichev Pacific Oceanol Inst, Far Eastern Branch, Vladivostok 690041, Russia</t>
  </si>
  <si>
    <t>Russian Academy of Sciences</t>
  </si>
  <si>
    <t>Kukla, SP (corresponding author), Russian Acad Sci, Ilichev Pacific Oceanol Inst, Far Eastern Branch, Vladivostok 690041, Russia.</t>
  </si>
  <si>
    <t>doreme_07@mail.ru; chelomin@poi.dvo.ru; mazur.aa@poi.dvo.ru; kukla.sp@mail.ru; slobodskova@list.ru; s-istominal@mail.ru; avianna@poi.dvo.ru</t>
  </si>
  <si>
    <t>Dovzhenko, Nadezhda/AAN-8800-2020; Mazur, Marina/E-3841-2018</t>
  </si>
  <si>
    <t>Zhukovskaya, Avianna/0000-0002-6541-607X; Dovzhenko, Nadezhda/0000-0002-4106-0777</t>
  </si>
  <si>
    <t>Il'ichev Pacific Oceanological Institute, FEB RAS [121-21500052-9]</t>
  </si>
  <si>
    <t>Il'ichev Pacific Oceanological Institute, FEB RAS</t>
  </si>
  <si>
    <t>10.3390/jmse10050707</t>
  </si>
  <si>
    <t>1P1NZ</t>
  </si>
  <si>
    <t>WOS:000801785700001</t>
  </si>
  <si>
    <t>BIOASSAYING THE TOXICITY OF TRIBUTYLTIN-(TBT)-POLLUTED SEDIMENT TO SPAT OF THE BIVALVE SCROBICULARIA-PLANA</t>
  </si>
  <si>
    <t>SEDIMENT TOXICITY BIOASSAY; TBT POLLUTION; BIVALVE JUVENILE; SCROBICULARIA-PLANA</t>
  </si>
  <si>
    <t>POLYCHAETE NEREIS-DIVERSICOLOR; HEAVY-METALS; WADDEN SEA; ESTUARIES; TBT; TRIBUTYLTIN; BIOAVAILABILITY; RECRUITMENT; SETTLEMENT; WATER</t>
  </si>
  <si>
    <t>A solid-phase sediment toxicity bioassay with small spat (2 to 3 mm in length) of the estuarine bivalve Scrobicularia plana (da Costa) was run for 36 d in 1992: lethal and sublethal effects were investigated. While 2 negative control sediments allowed juvenile weight gain in excess of 140% of initial weight, a control sediment contaminated with non-tributyltin (TBT) compounds resulted in mortalities &gt; 80% in 12 d. A TBT-polluted sediment (0.27 mug Sn g-1 dry wt) did not produce any mortality or avoidance response, but both growth and burying activity of clams at the end of the trial were significantly reduced with respect to those of spat in control treatments. Although frozen storage of sediment samples renders this experiment somewhat inconclusive, results confirm suspicion of field TBT-sediment deleterious effects at approximately 0.3 mug Sn g-1 dry wt. The environmental implications of findings are discussed in relation to the disappearance of S. plana populations throughout Atlantic Europe concurrent with TBT build-up in deposits; in addition, arguments are presented to emphasize the ecological relevance of sublethal stress affecting parameters such as the differential capability of benthic bivalves to avoid predation. Finally, the suitability of S. plana spat for widespread sediment toxicity bioassays is assessed.</t>
  </si>
  <si>
    <t>PLYMOUTH MARINE LAB, PLYMOUTH PL1 2PB, ENGLAND</t>
  </si>
  <si>
    <t>10.3354/meps113119</t>
  </si>
  <si>
    <t>WOS:A1994PP38900010</t>
  </si>
  <si>
    <t>Vodopivez, C; Curtosi, A; Pelletier, E; Spairani, LU; Hernández, EA; Mac Cormack, WP</t>
  </si>
  <si>
    <t>Vodopivez, C.; Curtosi, A.; Pelletier, E.; Spairani, L. U.; Hernandez, E. A.; Mac Cormack, W. P.</t>
  </si>
  <si>
    <t>Element concentrations of environmental concern in surface sediment samples from a broad marine area of 25 de Mayo (King George) Island, South Shetland Islands</t>
  </si>
  <si>
    <t>Antarctica; Metal pollution; Maxwell Bay sediments; Baselines</t>
  </si>
  <si>
    <t>BIVALVE LATERNULA-ELLIPTICA; HEAVY-METALS; WEST ANTARCTICA; ADMIRALTY BAY; MAXWELL BAY; POTTER COVE; MERCURY; GEOCHEMISTRY; ORGANISMS; ACCUMULATION</t>
  </si>
  <si>
    <t>Western Antarctica (WA) constitutes the area with the highest human presence in the white continent and also the region where the effects of global warming are more evident worldwide. Such human presence represents a potential risk of pollution with both, organic and inorganic contaminants. Global warming also could modify dynamics and transport of the pollutants, increasing summer water runoff, ice melting and iceberg scouring. Under this fast-changing scenario, knowledge about the concentration of contaminants is essential to evaluate the environmental status of this ecologically relevant area. In this work, we performed the first regional-scale monitoring of 9 trace elements (Cr, Co, Ni, Cu, Zn, As, Pb, Cd and Hg), as well as Fe and Mn, in surface sediment from 64 sites comprising six different areas in Maxwell Bay, 25 de Mayo (King George) Island. Target elements were quantified in surface sediment samples (20-30 m depth) obtained during two summer Antarctic expeditions: 2010/11 and 2011/12 by inductively coupled plasma linked to a quadrupole mass spectrometer (ICP-MS). Based on the average values observed for the reference areas, baseline values were defined for the studied region. A regional enrichment in Cu (compared with the global mean upper crust) was observed and related to the wide-spread mineralization of volcanic rocks. The most anthropized area (South Fildes) mainly showed sediment class 3 (moderately polluted) for Pb, Cd and Hg with a number samples revealing some highly contaminated hot spots. Although elemental contamination in some samples close to scientific stations or sites where logistic operations were evidenced, a pollution pattern was not clearly identified. The present work represents the first regional-scale attempt to define the baseline values and the anthropic impacts in this region of the WA and also provides the first data about Hg concentration in surface sediment of the study area. (C) 2018 Elsevier B.V. All rights reserved.</t>
  </si>
  <si>
    <t>[Vodopivez, C.; Curtosi, A.; Spairani, L. U.; Hernandez, E. A.; Mac Cormack, W. P.] Inst Antartico Argentino, 25 Mayo 1143,B1650HMK, San Martin, Buenos Aires, Argentina; [Pelletier, E.] Univ Quebec Rimouski, Inst Sci Mer Rimouski ISMER, 310 Allee Ursulines, Rimouski, PQ G5L 3A1, Canada; [Hernandez, E. A.; Mac Cormack, W. P.] UBA, CONICET, Fac Farm &amp; Bioquim, Inst NANOBIOTEC, Junin 956 6to Piso, Buenos Aires, DF, Argentina</t>
  </si>
  <si>
    <t>Instituto Antartico Argentino; University of Quebec; Universite du Quebec a Rimouski; Consejo Nacional de Investigaciones Cientificas y Tecnicas (CONICET); University of Buenos Aires</t>
  </si>
  <si>
    <t>Mac Cormack, WP (corresponding author), UBA, CONICET, Fac Farm &amp; Bioquim, Inst NANOBIOTEC, Junin 956 C1113AAZ,6to Piso, Buenos Aires, DF, Argentina.</t>
  </si>
  <si>
    <t>emilien_pelletier@uqar.ca; uss@mrecic.gov.ar; edy@ffyb.uba.ar; wmac@ffyb.uba.ar</t>
  </si>
  <si>
    <t>Spairani, Leonardo Ulises/0000-0002-8876-9046; Mac Cormack, Walter/0000-0002-5280-5463</t>
  </si>
  <si>
    <t>ANCyPT [PICTO 2010-106, 2010-124]; University of Buenos Aires [20020130100569BA]; European Commission through the Marie Curie Action IRSES [318718]</t>
  </si>
  <si>
    <t>ANCyPT; University of Buenos Aires(University of Buenos Aires); European Commission through the Marie Curie Action IRSES</t>
  </si>
  <si>
    <t>This study has been supported in part by grants PICTO 2010-106 and 2010-124 (ANCyPT), grant 20020130100569BA (University of Buenos Aires). We also had the financial support from the European Commission through the Marie Curie Action IRSES, project no 318718, IMCONet (Interdisciplinary Modelling of climate change in coastal Western Antarctica-Network for staff Exchange and Training). Emilien Pelletier also thanks the Natural Sciences and Engineering Research Council of Canada and the Canada Research Chair in Ecotoxicology.</t>
  </si>
  <si>
    <t>10.1016/j.scitotenv.2018.07.174</t>
  </si>
  <si>
    <t>GU3GO</t>
  </si>
  <si>
    <t>WOS:000445164800073</t>
  </si>
  <si>
    <t>Mohan, PC; Prakash, RR</t>
  </si>
  <si>
    <t>Concentration of petroleum hydrocarbons in bivalve Mytilopsis sallei and in the harbour waters of Visakhapatnam, east coast of India</t>
  </si>
  <si>
    <t>Environmental pollution due to oil and consequent petroleum hydrocarbon contamination (PHC) needs greater attention in view of its complicated interaction with biological communities. Visakhapatnam harbour is subjected to such oil contamination and has led to the survival of a climax species. The bivalve Mytilopsis sallei has successfully colonized in spite of the PHC occurring in considerable proportion. With regard to hydrographical conditions, harbour waters reflect the conditions of the inshore waters depending on the extent of tidal action. In the entrance channel the crude oil content is 108 mu gl(-1). While analyzing the tissue for uptake of PHC, 186 mu g g(-1) was found which is far higher than that in the medium.</t>
  </si>
  <si>
    <t>Andhra Univ, Dept Zool, Marine Biol Lab, Waltair 530003, Andhra Pradesh, India; Cent Inst Fisheries Technol, Veraval 362269, Gujrat, India</t>
  </si>
  <si>
    <t>Andhra University; Indian Council of Agricultural Research (ICAR); ICAR - Central Institute of Fisheries Technology</t>
  </si>
  <si>
    <t>Mohan, PC (corresponding author), Andhra Univ, Dept Zool, Marine Biol Lab, Waltair 530003, Andhra Pradesh, India.</t>
  </si>
  <si>
    <t>WOS:000079132500044</t>
  </si>
  <si>
    <t>Cayabo, GDB; Lim, YC; Albarico, FPJB; Chen, CF; Wang, MH; Chen, CW; Dong, CD</t>
  </si>
  <si>
    <t>Cayabo, Genese Divine B.; Lim, Yee Cheng; Albarico, Frank Paolo Jay B.; Chen, Chih-Feng; Wang, Ming-Huang; Chen, Chiu-Wen; Dong, Cheng-Di</t>
  </si>
  <si>
    <t>Contrasting metal bioaccumulation in marine benthic invertebrate groups in polluted harbor sediments</t>
  </si>
  <si>
    <t>Marine pollution; Bioaccumulation; Chemical fractions; Benthic ecosystem; Harbor</t>
  </si>
  <si>
    <t>POLYCYCLIC AROMATIC-HYDROCARBONS; HEAVY-METALS; KAOHSIUNG HARBOR; CONTAMINATION ASSESSMENT; SURFACE SEDIMENTS; RISK-ASSESSMENT; RED-SEA; ACCUMULATION; CD; COAST</t>
  </si>
  <si>
    <t>This study examined the sediment metal fractions and availability to infer bioaccumulation in marine harbor benthic organisms. Total metals were analyzed using atomic absorption spectrometry and inductively coupled plasma-optical emission spectrometry for chemical fractions and organisms. The results showed similar metal concentrations and distribution driven by rivers and harbor pollution. We found significant differences in metal accumulation in marine benthic groups, highest in scavenger species. Their metal concentrations in decreasing order were 1.97-4568, 0.10-1260, 1.64-159, and 0.105-112 mu g g- 1 dw for hermit crabs, forams, bivalves, and polychaetes. Moreover, certain organisms, such as tusk shells, sea pens, bivalves, forams, and isopods, may exhibit selective metal accumulation. Biota-sediment accumulation factors (&gt;1) were highest for essential metals like Cu, Zn, and Mn, while toxic metals like As, Cr, Co, and Ni increased. This concurrent assessment provides more comprehensive data for metal bioaccumulation in marine benthic ecosystems.</t>
  </si>
  <si>
    <t>[Cayabo, Genese Divine B.; Albarico, Frank Paolo Jay B.; Dong, Cheng-Di] Natl Kaohsiung Univ Sci &amp; Technol, Inst Aquat Sci &amp; Technol, Kaohsiung 81157, Taiwan; [Cayabo, Genese Divine B.; Lim, Yee Cheng; Albarico, Frank Paolo Jay B.; Chen, Chih-Feng; Wang, Ming-Huang; Chen, Chiu-Wen; Dong, Cheng-Di] Natl Kaohsiung Univ Sci &amp; Technol, Dept Marine Environm Engn, Kaohsiung 81157, Taiwan; [Lim, Yee Cheng; Albarico, Frank Paolo Jay B.; Chen, Chih-Feng; Wang, Ming-Huang; Chen, Chiu-Wen] Natl Kaohsiung Univ Sci &amp; Technol, Coll Hydrosphere Sci, Ctr Study Sediments, Kaohsiung 81157, Taiwan; [Cayabo, Genese Divine B.] Western Philippines Univ, Coll Fisheries &amp; Aquat Sci, Puerto Princesa 5300, Philippines</t>
  </si>
  <si>
    <t>National Kaohsiung University of Science &amp; Technology; National Kaohsiung University of Science &amp; Technology; National Kaohsiung University of Science &amp; Technology</t>
  </si>
  <si>
    <t>Wang, Ming-Huang/KPA-2847-2024; Albarico, Frank Paolo Jay/AAE-7348-2021; Chen, Chih-Feng/HTP-3222-2023; Lim, Yee Cheng/IAL-9326-2023</t>
  </si>
  <si>
    <t>Taiwan National Science and Technology Council (NSTC) [NSTC 112-2222-E-992-004, NSTC 113-2221-E-992-022]</t>
  </si>
  <si>
    <t>Taiwan National Science and Technology Council (NSTC)</t>
  </si>
  <si>
    <t>We thank the Taiwan National Science and Technology Council (NSTC 112-2222-E-992-004 and NSTC 113-2221-E-992-022) for funding support in this study.</t>
  </si>
  <si>
    <t>10.1016/j.marpolbul.2024.116859</t>
  </si>
  <si>
    <t>D8M0P</t>
  </si>
  <si>
    <t>WOS:001298655900001</t>
  </si>
  <si>
    <t>Fang, JKH; Wu, RSS; Zheng, GJ; Au, DWT; Lam, PKS; Shin, PKS</t>
  </si>
  <si>
    <t>Fang, James K. H.; Wu, Rudolf S. S.; Zheng, Gene J.; Au, Doris W. T.; Lam, Paul K. S.; Shin, Paul K. S.</t>
  </si>
  <si>
    <t>The use of muscle burden in rabbitfish Siganus oramin for monitoring polycyclic aromatic hydrocarbons and polychlorinated biphenyls in Victoria Harbour, Hong Kong and potential human health risk</t>
  </si>
  <si>
    <t>Persistent organic pollutants; Siganus oramin; Pollution monitoring; Southeast Asia</t>
  </si>
  <si>
    <t>MUSSEL PERNA-VIRIDIS; ORGANIC CONTAMINANTS; METAL CONCENTRATIONS; NATURE-RESERVE; FISH; BIOACCUMULATION; SEDIMENTS; WATERS; RIVER; PAHS</t>
  </si>
  <si>
    <t>Muscle concentrations of polycyclic aromatic hydrocarbons (PAHs) and polychlorinated biphenyls (PCBs) were determined in rabbitfish Siganus oramin collected from Victoria Harbour and its vicinity, Hong Kong from 2004 to 2007. Spatially, relatively higher levels of Sigma PAH (1.05-4.26 mu g g(-1)) and Sigma PCB (45.1-76.9 ng g(-1)) were determined in the central and western sites inside the harbour. Temporally, upward trend of Sigma PAH, accompanied with a proportion shift from high molecular weight to low molecular weight PAHs, was detected during the three-year study period, suggesting a heavier marine traffic in Victoria Harbour and its western region. However, human health risk assessment based on five individual PAHs indicated that PAHs in fish muscles posed minimal health risk through consumption. In contrast, a downward trend of Sigma PCB was registered as the open use of PCBs has been banned. Despite this, the level of Sigma PCB in fish muscles still posed a health risk on the local people who have a high fish consumption rate. While seasonal influences on Sigma PAH/Sigma PCB accumulation in S. oramin seemed to be negligible, our findings in S. oramin were in line with the established PAH and PCB levels in sediments and/or mussels from the harbour, suggesting S. oramin can be used as a model fish species for monitoring PAHs and PCBs in the region. (C) 2009 Elsevier B.V. All rights reserved.</t>
  </si>
  <si>
    <t>[Fang, James K. H.; Wu, Rudolf S. S.; Zheng, Gene J.; Au, Doris W. T.; Lam, Paul K. S.; Shin, Paul K. S.] City Univ Hong Kong, Dept Biol &amp; Chem, Ctr Coastal Pollut &amp; Conservat, Kowloon, Hong Kong, Peoples R China</t>
  </si>
  <si>
    <t>Wu, Rudolf/B-4203-2010; Fang, James Kar-Hei/H-2088-2017; LAM, Kwan Sing Paul/B-9121-2008</t>
  </si>
  <si>
    <t>Fang, James Kar-Hei/0000-0002-2969-7978; AU, Wai Ting Doris/0000-0003-4490-5971; LAM, Kwan Sing Paul/0000-0002-2134-3710</t>
  </si>
  <si>
    <t>University Grants Committee of the Hong Kong [AoE/P-04/2004]</t>
  </si>
  <si>
    <t>University Grants Committee of the Hong Kong</t>
  </si>
  <si>
    <t>This study was fully supported by the Area of Excellence Scheme under the University Grants Committee of the Hong Kong Special Administration Region, China (Project No. AoE/P-04/2004). We thank Hong Kong Environmental Protection Department for providing the water quality monitoring data for this study.</t>
  </si>
  <si>
    <t>10.1016/j.scitotenv.2009.03.033</t>
  </si>
  <si>
    <t>460PP</t>
  </si>
  <si>
    <t>WOS:000267199900018</t>
  </si>
  <si>
    <t>Seasonal and spatial variations of biomarker responses of rock oysters in a coastal environment influenced by large estuary input</t>
  </si>
  <si>
    <t>Oysters; Metals; Estuary; Biomarkers; Bioaccumulation</t>
  </si>
  <si>
    <t>PEARL RIVER ESTUARY; TRACE-METAL CONTAMINATION; DISSOLVED ORGANIC-CARBON; CRASSOSTREA-GIGAS; HEAVY-METALS; ACETYLCHOLINESTERASE ACTIVITY; MYTILUS-GALLOPROVINCIALIS; OXIDATIVE STRESS; DIGESTIVE GLAND; MACOMA-BALTHICA</t>
  </si>
  <si>
    <t>The present study assessed the spatial and temporal variations and the potential influences of the Pearl River discharge on trace metal bioaccumulation and biomarker responses in Hong Kong coastal waters. A suite of biomarkers including antioxidant defense, oxidative stress, metal detoxification, cellular response, neurotoxicity, and energy reserve were quantified in the rock oyster Saccostrea cucullata over spatial scale across the east and west of Hong Kong. We documented the elevated Cd, Cu and Zn concentrations in all western stations in the fall season, as a result of time-integrated accumulation during the peak discharge of the Pearl River Estuary (PRE) in summer. Lipid peroxidation and total glutathione corresponded well with the overall metal gradient and showed significant correlation with the tissue Cu bioaccumulation. The eastern station (Clear Water Bay) also exhibited high Cd and Cu concentrations with increased oxidative stress responses. In the spring, metal bioaccumulation in the oysters was reduced due to the weakened influence of PRE, with correspondingly less obvious biomarker responses. Our coupling measurements of biomarkers and tissue metal concentrations for the first time revealed that the large PRE could have latent and seasonal biological effects on the Hong Kong coastal biota. Sensitive biomarkers such as lipid peroxidation and glutathione responses might be good candidates for detecting the early biological responses in such sub-lethal contaminated environments. (C) 2018 Elsevier Ltd. All rights reserved.</t>
  </si>
  <si>
    <t>[Chan, Cheuk Yan; Wang, Wen-Xiong] HKUST, Dept Ocean Sci, Kowloon, Hong Kong, Peoples R China; [Chan, Cheuk Yan; Wang, Wen-Xiong] HKUST, Shenzhen Res Inst, Marine Environm Lab, Shenzhen 518057, Hong Kong, Peoples R China</t>
  </si>
  <si>
    <t>Wang, WX (corresponding author), HKUST, Dept Ocean Sci, Kowloon, Hong Kong, Peoples R China.</t>
  </si>
  <si>
    <t>10.1016/j.envpol.2018.08.013</t>
  </si>
  <si>
    <t>WOS:000446282600024</t>
  </si>
  <si>
    <t>Puljas, S; Brkic, I</t>
  </si>
  <si>
    <t>Puljas, Sanja; Brkic, Ines</t>
  </si>
  <si>
    <t>Gender identification in the Mediterranean mussel Mytilus galloprovincialis (Bivalvia: Mytilidae) based on gonadal tissue coloration</t>
  </si>
  <si>
    <t>Mytilus galloprovincialis; Mediterranean mussel; Gonad coloration; Histology; Gender</t>
  </si>
  <si>
    <t>MALE-ASSOCIATED POLYPEPTIDE; SEX; ORGANISMS; POLLUTION; STRESS</t>
  </si>
  <si>
    <t>The coloration of gonadal tissue has been proposed as a reliable indicator of sex allowing a visual identification of gender. Male mytilids usually have milky white gonads while females have orange ones. Carotenoid pigments, responsible for the orange coloration, are known to be involved in defense against oxidative stress. Males could thus also display high concentrations of carotenoids according to their position in the mussel bed and the reproduction cycle, which could lead to gender misidentification with color-based approaches. Research has been performed to determine the reliability of color-based gender identification by comparing results with results obtained by histology. Both methods were applied to mussels from an intertidal polluted rocky shore and a subtidal mussel farm. Histology showed dominance of males in both sites. On the contrary, based on gonad color, the frequency of females in both sites was higher. In both sites, numerous males were incorrectly sexed. According to the results, color-based gender identification is not reliable, so it is necessary to perform histology.</t>
  </si>
  <si>
    <t>[Puljas, Sanja; Brkic, Ines] Univ Split, Fac Sci, Dept Biol, Rudera Boskovica 33, Split 21000, Croatia</t>
  </si>
  <si>
    <t>University of Split</t>
  </si>
  <si>
    <t>Puljas, S (corresponding author), Univ Split, Fac Sci, Dept Biol, Rudera Boskovica 33, Split 21000, Croatia.</t>
  </si>
  <si>
    <t>spuljas@pmfst.hr</t>
  </si>
  <si>
    <t>Puljas, Sanja/P-5378-2015</t>
  </si>
  <si>
    <t>Puljas, Sanja/0000-0003-1435-5446</t>
  </si>
  <si>
    <t>10.21411/CBM.A.7128F729</t>
  </si>
  <si>
    <t>QC9HD</t>
  </si>
  <si>
    <t>WOS:000615140700004</t>
  </si>
  <si>
    <t>Dourdin, TS; Rivière, G; Cormier, A; Di Poi, C; Guyomard, K; Rabiller, M; Akcha, F; Sadialiou, TB; Le Monier, P; Sussarellu, R</t>
  </si>
  <si>
    <t>Dourdin, Thomas Sol; Riviere, Guillaume; Cormier, Alexandre; Di Poi, Carole; Guyomard, Killian; Rabiller, Manuella; Akcha, Farida; Sadialiou, Thierno Bah; Le Monier, Pauline; Sussarellu, Rossana</t>
  </si>
  <si>
    <t>Molecular and phenotypic effects of early exposure to an environmentally relevant pesticide mixture in the Pacific oyster, Crassostrea gigas</t>
  </si>
  <si>
    <t>Mixture; Epigenetics; Gene expression; Molluscs; Pesticides; DNA methylation</t>
  </si>
  <si>
    <t>RISK-ASSESSMENT; DNA METHYLATION; HERBICIDE GLYPHOSATE; EPIGENETICS; EXPRESSION; RESPONSES; DIURON; HYPOMETHYLATION; METAMORPHOSIS; ATRAZINE</t>
  </si>
  <si>
    <t>Early life stages are crucial for organism development, especially for those displaying external fertilization, whose gametes and early stages face environmental stressors such as xenobiotics. The pacific oyster, Crassostrea gigas, is considered a model species in ecotoxicology because of its ecological characteristics (benthic, sessile, filter feeding). So far studies have investigated the impact of xenobiotics at embryotoxic, genotoxic and physi-ological endpoints, sometimes at the multigenerational scale, highlighting the role of epigenetic mechanisms in transmitting alterations induced by exposure to single xenobiotics. However, to date, little is known about the impact of environmentally-mimicking contaminants cocktails. Thus, we examined the impact of an early exposure to environmentally relevant mixture on the Pacific oyster life history. We studied transcriptomic, epigenetic and physiological alterations induced in oysters exposed to 18 pesticides and metals at environmental concentration (nominal sum concentration: 2.85 mu g.L-1, measured sum concentration: 3.74 +/- 0.013 mu g.L-1) during embryo-larval stage (0-48 h post fertilization, hpf). No significant differences in embryo-larval abnor-malities at 24 hpf were observed during larval and spat rearing; the swimming behaviour of exposed individuals was disturbed, while they were longer and heavier at specific time points, and exhibited a lower epinephrine-induced metamorphosis rate as well as a higher survival rate in the field. In addition, RNA-seq analyses of gastrula embryos revealed the differential expression of development-related genes (e.g. Hox orthologues and cell cycle regulators) between control and exposed oysters. Whole-genome DNA methylation analyses demon-strated a significant modification of DNA methylation in exposed larvae marked by a demethylation trend. Those findings suggest that early exposure to an environmentally relevant pesticide mixture induces multi-scale latent effects possibly affecting life history traits in the Pacific oyster.</t>
  </si>
  <si>
    <t>[Dourdin, Thomas Sol; Akcha, Farida; Sadialiou, Thierno Bah; Le Monier, Pauline] Ifremer, Unite Contaminat Chim Ecosyst Marins, Nantes, France; [Riviere, Guillaume] UA, UCN, SU,IRD, CNRS,MNHN,UMR8067,Biol Organismes &amp; Ecosyst Aquat, F-75231 Paris, France; [Cormier, Alexandre] Ifremer, Serv Bioinformat Ifremer, Brest, France; [Di Poi, Carole; Rabiller, Manuella] Lab Sci Environm Marin LEMAR, Brest, France; [Guyomard, Killian] Ifremer, Plateforme Mollusques Marins Bouin, Bouin, France; [Sussarellu, Rossana] Ifremer, Physiol &amp; Toxines Microalgues Tox, Nantes, France</t>
  </si>
  <si>
    <t>Ifremer; Centre National de la Recherche Scientifique (CNRS); Museum National d'Histoire Naturelle (MNHN); Institut de Recherche pour le Developpement (IRD); Ifremer; Centre National de la Recherche Scientifique (CNRS); Ifremer; Institut de Recherche pour le Developpement (IRD); Ifremer; Ifremer</t>
  </si>
  <si>
    <t>Dourdin, TS (corresponding author), Ifremer, Unite Contaminat Chim Ecosyst Marins, Nantes, France.</t>
  </si>
  <si>
    <t>Thomas.Sol.Dourdin@ifremer.fr</t>
  </si>
  <si>
    <t>Sol Dourdin, Thomas/JAN-9659-2023; sussarellu, rossana/HGE-5566-2022; Di Poi, Carole/H-6493-2017</t>
  </si>
  <si>
    <t>Guyomard, Killian/0009-0009-6452-3381; Rabiller, Manuella/0000-0001-5757-2729; Cormier, Alexandre/0000-0002-7775-8413; Di Poi, Carole/0000-0001-7846-5287; Sol Dourdin, Thomas/0000-0002-7660-0518; sussarellu, rossana/0000-0001-6997-5058</t>
  </si>
  <si>
    <t>French National Research Agency (ANR) [Projet-ANR-19-CE34-0004]</t>
  </si>
  <si>
    <t>French National Research Agency (ANR)(Agence Nationale de la Recherche (ANR)Norwegian Agency for Development Cooperation - NORAD)</t>
  </si>
  <si>
    <t>We are grateful to the French National Research Agency (ANR) for funding the PESTO project (Projet-ANR-19-CE34-0004) . We also thank the EPOC-LPCT platform for the analyses of organic contaminants in the experimental water and the Ifremer Marine Shellfish Platform of Bouin (PMMB) who hosted the experimentations.</t>
  </si>
  <si>
    <t>10.1016/j.envpol.2023.121472</t>
  </si>
  <si>
    <t>D8NO9</t>
  </si>
  <si>
    <t>WOS:000971242100001</t>
  </si>
  <si>
    <t>Casas, S; Gonzalez, JL; Andral, B; Cossa, D</t>
  </si>
  <si>
    <t>Casas, Stellio; Gonzalez, Jean-Louis; Andral, Bruno; Cossa, Daniel</t>
  </si>
  <si>
    <t>Relation between metal concentration in water and metal content of marine mussels (Mytilus galloprovincialis):: Impact of physiology</t>
  </si>
  <si>
    <t>bioindicator; Mytilus; bioaccumulation; metals; transplantation</t>
  </si>
  <si>
    <t>CADMIUM UPTAKE; CHEMICAL CONTAMINATION; CRASSOSTREA-GIGAS; TRACE-METALS; MERCURY; EDULIS; BIOACCUMULATION; POLLUTION; KINETICS; TRANSPLANTATION</t>
  </si>
  <si>
    <t>The present study constitutes an in situ investigation of metal kinetics within soft tissue of mussels (Mytilus galloprovincialis), which solves the problem of the decoupling of the effect of animal physiology and metal bioavailability in water. Field experiments were conducted to measure uptake and elimination kinetics for four metals (Hg, Pb, Cd, and Cu) in three Mediterranean sites with different contamination and nutritive levels. At each site, metal concentrations were monitored in soft tissues of mussels and in the surrounding waters. The experimental conditions were completely characterized: Lazaret Bay (located between Nice and Marseille, France) is a hot spot for Hg (6.3 ng/L) and Ph (163 ng/L) concentrations and is an oligotrophic, stable site; Bages Lagoon (located to the west of Montpellier, France) is particularly contaminated by Cd (1.5 ng/L) and Cu (1.5 mu g/L) and is a mesotrophic site where variability of trophic and physicochemical parameters is significant; and Port-Cros Island (located in the Hyeres National Park, France) is considered to be a reference site. Those kinetics permit us to decouple physiological, chemical, and environmental interactions. After normalizing mussel metal content for similar physiological conditions, application of the local weighted regression (LOWESS) statistical treatment shows a parallelism between the time trends of metal concentrations in the bivalve and metal concentrations in water. The results enabled us to obtain in situ kinetic parameters and realistic bioaccumulation factors. Their logarithmic values were 4.6 for Hg, 4.3 for Ph, 4.9 for Cd, and 3.9 for Cu. The importance of physiological processes such as spawning is discussed as a factor influencing the bioaccumulation factor. This information may be useful in refining monitoring tools for risk assessment and, more generally, in environmental management strategies.</t>
  </si>
  <si>
    <t>[Casas, Stellio; Gonzalez, Jean-Louis; Andral, Bruno; Cossa, Daniel] IFREMER, F-83140 La Seyne Sur Mer, France</t>
  </si>
  <si>
    <t>Casas, S (corresponding author), Veolia Environm Res &amp; Dev Dept, 36-38 Ave Kleber, F-75116 Paris, France.</t>
  </si>
  <si>
    <t>stellio_casas@yahoo.fr</t>
  </si>
  <si>
    <t>Gonzalez, Jean-Louis/0000-0002-7068-8686</t>
  </si>
  <si>
    <t>10.1897/07-418.1</t>
  </si>
  <si>
    <t>314JW</t>
  </si>
  <si>
    <t>WOS:000256806700011</t>
  </si>
  <si>
    <t>Ahn, IY; Choi, JW</t>
  </si>
  <si>
    <t>Macrobenthic communities impacted by anthropogenic activities in an intertidal sand flat on the west coast (Yellow Sea) of Korea</t>
  </si>
  <si>
    <t>sand flat; macrofauna; community structure; Mactra veneriformis; seawalls; grain size</t>
  </si>
  <si>
    <t>NEPHTYS-HOMBERGII; SEDIMENTS; BAY</t>
  </si>
  <si>
    <t>Impacts on benthic macrofaunal communities by pollution and physical perturbation following seawall construction were assessed for an intertidal sand flat in Kyeonggi Bay, Korea near an industrialized harbour city. Despite the apparent input of a considerable amount of industrial effluents, no traces of heavy metal contamination were detected in either sediments or resident animals, probably owing to overall low percentages of mud. A seasonal cycle of silty sediment deposition and erosion also appears to play a role in alleviating metal accumulation in the sand Aat, Recent seawall constructions, however, seem to have influenced the sedimentary environment, Sediment grain size became significantly coarser after seawall constructions and, associated with the grain size change, some shifts in dominance of abundant species were recorded. In addition, both total abundance and biomass significantly increased. In particular, abundance of the filter-feeding bivalve Mactra veneriformis increased ten times, seemingly benefiting from the coarser grain size. Changes in community structure were also reflected in It-dominance abundance mental setting or Keonggi Bay nas changed ro a curves. (C) 1998 Elsevier Science Ltd. All rights reserved.</t>
  </si>
  <si>
    <t>KORDI, Polar Res Ctr, Kyeonggi Do 425600, South Korea; KORDI, Div Biol Oceanog, Kyeonggi Do 425600, South Korea</t>
  </si>
  <si>
    <t>Korea Institute of Ocean Science &amp; Technology (KIOST); Korea Institute of Ocean Science &amp; Technology (KIOST)</t>
  </si>
  <si>
    <t>KORDI, Polar Res Ctr, Ansan POB 29, Kyeonggi Do 425600, South Korea.</t>
  </si>
  <si>
    <t>10.1016/S0025-326X(98)00061-7</t>
  </si>
  <si>
    <t>139TF</t>
  </si>
  <si>
    <t>WOS:000077045200015</t>
  </si>
  <si>
    <t>BSD extent, an index for metal pollution screening based on the metal content within digestive cell lysosomes of mussels as determined by autometallography</t>
  </si>
  <si>
    <t>LITTORINA-LITTOREA L; X-RAY-MICROANALYSIS; MYTILUS-EDULIS L; MARINE-INVERTEBRATES; CADMIUM; TISSUES; ZINC; ACCUMULATION; WEIGHT; EXPOSURE</t>
  </si>
  <si>
    <t>The extent of autometallographical black silver deposits (BSD) has been semiquantified at the light microscope in the gills and digestive gland of either control mussels or Zn-polluted mussels after depuration and on exposure to sublethal concentrations of Cu, Zn, and Cd. The BSD extent in the gills and digestive gland of control mussels was much reduced compared to that in other experimental mussels. The extent of BSD in the gills of depurating mussels was reduced at short depuration times due to decreased levels in the abfrontal cells while in the digestive gland it did not change with the depuration period, The extent of BSD in digestive lysosomes of Cu-and Zn-exposed mussels followed a logarithmic pattern in relation to metal concentration increasing with metal concentrations in the digestive gland. However, a reduced extent of BSD was related to the presence of high metal concentrations under Cd-exposure conditions. This is because the great extent of BSD present in the lumen of the digestive tubules was not taken into account to carry out semiquantification, but, however, the chemical analysis measured the Cd content of these BSD. As such, the extent of BSD in digestive lysosomes followed a logarithmic pattern with total metal concentrations in the digestive gland of Cd-exposed mussels, Therefore, the semiquantitative estimation of BSD in the digestive lysosomes could be considered a reliable index to reflect changes in metal bioavailability in sea water. (C) 1997 Academic Press.</t>
  </si>
  <si>
    <t>Soto, M (corresponding author), EUSKAL HERRIKO UNIBERTSITATEA, ZIENTZI FAK, ZOOL ETA ANIM ZELULEN DINAM SAILA, PK 644, E-48080 BILBAO, BASQUE COUNTRY, SPAIN.</t>
  </si>
  <si>
    <t>Soto, Manu/C-3995-2017; MARIGOMEZ ALLENDE, Ionan/C-3909-2017</t>
  </si>
  <si>
    <t>10.1006/eesa.1997.1535</t>
  </si>
  <si>
    <t>XQ806</t>
  </si>
  <si>
    <t>WOS:A1997XQ80600006</t>
  </si>
  <si>
    <t>HARDY, JT; CLEARY, J</t>
  </si>
  <si>
    <t>SURFACE MICROLAYER CONTAMINATION AND TOXICITY IN THE GERMAN BIGHT</t>
  </si>
  <si>
    <t>SEA; LARVAE; WATERS; METALS; BAY</t>
  </si>
  <si>
    <t>Samples of sea-surface microlayer and near-surface bulkwater were collected at 5 stations in the German Bight area of the North Sea and at Wilhelmshaven, Germany, during the Bremerhaven Workshop in March 1990. Samples were analyzed for concentrations of heavy metals, organotin and tributyltin (TBT) and tested for toxicity using 5 different bioassays. Results indicate that: (1) sea surface contamination is widespread and extends at least 100 km from shore, (2) the surface microlayer contains higher concentrations of metal and organometal contaminants and is more toxic to marine organisms than the subsurface bulkwater, (3) echinoderm larvae, molluscan bivalve larvae and copepod toxicity tests all represent feasible options for offshore pollution assessment, (4) larval survival in bioassays was inversely related to the concentrations of several contaminant metals in the microlayer, (5) glass plate, screen and rotating drum samplers all collect samples which are similar in metal concentrations and toxicity, but the drum offers several operational advantages for routine sampling and monitoring of sea surface contamination, and (6) the threat of surface microlayer contamination to the recruitment of North Sea fisheries warrants further examination.</t>
  </si>
  <si>
    <t>PLYMOUTH MARINE LAB, PLYMOUTH PL1 3DH, DEVON, ENGLAND</t>
  </si>
  <si>
    <t>HARDY, JT (corresponding author), WESTERN WASHINGTON UNIV, HUXLEY COLL ENVIRONM STUDIES, INST ENVIRONM TOXICOL &amp; CHEM, BELLINGHAM, WA 98225 USA.</t>
  </si>
  <si>
    <t>10.3354/meps091203</t>
  </si>
  <si>
    <t>LL064</t>
  </si>
  <si>
    <t>WOS:A1992LL06400026</t>
  </si>
  <si>
    <t>Andral, B; Galgani, F; Tomasino, C; Bouchoucha, M; Blottiere, C; Scarpato, A; Benedicto, J; Deudero, S; Calvo, M; Cento, A; Benbrahim, S; Boulahdid, M; Sammari, C</t>
  </si>
  <si>
    <t>Andral, Bruno; Galgani, Francois; Tomasino, Corinne; Bouchoucha, Marc; Blottiere, Charlotte; Scarpato, Alfonso; Benedicto, Jose; Deudero, Salud; Calvo, Monica; Cento, Alexandro; Benbrahim, Samir; Boulahdid, Moustapha; Sammari, Cherif</t>
  </si>
  <si>
    <t>Chemical Contamination Baseline in the Western Basin of the Mediterranean Sea Based on Transplanted Mussels</t>
  </si>
  <si>
    <t>MYTILUS-EDULIS; COASTAL WATERS; PERNA-VIRIDIS; TRACE-METAL; CADMIUM; ACCUMULATION; POLLUTION; MERCURY; STRESS; WATCH</t>
  </si>
  <si>
    <t>The MYTILOS project aimed at drawing up a preliminary report on coastal chemical contamination at the scale of the Western Mediterranean (continental coasts of the Balearic Islands, Sicily, Sardinia, Corsica and Maghreb) based on a transplanted mussels methodology validated along the French coasts since 1996 by Ifremer and the Rhne M,diterran,e &amp; Corsica water board. MYTILOS is backed up by the INTERREG III B/MEDOC programme, the PNUE/PAM-MEDPOL and Rhne M,diterran,e &amp; Corsica water board. Three cruises (2004, 2005, 2006) have taken place to assess the first state of chemical contamination along the Western Mediterranean shores with the same methodology. Approximately 120 days were spent at sea deploying and retrieving 123 mussel bags. The results obtained for all studied contaminants were equivalent to those obtained along the French coast according the RINBIO network. These similarities relate to both the highest measured levels and background levels throughout the 123 stations. The areas of greatest impact were mainly urban and industrial centers and the outlets of major rivers, with a far higher midsea impact on the dilution of organic compounds than on metals. Metal levels measured in midsea zones were found to be similar to those in natural shellfish populations living along the coast. On a global scale we can observe that the contaminants levels in the Mediterranean Sea are in the same range as in other areas worldwide. Overall, the research demonstrates the reliability of this methodology for marine pollution monitoring, especially in the Mediterranean sea.</t>
  </si>
  <si>
    <t>[Andral, Bruno; Galgani, Francois; Tomasino, Corinne; Bouchoucha, Marc] IFREMER, Lab Environm Ressource Provence Azur Corse, La Seyne Sur Mer, France; [Blottiere, Charlotte] TVT, F-83000 Toulon, France; [Scarpato, Alfonso] ISPRA, I-300 Rome, Italy; [Benedicto, Jose] IEO Murcia, San Pedro De Pinatar 30740, Spain; [Deudero, Salud] Univ Illes Balears, IMEDEA, Palma De Mallorca 07122, Spain; [Calvo, Monica] CSIC ACA, Barcelona 08034, Spain; [Cento, Alexandro] PSTS, I-95030 Catania, Italy; [Benbrahim, Samir] INRH, Casablanca 01, Morocco; [Boulahdid, Moustapha] ESSMAL, Algiers 16320, Algeria; [Sammari, Cherif] INSTM, Salammbo 2025, Tunisia</t>
  </si>
  <si>
    <t>Ifremer; Italian Institute for Environmental Protection &amp; Research (ISPRA); Universitat de les Illes Balears; Consejo Superior de Investigaciones Cientificas (CSIC); ATTITUS Educacao; Consejo Superior de Investigaciones Cientificas (CSIC); Ecole Nationale Superieure des Sciences de la Mer et Amenagement du Littoral (ENSSMAL); Institut National des Sciences et Technologies de la Mer</t>
  </si>
  <si>
    <t>Andral, B (corresponding author), IFREMER, Lab Environm Ressource Provence Azur Corse, BP 330-83507, La Seyne Sur Mer, France.</t>
  </si>
  <si>
    <t>galgani, francois/A-1973-2011; Deudero Company, Salud/I-1883-2015</t>
  </si>
  <si>
    <t>galgani, francois/0000-0001-8770-6054; Deudero Company, Salud/0000-0001-5584-2801</t>
  </si>
  <si>
    <t>EEC (Interreg/Medocc IIIC); Rhone-Mediterranean-Corsica Water Agency; UNEP MEDPOL</t>
  </si>
  <si>
    <t>The authors wish to underline the great experience-sharing through which all project partners were able to judge the easy implementation of this methodology and familiarize themselves with its main concepts through active participation in all operations. The authors also wish to acknowledge the support by EEC (Interreg/Medocc IIIC) and the Rhone-Mediterranean-Corsica Water Agency and the support of UNEP MEDPOL for Morocco Algeria and Tunisia.</t>
  </si>
  <si>
    <t>10.1007/s00244-010-9599-x</t>
  </si>
  <si>
    <t>791FV</t>
  </si>
  <si>
    <t>WOS:000292651200011</t>
  </si>
  <si>
    <t>MITCHELL, DG; MORGAN, JD; VIGERS, GA; CHAPMAN, PM</t>
  </si>
  <si>
    <t>ACUTE TOXICITY OF MINE TAILINGS TO 4 MARINE SPECIES</t>
  </si>
  <si>
    <t>Acute toxicity bioassays were conducted on mine tailings produced by pilot plant testing for the proposed Quartz Hill molybdenum mine, which will be situated near Ketchikan, Alaska [USA]. Tailings bioassays were conducted in seawater with juvenile coho salmon (Oncorhynchus kisutch), mussel larvae (Mytilus edulis), infaunal amphipods (Rhepoxynius abronius), and euphausiids (Euphausia pacifica). The same general range of mine tailings concentrations was acutely toxic to all four test species with acute effects observed between 61 000 to 227 000 mg l-1 (wet wt) tailings solids (range of 95% confidence limits for LC50 and EC50 values). Chemical analyses of bioassay test solutions and leaching test solutions were conducted for metals (including Cd, Cu, Pb, Zn, Mn and Mo), EPA Priority Pollutant base/neutral organics, and more general parameters such as sulphate, nitrate/nitrite, cyanides, phosphate and ammonia. Parameters possibly contributing to the observed toxicity were complex contaminant mixtures including total suspended solids and heavy metals. The present study provides information related to the marine disposal of mine tailings and shows that these mine tailings present a relatively low level of acutely toxic effects.</t>
  </si>
  <si>
    <t>EVS CONSULTANTS, 195 PEMBERTON AVE, N VANCOUVER V7P 2R4, BC, CANADA.</t>
  </si>
  <si>
    <t>10.1016/0025-326X(85)90416-3</t>
  </si>
  <si>
    <t>AUM26</t>
  </si>
  <si>
    <t>WOS:A1985AUM2600008</t>
  </si>
  <si>
    <t>Kladchenko, ES; Chelebieva, ES; Podolskaya, MS; Khurchak, AI; Andreyeva, AY; Malakhova, TV</t>
  </si>
  <si>
    <t>Kladchenko, Ekaterina S.; Chelebieva, Elina S.; Podolskaya, Maria S.; Khurchak, Alena I.; Andreyeva, Aleksandra Yu; V. Malakhova, Tatiana</t>
  </si>
  <si>
    <t>Shift in hemocyte immune parameters of marine bivalve Mytilus galloprovincialis (Lamarck, 1819) after exposure to methane</t>
  </si>
  <si>
    <t>Methane; Reactive oxygen species; Hemocytes; Mitochondrial membrane potential; Immunity; Phagocytosis</t>
  </si>
  <si>
    <t>GAS; EMISSIONS; SEA</t>
  </si>
  <si>
    <t>Methane are widely used in industry as an emerge source may be released significantly higher aquatic ecosystems due to gas seepages. In this study, short-term (90 min) methane effects on bivalve hemocytes were investigated using flow cytometry. Hemocyte parameters including hemolymph cellular composition, phagocytosis activity, mitochondrial membrane potential and reactive oxygen species (ROS) content were evaluated in the mussel Mytilus galloprovincialis (Lamarck, 1819) exposed to hypoxia (control group), pure methane and industrial methane (industrial hydrocarbon mixture). Comparison of biomarkers showed that the mussel was more sensitive to methane than to low oxygen concentration, supporting the effects of methane on the mussel's immune system. After exposure to pure and industrial methane, the number of granulocytes decreased dramatically and the levels of reactive oxygen species, mitochondrial membrane potential and phagocytosis capacity increased significantly. It was shown that the methane type-dependent effect was pronounced, with industrial methane leading to more pronounced changes.</t>
  </si>
  <si>
    <t>[Kladchenko, Ekaterina S.; Chelebieva, Elina S.; Podolskaya, Maria S.; Khurchak, Alena I.; Andreyeva, Aleksandra Yu] RAS, Lab Ecol Immunol Aquat Organisms, AO Kovalevsky Inst Biol Southern Seas, Leninsky Ave 14, Moscow 119991, Russia; [Khurchak, Alena I.; V. Malakhova, Tatiana] RAS, AO Kovalevsky Inst Biol Southern Seas, Dept Radiat &amp; Chem Biol, Leninsky Ave 14, Moscow 119991, Russia</t>
  </si>
  <si>
    <t>Russian Academy of Sciences; AO Kovalevsky Institute of Biology of the Southern Seas of RAS (IBSS); Russian Academy of Sciences; AO Kovalevsky Institute of Biology of the Southern Seas of RAS (IBSS)</t>
  </si>
  <si>
    <t>Kladchenko, ES (corresponding author), RAS, Lab Ecol Immunol Aquat Organisms, AO Kovalevsky Inst Biol Southern Seas, Leninsky Ave 14, Moscow 119991, Russia.</t>
  </si>
  <si>
    <t>Kladchenko_ekaterina@bk.ru</t>
  </si>
  <si>
    <t>Kladchenko, Ekaterina/U-7749-2019; Chelebieva, Elina/AAN-7285-2020</t>
  </si>
  <si>
    <t>10.1016/j.marpolbul.2024.116174</t>
  </si>
  <si>
    <t>OE4O0</t>
  </si>
  <si>
    <t>WOS:001205575300001</t>
  </si>
  <si>
    <t>Baker, BJ; Richardson, JML</t>
  </si>
  <si>
    <t>Baker, B. J.; Richardson, J. M. L.</t>
  </si>
  <si>
    <t>The effect of artificial light on male breeding-season behaviour in green frogs, Rana clamitans melanota</t>
  </si>
  <si>
    <t>VERTEBRATE PHOTORECEPTORS; NOCTURNAL ACTIVITY; DARK-ADAPTATION; PREDATION; POLLUTION; TERRITORIALITY; RISK; MICE</t>
  </si>
  <si>
    <t>Artificial night lighting (or ecological light pollution) is only now gaining attention as a source of long-term effects on the ecology of both diurnal and nocturnal animals. The limited data available clearly indicate that artificial light can affect physiology and behaviour of animals, leading to ecological consequences at the population, community, and ecosystem levels. Aquatic ecosystems may be particularly vulnerable to such effects, and nocturnally breeding animals such as frogs may be especially affected. To address this potential, we quantify the effects of artificial light on calling and movement behaviour in a rural population of male green frogs (Rana clamitans melanota (Rafinesque, 1820)) during the breeding season. When exposed to artificial light, frogs produced fewer advertisement calls and moved more frequently than under ambient light conditions. Results clearly demonstrate that male green frog behaviour is affected by the presence of artificial light in a manner that has the potential to reduce recruitment rates and thus affect population dynamics.</t>
  </si>
  <si>
    <t>Brock Univ, Dept Biol Sci, St Catharines, ON L2S 3A1, Canada</t>
  </si>
  <si>
    <t>Brock University</t>
  </si>
  <si>
    <t>Richardson, JML (corresponding author), Brock Univ, Dept Biol Sci, 500 Glenridge Ave, St Catharines, ON L2S 3A1, Canada.</t>
  </si>
  <si>
    <t>jrichardson@brocku.ca</t>
  </si>
  <si>
    <t>Baker, Brett/P-1783-2014; Richardson, Jean/D-2702-2014</t>
  </si>
  <si>
    <t>Richardson, Jean M. L./0000-0002-8444-4930</t>
  </si>
  <si>
    <t>NATL RESEARCH COUNCIL CANADA-N R C RESEARCH PRESS</t>
  </si>
  <si>
    <t>BUILDING M 55, OTTAWA, ON K1A 0R6, CANADA</t>
  </si>
  <si>
    <t>10.1139/Z06-142</t>
  </si>
  <si>
    <t>121YK</t>
  </si>
  <si>
    <t>WOS:000243192700016</t>
  </si>
  <si>
    <t>Bilbao, E; Cajaraville, MP; Cancio, I</t>
  </si>
  <si>
    <t>Bilbao, Eider; Cajaraville, Miren P.; Cancio, Ibon</t>
  </si>
  <si>
    <t>Cloning and expression pattern of peroxisomal β-oxidation genes palmitoyl-CoA oxidase, multifunctional protein and 3-ketoacyl-CoA thiolase in mussel Mytilus galloprovincialis and thicklip grey mullet Chelon labrosus</t>
  </si>
  <si>
    <t>Peroxisome proliferation; Peroxisomal beta-oxidation; Peroxisome proliferator response elements; Mytilus galloprovincialis; Chelon labrosus</t>
  </si>
  <si>
    <t>PROLIFERATOR-ACTIVATED RECEPTORS; FATTY-ACIDS; ENVIRONMENTAL-POLLUTION; LIVER PEROXISOMES; GRAY MULLET; SEA BASS; 2 FORMS; ALPHA; IDENTIFICATION; THIOLASE</t>
  </si>
  <si>
    <t>Due to the ability to respond after exposure to organic toxic compounds, peroxisome proliferation is used as biomarker of exposure to organic pollutants in mussels and in fish. Mussels are worldwide studied as sentinels of pollution in marine environments while mullets such as the thicklip grey mullet Chelon labrosus have been proposed as appropriate sentinel species since they inhabit highly polluted environments. In order to study genes of the inducible peroxisomal beta-oxidation pathway in mussels Mytilus galloprovincialis and in C labrosus, genes coding for the three enzymes in the inducible peroxisomal P-oxidation pathway, palmitoyl-CoA oxidase (AOX1), multifunctional protein (MFP1 in mullet and MFP2 in mussels), and 3-ketoacyl-CoA thiolase (THIO), were cloned. Additionally, a fragment of the peroxisomal Delta(2), Delta(4) dienoyl-CoA reductase 2 (DECR) necessary for the beta-oxidation of unsaturated fatty acids was cloned in mullets. The whole open reading frame of aox1 sequenced in both mussels and mullets revealed high homology with known aox1 sequences, with highly conserved important domains such as the FAD binding motif or the typical peroxisomal targeting signal (PTS1). A thorough in silico analysis of the gene and genome databases allowed to identify in fish and molluscs sequence homologs of all the enzymes necessary for 2 of the 3 different paralog peroxisomal beta-oxidation pathways described in metazoans (AOX1, AOX3, MFP1. MFP2, THIO and sterol carrier protein X). Only the enzyme necessary for the oxidation of branched chain fatty acids, AOX2, described in mammalian, avian and amphibian species, seems to be lacking from the genomes of fish and molluscs. In order to study the expression and regulation capacity of peroxisomal beta-oxidation genes, aox1 and thio expression was determined in different tissues of mature and immature mullets and mussels collected in January and June, both genes being expressed higher in the digestive gland of mussels collected in June compared to January. Finally, in silico studies of the promoter regions in the piscine genomes available in the Ensembl genome repository, allowed the identification of putative peroxisome proliferator response elements that could explain the possible cellular and molecular mechanisms leading to peroxisome proliferation in fish. Further studies are needed to decipher molecular mechanisms of peroxisome proliferation in aquatic organisms under exposure to peroxisome proliferator xenobiotics. (C) 2009 Elsevier B.V. All rights reserved.</t>
  </si>
  <si>
    <t>[Bilbao, Eider; Cajaraville, Miren P.; Cancio, Ibon] Univ Basque Country, Sch Sci &amp; Technol, Dept Zool &amp; Anim Cell Biol, Cell Biol &amp; Histol Lab, E-48080 Bilbao, Basque Country, Spain</t>
  </si>
  <si>
    <t>Cancio, I (corresponding author), Univ Basque Country, Sch Sci &amp; Technol, Dept Zool &amp; Anim Cell Biol, Cell Biol &amp; Histol Lab, POB 644, E-48080 Bilbao, Basque Country, Spain.</t>
  </si>
  <si>
    <t>eider.bilbao@ehu.es; mirenp.cajaraville@ehu.es; ibon.cancio@ehu.es</t>
  </si>
  <si>
    <t>Cancio, Ibon/I-2821-2015; Bilbao, Eider/Y-6831-2018; Cajaraville, Miren P/I-4757-2015</t>
  </si>
  <si>
    <t>Cancio, Ibon/0000-0003-4841-0079; Bilbao, Eider/0000-0001-7155-2724; Cajaraville, Miren P/0000-0001-6527-6137</t>
  </si>
  <si>
    <t>10.1016/j.gene.2009.05.008</t>
  </si>
  <si>
    <t>471UP</t>
  </si>
  <si>
    <t>WOS:000268084100016</t>
  </si>
  <si>
    <t>Ye, Q; Huang, JH; Li, M; Li, HY; Liu, JS; Lu, SH; Yang, WD</t>
  </si>
  <si>
    <t>Ye, Qian; Huang, Jia-hui; Li, Meng; Li, Hong-ye; Liu, Jie-sheng; Lu, Songhui; Yang, Wei-dong</t>
  </si>
  <si>
    <t>Responses of cytochrome P450, GST and MXR in the mussel Perna viridis to the exposure of Aureococcus anophagefferens</t>
  </si>
  <si>
    <t>Aureococcus anophagefferens; Perna viridis; Detoxification system; Dopamine receptor</t>
  </si>
  <si>
    <t>GLUTATHIONE-S-TRANSFERASE; BROWN TIDE ALGA; SHORT-TERM EXPOSURE; MULTIXENOBIOTIC RESISTANCE; MYTILUS-GALLOPROVINCIALIS; BIOTRANSFORMATION GENES; ENVIRONMENTAL-FACTORS; STRESS RESPONSES; CHINESE STRAIN; PCR DATA</t>
  </si>
  <si>
    <t>The brown tide formed by a microscopic alga called Aureococcus anophagefferens has a devastating effect on filter feeding bivalves, however, the related toxic principle remains an open question. In this study, we found that A. anophagefferens cells could motivate detoxification associated genes including CYP450, GST, P-gp and MVP, and induce SOD activity in the mussel Perna viridis. D1-like and D2-like receptors were expressed at high level in the gills of P. viridis, however, D2-like receptor transcript was too low to detect in digestive gland. The exposure of A. anophagefferens did not lead to any significant alterations in the expression of D1-like and D2-like receptors in both gills and digestive gland. These findings suggested that A. anophagefferens exhibited cytotoxicity toward bivalves, but did not obviously disrupt the dopamine system at transcriptional level in the acute exposure. Further studies are warranted to explore the nature of toxic compounds in A. anophagefferens affected bivalves.</t>
  </si>
  <si>
    <t>[Ye, Qian; Huang, Jia-hui; Li, Meng; Li, Hong-ye; Liu, Jie-sheng; Lu, Songhui; Yang, Wei-dong] Jinan Univ, Coll Life Sci &amp; Technol, Key Lab Aquat Eutrophicat &amp; Control Harmful Algal, Guangdong Higher Educ Inst, Guangzhou 510632, Peoples R China</t>
  </si>
  <si>
    <t>Lu, SH; Yang, WD (corresponding author), Jinan Univ, Coll Life Sci &amp; Technol, Key Lab Aquat Eutrophicat &amp; Control Harmful Algal, Guangdong Higher Educ Inst, Guangzhou 510632, Peoples R China.</t>
  </si>
  <si>
    <t>lusonghui1963@163.com; tywd@jnu.edu.cn</t>
  </si>
  <si>
    <t>Huang, JiaHui/JVP-2499-2024</t>
  </si>
  <si>
    <t>yang, wei dong/0000-0002-3002-0972</t>
  </si>
  <si>
    <t>National Key Research and Development Program [2019YFC1407901]; National Natural Science Foundation of China [41776120]; National Marine Public Welfare Project of China [201305003]</t>
  </si>
  <si>
    <t>National Key Research and Development Program(National Key Research &amp; Development Program of China); National Natural Science Foundation of China(National Natural Science Foundation of China (NSFC)); National Marine Public Welfare Project of China</t>
  </si>
  <si>
    <t>This work was supported by the National Key Research and Development Program (2019YFC1407901), National Natural Science Foundation of China (41776120) and the National Marine Public Welfare Project of China (201305003).</t>
  </si>
  <si>
    <t>10.1016/j.marpolbul.2020.111806</t>
  </si>
  <si>
    <t>PH3LB</t>
  </si>
  <si>
    <t>WOS:000600317600006</t>
  </si>
  <si>
    <t>Ruiz, P; Díaz, S; Orbea, A; Carballal, MJ; Villalba, A; Cajaraville, MP</t>
  </si>
  <si>
    <t>Ruiz, Pamela; Diaz, Seila; Orbea, Amaia; Carballal, Maria J.; Villalba, Antonio; Cajaraville, Miren P.</t>
  </si>
  <si>
    <t>Biomarkers and transcription levels of cancer-related genes in cockles Cerastoderma edule from Galicia (NW Spain) with disseminated neoplasia</t>
  </si>
  <si>
    <t>Cockles; Disseminated neoplasia; Biomarkers; Pollution</t>
  </si>
  <si>
    <t>SOFT-SHELL CLAM; OYSTER CRASSOSTREA-GIGAS; MYA-ARENARIA; SOFTSHELL CLAMS; MESSENGER-RNA; HEMATOPOIETIC NEOPLASIA; LEUKEMIA-CELLS; MYTILUS-EDULIS; BLUE MUSSELS; P53 FAMILY</t>
  </si>
  <si>
    <t>Disseminated neoplasia (DN) is a pathological condition reported for several species of marine bivalves throughout the world, but its aetiology has not yet been satisfactorily explained. It has been suggested that chemical contamination could be a factor contributing to neoplasia. The aim of the present study was to compare cell and tissue biomarkers and the transcription level of cancer-related genes in cockles (Cerastoderma edule) affected by DN with those of healthy cockles in relation to chemical contaminant burdens. For this, cockles were collected from a natural bed in Cambados (Ria de Arousa, Galicia) in May 2009. The prevalence of DN was 12.36% and 3 degrees of DN severity were distinguished. No significant differences in metal accumulation, non-specific inflammatory responses and parasites were observed between healthy and DN-affected cockles. Lysosomal membrane stability was significantly reduced in cockles affected by DN, which indicates a poorer health condition. Very low frequencies of micronuclei were recorded and no significant differences were detected between DN severity groups. Haemolymph analyses showed a higher frequency of mitotic figures and binucleated cells in cockles affected by moderate and heavy DN than in healthy ones. Neoplastic animals showed significantly higher transcription levels of p53 and ras than healthy cockles and mutational alterations in ras gene sequence were detected. Low concentrations of metals, polycyclic aromatic hydrocarbons, polychlorinated biphenyls and phthalate esters were measured in cockles from Cambados. In conclusion, cockles affected by DN suffer a general stress situation and have altered patterns of cancer-related gene transcription. Further studies are in progress to elucidate mechanisms of carcinogenesis in this species. (C) 2013 Elsevier B.V. All rights reserved.</t>
  </si>
  <si>
    <t>[Ruiz, Pamela; Orbea, Amaia; Cajaraville, Miren P.] Univ Basque Country UPV EHU, CBET Res Grp, Dept Zool &amp; Anim Cell Biol, Res Ctr Expt Marine Biol &amp; Biotechnol PIE, E-48940 Leioa, Basque Country, Spain; [Diaz, Seila; Carballal, Maria J.; Villalba, Antonio] Xunta Galicia, Conselleria Mar, Ctr Invest Marinas, Vilanova De Arousa 36620, Spain</t>
  </si>
  <si>
    <t>Cajaraville, MP (corresponding author), Univ Basque Country UPV EHU, CBET Res Grp, Dept Zool &amp; Anim Cell Biol, Res Ctr Expt Marine Biol &amp; Biotechnol PIE, E-48940 Leioa, Basque Country, Spain.</t>
  </si>
  <si>
    <t>/I-2501-2015; Ruiz, Pamela/AAG-7154-2021; Villalba, Antonio/E-3621-2013; Diaz, Seila/D-7270-2018; Cajaraville, Miren P/I-4757-2015</t>
  </si>
  <si>
    <t>Villalba, Antonio/0000-0001-8049-0502; Ruiz, Pamela/0000-0002-7285-0202; ORBEA DEL REY, AMAIA/0000-0002-0229-4482; Diaz, Seila/0000-0002-6607-290X; Cajaraville, Miren P/0000-0001-6527-6137</t>
  </si>
  <si>
    <t>Spanish MEC [CTM2006-06192]; Basque Government [GIC07/26-IT-393-07]; University of the Basque Country [UFI11/37]</t>
  </si>
  <si>
    <t>Spanish MEC(Spanish Government); Basque Government(Basque Government); University of the Basque Country</t>
  </si>
  <si>
    <t>This work was supported by the Spanish MEC (project CAN-CERMAR, CTM2006-06192 and a predoctoral fellowship to P. Ruiz), the Basque Government through a grant to consolidated research groups (GIC07/26-IT-393-07) and the University of the Basque Country through a grant to the to Unit of Formation and Research Protection of ecosystem health (UFI11/37). SGIker technical and human support (UPV/EHU, MICINN, GV/EJ, ESF) is gratefully acknowledged.</t>
  </si>
  <si>
    <t>10.1016/j.aquatox.2013.03.018</t>
  </si>
  <si>
    <t>186PS</t>
  </si>
  <si>
    <t>WOS:000322057200010</t>
  </si>
  <si>
    <t>Bhandari, U; Arulkumar, A; Ganeshkumar, A; Paramasivam, S; Rajaram, R; Miranda, JM</t>
  </si>
  <si>
    <t>Bhandari, Uttra; Arulkumar, Abimannan; Ganeshkumar, Arumugam; Paramasivam, Sadayan; Rajaram, Rajendran; Miranda, Jose Manuel</t>
  </si>
  <si>
    <t>Metal accumulation and biomineralisation of coastal and mangrove-associated molluscs of Palk Bay, Southeastern India</t>
  </si>
  <si>
    <t>Biomineralisation; Shell; Mangrove; Gastropod; Molluscs; Bivalve</t>
  </si>
  <si>
    <t>HEAVY-METALS; RISK-ASSESSMENT; BIVALVE MOLLUSKS; BIOACCUMULATION; SEDIMENTS; POLLUTION; SHELL; DYNAMICS; SEAWATER; FISHES</t>
  </si>
  <si>
    <t>The present study aimed to determine metal accumulation levels in tissue and biomineralisation in shells of 20 species of molluscs (13 gastropods and 7 bivalves) from Palk Bay, India. In most cases, metal concentrations in the tissues were higher than in the shells of the same species collected from same location, meaning that in many cases biomineralisation factors of metal ratios were &lt;1. The highest biomineralisation factor for Cd was detected in Melampus sincaporensis (3.72 +/- 0.1) from the Thondi mangrove, for Pb in Cerithidea cingulata (2.51 +/- 0.17) from the Vattanam mangrove, for Cu in Melampus sincaporensis (0.88 +/- 0.2) from the Thondi mangrove, and for Zn in Cerithidea cingulata (0.93 +/- 0.3) from the Devipattinam mangrove. In most cases, metal concentrations were higher than reported in previous studies but were within the maximum limits stated by national and international regulatory agencies. Variations in the biomineralisation factor of metal ratios among the molluscan species likely stems from variations in bioaccumulation efficiency, selectivity of individual organisms, and availability of metals in the mangrove and coastal environments.</t>
  </si>
  <si>
    <t>[Bhandari, Uttra; Paramasivam, Sadayan] Alagappa Univ, Sch Marine Sci, Dept Oceanog &amp; Coastal Area Studies, Sci Campus, Karaikkudi 630003, Tamil Nadu, India; [Arulkumar, Abimannan] Pondicherry Univ, Achariya Arts &amp; Sci Coll, Dept Biotechnol, Villianur 605110, Puducherry, India; [Ganeshkumar, Arumugam; Rajaram, Rajendran] Bharathidasan Univ, Dept Marine Sci, Tiruchirappalli 620024, Tamil Nadu, India; [Miranda, Jose Manuel] Univ Santiago de Compostela, Fac Vet, Dept Quim Analit Nutr &amp; Bromatol, Pabellon 4, Lugo 27002, Spain</t>
  </si>
  <si>
    <t>Alagappa University; Pondicherry University; Bharathidasan University; Universidade de Santiago de Compostela</t>
  </si>
  <si>
    <t>Paramasivam, S (corresponding author), Alagappa Univ, Sch Marine Sci, Dept Oceanog &amp; Coastal Area Studies, Sci Campus, Karaikkudi 630003, Tamil Nadu, India.</t>
  </si>
  <si>
    <t>psivams@alagappauniversity.ac.in</t>
  </si>
  <si>
    <t>Arumugam, Ganeshkumar/ABC-5218-2020; Rajaram, Rajendran/ABE-5535-2021; Miranda, Jose/I-2040-2019; Arulkmuar, Dr./AAM-4380-2020; Paramasivam, Sadayan/Q-4928-2017</t>
  </si>
  <si>
    <t>RAJARAM, RAJENDRAN/0000-0003-2621-1677; Paramasivam, Sadayan/0000-0002-6587-1267</t>
  </si>
  <si>
    <t>10.1016/j.marpolbul.2021.112259</t>
  </si>
  <si>
    <t>SJ7FD</t>
  </si>
  <si>
    <t>WOS:000655695500006</t>
  </si>
  <si>
    <t>Azizi, G; Layachi, M; Akodad, M; Baghour, M; Ghalit, M; Gharibi, E; Ngadi, H; Moumen, A</t>
  </si>
  <si>
    <t>Azizi, Ghizlane; Layachi, Mostafa; Akodad, Mustapha; Baghour, Mourad; Ghalit, Mohammad; Gharibi, Elkhadir; Ngadi, Hamza; Moumen, Abdelmajid</t>
  </si>
  <si>
    <t>The Accumulation of Al, As, Li, Mg, Mn, S, Si, Ti, and V in the MusselMytilus galloprovincialisfrom the Moroccan Mediterranean Coastal Areas: Trends Pertaining to Seasons and Levels</t>
  </si>
  <si>
    <t>bioaccumulation; Moroccan Mediterranean Sea; Mytilus galloprovincialis; physico-chemical parameters; seasonal variations; metal elements</t>
  </si>
  <si>
    <t>MUSSELS MYTILUS-GALLOPROVINCIALIS; HEAVY-METAL CONCENTRATIONS; TRACE-METALS; PERNA-VIRIDIS; TRANSPLANTED MUSSELS; BEAGLE CHANNEL; BODY-SIZE; BLACK-SEA; BIOACCUMULATION; CD</t>
  </si>
  <si>
    <t>The accumulation levels of elements (Al, As, Li, Mg, Mn, S, Si, Ti, and V) in the soft tissue of mussels (Mytilus galloprovincialis), collected monthly in 2016, from Junuary to December, from sampling sites of the mussel farming facilities installed in the coastal areas of Al Hoceima, were investigated. The studied element levels were determined by using Inductively Coupled Plasma - Optical Emission Spectrometry (ICP-OES 720-ES). Descending order of the average element concentrations in soft tissue ofM. galloprovincialiswas S &gt; Mg &gt; Si&gt; Al &gt; Mn &gt; Ti &gt; As &gt;V &gt; Li. Element contents (Al, As, Mg, S and V) in tissue of mussels were significantly different (P &lt; 0.05) between seasons, being highest in winter and lowest in summer. Strong correlations were observed between studied elements and chlorophylla, indicating the importance of food for metal bioaccumulation in mussels in this period of the season. The observed strong correlations for metal levels in tissues of mussels can be explained by their common sources, which are associated with anthropogenic effects. The detected seasonal variations of investigated element concentrations in soft tissues ofM. galloprovincialiscould be attributed to physicochemical parameters such as temperature, salinity, dissolved oxygen, nutrients and food availability, as well as the biological status of the mussel. This study may provide basic information for detecting the current pollution status of investigated elements in Al Hoceima coasts from the Moroccan Mediterranean Sea usingM. galloprovincialisas biological indicators.</t>
  </si>
  <si>
    <t>[Azizi, Ghizlane; Akodad, Mustapha; Baghour, Mourad; Ngadi, Hamza; Moumen, Abdelmajid] Mohammed First Univ, Pluridisciplinary Fac Nador, Nador 62700, Morocco; [Layachi, Mostafa] Natl Inst Fisheries Res, Reg Ctr, Nador 62700, Morocco; [Ghalit, Mohammad; Gharibi, Elkhadir] Mohammed First Univ, Fac Sci, Oujda 60000, Morocco</t>
  </si>
  <si>
    <t>Mohammed First University of Oujda; Mohammed First University of Oujda</t>
  </si>
  <si>
    <t>Moumen, A (corresponding author), Mohammed First Univ, Pluridisciplinary Fac Nador, Nador 62700, Morocco.</t>
  </si>
  <si>
    <t>GHARIBI, El Khadir/HZK-0288-2023; baghour, mourad/H-9480-2015</t>
  </si>
  <si>
    <t>Moumen, Abdelmajid/0000-0002-4575-0871; baghour, mourad/0000-0001-8976-7731; GHALIT, Mohammad/0000-0002-8306-6560; gharibi, elkhadir/0000-0001-8036-5242</t>
  </si>
  <si>
    <t>10.1007/s12601-020-0025-7</t>
  </si>
  <si>
    <t>NV3WV</t>
  </si>
  <si>
    <t>WOS:000562286700002</t>
  </si>
  <si>
    <t>Fang, JKH; Wu, RSS; Zheng, GJ; Lam, PKS; Shin, PKS</t>
  </si>
  <si>
    <t>Fang, James K. H.; Wu, Rudolf S. S.; Zheng, Gene J.; Lam, Paul K. S.; Shin, Paul K. S.</t>
  </si>
  <si>
    <t>Seasonality of bioaccumulation of trace organics and lysosomal integrity in green-lipped mussel Perna viridis</t>
  </si>
  <si>
    <t>Seasonal variation; Trace organic pollutants; PAHs; PCBs; Neutral Red retention time</t>
  </si>
  <si>
    <t>POLYCYCLIC AROMATIC-HYDROCARBONS; RABBITFISH SIGANUS-ORAMIN; VICTORIA HARBOR; HONG-KONG; MYTILUS-GALLOPROVINCIALIS; STRESS RESPONSES; WATER-QUALITY; HEAVY-METALS; BIOMARKERS; POLLUTION</t>
  </si>
  <si>
    <t>Lysosomal integrity in mussels is widely used as a biomarker in coastal environments to demonstrate exposure to trace organic pollutants. However, few studies have determined the long-term influences of seasonal variations on the bioaccumulation of trace organics and subsequently altered response of lysosomal integrity in mussels. This study aimed to test three null hypotheses that (1) bioaccumulations of total polycyclic aromatic hydrocarbon (Sigma PAH) and (2) total polychlorinated biphenyl (Sigma PCB), and (3) lysosomal integrity as indicated by Neutral Red retention time (NRRT) in haemocytes, in the green-lipped mussel Perna viridis were not seasonally dependent. The tissue concentrations of Sigma PAH and Sigma PCB and haemocytic NRRT were determined in P. viridis in a metropolitan harbour, subtropical Hong Kong during the wet and dry seasons from 2004 to 2007. Additional information on temperature, salinity, dissolved oxygen and total ammonia nitrogen in seawater, and sediment levels of Sigma PAH and Sigma PCB, were extracted from published data and re-analyzed. Our results accepted all null hypotheses, based on the minimal seasonal influences of seawater temperature and salinity on all studied parameters, in which no significant differences between the wet and dry seasons were detected. The seasonal effect was likely outweighed by the greatly improved water quality and pollution abatement noted inside the harbour, with a gradual shift in mussel PAHs from a pyrolytic origin to a petrogenic origin. Spatially, the site east of the harbour was relatively unpolluted. The single use of NRRT in P. viridis explained 25% of the total variation of the integrated pollution patterns in seawater, sediments and mussels. The present study suggested that the dynamic change of trace organics could be reflected by the response on lysosomal integrity in P. viridis, which was recommended as a routine screening biomarker in monitoring of harbour water quality across seasons. (C) 2009 Elsevier B.V. All rights reserved.</t>
  </si>
  <si>
    <t>[Shin, Paul K. S.] City Univ Hong Kong, State Key Lab Marine Pollut, Kowloon, Hong Kong, Peoples R China; City Univ Hong Kong, Dept Biol &amp; Chem, Kowloon, Hong Kong, Peoples R China</t>
  </si>
  <si>
    <t>Shin, PKS (corresponding author), City Univ Hong Kong, State Key Lab Marine Pollut, 83 Tat Chee Ave, Kowloon, Hong Kong, Peoples R China.</t>
  </si>
  <si>
    <t>Wu, Rudolf/B-4203-2010; LAM, Kwan Sing Paul/B-9121-2008; Fang, James Kar-Hei/H-2088-2017</t>
  </si>
  <si>
    <t>LAM, Kwan Sing Paul/0000-0002-2134-3710; Fang, James Kar-Hei/0000-0002-2969-7978</t>
  </si>
  <si>
    <t>Area of Excellence Scheme [AoE/P-04/2004]</t>
  </si>
  <si>
    <t>Area of Excellence Scheme</t>
  </si>
  <si>
    <t>This study was fully supported by the Area of Excellence Scheme under the University Grants Committee of the Hong Kong Special Administration Region, China (Project no. AoE/P-04/2004). We thank the Hong Kong Environmental Protection Department for providing the water quality monitoring data for this study.</t>
  </si>
  <si>
    <t>10.1016/j.scitotenv.2009.12.044</t>
  </si>
  <si>
    <t>561AT</t>
  </si>
  <si>
    <t>WOS:000274948000026</t>
  </si>
  <si>
    <t>Zhang, H; Pan, LQ; Tao, YX</t>
  </si>
  <si>
    <t>Zhang, Hui; Pan, Luqing; Tao, Yanxia</t>
  </si>
  <si>
    <t>Toxicity assessment of environmental pollutant phenanthrene in clam Venerupis philippinarum using oxidative stress biomarkers</t>
  </si>
  <si>
    <t>Antioxidant responses; Biomarker; Oxidative stress; Phenanthrene (PHE); Venerupis philippinarum</t>
  </si>
  <si>
    <t>BROMINATED FLAME RETARDANTS; GLUTATHIONE-S-TRANSFERASE; MUSSEL MYTILUS-EDULIS; LIPID-PEROXIDATION; DIGESTIVE GLAND; ANTIOXIDANT ENZYMES; PERNA-VIRIDIS; EROD ACTIVITY; EXPOSURE; CADMIUM</t>
  </si>
  <si>
    <t>The objective of this study was to assess potential toxic effects of phenanthrene (PHE) on tissues of clam Venerupis philippinarum using parameters of antioxidant defenses and oxidative stress. Antioxidant biomarkers including ethoxyresorufin-O-deethylase (EROD), glutathione S-transferase (GST), superoxide dismutase (SOD), and glutathione (GSH), as well as DNA damage and lipid peroxidation (LPO) in gills and digestive glands of V. philippinarum, were analyzed after a 1-, 3-, 6-, 10- and 15-day exposure to seawater containing PHE at concentrations of 2, 10, 50 mu g/L. The results showed that the activity of most antioxidant enzymes was induced throughout the exposure period, and different trends were detected with time of exposure. The oxidative stress could be obviously caused in the gills and digestive glands under the experimental conditions. Overall, our results show that digestive glands are more sensitive to marine environmental stressors than gills, and GSH is proposed as potential useful biomarker as it showed good correlation with the target contaminant. This could provide useful information for toxic risk assessment of environmental pollutant PHE. (C) 2014 Elsevier B.V. All rights reserved.</t>
  </si>
  <si>
    <t>[Zhang, Hui; Pan, Luqing; Tao, Yanxia] Ocean Univ China, Key Lab Mariculture, Minist Educ, Qingdao 266003, Peoples R China</t>
  </si>
  <si>
    <t>State Oceanic Administration specific public project of China [201105013]</t>
  </si>
  <si>
    <t>State Oceanic Administration specific public project of China</t>
  </si>
  <si>
    <t>This work was supported by State Oceanic Administration specific public project of China (201105013). We thank the staff at the Laboratory of Physiology for the help with sampling and taking care of the scallops.</t>
  </si>
  <si>
    <t>10.1016/j.etap.2014.01.018</t>
  </si>
  <si>
    <t>AG7ZF</t>
  </si>
  <si>
    <t>WOS:000335636600026</t>
  </si>
  <si>
    <t>Harayashiki, CAY; Rodrigues, CC; Rocha, TL</t>
  </si>
  <si>
    <t>Harayashiki, Cyntia Ayumi Yokota; Rodrigues, Candido Carvalho; Rocha, Thiago Lopes</t>
  </si>
  <si>
    <t>Multi- and transgenerational effects of environmental chemicals on mollusks: An underexplored experimental design in aquatic (eco)toxicological studies</t>
  </si>
  <si>
    <t>Ecotoxicity; Parental exposure; Snails; Bivalves; Biomarkers</t>
  </si>
  <si>
    <t>MULTIGENERATION CADMIUM EXPOSURE; MUSSELS MYTILUS-EDULIS; PARENTAL EXPOSURE; LYMNAEA-STAGNALIS; DIETARY EXPOSURE; PACIFIC OYSTER; RESPONSES; SNAIL; NANOPARTICLES; REPRODUCTION</t>
  </si>
  <si>
    <t>(Eco)toxicological studies frequently evaluate the effects of chemicals in one life stage of organisms, but the use of these outcomes can only partially estimate populational effects. In this regard, multi- and/or transgenerational studies should be performed in order to provide information on contaminant effects in a populational functioning context. The present review aimed to summarize and critically evaluate the current knowledge regarding multi- and/or transgenerational effects of traditional and emerging environmental chemicals on mollusks. Results showed that these kinds of studies were performed in aquatic mollusks (bivalve and gastropod), being Gastropoda the mollusk Class most frequently studied. Additionally, freshwater species and multigenerational studies were more common for this class. For the Bivalvia class, only marine species were evaluated, and transgenerational exposure was more commonly assessed. The effects were reported for 15 species, highlighting the marine bivalves Crassostrea gigas and Saccostrea glomerata, and the freshwater gastropod Lymnaea stagnalis. Multi- and transgenerational effects were described for 8 environmental chemical groups, mainly metals, pesticides, and pharmaceuticals. In general, multi- and transgenerational exposure induced biometric, developmental, and reproductive impairments in mollusks, indicating that environmental chemicals might lead to generational impairments, reduced population growth and reproductive capacity, and decreased fitness. The current study indicated that bivalves and gastropods are suitable organism models to assess the multi- and transgenerational adverse effects induced by traditional and emerging environmental chemicals.</t>
  </si>
  <si>
    <t>[Harayashiki, Cyntia Ayumi Yokota; Rodrigues, Candido Carvalho; Rocha, Thiago Lopes] Univ Fed Goias, Inst Trop Pathol &amp; Publ Hlth, Lab Environm Biotechnol &amp; Ecotoxicol LaBAE, Goiania, GO, Brazil; [Rodrigues, Candido Carvalho] Univ Quebec Montreal UQAM, Dept Biol Sci, Environm Met Lab, Montreal, PQ H2X 1Y4, Canada; [Harayashiki, Cyntia Ayumi Yokota] Univ Fed Goias, Inst Patol Trop &amp; Saude Publ, Rua 235,Setor Univ, BR-74605050 Goiania, GO, Brazil</t>
  </si>
  <si>
    <t>Universidade Federal de Goias; University of Quebec; University of Quebec Montreal; Universidade Federal de Goias</t>
  </si>
  <si>
    <t>Harayashiki, CAY (corresponding author), Univ Fed Goias, Inst Patol Trop &amp; Saude Publ, Rua 235,Setor Univ, BR-74605050 Goiania, GO, Brazil.</t>
  </si>
  <si>
    <t>c.harayashiki@gmail.com</t>
  </si>
  <si>
    <t>Harayashiki, Cyntia/T-3505-2019; Carvalho Rodrigues, Cândido/HHN-7950-2022; Lopes Rocha, Thiago/A-3864-2015</t>
  </si>
  <si>
    <t>Lopes Rocha, Thiago/0000-0003-0551-6842</t>
  </si>
  <si>
    <t>CAPESFoundation [88887.800875/2023-00, 001]; Fundacao de Amparo a Pesquisa do Estado de Goias (FAPEG) [202110267000294]; CNPq [306329/2020-4]</t>
  </si>
  <si>
    <t>CAPESFoundation(Coordenacao de Aperfeicoamento de Pessoal de Nivel Superior (CAPES)); Fundacao de Amparo a Pesquisa do Estado de Goias (FAPEG)(Fundacao de Amparo a Pesquisa do Estado do Goias (FAPEG)); CNPq(Conselho Nacional de Desenvolvimento Cientifico e Tecnologico (CNPQ))</t>
  </si>
  <si>
    <t>C.A.Y. Harayashiki was sponsored by the CAPESFoundation (Process no 88887.800875/2023-00) . This study was funded by Fundacao de Amparo a Pesquisa do Estado de Goias (FAPEG, CHAMADA FAPEG n. May 2020 - 7 a Edicao do PROGRAMA PESQUISA PARA O SUS: Gestao Compartilhada em Saude - PPSUS, no 202110267000294) , and by CAPESFoundation (Finance code 001) . T.L. Rocha was granted a productivity fellowship from CNPq (no 306329/2020-4) .</t>
  </si>
  <si>
    <t>10.1016/j.envpol.2024.124058</t>
  </si>
  <si>
    <t>TC1N3</t>
  </si>
  <si>
    <t>WOS:001238968900001</t>
  </si>
  <si>
    <t>Chiffoleau, JF; Auger, D; Roux, N; Rozuel, E; Santini, A</t>
  </si>
  <si>
    <t>Distribution of silver in mussels and oysters along the French coasts: Data from the national monitoring program</t>
  </si>
  <si>
    <t>TRACE-METAL CONCENTRATIONS; ATLANTIC-OCEAN; HEAVY-METALS; CONTAMINATION; WATERS; CALIFORNIA; BAY; BIOAVAILABILITY; DISCHARGE; CADMIUM</t>
  </si>
  <si>
    <t>IFREMER, Ctr Nantes, Dept DCN, BE, F-44311 Nantes 3, France</t>
  </si>
  <si>
    <t>Nantes Universite; Ifremer</t>
  </si>
  <si>
    <t>IFREMER, Ctr Nantes, Dept DCN, BE, BP 21105, F-44311 Nantes 3, France.</t>
  </si>
  <si>
    <t>jfchiffo@ifremer.fr</t>
  </si>
  <si>
    <t>Santini, Antonello/J-4923-2019</t>
  </si>
  <si>
    <t>10.1016/j.marpolbul.2005.09.009</t>
  </si>
  <si>
    <t>WOS:000234236600040</t>
  </si>
  <si>
    <t>Carneiro, AP; Soares, CHL; Pagliosa, PR</t>
  </si>
  <si>
    <t>Carneiro, Alessandra Paula; Soares, Carlos Henrique Lemos; Pagliosa, Paulo Roberto</t>
  </si>
  <si>
    <t>Does the environmental condition affect the tolerance of the bivalve Anomalocardia flexuosa to different intensities and durations of marine heatwaves?</t>
  </si>
  <si>
    <t>Pollution; Mortality; Biochemical effects; Physiological effects; Climate change; Temperature; Extreme climatic events</t>
  </si>
  <si>
    <t>ESTUARY BABITONGA BAY; CRASSOSTREA-VIRGINICA; SUBTROPICAL ESTUARY; SURFACE SEDIMENTS; CADMIUM EXPOSURE; CLIMATE-CHANGE; IN-SITU; TEMPERATURE; CONTAMINATION; STRESS</t>
  </si>
  <si>
    <t>Populations of the clam Anomalocardia flexuosa, subjected to different pollution conditions, were experimentally exposed to marine heatwaves of actual and future intensities and varying durations. We measured physiological and biochemical biomarkers and survival rates of the species under simulated heatwave events of 7 and 11 days. We observed that both the response of A. flexuosa to heatwaves and its baseline values of biomarkers were distinct between populations, demonstrating that the previous exposure to contaminants negatively interferes with the thermal tolerance of this bivalve. The duration and intensities of heatwaves here tested represent a considerable challenge for the survival of coastal bivalves. Our results suggest that the predicted increase in the ocean's average temperature and the frequency and intensity of marine heatwaves, as well as urbanization and increasing occupation of coastal regions, are factors that synergistically make A. flexuosa increasingly vulnerable over the decades.</t>
  </si>
  <si>
    <t>[Carneiro, Alessandra Paula; Pagliosa, Paulo Roberto] Univ Fed Santa Catarina, Coordenadoria Especial Oceanog, Lab Biodiversidade Costeira, Florianopolis, SC, Brazil; [Soares, Carlos Henrique Lemos] Univ Fed Santa Catarina, Dept Bioquim, Lab Ecotoxicol, Florianopolis, SC, Brazil</t>
  </si>
  <si>
    <t>Universidade Federal de Santa Catarina (UFSC); Universidade Federal de Santa Catarina (UFSC)</t>
  </si>
  <si>
    <t>Carneiro, AP (corresponding author), Univ Fed Santa Catarina, Lab Biodiversidade Costeira, BR-88040900 Florianopolis, SC, Brazil.</t>
  </si>
  <si>
    <t>alessandra.carneiro@ifsc.edu.br</t>
  </si>
  <si>
    <t>Carneiro Rospide, Alessandra/KYQ-7839-2024; Pagliosa, Paulo/E-1948-2013</t>
  </si>
  <si>
    <t>Pagliosa, Paulo/0000-0003-0834-2534</t>
  </si>
  <si>
    <t>CAPES Foundation, Ministry of Education of Brazil [88882.438722/201901]</t>
  </si>
  <si>
    <t>CAPES Foundation, Ministry of Education of Brazil(Coordenacao de Aperfeicoamento de Pessoal de Nivel Superior (CAPES))</t>
  </si>
  <si>
    <t>The authors wish to acknowledge support from the CAPES Foundation, Ministry of Education of Brazil (grant number 88882.438722/201901) . We are grateful to Paulo Manso for helping the experimental system construction and maintenance and to Kalina Brauko for helping in the field procedures.</t>
  </si>
  <si>
    <t>10.1016/j.marpolbul.2021.112410</t>
  </si>
  <si>
    <t>SS6EB</t>
  </si>
  <si>
    <t>WOS:000661846300009</t>
  </si>
  <si>
    <t>Mai, VC; Das, P; Zhou, JJ; Lim, TT; Duan, HW</t>
  </si>
  <si>
    <t>Van Cuong Mai; Das, Paramita; Zhou, Jiajing; Lim, Teik Thye; Duan, Hongwei</t>
  </si>
  <si>
    <t>Mussel-Inspired Dual-Superlyophobic Biomass Membranes for Selective Oil/Water Separation</t>
  </si>
  <si>
    <t>ADVANCED MATERIALS INTERFACES</t>
  </si>
  <si>
    <t>biomass; dual-superlyophobicity; membranes; oil; water separation; polydopamine</t>
  </si>
  <si>
    <t>OIL-WATER SEPARATION; SWITCHABLE WETTABILITY; SURFACE; DESIGN; EFFICIENT; PH; DEPOSITION; POLLUTION; CELLULOSE; KINETICS</t>
  </si>
  <si>
    <t>Dual-superlyophobic membranes that exhibit underwater superoleophobicity and underoil superhydrophobicity concurrently have gained considerable attention for oil/water separation. To effectively treat oily wastewater, consistent efforts have been made to develop fast and simple methodologies with low cost, environmentally friendly materials. Here, the dual-superlyophobic membranes are obtained based on one-step tailored growth of mussel-inspired polydopamine (PDA) nanoparticles on the surfaces of biomass membranes. The results demonstrate that the universal adhesion of PDA allows the modification of biomass fibers of different surface hydrophobicity. The oxidation polymerization of dopamine leads to the rapid growth of PDA nanostructures, which form stable coatings of high roughness instead of homogeneous conformal coatings generated in the conventional synthesis of PDA. The amphiphilic nature of PDA and the rough surfaces imparted by the PDA nanostructures collectively lead to dual-superlyophobic properties. Membranes of the coated biomass fibers prewetted by either water or oil become impermeable to the counterpart liquids, giving rise to efficient oil-water separation in a broad spectrum of mixtures. In particular, the membranes derived from cotton or kapok fibers show oil/water separation efficiencies of above 99.98%, fluxes ranging from 4000 to 22 200 L m(-2) h(-1), and robust performance for regeneration and repeated uses.</t>
  </si>
  <si>
    <t>[Van Cuong Mai; Das, Paramita; Zhou, Jiajing; Duan, Hongwei] Nanyang Technol Univ, Sch Chem &amp; Biomed Engn, 62 Nanyang Dr, Singapore 637459, Singapore; [Van Cuong Mai; Lim, Teik Thye] Nanyang Technol Univ, NEWRI, 1 Cleantech Loop, Singapore 637141, Singapore</t>
  </si>
  <si>
    <t>Nanyang Technological University; Nanyang Technological University</t>
  </si>
  <si>
    <t>Duan, HW (corresponding author), Nanyang Technol Univ, Sch Chem &amp; Biomed Engn, 62 Nanyang Dr, Singapore 637459, Singapore.</t>
  </si>
  <si>
    <t>Mai, Cuong/AAH-9534-2021; Duan, Hongwei/G-6228-2010; Das, Paramita/AAI-6570-2020; Lim, Teik-Thye/A-3790-2011</t>
  </si>
  <si>
    <t>Duan, Hongwei/0000-0003-2841-3344; Das, Paramita/0000-0003-0239-7323; Lim, Teik-Thye/0000-0002-0386-0394</t>
  </si>
  <si>
    <t>College of Engineering at Nanyang Technological University</t>
  </si>
  <si>
    <t>College of Engineering at Nanyang Technological University(Nanyang Technological University)</t>
  </si>
  <si>
    <t>This work was supported by the College of Engineering at Nanyang Technological University.</t>
  </si>
  <si>
    <t>2196-7350</t>
  </si>
  <si>
    <t>ADV MATER INTERFACES</t>
  </si>
  <si>
    <t>Adv. Mater. Interfaces</t>
  </si>
  <si>
    <t>10.1002/admi.201901756</t>
  </si>
  <si>
    <t>JAN 2020</t>
  </si>
  <si>
    <t>Chemistry, Multidisciplinary; Materials Science, Multidisciplinary</t>
  </si>
  <si>
    <t>KX8OH</t>
  </si>
  <si>
    <t>WOS:000509622500001</t>
  </si>
  <si>
    <t>Gonçalves, AMM; Mesquita, AF; Verdelhos, T; Coutinho, JAP; Marques, JC; Gonçalves, F</t>
  </si>
  <si>
    <t>Goncalves, A. M. M.; Mesquita, A. F.; Verdelhos, T.; Coutinho, J. A. P.; Marques, J. C.; Goncalves, F.</t>
  </si>
  <si>
    <t>Fatty acids' profiles as indicators of stress induced by of a common herbicide on two marine bivalves species: Cerastoderma edule (Linnaeus, 1758) and Scrobicularia plana (da Costa, 1778)</t>
  </si>
  <si>
    <t>Marine bivalves; Fatty acids; Herbicide effects; Food quality</t>
  </si>
  <si>
    <t>FOOD SOURCES; RESPONSES; CONTAMINATION; COMMUNITIES; COPEPODS; IMPACT; MATTER; GROWTH; BAY</t>
  </si>
  <si>
    <t>In Europe, mainly the Mediterranean region, intensive use of fertilizers and pesticides has been recorded over the past 30 years, exceeding, in some cases, the limits of contamination authorized by the European Union. The intensive use of pollutants in fields near ecological coastal wetlands has led to implementation of pesticide monitoring programs to recover aquatic systems such as the Mondego estuary (Figueira da Foz, Portugal). According to information from the agricultural cooperatives of the Mondego valley, Primextra(R) Gold TZ is the most-used herbicide in corn crop fields. Biomarkers, such fatty acids (FAs), proved to be new and potentially powerful tools to detect, illustrate, and evaluate exposure to and the effects of contamination hazards. They play important roles in establishing neural levels in organisms' biochemical and physiological responses and are considered good bio-indicators of stress and potential indicators of ecosystem health. Bivalves are currently used in ecotoxicological bioassays because of their ecological importance, wide geographic distribution, ease of handling in the laboratory and in the field, and their ability to filter and ingest large volumes of water and sediment particles. Thus, the main goal of this work was to determine the toxic and biochemical (namely fatty acid profiles) responses of two size classes (small and big) of the two marine bivalve species Cerastoderma edule and Scrobicularia plane to the herbicide Primextra Gold. Furthermore, we aimed to compare the fatty acid contents, and thus the nutritive values, of both species and size classes collected in the field with those under laboratory conditions. Results show S. plana is more sensitive to the herbicide than C edule. In general, among the larger-sized specimens in the field, S. plum is more nutritive than C. edule, but among the smaller-sized specimens, the opposite tendency is seen, where C. edule presents a greater abundance of FAs. (C) 2015 Elsevier Ltd. All rights reserved.</t>
  </si>
  <si>
    <t>[Goncalves, A. M. M.; Verdelhos, T.; Marques, J. C.] Univ Coimbra, Dept Life Sci, IMAR Marine &amp; Environm Res Ctr, P-3004517 Coimbra, Portugal; [Goncalves, A. M. M.; Verdelhos, T.; Marques, J. C.] Univ Coimbra, Dept Life Sci, MARE Marine &amp; Environm Sci Ctr, P-3004517 Coimbra, Portugal; [Goncalves, A. M. M.; Mesquita, A. F.; Goncalves, F.] Univ Aveiro, Dept Biol, P-3810193 Aveiro, Portugal; [Goncalves, A. M. M.; Mesquita, A. F.; Goncalves, F.] Univ Aveiro, CESAM, P-3810193 Aveiro, Portugal; [Coutinho, J. A. P.] Univ Aveiro, Dept Chem, CICECO, P-3810193 Aveiro, Portugal</t>
  </si>
  <si>
    <t>Universidade de Coimbra; Universidade de Coimbra; Universidade de Aveiro; Universidade de Aveiro; Universidade de Aveiro</t>
  </si>
  <si>
    <t>Gonçalves, AMM (corresponding author), Univ Coimbra, Dept Life Sci, IMAR Marine &amp; Environm Res Ctr, P-3004517 Coimbra, Portugal.;Gonçalves, AMM (corresponding author), Univ Coimbra, Dept Life Sci, MARE Marine &amp; Environm Sci Ctr, P-3004517 Coimbra, Portugal.;Gonçalves, AMM (corresponding author), Univ Aveiro, Dept Biol, P-3810193 Aveiro, Portugal.;Gonçalves, AMM (corresponding author), Univ Aveiro, CESAM, P-3810193 Aveiro, Portugal.</t>
  </si>
  <si>
    <t>anamartagoncalves@ua.pt</t>
  </si>
  <si>
    <t>Joao, Coutinho/A-1582-2010; Goncalves, Ana Marta/A-5151-2013; MARQUES, JOAO CARLOS/L-9478-2014; Goncalves, Fernando J. M./B-8000-2008</t>
  </si>
  <si>
    <t>Coutinho, Joao/0000-0002-3841-743X; Goncalves, Ana Marta/0000-0002-8611-7183; MARQUES, JOAO CARLOS/0000-0001-8865-8189; Costa Mesquita, Andreia Filipa/0000-0002-9601-943X; Goncalves, Fernando J. M./0000-0002-9326-187X; Verdelhos, Tiago/0000-0003-4713-3006</t>
  </si>
  <si>
    <t>Fundacao para a Ciencia e Tecnologia (FCT) [UID/MAR/04292/2013, UID/AMB/50017/2013]; FCT [SFRH/BPD/97210/2013, SFRH/BPD/66838/2009]; Human Potential Operational Programme; European Social Fund (EU); program POPH/FSE; Fundação para a Ciência e a Tecnologia [SFRH/BPD/66838/2009, SFRH/BPD/97210/2013] Funding Source: FCT</t>
  </si>
  <si>
    <t>Fundacao para a Ciencia e Tecnologia (FCT)(Fundacao para a Ciencia e a Tecnologia (FCT)); FCT(Fundacao para a Ciencia e a Tecnologia (FCT)); Human Potential Operational Programme; European Social Fund (EU)(European Union (EU)European Social Fund (ESF)); program POPH/FSE(European Social Fund (ESF)); Fundação para a Ciência e a Tecnologia(Fundacao para a Ciencia e a Tecnologia (FCT))</t>
  </si>
  <si>
    <t>This study was supported by Fundacao para a Ciencia e Tecnologia (FCT) through the strategic projects UID/MAR/04292/2013 granted to MARE and UID/AMB/50017/2013 granted to CESAM. The authors thank FCT for this and the financial support provided through the post-doctoral grants SFRH/BPD/97210/2013 and SFRH/BPD/66838/2009 to A.M.M. Goncalves and T. Verdelhos, respectively, co-funded by the Human Potential Operational Programme (National Strategic Reference Framework 2007-2013), European Social Fund (EU), and the program POPH/FSE. A.M.M. Goncalves and A.F. Mesquita contributed equally to this work.</t>
  </si>
  <si>
    <t>10.1016/j.ecolind.2015.12.006</t>
  </si>
  <si>
    <t>DE8SC</t>
  </si>
  <si>
    <t>WOS:000370906000022</t>
  </si>
  <si>
    <t>Panjikkaran, ST; Mathew, D</t>
  </si>
  <si>
    <t>Panjikkaran, Seeja Thomachan; Mathew, Deepu</t>
  </si>
  <si>
    <t>An environmentally friendly and cost effective technique for the commercial cultivation of oyster mushroom [Pleurotus florida (Mont.) Singer]</t>
  </si>
  <si>
    <t>JOURNAL OF THE SCIENCE OF FOOD AND AGRICULTURE</t>
  </si>
  <si>
    <t>agricultural pollution; environmentally friendly cultivation; mushroom; reusable plastic; waste disposal</t>
  </si>
  <si>
    <t>BACKGROUND: The existing protocol for the cultivation of oyster mushroom (Pleurotus florida) in polyethylene bags leads to environmental pollution amounting to 18 g of polyethylene per 450 g of mushroom, which is the average biological efficiency achieved from a bag. Thus the projected annual global pollution amounts to 2 million tones, corresponding to the production of 48 million tones. Experiments were conducted at Kerala Agricultural University, India, to formulate an oyster mushroom cultivation strategy that reduces this pollution level. RESULTS: Pooled results of experiments at the institute's and farmers' units have shown that reusable plastic buckets having perforations of 1.5 cm x 1.0 cm throughout the side walls could be used to substitute polyethylene bags, while following the standard cultivation protocols. Cultivation in perforated buckets has recorded a biological efficiency of 435.69 +/- 56.75 g in 47.07 +/- 5.22 days against 459.11 +/- 53.52 g in 38.05 +/- 4.54 days in polyethylene bags. The rate of contamination in buckets was significantly lower than that in bags: 9.28 +/- 2.12 and 12.60 +/- 3.73% respectively. CONCLUSION: Reusable plastic buckets with perforations on the side walls could be used to substitute the conventional polyethylene bags in oyster mushroom cultivation, with no significant difference in yield. Losses due to slight increase in crop duration in buckets will be compensated with a lower rate of contamination. For a unit having a daily output of 100 kg, it was estimated that during 10 years of permanent cultivation following this technique, the cost of cultivation could be reduced to one-tenth and the environmental pollution reduced by at least 730 000 non-degradable polyethylene bags. (c) 2012 Society of Chemical Industry</t>
  </si>
  <si>
    <t>[Panjikkaran, Seeja Thomachan; Mathew, Deepu] Kerala Agr Univ, Krishi Vigyan Kendra, Tavanur 679573, Kerala, India</t>
  </si>
  <si>
    <t>Mathew, D (corresponding author), Kerala Agr Univ, Ctr Plant Biotechnol &amp; Mol Biol, KAU Post, Trichur 680656, Kerala, India.</t>
  </si>
  <si>
    <t>deepuhort@gmail.com</t>
  </si>
  <si>
    <t>Mathew, Deepu/P-3742-2015</t>
  </si>
  <si>
    <t>Mathew, Deepu/0000-0002-2941-1060</t>
  </si>
  <si>
    <t>Indian Council of Agricultural Research</t>
  </si>
  <si>
    <t>Indian Council of Agricultural Research(Indian Council of Agricultural Research (ICAR))</t>
  </si>
  <si>
    <t>The authors thank Indian Council of Agricultural Research for the financial assistance for On Farm Trials (OFTs) and 100 farmers from Malappuram district, Kerala State, India, for their cooperation.</t>
  </si>
  <si>
    <t>0022-5142</t>
  </si>
  <si>
    <t>1097-0010</t>
  </si>
  <si>
    <t>J SCI FOOD AGR</t>
  </si>
  <si>
    <t>J. Sci. Food Agric.</t>
  </si>
  <si>
    <t>10.1002/jsfa.5827</t>
  </si>
  <si>
    <t>093BI</t>
  </si>
  <si>
    <t>WOS:000315166300035</t>
  </si>
  <si>
    <t>Bakhmet, IN; Fokina, NN; Nefedova, ZA; Nemova, NN</t>
  </si>
  <si>
    <t>Bakhmet, Igor N.; Fokina, Natalia N.; Nefedova, Zinaida A.; Nemova, Nina N.</t>
  </si>
  <si>
    <t>Physiological-biochemical properties of blue mussel Mytilus edulis adaptation to oil contamination</t>
  </si>
  <si>
    <t>Blue mussel; Heart rate; Lipids; Mytilus edulis L.; Oil products; Oil pollution; Phospholipids</t>
  </si>
  <si>
    <t>LIMPET PATELLA-VULGATA; HEART-RATE; BIVALVE MOLLUSK; CARDIAC ACTIVITY; CARCINUS-MAENAS; RESPONSES; SALINITY; COPPER; SPILL; GALLOPROVINCIALIS</t>
  </si>
  <si>
    <t>Bivalves have a known ability to accumulate different contaminants from ambient water and can therefore serve as bioindicators. The paper analyses certain biochemical and physiological parameters of blue mussels in response to varying oil product concentrations. The heart rate (HR) of blue mussels from the sublittoral zone exposed to different levels of oil products was investigated in a long-term experiment using non-invasive monitoring. A sharp rise in HR was observed at oil concentrations of 8.0 and 38.0 mg/l. A decreasing in mussel HR under the effect of lower concentrations (0.4 and 1.9 mg/l) was significant on the fourth day. Strong fluctuations of the cardiac activity were noted under all concentrations. After 6 days of oil treatment, tissues of the mussels were sampled to determine the total lipid composition. Low concentrations of oil products produced no reliable changes in the lipid composition whereas high concentrations induced significant changes in the ratio of lipid components (cholesterol and phospholipids).</t>
  </si>
  <si>
    <t>[Bakhmet, Igor N.] RAS, Karelian Res Ctr, Inst Biol, Lab Ecol Fish &amp; Water Invertebrates, Petrozavodsk 185910, Russia; [Fokina, Natalia N.; Nefedova, Zinaida A.; Nemova, Nina N.] RAS, Karelian Res Ctr, Lab Ecol Biochem, Inst Biol, Petrozavodsk 185910, Russia</t>
  </si>
  <si>
    <t>Bakhmet, Igor/AAE-7995-2019; Nemova, Nina/AAI-6595-2021; Fokina, Natalia/A-5903-2014; Nefedova, Zinaida A./R-8101-2018</t>
  </si>
  <si>
    <t>Fokina, Natalia/0000-0002-1209-3019; Nefedova, Zinaida A./0000-0001-8018-2390</t>
  </si>
  <si>
    <t>Russian Foundation [08-04-01140-a]</t>
  </si>
  <si>
    <t>Russian Foundation(Russian Foundation for Basic Research (RFBR))</t>
  </si>
  <si>
    <t>We wish to extend our warm thanks to the Head of the Hydrochemistry Laboratory, Northern Water Problems Institute Dr. P.A. Lozovik and employee of the same laboratory S.V. Basova. We are also deeply grateful to the staff of the White Sea Biological Station, Zoological Institute of RAS and especially Drs. V.J. Berger and V.V. Khalaman. The study was supported by the for Basic Research (No 08-04-01140-a).</t>
  </si>
  <si>
    <t>10.1007/s10661-008-0457-5</t>
  </si>
  <si>
    <t>WOS:000267887000044</t>
  </si>
  <si>
    <t>COIMBRA, J; CARRACA, S; FERREIRA, A</t>
  </si>
  <si>
    <t>METALS IN MYTILUS-EDULIS FROM THE NORTHERN COAST OF PORTUGAL</t>
  </si>
  <si>
    <t>TRACE-METALS; MUSSEL-WATCH; SCANDINAVIAN WATERS; INDICATOR; POLLUTION; LEAD; CADMIUM; ZINC; ELEMENTS; COPPER</t>
  </si>
  <si>
    <t>UNIV PORTO, INST BIOMED SCI ABEL SALAZAR, DEPT PHYSIOL, LARGO PROF ABEL SALAZAR 2, P-4000 OPORTO, PORTUGAL.</t>
  </si>
  <si>
    <t>Coimbra, Joao/0000-0001-6199-6727</t>
  </si>
  <si>
    <t>10.1016/0025-326X(91)90920-N</t>
  </si>
  <si>
    <t>FR988</t>
  </si>
  <si>
    <t>WOS:A1991FR98800011</t>
  </si>
  <si>
    <t>Iglikowska, A; Przytarska, J; Humphreys-Williams, E; Najorka, J; Chelchowski, M; Sowa, A; Hop, H; Wlodarska-Kowalczuk, M; Kuklinski, P</t>
  </si>
  <si>
    <t>Iglikowska, Anna; Przytarska, Joanna; Humphreys-Williams, Emma; Najorka, Jens; Chelchowski, Maciej; Sowa, Anna; Hop, Haakon; Wlodarska-Kowalczuk, Maria; Kuklinski, Piotr</t>
  </si>
  <si>
    <t>Shell mineralogy and chemistry - Arctic bivalves in a global context</t>
  </si>
  <si>
    <t>Trace metals; Shell geochemistry; Latitudinal trend; Marine molluscs; Svalbard</t>
  </si>
  <si>
    <t>MYTILUS-EDULIS; OCEAN ACIDIFICATION; TRACE-ELEMENTS; METAL CONCENTRATIONS; BATHYMODIOLUS-AZORICUS; ENVIRONMENTAL PROXIES; MINOR ELEMENTS; HEAVY-METALS; SR/CA RATIOS; ICP-MS</t>
  </si>
  <si>
    <t>This study provided new data on shell mineralogy in 23 Arctic bivalve species. The majority of examined species had purely aragonitic shells. Furthermore, we measured concentrations of Al, Ba, Ca, Fe, K, Mg, Mn, Na, P, S, Sr and Zn in 542 shells representing 25 Arctic bivalve species. Species-related differences in concentrations of specific elements were significant and occurred regardless of locations and water depths. This observation im-plies the dominance of biological processes regulating elemental uptake into the skeleton over factors related to the variability of abiotic environmental conditions. Analysis of the present study and literature data revealed that the highest concentrations of metals were observed in bivalves collected in the temperate zone, with interme-diate levels in the tropics and the lowest levels in polar regions. This trend was ascribed mainly to the presence of higher anthropogenic pressure at temperate latitudes being a potential source of human-mediated metal pollution.</t>
  </si>
  <si>
    <t>[Iglikowska, Anna] Univ Gdansk, Fac Biol, Dept Evolutionary Genet &amp; Biosystemat, Lab Biosystemat &amp; Ecol Aquat Invertebrates, Wita Stwosza 59, PL-80308 Gdansk, Poland; [Przytarska, Joanna; Chelchowski, Maciej; Sowa, Anna; Wlodarska-Kowalczuk, Maria; Kuklinski, Piotr] Polish Acad Sci, Inst Oceanol, Marine Ecol Dept, Powstanco Warszawy 55, PL-81712 Sopot, Poland; [Humphreys-Williams, Emma; Najorka, Jens] Nat Hist Museum, Imaging &amp; Anal Ctr, Cromwell Rd, London SW7 5BD, England; [Chelchowski, Maciej; Hop, Haakon] Norwegian Polar Res Inst, Fram Ctr, N-9296 Tromso, Norway</t>
  </si>
  <si>
    <t>Fahrenheit Universities; University of Gdansk; Polish Academy of Sciences; Institute of Oceanology of the Polish Academy of Sciences; Natural History Museum London; Norwegian Polar Institute</t>
  </si>
  <si>
    <t>Iglikowska, A (corresponding author), Univ Gdansk, Fac Biol, Dept Evolutionary Genet &amp; Biosystemat, Lab Biosystemat &amp; Ecol Aquat Invertebrates, Wita Stwosza 59, PL-80308 Gdansk, Poland.</t>
  </si>
  <si>
    <t>anna.iglikowska@ug.edu.pl</t>
  </si>
  <si>
    <t>Iglikowska, Anna/GSM-6722-2022</t>
  </si>
  <si>
    <t>Sowa, Anna/0000-0001-7123-6529; Chelchowski, Maciej/0000-0002-5742-1960</t>
  </si>
  <si>
    <t>Polish -Norwegian Research Programme [Pol-Nor/196260/81/2013]; FRAM -High North Research Centre for Climate and Environment Flagship program Ocean acidification and ecosystem effects in Northern Waters [2020/37/B/ST10/02905, DEC-2021/05/X/NZ8/00025]; National Science Centre, Poland; Ministry of Science and Higher Education, Poland [3991/CERD/2018/0]</t>
  </si>
  <si>
    <t>Polish -Norwegian Research Programme; FRAM -High North Research Centre for Climate and Environment Flagship program Ocean acidification and ecosystem effects in Northern Waters; National Science Centre, Poland(National Science Centre, Poland); Ministry of Science and Higher Education, Poland(Ministry of Science and Higher Education, Poland)</t>
  </si>
  <si>
    <t>Sampling and analyses for this study were conducted and funded by the Polish -Norwegian Research Programme operated by the National Centre for Research and Development under the Norwegian Financial Mechanism 2009-2014 in the frame of Project Contract Pol-Nor/196260/81/2013. The study was commenced during the projects fun- ded by FRAM -High North Research Centre for Climate and Environment Flagship program Ocean acidification and ecosystem effects in Northern Waters, ANALOG project (grant no. 2020/37/B/ST10/02905) and MINIATURA project (grant no. DEC-2021/05/X/NZ8/00025) , both funded by the National Science Centre, Poland and funds from Ministry of Science and Higher Education, Poland (3991/CERD/2018/0) .</t>
  </si>
  <si>
    <t>10.1016/j.marpolbul.2023.114759</t>
  </si>
  <si>
    <t>9X5PD</t>
  </si>
  <si>
    <t>WOS:000949820800001</t>
  </si>
  <si>
    <t>Slobodskova, VV; Kukla, SP; Chelomin, VP</t>
  </si>
  <si>
    <t>Slobodskova, V. V.; Kukla, S. P.; Chelomin, V. P.</t>
  </si>
  <si>
    <t>An analysis of the quality of the marine environment based on determination of the genotoxicity of DNA in the gill cells of the Yesso Scallop, Mizuhopecten yessoensis (Jay, 1856)</t>
  </si>
  <si>
    <t>bivalves; Mizuhopecten yessoensis; genotoxicity; DNA destruction</t>
  </si>
  <si>
    <t>DIGESTIVE GLAND; COMET; CADMIUM; DAMAGE; CLAM</t>
  </si>
  <si>
    <t>This study showed that chronic pollution of the aquatic environment causes destructive changes to DNA in the gill cells of the Yesso Scallop, Mizuhopecten yessoensis.</t>
  </si>
  <si>
    <t>[Slobodskova, V. V.; Kukla, S. P.; Chelomin, V. P.] Russian Acad Sci, Ilichev Pacific Oceanol Inst, Far East Branch, Vladivostok 690041, Russia; [Chelomin, V. P.] Far Eastern Fed Univ, Vladivostok 690950, Russia; [Slobodskova, V. V.] Russian Acad Sci, Zhirmunsky Inst Marine Biol, Far East Branch, Vladivostok 690041, Russia</t>
  </si>
  <si>
    <t>Russian Academy of Sciences; Far Eastern Federal University; Russian Academy of Sciences; National Scientific Center of Marine Biology, Far East Branch of the Russian Academy of Sciences</t>
  </si>
  <si>
    <t>Slobodskova, VV (corresponding author), Russian Acad Sci, Ilichev Pacific Oceanol Inst, Far East Branch, Ul Baltiyskaya 43, Vladivostok 690041, Russia.</t>
  </si>
  <si>
    <t>slobodskova@list.ru</t>
  </si>
  <si>
    <t>Slobodskova, Valentina/0000-0001-9562-7719; Chelomin, Victor/0000-0002-1840-3057</t>
  </si>
  <si>
    <t>Russian Foundation for Basic Research [15-04-06526 A]</t>
  </si>
  <si>
    <t>This study was supported by the Russian Foundation for Basic Research, project no. 15-04-06526 A.</t>
  </si>
  <si>
    <t>10.1134/S1063074015060139</t>
  </si>
  <si>
    <t>DA2DL</t>
  </si>
  <si>
    <t>WOS:000367605400011</t>
  </si>
  <si>
    <t>Balgobin, A; Singh, NR</t>
  </si>
  <si>
    <t>Balgobin, Aaron; Singh, Natasha Ramroop</t>
  </si>
  <si>
    <t>Impact of anthropogenic activities on mussel (Mytella guyanensis) in the Gulf of Paria, Trinidad</t>
  </si>
  <si>
    <t>Gulf-of-Paria; Polyaromatic hydrocarbons; Trace elements; Bioavailability; Anthropogenic; Mussel</t>
  </si>
  <si>
    <t>POLYCYCLIC AROMATIC-HYDROCARBONS; PEARL RIVER ESTUARY; RISK-ASSESSMENT; HEAVY-METALS; HEALTH-RISK; SOURCE APPORTIONMENT; SPATIAL-DISTRIBUTION; SURFACE SEDIMENTS; MARINE-SEDIMENTS; TEMPORAL TRENDS</t>
  </si>
  <si>
    <t>This body of work demonstrated the levels of selected contaminants (as well as their potential sources), in mussels (Mytella guyanensis) - a known bio-indicator of pollution, along the west coast (Gulf-of-Paria) of Trinidad. The findings demonstrated that polyaromatic hydrocarbons levels in the mussels investigated were moderate to high (201.80-1200.08 mu g/kg). Notably, benzo(a)pyrene levels (1.15-9.32 mu g/kg) exceeded the European Union guidelines at various sites. The distribution of PAHs and trace elements in the Gulf of Paria are impacted by tidal currents and local source discharge. Significant risks were identified from toxic carcinogenic equivalent levels (3.01 to 22.37 mu g/kg) and mutagenic equivalent levels (3.98 to 38.61 mu g/kg). The concentration of trace elements, Zn (46.05-56.36 mg/kg) and Cd (0.46-1.17 mg/kg), exceeded both local and international guidelines at certain sites investigated. The analysis revealed a high bioavailability of the identified pollutants in the Gulf of Paria from industrial, urban and marine activities.</t>
  </si>
  <si>
    <t>[Balgobin, Aaron] Univ Trinidad &amp; Tobago, Ctr Maritime &amp; Ocean Studies, Chaguramus Campus, Wallerfield, Trinidad Tobago; [Singh, Natasha Ramroop] Univ Trinidad &amp; Tobago, Biomed Engn Unit, Omeara Campus, Wallerfield, Trinidad Tobago</t>
  </si>
  <si>
    <t>Balgobin, A (corresponding author), Univ Trinidad &amp; Tobago, Ctr Maritime &amp; Ocean Studies, Chaguramus Campus, Wallerfield, Trinidad Tobago.</t>
  </si>
  <si>
    <t>aaron.balgobin@utt.edu.tt</t>
  </si>
  <si>
    <t>Balgobin, Aaron/AAF-2598-2020</t>
  </si>
  <si>
    <t>Balgobin, Aaron/0000-0002-0903-6216</t>
  </si>
  <si>
    <t>Green Fund Executing Unit of the Government of Trinidad and Tobago [GF12000201]</t>
  </si>
  <si>
    <t>Green Fund Executing Unit of the Government of Trinidad and Tobago</t>
  </si>
  <si>
    <t>We would like to thank the Green Fund Executing Unit of the Government of Trinidad and Tobago (Grant Fund Number - GF12000201) for providing the funding for this research. In addition, we acknowledge the administrative support received from The University of Trinidad and Tobago.</t>
  </si>
  <si>
    <t>10.1016/j.marpolbul.2018.07.056</t>
  </si>
  <si>
    <t>WOS:000448094200056</t>
  </si>
  <si>
    <t>Chelomin, VP; Mazur, AA; Slobodskova, VV; Kukla, SP; Dovzhenko, NV</t>
  </si>
  <si>
    <t>Chelomin, Victor Pavlovich; Mazur, Andrey Alexandrovich; Slobodskova, Valentina Vladimirovna; Kukla, Sergey Petrovich; Dovzhenko, Nadezda Vladimirovna</t>
  </si>
  <si>
    <t>Genotoxic Properties of Polystyrene (PS) Microspheres in the Filter-Feeder Mollusk Mytilus trossulus (Gould, 1850)</t>
  </si>
  <si>
    <t>microplastic; PS; filter-feeder bivalve; Mytilus trossulus; genotoxicity; comet assay</t>
  </si>
  <si>
    <t>DIGESTIVE GLAND; EDULIS L.; MICROPLASTICS; MUSSELS; EXPOSURE; TISSUE; CELLS; RISK</t>
  </si>
  <si>
    <t>Microplastic pollution of the aquatic environment is one of the most serious environmental problems today. The potential environmental risks of such particles have become growing concerns in recent years, as direct or indirect exposure to these particles leads to adverse effects on marine organisms. In this study, we investigated the potential risk of polystyrene (PS) microspheres on the genome integrity of cells of different tissues (gills and digestive gland) of the filter-feeder mollusk Mytilus trossulus, using a comet assay. With the help of the comet assay, we estimated the level of genome destruction in the cells of two different mussel tissues after short-term exposure to polystyrene. It was discovered that, despite their chemical inertness, PS microspheres that are 0.9 mu m in diameter, at a concentration of 10(6) particles/L, exhibit genotoxic properties, which are expressed as a two-fold increase in the level of cell DNA damage of the mussel's digestive gland. It is noted that, after exposure to PS, about half of the mussel's digestive gland cells experienced damage in 25-35% of their DNA. In addition, the proportion of cells with significant DNA damage (50%) was about 5%. Given the unique role of the genome, DNA damage in these cells may be the earliest stage in the development of biochemical events that lead to toxic effects. These findings provide a basis for studying specific biomarkers of microplastic contamination.</t>
  </si>
  <si>
    <t>[Chelomin, Victor Pavlovich; Mazur, Andrey Alexandrovich; Slobodskova, Valentina Vladimirovna; Kukla, Sergey Petrovich; Dovzhenko, Nadezda Vladimirovna] Russian Acad Sci, Far Eastern Branch, Ilichev Pacific Oceanol Inst, Vladivostok 690041, Russia</t>
  </si>
  <si>
    <t>Kukla, SP (corresponding author), Russian Acad Sci, Far Eastern Branch, Ilichev Pacific Oceanol Inst, Vladivostok 690041, Russia.</t>
  </si>
  <si>
    <t>chelomin@poi.dvo.ru; mazur.aa@poi.dvo.ru; slobodskova@list.ru; kukla.sp@mail.ru; doreme_07@mail.ru</t>
  </si>
  <si>
    <t>Mazur, Marina/E-3841-2018; Dovzhenko, Nadezhda/AAN-8800-2020</t>
  </si>
  <si>
    <t>Dovzhenko, Nadezhda/0000-0002-4106-0777; Mazur, Andrey/0000-0002-4028-0567</t>
  </si>
  <si>
    <t>10.3390/jmse10020273</t>
  </si>
  <si>
    <t>ZM3VC</t>
  </si>
  <si>
    <t>WOS:000764288400001</t>
  </si>
  <si>
    <t>Matos, A; Gomes-dos-Santos, A; Teixeira, A; Varandas, S; Sousa, R; Karaouzas, I; Zogaris, S; Froufe, E; Lopes-Lima, M</t>
  </si>
  <si>
    <t>Matos, Ana; Gomes-dos-Santos, Andre; Teixeira, Amilcar; Varandas, Simone; Sousa, Ronaldo; Karaouzas, Ioannis; Zogaris, Stamatis; Froufe, Elsa; Lopes-Lima, Manuel</t>
  </si>
  <si>
    <t>The complete mitochondrial genome of Potomida acarnanica (Kobelt, 1879)</t>
  </si>
  <si>
    <t>MITOCHONDRIAL DNA PART B-RESOURCES</t>
  </si>
  <si>
    <t>Mitogenome; freshwater mussels; phylogeny</t>
  </si>
  <si>
    <t>WATER MUSSEL POTOMIDA</t>
  </si>
  <si>
    <t>Freshwater mussels (Bivalvia, Unionida) play essential roles in the well-functioning of ecosystems, even providing essential services to humans. However, these bivalves face numerous threats (e.g. habitat loss and fragmentation, pollution, introduction of invasive species, and climate change) which have already led to the extinction of many populations. This underscores the need to fully characterize the biology of these species, particularly those, such as Potomida acarnanica, that are still poorly studied. This study presents the first mitogenome of P. acarnanica (Kobelt, 1879), an endemic species of Greece with a distribution limited to only two river basins. The mitochondrial genome of a P. acarnanica specimen, collected at Pamisos River (Peloponnese, Greece), was sequenced by Illumina high-throughput sequencing. This mitogenome (16,101 bp) is characterized by 13 protein-coding genes, 22 transfer RNA and 2 ribosomal RNA genes. The size of this mitogenome is within the range of another Potomida mitogenome already published for the species Potomida littoralis. In the phylogenetic inference, P. acarnanica was recovered as monophyletic with P. littoralis mitogenome in the Lamprotulini tribe, as expected. This genomic resource will assist in genetically characterizing the species, potentially benefiting future evolutionary studies and conservation efforts.</t>
  </si>
  <si>
    <t>[Matos, Ana; Gomes-dos-Santos, Andre; Froufe, Elsa] Univ Porto, CIIMAR CIMAR Interdisciplinary Ctr Marine &amp; Enviro, Matosinhos, Portugal; [Teixeira, Amilcar] Inst Politecn Braganca, Ctr Invest Montanha CIMO, Braganca, Portugal; [Teixeira, Amilcar] Polytech Inst Braganca, Mt Res Ctr, Sch Agr, Braganca, Portugal; [Varandas, Simone] Univ Tras Os Montes &amp; Alto Douro, Ctr Res &amp; Technol Agroenvironm &amp; Biol Sci, Forestry Dept, Vila Real, Portugal; [Sousa, Ronaldo] Univ Minho, CBMA Ctr Mol &amp; Environm Biol, Dept Biol, Braga, Portugal; [Karaouzas, Ioannis; Zogaris, Stamatis] Hellenic Ctr Marine Res, Inst Marine Biol Resources &amp; Inland Waters, Anavyssos, Greece; [Lopes-Lima, Manuel] Univ Porto, CIBIO Ctr Invest Biodiversidade &amp; Recursos Genet, InBIO Lab Assoc, Campus Vairao, P-4485661 Vairao, Portugal; [Lopes-Lima, Manuel] CIBIO, BIOPOLIS Program Genom Biodivers &amp; Land Planning, Vairao, Portugal</t>
  </si>
  <si>
    <t>Universidade do Porto; Instituto Politecnico de Braganca; Instituto Politecnico de Braganca; University of Tras-os-Montes &amp; Alto Douro; Universidade do Minho; Hellenic Centre for Marine Research; Universidade do Porto; Universidade do Porto</t>
  </si>
  <si>
    <t>Lopes-Lima, M (corresponding author), Univ Porto, CIBIO Ctr Invest Biodiversidade &amp; Recursos Genet, InBIO Lab Assoc, Campus Vairao, P-4485661 Vairao, Portugal.</t>
  </si>
  <si>
    <t>manuelpmlopeslima@gmail.com</t>
  </si>
  <si>
    <t>Sousa, Ronaldo/C-4887-2008; Gomes-dos-Santos, André/ABA-1566-2021; Zogaris, Stamatis/ABC-4012-2021; Teixeira, Amilcar/E-9067-2012; Karaouzas, Ioannis/G-9181-2011; Froufe, Elsa/F-2286-2013; Lopes-Lima, Manuel/N-1222-2014</t>
  </si>
  <si>
    <t>Teiga Teixeira, Amilcar Antonio/0000-0001-5336-1174; Sousa, Ronaldo/0000-0002-5961-5515; Matos, Ana/0000-0002-5331-2660; Froufe, Elsa/0000-0003-0262-0791; Lopes-Lima, Manuel/0000-0002-2761-7962; Zogaris, Stamatis/0000-0002-8951-5646; Gomes-dos-Santos, Andre/0000-0001-9973-4861</t>
  </si>
  <si>
    <t>Foundation for Science and Technology (FCT)</t>
  </si>
  <si>
    <t>Foundation for Science and Technology (FCT)(Fundacao para a Ciencia e a Tecnologia (FCT))</t>
  </si>
  <si>
    <t>2380-2359</t>
  </si>
  <si>
    <t>MITOCHONDRIAL DNA B</t>
  </si>
  <si>
    <t>Mitochondrial DNA Part B-Resour.</t>
  </si>
  <si>
    <t>10.1080/23802359.2024.2353271</t>
  </si>
  <si>
    <t>TC3J2</t>
  </si>
  <si>
    <t>WOS:001239016900001</t>
  </si>
  <si>
    <t>BERTHOU, F; FRIOCOURT, MP</t>
  </si>
  <si>
    <t>GAS-CHROMATOGRAPHIC SEPARATION OF DIASTEREOMERIC ISOPRENOIDS AS MOLECULAR MARKERS OF OIL POLLUTION</t>
  </si>
  <si>
    <t>JOURNAL OF CHROMATOGRAPHY</t>
  </si>
  <si>
    <t>By high-performance glass capillary gas chromatography (GC), diastereomeric isoprenoids were resolved into double peaks. The retention indices on 3 liquid phases and the mass spectra of the diastereoisomers were almost similar. The leading GC peaks represented the isoprenoids of fossil origin, while the rear peaks corresponded to those of recent origin. Computerized gas chromatography-mass spectrometry was used for fingerprinting isoprenoids in different samples. The mass fragmentation patterns were characteristic of the branched alkanes. Hydrocarbon mixtures from 4 crude oil spills in the sea and from polluted and oil-free oyster tissues were investigated. The relative ratios of n-alkanes/pristane or phytane were strongly dependent on the chromatographic resolution of the isoprenoid peaks. The double GC peaks in the isoprenoid series were a sign of oil pollution.</t>
  </si>
  <si>
    <t>FAC MED BREST, CHROMATOG LAB, SERV BIOCHIM, CNRS, ERA 784, F-29279 BREST, FRANCE.</t>
  </si>
  <si>
    <t>0021-9673</t>
  </si>
  <si>
    <t>J CHROMATOGR</t>
  </si>
  <si>
    <t>MX562</t>
  </si>
  <si>
    <t>WOS:A1981MX56200006</t>
  </si>
  <si>
    <t>SADIQ, M; MCCAIN, JC</t>
  </si>
  <si>
    <t>EFFECT OF THE 1991 GULF-WAR ON METAL BIOACCUMULATION BY THE CLAM (MERETRIX-MERETRIX)</t>
  </si>
  <si>
    <t>ARABIAN GULF; SAUDI COAST; KUWAIT</t>
  </si>
  <si>
    <t>Clams (Meretrix meretrix) were collected during April-May 1991 (post-war period) from rive locations along the Saudi Arabian coast of the Gulf. All the soft tissue from each clam was removed and digested separately at 120-degrees-C for 3 h in the nitric-perchloric acids mixture. Twenty metals were determined in the acid digests using an inductively coupled plasma analyser. Clams (Meretrix meretrix) were also collected from the same stations in April-May, 1985 (pre-war period) and analysed for Cd, Co, Cr, Mo, Ni, Pb, V, and Zn. Wherever appropriate, these data were compared with those collected in this study. Sediment and seawater samples were also collected during clam sampling. Concentrations of selected metals were determined in the sediment and seawater samples. Concentrations of Ba, Ca, K, Mg, P, and Sr were affected significantly (p &lt; 0.0 1) by the clam size. The maximum mean concentrations of As, Cd, Co, Cr, Cu, Ni, Pb, V, and Zn were found in the clam samples collected from the sampling Station 11BA-closest to Kuwait. Strong interactions (p &lt; 0.001) were observed between Ba, Ca, Mg, Sr, and P in clams in 1991. This was also noted for clams collected in 1985. Cadmium, Co, Cr, Cu, Mo, Ni, Pb, and V were significantly (p&lt;0.001) inter-related to each other in clams collected in 1991 but not in those collected in 1985. A comparison between the data collected in 1985 and the present study revealed that the mean concentrations of Cd, Cu, Ni, Pb, and V were always higher in the clams collected from 8BA, 9BA, and 11BA in 1991 as compared with those collected in 1985. Interestingly, the magnitude of increase was enhanced towards north (i.e. towards Kuwait). Like bioaccumulation by clams, the maximum mean concentrations of metals were found in the seawater samples collected from Station 11BA. Metal concentrations in the sediment did not follow a similar trend. The activities of the Gulf War and the Gulf Oil Spill appear to have affected metal bioaccumulation by clams in the northern Gulf.</t>
  </si>
  <si>
    <t>10.1016/0025-326X(93)90021-B</t>
  </si>
  <si>
    <t>MQ722</t>
  </si>
  <si>
    <t>WOS:A1993MQ72200020</t>
  </si>
  <si>
    <t>Latchere, O; Roman, C; Métais, I; Perrein-Ettajani, H; Mouloud, M; Georges, D; Feurtet-Mazel, A; Gigault, J; Catrouillet, C; Baudrimont, M; Châtel, A</t>
  </si>
  <si>
    <t>Latchere, Oihana; Roman, Coraline; Metais, Isabelle; Perrein-Ettajani, Hanane; Mouloud, Mohammed; Georges, Didier; Feurtet-Mazel, Agnes; Gigault, Julien; Catrouillet, Charlotte; Baudrimont, Magalie; Chatel, Amelie</t>
  </si>
  <si>
    <t>Toxicity assessment of environmental MPs and NPs and polystyrene NPs on the bivalve Corbicula fluminea using a multi-marker approach</t>
  </si>
  <si>
    <t>Microplastics; Nanoplastics; Bivalve; Corbicula fluminea; Environmental plastics</t>
  </si>
  <si>
    <t>BURROWING BEHAVIOR; RESIN PELLETS; ASIAN CLAM; IN-VIVO; MICROPLASTICS; EXPOSURE; WATER; NANOPARTICLES; REPRODUCTION; POLLUTANTS</t>
  </si>
  <si>
    <t>Small plastic particles, microplastics (MPs) and nanoplastics (NPs) represent a major threat in aquatic environments. Freshwater organisms are exposed to MPs and NPs, particularly in industrial and urban areas. The present study aimed to compare the toxicity between polystyrene NPs (PS NPs) and environmental microplastics (ENV MPs) and nanoplastics (ENV NPs) generated from macro-sized debris collected in the Garonne River on the freshwater bivalve C. fluminea. The organisms were exposed to the different plastic particles at three environmentally relevant concentrations: 0.008, 10, and 100 mu g L-1 for 21 days. The biological responses of organisms were assessed using a multi-biomarker approach from the sub-individual to the individual level. The results demonstrated that: i) ENV NPs triggered more effects on detoxification processes and immune response, confirming that using manufactured NPs for laboratory exposure can lead to misleading conclusions on the risks posed by plastic particles; ii) effects of ENV MPs were less marked than ENV NPs, emphasizing the importance of testing a size continuum of plastic particles from NPs to MPs; iii) some effects were only observed for the low and/or intermediate concentrations tested, underlining the importance of using environmentally relevant concentrations. In light of these results, laboratory studies should be continued by exposing aquatic species to environmental MPs and NPs. The properties of these particles have to be characterized for a better risk assessment of environmental plastic particles.</t>
  </si>
  <si>
    <t>[Latchere, Oihana; Roman, Coraline; Metais, Isabelle; Perrein-Ettajani, Hanane; Mouloud, Mohammed; Georges, Didier; Chatel, Amelie] Univ Catholique lOuest, Lab BIOSSE, 3 Pl Andre Leroy, Angers, France; [Feurtet-Mazel, Agnes; Baudrimont, Magalie] Univ Bordeaux, Equipe Ecotoxicol Aquat, UMR EPOC 5805, UMR EPOC 5805, Stn Marine Arcachon,Pl Dr Peyneau, F-33120 Arcachon, France; [Gigault, Julien] Univ Laval, Dept Biol, Pavillon Alexandre Vachon,1045,Ave Med,Local 2064, Quebec City, PQ G1V 0A6, Canada; [Gigault, Julien; Catrouillet, Charlotte] Univ Rennes, CNRS, Geosci Rennes UMR 6118, F-35000 Rennes, France; [Catrouillet, Charlotte] Univ Paris, Inst Phys Globe Paris, CNRS, F-75005 Paris, France; [Latchere, Oihana] 3 Pl Andre Leroy, F-49100 Angers, France</t>
  </si>
  <si>
    <t>Universite de Bordeaux; Centre National de la Recherche Scientifique (CNRS); CNRS - National Institute for Earth Sciences &amp; Astronomy (INSU); Laval University; Universite de Rennes; Centre National de la Recherche Scientifique (CNRS); CNRS - National Institute for Earth Sciences &amp; Astronomy (INSU); Universite Paris Cite; Centre National de la Recherche Scientifique (CNRS)</t>
  </si>
  <si>
    <t>Latchere, O (corresponding author), 3 Pl Andre Leroy, F-49100 Angers, France.</t>
  </si>
  <si>
    <t>oihana.latchere@uco.fr</t>
  </si>
  <si>
    <t>Catrouillet, Charlotte/HTQ-8635-2023; ROMAN, Coraline/HTP-5396-2023; Gigault, Julien/AAE-6711-2021</t>
  </si>
  <si>
    <t>CHATEL, Amelie/0000-0003-2245-0216; PERREIN-ETTAJANI, Hanane/0000-0002-4195-3137; Gigault, Julien/0000-0002-2988-8942; Catrouillet, Charlotte/0000-0002-0123-2546</t>
  </si>
  <si>
    <t>French national agency ANSES; European Regional Development Fund (FEDER); French Ministry of Higher Education and Research; French Region of Brittany and Rennes Metropole</t>
  </si>
  <si>
    <t>French national agency ANSES; European Regional Development Fund (FEDER)(European Union (EU)); French Ministry of Higher Education and Research; French Region of Brittany and Rennes Metropole</t>
  </si>
  <si>
    <t>The authors thank the French national agency ANSES for financial support of the TROPHIPLAST project and also the GeOHeLiS (Geochimie Elementaire et Isotopique) analytical platform of Rennes University, the European Regional Development Fund (FEDER) , the French Ministry of Higher Education and Research, the French Region of Brittany and Rennes Metropole. The authors thank M. Bouhnik Le Coz and M. Pattier for assisting with the ICP-MS measurements and Melanie Bruneau for technical support.</t>
  </si>
  <si>
    <t>10.1016/j.cbpc.2023.109714</t>
  </si>
  <si>
    <t>S2LT6</t>
  </si>
  <si>
    <t>WOS:001069543400001</t>
  </si>
  <si>
    <t>Bringer, A; Thomas, H; Prunier, G; Dubillot, E; Clérandeau, C; Pageaud, M; Cachot, JM</t>
  </si>
  <si>
    <t>Bringer, Arno; Thomas, Helene; Prunier, Gregoire; Dubillot, Emmanuel; Clerandeau, Christelle; Pageaud, Marius; Cachot, Jerome</t>
  </si>
  <si>
    <t>Toxicity and risk assessment of six widely used pesticides on embryo-larval development of the Pacific oyster, Crassostrea gigas</t>
  </si>
  <si>
    <t>Embryotoxicity; Oyster; D-larvae; Pesticides; Growth; Swimming behaviour</t>
  </si>
  <si>
    <t>EARLY-LIFE STAGES; HERBICIDE DIURON; S-METOLACHLOR; GLYPHOSATE; METAMORPHOSIS; GENOTOXICITY; NICOSULFURON; TEMPERATURE; CARBOFURAN; POLLUTANTS</t>
  </si>
  <si>
    <t>This study aims to assess the toxic effects and the potential risk of widely used agricultural pesticides on the devel-opment (malformations and developmental arrest), growth and swimming activity of oyster D-larvae (Crassostrea gigas). Freshly fertilized oyster embryos were exposed for 24 hat 24 degrees C to different concentrations (0, 0.01, 0.1,1 and 10 mu g.L-1) of six different pesticides: Glyphosate and its commercial solution (Roundup), Isoproturon, Nicosulfuron, Chlortoluron and Boscalid. The six pesticides tested induced a significant increase in larval malformations and devel-opmental arrests. All pesticides except Glyphosate and Isoproturon affected larval growth. Roundup, Nicosulfuron, Chlortoluron and Boscalid also affected the swimming behaviour of the D-larvae, with a significant decrease re-corded in their maximum swimming speed. Comparison of the LOEC (Lowest-Observed-Effect Concentration) of each compound led to the following toxicity classification: Boscalid &gt; Chlortoluron = Nicosulfuron &gt; Glyphosate &gt; Roundup &gt; Isoproturon, with respectively LOEC of 0.0028; 0.015; 0.017; 0.11; 0.3 and 0.78 mu g.L-1. By comparison of the maximum concentrations in the Pertuis Charentais (South West, France) and LOEC of each pesticide, the following risk scale was obtained: Chlortoluron &gt; Boscalid &gt; Glyphosate &gt; Roundup &gt; Nicosulfuron &gt; Isoproturon. Our results revealed that Chlortoluron, Boscalid and to a lesser extent Glyphosate represent a potential threat to early life stages of oyster living in the Pertuis Charentais marine area. (C) 2021 Elsevier B.V. All rights reserved.</t>
  </si>
  <si>
    <t>[Bringer, Arno; Thomas, Helene; Prunier, Gregoire; Dubillot, Emmanuel] Univ La Rochelle, CNRS, UMR 7266, Littoral Environm &amp; Soc LIENSs, 2 Rue Olympe Gouges, F-17042 La Rochelle 01, France; [Clerandeau, Christelle; Cachot, Jerome] Univ Bordeaux, CNRS, EPOC, EPHE,UMR 5805, F-33600 Pessac, France; [Pageaud, Marius] Qualyse, 5 Allee Ocean, F-17000 La Rochelle, France</t>
  </si>
  <si>
    <t>Centre National de la Recherche Scientifique (CNRS); La Rochelle Universite; Centre National de la Recherche Scientifique (CNRS); CNRS - National Institute for Earth Sciences &amp; Astronomy (INSU); Universite de Bordeaux; Universite PSL; Ecole Pratique des Hautes Etudes (EPHE)</t>
  </si>
  <si>
    <t>Cachot, JM (corresponding author), Univ Bordeaux, CNRS, EPOC, EPHE,UMR 5805, F-33600 Pessac, France.</t>
  </si>
  <si>
    <t>THOMAS, Helene/0000-0002-7932-6841; Cachot, Jerome/0000-0002-1492-9684</t>
  </si>
  <si>
    <t>PhD grant (Comite Regional de la Conchyliculture de la CharenteMaritime) [CRC17]; Region Nouvelle Aquitaine; Comite Departemental de la Charente Maritime [CD17]; OFB (French Biodiversity Office); La Rochelle University (France); University of Bordeaux (France); Centre National de la Recherche Scientifique (France)</t>
  </si>
  <si>
    <t>PhD grant (Comite Regional de la Conchyliculture de la CharenteMaritime); Region Nouvelle Aquitaine(Region Nouvelle-Aquitaine); Comite Departemental de la Charente Maritime; OFB (French Biodiversity Office); La Rochelle University (France); University of Bordeaux (France); Centre National de la Recherche Scientifique (France)(Centre National de la Recherche Scientifique (CNRS))</t>
  </si>
  <si>
    <t>Arno Bringer was the recipient of a PhD grant (Comite Regional de la Conchyliculture de la CharenteMaritime CRC17) and financial supportfor the Region Nouvelle Aquitaine and Comite Departemental de la Charente Maritime (CD17) to carry out this research. Our thanks go to the AQUAECOs (Amelioration de la QUAlite Environnementale sur les zones COnchylicoles des Pertuis Charentais) project funded by partnership CRC17 and OFB (French Biodiversity Office) . La Rochelle University, the University of Bordeaux, and the Centre National de la Recherche Scientifique (France) also funded this study. We also thank the Qualyse laboratory for its analytical expertise and for environmental data transmitted in agreement with Department 17 on their monitoring program for oystergrowing areas. The authors would also like to thank France Naissain for providing the oyster genitor specimens and James Emery for his English proofreading services.</t>
  </si>
  <si>
    <t>10.1016/j.scitotenv.2021.146343</t>
  </si>
  <si>
    <t>SJ7AY</t>
  </si>
  <si>
    <t>WOS:000655684400007</t>
  </si>
  <si>
    <t>Correia, E; Granadeiro, JP; Vale, C; Catry, T</t>
  </si>
  <si>
    <t>Correia, Edna; Granadeiro, Jose Pedro; Vale, Carlos; Catry, Teresa</t>
  </si>
  <si>
    <t>Trace elements in relation to trophic ecology of long-distance migratory shorebirds and seabirds in West Africa</t>
  </si>
  <si>
    <t>Waders; Terns; Charadriiformes; Stable isotope analysis; Trophic ecology; Guinea-Bissau</t>
  </si>
  <si>
    <t>BIJAGOS-ARCHIPELAGO; MERCURY CONCENTRATIONS; INCLUDING MERCURY; BLOOD; CADMIUM; SELENIUM; BIRDS; LEAD; TOXICITY; EXPOSURE</t>
  </si>
  <si>
    <t>Shorebirds and seabirds are abundant predators in coastal habitats worldwide, relying upon a high diversity of benthic invertebrates and fish, respectively. While occupying different trophic guilds, they are differently exposed to element contamination entering the coastal food web. Therefore, these birds have been used as bioindicators of environmental contamination in marine ecosystems. We analysed the concentration of trace elements in blood samples of 16 shorebird and seabird migratory species in a major non-breeding site, the Bijag ' os Archipelago, in regard to their trophic ecology. Overall, our study shows low exposure of this bird community to toxic elements, except for Hg. Most species presented Hg burdens within the moderate toxicity threshold, but one species (Dunlin) presented values at a potential high Hg toxicity risk. We found a positive relationship between Se and Ni concentrations and 815N values (a proxy for trophic level). In addition, a positive relationship was found between 813C (a proxy for habitat characteristics) and Hg, Fe, Cu and Mn, while the opposite pattern was recorded for As. Differences were also shown for several trace elements between the two studied trophic guilds: concentrations of As, Pb and Se were higher in pelagic fish consumers (seabirds), whereas Cr, Fe and Sr burdens were higher in benthic invertebrate consumers (shorebirds). Although previous studies in the same site revealed very high concentrations of Cd and Pb in some of the prey species of shorebirds and seabirds (bivalves and fishes), values found in birds for these two elements suggest no toxicological risk. Thus, exposure to toxic elements is not currently a threat to coastal bird populations, namely those facing apparent local declines in GuineaBissau, one of the most important non-breeding quarters for of West Africa. Still, Hg burdens were high in some species, deserving further monitoring.</t>
  </si>
  <si>
    <t>[Correia, Edna; Granadeiro, Jose Pedro; Catry, Teresa] Univ Lisbon, Ctr Estudos Ambiente &amp; Mar, Dept Biol Anim, Fac Ciencias, P-1749016 Lisbon, Portugal; [Vale, Carlos] Inst Portugues Mar Atmosfera, IPMA Divisa Oceanog &amp; Ambiente Marinho, IP Ave Doutor Alfredo Magalhaes Ramalho 6, P-1495165 Alges, Portugal</t>
  </si>
  <si>
    <t>Universidade de Lisboa; Instituto Portugues do Mar e da Atmosfera</t>
  </si>
  <si>
    <t>Correia, E (corresponding author), Univ Lisbon, Ctr Estudos Ambiente &amp; Mar, Dept Biol Anim, Fac Ciencias, P-1749016 Lisbon, Portugal.</t>
  </si>
  <si>
    <t>ednaritacorreia@gmail.com</t>
  </si>
  <si>
    <t>Correia, Edna/ITU-7994-2023; Catry, Teresa/A-8082-2012; Granadeiro, Jose Pedro/E-8060-2011; Correia, Edna/D-8766-2019</t>
  </si>
  <si>
    <t>Catry, Teresa/0000-0003-4047-9995; Granadeiro, Jose Pedro/0000-0002-7207-3474; Correia, Edna/0000-0003-3893-1700</t>
  </si>
  <si>
    <t>Instituto da Bio-diversidade e Areas Protegidas; MAVA Foundation; Fundacao para a Ciencia e Tecnologia (FCT Portugal) [UIDP/50017/2020, UIDB/50017/2020, LA/P/0094/2020, PTDC/BIA/ECO/28205/2017]; FCT [2021.00573.CEE-CIND]</t>
  </si>
  <si>
    <t>Instituto da Bio-diversidade e Areas Protegidas; MAVA Foundation; Fundacao para a Ciencia e Tecnologia (FCT Portugal)(Fundacao para a Ciencia e a Tecnologia (FCT)); FCT(Fundacao para a Ciencia e a Tecnologia (FCT))</t>
  </si>
  <si>
    <t>We gratefully acknowledge the support of the Instituto da Bio-diversidade e Areas Protegidas Dr. Alfredo Simao da Silva (IBAP), in particular Aissa Regalla, Samuel Pontes, Justino Biai, Emanuel Dias and all IBAP staff in the Bijagos Archipelago. We acknowledge Jorge Gutierrez for his help in fieldwork and Filipe Moniz for is help in laboratory and fieldwork. This study was supported by MAVA Foundation through the project Waders of the Bijagos. Fundacao para a Ciencia e Tecnologia (FCT Portugal) provided additional financial support to CESAM by FCT/MCTES (UIDP/50017/2020; UIDB/50017/2020 and LA/P/0094/2020), and through MigraWebs project (PTDC/BIA/ECO/28205/2017). TC was supported by FCT contract 2021.00573.CEE-CIND.We thank two anonymous referees for providing helpful comments on the manuscript.</t>
  </si>
  <si>
    <t>10.1016/j.envpol.2022.120674</t>
  </si>
  <si>
    <t>7Q0KL</t>
  </si>
  <si>
    <t>WOS:000909085600008</t>
  </si>
  <si>
    <t>Esperanza, M; Seoane, M; Servia, MJ; Cid, A</t>
  </si>
  <si>
    <t>Esperanza, Marta; Seoane, Marta; Servia, Maria J.; Cid, Angeles</t>
  </si>
  <si>
    <t>Effects of Bisphenol A on the microalga Chlamydomonas reinhardtii and the clam Corbicula fluminea</t>
  </si>
  <si>
    <t>Microalga; Clam; Bisphenol A; Flow cytometry; Biomarkers; Feeding inhibition</t>
  </si>
  <si>
    <t>COPPER-OXIDE NANOPARTICLES; CHLORELLA-PYRENOIDOSA; ASIATIC CLAM; TOXICITY; WATER; RESPONSES; ATRAZINE; MULLER; BIOACCUMULATION; BIODEGRADATION</t>
  </si>
  <si>
    <t>Bisphenol A (BPA) is used throughout the world and it could enter aquatic ecosystems causing harmful effects on humans, animals and plants. The current study relies on the investigation of the toxicity of this emerging pollutant on two freshwater species from different trophic levels: the microalga Chlamydomonas reinhardtii and the clam Corbicula fluminea. After 96 h of exposure to several concentrations of BPA, the growth of C. reinhardtii was affected, being the 96 h-EC50 value for growth 30 mg L-1. The toxicity and bioaccumulation of 30 mg L-1 BPA in microalgae after 24 h of exposure were studied. Several cytotoxicity biomarkers such as vitality, oxidative stress and cytoplasmic membrane potential were altered in exposed cells and microalgae accumulated 0.16 pg BPA cell(-1). Regarding C. fluminea, four treatments were established: control without BPA (C); BPA in the food (microalgae pre-exposed for 24 h to 30 mg L-1) (M); BPA in the water (7.5 mg L-1) (W); BPA in both food and water (M + W). After one month of exposure, treated bivalves showed a significantly decrease in the filtration rate and increased lipid peroxidation levels, indicating fitness reduction and oxidative damage. Furthermore, the activities of catalase, glutathione reductase, Se-dependent and total glutathione peroxidase enzymes increased significantly in W and M + W treatments with respect to the control. Clams of the M + W treatment were the most affected, indicating that the little amount of BPA bioaccumulated by microalgae could increase the damage. Emerging contaminants may accumulate in several organisms, such as microalgae, and could have negative impacts on ecosystems.</t>
  </si>
  <si>
    <t>[Esperanza, Marta; Seoane, Marta; Cid, Angeles] Univ A Coruna, Fac Ciencias, Lab Microbiol, Campus Zapateira S-N, La Coruna 15071, Spain; [Servia, Maria J.] Univ A Coruna, Fac Ciencias, Area Zool, Campus Zapateira S-N, La Coruna 15071, Spain</t>
  </si>
  <si>
    <t>Cid, A (corresponding author), Univ A Coruna, Fac Ciencias, Lab Microbiol, Campus Zapateira S-N, La Coruna 15071, Spain.</t>
  </si>
  <si>
    <t>angeles.cid@udc.es</t>
  </si>
  <si>
    <t>Servia, María/N-7230-2015; Esperanza, Marta/F-8657-2016; Cid, Angeles/I-9167-2014; Seoane, Marta/H-3974-2016</t>
  </si>
  <si>
    <t>Esperanza, Marta/0000-0003-3974-5344; Cid, Angeles/0000-0002-0111-2122; Seoane, Marta/0000-0001-5752-5041</t>
  </si>
  <si>
    <t>Spanish Ministerio de Economia, Industria y Competitividad [CTM 201788668-R]; NERC [NE/R017050/1] Funding Source: UKRI</t>
  </si>
  <si>
    <t>Spanish Ministerio de Economia, Industria y Competitividad(Spanish Government); NERC(UK Research &amp; Innovation (UKRI)Natural Environment Research Council (NERC))</t>
  </si>
  <si>
    <t>This work was carried out with the financial support of the Spanish Ministerio de Economia, Industria y Competitividad (CTM 201788668-R). Authors would thank N. Novo and L. Perez for their help in the initial stages of the project.</t>
  </si>
  <si>
    <t>10.1016/j.ecoenv.2020.110609</t>
  </si>
  <si>
    <t>LK8EV</t>
  </si>
  <si>
    <t>WOS:000531094000020</t>
  </si>
  <si>
    <t>Marques, CC; Gabriel, SI; Pinheiro, T; Viegas-Crespo, AM; Mathias, MD; Bebianno, MJ</t>
  </si>
  <si>
    <t>Marques, Carla Cristina; Gabriel, Sofia Isabel; Pinheiro, Teresa; Viegas-Crespo, Ana Maria; Mathias, Maria da Luz; Bebianno, Maria Joao</t>
  </si>
  <si>
    <t>Metallothionein levels in Algerian mice (Mus spretus) exposed to elemental pollution:: An ecophysiological approach</t>
  </si>
  <si>
    <t>Mus spretus; abandoned mines; elemental contamination; metallothionein</t>
  </si>
  <si>
    <t>VOLE CLETHRIONOMYS-GLAREOLUS; ANTIOXIDANT ENZYME-ACTIVITIES; CLAM RUDITAPES-DECUSSATUS; SMALL MAMMALS; BANK VOLE; MINE AREA; BIOCHEMICAL BIOMARKERS; APODEMUS-SYLVATICUS; DIGESTIVE GLAND; HEAVY-METALS</t>
  </si>
  <si>
    <t>The potential use of metallothioneins (MTs) as biomarkers of trace metal contamination was evaluated for the first time in the Algerian mouse (Mus spretus). Mice were collected seasonally in an abandoned mining area (Aljustrel) and in a reference area, both located in southern Portugal. MT levels were quantified in liver and kidney by differential pulse polarography and hepatic elemental concentrations (Mn, Fe, Cu, Zn, Se) were determined by particle-induced X-ray emission. Hepatic iron and selenium concentrations were elevated in mice from Aljustrel mine when compared to reference animals. MTs levels were averagely higher in mice from Aljustrel than those originated from the reference area. A season-dependent significant effect was found on the hepatic and renal MT concentrations, characterized by higher levels in winter and lower in autumn. In contaminated mice positive relationship between liver elemental contents (Cu in autumn and Fe in winter) and MTs were found. The seasonal variation of MT suggests that probably physiological and environmental factors could influence hepatic and renal MT induction. Results seem to imply that some environmental disturbance occur in the vicinity of the Aljustrel mine. Therefore, for the management purposes MT levels should be followed in liver of M. spretus, especially in winter. Furthermore, other physiological factors that could influence MT expression and turnover in Algerian mouse should also be monitored. (c) 2007 Elsevier Ltd. All rights reserved.</t>
  </si>
  <si>
    <t>[Marques, Carla Cristina; Gabriel, Sofia Isabel; Viegas-Crespo, Ana Maria; Mathias, Maria da Luz] Univ Lisbon, Fac Ciencias, Dept Biol Anim, Ctr Biol Ambiental, P-1749016 Lisbon, Portugal; [Pinheiro, Teresa] ITN, Lab Feixes Ioes, P-2685953 Sacavem, Portugal; [Bebianno, Maria Joao] Univ Algarve, Fac Ciencias Mar &amp; Ambiente, CIMA, P-8000117 Faro, Portugal</t>
  </si>
  <si>
    <t>Universidade de Lisboa; Universidade de Lisboa; Universidade do Algarve</t>
  </si>
  <si>
    <t>Marques, CC (corresponding author), Univ Lisbon, Fac Ciencias, Dept Biol Anim, Ctr Biol Ambiental, Edificio C2,3 Piso, P-1749016 Lisbon, Portugal.</t>
  </si>
  <si>
    <t>ccmarques@fc.ul.pt</t>
  </si>
  <si>
    <t>Bebianno, Maria/L-3761-2014; Gabriel, Sofia I./C-1770-2013; Pinheiro, Teresa/O-8984-2019; Mathias, Maria da Luz/V-9931-2018</t>
  </si>
  <si>
    <t>Gabriel, Sofia I./0000-0003-3702-4631; Viegas-Crespo, Ana Maria/0000-0001-9994-6450; Pinheiro, Teresa/0000-0002-1836-2603; Mathias, Maria da Luz/0000-0003-3876-958X; Bebianno, Maria/0000-0003-1492-8566</t>
  </si>
  <si>
    <t>10.1016/j.chemosphere.2007.11.024</t>
  </si>
  <si>
    <t>295BM</t>
  </si>
  <si>
    <t>WOS:000255450000017</t>
  </si>
  <si>
    <t>Shi, W; Sun, SG; Han, Y; Tang, Y; Zhou, WS; Zhang, WX; Du, XY; Huang, L; Liu, GX</t>
  </si>
  <si>
    <t>Shi, Wei; Sun, Shuge; Han, Yu; Tang, Yu; Zhou, Weishang; Zhang, Weixia; Du, Xueying; Huang, Lin; Liu, Guangxu</t>
  </si>
  <si>
    <t>Microplastics hamper the fertilization success of a broadcast spawning bivalve through reducing gamete collision and gamete fusion efficiency</t>
  </si>
  <si>
    <t>Microplastics; Tegillarca granosa; Fertilization success; Gamete collision; Fusion efficiency</t>
  </si>
  <si>
    <t>POLYSTYRENE MICROPLASTICS; OCEAN ACIDIFICATION; SEA; CA2+; SPERMATOZOA; MATURATION; VIABILITY; VELOCITY; KINETICS; CLAM</t>
  </si>
  <si>
    <t>By employing external fertilization (broadcast spawning) as a mating strategy, the gametes and subsequent fertilization of various marine invertebrates are directly subjected to pollution. Although microplastics (MPs) are ubiquitous in marine environments, their potential effects on the fertilization of broadcast spawners remain largely unknown. Therefore in this study, the impacts of polystyrene MPs on the fertilization success of broadcast spawning bivalve (Tegillarca granosa) were investigated. In order to reveal the underlying mechanisms affecting fertilization, the sperm swimming performance, sperm ATP status, sperm viability, DNA integrity, gamete collision probability, gamete fusion efficiency, enzymatic antioxidants, and key ion transport enzyme activities were analyzed. The results showed that MPs weakened the sperm swimming performance through reducing ATP production and cell viability, thus leading to the decreased probability of gamete collision. Furthermore, MPs affected ion transport in the gametes by inducing oxidative stress, which resulted in gamete fusion failure. In conclusion, this study demonstrates that MPs could significantly decrease the fertilization success of T. granosa through reducing gamete collision and lowering gamete fusion efficiency.</t>
  </si>
  <si>
    <t>[Shi, Wei; Sun, Shuge; Han, Yu; Tang, Yu; Zhou, Weishang; Zhang, Weixia; Du, Xueying; Huang, Lin; Liu, Guangxu] Zhejiang Univ, Coll Anim Sci, Hangzhou, Peoples R China</t>
  </si>
  <si>
    <t>National Natural Science Foundation of China [32172944]; Zhejiang Major Program of Science and Technology [2021C02069-7]; Natural Science Foundation of Zhejiang Province [LQ21C190003]; Open Fund of Key Laboratory of Marine Ecosystem Dynamics, MNR [MED202004]; Open Fund of Zhejiang Key Laboratory of Exploration and Preservation of Costal Bio-resources [J2021001]; National Key R\046D Program of China [2018YFD0900603]</t>
  </si>
  <si>
    <t>National Natural Science Foundation of China(National Natural Science Foundation of China (NSFC)); Zhejiang Major Program of Science and Technology; Natural Science Foundation of Zhejiang Province(Natural Science Foundation of Zhejiang Province); Open Fund of Key Laboratory of Marine Ecosystem Dynamics, MNR; Open Fund of Zhejiang Key Laboratory of Exploration and Preservation of Costal Bio-resources; National Key R\046D Program of China</t>
  </si>
  <si>
    <t>This work was funded by National Natural Science Foundation of China (32172944), National Key R\046D Program of China (2018YFD0900603), Zhejiang Major Program of Science and Technology (2021C02069-7), Natural Science Foundation of Zhejiang Province (LQ21C190003), Open Fund of Key Laboratory of Marine Ecosystem Dynamics, MNR (MED202004) and Open Fund of Zhejiang Key Laboratory of Exploration and Preservation of Costal Bio-resources (J2021001).</t>
  </si>
  <si>
    <t>10.1016/j.aquatox.2021.106049</t>
  </si>
  <si>
    <t>WOS:000765515700004</t>
  </si>
  <si>
    <t>Jaffé, R; Gardinali, PR; Cail, Y; Sudburry, A; Fernandez, A; Hay, BJ</t>
  </si>
  <si>
    <t>Organic compounds and trace metals of anthropogenic origin in sediments from Montego Bay, Jamaica:: assessment of sources and distribution pathways</t>
  </si>
  <si>
    <t>trace metals; hydrocarbons; pesticides; PCBs; sewage; Sediments; Montego Bay; Jamaica</t>
  </si>
  <si>
    <t>AROMATIC-HYDROCARBONS; HEAVY-METALS; SPECTROMETRY; BIOMARKERS; PROGRAM; OYSTERS; MEXICO; GULF</t>
  </si>
  <si>
    <t>Surface sediments throughout Montego Bay, Jamaica were collected in 1995 and analyzed for their trace metal and trace organic contaminant content. A variety of trace metals, petroleum hydrocarbons, polycyclic aromatic hydrocarbons, coprostanol as well as chlorinated hydrocarbons such as pesticides and polychlorinated biphenyls were detected and provide evidence for several anthropogenic inputs to the bay. Two main sources of these chemicals are the Montego River and the North Gully, the latter being more significant. Particle-associated pollutants were found to be distributed along the Montego River plume, as well as being transported by the prevailing water currents to the South-Western sections of the bay, probably through re-suspension of enriched fine sediments from the North Gully outfall area. (C) 2003 Elsevier Science Ltd. All rights reserved.</t>
  </si>
  <si>
    <t>Florida Int Univ, SE Environm Res Ctr, Environm Geochem Lab, Miami, FL 33199 USA; Florida Int Univ, Dept Chem, Miami, FL 33199 USA; Florida Int Univ, Dept Environm Studies, Miami, FL 33199 USA; Louis Berger Grp Inc, Needham, MA 02494 USA</t>
  </si>
  <si>
    <t>State University System of Florida; Florida International University; State University System of Florida; Florida International University; State University System of Florida; Florida International University</t>
  </si>
  <si>
    <t>Jaffé, R (corresponding author), Florida Int Univ, SE Environm Res Ctr, Environm Geochem Lab, Miami, FL 33199 USA.</t>
  </si>
  <si>
    <t>; Cai, Yong/K-9868-2015</t>
  </si>
  <si>
    <t>Gardinali, Piero/0000-0002-2868-3224; Cai, Yong/0000-0002-2811-4638</t>
  </si>
  <si>
    <t>PII S0269-7491(02)00368-8</t>
  </si>
  <si>
    <t>10.1016/S0269-7491(02)00368-8</t>
  </si>
  <si>
    <t>668JL</t>
  </si>
  <si>
    <t>WOS:000182287000012</t>
  </si>
  <si>
    <t>Cravo, A; Foster, P; Bebianno, MJ</t>
  </si>
  <si>
    <t>Minor and trace elements in the shell of Patella aspera (Roding 1798)</t>
  </si>
  <si>
    <t>biomonitoring; minor elements; Patella aspera; Portugal; shell composition; trace elements</t>
  </si>
  <si>
    <t>MUSSEL MYTILUS-EDULIS; SCANDINAVIAN WATERS; METAL POLLUTION; INDICATOR; STRONTIUM; SALINITY; MAGNESIUM; BIVALVE; VULGATA; LEAD</t>
  </si>
  <si>
    <t>Specimens of the limpet Patella aspera were collected from a clean, coastal marine site and a contaminated estuary on the south coast of Portugal. The shells were analysed individually for their minor (Mg, Sr) and trace element (Fe, Mn, Zn) content. Mean concentrations of these elements in the shell of P. aspera were 4651, 1318, 35.8, 29.9 and 5.5 mug g(-1), respectively. The elemental concentrations exhibited both a marked intra- and inter-population variability. Despite the variability within individual populations, significant differences in the trace element composition were apparent between the shells taken from the two sites. Small shells ( &lt; 2 g) provided the best resolution between sites for both manganese and iron. Differences in zinc were best resolved for larger shells. The shell of P aspera has an extraordinarily high magnesium concentration, which is insensitive to gross salinity differences, and a trace metal assemblage that can be interpreted in terms of environmental exposure. On these grounds, it is recommended that the shell of P aspera is a tissue for potential use in environmental trace metal monitoring. (C) 2002 Elsevier Science Ltd. All rights reserved.</t>
  </si>
  <si>
    <t>Univ Algarve, Ctr Marine &amp; Environm Res, Fac Marine &amp; Environm Sci, P-8000117 Faro, Portugal</t>
  </si>
  <si>
    <t>Univ Algarve, Ctr Marine &amp; Environm Res, Fac Marine &amp; Environm Sci, Campus Gambelas, P-8000117 Faro, Portugal.</t>
  </si>
  <si>
    <t>Bebianno, Maria/0000-0003-1492-8566; Cravo, Alexandra/0000-0002-2569-3929</t>
  </si>
  <si>
    <t>PII S0160-4120(02)00038-7</t>
  </si>
  <si>
    <t>10.1016/S0160-4120(02)00038-7</t>
  </si>
  <si>
    <t>592FG</t>
  </si>
  <si>
    <t>WOS:000177925600008</t>
  </si>
  <si>
    <t>Franzo, A; Auriemma, R; Nasi, F; Vojvoda, J; Pallavicini, A; Cibic, T; Del Negro, P</t>
  </si>
  <si>
    <t>Franzo, A.; Auriemma, R.; Nasi, F.; Vojvoda, J.; Pallavicini, A.; Cibic, T.; Del Negro, P.</t>
  </si>
  <si>
    <t>Benthic ecosystem functioning in the severely contaminated Mar Piccolo of Taranto (Ionian Sea, Italy): focus on heterotrophic pathways</t>
  </si>
  <si>
    <t>Sediments; Mar Piccolo of Taranto; Semi-enclosed basin; Organic enrichment; Contamination; Ecosystem functioning; Benthic communities; Heterotrophic pathways</t>
  </si>
  <si>
    <t>ORGANIC-MATTER; SURFACE SEDIMENTS; COASTAL LAGOONS; NITROGEN; CARBON; BIODIVERSITY; COMMUNITY; BACTERIA; HYDROCARBON; POLLUTION</t>
  </si>
  <si>
    <t>The benthic ecosystem functioning is a rarely applied holistic approach that integrates the main chemical and biological features of the benthic domain with the key processes responsible for the flux of energy and C through the system. For the first time, such conceptual model, with an emphasis on the heterotrophic pathways, has been applied to the sediments at four stations within one of the most polluted coastal areas in Italy: the Mar Piccolo of Taranto. The functioning of the benthic ecosystem was different according to the investigated site. Nearby the military arsenal, i.e., the main source of organic contaminants and heavy metals, the system seemed inhibited at all the investigated structural and functional levels. Slow microbial processes of C reworking together with very limited densities of benthic fauna suggested a modest transfer of C both into a solid microbial loop and to the higher trophic levels. On the other hand, the ingression of marine water through the Navigabile channel seemed to stimulate the organic matter degradation and, consequently, the proliferation of meiofauna and macrofauna. In the innermost part of the basin, the system functioning, to some extent, is less impacted by contaminants and more influenced by mussel farms. The organic matter produced by these bivalves fueled faster C reworking by benthic prokaryotes and enhanced the proliferation of filter feeders.</t>
  </si>
  <si>
    <t>[Franzo, A.; Auriemma, R.; Nasi, F.; Vojvoda, J.; Cibic, T.; Del Negro, P.] OGS Ist Nazl Oceanog &amp; Geofis Sperimentale, Sez Oceanog, v A Piccard 54, I-34151 Trieste, Italy; [Vojvoda, J.; Pallavicini, A.] Univ Trieste, Dept Life Sci, Via Licio Giorgieri 5, Trieste, Italy</t>
  </si>
  <si>
    <t>Istituto Nazionale di Oceanografia e di Geofisica Sperimentale; University of Trieste</t>
  </si>
  <si>
    <t>Franzo, A (corresponding author), OGS Ist Nazl Oceanog &amp; Geofis Sperimentale, Sez Oceanog, v A Piccard 54, I-34151 Trieste, Italy.</t>
  </si>
  <si>
    <t>afranzo@ogs.trieste.it</t>
  </si>
  <si>
    <t>Nasi, Federica/ABG-9365-2021; Pallavicini, Alberto/J-4158-2012</t>
  </si>
  <si>
    <t>Cibic, Tamara/0000-0003-1519-4891; Pallavicini, Alberto/0000-0001-7174-4603; Nasi, Federica/0000-0002-0706-5718; Franzo, Annalisa/0000-0002-4127-1558; DEL NEGRO, Paola/0000-0003-2465-4896; Auriemma, Rocco/0000-0003-3304-0378</t>
  </si>
  <si>
    <t>Project Bandiera RITMARE-La Ricerca Italiana per il Mare; Ministry for Education, University and Research within the National Research Programme</t>
  </si>
  <si>
    <t>Project Bandiera RITMARE-La Ricerca Italiana per il Mare; Ministry for Education, University and Research within the National Research Programme(Ministry of Education, Universities and Research (MIUR))</t>
  </si>
  <si>
    <t>The activities described in this publication were funded by the Project Bandiera RITMARE-La Ricerca Italiana per il Mare coordinated by the National Research Council and funded by the Ministry for Education, University and Research within the National Research Programme 2011-2013. A special thanks goes to the crew of the Cerruti boat and to the researchers of IAMC institute, section of Taranto, for their support and nice hospitality. We are grateful to Cinzia Comici for TC, TOC, and TN analyses; to Cinzia De Vittor for BPC data; and to all the colleagues involved in the project who helped us with suggestions and critical review of the study.</t>
  </si>
  <si>
    <t>10.1007/s11356-015-5339-0</t>
  </si>
  <si>
    <t>WOS:000378817300012</t>
  </si>
  <si>
    <t>Wade, TL; Sweet, ST; Sericano, JL; DeFreitas, DA; Lauenstein, GG</t>
  </si>
  <si>
    <t>Wade, Terry L.; Sweet, Stephen T.; Sericano, Jose L.; DeFreitas, Debra A.; Lauenstein, Gunnar G.</t>
  </si>
  <si>
    <t>Polychlorinated dibenzo-p-dioxins and dibenzofurans detected in bivalve samples from the NOAA National Status and Trends Program</t>
  </si>
  <si>
    <t>Dioxin; Furan; TEQ; Mussel; Oyster; Coastal United States</t>
  </si>
  <si>
    <t>HEAVY-METAL CONTAMINATION; ADJACENT MARINE WATERS; ST-LOUIS BAY; MUSSEL WATCH; CHEMICAL CONCENTRATIONS; CRASSOSTREA-VIRGINICA; SEDIMENTS; OYSTERS; MISSISSIPPI; SHELLFISH</t>
  </si>
  <si>
    <t>Bivalve samples from 142 sites were analyzed to determine the concentration and toxicity equivalents (TEQ) of dioxins and furans (D/F) as part of the NOAA National Status and Trends Program. The total concentration of 17 D/F ranged from not detected to 203 pg/g wet weight of tissue. Octachlorinated dibenzo-p-dioxin, OCDD, had a concentration range from not detected to 189 pg/g and a mean concentration of 8.65 pg/g. OCDD was the dominant DIP compound detected and accounted for, on average, over 70% of the total D/F concentration. The TEQ (compared to 2,3,7,8-TCDD) ranged from 0.12 to 7.32 pg TEQ/g. The TEQ for 39% of the bivalves analyzed were below 0.238 pg TEQ/g. TEQ above human consumption advisory concentration of 1.2 pg TEQ/g were found in 9.3% of the samples analyzed. TEQ for D/F indicate very limited human health concerns from consumption of bivalves at most of the locations sampled. (C) 2013 Elsevier Ltd. All rights reserved.</t>
  </si>
  <si>
    <t>[Wade, Terry L.; Sweet, Stephen T.; Sericano, Jose L.; DeFreitas, Debra A.] Texas A&amp;M Univ, Coll Geosci, Geochem &amp; Environm Res Grp, College Stn, TX 77845 USA; [Lauenstein, Gunnar G.] NOAA, Ctr Coastal Monitoring &amp; Assessment, Natl Ocean Serv, Cut Bank, MT 59427 USA</t>
  </si>
  <si>
    <t>Texas A&amp;M University System; Texas A&amp;M University College Station; National Oceanic Atmospheric Admin (NOAA) - USA; National Ocean Service, NOAA</t>
  </si>
  <si>
    <t>Wade, TL (corresponding author), Texas A&amp;M Univ, Coll Geosci, Geochem &amp; Environm Res Grp, 833 Graham Rd, College Stn, TX 77845 USA.</t>
  </si>
  <si>
    <t>terry@gerg.tamu.edu; gglauenstein@gmail.com</t>
  </si>
  <si>
    <t>National Centers for Coastal Ocean Science through GERG's Contracts from the NOAA NST program</t>
  </si>
  <si>
    <t>We wish to thank the National Centers for Coastal Ocean Science for providing partial funding through GERG's Contracts from the NOAA NS&amp;T program.</t>
  </si>
  <si>
    <t>10.1016/j.marpolbul.2013.09.002</t>
  </si>
  <si>
    <t>WOS:000336707900004</t>
  </si>
  <si>
    <t>Leite, LAR; Agostinho, BN; Oliveira, SLP; Pedreira, WD; de Azevedo, RK; Abdallah, VD</t>
  </si>
  <si>
    <t>Leite, Lucas Aparecido Rosa; Agostinho, Beatriz Narciso; Oliveira, Sarah Leticia Paiva; Pedreira Filho, Walter dos Reis; de Azevedo, Rodney Kozlowiski; Abdallah, Vanessa Doro</t>
  </si>
  <si>
    <t>Trace metal accumulation is infrapopulation-dependent in acanthocephalans parasites of the white mullet (Mugil curema) from an estuarine environment of southeastern Brazil coast</t>
  </si>
  <si>
    <t>Accumulation indicators; Marine pollution; Trace metal pollution; Metazoan parasites; Acanthocephalans</t>
  </si>
  <si>
    <t>PERCH PERCA-FLUVIATILIS; POMPHORHYNCHUS-LAEVIS ACANTHOCEPHALA; DIFFERENT TISSUES; HEAVY-METALS; ZEBRA MUSSEL; SAO-PAULO; FISH HOST; POLLUTION; LUCII; BIOINDICATORS</t>
  </si>
  <si>
    <t>Here, in an estuarine canal in southeast Brazil, we evaluated the potential for trace metal accumulation of the acanthocephalan parasite Floridosentis mugilis, which infects the fish host Mugil curema. The quantities of the trace metals were quantified using Inductively Coupled Plasma Mass Spectrometry (ICP-MS), which was used to analyze samples of the fish's muscle, intestine, and liver as well as the parasites. The parasites and the host's tissues had significantly different trace metal concentrations, according to our data. Furthermore, some metals have quite high bioconcentration factors, including Al, Cr, Ni, and Cd. We also found that the trace metal concentrations in the parasites were impacted by the sizes of the parasitic infrapopulations, with smaller infrapopulations tending to accumulate more metals. This study shows this acanthocephalan species' effective ability to store metals and is the first to investigate metal accumulation using it as a model.</t>
  </si>
  <si>
    <t>[Leite, Lucas Aparecido Rosa; Oliveira, Sarah Leticia Paiva; Abdallah, Vanessa Doro] Univ Fed Alagoas UFAL, Inst Ciencias Biol &amp; Saude, Setor Parasitol &amp; Patol, Maceio, Brazil; [Agostinho, Beatriz Narciso] Univ Estadual Paulista Julio Mesquita Filho UNESP, Inst Biociencias, Dept Parasitol, Botucatu, Brazil; [Pedreira Filho, Walter dos Reis] Fundacao Jorge Duprat Figueiredo Seguranca &amp; Med T, Ctr Tecn Nacl CTN, Div Agentes Quim DQi, Sao Paulo, Brazil; [de Azevedo, Rodney Kozlowiski] Ctr Univ CESMAC, Programa Posgrad Analise Sistemas Ambientais, Maceio, Brazil</t>
  </si>
  <si>
    <t>Universidade Federal de Alagoas; Universidade Estadual Paulista</t>
  </si>
  <si>
    <t>Leite, LAR (corresponding author), Univ Fed Alagoas UFAL, Inst Ciencias Biol &amp; Saude, Setor Parasitol &amp; Patol, Maceio, Brazil.</t>
  </si>
  <si>
    <t>lar.leite@unesp.br</t>
  </si>
  <si>
    <t>Leite, Lucas/L-5138-2015; Abdallah, Vanessa/K-1782-2014</t>
  </si>
  <si>
    <t>10.1016/j.marpolbul.2023.115374</t>
  </si>
  <si>
    <t>X3VH6</t>
  </si>
  <si>
    <t>WOS:001097760100001</t>
  </si>
  <si>
    <t>Castrec, J; Pillet, M; Receveur, J; Fontaine, Q; Le Floch, S; Churlaud, C; Lejeune, P; Gobert, S; Thomas, H; Marengo, M</t>
  </si>
  <si>
    <t>Castrec, Justine; Pillet, Marion; Receveur, Justine; Fontaine, Quentin; Le Floch, Stephane; Churlaud, Carine; Lejeune, Pierre; Gobert, Sylvie; Thomas, Helene; Marengo, Michel</t>
  </si>
  <si>
    <t>Active and passive biomonitoring of trace elements, polycyclic aromatic hydrocarbons, and polychlorinated biphenyls in small Mediterranean harbours</t>
  </si>
  <si>
    <t>Limpets; Sea cucumbers; Mussels; Corsica; Metals; Organic pollutants</t>
  </si>
  <si>
    <t>PERSISTENT ORGANIC POLLUTANTS; CUCUMBER HOLOTHURIA-TUBULOSA; EDIBLE MARINE ORGANISMS; PATELLA SPP. MOLLUSCA; MYTILUS-GALLOPROVINCIALIS; POSIDONIA-OCEANICA; HEAVY-METALS; CANARY-ISLANDS; CHEMICAL CONTAMINATION; SPATIAL-DISTRIBUTION</t>
  </si>
  <si>
    <t>Pollution particularly affects coastal ecosystems due to their proximity to anthropic sources. Among those environments, harbours are subjected to marine traffic but also to accidental and chronic pollution. These areas are thus exposed to complex mixtures of contaminants such as trace elements and organic contaminants which can impact marine species, habitats, and ecosystem services. The monitoring of these compounds is thus a crucial issue for assessment of environmental health. In this context, the aim of the present work was to evaluate the chemical contamination of harbours in Corsica (NW Mediterranean) by measuring the bioaccumulation of trace elements, polycyclic aromatic hydrocarbons, and polychlorinated biphenyls in mussels, limpets, and sea cucumbers. The human health risks associated with seafood consumption were also assessed. Results reveal a relatively low contamination in the Corsican harbours studied compared to larger Mediterranean ports and suggest that the potential health risk for consumers eating seafood is low.</t>
  </si>
  <si>
    <t>[Castrec, Justine; Pillet, Marion; Fontaine, Quentin; Lejeune, Pierre; Gobert, Sylvie; Marengo, Michel] Stn Rech Sousmarines &amp; Oceanog STARESO, BP33, F-20260 Calvi, France; [Receveur, Justine] Cedre, 715 Rue Alain Colas, F-29218 Brest 2, France; [Churlaud, Carine] La Rochelle Univ, Littoral Environm &amp; Soc LIENSs, CNRS, UMRi 7266, 2 Rue Olympe Gouges, F-17042 La Rochelle 01, France; [Gobert, Sylvie] Univ Liege, Ctr MARE, Lab Oceanol, B6c, B-4000 Liege, Belgium</t>
  </si>
  <si>
    <t>Centre National de la Recherche Scientifique (CNRS); University of Liege</t>
  </si>
  <si>
    <t>Castrec, J (corresponding author), Stn Rech Sousmarines &amp; Oceanog STARESO, BP33, F-20260 Calvi, France.</t>
  </si>
  <si>
    <t>Justine.Castrec@gmail.com</t>
  </si>
  <si>
    <t>THOMAS, Helene/JZW-5193-2024; LE FLOCH, Stephane/E-7863-2016</t>
  </si>
  <si>
    <t>Castrec, Justine/0000-0002-0180-6327; THOMAS, Helene/0000-0002-7932-6841</t>
  </si>
  <si>
    <t>Quality of the marine environment in the Mediterranean port areas (QUAMPO) project - European Maritime and Fisheries Fund (EMFF)</t>
  </si>
  <si>
    <t>This work was supported by the Quality of the marine environment in the Mediterranean port areas (QUAMPO) project, funded by the European Maritime and Fisheries Fund (EMFF). The funding sources had no involvement in study design, collection, analysis and interpretation of the data. We thank M. Dabrowski for the technical assistance on trace element analysis. We are also grateful to B. Pantalacci and the staff of shellfish farm SARL Etang de Diane for providing mussels. The authors gratefully acknowledge all the colleagues who provided a valuable help during the discussions and advice: L. Fullgrabe and V. Huet.</t>
  </si>
  <si>
    <t>10.1016/j.marpolbul.2023.114578</t>
  </si>
  <si>
    <t>8K5RS</t>
  </si>
  <si>
    <t>WOS:000923159300001</t>
  </si>
  <si>
    <t>Terada, Y; Saito, J; Kawai, T; Singh, IP; Etoh, H</t>
  </si>
  <si>
    <t>Structure-activity relationship of phloroglucinol compounds from Eucalyptus as marine antifoulants</t>
  </si>
  <si>
    <t>BIOSCIENCE BIOTECHNOLOGY AND BIOCHEMISTRY</t>
  </si>
  <si>
    <t>structure-activity relationship; superimposition calculation; phloroglucinol derivative; marine antifoulant; molecular mechanics calculation</t>
  </si>
  <si>
    <t>MYTILUS-EDULIS; BLUE MUSSEL; SUBSTANCES</t>
  </si>
  <si>
    <t>Environmental pollution has resulted in the use of organo-tin and organo-copper compounds as antifouling agents being prohibited. Non-toxic natural products are considered to be environmentally friendly antifouling agents. Several phloroglucinol compounds isolated from three species of Eucalyptus have demonstrated strong attachment-inhibiting activity against the blue mussel. In this paper, we discuss the structure-activity relationship of these phloroglucinol compounds on the basis of molecular mechanics calculations. When these compounds were superimposed on each other and the strongest inhibitor was applied as a template, the repulsion energy of the other compounds was proportional to the logarithmic attachment-inhibiting activity. It is concluded that, of the two phloroglucinol rings in sideroxylonal A, ring C is more important, and those compounds that stereochemically and electrostatically resemble the template molecule are more active.</t>
  </si>
  <si>
    <t>Meijo Univ, Fac Pharm, Tenpa Ku, Nagoya, Aichi 4688503, Japan; Shizuoka Univ, Fac Agr, Shizuoka 4228529, Japan</t>
  </si>
  <si>
    <t>Meijo University; Shizuoka University</t>
  </si>
  <si>
    <t>Terada, Y (corresponding author), Meijo Univ, Fac Pharm, Tenpa Ku, Nagoya, Aichi 4688503, Japan.</t>
  </si>
  <si>
    <t>yterada@meijo-u.ac.jp</t>
  </si>
  <si>
    <t>0916-8451</t>
  </si>
  <si>
    <t>1347-6947</t>
  </si>
  <si>
    <t>BIOSCI BIOTECH BIOCH</t>
  </si>
  <si>
    <t>Biosci. Biotechnol. Biochem.</t>
  </si>
  <si>
    <t>10.1271/bbb.63.276</t>
  </si>
  <si>
    <t>Biochemistry &amp; Molecular Biology; Biotechnology &amp; Applied Microbiology; Chemistry, Applied; Food Science &amp; Technology</t>
  </si>
  <si>
    <t>Biochemistry &amp; Molecular Biology; Biotechnology &amp; Applied Microbiology; Chemistry; Food Science &amp; Technology</t>
  </si>
  <si>
    <t>173QK</t>
  </si>
  <si>
    <t>WOS:000078991100005</t>
  </si>
  <si>
    <t>Manduzio, H; Cosette, P; Gricourt, L; Jouenne, T; Lenz, C; Andersen, OK; Leboulenger, F; Rocher, B</t>
  </si>
  <si>
    <t>Proteome modifications of blue mussel (Mytilus edulis L.) gills as an effect of water pollution</t>
  </si>
  <si>
    <t>blue mussel; polyaromatic hydrocarbons; proteome maps; water ecosystems</t>
  </si>
  <si>
    <t>HISTOLOGICAL RESPONSES; CILIARY ACTIVITY; ANODONTA-CYGNEA; PERNA-PERNA; EXPOSURE; ACTIN; MERCURY; GALLOPROVINCIALIS; BENZO(A)PYRENE; ALKYLPHENOLS</t>
  </si>
  <si>
    <t>The discharge of chemicals such as oil associated or not with derived products constitutes a real threat for the environment. We report here the differential expression of the blue mussel (Mytilus edulis) gill proteins corresponding to two contaminated environmental conditions: crude oil and offshore produced water. In order to evaluate and understand contaminants, effects and adaptive response of these organisms, we identified proteins using MS. The latter can be grouped into three main classes: proteins involved in the cellular structure, in metabolism, and in defence proteins.</t>
  </si>
  <si>
    <t>Univ Havre, Lab Ecotoxicol, LEMA, UPRES,EA 3222, F-76058 Le Havre, France; Univ Rouen, UMR 6522, CNRS, Mont St Aignan, France; Appl Biosyst Inc, Darmstadt, Germany; Rf Akvamiljo, Randaberg, Norway</t>
  </si>
  <si>
    <t>Universite de Reims Champagne-Ardenne; Universite Le Havre Normandie; Universite de Rouen Normandie; Centre National de la Recherche Scientifique (CNRS); Thermo Fisher Scientific; Applied Biosystems</t>
  </si>
  <si>
    <t>Manduzio, H (corresponding author), Univ Havre, Lab Ecotoxicol, LEMA, UPRES,EA 3222, IFRMP 23,25 Rue Philippe Lebon BP 540, F-76058 Le Havre, France.</t>
  </si>
  <si>
    <t>jouenne, thierry/0000-0003-0994-9944; Cosette, Pascal/0000-0002-7588-0167</t>
  </si>
  <si>
    <t>10.1002/pmic.200401328</t>
  </si>
  <si>
    <t>999TM</t>
  </si>
  <si>
    <t>WOS:000234413400030</t>
  </si>
  <si>
    <t>Kucuksezgin, F; Gonul, LT; Pazi, I; Ubay, B; Guclusoy, H</t>
  </si>
  <si>
    <t>Kucuksezgin, Filiz; Gonul, L. Tolga; Pazi, Idil; Ubay, Bahar; Guclusoy, Harun</t>
  </si>
  <si>
    <t>Monitoring of polycyclic aromatic hydrocarbons in transplanted mussels (Mytilus galloprovincialis) and sediments in the coastal region of Nemrut Bay (Eastern Aegean Sea)</t>
  </si>
  <si>
    <t>Sediment; Transplanted mussel; Polyaromatic hydrocarbons; Molecular indices; Health risk assessments; Nemrut Bay (eastern Aegean)</t>
  </si>
  <si>
    <t>SURFACE SEDIMENTS; HEAVY-METAL; ORGANIC POLLUTANTS; MARICULTURE BASE; MARINE ORGANISMS; RISK-ASSESSMENT; PAHS; POLLUTION; CONTAMINATION; RATIOS</t>
  </si>
  <si>
    <t>Polycyclic aromatic hydrocarbons (PAHs) were determined in the coastal region of Nemrut Bay, Eastern Aegean. Sediment and caged mussels were evaluated for sixteen PAHs. High contamination was observed in the sediment sampling sites next to the petrochemical refinery. Low molecular weight PAH levels were dominant in the sediments and the ratio LMW/HMW were higher than one, indicating petrogenic origin pollution. The m-ERM-q values of the sediments were classified as high-priority sites near the refinery while other sites were categorized as medium-low sites. 4-ring PAHs were found to be dominant in the mussels. PAHs were originated from petroleum and mixed sources (petrogenic, pyrogenic) both two transplantation experiments. The assessment of human health risk based on the Carcinogenic Toxic Equivalents suggested that the mussels have high capability to give rise to carcinogenic risks. PAH levels in the mussels were above the Recommended Total Carcinogenic PAH limits set by the European Union.</t>
  </si>
  <si>
    <t>[Kucuksezgin, Filiz; Gonul, L. Tolga; Pazi, Idil; Guclusoy, Harun] Dokuz Eylul Univ, Inst Marine Sci &amp; Technol, TR-35340 Izmir, Turkey; [Ubay, Bahar] STAR Refinery, Izmir, Turkey</t>
  </si>
  <si>
    <t>PAZI, İdil/P-2195-2019; Kucuksezgin, Filiz/P-3788-2019; Guclusoy, Harun/P-2094-2019</t>
  </si>
  <si>
    <t>PAZI, Idil/0000-0003-4234-3733; Kucuksezgin, Filiz/0000-0001-9030-5227; Guclusoy, Harun/0000-0002-4147-2587</t>
  </si>
  <si>
    <t>STAR Refinery through Revolving Fund of DEU Institute of Marine Sciences and Technology</t>
  </si>
  <si>
    <t>This study was performed in the framework of a project entitled Provision of services on monitoring of marine biodiversity and analysis of marine sediment quality for STAR Refinery, IMST-224 and supported by the STAR Refinery through Revolving Fund of DEU Institute of Marine Sciences and Technology. The authors are grateful to Dr. Baris Akcali, Gokhan Kaboglu, Remzi Kavcioglu for their helps during the caging experiment and collecting sediment samples in the cruise of research vessel (R/V K. Piri Reis).</t>
  </si>
  <si>
    <t>10.1016/j.marpolbul.2020.111358</t>
  </si>
  <si>
    <t>MK1FD</t>
  </si>
  <si>
    <t>WOS:000548531100046</t>
  </si>
  <si>
    <t>Tiquio, MGJ; Hurel, C; Marmier, N; Taneez, M; Andral, B; Jordan, N; Francour, P</t>
  </si>
  <si>
    <t>Tiquio, Ma Gregoria Joanne; Hurel, Charlotte; Marmier, Nicolas; Taneez, Mehwish; Andral, Bruno; Jordan, Norbert; Francour, Patrice</t>
  </si>
  <si>
    <t>Sediment-bound trace metals in Golfe-Juan Bay, northwestern Mediterranean: Distribution, availability and toxicity</t>
  </si>
  <si>
    <t>Trace metals; Sediment; Mussels; Remobilization</t>
  </si>
  <si>
    <t>HEAVY-METALS; POSIDONIA-OCEANICA; MARINE POLLUTION; WATER; COASTAL; CONTAMINATION; SPECIATION; SEAGRASS; SEA; ZN</t>
  </si>
  <si>
    <t>The concentration, potential mobility, cation exchange capacity and toxicity of eight sediment-bound metals in Golfe Juan Bay, France were examined. Results revealed significant spatial gradient of metal contamination along Golfe-Juan coast. The distribution and concentration of the metals appear to be influenced by the geochemical properties of the sediment, proximity to anthropogenic sources and general water circulation in the bay. The portion of trace metals found in the exchangeable, carbonate, oxidizable and reducible fractions of the sediment constitute 31%-58% of the total sediment-bound trace metal content, suggesting significant potential for remobilization of metals into the water column. Pb and Ni content of the sediment exceed the limits of the French marine sediment quality. Whole sediment extracts showed acute toxicity to marine rotifers. This study concludes that monitoring and management of sediment-bound trace metals in Golfe Juan Bay are important so as not to underestimate their availability and risk to the marine ecosystems. (C) 2017 Elsevier Ltd. All rights reserved.</t>
  </si>
  <si>
    <t>[Tiquio, Ma Gregoria Joanne; Hurel, Charlotte; Marmier, Nicolas; Taneez, Mehwish; Francour, Patrice] Univ Cote Azur, CNRS, ECOMERS, Nice, France; [Andral, Bruno] IFREMER, Lab Provence Azur Corse, BP 330, F-83507 La Seyne Sur Mer, France; [Jordan, Norbert] Helmholtz Zentrum Dresden Rossendoif, Inst Resource Ecol, Bautzner Landstr 400, D-01328 Dresden, Germany</t>
  </si>
  <si>
    <t>Centre National de la Recherche Scientifique (CNRS); Universite Cote d'Azur; Ifremer; Helmholtz Association; Helmholtz-Zentrum Dresden-Rossendorf (HZDR)</t>
  </si>
  <si>
    <t>Tiquio, MGJ (corresponding author), Univ Cote Azur, CNRS, ECOMERS, Nice, France.</t>
  </si>
  <si>
    <t>tiquio@unice.fr</t>
  </si>
  <si>
    <t>Jordan, Norbert/D-4177-2013</t>
  </si>
  <si>
    <t>Jordan, Norbert/0000-0002-4625-1580; Taneez, Mehwish/0000-0001-8450-2224; Hurel, Charlotte/0000-0001-6187-6354</t>
  </si>
  <si>
    <t>Erasmus Mundus Mobility with Asia (EMMA) Programme; Sabella Project of ECOMERS; Agence de l'Eau Rhone Mediterranee Corse</t>
  </si>
  <si>
    <t>This study was carried out in partial fulfillment of the requirements of the Ph.D. thesis of the corresponding author, through the support of the Erasmus Mundus Mobility with Asia (EMMA) Programme and the Sabella Project of ECOMERS (funding from Agence de l'Eau Rhone Mediterranee Corse). The authors wish to thank IFREMER and the Environment Laboratory of the City of Nice, France. The field work and laboratory analyses were also made possible through the assistance of Pascaline Bodilis, Jean-Michel Cottalorda, Marine Clozza, Antonio Di Franco, Fabrizzio Bartolini and Pierre Thiriet of the ECOMERS Laboratory. Map illustrations were provided by Kathleen Silvano.</t>
  </si>
  <si>
    <t>10.1016/j.marpolbul.2017.02.065</t>
  </si>
  <si>
    <t>WOS:000402217300064</t>
  </si>
  <si>
    <t>PRIDMORE, RD; ROPER, DS; HEWITT, JE</t>
  </si>
  <si>
    <t>VARIATION IN COMPOSITION AND CONDITION OF THE PACIFIC OYSTER, CRASSOSTREA-GIGAS, ALONG A POLLUTION GRADIENT IN MANUKAU HARBOR, NEW-ZEALAND</t>
  </si>
  <si>
    <t>SCALLOPS PECTEN-MAXIMUS; ANTI-FOULING COMPOUNDS; MYTILUS-EDULIS-L; CONDITION INDEXES; GLYCOGEN-CONTENT; AMERICAN OYSTER; GROWTH; COPPER; TIN; GAMETOGENESIS</t>
  </si>
  <si>
    <t>Three physical and four biochemical condition indices were used to assess the condition of the Pacific oyster, Crassostrea gigas, down a pollution gradient in Wairopa Channel, Manukau Harbour, New Zealand. The channel receives inputs of industrial and municipal waste including various organochlorine compounds, metals and microbiological contaminants. Changes in condition along the channel agreed well with the known water quality/pollution gradient. All indices except one (based on protein content) clearly distinguished between polluted and unpolluted sites. Differences in condition were attributable principally to an increase in glycogen content down the pollution gradient. Whereas protein content varied insignificantly amongst sites, glycogen content was 1.5-1.8 times greater at the less polluted sites and accounted for much of the observed increase in dry flesh weight. Pronounced shell thickening, commonly associated with tributyl tin contamination, was also observed at the more polluted sites.</t>
  </si>
  <si>
    <t>DSIR, DIV WATER SCI, CTR WATER QUAL, POB 11-115, HAMILTON, NEW ZEALAND.</t>
  </si>
  <si>
    <t>10.1016/0141-1136(90)90017-I</t>
  </si>
  <si>
    <t>EP821</t>
  </si>
  <si>
    <t>WOS:A1990EP82100001</t>
  </si>
  <si>
    <t>Arslan, P; Gül, G; Günal, AC</t>
  </si>
  <si>
    <t>Arslan, Pinar; Gul, Goktug; Gunal, Aysel Caglan</t>
  </si>
  <si>
    <t>How do biocidals affect the non-target marine organisms: the short-term effects of antifouling agent sodium pyrithione on Mediterranean mussels (Mytilus galloprovincialis, Lamark 1819)</t>
  </si>
  <si>
    <t>Marine mussel; Pyrithione; Total hemocyte counts; Oxidative stress; Histopathology</t>
  </si>
  <si>
    <t>OXIDATIVE STRESS BIOMARKERS; COPPER PYRITHIONE; ZINC PYRITHIONE; DIGESTIVE GLAND; WATER; TOXICITY; TISSUE</t>
  </si>
  <si>
    <t>The metallic pyrithiones are used as antifouling paints for marine vehicles against fouling organisms. However, they are dissolved in marine water and have negative impacts on marine non-target organisms. This study evaluated the adverse effects of sodium pyrithione (NaPT) on Mytilus galloprovincialis using total hemocyte counts (THCs), oxidative stress and antioxidant parameters, and histopathological observations. Mussels were exposed to 0.1 and 1 mu g/L NaPT for 96 h. The THC values of the NaPT-exposed mussels significantly decreased (p &lt; 0.05). Lipid peroxidation and advanced oxidative protein products of digestive gland and gill tissues were decreased but only the digestive gland tissues of 0.1 mu g/L NaPT values were significantly decreased compared to control groups (p &lt; 0.05). Histological alterations were observed in the gill and the digestive gland tissues revealing malformations and hyperplasia of gill lamella; degenerations and loss of tubules of digestive gland after exposure to NaPT for 96 h. As a result, biocidal sodium pyrithione has adverse effects on the mussels even in short-term exposures and low concentrations.</t>
  </si>
  <si>
    <t>[Arslan, Pinar] Cankiri Karatekin Univ, Biol Dept, Fac Sci, Cankiri, Turkiye; [Gul, Goktug] Gazi Univ, Hlth Serv Vocat Sch, Environm Hlth &amp; Environm Sci Program, Ankara, Turkiye; [Gunal, Aysel Caglan] Gazi Univ, Fac Gazi Educ, Dept Biol Educ, Ankara, Turkiye</t>
  </si>
  <si>
    <t>Cankiri Karatekin University; Gazi University; Gazi University</t>
  </si>
  <si>
    <t>Arslan, P (corresponding author), Cankiri Karatekin Univ, Biol Dept, Fac Sci, Cankiri, Turkiye.</t>
  </si>
  <si>
    <t>pinarslan89@gmail.com</t>
  </si>
  <si>
    <t>GÜL, Göktuğ/V-9013-2017; Günal, Aysel Caglan/AHE-2196-2022</t>
  </si>
  <si>
    <t>GUNAL, AYSEL CAGLAN/0000-0002-9072-543X; GUL, GOKTUG/0000-0003-1925-0803</t>
  </si>
  <si>
    <t>The authors would like to thank Gazi University Academic Writing Application and Research Center for proofreading the article (Certificate Number: 30.05.2023/0090). [30.05.2023/0090]; Gazi University</t>
  </si>
  <si>
    <t>The authors would like to thank Gazi University Academic Writing Application and Research Center for proofreading the article (Certificate Number: 30.05.2023/0090).; Gazi University(Gazi University)</t>
  </si>
  <si>
    <t>The authors would like to thank Gazi University Academic Writing Application and Research Center for proofreading the article (Certificate Number: 30.05.2023/0090).</t>
  </si>
  <si>
    <t>10.1007/s11356-023-30611-8</t>
  </si>
  <si>
    <t>AQ9L5</t>
  </si>
  <si>
    <t>WOS:001096959800013</t>
  </si>
  <si>
    <t>Leite, C; Russo, T; Cuccaro, A; Pinto, J; Polese, G; Soares, AMVM; Pretti, C; Pereira, E; Freitas, R</t>
  </si>
  <si>
    <t>Leite, Carla; Russo, Tania; Cuccaro, Alessia; Pinto, Joao; Polese, Gianluca; Soares, Amadeu M. V. M.; Pretti, Carlo; Pereira, Eduarda; Freitas, Rosa</t>
  </si>
  <si>
    <t>Rare earth elements and warming: Implications for adult mussel health and sperm quality</t>
  </si>
  <si>
    <t>Europium; Temperature rise; Adult mussels; Mussels' sperm; Integrated Biological Response index</t>
  </si>
  <si>
    <t>INTEGRATED BIOMARKER RESPONSE; FRESH-WATER MUSSEL; MYTILUS-GALLOPROVINCIALIS; HISTOPATHOLOGICAL INDEXES; OXIDATIVE STRESS; DIGESTIVE GLAND; POLLUTION; TOXICITY; ENVIRONMENT; EXPRESSION</t>
  </si>
  <si>
    <t>The present study aimed to investigate the effects of europium (Eu) exposure (10 mu g/L), warming (a 4 degrees C increase), and their combination on Mytilus galloprovincialis. Biochemical and histopathological changes in adult mussels were evaluated after a 28-day exposure period. Additionally, biochemical and physiological alterations in sperm were measured following a 30-min exposure period. The overall responses to each treatment were assessed using the Integrated Biological Response index version 2 (IBRv2). In adult mussels, warming elevated metabolism and activated glutathione S-transferases (GSTs), leading to redox imbalance and cellular damage. Europium exposure alone slightly enhanced metabolism and GSTs activity, resulting in cellular damage and histopathological injuries in digestive tubules. The combined exposure to Eu and warming was the most detrimental treatment for adults, as indicated by the highest IBRv2 value. This treatment slightly increased metabolism and uniquely elevated the activity of antioxidant enzymes, as well as GSTs and carboxylesterases. Despite these responses, they were inadequate to prevent redox imbalance, cellular damage, and histopathological injuries in digestive tubules and gills. Regarding sperm, warming reduced reactive oxygen species (ROS) production but raised lipid peroxidation levels. Sperm exposed to this treatment also increased their oxygen consumption and exhibited reduced velocity. The IBRv2 indicated that Eu was the most harmful treatment for sperm, significantly increasing ROS production and notably decreasing sperm velocity. When combined with warming, Eu elevated superoxide anion (O2- ) production, lowered sperm velocity, and increased oxygen consumption. This study underscores the importance of investigating the effects of rare earth elements and their interaction with climate change-related factors.</t>
  </si>
  <si>
    <t>[Leite, Carla; Cuccaro, Alessia; Soares, Amadeu M. V. M.; Freitas, Rosa] Univ Aveiro, Dept Biol, P-3810193 Aveiro, Portugal; [Leite, Carla; Cuccaro, Alessia; Soares, Amadeu M. V. M.; Freitas, Rosa] Univ Aveiro, CESAM, P-3810193 Aveiro, Portugal; [Russo, Tania; Polese, Gianluca] Univ Naples Federico II, Dept Biol, I-80126 Naples, Italy; [Pinto, Joao; Pereira, Eduarda] Univ Aveiro, Dept Chem, P-3810193 Aveiro, Portugal; [Pinto, Joao; Pereira, Eduarda] Univ Aveiro, LAQV REQUIMTE, P-3810193 Aveiro, Portugal; [Pretti, Carlo] Univ Pisa, Dept Vet Sci, I-56122 Pisa, Italy; [Pretti, Carlo] Interuniv Consortium Marine Biol Leghorn G Bacci, I-57128 Livorno, Italy</t>
  </si>
  <si>
    <t>Universidade de Aveiro; Universidade de Aveiro; University of Naples Federico II; Universidade de Aveiro; Universidade de Aveiro; University of Pisa; Consorzio per il Centro Interuniversitario di Biologia Marina ed Ecologia Applicata G. Bacci</t>
  </si>
  <si>
    <t>Russo, Tania/AHA-0304-2022; Polese, Gianluca/F-3496-2013; Pinto, João/ABF-8890-2021; Leite, Carla/F-1683-2019; Cuccaro, Alessia/AAN-4418-2020; Freitas, Rosa/A-7539-2012</t>
  </si>
  <si>
    <t>Freitas, Rosa/0000-0003-4900-3897</t>
  </si>
  <si>
    <t>REQUIMTE [UIDB/50006/2020]; CESAM [UIDP/50017/2020 + UIDB/50017/2020 + LA/P/0094/2020]; Portuguese Science Foundation (Fundacao para a Ciencia e a Tecnologia, FCT)</t>
  </si>
  <si>
    <t>REQUIMTE; CESAM; Portuguese Science Foundation (Fundacao para a Ciencia e a Tecnologia, FCT)(Fundacao para a Ciencia e a Tecnologia (FCT))</t>
  </si>
  <si>
    <t>Thanks are due for financial support to REQUIMTE (UIDB/50006/2020) and CESAM (UIDP/50017/2020 + UIDB/50017/2020 + LA/P/0094/2020) . Carla Leite, Joao Pinto, and Alessia Cuccaro acknowledge their Ph.D. grant (https://doi.org/10.54499/2020.05296.BD, https://d oi.org/10.54499/2020.05323.BD and https://doi.org/10.54499/PD/BD/150609/2020, respectively) by the National Funds through the Portuguese Science Foundation (Fundacao para a Ciencia e a Tecnologia, FCT) .</t>
  </si>
  <si>
    <t>10.1016/j.marenvres.2024.106666</t>
  </si>
  <si>
    <t>D2Y6I</t>
  </si>
  <si>
    <t>WOS:001294896800001</t>
  </si>
  <si>
    <t>Bour, A; Haarr, A; Keiter, S; Hylland, K</t>
  </si>
  <si>
    <t>Bour, Agathe; Haarr, Ane; Keiter, Steffen; Hylland, Ketil</t>
  </si>
  <si>
    <t>Environmentally relevant microplastic exposure affects sediment-dwelling bivalves</t>
  </si>
  <si>
    <t>Polyethylene; Ecotoxicity; Benthic bivalves; Environmental conditions; Energy reserves</t>
  </si>
  <si>
    <t>ABRA-NITIDA MULLER; LONGICALLUS SCACCHI BIVALVIA; CELLULAR-ENERGY ALLOCATION; MYTILUS-EDULIS L.; ARENICOLA-MARINA; POLYSTYRENE MICROPLASTICS; SCROBICULARIA-PLANA; CERASTODERMA-EDULE; FEEDING-BEHAVIOR; SEA SCALLOP</t>
  </si>
  <si>
    <t>Most microplastics are expected to sink and end up in marine sediments. However, very little is known concerning their potential impact on sediment-dwelling organisms. We studied the long-term impact of microplastic exposure on two sediment-dwelling bivalve species. Ennucula tenuis and Abra nitida were exposed to polyethylene microparticles at three concentrations (1; 10 and 25 mg/kg of sediment) for four weeks. Three size classes (4-6; 20-25 and 125-500 mu m) were used to study the influence of size on microplastic ecotoxicity. Microplastic exposure did not affect survival, condition index or burrowing behaviour in either bivalve species. However, significant changes in energy reserves were observed. No changes were observed in protein, carbohydrate or lipid contents in E. tenuis, with the exception of a decrease in lipid content for one condition. However, total energy decreased in a dose-dependent manner for bivalves exposed to the largest particles. To the contrary, no significant changes in total energy were observed for A. nitida, although a significant decrease of protein content was observed for individuals exposed to the largest particles, at all concentrations. Concentration and particle size significantly influenced microplastic impacts on bivalves, the largest particles and higher concentrations leading to more severe effects. Several hypotheses are presented to explain the observed modulation of energy reserves, including the influence of microplastic size and concentration. Our results suggest that long-term exposure to microplastics at environmentally relevant concentrations can impact marine benthic biota. (C) 2018 Elsevier Ltd. All rights reserved.</t>
  </si>
  <si>
    <t>[Bour, Agathe; Haarr, Ane; Hylland, Ketil] Univ Oslo, Dept Biosci, Blindernveien 31, N-0371 Oslo, Norway; [Keiter, Steffen] Orebro Univ, Man Technol Environm Res Ctr, Sch Sci &amp; Technol, Fakultetsgatan 1, S-70182 Orebro, Sweden</t>
  </si>
  <si>
    <t>University of Oslo; Orebro University</t>
  </si>
  <si>
    <t>Bour, A (corresponding author), Univ Oslo, Dept Biosci, Blindernveien 31, N-0371 Oslo, Norway.</t>
  </si>
  <si>
    <t>agathe.bour@ibv.uio.no</t>
  </si>
  <si>
    <t>Keiter, Steffen/0000-0002-2356-6686; Hylland, Ketil/0000-0001-5453-2932</t>
  </si>
  <si>
    <t>EU JPI-Oceans programme [project EPHEMARE]; Research Council of Norway [257902]</t>
  </si>
  <si>
    <t>EU JPI-Oceans programme [project EPHEMARE]; Research Council of Norway(Research Council of Norway)</t>
  </si>
  <si>
    <t>This work was supported by the EU JPI-Oceans programme [project EPHEMARE] and the Research Council of Norway [grant number 257902].</t>
  </si>
  <si>
    <t>10.1016/j.envpol.2018.02.006</t>
  </si>
  <si>
    <t>GB6OC</t>
  </si>
  <si>
    <t>WOS:000429187500068</t>
  </si>
  <si>
    <t>Kumar, BNV; Löschel, LA; Imhof, HK; Löder, MGJ; Laforsch, C</t>
  </si>
  <si>
    <t>Kumar, B. N. Vinay; Loeschel, Lena A.; Imhof, Hannes K.; Loeder, Martin G. J.; Laforsch, Christian</t>
  </si>
  <si>
    <t>Analysis of microplastics of a broad size range in commercially important mussels by combining FTIR and Raman spectroscopy approaches</t>
  </si>
  <si>
    <t>Microplastic (MP); Mussels; Micro-FTIR spectroscopy; Micro-Raman spectroscopy; Enzymatic digestion; Random forest classification (RFC)</t>
  </si>
  <si>
    <t>MARINE-ENVIRONMENT; PLASTIC DEBRIS; IDENTIFICATION; INGESTION; WILD; SEA; QUANTIFICATION; NANOPARTICLES; ACCUMULATION; POLLUTION</t>
  </si>
  <si>
    <t>Microplastic (MP) contamination is present in the entire marine environment from the sediment to the water surface and down to the deep sea. This ubiquitous presence of MP particles opens the possibility for their ingestion by nearly all species in the marine ecosystem. Reports have shown that MP particles are present in local commercial seafood species leading to the possible human ingestion of these particles. However, due to a lack of harmonized methods to identify microplastics (MPs), results from different studies and locations can hardly be compared. Hence, this study was aimed to detect, quantify, and estimate MP contamination in commercially important mussels originating from 12 different countries distributed worldwide. All mussels were obtained from supermarkets and were intended for human consumption. Using a combinatorial approach of focal plane array (FPA)-based micro- Fourier-transform infrared (FTIR) spectroscopy and micro-Raman spectroscopy allowed the detection and characterization of MP down to a size of 3 mu m in the investigated mussels. Further, a gentle sample purification method based on enzymes has been modified in order to optimize the digestion of organic material in mussels. A random forest classification (RFC) approach, which allows a rapid discrimination between different polymer types and thus fast generation of data on MP abundance and size distributions with high accuracy, was implemented in the analytical pipeline for IR spectra. Additionally, for the first time we also applied a RFC approach for the automated characterization of Raman spectra of MPs. (C) 2020 Elsevier Ltd. All rights reserved.</t>
  </si>
  <si>
    <t>[Kumar, B. N. Vinay; Loeschel, Lena A.; Imhof, Hannes K.; Loeder, Martin G. J.; Laforsch, Christian] Univ Bayreuth, Anim Ecol 1, Univ Str 30, D-95440 Bayreuth, Germany; [Kumar, B. N. Vinay; Loeschel, Lena A.; Imhof, Hannes K.; Loeder, Martin G. J.; Laforsch, Christian] Univ Bayreuth, BayCEER, Univ Str 30, D-95440 Bayreuth, Germany; [Imhof, Hannes K.] Tech Univ Munich, Sch Life Sci Weihenstephan, Aquat Syst Biol Unit, Muhlenweg 22, D-85354 Freising Weihenstephan, Germany</t>
  </si>
  <si>
    <t>University of Bayreuth; University of Bayreuth; Technical University of Munich</t>
  </si>
  <si>
    <t>Laforsch, C (corresponding author), Univ Bayreuth, Anim Ecol 1, Univ Str 30, D-95440 Bayreuth, Germany.</t>
  </si>
  <si>
    <t>christian.laforsch@uni-bayreuth.de</t>
  </si>
  <si>
    <t>Laforsch, Christian/JOZ-3270-2023; Imhof, Hannes/HDN-2781-2022; Löder, Martin/HDM-8961-2022; Kumar Boppana, Narendra/HJI-7066-2023</t>
  </si>
  <si>
    <t>Imhof, Hannes/0009-0005-4594-4819</t>
  </si>
  <si>
    <t>10.1016/j.envpol.2020.116147</t>
  </si>
  <si>
    <t>PN4CS</t>
  </si>
  <si>
    <t>WOS:000604429000072</t>
  </si>
  <si>
    <t>Abdelhady, AA; Hassan, HF; Balboul, BAA; Abdel-Raheem, KHM; Abu Shama, A; Ahmed, M; Hussain, AM</t>
  </si>
  <si>
    <t>Abdelhady, Ahmed Awad; Hassan, Hatem F.; Balboul, Basma A. A.; Abdel-Raheem, Khalaf H. M.; Abu Shama, Aziz; Ahmed, Mohamed; Hussain, Ali M.</t>
  </si>
  <si>
    <t>Taphonomic damage of molluscan shells in the Nile Delta under natural and anthropogenic sources of environmental variability</t>
  </si>
  <si>
    <t>Taphonomic processes; Molluscan shells; Environmental conditions; Nile Delta; Preservation</t>
  </si>
  <si>
    <t>METAL POLLUTION; FRESH-WATER; DEATH ASSEMBLAGES; BIVALVE TAPHONOMY; LAKE BURULLUS; RED-SEA; CARBONATE; PRESERVATION; SEDIMENTS; LAGOON</t>
  </si>
  <si>
    <t>Environmental reconstruction can benefit from the interpretation of the postmortem history of shell remains. The molluscan death assemblages obtained from grab samples at forty-nine sites in the Manzala lagoon, the largest lagoon in the Nile Delta, were analyzed to infer the taphonomic alteration. The preservation of shells at each site has been semi-quantitatively ranked based on the taphonomic features formed by encrustation, bioerosion, abrasion, dissolution, precipitation, fragmentation, discoloration, and loss of sheen (low, moderate, high). A significant difference has been observed between sites of low and high environmental stress. Water depth and substrate type (hydrodynamics) correlate significantly to the percent number of altered shells. The southern parts of the lagoon, which are characterized by lower water energy and higher rates of sedimentation, are highly polluted by heavy metals (Cd, Pb, Zn) and organic pollutants. The southern parts receive much sediment from the agricultural drains, which increases burial of shelly material and decreases their time on the TAZ. The northern parts of the lagoon have slower rates of sedimentation, so that the molluscan shells remain longer at the sediment-water interface (Taphonomic Active zone; TAZ), where fragmentation is enhanced by winnowing under higher water-energy. The long residence in the TAZ also favored both bioerosion (Trypanites and Oichnus) and encrustation by bryozoan colonies, polychaetes, and oysters. Therefore, the taphonomic processes have the potential to cause severe damage and taphonomic loss of shell materials. Chemical dissolution and precipitation of shell remains may be related to acidic pore water. Moreover, high alkalinities in the southern polluted parts may also reduce the dissolution in contrast to the acidic water in the northern parts of the lagoon.</t>
  </si>
  <si>
    <t>[Abdelhady, Ahmed Awad; Abdel-Raheem, Khalaf H. M.; Hussain, Ali M.] Minia Univ, Fac Sci, Geol Dept, Menia 61519, Egypt; [Hassan, Hatem F.] Port Said Univ, Fac Sci, Geol Dept, Port Said 42522, Egypt; [Balboul, Basma A. A.] Jouf Univ, Coll Sci, Dept Chem, POB 2014, Sakaka, Aljouf, Saudi Arabia; [Abu Shama, Aziz] Kafrelsheikh Univ, Fac Sci, Dept Geol, Kafr Al Sheikh 33516, Egypt; [Abdel-Raheem, Khalaf H. M.] Chinese Acad Sci, Inst Earth Environm, State Key Lab Loess &amp; Quaternary Geol, Xian 710061, Peoples R China; [Abdel-Raheem, Khalaf H. M.] Chinese Acad Sci Univ, Beijing 100049, Peoples R China; [Ahmed, Mohamed] Univ Vienna, Dept Pharmacol, Althanstr 14, A-1090 Vienna, Austria</t>
  </si>
  <si>
    <t>Egyptian Knowledge Bank (EKB); Minia University; Egyptian Knowledge Bank (EKB); Port Said University; Al Jouf University; Egyptian Knowledge Bank (EKB); Kafrelsheikh University; Chinese Academy of Sciences; Institute of Earth Environment, CAS; University of Vienna</t>
  </si>
  <si>
    <t>Abdelhady, AA (corresponding author), Minia Univ, Fac Sci, Geol Dept, Menia 61519, Egypt.</t>
  </si>
  <si>
    <t>ahmed.abdelhady@mu.edu.eg</t>
  </si>
  <si>
    <t>Balboul, Basma/AAM-7633-2021; Hassan, Hatem/JAA-9497-2023; Ahmed, Mohamed/GQP-1116-2022; Abdel-Raheem, Khalaf/AAE-6472-2022; Abdelhady, Ahmed/H-2144-2013</t>
  </si>
  <si>
    <t>Abdelhady, Ahmed/0000-0003-4438-8572</t>
  </si>
  <si>
    <t>10.1016/j.jafrearsci.2023.105159</t>
  </si>
  <si>
    <t>FH7D7</t>
  </si>
  <si>
    <t>WOS:001144928400001</t>
  </si>
  <si>
    <t>Bustamante, P; Grigioni, S; Boucher-Rodoni, R; Caurant, F; Miramand, P</t>
  </si>
  <si>
    <t>Bioaccumulation of 12 trace elements in the tissues of the nautilus Nautilus macromphalus from New Caledonia</t>
  </si>
  <si>
    <t>New Caledonia; trace metals; cephalopods; digestive gland; Nautilus</t>
  </si>
  <si>
    <t>CEPHALOPOD OCTOPUS-VULGARIS; SQUID NOTOTODARUS-GOULDI; NORTHERN TYRRHENIAN SEA; ELEDONE-CIRRHOSA; HEAVY-METALS; SEPIA-OFFICINALIS; DIGESTIVE GLAND; CADMIUM; COPPER; ASSOCIATION</t>
  </si>
  <si>
    <t>Soils in New Caledonia are particularly rich in metals among which Fe and Ni are intensively exploited. Due to important natural erosion in tropical latitudes and to mining activities, coastal waters are enriched in Co, Cr, Fe and Ni, In deeper waters lives a cephalopod species which is considered as a living fossil, the nautilus Nautilas macromphalus. In this study, 12 trace elements were analysed in the tissues of 4 nautilus specimens. Results showed high metal concentrations compared to data available for cephalopods from temperate waters. These concentrations were often in the same order as those encountered in bivalves or gastropods from contaminated areas. Relatively high concentrations of Ni and Cr in the haemolymph strongly suggest a high exposure of N. macromphalus to these metals. Among the tissues, the digestive gland has the highest concentrations of Cd, Co, Fe, V and Zn while for Ag, Al, As, Cr and Ni, renal and pericardial appendages exhibited the highest values. Despite this, the digestive gland contained the largest quantities of all metals with the exception of As and Mn which were mainly found in the body muscular remains. These results highlighted the major role of digestive gland and excreting organs in the metabolism of metals in these cephalopod species. (C) 2000 Elsevier Science Ltd. All rights reserved.</t>
  </si>
  <si>
    <t>Univ La Rochelle, Lab Biol &amp; Environm Marins, F-17042 La Rochelle, France; Museum Natl Hist Nat, Lab Biol Invertebres Marins &amp; Malacol, URA CNRS 699, F-75231 Paris 03, France</t>
  </si>
  <si>
    <t>La Rochelle Universite; Museum National d'Histoire Naturelle (MNHN)</t>
  </si>
  <si>
    <t>Univ La Rochelle, Lab Biol &amp; Environm Marins, Ave Michel Crepeau, F-17042 La Rochelle, France.</t>
  </si>
  <si>
    <t>paco.bustamante@univ-lr.fr</t>
  </si>
  <si>
    <t>10.1016/S0025-326X(00)00005-9</t>
  </si>
  <si>
    <t>346UL</t>
  </si>
  <si>
    <t>WOS:000088889400016</t>
  </si>
  <si>
    <t>Outa, JO; Hörweg, C; Avenant-Oldewage, A; Jirsa, F</t>
  </si>
  <si>
    <t>Outa, James Omondi; Hoerweg, Christoph; Avenant-Oldewage, Annemarie; Jirsa, Franz</t>
  </si>
  <si>
    <t>Neglected symbionts and other metazoan invertebrates associated with molluscs from Africa's largest lake: Diversity, biotic interactions and bioindication</t>
  </si>
  <si>
    <t>FRESHWATER BIOLOGY</t>
  </si>
  <si>
    <t>bioindicator; competitive exclusion; co-occurrence; Lake Victoria; pollution effect</t>
  </si>
  <si>
    <t>CHAETOGASTER-LIMNAEI-LIMNAEI; LANISTES-OVUM PETERS; FRESH-WATER MUSSELS; POPULATION-DYNAMICS; DAUBAYLIA-POTOMACA; MANTLE CAVITY; MITES ACARI; TREMATODE; PARASITE; HOST</t>
  </si>
  <si>
    <t>Freshwater molluscs are hosts for diverse metazoan symbionts. However, apart from the digenean helminths, symbionts of molluscs are underreported worldwide. Therefore, this study focused on the diversity of oligochaetes, leeches, mites, insect larvae and nematodes associated with gastropods and bivalves from Lake Victoria, East Africa. Overall, 1,633 mollusc specimens representing 14 species were sampled from the Kenyan part of the lake. Each host specimen was examined to determine co-occurrence of symbionts (including digeneans) and other metazoan invertebrates, and their microhabitat preferences on/in the hosts. In addition, prevalence and abundance of symbionts were compared for molluscs obtained from an unpolluted site, and sites that are eutrophic and polluted with heavy metals. In total, 33 species were recovered from the molluscs: six oligochaetes, four insects, two mites, two nematodes, one leech and 18 digeneans. The nematode Daubaylia potomaca, mite Unionicola macani, leech Batracobdelloides sp., oligochaetes Chaetogaster limnaei, Dero digitata, Aulophorus africanus, Allonais paraguayensis and Ophidonais serpentina, and gorgoderid digenean larvae are new records for Lake Victoria. Moreover, the genus Bratislavia (Oligochaeta) is reported for the first time in Africa. Our results show that parasitic mites and leeches were absent from mollusc specimens that harboured chironomids. Likewise, there was no co-occurrence of C. limnaei, D. potomaca and digeneans, suggesting that antagonistic interactions occur between the symbionts. Although co-occurrence of mites and digeneans in individual mollusc hosts was common, the symbionts occupied different microhabitats. This study shows that prevalence and intensities of U. macani and C. limnaei, were significantly higher in hosts from the unpolluted site, compared with the polluted sites. What is more, D. potomaca and trichopteran larvae, were recorded only from the unpolluted site. The distribution of the chironomid Kiefferulus chloronatus suggests their preference for sites that are rich in organic matter and their ability to tolerate pollution. Information on antagonistic interactions between symbionts might be applicable in biocontrol, especially of digenean species that have veterinary or medical importance. Finally, this study shows a potential for the use of U. macani, C. limnaei, D. potomaca and insect larvae as discriminators of the quality of aquatic habitats.</t>
  </si>
  <si>
    <t>[Outa, James Omondi; Avenant-Oldewage, Annemarie; Jirsa, Franz] Univ Johannesburg, Dept Zool, Auckland Pk 8-2006, Johannesburg, South Africa; [Outa, James Omondi] Univ Vienna, Dept Funct &amp; Evolutionary Ecol, Vienna, Austria; [Hoerweg, Christoph] Nat Hist Museum Vienna, Dept Invertebrate Zool, Vienna, Austria; [Jirsa, Franz] Univ Vienna, Inst Inorgan Chem, Vienna, Austria</t>
  </si>
  <si>
    <t>University of Johannesburg; University of Vienna; University of Vienna</t>
  </si>
  <si>
    <t>Avenant-Oldewage, A (corresponding author), Univ Johannesburg, Dept Zool, Auckland Pk 8-2006, Johannesburg, South Africa.</t>
  </si>
  <si>
    <t>Outa, James/ADS-9580-2022; Avenant-Oldewage, Annemarie/A-7778-2011</t>
  </si>
  <si>
    <t>Jirsa, Franz/0000-0002-4926-3261; Outa, PhD, James Omondi/0000-0002-7187-0914; Avenant-Oldewage, Annemarie/0000-0001-8820-7679; Horweg, Christoph/0000-0002-8208-0758</t>
  </si>
  <si>
    <t>Austrian Agency for international cooperation in Education and Research; University of Johannesburg</t>
  </si>
  <si>
    <t>Austrian Agency for international cooperation in Education and Research; University of Johannesburg, Grant/Award Number: Postdoctoral Fellowship JMO</t>
  </si>
  <si>
    <t>0046-5070</t>
  </si>
  <si>
    <t>1365-2427</t>
  </si>
  <si>
    <t>FRESHWATER BIOL</t>
  </si>
  <si>
    <t>Freshw. Biol.</t>
  </si>
  <si>
    <t>10.1111/fwb.13998</t>
  </si>
  <si>
    <t>5X4DJ</t>
  </si>
  <si>
    <t>WOS:000860760500001</t>
  </si>
  <si>
    <t>Signa, G; Di Leonardo, R; Vaccaro, A; Tramati, CD; Mazzola, A; Vizzini, S</t>
  </si>
  <si>
    <t>Signa, Geraldina; Di Leonardo, Rossella; Vaccaro, Antonino; Tramati, Cecilia Doriana; Mazzola, Antonio; Vizzini, Salvatrice</t>
  </si>
  <si>
    <t>Lipid and fatty acid biomarkers as proxies for environmental contamination in caged mussels Mytilus galloprovincialis</t>
  </si>
  <si>
    <t>Lipids; Fatty acids; Mussel; Transplant; Contaminants; Augusta Bay</t>
  </si>
  <si>
    <t>MARINE-SEDIMENTS; DIGESTIVE GLANDS; POLLUTION; QUALITY; BAY; HG; MERCURY; STRESS; EDULIS; GILLS</t>
  </si>
  <si>
    <t>Mussels (Mytilus galloprovincialis) were transplanted from a reference site (Syracuse harbour) to an impacted site (Augusta Bay) from January to July 2013 to assess the biochemical response of caged mussels to high trace element and polycyclic aromatic hydrocarbon (PAH) contamination, using lipid and fatty acid (FA) biomarkers. Sediment and mussels were analysed to assess contaminant bioavailability in the study sites and bioaccumulation in mussel tissue. Trace elements (As, Cd, Co, Cr, Cu, Hg, Mn, Ni, Pb, V, Zn) and PAHs were significantly higher in mussels from Augusta than in those from Syracuse, mirroring the different environmental contamination. The biological impact quotient (BIQs), which indicates the potential biological impact of mussel-accumulated contaminants, reflected the highest contaminant concentrations found in Augusta and their temporal trend, which increased from the start of the experiment to 3-4 months after transplanting, followed by a decrease, as indication of mussel detoxification processes. Lower condition index (Cl) and phospholipids (PL), as well as higher total (TL) and neutral lipids (NL) in mussels from Augusta, indicated the occurrence of a physiological and biochemical stress response to pollutant exposure and accumulation. Differences in FA composition, especially polyunsaturated (PUFA), essential (EFA) and non-methylene interrupted dienoic (NMID) FAs between the study sites revealed the occurrence of stress-induced lipid peroxidation, followed by compensatory/adaptive processes in Augusta mussels. The marked increase in bacterial biomarkers, mainly cyclopropyl (CV) FAs, reflecting the greater bioaccumulation of chemicals in the Augusta mussels, may be the result of bacterial infections or symbiosis with bacteria involved in detoxification processes. (C) 2015 Elsevier Ltd. All rights reserved.</t>
  </si>
  <si>
    <t>[Signa, Geraldina; Di Leonardo, Rossella; Vaccaro, Antonino; Tramati, Cecilia Doriana; Mazzola, Antonio; Vizzini, Salvatrice] Univ Palermo, Dept Earth &amp; Marine Sci, CoNISMa, I-90123 Palermo, Italy</t>
  </si>
  <si>
    <t>University of Palermo; CoNISMa</t>
  </si>
  <si>
    <t>Signa, G (corresponding author), Univ Palermo, Dept Earth &amp; Marine Sci, CoNISMa, Via Archirafi 18, I-90123 Palermo, Italy.</t>
  </si>
  <si>
    <t>geraldina.signa@unipa.it</t>
  </si>
  <si>
    <t>Signa, Geraldina/AAQ-9090-2020; Signa, Geraldina/G-3357-2017</t>
  </si>
  <si>
    <t>Signa, Geraldina/0000-0003-2171-3299</t>
  </si>
  <si>
    <t>Italian Ministry of Education, University and Research [PON01_03112]</t>
  </si>
  <si>
    <t>Italian Ministry of Education, University and Research(Ministry of Education, Universities and Research (MIUR))</t>
  </si>
  <si>
    <t>This work contributes to the PON01_03112 project Tecnologie avanzate eco-sostenibili finalizzate alla bonifica ed al ripristino di aree marine costiere degradate (TETIDE) and the Flagship Project RITMARE - Italian Research for the Sea funded by the Italian Ministry of Education, University and Research. The authors are grateful to the cooperative Onda Blu for its logistic support in mussels caging, A. Savona and P. Scariano for the help during field activities and S. Campo for laboratory analyses.</t>
  </si>
  <si>
    <t>10.1016/j.ecolind.2015.05.002</t>
  </si>
  <si>
    <t>CN0GJ</t>
  </si>
  <si>
    <t>WOS:000358091800044</t>
  </si>
  <si>
    <t>Sunitha, TG; Monisha, V; Sivanesan, S; Vasanthy, M; Prabhakaran, M; Omine, K; Sivasankar, V; Darchen, A</t>
  </si>
  <si>
    <t>Sunitha, T. G.; Monisha, V; Sivanesan, S.; Vasanthy, M.; Prabhakaran, M.; Omine, K.; Sivasankar, V; Darchen, A.</t>
  </si>
  <si>
    <t>Micro-plastic pollution along the Bay of Bengal coastal stretch of Tamil Nadu, South India</t>
  </si>
  <si>
    <t>Microplastics; Microscopic quantification; SEM/EDS; FTIR</t>
  </si>
  <si>
    <t>MICROPLASTIC POLLUTION; MARINE-ENVIRONMENT; FT-IR; POLYPROPYLENE; ABUNDANCE; SEDIMENTS; FIBERS; ACCUMULATION; CONTAMINANTS; BIVALVES</t>
  </si>
  <si>
    <t>In the present-day context, micro-plastic particles in a marine environment are increasingly ubiquitous and of considerable persistence. In line with the micro-plastic pollution, the present contribution is devoted to the investigation of micro-plastic particles (MPs) along the urban sandy beach called Marina, the renowned longest beach in India. Along the sea coast of about 5 km, the quantification of micro-plastic particles using optical microscope evidenced the granular, filamentous, filmy and tubular fragments in a total of 72 marine samples including those filtered in the marine water column (WAT; 24 samples), those found in wet sediment (WET; 24 samples) and those found in dry sand (DSS; 24 samples). The filamentous-typed plastics of 79%, 57% and 52%, respectively in WET, WAT and DSS dominated over the other granular and tubular types. The micro-plastic particles were in the range of 60-820 items per m(3), 60-1620 items per kg and 20-1540 items per kg for WAT, WET and DSS, respectively. The standard deviation for the microplastics abundance were 193.1, 396.6 and 364.6 for WAT, WET and DSS respectively. Upon visual inspection, the micro particles were observed in eight different colors and most of the samples were found to contain two different fragment types. Apart from the optical microscopic examination, the micro-plastics particles were studied by scanning electron microscope (SEM) coupled with elemental analysis by energy dispersive spectroscopy (EDS). The energy spectral graphs displayed that the microfilaments and micro-tubular particles contained polyesters and fluoro-polymers. The presence of few microfilaments of polypropylene and polyethylene was also evidenced from their atomic percentage values of carbon of about 88% and 93%, respectively. The presence of fluoro-polymers and polyesters was also confirmed by Fourier Transform Infra-Red (FTIR). Excepting the fluoro-polymers, the micro-plastics partides contained elements arising from sea water (Na,CI,S, Mg, Ca, K). Heavy metals such as Cu, Mn, Mo, Ru and Rh were observed in micro-tubular fragments. Fe and Ti elements were detected with the highest atomic percentage of 17.19 and 19.84 in micro-tubular fragments. All the observations and analyses give a photography of the nature and the spatial distribution of MN along this Indian beach. (C) 2020 Elsevier B.V. All rights reserved.</t>
  </si>
  <si>
    <t>[Sunitha, T. G.; Monisha, V; Sivanesan, S.; Sivasankar, V] Pachaiyappas Coll, Dept Chem, Chennai 600030, Tamil Nadu, India; [Sunitha, T. G.; Monisha, V; Sivanesan, S.; Prabhakaran, M.; Sivasankar, V] Univ Madras, Chennai 600005, Tamil Nadu, India; [Vasanthy, M.] Bharathidasan Univ, Sch Environm Sci, Dept Environm Biotechnol, Tiruchirappalli 620024, Tamil Nadu, India; [Prabhakaran, M.] Pachaiyappas Coll, Dept Bot, Chennai 600030, Tamil Nadu, India; [Omine, K.] Nagasaki Univ, Sch Engn, Dept Civil Engn, 1-14 Bunkyo Machi, Nagasaki 8528521, Japan; [Darchen, A.] Inst Sci Chim Rennes, ENSCR, UMR CNRS 6226, 11 Allee Beaulieu,CS 50837, F-35708 Rennes 7, France</t>
  </si>
  <si>
    <t>University of Madras; Bharathidasan University; Nagasaki University; Ecole Nationale Superieure de Chimie de Rennes (ENSCR); Centre National de la Recherche Scientifique (CNRS)</t>
  </si>
  <si>
    <t>Sivasankar, V (corresponding author), Pachaiyappas Coll, Dept Chem, Chennai 600030, Tamil Nadu, India.;Sivasankar, V (corresponding author), Univ Madras, Chennai 600005, Tamil Nadu, India.</t>
  </si>
  <si>
    <t>sivshri.20@gmail.com</t>
  </si>
  <si>
    <t>Venkataraman, Sivasankar/AAF-4285-2021</t>
  </si>
  <si>
    <t>Venkataraman, Sivasankar/0000-0003-3900-9021</t>
  </si>
  <si>
    <t>Region Bretagne; European Union (CPER-FEDER 2007-2014)</t>
  </si>
  <si>
    <t>Region Bretagne(Region Bretagne); European Union (CPER-FEDER 2007-2014)(European Union (EU))</t>
  </si>
  <si>
    <t>We would like to thank the heads of the collaborating institutes, named P.G. and Research Department of Chemistry of Pachaiyappa's College (Chennai, India), Nagasaki University (Japan), CNRS, National College of Chemistry (ENSCR, Rennes, France) and Bharathidasan University, Tiruchirappalli. Loic Joanny is acknowledged for EDS analyses which were performed at CMEBA (ScanMat, University of Rennes-1) which received a financial support from the Region Bretagne and European Union (CPER-FEDER 2007-2014).</t>
  </si>
  <si>
    <t>10.1016/j.scitotenv.2020.144073</t>
  </si>
  <si>
    <t>PM0FY</t>
  </si>
  <si>
    <t>WOS:000603487500120</t>
  </si>
  <si>
    <t>Lu, WC; Chiu, CS; Hsieh, CW; Chan, YJ; Liang, ZC; Wang, CCR; Mulio, AT; Le, DHT; Li, PH</t>
  </si>
  <si>
    <t>Lu, Wen-Chien; Chiu, Chien-Shan; Hsieh, Chang-Wei; Chan, Yung-Jia; Liang, Zeng-Chin; Wang, Chiun-C. Roger; Mulio, Amanda Tresiliana; Le, Dung Huynh Thi; Li, Po-Hsien</t>
  </si>
  <si>
    <t>Calcined Oyster Shell Powder as a Natural Preservative for Maintaining Quality of White Shrimp (Litopenaeus vannamei)</t>
  </si>
  <si>
    <t>white shrimp; natural preservatives; calcined oyster shell powder; total volatile basic nitrogen; shelf-life</t>
  </si>
  <si>
    <t>CHITOSAN; COATINGS; EXTRACT; LIFE; RETARDATION; EXTENSION; FILLETS; WASTE; FILM</t>
  </si>
  <si>
    <t>Simple Summary The Food and Agriculture Organization of the United Nations (FAO) indicated that the average global production of oyster shell waste for the year 2019 was 3.08 million tons. Many serious problems include the emission of displeasing odors and pollution of the seaside, which are harmful to the environment. Nonetheless, a solution for this issue would be to reuse the waste and produce a product that has economic benefits and solves the environmental problems. Using calcined oyster shells as a natural preservative might solve the problem of oyster shell waste. In this study, we used calcined oyster shell powder (COSP) as a natural preservative for improving shrimp shelf-life during 12 days under refrigerated conditions. As compared with the control, COSP treatment effectively retarded pH change, reduced the formation of total volatile basic nitrogen, and inhibited bacterial growth during refrigerated storage. The development of preservatives for aquatic products is expected to delay the growth of and spoilage by microorganisms in the refrigerated state, thus providing more barrier protection for aquatic food safety. Oyster shell waste has led to many problems, including displeasing odors, pollution of the seaside, and harm to the environment. Using calcined oyster shells as a natural preservative might solve the problem of oyster shell waste. We studied the use of calcined oyster shell powder (COSP) as a natural preservative for improving shrimp shelf-life over 12 days under refrigerated conditions. As compared with the control, COSP treatment effectively retarded pH change, reduced the formation of total volatile basic nitrogen, and inhibited bacterial growth during refrigerated storage. In addition, shrimp muscle lipid oxidation measured by peroxide value (PV) and thiobarbituric acid (TBA) was decreased during storage. The quality was preserved up to 12 days with 2.0-4.0% COSP treatment as compared with only 6 days for un-treated shrimp. The development of preservatives for aquatic products is expected to delay growth of and spoilage by microorganisms in the refrigerated state, thus providing more barrier protection for aquatic food safety.</t>
  </si>
  <si>
    <t>[Lu, Wen-Chien] Chung Jen Jr Coll Nursing Hlth Sci &amp; Management, Dept Food &amp; Beverage Management, 217 Hung Mao Pi, Chiayi 60077, Taiwan; [Chiu, Chien-Shan] Taichung Vet Gen Hosp, Dept Dermatol, 1650 Sect,4 Taiwan Blvd, Taichung 40705, Taiwan; [Hsieh, Chang-Wei] Natl Chung Hsing Univ, Dept Food Sci &amp; Biotechnol, 145 Xingda Rd, Taichung 40227, Taiwan; [Chan, Yung-Jia] Da Yeh Univ, Coll Biotechnol &amp; Bioresources, 168 Univ Rd, Changhua 51591, Taiwan; [Liang, Zeng-Chin] Da Yeh Univ, Dept Med Bot &amp; Hlth Applicat, 168 Univ Rd, Changhua 51591, Taiwan; [Wang, Chiun-C. Roger; Mulio, Amanda Tresiliana; Li, Po-Hsien] Providence Univ, Dept Food &amp; Nutr, 200,Sect 7,Taiwan Blvd, Taichung 43301, Taiwan; [Le, Dung Huynh Thi] Ho Chi Minh City Univ Food Ind, Fac Food Sci &amp; Technol, 140 Le Trong Tan St,Tay Thanh Ward, Ho Chi Minh City 700000, Vietnam</t>
  </si>
  <si>
    <t>Taichung Veterans General Hospital; National Chung Hsing University; Da Yeh University; Da Yeh University; Providence University - Taiwan; Ho Chi Minh City University of Food Industry</t>
  </si>
  <si>
    <t>Li, PH (corresponding author), Providence Univ, Dept Food &amp; Nutr, 200,Sect 7,Taiwan Blvd, Taichung 43301, Taiwan.</t>
  </si>
  <si>
    <t>m104046@cjc.edu.tw; chienshan@vghtc.gov.tw; welson@nchu.edu.tw; chanyungjia@gmail.com; zcliang@mail.dyu.edu.tw; m104046@cjc.edu.tw; m104046@cjc.edu.tw; dunghtl@hufi.edu.vn; m104046@cjc.edu.tw</t>
  </si>
  <si>
    <t>Li, Po-Hsien/AAR-4618-2020; Hsieh, Chang-Wei/M-3890-2019</t>
  </si>
  <si>
    <t>Chiu, Chien-Shan/0000-0003-4864-9370; /0000-0001-9686-8434; Hsieh, Chang-Wei/0000-0002-0533-9762</t>
  </si>
  <si>
    <t>Mirthful Biotech Ltd.</t>
  </si>
  <si>
    <t>This work was financially supported by Mirthful Biotech Ltd.</t>
  </si>
  <si>
    <t>10.3390/biology11020334</t>
  </si>
  <si>
    <t>ZV6UN</t>
  </si>
  <si>
    <t>WOS:000770662900001</t>
  </si>
  <si>
    <t>de Guzman, MK; Andjelkovic, M; Jovanovic, V; Jung, J; Kim, J; Dailey, LA; Rajkovic, A; De Meulenaer, B; Velickovic, TC</t>
  </si>
  <si>
    <t>de Guzman, Maria Krishna; Andjelkovic, Mirjana; Jovanovic, Vesna; Jung, Jaehak; Kim, Juyang; Dailey, Lea Ann; Rajkovic, Andreja; De Meulenaer, Bruno; Velickovic, Tanja Cirkovic</t>
  </si>
  <si>
    <t>Comparative profiling and exposure assessment of microplastics in differently sized Manila clams from South Korea by μFTIR and Nile Red staining</t>
  </si>
  <si>
    <t>Manila clam; Nile red; mu FTIR; Fluorescence microscopy; Microplastics; Exposure</t>
  </si>
  <si>
    <t>MUSSEL MYTILUS-EDULIS; MOKPO COASTAL ZONE; SHELLFISH AQUACULTURE; PLASTIC DEBRIS; BIVALVES; QUANTIFICATION; INGESTION; ABUNDANCE; NANOPARTICLES; CONSTRUCTION</t>
  </si>
  <si>
    <t>The accumulation of microplastics in marine organisms is an emerging concern. Due to trophic transfer, the safety of seafood is under investigation in view of the potential negative effects of microplastics on human health. In this study, market samples of Manila clams (Ruditapes philippinarum) from South Korea were segregated into two groups of considerably different size (p &lt; 0.05), namely small clams with shell length of 40.69 +/- 3.97 mm, and large clams of shell length 51.19 +/- 2.86 mm. Comparative profiling of the number, size, shape, and polymer type of microplastics were performed using mu FTIR imaging and Nile red staining. Overall, mu FTIR detected only 1559 microplastics while 1996 microplastics were counted based on staining from 61 Manila clams (30 small and 31 large), leading to an overestimation of 18 to 75 %. Comparable microplastics concentration, based on mu FTIR, were observed at 2.70 +/- 1.66 MP/g or 15.64 +/- 9.25 MP/individual for the small samples, and 3.65 +/- 1.59 MP/g or 41.63 +/- 16.90 MP/individual for the large ones (p &gt; 0.05). Particle diameters of 20-100 mu m was the most dominant, accounting for 44.6 % and 46.5 % of all microplastics from the small and large groups, respectively. Particles, with a circularity (resemblance to a circle) value between 0.6 and 1.0, were the most prevalent, fololowed by fragments and fibers. At least 50 % of microplastics from the small and large samples were polystyrene, making it the most abundant polymer type. Despite the substantial difference in the size of the animals, only a weak to moderate correlation was observed between microplastics content and the physical attributes of the clams such as shell length and weight, (soft) tissue weight, and total weight (Spearman's coefficient &lt; 0.5). The estimated intake of microplastics by the Korean population was 1232 MP/person/year via small clams, 1663 MP/ person/year via large clams, and 1489 MP/person/year via clams independent of size.</t>
  </si>
  <si>
    <t>[de Guzman, Maria Krishna; Velickovic, Tanja Cirkovic] Univ Ghent, Ctr Food Chem &amp; Technol, Global Campus, Incheon, South Korea; [de Guzman, Maria Krishna; Rajkovic, Andreja; De Meulenaer, Bruno] Univ Ghent, Fac Biosci Engn, Dept Food Technol Safety &amp; Hlth, Ghent, Belgium; [Andjelkovic, Mirjana] Sciensano, Brussels, Belgium; [Jovanovic, Vesna] Univ Belgrade, Ctr Excellence Mol Food Sci, Fac Chem, Belgrade, Serbia; [Jung, Jaehak; Kim, Juyang] Korea Inst Analyt Sci &amp; Technol, Seoul, South Korea; [Dailey, Lea Ann] Univ Vienna, Dept Pharmaceut Sci, Vienna, Austria; [Velickovic, Tanja Cirkovic] Serbian Acad Arts &amp; Sci, Belgrade, Serbia</t>
  </si>
  <si>
    <t>Ghent University; Ghent University; Sciensano; University of Belgrade; University of Vienna; Serbian Academy of Sciences &amp; Arts</t>
  </si>
  <si>
    <t>Velickovic, TC (corresponding author), Univ Ghent, Ctr Food Chem &amp; Technol, Global Campus, Incheon, South Korea.</t>
  </si>
  <si>
    <t>tanja.velickovic@ghent.ac.kr</t>
  </si>
  <si>
    <t>Rajkovic, Andreja/H-5357-2013; Velickovic, Tanja/R-6751-2016</t>
  </si>
  <si>
    <t>Ghent University Global Campus; Special Research Fund (BOF) of Ghent University [01N01718]; Serbian Academy of Sciences and Arts Project [F-26]; Horizon2020 project FoodEnTwin [810752]; IMPTOX European Union [965173]</t>
  </si>
  <si>
    <t>Ghent University Global Campus; Special Research Fund (BOF) of Ghent University(Ghent University); Serbian Academy of Sciences and Arts Project; Horizon2020 project FoodEnTwin; IMPTOX European Union(European Union (EU))</t>
  </si>
  <si>
    <t>This study was supported by the Ghent University Global Campus; Special Research Fund (BOF) of Ghent University (grant number 01N01718); Serbian Academy of Sciences and Arts Project F-26; Horizon2020 project FoodEnTwin (grant number 810752); and IMPTOX European Union's Horizon 2020 research and innovation program (grant number 965173). We also thank Ho-min Park for services related to translating reports, websites, and other relevant documents from Korean to English.</t>
  </si>
  <si>
    <t>10.1016/j.marpolbul.2022.113846</t>
  </si>
  <si>
    <t>O5FS5</t>
  </si>
  <si>
    <t>WOS:001044073400004</t>
  </si>
  <si>
    <t>Ghosh, M; Mandal, S</t>
  </si>
  <si>
    <t>Ghosh, Moumita; Mandal, Sumit</t>
  </si>
  <si>
    <t>Deciphering the synergistic impact of elevated temperature and oil pollution on meiobenthic community structure: A benthocosm study</t>
  </si>
  <si>
    <t>Climate change; Elevated temperature; Diesel oil; Pollution; Meiobenthos; Free-living nematode</t>
  </si>
  <si>
    <t>POLYCYCLIC AROMATIC-HYDROCARBONS; CLIMATE-CHANGE; BIODIVERSITY RESPONSE; NEMATODE COMMUNITY; ORGANIC-MATTER; MEIOFAUNA; ESTUARINE; SEDIMENT; SPILL; ASSEMBLAGES</t>
  </si>
  <si>
    <t>Meiobenthos has been considered as an excellent tool for biomonitoring assessment. Elevated temperature and oil pollution are considered as the most pervasive aspects of global environmental changes and matter of concern for contemporary society. Presently, very limited information is available about the synergistic effect of these stressors on meiobenthic community structure and tolerance potential from tropical intertidal environment. Here, we assessed their impacts on meiobenthic community by conducting a 60 days long benthocosm experiment selecting three sets of temperature (25 degrees, 30 degrees and 35 degrees C) and two sets of diesel oil (low and high) combi nations. Gradual changes in their community composition were revealed discernibly with exposures to both the disturbances after 30 and 60 days of experimental period. Diversity profiles for the nematodes were less affected, but copepods showed a graded response of decreasing density with increasing dose of both the stressors. Other meiobenthic taxa such as halacarid mite, turbellaria and polycheate juveniles were adversely affected and eliminated from the treatments, howbeit abundance of ostracods, foraminiferans and bivalve settlers varied significantly. A 3-factor PERMANOVA indicated a significant effect of temperature, diesel, between their interaction and interaction among stressors and time on meiofaunal abundances. In case of free-living nematodes, temperature rise and diesel contamination synchronously led to an elimination of k-selected species like Halalaimus gracilis, H. longicaudatus, Oxystomina aesetosa and Pomponema sp. with a significant decrease in abundance of H. capitulatus and Oncholaimus sp. The r-selected species Daptonema invagiferoum, Sabatieria praedatrix, Theristus acer, Monhystera sp. and Thalassomonhystera sp. had endured even at high doses of diesel treatment in three different temperatures set up. The effects were evident in term of changes in life strategies with an increment of opportunistic species and increased trophic diversity of deposit feeders in treated sediments. Overall, elevated temperature together with diesel oil contamination were found to alter species dynamics within shallow intertidal meiobenthic communities, which might have significant Armageddon on benthic ecosystem functioning.</t>
  </si>
  <si>
    <t>[Ghosh, Moumita; Mandal, Sumit] Presidency Univ, Dept Life Sci, Marine Ecol Lab, 86-1 Coll St, Kolkata 700073, India</t>
  </si>
  <si>
    <t>Presidency University, Kolkata</t>
  </si>
  <si>
    <t>Mandal, Sumit/0000-0002-2147-9466; Ghosh, Moumita/0000-0001-7730-6372</t>
  </si>
  <si>
    <t>Ministry of Earth Sciences, Government of India [MoES/36/OOIS/Extra/24/2013]; FRPDF grant</t>
  </si>
  <si>
    <t>Ministry of Earth Sciences, Government of India(Ministry of Earth Science (MoES), Government of India); FRPDF grant</t>
  </si>
  <si>
    <t>Ministry of Earth Sciences, Government of India (Sanction No. MoES/36/OOIS/Extra/24/2013 dated 11.04.2016) and FRPDF grant to Sumit Mandal.</t>
  </si>
  <si>
    <t>10.1016/j.ecoenv.2020.111549</t>
  </si>
  <si>
    <t>OV8OP</t>
  </si>
  <si>
    <t>WOS:000592462300008</t>
  </si>
  <si>
    <t>Kontreczky, C; Farkas, A; Nemcsok, J; Salanki, J</t>
  </si>
  <si>
    <t>Short- and long-term effects of deltamethrin on filtering activity of freshwater mussel (Anodonta cygnea L.)</t>
  </si>
  <si>
    <t>ZOOPLANKTON COMMUNITIES; STREAM; PONDS</t>
  </si>
  <si>
    <t>Bioindicator methods were used to study the effects of the pyrethroid insecticide deltamethrin on the filtering behavior of the freshwater mussel Anodonta cygnea L in the laboratory, during short-term (30 min) and long-term (1 week) exposure, In the course of the short-term treatment, the water flow through the outflow syphon was monitored, It was found that 1 and 5 mu g/liter deltamethrin caused an increase, whereas from 10 to 50 mu g/liter deltamethrin resulted in a depression, in the open time of the outflow syphon and the water outflow, The inhibitory response was concentration dependent, In the long-term experiments, the valve movement representing the activity of the adductor muscles was recorded, At 1 mu g/liter, deltamethrin had no effect on the active period, but reduced the rest time, causing an increase in the filtration; all higher concentrations (10-50 mu g/liter) caused inhibition of the filtration activity by reducing the active periods and lengthening the rest periods, The active periods were shortened on increase in deltamethrin concentration, the reduction being 80% of the control at 50 mu g/liter. Lengthening of the rest periods led to a maximum (207% as compared with the control) at 15 mu g/liter, with a subsequent decline to levels close to the control at 30 and 50 mu g/liter. Nevertheless, due to the strong reduction of the active periods, the filtering activity remained depressed at higher concentrations, The results provide evidence that deltamethrin pollution may have an adverse effect on the functioning of the bivalve community in the aquatic environment, which should be considered when this chemical is used in agricultural areas near aquatic ecosystems, (C) 1997 Academic Press.</t>
  </si>
  <si>
    <t>Hungarian Acad Sci, Balaton Limnol Res Inst, H-8237 Tihany, Hungary; Attila Jozsef Univ, Dept Biochem, H-6701 Szeged, Hungary</t>
  </si>
  <si>
    <t>Hungarian Research Network; Hungarian Academy of Sciences; HUN-REN Centre for Ecological Research; HUN-REN Balaton Limnological Research Institute; Szeged University</t>
  </si>
  <si>
    <t>Kontreczky, C (corresponding author), Hungarian Acad Sci, Balaton Limnol Res Inst, POB 35, H-8237 Tihany, Hungary.</t>
  </si>
  <si>
    <t>10.1006/eesa.1997.1575</t>
  </si>
  <si>
    <t>YW221</t>
  </si>
  <si>
    <t>WOS:000071910600004</t>
  </si>
  <si>
    <t>Gagné, F; Blaise, C; Lachance, B; Sunahara, GI; Sabik, H</t>
  </si>
  <si>
    <t>Evidence of coprostanol estrogenicity to the freshwater mussel Elliptio complanata</t>
  </si>
  <si>
    <t>STEROLS; VITELLOGENIN; ANTARCTICA; MUNICIPAL; SEDIMENTS; STATION; CANADA; OYSTER; ASSAY</t>
  </si>
  <si>
    <t>Coprostanol (5 beta (H)-cholestan-3 beta ol) is a reduced metabolite of cholesterol produced by micro-organisms found in the intestinal tract of mammals. This substance abounds in urban effluents and is accumulated by organisms living in the vicinity of municipal effluent outfalls. In an earlier study, freshwater mussels exposed to contaminated river water for 62 days accumulated large quantities of coprostanol (Cop) in their soft tissues (16 mug/g dry wt.). Moreover, these mussels were found to have elevated levels of vitellin in their hemolymphs, suggesting estrogenic effects. Although municipal wastewaters are known to contain other estrogenic compounds capable of inducing Vn synthesis in mussels, the estrogenic potential of coprostanol was singled out for examination. To this end, mussels were first injected with concentrations of coprostanol via the abductor muscle route, and allowed to stand in aerated water for 72 h at 15 degreesC. The levels of Vn in mussel hemolymph were assayed using the organic alkali-labile phosphate method. A competitive estradiol-binding assay was then devised to measure the ability of coprostanol to compete in the binding of fluorescein-labeled estradiol-albumin to cytosolic proteins. Coprostanol partially reversed the binding of labeled estradiol-albumin to cytosolic proteins with an EC50 of 1 mM, In addition, injections of coprostanol and estradiol-17 beta led to increased levels of vitellins in the hemolymph of treated mussels. Moreover, incubation of cop in gonad homogenate extracts in the presence of NADPH led to the formation of two compounds, as determined by high-performance thin-layer chromatography. One of these compounds appears to be the C17 oxidation product of coprostanol, whose polarity is similar to that of estradiol. The results present evidence that coprostanol is estrogenic to freshwater mussels. (C) 2001 Elsevier Science Ltd. All rights reserved.</t>
  </si>
  <si>
    <t>St Lawrence Ctr, Montreal, PQ H2Y 2E7, Canada; Biotechnol Res Inst, Montreal, PQ H4P 2R2, Canada</t>
  </si>
  <si>
    <t>National Research Council Canada</t>
  </si>
  <si>
    <t>Gagné, F (corresponding author), St Lawrence Ctr, 7th Floor,105 McGill St, Montreal, PQ H2Y 2E7, Canada.</t>
  </si>
  <si>
    <t>10.1016/S0269-7491(01)00089-6</t>
  </si>
  <si>
    <t>WOS:000171238500011</t>
  </si>
  <si>
    <t>Alkan, N; Alkan, A; Demirak, A; Bahloul, M</t>
  </si>
  <si>
    <t>Alkan, Nigar; Alkan, Ali; Demirak, Ahmet; Bahloul, Moez</t>
  </si>
  <si>
    <t>Metals/metalloid in Marine Sediments, Bioaccumulating in Macroalgae and a Mussel</t>
  </si>
  <si>
    <t>Black Sea; Ceramium rubrum; mining; Mytilus galloprovincialis; Ulva intestinalis; Surmene Bay</t>
  </si>
  <si>
    <t>ECOLOGICAL RISK-ASSESSMENT; TRACE-METAL CONCENTRATIONS; BLACK-SEA COAST; HEAVY-METALS; SURFACE SEDIMENTS; MYTILUS-GALLOPROVINCIALIS; TURKISH COAST; IZMIT BAY; POLLUTION; CONTAMINATION</t>
  </si>
  <si>
    <t>The aim of the present work is to broaden our knowledge on the variability of metals and metalloid concentration levels in surface sediments, macroalgae and mollusc. Accordingly, As, Co, Cr, Cu, Mn, Mo, Ni, Pb, and Zn levels in surface sediments, marine macroalgae species (Ulva intestinalis and Ceramium rubrum) and mollusk (mussel Mytilus galloprovincialis) collected from nine stations along the Surmene Bay, Black Sea, Turkey, have been investigated using Inductively Coupled Plasma Mass Spectrometry (ICP-MS). Hence, higher concentration levels of As, Cu, Mn, Pb and Zn have been recorded in the sediments and macroalgae collected from the harbor area, largely exceeding those recorded in previous studies carried out in the Turkish Black Sea. Consequently, sampled sediments from such area have revealed the highest Contamination Factor (Cf) values as well as the highest Contamination Degree (CD) levels, signaling higher ecological risks. Furthermore, U. intestinalis has shown higher accumulation capacity than C. rubrum and M. galloprovincialis. The Target Hazard Quotient (THQ) and the Hazard Index (HI) have been carried out in order to evaluate the non-carcinogenic health risks posed by metals/metalloid via M. galloprovincialis consumption, revealing values below 1 for all sampling sites, indicating thus no adverse effects on human health.</t>
  </si>
  <si>
    <t>[Alkan, Nigar] Karadeniz Tech Univ, Fac Marine Sci, Trabzon, Turkey; [Alkan, Ali] Karadeniz Tech Univ, Inst Marine Sci &amp; Technol, Trabzon, Turkey; [Demirak, Ahmet] Mugla Sitki Kocman Univ, Fac Sci, Dept Chem, Mugla, Turkey; [Bahloul, Moez] Univ Sfax, Lab Sci Environm &amp; Dev Durable LASED, LR18ES32, Sfax, Tunisia</t>
  </si>
  <si>
    <t>Karadeniz Technical University; Karadeniz Technical University; Mugla Sitki Kocman University; Universite de Sfax</t>
  </si>
  <si>
    <t>Alkan, N (corresponding author), Karadeniz Tech Univ, Fac Marine Sci, Trabzon, Turkey.</t>
  </si>
  <si>
    <t>nalemdag@ktu.edu.tr</t>
  </si>
  <si>
    <t>Demirak, Ahmet/JZC-6725-2024; ALKAN, Nigar/ABB-6714-2020; Alkan, Ali/AAY-2132-2021</t>
  </si>
  <si>
    <t>ALKAN, ALI/0000-0002-3958-5208; ALKAN, NIGAR/0000-0001-9181-4285; Demirak, Ahmet/0000-0002-6815-8037</t>
  </si>
  <si>
    <t>10.1080/15320383.2020.1751061</t>
  </si>
  <si>
    <t>LM9US</t>
  </si>
  <si>
    <t>WOS:000532593600008</t>
  </si>
  <si>
    <t>Folsvik, N; Brevik, EM; Berge, JA</t>
  </si>
  <si>
    <t>Organotin compounds in a Norwegian fjord.: A comparison of concentration levels in semipermeable membrane devices (SPMDs), blue mussels (Mytilus edulis) and water samples</t>
  </si>
  <si>
    <t>TRIBUTYLTIN</t>
  </si>
  <si>
    <t>Monitoring concentrations of organic pollutants in water is essential to predict effects and to initiate preventive steps. Results from the analysis of water samples provide snapshots of a situation, whereas monitoring using semipermeable membrane devices (SPMDs) provides a time-integrated picture of the concentration of pollutants in water. In this investigation, SPMDs, caged mussels and water samples were used to monitor the levels of organotin compounds in the inner Oslofjord, Norway, over a period of 12 weeks. The work-up procedure for the analysis of organotins was optimised, focusing on the clean-up procedure using gel permeation chromatography (GPC). By using several GPC columns, as much as I g of triolein could be employed, This reduces the background emission noise on the baseline, leading to an improvement in the detection limits. The main uptake of tributyltin (TBT) in mussels and SPMDs levelled off after 14 days. A longer uptake period was indicated for SPMDs at stations with a high water concentration of TBT (5-10 ng Sri L-1) compared with those with a low water concentration of TBT (similar to1 ng Sri L-1). A concentration gradient was observed for water, SPMDs and mussels from the inner-most station close to Oslo harbour to the station further out in the fjord, indicating that the three analysed matrices give approximately the same pollution gradient. The bioconcentration factor (BCF) for TBT in mussels was in the range 12-14 000 (wet weight) and, for SPMDs, 10-12 000 (fat). A good correlation with the TBT water concentrations was achieved within a period of 14-30 days of exposure for mussels and after 2-3 months for SPMDs. A good correlation was also found between the TBT concentration in SPMDs and mussels at the end of the experiment. SPMDs can therefore be used to predict concentrations of TBT in both water and mussels.</t>
  </si>
  <si>
    <t>Norwegian Inst Water Res, N-0411 Oslo, Norway</t>
  </si>
  <si>
    <t>Norwegian Inst Water Res, POB 173 Kjelsas, N-0411 Oslo, Norway.</t>
  </si>
  <si>
    <t>john.berge@niva.no</t>
  </si>
  <si>
    <t>10.1039/b111158b</t>
  </si>
  <si>
    <t>544EQ</t>
  </si>
  <si>
    <t>WOS:000175145600020</t>
  </si>
  <si>
    <t>Wang, L; Luo, L; Luo, YY; Gu, Y; Ruan, DY</t>
  </si>
  <si>
    <t>Wang, Lang; Luo, Le; Luo, Yun-Yun; Gu, Yan; Ruan, Di-Yun</t>
  </si>
  <si>
    <t>Effects of Pb2+ on muscarinic modulation of glutamatergic synaptic transmission in rat hippocampal CA1 area</t>
  </si>
  <si>
    <t>NEUROTOXICOLOGY</t>
  </si>
  <si>
    <t>Pb2+; CCh; mAChRs; EPSCs; hippocampus</t>
  </si>
  <si>
    <t>LONG-TERM POTENTIATION; METHYL-D-ASPARTATE; CHRONIC LEAD-EXPOSURE; CHOLINERGIC INNERVATION; ALZHEIMERS-DISEASE; RECEPTOR PROTEINS; ENTORHINAL CORTEX; PYRAMIDAL CELLS; DENTATE GYRUS; IN-VIVO</t>
  </si>
  <si>
    <t>Lead (Pb2+) is a pollutant commonly found in the environment. It causes a wide variety of detrimental effects on developing central nervous system. However, the mechanisms of its neurotoxicity remained to be elucidated. In hippocampus, the muscarinic cholinergic system modulates certain forms of synaptic transmission and plasticity, and plays an important role in learning and memory. In this study, the effects of Pb2+ on muscarinic modulation of glutarnatergic synaptic transmission in hippocampal CA1 area were investigated using the conventional whole-cell patch-clamp technique in rat hippocampal slices. In the presence of nicotinic antagonist mecamylamine, carbachol (CCh), a cholinergic agonist, concentration-dependently inhibited glutamatergic excitatory postsynaptic currents (EPSCs), enhanced paired-pulse facilitation (PPF) and the response to 10-Hz pulse-trains. The analysis of the spontaneous excitatory postsynaptic currents (sEPSCs) showed the activation of muscarinic receptors by CCh decreased the frequency, amplitude and decay time of sEPSCs. The 10 mu M Pb2+ depressed the inhibition of EPSCs by CCh, reduced the CCh-induced enhancement of PPF and the response to 10-Hz pulse-trains, and also affected the modulation of sEPSCs by CCh. The results suggested that the activation of muscarinic acetylcholine (ACh) receptors in hippocampus could modulate glutarnatergic synaptic transmission, while Pb2+ exposure would lead to an alteration of muscarinic modulation, which might be involved in the Ph2+-induced impairment of synaptic transmission and plasticity during learning and memory. (c) 2007 Published by Elsevier Inc.</t>
  </si>
  <si>
    <t>Univ Sci &amp; Technol China, Sch Life Sci, Dept Neurobiol &amp; Biophys, Hefei 230027, Anhui, Peoples R China</t>
  </si>
  <si>
    <t>Chinese Academy of Sciences; University of Science &amp; Technology of China, CAS</t>
  </si>
  <si>
    <t>Ruan, DY (corresponding author), Univ Sci &amp; Technol China, Sch Life Sci, Dept Neurobiol &amp; Biophys, Hefei 230027, Anhui, Peoples R China.</t>
  </si>
  <si>
    <t>Gu, Yan/IWM-4746-2023; Gu, Yan/K-4702-2017</t>
  </si>
  <si>
    <t>Gu, Yan/0000-0001-5562-6279</t>
  </si>
  <si>
    <t>0161-813X</t>
  </si>
  <si>
    <t>Neurotoxicology</t>
  </si>
  <si>
    <t>10.1016/j.neuro.2006.11.003</t>
  </si>
  <si>
    <t>Neurosciences; Pharmacology &amp; Pharmacy; Toxicology</t>
  </si>
  <si>
    <t>Neurosciences &amp; Neurology; Pharmacology &amp; Pharmacy; Toxicology</t>
  </si>
  <si>
    <t>186WH</t>
  </si>
  <si>
    <t>WOS:000247808700008</t>
  </si>
  <si>
    <t>Spampinato, M; Siciliano, A; Travaglione, A; Chianese, T; Mileo, A; Libralato, G; Guida, M; Trifuoggi, M; De Gregorio, V; Rosati, L</t>
  </si>
  <si>
    <t>Spampinato, Marisa; Siciliano, Antonietta; Travaglione, Angela; Chianese, Teresa; Mileo, Aldo; Libralato, Giovanni; Guida, Marco; Trifuoggi, Marco; De Gregorio, Vincenza; Rosati, Luigi</t>
  </si>
  <si>
    <t>Unravelling the ecotoxicological impacts of gadolinium (Gd) on Mytilus galloprovincialis embryos and sperm in seawater: A preliminary study</t>
  </si>
  <si>
    <t>Gadolinium; Mussels; Toxicity; Reproduction; Sperm motility; Environmental pollution</t>
  </si>
  <si>
    <t>RARE-EARTH-ELEMENTS; ANTHROPOGENIC GADOLINIUM; SEA-URCHIN; RIVER WATERS; BLUE MUSSEL; TAP WATER; FERTILIZATION; LANTHANUM; MOTILITY; CADMIUM</t>
  </si>
  <si>
    <t>As the demand for rare earth elements (REEs) continues to surge in diverse industrial and medical domains, the ecological consequences of their ubiquitous presence have garnered heightened attention. Among the REEs, gadolinium (Gd), commonly used in medical imaging contrast agents, has emerged as a pivotal concern due to its inadvertent introduction into marine ecosystems via wastewater release. This study delves into the complex ecotoxicological implications of Gd contamination, focusing on its impact on the embryonic development and sperm functionality of Mytilus galloprovincialis. The findings from this study underscore the potential hazards posed by this rare element, offering a critical perspective on the ecological risks associated with Gd. Notably, this exploratory work reveals that Gd exerts a significant embryotoxic effect at elevated concentrations, with an observed half maximal effective concentration (EC50) value of 0.026 mg/ L. Additionally, Gd exposure leads to a considerable reduction in sperm motility and alters sperm morfo-kinetic parameters, especially at a concentration of 5.6 mg/L. The results highlight a dosedependent relationship between Gd exposure and the prevalence of specific malformation types in Mytilus embryos, further providing crucial insights into the potential risks imposed by this rare earth element.</t>
  </si>
  <si>
    <t>[Spampinato, Marisa; Siciliano, Antonietta; Travaglione, Angela; Chianese, Teresa; Mileo, Aldo; Libralato, Giovanni; Guida, Marco; De Gregorio, Vincenza; Rosati, Luigi] Univ Naples Federico II, Complesso Univ Monte St Angelo, Dept Biol, Via Cintia 4, I-80126 Naples, Italy; [Spampinato, Marisa; Guida, Marco] Natl Biodivers Future Ctr, NBFC, I-90133 Palermo, Italy; [Trifuoggi, Marco] Univ Naples Federico II, Complesso Univ Monte St Angelo, Dept Chem Sci, Via Vicinale Cupa Cintia 26, I-80126 Naples, Italy</t>
  </si>
  <si>
    <t>University of Naples Federico II; University of Naples Federico II</t>
  </si>
  <si>
    <t>Siciliano, A (corresponding author), Univ Naples Federico II, Complesso Univ Monte St Angelo, Dept Biol, Via Cintia 4, I-80126 Naples, Italy.</t>
  </si>
  <si>
    <t>antonietta.siciliano@unina.it</t>
  </si>
  <si>
    <t>trifuoggi, marco/0000-0002-6424-8676; Mileo, Aldo/0000-0002-1156-8107; Libralato, Giovanni/0000-0001-8507-900X</t>
  </si>
  <si>
    <t>NBFC - Italian Ministry of University and Research, PNRR, Missione 4 Componente 2, Dalla ricerca all'impresa, Investimento 1.4 [CN00000033]; Italian Ministry of University and Research, project AIM (Attraction and International mobility) linea 1 [AIM 1823408-2, CUP E69F19000080001]</t>
  </si>
  <si>
    <t>NBFC - Italian Ministry of University and Research, PNRR, Missione 4 Componente 2, Dalla ricerca all'impresa, Investimento 1.4; Italian Ministry of University and Research, project AIM (Attraction and International mobility) linea 1</t>
  </si>
  <si>
    <t>This project has received funding from the support of NBFC to National Biodiversity Future Center, funded by the Italian Ministry of University and Research, PNRR, Missione 4 Componente 2, Dalla ricerca all'impresa, Investimento 1.4, Project CN00000033.L.R. for this project used funds by the Italian Ministry of University and Research, project AIM (Attraction and International mobility) linea 1, AIM 1823408-2, CUP E69F19000080001.</t>
  </si>
  <si>
    <t>e31087</t>
  </si>
  <si>
    <t>10.1016/j.heliyon.2024.e31087</t>
  </si>
  <si>
    <t>D8G3E</t>
  </si>
  <si>
    <t>WOS:001298506500001</t>
  </si>
  <si>
    <t>Corsi, I; Tabaku, A; Nuro, A; Beqiraj, S; Marku, E; Perra, G; Tafaj, L; Baroni, D; Bocari, D; Guerranti, C; Cullaj, A; Mariottini, M; Shundi, L; Volpi, V; Zucchi, S; Pastore, AM; Iacocca, A; Trisciani, A; Graziosi, M; Piccinetti, M; Benincasa, T; Focardi, S</t>
  </si>
  <si>
    <t>Corsi, I.; Tabaku, A.; Nuro, A.; Beqiraj, S.; Marku, E.; Perra, G.; Tafaj, L.; Baroni, D.; Bocari, D.; Guerranti, C.; Cullaj, A.; Mariottini, M.; Shundi, L.; Volpi, V.; Zucchi, S.; Pastore, A. M.; Iacocca, A.; Trisciani, A.; Graziosi, M.; Piccinetti, M.; Benincasa, T.; Focardi, S.</t>
  </si>
  <si>
    <t>Ecotoxicological Assessment of Vlora Bay (Albania) by a Biomonitoring Study Using an Integrated Approach of Sublethal Toxicological Effects and Contaminant Levels in Bioindicator Species</t>
  </si>
  <si>
    <t>Biomonitoring; bioaccumulation; biomarkers; Vlora Bay; mussel; sea urchin; red mullet</t>
  </si>
  <si>
    <t>POLYCYCLIC AROMATIC-HYDROCARBONS; MUSSELS MYTILUS-GALLOPROVINCIALIS; ORGANIC POLLUTANTS; BRACKISH ECOSYSTEM; MARINE ORGANISMS; ORBETELLO LAGOON; ACETYLCHOLINESTERASE; SEA; BIOMARKER; COAST</t>
  </si>
  <si>
    <t>An integrated ecotoxicological study based on bioaccumulation and biomarker responses in sea urchin, mussel, and fish was conducted in Vlora Bay (Albania). Despite several past industrial activities and current increase of anthropogenic impact characterising Vlora Bay, no ecotoxicological data have been published so far, underlining the need to investigate the area and to validate the ecotoxicological approach. Heavy metals, polycyclic aromatic hydrocarbons (PAHs), organochlorine pesticides (OC), and polychlorinated biphenyls (PCBs) were measured in native sea urchin (Arbacia lixula), Mediterranean mussel (Mytilus galloprovincialis), and red mullet (Mullus barbatus). Several biomarkers such as expression of heat-shock proteins (HSP-70) in sea urchin (PCR), detoxification enzyme activities and apoptosis in mussels, and acetylcholinesterase (AChE) activity in mussels and red mullet were investigated. Overall, ecotoxicological data suggest an environmental quality of Vlora Bay resembling a marine protected area except for levels of Cd, Ni, and Hg in mussels and red mullet gonads; these results are in agreement with past industrial activities. OC pesticides were found to be below the detection limit in sea urchin. PCB levels were very low (4.13-13.87 ngg(-1) fresh weight) both in mussels and fish, while PAHs were similar to those reported for moderately impacted areas. No exposure to neurotoxic pesticides (physiological AChE activities) or to cytotoxic contaminants (low apoptosis frequency: &lt;1%) can be inferred both in mussels and fish.. Detoxification enzyme activities in mussels were highly similar compared with those reported for low-impact areas. The results of the present ecotoxicological study on Vlora Bay also support its suitability in environmental quality assessment of marine coastal areas.</t>
  </si>
  <si>
    <t>[Corsi, I.; Perra, G.; Baroni, D.; Guerranti, C.; Mariottini, M.; Volpi, V.; Zucchi, S.; Pastore, A. M.; Iacocca, A.; Trisciani, A.; Graziosi, M.; Piccinetti, M.; Benincasa, T.; Focardi, S.] Univ Siena, Dept Environm Sci G Sarfatti, I-53100 Siena, Italy; [Tabaku, A.; Tafaj, L.; Bocari, D.; Shundi, L.] Inst Publ Hlth, Tirana 10011028, Albania; [Nuro, A.; Marku, E.; Cullaj, A.] Univ Tirana, Dept Chem, Organ Chem Sect, Tirana 10011028, Albania; [Beqiraj, S.] Univ Tirana, Dept Biol, Zool Sect, Tirana 10011028, Albania</t>
  </si>
  <si>
    <t>University of Siena; University of Tirana (UT); University of Tirana (UT)</t>
  </si>
  <si>
    <t>Corsi, I (corresponding author), Univ Siena, Dept Environm Sci G Sarfatti, Via Mattioli 4, I-53100 Siena, Italy.</t>
  </si>
  <si>
    <t>mariottini, michela/H-7121-2012; Marku, Elda/KRP-6698-2024; Perra, Guido/H-7375-2012; corsi, ilaria/D-3795-2012</t>
  </si>
  <si>
    <t>10.2112/SI_58_11</t>
  </si>
  <si>
    <t>716GQ</t>
  </si>
  <si>
    <t>WOS:000286957500011</t>
  </si>
  <si>
    <t>Beiras, R; Fernández, N; Bellas, J; Besada, V; González-Quijano, A; Nunes, T</t>
  </si>
  <si>
    <t>Integrative assessment of marine pollution in Galician estuaries using sediment chemistry, mussel bioaccumulation, and embryo-larval toxicity bioassays</t>
  </si>
  <si>
    <t>Paracentrotus lividus; Mytilus galloprovincialis; Ciona intestinalis; trace metals; chlorinated organics; sediment toxicity bioassays</t>
  </si>
  <si>
    <t>WATER-QUALITY ASSESSMENT; SEA-URCHIN; SEWAGE-SLUDGE; NW SPAIN; SEAWATER; EMBRYOGENESIS; MERCURY; GROWTH; TRENDS; METALS</t>
  </si>
  <si>
    <t>An integrative assessment of environmental quality was carried out in selected sites along the Galician coast (NW Iberian Peninsula) combining analytical chemistry of seawater and sediments, bioaccumulation in the marine mussel, and embryo-larval sediment toxicity bioassays, in order to link biological and chemical criteria for the assessment of coastal pollution. Maximum values of Hg and Cu in seawater, sediment and mussels, were found in the inner part of Ria of Pontevedra, while maximum levels of organics (polychlorinated biphenyls, hexachlorobenzene and aldrin) were found in mussels from A Coruna. Outstanding values of Cu, Pb and Zn have been found in seawater and sediment from a single site, P3, which also was the most toxic in the embryo-larval bioassays performed with four different phyla of marine organisms: mollusks, echinoderms, arthropods and chordates. Sediment quality effects range-median values provided a valuable reference to predict biological effects from sediment chemistry data, while effects range-low values were too conservative. Sediment toxicity could also be predicted by using a toxic-unit model based on published EC50 values for trace metals and mobilization factors independently obtained from measurements of metal contents in sediments and their elutriates. When chemical and toxicological data are independently used to arrange sampling sites by using non-metric multidimensional scaling, a remarkable degree of concordance between both types of configurations could be observed. (C) 2003 Elsevier Science Ltd. All rights reserved.</t>
  </si>
  <si>
    <t>Univ Vigo, Dept Ecol &amp; Biol Anim, E-36200 Vigo, Galicia, Spain; Inst Espanol Oceanog, E-36200 Vigo, Galicia, Spain</t>
  </si>
  <si>
    <t>Universidade de Vigo; Spanish Institute of Oceanography</t>
  </si>
  <si>
    <t>Beiras, R (corresponding author), Univ Vigo, Dept Ecol &amp; Biol Anim, E-36200 Vigo, Galicia, Spain.</t>
  </si>
  <si>
    <t>Beiras, Ricardo/M-1680-2019; Fernández, Nuria/AAM-7639-2021; Nunes, Teresa/C-2057-2015; Bellas, Juan/N-1594-2015; Besada, Victoria/H-4532-2015</t>
  </si>
  <si>
    <t>Beiras, Ricardo/0000-0002-1010-2647; Nunes, Teresa/0000-0002-0950-0955; Bellas, Juan/0000-0001-6179-8528; Besada, Victoria/0000-0003-2039-6498; Fernandez, Nuria/0000-0002-3102-9696</t>
  </si>
  <si>
    <t>10.1016/S0045-6535(03)00364-3</t>
  </si>
  <si>
    <t>WOS:000183945500013</t>
  </si>
  <si>
    <t>Moleiro, P; Morais, T; Leite, C; Coppola, F; Henriques, B; Pinto, J; Soares, AMVM; Pereira, E; Freitas, R</t>
  </si>
  <si>
    <t>Moleiro, Pedro; Morais, Tiago; Leite, Carla; Coppola, Francesca; Henriques, Bruno; Pinto, Joao; Soares, Amadeu M. V. M.; Pereira, Eduarda; Freitas, Rosa</t>
  </si>
  <si>
    <t>The effect of ocean warming on accumulation and cellular responsiveness to cobalt in Mytilus galloprovincialis</t>
  </si>
  <si>
    <t>Temperature rise; Metals; Mussels; Metabolism; Oxidative stress; Combining stressors</t>
  </si>
  <si>
    <t>OXIDATIVE STRESS; HEAVY-METALS; RISK-ASSESSMENT; HEALTH-RISK; TEMPERATURE; TOXICITY; BIOMARKERS; POLLUTION; MERCURY; TOLERANCE</t>
  </si>
  <si>
    <t>Cobalt (Co) is among the hazardous substances identified in aquatic environments. Industrialization and pop-ulation growth have also contributed to climate change, namely in what concerns ocean temperature rise. The aim of the present study was to evaluate the influence of temperature rise on the impacts caused by Co on Mytilus galloprovincialis. To this end, mussels were exposed for 28 days to 17 &amp; DEG;C and 21 &amp; DEG;C, without and with 200 mu g L-1 of Co. Results showed no significant differences in Co bioaccumulation by the organisms between temperatures. A significant interaction between temperature and Co contamination was observed in terms of oxidative damage, detoxification capacity, and neurotoxicity, with a synergistic effect particularly evident in terms of biotrans-formation enzymes' activity. The obtained results point out that population survival and distribution may be limited in the long term, highlighting the need for future research on the combined effects of both stressors.</t>
  </si>
  <si>
    <t>[Moleiro, Pedro; Morais, Tiago] Univ Aveiro, Dept Quim, P-3810193 Aveiro, Portugal; [Leite, Carla; Coppola, Francesca; Soares, Amadeu M. V. M.; Freitas, Rosa] Univ Aveiro, Dept Biol, P-3810193 Aveiro, Portugal; [Leite, Carla; Coppola, Francesca; Soares, Amadeu M. V. M.; Freitas, Rosa] Univ Aveiro, CESAM, P-3810193 Aveiro, Portugal; [Henriques, Bruno; Pinto, Joao; Pereira, Eduarda] Univ Aveiro, Dept Quim, P-3810193 Aveiro, Portugal; [Henriques, Bruno; Pinto, Joao; Pereira, Eduarda] Univ Aveiro, LAQV REQUIMTE, P-3810193 Aveiro, Portugal</t>
  </si>
  <si>
    <t>Pereira, Eduarda/A-5907-2012; Pinto, João/ABF-8890-2021; Moleiro, Pedro/AAV-6785-2020; Freitas, Rosa/A-7539-2012; Henriques, Bruno/B-6258-2017; Coppola, Francesca/U-8869-2018; Soares, Amadeu/A-8304-2008; Leite, Carla/F-1683-2019</t>
  </si>
  <si>
    <t>Pinto, Joao/0000-0002-6175-2906; Soares, Amadeu/0000-0003-0879-9470; Morais, Tiago/0000-0002-6041-1931; Moleiro, Pedro/0000-0002-7037-8952; Leite, Carla/0000-0001-8579-293X; Coppola, Francesca/0000-0002-7039-9630</t>
  </si>
  <si>
    <t>National Funds through the Portuguese Science Foundation (Fundacao para a Ciencia e a Tecnologia, FCT) [2020.05296.BD, 2020.05323.BD]; FCT; REQUIMTE [UIDB/50006/2020]; CESAM [UIDP/50017/2020, UIDB/50017/2020, LA/P/0094/2020]; Swedish Research Council [2020-05323] Funding Source: Swedish Research Council; Fundação para a Ciência e a Tecnologia [2020.05296.BD, 2020.05323.BD] Funding Source: FCT</t>
  </si>
  <si>
    <t>National Funds through the Portuguese Science Foundation (Fundacao para a Ciencia e a Tecnologia, FCT); FCT(Fundacao para a Ciencia e a Tecnologia (FCT)); REQUIMTE; CESAM; Swedish Research Council(Swedish Research Council); Fundação para a Ciência e a Tecnologia(Fundacao para a Ciencia e a Tecnologia (FCT))</t>
  </si>
  <si>
    <t>Carla Leite and Joao Pinto benefit from PhD grants (2020.05296.BD and 2020.05323.BD, respectively) by the National Funds through the Portuguese Science Foundation (Fundacao para a Ciencia e a Tecnologia, FCT) . Bruno Henriques acknowledges FCT for the research contract (CEECIND/03511/2018) under the CEEC Individual 2018. Thanks are due for financial support to REQUIMTE (UIDB/50006/2020) and CESAM (UIDP/50017/2020 + UIDB/50017/2020 + LA/P/0094/2020) .</t>
  </si>
  <si>
    <t>10.1016/j.marpolbul.2022.113944</t>
  </si>
  <si>
    <t>3X7BS</t>
  </si>
  <si>
    <t>WOS:000843193000004</t>
  </si>
  <si>
    <t>Steele, S; Mulcahy, MF</t>
  </si>
  <si>
    <t>Gametogenesis of the oyster Crassostrea gigas in southern Ireland</t>
  </si>
  <si>
    <t>PECTEN-MAXIMUS; OSTREA-EDULIS; SUSPENDED CULTURE; PACIFIC OYSTERS; MYTILUS-EDULIS; THUNBERG; BAY; VARIABILITY; GROWTH</t>
  </si>
  <si>
    <t>The Pacific oyster Crassostrea gigas (Mollusca: Bivalvia) was introduced to Ireland in 1965 and is farmed at many sites around the coast. The reproductive biology of 1377 oysters from two sites on the south coast of Ireland was examined from April 1996 until December 1997 for variations in maturation rate and condition indices. Qualitative data were compiled by staging gonadal development using histological sections. Environmental parameters of temperature, dissolved oxygen and chlorophyll-a levels? as well as parasites and pathology were monitored. Unusually high sea temperatures led to oysters in Dungarvan (site 1) spawning in both years of the study. Although sea temperatures were significantly higher, oysters in Cork Harbour (site 2) did not spawn but instead reached ripeness and then started a process of gametic degeneration called resorption. Lack of spawning was not attributed to environmental conditions monitored but was tentatively attributed to levels of pollutants in the water. Oyster condition in Cork Harbour was significantly affected by the presence of blistering due to tributyltin levels in the water and also by Polydora sp. (Polychaete) in the shell. Oyster condition in Dungarvan was not affected by the presence of the exotic species Mytilicola orientalis (Copepoda: Cyclopoida).</t>
  </si>
  <si>
    <t>Univ London Royal Holloway &amp; Bedford New Coll, Egham TW20 0EX, Surrey, England; Natl Univ Ireland Univ Coll Cork, Dept Zool &amp; Appl Ecol, Cork, Ireland</t>
  </si>
  <si>
    <t>University of London; Royal Holloway University London; University College Cork</t>
  </si>
  <si>
    <t>Steele, S (corresponding author), Univ London Royal Holloway &amp; Bedford New Coll, Egham TW20 0EX, Surrey, England.</t>
  </si>
  <si>
    <t>10.1017/S0025315498000836</t>
  </si>
  <si>
    <t>232DW</t>
  </si>
  <si>
    <t>WOS:000082351600010</t>
  </si>
  <si>
    <t>Mezghani-Chaari, S; Machreki-Ajimi, M; Hamza-Chaffai, A; Minier, C</t>
  </si>
  <si>
    <t>Mezghani-Chaari, Sawssan; Machreki-Ajimi, Monia; Hamza-Chaffai, Amel; Minier, Christophe</t>
  </si>
  <si>
    <t>High estradiol exposure disrupts the reproductive cycle of the clam Ruditapes decussatus in a sex-specific way</t>
  </si>
  <si>
    <t>Ruditapes decussatus; Estradiol (E-2); Endocrine disruption; Reproduction; Gametogenesis</t>
  </si>
  <si>
    <t>MUSSEL MYTILUS-GALLOPROVINCIALIS; SEWAGE-TREATMENT PLANTS; 17-BETA-ESTRADIOL EXPOSURE; ENDOCRINE DISRUPTORS; DREISSENA-POLYMORPHA; ESTROGENIC CHEMICALS; MARISA-CORNUARIETIS; CRASSOSTREA-GIGAS; BISPHENOL-A; WILD FISH</t>
  </si>
  <si>
    <t>Bivalve species may be susceptible to environmental estrogenic compounds including estradiol (E-2). However, they are able to biotransform the hormone quite readily and inactivate its estrogenic action. To study the long-term effects of elevated free E-2 tissue levels, we transiently exceeded the biotransformation capacity of the clam Ruditapes decussatus by exposing them with high E-2 concentrations (400 ng/L) and subsequently study the consequences on gametogenesis during the following reproductive cycle. Exposure to 400 ngE(2)/L led to a significant increase in tissue free E-2 levels, which reached 10-50 ng E(2)Eq/gww. No deleterious effect on gonado-somatic index (GSI), condition index (CI), or ability to respond to the stress on stress test could be detected after a month of exposure, suggesting the absence of negative effects on the clam's health. However, a marked increase in gametogenesis could be observed in both sexes during the exposure. Subsequent transplantation of the clams in the field allowed the normal development of the male clams and maturation of the gonads without any detrimental effect observed after 4 months. In contrast, in early July, all female clams formerly exposed to E-2 showed lower health status, and only ovaries with atretic oocytes while all control and indigenous females were normal and mature. These results show a sex-specific effect of high E-2 exposure and suggest either a direct or indirect role for E-2 in R. decussatus' reproduction.</t>
  </si>
  <si>
    <t>[Mezghani-Chaari, Sawssan; Machreki-Ajimi, Monia; Hamza-Chaffai, Amel] Sfax Univ, Unit Marine &amp; Environm Toxicol, IPEIS, BP 1172, Sfax 3018, Tunisia; [Mezghani-Chaari, Sawssan; Minier, Christophe] Normandie Univ, Lab Ecotoxicol, UMR I SEBIO 02, BP 540, F-76058 Le Havre, France</t>
  </si>
  <si>
    <t>Universite de Sfax; Universite Le Havre Normandie; Universite de Reims Champagne-Ardenne</t>
  </si>
  <si>
    <t>Mezghani-Chaari, S (corresponding author), Sfax Univ, Unit Marine &amp; Environm Toxicol, IPEIS, BP 1172, Sfax 3018, Tunisia.;Mezghani-Chaari, S (corresponding author), Normandie Univ, Lab Ecotoxicol, UMR I SEBIO 02, BP 540, F-76058 Le Havre, France.</t>
  </si>
  <si>
    <t>mezghani.sawssen@yahoo.fr</t>
  </si>
  <si>
    <t>European Regional Development Fund [4040]</t>
  </si>
  <si>
    <t>European Regional Development Fund(European Union (EU))</t>
  </si>
  <si>
    <t>Special thanks are due to Kristell Kelner from the BioMEA research unit in Caen (France) for her valuable help in histological analyses. Christophe Minier was funded by the European Regional Development Fund in the framework of the INTERREG IV A France (Channel)-England program (DIESE project, #4040).</t>
  </si>
  <si>
    <t>10.1007/s11356-017-0146-4</t>
  </si>
  <si>
    <t>FP1KW</t>
  </si>
  <si>
    <t>WOS:000417372600061</t>
  </si>
  <si>
    <t>Mirzajani, AR; Hamidian, AH; Karami, M</t>
  </si>
  <si>
    <t>Mirzajani, A. R.; Hamidian, A. H.; Karami, M.</t>
  </si>
  <si>
    <t>Metal bioaccumulation in representative organisms from different trophic levels of the Caspian Sea</t>
  </si>
  <si>
    <t>Metal pollution; Bioaccumulation; Stable isotope; Caspian Sea</t>
  </si>
  <si>
    <t>RUTILUS-FRISII-KUTUM; STABLE NITROGEN ISOTOPES; AQUATIC FOOD-WEB; TRACE-ELEMENTS; HEAVY-METALS; DELTA-N-15; DELTA-C-13; SEDIMENTS; WATER; PB</t>
  </si>
  <si>
    <t>The bioaccumulations of metals Cu, Cd, Ni, Cr, Co, Mn, Zn and Fe were measured in bivalves, Cerastoderma glucaum, and four species of fishes including Alburnus chalcoides, Liza aurata, Rutilus frisii and Sander lucioperca from various trophic levels of the Caspian food web. The concentrations of Cd, Cr, Co and Ni in most samples of fish were below the detection limits; while the concentrations were detected in most samples of bivalve C. glucaum. The stable nitrogen isotope ratios varied among the samples from C. glucaum (delta N-15= 3.5 %) to S. lucioperca (delta N-15= 13.1%). Among the four fish species, while the highest concentrations of Mn, Ni and Fe were observed in L. aurata, the lowest concentrations of Mn and Fe were observed in S. lucioperca. These species also had the lowest and highest trophic levels with an average of 3.3 and 4.2, respectively. No accumulation of metals with increase in body size was observed in muscles of species from different trophic levels. The comparison of metal concentrations with the health guidelines for human consumption showed that those intakes were lower than the legislated limits. While there was a strong relationship between trophic levels and body size of A. chalcoides and R. frisii, no significant slopes were observed between the total lengths (TLs) and the Ln concentrations of metals. It is necessary to determine metal concentrations in food resources of fish species, particularly in R. frisii that has significantly different delta N-15 in relation to body size.</t>
  </si>
  <si>
    <t>[Mirzajani, A. R.; Hamidian, A. H.; Karami, M.] Univ Tehran, Fac Nat Resources, Dept Environm, POB 4314, Karaj 3158777878, Iran; [Mirzajani, A. R.] AREEO, Iranian Fisheries Sci Res Inst, Inland Waters Aquaculture Res Ctr, POB 66, Badar Anzali, Iran</t>
  </si>
  <si>
    <t>Hamidian, AH (corresponding author), Univ Tehran, Fac Nat Resources, Dept Environm, POB 4314, Karaj 3158777878, Iran.</t>
  </si>
  <si>
    <t>a.hamidian@ut.ac.ir</t>
  </si>
  <si>
    <t>mirzajani, Alireza/G-9618-2018; Hamidian, Amir Hossein/L-6250-2019; Mirzajani, Alireza/D-9759-2017</t>
  </si>
  <si>
    <t>Hamidian, Amir Hossein/0000-0002-1813-0669; Mirzajani, Alireza/0000-0002-4954-8785</t>
  </si>
  <si>
    <t>DW6SO</t>
  </si>
  <si>
    <t>WOS:000383781700007</t>
  </si>
  <si>
    <t>An, LH; Zheng, BH; Wang, LJ; Zhang, YQ; Chen, H; Zhao, XR; Zhang, L; Lei, K</t>
  </si>
  <si>
    <t>An, Li-hui; Zheng, Bing-hui; Wang, Li-jing; Zhang, Yan-Qiang; Chen, Hao; Zhao, Xing-ru; Zhang, Lei; Lei, Kun</t>
  </si>
  <si>
    <t>Biomarker responses and genotoxicity in the mud snail (Bullacta exarata) as indicators of coastal contamination</t>
  </si>
  <si>
    <t>Antioxidant enzyme; Mollusk; Biomonitoring; Bohai Bay</t>
  </si>
  <si>
    <t>POLYCYCLIC AROMATIC-HYDROCARBONS; MARINE FOOD-WEB; ANTIOXIDANT ENZYMES; BOHAI BAY; POLYCHLORINATED-BIPHENYLS; METALLOTHIONEIN INDUCTION; TISSUE CONCENTRATIONS; DREISSENA-POLYMORPHA; METAL EXPOSURE; MUSSELS</t>
  </si>
  <si>
    <t>In the present study different biomarker responses and genotoxicity were determined in wild mud snails (Bullacta exarata) collected from 3 sampling sites in Bohai Bay in northeastern China, which is a region that is under considerable anthropogenic influence. Significant spatial variability of superoxide dismutase (SOD) and metallothionein (MT)-like proteins were recorded, while glutathione transferase (GST), catalase (CAT), and vitellin-like proteins (Vn's) were not observed. Furthermore, genomic DNA that was amplified with 4 fluorescence-labeled primer pairs showed variable genetic distances among the 3 wild mud snail populations found in Bohai Bay, which may be correlated with differences in the types of environmental genotoxicants, such as heavy metals and polycyclic aromatic hydrocarbons. This multi-biomarker approach provided an improved understanding of the potential toxicological impact of contaminated sediments on benthic organisms. (C) 2011 Elsevier Ltd. All rights reserved.</t>
  </si>
  <si>
    <t>[An, Li-hui] Chinese Res Inst Environm Sci, State Key Lab Environm Criteria &amp; Risk Assessment, Beijing 100012, Peoples R China; Chinese Res Inst Environm Sci, State Environm Protect Key Lab Estuarine &amp; Coasta, Beijing 100012, Peoples R China</t>
  </si>
  <si>
    <t>Chinese Research Academy of Environmental Sciences; Chinese Research Academy of Environmental Sciences</t>
  </si>
  <si>
    <t>An, LH (corresponding author), 8 Dayangfang BeiYuan Rd, Beijing 100012, Peoples R China.</t>
  </si>
  <si>
    <t>anlh@craes.org.cn</t>
  </si>
  <si>
    <t>An, Lihui/AGD-8625-2022</t>
  </si>
  <si>
    <t>National Natural Science Foundation of China [21177117]; Water Pollution Control and Management [2009ZX07528-03]; National Key Technologies RD Program [2010BAC69B02]</t>
  </si>
  <si>
    <t>National Natural Science Foundation of China(National Natural Science Foundation of China (NSFC)); Water Pollution Control and Management; National Key Technologies RD Program(National Key Technology R&amp;D Program)</t>
  </si>
  <si>
    <t>Financial supports by National Natural Science Foundation of China [21177117], Water Pollution Control and Management [2009ZX07528-03] and National Key Technologies R&amp;D Program [2010BAC69B02] are gratefully acknowledged.</t>
  </si>
  <si>
    <t>10.1016/j.marpolbul.2011.11.014</t>
  </si>
  <si>
    <t>WOS:000300864800028</t>
  </si>
  <si>
    <t>Palais, F; Dedourge-Geffard, O; Beaudon, A; Pain-Devin, S; Trapp, J; Geffard, O; Noury, P; Gourlay-Francé, C; Uher, E; Mouneyrac, C; Biagianti-Risbourg, S; Geffard, A</t>
  </si>
  <si>
    <t>Palais, F.; Dedourge-Geffard, O.; Beaudon, A.; Pain-Devin, S.; Trapp, J.; Geffard, O.; Noury, P.; Gourlay-France, C.; Uher, E.; Mouneyrac, C.; Biagianti-Risbourg, S.; Geffard, A.</t>
  </si>
  <si>
    <t>One-year monitoring of core biomarker and digestive enzyme responses in transplanted zebra mussels (Dreissena polymorpha)</t>
  </si>
  <si>
    <t>Dreissena polymorpha; Active biomonitoring; AChE; GST; MT; Digestive enzymes; Energy reserves; Physiological state</t>
  </si>
  <si>
    <t>FRESH-WATER BIVALVE; SEMIPERMEABLE-MEMBRANE DEVICES; GLUTATHIONE-S-TRANSFERASES; MYTILUS-GALLOPROVINCIALIS; CRYSTALLINE STYLE; CHOLINESTERASE ACTIVITY; METAL CONTAMINATION; RIVER; BIOAVAILABILITY; POLLUTION</t>
  </si>
  <si>
    <t>A 12-month active biomonitoring study was performed in 2008-2009 on the Vesle river basin (Champagne-Ardenne, France) using the freshwater mussel Dreissena polymorpha as a sentinel species; allochthonous mussels originating from a reference site (Commercy) were exposed at four sites (Bouy, Sept-Saulx, Fismes, Ardre) within the Vesle river basin. Selected core biomarkers (acetylcholinesterase (AChE) activity, glutathione-S transferase (GST) activity, metallothionein concentration), along with digestive enzyme activities (amylase, endocellulase) and energy reserve concentrations (glycogen, lipids), were monitored throughout the study in exposed mussels. At the Fismes and Ardre sites (downstream basin), metallic and organic contamination levels were low but still high enough to elicit AChE and GST activity induction in exposed mussels (chemical stress); besides, chemical pollutants had no apparent deleterious effects on mussel condition. At the Bouy and Sept-Saulx sites (upstream basin), mussels obviously suffered from adverse food conditions which seriously impaired individual physiological state and survival (nutritional stress); food scarcity had however no apparent effects on core biomarker responses. Digestive enzyme activities responded to both chemical and nutritional stresses, the increase in energy outputs (general adaptation syndrome-downstream sites) or the decrease in energy inputs (food scarcity-upstream sites) leading to mid- or long-term induction of digestive carbohydrase activities in exposed mussels (energy optimizing strategy). Complex regulation patterns of these activities require nevertheless the use of a multi-marker approach to allow data interpretation. Besides, their sensitivity to natural confounding environmental factors remains to be precised.</t>
  </si>
  <si>
    <t>[Palais, F.; Dedourge-Geffard, O.; Beaudon, A.; Biagianti-Risbourg, S.; Geffard, A.] Univ Reims, URVVC SE EA2069, Lab Ecol Ecotoxicol, UFR Sci, F-51687 Reims 2, France; [Pain-Devin, S.; Trapp, J.] Univ Paul Verlaine Metz, LIEBE, CNRS UMR 7146, F-57070 Metz, France; [Dedourge-Geffard, O.; Noury, P.] Irstea, UR BELY, F-69336 Lyon, France; [Gourlay-France, C.; Uher, E.] Irstea, UR HBAN, F-92163 Antony, France; [Mouneyrac, C.] Univ Nantes, Fac Pharm, MMS, EA2160, F-44035 Nantes, France; [Mouneyrac, C.] Univ Catholique Ouest, Inst Biol &amp; Ecol Appl CEREA, F-49008 Angers 1, France</t>
  </si>
  <si>
    <t>Universite de Reims Champagne-Ardenne; Centre National de la Recherche Scientifique (CNRS); Universite de Lorraine; INRAE; Universite Paris Saclay; INRAE; Nantes Universite</t>
  </si>
  <si>
    <t>Palais, F (corresponding author), Univ Reims, URVVC SE EA2069, Lab Ecol Ecotoxicol, UFR Sci, BP 1039, F-51687 Reims 2, France.</t>
  </si>
  <si>
    <t>frederic.palais@gmail.com</t>
  </si>
  <si>
    <t>Geffard, olivier/0000-0001-7760-4644; Dedourge-Geffard, Odile/0000-0001-6308-2080; Geffard, Alain/0000-0001-9236-2890</t>
  </si>
  <si>
    <t>'Region Champagne-Ardenne' (Contrat de Projets Etat-Region, programme AQUAL); 'Programme Interdisciplinaire de Recherche sur l'Environnement de la Seine' (PIREN-Seine)</t>
  </si>
  <si>
    <t>'Region Champagne-Ardenne' (Contrat de Projets Etat-Region, programme AQUAL)(Region Grand-Est); 'Programme Interdisciplinaire de Recherche sur l'Environnement de la Seine' (PIREN-Seine)</t>
  </si>
  <si>
    <t>This PhD work was supported by grants from the 'Region Champagne-Ardenne' (Contrat de Projets Etat-Region, programme AQUAL) and from the 'Programme Interdisciplinaire de Recherche sur l'Environnement de la Seine' (PIREN-Seine). The authors gratefully acknowledge Mrs. Francoise Gourdon, Mrs. Antoinette Meyer, Mrs. Laurence Delahaut, M. Antoine Portelette and M. Ali Jaffal for kind help and support.</t>
  </si>
  <si>
    <t>10.1007/s10646-012-0851-1</t>
  </si>
  <si>
    <t>915ZE</t>
  </si>
  <si>
    <t>WOS:000302065400025</t>
  </si>
  <si>
    <t>Tang, Y; Zhou, WS; Sun, SG; Du, XY; Han, Y; Shi, W; Liu, GX</t>
  </si>
  <si>
    <t>Tang, Yu; Zhou, Weishang; Sun, Shuge; Du, Xueying; Han, Yu; Shi, Wei; Liu, Guangxu</t>
  </si>
  <si>
    <t>Immunotoxicity and neurotoxicity of bisphenol A and microplastics alone or in combination to a bivalve species, Tegillarca granosa</t>
  </si>
  <si>
    <t>Microplastics; Bisphenol A; Synergic effect; Immunotoxicity; Neurotoxicity</t>
  </si>
  <si>
    <t>POLYSTYRENE MICROPLASTICS; BLOOD CLAM; MARINE-ENVIRONMENT; SURFACE-WATER; IMMUNE; EXPOSURE; TOXICITY; OCEAN; BPA; BIOACCUMULATION</t>
  </si>
  <si>
    <t>Though invertebrates are one of the largest groups of animal species in the sea and exhibit robust immune and neural responses that are crucial for their health and survival, the potential immunotoxicity and neurotoxicity of the most produced chemical bisphenol A (BPA), especially in conjunction with microplastics (MPs), still remain poorly understood in marine invertebrate species. Therefore, the impacts of exposure to BPA and MPs alone or in combination on a series of immune and neural biomarkers were investigated in the invertebrate bivalve species blood clam (Tegillarca granosa). Evident immunotoxicity as indicated by alterations in hematic indexes was observed after two weeks of exposure to BPA and MPs at environmentally realistic concentrations. The expression of four immune-related genes from the NFkB signaling pathway was also found to be significantly suppressed by the BPA and MP treatment. In addition, exposure to BPA and MPs led to an increase in the in vivo contents of three key neuro-transmitters (GABA, DA, and ACh) but a decrease in the expression of genes encoding modulatory enzymes and receptors for these neurotransmitters, implying the evident neurotoxicity of BPA and MPs to blood clam. Furthermore, the results demonstrated that the toxic impacts exerted by BPA were significantly aggravated by the co-presence of MPs, which may be due to interactions between BPA and MPs as well as those between MPs and clam individuals. (C) 2020 Elsevier Ltd. All rights reserved.</t>
  </si>
  <si>
    <t>[Tang, Yu; Zhou, Weishang; Sun, Shuge; Du, Xueying; Han, Yu; Shi, Wei; Liu, Guangxu] Zhejiang Univ, Coll Anim Sci, Hangzhou, Peoples R China</t>
  </si>
  <si>
    <t>This work was financial supported by National Key R&amp;D Program of China (NO. 2018YFD0900603) and National Natural Science Foundation of China (No. 31672634).</t>
  </si>
  <si>
    <t>10.1016/j.envpol.2020.115115</t>
  </si>
  <si>
    <t>PR4MV</t>
  </si>
  <si>
    <t>WOS:000607212800045</t>
  </si>
  <si>
    <t>Bajt, O; Ramsak, A; Milun, V; Andral, B; Romanelli, G; Scarpato, A; Mitric, M; Kupusovic, T; Kljajic, Z; Angelidis, M; Çullaj, A; Galgani, F</t>
  </si>
  <si>
    <t>Bajt, Oliver; Ramsak, Andreja; Milun, Vesna; Andral, Bruno; Romanelli, Giulia; Scarpato, Alfonso; Mitric, Milena; Kupusovic, Tarik; Kljajic, Zoran; Angelidis, Michael; Cullaj, Algi; Galgani, Francois</t>
  </si>
  <si>
    <t>Assessing chemical contamination in the coastal waters of the Adriatic Sea using active mussel biomonitoring with Mytilus galloprovincialis</t>
  </si>
  <si>
    <t>Metals; PAH; PCB; Pesticides; Mytilus galloprovincialis; Adriatic Sea</t>
  </si>
  <si>
    <t>POLYCYCLIC AROMATIC-HYDROCARBONS; ORGANOCHLORINE PESTICIDES; POLYCHLORINATED-BIPHENYLS; TRACE-METALS; SURFACE SEDIMENTS; MARINE ORGANISMS; HEAVY-METALS; GULF; BIVALVES; BAY</t>
  </si>
  <si>
    <t>The MYTIAD project focused on the assessment of chemical contamination (metals, PAHs, PCBs and organochlorine pesticides) in the Adriatic coastal waters by active mussel watching. Its purpose was harmonising and standardising strategies and methodologies used to assess the contamination status of the Adriatic Sea, in the framework of the WFD, the MSFD and UNEP/MAP Integrated Monitoring and Assessment Programme. Data on metals pointed out some hotspots along the eastern and western Adriatic Sea coasts, with the highest values of total PAH concentration detected in Split, Trieste, and Taranto (Ionian Sea). PCB and endrin contamination was higher in the Adriatic Sea than in the western Mediterranean Sea. This is the first comprehensive overview of contamination in the Adriatic Sea with critical comparisons of related studies over the Mediterranean Sea. It provides a useful harmonised dataset to support a coordinated definition of baselines, targets and thresholds, and further management of chemical contamination.</t>
  </si>
  <si>
    <t>[Bajt, Oliver; Ramsak, Andreja] Natl Inst Biol, Marine Biol Stn Piran, Fornace 41, Piran 6330, Slovenia; [Milun, Vesna] Inst Oceanog &amp; Fisheries, Lab Chem Oceanog &amp; Sedimentol Sea, Setaliste I Mestrovica 63, Split 21000, Croatia; [Andral, Bruno] IFREMER, VIGIES, ZI Bregaillon, F-83507 La Seyne Sur Mer, France; [Romanelli, Giulia; Scarpato, Alfonso] ISPRA, Via V Brancati 48, I-00144 Rome, Italy; [Mitric, Milena; Kljajic, Zoran] Univ Montenegro, Inst Marine Biol, Dobrota Bb, Kotor 85330, Montenegro; [Kupusovic, Tarik] Hydroengn Inst Sarajevo, Stjepana Tomica 1, Sarajevo 71000, Bosnia &amp; Herceg; [Angelidis, Michael] UNEP MAP, 48 Vas Konstantinou Ave, Athens 11635, Greece; [Cullaj, Algi] Univ Tirana, Fac Nat Sci, Tirana, Albania; [Galgani, Francois] IFREMER, LER PAC, ZI Bregaillon, F-83507 La Seyne Sur Mer, France</t>
  </si>
  <si>
    <t>National Institute of Biology - Slovenia; Croatian Institute of Oceanography &amp; Fisheries (IZOR); Ifremer; Italian Institute for Environmental Protection &amp; Research (ISPRA); University of Montenegro; University of Sarajevo; University of Tirana (UT); Ifremer</t>
  </si>
  <si>
    <t>oliver.bajt@nib.si; andreja.ramsak@nib.si; milun@izor.hr; bruno.andral@ifremer.fr; giulia.romanelli@isprambiente.it; alfonso.scarpato@isprambiente.it; milenamitric@gmail.com; tarik.kupusovic@heis.ba; m.angelidis@iaea.org; acullaj@albmail.com; francois.galgani@ifremer.fr</t>
  </si>
  <si>
    <t>; galgani, francois/A-1973-2011</t>
  </si>
  <si>
    <t>Angelidis, Michael/0000-0002-3890-2216; galgani, francois/0000-0001-8770-6054; Ramsak, Andreja/0000-0003-1961-5120</t>
  </si>
  <si>
    <t>UNEP [MEL-2322-2534-2664 BL2205]; IFREMER; Coastal Research Programme - Slovenian Research Agency [P1-0203]</t>
  </si>
  <si>
    <t>UNEP; IFREMER; Coastal Research Programme - Slovenian Research Agency</t>
  </si>
  <si>
    <t>This study was funded by the UNEP (grant to Slovenia MEL-2322-2534-2664 BL2205 for the MYTIAD project), IFREMER, and by the P1-0203 Coastal Research Programme financed by the Slovenian Research Agency. The authors greatly appreciate M. Sisko's (NIB, Slovenia) contribution during statistical analysis. The authors would like to thank Corinne Tomasino and Christophe Ravel (IFREMER; France) for technical assistance during mooring and recovering of mussels. We also thank the crews of the R/V L'Europe (IFREMER, France) and R/V Astrea (Italy). Finally, we are grateful to the IFREMER laboratory for the vanadium analysis performed.</t>
  </si>
  <si>
    <t>10.1016/j.marpolbul.2019.02.007</t>
  </si>
  <si>
    <t>WOS:000465509700033</t>
  </si>
  <si>
    <t>Quintáns-Fondo, A; Ferreira-Coelho, G; Paradelo-Núñez, R; Nóvoa-Muñoz, JC; Arias-Estévez, M; Fernández-Sanjurjo, MJ; Alvarez-Rodríguez, E; Núñez-Delgado, A</t>
  </si>
  <si>
    <t>Quintans-Fondo, Ana; Ferreira-Coelho, Gustavo; Paradelo-Nunez, Remigio; Carlos Novoa-Munoz, Juan; Arias-Estevez, Manuel; Jose Fernandez-Sanjurjo, Maria; Alvarez-Rodriguez, Esperanza; Nunez-Delgado, Avelino</t>
  </si>
  <si>
    <t>As(V)/Cr(VI) pollution control in soils, hemp waste, and other by-products: competitive sorption trials</t>
  </si>
  <si>
    <t>Competitive As(V)/Cr(VI) sorption; Hemp waste; Mussel shell; Oak ash; Pine bark; Pyritic material</t>
  </si>
  <si>
    <t>MUSSEL-SHELL; AQUEOUS-SOLUTION; ADSORPTION; CHROMIUM; REMOVAL; AS(V); DESORPTION; FRACTIONATION; ALUMINUM; KINETICS</t>
  </si>
  <si>
    <t>We study As(V)/Cr(VI) competitive sorption on a forest soil, a vineyard soil, pyritic material, mussel shell, pine bark, oak ash, and hemp waste, adding variable As(V) and Cr(VI) concentrations or displacing each pollutant with the same concentration of the other. When using variable concentrations, As(V) showed more affinity than Cr(VI) for sorption sites on most materials (sorption up to &gt;84 % on oak ash and pyritic material). The only exception was pine bark, with clearly higher Cr(VI) sorption (&gt;90 %) for any Cr(VI)/As(V) concentration added. Regarding the displacement experiments, when As(V) was added and reached sorption equilibrium, the subsequent addition of equal Cr(VI) concentration did not cause relevant As displacement from oak ash and pyritic material, indicating strong As bindings, and/or low competitive effects. When Cr(VI) was added and reached sorption equilibrium, the subsequent addition of equal As(V) concentration caused Cr(VI) displacement from all materials except pine bark, indicating weak Cr bindings. In view of these results, oak ash and the pyritic material could be used to remove As(V) in concentrations as high as 6 mmol L-1, even in the presence of a wide range of Cr(VI) concentrations, whereas pine bark could be used to remove Cr(VI) concentrations as high as 6 mmol L-1. The other materials assayed (including hemp waste, studied for the first time as As(V) and Cr(VI) bio-sorbent) cannot be considered appropriate to remove As(V) and/or Cr(VI) from polluted media.</t>
  </si>
  <si>
    <t>[Quintans-Fondo, Ana; Jose Fernandez-Sanjurjo, Maria; Alvarez-Rodriguez, Esperanza; Nunez-Delgado, Avelino] Univ Santiago de Compostela, Engn Polytech Sch, Dept Soil Sci &amp; Agr Chem, Lugo 27002, Spain; [Ferreira-Coelho, Gustavo] State Univ West Parana, Ctr Agr Sci, Marechal Candido Rodondo, Parana, Brazil; [Paradelo-Nunez, Remigio; Carlos Novoa-Munoz, Juan; Arias-Estevez, Manuel] Univ Vigo, Fac Sci, Dept Plant Biol &amp; Soil Sci, Campus Ourense, Orense 32004, Spain</t>
  </si>
  <si>
    <t>Paradelo, Remigio/H-8296-2019; Coelho, Gustavo/F-4986-2015; Nóvoa-Muñoz, J. C./A-9181-2009; Fernández-Sanjurjo, María/ABC-6938-2020; Estévez, Manuel/M-8629-2016; Nunez-Delgado, Avelino/K-3964-2013; Alvarez, Esperanza/B-3154-2018</t>
  </si>
  <si>
    <t>Nunez-Delgado, Avelino/0000-0001-5373-1606; Alvarez, Esperanza/0000-0003-3470-2679; Novoa-Munoz, Juan Carlos/0000-0003-3062-4191; Fernandez-Sanjurjo, Maria J./0000-0001-6728-7147; Paradelo Nunez, Remigio/0000-0002-4165-177X</t>
  </si>
  <si>
    <t>Ministerio de Economia y Competitividad (Government of Spain) [CGL2012-36805-C02-01, CGL2012-36805-C02-02]; European Regional Development Fund (ERDF) (FEDER in Spain); Juan de la Cierva post-doctoral contract [JCI-2012-11778]</t>
  </si>
  <si>
    <t>Ministerio de Economia y Competitividad (Government of Spain)(Spanish Government); European Regional Development Fund (ERDF) (FEDER in Spain)(Spanish Government); Juan de la Cierva post-doctoral contract</t>
  </si>
  <si>
    <t>10.1007/s11356-016-7108-0</t>
  </si>
  <si>
    <t>DX7GQ</t>
  </si>
  <si>
    <t>WOS:000384555200021</t>
  </si>
  <si>
    <t>KRAAK, MHS; SCHOON, H; PEETERS, WHM; VANSTRAALEN, NM</t>
  </si>
  <si>
    <t>CHRONIC ECOTOXICITY OF MIXTURES OF CU, ZN, AND CD TO THE ZEBRA MUSSEL DREISSENA-POLYMORPHA</t>
  </si>
  <si>
    <t>ANODONTA-CYGNEA; FILTRATION-RATE; HEAVY-METALS; CADMIUM; TOXICITY; COPPER; MYTILUS; BIOACCUMULATION; ACCUMULATION; POLLUTION</t>
  </si>
  <si>
    <t>UNIV AMSTERDAM,DEPT AQUAT ECOL,1098 SM AMSTERDAM,NETHERLANDS</t>
  </si>
  <si>
    <t>van Straalen, Nico M./0000-0003-4219-7297</t>
  </si>
  <si>
    <t>ACADEMIC PRESS INC JNL-COMP SUBSCRIPTIONS</t>
  </si>
  <si>
    <t>525 B ST, STE 1900, SAN DIEGO, CA 92101-4495</t>
  </si>
  <si>
    <t>10.1006/eesa.1993.1029</t>
  </si>
  <si>
    <t>LH212</t>
  </si>
  <si>
    <t>WOS:A1993LH21200006</t>
  </si>
  <si>
    <t>Han, Y; Shi, W; Rong, JH; Zha, SJ; Guan, XF; Sun, HX; Liu, GX</t>
  </si>
  <si>
    <t>Han, Yu; Shi, Wei; Rong, Jiahuan; Zha, Shanjie; Guan, Xiaofan; Sun, Hongxiang; Liu, Guangxu</t>
  </si>
  <si>
    <t>Exposure to Waterborne nTiO2 Reduces Fertilization Success and Increases Polyspermy in a Bivalve Mollusc: A Threat to Population Recruitment</t>
  </si>
  <si>
    <t>SPAWNING MARINE-INVERTEBRATES; GAMETE RECOGNITION PROTEINS; ENVIRONMENTAL CONCENTRATIONS; NANOPARTICLES; TITANIUM; TOXICITY; SPERM; ACTIN; TEMPERATURE; NANO-TIO2</t>
  </si>
  <si>
    <t>Fertilization success is crucial for the population recruitment of an organism. However, little is known about the threat of nanoparticles (NPs) to the fertilization of broadcast spawners. Therefore, the effects of nTiO(2) on fertilization success, polyspermy rate, sperm velocity, gametic DNA damage, sperm-egg collision probability, gamete fusion, and oocyte ultrastructure were investigated in a broadcast spawning bivalve, Tegillarca granosa. The results obtained show that fertilization success significantly decreased, whereas polyspermy risk markedly increased upon nTiO(2) exposure. In addition, nTiO(2) exposure led to a significant reduction in sperm swimming velocity, which would subsequently constrain gamete collisions. In addition, nTiO(2) exposure resulted in a significant decline in gamete fusion per collision along with aggravated DNA damage in gametes. Furthermore, ultrastructural analysis illustrated the attachment of nTiO(2) to the oocyte surface, which subsequently resulted in microvillus disassociation and plasma membrane damage. In conclusion, the results obtained suggest a significant threat from NP pollution to the recruitment of broadcast spawning invertebrates.</t>
  </si>
  <si>
    <t>[Han, Yu; Shi, Wei; Rong, Jiahuan; Zha, Shanjie; Guan, Xiaofan; Sun, Hongxiang; Liu, Guangxu] Zhejiang Univ, Coll Anim Sci, Hangzhou 310058, Zhejiang, Peoples R China</t>
  </si>
  <si>
    <t>Sun, Hongxiang/0000-0003-4849-7127; Liu, Guangxu/0000-0002-1039-7801; Shi, Wei/0000-0003-0811-2165</t>
  </si>
  <si>
    <t>The authors thank for assistance from all members of the Marine Biology Lab of Zhejiang University. This work was funded by the National Key R&amp;D Program of China (no. 2018YFD0900603) and the National Natural Science Foundation of China (no. 31672634) awarded to G.L.</t>
  </si>
  <si>
    <t>NOV 5</t>
  </si>
  <si>
    <t>10.1021/acs.est.9b03675</t>
  </si>
  <si>
    <t>JL3YG</t>
  </si>
  <si>
    <t>WOS:000495467500065</t>
  </si>
  <si>
    <t>Zhang, LB; Liu, Y; Chen, HG; Cai, WG</t>
  </si>
  <si>
    <t>Zhang, Linbao; Liu, Yong; Chen, Haigang; Cai, Wengui</t>
  </si>
  <si>
    <t>Transcriptome analysis reveals sex-specific alterations in gonads of green mussel exposed to organophosphorus insecticide triazophos</t>
  </si>
  <si>
    <t>Perna viridis; Differentially expressed genes; Sex; Neurotoxic effect; Oxidative damage</t>
  </si>
  <si>
    <t>PERNA-VIRIDIS; RISK-ASSESSMENT; THYROID GROWTH; EXPRESSION; RESPONSES; WATER; VITELLOGENIN; PESTICIDES; RECEPTORS; BIOMARKER</t>
  </si>
  <si>
    <t>Triazophos (TP) is a widespread pollutant in aquatic environments. A sex-specific metabolic response in green-lipped mussel Perna viridis to TP exposure was observed in our previous study, and this led us to investigate the mechanisms associated with its toxicity. P. viridis were subjected to chronic exposure (15 days) to TP at 35 mu g/L to compare the sex-biased transcriptomic profiles in the gonads of male and female mussels. We identified 632 differentially expressed genes (DEGs) (348 up-regulated and 284 down-regulated) in TP-exposed males, and only 61 DEGs (9 up-regulated and 52 down-regulated) in TP-exposed females. Many DEGs were found to be involved in the nervous, reproductive endocrine, oxidative stress, and immune systems of P. viridis. Additionally, enzymatic activity analysis indicated TP induced neurotoxic effects and oxidative damage to the mussels. Our results demonstrate that the stress response and molecular mechanisms of TP toxicology are different between female and male mussels.</t>
  </si>
  <si>
    <t>Minist Agr &amp; Rural Affairs, Sci Observing &amp; Expt Stn South China Sea Fishery, Guangzhou 510300, Peoples R China; Minist Agr &amp; Rural Affairs, Key Lab South China Sea Fishery Resources Exploit, Guangzhou 510300, Peoples R China; [Zhang, Linbao] Chinese Acad Fishery Sci, South China Sea Fisheries Res Inst, Guangzhou 510300, Peoples R China</t>
  </si>
  <si>
    <t>Ministry of Agriculture &amp; Rural Affairs; Chinese Academy of Fishery Sciences; South China Sea Fisheries Research Institute, CAFS; Ministry of Agriculture &amp; Rural Affairs; Chinese Academy of Fishery Sciences; South China Sea Fisheries Research Institute, CAFS</t>
  </si>
  <si>
    <t>Zhang, LB (corresponding author), Chinese Acad Fishery Sci, South China Sea Fisheries Res Inst, Guangzhou 510300, Peoples R China.</t>
  </si>
  <si>
    <t>zhanglinbao1984@163.com</t>
  </si>
  <si>
    <t>chen, haigang/HCH-8977-2022</t>
  </si>
  <si>
    <t>Natural Science Foundation of Guangdong Province, China [2018A030313583]; Fund of Key Laboratory of South China Sea Fishery Resources Exploitation &amp; Utilization, Ministry of Agriculture and Rural Affairs, P. R. China [FREU2020-01]; Science and Technology Planning Projects of Guangdong Province, China [2019B121201001]; Science and Technology Program of Guangzhou, China [201904010391]; Special Scientific Research Funds for Cen-tral Non-profit Institutes, Chinese Academy of Fishery Sciences [2021SD17]</t>
  </si>
  <si>
    <t>Natural Science Foundation of Guangdong Province, China(National Natural Science Foundation of Guangdong Province); Fund of Key Laboratory of South China Sea Fishery Resources Exploitation &amp; Utilization, Ministry of Agriculture and Rural Affairs, P. R. China; Science and Technology Planning Projects of Guangdong Province, China; Science and Technology Program of Guangzhou, China; Special Scientific Research Funds for Cen-tral Non-profit Institutes, Chinese Academy of Fishery Sciences</t>
  </si>
  <si>
    <t>The work was funded by Natural Science Foundation of Guangdong Province, China (2018A030313583) , Fund of Key Laboratory of South China Sea Fishery Resources Exploitation &amp; Utilization, Ministry of Agriculture and Rural Affairs, P. R. China (FREU2020-01) , Science and Technology Planning Projects of Guangdong Province, China (2019B121201001) , Science and Technology Program of Guangzhou, China (201904010391) and Special Scientific Research Funds for Cen-tral Non-profit Institutes, Chinese Academy of Fishery Sciences (2021SD17) .</t>
  </si>
  <si>
    <t>10.1016/j.cbpc.2022.109333</t>
  </si>
  <si>
    <t>2R4GY</t>
  </si>
  <si>
    <t>WOS:000821072300007</t>
  </si>
  <si>
    <t>Xie, ZY; He, YR; Liu, HX; Peng, Y; Chen, SH</t>
  </si>
  <si>
    <t>Xie, Zhiying; He, Yuanrong; Liu, Hanxin; Peng, Yu; Chen, Shuanghui</t>
  </si>
  <si>
    <t>Hierarchical clustering for line detection with UAV images and an application for the estimation of the clearance volume of oyster stones</t>
  </si>
  <si>
    <t>UAV remote sensing; Very small object detection; Line detection; Hierarchical clustering; Estimated volume</t>
  </si>
  <si>
    <t>Mariculture can meet the increasing demand for seafood but may lead to significant environmental pollution in coastal zones. Remote sensing with UAVs is used in this paper to estimate the clearance volume as part of a coastal ecological restoration project in an oyster breeding area. First, a mathematical model for multiline detection is established based on the linear distribution of maricultures, and the minimum cosine distance sum is used as the judgment basis in the clustering algorithm. Second, an algorithm for hierarchical clustering line detection is proposed, and the centerline of marine breeding is determined. Then, the clearance volume is estimated using a three-point estimation scheme. The oyster breeding area in Xiamen between Dadeng Island and Xiaodeng Island is selected as the experimental area, it is determined that the clearance volume of oyster stones can be estimated with an accuracy of 93.4%. Finally, the factors associated with improvements in the accuracy of hierarchical clustering linear detection are analyzed and discussed.</t>
  </si>
  <si>
    <t>[Xie, Zhiying; He, Yuanrong; Liu, Hanxin; Peng, Yu; Chen, Shuanghui] Xiamen Univ Technol, Sch Comp &amp; Informat Engn, Xiamen, Peoples R China; [Xie, Zhiying; He, Yuanrong; Peng, Yu] Xiamen Univ Technol, Big Data Inst Nat Hazards Monitoring Digital Fujia, Xiamen, Peoples R China</t>
  </si>
  <si>
    <t>Xiamen University of Technology; Xiamen University of Technology</t>
  </si>
  <si>
    <t>Xie, ZY (corresponding author), Xiamen Univ Technol, Sch Comp &amp; Informat Engn, Xiamen, Peoples R China.</t>
  </si>
  <si>
    <t>51258998@qq.com</t>
  </si>
  <si>
    <t>Natural Science Foundation of Fujian Province, China; Construction Science and Technology Research and Development Proj- ect of Fujian Province, China; Social Science Fund Project of Fujian Province, China; [2020J01263]; [2020J05232]; [2022-K-85]; [FJ2021B080]</t>
  </si>
  <si>
    <t>Natural Science Foundation of Fujian Province, China(Natural Science Foundation of Fujian Province); Construction Science and Technology Research and Development Proj- ect of Fujian Province, China; Social Science Fund Project of Fujian Province, China; ; ; ;</t>
  </si>
  <si>
    <t>This study was supported by the Natural Science Foundation of Fujian Province, China (Grant nos. 2020J01263 and 2020J05232) , the Construction Science and Technology Research and Development Proj- ect of Fujian Province, China (Grant no. 2022-K-85) , and the Social Science Fund Project of Fujian Province, China (Grant no. FJ2021B080) .</t>
  </si>
  <si>
    <t>10.1016/j.ecoinf.2022.101935</t>
  </si>
  <si>
    <t>6W5GA</t>
  </si>
  <si>
    <t>WOS:000895756000002</t>
  </si>
  <si>
    <t>Wang, ZC; Akimoto, T; Yue, TT; Hatakeyama, Y; Maruo, C; Pascual, G; Fujibayashi, M; Sakamaki, T</t>
  </si>
  <si>
    <t>Wang, Zhongcheng; Akimoto, Takeshi; Yue, Tingting; Hatakeyama, Yuji; Maruo, Chikako; Pascual, Gissela; Fujibayashi, Megumu; Sakamaki, Takashi</t>
  </si>
  <si>
    <t>Testing combined effects of environmental trace metals/arsenic and marine trophic status on the bioaccumulation in Pacific oysters: Insights from 22-site field samplings</t>
  </si>
  <si>
    <t>Crassostrea gigas; Eutrophication; Nutritional condition; Essential fatty acids; Interactive effect; Health risk assessment</t>
  </si>
  <si>
    <t>SEDIMENT CARBON CONTENT; FATTY-ACID-COMPOSITION; ESTUARINE TIDAL FLAT; PECTEN-MAXIMUS L; CRASSOSTREA-GIGAS; HEAVY-METALS; BIOGEOCHEMICAL CYCLES; CHEMICAL-PROPERTIES; TSUNAMI DEPOSITS; OXIDATIVE STRESS</t>
  </si>
  <si>
    <t>Pacific oysters were sampled from 22 human-impacted sites in northeastern Japan to measure Cr, Cu, Zn, Pb, Cd, and As. The hazard quotient was slightly &gt;1 for Cu and/or As at two sites, but &lt;1 for all metal species and As at the other sites, indicating low human health risks. Oysters' Cu, Zn, and Pb contents were positively related to their concentrations in the sediment, while Cr and As were not. Oysters' Cu and Zn were negatively related to the inorganic nitrogen in seawater, while oysters' Pb and As showed positive relationships with the particulate organic carbon. These findings suggest that marine trophic status affects oysters' metal uptake differently among the metal species. Furthermore, oysters' Cr, Cu, Zn, and Pb contents were negatively related to their eicosapentaenoic acid content and condition index. Therefore, the nutritional conditions of oysters may influence their elimination or accumulation of these metals.</t>
  </si>
  <si>
    <t>[Wang, Zhongcheng; Akimoto, Takeshi; Hatakeyama, Yuji; Pascual, Gissela; Sakamaki, Takashi] Tohoku Univ, Grad Sch Engn, Dept Civil &amp; Environm Engn, 6-6-06 Aramaki Aza Aoba, Sendai 9808579, Japan; [Yue, Tingting] Tech Univ Munich, Sch Life Sci, Emil Ramann Str 2,Bldg 4217, D-85354 Freising Weihenstephan, Germany; [Maruo, Chikako] Tohoku Univ, Sch Engn, Tech Div, 6-6-06 Aramaki Aza Aoba, Sendai 9808579, Japan; [Fujibayashi, Megumu] Kyushu Univ, Fac Engn, 744 Motooka,Nishi ku, Fukuoka 8190395, Japan; [Sakamaki, Takashi] Tohoku Univ, Adv Inst Marine Ecosyst Change, 6-3 Aoba,Aoba ku, Sendai 9808578, Japan; [Sakamaki, Takashi] JAMSTEC WPI AIMEC, 6-3 Aoba,Aoba ku, Sendai 9808578, Japan; [Pascual, Gissela] Boise State Univ, Micron Sch Mat Sci &amp; Engn, Boise, ID 83725 USA</t>
  </si>
  <si>
    <t>Tohoku University; Technical University of Munich; Tohoku University; Kyushu University; Tohoku University; Boise State University</t>
  </si>
  <si>
    <t>Sakamaki, T (corresponding author), Tohoku Univ, Grad Sch Engn, Dept Civil &amp; Environm Engn, 6-6-06 Aramaki Aza Aoba, Sendai 9808579, Japan.</t>
  </si>
  <si>
    <t>takashi.sakamaki.a5@tohoku.ac.jp</t>
  </si>
  <si>
    <t>Chikako, MARUO/KPB-2407-2024</t>
  </si>
  <si>
    <t>Pascual, Gissela/0000-0002-7693-7815</t>
  </si>
  <si>
    <t>Japan Society for the Promotion of Science [KAKENHI JP19KT0006, JP22H03753]; Japan Science and Technology Agency (COI-NEXT [Nature Positive Sustainable Development Hub])</t>
  </si>
  <si>
    <t>Japan Society for the Promotion of Science(Ministry of Education, Culture, Sports, Science and Technology, Japan (MEXT)Japan Society for the Promotion of Science); Japan Science and Technology Agency (COI-NEXT [Nature Positive Sustainable Development Hub])</t>
  </si>
  <si>
    <t>We acknowledge financial support from the Japan Society for the Promotion of Science (KAKENHI JP19KT0006 &amp; JP22H03753) and Japan Science and Technology Agency (COI-NEXT [Nature Positive Sustainable Development Hub]). We also appreciate the assistance with field and laboratory work by N. Chiba, A and Kato, K.</t>
  </si>
  <si>
    <t>10.1016/j.marpolbul.2024.116827</t>
  </si>
  <si>
    <t>E1H6A</t>
  </si>
  <si>
    <t>WOS:001300589600001</t>
  </si>
  <si>
    <t>Chernova, EN</t>
  </si>
  <si>
    <t>Chernova, E. N.</t>
  </si>
  <si>
    <t>The biogeochemical background and trace metal accumulation by brown algae of the genus Fucus in coastal waters of the Sea of Japan, the Sea of Okhotsk, and the White Sea</t>
  </si>
  <si>
    <t>trace metals; threshold background concentrations; natural background concentration; bioindication; seaweeds; Fucus; Sea of Japan; Sea of Okhotsk; White Sea</t>
  </si>
  <si>
    <t>MUSSEL MYTILUS-EDULIS; HEAVY-METALS; BIOACCUMULATION; INVERTEBRATES; VESICULOSUS; POLLUTION; TOXICITY; MODELS; WATCH; OCEAN</t>
  </si>
  <si>
    <t>The ranges of background concentrations of Fe, Mn, Zn, Cu, and Cd in Fucus algae from the Sea of Japan, the Sea of Okhotsk, and the White Sea were determined. The lower background threshold of element concentration was calculated as Me-15-2MAD(15), the upper background threshold was determined as Me+2MAD. The upper background threshold of the metal contents in Fucus algae can be used as the maximum permissible regional concentration in assessing pollution levels of marine habitats. Comparison of the Me-15-2MAD(15) values showed that Fucus algae of the White Sea had increased Mn and decreased Cd concentrations compared to those in Pacific algae. The concentrations of Zn were higher in Fucus algae of the Sea of Japan than in macrophytes from the White Sea and the Sea of Okhotsk. The background concentration range of Fe in Fucus algae of the Sea of Japan was much narrower compared to that in their counterparts from the White Sea and the Sea of Okhotsk. The background metal concentrations in Fucus algae are specific to a sea region; their variations are connected not only with the trace element contents in abiotic components of the environment, but also with the functioning of coastal ecosystems.</t>
  </si>
  <si>
    <t>[Chernova, E. N.] Russian Acad Sci, Pacific Geog Inst, Far East Branch, Ul Radio 7, Vladivostok 690041, Russia; [Chernova, E. N.] Far Eastern Fed Univ, Ul Sukhanova 8, Vladivostok 690090, Russia</t>
  </si>
  <si>
    <t>Russian Academy of Sciences; Pacific Geographical Institute of the Far Eastern Branch of the Russian Academy of Sciences; Far Eastern Federal University</t>
  </si>
  <si>
    <t>Chernova, EN (corresponding author), Russian Acad Sci, Pacific Geog Inst, Far East Branch, Ul Radio 7, Vladivostok 690041, Russia.;Chernova, EN (corresponding author), Far Eastern Fed Univ, Ul Sukhanova 8, Vladivostok 690090, Russia.</t>
  </si>
  <si>
    <t>elena@tig.dvo.ru</t>
  </si>
  <si>
    <t>Chernova, Elena/F-3773-2014</t>
  </si>
  <si>
    <t>Chernova, Elena/0000-0003-4200-6278</t>
  </si>
  <si>
    <t>The author is grateful to the analytical engineers A.M. Plotnikova, G.A. Vlasova, and T.L. Primak from the Geochemistry Laboratory of the Pacific Geographical Institute, Far Eastern Branch, Russian Academy of Sciences, for their assistance in processing the samples and analyzing the material, to Prof. N.K. Khristoforova, Dr. Sci. (Geogr.) V.M. Shulkin, Cand. Sci. (Biol.) V.Ya. Kavun for cooperation in expedition works, and to T.M. Malinovskaya for providing the materials. The study was financially supported by the Russian Science Foundation, project no. 14-50-00034.</t>
  </si>
  <si>
    <t>10.1134/S1063074016010053</t>
  </si>
  <si>
    <t>WOS:000373961500012</t>
  </si>
  <si>
    <t>Velez, C; Figueira, E; Soares, AMVM; Freitas, R</t>
  </si>
  <si>
    <t>Velez, Catia; Figueira, Etelvina; Soares, Amadeu M. V. M.; Freitas, Rosa</t>
  </si>
  <si>
    <t>Combined effects of seawater acidification and salinity changes in Ruditapes philippinarum</t>
  </si>
  <si>
    <t>Climate change; pH decrease; Physiological and biochemical performance; Clams; Oxidative stress</t>
  </si>
  <si>
    <t>MUSSELS MYTILUS-GALLOPROVINCIALIS; CLAM CHAMELEA-GALLINA; ELEVATED CO2 LEVELS; OCEAN ACIDIFICATION; MANILA CLAM; VENERUPIS-PHILIPPINARUM; OXIDATIVE STRESS; EASTERN OYSTERS; CONDITION INDEX; CARBONIC-ACID</t>
  </si>
  <si>
    <t>Due to human activities, predictions for the coming years indicate increasing frequency and intensity of extreme weather events (rainy and drought periods) and pollution levels, leading to salinity shifts and ocean acidification. Therefore, several authors have assessed the effects of seawater salinity shifts and pH decrease on marine bivalves, but most of these studies evaluated the impacts of both factors independently. Since pH and salinity may act together in the environment, and their impacts may differ from their effects when acting alone, there is an urgent need to increase our knowledge when these environmental changes act in combination. Thus, the present study assessed the effects of seawater acidification and salinity changes, both acting alone and in combination, on the physiological (condition index, Na and K concentrations) and biochemical (oxidative stress related biomarkers) performance of Ruditapes philippinarum. For that, specimens of R. philippinarum were exposed for 28 days to the combination of different pH levels (7.8 and 7.3) and salinities (14, 28 and 35). The results obtained showed that under control pH (7.8) and low salinity (14) the physiological status and biochemical performance of clams was negatively affected, revealing oxidative stress. However, under the same pH and at salinities 28 and 35 clams were able to maintain/regulate their physiological status and biochemical performance. Moreover, our findings showed that clams under low pH (7.3) and different salinities were able to maintain their physiological status and biochemical performance, suggesting that the low pH tested may mask the negative effects of salinity. Our results further demonstrated that, in general, at each salinity, similar physiological and biochemical responses were found in clams under both tested pH levels. Also, individuals under low pH (salinities 14, 28 and 25) and exposed to pH 7.8 and salinity 28 (control) tend to present a similar response pattern. These results indicate that pH may have a lower impact on clams than salinity. Thus, our findings point out that the predicted increase of CO2 in seawater and consequent seawater acidification will have fewer impacts on physiological and biochemical performance of R. philippinarum clams than salinity shifts. (C) 2016 Elsevier B.V. All rights reserved.</t>
  </si>
  <si>
    <t>[Freitas, Rosa] Univ Aveiro, Dept Biol, P-3810193 Aveiro, Portugal; [Freitas, Rosa] Univ Aveiro, CESAM, P-3810193 Aveiro, Portugal</t>
  </si>
  <si>
    <t>Freitas, Rosa/A-7539-2012; Soares, Amadeu/A-8304-2008; Figueira, Etelvina/M-6116-2013</t>
  </si>
  <si>
    <t>Freitas, Rosa/0000-0003-4900-3897; Soares, Amadeu/0000-0003-0879-9470; Figueira, Etelvina/0000-0002-6763-2665</t>
  </si>
  <si>
    <t>National Funds through the Portuguese Science Foundation (FCT) - FSE [SFRH/BD/86356/2012, SFRH/BPD/92258/2013]; Programa Operacional Capital Humano (POCH) e da Uniao Europeia; CESAM [UID/AMB/50017]; FCT/MEC through national funds; FEDER, within the PT Partnership Agreement and Compete</t>
  </si>
  <si>
    <t>National Funds through the Portuguese Science Foundation (FCT) - FSE(Fundacao para a Ciencia e a Tecnologia (FCT)); Programa Operacional Capital Humano (POCH) e da Uniao Europeia; CESAM; FCT/MEC through national funds(Fundacao para a Ciencia e a Tecnologia (FCT)); FEDER, within the PT Partnership Agreement and Compete</t>
  </si>
  <si>
    <t>Catia Velez benefited from a PhD grant (SFRH/BD/86356/2012) and Rosa Freitas benefited from post-doc grant (SFRH/BPD/92258/2013) both given by the National Funds through the Portuguese Science Foundation (FCT), supported by FSE and Programa Operacional Capital Humano (POCH) e da Uniao Europeia. This study was financially suported by CESAM (UID/AMB/50017), FCT/MEC through national funds, and FEDER, within the PT2020 Partnership Agreement and Compete 2020.</t>
  </si>
  <si>
    <t>10.1016/j.aquatox.2016.04.016</t>
  </si>
  <si>
    <t>DO4EL</t>
  </si>
  <si>
    <t>WOS:000377734500015</t>
  </si>
  <si>
    <t>Baudrimont, M; Arini, A; Guegan, C; Venel, Z; Gigault, J; Pedrono, B; Prunier, J; Maurice, L; Ter Halle, A; Feurtet-Mazel, A</t>
  </si>
  <si>
    <t>Baudrimont, Magalie; Arini, Adeline; Guegan, Claire; Venel, Zelie; Gigault, Julien; Pedrono, Boris; Prunier, Jonathan; Maurice, Laurence; Ter Halle, Alexandra; Feurtet-Mazel, Agnes</t>
  </si>
  <si>
    <t>Ecotoxicity of polyethylene nanoplastics from the North Atlantic oceanic gyre on freshwater and marine organisms (microalgae and filter-feeding bivalves)</t>
  </si>
  <si>
    <t>Nanoplastics; Polyethylene; Ecotoxicity; Scenedesmus subspicatus; Thalassiosira weissiflogii; Cordicula fluminea</t>
  </si>
  <si>
    <t>MICROPLASTIC INGESTION; NANOPARTICLES; ENVIRONMENT; PARTICLES; TRANSPORT; BEHAVIOR; PELLETS</t>
  </si>
  <si>
    <t>Each year, 5 to 10 million tons of plastic waste is dumped in the oceans via freshwaters and accumulated in huge oceanic gyres. Under the effect of several abiotic factors, macro plastic wastes (or plastic wastes with macro sizes) are fractionated into microplastics (MP) and finally reach the nanometric size (nanoplastic NP). To reveal potential toxic impacts of these NPs, two microalgae, Scenedemus subspicatus (freshwater green algae), and Thalassiosira weissiflogii (marine diatom) were exposed for up to 48 h at 1, 10, 100, 1000, and 10,000 mu g/L to reference polyethylene NPs (PER) or NPs made from polyethylene collected in the North Atlantic gyre (PEN, 7th continent expedition in 2015). Freshwater filter-feeding bivalves, Corbicula fluminea, were exposed to 1000 mu g/L of PER and PEN for 48 h to study a possible modification of their filtration or digestion capacity. The results show that PER and PEN do not influence the cell growth of T. weissiflogii, but the PEN exposure causes growth inhibition of S. subspicatus for all exposure concentrations tested. This growth inhibition is enhanced for a higher concentration of PER or PEN (10,000 mu g/L) in S. subspicatus. The marine diatom T. weissiflogii appears to be less impacted by plastic pollution than the green algae S. subspicatus for the exposure time. Exposure to NPs does not lead to any alteration of bivalve filtration; however, fecal and pseudo-fecal production increased after PEN exposure, suggesting the implementation of rejection mechanisms for inedible particles.</t>
  </si>
  <si>
    <t>[Baudrimont, Magalie; Arini, Adeline; Guegan, Claire; Venel, Zelie; Feurtet-Mazel, Agnes] Univ Bordeaux, CNRS, UMR EPOC 5805, Pl Dr Peyneau, F-33120 Arcachon, France; [Venel, Zelie; Pedrono, Boris] Cordouan Technol, 11 Ave Canteranne, F-33600 Pessac, France; [Gigault, Julien] Univ Rennes 1, CNRS, UMR Geosci 6118, 263 Ave Gen Leclerc,Campus Beaulieu,Bat 15, F-35042 Rennes, France; [Prunier, Jonathan] CNRS, UMR EcoFoG, Campus Agron Kourou, F-97387 Kourou, France; [Maurice, Laurence] Univ Toulouse, CNRS, OMP GET, Geosci Environm Toulouse,IRD, 14 Ave Edouard Belin, F-31400 Toulouse, France; [Ter Halle, Alexandra] Univ Paul Sabatier, CNRS, UMR IMRCP 5623, 118 Route Narbonne, F-31062 Toulouse, France</t>
  </si>
  <si>
    <t>Centre National de la Recherche Scientifique (CNRS); CNRS - National Institute for Earth Sciences &amp; Astronomy (INSU); Universite de Bordeaux; Centre National de la Recherche Scientifique (CNRS); CNRS - National Institute for Earth Sciences &amp; Astronomy (INSU); Universite de Rennes; AgroParisTech; CIRAD; Centre National de la Recherche Scientifique (CNRS); Universite des Antilles; Centre National de la Recherche Scientifique (CNRS); Institut de Recherche pour le Developpement (IRD); Universite de Toulouse; Universite Toulouse III - Paul Sabatier; Centre National de la Recherche Scientifique (CNRS); Universite de Toulouse; Universite Toulouse III - Paul Sabatier</t>
  </si>
  <si>
    <t>Gigault, Julien/AAE-6711-2021; Maurice, Laurence/T-2636-2019</t>
  </si>
  <si>
    <t>Baudrimont, Magalie/0000-0001-9901-8435; Maurice, Laurence/0000-0003-3482-3892; Gigault, Julien/0000-0002-2988-8942; Venel, Zelie/0000-0002-7314-0755</t>
  </si>
  <si>
    <t>Total Corporate Foundation; Agence Nationale de la Recherche (ANR) in the PEPSEA program [ANR-17-CE34-0008-05]; Agence Nationale de la Recherche (ANR) [ANR-17-CE34-0008] Funding Source: Agence Nationale de la Recherche (ANR)</t>
  </si>
  <si>
    <t>Total Corporate Foundation; Agence Nationale de la Recherche (ANR) in the PEPSEA program(Agence Nationale de la Recherche (ANR)); Agence Nationale de la Recherche (ANR)(Agence Nationale de la Recherche (ANR))</t>
  </si>
  <si>
    <t>The work was supported by the Total Corporate Foundation and by the Agence Nationale de la Recherche (ANR) in the PEPSEA program (ANR-17-CE34-0008-05).</t>
  </si>
  <si>
    <t>10.1007/s11356-019-04668-3</t>
  </si>
  <si>
    <t>WOS:000519703100019</t>
  </si>
  <si>
    <t>Alzieu, C</t>
  </si>
  <si>
    <t>Tributyltin: case study of a chronic contaminant in the coastal environment</t>
  </si>
  <si>
    <t>OCEAN &amp; COASTAL MANAGEMENT</t>
  </si>
  <si>
    <t>NUCELLA-LAPILLUS; UNITED-STATES; TBT; OYSTER; REGULATIONS; BUTYLTINS; UK</t>
  </si>
  <si>
    <t>As early as 1975, significant and repeated disturbances were observed to occur in the Crassostrea gigas oyster farms of the Arcachon Bay along the French Atlantic Coastline. TBT contamination of the local breeding waters was found to be responsible for failure to reproduce and for anomalies occurring in the shell calcification of adult oysters leading to stunted growth. On 17 January 1982, the French Ministry of the Environment issued a 3 month ban on the sale of marine anti-fouling paints with an organotin compound content exceeding 3%. The Ministerial ban was subsequently renewed and reinforced and ultimately converted into an enforcement decree transcribing an European Union directive into French law, in October 1992. The ban was the first official action in response to a growing awareness to the TBT-related pollution of some coastal areas and to its unacceptable impact on shellfish farming. These measures were adopted as soon as the first scientific evidence of a causal relationship was established between tributyltin and oyster shell anomalies. Since then numerous research studies have been conducted on the geochemical behavior of tributyltin, its ecotoxicity and on TBT-related risks presented by antifouling paints. The knowledge gained on this topic since 1982 reveals in particular that: TBT is extremely toxic to aquatic organisms in general and to molluscs in particular for which the NOELs are below I ng l(-1) (imposex, calcification anomalies), Contamination levels can reach very high values in port areas, and even exceed no effect levels beyond which mollusc reproduction and growth are affected, in estuaries or semi-enclosed areas, Contamination of breeding waters has a significant economic impact, jeopardizing the sustainable development of some highly exposed marine activities, The ban on TBT use in antifouling paints for crafts under 25 m represents an efficient way of reducing TBT inputs in coastal areas and restoring proper water quality, The regulations adopted by many countries to ban or restrict TBT use on ships sailing along the coastline, have prompted manufacturers to develop less toxic paints. Fifteen years after TBT was first implicated as a major cause of coastal contamination, the issue no longer lies in finding out under which conditions TBT could still be used in antifouling paints, but rather in developing environmentally-harmless formulations. While the ban on TBT-based paints may be justified due to their harmful impact on coastal ecosystems, substitutes based on the release of biocides (copper oxide, pesticides...) also give rise to major concerns. Prevention of marine biofouling is not motivated merely by esthetics: it responds to economic needs and to navigation safety requirements. Protection of the ships while preserving the coastal ecosystems remains a major challenge for future research. (C) 1998 Elsevier Science Ltd. All rights reserved.</t>
  </si>
  <si>
    <t>IFREMER, Ctr Nantes, F-44311 Nantes 3, France</t>
  </si>
  <si>
    <t>Alzieu, C (corresponding author), IFREMER, Ctr Nantes, BP 21105, F-44311 Nantes 3, France.</t>
  </si>
  <si>
    <t>0964-5691</t>
  </si>
  <si>
    <t>OCEAN COAST MANAGE</t>
  </si>
  <si>
    <t>Ocean Coastal Manage.</t>
  </si>
  <si>
    <t>10.1016/S0964-5691(98)00036-2</t>
  </si>
  <si>
    <t>Oceanography; Water Resources</t>
  </si>
  <si>
    <t>140JE</t>
  </si>
  <si>
    <t>WOS:000077083500002</t>
  </si>
  <si>
    <t>Sluyts, H; VanHoof, F; Cornet, A; Paulussen, J</t>
  </si>
  <si>
    <t>A dynamic new alarm system for use in biological early warning systems</t>
  </si>
  <si>
    <t>musselmonitor(R); alarm system; toxicity</t>
  </si>
  <si>
    <t>DISCONTINUITIES; POLLUTION; GRADIENTS; MUSSELS</t>
  </si>
  <si>
    <t>The Musselmonitor(R) (Delta Consult, Kapelle, The Netherlands) is a biomonitor that uses the valve position and the activity of eight Dreissena polymorpha to monitor the water quality. The normal behavior was studied to evaluate whether eight mussels are sufficient for reliable and reproducible data. The Musselmonitor was placed on a location with strong fluctuations of physical and chemical parameters. The results clearly indicate significant correlations between the valve position and the activity of the mussels and several parameters, such as temperature and concentration of suspended material (represented as turbidity and chlorophyll concentration). The valve position also indicates diurnal and seasonal rhythms in the natural behavior. A new data analyzing system was developed for the Musselmonitor, which takes into account the natural fluctuations in the behavior. The sensitivity of the dynamic data analyzing system was evaluated with copper (20, 40, 50, and 80 mu g/L) in dosage experiments and the results were compared with the existing static alarm system. The study revealed that static threshold levels are insensitive and require a lot of experience. The dynamic alarm system works satisfactorily with the Musselmonitor and is very useful for the detection of discontinuities in the normal behavior.</t>
  </si>
  <si>
    <t>STUDY CTR WATER RES, SVW, B-2018 ANTWERP, BELGIUM</t>
  </si>
  <si>
    <t>10.1002/etc.5620150809</t>
  </si>
  <si>
    <t>VF371</t>
  </si>
  <si>
    <t>WOS:A1996VF37100009</t>
  </si>
  <si>
    <t>Power, A; Corley, B; Atkinson, D; Walker, R; Harris, D; Manley, J; Johnson, T</t>
  </si>
  <si>
    <t>Power, Alan; Corley, Brian; Atkinson, Doug; Walker, Randal; Harris, Daniel; Manley, Justin; Johnson, Taylor</t>
  </si>
  <si>
    <t>A CAUTION AGAINST INTERPRETING AND QUANTIFYING OYSTER HABITAT LOSS FROM HISTORICAL SURVEYS</t>
  </si>
  <si>
    <t>Crassostrea virginica; intertidal; GIS inventory; historical</t>
  </si>
  <si>
    <t>CRASSOSTREA-VIRGINICA; PERKINSUS-MARINUS; EASTERN OYSTER; MICROBIAL COMMUNITY; REEF RESTORATION; ATLANTIC COASTAL; SAVANNA; GEORGIA; IMPACT; SEDIMENT</t>
  </si>
  <si>
    <t>Comparisons of historical surveys and fishery data have led to the popular belief that during the past century, more than 90% of oyster habitat has been lost through overfishing, disease, storms, and alterations to water quality and natural flow in the state of Georgia. Using handheld GPS computers, we conducted an on-the-ground inventory of living intertidal oyster reefs at four separate locations, and have concluded that previous surveys were not comprehensive or accurate enough to facilitate a reliable quantitative assessment of habitat loss. Alternatively, we have shown that intertidal oyster reefs are remarkably resilient and may occur in greater abundance today than when first documented in 1891. Rather than a collapse of oyster stocks, declining trends in fishery landings reflect the social and economic challenges associated with an unsustainable canning industry during the early 20th century. In addition, we challenge the axiom that the condition of existing intertidal reef habitat has deteriorated. Areas of shell deposits attributed to exhausted beds in historical assessments may in fact represent naturally occurring coastal features. Nonetheless, enhancement and conservation efforts are worthy efforts, because intertidal oyster habitat increases the health and resiliency of coastal Georgia by providing essential fish habitat, flood control, erosion abatement, and pollution reduction services. We propose that detailed GIS inventories like the ones conducted in this study can establish accurate baseline data to document reliably future changes in distribution, abundance, and condition, particularly with respect to the growing threats from development, sea level rise, and ocean acidification.</t>
  </si>
  <si>
    <t>[Power, Alan; Corley, Brian; Atkinson, Doug; Walker, Randal; Harris, Daniel; Manley, Justin; Johnson, Taylor] Univ Georgia, Marine Extens Serv, Shellfish Res Lab, Savannah, GA 31411 USA</t>
  </si>
  <si>
    <t>University System of Georgia; University of Georgia</t>
  </si>
  <si>
    <t>Power, A (corresponding author), Univ Georgia, Marine Extens Serv, Shellfish Res Lab, 20 Ocean Sci Circle, Savannah, GA 31411 USA.</t>
  </si>
  <si>
    <t>alanpowr@uga.edu</t>
  </si>
  <si>
    <t>Johnson, Taylor/E-8862-2015</t>
  </si>
  <si>
    <t>Georgia Department of Natural Resources</t>
  </si>
  <si>
    <t>We thank the Georgia Department of Natural Resources for funding this oyster resource mapping project.</t>
  </si>
  <si>
    <t>10.2983/035.029.0425</t>
  </si>
  <si>
    <t>699NM</t>
  </si>
  <si>
    <t>WOS:000285670100016</t>
  </si>
  <si>
    <t>Ringwood, AH; Hoguet, J; Keppler, C; Gielazyn, M</t>
  </si>
  <si>
    <t>Linkages between cellular biomarker responses and reproductive success in oysters -: Crassostrea virginica</t>
  </si>
  <si>
    <t>LYSOSOMAL DESTABILIZATION; GLUTATHIONE</t>
  </si>
  <si>
    <t>The purpose of these studies was to evaluate if there were relationships between lysosomal destabilization or glutathione concentrations and gamete viability of oysters, Crassostrea virginica. Oysters were collected from field sites during the peak spawning period (May-June) during 2001 and 2002. Lysosomal destabilization rates and glutathione concentrations of hepatopancreas tissues (e.g. digestive gland) were determined. Eggs and sperm from the same adults were also used to conduct embryo development assays with reference seawater collected from a clean site, site water, and also a range of Cd concentrations (the Cd exposures were used to determine if there were differences in susceptibility to pollutants). Baseline embryo development success (e.g. percent normal development when the assays were conducted with reference seawater or site water) was related to lysosomal destabilization, but not glutathione status. However, the susceptibility of embryos to metal toxicity was related to glutathione status, i.e., sensitivity to Cd exposures increased with decreasing glutathione levels. These studies support the hypotheses that there are linkages between embryo development success and susceptibility to pollutant stress;and cellular biomarker responses. These kinds of effects on reproductive success could lead to subtle but significant long-term effects on recruitment and viability of oyster populations. (C) 2004 Published by Elsevier Ltd.</t>
  </si>
  <si>
    <t>Marine Resources Res Inst, SC Dept Nat Resources, Charleston, SC 29412 USA; Coll Charleston, Charleston, SC 29401 USA; Univ S Carolina, Columbia, SC 29208 USA</t>
  </si>
  <si>
    <t>College of Charleston; University of South Carolina System; University of South Carolina Columbia</t>
  </si>
  <si>
    <t>Univ N Carolina, Dept Biol, Charlotte, NC 28223 USA.</t>
  </si>
  <si>
    <t>Gielazyn, Michel/0000-0002-7686-2374</t>
  </si>
  <si>
    <t>10.1016/j.marenvres.2004.03.010</t>
  </si>
  <si>
    <t>WOS:000222199100011</t>
  </si>
  <si>
    <t>Landis, AMG; Haag, WR; Stoeckel, JA</t>
  </si>
  <si>
    <t>Landis, Andrew M. Gascho; Haag, Wendell R.; Stoeckel, James A.</t>
  </si>
  <si>
    <t>High suspended solids as a factor in reproductive failure of a freshwater mussel</t>
  </si>
  <si>
    <t>Ligumia subrostrata; eutrophication; total suspended solids; fertilization; reproduction; freshwater mussel; Unionidae</t>
  </si>
  <si>
    <t>FILTRATION-RATES; ZEBRA MUSSEL; BIVALVIA; SEDIMENT; UNIONIDAE; DYNAMICS; NITROGEN; AMMONIA; TEMPERATURE; POLLUTION</t>
  </si>
  <si>
    <t>Elevated suspended solids are a widespread stressor of aquatic ecosystems, but their effects on growth and reproduction in freshwater mussels are largely unknown. We fertilized experimental ponds to create a gradient in total suspended solids (TSS) and examined the effects of TSS on growth, nutritional status, reproduction, and clearance rate in Ligumia subrostrata. The number of females that became gravid declined sharply with increasing TSS, and no gravid females were found in the highest TSS treatments. The proportion of gravid females was not related to the TSS organic:inorganic ratio. Fertilization was an all-or-nothing phenomenon. In all females that did become gravid, 98 to 99% of eggs were fertilized regardless of TSS, and total fecundity was unrelated to TSS. Clearance rates declined sharply as TSS increased but showed a threshold relationship in which clearance was uniformly low at TSS &gt; similar to 8 mg/L. Reproductive failure probably was not caused by poor body condition or nutritional status because growth (length and mass) and energetic status (measured as caloric density) were not related to TSS. We propose 2 mechanisms that implicate interference of TSS with fertilization as the cause of reproductive failure. Reduced clearance rate could decrease the chance of females encountering suspended sperm during filter feeding, or an increase in pseudofeces production could bind sperm in mucus and lead to its egestion before fertilization. Interruption of fertilization coincident with high TSS is a potential mechanism to explain the lack of mussel recruitment in many locations. Monitoring and reduction of TSS, especially during the spawning season, may help create conditions necessary for maintenance and recovery of mussel populations. More research is needed to explore the generality of this pattern across a broad range of mussel species including those adapted to lotic environments or that use different brooding strategies.</t>
  </si>
  <si>
    <t>[Landis, Andrew M. Gascho; Stoeckel, James A.] Auburn Univ, Dept Fisheries &amp; Allied Aquacultures, Auburn, AL 36849 USA; [Haag, Wendell R.] ARS, USDA, Ctr Bottomland Hardwood Res, Forest Hydrol Lab, Oxford, MS 38655 USA</t>
  </si>
  <si>
    <t>Auburn University System; Auburn University; United States Department of Agriculture (USDA)</t>
  </si>
  <si>
    <t>Landis, AMG (corresponding author), Auburn Univ, Dept Fisheries &amp; Allied Aquacultures, 203 Swingle Hall, Auburn, AL 36849 USA.</t>
  </si>
  <si>
    <t>andrewmgl@gmail.com; whaag@fs.fed.us; jimstoeckel@auburn.edu</t>
  </si>
  <si>
    <t>Stoeckel, James/IQT-4999-2023</t>
  </si>
  <si>
    <t>10.1899/12-093.1</t>
  </si>
  <si>
    <t>086FZ</t>
  </si>
  <si>
    <t>WOS:000314670800006</t>
  </si>
  <si>
    <t>Reis, PA; Salgado, MA; Vasconcelos, V</t>
  </si>
  <si>
    <t>Reis, Pedro A.; Salgado, Maria Antonia; Vasconcelos, Vitor</t>
  </si>
  <si>
    <t>Goose barnacle Pollicipes pollicipes as biomonitor of metal contamination in the northwest coast of Portugal</t>
  </si>
  <si>
    <t>Pollicipes pollicipes; Biomonitor; Metals; Coastal waters</t>
  </si>
  <si>
    <t>MUSSELS MYTILUS-TROSSULUS; BALANUS-AMPHITRITE; TRACE-METALS; HEAVY-METALS; MARINE-INVERTEBRATES; TETRACLITA-SQUAMOSA; SEASONAL-VARIATION; EXPOSURE HISTORY; TROPHIC TRANSFER; ZINC POLLUTION</t>
  </si>
  <si>
    <t>The main objective of this work was to assess the potential use of goose barnacle Pollicipes pollicipes as biomonitor of metal contamination in northwest (NW) coast of Portugal. The concentrations of Cd, Cr, Cu, Fe, Mn, Ni and Zn were determined in coastal seawaters and tissues of P. pollicipes, which allowed establishing correlations between metals in coastal seawaters and P. pollicipes and calculating metal bioaccumulation factors (BAFs). The results of this study showed that P. pollicipes soft tissues can be used for monitoring metal contamination in these coastal seawaters: (1) there were significant correlations (p &lt; 0.05) between metals in soft tissues and their concentrations in seawaters, except for Zn (p &gt; 0.05); (2) soft tissues were sensitive to spatial variations of metal bioavailabilities and their concentrations ranged 0.70-2.22 mg Cd kg(-1), 0.49-1.40 mg Cr kg(-1), 1.37-2.07 mg Ni kg(-1), 2.4-3.3 mg Cu kg(-1), 5-59 mg Mn kg(-1), 134-578 mg Fe kg(-1)and 728-1,854 mg Zn kg(-1); (3) mean logarithmic bioaccumulation factors (log BAF) of Fe, Cd and Zn were higher, 5.57, 5.47 and 4.41, respectively, than mean log BAFs of Cr, Mn, Cu and Ni, 4.18, 4.14, 3.98 and 3.51, respectively. In contrary, P. pollicipes shell plates were not considered ideal material to monitor metal bioavailabilities in these coastal seawaters. Regarding the very high concentrations of Zn obtained in the coastal seawaters and P. pollicipes soft tissues, the NW coast of Portugal should be classified as Class III/IV - Remarkably/Highly Polluted.</t>
  </si>
  <si>
    <t>[Reis, Pedro A.; Salgado, Maria Antonia; Vasconcelos, Vitor] Univ Porto, CIMAR CIIMAR Ctr Interdisciplinar Invest Marinha, P-4050123 Oporto, Portugal; [Salgado, Maria Antonia] ICBAS, P-4099003 Oporto, Portugal; [Vasconcelos, Vitor] Univ Porto, Fac Ciencias, Dept Biol, P-4069007 Oporto, Portugal</t>
  </si>
  <si>
    <t>Vasconcelos, V (corresponding author), Univ Porto, CIMAR CIIMAR Ctr Interdisciplinar Invest Marinha, Rua Bragas 289, P-4050123 Oporto, Portugal.</t>
  </si>
  <si>
    <t>vmvascon@fc.up.pt</t>
  </si>
  <si>
    <t>Vasconcelos, Vitor/A-8933-2008; Reis, Pedro/P-7244-2014</t>
  </si>
  <si>
    <t>Vasconcelos, Vitor/0000-0003-3585-2417; Reis, Pedro/0000-0001-5400-753X; Salgado, Maria/0000-0003-4175-5146</t>
  </si>
  <si>
    <t>10.1007/s10661-011-2474-z</t>
  </si>
  <si>
    <t>015WC</t>
  </si>
  <si>
    <t>WOS:000309476100040</t>
  </si>
  <si>
    <t>Silina, AV</t>
  </si>
  <si>
    <t>Silina, A. V.</t>
  </si>
  <si>
    <t>Somatic and Reproductive Growth of the Yesso Scallop in Polluted Amur Bay</t>
  </si>
  <si>
    <t>BIOLOGY BULLETIN</t>
  </si>
  <si>
    <t>PLACOPECTEN-MAGELLANICUS; BIOCHEMICAL-COMPOSITION; ECOLOGICAL ENERGETICS; FOOD AVAILABILITY; SEASONAL-CHANGES; ENERGY RESERVES; PECTEN-MAXIMUS; SEA SCALLOP; STORAGE; GAMETOGENESIS</t>
  </si>
  <si>
    <t>To elucidate the reproductive activity of the Yesso scallopMizuhopecten yessoensis(Jay, 1857) in polluted Amur Bay (Peter the Great Bay, Sea of Japan), the seasonal patterns of growth of its gonad, adductor muscle, and digestive gland were studied. As the results of this study have shown, spawning in this polluted bay leads to a decrease in the weight of not only the gonads, but also the adductor muscle, and the digestive gland of scallops, which suggests that the energy spent for gametogenesis is provided, in particular, by the energy reserves of these somatic tissues. It has been found that in the years of heavy pollution of these waters, the decrease in the weight of the organs of the scallop for first gametogenesis was insignificant during the spawning period, which indicates the incomplete contribution of first-time spawning two-year-old individuals to reproduction of the population. With a decrease in the level of environmental pollution, two-year-old scallops show a significant loss in the weight of their gonad and somatic tissue during spawning; i.e., they undergo successful spawning. In the period of sexual maturity, the annual increment of somatic tissues decreases with age, but the reproductive activity increases, subsequently decreasing in the senile stage of the life history of the scallop.</t>
  </si>
  <si>
    <t>[Silina, A. V.] Russian Acad Sci, Far East Branch, Zhirmunskii Natl Sci Ctr Marine Biol, Vladivostok 690041, Russia</t>
  </si>
  <si>
    <t>Silina, AV (corresponding author), Russian Acad Sci, Far East Branch, Zhirmunskii Natl Sci Ctr Marine Biol, Vladivostok 690041, Russia.</t>
  </si>
  <si>
    <t>allasilina@mail.ru</t>
  </si>
  <si>
    <t>Silina, Alla V./C-8775-2015</t>
  </si>
  <si>
    <t>Silina, Alla V./0000-0002-1500-2434</t>
  </si>
  <si>
    <t>MOSCOW</t>
  </si>
  <si>
    <t>PLEIADES PUBLISHING INC, MOSCOW, 00000, RUSSIA</t>
  </si>
  <si>
    <t>1062-3590</t>
  </si>
  <si>
    <t>1608-3059</t>
  </si>
  <si>
    <t>BIOL BULL+</t>
  </si>
  <si>
    <t>Biol. Bull</t>
  </si>
  <si>
    <t>10.1134/S1062359020030073</t>
  </si>
  <si>
    <t>LY8MJ</t>
  </si>
  <si>
    <t>WOS:000540782100009</t>
  </si>
  <si>
    <t>Moore, AP; Bringolf, RB</t>
  </si>
  <si>
    <t>Moore, Adrian P.; Bringolf, Robert B.</t>
  </si>
  <si>
    <t>Effects of nitrate on freshwater mussel glochidia attachment and metamorphosis success to the juvenile stage</t>
  </si>
  <si>
    <t>Unionid mussels; Nutrients; Early life stages; Reproduction; Life-cycle</t>
  </si>
  <si>
    <t>ACUTE TOXICITY; FATHEAD MINNOWS; PEARL MUSSEL; UNIONIDAE; MOLLUSKS; COPPER; BIODIVERSITY; RESISTANCE; RESPONSES; CORTISOL</t>
  </si>
  <si>
    <t>Water quality and contaminants have been frequently identified as critical stressors for freshwater mussels, many species of which are highly imperiled throughout North America and the world. Nutrient pollution, specifically nitrate, has become one of the most prevalent causes of water quality degradation globally, with increasing anthropogenic input from suburban and agricultural runoff, municipal waste-water, and industrial waste. Nitrate acute toxicity is generally low for aquatic species, but the potential effects of nitrate exposure are largely unknown for freshwater mussels, particularly during the parasitic stage of their complex lifecycle. Therefore, this study was designed to determine the effects of short-term nitrate exposure at environmentally relevant concentrations on juvenile production in two freshwater mussel species. Lampsilis siliquoidea and L. fasciola glochidia were exposed to nitrate (0,11, or 56 mg NO3-NIL) for 24 h before inoculation on a primary host, Largemouth Bass (Micropterus salmoides). Glochidia attachment, metamorphosis success, and total number of juveniles produced were monitored on individual fish. Exposure of L. siliquoidea glochidia to 56 mg NO3-N/L nitrate resulted in a significant (p = 0.02) 35% reduction of total juveniles produced, a combined result of moderate decreases in both glochidia attachment and metamorphosis success. A similar trend (28% reduction; p = 0.06) was evident with 11 mg NO3-N/L. No effects were apparent for L. fasciola, suggesting species-specific differences in responses even among closely related species. These results are the first to suggest that glochidia exposure to nitrate may adversely affect juvenile recruitment in some species. Findings from these studies are important for improving characterization of the hazards of nitrate pollution to aquatic life and this work will help better define the role of water quality in assessing habitat suitability for mussel conservation efforts. (C) 2018 Elsevier Ltd. All rights reserved.</t>
  </si>
  <si>
    <t>[Moore, Adrian P.; Bringolf, Robert B.] Univ Georgia, Interdisciplinary Toxicol Program, Athens, GA 30602 USA; [Moore, Adrian P.; Bringolf, Robert B.] Univ Georgia, Warnell Sch Forestry &amp; Nat Resources, Athens, GA 30602 USA</t>
  </si>
  <si>
    <t>University System of Georgia; University of Georgia; University System of Georgia; University of Georgia</t>
  </si>
  <si>
    <t>Bringolf, RB (corresponding author), Univ Georgia, Warnell Sch Forestry &amp; Nat Resources, Athens, GA 30602 USA.</t>
  </si>
  <si>
    <t>bringo@uga.edu</t>
  </si>
  <si>
    <t>Moore, Adrian/AAE-6586-2020</t>
  </si>
  <si>
    <t>Moore, Adrian/0000-0001-9277-6399</t>
  </si>
  <si>
    <t>U.S. Fish and Wildlife Service Science Support; U.S. Geological Survey [G15AC00213]; University of Georgia; University of Georgia Interdisciplinary Toxicology Program; Warnell School of Forestry and Natural Resources at the University of Georgia; University of Georgia Animal Use Protocol [A2016 06-030-Y2-A2]</t>
  </si>
  <si>
    <t>U.S. Fish and Wildlife Service Science Support; U.S. Geological Survey(United States Geological Survey); University of Georgia; University of Georgia Interdisciplinary Toxicology Program; Warnell School of Forestry and Natural Resources at the University of Georgia; University of Georgia Animal Use Protocol</t>
  </si>
  <si>
    <t>Funding for this project was provided by the U.S. Fish and Wildlife Service Science Support Partnership in partnership with the U.S. Geological Survey through Cooperative Agreement number G15AC00213 with the University of Georgia. Additional support was provided by the University of Georgia Interdisciplinary Toxicology Program and the Warnell School of Forestry and Natural Resources at the University of Georgia. We thank Chris Barnhart at the University of Missouri and Paul Johnson from the Alabama Aquatic Biodiversity Center for providing the mussels used in these experiments. We thank lace Nelson, Bob Ratajczak, and Matt Urich for their assistance with fish care. This study was conducted under the auspices of the University of Georgia Animal Use Protocol No. A2016 06-030-Y2-A2.</t>
  </si>
  <si>
    <t>10.1016/j.envpol.2018.07.047</t>
  </si>
  <si>
    <t>WOS:000446150300086</t>
  </si>
  <si>
    <t>CURRAN, JC; HOLMES, PJ; YERSIN, JE</t>
  </si>
  <si>
    <t>MOORED SHELLFISH CAGES FOR POLLUTION MONITORING - DESIGN AND OPERATIONAL EXPERIENCE</t>
  </si>
  <si>
    <t>Environmental bioassay utilizing bivalve molluscs moored in floating cages is a well accepted monitoring tool. Cages built from existing designs proved unsuitable even in relatively sheltered waters. The need to monitor long sea outfalls in the comparatively exposed outer Firth of Clyde led to the development of a more robust construction based on a fibreglass spar buoy. This new design has onw been tested for two seasons and has proved to be a useful compromise between a size large enough to dissuade casual pilfering and small enough to keep costs down while allowing ready handling by ship''s booms and hydraulic cranes.</t>
  </si>
  <si>
    <t>ICI PCL LAB, BRIXHAM TQ5 8BA, DEVON, ENGLAND</t>
  </si>
  <si>
    <t>CLYDE RIVER PURIFICAT BOARD, GLASGOW G75 0LA, SCOTLAND.</t>
  </si>
  <si>
    <t>Curran, Joanna/B-4603-2011</t>
  </si>
  <si>
    <t>10.1016/0025-326X(86)90837-4</t>
  </si>
  <si>
    <t>E5518</t>
  </si>
  <si>
    <t>WOS:A1986E551800007</t>
  </si>
  <si>
    <t>Usero, J; Morillo, J; El Bakouri, H</t>
  </si>
  <si>
    <t>Usero, Jose; Morillo, Jose; El Bakouri, Hicham</t>
  </si>
  <si>
    <t>A general integrated ecotoxicological method for marine sediment quality assessment: Application to sediments from littoral ecosystems on Southern Spain's Atlantic coast</t>
  </si>
  <si>
    <t>Integrated sediment quality index; Anthropogenic contamination; Trace metals; Bioaccumulation; Sediment toxicity; Macrobenthic community</t>
  </si>
  <si>
    <t>TRACE-METALS; RUDITAPES-PHILIPPINARUM; HEAVY-METALS; PERNA-PERNA; CONTAMINATION; GULF; TOXICITY; ESTUARY; RIVER; POLLUTION</t>
  </si>
  <si>
    <t>In the last few decades, several integrated methods for marine sediment quality evaluation have been developed and applied to many coastal sites. This paper describes the development of a general integrated method based on the determination of organic and inorganic sediment contamination, lethal and sublethal toxicity assessments, in situ benthonic community structure alteration and bioaccumulation of contaminants. The proposed method was applied to sediments from Southern Spain's Atlantic coast where six rivers (Guadiana, Carreras, Piedras, Tinto, Odiel and Guadalquivir) drain pollutants from various anthropogenic sources. A series of experiments was conducted to determine the characteristics of the sediments: granulometry, organic matter content, etc. (1): metal contamination of sediments and Chamelea gallina (bivalves widely distributed in the area studied) (2): lethal and sublethal toxicity by a series of biological tests (3); and macrofauna distribution at the 16 stations included in the study (4). Ratio-to-reference values (RTR) calculated for each parameter were used to determine the organic and inorganic contamination indices, the lethal and sublethal toxicity indices, the index of bioavailability of metals in the organisms analyzed and the macrobenthic alteration index. The data were plotted on six-axis plots to describe better the relations between the physical, chemical and biological Properties studied. A general integrated sediment quality index (ISQI) was determined and used as an indicator of pollution-induced degradation. The ISQI values summarize the main characteristics of the environmental situation at each sampling point and can be used for purposes of comparison. (C) 2008 Elsevier Ltd. All rights reserved.</t>
  </si>
  <si>
    <t>[Usero, Jose; Morillo, Jose; El Bakouri, Hicham] Univ Seville, Dept Environm Chem &amp; Engn, Seville 41092, Spain; [El Bakouri, Hicham] Univ Abdelmalek Esaadi, Dept Chem Engn, Tangier 90000, Morocco</t>
  </si>
  <si>
    <t>University of Sevilla; Abdelmalek Essaadi University of Tetouan</t>
  </si>
  <si>
    <t>El Bakouri, H (corresponding author), Univ Seville, Dept Environm Chem &amp; Engn, Seville 41092, Spain.</t>
  </si>
  <si>
    <t>elbakouri@us.es</t>
  </si>
  <si>
    <t>Usero, José/AAC-6523-2020; Morillo, Jose/I-3205-2015; Usero, Jose/L-8102-2014; El Bakouri, Hicham/E-3435-2016</t>
  </si>
  <si>
    <t>Morillo, Jose/0000-0003-2578-0368; Usero, Jose/0000-0002-2529-3722; El Bakouri, Hicham/0000-0003-1712-9284</t>
  </si>
  <si>
    <t>Environmental Council of the junta de Andalucia (the Andalusian Governing Body), Spain</t>
  </si>
  <si>
    <t>Environmental Council of the junta de Andalucia (the Andalusian Governing Body), Spain(Junta de Andalucia)</t>
  </si>
  <si>
    <t>This research was supported by the Environmental Council of the junta de Andalucia (the Andalusian Governing Body), Spain.</t>
  </si>
  <si>
    <t>10.1016/j.marpolbul.2008.08.009</t>
  </si>
  <si>
    <t>388AF</t>
  </si>
  <si>
    <t>WOS:000261992000020</t>
  </si>
  <si>
    <t>Dafforn, KA; Simpson, SL; Kelaher, BP; Clark, GF; Komyakova, V; Wong, CKC; Johnston, EL</t>
  </si>
  <si>
    <t>Dafforn, Katherine A.; Simpson, Stuart L.; Kelaher, Brendan P.; Clark, Graeme F.; Komyakova, Valeriya; Wong, Chris K. C.; Johnston, Emma L.</t>
  </si>
  <si>
    <t>The challenge of choosing environmental indicators of anthropogenic impacts in estuaries</t>
  </si>
  <si>
    <t>Estuary; Biomonitor; Contaminant; Sediment; Metals</t>
  </si>
  <si>
    <t>CONTAMINATED SEDIMENTS; WATER-QUALITY; HEAVY-METALS; AUSTRALIA; POLLUTION; OYSTERS; COMMUNITIES; BIOMONITORS; DISTURBANCE; COPPER</t>
  </si>
  <si>
    <t>Ecological assessments over large spatial scales require that anthropogenic impacts be distinguishable above natural variation, and that monitoring tools are implemented to maximise impact detection and minimise cost. For three heavily modified and four relatively 'pristine' estuaries (disturbance category), chemical indicators (metals and PAHs) of anthropogenic stress were measured in benthic sediments, suspended sediments and deployed oysters, together with other environmental variables. These were compared with infaunal and hard-substrate invertebrate communities. Univariate analyses were useful for comparing contaminant loads between different monitoring tools and identified the strongest relationships between benthic and suspended sediments. However, multivariate analyses were necessary to distinguish ecological response to anthropogenic stressors from environmental noise over a large spatial scale and to identify sites that were being impacted by contaminants. These analyses provide evidence that suspended sediments are a useful alternative monitoring tool to detect potential anthropogenic impacts on benthic (infaunal and hard-substrate) communities. (C) 2011 Elsevier Ltd. All rights reserved.</t>
  </si>
  <si>
    <t>[Dafforn, Katherine A.; Clark, Graeme F.; Komyakova, Valeriya; Johnston, Emma L.] Univ New S Wales, Sch Biol Earth &amp; Environm Sci, Evolut &amp; Ecol Res Ctr, Sydney, NSW 2052, Australia; [Simpson, Stuart L.] CSIRO Land &amp; Water, Kirrawee, NSW 2232, Australia; [Kelaher, Brendan P.] Univ Technol Sydney, Sch Environm, Broadway, NSW 2007, Australia; [Wong, Chris K. C.] Hong Kong Baptist Univ, Dept Biol, Kowloon Tong, Hong Kong, Peoples R China</t>
  </si>
  <si>
    <t>University of New South Wales Sydney; Commonwealth Scientific &amp; Industrial Research Organisation (CSIRO); University of Technology Sydney; Hong Kong Baptist University</t>
  </si>
  <si>
    <t>Dafforn, KA (corresponding author), Univ New S Wales, Sch Biol Earth &amp; Environm Sci, Evolut &amp; Ecol Res Ctr, Sydney, NSW 2052, Australia.</t>
  </si>
  <si>
    <t>k.dafforn@unsw.edu.au</t>
  </si>
  <si>
    <t>Wong, Kristy/C-8748-2015; Simpson, Stuart/JCE-1589-2023; Dafforn, Katherine/J-9647-2013; Kelaher, Brendan/P-3647-2017; Komyakova, Valeriya/H-4632-2013; Simpson, Stuart/A-6044-2011; Clark, Graeme/M-6448-2017; Johnston, Emma/B-7210-2009</t>
  </si>
  <si>
    <t>Dafforn, Katherine/0000-0001-8848-377X; Kelaher, Brendan/0000-0002-7505-4412; Wong, Chris/0000-0001-5449-5836; Komyakova, Valeriya/0000-0003-3755-1546; Simpson, Stuart/0000-0003-1759-0564; Clark, Graeme/0000-0002-0230-6631; Johnston, Emma/0000-0002-2117-366X</t>
  </si>
  <si>
    <t>Australian Research Council; Bluescope Steel; Marine Parks NSW</t>
  </si>
  <si>
    <t>Australian Research Council(Australian Research Council); Bluescope Steel; Marine Parks NSW</t>
  </si>
  <si>
    <t>This research was primarily supported by the Australian Research Council through an Australian Research Fellowship awarded to Johnston and a Linkage Grant awarded to Johnston, Kelaher and Coleman. We would like to thank members of the Subtidal Ecology and Ecotoxicology laboratory and volunteers for their assistance. We would also like to thank Bluescope Steel and Marine Parks NSW for their support. We thank two anonymous reviewers for their comments that improved the manuscript.</t>
  </si>
  <si>
    <t>10.1016/j.envpol.2011.12.029</t>
  </si>
  <si>
    <t>WOS:000301395400027</t>
  </si>
  <si>
    <t>Schertzinger, G; Zimmermann, S; Grabner, D; Sures, B</t>
  </si>
  <si>
    <t>Schertzinger, Gerhard; Zimmermann, Sonja; Grabner, Daniel; Sures, Bernd</t>
  </si>
  <si>
    <t>Assessment of of sublethal endpoints after chronic exposure of the nematode Caenorhabditis elegans to palladium, platinum and rhodium</t>
  </si>
  <si>
    <t>Growth; Fertility; Reproduction; Metal toxicity; ISO 10872</t>
  </si>
  <si>
    <t>CATHODIC STRIPPING VOLTAMMETRY; DREISSENA-POLYMORPHA; MARISA-CORNUARIETIS; BIOLOGICAL SAMPLES; GENE-EXPRESSION; RAMSHORN SNAIL; HEAVY-METALS; ZEBRA MUSSEL; TOXICITY; SEDIMENTS</t>
  </si>
  <si>
    <t>The aim of this study was to investigate chronic effects of the platinum-group elements (PGE) palladium (Pd), platinum (Pt) and rhodium (Rh) on the nematode Caenorhabditis elegans. Aquatic toxicity testing was carried out according to ISO 10872 by determining 96 h EC50 values for sublethal endpoints, including growth, fertility and reproduction. Single PGE standard solutions were used as metal source. Based on the EC50 values for Pt, reproduction (96 h EC50 = 497 mu g/L) was the most sensitive endpoint followed by fertility (96 h EC50 = 726 a) and growth (96 h EC50 = 808 mu g/L). For Pd, no precise EC50 values could be calculated due to bell-shaped concentration response curves, but the 96 h EC50 for reproduction ranged between 10 and 100 mu g/L. Pd and Pt had effects on all endpoints. With raising element concentrations reproduction was inhibited first. At a certain concentration, fertility was also affected, which in turn had an additional effect on reproduction. Growth inhibition can also lead to a loss of fertility if the worms do not reach an appropriate body size to become fertile. Rhodium showed no inhibition of any endpoint between concentrations of 100 to 10,000 mu g Rh/L. The results of this study allow the following order of PGE with respect to decreasing toxicity to C. elegans: Pd &gt; Pt &gt;&gt; Rh. (C) 2017 Elsevier Ltd. All rights reserved.</t>
  </si>
  <si>
    <t>[Schertzinger, Gerhard] Univ Duisburg Essen, Dept Aquat Ecol, Univ Str 5, D-45144 Essen, Germany; Univ Duisburg Essen, Ctr Water &amp; Environm Res, Univ Str 5, D-45144 Essen, Germany</t>
  </si>
  <si>
    <t>Schertzinger, G (corresponding author), Univ Duisburg Essen, Dept Aquat Ecol, Univ Str 5, D-45144 Essen, Germany.</t>
  </si>
  <si>
    <t>gerhard.schertzinger@uni-due.de</t>
  </si>
  <si>
    <t>Sures, Bernd/0000-0001-6865-6186; Grabner, Daniel/0000-0002-1251-7096; Schertzinger, Gerhard/0009-0009-6971-6780</t>
  </si>
  <si>
    <t>10.1016/j.envpol.2017.06.040</t>
  </si>
  <si>
    <t>WOS:000412250900004</t>
  </si>
  <si>
    <t>Hawkins, CA; Sokolova, IM</t>
  </si>
  <si>
    <t>Hawkins, C. A.; Sokolova, I. M.</t>
  </si>
  <si>
    <t>Effects of elevated CO2 levels on subcellular distribution of trace metals (Cd and Cu) in marine bivalves</t>
  </si>
  <si>
    <t>Hypercapnia; Mitochondria; Lysosomes; Microsomes; Metallothioneins; Metal-containing granules; Detoxification; Ocean acidification; Metal accumulation</t>
  </si>
  <si>
    <t>VIRGINICA GMELIN BIVALVIA; OCEAN ACIDIFICATION INCREASES; TROUT ONCORHYNCHUS-MYKISS; CRASSOSTREA-VIRGINICA; BROWN CELLS; CADMIUM EXPOSURE; ACID-BASE; ENVIRONMENTAL HYPERCAPNIA; SEDIMENT ACIDIFICATION; EASTERN OYSTERS</t>
  </si>
  <si>
    <t>Hypercapnia (elevated CO2 levels) and pollution with trace metals such as Cu and Cd are common stressors in estuarine habitats that can negatively affect physiology and health of marine organisms. Hypercapnia can modulate toxicity of trace metals including Cu and Cd; however, the physiological and cellular mechanisms of the metal-CO2 interactions are not well understood. We investigated the effects of elevated Pco(2) (similar to 800 and 2000 mu atm) and metal exposure (50 mu gr(-1) of Cu or Cd) on subcellular distribution of metals in two common species of marine bivalves, Eastern oysters Crassostrea virginica and hard shell clams Mercenaria mercenaria. Oysters accumulated higher burdens of Cu and Cd in the gill tissues compared to clams. In both studied species, Cu was predominantly associated with the metabolically active cell compartments (mitochondria, lysosomes, microsomes and cytosolic enzymes), with a modest fraction sequestered by metallothioneins (similar to 30%) and the insoluble metal-containing granules (MCG) (similar to 15-20%). Unlike Cu, Cd was largely sequestered by metallothioneins (similar to 60-70%), with a relatively small fraction associated with the organelles and the cytosolic enzymes. Mitochondria were the main intracellular target for trace metals accumulating higher concentrations of Cd (and in the case of oysters of Cu) than other organelles or cytosolic enzymes. Cu accumulation in the metabolically active cellular compartments was independent of the CO2 levels, while Cd content of the organelles and cytosolic enzymes increased at elevated Pco(2) in both studied species indicating that hypercapnia may enhance cellular toxicity of Cd in bivalves. Hypercapnia suppressed the sequestration capacity of metallothioneins for Cu and Cd in oysters but increased Cu and Cd load in clam metallothioneins. Thus, metal-induced metabolic injury in oysters may be exaggerated by hypercapnia which enhances metal accumulation in the potentially sensitive intracellular fractions and suppresses the metal detoxification capacity. In contrast, clams appear to be more resistant to the combined effects of hypercapnia and metal exposure reflecting more efficient and robust detoxification mechanisms of this species.</t>
  </si>
  <si>
    <t>[Hawkins, C. A.] Univ North Carolina Charlotte, Dept Biol Sci, 9201 Univ City Blvd, Charlotte, NC USA; [Sokolova, I. M.] Univ Rostock, Inst Biol Sci, Dept Marine Biol, A Einstein Str 3, Rostock, Germany</t>
  </si>
  <si>
    <t>University of North Carolina; University of North Carolina Charlotte; University of Rostock</t>
  </si>
  <si>
    <t>Sokolova, IM (corresponding author), Univ Rostock, Inst Biol Sci, Dept Marine Biol, A Einstein Str 3, Rostock, Germany.</t>
  </si>
  <si>
    <t>U.S. National Science Foundation award [IOS-0921367]; University of Rostock (Germany)</t>
  </si>
  <si>
    <t>U.S. National Science Foundation award(National Science Foundation (NSF)); University of Rostock (Germany)</t>
  </si>
  <si>
    <t>The authors thank Dr. Amy Ringwood and Dr. Michael Murphy (University of North Carolina at Charlotte) for assistance with the metal determinations using AAS. The work was in part supported by the U.S. National Science Foundation award IOS-0921367 and the University of Rostock (Germany).</t>
  </si>
  <si>
    <t>10.1016/j.aquatox.2017.09.028</t>
  </si>
  <si>
    <t>FN1RK</t>
  </si>
  <si>
    <t>WOS:000415768700028</t>
  </si>
  <si>
    <t>Mirto, S; La Rosa, T; Danovaro, R; Mazzola, A</t>
  </si>
  <si>
    <t>Microbial and meiofaunal response to intensive mussel-farm biodeposition in coastal sediments of the Western Mediterranean</t>
  </si>
  <si>
    <t>mussel farm; bacteria; cyanobacteria; picoeukaryotes; meiofauna; Mediterranean Sea</t>
  </si>
  <si>
    <t>ORGANIC-MATTER; TYRRHENIAN SEA; THAU LAGOON; COMMUNITIES; REDUCTION; INTERFACE; BIOMASS; CYCLE</t>
  </si>
  <si>
    <t>We studied the impact of organic loads due to the biodeposition of a mussel farm in a coastal area of the Tyrrhenian Sea (Western Mediterranean). Sediment chemistry, microbial and meiofaunal assemblages were investigated from March 1997 to February 1998 on monthly basis at two stations: the first was located under the mussel farm, while the second nas at about 1-km distance and served as control. Benthic response to changes in the biodepositional regime was investigated in terms of biochemical composition of the sedimentary organic matter, phytopigment content, bacterial abundance and composition and meiofaunal community structure. A large accumulation of chloroplastic pigments, proteins and Lipids nas observed under the mussel farm. Such changes in the sedimentary conditions reflected the accumulation of faeces and pseudo-faeces and led to the creation of reducing conditions. Microbial assemblages beneath the mussel cultures increased their densities and displayed, when compared to the control, a larger cyanobacterial importance associated to a strong decrease of the picoeukaryotic cell density. Farm sediments displayed significant changes in meiofaunal density: turbellarian, ostracod and kinorhynch densities decreased significantly, while copepods remained constant or increased possibly profiting of the enrichment in microphytobenthic biomass associated to mussel biodeposits. The comparative anal? sis of the mussel biodeposition and fish-farm impact on sediments beneath the cultures revealed that mussel farms induced a considerably lower disturbance on benthic community structure. (C) 2000 Elsevier Science Ltd, All rights reserved.</t>
  </si>
  <si>
    <t>Univ Ancona, Fac Sci, Inst Sci Mer, I-60131 Ancona, Italy; Univ Palermo, Dipartimento Biol Anim, I-90123 Palermo, Italy; Univ Bari, Dipartimento Zool, I-70125 Bari, Italy</t>
  </si>
  <si>
    <t>Marche Polytechnic University; University of Palermo; Universita degli Studi di Bari Aldo Moro</t>
  </si>
  <si>
    <t>Univ Ancona, Fac Sci, Inst Sci Mer, Via Brecce Bianche,Monte Dargo, I-60131 Ancona, Italy.</t>
  </si>
  <si>
    <t>labiomar@unipa.it</t>
  </si>
  <si>
    <t>Mirto, Simone/B-7474-2016</t>
  </si>
  <si>
    <t>Mirto, Simone/0000-0003-4707-7307</t>
  </si>
  <si>
    <t>10.1016/S0025-326X(99)00209-X</t>
  </si>
  <si>
    <t>296YD</t>
  </si>
  <si>
    <t>WOS:000086053600018</t>
  </si>
  <si>
    <t>Facchetti, SV; La Spina, R; Fumagalli, F; Riccardi, N; Gilliland, D; Ponti, J</t>
  </si>
  <si>
    <t>Facchetti, Samantha, V; La Spina, Rita; Fumagalli, Francesco; Riccardi, Nicoletta; Gilliland, Douglas; Ponti, Jessica</t>
  </si>
  <si>
    <t>Detection of Metal-Doped Fluorescent PVC Microplastics in Freshwater Mussels</t>
  </si>
  <si>
    <t>methods development; metal-doped PVC microplastics; fluorescence; mollusks; mussels; bioaccumulation</t>
  </si>
  <si>
    <t>PLASTIC RESIN PELLETS; TRACE-METALS; MARINE; ABUNDANCE; ADSORPTION; EXTRACTION; ORGANISMS; DIGESTION; POLLUTION; FIELD</t>
  </si>
  <si>
    <t>The large-scale production of plastic and the resulting release of waste is leading to a huge accumulation of micro-sized particles in the environment that could have an impact on not only aquatic organisms but also on humans. Despite the extensive literature on the subject, there is still an insufficient harmonization of methodologies for the collection and analysis of microplastics (MPs) in complex matrices; especially for high density polymers; such as polyvinyl chloride (PVC), which tend to sink and accumulate in sediments, becoming available to benthonic organisms. In this article, mussels have been chosen as model for microplastic accumulation due to their extensive filtering activity and their wide distribution in both fresh and salt water basins. To facilitate the identification and quantification of microplastics taken up by mussels, novel fluorescent and metal-doped PVC microplastics (PVC-Platinum octaethylporphyrin (PtOEP) MPs in the size range of 100 mu m) have been synthesized and characterized. For the analysis of the mussels following exposure, an enzymatic protocol using amylase, lipase, papain, and SDS for organic material digestion and a sucrose-ZnCl2 density gradient for the selective separation of ingested microplastics has been developed. The final identification of MPs was performed by fluorescence microscopy. This work can greatly benefit the scientific community by providing a means to study the behavior of PVC MPs, which represent an example of a very relevant yet poorly studied high density polymeric contaminant commonly found in complex environmental matrices.</t>
  </si>
  <si>
    <t>[Facchetti, Samantha, V; La Spina, Rita; Fumagalli, Francesco; Gilliland, Douglas; Ponti, Jessica] European Commiss, Joint Res Ctr JRC, I-21027 Ispra, Italy; [Riccardi, Nicoletta] Natl Res Council CNR, Inst Ecosyst Study, I-28922 Pallanza, Italy</t>
  </si>
  <si>
    <t>European Commission Joint Research Centre; EC JRC ISPRA Site; Consiglio Nazionale delle Ricerche (CNR); Istituto per lo Studio degli Ecosistemi (ISE-CNR)</t>
  </si>
  <si>
    <t>Ponti, J (corresponding author), European Commiss, Joint Res Ctr JRC, I-21027 Ispra, Italy.</t>
  </si>
  <si>
    <t>facchettisamantha@gmail.com; rita.la-spina@ec.europa.eu; francesco-Sirio.fumagalli@ec.europa.eu; nicoletta.riccardi@irsa.cnr.it; douglas.gilliland@ec.europa.eu; jessica.ponti@ec.europa.eu</t>
  </si>
  <si>
    <t>Fumagalli, Francesco/A-8736-2013; Riccardi, Nicoletta/ABD-3351-2020; Riccardi, Nicoletta Rita/G-1756-2013</t>
  </si>
  <si>
    <t>Fumagalli, Francesco/0000-0003-2172-9469; Ponti, Jessica/0000-0002-4961-8405; Riccardi, Nicoletta Rita/0000-0002-5297-3387</t>
  </si>
  <si>
    <t>10.3390/nano10122363</t>
  </si>
  <si>
    <t>PK4KW</t>
  </si>
  <si>
    <t>WOS:000602417000001</t>
  </si>
  <si>
    <t>Jadhav, RR; Chaudhari, AU; Patil, DN; Kodam, KM; Jadhav, JP</t>
  </si>
  <si>
    <t>Jadhav, Rahul R.; Chaudhari, Ashvini U.; Patil, Devashree N.; Kodam, Kisan M.; Jadhav, Jyoti P.</t>
  </si>
  <si>
    <t>In situ treatment of real textile effluent in constructed furrows using consortium of Canna indica and Saccharomyces cerevisiae and subsequent biochemical and toxicity evaluation</t>
  </si>
  <si>
    <t>Biodegradation; Bivalve toxicity; Constructed furrows; Textile effluent; Metabolites profiling</t>
  </si>
  <si>
    <t>WASTE-WATER; AZO DYES; DECOLORIZATION; PHYTOREMEDIATION; DECOLOURIZATION; BIODEGRADATION; DETOXIFICATION; PHYTOREACTOR; AUGMENTATION; DEGRADATION</t>
  </si>
  <si>
    <t>Emerging contaminants removals like dyes and heavy metals from the textile effluent have an immense chal-lenge. The present study focuses on the biotransformation and detoxification of dyes and in situ textile effluent treatment by plants and microbes efficiently. A mixed consortium of perennial herbaceous plant Canna indica and fungi Saccharomyces cerevisiae showed decolorization of di-azo dye Congo red (CR, 100 mg/L) up to 97% within 72 h. Root tissues and Saccharomyces cerevisiae cells revealed induction of various dye-degrading oxidoreductase enzymes such as lignin peroxidase, laccase, veratryl alcohol oxidase and azo reductase during CR decolorization. Chlorophyll a, Chlorophyll b and carotenoid pigments were notably elevated in the leaves of a plant during the treatment. Phytotransformation of CR into its metabolic constituents was detected by using several analytical techniques, including FTIR, HPLC, and GC-MS and its non-toxic nature was confirmed by cyto-toxicological evaluation on Allium cepa and on freshwater bivalves. Mix consortium of plant Canna indica and fungi Saccha-romyces cerevisiae efficiently treated textile wastewater (500 L) and reduced ADMI, COD, BOD, TSS and TDS (74, 68, 68, 78, and 66%) within 96 h. In situ textile wastewater treatment for in furrows constructed and planted with Canna indica, Saccharomyces cerevisiae and consortium-CS within 4 days reveals reduced ADMI, COD, BOD, TDS and TSS (74, 73, 75, 78, and 77%). Comprehensive observations recommend this is an intelligent tactic to exploit this consortium in the furrows for textile wastewater treatment.</t>
  </si>
  <si>
    <t>[Jadhav, Rahul R.; Chaudhari, Ashvini U.; Patil, Devashree N.; Jadhav, Jyoti P.] Shivaji Univ, Dept Biotechnol, Kolhapur 416004, Maharashtra, India; [Jadhav, Jyoti P.] Shivaji Univ, Dept Biochem, Kolhapur 416004, Maharashtra, India; [Chaudhari, Ashvini U.; Kodam, Kisan M.] Savitribai Phule Pune Univ, Dept Biochem, Pune 411007, Maharashtra, India</t>
  </si>
  <si>
    <t>Shivaji University; Shivaji University; Savitribai Phule Pune University</t>
  </si>
  <si>
    <t>Jadhav, JP (corresponding author), Shivaji Univ, Dept Biotechnol, Kolhapur 416004, Maharashtra, India.</t>
  </si>
  <si>
    <t>jpjbiochem@gmail.com</t>
  </si>
  <si>
    <t>Chhatrapati Shahu Maharaj Training, Research and Human Development Institute (SARTHI) , Pune Government of Maharashtra; University Grant Commission (UGC) , India [F.4-2/2006 (BSR) /BL/19-20/0128]; DST, India [2017/IF170648]; DBT, New Delhi, India [BT/PR4572/INF/22/147]</t>
  </si>
  <si>
    <t>Chhatrapati Shahu Maharaj Training, Research and Human Development Institute (SARTHI) , Pune Government of Maharashtra; University Grant Commission (UGC) , India(University Grants Commission, India); DST, India(Department of Science &amp; Technology (India)); DBT, New Delhi, India(Department of Biotechnology (DBT) India)</t>
  </si>
  <si>
    <t>Mr. Rahul R. Jadhav is thankful to Chhatrapati Shahu Maharaj Training, Research and Human Development Institute (SARTHI) , Pune Government of Maharashtra for providing CSMNRF-2019 fellowship. Mrs. Ashvini U. Chaudhari is thankful to University Grant Commission (UGC) , India for providing D.S. Kothari Postdoctoral fellowship (F.4-2/2006 (BSR) /BL/19-20/0128) . Mrs. Devashree N. Patil is thankful to DST, India for providing DST-INSPIRE fellowship 2017/IF170648. Prof. Jyoti P. Jadhav is thankful to DBT, New Delhi, India for SUK-IPLS pro- gram (BT/PR4572/INF/22/147) . Also, all authors thankful to Shivaji University, Kolhapur and Savitribai Phule Pune University, Pune for providing facility for research.</t>
  </si>
  <si>
    <t>10.1016/j.envpol.2023.121583</t>
  </si>
  <si>
    <t>F5HL9</t>
  </si>
  <si>
    <t>WOS:000982655400001</t>
  </si>
  <si>
    <t>Melis, R; Covelli, S</t>
  </si>
  <si>
    <t>Melis, R.; Covelli, S.</t>
  </si>
  <si>
    <t>Distribution and morphological abnormalities of recent foraminifera in the Marano and Grado Lagoon (North Adriatic Sea, Italy)</t>
  </si>
  <si>
    <t>Foraminifers; Marano and Grado Lagoon; Recent; paralic assemblage; test abnormality</t>
  </si>
  <si>
    <t>HEAVY-METAL POLLUTION; BENTHIC FORAMINIFERA; MERCURY; CONTAMINATION; AMMONIA; TESTS; BIOINDICATORS; ENVIRONMENTS; ASSEMBLAGES; SEDIMENTS</t>
  </si>
  <si>
    <t>The Marano and Grado Lagoon, is a northern Adriatic wetland system of relevant naturalistic and economic value that is constantly under quality control in accordance with the current environmental directives. The benthic foraminifer community with its morphological abnormalities was investigated in the recent sediments (about 10 years old) of 21 stations; the samples were collected within the framework of the MIRACLE Project, which aimed at testing the coexistence of clam farming with high Hg contamination. Euryhaline foraminifers, well known in Mediterranean brackish-waters, mainly characterize the total assemblage. Ammonia tepida dominates in areas characterized by low salinity, high clay and organic carbon content, but is also subjected to anthropogenic pressure. Elphidium gunteri and Haynesina germanica are recorded in the western sector of the lagoon, which is more affected by salinity variations and agricultural activities. Slightly higher values of assemblage diversity appear in less restricted areas of the lagoon or, at least, where physical parameters such as temperature and salinity are less variable. The test abnormalities, carried out on total assemblage, show that the FAI (Foraminiferal Abnormality Index) values always exceed 1% of the total assemblage, with clear decreasing gradients from inland to the sea (from N to S) and from W to E in the studied area.</t>
  </si>
  <si>
    <t>[Melis, R.; Covelli, S.] Dipartimento Matemat &amp; Geosci, I-34127 Trieste, Italy</t>
  </si>
  <si>
    <t>Melis, R (corresponding author), Dipartimento Matemat &amp; Geosci, Via E Weiss 2, I-34127 Trieste, Italy.</t>
  </si>
  <si>
    <t>melis@units.it</t>
  </si>
  <si>
    <t>COVELLI, STEFANO/0000-0002-0038-6658</t>
  </si>
  <si>
    <t>Trieste University; Commissario Delegato for the Marano and Grado Lagoon</t>
  </si>
  <si>
    <t>Funding for this research was provided by the Trieste University Project (2011) I foraminiferi quali indicatori di ambienti paralici inquinati: studio di stratigrafia ambientale nella Laguna di Marano e Grado (leader R. Melis). The MIRACLE (Mercury Interdisciplinary Research for Appropriate Clam farming in Lagoon Environment) Project was supported financially by the Commissario Delegato for the Marano and Grado Lagoon in 2008-2009 (coordinator: S. Covelli). The authors wish to thank J. Bugarski for her precious help in laboratory activities, A. Emili for field work, and C. Landucci from DMG Trieste for preparation of the graphics. The review of English was done by Cohn Smith (LucidPapers). The authors also thank the anonymous reviewers for their useful comments.</t>
  </si>
  <si>
    <t>10.12681/mms.351</t>
  </si>
  <si>
    <t>262RS</t>
  </si>
  <si>
    <t>WOS:000327755900022</t>
  </si>
  <si>
    <t>Ugge, GMOE; Jonsson, A; Berglund, O</t>
  </si>
  <si>
    <t>Ugge, Gustaf M. O. Ekelund; Jonsson, Annie; Berglund, Olof</t>
  </si>
  <si>
    <t>Molecular biomarker responses in the freshwater mussel Anodonta anatina exposed to an industrial wastewater effluent</t>
  </si>
  <si>
    <t>Bivalve; Effect size; Mixture toxicity; RT-qPCR; Sex effects; Wastewater</t>
  </si>
  <si>
    <t>MYTILUS-GALLOPROVINCIALIS; CORBICULA-FLUMINEA; POLLUTION GRADIENT; RISK-ASSESSMENT; METAL; BIOACCUMULATION; COPPER; ACCUMULATION; TOXICITY; GROWTH</t>
  </si>
  <si>
    <t>Using a selection of molecular biomarkers, we evaluated responses in freshwater mussels (Anodonta anatina) exposed to effluent from an industrial wastewater treatment facility. The aims of this work were to (1) assess biomarkers of general toxicity under sublethal exposure to an anthropogenic mixture of chemicals, represented by an arbitrary effluent, and (2) evaluate the potential of A. anatina as a bioindicator of pollution. Adult mussels (n = in total 32; 24 males and 8 females) were exposed (96 h) in the laboratory to a fixed dilution of effluent or to a control treatment of standardized freshwater. Metal concentrations were in general higher in the effluent, by an order of magnitude or more, compared to the control. Toxic unit estimates were used as proxies of chemical stress, and Cu, Ni, and Zn were identified as potential major contributors (Cu&gt; Ni &gt; Zn). Six transcriptional (cat, gst, hsp70, hsp90, mt, sod) and two biochemical (AChE, GST) biomarkers were analyzed in two tissues, gills, and digestive glands. Out of the 16 responses (eight biomarkers x two tissues), 14 effect sizes were small (within +/- 28 % of control) and differences non-significant (p &gt; 0.05). Results did however show that (1) AChE activity increased by 40% in gills of exposed mussels compared to control, (2) hsp90 expression was 100% higher in exposed female gills compared to control, and (3) three marker signals (AChE in both tissues, and hsp70 in gills) differed between sexes, independent of treatment. Results highlight a need for further investigation of molecular biomarker variability and robustness in A. anatina.</t>
  </si>
  <si>
    <t>[Ugge, Gustaf M. O. Ekelund; Berglund, Olof] Lund Univ, Dept Biol, Solvegatan 37, S-22362 Lund, Sweden; [Ugge, Gustaf M. O. Ekelund; Jonsson, Annie] Univ Skovde, Sch Biosci, Hogskolevagen 3, S-54146 Skovde, Sweden</t>
  </si>
  <si>
    <t>Ugge, GMOE (corresponding author), Lund Univ, Dept Biol, Solvegatan 37, S-22362 Lund, Sweden.;Ugge, GMOE (corresponding author), Univ Skovde, Sch Biosci, Hogskolevagen 3, S-54146 Skovde, Sweden.</t>
  </si>
  <si>
    <t>; Ekelund Ugge, Gustaf M.O./L-6630-2018</t>
  </si>
  <si>
    <t>Berglund, Olof/0000-0002-5785-0087; Ekelund Ugge, Gustaf M.O./0000-0002-2418-1163</t>
  </si>
  <si>
    <t>Lund University; Swedish Knowledge Foundation; Jorgen Lindstrom's Foundation; ALS Scandinavia Toxicon AB (Landskrona, Sweden); TATAA Biocenter AB (Gothenburg, Sweden)</t>
  </si>
  <si>
    <t>Open access funding provided by Lund University. This work was supported by the Swedish Knowledge Foundation and Jorgen Lindstrom's Foundation, and co-funded by ALS Scandinavia Toxicon AB (Landskrona, Sweden) and TATAA Biocenter AB (Gothenburg, Sweden) as part of the project WaterAssess. An anonymous chemical company provided the tested effluent water.TATAA Biocenter AB was involved in designing and performing the transcriptional biomarker assays, and ALS Scandinavia (Lulea, Sweden; parent company of Toxicon AB) performed the chemical analyses of tissue and water samples. Staff from ALS Scandinavia Toxicon AB occasionally assisted in laboratory maintenance (feeding mussels and measuring water pH/O2). Parts of the manuscript were discussed with a representative from the anonymous chemical company before submission to agree on technical descriptions of the industry and the effluent. Otherwise, no funding sources were involved in designing the experiments, collecting data, or writing the manuscript.</t>
  </si>
  <si>
    <t>10.1007/s11356-021-15633-4</t>
  </si>
  <si>
    <t>YC3BT</t>
  </si>
  <si>
    <t>WOS:000682415400003</t>
  </si>
  <si>
    <t>Khondee, P; Srisomsap, C; Chokchaichamnankit, D; Svasti, J; Simpson, RJ; Kingtong, S</t>
  </si>
  <si>
    <t>Khondee, Phattirapa; Srisomsap, Chantragan; Chokchaichamnankit, Daranee; Svasti, Jisnuson; Simpson, Richard J.; Kingtong, Sutin</t>
  </si>
  <si>
    <t>Histopathological effect and stress response of mantle proteome following TBT exposure in the Hooded oyster Saccostrea cucullata</t>
  </si>
  <si>
    <t>Biomarker; Calcium homeostasis; Cytoskeleton; Histopathological effect; Tributyltin</t>
  </si>
  <si>
    <t>CRASSOSTREA-GIGAS; PACIFIC OYSTER; ANTIOXIDANT ENZYMES; ACUTE TOXICITY; TRIBUTYLTIN; IDENTIFICATION; EXPRESSION; APOPTOSIS; PROTEINS; CHLORIDE</t>
  </si>
  <si>
    <t>Tributyltin (TBT), an environmental pollutant in marine ecosystems, is toxic to organisms. Although contamination by and bioaccumulation and toxicity of this compound have been widely reported, its underlying molecular mechanisms remain unclear. In the present study, we exposed the Hooded oyster Saccostrea cucullata to TBT to investigate histopathological effects and proteome stress response. Animals were exposed to three TBT sub-lethal concentrations, 10, 50 and 150 mu g/l for 48 h. TBT produced stress leading to histopathological changes in oyster tissues including mantle, gill, stomach and digestive diverticula. TBT induced mucocyte production in epithelia and hemocyte aggregation in connective tissue. Cell necrosis occurred when exposure dosages were high. Comparative proteome analyses of mantle protein of oysters exposed to 10 mu g/l. and control animals were analyzed by a 2-DE based proteomic approach. In total, 32 protein spots were found to differ (p &lt; 0.05). Of these, 17 proteins were identified which included 14 up-regulated and 3 down-regulated proteins. TBT induced the expression of proteins involved in defensive mechanisms (HSP-78, HSP-70, aldehyde dehydrogenase and catalase), calcium homeostasis (VDAC-3), cytoskeleton and cytoskeleton-associated proteins, energy metabolism and amino acid metabolism. Our study revealed that TBT disturbs calcium homeostasis via VDAC-3 protein in mantle and this probably is the key molecular mechanism of TBT acting to distort shell calcification. Moreover, proteins involved in cell structure (tubulin-alpha and tubulin-beta) and protein synthesis were reduced after TBT exposure. Additionally, differential proteins obtained from this work will be useful as potential TBT biomarkers. (C) 2016 Elsevier Ltd. All rights reserved.</t>
  </si>
  <si>
    <t>[Khondee, Phattirapa] Burapha Univ, Fac Educ, Bangsean Rd, Chon Buri 20131, Thailand; [Srisomsap, Chantragan; Chokchaichamnankit, Daranee; Svasti, Jisnuson] Chulabhorn Res Inst, Biochem Lab, Bangkok 10210, Thailand; [Svasti, Jisnuson] Mahidol Univ, Dept Biochem, Fac Sci, Rama 6 Rd, Bangkok 10400, Thailand; [Simpson, Richard J.] La Trobe Univ, La Trobe Inst Mol Sci LIMS, Bundoora, Vic 3086, Australia; [Kingtong, Sutin] Burapha Univ, Dept Biol, Fac Sci, Bangsean Rd, Chon Buri 20131, Thailand</t>
  </si>
  <si>
    <t>Burapha University; Chulabhorn Research Institute; Mahidol University; La Trobe University; Burapha University</t>
  </si>
  <si>
    <t>Kingtong, S (corresponding author), Burapha Univ, Dept Biol, Fac Sci, Bangsean Rd, Chon Buri 20131, Thailand.</t>
  </si>
  <si>
    <t>sutin@buu.ac.th</t>
  </si>
  <si>
    <t>Kingtong, Sutin/AAU-9453-2021; Svasti, Jisnuson/HTR-3880-2023; Simpson, Richard/A-6947-2012</t>
  </si>
  <si>
    <t>Svasti, Jisnuson/0000-0002-2217-4517; Simpson, Richard/0000-0002-9834-0796; Kingtong, Sutin/0000-0003-1464-5718</t>
  </si>
  <si>
    <t>Research and Development Fund Burapha University through National Research Council of Thailand [77/2558]</t>
  </si>
  <si>
    <t>Research and Development Fund Burapha University through National Research Council of Thailand</t>
  </si>
  <si>
    <t>This work was financially supported by the Research and Development Fund Burapha University through National Research Council of Thailand (Grant no. 77/2558). The authors are grateful to Prof. Dr. Frederick William Henry Beamish for the comment and English proofreading.</t>
  </si>
  <si>
    <t>10.1016/j.envpol.2016.08.011</t>
  </si>
  <si>
    <t>DZ1JZ</t>
  </si>
  <si>
    <t>WOS:000385596000091</t>
  </si>
  <si>
    <t>PFAFFENBERGER, B; HUHNERFUSS, H; KALLENBORN, R; KOHLERGUNTHER, A; KONIG, WA; KRUNER, G</t>
  </si>
  <si>
    <t>CHROMATOGRAPHIC-SEPARATION OF THE ENANTIOMERS OF MARINE POLLUTANTS .6. COMPARISON OF THE ENANTIOSELECTIVE DEGRADATION OF ALPHA-HEXACHLOROCYCLOHEXANE IN MARINE BIOTA AND WATER</t>
  </si>
  <si>
    <t>The enantiomeric ratios of the chiral marine pollutant alpha-hexachlorocyclohexane [alpha-HCH] was determined in blue mussels (Mytilus edulis L.), flounders (Platychthys flesus (L.)), Common eider ducks (Somateria mollissima (L.)), and in North Sea water of experimental sites in the German Bight by means of capillary gas chromatography using beta-cyclodextrin derivatives as chiral stationary phases. Different enzymatic degradation pathways are revealed by opposite enantioselective enrichments of the alpha-HCH enantiomers: while in the liver of Common eider ducks the preferable degradation of (-)-alpha-HCH leads to an enrichment of (+)-alpha-HCH [i.e., ((+)-alpha-HCH/(-)-alpha-HCH almost-equal-to 1.4 - infinity], the enantiomeric ratios measured in the liver samples of flounders[(+)-alpha-HCH/(-)-alpha-HCH almost-equal-to 0.80 - 0.94], in blue mussels [(+)-alpha-HCH/(-)-alpha-HCH almost-equal-to 0.84 - 0.93] and in the North Sea water samples [(+)-alpha-HCH/(-)-alpha-HCH almost-equal-to 0.84] imply enzymatic processes in the course of which common structural elements are preferred represented by (+)-alpha-HCH.</t>
  </si>
  <si>
    <t>UNIV HAMBURG,INST ORGAN CHEM,MARTIN LUTHER KING PL 6,W-2000 HAMBURG 13,GERMANY; BIOL ANSTALT HELGOLAND,W-2000 HAMBURG 52,GERMANY</t>
  </si>
  <si>
    <t>University of Hamburg; Helmholtz Association; Alfred Wegener Institute, Helmholtz Centre for Polar &amp; Marine Research</t>
  </si>
  <si>
    <t>Kallenborn, Roland/F-8368-2011</t>
  </si>
  <si>
    <t>10.1016/0045-6535(92)90433-R</t>
  </si>
  <si>
    <t>JR973</t>
  </si>
  <si>
    <t>WOS:A1992JR97300008</t>
  </si>
  <si>
    <t>Fletcher, DE; Lindell, AH; Stillings, GK; Mills, GL; Blas, SA; McArthur, JV</t>
  </si>
  <si>
    <t>Fletcher, Dean E.; Lindell, Angela H.; Stillings, Garrett K.; Mills, Gary L.; Blas, Susan A.; McArthur, J. Vaun</t>
  </si>
  <si>
    <t>Spatial and taxonomic variation in trace element bioaccumulation in two herbivores from a coal combustion waste contaminated stream</t>
  </si>
  <si>
    <t>Trace elements; Bioaccumulation; Coal combustion waste; Clam; Mayfly</t>
  </si>
  <si>
    <t>SOUTHEASTERN UNITED-STATES; CLAM CORBICULA-FLUMINEA; CARBON-ISOTOPE RATIOS; HEAVY-METALS; LIFE-HISTORIES; ARKANSAS RIVER; ASIATIC CLAM; CADMIUM; MACROINVERTEBRATES; ACCUMULATION</t>
  </si>
  <si>
    <t>Dissimilarities in habitat use, feeding habits, life histories, and physiology can result in syntopic aquatic taxa of similar trophic position bioaccumulating trace elements in vastly different patterns. We compared bioaccumulation in a clam, Corbicula fluminea and mayfly nymph Maccaffertium modestum from a coal combustion waste contaminated stream. Collection sites differed in distance to contaminant sources, incision, floodplain activity, and sources of flood event water and organic matter. Contaminants variably accumulated in both sediment and biofilm. Bioaccumulation differed between species and sites with C fluminea accumulating higher concentrations of Hg, Cs, Sr, Se, As, Be, and Cu, but M. modestum higher Pb and V. Stable isotope analyses suggested both spatial and taxonomic differences in resource use with greater variability and overlap between species in the more physically disturbed site. The complex but essential interactions between organismal biology, divergence in resource use, and bioaccumulation as related to stream habitat requires further studies essential to understand impacts of metal pollution on stream systems. (C) 2014 Elsevier Inc. All rights reserved.</t>
  </si>
  <si>
    <t>[Fletcher, Dean E.; Lindell, Angela H.; Stillings, Garrett K.; Mills, Gary L.; McArthur, J. Vaun] Univ Georgia, Savannah River Ecol Lab, Aiken, SC 29802 USA; [Blas, Susan A.] Savannah River Nucl Solut, Area Complet Projects, Aiken, SC 29808 USA</t>
  </si>
  <si>
    <t>University System of Georgia; University of Georgia; United States Department of Energy (DOE); Savannah River Ecology Laboratory</t>
  </si>
  <si>
    <t>Fletcher, DE (corresponding author), Univ Georgia, Savannah River Ecol Lab, PO Drawer E, Aiken, SC 29802 USA.</t>
  </si>
  <si>
    <t>fletcher@srel.uga.edu; lindell@srel.uga.edu; garrett.stillings@ky.gov; gmills@srel.uga.edu; susan.blas@srs.gov; mcarthur@srel.uga.edu</t>
  </si>
  <si>
    <t>Department of Energy; Area Completion Projects group-SRNS [DE-FC09-07SR22506]</t>
  </si>
  <si>
    <t>Department of Energy(United States Department of Energy (DOE)); Area Completion Projects group-SRNS</t>
  </si>
  <si>
    <t>This material is based upon work supported by the Department of Energy and the Area Completion Projects group-SRNS under Award Number DE-FC09-07SR22506 to the University of Georgia Research Foundation. We thank Bill Hopkins for his insightful comments that improved this manuscript and David Kling, Cynthia Tant, Beryl Walker, and Nathaniel Fletcher for field and lab assistance, Tracye Murphy and John Seaman for trace element analysis and Tom Maddox for SIA.</t>
  </si>
  <si>
    <t>10.1016/j.ecoenv.2013.12.024</t>
  </si>
  <si>
    <t>AB5UE</t>
  </si>
  <si>
    <t>WOS:000331853400028</t>
  </si>
  <si>
    <t>Fan, WH; Ren, JQ; Wu, CG; Tan, C; Wang, XL; Cui, MM; Wu, K; Li, XM</t>
  </si>
  <si>
    <t>Fan, Wenhong; Ren, Jinqian; Wu, Chenguang; Tan, Cheng; Wang, Xiaolong; Cui, Minming; Wu, Kuang; Li, Xiaomin</t>
  </si>
  <si>
    <t>Using enriched stable isotope technique to study Cu bioaccumulation and bioavailability in Corbicula fluminea from Taihu Lake, China</t>
  </si>
  <si>
    <t>Stable isotope; Trace metal; Corbicula fluminea; Bioavailability; Taihu Lake</t>
  </si>
  <si>
    <t>WATER BIVALVE CORBICULA; DAPHNIA-MAGNA; HEAVY-METALS; TRACE-METALS; SEQUENTIAL EXTRACTION; COPPER ACCUMULATION; BIODYNAMICS; SEDIMENT; RIVER; CONTAMINATION</t>
  </si>
  <si>
    <t>In this study, we measured trace metals (Cd, Cr, Cu, Ni, Pb, and Zn) in water and sediment from representative sites of Taihu Lake, with focus on the analysis of trace metal accumulation in Corbicula fluminea (bivalve). The results showed that the quality of water in Taihu Lake was generally good and the correlation was not found between Cu bioaccumulation in C. fluminea and the concentration in water and sediment. Thus, using the stable isotope tracer method, we studied Cu uptake from the water phase, the assimilation of Cu from the food phase, and the efflux of Cu in vivo by C. fluminea. The result revealed that this species exhibited a relatively lower efflux rate constant of Cu compared with other zoobenthos species. Using a simple bioenergetics-based kinetic model, Cu concentrations in the C. fluminea were calculated with the measured efflux rate. We put forward a novel method, which was taking the influence of biological kinetic on metal bioaccumulation into account to explain the field survey data.</t>
  </si>
  <si>
    <t>[Fan, Wenhong; Ren, Jinqian; Wu, Chenguang; Tan, Cheng; Wang, Xiaolong; Cui, Minming; Wu, Kuang; Li, Xiaomin] Beihang Univ, Sch Chem &amp; Environm, Beijing 100191, Peoples R China</t>
  </si>
  <si>
    <t>Fan, WH (corresponding author), Beihang Univ, Sch Chem &amp; Environm, Beijing 100191, Peoples R China.</t>
  </si>
  <si>
    <t>Wang, Xiaolong/N-9527-2017; Cui, Minming/C-4227-2019; Li, Xiaomin/F-8097-2015; fan, wen hong/F-6415-2012</t>
  </si>
  <si>
    <t>Tan, Cheng/0000-0001-5878-6542; fan, wenhong/0000-0001-5047-1714</t>
  </si>
  <si>
    <t>National Natural Science Foundation of China [51290283]; Major Science and Technology Program for Water Pollution Control and Treatment of China [2012ZX07501001]; China's National Basic Research Program [2011CB935700]</t>
  </si>
  <si>
    <t>National Natural Science Foundation of China(National Natural Science Foundation of China (NSFC)); Major Science and Technology Program for Water Pollution Control and Treatment of China; China's National Basic Research Program(National Basic Research Program of China)</t>
  </si>
  <si>
    <t>This work was supported by the National Natural Science Foundation of China (No. 51290283), Major Science and Technology Program for Water Pollution Control and Treatment of China (No. 2012ZX07501001), and China's National Basic Research Program (No. 2011CB935700).</t>
  </si>
  <si>
    <t>10.1007/s11356-014-3325-6</t>
  </si>
  <si>
    <t>AU0LN</t>
  </si>
  <si>
    <t>WOS:000345314500033</t>
  </si>
  <si>
    <t>Zhao, J; Huang, Q; Liu, MY; Dai, YF; Chen, JY; Huang, HY; Wen, YQ; Zhu, XL; Zhang, XY; Wei, Y</t>
  </si>
  <si>
    <t>Zhao, Jiao; Huang, Qiang; Liu, Meiying; Dai, Yanfeng; Chen, Junyu; Huang, Hongye; Wen, Yuanqing; Zhu, Xiaoli; Zhang, Xiaoyong; Wei, Yen</t>
  </si>
  <si>
    <t>Synthesis of functionalized MgAl-layered double hydroxides via modified mussel inspired chemistry and their application in organic dye adsorption</t>
  </si>
  <si>
    <t>Mussel inspired chemistry; MgAI-layered double hydroxide; Methylene blue; Adsorption</t>
  </si>
  <si>
    <t>GRAPHENE OXIDE NANOCOMPOSITES; 3 RED DYES; METHYLENE-BLUE; EFFICIENT REMOVAL; AQUEOUS-SOLUTION; CARBON NANOTUBES; POLYMER NANOCOMPOSITES; HYDROGEL BEADS; ANIONIC DYE; EQUILIBRIUM</t>
  </si>
  <si>
    <t>In this paper, a novel strategy for the preparation of poly(levodopa) functionalized MgAI-layered double hydroxide (PDOPA-f-LDH) was developed based on the modified mussel inspired chemistry. The utilization of PDOPA-f-LDH for the removal of methylene blue (MB) from aqueous solution was also examined. Taken advantage of the self-polymerization of levodopa (DOPA) in alkaline solution and the strong affinity of catechol groups to the substrate surface, the LDH was covered homogeneously by a layer of polymer coating of DOPA, leading to the functionalization toward LDH. The structure, surface morphology, thermostability and elemental composition of as-prepared PDOPA-f-LDH were investigated by the transmission electron microscope, scanning electron microscopy, Fourier transform infrared spectroscopy, thermogravimetric analysis, and X-ray photoelectron spectroscopy. Besides, the surface charge of the PDOPA-f-LDH was also investigated using zeta potential. The effects of various parameters, including contact time, initial MB concentration, solution pH and temperature, on the adsorption of MB onto PDOPA-f-LDH were systematically investigated. Results show that the adsorption capacity of functionalized LDH at 25 degrees C could reach up to 102 mg/g, which is much higher than that of pure LDH in the same experimental conditions. The adsorption kinetics and isotherm of MB adsorption were studied in batch experiments. The pseudo-second-order model is found to be the best to describe the adsorption kinetics. The isotherm result shows that the Freundlich isotherm is the better-fit-isotherm model to represent the equilibrium data. The values of thermodynamic parameters, including enthalpy change Delta H degrees, entropy change AS and Gibbs free energy change Delta G degrees, were also determined. All the Delta G degrees values are negative; the Delta H degrees and Delta S degrees values of PDOPA-f-LDH were -7.824 kJ mol(-1) and -0.01562 kJ mol(-1) K-1, respectively. And the activation energy of system (E-a) is calculated as 24.69 kJ mol(-1). The fact suggests that the MB adsorption on PDOPA-f-LDH is a spontaneous and exothermic process. These obtained results indicate that the prepared PDOPA-f-LDH could be used as an interesting adsorbent with great potential to adsorb the cationic dyeing pollutants from aqueous media. (c) 2017 Elsevier Inc. All rights reserved.</t>
  </si>
  <si>
    <t>[Zhao, Jiao; Zhu, Xiaoli] Northwest Univ Xian, Sch Urban &amp; Environm Sci, Xian 710127, Shaanxi, Peoples R China; [Zhao, Jiao; Huang, Qiang; Liu, Meiying; Dai, Yanfeng; Chen, Junyu; Huang, Hongye; Wen, Yuanqing; Zhang, Xiaoyong] Nanchang Univ, Dept Chem, 999 Xuefu Ave, Nanchang 330031, Jiangxi, Peoples R China; [Wei, Yen] Tsinghua Univ, Dept Chem, Beijing 100084, Peoples R China; [Wei, Yen] Tsinghua Univ, Tsinghua Ctr Frontier Polymer Res, Beijing 100084, Peoples R China</t>
  </si>
  <si>
    <t>Northwest University Xi'an; Nanchang University; Tsinghua University; Tsinghua University</t>
  </si>
  <si>
    <t>Zhu, XL (corresponding author), Northwest Univ Xian, Sch Urban &amp; Environm Sci, Xian 710127, Shaanxi, Peoples R China.;Zhang, XY (corresponding author), Nanchang Univ, Dept Chem, 999 Xuefu Ave, Nanchang 330031, Jiangxi, Peoples R China.;Wei, Y (corresponding author), Tsinghua Univ, Dept Chem, Beijing 100084, Peoples R China.;Wei, Y (corresponding author), Tsinghua Univ, Tsinghua Ctr Frontier Polymer Res, Beijing 100084, Peoples R China.</t>
  </si>
  <si>
    <t>National Natural Science Foundation of China [51363016, 21474057, 21564006, 21561022, 21644014]; Natural Science Foundation of Jiangxi Province in China [20161BAB203072, 20161BAB213066]</t>
  </si>
  <si>
    <t>National Natural Science Foundation of China(National Natural Science Foundation of China (NSFC)); Natural Science Foundation of Jiangxi Province in China(Natural Science Foundation of Jiangxi Province)</t>
  </si>
  <si>
    <t>This research was supported by the National Natural Science Foundation of China (Nos. 51363016, 21474057, 21564006, 21561022, 21644014), Natural Science Foundation of Jiangxi Province in China (Nos. 20161BAB203072, 20161BAB213066).</t>
  </si>
  <si>
    <t>10.1016/j.jcis.2017.05.087</t>
  </si>
  <si>
    <t>FG6EO</t>
  </si>
  <si>
    <t>WOS:000410464100020</t>
  </si>
  <si>
    <t>Egeric, M; Smiciklas, I; Mrakovic, A; Jovic, M; Sljivic-Ivanovic, M; Sokolovic, J; Ristic, M</t>
  </si>
  <si>
    <t>Egeric, Marija; Smiciklas, Ivana; Mrakovic, Ana; Jovic, Mihajlo; Sljivic-Ivanovic, Marija; Sokolovic, Jovica; Ristic, Mirjana</t>
  </si>
  <si>
    <t>Separation of Cu(II) ions from synthetic solutions and wastewater by raw and calcined seashell waste</t>
  </si>
  <si>
    <t>Seashell waste; Temperature treatment; Cu(II) removal; Wastewater treatment; Experimental design</t>
  </si>
  <si>
    <t>HEAVY-METALS; MUSSEL SHELLS; REMOVAL; ADSORPTION; CADMIUM; COPPER; WASTEWATERS; BIOSORPTION; ARAGONITE; CU(OH)(2)</t>
  </si>
  <si>
    <t>The limestone and lime are agents widely used for separation of toxic metals from contaminated water. To reduce the exploitation of natural limestone deposits, appropriate replacements are sought out among the waste materials and by-products. Seashells, accumulated as an abundant waste in coastal areas, have high content of calcium carbonate and so far have shown high efficiency in neutralization and metal immobilization processes. In this study, the removal of Cu(II) ions was investigated using grounded seashell waste (a) without any pretreatment and (b) exposed to temperature treatment in the range 300-900 degrees C. The influence of temperature on the mineral phase transformation, solution pH and the removal efficiency of Cu(II) ions was monitored. Treatments at T &gt; 500 degrees C exhibit positive effect on Cu(II) separation, with the samples partially or completely converted to calcium oxide being the most effective in the entire Cu(II) concentration range (6.34-639 mg/L). The efficiency of Cu(II) removal was largely associated with the effect on solution pH. The two level full factorial design was used to evaluate the significance of seashell composition (calcium carbonate vs. calcium oxide), granulation, dose and contact time, on the separation of Cu(II) and other cationic pollutants (Fe, Zn, Ni and Pb) from wastewater. The seashell dose and granulation, as well as their interaction, were generally the most influential factors. The variations in the levels of investigated factors had a substantial effect on the process through the indirect effect onto the solution pH. More than 99% of Cu(II) ions were separated at pH &gt; 7, while the final pH range 8.2-12.2 was found optimal for total metal separation (97.6-98.9%).</t>
  </si>
  <si>
    <t>[Egeric, Marija; Smiciklas, Ivana; Mrakovic, Ana; Jovic, Mihajlo; Sljivic-Ivanovic, Marija] Univ Belgrade, Vinca Inst Nucl Sci, POB 522, Belgrade 11000, Serbia; [Sokolovic, Jovica] Univ Belgrade, Tech Fac Bor, Vojske Jugoslavije 12, Bor 19210, Serbia; [Ristic, Mirjana] Univ Belgrade, Fac Technol &amp; Met, Karnegijeva 4, Belgrade 11000, Serbia</t>
  </si>
  <si>
    <t>Smiciklas, I (corresponding author), Univ Belgrade, Vinca Inst Nucl Sci, POB 522, Belgrade 11000, Serbia.</t>
  </si>
  <si>
    <t>egericmarija@vin.bg.ac.rs; ivanat@vin.bg.ac.rs; amrakovic@vin.bg.ac.rs; mjovic@vin.bg.ac.rs; marijasljivic@vin.bg.ac.rs; jsokolovic@tfbor.bg.ac.rs; risticm@tmf.bg.ac.rs</t>
  </si>
  <si>
    <t>Egeric, Marija/LCE-7070-2024; Smičiklas, Ivana/JMQ-0135-2023; Sljivic-Ivanovic, Marija/AAG-5070-2020; Sokolović, Jovica/R-1588-2019; Jovic, Mihajlo/U-8340-2017</t>
  </si>
  <si>
    <t>Jovic, Mihajlo/0000-0002-3293-5797; Sokolovic, Jovica/0000-0002-2003-1141; Smiciklas, Ivana/0000-0002-7384-7312; Sljivic-Ivanovic, Marija/0000-0001-5897-0083</t>
  </si>
  <si>
    <t>Ministry of Education Science and Technological Development of the Republic of Serbia [III43009]</t>
  </si>
  <si>
    <t>Ministry of Education Science and Technological Development of the Republic of Serbia(Ministry of Education, Science &amp; Technological Development, Serbia)</t>
  </si>
  <si>
    <t>This work was supported by the Ministry of Education Science and Technological Development of the Republic of Serbia (Project III43009).</t>
  </si>
  <si>
    <t>10.5004/dwt.2018.23131</t>
  </si>
  <si>
    <t>HB1NL</t>
  </si>
  <si>
    <t>WOS:000450790000022</t>
  </si>
  <si>
    <t>Parolini, M; Magni, S; Castiglioni, S; Binelli, A</t>
  </si>
  <si>
    <t>Parolini, Marco; Magni, Stefano; Castiglioni, Sara; Binelli, Andrea</t>
  </si>
  <si>
    <t>Amphetamine exposure imbalanced antioxidant activity in the bivalve Dreissena polymorpha causing oxidative and genetic damage</t>
  </si>
  <si>
    <t>Illicit drugs; Amphetamine; Oxidative and genetic biomarkers; Dreissena polymorpha</t>
  </si>
  <si>
    <t>ZEBRA MUSSEL; MYTILUS-GALLOPROVINCIALIS; ILLICIT DRUGS; LIPID-PEROXIDATION; FREE-RADICALS; STRESS; RESPONSES; WATER; NEUROTOXICITY; TEMPERATURE</t>
  </si>
  <si>
    <t>Illicit drugs have been recognized as emerging aquatic pollutants due to their presence in aquatic ecosystems up to mu g/L level. Among these, the synthetic psycho-stimulant drug amphetamine (AMPH) is commonly found in both surface and wastewaters worldwide. Even though the environmental occurrence of AMPH is well-known, the information on its toxicity towards non-target freshwater organisms is completely lacking. This study investigated the imbalance of the oxidative status and both oxidative and genetic damage induced by a 14-day exposure to two concentrations (500 ng/L and 5000 ng/L) of AMPH on the freshwater bivalve Dreissena polymorpha by the application of a biomarker suite. We investigated the activity of antioxidant enzymes (SOD, CAT and GPx), the phase II detoxifying enzyme GST, the lipid peroxidation level (LPO) and protein carbonyl content (PCC), as well as primary (Single Cell Gel Electrophoresis assay) and fixed (DNA diffusion assay and Micronucleus test) genetic damage. Our results showed that a current realistic AMPH concentration (500 ng/L) did neither cause notable imbalances in enzymatic activities, nor oxidative and genetic damage to cellular macromolecules. In contrast, the bell-shaped trend of antioxidants showed at the highest tested concentration (5000 ng/L) suggested an overproduction of reactive oxygen species, leading to oxidative damage, as confirmed by the significant increase of protein carbonylation and DNA fragmentation. (C) 2015 Elsevier Ltd. All rights reserved.</t>
  </si>
  <si>
    <t>[Parolini, Marco; Magni, Stefano; Binelli, Andrea] Univ Milan, Dept Biosci, I-20133 Milan, Italy; [Castiglioni, Sara] IRCCS Ist Ric Farmacol Mario Negri, Dept Environm Hlth Sci, I-20156 Milan, Italy</t>
  </si>
  <si>
    <t>Castiglioni, Sara/AAA-9189-2020; Binelli, Andrea/B-2685-2017</t>
  </si>
  <si>
    <t>Castiglioni, Sara/0000-0002-7313-8495; Magni, Stefano/0000-0002-5440-5236; Parolini, Marco/0000-0003-0226-1709; Binelli, Andrea/0000-0001-9953-7315</t>
  </si>
  <si>
    <t>10.1016/j.chemosphere.2015.08.025</t>
  </si>
  <si>
    <t>WOS:000367774400028</t>
  </si>
  <si>
    <t>Pouil, S; Clausing, RJ; Metian, M; Bustamante, P; Dechraoui-Bottein, MY</t>
  </si>
  <si>
    <t>Pouil, Simon; Clausing, Rachel J.; Metian, Marc; Bustamante, Paco; Dechraoui-Bottein, Marie Yasmine</t>
  </si>
  <si>
    <t>A study of the influence of brevetoxin exposure on trace element bioaccumulation in the blue mussel Mytilus edulis</t>
  </si>
  <si>
    <t>Biomonitoring; Bivalves; Brevetoxins; Metals; Radioligand receptor binding assay (RBA); gamma-spectrometry</t>
  </si>
  <si>
    <t>KARENIA-BREVIS BLOOMS; HARMFUL ALGAL BLOOMS; CLEARANCE RATES; RED TIDE; DINOPHYCEAE; RESPONSES; METALS; TOXINS; COPPER</t>
  </si>
  <si>
    <t>Marine organisms are exposed to and affected by a multitude of chemicals present in seawater and can accumulate in their tissues a wide range of contaminants as well as natural biotoxins associated with harmful algal blooms (HABs). Trace elements and biotoxins may modify physiological functions in exposed organisms, and studies have been conducted to better understand their respective kinetics and effects in marine species. Despite the increasing concern of concurrent toxic HABs and pollution events due to anthropogenic pressures and global change, very little information is available on their combined effects. Chemical interactions between biotoxins and trace elements have been reported, and exposure to certain biotoxins is known to modify ion transport pathways, suggesting that biotoxins have the potential to alter trace element uptake. Using specific and sensitive radiotracer techniques (radioligand receptor binding assay and gamma-spectrometry), this laboratory study examined the influence of pre-exposure to the brevetoxins (PbTxs)-producing microalgae Karenia brevis on the bioaccumutation of selected non-essential (Cd) and essential (Co, Mn and Zn) trace elements in the blue mussel Myalus edulis. PbTxs are a group of neurotoxins known to accumulate in bivalves but also to have lethal effects on a number of marine organisms including fish and mammals. We found that, over 23 days exposure to the radiotracers, the bioaccumulation of the dissolved essential trace elements Co, Mn and Zn in M. edulis was not significantly affected by pre-exposure to toxic K. brevis. In contrast, the uptake rate constant k(u) of Cd was significantly higher in the pre-exposed group (p &lt; 0.05), likely caused by a decrease in mussel clearance rates after K. brevis exposure. These results suggest that the effects of algal toxin exposure on bioaccumulation of trace elements in mussels may be trace element-dependent.</t>
  </si>
  <si>
    <t>[Pouil, Simon; Clausing, Rachel J.; Metian, Marc; Dechraoui-Bottein, Marie Yasmine] IAEA EL, 4a Quai Antoine 1er, MC-98000 Monaco, Monaco; [Pouil, Simon; Bustamante, Paco] Univ La Rochelle, CNRS, UMR 7266, Littoral Environm &amp; Socites LIENSs, 2 Rue Olympe Gouges, F-17000 La Rochelle, France</t>
  </si>
  <si>
    <t>Centre National de la Recherche Scientifique (CNRS); CNRS - Institute of Ecology &amp; Environment (INEE); La Rochelle Universite</t>
  </si>
  <si>
    <t>Metian, M (corresponding author), IAEA Environm Labs, Radioecol Lab, 4a Quai Antoine 1er, MC-98000 Monaco, Monaco.</t>
  </si>
  <si>
    <t>Dechraoui Bottein, Marie-Yasmine/KAM-3400-2024; Metian, Marc/F-8010-2018; Bustamante, Paco/G-5833-2011; Pouil, Simon/J-6839-2019</t>
  </si>
  <si>
    <t>Bustamante, Paco/0000-0003-3877-9390; Clausing, Rachel/0000-0001-8259-1331; Dechraoui Bottein, Marie-Yasmine/0000-0002-6468-7222; Metian, Marc/0000-0003-1485-5029; Pouil, Simon/0000-0003-1531-0362</t>
  </si>
  <si>
    <t>IAEA by the Government of the Principality of Monaco; IUF (Institut Universitaire de France)</t>
  </si>
  <si>
    <t>The IAEA is grateful for the support provided to its Environment Laboratories by the Government of the Principality of Monaco. MM is Nippon foundation Nereus program Alumni. The IUF (Institut Universitaire de France) is acknowledged for its support to PB as a Senior Member. This work was conducted in the framework of a peaceful use initiative project on Seafood Safety. The authors are thankful to Gregory Doucette, Tina Mikulski and Steve Morton for providing the NOAA-1 cell cultures.</t>
  </si>
  <si>
    <t>10.1016/j.jenvrad.2018.06.008</t>
  </si>
  <si>
    <t>GV7GD</t>
  </si>
  <si>
    <t>WOS:000446289100027</t>
  </si>
  <si>
    <t>Olivier, AV; Le Vay, L; Malham, SK; Christie, M; Wilson, J; Allender, S; Schmidlin, S; Brewin, JM; Jones, L</t>
  </si>
  <si>
    <t>Olivier, Andrew van der Schatte; Le Vay, Lewis; Malham, Shelagh K.; Christie, Michael; Wilson, James; Allender, Susan; Schmidlin, Sarah; Brewin, Jordan M.; Jones, Laurence</t>
  </si>
  <si>
    <t>Geographical variation in the carbon, nitrogen, and phosphorus content of blue mussels, Mytilus edulis</t>
  </si>
  <si>
    <t>Nutrient remediation; Ecosystem services; Regulating services; Shellfish; Bivalves; Bivalve aquaculture</t>
  </si>
  <si>
    <t>GROWTH; MITIGATION; TEMPERATURE; SALINITY; DYNAMICS; SHELLS; FARMS; FOOD; TOOL</t>
  </si>
  <si>
    <t>Shellfish farming contributes to nutrient removal in coastal and estuarine systems, as bivalves incorporate nutrients into their tissues and shells, which is removed from the marine system on harvest. Fourteen locations around the UK were surveyed to explore geographic variation in carbon, nitrogen and phosphorus content of tissue and shell in blue mussels. Phosphorus in tissue had a significant negative relationship with mean annual seawater temperature for both rope and bottom cultured sites. Per tonne of live mussel, rope culture removed significantly more nitrogen (8.50 +/- 0.59 kg) and phosphorus (0.95 +/- 0.07 kg) than bottom cultured (5.00 +/- 0.013 kg nitrogen and 0.43 +/- 0.01 kg phosphorus). Bottom culture, however, provides significantly more C removal in shell (60.15 +/- 0.77 kg) than in rope cultured (46.12 +/- 1.69 kg). Further studies are required to examine the effect of growth rate, on the nitrogen and phosphorus remediation, and carbon stored in shell, of rope culture and bottom cultured mussel aquaculture.</t>
  </si>
  <si>
    <t>[Olivier, Andrew van der Schatte; Le Vay, Lewis; Malham, Shelagh K.; Allender, Susan; Schmidlin, Sarah; Brewin, Jordan M.] Bangor Univ, Sch Ocean Sci, Askew St, Menai Bridge LL59 5AB, Gwynedd, Wales; [Olivier, Andrew van der Schatte; Jones, Laurence] Environm Ctr Wales, UK Ctr Ecol &amp; Hydrol, Deiniol Rd, Bangor LL57 2UW, Gwynedd, Wales; [Olivier, Andrew van der Schatte] Univ Portsmouth, Inst Marine Sci, Ferry Rd, Portsmouth PO4 9LY, Hants, England; [Christie, Michael] Aberystwyth Univ, Aberystwyth Business Sch, Aberystwyth, Dyfed, Wales; [Wilson, James] Deepdock Ltd, Bangor, Gwynedd, Wales; [Schmidlin, Sarah] Flanders Marine Inst, InnovOcean Site,Wandelaarkaai 7, B-8400 Oostende, Belgium; [Brewin, Jordan M.] Falkland Isl Fisheries Dept, Bypass Rd,Box 598, Stanley FIQQ 1ZZ, Falkland Island</t>
  </si>
  <si>
    <t>Bangor University; UK Centre for Ecology &amp; Hydrology (UKCEH); University of Portsmouth; Aberystwyth University</t>
  </si>
  <si>
    <t>Olivier, AV (corresponding author), Univ Portsmouth, Inst Marine Sci, Ferry Rd, Portsmouth PO4 9LY, Hants, England.</t>
  </si>
  <si>
    <t>andrew.vanderschatteolivier@port.ac.uk</t>
  </si>
  <si>
    <t>Malham, Shelagh/O-9054-2014; Christie, Michael/B-8240-2008; Jones, Laurence/A-3900-2011</t>
  </si>
  <si>
    <t>Christie, Michael/0000-0002-8346-9140; Jones, Laurence/0000-0002-4379-9006; van der Schatte Olivier, Andrew/0000-0002-2534-0568</t>
  </si>
  <si>
    <t>Knowledge Economy Skills Scholarships (KESS 2), a panWales higher level skills initiative; Welsh Government's European Social Fund (ESF) convergence programme for West Wales and the Valleys; Deepdock Ltd.</t>
  </si>
  <si>
    <t>The lead author was funded by Knowledge Economy Skills Scholarships (KESS 2) , a panWales higher level skills initiative led by Bangor University on behalf of the HE sector in Wales. It is part funded by the Welsh Government's European Social Fund (ESF) convergence programme for West Wales and the Valleys with additional support from Deepdock Ltd.</t>
  </si>
  <si>
    <t>10.1016/j.marpolbul.2021.112291</t>
  </si>
  <si>
    <t>SL3SJ</t>
  </si>
  <si>
    <t>WOS:000656838800009</t>
  </si>
  <si>
    <t>Chen, CF; Lim, YC; Ju, YR; Albarico, FPJB; Chen, CW; Dong, CD</t>
  </si>
  <si>
    <t>Chen, Chih-Feng; Lim, Yee Cheng; Ju, Yun-Ru; Albarico, Frank Paolo Jay B.; Chen, Chiu-Wen; Dong, Cheng-Di</t>
  </si>
  <si>
    <t>A novel pollution index to assess the metal bioavailability and ecological risks in sediments</t>
  </si>
  <si>
    <t>Coastal; Harbor; Sequential extraction; Redox potential; Mobility; Availability</t>
  </si>
  <si>
    <t>HEAVY-METALS; KAOHSIUNG HARBOR; GREEN OYSTER; CONTAMINATION; SPECIATION; MANGANESE; TAIWAN; RIVER; WATER; AREA</t>
  </si>
  <si>
    <t>The chemical forms of metals in sediments of ports around Taiwan were investigated using sequential extraction. Based on the availability of different chemical forms, novel indices such as bioavailability, mobility, availability, and availability risk of metals in sediments were developed. The results showed that Co, Zn, Pb, Mn, and Cu were mainly present in available forms (49-84 %), and the proportion of oxidative or reductive fractionation was the highest. This suggests that the redox potential is a major factor for metal mobility in the sediments. The results from the proposed indexes showed that metals in sediments have low bioavailability but high to very high mobility and availability. Primarily, the proposed index is more appropriate, as the current index for assessing total metal content may overestimate the level of risk. The indexes established can comprehensively evaluate the bioavailability, mobility, availability, and ecological risk of metals in sediments.</t>
  </si>
  <si>
    <t>[Chen, Chih-Feng; Lim, Yee Cheng; Albarico, Frank Paolo Jay B.; Chen, Chiu-Wen; Dong, Cheng-Di] Natl Kaohsiung Univ Sci &amp; Technol, Dept Marine Environm Engn, Kaohsiung 81157, Taiwan; [Ju, Yun-Ru] Natl United Univ, Dept Safety Hlth &amp; Environm Engn, Miaoli 36063, Taiwan; [Albarico, Frank Paolo Jay B.] Natl Kaohsiung Univ Sci &amp; Technol, Inst Aquat Sci &amp; Technol, Kaohsiung 81157, Taiwan</t>
  </si>
  <si>
    <t>National Kaohsiung University of Science &amp; Technology; National United University; National Kaohsiung University of Science &amp; Technology</t>
  </si>
  <si>
    <t>Albarico, Frank Paolo Jay/AAE-7348-2021; Chen, Chih-Feng/HTP-3222-2023; Lim, Yee Cheng/IAL-9326-2023</t>
  </si>
  <si>
    <t>Lim, Yee Cheng/0000-0002-5491-2043</t>
  </si>
  <si>
    <t>10.1016/j.marpolbul.2023.114926</t>
  </si>
  <si>
    <t>N0LM8</t>
  </si>
  <si>
    <t>WOS:001034035200001</t>
  </si>
  <si>
    <t>Kim, YR; Lee, S; Kim, J; Kim, CJ; Choi, KY; Chung, S</t>
  </si>
  <si>
    <t>Kim, Young-Ryun; Lee, Sangjin; Kim, Jinhee; Kim, Chang-Joon; Choi, Ki-Young; Chung, Chang-Soo</t>
  </si>
  <si>
    <t>Thyasira tokunagai as an ecological indicator for the quality of sediment and benthic communities in the East Sea-Byeong, Korea</t>
  </si>
  <si>
    <t>Thyasira tokunagai; Mollusk; Ecological indicator; Ocean dumping site; Biomass</t>
  </si>
  <si>
    <t>DUMPING SITE; SYSTEM; ENVIRONMENTS</t>
  </si>
  <si>
    <t>The biomass and abundance of molluscan species were identified to evaluate the ecological quality of the surface sediment at the East Sea-Byeong ocean dumping site, Korea. To identify the dominant molluscan species, sediment samples were collected at nine selected stations during five expeditions in 2009, 2012, 2013, 2014, and 2015. In total, 16 molluscan species, including Aplacophora, Gastropoda, Bivalvia, and Scaphopoda, were observed. The bivalve Thyasira tokunagai was the dominant species, accounting for 82.6% of the total abundance of all identified species. This species was also the dominant benthic molluscan in sediments rich in organic matter and with a low manganese content. In addition, environmental variables, including sediment grain size, water depth, total organic carbon, and heavy metals, were found to be critical drivers affecting the spatial distribution of molluscan species.</t>
  </si>
  <si>
    <t>[Kim, Young-Ryun; Lee, Sangjin; Kim, Jinhee] Marine Ecotechnol Inst, 406 Sinseon Ro, Busan 48520, South Korea; [Kim, Chang-Joon; Choi, Ki-Young; Chung, Chang-Soo] Korea Inst Ocean Sci &amp; Technol, Marine Chem &amp; Geochem Res Ctr, Ansan 15627, South Korea</t>
  </si>
  <si>
    <t>Kim, CJ (corresponding author), Korea Inst Ocean Sci &amp; Technol, Marine Chem &amp; Geochem Res Ctr, Ansan 15627, South Korea.</t>
  </si>
  <si>
    <t>kcj201@kiost.ac</t>
  </si>
  <si>
    <t>Choi, Ki-Young/H-3305-2012; Kim, Young Ryun/HKE-9144-2023</t>
  </si>
  <si>
    <t>Kim, Young Ryun/0000-0003-1724-7037</t>
  </si>
  <si>
    <t>Ministry of Oceans and Fisheries (MOF), the Republic of Korea [BSPG48420-10704-7]</t>
  </si>
  <si>
    <t>Ministry of Oceans and Fisheries (MOF), the Republic of Korea</t>
  </si>
  <si>
    <t>This study was part of the project entitled Development of the Best Practical Technology and Management Options for the National Disposal of Wastes at Sea, funded by the Ministry of Oceans and Fisheries (MOF), the Republic of Korea [BSPG48420-10704-7].</t>
  </si>
  <si>
    <t>10.1016/j.marpolbul.2018.03.030</t>
  </si>
  <si>
    <t>WOS:000448094200095</t>
  </si>
  <si>
    <t>Fan, SS; Feng, SL; Gan, SS; Wang, ST; Liang, XF; Liu, MM; Dong, ZG</t>
  </si>
  <si>
    <t>Fan, Sishao; Feng, Senlei; Gan, Shusheng; Wang, Siting; Liang, Xiafei; Liu, Meimei; Dong, Zhiguo</t>
  </si>
  <si>
    <t>Clam challenges high concentrations of algae diet environment: Growth performance, metabolism physiology, and related gene expression characteristics</t>
  </si>
  <si>
    <t>Cyclina sinensis; Chlorella; Growth; Physiological metabolism; Transcriptome analysis</t>
  </si>
  <si>
    <t>FATTY-ACID-COMPOSITION; ENZYME-ACTIVITIES; CHITINASE; CHLORELLA; RESPONSES; CARP</t>
  </si>
  <si>
    <t>Increasing coastal pollution leads to frequent algal blooms, but little is known on the effect of growth and development in organisms with increasing algal concentration. In recent years, the clam Cyclina sinensis has been an important marine economic shellfish that is widely cultivated. This study investigated the effects of different Chlorella concentrations (5 x 105 cell/L (Diet T1), 1.25 x 106 cell/L (Diet T2), 1.3 x 107 cell/L (Diet T3), 1.25 x 108 cell/L (Diet T4), and 1.5 x 109 cell/L (Diet T5)) on the growth, enzyme activities of digestive, immune, and respiratory metabolism, and hepatopancreatic transcriptome gene expression characteristic response of C. sinensis. Results showed that the shell length growth rate, shell height growth rate, and survival rate of C. sinensis significantly decreased as the Chlorella concentration reached 5 x 105 cell/L. The condition factor of C. sinensis in Diet T1 and the hepatopancreas index of C. sinensis in Diet T4 were significantly higher than those in the other groups (P &lt; 0.05). The enzyme activities of superoxide dismutase increased significantly with the rise in concentration of Chlorella, but the highest lysozyme in the hepatopancreas of C. sinensis was observed in the Diet T1 group. The enzyme activities of acid phosphatase and amylase in Diet T3, trypsin in Diet T5, lipase and succinate dehydrogenase in Diet T4, and lactate dehydrogenase in Diet T1 of C. sinensis were significantly higher than those in the other groups (P &lt; 0.05). These results suggest that some enzyme activities related to digestion, metabolism, and respiration are inhibited with the Chlorella concentration increased. Furthermore, transcriptome results showed that the expression levels of G6P, IGFBP, CHI3L1, FAS, MyHC, and other genes related to glucose, protein, and fatty acid metabolism of C. sinensis were significantly downregulated in the Diet T3 and Diet T5 groups. All these results suggest that Chlorella concentrations above 5 x 105 cell/L should be avoided in practice. This study provides a scientific basis for C. sinensis culture and further extends the understanding of the metabolism of bivalves with diet concentration.</t>
  </si>
  <si>
    <t>[Fan, Sishao; Feng, Senlei; Gan, Shusheng; Wang, Siting; Liang, Xiafei; Liu, Meimei; Dong, Zhiguo] Jiangsu Ocean Univ, Jiangsu Key Lab Marine Bioresources &amp; Environm, Lianyungang, Peoples R China; [Fan, Sishao; Feng, Senlei; Gan, Shusheng; Wang, Siting; Liang, Xiafei; Liu, Meimei; Dong, Zhiguo] Jiangsu Ocean Univ, Jiangsu Inst Marine Resources Dev, Coinnovat Ctr Jiangsu Marine Bioind Technol, Lianyungang, Peoples R China; [Dong, Zhiguo] Jiangsu Ocean Univ, Jiangsu Key Lab Marine Biotechnol, Lianyungang, Peoples R China</t>
  </si>
  <si>
    <t>Jiangsu Ocean University; Jiangsu Ocean University; Jiangsu Ocean University</t>
  </si>
  <si>
    <t>Dong, ZG (corresponding author), Jiangsu Ocean Univ, Jiangsu Key Lab Marine Bioresources &amp; Environm, Lianyungang, Peoples R China.</t>
  </si>
  <si>
    <t>dzg7712@163.com</t>
  </si>
  <si>
    <t>Dong, Zhiguo/AAT-7015-2020</t>
  </si>
  <si>
    <t>Dong, Zhiguo/0000-0001-7652-3316</t>
  </si>
  <si>
    <t>Jiangsu Natural Resources Development Special-Marine Science and Technology Innovation Project [JSZRHYKJ202008]; Jiangsu Modern Agriculture Independent Innova-tion Project [CX (20) 3150]; JBGS~Project of Seed Industry Revitalization in Jiangsu Province [JBGS [2021] 034]; Modern Agroindustry Technology Research System (CARS-49); Priority Academic Program Development of Jiangsu Higher Education Institutions and Jiangsu Graduate Research and Practice Innovation Program [KYCX2021-035]</t>
  </si>
  <si>
    <t>Jiangsu Natural Resources Development Special-Marine Science and Technology Innovation Project; Jiangsu Modern Agriculture Independent Innova-tion Project; JBGS~Project of Seed Industry Revitalization in Jiangsu Province; Modern Agroindustry Technology Research System (CARS-49); Priority Academic Program Development of Jiangsu Higher Education Institutions and Jiangsu Graduate Research and Practice Innovation Program</t>
  </si>
  <si>
    <t>This work was supported by Jiangsu Natural Resources Development Special-Marine Science and Technology Innovation Project (JSZRHYKJ202008) ; Jiangsu Modern Agriculture Independent Innovation Project (CX (20) 3150); The JBGS Project of Seed Industry Revitalization in Jiangsu Province (JBGS [2021] 034) ; Modern Agroindustry Technology Research System (CARS-49) ; and Priority Academic Program Development of Jiangsu Higher Education Institutions and Jiangsu Graduate Research and Practice Innovation Program (KYCX2021-035) .</t>
  </si>
  <si>
    <t>10.1016/j.aqrep.2023.101586</t>
  </si>
  <si>
    <t>H8IV0</t>
  </si>
  <si>
    <t>WOS:000998341800001</t>
  </si>
  <si>
    <t>Warnau, M; Fowler, SW; Teyssié, JL</t>
  </si>
  <si>
    <t>Biokinetics of radiocobalt in the asteroid Asterias rubens (Echinodermata):: Sea water and food exposures</t>
  </si>
  <si>
    <t>SEAGRASS POSIDONIA-OCEANICA; HEAVY-METALS; RADIONUCLIDES; STAR; CADMIUM; ACCUMULATION; RETENTION; SELENIUM; LEAD</t>
  </si>
  <si>
    <t>Uptake and loss of cobalt-57 were investigated in the starfish Asterias rubens, in order to assess its value as a sentinel organism for nearshore radionuclide contamination. Whole-body uptake from sea water was linear over a 32-day exposure period and reached wet weight concentration factor (CP) of 23 +/- 5. Bioaccumulation of Co-57 was dependent upon body compartment, the aboral part of the body wall concentrating cobalt to the greatest degree (wet weight CF: 77 +/- 16). After restoration of uncontaminated conditions, radiocobalt was released following an exponential loss kinetics characterized by a biological half-life (T-b1/2) of 27 +/- 6 day. Dietary radiocobalt (taken up during a short-term feeding for 24 h on radiolabelled mussels) showed a much more rapid turnover time (T-b1/2: 14 +/- 4 d), suggesting that A. rubens accumulates this radionuclide predominantly from sea water. A. I rubens, and more particularly the aboral part of its body wall, would readily reveal the presence of an environmental contamination by radiocobalt and could preserve this information over a period of few months. (C) 1999 Elsevier Science Ltd. All rights reserved.</t>
  </si>
  <si>
    <t>Free Univ Brussels, Biol Marine Lab, B-1050 Brussels, Belgium; Int Atom Energy Agcy, Marine Environm Lab, MC-98000 Monaco, Monaco</t>
  </si>
  <si>
    <t>Free Univ Brussels, Biol Marine Lab, CP 160-15,50 Ave FD Roosevelt, B-1050 Brussels, Belgium.</t>
  </si>
  <si>
    <t>mwarnau@ulb.ac.be</t>
  </si>
  <si>
    <t>10.1016/S0025-326X(98)00179-9</t>
  </si>
  <si>
    <t>WOS:000083356500022</t>
  </si>
  <si>
    <t>Wu, FL; Sokolov, EP; Khomich, A; Fettkenhauer, C; Schnell, G; Seitz, H; Sokolova, IM</t>
  </si>
  <si>
    <t>Wu, Fangli; Sokolov, Eugene P.; Khomich, Andrei; Fettkenhauer, Christian; Schnell, Georg; Seitz, Hermann; Sokolova, Inna M.</t>
  </si>
  <si>
    <t>Interactive effects of ZnO nanoparticles and temperature on molecular and cellular stress responses of the blue mussel Mytilus edulis</t>
  </si>
  <si>
    <t>Temperature; Nano-ZnO; Mussel; Gill; Digestive gland; Seasonality; Oxidative stress; Apoptosis; Inflammation</t>
  </si>
  <si>
    <t>ZINC-OXIDE NANOPARTICLES; OXIDATIVE STRESS; RUDITAPES-PHILIPPINARUM; PARTICLE RETENTION; GROWTH-INHIBITION; INDUCE APOPTOSIS; DIGESTIVE GLAND; EXPOSURE; MECHANISMS; TOXICITY</t>
  </si>
  <si>
    <t>Temperature is an important abiotic factor that modulates all aspects of ectotherm physiology, including sensitivity to pollutants. Nanoparticles are emerging pollutants in coastal environments, and their potential to cause toxicity in marine organisms is a cause for concern. Here we studied the interactive effects of temperature (including seasonal and experimental warming) on sublethal toxicity of ZnO nanoparticles (nano-ZnO) in a model marine bivalve, the blue mussel Mytilus edulis. Molecular markers were used to assess the pollutant-induced cellular stress responses in the gills and the digestive gland of mussels exposed for 21 days to 10 mu g l(-1) and 100 mu g l(-1) of nano-ZnO or dissolved Zn under different temperature regimes including ambient temperature (10 degrees C and 15 degrees C inwinter and summer, respectively) or experimental warming (+5 degrees C). Exposure to high concentration (100 mu g l(-1)) of nano-ZnO caused oxidative injury to proteins and lipids and induced a marked apoptotic response indicated by increased transcript levels of apoptosis-related genes p53, caspase 3 and theMAPK pathway (JNK and p38) and decreased mRNA expression of anti-apoptotic Bcl-2. No significant induction of inflammatory cytokine-related response (TGF-beta and NF-kappa B) of tissues was observed in nano-ZnO exposed-mussels. Furthermore, the oxidative injury and apoptotic response could differentiate the effects of nano-ZnO from those of dissolved Zn in the mussels. This study revealed that oxidative stress and stress-related transcriptional responses to nano-ZnO were strongly modified by warming and season in the mussels. No single biomarker could be shown to consistently respond to nano-ZnO in all experimental groups, which implies that multiple biomarkers are needed to assess nano-ZnO toxicity to marine organisms under the variable environmental conditions of coastal habitats. (c) 2021 Elsevier B.V. All rights reserved.</t>
  </si>
  <si>
    <t>[Wu, Fangli; Khomich, Andrei; Sokolova, Inna M.] Univ Rostock, Inst Biol Sci, Dept Marine Biol, Rostock, Germany; [Sokolov, Eugene P.] Leibniz Inst Baltic Sea Res, Leibniz Sci Campus Phosphorus Res Rostock, Warnemunde, Germany; [Khomich, Andrei] Belarusian State Univ, Int Sakharov Environm Inst, Minsk, BELARUS; [Fettkenhauer, Christian] Anton Paar Germany GmbH, Ostfildern, Germany; [Schnell, Georg; Seitz, Hermann] Univ Rostock, Fac Mech Engn &amp; Marine Technol, Microfluid, Rostock, Germany; [Seitz, Hermann] Univ Rostock, Dept Life Light &amp; Matter, Rostock, Germany; [Sokolova, Inna M.] Univ Rostock, Interdisciplinary Fac, Dept Maritime Syst, Rostock, Germany</t>
  </si>
  <si>
    <t>University of Rostock; Leibniz Institut fur Ostseeforschung Warnemunde; Belarusian State University; University of Rostock; University of Rostock; University of Rostock</t>
  </si>
  <si>
    <t>Sokolova, IM (corresponding author), Univ Rostock, Interdisciplinary Fac, Dept Maritime Syst, Rostock, Germany.</t>
  </si>
  <si>
    <t>Sokolova, Inna/AAE-4150-2019; Seitz, Hermann/G-1657-2015; Wu, Fangli/JJF-7839-2023</t>
  </si>
  <si>
    <t>Seitz, Hermann/0000-0003-3401-0090; Wu, Fangli/0000-0001-6443-0649</t>
  </si>
  <si>
    <t>Research Training Group 'Baltic TRANSCOAST' - DFG (Deutsche Forschungsgemeinschaft) [GRK 2000]; China Scholarship Council (CSC) [GRK2000/0052]</t>
  </si>
  <si>
    <t>Research Training Group 'Baltic TRANSCOAST' - DFG (Deutsche Forschungsgemeinschaft)(German Research Foundation (DFG)); China Scholarship Council (CSC)(China Scholarship Council)</t>
  </si>
  <si>
    <t>This work was in part supported by the Research Training Group 'Baltic TRANSCOAST' funded by the DFG (Deutsche Forschungsgemeinschaft) under grant number GRK 2000 (www.baltic-transcoast.uni-rostock.de) to IMS and the China Scholarship Council (CSC) to FLW. The project metadata are submitted to Zenodo Data Publisher open access database (https://doi.org/10.5281/zenodo.5070349).This is Baltic TRANSCOAST publication no. GRK2000/0052.</t>
  </si>
  <si>
    <t>10.1016/j.scitotenv.2021.151785</t>
  </si>
  <si>
    <t>2Q2XV</t>
  </si>
  <si>
    <t>WOS:000820292400006</t>
  </si>
  <si>
    <t>Moncrieffe, R; Masry, M; Cai, BB; Rossignol, S; Kamari, A; Poirier, L; Bertrand, S; Wong-Wah-Chung, P; Zalouk-Vergnoux, A</t>
  </si>
  <si>
    <t>Moncrieffe, Romaric; Masry, Maria; Cai, Binbin; Rossignol, Stephanie; Kamari, Abderrahmane; Poirier, Laurence; Bertrand, Samuel; Wong-Wah-Chung, Pascal; Zalouk-Vergnoux, Aurore</t>
  </si>
  <si>
    <t>Study of the ageing and the sorption of polyaromatic hydrocarbons as influencing factors on the effects of microplastics on blue mussel</t>
  </si>
  <si>
    <t>Polyethylene; PAH; Weathering; Biomarkers; Lipidomics; Blue mussel</t>
  </si>
  <si>
    <t>POLYCYCLIC AROMATIC-HYDROCARBONS; MYTILUS-GALLOPROVINCIALIS; ORGANIC POLLUTANTS; MARINE-ENVIRONMENT; EXPOSURE; DEBRIS; COEFFICIENTS; CHEMICALS; POLLUTION; BEACHES</t>
  </si>
  <si>
    <t>The mussels are species with high socio-economic weights and are often used as bioindicators of biological and chemical contamination. In the field and aquaculture, they can intake microplastics during filter-feeding, and the microplastics can have a negative impact on their health, even at low concentrations. The effects of microplastics have yet to be fully examined on the blue mussel (Mytilus edulis), considering the factors of ageing and sorption of some polyaromatic hydrocarbons (PAHs), ubiquitous environmental contaminants. In this work, 5 different exposure conditions were studied: pristine microplastics, microplastics aged for 1000 days under UV radiation, microplastics sorbing PAHs, as well as microplastics both aged and sorbing PAHs, in parallel to controls. The microplastic changes after ageing were studied with spectroscopic and chromatographic methods. Then, 8-day laboratory exposures of mussels at 10 &amp; mu;g/L of microplastics were performed. The oxidative stress, as well as neurotoxic and immunological responses of M. edulis, were measured using a battery of biomarkers (catalase/ CAT, superoxide dismutase/SOD, glutathione S-transferases/GST, acetylcholinesterase/AChE) in 3 different organs (digestive gland, gills and mantle), and acid phosphatase in hemolymph. Then, a study of lipid impairments on the digestive gland was performed through the use of lipidomic tools. No significant difference of oxidative stress activity was observed for all the tissues of mussels exposed to pristine microplastics at 10 &amp; mu;g/L, compared to controls. The ageing and the PAH soption onto microplastics were influencing factors of the oxydative stress in mussels with increased CAT activities in the digestive glands and decreased SOD activities in the mantles. The neurotoxicity was highlighted by higher AChE activities measured in the mantle of mussels exposed to all the microplastic treatments, compared to controls. Concerning lipidomics, no compound was determined as a biomarker of microplastic exposure. The study demonstrated a low toxicity of microplastics at environmental relevant concentration with a 8-day exposure and using the chosen biomarkers. However, some microplastic changes seemed to lead to specific effects on mussels.</t>
  </si>
  <si>
    <t>[Moncrieffe, Romaric; Cai, Binbin; Kamari, Abderrahmane; Poirier, Laurence; Bertrand, Samuel; Zalouk-Vergnoux, Aurore] Nantes Univ, Inst Subst &amp; Organismes Mer, ISOMer, UR 2160, F-44000 Nantes, France; [Masry, Maria; Rossignol, Stephanie; Wong-Wah-Chung, Pascal] Aix Marseille Univ, CNRS, LCE, Marseille, France; [Bertrand, Samuel] Biogenouest, ThalassOM Metabol Facil, Plateforme Corsaire, Nantes, France</t>
  </si>
  <si>
    <t>Nantes Universite; Centre National de la Recherche Scientifique (CNRS); Aix-Marseille Universite</t>
  </si>
  <si>
    <t>Zalouk-Vergnoux, A (corresponding author), Nantes Univ, Inst Subst &amp; Organismes Mer, ISOMer, UR 2160, F-44000 Nantes, France.</t>
  </si>
  <si>
    <t>aurore.zalouk-vergnoux@univ-nantes.fr</t>
  </si>
  <si>
    <t>Bertrand, Samuel/G-4484-2010; Zalouk-Vergnoux, Aurore/K-8379-2018</t>
  </si>
  <si>
    <t>Zalouk-Vergnoux, Aurore/0000-0001-5619-1596; BERTRAND, Samuel/0000-0002-5934-7012</t>
  </si>
  <si>
    <t>Joint Master Aquaculture Environment and Society (ACES +)</t>
  </si>
  <si>
    <t>The authors thank Mickael Croyal and the Corsaire CRNH mass spectrometry platform and the ThalassOMICS platform, both from Bio-genOuest, for helping us with the FIA-HRMS analysis.The authors also thank Joint Master Aquaculture Environment and Society (ACES +) for the funding of the dissertation projects of students involved in the project.</t>
  </si>
  <si>
    <t>10.1016/j.aquatox.2023.106669</t>
  </si>
  <si>
    <t>S1WH2</t>
  </si>
  <si>
    <t>WOS:001069138900001</t>
  </si>
  <si>
    <t>Penk, MR; Williams, MA</t>
  </si>
  <si>
    <t>Penk, Marcin R.; Williams, Maureen A.</t>
  </si>
  <si>
    <t>Thermal effluents from power plants boost performance of the invasive clam Corbicula fluminea in Ireland's largest river</t>
  </si>
  <si>
    <t>Body condition; Heat pollution; Invasion sanctuary; Propagule bank; Thermal performance</t>
  </si>
  <si>
    <t>FRESH-WATER ECOSYSTEMS; ASIATIC CLAM; POPULATION-DYNAMICS; CLIMATE-CHANGE; MULLER; TEMPERATURE; SPREAD; COMPLEXITY; STABILITY; BIVALVIA</t>
  </si>
  <si>
    <t>Elevated temperatures due to anthropogenic activities can improve the performance of non-native species that are adapted to higher temperatures than resident species. Ecosystems may experience higher temperature due to global stressors, such as climate change, or local stressors, including thermal effluents and urban heat islands. Using field surveys of population density and body size of the highly invasive and hot-adapted clam Corbicula fluminea in and out of two thermal effluents from power plants along the River Shannon, Ireland, we tested the hypothesis that C. fluminea performs better in thermal plumes. Shell length and body mass of C. fluminea in thermal effluents were 1.8 and 4.4 times higher, respectively, compared with adjacent unheated river sections. Density of C. fluminea was 13.7 times higher in heated, compared with unheated river reaches, leading to an increase in combined biomass per unit area of &gt;50-fold. Our temperature data suggest an up to 2.5-fold increase of degree-days for growth and up to 5.2-fold increase of degree-days for larval incubation in the thermal plumes in River Shannon, compared with unheated conditions. Through enlarged body size, the elevated temperatures likely increase fecundity within the plumes.These findings illustrate that, in temperate climates, thermal plumes can form sanctuaries, where C. fluminea likely alters habitat, outpaces competitors and potentially dominates the energy flow through food webs. Furthermore, thermal plumes can act as stepping-stones and propagule banks for further proliferation of C. fluminea and other warm-adapted invaders. (C) 2019 Elsevier B.V. All rights reserved.</t>
  </si>
  <si>
    <t>[Penk, Marcin R.; Williams, Maureen A.] Univ Dublin, Trinity Coll, Sch Nat Sci, Dublin, Ireland</t>
  </si>
  <si>
    <t>Trinity College Dublin</t>
  </si>
  <si>
    <t>Penk, MR (corresponding author), Univ Dublin, Trinity Coll, Sch Nat Sci, Dublin, Ireland.</t>
  </si>
  <si>
    <t>penkm@tcd.ie</t>
  </si>
  <si>
    <t>Williams, Maureen/A-9551-2019</t>
  </si>
  <si>
    <t>Penk, Marcin/0000-0001-5619-1991; Williams, Maureen/0000-0001-7886-9353</t>
  </si>
  <si>
    <t>Government of Ireland Postgraduate Scholarship from the Irish Research Council [GOIPG/2014/103]; Irish Research Council (IRC) [GOIPG/2014/103] Funding Source: Irish Research Council (IRC)</t>
  </si>
  <si>
    <t>Government of Ireland Postgraduate Scholarship from the Irish Research Council(Irish Research Council for Science, Engineering and Technology); Irish Research Council (IRC)(Irish Research Council for Science, Engineering and Technology)</t>
  </si>
  <si>
    <t>Maureen Williams was funded by a Government of Ireland Postgraduate Scholarship from the Irish Research Council (GOIPG/2014/103). We thank Alice Clark, Casey Patmore, Sadhbh Sheeran, Paula Tierney, and ShannonWeldon for helpwith fieldwork and JimWilson for helpful discussions.</t>
  </si>
  <si>
    <t>NOV 25</t>
  </si>
  <si>
    <t>10.1016/j.scitotenv.2019.07.352</t>
  </si>
  <si>
    <t>JD0VN</t>
  </si>
  <si>
    <t>WOS:000489694700120</t>
  </si>
  <si>
    <t>Rodríguez-Sanmartín, P; Moreda-Piñeiro, A; Bermejo-Barrera, A; Bermejo-Barrera, P</t>
  </si>
  <si>
    <t>Ultrasound-assisted solvent extraction of total polycyclic aromatic hydrocarbons from mussels followed by spectrofluorimetric determination</t>
  </si>
  <si>
    <t>total polycyclic aromatic hydrocarbons; mussel; ultra sound-assisted solvent extraction; spectrofluorimetry</t>
  </si>
  <si>
    <t>POLLUTION; WATERS</t>
  </si>
  <si>
    <t>An ultrasound-assisted solvent extraction procedure has been optimised to speed up total polycyclic aromatic hydrocarbons (T-PAHs) extraction from mussel soft tissue. The T-PAHs releases have been evaluated by spectrofluorimetry (excitation and fluorescence emission wavelengths of 300 and 382 nm, respectively, and using chrysene as calibrant). Variables such as sonication time, ultrasound frequency, n-hexane volume, dichloromethane volume, number of repeated extractions with n-hexane and number of repeated extraction with dichloromethane were simultaneously studied by applying a Plackett-Burman design (PBD) approach. Results showed that ultrasound frequency and n-hexane and dichloromethane volumes were statistically significant variables (confidence interval of 95%). These last two variables were finally optimised by using central composite designs (CCD), yielding optimum n-hexane and dichloromethane volumes of 2.5 and 6.5 ml, respectively. The lowest T-PAHs releasing at high ultrasound frequency (35 kHz) led to choice the lowest ultrasound frequency (17 kHz) to perform the extraction. Variables such as sonication time and number of repeated extraction with n-hexane or dichloromethane were statistically non-significant and they were fixed at 10 min and the extraction with n-hexane and dichloromethane were performed once. The limit of detection was 0.021 mu g g(-1) (referred to dried mass), the repeatability of the overall method was 4.7% (n = 9) and the analytical recoveries were between 98 and 105%. The proposed method was finally applied to 16 mussel samples (Mytihis galloprovincialis) from Rfa de Arousa estuary (Galicia, northwest Spain). (c) 2004 Elsevier B.V. All rights reserved.</t>
  </si>
  <si>
    <t>Univ Santiago de Compostela, Fac Chem, Dept Analyt Chem Nutr &amp; Bromatol, Santiago De Compostela 15782, Spain</t>
  </si>
  <si>
    <t>Univ Santiago de Compostela, Fac Chem, Dept Analyt Chem Nutr &amp; Bromatol, Avenida Ciencias S-N, Santiago De Compostela 15782, Spain.</t>
  </si>
  <si>
    <t>pbermejo@usc.es</t>
  </si>
  <si>
    <t>Bermejo, Ana/H-3221-2015; Bermejo-Barrera, pilar/G-9646-2017; Moreda-Pineiro, Antonio/S-3464-2016</t>
  </si>
  <si>
    <t>Bermejo-Barrera, pilar/0000-0001-5864-6144; Moreda-Pineiro, Antonio/0000-0002-3512-6434</t>
  </si>
  <si>
    <t>10.1016/j.talanta.2004.12.014</t>
  </si>
  <si>
    <t>935VT</t>
  </si>
  <si>
    <t>WOS:000229812200023</t>
  </si>
  <si>
    <t>Mesli, N; Rouane-Hacene, O; Bouchikhi-Tani, Z; Richir, J</t>
  </si>
  <si>
    <t>Mesli, Nacima; Rouane-Hacene, Omar; Bouchikhi-Tani, Zoheir; Richir, Jonathan</t>
  </si>
  <si>
    <t>A first study on the bioaccumulation of trace metals in Rhyssoplax olivacea (Mediterranean Polyplacophora)</t>
  </si>
  <si>
    <t>Polyplacophorans; Rhyssoplax olivacea; Mediterranean; Trace metals; Bioaccumulation; Physiological and contamination indices</t>
  </si>
  <si>
    <t>MUSSEL MYTILUS-EDULIS; HEAVY-METALS; ELEMENT CONTAMINATION; CONDITION INDEX; COASTAL WATERS; BODY-SIZE; WEIGHT; MARINE; SEA; GALLOPROVINCIALIS</t>
  </si>
  <si>
    <t>This study investigates, for the first time, the bioaccumulation of trace metals in the chiton Rhyssoplax olivacea. Fe, Cu, Co, Cr and Cd were measured in the shell and soft tissue of R. olivacea sampled in five sites along the Algerian west coast during the cold and hot seasons. Physiological and contamination indices were calculated. The condition index provides information on habitat quality and on R. olivacea reproductive performance and physiological status. The metal/shell-weight index informs on the bioavailability of trace metals. The trace element pollution index is used to assign a global contamination status to the studied sites. The trace element spatial variation index ranks Cd and Cr as trace metals of primary environmental concern based on the overall variability of their levels. An exhaustive review compiling data on trace element bioaccumulation in chitons is performed. The potential use of R. olivacea as bioindicator species is discussed.</t>
  </si>
  <si>
    <t>[Mesli, Nacima; Bouchikhi-Tani, Zoheir] Univ Tlemcen Abou Bekr Belkaid, Dept Biol, Lab Valorisat Act Homme Protect Environm &amp; Applica, BP 119, Tilimsen 13000, Algeria; [Rouane-Hacene, Omar] Univ Oran 1 Ahmed Ben Bella, Dept Biol, Oran 31000, Algeria; [Richir, Jonathan] Stn Rech Sous Marines &amp; Oceanog, BP33, F-20260 Calvi, France; [Richir, Jonathan] SciSca, B-5330 Maillen, Belgium</t>
  </si>
  <si>
    <t>Mesli, N (corresponding author), Univ Tlemcen Abou Bekr Belkaid, Dept Biol, Lab Valorisat Act Homme Protect Environm &amp; Applica, BP 119, Tilimsen 13000, Algeria.;Richir, J (corresponding author), Stn Rech Sous Marines &amp; Oceanog, BP33, F-20260 Calvi, France.</t>
  </si>
  <si>
    <t>meslinacima74@gmail.com; jonathan.richir@gmail.com</t>
  </si>
  <si>
    <t>Zoheir, BOUCHIKHI TANI/0000-0002-4437-8190; MESLI, Nacima/0000-0002-5259-5574; Richir, Jonathan/0000-0001-5890-5724</t>
  </si>
  <si>
    <t>10.1016/j.marpolbul.2023.115202</t>
  </si>
  <si>
    <t>R2XB0</t>
  </si>
  <si>
    <t>WOS:001063019200001</t>
  </si>
  <si>
    <t>Babitsch, D; Sundermann, A</t>
  </si>
  <si>
    <t>Babitsch, Denise; Sundermann, Andrea</t>
  </si>
  <si>
    <t>Chemical surveillance in freshwaters: small sample sizes underestimate true pollutant loads and fail to detect environmental quality standard exceedances</t>
  </si>
  <si>
    <t>Micropollutant; Priority substance; Sample size simulation; Monitoring; Weekly composite sample; Accuracy assessment; Uncertainty; European Water Framework Directive; Temporal variability</t>
  </si>
  <si>
    <t>POLYCYCLIC AROMATIC-HYDROCARBONS; COMBINED SEWER OVERFLOWS; SURFACE WATERS; PRIORITY POLLUTANTS; RISK-ASSESSMENT; WASTE-WATER; RIVER; FREQUENCY; IMPACT; MICROPOLLUTANTS</t>
  </si>
  <si>
    <t>Background Chemical surveillance in surface waters is crucial to identify potential threats to the health of freshwater ecosystems. Usually, the concentrations of pollutants are highly variable over the course of the year and often result in non-normally distributed data sets. Therefore, the European Water Framework Directive recommends measuring, e.g. priority substances at least 12 times a year to achieve an acceptable accuracy level for the estimation of the true mean annual loads. However, in Europe priority substances are often measured much less frequently. In this context, the aim of the present study was to analyze how sample size, temporal variability and skewness of the data sets influence the accuracy of the mean annual load estimation and the assessment of annual average environmental quality standards. For this purpose, sample size simulations using weekly composite samples of benzo(a)pyrene, 4-tert-octylphenol, fluoranthene and di(2-ethylhexyl) phthalate, selected as representatives for priority substances, were carried out. Results The sample size simulations showed two general patterns: the accuracy of the mean annual load estimation increased with increasing sample size and skewness and temporal variability were more apparent in smaller sample sizes. In right-skewed data sets, small sample sizes led, on average, to a systematic underestimation of the true mean annual load whilst in a few cases these led to an overestimation. Although the study was carried out on priority substances, results can be transferable to other pollutants. Furthermore, in small sample sizes a considerable proportion of the simulated means failed to detect annual average environmental quality standard exceedances. Conclusions The results of the present study indicate that the usage of small sample sizes is likely to result in an underestimation of the true mean annual pollutant loads in chemical surveillance and scientific research, thus potentially jeopardizing the validity of results. Therefore, it is recommended to avoid the usage of small sample sizes for the determination of mean annual pollutant loads. Furthermore, priority substances should be sampled according to the European Water Framework Directive guidelines at least 12 times/year to improve the assessment of the threat posed by pollutants to freshwater ecosystems in Europe.</t>
  </si>
  <si>
    <t>[Babitsch, Denise; Sundermann, Andrea] Senckenberg Res Inst, Dept River Ecol &amp; Conservat, Clamecystr 12, D-63571 Gelnhausen, Germany; [Babitsch, Denise; Sundermann, Andrea] Nat Hist Museum Frankfurt, Clamecystr 12, D-63571 Gelnhausen, Germany; [Babitsch, Denise; Sundermann, Andrea] Goethe Univ, Dept Aquat Ecotoxicol, Inst Ecol Evolut &amp; Divers, Max von Laue Str 13, D-60438 Frankfurt, Germany</t>
  </si>
  <si>
    <t>Senckenberg Gesellschaft fur Naturforschung (SGN); Goethe University Frankfurt</t>
  </si>
  <si>
    <t>Babitsch, D (corresponding author), Senckenberg Res Inst, Dept River Ecol &amp; Conservat, Clamecystr 12, D-63571 Gelnhausen, Germany.;Babitsch, D (corresponding author), Nat Hist Museum Frankfurt, Clamecystr 12, D-63571 Gelnhausen, Germany.</t>
  </si>
  <si>
    <t>Denise.Babitsch@senckenberg.de</t>
  </si>
  <si>
    <t>Sundermann, Andrea/A-2938-2009</t>
  </si>
  <si>
    <t>Sundermann, Andrea/0000-0003-2304-1967; Babitsch, Denise/0000-0003-2211-1601</t>
  </si>
  <si>
    <t>Hans Bockler Foundation</t>
  </si>
  <si>
    <t>The first author gratefully acknowledges the financial support received towards her Ph.D. from the Hans Bockler Foundation Ph.D. fellowship. The authors would like to thank Jorg Oehlmann for his critical comments on an earlier version of the manuscript. Particular thanks go out to the Saxon State Office for Environment, Agriculture and Geology for the provision of micropollutant data (https://www.umwelt.sachsen.de/umwelt/wasser/7112.htm).English Language editing service was supplied by Goethe Research Academy for Early Career Researchers.</t>
  </si>
  <si>
    <t>JAN 16</t>
  </si>
  <si>
    <t>10.1186/s12302-019-0285-y</t>
  </si>
  <si>
    <t>KL8IY</t>
  </si>
  <si>
    <t>WOS:000513662900002</t>
  </si>
  <si>
    <t>Chinfak, N; Charoenpong, C; Sompongchaiyakul, P; Wu, Y; Supcharoen, R; Zhang, J</t>
  </si>
  <si>
    <t>Chinfak, Narainrit; Charoenpong, Chawalit; Sompongchaiyakul, Penjai; Wu, Ying; Supcharoen, Ratsirin; Zhang, Jing</t>
  </si>
  <si>
    <t>Environmental factors influencing the distribution of fecal coliform bacteria in Bandon Bay, Thailand</t>
  </si>
  <si>
    <t>Fecal coliform bacteria; E. coli; Salinity; Oyster; Tidal cycle; Daily load</t>
  </si>
  <si>
    <t>RECREATIONAL COASTAL WATER; ESCHERICHIA-COLI; MYTILUS-GALLOPROVINCIALIS; INDICATOR BACTERIA; PATHOGENIC BACTERIA; LAKE GENEVA; MAR-PICCOLO; SURVIVAL; RIVER; CONTAMINATION</t>
  </si>
  <si>
    <t>The presence of fecal coliform bacteria (FCB) and deteriorated water quality are prevalent problems in various coastal ecosystems leading to public health concerns. Here, we evaluated the contamination of FCB and its member, Escherichia coli, in the Tapi-Phumduang River system and Bandon Bay in Thailand, and the accumulation of FCB in oysters cultured therein. The results show significantly higher FCB and E. coli in river water than in seawater, substantiating the role that the river serves as a conduit for bacterial delivery to the bay. FCB discharged from the river to the bay during low tide was approximately 4-fold higher than during high tide. The concentrations of FCB in seawater (&lt;79 MPN/100 mL) and oysters (&lt;187 MPN/100 g) from the Bandon Bay are within regulatatory limits. Statistical analysis shows that various environmental parameters including salinity, turbidity, and DSi are strongly correlated with bacterial pollutants in river water, whereas bacterial pollutants in bay water are strongly correlated with salinity, pH, dissolved oxygen, total nitrogen and dissolved silicate. Hence, salinity and turbidity can be used as proxies for bacterial pollution monitoring in the river, and salinity is a good proxy for indicating bacterial contamination in Bandon Bay. Thus, these two proxies may assist in a rapid assessment of bacterial pollution in aquatic environments.</t>
  </si>
  <si>
    <t>[Chinfak, Narainrit; Wu, Ying; Zhang, Jing] East China Normal Univ, State Key Lab Estuarine &amp; Coastal Res, 500 Dongchuan Rd, Shanghai 200241, Peoples R China; [Charoenpong, Chawalit; Sompongchaiyakul, Penjai; Supcharoen, Ratsirin] Chulalongkorn Univ, Fac Sci, Dept Marine Sci, Bangkok 10330, Thailand</t>
  </si>
  <si>
    <t>East China Normal University; Chulalongkorn University</t>
  </si>
  <si>
    <t>Charoenpong, C (corresponding author), Chulalongkorn Univ, Fac Sci, Dept Marine Sci, Bangkok 10330, Thailand.</t>
  </si>
  <si>
    <t>Chawalit.Cha@chula.ac.th</t>
  </si>
  <si>
    <t>Charoenpong, Chawalit/AFE-8068-2022</t>
  </si>
  <si>
    <t>Charoenpong, Chawalit Net/0000-0001-6067-307X; Chinfak, Narainrit/0000-0001-5838-7621</t>
  </si>
  <si>
    <t>Graduate School of East China Normal University, State Key Laboratory of Estuarine and Coastal Research (SKLEC); SKLEC Open Fund [SKLEC-KF201709]; Chinese Government's Fellowship [CSC-BS201709065]</t>
  </si>
  <si>
    <t>Graduate School of East China Normal University, State Key Laboratory of Estuarine and Coastal Research (SKLEC); SKLEC Open Fund; Chinese Government's Fellowship</t>
  </si>
  <si>
    <t>This work received primary financial supports via grants from the Graduate School of East China Normal University, State Key Laboratory of Estuarine and Coastal Research (SKLEC) and SKLEC Open Fund (grant number SKLEC-KF201709) . NC was funded by the Chinese Government's Fellowship (grant number CSC-BS201709065) . Our colleagues from Chulalongkorn University and East China Normal University are appreciated for their assistance during the laboratory works. We also would like to acknowledge Mr. Tanawut Pandhumas for his guidance on mapping techniques.</t>
  </si>
  <si>
    <t>10.1016/j.rsma.2023.103277</t>
  </si>
  <si>
    <t>AE6W5</t>
  </si>
  <si>
    <t>WOS:001116836800001</t>
  </si>
  <si>
    <t>Carreira, S; Costa, PM; Martins, M; Lobo, J; Costa, MH; Caeiro, S</t>
  </si>
  <si>
    <t>Carreira, S.; Costa, P. M.; Martins, M.; Lobo, J.; Costa, M. H.; Caeiro, S.</t>
  </si>
  <si>
    <t>Ecotoxicological Heterogeneity in Transitional Coastal Habitats Assessed Through the Integration of Biomarkers and Sediment-Contamination Profiles: A Case Study Using a Commercial Clam</t>
  </si>
  <si>
    <t>RIA-FORMOSA LAGOON; RUDITAPES-DECUSSATUS; METALLOTHIONEIN INDUCTION; LIPID-PEROXIDATION; MYTILUS-GALLOPROVINCIALIS; NATURAL-POPULATION; QUALITY GUIDELINES; STRESS RESPONSES; RISK-ASSESSMENT; HEAVY-METALS</t>
  </si>
  <si>
    <t>Transitional waterbodies, such as estuaries, are highly diversified environments with respect to ecology, geophysics, and nature of anthropogenic impacts. This spatial heterogeneity may pose important constraints when developing monitoring programmes for aquatic pollution. The present study compared three distinct coastal ecosystems located in Southern Portugal (subjected to different anthropogenic stressors), namely, two estuaries and a coastal lagoon, through the characterisation of sediment contamination and a biomarker approach to an important commercial clam (Ruditapes decussatus) obtained from local fishing grounds. The results showed high heterogeneity of sediment contamination for both estuaries and a marked distinction between industrially and agriculturally influenced areas as well as between natural and artificialized sites. Hydrodynamics and oceanic influence (in essence dictating sediment type) play a major role in environmental quality. Environmental heterogeneity constituted an important confounding factor for biomarker analysis in the clams' digestive glands since the animals appeared to respond to their immediate surroundings' characteristics rather than the geographical area where they were collected from, despite the relative distance to pollution hot spots. Still, oxidative stress biomarkers (lipid peroxidation and catalase activity) could correlate with each other and to both organic and metallic contamination, whereas metallothionein-like protein induction failed to correlate to any class of sediment toxicants (albeit metals being the most representative pollutants) and appeared to be strongly affected (unlike the previous) by clam size and probably other unknown internal and external variables, among which contaminant interactions should play a major role.</t>
  </si>
  <si>
    <t>[Carreira, S.; Costa, P. M.; Martins, M.; Lobo, J.; Costa, M. H.; Caeiro, S.] Univ Nova Lisboa, Fac Ciencias &amp; Tecnol, Dept Ciencias &amp; Engn Ambiente, IMAR Inst Mar, P-2829516 Caparica, Portugal; [Martins, M.] IPIMA Inst Portugues Mar &amp; Atmosfera, P-1449006 Lisbon, Portugal; [Caeiro, S.] Univ Aberta, Dept Ciencias &amp; Tecnol, P-1269001 Lisbon, Portugal; [Caeiro, S.] Univ Nova Lisboa, Fac Ciencias &amp; Tecnol, Dept Ciencias &amp; Engn Ambiente, CENSE Ctr Environm &amp; Sustainabil Res, P-2829516 Caparica, Portugal</t>
  </si>
  <si>
    <t>Universidade Nova de Lisboa; Instituto Portugues do Mar e da Atmosfera; Universidade Aberta; Universidade Nova de Lisboa</t>
  </si>
  <si>
    <t>Costa, PM (corresponding author), Univ Nova Lisboa, Fac Ciencias &amp; Tecnol, Dept Ciencias &amp; Engn Ambiente, IMAR Inst Mar, P-2829516 Caparica, Portugal.</t>
  </si>
  <si>
    <t>pmcosta@fct.unl.pt</t>
  </si>
  <si>
    <t>Martins, Marta/B-5282-2015; Costa, Maria Helena/F-4957-2012; Caeiro, Sandra/K-3886-2014; Lobo-Arteaga, Jorge/T-6916-2017; Costa, Pedro M./J-2962-2013</t>
  </si>
  <si>
    <t>Costa, Maria Helena/0000-0001-8479-4941; Caeiro, Sandra/0000-0002-6079-3554; Lobo-Arteaga, Jorge/0000-0001-5570-8768; Costa, Pedro M./0000-0002-9072-3522; Martins, Marta/0000-0002-3818-6256</t>
  </si>
  <si>
    <t>FCT; European Community FEDER [PTDC/SAU-ESA/100107/2008]; Portuguese Science and Technology Foundation (FCT) [SFRH/BPD/72564/2010, SFRH/BD/64510/2009, SFRH/BD/69750/2010]; Fundação para a Ciência e a Tecnologia [SFRH/BD/64510/2009, SFRH/BD/69750/2010, PTDC/SAU-ESA/100107/2008] Funding Source: FCT</t>
  </si>
  <si>
    <t>FCT(Fundacao para a Ciencia e a Tecnologia (FCT)); European Community FEDER(European Union (EU)); Portuguese Science and Technology Foundation (FCT)(Fundacao para a Ciencia e a Tecnologia (FCT)); Fundação para a Ciência e a Tecnologia(Fundacao para a Ciencia e a Tecnologia (FCT))</t>
  </si>
  <si>
    <t>The present research was financed by FCT and cofinanced by the European Community FEDER through the program COMPETE (project reference PTDC/SAU-ESA/100107/2008), including the research fellowship attributed to S. Carreira. P. M. Costa, M. Martins, and J. Lobo were supported by the Portuguese Science and Technology Foundation (FCT) through Grants No. SFRH/BPD/72564/2010, SFRH/BD/64510/2009, and SFRH/BD/69750/2010, respectively. The authors thank M. Caetano and D. Matias (IPMA), A. P. Martinho (UIED/FCT-UNL), L. Malafaia (Viveiros Vilanova), L. Jacinto (Docapesca), and Mr. and Mrs. J. Bacalhau for their important support.</t>
  </si>
  <si>
    <t>10.1007/s00244-012-9812-1</t>
  </si>
  <si>
    <t>060JD</t>
  </si>
  <si>
    <t>WOS:000312772000008</t>
  </si>
  <si>
    <t>Lincoln-Smith, MP; Cooper, TF</t>
  </si>
  <si>
    <t>Combining the use of gradients and reference areas to study bioaccumulation in wild oysters in the Hunter River estuary, New South Wales, Australia</t>
  </si>
  <si>
    <t>point source; polycyclic aromatic hydrocarbons; PAH; metals; steelworks; Saccostrea glomerata</t>
  </si>
  <si>
    <t>DIFFERENT SPATIAL SCALES; HEAVY-METALS; SACCOSTREA-COMMERCIALIS; ENVIRONMENTAL IMPACTS; BENTHIC COMMUNITIES; TRACE-METALS; POLLUTION; SEDIMENTS; SYDNEY; ASSEMBLAGES</t>
  </si>
  <si>
    <t>Two approaches for measuring the effects of human activities on aquatic biota are gradient studies and comparison of impacted areas to external references. Wild oysters were sampled at 12 sites adjacent to, upstream and downstream of a steelworks in the Hunter River estuary and in two reference estuaries. Regression analyses for the Hunter indicated reduced concentrations with distance from the point source for some metals and PAHs. Data compared from the reference estuaries to the two sites nearest and the two furthest from the point source in the Hunter indicated elevated concentrations of contaminants both near the point source and on an estuary-wide basis. The gradient approach was useful in identifying the industrial effluent as a point source for bioavailable chemicals. Combining this with the use of reference estuaries provided a broad geographic context in which to interpret results from the Hunter and identified estuary-wide effects. (C) 2003 Elsevier Ltd. All rights reserved.</t>
  </si>
  <si>
    <t>Ecol Lab Pty Ltd, Brookvale, NSW 2100, Australia; Australian Inst Marine Sci, Townsville, Qld 4810, Australia</t>
  </si>
  <si>
    <t>Australian Institute of Marine Science</t>
  </si>
  <si>
    <t>Ecol Lab Pty Ltd, 4 Green St, Brookvale, NSW 2100, Australia.</t>
  </si>
  <si>
    <t>mls@theecologylab.com.au</t>
  </si>
  <si>
    <t>Cooper, Timothy/B-8168-2008</t>
  </si>
  <si>
    <t>10.1016/j.marpolbul.2003.11.003</t>
  </si>
  <si>
    <t>WOS:000221395200017</t>
  </si>
  <si>
    <t>Machella, N; Regoli, F; Cambria, A; Santella, RM</t>
  </si>
  <si>
    <t>Application of an immunoperoxidase staining method for detection of 7,8-dihydro-8-oxodeoxyguanosine as a biomarker of chemical-induced oxidative stress in marine organisms</t>
  </si>
  <si>
    <t>7,8-dihydro-8-oxodeoxyguanosine; oxidative DNA damage; immunoperoxidase staining; monoclonal antibody 1F7; mussels; eels</t>
  </si>
  <si>
    <t>MUSSEL MYTILUS-EDULIS; EEL ANGUILLA-ANGUILLA; POLYCYCLIC AROMATIC-HYDROCARBONS; DAB LIMANDA-LIMANDA; DNA-DAMAGE; DIGESTIVE GLAND; ANTIOXIDANT ENZYMES; IN-VIVO; ELECTROCHEMICAL DETECTION; CYTOCHROME-P450 1A</t>
  </si>
  <si>
    <t>7,8-Dihydro-8-oxodeoxyguanosine (8-oxo-dG) is a typical modification of DNA caused by oxygen free radicals and can be an useful biomarker for pollutants inducing oxidative stress. An immunoperoxidase method using monoclonal antibody 1F7 toward 8-oxo-dG was applied to tissues and smeared cells of marine organisms for detection and quantification of oxidative DNA damage in such models. The assay, previously employed on human cells, was assessed for the first time on Mediterranean mussels (Mytilus galloprovincialis) and European eels (Anguilla anguilla), exposed to model pro-oxidant chemicals, namely benzo[a]pyrene (B[a]P) and copper. Quantification of 8-oxo-dG was microscopically carried out and expressed as relative nuclear staining intensity. Higher levels of oxidative DNA damage were detected in the digestive glands of treated mussels compared to controls, while the effect was less pronounced in haemocytes, characterized by more elevated basal levels of 8-oxo-dG. The assay was suitable for detection, of 8-oxo-dG also in fish liver sections indicating consistent damage after B[a]P exposure. The main advantage of the immunohistochemical approach is the elimination of DNA extraction which considerably reduces the processing of biological samples. In addition, the assay requires small amounts of frozen tissues or fixed cells for detection of 8-oxo-dG and is potentially able to discriminate variable susceptibility to oxidative stress in different cell types. Although further investigations are required for the improvement and the validation of the assay in field conditions, laboratory exposures provided useful indications on the consistency of the approach and the, efficacy of antibody 1F7 in marine organisms for a rapid assessment of pollutant-induced oxidative DNA damage. (C) 2003 Elsevier B.V. All rights reserved.</t>
  </si>
  <si>
    <t>Univ Politecn Marche, Ist Biol &amp; Genet, I-60100 Ancona, Italy; Univ Catania, Dipartimento Sci Chim, I-95125 Catania, Italy; Columbia Univ, Mailman Sch Publ Hlth, Dept Environm Hlth Sci, New York, NY 10032 USA</t>
  </si>
  <si>
    <t>Marche Polytechnic University; University of Catania; Columbia University</t>
  </si>
  <si>
    <t>Machella, N (corresponding author), Univ Politecn Marche, Ist Biol &amp; Genet, Via Ranieri 65,Monte Dago, I-60100 Ancona, Italy.</t>
  </si>
  <si>
    <t>nicola_machella@yahoo.com</t>
  </si>
  <si>
    <t>NIEHS NIH HHS [P30ES09089] Funding Source: Medline</t>
  </si>
  <si>
    <t>NIEHS NIH HHS(United States Department of Health &amp; Human ServicesNational Institutes of Health (NIH) - USANIH National Institute of Environmental Health Sciences (NIEHS))</t>
  </si>
  <si>
    <t>10.1016/j.aquatox.2003.11.008</t>
  </si>
  <si>
    <t>803XQ</t>
  </si>
  <si>
    <t>WOS:000220264200003</t>
  </si>
  <si>
    <t>Kleinhenz, LS; Trenfield, MA; Mooney, TJ; Humphrey, CL; van Dam, RA; Nugegoda, D; Harford, AJ</t>
  </si>
  <si>
    <t>Kleinhenz, Linda S.; Trenfield, Melanie A.; Mooney, Thomas J.; Humphrey, Christopher L.; van Dam, Rick A.; Nugegoda, Dayanthi; Harford, Andrew J.</t>
  </si>
  <si>
    <t>Acute ammonia toxicity to the larvae (glochidia) of the tropical Australian freshwater mussel Velesunio spp. Using a modified toxicity test protocol</t>
  </si>
  <si>
    <t>Ecotoxicology; Aquatic invertebrates; Mining; Velesunio angasi; Acute toxicity; Water quality guideline values</t>
  </si>
  <si>
    <t>QUALITY GUIDANCE; UNIONIDAE; COPPER; PH; JUVENILES; VARIABILITY; SENSITIVITY; EXPOSURE; BIVALVIA; ZINC</t>
  </si>
  <si>
    <t>Ammonia is recognized as a major pollutant worldwide, originating from natural and anthropogenic sources. Studies have reported that freshwater mussels are among the most sensitive taxa to ammonia, but few data are available on ammonia toxicity for the early life stages of freshwater mussels from tropical regions. We report on the modification of a 24-h acute toxicity test protocol for tropical freshwater mussels and application of the test using ammonia. Velesunio spp. from 3 different sites were used to assess the toxicity of ammonia at a targeted pH of 6.0 and a water temperature of 27.5 degrees C, which were the average annual values for some slightly to moderately acidic, soft water (3-6mg/L as CaCO3) creeks of tropical northern Australia. The valve closure responses of mussel glochidia (larvae) to a sodium chloride solution were used to measure the survival endpoint. Acute toxicity estimates indicate that tropical Velesunio spp. were highly sensitive to ammonia, with 24-h exposures to ammonium sulfate generating median lethal concentration estimates ranging from 6.8 to 14.2mg/L total ammonia nitrogen, which, when adjusted to pH 7 and 20 degrees C, were among the highest sensitivities yet reported for any freshwater mussel species, and among the highest in sensitivity for any tropical taxon. These toxicity estimates can contribute to the derivation or refinement of ammonia guideline values for freshwater ecosystems globally. Environ Toxicol Chem 2018;37:2175-2187. (c) 2018 SETAC</t>
  </si>
  <si>
    <t>[Kleinhenz, Linda S.; Nugegoda, Dayanthi] RMIT Univ, Sch Sci, Bundoora, Vic, Australia; [Kleinhenz, Linda S.; Trenfield, Melanie A.; Mooney, Thomas J.; Humphrey, Christopher L.; van Dam, Rick A.; Harford, Andrew J.] Dept Environm &amp; Energy, Supervising Scientist Branch, Darwin, NT, Australia</t>
  </si>
  <si>
    <t>Kleinhenz, LS (corresponding author), RMIT Univ, Sch Sci, Bundoora, Vic, Australia.;Kleinhenz, LS (corresponding author), Dept Environm &amp; Energy, Supervising Scientist Branch, Darwin, NT, Australia.</t>
  </si>
  <si>
    <t>linda.kleinhenz@environment.gov.au</t>
  </si>
  <si>
    <t>Harford, Andrew/0000-0002-0330-7505; Mooney, Thomas/0000-0002-9217-6382; Nugegoda, Dayanthi/0000-0002-6327-4581; Trenfield, Melanie/0000-0002-2327-7569</t>
  </si>
  <si>
    <t>Australian Government Research Training Program scholarship; [RES-2015-025]</t>
  </si>
  <si>
    <t>Australian Government Research Training Program scholarship(Australian GovernmentDepartment of Industry, Innovation and Science);</t>
  </si>
  <si>
    <t>The authors thank the ecotoxicology team and Jabiru field station staff at the Supervising Scientist Branch, Australian Department of the Environment and Energy, for their support and assistance with field collections. Collections on public land were conducted under special permit 2015-2016/S17/ 3380 issued by the Department of Primary Industry and Fisheries, Northern Territory, Australia and permit 57834 issued by the Parks and Wildlife Commission, Northern Territory, Australia. Field collections within the Alligator Rivers Region were conducted with permission under project RES-2015-025, PAN-eriss protocols 2015-16. Field collections at Lake Bennett were conducted with permission from the caretaker of Lake Bennett. During the course of the present study, L.S. Kleinhenz was the recipient of an Australian Government Research Training Program scholarship administered through Royal Melbourne Institute of Technology University.</t>
  </si>
  <si>
    <t>10.1002/etc.4175</t>
  </si>
  <si>
    <t>GO2BP</t>
  </si>
  <si>
    <t>WOS:000439771200012</t>
  </si>
  <si>
    <t>Usero, J; GonzalezRegalado, E; Gracia, I</t>
  </si>
  <si>
    <t>Trace metals in the bivalve mollusc Chamelea gallina from the Atlantic coast of southern Spain</t>
  </si>
  <si>
    <t>MACOMA-BALTHICA; SEASONAL-VARIATIONS; MYTILUS-EDULIS; SEDIMENTS; CU; ESTUARINE; ORGANISMS; CADMIUM; COPPER; ZINC</t>
  </si>
  <si>
    <t>UNIV SEVILLA, DEPT INGN QUIM &amp; AMBIENTAL, AVE REINA MERCEDES S-N, E-41012 SEVILLE, SPAIN.</t>
  </si>
  <si>
    <t>Usero, José/AAC-6523-2020; Usero, Jose/L-8102-2014</t>
  </si>
  <si>
    <t>Usero, Jose/0000-0002-2529-3722</t>
  </si>
  <si>
    <t>10.1016/0025-326X(95)00209-6</t>
  </si>
  <si>
    <t>UC337</t>
  </si>
  <si>
    <t>WOS:A1996UC33700020</t>
  </si>
  <si>
    <t>Lins, DM; Rocha, RM</t>
  </si>
  <si>
    <t>Lins, Daniel M.; Rocha, Rosana M.</t>
  </si>
  <si>
    <t>Invasive species fouling Perna perna (Bivalvia: Mytilidae) mussel farms</t>
  </si>
  <si>
    <t>Shellfish management; Bioinvasion; Aquaculture; Non-indigenous species; Biofouling</t>
  </si>
  <si>
    <t>STYELA-CLAVA HERDMAN; PRINCE-EDWARD-ISLAND; BIOFOULING COMMUNITIES; UNDARIA-PINNATIFIDA; PROPAGULE PRESSURE; BIOTIC RESISTANCE; AQUACULTURE; MANAGEMENT; ASCIDIACEA; SPREAD</t>
  </si>
  <si>
    <t>Invasive, fouling species increase management costs and reduce mussel growth, which jeopardizes mariculture. We studied the distribution of eight invasive species in Santa Catarina, the leading mussel producer in Brazil. Our goals were to determine their spatial distribution and prevalence on farm structures (buoys, long lines, and mussel socks), as well as understand the relevance of propagule pressure (recruitment), port distance, and area of the farm in this distribution. Although present in all sites, adult and recruits distribution were spatially restricted, showing that species might have a metapopulation structure. The most prevalent species were the ascidian Styela plicata, the barnacle Megabalanus coccopoma, the bryozoan Schizoporella errata, and the polychaete Branchiomma luctuosum. Recruitment was the main driver of three species distribution while distance to port explained only one species distribution. Based on those results, we discuss policy options, management, and regulation enforcement, that can be used in the mussel aquaculture elsewhere.</t>
  </si>
  <si>
    <t>[Lins, Daniel M.] Univ Fed Parana, Ecol &amp; Conservat Grad Program, Curitiba, Parana, Brazil; [Rocha, Rosana M.] Univ Fed Parana, Dept Zool, Curitiba, Parana, Brazil</t>
  </si>
  <si>
    <t>Universidade Federal do Parana; Universidade Federal do Parana</t>
  </si>
  <si>
    <t>Lins, DM (corresponding author), Univ Fed Parana, Ecol &amp; Conservat Grad Program, Curitiba, Parana, Brazil.</t>
  </si>
  <si>
    <t>daniel.lins@ufpr.br</t>
  </si>
  <si>
    <t>da Rocha, Rosana/AAD-8390-2019; Moreira da Rocha, Rosana/H-7989-2012</t>
  </si>
  <si>
    <t>de M. Lins, Daniel/0000-0003-2175-033X; Moreira da Rocha, Rosana/0000-0001-6712-7960</t>
  </si>
  <si>
    <t>National Council for Scientific and Technological Development -Brazil (CNPq) [305201/2014-0, 309295/2018-1]; Coordenacao de Aperfeicoamento de Pessoal de Nivel Superior -Brazil (CAPES) [001]</t>
  </si>
  <si>
    <t>National Council for Scientific and Technological Development -Brazil (CNPq)(Conselho Nacional de Desenvolvimento Cientifico e Tecnologico (CNPQ)); Coordenacao de Aperfeicoamento de Pessoal de Nivel Superior -Brazil (CAPES)(Coordenacao de Aperfeicoamento de Pessoal de Nivel Superior (CAPES))</t>
  </si>
  <si>
    <t>We would like to express our deepest gratitude to all the mussel farmers and Prof. Gilberto Manzoni with Univali Oceanography Department who have supported us in the field. We also thank Dr. Leandro M. Vieira who confirmed the identification of the bryozoan species, Roman Wenne who confirmed the identification of the mussel species and James J. Roper who reviewed this text in its entirety. Finally, we are grateful to three anonymous reviewers and the editor whose comments improved the manuscript. This research was partially funded by a research grant to RMR provided by the National Council for Scientific and Technological Development -Brazil (CNPq, 305201/2014-0, 309295/2018-1) and a scholarship to DML provided by Coordenacao de Aperfeicoamento de Pessoal de Nivel Superior -Brazil (CAPES, finance Code 001).</t>
  </si>
  <si>
    <t>10.1016/j.marpolbul.2022.113829</t>
  </si>
  <si>
    <t>4Y7CF</t>
  </si>
  <si>
    <t>WOS:000861680800004</t>
  </si>
  <si>
    <t>Dong, ZG; Chen, YH; Ge, HX; Li, XY; Wu, HL; Wang, CH; Hu, Z; Wu, YJ; Fu, GH; Lu, JK; Che, H</t>
  </si>
  <si>
    <t>Dong, Zhi-guo; Chen, Yi-hua; Ge, Hong-xing; Li, Xiao-ying; Wu, Hai-long; Wang, Chen-he; Hu, Zhe; Wu, Yang-jian; Fu, Guang-hui; Lu, Ji-kun; Che, Hua</t>
  </si>
  <si>
    <t>Response of growth and development of the Pacific oyster (Crassostrea gigas) to thermal discharge from a nuclear power plant</t>
  </si>
  <si>
    <t>BMC ECOLOGY</t>
  </si>
  <si>
    <t>Nuclear power plant; Thermal discharge; Crassostrea gigas; Growth and development</t>
  </si>
  <si>
    <t>SOUTH CHINA SEA; COMMUNITY STRUCTURE; SEASONAL-VARIATION; DAYA BAY; PHYTOPLANKTON; POLLUTION; BIOMARKERS; MUSSEL; BIOLOGY; EDULIS</t>
  </si>
  <si>
    <t>Background: During electricity generation of nuclear power plant, heat energy cannot be completely converted into electrical energy, and a part of it is lost in the form of thermal discharge into the environment. The thermal discharge is harmful to flora and fauna leading to environmental deterioration, biological diversity decline, and even biological extinction. Results: The present study investigated the influence of thermal discharge from a nuclear power plant on the growth and development of Pacific oyster Crassostrea gigas which is widely used as bio indicator to monitor environmental changes. The growth of soft part and the gonad development of oysters were inhibited due to thermal discharge. During winter season, temperature elevation caused by thermal discharge promoted the growth of oyster shells. During summer season, the growth rate of oysters in thermal discharge area was significantly lower than that of the natural sea area. Conclusions: The results of this study provided a better understanding of assessing the impact of thermal discharge on the marine ecological environment and mariculture industry. It also provided a scientific basis for defining a safe zone for aquaculture in the vicinity of nuclear power plants.</t>
  </si>
  <si>
    <t>[Dong, Zhi-guo; Chen, Yi-hua; Ge, Hong-xing; Li, Xiao-ying; Wu, Hai-long; Wang, Chen-he; Hu, Zhe; Wu, Yang-jian] Huaihai Inst Technol, Jiangsu Key Lab Marine Bioresources &amp; Environm, Jiangsu Key Lab Marine Biotechnol, Lianyungang 222005, Jiangsu, Peoples R China; [Dong, Zhi-guo; Chen, Yi-hua; Ge, Hong-xing; Li, Xiao-ying; Wu, Hai-long] Coinnovat Ctr Jiangsu Marine Bioind Technol, Lianyungang 222042, Jiangsu, Peoples R China; [Fu, Guang-hui; Lu, Ji-kun] Lianyungang City Marine &amp; Fishery Dev Promot Ctr, Lianyungang 222000, Jiangsu, Peoples R China; [Che, Hua] Lianyungang Muyang Aquaculture Co Ltd, Lianyungang 222042, Jiangsu, Peoples R China</t>
  </si>
  <si>
    <t>Dong, ZG (corresponding author), Huaihai Inst Technol, Jiangsu Key Lab Marine Bioresources &amp; Environm, Jiangsu Key Lab Marine Biotechnol, Lianyungang 222005, Jiangsu, Peoples R China.;Dong, ZG (corresponding author), Coinnovat Ctr Jiangsu Marine Bioind Technol, Lianyungang 222042, Jiangsu, Peoples R China.</t>
  </si>
  <si>
    <t>Dong, Zhiguo/AAT-7015-2020; Chen, Yihua/GRN-8933-2022; li, xiao/GSN-6181-2022</t>
  </si>
  <si>
    <t>Jiangsu science and technology project [BN2015057, BY2016056-07]; Project of Jiangsu Key Laboratory of Marine Biotechnology [2014HS001]; Project of Lianyungang Science and Technology [CXY1511]; China Agriculture Research System [CARS-49]; Priority Academic Program Development of Jiangsu Higher Education Institutions; Lianyungang Muyang Aquaculture Co., Ltd.</t>
  </si>
  <si>
    <t>Jiangsu science and technology project; Project of Jiangsu Key Laboratory of Marine Biotechnology; Project of Lianyungang Science and Technology; China Agriculture Research System; Priority Academic Program Development of Jiangsu Higher Education Institutions; Lianyungang Muyang Aquaculture Co., Ltd.</t>
  </si>
  <si>
    <t>This study was supported in part by Grants from the Jiangsu science and technology project (Nos. BN2015057 and BY2016056-07), the Project of Jiangsu Key Laboratory of Marine Biotechnology (No. 2014HS001), the Project of Lian-yungang Science and Technology (No. CXY1511), China Agriculture Research System (CARS-49), the Priority Academic Program Development of Jiangsu Higher Education Institutions and Lianyungang Muyang Aquaculture Co., Ltd. commissioned research projects (technical services advisory of Integrated culture of large seaweed and oysters).</t>
  </si>
  <si>
    <t>1472-6785</t>
  </si>
  <si>
    <t>BMC ECOL</t>
  </si>
  <si>
    <t>BMC Ecol.</t>
  </si>
  <si>
    <t>10.1186/s12898-018-0191-y</t>
  </si>
  <si>
    <t>GS9AE</t>
  </si>
  <si>
    <t>WOS:000444006400001</t>
  </si>
  <si>
    <t>Nipper, MG; Roper, DS; Williams, EK; Martin, ML; Van Dam, LF; Mills, GN</t>
  </si>
  <si>
    <t>Sediment toxicity and benthic communities in mildly contaminated mudflats</t>
  </si>
  <si>
    <t>chronic toxicity; benthic community; sediment; pore water</t>
  </si>
  <si>
    <t>ACID-VOLATILE SULFIDE; BIVALVE MACOMONA-LILIANA; NEW-ZEALAND; MANUKAU HARBOR; PUGET-SOUND; BAY; STORAGE; MARINE; BIOAVAILABILITY; WASHINGTON</t>
  </si>
  <si>
    <t>Sediment physicochemical characteristics, benthic community structure, and toxicity were measured at reference and contaminated intertidal mudflats around the North Island of New Zealand. Chronic whole-sediment toxicity tests were conducted with the estuarine amphipod Chaetocorophium lucasi and the marine bivalve Macomona liliana, and pore-water toxicity tests were conducted with embryos of the echinoid Fellaster zelandiae. Although concentrations of organic chemicals and heavy metals were up to several orders of magnitude higher at the sites considered to be contaminated, levels of contamination were relatively low compared to internationally based sediment quality guidelines. Although no pronounced difference was found in benthic community structure between reference and contaminated sites, multivariate analysis indicated that natural sediment characteristics (total organic carbon, acid-volatile sulfide, ammonium) and factors related to contamination (dichlorodiphenyltrichloroethane, sediment toxicity) may have been affecting community structure. Although benthic effects caused by present levels of contamination are not yet dramatic, subtle changes in community structure related to pollution may be occurring. The two whole-sediment and the pore-water toxicity tests presented different response patterns. Growth of C. lucasi and M. liliana was a less sensitive endpoint than survival. None of the three toxicity tests responded more strongly to the contaminated than to the reference sites, that is, neither natural-sediment and pore-water characteristics nor unmeasured contaminants affected the test organisms. It is possible that sediment collection and handling may have induced chemical changes, confounding interpretation of toxicity tests.</t>
  </si>
  <si>
    <t>Natl Inst Water &amp; Atmospher Res Ltd, Hamilton, New Zealand</t>
  </si>
  <si>
    <t>Texas A&amp;M Univ, Ctr Coastal Studies, Nat Resources Ctr, Suite 3200,6300 Ocean Dr, Corpus Christi, TX 78412 USA.</t>
  </si>
  <si>
    <t>m.nipper@falcon.tamucc.edu</t>
  </si>
  <si>
    <t>10.1002/etc.5620170322</t>
  </si>
  <si>
    <t>YZ916</t>
  </si>
  <si>
    <t>WOS:000072307500022</t>
  </si>
  <si>
    <t>Garaud, M; Trapp, J; Devin, S; Cossu-Leguille, C; Pain-Devin, S; Felten, V; Giamberini, L</t>
  </si>
  <si>
    <t>Garaud, M.; Trapp, J.; Devin, S.; Cossu-Leguille, C.; Pain-Devin, S.; Felten, V.; Giamberini, L.</t>
  </si>
  <si>
    <t>Multibiomarker assessment of cerium dioxide nanoparticle (nCeO2) sublethal effects on two freshwater invertebrates, Dreissena polymorpha and Gammarus roeseli</t>
  </si>
  <si>
    <t>Nanoparticle; Cerium; Biomarker; Ecotoxicology; Dreissena polymorpha; Gammarus roeseli</t>
  </si>
  <si>
    <t>METAL-OXIDE NANOPARTICLES; ZEBRA MUSSELS; OXIDATIVE STRESS; BEHAVIORAL-RESPONSES; CRUSTACEA-AMPHIPODA; CEO2 NANOPARTICLES; POLLUTION GRADIENT; DIGESTIVE GLAND; GILL INJURY; BIOMARKERS</t>
  </si>
  <si>
    <t>Cerium nanoparticles (nCeO(2)) are widely used in everyday products, as fuel and paint additives. Meanwhile, very few studies on nCeO(2) sublethal effects on aquatic organisms are available. We tried to fill this knowledge gap by investigating short-term effects of nCeO(2) at environmentally realistic concentrations on two freshwater invertebrates; the amphipod Gammarus roeseli and the bivalve Dreissena polymorpha, using an integrated multibiomarker approach to detect early adverse effects of nCeO(2) on organism biology. Differences in the behaviour of the organisms and of nanoparticles in the water column led to differential nCeO(2) bioaccumulations, G. roeseli accumulating more cerium than D. polymorpha. Exposure to nCeO(2) led to decreases in the size of the lysosomal system, catalase activity and lipoperoxidation in mussel digestive glands that could result from nCeO(2) antioxidant properties, but also negatively impacted haemolymph ion concentrations. At the same time, no strong adverse effects of nCeO(2) could be observed on G. roeseli. Further experiments will be necessary to confirm the absence of severe nCeO(2) adverse effects in long-term environmentally realistic conditions. (C) 2014 Elsevier B.V. All rights reserved.</t>
  </si>
  <si>
    <t>[Garaud, M.; Trapp, J.; Devin, S.; Cossu-Leguille, C.; Pain-Devin, S.; Felten, V.; Giamberini, L.] Univ Lorraine, CNRS UMR 7360, Lab Interdisciplinaire Environm Continentaux, F-57070 Metz, France; [Garaud, M.; Giamberini, L.] Int Consortium Environm Implicat Nanotechnol iCEI, Aix En Provence, France</t>
  </si>
  <si>
    <t>Universite de Lorraine; Centre National de la Recherche Scientifique (CNRS); CNRS - National Institute for Earth Sciences &amp; Astronomy (INSU); Aix-Marseille Universite</t>
  </si>
  <si>
    <t>Giamberini, L (corresponding author), Univ Lorraine, CNRS UMR 7360, Lab Interdisciplinaire Environm Continentaux, Campus Bridoux,Rue Gen Delestraint, F-57070 Metz, France.</t>
  </si>
  <si>
    <t>laure.giamberini@univ-lorraine.fr</t>
  </si>
  <si>
    <t>Devin, Simon/0000-0003-4431-4987; Cossu-Leguille, Carole/0000-0002-6284-4415; FELTEN, Vincent/0000-0003-2601-7225</t>
  </si>
  <si>
    <t>Agence Nationale de la Recherche [ANR-10-NANO-0006/MESONNET]; CPER Lorraine-ZAM (Contrat Projet Etat Region Lorraine, Zone Atelier Moselle); Labex Ressources 21 [ANR-10-LABX-21-01]; CNRS; CEA</t>
  </si>
  <si>
    <t>Agence Nationale de la Recherche(Agence Nationale de la Recherche (ANR)); CPER Lorraine-ZAM (Contrat Projet Etat Region Lorraine, Zone Atelier Moselle)(Region Grand-Est); Labex Ressources 21; CNRS(Centre National de la Recherche Scientifique (CNRS)); CEA(French Atomic Energy Commission)</t>
  </si>
  <si>
    <t>Financial supports were provided by the Agence Nationale de la Recherche (ANR-10-NANO-0006/MESONNET project) for M. Garaud PhD salary and running costs and CPER Lorraine-ZAM (Contrat Projet Etat Region Lorraine, Zone Atelier Moselle). This work is a contribution to the Labex Ressources 21, ANR-10-LABX-21-01 (Strategic metal resources of the 21st century). The authors gratefully acknowledge CNRS and CEA for funding the iCEINT International Consortium for the Environmental Implications of NanoTechnology. Sharon Kruger is gratefully acknowledged for her English corrections.</t>
  </si>
  <si>
    <t>10.1016/j.aquatox.2014.11.004</t>
  </si>
  <si>
    <t>CA4PZ</t>
  </si>
  <si>
    <t>WOS:000348888400008</t>
  </si>
  <si>
    <t>Balzani, P; Haubrock, PJ; Russo, F; Kouba, A; Haase, P; Vesely, L; Masoni, A; Tricarico, E</t>
  </si>
  <si>
    <t>Balzani, Paride; Haubrock, Phillip J.; Russo, Francesco; Kouba, Antonin; Haase, Peter; Vesely, Lukas; Masoni, Alberto; Tricarico, Elena</t>
  </si>
  <si>
    <t>Combining metal and stable isotope analyses to disentangle contaminant transfer in a freshwater community dominated by alien species</t>
  </si>
  <si>
    <t>Environmental pollution; Biomagnification; Food web; Ecotoxicology; Freshwater ecosystems</t>
  </si>
  <si>
    <t>CATFISH SILURUS-GLANIS; HEAVY-METALS; FOOD-WEB; TRACE-ELEMENTS; DANUBE RIVER; TROPHIC POSITION; MUSCLE-TISSUE; FISH; BIOACCUMULATION; HG</t>
  </si>
  <si>
    <t>Freshwater ecosystems are negatively impacted by various pollutants, from agricultural, urban and industrial wastewater, with metals being one of the largest concerns. Moreover, freshwater ecosystems are often affected by alien species introductions that can modify habitats and trophic relationships. Accordingly, the threat posed by metals interacts with those by alien species, since the latter can accumulate and transfer these substances across the food web to higher trophic levels. How metals transfer within such communities is little studied. We analysed the concentration of 14 metals/metalloids (Al, As, Cd, Co, Cr, Cu, Fe, Hg, Mg, Mn, Ni, Pb, Se, Zn, hereafter 'metal(s)') of eight fish and three crustacean species co-existing in the Arno River (Central Italy), most of which were alien. To assess the pathway of contaminants within the community, we coupled metal analysis with carbon and nitrogen stable isotope analysis derived from the same specimens. Crustaceans showed higher metal concentration than fish, except for Cd, Hg and Se that were higher in fish. We found evidence of trophic transfer for six metals (Cd, Cr, Hg, Mg, Se, Zn). Additionally, ontogenetic differences and differences among various fish tissues (muscle, liver, and gills) were found in metals concentration. Considerable biomagnification along the trophic chain was found for Hg, while other metals were found to biodilute. Using stable isotopes and Hg as a third diet tracer, we refined the estimations of consumed preys in the diet previously reconstructed with stable isotope mixing models. Alien species reach high biomass and can both survive to and accumulate high pollutants concentrations, potentially posing a risk for their predators and humans. A combined effect of environmental filtering and increased competition may potentially contribute to the disappearance of native species with lower tolerances. (C) 2020 Elsevier Ltd. All rights reserved.</t>
  </si>
  <si>
    <t>[Balzani, Paride; Russo, Francesco; Masoni, Alberto; Tricarico, Elena] Univ Florence, Dept Biol, Via Madonna Piano 6, I-50019 Sesto Fiorentino, Italy; [Haubrock, Phillip J.; Haase, Peter] Senckenberg Res Inst, Clamecystr 12, D-63571 Gelnhausen, Germany; [Haubrock, Phillip J.; Haase, Peter] Nat Hist Museum Frankfurt, Dept River Ecol &amp; Conservat, Clamecystr 12, D-63571 Gelnhausen, Germany; [Haubrock, Phillip J.; Kouba, Antonin; Vesely, Lukas] Univ South Bohemia Ceske Budejovice, Fac Fisheries &amp; Protect Waters, South Bohemian Res Ctr Aquaculture &amp; Biodivers Hy, Zatisi 728-2, Vodnany 38925, Czech Republic; [Haase, Peter] Univ Duisburg Essen, Fac Biol, Univ Str 5, D-45141 Essen, Germany</t>
  </si>
  <si>
    <t>University of Florence; Senckenberg Gesellschaft fur Naturforschung (SGN); University of South Bohemia Ceske Budejovice; University of Duisburg Essen</t>
  </si>
  <si>
    <t>Balzani, P (corresponding author), Univ Florence, Dept Biol, Via Madonna Piano 6, I-50019 Sesto Fiorentino, Italy.</t>
  </si>
  <si>
    <t>paride.balzani@unifi.it</t>
  </si>
  <si>
    <t>Tricarico, Elena/ABC-9819-2021; Haubrock, Phillip/K-5955-2019; Medina, Alberto/J-9320-2017; Veselý, Lukáš/AAR-4875-2020; Haase, Peter/A-5644-2011; Kouba, Antonin/C-9338-2015; Vesely, Lukas/G-5118-2015; Balzani, Paride/A-2538-2019</t>
  </si>
  <si>
    <t>Masoni, Alberto/0000-0001-5473-4649; Haubrock, Phillip Joschka/0000-0003-2154-4341; Kouba, Antonin/0000-0001-8118-8612; Tricarico, Elena/0000-0002-7392-0794; Vesely, Lukas/0000-0002-0886-4298; Balzani, Paride/0000-0003-1549-7139</t>
  </si>
  <si>
    <t>[2020 Marie Sklodowska-Curie ITN-2014-ETN642197]</t>
  </si>
  <si>
    <t>Funding was partly provided by the Aquainvad-ED project (2020 Marie Sklodowska-Curie ITN-2014-ETN642197).</t>
  </si>
  <si>
    <t>10.1016/j.envpol.2020.115781</t>
  </si>
  <si>
    <t>PH7AJ</t>
  </si>
  <si>
    <t>WOS:000600560400057</t>
  </si>
  <si>
    <t>Storelli, MM; Marcotrigiano, GO</t>
  </si>
  <si>
    <t>Polycyclic aromatic hydrocarbons in mussels (Mytilus galloprovincialis) from the Ionian Sea, Italy</t>
  </si>
  <si>
    <t>MARINE ORGANISMS; HEAVY-METALS; FISH; METABOLISM</t>
  </si>
  <si>
    <t>Concentrations of eight polycyclic aromatic hydrocarbons (PAHs) (phenanthrene, anthracene, fluoranthene, pyrene, benz[a]anthracene, benzo[a]pyrene, dibenz[a,h]anthracene, benzo[ghi]perylene) were determined in mussels (Mytilus galloprovincialis) collected between June and September 1995 from 10 locations along a sound of sea formed by two inlets (Mar Piccolo) close to the Gulf of Taranto (Ionian Sea, Italy). In mussels the concentrations of total PAHs were between 14.8 and 645.3 mug/kg wet weight. Among the single identified compounds, the predominance of phenanthrene (29.5 mug/kg wet weight) and anthracene (64.7 mug/kg wet weight) was evident. Another relevant pollutant was pyrene (18.4 mug/kg wet weight) followed by fluoranthene (7.2 mug/kg wet weight), whereas the other compounds showed low levels. The mussels that showed the highest total concentrations of PAHs were collected from stations affected by stronger human activities (industrial fallout, urban wastewaters, and contaminants transported via riverine discharge). Our results were similar to those found in areas classified as moderately polluted. This observation suggests the need for an increased effort in controlling sources of pollution in this area recognized as one of the most productive mussel-farming areas in the Italy.</t>
  </si>
  <si>
    <t>Univ Bari, Fac Med Vet, Chem &amp; Biochem Sect, Pharmacal Biol Dept, I-70010 Valenzano, BA, Italy</t>
  </si>
  <si>
    <t>Universita degli Studi di Bari Aldo Moro</t>
  </si>
  <si>
    <t>Marcotrigiano, GO (corresponding author), Univ Bari, Fac Med Vet, Chem &amp; Biochem Sect, Pharmacal Biol Dept, Strada Prov Casamassima Km 3, I-70010 Valenzano, BA, Italy.</t>
  </si>
  <si>
    <t>Storelli, Maria/B-6022-2012</t>
  </si>
  <si>
    <t>Storelli, Maria Maddalena/0000-0003-1425-1073</t>
  </si>
  <si>
    <t>INT ASSOC MILK FOOD ENVIRONMENTAL SANITARIANS, INC</t>
  </si>
  <si>
    <t>10.4315/0362-028X-64.3.405</t>
  </si>
  <si>
    <t>408LC</t>
  </si>
  <si>
    <t>WOS:000167326800022</t>
  </si>
  <si>
    <t>Maria-Cervantes, A; Jiménez-Cárceles, FJ; Alvarez-Rogel, J</t>
  </si>
  <si>
    <t>Maria-Cervantes, A.; Jimenez-Carceles, F. J.; Alvarez-Rogel, J.</t>
  </si>
  <si>
    <t>As, Cd, Cu, Mn, Pb, and Zn Contents in Sediments and Mollusks (Hexaplex trunculus and Tapes decussatus) from Coastal Zones of a Mediterranean Lagoon (Mar Menor, SE Spain) Affected by Mining Wastes</t>
  </si>
  <si>
    <t>Coastal lagoons; Polluted sediments; Mining wastes; Gastropods; Bivalves</t>
  </si>
  <si>
    <t>TRACE-METALS; HEAVY-METALS; SALT-MARSH; ACCUMULATION; INDICATOR; ELEMENTS; MUSSELS; ZINC; BIOAVAILABILITY; CONTAMINATION</t>
  </si>
  <si>
    <t>Individuals of Hexaplex trunculus, Tapes decussatus, and associated sediments were collected from 16 coastal sampling plots of the Mar Menor lagoon (SE Spain), and the metal and As concentrations were determined. The sediments had maximum values (in milligrams per kilogram dry weight [d.w.]) of 7,132 for Zn; 6,975 for Pb; 5,039 for Mn; 501 for As; 74 for Cu; and 9.1 for Cd. Specimens of H. trunculus could be collected from all the sampling plots, and it was found that concentrations of Zn (between 883 and 3,130 mg kg(-1) d.w.), Pb (between 0.09 and 222 mg kg(-1) d.w.), Mn (between 7.6 and 17.7 mg kg(-1) d.w.), As (between 144 and 418 mg kg(-1) d.w.), and Cd (between undetectable and 8.4 mg kg(-1) d.w.) in soft tissues significantly increased when concentrations in sediments increased. H. trunculus apparently regulated Cu assimilation (concentrations between 17.7 and 47.2 mg kg(-1) d.w.) in its soft tissues. T. decussatus was very scarce or even absent from sites with higher metal and As contents in the sediments. Hence, H. trunculus could be used as a bioindicator of metals and As pollution, but not T. decussatus. Based on our results, a human health risk exists because the species analyzed are collected from the studied zone and so are consumed by the population.</t>
  </si>
  <si>
    <t>[Maria-Cervantes, A.; Jimenez-Carceles, F. J.; Alvarez-Rogel, J.] Univ Politecn Cartagena, Dept Ciencia &amp; Tecnol Agr, Area Edafol &amp; Quim Agr, ETS Ingn Agron, Murcia 30203, Spain</t>
  </si>
  <si>
    <t>Universidad Politecnica de Cartagena</t>
  </si>
  <si>
    <t>Alvarez-Rogel, J (corresponding author), Univ Politecn Cartagena, Dept Ciencia &amp; Tecnol Agr, Area Edafol &amp; Quim Agr, ETS Ingn Agron, Paseo Alfonso 8,48, Murcia 30203, Spain.</t>
  </si>
  <si>
    <t>jose.alvarez@upct.es</t>
  </si>
  <si>
    <t>; Alvarez-Rogel, Jose/M-5660-2015</t>
  </si>
  <si>
    <t>JIMENEZ CARCELES, FRANCISCO JOSE/0000-0001-7119-9991; Alvarez-Rogel, Jose/0000-0002-8758-3792</t>
  </si>
  <si>
    <t>Ministerio de Ciencia y Tecnologia of Spain [CGL2004-05807]; Spanish Ministry of Education and Science (MEC)</t>
  </si>
  <si>
    <t>Ministerio de Ciencia y Tecnologia of Spain(Spanish Government); Spanish Ministry of Education and Science (MEC)(Spanish Government)</t>
  </si>
  <si>
    <t>Support for this research was provided by the Ministerio de Ciencia y Tecnologia of Spain (CGL2004-05807). A. Mar a Cervantes has a predoctoral fellowship (FPU) financed by the Spanish Ministry of Education and Science (MEC). We also thank Graham Langworthy and J. Mari Belch from the Language Service of the Universidad Politecnica de Cartagena for improving the English translation. We acknowledge the valuable collaboration and efficiency of A. Belen Rodriguez-Caparros and Magdalena V~zquez from the Servicio de Apoyo a la Investigacion Tecnologica (SAIT) of the Universidad Politecnica de Cartagena, in the management of the ICP-MS equipment. We also wish thank Dr. Javier Gilabert from the Universidad Politecnica de Cartagena for the helpful suggestions about mollusks behavior. Finally, the collaboration of C. Egea Nicolas and M. J. Roca Hernandez was invaluable due to the fact that they showed us how to find mollusks hidden under the sediments.</t>
  </si>
  <si>
    <t>10.1007/s11270-008-9913-7</t>
  </si>
  <si>
    <t>451RN</t>
  </si>
  <si>
    <t>WOS:000266487700026</t>
  </si>
  <si>
    <t>Chintala, MM; Wigand, C; Thursby, G</t>
  </si>
  <si>
    <t>Chintala, Marnita M.; Wigand, Cathleen; Thursby, Glen</t>
  </si>
  <si>
    <t>Comparison of Geukensia demissa populations in Rhode Island fringe salt marshes with varying nitrogen loads</t>
  </si>
  <si>
    <t>bivalve; nitrogen; population attributes; condition index; indirect effects</t>
  </si>
  <si>
    <t>RIBBED MUSSEL; SHORE LEVEL; WAQUOIT BAY; COASTAL WATERSHEDS; ISOTOPE SIGNATURES; BIVALVIA; MASSACHUSETTS; GROWTH; POLLUTION; DYNAMICS</t>
  </si>
  <si>
    <t>Increased residential development in coastal watersheds has led to increases in anthropogenic nitrogen inputs into estuaries. Sessile bivalves are good candidate organisms to examine nitrogen enrichment effects on consumers because they contribute significantly to material transport from pelagic to benthic systems. We examined condition index (CI), individual dry weight, density, and total biomass in the ribbed mussel Geukensia demissa (Dillwyn), from 10 marsh sites within Narragansett Bay, Rhode Island, subject to varying watershed sub-basin nitrogen loadings. We tested hypotheses that condition and population attributes of G. demissa are driven by watershed sub-basin nitrogen load. There was no clear relationship between the mussel Cl and nitrogen load. G, demissa density and total biomass did increase significantly with increases in nitrogen load. Responses in individual mussel dry weight might be an indirect effect of increased nitrogen loading due to eutrophication-induced changes in food availability. Increased nitrogen loads could be increasing G. demissa food sources, such as Spartina alterniflora detritus, microheterotrophs, particulate organic matter, or phytoplankton, that subsequently translate into higher G. demissa growth and reproduction.</t>
  </si>
  <si>
    <t>US EPA, Off Res &amp; Dev, Natl Hlth &amp; Environm Effects Res Lab, Atlantic Ecol Div, Narragansett, RI 02882 USA</t>
  </si>
  <si>
    <t>Chintala, MM (corresponding author), US EPA, Off Res &amp; Dev, Natl Hlth &amp; Environm Effects Res Lab, Atlantic Ecol Div, 27 Tarzwell Dr, Narragansett, RI 02882 USA.</t>
  </si>
  <si>
    <t>chintala.marty@epa.gov</t>
  </si>
  <si>
    <t>10.3354/meps320101</t>
  </si>
  <si>
    <t>092NC</t>
  </si>
  <si>
    <t>WOS:000241102800009</t>
  </si>
  <si>
    <t>Gonzalez-Rey, M; Mattos, JJ; Piazza, CE; Bainy, ACD; Bebianno, MJ</t>
  </si>
  <si>
    <t>Gonzalez-Rey, M.; Mattos, J. J.; Piazza, C. E.; Bainy, A. C. D.; Bebianno, M. J.</t>
  </si>
  <si>
    <t>Effects of active pharmaceutical ingredients mixtures in mussel Mytilus galloprovincialis</t>
  </si>
  <si>
    <t>Pharmaceuticals; Mixtures; Mytilus galloprovincialis; Multibiomarkers; Gene expression</t>
  </si>
  <si>
    <t>PERSONAL CARE PRODUCTS; COLORIMETRIC DETERMINATION; CYTOCHROME-P450 ENZYMES; AQUATIC INVERTEBRATES; SUPEROXIDE-DISMUTASE; LIPID-PEROXIDATION; OXIDATIVE STRESS; MARINE MUSSEL; WASTE-WATER; TOXICITY</t>
  </si>
  <si>
    <t>Active pharmaceutical ingredients (APIs) are emergent environmental contaminants widely detected in surface waters as result of incomplete waste water treatment plant (WWTP) removal processes and improper disposal. The assessment of potential effects of APIs on non-target organisms is still scarce since besides presenting multiple chemical structures, properties and modes of action, these compounds occur as complex mixtures. This study comprises a 15-day exposure of mussels Mytilus galloprovincialis to mixtures (at environmentally relevant nominal concentrations) of non-steroidal inflammatory drugs ibuprofen (IBU) and diclofenac (DCF) (250 ng L-1 each) and selective serotonin reuptake inhibitor (SSRI) fluoxetine (FLX) (75 ng L-1) (MIX 1) along with the addition of classical pro-oxidant copper (Cu) (5 mu g L-1) (MIX 2). The goals included the assessment of oxidative stress, neurotoxic and endocrine effects on this sentinel species applying both a multibiomarker and gene expression (here and later gene expression is taken as synonym to gene transcription, although it is acknowledged that it is also affected by, e.g. translation, and mRNA and protein stability) analysis approaches. The results revealed a swifter antioxidant response in digestive glands than in gills induced by MIX 1, nevertheless the presence of Cu in MIX 2 promoted a higher lipid peroxidation (LPO) induction. Neither mixture altered acetylcholinesterase (AChE) activity, while both triggered the formation of vitellogenin-like proteins in females confirming the xenoestrogenic effect of mixtures. All these results varied with respect to those obtained in previous single exposure essays. Moreover, RT-PCR analysis revealed a catalase (CAT) and CYP4Y1 gene expression down- and upregulation, respectively, with no significant changes in mRNA levels of genes encoding superoxide dismutase (SOD) and glutathione-S-transferase (GST). Finally, this study highlights variable tissue and time-specific biomarker responses and gene expression alterations, which along with several interactions between each mixture component on each biomarker confirm the susceptibility of mussels to API mixtures. (C) 2014 Elsevier B.V. All rights reserved.</t>
  </si>
  <si>
    <t>[Gonzalez-Rey, M.; Bebianno, M. J.] Univ Algarve, CIMA, Marine &amp; Environm Res Ctr, P-8000135 Faro, Portugal; [Mattos, J. J.; Piazza, C. E.; Bainy, A. C. D.] Univ Fed Santa Catarina, Lab Biomarcadores Contaminacao Aquat, Lab Aquat Contaminat Biomarkers, Dept Biochem, BR-88040900 Florianopolis, SC, Brazil</t>
  </si>
  <si>
    <t>Universidade do Algarve; Universidade Federal de Santa Catarina (UFSC)</t>
  </si>
  <si>
    <t>Bebianno, MJ (corresponding author), Univ Algarve, CIMA, Marine &amp; Environm Res Ctr, Campus Gambelas, P-8000135 Faro, Portugal.</t>
  </si>
  <si>
    <t>Bebianno, Maria/L-3761-2014; Bainy, Afonso/J-6097-2012; Piazza, Clei/C-1700-2019</t>
  </si>
  <si>
    <t>Bebianno, Maria/0000-0003-1492-8566; Piazza, Clei/0000-0002-3108-1638; Bainy, Afonso/0000-0002-3885-7718; Joaquim Mattos, Jaco/0000-0002-8766-4285; Gonzalez-Rey, Maria/0000-0002-9343-8460</t>
  </si>
  <si>
    <t>10.1016/j.aquatox.2014.02.006</t>
  </si>
  <si>
    <t>WOS:000339149200003</t>
  </si>
  <si>
    <t>Wang, Y; Zhai, HG; Guo, Q; Zhang, YH; Sun, X; Guo, YM; Yang, QQ; Zhang, YY</t>
  </si>
  <si>
    <t>Wang, Yue; Zhai, Hongguo; Guo, Qi; Zhang, Yuhao; Sun, Xia; Guo, Yemin; Yang, Qingqing; Zhang, Yanyan</t>
  </si>
  <si>
    <t>Shared hairpin structure electrochemical aptasensor based on ZrO2@Ni/ Co-MOFs@AuNPs for dual-target detection of Cd2+ and S.aureus</t>
  </si>
  <si>
    <t>Ratiometric; Electrochemical aptamer sensor; Cd(II); S.aureus; Signal amplification</t>
  </si>
  <si>
    <t>Heavy metals and foodborne pathogens have become key pollutants that harm aquatic products, seriously endangering food safety and human health. Therefore, in this study, a ratiometric electrochemical aptamer sensor with a novel signal amplification strategy was constructed using ZrO2 as the substrate and Ni/CoMOFs@AuNPs cubic nanomaterials to increase the specific surface area to simultaneously detect Cd2+ and S. aureus. The shared hairpin complementary chains modified with ferropene (Fc) could simultaneously bind to the Cd2+ and S.aureus aptamers modified with methylene blue (MB) and anthrquinone-2-carboxylic acid (AQ). The ratios of MB and AQ to Fc were used to realize the qualitative and quantitative detection of Cd2+ and S.aureus. Under the optimal conditions, the electrochemical aptamer sensor for Cd2+ and S.aureus was in the range of 1.00 x 10-2-1.00 x 104 ng/L and 1.00 x 101-1.00 x 107 CFU/mL, and the lowest detection limit was 1.91 x 10-4 ng/ L and 1.37 CFU/mL, respectively. The aptasensor constructed in this paper can realize the simultaneous detection of Cd2+ and S.aureus in scallop and fish, providing a new detection method for the simultaneous detection of a variety of aquatic products pollutants.</t>
  </si>
  <si>
    <t>[Wang, Yue; Zhai, Hongguo; Guo, Qi; Zhang, Yuhao; Sun, Xia; Guo, Yemin; Yang, Qingqing; Zhang, Yanyan] Shandong Univ Technol, Sch Agr Engn &amp; Food Sci, 266 Xincun Xilu, Zibo 255049, Peoples R China; [Wang, Yue; Zhai, Hongguo; Guo, Qi; Zhang, Yuhao; Sun, Xia; Guo, Yemin; Yang, Qingqing; Zhang, Yanyan] Shandong Prov Engn Res Ctr Vegetable Safety &amp; Qual, 266 Xincun Xilu, Zibo 255049, Peoples R China; [Wang, Yue; Zhai, Hongguo; Guo, Qi; Zhang, Yuhao; Sun, Xia; Guo, Yemin; Yang, Qingqing; Zhang, Yanyan] Zibo City Key Lab Agr Prod Safety Traceabil, 266 Xincun Xilu, Zibo 255049, Peoples R China</t>
  </si>
  <si>
    <t>Shandong University of Technology</t>
  </si>
  <si>
    <t>Zhang, YY (corresponding author), Shandong Univ Technol, Sch Agr Engn &amp; Food Sci, 266 Xincun Xilu, Zibo 255049, Peoples R China.</t>
  </si>
  <si>
    <t>zyyan1104@163.com</t>
  </si>
  <si>
    <t>Li, Yan/JRW-0176-2023</t>
  </si>
  <si>
    <t>Foundation of China [32161133008]</t>
  </si>
  <si>
    <t>Foundation of China</t>
  </si>
  <si>
    <t>Funding This work was supported by the Natural Science Foundation of Shandong Province (ZR2018BC055) and the National Natural Sciencer Foundation of China (No.32161133008) .</t>
  </si>
  <si>
    <t>10.1016/j.snb.2023.134648</t>
  </si>
  <si>
    <t>T6ZX1</t>
  </si>
  <si>
    <t>WOS:001079456600001</t>
  </si>
  <si>
    <t>Hale, RC; Enos, C; Gallagher, K</t>
  </si>
  <si>
    <t>Sources and distribution of polychlorinated terphenyls at a major US aeronautics research facility</t>
  </si>
  <si>
    <t>ENVIRONMENTAL MANAGEMENT</t>
  </si>
  <si>
    <t>polychlorinated terphenyls; aroclor; contaminated sediments; hydraulic fluid; enzyme induction; polychlorinated biphenyls</t>
  </si>
  <si>
    <t>RESOLUTION GAS-CHROMATOGRAPHY; FUNDULUS-HETEROCLITUS; BIPHENYL CONGENERS; MASS-SPECTROMETRY; AQUATIC BIOTA; SEDIMENTS; ENVIRONMENT; EFFLUENTS; INDUCTION; RIVER</t>
  </si>
  <si>
    <t>High concentrations of an unusual, complex mixture of chlorinated compounds were discovered in sediments and oysters near a federal aeronautics facility during implementation of a pollutant screening protocol. The mixture was identified as Aroclor 5432, a polychlorinated terphenyl (PCT) formulation, produced in the US until 1972. PCTs, particularly low chlorinated mixtures, have rarely been reported in the environment, despite significant manufacture and usage. Releases were traced to two outfalls. Creek sediments downstream of one contained concentrations as high as 200,000 mu g/kg (dry weight basis); those in indigenous oysters reached 35,000 mu g/kg, indicating significant bioavailability and bioaccumulation potential. Subsequent work showed that PCTs were widely disseminated in marsh grass, crabs, and fish. PCTs, PCBs, and mercury were also detected in storm drain lines entering these outfalls. The lines received input from both storm water and research buildings. Historical hydraulic fluid leaks and in-service compressor fluids in some buildings contained PCTs and PCBs. Contaminated materials on-site were removed to minimize pollutant spread. Aroclor 5432 usage, most likely as compressor/hydraulic fluid additives, probably ended about ten years prior to its on-site detection. in terms of biological effects, intraperitoneal injection of fish with Aroclor 5432 induced cytochrome P-4501A (CYP1A) and ethoxyresorufin O-deethylase (EROD) activity to a similar degree as PCB Aroclor 1254 and to a greater extent than PCT Aroclor 5460. The presence of high concentrations of PCTs contributed to the facility being included on the National Priorities List. It subsequently became the first US federal facility to sign a Federal Facility Agreement, identifying cleanup responsibilities, prior to formal listing.</t>
  </si>
  <si>
    <t>Coll William &amp; Mary, Virginia Inst Marine Sci, Dept Environm Sci, Gloucester Point, VA 23062 USA; PRC Environm Management Inc, Kansas City, KS 66101 USA; NIEHS, Environm Toxicol Program, Res Triangle Pk, NC 27709 USA</t>
  </si>
  <si>
    <t>William &amp; Mary; Virginia Institute of Marine Science; National Institutes of Health (NIH) - USA; NIH National Institute of Environmental Health Sciences (NIEHS)</t>
  </si>
  <si>
    <t>Hale, RC (corresponding author), Coll William &amp; Mary, Virginia Inst Marine Sci, Dept Environm Sci, Gloucester Point, VA 23062 USA.</t>
  </si>
  <si>
    <t>0364-152X</t>
  </si>
  <si>
    <t>ENVIRON MANAGE</t>
  </si>
  <si>
    <t>Environ. Manage.</t>
  </si>
  <si>
    <t>10.1007/s002679900160</t>
  </si>
  <si>
    <t>118ZN</t>
  </si>
  <si>
    <t>WOS:000075871000012</t>
  </si>
  <si>
    <t>Zaoui, N; Bouriga, N; Louiz, I; Bahri, WR; Saadaoui, N; Quiganrd, JP; Trabelsi, M; Ben-Attia, M; Shahin, AAB</t>
  </si>
  <si>
    <t>Zaoui, Narjess; Bouriga, Nawzet; Louiz, Ibtissem; Bahri, Wafa Rjiba; Saadaoui, Nabil; Quiganrd, Jean-Pierre; Trabelsi, Monia; Ben-Attia, Mossadok; Shahin, Adel A. Basyouny</t>
  </si>
  <si>
    <t>Assessment of effects of metal contamination and abiotic factors on fatty acid composition and biochemical biomarkers activity in the liver of Chelon ramada collected from two ecosystems on the Mahdia coast, Tunisia</t>
  </si>
  <si>
    <t>Bioaccumulation factor; Mahdia harbor; Metals bioaccumulation; Neurotoxicity; Oxidative stress</t>
  </si>
  <si>
    <t>TROUT ONCORHYNCHUS-MYKISS; CLAM RUDITAPES-DECUSSATUS; HEAVY-METALS; MYTILUS-GALLOPROVINCIALIS; INTEGRATED APPROACH; THERMAL-STRESS; BIZERTA LAGOON; TEMPERATURE; FISH; POLLUTION</t>
  </si>
  <si>
    <t>This study aimed to assess metal contamination and abiotic factors during spring and autumn in two ecosystems, the open Sea area (S1) and the fishing harbor (S2), located on the Mahdia coast (Tunisia) using the thin-lipped grey mullet, Chelon ramada, as a bioindicator, with the main objectives of evaluating the relationship and combined effects of these parameters on liver fatty acid composition and relevant malondialdehyde (MDA), catalase (CAT), and acetylcholinesterase (AChE) activity, informing on the pollution status in these ecosystems for appropriate management procedures, and validating the use of C. ramada as a bioindicator for contamination assessment programs in Tunisia. The results revealed a significant increase in Pb, Cu, Zn, and Cd concentration in sediments, water, and liver at S2 during spring. In addition, significant variations in temperature and salinity were observed between S1 and S2 during spring and autumn. Moreover, a significant high increase in saturated stearic acid (SFA-C18:0) and both polyunsaturated arachidonic (ARA, C20:4n-6) and eicosapentaenoic (EPA, C20:5n-3) acids at S2 during autumn and spring, respectively. Furthermore, significant high activity was found at S2 in both MDA and CAT during spring and in AChE during autumn. Accordingly, the S2 ecosystem appeared more contaminated than S1, but the impacts of contamination during autumn were mitigated by significantly higher temperature and salinity. These findings provide important information for environmental assessment programs in Tunisia and should help formulate more stringent management procedures for the discharges of the harbor, shipping, fishing, and industrial activities into the ecosystem of Mahdia fishing harbor (S2).</t>
  </si>
  <si>
    <t>[Zaoui, Narjess; Bouriga, Nawzet; Trabelsi, Monia] Univ Tunis El Manar, Fac Sci Tunis, Lab Ecol Biol &amp; Physiol Aquat Organisms LR 18 ES 4, Tunis, Tunisia; [Zaoui, Narjess; Bouriga, Nawzet] Univ Carthage, Higher Inst Fisheries &amp; Aquaculture Bizerte, BP15, Errimel 7080, Bizerte, Tunisia; [Louiz, Ibtissem] Taif Univ, Turabah Sci Fac, Dept Biol, Taif Al Haweiah 21974, Saudi Arabia; [Bahri, Wafa Rjiba] Univ Tunis El Manar, Fac Sci Tunis, Lab Biodivers Biotechnol &amp; Climate Change LR11ES09, Tunis 2092, Tunisia; [Saadaoui, Nabil; Ben-Attia, Mossadok] Univ Carthage, Fac Sci Bizerte, Lab Environm Biomonitoring LR01 ES14, Zarzouna 7021, Tunisia; [Quiganrd, Jean-Pierre] Univ Montpellier II, Lab Ichtyol, P1 E Bataillon,Case 102, F-34095 Montpellier, France; [Shahin, Adel A. Basyouny] Minia Univ, Fac Sci, Dept Zool, El Minia, Egypt</t>
  </si>
  <si>
    <t>Universite de Tunis-El-Manar; Faculte des Sciences de Tunis (FST); Universite de Carthage; Taif University; Universite de Tunis-El-Manar; Faculte des Sciences de Tunis (FST); Universite de Carthage; Universite de Montpellier; Egyptian Knowledge Bank (EKB); Minia University</t>
  </si>
  <si>
    <t>Bouriga, N (corresponding author), Univ Tunis El Manar, Fac Sci Tunis, Lab Ecol Biol &amp; Physiol Aquat Organisms LR 18 ES 4, Tunis, Tunisia.</t>
  </si>
  <si>
    <t>nawzet.bouriga@ispab.ucar.tn</t>
  </si>
  <si>
    <t>Louiz, Ibtissem/AGU-8413-2022; Shahin, Adel A. Basyouny/D-6374-2014</t>
  </si>
  <si>
    <t>Shahin, Adel A. Basyouny/0000-0002-9325-0687</t>
  </si>
  <si>
    <t>10.1016/j.bse.2023.104608</t>
  </si>
  <si>
    <t>8P8CK</t>
  </si>
  <si>
    <t>WOS:000926746000001</t>
  </si>
  <si>
    <t>Johnson, RL; Liang, FQ; Milam, CD; Farris, JL</t>
  </si>
  <si>
    <t>Genetic diversity and cellulolytic activity among several species of unionid bivalves in Arkansas</t>
  </si>
  <si>
    <t>Symposium on Gene Conservation Held in Conjunction with the 89th Annual Meeting of the National-Shellfisheries-Association</t>
  </si>
  <si>
    <t>APR 19-20, 1997</t>
  </si>
  <si>
    <t>FT WALTON BEACH, FL</t>
  </si>
  <si>
    <t>ALLOZYME GENOTYPES; MULINIA-LATERALIS; CADMIUM POLLUTION; COOT CLAM; POPULATIONS; SELECTION; MERCURY; HETEROZYGOSITY; SPECIATION; DIVERGENCE</t>
  </si>
  <si>
    <t>Allozyme analysis was utilized to determine the genetic diversity of four species of bivalves in the Subfamily Ambleminae (Amblema plicata, Plectomenus dombeyanus, Quadrula pustulosa, and Q. quadrula) in the Cache and White rivers of Arkansas. Bivalve populations of both rivers have been subjected to frequent harvest, whereas White River populations have been exposed to periodic habitat destruction due to dredging. Nine enzyme systems representing 16 loci were selected for analysis based upon their expression in adductor muscle. Ranges of polymorphism (P) were from 0.572 for A. plicata to 0.360 for Q. quadrula; heterozygosity (H) values ranged from 0.049 for P. dombeyanus to 0.144 for Q. pustulosa. With the exception of low genetic diversity (P, H, and number of alleles per locus) for Q. quadrula, genetic diversity values were similar to previous studies involving Ambleminae of other water systems. Populations were characterized by heterozygote deficiencies at all loci. Several determinants of heterozygote deficiency were investigated, with selection posed as a viable hypothesis. Cellulolytic activity from bivalves in both the Cache and White rivers was significantly reduced (proportional to 0.05) to as low as 12% and 28%, respectively, of upstream enzyme activities. This downsteam digestive enzyme difference was most apparent in P. dombeyanus, whereas site reductions were not as apparent for other species sampled. Evidence of genetic decline associated with bottlenecking was identified for Quadrula quadrula, and this loss of genetic diversity is detrimental to the stability of bivalve populations.</t>
  </si>
  <si>
    <t>Arkansas State Univ, Dept Biol, State Univ, AR 72467 USA</t>
  </si>
  <si>
    <t>Arkansas State University</t>
  </si>
  <si>
    <t>Arkansas State Univ, Dept Biol, State Univ, AR 72467 USA.</t>
  </si>
  <si>
    <t>187WN</t>
  </si>
  <si>
    <t>WOS:000079811400005</t>
  </si>
  <si>
    <t>Borkovic-Mitic, SS; Prokic, MD; Krizmanic, II; Mutic, J; Trifkovic, J; Gavric, J; Despotovic, SG; Gavrilovic, BR; Radovanovic, TB; Pavlovic, SZ; Saicic, ZS</t>
  </si>
  <si>
    <t>Borkovic-Mitic, Slavica S.; Prokic, Marko D.; Krizmanic, Imre I.; Mutic, Jelena; Trifkovic, Jelena; Gavric, Jelena; Despotovic, Svetlana G.; Gavrilovic, Branka R.; Radovanovic, Tijana B.; Pavlovic, Sladan Z.; Saicic, Zorica S.</t>
  </si>
  <si>
    <t>Biomarkers of oxidative stress and metal accumulation in marsh frog (Pelophylax ridibundus)</t>
  </si>
  <si>
    <t>Antioxidative system; Biomonitoring; Marsh frogs; Liver; Skin; Muscle; Metals</t>
  </si>
  <si>
    <t>VOLUME DECREASE RVD; RANA-RIDIBUNDA; UNIO-TUMIDUS; GLUTATHIONE-REDUCTASE; BIOCHEMICAL MARKERS; ANTIOXIDANT ENZYMES; DIGESTIVE GLAND; HEAVY-METALS; MUSSEL; URBAN</t>
  </si>
  <si>
    <t>To understand the effect of metals on the marsh frog Pelophylax ridibundus and the possible environment-induced changes in oxidative stress enzymes, we determined the concentrations of 18 metals: Al, As, Ba, Ca, Cd, Co, Cr, Cu, Fe, Ga, Hg, In, Li, Mn, Ni, Pb, Sr, and Zn, in the tissues (liver, skin, and muscle) and water samples collected from different locations in Serbia. The activities of superoxide dismutase (SOD), catalase (CAT), glutathione peroxidase (GSH-Px), glutathione reductase (GR), glutathione S-transferase (GST), acetylcholinesterase (AChE), and changes in concentrations of reduced glutathione (GSH) and sulfhydryl groups (SH) were analyzed in the tissues of the sampled frogs. The concentrations of Al, Cd, Co, Cr, Cu, Fe, Ga, Hg, and Ni were highest in the liver, whereas those of Ba, Ca, Li, Mn, Pb, Sr, and Zn were highest in the skin. Hg correlated positively with liver SOD (in frogs from Danube-Tisza-Danube Canal (DTD)), muscle CAT (DTD), and muscle GST Ponjavica River (PO); Pb demonstrated a strong positive correlation with liver GR in frogs from Mt. Fruka Gora (FG); Cd only exhibited a positive correlation with AChE in the skin of frogs from DTD. In the skin, Zn correlated positively with AChE (DTD), SH groups (PO), and CAT (FG), and negatively with CAT, GST, and SH in the liver of frogs from DTD. Examination of these oxidative stress biomarkers, together with analysis of metal accumulation in the liver and skin of marsh frogs, provides a powerful tool for the assessment of metal pollution.</t>
  </si>
  <si>
    <t>[Borkovic-Mitic, Slavica S.; Prokic, Marko D.; Gavric, Jelena; Despotovic, Svetlana G.; Gavrilovic, Branka R.; Radovanovic, Tijana B.; Pavlovic, Sladan Z.; Saicic, Zorica S.] Univ Belgrade, Dept Physiol, Inst Biol Res Sinisa Stankovic, Bulevar Despota Stefana 142, Belgrade 11060, Serbia; [Krizmanic, Imre I.] Univ Belgrade, Fac Biol, Inst Zool, Studentski Trg 16, Belgrade 11000, Serbia; [Mutic, Jelena; Trifkovic, Jelena] Univ Belgrade, Fac Chem, POB 51, Belgrade 11158, Serbia</t>
  </si>
  <si>
    <t>Borkovic-Mitic, SS (corresponding author), Univ Belgrade, Dept Physiol, Inst Biol Res Sinisa Stankovic, Bulevar Despota Stefana 142, Belgrade 11060, Serbia.</t>
  </si>
  <si>
    <t>Prokic, Marko/AAG-3715-2019; Borkovic-Mitic, Slavica/J-2582-2019; Mutic, Jelena/O-8353-2016; Pavlovic, Sladan/AAH-9740-2021; Gavrilovic, Branka/JUF-4883-2023; Trifkovic, Jelena/Q-3985-2016; Radovanovic, Tijana/HGC-8949-2022</t>
  </si>
  <si>
    <t>SAICIC, ZORICA/0000-0002-1980-7029; Prokic, Marko/0000-0003-3555-3580; Despotovic, Svetlana/0000-0002-3894-8310; Mutic, Jelena/0000-0002-0545-1578; Pavlovic, Sladan/0000-0002-5651-7178; Gavric, Jelena/0000-0002-3242-9886; Krizmanic, Imre/0000-0001-9684-8732; Gavrilovic, Branka/0000-0001-5771-6876; Borkovic-Mitic, Slavica/0000-0003-4895-9985; Trifkovic, Jelena/0000-0002-8866-1991; Radovanovic, Tijana/0000-0001-9352-6711</t>
  </si>
  <si>
    <t>Ministry of Education, Science and Technological Development of the Republic of Serbia [173041]</t>
  </si>
  <si>
    <t>This study was supported by the Ministry of Education, Science and Technological Development of the Republic of Serbia, Grant No. 173041. The authors are grateful to Dr. Goran Poznanovic for proofreading the manuscript.</t>
  </si>
  <si>
    <t>10.1007/s11356-016-6194-3</t>
  </si>
  <si>
    <t>DM5WN</t>
  </si>
  <si>
    <t>WOS:000376421400038</t>
  </si>
  <si>
    <t>Baek, MJ; Lee, YJ; Choi, KS; Lee, WC; Park, HJ; Kwak, JH; Kang, CK</t>
  </si>
  <si>
    <t>Baek, Min Jeong; Lee, Young-Jae; Choi, Kwang-Sik; Lee, Won Chan; Park, Hyun Je; Kwak, Jung Hyun; Kang, Chang-Keun</t>
  </si>
  <si>
    <t>Physiological disturbance of the Manila clam, Ruditapes philippinarum, altered environmental conditions in a tidal flat on the west coast of Korea</t>
  </si>
  <si>
    <t>Ruditapes philippinarum; Physiological disturbance; Biochemical composition; Reproductive cycle; Habitat alteration; Food availability</t>
  </si>
  <si>
    <t>GROSS BIOCHEMICAL-COMPOSITION; CRASSOSTREA-GIGAS THUNBERG; REPRODUCTIVE-CYCLE; TAPES-PHILIPPINARUM; SEASONAL-CHANGES; SUSPENDED CULTURE; GAMETOGENIC CYCLE; BURROWING SHRIMP; PACIFIC OYSTER; TEMPERATE BAY</t>
  </si>
  <si>
    <t>To examine the influence of habitat alteration by tideflat reclamation on the physiological ecology of Ruditapes philippinarum, seasonal variations in its condition, gross biochemical composition, and reproductive cycle were compared for a yearly cycle between a reclaimed flat (Gomsohang, GS) and a natural flat (Hajun, HJ) in Gomso Bay, Korea. Concentrations of chlorophyll a and seston (as well as its energy value as food available to the clam) were consistently higher at HJ than at GS. Condition, dry tissue weight, and energy reserves (proteins and carbohydrates) of the clams were much higher at HJ than at GS during spring-summer, when fast growth and gametogenic development occur. Furthermore, their spring gametogenic development and spawning were advanced at HJ compared with GS. Our results suggest that the Manila clam encounters nutritionally stressful environmental conditions in altered habitats after tideflat reclamation that lead to lowered nutrient accumulation and a changing reproductive cycle. (C) 2013 Elsevier Ltd. All rights reserved.</t>
  </si>
  <si>
    <t>[Baek, Min Jeong; Lee, Young-Jae; Park, Hyun Je; Kwak, Jung Hyun; Kang, Chang-Keun] Pohang Univ Sci &amp; Technol, Ocean Sci &amp; Technol Inst, Pohang 790784, South Korea; [Choi, Kwang-Sik] Jeju Natl Univ, Sch Marine Biomed Sci, Cheju 690756, South Korea; [Choi, Kwang-Sik] Jeju Natl Univ, Marine &amp; Environm Res Inst, Cheju 690756, South Korea; [Lee, Won Chan] Natl Fisheries Res &amp; Dev Inst, Marine Environm Res Div, Pusan 619705, South Korea</t>
  </si>
  <si>
    <t>Pohang University of Science &amp; Technology (POSTECH); Jeju National University; Jeju National University</t>
  </si>
  <si>
    <t>Kang, CK (corresponding author), Pohang Univ Sci &amp; Technol, Ocean Sci &amp; Technol Inst, Pohang 790784, South Korea.</t>
  </si>
  <si>
    <t>ckkang@postech.ac.kr</t>
  </si>
  <si>
    <t>Choi, Kwang-Sik/B-5367-2011; Kang, Chang-Keun/GLR-8512-2022</t>
  </si>
  <si>
    <t>National Fisheries Research &amp; Development Institute (NFRDI) [RP-2013-ME-063]</t>
  </si>
  <si>
    <t>National Fisheries Research &amp; Development Institute (NFRDI)</t>
  </si>
  <si>
    <t>This study was supported by the National Fisheries Research &amp; Development Institute (NFRDI, RP-2013-ME-063). The authors acknowledge the help of Gyo-Hyuk Byun, Miran Park, and Hee-Do Jeung for sample treatment and analysis.</t>
  </si>
  <si>
    <t>10.1016/j.marpolbul.2013.10.050</t>
  </si>
  <si>
    <t>WOS:000331423100030</t>
  </si>
  <si>
    <t>Zha, SJ; Tang, Y; Shi, W; Liu, HX; Sun, CS; Bao, YB; Liu, GX</t>
  </si>
  <si>
    <t>Zha, Shanjie; Tang, Yu; Shi, Wei; Liu, Hongxing; Sun, Changsen; Bao, Yongbo; Liu, Guangxu</t>
  </si>
  <si>
    <t>Impacts of four commonly used nanoparticles on the metabolism of a marine bivalve species, Tegillarca granosa</t>
  </si>
  <si>
    <t>Nanoparticles; Tegillarca granosa; Metabolism; Food intake; Tricarboxylic acid cycle</t>
  </si>
  <si>
    <t>ENGINEERED NANOMATERIALS; SILVER NANOPARTICLES; OXIDE NANOPARTICLES; TIO2 NANOPARTICLES; COPPER-OXIDE; MYTILUS; TOXICITY; EXPOSURE; ACCUMULATION; REPRODUCTION</t>
  </si>
  <si>
    <t>The rapid development of nanotechnology boosts the massive production and utilization of various nanoparticles (NPs). However, the NPs escaped into environments form emergent pollutants, which pose a potential threat to marine organisms and ecosystems. Due to their sessile filter-feeding lifestyle, marine bivalves live in pollution-prone coastal areas are more susceptible to land-sourced pollutants such as NPs. However, the impacts of many NPs on the metabolism, one of the most critical physiological processes of an organism, still remain largely unknown in bivalve species. To fill up this knowledge gap, in this study the impacts of four commonly used NPs (nZnO, nFe(2)O(3), nCuO, and multi-walled carbon tube (MWCNT)) on the filtration rate, oxygen consumption rate, ammonia excretion rate, and O:N ratio were investigated in the blood clam, Tegillarca granosa. In addition, the expressions of ten key metabolism-related genes upon exposure to these NPs were also analyzed. The results demonstrated that exposure of blood clams to the NPs resulted in a reduction in the food intake (indicated by declined filtration rate), a shift in the metabolism substance, and disruptions in key metabolism-related molecular pathways (i.e., glycolysis and tricarboxylic acid cycle), which may render blood clam in energy shortage and thus pose significant threat to the health of this important bivalve species.</t>
  </si>
  <si>
    <t>[Zha, Shanjie; Liu, Hongxing; Bao, Yongbo] Zhejiang Wanli Univ, Coll Biol &amp; Environm Sci, Zhejiang Key Lab Aquat Germplasm Resources, Ningbo 315100, Peoples R China; [Zha, Shanjie; Tang, Yu; Shi, Wei; Liu, Guangxu] Zhejiang Univ, Coll Anim Sci, Hangzhou 310058, Peoples R China; [Zha, Shanjie; Liu, Hongxing; Sun, Changsen; Bao, Yongbo] Zhejiang Wanli Univ, Ninghai Inst Mariculture Breeding &amp; Seed Ind, Ninghai 315604, Peoples R China</t>
  </si>
  <si>
    <t>Zhejiang Wanli University; Zhejiang University; Zhejiang Wanli University</t>
  </si>
  <si>
    <t>Bao, YB (corresponding author), Zhejiang Wanli Univ, Coll Biol &amp; Environm Sci, Zhejiang Key Lab Aquat Germplasm Resources, Ningbo 315100, Peoples R China.;Liu, GX (corresponding author), Zhejiang Univ, Agr Environm Biol Grp, Room 551,Zijingang Campus,866 Yuhangtang Rd, Hangzhou 310058, Zhejiang, Peoples R China.</t>
  </si>
  <si>
    <t>Natural Science Foundation of Zhejiang province [LQ21C190004]; Zhejiang Major Program of Science and Technology [2021C02069-7]; National Key R&amp;D Program of China [2018YFD0900603]; Natural Science Foundation of China [32172944]; China Postdoctoral Science Foundation [2021M703029]; Basic Scientific Research Operating Expense Project of Zhejiang Provincial Universities; Zhejiang Provincial Top Discipline of Biological Engineering (Level A)</t>
  </si>
  <si>
    <t>Natural Science Foundation of Zhejiang province(Natural Science Foundation of Zhejiang Province); Zhejiang Major Program of Science and Technology; National Key R&amp;D Program of China; Natural Science Foundation of China(National Natural Science Foundation of China (NSFC)); China Postdoctoral Science Foundation(China Postdoctoral Science Foundation); Basic Scientific Research Operating Expense Project of Zhejiang Provincial Universities; Zhejiang Provincial Top Discipline of Biological Engineering (Level A)</t>
  </si>
  <si>
    <t>This work was funded by the Natural Science Foundation of Zhejiang province (LQ21C190004) , the Zhejiang Major Program of Science and Technology (2021C02069-7) , the National Key R&amp;D Program of China (2018YFD0900603) , the Natural Science Foundation of China (32172944) , China Postdoctoral Science Foundation (2021M703029) , Basic Scientific Research Operating Expense Project of Zhejiang Provincial Universities, and Zhejiang Provincial Top Discipline of Biological Engineering (Level A) .</t>
  </si>
  <si>
    <t>10.1016/j.chemosphere.2022.134079</t>
  </si>
  <si>
    <t>1D4MO</t>
  </si>
  <si>
    <t>WOS:000793776300006</t>
  </si>
  <si>
    <t>Li, JN; Jong, MC; Gin, KYH; He, YL</t>
  </si>
  <si>
    <t>Li, Junnan; Jong, Mui-Choo; Gin, Karina Yew-Hoong; He, Yiliang</t>
  </si>
  <si>
    <t>Size-dominated biotoxicity of microplastics laden with benzophenone-3 and ciprofloxacin: Enhanced integrated biomarker evaluation on mussels</t>
  </si>
  <si>
    <t>Microplastics; Biomarkers; Mussels; Co-exposure; Trojan-effect; Size-effect</t>
  </si>
  <si>
    <t>RISK ASSESSMENTS; QUANTUM DOTS; INGESTION; WATER; NANOPARTICLES; ACCUMULATION; TOXICITIES; EXPOSURE; CADMIUM; SYSTEM</t>
  </si>
  <si>
    <t>Microplastics (MPs) are emerging pollutants with diverse sizes in aquatic environments. This paper investigates the toxicity of micron- and nano-scale polystyrene (50 &amp; mu;m, 5 &amp; mu;m, 0.5 &amp; mu;m) loaded with 2-hydroxy-4-methoxybenzophenone (BP-3) and ciprofloxacin (CIP) by eight biomarker responses in mussels, perna viridis. The mussels were exposed to MPs and chemicals for 7 days before 7 days of depuration. Eight biomarkers were measured to determine biotoxicity over time by using the weighted integrated biomarkers index evaluation (EIBR). Mussels exposed to MPs on a daily basis demonstrated a cumulative toxic effect. The toxicity of MPs for mussels was inversely related to the size at which they can be ingested. Then toxicity was reversed when exposure was halted. EIBR mold has shown a significant difference in the biotoxicity of each biological level under different exposure scenarios. In general, the mussel toxicity influenced by BP-3 and CIP exposure without an adsorbent was insignificant. MPs laden with them increased the toxicity of mussels. Under condition of lower concentration of ECs (Emerging contaminants), the presence of MPs as a component of a combined pollutant in water dominated the biotoxicity for mussels. The EIBR assessment further validated that the biotoxicity of mussels was sizedependent. Its application simplified the biomarkers' response index and enhanced the accuracy of evaluation by weighing on molecular, cellular and physiological level. Specifically, mussels were physiologically sensitive to nano-scale plastics, with nano-scale plastics causing a higher level of cellular immunity destruction and genotoxicity than micron-scale plastics. Enzymatic antioxidant systemswere upregulated based on size-differential plastics; however, the total antioxidant effect of non-enzymatic defenses appeared to be least affected by the size effect.</t>
  </si>
  <si>
    <t>[Li, Junnan; He, Yiliang] Shanghai Jiao Tong Univ, Sch Environm Sci &amp; Engn, Shanghai 200240, Peoples R China; [Jong, Mui-Choo] Natl Univ Singapore, Natl Univ Singapore Environm Res Inst, 1 Create Way,15-02, Singapore City 138602, Singapore; [Gin, Karina Yew-Hoong] Natl Univ Singapore, Dept Civil &amp; Environm Engn, Block E1A07-03,1 Engn Dr 2, Singapore City 117576, Singapore; [Li, Junnan; Jong, Mui-Choo; Gin, Karina Yew-Hoong; He, Yiliang] Energy &amp; Environm Sustainabil Solut Megac, Campus Res Excellence &amp; Technol Enterprise, Singapore City 138602, Singapore</t>
  </si>
  <si>
    <t>Shanghai Jiao Tong University; National University of Singapore; National University of Singapore</t>
  </si>
  <si>
    <t>Ylhe@sjtu.edu.cn</t>
  </si>
  <si>
    <t>National Research Foundation, Prime Minister's Office, Singapore; Intra-Create Seed Collaboration Grant [NRF2019-ITS005-0028]</t>
  </si>
  <si>
    <t>National Research Foundation, Prime Minister's Office, Singapore(National Research Foundation, Singapore); Intra-Create Seed Collaboration Grant</t>
  </si>
  <si>
    <t>The National Research Foundation, Prime Minister's Office, Singapore is funding this research through its Campus for Research Excellence and Technological Enterprise (CREATE) programme (E2S2-CREATE: Detection, assessment, and modelling of emerging contaminants in the urban environment) and the Intra-Create Seed Collaboration Grant (E2S2-CREATE: Detection, assessment, and modelling of emerging contaminants in the urban environment) (Grant number: NRF2019-ITS005-0028) .</t>
  </si>
  <si>
    <t>10.1016/j.envpol.2023.122018</t>
  </si>
  <si>
    <t>N1IF7</t>
  </si>
  <si>
    <t>WOS:001034627000001</t>
  </si>
  <si>
    <t>Aslan, E; Görgün, AU; Katalay, S; Filizok, I; Becerik, S; Aydemir, T</t>
  </si>
  <si>
    <t>Aslan, Ersan; Gorgun, Aysun Ugur; Katalay, Selma; Filizok, Isik; Becerik, Seda; Aydemir, Tulin</t>
  </si>
  <si>
    <t>An investigation on the seasonal variations of the biomarkers of oxidative stress response and their correlations to Polonium-210 in mussel (Mytilus galloprovincialis) and common sole (Solea solea) from Izmir Bay, Turkey</t>
  </si>
  <si>
    <t>(210)po; Lipid peroxidation (LPO); H2O2; proline; Oxidative stress; Mussel</t>
  </si>
  <si>
    <t>LIPID-PEROXIDATION; HEAVY-METALS; PB-210; COAST; POLLUTION; FISH; SEA; ACCUMULATION; VARIABILITY; ORGANISMS</t>
  </si>
  <si>
    <t>It is well known that the marine organisms are used as biological indicators for environmental pollution studies. Among these studies, the research on oxidative stress has been increasing in recent years. In this study, mussels (Mytilus galloprovincialis) and fish (Solea solea) samples were collected seasonally from inciralti, Izmir, Turkey. This station was in an area where fishing is carried out for human consumption. The relationship between Po-210 and oxidative stress markers (lipid peroxidation (LPO), H2O2 and proline) was investigated in the mussel tissue (digestive gland, gills) and fish tissue (liver, gills) samples. The present study indicated that H2O2 accumulated with increasing Po-210 concentration in mussel samples. Statistically significant correlation were found between H2O2 and Po-210 and LPO and proline in mussel samples. This correlation between LPO and proline can be attributed to common environmental parameters (other than Po-210) affecting expression of both LPO and proline levels. There was not a significant correlation between Po-210 and LPO levels. Similarly, a significant correlation was not found between Po-210 and proline.</t>
  </si>
  <si>
    <t>[Aslan, Ersan; Gorgun, Aysun Ugur; Filizok, Isik] Ege Univ, Inst Nucl Sci, TR-35100 Izmir, Turkey; [Katalay, Selma] Celal Bayar Univ, Fac Sci &amp; Letters, Biol Dept, Manisa, Turkey; [Becerik, Seda; Aydemir, Tulin] Celal Bayar Univ, Fac Sci &amp; Letters, Chem Dept, Manisa, Turkey</t>
  </si>
  <si>
    <t>Ege University; Celal Bayar University; Celal Bayar University</t>
  </si>
  <si>
    <t>Filizok, I (corresponding author), Ege Univ, Inst Nucl Sci, TR-35100 Izmir, Turkey.</t>
  </si>
  <si>
    <t>ifilizok@gmail.com</t>
  </si>
  <si>
    <t>FILIZOK, ISIK/HJH-1549-2023</t>
  </si>
  <si>
    <t>Cinar Becerik, Seda/0000-0002-6983-5351</t>
  </si>
  <si>
    <t>Ege University Scientific Research Project [08 NBE 004]</t>
  </si>
  <si>
    <t>Ege University Scientific Research Project(Ege University)</t>
  </si>
  <si>
    <t>This research work is supported by a grant from Ege University Scientific Research Project, Contract No: 08 NBE 004.</t>
  </si>
  <si>
    <t>10.1016/j.jenvrad.2018.03.018</t>
  </si>
  <si>
    <t>GH7SJ</t>
  </si>
  <si>
    <t>WOS:000433653400011</t>
  </si>
  <si>
    <t>Park, JJ; Shin, YK; Hung, SS; Romano, N; Cheon, YP; Kim, JW</t>
  </si>
  <si>
    <t>Park, Jung Jun; Shin, Yun Kyung; Hung, Silas S. O.; Romano, Nick; Cheon, Yong-Pil; Kim, Jae Won</t>
  </si>
  <si>
    <t>Reproductive impairment and intersexuality in Gomphina veneriformis (Bivalvia: Veneridae) by the tributyltin compound</t>
  </si>
  <si>
    <t>ANIMAL CELLS AND SYSTEMS</t>
  </si>
  <si>
    <t>gonad index; gonad maturation; Gomphina veneriformis; intersex; tributyltin</t>
  </si>
  <si>
    <t>NUCELLA-LAPILLUS; DOG-WHELK; MYA-ARENARIA; ORGANOTIN CONTAMINATION; DELAYED GAMETOGENESIS; ENDOCRINE DISRUPTION; TBT CONTAMINATION; IMPOSEX INDUCTION; SAGUENAY FJORD; MUD SNAIL</t>
  </si>
  <si>
    <t>A well-established xenoandrogen, tributyltin (TBT) causes sexual interferences in various animal models including gastropods. In bivalves, the disrupting effects of TBT on reproduction are largely unevaluated. In this study, we carried out a test on reproduction of the bivalve (Gomphina veneriformis) affected by TBT (0.4, 0.6, and 0.8 mu g L-1). The experimental period was 36 weeks, starting in October during the inactive stage of the clam's reproductive cycle. The sex ratio (F:M) was 1:1.00 in the control group but changed to 1:1.37 in all the exposed groups with 0.8 mu g L-1 TBT, leading to significantly higher values in male (1:1.54; P = 0.009). Gonadal maturity (ripe stage frequency) of males in the exposure groups was higher than females. The gonad index (GI) of females significantly decreased when exposed to 0.6 and 0.8 mu g L-1 TBT. The prevalence of intersex was significantly different between males and females in all exposure groups, which became significantly different (P &lt; 0.001) after 20 weeks. A high prevalence of intersex (67.80%) was detected in 0.8 mu g L-1 after 36 weeks. These results suggest that TBT, a xenoandrogen, may lead to skewed sex ratio toward males, inhibit sexual maturation of the females, and also induce intersex in G. veneriformis as an imposex of gastropods. Therefore, reproductive indicators (sex ratio, gonadal development, and intersexuality) of bivalves may be used as useful bioindicators in monitoring marine pollution by TBT compounds.</t>
  </si>
  <si>
    <t>[Park, Jung Jun; Shin, Yun Kyung] Natl Fisheries Res &amp; Dev Inst, Aquaculture Management Div, Pusan 619902, South Korea; [Hung, Silas S. O.] Univ Calif Davis, Dept Anim Sci, Davis, CA 95616 USA; [Romano, Nick] Univ Putra Malaysia, Fac Agr, Dept Aquaculture, Serdang 43400, Selangor, Malaysia; [Cheon, Yong-Pil] Sungshin Womens Univ, Inst Basic Sci, Div Dev &amp; Physiol, Dept Biol, Seoul 136742, South Korea; [Kim, Jae Won] Gangwon Prov Coll, Dept Marine Biosci, Kangnung 201804, South Korea</t>
  </si>
  <si>
    <t>University of California System; University of California Davis; Universiti Putra Malaysia; Sungshin Women's University</t>
  </si>
  <si>
    <t>Kim, JW (corresponding author), Gangwon Prov Coll, Dept Marine Biosci, Kangnung 201804, South Korea.</t>
  </si>
  <si>
    <t>kjw01@gw.ac.kr</t>
  </si>
  <si>
    <t>Romano, Nicholas/0000-0003-2765-4912</t>
  </si>
  <si>
    <t>Basic Science Research Program through the National Research Foundation of Korea [NRF-2010-013-F00011]; National Fisheries Research and Development Institute of Korea (NFRDI) [RP-2014-AQ-057]</t>
  </si>
  <si>
    <t>Basic Science Research Program through the National Research Foundation of Korea(National Research Foundation of Korea); National Fisheries Research and Development Institute of Korea (NFRDI)</t>
  </si>
  <si>
    <t>This research was supported by Basic Science Research Program through the National Research Foundation of Korea (NRF-2010-013-F00011) and National Fisheries Research and Development Institute of Korea (NFRDI, RP-2014-AQ-057).</t>
  </si>
  <si>
    <t>1976-8354</t>
  </si>
  <si>
    <t>2151-2485</t>
  </si>
  <si>
    <t>ANIM CELLS SYST</t>
  </si>
  <si>
    <t>Anim. Cells Syst.</t>
  </si>
  <si>
    <t>10.1080/19768354.2014.995225</t>
  </si>
  <si>
    <t>Cell Biology; Zoology</t>
  </si>
  <si>
    <t>CB2QE</t>
  </si>
  <si>
    <t>WOS:000349471900008</t>
  </si>
  <si>
    <t>George, R; Hsu, SC; Nair, SM; Martin, GD; Nair, KKC</t>
  </si>
  <si>
    <t>George, Rejomon; Hsu, Shih-Chieh; Nair, S. Muraleedharan; Martin, G. D.; Nair, K. K. C.</t>
  </si>
  <si>
    <t>Trace Metal Dynamics in Marine Shrimps from the Southwest Coast of India</t>
  </si>
  <si>
    <t>Southwest coast of India; shrimp; food; trace metals; bioaccumulation</t>
  </si>
  <si>
    <t>SAN-FRANCISCO BAY; EASTERN ARABIAN SEA; HEAVY-METALS; ELEMENT CONCENTRATIONS; SURFICIAL SEDIMENTS; TROPICAL ESTUARY; PELAGIC SHRIMPS; WEST-COAST; FISH; WATER</t>
  </si>
  <si>
    <t>Concentrations of Fe, Co, Ni, Cu, Zn, Cd and Pb in the muscle tissue of marine shrimps, Penaeus mondon, Penaeus japonicus, Penaeus indicus, Penaeus mergniensis, Parapenaeopsis hardwickii and Parapenaeopsis stylifera, collected from the continental shelf waters off Kochi on southwest coast of India were determined. Inter species-specific tissue metals loads were appreciable within the Penaeid shrimps for the region. The ranges of higher concentrations of Fe (756.8 to 1288.5 mg/g), Co (8.8 to 18.6 mg/g), Ni (12.8 to 24.7 mg/g), Cu (32.8 to 46.8 mg/g), Zn (52.6 to 88.7 mg/g), Cd (5.8 to 9.6 mg/g), and Pb (0.8 to 1.9 mg/g) were observed in P. mondon, P. japonicus, P. indicus, P. mergniensis, and P. hardwickii characterized with an estuarine-sea life history when compared with the lowest concentrations of Fe (725.8 mg/g), Co (8.5 mg/g), Ni (10.6 mg/g), Cu (28.6 mg/g), Zn (44.8 mg/g), Cd (3.6 mg/g), and Pb (0.6 mg/g) found in P. stylifera with only a sea life history. This difference is possibly due to the favoring uptake of differently bioavailable metals from the associated food chain bioaccumulation processes within the estuarine and shelf waters off Kochi. The higher bioaccumulation factors 555867, 442857, 171528, 33621, 42933, 48731 and 4750 of the analyzed metals (Fe, Co, Ni, Cu, Zn, Cd Pb) in the shrimp species P. mondon compared with others will support ecologists to use it as a bioindicator for metal pollution.</t>
  </si>
  <si>
    <t>[George, Rejomon; Martin, G. D.; Nair, K. K. C.] Natl Inst Oceanog CSIR, Reg Ctr, Cochin 18, Kerala, India; [Hsu, Shih-Chieh] Acad Sinica, Res Ctr Environm Changes, Taipei 115, Taiwan; [George, Rejomon; Nair, S. Muraleedharan; Martin, G. D.] Cochin Univ Sci &amp; Technol, Sch Marine Sci, Dept Chem Oceanog, Cochin 16, Kerala, India</t>
  </si>
  <si>
    <t>Council of Scientific &amp; Industrial Research (CSIR) - India; CSIR - National Institute of Oceanography (NIO); Academia Sinica - Taiwan; Cochin University Science &amp; Technology</t>
  </si>
  <si>
    <t>George, R (corresponding author), Natl Inst Oceanog CSIR, Reg Ctr, Cochin 18, Kerala, India.</t>
  </si>
  <si>
    <t>georgerejomon@yahoo.co.in</t>
  </si>
  <si>
    <t>Centre for Marine Living Resources and Ecology (CMLRE), Kochi; Department of Science and Technology (DST), New Delhi, India [SR/FTP/ES-122/2009]</t>
  </si>
  <si>
    <t>Centre for Marine Living Resources and Ecology (CMLRE), Kochi; Department of Science and Technology (DST), New Delhi, India(Department of Science &amp; Technology (India))</t>
  </si>
  <si>
    <t>We are grateful to the Director, National Institute of Oceanography, Regional Centre, Kochi for providing facilities for this study. We also express thanks to the Department of Ocean Development (DOD), New Delhi, India for the financial support to the Marine Research - Living Resources (MR-LR) Assessment programme funded by Centre for Marine Living Resources and Ecology (CMLRE), Kochi. The first author is deeply indebted to the Department of Science and Technology (DST), New Delhi, India for financial support for the Fast Track Research Project No. SR/FTP/ES-122/2009 entitled Environmental Monitoring and Assessment of trace metals in the sediments, bivalves and fishes of the Cochin backwaters-southwest coast of India.</t>
  </si>
  <si>
    <t>PII 938613321</t>
  </si>
  <si>
    <t>10.1080/15275922.2011.574313</t>
  </si>
  <si>
    <t>779VS</t>
  </si>
  <si>
    <t>WOS:000291810900007</t>
  </si>
  <si>
    <t>Edge, KJ; Johnston, EL; Roach, AC; Ringwood, AH</t>
  </si>
  <si>
    <t>Edge, Katelyn J.; Johnston, Emma L.; Roach, Anthony C.; Ringwood, Amy H.</t>
  </si>
  <si>
    <t>Indicators of environmental stress: cellular biomarkers and reproductive responses in the Sydney rock oyster (Saccostrea glomerata)</t>
  </si>
  <si>
    <t>Oysters; Contaminants; Lysosomal membrane stability; Lipid peroxidation; Glutathione; Reproduction</t>
  </si>
  <si>
    <t>MUSSEL MYTILUS-EDULIS; NEW-SOUTH-WALES; OXIDATIVE STRESS; CRASSOSTREA-VIRGINICA; MULTIBIOMARKER ASSESSMENT; COPPER EXPOSURE; PERNA-VIRIDIS; POLLUTION; AUSTRALIA; BIVALVES</t>
  </si>
  <si>
    <t>We measured a suite of common biomarker responses for the first time in the Sydney rock oyster Saccostrea glomerata to evaluate their utility as biological effects measures for pollution monitoring. To examine the relationship between biomarker responses and population level effects, fertilisation and embryo development assays were also conducted. Adult oysters were deployed in two contaminated estuaries and a reference estuary in Sydney, Australia. The concentrations of various contaminants (metals and polycyclic aromatic hydrocarbon, PAHs) were quantified in oyster's tissue from each site and both metals and total PAHs were significantly elevated in contaminated estuaries relative to the reference estuary. Lysosomal membrane destabilisation, lipid peroxidation levels and glutathione (GSH) concentrations were measured in the digestive gland of oysters. Of all biomarkers measured, lysosomal membrane destabilisation proved to be the most useful indicator of oysters facing anthropogenic stress and we suggest this may be an especially useful biomarker for incorporation into local environmental monitoring programs. Moreover, lysosomal membrane destabilisation showed good correlations with fertilisation, normal embryo development and estuary status. GSH and lipid peroxidation were not as valuable for distinguishing between estuaries exposed to differing levels of anthropogenic stress, but did provide additional valuable information regarding overall health status of the oysters.</t>
  </si>
  <si>
    <t>[Edge, Katelyn J.; Johnston, Emma L.] Univ New S Wales, Evolut &amp; Ecol Res Ctr, Sch Biol Earth &amp; Environm Sci, Sydney, NSW 2052, Australia; [Edge, Katelyn J.; Roach, Anthony C.] NSW Off Environm &amp; Heritage, Ctr Ecotoxicol, Lidcombe, NSW, Australia; [Ringwood, Amy H.] Univ N Carolina, Dept Biol, Charlotte, NC 28223 USA</t>
  </si>
  <si>
    <t>University of New South Wales Sydney; Office of Environment &amp; Heritage - New South Wales; University of North Carolina; University of North Carolina Charlotte</t>
  </si>
  <si>
    <t>Edge, KJ (corresponding author), Univ New S Wales, Evolut &amp; Ecol Res Ctr, Sch Biol Earth &amp; Environm Sci, Sydney, NSW 2052, Australia.</t>
  </si>
  <si>
    <t>katelyn.edge@environment.nsw.gov.au</t>
  </si>
  <si>
    <t>Johnston, Emma/B-7210-2009</t>
  </si>
  <si>
    <t>Johnston, Emma/0000-0002-2117-366X; Edge, Katelyn/0000-0002-0920-0020</t>
  </si>
  <si>
    <t>Australian Research Council through an Australian Research Fellowship; NSW government through Environmental Trust grant</t>
  </si>
  <si>
    <t>Australian Research Council through an Australian Research Fellowship(Australian Research Council); NSW government through Environmental Trust grant</t>
  </si>
  <si>
    <t>This research was primarily supported by the Australian Research Council through an Australian Research Fellowship awarded to Emma Johnston and the NSW government through an Environmental Trust grant awarded to Anthony Roach. We would like to thank Dr. Katherine Dafforn for her help with this project. We would also like to thank Dr. Stuart Simpson and Chad Jarolimek at the CSIRO Centre for Environmental Contaminants Research for their help with the tissue metals analysis.</t>
  </si>
  <si>
    <t>10.1007/s10646-012-0895-2</t>
  </si>
  <si>
    <t>961JU</t>
  </si>
  <si>
    <t>WOS:000305461500013</t>
  </si>
  <si>
    <t>Liehr, GA; Heise, S; Ahlf, W; Offermann, K; Witt, G</t>
  </si>
  <si>
    <t>Liehr, Gladys A.; Heise, Susanne; Ahlf, Wolfgang; Offermann, Kristen; Witt, Gesine</t>
  </si>
  <si>
    <t>Assessing the risk of a 50-year-old dump site in the Baltic Sea by combining chemical analysis, bioaccumulation, and ecotoxicity</t>
  </si>
  <si>
    <t>Arctica islandica; Bioaccumulation; Bioassays; Marine sediment contamination; Polycyclic aromatic hydrocarbons</t>
  </si>
  <si>
    <t>POLYCYCLIC AROMATIC-HYDROCARBONS; PROF. DR. FORSTNER,ULRICH; ORGANIC CONTAMINANTS; TOXICITY ASSESSMENT; ELEMENTAL SULFUR; OCEAN QUAHOG; SEDIMENTS; BIOAVAILABILITY; WATER; MUSSELS</t>
  </si>
  <si>
    <t>During the late 1950s and early 1960s, industrial waste material highly enriched with various contaminants (e.g., heavy metals, polycyclic aromatic hydrocarbons (PAHs)) was dumped in the inner Bay of Mecklenburg, western Baltic Sea. Between 2002 and 2004, a research program was initiated using chemical analysis in combination with bioanalytical techniques to assess the extent and variability in contamination at this dump site (DS). The data were compared to a reference area (RS) with similar environmental conditions, which is representative of the western Baltic Sea. Twelve PAHs were investigated to assess their ecological hazard, as they were identified as major pollutants in the dumped material. In addition to analyzing the actual PAH contamination status in the sediments, PAHs measured in the soft tissue of Arctica islandica were also used as an indicator of contaminant bioaccumulation. A biotest battery was applied to determine the toxic effects of contaminants in the sediment. Significantly elevated PAH concentrations (sum of 12 PAHs) of similar to 3,000 ng g(-1) dw and higher bioaccumulation factors (BAFs) were determined in the soft body tissue of A. islandica collected at DS (t test, p = 0.025). The results also showed that the sediment PAH contamination was significantly higher at DS (1,952-5,466 ng g(-1) dw) than at RS (1,384-2,315 ng g(-1) dw). The results revealed a major heterogeneity in the PAH concentration at DS due to an attempt to cover the toxic material with clean clay. This resulted in a more heterogeneous distribution of the dump material rather than covering it up completely. However, not all relevant contaminants were included in this study, not only because it is too costly to determine them all but also because unidentified contaminants present at concentrations below the limit of detection cannot be measured. Bioassays were used to fill this gap in the hazard assessment in a cost-effective way by investigating the possible effects of sediment contamination on benthic organisms. The results showed a high variability and magnitude of growth and luminescence inhibition. Bacterial contact tests with marine organisms showed a high toxicity response (&gt; 80 % inhibition) from DS sediments. In contrast, the luminescent bacteria test (Vibrio fischeri) showed equivalent effects of sediments from both DS and RS. The spatial distribution of toxicity in DS, the bioaccumulation in mussels and the analytical evidence of PAH pollution clearly show that the dumped material still represents a potential risk even after 60 years.</t>
  </si>
  <si>
    <t>[Liehr, Gladys A.] NOAA, SEFSC, Miami, FL 33149 USA; [Liehr, Gladys A.; Witt, Gesine] Leibniz Inst Balt Sea Res, D-18119 Rostock, Germany; [Heise, Susanne; Ahlf, Wolfgang; Offermann, Kristen] Tech Univ Hamburg, D-21073 Hamburg, Germany</t>
  </si>
  <si>
    <t>National Oceanic Atmospheric Admin (NOAA) - USA; Leibniz Institut fur Ostseeforschung Warnemunde; Hamburg University of Technology</t>
  </si>
  <si>
    <t>Witt, G (corresponding author), HAW Hamburg, Lohbrugger Kirchstr 65, D-21033 Hamburg, Germany.</t>
  </si>
  <si>
    <t>gesine.witt@haw-hamburg.de</t>
  </si>
  <si>
    <t>Heise, Susanne/AFM-8741-2022</t>
  </si>
  <si>
    <t>Heise, Susanne/0000-0003-4813-1547</t>
  </si>
  <si>
    <t>German Research Council (DFG) [WI 1410/2-1, WI 1410/7-1]</t>
  </si>
  <si>
    <t>German Research Council (DFG)(German Research Foundation (DFG))</t>
  </si>
  <si>
    <t>A considerable number of people have contributed to the work described here. In particular, we would like to thank Astrid Lerz (IOW) for her support and assistance during the sampling preparation and sediment analysis. Thanks are also due to the crew of the research vessel for their competent operation of the vessel and its equipment. The authors express their thanks to Dr. Jim Bohnsack and Laura Petteway (NOAA/SEFSC) for helpful suggestions and taking the time to check and correct our written English. The support from the German Research Council (DFG) project contract no. WI 1410/2-1 and WI 1410/7-1 is gratefully acknowledged.</t>
  </si>
  <si>
    <t>10.1007/s11368-013-0721-3</t>
  </si>
  <si>
    <t>190WB</t>
  </si>
  <si>
    <t>WOS:000322372200015</t>
  </si>
  <si>
    <t>Charmasson, S; Barker, E; Calmet, D; Pruchon, AS; Thébault, H</t>
  </si>
  <si>
    <t>Long-term variations of man-made radionuclide concentrations in a bio-indicator Mytilus galloprovincialis from the French Mediterranean coast</t>
  </si>
  <si>
    <t>International Symposium on Marine Pollution (IAEAs)</t>
  </si>
  <si>
    <t>OCT 05-09, 1998</t>
  </si>
  <si>
    <t>MONACO, MONACO</t>
  </si>
  <si>
    <t>biomonitors; marine shellfish; marine radioactivity; Mediterranean</t>
  </si>
  <si>
    <t>TRACE-ELEMENTS; EDULIS; MUSSEL; CADMIUM; ASSIMILATION; DIGESTION; METALS; COPPER; SESTON; LEAD</t>
  </si>
  <si>
    <t>Results from a 14-year monitoring (1984-1997) of man-made radionuclide (Cs-137 and Ru-106) levels in Mytilus galloprovincialis collected monthly on the French Mediterranean coast are presented. In this area sources of man-made radionuclides are on the one hand atmospheric fallout from both the past nuclear testings and the Chernobyl accident and on the other hand discharges from nuclear installations located on the Rhone River banks, especially those from the spent nuclear fuel reprocessing plant in Marcoule. Long-term variations of radionuclide concentrations in Mytilus demonstrated seasonal variations which are linked to the reproductive cycle of these organisms as well as to variations in land-based inputs of man-made radionuclides. A comparative study of these seasonal variations has been carried out with the aid of spectral analysis. Due to differences in released activities and discharge patterns, flow rates appear to govern mainly the Cs-137 variations in the Rhone waters, whereas Ru-106 variations are driven by the discharges. In the area under the intluence of the Rhone outflow Cs-137 variations in mussels are characterized by seasonal variations which are themselves inversely correlated with variations of Cs-137 concentrations in Rhone waters. This cyclic component seems to be closely linked to the mussel reproductive cycle. The possible influence of other parameters is discussed. (C) 1999 Elsevier Science B.V. All rights reserved.</t>
  </si>
  <si>
    <t>Inst Protect &amp; Surete Nucl, Dept Protect Environm, Base IFREMER, F-83507 La Seyne Sur Mer, France; Inst Protect &amp; Surete Nucl, Dept Protect Environm, F-91400 Orsay, France</t>
  </si>
  <si>
    <t>Inst Protect &amp; Surete Nucl, Dept Protect Environm, Base IFREMER, BP 330, F-83507 La Seyne Sur Mer, France.</t>
  </si>
  <si>
    <t>scharma@ifremer.fr</t>
  </si>
  <si>
    <t>charmasson, sabine/P-6360-2016</t>
  </si>
  <si>
    <t>charmasson, sabine/0000-0001-6936-1929</t>
  </si>
  <si>
    <t>10.1016/S0048-9697(99)00127-8</t>
  </si>
  <si>
    <t>248JW</t>
  </si>
  <si>
    <t>WOS:000083272200009</t>
  </si>
  <si>
    <t>Jeon, M; Hong, J; Geronimo, FKF; Choi, H; Kim, L</t>
  </si>
  <si>
    <t>Jeon, Minsu; Hong, Jungsun; Geronimo, Franz Kevin F.; Choi, Hyeseon; Kim, Leehyung</t>
  </si>
  <si>
    <t>Assessment of cockle shells, walnut shells, and gingko shells as filter media for low impact development technologies</t>
  </si>
  <si>
    <t>Biowaste; Cockle shells; Gingko shells; LID filter media; Walnut shells</t>
  </si>
  <si>
    <t>OYSTER SHELL; WASTE-WATER; REMOVAL; OPTIMIZATION; ADSORBENT; MECHANISM; RUNOFF</t>
  </si>
  <si>
    <t>In this study, biowaste such as walnut shells (WS), cockle shells (CS), and gingko shells (GS) was evaluated for applicability as soil filter media in low impact development (LID) techniques. Biowastes used in the experiment showed light-weight, high porosity, and high permeability characteristics compared with sand or gravel which are conventionally used in LID. Especially, CS and WS showed high non-point pollutant removal efficiency due to protrusion of filter media surface and macro-and micro-porous. CS were found to be suitable for the infiltration capacity, as it showed high filtration and pollutant reduction. WS exhibited high heavy metal removal performance but was found to have possibility of organic matter leaching. GS were evaluated to be adaptable to green roof as filter media with light-weight and constant filtration capability. The findings of this research are useful for the application of biowaste as filter media in LID techniques.</t>
  </si>
  <si>
    <t>[Jeon, Minsu; Hong, Jungsun; Geronimo, Franz Kevin F.; Choi, Hyeseon; Kim, Leehyung] Kongju Natl Univ, Dept Civil &amp; Environm Engn, 1223-254 Cheonan Daero, Cheonan 331717, Chungnamdo, South Korea</t>
  </si>
  <si>
    <t>Kongju National University</t>
  </si>
  <si>
    <t>Kim, L (corresponding author), Kongju Natl Univ, Dept Civil &amp; Environm Engn, 1223-254 Cheonan Daero, Cheonan 331717, Chungnamdo, South Korea.</t>
  </si>
  <si>
    <t>leehyung@kongju.ac.kr</t>
  </si>
  <si>
    <t>Jeon, minsu/KHU-0128-2024; Kim, Leehyung/AAN-6760-2020</t>
  </si>
  <si>
    <t>Kim, Inhi/0000-0001-9711-7587; Geronimo, Franz Kevin/0000-0002-5388-188X</t>
  </si>
  <si>
    <t>10.5004/dwt.2019.24019</t>
  </si>
  <si>
    <t>IF2QS</t>
  </si>
  <si>
    <t>WOS:000472923900002</t>
  </si>
  <si>
    <t>El-Sikaily, A; Helal, M; Nsonwu-Anyanwu, AC; Azab, H; Abd ElMoneim, N; Farahat, EOS; Saad, A</t>
  </si>
  <si>
    <t>El-Sikaily, Amany; Helal, Mohamed; Nsonwu-Anyanwu, Augusta Chinyere; Azab, Hossam; Abd ElMoneim, Neveen; Farahat, Eman Othman Salem; Saad, Aziza</t>
  </si>
  <si>
    <t>Impacts of PAH accumulation on reproductive hormones, indices of oxidative stress and BPDE-albumin adduct in women with recurrent pregnancy loss</t>
  </si>
  <si>
    <t>TOXICOLOGICAL RESEARCH</t>
  </si>
  <si>
    <t>Antioxidants; Polycyclic aromatic hydrocarbon; Lipid peroxidation; Mussels; Pregnancy</t>
  </si>
  <si>
    <t>POLYCYCLIC AROMATIC-HYDROCARBONS; GLUTATHIONE S-TRANSFERASES; BIOMARKERS; EXPOSURE; PLACENTA; MUSSELS</t>
  </si>
  <si>
    <t>Chronic exposure to Poly aromatic hydrocarbons (PAHs) may be associated with adverse pregnancy outcomes. Disruption of hormonal and redox balance by toxic PAH metabolites may interfere with successful pregnancy leading to miscarriage. The association of exposure to PAH contaminated mussel via the dietary route with perturbations in reproductive hormones, biomarkers of oxidative stress, and PAH metabolites were assessed in women with recurrent pregnancy loss (RPL). Furthermore, an analysis of the concentration of PAHs in environmentally relevant bivalve animals was performed to preliminary get insights into the levels of these pollutants in the environment. Seventy- six women (20-35 years) were categorized into 18 fertile women without RPL (control), and Groups I, II, and III comprising 24, 18, and 16 women with RPL (2, 3, and &gt; 3 abortions respectively) were studied. Whole blood samples were collected for the estimation of malondialdehyde (MDA), catalase, reduced glutathione (GSH), glutathione-S-transferase (GST), progesterone (P4), follicle-stimulating hormone (FSH), benzo[a]pyren-7,8-dihydrodiol-9,10-epoxide-albumin adduct (BPDE-albumin) and urine for a-naphthol and beta-naphthol. Two species of mussel Donax trunculus and Andar aduloii samples were collected for the estimation of 16 priority PAHs. The concentration of PAHs exceeding the maximum limits was observed in the two species of mussels studied. Higher levels of BPDE-albumin, MDA, GST, a and beta-naphthol and lower GSH, catalase, FSH, and P4 were observed in women with RPL (Groups I-III) compared to controls (p = &lt; 0.001). Negative associations were observed between BPDE-albumin and catalase (r = - 0.276, p = 0.036), and GSH (r = - 0.331, p = - 0.011) only in women with RPL. Collectively, our findings indicate a possible association of chronic PAH accumulation with recurrent pregnancy loss in women.</t>
  </si>
  <si>
    <t>[El-Sikaily, Amany; Helal, Mohamed] Natl Inst Oceanog &amp; Fisheries NIOF, Cairo, Egypt; [Nsonwu-Anyanwu, Augusta Chinyere] Univ Calabar, Dept Clin Chem &amp; Immunol, Calabar, Nigeria; [Azab, Hossam] Alexandria Univ, Fac Med, Obstet &amp; Gynecol Dept, Alexandria, Egypt; [Abd ElMoneim, Neveen; Farahat, Eman Othman Salem; Saad, Aziza] Alexandria Univ, Med Res Inst, Appl Med Chem, Alexandria, Egypt</t>
  </si>
  <si>
    <t>Egyptian Knowledge Bank (EKB); National Institute of Oceanography &amp; Fisheries (NIOF); University of Calabar; Egyptian Knowledge Bank (EKB); Alexandria University; Egyptian Knowledge Bank (EKB); Alexandria University</t>
  </si>
  <si>
    <t>Helal, M (corresponding author), Natl Inst Oceanog &amp; Fisheries NIOF, Cairo, Egypt.</t>
  </si>
  <si>
    <t>m.helalf@gmail.com</t>
  </si>
  <si>
    <t>NSONWU-ANYANWU, AUGUSTA/E-2293-2015</t>
  </si>
  <si>
    <t>Helal, Mohamed/0000-0001-6170-4907</t>
  </si>
  <si>
    <t>Science, Technology &amp; Innovation Funding Authority (STDF)</t>
  </si>
  <si>
    <t>Science, Technology &amp; Innovation Funding Authority (STDF)(Science and Technology Development Fund (STDF))</t>
  </si>
  <si>
    <t>Open access funding provided by The Science, Technology &amp; Innovation Funding Authority (STDF) in cooperation with The Egyptian Knowledge Bank (EKB). The authors have no relevant financial or non-financial interests to disclose</t>
  </si>
  <si>
    <t>KOREAN SOC TOXICOLOGY</t>
  </si>
  <si>
    <t>Seoul</t>
  </si>
  <si>
    <t>BrownStone Seoul, Bldg 101, Rm 1801, 464, Cheongpa-ro, Jung-gu, Seoul, SOUTH KOREA</t>
  </si>
  <si>
    <t>1976-8257</t>
  </si>
  <si>
    <t>2234-2753</t>
  </si>
  <si>
    <t>TOXICOL RES-GER</t>
  </si>
  <si>
    <t>Tox. Research</t>
  </si>
  <si>
    <t>10.1007/s43188-023-00181-5</t>
  </si>
  <si>
    <t>K5FP4</t>
  </si>
  <si>
    <t>WOS:000993015800001</t>
  </si>
  <si>
    <t>Ritzenhofen, L; Buer, AL; Gyraite, G; Dahlke, S; Klemmstein, A; Schernewski, G</t>
  </si>
  <si>
    <t>Ritzenhofen, Lukas; Buer, Anna-Lucia; Gyraite, Greta; Dahlke, Sven; Klemmstein, Annemarie; Schernewski, Gerald</t>
  </si>
  <si>
    <t>Blue mussel (Mytilus spp.) cultivation in mesohaline eutrophied inner coastal waters: mitigation potential, threats and cost effectiveness</t>
  </si>
  <si>
    <t>PEERJ</t>
  </si>
  <si>
    <t>Mussel cultivation; Eutrophication; Mitigation; Vibrios; Cost-Effectiveness</t>
  </si>
  <si>
    <t>EARLY PERMIAN REPTILE; POSTCRANIAL SKELETON; GLIDING REPTILE; FLYING SNAKE; ISALO GROUP; EVOLUTION; DIAPSIDA; ARCHOSAUROMORPH; MORPHOLOGY; SKULL</t>
  </si>
  <si>
    <t>The EU-water framework directive (WFD) focuses on nutrient reductions to return coastal waters to the good ecological status. As of today, many coastal waters have reached a steady state of insufficient water quality due to continuous external nutrient inputs and internal loadings. This study focuses first on the current environmental status of mesohaline inner coastal waters to illustrate their needs of internal measures to reach demanded nutrient reductions and secondly, if mussel cultivation can be a suitable strategy to improve water quality. Therefore, nitrogen, phosphorus, chlorophyll a, and Secchi depth of nine mesohaline inner coastal waters in north east Germany were analyzed from 1990 to 2018. Two pilot mussel farms were used to evaluate their effectiveness as a mitigation measure and to estimate potential environmental risks, including the interactions with pathogenic vibrio bacteria. Further, estimated production and mitigation potential were used to assess economic profitability based on the sale of small sized mussels for animal feed and a compensation for nutrient mitigation. The compensation costs were derived from nutrient removal costs of a waste water treatment plant (WWTP). Results show that currently all nine water bodies do not reach the nutrient thresholds demanded by the WFD. However, coastal waters differ in nutrient pollution, indicating that some can reach the desired threshold values if internal measures are applied. The mitigation potential of mussel cultivation depends on the amount of biomass that is cultivated and harvested. However, since mussel growth is closely coupled to the salinity level, mussel cultivation in low saline environments leads to lower biomass production and inevitably to larger cultivation areas. If 50% of the case study area Greifswald Bay was covered with mussel farms the resulting nitrogen reduction would increase Secchi depth by 7.8 cm. However, high chlorophyll a values can hamper clearance rates (&lt;20 mg m(-3) = 0.43 1 h(-1) dry weight g(-1)) and therefore the mitigation potential. Also, the risk of mussel stock loss due to high summer water temperatures might affect the mitigation potential. The pilot farms had no significant effect on the total organic content of sediments beneath. However, increased values of Vibrio spp. in bio deposits within the pilot farm (1.43 10(6) +/- 1.10 10(6)CFU 100 ml(-1) (reference site: 1.04 10(6) +/- 1.45 10 6 CFU 100 ml(-1)) were measured with sediment traps. Hence, mussel farms might act as a sink for Vibrio spp. in systems with already high vibrio concentrations. However, more research is required to investigate the risks of Vibrio occurrence coupled to mussel farming. The economic model showed that mussel cultivation in environments below 12 PSU cannot be economic at current market prices for small size mussels and compensations based on nutrient removal cost of WWTPs.</t>
  </si>
  <si>
    <t>[Ritzenhofen, Lukas; Buer, Anna-Lucia; Gyraite, Greta; Klemmstein, Annemarie; Schernewski, Gerald] Leibniz Inst Baltic Sea Res, Rostock, Germany; [Ritzenhofen, Lukas; Gyraite, Greta; Schernewski, Gerald] Klaipeda Univ, Marine Res Inst, Klaipeda, Lithuania; [Dahlke, Sven] Univ Greifswald, Biol Stn Hiddensee, Greifswald, Germany</t>
  </si>
  <si>
    <t>Leibniz Institut fur Ostseeforschung Warnemunde; Klaipeda University; Universitat Greifswald</t>
  </si>
  <si>
    <t>Ritzenhofen, L (corresponding author), Leibniz Inst Baltic Sea Res, Rostock, Germany.;Ritzenhofen, L (corresponding author), Klaipeda Univ, Marine Res Inst, Klaipeda, Lithuania.</t>
  </si>
  <si>
    <t>lukas.ritzenhofen@io-warnemuende.de</t>
  </si>
  <si>
    <t>Gyraite, Greta/0000-0002-7079-7997</t>
  </si>
  <si>
    <t>Peter Buck Postdoctoral Fellowship; Smithsonian Institution; NSERC Discovery Grant</t>
  </si>
  <si>
    <t>Peter Buck Postdoctoral Fellowship; Smithsonian Institution(Smithsonian Institution); NSERC Discovery Grant(Natural Sciences and Engineering Research Council of Canada (NSERC))</t>
  </si>
  <si>
    <t>Adam C. Pritchard's work on SMNK-PAL 2882 and the phylogeny of early Diapsida was supported by a Peter Buck Postdoctoral Fellowship and the Smithsonian Institution. Funding for Hans-Dieter Sues was provided by the Smithsonian Institution. Robert R. Reisz and Diane Scott were funded by an NSERC Discovery Grant (to Robert R. Reisz). The funders had no role in study design, data collection and analysis, decision to publish, or preparation of the manuscript.</t>
  </si>
  <si>
    <t>PEERJ INC</t>
  </si>
  <si>
    <t>341-345 OLD ST, THIRD FLR, LONDON, EC1V 9LL, ENGLAND</t>
  </si>
  <si>
    <t>2167-8359</t>
  </si>
  <si>
    <t>PeerJ</t>
  </si>
  <si>
    <t>e11247</t>
  </si>
  <si>
    <t>10.7717/peerj.11247</t>
  </si>
  <si>
    <t>SG0NH</t>
  </si>
  <si>
    <t>WOS:000653142600001</t>
  </si>
  <si>
    <t>Li, ZK; Yang, K; Li, YF; Lu, WQ</t>
  </si>
  <si>
    <t>Li, Zikang; Yang, Kun; Li, Yifeng; Lu, Weiqun</t>
  </si>
  <si>
    <t>The influence of individuality on performance traits in mussels: Assessments based on defensive behavior and physiology</t>
  </si>
  <si>
    <t>Mytilus coruscus; Self-organizing behavior; Foot protein; Byssus; BDE-47; Physiology</t>
  </si>
  <si>
    <t>POLYBROMINATED DIPHENYL ETHERS; SPATIAL SELF-ORGANIZATION; ANTIPREDATORY RESPONSES; SEAWATER ACIDIFICATION; ANIMAL PERSONALITY; ATTACHMENT; ADHESION; MOVEMENT; IMPACT</t>
  </si>
  <si>
    <t>Cultured Mytilus coruscus fall-offs regularly led to the reduction of harvest yields of suspension-cultured mussels. High temperature and marine pollutants affect mussel physiological health, which increases the risk of mussel fall-offs and results in yield declines. In this study, we classified mussels into proactive and reactive groups based on their self-organizing behavior after air exposure stress and investigated the differences in defense performance of different group mussels. Proactive mussels were found to have a significantly higher byssus number, adhesion area, and gene expression in the mussel foot protein mfp5 and the byssus collagen preCOL-P. Exposure of mussels to high temperature and different concentrations of BDE-47 revealed a decrease in byssus performance and byssus gene expression in both proactive and reactive groups, but the decreased level of expression of the proactive mussel foot proteins mfp5 and mfp6 was significantly less than that of the reactive mussels. Our study found that proactive mussels have more and better byssuses, better adhesion and defense ability, and greater adaptability under higher temperature and pollutant-exposed conditions. The performance of byssus is correlated with the individuality of stress coping, providing a new direction for future mussel selection breeding and aquaculture.</t>
  </si>
  <si>
    <t>[Li, Zikang; Yang, Kun; Li, Yifeng; Lu, Weiqun] Shanghai Ocean Univ, Natl Demonstrat Ctr Expt Fisheries Sci Educ, Shanghai 201306, Peoples R China; [Li, Zikang; Yang, Kun; Li, Yifeng; Lu, Weiqun] Shanghai Ocean Univ, Key Lab Explorat &amp; Utilizat Aquat Genet Resources, Minist Educ, Shanghai 201306, Peoples R China; [Li, Yifeng; Lu, Weiqun] Shanghai Ocean Univ, Minist Sci &amp; Technol, Int Res Ctr Marine Biosci, Shanghai 201306, Peoples R China</t>
  </si>
  <si>
    <t>Shanghai Ocean University; Shanghai Ocean University; Shanghai Ocean University</t>
  </si>
  <si>
    <t>Lu, WQ (corresponding author), Shanghai Ocean Univ, Natl Demonstrat Ctr Expt Fisheries Sci Educ, Shanghai 201306, Peoples R China.</t>
  </si>
  <si>
    <t>wqlv@shou.edu.cn</t>
  </si>
  <si>
    <t>Li, Zikang/GQZ-5417-2022</t>
  </si>
  <si>
    <t>National Key Research and Devel-opment Program of China [2022YFD2401700]; National Natural Science Foundation of China [32172992, 32273103]</t>
  </si>
  <si>
    <t>National Key Research and Devel-opment Program of China(National Key Research &amp; Development Program of China); National Natural Science Foundation of China(National Natural Science Foundation of China (NSFC))</t>
  </si>
  <si>
    <t>This work was supported by the National Key Research and Devel-opment Program of China (2022YFD2401700) , and the National Natural Science Foundation of China (32172992, 32273103) .</t>
  </si>
  <si>
    <t>10.1016/j.aquaculture.2024.741369</t>
  </si>
  <si>
    <t>ZM3T9</t>
  </si>
  <si>
    <t>WOS:001275684400001</t>
  </si>
  <si>
    <t>Bordalo, D; Cuccaro, A; De Marchi, L; Soares, AMVM; Meucci, V; Battaglia, F; Pretti, C; Freitas, R</t>
  </si>
  <si>
    <t>Bordalo, Diana; Cuccaro, Alessia; De Marchi, Lucia; Soares, Amadeu M. V. M.; Meucci, Valentina; Battaglia, Federica; Pretti, Carlo; Freitas, Rosa</t>
  </si>
  <si>
    <t>In vitro spermiotoxicity and in vivo adults? biochemical pattern after exposure of the Mediterranean mussel to the sunscreen avobenzone</t>
  </si>
  <si>
    <t>UV filters; Butyl methoxydibenzoylmethane; Mussels; Metabolism; Oxidative stress</t>
  </si>
  <si>
    <t>ORGANIC UV-FILTERS; MYTILUS-GALLOPROVINCIALIS; OXIDATIVE STRESS; ACETYLCHOLINESTERASE; PHOTOSTABILITY; REPRODUCTION; PESTICIDES; BIOMARKERS; TOXICITY; SYSTEM</t>
  </si>
  <si>
    <t>Avobenzone (AVO) is one of the most frequent ultraviolet (UV) filters in personal care products (PCPs). The Mediterranean mussel Mytilus galloprovincialis is a bioindicator often used for ecotoxicological research. Since UV filters reach higher peaks during summer in aquatic bodies, coincident with mussels' spawning period, and bi-valves are sessile, both male gametes and adults of this species were used in this experiment. Therefore, the present study aimed to assess how AVO affects M. galloprovincialis at different biological levels. In vitro experi-ments on sperms (30 min-exposure) and in vivo experiments on adults (28 days-exposure) were carried out at 0.1, 1.0 and 10.0 mu g/L of AVO concentrations. The oxidative and physiological status together with genotoxicity in exposed sperms were assessed. Several biochemical parameters related to enzymatic antioxidant defences, biotransformation enzymes, cell membrane damage, energy reserves, and neurotoxicity were evaluated in adult mussels. Results of in vitro sperm exposure to AVO showed significant overproduction of superoxide anions and DNA damages in all treatments and decrease in sperm viability at 1.0 and 10.0 mu g/L. AVO exposure also led to complete inhibition of motility of sperms at the highest concentration, while a significant increase of curvilinear velocity and decrease of wobble occurred at 1.0 mu g/L. In vivo exposed adults exhibited a significant decrease in metabolic capacity at 0.1 mu g/L, a significant increase in the total protein content and enzymatic turnover as superoxide dismutase (antioxidant defence) at 10 mu g/L. This study revealed an ecological concern related to the high sensitivity of sperms respectively to adults under environmentally relevant concentrations of AVO, un-derpinning an hypothesis of male reproductive function impairments.</t>
  </si>
  <si>
    <t>[Bordalo, Diana; Cuccaro, Alessia; Soares, Amadeu M. V. M.; Freitas, Rosa] Univ Aveiro, Dept Biol, P-3810193 Aveiro, Portugal; [Cuccaro, Alessia; Soares, Amadeu M. V. M.; Freitas, Rosa] Univ Aveiro, Ctr Environm &amp; Marine Studies CESAM, P-3810193 Aveiro, Portugal; [De Marchi, Lucia; Pretti, Carlo] Interuniv Consortium Marine Biol &amp; Appl Ecol G Bac, I-57128 Livorno, Italy; [Meucci, Valentina; Battaglia, Federica; Pretti, Carlo] Univ Pisa, Dept Vet Sci, I-56122 San Piero A Grad, PI, Italy</t>
  </si>
  <si>
    <t>Universidade de Aveiro; Universidade de Aveiro; Consorzio per il Centro Interuniversitario di Biologia Marina ed Ecologia Applicata G. Bacci; University of Pisa</t>
  </si>
  <si>
    <t>Bordalo, Diana/JRY-6602-2023; Pretti, Carlo/K-5948-2017; Cuccaro, Alessia/AAN-4418-2020; De Marchi, Lucia/ABG-1246-2021; Soares, Amadeu/A-8304-2008; meucci, valentina/K-7823-2016; Freitas, Rosa/A-7539-2012</t>
  </si>
  <si>
    <t>BATTAGLIA, FEDERICA/0000-0002-5496-5508; Cuccaro, Alessia/0000-0001-8631-3822; Soares, Amadeu/0000-0003-0879-9470; meucci, valentina/0000-0001-5672-7856; Freitas, Rosa/0000-0003-4900-3897; Bordalo, Diana/0000-0003-4352-0068; De Marchi, Lucia/0000-0001-6899-4476</t>
  </si>
  <si>
    <t>Portuguese Science Foundation (Fundacao para a Ciencia e a Tecnologia, FCT) [PD/BD/150609/2020]; FCT/MCTES; [UIDP/50017/2020+UIDB/ 50017/2020+LA/P/0094/2020]</t>
  </si>
  <si>
    <t>Portuguese Science Foundation (Fundacao para a Ciencia e a Tecnologia, FCT)(Fundacao para a Ciencia e a Tecnologia (FCT)); FCT/MCTES(Fundacao para a Ciencia e a Tecnologia (FCT));</t>
  </si>
  <si>
    <t>Alessia Cuccaro benefited from a PhD grant (PD/BD/150609/2020) given by the National Funds through the Portuguese Science Foundation (Fundacao para a Ciencia e a Tecnologia, FCT). We acknowledge financial support to CESAM by FCT/MCTES (UIDP/50017/2020+UIDB/ 50017/2020+LA/P/0094/2020), through national funds.</t>
  </si>
  <si>
    <t>10.1016/j.envpol.2022.119987</t>
  </si>
  <si>
    <t>5A4JL</t>
  </si>
  <si>
    <t>WOS:000862854900009</t>
  </si>
  <si>
    <t>Di Bella, G; Potortì, AG; Licata, P; Pellizzeri, V; Ben Mansour, H; Dugo, G; Lo Turco, V</t>
  </si>
  <si>
    <t>Di Bella, Giuseppa; Potorti, Angela Giorgia; Licata, Patrizia; Pellizzeri, Vito; Ben Mansour, Hedi; Dugo, Giacomo; Lo Turco, Vincenzo</t>
  </si>
  <si>
    <t>Organic contamination in clams, Venerupis aurea laeta and Cerastoderma edule glaucum, from Sicily (Italy)</t>
  </si>
  <si>
    <t>NATURAL PRODUCT RESEARCH</t>
  </si>
  <si>
    <t>POPs; OCPs; PCBs; GC-MS; clams; lake; Sicily</t>
  </si>
  <si>
    <t>RISK-ASSESSMENT; GANZIRRI LAKE; HEAVY-METALS; MESSINA; AREAS; FISH</t>
  </si>
  <si>
    <t>Two species of edible clams Venerupis aurea laeta and Cerastoderma edule glaucum from Ganzirri Lake (Sicily, Italy) were investigated to determine OCP and PCB residues by GC-MS. Thirty-five samples were examined for two years in order to perform: a) their actual contamination; b) the daily dietary exposure of seafood consumers to the pollutants in question. In all the clams analysed in this study, PCB and OCP (4,4-DDE) residues are always below the limits fixed by law. It seems that there is some seasonality of concentrations observed. In fact the more high concentrations of residues are detected in the hot months, for both species and years. Given the consumption of clams and the values obtained in this study for the two species analysed, it is possible estimate that the average daily dietary intake of NDL-PCB and of 4,4-DDE for adults is really low. [GRAPHICS] .</t>
  </si>
  <si>
    <t>[Di Bella, Giuseppa; Potorti, Angela Giorgia; Pellizzeri, Vito; Dugo, Giacomo; Lo Turco, Vincenzo] Univ Messina, Biomorf Dept, Messina, Italy; [Licata, Patrizia] Univ Messina, Dept Vet Sci, Messina, Italy; [Ben Mansour, Hedi] Univ Monastir, APAE Higher Inst Appl Sci &amp; Technol, Mahdia, Tunisia</t>
  </si>
  <si>
    <t>University of Messina; University of Messina; Universite de Monastir</t>
  </si>
  <si>
    <t>Potortì, AG (corresponding author), Univ Messina, Biomorf Dept, Messina, Italy.</t>
  </si>
  <si>
    <t>agpotorti@unime.it</t>
  </si>
  <si>
    <t>LO TURCO, Vincenzo/GWC-5892-2022; Mansour, Hedi/AAT-5795-2021; Licata, Patrizia/AAM-5842-2020; Potorti, Angela Giorgia/M-9029-2016</t>
  </si>
  <si>
    <t>Dugo, Giacomo/0000-0003-0185-6591; Potorti, Angela Giorgia/0000-0002-8608-2435; BEN MANSOUR, Hedi/0000-0001-7936-9828</t>
  </si>
  <si>
    <t>1478-6419</t>
  </si>
  <si>
    <t>1478-6427</t>
  </si>
  <si>
    <t>NAT PROD RES</t>
  </si>
  <si>
    <t>Nat. Prod. Res.</t>
  </si>
  <si>
    <t>10.1080/14786419.2017.1350674</t>
  </si>
  <si>
    <t>Chemistry, Applied; Chemistry, Medicinal</t>
  </si>
  <si>
    <t>Chemistry; Pharmacology &amp; Pharmacy</t>
  </si>
  <si>
    <t>GD9WN</t>
  </si>
  <si>
    <t>WOS:000430863800006</t>
  </si>
  <si>
    <t>Cook, FJ; Hick, W; Gardner, EA; Carlin, GD; Froggatt, DW</t>
  </si>
  <si>
    <t>Export of acidity in drainage water from acid sulphate soils</t>
  </si>
  <si>
    <t>acid sulphate soils; acid drainage; iron; aluminium; dissolved oxygen; coastal waters</t>
  </si>
  <si>
    <t>SULFATE SOILS; AUSTRALIA; ACIDIFICATION</t>
  </si>
  <si>
    <t>Disturbed acid sulphate soils are potent sources of acidity in coastal waterways. Monitoring studies of the drainage water for sites at East Trinity, Cairns and Pimpama, south-east Queensland indicate that considerable acidity is found in the drainage water from these sites. Hydrogen (H+), ferrous (Fe2+) and aluminium (Al) ions are the dominant acid cations involved. When drainage water is mixed with fresh or marine waters the effect of Hf on acidity generation is immediate. Aluminium can release acidity on hydrolysis, while the oxidation of Fe2+ to Fe3+ both acidifies and removes dissolved oxygen from the water. Strongly acidic waters with low levels of dissolved oxygen concentration are undesirable for most forms of aquatic life. Export of acidity from acid sulphate soil is likely to have a major effect on inshore fisheries and breeding grounds especially in periods of flood following drought or periods of low rainfall, where large volumes of acidity can be flushed/leached into sensitive aquatic/marine habitats. Impacts may include low dissolved oxygen, fish kills, epizootic ulceration syndrome and damage to oysters. During the processes of oxidation and hydrolysis, iron and aluminium flocs form, that can smother benthic communities. Heavy metals are found in the drainage water at elevated levels and may also be of concern for aquatic organisms, Chronic effects such as habitat degradation, mortality of marine worms, bivalves, invasion of acid tolerant species (both plant and animal) and avoidance of habitat have been documented elsewhere. These areas require further research. Published by Elsevier Science Ltd.</t>
  </si>
  <si>
    <t>CSIRO Land &amp; Water, C QDNR, Indooroopilly, Qld 4068, Australia; CSIRO Land &amp; Water, Canberra, ACT 2601, Australia; Dept Nat Resources, Indooroopilly, Qld 4068, Australia</t>
  </si>
  <si>
    <t>Commonwealth Scientific &amp; Industrial Research Organisation (CSIRO); Commonwealth Scientific &amp; Industrial Research Organisation (CSIRO); CSIRO Land &amp; Water</t>
  </si>
  <si>
    <t>CSIRO Land &amp; Water, C QDNR, 80 Meiers Rd, Indooroopilly, Qld 4068, Australia.</t>
  </si>
  <si>
    <t>Hicks, Warren/F-3019-2011; Cook, Freeman/A-1238-2008; Carlin, Geoffrey/J-4449-2017</t>
  </si>
  <si>
    <t>Cook, Freeman/0000-0001-6044-2079; Carlin, Geoffrey/0000-0003-4563-8879</t>
  </si>
  <si>
    <t>10.1016/S0025-326X(00)00138-7</t>
  </si>
  <si>
    <t>WOS:000166052900008</t>
  </si>
  <si>
    <t>Wu, Y; Zhou, YH; Qiu, YL; Chen, D; Zhu, ZL; Zhao, JF; Bergman, Å</t>
  </si>
  <si>
    <t>Wu, Yan; Zhou, Yihui; Qiu, Yanling; Chen, Da; Zhu, Zhiliang; Zhao, Jianfu; Bergman, Ake</t>
  </si>
  <si>
    <t>Occurrence and risk assessment of trace metals and metalloids in sediments and benthic invertebrates from Dianshan Lake, China</t>
  </si>
  <si>
    <t>Dianshan Lake; Yangtze River Delta; Trace metal and metalloid; Bioaccumulation; Risk assessment</t>
  </si>
  <si>
    <t>MUSSELS MYTILUS-GALLOPROVINCIALIS; YANGTZE-RIVER DELTA; HEAVY-METALS; FRESH-WATER; TAIHU LAKE; SURFACE SEDIMENTS; BELLAMYA-AERUGINOSA; CRASSOSTREA-GIGAS; MARINE-SEDIMENTS; ATLANTIC COAST</t>
  </si>
  <si>
    <t>The present study measured concentrations of Cr, Ni, Cu, Zn, As, Cd, Sb, and Pb in surface sediments and two benthic invertebrate species (Anodonta woodiana and Bellamya aeruginosa) collected from Dianshan Lake, located in the Yangtze River Delta. The Dianshan Lake acts as one of the most important drinking water sources to Shanghai, the biggest city in China. Concentrations of trace metals and metalloids ranged from 0.04 mg/kg for Cd to 288.0 mg/kg for Zn. Substantial bioaccumulation in invertebrates was observed for Zn and Cu based on the biota-sediment accumulation factor (BSAF) measurements. The results revealed that concentrations of metals and metalloids in sediments from Dianshan Lake were at the lower end of the range of levels found in other regions of China. The assessment of three significantly inter-related evaluation indices, including the geo-accumulation Index (I-geo), potential ecological risk factor (Er-i), and mean probable effect concentration quotients (Q(m-PEC)), suggested that sediment-associated trace elements exhibited no considerable ecological risks in the studied watershed. However, the target hazard quotient and hazard index analysis suggested that selected elements (particularly As) accumulation in edible tissues of benthic invertebrates could pose potential health risks to local populations, especially fishermen. Given that wild aquatic organisms (e.g., fish and bivalves) constitute the diet of local populations as popular food/protein choices, further investigations are needed to better elucidate human health risks from metal and metalloid exposure via edible freshwater organisms.</t>
  </si>
  <si>
    <t>[Wu, Yan; Qiu, Yanling; Zhu, Zhiliang] Tongji Univ, Coll Environm Sci &amp; Engn, Key Lab Yangtze River Water Environm, Minist Educ, Shanghai 200092, Peoples R China; [Wu, Yan; Bergman, Ake] Stockholm Univ, Dept Environm Sci &amp; Analyt Chem, SE-10691 Stockholm, Sweden; [Zhou, Yihui; Zhao, Jianfu; Bergman, Ake] Tongji Univ, Coll Environm Sci &amp; Engn, State Key Lab Pollut Control &amp; Resource Reuse, Shanghai 200092, Peoples R China; [Chen, Da] Jinan Univ, Sch Environm, Guangzhou Key Lab Environm Exposure &amp; Hlth, Guangzhou 510632, Guangdong, Peoples R China; [Chen, Da] Jinan Univ, Guangdong Key Lab Environm Pollut &amp; Hlth, Guangzhou 510632, Guangdong, Peoples R China; [Bergman, Ake] Swedish Toxicol Sci Res Ctr Swetox, Forskargatan 20, SE-15257 Sodertalje, Sweden</t>
  </si>
  <si>
    <t>Tongji University; Stockholm University; Tongji University; Jinan University; Jinan University</t>
  </si>
  <si>
    <t>Qiu, YL (corresponding author), Tongji Univ, Coll Environm Sci &amp; Engn, Key Lab Yangtze River Water Environm, Minist Educ, Shanghai 200092, Peoples R China.</t>
  </si>
  <si>
    <t>ylqiu@tongji.edu.cn</t>
  </si>
  <si>
    <t>Zhou, Yihui/B-1727-2013; Chen, Da/F-5821-2014; Wu, Yan/C-4680-2017</t>
  </si>
  <si>
    <t>Chen, Da/0000-0001-5563-0091; Wu, Yan/0000-0001-7876-261X; Zhou, Yihui/0000-0002-2219-1771</t>
  </si>
  <si>
    <t>Shanghai Natural Science Foundation [12ZR1433300]; VR Research Cooperation China [639-2013-6913]; 111 project of China</t>
  </si>
  <si>
    <t>Shanghai Natural Science Foundation(Natural Science Foundation of Shanghai); VR Research Cooperation China; 111 project of China</t>
  </si>
  <si>
    <t>Financial support for this work was provided by the Shanghai Natural Science Foundation (12ZR1433300), VR Research Cooperation China project (639-2013-6913) and the 111 project of China.</t>
  </si>
  <si>
    <t>10.1007/s11356-017-9069-3</t>
  </si>
  <si>
    <t>WOS:000402997700026</t>
  </si>
  <si>
    <t>Glad, M; Bihari, N; Jaksic, Z; Fafandel, M</t>
  </si>
  <si>
    <t>Glad, Marin; Bihari, Nevenka; Jaksic, Zeljko; Fafandel, Maja</t>
  </si>
  <si>
    <t>Comparison between resident and caged mussels: Polycyclic aromatic hydrocarbon accumulation and biological response</t>
  </si>
  <si>
    <t>Biomarkers; Caged mussels; Monitoring; Multiple factor analysis; Polycyclic aromatic hydrocarbons; Resident mussels</t>
  </si>
  <si>
    <t>MULTI-BIOMARKER APPROACH; EXXON-VALDEZ SPILL; MYTILUS-GALLOPROVINCIALIS; BALTIC SEA; ADRIATIC SEA; ACETYLCHOLINESTERASE ACTIVITY; POLLUTION GRADIENT; HEAVY-METALS; BLUE MUSSELS; IN-VITRO</t>
  </si>
  <si>
    <t>The aim of this study was to compare the capability of passive and active biomonitoring to determine the environmental pressure. For this purpose, PAHs content and several biological responses in resident and caged mussels (Mytilus galloprovincialis) at five sampling sites (Rijeka Bay, Adriatic Sea) were analsed. Resident mussels were found better in reflecting the level of PAH loads at particular sites while only caged mussels could detect input of HMW PAHs. When data of each investigated parameter were compared separately, the majority of differences between resident and caged mussels' results were site specific. Integration of biological response patterns expressed as Index of Biological Response (IBR) resulted with different sampling sites ranking for resident and caged mussels. Multiple Factor Analysis (MFA) based on integration of tissue PAH concentration and biological response revealed resident mussels as more powerful for detection of environmental pressure. The use of resident mussels is recommended as appropriate and less costly approach for monitoring the effect of pollution. (C) 2017 Elsevier Ltd. All rights reserved.</t>
  </si>
  <si>
    <t>[Bihari, Nevenka; Jaksic, Zeljko; Fafandel, Maja] Rudjer Boskovic Inst, Ctr Marine Res, G Paliaga 5, HR-52210 Rovinj, Croatia; [Glad, Marin] Inst Publ Hlth, Kresimirova 52a, HR-51000 Rijeka, Croatia</t>
  </si>
  <si>
    <t>Fafandel, M (corresponding author), Rudjer Boskovic Inst, Ctr Marine Res, G Paliaga 5, HR-52210 Rovinj, Croatia.</t>
  </si>
  <si>
    <t>Jaksic, Zeljko/A-2932-2012</t>
  </si>
  <si>
    <t>Jaksic, Zeljko/0000-0002-0882-6929</t>
  </si>
  <si>
    <t>Croatian Ministry of Science, education and Sport [0982705-2725]</t>
  </si>
  <si>
    <t>Croatian Ministry of Science, education and Sport(Ministry of Science, Education and Sports, Republic of Croatia)</t>
  </si>
  <si>
    <t>The Croatian Ministry of Science, education and Sport, financially supported this work (Project: 0982705-2725). This support is gratefully appreciated. Funding source had not been involved neither in study design, collection, analysis and interpretation of data, writing of the report nor in the decision to submit the article for publication. For technical assistance we thank Dr Mirta Smodlaka Tankovic.</t>
  </si>
  <si>
    <t>10.1016/j.marenvres.2017.06.004</t>
  </si>
  <si>
    <t>FE1ME</t>
  </si>
  <si>
    <t>WOS:000407981500017</t>
  </si>
  <si>
    <t>Benito, M; Mosteo, R; Rubio, E; LaPlante, D; Ormad, MP; Goñi, P</t>
  </si>
  <si>
    <t>Benito, M.; Mosteo, R.; Rubio, E.; LaPlante, D.; Ormad, M. P.; Goni, P.</t>
  </si>
  <si>
    <t>BIOACCUMULATION OF INORGANIC ELEMENTS IN DREISSENA POLYMORPHA FROM THE EBRO RIVER, SPAIN: COULD ZEBRA MUSSELS BE USED AS A BIOINDICATOR OF THE IMPACT OF HUMAN ACTIVITIES?</t>
  </si>
  <si>
    <t>RIVER RESEARCH AND APPLICATIONS</t>
  </si>
  <si>
    <t>Dreissena polymorpha (Italics); accumulation; inorganic elements; human activity; water contamination; bioindicator</t>
  </si>
  <si>
    <t>TRACE-METALS; FOOD-WEB; MERCURY; CONTAMINATION; RESERVOIR; ACCUMULATION; SITE</t>
  </si>
  <si>
    <t>Dreissena polymorpha is among the top 100 most harmful invasive species in aquatic habitats. European Directive 2013/39/UE establishes Environmental Quality Standards for biota because it has been demonstrated that pollutants bioaccumulate in aquatic organisms. This study evaluated bioaccumulation of inorganic elements in the soft tissues of D. polymorpha in order to assess the usefulness of zebra mussels as a bioindicator of contaminant presence in superficial waters. Concentrations of 66 elements were measured in order to evaluate their relationship with nearby anthropogenic activity and to the values recommended by Environmental Quality Standards for biota. Bivalves were collected from four sample points along the Ebro River Basin (Spain), where diverse human activities are carried out. Zebra mussels accumulate toxins in soft tissue during their life cycle, including Al, Cr, Fe, Hg, Pb, Th, Cd and U. The highest levels of accumulation corresponded to elements associated with human activity in the area, showing the impact of anthropogenic actions on biota. D. polymorpha not only supplies information about current water quality but also acts as a witness of past water quality by bioconcentrating toxic elements present in the environment and providing relevant results about historical water contamination. In conclusion, D. polymorpha is a harmful and dangerous invasive species, but its pervasiveness means that it can be used as a bioindicator to assess current and past presence of elements in water. Copyright (C) 2017 John Wiley &amp; Sons, Ltd.</t>
  </si>
  <si>
    <t>[Benito, M.; Mosteo, R.; Ormad, M. P.] Univ Zaragoza, Dept Chem Engn &amp; Environm Technol, EINA, Zaragoza, Spain; [Rubio, E.] Univ Zaragoza, Dept Microbiol Prevent Med &amp; Publ Hlth, Area Biostat, Fac Med, Zaragoza, Spain; [Benito, M.; LaPlante, D.; Goni, P.] Univ Zaragoza, Dept Microbiol Prevent Med &amp; Publ Hlth, Area Parasitol, Fac Med, C Domingo Miral S-N, E-50009 Zaragoza, Spain</t>
  </si>
  <si>
    <t>University of Zaragoza; University of Zaragoza; University of Zaragoza</t>
  </si>
  <si>
    <t>Goñi, P (corresponding author), Univ Zaragoza, Dept Microbiol Prevent Med &amp; Publ Hlth, Area Parasitol, Fac Med, C Domingo Miral S-N, E-50009 Zaragoza, Spain.</t>
  </si>
  <si>
    <t>pgoni@unizar.es</t>
  </si>
  <si>
    <t>ORMAD, M.P./AAA-5551-2019; /C-3570-2009; Goni Cepero, Maria Pilar/H-5114-2011</t>
  </si>
  <si>
    <t>/0000-0002-7456-4912; Goni Cepero, Maria Pilar/0000-0003-0765-7227; /0000-0003-3014-0322</t>
  </si>
  <si>
    <t>DGA-FSE Research Team T33; University of Zaragoza [JIUZ-2013-TEC-14]; DGA-FSE Research Team B124</t>
  </si>
  <si>
    <t>DGA-FSE Research Team T33; University of Zaragoza; DGA-FSE Research Team B124</t>
  </si>
  <si>
    <t>This work was financed by DGA-FSE Research Teams T33 and B124 and the University of Zaragoza (Project JIUZ-2013-TEC-14)</t>
  </si>
  <si>
    <t>1535-1459</t>
  </si>
  <si>
    <t>1535-1467</t>
  </si>
  <si>
    <t>RIVER RES APPL</t>
  </si>
  <si>
    <t>River Res. Appl.</t>
  </si>
  <si>
    <t>10.1002/rra.3126</t>
  </si>
  <si>
    <t>EW9LI</t>
  </si>
  <si>
    <t>WOS:000402840900008</t>
  </si>
  <si>
    <t>Wang, F; Wang, WX; Huang, XP</t>
  </si>
  <si>
    <t>Wang, Fei; Wang, Wen-Xiong; Huang, Xiao-Ping</t>
  </si>
  <si>
    <t>Spatial distribution of gut juice extractable Cu, Pb and Zn in sediments from the Pearl River Estuary, Southern China</t>
  </si>
  <si>
    <t>Bioaccessibility; Metals; Extraction; Total concentration; Distribution pattern; Sediments; Pearl River Estuary</t>
  </si>
  <si>
    <t>HEAVY-METALS; MARINE BIVALVES; BOUND METALS; TRACE-METALS; BIOAVAILABILITY; ASSIMILATION; MERCURY; SOLUBILIZATION; INVERTEBRATES; AVAILABILITY</t>
  </si>
  <si>
    <t>In this study, we compared the spatial distribution of total metals (Cu, Pb, and Zn) and bioaccessible metals, which were quantified by incubating sediments with the digestive fluid of sipunculans Sipunculus nudus, in natural sediments of the Pearl River Estuary (PRE). The spatial distribution of bioaccessible metal was not the same as that of total metals in PRE sediments, which were mainly controlled by fine-grained size, total organic carbon (TOC) and Fe. Geochemical factors were important in interpreting this different spatial variation. The similar spatial variations of bioaccessible Cu and total Cu were related to TOC in PRE sediments. Differently from the total Zn, a higher bioaccessible Zn was detected near the West Channel of PRE because of a lower TOC. However, the distribution of bioaccessible Pb was not significantly related to any sediment geochemistry. This study provides a more accurate view of metal pollution in the PRE natural sediments. (C) 2012 Elsevier Ltd. All rights reserved.</t>
  </si>
  <si>
    <t>[Wang, Fei; Wang, Wen-Xiong; Huang, Xiao-Ping] Chinese Acad Sci, State Key Lab Trop Oceanog, S China Sea Inst Oceanol, Guangzhou 510301, Guangdong, Peoples R China; [Wang, Fei] Chinese Acad Sci, Grad Sch, Beijing 100049, Peoples R China; [Wang, Wen-Xiong] HKUST, Div Life Sci, Kowloon, Hong Kong, Peoples R China</t>
  </si>
  <si>
    <t>Chinese Academy of Sciences; South China Sea Institute of Oceanology, CAS; Chinese Academy of Sciences; University of Chinese Academy of Sciences, CAS; Hong Kong University of Science &amp; Technology</t>
  </si>
  <si>
    <t>Huang, XP (corresponding author), Chinese Acad Sci, State Key Lab Trop Oceanog, S China Sea Inst Oceanol, Guangzhou 510301, Guangdong, Peoples R China.</t>
  </si>
  <si>
    <t>xphuang@scsio.ac.cn</t>
  </si>
  <si>
    <t>Huang, xp/JRX-2837-2023; Wang, Wenxiong/E-7254-2011</t>
  </si>
  <si>
    <t>National Natural Sciences Foundation of China [41076069, 40776086]; Key Project of Knowledge Innovation Program; Chinese Academy of Sciences [KZCX2-YW-Q07]; 908 Special Project [GD908-02-02]; Chinese Academy of Science/SAFEA [KZCX2-YW-T001]</t>
  </si>
  <si>
    <t>National Natural Sciences Foundation of China(National Natural Science Foundation of China (NSFC)); Key Project of Knowledge Innovation Program; Chinese Academy of Sciences(Chinese Academy of Sciences); 908 Special Project; Chinese Academy of Science/SAFEA(Chinese Academy of Sciences)</t>
  </si>
  <si>
    <t>We thank the three anonymous reviewers for critical comments on this paper. This work was supported by National Natural Sciences Foundation of China (gs1) (41076069, 40776086), Key Project of Knowledge Innovation Program, Chinese Academy of Sciences (KZCX2-YW-Q07), 908 Special Project (GD908-02-02), and Chinese Academy of Science/SAFEA International Partnership Program for Creative Research Teams (KZCX2-YW-T001). We also thank Jiu-Juan Wang, Lei Tian and Dr. Da-Wen Zhang for their valuable help and comments.</t>
  </si>
  <si>
    <t>10.1016/j.marenvres.2012.03.002</t>
  </si>
  <si>
    <t>945SQ</t>
  </si>
  <si>
    <t>WOS:000304296700014</t>
  </si>
  <si>
    <t>WHARFE, JR; VANDENBROEK, WLF</t>
  </si>
  <si>
    <t>CHLORINATED HYDROCARBONS IN MACROINVERTEBRATES AND FISH FROM LOWER MEDWAY ESTUARY, KENT</t>
  </si>
  <si>
    <t>Macroinvertebrates and fish collected periodically from April 1973-Jan. 1976, from the Lower Medway Estuary, Kent, [England] were analyzed for a range of heavy metals, organochlorine pesticides and polychlorinated biphenyls [PCB]. Results of the chlorinated hydrocarbon analysis of mussels Mytilus edulis, shore crabs Carcinus maenas, periwinkles Littorina littorea, ragworms Nereis diversicolor, shrimps Crangon vulgaris and selected fish tissues from Anguilla anguilla, Merlangius merlangus, Platichthys flesus, Pleuronectes platessa, Pomatoschistus minutus and Sprattus sprattus showed that there was little evidence of any seasonal variation in levels of pesticides or PCB in invertebrates or fish. The distribution of PCB showed highest concentrations in the vicinity of industrialized areas, and in invertebrates there was a gradual reduction of levels at sites downstream. Levels of hexane-extractable fat were generally higher in fish samples, especially their livers, but no correlation was found with concentrations of dieldrin. Similarly, there was no evidence of relationship with DDT or PCB.</t>
  </si>
  <si>
    <t>WELSH NATL WATER DEV AUTHOR, PONTHIR TREATMENT WORKS, MARINE LAB, NEWPORT, GWENT, WALES.</t>
  </si>
  <si>
    <t>10.1016/0025-326X(78)90453-8</t>
  </si>
  <si>
    <t>EU795</t>
  </si>
  <si>
    <t>WOS:A1978EU79500006</t>
  </si>
  <si>
    <t>Kobkeatthawin, T; Sirivithayapakorn, S; Nitiratsuwan, T; Muenhor, D; Loh, PS; Pradit, S</t>
  </si>
  <si>
    <t>Kobkeatthawin, Thawanrat; Sirivithayapakorn, Sanya; Nitiratsuwan, Thongchai; Muenhor, Dudsadee; Loh, Pei-Sun; Pradit, Siriporn</t>
  </si>
  <si>
    <t>Accumulation of Trace Metal in Sediment and Soft Tissue of Strombus canarium in a Tropical Remote Island of Thailand</t>
  </si>
  <si>
    <t>trace metal; surface sediment; Strombus canarium; bioaccumulation (BSAF); human consumption risk</t>
  </si>
  <si>
    <t>COMPREHENSIVE RISK-ASSESSMENT; HEAVY-METALS; SURFACE SEDIMENTS; COASTAL SEDIMENTS; CONTAMINATION; BIVALVES; ELEMENTS; WATER; AREA; ENRICHMENT</t>
  </si>
  <si>
    <t>The present study determined the metal levels in surface sediment and in soft tissue of the Strombus canarium at Libong Island, Thailand, and estimated the possible risk from consuming the shellfish. The mean concentrations of the metals Fe, Cu, Co, Pb, Mn, and Ni in sediment were 2711.94 +/- 1424.83, 0.47 +/- 0.37, 0.11 +/- 0.09, 1.32 +/- 1.48, 40.41 +/- 16.12, and 2.75 +/- 4.04 mu g/g, respectively, and are below the sediment quality guidelines. The enrichment factor (EF) and geoaccumulation index (Igeo) showed that the sediment conditions ranged from no pollution to moderate contamination. The mean concentrations in Strombus canarium had rank order Fe &gt; Mn &gt; Cu &gt; Ni &gt; Co &gt; Pb. The bioaccumulation (BSAF) suggests that the Strombus canarium accumulated Cu and Co the most. The estimated daily intakes of these metals through shellfish consumption were below the oral reference dose (Rfd) and the calculated target hazard quotients (THQ) were less than 1. The results from this study inform about the background levels of metals in the sediment and in Strombus canarium species at Libong Island. In addition, these data might help ensure that the consumption of shellfish in this area remains safe.</t>
  </si>
  <si>
    <t>[Kobkeatthawin, Thawanrat; Muenhor, Dudsadee; Pradit, Siriporn] Prince Songkla Univ, Fac Environm Management, Hat Yai 90110, Thailand; [Sirivithayapakorn, Sanya] Kasetsart Univ, Dept Environm Engn, Fac Engn, Bangkok 10900, Thailand; [Nitiratsuwan, Thongchai] Rajamangala Univ Technol Srivijaya, Fac Sci &amp; Fisheries Technol, Trang 92150, Thailand; [Muenhor, Dudsadee] Prince Songkla Univ, Hlth Impact Assessment Res Ctr, Hat Yai 90110, Thailand; [Muenhor, Dudsadee] Ctr Excellence Hazardous Subst Management HSM, Bangkok 10330, Thailand; [Loh, Pei-Sun] Zhejiang Univ, Inst Marine Geol &amp; Resources, Ocean Coll, Zhoushan 316021, Peoples R China; [Pradit, Siriporn] Prince Songkla Univ, Fac Environm Management, Coastal Oceanog &amp; Climate Change Res Ctr, Hat Yai 90110, Thailand</t>
  </si>
  <si>
    <t>Prince of Songkla University; Kasetsart University; Rajamangala University of Technology Srivijaya; Prince of Songkla University; Zhejiang University; Prince of Songkla University</t>
  </si>
  <si>
    <t>Pradit, S (corresponding author), Prince Songkla Univ, Fac Environm Management, Hat Yai 90110, Thailand.;Pradit, S (corresponding author), Prince Songkla Univ, Fac Environm Management, Coastal Oceanog &amp; Climate Change Res Ctr, Hat Yai 90110, Thailand.</t>
  </si>
  <si>
    <t>kunthidakob@gmail.com; Sanya.si@ku.ac.th; nitiratsuwan@gmail.com; dudsadee.m@psu.ac.th; psloh@zju.edu.cn; siriporn.pra@psu.ac.th</t>
  </si>
  <si>
    <t>pradit, siriporn/AAX-5274-2020; Kobkeatthawin, Thawanrat/E-6245-2010</t>
  </si>
  <si>
    <t>Loh, Pei Sun/0000-0003-0658-8418; pradit, siriporn/0000-0002-5108-2910</t>
  </si>
  <si>
    <t>Prince of Songkla University; Ministry of Higher Education, Science, Research, and Innovation, Thailand [REV64030]; Grand Challenges Thailand: Thai Ocean Waste Free, National Research Council of Thailand</t>
  </si>
  <si>
    <t>Prince of Songkla University; Ministry of Higher Education, Science, Research, and Innovation, Thailand; Grand Challenges Thailand: Thai Ocean Waste Free, National Research Council of Thailand</t>
  </si>
  <si>
    <t>This research was supported by Prince of Songkla University and the Ministry of Higher Education, Science, Research, and Innovation, Thailand, under the Reinventing University Project (grant number REV64030) and the Grand Challenges Thailand: Thai Ocean Waste Free, National Research Council of Thailand (sub project: marine litter and microplastic at Libong Island, Trang province).</t>
  </si>
  <si>
    <t>10.3390/jmse9090991</t>
  </si>
  <si>
    <t>UW1MZ</t>
  </si>
  <si>
    <t>WOS:000699930400001</t>
  </si>
  <si>
    <t>Manganaro, A; Pulicanò, G; Reale, A; Sanfilippo, M; Sarà, G</t>
  </si>
  <si>
    <t>Manganaro, Antonio; Pulicano, Giuseppa; Reale, Alessandra; Sanfilippo, Marilena; Sara, Gianluca</t>
  </si>
  <si>
    <t>Filtration pressure by bivalves affects the trophic conditions in Mediterranean shallow ecosystems</t>
  </si>
  <si>
    <t>bivalves; filtration; particulate organic matter; shallow waters; primary production; Mediterranean Sea</t>
  </si>
  <si>
    <t>PARTICULATE ORGANIC-MATTER; FOOD AVAILABILITY; MYTILUS-GALLOPROVINCIALIS; HEAVY-METALS; MUSSEL; LAKE; GANZIRRI; QUALITY; SEA; SEDIMENTARY</t>
  </si>
  <si>
    <t>Bivalve filtration may control the amount of seston in coastal waters, reducing local euthrophication and keeping degrading phenomena like hypoxia and anthropogenic pollution under control. Two Sicilian brackish-marine ponds (Ganzirri and Faro) present us with the opportunity to gain data on the effect of bivalve filtration on the amount of particulate organic matter in the field. The cultivation of bivalves has been carried out in both of the ponds since the early 1990s but stopped in Ganzirri in 1995. We tested whether the cessation of bivalve cultivation influenced features of organic matter available to suspension feeders (total suspended matter, its inorganic and organic fractions, chlorophyll a, carbohydrates, proteins and lipids). Since the bivalve cultivation was stopped in Ganzirri in 1995, chlorophyll a sharply and significantly increased compared to Faro, where, in contrast, they remained the same as in previous decades. Recent data shows that organic matter was significantly higher in Ganzirri than Faro and that differences were maintained throughout the study period. Using clearance rate data from the literature, we determined that bivalves can filter the available volume in Ganzirri by about 540 times and in Faro by 650 times per year. Thus bivalve farmed biomass (about 300 tonnes per year of fresh biomass) can exert a high filtration pressure to both (i) control the phytoplankton biomass and trophic dynamics in ponds, and (ii) reduce a possible role of natural-with-sea exchange and polluted waters coming from the hinterlands.</t>
  </si>
  <si>
    <t>[Sara, Gianluca] Univ Palermo, Dipartimento Ecol, I-90133 Palermo, Italy; [Manganaro, Antonio; Pulicano, Giuseppa; Reale, Alessandra; Sanfilippo, Marilena] Univ Messina, Dipartimento Biol Anim &amp; Ecol Marina, I-98100 Messina, Italy</t>
  </si>
  <si>
    <t>University of Palermo; University of Messina</t>
  </si>
  <si>
    <t>Sarà, G (corresponding author), Univ Palermo, Dipartimento Ecol, I-90133 Palermo, Italy.</t>
  </si>
  <si>
    <t>gsara@unipa.it</t>
  </si>
  <si>
    <t>Sara, Gianluca/AAG-7215-2020; Sanfilippo, Marilena/M-1247-2019; Manganaro, Antonio/A-3853-2012; Sanfilippo, Marilena/C-9710-2016</t>
  </si>
  <si>
    <t>Sanfilippo, Marilena/0000-0003-2327-5827; SARA', Gianluca/0000-0002-7658-5274</t>
  </si>
  <si>
    <t>PII 916675416</t>
  </si>
  <si>
    <t>10.1080/02757540903325120</t>
  </si>
  <si>
    <t>553GB</t>
  </si>
  <si>
    <t>WOS:000274353200007</t>
  </si>
  <si>
    <t>Garaud, M; Auffan, M; Devin, S; Felten, V; Pagnout, C; Pain-Devin, S; Proux, O; Rodius, F; Sohm, B; Giamberini, L</t>
  </si>
  <si>
    <t>Garaud, Mael; Auffan, Melanie; Devin, Simon; Felten, Vincent; Pagnout, Christophe; Pain-Devin, Sandrine; Proux, Olivier; Rodius, Francois; Sohm, Benedicte; Giamberini, Laure</t>
  </si>
  <si>
    <t>Integrated assessment of ceria nanoparticle impacts on the freshwater bivalve Dreissena polymorpha</t>
  </si>
  <si>
    <t>NANOTOXICOLOGY</t>
  </si>
  <si>
    <t>Ceria nanoparticle; discriminant analysis; Dreissena polymorpha; multibiomarker approach</t>
  </si>
  <si>
    <t>METAL-OXIDE NANOPARTICLES; CEO2 NANOPARTICLES; OXIDATIVE STRESS; SURFACE-CHARGE; MUSSEL; NANOMATERIALS; ACCUMULATION; RESPONSES; EXPOSURE; BIOTRANSFORMATION</t>
  </si>
  <si>
    <t>Exposures in realistic environmental conditions are essential to properly assess the effects of emerging pollutants on ecosystems. While ceria nanoparticles (nCeO(2)) production and use are expanding quickly, ecotoxicity studies remain very scarce. In this study, we set up experimental systems reproducing a simplified ecosystem to assess the effects of a chronic exposure to citrate-coated nCeO(2) (ci-CeO2) and bare nCeO(2) (ba-CeO2) on the freshwater mussel Dreissena polymorpha using an integrated multibiomarker approach. The fate of nanoparticles was tightly monitored to properly characterize the exposure. Organisms were exposed for 3 weeks and sampled weekly for biomarker analysis. Mussel filter-feeding activity resulted in significant removal of nCeO(2) from the water column. At the same time, bioaccumulation was low, reaching its maximum in the first week. Mussels bioaccumulated ci-CeO2 three times more than ba-CeO2, probably due to coating-related differences in their behavior in the water column and in organisms. Meanwhile, biomarker results were integrated and synthesized using linear discriminant analysis, highlighting that pi-glutathione-S-transferase (piGST) mRNA, catalase (CAT) activity and lysosomal system were the most impacted of the seven biomarkers singled out by the discriminant analysis. These biomarker responses indicated that mussels exposed to both forms of nCeO(2) were stressed and differentiate from the controls. Moreover, they responded differently to ba-CeO2 and ci-CeO2 exposure. However, biomarkers used in the experimental conditions of this study did not indicate severe nCeO(2) toxicity on mussels, as cellular damage biomarkers and mussel filtering activity were left unimpaired. However, further studies are needed to investigate if the slight perturbations observed could lead to populational impacts in the long term.</t>
  </si>
  <si>
    <t>[Garaud, Mael; Devin, Simon; Felten, Vincent; Pagnout, Christophe; Pain-Devin, Sandrine; Rodius, Francois; Sohm, Benedicte; Giamberini, Laure] Univ Lorraine, CNRS UMR 7360, LIEC, Metz, France; [Garaud, Mael; Auffan, Melanie; Pagnout, Christophe; Proux, Olivier; Giamberini, Laure] Int Consortium Environm Implicat Nanotechnol iCEI, Aix En Provence, France; [Auffan, Melanie] Aix Marseille Univ, CNRS, Marseille, France; [Proux, Olivier] Univ Grenoble 1, CNRS, UMS 832, Observ Sci Univers Grenoble, Grenoble, France</t>
  </si>
  <si>
    <t>Universite de Lorraine; Centre National de la Recherche Scientifique (CNRS); CNRS - National Institute for Earth Sciences &amp; Astronomy (INSU); Aix-Marseille Universite; Centre National de la Recherche Scientifique (CNRS); Aix-Marseille Universite; Centre National de la Recherche Scientifique (CNRS); CNRS - National Institute for Earth Sciences &amp; Astronomy (INSU); Universite Gustave-Eiffel; Laboratoire Central des Ponts et Chaussees (LCPC); Communaute Universite Grenoble Alpes; Institut National Polytechnique de Grenoble; Universite Grenoble Alpes (UGA); Institut de Recherche pour le Developpement (IRD); Universite Savoie Mont Blanc</t>
  </si>
  <si>
    <t>Giamberini, L (corresponding author), Univ Lorraine, CNRS UMR 7360, LIEC, Metz, France.</t>
  </si>
  <si>
    <t>BM30, Beamline/G-9313-2012; auffan, melanie/B-7022-2009; SOHM, Bénédicte/C-1339-2012; Proux, Olivier/F-7344-2012</t>
  </si>
  <si>
    <t>, Pagnout/0000-0003-2672-910X; Devin, Simon/0000-0003-4431-4987; Proux, Olivier/0000-0003-0385-1815; FELTEN, Vincent/0000-0003-2601-7225; SOHM, Benedicte/0000-0002-7204-5414</t>
  </si>
  <si>
    <t>French National Agency [ANR-10-NANO-0006]; CNRS; Agence Nationale de la Recherche (ANR) [ANR-10-NANO-0006] Funding Source: Agence Nationale de la Recherche (ANR)</t>
  </si>
  <si>
    <t>French National Agency(Agence Nationale de la Recherche (ANR)); CNRS(Centre National de la Recherche Scientifique (CNRS)); Agence Nationale de la Recherche (ANR)(Agence Nationale de la Recherche (ANR))</t>
  </si>
  <si>
    <t>Financial supports were provided by the French National Agency (ANR-10-NANO-0006/MESONNET project) for M. Garaud Ph.D. salary and running costs and CPER Lorraine-ZAM (Contrat Projet Etat Region Lorraine, Zone Atelier Moselle). It is not necessary for University, CNRS or ANR to review, comment or approve their manuscript before publication. The authors gratefully acknowledge CNRS for funding the iCEINT International Consortium for the Environmental Implications of NanoTechnology. We did not receive writing assistance; Sharon Kruger just reviewed the English version of the manuscript.</t>
  </si>
  <si>
    <t>1743-5390</t>
  </si>
  <si>
    <t>1743-5404</t>
  </si>
  <si>
    <t>Nanotoxicology</t>
  </si>
  <si>
    <t>10.3109/17435390.2016.1146363</t>
  </si>
  <si>
    <t>Nanoscience &amp; Nanotechnology; Toxicology</t>
  </si>
  <si>
    <t>Science &amp; Technology - Other Topics; Toxicology</t>
  </si>
  <si>
    <t>DQ5MF</t>
  </si>
  <si>
    <t>WOS:000379248800010</t>
  </si>
  <si>
    <t>Lavado, R; Janer, G; Porte, C</t>
  </si>
  <si>
    <t>Lavado, Ramon; Janer, Gemma; Porte, Cinta</t>
  </si>
  <si>
    <t>Steroid levels and steroid metabolism in the Mussel Mytilus edulis:: The modulating effect of dispersed crude oil and alkylphenols</t>
  </si>
  <si>
    <t>Mytilus edulis; produced water; endocrine disruption; P450-aromatase; estradiol sulfation</t>
  </si>
  <si>
    <t>IN-VITRO; ENVIRONMENTAL ESTROGENS; ENDOCRINE DISRUPTION; ENDOGENOUS STEROIDS; BISPHENOL-A; TESTOSTERONE; EXPOSURE; OYSTER; BIOMARKERS; RESPONSES</t>
  </si>
  <si>
    <t>Significant amounts of oil and alkylphenols are released into the sea by petroleum installations as a result of discharges of produced water. Some of these pollutants elicit estrogenic responses in fish, but their effects on the endocrine system of molluscs are largely unknown. In this study, mussels Mytilus edulis were exposed to North Sea oil (0) and the mixture of North Sea oil + alkylphenols (OAP), and the effects on tissue steroid levels and steroid metabolism (P450-aromatase and estradiol-sulfotransferase)were monitored. Levels of free testosterone and free estradiol were much higher in gonad tissue than in peripheral tissue, whereas esterified steroids (released after saponification) were of the same order of magnitude in both tissues. Levels of free steroids determined in gonads were not affected by exposure, but esterified steroids significantly increased in OAP exposed mussels (up to 2.4-fold). The sulfation of estradiol was investigated as a conjugation pathway, and increased activities were observed in digestive gland cytosol of both 0 and OAP exposure groups (up to 2.8-fold). Additionally, increased P450-aromatase activity was determined in OAP exposed mussels (up to three-fold, both in gonad and digestive gland), but not in the 0 group. Altogether, the results indicate that North Sea oil leads to increased sulfation of estradiol, and that in combination with alkylphenols, additional alterations are observed: increased P450-aromatase, and increased levels of esterified-steroids in gonads. Nonetheless, mussels are able to maintain gonad concentrations of free steroids unaltered, possibly via homeostatic mechanisms such as the conjugation with fatty acid or the formation of sulphate conjugates. (c) 2006 Elsevier B.V. All rights reserved.</t>
  </si>
  <si>
    <t>CSIC, Dept Environm Chem, IIQAB, ES-08034 Barcelona, Spain</t>
  </si>
  <si>
    <t>Consejo Superior de Investigaciones Cientificas (CSIC)</t>
  </si>
  <si>
    <t>Porte, C (corresponding author), CSIC, Dept Environm Chem, IIQAB, C-Jordi Girona 18, ES-08034 Barcelona, Spain.</t>
  </si>
  <si>
    <t>cpvqam@cid.csic.es</t>
  </si>
  <si>
    <t>Janer, Gemma/A-8613-2018; Porte, Cinta/L-3191-2014; Lavado, Ramon/D-3544-2011</t>
  </si>
  <si>
    <t>Porte, Cinta/0000-0002-3940-6409; Lavado, Ramon/0000-0002-2774-5104; Janer, Gemma/0000-0001-6229-425X</t>
  </si>
  <si>
    <t>S65</t>
  </si>
  <si>
    <t>S72</t>
  </si>
  <si>
    <t>10.1016/j.aquatox.2006.02.018</t>
  </si>
  <si>
    <t>WOS:000238130600009</t>
  </si>
  <si>
    <t>Szefer, P; Ali, AA; Ba-Haroon, AA; Rajeh, AA; Geldon, J; Nabrzyski, M</t>
  </si>
  <si>
    <t>Distribution and relationships of selected trace metals in molluscs and associated sediments from the Gulf of Aden, Yemen</t>
  </si>
  <si>
    <t>trace metals; molluscs; associated sediment; Gulf of Aden</t>
  </si>
  <si>
    <t>SOUTHERN BALTIC SEA; BIVALVE SCROBICULARIA-PLANA; MYTILUS-EDULIS-L; HEAVY-METALS; SURFICIAL SEDIMENTS; SOFT-TISSUE; CHEMICAL-COMPOSITION; KYUSHU ISLAND; EAST-COAST; PUCK BAY</t>
  </si>
  <si>
    <t>Concentrations of Cd, Pb, Zn, Cu, Ni, Co, Cr, Mn and Fe in the soft tissue of Turbo coronatus, Acanthopleura haddoni, Ostrea cucullata and Pitar sp., as well as in associated surface sediments (bulk and bioavailable metal concentrations) from the Gulf of Aden, Yemen, were determined by atomic absorption spectrophotometry method. Large differences between size-classes of molluscs in metal concentrations were recorded. Significant spatial differences in metal concentrations in both the soft tissue of the molluscs and associated sediments studied were mostly identified. Statistically significant correlations (p&lt;0.01) between concentrations of selected metals were observed. A slope of the linear regression is significantly higher than unity for Fe (9.91) and Cd (3.45) in A. haddoni and for Ni (4.15) in T. coronatus, suggesting that the bioavailability of these metals is disproportionally increased with a degree of enrichment of the sediments in Fe, Cd and Ni, respectively. A slope constant approximating to unity (1.14) for Cu in A. haddoni relative to its concentration in sediment extract implies that bioavailability of this metal proportionally increased with growing concentrations of its labile forms in the associated sediment. The degree of contamination of Gulf of Aden waters by the metals studied is discussed and the potential ability of molluscs, especially A. haddoni and T. coronatus, as biomonitors of metallic pollutants is postulated. (C) 1999 Elsevier Science Ltd. All rights reserved.</t>
  </si>
  <si>
    <t>Med Univ Gdansk, Dept Analyt Chem, PL-80416 Gdansk, Poland; Univ Aden, Fac Sci Arts &amp; Educ, Khormaksar, Aden, Yemen; Marine Sci &amp; Resources Res Ctr, Khormaksar, Aden, Yemen; Med Univ Gdansk, Dept Food Chem, PL-80416 Gdansk, Poland</t>
  </si>
  <si>
    <t>Fahrenheit Universities; Medical University Gdansk; Fahrenheit Universities; Medical University Gdansk</t>
  </si>
  <si>
    <t>10.1016/S0269-7491(99)00108-6</t>
  </si>
  <si>
    <t>221TC</t>
  </si>
  <si>
    <t>WOS:000081741500006</t>
  </si>
  <si>
    <t>Truchet, DM; Noceti, MB; Villagrán, DM; Orazi, MM; Medrano, MC; Buzzi, NS</t>
  </si>
  <si>
    <t>Truchet, Daniela M.; Belen Noceti, M.; Villagran, Diana M.; Orazi, Melina M.; Celeste Medrano, M.; Buzzi, Natalia S.</t>
  </si>
  <si>
    <t>Fishers' Ecological Knowledge about Marine Pollution: What Can FEK Contribute to Ecological and Conservation Studies of a Southwestern Atlantic Estuary?</t>
  </si>
  <si>
    <t>JOURNAL OF ETHNOBIOLOGY</t>
  </si>
  <si>
    <t>small-scale articanal fisheries; fishers' ecological knowledge; scientific ecological knowledge; estuarine and coastal pollution</t>
  </si>
  <si>
    <t>BAHIA-BLANCA ESTUARY; HEAVY-METALS; BRACHIDONTES-RODRIGUEZII; ARTISANAL FISHERIES; SEDIMENTS; BIOACCUMULATION; MICROPLASTICS; ACCUMULATION; ECOSYSTEMS; MUSSELS</t>
  </si>
  <si>
    <t>The growth of human populations and industrial activities in the last decades have been the major cause of ecosystem decline, especially due to the inputs of several pollutants in the environment. Estuaries are one of the main concerns in marine governance because they receive potentially toxic substances from many sources that end up in the sea. Despite this, marine policies that aim to protect marine areas have dismissed local fishers' knowledge, although fishers have ecological knowledge that endorses and complements scientific research. Therefore, the aim of this study was to identify sources and indicators of pollution in the Bahia Blanca Estuary (BBE) according to the fishers and to contrast this knowledge with scientific studies. We conducted 20 interviews with the fishers of the BBE, and the results showed that all of them think the estuary is polluted and that there have been changes in the biomass of catches in the past. Most of them think that industries of the petrochemical complex are the major cause of pollution (57%), while marine organisms were the most mentioned items as indicators of pollution (59%), especially the commercial species (41%). We found interesting parallels between fishers' ecological knowledge (FEK) and scientific data. thus, we conclude that FEK is an invaluable tool that provides data that could help to co-protect and co-manage this estuary and the services it provides.</t>
  </si>
  <si>
    <t>[Truchet, Daniela M.; Villagran, Diana M.; Orazi, Melina M.; Buzzi, Natalia S.] UNS, CONICET Bahia Blanca, IADO, Area Oceanog Quim, Camino La Carrindanga Km 7,Edificio E1,CCV 804, RA-8000 Bahia Blanca, Buenos Aires, Argentina; [Truchet, Daniela M.; Orazi, Melina M.; Buzzi, Natalia S.] UNS, Dept Biol Bioquim &amp; Farm, San Juan, Argentina; [Belen Noceti, M.] UNS, CONICET, IIESS, Bahia Blanca, Buenos Aires, Argentina; [Belen Noceti, M.] UNS, Dept Econ, San Andres 800,Campus Univ, Bahia Blanca, Buenos Aires, Argentina; [Celeste Medrano, M.] Univ Buenos Aires, FFyL BA CONICET, Fac Filosofia &amp; Letras, Inst Ciencias Antropol,Secc Etnol &amp; Etnog, Buenos Aires, DF, Argentina</t>
  </si>
  <si>
    <t>National University of the South; National University of the South; Consejo Nacional de Investigaciones Cientificas y Tecnicas (CONICET); National University of the South; University of Buenos Aires</t>
  </si>
  <si>
    <t>Truchet, DM (corresponding author), UNS, CONICET Bahia Blanca, IADO, Area Oceanog Quim, Camino La Carrindanga Km 7,Edificio E1,CCV 804, RA-8000 Bahia Blanca, Buenos Aires, Argentina.;Truchet, DM (corresponding author), UNS, Dept Biol Bioquim &amp; Farm, San Juan, Argentina.</t>
  </si>
  <si>
    <t>dmtruchet@iado-conicet.gob.ar</t>
  </si>
  <si>
    <t>Medrano, Celeste/AAH-3278-2020</t>
  </si>
  <si>
    <t>Buzzi, Natalia Sol/0000-0002-5179-0634; Truchet, Daniela Maria/0000-0002-7351-186X</t>
  </si>
  <si>
    <t>project Maritimidad y patrimonio cultural de pesca-dores artesanales del sudoeste bonaerense - Secretaria de Politicas Universitarias (Ministerio de Educacion)</t>
  </si>
  <si>
    <t>This research was funded by the project Maritimidad y patrimonio cultural de pesca-dores artesanales del sudoeste bonaerense granted by Secretaria de Politicas Universitarias (Ministerio de Educacion). The authors are most grateful to all the fishers of the Bahia Blanca Estuary and their families. Special thanks to Dr. Vanesa Negrin, and students Barbara Gutierrez and M. Florencia Schwab for their help with the interviews, Dr. Walter Melo (GIS specialist) for the map elaboration, professional photographer Rocio Truchet for the fishers' photos, and Rosemary Scoffield for revising the language. We thank the three anonymous reviewers and the editors for their final comments and suggestions that improved the final manuscript. Finally, we thank all the staff of Instituto de Investigaciones Economicas y Sociales del Sur (IIESS, CONICET-UNS), Instituto de Ciencias Antropologicas (FFyL-UBA, CONICET), and Instituto Argentino de Oceanografia (IADO, CONICET-UNS), and give support to all Argentinian scientists and students who are still struggling to continue with their scientific careers in our precarious economic situation.</t>
  </si>
  <si>
    <t>SOC ETHNOBIOLOGY</t>
  </si>
  <si>
    <t>DENTON</t>
  </si>
  <si>
    <t>UNIV NORTH TEXAS, DEPT GEOGRAPHY, 1155 UNION CIRCLE 305279, DENTON, TX 76203-5017 USA</t>
  </si>
  <si>
    <t>0278-0771</t>
  </si>
  <si>
    <t>2162-4496</t>
  </si>
  <si>
    <t>J ETHNOBIOL</t>
  </si>
  <si>
    <t>J. Ethnobiol.</t>
  </si>
  <si>
    <t>10.2993/0278-0771-39.4.584</t>
  </si>
  <si>
    <t>Anthropology; Biology</t>
  </si>
  <si>
    <t>Anthropology; Life Sciences &amp; Biomedicine - Other Topics</t>
  </si>
  <si>
    <t>JX8WA</t>
  </si>
  <si>
    <t>WOS:000504008000006</t>
  </si>
  <si>
    <t>Kolenc, Z; Virsek, MK; Klancnik, A; Janecko, N</t>
  </si>
  <si>
    <t>Kolenc, Ziva; Virsek, Manca Kovac; Klancnik, Anja; Janecko, Nicol</t>
  </si>
  <si>
    <t>Microbial communities on microplastics from seawater and mussels: Insights from the northern Adriatic Sea</t>
  </si>
  <si>
    <t>Microplastic; Marine ecosystems; Pseudomonas; Serratia; Campylobacter; Microbial diversity</t>
  </si>
  <si>
    <t>BIOFILMS</t>
  </si>
  <si>
    <t>Microplastics, synthetic solid particles of different sizes (&lt; 5 mm), pose a major challenge to marine ecosystems. Introducing microplastics into the marine environment leads to the formation of complex microbial communities, a topic of growing interest in environmental research. For this study, we selected an area in the northern Adriatic Sea, less affected by human activities, to understand how pristine environmental conditions influence microbial colonization of microplastics. Samples of coastal seawater and Mediterranean mussels (Mytilus galloprovincialis) were collected in a mussel farm near Debeli rtic of the Slovenian coast. Microplastics were isolated, visually and chemically analyzed and DNA was extracted for metagenomics. In the marine water column, 12.7 microplastics per m(3) water column and 0.58 microplastics per individual mussel were found. Sufficient DNA was available to analyze six particles, five originating from seawater, and one from a mussel. This was the first-ever sequenced microplastic particle from a mussel. Genera of Pseudomonas and Serratia were identified in all samples. In one of the samples, the most abundant was a marine genus Pseudoalteromonas, while in another sample Campylobacter was present with &gt;30 % abundance. The microbiomes of the mussel- and seawater-isolated particles were similar, suggesting a common microbial colonization pattern, which may have implications for the transfer of microplastic-associated microbes, including potential pathogens, through the food web to the consumers. Microplastic pollution is a complex issue requiring further research, especially regarding microbial biofilms, pathogen colonization and the potential of pathogen transmission via microplastic particles. Our findings enhance the understanding of microplastic pollution in the Adriatic Sea and stress the necessity for comprehensive strategies to mitigate the impact on marine ecosystems.</t>
  </si>
  <si>
    <t>[Kolenc, Ziva; Klancnik, Anja] Univ Ljubljana, Biotech Fac, Jamnikarjeva 101, Ljubljana 1000, Slovenia; [Virsek, Manca Kovac] Inst Water Republ Slovenia, Einspielerjeva Ul 6, Ljubljana 1000, Slovenia; [Virsek, Manca Kovac] Geol Survey Slovenia, Dimiceva Ul 14, Ljubljana 1000, Slovenia; [Janecko, Nicol] Quadram Inst Biosci, Rosalind Franklin Rd,Norwich Res Pk, Norwich NR4 7UQ, England</t>
  </si>
  <si>
    <t>University of Ljubljana; UK Research &amp; Innovation (UKRI); Biotechnology and Biological Sciences Research Council (BBSRC); Quadram Institute</t>
  </si>
  <si>
    <t>Klancnik, A (corresponding author), Univ Ljubljana, Biotech Fac, Jamnikarjeva 101, Ljubljana 1000, Slovenia.</t>
  </si>
  <si>
    <t>anja.klancnik@bf.uni-lj.si</t>
  </si>
  <si>
    <t>Klančnik, Anja/I-4571-2012; Kolenc, Živa/HKF-7149-2023</t>
  </si>
  <si>
    <t>Slovenian Research and Innovation Agency [J4-4548, P4-0116]; Ministry of Agriculture, Forestry and Food and Slovenian Research and Innovation Agency [V1-2205]; Slovenian Ministry of Natural Resources and Spatial Planning; Biotechnology and Biological Sciences Research Council (BBSRC); BBSRC Institute Strategic Programme Microbes and Food Safety [BB/X011011/1, BBS/E/F/000PR13634, BBS/E/F/000PR13635, BBS/E/F/000PR13636]</t>
  </si>
  <si>
    <t>Slovenian Research and Innovation Agency; Ministry of Agriculture, Forestry and Food and Slovenian Research and Innovation Agency; Slovenian Ministry of Natural Resources and Spatial Planning; Biotechnology and Biological Sciences Research Council (BBSRC)(UK Research &amp; Innovation (UKRI)Biotechnology and Biological Sciences Research Council (BBSRC)); BBSRC Institute Strategic Programme Microbes and Food Safety</t>
  </si>
  <si>
    <t>This work was supported by Slovenian Research and Innovation Agency grant numbers J4-4548 (Microplastics as a vector of pathogen contamination, infection and resistance) , P4-0116 (Microbiology and biotechnology of food and environment) , by Ministry of Agriculture, Forestry and Food and Slovenian Research and Innovation Agency grant number V1-2205 (Impact of environmental stress on mussel health and recruitment, and improvements in farming practises due to micro-plastics and climate changes financed) and by Slovenian Ministry of Natural Resources and Spatial Planning. The author (s) gratefully acknowledge the support of the Biotechnology and Biological Sciences Research Council (BBSRC) ; this research was funded by the BBSRC Institute Strategic Programme Microbes and Food Safety BB/X011011/1 and its constituent project BBS/E/F/000PR13634 (Theme 1, Microbial threats from foods in established and evolving food systems) , BBS/E/F/000PR13635 (Theme 2, Microbial Survival in established and evolving food systems) , BBS/E/F/000PR13636 (Theme 3, Flexible capabilities to reduce food safety threats and respond to national needs) .</t>
  </si>
  <si>
    <t>10.1016/j.scitotenv.2024.175130</t>
  </si>
  <si>
    <t>C4T4N</t>
  </si>
  <si>
    <t>WOS:001289299900001</t>
  </si>
  <si>
    <t>Thomsen, ES; Almeda, R; Nielsen, TG</t>
  </si>
  <si>
    <t>Thomsen, Emilie Skrubbeltrang; Almeda, Rodrigo; Nielsen, Torkel Gissel</t>
  </si>
  <si>
    <t>Tire particles and their leachates reduce the filtration rate of the mussel Mytilus edulis</t>
  </si>
  <si>
    <t>Tire wear particles; Leachates; Mytilus edulis; Filtration rate</t>
  </si>
  <si>
    <t>FEEDING-BEHAVIOR; WEAR PARTICLES; ENVIRONMENT; INGESTION; PREDATION; TOXICITY; SYSTEM; SIZE</t>
  </si>
  <si>
    <t>Microplastics (MPs) are found in aquatic environments all over the world. Among MPs, tire wear particles (TWPs) are a major contributor to microplastic pollution, and their effects on marine ecosystems are of emerging concern. The blue mussel (Mytilus edulis) is a keystone species in coastal ecosystems with a high risk of exposure to microplastic pollution as the microplastics often overlap in size with the plankton consumed by mussels. In the present study, we investigated the effect of tire particles and their leachates on the filtration rates of M. edulis after short (72 h) and long-term (3 weeks) exposure. Acute exposure to leachates alone causes a significant decrease in the filtration rates of M. edulis with a low observed effect concentration (LOEC) of 1.25 g L-1 and a median effect concentration (EC50) = 3 g L-1. At a concentration of 1.25 g L-1, the filtration rate was reduced compared to the control on average by 38 % when mussels were exposed to either TWP or leachates for 72 h. Similarly, mussels exposed to tire particles or their leachates for 3 weeks showed a 46% reduction in filtration rates, compared to the control group. A non-significant difference in filtration rate decrease was found between leachates alone or TWP, which indicates that leachates are the main responsible for the observed toxicity. Our findings indicate that elevated levels of TWP pollution can cause an adverse impact on M. edulis. This could disrupt the natural grazing pressure exerted by M. edulis on phytoplankton, potentially leading to an increased likelihood of algal blooms and hypoxia occurrence in coastal ecosystems.</t>
  </si>
  <si>
    <t>[Thomsen, Emilie Skrubbeltrang; Nielsen, Torkel Gissel] DTU AQUA, Natl Inst Aquat Resources DTU AQUA, Sect Oceans &amp; Arctic, DK-2800 Lyngby, Denmark; [Almeda, Rodrigo] Univ Las Palmas Gran Canaria, EOMAR, IU ECOAQUA, Campus Univ Tafira, Las Palmas Gran Canaria 35017, Spain; [Thomsen, Emilie Skrubbeltrang] DTU AQUA, Bldg 202, DK-2800 Lyngby, Denmark</t>
  </si>
  <si>
    <t>Technical University of Denmark; Universidad de Las Palmas de Gran Canaria; Technical University of Denmark</t>
  </si>
  <si>
    <t>Thomsen, ES (corresponding author), DTU AQUA, Bldg 202, DK-2800 Lyngby, Denmark.</t>
  </si>
  <si>
    <t>emiliesthomsen@gmail.com</t>
  </si>
  <si>
    <t>ALMEDA, RODRIGO/R-1189-2016; Nielsen, Torkel Gissel/HLQ-4981-2023</t>
  </si>
  <si>
    <t>Nielsen, Torkel Gissel/0000-0003-1057-158X</t>
  </si>
  <si>
    <t>JPI Oceans RESPONSE project through the Innovation Fund -Denmark; ULPGC- Science, and Technology Park Foundation [C2020/65]; Spanish Ministry of Science and Innovation [RYC2018-025770-I, PID2020- 120479GA-I00]</t>
  </si>
  <si>
    <t>JPI Oceans RESPONSE project through the Innovation Fund -Denmark; ULPGC- Science, and Technology Park Foundation; Spanish Ministry of Science and Innovation(Spanish Government)</t>
  </si>
  <si>
    <t>I would like to thank R. R. Torres and E. Bournaka for their help and time in the laboratory. Thanks to J. Melbye for the help, when I needed equipment for taking care of the mussel and for feeding the mussels when I was not using them for experiments. I would also like to thank H. Hansen for helping me prepare the car tires for use in my experiments. This study was funded by the JPI Oceans RESPONSE project through the Innovation Fund -Denmark, the ULPGC- Science, and Technology Park Foundation (subcontract DTU-ULPGC, C2020/65 to RA) , the Spanish Ministry of Science and Innovation through a Ramon y Cajal Program grant (RYC2018-025770-I) and the MICROPLEACH project (PID2020- 120479GA-I00) to RA.</t>
  </si>
  <si>
    <t>10.1016/j.marenvres.2024.106348</t>
  </si>
  <si>
    <t>ID6T8</t>
  </si>
  <si>
    <t>WOS:001164434800001</t>
  </si>
  <si>
    <t>BRANNON, JM; HOEPPEL, RE; GUNNISON, D</t>
  </si>
  <si>
    <t>CAPPING CONTAMINATED DREDGED MATERIAL</t>
  </si>
  <si>
    <t>The ability of various uncontaminated cap materials of varying thicknesses to isolate contaminated dredged material from the water column was asssessed in large (250 I.) reactor units using chemcial and microbial tracers. Heavy metals, polychlorinated biphenyls, polycyclic aromatic hydrocarbons, and bacterial spores contained in the underlying contaminated dredged material were monitored in the overlying water column, clams (Rangia cuneata) suspended in the water, and burrowing polychaetes (Nereis virens). Tissue analysis of Rangia indicated that none of the 5 cm cap thicknesses tested was totally effective in preventing contaminant transfer to biota. However, cap materials consisting predomininatly of clay and silt appeared more effective than sand in preventing contaminant transfer to biota. Rangia did not show elevated tissue concentrations of chemicals when contaminated sediment was covered with a 50 cm cap. However, chemical and microbial results indicated that Nereis breached both the 5 cm and 50 cm thicknesses of all cap materials tested.</t>
  </si>
  <si>
    <t>USN, CIVIL ENGN LAB, DIV ENVIRONM PROTECT, PORT HUENEME, CA 93043 USA</t>
  </si>
  <si>
    <t>United States Department of Defense; United States Navy</t>
  </si>
  <si>
    <t>USA, ENGINEER WATERWAYS EXPT STN, POB 631, VICKSBURG, MS 39180 USA.</t>
  </si>
  <si>
    <t>10.1016/0025-326X(87)90242-6</t>
  </si>
  <si>
    <t>WOS:A1987H523600006</t>
  </si>
  <si>
    <t>Bouiba, SY; Bendimerad, ME; Rouane-Hacene, O; Boualga, A; Richir, J</t>
  </si>
  <si>
    <t>Bouiba, Samira Yahiaoui; Bendimerad, Mohammed El Amine; Rouane-Hacene, Omar; Boualga, Ahmed; Richir, Jonathan</t>
  </si>
  <si>
    <t>Metallic trace element dynamics in Paracentrotus lividus from Algeria: Environmental large-scale survey and human health risk assessment</t>
  </si>
  <si>
    <t>MUSSELS MYTILUS-GALLOPROVINCIALIS; EDIBLE SEA-URCHIN; TARGET HAZARD QUOTIENTS; SOUTHERN ADRIATIC SEA; HEAVY-METALS; REPRODUCTIVE-CYCLE; POSIDONIA-OCEANICA; HUMAN EXPOSURE; MARINE FISH; SEAWATER POLLUTION</t>
  </si>
  <si>
    <t>This paper evaluates the dynamics of Metallic Trace Elements (MTEs; Cd, Pb, Fe, Cu, Zn, Ni and Co) in the gonads of the sea urchin Paracentrotus lividus collected in five sites: four contaminated and one reference, along the Western coast of Algeria, recontextualizes this contamination within a wider geographical distribution area throughout 83 sites among the Mediterranean Sea and Atlantic and focuses on the potential risk of their consumption on human health for the first time in Algeria. The trace element pollution index places Algeria, and generally the North African coasts, as the region most contaminated by MTEs. The geographical variability in metal contamination levels is greater in the Mediterranean Sea than in the Atlantic. The health risk assessment indicates that Pb exceeds the maximum limit set by the Commission Regulation (EC) No 1881/2006 at two of the four Algerian contaminated sites.</t>
  </si>
  <si>
    <t>[Bouiba, Samira Yahiaoui; Bendimerad, Mohammed El Amine] Abou Bekr Belkaid Univ, Fac Nat &amp; Life Sci, Dept Ecol &amp; Environm, Lab Valorizat Human Act Protect Environm &amp; Applica, Tilimsen, Algeria; [Rouane-Hacene, Omar] Univ Oran 1 Ahmed Ben Bella, Dept Biol, Oran, Algeria; [Boualga, Ahmed] Univ Oran 1 Ahmed Ben Bella, Fac Nat &amp; Life Sci, Lab Clin &amp; Metab Nutr, Oran, Algeria; [Richir, Jonathan] SciSca SRL, B-5330 Maillen, Belgium; [Richir, Jonathan] Stn Rech Sous marines &amp; Oceanog, BP33, F-20260 Calvi, France</t>
  </si>
  <si>
    <t>Bouiba, SY (corresponding author), Abou Bekr Belkaid Univ, Fac Nat &amp; Life Sci, Dept Ecol &amp; Environm, Lab Valorizat Human Act Protect Environm &amp; Applica, Tilimsen, Algeria.</t>
  </si>
  <si>
    <t>hedli_habiba@yahoo.com; boualga.ahmed@univ-oran1.dz</t>
  </si>
  <si>
    <t>MAR 10</t>
  </si>
  <si>
    <t>10.1016/j.scitotenv.2023.169492</t>
  </si>
  <si>
    <t>JG1E3</t>
  </si>
  <si>
    <t>WOS:001171914200001</t>
  </si>
  <si>
    <t>Solaun, O; Rodríguez, JG; Borja, A; Larreta, J; Legorburu, I; Valencia, V</t>
  </si>
  <si>
    <t>Solaun, O.; Rodriguez, J. G.; Borja, A.; Larreta, J.; Legorburu, I.; Valencia, V.</t>
  </si>
  <si>
    <t>Source characterisation and mid-term spatial and temporal distribution of polycyclic aromatic hydrocarbons in molluscs along the Basque coast (northern Spain)</t>
  </si>
  <si>
    <t>mussel; oyster; polycyclic aromatic hydrocarbons (PAH); pollution sources; Basque Country</t>
  </si>
  <si>
    <t>MUSSELS MYTILUS-EDULIS; PRESTIGE OIL-SPILL; FRASER-RIVER BASIN; SYDNEY TAR PONDS; HEAVY-METALS; BLUE MUSSELS; PEROXISOME PROLIFERATION; METHODOLOGICAL APPROACH; ANTIOXIDANT ENZYMES; MEDITERRANEAN SEA</t>
  </si>
  <si>
    <t>The variability of polycyclic aromatic hydrocarbons (PAH) measured in the soft tissues of Mediterranean mussels (Mytilus galloprovincialis) and Pacific oysters (Crassostrea gigas) are investigated. Samples were collected from estuarine waters within the Basque Country (Bay of Biscay), between 2003 and 2011. PAH bioaccumulation showed some seasonality and significant differences were observed between cold (autumn-winter) and warm (spring-summer) seasons. Sites located within the ports of Bilbao and Pasaia showed the highest PAH concentrations in molluscs, and the highest percentages of samples above the established Environmental Quality Standards and Environmental Assessment Criteria. Probably due to human activities carried out in the area, no clear trends were observed, between 2003 and 2011, for the autumn data. Since the Basque coast is an area with high population density and industrial activity, the congener profiles (which reveal the predominance of tetra-aromatics) and the diagnostic ratios identified urban/industrial combustion processes as the main PAH sources. However, natural and petrogenic sources cannot be disregarded.</t>
  </si>
  <si>
    <t>[Solaun, O.; Rodriguez, J. G.; Borja, A.; Larreta, J.; Legorburu, I.; Valencia, V.] AZTI Tecnalia Fdn, Div Marine Res, Herrera Kaia 20110, Pasaia, Spain</t>
  </si>
  <si>
    <t>Solaun, O (corresponding author), AZTI Tecnalia Fdn, Div Marine Res, Herrera Kaia 20110, Pasaia, Spain.</t>
  </si>
  <si>
    <t>Legorburu, Irati/KGM-0687-2024; Borja, Angel/I-3665-2018; Rodriguez, J. German/B-8232-2009</t>
  </si>
  <si>
    <t>Borja, Angel/0000-0003-1601-2025; Larreta, Joana/0000-0001-8276-9232; Solaun, Oihana/0000-0001-9524-4101; Rodriguez, J. German/0000-0003-1565-4851; Legorburu, Irati/0000-0001-9595-6563</t>
  </si>
  <si>
    <t>10.1080/02757540.2015.1051041</t>
  </si>
  <si>
    <t>WOS:000359746800003</t>
  </si>
  <si>
    <t>Pérez, AF; Ojeda, M; Rimondino, GN; Chiesa, IL; Di Mauro, R; Boy, CC; Calcagno, JA</t>
  </si>
  <si>
    <t>Perez, Analia F.; Ojeda, Mariel; Rimondino, Guido N.; Chiesa, Ignacio L.; Di Mauro, Rosana; Boy, Claudia C.; Calcagno, Javier A.</t>
  </si>
  <si>
    <t>First report of microplastics presence in the mussel Mytilus chilensis from Ushuaia Bay (Beagle Channel, Tierra del Fuego, Argentina)</t>
  </si>
  <si>
    <t>Microplastics; Marine pollution; Spectroscopic analyses; Mytilus chilensis</t>
  </si>
  <si>
    <t>MARINE-ENVIRONMENT; COASTAL WATERS; RAMAN-SPECTROSCOPY; INGESTION; FIBERS; EDULIS; WILD; IDENTIFICATION; POPULATION; SEDIMENTS</t>
  </si>
  <si>
    <t>Microplastics contamination is reported for the first time on Mytilus chilensis from Ushuaia Bay, one of the most remote areas of South America. Our results demonstrate the occurrence of microplastics in all samples, with an average of 8.6 +/- 3.53 items per individual. Fibers and fragments were the most abundant, with a percentage of 77.91 and 17.44%, respectively. The average length of the fibers was 742.3 +/- 702.1 mu m, while the average crosssectional area of fragments was 1944.80 +/- 960.94 mu m(2). The polymers identified were polyamides, semi-synthetic cellulosic materials, and PVC copolymers. The number of microplastics per individual was greater than those reported in even more populated regions. Probably, the modifications included in the technique led to optimize the extraction of MPs, reflecting the detection of a greater number of particles. M. chilensis could play a role in an extensive evaluation of MPs in the Ushuaia Bay, providing information on the interaction of MPs and biota.</t>
  </si>
  <si>
    <t>[Perez, Analia F.; Ojeda, Mariel; Calcagno, Javier A.] Univ Maimonides, CONICET, CEBBAD, Lab Invertebrados Marinos, Buenos Aires, DF, Argentina; [Rimondino, Guido N.] Univ Nacl Cordoba, INFIQC, CONICET, Inst Invest Fisicoquim Cordoba,Dept Fisicoquim,Fa, Cordoba, Argentina; [Chiesa, Ignacio L.] Consejo Nacl Invest Cient &amp; Tecn, CADIC, Lab Crustaceos &amp; Ecosistemas Costeros, Ushuaia, Argentina; [Di Mauro, Rosana] Inst Nacl Invest &amp; Desarrollo Pesquero, Buenos Aires, DF, Argentina; [Boy, Claudia C.] Consejo Nacl Invest Cient &amp; Tecn, CADIC, Lab Ecol Fisiol &amp; Evoluc Organismos Acuat, Ushuaia, Argentina</t>
  </si>
  <si>
    <t>Consejo Nacional de Investigaciones Cientificas y Tecnicas (CONICET); Consejo Nacional de Investigaciones Cientificas y Tecnicas (CONICET); National University of Cordoba; Consejo Nacional de Investigaciones Cientificas y Tecnicas (CONICET); National Fisheries Research &amp; Development Institute (INIDEP); Consejo Nacional de Investigaciones Cientificas y Tecnicas (CONICET)</t>
  </si>
  <si>
    <t>Pérez, AF (corresponding author), Univ Maimonides, CEBBAD, Consejo Nacl Invest Cient &amp; Tecn, Hidalgo 775, RA-1405 Buenos Aires, DF, Argentina.</t>
  </si>
  <si>
    <t>analiafperez1@gmail.com</t>
  </si>
  <si>
    <t>Rimondino, Guido Noe/0000-0003-4064-126X</t>
  </si>
  <si>
    <t>Fundacion Cientifica Felipe Fiorellino; Consejo Nacional de Investigaciones Cientificas y Tecnicas (CONICET)</t>
  </si>
  <si>
    <t>Fundacion Cientifica Felipe Fiorellino; Consejo Nacional de Investigaciones Cientificas y Tecnicas (CONICET)(Consejo Nacional de Investigaciones Cientificas y Tecnicas (CONICET))</t>
  </si>
  <si>
    <t>This work was funded by Fundacion Cientifica Felipe Fiorellino, Universidad Maimonides and Consejo Nacional de Investigaciones Cientificas y Tecnicas (CONICET).</t>
  </si>
  <si>
    <t>10.1016/j.marpolbul.2020.111753</t>
  </si>
  <si>
    <t>PG6KV</t>
  </si>
  <si>
    <t>WOS:000599843400005</t>
  </si>
  <si>
    <t>Pisoni, M; Cogotzi, L; Frigeri, A; Corsi, I; Bonacci, S; Iacocca, A; Lancini, L; Mastrototaro, F; Focardi, S; Svelto, M</t>
  </si>
  <si>
    <t>DNA adducts, benzo(a)pyrene monooxygenase activity, and lysosomal membrane stability in Mytilus galloprovincialis from different areas in Taranto coastal waters (Italy)</t>
  </si>
  <si>
    <t>DNA adducts; B(a)PMO; lysosomal membrane stability; Taranto sea; Mytilus galloprovincialis</t>
  </si>
  <si>
    <t>GLUTATHIONE-S-TRANSFERASE; POLYCYCLIC AROMATIC-HYDROCARBONS; DIGESTIVE GLAND; COMMON MUSSEL; IONIAN SEA; LITTORINA-LITTOREA; EXPERIMENTAL EXPOSURE; HYDROXYLASE-ACTIVITY; REDUCTASE-ACTIVITY; MARINE MUSSELS</t>
  </si>
  <si>
    <t>The aim of this study was to investigate the impact of environmental pollution at different stations along the Taranto coastline (Ionian Sea, Puglia, Italy) using several biomarkers of exposure and the effect on mussels, Mytilus galloprovincialis, collected in October 2001 and October 2002. Five sampling sites were compared with a cleaner reference site in the Aeronautics Area. In this study we also investigated the differences between adduct levels in gills and digestive gland. This Taranto area is the most significant industrial settlement on the Ionian Sea known to be contaminated by polycyclic aromatic hydrocarbons (PAHs), polychlorinated biphenyls, heavy metals, etc. Exposure to PAHs was evaluated by measuring DNA adduct levels and benzo(a)pyrene monooxygenase activity (B(a)PMO); DNA adducts were analyzed by P-32-postlabeling with nuclease PI enhancement in both gills and digestive glands to evaluate differences between DNA adduct levels in the two tissues. B(a)PMO was assayed in the microsomal fraction of the digestive glands as a result of the high expression of P450-metabolizing enzymes in this tissue. Lysosomal membrane stability, a potential biomarker of anthropogenic stress, was also evaluated in the digestive glands of mussels, by measuring the latent activity of beta-N-acetylhexosaminidase. Induction of DNA adducts was evident in both tissues, although the results revealed large tissue differences in DNA adduct formation. In fact, gills showed higher DNA adduct levels than did digestive gland. No significant differences were found in DNA adduct levels over time, with both tissues providing similar results in both years. DNA adduct levels were correlated with B(a)PMO activity in digestive gland in both years (r = 0.60 in 2001; r = 0.73 in 2002). Increases were observed in B(a)PMO activity and DNA adduct levels at different stations; no statistical difference was observed in B(a)PMO activity over the two monitoring campaigns. The membrane labilization period in mussels from some stations was decreased in both years. No statistical differences were established in the membrane labilization times from 2001 to 2002. Our results suggest the existence of different sources and amounts of environmental contaminants at the stations investigated. The formation of DNA adducts confirms the existence of activation pathways in mussels and shows the importance of DNA adduct analysis in the gill tissue in addition to the more commonly used digestive gland; these results confirm the utility of lysosomal membrane stability as a biomarker of general stress. Overall, the integrated use of biomarkers of exposure and the effects of environmental contaminants on living marine organisms may help to better interpret the impact of pollutants in a marine coastal environment. (C) 2004 Elsevier Inc. All rights reserved.</t>
  </si>
  <si>
    <t>Univ Bari, Dept Gen &amp; Environm Physiol, I-70125 Bari, Italy; Univ Siena, Dept Environm Sci, I-53100 Siena, Italy; Univ Bari, Dept Zool, I-70125 Bari, Italy</t>
  </si>
  <si>
    <t>Universita degli Studi di Bari Aldo Moro; University of Siena; Universita degli Studi di Bari Aldo Moro</t>
  </si>
  <si>
    <t>Univ Bari, Dept Gen &amp; Environm Physiol, Via Amendola,165-A, I-70125 Bari, Italy.</t>
  </si>
  <si>
    <t>m.pisoni@biologia.uniba.it</t>
  </si>
  <si>
    <t>Bonacci, Stefano/ABI-5676-2020; Svelto, Maria/P-6186-2014; frigeri, Antonio/AAC-6336-2022; corsi, ilaria/D-3795-2012</t>
  </si>
  <si>
    <t>Svelto, Maria/0000-0002-5584-9541; corsi, ilaria/0000-0002-1811-3041; Frigeri, Antonio/0000-0002-5284-2934; Mastrototaro, Francesco/0000-0002-4890-2949</t>
  </si>
  <si>
    <t>10.1016/j.envres.2004.02.011</t>
  </si>
  <si>
    <t>854ZZ</t>
  </si>
  <si>
    <t>WOS:000223943900007</t>
  </si>
  <si>
    <t>Kapranov, SV; Kozintsev, AF; Bobko, NI; Ryabushko, VI</t>
  </si>
  <si>
    <t>Kapranov, Sergey V.; Kozintsev, Alexander F.; Bobko, Nikolay I.; Ryabushko, Vitaliy I.</t>
  </si>
  <si>
    <t>Elements in Soft Tissues of the Young Mediterranean Mussel Mytilus galloprovincialis Lam. 1819 Collected in Sevastopol Bay (Crimea, Black Sea): Effects of Age, Sex, Location, and Principal Morphometric Parameters</t>
  </si>
  <si>
    <t>bivalves; trace elements; ICP-MS; morphometry; multivariate analysis</t>
  </si>
  <si>
    <t>HEAVY-METALS; BODY-SIZE; RISK-ASSESSMENT; COASTAL WATERS; TRACE-METALS; SHELL SHAPE; BIOACCUMULATION; BIVALVES; WEIGHT; MN</t>
  </si>
  <si>
    <t>Simple Summary Mussels accumulate trace elements in their soft tissues to levels several orders of magnitude higher than in the environment. For this reason, they are regarded as good trace element pollution bioindicators. Yet, there is limited understanding regarding which characteristics of mussels exhibit the strongest correlation with element accumulation. Furthermore, it remains unclear on what minimal spatial scale the differences in accumulation can be observed. We studied the effects of several biological characteristics on the contents of 72 elements in the soft tissues of mussels sampled from Sevastopol Bay. We found that most of the contents decreased with age, which was consistent with the decrease in the intercellular water content. There were significant differences in the element accumulation patterns in mussels from different sites of this relatively small water body, and multivariate statistical methods allowed distinguishing individuals sampled from each particular site. Sex differences did not significantly affect the overall element accumulation. Most elements demonstrated significant correlations as a function of only two gravimetric parameters, namely the ratio of soft tissue dry weight and the total weight of the mollusk. The results obtained contribute to understanding elemental biochemistry and aging in mussels and are of interest for improving mussel biomonitoring programs. Although the mussel Mytilus galloprovincialis has been known for decades as an excellent bioindicator of trace element pollution in the marine environment, there is still no information on the effects of a suite of its principal morphometric parameters and age on trace element levels in soft tissues. In this work, using inductively coupled plasma mass spectrometry, we studied the contents of 72 elements in soft tissues of M. galloprovincialis aged 0.5-4, which were sampled at three stations within a relatively small water body, Sevastopol Bay. Significant effects of age and sampling location on the element contents and soft tissue dry-to-wet weight ratio were discovered. The effects of sex were not significant. It was presumed for the first time that the decrease in element content in the soft tissues of young mussels can be associated with the decrease in physiological needs for elevated contents of essential elements and intracellular water with age. Combinations of six principal morphometric parameters showed that a function of as few as three parameters (soft tissue dry weight, whole mollusk weight, and shell height, with by far the greatest contribution of the dry-to-total weight ratio) formed significant correlations with the contents of the largest possible number of elements (69-88% of the total number). For the first time, it was shown that linear discriminant analysis and canonical analysis of principal coordinates can be successfully used for tracing the exact origin of mussel samples within such a small water area. Canonical analysis of principal coordinates proved superior in the correct classification of the samples.</t>
  </si>
  <si>
    <t>[Kapranov, Sergey V.; Kozintsev, Alexander F.; Bobko, Nikolay I.; Ryabushko, Vitaliy I.] RAS, AO Kovalevsky Inst Biol Southern Seas, 2 Nakhimov Ave, Sevastopol 299011, Russia</t>
  </si>
  <si>
    <t>Kapranov, SV (corresponding author), RAS, AO Kovalevsky Inst Biol Southern Seas, 2 Nakhimov Ave, Sevastopol 299011, Russia.</t>
  </si>
  <si>
    <t>Kapranov, Sergey/Z-1471-2018</t>
  </si>
  <si>
    <t>10.3390/ani13121950</t>
  </si>
  <si>
    <t>K0XL8</t>
  </si>
  <si>
    <t>WOS:001013762000001</t>
  </si>
  <si>
    <t>Diop, M; Howsam, M; Diop, C; Goossens, JF; Diouf, A; Amara, R</t>
  </si>
  <si>
    <t>Diop, Mamadou; Howsam, Michael; Diop, Cheikh; Goossens, Jean F.; Diouf, Amadou; Amara, Rachid</t>
  </si>
  <si>
    <t>Assessment of trace element contamination and bioaccumulation in algae (Ulva lactuca), mussels (Perna perna), shrimp (Penaeus kerathurus), and fish (Mugil cephalus, Saratherondon melanotheron) along the Senegalese coast</t>
  </si>
  <si>
    <t>Elements; Pollution; Bioaccumulation; Marine organisms; Senegal</t>
  </si>
  <si>
    <t>SAINT LOUIS ESTUARY; HEAVY-METALS; SEASONAL-VARIATIONS; DAKAR COAST; IZMIR BAY; WATER; SPECIATION; SEDIMENTS; TOXICITY; MOLLUSKS</t>
  </si>
  <si>
    <t>Concentrations of 11 elements were quantified in five marine species from different trophic levels of a food web (algae, mussel, shrimp and fish), representative for shallow Senegalese coastal waters, and including species of commercial importance. Significant differences in element concentrations and bioaccumulation were demonstrated, revealing the utility of employing a suite of organisms as bioindicators to monitor metal contamination in coastal areas. There was no clear seasonal pattern in concentration of elements, however inter-site differences were observed. Calculations of transfer factors for all the studied elements showed that transfer factors from water were greater than those from sediments. For shrimp and mussel, the concentrations of Pb and Cd were below the EU's maximum level for human consumption, however high concentrations of arsenic in shrimp were recorded at all sites. (C) 2015 Elsevier Ltd. All rights reserved.</t>
  </si>
  <si>
    <t>[Diop, Mamadou; Amara, Rachid] ULCO, LOG, F-62930 Wimereux, France; [Diop, Mamadou; Diop, Cheikh; Diouf, Amadou] UCAD, LTH, Dakar 5005, Senegal; [Howsam, Michael; Goossens, Jean F.] Univ Lille, CUMA, F-59006 Lille, France</t>
  </si>
  <si>
    <t>Universite du Littoral-Cote-d'Opale; University Cheikh Anta Diop Dakar; Universite de Lille</t>
  </si>
  <si>
    <t>Amara, R (corresponding author), ULCO, LOG, F-62930 Wimereux, France.</t>
  </si>
  <si>
    <t>DIOP, Mamadou/AAV-1356-2021; RACHID, AMARA/E-2525-2012; HOWSAM, Michael/H-6945-2018</t>
  </si>
  <si>
    <t>AMARA, Rachid/0000-0002-7183-1333; DIOP, Mamadou/0000-0001-6350-5135; HOWSAM, Michael/0000-0002-6344-8908</t>
  </si>
  <si>
    <t>Bourses de Cooperation et d'action culturelle de l'ambassade de France a Dakar; ERASMUS ANGLE grant</t>
  </si>
  <si>
    <t>A doctoral grant was funded for M. Diop by Bourses de Cooperation et d'action culturelle de l'ambassade de France a Dakar and ERASMUS ANGLE grant.</t>
  </si>
  <si>
    <t>10.1016/j.marpolbul.2015.12.038</t>
  </si>
  <si>
    <t>DJ4RQ</t>
  </si>
  <si>
    <t>WOS:000374195800050</t>
  </si>
  <si>
    <t>Sarkar, A; Gaitonde, DCS; Sarkar, A; Vashistha, D; D'Silva, C; Dalal, SG</t>
  </si>
  <si>
    <t>Sarkar, A.; Gaitonde, Dipak C. S.; Sarkar, Amit; Vashistha, D.; D'Silva, Classy; Dalal, S. G.</t>
  </si>
  <si>
    <t>Evaluation of impairment of DNA integrity in marine gastropods (Cronia contracta) as a biomarker of genotoxic contaminants in coastal water around Goa, West coast of India</t>
  </si>
  <si>
    <t>marine gastropods; DNA integrity; impairment; genotoxic contaminants; PAHs</t>
  </si>
  <si>
    <t>SINGLE-STRAND BREAKS; MUSSEL MYTILUS-GALLOPROVINCIALIS; COMET ASSAY; SENTINEL ORGANISM; DAMAGE; POLLUTION; BENZO(A)PYRENE; INVERTEBRATES; TRIBUTYLTIN; EXPOSURE</t>
  </si>
  <si>
    <t>The measurement of the impairment of DNA in marine gastropod (Cronia contracta) provides an insight into the genotoxic effects of contaminants on marine organisms along the Goa coast. The impact of genotoxic contaminants on Goan coastal environment was evaluated in terms of the loss of DNA integrity (expressed as the value of 'l') in marine snails with respect to those from the reference site (Palolem) over a period from April 2004 to May 2005 using the technique of alkaline unwinding assay. The DNA integrity in marine snails was found to be significantly damaged at Dona Paula (58%), Vasco (73.5%), and Velsao (48.5%) during the monsoon period (July-August 2004). Similar trend in the loss of DNA integrity in marine gastropods was also detected during the post-monsoon (November December 2004) and the pre-monsoon (April-May 2005) periods. The low integrities of DNA in marine gastropods at these sites can be attributed to exposure to genotoxic contaminants especially polycyclic aromatic hydrocarbons (PAHs) and toxic heavy metals (Pb, Cd, Cu, Fe, and Mn) prevalent in the marine environment as evident by their accumulation in the tissues of the marine snails inhabiting different sites along the Goa coast. The contaminant-induced DNA strand breaks in marine snails increased significantly at Dona Paula, Vasco, and Velsao clearly indicating the levels of contamination of the sites by genotoxic compounds in those regions. The genotoxic effects of contaminants were further substantiated by detection of the impairment (39%) of DNA integrity in marine snails in a field experiment in which the same species of marine snails (C contracta) collected from the reference site, Palolem, were deployed at Dona Paula and caged for 25 days for exposure to ambient marine pollutants. The impairment of DNA integrity in marine gastropods along the Goa coast can thus act as a biomarker for marine pollution monitoring of genotoxic contaminants. (c) 2008 Elsevier Inc. All rights reserved.</t>
  </si>
  <si>
    <t>[Gaitonde, Dipak C. S.] Govt Polytech, Environm Sci Lab, Bicholim 403504, Goa, India; [Sarkar, A.; Sarkar, Amit; Vashistha, D.; D'Silva, Classy; Dalal, S. G.] Natl Inst Oceanog, Marine Pollut Assessment &amp; Ecotoxicol Lab, Panaji 403004, Goa, India</t>
  </si>
  <si>
    <t>Gaitonde, DCS (corresponding author), Govt Polytech, Environm Sci Lab, Bicholim 403504, Goa, India.</t>
  </si>
  <si>
    <t>asarkar@nio.org; dgaitonde@rediffmail.com; samit@nio.org</t>
  </si>
  <si>
    <t>, Deepti/0000-0002-5704-7649</t>
  </si>
  <si>
    <t>Department of Technical Education, Government of Goa; National Institute of Oceanography, India</t>
  </si>
  <si>
    <t>The authors are thankful to Dr. S.R. Shetye, Director, NIO, India, for his constant encouragement and profound interest in this work. They extend their sincere thanks to the Director, Technical Education, Govt. of Goa; Principal, Government Polytechnic, Bicholim, Goa, for their whole-hearted support in carrying out the investigation. They also acknowledge the co-operation of Mr. A. Mahale, Mr. R. Uchil, and Mr. S.G. Akerkar for computation of the figures.; This work has been supported by the Department of Technical Education, Government of Goa and the National Institute of Oceanography, India.</t>
  </si>
  <si>
    <t>10.1016/j.ecoenv.2008.01.006</t>
  </si>
  <si>
    <t>355MV</t>
  </si>
  <si>
    <t>WOS:000259713900018</t>
  </si>
  <si>
    <t>Köhler, A; Wahl, E; Söffker, K</t>
  </si>
  <si>
    <t>Functional and morphological changes of lysosomes as prognostic biomarkers of toxic liver injury in a marine flatfish (Platichthys flesus (L.))</t>
  </si>
  <si>
    <t>lysosomes; prognostic biomarker; liver injury; carcinogenesis; flatfish</t>
  </si>
  <si>
    <t>MYTILUS-EDULIS; DIGESTIVE CELLS; CHEMICAL HEPATOCARCINOGENESIS; PARASITOLOGICAL INDEXES; ENVIRONMENTAL-STRESS; OXIDATIVE STRESS; MEMBRANE DAMAGE; RECENT PROGRESS; COMMON MUSSEL; CATHEPSIN-B</t>
  </si>
  <si>
    <t>Lysosomes are cell organelles in which macromolecules are recycled and that protect cells against toxins. In the present study, we apply histopathological and histochemical techniques in parallel with analytical chemistry of organochlorines and heavy metals in livers, with and without histopathological lesions, of the flatfish Plathichthys flesus (L.). The fish were caught along a pollution gradient on the German North Sea coast. We analyze critically whether changes in morphology and function of lysosomes, reflecting the onset and progression of toxipathic lesions in the liver of flounder, are appropriate for the rapid application in biological-effect monitoring programs such as BEEP (European Union Project in the 5th Framework Biological Effects of Environmental Pollutants in Marine Coastal Ecosystems). Livers collected from wild flounder were graded into four categories of lesions. Lysosomal stability was plotted against progressive lesions and contaminant levels in the same livers. Lysosomal membrane stability was already decreased at the onset of liver anomalies that are regarded as reversible. Reduced membrane stability also persisted in degenerative liver lesions and during carcinogenesis in liver parenchyma surrounding foci and tumors. Decreased lysosomal membrane stability coincided with increased size of lysosomes and increased lipid content during the progression toward degeneration. As predicted by the resistant-cell hypothesis, in proliferating cancer cells of adenomas and carcinomas, the highest values of membrane stability were detected. Concentrations of organochlorines such as hexachlorcyclohexane isomers, DDT metabolites, and polychlorinated biphenyls were correlated with reduced lysosomal membrane stability in noncancerous hepatocytes. On the basis of these findings, we recommend applying the lysosomal membrane stability test as an expertise-independent and rapid prognostic biomarker for toxically induced liver injury and carcinogenesis in monitoring programs.</t>
  </si>
  <si>
    <t>Alfred Wegener Inst Polar &amp; Marine Res, Dept Ecophysiol &amp; Ecotoxicol, D-27515 Bremerhaven, Germany</t>
  </si>
  <si>
    <t>akoehler@meeresforschung.de</t>
  </si>
  <si>
    <t>10.1002/etc.5620211124</t>
  </si>
  <si>
    <t>WOS:000178651200024</t>
  </si>
  <si>
    <t>Gürkan, SE; Gürkan, M; Saritunç, V; Ibis, EC; Günes, B</t>
  </si>
  <si>
    <t>Gurkan, Selin Erturk; Gurkan, Mert; Saritunc, Volkan; Ibis, Ezgi Can; Gunes, Berkay</t>
  </si>
  <si>
    <t>Evaluation of Possible Toxic Effects of Boric Acid in Palourde Clam (Ruditapes decussatus) Through Histological Changes and Oxidative Responses</t>
  </si>
  <si>
    <t>Boron derivatives; Oxidative stres; Histopathology; Bivalve</t>
  </si>
  <si>
    <t>DAB LIMANDA-LIMANDA; LIPID-PEROXIDATION; SUPEROXIDE-DISMUTASE; BORON-COMPOUNDS; STRESS; ANTIOXIDANT; BIOMARKERS; CADMIUM; GENOTOXICITY; POLLUTION</t>
  </si>
  <si>
    <t>The extensive utilization of boric acid, particularly in industrial and agricultural sectors, also engenders concerns regarding the toxicity of boron and its derivatives. Particularly, the behavior of boric acid at increasing concentrations in aquatic ecosystems remains poorly understood. In light of these concerns, this study aimed to investigate the toxicity of boric acid in bivalves, which occupy a critical position in the food chain. Specimens of Ruditapes decussatus, which had not been previously exposed to any pollutants and were cultivated under controlled conditions, were subjected to three different concentrations of boric acid (0.05 mg/L, 0.5 mg/L, and 5 mg/L) in vitro for 96 h. Following the exposure period, the specimens were assessed for histological changes (the mantle, gill, and digestive gland) and specific oxidative parameters (the gill and digestive gland), including superoxide dismutase (SOD), catalase (CAT), glutathione-S-transferase, and lipid peroxidation (LPO). The research findings indicated that boric acid primarily induced oxidative damage at the applied concentrations and increased antioxidant levels (p &lt; 0.05). Moreover, although no significant histopathological abnormalities were observed in the examined histological sections, subtle changes were noted. This study evaluated the potential adverse effects of boric acid on bivalves, which are crucial components of the aquatic food chain, utilizing histological and specific physiological parameters following its introduction into aquatic environments. It is anticipated that the findings of this study will contribute to the development of new insights and perspectives regarding the extensive use of boric acid.</t>
  </si>
  <si>
    <t>[Gurkan, Selin Erturk; Gurkan, Mert] Canakkale Onsekiz Mart Univ, Fac Sci, Dept Biol, Canakkale, Turkiye; [Saritunc, Volkan; Ibis, Ezgi Can; Gunes, Berkay] Canakkale Onsekiz Mart Univ, Sch Grad Studies, Canakkale, Turkiye</t>
  </si>
  <si>
    <t>Gürkan, SE (corresponding author), Canakkale Onsekiz Mart Univ, Fac Sci, Dept Biol, Canakkale, Turkiye.</t>
  </si>
  <si>
    <t>serturk@comu.edu.tr; mertgurkan@comu.edu.tr; volkansaritunc123@gmail.com; ezgican875@gmail.com; berkayg474@gmail.com</t>
  </si>
  <si>
    <t>Ertürk Gürkan, Selin/AAC-8560-2022</t>
  </si>
  <si>
    <t>Gurkan, Mert/0000-0001-7861-3999; ERTURK GURKAN, SELIN/0000-0003-3319-0616</t>
  </si>
  <si>
    <t>Canakkale Onsekiz Mart University(Canakkale Onsekiz Mart University)</t>
  </si>
  <si>
    <t>The authors would like to thank Gelibolu Seafood Company, from which the study material was provided.</t>
  </si>
  <si>
    <t>2024 MAY 14</t>
  </si>
  <si>
    <t>10.1007/s12011-024-04230-4</t>
  </si>
  <si>
    <t>QR4I9</t>
  </si>
  <si>
    <t>WOS:001222580800002</t>
  </si>
  <si>
    <t>Liu, CH; Chang, VWC; Gin, KYH</t>
  </si>
  <si>
    <t>Liu, Changhui; Chang, Victor W. C.; Gin, Karina Y. H.</t>
  </si>
  <si>
    <t>OXIDATIVE TOXICITY OF PERFLUORINATED CHEMICALS IN GREEN MUSSEL AND BIOACCUMULATION FACTOR DEPENDENT QUANTITATIVE STRUCTURE-ACTIVITY RELATIONSHIP</t>
  </si>
  <si>
    <t>Perfluorinated compound; Oxidative toxicity; Quantitative structure-activity relationship; Green mussel</t>
  </si>
  <si>
    <t>PERFLUOROOCTANE SULFONATE PFOS; DREISSENA-POLYMORPHA; LIPID-PEROXIDATION; CARBOXYLIC-ACIDS; STRESS; PFCS; POLLUTION; RESPONSES; EXPOSURE; METALS</t>
  </si>
  <si>
    <t>Concerns regarding perfluorinated chemicals (PFCs) have risen in recent years because of their ubiquitous presence and high persistency. However, data on the environmental impacts of PFCs on marine organisms are very limited. Oxidative toxicity has been suggested to be one of the major toxic pathways for PFCs to induce adverse effects on organisms. To investigate PFC-induced oxidative stress and oxidative toxicity, a series of antioxidant enzyme activities and oxidative damage biomarkers were examined to assess the adverse effects of the following 4 commonly detected compounds: perfluoro-octanesulfonate, perfluoro-ocanoic acid, perfluorononanoic acid, and perfluorodecanoic acid, on green mussel (Perna viridis). Quantitative structure-activity relationship (QSAR) models were also established. The results showed that all the tested PFCs are able to induce antioxidant response and oxidative damage on green mussels in a dose-dependent manner. At low exposure levels (0 mu g/L-100 mu g/L), activation of antioxidant enzymes (catalase [CAT] and superoxide dismutase [SOD]) was observed, which is an adaptive response to the excessive reactive oxygen species induced by PFCs, while at high exposure levels (100 mu g/L-10 000 mu g/L), PFCs were found to inhibit some enzyme activity (glutathione S-transferase and SOD) where the organism's ability to respond in an adaptive manner was compromised. The oxidative stress under high PFC exposure concentration also led to lipid and DNA damage. PFC-induced oxidative toxicity was found to be correlated with the bioaccumulation potential of PFCs. Based on this relationship, QSAR models were established using the bioaccumulation factor (BAF) as the molecular descriptor for the first time. Compared with previous octanol-water partition coefficient-dependent QSAR models, the BAF-dependent QSAR model is more suitable for the impact assessment of PFCs and thus provides a more accurate description of the toxic behavior of these compounds. Environ Toxicol Chem 2014;33:2323-2332. (c) 2014 SETAC</t>
  </si>
  <si>
    <t>[Liu, Changhui; Gin, Karina Y. H.] Natl Univ Singapore, Dept Civil &amp; Environm Engn, Singapore 117548, Singapore; [Chang, Victor W. C.] Nanyang Technol Univ, Sch Civil &amp; Environm Engn, Singapore 639798, Singapore</t>
  </si>
  <si>
    <t>National University of Singapore; Nanyang Technological University</t>
  </si>
  <si>
    <t>Gin, KYH (corresponding author), Natl Univ Singapore, Dept Civil &amp; Environm Engn, Singapore 117548, Singapore.</t>
  </si>
  <si>
    <t>ceeginyh@nus.edu.sg</t>
  </si>
  <si>
    <t>Gin, Karina/AIB-8230-2022; CHANG, Victor Wei-Chung/A-3796-2011</t>
  </si>
  <si>
    <t>Gin, Karina Yew-Hoong/0000-0002-1266-9276; CHANG, Victor Wei-Chung/0000-0003-4683-1267</t>
  </si>
  <si>
    <t>National Research Foundation, Prime Minister's Office, Singapore under Campus for Research Excellence and Technological Enterprise program; Environmental Research Institute</t>
  </si>
  <si>
    <t>The present study was partially funded by the National Research Foundation, Prime Minister's Office, Singapore, under its Campus for Research Excellence and Technological Enterprise program. We also thank the Environmental Research Institute for support.</t>
  </si>
  <si>
    <t>10.1002/etc.2679</t>
  </si>
  <si>
    <t>AQ2LZ</t>
  </si>
  <si>
    <t>WOS:000342619100019</t>
  </si>
  <si>
    <t>Oueslati, W; Zaaboub, N; Helali, MA; Ennouri, R; Martins, MVA; Dhib, A; Galgani, F; El Bour, M; Added, A; Aleya, L</t>
  </si>
  <si>
    <t>Oueslati, Walid; Zaaboub, Noureddine; Helali, Mohamed Amine; Ennouri, Rym; Alves Martins, Maria Virginia; Dhib, Amel; Galgani, Francois; El Bour, Monia; Added, Ayed; Aleya, Lotfi</t>
  </si>
  <si>
    <t>Trace element accumulation and elutriate toxicity in surface sediment in northern Tunisia (Tunis Gulf, southern Mediterranean)</t>
  </si>
  <si>
    <t>Marine sediment; Trace metals; Toxicity; Bioassays; Acid-volatile-sulfide</t>
  </si>
  <si>
    <t>ACID-VOLATILE SULFIDE; EL-MELH LAGOON; MARINE-SEDIMENTS; HEAVY-METALS; AVS-SEM; BIOAVAILABILITY; POLLUTION; FRACTIONATION; CADMIUM; TESTS</t>
  </si>
  <si>
    <t>Metal concentrations in sediments were investigated in the Gulf of Tunis, Tunisia, in relation to anthropic activities along the Mejerda River and Ghar El Melh Lagoon, with effluents discharged into the gulf. Distribution of grain size showed that the silty fraction is dominant with 53%, while sand and clay averages are 34 and 12% respectively. Zn concentration increased in the vicinity of the Mejerda River while Pb was at its highest levels at the outlet of Ghar El Mehl Lagoon. Sediment elutriate toxicity, as measured by oyster embryo bioassays, ranged from 10 to 45% abnormalities after 24 h, but no relation was found between metal concentration and sediment toxicity. The AVS fraction that represents monosulfide concentrations in the sediment was higher in the central part of the gulf than in the coastal zone. The results reveal the influence of AVS, TOC and grain size on metal speciation and sediment toxicity. (C) 2017 Elsevier Ltd. All rights reserved.</t>
  </si>
  <si>
    <t>[Oueslati, Walid; Added, Ayed] Univ Tunis El Manar, Fac Sci Tunis, Dept Geol, Lab Ressources Min &amp; Environm, Tunis 2092, Tunisia; [Zaaboub, Noureddine; Helali, Mohamed Amine; Ennouri, Rym; El Bour, Monia] Inst Natl Sci &amp; Technol Mer, Lab Milieu Marin, Salammbo 2025, Tunisia; [Alves Martins, Maria Virginia] Univ Estado Rio De Janeiro UERJ, Fac Geol, Av Sao Francisco Xavier 524, BR-20550013 Rio De Janeiro, RJ, Brazil; [Dhib, Amel; Aleya, Lotfi] Univ Bourgogne Franche Comte, UMR CNRS 6249, Lab Chronoenvironm, F-25030 Besancon, France; [Galgani, Francois] IFREMER, LER CO, Immeuble Agostini, F-20600 Bastia, France</t>
  </si>
  <si>
    <t>Universite de Tunis-El-Manar; Faculte des Sciences de Tunis (FST); Institut National des Sciences et Technologies de la Mer; Universidade do Estado do Rio de Janeiro; Universite de Franche-Comte; Ifremer</t>
  </si>
  <si>
    <t>Aleya, L (corresponding author), Univ Bourgogne Franche Comte, UMR CNRS 6249, Lab Chronoenvironm, F-25030 Besancon, France.</t>
  </si>
  <si>
    <t>Oueslati, Walid/C-5144-2009; galgani, francois/A-1973-2011; Virginia Alves, Maria/O-2893-2013</t>
  </si>
  <si>
    <t>Oueslati, Walid/0000-0003-4267-6677; galgani, francois/0000-0001-8770-6054; Virginia Alves, Maria/0000-0001-8348-8862</t>
  </si>
  <si>
    <t>10.1016/j.marpolbul.2016.12.076</t>
  </si>
  <si>
    <t>WOS:000399507600039</t>
  </si>
  <si>
    <t>Abdou, M; Zaldibar, B; Medrano, R; Schafer, J; Izagirre, U; Dutruch, L; Coynel, A; Blanc, G; Soto, M</t>
  </si>
  <si>
    <t>Abdou, Melina; Zaldibar, Benat; Medrano, Rebeca; Schafer, Jorg; Izagirre, Urtzi; Dutruch, Lionel; Coynel, Alexandra; Blanc, Gerard; Soto, Manu</t>
  </si>
  <si>
    <t>Organotropism and biomarker response in oyster Crassostrea gigas exposed to platinum in seawater</t>
  </si>
  <si>
    <t>Platinum; Emerging contaminant; Isotopes; Marine bivalve; Biomarker; Ecotoxicology</t>
  </si>
  <si>
    <t>GROUP ELEMENTS; SUBCELLULAR-DISTRIBUTION; ENVIRONMENTAL-POLLUTION; DIGESTIVE GLAND; GROUP METALS; MUSSELS; PALLADIUM; CADMIUM; WATER; ACCUMULATION</t>
  </si>
  <si>
    <t>Platinum (Pt) is a technology critical element (TCE) for which biogeochemical cycles are still poorly understood. This lack of knowledge includes Pt effects on marine organisms, which proved to be able to bioconcentrate this trace element. Oysters Crassostrea gigas were exposed to stable Pt isotope spiked daily in seawater for 35 days. Seawater was renewed daily and spiked (with Pt(IV)) to three nominal Pt concentrations (50, 100, and 10,000 ng L-1) for two replicate series. Organotropism study revealed that gills, and to a lesser extent mantle, are the key organs regarding Pt accumulation, although a time- and concentration-dependent linear increase in Pt levels occurred in all the organs investigated (i.e., digestive gland, gonads, gills, mantle, and muscle). In oysters exposed to Pt concentrations of 10,000 ng L-1, significant biomarker impairments occurred, especially at cellular levels. They reflect altered lipofuscin and neutral lipid contents, as well as intralysosomal metal accumulation. These observations were attributed to activation of excretion/detoxification mechanisms, including Pt elimination through feces and clearly support the importance of the digestive gland in the response to direct Pt exposure. Despite relatively constant condition index, the integrative biological response (IBR) index suggests a generally decreasing health status of oysters.</t>
  </si>
  <si>
    <t>[Abdou, Melina; Schafer, Jorg; Dutruch, Lionel; Coynel, Alexandra; Blanc, Gerard] Univ Bordeaux, CNRS, UMR 5805, EPOC, F-33615 Pessac, France; [Zaldibar, Benat; Izagirre, Urtzi; Soto, Manu] Univ Basque Country, UPV EHU, Dept Zool &amp; Anim Cell Biol, CBET Res Grp, Leioa, Basque Country, Spain; [Zaldibar, Benat; Medrano, Rebeca; Izagirre, Urtzi; Soto, Manu] Univ Basque Country, Res Ctr Expt Marine Biol &amp; Biotechnol, Plentzia Marine Stn, Plentzia, Basque Country, Spain; [Zaldibar, Benat; Medrano, Rebeca; Izagirre, Urtzi; Soto, Manu] Univ Basque Country, UPV EHU, PiE, Plentzia, Basque Country, Spain</t>
  </si>
  <si>
    <t>Centre National de la Recherche Scientifique (CNRS); Universite de Bordeaux; CNRS - National Institute for Earth Sciences &amp; Astronomy (INSU); University of Basque Country; University of Basque Country; University of Basque Country</t>
  </si>
  <si>
    <t>Abdou, M (corresponding author), Univ Bordeaux, CNRS, UMR 5805, EPOC, F-33615 Pessac, France.</t>
  </si>
  <si>
    <t>melina.abdou@u-bordeaux.fr</t>
  </si>
  <si>
    <t>Soto, Manu/C-3995-2017; Zaldibar, Beñat/Y-6728-2018; Abdou, Melina/HKN-2573-2023; Izagirre, Urtzi/C-3848-2017</t>
  </si>
  <si>
    <t>Blanc, Gerard/0009-0005-9814-0427; soto, manu/0000-0002-4541-8182; Coynel, Alexandra/0000-0003-4725-4190; Izagirre, Urtzi/0000-0002-3477-4974</t>
  </si>
  <si>
    <t>FEDER Aquitaine [1999-Z0061]; COST Action [TD1407]; EU [614002]; Basque Government [CIG12/IT810-13]; University of Bordeaux IdEx</t>
  </si>
  <si>
    <t>FEDER Aquitaine(European Union (EU)); COST Action(European Cooperation in Science and Technology (COST)); EU(European Union (EU)); Basque Government(Basque Government); University of Bordeaux IdEx</t>
  </si>
  <si>
    <t>The authors gratefully acknowledge financial supports from the FEDER Aquitaine-1999-Z0061, the COST Action TD1407, the EU FP7 Ocean 2013.2 Project SCHeMA (Project-Grant Agreement 614002), and the Basque Government (through a grant to consolidated research group CIG12/IT810-13). M. Abdou has benefited from a University of Bordeaux IdEx mobility grant.</t>
  </si>
  <si>
    <t>10.1007/s11356-018-3443-7</t>
  </si>
  <si>
    <t>WOS:000519703100006</t>
  </si>
  <si>
    <t>Kosfeld, V; Rüdel, H; Schlechtriem, C; Rauert, C; Koschorreck, J</t>
  </si>
  <si>
    <t>Kosfeld, Verena; Ruedel, Heinz; Schlechtriem, Christian; Rauert, Caren; Koschorreck, Jan</t>
  </si>
  <si>
    <t>Food web on ice: a pragmatic approach to investigate the trophic magnification of chemicals of concern</t>
  </si>
  <si>
    <t>Bioaccumulation; Biomagnification; TMF; Aquatic food web; Freshwater; Fish; Mussels; Plankton; Stable isotope analysis; Trophic positions</t>
  </si>
  <si>
    <t>DIBENZO-P-DIOXINS; PERSISTENT ORGANIC POLLUTANTS; FRESH-WATER; POLYCHLORINATED-BIPHENYLS; HEXACHLOROCYCLOHEXANE HCH; BIOACCUMULATION; ACCUMULATION; FISH; BIOMAGNIFICATION; SUBSTANCES</t>
  </si>
  <si>
    <t>Background The trophic magnification factor (TMF) is a metric that describes the average trophic magnification of a chemical through a food web. TMFs may be used for the risk assessment of chemicals, although TMFs for single compounds can vary considerably between studies despite thorough guidance available in the literature to eliminate potential sources of error. The practical realization of a TMF investigation is quite complex and often only a few chemicals can be investigated due to low sample masses. This study evaluated whether a pragmatic approach involving the large-scale cryogenic sample preparation practices of the German Environmental Specimen Bank (ESB) is feasible. This approach could provide sufficient sample masses for a reduced set of samples allowing screenings for a broad spectrum of substances and by that enabling a systematic comparison of derived TMFs. Furthermore, it was assessed whether plausible TMFs can be derived with the 'Food web on ice' approach via a comparison with literature TMF values. Results This investigation at Lake Templin near Potsdam is the first TMF study for a German freshwater ecosystem and aimed to derive TMFs that are appropriate for regulatory purposes. A set of 15 composite biota samples was obtained and analyzed for an extended set of benchmark chemicals such as persistent organic pollutants, mercury and perfluoroalkyl substances. TMFs were calculated for all substances that were present in &gt; 80% of the biota samples. For example, in the case of polychlorinated biphenyls, TMFs from 1.7 to 2.5 were determined and comparisons to literature TMFs determined in other freshwater ecosystems showed similarities. We showed that 32 out of 35 compounds analyzed had TMFs significantly above 1. In the remaining three cases, the correlations were not statistically significant. Conclusions The derived food web samples allow for an on-demand analysis and are ready-to-use for additional investigations. Since substances with non-lipophilic accumulation properties were also included in the list of analyzed substances, we conclude that the 'Food web on ice' provides samples which could be used to characterize the trophic magnification potential of substances with unknown bioaccumulation properties in the future which in return could be compared directly to the benchmarking patterns provided here.</t>
  </si>
  <si>
    <t>[Kosfeld, Verena; Schlechtriem, Christian] Fraunhofer Inst Mol Biol &amp; Appl Ecol Fraunhofer I, Dept Bioaccumulat &amp; Anim Metab, Aberg 1, D-57392 Schmallenberg, Germany; [Kosfeld, Verena; Ruedel, Heinz] Fraunhofer Inst Mol Biol &amp; Appl Ecol Fraunhofer I, Dept Environm Specimen Bank &amp; Elemental Anal, Aberg 1, D-57392 Schmallenberg, Germany; [Kosfeld, Verena; Schlechtriem, Christian] Aachen Univ RWTH, Inst Biol Environm Res 5, Worringerweg 1, D-52074 Aachen, Germany; [Schlechtriem, Christian] Univ Siegen, Dept Chem &amp; Biol, Adolf Reichwein Str 2, D-57076 Siegen, Germany; [Rauert, Caren; Koschorreck, Jan] German Environm Agcy Umweltbundesamt, Worlitzer Pl 1, D-06844 Dessau Rosslau, Germany</t>
  </si>
  <si>
    <t>Fraunhofer Gesellschaft; Fraunhofer Gesellschaft; RWTH Aachen University; Universitat Siegen</t>
  </si>
  <si>
    <t>Kosfeld, V (corresponding author), Fraunhofer Inst Mol Biol &amp; Appl Ecol Fraunhofer I, Dept Bioaccumulat &amp; Anim Metab, Aberg 1, D-57392 Schmallenberg, Germany.;Kosfeld, V (corresponding author), Fraunhofer Inst Mol Biol &amp; Appl Ecol Fraunhofer I, Dept Environm Specimen Bank &amp; Elemental Anal, Aberg 1, D-57392 Schmallenberg, Germany.;Kosfeld, V (corresponding author), Aachen Univ RWTH, Inst Biol Environm Res 5, Worringerweg 1, D-52074 Aachen, Germany.</t>
  </si>
  <si>
    <t>verena.kosfeld@ime.fraunhofer.de</t>
  </si>
  <si>
    <t>Rudel, Heinz/0000-0002-4175-4787; Koschorreck, Jan/0000-0002-1043-3278; Kosfeld, Verena/0000-0002-8318-2377</t>
  </si>
  <si>
    <t>German Environment Agency [FKZ 3717 65 416 0]; Projekt DEAL</t>
  </si>
  <si>
    <t>German Environment Agency; Projekt DEAL</t>
  </si>
  <si>
    <t>Open Access funding enabled and organized by Projekt DEAL. This work was funded by the German Environment Agency (Investigation of the accumulation of substances in an exemplary food web; FKZ 3717 65 416 0).</t>
  </si>
  <si>
    <t>10.1186/s12302-021-00530-x</t>
  </si>
  <si>
    <t>UC7QT</t>
  </si>
  <si>
    <t>WOS:000686719300002</t>
  </si>
  <si>
    <t>Dairain, A; Legeay, A; Gonzalez, P; Baudrimont, M; Gourves, PY; de Montaudouin, X</t>
  </si>
  <si>
    <t>Dairain, Annabelle; Legeay, Alexia; Gonzalez, Patrice; Baudrimont, Magalie; Gourves, Pierre-Yves; de Montaudouin, Xavier</t>
  </si>
  <si>
    <t>Seasonal influence of parasitism on contamination patterns of the mud shrimp Upogebia cf. pusilla in an area of low pollution</t>
  </si>
  <si>
    <t>Mud shrimp; Parasites; Metal contamination; Seasonal fluctuation; Reproductive cycle</t>
  </si>
  <si>
    <t>TRACE-METAL CONCENTRATIONS; ARCACHON BAY; RUDITAPES-PHILIPPINARUM; PATHOGENIC ORGANISMS; COROPHIUM-VOLUTATOR; PALAEMONETES-PUGIO; SENTINEL BIVALVES; MACOMA-BALTHICA; HYDROBIA-ULVAE; BODY BURDEN</t>
  </si>
  <si>
    <t>Very few studies have characterized the concentrations of pollutants in bioturbating species. These species are considered as ecosystem engineers and characterizing stressors. such as contaminants, that impact them could lead to a better understanding of the functioning of ecosystems. In addition to contaminants, bioturbators are affected by a wide range of stressors, which can influence their physiological status and their ability to accumulate pollutants. Among these stressors, parasitism is of particular concern due to the ubiquity of parasites in natural environments and their influence on the fitness of their host. This study aims to assess the relationship between parasitism and metal accumulation in the bioturbating mud shrimp Upogebia cf. pusilla. A one-year seasonal survey was conducted in Arcachon Bay, France, with the aims of (1) characterizing the levels of metals in the mud shrimp and (2) evaluating the influence of two macroparasites (a bopyrid isopod and a trematode) on the variation of the metal content in mud shrimp. The bopyrid parasite castrates its female host and a particular attention has therefore been paid to the reproductive cycle of female mud shrimp by quantifying the expression of the vitellogenin gene that encodes the major yolk protein in female crustaceans. The levels of contaminants in mud shrimp appeared low compared to those reported in other crustaceans in areas of higher pollution. Even at these low contamination levels, we observed a significant impact by the bopyrid parasite that depends on season: bopyrid-infested organisms are generally more contaminated than their uninfested conspecifics except in summer when the opposite trend was observed. We suggest that the bopyrid indirectly interferes with the metal accumulation process by altering the reproductive capabilities of the mud shrimp. On the opposite, very low influence of the trematode parasite on the metal content of the host was found. (C) 2019 Elsevier B.V. All rights reserved.</t>
  </si>
  <si>
    <t>[Dairain, Annabelle; Legeay, Alexia; Baudrimont, Magalie; Gourves, Pierre-Yves; de Montaudouin, Xavier] Univ Bordeaux, EPOC, UMR 5805, CNRS, F-33400 Talence, France; [Gonzalez, Patrice] CNRS, EPOC, UMR 5805, F-33400 Talence, France</t>
  </si>
  <si>
    <t>Centre National de la Recherche Scientifique (CNRS); Universite de Bordeaux; CNRS - National Institute for Earth Sciences &amp; Astronomy (INSU); Centre National de la Recherche Scientifique (CNRS); CNRS - National Institute for Earth Sciences &amp; Astronomy (INSU)</t>
  </si>
  <si>
    <t>Dairain, A (corresponding author), Univ Bordeaux, CNRS, EPOC, UMR 5805, 2 Rue Pr Jolyet, F-33120 Arcachon, France.</t>
  </si>
  <si>
    <t>annabelle.dairain@u-bordeaux.fr</t>
  </si>
  <si>
    <t>Baudrimont, Magalie/0000-0001-9901-8435; Legeay, Alexia/0000-0002-1052-142X; Gonzalez, Patrice/0000-0003-2628-2993; Dairain, Annabelle/0000-0003-4513-155X</t>
  </si>
  <si>
    <t>French Ministere de l'Enseignement superieur, de la Recherche et de l'Innovation (Universite de Bordeaux) [2015/AUN/25]</t>
  </si>
  <si>
    <t>French Ministere de l'Enseignement superieur, de la Recherche et de l'Innovation (Universite de Bordeaux)</t>
  </si>
  <si>
    <t>A.D. was supported by a doctoral grant of the French Ministere de l'Enseignement superieur, de la Recherche et de l'Innovation (Universite de Bordeaux - 2015/AUN/25).</t>
  </si>
  <si>
    <t>10.1016/j.scitotenv.2019.07.258</t>
  </si>
  <si>
    <t>IW5BW</t>
  </si>
  <si>
    <t>WOS:000484994700032</t>
  </si>
  <si>
    <t>Keerthana, M; Arisekar, U; Kingston, SD; Sudhan, C</t>
  </si>
  <si>
    <t>Keerthana, Muruganantham; Arisekar, Ulaganathan; Kingston, S. David; Sudhan, Chandran</t>
  </si>
  <si>
    <t>Malacofaunal diversity (Gastropods and Bivalves) along the mangrove forest area of the Gulf of Mannar marine biosphere region, South India</t>
  </si>
  <si>
    <t>Anthropogenic activities; Biodiversity indices; Bivalves; Gastropods; Mangrove malacofauna; Sediment quality</t>
  </si>
  <si>
    <t>HEAVY-METALS; COAST; BIODIVERSITY; ECOSYSTEM; SEDIMENT; MOLLUSKS; MACROBENTHOS; PARAMETERS; ABUNDANCE; ESTUARY</t>
  </si>
  <si>
    <t>The mangrove ecosystem is one of the most distinctive biospheres, and it is under threat from habitat loss, aquaculture expansion, overharvesting, and pollution, all of which impact the malacofaunal diversity. This study aimed to investigate the malacofaunal diversity along the mangrove region of the Gulf of Mannar (GoM) and Physico-chemical properties of the sediments were measured to correlate the malacofaunal diversity. The diversity of the molluscs along the Thoothukudi coast was investigated from December 2020 to September 2021, documenting 84 mollusc species, represented by 45 gastropods and 39 bivalves. The class Gastropoda represented 7 orders, 15 families, and 30 genera, with Caenogastropoda having the highest species (19), followed by Neogastropoda with 7 species, while in bivalves, Venerida had the most species (14 species), followed by Cardiida (9 species). Palayakayal had the greatest number of species (68), followed by Punnakayal (63), Karapad Bay (32), and Machoda Bridge (33). Palayakayal has the highest Shannon-Wiener diversity index (H') and Margalef species richness (d) at 4.11 and 10.81, followed by Punnakayal at 4.05 and 10.16; Karapad at 3.39 and 5.65; and Machoda Bridge at 3.55 and 3.55 respectively. The BC (Bray-Curtis) similarity index identified the most similarity (86.91%) between Palayakayal and Punnakayal. Palayakayal has the greatest (H') and (d) values due to its pristine mangrove habitat and low anthropogenic activity. The Physico-chemical results showed that salinity and diversity were positively correlated, while hydrogen sulfide, organic matter, and molluscan diversity were negatively correlated. The malacofaunal diversity has been documented to provide useful baseline data for conservation management. Additionally, the findings showed that salinity is a crucial factor in favoring diversity. The anthropogenic activities in the ecosystem first alter the salinity of the soil, directly impacting malacofaunal diversity. Such studies might increase knowledge among the public and policy-makers, enabling them to develop legislation adequately.</t>
  </si>
  <si>
    <t>[Keerthana, Muruganantham; Kingston, S. David; Sudhan, Chandran] Fisheries Coll &amp; Res Inst, Dept Fisheries Biol &amp; Resource Management, Tuticorin 628008, Tamil Nadu, India; [Arisekar, Ulaganathan] Tamil Nadu Fisheries Univ, Fisheries Coll &amp; Res Inst, Dept Fish Qual Assurance &amp; Management, Tuticorin 628008, Tamil Nadu, India</t>
  </si>
  <si>
    <t>Tamil Nadu Veterinary &amp; Animal Sciences University; Tamil Nadu Veterinary &amp; Animal Sciences University</t>
  </si>
  <si>
    <t>Arisekar, U (corresponding author), Tamil Nadu Fisheries Univ, Fisheries Coll &amp; Res Inst, Dept Fish Qual Assurance &amp; Management, Tuticorin 628008, Tamil Nadu, India.</t>
  </si>
  <si>
    <t>harimfsc2525@gmail.com</t>
  </si>
  <si>
    <t>, Dr. U. Arisekar, M.F.Sc., Ph.D/0000-0002-6411-7107</t>
  </si>
  <si>
    <t>10.1016/j.rsma.2023.103201</t>
  </si>
  <si>
    <t>U3WF1</t>
  </si>
  <si>
    <t>WOS:001084125600001</t>
  </si>
  <si>
    <t>de Souza, PF; da Cunha, DL; Daflon, SDA; Machado, AR; Gaudie-Ley, LW; de Mattos, J Jr; da Fonseca, EM</t>
  </si>
  <si>
    <t>de Souza, Patricia Farias; da Cunha, Danieli Lima; Daflon, Sarah Dario Alves; Machado, Alcinei Rodrigues; Gaudie-Ley, Lucas Wanderley; de Mattos Jr, Joel; da Fonseca, Estefan Monteiro</t>
  </si>
  <si>
    <t>Bioaccumulation of PAHs in marine bivalves of the Santos Estuary (Brazil) associated with the evaluation of human consumption</t>
  </si>
  <si>
    <t>Polycyclic aromatic hydrocarbons; Perna perna; Crassostrea rhizophorae; Bioaccumulation; Risks to human health</t>
  </si>
  <si>
    <t>POLYCYCLIC AROMATIC-HYDROCARBONS; HEALTH-RISK ASSESSMENT; MUSSELS PERNA-PERNA; SAO-PAULO; CRASSOSTREA-RHIZOPHORAE; ELEMENT CONTAMINATION; HEAVY-METALS; IN-SITU; FISH; BAY</t>
  </si>
  <si>
    <t>The present study aimed to evaluate concentrations of 16 priority PAHs in the mussel Perna perna and oyster Crassostrea rhizophorae of the Santos Estuary (Brazil) and the potential risk to human health associated with the consumption of these species. The levels of sigma PAHs in the tissues of bivalves ranged from 96.94 to 988.76 mu g/kg for mussels and from 88.38 to 138.62 mu g/kg for oysters. A general trend of higher concentrations of PAHs was observed according to the increase in log Kow values in both species. The estimated amount of sigma PAHs via mussel and oyster intake ranged from 1.0 to 3.2 ng/kg and from 0.4 to 1.2 ng/kg of body weight per day, respectively. The calculated THQs, HI and CRs for the regular consumption of raw bivalves followed the internationally acceptable limits and represent a low risk to human health.</t>
  </si>
  <si>
    <t>[de Souza, Patricia Farias; da Cunha, Danieli Lima; Machado, Alcinei Rodrigues; Gaudie-Ley, Lucas Wanderley; de Mattos Jr, Joel; da Fonseca, Estefan Monteiro] Lab Environm Intelligence, AEQUOR, BR-24901040 Marica, RJ, Brazil; [Daflon, Sarah Dario Alves] Univ Fed Rio de Janeiro, Dept Inorgan Proc, Lab Water Treatment &amp; Effluent Reuse, BR-21941909 Rio De Janeiro, RJ, Brazil; [Machado, Alcinei Rodrigues] Univ Estacio Sa, Dept Biol Sci, BR-24020004 Niteroi, RJ, Brazil; [da Fonseca, Estefan Monteiro] Fed Fluminense Univ, Inst Geosci, Dept Geol &amp; Geophys, BR-4210340 Niteroi, RJ, Brazil</t>
  </si>
  <si>
    <t>Universidade Federal do Rio de Janeiro; Universidade Estacio de Sa; Universidade Federal Fluminense</t>
  </si>
  <si>
    <t>Daflon, SDA (corresponding author), Univ Fed Rio de Janeiro, Dept Inorgan Proc, Lab Water Treatment &amp; Effluent Reuse, BR-21941909 Rio De Janeiro, RJ, Brazil.</t>
  </si>
  <si>
    <t>sarahdario@gmail.com</t>
  </si>
  <si>
    <t>Daflon, Sarah/E-9776-2015</t>
  </si>
  <si>
    <t>Wanderley Gaudie-Ley, Lucas/0009-0000-2284-4501</t>
  </si>
  <si>
    <t>10.1016/j.marpolbul.2023.115900</t>
  </si>
  <si>
    <t>GB2E1</t>
  </si>
  <si>
    <t>WOS:001150124300001</t>
  </si>
  <si>
    <t>Sokolowski, A; Fichet, D; Garcia-Meunier, P; Radenac, G; Wolowicz, M; Blanchard, G</t>
  </si>
  <si>
    <t>The relationship between metal concentrations and phenotypes in the Baltic clam Macoma balthica (L.) from the Gulf of Gdansk, southern Baltic</t>
  </si>
  <si>
    <t>trace metals; Macoma balthica; phenotypes; colour; shape; southern Baltic Sea</t>
  </si>
  <si>
    <t>TRACE-METALS; SURFICIAL SEDIMENTS; PATTERN VARIATION; MYTILUS-EDULIS; GENETIC-TRAITS; SHELL COLOR; NORTH-SEA; POLLUTION; POLAND; POPULATIONS</t>
  </si>
  <si>
    <t>Soft tissue accumulated concentrations of nine metals (V, As, Se, Ag, Cd, Pb, Mn, Cu and Zn) were studied in two main phenotypes (1) according to external shell colour (white and pink), and (2) according to shell shape (shell with a rounded posterior end-regular and with an elongate posterior end and a notable flexure-irregular) of the Baltic clam Macoma balthica from southern Baltic Sea off Poland. No differences in metal concentrations were observed between colour-based phenotypes. By contrast, irregular clams exhibited generally higher concentrations of all elements in their tissues than regular bivalves. This finding provides the first reference on a potential linkage of shell deformation with tissue metal concentrations within one entire population of clams living in the same habitat. Different ability of metal handling in the shape-based phenotypes is presumably related to different physiological capacity of the bivalves induced by the selection effect of specific environmental conditions. It is suggested that unfavourable conditions in deep waters of the Gulf of Gdansk (e.g. hypoxia/anoxia, hydrogen sulphide, elevated bioavailability of metals) induces, in a certain part of the population, morphological deformation of shell (thereby leading to irregular shape) and in parallel physiological adaptations which result in greater sensitivity to trace metals of 'irregular clams. This hypothesis however, requires further investigation with special focus on genetic divergences between phenotypes because till now we cannot exclude the co-occurrence of two types (semi-species) of clams in the Gulf: an Atlantic type and a Baltic type. Genetic analysis with a use of DALP technique revealed strong intrapopulational polymorphism but no fingerprints or intraspecific polymorphism characterising any of the phenotypes considered (both colour- and shape-based). Since eight polymorphic loci were clearly identified further studies of population genetic structure hold optimistic promise. (C) 2002 Elsevier Science Ltd. All rights reserved.</t>
  </si>
  <si>
    <t>Univ Gdansk, Inst Oceanog, Lab Estuarine Ecol, PL-81378 Gdynia, Poland; Univ La Rochelle, Inst Littoral, LBEM, F-17042 La Rochelle, France</t>
  </si>
  <si>
    <t>Fahrenheit Universities; University of Gdansk; La Rochelle Universite</t>
  </si>
  <si>
    <t>Univ Gdansk, Inst Oceanog, Lab Estuarine Ecol, Al Pilsudskiego 46, PL-81378 Gdynia, Poland.</t>
  </si>
  <si>
    <t>oceas@univ.gda.pl</t>
  </si>
  <si>
    <t>; Radenac, Gilles/O-9760-2014</t>
  </si>
  <si>
    <t>Denis, Fichet/0000-0002-4913-8946; Radenac, Gilles/0000-0002-7906-6453; Sokolowski, Adam/0000-0002-7551-3199; Garcia, Pascale/0000-0001-8488-6061</t>
  </si>
  <si>
    <t>PII S0045-6535(02)00002-4</t>
  </si>
  <si>
    <t>10.1016/S0045-6535(02)00002-4</t>
  </si>
  <si>
    <t>WOS:000175339500002</t>
  </si>
  <si>
    <t>Calado, SLD; Salgado, LD; Santos, GS; Neto, FDC; de Menezes, MS</t>
  </si>
  <si>
    <t>de Moraes Calado, Sabrina Loise; Salgado, Lilian Dalago; Santos, Gustavo Souza; Carvalho Neto, Fernando da Silva; de Menezes, Marcia Santos</t>
  </si>
  <si>
    <t>Trace metals in estuarine organisms from a port region in southern Brazil: consumption risk to the local population</t>
  </si>
  <si>
    <t>Aquatic contamination; Trace elements; Food chain; Seafood; Human health; Risk assessment</t>
  </si>
  <si>
    <t>HEXAVALENT CHROMIUM; RAMSAR SITE; WATER; FISH; TOXICITY; CONTAMINANTS; ZINC; CADMIUM; RIVER; CD</t>
  </si>
  <si>
    <t>Metal contamination is a threat to estuarine environments. They can accumulate in the food chain and cause toxic effects on aquatic organisms and human health. This study evaluated the concentrations of metals (Cd, Cr, Cu, Fe, Ni, Pb, and Zn) in aquatic organisms of Antonina Bay (southern Brazil) to analyze whether the metal concentrations were in accordance with Brazilian food legislation and estimate the human risk of local seafood consumption. All analyzed organisms (Centropomus parallelus,Mugil curema,Genidens genidens,Crassostrea brasiliana, andXiphopenaeus kroyeri) showed traces of metals in their tissues with different metal concentrations among species. Metal concentrations were generally higher in oysterC. brasiliana, and biomagnification was not observed. Cr and Zn concentrations were above the limits established by legislation for all species in at least one sample. The concentrations of the other metals were within permitted levels. However, concentrations of Cd, Cr, Fe, and Zn posed a human consumption risk. In general, theC. brasilianaoyster presented the highest risk for human consumption, probably due to its filtering habit. Thus, the results indicated that metal concentrations in the tissues of the Antonina Bay seafood can pose a risk to human health, and this chronic exposure to metals also can cause toxic effects on local aquatic biota.</t>
  </si>
  <si>
    <t>[de Moraes Calado, Sabrina Loise; Salgado, Lilian Dalago] Univ Fed Parana, Ecol &amp; Conservat Postgrad Program, POB 19031, BR-81530980 Curitiba, Parana, Brazil; [Salgado, Lilian Dalago] Cananeia Res Inst, BR-11990000 Cananeia, SP, Brazil; [Santos, Gustavo Souza] Univ Fed Parana, Dept Genet, POB 19031, BR-81530980 Curitiba, Parana, Brazil; [Carvalho Neto, Fernando da Silva] UNICESUMAR, Dept Chem, BR-81070190 Curitiba, Parana, Brazil; [de Menezes, Marcia Santos] Univ Fed Parana, Dept Zool, BR-85950000 Palotina, Parana, Brazil</t>
  </si>
  <si>
    <t>Universidade Federal do Parana; Universidade Federal do Parana; UniCesumar - Centro Universitario Cesumar; Universidade Federal do Parana</t>
  </si>
  <si>
    <t>Calado, SLD (corresponding author), Univ Fed Parana, Ecol &amp; Conservat Postgrad Program, POB 19031, BR-81530980 Curitiba, Parana, Brazil.</t>
  </si>
  <si>
    <t>sabrinalmcalado@gmail.com; lilian.salgado@hotmail.com; gustavossnt@gmail.com; fcneto@gmail.com; marciamenezes@gmail.com</t>
  </si>
  <si>
    <t>Souza Santos, Gustavo/GSD-5472-2022; Souza Santos, Gustavo/D-1771-2017</t>
  </si>
  <si>
    <t>Souza Santos, Gustavo/0000-0003-3529-825X</t>
  </si>
  <si>
    <t>Positivo University</t>
  </si>
  <si>
    <t>The Positivo University provided logistic and financial support in the laboratorial analyses.</t>
  </si>
  <si>
    <t>10.1007/s11356-020-10836-7</t>
  </si>
  <si>
    <t>PY6LU</t>
  </si>
  <si>
    <t>WOS:000572020700005</t>
  </si>
  <si>
    <t>Minier, C; Moore, MN</t>
  </si>
  <si>
    <t>Calcein accumulation in mussel blood cells</t>
  </si>
  <si>
    <t>MULTIXENOBIOTIC RESISTANCE MECHANISM; MYTILUS-GALLOPROVINCIALIS; MODULATORS; EXPRESSION; EXPOSURE; GILLS</t>
  </si>
  <si>
    <t>Incubation of mussel blood cells with the lipophylic compound calcein-AM led these cells to hydrolase this organic chemical into its charged and fluorescent form, calcein. The distribution of this dye was mainly concern with the lysosomal compartment, as visualised by confoncal laser microscopy. Assessment of blood cell calcein accumulation with a microtiter plate reader showed that calcein fluorescence was lower in mussel cells from organisms collected at a polluted site and from organisms treated with vincristine than in cells from organisms sampled in a pristine area. Furthermore this accumulation was sensitive to verapamil, vincristine, simazine and sodium azide. As the sensitivity to MXR modulators was low, these results suggest that the use of assessment of calcein accumulation in mussel blood cells using a microtiter plate reader as a new biomarker tool for environmental purposes needs further study. (C) 1998 Elsevier Science Ltd. All rights reserved.</t>
  </si>
  <si>
    <t>Univ Havre, Lab Ecotoxicol, F-76058 Le Havre, France; Plymouth Marine Lab, Lab Mol Cell Biol &amp; Pathol, Plymouth PL1 2PB, Devon, England</t>
  </si>
  <si>
    <t>Universite de Reims Champagne-Ardenne; Universite Le Havre Normandie; Plymouth Marine Laboratory</t>
  </si>
  <si>
    <t>Minier, C (corresponding author), Univ Havre, Lab Ecotoxicol, 25 Rue Philippe Lebon,BP 540, F-76058 Le Havre, France.</t>
  </si>
  <si>
    <t>10.1016/S0141-1136(97)00076-7</t>
  </si>
  <si>
    <t>WOS:000075806100085</t>
  </si>
  <si>
    <t>Perosevic, A; Joksimovic, D; Durovic, D; Milasevic, I; Radomirovic, M; Stankovic, S</t>
  </si>
  <si>
    <t>Perosevic, Ana; Joksimovic, Danijela; Durovic, Dijana; Milasevic, Ivana; Radomirovic, Milena; Stankovic, Slavka</t>
  </si>
  <si>
    <t>Human exposure to trace elements via consumption of mussels Mytilus galloprovincialis from Boka Kotorska Bay, Montenegro</t>
  </si>
  <si>
    <t>Trace elements; Mytilus galloprovincialis; Human exposure; Health risk assessment</t>
  </si>
  <si>
    <t>HEAVY-METALS; HEALTH-RISK; POTENTIAL RISK; SHELLFISH; COAST; FISH; SEA; BIOACCUMULATION; POLLUTION; CADMIUM</t>
  </si>
  <si>
    <t>In order to assess human health risks via consumption of potentially toxic mussels, the concentrations of Al, Ba, Cd, Co, Cr, Cu, Fe, Li, Mn, Ni, Pb, Sr, Zn and Hg were studied in Mytilus galloprovincialis collected from the coastal area of Montenegro. By two approaches for the human health risk assessment (HHRA), considering oral reference doses by the United States Environmental Protection Agency (US EPA) and provisional tolerable intakes by the Joint FAO/WHO Expert Committee on Food Additives (JECFA), it has been revealed that despite the fact that trace element levels do not exceed the defined limits for mussels, they can be limiting factors for the mussel consumption. Specifically, it was noticed that the levels of Co, Pb, Cd and Li could be the limiting factors for the consumption of mussels from this coastal area. Al and Li data obtained in this study are especially important since these two elements have not been previously studied in M. galloprovincialis. Furthermore, taking into account the significant differences in concentrations of elements in different seasons, the study confirmed the starting assumption that in the calculations for the HHRA the average concentrations of elements in samples taken in different seasons during a longer period should be used.</t>
  </si>
  <si>
    <t>[Perosevic, Ana; Milasevic, Ivana] Univ Montenegro, BIO ICT Ctr Excellence Bioinformat, Podgorica 81000, Montenegro; [Joksimovic, Danijela] Univ Montenegro, Inst Marine Biol, Dobrota Bb 85330, Kotor, Montenegro; [Durovic, Dijana] Inst Publ Hlth Montenegro, Podgorica 81000, Montenegro; [Radomirovic, Milena; Stankovic, Slavka] Univ Belgrade, Fac Technol &amp; Met, Dept Analyt Chem, Karnegijeva 4, Belgrade 11000, Serbia</t>
  </si>
  <si>
    <t>University of Montenegro; University of Montenegro; University of Belgrade</t>
  </si>
  <si>
    <t>Radomirovic, Milena/JBS-3612-2023; Perošević-Bajčeta, Ana/AAH-4443-2019; Joksimovic, Danijela/AAH-7688-2019</t>
  </si>
  <si>
    <t>Perosevic-Bajceta, Ana/0000-0002-2083-7612; Radomirovic, Milena/0000-0003-1575-0720</t>
  </si>
  <si>
    <t>10.1016/j.jtemb.2018.03.018</t>
  </si>
  <si>
    <t>WOS:000448633900074</t>
  </si>
  <si>
    <t>Wells, DE; Chiffoleau, JF; Klungsoyr, J</t>
  </si>
  <si>
    <t>QUASIMEME: a preliminary study on the effects of sample handling on the measurement of trace metals and organochlorine residues in mussels</t>
  </si>
  <si>
    <t>EC QUASIMEME Final Workshop</t>
  </si>
  <si>
    <t>MAR 13-17, 1996</t>
  </si>
  <si>
    <t>CRIEFF, SCOTLAND</t>
  </si>
  <si>
    <t>As part of the development of quality measurement of trace metals and organochlorine residues in marine biota, the QUASIMEME Project undertook an interlaboratory study to determine the magnitude of the errors associated with the sample handling of mussels (Mytilus edulis) prior to analysis. Mussels were distributed to participating laboratories which homogenized and freeze-dried five pools of 10 mussels. Each pool was analysed both by the participants and by a reference laboratory. Systematic errors resulting from the freeze drying and from contamination during analysis for the trace metals, particularly lead and organochlorines, were identified. In general, the errors associated with the sample preparation were of similar magnitude to the final measurement of the trace metals, whereas the errors for the measurement of the chlorobiphenyls and the organochlorine pesticides still dominated the overall variance and bias for the analysis. (C) 1997 Published by Elsevier Science Ltd. All rights reserved.</t>
  </si>
  <si>
    <t>Dept Agr &amp; Fisheries Scotland, Marine Lab, FRS, Aberdeen AB9 8DB, Scotland; IFREMER, Ctr Nantes, F-44311 Nantes 03, France; Inst Marine Res, N-5024 Bergen, Norway</t>
  </si>
  <si>
    <t>Ifremer; Nantes Universite; Institute of Marine Research - Norway</t>
  </si>
  <si>
    <t>Dept Agr &amp; Fisheries Scotland, Marine Lab, FRS, Victoria Rd,POB 101, Aberdeen AB9 8DB, Scotland.</t>
  </si>
  <si>
    <t>JAN-JUN</t>
  </si>
  <si>
    <t>10.1016/S0025-326X(97)00208-7</t>
  </si>
  <si>
    <t>ZF471</t>
  </si>
  <si>
    <t>WOS:000072900800011</t>
  </si>
  <si>
    <t>The effect of size, weight, body compartment, sex and reproductive status on the bioaccumulation of 19 trace elements in rope-grown Mytilus galloprovincialis</t>
  </si>
  <si>
    <t>Trace element; Mytilus galloprovincialis; Size; Weight; Sex; Gametogenesis; Body compartmentalization</t>
  </si>
  <si>
    <t>CHEMICAL CONTAMINATION; COASTAL WATERS; METAL CONTENT; HEAVY-METALS; MUSSEL; EDULIS; TISSUE; GULF; ZINC; DIFFERENTIATION</t>
  </si>
  <si>
    <t>Numerous trace elements (TEs) can be considered as potential pollutants of the environment, their mining productions and industrial uses increasing worldwide. Their monitoring can be achieved through the use of bioindicator species, such as the Mediterranean mussel Mytilus galloprovincialis (Lamarck, 1819). That species has been widely used to monitor the chemical pollution of coastal ecosystems by Cr, Ni, Cu, Zn, Cd, Pb, As, Ag and V. Conversely, environmental levels of Be, Al, Fe, Mn, Co, Se, Mo, Sn, Sb and Bi have been little or not monitored so far in mussel watch programs. Bioaccumulation processes of these 19 TEs in rope-grown M. galloprovincialis purchased from a salt pond with good chemical water quality were thus investigated in the present study. Mussels efficiently accumulated the 19 studied TEs. Bioaccumulation processes were driven by numerous mutually dependent biological parameters such as the mussel size and flesh weight, the sex and the reproductive status and the body compartment considered. TE bioaccumulation was a power function of the mussel soft body dry weight; total contents linearly increased with the shell length. Small-size mussels overall concentrated more TEs, with a high inter-individual variability, consequently influencing the modelling of their bioaccumulation in the whole rope population. Although a large range of rope-grown M. galloprovincialis sizes can be used for monitoring purposes, one will thus take care not to use extreme size individuals. The influence of gametogenesis in determining female body higher TE concentrations prior to spawning could not be neglected and varied depending on the element. TEs were preferentially accumulated in the hepatopancreas, except for Zn, Se, Cd and Mo, more concentrated in gills. Gametogenesis did not influence TE distribution between body compartments, but likely diluted their concentrations as a direct consequence of massive reproductive tissue production. So, results from the present study underline the potential use of M. galloprovincialis in the biomonitoring of numerous little studied TEs and give some insights into the decisive role played by some relevant biological parameters in bioaccumulation processes of the 19 investigated TEs in rope-grown mussels. (C) 2013 Elsevier Ltd. All rights reserved.</t>
  </si>
  <si>
    <t>[Richir, J.; Gobert, S.] Univ Liege, Lab Oceanol, MARE Ctr, B-4000 Liege, Belgium</t>
  </si>
  <si>
    <t>Richir, J (corresponding author), Univ Liege, Lab Oceanol, MARE Ctr, B6c, B-4000 Liege, Belgium.</t>
  </si>
  <si>
    <t>FRS-FNRS [FRFC 2.4.502.08]; French Community of Belgium [ARC Race 05/10-333]; Territorial Collectivity of Corsica; French Water Agency (PACA-Corsica)</t>
  </si>
  <si>
    <t>FRS-FNRS(Fonds de la Recherche Scientifique - FNRS); French Community of Belgium; Territorial Collectivity of Corsica(Region Corse); French Water Agency (PACA-Corsica)</t>
  </si>
  <si>
    <t>Funding was provided by the FRS-FNRS (FRFC 2.4.502.08) and by the French Community of Belgium (ARC Race 05/10-333). This study is part of the STARECAPMED (Station of Reference and Research on Change of local and global Anthropogenic Pressures on Mediterranean Ecosystems Drifts) project funded by the Territorial Collectivity of Corsica and by The French Water Agency (PACA-Corsica). Authors are grateful to Mr. B. Pantalacci, manager of the shellfish farm SARL Etang de Diane, who furnished mussel ropes, to M. Fassin and A. Deraikem who processed samples during their master thesis, to R. Biondo who performed ICP-MS analyses and to A. Nackers who improved the language of the manuscript. This publication has the MARE publication number MARE247.</t>
  </si>
  <si>
    <t>10.1016/j.ecolind.2013.06.021</t>
  </si>
  <si>
    <t>281DV</t>
  </si>
  <si>
    <t>WOS:000329081100004</t>
  </si>
  <si>
    <t>Liu, D; Pan, LQ; Cai, YF; Li, Z; Miao, JJ</t>
  </si>
  <si>
    <t>Liu, Dong; Pan, Luqing; Cai, Yuefeng; Li, Zhen; Miao, Jingjing</t>
  </si>
  <si>
    <t>Response of detoxification gene mRNA expression and selection of molecular biomarkers in the clam Ruditapes philippinarum exposed to benzo[a] pyrene</t>
  </si>
  <si>
    <t>Benzo[a]pyrene; Bioaccumulation; Detoxification; Molecular biomarker; Ruditapes philippinarum</t>
  </si>
  <si>
    <t>SCALLOP CHLAMYS-FARRERI; GLUTATHIONE TRANSFERASES; DNA-ADDUCTS; IDENTIFICATION; MUSSELS; ACTIVATION; PROFILES; CADMIUM; DAMAGE</t>
  </si>
  <si>
    <t>Benzo[a]pyrene (B[a]P) has a high carcinogenic potential. B[a]P concentrations and molecular biomarkers (mRNA expressions of Pgp, AhR, CYP4, CYP414A1, GST-pi, GST-S2, Cu/Zn-SOD and Mn-SOD) were assayed in gills and digestive glands of the clam Ruditapes philippinarum exposed to 0.03, 0.3 and 3 mu g/L B[a]P for 21 days and then exposed to natural seawater for 15 days. Results showed that B[a]P was rapidly accumulated in and then eliminated from tissues of the clams. All gene mRNA expressions in the treated groups were induced significantly with the exception of CYP414A1 and Cu/Zn-SOD in the 0.03 mu g/L B[a]P group. According to correlation analysis, mRNA expressions of AhR, GST-pi and Mn-SOD in gills and GST-pi in digestive glands had good correlations with B[a]P concentrations and could be used as molecular biomarkers of B[a]P exposure. This study investigated the molecular response of the genes mentioned above and selected useful molecular biomarkers for B[a]P pollution monitoring. (C) 2014 Elsevier Ltd. All rights reserved.</t>
  </si>
  <si>
    <t>[Liu, Dong; Pan, Luqing; Cai, Yuefeng; Li, Zhen; Miao, Jingjing] Ocean Univ China, Minist Educ, Key Lab Mariculture, Qingdao 266003, Peoples R China</t>
  </si>
  <si>
    <t>Pan, LQ (corresponding author), Ocean Univ China, Minist Educ, Key Lab Mariculture, Qingdao 266003, Peoples R China.</t>
  </si>
  <si>
    <t>Technological Development Projects of Shandong, China [2008GG1005010]; Technological Development Projects of Qingdao, China [09-1-3-15-jch]</t>
  </si>
  <si>
    <t>Technological Development Projects of Shandong, China; Technological Development Projects of Qingdao, China</t>
  </si>
  <si>
    <t>This research was supported by the Technological Development Projects of Shandong, China (2008GG1005010) and Technological Development Projects of Qingdao, China (09-1-3-15-jch). We thank the staff at the Laboratory of Environmental Physiology of Aquatic Animal for help with sampling and taking care of the clams.</t>
  </si>
  <si>
    <t>10.1016/j.envpol.2014.02.013</t>
  </si>
  <si>
    <t>AH9MQ</t>
  </si>
  <si>
    <t>WOS:000336466900001</t>
  </si>
  <si>
    <t>Zilberberg, C; Sereno, D; Lima, G; Custódio, MR; Lôbo-Hajdu, G</t>
  </si>
  <si>
    <t>Zilberberg, Carla; Sereno, Dayane; Lima, Gabriela; Custodio, Marcio R.; Lobo-Hajdu, Gisele</t>
  </si>
  <si>
    <t>Effect of Mussel's Gender and Size on a Stress Response Biomarker</t>
  </si>
  <si>
    <t>Perna perna; Shell length; Male and female; pp38-MAPK; Hypoxia; Protein expression</t>
  </si>
  <si>
    <t>MYTILUS-GALLOPROVINCIALIS; AGE</t>
  </si>
  <si>
    <t>In mussels, stress signals such as heat, osmotic shock and hypoxia lead to the activation of the phosphorylated p38 mitogen activated protein kinase (pp38-MAPK). This stress activated protein has been efficiently used as a biomarker to several natural and anthropogenic stresses. However, what has not been tested is whether differences in gender or size can affect the response of this biomarker. The present study tested whether there was variation in the expression of pp38-MAPK in mussels Perna perna of different gender and size classes when exposed to natural stress conditions, such as air exposure. The results show that gender does not affect the expression of pp38-MAPK. However, size does have an effect, where mussels smaller than 6.5 cm displayed significantly (p &lt; 0.05) lower levels of pp38-MAPK when compared to those larger than 7 cm. Mussels are one of the most used bioindicator species and the use of biomarkers to determine the health status of an ecosystem has been greatly increasing over the years. The present study highlights the importance of using mussels of similar size classes when performing experiments using stress-related biomarkers.</t>
  </si>
  <si>
    <t>[Zilberberg, Carla] Univ Fed Rio de Janeiro, Dept Zool, BR-21941590 Rio De Janeiro, Brazil; [Zilberberg, Carla; Sereno, Dayane; Lima, Gabriela; Lobo-Hajdu, Gisele] Univ Estado Rio de Janeiro, Dept Genet, BR-20550900 Rio De Janeiro, Brazil; [Custodio, Marcio R.] Univ Sao Paulo, Dept Fisiol Geral, BR-05508900 Sao Paulo, Brazil</t>
  </si>
  <si>
    <t>Universidade Federal do Rio de Janeiro; Universidade do Estado do Rio de Janeiro; Universidade de Sao Paulo</t>
  </si>
  <si>
    <t>Zilberberg, C (corresponding author), Univ Fed Rio de Janeiro, Dept Zool, BR-21941590 Rio De Janeiro, Brazil.</t>
  </si>
  <si>
    <t>carla.zilberberg@biologia.ufrj.br</t>
  </si>
  <si>
    <t>Carla Zilberberg, Carla/AAO-4746-2020; Sereno, Dayane/AAQ-2450-2020; Lobo-Hajdu, Gisele/A-6709-2008; Custodio, Marcio Reis/B-4981-2008</t>
  </si>
  <si>
    <t>Sereno Baeta Rodrigues, Dayane/0000-0003-1306-5594; Custodio, Marcio Reis/0000-0002-7075-0478; Lobo-Hajdu, Gisele/0000-0001-7792-9609</t>
  </si>
  <si>
    <t>'CNPq/Programas Ciencias do Mar Brazil/Germany' [59004/2005-0]</t>
  </si>
  <si>
    <t>'CNPq/Programas Ciencias do Mar Brazil/Germany'(Conselho Nacional de Desenvolvimento Cientifico e Tecnologico (CNPQ))</t>
  </si>
  <si>
    <t>The authors would like to thank the staff at CEADS-Ilha Grande for using their facilities to collect and process the mussels. The authors also thank the anonymous reviewer for the suggestions that greatly improved the final version of the paper. This work was funded through 'CNPq/Programas Ciencias do Mar Brazil/Germany' (no 59004/2005-0).</t>
  </si>
  <si>
    <t>10.1007/s11270-010-0589-4</t>
  </si>
  <si>
    <t>750PR</t>
  </si>
  <si>
    <t>WOS:000289561000027</t>
  </si>
  <si>
    <t>Geraudie, P; Bakkemo, R; Milinkovitch, T; Thomas-Guyon, H</t>
  </si>
  <si>
    <t>Geraudie, Perrine; Bakkemo, Renee; Milinkovitch, Thomas; Thomas-Guyon, Helene</t>
  </si>
  <si>
    <t>First evidence of marine diesel effects on biomarker responses in the Icelandic scallops, Chlamys islandica</t>
  </si>
  <si>
    <t>Marine diesel; Chlamys islandica; CAT; Arctic; AchE; PAHs</t>
  </si>
  <si>
    <t>MUSSEL MYTILUS-EDULIS; PETROLEUM-HYDROCARBONS; RAPID ASSESSMENT; ACUTE EXPOSURE; OIL; WATER; FISH; BEHAVIOR; STRESS</t>
  </si>
  <si>
    <t>The decrease of ice cover in polar areas is expected to lead to an increase in ship traffic. In this context, the risk associated with exposure of the aquatic environment to oil-related chemicals from spills and/or accidental fuel discharges from ships will increase in the near future, potentially causing negative impacts on sensitive Arctic species. This study investigated for the first time the biomarker responses of the Icelandic scallops (Chlamys islandica) to marine diesel exposure. Antioxidant response, neurotoxic effect, gonad maturation, and lipid content were assessed in male and female scallops, Chlamys islandica after a 7-day exposure to marine diesel. At the end of exposure, results showed an inhibition of acetylcholinesterase activity in Icelandic scallops exposed to high concentration of diesel. At the end of exposure, results showed an increase in naphthalene residues in hemolymph, together with an inhibition of AChE activity in Icelandic scallops exposed to high concentration of diesel. In addition, alteration of the escape capacity was observed suggesting effects on behavior responses. Overall, this study contributes to the better knowledge of physiological effects of marine diesel in Arctic marine organisms.</t>
  </si>
  <si>
    <t>[Geraudie, Perrine] Akvaplan Niva AS, High North Res Ctr Climate &amp; Environm, N-9296 Tromso, Norway; [Bakkemo, Renee] Univ Essex, Wivenhoe Pk, Colchester CO4 3SQ, Essex, England; [Milinkovitch, Thomas; Thomas-Guyon, Helene] Univ La Rochelle, CNRS, UMR 7266, Littoral Environm &amp; Soc LIENSs, 2 Rue Olympe de Gouges, F-17042 La Rochelle 01, France</t>
  </si>
  <si>
    <t>Akvaplan-niva; University of Essex; La Rochelle Universite; Centre National de la Recherche Scientifique (CNRS)</t>
  </si>
  <si>
    <t>Geraudie, P (corresponding author), Akvaplan Niva AS, High North Res Ctr Climate &amp; Environm, N-9296 Tromso, Norway.</t>
  </si>
  <si>
    <t>pge@akvaplan.niva.no</t>
  </si>
  <si>
    <t>Svalbard Environmental Protection Fund [PN 12/162]; Ambassade Royale de Norvege; University of La Rochelle, Centre National de la Recherche Scientifique (France); Ministere des Affaires etrangeres France/Norway</t>
  </si>
  <si>
    <t>Svalbard Environmental Protection Fund; Ambassade Royale de Norvege; University of La Rochelle, Centre National de la Recherche Scientifique (France); Ministere des Affaires etrangeres France/Norway</t>
  </si>
  <si>
    <t>This project was funded by the Governor of Svalbard through the Svalbard Environmental Protection Fund (PN 12/162). This work was supported by grants from Ambassade Royale de Norvege and Ministere des Affaires etrangeres France/Norway (postdoctoral position and mobility grants for T. Milinkovitch). Funding was also supported in part by the University of La Rochelle, Centre National de la Recherche Scientifique (France). The authors greatly thank Dr. Nicholas Warner for its kind contribution to the English review of the manuscript.</t>
  </si>
  <si>
    <t>10.1007/s11356-016-6572-x</t>
  </si>
  <si>
    <t>WOS:000381156600066</t>
  </si>
  <si>
    <t>Carroll, M; Romanek, CS</t>
  </si>
  <si>
    <t>Carroll, Monica; Romanek, Christopher S.</t>
  </si>
  <si>
    <t>Shell layer variation in trace element concentration for the freshwater bivalve Elliptio complanata</t>
  </si>
  <si>
    <t>GEO-MARINE LETTERS</t>
  </si>
  <si>
    <t>MYTILUS-EDULIS; BARIUM UPTAKE; CHEMISTRY; STRONTIUM; CALCITE; PRECIPITATION; ARAGONITE; PROFILES; MUSSELS; MODEL</t>
  </si>
  <si>
    <t>While the elemental chemistry of marine mollusk shells contains valuable environmental information, extending these interpretations to freshwater bivalve shells may be problematic, given the wide range of aqueous chemistries that exist in freshwater environments. To better understand the significance of these records, 20 bivalves were collected from four freshwater streams to determine the geochemical relationships that exist between the bivalve shell and their sources streams. The concentrations of manganese (Mn), copper (Cu), strontium (Sr), barium (Ba), and calcium (Ca) were analyzed by laser ablation inductively coupled plasma mass spectrometry across the inner (INL) and outer nacreous layer (ONL) of each shell for comparison to stream data collected over the period of shell growth. Within an individual shell, the content of Mn, Sr, and Ba were significantly higher in the INL than the ONL, while Cu concentrations were similar. Strontium and Ba concentrations co-varied between the two layers in 1:1 relationships, while Mn displayed a preferential enrichment in the INL that increased from 2:1 to 5:1 as the Mn content of the shell decreased. Each elemental profile can be correlated between shell layers, except for the trace element Cu, which appeared to be more closely related to the organic content of the shell. These results suggest that the major element geochemistry of the shell layers differentially reflect the aqueous chemistry of the water in which a bivalve lived, but that these records are most likely overprinted by physiological processes specific to the mantle tissue from which a particular shell layer is secreted. Distribution coefficients (shell(M/Ca):water (M/Ca), where M=trace element of interest) were calculated using the median molar elemental concentration for each shell (by layer), and the appropriate water concentration. Bivalves from a contaminated site were excluded from this analysis because their shells were anomalous in size and color. For the remaining 15 shells, distribution coefficients (INL and ONL) were: Mn (0.50 and 0.21), Sr (0.26 and 0.17), and Ba (0.05: INL only). Inner nacreous layer values were comparable to the upper end of published estimates for freshwater bivalves and fish otoliths, while the ONL values were comparable to the lower range of values. Inclusion of shells from the contaminated site resulted in the calculation of distribution coefficients that fell outside the range of published estimates. These results suggest that exposure to pollutants may have a bearing on the biological factors that control the elemental concentration of bivalve shells in freshwater environments. While researchers generally avoid sampling shell material from the INL because of the potential for shell dissolution, the similarity in elemental profile trends observed here suggests that both the INL and ONL record accurate geochemical information, but in distinct forms. An obvious advantage of INL analysis is the relative increase in elemental concentration, but this is afforded at the expense of spatial resolution. Considered collectively, these results suggest that valuable information can be gleaned from the elemental concentration of freshwater bivalve shells when care is taken in the choice of material from which these records are extracted.</t>
  </si>
  <si>
    <t>[Romanek, Christopher S.] Univ Georgia, Dept Geol, Athens, GA 30602 USA; [Carroll, Monica] No Illinois Univ, Dept Geol &amp; Environm Sci, De Kalb, IL 60115 USA</t>
  </si>
  <si>
    <t>University System of Georgia; University of Georgia; Northern Illinois University</t>
  </si>
  <si>
    <t>Romanek, CS (corresponding author), Univ Georgia, Dept Geol, Athens, GA 30602 USA.</t>
  </si>
  <si>
    <t>romanek@uga.edu</t>
  </si>
  <si>
    <t>Environmental Remediation Sciences Division of the Office of Biological and Environmental Research, U. S [DE-FC09-96-SR18546]</t>
  </si>
  <si>
    <t>Environmental Remediation Sciences Division of the Office of Biological and Environmental Research, U. S</t>
  </si>
  <si>
    <t>This research was supported by the Environmental Remediation Sciences Division of the Office of Biological and Environmental Research, U. S. Department of Energy, through Financial Assistance Award No. DE-FC09-96-SR18546 to the University of Georgia Research Foundation, Geological Society of America, and the Paleontological Society.</t>
  </si>
  <si>
    <t>0276-0460</t>
  </si>
  <si>
    <t>1432-1157</t>
  </si>
  <si>
    <t>GEO-MAR LETT</t>
  </si>
  <si>
    <t>Geo-Mar. Lett.</t>
  </si>
  <si>
    <t>10.1007/s00367-008-0117-3</t>
  </si>
  <si>
    <t>Geosciences, Multidisciplinary; Oceanography</t>
  </si>
  <si>
    <t>Geology; Oceanography</t>
  </si>
  <si>
    <t>345OG</t>
  </si>
  <si>
    <t>WOS:000259005500010</t>
  </si>
  <si>
    <t>Jones, JB</t>
  </si>
  <si>
    <t>Jones, J. B.</t>
  </si>
  <si>
    <t>Why won't they grow? - Inhibitory substances and mollusc hatcheries</t>
  </si>
  <si>
    <t>biological effects; contamination; metals; seawater storage; toxins</t>
  </si>
  <si>
    <t>SEA-SURFACE MICROLAYER; PEARL OYSTER; CRASSOSTREA-GIGAS; RUDITAPES-DECUSSATUS; LARVAL SETTLEMENT; PACIFIC OYSTER; TOXICITY; SEAWATER; TRIBUTYLTIN; MORTALITY</t>
  </si>
  <si>
    <t>Molluscs are known to be seriously affected by trace amounts of environmental pollutants such as tributyltin at concentrations in seawater that are below the level of detection by all but the most sensitive chemical analytical techniques. This extreme sensitivity by molluscs has led to use of both adults and larvae as biomonitors for environmental pollution. Mollusc aquaculture has led to an increasing demand for commercial hatcheries to supply seed stock, including selected genetic lines of spat and juveniles. It is becoming apparent that many of the unexplained crashes, ill thrift or failures of larvae to metamorphose in such hatcheries are primarily due to their being compromised for a range of reasons including traces of inhibitory or toxic substances in the water supply. Because dead and dying larvae are ideal substrates for bacterial and ciliate growth, such invaders are often assumed to be the primary cause of the problem and this hinders finding a solution. In addition, many of the toxins which may be implicated in crashes are sporadic in occurrence and are both difficult to detect and hard to remove from the water supply. This paper provides evidence for these toxic effects and suggests ways of reducing the problems.</t>
  </si>
  <si>
    <t>Govt Western Australia, Dept Fisheries, North Beach, WA 6920, Australia</t>
  </si>
  <si>
    <t>Government of Western Australia</t>
  </si>
  <si>
    <t>Jones, JB (corresponding author), Govt Western Australia, Dept Fisheries, POB 20, North Beach, WA 6920, Australia.</t>
  </si>
  <si>
    <t>bjones@agric.wa.gov.au</t>
  </si>
  <si>
    <t>Jones, Brian/B-8792-2016</t>
  </si>
  <si>
    <t>Jones, Brian/0000-0002-0773-2007</t>
  </si>
  <si>
    <t>10.1007/s10499-005-9040-z</t>
  </si>
  <si>
    <t>073DH</t>
  </si>
  <si>
    <t>WOS:000239722400005</t>
  </si>
  <si>
    <t>Li, YD; Weng, YX; Peng, HQ; Zeng, JB</t>
  </si>
  <si>
    <t>Li, Yi-Dong; Weng, Yunxuan; Peng, Hua-Qiao; Zeng, Jian-Bing</t>
  </si>
  <si>
    <t>Mussel inspired stable underwater superoleophobic cotton fabric combined with carbon nanotubes for efficient oil/water separation and dye adsorption</t>
  </si>
  <si>
    <t>Cotton fabric; Underwater superoleophobicity; Oil; water separation; Dye adsorption; Stability</t>
  </si>
  <si>
    <t>AQUEOUS-SOLUTIONS; METHYLENE-BLUE; NANOPARTICLES; SURFACES; EMULSION; REMOVAL</t>
  </si>
  <si>
    <t>Currently reported biobased superwetting cotton fabrics (CF) for wastewater purification were limited because they can only separate oil/water mixtures but cannot remove other pollutants such as dyes from wastewater. In this study, we reported a superhydrophilic and underwater superoleophobic cotton fabric (SUSCF) which was fabricated via a facile two-step method, i.e., dip-coating in poly(sodium 4-styrenesulfonate) (PSS) wrapped carbon nanotube (CNT) dispersion and subsequent in-situ deposition of polydopamine (PDA). The deposited PDA particles and coated CNT endowed CF with superhydrophilicity and underwater superoleophobicity by improving surface roughness and hydrophilicity. The obtained SUSCF showed an underwater oil contact angle of 160 degrees, which made it an attractive water-removing material for oil/water separation with separation efficiency and water flux of higher than 99.8% and 10,834 L m-2h- 1, respectively. The combination of CNT, PSS, and PDA endowed the SUSCF with outstanding cationic dye adsorption capacity, especially leading to a maximum removal ratio of 97% toward methylene blue. In addition, the SUSCF exhibited excellent stability to survive after exposure to sandpaper abrasion, boiling water, organic solvents, salt solution, and acidic/alkali erosion, due to the strong hydrogen bonds and mussel-inspired adhesion between coated components and fabric surface. The stable biobased underwater superoleophobic cotton fabric with integrated excellent oil/water separation performance and dye adsorption capacity shows great potential in wastewater purification even under some harsh conditions.</t>
  </si>
  <si>
    <t>[Li, Yi-Dong; Zeng, Jian-Bing] Southwest Univ, Sch Chem &amp; Chem Engn, Chongqing Key Lab Soft Matter Mat Chem &amp; Funct Mfg, Chongqing 400715, Peoples R China; [Weng, Yunxuan] Beijing Technol &amp; Business Univ BTBU, Coll Chem &amp; Mat Engn, Beijing 100048, Peoples R China; [Peng, Hua-Qiao] Civil Aviat Adm China, Res Inst 2, Chengdu 610041, Peoples R China</t>
  </si>
  <si>
    <t>Southwest University - China; Beijing Technology &amp; Business University</t>
  </si>
  <si>
    <t>Zeng, JB (corresponding author), Southwest Univ, Sch Chem &amp; Chem Engn, Chongqing Key Lab Soft Matter Mat Chem &amp; Funct Mfg, Chongqing 400715, Peoples R China.;Weng, YX (corresponding author), Beijing Technol &amp; Business Univ BTBU, Coll Chem &amp; Mat Engn, Beijing 100048, Peoples R China.</t>
  </si>
  <si>
    <t>wyxuan@th.btbu.edu.cn; jbzeng@swu.edu.cn</t>
  </si>
  <si>
    <t>Zeng, Jian-Bing/G-9583-2016</t>
  </si>
  <si>
    <t>National Natural Science Foundation of China [U1833202]; Chongqing Talent Plan for Young Top-Notch Talents [CQYC2021059217]; Open Research Fund Pro-gram of Cultivation Project of Double First-Class Disciplines ofChemistry and Materials Engineering, Beijing Technology &amp; Business University (BTBU) [hc202201]; Beijing Science and Technology Plan Project [Z211100004321003, Z211100004321004]</t>
  </si>
  <si>
    <t>National Natural Science Foundation of China(National Natural Science Foundation of China (NSFC)); Chongqing Talent Plan for Young Top-Notch Talents; Open Research Fund Pro-gram of Cultivation Project of Double First-Class Disciplines ofChemistry and Materials Engineering, Beijing Technology &amp; Business University (BTBU); Beijing Science and Technology Plan Project</t>
  </si>
  <si>
    <t>This work is financially supported by the National Natural Science Foundation of China (U1833202) , the Chongqing Talent Plan for Young Top-Notch Talents (CQYC2021059217) , the Open Research Fund Pro-gram of Cultivation Project of Double First-Class Disciplines ofChemistry and Materials Engineering, Beijing Technology &amp; Business University (BTBU) (hc202201) , and Beijing Science and Technology Plan Project (Z211100004321003 and Z211100004321004) .</t>
  </si>
  <si>
    <t>10.1016/j.apsusc.2023.157566</t>
  </si>
  <si>
    <t>J7NB9</t>
  </si>
  <si>
    <t>WOS:001011441900001</t>
  </si>
  <si>
    <t>A Yesso Scallop Population Exposed to Climate-Induced and Anthropogenic Habitat Changes in Amur Bay, Sea of Japan</t>
  </si>
  <si>
    <t>PATINOPECTEN-YESSOENSIS</t>
  </si>
  <si>
    <t>In the study area, located in the coastal waters of Amur Bay off Vladivostok, which is exposed to industrial and domestic sewage effluents, the population of the Yesso scallop Mizuhopecten (=Patinopecten) yessoensis and the community of the endo- and epibiosis of its shell underwent major changes during the period 1981-2016, in which three main stages can be identified. During the first stage, which lasted until the early 1990s, the growth rate and lifespan of the scallop decreased, but the mortality rate and the degree of shell bioerosion grew. This stage coincided with the period of increased anthropogenic pollution in Amur Bay. In the mid-1990s, which was a transitional period, the decline in the scallop growth rate ceased. At that time environmental pollution decreased due to reduced sewage discharge as industrial production fell. During the second stage, which lasted until the mid-2000s, the scallop growth rate increased, but the degree of bioerosion and abundance of epibionts on the scallop shell reduced. That was a period when the bay underwent gradual natural self-purification. During the third stage, which continues until present, the scallop growth rate has declined again due to increased eutrophication, which leads to lower oxygen saturation of water. This is most evident during periodic increases in water temperature associated with the quasi-biennial and 7- to 8-year temperature fluctuation cycles. Poaching is a negative anthropogenic that has caused a substantial reduction in scallop population density.</t>
  </si>
  <si>
    <t>[Silina, A. V.] Russian Acad Sci, Far Eastern Branch, Natl Sci Ctr Marine Biol, Zhirmunsky Inst Marine Biol, Vladivostok 690041, Russia</t>
  </si>
  <si>
    <t>Silina, AV (corresponding author), Russian Acad Sci, Far Eastern Branch, Natl Sci Ctr Marine Biol, Zhirmunsky Inst Marine Biol, Vladivostok 690041, Russia.</t>
  </si>
  <si>
    <t>Far Eastern Branch, Russian Academy of Science [15-I-6-059]</t>
  </si>
  <si>
    <t>Far Eastern Branch, Russian Academy of Science</t>
  </si>
  <si>
    <t>The study was financially supported in part by the Far Eastern Branch, Russian Academy of Science (grant no. 15-I-6-059).</t>
  </si>
  <si>
    <t>10.1134/S000143701901020X</t>
  </si>
  <si>
    <t>HX6FN</t>
  </si>
  <si>
    <t>WOS:000467499600008</t>
  </si>
  <si>
    <t>Do Nascimento, J; Ladeiro, MP; Bonnard, I; Gantzer, C; Boudaud, N; Lopes, C; Geffard, A</t>
  </si>
  <si>
    <t>Do Nascimento, Julie; Ladeiro, Melissa Palos; Bonnard, Isabelle; Gantzer, Christophe; Boudaud, Nicolas; Lopes, Christelle; Geffard, Alain</t>
  </si>
  <si>
    <t>Assessing viral freshwater hazard using a toxicokinetic model and Dreissena polymorpha</t>
  </si>
  <si>
    <t>Zebra mussel; F-specific RNA bacteriophages; Accumulation; Depuration; Modelling</t>
  </si>
  <si>
    <t>RNA BACTERIOPHAGES; ESCHERICHIA-COLI; MURINE NOROVIRUS; MYTILUS-EDULIS; ZEBRA MUSSELS; RIVER WATER; WASTE-WATER; SHELLFISH; ACCUMULATION; CONTAMINATION</t>
  </si>
  <si>
    <t>The detection all pathogenic enteric viruses in water is expensive, time-consuming, and limited by numerous technical difficulties. Consequently, using reliable indicators such as F-specific RNA phages (FRNAPH) can be well adapted to assess the risk of viral contamination of fecal origin in surface waters. However, the variability of results inherent to the water matrix makes it difficult to use them routinely and to interpret viral risk. Spatial and temporal variability of surface waters can lead to underestimate this risk, in particular in the case of low loading. The use of bivalve mollusks as accumulating systems appears as a promising alternative, as recently highlighted with the freshwater mussel Dreissena polymorpha, but its capacity to accumulate and depurate FRNAPH needs to be better understood and described. The purpose of this study is to characterise the kinetics of accumulation and elimination of infectious FRNAPH by D. polymorpha in laboratory conditions, formalised by a toxico-kinetic (TIC) mechanistic model. Accumulation and depuration experiments were performed at a laboratory scale to determine the relationship between the concentration of infectious FRNAPH in water and the concentration accumulated by D. polymorpha. The mussels accumulated infectious FRNAPH (3-5.4 x 104 PFU/g) in a fast and concentration-dependent way in only 48 h, as already recently demonstrated. The second exposure demonstrated that the kinetics of infectious FRNAPH depuration by D. polymorpha was independent to the exposure dose, with a T90 (time required to depurate 90 % of the accumulated concentration) of approximately 6 days. These results highlight the capacities of D. polymorpha to detect and reflect the viral pollution in an integrative way and over time, which is not possible with point water sampling. Different TIC models were fitted based on the concentrations measured in the digestive tissues (DT) of D. polymorpha. The model has been developed to formalise the kinetics of phage accumulation in mussels tissues through the simultaneous estimation of accumulation and depuration rates. This model showed that accumulation depended on the exposure concentration, while depuration did not. Standardized D. polymorpha could be easily transplanted to the environment to predict viral concentrations using the TIC model defined in the present study to predict the level of contamination of bodies of water on the basis of the level of phages accumulated by the organisms. It will be also provide a better understanding of the dynamics of the virus in continental waters at different time and spatial scales, and thereby contribute to the protection of freshwater resources.</t>
  </si>
  <si>
    <t>[Do Nascimento, Julie; Ladeiro, Melissa Palos; Bonnard, Isabelle; Geffard, Alain] Univ Reims, UFR Sci Exactes &amp; Naturelles, UMR I SEBIO Stress Environm &amp; BIOsurveillance Mili, Campus Moulin Housse,BP 1039, F-51687 Reims 2, France; [Gantzer, Christophe] Univ Lorraine, LCPME, UMR 7564, CNRS, 405 Rue Vandoeuvre, F-54600 Villers Les Nancy, France; [Boudaud, Nicolas] Actalia, Food Safety Dept, F-50000 St Lo, France; [Lopes, Christelle] Univ Lyon 1, CNRS, UMR 5558, Lab Biometrie &amp; Biol Evolut, F-69622 Villeurbanne, France</t>
  </si>
  <si>
    <t>Universite de Reims Champagne-Ardenne; Centre National de la Recherche Scientifique (CNRS); CNRS - Institute of Chemistry (INC); Universite de Lorraine; Centre National de la Recherche Scientifique (CNRS); CNRS - Institute of Ecology &amp; Environment (INEE); Universite Claude Bernard Lyon 1; VetAgro Sup</t>
  </si>
  <si>
    <t>Geffard, A (corresponding author), Univ Reims, UFR Sci Exactes &amp; Naturelles, UMR I SEBIO Stress Environm &amp; BIOsurveillance Mili, Campus Moulin Housse,BP 1039, F-51687 Reims 2, France.</t>
  </si>
  <si>
    <t>Lopes, Christelle/D-9280-2019</t>
  </si>
  <si>
    <t>University of Reims Champagne Ardenne; Actia VIROcontrol Joint Technological Unit</t>
  </si>
  <si>
    <t>The PhD work was support by the University of Reims Champagne Ardenne. The study was also supported by the Actia VIROcontrol Joint Technological Unit.</t>
  </si>
  <si>
    <t>10.1016/j.envpol.2024.123420</t>
  </si>
  <si>
    <t>KA5J6</t>
  </si>
  <si>
    <t>WOS:001177250600001</t>
  </si>
  <si>
    <t>Cheng, MQ; Liu, M; Chang, LR; Liu, Q; Wang, CX; Hu, L; Zhang, ZY; Ding, WY; Chen, L; Guo, SH; Qi, Z; Pan, PP; Chen, JD</t>
  </si>
  <si>
    <t>Cheng, Meiqi; Liu, Man; Chang, Lirong; Liu, Qing; Wang, Chunxiao; Hu, Le; Zhang, Ziyue; Ding, Wanying; Chen, Li; Guo, Sihan; Qi, Zhi; Pan, Panpan; Chen, Jingdi</t>
  </si>
  <si>
    <t>Overview of structure, function and integrated utilization of marine shell</t>
  </si>
  <si>
    <t>Marine shell; Structure-effect relationship; Biomedicine; Adsorption; High-value integrated utilization</t>
  </si>
  <si>
    <t>OYSTER-SHELL; DESIGN STRATEGIES; PHOSPHATE REMOVAL; BIVALVE SHELLS; SOLUBLE MATRIX; ORGANIC MATRIX; POTENTIAL ROLE; CLIMATE-CHANGE; SCALLOP-SHELL; DEICING SALT</t>
  </si>
  <si>
    <t>Marine shell resources have received great attention from researchers owing to their unique merits such as high hard-ness, good toughness, corrosion resistance, high adsorption, and bioactivity. Restricted by the level of comprehensive utilization technology, the utilization rate of shells is extremely low, resulting in serious waste and pollution. The research shows that the unique brick-mud structure of shells makes them have diverse and good functional character-istics, which guides them to have great utilization potential in different fields. Hence, this review highlights the con-stitutive relationship between microstructure-function-application of shells (e.g., gastropods, cephalopods, and amniotes), and the comprehensive applications and development ideas in the fields of biomedicine, adsorption enrich-ment, pHotocatalysis, marine carbon sink, and environmental deicer. It is worth mentioning that marine shells are cur-rently well developed in three areas: bone repair, health care and medicinal value, and drug carrier, which together promote the progress of biomedical field. In addition, an in-depth summary of the application of marine shells in the adsorption and purification of various impurities such as crude oil, heavy metal ions and dyes at low-cost and high efficiency is presented. Finally, by integrating thoughts and approaches from different applications, we are com-mitted to providing new pathways for the excavation and future high-value of shell resources, clarifying the existing development stages and bottlenecks, promoting the development of related technology industries, and achieving the synergistic win-win situation of economic and environmental benefits.</t>
  </si>
  <si>
    <t>[Cheng, Meiqi; Liu, Man; Liu, Qing; Wang, Chunxiao; Hu, Le; Zhang, Ziyue; Ding, Wanying; Pan, Panpan; Chen, Jingdi] Shandong Univ, Marine Coll, Weihai 264209, Peoples R China; [Chang, Lirong; Pan, Panpan] Weihai Changqing Ocean Sci Technol Co Ltd, Rongcheng 264300, Peoples R China; [Chen, Jingdi] Shandong Lab Adv Mat &amp; Green Mfg, Yantai 265599, Peoples R China; [Pan, Panpan] Hubei Prov Key Lab Oral &amp; Maxillofacial Dev &amp; Rege, Wuhan 430022, Peoples R China; [Chen, Li] Fuzhou Univ, Coll Biol Sci &amp; Technol, Fuzhou 350108, Peoples R China; [Guo, Sihan; Qi, Zhi] Shandong Univ, Business Sch, Weihai 264209, Peoples R China</t>
  </si>
  <si>
    <t>Shandong University; Shandong Laboratory of Advanced Materials &amp; Green Manufacturing at Yantai; Fuzhou University; Shandong University</t>
  </si>
  <si>
    <t>Pan, PP; Chen, JD (corresponding author), Shandong Univ, Marine Coll, Weihai 264209, Peoples R China.</t>
  </si>
  <si>
    <t>pppan@sdu.edu.cn; jdchen@sdu.edu.cn</t>
  </si>
  <si>
    <t>Pan, Panpan/GRJ-2514-2022; Zhang, Ziyue/KSL-8395-2024; Chen, Jingdi/JAC-7372-2023</t>
  </si>
  <si>
    <t>Chen, Jingdi/0000-0001-7440-4743</t>
  </si>
  <si>
    <t>Natural Science Foundation of Shandong Province [ZR2022QD057]; Open Project Fund for Hubei Key Laboratory of Oral and Maxillofacial Development and Regeneration [2021kqhm003]; State Key Laboratory of Advanced Technology for Materials Synthesis and Processing (Wuhan University of Technology); Science Fund of Shandong Laboratory of Advanced Materials and Green Manufacturing (Yantai) [AMGM2021F02]; China Postdoctoral Science Foundation [2022M722434]</t>
  </si>
  <si>
    <t>Natural Science Foundation of Shandong Province(Natural Science Foundation of Shandong Province); Open Project Fund for Hubei Key Laboratory of Oral and Maxillofacial Development and Regeneration; State Key Laboratory of Advanced Technology for Materials Synthesis and Processing (Wuhan University of Technology); Science Fund of Shandong Laboratory of Advanced Materials and Green Manufacturing (Yantai); China Postdoctoral Science Foundation(China Postdoctoral Science Foundation)</t>
  </si>
  <si>
    <t>This work was supported by Natural Science Foundation of Shandong Province (No. ZR2022QD057), Open Project Fund for Hubei Key Laboratory of Oral and Maxillofacial Development and Regeneration (No. 2021kqhm003), State Key Laboratory of Advanced Technology for Materials Synthesis and Processing (Wuhan University of Technology), the Science Fund of Shandong Laboratory of Advanced Materials and Green Manufacturing (Yantai, No. AMGM2021F02) and China Postdoctoral Science Foundation (2022M722434) .</t>
  </si>
  <si>
    <t>10.1016/j.scitotenv.2023.161950</t>
  </si>
  <si>
    <t>9C4VG</t>
  </si>
  <si>
    <t>WOS:000935416200001</t>
  </si>
  <si>
    <t>Chaudhary, M; Walker, TR; Willis, R; Oakes, K</t>
  </si>
  <si>
    <t>Chaudhary, Meenakshi; Walker, Tony R.; Willis, Rob; Oakes, Ken</t>
  </si>
  <si>
    <t>Baseline characterization of sediments and marine biota near industrial effluent discharge in Northumberland Strait, Nova Scotia, Canada</t>
  </si>
  <si>
    <t>Effluents; Sediments; Blue mussels (Mytilus edulis); American lobsters (Homarus americanus); Rock crabs (Cancer irroratus); Monitoring</t>
  </si>
  <si>
    <t>MUSSELS MYTILUS-EDULIS; CELL CHLORALKALI PLANT; SYDNEY TAR PONDS; BLUE MUSSELS; NEW-BRUNSWICK; HEAVY-METALS; HARBOR; REMEDIATION; MERCURY; BIOACCUMULATION</t>
  </si>
  <si>
    <t>A bleached kraft pulp mill operating in Nova Scotia, Canada has discharged effluent into a former tidal estuary known as Boat Harbour since 1967. After treatment in Boat Harbour, effluent is discharged into Northumberland Strait. Contaminated sediments in Boat Harbour are slated for remediation following cessation of effluent discharge. A review of historical documents to identify contaminants in marine biota in Northumberland Strait found insufficient data to properly assess baseline conditions prior to remediation. This study measured metal, methylmercury, dioxin and furan concentrations in surficial sediments and American lobster (Homarus americanus), rock crabs (Cancer irroratus) and blue mussels (Mytilus edulis) in Northumberland Strait. When compared to Canadian Council of Ministers of the Environment sediment quality guidelines and Canadian Food Inspection Agency tissue guidelines results indicated limited contamination in sediments and biota, posing low risk to marine biota. Long-term monitoring is recommended to verify effectiveness of remediation.</t>
  </si>
  <si>
    <t>[Chaudhary, Meenakshi; Walker, Tony R.] Dalhousie Univ, Sch Resource &amp; Environm Studies, Halifax, NS, Canada; [Willis, Rob] Dillon Consulting, Halifax, NS, Canada; [Oakes, Ken] Cape Breton Univ, Sydney, NS, Canada</t>
  </si>
  <si>
    <t>Dalhousie University; Cape Breton University</t>
  </si>
  <si>
    <t>trwalker@dal.ca</t>
  </si>
  <si>
    <t>Nova Scotia Lands Grant; Natural Sciences and Engineering Research Council of Canada (NSERC) [RGPIN-2018-04119]</t>
  </si>
  <si>
    <t>Nova Scotia Lands Grant; Natural Sciences and Engineering Research Council of Canada (NSERC)(Natural Sciences and Engineering Research Council of Canada (NSERC))</t>
  </si>
  <si>
    <t>This study was funded by a Nova Scotia Lands Grant and the Natural Sciences and Engineering Research Council of Canada (NSERC), Grant/Award Number: RGPIN-2018-04119 to Tony R. Walker.</t>
  </si>
  <si>
    <t>10.1016/j.marpolbul.2020.111372</t>
  </si>
  <si>
    <t>WOS:000548531100008</t>
  </si>
  <si>
    <t>Pérez-López, C; Rodríguez-Mozaz, S; Serra-Compte, A; Alvarez-Muñoz, D; Ginebreda, A; Barceló, D; Tauler, R</t>
  </si>
  <si>
    <t>Perez-Lopez, Carlos; Rodriguez-Mozaz, Sara; Serra-Compte, Albert; Alvarez-Munoz, Diana; Ginebreda, Antoni; Barcelo, Damia; Tauler, Roma</t>
  </si>
  <si>
    <t>Effects of sulfamethoxazole exposure on mussels (Mytilus galloprovincialis) metabolome using retrospective non-target high-resolution mass spectrometry and chemometric tools</t>
  </si>
  <si>
    <t>Antibiotic pollution; Non -target analysis; Regions of interest; Multivariate curve resolution; Mussels metabolomics</t>
  </si>
  <si>
    <t>VETERINARY ANTIBIOTICS; RESPONSES; MS; SPECTRA; PECTENOTOXINS; STRATEGIES; STRESS; COPPER</t>
  </si>
  <si>
    <t>In this work, the Regions of Interest-Multivariate Curve Resolution (ROIMCR) method is proposed for the analysis of non-target metabolomics data. Samples from marine mussels (Mytilus galloprovincialis) exposed to a sublethal concentration (10 mu g/L) of sulfamethoxazole (SMX) during 4 days in different seasonal conditions (summer and winter) were analyzed by High-Performance Liquid Chromatography - High-Resolution Mass Spectrometry (HPLC-HRMS) to study the effect of their exposure to SMX and the different seasonal conditions. The Regions of Interest (ROI) procedure has been applied for data filtering, compression, preprocessing and storage steps. Multivariate Curve Resolution-Alternating Least Squares (MCR-ALS) is then applied to the previ-ously MS ROI preprocessed data sets to resolve the elution profiles and spectral fingerprints of the chemical constituents of the analyzed samples. The peak areas of the elution profiles of the chemical constituents resolved by the combined ROIMCR procedure were analyzed by Principal Component Analysis (PCA) and samples were clustered according to their experimental seasonal and SMX exposure. The effects of the two investigated factors and of their interaction on the concentrations of the metabolites were statistically assessed by ANOVA simul-taneous component analysis (ASCA). Both types of analyses, PCA clustering and ASCA, confirmed that the seasonal conditions (summer versus winter) produced larger effects than those produced by the exposure to SMX and by the interaction of these two factors. The concentration changes of 16 identified endogenous metabolites were validated individually using a Wilcoxon statistical test, which confirmed the presence of significant dis-turbances in the levels of some of these metabolites (free fatty acids, amino acids and nucleic acids), and indi-cated the possible alteration of six different biological pathways, affected by the investigated seasonal and SMX exposure factors.</t>
  </si>
  <si>
    <t>[Perez-Lopez, Carlos; Ginebreda, Antoni; Barcelo, Damia; Tauler, Roma] Inst Environm Assessment &amp; Water Studies IDAEA CS, Dept Environm Chem, Jordi Girona 18-26, Barcelona 08034, Spain; [Rodriguez-Mozaz, Sara; Serra-Compte, Albert; Alvarez-Munoz, Diana; Barcelo, Damia] Catalan Inst Water Res ICRA CERCA, Emili Grahit 101,Parc Cient &amp; Tecnol Univ Girona, Girona 17003, Spain; [Rodriguez-Mozaz, Sara; Serra-Compte, Albert; Alvarez-Munoz, Diana; Barcelo, Damia] Univ Girona, Girona, Spain</t>
  </si>
  <si>
    <t>Consejo Superior de Investigaciones Cientificas (CSIC); CSIC - Centro de Investigacion y Desarrollo Pascual Vila (CID-CSIC); CSIC - Instituto de Diagnostico Ambiental y Estudios del Agua (IDAEA); Universitat de Girona; Universitat de Girona</t>
  </si>
  <si>
    <t>Tauler, R (corresponding author), Inst Environm Assessment &amp; Water Res IDAEA CSIC, Dept Environm Chem, C Jordi Girona 18-26, Barcelona 08034, Spain.</t>
  </si>
  <si>
    <t>roma.tauler@idaea.csic.es</t>
  </si>
  <si>
    <t>BARCELO, DAMIA/O-4558-2016; Rodriguez-Mozaz, Sara/P-6048-2014</t>
  </si>
  <si>
    <t>Tauler, Roma/0000-0001-8559-9670; Perez-Lopez, Carlos/0000-0003-4544-5735</t>
  </si>
  <si>
    <t>MCIN/AEI; [CEX2018-000794-S]; [FPI 2019-090182]; [2019-105732 GB/AEI/10.13039/501100011033]; [PLAS-MED (CTM2017-89701-C3-2-R]</t>
  </si>
  <si>
    <t>MCIN/AEI; ; ; ;</t>
  </si>
  <si>
    <t>This work has been supported by the grant CEX2018-000794-S funded by MCIN/AEI/10.13039/501100011033 (Project ID 2019-105732 GB/AEI/10.13039/501100011033 and project PLAS-MED (CTM2017-89701-C3-2-R) ) . Carlos Perez-Lopez acknowledges the predoctoral scholarship FPI 2019-090182 included in the Grant CEX2018-000794-S funded by MCIN/AEI/10.13039/501100011033.</t>
  </si>
  <si>
    <t>10.1016/j.talanta.2022.123804</t>
  </si>
  <si>
    <t>4W7ND</t>
  </si>
  <si>
    <t>WOS:000860344000008</t>
  </si>
  <si>
    <t>Li, PM; Gao, XL</t>
  </si>
  <si>
    <t>Li, Peimiao; Gao, Xuelu</t>
  </si>
  <si>
    <t>Trace elements in major marketed marine bivalves from six northern coastal cities of China: Concentrations and risk assessment for human health</t>
  </si>
  <si>
    <t>Trace elements; Bivalves; Contamination; Bioaccumulation; Health risk assessment</t>
  </si>
  <si>
    <t>HEAVY-METALS; BOHAI SEA; SHELLFISH; MUSSELS; POLLUTION; QUALITY; TISSUES; SITES; AREAS; WATER</t>
  </si>
  <si>
    <t>One hundred and fifty nine samples of nine edible bivalve species (Argopecten irradians, Chlamys farreri, Crassostrea virgin ica, Lasaea nipponica, Meretrix meretrix, Mytilus edulis, Ruditapes philippinarum, Scapharca subcrenata and Sinonovacula constricta) were randomly collected from eight local seafood markets in six big cities (Dalian, Qingdao, Rizhao, Weifang, Weihai and Yantai) in the northern coastal areas of China for the investigation of trace element contamination. As, Cd, Cr, Cu, Hg, Pb and Zn were quantified. The risk of these trace elements to humans through bivalve consumption was then assessed. Results indicated that the concentrations of most of the studied trace element varied significantly with species: the average concentration of Cu in C virginica was an order of magnitude higher than that in the remaining species; the average concentration of Zn was also highest in C virginica; the average concentration of As, Cd and Pb was highest in R. philippinarum, C farreri and A. irradians, respectively. Spatial differences in the concentrations of elements were generally less than those of interspecies, yet some elements such as Cr and Hg in the samples from different cities showed a significant difference in concentrations for some bivalve species. Trace element concentrations in edible tissues followed the order of Zn &gt; Cu &gt; As &gt; Cd &gt; Cr &gt; Pb &gt; Hg generally. Statistical analysis (one-way ANOVA) indicated that different species examined showed different bioaccumulation of trace elements. There were significant correlations between the concentrations of some elements. The calculated hazard quotients indicated in general that there was no obvious health risk from the intake of trace elements through bivalve consumption. But care must be taken considering the increasing amount of seafood consumption. (C) 2014 Elsevier Inc. All rights reserved.</t>
  </si>
  <si>
    <t>[Li, Peimiao; Gao, Xuelu] Chinese Acad Sci, Yantai Inst Coastal Zone Res, Key Lab Coastal Environm Proc &amp; Ecol Remediat, Yantai 264003, Shandong, Peoples R China; [Li, Peimiao] Univ Chinese Acad Sci, Beijing 100049, Peoples R China</t>
  </si>
  <si>
    <t>Gao, XL (corresponding author), Chinese Acad Sci, Yantai Inst Coastal Zone Res, Key Lab Coastal Environm Proc &amp; Ecol Remediat, Yantai 264003, Shandong, Peoples R China.</t>
  </si>
  <si>
    <t>xlgao@yic.ac.cn</t>
  </si>
  <si>
    <t>Li, Peimiao/AAE-3562-2019</t>
  </si>
  <si>
    <t>Gao, Xuelu/0000-0002-1885-2442</t>
  </si>
  <si>
    <t>Department of Science and Technology of Shandong Province [2012GHY11535]; CAS/SAFEA International Partnership Program for Creative Research Teams</t>
  </si>
  <si>
    <t>Department of Science and Technology of Shandong Province; CAS/SAFEA International Partnership Program for Creative Research Teams(Chinese Academy of Sciences)</t>
  </si>
  <si>
    <t>This study was co-supported by the Department of Science and Technology of Shandong Province (2012GHY11535) and the CAS/SAFEA International Partnership Program for Creative Research Teams (Representative Environmental Processes and Their Effects on the Resources in Coastal Zone). The help of Drs. Boquan Li and Qingxi Han in the identification of sampled bivalve species is greatly appreciated.</t>
  </si>
  <si>
    <t>10.1016/j.ecoenv.2014.07.023</t>
  </si>
  <si>
    <t>WOS:000343523900001</t>
  </si>
  <si>
    <t>Souza, ID; Arrivabene, HP; Craig, CA; Midwood, AJ; Thornton, B; Matsumoto, ST; Elliott, M; Wunderlinf, DA; Monferrán, MV; Fernandes, MN</t>
  </si>
  <si>
    <t>Souza, Iara da C.; Arrivabene, Hiulana P.; Craig, Carol-Ann; Midwood, Andrew J.; Thornton, Barry; Matsumoto, Silvia T.; Elliott, Michael; Wunderlinf, Daniel A.; Monferran, Magdalena V.; Fernandes, Marisa N.</t>
  </si>
  <si>
    <t>Interrogating pollution sources in a mangrove food web using multiple stable isotopes</t>
  </si>
  <si>
    <t>Food web; Trophic chain; Neotropical mangroves; Metallurgic pollution</t>
  </si>
  <si>
    <t>CENTROPOMUS-PARALLELUS; RHIZOPHORA-MANGLE; LEAD POLLUTION; TRACE-METALS; FAT SNOOK; WATER; BIOACCUMULATION; BRAZIL; CONTAMINANTS; ECOSYSTEMS</t>
  </si>
  <si>
    <t>Anthropogenic activities including metal contamination create well-known problems in coastal mangrove ecosystems but understanding and linking specific pollution sources to distinct trophic levels within these environments is challenging. This study evaluated anthropogenic impacts on two contrasting mangrove food webs, by using stable isotopes (delta C-13, delta N-15, Sr-87/Sr-86, Pb-206/Pb-207 and Pb-208/Pb-207) measured in sediments, mangrove trees (Rhizophora mangle, Laguncularia racemosa, Avicennia schaueriana), plankton, shrimps (Macrobranchium sp.), crabs (Aratus sp.), oysters (Crassostrea rhizophorae) and fish (Centropomus parallelus) from both areas. Strontium and Pb isotopes were also analysed in water and atmospheric particulate matter (PM). delta N-15 indicated that crab, shrimp and oyster are at intermediate levels within the local food web and fish, in this case C. parallelus, was confirmed at the highest trophic level. delta N-15 also indicates different anthropogenic pressures between both estuaries; Vitoria Bay, close to intensive human activities, showed higher delta N-15 across the food web, apparently influenced by sewage. The ratio(87)Sr/Sr-86 showed the primary influence of marine water throughout the entire food web. Pb isotope ratios suggest that PM is primarily influenced by metallurgical activities, with some secondary influence on mangrove plants and crabs sampled in the area adjacent to the smelting works. To our knowledge, this is the first demonstration of the effect of anthropogenic pollution (probable sewage pollution) on the isotopic fingerprint of estuarine-mangrove systems located close to a city compared to less impacted estuarine mangroves. The influence of industrial metallurgical activity detected using Pb isotopic analysis of PM and mangrove plants close to such an impacted area is also notable and illustrates the value of isotopic analysis in tracing the impact and species affected by atmospheric pollution. (C) 2018 Elsevier B.V. All rights reserved.</t>
  </si>
  <si>
    <t>[Souza, Iara da C.; Fernandes, Marisa N.] Univ Fed Sao Carlos, Ctr Ciencias Biol &amp; Saude, Dept Ciencias Fisiol, POB 676, BR-13565905 Sao Carlos, SP, Brazil; [Arrivabene, Hiulana P.] Univ Estadual Paulista Julio de Mesquita Filho UN, Inst Biociencias Botucatu, Dept Bot, POB 510, BR-18618970 Botucatu, SP, Brazil; [Craig, Carol-Ann; Midwood, Andrew J.; Thornton, Barry] James Hutton Inst, Aberdeen AB15 8QH, Scotland; [Matsumoto, Silvia T.] Univ Fed Espirito Santo, Ctr Ciencias Humanas &amp; Nat, Dept Ciencias Biol, BR-29075910 Vitoria, ES, Brazil; [Elliott, Michael] Univ Hull, Inst Estuarine &amp; Coastal Studies, Kingston Upon Hull HU6 7RX, N Humberside, England; [Wunderlinf, Daniel A.; Monferran, Magdalena V.] Consejo Nacl Invest Cient &amp; Tecn, RA-5000 Cordoba, Argentina; [Wunderlinf, Daniel A.; Monferran, Magdalena V.] Univ Nacl Cordoba, Inst Ciencia &amp; Tecnol Alimentos Cordoba, Fac Ciencias Quim, RA-5000 Cordoba, Argentina; [Midwood, Andrew J.] Univ British Columbia, Dept Biol, Okanagan Kelowna, BC V1V 1V7, Canada</t>
  </si>
  <si>
    <t>Universidade Federal de Sao Carlos; Universidade Estadual Paulista; James Hutton Institute; Universidade Federal do Espirito Santo; University of Hull; Consejo Nacional de Investigaciones Cientificas y Tecnicas (CONICET); National University of Cordoba; University of British Columbia; University of British Columbia Okanagan</t>
  </si>
  <si>
    <t>Fernandes, MN (corresponding author), Univ Fed Sao Carlos, Ctr Ciencias Biol &amp; Saude, Dept Ciencias Fisiol, POB 676, BR-13565905 Sao Carlos, SP, Brazil.;Wunderlinf, DA (corresponding author), Consejo Nacl Invest Cient &amp; Tecn, RA-5000 Cordoba, Argentina.;Wunderlinf, DA (corresponding author), Univ Nacl Cordoba, Inst Ciencia &amp; Tecnol Alimentos Cordoba, Fac Ciencias Quim, RA-5000 Cordoba, Argentina.</t>
  </si>
  <si>
    <t>dwunder@fcq.unc.edu.ar; dmnf@ufscar.br</t>
  </si>
  <si>
    <t>Midwood, Andrew/AAM-9525-2020; Fernandes, Marisa/X-4867-2019; Arrivabene, Hiulana/E-1407-2014; Wunderlin, Daniel/A-2195-2014; Elliott, Michael/B-4312-2013</t>
  </si>
  <si>
    <t>Fernandes, Marisa/0000-0003-4808-9553; Wunderlin, Daniel/0000-0002-2052-6566; Craig, Carol-Ann/0000-0002-8042-4385; Elliott, Michael/0000-0002-2519-4871; Midwood, Andrew/0000-0001-8803-3701</t>
  </si>
  <si>
    <t>FAPESP (Sao Paulo Research Foundation) Sao Paulo, Brazil [2014/05701-0]; CONICET (Argentinean National Research Council) [FONCyT/PICT-1597, FONCyT/PICT-1411]; Science and Technology Office from Cordoba National University, Argentina; Rural and Environmental Science and Analytical Services Division (RESAS) of the Scottish Government; FAPESP [2014/04832-3, 2015/05258-1]</t>
  </si>
  <si>
    <t>FAPESP (Sao Paulo Research Foundation) Sao Paulo, Brazil(Fundacao de Amparo a Pesquisa do Estado de Sao Paulo (FAPESP)); CONICET (Argentinean National Research Council); Science and Technology Office from Cordoba National University, Argentina; Rural and Environmental Science and Analytical Services Division (RESAS) of the Scottish Government; FAPESP(Fundacao de Amparo a Pesquisa do Estado de Sao Paulo (FAPESP))</t>
  </si>
  <si>
    <t>This study was supported by FAPESP (Sao Paulo Research Foundation, Grant 2014/05701-0) Sao Paulo, Brazil, CONICET (Argentinean National Research Council, FONCyT/PICT-1597 and FONCyT/PICT-1411) and Science and Technology Office from Cordoba National University, Argentina. The James Hutton Institute received funding from the Rural and Environmental Science and Analytical Services Division (RESAS) of the Scottish Government. Dr. I.C. Souza acknowledges FAPESP (Grant 2014/04832-3 and 2015/05258-1). Authors kindly acknowledges to India Weidle for her technical assistance.</t>
  </si>
  <si>
    <t>10.1016/j.scitotenv.2018.05.302</t>
  </si>
  <si>
    <t>WOS:000438408800051</t>
  </si>
  <si>
    <t>Roldán-Wong, NT; Kidd, KA; Ceballos-Vázquez, BP; Rivera-Camacho, AR; Arellano-Martínez, M</t>
  </si>
  <si>
    <t>Tayde Roldan-Wong, Nefertiti; Kidd, Karen A.; Patricia Ceballos-Vazquez, Bertha; Rosa Rivera-Camacho, Alma; Arellano-Martinez, Marcial</t>
  </si>
  <si>
    <t>Polycyclic aromatic hydrocarbons (PAHs) in mussels (Modiolus capax) from sites with increasing anthropogenic impact in La Paz Bay, Gulf of California</t>
  </si>
  <si>
    <t>Bivalves; Biomonitors; Marine pollution; Petrogenic hydrocarbons; Benzo(a)pyrene</t>
  </si>
  <si>
    <t>MYTILUS-EDULIS; CHEMICAL CONCENTRATIONS; PERNA-VIRIDIS; HEAVY-METALS; HUMAN HEALTH; MARINE; CONTAMINATION; DISTRIBUTIONS; ACCUMULATION; TEMPERATURE</t>
  </si>
  <si>
    <t>The composition, distribution and source of 16 polycyclic aromatic hydrocarbons (PAHs) in surface sediments and tissues of the mussel Modiolus capax from three sites with increasing anthropogenic impact in La Paz Bay on the Gulf of California, were determined. Levels of total PAHs in sediments (18.9-94.5 ng/g dw) were below the effect range low for marine sediments at all sites. PAHs in mussels (147.01-271.09) were higher than in sediments and similar to mussels from other moderately contaminated sites. The origin of PAHs was predominantly petrogenic, attributed to port activities and a thermoelectric plant. The mussels of Las Pacas and Pichilingue showed the lowest condition indexes and some organisms with the presence of benzo(a)pyrene in their tissues, which is among the most toxic hydrocarbons and may represent a risk to human health. However, this study only represents a baseline for future studies, which are necessary to dismiss risks to human health and the ecosystem. (C) 2019 Published by Elsevier B.V.</t>
  </si>
  <si>
    <t>[Tayde Roldan-Wong, Nefertiti; Patricia Ceballos-Vazquez, Bertha; Rosa Rivera-Camacho, Alma; Arellano-Martinez, Marcial] Inst Politecn Nacl, Ctr Interdisciplinario Ciencias Marinas, Av Inst Politecn Nacl S-N, La Paz 23096, Baja Calif Sur, Mexico; [Kidd, Karen A.; Patricia Ceballos-Vazquez, Bertha; Arellano-Martinez, Marcial] Univ New Brunswick, Canadian Rivers Inst, 100 Tucker Pk Rd,POB 5050, St John, NB E2L 4L5, Canada; [Kidd, Karen A.; Patricia Ceballos-Vazquez, Bertha; Arellano-Martinez, Marcial] Univ New Brunswick, Biol Dept, 100 Tucker Pk Rd,POB 5050, St John, NB E2L 4L5, Canada; [Kidd, Karen A.] McMaster Univ, Dept Biol, 1280 Main St West, Hamilton, ON L8S 4K1, Canada; [Kidd, Karen A.] McMaster Univ, Sch Geog &amp; Earth Sci, 1280 Main St West, Hamilton, ON L8S 4K1, Canada</t>
  </si>
  <si>
    <t>ntrw88@gmail.com; karenkidd@mcmaster.ca; bceballo@ipn.mx; alriverac@ipn.mx; marellam@ipn.mx</t>
  </si>
  <si>
    <t>Ceballos-Vázquez, Bertha/AAF-8488-2021; Kidd, Karen A/ABG-3237-2020</t>
  </si>
  <si>
    <t>Rivera Camacho, Alma Rosa/0000-0001-6807-2471; Kidd, Karen A/0000-0002-5619-1358; Ceballos-Vazquez, Bertha Patricia/0000-0003-4031-6221</t>
  </si>
  <si>
    <t>Natural Sciences and Engineering Research Council of Canada; Canada Research Chairs program; Canadian Rivers Institute; Secretaria de Investigacion y Posgrado (SIP) [20195375, 2023]; COFAA, Mexico; EDI, Mexico; SNI-CONACyT, Mexico</t>
  </si>
  <si>
    <t>Natural Sciences and Engineering Research Council of Canada(Natural Sciences and Engineering Research Council of Canada (NSERC)CGIAR); Canada Research Chairs program(Canada Research Chairs); Canadian Rivers Institute; Secretaria de Investigacion y Posgrado (SIP); COFAA, Mexico; EDI, Mexico; SNI-CONACyT, Mexico(Consejo Nacional de Ciencia y Tecnologia (CONACyT))</t>
  </si>
  <si>
    <t>This research was made possible through funding from the Natural Sciences and Engineering Research Council of Canada Discovery grant, the Canada Research Chairs program, the Canadian Rivers Institute, the Mexican projects 2023 and 20195375 of the Secretaria de Investigacion y Posgrado (SIP), and grants from COFAA, Mexico, EDI, Mexico, and SNI-CONACyT, Mexico. We thank Angella Mercer, PTech for her help with the laboratory analysis.</t>
  </si>
  <si>
    <t>10.1016/j.rsma.2019.100948</t>
  </si>
  <si>
    <t>KK5FB</t>
  </si>
  <si>
    <t>WOS:000512766500028</t>
  </si>
  <si>
    <t>Toxicity of two pesticides in binary mixture on survival and enzymatic response of Cerastoderma edule - The warming influence</t>
  </si>
  <si>
    <t>Pollutants mixture; Climatic changes; Biochemical effects; Marine bivalve species</t>
  </si>
  <si>
    <t>GLUTATHIONE-S-TRANSFERASE; SOLID-PHASE EXTRACTION; FATTY-ACIDS PROFILES; OXIDATIVE STRESS; SCROBICULARIA-PLANA; METAL ACCUMULATION; TEMPERATURE; OXYFLUORFEN; PERFORMANCE; BIOMARKERS</t>
  </si>
  <si>
    <t>Pesticide application increased by about 1 million tonnes in the last 3 decades. Pesticides' overuse, coupled with the need for several pesticides to control different pests in the same crop, and its application many times per year, results in dangerous chemical cocktails that enter in aquatic systems, with impacts to the ecosystems and its communities. Climatic changes are currently another great concern, is predicted by the end of the 21st century, the earth's surface temperature will increase by about 4 degrees C. Bivalve species are reported as essential to the ecosystems' balance. However, they are also indicated as the organisms that will suffer the most serious effects of the temperature increase. So, this work intends to: a) verify the harm of the sub-lethal concentrations of two worldwide used pesticides, oxyfluorfen and copper (Cu), when combined, to Cerastoderma edule at 15 degrees C and 20 degrees C; b) assess the changes in the antioxidant defence system, the activity of the neurological enzyme acetylcholinesterase and the nutritive value of C. edule, after exposure to sub-lethal concentrations of oxyfluorfen and Cu, single and in the mixture, at 15 degrees C and 20 degrees C; c) observe the interaction between Cu and oxyfluorfen, considering the different biomarkers. Bivalves were exposed to oxyfluorfen and Cu, single and combined, for 96 h, at 15 degrees C and 20 degrees C. Results showed lethal effects to the organisms exposed at 20 degrees C when exposed to the highest binary mixture concentrations. Biochemical effects were observed on the organisms exposed to 15 degrees C, despite not observing any lethal effects. Briefly, there was a reported increase in oxidative stress and a decrease in protein content, regardless of the increase in the activity of antioxidant enzymes. These results suggest the potentially dangerous effects of the chemicals' mixture combined with the temperature, on this species and its consumers, impacting the trophic chain, and consequently, the community structure and function.</t>
  </si>
  <si>
    <t>[Mesquita, Andreia F.; Goncalves, Fernando J. M.; Goncalves, Ana M. M.] Univ Aveiro, CESAM Ctr Environm &amp; Marine Studies, Dept Biol, P-3810193 Aveiro, Portugal; [Goncalves, Ana M. M.] Univ Coimbra, MARE Marine &amp; Environm Sci Ctr, Dept Life Sci, ARNET Aquat Res Network, P-3000456 Coimbra, Portugal</t>
  </si>
  <si>
    <t>Mesquita, AF (corresponding author), Univ Aveiro, CESAM Ctr Environm &amp; Marine Studies, Dept Biol, P-3810193 Aveiro, Portugal.</t>
  </si>
  <si>
    <t>filipamesquita@ua.pt</t>
  </si>
  <si>
    <t>Goncalves, Ana/KFA-4223-2024; Goncalves, Ana Marta/A-5151-2013</t>
  </si>
  <si>
    <t>Goncalves, Ana Marta/0000-0002-8611-7183</t>
  </si>
  <si>
    <t>Fundacao para a Ciencia e a Tecnologia (FCT) [LA/P/0069/2020, UIDB/04292/2020]; PORBIOTA, E-Infrastructure Portuguese Information and Research in Biodiversity - Competitiveness and Internationalization Operational Programme [SFRH/BD/139831/2018]; Regional Operational Programme of Lisbon through FEDER; Portuguese Foundation for Science and Technology (FCT) through national funds (OE); FCT [IT057-18-7253]; Human Potential Operational Programme (National Strategic Reference Framework 2007-2013); European Social Fund (EU); Program POPH/FSE; University of Coimbra [UIDP/50017/2020+UIDB/50017/2020+LA/P/0094/2020]; [POCI-01-0145- FEDER-022127]</t>
  </si>
  <si>
    <t>Fundacao para a Ciencia e a Tecnologia (FCT)(Fundacao para a Ciencia e a Tecnologia (FCT)); PORBIOTA, E-Infrastructure Portuguese Information and Research in Biodiversity - Competitiveness and Internationalization Operational Programme; Regional Operational Programme of Lisbon through FEDER; Portuguese Foundation for Science and Technology (FCT) through national funds (OE)(Fundacao para a Ciencia e a Tecnologia (FCT)); FCT(Fundacao para a Ciencia e a Tecnologia (FCT)); Human Potential Operational Programme (National Strategic Reference Framework 2007-2013); European Social Fund (EU)(European Union (EU)European Social Fund (ESF)); Program POPH/FSE(European Social Fund (ESF)); University of Coimbra;</t>
  </si>
  <si>
    <t>This study was supported by Fundacao para a Ciencia e a Tecnologia (FCT) through the strategic projects LA/P/0069/2020 granted to the Associate Laboratory ARNET, UIDB/04292/2020 granted to the Marine and Environmental Sciences Centre (MARE) and UIDP/50017/2020+UIDB/50017/2020+LA/P/0094/2020 granted to CESAM. This research was also partially supported by PORBIOTA, E-Infrastructure Portuguese Information and Research in Biodiversity (POCI-01-0145- FEDER-022127), supported by the Competitiveness and Internationalization Operational Programme and Regional Operational Programme of Lisbon through FEDER, and by the Portuguese Foundation for Science and Technology (FCT) through national funds (OE). A. F. Mesquita thanks FCT for the financial support provided through doctoral grants SFRH/BD/139831/2018, co-funded by the Human Potential Operational Programme (National Strategic Reference Framework 2007-2013), European Social Fund (EU), and the program POPH/FSE. A. M. M. Goncalves also acknowledges the University of Coimbra for contract IT057-18-7253.</t>
  </si>
  <si>
    <t>10.1016/j.scitotenv.2023.169676</t>
  </si>
  <si>
    <t>GS3D1</t>
  </si>
  <si>
    <t>WOS:001154613700001</t>
  </si>
  <si>
    <t>Rainbow, PS; Luoma, SN; Wang, WX</t>
  </si>
  <si>
    <t>Rainbow, Philip S.; Luoma, Samuel N.; Wang, Wen-Xiong</t>
  </si>
  <si>
    <t>Trophically available metal - A variable feast</t>
  </si>
  <si>
    <t>Trace metals; Trophic transfer; Fractionation; Bioavailability</t>
  </si>
  <si>
    <t>COPEPOD ACARTIA-SPINICAUDA; MARINE FOOD-CHAINS; SUBCELLULAR COMPARTMENTALIZATION; TRACE-METALS; 2 BIVALVES; ASSIMILATION; PREY; CADMIUM; PREDATOR; GASTROPOD</t>
  </si>
  <si>
    <t>Assimilation of trace metals by predators from prey is affected by the physicochemical form of the accumulated metal in the prey, leading to the concept of a Trophically Available Metal (TAM) component in the food item definable in terms of particular subcellular fractions of accumulated metal. As originally defined TAM consists of soluble metal forms and metal associated with cell organelles, the combination of separated fractions which best explained particular results involving a decapod crustacean predator feeding on bivalve mollusc tissues. Unfortunately TAM as originally defined has subsequently frequently been used in the literature as an absolute description of that component of accumulated metal that is trophically available in all prey to all consumers. It is now clear that what is trophically available varies between food items, consumers and metals. TAM as originally defined should be seen as a useful starting hypothesis, not as a statement of fact. (C) 2011 Elsevier Ltd. All rights reserved.</t>
  </si>
  <si>
    <t>[Rainbow, Philip S.; Luoma, Samuel N.] Nat Hist Museum, Dept Zool, London SW7 5BD, England; [Luoma, Samuel N.] Univ Calif Davis, John Muir Inst Environm, Davis, CA 95616 USA; [Wang, Wen-Xiong] Xiamen Univ, State Key Lab Marine Environm Sci, Coll Marine &amp; Environm Sci, Xiamen, Fujian, Peoples R China</t>
  </si>
  <si>
    <t>Natural History Museum London; University of California System; University of California Davis; Xiamen University</t>
  </si>
  <si>
    <t>10.1016/j.envpol.2011.06.040</t>
  </si>
  <si>
    <t>WOS:000295493100015</t>
  </si>
  <si>
    <t>Serveiss, VB; Bowen, JL; Dow, D; Valiela, I</t>
  </si>
  <si>
    <t>Using ecological risk assessment to identify the major anthropogenic stressor in the Waquoit Bay Watershed, Cape Cod, Massachusetts</t>
  </si>
  <si>
    <t>watershed ecological risk assessment; eutrophication; watershed management; watershed approach; environmental decision making; multiple stressors</t>
  </si>
  <si>
    <t>ESTUARIES; MANAGEMENT; QUALITY; CONSEQUENCES; ECOSYSTEMS; PATTERNS; MUSSEL; USA</t>
  </si>
  <si>
    <t>The Waquoit Bay Watershed ecological risk assessment was performed by an interdisciplinary and inter-agency workgroup. This paper focuses on the steps taken to formulate the analysis plan for this watershed assessment. The workgroup initially conducted a series of meetings with the general public and local and state managers to determine environmental management objectives for the watershed. The workgroup then decided that more information was needed on the impacts of six stressors: nutrient enrichment, physical alteration of habitat, altered freshwater flow, toxic chemicals, pathogens, and fisheries harvesting. Assessment endpoints were selected to establish the link between environmental management objectives, impacts of stressors, and scientifically measurable endpoints. The following assessment endpoints were selected: estuarine eelgrass cover, scallop abundance, finfish diversity and abundance, wetland bird distribution and abundance, piping plover distribution and abundance, tissue contaminant levels, and brook trout distribution and abundance in streams. A conceptual model was developed to show the pathways between human activities, stressors, and ecological effects. The workgroup analyzed comparative risks, by first ranking stressors in terms of their potential risk to biotic resources in the watershed. Then stressors were evaluated by considering the components of stressors (e.g., the stressor chemical pollution included both heavy metals and chlorinated solvents components) in terms of intensity and extensiveness. The workgroup identified nutrient enrichment as the major stressor. Nutrient enrichment comprised both phosphorus enrichment in freshwater ponds and nitrogen enrichment within estuaries. Because phosphorus impacts were being analyzed and mitigated by the Air Force Center for Environmental Excellence, this assessment focused on nitrogen. The process followed to identify the predominant stressor and focus the analyses on nitrogen impacts on eelgrass and scallops will serve as an example of how to increase the use of the findings of a watershed assessment in decision making.</t>
  </si>
  <si>
    <t>US EPA, Off Res &amp; Dev, Washington, DC 20460 USA; Boston Univ, Marine Program, Marine Biol Lab, Woods Hole, MA 02543 USA; Natl Marine Fisheries Serv, NOAA, Woods Hole, MA 02543 USA</t>
  </si>
  <si>
    <t>United States Environmental Protection Agency; Marine Biological Laboratory - Woods Hole; Boston University; National Oceanic Atmospheric Admin (NOAA) - USA</t>
  </si>
  <si>
    <t>Serveiss, VB (corresponding author), US EPA, Off Res &amp; Dev, 1200 Penn Ave NW, Washington, DC 20460 USA.</t>
  </si>
  <si>
    <t>Bowen, Jen/ABG-5329-2021</t>
  </si>
  <si>
    <t>Bowen, Jennifer/0000-0003-0339-1564</t>
  </si>
  <si>
    <t>10.1007/s00267-004-0085-y</t>
  </si>
  <si>
    <t>843SC</t>
  </si>
  <si>
    <t>WOS:000223105800011</t>
  </si>
  <si>
    <t>Gregory, MA; George, RC</t>
  </si>
  <si>
    <t>The structure and surface morphology of gill filaments in the brown mussel Perna perna</t>
  </si>
  <si>
    <t>Bivalvia; gill morphology; scanning electron microscopy; cilia; cirri</t>
  </si>
  <si>
    <t>MYTILUS-EDULIS-L; DREISSENA-POLYMORPHA; EXPOSURE; CADMIUM; GALLOPROVINCIALIS; ACCUMULATION; POLLUTANTS; BIVALVES; COPPER; MUCUS</t>
  </si>
  <si>
    <t>The morphology of the gills of adult Perna perna were examined by stereo light-microscopy and scanning electron microscopy. While the surface morphology of each filament was similar to that previously described for Mytilus edulis, there were some subtle inter-generic differences. In M. edulis, inter-lamellar connections are reported to connect the inner and outer lamellae over the entire ventral to dorsal surface. In P. perna, the inter-lamellar connections are restricted to between the third and sixth row of cilial disks from the marginal groove. All cilia emanating from the epithelial cells of NI. edulis are reportedly longer than those of their counterparts in P. perna. Further, laterofrontal cirri in M. edulis comprises 22-30 pairs of cilia, whereas in P. perna there are only 18-23 pairs. This report complements an earlier fine-structural study and completes the description of gill filaments in P. perna. These data serve as a morphological baseline for future local pollution impact studies.</t>
  </si>
  <si>
    <t>Univ Durban Westville, Electron Microscope Unit, ZA-4000 Durban, South Africa; Univ Durban Westville, Dept Zool, ZA-4000 Durban, South Africa</t>
  </si>
  <si>
    <t>University of Kwazulu Natal; University of Kwazulu Natal</t>
  </si>
  <si>
    <t>Gregory, MA (corresponding author), Univ Durban Westville, Electron Microscope Unit, Private Bag X54001, ZA-4000 Durban, South Africa.</t>
  </si>
  <si>
    <t>AFRICAN ZOOLOGY CIRCULATION OFFICE, PO BOX 11663,, PRETORIA 0028, SOUTH AFRICA</t>
  </si>
  <si>
    <t>373UG</t>
  </si>
  <si>
    <t>WOS:000165307200014</t>
  </si>
  <si>
    <t>Anandkumar, A; Nagarajan, R; Prabakaran, K; Bing, CH; Rajaram, R; Li, J; Du, DL</t>
  </si>
  <si>
    <t>Anandkumar, A.; Nagarajan, R.; Prabakaran, K.; Bing, Chua Han; Rajaram, R.; Li, Jian; Du, Daolin</t>
  </si>
  <si>
    <t>Bioaccumulation of trace metals in the coastal Borneo (Malaysia) and health risk assessment</t>
  </si>
  <si>
    <t>Bioaccumulation; Miri coast; Borneo; Risk assessment; Crabs; Trace metals</t>
  </si>
  <si>
    <t>CRAB CALLINECTES-SAPIDUS; BLUE SWIMMING CRAB; HEAVY-METALS; MIRI CITY; MANGROVE SEDIMENTS; SCYLLA-SERRATA; MERSIN BAY; FISH; WATER; TISSUES</t>
  </si>
  <si>
    <t>The concentration of nine trace elements were analyzed in the different tissue organs of commonly available crabs (Portunus sanguinolentus, Portunus pelagicus and Scylla serrate) and bivalve (Polymesoda erosa) species collected from the Miri coast, Borneo in order to evaluate the potential health risk by consumption of these aquatic organisms. Among the analyzed organs, metal accumulation was higher in the gill tissues. The essential (Cu and Zn) and non-essential (Pb and Cd) elements showed the highest (i.e. Zn) and lowest concentrations (i.e. Cd) in their tissue organs, respectively. The estimated daily intake and hazard indices of all metals in the muscle indicate that the measured values were below the provisional tolerable daily intake suggested by the joint FAO/WHO Expert Committee on Food Additives. Compared to Malaysian and international seafood guideline values the results obtained from the present study are lower than the permissible limits and safe for consumption.</t>
  </si>
  <si>
    <t>[Anandkumar, A.; Prabakaran, K.; Li, Jian; Du, Daolin] Jiangsu Univ, Inst Environm &amp; Ecol, Sch Environm &amp; Safety Engn, Zhenjiang 212013, Jiangsu, Peoples R China; [Anandkumar, A.; Nagarajan, R.; Prabakaran, K.] Curtin Univ, Dept Appl Geol, Fac Engn &amp; Sci, Miri, Sarawak, Malaysia; [Bing, Chua Han] Curtin Univ, Dept Chem Engn, Fac Engn &amp; Sci, Miri, Sarawak, Malaysia; [Rajaram, R.] Bharathidasan Univ, Dept Marine Sci, Tiruchirappalli 620024, Tamil Nadu, India</t>
  </si>
  <si>
    <t>Jiangsu University; Curtin University Malaysia; Curtin University Malaysia; Bharathidasan University</t>
  </si>
  <si>
    <t>Anandkumar, A (corresponding author), Jiangsu Univ, Inst Environm &amp; Ecol, Sch Environm &amp; Safety Engn, Zhenjiang 212013, Jiangsu, Peoples R China.;Anandkumar, A; Nagarajan, R (corresponding author), Curtin Univ, Dept Appl Geol, Fac Engn &amp; Sci, Miri, Sarawak, Malaysia.</t>
  </si>
  <si>
    <t>anand2explore@gmail.com; nagarajan@curtin.edu.my</t>
  </si>
  <si>
    <t>Rajaram, Rajendran/ABE-5535-2021; Chua, Han/B-9254-2017; li, jianghua/GXG-4735-2022; Du, Daolin/HHC-9359-2022; Arumugam, Anandkumar/AAP-6587-2021; Krishnamoorthy, Prabakaran/AAG-9090-2021; Nagarajan, Ramasamy/J-5742-2012</t>
  </si>
  <si>
    <t>Arumugam, Anandkumar/0000-0001-6580-0146; Krishnamurthy, Prabakaran/0000-0003-4286-6008; Nagarajan, Ramasamy/0000-0003-3495-899X; RAJARAM, RAJENDRAN/0000-0003-2621-1677</t>
  </si>
  <si>
    <t>[CSRI 1011]</t>
  </si>
  <si>
    <t>The first author wishes to express his gratefulness to Curtin Sarawak Research Institute Academic Grant (CSRI 1011: Ramasamy Nagarajan).</t>
  </si>
  <si>
    <t>10.1016/j.marpolbul.2019.05.002</t>
  </si>
  <si>
    <t>IS9UI</t>
  </si>
  <si>
    <t>WOS:000482493000009</t>
  </si>
  <si>
    <t>Wu, YH; Gu, EX; Li, HX; Tian, CH; Feng, CH</t>
  </si>
  <si>
    <t>Wu, Yuehan; Gu, Erxue; Li, Haoxin; Tian, Chenghao; Feng, Chenghong</t>
  </si>
  <si>
    <t>Oxidative stress and histological changes in Corbicula fluminea exposed to nano-Al13 and monomeric Al coagulants</t>
  </si>
  <si>
    <t>ENVIRONMENTAL SCIENCE-NANO</t>
  </si>
  <si>
    <t>ASIAN CLAM; MULTIXENOBIOTIC RESISTANCE; DIGESTIVE GLAND; WATER; ALUMINUM; BEHAVIOR; AL(III); CADMIUM; BIOAVAILABILITY; RESPONSES</t>
  </si>
  <si>
    <t>This is the first study to comprehensively analyze the toxicity of Al coagulants, which are widely present in the effluent of water treatment plants and in natural water in the form of polynuclear Al (e. g., nano-Al-13) and mononuclear Al (Alm), on the siphoning efficiency, antioxidant defense system and histological alterations of Corbicula fluminea. The results showed that Alm had a stronger inhibitory effect on siphoning than the nano-Al-13 coagulant. For all the selected enzyme indexes, induction by nano-Al-13 was more intense in the digestive gland, while that by Alm was more obvious in the gills. Either Alm or nano-Al-13 can enlarge the tubule lumen and reduce the thickness of the epithelia of digestive tubules, but nano-Al-13 caused more severe damage to the cellular membrane. Inferred from the bright clusters observed by microscopy, granular nano-Al-13 enters the digestive gland mainly via swallowing, while gill filtration is another method by which the ionic Alm can enter the clam body. The presence of nano-Al-13 and inhibition of enzymes associated with GSH, such as GST and GR, led to the damage of cell membranes. For both Al coagulants, the influence of higher concentrations is more negative. As an effective coagulant, the toxicity of PACl cannot be ignored.</t>
  </si>
  <si>
    <t>[Wu, Yuehan; Li, Haoxin; Tian, Chenghao; Feng, Chenghong] Beijing Normal Univ, Sch Environm, Key Lab Water Environm Simulat, Beijing 100875, Peoples R China; [Gu, Erxue; Feng, Chenghong] Beijing Normal Univ, Sch Environm, Key Lab Water &amp; Sediment Sci, Minist Educ, Beijing 100875, Peoples R China</t>
  </si>
  <si>
    <t>Beijing Normal University; Beijing Normal University</t>
  </si>
  <si>
    <t>Feng, CH (corresponding author), Beijing Normal Univ, Sch Environm, Key Lab Water Environm Simulat, Beijing 100875, Peoples R China.;Feng, CH (corresponding author), Beijing Normal Univ, Sch Environm, Key Lab Water &amp; Sediment Sci, Minist Educ, Beijing 100875, Peoples R China.</t>
  </si>
  <si>
    <t>fengchenghong@bnu.edu.cn</t>
  </si>
  <si>
    <t>WU, CHUNYAN/HMO-6771-2023; Feng, Chenghong/D-5068-2014</t>
  </si>
  <si>
    <t>Feng, Chenghong/0000-0002-2895-9649; Feng, Chenghong/0000-0002-2130-8851</t>
  </si>
  <si>
    <t>National Natural Science Foundation of China [21677017, 21007004]; Specific Project of Environment Protection Public Welfare of China [201409040]; Special Project of State Key Joint Laboratory of Environment Simulation and Pollution Control [16L01ESPC]; Interdisciplinary Research Funds of Beijing Normal University [312231103]</t>
  </si>
  <si>
    <t>National Natural Science Foundation of China(National Natural Science Foundation of China (NSFC)); Specific Project of Environment Protection Public Welfare of China; Special Project of State Key Joint Laboratory of Environment Simulation and Pollution Control; Interdisciplinary Research Funds of Beijing Normal University</t>
  </si>
  <si>
    <t>The National Natural Science Foundation of China (21677017 and 21007004), the Specific Project of Environment Protection Public Welfare of China (201409040), the Special Project of State Key Joint Laboratory of Environment Simulation and Pollution Control (16L01ESPC) and the Interdisciplinary Research Funds of Beijing Normal University (312231103) supported this work.</t>
  </si>
  <si>
    <t>2051-8153</t>
  </si>
  <si>
    <t>2051-8161</t>
  </si>
  <si>
    <t>ENVIRON SCI-NANO</t>
  </si>
  <si>
    <t>Environ. Sci.-Nano</t>
  </si>
  <si>
    <t>10.1039/c9en00320g</t>
  </si>
  <si>
    <t>Chemistry, Multidisciplinary; Environmental Sciences; Nanoscience &amp; Nanotechnology</t>
  </si>
  <si>
    <t>Chemistry; Environmental Sciences &amp; Ecology; Science &amp; Technology - Other Topics</t>
  </si>
  <si>
    <t>IY0YK</t>
  </si>
  <si>
    <t>WOS:000486118600019</t>
  </si>
  <si>
    <t>Boukari, A; Hamoudi, FS; Soltani, N</t>
  </si>
  <si>
    <t>Boukari, Asma; Hamoudi, Faten Selma; Soltani, Noureddine</t>
  </si>
  <si>
    <t>BIOCHEMICAL MODIFICATION IN AN EDIBLE MOLLUSK (DONAX TRUNCULUS) DURING TRANSPLANTATION INTO A POLLUTED ENVIRONMENT</t>
  </si>
  <si>
    <t>Transplantation; Donax trunculus; Gulf of Annaba; Bio-chemical constituents</t>
  </si>
  <si>
    <t>FATTY-ACID-COMPOSITION; ANNABA ALGERIA; SEASONAL-VARIATIONS; BIVALVE MOLLUSKS; GULF; BIOMARKERS; STRESS; CONTAMINATION; PARAMETERS; EXPOSURE</t>
  </si>
  <si>
    <t>The gulf of Annaba (East Algeria) has observed markedly increased levels of various pollutants. The objective of the current study was to examine the impact of these anthropogenic activities on the biochemical composition of an edible mollusk Donax trunculus. Thus, the levels of main biochemical constituents (proteins. carbohydrates, lipids) were measured at various times during a transplantation from a reference site (El Battah) to a contaminated site (Sidi Salem) for 21 days. Biochemical analyzes indicate changes at different times (0, 7, 14 and 21 days) during the transplantation period. At day 0, the levels of both carbohydrates, lipids and proteins from El Battah individuals were significantly higher compared to those from Sidi Salem. During transplantation, we notice comparable levels in transplanted individuals (El Battah to Sidi Salem) to those of Sidi Salem starting day 7 for proteins and day 14 for lipids and only at day 21 for carbohydrates, respectively. A two-way ANOVA (time, site) revealed significant effects of time, site. Conclusively, the contaminated environment at Sidi Salem site mainly by heavy metals affects the energy reserves of this mollusk species.</t>
  </si>
  <si>
    <t>[Boukari, Asma; Hamoudi, Faten Selma; Soltani, Noureddine] Badji Mokhtar Univ, Fac Sci, Dept Biol, Lab Appl Anim Biol, Annaba 23000, Algeria</t>
  </si>
  <si>
    <t>Universite Badji Mokhtar - Annaba</t>
  </si>
  <si>
    <t>Soltani, N (corresponding author), Badji Mokhtar Univ, Fac Sci, Dept Biol, Lab Appl Anim Biol, Annaba 23000, Algeria.</t>
  </si>
  <si>
    <t>noureddine.soltani@univannaba.org</t>
  </si>
  <si>
    <t>National Fund for Scientific Research; Ministry of High Education and Scientific Research of Algeria [D01N01UN 230120190009]</t>
  </si>
  <si>
    <t>National Fund for Scientific Research; Ministry of High Education and Scientific Research of Algeria</t>
  </si>
  <si>
    <t>This research was supported by the National Fund for Scientific Research to Pr. Noureddine Soltani (Laboratory of Applied Animal Biology) and the Ministry of High Education and Scientific Research of Algeria (PRFU Project: D01N01UN 230120190009 to Pr. Noureddine Soltani).</t>
  </si>
  <si>
    <t>QX2MG</t>
  </si>
  <si>
    <t>WOS:000629181400015</t>
  </si>
  <si>
    <t>Metais, I; Ekouma, EM; Ngpan, R; Planes, S; Mouneyrac, C</t>
  </si>
  <si>
    <t>Metais, Isabelle; Ekouma, Elsa Mengue; Ngpan, Romina; Planes, Serge; Mouneyrac, Catherine</t>
  </si>
  <si>
    <t>Oxidative stress responses and biological indices in the giant clam Tridacna maxima and the reef fish Epinephelus merra from the French Polynesian Moorea Island</t>
  </si>
  <si>
    <t>Biomarkers; Oxidative stress; Tridacna maxima; Epinephelus merra; Moorea</t>
  </si>
  <si>
    <t>SCROBICULARIA-PLANA; LIPID-PEROXIDATION; BIOMARKERS; TISSUES; COAST</t>
  </si>
  <si>
    <t>Responses of biological indices and oxidative stress biomarkers were studied in the giant clam Tridacna maxima and in the fish Epinephelus merra collected from two sites differing by their level of contamination in the French Polynesian Moorea island. Higher levels of catalase (CAT), glutathione-S-transferases (GST) and thiobarbituric acid reactive substances (TBARs) were observed in the hepatopancreas of T. maxima and in the liver of E. men-a compared to muscle. CAT and TBARs levels were significantly higher in the hepatopancreas of clams collected from the impacted site (Vaiare) compared to the reference site (bay of Cook). The same pattern was observed for TBARs levels in the liver of E. men-a. These results indicate that both organisms from the impacted site were exposed to contaminants leading to an oxidative stress and demonstrate, for the first time, the usefulness of T. maxima and E. men-a as sentinel species for biomonitoring reef environments. (C) 2012 Elsevier Ltd. All rights reserved.</t>
  </si>
  <si>
    <t>[Metais, Isabelle; Ekouma, Elsa Mengue; Ngpan, Romina; Mouneyrac, Catherine] Univ Catholique Ouest, Dept Sci, LUNAM Univ, 3 Pl Andre Leroy,BP10808, F-49008 Angers 01, France; [Metais, Isabelle; Mouneyrac, Catherine] Univ Nantes, MMS, LUNAM Univ, Fac Pharm,EA2160, F-44035 Nantes, France; [Ekouma, Elsa Mengue; Ngpan, Romina] Inst Super Enseignement Prive Polynesie, Tahiti, France; [Planes, Serge] CNRS, USR 3278, EPHE Ctr Rech Insulaire &amp; Observ Environm CRIOBE, F-98729 Papetoai, Moorea, France</t>
  </si>
  <si>
    <t>Nantes Universite; Centre National de la Recherche Scientifique (CNRS); CNRS - Institute of Ecology &amp; Environment (INEE)</t>
  </si>
  <si>
    <t>Metais, I (corresponding author), Univ Catholique Ouest, Dept Sci, LUNAM Univ, 3 Pl Andre Leroy,BP10808, F-49008 Angers 01, France.</t>
  </si>
  <si>
    <t>isabelle.metais@uco.fr; planes@univ-perp.fr; catherine.mouneyrac@uco.fr</t>
  </si>
  <si>
    <t>PLANES, Serge/ABF-1360-2021</t>
  </si>
  <si>
    <t>METAIS, Isabelle/0000-0002-6139-6315</t>
  </si>
  <si>
    <t>10.1016/j.marpolbul.2012.06.019</t>
  </si>
  <si>
    <t>035FT</t>
  </si>
  <si>
    <t>WOS:000310929500044</t>
  </si>
  <si>
    <t>Hadiyanto, H; Widayat, W; Pratiwi, ME; Christwardana, M; Muylaert, K</t>
  </si>
  <si>
    <t>Hadiyanto, H.; Widayat, W.; Pratiwi, Monica Evanty; Christwardana, Marcelinus; Muylaert, Koenraad</t>
  </si>
  <si>
    <t>Effect of pH, cationic inducer, and clam shells as bio-flocculant in the optimization of the flocculation process for enhanced microalgae harvesting using response surface methodology</t>
  </si>
  <si>
    <t>ENVIRONMENTAL POLLUTANTS AND BIOAVAILABILITY</t>
  </si>
  <si>
    <t>Suspended cells; cationic inducer; ANOVA; neutralizing process; bioflocs</t>
  </si>
  <si>
    <t>MECHANISM; BIOTECHNOLOGY; ADSORPTION; BIODIESEL; EGGSHELLS; BIOMASS</t>
  </si>
  <si>
    <t>Flocculants agglomerate suspended microalgae cells, while cost and toxicity have led to the increased use of bio-flocculants. In this experiment, Chlorella pyrenoidosa was gathered by utilizing bio-flocculants from discarded clam shells. At pH 8, 0.2 mg/mL of bio-flocculant clam shell, 0.1 mg/mL of cationic inducer, and 240 rpm of mixing achieved 91.87 % flocculation efficiency and 458.1 mg of recovered biomass. Calcium ions in bio-flocculants are the main contributor to Chlorella pyrenoidosa flocculation, employing charge neutralization and sweeping as flocculation mechanisms. Zn2+ salt boosts flocculation by neutralizing the functional group's negative charge. The R-2 values of 0.8969 and 0.8894 for harvesting efficiency and recovered biomass reflect the model's predictive power. XRD exhibited faint, indistinct peaks with considerable noise, indicating that the chitosan bioflocculant did not have a crystalline structure and that Chlorella had become fibrillar. Response Surface Methodology approach, which promotes flocculation, improves water reuse and microalgae harvesting.</t>
  </si>
  <si>
    <t>[Hadiyanto, H.; Widayat, W.; Pratiwi, Monica Evanty] Diponegoro Univ, Dept Chem Engn, Semarang, Indonesia; [Hadiyanto, H.; Christwardana, Marcelinus] Diponegoro Univ, Sch Postgrad Studies, Waster Program Energy, Semarang, Indonesia; [Christwardana, Marcelinus] Diponegoro Univ, Dept Chem, Semarang, Indonesia; [Muylaert, Koenraad] Katholieke Univ Leuven, Lab Aquat Biol, Dept Biol, Campus KULAK Kortrijk, Kortrijk, Belgium</t>
  </si>
  <si>
    <t>Diponegoro University; Diponegoro University; Diponegoro University; KU Leuven</t>
  </si>
  <si>
    <t>Christwardana, M (corresponding author), Diponegoro Univ, Sch Postgrad Studies, Waster Program Energy, Semarang, Indonesia.;Christwardana, M (corresponding author), Diponegoro Univ, Dept Chem, Semarang, Indonesia.</t>
  </si>
  <si>
    <t>marcelinus@lecturer.undip.ac.id</t>
  </si>
  <si>
    <t>Muylaert, Koenraad/HSG-3591-2023; Hadiyanto, H/I-3794-2012; Widayat, Widayat/AAB-7257-2019; Hadiyanto, Hady/P-1227-2016; Christwardana, Marcelinus/R-4684-2016</t>
  </si>
  <si>
    <t>Hadiyanto, Hady/0000-0003-0074-7078; Widayat, W/0000-0003-1906-2378; Christwardana, Marcelinus/0000-0003-4084-1763</t>
  </si>
  <si>
    <t>Diponegoro University [233-37/UN7.6.1/PP/2022]</t>
  </si>
  <si>
    <t>Diponegoro University</t>
  </si>
  <si>
    <t>This work was supported by the Diponegoro University for their financial support through Riset Publikasi Internasional Bereputasi Tinggi - RPIBT 2022 (233-37/UN7.6.1/PP/2022).</t>
  </si>
  <si>
    <t>2639-5932</t>
  </si>
  <si>
    <t>2639-5940</t>
  </si>
  <si>
    <t>ENV POLLUT BIOAVAIL</t>
  </si>
  <si>
    <t>Env. Pollut. Bioavail.</t>
  </si>
  <si>
    <t>DEC 31</t>
  </si>
  <si>
    <t>10.1080/26395940.2022.2110520</t>
  </si>
  <si>
    <t>3S0PY</t>
  </si>
  <si>
    <t>WOS:000839307100001</t>
  </si>
  <si>
    <t>Rocchetta, I; Lomovasky, BJ; Yusseppone, MS; Sabatini, SE; Bieczynski, F; de Molina, MCR; Luquet, CM</t>
  </si>
  <si>
    <t>Rocchetta, Iara; Lomovasky, Betina J.; Yusseppone, Maria S.; Sabatini, Sebastian E.; Bieczynski, Flavia; Rios de Molina, Maria C.; Luquet, Carlos M.</t>
  </si>
  <si>
    <t>Growth, abundance, morphometric and metabolic parameters of three populations of Diplodon chilensis subject to different levels of natural and anthropogenic organic matter input in a glaciar lake of North Patagonia</t>
  </si>
  <si>
    <t>LIMNOLOGICA</t>
  </si>
  <si>
    <t>Freshwater bivalves; Growth rates; Population parameters; Allochthonous organic matter; Anthropogenic impact; Sewage pollution</t>
  </si>
  <si>
    <t>FRESH-WATER MUSSEL; 1828 BIVALVIA; OXIDATIVE STRESS; AGE STRUCTURE; DREISSENA-POLYMORPHA; ARCTICA-ISLANDICA; GRAY; ZEBRA; HYRIIDAE; RATES</t>
  </si>
  <si>
    <t>Three populations of Diplodon chilensis (Hiridae, Bivalvia) from North Patagonia (Lacar lake, Argentina) have been studied to determine how organic matter (OM) influence their growth, density, morphometric and metabolic parameters in two pristine sites (Yuco and Nonthue) and in a growing touristic locality (San Martin de los Andes Bay, site SMA) affected by urban discharges. In Nonthue (chemical and biological oxygen demand ratio COD/BOD ratio of 4.7), a dense neighboring forest provides higher quantities of vegetal detritus compared to Yuco, while in SMA the OM input increase is related to anthropogenic impact, mainly sewage discharges, which is more biodegradable (COD/BOO ratio of 1.7). Our results show that population's size distribution and growth rates are affected positively by increased OM, independently of its natural or anthropogenic origin. The modal shell length interval for SMA and Nonthue is twofold higher (70 mm), in agreement to the growth rate increase (k = 0.079), compared to Yuco (35 mm, k = 0.045). The morphometric relationships between size-size and size-mass show a higher slope for SMA and Nonthue, which underline allometric differences between these two populations and the Yuco's one. The lower population densities in both sites (SMA 33 ind./m(2) and Nonthue 76 ind./m(2)) compare to Yuco (176 ind./m(2)) and the absence of individuals younger than 7 and 5 years old, respectively, in SMA and Nonthue could be related to the higher allochthonous OM content in the sediments and total suspended solids in water. Increased OM due to urban pollution in SMA bivalves leads to higher oxidative damage to lipids, which is not counterbalanced by the higher detoxification enzyme glutathione-S-transferase activity. Hence, we can conclude that pollution would explain the drastic reduction in population density, probably related to a high impair in the juvenile's survival/recruitment, the higher observed mortality and the lower population longevity. When increased OM is supply by the forest, like in Nonthue, this has less negative effect on population density and no effect on longevity at all. However, a negative effect of oxygen depletion due to increased OM (either anthropogenic or natural) on juvenile survival cannot be discarded, but further studies should be carried out to support this idea. (C) 2013 Elsevier GmbH. All rights reserved.</t>
  </si>
  <si>
    <t>[Rocchetta, Iara; Yusseppone, Maria S.; Sabatini, Sebastian E.; Rios de Molina, Maria C.] Univ Buenos Aires, Fac Ciencias Exactas Nat IQUIBICEN CONICET, Dept Quim Biol, Lab Enzimol Estres &amp; Metab, Pab 2,4 Piso,Ciudad Univ, RA-1428 Buenos Aires, DF, Argentina; [Lomovasky, Betina J.] Univ Nacl Mar del Plata, Fac Ciencias Exactas &amp; Nat, CONICET, Inst Invest Marinas &amp; Costeras IIMyC, Mar Del Plata, Buenos Aires, Argentina; [Rocchetta, Iara; Bieczynski, Flavia; Luquet, Carlos M.] INIBIOMA CONICET UNCo CEAN, Lab Ecotoxicol Acucit, RA-8371 Junin De Los Andes, Neuquen, Argentina</t>
  </si>
  <si>
    <t>University of Buenos Aires; Consejo Nacional de Investigaciones Cientificas y Tecnicas (CONICET); National University of Mar del Plata</t>
  </si>
  <si>
    <t>Rocchetta, I (corresponding author), Univ Buenos Aires, Fac Ciencias Exactas Nat IQUIBICEN CONICET, Dept Quim Biol, Lab Enzimol Estres &amp; Metab, Pab 2,4 Piso,Ciudad Univ, RA-1428 Buenos Aires, DF, Argentina.</t>
  </si>
  <si>
    <t>rocchetta@bg.fcen.uba.ar</t>
  </si>
  <si>
    <t>Bieczynski, Flavia/AAI-3524-2021</t>
  </si>
  <si>
    <t>Bieczynski, Flavia/0000-0002-6769-6677; Lomovasky, Betina/0000-0002-0879-8403</t>
  </si>
  <si>
    <t>University of Buenos Aires (UBACYT); Consejo Nacional de Investigaciones Cientificas y Tecnicas (CONICET); Agencia Nacional de Promocion Cientifica y Tecnologica (ANPCYT)</t>
  </si>
  <si>
    <t>University of Buenos Aires (UBACYT)(University of Buenos Aires); Consejo Nacional de Investigaciones Cientificas y Tecnicas (CONICET)(Consejo Nacional de Investigaciones Cientificas y Tecnicas (CONICET)); Agencia Nacional de Promocion Cientifica y Tecnologica (ANPCYT)(ANPCyTSpanish Government)</t>
  </si>
  <si>
    <t>This work was supported by grants from the University of Buenos Aires (UBACYT), Consejo Nacional de Investigaciones Cientificas y Tecnicas (CONICET) and Agencia Nacional de Promocion Cientifica y Tecnologica (ANPCYT). UBACYT X985 and CONICET PIP 0492 to M.C.R.M., CONICET PIP 0238 to C.M.L and ANPCYT PICT 1293 to I.R. IR was granted by Alexander von Humboldt Foundation during 2012 and wants to thank Dr. Doris Abele and the Alfred Wegener Institute (Awl). Authors thank Dr. Nelly Tremblay for reading the manuscript and helping us with the english language. We acknowledge support and permissions from Lanin National Park. We thank Miguel Selser and Alberto Perez for their kind help with the sample collection and Graciela Alvarez from IIMyC for technical assistance.</t>
  </si>
  <si>
    <t>0075-9511</t>
  </si>
  <si>
    <t>1873-5851</t>
  </si>
  <si>
    <t>Limnologica</t>
  </si>
  <si>
    <t>10.1016/j.limno.2013.06.004</t>
  </si>
  <si>
    <t>276BA</t>
  </si>
  <si>
    <t>WOS:000328721900010</t>
  </si>
  <si>
    <t>Jonsson, H; Schiedek, D; Goksoyr, A; Grosvik, BE</t>
  </si>
  <si>
    <t>Jonsson, Henrik; Schiedek, Doris; Goksoyr, Anders; Grosvik, Biom Einar</t>
  </si>
  <si>
    <t>Expression of cytoskeletal proteins, cross-reacting with anti-CYP1A, in Mytilus sp exposed to organic contaminants</t>
  </si>
  <si>
    <t>actin; brominated flame retardants; CYP1A; cytoskeleton; Hsp70; mussel; organic pollutants; tropomyosin</t>
  </si>
  <si>
    <t>HEAT-SHOCK PROTEINS; DIGESTIVE GLAND; BLUE MUSSEL; ACTIN; GALLOPROVINCIALIS; INDUCTION; STRESS; CYTOCHROME-P450; TROPOMYOSIN; COPPER</t>
  </si>
  <si>
    <t>The possible use of cytoskeletal components as biomarkers of organic pollution in mussels has been investigated. Responses of non-muscular actin and tropomyosin (TM), two bivalve proteins that were recently demonstrated to cross-react with anti-fish-CYPIA, were analysed in digestive tissue of blue mussels (Mytilus sp.) exposed to a wide range of organic contaminants. The results were evaluated with ELISA and Western blot assays, utilising commercial monoclonal antibodies, and compared with expression of Hsp70, a marker of chemical stress. Furthermore, mussels were sampled from the Baltic Sea at sites with different degrees of pollution to assess the expression of these proteins, and to monitor seasonal changes in relation to energy reserves and water temperature. The results demonstrated that expression of microsomal actin was significantly higher (p &lt; 0.02) in mussels exposed to a brominated flame retardant (BDE-47), and lower, however not significantly, in specimens exposed to crude oil, alone and spiked with alkylphenols and PAHs. Hsp70 was strongly induced in all exposure groups, which also included bisphenol A and dial lylphthalate. Furthermore, microsomal actin exhibited seasonal variations, and expression was negatively correlated with water temperature. No correlation was seen between actin and the microfilament-binding protein TM, indicating that regulation of these two cytoskeletal components are not coupled. Furthermore, parallel and significant (P &lt; 0.05) up-regulations of TM and Hsp70 were seen in individuals sampled from a strongly polluted field site, whereas the seasonal analysis showed that TM expression was positively correlated with energy reserves (total glycogen content) in mussels, suggesting the use of TM as a marker of growth. In conclusion, this study has demonstrated the cytoskeleton to be a target of contaminants in mussels, calling for further attention. Exposure-induced increase of microsomal actin can be interpreted either as stimulated actin synthesis, or re-arrangements of the dynamic microfilaments. (c) 2006 Elsevier B.V. All rights reserved.</t>
  </si>
  <si>
    <t>Balt Sea Res Inst, Rostock, Germany; Univ Bergen, Dept Biol Mol, Bergen, Norway; Biosense Labs AS, Bergen, Norway</t>
  </si>
  <si>
    <t>Jonsson, H (corresponding author), Univ Piemonte Orientale Amedeo Avogadro, Dept Environm &amp; Life Sci, Via Bellini 25G, I-15100 Alessandria, Italy.</t>
  </si>
  <si>
    <t>jonsson@unipmn.it</t>
  </si>
  <si>
    <t>Goksøyr, Anders/F-8320-2010; Grosvik, Bjorn Einar/HGC-4482-2022</t>
  </si>
  <si>
    <t>Grosvik, Bjorn Einar/0000-0003-0794-2212; Goksoyr, Anders/0000-0003-4054-9842</t>
  </si>
  <si>
    <t>S42</t>
  </si>
  <si>
    <t>S48</t>
  </si>
  <si>
    <t>10.1016/j.aquatox.2006.02.014</t>
  </si>
  <si>
    <t>WOS:000238130600006</t>
  </si>
  <si>
    <t>Smolders, R; Bervoets, L; Blust, R</t>
  </si>
  <si>
    <t>Transplanted zebra mussels (Dreissena polymorpha) as active biomonitors in an effluent-dominated river</t>
  </si>
  <si>
    <t>zebra mussel; water quality; aquatic ecosystems; effluent; biomonitoring</t>
  </si>
  <si>
    <t>PHYSIOLOGICAL ENERGETICS; FILTRATION-RATE; GROWTH; CADMIUM; SCOPE; METALS; ACCUMULATION; HYDROCARBONS; STRESS; TERM</t>
  </si>
  <si>
    <t>For over 20 years, mussels have been recommended as one of the most suitable biomonitoring organisms for aquatic ecosystems. Though the common mussel (Mytilus edulis) is frequently used for biomonitoring estuarine and marine ecosystems, no freshwater species is promoted for similar monitoring networks. Recently, however, the zebra mussel (Dreissena polymorpha) has been proposed as a suitable monitoring organism in freshwater ecosystems. The aim of this study was to explore the usefulness of transplanted zebra mussels as active biomonitors in an effluent-dominated stream. Results showed that for these purposes, an exposure period of at least a few weeks is required to detect any significant changes in condition status or scope for growth. Wet-tissue-weight: dry-tissue-weight ratio was the most sensitive measure to quantify effects of field exposure on physiological fitness. In case of scope for growth (SfG), energy intake was the factor determining the overall energy budget of the mussels. Based on the dilution rates of the two different effluents present, effluent 2 had the most important effect on the condition status of the exposed organisms. Overall, we conclude that the use of transplanted mussels is a sensitive and easily applicable active biomonitor that can be used to assess water quality, pollution, and subsequent recovery through self-purification in field situations.</t>
  </si>
  <si>
    <t>Univ Antwerp, RUCA, Lab Ecophysiol Biochem &amp; Toxicol, Dept Biol, B-2020 Antwerp, Belgium</t>
  </si>
  <si>
    <t>Univ Antwerp, RUCA, Lab Ecophysiol Biochem &amp; Toxicol, Dept Biol, Groenenborgerlaan 171, B-2020 Antwerp, Belgium.</t>
  </si>
  <si>
    <t>smolders@ruca.ua.ac.be</t>
  </si>
  <si>
    <t>Smolders, Roel/AAO-1699-2020; Bervoets, Lieven/E-5012-2015</t>
  </si>
  <si>
    <t>10.1897/1551-5028(2002)021&lt;1889:TZMDPA&gt;2.0.CO;2</t>
  </si>
  <si>
    <t>583WW</t>
  </si>
  <si>
    <t>WOS:000177434900016</t>
  </si>
  <si>
    <t>Juhmani, AS; Sfriso, AA; Wahsha, M; Buosi, A; Tomio, Y; Sfriso, A</t>
  </si>
  <si>
    <t>Juhmani, Abdul-Salam; Sfriso, Andrea A.; Wahsha, Mohammad; Buosi, Alessandro; Tomio, Yari; Sfriso, Adriano</t>
  </si>
  <si>
    <t>Metal Bioaccumulation and Oxidative Stress in Ulva laetevirens in the Venice Lagoon: Early Warning Biomarker for Metal Bioaccumulation</t>
  </si>
  <si>
    <t>Venice Lagoon; lipid peroxidation; oxidative stress; Ulva; metals</t>
  </si>
  <si>
    <t>HEAVY-METAL; OF-VENICE; MANILA CLAM; RUDITAPES-PHILIPPINARUM; SPATIAL-DISTRIBUTION; TAPES-PHILIPPINARUM; ECOSYSTEM SERVICES; LIPID-PEROXIDATION; CERASTODERMA-EDULE; SEASONAL-VARIATION</t>
  </si>
  <si>
    <t>Transitional water systems (TWSs) may be threatened by various metals originating from increased agricultural, industrial activities, or urban effluents. Macroalgae are one of the biological quality elements used to monitor and assess the health status of TWS due to their structural and functional key role in marine ecosystems. Here, metal accumulation from the macroalgae Ulva laetevirens Areschoug (1854) and oxidative stress by lipid peroxidation (LPO) biomarker were investigated during four sampling seasons from three sampling sites (SMM: Santa Maria del Mare; PM: Porto Marghera; SG: San Giuliano) of Venice Lagoon, affected by different anthropogenic stressors. The metal pollution index (MPI) scores for U. laetevirens increased in the order SMM &lt; PM &lt; SG (sea inlet &lt; industrial area &lt; Osellino River estuary), with average values per site of 2.99, 4.37, and 6.33, respectively. The level of LPO was statistically correlated with the concentration of toxic metal(loid)s (As, Pb, Hg) measured in macroalgae, and seasonality affected both levels of LPO and metal bioaccumulation, with peak values during spring and summer. These findings highlighted the efficiency and usefulness of the oxidative stress test (LPO) on the common macroalga U. laetevirens as an early warning signal for health assessment in aquatic ecosystems.</t>
  </si>
  <si>
    <t>[Juhmani, Abdul-Salam; Buosi, Alessandro; Tomio, Yari; Sfriso, Adriano] Ca Foscari Univ Venice, Dept Environm Sci Informat &amp; Stat, Via Torino 155, I-30172 Venice, Italy; [Sfriso, Andrea A.] Univ Ferrara, Dept Chem &amp; Pharmaceut Sci, Via Fossato Mortara 17, I-44121 Ferrara, Italy; [Wahsha, Mohammad] Univ Jordan, Aqaba Branch, Marine Sci Stn, Aqaba 77110, Jordan</t>
  </si>
  <si>
    <t>Universita Ca Foscari Venezia; University of Ferrara; University of Jordan</t>
  </si>
  <si>
    <t>Juhmani, AS (corresponding author), Ca Foscari Univ Venice, Dept Environm Sci Informat &amp; Stat, Via Torino 155, I-30172 Venice, Italy.</t>
  </si>
  <si>
    <t>abdulsalam.juhmani@unive.it; andrea.sfriso@unife.it; m.wahsha@ju.edu.jo; alessandro.buosi@unive.it; yari.tomio@unive.it; sfrisoad@unive.it</t>
  </si>
  <si>
    <t>Buosi, Alessandro/HLW-6702-2023; Juhmani, Abdul-salam/ABH-6666-2020; Sfriso, Andrea/ABA-1815-2021; Sfriso, Andrea A./S-4227-2018; Wahsha, Mohammad/H-1968-2015</t>
  </si>
  <si>
    <t>Tomio, Yari/0000-0002-7429-6719; Sfriso, Adriano/0000-0002-4685-5894; Buosi, Alessandro/0000-0002-9543-5239; Sfriso, Andrea A./0000-0002-2956-2758; JUHMANI, Abdul-salam Fayiz Ahmed/0000-0002-9904-3179; Wahsha, Mohammad/0000-0003-2722-9350</t>
  </si>
  <si>
    <t>10.3390/w13192626</t>
  </si>
  <si>
    <t>WG7VT</t>
  </si>
  <si>
    <t>WOS:000707203500001</t>
  </si>
  <si>
    <t>Chaturvedi, VK; Yadav, N; Rai, NK; Bohara, RA; Rai, SN; Aleya, L; Singh, MP</t>
  </si>
  <si>
    <t>Chaturvedi, Vivek K.; Yadav, Navneet; Rai, Neeraj K.; Bohara, Raghvendra A.; Rai, Sachchida Nand; Aleya, Lotfi; Singh, Mohan P.</t>
  </si>
  <si>
    <t>Two birds with one stone: oyster mushroom mediated bimetallic Au-Pt nanoparticles for agro-waste management and anticancer activity</t>
  </si>
  <si>
    <t>Agro-wastes; Bimetallic nanoparticles; Biosynthesis; Cytotoxicity activity; HCT 116; Pleurotus florida</t>
  </si>
  <si>
    <t>ALLOY NANOPARTICLES; PLEUROTUS-OSTREATUS; GREEN SYNTHESIS; YIELD; GOLD; SILVER; ANTIBACTERIAL; ANTIOXIDANT; OXIDATION; METHANOL</t>
  </si>
  <si>
    <t>Agriculture has the most significant contribution in fulfilling the basic human need, sustaining life, and strengthening the economy of any country. To feed the exploding population of the world, there has been a quantum jump in the production of agricultural commodities, which has led to the production of a substantial considerable quantity of agricultural and agro-industrial wastes. The bulks of these wastes are lignocellulosic in nature and consist of three main polymeric constituents, i.e., cellulose, hemicellulose, and lignin, which are recalcitrant. The primary significant portions of these remain unutilized and are burnt in the field, leading to severe environmental aggression and wastage of resource. Farmers across the globe, including India, burn these agricultural wastes in their thousands of acre land, which contribute to spoiling the air quality index (AQI). This is very harmful, especially to children, pregnant women, old adults, and for patients suffering from respiratory diseases. The current manuscript sets up an agro-waste management platform by using paddy straw as a substrate for the production of nutritionally and medically rich oyster mushroom, Pleurotus florida (Pf) and which is further used in the green synthesis of bimetallic (gold-platinum) Au-Pt nanoparticle. Yield performance and biological efficiency of Pf were calculated from the degraded paddy straw. The green synthesized Au-Pt NPs were structurally characterized by ultraviolet-visible (UV-Vis), X-ray diffraction (XRD), transmission electron microscopy (TEM), energy dispersive spectroscopy (EDS), and zeta potential analysis. The prepared NPs showed a face-centered cubic crystal structure, icosahedral shape with a mean particle size of 16 nm. Furthermore, we examined the cytotoxic activity of Au-Pt NPs using 3-(4,5-dimethylthiazol-2-yl)-2,5-diphenyl tetrazolium bromide (MTT) assay, intracellular reactive oxygen species (ROS) generation, and apoptosis by propidium iodide assay. We found that Au-Pt NPs exerted apoptotic activity on the human colon cancer cell line (HCT 116) in a dose-dependent manner from 12.5 to 200 mu g/mL. Overall, our findings create a prototype and open a new door to synthesizing functional nanoparticle by using oyster mushroom as the substrate for paddy straw agro-waste management and the applicability of Pf in the synthesis of eco-friendly Au-Pt NPs. This is the first kind of approach that kills two birds with one stone.</t>
  </si>
  <si>
    <t>[Chaturvedi, Vivek K.; Rai, Sachchida Nand; Singh, Mohan P.] Univ Allahabad, Inst Interdisciplinary Sci IIDS, Ctr Biotechnol, Prayagraj 211002, India; [Yadav, Navneet] Univ Allahabad, Dept Phys, Prayagraj 211002, India; [Rai, Neeraj K.] Cent Univ South Bihar, Dept Biotechnol, Gaya 824236, India; [Bohara, Raghvendra A.] Natl Univ Ireland Galway, SFI Res Ctr Med Devices, CURAM, Galway, Ireland; [Bohara, Raghvendra A.] DY Patil Univ, Ctr Interdisciplinary Res, Kolhapur, Maharashtra, India; [Aleya, Lotfi] Chronoenvironm, Besancon, France</t>
  </si>
  <si>
    <t>University of Allahabad; University of Allahabad; Central University of South Bihar; Ollscoil na Gaillimhe-University of Galway; Universite de Franche-Comte</t>
  </si>
  <si>
    <t>Singh, MP (corresponding author), Univ Allahabad, Inst Interdisciplinary Sci IIDS, Ctr Biotechnol, Prayagraj 211002, India.;Bohara, RA (corresponding author), Natl Univ Ireland Galway, SFI Res Ctr Med Devices, CURAM, Galway, Ireland.;Bohara, RA (corresponding author), DY Patil Univ, Ctr Interdisciplinary Res, Kolhapur, Maharashtra, India.</t>
  </si>
  <si>
    <t>raghvendrabohara@gmail.com; mpsingh.16@gmail.com</t>
  </si>
  <si>
    <t>A.Bohara, Raghvendra/AAW-2272-2020; Rai, Neeraj/AFS-6177-2022; Chaturvedi, Vivek/P-9066-2018; Singh, Mohan/F-7059-2011; Rai, Sachchida Nand/K-5764-2019</t>
  </si>
  <si>
    <t>RAI, NEERAJ/0000-0002-7065-7767; Singh, Mohan/0000-0002-6236-856X; Rai, Sachchida Nand/0000-0001-8418-9549; Chaturvedi, Vivek K/0000-0002-0052-0933</t>
  </si>
  <si>
    <t>UGC [F.4-2/2006 (BSR)/BL/19-20/0032]; Irish Research Council under the Government of Ireland [GOIPD/2017/1283]; Irish Research Council (IRC) [GOIPD/2017/1283] Funding Source: Irish Research Council (IRC)</t>
  </si>
  <si>
    <t>UGC(University Grants Commission, India); Irish Research Council under the Government of Ireland(Irish Research Council for Science, Engineering and Technology); Irish Research Council (IRC)(Irish Research Council for Science, Engineering and Technology)</t>
  </si>
  <si>
    <t>SNR acknowledge UGC for awarding Dr. D.S. Kothari PDF (Ref. No-F.4-2/2006 (BSR)/BL/19-20/0032). RB is supported through the Irish Research Council under the Government of Ireland Postdoctoral fellowship Grant GOIPD/2017/1283.</t>
  </si>
  <si>
    <t>10.1007/s11356-020-11435-2</t>
  </si>
  <si>
    <t>QU0NH</t>
  </si>
  <si>
    <t>WOS:000590460200009</t>
  </si>
  <si>
    <t>Sun, F; Li, TT; Zhang, XY; Shiu, BC; Zhang, Y; Ren, HT; Peng, HK; Lin, JH; Lou, CW</t>
  </si>
  <si>
    <t>Sun, Fei; Li, Ting-Ting; Zhang, Xiayun; Shiu, Bing-Chiuan; Zhang, Yue; Ren, Hai-Tao; Peng, Hao-Kai; Lin, Jia-Horng; Lou, Ching-Wen</t>
  </si>
  <si>
    <t>In situ growth polydopamine decorated polypropylen melt-blown membrane for highly efficient oil/water separation</t>
  </si>
  <si>
    <t>Polypropylene; Melt-blown; Dopamine; 3-aminopropyltriethoxysilane (APTES); Oil/water separation</t>
  </si>
  <si>
    <t>UNDERWATER SUPEROLEOPHOBIC MESH; MUSSEL-INSPIRED METHOD; MICROFILTRATION MEMBRANES; POLYMER-COATINGS; COATED MESH; FABRICATION; DOPAMINE; SURFACE; WETTABILITY; CHEMISTRY</t>
  </si>
  <si>
    <t>The removal of organic pollutants from water is highly desired because of the development of industrial and social economy. Superhydrophilic and underwater superoleophobic membranes are emerging materials for effective oil/water separation. In this paper, superhydrophilic and underwater superoleophobic polypropylene (PP) melt-blown membranes were prepared through melt-blown and in situ growth method, achieving highly efficient oil/water separation. After in situ growth, polydopamine (PDA) grows on the surface of PP fibers, and the addition of coupling agent (3-aminopropyltriethoxysilane, APTES) can improve the stability of the membrane in harsh environments (1 M HCl, 1 M NaOH, 1 M NaCl). The PDA/APTES@PP membrane could dramatically enhance the wetting (water contact angle similar to 0, underwater oil contact angle similar to 154 degrees) compare with the pristine PP melt-blown membrane (water contact angle similar to 130 degrees, underwater oil contact angle similar to 0). Moreover, the filtration performance is at a high level (similar to 99%). The behaviors are comparable or even superior to the typical reported results in the references (such as the mussel-inspired superhydrophilic PVDF membrane and copper mesh). This method provides a facile route to prepared multi-functional membrane for highly efficiency oil/water separation and industrial oily wastewater remediation. (C) 2020 Elsevier Ltd. All rights reserved.</t>
  </si>
  <si>
    <t>[Sun, Fei; Li, Ting-Ting; Zhang, Xiayun; Zhang, Yue; Ren, Hai-Tao; Peng, Hao-Kai; Lin, Jia-Horng; Lou, Ching-Wen] Tiangong Univ, Sch Text Sci &amp; Engn, Innovat Platform Intelligent &amp; Energy Saving Text, Tianjin 300387, Peoples R China; [Sun, Fei; Li, Ting-Ting; Lin, Jia-Horng; Lou, Ching-Wen] Tiangong Univ, State Key Lab Separat Membranes &amp; Membrane Proc, Tianjin 300387, Peoples R China; [Shiu, Bing-Chiuan; Lin, Jia-Horng; Lou, Ching-Wen] Minjiang Univ, Ocean Coll, Fuzhou 350108, Peoples R China; [Lin, Jia-Horng] Feng Chia Univ, Dept Fiber &amp; Composite Mat, Lab Fiber Applicat &amp; Mfg, Taichung 40724, Taiwan; [Lin, Jia-Horng] Asia Univ, Dept Fash Design, Taichung 41354, Taiwan; [Lin, Jia-Horng; Lou, Ching-Wen] Qingdao Univ, Coll Text &amp; Clothing, Adv Med Care &amp; Protect Technol Res Ctr, Qingdao 266071, Shandong, Peoples R China; [Lin, Jia-Horng] China Med Univ, Sch Chinese Med, Taichung 40402, Taiwan; [Lou, Ching-Wen] Asia Univ, Dept Bioinformat &amp; Med Engn, Taichung 41354, Taiwan; [Lou, Ching-Wen] China Med Univ, China Med Univ Hosp, Dept Med Res, Taichung 40402, Taiwan</t>
  </si>
  <si>
    <t>Tiangong University; Tiangong University; Minjiang University; Feng Chia University; Asia University Taiwan; Qingdao University; China Medical University Taiwan; Asia University Taiwan; China Medical University Taiwan; China Medical University Hospital - Taiwan</t>
  </si>
  <si>
    <t>Li, TT; Lin, JH; Lou, CW (corresponding author), Tiangong Univ, Sch Text Sci &amp; Engn, Innovat Platform Intelligent &amp; Energy Saving Text, Tianjin 300387, Peoples R China.</t>
  </si>
  <si>
    <t>tingtingli@tiangong.edu.cn; jhlin@fcu.edu.tw; cwlou@asia.edu.tw</t>
  </si>
  <si>
    <t>Li, Tingting/HKE-0812-2023; Chang, Liu/JTU-3058-2023</t>
  </si>
  <si>
    <t>Natural Science Foundation of Tianjin, China [17JCQNJC08000, 18JCQNJC03400]; Natural Science Foundation of Fujian [2018J01504, 2018J01505]; Program for Innovative Research Team in University of Tianjin [TD13-5043]</t>
  </si>
  <si>
    <t>Natural Science Foundation of Tianjin, China(Natural Science Foundation of Tianjin); Natural Science Foundation of Fujian(Natural Science Foundation of Fujian Province); Program for Innovative Research Team in University of Tianjin</t>
  </si>
  <si>
    <t>This work was supported by the financial support provided by the Natural Science Foundation of Tianjin, China (17JCQNJC08000, 18JCQNJC03400), the Natural Science Foundation of Fujian (2018J01504, 2018J01505). This study is also supported by the Program for Innovative Research Team in University of Tianjin (TD13-5043).</t>
  </si>
  <si>
    <t>10.1016/j.chemosphere.2020.126873</t>
  </si>
  <si>
    <t>LV0RC</t>
  </si>
  <si>
    <t>WOS:000538150400107</t>
  </si>
  <si>
    <t>Yin, MZ; Yang, LL; Tang, YK; Liang, Y; Wang, QH; Su, LN; Liu, JM; Zhuang, Y; Li, DD</t>
  </si>
  <si>
    <t>Yin, Maozhong; Yang, Luling; Tang, Yankui; Liang, Yi; Wang, Qinghan; Su, Linni; Liu, Jingmin; Zhuang, Yao; Li, Dongdong</t>
  </si>
  <si>
    <t>Microplastics released from artificial turf applied as hedge walls: Their aging-induced properties and uptake by grass carp, mussels and earthworms</t>
  </si>
  <si>
    <t>Microplastics; Artificial turf; Biological ingestion; Ctenopharyngodon idellus; Mytilus edulis; Eisenia fetida</t>
  </si>
  <si>
    <t>TRANSPORT; WATER; IDENTIFICATION; BIVALVES; BEHAVIOR; OYSTER; FISH; SEA</t>
  </si>
  <si>
    <t>An emerging source of MPs in China is artificial turf applied as hedge walls (ATHWs), which have been increasingly used mainly in enclosing construction sites as well as beautifying the municipal landscape. However, the specific ecological risks caused by MPs released from ATHWs (ATHW-MPs) are still unknown. In the present study, we investigated the amount and aging-induced properties of green fibers (GMPs) and the backing materials (BMPs), released from the ATHWs; as well as their potential uptake by animals. Grass carp (Ctenopharyngodon idellus), mussels (Mytilus edulis) and earthworms (Eisenia fetida) were used as animal test species. Outdoor exposure for 180 days made ATHWs more prone to embrittlement and disintegration, leading to 4.58 +/- 1.96 % weight loss of the grass panels. More and finer particles and fibers were released by an external shear force from the outdoor exposed panels than from panels exposed to artificial UV-light. The aging process altered the surface properties of both GMP and BMP such as zeta potential, surface roughness, specific surface area and chemical groups, which may change their interaction with chemicals and species in the environment. All the studied species tended to ingest more fine particles (&lt;40 mu m) of BMPs. As a kind of microfibers, GMP were ingested by some grass carp and mussels but not by earthworms. Ingestion of MPs increased at higher MP-exposure concentrations. Although most of BMPs were partly egested by animal species after 3 d intestinal cleansing; 10 %, 44 % and 22 % of ingested BMPs remained in grass carp, mussels and earthworms, respectively. Aging of ATHW cause more and finer shed MPs, therefore, the sources and quality of the raw materials and producing process must be strictly controlled. We suggest that industry should develop or pay attention to the materials that are more resistant to aging; assess and inform the life cycle of the ATHWs in the instructions, and remind users to avoid free exposure of the backing material during installation.</t>
  </si>
  <si>
    <t>[Yin, Maozhong; Yang, Luling; Tang, Yankui; Liang, Yi; Wang, Qinghan; Su, Linni; Liu, Jingmin; Zhuang, Yao] Guangxi Univ, Sch Resources, Guangxi Key Lab Proc Nonferrous Met &amp; Featured Mat, MOE Key Lab New Proc Technol Nonferrous Met &amp; Mat, Nanning 530004, Peoples R China; [Yin, Maozhong; Yang, Luling; Tang, Yankui] Guangxi Univ, Educ Dept Guangxi Zhuang Autonomous Reg, Key Lab Environm Protect, Nanning 530004, Peoples R China; [Li, Dongdong] Engn Branch Guangxi Beitou Environm Water Grp Co L, Nanning, Peoples R China; [Tang, Yankui] Guangxi Univ, Sch Resources Environm &amp; Mat, Nanning 530004, Peoples R China</t>
  </si>
  <si>
    <t>Guangxi University; Guangxi University; Guangxi University</t>
  </si>
  <si>
    <t>Tang, YK (corresponding author), Guangxi Univ, Sch Resources Environm &amp; Mat, Nanning 530004, Peoples R China.</t>
  </si>
  <si>
    <t>cindyyktang@gxu.edu.cn</t>
  </si>
  <si>
    <t>Liu, Jingmin/AAH-9269-2020</t>
  </si>
  <si>
    <t>National Natural Science Foundation of China [51668006]; Foundation of Guangxi Key Laboratory of Clean Pulp &amp; Papermaking and Pollution Control, College of Light Industry and Food Engineering, Guangxi University [2019KF29]</t>
  </si>
  <si>
    <t>National Natural Science Foundation of China(National Natural Science Foundation of China (NSFC)); Foundation of Guangxi Key Laboratory of Clean Pulp &amp; Papermaking and Pollution Control, College of Light Industry and Food Engineering, Guangxi University</t>
  </si>
  <si>
    <t>Acknowledgements This work was supported by the National Natural Science Foundation of China (No. 51668006) and the Foundation of Guangxi Key Laboratory of Clean Pulp &amp; Papermaking and Pollution Control, College of Light Industry and Food Engineering, Guangxi University (No. 2019KF29) .</t>
  </si>
  <si>
    <t>10.1016/j.psep.2023.04.003</t>
  </si>
  <si>
    <t>F1AQ8</t>
  </si>
  <si>
    <t>WOS:000979747800001</t>
  </si>
  <si>
    <t>Andrade, M; De Marchi, L; Pretti, C; Chiellini, F; Morelli, A; Soares, AMVM; Rocha, RJM; Figueira, E; Freitas, R</t>
  </si>
  <si>
    <t>Andrade, Madalena; De Marchi, Lucia; Pretti, Carlo; Chiellini, Federica; Morelli, Andrea; Soares, Amadeu M. V. M.; Rocha, Rui J. M.; Figueira, Etelvina; Freitas, Rosa</t>
  </si>
  <si>
    <t>Are the impacts of carbon nanotubes enhanced in Mytilus galloprovincialis submitted to air exposure?</t>
  </si>
  <si>
    <t>Mussels; Nanoparticles; Oxidative stress; Metabolism; Tidal regime</t>
  </si>
  <si>
    <t>CLAM RUDITAPES-PHILIPPINARUM; MUSSEL PERNA-PERNA; OXIDATIVE STRESS; SEAWATER ACIDIFICATION; BIOCHEMICAL RESPONSES; DIGESTIVE GLAND; PHYSIOLOGICAL ENERGETICS; ENGINEERED NANOPARTICLES; PROTEIN CARBONYLATION; HEDISTE-DIVERSICOLOR</t>
  </si>
  <si>
    <t>Intertidal species are frequently exposed to environmental changes associated with multiple stressors, which they must either avoid or tolerate by developing physiological and biochemical strategies. Some of the natural environmental changes are related with the tidal cycle which forces organisms to tolerate the differences between an aquatic and an aerial environment. Furthermore, in these environments, organisms are also subjected to pollutants from anthropogenic sources. The present study evaluated the impacts in Mytilus galloprovincialis exposed to multi-walled carbon nanotubes (0.01 mg/L MWCNTs) when continuously submersed or exposed to tides (5 h of low tide, 7 h of high tide) for 14 days. Our results demonstrated that mussels were physiologically and biochemically affected by MWCNTs, especially when exposed to tides. In fact, when only exposed to the carbon nanoparticles or only exposed to tides, the stress induced was not enough to activate mussels' antioxidant defenses which resulted in oxidative damage. However, when mussels were exposed to the combination of tides and MWCNTs increased metabolism was observed, associated with a possible higher production of reactive oxygen species (ROS), leading to a significant increase in the activities of antioxidant enzymes (superoxide dismutase, SOD and glutathione peroxide, GPx) and oxidized glutathione content (GSSG), preventing the occurrence of cellular damage, expressed as no lipid peroxidation (LPO) or protein carbonylation (PC). Therefore, organisms seemed to be able to tolerate MWCNTs and air exposure during tidal regime; however, the combination of both stressors induced higher oxidative stress. These findings indicate that the increasing presence of carbon nanoparticles in marine ecosystems can induce higher toxic impacts in intertidal organisms compared to organisms continuously submerged. Also, our results may indicate that air exposure can act as a cofounding factor on the assessment of different stressors in organisms living in coastal systems.</t>
  </si>
  <si>
    <t>[Andrade, Madalena; De Marchi, Lucia; Soares, Amadeu M. V. M.; Rocha, Rui J. M.; Figueira, Etelvina; Freitas, Rosa] Univ Aveiro, Dept Biol, P-3810193 Aveiro, Portugal; [Andrade, Madalena; De Marchi, Lucia; Soares, Amadeu M. V. M.; Rocha, Rui J. M.; Figueira, Etelvina; Freitas, Rosa] Univ Aveiro, Ctr Environm &amp; Marine Studies CESAM, P-3810193 Aveiro, Portugal; [Pretti, Carlo] Univ Pisa, Dept Vet Sci, I-56122 Pisa, Italy; [Chiellini, Federica; Morelli, Andrea] Univ Pisa, Dept Chem &amp; Ind Chem, Udr INSTM Pisa, I-56126 Pisa, Italy</t>
  </si>
  <si>
    <t>Universidade de Aveiro; Universidade de Aveiro; University of Pisa; University of Pisa</t>
  </si>
  <si>
    <t>MORELLI, ANDREA/D-1515-2018; Andrade, Madalena/F-1780-2019; Rocha, Rui/AAP-9828-2021; Chiellini, Federica/AAE-2467-2020; De Marchi, Lucia/ABG-1246-2021; Chiellini, Federica/F-3233-2010; Freitas, Rosa/A-7539-2012; Figueira, Etelvina/M-6116-2013; Soares, Amadeu/A-8304-2008; PRETTI, CARLO/K-5948-2017; Miranda Rocha, Rui Jorge/F-5201-2011</t>
  </si>
  <si>
    <t>Chiellini, Federica/0000-0003-4680-9975; Freitas, Rosa/0000-0003-4900-3897; Figueira, Etelvina/0000-0002-6763-2665; Soares, Amadeu/0000-0003-0879-9470; De Marchi, Lucia/0000-0001-6899-4476; PRETTI, CARLO/0000-0003-4949-2088; Miranda Rocha, Rui Jorge/0000-0002-4385-6074; Silva Andrade, Maria Madalena/0000-0002-5704-8668</t>
  </si>
  <si>
    <t>Integrated Programme of SR&amp;TD Smart Valorization of Endogenous Marine Biological Resources Under a Changing Climate - Centro 2020 program, Portugal 2020, European Union, through the European Regional Development Fund [Centro-01-0145-FEDER-000018]; Portuguese Foundation for Science and Technology (FCT) [SFRH/BPD/99819/2014]; FEDER, within the PT2020 Partnership Agreement; Compete 2020; FEDER, through COMPETE2020 - Programa Operacional Competitividade e Internacionalizacao (POCI); FCT/MCTES; [UID/AMB/50017]</t>
  </si>
  <si>
    <t>Integrated Programme of SR&amp;TD Smart Valorization of Endogenous Marine Biological Resources Under a Changing Climate - Centro 2020 program, Portugal 2020, European Union, through the European Regional Development Fund; Portuguese Foundation for Science and Technology (FCT)(Fundacao para a Ciencia e a Tecnologia (FCT)); FEDER, within the PT2020 Partnership Agreement; Compete 2020; FEDER, through COMPETE2020 - Programa Operacional Competitividade e Internacionalizacao (POCI)(European Union (EU)); FCT/MCTES(Fundacao para a Ciencia e a Tecnologia (FCT));</t>
  </si>
  <si>
    <t>Rosa Freitas benefited from a Research position funded by Integrated Programme of SR&amp;TD Smart Valorization of Endogenous Marine Biological Resources Under a Changing Climate (reference Centro-01-0145-FEDER-000018), co -funded by Centro 2020 program, Portugal 2020, European Union, through the European Regional Development Fund. Rui J. M. Rocha was supported by a Postdoc scholarship (SFRH/BPD/99819/2014), financed by the Portuguese Foundation for Science and Technology (FCT). Thanks are also due, for the financial support to CESAM (UID/AMB/50017), to FCT/MEC through national funds, and the co-funding by the FEDER, within the PT2020 Partnership Agreement and Compete 2020. This work was also financially supported by the project BISPECIAl: BIvalveS under Polluted Environment and Climate chAnge (POCI-01-0145-FEDER-028425) funded by FEDER, through COMPETE2020 - Programa Operacional Competitividade e Internacionalizacao (POCI), and by national funds (OE), through FCT/MCTES.</t>
  </si>
  <si>
    <t>10.1016/j.aquatox.2018.07.006</t>
  </si>
  <si>
    <t>GU3ID</t>
  </si>
  <si>
    <t>WOS:000445168900018</t>
  </si>
  <si>
    <t>Winterbourn, JB; Clements, K; Lowther, JA; Malham, SK; McDonald, JE; Jones, DL</t>
  </si>
  <si>
    <t>Winterbourn, James B.; Clements, Katie; Lowther, James A.; Malham, Shelagh K.; McDonald, James E.; Jones, Davey L.</t>
  </si>
  <si>
    <t>Use of Mytilus edulis biosentinels to investigate spatial patterns of norovirus and faecal indicator organism contamination around coastal sewage discharges</t>
  </si>
  <si>
    <t>Food safety; Marine pollution; Risk assessment; Viral contamination; Wastewater treatment plant</t>
  </si>
  <si>
    <t>WASTE-WATER TREATMENT; BIVALVE SHELLFISH; ESTUARINE ENVIRONMENTS; MICROBIAL PATHOGENS; ESCHERICHIA-COLI; ENTERIC VIRUSES; TREATMENT-PLANT; UNITED-KINGDOM; HEALTH-RISKS; GENOGROUP-I</t>
  </si>
  <si>
    <t>Bivalve shellfish have the capacity to accumulate norovirus (NoV) from waters contaminated with human sewage. Consequently, shellfish represent a major vector for NoV entry into the human food chain, leading to gastrointestinal illness. Identification of areas suitable for the safe cultivation of shellfish requires an understanding of NoV behaviour upon discharge of municipal-derived sewage into coastal waters. This study exploited the potential of edible mussels (Mytilus edulis) to accumulate NoV and employed the ISO method for quantification of NoV within mussel digestive tissues. To evaluate the spatial spread of NoV from an offshore sewage discharge pipe, mesh cages of mussels were suspended from moorings' deployed in a 9 km(2) grid array around the outfall. Caged mussels were retrieved after 30 days and NoV (GI and GII), total coliforms and E. coli enumerated. The experimentally-derived levels of NoV GI and GII in mussels were similar with total NoV levels ranging from 7 x 10(1) to 1.6 x 10(4) genome copies g(-1) shellfish digestive gland (Sigma GI + GII). NoV spread from the outfall showed a distinct plume which matched very closely to predictions from the tidally-driven effluent dispersal model MIKE21. A contrasting spatial pattern was observed for coliforms (range 1.7 x 10(2) to 2.1 x 10(4) CFU 100 g(-1) shellfish tissue) and E. colt (range 0-1.2 x 10(3) CFU 100 g(-1) shellfish tissue). These data demonstrate that hydrodynamic models may help inform effective exclusion zones for bivalve harvesting, whilst coliform/E. coli concentrations do not accurately reflect viral dispersal in marine waters and contamination of shellfish by sewage-derived viral pathogens. (C) 2016 Elsevier Ltd. All rights reserved.</t>
  </si>
  <si>
    <t>[Winterbourn, James B.; Jones, Davey L.] Bangor Univ, Sch Environm Nat Resources &amp; Geog, Bangor LL57 2UW, Gwynedd, Wales; [Clements, Katie; Malham, Shelagh K.] Bangor Univ, Sch Ocean Sci, Bangor LL59 5AB, Gwynedd, Wales; [Lowther, James A.] CEFAS, Barrack Rd, Weymouth DT4 8UB, Dorset, England; [McDonald, James E.] Bangor Univ, Sch Biol Sci, Bangor LL57 2UW, Gwynedd, Wales</t>
  </si>
  <si>
    <t>Bangor University; Bangor University; Centre for Environment Fisheries &amp; Aquaculture Science; Bangor University</t>
  </si>
  <si>
    <t>Winterbourn, JB (corresponding author), Bangor Univ, Environm Ctr Wales, Deiniol Rd, Bangor LL57 2UW, Gwynedd, Wales.</t>
  </si>
  <si>
    <t>benwinterbourn@gmail.com</t>
  </si>
  <si>
    <t>Malham, Shelagh/O-9054-2014; McDonald, James/B-7846-2008; Jones, Davey/C-7411-2011</t>
  </si>
  <si>
    <t>McDonald, James/0000-0002-6328-3752; Jones, Davey/0000-0002-1482-4209; Winterbourn, Ben/0000-0002-1318-5281</t>
  </si>
  <si>
    <t>Bangor Mussel Producers; Welsh Water; European Social Fund via the KESS Scholarships programme; NERC [NE/M010996/1, NE/M011577/1] Funding Source: UKRI</t>
  </si>
  <si>
    <t>Bangor Mussel Producers; Welsh Water; European Social Fund via the KESS Scholarships programme; NERC(UK Research &amp; Innovation (UKRI)Natural Environment Research Council (NERC))</t>
  </si>
  <si>
    <t>This study was funded by Bangor Mussel Producers, Welsh Water and the European Social Fund via the KESS Scholarships programme. We would like to thank Richard Dannatt and Samantha Mullan (Intertek) for assistance with model interpretation and Paul Henderson, Fergus O'Brien and Roger Cragg (Welsh Water Ltd) for outfall information, flow data and permission to use the model. We also thank Ian Harris (Bangor University) for help with the GIS and Gwynne Parry-Jones (Bangor University) and Trevor Jones (Bangor Mussel Producers) for boat time and skippering.</t>
  </si>
  <si>
    <t>10.1016/j.watres.2016.09.002</t>
  </si>
  <si>
    <t>DZ5KW</t>
  </si>
  <si>
    <t>WOS:000385902000024</t>
  </si>
  <si>
    <t>Geffard, A; Queau, H; Dedourge, O; Biagianti-Risboug, S; Geffard, O</t>
  </si>
  <si>
    <t>Geffard, A.; Queau, H.; Dedourge, O.; Biagianti-Risboug, S.; Geffard, O.</t>
  </si>
  <si>
    <t>Influence of biotic and abiotic factors on metallothionein level in Gammarus pulex</t>
  </si>
  <si>
    <t>biomonitoring; biotic and abiotic factors; metals; Gammarus pulex; metallothionein</t>
  </si>
  <si>
    <t>CLAM RUDITAPES-DECUSSATUS; OYSTERS CRASSOSTREA-GIGAS; NATURAL FACTORS SALINITY; MYTILUS-GALLOPROVINCIALIS; DIGESTIVE GLAND; METAL CONCENTRATIONS; LIFE-HISTORY; SEASONAL-VARIATIONS; LIPID-PEROXIDATION; MACOMA-BALTHICA</t>
  </si>
  <si>
    <t>Detection and assessment of the impact of pollution on biological resources imply increasing research on early-warning markers such as metallothioneins in metal exposure. Metallothioneins are cytosolic, low molecular weight proteins, involved principally in essential metal homeostasis and non-essential metal detoxication. Metallothionein synthesis could be influenced by abiotic (season) or biotic (reproduction process) factors directly or indirectly by its effect on metal bioaccumulation (i.e., sex, weight). In a view of using metallothioneins as metal-exposure biomarkers in Gammarus pulex, this study attempts to define the effect of several factors (sex, weight/size and season) on the level of this protein. Metallothionein levels recorded in individuals over a large range of weights indicate a negative correlation between them. Inversely in our conditions, no difference was observed between male and female organisms. During field study, metallothionein level changes were observed with the highest levels in autumn and winter periods. The highest metallothionein levels were observed after the reproduction period, perhaps linked with the metabolic needs of biologically available essential metal such as zinc. (C) 2007 Elsevier Inc. All rights reserved.</t>
  </si>
  <si>
    <t>Univ Reims, EA 2069, Lab Ecotoxicol, Fac Sci, F-51687 Reims 2, France; Irstea, Lab Ecotoxicol, F-69336 Lyon 9, France</t>
  </si>
  <si>
    <t>Universite de Reims Champagne-Ardenne; INRAE</t>
  </si>
  <si>
    <t>Geffard, A (corresponding author), Univ Reims, EA 2069, Lab Ecotoxicol, Fac Sci, Moulin Housse BP 1039, F-51687 Reims 2, France.</t>
  </si>
  <si>
    <t>10.1016/j.cbpc.2007.02.012</t>
  </si>
  <si>
    <t>WOS:000246935300015</t>
  </si>
  <si>
    <t>Vannuci-Silva, M; de Souza, JM; de Oliveira, FF; de Araujo, MAG; Francioni, E; Eismann, CE; Kiang, CH; Govone, JS; Belzunce-Segarra, MJ; Menegário, AA</t>
  </si>
  <si>
    <t>Vannuci-Silva, Monizze; de Souza, Joao M.; de Oliveira, Fabio Francisco; de Araujo, Marcus A. G., Jr.; Francioni, Eleine; Eismann, Carlos Eduardo; Kiang, Chang H.; Govone, Jose S.; Belzunce-Segarra, Maria J.; Menegario, Amauri Antonio</t>
  </si>
  <si>
    <t>Bioavailability of Metals at a Southeastern Brazilian Coastal Area of High Environmental Concern Under Anthropic Influence: Evaluation Using Transplanted Bivalves (Nodipecten nodosus) and the DGT Technique</t>
  </si>
  <si>
    <t>Bioaccumulation; Bioavailability; Bivalves; Labile; Metals; Passive sampler</t>
  </si>
  <si>
    <t>SCALLOP CHLAMYS-VARIA; IN-SITU MEASUREMENT; THIN-FILMS DGT; DIFFUSIVE GRADIENTS; TRACE-METALS; AQUATIC MOSSES; FRESH-WATERS; COPPER; CONTAMINATION; PERFORMANCE</t>
  </si>
  <si>
    <t>Metals are commonly determined in aquatic organisms, primarily using bivalves to provide important data on their bioavailability. The technique of diffusive gradients in thin films (DGTs) has also been employed to assess the concentration of metals in freshwater and marine environments, determining their lability. The present work evaluated and compared the labile and bioavailable concentrations of Cd, Co, Cu, Mn, Ni and Pb in seawater from Ilha Grande Bay, RJ, using DGT and transplanted bivalves (Nodipecten nodosus), respectively. The scallops and DGTs were immersed in water at three sampling locations within the bay from July to September 2012 (winter campaign) and from December 2012 to February 2013 (summer campaign). The metals were determined by inductively coupled plasma-mass spectrometry (ICP-MS) and optical emission spectrometry (ICP-OES). DGT technique was successfully used to determine the concentrations of metals in waters, except for Pb when short deployment times were used. All metals were determined using transplanted bivalves (N. nodosus), but pre-exposure to Cd was evident, which made the interpretation of the data for this analyte difficult. The data on metal lability in Ilha Grande Bay waters obtained from the DGT technique were correlated with the metal bioavailability determined in the soft tissues of the transplanted N. nodosus for Co, Cu, Mn, Ni and Pb. This is the first evaluation of this type for this area of high environmental concern. Both techniques revealed that Nautico was the location with the highest concentration of metals in the study area.</t>
  </si>
  <si>
    <t>[Vannuci-Silva, Monizze; Eismann, Carlos Eduardo; Kiang, Chang H.; Govone, Jose S.; Menegario, Amauri Antonio] Sao Paulo State Univ Unesp, Ctr Environm Studies, BR-13506900 Rio Claro, SP, Brazil; [de Souza, Joao M.; de Araujo, Marcus A. G., Jr.; Francioni, Eleine] PETROBRAS CENPES Gerencia Avaliacao &amp; Monitoramen, Rio De Janeiro, RJ, Brazil; [de Oliveira, Fabio Francisco] Pontificia Univ Catolica Rio de Janeiro, Rio De Janeiro, RJ, Brazil; [Kiang, Chang H.; Govone, Jose S.] Univ Estadual Paulista, Inst Geociencias &amp; Ciencias Exatas IGCE, Rio Claro, SP, Brazil; [Belzunce-Segarra, Maria J.] AZTI Tecnalia, Div Marine Res, Pasaia 20110, Spain; [Vannuci-Silva, Monizze] Univ Estadual Campinas, Inst Biol, Dept Anim Biol, POB 6109, BR-13083970 Campinas, SP, Brazil</t>
  </si>
  <si>
    <t>Universidade Estadual Paulista; Pontificia Universidade Catolica do Rio de Janeiro; Universidade Estadual Paulista; AZTI; Universidade Estadual de Campinas</t>
  </si>
  <si>
    <t>Menegário, AA (corresponding author), Sao Paulo State Univ Unesp, Ctr Environm Studies, BR-13506900 Rio Claro, SP, Brazil.</t>
  </si>
  <si>
    <t>amenega@rc.unesp</t>
  </si>
  <si>
    <t>Vannuci-Silva, Monizze/AFU-8426-2022; Menegario, Amauri/I-4172-2012</t>
  </si>
  <si>
    <t>Francioni de Abreu Lima, Eleine/0009-0003-2891-527X; de Araujo Junior, Marcus Antonio Goncalves/0000-0002-4554-0735; Belzunce-Segarra, Maria Jesus/0000-0002-6533-7638; Vannuci-Silva, Monizze/0000-0002-3127-5694</t>
  </si>
  <si>
    <t>Sao Paulo Research Foundation (FAPESP) [2011/16579-2, 2012/09140-7]; Brazilian National Council for Scientific and Technological Development (CNPq)</t>
  </si>
  <si>
    <t>Sao Paulo Research Foundation (FAPESP)(Fundacao de Amparo a Pesquisa do Estado de Sao Paulo (FAPESP)); Brazilian National Council for Scientific and Technological Development (CNPq)(Conselho Nacional de Desenvolvimento Cientifico e Tecnologico (CNPQ))</t>
  </si>
  <si>
    <t>The authors thank Sao Paulo Research Foundation (FAPESP grant #2011/16579-2 and #2012/09140-7) and Brazilian National Council for Scientific and Technological Development (CNPq) for financial support. We also thank the Petrobras' Research Center (CENPES/RJ) for the assistance in field activities and sample preparation.</t>
  </si>
  <si>
    <t>10.1007/s11270-017-3387-4</t>
  </si>
  <si>
    <t>WOS:000403574100017</t>
  </si>
  <si>
    <t>Galloway, TS; Sanger, RC; Smith, KL; Fillmann, G; Readman, JW; Ford, TE; Depledge, MH</t>
  </si>
  <si>
    <t>Rapid assessment of marine pollution using multiple biomarkers and chemical immunoassays</t>
  </si>
  <si>
    <t>NEW-BEDFORD HARBOR; MYTILUS-GALLOPROVINCIALIS; MEDITERRANEAN-SEA; VENICE-LAGOON; HEAVY-METAL; IN-VITRO; MUSSEL; ENVIRONMENT; EDULIS; WATER</t>
  </si>
  <si>
    <t>To fully assess the impact of pollutant releases into the environment, it is necessary to determine both the concentration of chemicals accumulating in biota and the biological effects they give rise to. Owing to time, expertise, and cost constraints, this is, however, rarely achieved. Here, quick, simple to perform, and inexpensive biomarkers and chemical immunoassays were combined in a rapid assessment approach to measure exposure to and effects of organic and metal pollutants on the ribbed mussel (Geukensia demmissa) from New Bedford Harbor, MA. Significant differences in polychlorinated biphenyl (PCB) and polyaromatic hydrocarbon (PAH) tissue residue concentrations were detected among sites using RaPID immunoassay. Selected analyses were verified using GG/MS. No significant differences were observed in metal concentrations (Cu, Cd, Pb, As, Hg, Ni) throughout the area. While causality cannot be attributed, multivariate canonical correlation analysis indicated that PCB and PAH concentrations were strongly associated with the induction of biomarkers of genotoxicity (micronucleus formation), immunotoxicity (spontaneous cytotoxicity), and physiological impairment (heart rate), It is concluded that the incorporation of chemical immunoassays with biological monitoring tools into routine management procedures is clearly viable and valuable as a means of identifying toxic impacts of pollutants on biota in situ.</t>
  </si>
  <si>
    <t>Univ Plymouth, Plymouth Environm Res Ctr, Plymouth PL4 8AA, Devon, England; Plymouth Marine Labs, Plymouth PL1 3DH, Devon, England; Harvard Univ, Sch Publ Hlth, Dept Environm Hlth, Boston, MA 02115 USA</t>
  </si>
  <si>
    <t>University of Plymouth; Plymouth Marine Laboratory; Harvard University; Harvard T.H. Chan School of Public Health</t>
  </si>
  <si>
    <t>Univ Plymouth, Plymouth Environm Res Ctr, Drake Circus, Plymouth PL4 8AA, Devon, England.</t>
  </si>
  <si>
    <t>tgalloway@plymouth.ac.uk</t>
  </si>
  <si>
    <t>Galloway, Tamara/C-1662-2009; Fillmann, Gilberto/AAK-1497-2020</t>
  </si>
  <si>
    <t>Ford, Timothy/0000-0001-5194-5459; Depledge, Michael/0000-0002-7216-0439; Galloway, Tamara/0000-0002-7466-6775; Fillmann, Gilberto/0000-0001-7615-8128</t>
  </si>
  <si>
    <t>NIEHS NIH HHS [2 P42 ES-05947] Funding Source: Medline</t>
  </si>
  <si>
    <t>10.1021/es010300w</t>
  </si>
  <si>
    <t>553AN</t>
  </si>
  <si>
    <t>WOS:000175653500016</t>
  </si>
  <si>
    <t>Quintela, M; Barreiro, R; Ruiz, JM</t>
  </si>
  <si>
    <t>The use of Nucella lapillus (L.) transplanted in cages to monitor tributyltin (TBT) pollution</t>
  </si>
  <si>
    <t>butyltin residues; imposex; Nucella lapillus; TBT pollution; transplants</t>
  </si>
  <si>
    <t>DOG-WHELK; ANTIFOULING PAINTS; INDUCED IMPOSEX; CONTAMINATION; ACCUMULATION; DOGWHELK; MUSSELS; COPPER; WATERS; FIELD</t>
  </si>
  <si>
    <t>Specimens of the gastropod Nucella lapillus were transplanted from their natural habitat to sites affected by tributyltin (TBT) pollution to diverse degrees; individuals were held in cages that also included mussels as food. Subsamples were taken from the cages and the natural site at different time intervals (1, 2 and 5 months) to compare growth, imposer (a set of sexual anomalies caused by TBT) and butyltin concentrations accumulated in female tissues. Individuals in cages experienced negligible mortality and considerable growth. In addition, while the Relative Penis Size Index (RPSI, an index of imposer) remained consistent in the natural site through the experiment, it increased markedly at the implant sites; the same applies to the butyltin residues. These results are discussed to conclude that cage transplanting of N. lapillus is a suitable technique that can quickly (i.e. 1 month) detect differences in the level of TBT contamination among sites; however, extrapolation of experimental results to the field seems to require a longer exposure time (at least 5 months). Finally, the use of such an approach is deemed helpful to interpret the relationship between N. lapillus population dynamics and TBT pollution. (C) 2000 Elsevier Science B.V. All rights reserved.</t>
  </si>
  <si>
    <t>Univ A Coruna, Dept BA BV &amp; Ecoloxia, E-15071 La Coruna, Spain</t>
  </si>
  <si>
    <t>Univ A Coruna, Dept BA BV &amp; Ecoloxia, Campus Zapateira S-N, E-15071 La Coruna, Spain.</t>
  </si>
  <si>
    <t>marqui@mail2.udc.es</t>
  </si>
  <si>
    <t>Quintela, María/E-2908-2012; Barreiro, Rodolfo/KVY-6967-2024; Ruiz, Jose M./E-5363-2010</t>
  </si>
  <si>
    <t>Quintela, Maria/0000-0003-4762-2192; Barreiro, Rodolfo/0000-0002-6049-5215; Ruiz, Jose M./0000-0002-0893-6175</t>
  </si>
  <si>
    <t>10.1016/S0048-9697(00)00367-3</t>
  </si>
  <si>
    <t>WOS:000086537200014</t>
  </si>
  <si>
    <t>Barut, IF; Meriç, E; Yokes, MB</t>
  </si>
  <si>
    <t>Barut, Ipek F.; Meric, Engin; Yokes, M. Baki</t>
  </si>
  <si>
    <t>Assessment of recent and chalcolithic period environmental pollution using Mytilus galloprovincialis Lamarck, 1819 from Yarimburgaz Cave, the northern Marmara Sea and Bosphorus coasts</t>
  </si>
  <si>
    <t>Chalcolithic period; Geochemistry; Mytilus galloprovincialis shells; Northern Marmara Sea and Bosphorus coasts; Yarimburgaz Cave</t>
  </si>
  <si>
    <t>LAGOON-OF-VENICE; HEAVY-METALS; TRANSPLANTED MUSSELS; FIELD APPLICATION; DIGESTIVE GLAND; TRACE-METALS; BIOMARKERS; CD; BIOACCUMULATION; ZN</t>
  </si>
  <si>
    <t>Marine or freshwater mussel species are found in large quantities around populated areas and accumulate metals in aquatic systems. Therefore, these organisms are used to monitor environmental pollution. Mytilus galloprovincialis is a generally accepted bioindicator of metal pollution and is used in this study. The aim of this study is to determine the changes in the environmental conditions since antiquity. M. galloprovincialis shells were used to monitor Chalcolithic pollution levels in Yarimburgaz Cave, one of the oldest settlements in Europe. Recent samples were collected from 12 stations on the coasts of the Northern Marmara Sea and the Bosphorus between May-September 2004. The environmental pollution substantially changed over the last 7500 years. The comparison of the geochemical characteristics of the environmental pollution observed in the Chalcolithic period and today revealed that pollution from both household and industrial chemicals has increased in Istanbul. (C) 2016 Institute of Oceanology of the Polish Academy of Sciences. Production and hosting by Elsevier Sp. z o.o.</t>
  </si>
  <si>
    <t>[Barut, Ipek F.] Istanbul Univ, Inst Marine Sci &amp; Management, TR-34134 Istanbul, Turkey; [Meric, Engin] Moda Huseyin Bey Sokak, Istanbul, Turkey; [Yokes, M. Baki] Halic Univ, Dept Mol Biol &amp; Genet, Istanbul, Turkey</t>
  </si>
  <si>
    <t>Istanbul University; Halic University</t>
  </si>
  <si>
    <t>Barut, IF (corresponding author), Istanbul Univ, Inst Marine Sci &amp; Management, TR-34134 Istanbul, Turkey.</t>
  </si>
  <si>
    <t>barutif@istanbul.edu.tr</t>
  </si>
  <si>
    <t>Yokeş, Mehmet Baki/HJI-5885-2023; barut, fethiye/AAS-4033-2020</t>
  </si>
  <si>
    <t>barut, ipek/0000-0002-4255-0268</t>
  </si>
  <si>
    <t>10.1016/j.oceano.2016.01.001</t>
  </si>
  <si>
    <t>DI4TN</t>
  </si>
  <si>
    <t>WOS:000373492300007</t>
  </si>
  <si>
    <t>Riccardi, N; Froufe, E; Lopes-Lima, M; Mazzoli, C</t>
  </si>
  <si>
    <t>Riccardi, Nicoletta; Froufe, Elsa; Lopes-Lima, Manuel; Mazzoli, Claudio</t>
  </si>
  <si>
    <t>When and how? Freshwater mussel recolonization in Lake Orta</t>
  </si>
  <si>
    <t>Mussel recolonization; Unio elongatulus; molecular analysis; age estimation; population structure</t>
  </si>
  <si>
    <t>SPATIAL AGGREGATION; ACUTE TOXICITY; PEARL MUSSEL; BIVALVIA; UNIONIDAE; AMMONIA; CONSERVATION; COPPER; EXTIRPATION; DEPOSITION</t>
  </si>
  <si>
    <t>Thanks to a video posted on a social network, live mussels of Unio elongatulus, have been recorded from Lake Orta (Italy) over one century after the last (and only) report. With its long and well documented history of pollution, Lake Orta offers the opportunity to document the post-extirpation recovery of freshwater unionid mussels. This case evidences that recovery/recolonization is possible despite a high devastation in the past, and permits to evaluate how fast recolonization may occur, in which way, and in what conditions. The answer to the how fast was sought by estimating the age of the larger and seemingly older individuals of the population. To address the in which way we compared the haplotypes of Lake Orta specimens of Unio elongatulus (the only species present) with those of surrounding populations. We concluded that, since Lake Orta lacks a direct connection with the putative source populations, colonizing mussels were almost certainly transported by fish carrying glochidia that were used for lake restocking after liming. Data from the long-term monitoring of water chemistry and sediments have allowed defining what conditions proved to be suitable for survival making possible the start of mussels recovery. But not only water and sediment quality matters for mussels recovery, which was delayed by nearly ten years after the reappearance of fish. This delay reflects the need of the whole trophic chain to be reestablished to allow the survival of the suitable and healthy host-fish populations necessary for mussels reproduction.</t>
  </si>
  <si>
    <t>[Riccardi, Nicoletta] CNR, Inst Ecosyst Study, L Tonolli 50, I-28922 Verbania, Italy; [Froufe, Elsa; Lopes-Lima, Manuel] Univ Porto, Interdisciplinary Ctr Marine &amp; Environm Res CIIMA, Rua Bragas 289, P-4050123 Oporto, Portugal; [Lopes-Lima, Manuel] IUCN, IUCN SSC Mollusc Specialist Grp, Cambridge CB2 3QZ, England; [Mazzoli, Claudio] Univ Padua, Dept Geosci, Via Gradenigo 6, I-35131 Padua, Italy</t>
  </si>
  <si>
    <t>Consiglio Nazionale delle Ricerche (CNR); Istituto per lo Studio degli Ecosistemi (ISE-CNR); Universidade do Porto; University of Padua</t>
  </si>
  <si>
    <t>Riccardi, N (corresponding author), CNR, Inst Ecosyst Study, L Tonolli 50, I-28922 Verbania, Italy.</t>
  </si>
  <si>
    <t>n.riccardi@ise.cnr.it</t>
  </si>
  <si>
    <t>Riccardi, Nicoletta/ABD-3351-2020; Mazzoli, Claudio/H-9651-2015; Lopes-Lima, Manuel/N-1222-2014; Froufe, Elsa/F-2286-2013; Riccardi, Nicoletta Rita/G-1756-2013</t>
  </si>
  <si>
    <t>Mazzoli, Claudio/0000-0002-0374-8415; Lopes-Lima, Manuel/0000-0002-2761-7962; Froufe, Elsa/0000-0003-0262-0791; Riccardi, Nicoletta Rita/0000-0002-5297-3387</t>
  </si>
  <si>
    <t>10.4081/jlimnol.2016.1286</t>
  </si>
  <si>
    <t>DK2VJ</t>
  </si>
  <si>
    <t>WOS:000374772200016</t>
  </si>
  <si>
    <t>Al-Madfa, H; Abdel-Moati, MAR; Al-Gimaly, FH</t>
  </si>
  <si>
    <t>Pinctada radiata (pearl oyster): A bioindicator for metal pollution monitoring in the Qatari waters (Arabian Gulf)</t>
  </si>
  <si>
    <t>ACCUMULATION; LEAD</t>
  </si>
  <si>
    <t>Univ Qatar, Fac Sci, Dept Chem, Doha, Qatar; Univ Qatar, Fac Sci, Dept Marine Sci, Doha, Qatar</t>
  </si>
  <si>
    <t>Al-Madfa, H (corresponding author), Univ Qatar, Fac Sci, Dept Chem, POB 2713, Doha, Qatar.</t>
  </si>
  <si>
    <t>10.1007/s001289900617</t>
  </si>
  <si>
    <t>YU662</t>
  </si>
  <si>
    <t>WOS:000071741400010</t>
  </si>
  <si>
    <t>Darain, KMU; Jumaat, MZ; Islam, ABMS; Obaydullah, M; Iqbal, A; Adham, MI; Rahman, MM</t>
  </si>
  <si>
    <t>Darain, Kh Mahfuz Ud; Jumaat, Mohd Zamin; Islam, A. B. M. Saiful; Obaydullah, M.; Iqbal, Asif; Adham, Md. Ibrahim; Rahman, Md. Moshiur</t>
  </si>
  <si>
    <t>Energy efficient brick kilns for sustainable environment</t>
  </si>
  <si>
    <t>Brick kilns; Environmentally friendly; Energy efficient; Air pollution; Sustainable brick industry; Greenhouse gas emissions</t>
  </si>
  <si>
    <t>AIR-POLLUTION; CHALLENGES; EMISSION; BENEFITS; POLICIES; CLIMATE; BIOMASS; HEALTH; TURKEY</t>
  </si>
  <si>
    <t>Bricks are one of the most commonly used materials in building construction. In recent decades, rapid urbanization has led to an increase in construction activities, hence the usage of bricks as well. However, the conventional brick kilns are not energy efficient and the emissions from the brickfields are severely polluting the environment. Therefore, comprehensive investigation is crucial for sustainable development of brick manufacturing industries. In this study, brick burning techniques, types of fuel, energy consumption, emitted pollutants, and their environmental effects in the context of the southern region of Bangladesh have been presented. Qualitative and quantitative data were collected from the Greater Khulna region along with secondary sources. From an analysis of the collected data, some suggestions on the use of energy efficient brick kilns and a comparative study of the various kilns are formulated in the paper. The study has found that conventional brick kilns (such as the Clamp method and Bull Trench Kilns) are energy inefficient and environmentally harmful. The study compared key parameters of various brick kilns and concludes that for smaller investors the vertical shaft brick kiln provides a feasible solution, whereas the hybrid Hoffman kiln is a better choice for big investors.</t>
  </si>
  <si>
    <t>[Darain, Kh Mahfuz Ud] Khulna Univ, Sci Engn Technol SET Sch, Architecture Discipline, Khulna 9208, Bangladesh; [Darain, Kh Mahfuz Ud; Jumaat, Mohd Zamin; Islam, A. B. M. Saiful; Obaydullah, M.; Adham, Md. Ibrahim; Rahman, Md. Moshiur] Univ Malaya, Dept Civil Engn, Kuala Lumpur 50603, Malaysia; [Iqbal, Asif] Khulna Univ, Environm Sci Discipline, Khulna 9208, Bangladesh</t>
  </si>
  <si>
    <t>Khulna University; Universiti Malaya; Khulna University</t>
  </si>
  <si>
    <t>Darain, KMU (corresponding author), Khulna Univ, Sci Engn Technol SET Sch, Architecture Discipline, Khulna 9208, Bangladesh.</t>
  </si>
  <si>
    <t>khmahfuz@gmail.com</t>
  </si>
  <si>
    <t>Darain, Kh Mahfuz ud/GQH-4405-2022; Jumaat, Mohd/ABD-3988-2020; Rahman, M/F-2409-2013; JUMAAT, MOHD ZAMIN/B-9138-2010; , Dr. CEng. A. B. M. Saiful Islam/D-7831-2011; Darain, Kh Mahfuz ud/C-1986-2013</t>
  </si>
  <si>
    <t>JUMAAT, MOHD ZAMIN/0000-0002-8783-1274; , Dr. CEng. A. B. M. Saiful Islam/0000-0003-1561-0680; Darain, Kh Mahfuz ud/0000-0001-9613-6815</t>
  </si>
  <si>
    <t>University of Malaya (UM) through IPPP grant [PV108-2011A]</t>
  </si>
  <si>
    <t>University of Malaya (UM) through IPPP grant</t>
  </si>
  <si>
    <t>The authors gratefully acknowledge the support given by University of Malaya (UM) for funding the study through IPPP grant PV108-2011A to enhance the works coming round at success.</t>
  </si>
  <si>
    <t>10.1080/19443994.2015.1012335</t>
  </si>
  <si>
    <t>CY8MM</t>
  </si>
  <si>
    <t>WOS:000366662700012</t>
  </si>
  <si>
    <t>Da Ros, L; Nesto, N</t>
  </si>
  <si>
    <t>Cellular alterations in Mytilus galloprovincialis (LMK) and Tapes philippinarum (Adams and Reeve, 1850) as biomarkers of environmental stress:: Field studies in the Lagoon of Venice (Italy)</t>
  </si>
  <si>
    <t>environmental stress; Lagoon of Venice; biomonitoring; bivalves; lysosomal stability; digestive epithelial thickness</t>
  </si>
  <si>
    <t>GOBY ZOSTERISSOR OPHIOCEPHALUS; LYSOSOMAL MEMBRANE STABILITY; DIGESTIVE CELLS; HEAVY-METALS; TRACE-METALS; EDULIS-L; CONTAMINANT EXPOSURE; MARINE MUSSELS; TIDAL CYCLE; NORTH-SEA</t>
  </si>
  <si>
    <t>A long-term biomonitoring study was carried out in the Lagoon of Venice (North-East Italy) with the aim of evaluating variations in biological responses to environmental stress in estuarine bivalves. Two different species, the mussel Mytilus galloprovincialis and the clam Tapes philippinarum, both widespread in the Lagoon, were studied in several sites. Two cellular biomarkers: lysosomal membrane stability in digestive cells and thickness of digestive epithelia, were evaluated in native organisms (on a seasonal basis), and in organisms which have been transferred from a reference site to several differently influenced ones. Results indicate that, to some extent, both test and organisms were able to highlight site-specific differences, but the effects of pollution were generally more easily detected by reduction in lysosomal stability than by reduction in digestive tubule epithelium. Further findings show that the inherent variability of a number of natural parameters, particularly in the reference sites, produced less effective results when biological responses in the reference organisms were compared with the polluted ones. The assessment of the two conditions was most valuable when they referred to the 25-75% range of values comprised within the seasonal medians, recorded respectively in control and polluted sites. Impaired from steady states were most effectively distinguished when the control values were medians from two reference locations. Lately, the overall results indicate that both biomarkers are more suitably deployed through the translocation approach, revealing it to be more sensitive than traditional biomonitoring, at least in the sense that it may overcome problems related to the adaptation of native organisms to sub lethal chronic pollution levels. (C) 2005 Elsevier Ltd. All rights reserved.</t>
  </si>
  <si>
    <t>CNR, Inst Marine Sci, I-30122 Venice, Italy</t>
  </si>
  <si>
    <t>Da Ros, L (corresponding author), CNR, Inst Marine Sci, Castello 1364-A, I-30122 Venice, Italy.</t>
  </si>
  <si>
    <t>; CNR, Ismar/P-1247-2014</t>
  </si>
  <si>
    <t>Nesto, Nicoletta/0000-0002-1887-3462; CNR, Ismar/0000-0001-5351-1486</t>
  </si>
  <si>
    <t>10.1016/j.envint.2005.05.018</t>
  </si>
  <si>
    <t>959PB</t>
  </si>
  <si>
    <t>WOS:000231529000018</t>
  </si>
  <si>
    <t>BABUKUTTY, Y; CHACKO, J</t>
  </si>
  <si>
    <t>TRACE-METALS IN AN ESTUARINE BIVALVE FROM THE SOUTHWEST COAST OF INDIA</t>
  </si>
  <si>
    <t>CRASSOSTREA-VIRGINICA; LITTORINA-LITTOREA; MYTILUS-EDULIS; MUSSEL WATCH; CADMIUM; INDICATOR; ELEMENTS; SHELL; POLLUTION; COPPER</t>
  </si>
  <si>
    <t>This paper discusses increases in trace metals (Cu, Cd, Zn, Pb, Mn, and Co) in the soft tissues and shells of an Indian estuarine bivalve Villorita cyprinoides var. cochinensis (Hanley). Concentrations of metals in the shells have been plotted against shell weights, which can be regarded as an index of the age of the bivalve. Metals like Cu, Zn, and Cd were found to be more abundant in the soft tissues while Pb, Mn, and Co were preferentially concentrated in the shells. This preferential enrichment of metals in the shells is discussed in the light of the mineralogical characteristics of the shells.</t>
  </si>
  <si>
    <t>UNIV WALES COLL CARDIFF,SCH OCEAN SCI,CARDIFF CF1 3NS,S GLAM,WALES</t>
  </si>
  <si>
    <t>ROYAL SWEDISH ACAD SCIENCES</t>
  </si>
  <si>
    <t>STOCKHOLM</t>
  </si>
  <si>
    <t>PUBL DEPT BOX 50005, S-104 05 STOCKHOLM, SWEDEN</t>
  </si>
  <si>
    <t>JE831</t>
  </si>
  <si>
    <t>WOS:A1992JE83100004</t>
  </si>
  <si>
    <t>Riveros, A; Zúñiga, M; Hernandez, A; Camaño, A</t>
  </si>
  <si>
    <t>Cellular biomarkers in native and transplanted populations of the mussel Perumytilus purpuratus in the intertidal zones of San Jorge Bay, Antofagasta, Chile</t>
  </si>
  <si>
    <t>MYTILUS-EDULIS; DIGESTIVE CELLS; LYSOSOMAL RESPONSES; MARINE MUSSELS; COPPER; POLLUTION; EXPOSURE; CADMIUM; STRESS; METALS</t>
  </si>
  <si>
    <t>Cellular biomarkers were measured in the mussel Perumytilus purpuratus from intertidal zones of San Jorge Bay, Antofagasta, Chile. They were also used to measure sublethal effects on individuals exposed to Cu under laboratory conditions. Lysosomal stability in hemocytes, and the degree of vacuolization and the content of lipofuscin granules in digestive cells were the cellular responses measured. Three study sites were established in San Jorge Bay: Coloso, E.R., and Reference. Both E.R. and Coloso receive effluent discharges. Reference does not receive any sewage discharges. Before sampling, mussels from Reference were transplanted into the intertidal zone of each site. Samplings were obtained at the beginning, after 45 days, and after 90 days after transplantation. Seawater samples for total dissolved Cu analysis and adult mussels (P. purpuratus) from native and transplanted populations were collected each time. Cellular biomarkers and Cu concentrations in gonads, gills, and remaining tissues (gut and muscle) were measured. Mussels from Reference were exposed to sublethal Cu concentrations (5, 10, 20, 30, 40, and 80 mug L(-1)) during 45 days under laboratory conditions. Lysosomal stability was measured in mussel hemocytes by means of the neutral red retention assay. The degree of vacuolization and the extent of lipofuscin granules were determined in the digestive cells by image analysis of histological sections stained with the Schmorl's method. Seawater Cu concentrations and tissue Cu concentrations in P. purpuratus were higher in E.R. than in Reference and Coloso (p &lt; 0.02). Native mussel populations from E.R. showed lower lysosomal stability (p &lt; 0.05), higher vacuolization degree (p &lt; 0.001), and lower amounts of lipofuscin granules (p &lt; 0.001) than those from Coloso and Reference. Transplanted mussel to E.R. showed significant reduction in lysosomal stability (p &lt; 0.05) and in extent of lipofuscin granules (p &lt; 0.05) and significant increase in vacuolization degree (p &lt; 0.05), whereas Reference and Coloso are not significantly dissimilar between them. Seawater Cu concentration was positively correlated with Cu content in gonads (r(2) = 0.61; p &lt; 0.02), gills (r(2) = 0.66; p &lt; 0.01), remaining tissues (r(2) = 0.56; p &lt; 0.05), and the degree of vacuolization (r(2) = 0.65; p &lt; 0.01) and negatively with lysosomal stability (r(2) = 0.79; p &lt; 0.001) and lipofuscin granules extent (r(2) = 0.53; p &lt; 0.05). Mussels exposed to Cu under laboratory conditions showed decreased lysosomal stability (over 30 mu g Cu L(-1)) (p &lt; 0.02) and increased degree of vacuolization (at 80 mug Cu L(-1)) (p &lt; 0.05) and an increased lipofuscin granules extent (although differences among treatments were not statistically significant).</t>
  </si>
  <si>
    <t>Univ Concepcion, Ctr EULA, Concepcion, Chile; Minera Escondida Ltda, Santiago, Chile; Mares Chile, Concepcion, Chile</t>
  </si>
  <si>
    <t>Universidad de Concepcion</t>
  </si>
  <si>
    <t>Riveros, A (corresponding author), Univ Concepcion, Ctr EULA, Box 160-C, Concepcion, Chile.</t>
  </si>
  <si>
    <t>ariveros@udec.cl</t>
  </si>
  <si>
    <t>10.1007/s00244-001-0031-4</t>
  </si>
  <si>
    <t>533DF</t>
  </si>
  <si>
    <t>WOS:000174513600006</t>
  </si>
  <si>
    <t>Liu, FJ; Wang, WX</t>
  </si>
  <si>
    <t>Liu, Fengjie; Wang, Wen-Xiong</t>
  </si>
  <si>
    <t>Metallothionein-like proteins turnover, Cd and Zn biokinetics in the dietary Cd-exposed scallop Chlamys nobilis</t>
  </si>
  <si>
    <t>Chlamys nobilis; Dietary metals; Metallothionein turnover; Metal biokinetics; Biomarker</t>
  </si>
  <si>
    <t>MUSSEL PERNA-VIRIDIS; TRACE-METAL POLLUTION; CARCINUS-MAENAS; CADMIUM; MARINE; ZINC; ACCUMULATION; BIOACCUMULATION; BIOMARKERS; GRADIENT</t>
  </si>
  <si>
    <t>In this study, we tested whether metallothionein-like proteins (MTLPs) affected the biokinetics of Cd and Zn in the scallops Chlamys nobilis following dietary Cd exposure. The scallops were fed Cd-contaminated diatoms for 8 or 40 days, and then the tissue Cd concentrations, MTLP turnover and their standing stocks, Cd and Zn kinetics were monitored. After 8 days of dietary Cd exposure (at 98 or 196 mu g Cd g(-1)), their Cd levels were increased by 7.4-12.5 times, newly synthesized MLTPs by 1.7-2.1 times, and their MLTP stocks doubled. However, after 40 days of dietary Cd exposure (at 58 or 115 mu g Cd g(-1)), MTLP synthesis and MTLP stocks did not change despite the fact that Cd bioaccumulation increased by 2.7-4.2 times. MTLPs played little role in the overall Cd and Zn uptake from either food or water, since enhanced MTLP induction did not improve the sequestration of newly incoming Cd or Zn. As MTLP-metal complexes degraded, the released Cd was immediately sequestered by newly synthesized MTLPs while most Zn was depurated. This may explain why scallops eliminated Cd more slowly than Zn. Induced proteins were shown to play a minor role in the detoxification of dietary Cd in C. nobilis, but the species can modify its Cd assimilation to reduce the impact of high dietary Cd levels. MTLPs are probably unsuitable as biomarkers for environmental monitoring involving C. nobilis. (C) 2011 Elsevier B.V. All rights reserved.</t>
  </si>
  <si>
    <t>[Liu, Fengjie; Wang, Wen-Xiong] Hong Kong Univ Sci &amp; Technol, Div Life Sci, Kowloon, Hong Kong, Peoples R China</t>
  </si>
  <si>
    <t>Hong Kong's Research Grants Council [HKUST662010]</t>
  </si>
  <si>
    <t>Hong Kong's Research Grants Council(Hong Kong Research Grants Council)</t>
  </si>
  <si>
    <t>We are very grateful to the anonymous reviewers for their suggestions. This work was supported by a General Research Fund from Hong Kong's Research Grants Council (HKUST662010) to W.-X. Wang.</t>
  </si>
  <si>
    <t>10.1016/j.aquatox.2011.07.011</t>
  </si>
  <si>
    <t>862UW</t>
  </si>
  <si>
    <t>WOS:000298120600018</t>
  </si>
  <si>
    <t>Oh, SE; Chung, SY; Kim, K; Han, SH</t>
  </si>
  <si>
    <t>Oh, Seo-Eun; Chung, Sang-Yeop; Kim, Kyuwon; Han, Soo-Ho</t>
  </si>
  <si>
    <t>Comparative analysis of the effects of waste shell aggregates on the material properties of cement mortars</t>
  </si>
  <si>
    <t>Cement mortar; Microstructure; Recycling waste shell; Cockle; Oyster; Murex</t>
  </si>
  <si>
    <t>FINE AGGREGATE; OYSTER SHELL; CONCRETE; REPLACEMENT; CLAY</t>
  </si>
  <si>
    <t>This study investigates the effects of different waste shells on the material characteristics and properties of cement-based composites. The accumulation of large quantities of waste shells poses significant environmental concerns, leading to soil pollution and odors. Furthermore, the construction industry contributes to global environmental issues through high energy consumption and CO2 emissions during aggregate production. Recycling different waste shells, including cockles, oysters, and murex, after cleaning them using an ultrasonic device, and incorporating them as partial substitutes for fine aggregates, can potentially tackle both environmental challenges. The physical and mechanical properties, including freeze-thaw resistance, of mortar specimens with different types and amounts of waste shell aggregates were measured, to examine the effect of each shell aggregate on the specimens. The microstructural characteristics of the specimens were investigated using X-ray diffraction (XRD), scanning electron microscopy (SEM), and micro-computed tomography (micro-CT) and correlated with the material properties. The results demonstrate that mortars incorporating waste shells, with appropriate treatments such as 30% replacement and washing of the particles, exhibit compressive strength up to 90% of that observed in the normal case. Therefore, these shells can be effectively used as substitutes for fine aggregates.</t>
  </si>
  <si>
    <t>[Oh, Seo-Eun; Chung, Sang-Yeop] Yonsei Univ, Dept Civil &amp; Environm Engn, Seoul 03722, South Korea; [Kim, Kyuwon; Han, Soo-Ho] Foresys Co Ltd, Seoul 03722, South Korea</t>
  </si>
  <si>
    <t>Yonsei University</t>
  </si>
  <si>
    <t>Chung, SY (corresponding author), Yonsei Univ, Dept Civil &amp; Environm Engn, Seoul 03722, South Korea.</t>
  </si>
  <si>
    <t>sychung@yonsei.ac.kr</t>
  </si>
  <si>
    <t>10.1016/j.conbuildmat.2024.134887</t>
  </si>
  <si>
    <t>GM4Z0</t>
  </si>
  <si>
    <t>WOS:001153084200001</t>
  </si>
  <si>
    <t>Aslam, M; Qadir, A; Hafeez, S; Aslam, HMU; Ahmad, SR</t>
  </si>
  <si>
    <t>Aslam, Mehmood; Qadir, Abdul; Hafeez, Saba; Aslam, Hafiz Muhammad Umer; Ahmad, Sajid Rashid</t>
  </si>
  <si>
    <t>Spatiotemporal dynamics of microplastics burden in River Ravi, Pakistan</t>
  </si>
  <si>
    <t>Riverine plastic pollution; Urban sewage; Sediments pollution; Plastic load; Plastic degradation</t>
  </si>
  <si>
    <t>AQUATIC ENVIRONMENTS; SURFACE WATERS; URBAN RIVER; ABUNDANCE; SEDIMENTS; POLLUTION; COASTAL; IMPACTS; MUSSELS; SYSTEM</t>
  </si>
  <si>
    <t>Microplastics (MPs) are emerging pollutants with detrimental effects on aquatic organisms and human health. The massive generation of plastic waste on land leads to MPs pollution in the aquatic environment. Some reports highlight the abundance of MPs in Pakistan however, no detailed research has been documented about the presence of MPs in the riverine environment. In this regard, the present study highlights the spatial distribution of MPs in River Ravi during monsoon and post-monsoon seasons. The MPs in water and sediment samples were isolated through wet peroxide oxidation digestion, density separation, and filtration followed by microscopic quantification and Fourier Transform Infrared Spectroscopy (FTIR) analysis. The results showed that in water samples, the average concentrations of MPs in monsoon and post-monsoon seasons were 768 +/- 869 MPs/m3 and 1324 +/- 1925 MPs/m3, whereas, sediments depicted 5323 +/- 3792 MPs/kg-dry weight and 2637 +/- 2701 MPs/kgdry weight, respectively. Similarly, fiber was the most abundant type of MPs, and Polypropylene (PP), Polyethylene (PE), Polyester (PES), and Polystyrene (PS) were the most dominant polymer types in both environmental matrices. In terms of their sources, urban sprawl, industrialization, improper solid waste management, and overuse of plastic products are positively correlated with MPs level in River Ravi. Moreover, this is the first study on the spatiotemporal distribution of MPs in River Ravi from Pakistan and indicates the high burden of MPs pollution. Consequently, it will provide scientific information to policymakers and river managers to deal effectively with plastic pollution.</t>
  </si>
  <si>
    <t>[Aslam, Mehmood; Qadir, Abdul; Hafeez, Saba; Aslam, Hafiz Muhammad Umer; Ahmad, Sajid Rashid] Univ Punjab, Coll Earth &amp; Environm Sci, Lahore 54590, Pakistan</t>
  </si>
  <si>
    <t>University of Punjab</t>
  </si>
  <si>
    <t>Qadir, A (corresponding author), Univ Punjab, Coll Earth &amp; Environm Sci, Lahore 54590, Pakistan.</t>
  </si>
  <si>
    <t>aqadir.cees@pu.edu.pk</t>
  </si>
  <si>
    <t>Ahmad, Sajid/ABH-1971-2020; Aslam, Mehmood/KFR-8804-2024</t>
  </si>
  <si>
    <t>Aslam, Mehmood/0000-0002-7702-628X</t>
  </si>
  <si>
    <t>Higher Education Commission of Pakistan [8463/Punjab/NRPU/RD/HEC/2017]; National Research Program for Universities (NRPU); University of the Punjab; Higher Education Commission of Pakistan under National Research Program for Universities [8463/Punjab/NRPU/RD/HEC/2017]; [8463/Punjab/ NRPU/RD/HEC/ 2017]</t>
  </si>
  <si>
    <t>Higher Education Commission of Pakistan(Higher Education Commission of Pakistan); National Research Program for Universities (NRPU); University of the Punjab; Higher Education Commission of Pakistan under National Research Program for Universities(Higher Education Commission of Pakistan);</t>
  </si>
  <si>
    <t>The authors would like to thank the Higher Education Commission of Pakistan for providing funds under National Research Program for Universities (NRPU No: 8463/Punjab/ NRPU/R &amp; D/HEC/ 2017) to carry out this extensive research. We are also grateful to Salman Rehmat, Arham Naqash, Javaria Tahir, and other team members of the Toxicology Lab in College of Earth and Environmental Sciences, University of the Punjab</t>
  </si>
  <si>
    <t>10.1016/j.jece.2022.107652</t>
  </si>
  <si>
    <t>1I1FF</t>
  </si>
  <si>
    <t>WOS:000796981300004</t>
  </si>
  <si>
    <t>CAMUSSO, M; BALESTRINI, R; MURIANO, F; MARIANI, M</t>
  </si>
  <si>
    <t>USE OF FRESH-WATER MUSSEL DREISSENA-POLYMORPHA TO ASSESS TRACE-METAL POLLUTION IN THE LOWER RIVER PO (ITALY)</t>
  </si>
  <si>
    <t>BIOACCUMULATION; TRACE METALS; ACTIVE BIOMONITORING; DREISSENA POLYMORPHA; RIVER PO</t>
  </si>
  <si>
    <t>CADMIUM CHLORIDE; HISTOCHEMICAL-LOCALIZATION; CHRONIC ECOTOXICITY; ANODONTA-ANATINA; ASIATIC CLAM; WATER CLAMS; BIOACCUMULATION; ACCUMULATION; CORBICULA; KINETICS</t>
  </si>
  <si>
    <t>Caged freshwater zebra mussels (Dreissena polymorpha) were transplanted for one month to Mo sites in the lower river Po, northern Italy. Trace metals accumulated in tissues were determined after 15, 30 and (1 station only) 60 days, and were also expressed as metal body burdens. Metals were also determined in Po water samples. No significant differences in metal accumulation in mussel tissues were observed between the two sites. Cd and Pb concentrations increased from 1.23 to 3.22 and 3.40 to 5.93 mu g/g dry weight respectively at one site and the same trend was observed at the second site, indicating that these metals accumulated. Cu and Zn concentrations in mussel tissues did not change relative to time zero concentrations. The highest Cr and Ni levels were found after 15 days at both stations (10 and 27 mu g/g dry weight respectively). Low and relatively constant Hg concentrations (&lt;0.10 mu g/g dry weight) were found in transplanted and native molluscs (D polymorpha and Unio elongatulus). Concentration factors calculated for all trace elements assayed, ranged from 10(3) (Pb) to 10(4) (Zn).</t>
  </si>
  <si>
    <t>ACQUARIO CIVICO &amp; STN IDROBIOL,I-20121 MILAN,ITALY</t>
  </si>
  <si>
    <t>CAMUSSO, M (corresponding author), CNR,IST RIC ACQUE,VIA OCCHIATE,I-20047 BRUGHERIO,ITALY.</t>
  </si>
  <si>
    <t>Balestrini, Raffaella/AAW-1961-2020</t>
  </si>
  <si>
    <t>10.1016/0045-6535(94)90042-6</t>
  </si>
  <si>
    <t>WOS:A1994PE85100008</t>
  </si>
  <si>
    <t>Campolim, MB; Henriques, MB; Barbieri, E</t>
  </si>
  <si>
    <t>Campolim, Marcos Buhrer; Henriques, Marcelo Barbosa; Barbieri, Edison</t>
  </si>
  <si>
    <t>Al, Cd, Cr, Cu, Fe, Mn, Ni, Pb, and Zn IN MUSSELS COLLECTED IN SANTOS BAY, S(A)over-tildeO PAULO, BRAZIL: LIMITS REQUIRED BY LOCAL LEGISLATION</t>
  </si>
  <si>
    <t>BOLETIM DO INSTITUTO DE PESCA</t>
  </si>
  <si>
    <t>bioaccumulation; bivalve mollusks; marine pollution; Perna perna; trace element</t>
  </si>
  <si>
    <t>HEAVY-METAL CONCENTRATIONS; RIO-DE-JANEIRO; PERNA-PERNA; COASTAL WATERS; TRACE-METALS; SAO-PAULO; CONTAMINATION; ACCUMULATION; ESTUARY; ISLAND</t>
  </si>
  <si>
    <t>This study quantified and evaluated the concentrations of trace elements Al, Cd, Cr, Cu, Fe, Mn, Ni, Pb and Zn in mussels Perna perna collected in Urubuquecaba island, Santos Bay, S (a) over tildeo Paulo, Brazil. This region presents port and industrial activities, as well as high population densification. The collections in natural mussel beds occurred in eight campaigns, two per season of the year, totaling 240 samples, from April 2010 to June 2011. The determination of the concentration of trace elements was performed using the Atomic Absorption Spectrometer (AAS) Flame. The statistical analysis used the PAST Software 1 using p &lt;0.05 as significant. Average concentrations in mu g g(-1) wet weight obeyed the order Cd (0.11), Cr (0.37), Pb (0.38), Cu (1.63), Ni (2.31), Mn (2.33), Zn (27.11), Fe (179.97) and Al (375.23). The results were compared with other studies of mussels and Brazilian standards that establish maximum allowable concentrations for human consumption, only Cr showed concentrations above those permitted by Brazilian standards.</t>
  </si>
  <si>
    <t>[Campolim, Marcos Buhrer] Inst Florestal, Rua Horto 931, BR-02377000 Sao Paulo, SP, Brazil; [Henriques, Marcelo Barbosa] Inst Pesca, Ctr APTA Pescado Marinho, Ave Bartolomeu de Gusmao 192, BR-11030906 Santos, SP, Brazil; [Barbieri, Edison] Inst Pesca, Nucleo Pesquisa &amp; Dev Litoral Sul, Ave Prof Wladimir Besnard,CP 43, BR-11990000 Cananeia, SP, Brazil</t>
  </si>
  <si>
    <t>Campolim, MB (corresponding author), Inst Florestal, Rua Horto 931, BR-02377000 Sao Paulo, SP, Brazil.</t>
  </si>
  <si>
    <t>marooscampolim@yahoo.com.br</t>
  </si>
  <si>
    <t>Henriques, Marcelo/N-2195-2019; Campolim, Marcos/R-2082-2019; Henriques, Marcelo/C-6734-2014; Barbieri, Edison/N-9616-2015</t>
  </si>
  <si>
    <t>Henriques, Marcelo/0000-0003-1419-9121; Barbieri, Edison/0000-0002-7423-3726</t>
  </si>
  <si>
    <t>INST PESCA</t>
  </si>
  <si>
    <t>SAO PAULO</t>
  </si>
  <si>
    <t>AV FRANCISCO MATARAZZO, 455, SAO PAULO, SP 05001-900, BRAZIL</t>
  </si>
  <si>
    <t>0046-9939</t>
  </si>
  <si>
    <t>1678-2305</t>
  </si>
  <si>
    <t>BOL INST PESCA</t>
  </si>
  <si>
    <t>Bol. Inst. Pesca</t>
  </si>
  <si>
    <t>e374</t>
  </si>
  <si>
    <t>10.20950/1678-2305.2018.44.4.374</t>
  </si>
  <si>
    <t>Fisheries; Zoology</t>
  </si>
  <si>
    <t>HD5VE</t>
  </si>
  <si>
    <t>WOS:000452598300013</t>
  </si>
  <si>
    <t>Souza, DSM; Ramos, APD; Nunes, FF; Moresco, V; Taniguchi, S; Leal, DAG; Sasaki, ST; Bícego, MC; Montone, RC; Durigan, M; Teixeira, AL; Pilotto, MR; Delfino, N; Franco, RMB; de Melo, CMR; Bainy, ACD; Barardi, CRM</t>
  </si>
  <si>
    <t>Marques Souza, Doris Sobral; Dores Ramos, Ana Paula; Nunes, Fabricio Flores; Moresco, Vanessa; Taniguchi, Satie; Guiguet Leal, Diego Averaldo; Sasaki, Silvio Tarou; Bicego, Marcia Caruso; Montone, Rosalinda Carmela; Durigan, Mauricio; Teixeira, Adriano Luiz; Pilotto, Mariana Range; Delfino, Nicesio; Bueno Franco, Regina Maura; Rodrigues de Melo, Claudio Manoel; Dias Bainy, Afonso Celso; Monte Barardi, Celia Regina</t>
  </si>
  <si>
    <t>Evaluation of tropical water sources and mollusks in southern Brazil using microbiological, biochemical, and chemical parameters</t>
  </si>
  <si>
    <t>Oyster; Virus; Protozoan; Marine pollution; Biomarkers</t>
  </si>
  <si>
    <t>POLYMERASE-CHAIN-REACTION; HEPATITIS-A; GIARDIA-DUODENALIS; FECAL STEROLS; REAL-TIME; VIRUSES; CRYPTOSPORIDIUM; ASSAY; ALKYLBENZENES; CONTAMINATION</t>
  </si>
  <si>
    <t>Florianopolis, a city located in the Santa Catarina State in southern Brazil, is the national leading producer of bivalve mollusks. The quality of bivalve mollusks is closely related to the sanitary conditions of surrounding waters where they are cultivated. Presently, cultivation areas receive large amounts of effluents derived mainly from treated and non-treated domestic, rural, and urban sewage. This contributes to the contamination of mollusks with trace metals, pesticides, other organic compounds, and human pathogens such as viruses, bacteria, and protozoan. The aim of this study was to perform a thorough diagnosis of the shellfish growing areas in Florianopolis, on the coast of Santa Catarina. The contamination levels of seawater, sediments, and oysters were evaluated for their microbiological, biochemical, and chemical parameters at five sea sites in Florianopolis, namely three regular oyster cultivation areas (Sites 1, 2, and oyster supplier), a polluted site (Site 3), and a heavily polluted site (Site 4). Samples were evaluated at day zero and after 14 days. Seawater and sediment samples were collected just once, at the end of the experiment. Antioxidant defenses, which may occur in contaminated environments in response to the increased production of reactive oxygen species (ROS) by organisms, were analyzed in oysters, as well as organic compounds (in oysters and sediment samples) and microbiological contamination (in oysters and seawater samples). The results showed the presence of the following contaminants: fecal coliforms in seawater samples (four sites), human adenovirus (all sites), human noroviruses GI and GII (two sites), Hepatitis A viruses (one site), JC Polyomavirus in an oyster sample from the oyster supplier, Giardia duodenalis cysts, and Cryptosporidium sp oocysts (one site). Among organochlorine pesticides, only DDT (dichlorodiphenyltrichloroethane) and HCH (hexachlorocyclohexane) were detected in some sediment and oysters samples in very low levels; site 4 had the highest concentrations of total aliphatic hydrocarbons. PAHs, and linear alkylbenzenes (LABs) found either in oysters or in sediment samples. The major concentration of fecal sterol coprostanol was found at site 4, followed by site 3. After 14 days of allocation in the four selected sites, there was a significant difference in the enzymes analyzed at the monitored spots. The detection of different contaminants in oysters, seawater, and sediment samples in the present study shows the impact untreated or inadequately treated effluents have on coastal areas. These results highlight the need for public investment in adequate wastewater treatment and adequate treatment of oysters, ensuring safe areas for shellfish production as well as healthier bivalve mollusks for consumption. (C) 2011 Elsevier Inc. All rights reserved.</t>
  </si>
  <si>
    <t>[Marques Souza, Doris Sobral; Dores Ramos, Ana Paula; Moresco, Vanessa; Teixeira, Adriano Luiz; Pilotto, Mariana Range; Delfino, Nicesio; Monte Barardi, Celia Regina] Univ Fed Santa Catarina, Ctr Ciencias Biol, Dept Microbiol &amp; Parasitol, Lab Virol Aplicada, BR-88040970 Florianopolis, SC, Brazil; [Taniguchi, Satie; Sasaki, Silvio Tarou; Bicego, Marcia Caruso; Montone, Rosalinda Carmela] Univ Sao Paulo, Inst Oceanog, Lab Quim Organ Marinha, BR-05508120 Sao Paulo, Brazil; [Guiguet Leal, Diego Averaldo; Durigan, Mauricio; Bueno Franco, Regina Maura] Univ Estadual Campinas, Inst Biol, Dept Biol Anim, Lab Protozool, BR-13083970 Campinas, SP, Brazil; [Nunes, Fabricio Flores; Dias Bainy, Afonso Celso] Univ Fed Santa Catarina, Nucleo Estudos Patol Aquicola, Lab Biomarcadores Contaminacao Aquat &amp; Imunoquim, BR-88034257 Florianopolis, SC, Brazil; [Rodrigues de Melo, Claudio Manoel] Univ Fed Santa Catarina, Ctr Ciencias Agr, Dept Aquicultura, Lab Moluscos Marinhos, BR-88051000 Florianopolis, SC, Brazil</t>
  </si>
  <si>
    <t>Universidade Federal de Santa Catarina (UFSC); Universidade de Sao Paulo; Universidade de Sao Paulo; Universidade Estadual de Campinas; Universidade Federal de Santa Catarina (UFSC); Universidade Federal de Santa Catarina (UFSC)</t>
  </si>
  <si>
    <t>Barardi, CRM (corresponding author), Univ Fed Santa Catarina, Ctr Ciencias Biol, Dept Microbiol &amp; Parasitol, Lab Virol Aplicada, BR-88040970 Florianopolis, SC, Brazil.</t>
  </si>
  <si>
    <t>cbarardi@ccb.ufsc.br</t>
  </si>
  <si>
    <t>Bainy, Afonso/J-6097-2012; Barardi, Celia/F-9865-2012; Leal, Diego/E-1980-2013; Bicego, Marcia/D-1996-2013; Montone, Rosalinda/J-9110-2012; Durigan, Mauricio/GLU-4564-2022; Pilotto, Mariana/AAY-6486-2020; Sasaki, Silvio Tarou/ITW-1402-2023; De Melo, Claudio/G-4486-2012; Franco, Regina/N-5326-2015; souza, doris/B-8166-2016; Taniguchi, Satie/D-2552-2013</t>
  </si>
  <si>
    <t>De Melo, Claudio/0000-0002-0969-7022; Bainy, Afonso/0000-0002-3885-7718; Bicego, Marcia/0000-0002-9939-9853; Sasaki, Silvio Tarou/0000-0002-9207-241X; Pilotto, Mariana Rangel/0000-0002-3143-0930; Franco, Regina/0000-0003-1920-6140; souza, doris/0000-0001-7854-7661; Moresco, Vanessa/0000-0002-8699-8179; Taniguchi, Satie/0000-0002-6825-6390</t>
  </si>
  <si>
    <t>Ministerio da Agricultura, Pecuaria e Abastecimento of Brazil (MAPA)/CNPq [578200/2008-2]; CNPq; LMM; UFSC</t>
  </si>
  <si>
    <t>Ministerio da Agricultura, Pecuaria e Abastecimento of Brazil (MAPA)/CNPq(Conselho Nacional de Desenvolvimento Cientifico e Tecnologico (CNPQ)); CNPq(Conselho Nacional de Desenvolvimento Cientifico e Tecnologico (CNPQ)); LMM; UFSC</t>
  </si>
  <si>
    <t>This experiment had the financial support from the Ministerio da Agricultura, Pecuaria e Abastecimento of Brazil (MAPA)/CNPq Project 578200/2008-2. The research partners of LABCAI thank the researchers Beatriz Nunes Bertani, Christielly Rodrigues da Silva, Jaco J. Mattos, Karim H. Luchmann, Marilia N. Siebert, Maya R. Baggio, and Tarquin S. Dorrington for participating in the exposure and dissection of animals. ACDB and CRMB are recipients of CNPq productivity fellowships. The authors thank the LMM, UFSC, for kindly donating the oysters used in this work.</t>
  </si>
  <si>
    <t>10.1016/j.ecoenv.2011.09.018</t>
  </si>
  <si>
    <t>856SG</t>
  </si>
  <si>
    <t>WOS:000297663100018</t>
  </si>
  <si>
    <t>Kang, SB; Wang, Z; Won, SW</t>
  </si>
  <si>
    <t>Kang, Su Bin; Wang, Zhuo; Won, Sung Wook</t>
  </si>
  <si>
    <t>Polyethylenimine-crosslinked calcium silicate hydrate derived from oyster shell waste for removal of Reactive Yellow 2</t>
  </si>
  <si>
    <t>KOREAN JOURNAL OF CHEMICAL ENGINEERING</t>
  </si>
  <si>
    <t>Oyster Shell Waste; Recycling; Polyethylenimine; Reactive Yellow 2</t>
  </si>
  <si>
    <t>HEAVY-METAL IONS; AQUEOUS-SOLUTION; LOW-COST; ADSORPTION; ADSORBENT; EQUILIBRIUM; RECOVERY; PD(II); FIBER; DYE</t>
  </si>
  <si>
    <t>Large amounts of oyster shells are often dumped in natural water and landfills, causing pollution and health/sanitation issues. It is highly desirable to convert oyster shell wastes into high-value-added products. In this study, an oyster shell waste-based adsorbent, polyethylenimine-crosslinked synthesized calcium silicate hydrate (PEI/S-CSH), was developed through a two-step processing route consisting of CSH synthesis and PEI crosslinking. The prepared adsorbent was characterized using FT-IR, XRD, BET, FE-SEM, and Zeta potential analyzer, and the results showed that the PEI/S-CSH was successfully prepared. In addition, the adsorption performance of PEI/S-CSH was investigated for a reactive dye, Reactive Yellow 2 (RY2), and adsorption experiments were conducted for variables such as pH value, initial concentration, and time. The PEI/S-CSH removed more than 90% of the initial RY2 concentration in the pH range of 2-7, and was almost unaffected in the NaCl concentration range of 0.01-0.1 M. The maximum RY2 uptake of PEI/S-CSH by the Langmuir model was estimated to be 235.0 and 156.0 mg/g at pH 2 and 7, respectively. The adsorption equilibrium was affected by the pH change and equilibrium was reached within 10 min at pH 2 and 30 min at pH 7. The reusability of PEI/S-CSH was investigated through repeated adsorption/desorption evaluation for a total of five times. As a result, PEI/S-CSH showed good adsorption/desorption performance for RY2 up to five times. Therefore, PEI/S-CSH can be considered as an adsorbent with high potential for removing reactive dyes.</t>
  </si>
  <si>
    <t>[Kang, Su Bin; Wang, Zhuo; Won, Sung Wook] Gyeongsang Natl Univ, Dept Ocean Syst Engn, 2 Tongyeonghaean Ro, Tongyeong 53064, Gyeongnam, South Korea; [Won, Sung Wook] Gyeongsang Natl Univ, Dept Marine Environm Engn, 2 Tongyeonghaean Ro, Tongyeong 53064, Gyeongnam, South Korea</t>
  </si>
  <si>
    <t>Gyeongsang National University; Gyeongsang National University</t>
  </si>
  <si>
    <t>Won, SW (corresponding author), Gyeongsang Natl Univ, Dept Ocean Syst Engn, 2 Tongyeonghaean Ro, Tongyeong 53064, Gyeongnam, South Korea.;Won, SW (corresponding author), Gyeongsang Natl Univ, Dept Marine Environm Engn, 2 Tongyeonghaean Ro, Tongyeong 53064, Gyeongnam, South Korea.</t>
  </si>
  <si>
    <t>sungukw@gnu.ac.kr</t>
  </si>
  <si>
    <t>Kang, Su Bin/JRW-9173-2023; Won, Sung/B-3125-2012; ZHUO, WANG/AHI-6709-2022</t>
  </si>
  <si>
    <t>WANG, ZHUO/0000-0002-5528-099X; Kang, Subin/0000-0003-2419-2345</t>
  </si>
  <si>
    <t>Basic Science Research Program through the National Research Foundation of Korea (NRF) - Ministry of Education; [NRF-2020R1A6A3A13068967]; [NRF-2020R1F1A1065937]</t>
  </si>
  <si>
    <t>Basic Science Research Program through the National Research Foundation of Korea (NRF) - Ministry of Education(National Research Foundation of KoreaMinistry of Education (MOE), Republic of KoreaNational Research Council for Economics, Humanities &amp; Social Sciences, Republic of Korea); ;</t>
  </si>
  <si>
    <t>AcknowledgementsThis research was supported by Basic Science Research Program through the National Research Foundation of Korea (NRF) funded by the Ministry of Education (NRF-2020R1A6A3A13068967 and NRF-2020R1F1A1065937).</t>
  </si>
  <si>
    <t>KOREAN INSTITUTE CHEMICAL ENGINEERS</t>
  </si>
  <si>
    <t>F.5, 119, ANAM-RO, SEONGBUK-GU, SEOUL 136-075, SOUTH KOREA</t>
  </si>
  <si>
    <t>0256-1115</t>
  </si>
  <si>
    <t>1975-7220</t>
  </si>
  <si>
    <t>KOREAN J CHEM ENG</t>
  </si>
  <si>
    <t>Korean J. Chem. Eng.</t>
  </si>
  <si>
    <t>10.1007/s11814-022-1243-8</t>
  </si>
  <si>
    <t>7P8FC</t>
  </si>
  <si>
    <t>WOS:000908933500013</t>
  </si>
  <si>
    <t>Steinert, SA</t>
  </si>
  <si>
    <t>Contribution of apoptosis to observed DNA damage in mussel cells</t>
  </si>
  <si>
    <t>The comet assay employs the expression of DNA strand breaks by alkaline treatment to measure DNA damage. In contrast to other similar alkaline treatment assays the comet assay incorporates the microscopic examination of damage to individual cell nuclei. Because individual nuclei are examined, features unique to apoptotic cells can be identified. Apoptosis, programmed cell death, is characteristically an orderly sequence of events that ultimately leads to the complete disassembly of a cell. One consequence of apoptosis is the induction of endogenous nucleases which results in the fragmentation of DNA. Apoptosis can be triggered by a variety of stimuli, giving the misleading impression of genotoxic damage if this cytotoxic mechanism of DNA fragmentation is not taken into consideration. In this study mussel cells were exposed to a variety of toxicants and the cytotoxic (apoptotic) contribution to observed DNA damage was determined. A number of stressors induced apoptosis quite rapidly, within hours of exposure. The comet assay detected apoptosis and under certain circumstances apoptosis was found to be the major contributor to observed DNA damage. Copyright (C) 1996 Elsevier Science Ltd.</t>
  </si>
  <si>
    <t>USN, COMMAND CONTROL &amp; OCEAN SURVEILLANCE CTR, OCEAN SCI LAB, SAN DIEGO, CA 92152 USA</t>
  </si>
  <si>
    <t>Steinert, SA (corresponding author), COMP SCI CORP, MARINE SCI DIV, SAN DIEGO, CA 92110 USA.</t>
  </si>
  <si>
    <t>10.1016/0141-1136(95)00056-9</t>
  </si>
  <si>
    <t>WOS:A1996UU36900042</t>
  </si>
  <si>
    <t>de Pablo, H; Sobrinho, J; Garaboa-Paz, D; Fonteles, C; Neves, R; Gaspar, MB</t>
  </si>
  <si>
    <t>de Pablo, Hilda; Sobrinho, Joao; Garaboa-Paz, Daniel; Fonteles, Caio; Neves, Ramiro; Gaspar, Miguel B.</t>
  </si>
  <si>
    <t>The Influence of the River Discharge on Residence Time, Exposure Time and Integrated Water Fractions for the Tagus Estuary (Portugal)</t>
  </si>
  <si>
    <t>MOHID; residence time; exposure time; integrated water fraction; Tagus estuary; hydrodynamic model</t>
  </si>
  <si>
    <t>CLAM RUDITAPES-PHILIPPINARUM; FLUSHING TIME; QUALITY; SCALES; AGE; CONNECTIVITY; VARIABILITY; POLLUTION; SHALLOW; MODEL</t>
  </si>
  <si>
    <t>Understanding how long water is retained in an estuary and how quickly it is completely flushed is essential to estimate an estuary's health in areas with significant pollutant loadings. The present study analyses the effect of five different Tagus River discharge scenarios ranging from low to extreme on residence time (RT), exposure time (ET) and integrated water fractions inside pre-established Tagus estuary areas, to identify its most vulnerable areas to pollution. The 3D version of the MOHID hydrodynamic model coupled to a lagrangian tool was used. The increase of the river discharge generated high current velocities which, in turn, led to an increased rate of tracers leaving the estuary. As a consequence, RT and ET decreased from 59 to 3.5 days under a low and extreme river discharge scenario, respectively. Under a low river discharge, significant differences were observed between RT and ET in the areas located in the main body of the estuary and in the bays. As river discharge increased, RT and ET decreased in all areas of the estuary and those differences faded, with the greatest differences observed in the areas situated along the south margin. In general, results showed that with high river discharges the tracers released in the upper estuary are spread throughout the estuary, but mainly in downstream areas. However, when the river discharge reached exceptionally high values, local eddies were formed, leading to the retention of the tracers in the estuary's south margin and inner bays. The results in this study allowed to identify the most vulnerable areas within the estuary as a function of the river discharge.</t>
  </si>
  <si>
    <t>[de Pablo, Hilda; Neves, Ramiro] Univ Lisbon, MARETEC, LARSyS, Inst Super Tecn, Lisbon, Portugal; [Sobrinho, Joao; Fonteles, Caio] Colab Atlant, Peniche, Portugal; [Garaboa-Paz, Daniel] Univ Santiago Compostela, Fac Phys, Grp Nonlinear Phys, Santiago De Compostela, Spain; [Gaspar, Miguel B.] Portuguese Inst Sea &amp; Atmosphere IPMA, Olhao, Portugal; [Gaspar, Miguel B.] Univ Algarve, Ctr Marine Sci CCMAR, Faro, Portugal</t>
  </si>
  <si>
    <t>Universidade de Lisboa; Universidade de Santiago de Compostela; Instituto Portugues do Mar e da Atmosfera; Universidade do Algarve</t>
  </si>
  <si>
    <t>de Pablo, H (corresponding author), Univ Lisbon, MARETEC, LARSyS, Inst Super Tecn, Lisbon, Portugal.</t>
  </si>
  <si>
    <t>hildadepablo@tecnico.ulisboa.pt</t>
  </si>
  <si>
    <t>de Pablo, Hilda/Z-5313-2019; Neves, Ramiro/M-1689-2013; Gaspar, Miguel/F-5398-2011</t>
  </si>
  <si>
    <t>Neves, Ramiro/0000-0001-6571-5697; Gaspar, Miguel/0000-0001-9245-8518</t>
  </si>
  <si>
    <t>10.3389/fmars.2021.734814</t>
  </si>
  <si>
    <t>YU2LQ</t>
  </si>
  <si>
    <t>WOS:000751879300001</t>
  </si>
  <si>
    <t>Amelina, H; Apraiz, I; Sun, W; Cristobal, S</t>
  </si>
  <si>
    <t>Amelina, Hanna; Apraiz, Itxaso; Sun, Wei; Cristobal, Susana</t>
  </si>
  <si>
    <t>Proteomics-based method for the assessment of marine pollution using liquid chromatography coupled with two-dimensional electrophoresis</t>
  </si>
  <si>
    <t>proteomics; biomarker profiling; liquid chromatography; two-dimensional electrophoresis; marine pollution assessment</t>
  </si>
  <si>
    <t>GLUTATHIONE-S-TRANSFERASE; MUSSEL MYTILUS-EDULIS; PROTEIN EXPRESSION SIGNATURES; OXIDATIVE STRESS; BLUE MUSSELS; ALDEHYDE DEHYDROGENASE; RUDITAPES-DECUSSATUS; CELL-ADHESION; WATER-QUALITY; HEAVY-METALS</t>
  </si>
  <si>
    <t>Using a proteomic approach, we have developed a new method for the assessment of marine pollution that generates highly reproducible protein expression patterns and it is simple and scalable. The protocol is based on applying liquid chromatography ( LC) coupled with two-dimensional electrophoresis (2DE) to analyze changes in the protein expression pattern after exposure to marine pollution. The digestive gland of the sentinel blue mussel ( Mytilus edulis) was batch-processed through a simple cell fractionation followed by ion-exchange chromatography and 2-DE. The selection of ligands, elution method, and small volume design was carefully considered to define a protocol that could be mainly robotized. A pilot study with samples collected from different Gothenburg harbor areas indicated that the clean area could be distinguished from the polluted ones based on a protein expression pattern ( PES) composed of 13 proteins. Principal component analysis ( PCA) and hierarchical clustering confirmed that the PES was sufficient to discriminate polluted and unpolluted areas and to provide a spatial gradient from the polluted source. Several proteins from the PES were identified by electrospray ionization tandem mass spectrometry ( ESI-MS/MS), and they are involved in,beta-oxidation, amino acid metabolism, detoxification, protein degradation, organelle biogenesis, and protein folding. In the near future, this methodology could show potential advantages to assess marine pollution and could become a stable platform to elucidate ecotoxicological questions.</t>
  </si>
  <si>
    <t>Stockholm Univ, Dept Biochem &amp; Biophys, SE-10691 Stockholm, Sweden; Uppsala Univ, Dept Cell &amp; Mol Biol, Biomed Ctr, SE-75124 Uppsala, Sweden</t>
  </si>
  <si>
    <t>Stockholm University; Uppsala University</t>
  </si>
  <si>
    <t>Cristobal, S (corresponding author), Stockholm Univ, Dept Biochem &amp; Biophys, SE-10691 Stockholm, Sweden.</t>
  </si>
  <si>
    <t>Susana.Cristobal@dbb.su.se</t>
  </si>
  <si>
    <t>Apraiz, Itxaso/HKW-8121-2023</t>
  </si>
  <si>
    <t>Apraiz, Itxaso/0000-0003-4402-2327; Cristobal, Susana/0000-0002-3894-2218; Amelina, Hanna/0000-0002-9006-9217</t>
  </si>
  <si>
    <t>10.1021/pr060689s</t>
  </si>
  <si>
    <t>173ST</t>
  </si>
  <si>
    <t>WOS:000246893500004</t>
  </si>
  <si>
    <t>Zhou, SQ; Fu, MR; Luo, KL; Qiao, ZH; Peng, C; Zhang, W; Lei, JY; Ling, SY; Zhou, BS</t>
  </si>
  <si>
    <t>Zhou, Shanqi; Fu, Mengru; Luo, Kailun; Qiao, Zhihua; Peng, Cheng; Zhang, Wei; Lei, Juying; Ling, Siyuan; Zhou, Bingsheng</t>
  </si>
  <si>
    <t>Fate and toxicity of legacy and novel brominated flame retardants in a sediment-water-clam system: Bioaccumulation, elimination, biotransformation and structural damage</t>
  </si>
  <si>
    <t>C. fluminea; BDE209; NBFRs; Bioaccumulation; Biotransformation</t>
  </si>
  <si>
    <t>POLYBROMINATED DIPHENYL ETHERS; TROUT ONCORHYNCHUS-MYKISS; DECABROMODIPHENYL ETHANE DBDPE; POLYCHLORINATED-BIPHENYLS PCBS; CORBICULA-FLUMINEA; SURFACE SEDIMENTS; PBDES; ACCUMULATION; METABOLISM; EXPOSURE</t>
  </si>
  <si>
    <t>Due to the characteristics of persistent organic pollutants (POPs), some legacy brominated flame retardants (LBFRs) were prohibited from use, and then gradually replaced by novel brominated flame retardants (NBFRs). However, till now little research focused on the effects of NBFRs on the benthos. In the present study, 0.5, 5, and 50 mg/kg dw of pentabromotoluene (PBT), hexabromobenzene (HBB), 1,2-bis(2,4,6-tribromophenoxy) ethane (BTBPE), decabromodiphenyl ethane (DBDPE) and decabromodiphenyl ether (BDE209) were added into sediments to test freshwater clams (Corbicula fluminea). In the 35-day exposure experiment, C. fluminea had different enrichment behav-iors in three treatment groups. It was conjectured that in the lower dose group, the clams ingested contaminants and tended to be stable over time. While in higher dose groups, the clams were induced by the chemicals, leading to the changes in physiological activities so that the concentrations showed a downward trend first and then went up. The half-lives of contaminants in freshwater clams were between 0.911 and 11.6 days. DBDPE showed stronger bioaccu-mulation ability than BDE209 in this study. Parabolic relationships were observed between log BSAF and log Kow values in clam tissues. Debromination, hydroxylation, and methoxylated products were detected. Additionally, the gill samples of C. fluminea exposed to 50 mg/kg dw of single substance were observed by scanning electron microscope (SEM), indicating that the adhesions, tissue hyperplasia, and messy cilia occurred on the surface. Our research poten-tially contributes to further evaluations of the environmental risks posed in sediments contaminated by PBT, HBB, BTBPE, DBDPE, and BDE209, particularly the benthic organisms.</t>
  </si>
  <si>
    <t>[Zhou, Shanqi; Fu, Mengru; Luo, Kailun; Qiao, Zhihua; Peng, Cheng; Zhang, Wei; Lei, Juying] East China Univ Sci &amp; Technol, Sch Resource &amp; Environm Engn, State Environm Protect Key Lab Environm Risk Asses, Shanghai 200237, Peoples R China; [Ling, Siyuan] Shanghai Acad Environm Sci, State Environm Protect Key Lab Environm Hlth Impac, Shanghai 200233, Peoples R China; [Zhou, Bingsheng] Chinese Acad Sci, Inst Hydrobiol, State Key Lab Freshwater Ecol &amp; Biotechnol, Wuhan 430072, Peoples R China</t>
  </si>
  <si>
    <t>East China University of Science &amp; Technology; Chinese Academy of Sciences; Institute of Hydrobiology, CAS</t>
  </si>
  <si>
    <t>Zhang, W (corresponding author), East China Univ Sci &amp; Technol, Sch Resource &amp; Environm Engn, State Environm Protect Key Lab Environm Risk Asses, Shanghai 200237, Peoples R China.;Ling, SY (corresponding author), Shanghai Acad Environm Sci, State Environm Protect Key Lab Environm Hlth Impac, Shanghai 200233, Peoples R China.</t>
  </si>
  <si>
    <t>wzhang@ecust.edu.cn; lingsy@saes.sh.cn</t>
  </si>
  <si>
    <t>Li, Zhiqiang/O-6657-2018; Ling, Siyuan/JHU-1238-2023; li, lin/KEJ-1056-2024</t>
  </si>
  <si>
    <t>Qiao, Zhihua/0000-0001-9029-6455</t>
  </si>
  <si>
    <t>National Natural Science Founda-tion of China [21737005, 41877124]</t>
  </si>
  <si>
    <t>National Natural Science Founda-tion of China(National Natural Science Foundation of China (NSFC))</t>
  </si>
  <si>
    <t>Acknowledgments This research was supported by the National Natural Science Founda-tion of China (21737005, 41877124) .</t>
  </si>
  <si>
    <t>10.1016/j.scitotenv.2022.156634</t>
  </si>
  <si>
    <t>2L4WE</t>
  </si>
  <si>
    <t>WOS:000817017500013</t>
  </si>
  <si>
    <t>Gomiero, A; Da Ros, L; Nasci, C; Meneghetti, F; Spagnolo, A; Fabi, G</t>
  </si>
  <si>
    <t>Gomiero, Alessio; Da Ros, Luisa; Nasci, Cristina; Meneghetti, Francesca; Spagnolo, Alessandra; Fabi, Gianna</t>
  </si>
  <si>
    <t>Integrated use of biomarkers in the mussel Mytilus galloprovincialis for assessing off-shore gas platforms in the Adriatic Sea: Results of a two-year biomonitoring program</t>
  </si>
  <si>
    <t>Ecotoxicology; Biomarkers; Gas platforms; Mussels; Bioaccumulation</t>
  </si>
  <si>
    <t>POLYCYCLIC AROMATIC-HYDROCARBONS; LYSOSOMAL MEMBRANE STABILITY; LAGOON-OF-VENICE; DIGESTIVE GLAND; HEAVY-METALS; COASTAL WATERS; ENVIRONMENTAL PROGNOSTICS; GENOTOXICITY BIOMARKERS; METALLOTHIONEIN GENES; MARINE-SEDIMENTS</t>
  </si>
  <si>
    <t>Despite a large number of gas platforms existing in the Adriatic Sea, which is a semi-enclosed basin characterized by a slow turnover rate and increasing industrial as well as other anthropogenic activities, the effects of these structures on the aquatic ecosystem require further investigation. Since 1998, multidisciplinary studies have been performed by CNR-ISMAR to comply with legislation and to support the development of protocols for the monitoring of offshore activities in the Adriatic Sea. The present study was developed to implement a biomonitoring plan to assess the ecotoxicological effects of the extraction activities of an off-shore gas platform. Biomarkers were evaluated in mussels collected from the platform in relation to physiological stress, DNA damage, cellular damage, oxidative stress and exposure effects. Organic contaminants and trace element bioaccumulation were also assessed in the soft body of the mussels to correlate bioaccumulation of pollutants with biomarker responses. The results indicate an absence of platform-related environmental stress. (C) 2011 Elsevier Ltd. All rights reserved.</t>
  </si>
  <si>
    <t>[Gomiero, Alessio; Nasci, Cristina] Thetis SpA, I-30122 Venice, Italy; [Gomiero, Alessio; Da Ros, Luisa; Nasci, Cristina; Meneghetti, Francesca] Natl Res Council ISMAR, I-30122 Venice, Italy; [Spagnolo, Alessandra; Fabi, Gianna] Natl Res Council ISMAR, I-60125 Ancona, Italy</t>
  </si>
  <si>
    <t>Gomiero, A (corresponding author), Thetis SpA, Castello 2737-F, I-30122 Venice, Italy.</t>
  </si>
  <si>
    <t>alessio.gomiero@gmail.com</t>
  </si>
  <si>
    <t>gomiero, alessio/N-5069-2019; Spagnolo, Alessandra/AAB-5760-2020; Fabi, Gianna/AAD-7388-2021; Spagnolo, Alessandra/B-7924-2015; gomiero, alessio/K-1510-2015; CNR, Ismar/P-1247-2014</t>
  </si>
  <si>
    <t>Spagnolo, Alessandra/0000-0001-7936-6002; Gomiero, Alessio/0000-0001-8995-9565; gomiero, alessio/0000-0001-6496-6857; CNR, Ismar/0000-0001-5351-1486</t>
  </si>
  <si>
    <t>10.1016/j.marpolbul.2011.08.015</t>
  </si>
  <si>
    <t>852YQ</t>
  </si>
  <si>
    <t>WOS:000297393800038</t>
  </si>
  <si>
    <t>Velez, C; Freitas, R; Soares, A; Figueira, E</t>
  </si>
  <si>
    <t>Velez, Catia; Freitas, Rosa; Soares, Amadeu; Figueira, Etelvina</t>
  </si>
  <si>
    <t>Bioaccumulation patterns, element partitioning and biochemical performance of Venerupis corrugata from a low contaminated system</t>
  </si>
  <si>
    <t>clams; biomarkers; element partitioning; oxidative stress</t>
  </si>
  <si>
    <t>OXIDATIVE STRESS BIOMARKERS; COCKLES CERASTODERMA-EDULE; CLAM RUDITAPES-DECUSSATUS; SUBCELLULAR COMPARTMENTALIZATION; EXOTIC CLAMS; METAL CONCENTRATIONS; SCROBICULARIA-PLANA; DIGESTIVE GLAND; COASTAL AREAS; HEAVY-METALS</t>
  </si>
  <si>
    <t>The current study reports metals and arsenic (As) concentrations present in sediments and in the native clam Venerupis corrugata, collected in the Ria de Aveiro, one of the most important aquatic systems of the Portuguese coast with high biodiversity and socio-economic value. Because of its ecological importance in its habitat, and being one of the most exploited bivalve mollusks in Portugal, several biochemical biomarkers were evaluated in order to illustrate the species status when under environmental conditions. The concentration of metals and As in the sediments showed an increase of contamination among areas (areas A-E). The results proved higher bioaccumulation in organisms from the area less contaminated (area A, BAF&gt;1). The concentration of metals and As was predominant (63.4%) in the insoluble fraction of clams. The biochemical evaluation evidenced an increase of oxidative stress in organisms from the most (D and E) and the less (area A) contaminated areas, demonstrated by higher LPO levels, CAT, and GSHt activities at these areas and the increase of methalotionines (MTs) along the concentration gradient. This suggests a preventive mechanism in order to protect cells against pollutants (metals and As). (c) 2014 Wiley Periodicals, Inc. Environ Toxicol 31: 569-583, 2016.</t>
  </si>
  <si>
    <t>[Freitas, Rosa] Univ Aveiro, Dept Biol, P-3810193 Aveiro, Portugal; Univ Aveiro, CESAM, P-3810193 Aveiro, Portugal</t>
  </si>
  <si>
    <t>National Funds through the Portuguese Science Foundation (FCT) [SFRH/BD/86356/2012]; European Funds through COMPETE [PEst-C/MAR/LA0017/2013]; European Funds by FCT [PEst-C/MAR/LA0017/2013]; Fundação para a Ciência e a Tecnologia [SFRH/BD/86356/2012] Funding Source: FCT</t>
  </si>
  <si>
    <t>National Funds through the Portuguese Science Foundation (FCT)(Fundacao para a Ciencia e a Tecnologia (FCT)); European Funds through COMPETE; European Funds by FCT; Fundação para a Ciência e a Tecnologia(Fundacao para a Ciencia e a Tecnologia (FCT))</t>
  </si>
  <si>
    <t>Contract grant sponsor: National Funds through the Portuguese Science Foundation (FCT) Contract grant number: SFRH/BD/86356/2012 Contract grant sponsor: European Funds through COMPETE and by FCT Contract grant number: PEst-C/MAR/LA0017/2013</t>
  </si>
  <si>
    <t>10.1002/tox.22070</t>
  </si>
  <si>
    <t>DJ6OM</t>
  </si>
  <si>
    <t>WOS:000374332800007</t>
  </si>
  <si>
    <t>Bellas, J; Beiras, R; Vázquez, E</t>
  </si>
  <si>
    <t>A standardisation of Ciona intestinalis (Chordata, Ascidiacea) embryo-larval bioassay for ecotoxicological studies</t>
  </si>
  <si>
    <t>marine pollution monitoring; ascidian; Ciona intestinalis; ecotoxicology; embryo-larval bioassay; water quality</t>
  </si>
  <si>
    <t>TOXICITY; TEMPERATURE; FERTILIZATION; EMBRYOGENESIS</t>
  </si>
  <si>
    <t>A standardisation of the ascidian Ciona intestinalis embryo-larval bioassay for marine pollution assessment has been developed. The minimum percentage of embryogenesis success was established to assess the quality of the biological material used; minimum sample size and number of replicates per treatment were also estimated. The suitability of artificial and natural seawater for the incubation of ascidian embryos and larvae was compared, and the optimum conditions of temperature, salinity, pH, density of embryos in the vials and the sperm/egg ratio were investigated. On the basis of the 10th percentile of the distribution of larval abnormalities, we proposed a threshold of 50% normal larvae in the control in order to consider the test of acceptable biological quality. According to our results n = 5 is a sufficiently high replication to detect 5% differences among treatment means with a power of P = 90% and alpha = 0.05, and a sampling size greater than or equal to222 allows a 95% confidence in the estimate with an error of 0.05. Egg density did not affect larval development within the range 1-20 eggs/ml, and the optimum sperm/egg ratio which fertilise 100% of the eggs was 3000-30,000 sperm/egg (i.e. 10(8)-10(7) sperm/ml). There were not significant differences between the two water types tested, and the optimum tolerance ranges were 18-23 degreesC temperature, 34-42 ppt salinity (42 ppt was the highest salinity tested), and 7.4-8.8 pH. The median effective concentration (EC50) of copper (Cu) causing a 50% reduction of normal hatched larvae was 54.2 mug/l (0.85 muM), which shows a sensitivity of this species similar to the commonly used bivalve and sea-urchin tests. The ascidian embryo-larval bioassay is an accurate, reliable, simple and rapid method that can be used in ecotoxicological studies. (C) 2003 Elsevier Ltd. All rights reserved.</t>
  </si>
  <si>
    <t>Univ Vigo, Fac Ciencias, Dept Ecol &amp; Biol Anim, E-36200 Vigo, Galicia, Spain</t>
  </si>
  <si>
    <t>Kristinebreg Marine Res Stn, S-45034 Fiskebackskil, Sweden.</t>
  </si>
  <si>
    <t>juan.bellas@navegalia.com</t>
  </si>
  <si>
    <t>Beiras, Ricardo/M-1680-2019; Vázquez, Elsa/D-7082-2013; Bellas, Juan/N-1594-2015</t>
  </si>
  <si>
    <t>Vazquez, Elsa/0000-0003-0782-4734; Bellas, Juan/0000-0001-6179-8528; Beiras, Ricardo/0000-0002-1010-2647</t>
  </si>
  <si>
    <t>10.1016/S0043-1354(03)00396-8</t>
  </si>
  <si>
    <t>737TE</t>
  </si>
  <si>
    <t>WOS:000186247200008</t>
  </si>
  <si>
    <t>Dias, HQ; Nayak, GN</t>
  </si>
  <si>
    <t>Dias, Heidy Q.; Nayak, G. N.</t>
  </si>
  <si>
    <t>Geochemistry and bioavailability of mudflats and mangrove sediments and their effect on bioaccumulation in selected organisms within a tropical (Zuari) estuary, Goa, India</t>
  </si>
  <si>
    <t>Sediment; Metals; Speciation; Bioavailability; Mollusks</t>
  </si>
  <si>
    <t>TRACE-METALS; HEAVY-METALS; BIVALVE MOLLUSKS; CONTAMINATION; GULF; CD; PB</t>
  </si>
  <si>
    <t>Metals are non-degradable in the aquatic environment and play a vital role in estuarine biogeochemistry but could also be detrimental to associated biota, A comparative evaluation of the trace metal concentrations (Fe, Mn, Zn, Cu, Ni, and Co) was carried out in the Zuari estuary, Goa during the post-monsoon season of 2013 at six locations, each representing three mangrove and three mudflat regions. In addition, fractionation of trace metals in sediments was performed to provide information on the mobility, distribution, bioavailability and toxicity. Special attention was paid to the marine mollusks viz. bivalves and gastropods that are extensively used as bio-indicators in coastal pollution. Considering the percentage of metals in the sequentially extracted fractions, the order of mobility from most to least bioavailable forms was Mn &gt; Zn &gt; Cu &gt; Ni &gt; Co &gt; Fe. Mn maintained high bioavailability (average around 60%) in Fe-Mn oxide and carbonate bound forms indicating that Mn is readily available for biota uptake. The bioavailability of Fe was on an average of around 6% whereas other metals like Cu, Zn, Ni and Co were around 19% to 34%. When the bioavailable values were compared with standard Screening Quick Reference Table (SQUIRT), Zn showed higher toxicity level and bioavailability in the lower estuary. On the basis of calculated Bio Sediment Accumulation Factors (BSAF's), overall trend in bioaccumulation was in the order of Cu &gt; Zn &gt; Mn &gt; Ni &gt; Co &gt; Fe. Metal Pollution Index (MPI) computed was higher for gastropods than bivalves. (C) 2016 Elsevier Ltd. All rights reserved.</t>
  </si>
  <si>
    <t>[Dias, Heidy Q.; Nayak, G. N.] Goa Univ, Dept Marine Sci, Taleigao 403206, Goa, India; [Dias, Heidy Q.] Reg Ctr Mumbai, Natl Inst Oceanog, Bombay, Maharashtra, India</t>
  </si>
  <si>
    <t>Goa University; Council of Scientific &amp; Industrial Research (CSIR) - India; CSIR - National Institute of Oceanography (NIO)</t>
  </si>
  <si>
    <t>Nayak, GN (corresponding author), Goa Univ, Dept Marine Sci, Taleigao 403206, Goa, India.</t>
  </si>
  <si>
    <t>nayak1006@rediffmail.com</t>
  </si>
  <si>
    <t>Dias, Heidy Q/0009-0003-8929-0795; Nayak, Ganapati Narayan/0000-0002-7481-3974</t>
  </si>
  <si>
    <t>University Grants Commission [UGC/F.39-130/2010(SR)]</t>
  </si>
  <si>
    <t>The authors wish to place on record their appreciation to Cheryl Noronha D'Mello, Senior Research Fellow, Department of Marine Sciences, Goa University, for her valuable suggestions on the manuscript. One of the authors (second) thanks the University Grants Commission (UGC/F.No.39-130/2010(SR)DT:27.12.2010) for the financial support to carry out this research under a major research project.</t>
  </si>
  <si>
    <t>10.1016/j.marpolbul.2016.02.026</t>
  </si>
  <si>
    <t>WOS:000375816000040</t>
  </si>
  <si>
    <t>Romdhani, I; De Marco, G; Cappello, T; Ibala, S; Zitouni, N; Boughattas, I; Banni, M</t>
  </si>
  <si>
    <t>Romdhani, Ilef; De Marco, Giuseppe; Cappello, Tiziana; Ibala, Samira; Zitouni, Nesrine; Boughattas, Iteb; Banni, Mohamed</t>
  </si>
  <si>
    <t>Impact of environmental microplastics alone and mixed with benzo[a] pyrene on cellular and molecular responses of Mytilus galloprovincialis</t>
  </si>
  <si>
    <t>Mussels hemolymph; Environmental MP; B[a]P; Lysosomal membrane stability; DNA fragmentation rate</t>
  </si>
  <si>
    <t>ZEBRAFISH DANIO-RERIO; ORGANIC POLLUTANTS; COASTAL AREAS; HEAVY-METALS; MARINE; MUSSEL; POLLUTION; DAMAGE; STRESS; EXPRESSION</t>
  </si>
  <si>
    <t>The hazard of microplastic (MP) pollution in marine environments is a current concern. However, the effects of environmental microplastics combined with other pollutants are still poorly investigated. Herein, impact of ecologically relevant concentrations of environmental MP alone (50 mu g/L) or combined with B[a]P (1 mu g/L) was assessed in mussel Mytilus galloprovincialis after a short-term exposure (1 and 3 days) to environmental MP collected from a north-Mediterranean beach. Raman Microspectroscopy (RMS) revealed bioaccumulation in mussel hemolymph of MP, characterized by polyethylene (PE), polyethylene terephthalate (PET), polypropylene (PP), polyethylene vinyl acetate (PEVA) and high-density polyethylene (HDPE), with abundance of MP sized 1.22-0.45 mu m. An increase of B[a]P was detected in mussels after 3-day exposure, particularly when mixed with MP. Both contaminants induced cytotoxic and genotoxic effects on hemocytes as determined by lysosomal membrane stability (LMS), micronuclei frequency (FMN), and DNA fragmentation rate by terminal dUTP nickend labeling (TUNEL). About apoptosis/DNA repair processes, P53 and DNA-ligase increased at 1-day exposure in all conditions, whereas after 3 days increase of bax, Cas-3 and P53 and decrease of Bcl-2 and DNA-ligase were revealed, suggesting a shift towards a cell apoptotic event in exposed mussels. Overall, this study provides new insights on the risk of MP for the marine ecosystem, their ability to accumulate xenobiotics and transfer them to marine biota, with potential adverse repercussion on their health status.</t>
  </si>
  <si>
    <t>[Romdhani, Ilef; Zitouni, Nesrine; Boughattas, Iteb; Banni, Mohamed] Univ Monastir, Univ Sousse, Tunisia &amp; Higher Inst Biotechnol,ISBM, Lab Agrobiodivers &amp; Ecotoxicol LR20AGR02, Sousse, Tunisia; [De Marco, Giuseppe; Cappello, Tiziana] Univ Messina, Dept Chem,Biol, Pharmaceut &amp; Environm Sci, I-98166 Messina, Italy; [Ibala, Samira] Univ Sousse, Fac Med Sousse, Sousse, Tunisia; [Cappello, Tiziana] Univ Messina, Dept Chem,Biol, Pharmaceut &amp; Environm Sci, Viale F Stagno Alcontres 31, I-98166 Messina, Italy</t>
  </si>
  <si>
    <t>Universite de Monastir; Universite de Sousse; University of Messina; Universite de Sousse; University of Messina</t>
  </si>
  <si>
    <t>Cappello, T (corresponding author), Univ Messina, Dept Chem,Biol, Pharmaceut &amp; Environm Sci, Viale F Stagno Alcontres 31, I-98166 Messina, Italy.</t>
  </si>
  <si>
    <t>De Marco, Giuseppe/AAR-4765-2021; Cappello, Tiziana/J-6902-2016</t>
  </si>
  <si>
    <t>Romdhani, Ilef/0009-0003-5500-9846; BOUGHATTAS, Iteb/0000-0001-7145-5924; DE MARCO, GIUSEPPE/0000-0003-1381-8146</t>
  </si>
  <si>
    <t>Tunisian Ministry of Higher Education [LR21AGR02]; ENICBC-Med project COMMON [A_B.4.4_080]</t>
  </si>
  <si>
    <t>Tunisian Ministry of Higher Education; ENICBC-Med project COMMON</t>
  </si>
  <si>
    <t>&amp; nbsp;This research was supported by funds from the Tunisian Ministry of Higher Education, Research Unit (LR21AGR02) and the ENICBC-Med project COMMON (contract number: A_B.4.4_080) .</t>
  </si>
  <si>
    <t>10.1016/j.jhazmat.2022.128952</t>
  </si>
  <si>
    <t>1K6ZD</t>
  </si>
  <si>
    <t>WOS:000798745400006</t>
  </si>
  <si>
    <t>Zhang, J; Zhao, JG; Qu, WS; Li, XY; Wang, ZX</t>
  </si>
  <si>
    <t>Zhang, Jin; Zhao, Jianguo; Qu, Wenshan; Li, Xinyu; Wang, Zhenxing</t>
  </si>
  <si>
    <t>One-step, low-cost, mussel-inspired green method to prepare superhydrophobic nanostructured surfaces having durability, efficiency, and wide applicability</t>
  </si>
  <si>
    <t>Superhydrophobicity; Oil/water separation; Surface engineering; Hierarchical structure</t>
  </si>
  <si>
    <t>RATIONAL DESIGN; MILD STRATEGY; WATER; OIL; ROBUST; FABRICATION; MEMBRANES; FACILE; WETTABILITY; COATINGS</t>
  </si>
  <si>
    <t>Various oils discharged from daily life and industrial production, as well as frequent oil spillages, have led to severe water pollution and ecological problems. Mussel-inspired polydopamine has been widely applied for fabrication of superhydrophobic materials for oil/water separation. However, the need of additional nanoparticles via tedious steps to construct nanostructures, and the high cost of dopamine itself limit its practical applications. Moreover, the application modes of superhydrophobic materials for oil/water separation are monotonous, which will limit the applied range of the superhydrophobic materials. For example, superhydrophobic sponge was usually used for adsorbing oil droplets or oil spills from water, while superhydrophobic fabric or mesh was usually used for separating bulk layered oil/water mixture. Therefore, developing simple and low-cost mussel-inspired surface modification strategy toward superhydrophobic materials, as well as diverse application modes for oil/water separation, is still highly desired. In this study, superhydrophobic sponge and fabric with nanostructures, which exhibits excellent performance for diverse oil/water separation, have been fabricated through a novel one-step and cost-effective mussel-inspired approach. The resultant superhydrophobic sponge exhibits outstanding oil absorption capability (weight gains up to 8860%), while the superhydrophobic fabric can effectively separate oil/water mixture. Moreover, diverse modes for oil/water separation have been developed for the first time. For example, water-in-oil emulsion can be highly-efficient separated by a compressed superhydrophobic sponge (similar to 1800L m(-2)h (1) bar (1) for water-in-oil emulsion, and above 99% rejection rate for water droplets), while crude oil spills can be efficiently collected by a superhydrophobic boat (above 98%). (C) 2020 Elsevier Inc. All rights reserved.</t>
  </si>
  <si>
    <t>[Zhang, Jin; Zhao, Jianguo; Qu, Wenshan; Li, Xinyu] Shanxi Datong Univ, Inst Carbon Mat Sci, Datong 037009, Shanxi, Peoples R China; [Wang, Zhenxing] Nanchang Univ, Coll Chem, Nanchang 330031, Jiangxi, Peoples R China</t>
  </si>
  <si>
    <t>Shanxi Datong University; Nanchang University</t>
  </si>
  <si>
    <t>Li, XY (corresponding author), Shanxi Datong Univ, Inst Carbon Mat Sci, Datong 037009, Shanxi, Peoples R China.;Wang, ZX (corresponding author), Nanchang Univ, Coll Chem, Nanchang 330031, Jiangxi, Peoples R China.</t>
  </si>
  <si>
    <t>sxdtdxlxy@aliyun.com; wzx_1009@163.com</t>
  </si>
  <si>
    <t>Qu, Wenshan/ABG-5392-2021; Wang, Zhenxing/GWC-9753-2022</t>
  </si>
  <si>
    <t>Wang, Zhenxing/0000-0001-7020-5202</t>
  </si>
  <si>
    <t>National Natural Science Foundation of China [51903115]; Nature Science Foundation of the Jiangxi Province [20192BAB203012]; Scientific and Technologial Innovation Programs of Higher Education Institutions in Shanxi (STIP) [2020L0477]; Shanxi 1331 projectfoundation for the construction of collaborative innovation center of graphene industrial application; Shanxi Province Science and Technology Key Project [201703D121037-2]; Datong City Science and Technology Research Project [20180818]; Sixth Academy of China Aerospace Science and Industry Corp [359]; Project of Shandong Province Higher Educational Science and Technology Program [J18KA029]</t>
  </si>
  <si>
    <t>National Natural Science Foundation of China(National Natural Science Foundation of China (NSFC)); Nature Science Foundation of the Jiangxi Province; Scientific and Technologial Innovation Programs of Higher Education Institutions in Shanxi (STIP); Shanxi 1331 projectfoundation for the construction of collaborative innovation center of graphene industrial application; Shanxi Province Science and Technology Key Project; Datong City Science and Technology Research Project; Sixth Academy of China Aerospace Science and Industry Corp; Project of Shandong Province Higher Educational Science and Technology Program</t>
  </si>
  <si>
    <t>We thank the National Natural Science Foundation of China (No. 51903115), the Nature Science Foundation of the Jiangxi Province (20192BAB203012), Scientific and Technologial Innovation Programs of Higher Education Institutions in Shanxi (STIP,2020L0477), Shanxi 1331 projectfoundation for the construction of collaborative innovation center of graphene industrial application, Shanxi Province Science and Technology Key Project (201703D121037-2), Datong City Science and Technology Research Project (20180818) and the factory No. 359, the Sixth Academy of China Aerospace Science and Industry Corp, and a Project of Shandong Province Higher Educational Science and Technology Program (J18KA029).</t>
  </si>
  <si>
    <t>10.1016/j.jcis.2020.07.027</t>
  </si>
  <si>
    <t>OG3HT</t>
  </si>
  <si>
    <t>WOS:000581780400019</t>
  </si>
  <si>
    <t>Wang, Y; Zhang, MX; Ding, GH; Shi, HH; Cong, Y; Li, ZC; Wang, JY</t>
  </si>
  <si>
    <t>Wang, Ying; Zhang, Mingxing; Ding, Guanghui; Shi, Huahong; Cong, Yi; Li, Zhaochuan; Wang, Juying</t>
  </si>
  <si>
    <t>Polystyrene microplastics alleviate adverse effects of benzo[a]pyrene on tissues and cells of the marine mussel, Mytilus galloprovincialis</t>
  </si>
  <si>
    <t>Microplastics; Benzo[a]pyrene; Histopathological analyses; Oxidative stress; mRNA expression; Marine mussel</t>
  </si>
  <si>
    <t>POLYCYCLIC AROMATIC-HYDROCARBONS; DIGESTIVE GLAND; LIAODONG BAY; NANOPLASTICS; CADMIUM; IDENTIFICATION; EXTRACTION; TOXICITY; EXPOSURE; PAHS</t>
  </si>
  <si>
    <t>As two major ubiquitous pollutants, microplastics (MPs) and polycyclic aromatic hydrocarbons (PAHs) coexist in the marine environment. However, the role of MPs in altering the toxicity of PAHs to marine organisms is poorly understood. We therefore investigated the accumulation and toxicity of benzo[a]pyrene (B[a]P, 0.4 nM), in the marine mussel Mytilus galloprovincialis over a 4-day of exposure with or without the presence of 10 mu m poly-styrene microplastics (PS MPs) (10 particles/mL). The presence of PS MPs significantly decreased B[a]P accu-mulation in soft tissues of M. galloprovincialis by approximately 6.7%. Single exposure of PS MPs or B[a]P decreased the mean epithelial thickness (MET) of digestive tubules and enhanced reactive oxygen species (ROS) levels in haemolymph, while upon co-exposure the adverse impacts were alleviated. Real-time q-PCR results showed that most selected genes involved in stress response (FKBP, HSP90), immune (MyD88a, NF-Kappa B) and detoxification (CYP4Y1) were induced for both single exposure and co-exposure. The co-presence of PS MPs down-regulated the mRNA expression of NF-Kappa B in gills compared with of B[a]P alone. The uptake and toxicity reductions of B[a]P might result from the decrease of its bioavailable concentrations caused by the adsorption of B[a]P by PS MPs and the strong affinity of B[a]P to PS MPs. Adverse outcomes for the co-existence of marine emerging pollutants under long-term conditions remain to be further validated.</t>
  </si>
  <si>
    <t>[Wang, Ying; Zhang, Mingxing; Cong, Yi; Li, Zhaochuan; Wang, Juying] Minist Ecol &amp; Environm, Natl Marine Environm Monitoring Ctr, Key Lab Ecol Environm Coastal Areas, Dalian 116023, Peoples R China; [Ding, Guanghui] Dalian Maritime Univ, Coll Environm Sci &amp; Engn, Dalian 116026, Peoples R China; [Shi, Huahong] East China Normal Univ, State Key Lab Estuarine &amp; Coastal Res, Shanghai 200241, Peoples R China</t>
  </si>
  <si>
    <t>National Marine Environmental Monitoring Center; Dalian Maritime University; East China Normal University</t>
  </si>
  <si>
    <t>Wang, Y; Wang, JY (corresponding author), Minist Ecol &amp; Environm, Natl Marine Environm Monitoring Ctr, Key Lab Ecol Environm Coastal Areas, Dalian 116023, Peoples R China.</t>
  </si>
  <si>
    <t>wangying@nmemc.org.cn; jywang@nmemc.org.cn</t>
  </si>
  <si>
    <t>Shi, Huahong/F-1511-2011; lu, kai/KBB-4008-2024; Ding, Guanghui/ACB-5221-2022; Wang, Ying/AGV-4357-2022</t>
  </si>
  <si>
    <t>National Natural Science Founda- tion of China [42276167]; Liaoning Revitalization Talents Program [XLYC2007013]; National Key Research and Development Program of China [2016YFC1402305, 2016YFC1402204]</t>
  </si>
  <si>
    <t>National Natural Science Founda- tion of China(National Natural Science Foundation of China (NSFC)); Liaoning Revitalization Talents Program; National Key Research and Development Program of China(National Key Research &amp; Development Program of China)</t>
  </si>
  <si>
    <t>This study was supported by the National Natural Science Founda- tion of China (No. 42276167) , Liaoning Revitalization Talents Program (XLYC2007013) , and National Key Research and Development Program of China (No. 2016YFC1402305, 2016YFC1402204) .</t>
  </si>
  <si>
    <t>10.1016/j.aquatox.2023.106430</t>
  </si>
  <si>
    <t>9P9BI</t>
  </si>
  <si>
    <t>WOS:000944571300001</t>
  </si>
  <si>
    <t>Copat, C; Rizzo, M; Zuccaro, A; Grasso, A; Zuccarello, P; Fiore, M; Mancini, G; Ferrante, M</t>
  </si>
  <si>
    <t>Copat, Chiara; Rizzo, Milena; Zuccaro, Agata; Grasso, Alfina; Zuccarello, Pietro; Fiore, Maria; Mancini, Giuseppe; Ferrante, Margherita</t>
  </si>
  <si>
    <t>Metals/Metalloids and Oxidative Status Markers in Saltwater Fish from the Ionic Coast of Sicily, Mediterranean Sea</t>
  </si>
  <si>
    <t>Bioaccumulation; Fish; Mediterranean Sea; Trace elements; MDA; PC; Oxidative stress</t>
  </si>
  <si>
    <t>HEAVY-METALS CONCENTRATIONS; TROUT ONCORHYNCHUS-MYKISS; ZINC-OXIDE NANOPARTICLES; MULTI-BIOMARKER APPROACH; SCALLOP CHLAMYS-FARRERI; HEALTH-RISK ASSESSMENT; LIPID-PEROXIDATION; TRACE-ELEMENTS; MOTOR-ACTIVITY; SELENIUM</t>
  </si>
  <si>
    <t>The aim of the present work was the assessment of the environmental status of marine biota along the Sicilian ionic coast (Italy). Due to its complex habitat requirements, the fish fauna is a crucial indicator of the ecological integrity of aquatic systems at different scales, from micro-habitat to catchment. Besides environmental contaminants, biomarkers of oxidative stress answer to the Water Framework Directive's challenges for improved detection of the impacts of chemical compounds on aquatic organisms. Highly consumed seafood species (Solea solea, Mullus barbatus, Sardina pilchardus and Scomber scombrus) were taken at the Gulf of Catania (Sicily). Levels of metals/metalloids (As, Cd, Cr, Cu, Fe, Hg, Mn, Ni, Pb, Se, V, Zn) were estimated in muscle tissue as well as oxidative stress parameter such as malondialdehyde (MDA) and protein carbonyl (PC) derivatives in liver. The total metals/metalloids load indicated as Metal Pollution Index (MPI, unitless) were the following: 0.258 in S. pilchardus, 0.203 in S. scombrus, 0.123 in M. barbatus and 0.071 in S. solea. The greatest contribution was given by As (mean range 2.670-9.748 mg/kg wet weight) and Zn (mean range 2.169-4.736 wet weight) levels. Hg, Ni and Zn presented mean levels progressively higher, with increasing trophic position. From a chemical point of view, the analyzed species were healthy for human consumption and the risk to develop chronic systemic and carcinogenic effects was low; nevertheless, it has highlighted an oxidative stress condition.</t>
  </si>
  <si>
    <t>[Copat, Chiara; Grasso, Alfina; Zuccarello, Pietro; Fiore, Maria; Ferrante, Margherita] Univ Catania, Dept Med Surg Sci &amp; Adv Technol, GF Ingrassia, Catania, Italy; [Rizzo, Milena; Zuccaro, Agata] Univ Catania, Dept Drug Sci, Catania, Italy; [Mancini, Giuseppe] Univ Catania, Dept Civil &amp; Environm Engn DICA, Catania, Italy</t>
  </si>
  <si>
    <t>University of Catania; University of Catania; University of Catania</t>
  </si>
  <si>
    <t>Copat, C (corresponding author), Univ Catania, Dept Med Surg Sci &amp; Adv Technol, GF Ingrassia, Catania, Italy.</t>
  </si>
  <si>
    <t>Rizzo, Milena/AAB-1179-2021; Ferrante, Margherita/B-2781-2011; Zuccarello, Pietro/HLX-3321-2023; Fiore, Maria/B-3899-2011; Zuccaro, Agata/JCE-4213-2023; Copat, Chiara/H-2192-2013; Mancini, Giuseppe/C-4544-2015</t>
  </si>
  <si>
    <t>Zuccaro, Agata/0000-0003-2298-6379; Copat, Chiara/0000-0002-2262-6050; ZUCCARELLO, Pietro/0000-0002-7425-0032; Mancini, Giuseppe/0000-0002-0953-7934</t>
  </si>
  <si>
    <t>University Research Funding (FIR); University of Catania [9A410A]</t>
  </si>
  <si>
    <t>University Research Funding (FIR); University of Catania</t>
  </si>
  <si>
    <t>University Research Funding (FIR) 2014, University of Catania. Grant Number 9A410A.</t>
  </si>
  <si>
    <t>10.1007/s41742-019-00237-1</t>
  </si>
  <si>
    <t>OCT 2019</t>
  </si>
  <si>
    <t>KJ4JM</t>
  </si>
  <si>
    <t>WOS:000492333200002</t>
  </si>
  <si>
    <t>ROPER, DS; PRIDMORE, RD; CUMMINGS, VJ; HEWITT, JE</t>
  </si>
  <si>
    <t>POLLUTION RELATED DIFFERENCES IN THE CONDITION CYCLES OF PACIFIC OYSTERS CRASSOSTREA-GIGAS FROM MANUKAU HARBOR, NEW-ZEALAND</t>
  </si>
  <si>
    <t>SCALLOPS PECTEN-MAXIMUS; ANTI-FOULING COMPOUNDS; AMERICAN OYSTER; BIOCHEMICAL-COMPOSITION; CONDITION INDEXES; MYTILUS-EDULIS; COPPER; GROWTH; CULTIVATION; VIRGINICA</t>
  </si>
  <si>
    <t>Two physical and four biochemical condition indices were used to assess seasonal fluctuations in the condition of the Pacific oyster, Crassostrea gigas, at one polluted and one clean site in Manukau Harbour, New Zealand, from June 1988 to March 1990. Oysters from the polluted site typically possessed thicker, heavier shells, with four to seven internal chambers (possibly the result of TBT contamination). No chambering was observed in shells from the clean site. At both sites, oyster condition (as measured by any of the six indices) was not strongly correlated with whole weight on any sampling occasion (all cases r &lt; 0.35). Sampling over the 22-month period showed strong seasonal variability in condition. The general pattern was for low condition from summer through winter building to peak values in the following spring-summer. Changes in condition were attributable principally to fluctuations in glycogen (at the polluted site) and protein (at the clean site). Of the six condition indices employed, only the two physical condition indices (based on dry flesh weight per shell cavity volume and shell weight) consistently separated the clean from the polluted site. Possible factors affecting oyster condition and the use of condition measurements in environmental monitoring are discussed.</t>
  </si>
  <si>
    <t>ROPER, DS (corresponding author), DSIR MARINE &amp; FRESHWATER,CTR WATER QUAL,POB 11-115,HAMILTON,NEW ZEALAND.</t>
  </si>
  <si>
    <t>Cummings, Vonda/0000-0003-1076-3995</t>
  </si>
  <si>
    <t>10.1016/0141-1136(91)90011-V</t>
  </si>
  <si>
    <t>GL089</t>
  </si>
  <si>
    <t>WOS:A1991GL08900003</t>
  </si>
  <si>
    <t>Benmhammed, A; Laissaoui, A; Mejjad, N; Ziad, N; Chakir, E; Benkdad, A; Bouh, HA; Yahyaoui, AE</t>
  </si>
  <si>
    <t>Benmhammed, A.; Laissaoui, A.; Mejjad, N.; Ziad, N.; Chakir, E.; Benkdad, A.; Bouh, H. Ait; Yahyaoui, A. El</t>
  </si>
  <si>
    <t>Recent pollution records in Sidi Moussa coastal lagoon (western Morocco) inferred from sediment radiometric dating</t>
  </si>
  <si>
    <t>Sidi Moussa lagoon; Radiometric dating; Sediment contamination; Sediment quality guidelines</t>
  </si>
  <si>
    <t>HEAVY-METALS; URANIUM; PATTERNS; BEHAVIOR; QUALITY; MUSSEL; WATERS</t>
  </si>
  <si>
    <t>The Sidi Moussa lagoon, located in western coastal Morocco and ranked as a wetland of biological and ecological importance (Ramsar site), is contaminated due to its proximity to the industrial phosphate plants and other anthropogenic activities around it. This study was carried out to assess the current environmental state of the lagoon as well as historical inputs of pollutants over several decades. Three sediment cores were collected and analyzed for the determination radionuclide activities (Pb-210, Ra-226, U-238 and Cs-137) by gamma spectrometry and element concentrations by Inductively Coupled Plasma - Mass Spectrometry. Age-depth relationships were established in two cores using Pb-210 and Cs-137 as chronometer and time-marker, respectively, and Constant Rate of Supply as radiometric dating model. Pb-210 and U-238 were present in sediment in activities much higher than those reported for non-contaminated coastal systems. Sediment accumulation rates showed a slight increase over time with a depth-averaged value of 0.16 g cm(-2) y(-1). Enrichment Factors and practically derived sediment quality guidelines were used to assess sediment contamination/pollution and toxicological effects linked with the measured concentrations of sediment-bound elements. The profiles of Cr, Co, Cu, As and Ni displayed maximums at depths matching the start of the phosphate industrial plants, and decreasing concentrations in the sections above the maximums, revealing the positive effects of the environmental management system adopted by the phosphate company since early 2000s.</t>
  </si>
  <si>
    <t>[Laissaoui, A.; Benkdad, A.; Bouh, H. Ait; Yahyaoui, A. El] Ctr Natl Energie Sci &amp; Tech Nucl, BP 1382 RP 10001, Rabat, Morocco; [Benmhammed, A.; Chakir, E.] Univ Ibn Tofail, Fac Sci, Kenitra, Morocco; [Mejjad, N.] Univ Ben MSik, Fac Sci, Casablanca, Morocco; [Ziad, N.] Univ Ibn Tofail, Ecole Natl Sci Appl, Kenitra, Morocco</t>
  </si>
  <si>
    <t>Ibn Tofail University of Kenitra; Hassan II University of Casablanca; Ibn Tofail University of Kenitra</t>
  </si>
  <si>
    <t>Laissaoui, A (corresponding author), Ctr Natl Energie Sci &amp; Tech Nucl, BP 1382 RP 10001, Rabat, Morocco.</t>
  </si>
  <si>
    <t>laissaoui@cnesten.org.ma</t>
  </si>
  <si>
    <t>AIT BOUH, Hasna/JVZ-5088-2024; Mejjad, Nezha/I-6702-2015; Laissaoui, Abdelmourhit/AGP-6754-2022</t>
  </si>
  <si>
    <t>Laissaoui, Abdelmourhit/0000-0002-8228-198X; Mejjad, Nezha/0000-0002-6750-6781</t>
  </si>
  <si>
    <t>International Atomic Energy Agency [CRP K41016, 20568/R0, RAF7/015]</t>
  </si>
  <si>
    <t>International Atomic Energy Agency(International Atomic Energy Agency)</t>
  </si>
  <si>
    <t>This work was supported by the International Atomic Energy Agency under the Contract Research Project CRP K41016: Study of temporal trends of pollution in selected coastal areas by the application of isotopic and nuclear tools (Contract No. 20568/R0). The authors acknowledge the use of sampling and laboratory equipment provided within the framework of the IAEA Technical Cooperation Project RAF7/015.</t>
  </si>
  <si>
    <t>10.1016/j.jenvrad.2020.106464</t>
  </si>
  <si>
    <t>PO9IN</t>
  </si>
  <si>
    <t>WOS:000605483400005</t>
  </si>
  <si>
    <t>Viana, T; Ferreira, N; Henriques, B; Leite, C; De Marchi, L; Amaral, J; Freitas, R; Pereira, E</t>
  </si>
  <si>
    <t>Viana, Thainara; Ferreira, Nicole; Henriques, Bruno; Leite, Carla; De Marchi, Lucia; Amaral, Joana; Freitas, Rosa; Pereira, Eduarda</t>
  </si>
  <si>
    <t>How safe are the new green energy resources for marine wildlife? The case of lithium</t>
  </si>
  <si>
    <t>Lithium; Mytilus galloprovincialis; Neurotoxicity; Oxidative stress; Metabolic capacity</t>
  </si>
  <si>
    <t>Considering the increasing use of Lithium (Li) and the necessity to fulfil this demand, labile Li occurrence in the environment will be enhanced. Thus, additional research is needed regarding the presence of this element in marine environment and its potential toxic impacts towards inhabiting wildlife. The aim of the present study was to evaluate Li toxicity based on the exposure of Mytilus galloprovincialis to this metal, assessing the biochemical changes related with mussels' metabolism, oxidative stress and neurotoxicity. For this, organisms were exposed to different Li concentrations (100, 250, 750 mg/L) for 28 days. The results obtained clearly demonstrated that Li lead to mussels' metabolism depression. The present study also revealed that, especially at the highest concentrations, antioxidant and biotransformation enzymes were not activated, leading to the occurrence of lipid peroxidation and loss of redox homeostasis, with increased content in oxidized glutathione in comparison to the reduced form. Furthermore, after 28 days, higher Li exposure concentrations induced neurotoxic effects in mussels, with a decrease in acetylcholinesterase enzyme activity. The responses observed were closely related with Li concentrations in mussels' tissues, which were more pronounced at higher exposure concentrations. Such results highlight the potential toxic effects of Li to marine species, which may even be higher under predicted climate changes and/or in the presence of other pollutants. (c) 2020 Elsevier Ltd. All rights reserved.</t>
  </si>
  <si>
    <t>[Viana, Thainara; Ferreira, Nicole; Henriques, Bruno; Amaral, Joana; Pereira, Eduarda] Univ Aveiro, Dept Chem, P-3810193 Aveiro, Portugal; [Henriques, Bruno; Freitas, Rosa] Univ Aveiro, CESAM Ctr Environm &amp; Marine Studies, Aveiro, Portugal; [Henriques, Bruno; Pereira, Eduarda] Univ Aveiro, LAQV REQUIMTE Associated Lab Green Chem, Aveiro, Portugal; [Leite, Carla; De Marchi, Lucia; Freitas, Rosa] Univ Aveiro, Dept Biol, P-3810193 Aveiro, Portugal; [De Marchi, Lucia] Univ Aveiro, Dept Mech Engn, P-3810193 Aveiro, Portugal; [De Marchi, Lucia] Univ Aveiro, Ctr Mech Technol &amp; Automat TEMA, P-3810193 Aveiro, Portugal</t>
  </si>
  <si>
    <t>Universidade de Aveiro; Universidade de Aveiro; Universidade de Aveiro; Universidade de Aveiro; Universidade de Aveiro; Universidade de Aveiro</t>
  </si>
  <si>
    <t>Freitas, R (corresponding author), Univ Aveiro, CESAM Ctr Environm &amp; Marine Studies, Aveiro, Portugal.</t>
  </si>
  <si>
    <t>Amaral, Joana/V-3692-2018; Ferreira, Nicole/ABF-5793-2021; Viana, Thainara/ABF-8730-2021; De Marchi, Lucia/ABG-1246-2021; Pereira, Eduarda/A-5907-2012; Henriques, Bruno/B-6258-2017; Freitas, Rosa/A-7539-2012; Leite, Carla/F-1683-2019</t>
  </si>
  <si>
    <t>Viana, Thainara/0000-0001-5246-4809; Henriques, Bruno/0000-0002-6472-5479; Freitas, Rosa/0000-0003-4900-3897; Pereira, Eduarda/0000-0002-6046-5243; Leite, Carla/0000-0001-8579-293X; De Marchi, Lucia/0000-0001-6899-4476; Ferreira, Nicole/0000-0001-8150-5227</t>
  </si>
  <si>
    <t>national funds (OE), through FCT - Fundacao para a Ciencia e a Tecnologia, I.P. [57/2016, 57/2017]; REQUIMTE [UIDB/50006/2020]; CESAM [UIDB/50017/2020, UIDP/50017/2020]; FCT/MEC; FEDER; N9VE - Nature, Ocean and Value, Lda</t>
  </si>
  <si>
    <t>national funds (OE), through FCT - Fundacao para a Ciencia e a Tecnologia, I.P.(Fundacao para a Ciencia e a Tecnologia (FCT)); REQUIMTE; CESAM; FCT/MEC(Fundacao para a Ciencia e a Tecnologia (FCT)); FEDER(European Union (EU)Spanish Government); N9VE - Nature, Ocean and Value, Lda</t>
  </si>
  <si>
    <t>Bruno Henriques and Rosa Freitas benefited from a Research position funded by national funds (OE), through FCT e Fundacao para a Ciencia e a Tecnologia, I.P., in the scope of the framework contract foreseen in the numbers 4, 5 and 6 of the article 23, of the Decree-Law 57/2016, of August 29, changed by Law 57/2017, of July 19. Thanks are also due to the financial support to REQUIMTE and CESAM (UIDB/50006/2020 and UIDB/50017/2020+UIDP/50017/2020, respectively), to FCT/MEC through national funds, and the cofunding by the FEDER, within the PT2020 Partnership Agreement and Compete 2020, and to N9VE - Nature, Ocean and Value, Lda, for the cooperation in this work.</t>
  </si>
  <si>
    <t>10.1016/j.envpol.2020.115458</t>
  </si>
  <si>
    <t>RB1XQ</t>
  </si>
  <si>
    <t>WOS:000631909700031</t>
  </si>
  <si>
    <t>Brehm, J; Wilde, MV; Reiche, L; Leitner, LC; Petran, B; Meinhart, M; Wieland, S; Ritschar, S; Schott, M; Boos, JP; Frei, S; Kress, H; Senker, J; Greiner, A; Froehlich, T; Laforsch, C</t>
  </si>
  <si>
    <t>Brehm, Julian; Wilde, Magdalena V.; Reiche, Lukas; Leitner, Lisa-Cathrin; Petran, Benedict; Meinhart, Marcel; Wieland, Simon; Ritschar, Sven; Schott, Matthias; Boos, Jan-Pascal; Frei, Sven; Kress, Holger; Senker, Juergen; Greiner, Andreas; Froehlich, Thomas; Laforsch, Christian</t>
  </si>
  <si>
    <t>In-depth characterization revealed polymer type and chemical content specific effects of microplastic on Dreissena bugensis</t>
  </si>
  <si>
    <t>Real-time valvometry; Filter feeders; Proteomics; PET drinking bottles; In-depth characterization</t>
  </si>
  <si>
    <t>FRESH-WATER ECOSYSTEMS; ZEBRA MUSSEL; DIETHYLENE GLYCOL; FILTRATION-RATE; MYTILUS-EDULIS; BEHAVIOR; BOTTLES; POLY(ETHYLENE-TEREPHTHALATE); CONTAMINATION; ECOTOXICITY</t>
  </si>
  <si>
    <t>In aquatic ecosystems, filter feeders like mussels are particularly vulnerable to microplastics (MP). However, little is known about how the polymer type and the associated properties (like additives or remaining monomers) of MP impact organisms, as the predominant type of MP used for effect studies on the organismic level are micron grade polystyrene spheres, without considering their chemical composition. Therefore, we exposed the freshwater mussel Dreissena bugensis (D. bugensis) to in-depth characterized fragments in the same concentration and size range (20-120 mu m): recycled polyethylene terephthalate from drinking bottles, polyamide, polystyrene, polylactic acid, and mussel shell fragments as natural particle control. Real-time valvometry, used to study behavioral responses via the movement of the mussels' valves, showed that mussels cannot distinguish between natural and MP particles, and therefore do not cease their filtration, as when exposed to dissolved pollutants. This unintentional ingestion led to polymer type-dependent adverse effects (activity of antioxidant enzymes and proteomic alterations), related to chemicals and residual monomers found in MP. Overall, recycled PET elicited the strongest negative effects, likely caused by anthranilamide, anthranilonitrile and butylated hydroxytoluene, contained in the fragments, which are toxic to aquatic organisms. As PET is among the most abundant MP in the environment, sublethal effects may gradually manifest at the population level, leading to irreversible ecosystem changes.</t>
  </si>
  <si>
    <t>[Brehm, Julian; Reiche, Lukas; Wieland, Simon; Ritschar, Sven; Schott, Matthias; Laforsch, Christian] Univ Bayreuth, Anim Ecology1, Univ Str 30, D-95440 Bayreuth, Germany; [Wilde, Magdalena V.; Froehlich, Thomas] Gene Ctr Munich, Lab Funct Genome Anal LAFUGA, LMU Munich, Feodor Lynen Str 25, D-81377 Munich, Germany; [Leitner, Lisa-Cathrin; Petran, Benedict; Greiner, Andreas] Univ Bayreuth, Macromol Chem &amp; Bavarian Polymer Inst, Univ Str 30, D-95440 Bayreuth, Germany; [Meinhart, Marcel; Senker, Juergen] Univ Bayreuth, Inorgan Chemistryand Northern Bavarian NMR Ctr 3, Univ Str 30, D-95440 Bayreuth, Germany; [Wieland, Simon; Kress, Holger] Univ Bayreuth, Biol Phys, Univ Str 30, D-95440 Bayreuth, Germany; [Boos, Jan-Pascal; Frei, Sven] Univ Bayreuth, Bayreuth Ctr Ecol &amp; Environm Res BAYCEER, Dept Hydrol, Univ Str 30, D-95440 Bayreuth, Germany</t>
  </si>
  <si>
    <t>University of Bayreuth; University of Munich; University of Bayreuth; University of Bayreuth; University of Bayreuth; University of Bayreuth</t>
  </si>
  <si>
    <t>Laforsch, C (corresponding author), Univ Bayreuth, Anim Ecology1, Univ Str 30, D-95440 Bayreuth, Germany.</t>
  </si>
  <si>
    <t>Christian.Laforsch@uni-bayreuth.de</t>
  </si>
  <si>
    <t>Senker, Juergen/O-4764-2014; Frei, Sven/E-2825-2010; Laforsch, Christian/JOZ-3270-2023; Fröhlich, Thomas/C-6735-2011</t>
  </si>
  <si>
    <t>Ritschar, Sven/0000-0002-5585-0729; Wieland, Simon/0000-0001-5439-1594; Schott, Matthias/0000-0002-3034-9305; Senker, Juergen/0000-0002-7278-7952; Frohlich, Thomas/0000-0002-4709-3211</t>
  </si>
  <si>
    <t>Deutsche Forschungsgemeinschaft (DFG; German Research Foundation) [391977956-SFB 1357, INST 91/366-1 FUGG]; Elite Network of Bavaria (Study Program Biological Physics); University of Bayreuth Graduate School</t>
  </si>
  <si>
    <t>Deutsche Forschungsgemeinschaft (DFG; German Research Foundation)(German Research Foundation (DFG)); Elite Network of Bavaria (Study Program Biological Physics); University of Bayreuth Graduate School</t>
  </si>
  <si>
    <t>This study was funded by the Deutsche Forschungsgemeinschaft (DFG; German Research Foundation) -Project Number 391977956-SFB 1357. The SEM was funded by the Deutsche Forschungsgemeinschaft (DFG GZ: INST 91/366-1 FUGG) . S.W. was supported by the Elite Network of Bavaria (Study Program Biological Physics) and by the University of Bayreuth Graduate School.</t>
  </si>
  <si>
    <t>10.1016/j.jhazmat.2022.129351</t>
  </si>
  <si>
    <t>2L3NF</t>
  </si>
  <si>
    <t>WOS:000816924500003</t>
  </si>
  <si>
    <t>Gu, HX; Wei, SS; Hu, MH; Wei, H; Wang, XH; Shang, YY; Li, LA; Shi, HH; Wang, YJ</t>
  </si>
  <si>
    <t>Gu, Huaxin; Wei, Shuaishuai; Hu, Menghong; Wei, Huang; Wang, Xinghuo; Shang, Yueyong; Li, Li'ang; Shi, Huahong; Wang, Youji</t>
  </si>
  <si>
    <t>Microplastics aggravate the adverse effects of BDE-47 on physiological and defense performance in mussels</t>
  </si>
  <si>
    <t>Mytilus coruscus; Microplastics; BDE-47; Immune defense; Antioxidant defense</t>
  </si>
  <si>
    <t>POLYBROMINATED DIPHENYL ETHERS; FLAME RETARDANTS; MYTILUS-EDULIS; ANTIOXIDANT RESPONSES; ALKALINE-PHOSPHATASE; MARINE-ENVIRONMENT; EXPOSURE; POLLUTION; HEMOCYTES; CADMIUM</t>
  </si>
  <si>
    <t>The highly hydrophobic surfaces make microplastics a potential carrier of organic pollutants in the marine environment. In order to explore the toxic effects of polybrominated diphenyl ethers (BDE-47) combined with microplastics on marine organisms, we exposed the marine mussel Mytilus coruscus to micro-PS combined with BDE-47 for 21 days to determine the immune defense, oxidative stress and energy metabolism of the mussels. The results showed that the clearance rate (CR) of mussels exposed to single micro-PS, single BDE-47 or both was lower than control group. In general, compared to single BDE-47 exposure, the combination of micro-PS and BDE-47 significantly increased respiration rate (RR), activities of acid phosphatase (ACP) and alkaline phosphatase (ALP), reactive oxygen species (ROS) production and malondialdehyde (MDA) concentrations, but significantly decreased lactate dehydrogenase (LDH) activity and the relative expression of heat shock protein (Hsp70 and 90). Overall, combined stress has more adverse effects on defense performance and energy metabolism in mussels and micro-PS seem to exacerbate the toxicological effects of BDE-47. As microplastics pollution may deteriorate in the future, the health of mussels may be threatened in organically polluted environment, which eventually change the stability of the structure and function of intertidal ecosystem.</t>
  </si>
  <si>
    <t>[Gu, Huaxin; Wei, Shuaishuai; Hu, Menghong; Wang, Xinghuo; Shang, Yueyong; Li, Li'ang; Wang, Youji] Shanghai Ocean Univ, Int Res Ctr Marine Biosci, Minist Sci &amp; Technol, Shanghai 201306, Peoples R China; [Wei, Huang; Wang, Youji] Minist Nat Resources, Key Lab Satellite Ocean Environm Dynam, Inst Oceanog 2, Hangzhou, Peoples R China; [Gu, Huaxin; Wei, Shuaishuai; Hu, Menghong; Wang, Xinghuo; Shang, Yueyong; Li, Li'ang; Wang, Youji] Shanghai Ocean Univ, Shanghai Engn Res Ctr Aquaculture, Key Lab Explorat &amp; Utilizat Aquat Genet Resources, Minist Educ, Shanghai 201306, Peoples R China; [Shi, Huahong] East China Normal Univ, State Key Lab Estuarine &amp; Coastal Res, Shanghai 200062, Peoples R China</t>
  </si>
  <si>
    <t>Shanghai Ocean University; Ministry of Natural Resources of the People's Republic of China; Second Institute of Oceanography, Ministry of Natural Resources; Shanghai Ocean University; East China Normal University</t>
  </si>
  <si>
    <t>Hu, MH; Wang, YJ (corresponding author), Shanghai Ocean Univ, Int Res Ctr Marine Biosci, Minist Sci &amp; Technol, Shanghai 201306, Peoples R China.</t>
  </si>
  <si>
    <t>mhhu@shou.edu.cn; youjiwang2@gmail.com</t>
  </si>
  <si>
    <t>Shi, Huahong/F-1511-2011; Shang, Yueyong/HTL-4592-2023; Wang, Youji/B-8086-2011</t>
  </si>
  <si>
    <t>Wang, Youji/0000-0003-3011-1919; Shang, Yueyong/0000-0002-6330-3418; Shi, Huahong/0000-0003-2978-0680; hu, menghong/0000-0003-1382-8571</t>
  </si>
  <si>
    <t>Open Research Fund of State Key Laboratory of Estuarine and Coastal Research [SKLEC-KF201706]; Natural Science Foundation of China [31872587]; Shanghai Pujiang Talent Program [18PJ1404000]; Shanghai Municipal Natural Science Foundation [17ZR1412900]; State Key Laboratory of Satellite Ocean Environment Dynamics [SOEDZZ1902]; China-APEC Cooperation Fund [2029901]</t>
  </si>
  <si>
    <t>Open Research Fund of State Key Laboratory of Estuarine and Coastal Research; Natural Science Foundation of China(National Natural Science Foundation of China (NSFC)); Shanghai Pujiang Talent Program; Shanghai Municipal Natural Science Foundation; State Key Laboratory of Satellite Ocean Environment Dynamics; China-APEC Cooperation Fund</t>
  </si>
  <si>
    <t>This work was supported by the Open Research Fund of State Key Laboratory of Estuarine and Coastal Research (Grant number SKLEC-KF201706). The authors acknowledge funding from the Natural Science Foundation of China (31872587), the Shanghai Pujiang Talent Program (18PJ1404000), Shanghai Municipal Natural Science Foundation (17ZR1412900), State Key Laboratory of Satellite Ocean Environment Dynamics (No. SOEDZZ1902) and China-APEC Cooperation Fund (No. 2029901).</t>
  </si>
  <si>
    <t>10.1016/j.jhazmat.2020.122909</t>
  </si>
  <si>
    <t>NN9DS</t>
  </si>
  <si>
    <t>WOS:000569088300003</t>
  </si>
  <si>
    <t>Flores-Nunes, F; Gomes, T; Company, R; Moraes, RRM; Sasaki, ST; Taniguchi, S; Bicego, MC; Melo, CMR; Bainy, ACD; Bebianno, MJ</t>
  </si>
  <si>
    <t>Flores-Nunes, Fabricio; Gomes, Tania; Company, Rui; Moraes, Roberta R. M.; Sasaki, Silvio T.; Taniguchi, Satie; Bicego, Marcia C.; Melo, Claudio M. R.; Bainy, Afonso C. D.; Bebianno, Maria J.</t>
  </si>
  <si>
    <t>Changes in protein expression of pacific oyster Crassostrea gigas exposed in situ to urban sewage</t>
  </si>
  <si>
    <t>Urban sewage; Crassostrea gigas; Proteomic analysis; Two-dimensional gel electrophoresis</t>
  </si>
  <si>
    <t>MUSSELS MYTILUS-EDULIS; OXIDATIVE-STRESS; PROTEOMIC APPROACH; RUDITAPES-DECUSSATUS; SACCOSTREA-GLOMERATA; ENVIRONMENTAL-STRESS; S-GLUTATHIONYLATION; METAL CONTAMINATION; GENE-EXPRESSION; HUMAN HOMOLOG</t>
  </si>
  <si>
    <t>The composition and concentration of substances in urban effluents are complex and difficult to measure. These contaminants elicit biological responses in the exposed organisms. Proteomic analysis is a powerful tool in environmental toxicology by evidencing alterations in protein expression due to exposure to contaminants and by providing a useful framework for the development of new potential biomarkers. The aim of this study was to determine changes in protein expression signatures (PES) in the digestive gland of oysters Crassostrea gigas transplanted to two farming areas (LIS and RIB) and to one area contaminated by sanitary sewage (BUC) after 14 days of exposure. This species is one of the most cultivated molluscs in the world. The identified proteins are related to the cytoskeleton (CKAP5 and ACT2), ubiquitination pathway conjugation (UBE3C), G protein-coupled receptor and signal transduction (SVEP1), and cell cycle/division (CCNB3). CKAP5 showed higher expression in oysters kept at BUC in comparison with those kept at the farming areas, while ACT2, UBE3C, SVEP1, and CCNB3 were suppressed. The results suggest that these changes might lead to DNA damage, apoptosis, and interference with the immune system in oyster C. gigas exposed to sewage and give initial information on PES of C. gigas exposed to sanitary sewage, which can subsequently be useful in the development of more sensitive tools for biomonitoring coastal areas, particularly those devoted mainly to oyster farming activities.</t>
  </si>
  <si>
    <t>[Flores-Nunes, Fabricio; Moraes, Roberta R. M.; Bainy, Afonso C. D.] Univ Fed Santa Catarina, Lab Biomarkers Aquat Contaminat &amp; Immunochem, Florianopolis, SC, Brazil; [Gomes, Tania; Company, Rui; Bebianno, Maria J.] Univ Algarve, CIMA, Fac Sci &amp; Technol, P-8005139 Faro, Portugal; [Sasaki, Silvio T.; Taniguchi, Satie; Bicego, Marcia C.] Univ Sao Paulo, Lab Marine Organ Chem, Oceanog Inst, Sao Paulo, Brazil; [Melo, Claudio M. R.] Univ Fed Santa Catarina, Lab Marine Molluscs, Florianopolis, SC, Brazil</t>
  </si>
  <si>
    <t>Universidade Federal de Santa Catarina (UFSC); Universidade do Algarve; Universidade de Sao Paulo; Universidade Federal de Santa Catarina (UFSC)</t>
  </si>
  <si>
    <t>Bebianno, MJ (corresponding author), Univ Algarve, CIMA, Fac Sci &amp; Technol, Campus Gambelas, P-8005139 Faro, Portugal.</t>
  </si>
  <si>
    <t>Sasaki, Silvio Tarou/ITW-1402-2023; Bebianno, Maria/L-3761-2014; Gomes, Tânia/X-7771-2019; Bicego, Marcia/D-1996-2013; Bainy, Afonso/J-6097-2012; Taniguchi, Satie/D-2552-2013; De Melo, Claudio/G-4486-2012</t>
  </si>
  <si>
    <t>Bebianno, Maria/0000-0003-1492-8566; De Melo, Claudio/0000-0002-0969-7022; Bicego, Marcia/0000-0002-9939-9853; Bainy, Afonso/0000-0002-3885-7718; Sasaki, Silvio Tarou/0000-0002-9207-241X</t>
  </si>
  <si>
    <t>EU project GENERA within the framework of the Marie Curie IRSES Actions (FP7-PEOPLE-IRSES) [247559]; CNPq [483028/2012-6]; CNPq productivity fellowship; PVE-CNPq fellowship</t>
  </si>
  <si>
    <t>EU project GENERA within the framework of the Marie Curie IRSES Actions (FP7-PEOPLE-IRSES); CNPq(Conselho Nacional de Desenvolvimento Cientifico e Tecnologico (CNPQ)); CNPq productivity fellowship(Conselho Nacional de Desenvolvimento Cientifico e Tecnologico (CNPQ)); PVE-CNPq fellowship</t>
  </si>
  <si>
    <t>FFN was a fellow doctoral PDEE (CAPES, Process 1452/10-0). The research leading to these results has received funding from the EU project GENERA within the framework of the Marie Curie IRSES Actions (FP7-PEOPLE-2009-IRSES, Proposal no. 247559) and CNPq grant number 483028/2012-6. Analysis of organic contaminants was conducted in partnership with the Laboratory of Organic Chemistry of the Oceanographic Institute of the University of Sao Paulo (LQO-IO-USP). ACDB, MCB, and CMRM are recipients of CNPq productivity fellowship. MJB is recipient of PVE-CNPq fellowship.</t>
  </si>
  <si>
    <t>10.1007/s11356-014-3821-8</t>
  </si>
  <si>
    <t>WOS:000365423100002</t>
  </si>
  <si>
    <t>Rubio, B; López-Pérez, AE; León, I</t>
  </si>
  <si>
    <t>Rubio, Belen; Lopez-Perez, Angel Enrique; Leon, Ivan</t>
  </si>
  <si>
    <t>Impact of sediment mobilization on trace elements release in Galician Rías (NW Iberian Peninsula): insights into aquaculture</t>
  </si>
  <si>
    <t>Aquaculture; Trace element speciation; Aerobic oxidation; Metal toxicity; R &amp; iacute;a de Pontevedra</t>
  </si>
  <si>
    <t>RIA COASTAL SYSTEM; INTEGRATIVE ASSESSMENT; METAL CONCENTRATIONS; SUBTIDAL SEDIMENTS; MYTILUS-GALLOPROVINCIALIS; INTERTIDAL SEDIMENTS; COPPER SPECIATION; DISSOLVED COPPER; MARINE POLLUTION; HEAVY-METALS</t>
  </si>
  <si>
    <t>In the latest years, the concentration levels of certain metals and metalloids in the sediments of the Galician R &amp; iacute;as have shown an increasing trend (e.g., As, Zn, Cu, Pb, Hg). These areas are also characterized by their richness in nutrients and their great aquaculture or mariculture activity, with the presence of more than 3500 mussel rafts in the R &amp; iacute;as Baixas. The inner areas of the Galician R &amp; iacute;as are subjected to activities that resuspend the sediment such as high levels of maritime traffic and dredging or cleaning operations. It is likely that a transfer of these elements to the water column happens during the resuspension of sediments caused by natural events or anthropogenic activities. In this study, selected samples of surface sediments of the R &amp; iacute;a de Pontevedra (NW Spain) were subjected to a procedure of aerobic oxidation to determine the concentration of some elements (Fe, Mn, Cu, Cr, Pb, Hg, and Zn) released from the sediment to the aqueous phase. The experiment was carried out within 5 days. Measurements of pH and total concentration were taken both in water and sediment samples. Furthermore, speciation of trace elements was carried out in the sediment samples. Trace element concentrations were lower in the sediments during aerobic oxidation, being released to the aqueous phase. From an environmental point of view, Cu was the only trace element released in quantities that may be toxic for the organisms in the area. This problem of sediment oxidation related to dredging activities or natural storm conditions should be considered in environmental impact studies and transferred to stakeholders.</t>
  </si>
  <si>
    <t>[Rubio, Belen; Lopez-Perez, Angel Enrique] Univ Vigo, Ctr Invest Marina, GEOMA, Vigo 36310, Spain; [Leon, Ivan] Univ Atlantico, Fac Ciencias Bas, Grp Zona Costera, Barranquilla, Colombia</t>
  </si>
  <si>
    <t>Universidade de Vigo; CIM UVIGO</t>
  </si>
  <si>
    <t>Rubio, B (corresponding author), Univ Vigo, Ctr Invest Marina, GEOMA, Vigo 36310, Spain.</t>
  </si>
  <si>
    <t>brubio@uvigo.gal; aelopez@uvigo.gal; ivanleon@mail.uniatlantico.edu.co</t>
  </si>
  <si>
    <t>Autonomous Goverment Xunta de Galicia Reference</t>
  </si>
  <si>
    <t>10.1007/s10661-024-12950-2</t>
  </si>
  <si>
    <t>D6G2T</t>
  </si>
  <si>
    <t>WOS:001297135100001</t>
  </si>
  <si>
    <t>Dixon, DR; Wilson, JT</t>
  </si>
  <si>
    <t>Genetics and marine pollution</t>
  </si>
  <si>
    <t>cytogenetics; mutations; DNA; chromosomes; karyotypes</t>
  </si>
  <si>
    <t>SISTER-CHROMATID EXCHANGE; MUSSEL MYTILUS-EDULIS; INDUCED DNA-DAMAGE; PURPLE SEA-URCHIN; STRAND BREAKS; INDIVIDUAL CELLS; MAMMALIAN-CELLS; COMET ASSAY; CHROMOSOME-ABNORMALITIES; GEL-ELECTROPHORESIS</t>
  </si>
  <si>
    <t>The development of cytogenetic methods applied to cells and tissues of marine invertebrates has been hampered by (1) a lack of in vitro cell lines, (2) inadequate karyotypic information (partly as a result of too few workers chasing too many organisms), and (3) the failure of their chromosomes to band satisfactorily. Compared to mammalian cytogenetics, our knowledge of marine invertebrates lags behind by several decades. With the current concern about mutagens in the marine environment, and the recognition that the cells of marine species have sensitivities to DNA-damaging agents similar to those of higher organisms, there is a need for methods which can be used (a) in environmental monitoring and (b) to screen potentially harmful substances in the laboratory. In the absence of in vitro cell lines, embryos and larvae have been used to provide a supply of dividing cells for mutation studies, although the advent of molecular methods has now brought with it the means to detect DNA damage without any need for the cells to be in a dividing state. Moreover, the use of FISH (Fluorescence In Situ Hybridisation) now makes it possible to study numerical and structural chromosomal aberrations with far greater accuracy than was previously possible. A new marine genotoxicity assay is described, based on the embryos and larvae of a tube-dwelling polychaete worm (Pomatoceros lamarkii), suitable for both laboratory studies and field monitoring. This new Pomatoceros assay provides, at the same time, a useful model for studying the consequences of adult exposure on the offspring. A novel application of marine cytogenetic research is the study of the evolutionary adaptations of invertebrates living in naturally polluted extreme environments viz. deep sea hydrothermal vents, which are typified by high levels of toxic heavy metals and radionuclides, substances known to inflict damage to DNA. Given these new methodological and conceptual advances, it is predicted that our understanding of the role played by mutation in the marine environment, both in an evolutionary and toxicological context, will increase dramatically over the next decade.</t>
  </si>
  <si>
    <t>NERC National Oceanography Centre; University of Southampton</t>
  </si>
  <si>
    <t>Dixon, DR (corresponding author), Southampton Oceanog Ctr, Empress Dock, Southampton SO14 3ZH, Hants, England.</t>
  </si>
  <si>
    <t>10.1023/A:1003921201153</t>
  </si>
  <si>
    <t>WOS:000086541700005</t>
  </si>
  <si>
    <t>Chelyadina, NS; Kapranov, S; Popov, MA; Smirnova, LL; Bobko, N</t>
  </si>
  <si>
    <t>Chelyadina, Natalya S.; Kapranov, Sergey, V; Popov, Mark A.; Smirnova, Lyudmila L.; Bobko, Nikolay, I</t>
  </si>
  <si>
    <t>Trace elements in the detoxifying and accumulating body parts of Mytilus galloprovincialis Lamark, 1819 (Crimea, Black Sea): human health risks and effect of the sampling site location</t>
  </si>
  <si>
    <t>Black Sea; Mussels; Trace elements; ICP-MS; Bioaccumulation; Soft tissues; Shell liquor; Byssus</t>
  </si>
  <si>
    <t>HEAVY-METALS; SOFT-TISSUE; BYSSAL THREADS; KYUSHU-ISLAND; EAST-COAST; WEST-COAST; MUSSEL; EDULIS; CD; POLLUTION</t>
  </si>
  <si>
    <t>The mussel M. galloprovincialis is one of the most popular species in world's mariculture and environment pollution bioindicators. Although this mollusk was in a focus of numerous publications, the detoxifying and accumulating role of some of its body parts was insufficiently studied. The goals of the present work were as follows: (a) to study the distribution of potentially toxic elements (Cr, Co, Ni, Cu, Zn, As, Cd, Hg, Pb) in soft tissues, byssus, and shell liquor of this bivalve as a function of sampling location in the Black Sea near the southwestern coast of Crimea and (b) to assess human health risks from consuming soft tissues of mussels cultivated on a mollusk farm. Multivariate analysis showed significant differences in the overall distribution of the elements among the body parts and sampling sites under consideration. The trace element contents in soft tissues of M. galloprovincialis decreased in the following order: Zn &gt; Cu &gt; As &gt; Ni &gt; Pb &gt; Cd &gt; Cr &gt; Co &gt; Hg. The noncarcinogenic hazard index from the cultivated mussel consumption was found to be well below one and the carcinogenic risk index was found within the tolerable limits, which indicate the safety of consuming these mussels for humans. Byssus of M. galloprovincialis was characterized as a perfect indicator of marine environment pollution with Ni, Cu, Pb, Co, and Cr. For the first time, the concentrations of trace elements were determined in the shell liquor and the function of byssus and shell liquor as the systems of trace element excretion from soft tissues was demonstrated.</t>
  </si>
  <si>
    <t>[Chelyadina, Natalya S.; Kapranov, Sergey, V; Popov, Mark A.; Bobko, Nikolay, I] Russian Acad Sci, AO Kovalevsky Inst Biol Southern Seas, Nakhimov Ave 2, Sevastopol 299011, Russia; [Smirnova, Lyudmila L.] Russian Acad Sci, Inst Nat &amp; Tech Syst, Lenin Str 28, Sevastopol 299011, Russia</t>
  </si>
  <si>
    <t>Chelyadina, NS (corresponding author), Russian Acad Sci, AO Kovalevsky Inst Biol Southern Seas, Nakhimov Ave 2, Sevastopol 299011, Russia.</t>
  </si>
  <si>
    <t>chelydina2007@mail.ru</t>
  </si>
  <si>
    <t>Popov, Mikhail/HIR-7175-2022; Kapranov, Sergey/Z-1471-2018</t>
  </si>
  <si>
    <t>Ministry of Science and Higher Education of the Russian Federation [121030300149-0, ....-.19-119031490078-9]</t>
  </si>
  <si>
    <t>Ministry of Science and Higher Education of the Russian Federation</t>
  </si>
  <si>
    <t>This work was supported by the Ministry of Science and Higher Education of the Russian Federation within the governmental research assignments (grant numbers 121030300149-0 and....-.19-119031490078-9).</t>
  </si>
  <si>
    <t>10.1007/s11356-022-20186-1</t>
  </si>
  <si>
    <t>4E4MH</t>
  </si>
  <si>
    <t>WOS:000784277800001</t>
  </si>
  <si>
    <t>De Vittor, C; Relitti, F; Kralj, M; Covelli, S; Emili, A</t>
  </si>
  <si>
    <t>De Vittor, Cinzia; Relitti, Federica; Kralj, Martina; Covelli, Stefano; Emili, Andrea</t>
  </si>
  <si>
    <t>Oxygen, carbon, and nutrient exchanges at the sediment-water interface in the Mar Piccolo of Taranto (Ionian Sea, southern Italy)</t>
  </si>
  <si>
    <t>Benthic fluxes; Nutrients; Sediment-water interface; DOC; DIC; Mar Piccolo of Taranto</t>
  </si>
  <si>
    <t>DISSOLVED ORGANIC-CARBON; GULF-OF-TRIESTE; NORTHERN ADRIATIC SEA; BENTHIC FLUX MEASUREMENTS; GRADO LAGOON; MATTER; METABOLISM; DYNAMICS; ESTUARY; MERCURY</t>
  </si>
  <si>
    <t>In the shallow environment, the nutrient and carbon exchanges at the sediment-water interface contribute significantly to determine the trophic status of the whole water column. The intensity of the allochthonous input in a coastal environment subjected to strong anthropogenic pressures determines an increase in the benthic oxygen demand leading to depressed oxygen levels in the bottom waters. Anoxic conditions resulting from organic enrichment can enhance the exchange of nutrients between sediments and the overlying water. In the present study, carbon and nutrient fluxes at the sediment-water interface were measured at two experimental sites, one highly and one moderately contaminated, as reference point. In situ benthic flux measurements of dissolved species (O-2, DIC, DOC, N-NO3 (-), N-NO2 (-), N-NH4 (+), P-PO4 (3-), Si-Si(OH)(4), H2S) were conducted using benthic chambers. Furthermore, undisturbed sediment cores were collected for analyses of total and organic C, total N, and biopolymeric carbon (carbohydrates, proteins, and lipids) as well as of dissolved species in porewaters and supernatant in order to calculate the diffusive fluxes. The sediments were characterized by suboxic to anoxic conditions with redox values more negative in the highly contaminated site, which was also characterized by higher biopolymeric carbon content (most of all lipids), lower C/N ratios and generally higher diffusive fluxes, which could result in a higher release of contaminants. A great difference was observed between diffusive and in situ benthic fluxes suggesting the enhancing of fluxes by bioturbation and the occurrence of biogeochemically important processes at the sediment-water interface. The multi-contamination of both inorganic and organic pollutants, in the sediments of the Mar Piccolo of Taranto (declared SIN in 1998), potentially transferable to the water column and to the aquatic trophic chain, is of serious concern for its ecological relevance, also considering the widespread fishing and mussel farming activities in the area.</t>
  </si>
  <si>
    <t>[De Vittor, Cinzia; Relitti, Federica; Kralj, Martina] OGS Ist Nazl Oceanog &amp; Geofis Sperimentale, Sez Oceanog, Via A Piccard 54, I-34151 Trieste, Italy; [Covelli, Stefano; Emili, Andrea] Univ Trieste, Dipartimento Matemat &amp; Geosci, Via Weiss 2, I-34128 Trieste, Italy; [Relitti, Federica] Univ Trieste, Dipartimento Sci Vita, Via Licio Giorgieri 5, I-34128 Trieste, Italy; [Covelli, Stefano] CoNISMa Consorzio Nazl Interuniv Sci Mare, Piazzale Flaminio 9, I-00196 Rome, Italy</t>
  </si>
  <si>
    <t>Istituto Nazionale di Oceanografia e di Geofisica Sperimentale; University of Trieste; University of Trieste; CoNISMa</t>
  </si>
  <si>
    <t>De Vittor, C (corresponding author), OGS Ist Nazl Oceanog &amp; Geofis Sperimentale, Sez Oceanog, Via A Piccard 54, I-34151 Trieste, Italy.</t>
  </si>
  <si>
    <t>cdevittor@ogs.trieste.it</t>
  </si>
  <si>
    <t>COVELLI, STEFANO/P-8796-2015; RELITTI, FEDERICA/AAC-3557-2022</t>
  </si>
  <si>
    <t>COVELLI, STEFANO/0000-0002-0038-6658; De Vittor, Cinzia/0000-0001-8552-4396; RELITTI, FEDERICA/0000-0002-0213-2782; Kralj, Martina/0000-0003-1544-5515</t>
  </si>
  <si>
    <t>Project Bandiera RITMARE - La Ricerca Italiana per il Mare; Ministry for Education, University and Research within the National Research Programme; National Research Council</t>
  </si>
  <si>
    <t>Project Bandiera RITMARE - La Ricerca Italiana per il Mare; Ministry for Education, University and Research within the National Research Programme(Ministry of Education, Universities and Research (MIUR)); National Research Council</t>
  </si>
  <si>
    <t>The activities described in this publication were funded by the Project Bandiera RITMARE - La Ricerca Italiana per il Mare coordinated by the National Research Council and funded by the Ministry for Education, University and Research within the National Research Programme 2011-2013. The authors are warmly grateful to Nicola Cardellicchio and the team of the IAMC institute, section of Taranto, for their logistical support and hospitality. Thanks are due to M. Bussi and C. Landucci from DMG Trieste for their help in grain-size and CHN analyses and to T. Cibic for environmental data reported in Table 1. We are also grateful to three anonymous reviewers for their valuable suggestions.</t>
  </si>
  <si>
    <t>10.1007/s11356-015-4999-0</t>
  </si>
  <si>
    <t>WOS:000378817300007</t>
  </si>
  <si>
    <t>Levy, RC; Remer, LA; Martins, JV; Kaufman, YJ; Plana-Fattori, A; Redemann, J; Wenny, B</t>
  </si>
  <si>
    <t>Evaluation of the MODIS aerosol retrievals over ocean and land during CLAMS</t>
  </si>
  <si>
    <t>JOURNAL OF THE ATMOSPHERIC SCIENCES</t>
  </si>
  <si>
    <t>RESOLUTION IMAGING SPECTRORADIOMETER; WATER-VAPOR; ATMOSPHERIC CORRECTION; TROPOSPHERIC AEROSOL; SURFACE REFLECTANCE; SPECTRAL RADIANCES; PRECIPITABLE WATER; OPTICAL-PROPERTIES; SUN PHOTOMETER; AIR-POLLUTION</t>
  </si>
  <si>
    <t>The Chesapeake Lighthouse Aircraft Measurements for Satellites (CLAMS) experiment took place from 10 July to 2 August 2001 in a combined ocean-land region that included the Chesapeake Lighthouse [Clouds and the Earth's Radiant Energy System (CERES) Ocean Validation Experiment (COVE)] and the Wallops Flight Facility (WFF), both along coastal Virginia. This experiment was designed mainly for validating instruments and algorithms aboard the Terra satellite platform, including the Moderate Resolution Imaging Spectroradiometer (MODIS). Over the ocean, MODIS retrieved aerosol optical depths (AODs) at seven wavelengths and an estimate of the aerosol size distribution. Over the land. MODIS retrieved AOD at three wavelengths plus qualitative estimates of the aerosol size. Temporally coincident measurements of aerosol properties were made with a variety of sun photometers from ground sites and airborne sites just above the surface. The set of sun photometers provided unprecedented spectral coverage from visible (VIS) to the solar near-infrared (NIR) and infrared (IR) wavelengths. In this study. AOD and aerosol size retrieved from MODIS is compared with similar measurements from the sun photometers. Over the nearby ocean, the MODIS AOD in the VIS and NIR correlated well with sun-photometer measurements, nearly fitting a one-to-one line on a scatterplot. As one moves from ocean to land, there is a pronounced discontinuity of the MODIS AOD, where MODIS compares poorly to the sun-photometer measurements. Especially in the blue wavelength, MODIS AOD is too high in clean aerosol conditions and too low under larger aerosol loadings. Using the Second Simulation of the Satellite Signal in the Solar Spectrum (6S) radiative code to perform atmospheric correction. the authors find inconsistency, in the surface albedo assumptions used by the MODIS lookup tables. It is demonstrated how the high bias at low aerosol loadings can be corrected. By using updated urban/industrial aerosol climatolog for the MODIS lookup table over land, it is shown that the low bias for larger aerosol loadings can also be corrected. Understanding and improving MODIS retrievals over the East Coast may point to strategies for correction in other locations, thus improving the global quality of MODIS. Improvements in regional aerosol detection could also lead to the use of MODIS for monitoring air pollution.</t>
  </si>
  <si>
    <t>NASA, Goddard Space Flight Ctr, Atmospheres Lab, Greenbelt, MD 20771 USA; Univ Maryland Baltimore Cty, GEST, Baltimore, MD 21201 USA; Bay Area Environm Res Inst, Sonoma, CA USA; NASA, Ames Res Ctr, Moffett Field, CA 94035 USA; SAIC, Hampton, VA USA; NASA, Langley Res Ctr, Hampton, VA 23665 USA</t>
  </si>
  <si>
    <t>National Aeronautics &amp; Space Administration (NASA); NASA Goddard Space Flight Center; University System of Maryland; University of Maryland Baltimore County; National Aeronautics &amp; Space Administration (NASA); NASA Ames Research Center; Science Applications International Corporation (SAIC); National Aeronautics &amp; Space Administration (NASA); NASA Langley Research Center</t>
  </si>
  <si>
    <t>NASA, Goddard Space Flight Ctr, Atmospheres Lab, Code 913, Greenbelt, MD 20771 USA.</t>
  </si>
  <si>
    <t>levy@climate.gsfc.nasa.gov</t>
  </si>
  <si>
    <t>; Levy, Robert/M-7764-2013; Redemann, Jens/B-5423-2019</t>
  </si>
  <si>
    <t>Plana-Fattori, Artemio/0000-0001-8326-7007; Levy, Robert/0000-0002-8933-5303; Redemann, Jens/0000-0002-2404-7984</t>
  </si>
  <si>
    <t>AMER METEOROLOGICAL SOC</t>
  </si>
  <si>
    <t>BOSTON</t>
  </si>
  <si>
    <t>45 BEACON ST, BOSTON, MA 02108-3693 USA</t>
  </si>
  <si>
    <t>0022-4928</t>
  </si>
  <si>
    <t>1520-0469</t>
  </si>
  <si>
    <t>J ATMOS SCI</t>
  </si>
  <si>
    <t>J. Atmos. Sci.</t>
  </si>
  <si>
    <t>10.1175/JAS3391.1</t>
  </si>
  <si>
    <t>Meteorology &amp; Atmospheric Sciences</t>
  </si>
  <si>
    <t>918EL</t>
  </si>
  <si>
    <t>WOS:000228525000006</t>
  </si>
  <si>
    <t>Venkatnarayanan, S; Murthy, PS; Kirubagaran, R; Veeramani, P; Venugopalan, VP</t>
  </si>
  <si>
    <t>Venkatnarayanan, Srinivas; Murthy, P. Sriyutha; Kirubagaran, Ramalingam; Veeramani, P.; Venugopalan, Vayalam P.</t>
  </si>
  <si>
    <t>Response of green mussels (Perna viridis) subjected to chlorination: investigations by valve movement monitoring</t>
  </si>
  <si>
    <t>Biofouling control in CWS; Perna viridis; Pulse and exomotive chlorination; Mosselmonitor((R)); Valve movement</t>
  </si>
  <si>
    <t>MYTILUS-EDULIS; MARINE; GENOTOXICITY; BIOMARKERS; POLLUTION; BEHAVIOR</t>
  </si>
  <si>
    <t>Perna viridis Linnaeus (1758) is a major foulant in the cooling water systems of electric power stations located on the East coast of India. Though chlorination is considered an effective fouling control measure, the strategy may fail in the case of bivalve mussels, due to the ability of the mussels to close their shells and still survive for extended periods of time. In a given power station, continuous low dose (exomotive) chlorination (0.2 +/- 0.1 mg l(-1)) is practiced to control biofouling. Laboratory experiments were carried out to assess the mortality and valve movement response of Perna viridis exposed to chlorine, using a Mosselmonitor(R). All size groups tested showed progressive reduction in valve opening upon chlorination. However, continuous dosing of chlorine concentration as high as 1.0 mg l(-1) was required for sustained and complete valve closure response in this mussel. At lower concentration (0.7 mg l(-1)), the mussels were able to open their shells and feed. Sustained valve closure resulted in physiological stress to the mussels due to reduced feeding, subsequently leading to death. Time to 100% mortality was dependent on the size of the mussels. At 1.0 mg l(-1) chlorine residual, smaller size group (30-50 mm) mussels showed 100% mortality in 79.3 h, while larger groups (50-70 mm and 70-90 mm) took 152 h and 243 h, respectively. Frequency of valve opening was high in smaller size group mussels (30-50 mm), compared with larger groups (70-90 mm). Even though the time taken for killing was size-dependent, frequency of valve opening and time period between successive openings were found to be characteristic of individual mussels. The observations provide new insight into the response of bivalve mussels to continuous chlorination in the context of biofouling control and point to the need to adopt pragmatic strategies to prevent mussel spat settlement rather than killing of adult mussels, thereby reducing environmental burden due to chlorine residuals. Usage of target-specific biocidal strategies (intermittent/pulse dosing) or alternative biocides (chlorine dioxide) may help mitigate green mussel fouling in tropical cooling water systems.</t>
  </si>
  <si>
    <t>[Venkatnarayanan, Srinivas; Murthy, P. Sriyutha; Veeramani, P.] Bhabha Atom Res Ctr, Biofouling &amp; Biofilm Proc Sect, Water &amp; Steam Chem Div, Kalpakkam 603102, Tamil Nadu, India; [Murthy, P. Sriyutha; Venugopalan, Vayalam P.] Homi Bhabha Natl Inst, Training Sch Complex, Mumbai 400094, Maharashtra, India; [Kirubagaran, Ramalingam] Natl Inst Ocean Technol, Marine Biotechnol, Chennai 600103, Tamil Nadu, India; [Venugopalan, Vayalam P.] Bhabha Atom Res Ctr, Biosci Grp, Mumbai, Maharashtra, India</t>
  </si>
  <si>
    <t>Bhabha Atomic Research Center (BARC); Homi Bhabha National Institute; Ministry of Earth Sciences (MoES) - India; National Institute of Ocean Technology (NIOT); Bhabha Atomic Research Center (BARC)</t>
  </si>
  <si>
    <t>Murthy, PS (corresponding author), Bhabha Atom Res Ctr, Biofouling &amp; Biofilm Proc Sect, Water &amp; Steam Chem Div, Kalpakkam 603102, Tamil Nadu, India.</t>
  </si>
  <si>
    <t>sriyuthamurthy@yahoo.in</t>
  </si>
  <si>
    <t>MURTHY, SRIYUTHA/0000-0002-6555-953X</t>
  </si>
  <si>
    <t>NIOT</t>
  </si>
  <si>
    <t>Srinivas Venkatnarayanan was supported financially by NIOT by means of a Senior Research Fellowship.</t>
  </si>
  <si>
    <t>10.1007/s10661-021-09008-y</t>
  </si>
  <si>
    <t>QZ6WA</t>
  </si>
  <si>
    <t>WOS:000630862500001</t>
  </si>
  <si>
    <t>Rzodkiewicz, LD; Annis, ML; Woolnough, DA</t>
  </si>
  <si>
    <t>Rzodkiewicz, Lacey D.; Annis, Mandy L.; Woolnough, Daelyn A.</t>
  </si>
  <si>
    <t>Alterations to unionid transformation during agricultural and urban contaminants of emerging concern exposures</t>
  </si>
  <si>
    <t>Life-stage modelling; Freshwater mussels; Obligate parasite; Conservation</t>
  </si>
  <si>
    <t>FRESH-WATER MUSSELS; FISH HOSTS; BIVALVIA UNIONIDAE; CHRONIC TOXICITY; GLOCHIDIA; GROWTH; METAMORPHOSIS; SURVIVAL; CONSERVATION; RESPONSES</t>
  </si>
  <si>
    <t>Highly imperiled unionids have a complex life cycle including the metamorphosis of an obligate parasite life stage, larval glochidia, to the juvenile stage. Despite the known vulnerabilities of both glochidia and juveniles to pollutants, little is known on how metamorphosis success may be affected by chemical stress. Disruption of the transformation process in which glochidia encyst on the gills of a host fish, could lead to lowered recruitment and population declines. Transformation rates of Lampsilis cardium on host fish Micropterus salmoides were empirically derived from experimental exposures to low, medium, or high concentrations of an agricultural or urban mixture of contaminants of emerging concern (CECs) over two exposure durations. Transformation was characterized by: (1) a zero-inflated Poisson general linear mixed effects model to compare difference in transformation between exposure durations and (2) time response curves to describe the transformation curve using long-term exposure data. Lampsilis cardium transformation was similar between exposure durations. When compared to controls, CEC stress significantly reduced juvenile production (p &lt;&lt; 0.05) except for the agricultural medium treatment and tended to increased encapsulation duration which while statistically insignificant (p = 0.16) may have ecological relevancy. Combining the empirically derived reduction of transformation rates with parameters values from the literature, a Lefkovich stage-based population model predicted strong declines in population size of L. cardium for all treatments if these results hold in nature. Management focus on urban CECs may lead to best conservation efforts though agricultural CECs may also have a concentration dependent impact on transformation and therefore overall recruitment and conservation success.</t>
  </si>
  <si>
    <t>[Rzodkiewicz, Lacey D.; Woolnough, Daelyn A.] Cent Michigan Univ, Dept Biol, 1455 Calumet Ct, Mt Pleasant, MI 48859 USA; [Rzodkiewicz, Lacey D.; Woolnough, Daelyn A.] Cent Michigan Univ, Inst Great Lakes Res, 1455 Calumet Ct, Mt Pleasant, MI 48859 USA; [Annis, Mandy L.] US Fish &amp; Wildlife Serv, Michigan Ecol Serv Field Off, 2651 Coolidge Rd,Suite 101, E Lansing, MI 48823 USA; [Rzodkiewicz, Lacey D.] Univ Pittsburgh, Dept Biol Sci, 4249 Fifth Ave, Pittsburgh, PA 16509 USA</t>
  </si>
  <si>
    <t>Central Michigan University; Central Michigan University; United States Department of the Interior; US Fish &amp; Wildlife Service; Pennsylvania Commonwealth System of Higher Education (PCSHE); University of Pittsburgh</t>
  </si>
  <si>
    <t>Woolnough, DA (corresponding author), Cent Michigan Univ, Dept Biol, 1455 Calumet Ct, Mt Pleasant, MI 48859 USA.;Woolnough, DA (corresponding author), Cent Michigan Univ, Inst Great Lakes Res, 1455 Calumet Ct, Mt Pleasant, MI 48859 USA.</t>
  </si>
  <si>
    <t>wooln1d@cmich.edu</t>
  </si>
  <si>
    <t>Great Lakes Restoration Initiative through the US Fish and Wildlife Service's Contaminants of Emerging Concern Team and Central Michigan University [F17AC00151]</t>
  </si>
  <si>
    <t>Great Lakes Restoration Initiative through the US Fish and Wildlife Service's Contaminants of Emerging Concern Team and Central Michigan University</t>
  </si>
  <si>
    <t>Funding was provided from the Great Lakes Restoration Initiative through the US Fish and Wildlife Service's Contaminants of Emerging Concern Team and Central Michigan University (Grant F17AC00151). The findings and conclusions in this article are those of the authors and do not necessarily represent the views of the US Fish and Wildlife Service or the US Environmental Protection Agency.</t>
  </si>
  <si>
    <t>10.1007/s10646-023-02645-8</t>
  </si>
  <si>
    <t>WOS:000972774700001</t>
  </si>
  <si>
    <t>Valenti, TW; Cherry, DS; Currie, RJ; Neves, RJ; Jones, JW; Mair, R; Kane, CM</t>
  </si>
  <si>
    <t>Valenti, Theodore W.; Cherry, Donald S.; Currie, Rebecca J.; Neves, Richard J.; Jones, Jess W.; Mair, Rachel; Kane, Cynthia M.</t>
  </si>
  <si>
    <t>Chlorine toxicity to early life stages of freshwater mussels (Bivalvia: Unionidae)</t>
  </si>
  <si>
    <t>chlorine; freshwater mussels; toxicity; glochidia; juveniles</t>
  </si>
  <si>
    <t>CORBICULA-FLUMINEA; CLINCH RIVER; VIRGINIA; COMMUNITIES; DERIVATION; CRITERIA; AMMONIA; COPPER</t>
  </si>
  <si>
    <t>Chlorine (Cl) is a highly toxic, widely used halogen disinfectant that is present in point-source pollution discharges from wastewater treatment plants and industrial facilities. The U.S. Environmental Protection Agency freshwater criteria for Cl are 19 mu g total residual Cl (TRC)/L as a maximum 1-h average concentration and 11 mu g TRC/L as a maximum 4-d average; however, toxicological data for unionids were not used in these calculations. To address this void in the data, we conducted acute tests with glochidia from several species and 21-d bioassays with three-month-old Epioblasma capsaeformis and three-, six-, and 12-month-old Villosa iris juveniles. The 24-h lethal concentration 50 values for glochidia were between 70 and 220 mu g TRC/L, which are 2.5 to 37 times higher than those reported in other studies for cladocerans. Significant declines in growth and survivorship were observed in the 21-d test with E. capsaeformis at 20 jig TRC/L. Lowest-observed-adverse-effects concentrations in bioassays with juvenile V. iris were higher (30-60 mu g TRC/L) but showed a significant trend of declining toxicity with increased age. Although endpoints were above water quality criteria, the long life spans of unionids and potential implications of chronic exposure to endangered juvenile mussels still warrant concern.</t>
  </si>
  <si>
    <t>Virginia Polytech Inst &amp; State Univ, Dept Biol, Blacksburg, VA 24061 USA; Roanoke Coll, Dept Biol, Salem, VA 24153 USA; Virginia Polytech Inst &amp; State Univ, Virginia Cooperat Fish &amp; Wildlife Res Unit, US Geol Survey, Blacksburg, VA 24061 USA; US Fish &amp; Wildlife Serv, Gloucester Point, VA 23061 USA; Virginia Polytech Inst &amp; State Univ, Dept Fisheries &amp; Wildlife Sci, Blacksburg, VA 24061 USA</t>
  </si>
  <si>
    <t>Virginia Polytechnic Institute &amp; State University; Virginia Polytechnic Institute &amp; State University; United States Department of the Interior; United States Geological Survey; United States Department of the Interior; US Fish &amp; Wildlife Service; Virginia Polytechnic Institute &amp; State University</t>
  </si>
  <si>
    <t>Valenti, TW (corresponding author), Virginia Polytech Inst &amp; State Univ, Dept Biol, Blacksburg, VA 24061 USA.</t>
  </si>
  <si>
    <t>10.1897/05-527R1.1</t>
  </si>
  <si>
    <t>075UZ</t>
  </si>
  <si>
    <t>WOS:000239912100030</t>
  </si>
  <si>
    <t>Bytnerowicz, A; Badea, O; Barbu, I; Fleischer, P; Fraczek, W; Gancz, V; Godzik, B; Grodzinska, K; Grodzki, W; Karnosky, D; Koren, M; Krywult, M; Krzan, Z; Longauer, R; Mankovska, B; Manning, WJ; McManus, M; Musselman, RC; Novotny, J; Popescu, F; Postelnicu, D; Prus-Glowacki, W; Skawinski, P; Skiba, S; Szaro, R; Tamas, S; Vasile, C</t>
  </si>
  <si>
    <t>New international long-term ecological research on air pollution effects on the Carpathian Mountain forests, Central Europe</t>
  </si>
  <si>
    <t>Conference on Future Directions in Air Quality Research: Ecological Atmospheric Regulatory/Policy/Economic and Educational Issues</t>
  </si>
  <si>
    <t>FEB 12-15, 2001</t>
  </si>
  <si>
    <t>RES TRIANGLE PK, NORTH CAROLINA</t>
  </si>
  <si>
    <t>air quality; ozone; biodiversity; ecology; forests; Carpathian Mountains; Poland; Slovakia; Romania</t>
  </si>
  <si>
    <t>OZONE; AREAS</t>
  </si>
  <si>
    <t>An international cooperative project on distribution of ozone in the Carpathian Mountains, Central Europe was conducted from 1997 to 1999. Results of that project indicated that in large parts of the Carpathian Mountains, concentrations of ozone were elevated and potentially phytotoxic to forest vegetation. That study led to the establishment of new long-term studies on ecological changes in forests and other ecosystems caused by air pollution in the Retezat Mountains, Southern Carpathians, Romania and in the Tatra Mountains, Western Carpathians on the Polish-Slovak border. Both of these important mountain ranges have the status of national parks and are Man &amp; the Biosphere Reserves. In the Retezat Mountains, the primary research objective was to evaluate how air pollution may affect forest health and biodiversity. The main research objective in the Tatra Mountains was to evaluate responses of natural and managed Norway spruce forests to air pollution and other stresses. Ambient concentrations of ozone (O-3), sulfur dioxide (SO2), nitrogen oxides (NOx) as well as forest health and biodiversity changes were monitored on densely distributed research sites. Initial monitoring of pollutants indicated low levels of O-3, SO2, and NOx in the Retezat Mountains, while elevated levels of O-3 and high deposition of atmospheric sulfur (S) and nitrogen (N) have characterized the Tatra Mountains. In the Retezat Mountains, air pollution seems to have little effect on forest health; however, there was concern that over a long time, even low levels of pollution may affect biodiversity of this important ecosystem. In contrast, severe decline of Norway spruce has been observed in the Tatra Mountains. Although bark beetle seems to be the immediate cause of that decline, long-term elevated levels of atmospheric N and S depositions and elevated O-3 could predispose trees to insect attacks and other stresses. European and US scientists studied pollution deposition, soil and plant chemistry, O-3-sensitive plant species, forest insects, and genetic changes in the Retezat and Tatra Mountains. Results of these investigations are presented in a GIS format to allow for a better understanding of the changes and the recommendations for effective management in these two areas. Published by Elsevier Science Ltd.</t>
  </si>
  <si>
    <t>US Forest Serv, USDA, Pacific SW Res Stn, Riverside, CA 92507 USA; Forest Res Inst, Bucharest, Romania; Forest Res Inst, Campulung Moldovenecs, Romania; Tatra NP Res Stn, State Forest, Tatranska Lomnic, Slovakia; Environm Syst Res Inst, Redlands, CA USA; Polish Acad Sci, Inst Bot, Krakow, Poland; Forest Res Inst, Krakow, Poland; Michigan Technol Univ, Houghton, MI 49931 USA; Tatra Natl Pk, Zakopane, Poland; Forestry Res Inst Zvolen, Zvolen, Slovakia; Univ Massachusetts, Amherst, MA 01003 USA; US Forest Serv, USDA, Rocky Mt Res Stn, Hamden, CT USA; Forest Res Inst, Deva, Romania; Geosyst, Bucharest, Romania; Adam Mickiewicz Univ Poznan, Poznan, Poland; Jagiellonian Univ, Krakow, Poland; US Forest Serv, USDA, NW Res Stn, Portland, OR USA; Univ Brasov, Brasov, Romania</t>
  </si>
  <si>
    <t>United States Department of Agriculture (USDA); United States Forest Service; National Research &amp; Development Institute in Forestry Marin Dracea; National Research &amp; Development Institute in Forestry Marin Dracea; Polish Academy of Sciences; Forest Research Institute; University of Agriculture in Krakow; Michigan Technological University; National Forest Center - Slovakia; University of Massachusetts System; University of Massachusetts Amherst; United States Department of Agriculture (USDA); United States Forest Service; National Research &amp; Development Institute in Forestry Marin Dracea; Adam Mickiewicz University; Jagiellonian University; United States Department of Agriculture (USDA); United States Forest Service; Transylvania University of Brasov</t>
  </si>
  <si>
    <t>Bytnerowicz, A (corresponding author), US Forest Serv, USDA, Pacific SW Res Stn, 4955 Canyon Crest Dr, Riverside, CA 92507 USA.</t>
  </si>
  <si>
    <t>Bytnerowicz, Andrzej/A-8017-2013; Longauer, Roman/D-7419-2014; Badea, Nicolae/AAP-9162-2020; Godzik, Barbara/G-7791-2011; Grodzki, Wojciech/R-8170-2018</t>
  </si>
  <si>
    <t>Godzik, Barbara/0000-0003-0953-9697; Ovidiu, BADEA/0000-0003-0898-7551; Grodzki, Wojciech/0000-0003-0623-752X</t>
  </si>
  <si>
    <t>10.1016/S0160-4120(02)00172-1</t>
  </si>
  <si>
    <t>671JP</t>
  </si>
  <si>
    <t>WOS:000182461900031</t>
  </si>
  <si>
    <t>Gedik, K; Atasaral, S</t>
  </si>
  <si>
    <t>Gedik, Kenan; Atasaral, Sebnem</t>
  </si>
  <si>
    <t>The microplastic pattern in Turkish lakes: sediment and bivalve samples from Cildir Lake, Almus Dam Lake, and Kartalkaya Dam Lake</t>
  </si>
  <si>
    <t>TURKISH JOURNAL OF ZOOLOGY</t>
  </si>
  <si>
    <t>Microplastic; mussel; freshwater; Unio; Dreissena; Anodonta</t>
  </si>
  <si>
    <t>MUSSEL MYTILUS-EDULIS; FRESH-WATER; HEAVY-METALS; POLLUTION; IDENTIFICATION; INDICATOR; UK</t>
  </si>
  <si>
    <t>Plastic has become one of the most prominent contaminants in recent decades, posing a major environmental threat with critical implications for seafood safety. Thus, we investigated the abundance and characterization of the microplastics (MPs) in the sediment and bivalves from cildir Lake, Almus Dam Lake, and Kartalkaya Dam Lake in Turkey. The abundance of the MPs ranged from 19-156 MP kg(-1) in the sediments, while 0.75-10.0 MP individual(-1) (indiv.(-1)) in Anodonta sp., 0.16-1.00 MP indiv.(-1) in Dreissena polymorpha, 0.50-2.50 indiv.(-1) in the Unio damescensis was detected. ATR-FTIR was used to identify four distinct polymer types, with polyethylene terephthalate being the most prevalent. Fiber predominated in bivalve samples, whereas fragments in sediment and MPs were often &lt; 500 mu m in length. Our data could serve as a foundation for a frequent monitoring routine in Turkish lakes since bivalves are one of the key vectors of MP contamination in humans.</t>
  </si>
  <si>
    <t>[Gedik, Kenan] Recep Tayyip Erdogan Univ, Vocat Sch Tech Sci, Rize, Turkey; [Atasaral, Sebnem] Karadeniz Tech Univ, Fac Marine Sci, Trabzon, Turkey</t>
  </si>
  <si>
    <t>Gedik, K (corresponding author), Recep Tayyip Erdogan Univ, Vocat Sch Tech Sci, Rize, Turkey.</t>
  </si>
  <si>
    <t>Atasaral, Sebnem/AGP-2684-2022; Gedik, Kenan/HKE-2278-2023</t>
  </si>
  <si>
    <t>1300-0179</t>
  </si>
  <si>
    <t>1303-6114</t>
  </si>
  <si>
    <t>TURK J ZOOL</t>
  </si>
  <si>
    <t>Turk. J. Zool.</t>
  </si>
  <si>
    <t>10.55730/1300-0179.3093</t>
  </si>
  <si>
    <t>4U2HE</t>
  </si>
  <si>
    <t>WOS:000858620600001</t>
  </si>
  <si>
    <t>Bejaoui, S; Michán, C; Telahigue, K; Nechi, S; el Cafsi, M; Soudani, N; Blasco, J; Costa, PM; Alhama, J</t>
  </si>
  <si>
    <t>Bejaoui, Safa; Michan, Carmen; Telahigue, Khaoula; Nechi, Salwa; el Cafsi, Mhamed; Soudani, Nejla; Blasco, Julian; Costa, Pedro M.; Alhama, Jose</t>
  </si>
  <si>
    <t>Metal body burden and tissue oxidative status in the bivalve Venerupis decussata from Tunisian coastal lagoons</t>
  </si>
  <si>
    <t>Clams; Histopathology; Molecular biomarkers; Oxidative stress; Temperature; Trace metals; Transitional waters</t>
  </si>
  <si>
    <t>CLAM RUDITAPES-DECUSSATUS; CRASSOSTREA-VIRGINICA GMELIN; MYTILUS-GALLOPROVINCIALIS; BIOCHEMICAL BIOMARKERS; MEDITERRANEAN LAGOON; INTEGRATED APPROACH; SEASONAL-VARIATION; SEDIMENT QUALITY; CADMIUM EXPOSURE; CARCINUS-MAENAS</t>
  </si>
  <si>
    <t>Coastal transitional waters are exposed to many anthropogenic threats. This study aims to assess the trace metals' pollution status of transitional waters by evaluating its biological effects in the clam Venerupis decussata. Among the studied sites along the Tunisian littoral, South Tunis and Boughrara were the most impacted, since clams from these two lagoons presented significant differences in: (i) trace metal contents, (ii) in-cell hydrogen peroxide, (iii) enzymatic and non-enzymatic defenses, (iv) damage to lipids and proteins, and (v) protein posttranslational modifications. These changes related to evident histopathological traits. PCA showed a clear separation between the digestive gland and gills tissues and illustrated an impact gradient in Tunisian coastal lagoons. Water temperature was revealed as an added natural stressor that, when concurring with high pollution, may jeopardize an ecosystem's health and contribute to the accumulation of hazardous metals in organisms.</t>
  </si>
  <si>
    <t>[Bejaoui, Safa; Michan, Carmen; Alhama, Jose] Univ Cordoba, Dept Bioquim &amp; Biol Mol, Campus Excelencia Int Agroalimentario CeiA3, Campus Rabanales,Edificio Severo Ochoa, E-14071 Cordoba, Spain; [Bejaoui, Safa; el Cafsi, Mhamed; Soudani, Nejla] Univ Tunis El Manar, Fac Sci Tunis, Lab Ecol Biol &amp; Physiol Aquat Organisms, Biol Dept, Tunis 2092, Tunisia; [Telahigue, Khaoula; Nechi, Salwa] Univ Tunis El Manar, CHU Mohamed Taher Maamouri Hosp, Anat &amp; Cytol Serv, Tunis, Tunisia; [Blasco, Julian] CSIC, Dept Ecol &amp; Coastal Management, ICMAN, Campus Rio San Pedro, E-11510 Puerto Real, Cadiz, Spain; [Costa, Pedro M.] Univ Nova Lisboa, Dept Ciencias Vida, UCIBIO Appl Mol Biosci Unit, Fac Ciencias &amp; Tecnol, P-2829516 Caparica, Portugal</t>
  </si>
  <si>
    <t>Universidad de Cordoba; Universite de Tunis-El-Manar; Faculte des Sciences de Tunis (FST); Universite de Tunis-El-Manar; Consejo Superior de Investigaciones Cientificas (CSIC); CSIC - Instituto de Ciencias Marinas de Andalucia (ICMAN); Universidade Nova de Lisboa</t>
  </si>
  <si>
    <t>Alhama, J (corresponding author), Univ Cordoba, Dept Bioquim &amp; Biol Mol, Campus Excelencia Int Agroalimentario CeiA3, Campus Rabanales,Edificio Severo Ochoa, E-14071 Cordoba, Spain.</t>
  </si>
  <si>
    <t>Costa, Pedro M./J-2962-2013; Michan, Carmen/H-6325-2015; Blasco, Julian/A-5319-2008</t>
  </si>
  <si>
    <t>Costa, Pedro M./0000-0002-9072-3522; Michan, Carmen/0000-0003-2921-0987; Blasco, Julian/0000-0002-9750-383X; telahigue, Khaoula/0000-0001-8841-9911</t>
  </si>
  <si>
    <t>Spanish Ministry of Economy and Competitiveness [CTM2016-75908-R-]; Andalusian Plan of Research, Development, and Innovation; University of Cordoba Plan Propio program (Spain) [BIO187]; Tunisian government, Ministry of Higher Education and Scientific Research, University of Tunis EL Manar, Laboratory of Ecology, Biology and Physiology of Aquatic Organisms-EBPAO (Tunisia) [LR18ES41]; Fundacao para a Ciencia e Tecnologia-FCT-MCES [IF/00265/2015]; UCIBIO, Applied Molecular Biosciences Unit (Portugal) [UID/Multi/04378/2019]</t>
  </si>
  <si>
    <t>Spanish Ministry of Economy and Competitiveness(Spanish Government); Andalusian Plan of Research, Development, and Innovation; University of Cordoba Plan Propio program (Spain); Tunisian government, Ministry of Higher Education and Scientific Research, University of Tunis EL Manar, Laboratory of Ecology, Biology and Physiology of Aquatic Organisms-EBPAO (Tunisia); Fundacao para a Ciencia e Tecnologia-FCT-MCES; UCIBIO, Applied Molecular Biosciences Unit (Portugal)</t>
  </si>
  <si>
    <t>This study was supported by the Spanish Ministry of Economy and Competitiveness -CTM2016-75908-R-, by the Andalusian Plan of Research, Development, and Innovation, and by the University of Cordoba Plan Propio program to group BIO187 (Spain). Safa Bejaoui stay in Cordoba was funded by the Tunisian government, Ministry of Higher Education and Scientific Research, University of Tunis EL Manar, Laboratory of Ecology, Biology and Physiology of Aquatic Organisms-EBPAO, LR18ES41-(Tunisia). Pedro M. Costa acknowledges Fundacao para a Ciencia e Tecnologia-FCT-MCES-for the grant IF/00265/2015 and for the support to UCIBIO, Applied Molecular Biosciences Unit -UID/Multi/04378/2019-(Portugal).</t>
  </si>
  <si>
    <t>10.1016/j.marenvres.2020.105000</t>
  </si>
  <si>
    <t>ML2UR</t>
  </si>
  <si>
    <t>WOS:000549328000021</t>
  </si>
  <si>
    <t>Châtel, A; Hamer, B; Jaksic, Z; Vucelic, V; Talarmin, H; Dorange, G; Schröder, HC; Müller, WEG</t>
  </si>
  <si>
    <t>Chatel, A.; Hamer, B.; Jaksic, Z.; Vucelic, V.; Talarmin, H.; Dorange, G.; Schroeder, H. C.; Mueller, W. E. G.</t>
  </si>
  <si>
    <t>Induction of apoptosis in mussel Mytilus galloprovincialis gills by model cytotoxic agents</t>
  </si>
  <si>
    <t>Biomarker; Apoptosis; Bcl-xS; Caspase; DNA damage; Mytilus galloprovincialis</t>
  </si>
  <si>
    <t>POLYCYCLIC AROMATIC-HYDROCARBONS; CYTOCHROME-C RELEASE; TRIBUTYLTIN-INDUCED APOPTOSIS; SPONGE SUBERITES-DOMUNCULA; CELL-DEATH; BCL-X; DNA-DAMAGE; HYDROGEN-PEROXIDE; MARINE CONTAMINATION; COASTAL WATERS</t>
  </si>
  <si>
    <t>Apoptosis signaling pathway was investigated in the marine mussel Mytilus galloprovincialis exposed to various stressors. Analyses were performed in mussels exposed to two major pollutants of the aquatic environment: tributyltin and the water soluble fraction of diesel oil, for 1 h and animals were then maintained in sea water for a recovery period of 6 and 24 h. Apoptosis was evaluated at several levels of the cell signaling cascade by measuring Bcl-xS expression, caspase-3 activity and DNA damage (Fast micromethod(R) and TUNEL techniques). H2O2 was used as a control of apoptosis induction for validation of the assays. Results showed an induction of Bcl-xS expression, a protein implicated in apoptosis, after 1 h exposure to all concentrations of chemicals. Moreover, in the same manner, apoptotic DNA damage was induced with all chemicals tested. Besides, caspase 3 activity was detected after 1 h exposure to low doses of TBT and diesel oil while the high concentrations induced this protein after 6 h. The achieved data were also correlated with our previous study, demonstrating an induction of the mitogen-activated protein kinase (MAPK) activity in the mussel M. galloprovincialis exposed to the same conditions. In conclusion, this study was one of the first characterizing the MAP kinase cell signaling pathway leading to apoptosis in the mussel M. galloprovincialis exposed to chemicals. It showed for the first time that the Bcl-xS protein was present in these mussels as in other species and played a role in apoptosis mediation. Moreover, the main originality of this work was that it showed that two apoptotic pathways might be present in the mussel: a caspase 3-dependent and a caspase 3-independent pathways.</t>
  </si>
  <si>
    <t>[Chatel, A.; Talarmin, H.; Dorange, G.] Univ Bretagne Occidentale, EA Facteurs Nerveux &amp; Struct Tissulaire 4326, F-29609 Brest, France; [Chatel, A.; Schroeder, H. C.; Mueller, W. E. G.] Johannes Gutenberg Univ Mainz, Inst Physiol Chem, D-55099 Mainz, Germany; [Hamer, B.; Jaksic, Z.] Rudjer Boskovic Inst, Ctr Marine Res, Lab Marine Mol Biol, HR-52210 Rovinj, Croatia; [Vucelic, V.] Univ Rijeka, Fac Med, Teaching Inst Publ Hlth, HR-51000 Rijeka, Croatia</t>
  </si>
  <si>
    <t>Universite de Bretagne Occidentale; Johannes Gutenberg University of Mainz; Rudjer Boskovic Institute; University of Rijeka</t>
  </si>
  <si>
    <t>Châtel, A (corresponding author), Univ Bretagne Occidentale, EA Facteurs Nerveux &amp; Struct Tissulaire 4326, 22 Ave Camille Desmoulins, F-29609 Brest, France.</t>
  </si>
  <si>
    <t>amelie.chatel@cemagref.fr</t>
  </si>
  <si>
    <t>Jaksic, Zeljko/A-2932-2012; Müller, W./AAR-8651-2020; Hamer, Bojan/P-2279-2015</t>
  </si>
  <si>
    <t>Jaksic, Zeljko/0000-0002-0882-6929; CHATEL, Amelie/0000-0003-2245-0216; Muller, Werner E.G./0000-0002-8223-3689; Schroder, Heinz C./0000-0003-0992-6427; Hamer, Bojan/0000-0002-3142-8128</t>
  </si>
  <si>
    <t>10.1007/s10646-011-0746-6</t>
  </si>
  <si>
    <t>869FM</t>
  </si>
  <si>
    <t>WOS:000298582500028</t>
  </si>
  <si>
    <t>Zhang, XS; Fang, BX; Wang, TT; Liu, H; Feng, MB; Qin, L; Zhang, R</t>
  </si>
  <si>
    <t>Zhang, Xuesheng; Fang, Bingxin; Wang, Tantan; Liu, Hui; Feng, Mingbao; Qin, Li; Zhang, Rui</t>
  </si>
  <si>
    <t>Tissue-specific bioaccumulation, depuration and metabolism of 4,4′-dichlorodiphenyl sulfide in the freshwater mussel Anodonta woodiana</t>
  </si>
  <si>
    <t>4,4 '-Dichlorodiphenyl sulfide; Anodonta woodiana; Tissue-specific bioaccumulation; Metabolism; Water exposure</t>
  </si>
  <si>
    <t>POLYCHLORINATED DIPHENYL SULFIDES; CARP CYPRINUS-CARPIO; MYTILUS-GALLOPROVINCIALIS; ENVIRONMENTAL-ANALYSIS; YANGTZE-RIVER; TAIHU LAKE; ELIMINATION; ETHERS; PCDPSS; FISH</t>
  </si>
  <si>
    <t>Polychlorinated diphenyl sulfides (PCDPSs) are considered as a class of sulfur-containing dioxin-like pollutants with ubiquitous occurrence in natural waters and potential ecotoxicity to aquatic organisms. However, to date, no information is available regarding the bioaccumulation and biotransformation of PCDPSs in aquatic species. In this study, the uptake and depuration kinetics of 4,4'-dichlorodiphenyl sulfide (4,4'-di-CDPS) in the freshwater mussel Anodonta woodiana were investigated through semi-static exposure. The uptake rates (k(1)), depuration rates (k(2)), biological half-lives (t(1/2)) and tissue-specific bioconcentration factors (BCFs) of 4,4'-di-CDPS in the gill, liver and musde were measured in the range of 0.509-21.734 L d(-1) g(-1) d.w., 0.083-0.221 d(-1), 3.14-835 d and 3.662 x 10(3)-124.979 x 10(3) L kg(-1) l.w., respectively. With the increase in exposure dose, the values of k(1) and BCFs were significantly reduced, indicating that low-dose exposure to 4.4'-di-CDPS could lead to more severe bioaccumulation. Based on the analysis of mass spectra of the extracted liver samples, the structures of four metabolites of 4,4 '-di-CDPS were identified. Moreover, the levels of these metabolites were also quantitatively measured. The proposed metabolic pathways of 4,4'-di-CDPS in mussel liver included sulfur-oxidation, dechlorination and methoxylation. Comparatively, sulfur-oxidation was the predominant metabolic pathway of 4,4'-di-CDPS in the liver of A. woodiana. These results provide valuable data and fill the information gap on the bioaccumulation and metabolism of PCDPSs in freshwater species. (C) 2018 Elsevier B.V. All rights reserved.</t>
  </si>
  <si>
    <t>[Zhang, Xuesheng; Fang, Bingxin; Wang, Tantan] Anhui Univ, Sch Resources &amp; Environm Engn, Hefei 230601, Anhui, Peoples R China; [Liu, Hui] Jiaxing Univ, Coll Biol &amp; Chem Engn, Jiaxing 314001, Zhejiang, Peoples R China; [Feng, Mingbao] Texas A&amp;M Univ, Sch Publ Hlth, Dept Environm &amp; Occupat Hlth, College Stn, TX 77843 USA; [Qin, Li] Chinese Acad Sci, Res Ctr Ecoenvironm Sci, Beijing 100085, Peoples R China; [Zhang, Rui] Jinan Univ, Sch Resources &amp; Environm, Jinan 250022, Shandong, Peoples R China</t>
  </si>
  <si>
    <t>Anhui University; Jiaxing University; Texas A&amp;M University System; Texas A&amp;M University College Station; Texas A&amp;M Health Science Center; Chinese Academy of Sciences; Research Center for Eco-Environmental Sciences (RCEES); University of Jinan</t>
  </si>
  <si>
    <t>Feng, MB (corresponding author), Texas A&amp;M Univ, Sch Publ Hlth, Dept Environm &amp; Occupat Hlth, College Stn, TX 77843 USA.</t>
  </si>
  <si>
    <t>mfeng@tamhsc.edu</t>
  </si>
  <si>
    <t>Feng, Mingbao/R-2627-2019; Zhang, Xuesheng/AAN-8976-2020; Liu, Hui/U-7073-2019</t>
  </si>
  <si>
    <t>Liu, Hui/0000-0002-3121-3311; Feng, Mingbao/0000-0003-4532-2209; Zhang, Rui/0000-0003-4853-6579</t>
  </si>
  <si>
    <t>National Natural Science Foundation of China [21607001, 21607058]; Anhui Provincial Natural Science Foundation [1608085QB45]; Science Research Project of Anhui Education Department [KJ2015A090]; Natural Science Foundation of Shandong Province [ZR2016BB19]; Natural Science Foundation of University of Jinan [XKY1628]</t>
  </si>
  <si>
    <t>National Natural Science Foundation of China(National Natural Science Foundation of China (NSFC)); Anhui Provincial Natural Science Foundation(Natural Science Foundation of Anhui Province); Science Research Project of Anhui Education Department; Natural Science Foundation of Shandong Province(Natural Science Foundation of Shandong Province); Natural Science Foundation of University of Jinan</t>
  </si>
  <si>
    <t>This research was financially supported by the National Natural Science Foundation of China (No. 21607001 and 21607058), the Anhui Provincial Natural Science Foundation (No. 1608085QB45), the Science Research Project of Anhui Education Department (No. KJ2015A090), the Natural Science Foundation of Shandong Province (No. ZR2016BB19) and the Natural Science Foundation of University of Jinan (No. XKY1628).</t>
  </si>
  <si>
    <t>10.1016/j.scitotenv.2018.06.139</t>
  </si>
  <si>
    <t>WOS:000439405600084</t>
  </si>
  <si>
    <t>Xu, S; Cai, SX; Huang, RY; Fu, DB; Fang, L; Zhang, CL; Ma, ZR</t>
  </si>
  <si>
    <t>Xu, Song; Cai, Shaoxu; Huang, Runyu; Fu, Dabao; Fang, Lei; Zhang, Canlin; Ma, Zirong</t>
  </si>
  <si>
    <t>Novel Sustainable Pavement Material: Recycling of Waste Shells as the Filler of Asphalt Mastic</t>
  </si>
  <si>
    <t>ACS SUSTAINABLE CHEMISTRY &amp; ENGINEERING</t>
  </si>
  <si>
    <t>asphalt mastic; shell fillers; antideformationability; layered structure; organic matter</t>
  </si>
  <si>
    <t>ADHESION PROPERTY</t>
  </si>
  <si>
    <t>High-quality limestone, as a nonrenewable resource, is decreasing with the maintenance and construction of asphalt pavements. Meanwhile, due to the growth of the shell farming industry, a great amount of waste shells is produced annually, which are mainly disposed in the manner of stacking, landfill, or discarding into the sea directly, leading to serious environmental pollution. This research used mussel, pectinid, oncomelania, and oyster as raw materials to prepare four shell fillers, aiming at substituting nonrenewable mineral resources and recycling the waste shells at the same time. The asphalt mastics were prepared by mixing the base and SBS-modified asphalt with four shell fillers under different filler-asphalt ratios, respectively, and the asphalt mastics with limestone were adopted as control groups. The physical and rheological properties of five asphalt mastics were evaluated, and the chemical composition and the microstructure of five fillers were measured to investigate the acting mechanism between the fillers and asphalt. Results indicate that shells have lower density, hydrophilicity coefficient, and higher specific surface area than limestone, exhibiting a better compatibility with the asphalt. For the properties, in both base and modified asphalt mastics, the mastics with pectinid and oyster shells exhibit the lowest penetration and phase angle, while their complex modulus and softening point are the highest among the five types of mastics, indicating the better antideformation ability. Moreover, with the increasing filler-asphalt ratio, the antideformation ability of the base asphalt mastic increases gradually, while the SBS-modified asphalt mastic exhibits a more complex behavior. In addition, analysis results of fillers demonstrate that the looser structure of shells is attributed to the interlaced layered structure of aragonite and calcite, leading to a larger contact area between the shell and asphalt. Besides, there is some organic matter present in the shell, which plays a role like organic modification, improving the compatibility between the shell and asphalt. The larger contact area and the presence of organic matter in the shell show a synergistic effect in improving the road performance of asphalt mastic. This work verifies the feasibility to replace the conventional mineral fillers with shell fillers, which is beneficial to recycle the waste shell and reduce the consumption of nonrenewable mineral resources.</t>
  </si>
  <si>
    <t>[Xu, Song; Cai, Shaoxu; Fang, Lei; Zhang, Canlin] Fuzhou Univ, Coll Civil Engn, Fuzhou 350108, Peoples R China; [Huang, Runyu] Fuzhou Univ, Sch Adv Mfg, Quanzhou 362251, Peoples R China; [Fu, Dabao] Fujian Prov Transportat Res Inst Co Ltd, Fuzhou 350108, Peoples R China; [Ma, Zirong] Fujian Prov Transportat Res Inst Co Ltd, Fuzhou 350108, Peoples R China</t>
  </si>
  <si>
    <t>Xu, S (corresponding author), Fuzhou Univ, Coll Civil Engn, Fuzhou 350108, Peoples R China.;Fu, DB (corresponding author), Fujian Prov Transportat Res Inst Co Ltd, Fuzhou 350108, Peoples R China.</t>
  </si>
  <si>
    <t>xusongxxss@sina.com; fzufdb@163.com</t>
  </si>
  <si>
    <t>Xu, Song/AAA-4019-2019; Xu, Song/H-1119-2015</t>
  </si>
  <si>
    <t>Xu, Song/0000-0002-8557-055X</t>
  </si>
  <si>
    <t>National Natural Science Foundation of China [52208411, 52378456, 52278446]; Natural Science Foundation of Fujian Province [2023J01061]</t>
  </si>
  <si>
    <t>National Natural Science Foundation of China(National Natural Science Foundation of China (NSFC)); Natural Science Foundation of Fujian Province(Natural Science Foundation of Fujian Province)</t>
  </si>
  <si>
    <t>This work was supported by the National Natural Science Foundation of China (no. 52278446), Natural Science Foundation of Fujian Province (no.2023J01061), and National Natural Science Foundation of China (nos. 52208411 and 52378456). The authors gratefully acknowledge their financial support.</t>
  </si>
  <si>
    <t>2168-0485</t>
  </si>
  <si>
    <t>ACS SUSTAIN CHEM ENG</t>
  </si>
  <si>
    <t>ACS Sustain. Chem. Eng.</t>
  </si>
  <si>
    <t>AUG 21</t>
  </si>
  <si>
    <t>10.1021/acssuschemeng.4c01179</t>
  </si>
  <si>
    <t>Chemistry, Multidisciplinary; Green &amp; Sustainable Science &amp; Technology; Engineering, Chemical</t>
  </si>
  <si>
    <t>Chemistry; Science &amp; Technology - Other Topics; Engineering</t>
  </si>
  <si>
    <t>E6R5E</t>
  </si>
  <si>
    <t>WOS:001296008300001</t>
  </si>
  <si>
    <t>MARTINEZ, PG; WINSTON, GW; METASHDICKEY, C; OHARA, SCM; LIVINGSTONE, DR</t>
  </si>
  <si>
    <t>NITROFURANTOIN-STIMULATED REACTIVE OXYGEN SPECIES PRODUCTION AND GENOTOXICITY IN DIGESTIVE GLAND MICROSOMES AND CYTOSOL OF THE COMMON MUSSEL (MYTILUS-EDULIS-L)</t>
  </si>
  <si>
    <t>TOXICOLOGY AND APPLIED PHARMACOLOGY</t>
  </si>
  <si>
    <t>FREE-RADICALS; DNA DAMAGE; OXYRADICAL PRODUCTION; OXIDATIVE STRESS; CARCINOGENESIS; MECHANISMS; TOXICITY; IRON; INVIVO; 1-NITROPYRENE</t>
  </si>
  <si>
    <t>The ability of nitrofurantoin (NF) to produce reactive oxygen species (ROS) was investigated in subcellular fractions of digestive gland of the mussel Mytilus edulis in terms of oxygen consumption and the formation of superoxide anion radical (O-2(-)) (measured as SOD-sensitive cytochrome c reduction or SOD-sensitive (OH)-O-. production), H2O2 (effects of catalase), and hydroxyl radical ((OH)-O-.) (iron/EDTA-mediated oxidation of KMBA to ethylene). Additionally, the genotoxic effects of NF were examined using the Salmonella typhimurium umu mutagenicity assay. Microsomal NAD(P)H-dependent oxygen consumption was stimulated by NF, leading to the formation of H2O2. Stimulation of microsomal O-2(-) production by NF was evident for NADH but not NADPH, confirming redox cycling at least with the former coenzyme. No stimulation of O-2(-) production was obvious for cytosolic fraction with either coenzyme. NF stimulated microsomal NAD(P)H-dependent (OH)-O-. production; the rates of (OH)-O-. production were greater for NADH than NADPH; and the (OH)-O-. was indicated to be formed, at least in part, by an iron-catalyzed Haber-Weiss reaction. A role was indicated for a free radical driven Fenton reaction in the NF-stimulated microsomal production of (OH)-O-. from NADPH. The production of mutagenic species from NF was observed for cytosol but not for microsomes, and the former effects were greater for NADH than NADPH. Overall, the NAD(P)H-dependent microsomal generation of ROS, and the lack of correlation of ROS production with mutagenicity, are considered indicative of the potential of digestive gland to metabolize NF by both one-electron and two-electron reductive pathways. From this and other studies, enhanced ROS production by NF and other redox cycling xenobiotics is indicated to be a widespread phenomenon in aquatic organisms and a potential mechanism of pollutant-mediated toxicity. (C) 1995 Academic Press,Inc.</t>
  </si>
  <si>
    <t>NERC, PLYMOUTH MARINE LAB, PLYMOUTH PL1 2PB, DEVON, ENGLAND; LOUISIANA STATE UNIV, DEPT BIOCHEM, BATON ROUGE, LA 70803 USA; UNIV SANTIAGO DE COMPOSTELA, FAC PHARM, DEPT BIOCHEM, E-15706 SANTIAGO, SPAIN</t>
  </si>
  <si>
    <t>Plymouth Marine Laboratory; UK Research &amp; Innovation (UKRI); Natural Environment Research Council (NERC); Louisiana State University System; Louisiana State University; Universidade de Santiago de Compostela</t>
  </si>
  <si>
    <t>0041-008X</t>
  </si>
  <si>
    <t>1096-0333</t>
  </si>
  <si>
    <t>TOXICOL APPL PHARM</t>
  </si>
  <si>
    <t>Toxicol. Appl. Pharmacol.</t>
  </si>
  <si>
    <t>10.1006/taap.1995.1076</t>
  </si>
  <si>
    <t>Pharmacology &amp; Pharmacy; Toxicology</t>
  </si>
  <si>
    <t>QU176</t>
  </si>
  <si>
    <t>WOS:A1995QU17600017</t>
  </si>
  <si>
    <t>Wei, SS; Sun, BY; Liu, CH; Sokolova, I; Waiho, K; Fang, JKH; Song, HT; Shi, JH; Shang, YY; Xie, Z; Hu, MH; Wang, YJ</t>
  </si>
  <si>
    <t>Wei, Shuaishuai; Sun, Bingyan; Liu, Chunhua; Sokolova, Inna; Waiho, Khor; Fang, James K. H.; Song, Hanting; Shi, Jianhang; Shang, Yueyong; Xie, Zhe; Hu, Menghong; Wang, Youji</t>
  </si>
  <si>
    <t>Nano-TiO2 aggravates the adverse effect of pentachlorophenol on antioxidant and immune response in anti-predatory mussels</t>
  </si>
  <si>
    <t>Mytilus coruscus; Portunus trituberculatus; Pentachlorophenol; n-TiO 2; Antioxidant responses</t>
  </si>
  <si>
    <t>INTEGRATED BIOMARKER RESPONSE; PREDATOR-PREY INTERACTIONS; TIO2 NANOPARTICLES; OXIDATIVE-STRESS; MYTILUS-EDULIS; NONSPECIFIC IMMUNE; ENGINEERED NANOMATERIALS; HEMOCYTE RESPONSES; TITANIUM-DIOXIDE; CHEMICAL ECOLOGY</t>
  </si>
  <si>
    <t>Nano-TiO2 can act as a vector to organic compounds, such as pentachlorophenol (PCP) posing a potential threat to the marine ecosystems. Studies showed that nano pollutant toxicity can be modulated by abiotic factors, but little is known about the potential influence of biotic stressors (such as predators) on the physiological responses to pollutants in marine organisms. We explored the effects of n-TiO2 and PCP on the mussel Mytilus coruscus in the presence of its natural predator, the swimming crab Portunus trituberculatus. Exposure to n-TiO2, PCP, and predation risk showed interactive effects on antioxidant and immune parameters of the mussels. Elevated activities of catalase (CAT), glutathione peroxidase (GPX), acid phosphatase (ACP) and alkaline phosphatase (AKP), suppressed activity of superoxide dismutase (SOD), lower levels of glutathione (GSH) and increased malondialdehyde (MDA) levels indicated dysregulation of the antioxidant system and immune stress induced by single PCP or n-TiO2 exposure. Integrated biomarker (IBR) response values showed the effect of PCP was concentration dependent. Of the two used n-TiO2 sizes (25 and 100 nm), larger particles induced higher antioxidant and immune disturbances indicating higher toxicity possibly due to higher bioavailability. Compared to single PCP exposure, the combination of n-TiO2 and PCP enhanced the imbalance of SOD/CAT and GSH/GPX and led to elevated oxidative lesions and activation of immune-related enzymes. Overall, the combined impacts of pollutants and biotic stress exhibited a greater magnitude of adverse effects on antioxidant defense and immune parameters in mussels. The toxicological effects of PCP were exacerbated in the presence of n-TiO2, and the deleterious impact of these stressors was further amplified under predator-induced risk after prolonged (28 days) exposure. However, the underlying physiological regulatory mechanisms governing the interplay of these stressors and predatory cues on mussels remain elusive, warranting further investigation.</t>
  </si>
  <si>
    <t>[Wei, Shuaishuai; Sun, Bingyan; Liu, Chunhua; Song, Hanting; Shi, Jianhang; Shang, Yueyong; Xie, Zhe; Hu, Menghong; Wang, Youji] Shanghai Ocean Univ, Int Res Ctr Marine Biosci, Minist Sci &amp; Technol, Shanghai 201306, Peoples R China; [Wei, Shuaishuai; Sun, Bingyan; Liu, Chunhua; Song, Hanting; Shi, Jianhang; Shang, Yueyong; Xie, Zhe; Hu, Menghong; Wang, Youji] Shanghai Ocean Univ, Key Lab Explorat &amp; Utilizat Aquat Genet Resources, Minist Educ, Shanghai 201306, Peoples R China; [Waiho, Khor] Univ Malaysia Terengganu, Higher Inst Ctr Excellence HICoE, Inst Trop Aquaculture &amp; Fisheries, Terengganu, Malaysia; [Fang, James K. H.] Hong Kong Polytech Univ, Dept Food Sci &amp; Nutr, Hung Hom, Hong Kong, Peoples R China; [Sokolova, Inna] Univ Rostock, Inst Biol Sci, Dept Marine Biol, Rostock, Germany</t>
  </si>
  <si>
    <t>Shanghai Ocean University; Shanghai Ocean University; Universiti Malaysia Terengganu; Hong Kong Polytechnic University; University of Rostock</t>
  </si>
  <si>
    <t>WANG, Youji/B-8086-2011; sun, bingyan/LCT-6693-2024; Shang, Yueyong/HTL-4592-2023; Waiho, Khor/W-6655-2019; Liu, Chunhua/KIC-3397-2024; Fang, James/H-2088-2017; xie, zhe/IVV-5513-2023</t>
  </si>
  <si>
    <t>National Natural Science Foundation of China [42176144]; Shanghai Dawning Pro- ject [20SG47]</t>
  </si>
  <si>
    <t>National Natural Science Foundation of China(National Natural Science Foundation of China (NSFC)); Shanghai Dawning Pro- ject</t>
  </si>
  <si>
    <t>Acknowledgements This research was supported by the grants from the National Natural Science Foundation of China (42176144) and the Shanghai Dawning Pro- ject (20SG47) .</t>
  </si>
  <si>
    <t>10.1016/j.scitotenv.2023.164836</t>
  </si>
  <si>
    <t>M8TA7</t>
  </si>
  <si>
    <t>WOS:001032873500001</t>
  </si>
  <si>
    <t>Lukaszewska, AS; Lawicki, L; Engel, J; Drewniak, E; Ciezak, K; Marchowski, D</t>
  </si>
  <si>
    <t>Lukaszewska, Agnieszka Szlauer-; Lawicki, Lukasz; Engel, Jacek; Drewniak, Ewa; Ciezak, Karol; Marchowski, Dominik</t>
  </si>
  <si>
    <t>Quantifying a mass mortality event in freshwater wildlife within the Lower Odra River: Insights from a large European river</t>
  </si>
  <si>
    <t>Bivalvia; Gastropoda; Fish; Prymnesium parvum; Golden algae; Ecosystem collapse; Ecosystem imbalance; River pollution; Ecological disaster; Mass mortality; River ecosystem; Invasive species</t>
  </si>
  <si>
    <t>ECOSYSTEM; POLAND; CLASSIFICATION; POPULATION; UNIONIDAE; MUSSELS</t>
  </si>
  <si>
    <t>In the summer of 2022, the River Odra in Europe witnessed a significant ecological disaster, leading to an unprecedented mass mortality among fish, bivalves, and water snails. The disaster was attributed to toxins released by the haptophyte golden algae, Prymnesium parvum. This study primarily focused on the river's lower section, where the disaster's impacts were exacerbated by the downstream flow of deceased organisms. The Unionidae mussels' mortality rate in this section was estimated at 65 million individuals, marking an 88 % decline in their population. The native mussel, Anodonta anatina, saw the steepest decline at 95 %, while the invasive Sinanodonta woodiana decreased by 15 %. Additionally, a minimum of 147 million dead water snails, predominantly Viviparus viviparus, were found ashore, indicating an 85 % population decline. An estimated 3.3 million fish, predominantly ruffe (Gymnocephalus cernua), bream (Abramis brama), and perch (Perca fluviatilis), were found deceased along the lower Odra, amounting to a biomass of 1025 tons. Across the entire 560 km affected stretch of the river, the estimated fish mortality was 1650 tons, a 60 % decline from pre-disaster levels. The swift deterioration of the river's ecosystem underscores the need for further studies on its adaptive capacity and potential recovery.</t>
  </si>
  <si>
    <t>[Lukaszewska, Agnieszka Szlauer-] Univ Szczecin, Inst Marine &amp; Environm Sci, Szczecin, Poland; [Lawicki, Lukasz] EcoExpert, Szczecin, Poland; [Engel, Jacek] Greenmind Fdn, Warsaw, Poland; [Engel, Jacek; Drewniak, Ewa; Ciezak, Karol] Save Rivers Coalit, Lodz, Poland; [Drewniak, Ewa] Naturalist Club, Owczary, Poland; [Ciezak, Karol] Soc Earth, Oswiecim, Poland; [Marchowski, Dominik] Polish Acad Sci, Museum &amp; Inst Zool, Ornithol Stn, Ul Nadwislanska 108, PL-80680 Gdansk, Poland</t>
  </si>
  <si>
    <t>University of Szczecin; Polish Academy of Sciences; Museum &amp; Institute of Zoology of the Polish Academy of Sciences</t>
  </si>
  <si>
    <t>Marchowski, D (corresponding author), Polish Acad Sci, Museum &amp; Inst Zool, Ornithol Stn, Ul Nadwislanska 108, PL-80680 Gdansk, Poland.</t>
  </si>
  <si>
    <t>dmarchowski@miiz.waw.pl</t>
  </si>
  <si>
    <t>Marchowski, Dominik/ABC-7494-2021; Marchowski, Dominik/M-8184-2018</t>
  </si>
  <si>
    <t>Lawicki, Lukasz/0000-0002-9829-0151; Marchowski, Dominik/0000-0001-7508-9466</t>
  </si>
  <si>
    <t>NGO</t>
  </si>
  <si>
    <t>The research was carried out as part of the statutory activities of the Institute of Marine and Environmental Sciences, University of Szczecin, Szczecin, Poland and the Museum and Institute of Zoology of the Polish Academy of Sciences, Poland. Field studies were co-funded by NGO members of the Save the Rivers Coalition: Naturalist Club and Greenmind Foundation.</t>
  </si>
  <si>
    <t>10.1016/j.scitotenv.2023.167898</t>
  </si>
  <si>
    <t>Y1JL7</t>
  </si>
  <si>
    <t>WOS:001102899400001</t>
  </si>
  <si>
    <t>Aillal, M; Khazri, A; Al-Hoshani, N; Boufahja, F; Beyrem, H; Lafdal, MY</t>
  </si>
  <si>
    <t>Aillal, Melainine; Khazri, Abdelhafidh; Al-Hoshani, Nawal; Boufahja, Fehmi; Beyrem, Hamouda; Lafdal, Mohamed Yahya</t>
  </si>
  <si>
    <t>Are iron ore microparticles toxic for the European clam Ruditapes decussatus? Response elements from biomarker activities and in silico modeling</t>
  </si>
  <si>
    <t>Ruditapes decussatus; Bioindicators; Biomarkers; Bioavailability; Microparticles; Iron ore</t>
  </si>
  <si>
    <t>OXIDATIVE STRESS; METAL CONTAMINATION; HEAVY-METALS; FOOD-CHAIN; EXPOSURE; SUBMARINE; ZINC; ACETYLCHOLINESTERASE; NANOPARTICLES; POLLUTION</t>
  </si>
  <si>
    <t>Inevitably, high concentrations of iron, the most widely produced ore globally, can be found in aquatic environments. To assess the toxicity of iron on aquatic organisms, Ruditapes decussatus specimens were subjected to microparticles derived from two types of iron ore (hematite and magnetite) at four different concentrations (0.5, 1, 1.5, and 5 g/L). The findings revealed that both types of iron ore were absorbed by clams in a concentration-dependent manner. Biomarkers analysis demonstrated significant and organspecific impacts on the health of the clams caused by these microparticles, which was further supported by computational analyses on bioavailability. Within seven days of exposure, changes were observed in the activities of several enzymes, including catalase, acetylcholinesterase, and glutathione S-transferases, as well as in the rate of lipid peroxidation in both the digestive gland and gills. This study provides an environmental perspective on the toxicological effects of iron ore microparticles. (c) 2023 The Author(s). Published by Elsevier B.V. on behalf of King Saud University. This is an open access article under the CC BY-NC-ND license (http://creativecommons.org/licenses/by-nc-nd/4.0/).</t>
  </si>
  <si>
    <t>[Aillal, Melainine; Lafdal, Mohamed Yahya] Univ Nouakchott, Fac Sci &amp; Technol, New Univ Campus,BP 5026, Nouakchott, Mauritania; [Khazri, Abdelhafidh; Beyrem, Hamouda] Univ Carthage, Fac Sci Bizerte, Coastal Ecol Unit, Lab Environm Biomonitoring, Zarzouna, Tunisia; [Al-Hoshani, Nawal] Princess Nourah bint Abdulrahman Univ, Coll Sci, Dept Biol, POB 84428, Riyadh 11671, Saudi Arabia; [Boufahja, Fehmi] Imam Mohammad Ibn Saud Islamic Univ IMSIU, Coll Sci, Biol Dept, Riyadh 11623, Saudi Arabia</t>
  </si>
  <si>
    <t>University of Nouakchott; Universite de Carthage; Princess Nourah bint Abdulrahman University; Imam Mohammad Ibn Saud Islamic University (IMSIU)</t>
  </si>
  <si>
    <t>melainineaillal@una.mr; khazri.abdzlhafidh@fsbu-carthage.tn; nialhoshani@pnu.edu.sa; faboufahja@imamu.edu.sa; hamouda.beyrem@fsb.ucar.tn; lafdal@environnement.gov.mr</t>
  </si>
  <si>
    <t>10.1016/j.sjbs.2023.103718</t>
  </si>
  <si>
    <t>N7GO5</t>
  </si>
  <si>
    <t>WOS:001038654100001</t>
  </si>
  <si>
    <t>Sures, B; Zimmermann, S; Messerschmidt, J; von Bohlen, A; Alt, F</t>
  </si>
  <si>
    <t>First report on the uptake of automobile catalyst emitted palladium by European eels (Anguilla anguilla) following experimental exposure to road dust</t>
  </si>
  <si>
    <t>palladium (Pd); platinum-group-metals (PGM); bioavailability; European eels (Anguilla anguilla)</t>
  </si>
  <si>
    <t>PARATENUISENTIS-AMBIGUUS ACANTHOCEPHALA; PLATINUM-GROUP ELEMENTS; X-RAY-FLUORESCENCE; ENVIRONMENTAL-SAMPLES; DREISSENA-POLYMORPHA; ZEBRA-MUSSEL; FISH; HOST; BIOAVAILABILITY; PARASITES</t>
  </si>
  <si>
    <t>Following the introduction of automobile catalysts in the middle of the 1980s in Germany there is an increasing emission of the platinum-group-metals platinum, palladium (Pd) and rhodium. Still, it remains unclear if these metals are bioavailable for aquatic animals and to which extent they become accumulated by the aquatic biosphere. Because of analytical problems in detecting Pd in small biological samples the present investigation concentrates on the bioavailability of this metal. To answer the question of a Pd uptake by aquatic organisms experimental studies were conducted with European eels maintained in water containing road dust at a concentration of 10 kg/100 l. Following an exposure period of four weeks, samples of liver and kidney were analysed by total-reflection X-ray fluorescence analysis after co-precipitation of Pd with mercury. These experiments revealed an uptake of traffic related Pd by European eels which showed a mean liver Pd concentration of 0.18 +/-0.05 ng/g (wet wt.), whereas the Pd concentration in the kidney ranged below the detection limit. Thus, in this study we can demonstrate for the first time that automobile catalyst emitted Pd is bioavailable for aquatic animals. (C) 2001 Elsevier Science Ltd. All rights reserved.</t>
  </si>
  <si>
    <t>Univ Karlsruhe, Zool Inst Okol 1, D-76128 Karlsruhe, Germany; Inst Spektrochem &amp; Angew Spektroskopie, D-44139 Dortmund, Germany</t>
  </si>
  <si>
    <t>Sures, B (corresponding author), Univ Karlsruhe, Zool Inst Okol 1, Kaiserstr 12,Geb 30-43, D-76128 Karlsruhe, Germany.</t>
  </si>
  <si>
    <t>Sures, Bernd/B-6652-2013; von Bohlen, Alex/C-2450-2008</t>
  </si>
  <si>
    <t>von Bohlen, Alex/0000-0002-1572-6176; Sures, Bernd/0000-0001-6865-6186</t>
  </si>
  <si>
    <t>10.1016/S0269-7491(00)00185-8</t>
  </si>
  <si>
    <t>442EA</t>
  </si>
  <si>
    <t>WOS:000169271200011</t>
  </si>
  <si>
    <t>Culha, ST; Dereli, H; Karaduman, FR; Culha, M</t>
  </si>
  <si>
    <t>Culha, Saniye Turk; Dereli, Hakki; Karaduman, Fatma Rabia; Culha, Mehmet</t>
  </si>
  <si>
    <t>Assessment of trace metal contamination in the sea cucumber (Holothuria tubulosa) and sediments from the Dardanelles Strait (Turkey)</t>
  </si>
  <si>
    <t>Sea cucumber; Holothuria tubulosa; Trace metals; Sediment; Dardanelles Strait; Marmara Sea</t>
  </si>
  <si>
    <t>MUSSEL MYTILUS-GALLOPROVINCIALIS; HEAVY-METALS; MEDITERRANEAN SEA; SURFACE SEDIMENTS; COASTAL WATERS; ELEMENT CONCENTRATIONS; GULF; BAY; ECHINODERMATA; POLLUTION</t>
  </si>
  <si>
    <t>This study was performed to determine the concentrations of some trace metals (Cd, Cu, Pb, Ni, Zn, and Fe) in Holothuria tubuosa (Gmelin, 1788) belonging to Echinoderm species and in sediments that they live at three different stations (Gelibolu, Umur Bey/Lapseki, and Dardanos) on Dardanelles Strait between April 2013 and March 2014. The mean trace metal concentrations determined in H. tubulosa and sediment were as follows: Cd 0.18 mg/kg, Cu 2.43 mg/kg, Pb 2.09 mg/kg, Ni 14.58 mg/kg, Zn 16.86 mg/kg, and Fe 73.46 mg/kg and Cd 0.70 mg/kg, Cu 5.03 mg/kg, Pb 14.57 mg/kg, Ni 27.15 mg/kg, Zn 54.52 mg/kg, and Fe 3779.9 mg/kg, respectively. It was detected that the statistical difference between trace metals determined seasonally in muscle tissue of H. tubulosa was significant (p &gt; 0.05). As a result of the study, it was detected that H. tubulosa is a bioindicator species in determining Ni trace metal in sediment. The results were compared to the limit values of National and International Food Safety, and it was detected that Cd and Ni concentrations measured in sediment were above LEL of Ni and Cd concentrations according to Sediment Quality Guidelines.</t>
  </si>
  <si>
    <t>[Culha, Saniye Turk; Dereli, Hakki; Karaduman, Fatma Rabia; Culha, Mehmet] Izmir Katip Celebi Univ, Fac Fisheries, TR-35620 Izmir, Turkey</t>
  </si>
  <si>
    <t>Izmir Katip Celebi University</t>
  </si>
  <si>
    <t>Culha, ST (corresponding author), Izmir Katip Celebi Univ, Fac Fisheries, TR-35620 Izmir, Turkey.</t>
  </si>
  <si>
    <t>Culha, Mehmet/GLS-8374-2022; Dereli, Hakkı/AAH-7460-2019; Dereli, Hakki/P-2983-2016; Turk Culha, Saniye/O-6396-2016</t>
  </si>
  <si>
    <t>Dereli, Hakki/0000-0002-1240-8922; KARADUMAN, Fatma Rabia/0000-0001-7317-3445; Turk Culha, Saniye/0000-0003-0380-0858</t>
  </si>
  <si>
    <t>TUBITAK [113Y003]</t>
  </si>
  <si>
    <t>TUBITAK(Turkiye Bilimsel ve Teknolojik Arastirma Kurumu (TUBITAK))</t>
  </si>
  <si>
    <t>This study was supported by TUBITAK with project number 113Y003. We would like to thank them for their financial aid.</t>
  </si>
  <si>
    <t>10.1007/s11356-016-6152-0</t>
  </si>
  <si>
    <t>WOS:000377476700015</t>
  </si>
  <si>
    <t>Coppola, F; Almeida, A; Henriques, B; Soares, AMVM; Figueira, E; Pereira, E; Freitas, R</t>
  </si>
  <si>
    <t>Coppola, Francesca; Almeida, Angela; Henriques, Bruno; Soares, Amadeu M. V. M.; Figueira, Etelvina; Pereira, Eduarda; Freitas, Rosa</t>
  </si>
  <si>
    <t>Biochemical responses and accumulation patterns of Mytilus galloprovincialis exposed to thermal stress and Arsenic contamination</t>
  </si>
  <si>
    <t>Climate change; Metalloids; Bioaccumulation; Oxidative stress; Metabolism; Mussels</t>
  </si>
  <si>
    <t>ANTIOXIDANT ENZYME-ACTIVITIES; ELECTRON-TRANSPORT SYSTEM; OXIDATIVE STRESS; RUDITAPES-PHILIPPINARUM; LIPID-PEROXIDATION; COASTAL AREAS; HEAVY-METALS; SEAWATER ACIDIFICATION; MULTIPLE STRESSORS; CERASTODERMA-EDULE</t>
  </si>
  <si>
    <t>Organisms in marine systems are exposed to multiple stressors that create a range of associated environmental and ecotoxicological risks. Examples of stressors include alterations related to climate change, such as temperature increase, and the exposure to pollutants arising from human activities. The present study evaluated the impacts of Arsenic exposure (1 mg/L) and warming (21 degrees C) in Mytilus galloprovincialis, acting alone and in combination. Our results demonstrated that both Arsenic exposure and warming induced oxidative stress and reduced mussels metabolism, with changes becoming more prominent with the exposure time and when mussels were exposed to both stressors in combination. Furthermore, results obtained showed higher As accumulation in organisms exposed to warming treatments. The present study showed that under warming scenarios, the negative impacts induced by As may be enhanced in ecologically and economically relevant bivalves, with potential impacts on population stocks due to increased sensitivity to pollutants, which may eventually result in biodiversity loss and socio-economic impacts.</t>
  </si>
  <si>
    <t>[Coppola, Francesca; Almeida, Angela; Soares, Amadeu M. V. M.; Figueira, Etelvina; Freitas, Rosa] Univ Aveiro, Dept Biol, Campus Univ Santiago, P-3810193 Aveiro, Portugal; [Coppola, Francesca; Almeida, Angela; Henriques, Bruno; Soares, Amadeu M. V. M.; Figueira, Etelvina; Pereira, Eduarda; Freitas, Rosa] Univ Aveiro, CESAM, P-3810193 Aveiro, Portugal; [Henriques, Bruno; Pereira, Eduarda] Univ Aveiro, Dept Quim, P-3810193 Aveiro, Portugal; [Henriques, Bruno] Univ Porto, CIIMAR, P-4050123 Oporto, Portugal</t>
  </si>
  <si>
    <t>Pereira, Eduarda/A-5907-2012; Coppola, Francesca/U-8869-2018; Figueira, Etelvina/M-6116-2013; Soares, Amadeu/A-8304-2008; Henriques, Bruno/B-6258-2017; Freitas, Rosa/A-7539-2012; Almeida, Angela/K-4044-2014</t>
  </si>
  <si>
    <t>Figueira, Etelvina/0000-0002-6763-2665; Coppola, Francesca/0000-0002-7039-9630; Soares, Amadeu/0000-0003-0879-9470; Henriques, Bruno/0000-0002-6472-5479; Pereira, Eduarda/0000-0002-6046-5243; Freitas, Rosa/0000-0003-4900-3897; Almeida, Angela/0000-0002-6662-1622</t>
  </si>
  <si>
    <t>National Funds through the Portuguese Science Foundation (FCT) [SFRH/BD/118582/2016, SFRH/BD/86356/2012, SFRH/BPD/92258/2013, SFRH/BPD/112576/2015]; FSE; Programa Operational Capital Humano (POCH) e da Uniao Europeia; CESAM [UID/AMB/50017]; CIIMAR [UID/Multi/04423/2013]; FCT/MEC through national funds; FEDER, within the PT2020 Partnership Agreement and Compete 2020; Integrated Programme of SR &amp; TD Smart Valorization of Endogenous Marine Biological Resources Under a Changing Climate [Centro-01-0145-FEDER-000018]; Centro 2020 program, Portugal 2020, European Union, through the European Regional Development Fund; Fundação para a Ciência e a Tecnologia [SFRH/BD/118582/2016, SFRH/BPD/112576/2015] Funding Source: FCT</t>
  </si>
  <si>
    <t>National Funds through the Portuguese Science Foundation (FCT)(Fundacao para a Ciencia e a Tecnologia (FCT)); FSE(European Social Fund (ESF)); Programa Operational Capital Humano (POCH) e da Uniao Europeia; CESAM; CIIMAR; FCT/MEC through national funds(Fundacao para a Ciencia e a Tecnologia (FCT)); FEDER, within the PT2020 Partnership Agreement and Compete 2020; Integrated Programme of SR &amp; TD Smart Valorization of Endogenous Marine Biological Resources Under a Changing Climate; Centro 2020 program, Portugal 2020, European Union, through the European Regional Development Fund; Fundação para a Ciência e a Tecnologia(Fundacao para a Ciencia e a Tecnologia (FCT))</t>
  </si>
  <si>
    <t>Francesca Coppola and Angela Almeida benefited from a Ph.D. Grants (SFRH/BD/118582/2016; SFRH/BD/86356/2012), Rosa Freitas and Bruno Henriques benefited from post-doc Grants (SFRH/BPD/92258/2013 and SFRH/BPD/112576/2015, respectively) given by the National Funds through the Portuguese Science Foundation (FCT), supported by FSE and Programa Operational Capital Humano (POCH) e da Uniao Europeia. Thanks are due, for the financial support to CESAM (UID/AMB/50017), to CIIMAR (UID/Multi/04423/2013), to FCT/MEC through national funds, and the co-funding by the FEDER, within the PT2020 Partnership Agreement and Compete 2020. This work was supported by the Integrated Programme of SR &amp; TD Smart Valorization of Endogenous Marine Biological Resources Under a Changing Climate (reference Centro-01-0145-FEDER-000018), co-funded by Centro 2020 program, Portugal 2020, European Union, through the European Regional Development Fund.</t>
  </si>
  <si>
    <t>10.1016/j.ecoenv.2017.09.051</t>
  </si>
  <si>
    <t>FN7LM</t>
  </si>
  <si>
    <t>WOS:000416199700117</t>
  </si>
  <si>
    <t>Koukouzika, N; Raftopoulou, EK; Dimitriadis, VK</t>
  </si>
  <si>
    <t>Koukouzika, N.; Raftopoulou, E. K.; Dimitriadis, V. K.</t>
  </si>
  <si>
    <t>Seasonal differences of lysosomal, lipid and lipofuscin parameters in the digestive gland of the mussel Mytilus galloprovincialis</t>
  </si>
  <si>
    <t>NEUTRAL RED RETENTION; PRESTIGE OIL-SPILL; ENVIRONMENTAL-STRESS; CYTOCHEMICAL RESPONSES; CELLULAR BIOMARKERS; SENTINEL ORGANISMS; POLLUTION; EDULIS; L.; CELLS</t>
  </si>
  <si>
    <t>The aim of the present study was to provide additional information regarding the seasonal influence on structural parameters of the lysosomal system, as well as on the variation of lipids and lipofuscins, in the digestive gland of mussels Mytilus galloprovincialis, and thus to define the most suitable time for performing sampling procedures in biomonitoring studies. The parallel examination of these biological parameters indicated that in early summer there was a very active lysosomal system together with extremely limited lipofuscin inclusions and moderate amount of lipids in the digestive gland of mussels. In early winter, the lysosomal system was restricted, and at the same time raised lipofuscin content and reduced amount of lipids occurred. In early spring, lysosomes became active again and concurrently high lipofuscin material was detected, whereas lipids showed an increase relative to winter. The results lead to the conclusion that summer represents the most appropriate period for sampling in biomonitoring studies dealing with digestive gland parameters, at least in mussels from Thermaikos Gulf and possibly from the Mediterranean Sea in general. In addition, the relationship between the N-acetyl-beta-hexosaminidase reaction and the presence of lipids in digestive gland lysosomes of mussels is discussed.</t>
  </si>
  <si>
    <t>[Koukouzika, N.; Raftopoulou, E. K.; Dimitriadis, V. K.] Aristotle Univ Thessaloniki, Sch Biol, Dept Genet Dev &amp; Mol Biol, Thessaloniki 54124, Greece</t>
  </si>
  <si>
    <t>10.1093/mollus/eyp022</t>
  </si>
  <si>
    <t>472FI</t>
  </si>
  <si>
    <t>WOS:000268114800007</t>
  </si>
  <si>
    <t>Morcillo, Y; Ronis, MJJ; Sole, M; Porte, C</t>
  </si>
  <si>
    <t>Effects of tributyltin on the cytochrome P450 monooxygenase system and sex steroid metabolism in the clam Ruditapes decussata</t>
  </si>
  <si>
    <t>NUCELLA-LAPILLUS; IMPOSEX</t>
  </si>
  <si>
    <t>The effects of tributyltin (TBT) on the cytochrome P450 monooxygenase system of the clam Ruditapes decussata have been Evaluated. Digestive gland microsomes were observed to catalyze the oxidative metabolism of testosterone. The metabolites detected were androstenedione, dihydrotestosterone, dihydroandrostenedione, 6 beta-, 6 alpha-, 2 alpha-, and 2 beta-hydroxytestosterone, estrone and 17 beta-estradiol. The effect of 0.1 and I mM TBT in the incubation mixture led to a significant reduction in the total metabolic rate and changes in the metabolite profile. Clams were also exposed to different concentrations of TBT in water (0.1, 0.45, 2.27 mu g l(-1) of TBT as Sn) for seven days. A significant increase in testosterone levels was found in the TBT exposed organisms. When digestive gland microsomes of control and exposed organisms were assayed for their ability to metabolize testosterone, a dose-responsive decrease in aromatization of testosterone to estrone and estradiol was observed (p&lt;0.05). These changes indicated a significant interaction of TBT with androgen metabolism in the darn Ruditapes decussata and they may contribute to masculinization of clam physiology. (C) 1998 Published by Elsevier Science Ltd. All rights reserved.</t>
  </si>
  <si>
    <t>CSIC, Cid, Dept Environm Chem, Barcelona 08034, Spain; Univ Arkansas Med Sci Hosp, Arkansas Childrens Hosp, Res Inst, Dept Pediat, Little Rock, AR 72202 USA</t>
  </si>
  <si>
    <t>Consejo Superior de Investigaciones Cientificas (CSIC); CSIC - Centro de Investigacion y Desarrollo Pascual Vila (CID-CSIC); Arkansas Children's Hospital; University of Arkansas System; University of Arkansas Medical Sciences</t>
  </si>
  <si>
    <t>CSIC, Cid, Dept Environm Chem, C Jordi Girona 18, Barcelona 08034, Spain.</t>
  </si>
  <si>
    <t>sole, montserrat/C-7398-2013; Porte, Cinta/L-3191-2014</t>
  </si>
  <si>
    <t>sole, montserrat/0000-0002-9920-5051; Porte, Cinta/0000-0002-3940-6409</t>
  </si>
  <si>
    <t>10.1016/S0141-1136(97)00079-2</t>
  </si>
  <si>
    <t>WOS:000075806100120</t>
  </si>
  <si>
    <t>Li, JN; Green, C; Reynolds, A; Shi, HH; Rotchell, JM</t>
  </si>
  <si>
    <t>Li, Jiana; Green, Christopher; Reynolds, Alan; Shi, Huahong; Rotchell, Jeanette M.</t>
  </si>
  <si>
    <t>Microplastics in mussels sampled from coastal waters and supermarkets in the United Kingdom</t>
  </si>
  <si>
    <t>Mytilus; Microplastics; Shellfish; Human consumption</t>
  </si>
  <si>
    <t>MYTILUS-EDULIS L.; NORTH-SEA FISH; ENGLISH-CHANNEL; POLYSTYRENE MICROPLASTICS; HUMAN CONSUMPTION; MARINE MUSSELS; INGESTION; CONTAMINATION; EXPOSURE; FIBERS</t>
  </si>
  <si>
    <t>Global contamination of the marine environment by plastic has led to the discovery of microplastics in a range of marine species, including those for human consumption. In this study, the presence of micro plastics and other anthropogenic debris in seawater and mussels (Mytilus edulis) from coastal waters of the U.K., as well as supermarket sources, was investigated. These were detected in all samples from all sites with spatial differences observed. Seawater samples taken from 6 locations (in triplicates) displayed 3.5 +/- 2.0 debris items/L on average (range: 1.5-6.7 items/L). In wild mussels sampled from 8 locations around the U.K. coastal environment, the number of total debris items varied from 0.7 to 2.9 itemsig of tissue and from 1.1 to 6.4 items/individual. For the supermarket bought mussels, the abundance of microplastics was significantly higher in pre-cooked mussels (1.4 items/g) compared with mussels supplied live (0.9 items/g). Micro-FT-IR spectroscopy was conducted on 136 randomly selected samples, with 94 items characterized. The spectra found that 50% of these debris items characterized were microplastic, with an additional 37% made up of rayon and cotton fibers. The microplastic levels detected in the supermarket bought mussels present a route for human exposure and suggests that their quantification be included as food safety management measures as well as for environmental monitoring health measures. (C) 2018 Elsevier Ltd. All rights reserved.</t>
  </si>
  <si>
    <t>[Li, Jiana; Shi, Huahong] East China Normal Univ, State Key Lab Estuarine &amp; Coastal Res, Shanghai 200062, Peoples R China; [Li, Jiana; Rotchell, Jeanette M.] Univ Hull, Sch Environm Sci, Cottingham Rd, Kingston Upon Hull HU6 7RX, N Humberside, England; [Green, Christopher] Brunel Univ London, Inst Environm Hlth &amp; Soc, Kingston Lane, Uxbridge UB8 3PH, Middx, England; [Reynolds, Alan] Brunel Univ London, Expt Tech Ctr, Kingston Lane, Uxbridge UB8 3PH, Middx, England</t>
  </si>
  <si>
    <t>East China Normal University; University of Hull; Brunel University; Brunel University</t>
  </si>
  <si>
    <t>Rotchell, JM (corresponding author), Univ Hull, Sch Environm Sci, Cottingham Rd, Kingston Upon Hull HU6 7RX, N Humberside, England.</t>
  </si>
  <si>
    <t>j.rotchell@hull.ac.uk</t>
  </si>
  <si>
    <t>YAN, LING/JXY-6904-2024; Shi, Huahong/F-1511-2011; reynolds, alan/L-4880-2013</t>
  </si>
  <si>
    <t>Shi, Huahong/0000-0003-2978-0680; Green, Christopher/0000-0002-3014-1790; reynolds, alan/0000-0001-7270-0872</t>
  </si>
  <si>
    <t>Experimental Techniques Centre, Brunel University London; China Scholarship Council grant [201606140125]; East China Normal University Outstanding Doctoral Dissertation Cultivation Plan of Action grant [YB2016035]</t>
  </si>
  <si>
    <t>Experimental Techniques Centre, Brunel University London; China Scholarship Council grant(China Scholarship Council); East China Normal University Outstanding Doctoral Dissertation Cultivation Plan of Action grant</t>
  </si>
  <si>
    <t>Thanks to Dr Mark Hard, Heriot Watt University, Dr. Corina Ciocan, Brighton University and Sarah Letsinger, University of Leeds for their assistance with sample collection. Further thanks go to the Experimental Techniques Centre, Brunel University London and Nita Verma for support with micro-FTIR. This work was funded by a China Scholarship Council grant (201606140125) and an East China Normal University Outstanding Doctoral Dissertation Cultivation Plan of Action grant (YB2016035) to Jiana Li.</t>
  </si>
  <si>
    <t>10.1016/j.envpol.2018.05.038</t>
  </si>
  <si>
    <t>WOS:000440390800005</t>
  </si>
  <si>
    <t>de Montaudouin, X; Bazairi, H; Mlik, KA; Gonzalez, P</t>
  </si>
  <si>
    <t>de Montaudouin, Xavier; Bazairi, Hocein; Mlik, Karima Ait; Gonzalez, Patrice</t>
  </si>
  <si>
    <t>Bacciger bacciger (Trematoda: Fellodistomidae) infection effects on wedge clam Donax trunculus condition</t>
  </si>
  <si>
    <t>Donax trunculus; Bacciger bacciger; Wedge clam; Parasitism; Trematodes; Condition index; Mortality; Molecular identification</t>
  </si>
  <si>
    <t>COCKLE CERASTODERMA-EDULE; BIVALVIA-DONACIDAE; MASS MORTALITY; ATLANTIC COAST; LIFE-CYCLE; IDENTIFICATION; MOLLUSCA; CADMIUM; PCR; DISTRIBUTIONS</t>
  </si>
  <si>
    <t>Wedge clams Donax trunculus inhabit high-energy environments along sandy coasts of the northeastern Atlantic Ocean and the Mediterranean Sea. Two sites were sampled monthly, one in Morocco (Mehdia), where the density was normal, and one in France (Biscarosse), where the density was very low. We tested the hypothesis that the difference in density between the sites was related to infection by the trematode parasite Bacciger bacciger. Identity of both the parasite and the host were verified using anatomical and molecular criteria. Parasite prevalence (i. e. the percentage of parasitized clams) was almost 3 times higher at Biscarosse. At this site, overall prevalence reached 32% in July and was correlated with the migration of several individuals (with a prevalence of 88%) to the sediment surface. After this peak, prevalence decreased rapidly, suggesting death of parasitized clams. The deleterious effect of B. bacciger on wedge clams was also supported by our calculations indicating that the weight of the parasite made up to 56% of the total weight of the parasitized clams. However, condition indices of trematode-free clams were also lower in Biscarosse than in Mehdia or other sites, suggesting that other factors such as pollutants or microparasites (Microcytos sp.) may alter wedge clam population fitness in Biscarosse.</t>
  </si>
  <si>
    <t>[de Montaudouin, Xavier; Gonzalez, Patrice] Univ Bordeaux, CNRS, Marine Stn, UMR EPOC 5805, F-33120 Arcachon, France; [Bazairi, Hocein; Mlik, Karima Ait] Univ Mohammed V Agdal, Fac Sci, Rabat, Morocco</t>
  </si>
  <si>
    <t>Universite de Bordeaux; Centre National de la Recherche Scientifique (CNRS); CNRS - National Institute for Earth Sciences &amp; Astronomy (INSU); Mohammed V University in Rabat</t>
  </si>
  <si>
    <t>de Montaudouin, X (corresponding author), Univ Bordeaux, CNRS, Marine Stn, UMR EPOC 5805, 2 Rue Pr Jolyet, F-33120 Arcachon, France.</t>
  </si>
  <si>
    <t>x.de-montaudouin@epoc.u-bordeaux1.fr</t>
  </si>
  <si>
    <t>Bazairi, Hocein/AAT-5605-2020; Gonzalez, Patrice/KGK-5933-2024</t>
  </si>
  <si>
    <t>Gonzalez, Patrice/0000-0003-2628-2993; Bazairi, Hocein/0000-0002-1788-0580</t>
  </si>
  <si>
    <t>10.3354/dao02769</t>
  </si>
  <si>
    <t>AU6FY</t>
  </si>
  <si>
    <t>WOS:000345700200008</t>
  </si>
  <si>
    <t>Negrato, E; Marin, MG; Bertotto, D; Matozzo, V; Poltronieri, C; Simontacchi, C</t>
  </si>
  <si>
    <t>Negrato, Elena; Marin, Maria Gabriella; Bertotto, Daniela; Matozzo, Valerio; Poltronieri, Carlo; Simontacchi, Claudia</t>
  </si>
  <si>
    <t>SEX STEROIDS IN TAPES PHILIPPINARUM (ADAMS AND REEVE 1850) DURING GAMETOGENIC CYCLE: PRELIMINARY RESULTS</t>
  </si>
  <si>
    <t>1th International Symposium on Environmental Pollution and Its Impact on Life in the Mediterranean Region</t>
  </si>
  <si>
    <t>OCT 10-14, 2007</t>
  </si>
  <si>
    <t>Seville, SPAIN</t>
  </si>
  <si>
    <t>EDCs; gametogenic cycle; RIAs; sex steroids; Tapes philippinarum</t>
  </si>
  <si>
    <t>GONADAL DEVELOPMENT; ENDOCRINE; METABOLISM; PROGESTERONE; TRIBUTYLTIN; SCALLOP; SYSTEM</t>
  </si>
  <si>
    <t>It is well known that a wide variety of endocrine-disrupting chemicals (EDCs) (e.g. organotin compounds, heavy metals, herbicides, xenoestrogen compounds) can induce endocrine alterations in aquatic invertebrates, often causing reproductive disorders. Although these phenomena are of great concern, mostly in coastal and estuarine environments, few data are available about the mechanism of action of EDCs, mainly due to lack of knowledge about the invertebrate endocrine system. To understand the possible mechanism of action of EDCs better, the presence and patterns of variation of sexual steroids, progesterone, testosterone and 17 beta-estradiol were measured in the whole body of the clam Tapes philippinarum by specific and opportunely validated microtitre radioimmunoassays (RIAs). Female steroid concentrations showed similar trends, with higher values during spawning and lower ones in post-spawning and gametogenesis periods. Conversely, in males, sexual steroids varied over the year: progesterone remained unchanged, with values similar to those of females in gametogenesis, whereas testosterone and 17 beta-estradiol showed a significant decrease during gametogenesis only. Seasonal variations in clam steroid levels may reflect their role in modulating reproduction. All hormones were unexpectedly high in the resting/early developing stage, during which gonadal tissue is scarce, indicating that digestive gland may have a biosynthetic steroid capacity or accumulation. Although these results are preliminary, evaluation of sexual steroids in T philippinarum during the gametogenic cycle represent the first step for future research aimed at understanding the physiological role of these hormones and their potential interaction with EDCs.</t>
  </si>
  <si>
    <t>[Negrato, Elena; Bertotto, Daniela; Poltronieri, Carlo; Simontacchi, Claudia] Univ Padua, Dept Expt Vet Sci, I-35020 Legnaro, PD, Italy; [Marin, Maria Gabriella; Matozzo, Valerio] Univ Padua, Dept Biol, I-35131 Padua, Italy</t>
  </si>
  <si>
    <t>University of Padua; University of Padua</t>
  </si>
  <si>
    <t>Bertotto, D (corresponding author), Univ Padua, Dept Expt Vet Sci, Agripolis Viale Univ 16, I-35020 Legnaro, PD, Italy.</t>
  </si>
  <si>
    <t>daniela.bertotto@unipd.it</t>
  </si>
  <si>
    <t>Matozzo, Valerio/D-6999-2017; Marin, Maria Gabriella/KDN-0381-2024</t>
  </si>
  <si>
    <t>Matozzo, Valerio/0000-0001-9935-0366; BERTOTTO, Daniela/0000-0002-1370-8679; MARIN, MARIA/0000-0002-1479-5428</t>
  </si>
  <si>
    <t>370ZR</t>
  </si>
  <si>
    <t>WOS:000260802100012</t>
  </si>
  <si>
    <t>METCALFESMITH, JL</t>
  </si>
  <si>
    <t>INFLUENCE OF SPECIES AND SEX ON METAL RESIDUES IN FRESH-WATER MUSSELS (FAMILY UNIONIDAE) FROM THE ST-LAWRENCE-RIVER, WITH IMPLICATIONS FOR BIOMONITORING PROGRAMS</t>
  </si>
  <si>
    <t>BIOACCUMULATION; METALS; FRESH-WATER MUSSELS; UNIONIDS; BIOMONITORING</t>
  </si>
  <si>
    <t>ELLIPTIO-COMPLANATA; TRACE-METALS; MYTILUS-EDULIS; WATCH; LAKE; BIOMASS; ZINC; BIOAVAILABILITY; SEDIMENT; MONITOR</t>
  </si>
  <si>
    <t>The implementation of freshwater mussel watch programs has been hindered by a lack of information on biological factors affecting the levels of contaminants accumulated by these organisms. This study investigated the influence of species and sex on metal residues in Elliptio complanata and Lampsilis radiata radiata (Family Unionidae) from the St. Lawrence River. Mussels were collected from sites representing a wide range of types and degrees of metal pollution. Composite samples of five specimens (males and females combined) per species per site and five specimens per sex per species per site were analyzed for residues of 12 metals in the soft tissues to determine the effects of species and sex, respectively, on variability in the data. Inter-specific differences in bioaccumulation were observed for most metals; however, concentrations were frequently correlated between species and the differences could therefore be quantified. Elliptio complanata demonstrated a broader response range to the same exposures than Lampsilis radiata radiata for most metals, suggesting that it may be more sensitive to changes in pollution status. Differences in metal uptake between the sexes were less pronounced than differences between species, and male specimens displayed less variability than females. Consideration of these factors in mussel biomonitoring programs should greatly improve sensitivity and precision.</t>
  </si>
  <si>
    <t>METCALFESMITH, JL (corresponding author), ENVIRONM CANADA,NATL WATER RES INST,RIVERS RES BRANCH,POB 5050,BURLINGTON L7R 4A6,ON,CANADA.</t>
  </si>
  <si>
    <t>10.1897/1552-8618(1994)13[1433:IOSASO]2.0.CO;2</t>
  </si>
  <si>
    <t>PE170</t>
  </si>
  <si>
    <t>WOS:A1994PE17000007</t>
  </si>
  <si>
    <t>Chakraborty, P; Ramteke, D; Gadi, SD; Bardhan, P</t>
  </si>
  <si>
    <t>Chakraborty, Parthasarathi; Ramteke, Darwin; Gadi, Subhadra Devi; Bardhan, Pratirupa</t>
  </si>
  <si>
    <t>Linkage between speciation of Cd in mangrove sediment and its bioaccumulation in total soft tissue of oyster from the west coast of India</t>
  </si>
  <si>
    <t>Cd-speciation; Cd-bioavailability; Cd-accumulation; Cd in Crassostrea sp.; Sequential extraction study</t>
  </si>
  <si>
    <t>SOUTH EAST-COAST; HEAVY-METALS; ORGANOCHLORINE PESTICIDES; TROPICAL ESTUARY; ORGANIC-MATTER; ACCUMULATION; CADMIUM; MARINE; WATER; CONTAMINATION</t>
  </si>
  <si>
    <t>This study established a mechanistic linkage between Cd speciation and bioavailability in mangrove system from the west coast of India. High bioaccumulation of Cd was found in the oyster (Crassostrea sp.) even at low Cd loading in the bottom sediment. Bioaccumulation of Cd in the oyster gradually increased with the increasing concentrations of water soluble, exchangeable and carbonate/bicarbonate forms of Cd in the sediments. Fe/Mn oxyhydroxide phase was found to control Cd bioavailability in the sediment system. Cd-associated with sedimentary organic matter was bioavailable and organic ligands in the sediments were poor chelating agents for Cd. This study suggests that bioaccumulation of Cd in oyster (Crassostrea sp.) depends not on the total Cd concentration but on the speciation of Cd in the system. (C) 2015 Elsevier Ltd. All rights reserved.</t>
  </si>
  <si>
    <t>[Chakraborty, Parthasarathi; Ramteke, Darwin; Bardhan, Pratirupa] Natl Inst Oceanog, CSIR, Panaji 403004, Goa, India; [Gadi, Subhadra Devi] Carmel Coll Arts Sci &amp; Commerce Women, Nuvem 403604, Goa, India</t>
  </si>
  <si>
    <t>Chakraborty, P (corresponding author), Natl Inst Oceanog, CSIR, Panaji 403004, Goa, India.</t>
  </si>
  <si>
    <t>Ramteke, Darwin/0000-0001-8725-1117</t>
  </si>
  <si>
    <t>CSIR; GEOSINKS [PSC0106]</t>
  </si>
  <si>
    <t>CSIR(Council of Scientific &amp; Industrial Research (CSIR) - India); GEOSINKS</t>
  </si>
  <si>
    <t>Authors are thankful to the Director, CSIR-NIO, Goa for his encouragement and support. DR and PB are thankful to CSIR for providing the senior research fellowships. This work is a part of the Council of Scientific and Industrial Research (CSIR) supported by GEOSINKS (PSC0106) project. This article bears NIO contribution number 5845.</t>
  </si>
  <si>
    <t>10.1016/j.marpolbul.2015.12.025</t>
  </si>
  <si>
    <t>WOS:000376545900044</t>
  </si>
  <si>
    <t>Zhang, H; Pan, LQ; Tao, YX; Tian, SM; Hu, YY</t>
  </si>
  <si>
    <t>Zhang, Hui; Pan, Luqing; Tao, Yanxia; Tian, Shuangmei; Hu, Yanyan</t>
  </si>
  <si>
    <t>Identification and expression of differentially expressed genes in clam Venerupis philippinarum in response to environmental pollutant hexabromocyclododecane (HBCD)</t>
  </si>
  <si>
    <t>Differentially expressed genes; Hexabromocyclododecane; Molecular biomarkers; Suppression subtractive hybridization (SSH); Venerupis philippinarum</t>
  </si>
  <si>
    <t>BROMINATED FLAME RETARDANTS; HOST PROTECTION; COPPER EXPOSURE; INFECTION; TRENDS; IRON; BIOMARKERS; HEMOCYANIN; EVOLUTION; CLONING</t>
  </si>
  <si>
    <t>Hexabromocydododecane (HBCD) is a widely used flame retardant that has increasingly been found as contaminant in the aquatic environment. This study aimed to investigate the molecular response of gill of clam, Venerupis philippinarum, to environmental stress HBCD by identification of transcripts involved in immune and detoxification defense. Genomic analysis was made applying suppression subtractive hybridization (SSH) method to identify differentially expressed genes during HBCD exposure and transcripts were clustered to 11 and 9 functional categories from forward and backward subtracted library, respectively. Nine genes of interest were analyzed using quantitative real-time PCR at 3 days and 10 days post-exposure to HBCD at three concentrations (0.086, 0.86 and 8.6 mu g/L). This study provides information for the characterization of potential molecular biomarkers that may be used in future environmental monitoring and to investigate new mechanisms of stress to HBCD in this commercially important marine species. (C) 2013 Elsevier B.V. All rights reserved.</t>
  </si>
  <si>
    <t>[Zhang, Hui; Pan, Luqing; Tao, Yanxia; Tian, Shuangmei; Hu, Yanyan] Ocean Univ China, Minist Educ, Key Lab Mariculture, Qingdao 266003, Peoples R China</t>
  </si>
  <si>
    <t>State Oceanic Administration specific public project [201105013]</t>
  </si>
  <si>
    <t>State Oceanic Administration specific public project</t>
  </si>
  <si>
    <t>This work was supported by the State Oceanic Administration specific public project (201105013). We are thankful to the staff at the Laboratory of Environmental Physiology of Aquatic Animal for their help with sampling and taking care of the clams. [RH]</t>
  </si>
  <si>
    <t>10.1016/j.jembe.2013.03.002</t>
  </si>
  <si>
    <t>170ZZ</t>
  </si>
  <si>
    <t>WOS:000320895500021</t>
  </si>
  <si>
    <t>Morley, NJ; Irwin, SWB; Lewis, JW</t>
  </si>
  <si>
    <t>Pollution toxicity to the transmission of larval digeneans through their molluscan hosts</t>
  </si>
  <si>
    <t>pollution; miracidia; cercariae; metacercariae; molluscs</t>
  </si>
  <si>
    <t>SCHISTOSOMA-MANSONI-CERCARIAE; FASCIOLA-HEPATICA TREMATODA; DIPLOSTOMUM-SPATHACEUM TREMATODA; TRIAENOPHORUS-NODULOSUS CESTODA; BIOMPHALARIA-GLABRATA SAY; ECHINOPARYPHIUM-RECURVATUM CERCARIAE; PARORCHIS-ACANTHUS DIGENEA; HEAVY-METAL CONCENTRATIONS; FRESH-WATER CLAM; EMBRYONIC-DEVELOPMENT</t>
  </si>
  <si>
    <t>The increased occurrence of pollutants in ecosystems is a continuing area of concern. It is known that numerous diseases of wild aquatic animals can Occur with decreased or increased prevalences in areas associated with high or chronic levels of pollution. This may have serious implications for environmental health. There has consequently been an increasing number of laboratory and field Studies on disease transmission under polluted conditions, especially focusing on digeneans of medical or economic importance. The effect of pollutants to the transmission of larval digeneans (miracidia, cercariae, metacercariae) and snail-digenean interactions is therefore considered. An overview and interpretation of the published literature on laboratory and field studies is provided. It is apparent from these studies that the influence of pollutants on digenean transmission is highly complex with much of the observed effects in the laboratory often masked by a complexity of other factors in the field. Future studies would benefit from a standardisation of experimental procedures, increasing the number of combined laboratory and field studies, and increasing the complexity of the experiments undertaken.</t>
  </si>
  <si>
    <t>Univ London Royal Holloway &amp; Bedford New Coll, Sch Biol Sci, Egham TW20 0EX, Surrey, England; Univ Ulster, Sch Biol &amp; Environm Sci, Newtownabbey BT37 0QB, Antrim, North Ireland</t>
  </si>
  <si>
    <t>University of London; Royal Holloway University London; Ulster University</t>
  </si>
  <si>
    <t>n.morley@rhul.ac.uk</t>
  </si>
  <si>
    <t>Morley, Neil/E-4307-2010</t>
  </si>
  <si>
    <t>S5</t>
  </si>
  <si>
    <t>S26</t>
  </si>
  <si>
    <t>10.1017/S0031182003003755</t>
  </si>
  <si>
    <t>WOS:000187344700002</t>
  </si>
  <si>
    <t>Blanco-Rayón, E; Ivanina, AV; Sokolova, IM; Marigomez, I; Izagirre, U</t>
  </si>
  <si>
    <t>Blanco-Rayon, E.; Ivanina, A., V; Sokolova, I. M.; Marigomez, I; Izagirre, U.</t>
  </si>
  <si>
    <t>Sex and sex-related differences in gamete development progression impinge on biomarker responsiveness in sentinel mussels</t>
  </si>
  <si>
    <t>Confounding factor; Energetic biomarkers; Field study; Gamete development; Gender; Lysosomes</t>
  </si>
  <si>
    <t>POLYCYCLIC AROMATIC-HYDROCARBONS; GENDER-SPECIFIC RESPONSES; OXIDATIVE STRESS RESPONSES; TISSUE-LEVEL BIOMARKERS; MYTILUS-GALLOPROVINCIALIS; DIGESTIVE GLAND; SEASONAL-VARIATIONS; QUANTITATIVE ALTERATIONS; HEAVY-METALS; BLUE MUSSELS</t>
  </si>
  <si>
    <t>In marine pollution monitoring, the biomarkers recorded in sentinel organisms are influenced by natural confounding factors that may jeopardise their interpretation. Among these confounding factors, little is known about the influence of sex along the annual reproductive cycle. The present investigation aims at contributing to understand how sex and sex-related differences in gamete development progression impinge on biomarker baseline values and on biomarker responsiveness to pollution in sentinel mussels. Mussels (Mytilus galloprovincialis) were collected from a relatively clean locality and from a chronically polluted site in the Basque Coast (Bay of Biscay) in January, April, August and November. Sex and gametogenesis stages were determined for each mussel. Tissue concentration of metals and PAHs was analysed. A battery of biomarkers was investigated: cylochrome coxidase, pyruvate kinase and phosphoenolpyruvate carboxykinase enzyme activities; levels of protein carbonyls, malondialdehyde and 4-hydroxy-2-nonenal; lysosomal enlargement and membrane stability; intracellular neutral lipid accumulation; cell type composition and thinning of the digestive gland epithelium; and survival-in-air. Sex- and reproductive stage-related differences were found in bioaccumulation and in the values and responsiveness of most of the biomarkers. However, the patterns of sex-related differences were not consistent across all biomarkers. The differences in the biomarker responses between females and males also depended on the season, reflecting the progression of the gametogenesis cycle. Thus, selecting mussels of one specific sex does not seem to be a crucial requisite to carry out biomarker-based monitoring; yet, it is highly recommended to identify sex condition and gamete developmental stage of each mussel to test for the potentially confounding effects of sex, reproductive status and sex-related variability along the reproductive cycle. (C) 2020 Elsevier B.V. All rights reserved.</t>
  </si>
  <si>
    <t>[Blanco-Rayon, E.; Marigomez, I; Izagirre, U.] Univ Basque Country, Fac Sci &amp; Technol ZTF FCT, Dept Zool &amp; Anim Cell Biol, CBET Res Grp, Leioa 48930, Basque Country, Spain; [Blanco-Rayon, E.; Marigomez, I; Izagirre, U.] Univ Basque Country, Res Ctr Expt Marine Biol &amp; Biotechnol, Plentzia Marine Stn, CBET Res Grp, Plentzia Bizkaia 48620, Spain; [Blanco-Rayon, E.; Marigomez, I; Izagirre, U.] Univ Basque Country, Pie UPV EHU, Plentzia Bizkaia 48620, Spain; [Ivanina, A., V; Sokolova, I. M.] Univ North Carolina Charlotte, Dept Biol Sci, Charlotte, NC 28223 USA; [Sokolova, I. M.] Univ Rostock, Interdisciplinary Fac, Inst Biosci, Dept Marine Biol, D-18055 Rostock, Germany; [Sokolova, I. M.] Univ Rostock, Interdisciplinary Fac, Dept Maritime Syst, D-18055 Rostock, Germany</t>
  </si>
  <si>
    <t>University of Basque Country; University of Basque Country; University of Basque Country; University of North Carolina; University of North Carolina Charlotte; University of Rostock; University of Rostock</t>
  </si>
  <si>
    <t>Marigomez, I (corresponding author), Univ Basque Country, Fac Sci &amp; Technol ZTF FCT, Dept Zool &amp; Anim Cell Biol, CBET Res Grp, Leioa 48930, Basque Country, Spain.</t>
  </si>
  <si>
    <t>Blanco-Rayón, Esther/R-9479-2019; MARIGOMEZ ALLENDE, Ionan/C-3909-2017; Izagirre, Urtzi/C-3848-2017; Sokolova, Inna/B-4955-2009</t>
  </si>
  <si>
    <t>MARIGOMEZ ALLENDE, Ionan/0000-0001-6274-541X; Izagirre, Urtzi/0000-0002-3477-4974; , Blanco-Rayon/0000-0003-2884-059X; Sokolova, Inna/0000-0002-2068-4302</t>
  </si>
  <si>
    <t>Spanish Ministry of Economy and Competitiveness [BMW-CTM2012-40203-C02-01]; University of the Basque Country UPV/EHU [UFI 11/37]; Basque Government through Consolidated Research Groups Grant [IT810-B]; Department of Education of the Basque Government</t>
  </si>
  <si>
    <t>Spanish Ministry of Economy and Competitiveness(Spanish Government); University of the Basque Country UPV/EHU; Basque Government through Consolidated Research Groups Grant(Basque Government); Department of Education of the Basque Government</t>
  </si>
  <si>
    <t>This work was funded by the Spanish Ministry of Economy and Competitiveness (BMW-CTM2012-40203-C02-01), by the University of the Basque Country UPV/EHU (UFI 11/37) and by the Basque Government through Consolidated Research Groups Grant (IT810-B). EB-R was recipient of a doctoral fellowship financed by the Department of Education of the Basque Government.</t>
  </si>
  <si>
    <t>OCT 20</t>
  </si>
  <si>
    <t>10.1016/j.scitotenv.2020.140178</t>
  </si>
  <si>
    <t>NE1TF</t>
  </si>
  <si>
    <t>WOS:000562379400017</t>
  </si>
  <si>
    <t>De Marchi, L; Pretti, C; Chiellini, F; Morelli, A; Neto, V; Soares, AMVM; Figueira, E; Freitas, R</t>
  </si>
  <si>
    <t>De Marchi, Lucia; Pretti, Carlo; Chiellini, Federica; Morelli, Andrea; Neto, Victor; Soares, Amadeu M. V. M.; Figueira, Etelvina; Freitas, Rosa</t>
  </si>
  <si>
    <t>Impacts of ocean acidification on carboxylated carbon nanotube effects induced in the clam species Ruditapes philippinarum</t>
  </si>
  <si>
    <t>Ruditapes philippinarum; Carboxylated carbon nanotubes; Ocean acidification; Physiological responses; Oxidative status</t>
  </si>
  <si>
    <t>ZINC-OXIDE NANOPARTICLES; SILVER NANOPARTICLES; MANILA CLAM; SEAWATER ACIDIFICATION; LIPID-PEROXIDATION; TIO2 NANOPARTICLES; RESPONSES; EXPOSURE; TOXICITY; SALINITY</t>
  </si>
  <si>
    <t>Although the increased production of nanoparticles (NPs) has raised extensive concerns about the potential toxic effects on aquatic organisms, as well as the increasing evidences which documented the impact of ocean acidification (OA) on the physiology and fitness of marine invertebrates, limited number of studies reported their combined toxic effects. For these reasons, in the present study, we investigated the physiological and biochemical responses of one of the most economically important bivalve species in the World, the Manila clam Ruditapes philippinarum, after the exposure to an environmnetally relevant concentration of carboxylated carbon nanotubes and predicted OA conditions. The results showed that the organisms were not only susceptible to NPs but also to seawater acidification. Different responses between low pH and NPs for most tested biomarkers were observed, both in terms of physiological (respiration rate) and biochemical responses (metabolic capacity, oxitative status and neurotoxicity). Acidified pH significantly decreased the respiration rate and metabolism and increased the energy reserves consumption. Moreover, increase of the oxidative damage was also detected under this condition confirming that the mechanism of enhanced toxicity in the organisms should be attributed to lower aggregation state with more suspended NPs in acidified seawater, indicating that seawater acidification significantly influenced the impact of the used NPs in the exposed organisms.</t>
  </si>
  <si>
    <t>[De Marchi, Lucia; Soares, Amadeu M. V. M.; Figueira, Etelvina; Freitas, Rosa] Univ Aveiro, Dept Biol, P-3810193 Aveiro, Portugal; [De Marchi, Lucia; Soares, Amadeu M. V. M.; Figueira, Etelvina; Freitas, Rosa] Univ Aveiro, Ctr Environm &amp; Marine Studies CESAM, P-3810193 Aveiro, Portugal; [De Marchi, Lucia; Neto, Victor] Univ Aveiro, Dept Mech Engn, P-3810193 Aveiro, Portugal; [De Marchi, Lucia; Neto, Victor] Univ Aveiro, Ctr Mech Technol &amp; Automat TEMA, P-3810193 Aveiro, Portugal; [Pretti, Carlo] Univ Pisa, Dept Vet Sci, I-56122 Pisa, Italy; [Pretti, Carlo] Consortium Interuniv Ctr Marine Biol &amp; Appl Ecol, I-57128 Livorno, Italy; [Chiellini, Federica; Morelli, Andrea] Univ Pisa, Dept Chem &amp; Ind Chem, Udr INSTM Pisa, I-56126 Pisa, Italy</t>
  </si>
  <si>
    <t>Universidade de Aveiro; Universidade de Aveiro; Universidade de Aveiro; Universidade de Aveiro; University of Pisa; Consorzio per il Centro Interuniversitario di Biologia Marina ed Ecologia Applicata G. Bacci; University of Pisa</t>
  </si>
  <si>
    <t>Freitas, R (corresponding author), Univ Aveiro, Dept Biol, P-3810193 Aveiro, Portugal.;Freitas, R (corresponding author), Univ Aveiro, Ctr Environm &amp; Marine Studies CESAM, P-3810193 Aveiro, Portugal.</t>
  </si>
  <si>
    <t>Chiellini, Federica/AAE-2467-2020; MORELLI, ANDREA/D-1515-2018; De Marchi, Lucia/ABG-1246-2021; Neto, Victor/B-9394-2008; Soares, Amadeu/A-8304-2008; Freitas, Rosa/A-7539-2012; Chiellini, Federica/F-3233-2010; Figueira, Etelvina/M-6116-2013; PRETTI, CARLO/K-5948-2017</t>
  </si>
  <si>
    <t>Neto, Victor/0000-0003-1198-4220; Soares, Amadeu/0000-0003-0879-9470; Freitas, Rosa/0000-0003-4900-3897; De Marchi, Lucia/0000-0001-6899-4476; Chiellini, Federica/0000-0003-4680-9975; Figueira, Etelvina/0000-0002-6763-2665; PRETTI, CARLO/0000-0003-4949-2088</t>
  </si>
  <si>
    <t>Portuguese Science Foundation (FCT) [SFRH/BD/101273/2014]; FSE; Programa Operacional Capital Humano (POCH) e da Uniao Europeia; national funds (OE), through FCT-Fundacao para a Ciencia e a Tecnologia, I.P. [4, 5, 6, Decree-Law57/2016, Law 57/2017]; project BISPECIAl: BIvalveS under Polluted Environment and ClImate chAnge - FEDER, through COMPETE2020-Programa Operacional Competitividade e Internacionalizacao (POCI) [PTDC/CTA-AMB/28425/2017 (POCI-01-0145-FEDER-028425)]; national funds (OE), through FCT/MCTES; CESAM [UID/AMB/50017/2019]; FCT/MEC; FEDER; FEDER, within Compete 2020</t>
  </si>
  <si>
    <t>Portuguese Science Foundation (FCT)(Fundacao para a Ciencia e a Tecnologia (FCT)); FSE(European Social Fund (ESF)); Programa Operacional Capital Humano (POCH) e da Uniao Europeia; national funds (OE), through FCT-Fundacao para a Ciencia e a Tecnologia, I.P.(Fundacao para a Ciencia e a Tecnologia (FCT)); project BISPECIAl: BIvalveS under Polluted Environment and ClImate chAnge - FEDER, through COMPETE2020-Programa Operacional Competitividade e Internacionalizacao (POCI); national funds (OE), through FCT/MCTES(Fundacao para a Ciencia e a Tecnologia (FCT)); CESAM; FCT/MEC(Fundacao para a Ciencia e a Tecnologia (FCT)); FEDER(European Union (EU)Spanish Government); FEDER, within Compete 2020(European Union (EU)Marie Curie Actions)</t>
  </si>
  <si>
    <t>Lucia De Marchi benefited from PhD grant (SFRH/BD/101273/2014), given by the National Funds through the Portuguese Science Foundation (FCT), and supported by FSE and Programa Operacional Capital Humano (POCH) e da Uniao Europeia. Rosa Freitas was funded by national funds (OE), through FCT-Fundacao para a Ciencia e a Tecnologia, I.P., in the scope of the framework contract foreseen in the numbers 4, 5 and 6 of the article 23 of the Decree-Law57/2016, of August 29, changed by Law 57/2017, of July 19. This work was also financially supported by the project BISPECIAl: BIvalveS under Polluted Environment and ClImate chAnge PTDC/CTA-AMB/28425/2017 (POCI-01-0145-FEDER-028425) funded by FEDER, through COMPETE2020-Programa Operacional Competitividade e Internacionalizacao (POCI), and by national funds (OE), through FCT/MCTES. Thanks are due for the financial support to CESAM (UID/AMB/50017/2019) and to FCT/MEC through national funds and the co-funding by the FEDER, within the PT2020 Partnership Agreement and Compete 2020.</t>
  </si>
  <si>
    <t>10.1007/s11356-019-05306-8</t>
  </si>
  <si>
    <t>WOS:000473172800060</t>
  </si>
  <si>
    <t>Masci, M; Nevigato, T; Caproni, R</t>
  </si>
  <si>
    <t>Masci, Maurizio; Nevigato, Teresina; Caproni, Roberto</t>
  </si>
  <si>
    <t>Gas Chromatography-Mass Spectrometry: Application of New Findings in Analyzing Organochlorine Contaminants in a Candidate Food Reference Material</t>
  </si>
  <si>
    <t>FOOD ANALYTICAL METHODS</t>
  </si>
  <si>
    <t>Food safety; Organochlorine contaminants; Candidate reference material; Oysters; Metrology; Gas chromatography-mass spectrometry (GC-MS); Gas chromatography-electron capture detection (GC-ECD); PCB isobaric interferences</t>
  </si>
  <si>
    <t>POLYCHLORINATED-BIPHENYLS; PCBS; CONGENERS; OYSTERS; FISH</t>
  </si>
  <si>
    <t>Organochlorines are common toxic contaminants in the food chain, especially in aquatic biota, thus leading the world population to undesired exposures. The chemical analyses of such trace pollutants may represent a challenge: if not properly conducted, they could suffer from great uncertainties. In the present work, a new candidate reference material of oyster tissue was analyzed for the content of organochlorines. This was done within the H2020 project PRO-METROFOOD to which 17 European Countries participated. Our laboratory strictly applied the international guidelines on the subject. Even by following the recommended guidelines, however, it is difficult to analyze some Polychlorobiphenyls (PCBs). The chromatographic coelution of Polychlorobiphenyls with the same degree of chlorination or coelutions between Polychlorobiphenyls different for one chlorine only (isobaric interferences), for example, is to be cited. For a reliable quantification, therefore, we usefully exploited some innovative findings recently made by us in the field of mass spectrometry: they allowed to achieve an optimum accuracy in the case of isobaric interferences so ensuring that a correct food safety assessment is carried out. When Polychlorobiphenyls are analyzed, there are a number of good reasons for maintaining the use of the electron capture detection (ECD) in combination with the mass spectrometry. However, the present study highlights the limits and the critical points of the approach using ECD only, as many laboratories do.</t>
  </si>
  <si>
    <t>[Masci, Maurizio; Nevigato, Teresina; Caproni, Roberto] Council Agr Res &amp; Econ CREA, Res Ctr Food &amp; Nutr, Via Ardeatina 546, I-00178 Rome, Italy</t>
  </si>
  <si>
    <t>Consiglio per la Ricerca in Agricoltura e L'analisi Dell'economia Agraria (CREA)</t>
  </si>
  <si>
    <t>Masci, M (corresponding author), Council Agr Res &amp; Econ CREA, Res Ctr Food &amp; Nutr, Via Ardeatina 546, I-00178 Rome, Italy.</t>
  </si>
  <si>
    <t>maurizio.masci@crea.gov.it</t>
  </si>
  <si>
    <t>Nevigato, Teresina/0000-0002-0188-3197; Masci, Maurizio/0000-0002-2582-6023</t>
  </si>
  <si>
    <t>project PRO-METROFOOD - European Union's Horizon 2020 Research and Innovation Program (INFRADEV-02-2016) [739568]</t>
  </si>
  <si>
    <t>project PRO-METROFOOD - European Union's Horizon 2020 Research and Innovation Program (INFRADEV-02-2016)</t>
  </si>
  <si>
    <t>The study was supported by the project PRO-METROFOOD funded by the European Union's Horizon 2020 Research and Innovation Program (INFRADEV-02-2016) under grant agreement No 739568.</t>
  </si>
  <si>
    <t>1936-9751</t>
  </si>
  <si>
    <t>1936-976X</t>
  </si>
  <si>
    <t>FOOD ANAL METHOD</t>
  </si>
  <si>
    <t>Food Anal. Meth.</t>
  </si>
  <si>
    <t>10.1007/s12161-019-01474-y</t>
  </si>
  <si>
    <t>HZ4UW</t>
  </si>
  <si>
    <t>WOS:000468847900004</t>
  </si>
  <si>
    <t>Wendling, CC; Huhn, M; Ayu, N; Bachtiar, R; von Juterzenka, K; Lenz, M</t>
  </si>
  <si>
    <t>Wendling, Carolin Charlotte; Huhn, Mareike; Ayu, Nurina; Bachtiar, Ramadian; von Juterzenka, Karen; Lenz, Mark</t>
  </si>
  <si>
    <t>Habitat degradation correlates with tolerance to climate-change related stressors in the green mussel Perna viridis from West Java, Indonesia</t>
  </si>
  <si>
    <t>Climate change; Stress tolerance; Eutrophication; Pollution; Perna viridis; Indonesia</t>
  </si>
  <si>
    <t>MYTILUS-EDULIS; JAKARTA BAY; MERCURY CONTENT; MASS MORTALITY; GROWTH; TEMPERATURE; IMPACTS; STOCK; SITE; GALLOPROVINCIALIS</t>
  </si>
  <si>
    <t>It is unclear whether habitat degradation correlates with tolerance of marine invertebrates to abiotic stress. We therefore tested whether resistance to climate change-related stressors differs between populations of the green mussel Perna viridis from a heavily impacted and a mostly pristine site in West Java, Indonesia. In laboratory experiments, we compared their oxygen consumption and mortality under lowered salinity (-13 and -18 units, both responses), hypoxia (0.5 mg/l, mortality only) and thermal stress (+7 degrees C, mortality only). Mussels from the eutrophied and polluted Jakarta Bay showed a significantly smaller deviation from their normal oxygen consumption and higher survival rates when stressed than their conspecifics from the unaffected Lada Bay. This shows that human induced habitat degradation correlates with mussel tolerance to environmental stress. We discuss possible mechanisms - e.g. the selection of tolerant genotypes or habitat-specific differences in the nutritional status of the mussels - that could explain our observation. (C) 2013 Elsevier Ltd. All rights reserved.</t>
  </si>
  <si>
    <t>[Wendling, Carolin Charlotte] Johannes Gutenberg Univ Mainz, Inst Zool, D-55128 Mainz, Germany; [Huhn, Mareike] Univ Wurzburg, Lehrstuhl Tierokol &amp; Tropenbiol Zool 3, D-97074 Wurzburg, Germany; [Ayu, Nurina; Bachtiar, Ramadian; von Juterzenka, Karen] Bogor Agr Univ, IPB Darmaga Bogor, Java 16680, Indonesia; [Lenz, Mark] GEOMAR Helmholtz Zentrum Ozeanforsch Kiel, D-24105 Kiel, Germany</t>
  </si>
  <si>
    <t>Johannes Gutenberg University of Mainz; University of Wurzburg; Bogor Agricultural University; Helmholtz Association; GEOMAR Helmholtz Center for Ocean Research Kiel</t>
  </si>
  <si>
    <t>Lenz, M (corresponding author), GEOMAR Helmholtz Zentrum Ozeanforsch Kiel, Dusternbrooker Weg 20, D-24105 Kiel, Germany.</t>
  </si>
  <si>
    <t>carolin.wendling@awi.de; mhuhn@geomar.de; ucme.likeme@yahoo.com; rbachtiar@gmail.com; kvjuterzenka@hazweio.com; mlenz@geomar.de</t>
  </si>
  <si>
    <t>Lenz, Mark/AAG-1734-2021; Huhn, Mareike/JOZ-4717-2023; Wendling, Carolin/ACX-1584-2022</t>
  </si>
  <si>
    <t>Wendling, Carolin/0000-0003-4532-7528; Huhn, Mareike/0000-0003-0309-2812</t>
  </si>
  <si>
    <t>Stiftung Mercator, Universitatsstiftung Kiel; German Academic Exchange Service (DAAD)</t>
  </si>
  <si>
    <t>Stiftung Mercator, Universitatsstiftung Kiel; German Academic Exchange Service (DAAD)(Deutscher Akademischer Austausch Dienst (DAAD))</t>
  </si>
  <si>
    <t>We thank Michael Schmid, Pak Jajan, Agung Siregar, Yuliana Syamsuni, Dian Respati Widianari, Pak Eri and local fishermen for helping us with collecting mussels from culture ropes in Jakarta Bay and in Lada Bay. This study was funded by the Stiftung Mercator, Universitatsstiftung Kiel and by the German Academic Exchange Service (DAAD).</t>
  </si>
  <si>
    <t>10.1016/j.marpolbul.2013.03.004</t>
  </si>
  <si>
    <t>WOS:000321088200039</t>
  </si>
  <si>
    <t>Bellas, J; Fernández, N; Lorenzo, I; Beiras, R</t>
  </si>
  <si>
    <t>Bellas, Juan; Fernandez, Nuria; Lorenzo, Ignacio; Beiras, Ricardo</t>
  </si>
  <si>
    <t>Integrative assessment of coastal pollution in a Ria coastal system (Galicia, NW Spain):: Correspondence between sediment chemistry and toxicity</t>
  </si>
  <si>
    <t>sediment toxicity; elutriate; Paracentrotus lividus; Ciona intestinalis; trace metals; embryo-larval bioassay</t>
  </si>
  <si>
    <t>PARACENTROTUS-LIVIDUS; MARINE POLLUTION; EMBRYOGENESIS; BIOASSAYS; BIVALVE; CADMIUM; METALS; LARVAE</t>
  </si>
  <si>
    <t>Elutriate embryo-larval bioassays with sea-urchins (Paracentrotus lividus) and ascidians (Ciona intestinalis) were conducted concurrently with trace metal analyses as part of an integrative assessment of sediment pollution at Ria de Pontevedra (Galicia, NW Spain). High metal contents in sediments were found in localised areas from the inner part of the estuary indicating a clear anthropogenic influence. In particular, very high Cu, Zn and Pb levels were found at sites P2 and P3, which were also the most toxic to the embryo-larval bioassays. Sediment quality guidelines were used to help in the ecological interpretation of sediment chemistry data and to identify pollutants of concern. Cu and Zn in P3 were consistently above the effects range median (ERM) values, which seem to be good predictors of toxicity to sea-urchin and ascidian embryos. A toxic unit approach, based on published EC50 values and metal levels in elutriates, was used to assess the harmful ecological effects associated to sediment chemistry. Toxicity detected in P3 may be explained on the basis of the toxic unit model; however, the high toxicity detected at P2 may be attributable not only to the metals quantified in the analyses but also to unmeasured organic pollutants. Multidimensional scaling applied independently to the toxicology and chemistry data resulted in a good agreement between both types of configurations. Moreover, the Mantel test revealed a significant correlation (r(M) = 0.481; p = 0.019) between metal concentrations and toxicity data profiles, supporting the correspondence between configurations. (C) 2008 Elsevier Ltd. All rights reserved.</t>
  </si>
  <si>
    <t>[Bellas, Juan; Fernandez, Nuria; Lorenzo, Ignacio; Beiras, Ricardo] Univ Vigo, Dept Ecoloxia &amp; Bioloxia Anim, Vigo 36310, Spain</t>
  </si>
  <si>
    <t>Bellas, J (corresponding author), Univ Vigo, Dept Ecoloxia &amp; Bioloxia Anim, Estrada Colexio Univ S-N, Vigo 36310, Spain.</t>
  </si>
  <si>
    <t>Beiras, Ricardo/M-1680-2019; Fernández, Nuria/O-3345-2014; Bellas, Juan/N-1594-2015</t>
  </si>
  <si>
    <t>Bellas, Juan/0000-0001-6179-8528; Beiras, Ricardo/0000-0002-1010-2647; Fernandez, Nuria/0000-0002-3102-9696</t>
  </si>
  <si>
    <t>10.1016/j.chemosphere.2008.02.039</t>
  </si>
  <si>
    <t>WOS:000257223700020</t>
  </si>
  <si>
    <t>Ju, YR; Chen, CW; Chen, CF; Dong, CD</t>
  </si>
  <si>
    <t>Ju, Yun-Ru; Chen, Chiu-Wen; Chen, Chih-Feng; Dong, Cheng-Di</t>
  </si>
  <si>
    <t>Metal accumulation in benthic invertebrates and sediments at the Kaohsiung Ocean Disposal Site, Taiwan</t>
  </si>
  <si>
    <t>Bioaccumulation; Metals; Sediments; Benthic invertebrates</t>
  </si>
  <si>
    <t>HEAVY-METALS; TRACE-METALS; MARINE BIVALVES; BAY; BIOACCUMULATION; SEA; CONTAMINATION; CRUSTACEANS; POLLUTION; SEAWATER</t>
  </si>
  <si>
    <t>The distribution of metals (Hg, Pb, Cd, Cr, Cu, Zn, and Ni) in the sediments and in benthic invertebrates (arthropod, echinoderm, and mollusc) from the Kaohsiung Ocean Disposal Site (KODS) during 2014 was studied in terms of biota-sediment accumulation factor (BSAF). The mean concentration of metals in the sediments varied in the following order: Zn&gt;&gt;Cr&gt;Cu&gt;Ni&gt;Pb&gt;Hg&gt;Cd. Results showed that the metal concentration in the sediments from the KODS was in agreement with that of other Asia harbors; there was no drastically high metal level in the Kaohsiung area. Results also showed that arthropod Acanthephyra species had accumulated high metal concentrations (e.g. 0.53, 3.02, 6.80, 53.24, 162.2, and 1.42gg(-1) of Hg, Pb, Cd, Cu, Zn, and Ni, respectively), whereas mollusc Fusinus hyphalus had the lowest metal concentration. A positive correlation (p&lt;0.01) was observed between the concentration of Cr in the sediments and in arthropods. For all benthic invertebrates investigated, the BSAF of Cd and Hg were higher than 1.0. Especially the BSAF of Cd was remarkably high, e.g. for arthropods (30.0), echinoderms (38.7), and molluscs (42.2); whereas the BSAF of Pb, Cr, and Ni were low (BSAF&lt;&lt;1.0). According to the above results, benthic invertebrate of arthropods had a large metal accumulation capacity and thus could be suggested as the bioindicator of metal contamination of marine systems in further studies.</t>
  </si>
  <si>
    <t>[Ju, Yun-Ru; Chen, Chiu-Wen; Chen, Chih-Feng; Dong, Cheng-Di] Natl Kaohsiung Marine Univ, Dept Marine Environm Engn, Kaohsiung, Taiwan</t>
  </si>
  <si>
    <t>National Kaohsiung University of Science &amp; Technology</t>
  </si>
  <si>
    <t>Dong, CD (corresponding author), Natl Kaohsiung Marine Univ, Dept Marine Environm Engn, Kaohsiung, Taiwan.</t>
  </si>
  <si>
    <t>cddong@mail.nkmu.edu.tw</t>
  </si>
  <si>
    <t>Chen, Chih-Feng/HTP-3222-2023; liu, dong/GRJ-9115-2022</t>
  </si>
  <si>
    <t>Chen, Chih-Feng/0000-0002-0935-4847; Dong, Cheng-Di/0000-0002-4758-3739</t>
  </si>
  <si>
    <t>Kaohsiung Harbor Bureau, Taiwan</t>
  </si>
  <si>
    <t>This work was supported by the Kaohsiung Harbor Bureau, Taiwan. The authors wish to express the gratitude to the members of the Center for the Study of Sediments, National Kaohsiung Marine University for their assistance. Also, the authors thank professor C.P. Huang of University of Delaware, US for his support throughout this study and proof read the manuscript.</t>
  </si>
  <si>
    <t>10.1080/19443994.2016.1138148</t>
  </si>
  <si>
    <t>ED1FX</t>
  </si>
  <si>
    <t>WOS:000388591300023</t>
  </si>
  <si>
    <t>Kilic, O; Belivermis, M; Sezer, N; Kalayci, G</t>
  </si>
  <si>
    <t>Kilic, Onder; Belivermis, Murat; Sezer, Narin; Kalayci, Gulsah</t>
  </si>
  <si>
    <t>DELINEATION OF RADIONUCLIDE BIOACCUMULATION IN GOLDEN HORN, ISTANBUL, USING BIOINDICATOR MUSSEL Passive Monitoring and Transplantation</t>
  </si>
  <si>
    <t>NUCLEAR TECHNOLOGY &amp; RADIATION PROTECTION</t>
  </si>
  <si>
    <t>Mytilus galloprovincialis; mussel transplantation; radionuclide; Golden Horn estuary</t>
  </si>
  <si>
    <t>MYTILUS-GALLOPROVINCIALIS; RADIOACTIVITY CONCENTRATIONS; NATURAL RADIONUCLIDES; METAL CONCENTRATIONS; COASTAL POPULATION; DOSE ASSESSMENT; TURKISH COAST; HEAVY-METALS; AEGEAN SEA; BLACK-SEA</t>
  </si>
  <si>
    <t>The Golden Horn estuary in the centre of Istanbul, has been exposed to many pollutants from domestic and industrial waste effluent during the second half of the 20th century. In this study, Mediterranean mussel (Mytilus galloprovincialis) was seasonally collected from eight sites in the Golden Horn estuary, Istanbul to determine the bioaccumulation of Cs-137, K-40, Po-210, and Pb-210 between 2013 and 2014. The averages activity concentrations of Cs-137, K-40, Po-210, and Pb-210 were determined to be 1.36, 463, 91.64, and 11.51 Bqkg(-1) at dry weight, respectively. Mussel samples were also transplanted between the middle and lower part of the estuary to investigate variations in the levels of radionuclides over the course of the year. Higher concentrations were observed except for Po-210, compared with their initial concentrations in the transplanted mussels. Besides, the average and range annual effective ingestion dose values were calculated to be 11.96 and 2.23-34.45 mu Sv due to Po-210 through consumption of mussels from the Golden Horn. According to obtained dose levels, there is no health risk in terms of Po-210 consumption of mussels.</t>
  </si>
  <si>
    <t>[Kilic, Onder; Belivermis, Murat; Sezer, Narin; Kalayci, Gulsah] Istanbul Univ, Fac Sci, Dept Biol, Istanbul, Turkey</t>
  </si>
  <si>
    <t>Kilic, O (corresponding author), Istanbul Univ, Fac Sci, Dept Biol, Istanbul, Turkey.</t>
  </si>
  <si>
    <t>Belivermis, Murat/0000-0003-4826-5246; Kilic, Onder/0000-0002-1765-6036; Sezer, Narin/0000-0002-3659-722X</t>
  </si>
  <si>
    <t>Scientific and Technological Research Council of Turkey (TUBITAK) [112Y060]; Istanbul University [26793]</t>
  </si>
  <si>
    <t>Scientific and Technological Research Council of Turkey (TUBITAK)(Turkiye Bilimsel ve Teknolojik Arastirma Kurumu (TUBITAK)); Istanbul University(Istanbul University)</t>
  </si>
  <si>
    <t>This research was supported by the Scientific and Technological Research Council of Turkey (TUBITAK, Project number: 112Y060). The authors are grateful to Istanbul Metropolitan Municipality, the Department of Environmental Protection and Development, and the Directorate of Sea Services for their valuable assistance.; The research was also founded by Istanbul University with the project number 26793.</t>
  </si>
  <si>
    <t>VINCA INST NUCLEAR SCI</t>
  </si>
  <si>
    <t>MIHAJLA PETROVICA-ALASA 12-14 VINCA, 11037 BELGRADE. POB 522, BELGRADE, 11001, SERBIA</t>
  </si>
  <si>
    <t>1451-3994</t>
  </si>
  <si>
    <t>NUCL TECHNOL RADIAT</t>
  </si>
  <si>
    <t>Nucl. Technol. Radiat. Prot.</t>
  </si>
  <si>
    <t>10.2298/NTRP1801125K</t>
  </si>
  <si>
    <t>Nuclear Science &amp; Technology</t>
  </si>
  <si>
    <t>GK7HO</t>
  </si>
  <si>
    <t>WOS:000436369300016</t>
  </si>
  <si>
    <t>Huang, Q; Chen, YX; Liu, MY; Liu, JJ; Wang, JW; Zhou, KL; Li, HF; Deng, YY; Zhang, XY; Wei, Y</t>
  </si>
  <si>
    <t>Huang, Qiang; Chen, Yuxin; Liu, Meiying; Liu, Jinjin; Wang, Jiawei; Zhou, Kelun; Li, Hongfang; Deng, Yanyun; Zhang, Xiaoyong; Wei, Yen</t>
  </si>
  <si>
    <t>The combination of mussel-inspired chemistry and surface-initiated redox polymerization for surface modification of silica microspheres and their environmental adsorption applications</t>
  </si>
  <si>
    <t>Mussel-inspired chemistry; Surface-initiated redox polymerization; Carboxyl groups modified silica microspheres; Methylene blue adsorption</t>
  </si>
  <si>
    <t>LAYERED DOUBLE HYDROXIDES; HEAVY-METAL IONS; METHYLENE-BLUE; AQUEOUS-SOLUTION; EFFICIENT REMOVAL; CARBON NANOTUBES; GRAPHENE OXIDE; DYE ADSORPTION; NANOPARTICLES; COAGULATION</t>
  </si>
  <si>
    <t>In this report, a novel strategy that combination of mussel-inspired chemistry and surface-initiated redox polymerization has been developed for preparation of carboxyl groups modified SiO2 (SiO2-PDA-PIA). The potential applications of these SiO2-PDA-PIA polymer composites to remove cationic organic dye methylene blue (MB) have also examined. The morphology and structures of SiO2-PDA-PIA are systematically characterized using transmission electron microscope (TEM), Fourier transform infrared spectroscopy (FT-IR), thermogravimetric analysis (TGA), and X-ray photoelectron spectroscopy (XPS) measurements. The SiO2-PDA-PIA composites show good surface morphology and abundant functional groups, which can be used as an excellent adsorbent for the removal of cationic dye pollutants. The effects of contact time, initial MB concentration, solution pH and temperature on the MB adsorption have been investigated. The adsorption of MB onto SiO2-PDA-PIA is highly dependent on the solution pH, initial MB concentration and temperature. As compared with pure SiO2, the SiO2-PDA-PIA shows 3-fold increase in adsorption capacity toward MB. The kinetic results show that the adsorption process is well-described by the pseudo-second-order. The equilibrium data are fitted using Langmuir and Freundlich isotherm models. The results show that the better agreement is Langmuir isotherm model with the correlation coefficient of 0.9954. The thermodynamic analyses show that the adsorption of MB onto SiO2-PDA-PIA is endothermic and spontaneous. Besides, the maximum adsorption capacity is calculated to be 215.97 mg/g. The high adsorption capacity of SiO2-PDA-PIA composites makes them to be promising adsorbents for the practical application in environment. (C) 2017 Elsevier B.V. All rights reserved.</t>
  </si>
  <si>
    <t>[Huang, Qiang; Chen, Yuxin; Liu, Meiying; Liu, Jinjin; Wang, Jiawei; Zhou, Kelun; Li, Hongfang; Deng, Yanyun; Zhang, Xiaoyong] Nanchang Univ, Dept Chem, 999 Xuefu Ave, Nanchang 330031, Jiangxi, Peoples R China; [Wei, Yen] Tsinghua Univ, Dept Chem, Beijing 100084, Peoples R China; [Wei, Yen] Tsinghua Univ, Tsinghua Ctr Frontier Polymer Res, Beijing 100084, Peoples R China; [Wei, Yen] Chung Yuan Christian Univ, Dept Chem, Chungli 32023, Taiwan; [Wei, Yen] Chung Yuan Christian Univ, Ctr Nanotechnol, Chungli 32023, Taiwan</t>
  </si>
  <si>
    <t>Nanchang University; Tsinghua University; Tsinghua University; Chung Yuan Christian University; Chung Yuan Christian University</t>
  </si>
  <si>
    <t>Wei, Y (corresponding author), Tsinghua Univ, Dept Chem, Beijing 100084, Peoples R China.;Wei, Y (corresponding author), Tsinghua Univ, Tsinghua Ctr Frontier Polymer Res, Beijing 100084, Peoples R China.;Wei, Y (corresponding author), Chung Yuan Christian Univ, Dept Chem, Chungli 32023, Taiwan.;Wei, Y (corresponding author), Chung Yuan Christian Univ, Ctr Nanotechnol, Chungli 32023, Taiwan.</t>
  </si>
  <si>
    <t>xiaoyongzhang1980@gmail.com; weiyen@tsinghua.edu.cn</t>
  </si>
  <si>
    <t>liu, meiying/H-7762-2013; Wei, Yen/H-5329-2012; Chen, Yuxin/HOH-1234-2023; zhang, xiaoyong/D-9539-2011; WANG, Jiawei/GMX-3167-2022</t>
  </si>
  <si>
    <t>National Science Foundation of China [51363016, 21474057, 21564006, 21561022, 21644014, 51673107]; Natural Science Foundation of Jiangxi Province in China [20161BAB203072, 20161BAB213066]</t>
  </si>
  <si>
    <t>National Science Foundation of China(National Natural Science Foundation of China (NSFC)); Natural Science Foundation of Jiangxi Province in China(Natural Science Foundation of Jiangxi Province)</t>
  </si>
  <si>
    <t>This research was supported by the National Science Foundation of China (Nos. 51363016, 21474057, 21564006, 21561022, 21644014, 51673107), Natural Science Foundation of Jiangxi Province in China (Nos. 20161BAB203072, 20161BAB213066).</t>
  </si>
  <si>
    <t>10.1016/j.molliq.2017.10.101</t>
  </si>
  <si>
    <t>FQ4FZ</t>
  </si>
  <si>
    <t>WOS:000418314400099</t>
  </si>
  <si>
    <t>Sirajudheen, P; Karthikeyan, P; Meenakshi, S</t>
  </si>
  <si>
    <t>Sirajudheen, P.; Karthikeyan, Perumal; Meenakshi, Sankaran</t>
  </si>
  <si>
    <t>Mechanistic performance of organic pollutants removal from water using Zn/Al layered double hydroxides imprinted carbon composite</t>
  </si>
  <si>
    <t>Carbon framework; Dye adsorption; Layered double hydroxides; Isotherm data</t>
  </si>
  <si>
    <t>MUSSEL-INSPIRED CHEMISTRY; ACID BLUE 158; FACILE PREPARATION; EFFICIENT REMOVAL; AQUEOUS-SOLUTION; ADSORPTION THERMODYNAMICS; SENSOR DEVELOPMENT; ZSM-5 ZEOLITES; WASTE-WATER; FABRICATION</t>
  </si>
  <si>
    <t>A lithe zinc-aluminium layered double hydroxides were imprinted on activated carbon and fabricated Zn/Al LDHs@C composite. The composite matrix was utilized for the removal of toxic Congo Red (CR), Acid Red 1 (AR1) and Reactive Red 2 (RR2) dyes from water. The Zn/Al LDHs@C composite was characterized by Fourier transform infrared spectroscopy (FTIR), Scanning electron microscopy (SEM), Transmission electron microscopy (TEM), Energy Dispersive X-Ray Analysis (EDAX), Brunauer-Emmett-Teller (BET), Thermogravimetric analysis Differential scanning calorimetry (TGA-DSC) and Powder X-ray diffraction (PXRD) analytical techniques. The adsorption process was evaluated by varying the parameters such as contact time, composite dosage, pH of the solution, initial dye concentration and interfering anions. The maximum adsorption of CR, AR1 and RR2 dyes on Zn/Al LDHs@C composite were 44.09, 48.37 and 49.52 mg/g, respectively. The enhanced adsorption efficiency of the composite might be due to the existence of binding forces such as electrostatic attraction of the layered double hydroxide, hydrogen bonding sites on the Zn/Al LDHs@C and the surface complexation phenomena of the composite with the dye molecules. The Freundlich isotherm model was fit superior at the saturation point, indicating the heterogeneous surface interaction. Thermodynamic studies recommend that the adsorption process was spontaneous and endothermic in nature. The adsorption-desorption studies of Zn/Al LDHs@C composite were achieved up to five successive cycles with high efficiency. The enhanced adsorption efficiency of the Zn/Al LDHs@C composite suggested that the fabricated composite was suitable for the removal of CR, AR1 and RR2 dye molecules from water than any other developed hybrids.</t>
  </si>
  <si>
    <t>[Sirajudheen, P.; Karthikeyan, Perumal; Meenakshi, Sankaran] Gandhigram Rural Inst Deemed Be Univ, Dept Chem, Dindigul 624302, Tamil Nadu, India; [Sirajudheen, P.] Pocker Sahib Mem Orphanage Coll, Dept Chem, Malappuram 676306, Kerala, India</t>
  </si>
  <si>
    <t>Gandhigram Rural Institute</t>
  </si>
  <si>
    <t>Meenakshi, S (corresponding author), Gandhigram Rural Inst Deemed Be Univ, Dept Chem, Dindigul 624302, Tamil Nadu, India.</t>
  </si>
  <si>
    <t>sankaranmeenakshi2014@gmail.com</t>
  </si>
  <si>
    <t>Karthikeyan, Perumal/T-6719-2019; Sirajudheen, Palliyalil/GLT-8188-2022; Meenakshi, Sankaran/AAF-5748-2020</t>
  </si>
  <si>
    <t>Meenakshi, Sankaran/0000-0003-3350-2325</t>
  </si>
  <si>
    <t>Defence Research &amp; Development Organization Directorate of Extramural Research and Intellectual Property Rights (ERIPR) [ERIP/ER/1503189/M/01/1730]; Ministry of Defence, New Delhi, India</t>
  </si>
  <si>
    <t>Defence Research &amp; Development Organization Directorate of Extramural Research and Intellectual Property Rights (ERIPR); Ministry of Defence, New Delhi, India</t>
  </si>
  <si>
    <t>Authors are thankful to the Defence Research &amp; Development Organization Directorate of Extramural Research and Intellectual Property Rights (ER&amp;IPR) (No. ERIP/ER/1503189/M/01/1730), Ministry of Defence, New Delhi, India for the provision of financial support to carry out this research work.</t>
  </si>
  <si>
    <t>10.1016/j.surfin.2020.100581</t>
  </si>
  <si>
    <t>NT4KS</t>
  </si>
  <si>
    <t>WOS:000572912400013</t>
  </si>
  <si>
    <t>Cunha, SC; Fernandes, JO; Vallecillos, L; Cano-Sancho, G; Domingo, JL; Pocurull, E; Borrull, F; Maulvault, AL; Ferrari, F; Fernandez-Tejedor, M; Van den Heuvel, F; Kotterman, M</t>
  </si>
  <si>
    <t>Cunha, S. C.; Fernandes, J. O.; Vallecillos, L.; Cano-Sancho, G.; Domingo, J. L.; Pocurull, E.; Borrull, F.; Maulvault, A. L.; Ferrari, F.; Fernandez-Tejedor, M.; Van den Heuvel, F.; Kotterman, M.</t>
  </si>
  <si>
    <t>Co-occurrence of musk fragrances and UV-filters in seafood and macroalgae collected in European hotspots</t>
  </si>
  <si>
    <t>Contaminants; Fish; Gas chromatography-mass spectrometry; Macroalgae; Musk fragrances; UV-filters</t>
  </si>
  <si>
    <t>PERSONAL-CARE PRODUCTS; MARINE MUSSELS; WASTE-WATER; QUECHERS EXTRACTION; SYNTHETIC MUSKS; FISH; PHARMACEUTICALS; CONTAMINANTS; STABILIZERS</t>
  </si>
  <si>
    <t>In the last decades, awareness regarding personal care products (PCP), i.e. synthetic organic chemicals frequently used in cosmetic and hygienic products, has become a forward-looking issue, due to their persistency in the environment and their potential multi-organ toxicity in both human and wildlife. Seafood is one of the most significant food commodities in the world and, certainly, one of the most prone to bioaccumulation of PCP, what can consequently lead to human exposure, especially for coastal population, where its consumption is more marked. The aim of this work was to evaluate the co-occurrence of musk fragrances and UV-filters in both seafood and macroalgae collected in different European hotspots (areas with high levels of pollution, highly populated and near wastewater treatment plants). Despite the fact that UV-filters were detected in three different kind of samples (mussel, mullet, and clam), in all cases they were below the limit of quantification. Galaxolide (HHCB) and tonalide (AHTN) were the musk fragrances most frequently detected and quantified in samples from the European hotspots. Cashmeran (DPMI) was also detected in most samples but only quantified in two of them (flounder/herring and mullet). The highest levels of HHCB and AHTN were found in mussels from Po estuary. (C) 2015 Elsevier Inc. All rights reserved.</t>
  </si>
  <si>
    <t>[Cunha, S. C.; Fernandes, J. O.] Univ Porto, Lab Bromatol &amp; Hydrol, LAQV REQUIMTE, Fac Pharm, P-4050313 Oporto, Portugal; [Vallecillos, L.; Pocurull, E.; Borrull, F.] Univ Rovira &amp; Virgili, Dept Quim Analit &amp; Quim Organ, E-43007 Tarragona, Catalonia, Spain; [Cano-Sancho, G.; Domingo, J. L.] Univ Rovira &amp; Virgili, IISPV, Sch Med, Lab Toxicol &amp; Environm Hlth, E-43201 Reus, Catalonia, Spain; [Maulvault, A. L.] Portuguese Inst Sea &amp; Atmosphere IPMA, Div Aquaculture &amp; Upgrading DivAV, P-1449006 Lisbon, Portugal; [Ferrari, F.] Aeiforia Srl, I-29027 Gariga Di Podenzano, Piacenza, Italy; [Fernandez-Tejedor, M.] IRTA, E-43540 Tarragona, Spain; [Van den Heuvel, F.] Hortimare Projects &amp; Consultancy BV, Rotterdam, Netherlands; [Kotterman, M.] Stichting Dienst Landbouwkundig Onderzoek, IMARES, NL-1976 CP Ijmuiden, Netherlands</t>
  </si>
  <si>
    <t>Universidade do Porto; Instituto Politecnico do Porto; Universitat Rovira i Virgili; Universitat Rovira i Virgili; Institut d'Investigacio Sanitaria Pere Virgili (IISPV); Instituto Portugues do Mar e da Atmosfera; IRTA; Wageningen University &amp; Research</t>
  </si>
  <si>
    <t>Cunha, SC (corresponding author), Univ Porto, Lab Bromatol &amp; Hydrol, LAQV REQUIMTE, Fac Pharm, Rua Jorge de Viterbo Ferreira 228, P-4050313 Oporto, Portugal.</t>
  </si>
  <si>
    <t>Fernandes, Jose/D-6704-2013; Domingo, Jose/E-8327-2014; Maulvault, Ana Luisa/K-6781-2014; Vallecillos, Laura/F-6728-2016; Fernandez-Tejedor, Margarita/J-9449-2013; Cunha, Sara/D-6652-2013</t>
  </si>
  <si>
    <t>Maulvault, Ana Luisa/0000-0003-4382-1135; Domingo, Jose L/0000-0001-6647-9470; Fernandes, Jose/0000-0002-8565-2942; Vallecillos, Laura/0000-0001-8814-6677; Fernandez-Tejedor, Margarita/0000-0002-2875-1135; Cunha, Sara/0000-0003-4320-2318; Cano-Sancho, German/0000-0003-4111-4007; Borrull, Francesc/0000-0003-2718-9336</t>
  </si>
  <si>
    <t>European Union [311820]</t>
  </si>
  <si>
    <t>The research leading to these results has received funding from the European Union Seventh Framework Programme (FP7/2007-2013) under the ECsafeSEAFOOD project (Grant Agreement no. 311820).</t>
  </si>
  <si>
    <t>10.1016/j.envres.2015.05.003</t>
  </si>
  <si>
    <t>CX8CX</t>
  </si>
  <si>
    <t>WOS:000365931300009</t>
  </si>
  <si>
    <t>Yang, CY; Hao, RJ; Du, XD; Wang, QH; Deng, YW; Sun, RJ</t>
  </si>
  <si>
    <t>Yang, Chuangye; Hao, Ruijuan; Du, Xiaodong; Wang, Qingheng; Deng, Yuewen; Sun, Ruijiao</t>
  </si>
  <si>
    <t>Response to different dietary carbohydrate and protein levels of pearl oysters (Pinctada fucata martensii) as revealed by GC-TOF/MS-based metabolomics</t>
  </si>
  <si>
    <t>Land-based culturing; Metabolomics; Formulated diet; Carbohydrate; Protein; Pinctada fucata martensii</t>
  </si>
  <si>
    <t>TILAPIA OREOCHROMIS-NILOTICUS; NMR-BASED METABOLOMICS; BIOCHEMICAL-COMPOSITION; GROWTH-PERFORMANCE; OXIDATIVE STATUS; FORMULATED DIET; GENE-EXPRESSION; METABOLISM; LARVAE; SUCCINATE</t>
  </si>
  <si>
    <t>Land-based culturing can avoid the effects of environmental pollution and natural disasters, thus ensuring food safety for shellfish. However, food availability, in this case, is limited. To achieve the optimum balance of dietary carbohydrates and proteins and explore the mechanisms behind the phenomenon, we formulated five isoenergetic and isolipidic diets (C30P40, C35P35, C40P30, C45P25, and C50P20) with different levels of carbohydrates (C) and proteins (P). There were five experimental groups (C30P40, C35P35, C40P30, C45P25, and C50P20) and two control groups (CG1 and CG2). CG1 was fed with mixed powders of yeast and Chlorella sp., and CG2 was cultured in natural sea. After 60-day feeding, the highest rates of survival and absolute growth appeared in C45P25. C45P25 exhibited significantly higher activities of amylase, protease, alkaline phosphatase, acid phosphatase, superoxide dismutase, catalase, glutathione peroxidase, and phenoloxidase and significantly lower malondialdehyde content than C30P40, C35P35, C40P30, C50P20, and CG1. No significant differences were observed between C45P25 and CG2. Furthermore, the total antioxidant capacity of the pearl oysters in C45P25 was significantly higher than that in C30P40, C35P35, C40P30, and C50P20. On the basis of these results, the optimal balance of proteins and carbohydrates for pearl oysters was the C45P25 diet. Metabolomics-based profiling of the pearl oysters fed with high-carbohydrate/low-protein diet (C45P25) and low-carbohydrate/ high-protein diet (C30P40) revealed 80 significantly different metabolites (VIP &gt; 1 and P &lt; 0.05). Furthermore, integrated key metabolic pathway analysis showed that C45P25 regulated starch and sucrose metabolism, alanine, aspartate and glutamate metabolism and glycine, serine and threonine metabolism to meet the energy demand and increase the glucogenic amino acid, thereby promoting protein synthesis and reducing fatty acid beta-oxidation in comparison with C30P40. This finding helps elucidate the underlying mechanisms leading to the high-carbohydrate/low-protein diet characteristic of the optimal dietary carbohydrate and protein levels of P.f. martensii. (C) 2018 Elsevier B.V. All rights reserved.</t>
  </si>
  <si>
    <t>[Yang, Chuangye; Hao, Ruijuan; Du, Xiaodong; Wang, Qingheng; Deng, Yuewen] Guangdong Ocean Univ, Fisheries Coll, Zhanjiang 524088, Peoples R China; [Du, Xiaodong; Wang, Qingheng; Deng, Yuewen] Pearl Breeding &amp; Proc Engn Technol Res Ctr Guangd, Zhanjiang 524088, Peoples R China; [Sun, Ruijiao] Zhejiang Hengxing Food Co Ltd, Jiaxing 314100, Peoples R China</t>
  </si>
  <si>
    <t>Du, XD (corresponding author), Guangdong Ocean Univ, Fisheries Coll, Zhanjiang 524088, Peoples R China.</t>
  </si>
  <si>
    <t>gdhddxd@hotmail.com</t>
  </si>
  <si>
    <t>Yang, Chuangye/K-5151-2019; Hao, Ruijuan/GPP-5716-2022; Wang, Guanhua/JXM-6373-2024</t>
  </si>
  <si>
    <t>Yang, Chuangye/0000-0001-6648-5424</t>
  </si>
  <si>
    <t>Science and Technology Department, Guangdong Province [2014A020208122]; Graduate Education Innovation Program of Guangdong Ocean University [201720]; Innovation Team Project from the Department of Education of Guangdong Province [2017KCXTD016]; Guangdong Marine and Fishery Bureau [Z2014009, B201601-Z10]</t>
  </si>
  <si>
    <t>Science and Technology Department, Guangdong Province; Graduate Education Innovation Program of Guangdong Ocean University; Innovation Team Project from the Department of Education of Guangdong Province; Guangdong Marine and Fishery Bureau</t>
  </si>
  <si>
    <t>This work was supported by the Science and Technology Department, Guangdong Province (Grant number: 2014A020208122), the Graduate Education Innovation Program of Guangdong Ocean University (Grant number: 201720), Innovation Team Project (grant number: 2017KCXTD016) from the Department of Education of Guangdong Province, and the Guangdong Marine and Fishery Bureau (Grant numbers: Z2014009 and B201601-Z10). GC-TOF/MS analysis was assisted by Biotree Biotech Co., Ltd. (Shanghai, China).</t>
  </si>
  <si>
    <t>10.1016/j.scitotenv.2018.10.023</t>
  </si>
  <si>
    <t>WOS:000447871400090</t>
  </si>
  <si>
    <t>Savini, D; Occhipinti-Ambrogi, A; Marchini, A; Tricarico, E; Gherardi, F; Olenin, S; Gollasch, S</t>
  </si>
  <si>
    <t>Savini, D.; Occhipinti-Ambrogi, A.; Marchini, A.; Tricarico, E.; Gherardi, F.; Olenin, S.; Gollasch, S.</t>
  </si>
  <si>
    <t>The top 27 animal alien species introduced into Europe for aquaculture and related activities</t>
  </si>
  <si>
    <t>JOURNAL OF APPLIED ICHTHYOLOGY</t>
  </si>
  <si>
    <t>International Conference and Workshop on Managing Alien Species for Sustainable Development of Aquaculture and Fisheries</t>
  </si>
  <si>
    <t>NOV 05-07, 2008</t>
  </si>
  <si>
    <t>Univ Florence, Florence, ITALY</t>
  </si>
  <si>
    <t>Univ Florence</t>
  </si>
  <si>
    <t>CRAYFISH; MARINE; INVASIONS; PATTERNS; HISTORY; TROUT; RIVER; FISH</t>
  </si>
  <si>
    <t>The information extracted from IMPASSE, DAISIE, Fish-Base, and FAO-DIAS inventories of alien species were used to draw a list of the 27 most utilized animal alien species for aquaculture and related activities (e. g. stocking, sport fishing, ornamental purposes) in Europe. Three variables have been considered to assess their negative ecological impacts when these species escape from aquaculture facilities: (i) their distribution across Europe (including non-EU Member States); (ii) evidence of their environmental impact in the wild; and (iii) evidence of their being vectors of non-target alien species and other hitchhikers (e. g. pathogens). Drivers of use and mechanisms of dispersal in the wild have been also considered and reviewed. Twenty of the species are freshwater fishes: alien cyprinids and salmonids have been introduced into Europe mainly for food production, sport fishing and ornamental purposes. The most widespread species are the goldfish Carassius auratus and the rainbow trout Oncorhynchus mykiss, established in 29 and 28 European countries, respectively. Notwithstanding their successful distribution in Europe, only the Gibel carp Carassius gibelio and the peneid shrimp Marsupenaeus japonicus were found to have environmental impact in all the countries of establishment. Crayfish and predatory fishes (e. g. catfishes and salmonids) cause major environmental impacts in Europe by outcompeting native species and altering habitat structure. Alien crayfish, Procambarus clarkii and Pacifastacus leniusculus, are responsible for the largest range of impacts (i. e. crayfish plague dissemination, bioaccumulation of pollutants, community dominance, competition and predation on native species, habitat modifications, food web impairment, herbivory and macrophytes removal). Cyprinids (e. g. herbivorous carps) are vectors of diseases and parasites, while salmonids (e. g. Salvelinus fontinalis) often cause genetic impairment of native stocks by hybridization. The importation of alien farmed (target) species frequently leads to the introduction of associated non-target species. The cultures of the Pacific cupped oyster Crassostrea gigas and Manila clam Ruditapes philippinarum were responsible for the introduction of the largest number (60) of non-native invertebrates and algae, often attached to packaging material, fouling the shell or parasitizing bivalve tissues.</t>
  </si>
  <si>
    <t>[Savini, D.; Occhipinti-Ambrogi, A.; Marchini, A.] Univ Pavia, Dipartimento Ecol Territorio, I-27100 Pavia, Italy; [Tricarico, E.; Gherardi, F.] Univ Florence, Dipartimento Biol Evoluzionist, Florence, Italy; [Olenin, S.] Klaipeda Univ, Coastal Res &amp; Planning Inst, Klaipeda, Lithuania; [Olenin, S.] Unifob Environm Res, Bergen, Norway; [Gollasch, S.] GoConsult, Hamburg, Germany</t>
  </si>
  <si>
    <t>University of Pavia; University of Florence; Klaipeda University</t>
  </si>
  <si>
    <t>Savini, D (corresponding author), Univ Pavia, Dipartimento Ecol Territorio, Via S Epifanio 14, I-27100 Pavia, Italy.</t>
  </si>
  <si>
    <t>dario.savini@unipv.it</t>
  </si>
  <si>
    <t>Tricarico, Elena/ABC-9819-2021; Marchini, Agnese/J-9256-2012; Gollasch, Stephan/AAI-2041-2021</t>
  </si>
  <si>
    <t>Marchini, Agnese/0000-0003-4580-0522; Olenin, Sergej/0000-0002-0773-1442; Tricarico, Elena/0000-0002-7392-0794; OCCHIPINTI, ANNA CARMEN/0000-0002-5737-8317; Gollasch, Stephan/0000-0003-4410-6969</t>
  </si>
  <si>
    <t>0175-8659</t>
  </si>
  <si>
    <t>1439-0426</t>
  </si>
  <si>
    <t>J APPL ICHTHYOL</t>
  </si>
  <si>
    <t>J. Appl. Ichthyol.</t>
  </si>
  <si>
    <t>10.1111/j.1439-0426.2010.01503.x</t>
  </si>
  <si>
    <t>639MS</t>
  </si>
  <si>
    <t>WOS:000280979500002</t>
  </si>
  <si>
    <t>Sutherland, GE; Franco, ME; Willing, SM; Lavado, R</t>
  </si>
  <si>
    <t>Sutherland, Grace E.; Franco, Marco E.; Willing, Sarah M.; Lavado, Ramon</t>
  </si>
  <si>
    <t>Applicability of a human cell co-culture model to evaluate antioxidant responses triggered by chemical mixtures in fish and oyster homogenates</t>
  </si>
  <si>
    <t>Co-culture; Caco-2; HepaRG; Chemical mixtures; Cytotoxicity; Antioxidant enzymes</t>
  </si>
  <si>
    <t>OXIDATIVE STRESS; TROPHIC TRANSFER; FLAME RETARDANTS; TOXICITY; CACO-2; LINE; CYTOTOXICITY; HEPATOCYTES; METABOLISM; POLLUTANTS</t>
  </si>
  <si>
    <t>The accumulation of chemical compounds in fish tissue represents significant health concerns for seafood consumers, but little is known about the risks to human health associated with such substances. The identification of adverse biological responses upon exposure to contaminants has been facilitated by the development of in vitro systems resembling the human dietary pathway. The present study explores the applicability of an organotypic co-culture system, using intestinal (Caco-2) and hepatic (HepaRG) cell lines, to provide insight into the toxicity of chemical mixtures found in commercially available seafood. Chemical extractions were conducted utilizing fish and oyster standard reference material (SRM) from the U.S. National Institute of Standards and Technology (NIST). Cells were seeded in monoculture and co-culture systems and exposed to SRM extracts before measurements of cytotoxicity and antioxidant responses. Exposure to oyster extracts led to significant cell mortality in monocultures. HepaRG cells in monoculture expressed lower levels of glutathione peroxidase and superoxide dismutase than HepaRG cells in co-culture, upon exposure to both oyster and fish extracts. These observations illustrate the importance of organotypic co-culture models to explore biological responses that could be otherwise difficult to evaluate in monocultures, and the adverse effects associated with the consumption of contaminated seafood.</t>
  </si>
  <si>
    <t>[Sutherland, Grace E.; Franco, Marco E.; Willing, Sarah M.; Lavado, Ramon] Baylor Univ, Dept Environm Sci, One Bear Pl 97266, Waco, TX 76798 USA</t>
  </si>
  <si>
    <t>Baylor University</t>
  </si>
  <si>
    <t>Lavado, R (corresponding author), Baylor Univ, Dept Environm Sci, One Bear Pl 97266, Waco, TX 76798 USA.</t>
  </si>
  <si>
    <t>Ramon_Lavado@baylor.edu</t>
  </si>
  <si>
    <t>Lavado, Ramon/D-3544-2011</t>
  </si>
  <si>
    <t>Lavado, Ramon/0000-0002-2774-5104</t>
  </si>
  <si>
    <t>Baylor University; Department of Environmental Science; C. Gus Glasscock, Jr. Endowed Fund of Excellence in Environmental Sciences</t>
  </si>
  <si>
    <t>The authors gratefully acknowledge Baylor University and the Department of Environmental Science for providing funds to make this research possible. This work was supported in part by funds from the Young Investigator Development Program, the Vice Provost for Research at Baylor University and the C. Gus Glasscock, Jr. Endowed Fund of Excellence in Environmental Sciences. The authors would also like to thank Dr. Erica Bruce for kindly providing Caco-2 cells, and Dr. Sascha Usenko for assistance in the extraction process.</t>
  </si>
  <si>
    <t>10.1016/j.fct.2019.04.005</t>
  </si>
  <si>
    <t>HZ2XN</t>
  </si>
  <si>
    <t>WOS:000468712200018</t>
  </si>
  <si>
    <t>Dasi, EA; Cunningham, JA; Talla, E; Ergas, SJ</t>
  </si>
  <si>
    <t>Dasi, Erica A.; Cunningham, Jeffrey A.; Talla, Emmanuel; Ergas, Sarina J.</t>
  </si>
  <si>
    <t>Autotrophic denitrification supported by sphalerite and oyster shells: Chemical and microbiome analysis</t>
  </si>
  <si>
    <t>BIORESOURCE TECHNOLOGY</t>
  </si>
  <si>
    <t>Sphalerite; Oyster shells; Autotrophic denitrification; Phosphorus removal; 5-Stage Bardenpho microbiome</t>
  </si>
  <si>
    <t>SULFUR PRODUCT LAYER; WASTE-WATER; PHOSPHORUS REMOVAL; PHOSPHATE REMOVAL; PYRITE; NITRATE; NITROGEN; ZINC; HYDROXIDE; MECHANISM</t>
  </si>
  <si>
    <t>This research evaluated the metal-sulfide mineral, sphalerite, as an electron donor for autotrophic denitrification, with and without oyster shells (OS). Batch reactors containing sphalerite simultaneously removed NO3- and PO43- from groundwater. OS addition minimized NO2- accumulation and removed 100% PO43- in approximately half the time compared with sphalerite alone. Further investigation using domestic wastewater revealed that sphalerite and OS removed NO3- at a rate of 0.76 +/- 0.36 mg NO3- -N/(L center dot d), while maintaining consistent PO43- removal (similar to 97%) over 140 days. Increasing the sphalerite and OS dose did not improve the denitrification rate. 16S rRNA amplicon sequencing indicated that sulfur-oxidizing species of Chromatiales, Burkholderiales, and Thiobacillus played a role in N removal during sphalerite autotrophic denitrification. This study provides a comprehensive understanding of N removal during sphalerite autotrophic denitrification, which was previously unknown. Knowledge from this work could be used to develop novel technologies for addressing nutrient pollution.</t>
  </si>
  <si>
    <t>[Dasi, Erica A.; Cunningham, Jeffrey A.; Ergas, Sarina J.] Univ South Florida USF, Dept Civil &amp; Environm Engn, 4202 E Fowler Ave,ENG 030, Tampa, FL 33620 USA; [Talla, Emmanuel] Aix Marseille Univ, CNRS, Lab Chim Bacterienne LCB, F-13009 Marseille, France</t>
  </si>
  <si>
    <t>State University System of Florida; University of South Florida; Aix-Marseille Universite; Centre National de la Recherche Scientifique (CNRS)</t>
  </si>
  <si>
    <t>Ergas, SJ (corresponding author), Univ South Florida USF, Dept Civil &amp; Environm Engn, 4202 E Fowler Ave,ENG 030, Tampa, FL 33620 USA.</t>
  </si>
  <si>
    <t>sergas@usf.edu</t>
  </si>
  <si>
    <t>Ergas, Sarina/B-5489-2013; Cunningham, Jeffrey/A-6995-2018</t>
  </si>
  <si>
    <t>Cunningham, Jeffrey/0000-0001-9654-8262; TALLA, Emmanuel/0000-0002-7775-8296; Ergas, Sarina/0000-0001-6820-7196; Dasi, Erica/0000-0003-2142-0525</t>
  </si>
  <si>
    <t>USEPA [83560201-0]; National Science Foundation [1243510, 1735320]; Alfred P. Sloan Foundation [2017-9717]; Chateaubriand Fellowship Program; USF's Institute for Microbiomes; Aix Marseille University; Florida Education Fund; CNRS</t>
  </si>
  <si>
    <t>USEPA(United States Environmental Protection Agency); National Science Foundation(National Science Foundation (NSF)); Alfred P. Sloan Foundation(Alfred P. Sloan Foundation); Chateaubriand Fellowship Program; USF's Institute for Microbiomes; Aix Marseille University; Florida Education Fund; CNRS(Centre National de la Recherche Scientifique (CNRS))</t>
  </si>
  <si>
    <t>This research work was supported by the USEPA (Grant No. RD 83560201-0) , National Science Foundation (Grant Nos. 1243510 and 1735320) , Alfred P. Sloan Foundation (Grant No. 2017-9717) , Chateaubriand Fellowship Program, Florida Education Fund, and USF's Institute for Microbiomes. The LCB laboratory was funded by CNRS and Aix Marseille University.</t>
  </si>
  <si>
    <t>0960-8524</t>
  </si>
  <si>
    <t>1873-2976</t>
  </si>
  <si>
    <t>BIORESOURCE TECHNOL</t>
  </si>
  <si>
    <t>Bioresour. Technol.</t>
  </si>
  <si>
    <t>10.1016/j.biortech.2023.128820</t>
  </si>
  <si>
    <t>Agricultural Engineering; Biotechnology &amp; Applied Microbiology; Energy &amp; Fuels</t>
  </si>
  <si>
    <t>Agriculture; Biotechnology &amp; Applied Microbiology; Energy &amp; Fuels</t>
  </si>
  <si>
    <t>I9CH9</t>
  </si>
  <si>
    <t>WOS:001005683100001</t>
  </si>
  <si>
    <t>Can temperature rise change the impacts induced by e-waste on adults and sperm of Mytilus galloprovincialis?</t>
  </si>
  <si>
    <t>Dysprosium; Warming; Mussel; Histopathology; Oxidative stress; Physiological alterations</t>
  </si>
  <si>
    <t>RARE-EARTH-ELEMENTS; FRESH-WATER MUSSEL; SCAVENGING CAPACITY; CO2 EMISSIONS; STRESS; DYSPROSIUM; PERFORMANCE; GADOLINIUM; POLLUTION; RESPONSES</t>
  </si>
  <si>
    <t>Nowadays, it is of utmost importance to consider climate change factors, such as ocean warming, since the risk of negative impacts derived from increased surface water temperature is predicted to be high to the biodiversity. The need for renewable energy technologies, to reduce greenhouse gas emissions, has led to the increasing use of rare earth elements (REEs). Dysprosium (Dy) is widely used in magnets, motors, electrical vehicles, and nuclear reactors, being considered a critical REE to technology due to its economic importance and high supply risk. However, the increasing use of this element contributes to the enrichment of anthropogenic REEs in aquatic systems. Nevertheless, the information on the potential toxicity of Dy is limited. Moreover, the effects of pollutants can be amplified when combined with climate change factors. Thus, this study aimed to assess the effects of Dy (10 &amp; mu;g/L) in the species Mytilus galloprovincialis under actual (17 degrees C) and predicted warming conditions (21 degrees C). The Dy concentration in contaminated mussels was similar between temperatures, probably due to the detoxification capacity in individuals under these treatments. The combined stressors affected the redox balance, but higher impacts were caused by Dy and warming acting alone. In terms of cellular damage, although Dy acting alone was prejudicial to mussels, warming and both stressors acting together induced higher levels of LPO and PC. The histopathological effects of Dy in the digestive tubules were independent of the temperature tested. Regarding effects on sperm, only warming induced cellular damage, while both stressors, alone and together, impaired sperm movement. Overall, this study highlights that warming might influence the effects induced by Dy, but greater impacts were caused by the element. Eventually, the tested stressors may have consequences on mussels' reproduction capacity as well as their growth, abundance, and survival.</t>
  </si>
  <si>
    <t>[Leite, Carla; Cuccaro, Alessia; Soares, Amadeu M. V. M.; Freitas, Rosa] Univ Aveiro, Dept Biol, P-3810193 Aveiro, Portugal; [Leite, Carla; Cuccaro, Alessia; Soares, Amadeu M. V. M.; Freitas, Rosa] Univ Aveiro, CESAM, P-3810193 Aveiro, Portugal; [Russo, Tania; Polese, Gianluca] Univ Naples Federico II, Dept Biol, I-80126 Naples, Italy; [Cuccaro, Alessia; Pretti, Carlo] Interuniv Consortium Marine Biol Leghorn G Bacci, I-57128 Livorno, Italy; [Pretti, Carlo] Univ Pisa, Dept Vet Sci, I-56122 Pisa, Italy; [Pereira, Eduarda] Univ Aveiro, Dept Chem, P-3810193 Aveiro, Portugal; [Pereira, Eduarda] Univ Aveiro, LAQV REQUIMTE, P-3810193 Aveiro, Portugal</t>
  </si>
  <si>
    <t>Universidade de Aveiro; Universidade de Aveiro; University of Naples Federico II; Consorzio per il Centro Interuniversitario di Biologia Marina ed Ecologia Applicata G. Bacci; University of Pisa; Universidade de Aveiro; Universidade de Aveiro</t>
  </si>
  <si>
    <t>Pinto, João/ABF-8890-2021; Cuccaro, Alessia/AAN-4418-2020; Freitas, Rosa/A-7539-2012; Pereira, Eduarda/A-5907-2012; Pretti, Carlo/K-5948-2017; Soares, Amadeu/A-8304-2008; Leite, Carla/F-1683-2019; Polese, Gianluca/F-3496-2013; Russo, Tania/AHA-0304-2022</t>
  </si>
  <si>
    <t>Leite, Carla/0000-0001-8579-293X; Cuccaro, Alessia/0000-0001-8631-3822; Pinto, Joao/0000-0002-6175-2906; Polese, Gianluca/0000-0002-6322-7769; Russo, Tania/0000-0002-3531-3977</t>
  </si>
  <si>
    <t>REQUIMTE [UIDB/50006/2020]; CESAM [UIDP/50017/2020 + UIDB/50017/2020 + LA/P/0094/2020]; Portuguese Science Foundation (Fundacao para a Ciencia e a Tecnologia, FCT) [2020.05296. BD, 2020.05323. BD, PD/BD/150609/2020]</t>
  </si>
  <si>
    <t>Thanks are due for financial support to REQUIMTE (UIDB/50006/2020) and CESAM (UIDP/50017/2020 + UIDB/50017/2020 + LA/P/0094/2020) . Carla Leite, Joao Pinto and Alessia Cuccaro acknowledge their Ph.D. grant (2020.05296. BD, 2020.05323. BD and PD/BD/150609/2020, respectively) by the National Funds through the Portuguese Science Foundation (Fundacao para a Ciencia e a Tecnologia, FCT) .</t>
  </si>
  <si>
    <t>10.1016/j.scitotenv.2023.166085</t>
  </si>
  <si>
    <t>S1NU1</t>
  </si>
  <si>
    <t>WOS:001068916300001</t>
  </si>
  <si>
    <t>Clements, JC; Comeau, LA</t>
  </si>
  <si>
    <t>Clements, Jeff C.; Comeau, Luc A.</t>
  </si>
  <si>
    <t>Nitrogen removal potential of shellfish aquaculture harvests in eastern Canada: A comparison of culture methods</t>
  </si>
  <si>
    <t>Bioextraction; Ecosystem services; Molluscs; Nutrient pollution; Water quality</t>
  </si>
  <si>
    <t>HARMFUL ALGAL BLOOMS; WATER-QUALITY; NUTRIENT; EUTROPHICATION; ESTUARIES; MITIGATION; CAPACITY; HYPOXIA; OYSTERS; MUSSELS</t>
  </si>
  <si>
    <t>Bivalve farming can contribute to nutrient removal in coastal and estuarine systems, as bivalves directly incorporate nutrients into their tissues and shells. We conducted a meta-analysis to compare the nitrogen removal potential (NRP; i.e., percentage of nitrogen in tissues and shells) of mussels, Mytilus edulis, and oysters, Crassostrea virginica. We then used species-specific NRPs to determine and compare the total and per-hectare NRPs for four shellfish aquaculture methods used in two Atlantic Canadian provinces - New Brunswick (NB) and Prince Edward Island (PEI) - based on current harvest biomasses. Finally, we determined the contribution of current shellfish farming to nitrogen load mitigation for a subset of bays in NB and PEI. Results revealed that on a per-weight basis, NRP was similar for the tissues of mussels and oysters, while mussel shells had a significantly higher percentage of nitrogen than oyster shells. Collectively, shellfish harvesting has the capacity to remove a mean annual total of 99088 kg and 204571 kg of nitrogen from NB and PEI, respectively. Given current harvesting practices for four culture methods employed in the region, suspended mussel culture provides the greatest NRP per hectare of farm area, followed in sequence by suspended mussel and oyster mixed culture, suspended oyster culture, and bottom oyster culture. Preliminary analysis suggested that harvests in the region typically remove &lt; 10% of the total nitrogen load on the bay scale, with the exception of bays where nitrogen loads are low and farming intensity is high (where shellfish harvesting can remove higher percentages of nitrogen loads). Ultimately, harvests from shellfish farming in NB and PEI have the capacity to remove substantial amounts of nitrogen from local bays. Future studies assessing the influence of shellfish farming on full nutrient budgets across bays with varying physicochemical conditions will enhance our understanding the role of shellfish farms in nearshore nutrient dynamics, both regionally and globally.</t>
  </si>
  <si>
    <t>[Clements, Jeff C.] Norwegian Univ Sci &amp; Technol, Dept Biol, Hgsk Ringen 5, N-7491 Trondheim, Norway; [Clements, Jeff C.] Univ Gothenburg, Sven Loven Ctr Marine Infrastruct, Dept Biol &amp; Environm Sci, S-45178 Kristineberg, Fiskebackskil, Sweden; [Comeau, Luc A.] Fisheries &amp; Oceans Canada, Gulf Fisheries Ctr, 343 Univ Ave, Moncton, NB E1C 9B6, Canada</t>
  </si>
  <si>
    <t>Norwegian University of Science &amp; Technology (NTNU); University of Gothenburg; Fisheries &amp; Oceans Canada</t>
  </si>
  <si>
    <t>Clements, JC (corresponding author), Norwegian Univ Sci &amp; Technol, Dept Biol, Hgsk Ringen 5, N-7491 Trondheim, Norway.;Clements, JC (corresponding author), Univ Gothenburg, Sven Loven Ctr Marine Infrastruct, Dept Biol &amp; Environm Sci, S-45178 Kristineberg, Fiskebackskil, Sweden.</t>
  </si>
  <si>
    <t>jeff.clements@ntnu.no</t>
  </si>
  <si>
    <t>Clements, Jeff/S-9308-2019; Clements, Dr. Jeff/J-2393-2013</t>
  </si>
  <si>
    <t>Clements, Dr. Jeff/0000-0001-5140-5751</t>
  </si>
  <si>
    <t>Fisheries and Oceans Canada</t>
  </si>
  <si>
    <t>We wish to acknowledge Leon Lanteigne and Thomas Landry for insightful discussions regarding the ecosystem services of shellfish aquaculture which lead to this project. We thank Chris Mills at Fisheries and Oceans Canada for providing data on shellfish leases. We also thank Dr. Thomas Guyondet and Mike Coffin at the Gulf Fisheries Centre for feedback on an earlier version of this manuscript. The project was funded through in-kind support from Fisheries and Oceans Canada.</t>
  </si>
  <si>
    <t>10.1016/j.aqrep.2019.100183</t>
  </si>
  <si>
    <t>HO0OT</t>
  </si>
  <si>
    <t>WOS:000460603900011</t>
  </si>
  <si>
    <t>Bilgin, M; Uluturhan, E; Darilmaz, E; Katalay, S</t>
  </si>
  <si>
    <t>Bilgin, Mustafa; Uluturhan, Esin; Darilmaz, Enis; Katalay, Selma</t>
  </si>
  <si>
    <t>Combined evaluation of multi-biomarkers and metal bioaccumulations in two different fish species (Sparus aurata and Chelon labrosus) from Izmir Bay, Turkiye (Aegean Sea): Spatial, temporal and tissue-specific approaches</t>
  </si>
  <si>
    <t>Catalase; Superoxide dismutase; Malondialdehyde; Metallothionein; Histopathology; Health risks</t>
  </si>
  <si>
    <t>MUSSEL MYTILUS-GALLOPROVINCIALIS; OXIDATIVE STRESS; HEAVY-METALS; TRACE-METALS; SUPEROXIDE-DISMUTASE; MOLECULAR BIOMARKERS; LIPID-PEROXIDATION; MARINE POLLUTION; RISK-ASSESSMENT; ATLANTIC COAST</t>
  </si>
  <si>
    <t>Biomarkers were investigated to assess the effects of metal accumulation in Sparus aurata and Chelon labrosus in the Izmir Bay. Fish were collected from the Inner and Outer Bays in November 2020 and May 2021. According to the metal and biomarker measurements found in the organs, it was observed that the levels were higher in the liver and gill tissues than in the muscle tissues. Significant differences between tissues were found for all metals and biomarkers. In addition, biochemical biomarkers were found to be significant predictors of metal bio-accumulation. Histological changes were observed in liver and gills in each species and location. Although the metal levels determined according to the health risk assessment were below the threshold limits, the As levels for the lifetime cancer risk were within the limits to be considered. In conclusion, this study will provide robust results for its related study area.</t>
  </si>
  <si>
    <t>[Bilgin, Mustafa] Dokuz Eylul Univ, Grad Sch Nat &amp; Appl Sci, TR-35160 Tinaztepe, Izmir, Turkiye; [Uluturhan, Esin; Darilmaz, Enis] Dokuz Eylul Univ, Inst Marine Sci &amp; Technol, TR-35340 Inciralti, Izmir, Turkiye; [Katalay, Selma] Celal Bayar Univ, Fac Arts &amp; Sci, Dept Biol, TR-45040 Muradiye, Manisa, Turkiye</t>
  </si>
  <si>
    <t>Dokuz Eylul University; Dokuz Eylul University; Celal Bayar University</t>
  </si>
  <si>
    <t>Bilgin, M (corresponding author), Dokuz Eylul Univ, Grad Sch Nat &amp; Appl Sci, TR-35160 Tinaztepe, Izmir, Turkiye.</t>
  </si>
  <si>
    <t>mustafa.bilgin@ogr.deu.edu.tr</t>
  </si>
  <si>
    <t>SUZER, Esin/Q-1793-2019; DARILMAZ, Enis/P-2116-2019; Bilgin, Mustafa/HJH-5454-2023</t>
  </si>
  <si>
    <t>SUZER, ESIN/0000-0002-7886-922X; Bilgin, Mustafa/0000-0003-4680-5931</t>
  </si>
  <si>
    <t>Department of Scientific Research Projects of Dokuz Eyll University [2019.KB.FEN.040]</t>
  </si>
  <si>
    <t>Department of Scientific Research Projects of Dokuz Eyll University</t>
  </si>
  <si>
    <t>This article is based on the PhD thesis of Mustafa BILGIN. The authors would like to thank their colleagues Dr. Oya ALTAY, Dr. Ayd &amp; imath;n UENLUEOGLU and Dr. Hakan ALYUERUEK for their valuable cooperation. We would like to thank Dr. Cueneyt SUZER, Onurkan ANTEPL I and Ibrahim K OSE for their contributions on histological applications. The study was funded by the Department of Scientific Research Projects of Dokuz Eyluel University (Project No: 2019.KB.FEN.040)</t>
  </si>
  <si>
    <t>10.1016/j.marpolbul.2023.115709</t>
  </si>
  <si>
    <t>X7BS1</t>
  </si>
  <si>
    <t>WOS:001099966800001</t>
  </si>
  <si>
    <t>Miguel-Gallo, Y; Gómez-Batista, M; Alonso-Hernández, CM</t>
  </si>
  <si>
    <t>Miguel-Gallo, Yan; Gomez-Batista, Miguel; Manuel Alonso-Hernandez, Carlos</t>
  </si>
  <si>
    <t>Levels of Polycyclic Aromatic Hydrocarbons in Perna viridis, in Cienfuegos Bay, Cuba</t>
  </si>
  <si>
    <t>Cienfuegos bay; Perna viridis; pollution; polycyclic aromatic hydrocarbons</t>
  </si>
  <si>
    <t>ORGANOCHLORINE PESTICIDES; HEAVY-METALS; GREEN MUSSEL; PAHS; SEDIMENTS; WATERS</t>
  </si>
  <si>
    <t>Green mussel, Perna viridis, was used to measure bioaccumulated levels of polycyclic aromatic hydrocarbons (PAHs) in Cienfuegos Bay. Mussels were collected from four sites between November 2009 and November 2010. Sixteen individual PAHs compound controlled by Environmental Protection Agency (EPA) were quantified using gas chromatography-mass spectrometry (GC-MS). Concentration for phenanthrene ranged from 22.14 to 43.04 mu g/kg (wet weight), for fluorene 5.19-9.33 mu g/kg (wet weight), and 3.47-15.97 mu g/kg (wet weight) for fluoranthene. The overall concentration levels of PAH in this study are comparable to sites with low pollution levels around the world and its composition suggests a contribution from petrogenic sources. According to European Regulation No. 835/2011, the concentration levels of PAHs found are safe for human consumption of mussels in Cienfuegos Bay. These results contribute to the database of the Caribbean region because the information about the contamination for PAHs is scarce in bivalves, in Cuba.</t>
  </si>
  <si>
    <t>[Miguel-Gallo, Yan; Gomez-Batista, Miguel; Manuel Alonso-Hernandez, Carlos] Ctr Estudios Ambient Cienfuegos, Ciudad Nucl 59350, Cienfuegos, Cuba</t>
  </si>
  <si>
    <t>Miguel-Gallo, Y (corresponding author), Ctr Estudios Ambient Cienfuegos, Ciudad Nucl 59350, Cienfuegos, Cuba.</t>
  </si>
  <si>
    <t>yan@ceac.cu</t>
  </si>
  <si>
    <t>Gomez Batista, Miguel/0000-0001-7730-0990</t>
  </si>
  <si>
    <t>IAEA TC Project [RLA/5/054]</t>
  </si>
  <si>
    <t>IAEA TC Project</t>
  </si>
  <si>
    <t>The IAEA TC Project RLA/5/054 provided financial support for this research.</t>
  </si>
  <si>
    <t>10.1080/10406638.2017.1293697</t>
  </si>
  <si>
    <t>HS3SZ</t>
  </si>
  <si>
    <t>WOS:000463784100005</t>
  </si>
  <si>
    <t>Matozzo, V; Tomei, A; Marin, MG</t>
  </si>
  <si>
    <t>Acetylcholinesterase as a biomarker of exposure to neurotoxic compounds in the clam Tapes philippinarum from the Lagoon of Venice</t>
  </si>
  <si>
    <t>acetylcholinesterase; bivalves; neurotoxicity; Lagoon of Venice; condition index</t>
  </si>
  <si>
    <t>MUSSELS MYTILUS-GALLOPROVINCIALIS; ANTIOXIDANT ENZYMES; POLLUTION; SEDIMENTS; COPPER; PERNA; CHOLINESTERASE; CONTAMINATION; INHIBITION; DICHLORVOS</t>
  </si>
  <si>
    <t>Measurement of acetylcholinesterase (AChE) is widely used as a biomarker of exposure to neurotoxic compounds in aquatic environments. In the present study, AChE activity was monitored in the clam Tapes philippinarum in the Lagoon of Venice, with the aim of evaluating the possible exposure of animals to neurotoxic compounds. Two sampling strategies were followed. In the first case, temporal and spatial variations of AChE activity were measured in clams collected seasonally (from October 2003 to June 2004) in 3 sites of the Lagoon: Campalto (site 1), near a sewage treatment plant, Marghera (site 2), a highly polluted area, and Poveglia (site 3), a reference site. The condition index (CI) of clams was also calculated. In the second case, AChE activity was measured in clams collected at the end of seasonal samplings in 12 sites located throughout the Lagoon: areas licensed for clam farming (sites 5 to 11), nearby canals characterised by waste waters from agricultural areas (sites 4, 12, 13, 14), and a reference site outside the Lagoon (site 15). Results revealed a significant reduction in AChE activity in clams from Marghera in October, January and April, indicating their probable exposure to neurotoxic compounds originating in the industrial zone of Porto Marghera. A seasonal trend in AChE activity was also observed, enzyme activity being higher in January and lower in June. Clams from Campalto generally had higher Cl values than those from Marghera and Poveglia. However, no particular correlation between AChE activity and Cl was found. Lastly, marked differences in AChE activity were recorded when comparing enzyme activity of clams from various sites in the Lagoon of Venice with those of clams collected at site 15. Significant reductions in AChE activity were observed in animals collected in both nearby canals and licensed areas, indicating the homogeneous spatial distribution of potentially neurotoxic compounds throughout the Lagoon. It is probable that sediment mobilisation caused by clam harvesting and the passage of shipping plays an important role in resuspension of persistent contaminants having neurotoxic activity. (c) 2005 Elsevier Ltd. All rights reserved.</t>
  </si>
  <si>
    <t>Univ Padua, Dept Biol, Via Ugo Bassi 58-B, I-35131 Padua, Italy.</t>
  </si>
  <si>
    <t>matozzo@civ.bio.unipd.it; mgmar@civ.bio.unipd.it</t>
  </si>
  <si>
    <t>MARIN, MARIA/0000-0002-1479-5428; Matozzo, Valerio/0000-0001-9935-0366</t>
  </si>
  <si>
    <t>10.1016/j.marpolbul.2005.07.011</t>
  </si>
  <si>
    <t>WOS:000234236600035</t>
  </si>
  <si>
    <t>Lee, C; Hong, S; Kwon, BO; Lee, JH; Ryu, J; Park, YG; Kang, SG; Khim, JS</t>
  </si>
  <si>
    <t>Lee, Changkeun; Hong, Seongjin; Kwon, Bong-Oh; Lee, Jung-Ho; Ryu, Jongseong; Park, Young-Gyu; Kang, Seong-Gil; Khim, Jong Seong</t>
  </si>
  <si>
    <t>Lethal and sub-lethal effects of elevated CO2 concentrations on marine benthic invertebrates and fish</t>
  </si>
  <si>
    <t>Carbon dioxide; CO2 capture and storage (CCS); pH; Intertidal organism; Sub-tidal organism</t>
  </si>
  <si>
    <t>CARBON-DIOXIDE LEVELS; OCEAN ACIDIFICATION; ENVIRONMENTAL HYPERCAPNIA; SEA-WATER; ACID; IMPACTS; STORAGE; MUSSEL; DISSOCIATION; TOLERANCE</t>
  </si>
  <si>
    <t>Concern about leakage of carbon dioxide (CO2) from deep-sea storage in geological reservoirs is increasing because of its possible adverse effects on marine organisms locally or at nearby coastal areas both in sediment and water column. In the present study, we examined how elevated CO2 affects various intertidal epibenthic (benthic copepod), intertidal endobenthic (Manila clam and Venus clam), sub-tidal benthic (brittle starfish), and free-living (marine medaka) organisms in areas expected to be impacted by leakage. Acute lethal and sub-lethal effects were detected in the adult stage of all test organisms exposed to varying concentrations of CO2, due to the associated decline in pH (8.3 to 5.2) during 96-h exposure. However, intertidal organisms (such as benthic copepods and clams) showed remarkable resistance to elevated CO2, with the Venus clam being the most tolerant (LpH(50) = 5.45). Sub-tidal species (such as brittle starfish [LpH(50) = 6.16] and marine medaka [LpH(50) = 5.91]) were more sensitive to elevated CO2 compared to intertidal species, possibly because they have fewer defensive capabilities. Of note, the exposure duration might regulate the degree of acute sub-lethal effects, as evidenced by the Venus clam, which showed a time-dependent effect to elevated CO2. Finally, copper was chosen as a model toxic element to find out the synergistic or antagonistic effects between ocean acidification and metal pollution. Combination of CO2 and Cu exposure enhances the adverse effects to organisms, generally supporting a synergistic effect scenario. Overall, the significant variation in the degree to which CO2 adversely affected organisms (viz., working range and strength) was clearly observed, supporting the general concept of species-dependent effects of elevated CO2.</t>
  </si>
  <si>
    <t>[Lee, Changkeun; Hong, Seongjin; Kwon, Bong-Oh; Khim, Jong Seong] Seoul Natl Univ, Sch Earth &amp; Environm Sci, Seoul 08826, South Korea; [Lee, Changkeun; Hong, Seongjin; Kwon, Bong-Oh; Khim, Jong Seong] Seoul Natl Univ, Res Inst Oceanog, Seoul 08826, South Korea; [Lee, Jung-Ho; Ryu, Jongseong] Anyang Univ, Dept Marine Biotechnol, Ganghwagun, Incheon, South Korea; [Park, Young-Gyu] Korea Inst Ocean Sci &amp; Technol, Ocean Circulat &amp; Climate Res Ctr, Ansan, South Korea; [Kang, Seong-Gil] Korea Res Inst Ships &amp; Ocean Engn, Offshore CCS Res Unit, Daejeon, South Korea</t>
  </si>
  <si>
    <t>Seoul National University (SNU); Seoul National University (SNU); Anyang University; Korea Institute of Ocean Science &amp; Technology (KIOST); Korea Research Institute of Ships &amp; Ocean Engineering</t>
  </si>
  <si>
    <t>Khim, JS (corresponding author), Seoul Natl Univ, Sch Earth &amp; Environm Sci, Seoul 08826, South Korea.;Khim, JS (corresponding author), Seoul Natl Univ, Res Inst Oceanog, Seoul 08826, South Korea.</t>
  </si>
  <si>
    <t>Khim, Jong Seong/AAD-3054-2020; Hong, Seongjin/AAO-8503-2020</t>
  </si>
  <si>
    <t>Kwon, Bong-Oh/0000-0002-1057-437X; Khim, Jong Seong/0000-0001-7977-0929</t>
  </si>
  <si>
    <t>Ministry of Oceans and Fisheries, Korea</t>
  </si>
  <si>
    <t>This work was supported by the projects entitled Development of Techniques for CO2 Marine Geological Storage and Integrated Management of Marine Environment and Ecosystems Around Saemangeum funded by the Ministry of Oceans and Fisheries, Korea given to Prof. JSK.</t>
  </si>
  <si>
    <t>10.1007/s11356-016-6622-4</t>
  </si>
  <si>
    <t>WOS:000380369900025</t>
  </si>
  <si>
    <t>Chiesa, S; Rotini, A; Esposito, C; Secco, S; Manfra, L; Trifuoggi, M; Libralato, G; Scalici, M</t>
  </si>
  <si>
    <t>Chiesa, S.; Rotini, A.; Esposito, C.; Secco, S.; Manfra, L.; Trifuoggi, M.; Libralato, G.; Scalici, M.</t>
  </si>
  <si>
    <t>Metal(loid)s and Rare Earth Elements in Posidonia oceanica (L.) Delile (1813) banquettes</t>
  </si>
  <si>
    <t>Metal(loid)s; Rare Earth Elements; Beach cast seagrass; Posidonia oceanica; Banquette; Monitoring; Bioaccumulation; Mediterranean Sea</t>
  </si>
  <si>
    <t>TRACE-METALS; HEAVY-METALS; MANILA CLAM; ECOSYSTEM SERVICES; SEAGRASS; CONTAMINATION; COAST; SEDIMENTS; MOLLUSKS; SEAWEED</t>
  </si>
  <si>
    <t>The Posidonia oceanica (L.) Delile 1813 banquette provides precious ecosystem services for Mediterranean beach nourishment and protection, representing an important way of energy transfer through marine-coastal habitats. It is surprising to note how it is poorly investigated, especially concerning its double role as potential sink and source of chemicals. In particular, few studies exist about the metal (loid)s occurrence and no data are available on emerging contaminants, such as Rare Earth Elements (REEs). The present research investigated for the first time the concentrations of twenty-eight metal(loid)s and fifteen REEs in a well-structured banquette along the Italian coast (Central Tyrrhenian Sea) showing that (i) metal(loid)s and REEs occur in banquettes, with higher relative concentrations of some metal(loid)s (B, Sr, Mn, Fe, Al, Zn) and REEs (Ce, Y, La, Nd) with no statistically significant seasonal variations; (ii) Posidonia banquettes may represent an interesting biological model for chemicals monitoring.</t>
  </si>
  <si>
    <t>[Chiesa, S.; Rotini, A.; Manfra, L.] Italian Inst Environm Protect &amp; Res ISPRA, Via Vitaliano Brancati 48, I-00144 Rome, Italy; [Esposito, C.; Secco, S.; Scalici, M.] Univ Roma Tre, Dept Sci, Viale G Marconi 446, I-00146 Rome, Italy; [Manfra, L.; Libralato, G.] Stn Zool Anton Dohrn, Dept Marine Biotechnol, Villa Comunale, I-80121 Naples, Italy; [Trifuoggi, M.] Univ Naples Federico II, Dept Chem, Via Vicinale Cupa Cintia 26, I-80126 Naples, Italy; [Libralato, G.] Univ Naples Federico II, Dept Biol, Via Vicinale Cupa Cintia 26, I-80126 Naples, Italy; [Scalici, M.] Univ Palermo, Natl Biodivers Future Ctr NBFC, Piazza Marina 61, I-90133 Palermo, Italy</t>
  </si>
  <si>
    <t>Italian Institute for Environmental Protection &amp; Research (ISPRA); Italfarmaco; Roma Tre University; Stazione Zoologica Anton Dohrn di Napoli; University of Naples Federico II; University of Naples Federico II; University of Palermo</t>
  </si>
  <si>
    <t>Chiesa, S (corresponding author), Italian Inst Environm Protect &amp; Res ISPRA, Via Vitaliano Brancati 48, I-00144 Rome, Italy.</t>
  </si>
  <si>
    <t>stefania.chiesa@isprambiente.it</t>
  </si>
  <si>
    <t>European Union [857989]</t>
  </si>
  <si>
    <t>This project has received funding from the European Union's Horizon 2020 research and innovation programme under the Marie Sklodowska-Curie grant agreement No 857989.</t>
  </si>
  <si>
    <t>10.1016/j.marpolbul.2024.116435</t>
  </si>
  <si>
    <t>D8L8E</t>
  </si>
  <si>
    <t>WOS:001298649600001</t>
  </si>
  <si>
    <t>Fang, ZQ</t>
  </si>
  <si>
    <t>Organochlorines in sediments and mussels collected from coastal sites along the Pearl River Delta, South China</t>
  </si>
  <si>
    <t>organochlorine pesticide; polychlorinated biphenyls; sediments; mussels; coastal waters</t>
  </si>
  <si>
    <t>POLYCHLORINATED-BIPHENYLS; CHLORINATED PESTICIDES; HEAVY-METAL; HONG-KONG; CONTAMINANTS; DDT; ENVIRONMENT; POLLUTION; OYSTERS; WATER</t>
  </si>
  <si>
    <t>The level and pattern of residues of organochlorine pesticide and polychlorinated biphenyls ( PCBs) were analyzed in sediment and mussel(Perna viridis) samples from ten coastal sites along the Pearl River Delta, South China. The range of total HCH was &lt;0.01 to 0.29 ng/g freeze-dried weight in sediment, and &lt;0.01 to 1.35 ng/g lipid weight in mussels. Average total DDTs concentrations ranged from &lt;0.01 to 1.04 ng/g in sediment, and &lt;0.01 to 148.5 ng/g in mussels. Average total PCB concentrations ranged from 16.4 to 198.6 ng/g in sediment, and from 41 to 729.2 ng/g in mussels. Organochlorine pesticide and PCBs in mussels and sediments presented similar distribution patterns. The regression analysis indicated that PCBs concentrations in mussels were significantly correlated(p &lt; 0.01) with concentrations in sediments. However, their concentrations in mussels were several times higher than the concentration detected in surrounding sediments. The major fraction of DDT related compounds measured in mussels and sediments was DDD. Based on average PCB concentrations, penta-, hexa-, and tetrachlorobiphenyls were preferentially accumulated by mussels as compared to the average sediment composition. According to the present results,three organochlorine polluted hot spot sites, including Victoria Harbour, Lingding Yang and Huangmao Sea, were found in the Pearl River estuarine zone. HCHs, DDTs and PCBs in all mussel samples were below the limits of 2, 0.2 and 5.0 mu g/g wet weight recommended by the Technical Group of Guangdong Coastal Zone Resource Comprehensive Survey and U. S. Food and Drug Administration.</t>
  </si>
  <si>
    <t>S China Normal Univ, Coll Life Sci, Guangzhou 510631, Peoples R China</t>
  </si>
  <si>
    <t>South China Normal University</t>
  </si>
  <si>
    <t>S China Normal Univ, Coll Life Sci, Guangzhou 510631, Peoples R China.</t>
  </si>
  <si>
    <t>fangzhq@senu.edu.cn</t>
  </si>
  <si>
    <t>779YZ</t>
  </si>
  <si>
    <t>WOS:000189331700031</t>
  </si>
  <si>
    <t>Kádár, E; Lowe, DM; Solé, M; Fisher, AS; Jha, AN; Readman, JW; Hutchinson, TH</t>
  </si>
  <si>
    <t>Kadar, Enikoe; Lowe, David M.; Sole, Montserrat; Fisher, Andrew S.; Jha, Awadhesh N.; Readman, James W.; Hutchinson, Thomas H.</t>
  </si>
  <si>
    <t>Uptake and biological responses to nano-Fe versus soluble FeCl3 in excised mussel gills</t>
  </si>
  <si>
    <t>15th International Symposium on Pollutant Responses in Marine Organisms (PRIMO15)</t>
  </si>
  <si>
    <t>MAY 17-20, 2009</t>
  </si>
  <si>
    <t>Bordeaux, FRANCE</t>
  </si>
  <si>
    <t>Engineered nanoparticles (ENPs); Bivalve; Haemocyte; Oxidative stress; Neurotoxicity; Cytotoxicity</t>
  </si>
  <si>
    <t>MYTILUS-GALLOPROVINCIALIS; OXIDATIVE STRESS; DNA-DAMAGE; NANOPARTICLES; TOXICITY; POLLUTION; AGGLOMERATION; CYTOTOXICITY; CADMIUM; METALS</t>
  </si>
  <si>
    <t>Nano-Fe particle uptake was experimentally examined in vitro using excised gills and blood cells of the edible blue mussel Mytilus sp. Whole gills were exposed to both Fe2O3 nanoparticles and a solution of the hydrated FeCl3 salt, for up to 12 h, and blood cells for 30 min. Equimolar Fe+3 in the nano- and the soluble form was estimated under the assumption of dense spherical particles accommodating the same number of Fe+3 as in the dissolved salt solution, namely: 1,000 mu g L-1 Fe2O3 equivalent to 100 mu g L-1 FeCl3 center dot 6H(2)O. Putative toxic impact of nano-Fe in gill epithelia and blood cells was assessed by an array of techniques including light- and electron microscopy, biomarkers for oxidative stress (lipid peroxidation levels), neurotoxic effects (acetylcholinesterase activity) and cytotoxicity (neutral red retention). Total and filtered fractions (20 and 200 nm, respectively) of Fe were analysed by ICP-OES. Our results provide evidence for the following: (1) much of both the soluble (95%) and the nano-Fe (90%) were removed from the water column within 12 h; (2) dissolved- and nano-Fe seemed to follow different routes of uptake within the gill epithelium; (3) both nano-Fe and soluble FeCl3 caused similar impairment of lysosomal stability in circulating blood cells; (4) lipid peroxidation in gills exposed to the two distinct forms of Fe was increased, while acetylcholinesterase activity was unaffected. In these short-term in vitro studies, there appears to be little difference in toxic response between exposure to the Fe salt and the nano-Fe indicating that, in this case, the nanoparticles do not invoke special properties affecting biological function in gills. However, with the use of nano-Fe as a food additive, clearly longer-term in vivo studies are warranted.</t>
  </si>
  <si>
    <t>[Kadar, Enikoe; Lowe, David M.; Sole, Montserrat; Readman, James W.; Hutchinson, Thomas H.] Plymouth Marine Lab, Plymouth PL1 3DH, Devon, England; [Sole, Montserrat] CMIMA, Marine Res Inst, Barcelona 08003, Spain; [Fisher, Andrew S.; Jha, Awadhesh N.] Univ Plymouth, Plymouth PL4 8AA, Devon, England; [Hutchinson, Thomas H.] CEFAS Weymouth Lab, Weymouth DT4 8UB, Dorset, England</t>
  </si>
  <si>
    <t>Plymouth Marine Laboratory; Consejo Superior de Investigaciones Cientificas (CSIC); CSIC - Centro Mediterraneo de Investigaciones Marinas y Ambientales (CMIMA); University of Plymouth; Centre for Environment Fisheries &amp; Aquaculture Science</t>
  </si>
  <si>
    <t>Kádár, E (corresponding author), Plymouth Marine Lab, Prospect Pl, Plymouth PL1 3DH, Devon, England.</t>
  </si>
  <si>
    <t>enik@pml.ac.uk</t>
  </si>
  <si>
    <t>Kadar, Eniko/E-4568-2010; sole, montserrat/C-7398-2013</t>
  </si>
  <si>
    <t>Jha, Awadhesh/0000-0001-9660-4308; Hutchinson, Tom/0000-0001-8823-5442; sole, montserrat/0000-0002-9920-5051; Fisher, Andrew/0000-0003-4373-4904</t>
  </si>
  <si>
    <t>NERC [pml010003] Funding Source: UKRI</t>
  </si>
  <si>
    <t>10.1007/s00216-009-3191-0</t>
  </si>
  <si>
    <t>534PU</t>
  </si>
  <si>
    <t>WOS:000272910400013</t>
  </si>
  <si>
    <t>Shim, WJ; Yim, UH; Kim, NS; Hong, SH; Oh, JR; Jeon, JK; Okamura, H</t>
  </si>
  <si>
    <t>Accumulation of butyl- and phenyltin compounds in starfish and bivalves from the coastal environment of Korea</t>
  </si>
  <si>
    <t>starfish; triphenyltin; tributyltin; accumulation; bivalve</t>
  </si>
  <si>
    <t>CLAM RUDITAPES-DECUSSATUS; MUSSELS MYTILUS-EDULIS; ORGANOTIN COMPOUNDS; TRIBUTYLTIN CONTAMINATION; TRIPHENYLTIN METABOLISM; THAIS-CLAVIGERA; UNITED-STATES; HEAVY-METALS; BLUE MUSSELS; ROCK SHELL</t>
  </si>
  <si>
    <t>Triphenyltin (TPT) and tributyltin (TBT) concentrations were determined in two starfish species (Asteriapectinffra and Asterias amurensis), bivalves (Crassostrea gigas or Mytilus edulis), and seawater samples from sites around the coasts of Korea. Both TPT and TBT concentrations in starfish ranged from 8 to 1560 ng/g and from &lt; 2 to 797 ng/g as Sri on a dry weight basis, respectively. TPT concentration accounted for 75.4% and 86.4% of total phenyltin concentration in A. pectinifera and A. amurensis, respectively, while monobutyltin, a degradation product of TBT, accounted for 86.3% and 57.2% of total butyltin, respectively. Triphenyltin concentrations in A. pectinifera were significantly correlated to water and bivalve TPT concentrations, which implies that dietary uptake of TPT from contaminated prey as well as direct uptake from surrounding water contribute to TPT body residues in the starfish. Starfish could be target organisms for monitoring TPT compound in the marine environment, due to their high accumulation and low degradation capacity towards TPT. (C) 2004 Elsevier Ltd. All rights reserved.</t>
  </si>
  <si>
    <t>Korea Ocean Res &amp; Dev Inst, So Coastal Environm Res Div, Geoje 656830, South Korea; Kangnung Natl Univ, Dept Marine Biosci &amp; Technol, Kangnung 210702, South Korea; Kobe Univ Mercantile Marine, Lab Marine Environm Management, Kobe, Hyogo 6580022, Japan</t>
  </si>
  <si>
    <t>Korea Institute of Ocean Science &amp; Technology (KIOST); Gangneung-Wonju National University; Kobe University</t>
  </si>
  <si>
    <t>Shim, WJ (corresponding author), Korea Ocean Res &amp; Dev Inst, So Coastal Environm Res Div, Jangmok Myon 391, Geoje 656830, South Korea.</t>
  </si>
  <si>
    <t>wjshim@kordi.re.kr</t>
  </si>
  <si>
    <t>OKAMURA, HIDEO/HWQ-4564-2023; Yim, Un/B-8224-2009; Hong, Sang/S-9809-2017; Shim, Won Joon/B-8136-2009</t>
  </si>
  <si>
    <t>Yim, Un Hyuk/0000-0003-1972-5450; Shim, Won Joon/0000-0002-9591-8564</t>
  </si>
  <si>
    <t>10.1016/j.envpol.2004.06.018</t>
  </si>
  <si>
    <t>875KZ</t>
  </si>
  <si>
    <t>WOS:000225420400010</t>
  </si>
  <si>
    <t>Filatova, TS; Mikhailova, VB; Guskova, VO; Abramochkin, DV</t>
  </si>
  <si>
    <t>Filatova, T. S.; Mikhailova, V. B.; Guskova, V. O.; Abramochkin, D. V.</t>
  </si>
  <si>
    <t>The Effects of Phenanthrene on the Electrical Activity in the Heart of Shorthorn Sculpin (Myoxocephalus scorpio)</t>
  </si>
  <si>
    <t>petroleum pollution; fish; Arctic; action potential; heart; cardiotoxicity</t>
  </si>
  <si>
    <t>NAVAGA</t>
  </si>
  <si>
    <t>Phenanthrene (Phen) is one of the widespread species of polyaromatichydrocarbons, a tricyclic compound, component of crude oil and dieselfuel. Earlier studies have shown its negative effects on fish heartfunction that may explain the toxicity of this pollutant. The presentstudy aimed to elucidate the cardiac electrophysiological effectsof Phen in shorthorn sculpin, the widespread and common fish ofthe Arctic region using the patch-clamp technique. We have foundpronounced effects of Phen on the duration and upstroke velocityof action potentials (APs) in sculpin ventricular myocytes. 1 mu MPhen produced almost two-fold prolongation of AP duration measured at90% repolarization level and significant reduction of maximal upstrokevelocity of AP. These effects are attributed to suppression of K+ rapiddelayed rectifier current I-Kr (IC50 =144 nM) and fast Na+ current I-Na (IC50 =5.85 mu M). Resting membrane potential and K+ inwardrectifier current I-K1 were not affected byPhen even in the maximal concentration of 30 mu M. Thus, low concentrationsof Phen induce changes in cellular electrical activity of sculpinventricular myocytes which might lead to proarrhythmic effects suchas slowing of repolarization and decrease in excitation conductionvelocity at the tissue level.</t>
  </si>
  <si>
    <t>[Filatova, T. S.; Guskova, V. O.; Abramochkin, D. V.] Lomonosov Moscow State Univ, Dept Human &amp; Anim Physiol, Moscow, Russia; [Filatova, T. S.] Chazov Natl Med Res Ctr Cardiol, Lab Cardiac Electrophysiol, Moscow, Russia; [Filatova, T. S.] Pirogov Russian Natl Res Med Univ, Dept Physiol, Moscow, Russia; [Mikhailova, V. B.] Almazov Natl Med Res Ctr, St Petersburg, Russia</t>
  </si>
  <si>
    <t>Lomonosov Moscow State University; Pirogov Russian National Research Medical University; Almazov National Medical Research Centre</t>
  </si>
  <si>
    <t>Abramochkin, DV (corresponding author), Lomonosov Moscow State Univ, Dept Human &amp; Anim Physiol, Moscow, Russia.</t>
  </si>
  <si>
    <t>abram340@mail.ru</t>
  </si>
  <si>
    <t>Abramochkin, Denis/ABF-3443-2020</t>
  </si>
  <si>
    <t>Russian Science Foundation [22-14-00075]</t>
  </si>
  <si>
    <t>This work was supported by Russian Science Foundation (grant no. 22-14-00075) to DVA.</t>
  </si>
  <si>
    <t>SUPPL 1</t>
  </si>
  <si>
    <t>S44</t>
  </si>
  <si>
    <t>S51</t>
  </si>
  <si>
    <t>10.1134/S0022093022070055</t>
  </si>
  <si>
    <t>9C5PB</t>
  </si>
  <si>
    <t>WOS:000935467900005</t>
  </si>
  <si>
    <t>Culbertson, JB; Valiela, I; Pickart, M; Peacock, EE; Reddy, CM</t>
  </si>
  <si>
    <t>Culbertson, Jennifer B.; Valiela, Ivan; Pickart, Matthew; Peacock, Emily E.; Reddy, Christopher M.</t>
  </si>
  <si>
    <t>Long-term consequences of residual petroleum on salt marsh grass</t>
  </si>
  <si>
    <t>JOURNAL OF APPLIED ECOLOGY</t>
  </si>
  <si>
    <t>Florida; No. 2 fuel oil; oil pollution; oil restoration; petroleum hydrocarbons; Spartina alterniflora</t>
  </si>
  <si>
    <t>FALMOUTH OIL-SPILL; 2 FUEL-OIL; WEST FALMOUTH; CRUDE-OIL; SPARTINA-ALTERNIFLORA; HYDROCARBONS; VEGETATION; SEDIMENT; GROWTH; BIODEGRADATION</t>
  </si>
  <si>
    <t>1. Remnants from oil spills can persist for decades within anoxic coastal sediments affecting local flora and fauna, but few studies have examined the long-term impacts of the residual petroleum on these valuable coastal ecosystems. 2. The Wild Harbor salt marsh (Buzzards Bay, Massachusetts, USA) still harbours residual petroleum from a 1969 oil spill, which released 700 000 L of No. 2 fuel oil. Previous effects have been noted in fiddler crabs and ribbed mussels inhabiting the oiled marsh. 3. Spartina alterniflora biomass was sampled above- and below-ground in elevational transects through areas with different total petroleum hydrocarbon (TPH) content. Further, elevational differences were mapped in oiled and non-oiled locations. 4. Stem density and above- and below-ground biomass decreased in oiled areas. The decreased vegetation biomass led to unconsolidated sediments, increased topographical variation and, ultimately, loss of salt marsh habitat. 5. Four decades after the Florida spill, with only 100 kg of the original 595 000 kg of spilt oil persisting in salt marsh sediment, the effects on large-scale ecosystem functions are still evident. 6. Synthesis and applications. Our results demonstrate specific impacts of residual petroleum on S. alterniflora biomass and coastal erosion. Further, we have defined TPH content thresholds at which to expect long-term ecosystem impacts. The recalcitrant nature of these contaminants and their chronic large-scale ecosystem effects leads to the potential demand for alternative compensation, such as preservation of coastal systems at risk elsewhere.</t>
  </si>
  <si>
    <t>[Culbertson, Jennifer B.; Valiela, Ivan; Peacock, Emily E.] Boston Univ, Marine Program, Marine Biol Lab, Woods Hole, MA 02543 USA; [Culbertson, Jennifer B.; Peacock, Emily E.; Reddy, Christopher M.] Woods Hole Oceanog Inst, Dept Marine Chem &amp; Geochem, Woods Hole, MA 02543 USA; [Valiela, Ivan] Marine Biol Lab, Ctr Ecosyst, Woods Hole, MA 02543 USA; [Pickart, Matthew] Falmouth Acad, Falmouth, MA 02540 USA</t>
  </si>
  <si>
    <t>Marine Biological Laboratory - Woods Hole; Boston University; Woods Hole Oceanographic Institution; Marine Biological Laboratory - Woods Hole</t>
  </si>
  <si>
    <t>Culbertson, JB (corresponding author), Univ N Carolina, Dept Biol &amp; Marine Biol, 601 S Coll Rd, Wilmington, NC 28403 USA.</t>
  </si>
  <si>
    <t>culbertsonj@uncw.edu</t>
  </si>
  <si>
    <t>Reddy, Chilla Malla/E-2550-2011</t>
  </si>
  <si>
    <t>Reddy, Christopher/0000-0002-7814-2071</t>
  </si>
  <si>
    <t>0021-8901</t>
  </si>
  <si>
    <t>1365-2664</t>
  </si>
  <si>
    <t>J APPL ECOL</t>
  </si>
  <si>
    <t>J. Appl. Ecol.</t>
  </si>
  <si>
    <t>10.1111/j.1365-2664.2008.01477.x</t>
  </si>
  <si>
    <t>324DG</t>
  </si>
  <si>
    <t>WOS:000257497300033</t>
  </si>
  <si>
    <t>James, L; Gomez, E; Ramirez, G; Dumas, T; Courant, F</t>
  </si>
  <si>
    <t>James, Lea; Gomez, Elena; Ramirez, Gaelle; Dumas, Thibaut; Courant, Frederique</t>
  </si>
  <si>
    <t>Liquid chromatography-mass spectrometry based metabolomics investigation of different tissues of Mytilus galloprovincialis</t>
  </si>
  <si>
    <t>Metabolomics; Bivalve; Gonad; Foot; Digestive gland; Gill; Soft tissue</t>
  </si>
  <si>
    <t>MUSSEL PERNA-VIRIDIS; CYCLES; METABOLITES; RESPONSES; EXPOSURE</t>
  </si>
  <si>
    <t>The Mediterranean mussel (Mytilus galloprovincialis) is widely used in monitoring programs and in ecotoxico-logical studies to examine the biological effects of physicochemical parameter changes and the impact of chemical pollutants. Metabolomics has recently demonstrated high potential to gain further insight into the molecular effects of chemical exposure and the success of its application is dependent on the extent of prior metabolomics knowledge available on the target organism. Therefore, the purpose of this study was the inves-tigation of the metabolites of five different functional tissues of male and female Mediterranean mussels (digestive gland, foot, gill and gonad tissues and in the remaining soft tissues) accessible to the analysis using the most common sample preparation recommended for tissue analysis (i.e. Bligh &amp; Dyer). Metabolic fingerprints were acquired via liquid chromatography high-resolution mass spectrometry and the identification was based on an internal database developed in the laboratory. It led to the identification of 110 metabolites, among which amino acids, carboxylic acids, purine and pyrimidine metabolites were often the most abundant. The metabolic contents of the five tissues quantitatively and qualitatively differed, with a clear distinction between male and female contents observed in the gonads and digestive glands. These results underline the importance of selecting the most suitable tissue and sex to study the impact of contamination on metabolism and the need for further research to deeper characterize the metabolome of this organism.</t>
  </si>
  <si>
    <t>[James, Lea; Gomez, Elena; Ramirez, Gaelle; Dumas, Thibaut; Courant, Frederique] Univ Montpellier, CNRS, IRD, Hydrosci Montpellier, Montpellier, France; [Courant, Frederique] Hydrosci Montpellier, 15 Ave Charles Flahault, F-34090 Montpellier, France</t>
  </si>
  <si>
    <t>Institut de Recherche pour le Developpement (IRD); Universite de Montpellier; Centre National de la Recherche Scientifique (CNRS); Universite de Montpellier</t>
  </si>
  <si>
    <t>Courant, F (corresponding author), Hydrosci Montpellier, 15 Ave Charles Flahault, F-34090 Montpellier, France.</t>
  </si>
  <si>
    <t>frederique.courant@umontpellier.fr</t>
  </si>
  <si>
    <t>Courant, Frédérique/IUQ-0825-2023; Gomez, Elena/AAQ-9903-2020</t>
  </si>
  <si>
    <t>GOMEZ, Elena/0000-0003-3897-0902; Courant, Frederique/0000-0003-2237-775X</t>
  </si>
  <si>
    <t>SANOFI France; French Agence Nationale de la Recherche [IMAP ANR-16-CE34-0006-01]</t>
  </si>
  <si>
    <t>SANOFI France(Sanofi-Aventis); French Agence Nationale de la Recherche(Agence Nationale de la Recherche (ANR))</t>
  </si>
  <si>
    <t>This research was funded by SANOFI France and the French Agence Nationale de la Recherche (IMAP ANR-16-CE34-0006-01) . The authors thank the Platform of Non -Target Environmental Metabolomics (PON- TEM) of the Montpellier Alliance for Metabolomics and Metabolism Analysis (MAMMA) consortium facilities.</t>
  </si>
  <si>
    <t>10.1016/j.cbd.2022.101051</t>
  </si>
  <si>
    <t>G9MP4</t>
  </si>
  <si>
    <t>WOS:000992314000001</t>
  </si>
  <si>
    <t>Cozzolino, L; Nicastro, KR; Hubbard, PC; Seuront, L; Mcquaid, CD; Zardi, GI</t>
  </si>
  <si>
    <t>Cozzolino, Lorenzo; Nicastro, Katy R.; Hubbard, Peter C.; Seuront, Laurent; Mcquaid, Christopher D.; Zardi, Gerardo I.</t>
  </si>
  <si>
    <t>Intraspecific genetic lineages of a marine mussel show behavioural divergence when exposed to microplastic leachates</t>
  </si>
  <si>
    <t>Biogeography; Electrophysiology; Intraspecific variation; Mytilus; Osphradium; Plastic pellets</t>
  </si>
  <si>
    <t>INDIGENOUS PERNA-PERNA; HEAVY-METALS; MYTILUS-GALLOPROVINCIALIS; ECOSYSTEM ENGINEERS; SENSE-ORGANS; TRACE-METALS; AMINO-ACIDS; SEDIMENTS; DIVERSITY; ACCUMULATION</t>
  </si>
  <si>
    <t>Worldwide, microplastic pollution has numerous negative implications for marine biota, exacerbating the effects of other forms of global anthropogenic disturbance. Mounting evidence shows that microplastics (MPs) not only cause physical damage through their ingestion, but also act as vectors for hazardous compounds by leaching absorbed and adsorbed chemicals. Research on the effects of plastic pollution has, however, largely assumed that species respond uniformly, while ignoring intraspecific diversity (i.e., variation within a single species). We investigated the effects of plastic leachates derived from factory-fresh (virgin) and beached microplastics on the behavioural responses of two genetic lineages of the Mediterranean mussel Mytilus galloprovincialis. Through laboratory behavioural experiments, we found that during exposure to leachates from beached microplastics (beached MPLs), Atlantic specimens moved significantly less than Mediterranean individuals in terms of both (i) proportion of individuals responding through movement and (ii) net and gross distances crawled. In contrast, no significant intraspecific differences were observed in the behaviour of either adults or recruits when exposed to MPLs from virgin microplastics (virgin MPLs). Additionally, the reception of cues from three amino acids (Lcysteine, proline and L-leucine) at increasing concentrations (10-5 M to 10-3 M in charcoal-filtered seawater) was tested by electrophysiological analysis using mussels exposed to beached MPLs or control seawater. We found significant intraspecific differences in response to 10-3 M L-cysteine (regardless of treatment) and 10-4 M L-cysteine (in mussels exposed to beached MPLs) and to 10-3 M proline (in mussels exposed to beached MPLs) and 10-5 M L-leucine. Our study suggests that intraspecific variation in a marine mussel may prompt different responses to plastic pollution, potentially triggered by local adaptation and physiological variability between lineages. Our work highlights the importance of assessing the effects of intraspecific variation, especially in environmental sentinel species as this level of diversity could modulate responses to plastic pollution.</t>
  </si>
  <si>
    <t>[Cozzolino, Lorenzo; Nicastro, Katy R.; Hubbard, Peter C.; Zardi, Gerardo I.] Univ Algarve, CCMAR Ctr Ciencias Mar, CIMAR Lab Associado, Campus Gambelas, P-8005139 Faro, Portugal; [Nicastro, Katy R.; Seuront, Laurent] Univ Lille, Univ Littoral Cote Opale, CNRS, UMR 8187.IRD,Littoral Cote dOpale,LOG Lab doceanol, F-59000 Lille, France; [Nicastro, Katy R.; Seuront, Laurent; Mcquaid, Christopher D.; Zardi, Gerardo I.] Rhodes Univ, Dept Zool &amp; Entomol, ZA-6140 Grahamstown, South Africa; [Seuront, Laurent] Tokyo Univ Marine Sci &amp; Technol, Dept Marine Resources &amp; Energy, 4-5-7 Konan,Minato Ku, Tokyo 1088477, Japan; [Zardi, Gerardo I.] Normandie Univ, UNICAEN, Lab Biol Organismes &amp; Ecosyst Aquat, CNRS,UMR 8067,BOREA,MNHN,UPMC,UCBN ,IRD 207,CS 14, 14000, F-14032 Caen, France</t>
  </si>
  <si>
    <t>Universidade do Algarve; Centre National de la Recherche Scientifique (CNRS); Universite de Lille; Rhodes University; Tokyo University of Marine Science &amp; Technology; Universite de Caen Normandie; Centre National de la Recherche Scientifique (CNRS); Institut de Recherche pour le Developpement (IRD); Museum National d'Histoire Naturelle (MNHN); Sorbonne Universite</t>
  </si>
  <si>
    <t>Cozzolino, L (corresponding author), Univ Algarve, CCMAR Ctr Ciencias Mar, CIMAR Lab Associado, Campus Gambelas, P-8005139 Faro, Portugal.</t>
  </si>
  <si>
    <t>Lorenzo_cozzolino@hotmail.it</t>
  </si>
  <si>
    <t>Zardi, Gerardo/M-4026-2013; Nicastro, Katy/AAY-3692-2021; Hubbard, Peter/B-2823-2008</t>
  </si>
  <si>
    <t>Hubbard, Peter/0000-0002-3007-4647; Seuront, Laurent/0000-0002-0051-5202; Cozzolino, Lorenzo/0000-0003-1222-6069</t>
  </si>
  <si>
    <t>European Maritime and Fisheries Fund (FEAMP); France Filiere Peche through the research project SOLACE (Resilience of the mussel Mytilus edulis to anthropogenic and climatic stressors); Fundacao para a Ciencia e a Tecnologia (FCT, MEC, Portugal); National Research Foundation of South Africa; Pierre Hubert Curien PESSOA grant 2022-2023 [UIDB/04326/2020, 2020.06671.BD]; FCT -Foundation for Science and Technology [64801]; Normandy Region; European Union's Horizon 2020 research and innovation programme under the Marie Sklodowska-Curie grant [UIDP/04326/2020, EXPL/BIA-ECO/1126/2021, LA/P/0101/2020]; European Union (ERDF); French Government [101034329]; Region Hauts-de-France; IFREMER</t>
  </si>
  <si>
    <t>European Maritime and Fisheries Fund (FEAMP); France Filiere Peche through the research project SOLACE (Resilience of the mussel Mytilus edulis to anthropogenic and climatic stressors); Fundacao para a Ciencia e a Tecnologia (FCT, MEC, Portugal)(Fundacao para a Ciencia e a Tecnologia (FCT)); National Research Foundation of South Africa(National Research Foundation - South Africa); Pierre Hubert Curien PESSOA grant 2022-2023; FCT -Foundation for Science and Technology(Fundacao para a Ciencia e a Tecnologia (FCT)); Normandy Region; European Union's Horizon 2020 research and innovation programme under the Marie Sklodowska-Curie grant(Marie Curie Actions); European Union (ERDF)(European Union (EU)); French Government; Region Hauts-de-France(Region Hauts-de-France); IFREMER</t>
  </si>
  <si>
    <t>This research was financially supported by both the European Maritime and Fisheries Fund (FEAMP) and France Filiere Peche through the research project SOLACE (Resilience of the mussel Mytilus edulis to anthropogenic and climatic stressors), by the Fundacao para a Ciencia e a Tecnologia (FCT, MEC, Portugal, grant number: UIDB/04326/2020 and PhD grant with reference 2020.06671.BD), the National Research Foundation of South Africa (grant number: 64801), by a Pierre Hubert Curien PESSOA grant 2022-2023 and by FCT -Foundation for Science and Technology through projects UIDP/04326/2020, EXPL/BIA-ECO/1126/2021 and LA/P/0101/2020. Gerardo I. Zardi is a laureate of the WINNINGNormandy Program supported by the Normandy Region. This project has received funding from the European Union's Horizon 2020 research and innovation programme under the Marie Sklodowska-Curie grant agreement No 101034329. The authors are grateful to Joao Reis (Marine Station of Ramalhete) for technical support in mussels maintenance, to Arturo Facente (technical diving operator) for his support during samples collection, and to Fleurine Akoueson and Guillaume Duflos for conducting the additives identification, which has been partially financially supported by the European Union (ERDF), the French Government, the Region Hauts-de-France and IFREMER, in the framework of the project CPER IDEAL 2021-2027. The authors are also grateful to John A. Commito and the other anonymous reviewers for their valuable contribution to the revision of this manuscript.</t>
  </si>
  <si>
    <t>10.1016/j.envpol.2023.122779</t>
  </si>
  <si>
    <t>Z0VM2</t>
  </si>
  <si>
    <t>WOS:001109345300001</t>
  </si>
  <si>
    <t>CAJARAVILLE, MP; ABASCAL, I; ETXEBERRIA, M; MARIGOMEZ, I</t>
  </si>
  <si>
    <t>LYSOSOMES AS CELLULAR MARKERS OF ENVIRONMENTAL-POLLUTION - TIME-DEPENDENT AND DOSE-DEPENDENT RESPONSES OF THE DIGESTIVE LYSOSOMAL SYSTEM OF MUSSELS AFTER PETROLEUM HYDROCARBON EXPOSURE</t>
  </si>
  <si>
    <t>WATER ACCOMMODATED FRACTION; MYTILUS-EDULIS; 3 OILS; QUANTITATIVE ALTERATIONS; AROMATIC-HYDROCARBONS; CELLS; HISTOCHEMISTRY; MICROPROBE; CADMIUM; WINKLES</t>
  </si>
  <si>
    <t>Lysosomes are cell organelles containing hydrolytic enzymes and involved in intracellular digestion. Numerous environmental contaminants can interfere with lysosomes, and the purpose of the present work was to quantify changes induced by petroleum hydrocarbons on the structure of the lysosomal system of mussel digestive cells. Mussels, Mytilus galloprovincialis Lmk., were exposed for three months to the water accommodated fraction (WAF) of two crude oils (URAL and MAYA) and of a lubricant oil. Three different exposure doses (0.6, 6, and 40% WAF) were used for each type of hydrocarbon and mussels were sampled at different time intervals (days 21, 49, and 91). A stereological study, using an automated image analysis system, was made on sections stained for demonstration of beta-glucuronidase activity and four parameters were calculated: lysosomal volume density, surface density, surface to volume ratio, and numerical density. The results indicate that the effect of the exposure dose on lysosomal structure is variable and there is no linear relationship of lysosomal changes with dose. Regarding the effect of the exposure time, two different responses were evidenced: (a) a short-term response (at day 21) with a decrease in size and numbers of lysosomes and (b) a long-term response (at days 49 and 91) with an increase in lysosomal size and a decrease in their numbers. The short-term response may be due to a disintegration process of the digestive cells with subsequent loss of lysosomes and could represent an adaptative response to hydrocarbon exposure. At long exposure times, lysosomal changes, apparently caused by fusion processes giving rise to enlarged lysosomes, correspond to a ''general stress response.'' (C) 1995 by John Wiley &amp; Sons, Inc.</t>
  </si>
  <si>
    <t>CAJARAVILLE, MP (corresponding author), EUSKAL HERRIKO UNIBERTSITATEA,FAK ZIENTZI,BIOL ZELULARRA ZIENTZIA MORFOL SAILA,E-48080 BILBAO,SPAIN.</t>
  </si>
  <si>
    <t>MARIGOMEZ ALLENDE, Ionan/C-3909-2017; Cajaraville, Miren P/I-4757-2015</t>
  </si>
  <si>
    <t>MARIGOMEZ ALLENDE, Ionan/0000-0001-6274-541X; Cajaraville, Miren P/0000-0001-6527-6137</t>
  </si>
  <si>
    <t>10.1002/tox.2530100102</t>
  </si>
  <si>
    <t>QF949</t>
  </si>
  <si>
    <t>WOS:A1995QF94900001</t>
  </si>
  <si>
    <t>Fang, TH; Dai, SY</t>
  </si>
  <si>
    <t>Fang, Tien-Hsi; Dai, Shi-Yan</t>
  </si>
  <si>
    <t>Green oysters occurring in an industrial harbor in Central Taiwan</t>
  </si>
  <si>
    <t>Green oysters; Trace metals; Bioconcentration factor</t>
  </si>
  <si>
    <t>PARTICULATE TRACE-METALS; SACCOSTREA-GLOMERATA; SEDIMENT PARTICLES; ESTUARY; POLLUTION; AUSTRALIA; COPPER; COAST; BAY; ZN</t>
  </si>
  <si>
    <t>Green oysters were found within the Mailiao industrial harbor (MIH) located in Central Taiwan. The metal concentrations in seawater (dissolved and particulate phases), sediment and oyster samples collected within the MIH were analyzed to examine the green oysters. The dissolved and particulate metal concentrations ranged within 0.008-1.47 mu g l(-1) and 0.97-799.2 mg kg(-1), respectively. The Cu concentration in seawater was dominated in the dissolved phase. In contrast, Cr, Pb and Zn in seawater were chiefly present in the particulate phase. The metal concentrations in sediment and oyster samples ranged within 0.02-148.4 mg kg(-1) and 0.18-1238 mg kg(-1) (dry W.), respectively. No anomalous values were found in the analyzed samples, except the Cu content in the oyster samples ranged within 274-1238 mg kg(-1). The relatively high bioconcentration factor of Cu in oyster and the longer exposure time induced the green oysters occurred within the MIH. (C) 2017 Elsevier Ltd. All rights reserved.</t>
  </si>
  <si>
    <t>[Fang, Tien-Hsi; Dai, Shi-Yan] Natl Taiwan Ocean Univ, Dept Marine Environm Informat, Keelung 20224, Taiwan</t>
  </si>
  <si>
    <t>Fang, TH (corresponding author), Natl Taiwan Ocean Univ, Dept Marine Environm Informat, Keelung 20224, Taiwan.</t>
  </si>
  <si>
    <t>thfang@mail.ntou.edu.tw</t>
  </si>
  <si>
    <t>Republic of China, under MOST [104-2611-M-019-017]; Formosa Plastics Group Company</t>
  </si>
  <si>
    <t>Republic of China, under MOST; Formosa Plastics Group Company</t>
  </si>
  <si>
    <t>This research was financially supported by the Republic of China, under MOST grant 104-2611-M-019-017 and by the Formosa Plastics Group Company. The authors wish to gratefully acknowledge Dr. Wu C.H. to collect the samples.</t>
  </si>
  <si>
    <t>10.1016/j.marpolbul.2017.02.059</t>
  </si>
  <si>
    <t>WOS:000417964500054</t>
  </si>
  <si>
    <t>Jan, N; Majeed, N; Ahmad, M; Lone, WA; John, R</t>
  </si>
  <si>
    <t>Jan, Nelofer; Majeed, Neelofar; Ahmad, Muneeb; Lone, Waseem Ahmad; John, Riffat</t>
  </si>
  <si>
    <t>Nano-pollution: Why it should worry us</t>
  </si>
  <si>
    <t>Nanopollution; Nanoparticles; Nanomedicine</t>
  </si>
  <si>
    <t>METAL-OXIDE NANOPARTICLES; TITANIUM-DIOXIDE NANOPARTICLES; ORYZA-SATIVA L.; BACTERIA VIBRIO-FISCHERI; NM SILVER NANOPARTICLES; LETTUCE LACTUCA-SATIVA; ZNO NANOPARTICLES; TROPHIC TRANSFER; ENGINEERED NANOPARTICLES; CEO2 NANOPARTICLES</t>
  </si>
  <si>
    <t>Nanoparticles are immensely diverse both in terms of quality and sources of emission into the environment. Nowadays, nanotechnologies are developing and growing at a rapid pace without specific rules and regulations, leading to a severe effect on environment and affecting the labours in outdoor and indoor workplaces. The continue and enormous use of NPs for industrial and commercial purposes, has put a pressing need to think whether the increasing use of these NPs could overcome the severe environmental effects and unknown human health risks. Only a few studies have been carried out to assess the toxic effect of these NPs resulting from their direct or indirect exposure. There is in an increasing clamour to consider environmental implications of NPs and to monitor the outcome of NP during use in biological testing. There remain many open questions for consideration. An adequate research is required to determine the real toxic effect of these NPs on environment and human health. In this review, we have discussed the negative effects of NPs on environment and biosphere at large and the future research required.</t>
  </si>
  <si>
    <t>[Jan, Nelofer; Majeed, Neelofar; Ahmad, Muneeb; Lone, Waseem Ahmad; John, Riffat] Univ Kashmir, Dept Bot, Plant Mol Biol Lab, Srinagar 190006, India</t>
  </si>
  <si>
    <t>University of Kashmir</t>
  </si>
  <si>
    <t>John, R (corresponding author), Univ Kashmir, Dept Bot, Srinagar 190006, Kashmir, India.</t>
  </si>
  <si>
    <t>riffatminhaj@kashmiruniversity.ac.in</t>
  </si>
  <si>
    <t>John, Riffat/AAQ-8499-2021</t>
  </si>
  <si>
    <t>John, Riffat/0000-0001-6258-9381</t>
  </si>
  <si>
    <t>Science and Engineering Research Board (SERB), Govt. of India [CRG/2020/006169]</t>
  </si>
  <si>
    <t>Science and Engineering Research Board (SERB), Govt. of India</t>
  </si>
  <si>
    <t>The authors acknowledge the financial support by Science and Engineering Research Board (SERB), Govt. of India via sanction letter SERB File Number: CRG/2020/006169.</t>
  </si>
  <si>
    <t>10.1016/j.chemosphere.2022.134746</t>
  </si>
  <si>
    <t>1Q6JI</t>
  </si>
  <si>
    <t>WOS:000802790600003</t>
  </si>
  <si>
    <t>Guo, XY; Feng, CH; Bi, Z; Islam, A; Cai, YP</t>
  </si>
  <si>
    <t>Guo, Xiaoyu; Feng, Chenghong; Bi, Zhe; Islam, Akhtar; Cai, Yanpeng</t>
  </si>
  <si>
    <t>Toxicity effects of ciprofloxacin on biochemical parameters, histological characteristics, and behaviors of Corbicula fluminea in different substrates</t>
  </si>
  <si>
    <t>Asian clam; Sediment; Oxidative stress; Cell morphology alterations; Filtration response</t>
  </si>
  <si>
    <t>INTEGRATED BIOMARKER RESPONSE; ASIATIC CLAM; OXIDATIVE STRESS; MULTIXENOBIOTIC RESISTANCE; FLAME RETARDANTS; ECOLOGICAL RISK; SEDIMENT-WATER; ANTIBIOTICS; RIVER; CADMIUM</t>
  </si>
  <si>
    <t>Antibiotic toxicity and antibiotic resistance have become significant challenges to human health. However, the potential ecotoxicity of sediment-associated antibiotics remains unknown. In this study, biochemical responses, histological changes, and behavioral responses of Corbicula fluminea exposed to sediment-associated ciprofloxacin (CIP) were systemically investigated. Special attention was paid to the influence of different substrate types. Biochemical analyses revealed that the balance of the antioxidant system was disrupted, eventually leading to oxidative damage to the gills and digestive gland with increasing CIP concentration. Severe histopathological changes appeared along with the oxidative damage. An enlargement of the tubule lumen and thinning of the epithelium in the digestive gland were observed under exposure to high CIP concentrations (0.5 and 2.5 mu g/g CIP). In a behavioral assay, the filtration rate of C. fluminea in high concentration exposure groups was clearly inhibited. Moreover, from the integrated biomarker response (IBR) index, the toxicity response gradients of the digestive gland (no substrate--NOS &gt; Sand &gt; Sand and kaolinite clay-- SKC &gt; Sand, kaolinite clay, and organic matter--SCO) and gills (NOS &gt; SCO &gt; SKC &gt; Sand) were different among substrate exposure groups. The most serious histopathological damage and highest siphoning inhibition were observed in the NOS group. The changes in the morphological structure of digestive gland cells in C. fluminea were similar in the other three substrate groups. The inhibition of the filtration rate in the higher concentration groups decreased in the order Sand &gt; SKC &gt; SCO.</t>
  </si>
  <si>
    <t>[Guo, Xiaoyu] Guangdong Provincal Acad Environm Sci, Guangzhou 510045, Peoples R China; [Feng, Chenghong; Islam, Akhtar] Beijing Normal Univ, Sch Environm, State Key Lab Water Environm Simulat, Beijing 100875, Peoples R China; [Bi, Zhe] Natl Inst Metrol, Beijing 100029, Peoples R China; [Cai, Yanpeng] Guangdong Univ Technol, Inst Environm &amp; Ecol Engn, Guangdong Prov Key Lab Water Qual Improvement &amp; E, Guangzhou 510006, Peoples R China</t>
  </si>
  <si>
    <t>Beijing Normal University; National Institute of Metrology China; Guangdong University of Technology</t>
  </si>
  <si>
    <t>Feng, CH (corresponding author), Beijing Normal Univ, Sch Environm, State Key Lab Water Environm Simulat, Beijing 100875, Peoples R China.</t>
  </si>
  <si>
    <t>201431180041@mail.bnu.edu.cn</t>
  </si>
  <si>
    <t>Guo, Xiaoyu/G-2635-2018; Feng, Chenghong/D-5068-2014</t>
  </si>
  <si>
    <t>Feng, Chenghong/0000-0002-2130-8851</t>
  </si>
  <si>
    <t>National Natural Science Foundation of China [42007368]; Natural Science Foundation of Guangdong Province [2021A1515011863]; National Key Research and Development Program of China [2016YFF0204502, 2016YFF0204500]</t>
  </si>
  <si>
    <t>National Natural Science Foundation of China(National Natural Science Foundation of China (NSFC)); Natural Science Foundation of Guangdong Province(National Natural Science Foundation of Guangdong Province); National Key Research and Development Program of China(National Key Research &amp; Development Program of China)</t>
  </si>
  <si>
    <t>This work was supported by the National Natural Science Foundation of China (42007368), the Natural Science Foundation of Guangdong Province (2021A1515011863), and the National Key Research and Development Program of China (2016YFF0204502, 2016YFF0204500).</t>
  </si>
  <si>
    <t>10.1007/s11356-021-17509-z</t>
  </si>
  <si>
    <t>WOS:000721458400002</t>
  </si>
  <si>
    <t>Elia, AC; Burioli, E; Magara, G; Pastorino, P; Caldaroni, B; Menconi, V; Dörr, AJM; Colombero, G; Abete, MC; Prearo, M</t>
  </si>
  <si>
    <t>Elia, Antonia Concetta; Burioli, Erika; Magara, Gabriele; Pastorino, Paolo; Caldaroni, Barbara; Menconi, Vasco; Dorr, Ambrosius Josef Martin; Colombero, Giorgio; Abete, Maria Cesarina; Prearo, Marino</t>
  </si>
  <si>
    <t>Oxidative stress ecology on Pacific oyster Crassostrea gigas from lagoon and offshore Italian sites</t>
  </si>
  <si>
    <t>Antioxidant biomarkers; Crassostrea gigas; Mollusks; Pathogens; Seasonal variation; Trace elements</t>
  </si>
  <si>
    <t>VIBRIO-AESTUARIANUS; DIGESTIVE GLAND; MYTILUS-GALLOPROVINCIALIS; SUMMER MORTALITY; OSTREID HERPESVIRUS-1; REPRODUCTIVE-CYCLE; ANTIOXIDANT STATUS; HEAVY-METALS; RESPONSES; BIOMARKERS</t>
  </si>
  <si>
    <t>Crassostrea gigas is a sentinel species along the Italian coast. In mussels, the levels of oxidative stress biomarkers can be modulated by several environmental pollutants or pathogens and also fluctuate in response to reproductive stages and seasonal changes. In this study, adult Crassostrea gigas were sampled during summer and autumn from two lagoon and two offshore sites along the Adriatic coast of Italy in order to investigate the influence of seasonality on oxidative stress biomarkers. Trace elements load of Al, As, Cd, Cr, Cu, Fe, Mn, Ni, Pb, Se and Zn suggests low contamination for lagoon and offshore sites. Levels of total glutathione, superoxide dismutase, catalase, glutathione peroxidases, glutathione reductase and glutathione S-transferase were analyzed in digestive gland and gills of the Pacific oysters in June, July, September and October. OsHV-1 and Vibrio aestuarianus were detected in lagoon sites, but both pathogens did not affect the biomarkers levels in both tissues. Although several biological responses were found different among the four sites in the same month, principal component analysis revealed similar trend in biomarkers levels between sites during the whole sampling period. On the other hand, a different biochemical pattern through the months emerged, suggesting that the level of oxidative stress biomarkers in both tissues may be related to seasonal progress and biological cycle of oysters sampled from the two lagoons and offshore sites along the Italian coasts of the Mediterranean Sea. (C) 2020 Elsevier B.V. All rights reserved.</t>
  </si>
  <si>
    <t>[Elia, Antonia Concetta; Magara, Gabriele; Caldaroni, Barbara; Dorr, Ambrosius Josef Martin] Univ Perugia, Dept Chem Biol &amp; Biotechnol, I-06123 Perugia, Italy; [Burioli, Erika] LABEO Frank Duncombe, Caen, France; [Pastorino, Paolo; Menconi, Vasco; Colombero, Giorgio; Abete, Maria Cesarina; Prearo, Marino] Vet Med Res Inst Piemonte Liguria &amp; Valle dAosta, I-10154 Turin, Italy</t>
  </si>
  <si>
    <t>Elia, AC (corresponding author), Univ Perugia, Dept Chem Biol &amp; Biotechnol, I-06123 Perugia, Italy.</t>
  </si>
  <si>
    <t>antonia.elia@unipg.it</t>
  </si>
  <si>
    <t>Pastorino, Paolo/T-5288-2019; Prearo, Marino/AAF-3369-2021; menconi, Vasco/ABH-1632-2020; cesarina, maria/AAY-7548-2020; Doerr, Ambrosius/G-9915-2014; Elia, Antonia Concetta/F-4646-2014</t>
  </si>
  <si>
    <t>Burioli, Erika/0000-0003-2666-9258; Pastorino, Paolo/0000-0002-0585-1168; Elia, Antonia Concetta/0000-0002-7750-6339</t>
  </si>
  <si>
    <t>Ministry of Health, Italy [IZS PLV 12/14 RC]</t>
  </si>
  <si>
    <t>Ministry of Health, Italy(Ministry of Health, Italy)</t>
  </si>
  <si>
    <t>The study was financially supported by the Ministry of Health, Italy (grant n. IZS PLV 12/14 RC).</t>
  </si>
  <si>
    <t>10.1016/j.scitotenv.2020.139886</t>
  </si>
  <si>
    <t>ND3IX</t>
  </si>
  <si>
    <t>WOS:000561798600020</t>
  </si>
  <si>
    <t>Bor, SK; Simbauni, JA; Oyugi, MP; Njue, WM; Chhabra, SC</t>
  </si>
  <si>
    <t>Bor, S. K.; Simbauni, J. A.; Oyugi, M. P.; Njue, W. M.; Chhabra, S. C.</t>
  </si>
  <si>
    <t>Organochlorine residues in tissues of marine fauna along the coast of Kenya-Mombasa island</t>
  </si>
  <si>
    <t>BULLETIN OF THE CHEMICAL SOCIETY OF ETHIOPIA</t>
  </si>
  <si>
    <t>environmental samples; marine samples; Kenya-Mombasa coastline; marine fauna; organochlorine; pesticides</t>
  </si>
  <si>
    <t>SEDIMENTS; CADMIUM; FENVALERATE; PESTICIDES; EXPOSURE; INDIA; ZINC</t>
  </si>
  <si>
    <t>Soft tissues of species of marine fauna; crabs (Crustacea), oysters (Pelecypoda, Biualvia), sea stars (Asterroidea), sea urchin (Echinoidea) and bony fishes (Osteichtyes) sampled along the Kenya-Mombasa coastal region were analyzed to determine the levels of organochlorine pesticides (OCPs). Analysis was done using gas chromatography with an electron capture detector. This study showed that marine fauna accumulated some OCPs in their tissues, 1,2,3,4,5,6-hexachlorocyclohexane (BHC) being the most common of the OCPs. These findings highlight evidence of pollution of marine fauna at the Kenyan coastal sites. It is necessary to have thorough waste management programs as a strategy to minimize marine pollution.</t>
  </si>
  <si>
    <t>Kenyatta Univ, Sch Pure &amp; Appl Sci, Dept Zool, Nairobi, Kenya; Kenyatta Univ, Sch Pure &amp; Appl Sci, Dept Chem, Nairobi, Kenya</t>
  </si>
  <si>
    <t>Kenyatta University; Kenyatta University</t>
  </si>
  <si>
    <t>Chhabra, SC (corresponding author), Kenyatta Univ, Sch Pure &amp; Appl Sci, Dept Zool, POB 43844-00100, Nairobi, Kenya.</t>
  </si>
  <si>
    <t>scchhabra@yahoo.com</t>
  </si>
  <si>
    <t>CHEM SOC ETHIOPIA</t>
  </si>
  <si>
    <t>ADDIS ABABA</t>
  </si>
  <si>
    <t>PO BOX 32934, ADDIS ABABA, ETHIOPIA</t>
  </si>
  <si>
    <t>1011-3924</t>
  </si>
  <si>
    <t>B CHEM SOC ETHIOPIA</t>
  </si>
  <si>
    <t>Bull. Chem. Soc. Ethiop.</t>
  </si>
  <si>
    <t>167YV</t>
  </si>
  <si>
    <t>WOS:000246489500017</t>
  </si>
  <si>
    <t>Kerambrun, E; Rioult, D; Delahaut, L; Evariste, L; Pain-Devin, S; Auffret, M; Geffard, A; David, E</t>
  </si>
  <si>
    <t>Kerambrun, E.; Rioult, D.; Delahaut, L.; Evariste, L.; Pain-Devin, S.; Auffret, M.; Geffard, A.; David, E.</t>
  </si>
  <si>
    <t>Variations in gene expression levels in four European zebra mussel, Dreissena polymorpha, populations in relation to metal bioaccumulation: A field study</t>
  </si>
  <si>
    <t>Zebra mussel; Gene expression; Metals; Energetic metabolism; Oxidative stress; Detoxification</t>
  </si>
  <si>
    <t>MYTILUS-GALLOPROVINCIALIS; SEASONAL-VARIATIONS; LIPID-PEROXIDATION; CDNA CLONING; BIOMARKER; RESPONSES; CADMIUM; STRESS; CONTAMINATION; REPRODUCTION</t>
  </si>
  <si>
    <t>The present study was performed to validate the suitability of using gene expression in zebra mussels, Dreissena polymorpha, for biomonitoring of freshwater environment. Mussels were collected in four French rivers (Meuse, Moselle, Oise and Vilaine) in spring and autumn. Relative gene expression of 9 candidate genes involved in cellular metabolic activities (Cytochrome-c-oxidase - cox, and ATP synthase - atp), detoxification process (Metallothionein - mt and Glutathion-S-Transferase - gst), oxidative stress (Catalase - cat, Superoxyde Dismutase - sod and Glutathion peroxidase - gpx) and digestive functions (Amylase - amy and Cellulase - ghf) were measured in digestive gland. Metal bioaccumulation in tissues and morphometric parameters were also analyzed to interpret molecular responses. All our results are consistent with different physiological reactions to environmental condition between zebra mussel populations. In spring, the levels of mt, sod, gpx, cat, atp, amy and ghf relative expression were significantly higher in mussels with the lowest metal bioaccumulation (the Meuse) compared to at least one of the other sites. In autumn, this higher expression levels in Meuse River were still observed for gpx, cat, atp and amy. This study has also pointed out different sources of variability in gene expression (individual size, season, trophic resources and origin of mussels) which are inevitable in natural fluctuant environment. This underlines the importance to take them into account in field study to propose a correct interpretation of biomarker responses. (C) 2016 Elsevier Inc. All rights reserved.</t>
  </si>
  <si>
    <t>[Kerambrun, E.; Rioult, D.; Delahaut, L.; Evariste, L.; Geffard, A.; David, E.] Univ Reims, UMR I SEBIO Stress Environm &amp; BIOsurveillance Mil, INERIS, URCA,ULH, F-51100 Reims, France; [Rioult, D.] Univ Reims, INERIS, Plateau Tech Mobile Cytometrie Environm MOBICYTE, F-51100 Reims, France; [Evariste, L.] INRS, Inst Armand Frappier, 531 Blvd Prairies, Laval, PQ H7V 1B7, Canada; [Pain-Devin, S.] Univ Lorraine, CNRS, UMR 7360, LIEC, Nancy, France; [Auffret, M.] Univ Bretagne Occidentale, UMR LEMAR Lab Sci Environm Marin 6539, IUEM, UBO,CNRS,IRD,Ifremer, F-29280 Plouzane, France</t>
  </si>
  <si>
    <t>Institut National de l'Environnement Industriel et des Risques (INERIS); Universite de Reims Champagne-Ardenne; Institut National de l'Environnement Industriel et des Risques (INERIS); Universite de Reims Champagne-Ardenne; University of Quebec; Institut national de la recherche scientifique (INRS); Universite de Lorraine; Centre National de la Recherche Scientifique (CNRS); CNRS - National Institute for Earth Sciences &amp; Astronomy (INSU); Universite de Bretagne Occidentale; Institut Universitaire Europeen de la Mer (IUEM); Institut de Recherche pour le Developpement (IRD); Centre National de la Recherche Scientifique (CNRS); Ifremer</t>
  </si>
  <si>
    <t>Kerambrun, E (corresponding author), Univ Reims, UMR I SEBIO Stress Environm &amp; BIOsurveillance Mil, INERIS, URCA,ULH, F-51100 Reims, France.</t>
  </si>
  <si>
    <t>elodie.kerambrun@wanadoo.fr</t>
  </si>
  <si>
    <t>Geffard, Alain/0000-0001-9236-2890; Evariste, Lauris/0000-0001-8718-7776; David, Elise/0000-0001-8190-4498</t>
  </si>
  <si>
    <t>ANR; NSERC (joined France-Canada project) as a part of the research program IPOC [ANR-12-ISV7-0004-01]</t>
  </si>
  <si>
    <t>ANR(Agence Nationale de la Recherche (ANR)); NSERC (joined France-Canada project) as a part of the research program IPOC</t>
  </si>
  <si>
    <t>This work was supported by a grant from both ANR and NSERC Agencies (joined France-Canada project) as a part of the research program IPOC (Interactions between Pollution and Climate changes: development of improved monitoring strategy, ANR-12-ISV7-0004-01, 2013-2015). We thank Beatrice Rocher, Estelle Petiau and Simon Devin for their help in mussels sampling.</t>
  </si>
  <si>
    <t>10.1016/j.ecoenv.2016.08.018</t>
  </si>
  <si>
    <t>DZ1OJ</t>
  </si>
  <si>
    <t>WOS:000385607400008</t>
  </si>
  <si>
    <t>Vijay, S; Rajanikanth, BS</t>
  </si>
  <si>
    <t>Vijay, Sakshi; Rajanikanth, B. S.</t>
  </si>
  <si>
    <t>Study on Synergy Between Plasma and Composite Industry Wastes in Catalyzing HC Removal in Diesel Exhaust</t>
  </si>
  <si>
    <t>PLASMA CHEMISTRY AND PLASMA PROCESSING</t>
  </si>
  <si>
    <t>Plasma catalysis; Composite wastes; Hydrocarbons; Pulsed electrical discharge; Industrial wastes; Metallurgical processing</t>
  </si>
  <si>
    <t>AIR-POLLUTION CONTROL; CATALYTIC-REDUCTION; NONTHERMAL PLASMA; NITROGEN-OXIDES; NOX; SYSTEM</t>
  </si>
  <si>
    <t>The increased usage of diesel in the past 20 years, particularly in developing countries like India, has resulted in serious concerns in abating gaseous pollutants such as oxides of nitrogen (NOX) and hydrocarbons (HC). On the other hand, the growing metallurgical processing industries leave behind tons of solid waste, making waste management a bigger issue. In the current work several industry wastes have been tested under discharge plasma environment for their catalytic properties in the removal of HCs from diesel exhaust. To explore the benefit of metal oxide components, present in industry wastes, a new approach was proposed in this work wherein two industrial wastes were blended to form a composite waste which was then powdered and bound to form pellets. Four such composite waste-based pellets, namely red mud + iron tailing, iron tailing + lignite ash, lignite ash + copper slag and red mud + oyster shells, were tested for their catalytic properties under plasma environment. Exhaust emanating from a 6 HP engine is sampled and studied for HC removal in a pulsed plasma reactor embedded with composite wastes. The pellets being porous in nature, studies were also conducted for HC adsorption by cascading composite wastes with plasma alone while treating the exhaust. All the composite wastes exhibited good plasma catalysis in HC removal (58-73%) when compared to that with plasma alone (31%). Further, there is a marked difference between plasma adsorption and plasma catalysis by a factor of 1.75-2.2 indicating synergy between plasma and metal oxides present in composite wastes while catalysing HC removal.</t>
  </si>
  <si>
    <t>[Vijay, Sakshi; Rajanikanth, B. S.] Indian Inst Sci, Elect Engn Dept, Bangalore, India</t>
  </si>
  <si>
    <t>Indian Institute of Science (IISC) - Bangalore</t>
  </si>
  <si>
    <t>Rajanikanth, BS (corresponding author), Indian Inst Sci, Elect Engn Dept, Bangalore, India.</t>
  </si>
  <si>
    <t>raj@iisc.ac.in</t>
  </si>
  <si>
    <t>Vijay, Sakshi/LFU-8491-2024</t>
  </si>
  <si>
    <t>Rajanikanth, BS/0000-0001-8974-3051</t>
  </si>
  <si>
    <t>0272-4324</t>
  </si>
  <si>
    <t>1572-8986</t>
  </si>
  <si>
    <t>PLASMA CHEM PLASMA P</t>
  </si>
  <si>
    <t>Plasma Chem. Plasma Process.</t>
  </si>
  <si>
    <t>2024 MAY 16</t>
  </si>
  <si>
    <t>10.1007/s11090-024-10477-5</t>
  </si>
  <si>
    <t>Engineering, Chemical; Physics, Applied; Physics, Fluids &amp; Plasmas</t>
  </si>
  <si>
    <t>Engineering; Physics</t>
  </si>
  <si>
    <t>RH2Y8</t>
  </si>
  <si>
    <t>WOS:001226721700001</t>
  </si>
  <si>
    <t>Fuentes-Antrás, J; Osorio-Martínez, E; Ramírez-Torres, M; Colmena, I; Fernández-Morales, JC; Hernández-Guijo, JM</t>
  </si>
  <si>
    <t>Fuentes-Antras, J.; Osorio-Martinez, E.; Ramirez-Torres, M.; Colmena, I.; Fernandez-Morales, J. C.; Hernandez-Guijo, J. M.</t>
  </si>
  <si>
    <t>Methylmercury decreases cellular excitability by a direct blockade of sodium and calcium channels in bovine chromaffin cells: an integrative study</t>
  </si>
  <si>
    <t>PFLUGERS ARCHIV-EUROPEAN JOURNAL OF PHYSIOLOGY</t>
  </si>
  <si>
    <t>Chromaffin cells; Methylmercury; Calcium channels; Action potentials; Sodium channels</t>
  </si>
  <si>
    <t>CA2+-ACTIVATED K+ CHANNELS; CA2+ CHANNELS; POTASSIUM CHANNELS; INORGANIC MERCURY; BK CHANNELS; N-TYPE; CURRENTS; NEURONS; ACTIVATION; MECHANISMS</t>
  </si>
  <si>
    <t>Methylmercury, a potent environmental pollutant responsible for fatal food poisoning, blocked calcium channels of bovine chromaffin cells in a time- and concentration-dependent manner with an IC50 of 0.93 mu M. This blockade was not reversed upon wash-out and was greater at more depolarising holding potentials (i.e. 21 % at -110 mV and 60 % at -50 mV, after 3 min perfusion with methylmercury). In omega-toxins-sensitive calcium channels, methylmercury caused a higher blockade of I (Ba) than in omega-toxins-resistant ones, in which a lower blockade was detected. The sodium current was also blocked by acute application of methylmercury in a time- and concentration-dependent manner with an IC50 of 1.05 mu M. The blockade was not reversed upon wash-out of the drug. The drug inhibited sodium current at all test potentials and shows a shift of the I-V curve to the left of about 10 mV. Intracellular dialysis with methylmercury caused no blockade of calcium or sodium channels. Voltage-dependent potassium current was not affected by methylmercury. Calcium- and voltage-dependent potassium current was also drastically depressed. This blockade was related to the prevention of Ca2+ influx through voltage-dependent calcium channels coupled to BK channels. Under current-clamp conditions, the blockade of ionic current present during the generation and termination of action potentials led to a drastic alteration of cellular excitability. The application of methylmercury greatly reduced the shape and the number of electrically evoked action potentials. Taken together, these results point out that the neurotoxic action evoked by methylmercury may be associated to alteration of cellular excitability by blocking ionic currents responsible for the generation and termination of action potentials.</t>
  </si>
  <si>
    <t>[Fuentes-Antras, J.; Osorio-Martinez, E.; Ramirez-Torres, M.; Colmena, I.; Fernandez-Morales, J. C.; Hernandez-Guijo, J. M.] Univ Autonoma Madrid, Sch Med, Dept Pharmacol &amp; Therapeut, Madrid 28029, Spain; [Fuentes-Antras, J.; Osorio-Martinez, E.; Ramirez-Torres, M.; Colmena, I.; Fernandez-Morales, J. C.; Hernandez-Guijo, J. M.] Univ Autonoma Madrid, Sch Med, Inst Teofilo Hernando, Madrid 28029, Spain; [Hernandez-Guijo, J. M.] Univ Autonoma Madrid, Sch Med, Inst Invest Sanitaria Hosp Princesa, Madrid 28029, Spain</t>
  </si>
  <si>
    <t>Autonomous University of Madrid; Autonomous University of Madrid; Autonomous University of Madrid</t>
  </si>
  <si>
    <t>Hernández-Guijo, JM (corresponding author), Univ Autonoma Madrid, Sch Med, Dept Pharmacol &amp; Therapeut, Av Arzobispo Morcillo 4, Madrid 28029, Spain.</t>
  </si>
  <si>
    <t>jesusmiguel.hernandez@uam.es</t>
  </si>
  <si>
    <t>Hernandez Guijo, Jesus Miguel/T-2377-2018</t>
  </si>
  <si>
    <t>Hernandez Guijo, Jesus Miguel/0000-0002-7011-5351; Colmena Crespo, Ines/0000-0003-3535-8187; FUENTES-ANTRAS, JESUS/0000-0001-5805-2362</t>
  </si>
  <si>
    <t>Fundacion Teofilo Hernando</t>
  </si>
  <si>
    <t>The authors thank Dr. Luis Gandia for helpful discussion and further acknowledge the support provided by Fundacion Teofilo Hernando to the present study.</t>
  </si>
  <si>
    <t>0031-6768</t>
  </si>
  <si>
    <t>1432-2013</t>
  </si>
  <si>
    <t>PFLUG ARCH EUR J PHY</t>
  </si>
  <si>
    <t>Pflugers Arch.</t>
  </si>
  <si>
    <t>10.1007/s00424-013-1311-3</t>
  </si>
  <si>
    <t>257TH</t>
  </si>
  <si>
    <t>WOS:000327409000006</t>
  </si>
  <si>
    <t>Carafa, R; Marinov, D; Dueri, S; Wollgast, J; Ligthart, J; Canuti, E; Viaroli, P; Zaldívar, JM</t>
  </si>
  <si>
    <t>Carafa, R.; Marinov, D.; Dueri, S.; Wollgast, J.; Ligthart, J.; Canuti, E.; Viaroli, P.; Zaldivar, J. M.</t>
  </si>
  <si>
    <t>A 3D hydrodynamic fate and transport model for herbicides in Sacca di Goro coastal lagoon (Northern Adriatic)</t>
  </si>
  <si>
    <t>s-triazines; herbicides; fate and transport 3D model; coastal lagoons</t>
  </si>
  <si>
    <t>PERSISTENT ORGANIC POLLUTANTS; DRY DEPOSITION; MASS-BALANCE; OF-VENICE; LONG-TERM; RIVER; ATRAZINE; PESTICIDES; WATER; SEA</t>
  </si>
  <si>
    <t>Sacca di Goro is a shallow coastal microtidal lagoon with a surface area of 26 km(2), and an average depth of about 1.5 m. Fresh water pollutant loads from Po River branches and several drainage canals lead to anthropogenic eutrophication, frequent summer anoxia crises and chemical contamination. Such events not only affect the lagoon ecosystem but also cause serious economic losses, the lagoon being the second largest producer of clams in Italy. The present work aims at using a fate model coupled with COHERENS 3D hydrodynamic model to simulate and to explain the spatial distribution and temporal variations of s-triazines herbicides in the Sacca di Goro lagoon. The simulation results of spatial and temporal dynamic behaviour of atrazine, simazine and terbuthylazine have been compared with experimental data obtained during an annual monitoring programme. (c) 2006 Elsevier Ltd. All rights reserved.</t>
  </si>
  <si>
    <t>Commiss European Communities, Joint Res Ctr, Inst Environm &amp; Sustainabil, Inland &amp; Marine Waters Unit, I-21020 Ispra, VA, Italy; Univ Parma, Dept Environm Sci, I-43100 Parma, Italy</t>
  </si>
  <si>
    <t>European Commission Joint Research Centre; EC JRC ISPRA Site; University of Parma</t>
  </si>
  <si>
    <t>Zaldívar, JM (corresponding author), Commiss European Communities, Joint Res Ctr, Inst Environm &amp; Sustainabil, Inland &amp; Marine Waters Unit, Via E Fermi 1,TP 272, I-21020 Ispra, VA, Italy.</t>
  </si>
  <si>
    <t>jose.zaldivar-comenges@jrc.it</t>
  </si>
  <si>
    <t>Dueri, Sibylle/B-7596-2011; Viaroli, Pierluigi/M-3762-2014</t>
  </si>
  <si>
    <t>Canuti, Elisabetta/0000-0002-4357-8203; Viaroli, Pierluigi/0000-0002-6396-2894; carafa, roberta/0000-0002-5156-0011</t>
  </si>
  <si>
    <t>10.1016/j.marpolbul.2006.02.025</t>
  </si>
  <si>
    <t>097PZ</t>
  </si>
  <si>
    <t>WOS:000241461700021</t>
  </si>
  <si>
    <t>Yu, XL; Hong, HK; Choi, KS; Kim, J; Lee, BG</t>
  </si>
  <si>
    <t>Yu, Xiang-Lan; Hong, Hyun-Ki; Choi, Kwang-Sik; Kim, Jihyuk; Lee, Byeong-Gweon</t>
  </si>
  <si>
    <t>Chronic Effects of Waterborne Silver on the Physiology and Reproduction of the Manila Clam Ruditapes philippinarum</t>
  </si>
  <si>
    <t>Chronic toxicity; Reproductive condition; &lt; italic &gt; Ruditapes philippinarum ; Scope for growth; Silver</t>
  </si>
  <si>
    <t>MYTILUS-EDULIS; CRASSOSTREA-GIGAS; BIVALVE MOLLUSKS; METAL POLLUTION; MACOMA-BALTHICA; COPPER EXPOSURE; FILTRATION-RATE; HEAVY-METALS; TIDAL FLATS; BIOACCUMULATION</t>
  </si>
  <si>
    <t>To evaluate the potential toxicity of waterborne silver (Ag), we analyzed the chronic effects of Ag on the physiological and reproductive responses of the Manila clam Ruditapes philippinarum. Clams were exposed to dissolved Ag (AgNO3) at concentrations of 0 (control), 0.03, 0.06, and 0.12 mu mol L-1 for 6 weeks. The clearance rate, food absorption efficiency, and respiration rate of clams exposed to Ag were measured to determine their scope for growth (SFG). Histological assays were conducted to investigate gonad development in the clams. Despite considerable Ag accumulation in tissues at all test concentrations, no mortality occurred during the experiment, indicating that even an Ag concentration of 0.12 mu mol L-1 did not have lethal effects within 6 weeks. However, the clearance rate and absorption efficiency markedly decreased in clams exposed to 0.12 mu mol Ag L-1, resulting in a decline in SFG. Gonadal development was significantly delayed in female clams exposed to 0.06 and 0.12 mu mol Ag L-1 for 6 weeks. These data suggest that the SFG and reproductive condition of clams analyzed in this study reflect the physiological status of R. philippinarum exposed to sublethal concentrations of Ag.</t>
  </si>
  <si>
    <t>[Yu, Xiang-Lan; Kim, Jihyuk; Lee, Byeong-Gweon] Chonnam Natl Univ, Dept Oceanog, Gwangju 61186, South Korea; [Hong, Hyun-Ki] Gyeongsang Natl Univ, Dept Marine Biol &amp; Aquaculture, Tongyeong 53064, South Korea; [Choi, Kwang-Sik] Jeju Natl Univ, Dept Marine Life Sci BK21 PLUS, Jeju 63243, South Korea; [Choi, Kwang-Sik] Jeju Natl Univ, Marine Sci Inst, Jeju 63243, South Korea; [Kim, Jihyuk] Gwangju Inst, Natl Forens Serv, Gwangju 57248, South Korea</t>
  </si>
  <si>
    <t>Chonnam National University; Gyeongsang National University; Jeju National University; Jeju National University; National Forensic Service</t>
  </si>
  <si>
    <t>Lee, BG (corresponding author), Chonnam Natl Univ, Dept Oceanog, Gwangju 61186, South Korea.</t>
  </si>
  <si>
    <t>blee@chonnam.ac.kr</t>
  </si>
  <si>
    <t>Choi, Kwang-Sik/B-5367-2011</t>
  </si>
  <si>
    <t>HONG, HYUN-KI/0000-0002-6646-3417</t>
  </si>
  <si>
    <t>Basic Science Research Program through the National Research Foundation of Korea (NRF) - Ministry of Science and ICT [2021R1C1C2004304]</t>
  </si>
  <si>
    <t>Basic Science Research Program through the National Research Foundation of Korea (NRF) - Ministry of Science and ICT(National Research Foundation of KoreaMinistry of Science, ICT &amp; Future Planning, Republic of Korea)</t>
  </si>
  <si>
    <t>This study was supported by the Basic Science Research Program through the National Research Foundation of Korea (NRF), funded by the Ministry of Science and ICT (Grant No. 2021R1C1C2004304).</t>
  </si>
  <si>
    <t>10.1007/s12601-024-00146-1</t>
  </si>
  <si>
    <t>PT2K5</t>
  </si>
  <si>
    <t>WOS:001216267300001</t>
  </si>
  <si>
    <t>Yang, XF; Huang, YX; Liu, KX; Zheng, C</t>
  </si>
  <si>
    <t>Yang, Xiaofei; Huang, Yongxiang; Liu, Kexing; Zheng, Chao</t>
  </si>
  <si>
    <t>Effects of oyster shell powder on leaching characteristics of nutrients in low-fertility latosol in South China</t>
  </si>
  <si>
    <t>Oyster shell powder; Latosol; Nutrient; Leaching; Water content; Leaching loss; Soil pH; Water loss</t>
  </si>
  <si>
    <t>SOIL; NITROGEN; BIOCHAR; PHOSPHORUS; POTASSIUM; CADMIUM; CALCIUM; MANURE; RATES; L.</t>
  </si>
  <si>
    <t>In this study, we analyzed the effect of oyster shell powder of different proportions on the nutrient leaching characteristics of latosol using an indoor soil column simulation test. Based on the optimized fertilizer application amount, we assessed five different amounts of oyster shell powder (0% (control, CK), 0.1% (T1), 0.2% (T2), 0.4% (T3), and 0.8% (T4)) and analyzed the intermittent and dynamic leaching characteristics of nutrients in the soil samples. The results indicated that the loss of nutrients in urea, superphosphate, and potassium chloride (due to leaching) increased linearly with the amount of fertilizer. By adding oyster shell powder, the leaching loss reduced by 23.90-57.25% for ammonium nitrogen, 6.31-10.07% for phosphorus, and 17.08-26.58% for potassium. However, the leaching loss for nitrate nitrogen increased by 2.5-5.8 times. In addition, the application of oyster shell powder to latosol provided acid adjustment and water retention enhancement, which increased the pH value of the soil by 3.77 (from pH 4.15 to 7.92) and reduced water loss by 2.52%. Thus, the application of oyster shell powder can reduce the acidity of the surface soil and retain water and fertilizer to a certain extent.</t>
  </si>
  <si>
    <t>[Yang, Xiaofei; Zheng, Chao] Guangdong Ocean Univ, Fac Chem &amp; Environm Sci, Zhanjiang 524088, Peoples R China; [Huang, Yongxiang] Guangdong Ocean Univ, Coll Coastal Agr Sci, Zhanjiang 524088, Peoples R China; [Liu, Kexing] South China Agr Univ, Coll Nat Resources &amp; Environm, Guangzhou 510642, Peoples R China</t>
  </si>
  <si>
    <t>Guangdong Ocean University; Guangdong Ocean University; South China Agricultural University</t>
  </si>
  <si>
    <t>Zheng, C (corresponding author), Guangdong Ocean Univ, Fac Chem &amp; Environm Sci, Zhanjiang 524088, Peoples R China.</t>
  </si>
  <si>
    <t>zhengchao@gdou.edu.cn</t>
  </si>
  <si>
    <t>Yang, Xiaofei/A-6963-2012</t>
  </si>
  <si>
    <t>special fund for Agro-Scientific Research in the Public Interest of China [20120301303]; Science and Technology Planning Project of Guangdong Province, China [2016A020210052]</t>
  </si>
  <si>
    <t>special fund for Agro-Scientific Research in the Public Interest of China; Science and Technology Planning Project of Guangdong Province, China</t>
  </si>
  <si>
    <t>This work was supported by a special fund for Agro-Scientific Research in the Public Interest of China (Grant No. 20120301303) and Science and Technology Planning Project of Guangdong Province, China (Grant No. 2016A020210052).</t>
  </si>
  <si>
    <t>10.1007/s11356-022-19911-7</t>
  </si>
  <si>
    <t>3T2QP</t>
  </si>
  <si>
    <t>WOS:000773193000002</t>
  </si>
  <si>
    <t>Rickwood, CJ; Galloway, TS</t>
  </si>
  <si>
    <t>Acetylcholinesterase inhibition as a biomarker of adverse effect - A study of Mytilus edulis exposed to the priority pollutant chlorfenvinphos</t>
  </si>
  <si>
    <t>immunotoxicity; acetylcholinesterase; biomarker; Mytilus edulis; ecotoxicology; organophosphorous pesticide; chlorfenvinphos</t>
  </si>
  <si>
    <t>METHYL PARATHION; RAPID ASSESSMENT; HEAVY-METALS; BIVALVE; MUSSEL; ORGANOPHOSPHATE; INVERTEBRATES; IMMUNOTOXICITY; CYTOTOXICITY; PESTICIDES</t>
  </si>
  <si>
    <t>The inhibition of acetylcholinesterase (AChE) activity has been used widely as a biomarker of exposure to organophosphorous pesticides (OPs). However, scientific uncertainty about the risk assessment implications of data describing inhibition of cholinesterases in diverse species and tissues has hampered the use of AChE activity as a biomarker of adverse effect. Here, haemolymph AChE activity was combined with biomarkers of cellular integrity, immunotoxicity and physiological status in order to measure exposure to and the effects of the priority pollutant chlorfenvinphos. Laboratory exposures of the blue mussel Mytilus edulis to commercial grade chlorfenvinphos (Sapecron(R)) were conducted over 24, 48 and 96 h. AChE activity in haemolymph of M. edulis was highly variable and bore no relationship to either sublethal effects or lethality over the range 0.003-0.03 mg/l chlorfenvinphos. In comparison, concentration dependent inhibition was evident for each of the remaining biomarkers (phagocytic activity, spontaneous cytotoxicity, neutral red retention time, total haemolymph protein). Mussels at the highest exposure concentration showed visual signs of neurotoxicity (impaired neuromuscular control). Haemocyte phagocytic activity and spontaneous cytotoxicity responses were highly sensitive to chlorfenvinphos with significant modulation evident after 24 h exposure to environmentally realistic concentrations of 0.007 mg/l (P = 0.0003). Thus the immune function and well being of the mussels was significantly impacted in the absence of measurable inhibition of haemolymph AChE. (C) 2003 Elsevier B.V. All rights reserved.</t>
  </si>
  <si>
    <t>Univ Saskatchewan, Natl Water Res Inst, Saskatoon, SK S7N 3H5, Canada; Univ Plymouth, Sch Biol Sci, Plymouth Environm Res Ctr, Plymouth PL4 8AA, Devon, England</t>
  </si>
  <si>
    <t>University of Saskatchewan; Environment &amp; Climate Change Canada; National Water Research Institute; University of Plymouth</t>
  </si>
  <si>
    <t>Univ Saskatchewan, Natl Water Res Inst, 11 Innovat Blvd, Saskatoon, SK S7N 3H5, Canada.</t>
  </si>
  <si>
    <t>carrie.rickwood@ec.gc.ca; tgalloway@plymouth.ac.uk</t>
  </si>
  <si>
    <t>10.1016/j.aquatox.2003.11.004</t>
  </si>
  <si>
    <t>WOS:000220264200005</t>
  </si>
  <si>
    <t>Maurer, D; Gerlinger, T; Robertson, G; Nguyen, H</t>
  </si>
  <si>
    <t>Trace metal bioaccumulation in soft-bottom macrobenthos from the San Pedro shelf, California</t>
  </si>
  <si>
    <t>INTERNATIONALE REVUE DER GESAMTEN HYDROBIOLOGIE</t>
  </si>
  <si>
    <t>metal bioaccumulation; macrobenthos; California shelf</t>
  </si>
  <si>
    <t>BIVALVE ANODONTA-GRANDIS; SOUTHERN-CALIFORNIA; HEAVY-METALS; SEASONAL-VARIATION; COASTAL ZONE; SEDIMENTS; HISTORY; POLLUTION; BIOAVAILABILITY; ACCUMULATION</t>
  </si>
  <si>
    <t>The relationship between sediment trace metals (Ag, Cd, Cr, Cu, Ni, Pb, Zn) and bioaccumulation in tissue of macrobenthos (Parvilucina tenuisculpta, Tellina spp., Macoma spp., Pectinaria californiensis, Nephtys spp., Glycera spp., Metasychis sp., Euphilomedes spp., and Ampelisca spp.) was described from 1975 to 1985 on the San Pedro Shelf, California. Results indicated that: 1) sediment trace metals were elevated at an ocean outfall station; 2) tissue trace metals were never statistically higher at the outfall compared to a reference station except for Zn in Macoma spp.; 3) there were a few statistically significant associations (r) between tissue and sediment metals, but no consistent trends emerged; 4) peak tissue metal concentrations occurred more frequently in the winter than in the summer.</t>
  </si>
  <si>
    <t>CTY SANITAT DIST ORANGE CTY, FOUNTAIN VALLEY, CA 92708 USA</t>
  </si>
  <si>
    <t>Maurer, D (corresponding author), CALIF STATE UNIV LONG BEACH, DEPT BIOL, LONG BEACH, CA 90840 USA.</t>
  </si>
  <si>
    <t>AKADEMIE VERLAG GMBH</t>
  </si>
  <si>
    <t>PALISADENSTR 40, D-10243 BERLIN, GERMANY</t>
  </si>
  <si>
    <t>0020-9309</t>
  </si>
  <si>
    <t>INT REV GES HYDROBIO</t>
  </si>
  <si>
    <t>Int. Rev. Gesamten Hydrobiol.</t>
  </si>
  <si>
    <t>10.1002/iroh.19970820209</t>
  </si>
  <si>
    <t>XK400</t>
  </si>
  <si>
    <t>WOS:A1997XK40000008</t>
  </si>
  <si>
    <t>Zhang, MM; Qiao, G; Li, Q; Xu, DH; Qi, ZT; Wang, AM; Xu, MY; Huang, JT</t>
  </si>
  <si>
    <t>Zhang, Mingming; Qiao, Guo; Li, Qiang; Xu, De-Hai; Qi, Zhitao; Wang, Aiming; Xu, Mengyao; Huang, Jintian</t>
  </si>
  <si>
    <t>Transcriptome analysis and discovery of genes involved in immune pathways from coelomocytes of Onchidium struma after bacterial challenge</t>
  </si>
  <si>
    <t>Onchidium struma; Coelomocytes; Transcriptome; Escherichia colt; Immune mechanism</t>
  </si>
  <si>
    <t>SCALLOP PATINOPECTEN-YESSOENSIS; GENOME-WIDE IDENTIFICATION; EXPRESSION; MYD88; STRESS; SEA; PATTERNS; OYSTER; MEMBER; IRAK</t>
  </si>
  <si>
    <t>Onchidium struma widely distributes in subtidal and low-tidal zones, which is considered to be an economical species with rich nutrition, a valuable biomonitor for heavy metal pollution and a representative species for evolution from ocean to land. However, there is limited genetic informatiOn available for O. struma development. This study compared transcriptomic profiles of coelomocytes from normal and bacteria infected O. struma by Illumina-based paired-end sequencing to explore the molecular immune mechanism of O. struma against bacterial infection. After assembly, a total of 92,450 unigenes with an average length of 1019 bp were obtained. Approximately 34,964 (37.82%) unigenes were annotated in the Nr NCBI database and 40.1% of unigenes were similar with that of Aplysia californica. Among them, 7609 unigenes were classified into three Gene Ontology (GO) categories: biological process (3250 unigenes, 42.7%), cellular component (2,281, 30.0%) and molecular function (2078 unigenes, 27.3%). A total of 22,776 unigenes were aligned to the Clusters of Orthologous Groups (COG) of proteins and classified into 25 functional categories. Following bacterial infection, 10,623 differently expressed unigenes (DEGs) were identified, including 7644 up-regulated and 2979 down-regulated unigenes. Further KEGG analysis annotated 11,681 DEGs to 42 pathways, and 11 pathways were identified to be related with diseases and immune system. To our knowledge, it was first time to analyze transcriptome profiles of O. struma. Results of the present study will provide valuable theoretical resources for future genetic and genomic research on O struma. The research results will be helpful for improving the efficiency and quality of artificial breeding, establishing genetic linkage map, and enhancing health management for this species.</t>
  </si>
  <si>
    <t>[Zhang, Mingming] Yancheng Inst Technol, Dept Ocean Technol, Key Lab Aquaculture &amp; Ecol Coastal Pools Jiangsu, Yancheng 224051, Jiangsu, Peoples R China; [Zhang, Mingming; Qiao, Guo; Li, Qiang; Qi, Zhitao; Wang, Aiming; Xu, Mengyao; Huang, Jintian] Yancheng Inst Technol, Sch Chem &amp; Biol Engn, Yancheng 224051, Jiangsu, Peoples R China; [Xu, De-Hai] ARS, USDA, Aquat Anim Hlth Res Unit, 990 Wire Rd, Auburn, AL 36832 USA</t>
  </si>
  <si>
    <t>Yancheng Institute of Technology; Yancheng Institute of Technology; United States Department of Agriculture (USDA)</t>
  </si>
  <si>
    <t>Qiao, G; Huang, JT (corresponding author), Yancheng Inst Technol, Sch Chem &amp; Biol Engn, Yancheng 224051, Jiangsu, Peoples R China.</t>
  </si>
  <si>
    <t>qiaoguo44ok@163.com; hjt@ycit.edu.cn</t>
  </si>
  <si>
    <t>Qiao, Guo/ABF-5378-2021</t>
  </si>
  <si>
    <t>National Nature Science Foundation of China [31470130]; Talent Introduction Program at Yancheng Institute of Technology [xj201513, kjc2014018]; opening research fund of the Jiangsu Key Laboratory of Biochemistry and Biotechnology of Marine Wetland [K2016-15, K2016-16]; Postdoctoral Project of Jiangsu Province [1501101C]; Major Projects of Natural Science Research in Universities and Colleges in Jiangsu Province [17KJB240002]</t>
  </si>
  <si>
    <t>National Nature Science Foundation of China(National Natural Science Foundation of China (NSFC)); Talent Introduction Program at Yancheng Institute of Technology; opening research fund of the Jiangsu Key Laboratory of Biochemistry and Biotechnology of Marine Wetland; Postdoctoral Project of Jiangsu Province; Major Projects of Natural Science Research in Universities and Colleges in Jiangsu Province</t>
  </si>
  <si>
    <t>This research was financially supported by the National Nature Science Foundation of China (Grant no. 31470130) and the Talent Introduction Program at Yancheng Institute of Technology (Grant no. xj201513 and kjc2014018), and partially by the opening research fund of the Jiangsu Key Laboratory of Biochemistry and Biotechnology of Marine Wetland (K2016-15 and K2016-16). ZMM was financially supported by the Postdoctoral Project of Jiangsu Province (1501101C) and partially by the Major Projects of Natural Science Research in Universities and Colleges in Jiangsu Province (Grant no. 17KJB240002).</t>
  </si>
  <si>
    <t>10.1016/j.fsi.2017.11.024</t>
  </si>
  <si>
    <t>FU1YE</t>
  </si>
  <si>
    <t>WOS:000423644600062</t>
  </si>
  <si>
    <t>Callier, MD; McKindsey, CW; Desrosiers, G</t>
  </si>
  <si>
    <t>Callier, Myriam D.; McKindsey, Christopher W.; Desrosiers, Gaston</t>
  </si>
  <si>
    <t>Evaluation of indicators used to detect mussel farm influence on the benthos: Two case studies in the Magdalen Islands, Eastern Canada</t>
  </si>
  <si>
    <t>aquaculture effects; abundance; biomass; richness; diversity; AMBI; macrofaunal community structure; organic enrichment; SPI</t>
  </si>
  <si>
    <t>MACROBENTHIC COMMUNITY STRUCTURE; GREAT-ENTRY LAGOON; ORGANIC ENRICHMENT; IMPACTS; CULTURE; AQUACULTURE; ESTUARINE; MYTILUS; FISH; BAY</t>
  </si>
  <si>
    <t>The aim of this study was to identify appropriate indicators to determine the influence of mussel aquaculture on the benthic environment. Both sediment [particle size, sediment profile imaging (SPI), % OM] and benthic community (abundance, biomass, number of species, Margalef's species richness, Shannon-Weiner diversity, Pielou's eveness, individual body mass, trophic group, a biotic index - AMBI, and community structure) characteristics were evaluated at two mussel farms in Great-Entry (GE) and Havre-aux-Maisons (HAM) lagoons in the Magdalen Islands (Quebec, Canada). Sampling stations were positioned directly beneath the outer-most mussel lines (0 m) and at distances of 3, 6, 9,15, 30 m and at a control site (at either 300 or 500 m) along a transect leading from each farm. Contrasting patterns were observed. At GE, sediment characteristics and benthic communities did not vary among stations and were characterized by low diversity, abundance and biomass. At HAM, % OM decreased and macrofaunal diversity and abundance increased with increasing distance from the farm. Biomass was low under the mussel line, increased between 3 and 30 m and was low again at 300 m. This was explained by the abundance of the polychaete Pectinaria granulata, which seems to have benefited from a moderate organic loading associated with the mussel farm. The mean individual biomass of the second-order opportunistic deposit feeders P. granulata and Heteromastus filiformis decreased with distance from the farm, whereas that of the pollution-sensitive suspension feeder Ensis directus and deposit feeder Tellina agilis increased with increasing distance from the farm. At HAM, the effects of mussel farming were restricted to the vicinity of the farm, while at GE the pattern was less clear. The GE mussel farm had either little effect on the local environment or else larger-scale but diffuse effects. The study showed that the a priori choice of the sampling stations and indicators may influence the interpretation of the results. Community structure and SPI were the most efficient indices for detecting both small- and broader-scale influences at both studied mussel farms. Crown Copyright (C) 2008 Published by Elsevier B.V. All rights reserved.</t>
  </si>
  <si>
    <t>[Callier, Myriam D.; McKindsey, Christopher W.] Fisheries &amp; Oceans Canada, Maurice Lamontagne Inst, Mont Joli, PQ G5H 3Z4, Canada; [Callier, Myriam D.; McKindsey, Christopher W.; Desrosiers, Gaston] Univ Quebec, Inst Sci Mer, Rimouski, PQ G5L 3A1, Canada</t>
  </si>
  <si>
    <t>Fisheries &amp; Oceans Canada; University of Quebec</t>
  </si>
  <si>
    <t>McKindsey, CW (corresponding author), Fisheries &amp; Oceans Canada, Maurice Lamontagne Inst, 850 Route Mer,POB 1000, Mont Joli, PQ G5H 3Z4, Canada.</t>
  </si>
  <si>
    <t>chris.mckindsey@dfo-mpo.gc.ca</t>
  </si>
  <si>
    <t>McKindsey, Chris/AAH-6773-2020</t>
  </si>
  <si>
    <t>CALLIER, Myriam/0000-0002-2778-5720; McKindsey, Chris/0000-0002-3026-6454</t>
  </si>
  <si>
    <t>10.1016/j.aquaculture.2008.03.026</t>
  </si>
  <si>
    <t>317FH</t>
  </si>
  <si>
    <t>WOS:000257004800014</t>
  </si>
  <si>
    <t>De Pippo, T; Donadio, C; Grottola, D; Pennetta, M</t>
  </si>
  <si>
    <t>Geomorphological evolution and environmental reclamation of Fusaro Lagoon (Campania Province, southern Italy)</t>
  </si>
  <si>
    <t>lagoons; environmental geology; holocene; phlegrean fields; Italy</t>
  </si>
  <si>
    <t>Analysis of morphological, geological and environmental characteristics of the Fusaro Lagoon has shown the present degraded condition of the lagoon and the perilagoon area. The lagoon developed during the mid-Holocene within a wide marine bay confined between the coastal volcanic structures of Mt. Cuma to the north and Torregaveta to the south in the western part of the Phlegrean Fields. Subsequently, the bay was gradually filled with pyroclastic materials from phlegrean eruptive vents and sediments carried by the rivers Volturno and Clams, thus, creating an open lagoon. It then evolved into a partially closed lagoon due to the formation of a continuous littoral spit during the late Holocene, probably wider than the present-day one and surrounded by marshlands. Finally, the total closure of the lagoon took place in the Graeco-Roman period, following the stabilization of the dune ridge, and it assumed a shape similar to present-day one only towards the end of the 18th century. Between the Roman period and 1941, three lagoon channels were opened in order to avoid the frequent environmental crises which continue to affect, although for different reasons, this salt-water basin. The basin has been exploited for more than 2000 years not only for mollusc culture and pisciculture, but also for the maceration of hemp and flax. In the 1980s, in order to reduce the effects of the environmental crises, dredging of the lagoon bottom has been carried out, altering the hydrogeological equilibrium and that of the ecosystem. Over the past 30 years, the supply of raw sewage of domestic, agricultural and industrial origin has ensured the presence of a high concentration of pollutants, including heavy metals. On the basis of the data obtained and in order to restore this sensitive transitional environment, eco-compatible interventions are proposed which aim at morphological and hydrologic resettlement, abatement of pollutants on the bottom of the basin, reintroduction of endemic molluscs, together with monitoring the quality of sediments and both sea-lagoon waters and groundwater. (C) 2003 Elsevier Ltd. All rights reserved.</t>
  </si>
  <si>
    <t>Univ Naples Federico II, Dept Earth Sci, I-80138 Naples, Italy</t>
  </si>
  <si>
    <t>De Pippo, T (corresponding author), Univ Naples Federico II, Dept Earth Sci, Largo San Marcellino,10, I-80138 Naples, Italy.</t>
  </si>
  <si>
    <t>depippo@unina.it</t>
  </si>
  <si>
    <t>DONADIO, Carlo/M-3434-2017</t>
  </si>
  <si>
    <t>DONADIO, Carlo/0000-0001-9582-3058</t>
  </si>
  <si>
    <t>10.1016/S0160-4120(03)00174-0</t>
  </si>
  <si>
    <t>803AV</t>
  </si>
  <si>
    <t>WOS:000220204900009</t>
  </si>
  <si>
    <t>Cecchi, T; Giuliani, A; Iacopini, F; Santulli, C; Sarasini, F; Tirillò, J</t>
  </si>
  <si>
    <t>Cecchi, Teresa; Giuliani, Arianna; Iacopini, Federica; Santulli, Carlo; Sarasini, Fabrizio; Tirillo, Jacopo</t>
  </si>
  <si>
    <t>Unprecedented high percentage of food waste powder filler in poly lactic acid green composites: synthesis, characterization, and volatile profile</t>
  </si>
  <si>
    <t>Waste upcycling; PLA composites; Mussel shells; Egg shells; Volatile profile; SEM surface characterization</t>
  </si>
  <si>
    <t>POLY(LACTIC ACID); MECHANICAL-PROPERTIES; CALCIUM-CARBONATE; EGGSHELL; BIODEGRADATION; FLAVORS; FUTURE</t>
  </si>
  <si>
    <t>The attractive qualities of plastics lead us, around the world, to an enormous need for plastic goods, which results in their unsustainable overconsumption. Bio-based products are the core concept of circular economy, yet this sector suffers from the high cost of their production. In practice, biopolymers, such as polylactic acid (PLA), are still limitedly used, due to their expensiveness and not outstanding technological properties. A circular and sustainable solution would be to use waste from the food industry as filler that contributes to reduce the cost of PLA-based materials, thereby encouraging their widespread use. At the same time, this would be a circular approach to wisely upgrade food waste and prevent pollution. Ceramic food waste powder fillers from egg shells and from mussel shells were compounded with PLA at 180 degrees C to obtain composites, which contain an unprecedented high amount of filler, equal to 140 over 100 parts of PLA. We analyzed volatile organic compounds emitted from PLA and, for the very first time, from its composites via headspace-solid phase microextraction-gas chromatography-mass spectrometry (HS-SPME-GC-MS). The molecular fingerprint of the volatiles comprises only three aldehydes, a ketone, and two lactides. Volatiles typical of fossil plastics, that are causative factors of hormone disruption or reproductive dysfunction, are effectively missing. Scanning electron microscopy, used to examine the structure of the composite, indicates that both the egg shells and the mussel shells are suitable fillers, in that they form a sufficiently strong interface with the polymer.</t>
  </si>
  <si>
    <t>[Cecchi, Teresa; Giuliani, Arianna] ITT Montani, Chem &amp; Mat Dept, Via Montani 7, I-63900 Fermo, Italy; [Iacopini, Federica; Santulli, Carlo] Univ Camerino, Sch Architecture &amp; Design, Viale Rimembranza, I-63100 Ascoli Piceno, Italy; [Sarasini, Fabrizio; Tirillo, Jacopo] Univ Roma La Sapienza, Deapartment Chem Engn Mat &amp; Environm, Via Eudossiana 18, I-00184 Rome, Italy</t>
  </si>
  <si>
    <t>University of Camerino; Sapienza University Rome</t>
  </si>
  <si>
    <t>Cecchi, T (corresponding author), ITT Montani, Chem &amp; Mat Dept, Via Montani 7, I-63900 Fermo, Italy.</t>
  </si>
  <si>
    <t>teresacecchi@tiscali.it</t>
  </si>
  <si>
    <t>Cecchi, Teresa/AAA-9423-2020; Santulli, Carlo/AAP-2593-2021; Tirillo', Jacopo/AAG-7733-2019</t>
  </si>
  <si>
    <t>Santulli, Carlo/0000-0002-1686-4271; Cecchi, Teresa/0000-0003-1940-864X</t>
  </si>
  <si>
    <t>10.1007/s11356-019-04187-1</t>
  </si>
  <si>
    <t>HQ5MV</t>
  </si>
  <si>
    <t>WOS:000462457500087</t>
  </si>
  <si>
    <t>Gagné, F; Smyth, SA; André, C; Douville, M; Gélinas, M; Barclay, K</t>
  </si>
  <si>
    <t>Gagne, F.; Smyth, S. A.; Andre, C.; Douville, M.; Gelinas, M.; Barclay, K.</t>
  </si>
  <si>
    <t>Stress-related gene expression changes in rainbow trout hepatocytes exposed to various municipal wastewater treatment influents and effluents</t>
  </si>
  <si>
    <t>Gene expression; Biotransformation; Estrogenicity; Metal detoxification; Oxidative stress; Rainbow trout hepatocytes; Wastewater; Sewage</t>
  </si>
  <si>
    <t>ONCORHYNCHUS-MYKISS; BISPHENOL-A; WASTEWATERS; FISH; MUSSELS; REMOVAL; CULTURE; SYSTEMS; METALS; RIVER</t>
  </si>
  <si>
    <t>The present study sought to examine the performance of six different wastewater treatment processes from 12 wastewater treatment plants using a toxicogenomic approach in rainbow trout hepatocytes. Freshly prepared rainbow trout hepatocytes were exposed to increasing concentrations of influent (untreated wastewaters) and effluent (C-18) extracts for 48 h at 15 A degrees C. A test battery of eight genes was selected to track changes in xenobiotic biotransformation, estrogenicity, heavy metal detoxification, and oxidative stress. The wastewaters were processed by six different treatment systems: facultative and aerated lagoons, activated sludge, biological aerated filter, biological nutrient removal, chemically assisted primary treated, and trickling filter/solids contact. Based on the chemical characteristics of the effluents, the treatment plants were generally effective in removing total suspended solids and chemical oxygen demand, but less so for ammonia and alkalinity. The 12 influents differed markedly with each other, which makes the comparison among treatment processes difficult. For the influents, both population size and flow rate influenced the increase in the following mRNA levels in exposed hepatocytes: metallothionein (MT), cytochrome P4503A4 (CYP3A4), and vitellogenin (VTG). Gene expression of glutathione S-transferase (GST) and the estrogen receptor (ER), were influenced only by population size in exposed cells to the influent extracts. The remaining genes-superoxide dismutase (SOD) and multidrug resistance transporter (MDR)-were not influenced by either population size or flow rate in exposed cells. It is noteworthy that the changes in MT, ER, and VTG in cells exposed to the effluents were significantly affected by the influents across the 12 cities examined. However, SOD, CYP1A1, CYP3A4, GST, and MDR gene expression were the least influenced by the incoming influents. The data also suggest that wastewater treatments involving biological or aeration processes had the best performance. We found that the effects of municipal effluents on gene expression depended on the population size, the initial properties of the incoming influent, and the wastewater treatment method applied. Considering that the long-term goals of wastewater treatment is to produce clean effluents for the aquatic biota and independent of the incoming influent, more research is needed in developing treatment processes to better protect aquatic life from anthropogenic contamination.</t>
  </si>
  <si>
    <t>[Gagne, F.; Andre, C.; Gelinas, M.; Barclay, K.] Environm Canada, Aquat Contaminants Res Div, Emerging Methods, Water Sci &amp; Technol, Montreal, PQ, Canada; [Smyth, S. A.; Douville, M.] Environm Canada, Effluents &amp; Wastewaters, Aquat Contaminants Res Div, Water Sci &amp; Technol, Burlington, ON L7R 4A6, Canada</t>
  </si>
  <si>
    <t>Environment &amp; Climate Change Canada; Environment &amp; Climate Change Canada</t>
  </si>
  <si>
    <t>Gagné, F (corresponding author), Environm Canada, Aquat Contaminants Res Div, Emerging Methods, Water Sci &amp; Technol, 105 McGill St, Montreal, PQ, Canada.</t>
  </si>
  <si>
    <t>municipal effluent research; STAGE programs of Environment Canada</t>
  </si>
  <si>
    <t>The authors thank Sarah-Ann Quesnel, Timothee Debenest, and Timothy Ng for technical assistance and all of the WWTPs that participated in this study. The manuscript was copyedited by Patricia Potvin of Environment Canada. This project was funded by the municipal effluent research and STAGE programs of Environment Canada.</t>
  </si>
  <si>
    <t>10.1007/s11356-012-1174-8</t>
  </si>
  <si>
    <t>096ZB</t>
  </si>
  <si>
    <t>WOS:000315442500046</t>
  </si>
  <si>
    <t>Matozzo, V; Ballarin, L; Marin, MG</t>
  </si>
  <si>
    <t>Exposure of the clam Tapes philippinarum to 4-nonylphenol:: changes in anti-oxidant enzyme activities and re-burrowing capability</t>
  </si>
  <si>
    <t>nonylphenol; bivalves; superoxide dismutase; catalase; oxidative stress; re-burrowing</t>
  </si>
  <si>
    <t>MYTILUS-GALLOPROVINCIALIS; LIPID-PEROXIDATION; DIGESTIVE GLAND; MACOMA-BALTHICA; VENICE LAGOON; NONYLPHENOL; RESPONSES; BEHAVIOR; CADMIUM; MUSSEL</t>
  </si>
  <si>
    <t>The effects of 4-nonylphenol on anti-oxidant enzyme (superoxide dismutase and catalase) activity in both gills and digestive gland and re-burrowing capability of the clam Tapes philippinarum were investigated after 7 days' exposure to various sublethal concentrations of nonylphenol (NP). NP caused a significant decrease in superoxide dismutase activity in both tissues from the lowest concentration tested, whereas no significant alteration with respect to controls was observed in catalase activity. NP effects on reburrowing of clams were evaluated in two experiments. In the first, clams exposed to the highest NP concentrations showed a marked delay in re-burrowing 48 h after the end of exposure. Modifications in normal burrowing behaviour were also observed, suggesting that NP acts via narcosis and/or neurotoxic mechanisms. In the second experiment, the elapsed time for 50% of the exposed clams to re-burrow into the sediment (RT50) was also calculated in a 24-h re-burrowing response test. At the highest NP concentrations, it was not possible to estimate RT50 values, as the percentage of clams showing complete burial was less than 50%. The present study demonstrates that NP causes oxidative stress by inhibiting superoxide dismutase activity and greatly affects the reburrowing capability of T philippinarum, even at environmentally realistic concentrations. (C) 2004 Elsevier Ltd. All rights reserved.</t>
  </si>
  <si>
    <t>Marin, Maria Gabriella/KDN-0381-2024; Matozzo, Valerio/D-6999-2017; Ballarin, Loriano/D-7106-2011</t>
  </si>
  <si>
    <t>Matozzo, Valerio/0000-0001-9935-0366; MARIN, MARIA/0000-0002-1479-5428; Ballarin, Loriano/0000-0002-3287-8550</t>
  </si>
  <si>
    <t>10.1016/j.marpolbul.2004.01.011</t>
  </si>
  <si>
    <t>WOS:000220131500030</t>
  </si>
  <si>
    <t>Dehaut, A; Cassone, AL; Frère, L; Hermabessiere, L; Himber, C; Rinnert, E; Rivière, G; Lambert, C; Soudant, P; Huvet, A; Duflos, G; Paul-Pont, I</t>
  </si>
  <si>
    <t>Dehaut, Alexandre; Cassone, Anne-Laure; Frere, Laura; Hermabessiere, Ludovic; Himber, Charlotte; Rinnert, Emmanuel; Riviere, Gilles; Lambert, Christophe; Soudant, Philippe; Huvet, Arnaud; Duflos, Guillaume; Paul-Pont, Ika</t>
  </si>
  <si>
    <t>Microplastics in seafood: Benchmark protocol for their extraction and characterization</t>
  </si>
  <si>
    <t>Microplastics; Digestion; Method; Seafood products; Tissue; Plastic integrity</t>
  </si>
  <si>
    <t>PLASTIC DEBRIS; MYTILUS-EDULIS; MARINE-ENVIRONMENT; INGESTION; IDENTIFICATION; DIGESTION; FISH; PARTICLES; ADDITIVES; TRANSPORT</t>
  </si>
  <si>
    <t>Pollution of the oceans by microplastics (&lt;5 mm) represents a major environmental problem. To date, a limited number of studies have investigated the level of contamination of marine organisms collected in situ. For extraction and characterization of microplastics in biological samples, the crucial step is the identification of solvent(s) or chemical(s) that efficiently dissolve organic matter without degrading plastic polymers for their identification in a time and cost effective way. Most published papers, as well as OSPAR recommendations for the development of a common monitoring protocol for plastic particles in fish and shellfish at the European level, use protocols containing nitric acid to digest the biological tissues, despite reports of polyamide degradation with this chemical. In the present study, six existing approaches were tested and their effects were compared on up to 15 different plastic polymers, as well as their efficiency in digesting biological matrices. Plastic integrity was evaluated through microscopic inspection, weighing, pyrolysis coupled with gas chromatography and mass spectrometry, and Raman spectrometry before and after digestion. Tissues from mussels, crabs and fish were digested before being filtered on glass fibre filters. Digestion efficiency was evaluated through microscopical inspection of the filters and determination of the relative removal of organic matter content after digestion. Five out of the six tested protocols led to significant degradation of plastic particles and/or insufficient tissue digestion. The protocol using a KOH 10% solution and incubation at 60 degrees C during a 24 h period led to an efficient digestion of biological tissues with no significant degradation on all tested polymers, except for cellulose acetate. This protocol appeared to be the best compromise for extraction and later identification of microplastics in biological samples and should be implemented in further monitoring studies to ensure relevance and comparison of environmental and seafood product quality studies. (C) 2016 Elsevier Ltd. All rights reserved.</t>
  </si>
  <si>
    <t>[Dehaut, Alexandre; Hermabessiere, Ludovic; Himber, Charlotte; Duflos, Guillaume] ANSES, Lab Securite Aliments, Blvd Bassin Napoleon, F-62200 Boulogne Sur Mer, France; [Cassone, Anne-Laure; Frere, Laura; Lambert, Christophe; Soudant, Philippe; Paul-Pont, Ika] UMR6539 UBO CNRS IRD IFREMER, Inst Univ Europeen Mer, Lab Sci Environm Marin LEMAR, Technopole Brest Iroise,Rue Dumont dUrville, F-29280 Plouzane, France; [Rinnert, Emmanuel] IFREMER, LDCM, Ctr Bretagne, CS 10070, F-29280 Plouzane, France; [Riviere, Gilles] ANSES, Direct Evaluat Risques, 14 Rue Pierre &amp; Marie Curie, F-94701 Maisons Alfort, France; [Huvet, Arnaud] UMR 6539 UBO CNRS IRD IFREMER, IFREMER, Lab Sci Environm Marin LEMAR, F-29280 Plouzane, France</t>
  </si>
  <si>
    <t>Agence Nationale de Securite Sanitaire de l'Alimentation, de l'Environnement du Travail (ANSES); Laboratoire de Securite Aliments; Universite de Bretagne Occidentale; Institut Universitaire Europeen de la Mer (IUEM); Centre National de la Recherche Scientifique (CNRS); CNRS - Institute of Ecology &amp; Environment (INEE); Ifremer; Institut de Recherche pour le Developpement (IRD); Ifremer; Ecole Nationale Veterinaire d'Alfort (ENVA); Agence Nationale de Securite Sanitaire de l'Alimentation, de l'Environnement du Travail (ANSES); Centre National de la Recherche Scientifique (CNRS); Ifremer; Institut de Recherche pour le Developpement (IRD); CNRS - Institute of Ecology &amp; Environment (INEE)</t>
  </si>
  <si>
    <t>Paul-Pont, I (corresponding author), UMR6539 UBO CNRS IRD IFREMER, Inst Univ Europeen Mer, Lab Sci Environm Marin LEMAR, Technopole Brest Iroise,Rue Dumont dUrville, F-29280 Plouzane, France.</t>
  </si>
  <si>
    <t>Hermabessiere, Ludovic/R-5874-2019; Dehaut, Alexandre/I-3088-2019</t>
  </si>
  <si>
    <t>Lambert, Christophe/0000-0002-5885-467X; Hermabessiere, Ludovic/0000-0002-6775-2480; Paul-Pont, Ika/0000-0003-3734-0909; Dehaut, Alexandre/0000-0001-5377-995X; Huvet, Arnaud/0000-0001-6912-881X; DUFLOS, Guillaume/0000-0003-2820-4411; Rinnert, Emmanuel/0000-0003-1524-5505; Soudant, Philippe/0000-0003-3090-5612</t>
  </si>
  <si>
    <t>ANSES (French Agency for Food, Environmental and Occupational Health &amp; Safety) through a Convention de Recherche et Developpement [2015-CRD-11]; Universite de Bretagne Occidentale; Brest Metropole PhD grant; Region Nord-Pas-de Calais; ANSES</t>
  </si>
  <si>
    <t>ANSES (French Agency for Food, Environmental and Occupational Health &amp; Safety) through a Convention de Recherche et Developpement; Universite de Bretagne Occidentale; Brest Metropole PhD grant; Region Nord-Pas-de Calais(Region Hauts-de-France); ANSES</t>
  </si>
  <si>
    <t>Authors warmly thank Melanie Gay and Regine Quenu for their valued help with metrology issues, Marie-Ange Huchin and Mr. Bourdin for their kind technical assistance. This work was funded by ANSES (French Agency for Food, Environmental and Occupational Health &amp; Safety) through a Convention de Recherche et Developpement (2015-CRD-11). Laura Frere was supported by a Universite de Bretagne Occidentale and a Brest Metropole PhD grant. Ludovic Hermabessiere is thankful to Region Nord-Pas-de Calais and ANSES for the financial support of his PhD. Authors also thank Dr. E. Harney for his helpful revision of the English and his comments on the manuscript.</t>
  </si>
  <si>
    <t>10.1016/j.envpol.2016.05.018</t>
  </si>
  <si>
    <t>WOS:000378961000025</t>
  </si>
  <si>
    <t>Pirrone, C; Rossi, F; Cappello, S; Borgese, M; Mancini, G; Bernardini, G; Gornati, R</t>
  </si>
  <si>
    <t>Pirrone, Cristina; Rossi, Federica; Cappello, Simone; Borgese, Marina; Mancini, Giuseppe; Bernardini, Giovanni; Gornati, Rosalba</t>
  </si>
  <si>
    <t>Evaluation of biomarkers in Mytilus galloprovincialis as an integrated measure of biofilm-membrane bioreactor (BF-MBR) system efficiency in mitigating the impact of oily wastewater discharge to marine environment: a microcosm approach</t>
  </si>
  <si>
    <t>Laboratory-scale systems; Quantitative PCR; TEM; Pollution prevention; Biotechnological strategy</t>
  </si>
  <si>
    <t>BASS DICENTRARCHUS-LABRAX; SPILL BIOREMEDIATION; BIOMASS ACTIVITY; MUSSELS; POLLUTION; SALINITY; PERFORMANCE; GENES; EXPRESSION; MORPHOLOGY</t>
  </si>
  <si>
    <t>The large volumes of oily wastewater discharged to marine environment cause heavy impacts on the coastal marine ecosystem. The selection of an appropriate technology to reduce these impacts should be based on the respect of the discharge limits and on the effective assessment and monitoring of its effects on biological organism preservation. To this aim, we set up a controlled microcosm-scale system to compare the effects of a treated and untreated oily wastewater discharge in which the restore process is performed through a Membrane Bio-Reactor. The system is completed by other three microcosms to control and isolate any possible concurrent effect on the Mytilus galloprovincialis, used as sentinel organism. Mytilus galloprovincialis have been kept in all these microcosms, and then mRNA expression and morphology were evaluated on gills and digestive gland. The genes considered in this work are Heat Shock Protein 70 and Metallothionein 10, involved in response to physicochemical sublethal stressors, Superoxide dismutase 1, Catalase, and Cytochrome P450 involved in oxidative stress response. Our results evidenced a significant overexpression, both in gills and digestive gland, of HSP70 in samples maintained in the microcosm receiving the untreated effluent, and of MT10 in those animals kept in microcosm where the effluent was treated. Even though the mRNA modifications are considered primary and transient responses which do not always correspond to protein content, the study of these modifications can help to gain insights into the mechanisms of action of xenobiotic exposure. Morphological analysis suggested that, although different, depending on the microcosm, the most serious damages were found in the gill epithelium accompanied with severe haemocyte infiltration, whilst in digestive gland the tissue architecture alterations and the haemocyte infiltration were less pronounced. These observations suggest that the immune system was activated as a general response to stressful stimuli such as the presence of toxic compounds. Moreover, the results indicate that the treatment process is useful. In fact, samples derived from the microcosm receiving the treated effluent, even though presenting some signs of stress, seemed to partially recover the normal structure, although their mRNA expression indicated some cellular suffering.</t>
  </si>
  <si>
    <t>[Pirrone, Cristina; Rossi, Federica; Borgese, Marina; Bernardini, Giovanni; Gornati, Rosalba] Univ Insubria, Dept Biotechnol &amp; Life Sci, Via Dunant 3, I-21100 Varese, Italy; [Mancini, Giuseppe] Univ Catania, Elect Elect &amp; Comp Engn Dept, Viale Andrea Doria 6, I-95125 Catania, Italy; [Cappello, Simone] Natl Res Ctr, Inst Coastal Marine Environm, Via San Raineri 86, I-98122 Messina, Italy; [Bernardini, Giovanni; Gornati, Rosalba] Politecn Milan, Prot Factory Res Ctr, ICRM CNR Milano, Via Mancinelli 7, I-20131 Milan, Italy; [Bernardini, Giovanni; Gornati, Rosalba] Univ Insubria, Via Mancinelli 7, I-20131 Milan, Italy</t>
  </si>
  <si>
    <t>University of Insubria; University of Catania; Polytechnic University of Milan; Consiglio Nazionale delle Ricerche (CNR); Istituto di Chimica del Riconoscimento Molecolare (ICRM-CNR); University of Insubria</t>
  </si>
  <si>
    <t>Gornati, Rosalba/0000-0002-1544-2122; BORGESE, marina/0009-0005-0723-6424; Mancini, Giuseppe/0000-0002-0953-7934</t>
  </si>
  <si>
    <t>Progetti di Ricerca di Interesse Nazionale (Italy) (PAIN) [T7 2010ARBL001/008]; Fondo di Ateneo per la Ricerca (Insubria, Italy) (FAR) (Fondo comune di Ateneo per la Ricerca)</t>
  </si>
  <si>
    <t>Progetti di Ricerca di Interesse Nazionale (Italy) (PAIN); Fondo di Ateneo per la Ricerca (Insubria, Italy) (FAR) (Fondo comune di Ateneo per la Ricerca)</t>
  </si>
  <si>
    <t>We would like to thank Silvia Palombella and Ilaria Armenia for helping during the mussel sampling campaign. This research was supported by grants: Progetti di Ricerca di Interesse Nazionale (Italy) (PAIN) (Prot. T7 2010ARBL001/008) and Fondo di Ateneo per la Ricerca (Insubria, Italy) (FAR) (Fondo comune di Ateneo per la Ricerca 2015 to RG and GB). The authors gratefully acknowledge Centro Grandi Attrezzature per la Ricerca Biomedica University of Insubria for instrument availability and for hospitability. Marina Borgese is a PhD student of the Biotechnology, Biosciences and Surgical Technology course at University degli Studi dell'Insubria.</t>
  </si>
  <si>
    <t>10.1016/j.aquatox.2018.02.018</t>
  </si>
  <si>
    <t>GD6PE</t>
  </si>
  <si>
    <t>WOS:000430630100006</t>
  </si>
  <si>
    <t>Kadar, E; Simmance, F; Martin, O; Voulvoulis, N; Widdicombe, S; Mitov, S; Lead, JR; Readman, JW</t>
  </si>
  <si>
    <t>Kadar, E.; Simmance, F.; Martin, O.; Voulvoulis, N.; Widdicombe, S.; Mitov, S.; Lead, J. R.; Readman, J. W.</t>
  </si>
  <si>
    <t>The influence of engineered Fe2O3 nanoparticles and soluble (FeCl3) iron on the developmental toxicity caused by CO2-induced seawater acidification</t>
  </si>
  <si>
    <t>Iron; pH; Carbon capture and storage; D-shell larvae; Nanotoxicology</t>
  </si>
  <si>
    <t>ACID-BASE-BALANCE; MYTILUS-EDULIS; MAGNETIC NANOPARTICLES; OXIDATIVE STRESS; MUSSEL; CO2; BIOAVAILABILITY; CYTOTOXICITY; HYPERCAPNIA; EXPOSURE</t>
  </si>
  <si>
    <t>An embryo development assay using a common test organism, the edible mussel (Mytilus galloprovincialis), exposed to both Fe2O3 nanoparticles and soluble FeCl3 at 3 acidic pHs, has provided evidence for the following: (1) CO2 enriched seawater adjusted to pH projections for carbon capture leakage scenarios (CCS) significantly impaired embryo development; (2) under natural pH conditions, no significant effect was detected following exposure of embryos to Fe, no matter if in nano- or soluble form: (3) at pH of natural seawater nano-Fe particles aggregate into large, polydisperse and porous particles, with no biological impact detected; (4) at pH 6 and 7, such aggregates may moderate the damage associated with CO2 enrichment as indicated by an increased prevalence of normal D-shell larvae when nano-Fe was present in the seawater at pH 7, while soluble iron benefited embryo development at pH 6, and (5) the observed effects of iron on pH-induced development toxicity were concentration dependent. (C) 2010 Elsevier Ltd. All rights reserved.</t>
  </si>
  <si>
    <t>[Kadar, E.; Simmance, F.; Widdicombe, S.; Readman, J. W.] Plymouth Marine Lab, Plymouth PL1 3DH, Devon, England; [Simmance, F.; Martin, O.; Voulvoulis, N.] Univ London Imperial Coll Sci Technol &amp; Med, Ctr Environm Policy, London SW7 2AZ, England; [Mitov, S.; Lead, J. R.] Univ Birmingham, Sch Geog Earth &amp; Environm Sci, Birmingham B15 2TT, W Midlands, England</t>
  </si>
  <si>
    <t>Plymouth Marine Laboratory; Imperial College London; University of Birmingham</t>
  </si>
  <si>
    <t>Kadar, E (corresponding author), Plymouth Marine Lab, Prospect Pl, Plymouth PL1 3DH, Devon, England.</t>
  </si>
  <si>
    <t>Martin, Olwenn/AFW-1607-2022; Voulvoulis, Professor Nikolaos/C-9246-2012</t>
  </si>
  <si>
    <t>Martin, Olwenn/0000-0003-2724-7882; Voulvoulis, Professor Nikolaos/0000-0001-9703-3703</t>
  </si>
  <si>
    <t>NERC; NERC [FENAC010001, pml010003] Funding Source: UKRI</t>
  </si>
  <si>
    <t>NERC(UK Research &amp; Innovation (UKRI)Natural Environment Research Council (NERC)); NERC(UK Research &amp; Innovation (UKRI)Natural Environment Research Council (NERC))</t>
  </si>
  <si>
    <t>We thank Amanda Beesley and Christine Pascoe for assistance with the embryo assays. Paul Somerfield is acknowledged for his constructive advice in statistical data analysis. John Bignell and Tim Bean from CEFAS Weymouth are greatly acknowledged for the PCR identification of the commercial test species. NERC funding for the Facility for Environmental Nanoparticle Analysis and Characterisation (FENAC) is acknowledged.</t>
  </si>
  <si>
    <t>10.1016/j.envpol.2010.03.025</t>
  </si>
  <si>
    <t>673UZ</t>
  </si>
  <si>
    <t>WOS:000283690500005</t>
  </si>
  <si>
    <t>Teil, MJ; Blanchard, M; Carru, AM; Chesterikoff, A; Chevreuil, M</t>
  </si>
  <si>
    <t>Partition of metallic and organochlorinated pollutants and monoorthosubstituted PCB pattern in the trophic web from different areas of the river Seine</t>
  </si>
  <si>
    <t>organochlorine; metal; bioconcentration; biomagnification; trophic web</t>
  </si>
  <si>
    <t>FRESH-WATER; ACCUMULATION; CHROMATOGRAPHY; HYDROCARBONS; CADMIUM</t>
  </si>
  <si>
    <t>The partition of metals and organochlorines was studied along the trophic web at two different pollution level areas of the river Seine. The metal results along the trophic web were: (1) High concentration processes by the sediment (Kb from 0.7 x 10(2) to 32 x 10(2) according to metal). (2) Bioconcentration processes by the plants from the water and the sediment for all metals (Kb from 0.5 10(3) to 13.2 x 10(3); (3) The mussel (benthic and fossorial) exhibited the highest metal levels; (4) the bream (benthic and detritivorous) had higher metal levels than the roach and the perch. No biomagnification was shown for the metals along the trophic web. The organochlorine results were: (1) High concentration in the sediment with Kb-values about 10(3). (2) A relationship between lipid and PCB levels in plants. (3) No rise in organochlorines along the trophic web at the slightly polluted areas. (4) Occurrence of organochlorine biomagnification in the highly polluted area. For the PCB pattern: (1) The profiles are similar in plants and the water. (2) Sediment and animals exhibited a rise in the more chlorinated congeners accompanied by an impoverishment of the less chlorinated and monoorthosubstituted ones with rising position in the trophic web.</t>
  </si>
  <si>
    <t>UNIV PARIS 06, GEOL APPL LAB, CNRS, URA 1367, F-75252 PARIS 05, FRANCE</t>
  </si>
  <si>
    <t>Centre National de la Recherche Scientifique (CNRS); Sorbonne Universite</t>
  </si>
  <si>
    <t>UNIV PARIS 06, INST HYDROL &amp; CLIMATOL, LAB CHIM ANALYT &amp; HYDROL GEN,TOUR 26,5 ET, 4 PL JUSSIEU, F-75252 PARIS 05, FRANCE.</t>
  </si>
  <si>
    <t>teil, m/F-2231-2010</t>
  </si>
  <si>
    <t>10.1016/0048-9697(95)04950-9</t>
  </si>
  <si>
    <t>TZ299</t>
  </si>
  <si>
    <t>WOS:A1996TZ29900003</t>
  </si>
  <si>
    <t>The contribution of metal/shell-weight index in target-tissues to metal body burden in sentinel marine molluscs .2. Mytilus galloprovincialis</t>
  </si>
  <si>
    <t>metal/shell-weight indices; metal burdens; metal distribution; Zn-polluted mussels</t>
  </si>
  <si>
    <t>DIGESTIVE GLAND-CELLS; FRESH-WATER CLAMS; EDULIS-L; ZINC CONCENTRATION; COMMON MUSSEL; LITTORINA-LITTOREA; ESTUARINE WATERS; CADMIUM KINETICS; ANODONTA-CYGNEA; POLLUTED SITE</t>
  </si>
  <si>
    <t>The tissue distribution of Zn in mussels collected from a Zn-polluted site and the changes in the pattern of distribution for Zn and Cu in response to experimental exposures to Cu, Zn and Cd, as well as the tissue distribution of Cd have been studied. The organs of mussels were accurately separated avoiding mixtures except the kidney area that was included within the remainder tissues. Mussels exposed to intermediate dose (ID)-Cd showed the highest Cd burden first in gills and then more or less equally distributed between the various tissues examined with a dominance of the digestive gland. Mussels exposed to high dose (HD)-Cd, showed Cd equally distributed through all the organs at both exposure times. Below 0.8 mu g Cd/l seawater, the gills of Zn-polluted mussels were able to either protect against Cd entry or mobilise uptaken Cd towards other tissues. On the other hand, Zn- and Cu-burdens did not rise in gill tissue, although in depurating mussels Zn-levels were higher than in any other exposure group. Similar conclusions were obtained for the digestive gland. However, the accumulative capacity of the digestive gland tissue for Cd was not exhausted and Cu burdens were depressed on exposure to Cd. Interactions between metals in the various organs studied could be explained by redistribution of haemocytes or brown cells and by enhanced release of metal-bearing digestive lysosomes in response to metal exposure. It is suggested that (a) the pattern of metal accumulation and tissue distribution as well as a part of the interactions between Cu, Zn and Cd cannot be explained solely by the availability of metallothioneins in specific organs; and (b) the specific cell type in which these ligands occur as well as the relative abundance and distribution of these cells are relevant factors controlling metal burdens in organs of mussels. Therefore, in addition to the chemical and the biochemical approaches, investigations on tissue sections are required to better understand these phenomena. Meanwhile, the digestive gland of mussels could be used as the target organ to monitor metal pollution, including essential and non-essential metals, on the basis of metal/shell-weight indices. (C) 1997 Elsevier Science B.V.</t>
  </si>
  <si>
    <t>Soto, M (corresponding author), EUSKAL HERRIKO UNIBERTSITATEA, ZOOL &amp; ANIM ZELULEN DINAMIKA SAILA, BIOL ZELULARRA ATALA, E-48080 BILBAO, BASQUE COUNTRY, SPAIN.</t>
  </si>
  <si>
    <t>10.1016/S0048-9697(97)05451-X</t>
  </si>
  <si>
    <t>WOS:A1997WY41200004</t>
  </si>
  <si>
    <t>Pavicic-Hamer, D; Kovacic, I; Sovic, T; Marelja, M; Lyons, DM</t>
  </si>
  <si>
    <t>Pavicic-Hamer, Dijana; Kovacic, Ines; Sovic, Tamara; Marelja, Matea; Lyons, Daniel Mark</t>
  </si>
  <si>
    <t>Exposure to Polymethylmethacrylate Microplastics Induces a Particle Size-Dependent Immune Response in Mediterranean Mussel Mytilus galloprovincialis</t>
  </si>
  <si>
    <t>acetylcholinesterase; condition index; enzymatic activity; haemocyte; oxidative stress; PMMA; SOS test</t>
  </si>
  <si>
    <t>MARINE-ENVIRONMENT; PLASTIC DEBRIS; STRESS-70 PROTEINS; DIGESTIVE GLAND; CONDITION INDEX; EDULIS L.; POLLUTION; SEA; ABUNDANCE; TISSUE</t>
  </si>
  <si>
    <t>The widespread occurrence of plastic has become a significant problem in the natural environment and may give rise to a range of deleterious impacts in biota, particularly where plastic particles overlap in size with that of the particles that are naturally ingested by filter-feeders. In this context, the effects of two particle sizes (10 mu m and 50 mu m) of polymethylmethacrylate (PMMA) on ecologically and commercially significant mussel Mytilus galloprovincialis have been investigated. Mussel health status was evaluated by measuring the condition index and stress-on-stress test during and after 72 h exposure to PMMA microparticles in the 0.1-10 mg L-1 concentration range. The decreased condition and fitness indices in the exposed mussels pointed to significant physiological effects at the entire organism level. The 10 mu m and 50 mu m PMMA particles were noted to rapidly increase the total haemocytes count in haemolymph, and significantly reduce cell viability at higher concentrations of both particle sizes. The results also indicated a significant increase in levels of vacuolised haemocytes as a result of PMMA exposure. While both microparticles were detected in the haemolymph, only the 10 mu m PMMA was observed in the gill tissue and digestive gland by histological cryosections, indicating their rapid uptake, transport, and accumulation in tissue. Lack of accumulation of 50 mu m microparticles in tissue may be related to a combination of chemical identity and size considerations, enabling more efficient depuration of microparticles in pseudofaeces. The PMMA particles did not induce significant changes in activity of a range of enzymes involved in neurotransmission and responses to oxidative stress.</t>
  </si>
  <si>
    <t>[Pavicic-Hamer, Dijana; Marelja, Matea; Lyons, Daniel Mark] Rudjer Boskovic Inst, Ctr Marine Res, Rovinj 52210, Croatia; [Kovacic, Ines] Juraj Dobrila Univ Pula, Fac Educ Sci, Pula 52100, Croatia; [Sovic, Tamara] Univ Primorska, Fac Math Nat Sci &amp; Informat Technol, Koper 6000, Slovenia</t>
  </si>
  <si>
    <t>Rudjer Boskovic Institute; University of Juraj Dobrila Pula; University of Primorska</t>
  </si>
  <si>
    <t>Lyons, DM (corresponding author), Rudjer Boskovic Inst, Ctr Marine Res, Rovinj 52210, Croatia.</t>
  </si>
  <si>
    <t>lyons@irb.hr</t>
  </si>
  <si>
    <t>Kovacic, Ines/0000-0001-8929-1614; Lyons, Daniel/0000-0001-7669-2136</t>
  </si>
  <si>
    <t>Croatian Science Foundation; [IP-2018-01-5351]</t>
  </si>
  <si>
    <t>Croatian Science Foundation;</t>
  </si>
  <si>
    <t>This research has received funding from the Croatian Science Foundation in the framework of project IP-2018-01-5351 Understanding the physico-chemical behaviour and toxicity of silver, copper and plastic nanoparticles as emerging materials of concern in coastal waters.</t>
  </si>
  <si>
    <t>10.3390/fishes7060307</t>
  </si>
  <si>
    <t>7E3OX</t>
  </si>
  <si>
    <t>WOS:000901083000001</t>
  </si>
  <si>
    <t>Fan, WH; Xu, ZZ; Wang, WX</t>
  </si>
  <si>
    <t>Fan, Wenhong; Xu, Zhizhen; Wang, Wen-Xiong</t>
  </si>
  <si>
    <t>Contrasting metal detoxification in polychaetes, bivalves and fish from a contaminated bay</t>
  </si>
  <si>
    <t>Subcellular distribution; Detoxification; Polychaetes; Bivalves; Fish</t>
  </si>
  <si>
    <t>TROUT ONCORHYNCHUS-MYKISS; PERCH PERCA-FLAVESCENS; SUBCELLULAR-DISTRIBUTION; POLYMETALLIC GRADIENT; CADMIUM; WATER; ZN; CD; METALLOTHIONEIN; SEDIMENTS</t>
  </si>
  <si>
    <t>Jinzhou Bay in Bohai, Northern China, is historically contaminated with metals, but the organisms living in such contaminated environments are much less well studied. In this study, we contrasted the different subcellular and detoxification responses of polychaetes, bivalves and fish collected from different contaminated sites in Jinzhou Bay. In polychaete Neanthes japonica, metal-rich granule (MRG) was the main biologically detoxified metal compartment, and metallothionein-like protein (MTLP) detoxified a relatively smaller fraction of accumulated metals. The importance of MRG increased whereas that of MTLP decreased with increasing metal bioaccumulation. Detoxification in the two bivalves was similar to that in the polychaetes. However, the MRG appeared to play only a minor role in metal binding and detoxification in the gills and livers of fish, whereas MTLP was the dominating detoxification pool. Cellular debris was an important pool binding with metals in the three marine animals. Our study highlighted the contrasting cellular binding and detoxification among different marine organisms living in contaminated environments. (C) 2014 Elsevier B.V. All rights reserved.</t>
  </si>
  <si>
    <t>[Fan, Wenhong] Beihang Univ, Sch Chem &amp; Environm, Key Lab Bioinspired Smart Interfacial Sci &amp; Techn, Minist Educ, Beijing 100191, Peoples R China; [Xu, Zhizhen] Beijing Municipal Inst Labor Protect, Key Lab Occupat Safety &amp; Hlth, Beijing 100054, Peoples R China; [Wang, Wen-Xiong] HKUST, Div Life Sci, State Key Lab Marine Pollut, Kowloon, Hong Kong, Peoples R China</t>
  </si>
  <si>
    <t>Beihang University; Beijing Municipal Research Institute of Environment; Hong Kong University of Science &amp; Technology</t>
  </si>
  <si>
    <t>Wang, WX (corresponding author), HKUST, Div Life Sci, State Key Lab Marine Pollut, Kowloon, Hong Kong, Peoples R China.</t>
  </si>
  <si>
    <t>fan, wen hong/F-6415-2012; Wang, Wenxiong/E-7254-2011</t>
  </si>
  <si>
    <t>fan, wenhong/0000-0001-5047-1714; Wang, Wenxiong/0000-0001-9033-0158</t>
  </si>
  <si>
    <t>National Natural Science Foundation of China [40871215, 21237004]; Major Science and Technology Program for Water Pollution Control and Treatment of China [2012ZX07501001]; China's National Basic Research Program [2011CB935700]</t>
  </si>
  <si>
    <t>We thank the two anonymous reviewers for their helpful comments. This study was supported by National Natural Science Foundation of China (No: 40871215, 21237004), Major Science and Technology Program for Water Pollution Control and Treatment of China (No. 2012ZX07501001) and China's National Basic Research Program (No. 2011CB935700).</t>
  </si>
  <si>
    <t>10.1016/j.aquatox.2014.11.024</t>
  </si>
  <si>
    <t>WOS:000349592100007</t>
  </si>
  <si>
    <t>Azar, AM; Jelogir, AG; Bidhendi, GN; Mehrdadi, N; Zaredar, N; Poshtegal, MK</t>
  </si>
  <si>
    <t>Azar, Akbar Mokhtari; Jelogir, Ali Ghadirpour; Bidhendi, Golamreza Nabi; Mehrdadi, Naser; Zaredar, Narges; Poshtegal, Maryam Khalilzadeh</t>
  </si>
  <si>
    <t>Investigation of optimal method for hospital wastewater treatment</t>
  </si>
  <si>
    <t>Hospital wastewater; biological oxidation; total coliforms; fecal coliforms; quality; quantity; wastewater discharge; optimal method; BOD5; COD</t>
  </si>
  <si>
    <t>MUSSEL ELLIPTIO-COMPLANATA; DAR-ES-SALAAM; AQUATIC ENVIRONMENT; ESTROGENIC CONTAMINATION; MUNICIPAL EFFLUENTS</t>
  </si>
  <si>
    <t>Hospital wastewater contains great amount of pathogenic organisms, hazardous chemicals, as well as organic and mineral materials, and one of the most important source of pollution with water resource is the hospital wastes which contain many pathogenic factors. Thus the necessity of sanitary collection, treatment and reuse of them is vital because of water shortage in recent decades, in which it requires the wastewater treatment plant establishing. For construction of such a treatment plant the quality and quantity parameters are needed. The most important quantity parameter is flow rate, which should be detected for determining of quality parameters. Since, many hospitals are not including wastewater treatment plant or if they are, the beneficence of their performance isn't satisfactory. This research tried to investigate the pollution of special and upper special hospital in the biological oxidation method. The pilot was established in 2008 and after 2 months performance continuously, the treatment condition was proper and complied with environmental standard range in which the sampling was started in the late August and September. It is mentionable that at the end of every month three samplings were applied simultaneously and analyzed in order that the accuracy and veracity of the experiment become clarified. The results showed that all of the parameters were removable in the biological oxidation method. This procedure is usable for removal of physical, chemical and microbial parameters and heavy metals, and efficiency of biological oxidation removal method for the main hospital parameters was more than 90%.</t>
  </si>
  <si>
    <t>[Azar, Akbar Mokhtari; Jelogir, Ali Ghadirpour; Bidhendi, Golamreza Nabi; Mehrdadi, Naser] Univ Tehran, Dept Environm Engn, Tehran, Iran; [Azar, Akbar Mokhtari] Islamic Azad Univ, Med Branch, Sch Publ Hlth, Dept Environm Hlth Engn, Tehran, Iran; [Zaredar, Narges] Islamic Azad Univ, Sci &amp; Res Branch, Environm &amp; Energy Dept, Tehran, Iran; [Poshtegal, Maryam Khalilzadeh] Islamic Azad Univ, Envirom Engn Sci &amp; Res Branch, Tehran, Iran</t>
  </si>
  <si>
    <t>University of Tehran; Islamic Azad University; Islamic Azad University; Islamic Azad University</t>
  </si>
  <si>
    <t>Jelogir, AG (corresponding author), Univ Tehran, Dept Environm Engn, Tehran, Iran.</t>
  </si>
  <si>
    <t>ghadirpoor.ali@gmail.com</t>
  </si>
  <si>
    <t>Bidhendi, Gholamreza/V-4393-2018; Mehrdadi, Nasser/V-9525-2018</t>
  </si>
  <si>
    <t>khalilzadeh poshtegal, maryam/0000-0003-2491-0319; Mehrdadi, Nasser/0000-0002-1608-2405</t>
  </si>
  <si>
    <t>1459-0263</t>
  </si>
  <si>
    <t>615AS</t>
  </si>
  <si>
    <t>WOS:000279103700108</t>
  </si>
  <si>
    <t>Thibon, F; Metian, M; Oberhänsli, F; Montanes, M; Vassileva, E; Orani, AM; Telouk, P; Swarzenski, P; Vigier, N</t>
  </si>
  <si>
    <t>Thibon, Fanny; Metian, Marc; Oberhansli, Francois; Montanes, Maryline; Vassileva, Emilia; Orani, Anna Maria; Telouk, Philippe; Swarzenski, Peter; Vigier, Nathalie</t>
  </si>
  <si>
    <t>Bioaccumulation of Lithium Isotopes in Mussel Soft Tissues and Implications for Coastal Environments</t>
  </si>
  <si>
    <t>ACS EARTH AND SPACE CHEMISTRY</t>
  </si>
  <si>
    <t>bivalves; lithium; isotopic tools; emerging contaminant; fractionation; concentration effects</t>
  </si>
  <si>
    <t>MARINE BIOGENIC CARBONATES; STABLE-ISOTOPES; NATURAL VARIATIONS; PECTEN-MAXIMUS; EXPOSURE; SEAWATER; LI; TOXICITY; COPPER; DELTA-LI-7</t>
  </si>
  <si>
    <t>Lithium production has dramatically increased over the past decade, and the first cases of environmental Li pollution have been recently reported in urban and mining regions. While elevated Li concentrations may be toxic for living organisms, tools to monitor Li in the environment have not yet been developed. Consequently, its impact on key biota and human health is still poorly known. The present laboratory-based study shows that the soft tissues of blue mussels (Mytilus edulis) can be used to quantify Li contamination in coastal waters. Stable Li isotope ratios (Li-7/Li-6) measured in these soft tissues correlate positively with seawater Li concentrations and show precisely the threshold above which mussels shift their depuration mechanism. Combined with other data from the natural environment, the experimental results have profound implications for the fate of coastal ecosystems and shellfish consumption living under a high Li environmental level. We also highlight the need to develop innovative tools to extract Li from wastewaters before its release into rivers and, ultimately, the ocean.</t>
  </si>
  <si>
    <t>[Metian, Marc; Oberhansli, Francois; Vassileva, Emilia; Orani, Anna Maria; Swarzenski, Peter] Int Atom Energy Agcy IAEA, Environm Labs, Principality Of Monaco, Monaco; [Thibon, Fanny; Montanes, Maryline; Vigier, Nathalie] Sorbonne Univ, Lab Oceanog Villefranche Mer LOV, CNRS UMR 7093, F-06230 Villefranche Sur Mer, France; [Telouk, Philippe] Univ Lyon, Lab Geol Lyon, Ecole Normale Super Lyon, CNRS UMR 5276, F-69007 Lyon, France</t>
  </si>
  <si>
    <t>Sorbonne Universite; Centre National de la Recherche Scientifique (CNRS); CNRS - National Institute for Earth Sciences &amp; Astronomy (INSU); Ecole Normale Superieure de Lyon (ENS de LYON); Centre National de la Recherche Scientifique (CNRS); CNRS - National Institute for Earth Sciences &amp; Astronomy (INSU); Universite Claude Bernard Lyon 1</t>
  </si>
  <si>
    <t>Thibon, F (corresponding author), Sorbonne Univ, Lab Oceanog Villefranche Mer LOV, CNRS UMR 7093, F-06230 Villefranche Sur Mer, France.</t>
  </si>
  <si>
    <t>fanny.thibon@imev-mer.fr</t>
  </si>
  <si>
    <t>Swarzenski, Peter/AAD-8562-2022; TELOUK, Philippe/AAY-6708-2021; Vigier, Nathalie/GWZ-8966-2022; Vassileva, Emilia/AAF-6775-2019</t>
  </si>
  <si>
    <t>Swarzenski, Peter/0000-0003-0116-0578; THIBON, Fanny/0000-0002-3452-0886; Vigier, Nathalie/0000-0002-8626-2110; Metian, Marc/0000-0003-1485-5029; Vassileva, Emilia/0000-0002-7835-5640</t>
  </si>
  <si>
    <t>ANR ISO2MET [ANR-18-CE34-0002]; Government of the Principality of Monaco; Agence Nationale de la Recherche (ANR) [ANR-18-CE34-0002] Funding Source: Agence Nationale de la Recherche (ANR)</t>
  </si>
  <si>
    <t>ANR ISO2MET(Agence Nationale de la Recherche (ANR)); Government of the Principality of Monaco; Agence Nationale de la Recherche (ANR)(Agence Nationale de la Recherche (ANR))</t>
  </si>
  <si>
    <t>The authors acknowledge financial support from the ANR ISO2MET (//anr. fr/Projet-ANR-18-CE34-0002; www.iso2met-project.fr/) and access to facilities provided by the International Atomic Energy Agency (IAEA) of Monaco and the CNRS-INSU at ENS-Lyon. The IAEA is grateful for the support provided to its Environment Laboratories by the Government of the Principality of Monaco. The authors also thank Steeve Comeau a lot for his help in reworking this manuscript.</t>
  </si>
  <si>
    <t>2472-3452</t>
  </si>
  <si>
    <t>ACS EARTH SPACE CHEM</t>
  </si>
  <si>
    <t>ACS Earth Space Chem.</t>
  </si>
  <si>
    <t>JUN 17</t>
  </si>
  <si>
    <t>10.1021/acsearthspacechem.1c00045</t>
  </si>
  <si>
    <t>Chemistry, Multidisciplinary; Geochemistry &amp; Geophysics</t>
  </si>
  <si>
    <t>Chemistry; Geochemistry &amp; Geophysics</t>
  </si>
  <si>
    <t>SW1VF</t>
  </si>
  <si>
    <t>WOS:000664308000014</t>
  </si>
  <si>
    <t>Nobre, CR; Moreno, BB; Alves, AV; Fontes, MK; de Campos, BG; da Silva, LF; Maranho, LA; Duarte, LFD; Abessa, DMD; Choueri, RB; Gusso-Choueri, PK; Pereira, CDS</t>
  </si>
  <si>
    <t>Nobre, Caio Rodrigues; Moreno, Beatriz Barbosa; Alves, Aline Vecchio; Fontes, Mayana Karoline; de Campos, Bruno Galvao; da Silva, Leticia Fernanda; Maranho, Luciane Alves; Duarte, Luis Felipe de Almeida; Abessa, Denis Moledo de Souza; Choueri, Rodrigo Brasil; Gusso-Choueri, Paloma Kachel; Pereira, Camilo Dias Seabra</t>
  </si>
  <si>
    <t>Microplastics and 17α Ethinylestradiol: How Do Different Aquatic Invertebrates Respond to This Combination of Contaminants?</t>
  </si>
  <si>
    <t>emerging pollutants; pharmaceuticals; synthetic hormones; oyster; crab; toxicity</t>
  </si>
  <si>
    <t>UCIDES-CORDATUS CRUSTACEA; MYTILUS-GALLOPROVINCIALIS; BIOMARKER RESPONSES; OXIDATIVE STRESS; MARINE; PHARMACEUTICALS; GENOTOXICITY; EXPOSURE; TISSUE; BIOAVAILABILITY</t>
  </si>
  <si>
    <t>The synthetic hormone 17 alpha ethinyl estradiol (EE2) is a molecule widely used in female contraceptives and recognized as a contaminant of attention (Watch List) in the European Union due to its high consumption, endocrine effects and occurrence in aquatic environments. Its main source of introduction is domestic sewage where it can be associated with other contaminants such as microplastics (MPs). Due to their characteristics, they can combine with each other and exacerbate their isolated effects on biota. This study evaluated the combined effects of microplastics (MPs) and 17 alpha ethinylestradiol (EE2) on two tropical estuarine invertebrate species: Crassostrea gasar and Ucides cordatus. Polyethylene particles were spiked with EE2 and organisms were exposed to three treatments, categorized into three groups: control group (C), virgin microplastics (MPs), and spiked microplastics with EE2 (MPEs). All treatments were evaluated after 3 and 7 days of exposure. Oysters exhibited changes in phase 2 enzymes and the antioxidant system, oxidative stress in the gills, and reduced lysosomal membrane stability after exposure to MPs and MPEs. Crabs exposed to MPs and MPEs after seven days showed changes in phase 1 enzymes in the gills and changes in phases 1 and 2 enzymes in the hepatopancreas, such as disturbed cellular health. The combined effects of microplastics and EE2 increased the toxicity experienced by organisms, which may trigger effects at higher levels of biological organization, leading to ecological disturbances in tropical coastal ecosystems.</t>
  </si>
  <si>
    <t>[Nobre, Caio Rodrigues; Moreno, Beatriz Barbosa; Alves, Aline Vecchio; Choueri, Rodrigo Brasil; Pereira, Camilo Dias Seabra] Univ Fed Sao Paulo, Dept Marine Sci, Santos Campus UNIFESP Santos, Rua Maria Maximo 168, BR-11030100 Santos, Brazil; [Nobre, Caio Rodrigues; Fontes, Mayana Karoline; de Campos, Bruno Galvao; da Silva, Leticia Fernanda; Abessa, Denis Moledo de Souza] Sao Paulo State Univ UNESP, Biosci Inst, Litoral Paulista Campus,s-n,Parque Bitaru, BR-11330900 Sao Vicente, Brazil; [Maranho, Luciane Alves] Univ Ribeirao Preto UNAERP, Morphofunct Lab, Ave Dom Pedro I,3-300, BR-11440003 Guaruja, Brazil; [Duarte, Luis Felipe de Almeida; Gusso-Choueri, Paloma Kachel; Pereira, Camilo Dias Seabra] Santa Cecilia Univ UNISANTA, Dept Ecotoxicol, Rua Oswaldo Cruz 266, BR-11045907 Santos, SP, Brazil</t>
  </si>
  <si>
    <t>Universidade Federal de Sao Paulo (UNIFESP); Universidade Estadual Paulista; Fundacao Oswaldo Cruz; Universidade Santa Cecilia</t>
  </si>
  <si>
    <t>Nobre, CR (corresponding author), Univ Fed Sao Paulo, Dept Marine Sci, Santos Campus UNIFESP Santos, Rua Maria Maximo 168, BR-11030100 Santos, Brazil.;Nobre, CR (corresponding author), Sao Paulo State Univ UNESP, Biosci Inst, Litoral Paulista Campus,s-n,Parque Bitaru, BR-11330900 Sao Vicente, Brazil.</t>
  </si>
  <si>
    <t>caio.biomar@gmail.com; beatrizbarbosa3@gmail.com; alinee.vecchioalves@gmail.com; mayanakf@gmail.com; bruno12323@hotmail.com; leticia-fernanda.silva@unesp.br; lmaranho@gmail.com; duarte.mepi@gmail.com; denis.abessa@unesp.br; rodrigo.choueri@unifesp.br; palomakachel@unisanta.br; camilo.seabra@unifesp.br</t>
  </si>
  <si>
    <t>da Silva, Letícia Fernanda/GRR-9897-2022; Nobre, Caio/JFJ-2689-2023; Pereira, Camilo/H-8352-2012; Maranho, Luciane/AAG-1067-2020; Gusso-Choueri, Paloma/H-8222-2012; de Almeida Duarte, Luis/D-8020-2014; Choueri, Rodrigo/ABF-2911-2021</t>
  </si>
  <si>
    <t>Gusso-Choueri, Paloma/0000-0001-5165-7529; Pereira, Camilo/0000-0001-8357-8112</t>
  </si>
  <si>
    <t>Sao Paulo Research Foundation (FAPESP) [2017/12193-9]</t>
  </si>
  <si>
    <t>Sao Paulo Research Foundation (FAPESP)(Fundacao de Amparo a Pesquisa do Estado de Sao Paulo (FAPESP))</t>
  </si>
  <si>
    <t>This study was funded by the Sao Paulo Research Foundation (FAPESP) (FAPESP#2017/12193-9).</t>
  </si>
  <si>
    <t>10.3390/toxics12050319</t>
  </si>
  <si>
    <t>RY5I6</t>
  </si>
  <si>
    <t>WOS:001231227400001</t>
  </si>
  <si>
    <t>Tankoua, OF; Amiard-Triquet, C; Denis, F; Minier, C; Mouneyrac, C; Berthet, B</t>
  </si>
  <si>
    <t>Tankoua, O. Fossi; Amiard-Triquet, C.; Denis, F.; Minier, C.; Mouneyrac, C.; Berthet, B.</t>
  </si>
  <si>
    <t>Physiological status and intersex in the endobenthic bivalve Scrobicularia plana from thirteen estuaries in northwest France</t>
  </si>
  <si>
    <t>Estuaries; Clam Scrobicularia plana; Reproduction impairments; Intersex</t>
  </si>
  <si>
    <t>CLAMS MYA-ARENARIA; ECOLOGICAL CONSEQUENCES; DELAYED GAMETOGENESIS; NEREIS-DIVERSICOLOR; HEAVY-METALS; SW SPAIN; DA-COSTA; METALLOTHIONEIN; CONTAMINATION; REPRODUCTION</t>
  </si>
  <si>
    <t>The bivalve Scrobicularia plana, an important species for the structure and functioning of estuarine and coastal mudflats, was studied in thirteen sites from NW France differing by their degree of contamination to document the presence of reproduction impairments (intersex, sex ratio, gonadosomatic indices) in relation to the condition revealed by using hepatosomatic and condition indices. In agreement with recent studies in other European estuaries, intersex was revealed in all the studied estuaries, including sites the chemical and ecological status of which is considered good according to the criteria of the European Water Framework Directive. The presence of endocrine disrupting chemicals (EDCs) could result in such disturbances. Our results re-inforce the concern linked to the subtle effects of EDCs, which are active at very low doses, often in the absence of any major sign of toxicity. However at this stage, no clear link may be established between intersex and population effects. (C) 2012 Elsevier Ltd. All rights reserved.</t>
  </si>
  <si>
    <t>[Tankoua, O. Fossi; Amiard-Triquet, C.; Mouneyrac, C.; Berthet, B.] Univ Nantes, MMS, Fac Pharm, EA2160, F-44035 Nantes 1, France; [Amiard-Triquet, C.] CNRS, INEE, F-75700 Paris, France; [Denis, F.] Museum Natl Hist Nat, Stn Biol Marine Concarneau, UMR BOREA 7208, F-29900 Concarneau, France; [Denis, F.] Univ Maine, F-72085 Le Mans, France; [Minier, C.] Univ Havre, Lab Ecotoxicol Milieux Aquat, F-76600 Le Havre, France; [Mouneyrac, C.] Univ Catholique Ouest, CEREA, Inst Biol &amp; Ecol Appl, F-49008 Angers 01, France; [Berthet, B.] ICES, F-85017 La Roche Sur Yon, France</t>
  </si>
  <si>
    <t>Nantes Universite; Centre National de la Recherche Scientifique (CNRS); CNRS - Institute of Ecology &amp; Environment (INEE); Centre National de la Recherche Scientifique (CNRS); Institut de Recherche pour le Developpement (IRD); Museum National d'Histoire Naturelle (MNHN); Sorbonne Universite; Le Mans Universite; Universite Le Havre Normandie; Universite de Reims Champagne-Ardenne; Institut Polytechnique de Paris; Ecole des Ponts ParisTech</t>
  </si>
  <si>
    <t>Amiard-Triquet, C (corresponding author), Univ Nantes, MMS, Fac Pharm, EA2160, 1 Rue G Veil,BP 53508, F-44035 Nantes 1, France.</t>
  </si>
  <si>
    <t>10.1016/j.envpol.2012.03.031</t>
  </si>
  <si>
    <t>960GZ</t>
  </si>
  <si>
    <t>WOS:000305377300009</t>
  </si>
  <si>
    <t>Wang, H; Peng, XY; Tang, XD; Chen, Q; Li, JJ</t>
  </si>
  <si>
    <t>Wang, Hong; Peng, Xinyue; Tang, Xiaodong; Chen, Qiang; Li, Jingjing</t>
  </si>
  <si>
    <t>Controlled synthesis of graphene-based hybrids on hydration-dehydration treated bio-shell-derived catalysts</t>
  </si>
  <si>
    <t>CERAMICS INTERNATIONAL</t>
  </si>
  <si>
    <t>Graphene nanosheet; GNS-Based hybrids; CaO catalyst; Bio-shell; Hydration and dehydration</t>
  </si>
  <si>
    <t>CHEMICAL-VAPOR-DEPOSITION; CARBON NANOTUBES; THERMAL-PROPERTIES; GROWTH-MECHANISM; EGG-SHELL; FE; DECOMPOSITION; NANOSHEETS; PYROLYSIS; NANOFIBERS</t>
  </si>
  <si>
    <t>Graphene-based hybrids such as carbon nanotube/graphene nanosheet (CNT/GNS), carbon nanofiber/graphene nanosheet (CNF/GNS), and CNF-CNT/GNS have attracted extensive attention in energy-related applications due to their excellent properties. The selective synthesis of GNS-based hybrids usually relies on the precise design of metal catalysts and multiple tedious processes. Here, a facile one-step synthesis of GNS-based hybrids was successfully performed by chemical vapor deposition (CVD) on waste bio-shell derived catalysts without the addition of extra metal components, and GNS-based hybrids were selectively synthesized through the hydration and dehydration (H-D) treatment of catalysts. When eggshells were calcined at high temperature, the obtained ECaO catalyst only synthesized GNSs. After E-CaO was treated by the H-D method, the obtained E-CaO-H-1 catalyst grew CNF/GNS. E-CaO-H-2 catalyst was further prepared by the H-D treatment of E-CaO-H-1, which produced CNF-CNT/GNS. Multiple characterizations of catalysts demonstrated that the high-temperature calcination of eggshells led to the aggregation of CaO and incorporation of Fe into CaO lattices, and thus only GNSs were synthesized on CaO. However, after the H-D treatment of E-CaO, the Fe element was released from CaO lattices and the surface area of CaO enhanced with the decrease of particle size, leading to the dispersion of Fe oxides on the CaO surface, and Fe particles were subsequently formed during the CVD synthesis, which synthesized CNFs on GNS. Further, with the size reduction of Fe particles after the second H-D treatment of the catalyst, smaller Fe particles facilitated the CNT growth, leading to the production of CNF-CNT/GNS. Similarly, the catalysts formed by calcination of other bio-shells (oyster shells, shrimp shells, and crab shells) only synthesized GNSs, whereas these catalysts after H-D treatment produced CNF-CNT/GNS with enhanced carbon yields. This study offers a new method for utilizing the metal species in waste bio-shells for the facile production of structurally tunable GNS-based hybrid materials.</t>
  </si>
  <si>
    <t>[Wang, Hong; Peng, Xinyue; Tang, Xiaodong; Chen, Qiang; Li, Jingjing] Southwest Petr Univ, Sch Chem &amp; Chem Engn, 8 Xindu Ave, Chengdu 610500, Peoples R China</t>
  </si>
  <si>
    <t>Southwest Petroleum University</t>
  </si>
  <si>
    <t>Wang, H; Tang, XD (corresponding author), Southwest Petr Univ, Sch Chem &amp; Chem Engn, 8 Xindu Ave, Chengdu 610500, Peoples R China.</t>
  </si>
  <si>
    <t>hongwang@swpu.edu.cn; txd3079@163.com</t>
  </si>
  <si>
    <t>National Natural Science Foundation of China [U22B20145]; Open Fund of Guangdong Provincial Key Laboratory of Solid Wastes Pollution Control and Recycling [2020B121201003]</t>
  </si>
  <si>
    <t>National Natural Science Foundation of China(National Natural Science Foundation of China (NSFC)); Open Fund of Guangdong Provincial Key Laboratory of Solid Wastes Pollution Control and Recycling</t>
  </si>
  <si>
    <t>Acknowledgements This work was supported by the National Natural Science Foundation of China (U22B20145) and Open Fund of Guangdong Provincial Key Laboratory of Solid Wastes Pollution Control and Recycling (2020B121201003) .</t>
  </si>
  <si>
    <t>0272-8842</t>
  </si>
  <si>
    <t>1873-3956</t>
  </si>
  <si>
    <t>CERAM INT</t>
  </si>
  <si>
    <t>Ceram. Int.</t>
  </si>
  <si>
    <t>10.1016/j.ceramint.2024.02.289</t>
  </si>
  <si>
    <t>Materials Science, Ceramics</t>
  </si>
  <si>
    <t>QA5J7</t>
  </si>
  <si>
    <t>WOS:001218170200015</t>
  </si>
  <si>
    <t>Staniszewska, M; Graca, B; Sokolowski, A; Nehring, I; Wasik, A; Jendzul, A</t>
  </si>
  <si>
    <t>Staniszewska, Marta; Graca, Bozena; Sokolowski, Adam; Nehring, Iga; Wasik, Andrzej; Jendzul, Anna</t>
  </si>
  <si>
    <t>Factors determining accumulation of bisphenol A and alkylphenols at a low trophic level as exemplified by mussels Mytilus trossulus</t>
  </si>
  <si>
    <t>Bisphenol A; Alkylphenols; Mytilus trossulus; Accumulation; Trophic level; Endocrine disruptors</t>
  </si>
  <si>
    <t>ENDOCRINE DISRUPTING COMPOUNDS; SOUTHERN BALTIC SEA; AQUATIC TOXICITY; 4-NONYLPHENOL; BIOACCUMULATION; GULF; EXPOSURE; NONYLPHENOL; GALLOPROVINCIALIS; METABOLITES</t>
  </si>
  <si>
    <t>The aim of the study was to investigate abiotic and biotic factors influencing the accumulation of endocrine disrupting compounds (EDCs) such as bisphenol A (BPA), 4-tert-octylphenol (OP) and 4-nonylphenol (NP) in mussels Mytilus trossulus from the Gulf of Gdansk (Southern Baltic). The key abiotic factor influencing BPA, OP and NP accumulation in mussels is their hydrophilicity/lipophilicity, which affects their main assimilation routes - by digestive tract for the more lipophilic OP and NP, and additionally by the gills for the less lipophilic BPA. As a result, high condition index (i.e. higher soft tissue weight) is more often correlated with high concentrations of OP and NP in mussels than with BPA. Furthermore, alkylphenols have 6-8 times greater accumulative potential than BPA. Concentration of the studied compounds was lower in females than in males following spawning, and the effect lasted longer for BPA than for alkylphenols. The influence of season and hydrological conditions on BPA, OP, NP in the mussel was more pronounced than the proximity of external sources of these compounds. An increase in water temperature in summer probably stimulated the solubility of BPA, the least lipophilic of the studied compounds, and led to increased assimilation of this compound from water (through gills). On the other hand, high OP and NP concentrations in mussels occurred in spring, which was caused by increased surface run-off and sediments resuspension. (C) 2016 Elsevier Ltd. All rights reserved.</t>
  </si>
  <si>
    <t>[Staniszewska, Marta; Graca, Bozena; Sokolowski, Adam; Nehring, Iga; Jendzul, Anna] Univ Gdansk, Inst Oceanog, Al Marszalka Pilsudskiego 46, PL-81378 Gdynia, Poland; [Wasik, Andrzej] Gdansk Univ Technol, Fac Chem, Dept Analyt Chem, Ul Narutowicza 11-12, PL-80233 Gdansk, Poland</t>
  </si>
  <si>
    <t>Fahrenheit Universities; University of Gdansk; Fahrenheit Universities; Gdansk University of Technology</t>
  </si>
  <si>
    <t>Staniszewska, M (corresponding author), Univ Gdansk, Inst Oceanog, Al Marszalka Pilsudskiego 46, PL-81378 Gdynia, Poland.</t>
  </si>
  <si>
    <t>marta.staniszewska@ug.edu.pl</t>
  </si>
  <si>
    <t>Staniszewska, Magdalena/IZQ-5041-2023; Wasik, Andrzej/B-9045-2018; Nehring, Iga/AAB-6012-2019</t>
  </si>
  <si>
    <t>Wasik, Andrzej/0000-0002-1758-3893; Staniszewska, Marta/0000-0002-2516-6280; Graca, Bozena/0000-0001-8840-8665; Sokolowski, Adam/0000-0002-7551-3199; Nehring, Iga/0000-0002-4650-7080</t>
  </si>
  <si>
    <t>National Science Centre and Polish Ministry of Science and Higher Education [N N 305 106840 (1068/B/P01/2011/40)]</t>
  </si>
  <si>
    <t>National Science Centre and Polish Ministry of Science and Higher Education(National Science Centre, Poland)</t>
  </si>
  <si>
    <t>This research was financed by the National Science Centre and Polish Ministry of Science and Higher Education within the framework of the projects No. N N 305 106840 (1068/B/P01/2011/40).</t>
  </si>
  <si>
    <t>10.1016/j.envpol.2016.11.020</t>
  </si>
  <si>
    <t>EG0OO</t>
  </si>
  <si>
    <t>WOS:000390732300043</t>
  </si>
  <si>
    <t>Bissett, W; Smith, L; Thompson, JA</t>
  </si>
  <si>
    <t>Bissett, Wesley, Jr.; Smith, Lauren; Thompson, James A.</t>
  </si>
  <si>
    <t>Geostatistical analysis of DNA damage in oysters, Crassostrea virginica, in Lavaca Bay, Texas</t>
  </si>
  <si>
    <t>Spatially oriented genotoxic response; Genotoxicity; DNA damage</t>
  </si>
  <si>
    <t>COMET ASSAY; AIR-POLLUTION; GENOTOXICITY; MERCURY; SENSITIVITY; ORGANISMS; EXPOSURE; REPAIR; CELLS</t>
  </si>
  <si>
    <t>This study evaluated the health of the marine ecosystem in Lavaca Bay, Texas using the Eastern oyster (Crassostrea virginica) as the sentinel species. Lavaca Bay has a history of having gradients of concentrations of pollutants present with some areas containing concentrations high enough to pose a threat to marine ecosystem health. The Comet assay was used to evaluate for the presence of genotoxic response in oyster hematocytes. Bayesian geostatistical analysis was then used to determine if the DNA damage in oyster hematocytes was spatially oriented and to develop continuous surface maps of the risk of DNA damage in this sentinel species. Results indicated that proximity to industrial facilities increased the locational risk of genotoxicity in this species.</t>
  </si>
  <si>
    <t>[Bissett, Wesley, Jr.; Thompson, James A.] Texas A&amp;M Univ, Dept Large Anim Clin Sci, College Stn, TX 77843 USA; [Smith, Lauren] Texas A&amp;M Univ, Coll Vet Med, College Stn, TX 77843 USA</t>
  </si>
  <si>
    <t>Bissett, W (corresponding author), Texas A&amp;M Univ, Dept Large Anim Clin Sci, Mail Stop 4476, College Stn, TX 77843 USA.</t>
  </si>
  <si>
    <t>Vivian L. Smith Foundation</t>
  </si>
  <si>
    <t>We would like to express our gratitude to the Vivian L. Smith Foundation for providing the financial resources for completion of this project. Also, to our colleagues in Texas A&amp;M University's Food Animal Medicine and Surgery Service, your support and encouragement are greatly appreciated.</t>
  </si>
  <si>
    <t>10.1007/s10646-008-0258-1</t>
  </si>
  <si>
    <t>396JY</t>
  </si>
  <si>
    <t>WOS:000262589200010</t>
  </si>
  <si>
    <t>Martin, GD; George, R; Shaiju, P; Muraleedharan, KR; Nair, SM; Chandramohanakumar, N</t>
  </si>
  <si>
    <t>Martin, G. D.; George, Rejomon; Shaiju, P.; Muraleedharan, K. R.; Nair, S. M.; Chandramohanakumar, N.</t>
  </si>
  <si>
    <t>Toxic Metals Enrichment in the Surficial Sediments of a Eutrophic Tropical Estuary (Cochin Backwaters, Southwest Coast of India)</t>
  </si>
  <si>
    <t>SCIENTIFIC WORLD JOURNAL</t>
  </si>
  <si>
    <t>HEAVY-METALS; TRACE-METALS; SURFACE SEDIMENTS; MANDOVI ESTUARY; ORGANIC-MATTER; CONTAMINATION; MARINE; WATER; RISK; GEOCHEMISTRY</t>
  </si>
  <si>
    <t>Concentrations and distributions of trace metals (Cd, Co, Cr, Cu, Fe, Mn, Ni, Pb, and Zn) in surficial sediments of the Cochin backwaters were studied during both monsoon and pre-monsoon periods. Spatial variations were in accordance with textural charaterstics and organic matter content. A principal component analysis distinguished three zones with different metal accumulation capacity: (i) highest levels in north estuary, (ii) moderate levels in central zone, and (iii) lowest levels in southern part. Trace metal enrichments are mainly due to anthropogenic contribution of industrial, domestic, and agricultural effluents, whose effect is enhanced by settling of metals due to organic flocculation and inorganic precipitation associated with salinity changes. Enrichments factors using Fe as a normalizer showed that metal contamination was the product of anthropogenic activities. An assessment of degree of pollution-categorized sediments as moderately polluted with Cu and Pb, moderately-to-heavily polluted with Zn, and heavily-to-extremely polluted with Cd. Concentrations at many sites largely exceed NOAA ERL (e. g., Cu, Cr, and Pb) or ERM (e. g., Cd, Ni, and Zn). This means that adverse effects for benthic organisms are possible or even highly probable.</t>
  </si>
  <si>
    <t>[Martin, G. D.; George, Rejomon; Shaiju, P.; Nair, S. M.; Chandramohanakumar, N.] Cochin Univ Sci &amp; Technol, Dept Chem Oceanog, Sch Marine Sci, Cochin 682016, Kerala, India; [George, Rejomon; Muraleedharan, K. R.] Reg Ctr, Natl Inst Oceanog, Cochin 682018, Kerala, India</t>
  </si>
  <si>
    <t>Cochin University Science &amp; Technology; Council of Scientific &amp; Industrial Research (CSIR) - India; CSIR - National Institute of Oceanography (NIO)</t>
  </si>
  <si>
    <t>Martin, GD (corresponding author), Cochin Univ Sci &amp; Technol, Dept Chem Oceanog, Sch Marine Sci, Cochin 682016, Kerala, India.</t>
  </si>
  <si>
    <t>martinnio@gmail.com</t>
  </si>
  <si>
    <t>Department of Science and Technology (DST); Council of Scientific and Industrial Research (CSIR), New Delhi, India</t>
  </si>
  <si>
    <t>Department of Science and Technology (DST)(Department of Science &amp; Technology (India)); Council of Scientific and Industrial Research (CSIR), New Delhi, India(Council of Scientific &amp; Industrial Research (CSIR) - India)</t>
  </si>
  <si>
    <t>The authors are thankful to the directors, School of Marine Sciences, Cochin University of Science and Technology (CUSAT), Cochin-16, and National Institute of Oceanography (NIO), Cochin-18, for the encouragement and help. This study forms a part of Projects Ecosystem Modelling of Cochin backwaters and Environmental Monitoring and Assessment of trace metals in the sediments, bivalves and fishes of the Cochin backwaters-southwest coast of India. The constructive comments given by Dr. Mauro Frignani, Dr. Alagarsamy, and Dr. K. K. Balachandran have substantially improved the quality of the paper. Dr. Rejomon George is deeply indebted to the Department of Science and Technology (DST) and the Council of Scientific and Industrial Research (CSIR), New Delhi, India, for the financial support.</t>
  </si>
  <si>
    <t>SCI WORLD J</t>
  </si>
  <si>
    <t>Sci. World J.</t>
  </si>
  <si>
    <t>10.1100/2012/972839</t>
  </si>
  <si>
    <t>982VJ</t>
  </si>
  <si>
    <t>WOS:000307073200001</t>
  </si>
  <si>
    <t>Jara-Marini, ME; García-Camarena, R; Gómez-Alvarez, A; García-Rico, L</t>
  </si>
  <si>
    <t>Jara-Marini, Martn E.; Garcia-Camarena, Raul; Gomez-Alvarez, Agustin; Garcia-Rico, Leticia</t>
  </si>
  <si>
    <t>Fractionation and risk assessment of Fe and Mn in surface sediments from coastal sites of Sonora, Mexico (Gulf of California)</t>
  </si>
  <si>
    <t>Marine ecosystem; Metals; Pollution; Fractionation; Surface sediment</t>
  </si>
  <si>
    <t>HEAVY-METALS; TRACE-METALS; SEQUENTIAL EXTRACTION; BAJA-CALIFORNIA; RIVER ESTUARY; IRON; MANGANESE; POLLUTION; ACCUMULATION; ENRICHMENTS</t>
  </si>
  <si>
    <t>The aim of this study was to evaluate Fe and Mn distribution in geochemical fractions of the surface sediment of four oyster culture sites in the Sonora coast, Mexico. A selective fractionation scheme to obtain five fractions was adapted for the microwave system. Surface sediments were analyzed for carbonates, organic matter contents, and Fe and Mn in geochemical fractions. The bulk concentrations of Fe ranged from 10,506 to 21,918 mg/kg (dry weight, dry wt), and the bulk concentrations of Mn ranged from 185.1 to 315.9 mg/kg (dry wt) in sediments, which was low and considered as nonpolluted in all of the sites. The fractionation study indicated that the major geochemical phases for the metals were the residual, as well as the Fe and Mn oxide fractions. The concentrations of metals in the geochemical fractions had the following order: residual &gt;&gt; Fe and Mn oxides &gt; organic matter &gt; carbonates &gt; interchangeable. Most of the Fe and Mn were linked to the residual fraction. Among non-residual fractions, high percentages of Fe and Mn were linked to Fe and Mn oxides. The enrichment factors (EFs) for the two metals were similar in the four studied coasts, and the levels of Fe andMn interpreted as non-enrichment (EF&lt; 1) because themetals concentrations were within the baseline concentrations. According to the environmental risk assessment codes, Fe and Mn posed no risk and low risk, respectively. Although the concentrations of Fe and Mn were linked to the residual fraction, the levels in non-residual fractions may significantly result in the transference of other metals, depending on several physico-chemical and biological factors.</t>
  </si>
  <si>
    <t>[Jara-Marini, Martn E.; Garcia-Camarena, Raul; Garcia-Rico, Leticia] Ctr Invest Alimentac &amp; Desarrollo AC, Km 0-6 Carretera Victoria, Hermosillo 83304, Sonora, Mexico; [Gomez-Alvarez, Agustin] Univ Sonora Rosales &amp; Ninos Heroes, Dept Ingn Quim &amp; Met, Hermosillo 83000, Sonora, Mexico</t>
  </si>
  <si>
    <t>CIAD - Centro de Investigacion en Alimentacion y Desarrollo; Universidad de Sonora</t>
  </si>
  <si>
    <t>García-Rico, L (corresponding author), Ctr Invest Alimentac &amp; Desarrollo AC, Km 0-6 Carretera Victoria, Hermosillo 83304, Sonora, Mexico.</t>
  </si>
  <si>
    <t>lgarciar@ciad.mx</t>
  </si>
  <si>
    <t>Consejo Nacional de Ciencia y Tecnologia (CONACyT) [063]; National Institutes of Health Research (NIHR) [063] Funding Source: National Institutes of Health Research (NIHR)</t>
  </si>
  <si>
    <t>Consejo Nacional de Ciencia y Tecnologia (CONACyT)(Consejo Nacional de Ciencia y Tecnologia (CONACyT)); National Institutes of Health Research (NIHR)(National Institutes of Health Research (NIHR))</t>
  </si>
  <si>
    <t>This work was supported by funds provided by Consejo Nacional de Ciencia y Tecnologia (CONACyT) grant 063.</t>
  </si>
  <si>
    <t>10.1007/s10661-015-4683-3</t>
  </si>
  <si>
    <t>CM0AL</t>
  </si>
  <si>
    <t>WOS:000357340500076</t>
  </si>
  <si>
    <t>López-Hernández, KM; Pardío-Sedas, VT; Lizárraga-Partida, L; Williams, JDJ; Martínez-Herrera, D; Flores-Primo, A; Uscanga-Serrano, R; Rendón-Castro, K</t>
  </si>
  <si>
    <t>Lopez-Hernandez, Karla M.; Pardio-Sedas, Violeta T.; Lizarraga-Partida, Leonardo; Williams, Jose de J.; Martinez-Herrera, David; Flores-Primo, Argel; Uscanga-Serrano, Roxana; Rendon-Castro, Karla</t>
  </si>
  <si>
    <t>Environmental parameters influence on the dynamics of total and pathogenic Vibrio parahaemolyticus densities in Crassostrea virginica harvested from Mexico's Gulf coast</t>
  </si>
  <si>
    <t>Vibrio parahaemolyticus; Pathogenic genes; Environmental parameters; Oyster</t>
  </si>
  <si>
    <t>MOLLUSCAN SHELLFISH; PANDEMIC STRAINS; PCR ASSAY; O3-K6; OYSTERS; WATER; BACTERIA; TEMPERATURE; DISEASE; MARINE</t>
  </si>
  <si>
    <t>The influence of environmental parameters on the total and pathogenic Vibrio parahaemolyticus seasonal densities in American oysters (Crassostrea virginica) was evaluated for 1 year. Harvesting site A yielded the highest mean densities of V. parahaemolyticus tlh+, tdh+/trh, tdh Itrh+ and tdh-/trh+ during spring season at 2.57, 1.74, 036, and -0.40 log(10) MPN/g, respectively, and tdh+/orf8+ during winter season (0.90 log(10) MPN/g). V. parahaemolyticus tlh+ densities were associated to salinity (R-2 = 0.372, P &lt;0.022), tdh+/ trh+ to turbidity (R-2 = 0.597, P &lt;0.035), and aria+ to temperature, salinity, and pH (R-2= 0.964, P &lt; 0.001). The exposure to salinity and temperature conditions during winter and spring seasons regulated the dynamics of V. parahaemolyticus harboring potentially pathogenic genotypes within the oyster. The adaptive response of V. parahaemolyticus to seasonal environmental changes may lead to an increase in survival and virulence, threatening the seafood safety and increasing the risk of illness. (C) 2014 Elsevier Ltd. All rights reserved.</t>
  </si>
  <si>
    <t>[Lopez-Hernandez, Karla M.; Pardio-Sedas, Violeta T.; Martinez-Herrera, David; Flores-Primo, Argel; Uscanga-Serrano, Roxana; Rendon-Castro, Karla] Univ Veracruzana, Fac Med Vet &amp; Zootecnia, Xalapa 91710, Veracruz, Mexico; [Lizarraga-Partida, Leonardo] Ctr Invest Cient &amp; Educ Super Ensenada, Ensenada 22860, Baja California, Mexico; [Williams, Jose de J.] Univ Autanoma Yucatan, Direcc Gen Desarrollo Acad, Merida 97000, Yucatan, Mexico</t>
  </si>
  <si>
    <t>Universidad Veracruzana; CICESE - Centro de Investigacion Cientifica y de Educacion Superior de Ensenada; Universidad Autonoma de Yucatan</t>
  </si>
  <si>
    <t>Pardío-Sedas, VT (corresponding author), Univ Veracruzana, Fac Med Vet &amp; Zootecnia, Xalapa 91710, Veracruz, Mexico.</t>
  </si>
  <si>
    <t>vpardio@yahoo.com.mx</t>
  </si>
  <si>
    <t>Williams, James/AAV-1275-2020</t>
  </si>
  <si>
    <t>Martinez Herrera, David Itzcoatl/0000-0002-5560-1773; Flores, Argel/0000-0001-7150-3332; Lopez Hernandez, Karla Maria/0000-0002-6367-4294; Lizarraga-Partida, Marcial Leonardo/0000-0001-9675-3813</t>
  </si>
  <si>
    <t>Mexican National Council of Science and Technology; Ministry of Health (CONACyT-SSA) research Grant [114024]</t>
  </si>
  <si>
    <t>Mexican National Council of Science and Technology(Consejo Nacional de Ciencia y Tecnologia (CONACyT)); Ministry of Health (CONACyT-SSA) research Grant</t>
  </si>
  <si>
    <t>This work was supported by the Mexican National Council of Science and Technology and the Ministry of Health (CONACyT-SSA) research Grant [114024]. We thank the Vibriomex Group for supplying the control strains V. parahaemolyticus strains CAIM 1772 and CAIM 1400 from the Collection of Aquatic Important Microorganisms (CAIM, www.ciad.mx/caim)</t>
  </si>
  <si>
    <t>10.1016/j.marpolbul.2014.11.015</t>
  </si>
  <si>
    <t>CC1CV</t>
  </si>
  <si>
    <t>WOS:000350079700052</t>
  </si>
  <si>
    <t>Fry, B; Anderson, LC</t>
  </si>
  <si>
    <t>Fry, Brian; Anderson, Laurie C.</t>
  </si>
  <si>
    <t>Minimal incorporation of Deepwater Horizon oil by estuarine filter feeders</t>
  </si>
  <si>
    <t>Deepwater Horizon; Oil; Barnacles; Mussels; Carbon-13; Carbon-14</t>
  </si>
  <si>
    <t>STABLE ISOTOPES; CARBON; ASSIMILATION; COMMUNITIES; NITROGEN; OYSTERS; BEACH</t>
  </si>
  <si>
    <t>Natural abundance carbon isotope analyses are sensitive tracers for fates and use of oil in aquatic environments. Use of oil carbon in estuarine food webs should lead to isotope values approaching those of oil itself, -27 parts per thousand for stable carbon isotopes reflecting oil origins and -1000 parts per thousand, for carbon-14 reflecting oil age. To test for transfer of oil from the 2010 Deepwater Horizon spill into estuarine food webs, filter-feeding barnacles (Balanus sp.) and marsh mussels (Geukensia demissa) were collected from Louisiana estuaries near the site of the oil spill. Carbon-14 analyses of these animals from open waters and oiled marshes showed that oil use was &lt;1% and near detection limits estimated at 0.3% oil incorporation. Respiration studies showed no evidence for enhanced microbial activity in bay waters. Results are consistent with low dietary impacts of oil for filter feeders and little overall impact on respiration in the productive Louisiana estuarine systems. (C) 2013 The Authors. Published by Elsevier Ltd. All rights reserved.</t>
  </si>
  <si>
    <t>[Fry, Brian] Louisiana State Univ, Dept Oceanog &amp; Coastal Sci, Baton Rouge, IA 70803 USA; [Fry, Brian] Griffith Univ, Australian Rivers Inst, Brisbane, Qld 4111, Australia; [Anderson, Laurie C.] Louisiana State Univ, Dept Geol &amp; Geophys, Baton Rouge, LA 70803 USA; [Anderson, Laurie C.] South Dakota Sch Mines &amp; Technol, Dept Geol &amp; Geol Engn, Rapid City, SD 57701 USA; [Anderson, Laurie C.] South Dakota Sch Mines &amp; Technol, Museum Geol, Rapid City, SD 57701 USA</t>
  </si>
  <si>
    <t>Louisiana State University System; Louisiana State University; Griffith University; Louisiana State University System; Louisiana State University; South Dakota School Mines &amp; Technology; South Dakota School Mines &amp; Technology</t>
  </si>
  <si>
    <t>Fry, B (corresponding author), Griffith Univ, Australian Rivers Inst, 170 Kessels Rd, Brisbane, Qld 4111, Australia.</t>
  </si>
  <si>
    <t>b.fry@griffith.edu.au</t>
  </si>
  <si>
    <t>NSF DEB Ecosystem Studies; LSU Gulf of Mexico Research Initiatives; Northern Gulf Institute; Louisiana Sea Grant</t>
  </si>
  <si>
    <t>We thank Eugene Turner and Philip Riekenberg for assistance in field sampling. Carrol Michael and James Naquin helped with laboratory analyses. Jeff Chanton and Christine Prior provided useful early discussions regarding use of radiocarbon to study ecosystems and food webs. This research was supported by funding from NSF DEB Ecosystem Studies, LSU Gulf of Mexico Research Initiatives, Northern Gulf Institute, and Louisiana Sea Grant.</t>
  </si>
  <si>
    <t>10.1016/j.marpolbul.2013.10.018</t>
  </si>
  <si>
    <t>WOS:000333946500043</t>
  </si>
  <si>
    <t>Meng, XL; Yip, Y; Valiyaveettil, S</t>
  </si>
  <si>
    <t>Meng, Xingliang; Yip, Yongjie; Valiyaveettil, Suresh</t>
  </si>
  <si>
    <t>Understanding the aggregation, consumption, distribution and accumulation of nanoparticles of polyvinyl chloride and polymethyl methacrylate in Ruditapes philippinarum</t>
  </si>
  <si>
    <t>Polyvinyl chloride; Polymethyl methacrylate; Nanoplastic toxicity; Plastic pollution; Ruditapes philippinarum</t>
  </si>
  <si>
    <t>TOXICITY</t>
  </si>
  <si>
    <t>Plastic products have become an integral part of our life. A widespread usage, high stability, uncontrolled disposal and slow degradation of plastics in the environment led to the generation and accumulation of nanoparticles of polymers (NPs) in the marine environment. However, little is known about the aggregation, consumption and distribution of NPs from common polymers such as polyvinyl chloride (NP-PVC) and polymethyl methacrylate (NP-PMMA) inside marine an-imal physiologies. In the current study, two types of polymers (PVC and PMMA) x four exposure concentrations (1, 5,15 and 25 mg/L) x four times (4, 8,12 and 24 h) exposure studies were conducted to understand the consumption and dis-tribution of luminescent NP-PVC (98.6 +/- 17.6 nm) and NP-PMMA (111.9 +/- 37.1 nm) in R. philippinarum. Under labora-tory conditions, NP-PVC showed a higher aggregation rate than NP-PMMA in seawater within a period of 24 h. Aggregations of NPs increased with an increase in initial NP concentrations, leading to significant settling of nanoparticles within 24 h exposure. Such aggregation and settling of particles enhanced the consumption of NPs by benthic filter-feeding R. philippinarum at all exposure concentrations during 4 h exposure. More interestingly, NP-PVC and NP-PMMA were ob-served in large amounts in both liver and gills (22.6 % -29.1 %) of the clams. Furthermore, NP-PVC was detected in most organs of R. philippinarum as compared to NP-PMMA. This study demonstrates that different polymers distribute and ac-cumulate differently in the same biological model under laboratory exposure conditions based on their chemical nature.</t>
  </si>
  <si>
    <t>[Meng, Xingliang; Yip, Yongjie; Valiyaveettil, Suresh] Natl Univ Singapore, Dept Chem, 3 Sci Dr 3, Singapore 117543, Singapore</t>
  </si>
  <si>
    <t>National University of Singapore</t>
  </si>
  <si>
    <t>Valiyaveettil, S (corresponding author), Natl Univ Singapore, Dept Chem, 3 Sci Dr 3, Singapore 117543, Singapore.</t>
  </si>
  <si>
    <t>chmsv@nus.edu.sg</t>
  </si>
  <si>
    <t>Valiyaveettill, Suresh/D-4848-2009</t>
  </si>
  <si>
    <t>Xingliang, Meng/0000-0002-3141-018X</t>
  </si>
  <si>
    <t>National Research Foundation, Singapore [NRF-NERC-SEAP-2020-04, A-0004151-00-00]</t>
  </si>
  <si>
    <t>National Research Foundation, Singapore(National Research Foundation, Singapore)</t>
  </si>
  <si>
    <t>The authors acknowledge the funding support from the National Research Foundation, Singapore under the grant no. NRF-NERC-SEAP-2020-04 (WBS No. A-0004151-00-00) .</t>
  </si>
  <si>
    <t>10.1016/j.scitotenv.2023.161955</t>
  </si>
  <si>
    <t>9R7LA</t>
  </si>
  <si>
    <t>WOS:000945828600001</t>
  </si>
  <si>
    <t>Pedrosa, JAM; Machado, AL; Cocchiararo, B; Soares, AMVM; Nowak, C; Pestana, JLT</t>
  </si>
  <si>
    <t>Pedrosa, Joao A. M.; Machado, Ana L.; Cocchiararo, Berardino; Soares, Amadeu M. V. M.; Nowak, Carsten; Pestana, Joao L. T.</t>
  </si>
  <si>
    <t>Assessing the suitability of genetic diversity of Chironomus riparius (Meigen) as an indicator of environmental pollution</t>
  </si>
  <si>
    <t>Freshwater; Metal contamination; Genetic diversity; Microsatellites; Neutral markers; Benthic communities; Biomonitoring; Ecological risk assessment</t>
  </si>
  <si>
    <t>MACROINVERTEBRATE COMMUNITY COMPOSITION; LIFE-CYCLE PARAMETERS; ACID-MINE DRAINAGE; TRIBUTYLTIN CONCENTRATIONS; NATURAL-POPULATIONS; BENTHIC COMMUNITIES; RISK-ASSESSMENT; RESPONSES; CADMIUM; EROSION</t>
  </si>
  <si>
    <t>Reliable and cost-effective indicators are needed to reduce uncertainty in ecological risk assessments of chemicals so that their long-term and evolutionary impacts in the dynamics of stressed biological communities can be accounted for. In the present study we investigate the suitability of genetic diversity as an indicator of ecological disturbance of freshwater ecosystems. For that, we selected three freshwater systems with well-known histories of metal contamination and three nearby reference sites located in Northern Portugal and the effects of metal contamination were assessed both in the levels of genetic diversity of the non-biting midge Chironomus riparius Meigen (at microsatellite markers) and in the diversity and composition of the benthic macroinvertebrate communities. Results showed a remarkable impoverishment in the abundance and diversity of macroinvertebrate communities of metal polluted sites in which most sensitive taxa were eliminated and replaced by more opportunistic ones belonging mainly to Oligochaeta and Diptera. In contrast, no evidence for pollution induced genetic erosion was found in C. riparius populations in the studied area, with genetic diversity of the species being indeed higher in sites with impoverished macroinvertebrate communities and poor habitat quality. Our findings suggest that there are important limitations to the use of measures of genetic diversity of C. riparius per se to unravel ecological disturbance. Field studies aiming at quantifying pollutant-driven genetic erosion need to carefully consider the ecological and demographic aspects of potential target species. (C) 2017 Elsevier Ltd. All rights reserved.</t>
  </si>
  <si>
    <t>[Pedrosa, Joao A. M.; Machado, Ana L.; Soares, Amadeu M. V. M.; Pestana, Joao L. T.] Univ Aveiro, Dept Biol, P-3810193 Aveiro, Portugal; [Pedrosa, Joao A. M.; Machado, Ana L.; Soares, Amadeu M. V. M.; Pestana, Joao L. T.] Univ Aveiro, CESAM, P-3810193 Aveiro, Portugal; [Pedrosa, Joao A. M.; Cocchiararo, Berardino; Nowak, Carsten] Senckenberg Res Inst, Conservat Genet Grp, Clamecystr 12, D-63571 Gelnhausen, Germany; [Pedrosa, Joao A. M.; Cocchiararo, Berardino; Nowak, Carsten] Nat Hist Museum Frankfurt, Clamecystr 12, D-63571 Gelnhausen, Germany</t>
  </si>
  <si>
    <t>Universidade de Aveiro; Universidade de Aveiro; Senckenberg Gesellschaft fur Naturforschung (SGN)</t>
  </si>
  <si>
    <t>jpesrana@ua.pt</t>
  </si>
  <si>
    <t>Cocchiararo, Berardino/ABG-5283-2020; Pestana, Joao/A-9279-2008; Machado, Ana/U-9736-2018; Soares, Amadeu/A-8304-2008; Nowak, Carsten/A-4466-2014</t>
  </si>
  <si>
    <t>Pestana, Joao/0000-0003-1322-2959; Machado, Ana/0000-0002-5213-6001; Soares, Amadeu/0000-0003-0879-9470; Nowak, Carsten/0000-0002-3139-1951</t>
  </si>
  <si>
    <t>Portuguese Science Foundation (FCT) [CESAM: UID/AMB/50017/2013]; COMPETE program (Programa Operational Fatores de Competitividade, FEDER component); National funding through FCT within the research project MIDGE - Microevolutionary Dynamics and Genetic Erosion in pollution-affected Chironomus [PTDC/BIA-BEC/104125/2008]; FCT [SFRH/BPD/103897/2014, SFRH/BD/75606/2010]; POPH/FSE (Programa Operational Potencial Humano/Fundo Social Europeu) [SFRH/BPD/103897/2014, SFRH/BD/75606/2010]; Fundação para a Ciência e a Tecnologia [SFRH/BD/75606/2010, SFRH/BPD/103897/2014, PTDC/BIA-BEC/104125/2008] Funding Source: FCT</t>
  </si>
  <si>
    <t>Portuguese Science Foundation (FCT)(Fundacao para a Ciencia e a Tecnologia (FCT)); COMPETE program (Programa Operational Fatores de Competitividade, FEDER component); National funding through FCT within the research project MIDGE - Microevolutionary Dynamics and Genetic Erosion in pollution-affected Chironomus; FCT(Fundacao para a Ciencia e a Tecnologia (FCT)); POPH/FSE (Programa Operational Potencial Humano/Fundo Social Europeu); Fundação para a Ciência e a Tecnologia(Fundacao para a Ciencia e a Tecnologia (FCT))</t>
  </si>
  <si>
    <t>This work was supported by the Portuguese Science Foundation (FCT) through CESAM: UID/AMB/50017/2013. We are thankful for the financial support of COMPETE program (Programa Operational Fatores de Competitividade, FEDER component) and National funding through FCT within the research project MIDGE - Microevolutionary Dynamics and Genetic Erosion in pollution-affected Chironomus (Ref: PTDC/BIA-BEC/104125/2008). We are also thankful to FCT and POPH/FSE (Programa Operational Potencial Humano/Fundo Social Europeu) for the post-doctoral fellowship of J.L.T. Pestana (SFRH/BPD/103897/2014) and Joao A.M. Pedrosa PhD grant (SFRH/BD/75606/2010).</t>
  </si>
  <si>
    <t>10.1016/j.ecolind.2017.02.014</t>
  </si>
  <si>
    <t>FB9BZ</t>
  </si>
  <si>
    <t>WOS:000406435900013</t>
  </si>
  <si>
    <t>Guendouzi, Y; Soualili, DL; Boulahdid, M; Eddalia, N; Boudjenoun, M</t>
  </si>
  <si>
    <t>Guendouzi, Yassine; Soualili, Dina Lila; Boulahdid, Mostefa; Eddalia, Nabila; Boudjenoun, Meriem</t>
  </si>
  <si>
    <t>Effect of physiological conditions and biochemical factors of musselsMytilus galloprovincialisin radioactivity monitoring programs along the Algerian coast</t>
  </si>
  <si>
    <t>Radioactivity; Environmental assessment; Transplanted mussels; Biological parameters; Southwestern Mediterranean</t>
  </si>
  <si>
    <t>MUSSEL MYTILUS-GALLOPROVINCIALIS; CHEMICAL CONTAMINATION; SPATIAL VARIATIONS; CONDITION INDEX; TRACE-ELEMENTS; HEAVY-METALS; SEA; PB-210; PO-210; SEDIMENT</t>
  </si>
  <si>
    <t>A study was carried out to determine the activities of radionuclides (Cs-137,K-40,Ra-226,Bi-214,Pb-214, and(210)Pb) and the levels of biochemical components (lipids, carbohydrates, and proteins) in mussels (Mytilus galloprovincialis) along the Algerian coast. The goal was to evaluate the effect of mussels' biological parameters on radionuclide concentrations, through two coastal water biomonitoring programs. The mussels were taken from three study areas on the Algerian coast: Kristel (Oran), Surcouf (Alger), and Collo (Skikda), for the passive biomonitoring program and transplanted from each study area into the control site of Surcouf. Biochemical components were determined by means of UV-visible colorimetric assays, while the activity concentrations of radionuclides were measured by gamma-ray spectrometry. The results showed that carbohydrates were the most abundant biochemical components (40-60%) compared with proteins (20-40%) and lipids (15-20%).Cs-137 activity concentrations were below the lower limit of detection (LOD) for all samples, while the high activities of(40)K are the result of its behavior as stabile potassium K which is extensively used in the metabolism of mussels reflects the conditional state of mussels.Pb-210 concentration reflects the conditional state of mussels (morphometric parameters and proteins content). The mussels' bioaccumulation capacity for radionuclides was found to be dependent on the growing site and the biomonitoring time period.</t>
  </si>
  <si>
    <t>[Guendouzi, Yassine] Morsli Abdallah Univ, Dept Nat Sci &amp; Life, Tipasa, Algeria; [Soualili, Dina Lila] Abdelhamid Ibn Badis Univ, Dept Marine Sci &amp; Aquaculture, Mostaganem, Algeria; [Boulahdid, Mostefa; Eddalia, Nabila] Natl Sch Marine Sci &amp; Coastal Management, Dely Ibrahim, Algeria; [Boudjenoun, Meriem] Ctr Res Physicochem Anal CRAPC, Bou Ismail, Algeria</t>
  </si>
  <si>
    <t>Universite Abdelhamid Ibn Badis de Mostaganem; Centre de Recherche Scientifique et Technique en Analyses Physico-Chimiques</t>
  </si>
  <si>
    <t>Guendouzi, Y (corresponding author), Morsli Abdallah Univ, Dept Nat Sci &amp; Life, Tipasa, Algeria.</t>
  </si>
  <si>
    <t>10.1007/s11356-020-09775-0</t>
  </si>
  <si>
    <t>UE9IL</t>
  </si>
  <si>
    <t>WOS:000542112300003</t>
  </si>
  <si>
    <t>Vignier, J; Donaghy, L; Soudant, P; Chu, FLE; Morris, JM; Carney, MW; Lay, C; Krasnec, M; Robert, R; Volety, AK</t>
  </si>
  <si>
    <t>Vignier, J.; Donaghy, L.; Soudant, P.; Chu, F. L. E.; Morris, J. M.; Carney, M. W.; Lay, C.; Krasnec, M.; Robert, R.; Volety, A. K.</t>
  </si>
  <si>
    <t>Impacts of Deepwater Horizon oil and associated dispersant on early development of the Eastern oyster Crassostrea virginica</t>
  </si>
  <si>
    <t>Deepwater Horizon oil; Oyster; Fertilization; CEWAF; Corexit; PAH</t>
  </si>
  <si>
    <t>POLYCYCLIC AROMATIC-HYDROCARBONS; ACCOMMODATED FRACTION WAF; CRUDE-OIL; LARVAL DEVELOPMENT; SOLUBLE FRACTIONS; PACIFIC OYSTER; HEAVY-METALS; TOXICITY; EMBRYOGENESIS; EMBRYOS</t>
  </si>
  <si>
    <t>The explosion of the Deepwater Horizon (DWH) oil platform resulted in large amounts of crude oil and dispersant Corexit 9500A (R) released into the Gulf of Mexico and coincided with the spawning season of the oyster, Crassostrea virginica. The effects of exposing gametes and embryos of C. virginica to dispersant alone (Corexit), mechanically (HEWAF) and chemically dispersed (CEWAF) DWH oil were evaluated. Fertilization success and the morphological development, growth, and survival of larvae were assessed. Gamete exposure reduced fertilization (HEWAF: EC20(1 h) = 1650 mu g tPAH50 L-1; CEWAF: EC20(1 h) = 19.4 mu g tPAH50 L-1; Corexit: EC20(1 h) = 6.9 mg L-1). CEWAF and Corexit showed a similar toxicity on early life stages at equivalent nominal concentrations. Oysters exposed from gametes to CEWAF and Corexit experienced more deleterious effects than oysters exposed from embryos. Results suggest the presence of oil and dispersant during oyster spawning season may interfere with larval development and subsequent recruitment. (C) 2015 Elsevier Ltd. All rights reserved.</t>
  </si>
  <si>
    <t>[Vignier, J.; Donaghy, L.; Volety, A. K.] Florida Gulf Coast Univ, Coll Arts &amp; Sci, Dept Marine &amp; Ecol Sci, Ft Myers, FL 33965 USA; [Vignier, J.; Soudant, P.] IUEM UBO, Technopole Brest Iroise, Lab Sci Environm Marin UMR LEMAR 6539, F-29280 Plouzane, France; [Chu, F. L. E.] Virginia Inst Marine Sci, Coll William &amp; Mary, Dept Aquat Hlth Sci, Gloucester Point, VA 23062 USA; [Morris, J. M.; Carney, M. W.; Lay, C.; Krasnec, M.] Abt Associates Inc, Boulder, CO 80302 USA; [Robert, R.] IFREMER, Unite Littoral, Ctr Bretagne, F-29280 Plouzane, France</t>
  </si>
  <si>
    <t>State University System of Florida; Florida Gulf Coast University; Centre National de la Recherche Scientifique (CNRS); Ifremer; Institut de Recherche pour le Developpement (IRD); Universite de Bretagne Occidentale; William &amp; Mary; Virginia Institute of Marine Science; ABT Associates; Ifremer; Universite de Bretagne Occidentale</t>
  </si>
  <si>
    <t>Volety, AK (corresponding author), Univ N Carolina, 601 S Coll Rd, Wilmington, NC 28403 USA.</t>
  </si>
  <si>
    <t>voletya@uncw.edu</t>
  </si>
  <si>
    <t>Morris, Jeffrey/O-2548-2015; Vignier, Julien/H-7254-2019; Donaghy, Ludovic/F-1720-2016</t>
  </si>
  <si>
    <t>Donaghy, Ludovic/0000-0002-6840-2204; Soudant, Philippe/0000-0003-3090-5612; Robert, Rene/0000-0003-3897-1999</t>
  </si>
  <si>
    <t>natural resource damage assessment for the Deepwater Horizon oil spill</t>
  </si>
  <si>
    <t>This work was supported by funds provided as part of the natural resource damage assessment for the Deepwater Horizon oil spill. Data presented here are a subset of a larger toxicological database that is being generated as part of the Deepwater Horizon Natural Resource Damage Assessment. We also would like to thank the graduate students and staff at the Vester Field Station, especially Brooke Denkert, Jeffrey Devine, Vaiola Osne, Anne Rolton, Molly Rybovich, Andy Griffith, and Gaelle Richard for their technical assistance.</t>
  </si>
  <si>
    <t>10.1016/j.marpolbul.2015.08.011</t>
  </si>
  <si>
    <t>WOS:000366771400059</t>
  </si>
  <si>
    <t>Qu, MJ; Ding, JW; Wang, Y; Chen, SY; Zhang, YF; Di, YA</t>
  </si>
  <si>
    <t>Qu, Mengjie; Ding, Jiawei; Wang, Yi; Chen, Siyu; Zhang, Yifei; Di, Yanan</t>
  </si>
  <si>
    <t>Genetic impacts induced by BaP and Pb in Mytilus coruscus: Can RAPD be a validated tool in genotoxicity evaluation both in vivo and in vitro?</t>
  </si>
  <si>
    <t>Genotoxicity; Multiple end-points; BaP/Pb; Mytilus coruscus; In vivo/vitro experiment</t>
  </si>
  <si>
    <t>TITANIUM-DIOXIDE NANOPARTICLES; AMPLIFIED POLYMORPHIC DNA; POLYCYCLIC AROMATIC-HYDROCARBONS; TISSUE-SPECIFIC EXPRESSION; BENZO(A) PYRENE; ANTIOXIDANT RESPONSES; CHROMOSOMAL DAMAGE; ECOLOGICAL RISK; HEAVY-METALS; RAS GENES</t>
  </si>
  <si>
    <t>Benzo(a)pyrene (BaP) and lead (Pb) are common pollutants discharged greatly in ocean and causing detrimental impacts on marine organisms. Although mussels are one of the most prominent and frequently studied biological models, the research on their genomic alterations induced by the mixture of two totally different chemicals, is still rare. In present study, local marine mussels Mytilus coruscus were exposed in vivo to BaP (53.74 +/- 19.79 g/ L), Pb (2.58 +/- 0.11 mg/L) and their mixture for 6 days. The genotoxic damages were assessed by comet assay, micronucleus (MNi) test, and random amplified polymorphic DNA (RAPD) analysis. Significantly increased though transitory genomic damage was investigated after the exposure and showed consistency using various detecting methods. Additive genotoxicity was only found after 3 days combined exposure by means of MNi test, suggesting that BaP and Pb may play with alternative biological targets during metabolism and/or interaction with the genome. The geno-stability and the recovery capability were further detected both in vivo and in vitro after challenged by BaP. RAPD results showed coherence in BaP induced genotoxicity, together with time specific alterations. The genomic instability was found to recover in both in vivo and in vitro exposure scenarios in present study. To our knowledge, this is the first study to focus on the genotoxicitiy induced by BaP, Pb and their mixture by multiple detecting techniques. The attempt to utilize model pollutants and marine organism to validate the potential value of RAPD analysis highlighted that it might be a useful tool in the research of genotoxicology, especially on the effect -mechanism interplay at genetic level.</t>
  </si>
  <si>
    <t>[Qu, Mengjie; Ding, Jiawei; Wang, Yi; Chen, Siyu; Zhang, Yifei; Di, Yanan] Zhejiang Univ, Ocean Coll, Inst Marine Biol, Zhoushan 316000, Peoples R China</t>
  </si>
  <si>
    <t>Di, YA (corresponding author), Zhejiang Univ, Ocean Coll, Inst Marine Biol, Zhoushan 316000, Peoples R China.</t>
  </si>
  <si>
    <t>di, yanan/KIA-0814-2024; li, lin/KEJ-1056-2024; Chen, Siyu/KBC-6581-2024; Zhang, Yifei/GRO-3001-2022</t>
  </si>
  <si>
    <t>National Natural Science Foundation of China [41506133, 21307019]; National Key Research and Development Program of China [2016YFC0304905]; Science Technology Department of Zhejiang Province [2017F30012]</t>
  </si>
  <si>
    <t>National Natural Science Foundation of China(National Natural Science Foundation of China (NSFC)); National Key Research and Development Program of China(National Key Research &amp; Development Program of China); Science Technology Department of Zhejiang Province</t>
  </si>
  <si>
    <t>We cordially thank Professor Pinmei Wang, Ocean College, Zhejiang University, for her constructive suggestions in experimental design. Greatest appreciation is giving to Dr. Ji Hu from the Second Institute of Oceanography of China for his assistance in Pb concentration measurement. This work was funded by the National Natural Science Foundation of China (No. 41506133 and No. 21307019), the National Key Research and Development Program of China (2016YFC0304905), and the research funding from Science Technology Department of Zhejiang Province (2017F30012).</t>
  </si>
  <si>
    <t>10.1016/j.ecoenv.2018.11.066</t>
  </si>
  <si>
    <t>WOS:000456226600064</t>
  </si>
  <si>
    <t>Ulusoy, S; Özden, Ö; Päpke, O</t>
  </si>
  <si>
    <t>Ulusoy, Safak; Ozden, Ozkan; Papke, Olaf</t>
  </si>
  <si>
    <t>Distribution of OCPs and PCBs in Mussels (Mytilus galloprovincialis) from the Marmara Sea Coastal Sites</t>
  </si>
  <si>
    <t>Organochlorine pesticides; PCBs; DDT; Mussels; Mytilus galloprovincialis; Marmara Sea</t>
  </si>
  <si>
    <t>POLYCHLORINATED-BIPHENYLS PCBS; FRESH-WATER MUSSEL; ORGANOCHLORINE PESTICIDES; BLACK-SEA; ORGANIC POLLUTANTS; MARINE ORGANISMS; HEAVY-METALS; BIOACCUMULATION; FISH; CONGENERS</t>
  </si>
  <si>
    <t>Mussel samples were collected monthly between October-2010 and October-2011 from four stations (Bosphorus, BandA +/- rma, Gelibolu, Tekirdag) in the Marmara Sea. Two consecutive months' samples were homogenized and combined as a single group for analysis. Mussel samples were analyzed for Organochlorine pesticides (OCPs); (total-DDT, total-HCH, Endrin, alpha-Endosulfan, beta-Endosulfan, Heptachlor) and Polychlorinated biphenyls (PCBs); (PCB 28, PCB 52, PCB 138, PCB 153, and PCB 180). All analyses were done according to Eurofins house method in ERGO Laboratory in Germany. Concentrations of alpha-endosulfan and heptachlor in mussel tissues were below method detection limits. The annual average OCPs concentrations among the stations ranged between 0.02 and 1.45 ng/g (wet weight), 1.9-99.75 ng/g (lipid weight) whereas the annual average PCBs concentrations among the stations ranged between 0.03 and 0.40 ng/g (wet weight), 1.71-26.48 ng/g (lipid weight), respectively. There was no relation between fat content of mussels and residues of the contaminants. PCB 138 and PCB 153 were the most predominant PCBs, while total-DDT and total-HCH were the most predominant OCPs in the mussels. Total-DDT concentrations were higher compared to total-HCH and PCBs isomers. Measured levels were below the national and international committees' and institutions' limits for human consumption and protection of aquatic biota.</t>
  </si>
  <si>
    <t>[Ulusoy, Safak; Ozden, Ozkan] Istanbul Univ, Dept Seafood Proc Technol &amp; Safety, Fac Fisheries, Ordu St 200, TR-34134 Istanbul, Turkey; [Papke, Olaf] Eurofins ERGO Res, Neulander Kamp 1, D-21079 Hamburg, Germany; [Papke, Olaf] Eurofins GfA Lab Serv, Neulander Kamp 1, D-21079 Hamburg, Germany</t>
  </si>
  <si>
    <t>Ulusoy, S (corresponding author), Istanbul Univ, Dept Seafood Proc Technol &amp; Safety, Fac Fisheries, Ordu St 200, TR-34134 Istanbul, Turkey.</t>
  </si>
  <si>
    <t>safak@istanbul.edu.tr</t>
  </si>
  <si>
    <t>ULUSOY, Şafak/P-9589-2015; Ozden, Ozkan/P-9508-2015</t>
  </si>
  <si>
    <t>Istanbul University [10262]</t>
  </si>
  <si>
    <t>Istanbul University(Istanbul University)</t>
  </si>
  <si>
    <t>This study was funded by the Research Fund of Istanbul University (Grant Number 10262).</t>
  </si>
  <si>
    <t>10.1007/s00128-016-1848-x</t>
  </si>
  <si>
    <t>DR2QU</t>
  </si>
  <si>
    <t>WOS:000379749800008</t>
  </si>
  <si>
    <t>Vrankovic, J</t>
  </si>
  <si>
    <t>Vrankovic, J.</t>
  </si>
  <si>
    <t>Environmental impact on the antioxidant responses in Corbicula fluminea (Bivalvia: Veneroida: Corbiculidae) from the Danube River</t>
  </si>
  <si>
    <t>Biomarker; antioxidant enzyme; GST; Corbicula fluminea; Danube River</t>
  </si>
  <si>
    <t>GLUTATHIONE S-TRANSFERASES; POLYCYCLIC AROMATIC-HYDROCARBONS; MUSSEL MYTILUS-GALLOPROVINCIALIS; CLAM RUDITAPES-DECUSSATUS; PERNA-VIRIDIS; BIOCHEMICAL RESPONSES; SUPEROXIDE-DISMUTASE; AQUATIC ENVIRONMENT; CRASSOSTREA-GIGAS; DIGESTIVE GLAND</t>
  </si>
  <si>
    <t>The present study aims to assess the biological effects of different environmental pollution on the Asian clam Corbicula fluminea. Biomarkers indicative of oxidative stress (superoxide dismutase, SOD; catalase, CAT; glutathione peroxidase, GPx; glutathione reductase, GR; and the phase II biotransformation enzyme glutathione-S-transferase, GST) were measured in clams collected within the Serbian sector of the Danube River Basin at three locations: Vinjica, Zemun and Bela stena. Clams from Vinjica exhibited significantly higher SOD, CAT and GST activities than clams from the other two locations (p&lt;0.05), whereas GPx and GR activities do not have such a marked pattern. An alteration in the activity of SOD, CAT and GST reflects the presence of certain pro-oxidative chemicals that can lead to oxidative stress in clams at the Vinjica site. In conclusion, the noted antioxidant disparities among clam populations from different locations reflected physiological sensitivity of C. fluminea to environmental change, supporting its use as a sentinel organism in biomonitoring investigations.</t>
  </si>
  <si>
    <t>Univ Belgrade, Inst Biol Res Sinisa Stankovic, Dept Ecol, Belgrade 11060, Serbia</t>
  </si>
  <si>
    <t>Vrankovic, J (corresponding author), Univ Belgrade, Inst Biol Res Sinisa Stankovic, Dept Ecol, Despot Stephan Blvd 142, Belgrade 11060, Serbia.</t>
  </si>
  <si>
    <t>jeca.s@ibiss.bg.ac.rs</t>
  </si>
  <si>
    <t>Vrankovic, Jelena/0000-0002-2060-8633</t>
  </si>
  <si>
    <t>Serbian Ministry of Education, Science and Technological Development [ON 173025, TR 37009]</t>
  </si>
  <si>
    <t>Serbian Ministry of Education, Science and Technological Development</t>
  </si>
  <si>
    <t>This work was supported by the Serbian Ministry of Education, Science and Technological Development under Grants ON 173025 and TR 37009.</t>
  </si>
  <si>
    <t>10.1080/11250003.2015.1043963</t>
  </si>
  <si>
    <t>CP2XV</t>
  </si>
  <si>
    <t>WOS:000359742100009</t>
  </si>
  <si>
    <t>Heim, AVT; Janice, J; Bjornholt, JV; Lunestad, BT; Hegstad, K; Svanevik, CS</t>
  </si>
  <si>
    <t>Heim, Amalie von Barner Tvedegaard; Janice, Jessin; Bjornholt, Jorgen Vildershoj; Lunestad, Bjorn Tore; Hegstad, Kristin; Svanevik, Cecilie Smith</t>
  </si>
  <si>
    <t>Genomic insights into Enterococcus faecium isolates from marine bivalves highlight One Health concerns and healthcare linkages</t>
  </si>
  <si>
    <t>MICROBIAL GENOMICS</t>
  </si>
  <si>
    <t>antimicrobial resistance; enterococci; feacal indicator; global phylogeny; marine environment</t>
  </si>
  <si>
    <t>RESISTANCE; SURVIVAL; BACTERIA</t>
  </si>
  <si>
    <t>Enterococci, especially Enterococcus faecium, are one of today's leading causes of multidrug-resistant infections in hospital settings. The marine environment may harbour enterococci, but its role as an evolutionary niche and as a vector for the spread of enterococci is sparsely investigated. Hence, by applying enterococci in bivalves as a sentinel tool, this study aimed to describe the prevalence of enterocooci along the Norwegian coast and in addition the phylogeny of E. faecium in particular. Enterococci in batch samples of marine bivalves, harvested from 86 different locations, were quantitatively examined by a culture-dependent most probable number (MPN) method. Isolates were identified by MALDI-TOF- MS prior to antimicrobial susceptibility testing by broth microdilution. In-detail analyses of a representative selection of E. faecium isolates (n=148) were done by Illumina whole-genome sequencing, and assembled genomes were compared to closed E. faecium genomes in the public databases and to genomes from commensal and clinical isolates from Norway. Diversity among E. faecium within the same batch sample of bivalves was also explored. Enterococci were detected in 287 of the 471 examined bivalve samples, but in low concentrations with a median value of &lt;18 MPN /100 g. From positive samples, 479 isolates of enterococci were identified belonging to ten different species, where E. faecium (n=247), Enterococcus hirae (n=114) and Enterococcus faecalis (n=66) were most frequently found. Resistance towards one or more antimicrobial agents was observed in 197 isolates (41 %), none of the isolates showed acquired resistance to vancomycin or linezolid. Phylogenetic analyses revealed high diversity among the E. faecium isolates and showed that the marine niche is dominated by strains from the non-clinical setting belonging to clade A2 (n=85) and B (E. lactis) (n=60). Only three isolates belonged to the hospital-associated clade A1 (ST80 and ST117). Two of these clustered with one isolate from a hospitalized patient and one from a non-hospitalized person. This study demonstrated a high prevalence, but low concentrations of enterococci in bivalves, and low levels of antimicrobial resistance. E. faecium genomes showed high population diversity and that very few E. faecium isolates in bivalves may have arisen from the human healthcare system. A systematic surveillance of target micro-organisms applying methods examining multiple isolates from the same bivalve sample provides important data to assess the enterococcal phylogeny, antimicrobial resistance and the level of faecal pollution in the marine environment.</t>
  </si>
  <si>
    <t>[Heim, Amalie von Barner Tvedegaard; Lunestad, Bjorn Tore; Svanevik, Cecilie Smith] Inst Marine Res IMR, Post box 1870, Bergen, Norway; [Janice, Jessin; Hegstad, Kristin] Univ Hosp North Norway UNN, Norwegian Natl Advisory Unit Detect Antimicrobial, N-9038 Tromso, Norway; [Bjornholt, Jorgen Vildershoj] Oslo Univ Hosp, Dept Clin Microbiol, N-0424 Oslo, Norway; [Bjornholt, Jorgen Vildershoj] Univ Oslo UiO, Inst Clin Med, POB 1171, N-0318 Oslo, Norway; [Hegstad, Kristin] UiT Arctic Univ Norway, Res Grp Host Microbe Interact, POB 6050, N-9037 Tromso, Norway</t>
  </si>
  <si>
    <t>Institute of Marine Research - Norway; UiT The Arctic University of Tromso; University Hospital of North Norway; University of Oslo; University of Oslo; UiT The Arctic University of Tromso</t>
  </si>
  <si>
    <t>Svanevik, CS (corresponding author), Inst Marine Res IMR, Post box 1870, Bergen, Norway.</t>
  </si>
  <si>
    <t>cecilie.svanevik@hi.no</t>
  </si>
  <si>
    <t>Hegstad, Kristin/0000-0002-1314-0497; Svanevik, Cecilie Smith/0000-0002-0592-3811</t>
  </si>
  <si>
    <t>Norwegian marine Enterococcus BioProject [PRJNA990824, KresVRE0104 SAMEA114007118, KresLRE-55 SAMEA114160714, 51269062 SAMN29678729, 51270271 SAMN29678765, 51271185 SAMN29678825, K59-19 SAMN29681725, K60-21 SAMN29681800]</t>
  </si>
  <si>
    <t>Norwegian marine Enterococcus BioProject</t>
  </si>
  <si>
    <t>Norwegian marine Enterococcus BioProject PRJNA990824, E. faecium from human clinical samples (Biosample numbers KresVRE0104 SAMEA114007118, KresLRE-55 SAMEA114160714, 51269062 SAMN29678729, 51270271 SAMN29678765, 51271185 SAMN29678825, K59-19 SAMN29681725, and K60-21 SAMN29681800) , and E. faecium genomes from human population samples (submission in progress) .</t>
  </si>
  <si>
    <t>MICROBIOLOGY SOC</t>
  </si>
  <si>
    <t>14-16 MEREDITH ST, LONDON, ENGLAND</t>
  </si>
  <si>
    <t>2057-5858</t>
  </si>
  <si>
    <t>MICROB GENOMICS</t>
  </si>
  <si>
    <t>Microb. Genomics</t>
  </si>
  <si>
    <t>10.1099/mgen.0.001154</t>
  </si>
  <si>
    <t>Genetics &amp; Heredity; Microbiology</t>
  </si>
  <si>
    <t>CR1I1</t>
  </si>
  <si>
    <t>WOS:001126874500004</t>
  </si>
  <si>
    <t>Li, FL; Gong, XQ; Zhou, Y; Geng, QQ; Jiang, YH; Yao, L; Qu, M; Tan, ZJ</t>
  </si>
  <si>
    <t>Li, Fengling; Gong, Xiuqiong; Zhou, Yang; Geng, Qianqian; Jiang, Yanhua; Yao, Lin; Qu, Meng; Tan, Zhijun</t>
  </si>
  <si>
    <t>Integrated evidence of transcriptional, metabolic, and intestinal microbiota changes in Ruditapes philippinarum due to perfluorooctanoic acid-induced immunotoxicity</t>
  </si>
  <si>
    <t>Perfluorooctanoic acid; Immunotoxicity; Intestine microbiota; Metabolome; Transcriptome; Bivalve</t>
  </si>
  <si>
    <t>BACTEROIDES-THETAIOTAOMICRON; FAMILY VERRUCOMICROBIACEAE; SP NOV.; GUT; EXPRESSION; PFOA; ENVIRONMENT; MECHANISMS; BACTERIUM; APOPTOSIS</t>
  </si>
  <si>
    <t>Perfluorooctanoic acid (PFOA) is a toxic pollutant that bioaccumulates and is a significant public health concern due to its ubiquitous and persistent occurrence in global environments. Few studies have evaluated the adverse effects of PFOA on immune system, and this is particularly true for mollusks. Here, the PFOA-associated effects on immune system were evaluated in Ruditapes philippinarum using integrated analysis of metabolomes, microbiomes, and transcriptomes, providing evidence for possible mechanisms related to immunotoxicity. PFOA exposure caused clear variation in several important metabolites related to immune regulatory function within the haemolyph from R. philippinarum, while also altering key metabolic pathways, including those of lipids, unsaturated fatty acids (UFAs), and bile acids (BAs). After exposure to PFOAs, intestinal bacterial communities also clearly changed, with the predominant microflora becoming Mycoplasma and Bacteroidetes that are related to intestinal inflammation. Molecular analyses provided consistent results, wherein the expression of immune related genes was significantly altered. Integration of the multi-'omics' analyses suggested that the TLR/MyD88/ NF-kB pathway, along with PI3K-Akt-mTOR pathway, PPAR-mediated lipid metabolism and the autophagy signaling pathway, likely play important roles in initiating immunotoxic effects in R. philippinarum after PFOA exposure. These results provide further evidence that PFOA exposure can lead to immunologic dysfunction and also provide new insights into the mechanisms of PFAS alteration of bivalve immune function.</t>
  </si>
  <si>
    <t>[Li, Fengling; Gong, Xiuqiong; Zhou, Yang; Geng, Qianqian; Jiang, Yanhua; Yao, Lin; Qu, Meng; Tan, Zhijun] Chinese Acad Fishery Sci, Yellow Sea Fisheries Res Inst, Key Lab Testing &amp; Evaluat Aquat Prod Safety &amp; Qual, Minist Agr &amp; Rural Affairs, Qingdao, Peoples R China; [Gong, Xiuqiong; Zhou, Yang] Shanghai Ocean Univ, Coll Fisheries &amp; Life Sci, Shanghai, Peoples R China; [Tan, Zhijun] Pilot Natl Lab Marine Sci &amp; Technol Qingdao, Qingdao, Peoples R China</t>
  </si>
  <si>
    <t>Ministry of Agriculture &amp; Rural Affairs; Chinese Academy of Fishery Sciences; Yellow Sea Fisheries Research Institute, CAFS; Shanghai Ocean University; Laoshan Laboratory</t>
  </si>
  <si>
    <t>Tan, ZJ (corresponding author), Chinese Acad Fishery Sci, Yellow Sea Fisheries Res Inst, Key Lab Testing &amp; Evaluat Aquat Prod Safety &amp; Qual, Minist Agr &amp; Rural Affairs, Qingdao, Peoples R China.</t>
  </si>
  <si>
    <t>Shandong Provincial Natural Science Foundation, China [ZR2020MD087]; Agriculture Research System of China [CARS-49]; Central Public-interest Scientific Institution Basal Research Fund, CAFS [2020TD71]</t>
  </si>
  <si>
    <t>Shandong Provincial Natural Science Foundation, China(Natural Science Foundation of Shandong Province); Agriculture Research System of China; Central Public-interest Scientific Institution Basal Research Fund, CAFS</t>
  </si>
  <si>
    <t>The present study was funded by the Shandong Provincial Natural Science Foundation, China (ZR2020MD087), Agriculture Research System of China the earmarked fund for CARS (CARS-49) and Central Public-interest Scientific Institution Basal Research Fund, CAFS (2020TD71). We thank LetPub ( www.letpub.com ) for linguistic assistance and pre-submission expert review.</t>
  </si>
  <si>
    <t>10.1016/j.scitotenv.2024.170341</t>
  </si>
  <si>
    <t>JN0C6</t>
  </si>
  <si>
    <t>WOS:001173719400001</t>
  </si>
  <si>
    <t>Sangsawang, A; Kovitvadhi, U; Clearwater, SJ; Kovitvadhi, S; Satapornvanit, K; Thompson, K</t>
  </si>
  <si>
    <t>Sangsawang, Akkarasiri; Kovitvadhi, Uthaiwan; Clearwater, Susan J.; Kovitvadhi, Satit; Satapornvanit, Kriengkrai; Thompson, Karen</t>
  </si>
  <si>
    <t>Acute toxicity of chlorpyrifos and carbosulfan to glochidia of the freshwater mussel Hyriopsis bialata Simpson, 1900</t>
  </si>
  <si>
    <t>Freshwater mussels; Glochidia; Carbosulfan; Chlorpyrifos; Hardness</t>
  </si>
  <si>
    <t>PEARL MUSSEL; LAMPSILIS-SILIQUOIDEA; COPPER; JUVENILES; AMMONIA; ORGANOPHOSPHATE; FORMULATIONS; IMBECILLIS; PESTICIDE; UNIONIDAE</t>
  </si>
  <si>
    <t>The acute toxicity of carbosulfan and chlorpyrifos in formulated pesticides to glochidia (larvae) of the freshwater mussel (Hyriopsis bialata Simpson, 1900) was evaluated under static conditions in moderately hard dechlorinated tap water. Measured pesticide concentrations were 26 to 34% lower than nominal concentrations; therefore, all results are expressed in terms of measured active ingredient. Carbosulfan was relatively non-toxic to the mussel larvae with median effective concentrations (EC50) of carbosulfan at 24 and 48 h greater than 0.10 mg/L. The EC(50)s of chlorpyrifos at 24 and 48 h were 0.083 and 0.078 mg/L, respectively (measured concentrations). The 48-h EC50 of a combined exposure to a mixture of chlorpyrifos and carbosulfan at a constant ratio of 2.9:1 was 0.0142:0.049 mg CP:CB/L. In a separate experiment, the effect of water hardness on carbosulfan, chlorpyrifos, or a combined exposure was assessed using glochidia exposed to either soft, moderately hard, or hard reconstituted water. There was no effect of water hardness on the survival of glochidia after 24- or 48-h exposure to carbosulfan. The chlorpyrifos 48-h EC(50)s in soft water, moderately hard water, and hard water were 0.18, 0.11, and 0.16 mg/L, respectively. The data indicate that the lowest water hardness resulted in the highest survival of glochidia, whereas an increase to moderate water hardness resulted in significantly decreased survival of glochidia (F = 15.5, P &lt; 0.05). The EC(50)s of a combined exposure at 48 h in soft water, moderately hard water, and hard water were 0.124:0.044, 0.132:0.047, and 0.064:0.022 mg CP:CB/L, respectively. The data indicate that the combined toxicity was lowest at low and moderate water hardness, whereas an increase to high water hardness resulted in a significantly decreased survival of glochidia. After 48 h, the toxicity of the combined chlorpyrifos and carbosulfan exposure in soft and hard water was greater than that of chlorpyrifos alone.</t>
  </si>
  <si>
    <t>[Sangsawang, Akkarasiri; Kovitvadhi, Uthaiwan] Kasetsart Univ, Fac Sci, Dept Zool, Bangkok 10900, Thailand; [Clearwater, Susan J.; Thompson, Karen] Natl Inst Water &amp; Atmospher Res Ltd, Hamilton 11115, New Zealand; [Kovitvadhi, Satit] Bansomdejchaopraya Rajabhat Univ, Fac Sci &amp; Technol, Dept Agr, Bangkok 10600, Thailand; [Satapornvanit, Kriengkrai] Kasetsart Univ, Fac Fisheries, Dept Fishery Biol, Bangkok 10900, Thailand</t>
  </si>
  <si>
    <t>Kasetsart University; National Institute of Water &amp; Atmospheric Research (NIWA) - New Zealand; Bansomdejchaopraya Rajabhat University; Ministry of Agriculture &amp; Cooperatives - Thailand; Kasetsart University</t>
  </si>
  <si>
    <t>Kovitvadhi, U (corresponding author), Kasetsart Univ, Fac Sci, Dept Zool, Bangkok 10900, Thailand.;Clearwater, SJ (corresponding author), Natl Inst Water &amp; Atmospher Res Ltd, Hamilton 11115, New Zealand.</t>
  </si>
  <si>
    <t>fsciutk@ku.ac.th; sue.clearwater@niwa.co.nz</t>
  </si>
  <si>
    <t>SATAPORNVANIT, KRIENGKRAI/JXL-3073-2024</t>
  </si>
  <si>
    <t>Satapornvanit, Kriengkrai/0000-0002-8552-0181</t>
  </si>
  <si>
    <t>Graduate School (Kasetsart University); Department of Zoology (Faculty of Science, Kasetsart University); Faculty of Science (Kasetsart University)</t>
  </si>
  <si>
    <t>The research was a part of the project grant provided by the Development and Promotion of Science and Technology Talents Project, Graduate School (Kasetsart University), Department of Zoology (Faculty of Science, Kasetsart University), and the Faculty of Science (Kasetsart University). We thank Mrs. Pakasinee Klaimala, Science Research and Development, Department of Agriculture, Thailand, for her advice on the toxicant database.</t>
  </si>
  <si>
    <t>10.1007/s11356-017-9759-x</t>
  </si>
  <si>
    <t>FF5OC</t>
  </si>
  <si>
    <t>WOS:000409040700047</t>
  </si>
  <si>
    <t>Mouneyrac, C; Berthet, B; Amiard, JC</t>
  </si>
  <si>
    <t>Cd distribution in the tissues of oysters (Crassostrea gigas) exposed chronically in situ</t>
  </si>
  <si>
    <t>Cd; Cd-binding; gel permeation; in situ contamination; molecular compounds; oyster</t>
  </si>
  <si>
    <t>CADMIUM-BINDING PROTEINS; MYTILUS-EDULIS; METALLOTHIONEIN; GALLOPROVINCIALIS; ACCUMULATION; ABSORPTION; INDUCTION; GILLS; FOOD</t>
  </si>
  <si>
    <t>This study was designed to monitor the evolution of the nature of Cd-binding molecular compounds in oysters transplanted from a low-contaminated area to a highly Cd-polluted site. These compounds have been compared to those found in oysters from the low-contaminated site, used as control, and from the native molluscs of the polluted area. We have also studied the influence of the length of exposure, collecting oysters after transplantation having been going on for 1 or 3 months. We have compared the quantities of Cd bound to soluble or insoluble compounds. The Cd distribution among cytosolic compounds was analyzed by gel permeation. Four classes of Cd-binding molecular compounds were separated and their relative significance in metal fixation was found to differ among resident and transplanted oysters.</t>
  </si>
  <si>
    <t>IRFA, IEA, F-49008 Angers 01, France; ICES, F-85017 La Roche Sur Yvon, France; Univ Nantes, ISOMer, Serv Ecotoxicol, CNRS,EP 61, F-44035 Nantes, France</t>
  </si>
  <si>
    <t>Mouneyrac, C (corresponding author), IRFA, IEA, 3 Pl Andre Leroy,BP 808, F-49008 Angers 01, France.</t>
  </si>
  <si>
    <t>10.1023/A:1005058915408</t>
  </si>
  <si>
    <t>202AE</t>
  </si>
  <si>
    <t>WOS:000080629300012</t>
  </si>
  <si>
    <t>Wan, Q; Liu, MY; Xie, YL; Tian, JW; Huang, Q; Deng, FJ; Mao, LC; Zhang, QS; Zhang, XY; Wei, Y</t>
  </si>
  <si>
    <t>Wan, Qing; Liu, Meiying; Xie, Yili; Tian, Jianwen; Huang, Qiang; Deng, Fengjie; Mao, Liucheng; Zhang, Qingsong; Zhang, Xiaoyong; Wei, Yen</t>
  </si>
  <si>
    <t>Facile and highly efficient fabrication of graphene oxide-based polymer nanocomposites through mussel-inspired chemistry and their environmental pollutant removal application</t>
  </si>
  <si>
    <t>FUNCTIONALIZED CARBON NANOTUBES; METHYLENE-BLUE REMOVAL; OIL-WATER SEPARATION; HEAVY-METAL IONS; DYE WASTE-WATER; CONGO-RED; ACTIVATED CARBON; AQUEOUS-SOLUTION; ADSORPTION CHARACTERISTICS; SELECTIVE REMOVAL</t>
  </si>
  <si>
    <t>Graphene oxide (GO)-based polymer nanocomposites were fabricated in aqueous solution via a novel strategy combination of mussel-inspired chemistry and Michael addition reaction. These GO-based polymer nanocomposites were used as efficient absorbents for the removal of organic dyes methylene blue (MB) from the aqueous solution. The successful preparation of GO-based polymer nanocomposites (GO-PDA-PSPSH) was confirmed by a number of characterization techniques in detail. Furthermore, a series of influential factors such as contact time, initial solution pH, and temperature were investigated and optimized. The optimal adsorption time of GO-PDA-PSPSH nanocomposites toward MB was 58 min. The maximum adsorption efficiency was occurred at pH 7. On the other hand, accompanying with the elevation of temperature, removal efficiency of GO-PDA-PSPSH nanocomposites was significantly increased, indicating that the adsorption process of MB by GO-PDA-PSPSH nanocomposites was endothermic. More importantly, the adsorption capability of GO-PDA-PSPSH nanocomposites was obviously greater than many other GO-based nanocomposites. Taken together, we have developed a facile biomimetic strategy for the preparation of GO-based polymer nanocomposites, which showed excellent adsorption capability toward MB and are promising for environmental adsorption applications.</t>
  </si>
  <si>
    <t>[Wan, Qing; Liu, Meiying; Xie, Yili; Tian, Jianwen; Huang, Qiang; Deng, Fengjie; Mao, Liucheng; Zhang, Xiaoyong] Nanchang Univ, Dept Chem, 999 Xuefu Ave, Nanchang 330031, Peoples R China; [Wan, Qing; Liu, Meiying; Xie, Yili; Tian, Jianwen; Huang, Qiang; Deng, Fengjie; Mao, Liucheng; Zhang, Xiaoyong] Nanchang Univ, Jiangxi Prov Key Lab New Energy Chem, 999 Xuefu Ave, Nanchang 330031, Peoples R China; [Zhang, Qingsong; Wei, Yen] Tsinghua Univ, Dept Chem, Beijing 100084, Peoples R China; [Zhang, Qingsong; Wei, Yen] Tsinghua Univ, Tsinghua Ctr Frontier Polymer Res, Beijing 100084, Peoples R China</t>
  </si>
  <si>
    <t>Nanchang University; Nanchang University; Tsinghua University; Tsinghua University</t>
  </si>
  <si>
    <t>Zhang, XY (corresponding author), Nanchang Univ, Dept Chem, 999 Xuefu Ave, Nanchang 330031, Peoples R China.;Zhang, XY (corresponding author), Nanchang Univ, Jiangxi Prov Key Lab New Energy Chem, 999 Xuefu Ave, Nanchang 330031, Peoples R China.</t>
  </si>
  <si>
    <t>Wei, Yen/H-5329-2012; zhang, xiaoyong/D-9539-2011; Zhang, Qingsong/N-3066-2019; liu, meiying/H-7762-2013; Qiang, Huang/F-6265-2015</t>
  </si>
  <si>
    <t>This research was supported by the National Natural Science Foundation of China (Nos. 51363016, 21474057, 21564006, 21561022) and the National 973 Project (No. 2011CB935700).</t>
  </si>
  <si>
    <t>10.1007/s10853-016-0349-y</t>
  </si>
  <si>
    <t>EA7CL</t>
  </si>
  <si>
    <t>WOS:000386785600042</t>
  </si>
  <si>
    <t>Quelle, C; Besada, V; Andrade, JM; Gutiérrez, N; Schultze, F; Gago, J; González, JJ</t>
  </si>
  <si>
    <t>Quelle, Cristina; Besada, Victoria; Manuel Andrade, Jose; Gutierrez, Noemi; Schultze, Fernando; Gago, Jesus; Jose Gonzalez, Juan</t>
  </si>
  <si>
    <t>Chemometric tools to evaluate the spatial distribution of trace metals in surface sediments of two Spanish rias</t>
  </si>
  <si>
    <t>Ria; Trace metals; Sediments; Classification trees; Self-organizing maps; Procrustes rotation</t>
  </si>
  <si>
    <t>MUSSELS MYTILUS-GALLOPROVINCIALIS; SIMON BAY RIA; HEAVY-METALS; NW SPAIN; CHEMICAL CONCENTRATIONS; SUBTIDAL SEDIMENTS; VIGO-RIA; DE-VIGO; CONTAMINATION; MARINE</t>
  </si>
  <si>
    <t>A suite of relevant trace metals (Hg, Pb, Cd, Cu, Zn and Ni) was measured in surface sediment samples to assess the environmental situation of the largest two Atlantic Spanish 'rias' (a form of estuaries, ria of Pontevedra, ROP, and ria of Vigo, ROV).The level of contamination originated by these metals was assessed against international guidelines, the threshold effect. ERL, and the midrange effect, ERM. Six unsupervised and supervised multivariate chemometric techniques were applied to model each ria, compare them and select those metals that characterize the samples. This is first time that such a study is performed for these two important seafood-producing areas. Maximum concentrations at ROP occurred in the vicinities of an inner island, where Cu, Zn, Ni and Pb presented concentrations over the ERL and Hg over the ERM. Highest concentrations of metals in ROV were observed in the proximities of Vigo shipyards and port, except for Pb, with peak values in San Simon Bay. ERL limits were exceeded in the inner part of this ria for Cu, Zn and Hg and in a wider area for Pb and Ni. Levels for Pb went beyond the ERM boundary in the axial part of San Simon Bay. In general, the distribution of the metals was more homogeneous in ria of Pontevedra than in ria of Vigo (where three morphological zones were characterized). Both rias could be differentiated using only two metals: Ni and Hg, as deduced from the multivariate techniques. 0 2011 Elsevier B.V. All rights reserved.</t>
  </si>
  <si>
    <t>[Manuel Andrade, Jose; Gutierrez, Noemi] Univ A Coruna, Dept Analyt Chem, E-15008 Corunna, Spain; [Quelle, Cristina; Besada, Victoria; Schultze, Fernando; Gago, Jesus; Jose Gonzalez, Juan] Ctr Oceanograf Vigo, IEO, Vigo 36390, Spain; [Gago, Jesus] European Commiss DG ENV, Marine Environm &amp; Water Ind, B-1160 Brussels, Belgium</t>
  </si>
  <si>
    <t>Andrade, JM (corresponding author), Univ A Coruna, Dept Analyt Chem, Campus Zapateira, E-15008 Corunna, Spain.</t>
  </si>
  <si>
    <t>andrade@udc.es</t>
  </si>
  <si>
    <t>Andrade-Garda, Jose/M-6247-2018; Castellon Gonzalez, Juan Jose/AAF-4732-2020; Besada, Victoria/H-4532-2015; Gago, Jesus/N-6786-2019</t>
  </si>
  <si>
    <t>Besada, Victoria/0000-0003-2039-6498; Gago, Jesus/0000-0003-0188-9844; Andrade-Garda, Jose Manuel/0000-0003-1020-5213</t>
  </si>
  <si>
    <t>Institut Espanol de Oceanografia (IEO); 'Direccion Xeral de Investigacion, Desenvolvemento e Innovacion' of the 'Conselleria de Innovacion e lndustria'</t>
  </si>
  <si>
    <t>This study was financed by the Institut Espanol de Oceanografia (IEO) and performed within its Marine Pollution Program. The authors thank the crew of the R/V Jose Maria Navaz and the technical staff for their contribution to the collection and preparation of the samples. Cristina Quelle thanks the 'Direccion Xeral de Investigacion, Desenvolvemento e Innovacion' of the 'Conselleria de Innovacion e lndustria' for a 'Isabel Barreto' Grant, within the Human Resources Program of the 'Xunta de Galicia'.</t>
  </si>
  <si>
    <t>10.1016/j.talanta.2011.09.062</t>
  </si>
  <si>
    <t>867KE</t>
  </si>
  <si>
    <t>WOS:000298452500029</t>
  </si>
  <si>
    <t>Morrison, L; Baumann, HA; Stengel, DB</t>
  </si>
  <si>
    <t>Morrison, Liam; Baumann, Hans A.; Stengel, Dagmar B.</t>
  </si>
  <si>
    <t>An assessment of metal contamination along the Irish coast using the seaweed Ascophyllum nodosum (Fucales, Phaeophyceae)</t>
  </si>
  <si>
    <t>metal contamination; biomonitoring; seaweeds; intertidal sediments; lithium normalised; baseline</t>
  </si>
  <si>
    <t>HEAVY-METALS; MARINE-ALGAE; TRACE-METALS; SEASONAL-VARIATION; FUCUS-VESICULOSUS; WESTERN IRELAND; THERMAIKOS GULF; MYTILUS-EDULIS; COMMON MUSSEL; ULVA-RIGIDA</t>
  </si>
  <si>
    <t>The relative abundance and variation of Cr, Co, Cd and Pb in Ascophyllum nodosum and intertidal surface sediments from six locations around the coast were assessed over six seasons. Higher Cd and Pb levels in Galway Docks and Cork Harbour were attributed to localised inputs of these metals from municipal and domestic waste, while at a reference site (Ballyconneely), high algal Cr concentrations were considered a function of geological setting rather than anthropogenic loading. Little seasonal variation was observed, with the exception of higher Co levels in plants in winter, associated with growth dynamics and increased fluvial inputs. In comparison with previously published data for metals in A. nodosum from the North Atlantic, with the exception of localised hot spots, the Irish coastline is still a relatively pristine environment. A. nodosum may be successfully and easily used as a biomonitor of metal contamination in coastal waters. (C) 2007 Elsevier Ltd. All rights reserved.</t>
  </si>
  <si>
    <t>[Morrison, Liam; Baumann, Hans A.; Stengel, Dagmar B.] Natl Univ Ireland Univ Coll Galway, Martin Ryan Inst, Dept Bot, Galway, Ireland; [Morrison, Liam; Baumann, Hans A.; Stengel, Dagmar B.] Natl Univ Ireland Univ Coll Galway, Environm Change Inst, Galway, Ireland</t>
  </si>
  <si>
    <t>Ollscoil na Gaillimhe-University of Galway; Ollscoil na Gaillimhe-University of Galway</t>
  </si>
  <si>
    <t>Morrison, L (corresponding author), Natl Univ Ireland Univ Coll Galway, Martin Ryan Inst, Dept Bot, Galway, Ireland.</t>
  </si>
  <si>
    <t>liam.morrison@nuigalway.ie</t>
  </si>
  <si>
    <t>Stengel, Dagmar/AAG-6393-2019</t>
  </si>
  <si>
    <t>Stengel, Dagmar/0000-0001-5871-9550</t>
  </si>
  <si>
    <t>10.1016/j.envpol.2007.06.052</t>
  </si>
  <si>
    <t>288EE</t>
  </si>
  <si>
    <t>WOS:000254968200005</t>
  </si>
  <si>
    <t>Littman, RA; Fiorenza, EA; Wenger, AS; Berry, KLE; van de Water, JAJM; Nguyen, L; Aung, ST; Parker, DM; Rader, DN; Harvell, CD; Lamb, JB</t>
  </si>
  <si>
    <t>Littman, Raechel A.; Fiorenza, Evan A.; Wenger, Amelia S.; Berry, Kathryn L. E.; van de Water, Jeroen A. J. M.; Nguyen, Lily; Aung, Soe Tint; Parker, Daniel M.; Rader, Douglas N.; Harvell, C. Drew; Lamb, Joleah B.</t>
  </si>
  <si>
    <t>Coastal urbanization influences human pathogens and microdebris contamination in seafood</t>
  </si>
  <si>
    <t>Bioindicator; Microplastic; Pathogenic bacteria; Seafood contamination; Urbanization; Water quality</t>
  </si>
  <si>
    <t>PERSISTENT ORGANIC POLLUTANTS; MICROPLASTIC INGESTION; BACTERIAL PATHOGENS; NEPHROPS-NORVEGICUS; MARINE-ENVIRONMENT; OYSTERS; POLLUTION; HEALTH; IDENTIFICATION; EPIDEMIOLOGY</t>
  </si>
  <si>
    <t>Seafood is one of the leading imported products implicated in foodborne outbreaks worldwide. Coastal marine environments are being increasingly subjected to reduced water quality from urbanization and leading to contamination of important fishery species. Given the importance of seafood exchanged as a global protein source, it is imperative to maintain seafood safety worldwide. To illustrate the potential health risks associated with urbanization in a coastal environment, we use next-generation high-throughput amplicon sequencing of the 16S ribosomal RNA gene combined with infrared spectroscopy to characterize and quantify a vast range of potential human bacterial pathogens and microdebris contaminants in seawater, sediment and an important oyster fishery along the Mergui Archipelago in Myanmar. Through the quantification of &gt;1.25 million high-quality bacterial operational taxonomic unit (OTU) reads, we detected 5459 potential human bacterial pathogens belonging to 87 species that are commonly associated with gut micmbiota and an indication of terrestrial runoff of human and agricultural waste. Oyster tissues contained 51% of all sequenced bacterial pathogens that arc considered to be both detrimental and of emerging concern to human health. Using infrared spectroscopy, we examined a total of 1225 individual microdebris particles, from which we detected 78 different types of contaminant materials. The predominant microdebris contaminants recovered from oyster tissues included polymers (48%), followed by non-native minerals (20%), oils (14%) and milk supplement powders (14%). Emerging technologies provide novel insights into the impacts of coastal development on food security and risks to human and environmental health. (C) 2020 Elsevier B.V. All rights reserved.</t>
  </si>
  <si>
    <t>[Littman, Raechel A.; Fiorenza, Evan A.; Nguyen, Lily; Lamb, Joleah B.] Univ Calif Irvine, Dept Ecol &amp; Evolutionary Biol, Irvine, CA 92717 USA; [Wenger, Amelia S.] Univ Queensland, Sch Earth &amp; Environm Sci, Brisbane, Qld, Australia; [Berry, Kathryn L. E.] James Cook Univ, Coll Sci &amp; Engn, Townsville, Qld, Australia; [van de Water, Jeroen A. J. M.] Ctr Sci Monaco, Dept Marine Biol, Monaco, Monaco; [Nguyen, Lily] Univ Calif Irvine, Dept Mech Engn, Irvine, CA 92717 USA; [Aung, Soe Tint] Fauna &amp; Flora Int, Marine Program, Yangon, Myanmar; [Parker, Daniel M.] Univ Calif Irvine, Dept Epidemiol, Dept Populat Hlth &amp; Dis Prevent, Irvine, CA USA; [Rader, Douglas N.] Environm Def Fund, Oceans Program, New York, NY USA; [Harvell, C. Drew] Cornell Univ, Dept Ecol &amp; Evolutionary Biol, New York, NY USA</t>
  </si>
  <si>
    <t>University of California System; University of California Irvine; University of Queensland; James Cook University; University of California System; University of California Irvine; University of California System; University of California Irvine; Environmental Defense Fund; Cornell University</t>
  </si>
  <si>
    <t>Lamb, JB (corresponding author), Univ Calif Irvine, Dept Ecol &amp; Evolutionary Biol, Irvine, CA 92717 USA.</t>
  </si>
  <si>
    <t>joleah.lamb@uci.edu</t>
  </si>
  <si>
    <t>Wenger, Amelia/S-9135-2019; Parker, Daniel/B-5471-2013; Fiorenza, Evan/AAN-1069-2020; Lamb, Joleah/D-1994-2018; van de Water, Jeroen/F-1302-2011</t>
  </si>
  <si>
    <t>Lamb, Joleah/0000-0002-7005-9994; Fiorenza, Evan/0000-0002-5421-0148; Wenger, Amelia/0000-0002-0433-6164; Nguyen, Lily/0000-0002-5545-6887; van de Water, Jeroen/0000-0001-6974-2270</t>
  </si>
  <si>
    <t>Atkinson Center for a Sustainable Future at Cornell University; Environmental Defense Fund Innovation for Impact Award</t>
  </si>
  <si>
    <t>This work was supported by the Atkinson Center for a Sustainable Future at Cornell University and the Environmental Defense Fund Innovation for Impact Award to CDH, DNR and JBL. Logistical support in Myanmar was provided by Fauna and Flora International.</t>
  </si>
  <si>
    <t>10.1016/j.scitotenv.2020.139081</t>
  </si>
  <si>
    <t>MA7IY</t>
  </si>
  <si>
    <t>WOS:000542087400001</t>
  </si>
  <si>
    <t>Fernández, B; Albentosa, M</t>
  </si>
  <si>
    <t>Fernandez, Beatriz; Albentosa, Marina</t>
  </si>
  <si>
    <t>Insights into the uptake, elimination and accumulation of microplastics in mussel</t>
  </si>
  <si>
    <t>Microplastics; Marine environment; Mussel; Uptake; Elimination</t>
  </si>
  <si>
    <t>MYTILUS-EDULIS L.; ZINC-OXIDE NANOPARTICLES; PARTICLE SELECTION; SESTON CONCENTRATION; MARINE-ENVIRONMENT; FEEDING-BEHAVIOR; BIVALVE MOLLUSKS; PLASTIC DEBRIS; DAPHNIA-MAGNA; BLUE MUSSEL</t>
  </si>
  <si>
    <t>The majority of plastics present in the marine environment are microplastics (MPs, &lt;5 mm). Suspension filter feeders are susceptible species to MPs ingestion. Once ingested MPs can be eliminated packed in fecal pellets, or they can be accumulated within tissues, and likely be transferred along the food web. The research on MPs is hampered by the difficulty on their quantification and the lack of standardized methodologies. Indeed, limited information exits about the capacity of marine organisms to ingest, accumulate and eliminate MPs. In this work we investigated the uptake, elimination and accumulation of MPs (irregularly shaped particles of high density polyethylene, &lt;= 22 mu m) in mussel. Mussels were exposed to two concentrations of MPs (2 and 4 mm(3) l(-1)), and their uptake, elimination and accumulation in digestive gland was investigated. The results showed that the uptake of MPs increased at the high concentration tested, and that mussels cleared MPs at the same extent than a food item (microalgae) of similar size. Small MPs (2-4 mu m) were less efficiently cleared than the larger ones. Large MPs (&gt;10 mu m) were faster eliminated than the smaller ones. The global balance showed that after 6 days of depuration mussels eliminated approximate to 85% of the MPs cleared, and that approximate to 2-6% of the MPs cleared remained in the digestive gland, essentially those &lt;6 mu m. We recorded a long retention time for MPs, contrasting with the lower times assumed to be necessary to empty mussel's gut before quantifying MPs. Our study emphasized the gap of knowledge on the feeding behaviour of mussels in relation to MPs, and the necessity to investigate it in different marine species, and under different exposure scenarios. (C) 2019 Elsevier Ltd. All rights reserved.</t>
  </si>
  <si>
    <t>[Fernandez, Beatriz; Albentosa, Marina] IEO, Ctr Oceanog Murcia, Varadero 1, San Pedro Del Pinatar 30740, Spain</t>
  </si>
  <si>
    <t>Fernández, B (corresponding author), IEO, Ctr Oceanog Murcia, Varadero 1, San Pedro Del Pinatar 30740, Spain.</t>
  </si>
  <si>
    <t>bfernandezgalindo@gmail.com</t>
  </si>
  <si>
    <t>; Fernandez, Beatriz/KDN-9121-2024</t>
  </si>
  <si>
    <t>Albentosa, Marina/0000-0003-4771-5137; Fernandez, Beatriz/0000-0002-9594-0366</t>
  </si>
  <si>
    <t>Spanish Institute of Oceanography (IEO) within the EPHEMARE Project: Ecotoxicological Effects of Microplastics in Marine Ecosystems [PCIN-2015-187-C03-01]; Spanish Ministry of Economy and Competitiviness through the 2015-International Joint Planning Accions</t>
  </si>
  <si>
    <t>Spanish Institute of Oceanography (IEO) within the EPHEMARE Project: Ecotoxicological Effects of Microplastics in Marine Ecosystems; Spanish Ministry of Economy and Competitiviness through the 2015-International Joint Planning Accions</t>
  </si>
  <si>
    <t>We acknowledge Francisco Gomez and Soledad Garrido for their technical assistance. We are also grateful for the revision made on our manuscript by the reviewers, which allowed us to substantially improve it. This study was performed in the Spanish Institute of Oceanography (IEO) within the EPHEMARE Project: Ecotoxicological Effects of Microplastics in Marine Ecosystems (PCIN-2015-187-C03-01). IEO funding was supplied by the Spanish Ministry of Economy and Competitiviness through the 2015-International Joint Planning Accions.</t>
  </si>
  <si>
    <t>10.1016/j.envpol.2019.03.037</t>
  </si>
  <si>
    <t>WOS:000471081300035</t>
  </si>
  <si>
    <t>Svendsen, C; Spurgeon, DJ; Hankard, PK; Weeks, JM</t>
  </si>
  <si>
    <t>A review of lysosomal membrane stability measured by neutral red retention: is it a workable earthworm biomarker?</t>
  </si>
  <si>
    <t>3rd International Workshop on Earthworm Ecotoxicology</t>
  </si>
  <si>
    <t>AUG 26-29, 2001</t>
  </si>
  <si>
    <t>UNIV AARHUS, AARHUS, DENMARK</t>
  </si>
  <si>
    <t>UNIV AARHUS</t>
  </si>
  <si>
    <t>neutral red retention; earthworm; workable; validation; soil quality</t>
  </si>
  <si>
    <t>DIGESTIVE CELLS; APORRECTODEA-CALIGINOSA; EXPERIMENTAL EXPOSURE; COPPER EXPOSURE; RESPONSES; MUSSEL; APPLICABILITY; ASSAY; CELOMOCYTES; HEMOCYTES</t>
  </si>
  <si>
    <t>The ability of biomarkers to integrate effects of chemicals on biota has lead to increased calls for their application in assessing the status of polluted ecosystems. In tandem there has been an increase in our knowledge of the ecophysiological responses of keystone species to pollutants, which has allowed the development of a number of promising methods. In contrast to the number of biomarker development studies, the number of biomarker validation studies has remained limited. This paper redresses this imbalance by drawing together data from studies that have used the earthworm lysosomal membrane stability response (measured using the neutral red retention assay). This review first gives a short history of the biomarker's development. Second, it sets published applications of the technique against established criteria for a good biomarker (i.e., dose-response relationship, sensitivity, ecological relevance, confounding factors, chemical specificity, species differences, time-response relationship, methodological concerns, and overall public/regulator confidence, and acceptance). Discussion of the biomarker's suitability to each criterion is followed by an overall evaluation of its workability for routine soil quality assessment and caveats for its use. (C) 2003 Elsevier Inc. All rights reserved.</t>
  </si>
  <si>
    <t>Ctr Ecol &amp; Hydrol, Huntingdon PE28 2LS, Cambs, England</t>
  </si>
  <si>
    <t>UK Centre for Ecology &amp; Hydrology (UKCEH)</t>
  </si>
  <si>
    <t>Ctr Ecol &amp; Hydrol, Monks Wood,Abbotts Ripton, Huntingdon PE28 2LS, Cambs, England.</t>
  </si>
  <si>
    <t>csv@ceh.ac.uk</t>
  </si>
  <si>
    <t>Spurgeon, David/E-9466-2010; Svendsen, Claus/A-1250-2009</t>
  </si>
  <si>
    <t>Spurgeon, David/0000-0003-3264-8760; Svendsen, Claus/0000-0001-7281-647X</t>
  </si>
  <si>
    <t>10.1016/j.ecoenv.2003.08.009</t>
  </si>
  <si>
    <t>758KR</t>
  </si>
  <si>
    <t>WOS:000187634000004</t>
  </si>
  <si>
    <t>Guo, XY; Cai, YP; Ma, CX; Han, LF; Yang, ZF</t>
  </si>
  <si>
    <t>Guo, Xiaoyu; Cai, Yanpeng; Ma, Chuanxin; Han, Lanfang; Yang, Zhifeng</t>
  </si>
  <si>
    <t>Combined toxicity of micro/nano scale polystyrene plastics and ciprofloxacin to Corbicula fluminea in freshwater sediments</t>
  </si>
  <si>
    <t>Ciprofloxacin; Polystyrene microplastic; Sediment; Toxicity; Corbicula fluminea</t>
  </si>
  <si>
    <t>INTEGRATED BIOMARKER RESPONSE; ASIAN CLAM; OXIDATIVE STRESS; FLAME RETARDANTS; MICROPLASTICS; BEHAVIOR; ANTIBIOTICS; RESISTANCE; CADMIUM; MUSSEL</t>
  </si>
  <si>
    <t>Plastic pollution has become a global environmental threat, and its potential to affect the bioavailability and toxicity of pharmaceuticals to aquatic organism are of growing concern. However, little is known regarding the combined toxicity of micro/nano-plastics and pharmaceuticals to benthic organisms in sediments. Thus, we employed a freshwater benthic bivalve, Corbicula fluminea (C. fluminea), to investigate the individual and co-toxicity of model plastics, microscopic fluorescent polystyrene (PS) (PS nano-plastic (PS-NP) and PS micro-plastic (PS-MP), 80 nm and 6 mu m, respectively) and the common antibiotic ciprofloxacin (CIP) in formulated sediments. Our results suggest that oxidative damage and neurotoxicity were confirmed to occur in C. fluminea in all the treatments. The oxidative damage in the digestive glands reduced the clam ability to scavenge free radicals, causing severe tissue damage to the digestive glands of C. fluminea. Filtration rates of C. fluminea were significantly decreased in a concentration-dependent manner across all the treatments, which might be due to the inhibition of acetylcholinesterase activities. Interactions between CIP and micro/nano-plastic were observed, whereby the presence of PS decreased the toxicity of CIP in the digestive glands but aggravated the C. fluminea siphoning inhibition rate in the nano-plastic co-treatments group; in addition, the CIP toxicity to C. fluminea de-creased because that the concentration of free dissolved CIP was lowered by micro/nano-PS. Taken together, the current study could contribute greatly to evaluating the ecological risk of CIP and PS in aquatic environments and sheds light on potential issues of food safety caused by both emerging pollutants. (c) 2021 Published by Elsevier B.V.</t>
  </si>
  <si>
    <t>[Guo, Xiaoyu; Cai, Yanpeng; Ma, Chuanxin; Han, Lanfang; Yang, Zhifeng] Guangdong Univ Technol, Inst Environm &amp; Ecol Engn, Guangdong Prov Key Lab Water Qual Improvement &amp; E, Guangzhou 510006, Peoples R China; [Guo, Xiaoyu; Cai, Yanpeng; Ma, Chuanxin; Han, Lanfang; Yang, Zhifeng] Southern Marine Sci &amp; Engn Guangdong Lab Guangzho, Guangzhou 511458, Peoples R China</t>
  </si>
  <si>
    <t>Guangdong University of Technology; Southern Marine Science &amp; Engineering Guangdong Laboratory; Southern Marine Science &amp; Engineering Guangdong Laboratory (Guangzhou)</t>
  </si>
  <si>
    <t>Yang, ZF (corresponding author), Guangdong Univ Technol, Inst Environm &amp; Ecol Engn, Guangdong Prov Key Lab Water Qual Improvement &amp; E, Guangzhou 510006, Peoples R China.</t>
  </si>
  <si>
    <t>zfyang@gdut.edu.cn</t>
  </si>
  <si>
    <t>Ma, Chuanxin/AFO-5267-2022; Guo, Xiaoyu/G-2635-2018; Yang, Zhifeng/AAB-8803-2022</t>
  </si>
  <si>
    <t>Ma, Chuanxin/0000-0001-5125-7322</t>
  </si>
  <si>
    <t>Program for Guangdong Introducing Innovative and Entrepreneurial Teams [2019ZT08L213]; National Natural Science Foundation of China [42007368]; Natural Science Foundation of Guangdong Province [2021A1515011863]</t>
  </si>
  <si>
    <t>Program for Guangdong Introducing Innovative and Entrepreneurial Teams; National Natural Science Foundation of China(National Natural Science Foundation of China (NSFC)); Natural Science Foundation of Guangdong Province(National Natural Science Foundation of Guangdong Province)</t>
  </si>
  <si>
    <t>This work was supported by the Program for Guangdong Introducing Innovative and Entrepreneurial Teams (2019ZT08L213), the National Natural Science Foundation of China (42007368) and the Natural Science Foundation of Guangdong Province (2021A1515011863).</t>
  </si>
  <si>
    <t>10.1016/j.scitotenv.2021.147887</t>
  </si>
  <si>
    <t>TP4FG</t>
  </si>
  <si>
    <t>WOS:000677549900003</t>
  </si>
  <si>
    <t>Khessiba, A; Roméo, M; Aïssa, P</t>
  </si>
  <si>
    <t>Effects of some environmental parameters on catalase activity measured in the mussel (Mytilus galloprovincialis) exposed to lindane</t>
  </si>
  <si>
    <t>biomarker; catalase; mussel; lindane</t>
  </si>
  <si>
    <t>OXIDATIVE STRESS; BIOMARKERS; TRANSPLANTATION; RESPONSES; SALINITY; COPPER; FISH</t>
  </si>
  <si>
    <t>Mussels (Mytilus galloprovincialis), collected from the Bizerta lagoon, were acclimated for four days to various conditions of temperature, salinity, photoperiod and food supply and then exposed to lindane at a concentration of 40 mug l(-1). Catalase activity, which is a biomarker of exposure to an oxidative stress, was measured in the whole soft tissues of control and assay groups. In control mussels, high temperature, high salinity and light duration significantly increased catalase activity whereas this activity decreased when food, composed of freeze-dried, algae was available. When mussels were treated with lindane, catalase activities were higher than in controls. This increase was significant with temperature, salinity and light duration. The food supply did not change catalase activity, which was always higher compared to controls. Oxidative stress was shown in mussels exposed to lindane. The results highlight the need of considering abiotic parameters in biomonitoring studies, and especially when using catalase as a biomarker. (C) 2004 Elsevier Ltd. All rights reserved.</t>
  </si>
  <si>
    <t>Fac Sci, UNSA, INRA, UMR 1112, F-06108 Nice, France; Fac Sci Bizerte, Unite Ecol Cotiere, Lab Biosurveillance Environm, Zarzouna 7021, Tunisia</t>
  </si>
  <si>
    <t>Fac Sci, UNSA, INRA, UMR 1112, BP 71, F-06108 Nice, France.</t>
  </si>
  <si>
    <t>10.1016/j.envpol.2004.05.035</t>
  </si>
  <si>
    <t>876XX</t>
  </si>
  <si>
    <t>WOS:000225533200009</t>
  </si>
  <si>
    <t>Negishi, JN; Katsuki, K; Kume, M; Nagayama, S; Kayaba, Y</t>
  </si>
  <si>
    <t>Negishi, Junjiro N.; Katsuki, Kotaro; Kume, Manabu; Nagayama, Shigeya; Kayaba, Yuichi</t>
  </si>
  <si>
    <t>Terrestrialization alters organic matter dynamics and habitat quality for freshwater mussels (Unionoida) in floodplain backwaters</t>
  </si>
  <si>
    <t>molluscs; benthic detritus; stable isotopes; seston; flood pulse</t>
  </si>
  <si>
    <t>CARBON-ISOTOPE RATIOS; HYDROLOGICAL CONNECTIVITY; RIVER-FLOODPLAIN; FOOD-WEB; STABLE-ISOTOPES; STREAM; FLOW; CONSERVATION; COMMUNITIES; ASSEMBLAGES</t>
  </si>
  <si>
    <t>Anthropogenically induced reduction in flood inundation frequency often leads to terrestrialisation, which accompanies establishment and expansions of tree cover on areas formerly with little or no trees. We tested hypotheses that terrestrialisation degrades habitat for freshwater mussels (Unionoida: Unio douglasiae nipponensis and Lanceolaria grayana) by changing the organic matter (OM) dynamics in floodplain backwaters. Stable isotope composition of seston, periphyton, fine and coarse benthic particulate OM (FBPOM and CBPOM) and mussel tissues was measured to understand OM dynamics and food webs in 14 backwaters in the middle segment of the Kiso River, Japan. Isotope ratios, C:N ratio and chlorophyll a as a proxy of food resource characteristics and the frequency of hypoxia were related to mussel growth rates. delta C-13 of seston, periphyton and FBPOM was low at sites with lower inundation frequency (a greater degree of terrestrialisation), whereas such a trend was not observed for CBPOM (i.e. riparian leaf litter). Mussels fed exclusively on seston or mixtures of seston and periphyton with their delta C-13 tracking fluctuations in food resources. Sestonic delta C-13 differences were attributed to changes in dominant carbon origin from predominantly river-borne to autochthonous sources, while periphytic delta C-13 differences were possibly caused by a varying level of dependence on respiratory CO2. FBPOM-delta C-13 differences were associated with a greater contribution of CBPOM to the FBPOM pool in infrequently flooded backwaters. Variability in mussel growth was more closely related to hypoxia than food resource characteristics. We inferred that terrestrialisation changes quality of seston and benthic detritus and degrades habitat conditions largely by accumulating riparian leaf litter in the benthic detrital pool and increasing the frequency of hypoxia. The removal of riparian trees may temporarily improve habitat condition in backwaters heavily affected by terrestrialisation. However, ecological integrity in the long run requires the recovery of the process that suppresses terrestrialisation, which includes restoration of incised channels and flood pulses.</t>
  </si>
  <si>
    <t>[Negishi, Junjiro N.; Katsuki, Kotaro] Hokkaido Univ, Fac Environm Earth Sci, Sapporo, Hokkaido 0600810, Japan; [Negishi, Junjiro N.; Kume, Manabu; Nagayama, Shigeya; Kayaba, Yuichi] Publ Works Res Inst, Aqua Restorat Res Ctr, Gifu, Japan</t>
  </si>
  <si>
    <t>Hokkaido University; PWRI: Public Works Research Institute</t>
  </si>
  <si>
    <t>Negishi, JN (corresponding author), Hokkaido Univ, Fac Environm Earth Sci, N10W5, Sapporo, Hokkaido 0600810, Japan.</t>
  </si>
  <si>
    <t>negishi@ees.hokudai.ac.jp</t>
  </si>
  <si>
    <t>Kume, Manabu/AAI-7926-2020; Nagayama, Shigeya/HPG-7065-2023</t>
  </si>
  <si>
    <t>Kume, Manabu/0000-0001-7287-029X</t>
  </si>
  <si>
    <t>Global COE program of MEXT at Hokkaido University; Ministry of Environment, Japan (Pollution Control Research Fund); [23248021]; Grants-in-Aid for Scientific Research [23248021] Funding Source: KAKEN</t>
  </si>
  <si>
    <t>Global COE program of MEXT at Hokkaido University; Ministry of Environment, Japan (Pollution Control Research Fund); ; Grants-in-Aid for Scientific Research(Ministry of Education, Culture, Sports, Science and Technology, Japan (MEXT)Japan Society for the Promotion of ScienceGrants-in-Aid for Scientific Research (KAKENHI))</t>
  </si>
  <si>
    <t>We thank the Global COE program of MEXT at Hokkaido University and the Ministry of Environment, Japan (Pollution Control Research Fund), for funding the research. Logistical support was provided by staff of the Area Restoration Research Center. Hideyuki Doi and Masao Minagawa provided valuable comments on an earlier manuscript. We are also indebted to two anonymous reviewers whose comments greatly improved the paper. This work was also supported by a Grant-in-Aid for Scientific Research (A) (23248021) provided to JNN.</t>
  </si>
  <si>
    <t>10.1111/fwb.12325</t>
  </si>
  <si>
    <t>AE1AV</t>
  </si>
  <si>
    <t>WOS:000333698500011</t>
  </si>
  <si>
    <t>Andrade, M; De Marchi, L; Soares, AMVM; Rocha, RJM; Figueira, E; Freitas, R</t>
  </si>
  <si>
    <t>Andrade, Madalena; De Marchi, Lucia; Soares, Amadeu M. V. M.; Rocha, Rui J. M.; Figueira, Etelvina; Freitas, Rosa</t>
  </si>
  <si>
    <t>Are the effects induced by increased temperature enhanced in Mytilus galloprovincialis submitted to air exposure?</t>
  </si>
  <si>
    <t>Mussels; Temperature increase; Oxidative stress; Metabolism; Tidal regime</t>
  </si>
  <si>
    <t>OXIDATIVE STRESS; SEAWATER ACIDIFICATION; BIOCHEMICAL RESPONSES; MEDITERRANEAN MUSSEL; DIGESTIVE GLAND; THERMAL-STRESS; SALINITY; POLLUTION; HYPOXIA; ASSAY</t>
  </si>
  <si>
    <t>Intertidal mussel species are frequently exposed to changes of environmental parameters related to tidal regimes that include a multitude of stressors that they must avoid or tolerate by developing adaptive strategies. In particular, besides air exposure during low tides, intertidal mussels are also subjected to warming and, consequently, to higher risk of desiccation. However, scarce information is available regarding the responses of mussels to tidal regimes, particularly in the presence of other stressors such as increased temperature. Investigating the impacts of such combination of conditions will allow to understand the possible impacts that both factors interaction may generate to these intertidal organisms. To this end, the present study evaluated the impacts of different temperatures (18 degrees C and 21 degrees C) on Mytilus galloprovincialis when continuously submersed or exposed to a tidal regime for 14 days. Results showed that in mussels exposed to increased temperature under submersion conditions, the stress induced was enough to activate mussels' antioxidant defenses (namely glutathione peroxidase, GPx), preventing oxidative damage (lipid peroxidation, LPO; protein carbonylation, PC). In mussels exposed to tides at control temperature, metabolic capacity increased (electron transport system activity, ETS), and GPx was induced, despite resulting in increased LPO levels. Moreover, the combination of tides and temperature increase led to a significant decrease of lipid (LIP) content, activation of antioxidant defenses (superoxide dismutase, SOD; GPx) and increase of oxidized glutathione (GSSG), despite these mechanisms were not sufficient to prevent increased cellular damage. Therefore, the combination of increased temperature and air exposure induced higher oxidative stress inmussels. These findings indicate that increasing globalwarming could be more impacting to intertidal organisms compared to organisms continuously submersed. Furthermore, our results indicate that air exposure can act as a confounding factor when assessing the impacts of different stressors in organisms living in coastal systems.(C) 2018 Elsevier B.V. All rights reserved.</t>
  </si>
  <si>
    <t>[Freitas, Rosa] Univ Aveiro, Dept Biol, P-3810193 Aveiro, Portugal; Univ Aveiro, Ctr Environm &amp; Marine Studies CESAM, P-3810193 Aveiro, Portugal</t>
  </si>
  <si>
    <t>De Marchi, Lucia/ABG-1246-2021; Rocha, Rui/AAP-9828-2021; Andrade, Madalena/F-1780-2019; Freitas, Rosa/A-7539-2012; Miranda Rocha, Rui Jorge/F-5201-2011; Figueira, Etelvina/M-6116-2013; Soares, Amadeu/A-8304-2008</t>
  </si>
  <si>
    <t>Freitas, Rosa/0000-0003-4900-3897; Miranda Rocha, Rui Jorge/0000-0002-4385-6074; Figueira, Etelvina/0000-0002-6763-2665; Soares, Amadeu/0000-0003-0879-9470; De Marchi, Lucia/0000-0001-6899-4476; Silva Andrade, Maria Madalena/0000-0002-5704-8668</t>
  </si>
  <si>
    <t>Integrated Programme of SR&amp;TD Smart Valorization of Endogenous Marine Biological Resources Under a Changing Climate - Centro 2020 program, Portugal 2020, European Union, through the European Regional Development Fund [Centro-01-0145-FEDER-000018]; National Funds through the Portuguese Science Foundation (FCT) [SFRH/BD/101273/2014, SFRH/BPD/99819/2014]; project BISPECIAl: BIvalveS under Polluted Environment and ClImate chAnge - FEDER through COMPETE2020 - Programa Operacional Competitividade e Internacionalizacao (POCI) [POCI-01-0145-FEDER-028425]; national funds (OE), through FCT/MCTES; CESAM [UID/AMB/50017]; FCT/MEC through national funds; FEDER, within the PT2020 Partnership Agreement; Compete 2020; Fundação para a Ciência e a Tecnologia [SFRH/BD/101273/2014, SFRH/BPD/99819/2014] Funding Source: FCT</t>
  </si>
  <si>
    <t>Integrated Programme of SR&amp;TD Smart Valorization of Endogenous Marine Biological Resources Under a Changing Climate - Centro 2020 program, Portugal 2020, European Union, through the European Regional Development Fund; National Funds through the Portuguese Science Foundation (FCT); project BISPECIAl: BIvalveS under Polluted Environment and ClImate chAnge - FEDER through COMPETE2020 - Programa Operacional Competitividade e Internacionalizacao (POCI); national funds (OE), through FCT/MCTES; CESAM; FCT/MEC through national funds; FEDER, within the PT2020 Partnership Agreement; Compete 2020; Fundação para a Ciência e a Tecnologia(Fundacao para a Ciencia e a Tecnologia (FCT))</t>
  </si>
  <si>
    <t>Rosa Freitas benefited froma Research position funded by Integrated Programme of SR&amp;TD Smart Valorization of Endogenous Marine Biological Resources Under a Changing Climate (reference Centro-01-0145-FEDER-000018), co-funded by Centro 2020 program, Portugal 2020, European Union, through the European Regional Development Fund. Rui Rocha was supported by a Postdoc scholarship (SFRH/BPD/99819/2014), and Lucia De Marchi benefited from a PhD grant (SFRH/BD/101273/2014), given by the National Funds through the Portuguese Science Foundation (FCT). This work was also financially supported by the project BISPECIAl: BIvalveS under Polluted Environment and ClImate chAnge (POCI-01-0145-FEDER-028425) funded by FEDER, through COMPETE2020 - Programa Operacional Competitividade e Internacionalizacao (POCI), and by national funds (OE), through FCT/MCTES. Thanks are also due, for the financial support to CESAM (UID/AMB/50017), to FCT/MEC through national funds, and the co-funding by the FEDER, within the PT2020 Partnership Agreement and Compete 2020.</t>
  </si>
  <si>
    <t>10.1016/j.scitotenv.2018.07.293</t>
  </si>
  <si>
    <t>GW6SE</t>
  </si>
  <si>
    <t>WOS:000447090400044</t>
  </si>
  <si>
    <t>Brauer, H; Wagner, A; Boman, J; Binh, DV</t>
  </si>
  <si>
    <t>Use of total-reflection X-ray fluorescence in search of a biomonitor for environmental pollution in Vietnam</t>
  </si>
  <si>
    <t>8th Conference on Total Reflection X-Ray Fluorescence Analysis and Related Methods</t>
  </si>
  <si>
    <t>SEP 25-29, 2000</t>
  </si>
  <si>
    <t>VIENNA, AUSTRIA</t>
  </si>
  <si>
    <t>total reflection X-ray fluorescence; biomonitor; trace elements; Vietnam</t>
  </si>
  <si>
    <t>TRACE-ELEMENT CONCENTRATIONS; ROTATING ANODE; HEAVY-METALS; BARNACLES; INDICATOR; SEDIMENT; MUSSELS</t>
  </si>
  <si>
    <t>The concentration of trace elements in tissues of several animals collected in the Ha Nam province, approximately 40 km south of Hanoi, Vietnam, has been investigated using total-reflection X-ray fluorescence analysis. We find that the freshwater mussel is probably the optimal choice of biomonitor for the pollution situation in Vietnam, but the freshwater crab, the toad and the catfish are also good candidates. The krait is probably also well suited for this purpose. It is shown that since several elements show a more or less pronounced accumulation tendency in a particular tissue it can be of great use to determine the levels in different tissues. When selecting an organism to be used as a biomonitor, other factors besides the mere concentration of trace elements must be considered, for instance the abundance and feeding habits. (C) 2001 Elsevier Science B.V. All rights reserved.</t>
  </si>
  <si>
    <t>Chalmers Univ Technol, SE-41296 Gothenburg, Sweden; Gothenburg Univ, SE-41296 Gothenburg, Sweden; Natl Ctr Nat Sci &amp; Technol, Inst Biotechnol, Hanoi, Vietnam</t>
  </si>
  <si>
    <t>Chalmers University of Technology; University of Gothenburg; Vietnam Academy of Science &amp; Technology (VAST)</t>
  </si>
  <si>
    <t>Chalmers Univ Technol, SE-41296 Gothenburg, Sweden.</t>
  </si>
  <si>
    <t>wagner@fy.chalmers.se</t>
  </si>
  <si>
    <t>10.1016/S0584-8547(01)00288-9</t>
  </si>
  <si>
    <t>501XK</t>
  </si>
  <si>
    <t>WOS:000172711200017</t>
  </si>
  <si>
    <t>Thibaut, T; Pinedo, S; Torras, X; Ballesteros, E</t>
  </si>
  <si>
    <t>Long-term decline of the populations of Fucales (Cystoseira spp. and Sargassum spp.) in the Alberes coast (France, North-western Mediterranean)</t>
  </si>
  <si>
    <t>Fucales; biodiversity erosion; Mediterranean; pollution; overgrazing; outcompetition</t>
  </si>
  <si>
    <t>PARACENTROTUS-LIVIDUS; SEA-URCHIN; COMMUNITY; FUCOPHYCEAE; DYNAMICS; BOTTOMS; IMPACT; AREAS; BAY</t>
  </si>
  <si>
    <t>Only five of fourteen species of Fucales reported at the end of the XIXth century are currently present in the Alberes Coast (France, NW Mediterranean). According to historical data there has been a steady decrease of all the populations since the 1940s. Seven taxa now extinct (Cystoseira crinita, Cystoseira barbata, Cystoseira foeniculacea f. tenuiramosa, Cystoseira spinosa, Cystoseira spinosa var. compressa, Sargassum hornschuchii and Sargassum vulgare) were considered frequent and some of them were the dominant and engineering species in several phytobenthic assemblages. Moreover, only one of the five species left, shows no signs of regression (Cystoseira compressa), two are considered as rare (Cystoseira caespitosa, Cystoseira zosteroides), and one is very rare (Cystoseira elegans). Cystoseira mediterranea, a species that was reported to make a continuous belt along the shores of the Alberes coast, has almost disappeared from some areas. Overgrazing by sea urchins, outcompetition by mussels, habitat destruction, scientific research sampling and, probably, human trampling and chemical pollution are to be blamed for the decline of populations thriving in shallow waters. Deep-water species have been affected by an increase in water turbidity and, probably, chemical pollution and direct plant destruction attributed to net fishing. If degradation of the environmental conditions continues, the remaining Cystoseira species will face a most unwelcome prospect. Even after the removal of the causes that led to its die-off, natural restoration of extinct species seems not to be possible because the decline has also affected populations from nearby areas and zygotes are unable to disperse over long distances. Urgent management actions have to be designed in order to improve the current situation of the populations of Fucales in the Alberes coast. (c) 2005 Elsevier Ltd. All rights reserved.</t>
  </si>
  <si>
    <t>CSIC, Ctr Estudis Avancats Blanes, Blanes 17300, Girona, Spain</t>
  </si>
  <si>
    <t>Univ Nice, Fac Sci, Lab Environm Marine Littoral, EA 3156 Gest Biodivers, ParcValrose, F-06108 Nice 2, France.</t>
  </si>
  <si>
    <t>thibautt@unice.fr</t>
  </si>
  <si>
    <t>Ballesteros, Enric/K-6497-2012; THIBAUT, Thierry/S-4354-2019</t>
  </si>
  <si>
    <t>THIBAUT, Thierry/0000-0001-8530-9266</t>
  </si>
  <si>
    <t>10.1016/j.marpolbul.2005.06.014</t>
  </si>
  <si>
    <t>WOS:000234236600014</t>
  </si>
  <si>
    <t>Brandts, I; Teles, M; Gonçalves, AP; Barreto, A; Franco-Martinez, L; Tvarijonaviciute, A; Martins, MA; Soares, AMVM; Tort, L; Oliveira, M</t>
  </si>
  <si>
    <t>Brandts, I.; Teles, M.; Goncalves, A. P.; Barreto, A.; Franco-Martinez, L.; Tvarijonaviciute, A.; Martins, M. A.; Soares, A. M. V. M.; Tort, L.; Oliveira, M.</t>
  </si>
  <si>
    <t>Effects of nanoplastics on Mytilus galloprovincialis after individual and combined exposure with carbamazepine</t>
  </si>
  <si>
    <t>Nanoplastics; Carbamazepine; Mixture; Mussel; Gene expression</t>
  </si>
  <si>
    <t>POLYSTYRENE NANOPARTICLES; MARINE-ENVIRONMENT; OSTREA-EDULIS; COMET ASSAY; DNA-DAMAGE; MICROPLASTICS; MUSSELS; CONTAMINANTS; STRESS; PHARMACEUTICALS</t>
  </si>
  <si>
    <t>Plastic pollution is a worldwide problem, highlighted by the fact that plastic materials degrade into nano-size particles (&lt;100 nm), potentially becoming more bioavailable as well as a source of entry of other contaminants into organisms. The present study aimed to assess the effects of polystyrene nanoplastics (PS), individually or combined with carbamazepine (Cbz), on the Mediterranean mussel, Mytilus galloprovincialis. For this purpose, mussels were exposed for 96 h to a concentration range of PS (from 0.05 up to 50 mg L-1), to Cbz (6.3 mu g L-1) alone and to the mixture of PS + Cbz (0.05 mg L-1 + 6.3 mu g L-1). Molecular and biochemical biomarkers were assessed in the digestive glands, gills and haemolymph. The abundance of mRNA in the digestive glands and gills revealed significant alterations in the expression of genes associated with biotransformation, DNA repair, cell stress-response and innate immunity. Combined exposure of PS + Cbz induced significant downregulation in gene expression (e.g., hsp70) when compared to individual exposure. Total oxidant status increased in digestive glands after exposure to 0.5 mg L-1 PS. Moreover, increased total antioxidant capacity and esterase activity were observed for PS 50mg L-1, in digestive glands and gills, respectively. The PS induced effects on neurotransmission, measured as inhibition of cholinesterase activity in haemolymph. Genotoxicity was found in haemocytes after exposure to PS, Cbz and their mixture. Moreover, lipid peroxidation was observed for 0.05 mg L-1 PS exposure, showing that nanoplastics can induce oxidative damage. The present study demonstrated that PS, even at low concentrations, led to alterations on the assessed mussels' endpoints. (c) 2018 Elsevier B.V. All rights reserved.</t>
  </si>
  <si>
    <t>[Brandts, I.; Teles, M.; Tort, L.] Univ Autonoma Barcelona, Dept Cell Biol Physiol &amp; Immunol, E-08193 Barcelona, Spain; [Goncalves, A. P.; Barreto, A.; Soares, A. M. V. M.; Oliveira, M.] Univ Aveiro, Dept Biol, P-3810193 Aveiro, Portugal; [Goncalves, A. P.; Barreto, A.; Soares, A. M. V. M.; Oliveira, M.] Univ Aveiro, CESAM, P-3810193 Aveiro, Portugal; [Teles, M.] CIIMAR Interdisciplinary Ctr Marine &amp; Environm Re, Terminal Cruzeiros, Lisbon, Portugal; [Franco-Martinez, L.; Tvarijonaviciute, A.] Univ Murcia, Interdisciplinary Lab Clin Anal Interlab UMU, Reg Campus Int Excellence Mare Nostrum, E-30100 Murcia, Spain; [Martins, M. A.] Univ Aveiro, Dept Chem, P-3810193 Aveiro, Portugal; [Martins, M. A.] Univ Aveiro, CICECO, P-3810193 Aveiro, Portugal</t>
  </si>
  <si>
    <t>Autonomous University of Barcelona; Universidade de Aveiro; Universidade de Aveiro; University of Murcia; Universidade de Aveiro; Universidade de Aveiro</t>
  </si>
  <si>
    <t>Teles, M (corresponding author), CIIMAR Interdisciplinary Ctr Marine &amp; Environm Re, Lisbon, Portugal.;Oliveira, M (corresponding author), Dept Biol, Barcelona, Spain.;Oliveira, M (corresponding author), CESAM, Barcelona, Spain.</t>
  </si>
  <si>
    <t>mteles0@gmail.com; migueloliveira@ua.pt</t>
  </si>
  <si>
    <t>Martins, Manuel/AAG-4913-2019; Tvarijonaviciute, Asta/U-4303-2017; Goncalves, Ana Kalina/HTO-1775-2023; Tort, Lluis/H-5650-2011; Soares, Amadeu/A-8304-2008; Barreto, Angela/M-9833-2018; Oliveira, Miguel/E-4090-2010; Teles, Mariana/I-5561-2014</t>
  </si>
  <si>
    <t>Soares, Amadeu/0000-0003-0879-9470; Goncalves, Ana/0000-0002-8766-7726; Barreto, Angela/0000-0002-1697-4788; Franco Martinez, Lorena/0000-0003-3375-4274; Oliveira, Miguel/0000-0001-5404-7718; Martins, Manuel/0000-0002-1163-4645; Brandts, Irene/0000-0002-7372-8639; Tort, Lluis/0000-0002-3907-722X; Teles, Mariana/0000-0001-5525-4049</t>
  </si>
  <si>
    <t>CESAM [UID/AMB/50017/2013]; Plan Nacional de Investigacion [AGL2016-76069-C2-2-R]; program Investigador FCT - Human Potential Operational Programme [IF/00335-2015]; program Investigador FCT - European Social Fund [IF/00335-2015]; FCT [SFRH/BPD/109219/2015]; Ministerio de Economia y Competitividad, Spain; University of Murcia, Spain</t>
  </si>
  <si>
    <t>CESAM; Plan Nacional de Investigacion; program Investigador FCT - Human Potential Operational Programme; program Investigador FCT - European Social Fund; FCT(Fundacao para a Ciencia e a Tecnologia (FCT)); Ministerio de Economia y Competitividad, Spain(Spanish Government); University of Murcia, Spain</t>
  </si>
  <si>
    <t>This research was supported through CESAM (UID/AMB/50017/2013) and Plan Nacional de Investigacion (AGL2016-76069-C2-2-R). MO had financial support of the program Investigador FCT, co-funded by the Human Potential Operational Programme and European Social Fund (IF/00335-2015). MT has a post-doctoral fellowship from FCT (SFRH/BPD/109219/2015). AT has a post-doctoral fellowship supported by the Ministerio de Economia y Competitividad, Spain. LFM was granted with predoctoral contract 'FPU' of University of Murcia, Spain. J.C. Balasch is acknowledged for the graphic design.</t>
  </si>
  <si>
    <t>10.1016/j.scitotenv.2018.06.257</t>
  </si>
  <si>
    <t>WOS:000444625900071</t>
  </si>
  <si>
    <t>Ramdine, G; Fichet, D; Louis, M; Lemoine, S</t>
  </si>
  <si>
    <t>Ramdine, Gaelle; Fichet, Denis; Louis, Max; Lemoine, Soazig</t>
  </si>
  <si>
    <t>Polycyclic aromatic hydrocarbons (PAHs) in surface sediment and oysters (Crassostrea rhizophorae) from mangrove of Guadeloupe: Levels, bioavailability, and effects</t>
  </si>
  <si>
    <t>Mangrove; Sediment; Crassostrea rhizophorae; PAHs; Biomarkers; Guadeloupe</t>
  </si>
  <si>
    <t>LIPID-PEROXIDATION; ORGANIC POLLUTANTS; MARINE-SEDIMENTS; OXIDATIVE STRESS; MYTILUS-EDULIS; HEAVY-METALS; TRACE-METALS; BIOMARKERS; BIVALVES; CONTAMINATION</t>
  </si>
  <si>
    <t>Surface sediment and oysters (Crassostrea rhizophorae) from the coastlines of Guadeloupe were analysed for polycyclic aromatic hydrocarbons (PAHs) using GC/MS. Biomarkers of oxidative stress were used to assess the response of these oysters to hydrocarbons exposure. The total concentration of PAHs in the sediment ranged from 49 to 1065 ng/g dw, while concentrations in oyster ranged from 66 to 961 ng/g dw. Molecular indices based on isomeric PM-Is ratios characterize the pollution sources and show that most of the contaminations in sediment originate from pyrolytic inputs. Bioaccumulation factors (BAFs) have been related to isomeric ratio calculated for oysters in order to refine PAHs sources. The variations of BAFs observed in the different compounds resulted from different uptake pathways in the mangrove oysters according to the type of inputs. Response of biomarkers showed inhibition of catalase and an increase of lipid peroxidation at the station where PAHs concentrations were the highest. Taken together, data obtained point to the relevance of considering environmental conditions as factors influencing biomarker responses in environmental monitoring programs. These data also indicate the need for regular environmental follow-up studies in Guadeloupe. (C) 2011 Elsevier Inc. All rights reserved.</t>
  </si>
  <si>
    <t>[Ramdine, Gaelle; Louis, Max; Lemoine, Soazig] Univ Antilles Guyane, DYNECAR EA926, Lab Biol Marine, F-97159 Pointe A Pitre, Guadeloupe, France; [Fichet, Denis] Univ La Rochelle, ILE, LIENSS, UMR 6250, F-17000 La Rochelle, France</t>
  </si>
  <si>
    <t>Universite des Antilles; La Rochelle Universite</t>
  </si>
  <si>
    <t>Ramdine, G (corresponding author), Univ Antilles Guyane, DYNECAR EA926, Lab Biol Marine, Campus Fouillole,BP 592, F-97159 Pointe A Pitre, Guadeloupe, France.</t>
  </si>
  <si>
    <t>gaelle.ramdine@gmail.com</t>
  </si>
  <si>
    <t>Denis, Fichet/0000-0002-4913-8946</t>
  </si>
  <si>
    <t>Marine Biology Laboratory of the Antilles-Guyane University of Guadeloupe; Total Petrochemicals; Regional Council of Guadeloupe; FSE; la S.A.R.A. Guadeloupe</t>
  </si>
  <si>
    <t>Marine Biology Laboratory of the Antilles-Guyane University of Guadeloupe; Total Petrochemicals; Regional Council of Guadeloupe; FSE(European Social Fund (ESF)); la S.A.R.A. Guadeloupe</t>
  </si>
  <si>
    <t>The authors gratefully acknowledge Robert Hamparian, Sebastien Cordonnier (Marine Biology Laboratory of the Antilles-Guyane University of Guadeloupe), Anne Basseres (Total Petrochemicals), Doris Ransy and Keith L. Lazard for their support and assistance, as well as the Regional Council of Guadeloupe, the FSE and la S.A.R.A. Guadeloupe for their financial support.</t>
  </si>
  <si>
    <t>10.1016/j.ecoenv.2011.12.005</t>
  </si>
  <si>
    <t>916MD</t>
  </si>
  <si>
    <t>WOS:000302107000012</t>
  </si>
  <si>
    <t>Zhang, S; Zhan, AB; Zhao, JD; Yao, M</t>
  </si>
  <si>
    <t>Zhang, Shan; Zhan, Aibin; Zhao, Jindong; Yao, Meng</t>
  </si>
  <si>
    <t>Metropolitan pressures: Significant biodiversity declines and strong filtering of functional traits in fish assemblages</t>
  </si>
  <si>
    <t>Beta-diversity; Biotic homogenization; eDNA metabarcoding; Freshwater biodiversity; TITAN; Threshold indicator taxa analysis</t>
  </si>
  <si>
    <t>LAND-USE; SPECIES TRAITS; COMMUNITY STRUCTURE; URBANIZATION; DIVERSITY; ECOLOGY; HOMOGENIZATION; 4TH-CORNER; POLLUTION; RESPONSES</t>
  </si>
  <si>
    <t>Accelerating global urbanization is leading to drastic losses and restructuring of biodiversity. Although it is crucial to understand urban impacts on biodiversity to develop mitigation strategies, there is a dearth of knowledge on the functional structure of fish assemblages spanning the entire city -scale spectrum of urbanization intensity. Here, using environmental DNA sampled from 109 water sites in Beijing, we investigated the taxonomic and functional diversity patterns of fish assemblages across the city and uncovered community-, trait-, and species -level responses to various environmental stressors. By ranking sampling sites into three disturbance levels according to water physiochemical and landcover conditions, we found that both native and non-native fish taxonomic and functional a -diversity decreased significantly with elevating disturbance, as strong disturbance led to the disappearance of many species. However, the quantitative taxonomic and functional 8 -diversity components of native and non-native fish showed distinct patterns; assemblage turnover dominated native fish 8 -diversity and decreased with increasing disturbance, whereas species/trait richness differences dominated nonnative fish 8 -diversity and increased with disturbance intensity particularly in lotic waters. RLQ and fourthcorner analyses revealed that fish size, fecundity, diet, and reproductive behaviors were significantly correlated with water quality, with pollution -tolerant, larger -sized native and omnivorous non-native fishes being urban winners, which indicates strong trait -dependent environmental filtering. Potential ecological indicator species were identified based on the sensitivity of fish responses to pollution loads; these were mostly small native species, and many have bivalve -dependent reproduction. Our results demonstrate that, along with native fish assemblage simplification and homogenization, urban stressors exert profound impacts on community trait composition, highlighting the need to consider both biodiversity loss and functional reorganization in combating disturbance of aquatic ecosystems under global urbanization. Furthermore, correlations between cropland cover and water nutrient level suggested that the management of agricultural runoff might be critically important for safeguarding urban water quality.</t>
  </si>
  <si>
    <t>[Zhang, Shan; Zhao, Jindong; Yao, Meng] Peking Univ, Sch Life Sci, Beijing 100871, Peoples R China; [Zhang, Shan; Zhao, Jindong; Yao, Meng] Peking Univ, Inst Ecol, Coll Urban &amp; Environm Sci, Beijing 100871, Peoples R China; [Zhang, Shan] Beijing Normal Univ, Coll Life Sci, NFGA Key Lab Conservat Ecol Northeast Tiger &amp; Leop, Key Lab Biodivers Sci &amp; Ecol Engn,Minist Educ, Beijing, Peoples R China; [Zhan, Aibin] Chinese Acad Sci, Res Ctr Ecoenvironm Sci, Beijing 100085, Peoples R China; [Zhan, Aibin] Chinese Acad Sci, Univ Chinese Acad Sci, Beijing 100049, Peoples R China</t>
  </si>
  <si>
    <t>Peking University; Peking University; Beijing Normal University; Chinese Academy of Sciences; Research Center for Eco-Environmental Sciences (RCEES); Chinese Academy of Sciences; University of Chinese Academy of Sciences, CAS</t>
  </si>
  <si>
    <t>Yao, M (corresponding author), Peking Univ, R312,Sch Life Sci Bldg, Beijing, Peoples R China.</t>
  </si>
  <si>
    <t>yaom@pku.edu.cn</t>
  </si>
  <si>
    <t>Zhao, Jindong/AEC-0238-2022</t>
  </si>
  <si>
    <t>National Natural Science Foundation of China [32325034, U2340216, 32100395]; Special Project for Social Development of Yunnan Province [202103AC100001]; Young Elite Scientists Sponsorship Program by CAST [2022QNRC001]; Qidong-SLS Innovation Fund [2022001638]</t>
  </si>
  <si>
    <t>National Natural Science Foundation of China(National Natural Science Foundation of China (NSFC)); Special Project for Social Development of Yunnan Province; Young Elite Scientists Sponsorship Program by CAST; Qidong-SLS Innovation Fund</t>
  </si>
  <si>
    <t>We thank Yitao Zheng, Yiyan Wang, Qi Lu, Weiran Wang, Meixi Lin, Di Wang and volunteers for their assistance with sample collection; Yuzhan Yang and Luoyun Zhi for assistance with water quality mea-surements; Shuqing Zhao and Lu Yang for assistance with land cover data; and Y. Bai for assistance with sequence data processing. This research was funded by the National Natural Science Foundation of China (grant nos. 32325034, U2340216, and 32100395) , the Special Project for Social Development of Yunnan Province (grant no. 202103AC100001) , the Young Elite Scientists Sponsorship Program by CAST (grant no. 2022QNRC001) , and the Qidong-SLS Innovation Fund (grant no. 2022001638) .</t>
  </si>
  <si>
    <t>10.1016/j.scitotenv.2024.173885</t>
  </si>
  <si>
    <t>WW2E5</t>
  </si>
  <si>
    <t>WOS:001257835100001</t>
  </si>
  <si>
    <t>Baltas, H; Kiris, E; Dalgic, G; Cevik, U</t>
  </si>
  <si>
    <t>Baltas, H.; Kiris, E.; Dalgic, G.; Cevik, U.</t>
  </si>
  <si>
    <t>Distribution of 137Cs in the Mediterranean mussel (Mytilus galloprovincialis) in Eastern Black Sea Coast of Turkey</t>
  </si>
  <si>
    <t>Mussel; Sediment; Black Sea; Cs-137; K-40; Daily intake dose</t>
  </si>
  <si>
    <t>RADIOACTIVITY LEVELS; SEDIMENT SAMPLES; NATURAL RADIOACTIVITY; HEAVY-METALS; RADIONUCLIDE; SEAWATER; ACCUMULATION; RADIATION; ACCIDENT; BOSPORUS</t>
  </si>
  <si>
    <t>This study presents the results of Cs-137 and K-40 radionuclide concentrations in mussel (Mytilus galloprovincialis) samples collected during the period of February-November 2014 from twelve different stations within the border of the eastern Black Sea region of Turkey. Also, these radionuclide concentrations were determined in sea water and sediment samples. The activity concentrations in seawater, sediment and mussel tissue samples were between 1.12-1.69 mBq L-1, 3.26-30.74 and 1.61-3.16 Bq kg(-1) for Cs-137 and 231.41-399.49 mBq L-1, 215.71-450.07 and 286.84-382.16 Bq kg(-1) for K-40, respectively. These values are also in accordance with the concentrations reported for similar regions. Additionally, radiological impact parameters such as daily intake of Cs-137 and K-40, annual committed effective dose and carcinogenic risk due to the consumption of mussel were calculated and compared with the international data. Lifetime cancer risk values are lower than the limit of 10(-3). (C) 2016 Elsevier Ltd. All rights reserved.</t>
  </si>
  <si>
    <t>[Baltas, H.; Kiris, E.] Recep Tayyip Erdogan Univ, Dept Phys, TR-53100 Rize, Turkey; [Dalgic, G.] Recep Tayyip Erdogan Univ, Fac Fisheries, TR-53100 Rize, Turkey; [Cevik, U.] Karadeniz Tech Univ, Dept Phys, TR-61080 Trabzon, Turkey</t>
  </si>
  <si>
    <t>Cevik, U./AAW-2997-2020; Dalgıç, Göktuğ/AAK-9485-2020; Kırıs, Erkan/AAL-5055-2021</t>
  </si>
  <si>
    <t>DALGIC, GOKTUG/0000-0001-8619-6160</t>
  </si>
  <si>
    <t>This work was supported by the Scientific and Technical Research Council of Turkey (TUBITAK) (CAYDAG, Project No: 113Y148).</t>
  </si>
  <si>
    <t>10.1016/j.marpolbul.2016.03.032</t>
  </si>
  <si>
    <t>WOS:000377726700064</t>
  </si>
  <si>
    <t>Katsumiti, A; Gilliland, D; Arostegui, I; Cajaraville, MP</t>
  </si>
  <si>
    <t>Katsumiti, A.; Gilliland, D.; Arostegui, I.; Cajaraville, M. P.</t>
  </si>
  <si>
    <t>Cytotoxicity and cellular mechanisms involved in the toxicity of CdS quantum dots in hemocytes and gill cells of the mussel Mytilus galloprovincialis</t>
  </si>
  <si>
    <t>In vitro; Mussel hemocytes and gill cells; CdS quantum dots; Cytotoxicity; Sublethal effects</t>
  </si>
  <si>
    <t>MULTIXENOBIOTIC DEFENSE-MECHANISM; FRESH-WATER MUSSEL; OXIDATIVE STRESS; P-GLYCOPROTEIN; EPITHELIAL-CELLS; MARINE MUSSEL; IN-VITRO; CADMIUM; NANOPARTICLES; INDUCTION</t>
  </si>
  <si>
    <t>CdS quantum dots (QDs) show a great promise for treatment and diagnosis of cancer and for targeted drug delivery, due to their size-tunable fluorescence and ease of functionalization for tissue targeting. In spite of their advantages it is important to determine if CdS QDs can exert toxicity on biological systems. In the present work, cytotoxicity of CdS QDs (5 nm) at a wide range of concentrations (0.001-100 mg Cd/L) was screened using neutral red (NR) and thiazolyl blue tetrazolium bromide (MU) assays in isolated hemocytes and gill cells of mussels (Mytilus galloprovincialis). The mechanisms of action of CdS QDs were assessed at sublethal concentrations (031-5 mg Cd/L) in the same cell types through a series of functional in vitro assays: production of reactive oxygen species (ROS), catalase (CAT) activity, DNA damage, lysosomal acid phosphatase (AcP) activity, multixenobiotic resistance (MXR) transport activity, Na-X-ATPase activity (only in gill cells) and phagocytic activity and damage to actin cytoskeleton (only in hemocytes). Exposures to CdS QDs lasted for 24 h and were performed in parallel with exposures to bulk CdS and ionic Cd. Ionic Cd was the most toxic form to both cell types, followed by CdS QDs and bulk CdS. ROS production, DNA damage, AcP activity and MXR transport were significantly increased in both cell types exposed to the 3 forms of Cd. CAT activity increased in hemocytes exposed to the three forms of Cd while in gill cells only in those exposed to ionic Cd. No effects were found on hemocytes cytoskeleton integrity. Effects on phagocytosis were found in hemocytes exposed to bulk CdS and to CdS QDs at concentrations equal or higher than 1.25 mg Cd/L but not in those exposed to ionic Cd, indicating a particle-specific effect on phagocytosis. In conclusion, cell-mediated immunity and gill cell function represent significant targets for CdS QDs toxicity. (C) 2014 Elsevier B.V. All rights reserved.</t>
  </si>
  <si>
    <t>[Katsumiti, A.; Cajaraville, M. P.] Univ Basque Country UPV EHU, CBET Res Grp, Dept Zool &amp; Anim Cell Biol, Basque Country, Spain; [Katsumiti, A.; Cajaraville, M. P.] Univ Basque Country UPV EHU, Fac Sci &amp; Technol, Basque Country, Spain; [Katsumiti, A.; Cajaraville, M. P.] Univ Basque Country UPV EHU, Res Ctr Expt Marine Biol &amp; Biotechnol PIE, Basque Country, Spain; [Gilliland, D.] EU Commiss, Inst Hlth &amp; Consumer Protect, NSB Unit, Joint Res Ctr, Ispra, VA, Italy; [Arostegui, I.] Univ Basque Country UPV EHU, Fac Sci &amp; Technol, Dept Appl Math Stat &amp; Operat Res, Leioa, Spain</t>
  </si>
  <si>
    <t>University of Basque Country; University of Basque Country; University of Basque Country; European Commission Joint Research Centre; EC JRC ISPRA Site; University of Basque Country</t>
  </si>
  <si>
    <t>Cajaraville, MP (corresponding author), Univ Basque Country UPV EHU, CBET Res Grp, Dept Zool &amp; Anim Cell Biol, Basque Country, Spain.</t>
  </si>
  <si>
    <t>Cajaraville, Miren P/I-4757-2015; AROSTEGUI, INMACULADA/G-5941-2014; Katsumiti, Alberto/D-7829-2014</t>
  </si>
  <si>
    <t>Cajaraville, Miren P/0000-0001-6527-6137; AROSTEGUI, INMACULADA/0000-0002-6848-2240; Katsumiti, Alberto/0000-0003-4145-4853</t>
  </si>
  <si>
    <t>10.1016/j.aquatox.2014.02.003</t>
  </si>
  <si>
    <t>WOS:000339149200005</t>
  </si>
  <si>
    <t>Shang, XM; Yang, S; Sun, J</t>
  </si>
  <si>
    <t>Shang, Xiaomei; Yang, Shuang; Sun, Jun</t>
  </si>
  <si>
    <t>Succession of phytoplankton communities from macro-scale to micro-scale in coastal waters of Qinhuangdao, China</t>
  </si>
  <si>
    <t>scallop farming; phytoplankton community; cryptophytes; dinoflagellate cysts; 18S rRNA</t>
  </si>
  <si>
    <t>ALEXANDRIUM-MINUTUM DINOPHYCEAE; DINOFLAGELLATE CYST; RECENT SEDIMENTS; RIVER ESTUARY; ALGAL BLOOMS; RED TIDES; CRYPTOPHYCEAE; ABUNDANCE; NUTRIENTS; GROWTH</t>
  </si>
  <si>
    <t>The coastal area of Qinhuangdao, particularly the Changli Gold Coast Nature Reserve, is experiencing ecological degradation and frequent Harmful Algal Blooms (HABs). This study focuses on the changing phytoplankton communities in these coastal waters, examining them from both a macroscopic and microscopic perspective. Utilizing microscopy, molecular techniques, and pigment analysis, seasonal shifts were observed, with diatoms predominating in June and July, and dinoflagellates in August. Our morphological examination enabled the classification of 89 species into four distinct groups. The species Paralia sulcata and Pseudo-nitzschia pungens were most abundant in early summer, while Tripos furca, a dinoflagellate, dominated in August. This indicates a shift in phytoplankton communities due to environmental factors such as phosphate deficiency and high nitrogen/phosphorus ratios. Additionally, the study notes the impact of reduced river runoff and reintroduction of scallop farming contributing to nitrogen-rich eutrophication in August. Molecular analysis revealed a disparity between microscopic observations and the prevalence of Teleaulax blooms during early summer. Elevated concentrations of TN and DOC, coupled with limited water exchange, emerged as primary factors contributing to their occurrence. Sediment analysis revealed a high diversity but low abundance of dinoflagellates in August, with a significant presence of harmful species. The study highlights the shift from diatoms to harmful dinoflagellate populations, exacerbated by eutrophication and pollution, leading to HABs. These findings provide a theoretical basis for understanding toxic algal blooms and are crucial for environmental agencies in developing strategies to protect and sustainably develop offshore environments.</t>
  </si>
  <si>
    <t>[Shang, Xiaomei; Yang, Shuang; Sun, Jun] Tianjin Univ Sci &amp; Technol, Res Ctr Indian Ocean Ecosyst, Tianjin, Peoples R China; [Sun, Jun] China Univ Geosci Wuhan, Coll Marine Sci &amp; Technol, Wuhan, Hubei, Peoples R China</t>
  </si>
  <si>
    <t>Tianjin University Science &amp; Technology; China University of Geosciences</t>
  </si>
  <si>
    <t>Sun, J (corresponding author), Tianjin Univ Sci &amp; Technol, Res Ctr Indian Ocean Ecosyst, Tianjin, Peoples R China.;Sun, J (corresponding author), China Univ Geosci Wuhan, Coll Marine Sci &amp; Technol, Wuhan, Hubei, Peoples R China.</t>
  </si>
  <si>
    <t>phytoplankton@163.com</t>
  </si>
  <si>
    <t>Sun, Jun/A-5254-2009</t>
  </si>
  <si>
    <t>Natural Science Foundation of China [42206087, 41676112]; Changjiang Scholar Program of Chinese Ministry of Education [T2014253]</t>
  </si>
  <si>
    <t>Natural Science Foundation of China(National Natural Science Foundation of China (NSFC)); Changjiang Scholar Program of Chinese Ministry of Education</t>
  </si>
  <si>
    <t>This work was supported by the Natural Science Foundation of China (No. 42206087, 41676112) and the Changjiang Scholar Program of Chinese Ministry of Education (T2014253) to JS. We also thank our colleagues from Dr. Guicheng Zhang and Dr. Dai Jia at Tianjin University of Science and Technology who provided helps on water sampling.</t>
  </si>
  <si>
    <t>10.3389/fmars.2024.1371196</t>
  </si>
  <si>
    <t>UM4K6</t>
  </si>
  <si>
    <t>WOS:001248462500001</t>
  </si>
  <si>
    <t>Liu, JJ; Li, HP; Luo, X; Ma, L; Li, CX; Qu, SX</t>
  </si>
  <si>
    <t>Liu, Junjie; Li, Huiping; Luo, Xin; Ma, Lin; Li, Cuixin; Qu, Shaoxuan</t>
  </si>
  <si>
    <t>A lectin gene is involved in the defense of Pleurotus ostreatus against the mite predator Tyrophagus putrescentiae</t>
  </si>
  <si>
    <t>FRONTIERS IN MICROBIOLOGY</t>
  </si>
  <si>
    <t>fungal lectin; edible fungi; the storage mite; fungal defense; oyster mushroom</t>
  </si>
  <si>
    <t>FUNGUS; RESISTANCE; GLYCANS; TARGETS; MYCELIA; BINDING</t>
  </si>
  <si>
    <t>The storage mite, Tyrophagus putrescentiae, found worldwide in many habitats, is an important pest of edible mushrooms. Excessive chemical spraying for pest control has been linked to environmental pollution, health risks, insecticide resistance development, and food safety. Host resistance can be sustainable and cost-effective and provide effective and economical pest control. Previous studies have reported that the oyster mushroom Pleurotus ostreatus has evolved effective defense mechanisms against T. putrescentiae attack, but the underlying mechanism remains unclear. Here we report that a lectin gene from P. ostreatus mycelia, Polec2, induced fungal resistance to mite grazing. Polec2 belongs to a galectin-like lectin classification, encoding a protein with beta-sandwith-fold domain. Overexpression of Polec2 in P. ostreatus led to activation of the reactive oxygen species (ROS)/mitogen-activated protein kinases (MAPKs) signaling pathway, salicylic acid (SA), and jasmonate (JA) biosynthesis. The activation resulted in bursts of antioxidant activities of catalases (CAT), peroxidases (POD), superoxide dismutases (SOD), and increased production of SA, JA, jasmonic acid-isoleucine (JA-Ile) and jasmonic acid methyl ester (MeJA), accompanied by reduced T. putrescentiae feeding and suppressed its population. We also provide an overview of the phylogenetic distribution of lectins across 22 fungal genomes. Our findings shed light on the molecular mechanisms of P. ostreatus' defense against the mite predator and will be useful in investigating the molecular basis of fungi-fungivory interactions and gene mining for pest-resistance genes.</t>
  </si>
  <si>
    <t>[Liu, Junjie; Li, Cuixin; Qu, Shaoxuan] Southwest Forestry Univ, Sch Life Sci, Kunming, Yunnan, Peoples R China; [Li, Huiping; Luo, Xin; Ma, Lin; Qu, Shaoxuan] Jiangsu Acad Agr Sci, Inst Vegetable Crops, Nanjing, Peoples R China</t>
  </si>
  <si>
    <t>Southwest Forestry University - China; Jiangsu Academy of Agricultural Sciences</t>
  </si>
  <si>
    <t>Li, CX; Qu, SX (corresponding author), Southwest Forestry Univ, Sch Life Sci, Kunming, Yunnan, Peoples R China.;Qu, SX (corresponding author), Jiangsu Acad Agr Sci, Inst Vegetable Crops, Nanjing, Peoples R China.</t>
  </si>
  <si>
    <t>354802569@qq.com; qusx@jaas.ac.cn</t>
  </si>
  <si>
    <t>Li, Huiping/L-4778-2013</t>
  </si>
  <si>
    <t>Li, Huiping/0000-0003-4652-5278</t>
  </si>
  <si>
    <t>National Natural Science Foundation of China [32001911]; China Agriculture Research System of MOF and MARA [CARS-20]; Biological Quality Engineering Project [503190106]</t>
  </si>
  <si>
    <t>National Natural Science Foundation of China(National Natural Science Foundation of China (NSFC)); China Agriculture Research System of MOF and MARA; Biological Quality Engineering Project</t>
  </si>
  <si>
    <t>This research was funded by the National Natural Science Foundation of China (32001911), the China Agriculture Research System of MOF and MARA (CARS-20), and Biological Quality Engineering Project (503190106).</t>
  </si>
  <si>
    <t>1664-302X</t>
  </si>
  <si>
    <t>FRONT MICROBIOL</t>
  </si>
  <si>
    <t>Front. Microbiol.</t>
  </si>
  <si>
    <t>APR 27</t>
  </si>
  <si>
    <t>10.3389/fmicb.2023.1191500</t>
  </si>
  <si>
    <t>G0AF5</t>
  </si>
  <si>
    <t>WOS:000985874600001</t>
  </si>
  <si>
    <t>Jeulin, C; Seltzer, V; Bailbé, D; Andreau, K; Marano, F</t>
  </si>
  <si>
    <t>Jeulin, Claudette; Seltzer, Virginie; Bailbe, Danielle; Andreau, Karine; Marano, Francelyne</t>
  </si>
  <si>
    <t>EGF mediates calcium-activated chloride channel activation in the human bronchial epithelial cell line 16HBE14o-:: involvement of tyrosine kinase p60c-src</t>
  </si>
  <si>
    <t>AMERICAN JOURNAL OF PHYSIOLOGY-LUNG CELLULAR AND MOLECULAR PHYSIOLOGY</t>
  </si>
  <si>
    <t>calcium-activated chloride channels; patch-clamp technique; epidermal growth factor receptor; Src tyrosine kinase</t>
  </si>
  <si>
    <t>GROWTH-FACTOR RECEPTOR; HYDROXYL RADICALS; CYSTIC-FIBROSIS; SRC; EXPRESSION; SECRETION; VOLUME; AMPHIREGULIN; INHIBITION; RELEASE</t>
  </si>
  <si>
    <t>Particulate atmospheric pollutants interact with the human airway epithelium, which releases cytokines, chemokines, and EGF receptor (EGFR) ligands leading to proinflammatory responses. There is little information concerning the short-term effects of EGFR activation by extracellular ligands on ionic regulation of airway surface lining fluids. We identified in the membrane of human epithelial bronchial cells (16HBE14o(-) line) an endogenous calcium- and voltage-dependent, outwardly rectifying small-conductance chloride channel (CACC), and we examined the effects of EGF on CACC activity. Ion channel currents were recorded with the patch-clamp technique. In cell-attached membrane patches, CACC were activated by exposure of the external surface of the cells to physiological concentrations of EGF without any change in cytosolic Ca2+ concentration ([Ca2+](i)) and inhibited by tyrphostin AG-1478 (an inhibitor of EGFR that also blocks EGF-dependent Src family kinase activation). EGF activation of c-Src protein in 16HBE14o(-) cells was observed, and the signaling pathway elicited by EGFR was blocked by tyrphostin AG-1478. In excised inside-out membrane patches CACC were activated by exposure of the cytoplasmic face of the channels to the human recombinant Src(p60(c-src)) kinase with endogenous or exogenous ATP and inhibited by lambda-protein phosphatase. Secretion of EGFR ligands by epithelial airway cells exposed to pollutants would then elicit a rapid and direct ionic response of CACC mediated by EGFR activation via a Src kinase family-dependent signaling pathway.</t>
  </si>
  <si>
    <t>[Jeulin, Claudette; Seltzer, Virginie; Andreau, Karine; Marano, Francelyne] Univ Paris 07, Lab Cytophysiol &amp; Toxicol Cellulaire, CNRS, ESA 7059, F-75251 Paris 05, France; [Bailbe, Danielle] Univ Paris 07, Lab Physiopathol Nutr, CNRS, ESA 7059, F-75251 Paris 05, France</t>
  </si>
  <si>
    <t>Universite Paris Cite; Centre National de la Recherche Scientifique (CNRS); Centre National de la Recherche Scientifique (CNRS); Universite Paris Cite</t>
  </si>
  <si>
    <t>Jeulin, C (corresponding author), Univ Paris 07, Lab Cytophysiol &amp; Toxicol Cellulaire, CNRS, ESA 7059, Case Courrier 7073,3Eme Etage,T53-54,2 Pl Jussieu, F-75251 Paris 05, France.</t>
  </si>
  <si>
    <t>claudette.jeulin@univ-paris-diderot.fr</t>
  </si>
  <si>
    <t>Andreau, Karine/0000-0002-9773-0733</t>
  </si>
  <si>
    <t>Universite Paris VII; Denis Diderot; EA DRED [1553]</t>
  </si>
  <si>
    <t>Universite Paris VII; Denis Diderot; EA DRED</t>
  </si>
  <si>
    <t>This research was supported by grants 2005-2008 from Universite Paris VII, Denis Diderot, EA DRED 1553.</t>
  </si>
  <si>
    <t>1040-0605</t>
  </si>
  <si>
    <t>1522-1504</t>
  </si>
  <si>
    <t>AM J PHYSIOL-LUNG C</t>
  </si>
  <si>
    <t>Am. J. Physiol.-Lung Cell. Mol. Physiol.</t>
  </si>
  <si>
    <t>L489</t>
  </si>
  <si>
    <t>L496</t>
  </si>
  <si>
    <t>10.1152/ajplung.90282.2008</t>
  </si>
  <si>
    <t>Physiology; Respiratory System</t>
  </si>
  <si>
    <t>343SH</t>
  </si>
  <si>
    <t>WOS:000258874700011</t>
  </si>
  <si>
    <t>Cela-Dablanca, R; Barreiro, A; Rodríguez-López, L; Santás-Miguel, V; Arias-Estévez, M; Fernández-Sanjurjo, MJ; Alvarez-Rodríguez, E; Núñez-Delgado, A</t>
  </si>
  <si>
    <t>Cela-Dablanca, Raquel; Barreiro, Ana; Rodriguez-Lopez, Lucia; Santas-Miguel, Vanesa; Arias-Estevez, Manuel; Fernandez-Sanjurjo, Maria J.; Alvarez-Rodriguez, Esperanza; Nunez-Delgado, Avelino</t>
  </si>
  <si>
    <t>Amoxicillin Retention/Release in Agricultural Soils Amended with Different Bio-Adsorbent Materials</t>
  </si>
  <si>
    <t>antibiotics; bio-adsorbents; emerging pollutants; soil pollution</t>
  </si>
  <si>
    <t>ANTIBIOTIC-RESISTANT BACTERIA; WASTE-WATER; MUSSEL-SHELL; PINE BARK; BY-PRODUCTS; OAK ASH; VETERINARY ANTIBIOTICS; REMOVAL; ADSORPTION; CHROMIUM</t>
  </si>
  <si>
    <t>The antibiotic amoxicillin (AMX) may reach soils and other environmental compartments as a pollutant, with potential to affect human and environmental health. To solve/minimize these hazards, it would be clearly interesting to develop effective and low-cost methods allowing the retention/removal of this compound. With these aspects in mind, this work focuses on studying the adsorption/desorption of AMX in different agricultural soils, with and without the amendment of three bio-adsorbents, specifically, pine bark, wood ash and mussel shell. For performing the research, batch-type experiments were carried out, adding increasing concentrations of the antibiotic to soil samples with and without the amendment of these three bio-adsorbents. The results showed that the amendments increased AMX adsorption, with pine bark being the most effective. Among the adsorption models that were tested, the Freundlich equation was the one showing the best fit to the empirical adsorption results. Regarding the desorption values, there was a decrease affecting the soils to which the bio-adsorbents were added, with overall desorption not exceeding 6% in any case. In general, the results indicate that the bio-adsorbents under study contributed to retaining AMX in the soils in which they were applied, and therefore reduced the risk of contamination by this antibiotic, which can be considered useful and relevant to protect environmental quality and public health.</t>
  </si>
  <si>
    <t>[Cela-Dablanca, Raquel; Barreiro, Ana; Fernandez-Sanjurjo, Maria J.; Alvarez-Rodriguez, Esperanza; Nunez-Delgado, Avelino] Univ Santiago de Compostela, Engn Polytech Sch, Dept Soil Sci &amp; Agr Chem, Lugo 27002, Spain; [Rodriguez-Lopez, Lucia; Santas-Miguel, Vanesa; Arias-Estevez, Manuel] Univ Vigo, Soil Sci &amp; Agr Chem, Fac Sci, Orense 32004, Spain</t>
  </si>
  <si>
    <t>Cela-Dablanca, R (corresponding author), Univ Santiago de Compostela, Engn Polytech Sch, Dept Soil Sci &amp; Agr Chem, Lugo 27002, Spain.</t>
  </si>
  <si>
    <t>raquel.dablanca@usc.es; ana.barreiro.bujan@usc.es; lucia.rodriguez.lopez@uvigo.es; vsantas@uvigo.es; mastevez@uvigo.es; mf.sanjurjo@usc.es; esperanza.alvarez@usc.es; avelino.nunez@usc.es</t>
  </si>
  <si>
    <t>Rodríguez López, Lucía/GVT-8863-2022; Barreiro, Ana/ABG-2552-2021; Fernández-Sanjurjo, María/ABC-6938-2020; Alvarez, Esperanza/B-3154-2018; Nunez-Delgado, Avelino/K-3964-2013; Arias-Estevez, Manuel/M-8629-2016</t>
  </si>
  <si>
    <t>Santas-Miguel, Vanesa/0000-0002-8922-3053; Alvarez, Esperanza/0000-0003-3470-2679; Barreiro, Ana/0000-0003-2680-6590; Cela-Dablanca, Raquel/0000-0003-2826-799X; Fernandez-Sanjurjo, Maria J./0000-0001-6728-7147; Nunez-Delgado, Avelino/0000-0001-5373-1606; Arias-Estevez, Manuel/0000-0002-9162-1587</t>
  </si>
  <si>
    <t>Spanish Ministry of Science, Innovation and Universities [RTI2018-099574-B-C21, RTI2018-099574-B-C22]</t>
  </si>
  <si>
    <t>Spanish Ministry of Science, Innovation and Universities(Spanish Government)</t>
  </si>
  <si>
    <t>This research was funded by Spanish Ministry of Science, Innovation and Universities, grant numbers RTI2018-099574-B-C21 and RTI2018-099574-B-C22.</t>
  </si>
  <si>
    <t>10.3390/ma15093200</t>
  </si>
  <si>
    <t>1F8UG</t>
  </si>
  <si>
    <t>WOS:000795436300001</t>
  </si>
  <si>
    <t>Dissanayake, A; Scarlett, AG; Jha, AN</t>
  </si>
  <si>
    <t>Dissanayake, Awantha; Scarlett, Alan G.; Jha, Awadhesh N.</t>
  </si>
  <si>
    <t>Diamondoid naphthenic acids cause in vivo genetic damage in gills and haemocytes of marine mussels</t>
  </si>
  <si>
    <t>Oil sands process-affected water; Comet assay; Genotoxicity; Mytilus; Naphthenic acids; Adamantane</t>
  </si>
  <si>
    <t>PROCESS-AFFECTED WATER; GAS CHROMATOGRAPHY/MASS SPECTROMETRY; UNRESOLVED COMPLEX-MIXTURES; RAINBOW-TROUT HEPATOCYTES; COMET ASSAY; DNA-DAMAGE; TRANSCRIPTIONAL RESPONSES; AROMATIC-HYDROCARBONS; MYTILUS-EDULIS; OIL</t>
  </si>
  <si>
    <t>Diamondoids are polycyclic saturated hydrocarbons that possess a cage-like carbon skeleton approaching that of diamond. These 'nano-diamonds' are used in a range of industries including nanotechnologies and biomedicine. Diamondoids were thought to be highly resistant to degradation, but their presumed degradation acid products have now been found in oil sands process-affected waters (OSPW) and numerous crude oils. Recently, a diamondoid-related structure, 3-noradamantane carboxylic acid, was reported to cause genetic damage in trout hepatocytes under in vitro conditions. This particular compound has never been reported in the environment but led us to hypothesise that other more environmentally relevant diamondoid acids could also be genotoxic. We carried out in vivo exposures (3 days, semi-static) of marine mussels to two environmentally relevant diamondoid acids, 1-adamantane carboxylic acid and 3,5-dimethyladamantane carboxylic acid plus 3-noradamantane carboxylic acid with genotoxic damage assessed using the Comet assay. An initial screening test confirmed that these acids displayed varying degrees of genotoxicity to haemocytes (increased DNA damage above that of controls) when exposed in vivo to a concentration of 30 mu mol L-1. In a further test focused on 1-adamantane carboxylic acid with varying concentrations (0.6, 6 and 30 mu mol L-1), significant (P &lt; 0.05 %) DNA damage was observed in different target cells (viz. gills and haemocytes) at 0.6 mu mol L-1. Such a level of induced genetic damage was similar to that observed following exposure to a known genotoxin, benzo(a)pyrene (exposure concentration, 0.8 mu mol L-1). These findings may have implications for a range of worldwide industries including oil extraction, nanotechnology and biomedicine.</t>
  </si>
  <si>
    <t>[Dissanayake, Awantha; Jha, Awadhesh N.] Univ Plymouth, Sch Biol Sci, Plymouth PL4 8AA, Devon, England; [Scarlett, Alan G.] Univ Plymouth, Biogeochem Res Ctr, Petr &amp; Environm Geochem Grp, Plymouth PL4 8AA, Devon, England; [Scarlett, Alan G.] Curtin Univ, Dept Chem, Inst Geosci Res, WA Organ &amp; Isotope Geochem Ctr, Bldg 500,Kent St,GPO Box U1987, Perth, WA 6845, Australia</t>
  </si>
  <si>
    <t>University of Plymouth; University of Plymouth; Curtin University</t>
  </si>
  <si>
    <t>Scarlett, AG (corresponding author), Univ Plymouth, Biogeochem Res Ctr, Petr &amp; Environm Geochem Grp, Plymouth PL4 8AA, Devon, England.;Scarlett, AG (corresponding author), Curtin Univ, Dept Chem, Inst Geosci Res, WA Organ &amp; Isotope Geochem Ctr, Bldg 500,Kent St,GPO Box U1987, Perth, WA 6845, Australia.</t>
  </si>
  <si>
    <t>alan.scarlett@plymouth.ac.uk</t>
  </si>
  <si>
    <t>Dissanayake, Awantha/G-7017-2011; Scarlett, Alan/M-3235-2017</t>
  </si>
  <si>
    <t>Jha, Awadhesh/0000-0001-9660-4308; Scarlett, Alan/0000-0002-9559-2154</t>
  </si>
  <si>
    <t>European Research Council [228149]; European Research Council (ERC) [228149] Funding Source: European Research Council (ERC)</t>
  </si>
  <si>
    <t>European Research Council(European Research Council (ERC)); European Research Council (ERC)(European Research Council (ERC))</t>
  </si>
  <si>
    <t>Funding for this study was provided by the European Research Council via an Advanced Investigators Award to Professor S. Rowland for project 'OUTREACH' (agreement no. 228149).</t>
  </si>
  <si>
    <t>10.1007/s11356-016-6268-2</t>
  </si>
  <si>
    <t>DI6TF</t>
  </si>
  <si>
    <t>WOS:000373632400100</t>
  </si>
  <si>
    <t>Li, ZY; Qi, RC; Li, YF; Miao, JJ; Li, YB; He, ZH; Zhang, N; Pan, LQ</t>
  </si>
  <si>
    <t>Li, Zeyuan; Qi, Ruicheng; Li, Yufen; Miao, Jingjing; Li, Yaobing; He, Zhiheng; Zhang, Ning; Pan, Luqing</t>
  </si>
  <si>
    <t>Source-specific ecological and health risks of polycyclic aromatic hydrocarbons in the adjacent coastal area of the Yellow River Estuary, China</t>
  </si>
  <si>
    <t>POSITIVE MATRIX FACTORIZATION; SOURCE APPORTIONMENT; PETROLEUM-HYDROCARBONS; SPATIAL-DISTRIBUTION; SURFACE SEDIMENTS; WATER COLUMN; BOHAI BAY; PAHS; POLLUTION; EMISSIONS</t>
  </si>
  <si>
    <t>Industrialization and urbanization have led to increasing levels of PAH pollution in highly urbanized estuaries and their adjacent coastal areas globally. This study focused on the adjacent coastal area of the Yellow River Estuary (YRE) and collected surface seawater, surface sediment, and clams Ruditapes philippinarum and Mactra veneriformis at four sites (S1 to S4) in May, August, and October 2021 to analyze the source-specific ecological and health risks and bioeffects. The findings revealed that the main sources of PAHs were traffic emission (25.2% to 28.5%), petroleum sources (23.3% to 29.5%), coal combustion (24.7% to 27.5%), and biomass combustion (19.8% to 20.7%). Further, the PMF-RQ and PMF-ILCR analyses indicated that traffic emission was the primary contributor to ecological risks in seawater and health risks in both clam species, while coal combustion was the major contributor in sediment. Taken together, it is recommended to implement control strategies for PAH pollution following the priority order: traffic &gt; coal &gt; petroleum &gt; biomass, to reduce the content and risk of PAHs in the YRE.</t>
  </si>
  <si>
    <t>[Li, Zeyuan; Qi, Ruicheng; Li, Yufen; Miao, Jingjing; Li, Yaobing; He, Zhiheng; Zhang, Ning] Ocean Univ China, Key Lab Mariculture, Minist Educ, Qingdao 266003, Peoples R China; [Pan, Luqing] Ocean Univ China, Fisheries Coll, Yushan Rd 5, Qingdao 266003, Peoples R China</t>
  </si>
  <si>
    <t>liu, qi/KHC-7509-2024; Li, Zeyuan/AAK-2437-2020</t>
  </si>
  <si>
    <t>Li, Zeyuan/0009-0006-2088-8707</t>
  </si>
  <si>
    <t>Key Technology Research and Development Program of Shandong Province [2018GHY115007]; Key Technology Research and Development Program of Shandong Province [32273106]; National Natural Science Foundation of China</t>
  </si>
  <si>
    <t>Key Technology Research and Development Program of Shandong Province; Key Technology Research and Development Program of Shandong Province; National Natural Science Foundation of China(National Natural Science Foundation of China (NSFC))</t>
  </si>
  <si>
    <t>We thank the staff at the Laboratory of Environmental Physiology of Aquatic Animal for assisting in sampling the seawater, sediment, and clams R. philippinarum and M. veneriformis. This work was financially supported by the Key Technology Research and Development Program of Shandong Province (no. 2018GHY115007) and the National Natural Science Foundation of China (General Program) (no. 32273106).</t>
  </si>
  <si>
    <t>10.1039/d3em00419h</t>
  </si>
  <si>
    <t>GE3J9</t>
  </si>
  <si>
    <t>WOS:001109777800001</t>
  </si>
  <si>
    <t>Lahijanzadeh, AR; Rouzbahani, MM; Sabzalipour, S; Nabavi, SMB</t>
  </si>
  <si>
    <t>Lahijanzadeh, Ahmad Reza; Rouzbahani, Maryam Mohammadi; Sabzalipour, Sima; Nabavi, Seyed Mohammad Bagher</t>
  </si>
  <si>
    <t>Ecological risk of potentially toxic elements (PTEs) in sediments, seawater, wastewater, and benthic macroinvertebrates, Persian Gulf</t>
  </si>
  <si>
    <t>Sediment; Water; Wastewater; Bivalve; PTEs; Persian Gulf</t>
  </si>
  <si>
    <t>HEAVY-METAL CONCENTRATIONS; POLYCYCLIC AROMATIC-HYDROCARBONS; OYSTER CRASSOSTREA-HONGKONGENSIS; HEALTH-RISK; SURFACE SEDIMENTS; MUSA ESTUARY; TRACE-METALS; DIFFERENT TISSUES; OF-CALIFORNIA; COASTAL AREAS</t>
  </si>
  <si>
    <t>In the current study, ecological risk of potentially toxic elements (PTEs) in sediments, seawater, wastewater, soft tissues and shell of a major fouling species Callista florida (C. florida) and soft tissue of rocky oyster, Saccostrea cucullata (S. cucullata) are investigated. For this purpose, 25 sediment samples, 24 seawater samples, 28 wastewater samples, and 100 bivalve samples were collected for PTEs analysis. Risk index (RI) and sediment quality guidelines along with calculated enrichment factors (EF) and PTEs profiles revealed that Musa Estuary is threatened by contamination, especially with respect to Hg, Cu, and Zn. The decreasing trend of average element enrichment factor is: Hg &gt; Cu &gt; Ni &gt; Cd &gt; Zn &gt; Co &gt; Cr &gt; Mn &gt; Fe &gt; As &gt; Pb &gt; Mo &gt; Sb. Among the investigated elements, Hg indicated the highest potential ecological risk factor in sediment (RI and EF are 1341.6 and 214.66 close to the industrial area). The Ficklin chart results demonstrated that seawater samples almost plot in regions with high metal load and pH values were the same. Mean concentrations of PTEs in water samples were 1.2 (for Cu) to 6565 (for Hg) times higher than world seawater. Regarding wastewater, pH values changed from very acidic to alkaline while PTEs load ranged from low to high load. In general, PTEs concentration in water samples was higher compared to those of the world seawater. Based on the results obtained in this biomonitoring study, elevated concentrations of Al, Fe, Cu, and Zn were found in soft tissue of C. florida and S. cucullata. Statistical analysis revealed significant differences in PTEs concentration between the two studied species. Generally, most PTEs concentration including Al, Co, Cr, Fe, Mn, Ni, Pb, and Sb in soft tissue fall between water and sediment samples i.e., sediment &gt; biota &gt; water.</t>
  </si>
  <si>
    <t>[Lahijanzadeh, Ahmad Reza; Rouzbahani, Maryam Mohammadi; Sabzalipour, Sima; Nabavi, Seyed Mohammad Bagher] Islamic Azad Univ, Dept Environm, Ahvaz Branch, Ahvaz, Iran</t>
  </si>
  <si>
    <t>Rouzbahani, MM (corresponding author), Islamic Azad Univ, Dept Environm, Ahvaz Branch, Ahvaz, Iran.</t>
  </si>
  <si>
    <t>Mmohammadiroozbahani@yahoo.com</t>
  </si>
  <si>
    <t>Sabzalipour, Sima/AAN-5016-2021; Rouzbahani, Maryam/AAN-3285-2021</t>
  </si>
  <si>
    <t>Nabavi, Seyed Mohammad Bagher/0000-0003-3157-0754; Mohammadi Roozbahani, Maryam/0000-0002-0684-9932</t>
  </si>
  <si>
    <t>10.1016/j.marpolbul.2019.05.030</t>
  </si>
  <si>
    <t>WOS:000482493000044</t>
  </si>
  <si>
    <t>Micheline, G; Rachida, C; Céline, M; Gaby, K; Rachid, A; Petru, J</t>
  </si>
  <si>
    <t>Micheline, Ghosn; Rachida, Chekri; Celine, Mahfouz; Gaby, Khalaf; Rachid, Amara; Petru, Jitaru</t>
  </si>
  <si>
    <t>Levels of Pb, Cd, Hg and As in Fishery Products from the Eastern Mediterranean and Human Health Risk Assessment due to their Consumption</t>
  </si>
  <si>
    <t>Fishery products; Trace elements; ICP-MS; Eastern Mediterranean; Lebanese coast; Health risk assessment</t>
  </si>
  <si>
    <t>HEAVY-METALS CONCENTRATIONS; ADULT URBAN-POPULATION; DIETARY EXPOSURE; COASTAL WATERS; MUGIL-CEPHALUS; TRACE-ELEMENTS; YANGTZE-RIVER; SEA; MERCURY; SHELLFISH</t>
  </si>
  <si>
    <t>This study reports the contamination assessment of Pb, Cd, Hg and As in three fish species, one shrimp and one bivalve sampled from the Eastern Mediterranean (Lebanese coast). The samples were collected from three sites characterized by different types and levels of pollution. Pb, Cd, Hg and As levels were measured by inductively coupled plasma mass spectrometry following closed microwave (acid) digestion and using, for the first time, an accredited method to analyze Lebanese fishery products. The bivalve species showed the highest concentrations of Cd (0.09-1.19 mu gg(-1)ww), Pb (0.02-0.56 mu gg(-1) ww) and As (1.63-36.76 mu gg(-1) ww), whereas fish exhibited higher Hg concentrations (&lt;0.0084-0.25 mu gg(-1) ww) compared to crustaceans and bivalves (0.02-0.06 mu gg(-1) ww and&lt;0.008-0.023 mu gg(-1) ww, respectively). Trace metals concentrations were found to be below the maximum levels set by the European Commission. The human health risk of each contaminant was assessed using two different methods, namely target hazard quotients (THQs) and estimated weekly intake (EWI). All calculated THQs were&lt;1 and EWI was lower than the correspondent provisional tolerable weekly intake (PTWI) for all elements, indicating that the consumption of fishery products that were analyzed in this study is unlikely to cause adverse effects in human health. Article HighlightsTrace levels of Pb, Cd, Hg and As were assessed in three fish species, one crustacean and one bivalve from the Eastern Mediterranean (Lebanese coast).Human health risk was assessed using target hazard quotient and estimated weekly intake.A comparison study with data from other countries from the Mediterranean basin is provided.</t>
  </si>
  <si>
    <t>[Micheline, Ghosn; Rachid, Amara] Univ Lille, Univ Littoral Cote Opale, LOG, CNRS,UMR 8187, F-62930 Wimereux, France; [Micheline, Ghosn; Rachida, Chekri; Petru, Jitaru] Univ Paris Est, Lab Food Safety, Anses, F-94700 Maisons Alfort, France; [Micheline, Ghosn; Celine, Mahfouz; Gaby, Khalaf] CNRS L, Natl Ctr Marine Sci, POB 534, Batroun, Lebanon</t>
  </si>
  <si>
    <t>Centre National de la Recherche Scientifique (CNRS); CNRS - National Institute for Earth Sciences &amp; Astronomy (INSU); Universite du Littoral-Cote-d'Opale; Universite de Lille; Agence Nationale de Securite Sanitaire de l'Alimentation, de l'Environnement du Travail (ANSES); Laboratoire de Securite Aliments; Ecole Nationale Veterinaire d'Alfort (ENVA); Centre National de la Recherche Scientifique (CNRS) - Lebanon; National Center for Marine Sciences (CNRSL)</t>
  </si>
  <si>
    <t>Petru, J (corresponding author), Univ Paris Est, Lab Food Safety, Anses, F-94700 Maisons Alfort, France.</t>
  </si>
  <si>
    <t>RACHID, AMARA/E-2525-2012</t>
  </si>
  <si>
    <t>Ghosn, Micheline/0000-0001-8803-7454; AMARA, Rachid/0000-0002-7183-1333</t>
  </si>
  <si>
    <t>This Ph.D. scholarship was funded by the Lebanese National Council for Scientific Research (CNRS-L). MG is also grateful to Anses-Laboratory for Food Safety for offering her the opportunity to carry out the PhD project in the Department of Food chemical contaminants.</t>
  </si>
  <si>
    <t>10.1007/s41742-019-00185-w</t>
  </si>
  <si>
    <t>IA9MT</t>
  </si>
  <si>
    <t>WOS:000469882000001</t>
  </si>
  <si>
    <t>Ramos-Gómez, J; Coz, A; Viguri, JR; Luque, A; Martín-Díaz, ML; DelValls, TA</t>
  </si>
  <si>
    <t>Ramos-Gomez, Julia; Coz, Alberto; Viguri, Javier R.; Luque, Angel; Laura Martin-Diaz, M.; Angel DelValls, T.</t>
  </si>
  <si>
    <t>Biomarker responsiveness in different tissues of caged Ruditapes philippinarum and its use within an integrated sediment quality assessment</t>
  </si>
  <si>
    <t>Bivalve; Exposure biomarkers; Effect biomarkers; Multivariate analysis; Integrated sediment quality</t>
  </si>
  <si>
    <t>ENVIRONMENTAL RISK-ASSESSMENT; OXIDATIVE STRESS BIOMARKERS; BIOCHEMICAL RESPONSES; LIPID-PEROXIDATION; SEASONAL-VARIATION; TEMPORAL VARIATION; AQUATIC ORGANISMS; DIGESTIVE GLAND; CARCINUS-MAENAS; MARINE</t>
  </si>
  <si>
    <t>Biomarkers comprising activities of biotransformation enzymes (ethoxyresorufin-O-deethylase-EROD-, dibenzylfluorescein dealkylase -DBF-, glutathione S-transferase -GST), antioxidant enzymes (glutathione reductase -GR- and glutathione peroxidase -GPX), lipid peroxidation -LPO- and DNA strand breaks were analyzed in the clam Ruditapes philippinarum caged at Cadiz Bay, Santander Bay and Las Palmas de Gran Canaria (LPGC) Port (Spain). Sediments were characterized. Digestive gland was the most sensitive tissue to sediment contamination. In Cadiz Bay, changes in LPO regarding day 0 were related with metals. In LPGC Port, DBF, EROD, and GST activity responses suggested the presence of undetermined contaminants which might have led to DNA damage. In Santander Bay, PAHs were related with EROD activity, organic and metal contamination was found to be associated with GR and GST activities and DNA damage presented significant (p &lt; 0.05) induction. R. philippinarum was sensitive to sediment contamination at biochemical level. Biomarkers allowed chemical exposure and sediment quality assessment. (C) 2011 Elsevier Ltd. All rights reserved.</t>
  </si>
  <si>
    <t>[Ramos-Gomez, Julia; Laura Martin-Diaz, M.; Angel DelValls, T.] Univ Cadiz, UNITWIN UNESCO WiCoP, Dept Quim Fis, Fac Ciencias Mar &amp; Ambientales, Cadiz 11510, Spain; [Coz, Alberto; Viguri, Javier R.] Univ Cantabria, Dpto Ingn Quim &amp; Quim Inorgan, ETSIIT, E-39005 Santander, Spain; [Luque, Angel] Univ Las Palmas Gran Canaria, Dept Biol, Gran Canaria, Canary Isl, Spain; [Laura Martin-Diaz, M.] Univ Cadiz, Ctr Andaluz Ciencia &amp; Tecnol Marinas CACYTMAR, Cadiz 11510, Spain</t>
  </si>
  <si>
    <t>Universidad de Cadiz; Universidad de Cantabria; Universidad de Las Palmas de Gran Canaria; Universidad de Cadiz</t>
  </si>
  <si>
    <t>Ramos-Gómez, J (corresponding author), Univ Cadiz, UNITWIN UNESCO WiCoP, Dept Quim Fis, Fac Ciencias Mar &amp; Ambientales, Campus Univ Puerto Real, Cadiz 11510, Spain.</t>
  </si>
  <si>
    <t>julia.ramosgomez@uca.es</t>
  </si>
  <si>
    <t>Ramos-Gómez, Julia/AAB-4479-2020; Viguri, Javier/K-4011-2014; Coz, Alberto/A-7293-2017; Del Valls, T. Angel/K-9664-2014</t>
  </si>
  <si>
    <t>Martin-Diaz, M. Laura/0000-0003-0400-0641; Viguri, Javier/0000-0002-6658-0429; Coz, Alberto/0000-0002-0453-4769; Del Valls, T. Angel/0000-0001-7674-9278</t>
  </si>
  <si>
    <t>Spanish Ministry of Education; Spanish Ministry of Science and Innovation [CTM2008-06344-C03-02/TECNO, CTM2008-06344-C03-03/TECNO]; Junta de Andalucia [P08-556 RNM-3924]</t>
  </si>
  <si>
    <t>Spanish Ministry of Education(Spanish Government); Spanish Ministry of Science and Innovation(Spanish Government); Junta de Andalucia(Junta de Andalucia)</t>
  </si>
  <si>
    <t>J. Ramos-Gomez work was funded by Spanish Ministry of Education (FPU grant). This research was partially supported by Spanish Ministry of Science and Innovation (CTM2008-06344-C03-02/TECNO and CTM2008-06344-C03-03/TECNO) and Junta de Andalucia (P08-556 RNM-3924). Authors thank members of CSIC and CIS for their constant cooperation, Antonio Moreno for his advice in the field and Carmen Ramos Gomez and Robert Dunn for reviewing the English of the manuscript.</t>
  </si>
  <si>
    <t>10.1016/j.envpol.2011.03.030</t>
  </si>
  <si>
    <t>WOS:000291774200023</t>
  </si>
  <si>
    <t>Alves, LC; Borgmann, U; Dixon, DG</t>
  </si>
  <si>
    <t>Alves, L. C.; Borgmann, U.; Dixon, D. G.</t>
  </si>
  <si>
    <t>Kinetics of uranium uptake in soft water and the effect of body size, bioaccumulation and toxicity to Hyalella azteca</t>
  </si>
  <si>
    <t>Kinetics; Uranium; Hyalella azteca; Body size; Toxicity</t>
  </si>
  <si>
    <t>METAL BIOACCUMULATION; CRUSTACEA; CADMIUM; AMPHIPODA; COPPER; ZINC; BIVALVE; ONTARIO; CANADA; MODEL</t>
  </si>
  <si>
    <t>The kinetics of uptake and the effect of body size on uranium (U) bioaccumulation and toxicity to Hyalella azteca exposed to water-only U concentrations in soft water were evaluated. The effect of body size on U bioaccumulation was significant with a slope of -0.35 between log body concentration and log body mass. A saturation kinetic model was satisfactory to describe the uptake rate, elimination rate and the effect of gut-clearance on size-corrected U bioaccumulation in H. azteca. The one-week lethal water concentrations causing 50% mortality for juvenile and adult H. azteca were 1100 and 4000 nmol U/L, respectively. The one-week lethal body concentration causing 50% mortality was 140 nmol U/g for juvenile H. azteca and 220 nmol U/g for adult H. azteca. One-week bioaccumulation studies that properly account for body-size and gut-clearance times can provide valuable data on U bioavailability and toxicity in the environment. (C) 2009 Elsevier Ltd. All rights reserved.</t>
  </si>
  <si>
    <t>[Alves, L. C.; Dixon, D. G.] Univ Waterloo, Dept Biol, Waterloo, ON N2L 3G1, Canada; [Alves, L. C.; Borgmann, U.] Environm Canada, Aquat Ecosyst Protect Res Div, Burlington, ON L7R 4A6, Canada</t>
  </si>
  <si>
    <t>University of Waterloo; Environment &amp; Climate Change Canada</t>
  </si>
  <si>
    <t>Dixon, DG (corresponding author), Univ Waterloo, Dept Biol, Waterloo, ON N2L 3G1, Canada.</t>
  </si>
  <si>
    <t>dgdixon@uwaterloo.ca</t>
  </si>
  <si>
    <t>Natural Sciences and Engineering Research Council of Canada (NSERC); Metals in the Human Environment (MITHE); NSERC Discovery</t>
  </si>
  <si>
    <t>Natural Sciences and Engineering Research Council of Canada (NSERC)(Natural Sciences and Engineering Research Council of Canada (NSERC)); Metals in the Human Environment (MITHE); NSERC Discovery(Natural Sciences and Engineering Research Council of Canada (NSERC))</t>
  </si>
  <si>
    <t>The authors gratefully acknowledge the financial support of the Natural Sciences and Engineering Research Council of Canada (NSERC) Metals in the Human Environment (MITHE) Strategic Network. A full list of sponsors is available at: www.mithe-rn.org. L.C. Alves was supported by an Ontario Graduate Scholarship, and by an NSERC Discovery Grant to D.G.D.</t>
  </si>
  <si>
    <t>10.1016/j.envpol.2009.04.006</t>
  </si>
  <si>
    <t>465LM</t>
  </si>
  <si>
    <t>WOS:000267586200008</t>
  </si>
  <si>
    <t>What are the outcomes of an industrial remediation on a metal-impacted hydrosystem? A 2-year field biomonitoring of the filter-feeding bivalve Corbicula fluminea</t>
  </si>
  <si>
    <t>Remediation; Recovery, metals; Metallothioneins; Gene expression; Corbicula fluminea</t>
  </si>
  <si>
    <t>PERIPHYTIC DIATOM COMMUNITIES; IN-SITU EXPOSURE; FRESH-WATER; CADMIUM ACCUMULATION; METALLOTHIONEIN RESPONSE; DREISSENA-POLYMORPHA; QUANTITATIVE PCR; EXPRESSION; POLLUTION; ZINC</t>
  </si>
  <si>
    <t>The Riou-Mort watershed (southwest France) exhibits high metal contaminations (Cd and Zn) related to an important mining past. In this context, a remediation process has been implemented in 2007 to reduce the watershed contamination. The aim of this study was to assess the early effectiveness of the remediation process on the hydrosystem contamination state. A biomonitoring was realized over two years (2008-2010) with the filter-feeding bivalve Corbicula fluminea, exposed along a contamination gradient. Several biological parameters were monitored: (1) Cd and Zn bioaccumulation, (2) Metallothionein (MT) production as detoxification mechanism, (3) differential gene expression (cat, sod, gst, 12S, cox1, mt). The physicochemical data highlighted strong metal contamination persistence in the river water and failed to demonstrate a significant decrease of metal contamination during the 2-year monitoring. The bioaccumulation results confirmed the persistence of a water contamination despite remediation works, with maximum values measured downstream from the industrial site (Joany). The bioaccumulation increased in 2010, reaching 69.3 +/- 5.3 mu g Cd g(-1) DW at Joany in July 2010, whereas it did not exceed 1.4 +/- 0.2 mu g Cd g(-1) DW at the reference site throughout the biomonitoring. MT concentrations were closely related to the contamination gradient, especially at Joany, demonstrating their strong involvement in the detoxification processes. The mt gene induction was strongly correlated to the MT and metal concentrations. The gene inductions of cat, sod, gst and 12S were correlated to both the metal concentrations and the seasonal variations, especially temperatures. This suggests that environmental factors require serious consideration for the interpretation of bioaccumulation kinetics and thus for the assessment of the remediation effectiveness. Consequently, the whole results did not yet highlight strong beneficial effects of remediation work on the hydrosystem contamination state. First benefits of that process should be progressively felt, once the remediation achieved, and should grandly accelerate the decontamination process of the contaminated area. (C) 2014 Elsevier Ltd. All rights reserved.</t>
  </si>
  <si>
    <t>[Baudrimont, M.] Univ Bordeaux 1, UMR CNRS EPOC 5805, F-33120 Arcachon, France; CNRS, UMR 5805, EPOC, F-33405 Talence, France</t>
  </si>
  <si>
    <t>Agence Nationale de la Recherche (ANR) through its two programs: CES (Contaminants Ecosystemes Sante) [ANR 08-CES-014]</t>
  </si>
  <si>
    <t>Agence Nationale de la Recherche (ANR) through its two programs: CES (Contaminants Ecosystemes Sante)(Agence Nationale de la Recherche (ANR))</t>
  </si>
  <si>
    <t>This work was supported by the Agence Nationale de la Recherche (ANR) through its two programs: CES (Contaminants Ecosystemes Sante) under the reference ANR 08-CES-014 and developed in the RE-SYST project; Blanc International II - SIMI 5-6-Environnement, Terre et Espace, TWIN RIVERS program. The authors would like to thank Veronique Duflo and Henri Bouillard, from the EPOC laboratory, for their support in field work and the UMICORE group (Viviez site) for their collaboration.</t>
  </si>
  <si>
    <t>10.1016/j.chemosphere.2014.01.042</t>
  </si>
  <si>
    <t>AJ7MU</t>
  </si>
  <si>
    <t>WOS:000337881600028</t>
  </si>
  <si>
    <t>Lathrop, RC</t>
  </si>
  <si>
    <t>Lathrop, Richard C.</t>
  </si>
  <si>
    <t>Perspectives on the eutrophication of the Yahara lakes</t>
  </si>
  <si>
    <t>LAKE AND RESERVOIR MANAGEMENT</t>
  </si>
  <si>
    <t>25th International Symposium of the North-American-Lake-Management-Society</t>
  </si>
  <si>
    <t>NOV, 2005</t>
  </si>
  <si>
    <t>Madison, WI</t>
  </si>
  <si>
    <t>blue-green algae; eutrophication; Kegonsa; Mendota; Monona; nitrogen; nonpoint source pollution; phosphorus; wastewater; Waubesa; Yahara lakes</t>
  </si>
  <si>
    <t>WATER CLARITY; MARINE ECOSYSTEMS; PHOSPHORUS; NITROGEN; MENDOTA; NUTRIENT; LIMITATION; MANAGEMENT; RESPONSES; ALGAE</t>
  </si>
  <si>
    <t>Eutrophication of the four Yahara lakes-Mendota, Monona, Waubesa, and Kegonsa-near Madison, Wisconsin, has been dramatic since the mid-1800s. For Lake Mendota, the erosion of sediments from higher water levels established by the damming of the lake's outlet, plus the agricultural expansion of its watershed, resulted in blue-green algal growths. These impacts, however, were dwarfed by water quality problems stemming from Madison's wastewater inputs that directly entered Lake Monona from the late 1800s through 1936, and then Lake Waubesa until 1958. Blue-green algal blooms were so bad in the lower Yahara lakes that the Madison Public Health Department conducted major copper sulfate treatments during 1925-1954. During the wastewater input years, inorganic nitrogen (N) and especially dissolved reactive phosphorus (DRP) concentrations in the surface waters were very high (particularly in Waubesa and Kegonsa), indicating neither nutrient was limiting algal growth. No P legacy from the wastewater inputs was found in Waubesa and Kegonsa's sediments; minimal P-binding potential due to low iron (Fe) availability is the hypothesized reason. Mendota's algal blooms were not a problem until the mid-1940s when wastewater inputs from upstream communities increased as well as the agricultural use of N and P fertilizers. This increase in eutrophication symptoms coincided with an increase in indices of DRP and inorganic N concentrations in the lake. After wastewater diversion in 1971, blue-green algal blooms persisted in Lake Mendota, and the onus of the problem shifted to agricultural and urban nonpoint source pollution. While much progress has been made in recent years to control these pollution sources to Mendota, manure runoff during late winter continues as a management problem. As evidence, P loadings during January to March constituted 48% of total loadings measured for 1990-2006 in the Yahara. River subwatershed. Much of this runoff P was dissolved and not associated with high sediment loads, whereas during other months, more of the runoff P was bound to sediments that could settle out in lower stream reaches prior to entering the lake. However, low P-binding potential of recently deposited sediments in Mendota along with signs of water quality improvements following periods of drought indicate the take could respond rapidly to nutrient input reductions. Finally, DRP and inorganic N concentrations since 1980 have indicated that algal growth in the Yahara lakes during July-August may have been limited by not only P, but N (especially in the lower Yahara lakes). Aggressive programs to reduce inputs from both nutrients will be important to prevent scum-forming blue-green algal blooms and filamentous algal growths that could become problematic once zebra mussels become established in the Yahara lakes.</t>
  </si>
  <si>
    <t>Univ Wisconsin, Wisconsin Dept Nat Resources, Bur Sci Serv, Madison Ctr Limnol, Madison, WI 53706 USA</t>
  </si>
  <si>
    <t>University of Wisconsin System; University of Wisconsin Madison</t>
  </si>
  <si>
    <t>Lathrop, RC (corresponding author), Univ Wisconsin, Wisconsin Dept Nat Resources, Bur Sci Serv, Madison Ctr Limnol, 680 N Pk St, Madison, WI 53706 USA.</t>
  </si>
  <si>
    <t>rlathrop@wisc.edu</t>
  </si>
  <si>
    <t>1040-2381</t>
  </si>
  <si>
    <t>2151-5530</t>
  </si>
  <si>
    <t>LAKE RESERV MANAGE</t>
  </si>
  <si>
    <t>Lake Reserv. Manag.</t>
  </si>
  <si>
    <t>10.1080/07438140709354023</t>
  </si>
  <si>
    <t>Limnology; Marine &amp; Freshwater Biology; Water Resources</t>
  </si>
  <si>
    <t>Marine &amp; Freshwater Biology; Water Resources</t>
  </si>
  <si>
    <t>333OQ</t>
  </si>
  <si>
    <t>WOS:000258162200004</t>
  </si>
  <si>
    <t>DAUER, DM</t>
  </si>
  <si>
    <t>BIOLOGICAL CRITERIA, ENVIRONMENTAL-HEALTH AND ESTUARINE MACROBENTHIC COMMUNITY STRUCTURE</t>
  </si>
  <si>
    <t>FRIERFJORD-LANGESUNDFJORD; CHESAPEAKE BAY; POLLUTION; DISTURBANCE; ATTRIBUTES; PREDATION; ABUNDANCE; GRADIENT; PATTERNS; HYPOXIA</t>
  </si>
  <si>
    <t>Biological criteria for defining water quality and the presence of acceptable levels of benthic resources are evaluated for estuarine macrobenthic communities of the lower Chesapeake Bay, USA. Models of expected community values as a function of salinity are presented for community biomass, numbers of individuals, species richness, percent biomass of deep-dwelling species, percent biomass of equilibrium species, and percent biomass of opportunistic species. The models presented may serve as, or be used to develop, biological criteria for estuaries. Tidal freshwater and oligohaline regions had the highest variability in model parameters due to patchily distributed, large-sized bivalve species. In the absence of data from pristine habitats, the models were developed from a 5 year data set (1985-1989) for stations considered to be minimally impacted. The models produced were used to evaluate benthic communities of two regions of the Chesapeake Bay-one exposed to summer low dissolved oxygen events (hypoxia/anoxia) and the other characterized by sediments contaminated with heavy metals and polynuclear aromatic hydrocarbons. Stations exposed to stress from either low dissolved oxygen events or contaminated sediments were characterized by 1. reduced community biomass, 2. reduced species richness, 3. less biomass consisting of deep-dwelling species and equilibrium species and 4. more biomass consisting of opportunistic species. Some unstressed habitats can be highly dominated by shallow-dwelling long-lived species, thus dominance of deep-dwelling species in biomass must be used with caution as a biological criterion. The number of individuals per m2 was highly variable for some stressed stations and this parameter is probably of limited value as a biological criterion characterizing the quality of estuarine habitats. No single method or analysis is likely to produce stress classifications without unacceptable misclassifications. Ecological stress, from any source, is best measured by multiple methods or analyses with different assumptions. The consistency of classification between different approaches would provide the robustness necessary to judge the reliability of a stress classification.</t>
  </si>
  <si>
    <t>OLD DOMINION UNIV, DEPT BIOL SCI, NORFOLK, VA 23529 USA.</t>
  </si>
  <si>
    <t>10.1016/0025-326X(93)90063-P</t>
  </si>
  <si>
    <t>LF396</t>
  </si>
  <si>
    <t>WOS:A1993LF39600006</t>
  </si>
  <si>
    <t>MINIER, C; GALGANI, F</t>
  </si>
  <si>
    <t>MULTI-XENOBIOTIC RESISTANCE IN MYTILUS-EDULIS</t>
  </si>
  <si>
    <t>Primers based on known multidrug resistance (MDR) protein sequences hybridized with Mytilus edulis cDNA and led to the amplification of two major bands (approximatly 350 and 2500 bases long) corresponding to fragments of expected size as compared to human MDR genes. MDR protein levels in mussel tissues can be quantified with an ELISA test using the monoclonal antibody C219.</t>
  </si>
  <si>
    <t>MINIER, C (corresponding author), IFREMER,RUE ILE YEU,F-44037 NANTES,FRANCE.</t>
  </si>
  <si>
    <t>10.1016/0141-1136(94)00056-U</t>
  </si>
  <si>
    <t>WOS:A1995QR26100054</t>
  </si>
  <si>
    <t>Qiu, DL; Liu, BH; Tang, Y; Yang, ZR</t>
  </si>
  <si>
    <t>Qiu Dunlian; Liu Benhong; Tang Ya; Yang Zhirong</t>
  </si>
  <si>
    <t>Camptotheca acuminata decne residue after camptothecin extract as a substrate to produce mushroom spawn</t>
  </si>
  <si>
    <t>JOURNAL OF MOUNTAIN SCIENCE</t>
  </si>
  <si>
    <t>Camptotheca acuminata Decne; Residue; Mushroom; Mycelial growth rate</t>
  </si>
  <si>
    <t>LENTINULA-EDODES; CULTIVATION</t>
  </si>
  <si>
    <t>Currently in China, no technically and economically viable methods exist to handle large quantities of Camptotheca acuminata Decne residue (CA residue) after camptothecin extract while there is a great demand for low cost alternatives to replace the cottonseed hull-based materials used in commercial mushroom culture. Hence, it is of importance for camptothecin extract factories and mushroom producers to explore the utilization of CA residue in mushroom industry. We conducted a research to study how partially or completely substituting traditional mushroom substrate by CA residue would influence the mycelial growth in mushroom spawn production. 5 mushroom strains from 4 species were used in the test, i.e., oyster mushroom (Pleurotus ostreatu) strains, Zayou No. 1 and Xide 33, needle mushroom (Flammulina velutipes) strain Chuanjin No. 3, hairy wood ear (Auricularia polytricha) strain Huang Er No. 10, and shiitake (Lentinula edodes) strain Wuxiang. The nutrient element composition and heavy metal contents of CA residue were determined to ensure its safety and to determine its appropriate component in the substrate formulation for mushroom spawn production. The four substrate formulations (one control - CK, and three treatments, named, T1, T2, T3,) contained 0%, 40%, 79%, and 100% CA residue, respectively, to allow comparison of the fungal mycelial growth. The control (CK) was the popularly used formulation in Chinese commercial mushroom production, comprising of 73% cottonseed hulls, 10% sawdust, 15% wheat bran, 1% lime, 1% white sugar (percentage by weight). All mushroom spawns of the five strains in the four treatments were incubated under the same conditions. The results showed that mycelia of the five mushroom strains grew significantly faster on the substrates containing CA residue than on the substrate with no CA residue (CK). There were no significant differences in the mycelial growth rate among treatments containing CA residue for the two oyster mushrooms and the needle mushroom, but mycelial growth rate in treatments T2 and T3 was significantly higher than in treatment T1 for hairy wood ear and shiitake. The results suggest that CA residue can be used to culture oyster mushroom, needle mushroom, hairy wood ear, and shiitake spawn, and the medium containing CA residue can stimulate their mycelial growth. The commercial production of mushroom spawn using CA residue not only brings better economical benefits including lower cost to mushroom producers, but also reduces environmental pollution by providing a means to reduce dumping and piling of CA residue.</t>
  </si>
  <si>
    <t>[Qiu Dunlian; Yang Zhirong] Sichuan Univ, Coll Life Sci, Chengdu 610064, Peoples R China; [Liu Benhong; Tang Ya] Sichuan Univ, Coll Architecture &amp; Environm, Chengdu 610064, Peoples R China; [Qiu Dunlian] Chinese Acad Sci, Inst Mt Hazards &amp; Environm, Chengdu 610041, Peoples R China</t>
  </si>
  <si>
    <t>Sichuan University; Sichuan University; Chinese Academy of Sciences; Institute of Mountain Hazards &amp; Environment, CAS</t>
  </si>
  <si>
    <t>Yang, ZR (corresponding author), Sichuan Univ, Coll Life Sci, Chengdu 610064, Peoples R China.</t>
  </si>
  <si>
    <t>qiudunlian@imde.ac.cn; bioyang@163.com</t>
  </si>
  <si>
    <t>QIU, Dunlian/0000-0003-2663-301X</t>
  </si>
  <si>
    <t>Crop Breeding Key Project of Sichuan Province [2006YZGG 26]</t>
  </si>
  <si>
    <t>Crop Breeding Key Project of Sichuan Province</t>
  </si>
  <si>
    <t>The research of this paper was funded by the Crop Breeding Key Project of Sichuan Province (Grant No. 2006YZGG 26). We are grateful to Prof. Iain E. Taylor (University of British Columbia, Canada) for valuable suggestions and detailed language editing.</t>
  </si>
  <si>
    <t>1672-6316</t>
  </si>
  <si>
    <t>J MT SCI-ENGL</t>
  </si>
  <si>
    <t>J Mt. Sci.</t>
  </si>
  <si>
    <t>10.1007/s11629-012-2553-9</t>
  </si>
  <si>
    <t>052LP</t>
  </si>
  <si>
    <t>WOS:000312199400010</t>
  </si>
  <si>
    <t>Lionetto, MG; Caricato, R; Giordano, ME; Pascariello, MF; Marinosci, L; Schettino, T</t>
  </si>
  <si>
    <t>Integrated use of biomarkers (acetylcholinesterase and antioxidant enzymes activities) in Mytilus galloprovincialis and Mullus barbatus in an Italian coastal marine area</t>
  </si>
  <si>
    <t>biomarkers; bioindicators; Mytilus galloprovincialis; Mullus barbatus; acetylcholinesterase; antioxidant enzymes</t>
  </si>
  <si>
    <t>CHOLINESTERASE ACTIVITY; MUSSEL; ORGANOPHOSPHATE; POLLUTION; SYSTEM; PESTICIDES; ORGANISMS; CARBARYL; EXPOSURE; TISSUES</t>
  </si>
  <si>
    <t>The use of biomarkers to evaluate the biological effects of chemical pollutants in marine organisms represents a recent tool in the monitoring field responding to the need to detect and assess the effects of chemical contaminants on the biota. The aim of the present work was the field application of the integrated use of acetylcholinesterase (AChE) and antioxidant enzymes (catalase-CAT, glutathione peroxidase-GSH-Px), for detecting the possible exposure/effect induced by chemical pollutants in native marine organisms from a coastal marine area, represented by Salento Peninsula (Italy), that shows a coastline of high environmental value, but under constant urban pressure, including agriculture activities, widely diffused in the whole hinterland. Eight sampling stations were chosen: four not urbanized areas considered uncontaminated controls and four clearly exposed to anthropogenic impact. The bioindicator species studied were a sessile invertebrate, Mytilus galloprovincialis, and a benthic teleost fish, Mullus barbatus. AChE activity in M. galloprovincialis revealed significant differences among places; the minimum values observed (3.9 +/- 1.8 nmol min(-1) mg(-1)) was about 50% reduced with respect to the maximum found (11.4 +/- 0.9 nmol min(-1) mg(-1)). The reduction in AChE activity observed in two control stations could be explained by the leaching of pesticides into the sea from the agricultural lands. Moreover, the inhibition of AChE activity by heavy metals besides pesticides, can also explain the reduction of the enzymatic activity observed in an industrialized and harbour area. In M. galloprovincialis AChE activity showed a significant inverse correlation with catalase activity but not with glutathione peroxidase that did not significantly change in animals sampled from the eight stations. Also in M. barbatus AChE activity showed significant differences among places; it was inversely correlated with liver GSH-Px activity, but not with catalase activity, that did not show any significantly variation in animals sampled in the different stations. In conclusion, the integrated use of AChE and antioxidant enzymes (catalase or glutathione peroxidase) in M. galloprovincialis and M. barbatus, two species living in different compartment of marine coastal ecosystem, can find a useful application within the framework of marine coastal environment monitoring programs for detecting the possible exposure/effect induced by chemical pollutants, including pesticides, on living marine organisms. (C) 2003 Elsevier Science Ltd. All rights reserved.</t>
  </si>
  <si>
    <t>Univ Lecce, Dipartimento Sci &amp; Tecnol Biol &amp; Ambientali, Lab Fisiol Gen Ambientale, I-73100 Lecce, Italy</t>
  </si>
  <si>
    <t>Univ Lecce, Dipartimento Sci &amp; Tecnol Biol &amp; Ambientali, Lab Fisiol Gen Ambientale, Via Prov Lecce Monteroni, I-73100 Lecce, Italy.</t>
  </si>
  <si>
    <t>schettino, trifone/0000-0002-4484-9677; Lionetto, Maria Giulia/0000-0003-3752-0192; caricato, roberto/0000-0002-7928-4573</t>
  </si>
  <si>
    <t>10.1016/S0025-326X(02)00403-4</t>
  </si>
  <si>
    <t>WOS:000181579000018</t>
  </si>
  <si>
    <t>Tsentalovich, YP; Zelentsova, EA; Savina, ED; Yanshole, VV; Sagdeev, RZ</t>
  </si>
  <si>
    <t>Tsentalovich, Yuri P.; Zelentsova, Ekaterina A.; Savina, Ekaterina D.; Yanshole, Vadim V.; Sagdeev, Renad Z.</t>
  </si>
  <si>
    <t>Influence of Ecological Factors on the Metabolomic Composition of Fish Lenses</t>
  </si>
  <si>
    <t>freshwater fish; metabolomics; dissolved oxygen level; water pollution; NMR spectroscopy</t>
  </si>
  <si>
    <t>CLAM RUDITAPES-PHILIPPINARUM; METABOLITES; RESPONSES; HYPOXIA</t>
  </si>
  <si>
    <t>Simple Summary Biological responses to rugged ecological factors causes changes in the metabolic pathways in aquatic organisms, which may manifest as changes in the tissue metabolomic composition. Therefore, establishing a correlation between the metabolite concentrations in aquatic animals and ecological factors is important for understanding the molecular mechanisms of biological responses to ecological stresses. In this work, we determined the concentrations of 57 major metabolites in the lenses of fish from three locations in Siberia (Russia) that differed in levels of dissolved oxygen (LDO) and water purity. We found that the increased due to CO2 emissions water acidity and the reduced LDO caused significant changes in the fish lenses' metabolomic compositions, including amino acids, organic acids, and energy metabolites. The obtained results can be used in monitoring the ecological state of water bodies. Multiple stressors related to changes in environmental conditions (such as water temperature, salinity, and natural and anthropogenic pollution) may cause biological responses of aquatic organisms that lead to significant variations in the biochemical reactions in their tissues and thereby change the concentrations of metabolites. We used a quantitative NMR-based metabolomic analysis of the fish lens for the evaluation of the influence of environmental factors on metabolic processes in aquatic animals. For this purpose, three species of freshwater fish-Perca fluviatilis, Rutilus rutilus lacustris, and Gymnocephalus cernua-were caught at approximately the same time at three locations in Siberia (Russia) that differed in levels of dissolved oxygen (LDO) and water purity, and the concentrations of 57 major metabolites in the fish lenses were determined. We found that the metabolomic profiles of the fish lenses strongly depended on the location. The obtained data demonstrated that two typical stressors for aquatic animals-a reduced LDO and anthropogenic water pollution-caused a largely similar metabolic response in the fish lenses that led to an increase in the concentrations of several amino acids and a decrease in sarcosine and phosphoethanolamine. At the same time, the composition of the major lens osmolytes depended mostly on the oxygen level, while variations in AMP (decrease) and NAD (increase) corresponded to the water pollution. We suggest that the eye lens is a very convenient tissue for studying the impact of ecological factors on the metabolic state of aquatic animals, fish in particular.</t>
  </si>
  <si>
    <t>[Tsentalovich, Yuri P.; Zelentsova, Ekaterina A.; Savina, Ekaterina D.; Yanshole, Vadim V.; Sagdeev, Renad Z.] RAS, SB, Int Tomog Ctr, Institutskaya 3a, Novosibirsk 630090, Russia</t>
  </si>
  <si>
    <t>International Tomography Center, Siberian Branch of Russian Academy of Sciences; Russian Academy of Sciences</t>
  </si>
  <si>
    <t>Tsentalovich, YP (corresponding author), RAS, SB, Int Tomog Ctr, Institutskaya 3a, Novosibirsk 630090, Russia.</t>
  </si>
  <si>
    <t>yura@tomo.nsc.ru</t>
  </si>
  <si>
    <t>Zelentsova, Ekaterina/AAB-5040-2021; Tsentalovich, Yuri/S-3933-2017; Yanshole, Vadim/A-9149-2014; Zelentsova, Ekaterina/F-7514-2017</t>
  </si>
  <si>
    <t>Tsentalovich, Yuri/0000-0002-1380-3000; Yanshole, Vadim/0000-0003-1512-3049; Zelentsova, Ekaterina/0000-0002-6124-9710</t>
  </si>
  <si>
    <t>10.3390/biology11121709</t>
  </si>
  <si>
    <t>7D5ZJ</t>
  </si>
  <si>
    <t>WOS:000900567900001</t>
  </si>
  <si>
    <t>Sundaramoorthy, RA; Ananth, AD; Seerangan, K; Nandagopal, M; Balusamy, B; Selvarajan, S</t>
  </si>
  <si>
    <t>Sundaramoorthy, Raj Anand; Ananth, Antony Dennis; Seerangan, Koteeswaran; Nandagopal, Malarvizhi; Balusamy, Balamurugan; Selvarajan, Shitharth</t>
  </si>
  <si>
    <t>Implementing heuristic-based multiscale depth-wise separable adaptive temporal convolutional network for ambient air quality prediction using real time data</t>
  </si>
  <si>
    <t>Contamination of air; Air Quality Index; Ambient air quality prediction; Fused Eurasian Oystercatcher-Pathfinder Algorithm; Multiscale depth-wise separable adaptive temporal convolutional network</t>
  </si>
  <si>
    <t>INTERPOLATION; OPTIMIZER; DESIGN</t>
  </si>
  <si>
    <t>In many emerging nations, rapid industrialization and urbanization have led to heightened levels of air pollution. This sudden rise in air pollution, which affects global sustainability and human health, has become a significant concern for citizens and governments. While most current methods for predicting air quality rely on shallow models and often yield unsatisfactory results, our study explores a deep architectural model for forecasting air quality. We employ a sophisticated deep learning structure to develop an advanced system for ambient air quality prediction. We utilize three publicly available databases and real-world data to obtain accurate air quality measurements. These four datasets undergo a data cleaning to yield a consolidated, cleaned dataset. Subsequently, the Fused Eurasian Oystercatcher-Pathfinder Algorithm (FEO-PFA)-a dual optimization method combining the Eurasian Oystercatcher Optimizer (EOO) and Pathfinder Algorithm (PFA)-is applied. This method aids in selecting weighted features, optimizing weights, and choosing the most relevant attributes for optimal results. These optimal features are then incorporated into the Multiscale Depth-wise Separable Adaptive Temporal Convolutional Network (MDS-ATCN) for the ambient Air Quality Prediction (AQP) process. The variables within MDS-ATCN are further refined using the proposed FEO-PFA to enhance predictive accuracy. An empirical analysis is performed to compare the efficacy of our proposed model with traditional methods, underscoring the superior effectiveness of our approach. The average cost function is reduced to 5.5%, the MAE to 28%, and the RMSE to 14% by the suggested method, according to the performance research conducted with regard to all datasets.</t>
  </si>
  <si>
    <t>[Sundaramoorthy, Raj Anand; Ananth, Antony Dennis] SASTRA Deemed Be Univ, Sch Comp, Thanjavur 613401, Tamil Nadu, India; [Seerangan, Koteeswaran] SA Engn Coll Autonomous, Dept CSE AI&amp;ML, Chennai 600077, Tamil Nadu, India; [Nandagopal, Malarvizhi] Vel Tech Rangarajan Dr Sagunthala R&amp;D Inst Sci &amp; T, Sch Comp, Dept CSE, Chennai 600062, Tamil Nadu, India; [Balusamy, Balamurugan] Shiv Nadar Inst Eminence Deemed Be Univ, Greater Noida 201314, Uttar Pradesh, India; [Selvarajan, Shitharth] Kebri Dehar Univ, Dept Comp Sci, Kebri Dehar 250, Ethiopia; [Selvarajan, Shitharth] Leeds Beckett Univ, Sch Built Environm Engn &amp; Comp, Leeds LS6 3QS, England</t>
  </si>
  <si>
    <t>Shanmugha Arts, Science, Technology &amp; Research Academy (SASTRA); S.A. Engineering College; Vel Tech Rangarajan Dr Sagunthala R&amp;D Institute of Science &amp; Technology; Leeds Beckett University</t>
  </si>
  <si>
    <t>Selvarajan, S (corresponding author), Kebri Dehar Univ, Dept Comp Sci, Kebri Dehar 250, Ethiopia.;Selvarajan, S (corresponding author), Leeds Beckett Univ, Sch Built Environm Engn &amp; Comp, Leeds LS6 3QS, England.</t>
  </si>
  <si>
    <t>ShitharthS@kdu.edu.et</t>
  </si>
  <si>
    <t>Ananth, Dennis/0000-0002-7297-9989; , S. RAJ ANAND/0000-0001-8042-4652</t>
  </si>
  <si>
    <t>10.1038/s41598-024-68793-x</t>
  </si>
  <si>
    <t>D1U0L</t>
  </si>
  <si>
    <t>Green Accepted, gold</t>
  </si>
  <si>
    <t>WOS:001294094100074</t>
  </si>
  <si>
    <t>Ferreira, CP; Moreira, RS; Toledo-Silva, G; Schroeder, DC; Bainy, ACD; Lüchmann, KH</t>
  </si>
  <si>
    <t>Ferreira, Clarissa P.; Moreira, Renato S.; Toledo-Silva, Guilherme; Schroeder, Declan C.; Bainy, Afonso C. D.; Luchmann, Karim H.</t>
  </si>
  <si>
    <t>Analysis of Crassostrea gasar transcriptome reveals candidate genes involved in metal metabolism</t>
  </si>
  <si>
    <t>Oysters; Biomarkers; Metal-metabolism; Sentinel organisms</t>
  </si>
  <si>
    <t>OYSTERS CRASSOSTREA; GLUTATHIONE SYNTHESIS; ZINC; PROTEIN; EXPOSURE; EXPRESSION; BIOTRANSFORMATION; METALLOTHIONEINS; RECONSTRUCTION; BIOMARKERS</t>
  </si>
  <si>
    <t>Oysters have been extensively employed for monitoring of metal pollution in dynamic aquatic ecosystems. Therefore, the use of specific biomarkers can assist in discriminating the ecotoxicological implications of different elements in such complex environments. In this study, we revisited the sequencing data of gills and digestive glands transcripts in the mangrove oyster Crassostrea gasar and generated a reference transcriptome assembly from multiple assemblers, seven in total. Overall, we were able to identify a total of 11,917 transcripts, with 86.6% of them being functionally annotated and 1.4 times more than the first annotation. We screened the annotated transcripts to identify genes potentially involved in metals' transport, storage, and detoxification. Our findings included genes related to Zn distribution in cells (Zn transporters -ZIP, ZnT), metallothionein (MT-I and MT-IV), GSH biosynthesis, Ca+ transporter (NCX and ATP2B), and Cu distribution in cells (ATP7, ATOX1, CCS, and laccase-like). These results provided a reference transcriptome for additional insights into the transcriptional profile of C. gasar and other bivalves to better understand the molecular pathways underpinning metal tolerance and susceptibility. The study also provided an auxiliary tool for biomonitoring metal contamination in dynamic environments as estuaries.</t>
  </si>
  <si>
    <t>[Ferreira, Clarissa P.] Santa Catarina State Univ, Multicentr Grad Program Biochem &amp; Mol Biol PMBqBM, BR-88520000 Lages, SC, Brazil; [Moreira, Renato S.] Fed Inst Santa Catarina IFSC, BR-88506400 Lages, SC, Brazil; [Toledo-Silva, Guilherme] Univ Fed Santa Catarina, Genom Lab, Cell Biol Embryol &amp; Genet Dept, BR-88040900 Florianopolis, SC, Brazil; [Schroeder, Declan C.] Univ Minnesota, Dept Vet Populat Med, St Paul, MN 55108 USA; [Schroeder, Declan C.] Univ Reading, Sch Biol Sci, Reading, Berks, England; [Bainy, Afonso C. D.] Univ Fed Santa Catarina, Lab Biomarkers Aquat Contaminat &amp; Immunochem LABC, BR-88034257 Florianopolis, SC, Brazil; [Luchmann, Karim H.] Santa Catarina State Univ, Dept Sci &amp; Technol Educ, BR-88035001 Florianopolis, SC, Brazil</t>
  </si>
  <si>
    <t>Universidade do Estado de Santa Catarina; Instituto Federal de Santa Catarina (IFSC); Universidade Federal de Santa Catarina (UFSC); University of Minnesota System; University of Minnesota Twin Cities; University of Reading; Universidade Federal de Santa Catarina (UFSC); Universidade do Estado de Santa Catarina</t>
  </si>
  <si>
    <t>Schroeder, Declan/O-9131-2019; Simões Moreira, Renato/HGV-1223-2022; Bainy, Afonso/J-6097-2012; Pellegrini Ferreira, Clarissa/R-7208-2017</t>
  </si>
  <si>
    <t>Bainy, Afonso/0000-0002-3885-7718; Toledo-Silva, Guilherme/0000-0002-9953-2861; Pellegrini Ferreira, Clarissa/0000-0001-8340-2424; Simoes Moreira, Renato/0000-0002-4246-8045; Schroeder, Declan/0000-0001-5991-2838</t>
  </si>
  <si>
    <t>fellowship of Postgraduate Monitoring Scholarship Program (PROMOP) from Santa Catarina State University (UDESC) , Brazil; Doctoral Sandwich Abroad Program (PDSE/CAPES) [19/2020]; CNPq productivity fellowship</t>
  </si>
  <si>
    <t>fellowship of Postgraduate Monitoring Scholarship Program (PROMOP) from Santa Catarina State University (UDESC) , Brazil; Doctoral Sandwich Abroad Program (PDSE/CAPES); CNPq productivity fellowship(Conselho Nacional de Desenvolvimento Cientifico e Tecnologico (CNPQ))</t>
  </si>
  <si>
    <t>CPF was supported by the fellowship of Postgraduate Monitoring Scholarship Program (PROMOP) from Santa Catarina State University (UDESC) , Brazil. CPF was a Guest Student at the Veterinary Population Medicine Department at the University of Minnesota, and the scholar- ship was supported by the Doctoral Sandwich Abroad Program (PDSE/CAPES, 19/2020) . A.C.D. Bainy is recipient of the CNPq productivity fellowship.</t>
  </si>
  <si>
    <t>10.1016/j.chemosphere.2022.136009</t>
  </si>
  <si>
    <t>4X8KQ</t>
  </si>
  <si>
    <t>WOS:000861086200010</t>
  </si>
  <si>
    <t>Harris, LST; Fennell, J; Fales, RJ; Carrington, E</t>
  </si>
  <si>
    <t>Harris, Lyda S. T.; Fennell, Jackson; Fales, Robin J.; Carrington, Emily</t>
  </si>
  <si>
    <t>Spatial-Temporal Growth, Distribution, and Diffusion of Marine Microplastic Research and National Plastic Policies</t>
  </si>
  <si>
    <t>Scientometric; Scopus; Hot spot; Pollution; Debris</t>
  </si>
  <si>
    <t>INFORMATION-SYSTEMS; SHOPPING BAGS; INGESTION; DEBRIS; ZOOPLANKTON; POLLUTION; MUSSELS; SEA</t>
  </si>
  <si>
    <t>Plastics account for 80% of material waste in the ocean. The field of marine microplastic (MP) research is relatively new and growing rapidly, in terms of published papers as well as institutions and countries conducting research. To combat plastic pollution, there is sufficient evidence that policies can lead to reduced plastic production and consumption both locally and globally. We aim to understand how marine MP research and national plastic policies have individually grown and spread. Specifically, we used scientometric and spatial diffusion methods to best explain how ideas (science and policy) clustered and spread geographically through time. We performed systematic literature searches to determine the spatial and temporal growth of marine MP publications and national plastic policies from 1900-2019. We found that more countries adopted national plastic policies than those that have conducted marine MP research. At each level of analysis (publication, institution, and country levels) within each field (research and policy), the temporal growth rate had a break point where doubling time changed significantly. Marine MP research grew exponentially, where doubling times ranged 1.1-3.7 years and the topics of inquiry increased steadily. National plastic policies also grew exponentially, where doubling times ranged 3.3-4.1 years. Different diffusion methods explain spatial growth, where marine MP research spread was best explained by a hybrid of expansion and relocation diffusion while national plastic policy spread was best explained by expansion diffusion. Both marine MP research and national plastic policies continue to spread, increasing global knowledge and mitigation efforts of plastic pollution.</t>
  </si>
  <si>
    <t>[Harris, Lyda S. T.; Fennell, Jackson; Fales, Robin J.; Carrington, Emily] Univ Washington, Dept Biol, Box 351800, Seattle, WA 98195 USA; [Harris, Lyda S. T.; Fales, Robin J.; Carrington, Emily] Univ Washington, Friday Harbor Labs, Friday Harbor, WA 98250 USA; [Harris, Lyda S. T.] Seattle Aquarium, Seattle, WA 98101 USA</t>
  </si>
  <si>
    <t>University of Washington; University of Washington Seattle; University of Washington</t>
  </si>
  <si>
    <t>Harris, LST (corresponding author), Univ Washington, Dept Biol, Box 351800, Seattle, WA 98195 USA.</t>
  </si>
  <si>
    <t>lydaharris@gmail.com</t>
  </si>
  <si>
    <t>Harris, Lyda/0000-0002-4867-9126</t>
  </si>
  <si>
    <t>Department of Biology at University of Washington; Office of Research Bridge Funding at University of Washington</t>
  </si>
  <si>
    <t>Partial financial support was received from the Department of Biology and the Office of Research Bridge Funding at University of Washington.</t>
  </si>
  <si>
    <t>10.1007/s11270-021-05352-4</t>
  </si>
  <si>
    <t>UU2ZM</t>
  </si>
  <si>
    <t>WOS:000698669500001</t>
  </si>
  <si>
    <t>Guo, ZQ; Chen, YK; Du, XX; Li, YF; Niu, DH</t>
  </si>
  <si>
    <t>Guo, Ziqi; Chen, Yukuan; Du, Xinxin; Li, Yifeng; Niu, Donghong</t>
  </si>
  <si>
    <t>Ammonia-induced oxidative stress triggered apoptosis in the razor clam (Sinonovacula constricta)</t>
  </si>
  <si>
    <t>Sinonovacula constricta; Reactive oxygen species; Antioxidant system; Apoptosis; Ammonia</t>
  </si>
  <si>
    <t>NF-KAPPA-B; DNA-DAMAGE; BCL-2 EXPRESSION; IMMUNE-RESPONSE; TOXICITY; EXPOSURE; CELLS; GENE; IDENTIFICATION; MITOCHONDRIA</t>
  </si>
  <si>
    <t>As one of the most significant contaminants and stressors in aquaculture systems, ammonia adversely jeopardizes the health of aquatic animals. Ammonia exposure affects the development, metabolism, and survival of shellfish. However, the responses of the innate immune and antioxidant systems and apoptosis in shellfish under ammonia stress have rarely been reported. In this study, razor clams (Sinonovacula constricta) were exposed to different concentrations of non-ion ammonia (0.25 mg/L, 2.5 mg/L) for 72 h and then placed in ammonia-free seawater for 72 h for recovery. The immune responses induced by ammonia stress on razor clams were investigated by antioxidant enzyme activities and degree of apoptosis in digestive gland and gill tissues at different time points. The results showed that exposure to a high concentration of ammonia greatly disrupted the antioxidant system of the razor clam by exacerbating the accumulation of reactive oxygen species (O-2(-), H2O2) and disordering the activities of antioxidant enzymes (superoxide dismutase, catalase, and glutathione peroxidase), and the level of activity remained at a significantly high level after recovering for 72 h (P &lt; 0.05). In addition, there were significant differences (P &lt; 0.05) in the expression of key genes (Caspase 7, Cyt-c, Bcl-2, and Bax) in the mitochondrial apoptotic pathway in the digestive glands and gills of razor clams as a result of ammonia stress and were unable to return to normal levels after 72 h of recovery. TUNEL staining indicated that apoptosis was more pronounced in gills, showing a dose and time-dependent pattern. As to the results, ammonia exposure leads to the activation of innate immunity in razor clams, disrupts the antioxidant system, and activates the mitochondrial pathway of apoptosis. This is important for comprehending the mechanism underlying the aquatic toxicity resulting from ammonia in shellfish.</t>
  </si>
  <si>
    <t>[Guo, Ziqi; Chen, Yukuan; Du, Xinxin; Li, Yifeng; Niu, Donghong] Shanghai Ocean Univ, Shanghai Collaborat Innovat Aquat Anim Genet &amp; Bre, Shanghai 201306, Peoples R China; [Chen, Yukuan] Chinese Acad Fishery Sci, Freshwater Fisheries Res Ctr, Key Lab Freshwater Fisheries &amp; Germplasm Resources, Minist Agr &amp; Rural Affairs, Wuxi 214081, Peoples R China; [Li, Yifeng; Niu, Donghong] Shanghai Ocean Univ, Key Lab Explorat &amp; Utilizat Aquat Genet Resources, Minist Educ, Shanghai 201306, Peoples R China; [Niu, Donghong] Shanghai Ocean Univ, Coll Fisheries &amp; Life Sci, 999 Hucheng Huan Rd, Shanghai 201306, Peoples R China</t>
  </si>
  <si>
    <t>Shanghai Ocean University; Chinese Academy of Fishery Sciences; Freshwater Fisheries Research Center, CAFS; Ministry of Agriculture &amp; Rural Affairs; Shanghai Ocean University; Shanghai Ocean University</t>
  </si>
  <si>
    <t>Niu, DH (corresponding author), Shanghai Ocean Univ, Shanghai Collaborat Innovat Aquat Anim Genet &amp; Bre, Shanghai 201306, Peoples R China.;Niu, DH (corresponding author), Shanghai Ocean Univ, Key Lab Explorat &amp; Utilizat Aquat Genet Resources, Minist Educ, Shanghai 201306, Peoples R China.;Niu, DH (corresponding author), Shanghai Ocean Univ, Coll Fisheries &amp; Life Sci, 999 Hucheng Huan Rd, Shanghai 201306, Peoples R China.</t>
  </si>
  <si>
    <t>ziqiguo2019@126.com; 973144341@qq.com; 1934616073@qq.com; yifengli@shou.edu.cn; dhniu@shou.edu.cn</t>
  </si>
  <si>
    <t>DU, XINXIN/K-4580-2015</t>
  </si>
  <si>
    <t>blue granary science and technology innovation [2019YFD0900403]; National key R &amp; D plan blue granary science and technology innovation special project [32373118]; National Natural Science Foundation of China</t>
  </si>
  <si>
    <t>blue granary science and technology innovation; National key R &amp; D plan blue granary science and technology innovation special project; National Natural Science Foundation of China(National Natural Science Foundation of China (NSFC))</t>
  </si>
  <si>
    <t>This work was supported by National key R &amp; D plan blue granary science and technology innovation special project (2019YFD0900403) and the National Natural Science Foundation of China (32373118).</t>
  </si>
  <si>
    <t>2024 FEB 26</t>
  </si>
  <si>
    <t>10.1007/s11356-024-32635-0</t>
  </si>
  <si>
    <t>JK5Y9</t>
  </si>
  <si>
    <t>WOS:001173086700010</t>
  </si>
  <si>
    <t>Anantharaman, S; Craft, JA</t>
  </si>
  <si>
    <t>Anantharaman, Sandhya; Craft, John A.</t>
  </si>
  <si>
    <t>Annual Variation in the Levels of Transcripts of Sex-Specific Genes in the Mantle of the Common Mussel, Mytilus edulis</t>
  </si>
  <si>
    <t>POLYCYCLIC AROMATIC-HYDROCARBONS; ABALONE HALIOTIS-ASININA; DREISSENA-POLYMORPHA; PATINOPECTEN-YESSOENSIS; OCEAN ACIDIFICATION; MARINE MUSSELS; WATCH PROGRAM; M-TROSSULUS; EXPRESSION; METABOLISM</t>
  </si>
  <si>
    <t>Mytilus species are used as sentinels for the assessment of environmental health but sex or stage in the reproduction cycle is rarely considered even though both parameters are likely to influence responses to pollution. We have validated the use of a qPCR assay for sex identification and related the levels of transcripts to the reproductive cycle. A temporal study of mantle of Mytilus edulis found transcripts of male-specific vitelline coat lysin (VCL) and female-specific vitelline envelope receptor for lysin (VERL) could identify sex over a complete year. The levels of VCL/VERL were proportional to the numbers of sperm/ova and are indicative of the stage of the reproductive cycle. Maximal levels of VCL and VERL were found in February 2009 declining to minima between July - August before increasing and re-attaining a peak in February 2010. Water temperature may influence these transitions since they coincide with minimal water temperature in February and maximal temperature in August. An identical pattern of variation was found for a cryptic female-specific transcript (H5) but a very different pattern was observed for oestrogen receptor 2 (ER2). ER2 varied in a sex-specific way with male &gt; female for most of the cycle, with a female maxima in July and a male maxima in December. Using artificially spawned animals, the transcripts for VCL, VERL and H5 were shown to be present in gametes and thus their disappearance from mantle is indicative of spawning. VCL and VERL are present at equivalent levels in February and July-August but during gametogenesis (August to January) and spawning (March to June) VCL is present at lower relative amounts than VERL. This may indicate sex-specific control mechanisms for these processes and highlight a potential pressure point leading to reduced reproductive output if environmental factors cause asynchrony to gamete maturation or release.</t>
  </si>
  <si>
    <t>[Anantharaman, Sandhya; Craft, John A.] Glasgow Caledonian Univ, Dept Life Sci, Glasgow G4 0BA, Lanark, Scotland</t>
  </si>
  <si>
    <t>Glasgow Caledonian University</t>
  </si>
  <si>
    <t>Anantharaman, S (corresponding author), Glasgow Caledonian Univ, Dept Life Sci, Glasgow G4 0BA, Lanark, Scotland.</t>
  </si>
  <si>
    <t>sandhya.anantharaman@gcu.ac.uk</t>
  </si>
  <si>
    <t>Funding provided by Glasgow Caledonian University for the award of a Doctoral Training Grant for SA. The funders had no role in study design, data collection and analysis, decision to publish, or preparation of the manuscript.</t>
  </si>
  <si>
    <t>e50861</t>
  </si>
  <si>
    <t>10.1371/journal.pone.0050861</t>
  </si>
  <si>
    <t>054WM</t>
  </si>
  <si>
    <t>WOS:000312376100218</t>
  </si>
  <si>
    <t>Mao, A; Mahaut, ML; Pineau, S; Barillier, D; Caplat, C</t>
  </si>
  <si>
    <t>Mao, Andrea; Mahaut, Marie-Laure; Pineau, Samuel; Barillier, Daniel; Caplat, Christelle</t>
  </si>
  <si>
    <t>Assessment of sacrificial anode impact by aluminum accumulation in mussel Mytilus edulis: A large-scale laboratory test</t>
  </si>
  <si>
    <t>Aluminum; Sacrificial anode; Mussel; Digestive gland; Bioconcentration; Detoxification</t>
  </si>
  <si>
    <t>DIGESTIVE GLAND; COASTAL WATERS; ZINC; CELLS; ACTIVATION; BIOMARKERS; GALLOPROVINCIALIS; METALLOTHIONEIN; DETOXIFICATION; SPECIATION</t>
  </si>
  <si>
    <t>Since the early 1960s, the application of aluminum alloy sacrificial anodes to mitigate marine corrosion has been well known. The aim of this work was to study aluminum bioconcentration in Mytilus edulis by an in vitro test performed in two tanks: the first containing non-contaminated water (NCW) and the second containing aluminum-contaminated water (CW) (530 mu g L-1) released by sacrificial anode. The mussels were collected and examined over a period of 8 weeks. A comparison between the aluminum concentrations in the digestive glands of mussels from the CW and NCW tanks shows that the highest value (1700 mg/kg d.w.) was found in the CW mussels collected after 13 days. In NCW, the mean aluminum concentration in digestive glands during the test was 281 mg/kg d.w. The rapid concentration decrease in digestive glands is probably due to the inhibition of filtering activity due to valve closure at the high concentration as well as the induction of the detoxification response. (C) 2011 Elsevier Ltd. All rights reserved.</t>
  </si>
  <si>
    <t>[Mao, Andrea; Mahaut, Marie-Laure] CNAM INTECHMER, F-50103 Cherbourg, France; [Mao, Andrea; Pineau, Samuel; Caplat, Christelle] CORRODYS, F-50130 Octeville, France; [Mao, Andrea; Mahaut, Marie-Laure; Barillier, Daniel; Caplat, Christelle] Univ Caen, ERPCB EA IUT UFR Sci 3914, F-14032 Caen, France</t>
  </si>
  <si>
    <t>heSam Universite; Conservatoire National Arts &amp; Metiers (CNAM); Universite de Caen Normandie</t>
  </si>
  <si>
    <t>Mao, A (corresponding author), CNAM INTECHMER, BP 324, F-50103 Cherbourg, France.</t>
  </si>
  <si>
    <t>andrea.mao77@gmail.com</t>
  </si>
  <si>
    <t>EU [FP6]</t>
  </si>
  <si>
    <t>EU(European Union (EU))</t>
  </si>
  <si>
    <t>This work was carried out within the framework of the EFFORTS Project, funded by the EU Framework 6 programme FP6.</t>
  </si>
  <si>
    <t>10.1016/j.marpolbul.2011.09.017</t>
  </si>
  <si>
    <t>WOS:000298520400030</t>
  </si>
  <si>
    <t>Boukadida, K; Mlouka, R; Clerandeau, C; Banni, M; Cachot, J</t>
  </si>
  <si>
    <t>Boukadida, Khouloud; Mlouka, Rania; Clerandeau, Christelle; Banni, Mohamed; Cachot, Jerome</t>
  </si>
  <si>
    <t>Natural distribution of pure and hybrid Mytilus sp. along the south Mediterranean and North-east Atlantic coasts and sensitivity of D-larvae stages to temperature increases and metal pollution</t>
  </si>
  <si>
    <t>Mytilus sp.; Early life stages; Hybrids; Thermal stress; Metal pollution</t>
  </si>
  <si>
    <t>SEA-SURFACE TEMPERATURE; CLIMATE-CHANGE; PACIFIC OYSTER; THERMAL-STRESS; M-TROSSULUS; MUSSEL; GALLOPROVINCIALIS; EDULIS; COPPER; SILVER</t>
  </si>
  <si>
    <t>The distribution of the Mediterranean mussel Mytilus galloprovincialis extends more and more northwards in the Atlantic. Crossings are frequently observed with the blue mussel Mytilus edulis along the French and English coasts. The aim of this study is firstlyto identify the co-presence of M. galloprovincialis. M. edulis, and their hybrids in different sites of the Mediterranean and Atlantic coasts, and to provide insights for the thermal tolerance and toxicant susceptibility of Mytilus edulis, Mytilus galloprovincialis and their hybrids. Mussels were collected from the shore at 20 sampling sitesin Europe and Tunisia and identified using Me 15/16 primers targeting the adhesive protein gene sequence. Samples were screened for the presence of Mytilus edulis,MytilusgalloproyincMlis, and hybrids alleles using PCR. To get more information on hybrids sensitivities to temperature and metals, freshly fertilized eggs of the two species and their hybrids were reared at four temperatures 18, 20, 22, and 24 degrees C and exposed to concentrations of Cu, Ag, and a mixture of both metals. Arrests of development and malformations were recorded after 48 h of exposure. The genotypic identification of the two species on 20 sites of the Mediterranean and Atlantic coasts carried out during this study confirms the presence of pure and hybrid species of mussel. Our results highlighted that hybrid larvae from a female of M. galloprovincialis are significantly more tolerant to temperature increases than pure larvae of M. galloprovincialis and pure and hybrid larvae of M. edulis. No significant interspedes-differences of sensitivity were noted for metal exposure alone. However, a co-exposure of larvae to both metal and high temperature highlighted the higher tolerance of hybrid larvae from a female of M. galloprovincialis to both stresses. The overall results could allow the prediction of the future evolution of mussel populations facing environmental changes. (C) 2020 Elsevier B.V. All rights reserved.</t>
  </si>
  <si>
    <t>[Boukadida, Khouloud; Mlouka, Rania; Clerandeau, Christelle; Cachot, Jerome] Univ Bordeaux, CNRS, EPOC, UMR5805,Lab Ocean &amp; Continental Environm &amp; Pateoe, F-33600 Pessac, France; [Boukadida, Khouloud; Mlouka, Rania; Clerandeau, Christelle; Cachot, Jerome] EPHE, F-33600 Pessac, France; [Boukadida, Khouloud; Mlouka, Rania; Banni, Mohamed] ISA, Lab Biochem &amp; Environm Toxicol, Chott Meriem 4042, Sousse, Tunisia; [Banni, Mohamed] Univ Monastir, Higher Inst Biotechnol, Monastir, Tunisia</t>
  </si>
  <si>
    <t>Universite de Bordeaux; Centre National de la Recherche Scientifique (CNRS); CNRS - National Institute for Earth Sciences &amp; Astronomy (INSU); Universite PSL; Ecole Pratique des Hautes Etudes (EPHE); Universite de Tunis-El-Manar; Institut Salah Azaiez; Universite de Monastir</t>
  </si>
  <si>
    <t>Cachot, J (corresponding author), Univ Bordeaux, CNRS, EPOC, UMR5805,Lab Ocean &amp; Continental Environm &amp; Pateoe, F-33600 Pessac, France.;Cachot, J (corresponding author), EPHE, F-33600 Pessac, France.;Banni, M (corresponding author), ISA, Lab Biochem &amp; Environm Toxicol, Chott Meriem 4042, Sousse, Tunisia.</t>
  </si>
  <si>
    <t>m_banni@yahoo.fr; jerome.cachot@u-bordeaux.fr</t>
  </si>
  <si>
    <t>Cachot, Jerome/0000-0002-1492-9684; BOUKADIDA, Khouloud/0000-0003-3876-9862</t>
  </si>
  <si>
    <t>European Union</t>
  </si>
  <si>
    <t>Khouloud Boukadida was supported by the European Union in the framework of the ErasmusMundus EUMetallic II Program. The authors gratefully recognize the staff of the SEPANSO for their help in obtaining reference seawater. Thisworkwas part of the LABEX COTE cluster of excellence Continental to coastal Ecosystems: evolution, adaptability, and governance.</t>
  </si>
  <si>
    <t>10.1016/j.scitotenv.2020.143675</t>
  </si>
  <si>
    <t>WOS:000603487500023</t>
  </si>
  <si>
    <t>Belzunce-Segarra, MJ; Simpson, SL; Amato, ED; Spadaro, DA; Hamilton, IL; Jarolimek, CV; Jolley, DF</t>
  </si>
  <si>
    <t>Belzunce-Segarra, Maria J.; Simpson, Stuart L.; Amato, Elvio D.; Spadaro, David A.; Hamilton, Ian L.; Jarolimek, Chad V.; Jolley, Dianne F.</t>
  </si>
  <si>
    <t>The mismatch between bioaccumulation in field and laboratory environments: Interpreting the differences for metals in benthic bivalves</t>
  </si>
  <si>
    <t>Metal bioavailability; Chronic sediment toxicity; In situ bioassays; Exposure routes; Condition-index; Benthic bivalve</t>
  </si>
  <si>
    <t>AMPHIPOD MELITA-PLUMULOSA; ACID-VOLATILE SULFIDE; CONTAMINATED SEDIMENTS; TOXICITY TESTS; SITU; COPPER; BIOASSAYS; RELEASE; QUALITY; WATER</t>
  </si>
  <si>
    <t>Laboratory-based bioaccumulation and toxicity bioassays are frequently used to predict the ecological risk of contaminated sediments in the field. This study investigates the bioassay conditions most relevant to achieving environmentally relevant field exposures. An identical series of metal-contaminated marine sediments were deployed in the field and laboratory over 31 days. Changes in metal concentrations and partitioning in both sediments and waters were used to interpret differences in metal exposure and bioaccumulation to the benthic bivalve Tellina deltoidalis. Loss of resuspended sediments and deposition of suspended particulate matter from the overlying water resulted in the concentrations of Cu, Pb and Zn (major contaminants) becoming lower in the 1-cm surface layer of field-deployed sediments. Lower exchange rates of overlying waters in the laboratory resulted in higher dissolved metal exposures. The prediction of metal bioaccumulation by the bivalves in field and laboratory was improved by considering the metal partitioning within the surface sediments. (C) 2015 Elsevier Ltd. All rights reserved.</t>
  </si>
  <si>
    <t>[Belzunce-Segarra, Maria J.] AZTI Marine Res Div, Pasaia 20110, Spain; [Belzunce-Segarra, Maria J.; Simpson, Stuart L.; Amato, Elvio D.; Spadaro, David A.; Hamilton, Ian L.; Jarolimek, Chad V.] CSIRO Land &amp; Water, Ctr Environm Contaminants Res, Kirrawee, NSW 2234, Australia; [Amato, Elvio D.; Jolley, Dianne F.] Univ Wollongong, Sch Chem, Wollongong, NSW 2522, Australia</t>
  </si>
  <si>
    <t>AZTI; Commonwealth Scientific &amp; Industrial Research Organisation (CSIRO); University of Wollongong</t>
  </si>
  <si>
    <t>Belzunce-Segarra, MJ (corresponding author), AZTI Marine Res Div, Herrera Kaia Portualdea Z-G, Pasaia 20110, Spain.</t>
  </si>
  <si>
    <t>jbelzunce@azti.es; stuart.simpson@csiro.au</t>
  </si>
  <si>
    <t>Simpson, Stuart/0000-0003-1759-0564; Jolley, Dianne/0000-0003-1028-1603; Belzunce-Segarra, Maria Jesus/0000-0002-6533-7638; Amato, Elvio/0000-0003-4282-8730</t>
  </si>
  <si>
    <t>NSW Environmental Trust [APP2010-RD-0177]; CSIRO Wealth from Oceans Flagship; Basque Government [BOPV30/12/2011]</t>
  </si>
  <si>
    <t>NSW Environmental Trust; CSIRO Wealth from Oceans Flagship(Commonwealth Scientific &amp; Industrial Research Organisation (CSIRO)); Basque Government(Basque Government)</t>
  </si>
  <si>
    <t>Katelyn Edge is thanked for collecting the sediments from Port Kembla, NSW. Robert Jung and Josh King are thanked for assisting with bivalve sample analyses. Inigo Muxika is thanked for assisting with statistical analyses. The authors appreciate the suggestions of the reviewers that have contributed to improve this work. The authors acknowledge the financial support of the NSW Environmental Trust (Research Project APP2010-RD-0177), the CSIRO Wealth from Oceans Flagship, and the Basque Government (BOPV30/12/2011) for financial support for M. Belzunce-Segarra. This paper is contribution number 709 from AZTI Marine Research Division.</t>
  </si>
  <si>
    <t>10.1016/j.envpol.2015.03.048</t>
  </si>
  <si>
    <t>WOS:000362608300008</t>
  </si>
  <si>
    <t>Strasser, CA; Mullineaux, LS; Walther, BD</t>
  </si>
  <si>
    <t>Strasser, Carly A.; Mullineaux, Lauren S.; Walther, Benjamin D.</t>
  </si>
  <si>
    <t>Growth rate and age effects on Mya arenaria shell chemistry:: Implications for biogeochemical studies</t>
  </si>
  <si>
    <t>bivalve shell; carbonate chemistry; element incorporation; growth rate; Mya arenaria</t>
  </si>
  <si>
    <t>ARAGONITIC BIVALVE SHELLS; TRACE-ELEMENTS; BARIUM UPTAKE; STRONTIUM; OTOLITHS; LARVAL; LEAD; TEMPERATURE; SALINITY; MARINE</t>
  </si>
  <si>
    <t>The chemical composition of bivalve shells can reflect that of their environment, making them useful indicators of climate, pollution, and ecosystem changes. However, biological factors can also influence chemical properties of biogenic carbonate. Understanding how these factors affect chemical incorporation is essential for studies that use elemental chemistry of carbonates as indicators of environmental parameters. This study examined the effects of bivalve shell growth rate and age on the incorporation of elements into juvenile softshell clams, Mya arenaria. Although previous studies have explored the effects of these two biological factors, reports have differed depending on species and environmental conditions. In addition, none of the previous studies have examined growth rate and age in the same species and within the same study. We reared clams in controlled laboratory conditions and used solution-based inductively coupled plasma mass spectrometry (ICP-MS) analysis to explore whether growth rate affects elemental incorporation into shell. Growth rate was negatively correlated with Mg, Mn, and Ba shell concentration, possibly due to increased discrimination ability with size. The relationship between growth rate and Pb and Sr was unresolved. To determine age effects on incorporation, we used laser ablation ICP-MS to measure changes in chemical composition across shells of individual clams. Age affected incorporation of Mn, Sr, and Ba within the juvenile shell, primarily due to significantly different elemental composition of early shell material compared to shell accreted later in life. Variability in shell composition increased closer to the umbo (hinge), which may be the result of methodology or may indicate an increased ability with age to discriminate against ions that are not calcium or carbonate. The effects of age and growth rate on elemental incorporation have the potential to bias data interpretation and should be considered in any biogeochemical study that uses bivalves as environmental indicators. Published by Elsevier B.V.</t>
  </si>
  <si>
    <t>[Strasser, Carly A.; Mullineaux, Lauren S.] Woods Hole Oceanog Inst, Dept Biol, Woods Hole, MA 02543 USA; [Walther, Benjamin D.] Univ Adelaide, So Seas Ecol Labs, Sch Earth &amp; Environm Sci, Adelaide, SA 5005, Australia</t>
  </si>
  <si>
    <t>Woods Hole Oceanographic Institution; University of Adelaide</t>
  </si>
  <si>
    <t>Strasser, CA (corresponding author), MS 34 Redfield 120,266 Woods Hole Rd, Woods Hole, MA 02543 USA.</t>
  </si>
  <si>
    <t>cstrasser@whoi.edu</t>
  </si>
  <si>
    <t>Walther, Benjamin/A-7284-2009</t>
  </si>
  <si>
    <t>Walther, Benjamin/0000-0002-2902-4001; Strasser, Carly/0000-0001-9592-2339; Mullineaux, Lauren/0000-0002-8932-2625</t>
  </si>
  <si>
    <t>FEB 22</t>
  </si>
  <si>
    <t>10.1016/j.jembe.2007.12.022</t>
  </si>
  <si>
    <t>276JR</t>
  </si>
  <si>
    <t>WOS:000254137600008</t>
  </si>
  <si>
    <t>Hu, Y; Zhou, CS; Xu, KL; Ke, AY; Zheng, YN; Lu, RM; Xu, JL</t>
  </si>
  <si>
    <t>Hu, Yuan; Zhou, Chaosheng; Xu, Kailun; Ke, Aiyin; Zheng, Yinuo; Lu, Rongmao; Xu, Jilin</t>
  </si>
  <si>
    <t>Pollution level and health risk assessment of the total petroleum hydrocarbon in marine environment and aquatic products: a case of China</t>
  </si>
  <si>
    <t>Total petroleum hydrocarbon; Seawater; Sediment; Aquatic organism; Risk assessment</t>
  </si>
  <si>
    <t>POLYCYCLIC AROMATIC-HYDROCARBONS; HEAVY-METALS; CRUDE-OIL; BAY; LAKE; BIOACCUMULATION; CONTAMINATION; SEDIMENTS; HARBOR; WATER</t>
  </si>
  <si>
    <t>To evaluate the pollution level and health risk of total petroleum hydrocarbon (TPH), seawater, sediments, and aquatic organisms were sampled from the southern sea area of Zhejiang Province (Yangtze River Delta, China) between 2017 and 2019. TPH was widely present in the aquatic environment and products, and its concentration was highly variable. The average value of pollution index (PI) exceeded 1 from 2017 to 2018, and 45.46-69.19% of seawater samples and 56.87-50.00% of sediment samples were polluted. The results showed significant differences in the TPH concentration in various species of aquatic organisms. The average TPH value in aquatic organisms could be ranked in the order as follows: bivalve &gt; shrimp &gt; crab &gt; fish, further reflecting that the ability to accumulate and metabolize TPH existed differently among aquatic organisms within the same pond aquaculture environment. It was relatively safe to eat aquatic products since the exposure risk index was found to be far below the threshold value in this study. Therefore, it would be prudent to undertake regular monitoring of TPH to ensure effective ecosystem functioning and seafood safety in the southern Zhejiang ocean.</t>
  </si>
  <si>
    <t>[Hu, Yuan; Xu, Jilin] Ningbo Univ, Sch Marine Sci, Ningbo 315832, Peoples R China; [Hu, Yuan; Zhou, Chaosheng; Xu, Kailun; Ke, Aiyin; Zheng, Yinuo; Lu, Rongmao] Zhejiang Mariculture Res Inst, Wenzhou 325005, Peoples R China; [Hu, Yuan; Zhou, Chaosheng; Xu, Kailun; Ke, Aiyin; Zheng, Yinuo; Lu, Rongmao] Zhejiang Key Lab Exploitat &amp; Preservat Coastal Bi, Wenzhou 325005, Peoples R China</t>
  </si>
  <si>
    <t>Xu, JL (corresponding author), Ningbo Univ, Sch Marine Sci, Ningbo 315832, Peoples R China.</t>
  </si>
  <si>
    <t>xujilin@nbu.edu.cn</t>
  </si>
  <si>
    <t>, xu/0000-0002-4496-6937</t>
  </si>
  <si>
    <t>Special Project of Zhejiang Research Institute, Zhejiang Province Public Interest Technology Research Program [LGN19C030001]; K. C. Wong Magna Fund in Ningbo University</t>
  </si>
  <si>
    <t>Special Project of Zhejiang Research Institute, Zhejiang Province Public Interest Technology Research Program; K. C. Wong Magna Fund in Ningbo University</t>
  </si>
  <si>
    <t>This research was financially supported by the Special Project of Zhejiang Research Institute, Zhejiang Province Public Interest Technology Research Program (LGN19C030001), and was partly sponsored by K. C. Wong Magna Fund in Ningbo University.</t>
  </si>
  <si>
    <t>10.1007/s11356-022-21731-8</t>
  </si>
  <si>
    <t>7I1JV</t>
  </si>
  <si>
    <t>WOS:000824989700004</t>
  </si>
  <si>
    <t>Blanco-Rayón, E; Soto, M; Izagirre, U; Marigómez, I</t>
  </si>
  <si>
    <t>Blanco-Rayon, E.; Soto, M.; Izagirre, U.; Marigomez, I.</t>
  </si>
  <si>
    <t>Enhanced discrimination of basophilic cells on mussel digestive gland tissue sections by means of toluidine-eosin staining</t>
  </si>
  <si>
    <t>Bilvalve; Digestive gland epithelium; Cell type composition; Toluidine blue; Biomarker; Histopathology; Stereology</t>
  </si>
  <si>
    <t>BIOMARKERS; POLLUTION; BLUE; CADMIUM; HISTOPATHOLOGY; BIVALVES; FIXATION; OYSTERS; OIL</t>
  </si>
  <si>
    <t>Changes in the cell type composition of the digestive gland epithelium constitute a common and recognized biological response to stress in mussels. Usually, these changes are identified as alterations in the relative proportion of basophilic cells, determined in tissue sections stained with hematoxylin-eosin (H&amp;E) and measured in terms of volume density of basophilic cells (Vv(BAS)) after stereological quantification. However, the identification and discrimination of basophilic cells may be a difficult issue, even for a trained operator, especially when, in circumstances of environmental stress, basophilic cells lose their basophilia and the perinuclear area of digestive cells gains basophilia. Thus, the present study was aimed at exploring the best available practices (BAPs) to identify and discriminate basophilic cells on tissue sections of mussel digestive gland. In a first step, a thorough screening of potentially suitable staining methods was carried out; the final selection included several trichrome staining methods and some of their variants, as well as toluidine-based stains. Next, the sample processing (fixation/dehydration steps) was optimized. Toluidine-eosin (T&amp;E) staining after fixation in 4% formaldehyde at 4 degrees C for 24 h was considered the BAP to identify and discriminate basophilic cells in the digestive gland of mussels. Using the mussel Mytilus galloprovincialis as a target organism, this approach was successfully applied to quantify Vv(BAS) values after automated image analysis and compared with Vv(BAS) the conventional H&amp;E staining in different field and laboratory tests. It is worth noting that values were always higher after T&amp;E staining than after H&amp;E staining, apparently because discrimination of basophilic cells was enhanced. Thus, until more data are available, any comparison with VvBAS values obtained in previous studies using H&amp;E staining must be done cautiously. Finally, the T&amp;E staining was successfully used to discriminate basophilic cells in tissue sections of other marine molluscs of ecotoxicological interest, including Mytilus edulis, Mytilus trossulus, Crassostrea gigas and Littorina littorea.</t>
  </si>
  <si>
    <t>[Blanco-Rayon, E.; Soto, M.; Izagirre, U.; Marigomez, I.] Univ Basque Country, CBET Res Grp, Dept Zool &amp; Anim Cell Biol, Fac Sci &amp; Technol ZTF FCT, Bilbao 48080, Basque Country, Spain; [Blanco-Rayon, E.; Soto, M.; Izagirre, U.; Marigomez, I.] Univ Basque Country, Res Ctr Expt Marine Biol &amp; Biotechnol, Plentzia Marine Stn, Bilbao 48080, Basque Country, Spain; [Blanco-Rayon, E.; Soto, M.; Izagirre, U.; Marigomez, I.] Univ Basque Country, PiE UPV EHU, Bilbao 48080, Basque Country, Spain</t>
  </si>
  <si>
    <t>Marigómez, I (corresponding author), Univ Basque Country, CBET Res Grp, Dept Zool &amp; Anim Cell Biol, Fac Sci &amp; Technol ZTF FCT, Bilbao 48080, Basque Country, Spain.</t>
  </si>
  <si>
    <t>Blanco-Rayón, Esther/R-9479-2019; Izagirre, Urtzi/C-3848-2017; MARIGOMEZ ALLENDE, Ionan/C-3909-2017</t>
  </si>
  <si>
    <t>Izagirre, Urtzi/0000-0002-3477-4974; soto, manu/0000-0002-4541-8182; MARIGOMEZ ALLENDE, Ionan/0000-0001-6274-541X; , Blanco-Rayon/0000-0003-2884-059X</t>
  </si>
  <si>
    <t>MINECO [CTM2012-40203-C02-01]; University of the Basque Country UPV/EHU [UFI 11/37]; Basque Governmen [IT810-B, PRE/2013/1/640]</t>
  </si>
  <si>
    <t>MINECO(Spanish Government); University of the Basque Country UPV/EHU; Basque Governmen</t>
  </si>
  <si>
    <t>Authors are indebted to Gabriela Gonzalez for helping us for her invaluable technical support. This work was funded by research project CTM2012-40203-C02-01 (MINECO), the University of the Basque Country UPV/EHU (UFI 11/37) and the Basque Government through Consolidated Research Groups fellowship (IT810-B) and a PhD scholarship to EBR (PRE/2013/1/640).</t>
  </si>
  <si>
    <t>10.1016/j.jip.2019.01.001</t>
  </si>
  <si>
    <t>HM5NX</t>
  </si>
  <si>
    <t>WOS:000459523500005</t>
  </si>
  <si>
    <t>Gabbianelli, R; Moretti, M; Carpene, E; Falcioni, G</t>
  </si>
  <si>
    <t>Gabbianelli, R.; Moretti, M.; Carpene, E.; Falcioni, G.</t>
  </si>
  <si>
    <t>Effect of different organotins on DNA of mollusk (Scapharca inaequivalvis) erythrocytes assessed by the comet assay</t>
  </si>
  <si>
    <t>Scapharca inaequivalvis; organotin compounds; DNA damage; comet assay</t>
  </si>
  <si>
    <t>TRI-N-BUTYLTIN; MUSSEL MYTILUS-GALLOPROVINCIALIS; BREAM SPARUS-AURATA; NUCELLA-LAPILLUS; IN-VITRO; DAMAGE; TRIBUTYLTIN; APOPTOSIS; MARINE; THYMOCYTES</t>
  </si>
  <si>
    <t>The alkaline comet assay, employing a single-cell gel-electrophoresis, is a rapid, simple and sensitive technique for visualizing and measuring DNA damage leading to strand breakage in individual cells. In this study, we report data about the effect of different organotin compounds (MBTC, DBTC and TBTC) on DNA from erythrocytes of the Scapharca inaequivalvis bivalve mollusc. Our results show significant DNA damage after 30 min in vitro incubation with 10 mu M of organotins. Since TBTC turned out to be the most genotoxic compound, followed by MBTC and DBTC, we exposed the molluscs to 50ppb of TBTC for 11 days. A significant increase of comet parameters was measured in our experimental conditions. The use of the comet test as a high-throughput screening assay to monitor the effect of environmental pollutants on marine organisms has been proposed. (c) 2006 Elsevier B.V All rights reserved.</t>
  </si>
  <si>
    <t>Univ Camerino, Dipartimento Biol Mol Cellulare &amp; Anim, I-62032 Camerino, MC, Italy; Univ Perugia, Dipartimento Specialita Medicochirurg &amp; Sanita Pu, I-06100 Perugia, Italy; Univ Bologna, Dipartimento Biochim G Moruzzi, Bologna, Italy</t>
  </si>
  <si>
    <t>University of Camerino; University of Perugia; University of Bologna</t>
  </si>
  <si>
    <t>Gabbianelli, R (corresponding author), Univ Camerino, Dipartimento Biol Mol Cellulare &amp; Anim, Via Camerini 2, I-62032 Camerino, MC, Italy.</t>
  </si>
  <si>
    <t>rosita.gabbianelli@unicam.it</t>
  </si>
  <si>
    <t>Gabbianelli, Rosita/J-8217-2015; Moretti, Massimo/H-6885-2017</t>
  </si>
  <si>
    <t>Moretti, Massimo/0000-0002-5038-8619; Gabbianelli, Rosita/0000-0003-0037-7740</t>
  </si>
  <si>
    <t>10.1016/j.scitotenv.2006.02.021</t>
  </si>
  <si>
    <t>079MD</t>
  </si>
  <si>
    <t>WOS:000240179700015</t>
  </si>
  <si>
    <t>Borges, CDL; Fernandez, MAD; Castro, IB; Fillmann, G</t>
  </si>
  <si>
    <t>Lousada Borges, Camila de Leon; dos Santos Fernandez, Marcos Antonio; Castro, Italo Braga; Fillmann, Gilberto</t>
  </si>
  <si>
    <t>ORGANOTIN POLLUTION FROM PLEASURE CRAFT AT PARATY, A TOURIST AREA OF SOUTHEASTERN BRAZIL: AMELIORATION OR INTERFERENCE?</t>
  </si>
  <si>
    <t>BRAZILIAN JOURNAL OF OCEANOGRAPHY</t>
  </si>
  <si>
    <t>Butyltins; Imposex; Stramonita haemastoma; Mangrove; Southeastern Brazilian coast; Temporal evolution</t>
  </si>
  <si>
    <t>MUSSELS MYTILUS-GALLOPROVINCIALIS; RIO-DE-JANEIRO; ENDOCRINE DISRUPTION; TRIBUTYLTIN TBT; IMPOSEX; COASTAL; CONTAMINATION; TOXICITY; EXPOSURE; ENVIRONMENT</t>
  </si>
  <si>
    <t>Some organotin compounds, such as TBT, are endocrine disruptors and harm marine ecosystems. Even after the global ban on organotins, increasing imposex levels have been detected in Stramonita haemastoma analyzed in 2004 and 2011 in some locations at Paraty, a tourist area in southeastern Brazil. The results of this study indicate that particulate and dissolved organic carbon and xenoestrogens might be interfering in this syndrome's development, leading to underestimation of imposex evaluation. Chemical analysis of three mangrove swamp sediments in the area showed the presence of TBT (16.0 - 205.7 ng Sn g-1), DBT (10.1 - 16.4 ng Sn g-1) and MBT (10.1 - 10.2 ng Sn g-1) even at the reference sites. The concentrations of butyltins and the increased incidence of imposexat some stations indicate recent inputs of TBT in the study area due to its illegal use on small vessels.</t>
  </si>
  <si>
    <t>[Lousada Borges, Camila de Leon; dos Santos Fernandez, Marcos Antonio] Univ Estado Rio de Janeiro, BR-20550013 Rio De Janeiro, RJ, Brazil; Univ Fed Rio Grande, Dept Oceanog, Lab Microcontaminantes Organ &amp; Ecotoxicol Aquat, BR-96211100 Rio Grande, RS, Brazil</t>
  </si>
  <si>
    <t>Universidade do Estado do Rio de Janeiro; Universidade Federal do Rio Grande</t>
  </si>
  <si>
    <t>Borges, CDL (corresponding author), Univ Estado Rio de Janeiro, Rua Sao Francisco Xavier,524 Sala 4018E, BR-20550013 Rio De Janeiro, RJ, Brazil.</t>
  </si>
  <si>
    <t>camiladeleon@gmail.com</t>
  </si>
  <si>
    <t>FERNANDEZ, MARCOS/AAH-7086-2021; Fillmann, Gilberto/AAK-1497-2020; Castro, Italo/F-6412-2010</t>
  </si>
  <si>
    <t>Castro, Italo/0000-0001-8303-5150; Fillmann, Gilberto/0000-0001-7615-8128</t>
  </si>
  <si>
    <t>Brazilian Research Council (CNPq) [482488/2010-4, 382327/2011-0]</t>
  </si>
  <si>
    <t>Brazilian Research Council (CNPq)(Conselho Nacional de Desenvolvimento Cientifico e Tecnologico (CNPQ))</t>
  </si>
  <si>
    <t>The authors thank the Brazilian Research Council (CNPq) for their financial support (482488/2010-4 for Marcos A. Fernandez and 382327/2011-0 for Gilberto Fillmann -PQ 314335/2009-9) and CEADS-UERJ for their logistical support. We also thank Mateus Parahyba, Pietro Fancinetti, L via Sant'Angelo, Bruno Costa, Ana Beatriz Ramos, undergraduate students of Oceanography-UERJ, for their help with the sampling.</t>
  </si>
  <si>
    <t>INST OCEANOGRAFICO, UNIV SAO PAULO</t>
  </si>
  <si>
    <t>PRACA DO OCEANOGRAFICO, 191, CIDADE UNIVERSITARIA, SAO PAULO, SP 00000, BRAZIL</t>
  </si>
  <si>
    <t>1679-8759</t>
  </si>
  <si>
    <t>1982-436X</t>
  </si>
  <si>
    <t>BRAZ J OCEANOGR</t>
  </si>
  <si>
    <t>Braz. J. Oceanogr.</t>
  </si>
  <si>
    <t>JUL-SEP</t>
  </si>
  <si>
    <t>255SN</t>
  </si>
  <si>
    <t>WOS:000327260200002</t>
  </si>
  <si>
    <t>Ma, L; Wang, WX</t>
  </si>
  <si>
    <t>Ma, Lan; Wang, Wen-Xiong</t>
  </si>
  <si>
    <t>Subcellular metal distribution in two deep-sea mollusks: Insight of metal adaptation and detoxification near hydrothermal vents</t>
  </si>
  <si>
    <t>Hydrothermal vent; Subcellular metal distribution; Mollusks; Detoxification; Symbiotic bacteria</t>
  </si>
  <si>
    <t>SOUTHWEST INDIAN RIDGE; TRACE-METALS; BATHYMODIOLUS-AZORICUS; SPATIAL VARIATION; TROPHIC TRANSFER; TOXIC METALS; BIOACCUMULATION; CADMIUM; ZN; COMPARTMENTALIZATION</t>
  </si>
  <si>
    <t>In this study, we determined the concentrations of Cu, Zn, Ni, Cd, Pb and As and their subcellular distributions within the tissues of mussels (Bathymodiolus marisindicus) and snails (Gigantopelta aegis) from two hydrothermal vent regions, i.e., Tiancheng and Longqi, at Southwest Indian Ridge. Mussels collected from the two venting regions showed comparable concentrations for Ni and Pb, but Cu, Zn, Cd and As concentrations were significantly different in mussel gills between the two vent regions. Similar ranges of metal concentrations were found in the snails as those in the mussels, but most of the metals were mainly accumulated in the viscera, except for Ni. Similar subcellular partitioning of Cu, Zn and Cd was documented in different mussel tissues, with cellular debris (50%) being the predominant fraction, followed by equivalent values in other fractions. Lead was distributed in both cellular debris and metal-rich granules (MRG) fraction, whereas Ni was predominantly distributed in MRG (90%). Arsenic was mainly partitioned in cellular debris and metallothionein-like protein. However, deep-sea snails displayed elevated subcellular partitioning of Cu in the organelles (up to 60%) and may be more susceptible to Cu stress than the mussels. Our results demonstrated the metal-specificity of detoxification strategies in these deep-sea hydrothermal vent mollusks, and the mussels may be more adaptable to high metal exposures than the snails at hydrothermal vent. (C) 2020 Elsevier Ltd. All rights reserved.</t>
  </si>
  <si>
    <t>[Ma, Lan; Wang, Wen-Xiong] City Univ Hong Kong, Sch Energy &amp; Environm, Southern Marine Sci &amp; Engn Guangdong Lab Guangzho, Hong Kong Branch,Kowloon, Hong Kong, Peoples R China; [Ma, Lan; Wang, Wen-Xiong] City Univ Hong Kong, Res Ctr Oceans &amp; Human Hlth, Shenzhen Res Inst, Shenzhen 518057, Peoples R China</t>
  </si>
  <si>
    <t>Southern Marine Science &amp; Engineering Guangdong Laboratory; Southern Marine Science &amp; Engineering Guangdong Laboratory (Guangzhou); City University of Hong Kong; Shenzhen Research Institute, City University of Hong Kong; City University of Hong Kong</t>
  </si>
  <si>
    <t>Wang, WX (corresponding author), City Univ Hong Kong, Sch Energy &amp; Environm, Southern Marine Sci &amp; Engn Guangdong Lab Guangzho, Hong Kong Branch,Kowloon, Hong Kong, Peoples R China.</t>
  </si>
  <si>
    <t>China Ocean Mineral Resource R&amp;D Association (COMRA) [DY135-E2-1-05]; Key Special Project for Introduced Talents Team of Southern Marine Science and Engineering Guangdong Laboratory (Guangzhou) [GML2019ZD0409]</t>
  </si>
  <si>
    <t>China Ocean Mineral Resource R&amp;D Association (COMRA); Key Special Project for Introduced Talents Team of Southern Marine Science and Engineering Guangdong Laboratory (Guangzhou)</t>
  </si>
  <si>
    <t>We thank the anonymous reviewers for their comments. This work and cruise were funded by China Ocean Mineral Resource R&amp;D Association (COMRA) (DY135-E2-1-05) and the Key Special Project for Introduced Talents Team of Southern Marine Science and Engineering Guangdong Laboratory (Guangzhou) (GML2019ZD0409). We acknowledge the captain and crew of the R/V Da Yang Yi Hao during the COMRA DY52I11 cruise and the skillful equipment handling of the ROV Sea Dragon III.</t>
  </si>
  <si>
    <t>10.1016/j.envpol.2020.115303</t>
  </si>
  <si>
    <t>NR6IE</t>
  </si>
  <si>
    <t>WOS:000571665100001</t>
  </si>
  <si>
    <t>Chu, CY; Zhang, Z; Sun, L; Zhang, N; Liu, WW</t>
  </si>
  <si>
    <t>Chu, Chunyue; Zhang, Zhi; Sun, Lu; Zhang, Nan; Liu, Weiwei</t>
  </si>
  <si>
    <t>Raising the saturation point of fluorescence emitted by air optical filament via π phase plate</t>
  </si>
  <si>
    <t>OPTICAL ENGINEERING</t>
  </si>
  <si>
    <t>femtosecond laser filamentation; laser induced breakdown spectroscopy; pi phase plate; intensity clamping</t>
  </si>
  <si>
    <t>INDUCED BREAKDOWN SPECTROSCOPY; FEMTOSECOND LASER-PULSES; SPATIAL REGULARIZATION; QUANTITATIVE-ANALYSIS; ARRAY</t>
  </si>
  <si>
    <t>Femtosecond laser filament induced breakdown spectroscopy is a promising technique that can be used in the remote sensing of air pollutants. Raising the laser energy saturation point below which the laser filament fluorescence increases exponentially with the incident laser energy will significantly improve the sensing sensitivity and detection distance. In this work, a saturation point raising scheme is proposed in which a quarter-circle r phase plate is used to form four optical filaments in air. The extrapolation based on the experimental results infers that the employment of the quarter-circle pi phase plate and its induced multiple filaments can lead to the increase of the laser energy saturation point by four times, which is proportional to the number of sub-regions in the phase plate. (C) 2021 Society of Photo-Optical Instrumentation Engineers (SPIE)</t>
  </si>
  <si>
    <t>[Zhang, Nan] Nankai Univ, Inst Modern Opt, Tianjin, Peoples R China; Nankai Univ, Tianjin Key Lab Optoelect Sensor &amp; Sensing Networ, Tianjin, Peoples R China</t>
  </si>
  <si>
    <t>Nankai University; Nankai University</t>
  </si>
  <si>
    <t>Zhang, N (corresponding author), Nankai Univ, Inst Modern Opt, Tianjin, Peoples R China.</t>
  </si>
  <si>
    <t>zhangn@nankai.edu.cn</t>
  </si>
  <si>
    <t>Zhang, Nan/GXH-0361-2022; Liu, Weiwei/G-7660-2011</t>
  </si>
  <si>
    <t>Liu, Weiwei/0000-0001-6036-9641</t>
  </si>
  <si>
    <t>National Key R&amp;D Program of China [2018YFB0504400]</t>
  </si>
  <si>
    <t>National Key R&amp;D Program of China</t>
  </si>
  <si>
    <t>This work is supported by National Key R&amp;D Program of China (Grant No. 2018YFB0504400).</t>
  </si>
  <si>
    <t>SPIE-SOC PHOTO-OPTICAL INSTRUMENTATION ENGINEERS</t>
  </si>
  <si>
    <t>BELLINGHAM</t>
  </si>
  <si>
    <t>1000 20TH ST, PO BOX 10, BELLINGHAM, WA 98225 USA</t>
  </si>
  <si>
    <t>0091-3286</t>
  </si>
  <si>
    <t>1560-2303</t>
  </si>
  <si>
    <t>OPT ENG</t>
  </si>
  <si>
    <t>Opt. Eng.</t>
  </si>
  <si>
    <t>10.1117/1.OE.60.7.076105</t>
  </si>
  <si>
    <t>Optics</t>
  </si>
  <si>
    <t>UA9MD</t>
  </si>
  <si>
    <t>WOS:000685477500027</t>
  </si>
  <si>
    <t>Jarvis, TA; Capo, TR; Bielmyer-Fraser, GK</t>
  </si>
  <si>
    <t>Jarvis, Tayler A.; Capo, Thomas R.; Bielmyer-Fraser, Gretchen K.</t>
  </si>
  <si>
    <t>Dietary metal toxicity to the marine sea hare, Aplysia californica</t>
  </si>
  <si>
    <t>Marine invertebrates; Dietary metals; Food chain transfer</t>
  </si>
  <si>
    <t>FRESH-WATER; SUBCELLULAR COMPARTMENTALIZATION; COPPER EXPOSURE; ULVA-LACTUCA; 2 BIVALVES; ZINC; ACCUMULATION; CADMIUM; ZN; CD</t>
  </si>
  <si>
    <t>Metal pollution from anthropogenic inputs is a concern in many marine environments. Metals accumulate in tissue and in excess cause toxicity in marine organisms. This study investigated the accumulation and effects of dietary metals in a macroinvertebrate. The green seaweed, Ulva lactuca and the red seaweed, Agardhiella subulata were each concurrently exposed to two concentrations (100 or 1000 mu g/L) of five metals (Cu, Ni, Pb, Cd, and Zn). Additionally, U. lactuca was exposed to 10 mu g/L of the metal mixture as well as 10 or 100 mu g/L of each metal individually for 48 h. The seaweeds were then used as food for the sea hare, Aplysia californica for two to three weeks depending on the exposure concentration. Body mass of A cahfornica was measured weekly, and at the end of the exposure duration, metal concentrations were quantified in dissected organs (mouth, esophagus, crop, gizzard, ovotestis, heart, hepatopancreas, gill, and the carcass). Metal distribution and accumulation in the organs of A. califomica varied with the metal. A. californica fed the metal-exposed diets had significantly reduced body weight by the end of the exposure periods, as compared to controls; however, differences were observed in the extent of growth reductions, dependent on exposure concentration, duration, and exposure regime (metal mixture versus individual metal-exposed diet). Metal mixture diets decreased A. californica growth more so than comparable individual metal diets, despite more metal accumulating in the individual metal diets. Additionally, Zn- and Cu-contaminated algal diets decreased control-normalized growth of A. californica significantly more than comparable Cd-, Pb-, or Ni-contaminated diets. The seaweed diets in this study contained environmentally relevant tissue metal burdens. Therefore, these results have implications for metals in marine systems. (C) 2015 Elsevier Inc. All rights reserved.</t>
  </si>
  <si>
    <t>[Jarvis, Tayler A.; Bielmyer-Fraser, Gretchen K.] Valdosta State Univ, Dept Biol, Valdosta, GA 31698 USA; [Capo, Thomas R.] Univ Miami, Rosenstiel Sch Marine &amp; Atmospher Sci, Div Marine Biol &amp; Fisheries, Aplysia Resource Facil,Natl Resource Aplysia, Miami, FL 33149 USA</t>
  </si>
  <si>
    <t>University System of Georgia; Valdosta State University; University of Miami</t>
  </si>
  <si>
    <t>Bielmyer-Fraser, GK (corresponding author), Valdosta State Univ, Dept Biol, 1500 North Patterson St, Valdosta, GA 31698 USA.</t>
  </si>
  <si>
    <t>gkbielmyer@valdosta.edu</t>
  </si>
  <si>
    <t>SETAC North America; Valdosta State University; NIH NCCR [RR10294]</t>
  </si>
  <si>
    <t>SETAC North America; Valdosta State University; NIH NCCR(Swiss National Science Foundation (SNSF)United States Department of Health &amp; Human ServicesNational Institutes of Health (NIH) - USA)</t>
  </si>
  <si>
    <t>The authors would like to thank Sasha Booth and Pratik Patel for contributions to this research and SETAC North America for a student travel award. Funding was provided by a Valdosta State University research seed grant and an equipment grant for an atomic absorption spectrophotometer. Aplysia rearing and seaweed cultivation were supported by NIH NCCR grant (RR10294).</t>
  </si>
  <si>
    <t>10.1016/j.cbpc.2015.06.009</t>
  </si>
  <si>
    <t>WOS:000359275000007</t>
  </si>
  <si>
    <t>Loaiza, I; De Boeck, G; Alcazar, J; Campos, D; Cardenas-Alayza, S; Ganoza, M; Gomez-Sanchez, M; Miglio, M; De Troch, M</t>
  </si>
  <si>
    <t>Loaiza, Ivan; De Boeck, Gudrun; Alcazar, Juan; Campos, Diego; Cardenas-Alayza, Susana; Ganoza, Maria; Gomez-Sanchez, Muriel; Miglio, Maria; De Troch, Marleen</t>
  </si>
  <si>
    <t>Trophic interactions and metal transfer in marine ecosystems driven by the Peruvian scallop Argopecten purpuratus aquaculture</t>
  </si>
  <si>
    <t>JOURNAL OF THE WORLD AQUACULTURE SOCIETY</t>
  </si>
  <si>
    <t>biomagnification; metals; Peruvian ecosystems; scallop aquaculture; stable isotopes</t>
  </si>
  <si>
    <t>PERSISTENT ORGANIC POLLUTANTS; STABLE-ISOTOPE ANALYSIS; HUMBOLDT CURRENT SYSTEM; FOOD-WEB; TRACE-ELEMENTS; NITROGEN; BIOMAGNIFICATION; MERCURY; BIOACCUMULATION; HABITAT</t>
  </si>
  <si>
    <t>This study investigates the trophic interactions and As and Cd transfer along seven marine ecosystems in Peru. Five of these ecosystems are driven by aquaculture of the Peruvian scallop Argopecten purpuratus. A southward increased gradient of delta N-15 was observed among the three examined regions along the Peruvian coast. The stable isotope analysis in R (SIAR)-stable isotope mixing models helped to clarify the feeding ecology of A. purpuratus and its important predators (e.g., Bursa ventricosa, Romaleon setosum). The food items of A. purpuratus can be ranked in decreasing order of importance: seston &gt; sediment &gt; particulate organic matter (POM) &gt; brackish-and-fresh water POM input, while A. purpuratus itself was found to be the main prey item for predators. The highest trophic magnification factors (TMFs) were 1.46 and 1.07 for As and Cd, respectively, and were both found at the location in front of the Illescas Reserve Zone (northern Peru). Metal biomagnification and non-biomagnification effects were found in the Peruvian marine food webs, but A. purpuratus always fitted the trophic metal magnification or bio-dilution regression model as intermediate consumer and/or prey. The TMFs and linear metal relationships implied that As contamination is a serious concern in marine ecosystems in Peru.</t>
  </si>
  <si>
    <t>[Loaiza, Ivan; De Troch, Marleen] Univ Ghent, Dept Biol, Marine Biol, Ghent, Belgium; [Loaiza, Ivan; De Boeck, Gudrun] Univ Antwerp, Dept Biol, SPHERE Systemat Physiol &amp; Ecotoxicol Res, Antwerp, Belgium; [Loaiza, Ivan] Univ Cient Sur, Carrera Biol Marina, Lima, Peru; [Alcazar, Juan] Invers Prisco SAC, Lima, Peru; [Alcazar, Juan] Acuicultores Pisco SA, Lima, Peru; [Campos, Diego] Univ Nacl Mayor San Marcos, Lab Ecol Acua, FCB, Lima, Peru; [Cardenas-Alayza, Susana; Ganoza, Maria] Univ Peruana Cayetano Heredia, Ctr Sostenibilidad Ambiental, Lima, Peru; [Gomez-Sanchez, Muriel] Organismo Nacl Sanidad Pesquera SANIPES, Subdirecc Sanidad Acuicola, Lima, Peru; [Miglio, Maria] Univ Nacl Agr La Molina, Fac Pesqueria, Lima, Peru</t>
  </si>
  <si>
    <t>Ghent University; University of Antwerp; Universidad Cientifica del Sur (CIENTIFICA); Universidad Nacional Mayor de San Marcos; Universidad Peruana Cayetano Heredia; Universidad Nacional Agraria La Molina</t>
  </si>
  <si>
    <t>Loaiza, I (corresponding author), Univ Hong Kong, Swire Inst Marine Sci, Hong Kong, Peoples R China.;Loaiza, I (corresponding author), Univ Hong Kong, Sch Biol Sci, Hong Kong, Peoples R China.</t>
  </si>
  <si>
    <t>iloaizaa@hku.hk</t>
  </si>
  <si>
    <t>Alamo, Iván/AAF-7531-2019; Cárdenas-Alayza, Susana/IQW-7038-2023; De Troch, Marleen/AAB-9809-2019; De Boeck, Gudrun/A-1938-2015</t>
  </si>
  <si>
    <t>Campos Salazar, Diego Nahuel/0000-0001-6685-8139; Miglio Toledo, Maria Cristina/0000-0002-7134-042X; Loaiza, Ivan/0000-0001-8061-5678; De Boeck, Gudrun/0000-0003-0941-3488; Cardenas-Alayza, Susana/0000-0002-8828-9552</t>
  </si>
  <si>
    <t>VLIR-UOS; EMBRC Belgium-FWO project [GOH3817N]; Consejo Nacional de Ciencia, Tecnologia e Innovacion Tecnologica (CONCYTEC), Peru [214-2015-FONDECYT]</t>
  </si>
  <si>
    <t>VLIR-UOS; EMBRC Belgium-FWO project; Consejo Nacional de Ciencia, Tecnologia e Innovacion Tecnologica (CONCYTEC), Peru</t>
  </si>
  <si>
    <t>Sincere thanks to ACQUAPISCO SA staff members and interns for their support during the Summer Sampling Campaign I (2016) and II (2017). Summer Sampling Campaign III (2018) in Punta San Juan, Marcona, was conducted in frame of TRACEseafood, project funding by VLIR-UOS. We would like to thank Bruno Vlaeminck (UGent), Steven Joosen, and Valentine Mubiana (UAntwerp) for their help with the chemical analyses. The results presented in this publication were obtained with UGent lab facilities funded by EMBRC Belgium-FWO project GOH3817N. This research is in frame of the MACOPSproject and was supported and financed by Consejo Nacional de Ciencia, Tecnologia e Innovacion Tecnologica (CONCYTEC), Peru. Contrato 214-2015-FONDECYT.</t>
  </si>
  <si>
    <t>0893-8849</t>
  </si>
  <si>
    <t>1749-7345</t>
  </si>
  <si>
    <t>J WORLD AQUACULT SOC</t>
  </si>
  <si>
    <t>J. World Aquacult. Soc.</t>
  </si>
  <si>
    <t>10.1111/jwas.12822</t>
  </si>
  <si>
    <t>0L8UA</t>
  </si>
  <si>
    <t>WOS:000662055800001</t>
  </si>
  <si>
    <t>Karube, Z; Tanaka, A; Takeuchi, A; Takazawa, Y; Takagi, M; Kinoshita, A; Seyama, H; Shibata, Y</t>
  </si>
  <si>
    <t>Karube, Zin-ichi; Tanaka, Atsushi; Takeuchi, Akinori; Takazawa, Yoshikatsu; Takagi, Mai; Kinoshita, Ayako; Seyama, Haruhiko; Shibata, Yasuyuki</t>
  </si>
  <si>
    <t>Three decades of environmental specimen banking at the National Institute for Environmental Studies, Japan</t>
  </si>
  <si>
    <t>1st International Conference on Environmental Specimen Bank</t>
  </si>
  <si>
    <t>OCT, 2013</t>
  </si>
  <si>
    <t>Shanghai, PEOPLES R CHINA</t>
  </si>
  <si>
    <t>Environmental specimen banking; Mussel watch; Coastal environment; QA/QC procedure; Cryo-homogenization; Emergency response</t>
  </si>
  <si>
    <t>COASTAL WATERS; MUSSEL WATCH; CONTAMINANTS; ACCUMULATION; AUSTRALIA; BIVALVES; CADMIUM; TRENDS; LEAD</t>
  </si>
  <si>
    <t>After two decades operation of the initial environmental specimen banking, a new program, Environmental Time Capsule Program, started in 2002 as a government-supported long-term program to construct a firm scientific basis for various environmental research studies. The program consists of long-term environmental specimen banking activity and specimen collection of endangered wildlife and is based on cryogenic sample preservation facility called Environmental Time Capsule building, which completed construction in 2004. After 9 years of extensive research, research focuses have been selected and the program was reorganized to the environmental sample collection part and endangered wildlife collection part in 2011. Due to huge environmental disaster caused by the Great East Japan earthquake and the tsunami as well as subsequent nuclear power plant accident at Fukushima, a new sampling and monitoring program started at affected areas in collaboration with the reorganized environmental sample collection and archiving program. Outlines of the quality assurance and quality control (QA/QC) activities in the program and future perspective under related international activities, particularly Stockholm Convention, are reported.</t>
  </si>
  <si>
    <t>[Karube, Zin-ichi; Tanaka, Atsushi; Takeuchi, Akinori; Takazawa, Yoshikatsu; Takagi, Mai; Kinoshita, Ayako; Seyama, Haruhiko; Shibata, Yasuyuki] Natl Inst Environm Studies, Ctr Environm Measurement &amp; Anal, Tsukuba, Ibaraki 3058506, Japan</t>
  </si>
  <si>
    <t>National Institute for Environmental Studies - Japan</t>
  </si>
  <si>
    <t>Shibata, Y (corresponding author), Natl Inst Environm Studies, Ctr Environm Measurement &amp; Anal, 16-2 Onogawa, Tsukuba, Ibaraki 3058506, Japan.</t>
  </si>
  <si>
    <t>yshibata@nies.go.jp</t>
  </si>
  <si>
    <t>Takagi, Mai/HQZ-0882-2023</t>
  </si>
  <si>
    <t>Ministry of the Environment; National Institute for Environmental Studies, Japan</t>
  </si>
  <si>
    <t>Ministry of the Environment(Ministry of the Environment, Japan); National Institute for Environmental Studies, Japan</t>
  </si>
  <si>
    <t>The program has been realized and conducted by the valuable support of many researchers and technical/administrative staffs, including Drs. Masatoshi Morita, Makoto Watanabe, Kunimitsu Kaya, Takashi Uehiro, Takashi Kuwana, Toshihiro Horiguchi, Mr. Masao Hirota, Ms. Yuko Kanda, Zhao Quin, Mitsuha Yoshikane, Tomoko Hosoya, Tamiko Fujisaki, Sumiko Komori, Miyako Kobayashi, Miyuki Yanai, Mineko Moto, Emiko Yuhara, Yumiko Goto, and Miho Sekine. Part of the program has been supported by the Ministry of the Environment and the National Institute for Environmental Studies, Japan.</t>
  </si>
  <si>
    <t>10.1007/s11356-014-3039-9</t>
  </si>
  <si>
    <t>CA4ZU</t>
  </si>
  <si>
    <t>WOS:000348917400006</t>
  </si>
  <si>
    <t>Geng, QQ; Zou, L; Liu, H; Guo, MM; Li, FL; Liu, XX; Qin, HL; Wang, X; Tan, ZJ</t>
  </si>
  <si>
    <t>Geng, Qianqian; Zou, Liang; Liu, Hong; Guo, Mengmeng; Li, Fengling; Liu, Xiangxiang; Qin, Hanlin; Wang, Xu; Tan, Zhijun</t>
  </si>
  <si>
    <t>Influence of humic acid on the bioaccumulation, elimination, and toxicity of PFOS and TBBPA co-exposure in Mytilus unguiculatus Valenciennes</t>
  </si>
  <si>
    <t>Perfluoroalkyl acids; Brominated flame retardant; Dissolved organic matter; Bioconcentration; Mussel; Co-exposure</t>
  </si>
  <si>
    <t>DISSOLVED ORGANIC-MATTER; OXIDATIVE STRESS; PERFLUOROALKYL SUBSTANCES; DAPHNIA-MAGNA; BOHAI SEA; TETRABROMOBISPHENOL; EXPOSURE; WATER; CADMIUM; MUSSEL</t>
  </si>
  <si>
    <t>Tetrabromobisphenol A (TBBPA) and Perfluorooctane sulfonate (PFOS) are emerging contaminants which coexist in marine environments, posing significant risks to ecosystems and human health. The behavior of these contaminants in the presence of dissolved organic matter (DOM), specifically the co-contamination of TBBPA and PFOS, is not well understood. The bioaccumulation, distribution, elimination, and toxic effects of TBBPA and PFOS on thick-shell mussels (Mytilus unguiculatus V.), with the absence and presence of humic acid (HA), a typical DOM, were studied. The results showed that the uptake of TBBPA decreased and the uptake of PFOS increased when exposed to 1 mg/L HA. However, at higher concentrations of HA (5 and 25 mg/L), the opposite effect was observed. Combined exposure to HA, TBBPA, and PFOS resulted in oxidative stress in the digestive gland, with the severity of stress dependent on exposure time and HA dose. Histological analysis revealed a positive correlation between HA concentration and tissue damage caused by TBBPA and PFOS. This study provides insights into the influence of HA on the bioaccumulation-elimination patterns and toxicity of TBBPA and PFOS in marine bivalves, offering valuable data for ecological and health risk assessments of combined pollutants in aquatic environments rich in DOM.</t>
  </si>
  <si>
    <t>[Geng, Qianqian; Zou, Liang; Guo, Mengmeng; Li, Fengling; Qin, Hanlin; Tan, Zhijun] Chinese Acad Fishery Sci, Yellow Sea Fisheries Res Inst, Key Lab Testing &amp; Evaluat Aquat Prod Safety &amp; Qual, Minist Agr &amp; Rural Affairs, Qingdao 266071, Peoples R China; [Geng, Qianqian; Liu, Xiangxiang; Wang, Xu] Guangdong Prov Key Lab Qual &amp; Safety Risk Assessme, Guangzhou 510640, Peoples R China; [Zou, Liang; Liu, Hong] Shanghai Ocean Univ, Coll Fisheries &amp; Life Sci, Shanghai 201306, Peoples R China; [Wang, Xu] Guangdong Acad Agr Sci, Inst Qual Stand &amp; Monitoring Technol Agroprod, Guangzhou 510640, Peoples R China; [Tan, Zhijun] Chinese Acad Fishery Sci, Yellow Sea Fisheries Res Inst, State Key Lab Mariculture Biobreeding &amp; Sustainabl, Qingdao 266071, Peoples R China</t>
  </si>
  <si>
    <t>Ministry of Agriculture &amp; Rural Affairs; Chinese Academy of Fishery Sciences; Yellow Sea Fisheries Research Institute, CAFS; Shanghai Ocean University; Guangdong Academy of Agricultural Sciences; Chinese Academy of Fishery Sciences; Yellow Sea Fisheries Research Institute, CAFS</t>
  </si>
  <si>
    <t>Tan, ZJ (corresponding author), Chinese Acad Fishery Sci, Yellow Sea Fisheries Res Inst, Key Lab Testing &amp; Evaluat Aquat Prod Safety &amp; Qual, Minist Agr &amp; Rural Affairs, Qingdao 266071, Peoples R China.;Wang, X (corresponding author), Guangdong Prov Key Lab Qual &amp; Safety Risk Assessme, Guangzhou 510640, Peoples R China.</t>
  </si>
  <si>
    <t>wangxuguangzhou@126.com; tanzj@ysfri.ac.cn</t>
  </si>
  <si>
    <t>Central Public-interest Scientific Institution Basal Research Fund, YSFRI, CAFS [20603022024012, 2023TD76]; Opening Project of Guangdong Province Key Laboratory of Quality &amp; Safety Risk Assessment for Agro- products [SZKF202303]; Youth Natural Science Foundation of Shandong Province [ZR2020QD093]; Postdoctoral Research Foundation of China [2019M662470, 2020T130722]; Earmarked fund for CARS [CARS -49]</t>
  </si>
  <si>
    <t>Central Public-interest Scientific Institution Basal Research Fund, YSFRI, CAFS; Opening Project of Guangdong Province Key Laboratory of Quality &amp; Safety Risk Assessment for Agro- products; Youth Natural Science Foundation of Shandong Province; Postdoctoral Research Foundation of China(China Postdoctoral Science Foundation); Earmarked fund for CARS</t>
  </si>
  <si>
    <t>This work was financially supported by: (1) the Central Public-interest Scientific Institution Basal Research Fund, YSFRI, CAFS (20603022024012, 2023TD76) ; (2) the Opening Project of Guangdong Province Key Laboratory of Quality &amp; Safety Risk Assessment for Agro- products (SZKF202303) ; (3) the Youth Natural Science Foundation of Shandong Province (ZR2020QD093) ; (4) the Postdoctoral Research Foundation of China (2019M662470, 2020T130722) ; and (5) the earmarked fund for CARS (CARS -49) .</t>
  </si>
  <si>
    <t>10.1016/j.scitotenv.2024.171358</t>
  </si>
  <si>
    <t>OF5C8</t>
  </si>
  <si>
    <t>WOS:001205853900001</t>
  </si>
  <si>
    <t>Yang, Y; Chow, TW; Zhang, YQ; Yu, PKN; Ko, CC; Wu, RSS</t>
  </si>
  <si>
    <t>Yang, Yi; Chow, Tze W.; Zhang, Yi Q.; Yu, Peter K. N.; Ko, Chi C.; Wu, Rudolf S. S.</t>
  </si>
  <si>
    <t>Artificial Mussels: A New Tool for Monitoring Radionuclides in Aquatic Environments</t>
  </si>
  <si>
    <t>radionuclides; U; Cs and Sr; environmental monitoring; passive sampler; artificial mussel</t>
  </si>
  <si>
    <t>POWER-PLANT ACCIDENT; FRESH-WATER FISH; MYTILUS-GALLOPROVINCIALIS; HEAVY-METALS; RADIOACTIVE CONTAMINATION; FUKUSHIMA; BIOACCUMULATION; POLLUTION; REMOVAL; CS-137</t>
  </si>
  <si>
    <t>Existing methods for monitoring radionuclides in aquatic environments require frequent sampling of a large volume of water, followed by tedious concentration and analytical procedures, which often make it impractical. Mussels have also been commonly employed to monitor radionuclides but bioaccumulation is significantly affected by physical and biological factors. This study explored the feasibility of using the 'Artificial Mussel' (AM) as a new tool for monitoring radionuclides in marine environments. We showed that (a) the uptake and accumulation of U-238, Sr-88, and Cs-133 by AMs are directly related to their concentration in water, and equilibrium could be reached within 7 to 8 weeks with high concentration factors. Our results suggest that AMs can serve as an effective and practical tool for monitoring radionuclides in the aquatic environment and overcoming the difficulties faced by existing methods in radionuclide monitoring.</t>
  </si>
  <si>
    <t>[Yang, Yi] Univ Hong Kong, Sch Biol Sci, Hong Kong 999077, Peoples R China; [Yang, Yi; Chow, Tze W.; Zhang, Yi Q.; Yu, Peter K. N.; Ko, Chi C.; Wu, Rudolf S. S.] City Univ Hong Kong, State Key Lab Marine Pollut, Hong Kong 999077, Peoples R China; [Yu, Peter K. N.] City Univ Hong Kong, Dept Phys, Hong Kong 999077, Peoples R China; [Ko, Chi C.] City Univ Hong Kong, Dept Chem, Hong Kong 999077, Peoples R China; [Wu, Rudolf S. S.] Educ Univ Hong Kong, Dept Sci &amp; Environm Studies, Hong Kong 999077, Peoples R China</t>
  </si>
  <si>
    <t>University of Hong Kong; City University of Hong Kong; City University of Hong Kong; City University of Hong Kong; Education University of Hong Kong (EdUHK)</t>
  </si>
  <si>
    <t>Ko, CC; Wu, RSS (corresponding author), City Univ Hong Kong, State Key Lab Marine Pollut, Hong Kong 999077, Peoples R China.;Ko, CC (corresponding author), City Univ Hong Kong, Dept Chem, Hong Kong 999077, Peoples R China.;Wu, RSS (corresponding author), Educ Univ Hong Kong, Dept Sci &amp; Environm Studies, Hong Kong 999077, Peoples R China.</t>
  </si>
  <si>
    <t>yangyi1@hku.hk; twchow24-c@my.cityu.edu.hk; yiqiongnn@gmail.com; appknyu@cityu.edu.hk; vinccko@cityu.edu.hk; rudolfwu@eduhk.hk</t>
  </si>
  <si>
    <t>Yu, Peter/C-7051-2013; Wu, Rudolf/B-4203-2010; Ko, Chi-Chiu/C-4713-2011</t>
  </si>
  <si>
    <t>Ko, Chi-Chiu/0000-0002-2426-3206; YU, Kwan Ngok Peter/0000-0003-1669-5348</t>
  </si>
  <si>
    <t>10.3390/jmse11071309</t>
  </si>
  <si>
    <t>N3HJ2</t>
  </si>
  <si>
    <t>WOS:001035961000001</t>
  </si>
  <si>
    <t>Chakraborty, S; Ray, M; Ray, S</t>
  </si>
  <si>
    <t>Chakraborty, Sudipta; Ray, Mitali; Ray, Sajal</t>
  </si>
  <si>
    <t>Toxicity of sodium arsenite in the gill of an economically important mollusc of India</t>
  </si>
  <si>
    <t>Lamellidens marginalis; Sodium arsenite; Gill; Histology; Oxidative stress; Biochemical stress</t>
  </si>
  <si>
    <t>GLUTATHIONE-S-TRANSFERASE; MARINE MUSSEL; MYTILUS-GALLOPROVINCIALIS; CRASSOSTREA-GIGAS; NITRIC-OXIDE; LAMELLIDENS-MARGINALIS; PHENOLOXIDASE ACTIVITY; HEAVY-METALS; HEMOCYTES; POLLUTION</t>
  </si>
  <si>
    <t>Toxicity of arsenic was investigated in the gill of Lamellidens marginalis by exposing the animals to sublethal concentrations of sodium arsenite for a maximum period of 30 days in controlled laboratory conditions Arsenite exposure inhibited the activities of acid phosphatase (ACP), alkaline phosphatase (ALP), glutamate oxaloacetate transaminase (GOT), glutamate pyruvate transaminase (GPT) and acetlycholinesterase (AChE) in a dose and time dependent manner. Depletion in cytotoxic molecule like nitric oxide (NO) and suppression of phenoloxidase (PO) activity suggests an immune compromise in the animal Inhibition in the activities of glutathione-s-transferase (GST) and catalase (CAT) in the species indicate impairment of its vital detoxification process and elevated oxidative stress respectively Histopathology of the gill indicates arsenite induced damage of the organ leading to its possible dysfunction The toxic exposure ravaged the structure and impaired the functions of the gill of the animal which might restrict its proper gaseous exchange, filter feeding and elicitation of immune responses against pathogens. (C) 2010 Elsevier Ltd All rights reserved.</t>
  </si>
  <si>
    <t>[Ray, Mitali; Ray, Sajal] Univ Calcutta, Dept Zool, Aquat Toxicol Lab, Kolkata 700019, W Bengal, India; [Chakraborty, Sudipta] Darjeeling Govt Coll, Postgrad Dept Zool, Parasitol &amp; Med Entomol Lab, Darjeeling 734101, W Bengal, India</t>
  </si>
  <si>
    <t>Ray, S (corresponding author), Univ Calcutta, Dept Zool, Aquat Toxicol Lab, 35 Ballygunge Circular Rd, Kolkata 700019, W Bengal, India.</t>
  </si>
  <si>
    <t>University Grant Commission</t>
  </si>
  <si>
    <t>University Grant Commission(University Grants Commission, India)</t>
  </si>
  <si>
    <t>Authors thankfully acknowledge the financial support received from The University Grant Commission (Grant ID: UGC-SAP-DRS I, F.3- 20/2007 SAP II, dated 26 2.2007), Government of India.</t>
  </si>
  <si>
    <t>10.1016/j.fsi.2010.02.025</t>
  </si>
  <si>
    <t>609IG</t>
  </si>
  <si>
    <t>WOS:000278649000016</t>
  </si>
  <si>
    <t>Pilkey, OH; Cooper, JAG</t>
  </si>
  <si>
    <t>Pilkey, Orrin H.; Cooper, J. Andrew G.</t>
  </si>
  <si>
    <t>Are natural beaches facing extinction?</t>
  </si>
  <si>
    <t>INTERNATIONAL COASTAL SYMPOSIUM DURBAN, KWAZULU-NATAL, SOUTH AFRICA THE OYSTERBOX UMHLANGA</t>
  </si>
  <si>
    <t>APR 13-18, 2014</t>
  </si>
  <si>
    <t>Durban, SOUTH AFRICA</t>
  </si>
  <si>
    <t>sea level rise; pollution; litter; beach management</t>
  </si>
  <si>
    <t>SANDY BEACHES; EXPOSURE; IMPACTS</t>
  </si>
  <si>
    <t>On a generational scale, on developed shorelines, the world's recreational beaches are doomed. This is largely because of the widespread assumption that preservation of buildings is a higher priority than preservation of beaches in response to sea level rise. Continuing beach degradation will be inevitable through active or passive processes. Active degradation means the actual removal of the beach, mostly as a result of shoreline engineering or mining. By far, the most important cause of beach loss in this category will be hard structures, especially seawalls. The incorrectly but widely perceived panacea of each replenishment will become economically impossible because of raised sea levels. Replenishment leads to intensified beachfront development and this ironically and inevitably will increase the future construction of seawalls. Passive degradation refers to reduction of the quality of the beach to the point that human usage drops, along with political support for costly beach preservation by nourishment. Passive degradation includes trash accumulation, oil spills, beach driving and most importantly, pollution, which is increasing rapidly apace with population growth and remains largely unrecognized by the beach-using public.</t>
  </si>
  <si>
    <t>[Pilkey, Orrin H.] Duke Univ, Durham, NC 27708 USA; [Cooper, J. Andrew G.] Univ Ulster, Sch Environm Sci, Coleraine BT52 1SA, Londonderry, North Ireland; [Cooper, J. Andrew G.] Univ KwaZulu Natal, Sch Agr Earth &amp; Environm Sci, Westville, South Africa</t>
  </si>
  <si>
    <t>Duke University; Ulster University; University of Kwazulu Natal</t>
  </si>
  <si>
    <t>Pilkey, OH (corresponding author), Duke Univ, Durham, NC 27708 USA.</t>
  </si>
  <si>
    <t>opilkey@duke.edu; jag.cooper@ulster.ac.uk</t>
  </si>
  <si>
    <t>Cooper, Andrew/AAH-4251-2020</t>
  </si>
  <si>
    <t>Cooper, Andrew/0000-0003-4972-8812</t>
  </si>
  <si>
    <t>10.2112/SI70-073.1</t>
  </si>
  <si>
    <t>AK1LH</t>
  </si>
  <si>
    <t>WOS:000338176100074</t>
  </si>
  <si>
    <t>Jayarathne, T; Stockwell, CE; Bhave, PV; Praveen, PS; Rathnayake, CM; Islam, MR; Panday, AK; Adhikari, S; Maharjan, R; Goetz, JD; DeCarlo, PF; Saikawa, E; Yokelson, RJ; Stone, EA</t>
  </si>
  <si>
    <t>Jayarathne, Thilina; Stockwell, Chelsea E.; Bhave, Prakash V.; Praveen, Puppala S.; Rathnayake, Chathurika M.; Islam, Md. Robiul; Panday, Arnico K.; Adhikari, Sagar; Maharjan, Rashmi; Goetz, J. Douglas; DeCarlo, Peter F.; Saikawa, Eri; Yokelson, Robert J.; Stone, Elizabeth A.</t>
  </si>
  <si>
    <t>Nepal Ambient Monitoring and Source Testing Experiment (NAMaSTE): emissions of particulate matter from wood- and dung-fueled cooking fires, garbage and crop residue burning, brick kilns, and other sources</t>
  </si>
  <si>
    <t>ATMOSPHERIC CHEMISTRY AND PHYSICS</t>
  </si>
  <si>
    <t>POLYCYCLIC AROMATIC-HYDROCARBONS; SECONDARY ORGANIC AEROSOL; AIR-POLLUTION SOURCES; BIOMASS COOKSTOVES; DIESEL GENERATOR; TRACE GASES; SOUTH-ASIA; ATMOSPHERIC PARTICLES; EXHAUST EMISSIONS; ENERGY EFFICIENCY</t>
  </si>
  <si>
    <t>The Nepal Ambient Monitoring and Source Testing Experiment (NAMaSTE) characterized widespread and under-sampled combustion sources common to South Asia, including brick kilns, garbage burning, diesel and gasoline generators, diesel groundwater pumps, idling motorcycles, traditional and modern cooking stoves and fires, crop residue burning, and heating fire. Fuel-based emission factors (EFs; with units of pollutant mass emitted per kilogram of fuel combusted) were determined for fine particulate matter (PM2.5), organic carbon (OC), elemental carbon (EC), inorganic ions, trace metals, and organic species. For the forced-draft zigzag brick kiln, EFPM2.5 ranged from 12 to 19 g kg(-1) with major contributions from OC (7 %), sulfate expected to be in the form of sulfuric acid (31.9 %), and other chemicals not measured (e.g., particle-bound water). For the clamp kiln, EFPM2.5 ranged from 8 to 13 g kg(-1), with major contributions from OC (63.2 %), sulfate (23.4 %), and ammonium (16 %). Our brick kiln EFPM2.5 values may exceed those previously reported, partly because we sampled emissions at ambient temperature after emission from the stack or kiln allowing some particle-phase OC and sulfate to form from gaseous precursors. The combustion of mixed household garbage under dry conditions had an EFPM2.5 of 7.4 +/- 1.2 g kg(-1), whereas damp conditions generated the highest EFPM2.5 of all combustion sources in this study, reaching up to 125 +/- 23 g kg(-1). Garbage burning emissions contained triphenylbenzene and relatively high concentrations of heavy metals (Cu, Pb, Sb), making these useful markers of this source. A variety of cooking stoves and fires fueled with dung, hardwood, twigs, and/or other bio-fuels were studied. The use of dung for cooking and heating produced higher EFPM2.5 than other biofuel sources and consistently emitted more PM2.5 and OC than burning hard-wood and/or twigs; this trend was consistent across traditional mud stoves, chimney stoves, and three-stone cooking fires. The comparisons of different cooking stoves and cooking fires revealed the highest PM emissions from three-stone cooking fires (7.6-73 g kg(-1)), followed by traditional mud stoves (5.3-19.7 g kg(-1)), mud stoves with a chimney for exhaust (3.0-6.8 g kg(-1)), rocket stoves (1.5-7.2 g kg(-1)), induced-draft stoves (1.2-5.7 g kg(-1)), and the bhuse chub stove (3.2 g kg(-1)), while biogas had no detectable PM emissions. Idling motorcycle emissions were evaluated before and after routine servicing at a local shop, which decreased EFPM2.5 from 8.8 +/- 1.3 to 0.71 +/- 0.45 g kg(-1) when averaged across five motorcycles. Organic species analysis indicated that this reduction in PM2.5 was largely due to a decrease in emission of motor oil, probably from the crankcase. The EF and chemical emissions profiles developed in this study may be used for source apportionment and to update regional emission inventories.</t>
  </si>
  <si>
    <t>[Jayarathne, Thilina; Stockwell, Chelsea E.; Rathnayake, Chathurika M.; Islam, Md. Robiul; Stone, Elizabeth A.] Univ Iowa, Dept Chem, Iowa City, IA 52242 USA; [Stockwell, Chelsea E.; Yokelson, Robert J.] Univ Montana, Dept Chem, Missoula, MT 59812 USA; [Bhave, Prakash V.; Praveen, Puppala S.; Panday, Arnico K.] Internat Ctr Integrated Mt Dev ICIMOD, Khumaltar, Lalitpur, Nepal; [Adhikari, Sagar; Maharjan, Rashmi] MinErgy Pvt Ltd, Lalitpur, Nepal; [Goetz, J. Douglas; DeCarlo, Peter F.] Drexel Univ, Dept Civil Architectural &amp; Environm Engn, Philadelphia, PA 19104 USA; [DeCarlo, Peter F.] Drexel Univ, Dept Chem, Philadelphia, PA 19104 USA; [Saikawa, Eri] Emory Univ, Dept Environm Sci, Atlanta, GA 30322 USA; [Stone, Elizabeth A.] Univ Iowa, Dept Chem &amp; Biochem Engn, Iowa City, IA 52242 USA</t>
  </si>
  <si>
    <t>University of Iowa; University of Montana System; University of Montana; Drexel University; Drexel University; Emory University; University of Iowa</t>
  </si>
  <si>
    <t>Stone, EA (corresponding author), Univ Iowa, Dept Chem, Iowa City, IA 52242 USA.;Stone, EA (corresponding author), Univ Iowa, Dept Chem &amp; Biochem Engn, Iowa City, IA 52242 USA.</t>
  </si>
  <si>
    <t>betsy-stone@uiowa.edu</t>
  </si>
  <si>
    <t>Bhave, Prakash/L-1958-2013; Stockwell, Chelsea/ABH-6021-2020; Saikawa, Eri/HCI-9996-2022; DeCarlo, Peter/AAA-8561-2019; Yokelson, Robert/C-9971-2011; Puppala, Siva Praveen/E-7795-2013</t>
  </si>
  <si>
    <t>Puppala, Siva Praveen/0000-0002-1352-3412; Yokelson, Robert/0000-0002-8415-6808; Adhikari, Sagar/0000-0003-3894-4560; Islam, Md. Robiul/0000-0002-4243-1621; DeCarlo, Peter/0000-0001-6385-7149; Puppala, Siva Praveen/0000-0002-6742-0398; Goetz, James/0000-0003-0824-1215; Stockwell, Chelsea/0000-0003-3462-2126</t>
  </si>
  <si>
    <t>ICIMOD; NSF Major Research Instrumentation program [EAR-0821615]; NSF [AGS 1351616]; National Science Foundation; NASA Earth Science Division Award [NNX14AP45G]; [AGS 1349967]; [AGS 1461458]; [AGS 1350021]; Directorate For Geosciences; Div Atmospheric &amp; Geospace Sciences [1461458, 1351616, 1350021, 1349976] Funding Source: National Science Foundation; NASA [675338, NNX14AP45G] Funding Source: Federal RePORTER</t>
  </si>
  <si>
    <t>ICIMOD; NSF Major Research Instrumentation program(National Science Foundation (NSF)NSF - Directorate for Mathematical &amp; Physical Sciences (MPS)); NSF(National Science Foundation (NSF)); National Science Foundation(National Science Foundation (NSF)); NASA Earth Science Division Award; ; ; ; Directorate For Geosciences; Div Atmospheric &amp; Geospace Sciences(National Science Foundation (NSF)NSF - Directorate for Geosciences (GEO)); NASA(National Aeronautics &amp; Space Administration (NASA))</t>
  </si>
  <si>
    <t>This project was funded by the National Science Foundation through the grant entitled Collaborative Research: Measurements of Selected Combustion Emissions in Nepal and Bhutan Integrated with Source Apportionment and Chemical Transport Modeling for South Asia. Elizabeth A. Stone and Thilina Jayarathne were supported by NSF grant number AGS 1351616, Robert J. Yokelson and Chelsea E. Stockwell were supported by AGS 1349967, J. Douglas Goetz and Peter F. DeCarlo were supported by AGS 1461458, and Eri Saikawa was supported by AGS 1350021. Robert J. Yokelson was also supported by NASA Earth Science Division Award NNX14AP45G. Prakash V. Bhave, Puppala S. Praveen, Sagar Adhikari, Rasmi Maharjan, and Arnico K. Panday were partially supported by core funds of ICIMOD contributed by the governments of Afghanistan, Australia, Austria, Bangladesh, Bhutan, China, India, Myanmar, Nepal, Norway, Pakistan, Switzerland, and the UK. We thank Sanu Babu Dangol, Shradda Dhungel, Sudip Ghimire, and Mukesh Rai for identifying and arranging access to the field sampling sites; Bijaya Raj Khanal for assisting with the lab-based cooking tests; Nawraj and Karma Sherpa for logistic support; Kaitlyn Daugherty for measurement of water-soluble organic carbon; Gavin Parker for quantification of antimony; and David Peate for training and access to ICP-MS instrumentation that was purchased through the NSF Major Research Instrumentation program (grant EAR-0821615).</t>
  </si>
  <si>
    <t>1680-7316</t>
  </si>
  <si>
    <t>1680-7324</t>
  </si>
  <si>
    <t>ATMOS CHEM PHYS</t>
  </si>
  <si>
    <t>Atmos. Chem. Phys.</t>
  </si>
  <si>
    <t>10.5194/acp-18-2259-2018</t>
  </si>
  <si>
    <t>Environmental Sciences; Meteorology &amp; Atmospheric Sciences</t>
  </si>
  <si>
    <t>Environmental Sciences &amp; Ecology; Meteorology &amp; Atmospheric Sciences</t>
  </si>
  <si>
    <t>FW4UT</t>
  </si>
  <si>
    <t>WOS:000425311300004</t>
  </si>
  <si>
    <t>Awuor, W; Muthumbi, AWN; Robertson-Andersson, DV</t>
  </si>
  <si>
    <t>Awuor, W.; Muthumbi, A. W. N.; Robertson-Andersson, D., V</t>
  </si>
  <si>
    <t>Presence of microplastics in benthic macroinvertebrates along the Kenyan coast</t>
  </si>
  <si>
    <t>AFRICAN JOURNAL OF MARINE SCIENCE</t>
  </si>
  <si>
    <t>deposit feeders; East Africa; filter feeders; genus Uca; ingested microplastics; marine fauna; plastic pollution; Saccostrea cuccullata</t>
  </si>
  <si>
    <t>MARINE</t>
  </si>
  <si>
    <t>Microplastics (MPs) are plastics less than 5 mm in diameter. Their small size renders them invisible to deposit- and filter-feeding fauna, leading to unintentional ingestion. This study investigated the presence of MPs in an oyster (Saccostrea cuccullata) and three species of brachyuran crabs (Tubuca dussumieri, Cranuca inversa and Gelasimus vocans) along the Kenyan coast. Sampling was carried out at eight stations distributed between three sites: Tudor, Port Reitz and Mida creeks, in January and February 2018, during low spring tide. The sample comprised 206 crabs and 70 oysters. Samples were digested using 10% KOH at 60 degrees C for 24 hours and then passed through 38-mu m sieves. Sieved products (&lt;38 mu m) were filtered through Whatman filter membranes (0.8 mu m) and viewed under a dissecting microscope for MPs. The study identified mainly MP fibres, which were of different colours: red, yellow, black, pink, orange, purple, green, blue and colourless. Colourless fibres were the most prevalent, comprising at least 60% of the total MPs. Mean lengths of MPs fibres of different colours were between 0.1 and 4.2 mm. The mean concentration of MPs (MPs g(-1) wet tissue) was 0.65 (SE 0.13) in crabs and 3.36 (SE 0.53) in oysters, and the difference between the two taxa was significant (independent two-sample t-test: t = 5.61, df = 14, p = 0.01). The higher mean concentration in oysters was attributed mainly to their filter-feeding habit. This study exposes MP pollution along the Kenyan coast and its uptake by marine fauna, and thus strengthens the case for better control of plastic wastes in the ocean.</t>
  </si>
  <si>
    <t>[Awuor, W.; Muthumbi, A. W. N.] Univ Nairobi, Sch Biol Sci, Nairobi, Kenya; [Robertson-Andersson, D., V] Univ KwaZulu Natal, Sch Life Sci, Durban, South Africa</t>
  </si>
  <si>
    <t>University of Nairobi; University of Kwazulu Natal</t>
  </si>
  <si>
    <t>Awuor, W (corresponding author), Univ Nairobi, Sch Biol Sci, Nairobi, Kenya.</t>
  </si>
  <si>
    <t>winnieawuor78@gmail.com</t>
  </si>
  <si>
    <t>Onyango, Winnie/0009-0005-7903-9913; Robertson-Andersson, Deborah/0000-0001-7757-4852; Muthumbi, Agnes WN/0000-0001-5861-023X</t>
  </si>
  <si>
    <t>National Research Fund (Kenya) [NACOSTI/STI/KE-SA/5/003]; University of Nairobi [NACOSTI/STI/KE-SA/5/003]; University of KwaZulu-Natal [NACOSTI/STI/KE-SA/5/003]</t>
  </si>
  <si>
    <t>National Research Fund (Kenya); University of Nairobi; University of KwaZulu-Natal</t>
  </si>
  <si>
    <t>We thank the National Research Fund (Kenya) in collaboration with the University of Nairobi and the University of KwaZulu-Natal for funding this research. The fund reference number for this project is NACOSTI/STI/KE-SA/5/003.</t>
  </si>
  <si>
    <t>NATL INQUIRY SERVICES CENTRE PTY LTD</t>
  </si>
  <si>
    <t>GRAHAMSTOWN</t>
  </si>
  <si>
    <t>19 WORCESTER STREET, PO BOX 377, GRAHAMSTOWN 6140, SOUTH AFRICA</t>
  </si>
  <si>
    <t>1814-232X</t>
  </si>
  <si>
    <t>1814-2338</t>
  </si>
  <si>
    <t>AFR J MAR SCI</t>
  </si>
  <si>
    <t>Afr. J. Mar. Sci.</t>
  </si>
  <si>
    <t>10.2989/1814232X.2020.1829045</t>
  </si>
  <si>
    <t>PF9IH</t>
  </si>
  <si>
    <t>WOS:000599359400003</t>
  </si>
  <si>
    <t>Otero, XL; Vidal-Torrado, P; de Anta, RMC; Macías, F</t>
  </si>
  <si>
    <t>Trace elements in biodeposits and sediments from mussel culture in the Ria de Arousa (Galicia, NW Spain)</t>
  </si>
  <si>
    <t>aquaculture; mussel; biodeposits; sediments; trace elements; pyritization; Ria; Galicia</t>
  </si>
  <si>
    <t>SALT-MARSH SOILS; HEAVY-METALS; MYTILUS-GALLOPROVINCIALIS; IBERIAN PENINSULA; MARINE-SEDIMENTS; HYDROGEN-SULFIDE; ANOXIC SEDIMENTS; NATURAL-WATERS; IRON; GEOCHEMISTRY</t>
  </si>
  <si>
    <t>The trace elements present at highest concentrations were Cr and Zn, which probably originated from the dumping of effluent from a tanning factory. High proportions of these two elements were associated with the residual fraction. Biodeposits and sediments showed high concentrations of Cd and Pb in the reactive fraction, with a high proportion of the concentration in the reactive fraction being associated with carbonates. Nickel showed a higher degree of pyritization than the previous elements, although most of the Ni was associated with the residual and reactive fractions. Arsenic, Hg and Cu showed high degrees of pyritization, particularly below a depth of 5 cm. The results demonstrate that those elements with a high degree of pyritization may be released into the water through oxidation of the metal sulphides that they form when in suspension in oxic sea water, with the subsequent risk of increased bioavailability to benthic fauna. (c) 2005 Elsevier Ltd. All rights reserved.</t>
  </si>
  <si>
    <t>Univ Santiago de Compostela, Dept Edafoloxia &amp; Quim Agricola, Escola Politecn Super Lugo, Lugo 27002, Spain; Univ Sao Paulo, Dept Solos &amp; Nutr Plantas, Escola Super Agron Luiz Queiroz, Piracicaba, Brazil; Univ Santiago de Compostela, Dept Edafoloxia &amp; Quim Agricola, Fac Bioloxia, Santiago De Compostela 15782, Spain</t>
  </si>
  <si>
    <t>Universidade de Santiago de Compostela; Universidade de Sao Paulo; Universidade de Santiago de Compostela</t>
  </si>
  <si>
    <t>Univ Santiago de Compostela, Dept Edafoloxia &amp; Quim Agricola, Escola Politecn Super Lugo, Lugo 27002, Spain.</t>
  </si>
  <si>
    <t>edajax@usc.es</t>
  </si>
  <si>
    <t>OTERO, XOSE/C-7958-2012; Vidal-Torrado, Pablo/C-4020-2012</t>
  </si>
  <si>
    <t>Calvo de Anta, Rosa/0000-0001-8655-284X; Vidal-Torrado, Pablo/0000-0001-9228-9910; Otero, Xose Luis/0000-0001-5447-1842</t>
  </si>
  <si>
    <t>10.1016/j.envpol.2004.11.026</t>
  </si>
  <si>
    <t>921TU</t>
  </si>
  <si>
    <t>WOS:000228788700012</t>
  </si>
  <si>
    <t>Robinson, CD; Webster, L; Martínez-Gómez, C; Burgeot, T; Gubbins, MJ; Thain, JE; Vethaak, AD; McIntosh, AD; Hylland, K</t>
  </si>
  <si>
    <t>Robinson, Craig D.; Webster, Lynda; Martinez-Gomez, Concepcion; Burgeot, Thierry; Gubbins, Matthew J.; Thain, John E.; Vethaak, A. Dick; McIntosh, Alistair D.; Hylland, Ketil</t>
  </si>
  <si>
    <t>Assessment of contaminant concentrations in sediments, fish and mussels sampled from the North Atlantic and European regional seas within the ICON project</t>
  </si>
  <si>
    <t>Integrated assessment; ICES; North Atlantic; North Sea; Baltic Sea; Mediterranean Sea; Polycyclic aromatic hydrocarbons (PAHs); Polychlorinated biphenyls (PCBs); Trace metals; Environmental monitoring</t>
  </si>
  <si>
    <t>SEINE ESTUARY FRANCE; MEDITERRANEAN SEDIMENTS; METAL CONTAMINATION; LIMANDA-LIMANDA; PORTMAN BAY; POLLUTION; RIVER; IDENTIFICATION; ICELAND; MERCURY</t>
  </si>
  <si>
    <t>Understanding the status of contaminants in the marine environment is a requirement of European Union Directives and the Regional Seas Conventions, so that measures to reduce pollution can be identified and their efficacy assessed. The international ICON workshop (Hylland et al., in this issue) was developed in order to test an integrated approach to assessing both contaminant concentrations and their effects. This paper describes and assesses the concentrations of trace metals, polycyclic aromatic hydrocarbons, and polychlorinated biphenyls in sediments, mussels, and fish collected from estuarine, coastal and offshore waters from Iceland to the Mediterranean Sea. For organic contaminants, concentrations progressively increased from Iceland, to the offshore North Sea, to the coastal seas, and were highest in estuaries. Metals had a more complex distribution, reflecting local anthropogenic inputs, natural sources and hydrological conditions. Use of internationally recognised assessment criteria indicated that at no site were concentrations of all contaminants at background and that concentrations of some contaminants were of significant concern in all areas, except the central North Sea. Crown Copyright (C) 2016 Published by Elsevier Ltd. All rights reserved.</t>
  </si>
  <si>
    <t>[Robinson, Craig D.; Webster, Lynda; Gubbins, Matthew J.; McIntosh, Alistair D.] Marine Scotland Sci, Marine Lab, 375 Victoria Rd, Aberdeen AB11 9DB, Scotland; [Martinez-Gomez, Concepcion] Oceanog Ctr Murcia, IEO, Varadero 1,POB 22, Murcia 30740, Spain; [Burgeot, Thierry] IFREMER, Lab Ecotoxicol, Rue Ile Yeu,BP 21105, F-44311 Nantes 03, France; [Thain, John E.] Cefas, Weymouth Lab, Barrack Rd, Weymouth DT4 8UB, Dorset, England; [Vethaak, A. Dick] Deltares, Marine &amp; Coastal Syst, POB 177, NL-2600 MH Delft, Netherlands; [Vethaak, A. Dick] Vrije Univ Amsterdam, Inst Environm Studies, Boelelaan 1087, NL-1081 HV Amsterdam, Netherlands; [Hylland, Ketil] Univ Oslo, Dept Biosci, POB 1066, N-0316 Oslo, Norway</t>
  </si>
  <si>
    <t>Marine Scotland Science (MSS); Ifremer; Centre for Environment Fisheries &amp; Aquaculture Science; Deltares; Vrije Universiteit Amsterdam; University of Oslo</t>
  </si>
  <si>
    <t>Robinson, CD (corresponding author), Marine Scotland Sci, Marine Lab, 375 Victoria Rd, Aberdeen AB11 9DB, Scotland.</t>
  </si>
  <si>
    <t>craig.robinson@gov.scot</t>
  </si>
  <si>
    <t>Martínez-Gómez, Concepción/HIK-2317-2022; Martinez-Gomez, Concepcion/L-2591-2017</t>
  </si>
  <si>
    <t>Robinson, Craig/0000-0001-8607-3208; Martinez-Gomez, Concepcion/0000-0002-2833-1093</t>
  </si>
  <si>
    <t>Scottish Government [AE03o]</t>
  </si>
  <si>
    <t>Scottish Government</t>
  </si>
  <si>
    <t>The authors thank the crews of the research vessels and the staff at the participating institutions who collected samples, the input of Marine Scotland staff who undertook sample analyses, and the participation and support of the ICON Steering Group. Finally, the authors also thank Brett Lyons and Jean Francois Chiffoleau for provision of UK and French national monitoring data, respectively. Chemical analyses at Marine Scotland were undertaken with the support of the Scottish Government as part of Service Level Agreement AE03o.</t>
  </si>
  <si>
    <t>10.1016/j.marenvres.2016.04.005</t>
  </si>
  <si>
    <t>EI7LB</t>
  </si>
  <si>
    <t>WOS:000392678200004</t>
  </si>
  <si>
    <t>McNeish, AS; Johnson, MS; Leah, RT</t>
  </si>
  <si>
    <t>Methylated hexachlorocyclohexane in blue mussels (Mytilus edulis) from the Mersey and Dee estuaries</t>
  </si>
  <si>
    <t>COASTAL WATERS; UK ESTUARIES; IRISH SEA; POLLUTION; MERCURY</t>
  </si>
  <si>
    <t>Blue mussels (Mytilus edulis) from the Mersey and Dee Estuaries have been found to contain high concentrations of alpha-MHCH (methyl hexachlorocyclohexane) and gamma-MHCH (Methyl lindane), and a series of other methylated isomers of MHCH. Mean values for Sigma MHCH in mussels declined serially from Rock Ferry (81.4 +/- 19.3 mu g kg(-1)), the innermost site in the Mersey Estuary, to Egremont (49.0 +/- 8.6 mu g kg(-1)) and New Brighton (11.1 +/- 3.8 mu g kg(-1)); but the value for Crosby (67.0 +/- 10.2 mu g kg(-1)) on the Liverpool shoreline was surprisingly high. Concentrations of alpha-HCH and gamma-HCH in M. edulis were consistently low, at &lt; 3.0 mu g kg(-1). Comparisons between MHCH data for M. edulis and muscle tissue of both dab (Limanda limanda) and plaice (Pleuronectes platessa) give some evidence of food chain biomagnification of MHCH compounds, with adult plaice caught within the Mersey Estuary, where they feed on shellfish, showing very high levels of gamma-MHCH (18.9 +/- 9 mu g kg(-1)) and MHCH (169 +/- 76 mu g kg(-1)). Methylated analogues of HCH in biota are of potential regulatory interest and of substantial importance to the environmental management of the Mersey and Dee Estuaries. (C) 1997 Elsevier Science Ltd.</t>
  </si>
  <si>
    <t>McNeish, AS (corresponding author), UNIV LIVERPOOL,DEPT ENVIRONM &amp; EVOLUTIONARY BIOL,IND ECOL RES CTR,POB 147,LIVERPOOL L69 3BX,MERSEYSIDE,ENGLAND.</t>
  </si>
  <si>
    <t>10.1016/S0269-7491(96)00143-1</t>
  </si>
  <si>
    <t>XC305</t>
  </si>
  <si>
    <t>WOS:A1997XC30500005</t>
  </si>
  <si>
    <t>Daniele, G; Fieu, M; Joachim, S; Bado-Nilles, A; Beaudouin, R; Baudoin, P; James-Casas, A; Andres, S; Bonnard, M; Bonnard, I; Geffard, A; Vulliet, E</t>
  </si>
  <si>
    <t>Daniele, Gaelle; Fieu, Maeva; Joachim, Sandrine; Bado-Nilles, Anne; Beaudouin, Remy; Baudoin, Patrick; James-Casas, Alice; Andres, Sandrine; Bonnard, Marc; Bonnard, Isabelle; Geffard, Alain; Vulliet, Emmanuelle</t>
  </si>
  <si>
    <t>Determination of carbamazepine and 12 degradation products in various compartments of an outdoor aquatic mesocosm by reliable analytical methods based on liquid chromatography-tandem mass spectrometry</t>
  </si>
  <si>
    <t>Carbamazepine; Mesocosm; Bioaccumulation; Metabolites; Sediment; Zebra mussel; Stickleback; Fresh water</t>
  </si>
  <si>
    <t>MULTI-RESIDUE ANALYSIS; PERSONAL CARE PRODUCTS; TRANSFORMATION PRODUCTS; GASTEROSTEUS-ACULEATUS; EMERGING CONTAMINANTS; HUMAN PHARMACEUTICALS; 3-SPINED STICKLEBACK; DRUG CARBAMAZEPINE; ENVIRONMENTAL FATE; RAPID ANALYSIS</t>
  </si>
  <si>
    <t>The aims of this work are to develop suitable analytical methods to determine the widely used anticonvulsant carbamazepine and 12 of its degradation/transformation products in water, sediment, fish (Gasterosteus aculeatus) and mollusc (Dreissena polymorpha). Protocols based on solid phase extraction for water, pressurized-liquid extraction for sediments and QuEChERS (quick easy cheap efficient rugged and safe) extraction for both organisms followed by liquid chromatography-tandem mass spectrometry (LC-MS/MS) are developed, validated and finally applied to samples collected during a 6-month experiment in outdoor mesocosms. Very low detection limits are reached, allowing environmentally realistic doses (namely, 0.05, 0.5 and 5 mu g/L nominal concentrations) to be employed. The results indicate several metabolites and/or transformation products in each compartment investigated, with concentrations sometimes being greater than that of the parent carbamazepine. Biotic degradation of carbamazepine is demonstrated in water, leading to 10,11-dihydrocarbamazepine and 10,11-epoxycarbamazepine. In sediment, the degradation results in the formation of acridine, and 2- and 3-hydroxycarbamazepine. Finally, in both organisms, a moderate bioaccumulation is observed together with a metabolization leading to 10,11-epoxycarbamazepine in fish and 2-hydroxycarbamazepine in mollusc. Acridone is also present in fish. This study provides new and interesting data, helping to elucidate how chronic exposure to carbamazepine at relevant concentrations may affect impact freshwater ecosystems.</t>
  </si>
  <si>
    <t>[Daniele, Gaelle; Fieu, Maeva; Vulliet, Emmanuelle] Univ Claude Bernard Lyon 1, CNRS, Univ Lyon, Ens Lyon,Inst Sci Analyt,UMR5280, 5 Rue Doua, F-69100 Villeurbanne, France; [Joachim, Sandrine; Bado-Nilles, Anne; Baudoin, Patrick; James-Casas, Alice; Andres, Sandrine] INERIS, Lab Ecotoxicol Vitro &amp; Vivo, Parc Technol Alata,BP 2, F-60550 Verneuil En Halatte, France; [Beaudouin, Remy] INERIS, Unit Models Ecotoxicol &amp; Toxicol METO, Parc Technol Alata,BP 2, F-60550 Verneuil En Halatte, France; [Bonnard, Marc; Bonnard, Isabelle; Geffard, Alain] Univ Reims, UMR I 02 SEBIO, Campus Moulin Housse,BP 1039, F-51687 Reims 2, France</t>
  </si>
  <si>
    <t>Ecole Normale Superieure de Lyon (ENS de LYON); Universite Claude Bernard Lyon 1; Centre National de la Recherche Scientifique (CNRS); CNRS - Institute of Chemistry (INC); Universite de Reims Champagne-Ardenne; Institut National de l'Environnement Industriel et des Risques (INERIS); Institut National de l'Environnement Industriel et des Risques (INERIS); Universite de Reims Champagne-Ardenne; Universite de Reims Champagne-Ardenne</t>
  </si>
  <si>
    <t>Vulliet, E (corresponding author), Univ Claude Bernard Lyon 1, CNRS, Univ Lyon, Ens Lyon,Inst Sci Analyt,UMR5280, 5 Rue Doua, F-69100 Villeurbanne, France.</t>
  </si>
  <si>
    <t>emmanuelle.vulliet@isa-lyon.fr</t>
  </si>
  <si>
    <t>Vulliet, Emmanuelle/B-1074-2015; Beaudouin, Rémy/H-1491-2012; JAMES, Alice/R-1029-2018; BADO-NILLES, Anne/Q-8563-2018</t>
  </si>
  <si>
    <t>Joachim, Sandrine/0000-0001-7383-0097; Beaudouin, Remy/0000-0002-2855-1571; VULLIET, Emmanuelle/0000-0002-6325-1531; JAMES, Alice/0000-0003-0719-1391; Geffard, Alain/0000-0001-9236-2890; Bonnard, Marc/0000-0002-6155-0191; BADO-NILLES, Anne/0000-0002-4776-9592</t>
  </si>
  <si>
    <t>ANSM (Agence Nationale de Securite du Medicament et des produits de sante)</t>
  </si>
  <si>
    <t>ANSM (Agence Nationale de Securite du Medicament et des produits de sante)(Agence Nationale de la Recherche (ANR))</t>
  </si>
  <si>
    <t>This research was part of the project DOREMIPHARM (Development of robust tools to assess hazard relative to pharmaceuticals in aquatic ecosystems) financially supported by the ANSM (Agence Nationale de Securite du Medicament et des produits de sante).</t>
  </si>
  <si>
    <t>10.1007/s11356-017-9297-6</t>
  </si>
  <si>
    <t>FA6UO</t>
  </si>
  <si>
    <t>WOS:000405580000030</t>
  </si>
  <si>
    <t>Addis, P; Angioni, A; Pasquini, V; Giglioli, A; Andreotti, V; Carboni, S; Secci, M</t>
  </si>
  <si>
    <t>Addis, Piero; Angioni, Alberto; Pasquini, Viviana; Giglioli, Angelica; Andreotti, Valeria; Carboni, Stefano; Secci, Marco</t>
  </si>
  <si>
    <t>Flash flood simulation and valve behavior of Mytilus galloprovincialis measured with Hall sensors</t>
  </si>
  <si>
    <t>INTEGRATIVE ZOOLOGY</t>
  </si>
  <si>
    <t>Hall sensor; mussels; Mytilus galloprovincialis; salinity; valve activity</t>
  </si>
  <si>
    <t>EARLY WARNING SYSTEM; FRESH-WATER MUSSELS; FOOD AVAILABILITY; MASS MORTALITY; MOVEMENT; TEMPERATURE; POPULATIONS; BIOMARKERS; PREDATION; POLLUTION</t>
  </si>
  <si>
    <t>Mussels close their shell as a protective strategy and the quantification of this behavioral marker may represent an alarm signal when they are exposed to environmental stressors. In the present study, we investigated the ability of the Mediterranean musselMytilus galloprovincialisto recover and then the resilience or inertia of valve activity after a pulsing exposition to diverse levels of salinity (5, 10, 20, and 35 PSU as reference value). The trial simulated an event of drastic and sudden reduction of seawater salinity thus mimicking an event of flash flood from intense rain. Valve gaping and movements were measured in continuous cycle for 10 days using a customized magneto-electric device which uses Hall sensors. Results showed that under normal conditions of salinity (35 PSU), the general pattern of valve movements was a continuously open state with sporadic spikes indicating a closing motion. At salinity of 5, PSU mussels reacted by closing their valves, leading to a 77% mortality on the 4th day. At salinity of 10, PSU animals were observed with closed valves for the entire duration of the exposure and no mortality occurred, they showed a significant reduction in the valve activity once the reference value of salinity was re-established. In contrast, salinity of 20 PSU did not trigger a significant behavioral response. Interestingly, there no define rhythms of valve movements were recorded during salinity challenges.</t>
  </si>
  <si>
    <t>[Addis, Piero; Angioni, Alberto; Pasquini, Viviana; Giglioli, Angelica; Andreotti, Valeria; Secci, Marco] Univ Cagliari, Dept Environm &amp; Life Sci, Cagliari, Italy; [Carboni, Stefano] Univ Stirling, Inst Aquaculture, Stirling, Scotland</t>
  </si>
  <si>
    <t>University of Cagliari; University of Stirling</t>
  </si>
  <si>
    <t>Addis, P (corresponding author), Univ Cagliari, Dept Environm &amp; Life Sci, Cagliari, Italy.</t>
  </si>
  <si>
    <t>addisp@unica.it</t>
  </si>
  <si>
    <t>Angioni, Alberto/B-4071-2010; Addis, Pierantonio/C-5855-2016</t>
  </si>
  <si>
    <t>pasquini, viviana/0000-0003-2502-6103; Addis, Pierantonio/0000-0002-0464-0270</t>
  </si>
  <si>
    <t>Fondazione di Sardegna (2018)</t>
  </si>
  <si>
    <t>This study is part of the project Effects of climate environmental shifts on species, communities and ecosystems, funded by the Fondazione di Sardegna (2018). We express our thanks to Mr. Mauro Cau of MC Infotronica, which realizes the software RiFD and assembles the customized valvometer.</t>
  </si>
  <si>
    <t>1749-4877</t>
  </si>
  <si>
    <t>1749-4869</t>
  </si>
  <si>
    <t>INTEGR ZOOL</t>
  </si>
  <si>
    <t>Integr. Zool.</t>
  </si>
  <si>
    <t>10.1111/1749-4877.12471</t>
  </si>
  <si>
    <t>QE5SH</t>
  </si>
  <si>
    <t>WOS:000554739300001</t>
  </si>
  <si>
    <t>Archambault, JM; Prochazka, ST; Cope, WG; Shea, D; Lazaro, PR</t>
  </si>
  <si>
    <t>Archambault, Jennifer M.; Prochazka, Sharon T.; Cope, W. Gregory; Shea, Damian; Lazaro, Peter R.</t>
  </si>
  <si>
    <t>Polycyclic aromatic hydrocarbons in surface waters, sediments, and unionid mussels: relation to road crossings and implications for chronic mussel exposure</t>
  </si>
  <si>
    <t>Environmental monitoring; Ecosystem function; Passive sampling device (PSD); Stormwater runoff; Unionidae</t>
  </si>
  <si>
    <t>SEMIPERMEABLE-MEMBRANE DEVICES; PASSIVE SAMPLING DEVICES; CHRONIC TOXICITY; HEAVY-METALS; AMMONIA; CONTAMINANTS; ECOSYSTEMS; DECLINE; BIOAVAILABILITY; SENSITIVITY</t>
  </si>
  <si>
    <t>Transportation infrastructure is a prominent feature across all landscape types, and road crossings over streams are a source of pollutant influx, especially polycyclic aromatic hydrocarbons (PAH) associated with vehicle oils and fuel combustion. Freshwater mussels (Unionoida) are vulnerable to pollutants entering streams because of their sessile benthic lifestyle and their filter- and deposit-feeding exposure routes. We assessed the effect of road crossings on PAH concentrations in mussels, sediment, and water via passive sampling devices (PSDs) at 20 sites in the upper Neuse River basin of North Carolina, and investigated the utility of PSDs for estimating PAH concentrations in mussels. Road crossings significantly increased Total PAH in downstream reaches compared to upstream for all compartments sampled (P &lt; 0.01). Total PAH in mussels were correlated with those in PSDs both upstream and downstream of road crossings (P &lt;= 0.01), and PSDs provided a reliable prediction equation for mussel tissue concentrations of Total PAH (r (2) = 0.90). Overall, PAH contributions from crossings to streams in a single, relatively rural watershed are substantial and statistically significant, suggesting that the cumulative PAH influx within an entire river basin may be considerable and exert adverse effects over a chronic lifetime exposure for mussels, especially as their contributions may amplify downstream.</t>
  </si>
  <si>
    <t>[Archambault, Jennifer M.; Prochazka, Sharon T.; Cope, W. Gregory] North Carolina State Univ, Dept Appl Ecol, Campus Box 7617, Raleigh, NC 27695 USA; [Shea, Damian; Lazaro, Peter R.] North Carolina State Univ, Environm Chem &amp; Toxicol Lab, Raleigh, NC USA</t>
  </si>
  <si>
    <t>North Carolina State University; North Carolina State University</t>
  </si>
  <si>
    <t>Archambault, JM (corresponding author), North Carolina State Univ, Dept Appl Ecol, Campus Box 7617, Raleigh, NC 27695 USA.</t>
  </si>
  <si>
    <t>jmarcham@ncsu.edu</t>
  </si>
  <si>
    <t>; Shea, Damian/K-1360-2014</t>
  </si>
  <si>
    <t>Archambault, Jennifer/0000-0001-7148-7571; Cope, W. Gregory/0000-0003-2745-1939; Shea, Damian/0000-0003-1348-6639</t>
  </si>
  <si>
    <t>US Department of Transportation; North Carolina Department of Transportation (NCDOT) through the Center for Transportation and the Environment, North Carolina State University [HWY 2001-13]; North Carolina Department of Transportation (NCDOT) through the National Institute of Environmental Health Sciences [5 P42 ES005948]</t>
  </si>
  <si>
    <t>US Department of Transportation; North Carolina Department of Transportation (NCDOT) through the Center for Transportation and the Environment, North Carolina State University; North Carolina Department of Transportation (NCDOT) through the National Institute of Environmental Health Sciences</t>
  </si>
  <si>
    <t>Funding support was provided by the US Department of Transportation and the North Carolina Department of Transportation (NCDOT) through the Center for Transportation and the Environment, North Carolina State University, Raleigh through grant no. HWY 2001-13 and through the National Institute of Environmental Health Sciences Grant 5 P42 ES005948. Members of the NCDOT Project Development and Environmental Analysis group provided valuable guidance and advice throughout the study. We especially thank Jay Levine, Chris Eads, and Lori Gustafson of the NC State University, College of Veterinary Medicine for their assistance with project management, site selection, and the collection of mussel samples. We thank Heather Boyette, Leroy Humphries, Chris Wood, April Lee, John Holland, and Shane Hanlon for field and laboratory assistance. The site map and associated land cover data generated for this manuscript were created using ArcGIS (R) software by ESRI. ArcGIS (R) and ArcMap (TM) are the intellectual property of ESRI and are used herein under license. Copyright (C) ESRI. All rights reserved. For more information about ESRI software, please visit www.esri.com.</t>
  </si>
  <si>
    <t>10.1007/s10750-017-3101-y</t>
  </si>
  <si>
    <t>FW4PP</t>
  </si>
  <si>
    <t>WOS:000425296400033</t>
  </si>
  <si>
    <t>Pan, JF; Buffet, PE; Poirier, L; Amiard-Triquet, C; Gilliland, D; Joubert, Y; Pilet, P; Guibbolini, M; de Faverney, CR; Roméo, M; Valsami-Jones, E; Mouneyrac, C</t>
  </si>
  <si>
    <t>Pan, Jin-Fen; Buffet, Pierre-Emmanuel; Poirier, Laurence; Amiard-Triquet, Claude; Gilliland, Douglas; Joubert, Yolaine; Pilet, Paul; Guibbolini, Marielle; de Faverney, Christine Risso; Romeo, Michele; Valsami-Jones, Eugenia; Mouneyrac, Catherine</t>
  </si>
  <si>
    <t>Size dependent bioaccumulation and ecotoxicity of gold nanoparticles in an endobenthic invertebrate: The Tellinid clam Scrobicularia plana</t>
  </si>
  <si>
    <t>Gold nanoparticles; Scrobicularia plana; Bioavailability; Biomarkers</t>
  </si>
  <si>
    <t>OXIDATIVE STRESS; NEREIS-DIVERSICOLOR; ESTUARINE; ACETYLCHOLINESTERASE; BIOMARKERS; BEHAVIOR; COPPER; TOXICITY</t>
  </si>
  <si>
    <t>Gold nanoparticles (AuNPs) have important technological applications resulting in an increased potential for release to the environment, and a greater possibility of toxicological effects. The marine bivalve Scrobicularia plana was exposed to AuNPs of size 5, 15 and 40 nm during a 16 d laboratory exposure at 100 mu g Au L-1. After exposure to AuNPs forming aggregates (&gt;700 nm), the clams accumulated Au in their soft tissues. Biochemical (biomarkers) and behavioral (burrowing and feeding) responses were investigated. Au NPs were responsible of metallothionein induction (5, 40 nm), increased activities of catalase (15, 40 nm) and superoxide dismutase (40 nm) and of glutathione S-transferase by the three sizes of AuNPs indicating defense against oxidative stress. Exposure to AuNPs impaired burrowing behavior. However, it must be underlined that these effects were observed at a dose much higher than expected in the environment. (c) 2012 Elsevier Ltd. All rights reserved.</t>
  </si>
  <si>
    <t>[Pan, Jin-Fen; Buffet, Pierre-Emmanuel; Poirier, Laurence; Amiard-Triquet, Claude; Joubert, Yolaine; Mouneyrac, Catherine] Univ Nantes, UFR Sci Pharmaceut, MMS EA2160, Nantes, France; [Pan, Jin-Fen] Ocean Univ China, Coll Environm Sci &amp; Engn, Qingdao 266100, Peoples R China; [Gilliland, Douglas] European Commiss, Inst Hlth &amp; Consumer Protect, I-21027 Ispra, Italy; [Guibbolini, Marielle; de Faverney, Christine Risso; Romeo, Michele] Univ Nice Sophia Antipolis, Fac Sci, EA ECOMERS 4228, F-06108 Nice, France; [Valsami-Jones, Eugenia] Nat Hist Museum, Dept Mineral, London SW7 5BD, England; [Pilet, Paul] INSERM, U791, Fac Chirurg Dent, Nantes, France; [Mouneyrac, Catherine] Univ Catholique Ouest, CEREA, F-49008 Angers 01, France</t>
  </si>
  <si>
    <t>Nantes Universite; Ocean University of China; European Commission Joint Research Centre; EC JRC ISPRA Site; Universite Cote d'Azur; Natural History Museum London; Institut National de la Sante et de la Recherche Medicale (Inserm); Institut Polytechnique de Paris; Ecole des Ponts ParisTech</t>
  </si>
  <si>
    <t>Amiard-Triquet, C (corresponding author), Univ Nantes, UFR Sci Pharmaceut, MMS EA2160, Nantes, France.</t>
  </si>
  <si>
    <t>amiard-triquet-c@univ-nantes.fr</t>
  </si>
  <si>
    <t>Paul, Pilet/A-3755-2015; Valsami-Jones, Eugenia/I-1736-2016</t>
  </si>
  <si>
    <t>Poirier, Laurence/0000-0001-7443-3579; Valsami-Jones, Eugenia/0000-0002-8850-7556</t>
  </si>
  <si>
    <t>European Community's Seventh Framework Programme (FP7) [214478]; Fondation Franco-Chinoise pour la Science et ses Applications (FFCSA); China Scholarship Council (CSC); Region Pays de la Loire, France</t>
  </si>
  <si>
    <t>European Community's Seventh Framework Programme (FP7)(European Union (EU)); Fondation Franco-Chinoise pour la Science et ses Applications (FFCSA); China Scholarship Council (CSC)(China Scholarship Council); Region Pays de la Loire, France(Region Pays de la Loire)</t>
  </si>
  <si>
    <t>This work was supported by grants no. [214478] from the European Community's Seventh Framework Programme (FP7/2007-2013), and by a post-doctoral scholarship from the Fondation Franco-Chinoise pour la Science et ses Applications (FFCSA), China Scholarship Council (CSC) and the Region Pays de la Loire, France, while the first author visiting the University of Nantes.</t>
  </si>
  <si>
    <t>10.1016/j.envpol.2012.03.051</t>
  </si>
  <si>
    <t>969DC</t>
  </si>
  <si>
    <t>WOS:000306034900006</t>
  </si>
  <si>
    <t>ETXEBERRIA, M; CAJARAVILLE, MP; MARIGOMEZ, I</t>
  </si>
  <si>
    <t>CHANGES IN DIGESTIVE CELL LYSOSOMAL STRUCTURE IN MUSSELS AS BIOMARKERS OF ENVIRONMENTAL-STRESS IN THE URDAIBAI ESTUARY (BISCAY COAST, IBERIAN PENINSULA)</t>
  </si>
  <si>
    <t>MYTILUS-EDULIS; RESPONSES; POLLUTION; SYSTEM; WINKLES; CADMIUM</t>
  </si>
  <si>
    <t>In order to validate the use of digestive cell lysosomal changes in mussels as biomarkers of water quality in coastal and estuarine areas, the structure of the digestive cell lysosomal system was quantified in mussels from the Urdaibai Estuary (Biscay coast, Iberian Peninsula) by automated image analysis, Mussels were collected bimonthly from September 1991 to September 1992 and cryostat sections of the digestive gland were processed for cytochemical demonstration of the lysosomal marker enzyme, beta-glucuronidase. Four stereological parameters were calculated: lysosomal volume density, surface density, surface to volume ratio and numerical density. Seasonal differences in the lysosomal structure were observed, with higher values of lysosomal volume, surface, size and numbers in the summer. Additionally, the stereological parameters revealed differences between sampling locations except in winter-spring. In autumn, the water quality was lower in the sites on the west side of the estuary affected by urban and industrial activities, whereas in summer the sites on the east also showed signs of poor water quality. It is concluded that the structure of digestive cell lysosomes can be used as sensitive biomarkers of coastal and estuarine water quality.</t>
  </si>
  <si>
    <t>EUSKAL HERRIKO UNIBERTSITATEA, FAK ZIENTZI, ZITOL HISTOL LAB, E-48080 BILBAO, SPAIN</t>
  </si>
  <si>
    <t>10.1016/0025-326X(94)00248-8</t>
  </si>
  <si>
    <t>RV936</t>
  </si>
  <si>
    <t>WOS:A1995RV93600009</t>
  </si>
  <si>
    <t>Huang, XX; Cai, L; Li, Y; Liu, Q; Li, JC; Li, JZ; Gao, Q</t>
  </si>
  <si>
    <t>Huang, Xinxin; Cai, Li; Li, Yue; Liu, Qing; Li, Jingchao; Li, Jianzhang; Gao, Qiang</t>
  </si>
  <si>
    <t>Improving coating and prepressing performance of soy protein-based adhesive by constructing a dual-bionic topological structure</t>
  </si>
  <si>
    <t>Dual-bionic adhesive; Topology; Interfacial interaction; High performance</t>
  </si>
  <si>
    <t>ANTIBACTERIAL; HYDROGELS</t>
  </si>
  <si>
    <t>Developing efficient and sustainable green adhesives to replace aldehyde-based adhesives has become an important strategy to address fossil resources depletion, environmental pollution, and clean production. Soy protein is a raw material-rich, renewable biomass material that can be used to prepare environmental-friendly adhesives. However, the weak interfacial adhesion of soy protein-based (SP) adhesives leads to poor coating and prepressing properties, thus limiting the large-scale application of the SP adhesives. In this study, a bionic bond-stitch molecular topology was designed and constructed in SP matrix to prepare a strong multifunctional adhesive. Inspiring by the strong adhesion of mussel, urushiol (U) with natural catechol structure and acrylamide were polymerized in situ into poly(urushiol-co-acrylamide) (PUAM) as stitching polymer, which was entangled with the SP network to form a bond-stitch molecular topology. The hydroxyapatite was used to construct an organic-inorganic hybridization in the SP matrix mimicking the tough cohesion of oysters. The resultant dual-bionic SP adhesive exhibited excellent coating performance, prepressing intensity (0.45 MPa), flame retard-ancy (the limiting oxygen index was 39.4%), mildew resistance (10 d), low volatile organic compounds release, and good antibacterial activity (the antibacterial rates against Escherichia coli, Staphylococcus aureus, and Candida albicans were 89.55%, 78.59%, and 99.91%, respectively.). The wet shear strength of the prepared SP adhesive was increased from 0.35 MPa to 1.17 MPa. This study provides a new strategy for the design and preparation of high-performance, sustainable, low-carbon footprint bio-adhesives and composites.</t>
  </si>
  <si>
    <t>[Gao, Qiang] Beijing Forestry Univ, Key Lab Wood Mat Sci &amp; Applicat, Minist Educ, Beijing 100083, Peoples R China; Beijing Forestry Univ, Beijing Key Lab Wood Sci &amp; Engn, Beijing 100083, Peoples R China</t>
  </si>
  <si>
    <t>Gao, Q (corresponding author), Beijing Forestry Univ, Key Lab Wood Mat Sci &amp; Applicat, Minist Educ, Beijing 100083, Peoples R China.</t>
  </si>
  <si>
    <t>Huang, xin/KYP-0275-2024</t>
  </si>
  <si>
    <t>Gao, Qiang/0000-0001-7571-4903</t>
  </si>
  <si>
    <t>National Natural Science Foundation of China, China [32071702, 31722011]; Beijing Forestry University Outstanding Young Talent Cultivation Project, China [2019JQ03004]</t>
  </si>
  <si>
    <t>National Natural Science Foundation of China, China(National Natural Science Foundation of China (NSFC)); Beijing Forestry University Outstanding Young Talent Cultivation Project, China</t>
  </si>
  <si>
    <t>This work was financially supported by the National Natural Science Foundation of China (32071702 &amp; 31722011), China; Beijing Forestry University Outstanding Young Talent Cultivation Project (2019JQ03004), China.</t>
  </si>
  <si>
    <t>10.1016/j.jclepro.2022.135572</t>
  </si>
  <si>
    <t>7K1YF</t>
  </si>
  <si>
    <t>WOS:000905081600001</t>
  </si>
  <si>
    <t>Neves, RAF; Echeverria, CA; Pessoa, LA; Paiva, PC; Paranhos, R; Valentin, JL</t>
  </si>
  <si>
    <t>Neves, R. A. F.; Echeverria, C. A.; Pessoa, L. A.; Paiva, P. C.; Paranhos, R.; Valentin, J. L.</t>
  </si>
  <si>
    <t>Factors influencing spatial patterns of molluscs in a eutrophic tropical bay</t>
  </si>
  <si>
    <t>indicator species; multivariate analysis; Guanabara Bay; Brazil</t>
  </si>
  <si>
    <t>RIO-DE-JANEIRO; HEAVY-METAL POLLUTION; GUANABARA-BAY; BENTHIC MACROFAUNA; WATER-QUALITY; SEDIMENT RELATIONSHIPS; TEMPORAL VARIATION; ESTUARINE SYSTEM; PERMANENTLY OPEN; COASTAL LAGOON</t>
  </si>
  <si>
    <t>Samples were collected from 10 stations distributed through three sectors in Guanabara Bay during two consecutive years, in order to determine factors that influence the spatial pattern of molluscs and to describe the structure and composition of this community in a eutrophic estuarine system on the Brazilian coast. Although only one species, the gastropod Heleobia australis, comprised 77% of mollusc abundance, 59 species were identified in the bay. In addition to H. australis, three other species were dominant: the gastropod Anachis isabellei and the bivalves Americuna besnardi and Ervilia concentrica. The mollusc communities were significantly influenced by the spatial gradient; the outermost sector has marine conditions, and the other sectors are typically estuarine, leading to differences in the composition and abundance of molluscs. The outermost sector showed the highest diversity, which gradually decreased towards the innermost sector where the dominance of a few opportunistic species is favoured by highly organic mud sediments. Sediment type was strongly correlated with mollusc occurrence in the bay. Guanabara Bay showed two indicator species: the bivalve E. concentrica of the outer sector, and the gastropod H. australis of the intermediate sector. Our results suggest that benthic molluscs in Guanabara Bay show characteristics related to levels of environmental impact. A monitoring programme based on this community is needed to evaluate the effects of human impacts on this community and to monitor changes in its biodiversity in Guanabara Bay.</t>
  </si>
  <si>
    <t>[Neves, R. A. F.] Univ Fed Rio de Janeiro, Program Postgrad Ecol, Dept Ecol, Inst Biol, BR-21941902 Rio De Janeiro, RJ, Brazil; [Echeverria, C. A.; Pessoa, L. A.] Univ Fed Rio de Janeiro, Lab Pesquisas Costeiras &amp; Estuarinas, Nucleo Interdisciplinar UFRJ Mar, BR-21941902 Rio De Janeiro, RJ, Brazil; [Echeverria, C. A.] Univ Fed Rio de Janeiro, Inst Virtual Int Mudancas Globais IVIG COPPE, Inst Alberto Luiz Coimbra Posgrad &amp; Pesquisa Engn, BR-21941902 Rio De Janeiro, RJ, Brazil; [Pessoa, L. A.] Univ Fed Fluminense, Programa Posgrad Biol Marinha, Dept Biol Marinha, Inst Zool, BR-24220000 Niteroi, RJ, Brazil; [Paiva, P. C.] Univ Fed Rio de Janeiro, Lab Polychaeta, Dept Zool, Inst Biol, BR-21941902 Rio De Janeiro, RJ, Brazil; [Paranhos, R.] Univ Fed Rio de Janeiro, Lab Hidrobiol, Dept Biol Marinha, Inst Biol, BR-21941902 Rio De Janeiro, RJ, Brazil; [Neves, R. A. F.; Valentin, J. L.] Univ Fed Rio de Janeiro, Lab Zooplancton Marinho, Dept Biol Marinha, Inst Biol, BR-21941902 Rio De Janeiro, RJ, Brazil</t>
  </si>
  <si>
    <t>Universidade Federal do Rio de Janeiro; Universidade Federal do Rio de Janeiro; Universidade Federal do Rio de Janeiro; Universidade Federal Fluminense; Universidade Federal do Rio de Janeiro; Universidade Federal do Rio de Janeiro; Universidade Federal do Rio de Janeiro</t>
  </si>
  <si>
    <t>Neves, RAF (corresponding author), Univ Fed Rio de Janeiro, Postgrad Program Ecol, Lab Zooplancton Marinho, BR-21941902 Rio De Janeiro, RJ, Brazil.</t>
  </si>
  <si>
    <t>raquelneves@ufrj.br</t>
  </si>
  <si>
    <t>VALENTIN, JEAN/I-9403-2012; de Paiva, Paulo/N-1234-2019; Echeverria, Carlos/P-1206-2018; Paranhos, Rodolfo/F-1927-2011; Paiva, Paulo Cesar de/I-6174-2012; A. F. Neves, Raquel/D-5128-2015</t>
  </si>
  <si>
    <t>Paiva, Paulo Cesar de/0000-0003-1061-6549; A. F. Neves, Raquel/0000-0002-2627-9666; Echeverria, Carlos Alejandro/0000-0002-8479-6549</t>
  </si>
  <si>
    <t>CENPES/Petrobras; Capes-Proex graduate fellowship; Faperj; CNPq</t>
  </si>
  <si>
    <t>CENPES/Petrobras; Capes-Proex graduate fellowship; Faperj(Fundacao Carlos Chagas Filho de Amparo a Pesquisa do Estado do Rio De Janeiro (FAPERJ)); CNPq(Conselho Nacional de Desenvolvimento Cientifico e Tecnologico (CNPQ))</t>
  </si>
  <si>
    <t>We appreciate the technical assistance of Ricardo Bastos. We thank Paulo Marcio Costa for mollusc identification, and the Hydrobiology Laboratory (Marine Biology Department, UFRJ) for providing hydrological data. This work was part of the subproject 'Estrutura das Comunidades de Macroendofauna de Substrato Inconsolidado do Infralitoral' of the project 'Avaliacao Ambiental da Baia de Guanabara' coordinated by CENPES-PETROBRAS. This work was supported by CENPES/Petrobras. A Capes-Proex graduate fellowship was provided to Neves, and researcher grants were provided to Valentin by Faperj and CNPq.</t>
  </si>
  <si>
    <t>10.1017/S0025315412001105</t>
  </si>
  <si>
    <t>121JA</t>
  </si>
  <si>
    <t>WOS:000317238100001</t>
  </si>
  <si>
    <t>Sokolowski, A; Richard, P; Fichet, D; Radenac, G; Guyot, T</t>
  </si>
  <si>
    <t>Application of trichloroacetic acid (TCA) to extraction of soft body for the determination of tissue Cd, Cu, Pb and Zn in the prosobranch Hydrobia ulvae (Pennant)</t>
  </si>
  <si>
    <t>trichloroacetic acid; extraction; soft tissues; Hydrobia ulvae; metal determination</t>
  </si>
  <si>
    <t>LITTORINA-LITTOREA; MACOMA-BALTHICA; COPPER; METALS; ZINC; CADMIUM; ACCUMULATION; PROTEINS; MOLLUSKS; BIVALVE</t>
  </si>
  <si>
    <t>The application of trichloroacetic acid (TCA) as a shell extractant for preparation of soft body parts with reference to tissue metal concentrations (Cd, Cu, Pb, Zn) in shellfish has been evaluated on the example of the mud snail Hydrobia vlvae, a small marine prosobranch densely present in rocky and soft-bottom habitats of the eastern Atlantic. A solution of 0.1 M TCA was tested on individuals treated according to two different protocols: (1) thawed after freezing (non-dried) and (2) thawed and air-dried to a constant weight (dried). Two points were investigated in detail to improve the method: individual soft tissue dry weight and tissue metal concentration following a standard digestion method. In both instances, the results were compared with those from manually dissected snails. Conditions for total shell decalcification of 60 individuals (3-4 mm long) were 5.5 h in 20 ml of 0.1 M TCA. No differences in individual soft tissue weight were observed between the treatments, indicating good efficiency of the TCA extraction with respect to weight of soft body parts. In contrast, tissue metal concentrations varied among treatments. The TCA extraction of the dried animals had a good recovery for Cd, most likely due to the lower solubility of Cd vital cellular components (proteins and mineral concretions) from the dried tissue. Satisfactory recoveries of the tissue concentrations of Cu and Pb were obtained for the non-dried individuals. This might be related to the specific distribution of metals in the organism (namely in the digestive glands and gonads) and their different chemical reactivity with TCA after the tissue was dried. Limited susceptibility of Zn-bearing protein bindings to complexing with TCA also accounts for significantly lower concentrations of Zn in the mud snail's soft tissue that was extracted. The 0.1 M TCA solution is therefore recommended for extraction of the shells of Hydrobia ulvae for tissue determination of Cd, Cu and Pb; however the treatment protocol does affect metal recovery and thus a consistent procedure should be followed. The extracted metals from the soft tissues and shells of the mud snails (on the basis of both metal concentrations and contents) were ranked in order of increasing contribution of soft body parts to the total (shell + tissue): Pb &lt; Cd &lt; Zn &lt; Cu. (C) 2003 Elsevier Ltd. All rights reserved.</t>
  </si>
  <si>
    <t>Univ Gdansk, Inst Oceanog, Lab Estuarine Ecol, PL-81378 Gdynia, Poland; CNRS, IFREMER, UMR 10, Ctr Rech Ecosyst Marins &amp; Aquacoles Houmeau, F-17137 Houmeau, France; Univ La Rochelle, Inst Littoral, LBEM, F-17042 La Rochelle, France</t>
  </si>
  <si>
    <t>Fahrenheit Universities; University of Gdansk; Centre National de la Recherche Scientifique (CNRS); Ifremer; La Rochelle Universite</t>
  </si>
  <si>
    <t>Univ Gdansk, Inst Oceanog, Lab Estuarine Ecol, Al M Pilsudskiego 46, PL-81378 Gdynia, Poland.</t>
  </si>
  <si>
    <t>; Richard, Pierre/N-6482-2014; Radenac, Gilles/O-9760-2014</t>
  </si>
  <si>
    <t>Sokolowski, Adam/0000-0002-7551-3199; Richard, Pierre/0000-0002-0393-9967; Radenac, Gilles/0000-0002-7906-6453; Denis, Fichet/0000-0002-4913-8946</t>
  </si>
  <si>
    <t>10.1016/S0025-326X(03)00241-8</t>
  </si>
  <si>
    <t>WOS:000186106900023</t>
  </si>
  <si>
    <t>Luo, J; Jiang, SS; Liu, XY</t>
  </si>
  <si>
    <t>Luo, Jing; Jiang, Sisi; Liu, Xiaoya</t>
  </si>
  <si>
    <t>Efficient One-Pot Synthesis of Mussel-Inspired Molecularly Imprinted Polymer Coated Graphene for Protein-Specific Recognition and Fast Separation</t>
  </si>
  <si>
    <t>JOURNAL OF PHYSICAL CHEMISTRY C</t>
  </si>
  <si>
    <t>SURFACE FUNCTIONALIZATION; MAGNETIC NANOPARTICLES; SILICA NANOPARTICLES; OXIDE; REDUCTION; PLATFORM; FILM</t>
  </si>
  <si>
    <t>Molecular imprinting at nanomaterial surfaces has shown good prospects to extract templates easily and to achieve excellent performances such as large binding capacity and fast adsorption. In this work, we describe a one-step approach to synthesize a novel surface protein-imprinted nanomaterial employing graphene as the supporting substrate and dopamine as the polymerizing monomer. By simply immersing graphene oxide (GO) in a weak alkaline solution of dopamine (DA) containing bovine hemoglobin (BHb), GO nanosheet was readily converted to reduced GO (RGO) by dopamine with simultaneous capping by a thin polydopamine film imprinted with BHb leading to the BHb imprinted PDA@RGO nanomaterials. Fourier transform infrared (FT-IR), ultraviolet-visible (UV-vis), Raman spectra, X-ray diffraction (XRD), scanning electron microscopy (SEM), X-ray photoelectron spectroscopy (XPS), and nitrogen adsorption experiments have been. used to characterize the resulting imprinted PDA@RGO. The whole reaction process was conducted in aqueous solution at ambient temperature, which is easy to scale up at a low cost without pollution. In addition, because of the unique properties of graphene (large surface area, high surface-to-volume ratio) and polydopamine (high biocompatibility and controllable thickness), the prepared imprinted PDA@RGO not only possessed high binding capacity (198 mg/g) but also exhibited a fast adsorption kinetics (adsorb 89% of the maximum amount within 5 min) and good selectivity toward template protein (the imprinting factor alpha is 4.95). The outstanding recognizing behavior coupled to the low production cost and facile, quick, green preparation procedure makes the imprinted PDA@RGO attractive in specific protein recognition and separation, biosensors, and biochips.</t>
  </si>
  <si>
    <t>[Luo, Jing; Jiang, Sisi; Liu, Xiaoya] Jiangnan Univ, Sch Chem &amp; Mat Engn, Minist Educ, Key Lab Food Colloids &amp; Biotechnol, Wuxi 214122, Jiangsu, Peoples R China; [Luo, Jing] Fudan Univ, State Key Lab Mol Engn Polymers, Shanghai 200433, Peoples R China</t>
  </si>
  <si>
    <t>Jiangnan University; Fudan University</t>
  </si>
  <si>
    <t>Luo, J (corresponding author), Jiangnan Univ, Sch Chem &amp; Mat Engn, Minist Educ, Key Lab Food Colloids &amp; Biotechnol, Wuxi 214122, Jiangsu, Peoples R China.</t>
  </si>
  <si>
    <t>jingluo19801007@126.com; lxy@jiangnan.edu.cn</t>
  </si>
  <si>
    <t>Jiang, Sisi/KWT-4571-2024</t>
  </si>
  <si>
    <t>National Natural Science Foundation of China [51103064, 21174056]; Fundamental Research Funds for the Central Universities [JUSRP 51305A]; State Key Laboratory of Molecular Engineering of Polymers [K2012-04]; Program for New Century Excellent Talents in University [NCET-10-0452]</t>
  </si>
  <si>
    <t>National Natural Science Foundation of China(National Natural Science Foundation of China (NSFC)); Fundamental Research Funds for the Central Universities(Fundamental Research Funds for the Central Universities); State Key Laboratory of Molecular Engineering of Polymers; Program for New Century Excellent Talents in University(Program for New Century Excellent Talents in University (NCET))</t>
  </si>
  <si>
    <t>We acknowledge financial support from the National Natural Science Foundation of China (under Grant Nos. 51103064 and 21174056), the Fundamental Research Funds for the Central Universities (JUSRP 51305A), the Open Project Program of State Key Laboratory of Molecular Engineering of Polymers (K2012-04), and the Program for New Century Excellent Talents in University (NCET-10-0452).</t>
  </si>
  <si>
    <t>1932-7447</t>
  </si>
  <si>
    <t>1932-7455</t>
  </si>
  <si>
    <t>J PHYS CHEM C</t>
  </si>
  <si>
    <t>J. Phys. Chem. C</t>
  </si>
  <si>
    <t>10.1021/jp405171w</t>
  </si>
  <si>
    <t>Chemistry, Physical; Nanoscience &amp; Nanotechnology; Materials Science, Multidisciplinary</t>
  </si>
  <si>
    <t>Chemistry; Science &amp; Technology - Other Topics; Materials Science</t>
  </si>
  <si>
    <t>296CM</t>
  </si>
  <si>
    <t>WOS:000330162700020</t>
  </si>
  <si>
    <t>Ahn, IY; Kim, KW; Choi, HJ</t>
  </si>
  <si>
    <t>A baseline study on metal concentrations in the Antarctic limpet Nacella concinna (Gastropoda: Patellidae) on King George Island:: variations with sex and body parts</t>
  </si>
  <si>
    <t>OYSTER CRASSOSTREA-IRIDESCENS; HEAVY-METAL; LATERNULA-ELLIPTICA; LITTORINA-LITTOREA; TRACE-METALS; MAXWELL BAY; CONTAMINATION; CADMIUM; STREBEL; ACCUMULATION</t>
  </si>
  <si>
    <t>Korea Ocean Res &amp; Dev Inst, Polar Sci Lab, Seoul 425600, South Korea</t>
  </si>
  <si>
    <t>Korea Ocean Res &amp; Dev Inst, Polar Sci Lab, POB 29, Seoul 425600, South Korea.</t>
  </si>
  <si>
    <t>PII S0025-326X(01)00297-1</t>
  </si>
  <si>
    <t>10.1016/S0025-326X(01)00297-1</t>
  </si>
  <si>
    <t>570JF</t>
  </si>
  <si>
    <t>WOS:000176654600019</t>
  </si>
  <si>
    <t>Han, YJ; Zhang, QQ; Chen, LZ; Zhao, JM; Yang, DL</t>
  </si>
  <si>
    <t>Han, Yijing; Zhang, Qianqian; Chen, Lizhu; Zhao, Jianmin; Yang, Dinglong</t>
  </si>
  <si>
    <t>In vitro study of deltamethrin-induced extracellular traps in hemocytes of Ruditapes philippinarum</t>
  </si>
  <si>
    <t>Extracellular traps; Deltamethrin; Ruditapes philippinarum; Immunotoxicity</t>
  </si>
  <si>
    <t>FRESH-WATER MUSSEL; OXIDATIVE STRESS; NEUTROPHIL ELASTASE; PESTICIDE POLLUTION; MITOCHONDRIAL-DNA; ACUTE TOXICITY; RELEASE; HISTONES; DEATH; BIOMARKERS</t>
  </si>
  <si>
    <t>Deltamethrin (DLM), a broad-spectrum pesticide, has been proven to have toxic effects on aquatic organisms. Here, we detected the formation of extracellular traps (ETosis) formation in Manila clam (Ruditapes philip-pinarum) hemocytes stimulated by three concentrations of DLM (0.01, 0.1 and 1 mu g/mL) in vitro, and explored the underlying mechanisms induced by this pesticide. Extracellular DNA structure observation and quantitative results indicated that DLM exposure could obviously induce hemocytes ETosis, especially under high concen-tration of DLM induction. Moreover, DLM increased the levels of myeloperoxidase (MPO) and reactive oxygen species (ROS) in a dose-dependent manner, and enhanced the mRNA expression of several ROS-related genes. DPI (NADPH oxidase inhibitor) and ABAH (MPO inhibitor) could substantially inhibit DLM-induced extracellular traps (ETs), suggesting that the induced ETs release was caused by the induction of the ROS burst and MPO production. In addition, three concentrations of DLM-induced ETs were also accompanied by mitochondrial dysfunction, such as increasing the production of mitochondrial ROS, leading to a decrease in mitochondrial membrane potential (MMP) and activation of mitochondrial permeability transition pore (MPTP). Taken together, these results will shed new light on the immunotoxicity of DLM in clams and perhaps lays the foun-dation for health assessment in bivalves.</t>
  </si>
  <si>
    <t>[Han, Yijing] Ludong Univ, Sch Agr, Yantai 264025, Shandong, Peoples R China; [Zhang, Qianqian; Zhao, Jianmin; Yang, Dinglong] Chinese Acad Sci, Yantai Inst Coastal Zone Res, Muping Coastal Environm Res Stn, Yantai 264003, Shandong, Peoples R China; [Zhang, Qianqian; Zhao, Jianmin; Yang, Dinglong] Chinese Acad Sci, Yantai Inst Coastal Zone Res, Key Lab Coastal Zone Environm Proc &amp; Ecol Remediat, Yantai 264003, Shandong, Peoples R China; [Chen, Lizhu] Shandong Marine Resource &amp; Environm Res Inst, Yantai 264006, Shandong, Peoples R China</t>
  </si>
  <si>
    <t>Ludong University; Chinese Academy of Sciences; Yantai Institute of Coastal Zone Research, CAS; Chinese Academy of Sciences; Yantai Institute of Coastal Zone Research, CAS</t>
  </si>
  <si>
    <t>Yang, DL (corresponding author), Chinese Acad Sci, Yantai Inst Coastal Zone Res, Muping Coastal Environm Res Stn, Yantai 264003, Shandong, Peoples R China.</t>
  </si>
  <si>
    <t>dlyang@yic.ac.cn</t>
  </si>
  <si>
    <t>Zhang, Qianqian/HHZ-6216-2022</t>
  </si>
  <si>
    <t>Strategic Priority Research Program of the Chinese Academy of Sciences [XDA23050303]; National Natural Science Foundation of China [42176141]; Natural Science Foundation of Shandong Province [ZR2020QD097, ZR2022QC233]; Yantai Science and Technology Development Project [2020MSGY066]; Youth Innovation Promotion Associ- ation of CAS [2022211]</t>
  </si>
  <si>
    <t>Strategic Priority Research Program of the Chinese Academy of Sciences(Chinese Academy of Sciences); National Natural Science Foundation of China(National Natural Science Foundation of China (NSFC)); Natural Science Foundation of Shandong Province(Natural Science Foundation of Shandong Province); Yantai Science and Technology Development Project; Youth Innovation Promotion Associ- ation of CAS</t>
  </si>
  <si>
    <t>This research was supported by grants from the Strategic Priority Research Program of the Chinese Academy of Sciences (XDA23050303) , the National Natural Science Foundation of China (No. 42176141) , the Natural Science Foundation of Shandong Province (ZR2020QD097 and ZR2022QC233) , the Yantai Science and Technology Development Project (2020MSGY066) , and the Youth Innovation Promotion Associ- ation of CAS (2022211) .</t>
  </si>
  <si>
    <t>10.1016/j.ecoenv.2023.114909</t>
  </si>
  <si>
    <t>F5JY8</t>
  </si>
  <si>
    <t>WOS:000982720300001</t>
  </si>
  <si>
    <t>Fang, J. K. H.; Wu, R. S. S.; Zheng, G. J.; Lam, P. K. S.; Shin, P. K. S.</t>
  </si>
  <si>
    <t>Induction, adaptation and recovery of lysosomal integrity in green-lipped mussel Perna viridis</t>
  </si>
  <si>
    <t>lysosomal integrity; induction; adaptation; recovery; Perna viridis</t>
  </si>
  <si>
    <t>POLYCYCLIC AROMATIC-HYDROCARBONS; MYTILUS-EDULIS; DIGESTIVE CELLS; ENVIRONMENTAL PROGNOSTICS; BIOMARKER RESPONSES; STABILITY; STRESS; COPPER; GALLOPROVINCIALIS; EXPOSURE</t>
  </si>
  <si>
    <t>Biomarkers are generally applied to detect pollution in environmental monitoring. Such biological responses should accurately reflect the stress over time in a quantitative manner. As such, the initial and maximum responses induced by stress, as well as adaptation and recovery of these biomarkers, need to be fully understood or else erroneous false-negative or false-positive may be arrived. However, most of the biomarker studies only provided information on initially induced responses under different concentrations of toxicants, while biological adaptation and recovery were poorly known. In this study, the time required for induction, adaptation and recovery of lysosomal integrity in green-lipped mussel Perna viridis upon exposure to benzo[a]pyrene was investigated over a period of 62 days. Maximum induction occurred on day 6 when lysosomal integrity was significantly reduced by 51%, and no further change or adaptation was detected thereafter. When mussels were depurated in clean seawater after 18 days of exposure to benzo[a]pyrene, a gradual recovery was observed, with lysosomal integrity returning to its background level and showing a complete recovery after 20 days of deputation. Lysosomal integrity was significantly correlated with the body burden concentrations of benzo[a]pyrene and condition index of the mussels. The relatively fast induction (6 days) and recovery (20 days) without apparent adaptation suggested that lysosomal integrity in A viridis can serve as a good biomarker in biomonitoring, as its response is not likely to generate both false-negative and false-positive results. (c) 2008 Elsevier Ltd. All tights reserved.</t>
  </si>
  <si>
    <t>[Fang, J. K. H.; Wu, R. S. S.; Zheng, G. J.; Lam, P. K. S.; Shin, P. K. S.] City Univ Hong Kong, Dept Biol &amp; Chem, Ctr Coastal Pollut &amp; Conservat, Kowloon, Hong Kong, Peoples R China</t>
  </si>
  <si>
    <t>Shin, PKS (corresponding author), City Univ Hong Kong, Dept Biol &amp; Chem, Ctr Coastal Pollut &amp; Conservat, Kowloon, Hong Kong, Peoples R China.</t>
  </si>
  <si>
    <t>10.1016/j.marpolbul.2008.03.038</t>
  </si>
  <si>
    <t>WOS:000257816300032</t>
  </si>
  <si>
    <t>Evans, G; Howarth, RJ; Nombela, MA</t>
  </si>
  <si>
    <t>Metals in the sediments of Ensenada de San Simon (inner Ria de Vigo), Galicia, NW Spain</t>
  </si>
  <si>
    <t>HEAVY-METALS; GEOCHEMICAL PRACTICE; ESTUARINE SEDIMENTS; DUPLICATE ANALYSIS; CHEMICAL FORMS; TRACE-METALS; KARA SEA; POLLUTION; ELEMENTS; CORES</t>
  </si>
  <si>
    <t>The Ensenada de San Simon is the inner part of the Ria de Vigo, one of the major mesotidal rias of the Galician coast, NW Spain. The geochemistry of its surface sediments, and the river sediments which drain into it from a granitic and metamorphic hinterland, are described. Multivariate statistical analysis of the sediment compositions (using ridge regression and mixture-modelling) enabled the major- and trace-element distributions to be accounted for in terms of both natural and anthropogenic sources: Between 60 and 80% of the Cr, Cu, Ni, Ph and Zn concentrations of the bottom sediments of the Ensenada can be explained by sediment input from the combined R. Oitaben and R. Verdugo, the R. Redondela and faecal matter from mussel rafts, but there is additional enrichment towards the mouth of the Ensenada. This enrichment is attributed to marine water entering the Ensenada from the polluted industrial areas of the adjacent Ria de Vigo. It is suggested that these metals are carried landwards in solution by the tidal incursion of marine water (the volume of which, on an annual basis, greatly exceeds that contributed by the rivers). Although the incoming marine waters may also be important in supplying Pb to the outer Ensenada, this element may also be delivered by land run-off, or by windborne vehicular emissions to the Ensenada as a result of the surrounding network of roads and a road bridge over the Estrecho de Rande. (C) 2002 Elsevier Science Ltd. All rights reserved.</t>
  </si>
  <si>
    <t>UCL, Dept Earth Sci, London WC1E 6BT, England; Univ Southampton, Dept Ocean &amp; Earth Sci, Southampton SO14 3ZH, Hants, England; Univ Vigo, Dept Recursos Nat &amp; Medio Ambiente, Vigo 3620, Spain</t>
  </si>
  <si>
    <t>University of London; University College London; University of Southampton; NERC National Oceanography Centre; Universidade de Vigo</t>
  </si>
  <si>
    <t>Nombela, Miguel Angel/F-3064-2016</t>
  </si>
  <si>
    <t>Nombela, Miguel Angel/0000-0002-4189-6267</t>
  </si>
  <si>
    <t>PII S0883-2927(02)00203-2</t>
  </si>
  <si>
    <t>10.1016/S0883-2927(02)00203-2</t>
  </si>
  <si>
    <t>682FK</t>
  </si>
  <si>
    <t>WOS:000183080900002</t>
  </si>
  <si>
    <t>Sures, B; Thielen, F; Baska, F; Messerschmidt, J; von Bohlen, A</t>
  </si>
  <si>
    <t>The intestinal parasite Pomphorhynchus laevis as a sensitive accumulation indicator for the platinum group metals Pt, Pd, and Rh</t>
  </si>
  <si>
    <t>Barbus barbus; parasites; bioindication; platinum group elements; pollution</t>
  </si>
  <si>
    <t>CATHODIC STRIPPING VOLTAMMETRY; X-RAY-FLUORESCENCE; GROUP ELEMENTS; CATALYTIC-CONVERTERS; DREISSENA-POLYMORPHA; BIOLOGICAL SAMPLES; HEAVY-METALS; ZEBRA-MUSSEL; ROAD DUST; PALLADIUM</t>
  </si>
  <si>
    <t>Concentrations of the platinum group elements Pt, Pd, and Rh were analyzed by adsorptive cathodic stripping voltammetry (Pt, Rh) and total-reflection X-ray fluorescence (Pd) in the intestinal helminth Pomphorhynchus laevis and its host Barbus barbus. The fish were caught in the Danube river south of the city of Budapest (Hungary) and were exposed to ground catalytic material for 28 days. Following exposure all three precious metals were taken up and accumulated in host organs and the parasites. Interestingly, in all tissues of the unexposed controls Pt was found, whereas Pd was not present in the muscle of the controls and Rh was not detectable in muscle and intestine of unexposed barbel. All metals were found at significantly higher concentrations in the acanthocephalan than in the tissues of barbel. These results are discussed with respect to the application of P. laevis as an accumulation indicator for metals. (C) 2004 Elsevier Inc. All rights reserved.</t>
  </si>
  <si>
    <t>Univ Karlsruhe, Inst Zool 1, D-76128 Karlsruhe, Germany; Szent Istvan Univ, Fac Vet Sci, Dept Pathol &amp; Vet Forens Med, Budapest, Hungary; Inst Spektrochem &amp; Angew Spekroskopie, D-44139 Dortmund, Germany</t>
  </si>
  <si>
    <t>Univ Karlsruhe, Inst Zool 1, Kornblumenstr 13, D-76128 Karlsruhe, Germany.</t>
  </si>
  <si>
    <t>dc11@rz.uni-karisruhe.de</t>
  </si>
  <si>
    <t>Sures, Bernd/B-6652-2013; Thielen, Frankie/J-9934-2019; von Bohlen, Alex/C-2450-2008</t>
  </si>
  <si>
    <t>10.1016/j.envres.2004.05.010</t>
  </si>
  <si>
    <t>904SO</t>
  </si>
  <si>
    <t>WOS:000227518200011</t>
  </si>
  <si>
    <t>Davis, MT; Newell, PF; Quinn, NJ</t>
  </si>
  <si>
    <t>TBT contamination of an artisanal subsistence fishery in Suva harbour, Fiji</t>
  </si>
  <si>
    <t>artisanal fishery; Anadara antiquata; Modiolus agripetus; TBT; organotins; pollution</t>
  </si>
  <si>
    <t>The intertidal zone around the Suva Peninsula, Fiji, supports separate finfish and invertebrate subsistence fisheries. This important source of fresh marine food for many low-income families around metropolitan Suva is under threat from foreshore reclamation projects and from anthropogenic biochemical pollution. Damage to or loss of this invertebrate intertidal fishery would remove a significant area where urban dwellers can pursue this traditional (non-cash) means of seafood acquisition. In 1996, Suva Peninsula was considered for the development of a marina, hotel, aquarium, roads, walls, and other structures. There is also increasing evidence of a serious anthropogenic TBT (tributyltin) pollution threat to the local invertebrate fishery. Although this substance is well known to have ecologically deleterious effects, its use is unregulated in Fiji. The inputs are likely to be large commercial vessels, and in particular the shipyards around the west side of Suva Harbour, where TBT antifouling coatings are both applied and removed, the old paint debris being allowed to wash into the harbour. Inputs from small boats are probably less important as there are relatively few ( &lt; 150 boats) but uses of TBT, as a wood treatment chemical, for example, may lead to other inputs (but these have not been investigated). Samples of Anadara antiquata and Gafarium tumidum contained high levels of TBT ranging from &lt; 50 ng TBT gm(-1) to 240 ng TBT gm(-1). Samples of the edible bivalve G. tumidum taken from the Lami Dump intertidal zone had accumulated 10,500 ng TBT gm(-1). The values of TBT in Suva Harbour and Laucala Bay sediments have reached levels that are among the highest in the world and indicate that these sediments are functioning as geochemical sinks for this toxic organotin substance. (C) 1999 Elsevier Science Ltd. All rights reserved.</t>
  </si>
  <si>
    <t>Univ S Pacific, Dept Biol, Suva, Fiji; Univ Papua New Guinea, Dept Biol, Port Moresby, Papua N Guinea</t>
  </si>
  <si>
    <t>University of the South Pacific; University of Papua New Guinea</t>
  </si>
  <si>
    <t>Davis, MT (corresponding author), 605 N Sampson St, Ellensburg, WA 98926 USA.</t>
  </si>
  <si>
    <t>10.1016/S0964-5691(99)00035-6</t>
  </si>
  <si>
    <t>225ZY</t>
  </si>
  <si>
    <t>WOS:000081996900009</t>
  </si>
  <si>
    <t>Mersch, J; Beauvais, MN</t>
  </si>
  <si>
    <t>The micronucleus assay in the zebra mussel, Dreissena polymorpha, to in situ monitor genotoxicity in freshwater environments</t>
  </si>
  <si>
    <t>Dreissena polymorpha; zebra mussel; micronucleus assay; environmental genotoxicity; biomonitoring</t>
  </si>
  <si>
    <t>PERIPHERAL-BLOOD ERYTHROCYTES; MYTILUS-EDULIS; WATER; INDUCTION; GALLOPROVINCIALIS; POLLUTION; HEMOCYTES; MUTAGENS; COPPER; RIVER</t>
  </si>
  <si>
    <t>Caged zebra mussels, Dreissena polymorpha, were transplanted to 6 monitoring sites receiving industrial effluents suspected of containing genotoxic chemicals. After a residence time of 2 months, the induction of micronuclei (MN) in haemocytes was determined as a criterion for genetic damage. The mean MN frequencies observed in mussels exposed to effluents ranged between 5.0 and 8.8 parts per thousand. These rates were significantly higher than the baseline level of 2.0 parts per thousand recorded in a concurrent control mussel group reintroduced at the reference location. Biological fitness descriptors (mortality, attachment biotest, condition index, gonadic index) revealed no relationship between the general well-being of the mussels exposed under contrasted environmental conditions and the frequency of MN induced in their haemocytes. The biological feasibility of the transfer technique of zebra mussels, together with a moderate, but significant, inducibility of MN, are major features towards the development of a first tool for in situ monitoring of genotoxicity in freshwater environments using a common indicator species. (C) 1997 Elsevier Science B.V.</t>
  </si>
  <si>
    <t>UNIV METZ,CTR RECH ECOL,F-57040 METZ 01,FRANCE</t>
  </si>
  <si>
    <t>Mersch, J (corresponding author), UNIV SAARLAND,ZENTRUM UMWELTFORSCH,INST BIOGEOG,POSTFACH 15 11 50,D-66041 SAARBRUCKEN,GERMANY.</t>
  </si>
  <si>
    <t>SEP 19</t>
  </si>
  <si>
    <t>10.1016/S1383-5718(97)00099-5</t>
  </si>
  <si>
    <t>YD305</t>
  </si>
  <si>
    <t>WOS:A1997YD30500016</t>
  </si>
  <si>
    <t>Moreira, S; Guilhermino, L</t>
  </si>
  <si>
    <t>The use of Mytilus galloprovincialis acetylcholinesterase and glutathione S-transferases activities as biomarkers of environmental contamination along the northwest Portuguese coast</t>
  </si>
  <si>
    <t>acetylcholinesterase; biomarkers; biomonitoring; coastal zone pollution; glutathione S-transferases; mussels; Mytilus galloprovincialis; NW Portuguese coast; seasonal variation</t>
  </si>
  <si>
    <t>DIGESTIVE GLAND; ORGANIC POLLUTANTS; SURFACE WATERS; RUDITAPES-DECUSSATUS; POLLUTION BIOMARKERS; HEAVY-METALS; BLUE MUSSEL; EDULIS; PESTICIDES; BAY</t>
  </si>
  <si>
    <t>With the aim of using Mytilus galloprovincialis acetylcholinesterase (AChE) and glutathione S-transferases (GST) activities as biomarkers of environmental contamination in risk assessment studies along the northwest Portuguese coast, the objective of this study was to provide background information related to: (1) baseline values of these enzymatic activities both in reference and contaminated areas and their responsiveness as indicators of exposure to environmental contaminants; (2) the importance of seasonal variations of such biomarkers in M. galloprovincialis along this area. For this, the activity of these enzymes was seasonally determined in mussels collected from four sites, including a reference and three stations with different contamination sources along the referred area. Statistically significant differences on both enzymatic activities were found among the four sampling stations, at the four sampling periods. In comparison to the reference station, lower AChE and higher GST activity values were found in mussels collected in stations potentially contaminated by pesticides and domestic/industrial effluents and in mussels collected in the vicinity of an oil refinery and an industrial/mercantile harbour, respectively. The results obtained in this work highlighted the potential suitability of these biomarkers to be used as components of environmental monitoring programs in risk assessment studies along the northwest Portuguese coast. Since a seasonal variation in both enzymatic activities was found, the possible implications of such variability in the use of these enzymes as environmental biomarkers are also discussed.</t>
  </si>
  <si>
    <t>Univ Porto, ICBAS, Dept Estudos Populacoes, Lab Ecotoxicol, Oporto, Portugal; CIMAR Ctr Interdisciplinar Invest Marinha &amp; Ambie, Grp Ecotoxicol, Oporto, Portugal</t>
  </si>
  <si>
    <t>Univ Porto, ICBAS, Dept Estudos Populacoes, Lab Ecotoxicol, Lg Prof Abel Salazar 2, Oporto, Portugal.</t>
  </si>
  <si>
    <t>smmoreira@cimar.org</t>
  </si>
  <si>
    <t>Guilhermino, Lucia/E-8361-2013; Moreira, Susana/D-1657-2013</t>
  </si>
  <si>
    <t>Moreira, Susana/0000-0003-1204-8282; Guilhermino, Lucia/0000-0002-1009-8967</t>
  </si>
  <si>
    <t>10.1007/s10661-005-3854-z</t>
  </si>
  <si>
    <t>924HZ</t>
  </si>
  <si>
    <t>WOS:000228971100018</t>
  </si>
  <si>
    <t>Yang, F; Zhao, LQ; Yan, XW; Wang, Y</t>
  </si>
  <si>
    <t>Yang, Feng; Zhao, Liqiang; Yan, Xiwu; Wang, Yuan</t>
  </si>
  <si>
    <t>Bioaccumulation of Trace Elements in Ruditapes philippinarum from China: Public Health Risk Assessment Implications</t>
  </si>
  <si>
    <t>Ruditapes philippinarum; trace element; public health; risk assessment; China</t>
  </si>
  <si>
    <t>HEAVY-METAL CONCENTRATIONS; COASTAL SITES; MANILA CLAM; ATLANTIC COAST; JIAOZHOU BAY; SOFT-TISSUE; MOLLUSKS; CONTAMINATION; RIVER; ACCUMULATION</t>
  </si>
  <si>
    <t>The Manila clam Ruditapes philippinarum is one of the most important commercial bivalve species consumed in China. Evaluated metal burden in bivalve molluscs can pose potential risks to public health as a result of their frequent consumption. In this study, concentrations of 10 trace elements (Cu, Zn, Mn, Se, Ni, Cd, Cr, Pb, Hg and As) were determined in samples of the bivalve Ruditapes philippinarum, collected from nine mariculture zones along the coast of China between November and December in 2010, in order to evaluate the status of elemental metal pollution in these areas. Also, a public health risk assessment was untaken to assess the potential risks associated with the consumption of clams. The ranges of concentrations found for Cu, Zn, Mn, Se, Ni, Cd, Cr, Pb, Hg and As in R. philippinarum were 12.1-38.0, 49.5-168.3, 42.0-68.0, 4.19-8.71, 4.76-14.32, 0.41-1.11, 0.94-4.74, 0.32-2.59, 0.03-0.23 and 0.46-11.95 mg.kg(-1) dry weight, respectively. Clear spatial variations were found for Cu, Zn, Cr, Pb, Hg and As, whereas Mn, Se, Ni, and Cd did not show significant spatial variation. Hotspots of trace element contamination in R. philippinarum can be found along the coast of China, from the north to the south, especially in the Bohai and Yellow Seas. Based on a 58.1 kg individual consuming 29 g of bivalve molluscs per day, the values of the estimated daily intake (EDI) of trace elements analyzed were significantly lower than the values of the accepted daily intake (ADI) established by Joint Food and Agriculture Organization/World Health Organization Expert Committee on Food Additives (JFAO/WHO) and the guidelines of the reference does (RfD) established by the United States Environmental Protection Agency (USEPA). Additionally, the risk of trace elements to humans through R. philippinarum consumption was also assessed. The calculated hazard quotients (HQ) of all trace elements were less than 1. Consequently, there was no obvious public risk from the intake of these trace elements through R. philippinarum consumption.</t>
  </si>
  <si>
    <t>[Yang, Feng; Zhao, Liqiang; Yan, Xiwu; Wang, Yuan] Dalian Ocean Univ, Coll Fisheries &amp; Life Sci, Dalian 116023, Peoples R China</t>
  </si>
  <si>
    <t>Dalian Ocean University</t>
  </si>
  <si>
    <t>Yan, XW (corresponding author), Dalian Ocean Univ, Coll Fisheries &amp; Life Sci, Dalian 116023, Peoples R China.</t>
  </si>
  <si>
    <t>yangfeng@dlou.edu.cn; zhaoliqiang@dlou.edu.cn; yanxiwu@dlou.edu.cn; wangyuan@dlou.edu.cn</t>
  </si>
  <si>
    <t>Liu, Lifen/L-4839-2019; yan, xi/ITV-4972-2023</t>
  </si>
  <si>
    <t>earmarked fund for Modern Agro-industry Technology Research System [CARS-48]; State Oceanic Administration of China [200905020]</t>
  </si>
  <si>
    <t>earmarked fund for Modern Agro-industry Technology Research System; State Oceanic Administration of China</t>
  </si>
  <si>
    <t>We thank the anonymous reviewers for their helpful comments on this work. This project was supported by the earmarked fund for Modern Agro-industry Technology Research System (CARS-48) and the State Oceanic Administration of China (200905020).</t>
  </si>
  <si>
    <t>10.3390/ijerph10041392</t>
  </si>
  <si>
    <t>131XR</t>
  </si>
  <si>
    <t>WOS:000318032300015</t>
  </si>
  <si>
    <t>Biochemical impacts of Hg in Mytilus galloprovincialis under present and predicted warming scenarios</t>
  </si>
  <si>
    <t>Bivalves; Climate change; Pollution; Cellular damage; Antioxidant defenses; Metabolism</t>
  </si>
  <si>
    <t>VIRGINICA GMELIN BIVALVIA; CLAM CHAMELEA-GALLINA; OXIDATIVE STRESS; RUDITAPES-PHILIPPINARUM; MITOCHONDRIAL-FUNCTION; METAL CONCENTRATIONS; CERASTODERMA-EDULE; CADMIUM EXPOSURE; SEAWATER ACIDIFICATION; ELEVATED-TEMPERATURES</t>
  </si>
  <si>
    <t>The interest in the consequences of climate change on the physiological and biochemical functioning of marine organisms is increasing, but the indirect and interactive effects resulting from warming on bioconcentration and responsiveness to pollutants are still poorly explored, particularly in terms of cellular responses. The present study investigated the impacts of Hg in Mytilus galloprovincialis under control (17 degrees C) and warming (21 degrees C) conditions, assessing mussels Hg bioconcentration capacity, metabolic and oxidative status after 14 and 28 days of exposure. Results obtained showed greater impacts in mussels exposed for 28 days in comparison to 14 days of exposure. Furthermore, our findings revealed that the increase in temperature from 17 to 21 degrees C reduced the bioconcentration of Hg by M. galloprovincialis, which may explain higher mortality rates at 17 degrees C in comparison to 21 degrees C. Lower Hg concentration at 21 degrees C in mussels tissue may result from valves closure for longer periods, identified by reduced energy reserves consumption at higher temperature, which in turnmight also contributed to higher oxidative stress in organisms exposed to this condition. The highest LPO levels observed in mussels exposed to higher temperatures alone indicate that warming conditions will greatly affectM. galloprovincialis. Furthermore, the present study showed that the impacts induced by the combination of Hg and warming were similar to the ones caused by increased temperature acting alone, mainly due to increased antioxidant defenses in organisms under combined effects of Hg and warming, suggesting that warming was the factor that mostly contributed to oxidative stress in mussels. Although higher mortality was observed in individuals exposed to 17 degrees C and Hg compared to organisms exposed to Hg at 21 degrees C, the oxidative stress induced at higher temperature may generate negative consequences on mussels reproductive and feeding capacity, growth and, consequently, on population maintenance and dynamics. (C) 2017 Elsevier B.V. All rights reserved.</t>
  </si>
  <si>
    <t>[Coppola, Francesca; Almeida, Angela; Soares, Amadeu M. V. M.; Figueira, Etelvina; Freitas, Rosa] Univ Aveiro, Biol Dept, Campus Univ Santiago, P-3810193 Aveiro, Portugal; [Coppola, Francesca; Almeida, Angela; Henriques, Bruno; Soares, Amadeu M. V. M.; Figueira, Etelvina; Pereira, Eduarda; Freitas, Rosa] Univ Aveiro, CESAM, P-3810193 Aveiro, Portugal; [Henriques, Bruno; Pereira, Eduarda] Univ Aveiro, Chem Dept, P-3810193 Aveiro, Portugal; [Henriques, Bruno] CIIMAR, Interdisciplinary Ctr Marine &amp; Environm Res, Rua Bragas 289, P-4050123 Oporto, Portugal</t>
  </si>
  <si>
    <t>Freitas, R (corresponding author), Univ Aveiro, Biol Dept, Campus Univ Santiago, P-3810193 Aveiro, Portugal.</t>
  </si>
  <si>
    <t>Coppola, Francesca/U-8869-2018; Pereira, Eduarda/A-5907-2012; CIIMAR, BYT/N-6498-2017; Almeida, Angela/K-4044-2014; Henriques, Bruno/B-6258-2017; Freitas, Rosa/A-7539-2012; Figueira, Etelvina/M-6116-2013; Soares, Amadeu/A-8304-2008</t>
  </si>
  <si>
    <t>CIIMAR, BYT/0000-0002-3703-4402; Almeida, Angela/0000-0002-6662-1622; Pereira, Eduarda/0000-0002-6046-5243; Coppola, Francesca/0000-0002-7039-9630; Henriques, Bruno/0000-0002-6472-5479; Freitas, Rosa/0000-0003-4900-3897; Figueira, Etelvina/0000-0002-6763-2665; Soares, Amadeu/0000-0003-0879-9470</t>
  </si>
  <si>
    <t>National Funds through the Portuguese Science Foundation (FCT) - FSE [SFRH/BD/86356/2012, SFRH/BPD/92258/2013, SFRH/BPD/112576/2015]; Programa Operacional Capital Humano (POCH) e da Uniao Europeia; CESAM [UID/AMB/50017]; FEDER; Fundação para a Ciência e a Tecnologia [SFRH/BPD/112576/2015] Funding Source: FCT</t>
  </si>
  <si>
    <t>National Funds through the Portuguese Science Foundation (FCT) - FSE(Fundacao para a Ciencia e a Tecnologia (FCT)); Programa Operacional Capital Humano (POCH) e da Uniao Europeia; CESAM; FEDER(European Union (EU)Spanish Government); Fundação para a Ciência e a Tecnologia(Fundacao para a Ciencia e a Tecnologia (FCT))</t>
  </si>
  <si>
    <t>Angela Almeida benefited from a Ph.D. grant (SFRH/BD/86356/2012), Rosa Freitas and Bruno Henriques benefited from post-doc grants (SFRH/BPD/92258/2013 and SFRH/BPD/112576/2015, respectively) given by the National Funds through the Portuguese Science Foundation (FCT), supported by FSE and Programa Operacional Capital Humano (POCH) e da Uniao Europeia. Thanks are due, for the financial support to CESAM (UID/AMB/50017), to FCT/MEC through national funds, and the co-funding by the FEDER, within the PT2020 Partnership Agreement and Compete 2020.</t>
  </si>
  <si>
    <t>10.1016/j.scitotenv.2017.05.201</t>
  </si>
  <si>
    <t>FB7BA</t>
  </si>
  <si>
    <t>WOS:000406294900110</t>
  </si>
  <si>
    <t>Bejarano, AC; Decho, AW; Chandler, GT</t>
  </si>
  <si>
    <t>The role of various dissolved organic matter forms on chlorpyrifos bioavailability to the estuarine bivalve Mercenaria mercenaria</t>
  </si>
  <si>
    <t>dissolved organic matter; Mercenaria mercenaria; bivalves; chlorpyrifos; pesticide uptake and bioconcentration</t>
  </si>
  <si>
    <t>POLYCYCLIC AROMATIC-HYDROCARBONS; HUMIC MATERIALS; BIOCONCENTRATION; COMPLEXATION; BINDING; ACIDS; POLLUTANTS; INCLUSION; WATERS; COPPER</t>
  </si>
  <si>
    <t>Dissolved organic matter (DOM) is comprised of a myriad of macromolecules with specific physical and chemical properties that may influence the bioavailability of hydrophobic pesticides to animals. This study was conducted to assess the role of various forms of DOM on the uptake and bioconcentration of the organophosphate insecticide chlorpyrifos (CHPY) to the bivalve Mercenaria mercenaria. Bivalves were exposed to DOM-free seawater (30 parts per thousand) or to seawater containing a single form of DOM. DOM forms included two filtrate fractions of natural salt-marsh sediment DOM (DOM-(&lt; 0.45 mu m) and DOM-(&lt; 3 kDa)); natural purified humic (HA) and fulvic (FA) acids; and water soluble cyclic oligosaccharides alpha and beta cyclodextrins (CD-alpha and CD-beta). In C-14-CHPY uptake and elimination experiments, juvenile bivalves were exposed to uniformly-labeled C-14-CHPY and collected at time intervals during 48 h. The remaining bivalves were transferred to C-14-CHPY-free elimination chambers with bivalve collection at time intervals over 144 h. Total uptake of C-14-CHPY by bivalves in DOM-free seawater was &gt; 40% greater than in bivalves exposed to C-14-CHPY in the presence of most DOM forms. These results are consistent with much faster C-14-CHPY uptake rates estimated using a simple two parameter model. After the elimination period, bivalves exposed to DOM-free seawater had C-14-CHPY body residue concentrations between 25% and 86% greater than bivalves in the presence of DOM forms. Experiments with larger bivalves showed that pulse-chase exposures with a 1.5 h exposure period to C-14-CHPY was not long enough to detect differences in C-14-CHPY tissue accumulation efficiencies across treatments. Our findings suggest that natural forms of DOM, at environmentally realistic organic carbon concentrations, reduced pesticide uptake and bioconcentration, consistent with much lower uptake rates relative to bivalves exposed to C-14-CHPY in the absence of DOM. Interestingly, at the tested organic carbon concentrations CD-alpha and CD-beta did not reduce C-14-CHPY bioconcentration in M. mercenaria. (c) 2004 Elsevier Ltd. All rights reserved.</t>
  </si>
  <si>
    <t>Univ S Carolina, Norman J Arnold Sch Publ Hlth, Dept Environm Hlth Sci, Columbia, SC 29208 USA</t>
  </si>
  <si>
    <t>University of South Carolina System; University of South Carolina Columbia</t>
  </si>
  <si>
    <t>Univ S Carolina, Norman J Arnold Sch Publ Hlth, Dept Environm Hlth Sci, Columbia, SC 29208 USA.</t>
  </si>
  <si>
    <t>ACBejara@mailbox.sc.edu</t>
  </si>
  <si>
    <t>Decho, Alan/F-9510-2010</t>
  </si>
  <si>
    <t>Decho, Alan/0000-0002-2870-1824; bejarano, adriana/0000-0003-2818-4115</t>
  </si>
  <si>
    <t>10.1016/j.marenvres.2004.10.001</t>
  </si>
  <si>
    <t>905UW</t>
  </si>
  <si>
    <t>WOS:000227597000006</t>
  </si>
  <si>
    <t>Liu, YF; Huang, JX; Guo, ZG</t>
  </si>
  <si>
    <t>Liu, Yifan; Huang, Jinxia; Guo, Zhiguang</t>
  </si>
  <si>
    <t>TiO 2 deposited dual functional hydrogel coatings with superhydrophilic and photocatalytic properties for efficient oil/water separation and dye photodegradation</t>
  </si>
  <si>
    <t>Hydrogel coating; Underwater superoleophobic; Photo -Fenton -like catalysis; Oil/water separation; Dye photodegradation</t>
  </si>
  <si>
    <t>TOUGH; MESH</t>
  </si>
  <si>
    <t>Hydrogel coatings have been applied in oil/water separation owing to the underwater superoleophobic and antioil fouling property. However, the intrinsic relatively poor mechanical performance of hydrogel coatings and inevitably polluted by organic pollutants induce the separation performance reduction in the long -term operation and even possibly cause the coatings to peel off. In this work, we developed a simple and robust TiO 2 deposited polyacrylamide-sodium alginate (TiO 2 @PAS) composite hydrogel coating with underwater superoleophobic and dye photodegradation abilities. PDA/TiO 2 nanoparticles were deposited on the substrate surface through the mussel inspired chemistry strategy. Moreover, Polyacrylamide and calcium alginate were crosslinked into the double network hydrogel to enhance mechanical performance. The prepared hydrogel coating was introduced onto different substrates to endow the coated substrates with robust superwetting and anti -oil fouling properties. Separation efficiency of TiO 2 @PAS hydrogel coated copper mesh for oil/water mixtures reached 99.1% after 50 cycle separation tests. The hydrogel coated PVDF membrane was prepared through the same method and separation efficiency for oil -in -water emulsion keeps above 99.3% during multiple cycles separation. Moreover, the photocatalysis active TiO 2 nanoparticles allowed the TiO 2 @PAS composite hydrogel coating to degrade the organic dye methylene blue (MB) through the photo -Fenton -like photodegradation process with degradation efficiency as high as 98.7%. Notedly, the TiO 2 @PAS hydrogel coating shows robust superwetting performance even underwent abrasion test and acid-base immersing, which has the potential for adapting extreme operating condition. Overall, the study on the TiO 2 @PAS composite hydrogel coatings provides a general and simple design strategy for superwetting and photocatalytic hydrogel coatings for multi-demand water treatment application.</t>
  </si>
  <si>
    <t>[Liu, Yifan; Guo, Zhiguang] Hubei Univ, Minist Educ, Key Lab Green Preparat &amp; Applicat Funct Mat, Wuhan 430062, Peoples R China; [Liu, Yifan; Huang, Jinxia; Guo, Zhiguang] Chinese Acad Sci, State Key Lab Solid Lubricat, Lanzhou Inst Chem Phys, Lanzhou 730000, Peoples R China</t>
  </si>
  <si>
    <t>Hubei University; Chinese Academy of Sciences; Lanzhou Institute of Chemical Physics, CAS</t>
  </si>
  <si>
    <t>Guo, ZG (corresponding author), Hubei Univ, Minist Educ, Key Lab Green Preparat &amp; Applicat Funct Mat, Wuhan 430062, Peoples R China.;Huang, JX; Guo, ZG (corresponding author), Chinese Acad Sci, State Key Lab Solid Lubricat, Lanzhou Inst Chem Phys, Lanzhou 730000, Peoples R China.</t>
  </si>
  <si>
    <t>huangjx@licp.cas.cn; zguo@licp.cas.cn</t>
  </si>
  <si>
    <t>jinxia, huang/JPX-9203-2023</t>
  </si>
  <si>
    <t>Chinese Academy of Sciences [XDB 0470201]; National Program on Key Basic Research Project [2022YFB3806400]; National Natural Science Foundation of China [51735013]</t>
  </si>
  <si>
    <t>Chinese Academy of Sciences(Chinese Academy of Sciences); National Program on Key Basic Research Project(National Basic Research Program of China); National Natural Science Foundation of China(National Natural Science Foundation of China (NSFC))</t>
  </si>
  <si>
    <t>This work was financially supported by the Chinese Academy of Sciences (Grant No. XDB 0470201) , National Program on Key Basic Research Project (2022YFB3806400) and the National Natural Science Foundation of China (no. 51735013) .</t>
  </si>
  <si>
    <t>10.1016/j.jece.2024.113133</t>
  </si>
  <si>
    <t>TW4N1</t>
  </si>
  <si>
    <t>WOS:001244283900001</t>
  </si>
  <si>
    <t>Rahmati, Z; Abdi, J; Vossoughi, M; Alemzadeh, I</t>
  </si>
  <si>
    <t>Rahmati, Ziba; Abdi, Jafar; Vossoughi, Manouchehr; Alemzadeh, Iran</t>
  </si>
  <si>
    <t>Ag-doped magnetic metal organic framework as a novel nanostructured material for highly efficient antibacterial activity</t>
  </si>
  <si>
    <t>Metal organic framework; ZIF-8; Magnetic nanostructured material; Silver doping; Antibacterial activity</t>
  </si>
  <si>
    <t>MUSSEL INSPIRED CHEMISTRY; ZEOLITIC IMIDAZOLATE FRAMEWORK-8; ESCHERICHIA-COLI; ENVIRONMENTAL APPLICATIONS; STAPHYLOCOCCUS-AUREUS; SILVER NANOPARTICLES; FACILE PREPARATION; DYE REMOVAL; NANOCOMPOSITES; ZIF-8</t>
  </si>
  <si>
    <t>In the last decades, numerous attempts have been made to prevent microbial pollution spreading, using antibacterial agents. Zeolitic imidazolate framework-8 (ZIF-8) belongs to a subgroup of metal organic frameworks (MOFs) merits of attention due to the zinc ion clusters and its effective antibacterial activity. In this work, Ag-doped magnetic microporous gamma-Fe2O3@SiO2@ZIF-8-Ag (FSZ-Ag) was successfully synthesized by a facile methodology in room temperature and used as an antibacterial agent against the growth of the Gram-negative Escherichia coll. and Gram-positive Staphylococcus aureus bacteria. Several characterization methods were applied to analyze the properties of the materials, and the results confirmed the accuracy of the synthesis procedure. Silver ions have employed to enhance the efficiency of antibacterial activity. As the results illustrated, FSZ-Ag nanostructured material had superior performance to inactive E. coli. and S. aureus in growth inhibition test in liquid media. The best antibacterial activity as minimum inhibitory concentration (MIC) was 100 mg/L of FSZ-Ag against both bacteria. Leaching rates of silver ions showed that 80% of Ag released in the solutions, which was responsible for inhibiting the growth of bacteria. Also, fluorescence microscopy was used to investigate bacterial viability after 20 h contacting FSZ-Ag to distinguish live and dead bacteria by staining with DAPI and PI fluorescence stains. This novel magnetic nanostructured material is an excellent promising candidate to use in biological applications as high potential bactericidal materials.</t>
  </si>
  <si>
    <t>[Rahmati, Ziba; Vossoughi, Manouchehr; Alemzadeh, Iran] Sharif Univ, Dept Chem &amp; Petr Engn, Tehran, Iran; [Rahmati, Ziba; Vossoughi, Manouchehr; Alemzadeh, Iran] Sharif Univ Technol, Inst Biotechnol &amp; Environm, Tehran, Iran; [Abdi, Jafar] Shahrood Univ Technol, Fac Chem &amp; Mat Engn, Shahrood, Iran</t>
  </si>
  <si>
    <t>Sharif University of Technology; Sharif University of Technology; Shahrood University of Technology</t>
  </si>
  <si>
    <t>Vossoughi, M (corresponding author), Sharif Univ, Dept Chem &amp; Petr Engn, Tehran, Iran.</t>
  </si>
  <si>
    <t>vosoughi@sharif.edu</t>
  </si>
  <si>
    <t>Abdi, Jafar/ABD-9123-2020</t>
  </si>
  <si>
    <t>Vossoughi, Manouchehr/0000-0002-1238-4887</t>
  </si>
  <si>
    <t>Chemical and Petroleum Engineering Department, Sharif University of Technology</t>
  </si>
  <si>
    <t>The present work was accomplished and supported under supervision of Chemical and Petroleum Engineering Department, Sharif University of Technology.</t>
  </si>
  <si>
    <t>10.1016/j.envres.2020.109555</t>
  </si>
  <si>
    <t>NH4QQ</t>
  </si>
  <si>
    <t>WOS:000564656800004</t>
  </si>
  <si>
    <t>Rabeh, I; Telahigue, K; Hajji, T; Mdaini, Z; Nechi, S; Chelbi, E; El Cafsi, M; Mhadhbi, L</t>
  </si>
  <si>
    <t>Rabeh, Imen; Telahigue, Khaoula; Hajji, Tarek; Mdaini, Zied; Nechi, Salwa; Chelbi, Emna; El Cafsi, M'hamed; Mhadhbi, Lazhar</t>
  </si>
  <si>
    <t>Impacts of engineered iron nanoparticles on oxidative stress, fatty acid composition, and histo-architecture of the smooth scallop Flexopecten glaber</t>
  </si>
  <si>
    <t>Nanoecotoxicology; Metallic NPs; Bivalve; Oxidative stress biomarkers; Fatty acids; Histology</t>
  </si>
  <si>
    <t>MULTI-BIOMARKER APPROACH; OXIDE NANOPARTICLES; CHLAMYS-FARRERI; TOXICITY ASSESSMENT; SURFACE-MORPHOLOGY; LIPID-PEROXIDATION; MERCURY EXPOSURE; ZEROVALENT IRON; GILL FILAMENTS; PARTICLE-SIZE</t>
  </si>
  <si>
    <t>Engineered iron nanoparticles are widely used in environmental remediation, yet their potential toxic effects on marine biota remain poorly elucidated. This study aimed to gain insight into the nanoscale zero-valent iron (NZVI) toxicity mechanisms for marine invertebrates. Aside from the effect on oxidative status and histopathology, the effect of NZVI on lipid metabolism in bivalves was studied for the first time. To this end, specimens of Flexopecten glaber were exposed to ascending concentrations (0.5, 1, and 1.5 mg/L) of NZVI for 96 h. Results illustrate differential patterns of iron accumulation in the gills and the digestive gland. By increasing NZVI concentrations, the total iron level tended to markedly increase in the gills and decrease in the digestive gland, reaching 132 and 37.6 mu g/g DW, respectively, in the specimens exposed to 1.5 mg/L. Biochemical and cellular biomarkers highlighted that NZVI caused oxidative stress (measured as hydrogen peroxide, malondialdehyde, and advanced oxidation protein product levels) and alterations of antioxidant defense systems, including reduced glutathione, non-protein thiol, glutathione peroxidase, superoxide dismutase, and catalase. Modulation of lipid metabolism with changed fatty acid compositions (mainly an increase in the saturation and a decrease in unsaturation levels) was also observed in both gills and digestive gland. Moreover, several histological damages, including lipofuscin accumulation, infiltrative inflammations, and digestive tubule alterations, were observed in the two studied organs, providing supplementary evidence regarding the toxic effect of NZVI. This study adds to the growing body of evidence pointing to the hazardous impacts of iron NPs on aquatic ecosystems.</t>
  </si>
  <si>
    <t>[Rabeh, Imen; Telahigue, Khaoula; Mdaini, Zied; El Cafsi, M'hamed; Mhadhbi, Lazhar] Univ Tunis El Manar, Fac Sci Tunis, LR18ES41 Lab Ecol Biol &amp; Physiol Aquat Organisms, Tunis 2092, Tunisia; [Hajji, Tarek] Univ Manouba, Higher Inst Biotechnol Sidi Thabet, BVBGR LR11E531, Biotechpole Sidi Thabet, Ariana 2020, Tunisia; [Mdaini, Zied] Univ Quebec Rimouski, Inst Sci Mer Rimouski, 310 Allee Ursulines, Rimouski, PQ G5L 3A1, Canada; [Nechi, Salwa; Chelbi, Emna] Univ Tunis El Manar, CHU Mohamed Taher Maamouri Hosp, Anat &amp; Cytol Serv, Tunis 2092, Tunisia</t>
  </si>
  <si>
    <t>Universite de Tunis-El-Manar; Faculte des Sciences de Tunis (FST); Universite de la Manouba; Institut National de Recherche d'Analyse Physico-Chimique; University of Quebec; Universite du Quebec a Rimouski; Universite de Tunis-El-Manar</t>
  </si>
  <si>
    <t>Hajji, T (corresponding author), Univ Manouba, Higher Inst Biotechnol Sidi Thabet, BVBGR LR11E531, Biotechpole Sidi Thabet, Ariana 2020, Tunisia.</t>
  </si>
  <si>
    <t>tarek.hajji@isbst.uma.tn</t>
  </si>
  <si>
    <t>Hajji, Tarek/GYI-8952-2022</t>
  </si>
  <si>
    <t>telahigue, Khaoula/0000-0001-8841-9911; Hajji, Tarek/0000-0002-3869-8876</t>
  </si>
  <si>
    <t>University of Carthage (Laboratory of Hetero-Organic Compounds and Nanostructured Materials [LR18ES11]</t>
  </si>
  <si>
    <t>University of Carthage (Laboratory of Hetero-Organic Compounds and Nanostructured Materials</t>
  </si>
  <si>
    <t>The authors are thankful to the University of Carthage (Laboratory of Hetero-Organic Compounds and Nanostructured Materials (LR18ES11) for kindly providing iron nanoparticles. The authors also acknowledge the editor and the anonymous reviewers for their acceptance to review this work and their kind suggestions to improve the work.</t>
  </si>
  <si>
    <t>10.1007/s11356-022-21027-x</t>
  </si>
  <si>
    <t>5M5BS</t>
  </si>
  <si>
    <t>WOS:000810030800003</t>
  </si>
  <si>
    <t>Aleksandrov, SV</t>
  </si>
  <si>
    <t>Aleksandrov, S. V.</t>
  </si>
  <si>
    <t>Long-Term Changes in the Primary Production of Phytoplankton in the Ecosystem of the Vistula Lagoon of the Baltic Sea</t>
  </si>
  <si>
    <t>primary production; chlorophyll; trophic status; Vistula Lagoon; lagoon ecosystem</t>
  </si>
  <si>
    <t>TROPHIC STATUS; EUTROPHICATION; STATE</t>
  </si>
  <si>
    <t>The long-term (2001-2020) data of the primary production and abundance of phytoplankton (according to the concentration of chlorophyll a) in the Vistula Lagoon under significant ecosystem changes have been analyzed. The long-term dynamics is characterized by an increase in primary production to a hypertrophic level (&gt;450 g C/(m(2) year) in 2006-2010. After the intensive development of the bivalve filter-feeding mollusk Rangia cuneata, the primary production in 2011-2020 remained at the hypertrophic level, despite significant changes in the structure and abundance of phytoplankton. Average annual primary production in 2001-2020 was 60% higher than in 1974-1976. Primary production exceeds the mineralization of organic matter in water by 60%, which leads to the secondary eutrophication of the Vistula Lagoon and pollution of the Baltic Sea.</t>
  </si>
  <si>
    <t>[Aleksandrov, S. V.] Russian Acad Sci, Shirshov Inst Oceanol, Moscow, Russia; [Aleksandrov, S. V.] Immanuel Kant Baltic Fed Univ, Kaliningrad, Russia</t>
  </si>
  <si>
    <t>Russian Academy of Sciences; Shirshov Institute of Oceanology; Immanuel Kant Baltic Federal University</t>
  </si>
  <si>
    <t>Aleksandrov, SV (corresponding author), Russian Acad Sci, Shirshov Inst Oceanol, Moscow, Russia.;Aleksandrov, SV (corresponding author), Immanuel Kant Baltic Fed Univ, Kaliningrad, Russia.</t>
  </si>
  <si>
    <t>hydrobio@mail.ru</t>
  </si>
  <si>
    <t>Aleksandrov, Sergey/HKE-1619-2023</t>
  </si>
  <si>
    <t>Aleksandrov, Sergey/0000-0002-9389-6381</t>
  </si>
  <si>
    <t>Shirshov Institute of Oceanology, Russian Academy of Sciences [FMWE-2024-0025]; Immanuel Kant Baltic Federal University [FZWM-2023-0004]</t>
  </si>
  <si>
    <t>Shirshov Institute of Oceanology, Russian Academy of Sciences; Immanuel Kant Baltic Federal University</t>
  </si>
  <si>
    <t>The analysis of the long-term dynamics was carried out within the framework of the state assignment of the Shirshov Institute of Oceanology, Russian Academy of Sciences (topic no. FMWE-2024-0025); the analysis of the influence of environmental conditions was supported within the state assignment of the Immanuel Kant Baltic Federal University (topic no. FZWM-2023-0004).</t>
  </si>
  <si>
    <t>10.1134/S1995082924010036</t>
  </si>
  <si>
    <t>LL4P2</t>
  </si>
  <si>
    <t>WOS:001186945300007</t>
  </si>
  <si>
    <t>VELDHUIZENTSOERKAN, MB; HOLWERDA, DA; DEBONT, AMT; SMAAL, AC; ZANDEE, DI</t>
  </si>
  <si>
    <t>A FIELD-STUDY ON STRESS INDEXES IN THE SEA MUSSEL, MYTILUS-EDULIS - APPLICATION OF THE STRESS APPROACH IN BIOMONITORING</t>
  </si>
  <si>
    <t>HEAT-SHOCK; CELL-LINES; PROTEINS; CADMIUM; ELECTROPHORESIS; ACCUMULATION; SALINITY; EXPOSURE; GILL</t>
  </si>
  <si>
    <t>Sea mussels, Mytilus edulis, collected from a relatively unpolluted area of the Eastern Scheldt, were transplanted along contaminated sites of the Western Scheldt for 2 1/2 and 5 months. Several established stress indices were determined such as accumulation of pollutants, adenylate energy charge (AEC), and condition index. Following field exposure, mussels were also subjected to an additional lethal or sublethal stress. The data show that environmental exposure alters the mussel's response to stress, viz., aerial exposure and increased temperature, at the organismal (anoxic survival time), biochemical (AEC), and molecular (heat shock protein synthesis) level. The stress approach to assessment of environmental contamination appears to be a promising method to disclose early changes in the organism at a stage when conventional parameters (condition index, AEC) remain still unchanged.</t>
  </si>
  <si>
    <t>MINIST TRANSPORT &amp; PUBL WORKS,TIDAL WATERS DIV,4330 EA MIDDELBURG,NETHERLANDS</t>
  </si>
  <si>
    <t>VELDHUIZENTSOERKAN, MB (corresponding author), STATE UNIV UTRECHT,DEPT EXPTL ZOOL,8 PADUALAAN,3584 CH UTRECHT,NETHERLANDS.</t>
  </si>
  <si>
    <t>10.1007/BF01183870</t>
  </si>
  <si>
    <t>GM206</t>
  </si>
  <si>
    <t>WOS:A1991GM20600003</t>
  </si>
  <si>
    <t>Gergs, R; Schlag, L; Rothhaupt, KO</t>
  </si>
  <si>
    <t>Gergs, Rene; Schlag, Lena; Rothhaupt, Karl-Otto</t>
  </si>
  <si>
    <t>Different ammonia tolerances may facilitate spatial coexistence of Gammarus roeselii and the strong invader Dikerogammarus villosus</t>
  </si>
  <si>
    <t>Amphipod; Invasive species; Microhabitat distribution; Niche separation; Organic pollution; Refuge; Sublethal effects; Tolerance range</t>
  </si>
  <si>
    <t>FATTY-ACID-COMPOSITION; FRESH-WATER AMPHIPODS; ZEBRA MUSSELS; CRUSTACEA; TEMPERATURE; MACROINVERTEBRATES; STRATEGIES; TOXICITY; PATTERNS; FOSSARUM</t>
  </si>
  <si>
    <t>The introduction of invasive species that can replace native species is one of the most critical threats to the biodiversity of aquatic systems. Here we investigated the potential contribution of one factor to the coexistence of the indigenous amphipod Gammarus roeselii and the invasive amphipod Dikerogammarus villosus in the same ecosystem (Lake Constance) within different microhabitats. We quantitatively studied the influence of ambient ammonia concentrations on the distributions of the two amphipod species. We also assessed the ammonia tolerance ranges of both species in laboratory experiments by measuring mortality rate, precopula disruption, egg mortality, and microhabitat choice. The proportion of G. roeselii among the two amphipod species was significantly positively related to the ammonia concentration in the water, which indicated that the distribution of the invasive D. villosus was limited at high ammonia concentrations. Although the mortality rates of the two species did not significantly differ, G. roeselii was more tolerant to ammonia with regard to precopula disruption, egg mortality, and microhabitat choice. The effective ammonia concentrations that led to a significantly reduced direct reproductive success in D. villosus were within the range of the highest field concentrations measured, where only G. roeselii occurred. D. villosus may have a smaller range than the indigenous G. roeselii partially because of its lower tolerance to higher ammonia concentrations, which lead to reduced reproductive success. Beside other habitat parameters differences on ammonia tolerance between the two amphipods might allow their coexistence along a gradient of microhabitats in Lake Constance.</t>
  </si>
  <si>
    <t>[Gergs, Rene; Schlag, Lena; Rothhaupt, Karl-Otto] Univ Konstanz, Limnol Inst, D-78467 Constance, Germany</t>
  </si>
  <si>
    <t>University of Konstanz</t>
  </si>
  <si>
    <t>Gergs, R (corresponding author), Univ Koblenz Landau, Inst Environm Sci, D-76829 Landau, Germany.</t>
  </si>
  <si>
    <t>gergs@uni-landau.de</t>
  </si>
  <si>
    <t>Sahm (née Gergs), Rene/B-6962-2012</t>
  </si>
  <si>
    <t>Sahm (nee Gergs), Rene/0000-0001-8806-265X</t>
  </si>
  <si>
    <t>Collaborative Research Centre [SFB 454]; Young Scholar Fund of the University of Konstanz; research initiative Internano'' at the University of Koblenz-Landau</t>
  </si>
  <si>
    <t>Collaborative Research Centre; Young Scholar Fund of the University of Konstanz; research initiative Internano'' at the University of Koblenz-Landau</t>
  </si>
  <si>
    <t>We thank Andreas Martens and Andre Gergs for comments on the manuscript; Melanie Hartwich for help during the field sampling; Jasminca Behrmann-Godel for adopting RG in her working group, which enabled parts of this study; Karen Brune for editing the english language of the manuscript; and Christine Gebauer for ammonium measurements. This study was supported by the Collaborative Research Centre SFB 454 Littoral of Lake Constance'', the Young Scholar Fund of the University of Konstanz and the research initiative Internano'' at the University of Koblenz-Landau.</t>
  </si>
  <si>
    <t>10.1007/s10530-013-0408-0</t>
  </si>
  <si>
    <t>175WM</t>
  </si>
  <si>
    <t>WOS:000321264300012</t>
  </si>
  <si>
    <t>Yu, JL; He, H; Liu, ZW; Jeppesen, E; Chen, FZ; Zhang, YD</t>
  </si>
  <si>
    <t>Yu, Jinlei; He, Hu; Liu, Zhengwen; Jeppesen, Erik; Chen, Feizhou; Zhang, Yongdong</t>
  </si>
  <si>
    <t>Carbon Transfer from Cyanobacteria to Pelagic and Benthic Consumers in a Subtropical Lake: Evidence from a 13C Labelling Experiment</t>
  </si>
  <si>
    <t>stable isotope; subtropical; shallow lake; carbon flow; zooplankton; bivalves</t>
  </si>
  <si>
    <t>LARGE SHALLOW LAKE; FRESH-WATER; LONG-TERM; OSCILLATORIA-LIMNETICA; SUBMERGED MACROPHYTES; ALLOCHTHONOUS CARBON; STABLE-ISOTOPE; FOOD SOURCES; WHOLE-LAKE; TAIHU</t>
  </si>
  <si>
    <t>Eutrophication of lakes often results in dominance of cyanobacteria, which may potentially lead to serious blooms and toxic water. However, cyanobacterial detritus may act as an important carbon source for aquatic organisms. Using stable isotope carbon (C-13) as a tracer, we assessed the carbon transfer from cyanobacteria to pelagic and benthic consumers in a 28-day outdoor mesocosm (similar to 130 L) labelling experiment established in Lake Taihu, China, during a Microcystis aeruginosa bloom. The different organisms were labelled differently after addition of the labelled Microcystis detritus to the water. delta C-13 of particulate organic matter and of cladoceran zooplankton peaked earlier than for larger invertebrate consumers. Among the pelagic species, Daphnia similis had the highest Delta delta C-13, while the two snail species Radix swinhoei and Bellamya aeruginosa had lower but similar Delta delta C-13. The bivalves showed relatively modest changes in delta C-13. The delta C-13 of Anodonta woodiana and Unio douglasiae showed a marginal though not significant increase, while a marked increase occurred for Arconaia lanceolate peaking on day 20, and Corbicula fluminea a slight increase peaking on day 9. Our results suggest that carbon from cyanobacteria can be incorporated by pelagic and some benthic consumers and eventually be transferred to higher trophic levels. Cyanobacterial carbon may, therefore, be considered an important carbon source supporting the entire food web during blooms, even if the cyanobacteria are not consumed directly.</t>
  </si>
  <si>
    <t>[Yu, Jinlei; He, Hu; Liu, Zhengwen; Chen, Feizhou] Chinese Acad Sci, Nanjing Inst Geog &amp; Limnol, State Key Lab Lake Sci &amp; Environm, Nanjing 210008, Jiangsu, Peoples R China; [Liu, Zhengwen] Jinan Univ, Dept Ecol, Guangzhou 510630, Guangdong, Peoples R China; [Liu, Zhengwen] Jinan Univ, Inst Hydrobiol, Guangzhou 510630, Guangdong, Peoples R China; [Liu, Zhengwen; Jeppesen, Erik] Univ Chinese Acad Sci, Sino Danish Ctr Educ &amp; Res SDC, Beijing 100190, Peoples R China; [Jeppesen, Erik] Aarhus Univ, Dept Biosci, DK-8600 Silkeborg, Denmark; [Zhang, Yongdong] South China Normal Univ, Sch Geog, Guangzhou 510630, Guangdong, Peoples R China</t>
  </si>
  <si>
    <t>Chinese Academy of Sciences; Nanjing Institute of Geography &amp; Limnology, CAS; Jinan University; Chinese Academy of Sciences; Jinan University; Chinese Academy of Sciences; University of Chinese Academy of Sciences, CAS; Aarhus University; South China Normal University</t>
  </si>
  <si>
    <t>Yu, JL; Liu, ZW (corresponding author), Chinese Acad Sci, Nanjing Inst Geog &amp; Limnol, State Key Lab Lake Sci &amp; Environm, Nanjing 210008, Jiangsu, Peoples R China.;Liu, ZW (corresponding author), Jinan Univ, Dept Ecol, Guangzhou 510630, Guangdong, Peoples R China.;Liu, ZW (corresponding author), Jinan Univ, Inst Hydrobiol, Guangzhou 510630, Guangdong, Peoples R China.;Liu, ZW (corresponding author), Univ Chinese Acad Sci, Sino Danish Ctr Educ &amp; Res SDC, Beijing 100190, Peoples R China.</t>
  </si>
  <si>
    <t>jlyu@niglas.ac.cn; zliu@niglas.ac.cn</t>
  </si>
  <si>
    <t>LIU, LIYING/KAM-4121-2024; Jeppesen, Erik/O-2667-2019; Jeppesen, Erik/A-4463-2012</t>
  </si>
  <si>
    <t>Jeppesen, Erik/0000-0002-0542-369X; Yu, Jinlei/0000-0001-7846-4030</t>
  </si>
  <si>
    <t>National Key Research and Development Project [2017YFA0605201]; Major Science and Technology Program for Water Pollution Control and Treatment [2017ZX07203-004]; National Science Foundation of China [41877415]; NIGLAS 135 Project [NIGLAS2017GH01, NIGLAS2018GH04, NIGLAS2018GH03]; Science and Technology Service Network Initiative [KFJ-STS-ZDTP-038-3]; MARS project (Managing Aquatic ecosystems and water Resources under multiple Stress) under the 7th EU Framework Programme, Theme 6 (Environment including Climate Change) [603378]; Centre for Water Technology, Aarhus University; ANAEE, Denmark</t>
  </si>
  <si>
    <t>National Key Research and Development Project(National Key Research &amp; Development Program of China); Major Science and Technology Program for Water Pollution Control and Treatment; National Science Foundation of China(National Natural Science Foundation of China (NSFC)); NIGLAS 135 Project; Science and Technology Service Network Initiative; MARS project (Managing Aquatic ecosystems and water Resources under multiple Stress) under the 7th EU Framework Programme, Theme 6 (Environment including Climate Change); Centre for Water Technology, Aarhus University; ANAEE, Denmark</t>
  </si>
  <si>
    <t>This study was supported by the National Key Research and Development Project (2017YFA0605201), the Major Science and Technology Program for Water Pollution Control and Treatment (2017ZX07203-004), the National Science Foundation of China (41877415), NIGLAS 135 Project (NIGLAS2017GH01, NIGLAS2018GH04, NIGLAS2018GH03), and Science and Technology Service Network Initiative (KFJ-STS-ZDTP-038-3). E.J. was supported by the MARS project (Managing Aquatic ecosystems and water Resources under multiple Stress) funded under the 7th EU Framework Programme, Theme 6 (Environment including Climate Change, Contract No. 603378), Centre for Water Technology (watec.au.dk), Aarhus University, and ANAEE, Denmark (www.anaee.dk).</t>
  </si>
  <si>
    <t>10.3390/w11081536</t>
  </si>
  <si>
    <t>IV9CM</t>
  </si>
  <si>
    <t>WOS:000484561500011</t>
  </si>
  <si>
    <t>Arslan, P; Yurdakok-Dikmen, B; Ozeren, SC; Kuzukiran, O; Filazi, A</t>
  </si>
  <si>
    <t>Arslan, Pinar; Yurdakok-Dikmen, Begum; Ozeren, Saniye Cevher; Kuzukiran, Ozgur; Filazi, Ayhan</t>
  </si>
  <si>
    <t>In vitro effects of erythromycin and florfenicol on primary cell lines of Unio crassus and Cyprinus carpio</t>
  </si>
  <si>
    <t>Antibiotics; Carp; Cell line; Cytotoxicity; Ecotoxicity; Mussel</t>
  </si>
  <si>
    <t>MUSSEL MYTILUS-EDULIS; WASTE-WATER; DIGESTIVE GLAND; ACUTE TOXICITY; OXOLINIC ACID; ANTIBIOTICS; PHARMACEUTICALS; BIOACCUMULATION; ENVIRONMENT; CULTURE</t>
  </si>
  <si>
    <t>The ubiquitous use of antibiotics leads exposure of these chemicals on non-target aquatic species, while the toxicity assays for these chemicals are time/labor consuming and expensive. Alternative approaches using primary cell cultures which retain the tissue functionality at its highest form have received global attention compared to cell lines. In the current study, the cytotoxic effects of two commonly used antibiotics from amphenicol (florfenicol) and macrolide (erythromycin) groups were evaluated on primary cell cultures of Unio crassus (mantle, digestive gland, gill, and gonad) and Cyprinus carpio (gill and liver) using MTT and Neutral Red assays. The highest cytotoxic effects were found on the mussel digestive gland and carp liver cells for florfenicol and erythromycin, while the lowest cytotoxic effects were found in mussel mantle cells for both drugs in the MTT test. In the NR test, the highest cytotoxic effects of erythromycin and florfenicol were found in the mussel gill, mantle, gonad, and carp gill cells; the lowest cytotoxic effect of erythromycin was found in the mussel digestive gland, while the lowest effect of florfenicol was found in the carp liver cells. The cytotoxicity of florfenicol was quite low for the carp liver, while the cytotoxicity of erythromycin was quite low in the mussel digestive tract. Thus, it was concluded that cells made from mussel tissues could be used in ecotoxicity tests, and sensitivity may vary according to the tissue.</t>
  </si>
  <si>
    <t>[Arslan, Pinar] Cankiri Karatekin Univ, Fac Sci, Biol Dept, Cankiri, Turkey; [Yurdakok-Dikmen, Begum; Filazi, Ayhan] Ankara Univ, Dept Pharmacol &amp; Toxicol, Fac Vet Med, Ankara, Turkey; [Ozeren, Saniye Cevher] Ankara Univ, Fac Sci, Biol Dept, Ankara, Turkey; [Kuzukiran, Ozgur] Cankiri Karatekin Univ, Eldivan Vocat Sch Hlth Serv, Vet Dept, Cankiri, Turkey</t>
  </si>
  <si>
    <t>Cankiri Karatekin University; Ankara University; Ankara University; Cankiri Karatekin University</t>
  </si>
  <si>
    <t>Filazi, A (corresponding author), Ankara Univ, Dept Pharmacol &amp; Toxicol, Fac Vet Med, Ankara, Turkey.</t>
  </si>
  <si>
    <t>filazi@veterinary.ankara.edu.tr</t>
  </si>
  <si>
    <t>Arslan, Pınar/ABH-5854-2020; Filazi, Ayhan/AAA-7163-2019; OZEREN, SANIYE CEVHER/KMG-3784-2024; Kuzukiran, Ozgur/N-3744-2018</t>
  </si>
  <si>
    <t>Filazi, Ayhan/0000-0002-2800-6215; Kuzukiran, Ozgur/0000-0001-9294-2801</t>
  </si>
  <si>
    <t>Faculty of Veterinary Medicine in Ankara University; TUBITAK</t>
  </si>
  <si>
    <t>Faculty of Veterinary Medicine in Ankara University; TUBITAK(Turkiye Bilimsel ve Teknolojik Arastirma Kurumu (TUBITAK))</t>
  </si>
  <si>
    <t>This study was supported by the Faculty of Veterinary Medicine in Ankara University. Pinar Arslan was supported by TUBITAK under the 2211-National Ph.D. Fellowship Programme 2015/1.</t>
  </si>
  <si>
    <t>10.1007/s11356-021-14139-3</t>
  </si>
  <si>
    <t>UM4PL</t>
  </si>
  <si>
    <t>WOS:000645190100007</t>
  </si>
  <si>
    <t>Bebianno, MJ; Gonzalez-Rey, M; Gomes, T; Mattos, JJ; Flores-Nunes, F; Bainy, ACD</t>
  </si>
  <si>
    <t>Bebianno, M. J.; Gonzalez-Rey, M.; Gomes, T.; Mattos, J. J.; Flores-Nunes, F.; Bainy, A. C. D.</t>
  </si>
  <si>
    <t>Is gene transcription in mussel gills altered after exposure to Ag nanoparticles?</t>
  </si>
  <si>
    <t>Metal nanoparticles; Gene expression; Mussels; Ag nanoparticles</t>
  </si>
  <si>
    <t>SILVER NANOPARTICLES; CRASSOSTREA-VIRGINICA; EXPRESSION ANALYSIS; COPPER-OXIDE; BIOMARKERS; BIOACCUMULATION; TOXICITY; GOLD; PROOXIDANT; RESPONSES</t>
  </si>
  <si>
    <t>Nanotechnology is a rapid field of development with the enhancement of the production of different types of nanoparticles (NPs) applied in several industrial and commercial applications which increase the risk of their presence in the aquatic environment. Ag NPs have a wide application in everyday life products. However, there is concern about the exposure effects on aquatic organisms to these NPs. Therefore, this study aims to assess gene transcription alterations in mussels Mytilus galloprovincialis gills exposed for 2 weeks to Ag NPs (42 +/- 10 nm, 10 mu g.L-1). The genes were selected based on previous biomarkers and proteomic results and included superoxide dismutase (SOD), catalase (CAT), glutathione transferase (GST), caspase 3/7-1 (CAS), cathepsin L (CATH), heat-shock protein 70 (HSP 70), cytochrome P450 4YA (CYP 4YA), the elongation factor (EF1), actin and alpha- tubulin. No significant changes in gene transcription profiles were observed after exposure of M. galloprovincialis to Ag NPs for 15 days. The lack of significant gene transcription responses is in light with previous results obtained for mussels exposed to these NPs and may be related to the fact that enzyme kinetics and relative abundance of proteins (increase of antioxidant enzymes and metalllothioneins (MTs) with the time of exposure) do not always directly reflect their relative mRNA levels. Nevertheless, their overall expression maintenance may signify that, at end of the exposure period (15 days), the transcription of the respective genes is no longer required, pointing out to a possible adaptation effect to nanoparticles or due to the levels of Ag NPs accumulated in this tissue at this exposure time. This study highlights that gene transcription application and role as an additional and/or alternative end point approach is important to understand the mode of action of these emergent contaminants in aquatic organisms. However, in future studies, the time window needs to be adjusted, as genes are likely to respond earlier to the nanoparticle exposure.</t>
  </si>
  <si>
    <t>[Bebianno, M. J.; Gonzalez-Rey, M.; Gomes, T.] Univ Algarve, Marine &amp; Environm Res Ctr, CIMA, P-8000135 Faro, Portugal; [Mattos, J. J.; Flores-Nunes, F.; Bainy, A. C. D.] Univ Fed Santa Catarina, Dept Biochem, LABCAI, BR-88034257 Florianopolis, SC, Brazil</t>
  </si>
  <si>
    <t>Bebianno, MJ (corresponding author), Univ Algarve, Marine &amp; Environm Res Ctr, CIMA, Campus Gambelas, P-8000135 Faro, Portugal.</t>
  </si>
  <si>
    <t>Gomes, Tânia/X-7771-2019; Bainy, Afonso/J-6097-2012; Bebianno, Maria/L-3761-2014</t>
  </si>
  <si>
    <t>Joaquim Mattos, Jaco/0000-0002-8766-4285; Gonzalez-Rey, Maria/0000-0002-9343-8460; Bebianno, Maria/0000-0003-1492-8566; Bainy, Afonso/0000-0002-3885-7718</t>
  </si>
  <si>
    <t>EU project GENERA within the framework of the Marie Curie IRSES Actions (FP7-PEOPLE-IRSES) [247559]; Portuguese Foundation of Science and Technology (FCT) project NANOECOTOX [PTDC/AAC-AMB/121650/2010]; Portuguese Foundation of Science and Technology PhD Grant [SFRH/BD/41605/2007]; PVE-CNPq fellowship; CNPQ productivity fellowship; [1452-10-0]; Fundação para a Ciência e a Tecnologia [PTDC/AAC-AMB/121650/2010, SFRH/BD/41605/2007] Funding Source: FCT</t>
  </si>
  <si>
    <t>EU project GENERA within the framework of the Marie Curie IRSES Actions (FP7-PEOPLE-IRSES); Portuguese Foundation of Science and Technology (FCT) project NANOECOTOX; Portuguese Foundation of Science and Technology PhD Grant; PVE-CNPq fellowship; CNPQ productivity fellowship(Conselho Nacional de Desenvolvimento Cientifico e Tecnologico (CNPQ)); ; Fundação para a Ciência e a Tecnologia(Fundacao para a Ciencia e a Tecnologia (FCT))</t>
  </si>
  <si>
    <t>This research was funded by the EU project GENERA within the framework of the Marie Curie IRSES Actions (FP7-PEOPLE-2009-IRSES-Proposal no 247559) and by the Portuguese Foundation of Science and Technology (FCT) project NANOECOTOX (PTDC/AAC-AMB/121650/2010). T. Gomes was supported by a Portuguese Foundation of Science and Technology PhD Grant (SFRH/BD/41605/2007). FFN was a fellow doctoral PDEE (CAPES-Process 1452-10-0). MJB is a recipient of a PVE-CNPq fellowship and ACDB is a recipient of a CNPQ productivity fellowship.</t>
  </si>
  <si>
    <t>10.1007/s11356-015-5186-z</t>
  </si>
  <si>
    <t>WOS:000365423100015</t>
  </si>
  <si>
    <t>Mouneyrac, C; Geffard, A; Amiard, J; Amiard-Triquet, C</t>
  </si>
  <si>
    <t>Metallothionein-like proteins in Macoma balthica:: effects of metal exposure and natural factors</t>
  </si>
  <si>
    <t>OYSTERS CRASSOSTREA-GIGAS; SCALLOP MIZUHOPECTEN-YESSOENSIS; BINDING PROTEINS; CADMIUM ACCUMULATION; MOLECULAR WEIGHT; MYTILUS-EDULIS; BIOACCUMULATION; MERCURY; SILVER; CONTAMINATION</t>
  </si>
  <si>
    <t>Biological processes involved in the tolerance acquired by populations chronically exposed to metal pollution in the environment were examined in baltic clams (Macoma balthica) originating from both industrialized and clean areas and in clams exposed experimentally to metals. It has been shown previously that clams surviving Ag and Hg exposure at LT50 did not protect themselves by accumulating smaller amounts of metals than clams that failed to survive, so attention was focussed on the physicochemical forms of storage of the accumulated metals. Silver was found to be predominantly bound to insoluble forms and Cd and Hg to soluble forms. In both controls and contaminated clams, a metallothionein-like protein (MTLP) has been shown to be present, the concentrations of which did not depend on the geographical origin of the clams. The significant relationship between metal and MTLP concentrations shown in the baltic clams suggests that the induction of this protein could provide a useful tool for the biomonitoring of metal pollution. The influence of natural factors (season, weight), however, must be taken into account when interpreting such data.</t>
  </si>
  <si>
    <t>Univ Nantes, ISOMer, Fac Pharm, Serv Ecotoxicol, F-44035 Nantes 1, France; IRFA Dept Sci Vie &amp; Terre, Lab Ecol Anim, F-49100 Angers, France</t>
  </si>
  <si>
    <t>Univ Nantes, ISOMer, Fac Pharm, Serv Ecotoxicol, EA 2663,1 Rue Gaston Veil, F-44035 Nantes 1, France.</t>
  </si>
  <si>
    <t>amiard@sante.univ-nantes.fr</t>
  </si>
  <si>
    <t>10.1139/cjfas-57-1-34</t>
  </si>
  <si>
    <t>276GY</t>
  </si>
  <si>
    <t>WOS:000084870600005</t>
  </si>
  <si>
    <t>Zaoui, M; Sellami, B; Boufahja, F; Faloda, F; Nahdi, S; Alrezaki, A; Alwasel, S; Harrath, AH</t>
  </si>
  <si>
    <t>Zaoui, M.; Sellami, B.; Boufahja, F.; Faloda, F.; Nahdi, S.; Alrezaki, A.; Alwasel, S.; Harrath, A. H.</t>
  </si>
  <si>
    <t>Effects of ferroelectric oxides of barium strontium titanate (Ba0.85Sr0.15TiO3) nanoparticles on Ruditapes decussatus assessed through chemical, physiological, and biochemical methods</t>
  </si>
  <si>
    <t>Ferroelectric oxide; Barium strontium titanate; Ruditapes decussatus; Clearance rate; Biochemical biomarkers</t>
  </si>
  <si>
    <t>EXPOSURE-DOSE-RESPONSE; MYTILUS-GALLOPROVINCIALIS; OXIDATIVE STRESS; ANADARA-TRAPEZIA; ACETYLCHOLINESTERASE ACTIVITY; ENVIRONMENTAL-POLLUTION; CORBICULA-FLUMINEA; TIO2 NANOPARTICLES; CRASSOSTREA-GIGAS; CELLULAR STRESS</t>
  </si>
  <si>
    <t>Here, the effects of a newly designed ferroelectric oxide synthesized by solid reaction, barium strontium titanate [BST (85/15)1 (Ba0.85Sr0.15TiO3), on the carpet shell clam Ruditapes decussatus were investigated. These clams were exposed to four concentrations of BST (85/15) nanoparticles (0.001, 0.01, 0.1, and 1 mg.L-1), and BST (85/15) was absorbed by R. decussatus in an exposure intensity-dependent manner. Measurements of clearance rate and biomarkers confirmed that the nanoparticles significantly affected the health of clams in an organ-dependent manner. Interestingly, BST (85/15) nanoparticles stimulated acetylcholinesterase (AChE) activity in the clams, suggesting their usefulness as antagonists of AChE inhibiting pollutants. These findings demonstrate the suitability of R. decussatus as a test organism to provide a framework for understanding the toxicological effects of these newly designed ferroelectrics. Moreover, concentrations of BST (85/15) &lt; 0.1 mg.L-1 could be good alternatives to lead-based ferroelectric oxides and could be sustainable tools for use in electronic applications. (C) 2020 Elsevier Ltd. All rights reserved.</t>
  </si>
  <si>
    <t>[Zaoui, M.; Sellami, B.; Boufahja, F.] Univ Carthage, Fac Sci Bizerte, Coastal Ecol &amp; Ecotoxicol Unit, Lab Environm Biomonitoring, Zarzouna 7021, Tunisia; [Faloda, F.; Nahdi, S.; Alrezaki, A.; Alwasel, S.; Harrath, A. H.] King Saud Univ, Coll Sci, Zool Dept, Box 2455, Riyadh 11451, Saudi Arabia</t>
  </si>
  <si>
    <t>Universite de Carthage; King Saud University</t>
  </si>
  <si>
    <t>Harrath, AH (corresponding author), King Saud Univ, Coll Sci, Zool Dept, Box 2455, Riyadh 11451, Saudi Arabia.</t>
  </si>
  <si>
    <t>hharrath@ksu.edu.sa</t>
  </si>
  <si>
    <t>Alrezaki, Abdulkarem/AAX-9811-2021; Harrath, Abdel Halim/K-2166-2014</t>
  </si>
  <si>
    <t>Harrath, Abdel Halim/0000-0002-2170-1303</t>
  </si>
  <si>
    <t>Deputyship for Research &amp; Innovation, Ministry of Education in Saudi Arabia [IFKSUHI-164]</t>
  </si>
  <si>
    <t>Deputyship for Research &amp; Innovation, Ministry of Education in Saudi Arabia</t>
  </si>
  <si>
    <t>The authors extend their appreciation to the Deputyship for Research &amp; Innovation, Ministry of Education in Saudi Arabia for funding this research work through the project number IFKSUHI-164.</t>
  </si>
  <si>
    <t>10.1016/j.chemosphere.2020.129078</t>
  </si>
  <si>
    <t>WOS:000603465000059</t>
  </si>
  <si>
    <t>Hashim, NH; Mohamat-Yusuff, F; Joni, AA; Kusin, FM; Mohamed, KN; Zulkeflee, Z; Asha'ari, ZH; Zulkifli, SZ</t>
  </si>
  <si>
    <t>Hashim, Nurul Hazwani; Mohamat-Yusuff, Ferdaus; Joni, Amirul Azuan; Mohd Kusin, Faradiella; Mohamed, Khairul Nizam; Zulkeflee, Zufarzaana; Asha'ari, Zulfa Hanan; Zahmir Zulkifli, Syaizwan</t>
  </si>
  <si>
    <t>Determination of Median Lethal Concentration (LC50) and Nitrite Accumulation in the Blood and Tissue of Blood Cockle (Tegillarca granosa, Linnaeus 1758)</t>
  </si>
  <si>
    <t>blood cockle; bivalves; bio-accumulator; nitrite; toxicity; pollution</t>
  </si>
  <si>
    <t>DRINKING-WATER; TOLERANCE; FISH; METHEMOGLOBINEMIA; EXPOSURE; AMMONIA; SENSITIVITY; TOXICITY; GROWTH; SIZE</t>
  </si>
  <si>
    <t>This study aimed to determine the nitrite toxicity of blood cockleTegillarca granosa, with the objectives being to identify the median lethal concentration (LC50) and the accumulation level of nitrite inTegillarca granosa, and to determine the relationship of nitrite accumulation with mortality percentage. The levels of LC50 and accumulation of nitrite were determined after 72 h of exposure to different nitrite concentrations (0, 0.5, 1.0, 1.5, and 2.0 mg/L). Nitrite accumulation was analysed using Method 8153 and a DR2800 spectrophotometer (HACH, Loveland, CO, USA). LC50 was identified at 1.53 mg/L, and nitrite accumulated in the ranges of 0.012 to 0.106 mg/L wet weight and 0.002 to 0.089 mg/L wet weight in the blood and soft tissue samples, respectively. Accumulation concentration in both tissue and blood cells increased proportionally with the exposure concentration, and had a strong positive relationship with the percentage of mortality. Our findings suggest that prolonged exposure of nitrite led to accumulation in the blood and tissues and caused cockle mortality.</t>
  </si>
  <si>
    <t>[Hashim, Nurul Hazwani; Mohamat-Yusuff, Ferdaus; Joni, Amirul Azuan; Mohd Kusin, Faradiella; Mohamed, Khairul Nizam; Zulkeflee, Zufarzaana; Asha'ari, Zulfa Hanan] Univ Putra Malaysia, Fac Forestry &amp; Environm, Dept Environm, Upm Serdang 43400, Selangor, Malaysia; [Mohamat-Yusuff, Ferdaus; Zahmir Zulkifli, Syaizwan] Univ Putra Malaysia, Int Inst Aquaculture &amp; Aquat Sci I AQUAS, Jalan Kemang 6,Batu 7, Port Dickson 71050, Negeri Sembilan, Malaysia; [Zahmir Zulkifli, Syaizwan] Univ Putra Malaysia, Dept Biol, Fac Sci, Upm Serdang 43400, Selangor, Malaysia</t>
  </si>
  <si>
    <t>Universiti Putra Malaysia; Universiti Putra Malaysia; Universiti Putra Malaysia</t>
  </si>
  <si>
    <t>Mohamat-Yusuff, F (corresponding author), Univ Putra Malaysia, Fac Forestry &amp; Environm, Dept Environm, Upm Serdang 43400, Selangor, Malaysia.;Mohamat-Yusuff, F (corresponding author), Univ Putra Malaysia, Int Inst Aquaculture &amp; Aquat Sci I AQUAS, Jalan Kemang 6,Batu 7, Port Dickson 71050, Negeri Sembilan, Malaysia.</t>
  </si>
  <si>
    <t>nurulhazwani1009@gmail.com; ferdius@upm.edu.my; nauza9176@gmail.com; faradiella@upm.edu.my; k_nizam@upm.edu.my; zufarzaana@upm.edu.my; zulfa@upm.edu.my; syaizwan@upm.edu.my</t>
  </si>
  <si>
    <t>Zulkeflee, Zufarzaana/U-8015-2019; Mohamed, Khairul/AAP-4920-2021; Mohd Kusin, Faradiella/G-6384-2011; Zulkifli, Syaizwan Zahmir/L-8335-2013</t>
  </si>
  <si>
    <t>Mohd Kusin, Faradiella/0000-0002-6078-6063; Ash'aari, Zulfa Hanan/0000-0002-9500-1342; Zulkifli, Syaizwan Zahmir/0000-0001-5822-7273; Md Joni, Amirul Azuan/0000-0002-9827-9163</t>
  </si>
  <si>
    <t>Fundamental Research Grant Scheme; Malaysian Ministry of Higher Education [5540018]</t>
  </si>
  <si>
    <t>Fundamental Research Grant Scheme; Malaysian Ministry of Higher Education</t>
  </si>
  <si>
    <t>This research was funded by Fundamental Research Grant Scheme 2017 (FRGS 2017), granted by the Malaysian Ministry of Higher Education, with the grant number 5540018.</t>
  </si>
  <si>
    <t>10.3390/w12082197</t>
  </si>
  <si>
    <t>NL8TN</t>
  </si>
  <si>
    <t>WOS:000567681700001</t>
  </si>
  <si>
    <t>Zuloaga, O; Prieto, A; Usobiaga, A; Sarkar, SK; Chatterjee, M; Bhattacharya, BD; Bhattacharya, A; Alam, MA; Satpathy, KK</t>
  </si>
  <si>
    <t>Zuloaga, O.; Prieto, A.; Usobiaga, A.; Sarkar, S. K.; Chatterjee, M.; Bhattacharya, B. D.; Bhattacharya, A.; Alam, Md. A.; Satpathy, K. K.</t>
  </si>
  <si>
    <t>Polycyclic Aromatic Hydrocarbons in Intertidal Marine Bivalves of Sunderban Mangrove Wetland, India: An Approach to Bioindicator Species</t>
  </si>
  <si>
    <t>Aromatic hydrocarbons; Mollusks; Bioindicators; Bioaccumulation; Sediments; Indian Sunderban</t>
  </si>
  <si>
    <t>ORGANIC CONTAMINANTS; TRACE-ELEMENTS; CHEMICAL CONCENTRATIONS; SEDIMENT CONTAMINATION; PERNA-PERNA; OIL-SPILL; BAY; MYTILUS; COAST; PAH</t>
  </si>
  <si>
    <t>The paper presents the first comprehensive account of congener profiles of polycyclic aromatic hydrocarbons (PAHs) in intertidal bivalve mollusks [Meretrix meretrix, Macoma birmanica, and Sanguilonaria (Soletellina) acuminata] of Sunderban mangrove wetland (India). The main aim of this work was to use the bivalves as bioindicators of the contamination of the 16 USEPA PAH. The PAH profile in bivalves is largely dominated by a petrogenic fingerprint, with over-imposition of pyrolytic PAH sources, as evidenced by diagnostic molecular ratios. Bioaccumulation factors (BAF) of individual compounds from the sediments were calculated, and it reveals overall higher values in the visceral mass of the bivalves. S acuminata showed significantly higher levels of PAHs, especially the high molecular weight (HMW) PAHs, compared to the other two species as a sensitive indicator of trace organic stress in future monitoring programs.</t>
  </si>
  <si>
    <t>[Sarkar, S. K.; Chatterjee, M.; Bhattacharya, B. D.; Bhattacharya, A.; Alam, Md. A.] Univ Calcutta, Dept Marine Sci, Kolkata 700019, W Bengal, India; [Zuloaga, O.; Prieto, A.; Usobiaga, A.] Euskal Herr Uninbersitatea, Kim Analit Saila, E-48080 Bilbao, Spain; [Satpathy, K. K.] Indira Gandhi Ctr Atom Res, Environm &amp; Ind Safety Sect, Safety Grp, Kalpakkam 603102, Tamil Nadu, India</t>
  </si>
  <si>
    <t>University of Calcutta; University of Basque Country; Indira Gandhi Centre for Atomic Research (IGCAR)</t>
  </si>
  <si>
    <t>Usobiaga, Aresatz/C-4085-2017; ZULOAGA ZUBIETA, OLATZ/Y-6497-2018; Alam, Mohammed/D-2547-2012; Prieto Sobrino, Ailette/Y-6705-2018</t>
  </si>
  <si>
    <t>Usobiaga, Aresatz/0000-0002-1876-2973; ZULOAGA ZUBIETA, OLATZ/0000-0002-3614-6293; Alam, Mohammed/0000-0001-8089-6721; Prieto Sobrino, Ailette/0000-0002-4660-7188</t>
  </si>
  <si>
    <t>Council of Scientific and Industrial Research (CSIR), New Delhi, India [24(0276)/05/EMR-II]; CSIR</t>
  </si>
  <si>
    <t>Council of Scientific and Industrial Research (CSIR), New Delhi, India(Council of Scientific &amp; Industrial Research (CSIR) - India); CSIR(Council of Scientific &amp; Industrial Research (CSIR) - India)</t>
  </si>
  <si>
    <t>The work was financially supported by a research project entitled Concentration of heavy metals in sediment profiles of Sunderban mangrove environment, northeast India (Sanction No: 24(0276)/05/EMR-II) funded by Council of Scientific and Industrial Research (CSIR), New Delhi, India. One of the authors ( M. Chatterjee) is grateful to CSIR for awarding her SRF.</t>
  </si>
  <si>
    <t>10.1007/s11270-008-9946-y</t>
  </si>
  <si>
    <t>457LD</t>
  </si>
  <si>
    <t>WOS:000266928600026</t>
  </si>
  <si>
    <t>Boufafa, M; Kadri, S; Redder, P; Bensouilah, M</t>
  </si>
  <si>
    <t>Boufafa, Mouna; Kadri, Skander; Redder, Peter; Bensouilah, Mourad</t>
  </si>
  <si>
    <t>Occurrence and distribution of fecal indicators and pathogenic bacteria in seawater and Perna perna mussel in the Gulf of Annaba (Southern Mediterranean)</t>
  </si>
  <si>
    <t>Bacterial contamination; Mediterranean coastal waters; Gulf of Annaba; Fecal indicators; Perna perna; Potentially pathogenic bacteria</t>
  </si>
  <si>
    <t>RESISTANT STAPHYLOCOCCUS-AUREUS; BIOMONITORING COASTAL WATERS; HEAVY-METALS; TRACE-METALS; ENVIRONMENTAL VARIABLES; SEQUENCE-ANALYSIS; DONAX-TRUNCULUS; IDENTIFICATION; CONTAMINATION; MARINE</t>
  </si>
  <si>
    <t>The identification of fecal contamination in coastal marine ecosystems is one of the main requirements for evaluation of potential risks to human health. The objective of this study was to investigate the occurrence and distribution of fecal indicators and pathogenic bacteria in seawaters and mussels collected monthly during a period of 1 year from four different sites in Northeastern Algeria (sites S1 to S4), through biochemical and molecular analyses. Our research is the first to use molecular analysis to unambiguously identify the potentially pathogenic bacteria present in Algerian Perna perna mussels. The obtained results revealed that the levels of fecal indicator bacteria (FIB) from both P. perna and seawater samples largely exceeded the permissible limits at S2 and S3. This is mainly related to their location close to industrial and coastal activity zones, which contain a mixture of urban, agricultural, and industrial pollutants. Besides, P. perna collected from all sites were severalfold more contaminated by FIB than seawater samples, primarily during the warm season of the study period. Biochemical and molecular analyses showed that isolated bacteria from both seawater and mussels were mainly potentially pathogenic species such as E. coli, Salmonella spp., Staphylococcus spp., Klebsiella spp., Pseudomonas spp., and Proteus spp.</t>
  </si>
  <si>
    <t>[Boufafa, Mouna; Kadri, Skander; Bensouilah, Mourad] Badji Moukhtar Univ, Fac Sci, Lab Ecobiol Marine Environm &amp; Coastlines, BP 12, Annaba 23000, Algeria; [Redder, Peter] Univ Paul Sabatier, Ctr Biol Integrat, Lab Microbiol &amp; Genet Mol, 118 Route Narbonne, F-31062 Toulouse, France</t>
  </si>
  <si>
    <t>Universite de Toulouse; Universite Toulouse III - Paul Sabatier; Centre National de la Recherche Scientifique (CNRS)</t>
  </si>
  <si>
    <t>Boufafa, M (corresponding author), Badji Moukhtar Univ, Fac Sci, Lab Ecobiol Marine Environm &amp; Coastlines, BP 12, Annaba 23000, Algeria.;Redder, P (corresponding author), Univ Paul Sabatier, Ctr Biol Integrat, Lab Microbiol &amp; Genet Mol, 118 Route Narbonne, F-31062 Toulouse, France.</t>
  </si>
  <si>
    <t>mouna_boufafa@yahoo.fr; peter.redder@univ-tlse3.fr</t>
  </si>
  <si>
    <t>BOUFAFA, MOUNA/0000-0002-1837-3425; BENSOUILAH, Mourad/0000-0002-9574-5915; Redder, Peter/0000-0002-3619-632X</t>
  </si>
  <si>
    <t>General Directorate for Scientific Research and Technological Development (DGRSDT), Algeria; Paul Sabatier University, Laboratoire de Microbiologie et Genetique Moleculaires [UMR5100]; Paul Sabatier University, Centre de Biologie Integrative</t>
  </si>
  <si>
    <t>General Directorate for Scientific Research and Technological Development (DGRSDT), Algeria; Paul Sabatier University, Laboratoire de Microbiologie et Genetique Moleculaires; Paul Sabatier University, Centre de Biologie Integrative</t>
  </si>
  <si>
    <t>This work was supported by the General Directorate for Scientific Research and Technological Development (DGRSDT), Algeria. Paul Sabatier University, Laboratoire de Microbiologie et GenetiqueMoleculaires (UMR5100) and Centre de Biologie Integrative.</t>
  </si>
  <si>
    <t>10.1007/s11356-021-13978-4</t>
  </si>
  <si>
    <t>UC7QK</t>
  </si>
  <si>
    <t>WOS:000642062400003</t>
  </si>
  <si>
    <t>Li, J; Fan, QH; Wu, YJ; Wang, XX; Chen, CL; Tang, ZY; Wang, XK</t>
  </si>
  <si>
    <t>Li, Jie; Fan, Qiaohui; Wu, Yijin; Wang, Xiangxue; Chen, Changlun; Tang, Zhiyong; Wang, Xiangke</t>
  </si>
  <si>
    <t>RETRACTED: Magnetic polydopamine decorated with Mg-Al LDH nanoflakes as a novel bio-based adsorbent for simultaneous removal of potentially toxic metals and anionic dyes (Retracted article. See vol. 11, pg. 461, 2022)</t>
  </si>
  <si>
    <t>LAYERED DOUBLE HYDROXIDE; MUSSEL-INSPIRED POLYDOPAMINE; GRAPHENE OXIDE NANOSHEETS; HEAVY-METAL; EFFICIENT REMOVAL; WASTE-WATER; ADSORPTION; ACID; NANOPARTICLES; NANOCRYSTALS</t>
  </si>
  <si>
    <t>Potentially toxic metals and dyes commonly coexist in industrial wastewaters, posing a serious threat to public health and the environment and making the treatment more challenging. Herein, we report a novel magnetic polydopamine (PDA)-LDH (MPL) bifunctional material, which is fabricated by an easy and green approach for the simultaneous removal of potentially toxic metals and anionic dyes. In this assembly, both PDA and LDHs are expected to capture these pollutants. In a mono-component system, the removal behaviors showed heterogeneous removal capacities of 75.01, 624.89 and 584.56 mg g(-1) for Cu(II), methyl orange (MO) and Congo red (CR), respectively. Interestingly, the presence of CR and MO enhanced the removal of Cu(II) significantly in the Cu(II)-dye binary system. However, the presence of Cu(II) had no significant effect on dyes. Based on the characterization results including X-ray diffraction (XRD) analysis, Fourier transformed infrared (FT-IR) spectroscopy, X-ray photoelectron spectroscopy (XPS) and elemental mapping, the removal of Cu(II) was mainly controlled by bonding with surface functional groups (hydroxyl, catechol, imine and amine groups), coupled with isomorphic substitution and surface precipitation. In summary, such a green and facile synthesis method, efficient removal performance and superior reusability suggest that the MPL assemblies have practical application potential for integrative and efficient treatment of coexisting toxic pollutants.</t>
  </si>
  <si>
    <t>[Li, Jie; Wang, Xiangxue; Wang, Xiangke] North China Elect Power Univ, Sch Environm &amp; Chem Engn, Beijing 102206, Peoples R China; [Fan, Qiaohui] Chinese Acad Sci, Inst Geol &amp; Geophys, Key Lab Petr Resources, Gansu Prov Key Lab Petr Resources Res, Lanzhou 730000, Peoples R China; [Li, Jie; Wu, Yijin; Wang, Xiangxue; Tang, Zhiyong] Natl Ctr Nanoscience &amp; Technol, Lab Nanomat, Beijing 100190, Peoples R China; [Li, Jie; Wang, Xiangxue; Chen, Changlun] Chinese Acad Sci, Inst Plasma Phys, Key Lab Novel Thin Film Solar Cells, Hefei 230031, Peoples R China; [Wang, Xiangke] Soochow Univ, Sch Radiol &amp; Interdisciplinary Sci, Collaborat Innovat Ctr Radiat Med Jiangsu Higher, Suzhou 215123, Peoples R China; [Wang, Xiangke] King Abdulaziz Univ, NAAM Res Grp, Fac Sci, Jeddah 21589, Saudi Arabia</t>
  </si>
  <si>
    <t>North China Electric Power University; Chinese Academy of Sciences; Institute of Geology &amp; Geophysics, CAS; Chinese Academy of Sciences; National Center for Nanoscience &amp; Technology, CAS; Chinese Academy of Sciences; Hefei Institutes of Physical Science, CAS; Soochow University - China; King Abdulaziz University</t>
  </si>
  <si>
    <t>Wang, XK (corresponding author), North China Elect Power Univ, Sch Environm &amp; Chem Engn, Beijing 102206, Peoples R China.;Tang, ZY (corresponding author), Natl Ctr Nanoscience &amp; Technol, Lab Nanomat, Beijing 100190, Peoples R China.</t>
  </si>
  <si>
    <t>zytang@nanoctr.cn; xkwang@ncepu.edu.cn</t>
  </si>
  <si>
    <t>Wang, Xiangke/Y-3739-2019; tang, zhiyong/A-8563-2008; chen, zhang lun/H-9177-2012</t>
  </si>
  <si>
    <t>chen, zhang lun/0000-0003-1636-2412</t>
  </si>
  <si>
    <t>National Natural Science Foundation of China [21577032, 21225730, 91326202, 21207135, 41273134]; Priority Academic Program Development of Jiangsu Higher Education Institutions; Collaborative Innovation Center of Radiation Medicine of Jiangsu Higher Education Institutions; Fundamental Research Funds for the Central Universities [JB2015001]</t>
  </si>
  <si>
    <t>National Natural Science Foundation of China(National Natural Science Foundation of China (NSFC)); Priority Academic Program Development of Jiangsu Higher Education Institutions; Collaborative Innovation Center of Radiation Medicine of Jiangsu Higher Education Institutions; Fundamental Research Funds for the Central Universities(Fundamental Research Funds for the Central Universities)</t>
  </si>
  <si>
    <t>This work was supported by the National Natural Science Foundation of China (Grant nos. 21577032, 21225730, 91326202, 21207135, and 41273134), the Priority Academic Program Development of Jiangsu Higher Education Institutions, the Collaborative Innovation Center of Radiation Medicine of Jiangsu Higher Education Institutions, and the Fundamental Research Funds for the Central Universities (JB2015001).</t>
  </si>
  <si>
    <t>10.1039/c5ta09132b</t>
  </si>
  <si>
    <t>DB9MC</t>
  </si>
  <si>
    <t>WOS:000368839200025</t>
  </si>
  <si>
    <t>Ambrosio, L; Russo, R; Salzano, AM; Serpe, FP; Ariano, A; De Tommasi, N; Dal Piaz, F; Severino, L</t>
  </si>
  <si>
    <t>Ambrosio, Letizia; Russo, Rosario; Salzano, Anna Maria; Serpe, Francesco Paolo; Ariano, Andrea; De Tommasi, Nunziatina; Dal Piaz, Fabrizio; Severino, Lorella</t>
  </si>
  <si>
    <t>Accumulation of Polychlorinated Biphenyls in Mussels: A Proteomic Study</t>
  </si>
  <si>
    <t>Food control; Mytilus galloprovincialis; Polychlorinated biphenyls; Proteomics</t>
  </si>
  <si>
    <t>MOLECULAR BIOMARKERS ACETYLCHOLINESTERASE; PROTEIN EXPRESSION SIGNATURES; GLUTATHIONE-S-TRANSFERASE; MYTILUS-GALLOPROVINCIALIS; MASS-SPECTROMETRY; HEAVY-METALS; FOOD; BIOACCUMULATION; PEROXIDASE; POLLUTANTS</t>
  </si>
  <si>
    <t>Polychlorinated biphenyls (PCBs) are environmental pollutants of industrial origin that can contaminate food, mainly food of animal origin. Although production of PCBs has been banned in many countries since the 1980s, they are still present in the environment and are considered dangerous pollutants for human health. In fact, they can bioaccumulate in living organisms such as marine organisms because of their chemical and physical properties. New analytical approaches are useful to monitor the presence of such contaminants in seafood products and in the environment. In this work, we evaluate changes in protein expression of Mytilus galloprovincialis (Lam.) experimentally exposed to a PCB mixture and identify chemically specific protein expression signatures by using a proteomic approach. In particular, we identify 21 proteins whose levels of expression are sensibly modified after 3 weeks of exposure. The present work shows that a proteomic approach can be a useful tool to study alterations of protein expression in mussels exposed to PCBs and represents a first step toward the development of screening protocols to be used for biomonitoring surveys of fishery products.</t>
  </si>
  <si>
    <t>[Ambrosio, Letizia; Russo, Rosario; Serpe, Francesco Paolo; Ariano, Andrea; Severino, Lorella] Univ Naples Federico II, Dipartimento Med Vet &amp; Prod Anim, Settore Tossicol, Via F Delpino 1, I-80137 Naples, Italy; [Ambrosio, Letizia; De Tommasi, Nunziatina; Dal Piaz, Fabrizio] Univ Salerno, Dipartimento Farm, Via Giovanni Paolo 2, I-84084 Fisciano, Italy; [Salzano, Anna Maria] CNR, Inst Anim Prod Syst Mediterranean Environm, Via Argine 1085, I-80147 Naples, Italy</t>
  </si>
  <si>
    <t>University of Naples Federico II; University of Salerno; Consiglio Nazionale delle Ricerche (CNR); Istituto Per Il Sistema Produzione Animale In Ambiente Mediterraneo (ISPAAM-CNR)</t>
  </si>
  <si>
    <t>Severino, L (corresponding author), Univ Naples Federico II, Dipartimento Med Vet &amp; Prod Anim, Settore Tossicol, Via F Delpino 1, I-80137 Naples, Italy.</t>
  </si>
  <si>
    <t>lorella.severino@unina.it</t>
  </si>
  <si>
    <t>Dal Piaz, Fabrizio/D-1843-2010; De Tommasi, Nunziatina/A-7768-2011; Salzano, Anna/C-7139-2012</t>
  </si>
  <si>
    <t>salzano, anna maria/0000-0001-7192-8760</t>
  </si>
  <si>
    <t>10.4315/0362-028X.JFP-17-148</t>
  </si>
  <si>
    <t>FW2YB</t>
  </si>
  <si>
    <t>WOS:000425170300023</t>
  </si>
  <si>
    <t>BORSETH, JF; AUNAAS, T; DENSTAD, JP; NORDTUG, T; OLSEN, AJ; SCHMID, R; SKJAERVO, G; ZACHARIASSEN, KE</t>
  </si>
  <si>
    <t>TRANSMEMBRANE SODIUM ENERGY GRADIENT AND CALCIUM CONTENT IN THE ADDUCTOR MUSCLE OF MYTILUS-EDULIS-L IN RELATION TO THE TOXICITY OF OIL AND ORGANIC-CHEMICALS</t>
  </si>
  <si>
    <t>MYTILUS EDULIS; OIL; TOXICITY TESTING; SODIUM GRADIENT; CELLULAR CALCIUM</t>
  </si>
  <si>
    <t>POLLUTANTS; MUSSELS</t>
  </si>
  <si>
    <t>The electrochemical potential difference of sodium (sodium gradient) across cell membranes is the energy source of a number of important cellular functions, and failure to maintain the gradient is likely to affect these functions. The present investigation shows that the normal value of the gradient in the posterior adductor muscle of the blue mussel is about 10 000 J/mol, but a number of organic chemical compounds (oil, oil dispersants, formaldehyde and benzene) cause the value to drop. subsequently, these compounds also lead to death among the animals. The results show furthermore that the mussels tolerate a moderate reduction of the sodium gradient, and that after moderate reductions the gradient returns to its normal value when the animals are transferred to clean sea water. However, if the sodium gradient drops below a value of about 6000 J/mol, the reversibility of the gradient depression seems to be lost, in that the sodium gradient in this case continues to fall even when the animals are transferred to clean seawater. In this situation the animals are moribund. The reduction in the sodium gradient is accompanied by a marked increase in the cellular content of calcium, which may be the direct cause of cellular death. The transmembrane sodium gradient and the cellular calcium content may have an interesting application as parameters for ecologically relevant evaluation of the toxicity of environmental pollutants.</t>
  </si>
  <si>
    <t>ALLFORSK,DEPT ECOTOXICOL,N-7055 DRAGVOLL,NORWAY; UNIV TRONDHEIM,AVH,DEPT ZOOL,N-7055 DRAGVOLL,NORWAY; UNIV TRONDHEIM,AVH,DEPT CHEM,N-7055 DRAGVOLL,NORWAY</t>
  </si>
  <si>
    <t>10.1016/0166-445X(94)00072-X</t>
  </si>
  <si>
    <t>QN190</t>
  </si>
  <si>
    <t>WOS:A1995QN19000007</t>
  </si>
  <si>
    <t>Barhoumi, B; El Megdiche, Y; Clérandeau, C; Ben Ameur, W; Mekni, S; Bouabdallah, S; Derouiche, A; Touil, S; Cachot, J; Driss, MR</t>
  </si>
  <si>
    <t>Barhoumi, Badreddine; El Megdiche, Yassine; Clerandeau, Christelle; Ben Ameur, Walid; Mekni, Sabrine; Bouabdallah, Sondes; Derouiche, Abdelkader; Touil, Soufiane; Cachot, Jerome; Driss, Mohamed Ridha</t>
  </si>
  <si>
    <t>Occurrence of polycyclic aromatic hydrocarbons (PAHs) in mussel (Mytilus galloprovincialis) and eel (Anguilla anguilla) from Bizerte lagoon, Tunisia, and associated human health risk assessment</t>
  </si>
  <si>
    <t>PAHs; Bioaccumulation; Mediterranean mussels; European eels; Risks for human consumption; Bizerte lagoon</t>
  </si>
  <si>
    <t>POLYBROMINATED DIPHENYL ETHERS; PERSISTENT ORGANIC POLLUTANTS; MULLET MUGIL-CEPHALUS; SOUTH CENTRAL CHILE; POLYCHLORINATED-BIPHENYLS; ORGANOCHLORINE PESTICIDES; MARINE ORGANISMS; FRESH-WATER; MEDITERRANEAN SEA; HEAVY-METALS</t>
  </si>
  <si>
    <t>The aim of this study is to measure PAHs concentrations in mussels (Mytilus galloprovincialis) and fish (Anguilla anguilla) from the Bizerte lagoon (north Tunisia), and evaluate their distribution and sources, in order to provide a baseline of the state of PAH contamination in this lagoon and assess their human health risk. For this purpose, several native mussel and fish specimens were collected and analyzed using a high-performance liquid chromatography method with fluorescence detection for 15 EPA priority PAHs. PAHs levels in mussels and fish ranged from 107.4 to 430.7 ng g(-1) dw and 114.5-133.7 ng g(-1) dw, respectively. Naphthalene was the major component measured in mussels (31.5-272.6 ng g(-1) dw) and fish (57.9-68.6 ng g(-1) dw) and all specimens were classified as moderately contaminated. The PAHs composition pattern was similar for both species and was dominated by the presence of PAHs with 2- to 3-rings. The study of PAH ratios indicated a mixed petrogenic/pyrolytic origin. The health risks by consumption of these species was assessed and showed to present no threat to public health concerning PAH intakes. The results of this study would provide a useful aid for sustainable marine management in the region. (C) 2016 Elsevier Ltd. All rights reserved.</t>
  </si>
  <si>
    <t>[Barhoumi, Badreddine; El Megdiche, Yassine; Ben Ameur, Walid; Mekni, Sabrine; Bouabdallah, Sondes; Derouiche, Abdelkader; Touil, Soufiane; Driss, Mohamed Ridha] Univ Carthage, Fac Sci Bizerte, Dept Chem, Lab Heteroatom Organ Chem, Jarzouna 7021, Tunisia; [Barhoumi, Badreddine; Clerandeau, Christelle; Cachot, Jerome] Univ Bordeaux, UMR CNRS EPOC 5805, Ave Fac, F-33405 Talence, France</t>
  </si>
  <si>
    <t>Universite de Carthage; Centre National de la Recherche Scientifique (CNRS); Universite de Bordeaux</t>
  </si>
  <si>
    <t>Barhoumi, B (corresponding author), Univ Carthage, Fac Sci Bizerte, Dept Chem, Lab Heteroatom Organ Chem, Jarzouna 7021, Tunisia.</t>
  </si>
  <si>
    <t>barhoumibadredine@yahoo.fr</t>
  </si>
  <si>
    <t>; Touil, Soufiane/K-1935-2013</t>
  </si>
  <si>
    <t>Cachot, Jerome/0000-0002-1492-9684; Touil, Soufiane/0000-0002-2878-5757</t>
  </si>
  <si>
    <t>Ministry of Higher Education and Scientific Research of Tunisia</t>
  </si>
  <si>
    <t>This work was supported by the Ministry of Higher Education and Scientific Research of Tunisia. The author would also like to thank staff at the Laboratory of Heteroatom Organic Chemistry, University of Carthage for helping with samples collection and the language expert Nayua Abdelkefi for proofreading the manuscript.</t>
  </si>
  <si>
    <t>10.1016/j.csr.2016.05.012</t>
  </si>
  <si>
    <t>DU6TG</t>
  </si>
  <si>
    <t>WOS:000382346900009</t>
  </si>
  <si>
    <t>HORVAT, M</t>
  </si>
  <si>
    <t>DETERMINATION OF METHYLMERCURY IN BIOLOGICAL CERTIFIED REFERENCE MATERIALS</t>
  </si>
  <si>
    <t>MERCURY</t>
  </si>
  <si>
    <t>Various isolation techniques (ion - exchange, extraction, volatilization, distillation) were used to separate organic Hg, followed by cold vapor atomic absorption spectrophotometry (CV AAS) for determination of total organic Hg, and/or gas chromatography (electron capture detector) for determination of MeHg and EtHg if present. Some currently available CRMs with certified total Hg values, including NBS Oyster Tissue 1566, NBS Horse Kidney H-9, IAEA Fish Flesh Homogenate MA-A-2/TM, IAEA Fish Tissue Lyophilized MA-B-3/TM, IAEA Mussel Tissue MA-M-2/TM, IAEA Copepod Homogenate MA-A-1/TM, IAEA Shrimp Tissue Homogenate MA(S)-MEDPOL-86/TM, NIES No. 5 Human Hair, and NIES No. 9 Sargasso were investigated. CRMs from the National Research Council of Canada (TORT-1, DORM-1, DOLT-1) which have recently been certified for MeHg, were also analyzed. Results obtained by different approaches show good agreement. The advantage of GC which permits different organic compounds to be determined was demonstrated in the case of some IAEA CRMs where both MeHg and EtHg was found; indirect CV AAS gives the results for total organic Hg. Therefore it can be suggested that various currently available CRMs for total Hg can also be used for establishment of recommended values for MeHg (and EtHg if present) and organic Hg. However, additional intercalibration exercises or data from other laboratories are necessary to obtain a consensus.</t>
  </si>
  <si>
    <t>J STEFAN INST, DEPT NUCL CHEM, JAMOVA 39, YU-61111 LJUBLJANA, YUGOSLAVIA.</t>
  </si>
  <si>
    <t>10.1007/BF00342264</t>
  </si>
  <si>
    <t>GM382</t>
  </si>
  <si>
    <t>WOS:A1991GM38200009</t>
  </si>
  <si>
    <t>Xia, XC; Hua, CX; Xue, SP; Shi, BQ; Gui, GX; Zhang, DX; Wang, XY; Guo, LH</t>
  </si>
  <si>
    <t>Xia, Xichao; Hua, Chunxiu; Xue, Shipeng; Shi, Bingqin; Gui, Gaixia; Zhang, Dongxian; Wang, Xiying; Guo, Lianghong</t>
  </si>
  <si>
    <t>Response of selenium-dependent glutathione peroxidase in the freshwater bivalve Anodonta woodiana exposed to 2,4-dichlorophenol,2,4,6-trichlorophenol and pentachlorophenol</t>
  </si>
  <si>
    <t>Anodonta woodiana; AwSeGPx; 2,4-Dichlorophenol; 2,4,6-Trichlorophenol; Pentachlorophenol</t>
  </si>
  <si>
    <t>OXIDATIVE-STRESS; VENERUPIS-PHILIPPINARUM; 3 CHLOROPHENOLS; ACTIVE-SITE; SELENOCYSTEINE; EXPRESSION; 2,4,6-TRICHLOROPHENOL; CADMIUM; MUSSEL; CDNA</t>
  </si>
  <si>
    <t>2,4-dichlorophenol (2,4-DCP), 2,4,6-trichlorophenol (2,4,6-TCP), and pentachlorophenol (PCP) pose a health risk to aquatic organism and humans, and are recognized as persistent priority pollutants. Selenium dependent glutathione peroxidase (Se-GPx) belongs to the family of selenoprotein, which acts mainly as an antioxidant role in the cellular defense system. In the current study, a Se-GPx full length cDNA was cloned from Anodonta woodiana and named as AwSeGPx. It had a characteristic codon at 165TGA167 that corresponds to selenocysteine(Sec) amino acid as U44. The full length cDNA consists of 870 bp, an open reading frame (ORF) of 585 bp encoded a polypeptide of 195 amino in which conserved domain (68LGFPCNQF75) and a glutathione peroxide-1 GPx active site (32GKVILVENVASLUGTT47) were observed. Additionally, the eukaryotic selenocysteine insertion sequence (SECIS) was conserved in the 3'UTR. The AwSeGPx amino acid sequence exhibited a high similarity with that of other Se-GPx. Real-time PCR analysis revealed that AwSeGPx mRNA had a widely distribution, but the highest level was observed in hepatopancreas. AwSeGPx mRNA expression was significantly up-regulated in hepatopancreas, gill and hemocytes after 2,4-DCP, 2,4,6-TCP and PCP exposure. Under similar environment, clams A. woodiana showed a more sensitive to PCP than that of 2,4-DCP and 2,4,6-TCP. These results indicate that AwSeGPx plays a protective role in eliminating oxidative stress derived from 2,4-DCP, 2,4,6-TCP and PCP treatment. (C) 2016 Elsevier Ltd. All rights reserved.</t>
  </si>
  <si>
    <t>[Xia, Xichao; Hua, Chunxiu; Xue, Shipeng; Shi, Bingqin; Gui, Gaixia; Zhang, Dongxian; Wang, Xiying] Nanyang Med Coll, Basal Med Inst, Nanyang 473041, Henan Province, Peoples R China; [Xia, Xichao; Guo, Lianghong] Chinese Acad Sci, Ecoenvironm Sci Res Ctr, State Key Lab Environm Chem &amp; Ecotoxicol, Beijing 100085, Peoples R China</t>
  </si>
  <si>
    <t>Nanyang Medical College; Chinese Academy of Sciences; Research Center for Eco-Environmental Sciences (RCEES)</t>
  </si>
  <si>
    <t>Xia, XC (corresponding author), Nanyang Med Coll, Basal Med Inst, Nanyang 473041, Henan Province, Peoples R China.;Guo, LH (corresponding author), Chinese Acad Sci, Ecoenvironm Sci Res Ctr, State Key Lab Environm Chem &amp; Ecotoxicol, Beijing 100085, Peoples R China.</t>
  </si>
  <si>
    <t>xiaxichao8336@163.com; lhguo@rcees.ac.cn</t>
  </si>
  <si>
    <t>Zhang, Xian/AAV-7491-2021; Guo, Liang-Hong/A-2909-2012</t>
  </si>
  <si>
    <t>National Natural Science Foundation of Henan [2015GGJS-286, 122102310103]</t>
  </si>
  <si>
    <t>National Natural Science Foundation of Henan</t>
  </si>
  <si>
    <t>This research was funded by the National Natural Science Foundation of Henan (No. 2015GGJS-286, 122102310103).</t>
  </si>
  <si>
    <t>10.1016/j.fsi.2016.06.012</t>
  </si>
  <si>
    <t>DT5QF</t>
  </si>
  <si>
    <t>WOS:000381537000054</t>
  </si>
  <si>
    <t>Zhu, LZ; Chen, BL; Wang, J; Shen, HX</t>
  </si>
  <si>
    <t>Pollution survey of polycyclic aromatic hydrocarbons in surface water of Hangzhou, China</t>
  </si>
  <si>
    <t>polycyclic aromatic hydrocarbons; surface water; urban runoff; atmospheric deposition; sediments; soils</t>
  </si>
  <si>
    <t>OUTDOOR AIR; BALTIC SEA; SEDIMENTS; BAY; POLLUTANTS; SORPTION; SEAWATER; MUSSELS; INDOOR; SOILS</t>
  </si>
  <si>
    <t>The concentrations of 10 polycyclic aromatic hydrocarbons (PAHs) were simultaneously measured for five times (July and November 1999-2002) in four water bodies of Hangzhou, China. To investigate possible sources of PAH contamination, sediments, soils, runoff water and atmospheric particles of the region were also analyzed for their PAH contents. The maximum levels of PAHs in the water bodies (34.4-67.7 mug/l) were found in July, while significantly lower PAH concentrations (4.7-15.3 mug/l) were measured in November. The contamination is substantial and it may have resulted in acute toxic effects on aquatic organisms. The measured PAH concentrations in sediments and soils (224-4222 ng/g), runoff water (8.3 mug/l) and air particles (2.3 mug/m(3)) are discussed in relation to concentrations and patterns found in the surface water bodies. Comparison of PAH levels in sediments and soils led to the conclusion that the erosion of soil material does not contribute significantly to the contamination of sediments. The atmospheric PAH deposition to water bodies in the city area of Hangzhou was estimated to be 530 tons/a, while the contribution of surface runoff water was estimated to be 30.7 tons/a. The ratios of selected PAH were then used to illuminate the possible origin of PAHs in the examined samples (petrogenic, pyrogenic). (C) 2004 Elsevier Ltd. All rights reserved.</t>
  </si>
  <si>
    <t>Zhejiang Univ, Dept Environm Sci, Hangzhou 310028, Peoples R China</t>
  </si>
  <si>
    <t>Zhejiang Univ, Dept Environm Sci, Xixi Campus, Hangzhou 310028, Peoples R China.</t>
  </si>
  <si>
    <t>zlz@zju.edu.cn</t>
  </si>
  <si>
    <t>Chen, Baoliang/A-9275-2015; Zhu, Li/GXH-9801-2022; Zhu, Li/GWV-0143-2022</t>
  </si>
  <si>
    <t>Zhu, Li/0000-0001-5249-6536</t>
  </si>
  <si>
    <t>10.1016/j.chemosphere.2004.05.025</t>
  </si>
  <si>
    <t>845AZ</t>
  </si>
  <si>
    <t>WOS:000223209300007</t>
  </si>
  <si>
    <t>Gillis, PL</t>
  </si>
  <si>
    <t>Gillis, Patricia L.</t>
  </si>
  <si>
    <t>Assessing the toxicity of sodium chloride to the glochidia of freshwater mussels: Implications for salinization of surface waters</t>
  </si>
  <si>
    <t>Freshwater mussels; Road salt; Chloride toxicity; Endangered species; Glochidia</t>
  </si>
  <si>
    <t>DISSOLVED ORGANIC-CARBON; ROAD SALT; CERIODAPHNIA-DUBIA; QUALITY GUIDANCE; UNIONIDAE; COPPER; SENSITIVITY; JUVENILES; BIVALVIA; AMMONIA</t>
  </si>
  <si>
    <t>Chloride concentrations in surface waters have increased significantly, a rise attributed to road salt use. In Canada, this may be a concern for endangered freshwater mussels, many with ranges limited to southern Ontario, Canada's most road-dense region. The acute toxicity of NaCl was determined for glochidia, the mussel's larval stage. The 24 h EC50s of four (including two Canadian endangered) species ranged from 113-1430 mg Cl L-1 (reconstituted water, 100 mg CaCO3 L-1). To determine how mussels would respond to a chloride pulse, natural river water (hardness 278-322 mg CaCO3 L-1) was augmented with salt. Lampsilis fasciola glochidia were significantly less sensitive to salt in natural water (EC50s 1265-1559 mg Cl L-1) than in reconstituted water (EC50 285 mg L-1). Chloride data from mussel habitats revealed chloride reaches levels acutely toxic to glochidia (1300 mg L-1). The increased salinization of freshwater could negatively impact freshwater mussels, including numerous species at risk. Crown Copyright (C) 2011 Published by Elsevier Ltd. All rights reserved.</t>
  </si>
  <si>
    <t>Environm Canada, Natl Water Res Inst, Burlington, ON L7R 4A6, Canada</t>
  </si>
  <si>
    <t>Environment &amp; Climate Change Canada; National Water Research Institute</t>
  </si>
  <si>
    <t>Gillis, PL (corresponding author), Environm Canada, Natl Water Res Inst, 867 Lakeshore Rd, Burlington, ON L7R 4A6, Canada.</t>
  </si>
  <si>
    <t>patty.gillis@ec.gc.ca</t>
  </si>
  <si>
    <t>10.1016/j.envpol.2011.02.032</t>
  </si>
  <si>
    <t>WOS:000290839900031</t>
  </si>
  <si>
    <t>Fromberg, A; Cleemann, M; Carlsen, L</t>
  </si>
  <si>
    <t>Review on persistent organic pollutants in the environment of Greenland and Faroe Islands</t>
  </si>
  <si>
    <t>ORGANOCHLORINE COMPOUNDS; NORTH GREENLAND; WEST GREENLAND; HARP SEALS; ATLANTIC; MERCURY; BLUBBER; TRENDS; WHALES; PCBS</t>
  </si>
  <si>
    <t>The literature concerning persistent organic pollutants (POPs) in the environment of Greenland and the Faroe Islands covering the period up to 1995 has been revisited. It is difficult to compare data from earlier studies with those from more recent investigations. Thus as the former quantified the content of CBs by comparison to a technical mixture of CBs (e.g. Aroclor 1254), the latter analyses typically are quantified on a single congener level. Single CB congeners have in some cases been determined, but the results were subsequently expressed as total PCB related to an Aroclor standard. For studies based on single CB congener determinations, the highest levels are reported for porpoise blubber From Greenland (700 - 4500 mu g/kg wet weight), the conclusion, however being based on two determinations only. In Greenlandic seal blubber and peregrine falcon plasma equal levels of CBs (130 - 750 mu g/kg ww) and of DDTs (150 - 860 mu g/kg ww) were found. Levels of CBs and DDTs in fish liver were found to be around 40 - 75 mu g/kg ww. In sediment samples the CBs were almost all below the detection limit (&lt;0.02 - 0.1 mu g/kg dry weight), and thereby being the matrix with the lowest CBs concentration levels. Earlier data based on Aroclor standards showed DDT levels in Greenlandic whale blubber in the range of 2700 - 4100 mu g/kg ww and PCB levels of 3700 mu g/kg - 5400 mu g/kg ww. DDT levels for seal blubber were at the same level (2700 - 4500 mu g/kg ww) whereas the PCB level was lower (900 - 3900 mu g/kg ww). The PCB level corresponds to the level found in human adipose tissue determined with a similar quantification technique. The lowest levels reported for mammals correspond to walrus blubber, the sum of PCBs and DDTs being in the ranges of 180 - 360 mu g/kg ww and 50 - 90 mu g/kg ww, respectively. The content of PCBs in scallops was found to be 3 mu g/kg ww near the Thule Air base. (C) 1999 Elsevier Science Ltd. All rights reserved.</t>
  </si>
  <si>
    <t>Natl Environm Res Inst, Dept Environm Chem, DK-4000 Roskilde, Denmark</t>
  </si>
  <si>
    <t>Fromberg, A (corresponding author), Danish Vet &amp; Food Adm, Morkhoj Bygade 19, DK-2860 Soborg, Denmark.</t>
  </si>
  <si>
    <t>Carlsen, Lars/D-9058-2012</t>
  </si>
  <si>
    <t>Fromberg, Arvid/0000-0001-6524-4979</t>
  </si>
  <si>
    <t>10.1016/S0045-6535(98)00514-1</t>
  </si>
  <si>
    <t>184BW</t>
  </si>
  <si>
    <t>WOS:000079590300011</t>
  </si>
  <si>
    <t>Diggins, TP; Baier, RE; Meyer, AE; Forsberg, RL</t>
  </si>
  <si>
    <t>Potential for selective, controlled biofouling by Dreissena species to intercept pollutants from industrial effluents</t>
  </si>
  <si>
    <t>BIOFOULING</t>
  </si>
  <si>
    <t>biofiitration; Dreissena; particulates; contaminants</t>
  </si>
  <si>
    <t>WESTERN LAKE-ERIE; ZEBRA MUSSEL; FRESH-WATER; HEAVY-METALS; CHRONIC ECOTOXICITY; SUSPENDED SEDIMENT; POLYMORPHA PALLAS; NORTH-AMERICA; TRACE-METALS; RIVER</t>
  </si>
  <si>
    <t>Dreissenid mussels (Dreissena polymorpha and Dreissena bugensis) are typically cited as troublesome invasive biofoulers, but their high productivity and filtration capacity offer promise for water quality management. Described here is a design that has evaluated the potential for flow-through mussel filters to clear bioavailable contamination from effluents before discharge. Fine resuspended natural sediments (to which many pollutants readily adsorb) were intercepted by a cascading series of three 161 filters with a residence time of less than 10 min tank(-1). The inexpensive design cleared up to 96% of suspended particles, and allowed removal of mussels and pseudofaeces as needed. More than 80% of particle interception resulted from mussel filtering, with little attributed to blockage by the apparatus and/or mussel shells. Scale-up, treatment and disposal of by-products, and practical filter applications are recommended.</t>
  </si>
  <si>
    <t>SUNY Buffalo, Ind Univ Ctr Biosurfaces, Buffalo, NY 14214 USA</t>
  </si>
  <si>
    <t>State University of New York (SUNY) System; State University of New York (SUNY) Buffalo</t>
  </si>
  <si>
    <t>tdiggins@hamilton.edu</t>
  </si>
  <si>
    <t>0892-7014</t>
  </si>
  <si>
    <t>Biofouling</t>
  </si>
  <si>
    <t>10.1080/08927010290017707</t>
  </si>
  <si>
    <t>558WF</t>
  </si>
  <si>
    <t>WOS:000175989400004</t>
  </si>
  <si>
    <t>Calmao, M; Blasco, N; Benito, A; Thoppil, R; -Fernandez, IT; Castro, K; Izagirre, U; Garcia-Velasco, N; Soto, M</t>
  </si>
  <si>
    <t>Calmao, Mariana; Blasco, Nagore; Benito, Alba; Thoppil, Rhea; Torre -Fernandez, Imanol; Castro, Kepa; Izagirre, Urtzi; Garcia-Velasco, Nerea; Soto, Manu</t>
  </si>
  <si>
    <t>Time-course distribution of fluorescent microplastics in target tissues of mussels and polychaetes</t>
  </si>
  <si>
    <t>Microplastics; Polystyrene; Mytilus galloprovincilis; Hediste diversicolor; Microcosm; Raman spectroscopy</t>
  </si>
  <si>
    <t>MYTILUS-EDULIS; MARINE-ENVIRONMENT; PLASTIC DEBRIS; INGESTION; POLLUTION; ORGANISMS; EGESTION; ANNELIDA; SPP.</t>
  </si>
  <si>
    <t>The majority of the plastic produced in the last century is accumulated in the environment, leading to an exacerbated contamination of marine environments due to transport from land to the ocean. In the ocean, mechanical abrasion, oxidation, and photodegradation degrade large plastics into microplastics (MPs) -0.1 mu m to 5 mm (EFSA, 2016) which are transported through water currents reaching the water surface, water column, and sediments. Further, they can be accumulated by aquatic and benthic species, entering the trophic chain and becoming a potential threat to humans. In the present research, we aimed to decipher the accumulation and distribution time-courses between different organs or target tissues of organisms inhabiting coastal areas such as mussels Mytilus galloprovincialis and polychaetes Hediste diversicolor. Both were exposed in microcosm experi-ments to fluorescent polystyrene MPs (1 mu m) which were spiked at two doses (103 and 105 particles/mL) for 1, 4, 24, and 72 h. Mussels and polychaetes were digested with 10% KOH and filtered to quantify the number of MPs incorporated. Different anatomical parts of the body were selected and processed for cryosectioning and pos-terior microscopic localisation of MPs. Both species accumulate MPs spiked in water column, mainly after exposure to the highest dose. In mussels, particles were found in distinct parts of the digestive tract (stomach, digestive diverticula, ducts) and gills. Even if the majority of MPs were localised in the lumen of the digestive tract, in some cases, were inside the digestive epithelium. The identification of MPs and their internalization in the digestive system was studied using Raman spectroscopy. A decreasing trend with time regarding MPs number in the digestive tract (stomach) of mussels was observed while the opposite was recorded for polychaetes and sediments. The combination of microscopical observations of frozen sections and Raman, appeared to be ac-curate methodologies to address MPs abundances and to reveal their localisation in different organs. This work has enabled to understand the distribution and fate of MPs in different environmental compartments and it could contribute to gain knowledge about their impact after ingestion by coastal organisms.</t>
  </si>
  <si>
    <t>[Calmao, Mariana; Blasco, Nagore; Izagirre, Urtzi; Garcia-Velasco, Nerea; Soto, Manu] Univ Basque Country UPV, Fac Sci, Dept Zool &amp; Anim Cell Biol, Cell Biol Environm Toxicol CBET Res Grp, E-48080 Bilbao, Spain; [Calmao, Mariana; Blasco, Nagore; Izagirre, Urtzi; Garcia-Velasco, Nerea; Soto, Manu] Univ Basque Country UPV, Res Ctr Expt Marine Biol &amp; Biotechnol PIE, UPV, EHU, E-48080 Bilbao, Spain; [Benito, Alba; Thoppil, Rhea; Torre -Fernandez, Imanol; Castro, Kepa] Univ Basque Country UPV EHU, Sci &amp; Technol Fac, Analyt Chem Dept, IBEA Res Grp, POB 644, Bilbao 48080, Spain</t>
  </si>
  <si>
    <t>Soto, M (corresponding author), Univ Basque Country UPV, Fac Sci, Dept Zool &amp; Anim Cell Biol, Cell Biol Environm Toxicol CBET Res Grp, E-48080 Bilbao, Spain.;Soto, M (corresponding author), Univ Basque Country UPV, Res Ctr Expt Marine Biol &amp; Biotechnol PIE, UPV, EHU, E-48080 Bilbao, Spain.</t>
  </si>
  <si>
    <t>manu.soto@ehu.eus</t>
  </si>
  <si>
    <t>Garcia-Velasco, Nerea/R-8937-2019; Izagirre, Urtzi/C-3848-2017</t>
  </si>
  <si>
    <t>Izagirre, Urtzi/0000-0002-3477-4974; soto, manu/0000-0002-4541-8182; BENITO KAESBACH, ALBA/0000-0003-1937-6289</t>
  </si>
  <si>
    <t>MINECO; Basque Government; [PID 2020-118685RB-I00]; [IT1743-22]</t>
  </si>
  <si>
    <t>MINECO(Spanish Government); Basque Government(Basque Government); ;</t>
  </si>
  <si>
    <t>Acknowledgements This work was funded by MINECO (PID 2020-118685RB-I00, PLASTeMER) ; Basque Government (KK 2021/00001 ELKARTEK 2021 2022) and Basque Government (IT1743-22) .</t>
  </si>
  <si>
    <t>10.1016/j.chemosphere.2022.137087</t>
  </si>
  <si>
    <t>7I4TP</t>
  </si>
  <si>
    <t>WOS:000903882700003</t>
  </si>
  <si>
    <t>Xu, LL; Lu, Z; Ji, CL; Cong, M; Li, F; Shan, XJ; Wu, HF</t>
  </si>
  <si>
    <t>Xu, Lanlan; Lu, Zhen; Ji, Chenglong; Cong, Ming; Li, Fei; Shan, Xiujuan; Wu, Huifeng</t>
  </si>
  <si>
    <t>Toxicological effects of As (V) in juvenile rockfish Sebastes schlegelii by a combined metabolomic and proteomic approach</t>
  </si>
  <si>
    <t>Arsenic; Toxicological effect; Juvenile rockfish; Proteomics; Metabolomics</t>
  </si>
  <si>
    <t>CLAM RUDITAPES-PHILIPPINARUM; FISH LIZA-AURATA; CASEIN KINASE-I; OXIDATIVE STRESS; MYTILUS-GALLOPROVINCIALIS; ARSENIC EXPOSURE; HEAVY-METALS; RESPONSES; MECHANISMS; MERCURY</t>
  </si>
  <si>
    <t>Arsenic (As) is a metalloid element that is ubiquitous in the marine environment and its contamination has received worldwide attention due to its potential toxicity. Arsenic can induce multiple adverse effects, such as lipid metabolism disorder, immune system dysfunction, oxidative stress and carcinogenesis, in animals. Inorganic arsenic includes two chemical forms, arsenite (As (III)) and arsenate (As (V)), in natural environment. As (V) is the dominant form in natural waters. In the present study, metabolomic and proteomic alterations were investigated in juvenile rockfish Sebastes schlegelii exposed to environmentally relevant concentrations of As (V) for 14 d. The analysis of iTRAQ-based proteomics combined with untargeted NMR-based metabolomics indicated apparent toxicological effects induced by As (V) in juvenile rockfish. In details, the metabolites, including lactate, alanine, ATP, inosine and phosphocholine were significantly altered in As-treated groups. Proteomic responses suggested that As (V) could not only affected energy and primary metabolisms and signal transduction, but also influenced cytoskeleton structure in juvenile rockfish. This work suggested that the combined proteomic and metabolomic approach could shed light on the toxicological effects of pollutants in rockfish S. schlegelii. (C) 2019 Elsevier Ltd. All rights reserved.</t>
  </si>
  <si>
    <t>[Xu, Lanlan; Lu, Zhen; Ji, Chenglong; Cong, Ming; Li, Fei; Wu, Huifeng] Chinese Acad Sci, Shandong Key Lab Coastal Environm Proc, CAS Key Lab Coastal Environm Proc &amp; Ecol Remediat, Yantai Inst Coastal Zone Res YIC,YICCAS, Yantai 264003, Peoples R China; [Ji, Chenglong; Shan, Xiujuan; Wu, Huifeng] Qingdao Natl Lab Marine Sci &amp; Technol, Lab Marine Fisheries Sci &amp; Food Prod Proc, Qingdao 266237, Shandong, Peoples R China; [Xu, Lanlan; Lu, Zhen] Univ Chinese Acad Sci, Beijing 100049, Peoples R China</t>
  </si>
  <si>
    <t>Wu, HF (corresponding author), Chinese Acad Sci, Shandong Key Lab Coastal Environm Proc, CAS Key Lab Coastal Environm Proc &amp; Ecol Remediat, Yantai Inst Coastal Zone Res YIC,YICCAS, Yantai 264003, Peoples R China.</t>
  </si>
  <si>
    <t>NSFC [41676114]; Young Taishan Scholars Program of Shandong Province [tsqn201812115]; Qingdao National Laboratory for Marine Science and Technology [QNLM201701]; Youth Innovation Promotion Association CAS [2015169]</t>
  </si>
  <si>
    <t>NSFC(National Natural Science Foundation of China (NSFC)); Young Taishan Scholars Program of Shandong Province; Qingdao National Laboratory for Marine Science and Technology; Youth Innovation Promotion Association CAS</t>
  </si>
  <si>
    <t>This research was supported by NSFC (41676114), the Young Taishan Scholars Program of Shandong Province for Prof. Huifeng Wu (tsqn201812115), Qingdao National Laboratory for Marine Science and Technology (QNLM201701) and Youth Innovation Promotion Association CAS (2015169).</t>
  </si>
  <si>
    <t>10.1016/j.envpol.2019.113333</t>
  </si>
  <si>
    <t>JP5YR</t>
  </si>
  <si>
    <t>WOS:000498340400088</t>
  </si>
  <si>
    <t>Grilo, TF; Cardoso, PG; Pato, P; Duarte, AC; Pardal, MA</t>
  </si>
  <si>
    <t>Grilo, T. F.; Cardoso, P. G.; Pato, P.; Duarte, A. C.; Pardal, M. A.</t>
  </si>
  <si>
    <t>Organochlorine accumulation on a highly consumed bivalve (Scrobicularia plana) and its main implications for human health</t>
  </si>
  <si>
    <t>PCBs; HCB; Scrobicularia plana; Bioaccumulation; Trophic transfer; Human health</t>
  </si>
  <si>
    <t>POLYCHLORINATED BIPHENYL CONGENERS; POLYBROMINATED DIPHENYL ETHERS; PERSISTENT ORGANIC POLLUTANTS; WATER-COLUMN; MERCURY BIOACCUMULATION; DISTRIBUTION PATTERNS; SOUTH CHINA; PCBS; SEDIMENTS; SEA</t>
  </si>
  <si>
    <t>Contamination by polychlorinated biphenyls (PCBs) and hexachlorobenzene (HCB) was investigated along a spatial gradient in water, sediments and in commercially important bivalve species Scrobicularia plana, from Ria de Aveiro (Portugal). Organochlorines dissolved in water were below detection limit and concerning suspended particulate matter, only PCBs were quantified, ranging from 3.8 to 5.8 ng . g(-1) DW (Sigma(13)PCBs). There was a distinct spatial gradient regarding PCB accumulation in sediments. The highest concentrations were found in deeper layers and closest to the pollution source, decreasing gradually along a 3 km area. Contamination in sediments exceeded the Canadian and Norwegian sediment quality guidelines, inducing potential toxic effects in related biota. PCBs tended to bioaccumulate throughout S. piano lifespan but with different annual rates along the spatial gradient. The maximum values were found in older individuals up to 3+ years old, reaching 19.4 ng . g(-1) DW. HCB concentrations were residual and no bioaccumulation pattern was evident. Congeners 138,153 and 180 were the most accumulated due to their abundance and long-term persistence in the environment. In the inner area of the Laranjo Bay (0.6 km(2)), the species was able to remove up to 0.4 g of PCBs annually from sediments into their own tissues, which is consequently free for trophic transfer (biomagnification). Concerning human health, and despite the high concentrations found in sediments, PCB levels in bivalves do not exceed the limit established by the European Union for fishery products and are largely below tolerable daily intake. Although PCBs in Scrobicularia plana are present at low levels, their impact to human health after consumption over many years might be harmful and should be monitored in future studies. (C) 2013 Elsevier B.V. All rights reserved.</t>
  </si>
  <si>
    <t>[Grilo, T. F.; Pardal, M. A.] Univ Coimbra, Dept Life Sci, CFE, P-3001401 Coimbra, Portugal; [Cardoso, P. G.] Univ Coimbra, Dept Life Sci, IMAR CMA Marine &amp; Environm Res Ctr, P-3004517 Coimbra, Portugal; [Pato, P.; Duarte, A. C.] Univ Aveiro, Dept Chem, P-3810193 Aveiro, Portugal; [Pato, P.; Duarte, A. C.] Univ Aveiro, Ctr Environm &amp; Marine Studies CESAM, P-3810193 Aveiro, Portugal</t>
  </si>
  <si>
    <t>Universidade de Coimbra; Universidade de Coimbra; Universidade de Aveiro; Universidade de Aveiro</t>
  </si>
  <si>
    <t>Grilo, TF (corresponding author), Univ Coimbra, Dept Life Sci, CFE, POB 3046, P-3001401 Coimbra, Portugal.</t>
  </si>
  <si>
    <t>tfgrilo@student.biologia.uc.pt</t>
  </si>
  <si>
    <t>Pato, Pedro/B-4956-2008; F. Grilo, Tiago/C-4482-2013; Teixeira, Patricia/I-6863-2013; Duarte, Armando/C-1424-2008; Pardal, Miguel Angelo/C-3984-2009</t>
  </si>
  <si>
    <t>Pato, Pedro/0000-0002-3277-2449; F. Grilo, Tiago/0000-0003-3403-4287; Teixeira, Patricia/0000-0003-4653-4705; Duarte, Armando/0000-0002-4868-4099; Pardal, Miguel Angelo/0000-0001-6048-7007</t>
  </si>
  <si>
    <t>FCT (Fundacao para a Ciencia e Tecnologia) [SFRH/BD/44936/2008]; MERCOAST project [PTDC/MAR/101906/2008]; POPH (Portuguese Operational Human Potential Program); QREN Portugal (Portuguese National Strategic Reference Framework); MCTES (Portuguese Ministry of Science, Technology, and Higher Education); FCT [SFRH/BPD/35068/2007]; Fundação para a Ciência e a Tecnologia [SFRH/BPD/35068/2007, SFRH/BD/44936/2008, PTDC/MAR/101906/2008] Funding Source: FCT</t>
  </si>
  <si>
    <t>FCT (Fundacao para a Ciencia e Tecnologia)(Fundacao para a Ciencia e a Tecnologia (FCT)); MERCOAST project; POPH (Portuguese Operational Human Potential Program); QREN Portugal (Portuguese National Strategic Reference Framework); MCTES (Portuguese Ministry of Science, Technology, and Higher Education)(Fundacao para a Ciencia e a Tecnologia (FCT)); FCT(Fundacao para a Ciencia e a Tecnologia (FCT)); Fundação para a Ciência e a Tecnologia(Fundacao para a Ciencia e a Tecnologia (FCT))</t>
  </si>
  <si>
    <t>This research was supported by the FCT (Fundacao para a Ciencia e Tecnologia) through a PhD grant attributed to T.F. Grilo (SFRH/BD/44936/2008) and the MERCOAST project (PTDC/MAR/101906/2008), with funds from the POPH (Portuguese Operational Human Potential Program, the QREN Portugal (Portuguese National Strategic Reference Framework), and the MCTES (Portuguese Ministry of Science, Technology, and Higher Education). P. Pato acknowledges a postdoctoral fellowship from the FCT (SFRH/BPD/35068/2007). The authors are indebted to all their colleagues who assisted in the field and laboratory work and a special acknowledgment is addressed to Joana Baptista and Patricia Matos who helped in methodological procedures.</t>
  </si>
  <si>
    <t>10.1016/j.scitotenv.2013.04.096</t>
  </si>
  <si>
    <t>210RF</t>
  </si>
  <si>
    <t>WOS:000323851500021</t>
  </si>
  <si>
    <t>Prado, P; Andree, KB; Trigos, S; Carrasco, N; Caiola, N; García-March, JR; Tena, J; Fernández-Tejedor, M; Carella, F</t>
  </si>
  <si>
    <t>Prado, Patricia; Andree, Karl B.; Trigos, Sergio; Carrasco, Noelia; Caiola, Nuno; Rafael Garcia-March, Jose; Tena, Jose; Fernandez-Tejedor, Margarita; Carella, Francesca</t>
  </si>
  <si>
    <t>Breeding, planktonic and settlement factors shape recruitment patterns of one of the last remaining major population of Pinna nobilis within Spanish waters</t>
  </si>
  <si>
    <t>Larval availability; Anomalous simultaneous hermaphroditism; Agricultural pollution; Salinity; Habitat features; Parasites; Western Mediterranean</t>
  </si>
  <si>
    <t>LINNAEUS 1758; GROWTH; MORTALITY; BIVALVIA; AGE; GAMETOGENESIS; SALINITY; L.</t>
  </si>
  <si>
    <t>The pen shell, Pinna nobilis L., is a critically endangered bivalve threatened by mass mortality events throughout the Mediterranean, but the Alfacs Bay (Ebro Delta) still hosts many healthy individuals. Herein, we study the main factors controlling recruitment patterns in this locality, including gonadal development and abundance of critical life-stages, as well as the effect of environmental factors. Growth records from empty shells suggested a single major peak of recruitment during a period of 11 years, although many juveniles were found in two very shallow sand bars possibly acting as a barrier for water circulation and as a trap for larvae. Collectors deployed outside these sand bar areas showed zero settlers, and the availability of planktonic larvae was very low. Gonadal examination evidenced breeding throughout the summer period with successive hermaphroditism, but 20% of individuals were simultaneous hermaphrodites, a condition that has been associated with environmental stress and that could lead to in-breeding depression and potentially reduced fertility. Yet, given the large size of the population and the wide breeding period observed, planktonic processes causing larval mortality such as freshwater discharges from rice locally important rice agriculture are also proposed as possible impacts accounting for patterns of low larval availability.</t>
  </si>
  <si>
    <t>[Prado, Patricia; Andree, Karl B.; Carrasco, Noelia; Caiola, Nuno; Fernandez-Tejedor, Margarita] IRTA St Carles Rapita, Ctra Poble Nou Km 5-5, Tarragona 43540, Spain; [Trigos, Sergio] Innovat Network Aquaculture Ind Valencian Communi, Avda Naranjos S-N, Valencia 46022, Spain; [Rafael Garcia-March, Jose; Tena, Jose] Univ Catolica Valencia SVM, Inst Environm &amp; Marine Sci Res IMEDMAR, Avda Puerto S-N, Alicante 03710, Spain; [Carella, Francesca] Univ Naples Federico II, Dept Biol, Via Cinthia,Complesso Univ MSA,Edificio 7, I-80126 Naples, Italy</t>
  </si>
  <si>
    <t>IRTA; Universidad Catolica de Valencia San Vicente Martir; University of Naples Federico II</t>
  </si>
  <si>
    <t>Prado, P (corresponding author), IRTA St Carles Rapita, Ctra Poble Nou Km 5-5, Tarragona 43540, Spain.</t>
  </si>
  <si>
    <t>patricia.prado@irta.cat</t>
  </si>
  <si>
    <t>Andree, Karl/L-7465-2014; Querol, Noèlia/AAF-6702-2019; Garcia March, Jose rafael/T-4120-2018; TENA, JOSE/Q-2190-2015; Fernandez-Tejedor, Margarita/J-9449-2013; Prado, Patricia/J-7483-2012; Caiola, Nuno/A-5694-2008</t>
  </si>
  <si>
    <t>Garcia March, Jose rafael/0000-0003-1646-5331; CARELLA, Francesca/0000-0003-1780-1990; Carrasco Querol, Noelia/0000-0002-5876-7082; TENA, JOSE/0000-0002-2391-699X; Fernandez-Tejedor, Margarita/0000-0002-2875-1135; Trigos, Sergio/0000-0001-9897-6252; Prado, Patricia/0000-0002-4986-2010; Caiola, Nuno/0000-0003-2692-2954</t>
  </si>
  <si>
    <t>Zoo Barcelona Foundation; Albert II of Monaco Foundation; 2017 INIA Grant [E-RTA201500004-00-00]; CERCA Program from the Catalonian Government</t>
  </si>
  <si>
    <t>Zoo Barcelona Foundation; Albert II of Monaco Foundation; 2017 INIA Grant; CERCA Program from the Catalonian Government</t>
  </si>
  <si>
    <t>The authors thank the Zoo Barcelona Foundation for an Antoni Jonch grant 2015. JR Garcia-March and J Tena were funded by the Albert II of Monaco Foundation to develop the age study within the project The study, protection and possible breeding of the pen shell (P. nobilis) in the Boka Kotorska Bay''. Additional funding was obtained from a 2017 INIA Grant for project EMERGER (E-RTA201500004-00-00). We thank Department of Territory and Sustainability for granting us a permit for the collection of P. nobilis (Ref.: SF/030). Environmental factors were obtained from the project Programa de seguiment de la qualitat de les aigues, molluscs i fitoplancton toxic les zones de produccio de marics del litoral catala de la DGPAM''. IRTA acknowledges support from the CERCA Program from the Catalonian Government. Authors thank Dr. Miguel Alonso GarciaAmilivia for help with the separation of bivalve larvae, and Pep Cabanes, Lluis Jornet, and Jose Luis Costa for fieldwork assistance.</t>
  </si>
  <si>
    <t>10.1007/s10750-019-04137-5</t>
  </si>
  <si>
    <t>KJ5NX</t>
  </si>
  <si>
    <t>WOS:000498951300001</t>
  </si>
  <si>
    <t>Bugnot, AB; Gribben, PE; O'Connor, WA; Erickson, K; Coleman, RA; Dafforn, KA</t>
  </si>
  <si>
    <t>Bugnot, Ana B.; Gribben, Paul E.; O'Connor, Wayne A.; Erickson, Katherine; Coleman, Ross A.; Dafforn, Katherine A.</t>
  </si>
  <si>
    <t>Below-ground ecosystem engineers enhance biodiversity and function in a polluted ecosystem</t>
  </si>
  <si>
    <t>biodiversity; bioturbation; ecosystem engineer; pollution; remediation; restoration; sediments; urbanisation</t>
  </si>
  <si>
    <t>SOIL BIODIVERSITY; ARENICOLA-MARINA; RESTORATION; INDICATOR; SEDIMENTS; BOTTOM; EARTH</t>
  </si>
  <si>
    <t>Many important ecosystem functions are underpinned by below-ground biodiversity and processes. Marine sediments, one of the most abundant habitats on earth, are essential to the mineralisation of organic matter. However, they are increasingly polluted by urban activities leading to the loss of biodiversity and the functions they provide. While traditional sediment remediation strategies are focussed on microbial and engineering solutions, we propose that the reintroduction of below-ground ecosystem engineers (bioturbators) is important to rehabilitate polluted sediments and drive recovery of their functions in urban coastal ecosystems. We tested this notion by introducing bioturbators to nutrient polluted sediments to assess their survival, as well as their capacity to drive biodiversity and oxygenation and their potential to remediate nutrient pollution. Polychaete worms Diopatra aciculata and clams Katelysia sp. were added to mesocosms (ex-situ), and the worms also added to experimental plots in-situ. Potential for remediation was assessed with measures of nutrient content. All animals survived when introduced to polluted sediments and showed no evidence of sub-lethal effects. Worms oxygenated sediments and reduced organic matter content by up to 50% in-situ. The worms also drove shifts in the receiving communities at all locations and increased the number of taxa at one location. On the other hand, the effects of clams were variable, showing opposite effects in organic matter content at different sites and levels of pollution. Synthesis and applications. Global seafloor habitats are becoming increasingly degraded and novel strategies that combine biodiversity restoration with remediation are urgently needed to return function. Tube-building bioturbators can stimulate nutrient processing in sediments proving multiple functional outcomes, but these effects are dependent on the receiving environment. In areas with medium levels of pollution, they can kick-start recovery in a feedback loop whereby bioturbation increases oxygenation and nutrient remediation, shifting sediment biodiversity and contributing to further recovery. This can drive long-term changes in sediment communities, particularly in urban areas where unvegetated sediments are conspicuous.</t>
  </si>
  <si>
    <t>[Bugnot, Ana B.] Univ Sydney, Sch Life &amp; Environm Sci, Sydney, NSW, Australia; [Bugnot, Ana B.; Gribben, Paul E.; Dafforn, Katherine A.] Sydney Inst Marine Sci, Mosman, NSW, Australia; [Gribben, Paul E.; Erickson, Katherine] Univ New South Wales, Ctr Marine Sci &amp; Innovat, Sch Biol Earth &amp; Environm Sci, Sydney, NSW, Australia; [O'Connor, Wayne A.] NSW Dept Primary Ind, Port Stephens Fisheries Inst, Sydney, NSW, Australia; [Coleman, Ross A.] Univ Sydney, Sydney Sch Architecture Design &amp; Planning, Sydney, NSW, Australia; [Dafforn, Katherine A.] Macquarie Univ, Sch Nat Sci, N Ryde, NSW, Australia</t>
  </si>
  <si>
    <t>University of Sydney; Sydney Institute of Marine Science; University of New South Wales Sydney; NSW Department of Primary Industries; University of Sydney; Macquarie University</t>
  </si>
  <si>
    <t>Bugnot, AB (corresponding author), Univ Sydney, Sch Life &amp; Environm Sci, Sydney, NSW, Australia.;Bugnot, AB (corresponding author), Sydney Inst Marine Sci, Mosman, NSW, Australia.</t>
  </si>
  <si>
    <t>ana.bugnot@sydney.edu.au</t>
  </si>
  <si>
    <t>O'Connor, Wayne/AAL-8097-2020; Bugnot, Ana/GQA-3017-2022; Dafforn, Katherine/J-9647-2013; Coleman, Ross/B-1314-2008</t>
  </si>
  <si>
    <t>Erickson, Katherine Ruby/0000-0001-7363-5865; Bugnot, Ana B/0000-0001-6451-0307; O'Connor, Wayne/0000-0002-0972-4668; Dafforn, Katherine/0000-0001-8848-377X; Coleman, Ross/0000-0003-4136-5914</t>
  </si>
  <si>
    <t>City of Sydney; Ian Potter Foundation; Maple Brown Foundation</t>
  </si>
  <si>
    <t>City of Sydney; Ian Potter Foundation; Maple Brown Foundation; Open access publishing facilitated by The University of Sydney, as part of the Wiley -The University of Sydney agreement via the Council of Australian University Librarians</t>
  </si>
  <si>
    <t>10.1111/1365-2664.14221</t>
  </si>
  <si>
    <t>3L3OT</t>
  </si>
  <si>
    <t>WOS:000803049400001</t>
  </si>
  <si>
    <t>Giacoletti, A; Cappello, S; Mancini, G; Mangano, MC; Sarà, G</t>
  </si>
  <si>
    <t>Giacoletti, A.; Cappello, S.; Mancini, G.; Mangano, M. C.; Sara, G.</t>
  </si>
  <si>
    <t>Predicting the effectiveness of oil recovery strategies in the marine polluted environment Check</t>
  </si>
  <si>
    <t>DEB model; Mytilus galloprovincialis; Oil pollution; Remediation; Mediterranean sea; Good environmental status</t>
  </si>
  <si>
    <t>MUSSEL MYTILUS-EDULIS; ENERGY BUDGET MODEL; MEDITERRANEAN SEA; BRACHIDONTES-PHARAONIS; ADRIATIC SEA; SPILL BIOREMEDIATION; INTERTIDAL MUSSELS; FUNCTIONAL TRAITS; GAS PLATFORMS; GROWTH</t>
  </si>
  <si>
    <t>Many recent studies have focused their attention on the physiological stress experienced by marine organisms in measuring ecotoxicological responses. Here we suggest a new approach for investigating the effects of an anthropogenic pollutant on Life-History (LH) traits of marine organisms, to provide stakeholders and policy makers an effective tool to evaluate the best environmental recovery strategies and plans. A Dynamic Energy Budget (DEB), coupled with a biophysical model was used to predict the effects of a six-month oil spill on Mytilus galloprovincialis' LH traits and to test two potential recovery strategies in the central Mediterranean Sea. Oxygen consumption rates were used to check for increasing energetic maintenance costs [p(M)] respectively in oil-polluted system treatments ( similar to 76.2%) and polluted systems with physical (nano-bubbles similar to 32.6%) or chemical treatment (dispersant similar to 18.4%). Our model outputs highlighted a higher growth reduction of intertidal compared to subtidal populations and contextually an effect on the reproductive output and on the maturation time of this latter. The models also enabled an estimation of the timing of the disturbance affecting both the intertidal and subtidal populations' growth and reproduction. Interestingly, results led to the identification of the chemical dispersant as being the best remediation technique in contexts of oil spill contamination.</t>
  </si>
  <si>
    <t>[Giacoletti, A.; Mangano, M. C.; Sara, G.] Univ Palermo, Dipartimento Sci Terra &amp; Mare DiSTeM, Viale Sci Ed 16, I-90128 Palermo, Italy; [Cappello, S.] CNR Messina, IAMC, Spianata S Raineri 86, I-98122 Messina, Italy; [Mancini, G.] Univ Catania, Dept Ind Engn, Catania, Italy; [Mangano, M. C.] Bangor Univ, Sch Ocean Sci, Fisheries &amp; Conservat Sci Grp, Menai Bridge LL59 5AB, AB, Wales</t>
  </si>
  <si>
    <t>University of Palermo; Consiglio Nazionale delle Ricerche (CNR); L'Istituto per l'Ambiente Marino Costiero (IAMC-CNR); University of Catania; Bangor University</t>
  </si>
  <si>
    <t>Mangano, MC (corresponding author), Univ Palermo, Dipartimento Sci Terra &amp; Mare DiSTeM, Viale Sci Ed 16, I-90128 Palermo, Italy.</t>
  </si>
  <si>
    <t>mariacristina.mangano01@unipa.it</t>
  </si>
  <si>
    <t>Sara, Gianluca/AAG-7215-2020; Mangano, M/J-5850-2019; Mancini, Giuseppe/C-4544-2015; Giacoletti, Antonio/D-8408-2017</t>
  </si>
  <si>
    <t>Mancini, Giuseppe/0000-0002-0953-7934; Mangano, Maria Cristina/0000-0001-6980-9834; SARA', Gianluca/0000-0002-7658-5274; Giacoletti, Antonio/0000-0002-6350-720X</t>
  </si>
  <si>
    <t>PON Research &amp; competitiveness - Italian Minister of Research and University (MIUR) [PONO2_000451_3362185/1]; PRIN TETRIS 2010 grant - Italian Minister of Research and University (MIUR) [2010PBMAXP_003]; PRIN - Italian Minister of Research and University (MIUR) [2010ARBLT7_001/008]; Sicilian Region [C1-3.1-31]; Maltese Government</t>
  </si>
  <si>
    <t>PON Research &amp; competitiveness - Italian Minister of Research and University (MIUR); PRIN TETRIS 2010 grant - Italian Minister of Research and University (MIUR)(Ministry of Education, Universities and Research (MIUR)); PRIN - Italian Minister of Research and University (MIUR)(Ministry of Education, Universities and Research (MIUR)); Sicilian Region; Maltese Government</t>
  </si>
  <si>
    <t>PROJECT INNOVAQUA financed by the PON Research &amp; competitiveness 2007-2013, PONO2_000451_3362185/1, PRIN TETRIS 2010 grant n. 2010PBMAXP_003, and PRIN 2010-2011, prot. 2010ARBLT7_001/008, all funded by the Italian Minister of Research and University (MIUR) supported this research. Harmony Project INTERREG Italy-Malta 2016 - grant (C1-3.1-31) funded by the Sicilian Region and the Maltese Government has partially supported this research. The authors declare no competing financial interests. We deeply thanks Ms. Jan Underwood for the fine-tuning of the English.</t>
  </si>
  <si>
    <t>10.1016/j.jenvman.2018.06.094</t>
  </si>
  <si>
    <t>GQ9AE</t>
  </si>
  <si>
    <t>WOS:000442057500075</t>
  </si>
  <si>
    <t>Barata, C; Lekumberri, I; Vila-Escalé, M; Prat, N; Porte, C</t>
  </si>
  <si>
    <t>Trace metal concentration, antioxidant enzyme activities and susceptibility to oxidative stress in the tricoptera larvae Hydropsyche exocellata from the Llobregat river basin (NE Spain)</t>
  </si>
  <si>
    <t>biomarkers; superoxide dismutase; catalase; glutathione peroxidase; glutathione-S-transferase; insects</t>
  </si>
  <si>
    <t>GLUTATHIONE-S-TRANSFERASE; ACID-MINE DRAINAGE; SUPEROXIDE-DISMUTASE; LIPID-PEROXIDATION; MYTILUS-EDULIS; COMMON MUSSEL; DIGESTIVE GLAND; AQUATIC INSECTS; HEAVY-METALS; WATER</t>
  </si>
  <si>
    <t>Caddisfly larvae of Hydropsyche exocellata were sampled from seven locations receiving increasing levels of urban and industrial waste water discharges along the Llobregat river system (NE Spain) during spring and summer 2003. Locations were selected to include aquatic communities in poor and good ecological state according to measured physicochemical water parameters and the analysis of benthic macroinvertebtrate communities. Whole body residues of selected metals (Fe, Al, Zn, Cu, Co, Ni, Pb, Cd) were determined in conjunction with antioxidant enzyme activities (superoxide dismutase, SOD; catalase, CAT; glutathione peroxidase activity of GST, GSTPX), a phase 11 enzyme (glutathione-S-transferase, GST) and lipid peroxide levels measured as thiobarbituric reactive species (TBARs) with the aim of investigating whether resident macroinvertebrate benthic species were responsive to changes in water quality. Caddisfly larvae inhabiting those rivers were exposed to increasing levels of metal pollution. Enhanced activities of two (CAT and GST) out of the four tested enzymes, coupled with increased levels of TBARs, indicated increasing levels of stress in the studied species towards downstream reaches or locations near industrial and urban areas. These results indicate that combination of chemical and biochemical responses can be used to assess and diagnose pollution in high stressed river ecosystems. (c) 2005 Elsevier B.V. All rights reserved.</t>
  </si>
  <si>
    <t>UPC, INTEXTER, Lab Environm Toxicol, Barcelona 08220, Spain; CSIC, IIQAB, Dept Environm Chem, Barcelona 08034, Spain; UB, Dept Ecol, Barcelona 08028, Spain</t>
  </si>
  <si>
    <t>Universitat Politecnica de Catalunya; Consejo Superior de Investigaciones Cientificas (CSIC); University of Barcelona</t>
  </si>
  <si>
    <t>UPC, INTEXTER, Lab Environm Toxicol, CN150 Km 14-5, Barcelona 08220, Spain.</t>
  </si>
  <si>
    <t>barata@intexter.upc.edu</t>
  </si>
  <si>
    <t>Lekunberri, Itziar/B-7979-2019; Barata, Carlos/K-8232-2014; Porte, Cinta/L-3191-2014; Prat, Narcis/D-4405-2014</t>
  </si>
  <si>
    <t>Lekunberri, Itziar/0000-0001-8468-040X; Barata, Carlos/0000-0002-3360-0729; Porte, Cinta/0000-0002-3940-6409; Prat, Narcis/0000-0002-1550-1305</t>
  </si>
  <si>
    <t>10.1016/j.aquatox.2005.04.002</t>
  </si>
  <si>
    <t>952XQ</t>
  </si>
  <si>
    <t>WOS:000231039800001</t>
  </si>
  <si>
    <t>Carriker, MR; Swann, CP; Ewart, J; Counts, CL</t>
  </si>
  <si>
    <t>Ontogenetic trends of elements (Na to Sr) in prismatic shell of living Crassostrea virginica (Gmelin) grown in three ecologically dissimilar habitats for 28 weeks: A proton probe study</t>
  </si>
  <si>
    <t>ecology; shell chemistry; oyster (Crassostrea virginica (Gmelin))</t>
  </si>
  <si>
    <t>MYTILUS-EDULIS; TRACE-METALS; BARIUM CYCLE; SEA-WATER; OYSTERS; MARINE; MUSSEL; POLLUTION; SEDIMENT; LEAD</t>
  </si>
  <si>
    <t>Distribution of 16 trace and minor chemical elements was examined ontogenetically with PIXE in the calcitic-prismatic margin of the shell of genetically close individuals of Crassostrea virginica (Gmelin) growing in three different marine habitats. Concentration of elements was also related to that in ostreid soft tissues and in suspended sedimentary particles in the ambient seawater. Distribution of the elements (Na, Mg, Al, Si, S, Cl, K, Ca, Ti, Mn, Fe, Ni, Cu, Zn, Br and Sr) was analyzed every 4 weeks (from May to November) with a non-destructive probe (PIXE) in newly deposited shell of the left valve, and in pigmented, non-pigmented and the right valve of 30 living C. virginica grown for 28 weeks in three dissimilar environments (10 oysters in each habitat): closed laboratory mariculture (HI), closed laboratory mariculture plus suspended sediment (HII) and natural flowing estuary (HIII). The same elements were analyzed weekly in suspended particles (on 0.4 mu m Millipore filters) in the culture seawater in HI and HII and in ambient seawater in HIII; and at the end of the study in gills, adductor muscles, gonads and tissues of whole oysters. Elements in suspended sediment were concentrated primarily on the particles; not in the seawater filtrate. Barite crystals were present in some of the plankton samples. Growth rate was slowest in HI oysters, that of HII and HIII was similar and greater than that of HI. Seasonal trends in concentration of elements in valves in the different habitats varied. Ti remained relatively constant in HI valves during culture, but tended to decrease in HII, and increased in HIII. Other elements in HI tended to remain constant (Cu), or to increase (Fe); in HII some elements decreased conspicuously; in HIII some increases were prominent (Mg, Zn). A temporal change in level of many elements in shell paralleled that of the same element in suspended particles (Fe in HI, ME, Cu, Zn in HIII); levels decreased in HII (Al, Ti, Fe). Parallelism of elemental concentration in shell and suspended particles was expressed as major peaks in both, mostly in HIII the natural estuarine setting. For Ni, Cu, Zn and Br, especially in HII, peaks were out of phase. Comparison of concentration of elements in old (4th week of culture) and new (28th week) shell showed some trends among the three habitats; consistent association was evident in 10 elements in HIII. Maximal concentration of most elements occurred in the right valve. Pigmented shell contained slightly higher levels of most elements, but differences were only suggestive. After 28 weeks of culture, soft tissues contained several times the concentration of elements, and greater variability, than shell. Maximal concentration (biomagnification) of 13 elements took place in gills, gonads and adductor muscles, but not in whole oysters. There were clear differences in concentration of many of the elements among gills, gonads and adductor muscles in HI, HII and HIII, decreasing or increasing incrementally from HI to HII. Concentration of a few elements was associated in shell and tissues: in shell in HI, Fe, and in HIII, Zn increased during the 28 weeks and was also maximal in the three organs at the end of the study. All other elements (less Ca, Mn and Sr) were more concentrated in tissues than in shell, Zn, Cl and Br to a high degree. The relationship between biomagnification in different organs and the different microstructures of the shell is still unclear. The investigation focused on ecological aspects of biomineralization in living bivalves, an aspect little studied in the past. It was made possible by the use of the non-destructive PIXE probe and suggests a model from which to initiate further comparative studies.</t>
  </si>
  <si>
    <t>UNIV DELAWARE, BARTOL RES INST, NEWARK, DE 19716 USA; INDIANA UNIV PENN, MARINE SCI CONSORTIUM, WALLOPS ISL, VA 23337 USA</t>
  </si>
  <si>
    <t>University of Delaware; Pennsylvania State System of Higher Education (PASSHE); Indiana University of Pennsylvania</t>
  </si>
  <si>
    <t>Carriker, MR (corresponding author), UNIV DELAWARE, COLL MARINE STUDIES, LEWES, DE 19958 USA.</t>
  </si>
  <si>
    <t>10.1016/0022-0981(96)00013-5</t>
  </si>
  <si>
    <t>VJ059</t>
  </si>
  <si>
    <t>WOS:A1996VJ05900006</t>
  </si>
  <si>
    <t>Comparative Toxicity of Nitrate to Common and Imperiled Freshwater Mussel Glochidia and Larval Fishes</t>
  </si>
  <si>
    <t>SHORT-TERM TOXICITY; LAMPSILIS-SILIQUOIDEA; LIFE-STAGE; JUVENILES; AMMONIA; NITRITE; SENSITIVITY; CHEMICALS; COPPER</t>
  </si>
  <si>
    <t>Growing human populations and increasingly intensive agriculture have resulted in widespread aquatic nitrate pollution. Freshwater mussel populations have been in decline for decades but often are underrepresented in data used for the development of ambient water quality criteria and acute toxicity of nitrate to mussel glochidia has not yet been established. Additionally, toxicity testing with aquatic species often is limited to a few model species; however, relatively little is known about how representative model species are of imperiled species. Therefore, to better define the acute toxicity of nitrate to common and rare aquatic species, we conducted 24-h nitrate acute toxicity tests with glochidia of four species of freshwater mussels, including a federally threatened species (Hamiota altilis) and 7-day tests with larval fish of three species: fathead minnow (Pimephales promelas), tricolor shiner (Cyprinella trichroistia), and tilapia (Oreochromis spp.), across a range of water hardness. Median effective concentrations (EC(50)s) in freshwater mussel glochidia ranged from 524 to 904 mg/L NO3-N in moderately hard water. In fish, median lethal concentrations (LC(50)s) ranged from 228 to 1725 mg/L NO3-N and varied with water hardness. Of the species tested, generally sensitivity of the common species was similar to the rare species, although relative sensitivity varied with water hardness. Based on these results, we can conclude that acute lethal effects are unlikely for the fish and mussel species considered here at current environmental levels, but the results of these standardized tests are useful for the development of ambient water quality criteria and other regulatory and management decisions regarding acute nitrate exposures.</t>
  </si>
  <si>
    <t>[Moore, Adrian P.; Bringolf, Robert B.] Univ Georgia, Interdisciplinary Toxicol Program, Athens, GA 30602 USA; [Moore, Adrian P.; Bringolf, Robert B.] Univ Georgia, Warnell Sch Forestry &amp; Nat Resources, 180 E Green St, Athens, GA 30602 USA</t>
  </si>
  <si>
    <t>Bringolf, RB (corresponding author), Univ Georgia, Interdisciplinary Toxicol Program, Athens, GA 30602 USA.;Bringolf, RB (corresponding author), Univ Georgia, Warnell Sch Forestry &amp; Nat Resources, 180 E Green St, Athens, GA 30602 USA.</t>
  </si>
  <si>
    <t>Bringolf, Robert/0000-0002-8351-3009; Moore, Adrian/0000-0001-9277-6399</t>
  </si>
  <si>
    <t>U.S. Fish and Wildlife Service Science Support Partnership; U.S. Geological Survey at the University of Georgia [G15AC00213]; University of Georgia [A2016 06-030-Y2-A2]</t>
  </si>
  <si>
    <t>U.S. Fish and Wildlife Service Science Support Partnership; U.S. Geological Survey at the University of Georgia; University of Georgia</t>
  </si>
  <si>
    <t>Funding for this project was provided by a U.S. Fish and Wildlife Service Science Support Partnership with the U.S. Geological Survey through Cooperative Agreement No. G15AC00213 at the University of Georgia. Assistantship support for A.P.M. was provided by the University of Georgia Interdisciplinary Toxicology Program and the Warnell School of Forestry and Natural Resources at the University of Georgia via the National Institute of Food and Agriculture. Mussels used in these experiments were generously provided by Dr. Paul Johnson and the staff at the Alabama Aquatic Biodiversity Center, Dr. Chris Barnhart at the University of Missouri, and Dr. Jim Stoeckel at Auburn University. The authors thank Bob Ratajczak for his assistance in the collection of fish and execution of this study. This study was conducted under the auspices of the University of Georgia Animal Use Protocol No. A2016 06-030-Y2-A2.</t>
  </si>
  <si>
    <t>10.1007/s00244-020-00708-z</t>
  </si>
  <si>
    <t>LC5TI</t>
  </si>
  <si>
    <t>WOS:000510373900001</t>
  </si>
  <si>
    <t>Blanco-Rayón, E; Ivanina, AV; Sokolova, IM; Marigómez, I; Izagirre, U</t>
  </si>
  <si>
    <t>Blanco-Rayon, Esther; Ivanina, Anna, V; Sokolova, Inna M.; Marigomez, Ionan; Izagirre, Urtzi</t>
  </si>
  <si>
    <t>Food-type may jeopardize biomarker interpretation in mussels used in aquatic toxicological experimentation</t>
  </si>
  <si>
    <t>WATER-ACCOMMODATED FRACTION; MYTILUS-GALLOPROVINCIALIS; DIGESTIVE GLAND; MARINE MUSSEL; LYSOSOMAL RESPONSES; HEAVY-METALS; DNA-DAMAGE; TRANSCRIPTIONAL RESPONSES; QUANTITATIVE ALTERATIONS; MEDITERRANEAN MUSSEL</t>
  </si>
  <si>
    <t>To assess the influence of food type on biomarkers, mussels (Mytilus galloprovincialis) were maintained under laboratory conditions and fed using 4 different microalgae diets ad libitum for 1 week: (a) Isochrysis galbana; (b) Tetraselmis chuii; (c) a mixture of I. galbana and T. chuii; and (d) a commercial food (Microalgae Composed Diet, Acuinuga). Different microalgae were shown to present different distribution and fate in the midgut. I. galbana (approximate to 4 mu m empty set) readily reached digestive cells to be intracellularly digested. T. chuii (approximate to 10 mu m empty set and hardly digestible) was retained in stomach and digestive ducts for long times and extracellularly digested. Based on these findings, it appeared likely that the presence of large amounts of microalgal enzymes and metabolites might interfere with biochemical determinations of mussel's biomarkers and/or that the diet-induced alterations of mussels' digestion could modulate lysosomal and tissue-level biomarkers. To test these hypotheses, a battery of common biochemical, cytological and tissue-level biomarkers were determined in the gills (including activities of pyruvate kinase, phosphoenolpyruvate carboxykinase and cytochrome c oxidase) and the digestive gland of the mussels (including protein, lipid, free glucose and glycogen total content, lysosomal structural changes and membrane stability, intracellular accumulation of neutral lipids and lipofuscins, changes in cell type composition and epithelial thinning, as well as altered tissue integrity). The type of food was concluded to be a major factor influencing biomarkers in short-term experiments though not all the microalgae affected biomarkers and their responsiveness in the same way. T. chuii seemed to alter the nutritional status, oxidative stress and digestion processes, thus interfering with a variety of biomarkers. On the other hand, the massive presence of I. galbana within digestive cells hampered the measurement of cytochemical biomarkers and rendered less reliable the results of biochemical biomarkers (as these could be attributed to both the mussel and the microalgae). Research to optimize dietary food type, composition, regime and rations for toxicological experimentation is urgently needed. Meanwhile, a detailed description of the food type and feeding conditions should be always provided when reporting aquatic toxicological experiments with mussels, as a necessary prerequisite to compare and interpret the biological responses elicited by pollutants.</t>
  </si>
  <si>
    <t>[Blanco-Rayon, Esther; Marigomez, Ionan; Izagirre, Urtzi] Univ Basque Country, UPV EHU, Dept Zool &amp; Anim Cell Biol, CBET Res Grp, Leioa, Basque Country, Spain; [Blanco-Rayon, Esther; Marigomez, Ionan; Izagirre, Urtzi] Univ Basque Country, PiE UPV EHU, Plentzia Marine Stn, Res Ctr Expt Marine Biol &amp; Biotechnol, Plentzia, Basque Country, Spain; [Ivanina, Anna, V; Sokolova, Inna M.] Univ N Carolina, Dept Biol Sci, Charlotte, NC USA; [Sokolova, Inna M.] Univ Rostock, Interdisciplinary Fac, Dept Marine Biol, Inst Biosci, Rostock, Germany; [Sokolova, Inna M.] Univ Rostock, Interdisciplinary Fac, Dept Maritime Syst, Rostock, Germany</t>
  </si>
  <si>
    <t>University of Basque Country; University of Basque Country; University of North Carolina; University of North Carolina Charlotte; University of Rostock; University of Rostock</t>
  </si>
  <si>
    <t>Izagirre, Urtzi/C-3848-2017; Sokolova, Inna/B-4955-2009; MARIGOMEZ ALLENDE, Ionan/C-3909-2017</t>
  </si>
  <si>
    <t>Izagirre, Urtzi/0000-0002-3477-4974; Sokolova, Inna/0000-0002-2068-4302; MARIGOMEZ ALLENDE, Ionan/0000-0001-6274-541X</t>
  </si>
  <si>
    <t>Spanish Ministry of Economy and Finance [BMW-CTM2012-40203-C02-01]; University of the Basque Country UPV/EHU [UFI 11/37]; Basque Government [IT810-B]; Department of Education of the Basque Government [PRE2013 1 640]</t>
  </si>
  <si>
    <t>Spanish Ministry of Economy and Finance(Spanish Government); University of the Basque Country UPV/EHU; Basque Government(Basque Government); Department of Education of the Basque Government</t>
  </si>
  <si>
    <t>This work was funded by the Spanish Ministry of Economy and Finance (BMW-CTM2012-40203-C02-01), the University of the Basque Country UPV/EHU (UFI 11/37) and the Basque Government (Consolidated Research Groups Grant IT810-B). EB-R was recipient of a doctoral fellowship (PRE2013 1 640) financed by the Department of Education of the Basque Government (Eusko Jaurlaritza).</t>
  </si>
  <si>
    <t>e0220661</t>
  </si>
  <si>
    <t>10.1371/journal.pone.0220661</t>
  </si>
  <si>
    <t>IW5BL</t>
  </si>
  <si>
    <t>WOS:000484993600027</t>
  </si>
  <si>
    <t>Lopes, FC; de Castro, MR; Barbosa, SC; Primel, EG; Martins, CDG</t>
  </si>
  <si>
    <t>Lopes, Fernanda Chaves; de Castro, Micheli Rosa; Barbosa, Sergiane Caldas; Primel, Ednei Gilberto; Gaspar Martins, Camila de Martinez</t>
  </si>
  <si>
    <t>Effect of the UV filter, Benzophenone-3, on biomarkers of the yellow clam (Amarilladesma mactroides) under different pH conditions</t>
  </si>
  <si>
    <t>Sunscreen; Oxybenzone; Acidification; Antioxidants; Biomineralization</t>
  </si>
  <si>
    <t>ECOLOGICAL RISK-ASSESSMENT; OXIDATIVE STRESS; OCEAN ACIDIFICATION; COPPER EXPOSURE; ENVIRONMENTAL OCCURRENCE; SEAWATER ACIDIFICATION; EMERGING POLLUTANTS; CORAL-REEFS; LIFE STAGES; BIOACCUMULATION</t>
  </si>
  <si>
    <t>This work aimed to investigate effects of the ocean contamination by the sunscreen Benzophenone-3 (BP3) and acidification, caused by CO2 enrichment, to the yellow clam, Amarilladesma mactroides. Biochemical biomarkers were analyzed in tissues (gills, digestive gland, and mantle) of clams exposed to the environmental concentration of 1 mu g/L BP3, at seawater natural pH (pH 8.1) and at lower pH (pH 7.6). The tissues responded in different ways considering their physiological roles. In general, BP3 altered activity of the enzymes, glutathione-S-transferase (GST) and glutathione cysteine ligase (GCL); but mostly increased the level of glutathione (GSH). These effects were enhanced by acidification, without augmenting lipid peroxidation (LPO). Carbonic anhydrase activity (CA) increased after BP3 exposure in the digestive gland and decreased in the gills at pH 7.6, while Ca2+-ATPase activity was affected by acidification only. Changing levels of these enzymes can alter shell formation and affect the bivalve maintenance in impacted environments.</t>
  </si>
  <si>
    <t>[Lopes, Fernanda Chaves; de Castro, Micheli Rosa; Gaspar Martins, Camila de Martinez] Univ Fed Rio Grande, Inst Ciencias Biol, Programa Posgrad Ciencias Fisiol, Av Italia Km 8, BR-96203900 Rio Grande, RS, Brazil; [Barbosa, Sergiane Caldas; Primel, Ednei Gilberto] Univ Fed Rio Grande, Escola Quim &amp; Alimentos, Av Italia Km 8, BR-96203900 Rio Grande, RS, Brazil</t>
  </si>
  <si>
    <t>Martins, CDG (corresponding author), Univ Fed Rio Grande FURG, Inst Ciencias Biol, Av Italia Km 8,Campus Carreiros, BR-96203900 Rio Grande, RS, Brazil.</t>
  </si>
  <si>
    <t>sergianecaldas@furg.br; camilamartins@furg.br</t>
  </si>
  <si>
    <t>Caldas, Sergiane/C-5596-2013; Primel, Ednei/W-9324-2019; de Martinez Gaspar Martins, Camila/AAR-7061-2020; de Martinez Gaspar Martins, Camila/J-2400-2013</t>
  </si>
  <si>
    <t>Primel, Ednei Gilberto Primel; Primel, Ednei; GilbertoPrimel; Ednei G.Primel; GPrimel, E; G.Prime; Ednei G./0000-0002-8147-232X; de Martinez Gaspar Martins, Camila/0000-0001-7084-9948; Caldas Barbosa, Sergiane/0000-0002-9369-7331</t>
  </si>
  <si>
    <t>CAPES - Coordination for the Improvement of Higher Education Personnel, Brazil [001]</t>
  </si>
  <si>
    <t>CAPES - Coordination for the Improvement of Higher Education Personnel, Brazil(Coordenacao de Aperfeicoamento de Pessoal de Nivel Superior (CAPES))</t>
  </si>
  <si>
    <t>We thank Dr. Fabio Hermes Pusceddu (UNIFESP) who provided the CO2SYS program with the ability to calculate carbonate species. MRC is post-doctoral fellow from CAPES (PNPD - 2018). This work was supported by CAPES - Coordination for the Improvement of Higher Education Personnel - cod. 001, Brazil. We thank Dr. Fabio Hermes Pusceddu (Universidade Federal de Sao Paulo - UNIFESP) who provided the CO2SYS program with the ability to calculate carbonate species. MRC is post-doctoral fellow from CAPES, Brazil.</t>
  </si>
  <si>
    <t>10.1016/j.marpolbul.2020.111401</t>
  </si>
  <si>
    <t>WOS:000555500000041</t>
  </si>
  <si>
    <t>Cheng, ZH; Xu, MX; Cao, QY; Chi, WD; Cao, S; Zhou, ZY; Wang, Y</t>
  </si>
  <si>
    <t>Cheng, Zihua; Xu, Mengxue; Cao, Qiyue; Chi, Wendan; Cao, Sai; Zhou, Zhongyuan; Wang, You</t>
  </si>
  <si>
    <t>Antioxidant Systematic Alteration Was Responsible for Injuries Inflicted on the Marine Blue Mussel Mytilus edulis Following Strontium Exposure</t>
  </si>
  <si>
    <t>nuclear-contaminated water; stable strontium; Mytilus edulis; toxic effect; risk assessment</t>
  </si>
  <si>
    <t>FLOW-CYTOMETRY; HEMOCYTES; ACCUMULATION; CADMIUM; OYSTER; METABOLISM; POLLUTION; TOOL</t>
  </si>
  <si>
    <t>The ionic properties of strontium (Sr), a significant artificial radionuclide in the marine environment, were estimated using a stable nuclide-substituting experimental system under controlled laboratory conditions. The bio-accumulation of Sr and its impacts, as well as any possible hidden mechanisms, were evaluated based on the physiological alterations of the sentinel blue mussel Mytilus edulis. The mussels were exposed to a series of stress-inducing concentrations, with the highest solubility being 0.2 g/L. No acute lethality was observed during the experiment, but sublethal damage was evident. Sr accumulated in a tissue-specific way, and hemolymph was the target, with the highest accumulating concentration being 64.46 mu g/g wet weight (ww). At the molecular level, increases in the levels of reactive oxygen species (ROS) and malondialdehyde (MDA) and changes in ROS components (H2O2, O2-, and -OH) and antioxidant system activity indicated that the redox equilibrium state in hemocytes was disturbed. Furthermore, the rise in the hemocyte micronucleus (MN) rate (4 parts per thousand in the high-concentration group) implied DNA damage. At the cellular level, the structures of hemocytes were damaged, especially with respect to lysosomes, which play a crucial role in phagocytosis. Lysosomal membrane stability (LMS) was also affected, and both acid phosphatase (ACP) and alkaline phosphatase (AKP) activities were reduced, resulting in a significant decline in phagocytosis. The hemolymph population structure at the organ level was disturbed, with large changes in hemocyte number and mortality rate, along with changes in component ratios. These toxic effects were evaluated by employing the adverse outcome pathway (AOP) framework. The results suggested that the disruption of intracellular redox homeostasis is a possible explanation for Sr-induced toxicity in M. edulis.</t>
  </si>
  <si>
    <t>[Cheng, Zihua; Cao, Qiyue; Cao, Sai; Zhou, Zhongyuan; Wang, You] Ocean Univ China, Coll Marien Life Sci, Qingdao 266000, Peoples R China; [Cheng, Zihua; Zhou, Zhongyuan; Wang, You] Qingdao Marine Sci &amp; Technol Ctr, Lab Marine Ecol &amp; Environm Sci, Laoshan Lab, Qingdao 266200, Peoples R China; [Xu, Mengxue; Chi, Wendan] Marine Sci Res Inst Shandong Prov, Qingdao 266100, Peoples R China; [Xu, Mengxue; Chi, Wendan] Qingdao Key Lab Coastal Ecol Restorat &amp; Secur, Qingdao 266104, Peoples R China</t>
  </si>
  <si>
    <t>Ocean University of China; Laoshan Laboratory</t>
  </si>
  <si>
    <t>Wang, Y (corresponding author), Ocean Univ China, Coll Marien Life Sci, Qingdao 266000, Peoples R China.;Wang, Y (corresponding author), Qingdao Marine Sci &amp; Technol Ctr, Lab Marine Ecol &amp; Environm Sci, Laoshan Lab, Qingdao 266200, Peoples R China.</t>
  </si>
  <si>
    <t>chengzihua@stu.ouc.edu.cn; wyf9768@stu.ouc.edu.cn; caoqiyue@stu.ouc.edu.cn; chiwendan01@shandong.cn; caosai@ouc.edu.cn; zhouzhongyuan@ouc.edu.cn; wangyou@ouc.edu.cn</t>
  </si>
  <si>
    <t>Cheng, Zihua/JAN-8269-2023</t>
  </si>
  <si>
    <t>Qingdao Natural Science Foundation</t>
  </si>
  <si>
    <t>The authors were thankful to all the members of the lab for their assistance.</t>
  </si>
  <si>
    <t>10.3390/antiox13040464</t>
  </si>
  <si>
    <t>QQ1F3</t>
  </si>
  <si>
    <t>WOS:001222236300001</t>
  </si>
  <si>
    <t>Soucek, DJ; Dickinson, A</t>
  </si>
  <si>
    <t>Soucek, D. J.; Dickinson, A.</t>
  </si>
  <si>
    <t>Acute Toxicity of Nitrate and Nitrite to Sensitive Freshwater Insects, Mollusks, and a Crustacean</t>
  </si>
  <si>
    <t>SHORT-TERM TOXICITY; NITROGEN POLLUTION; AMMONIA; CRAYFISH; SEDIMENT; CHLORIDE; CHEMICALS; ASTACUS; COPPER; SNAIL</t>
  </si>
  <si>
    <t>Both point- and nonpoint-sources of pollution have contributed to increased inorganic nitrogen concentrations in freshwater ecosystems. Although numerous studies have investigated the toxic effects of ammonia on freshwater species, relatively little work has been performed to characterize the acute toxicity of the other two common inorganic nitrogen species: nitrate and nitrite. In particular, to our knowledge, no published data exist on the toxicity of nitrate and nitrite to North American freshwater bivalves (Mollusca) or stoneflies (Insecta, Plecoptera). We conducted acute (96-h) nitrate and nitrite toxicity tests with two stonefly species (Allocapnia vivipara and Amphinemura delosa), an amphipod (Hyalella azteca), two freshwater unionid mussels (Lampsilis siliquoidea and Megalonaias nervosa), a fingernail clam (Sphaerium simile), and a pond snail (Lymnaea stagnalis). Overall, we did not observe a particularly wide degree of variation in sensitivity to nitrate, with median lethal concentrations ranging from 357 to 937 mg NO3-N/l; furthermore, no particular taxonomic group appeared to be more sensitive to nitrate than any other. In our nitrite tests, the two stoneflies tested were by far the most sensitive, and the three mollusks tested were the least sensitive. In contrast to what was observed in the nitrate tests, variation among species in sensitivity to nitrite spanned two orders of magnitude. Examination of the updated nitrite database, including previously published data, clearly showed that insects tended to be more sensitive than crustaceans, which were in turn more sensitive than mollusks. Although the toxic mechanism of nitrite is generally thought to be the conversion of oxygen-carrying pigments into forms that cannot carry oxygen, our observed trend in sensitivity of broad taxonomic groups, along with information on respiratory pigments in those groups, suggests that some other yet unknown mechanism may be even more important.</t>
  </si>
  <si>
    <t>[Soucek, D. J.; Dickinson, A.] Univ Illinois, Illinois Nat Hist Survey, Champaign, IL 61820 USA</t>
  </si>
  <si>
    <t>University of Illinois System; University of Illinois Urbana-Champaign; Illinois Natural History Survey</t>
  </si>
  <si>
    <t>Soucek, DJ (corresponding author), Univ Illinois, Illinois Nat Hist Survey, 1816 S Oak St, Champaign, IL 61820 USA.</t>
  </si>
  <si>
    <t>d-soucek@inhs.uiuc.edu</t>
  </si>
  <si>
    <t>Dickinson, Amy/GQP-8040-2022</t>
  </si>
  <si>
    <t>Dickinson, Amy/0000-0001-9773-3574; Soucek, David/0000-0002-7741-0193</t>
  </si>
  <si>
    <t>USEPA Region 5 by way of Great Lakes Environmental Center</t>
  </si>
  <si>
    <t>This study was funded by USEPA Region 5 by way of Great Lakes Environmental Center. Kaley Major (INHS) provided technical assistance with collecting and culturing of organisms and conducting toxicity tests. Ed Dewalt (INHS) assisted with collection and identification of stonefly nymphs. Duane Kimme (UIUC) measured nitrate and nitrite concentrations in our water samples. Comments from two anonymous reviewers greatly improved this manuscript.</t>
  </si>
  <si>
    <t>10.1007/s00244-011-9705-8</t>
  </si>
  <si>
    <t>881SR</t>
  </si>
  <si>
    <t>WOS:000299509400005</t>
  </si>
  <si>
    <t>Horion, S; Thomé, JP; Gismondi, É</t>
  </si>
  <si>
    <t>Horion, Sibylle; Thome, Jean-Pierre; Gismondi, Eric</t>
  </si>
  <si>
    <t>Changes in antitoxic defense systems of the freshwater amphipod Gammarus pulex exposed to BDE-47 and BDE-99</t>
  </si>
  <si>
    <t>Polybrominated diphenyl ethers (PBDEs); Gammarus pulex; Multixenobiotic resistance; Antitoxic defenses; Antitoxic enzymes</t>
  </si>
  <si>
    <t>POLYBROMINATED DIPHENYL ETHERS; MULTIXENOBIOTIC RESISTANCE MECHANISM; BROMINATED FLAME RETARDANTS; AQUATIC ORGANISMS; BIOMARKERS; MUSSELS; STRESS; FISH; BIOACCUMULATION; INDUCTION</t>
  </si>
  <si>
    <t>Polybrominated diphenyl ethers (PBDEs) are emerging pollutants widely distributed in aquatic environment. Although the bioaccumulation of this compound has been well studied, few studies have investigated their impacts on antitoxic systems of invertebrates, considering both genders. Here, we have evaluated the effects of BDE-47 and BDE-99 congeners on the antitoxic defence systems of the freshwater amphipod Gammarus pulex, and especially on the multixenobiotic resistance (MXR) activity, as well as the activities of two antitoxic enzymes, the glutathione-S-transferase (GST) and the glutathione peroxidases (GPx). Results revealed that BDE-47 and BDE-99 have inhibited the MXR activity whatever the gammarid gender, which could lead to a reduction of the pollutant elimination from the organism. In addition, a gender-biased response and a congener-biased effect on the antitoxic enzymes activities were observed. Indeed, both BDE congener exposures increased the GST activity in males, whereas in females, only BDE-99 congener modified this activity by decreasing it. On the contrary, BDE exposures did not impact the GPx activity in females, while in males BDE-99 has increased it. Results of the present study highlight that a PBDE exposure at 0.1 A mu g L-1 modify antitoxic enzymes activities differently according to gender, which could lead to a change in G. pulex sensitivity on the long term. Finally, this work confirms the ecotoxicological implication of gender in the pollutant toxicity assessment, in order to evaluate impact on populations.</t>
  </si>
  <si>
    <t>[Horion, Sibylle; Thome, Jean-Pierre; Gismondi, Eric] Univ Liege, Inst Chem, Lab Anim Ecol &amp; Ecotoxicol LEAE, B-4000 Liege, Belgium</t>
  </si>
  <si>
    <t>Gismondi, É (corresponding author), Univ Liege, Inst Chem, Lab Anim Ecol &amp; Ecotoxicol LEAE, Bat B6C,15 Allee 6 Aout, B-4000 Liege, Belgium.</t>
  </si>
  <si>
    <t>eric.gismondi@ulg.ac.be</t>
  </si>
  <si>
    <t>Gismondi, Eric/ABC-4356-2020</t>
  </si>
  <si>
    <t>Gismondi, Eric/0000-0003-3102-3443</t>
  </si>
  <si>
    <t>Belgium funds under an F.R.S.-FNRS Grant (Aspirant); University of Liege; University of Liege (Belgium)</t>
  </si>
  <si>
    <t>Belgium funds under an F.R.S.-FNRS Grant (Aspirant)(Fonds de la Recherche Scientifique - FNRS); University of Liege(University of Liege); University of Liege (Belgium)(University of Liege)</t>
  </si>
  <si>
    <t>Sibylle Horion was financially supported by Belgium funds under an F.R.S.-FNRS Grant (Aspirant) and a Grant from the University of Liege. Dr. Eric Gismondi was funded by a post-doctoral Grant from the University of Liege (Belgium). We are grateful to Dr. Celia Joaquim-Justo for approving the English text.</t>
  </si>
  <si>
    <t>10.1007/s10646-015-1438-4</t>
  </si>
  <si>
    <t>CF3II</t>
  </si>
  <si>
    <t>WOS:000352441500021</t>
  </si>
  <si>
    <t>Azevedo-Linhares, M; Freire, CA</t>
  </si>
  <si>
    <t>Azevedo-Linhares, Maristela; Freire, Carolina A.</t>
  </si>
  <si>
    <t>Evaluation of impacted Brazilian estuaries using the native oyster Crassostrea rhizophorae: Branchial carbonic anhydrase as a biomarker</t>
  </si>
  <si>
    <t>Biomarkers; Branchial carbonic anhydrase; Estuary; Harbor; Pollution; Salinity</t>
  </si>
  <si>
    <t>TRACE-METAL CONTAMINATION; CARCINUS-MAENAS; LITOPENAEUS-VANNAMEI; IONIC REGULATION; SOUTHERN BRAZIL; ATPASE ACTIVITY; HEAVY-METALS; EXPOSURE; GILL; MANGROVE</t>
  </si>
  <si>
    <t>In this study, we investigated the use of branchial carbonic anhydrase activity in a sessile filter feeding species, the oyster Crassostrea rhizophorae, as a biomarker. The oysters were collected in three human impacted Brazilian estuaries, following a crescent latitudinal gradient: in Pernambuco state (Itamaraca), in Espirito Santo state (Piraque), and in Parana state (Paranagua), in August/2003 (Winter in the southern hemisphere) and February/2004 (Summer). Three sites were chosen in each estuary for oyster sampling: Reference (R), Contaminated 1 (C1, close to industrial/harbor contamination), and Contaminated 2 (C2, near to sewage discharges). Comparing to values in oysters sampled in reference sites, there was apparent inhibition in carbonic anhydrase activity (CAA) in gills of oysters from C1 of Itamaraca and from C2 of Piraque, both cases in Summer. On the other hand, increased CAA was noted in C2 oysters of Itamaraca in winter, and of Paranagua, in both seasons. Branchial CAA in C. rhizophorae was thus very responsive to coastal contamination. Data are consistent with its usefulness as a supporting biomarker for inexpensive and rapid analysis in the assessment of estuaries using a sessile osmoconformer species, but preferably allied to other biomarkers and with knowledge on the suite of contaminants present. (C) 2015 Published by Elsevier Inc.</t>
  </si>
  <si>
    <t>[Azevedo-Linhares, Maristela; Freire, Carolina A.] Univ Fed Parana, Dept Fisiol, Setor Ciencias Biol, BR-81531980 Curitiba, Parana, Brazil</t>
  </si>
  <si>
    <t>Universidade Federal do Parana</t>
  </si>
  <si>
    <t>Freire, CA (corresponding author), Univ Fed Parana, Dept Fisiol, Setor Ciencias Biol, BR-81531980 Curitiba, Parana, Brazil.</t>
  </si>
  <si>
    <t>cafreire@ufpr.br</t>
  </si>
  <si>
    <t>Freire, Carolina/J-3920-2015</t>
  </si>
  <si>
    <t>Freire, Carolina/0000-0003-3492-3893</t>
  </si>
  <si>
    <t>Ministry of Science and Technology through the Project RECOS-Recursos Costeiros/Coastal Resources - Institutos do Milenio/Millenium Institutes; CAPES (Brazilian Federal Graduate Programs Sponsor)</t>
  </si>
  <si>
    <t>Financial support from the Ministry of Science and Technology through the Project RECOS-Recursos Costeiros/Coastal Resources - Institutos do Milenio/Millenium Institutes is gratefully acknowledged. Authors are also grateful to CAPES (Brazilian Federal Graduate Programs Sponsor) for the Master of Science Fellowship of M. Azevedo.</t>
  </si>
  <si>
    <t>10.1016/j.ecoenv.2015.09.027</t>
  </si>
  <si>
    <t>CV4UW</t>
  </si>
  <si>
    <t>WOS:000364263000061</t>
  </si>
  <si>
    <t>Machado, AAD; Wood, CM; Bianchini, A; Gillis, PL</t>
  </si>
  <si>
    <t>Machado, Anderson Abel de S.; Wood, Chris M.; Bianchini, Adalto; Gillis, Patricia L.</t>
  </si>
  <si>
    <t>Responses of biomarkers in wild freshwater mussels chronically exposed to complex contaminant mixtures</t>
  </si>
  <si>
    <t>Biomarkers; Environmental assessment; Freshwater mussel; Metal; Oxidative stress; Urban River</t>
  </si>
  <si>
    <t>MUNICIPAL WASTE-WATER; LOWER GREAT-LAKES; OXIDATIVE STRESS; LIPID-PEROXIDATION; LASMIGONA-COSTATA; MECHANISMS; TOXICITY; COPPER; BIOACCUMULATION; POLLUTION</t>
  </si>
  <si>
    <t>Subcellular biochemical biomarkers are valuable early warning indicators of environmental contaminant effects. Thus, the present study evaluated several biomarkers and the relationships among them in wild freshwater mussels (Lasmigona costata) from a gradient of metal exposure and differential levels of other urban-related influences in the Grand River (ON, Canada). The biomarkers examined are related to metal exposure [gill ion and metal concentrations (Na, K, Ca, Mg, Cd, Cu, Ni, Pb and Zn)], oxidative status [reactive oxygen species (ROS), catalase (CAT), superoxide dismutase (SOD), antioxidant capacity (ACAP)], sulfhydryl (SH) metabolism [glutathione (GSH), protein sulfhydryl groups (SH protein), glutathione S-transferase (GST), glutathione reductase (GR)], and lipid peroxidation. Gill metal concentration increased proportionally to waterborne metal concentration and disturbances in osmotic and divalent cations (Ca and Mg) concentrations were observed. This suggests that the observed effects are associated with metal exposure, although simultaneous relationships with other contaminants are also possible. Oxidative status biomarkers (ROS, SOD, CAT and ACAP) were more sensitive to urban-influences than gill metal concentration. In contrast, biomarkers involving SH metabolism (GSH, SH protein, total SH, GR and GST) were more correlated with gill metal concentration. Oxidative damage occurred when both metal and urban-related influences were high. Mechanistically, the way of dealing with oxidative stress changed when mussels were exposed to high levels of contaminants. The reduction in ROS content, SOD and CAT activity, and ACAP accompanying the stimulation of detoxification metabolism via SH (GSH and SH protein contents, GST and GR activities) and their association with gill metal concentration are discussed.</t>
  </si>
  <si>
    <t>[Machado, Anderson Abel de S.; Gillis, Patricia L.] Environm Canada, Water Sci &amp; Technol Directorate, Burlington, ON L7R 4A6, Canada; [Machado, Anderson Abel de S.; Wood, Chris M.] McMaster Univ, Dept Biol, Hamilton, ON L8S 4K1, Canada; [Machado, Anderson Abel de S.; Bianchini, Adalto] Univ Fed Rio Grande FURG, Inst Ciencias Biol, Rio Grande, RS, Brazil</t>
  </si>
  <si>
    <t>Environment &amp; Climate Change Canada; McMaster University; Universidade Federal do Rio Grande</t>
  </si>
  <si>
    <t>Machado, AAD (corresponding author), Leibniz Inst Freshwater Ecol &amp; Inland Fisheries, Muggelseedamm 310, D-12587 Berlin, Germany.</t>
  </si>
  <si>
    <t>machadoaas@gmail.com</t>
  </si>
  <si>
    <t>Wood, Chris/C-3021-2009; Bianchini, Adalto/C-5384-2013</t>
  </si>
  <si>
    <t>Bianchini, Adalto/0000-0002-7627-7650; Wood, Chris/0000-0002-9542-2219</t>
  </si>
  <si>
    <t>International Development Research Centre (IDRC, Ottawa, Canada); Coordenacao de Aperfeicoamento de Pessoal de Ensino Superior (CAPES-Programa Ciencias do Mar, Brasilia, DF, Brazil); Conselho Nacional de Desenvolvimento Cientifico e Tecnologico (CNPq-Instituto Nacional de Ciencia e Tecnologia de Toxicologia Aquatica, Brasilia, DF, Brazil); Brazilian CNPq [304430/2009-9]; International Canada Research Chair Program from IDRC; Canada Research Chair Program; Environment Canada</t>
  </si>
  <si>
    <t>International Development Research Centre (IDRC, Ottawa, Canada)(International Development Research Centre - IDRC); Coordenacao de Aperfeicoamento de Pessoal de Ensino Superior (CAPES-Programa Ciencias do Mar, Brasilia, DF, Brazil); Conselho Nacional de Desenvolvimento Cientifico e Tecnologico (CNPq-Instituto Nacional de Ciencia e Tecnologia de Toxicologia Aquatica, Brasilia, DF, Brazil); Brazilian CNPq(Conselho Nacional de Desenvolvimento Cientifico e Tecnologico (CNPQ)); International Canada Research Chair Program from IDRC(International Development Research Centre - IDRC); Canada Research Chair Program(Canada Research Chairs); Environment Canada(CGIAR)</t>
  </si>
  <si>
    <t>The authors thank Sarah Higgins, Rodney McInnis and Tina Hooey (Environment Canada) for field and laboratory assistance. Financial support was provided by the International Development Research Centre (IDRC, Ottawa, Canada), Coordenacao de Aperfeicoamento de Pessoal de Ensino Superior (CAPES-Programa Ciencias do Mar, Brasilia, DF, Brazil) and Conselho Nacional de Desenvolvimento Cientifico e Tecnologico (CNPq-Instituto Nacional de Ciencia e Tecnologia de Toxicologia Aquatica, Brasilia, DF, Brazil). A. Bianchini is a Research Fellow from the Brazilian CNPq (Proc. # 304430/2009-9) and supported by the International Canada Research Chair Program from IDRC. C. M. Wood is supported by the Canada Research Chair Program. P. L. Gillis is supported by Environment Canada.</t>
  </si>
  <si>
    <t>10.1007/s10646-014-1277-8</t>
  </si>
  <si>
    <t>AN4HQ</t>
  </si>
  <si>
    <t>WOS:000340548700020</t>
  </si>
  <si>
    <t>Impellitteri, F; Briglia, M; Porcino, C; Stoliar, O; Yunko, K; Germanà, A; Piccione, G; Faggio, C; Guerrera, MC</t>
  </si>
  <si>
    <t>Impellitteri, Federica; Briglia, Marilena; Porcino, Caterina; Stoliar, Oksana; Yunko, Katerina; Germana, Antonino; Piccione, Giuseppe; Faggio, Caterina; Guerrera, Maria Cristina</t>
  </si>
  <si>
    <t>The odd couple: Caffeine and microplastics. Morphological and physiological changes in Mytilus galloprovincialis</t>
  </si>
  <si>
    <t>MICROSCOPY RESEARCH AND TECHNIQUE</t>
  </si>
  <si>
    <t>caffeine; digestive gland analysis; gill morphology; microplastics; Mytilus galloprovincialis</t>
  </si>
  <si>
    <t>WASTE-WATER; CILIARY MECHANISMS; HISTOLOGICAL-CHANGES; COASTAL WATERS; MUSSELS; CELLS; POLLUTION; EXPOSURE; GILLS; INTERRELATIONSHIPS</t>
  </si>
  <si>
    <t>In recent years, the presence of pharmaceuticals and microplastics (MPs) in aquatic ecosystems has raised concerns about their environmental impact. This study explores the combined effects of caffeine, a common pharmaceutical pollutant, and MPs on the marine mussel Mytilus galloprovincialis. Caffeine, at concentrations of 20.0 mu g L-1, and MPs (1 mg L-1, 35-50 mu m size range), was used to mimic real-world exposure scenarios. Two hundred M. galloprovincialis specimens were divided into four groups: caffeine, MPs, Mix (caffeine + MPs), and Control. After a two-week acclimation period, the mollusks were subjected to these pollutants in oxygen-aerated aquariums under controlled conditions for 14 days. Histopathological assessments were performed to evaluate gill morphology. Cellular volume regulation and digestive gland cell viability were also analyzed. Exposure to caffeine and MPs induced significant morphological changes in M. galloprovincialis gills, including cilia loss, ciliary disk damage, and cellular alterations. The chitinous rod supporting filaments also suffered damage, potentially due to MP interactions, leading to hemocyte infiltration and filament integrity compromise. Hemocytic aggregation suggested an inflammatory response to caffeine. In addition, viability assessments of digestive gland cells revealed potential damage to cell membranes and function, with impaired cell volume regulation, particularly in the Mix group, raising concerns about nutrient metabolism disruption and organ function compromise. These findings underscore the vulnerability of M. galloprovincialis to environmental pollutants and emphasize the need for monitoring and mitigation efforts.</t>
  </si>
  <si>
    <t>[Impellitteri, Federica; Piccione, Giuseppe] Univ Messina, Dept Vet Sci, Messina, Italy; [Briglia, Marilena; Porcino, Caterina; Germana, Antonino; Guerrera, Maria Cristina] Univ Messina, Dept Vet Sci, Zebrafish Neuromorphol Lab, Messina, Italy; [Stoliar, Oksana; Yunko, Katerina] Ternopil Volodymyr Hnatiuk Natl Pedag Univ, Ternopol, Ukraine; [Faggio, Caterina] Univ Messina, Dept Chem Biol Pharmaceut &amp; Environm Sci, Messina, Italy; [Faggio, Caterina] Stn Zool Anton Dohrn, Dept Ecosustainable Marine Biotechnol, Naples, Italy</t>
  </si>
  <si>
    <t>University of Messina; University of Messina; Ministry of Education &amp; Science of Ukraine; Ternopil Volodymyr Hnatiuk National Pedagogical University; University of Messina; Stazione Zoologica Anton Dohrn di Napoli</t>
  </si>
  <si>
    <t>Porcino, C (corresponding author), Univ Messina, Dept Vet Sci, Zebrafish Neuromorphol Lab, Viale Giovanni Palatucci Snc, I-98168 Messina, Italy.</t>
  </si>
  <si>
    <t>caterina.porcino@unime.it</t>
  </si>
  <si>
    <t>Piccione, Giuseppe/P-3394-2015; Impellitteri, Federica/KHW-8504-2024</t>
  </si>
  <si>
    <t>Impellitteri, Federica/0000-0003-1694-2281</t>
  </si>
  <si>
    <t>1059-910X</t>
  </si>
  <si>
    <t>1097-0029</t>
  </si>
  <si>
    <t>MICROSC RES TECHNIQ</t>
  </si>
  <si>
    <t>Microsc. Res. Tech.</t>
  </si>
  <si>
    <t>10.1002/jemt.24483</t>
  </si>
  <si>
    <t>Anatomy &amp; Morphology; Biology; Microscopy</t>
  </si>
  <si>
    <t>Anatomy &amp; Morphology; Life Sciences &amp; Biomedicine - Other Topics; Microscopy</t>
  </si>
  <si>
    <t>MO5E4</t>
  </si>
  <si>
    <t>WOS:001146429000001</t>
  </si>
  <si>
    <t>Hidalgo, J; Artetxe, U; Becerril, JM; Gómez-Sagasti, MT; Epelde, L; Vilela, J; Garbisu, C</t>
  </si>
  <si>
    <t>Hidalgo, June; Artetxe, Unai; Becerril, Jose M.; Gomez-Sagasti, Maria T.; Epelde, Lur; Vilela, Juan; Garbisu, Carlos</t>
  </si>
  <si>
    <t>Biological remediation treatments improve the health of a mixed contaminated soil before significantly reducing contaminant levels</t>
  </si>
  <si>
    <t>Alfalfa; Microbial parameters; Polluted soil; Sewage sludge; Soil health; Spent mushroom substrate</t>
  </si>
  <si>
    <t>POLYCYCLIC AROMATIC-HYDROCARBONS; SPENT MUSHROOM SUBSTRATE; WHITE-ROT FUNGI; SEWAGE-SLUDGE; FESTUCA-ARUNDINACEA; ECOSYSTEM SERVICES; MICROBIAL BIOMASS; ENZYME-ACTIVITIES; PHYTOREMEDIATION; DEGRADATION</t>
  </si>
  <si>
    <t>The remediation of mixed contaminated soil is challenging as it often requires actions to minimize metal-induced risks while degrading organic contaminants. Here, the effectiveness of different bioremediation strategies, namely, rhizoremediation with native plant species, mycoremediation with Pleurotus ostreatus spent mushroom substrate, and biostimulation with organic by-products (i.e., composted sewage sludge and spent mushroom substrate), for the recovery of a mixed contaminated soil from an abandoned gravel pit was studied. The combination of biostimulation and rhizoremediation led to the most significant increase in soil health, according to microbial indicator values. The application of composted sewage sludge led to the highest reduction in anthracene and polychlorinated biphenyls concentrations. None of the strategies managed to decrease contamination levels below regulatory limits, but they did enhance soil health. It was concluded that the biological remediation treatments improved soil functioning in a short time, before the concentration of soil contaminants was significantly reduced.</t>
  </si>
  <si>
    <t>[Hidalgo, June; Epelde, Lur; Garbisu, Carlos] Basque Res &amp; Technol Alliance BRTA, NEIKER Basque Inst Agr Res &amp; Dev, Dept Conservat Nat Resources, Soil Microbial Ecol Grp, Parque Cient &amp; Tecnol Bizkaia P812, Derio 48160, Spain; [Artetxe, Unai; Becerril, Jose M.; Gomez-Sagasti, Maria T.] Univ Basque Country UPV EHU, Dept Plant Biol &amp; Ecol, POB 644, Bilbao 48080, Spain; [Vilela, Juan] CEA, Environm Studies Ctr, Paseo Senda 2, Vitoria, Spain</t>
  </si>
  <si>
    <t>Garbisu, C (corresponding author), Basque Res &amp; Technol Alliance BRTA, NEIKER Basque Inst Agr Res &amp; Dev, Dept Conservat Nat Resources, Soil Microbial Ecol Grp, Parque Cient &amp; Tecnol Bizkaia P812, Derio 48160, Spain.</t>
  </si>
  <si>
    <t>cgarbisu@neiker.eus</t>
  </si>
  <si>
    <t>Epelde, Lur/AFD-8347-2022; Becerril, Jose/H-1560-2015; Garbisu, Carlos/G-1908-2014; Gómez-Sagasti, María/I-6275-2017; vilela, juan/ADD-7988-2022; Garbisu, Carlos/D-1942-2012</t>
  </si>
  <si>
    <t>Garbisu, Carlos/0000-0002-5577-6151</t>
  </si>
  <si>
    <t>Interreg</t>
  </si>
  <si>
    <t>Interreg(Interreg Europe)</t>
  </si>
  <si>
    <t>We sincerely thank the Mushroom Technological Research Centre of La Rioja (Autol, Spain) and ESCONSU S.L. for kindly supplying the oyster mushroom substrate and the composted sewage sludge, respectively. The authors thank the support provided by SGIker, Phytotron Service of UPV/EHU.</t>
  </si>
  <si>
    <t>10.1007/s11356-023-31550-0</t>
  </si>
  <si>
    <t>HB9G9</t>
  </si>
  <si>
    <t>WOS:001131529900004</t>
  </si>
  <si>
    <t>CAJARAVILLE, MP; MARIGOMEZ, JA; ANGULO, E</t>
  </si>
  <si>
    <t>COMPARATIVE EFFECTS OF THE WATER ACCOMMODATED FRACTION OF 3 OILS ON MUSSELS .1. SURVIVAL, GROWTH AND GONAD DEVELOPMENT</t>
  </si>
  <si>
    <t>7TH SYMP ON INVERTEBRATE NEUROBIOLOGY</t>
  </si>
  <si>
    <t>JUN 23-28, 1991</t>
  </si>
  <si>
    <t>HUNGARIAN ACAD SCI, BALATON LIMNOL RES INST, TIHANY, HUNGARY</t>
  </si>
  <si>
    <t>HUNGARIAN ACAD SCI, BALATON LIMNOL RES INST</t>
  </si>
  <si>
    <t>BODY ZINC CONCENTRATION; MYTILUS-EDULIS; PETROLEUM-HYDROCARBONS; CRUDE-OIL; MARINE BIVALVE; EXPOSURE; RESPONSES; EXTRACTS; TOXICITY; RECOVERY</t>
  </si>
  <si>
    <t>1. Mussels, Mytilus galloprovincialis, were exposed to the water accommodated fraction (WAF) of two crude oils (types Ural and Maya) and of a commercial lubricant oil for 91 days. Synchronous spectrofluorometry showed that the aromatic hydrocarbon composition of the WAFs obtained from the three oils were significantly different (Maya-WAF heaviest, Ural-WAF lightest). 2. No significant mortality occurred in mussels exposed to the WAFs of the two crude oils, while all the animals exposed to lubricant-WAF died after 49 and 77 days in intermediate and high doses respectively. 3. Flesh and shell growth of mussels exposed to the WAFs was reduced significantly with respect to controls as demonstrated by several size, condition and allometric parameters. The response to petroleum hydrocarbon exposure is not dose-dependent, maximal responses being measured in low (Ural) and intermediate (Maya) doses. This seems to depend on a behavioural reaction (shell valve closure) against high doses of pollutants which may avoid the sublethal damage to some extent. 4. Shell abnormalities or changes in shell thickness were not detected. 5. The histological study of gonad tissue revealed that gamete release is retarded and hemocytic infiltration of mature gonad tissue is increased after exposure to low and intermediate doses of the WAFs. On the other hand, spawning is readily induced under exposure to high doses of the WAFs.</t>
  </si>
  <si>
    <t>CAJARAVILLE, MP (corresponding author), EUSKAL HERRIKO UNIBERTSITATEA,FAK ZIENTZI,BIOL ZELULARRA &amp; ZIENTZIA MORFOL SAILA,E-48080 BILBAO,SPAIN.</t>
  </si>
  <si>
    <t>10.1016/0742-8413(92)90051-8</t>
  </si>
  <si>
    <t>JC669</t>
  </si>
  <si>
    <t>WOS:A1992JC66900019</t>
  </si>
  <si>
    <t>Palavecino-De-La-Fuente, F; Silva-Aguayo, G; Figueroa-Cares, I; Gerding, M; Rodríguez-Maciel, JC; Lagunes-Tejeda, A; Castañeda-Ramirez, GS; Sotelo-Leyva, C; Curkovic, T; Aguilar-Marcelino, L</t>
  </si>
  <si>
    <t>Palavecino-De-La-Fuente, Fernanda; Silva-Aguayo, Gonzalo; Figueroa-Cares, Ines; Gerding, Macarena; Rodriguez-Maciel, Jose Concepcion; Lagunes-Tejeda, Angel; Castaneda-Ramirez, Gloria Sarahi; Sotelo-Leyva, Cesar; Curkovic, Tomislav; Aguilar-Marcelino, Liliana</t>
  </si>
  <si>
    <t>Insecticidal effect of hydroalcoholic extracts of Pleurotus ostreatus against Sitophilus zeamais</t>
  </si>
  <si>
    <t>CHILEAN JOURNAL OF AGRICULTURAL RESEARCH</t>
  </si>
  <si>
    <t>Edible mushroom; maize weevil; oyster mushroom</t>
  </si>
  <si>
    <t>FAST ETHANOL ASSAY; ESSENTIAL OIL; MAIZE WEEVIL; MUSHROOM; LECTIN</t>
  </si>
  <si>
    <t>The maize weevil (Sitophilus zeamais Motschulsky, 1855; Coleoptera, Curculionidae) is one of the most important pests associated with stored grains. It is controlled almost exclusively with synthetic insecticides. Thus, leading to problems such as pollution and resistance development. Hence an alternative is the use of natural compounds such as edible mushrooms derivates. The aim of this research was to assess, under laboratory conditions, the insecticidal and insectistatic effect of a hydroalcoholic extract of Pleurotus ostreatus (Jacq.) P. Kumm. 1871 against adults of S. zeamais. The parameters assessed were contact and fumigant toxicity, repellency, and antifeedant effect. The highest contact toxicity (57.5% mortality) was achieved with 30 mL extract L-1 solvent. No treatment showed repellent effect; the repellency index (RI) values were higher than 1, and the antifeeding activity &lt; 30%. The fumigant effect showed a maximum of 30% mortality with the highest concentration (300 mu L L-1 air). The hydroalcoholic extract of P. ostreatus exerts contact toxicity and interferes with insect reproduction or oviposition of Sitophilus zeamais.</t>
  </si>
  <si>
    <t>[Palavecino-De-La-Fuente, Fernanda; Silva-Aguayo, Gonzalo; Figueroa-Cares, Ines; Gerding, Macarena] Univ Concepcion, Fac Agron, Av Vicente Mendez 595, Chillan, Chile; [Castaneda-Ramirez, Gloria Sarahi; Aguilar-Marcelino, Liliana] Inst Nacl Invest Forest Agricolas &amp; Pecuaria INIF, Km 11 Carretera Fed Cuernavaca Cuautla,8534,Col, Morelos 62550, Mexico; [Rodriguez-Maciel, Jose Concepcion; Lagunes-Tejeda, Angel] Colegio Postgrad Fitosanidad Entomol &amp; Acarol, Km 38 5 Carr Montecillo, Mexico City, DF, Mexico; [Sotelo-Leyva, Cesar] Univ Autonoma Guerrero, Fac Ciencias Quim Biol, Av Lazaro Cardenas S-N,Ciudad Univ Sur, Chilpancingo 39000, Guerrero, Mexico; [Curkovic, Tomislav] Univ Chile, Fac Ciencias Agron, Av Santa Rosa, Santiago 11315, Chile</t>
  </si>
  <si>
    <t>Universidad de Concepcion; Universidad de Chile</t>
  </si>
  <si>
    <t>Silva-Aguayo, G (corresponding author), Univ Concepcion, Fac Agron, Av Vicente Mendez 595, Chillan, Chile.</t>
  </si>
  <si>
    <t>gosilva@udec.cl</t>
  </si>
  <si>
    <t>Curkovic, Tomislav/I-1686-2013</t>
  </si>
  <si>
    <t>INST INVESTIGACIONES AGROPECUARIAS</t>
  </si>
  <si>
    <t>CHILLAN</t>
  </si>
  <si>
    <t>CENTRO REGIONAL DE INVESTIGACION QUILAMAPU, CASILLA 426, CHILLAN, 00000, CHILE</t>
  </si>
  <si>
    <t>0718-5839</t>
  </si>
  <si>
    <t>CHIL J AGR RES</t>
  </si>
  <si>
    <t>Chil. J. Agric. Res.</t>
  </si>
  <si>
    <t>10.4067/S0718-58392022000300399</t>
  </si>
  <si>
    <t>Agriculture, Multidisciplinary; Agronomy</t>
  </si>
  <si>
    <t>2T8KM</t>
  </si>
  <si>
    <t>WOS:000822716900001</t>
  </si>
  <si>
    <t>Martinovic, R; Joksimovic, D; García-March, JR; Vicente, N; Gacic, Z</t>
  </si>
  <si>
    <t>Martinovic, Rajko; Joksimovic, Danijela; Rafael Garcia-March, Jose; Vicente, Nardo; Gacic, Zoran</t>
  </si>
  <si>
    <t>Evaluation of Physiological State of Pen Shell Pinna nobilis (Linnaeus, 1758) by a Non-Invasive Heart Rate Recording under Short-Term Hyposalinity Test</t>
  </si>
  <si>
    <t>MICROMACHINES</t>
  </si>
  <si>
    <t>Pinna nobilis; pen shell; heart rate; mussels; physiology; hyposalinity</t>
  </si>
  <si>
    <t>MUSSEL MYTILUS-GALLOPROVINCIALIS; CARDIAC ACTIVITY; MONITORING-SYSTEM; POLLUTION; SEA; L.; MECHANISMS; BIVALVIA; QUALITY; EDULIS</t>
  </si>
  <si>
    <t>A non-invasive laser fiber-optic method based on infrared sensors for heart rate (Hr) recording was applied to assess the physiological condition of Pinna nobilis. During 2017, the specimens of P. nobilis were sampled at three sites within the Boka Kotorska Bay, Montenegro and used for ex situ experiments with short-term reduction/restoration of ambient salinity to evaluate their physiological adaptive capacity based on heart rate recovery time (T-rec). Mean T-rec for specimens from Sv. Nedjelja (reference site), Dobrota and Sv. Stasije were 72 +/- 3, 91 +/- 7 and 117 +/- 15 min, while the coefficients of variation (CV) were 0.12, 0.13 and 0.17, respectively. Resting heart rate (Hr(rest)) and T-rec showed statistically significant differences between the groups of mussels from Dobrota and Sv. Stasije in comparison to the reference site. Statistically significant correlations were observed between T-rec and shell length/width, which was not the case in comparison between Hr(rest) and shell length/width. The lower adaptive capacity within the P. nobilis specimens from Dobrota and Sv. Stasije in comparison to the reference site could occur due to stress induced by deterioration of environmental conditions, which could have led to impairment of the physiological state of the mussels evaluated by Hr. All the specimens of P. nobilis survived the experimental treatments; afterwards, they were successfully transplanted at the Dobrota site. The experimental unit with sensor technology applied in this study can provide Hr recording in real time and could have an application in monitoring the physiological/health state of P. nobilis individuals maintained in aquaria.</t>
  </si>
  <si>
    <t>[Martinovic, Rajko; Joksimovic, Danijela] Univ Montenegro, Inst Marine Biol, Put I Bokeljske Brigade 68, Kotor 85330, Montenegro; [Rafael Garcia-March, Jose] Univ Catolica Valencia, Inst Invest Medio Ambiente &amp; Ciencia Marina, Alicante 03710, Spain; [Vicente, Nardo] Inst Oceanog Paul Ricard, F-83140 Ile Des Embiez, Six Fours Les P, France; [Vicente, Nardo] Aix Marseille Univ, Avignon Univ, Inst Mediterraneen Biodiversite &amp; Ecol Marine &amp; C, IRD,CNRS, 74 Rue Louis Pasteur, F-84029 Avignon, France; [Gacic, Zoran] Univ Belgrade, Inst Multidisciplinary Res, Kneza Viseslava 1, Belgrade 11000, Serbia</t>
  </si>
  <si>
    <t>University of Montenegro; Universidad Catolica de Valencia San Vicente Martir; Centre National de la Recherche Scientifique (CNRS); Institut de Recherche pour le Developpement (IRD); Avignon Universite; Aix-Marseille Universite; University of Belgrade</t>
  </si>
  <si>
    <t>Martinovic, R (corresponding author), Univ Montenegro, Inst Marine Biol, Put I Bokeljske Brigade 68, Kotor 85330, Montenegro.</t>
  </si>
  <si>
    <t>rajko.mar@ucg.ac.me</t>
  </si>
  <si>
    <t>Joksimovic, Danijela/AAH-7688-2019; Martinović, Rajko/AAH-8127-2019; Garcia March, Jose rafael/T-4120-2018</t>
  </si>
  <si>
    <t>Martinovic, Rajko/0000-0002-9000-6582; Garcia March, Jose rafael/0000-0003-1646-5331</t>
  </si>
  <si>
    <t>Prince Albert II of Monaco Foundation [BF/HEM 15-1662, 1796]</t>
  </si>
  <si>
    <t>Prince Albert II of Monaco Foundation</t>
  </si>
  <si>
    <t>This research was funded by the Prince Albert II of Monaco Foundation as part of the project, The Study, Protection and Possible Breeding of Pen Shell (Pinna nobilis) in the Boka Kotorska Bay, project code: BF/HEM 15-1662, Financing agreement No 1796.</t>
  </si>
  <si>
    <t>2072-666X</t>
  </si>
  <si>
    <t>MICROMACHINES-BASEL</t>
  </si>
  <si>
    <t>Micromachines</t>
  </si>
  <si>
    <t>10.3390/mi13091549</t>
  </si>
  <si>
    <t>Chemistry, Analytical; Nanoscience &amp; Nanotechnology; Instruments &amp; Instrumentation; Physics, Applied</t>
  </si>
  <si>
    <t>Chemistry; Science &amp; Technology - Other Topics; Instruments &amp; Instrumentation; Physics</t>
  </si>
  <si>
    <t>4U3FX</t>
  </si>
  <si>
    <t>WOS:000858685200001</t>
  </si>
  <si>
    <t>Osorio-López, C; Seco-Reigosa, N; Garrido-Rodríguez, B; Cutillas-Barreiro, L; Arias-Estévez, M; Fernández-Sanjudo, MJ; Alvarez-Rodríguez, E; Núñez-Delgado, A</t>
  </si>
  <si>
    <t>Osorio-Lopez, C.; Seco-Reigosa, N.; Garrido-Rodriguez, B.; Cutillas-Barreiro, L.; Arias-Estevez, M.; Fernandez-Sanjudo, M. J.; Alvarez-Rodriguez, E.; Nunez-Delgado, A.</t>
  </si>
  <si>
    <t>As(V) adsorption on forest and vineyard soils and pyritic material with or without mussel shell: Kinetics and fractionation</t>
  </si>
  <si>
    <t>Adsorption isotherms; Arsenic; Desorption; Fractionation; Waste materials</t>
  </si>
  <si>
    <t>HEAVY-METALS; COMPETITIVE ADSORPTION; ARSENIC REMOVAL; OXIDE MINERALS; CLAY-MINERALS; SORPTION; IRON; ALUMINUM; BIOSORPTION; PHOSPHATE</t>
  </si>
  <si>
    <t>As(V) adsorption and desorption are studied on forest and vineyard soils and on dump pyritic material, both individually and amended with 24 ton/ha (Mg/ha) mussel shell, as well as on mussel shell samples by itself. Adsorption kinetics is also studied, as well as fractionation of the adsorbed As(V). The pyritic material showed the best results, with 100% arsenic adsorption (99.6% adsorbed into the residual fraction), very rapid adsorption kinetics and low desorption percentages (&lt;0.05%). Forest soil adsorbed more than 86% (69% into the acid soluble fraction) and desorbed &lt; 5%, while vineyard soil adsorbed &gt; 32% and desorbed &lt;36%. As(V) adsorption was between 76% and 53% on mussel shell, while desorption was between 11% and 6%. Amending forest and vineyard soils with 24 Mg/ha mussel shell causes increasing arsenic adsorption and decreasing arsenic desorption, with no kinetics effect. Adsorption data were adjusted to the Freundlich model, showing good fitting. In view of that all, this pyritic material could be useful for arsenic removal, while mussel shell amendment could be used to diminish risks of arsenic pollution in vineyard and forest soils. (c) 2013 Taiwan Institute of Chemical Engineers. Published by Elsevier B.V. All rights reserved.</t>
  </si>
  <si>
    <t>[Osorio-Lopez, C.; Seco-Reigosa, N.; Fernandez-Sanjudo, M. J.; Alvarez-Rodriguez, E.; Nunez-Delgado, A.] Univ Santiago Compostela, Escuela Politecn Super, Dept Edafol &amp; Quim Agr Soil Sci &amp; Agr Chem, Lugo 27002, Spain; [Garrido-Rodriguez, B.; Cutillas-Barreiro, L.; Arias-Estevez, M.] Univ Vigo, Fac Ciencias, Dept Biol Vexetal &amp; Ciencia Solo Plant Biol &amp; Soi, Area Edafoloxia &amp; Quim Agr, Orense 32004, Spain</t>
  </si>
  <si>
    <t>Núñez-Delgado, A (corresponding author), Univ Santiago Compostela, Escuela Politecn Super, Dept Edafol &amp; Quim Agr Soil Sci &amp; Agr Chem, Campus Univ S-N, Lugo 27002, Spain.</t>
  </si>
  <si>
    <t>Fernández-Sanjurjo, María/ABC-6938-2020; Alvarez, Esperanza/B-3154-2018; Arias-Estevez, Manuel/M-8629-2016; Nunez-Delgado, Avelino/K-3964-2013</t>
  </si>
  <si>
    <t>Fernandez-Sanjurjo, Maria J./0000-0001-6728-7147; Alvarez, Esperanza/0000-0003-3470-2679; Arias-Estevez, Manuel/0000-0002-9162-1587; Nunez-Delgado, Avelino/0000-0001-5373-1606</t>
  </si>
  <si>
    <t>This work was funded by the Government of Galicia (Spain). We thank the anonymous reviewers that greatly aided to improve the manuscript.</t>
  </si>
  <si>
    <t>10.1016/j.jtice.2013.10.001</t>
  </si>
  <si>
    <t>AF5AP</t>
  </si>
  <si>
    <t>WOS:000334726700039</t>
  </si>
  <si>
    <t>Deng, XX; Pan, LQ; Cai, YF; Jin, Q</t>
  </si>
  <si>
    <t>Deng, Xuxu; Pan, Luqing; Cai, Yuefeng; Jin, Qian</t>
  </si>
  <si>
    <t>Transcriptomic changes in the ovaries of scallop Chlamys farreri exposed to benzo[a]pyrene</t>
  </si>
  <si>
    <t>Benzo[a]pyrene; Chlamys farreri; Biotechnology; Digital gene expression sequencing; Reproductive toxicity; Differentially expressed genes</t>
  </si>
  <si>
    <t>POLYCYCLIC AROMATIC-HYDROCARBONS; MUSSEL MYTILUS-GALLOPROVINCIALIS; ESTROGEN-RECEPTOR GENE; OXIDATIVE STRESS; HEAVY-METALS; MYA-ARENARIA; REPRODUCTIVE TOXICITY; DREISSENA-POLYMORPHA; EXPRESSION PROFILES; METALLOTHIONEIN MT</t>
  </si>
  <si>
    <t>In this study, digital gene expression (DGE) sequencing technology was used to identify alterations in gene transcription of the ovarian tissue of Chlamys farreri (C. farreri) exposed to benzo[a]pyrene (BaP) pollutants. A total of 124 genes were detected differentially expressed with 42 up-regulated and 82 down-regulated genes in BaP DGE libraries. Gene ontology annotation and kyoto encyclopedia of genes and genomes pathway analyses were performed on all genes to elucidate their biological functions and processes. The results showed that numerous enriched differentially expressed genes related to detoxification process, damage effects to extracellular matrix and cell interactions, endocrine disrupting effects and tissue damage responses. Quantitative RT-PCR procedure was executed to understand the expression patterns of several important reproductive-related genes. To supplement the reproductive toxicity of BaP, histological analysis of the ovaries illustrated that after 21 days higher dose of BaP exposure, the immature oocytes and degenerated oocytes increased. The study aims to provide reference data for future study of organic pollutions in aquatic mollusks.</t>
  </si>
  <si>
    <t>[Deng, Xuxu; Pan, Luqing; Cai, Yuefeng; Jin, Qian] Ocean Univ China, Coll Fisheries, Minist Educ, Key Lab Mariculture, Yushan Rd 5, Qingdao 266003, Peoples R China</t>
  </si>
  <si>
    <t>Pan, LQ (corresponding author), Ocean Univ China, Coll Fisheries, Minist Educ, Key Lab Mariculture, Yushan Rd 5, Qingdao 266003, Peoples R China.</t>
  </si>
  <si>
    <t>Specialized Research Fund for the Doctoral Program of Higher Education of China [20130132110008]; State Ocean Administration Special Public Project of China [201405010]</t>
  </si>
  <si>
    <t>Specialized Research Fund for the Doctoral Program of Higher Education of China(Specialized Research Fund for the Doctoral Program of Higher Education (SRFDP)); State Ocean Administration Special Public Project of China</t>
  </si>
  <si>
    <t>This work was supported by Specialized Research Fund for the Doctoral Program of Higher Education of China (20130132110008) and State Ocean Administration Special Public Project of China (201405010). The authors appreciate all the help from team members at the Laboratory of Environmental Physiology of Aquatic Animal.</t>
  </si>
  <si>
    <t>10.1007/s13258-016-0397-3</t>
  </si>
  <si>
    <t>DM3NK</t>
  </si>
  <si>
    <t>WOS:000376252900002</t>
  </si>
  <si>
    <t>Wang, XQ; Li, F; Meng, XJ; Xia, CL; Ji, CL; Wu, HF</t>
  </si>
  <si>
    <t>Wang, Xiaoqing; Li, Fei; Meng, Xiangjing; Xia, Chunlei; Ji, Chenglong; Wu, Huifeng</t>
  </si>
  <si>
    <t>Abnormality of mussel in the early developmental stages induced by graphene and triphenyl phosphate: In silico toxicogenomic data-mining, in vivo, and toxicity pathway-oriented approach</t>
  </si>
  <si>
    <t>Plastic additives; Graphene-based nanomaterials; Toxicogenomic data mining; Combined hazards; Developmental abnormality</t>
  </si>
  <si>
    <t>EARLY EMBRYO DEVELOPMENT; FRESH-WATER MUSSEL; MYTILUS-GALLOPROVINCIALIS; MOLECULAR-MECHANISMS; ZEBRAFISH EMBRYOS; FLAME RETARDANTS; LARVAL STAGES; LIFE-STAGES; NANOPARTICLES; CADMIUM</t>
  </si>
  <si>
    <t>Increasing number of complex mixtures of organic pollutants in coastal area (especially for nanomaterials and micro/nanoplastics associated chemicals) threaten aquatic ecosystems and their joint hazards are complex and demanding tasks. Mussels are the most sensitive marine faunal groups in the world, and their early developmental stages (embryo and larvae) are particularly susceptible to environmental contaminants, which can distinguish the probable mechanisms of mixture-induced growth toxicity. In this study, the potential critical target and biological processes affected by graphene and triphenyl phosphate (TPP) were developed by mining public toxicogenomic data. And their combined toxic effects were verified by toxicological assay at early developmental stages in filter-feeding mussels (embryo and larvae). It showed that interactions among graphene/ TPP with 111 genes (ABCB1, TP53, SOD, CAT, HSP, etc.) affected phenotypes along conceptual framework linking these chemicals to developmental abnormality endpoints. The PPAR signaling pathway, monocarboxylic acid metabolic process, regulation of lipid metabolic process, response to oxidative stress, and gonad development were noted as the key molecular pathways that contributed to the developmental abnormality. Enriched phenotype analysis revealed biological processes (cell proliferation, cell apoptosis, inflammatory response, response to oxidative stress, and lipid metabolism) affected by the investigated mixture. Combined, our results supported that adverse effects induced by contaminants/ mixture could not only be mediated by single receptor signaling or be predicted by the simple additive effect of contaminants. The results offer a framework for better comprehending the developmental toxicity of environmental contaminants in mussels and other invertebrate species, which have considerable potential for hazard assessment of coastal mixture.</t>
  </si>
  <si>
    <t>[Wang, Xiaoqing; Li, Fei; Meng, Xiangjing; Xia, Chunlei; Ji, Chenglong; Wu, Huifeng] Chinese Acad Sci, Yantai Inst Coastal Zone Res YIC, CAS Key Lab Coastal Environm Proc &amp; Ecol Remediat, YICCAS,Shandong Key Lab Coastal Environm Proc, Yantai 264003, Peoples R China; [Wang, Xiaoqing; Meng, Xiangjing] Univ Chinese Acad Sci, Beijing 100049, Peoples R China; [Li, Fei; Xia, Chunlei; Ji, Chenglong; Wu, Huifeng] Chinese Acad Sci, Ctr Ocean Mega Sci, Qingdao 266071, Peoples R China</t>
  </si>
  <si>
    <t>Li, F (corresponding author), Chinese Acad Sci, Yantai Inst Coastal Zone Res YIC, CAS Key Lab Coastal Environm Proc &amp; Ecol Remediat, YICCAS,Shandong Key Lab Coastal Environm Proc, Yantai 264003, Peoples R China.</t>
  </si>
  <si>
    <t>Jia, Li/JVN-3095-2024; Ji, Chenglong/U-5411-2017; zhang, yan/KHC-3163-2024</t>
  </si>
  <si>
    <t>National Natural Science Founda-tion of China (NSFC) -Shandong Joint Fund [U22A20618]; National Natural Science Foundation of China [22376215]; Natural Science Foundation of Shandong Province [ZR2023MD071]; Youth Innovation Promotion Association CAS [2017255]</t>
  </si>
  <si>
    <t>National Natural Science Founda-tion of China (NSFC) -Shandong Joint Fund; National Natural Science Foundation of China(National Natural Science Foundation of China (NSFC)); Natural Science Foundation of Shandong Province(Natural Science Foundation of Shandong Province); Youth Innovation Promotion Association CAS</t>
  </si>
  <si>
    <t>Acknowledgments and grant information This study was supported by the National Natural Science Founda-tion of China (NSFC) -Shandong Joint Fund (U22A20618) , National Natural Science Foundation of China (22376215) , Natural Science Foundation of Shandong Province (ZR2023MD071) and the Youth Innovation Promotion Association CAS (2017255) .</t>
  </si>
  <si>
    <t>10.1016/j.aquatox.2023.106674</t>
  </si>
  <si>
    <t>S3HR0</t>
  </si>
  <si>
    <t>WOS:001070117600001</t>
  </si>
  <si>
    <t>Tessier, L; Vaillancourt, G; Pazdernik, L</t>
  </si>
  <si>
    <t>Laboratory study of Cd and Hg uptake by two freshwater molluscs in relation to concentration, age and exposure time</t>
  </si>
  <si>
    <t>WATER CLAMS; CADMIUM ACCUMULATION; CORBICULA-FLUMINEA; ANODONTA-CYGNEA; MERCURY; GROWTH; MUSSEL; SIZE; GASTROPODS; TOXICITY</t>
  </si>
  <si>
    <t>To assess the potential of two molluscs species as bioindicators of Cd and Hg pollution in aquatic ecosystems, a laboratory study was conducted on the short-lived gastropod Viviparus georgianus and the pelecypod Elliptio complanata. Using analysis of covariance (ANCOVA), we have evaluated the contribution of the aqueous trace metal concentration, the size of the molluscs and the exposure time to explain the Cd and Hg body concentration. Results show that all the parameters analyzed have a significant effect on Cd and Hg body variation in the gastropod except for the time of exposure and the interaction time of exposure-height of the individuals. The same results are observed for the pelecypod, except that the length of the individuals has not a significant influence on Cd and Hg variation. The major part of the variability of the body metal concentration seems to be explained by these three parameters: the water metal concentration, the interaction of water metal concentration with time of exposure and the interaction of water metal concentration with time of exposure and the size of the individuals.</t>
  </si>
  <si>
    <t>Tessier, L (corresponding author), UNIV QUEBEC,DEPT CHIM BIOL,LAB RECH COMMUNAUTES AQUAT,CP 500,TROIS RIVIERES,PQ G9A 5H7,CANADA.</t>
  </si>
  <si>
    <t>10.1007/BF00279166</t>
  </si>
  <si>
    <t>UE411</t>
  </si>
  <si>
    <t>WOS:A1996UE41100025</t>
  </si>
  <si>
    <t>Aouini, F; Boussoufa, D; Ghribil, F; Bejaoui, S; Navarro, JC; El Cafsi, M</t>
  </si>
  <si>
    <t>Aouini, Fatma; Boussoufa, Dhouha; Ghribil, Feriel; Bejaoui, Safa; Navarro, Juan Carlos; El Cafsi, M'hamed</t>
  </si>
  <si>
    <t>Short term exposure to permethrin alters lipid classes and fatty acid composition of the unfed clam Donax trunculus from Tunisian coast (Southern Mediterranean)</t>
  </si>
  <si>
    <t>Permethrin; Donax trunculus; Neutral lipids; Polar lipids; Fatty acids</t>
  </si>
  <si>
    <t>SEASONAL-VARIATION; BIOCHEMICAL-COMPOSITION; SCROBICULARIA-PLANA; CRASSOSTREA-GIGAS; CYCLE; PHOSPHOLIPIDS; HOMEOSTASIS; CADMIUM; TISSUES; WEIGHT</t>
  </si>
  <si>
    <t>Permethrin (PER) is a pyrethroid insecticide widely used in agriculture. Dumped into the sea, this pollutant causes considerable harm to living organisms. The present study was undertaken to evaluate the toxic effects of PER, on the commercial clam Donax trunculus, largely distributed along the sandy beaches of the Gulf of Tunis. A toxicity assay (72 hours) using different PER concentrations (0, 50, 100 and 150 mu g.L-1) was carried out to study the effects of the pesticide on lipid class and fatty acid composition of mantle and siphons of D. trunculus. Results showed a significant decrease in total lipid content with exposure to PER. An increase in the percentage of neutral lipids driven by a concomitant increase of triacylglycerols (TAG) was found after exposure. On the other hand, polar lipids decreased following mainly the fall of phosphatidylethanolamine (PE) and phosphatidylinositol (PI). The fatty acid content was also significantly altered in exposed D. trunculus. Saturated fatty acids (SFA), polyunsaturated fatty acids (PUFA) and especially PUFA (n-3) decreased significantly with PER exposure, while, monounsaturated fatty acids (MUFAs) showed significant decrease with 50 mu g.L-1 and no significant difference between control (0 mu g.L-1 PER) clams and those exposed to 100 and 150 mu g.L-1.</t>
  </si>
  <si>
    <t>[Aouini, Fatma; Boussoufa, Dhouha; Ghribil, Feriel; Bejaoui, Safa; El Cafsi, M'hamed] Univ Tunis El Manar, Tunis Fac Sci, Unit Physiol &amp; Aquat Environm, Tunis 2092, Tunisia; [Navarro, Juan Carlos] CSIC, Inst Acuicultura Torre Sal, Ribera De Cabanes 12595, Castellon, Spain</t>
  </si>
  <si>
    <t>Universite de Tunis-El-Manar; Faculte des Sciences de Tunis (FST); Consejo Superior de Investigaciones Cientificas (CSIC); CSIC - Instituto de Acuicultura de Torre de la Sal (IATS)</t>
  </si>
  <si>
    <t>Aouini, F (corresponding author), Univ Tunis El Manar, Tunis Fac Sci, Unit Physiol &amp; Aquat Environm, Tunis 2092, Tunisia.</t>
  </si>
  <si>
    <t>f.aoui@hotmail.fr</t>
  </si>
  <si>
    <t>BOUSSOUFA, Dhouha/ADJ-2348-2022; Navarro, Juan Carlos/E-3046-2016</t>
  </si>
  <si>
    <t>Navarro, Juan Carlos/0000-0001-6976-6686</t>
  </si>
  <si>
    <t>Tunis University of Sciences, the Biology Department, the research Unit of Physiology and aquatic environment; institute of aquaculture of Torre de la Sal, Spain</t>
  </si>
  <si>
    <t>This study was supported by the Tunis University of Sciences, the Biology Department, the research Unit of Physiology and aquatic environment and the institute of aquaculture of Torre de la Sal, Spain. The authors would like to thank all members of the two units for their help and collaboration. Special thanks to Mrs. Sihem Khalifa, MA in linguistics for English Language teaching and Curriculum Area Leader in Modem Foreign Languages at Montgomery Academy and Language College, England for her efforts in proof-reading the text of this study.</t>
  </si>
  <si>
    <t>10.21411/CBM.A.72E9D4EA</t>
  </si>
  <si>
    <t>WOS:000402224200004</t>
  </si>
  <si>
    <t>Kruger, N; Branch, GM; Griffiths, CL; Field, JG</t>
  </si>
  <si>
    <t>Changes in the epibenthos of Saldanha Bay, South Africa, between the 1960s and 2001: an analysis based on dredge samples</t>
  </si>
  <si>
    <t>benthic communities; dredging; harbours; long-term changes; pollution</t>
  </si>
  <si>
    <t>MACROBENTHIC COMMUNITY STRUCTURE; LONG-TERM CHANGES; BENTHIC MACROFAUNA; DISTRIBUTION PATTERNS; DISTURBANCE; POLLUTION; CULTURE</t>
  </si>
  <si>
    <t>Saldanha Bay, which lies on the south-west coast of South Africa, has undergone major development over the past 30 years, including breakwater and harbour construction, harbour extension, dredging, mining, fishing, fish processing and mussel culture. This study examines whether the benthic macrofaunal communities in the bay have been altered over this period. Twelve stations that had been sampled in the 1960s, prior to harbour construction, were re-sampled in 2001 (40 years later) with a surface dredge. Species abundances were coded from 1 (present) to 5 (abundant) to make the two sets of samples comparable. The benthic communities before harbour development were significantly different from those in 2001 (ANOSIM, p &lt; 0.001). Increases in the abundances of the whelk Nassarius speciosus and the crab Hymenosoma orbiculare were mainly responsible for these differences. Two main benthic communities were recognised in the 1960s and, at that stage, covered large extents of the bay, whereas in 2001 the communities were divided into distinct 'Small Bay' and 'Big Bay' groups, reflecting the division of the bay into two areas by the development of a harbour wall. Although natural fluctuations may account for some of these changes, it is more likely that the considerable anthropogenic activities within SaIdanha Bay, which are known to have altered physical conditions, have led to the changes observed in the benthic communities.</t>
  </si>
  <si>
    <t>Univ Cape Town, Dept Zool, Marine Biol Res Inst, ZA-7701 Rondebosch, South Africa</t>
  </si>
  <si>
    <t>University of Cape Town</t>
  </si>
  <si>
    <t>Kruger, N (corresponding author), Univ Cape Town, Dept Zool, Marine Biol Res Inst, ZA-7701 Rondebosch, South Africa.</t>
  </si>
  <si>
    <t>nkruger@botzoo.uct.ac.za</t>
  </si>
  <si>
    <t>10.2989/18142320509504105</t>
  </si>
  <si>
    <t>986YG</t>
  </si>
  <si>
    <t>WOS:000233485000012</t>
  </si>
  <si>
    <t>Chivilev, S; Ivanov, M</t>
  </si>
  <si>
    <t>Response of the arctic benthic community to excessive amounts of nontoxic organic matter</t>
  </si>
  <si>
    <t>The paper presents a study of the effect of excessive amounts of organic matter (OM) on Arctic benthos. The source of nontoxic OM is from the mariculture of blue mussels in the White Sea (north-western area of Russia). The use of multivariate analysis procedures made it evident that in the Arctic conditions benthos is incapable of annual utilization of more than 1.5 kg dry OM m(-2) from an external source, Mineralization of OM accumulated in sediments will deteriorate the oxygen regime. The critical concentration of OM in sediments is 9-10%. An excess over this threshold leads to the formation of oxygen-free zones at the bottom, and degradation of benthos community. (C) 1997 Elsevier Science Ltd. All rights reserved.</t>
  </si>
  <si>
    <t>St Petersburg State Univ, Lab Hydrobiol, St Petersburg 199178, Russia</t>
  </si>
  <si>
    <t>Saint Petersburg State University</t>
  </si>
  <si>
    <t>St Petersburg State Univ, Lab Hydrobiol, 29 16th Line, St Petersburg 199178, Russia.</t>
  </si>
  <si>
    <t>Ivanov, Mikhail/N-3484-2013</t>
  </si>
  <si>
    <t>Ivanov, Mikhail/0000-0002-8277-7387</t>
  </si>
  <si>
    <t>10.1016/S0025-326X(97)00094-5</t>
  </si>
  <si>
    <t>101PK</t>
  </si>
  <si>
    <t>WOS:000074877200010</t>
  </si>
  <si>
    <t>Maser, E; Strehse, JS</t>
  </si>
  <si>
    <t>Maser, Edmund; Strehse, Jennifer S.</t>
  </si>
  <si>
    <t>Don't Blast: blast-in-place (BiP) operations of dumped World War munitions in the oceans significantly increase hazards to the environment and the human seafood consumer</t>
  </si>
  <si>
    <t>Dumped munitions; Marine environment; Biomonitoring; Blue mussels; Blast-in-place operations; Marine food chain; Risk assessment</t>
  </si>
  <si>
    <t>2,4,6-TRINITROTOLUENE TNT; TOXICITY; EXPLOSIVES; AMMUNITION; FATE; FISH; DEGRADATION; SHIPWRECKS; DISPOSAL; LEAKAGE</t>
  </si>
  <si>
    <t>The seas worldwide are threatened by a new source of pollution: millions of tons of all kind of warfare material have been dumped intentionally after World War I and II, in addition to mine barriers, failed detonations as well as shot down military planes and sunken ship wrecks carrying munitions. For example, in the German parts of the North and Baltic Sea approximately 1.6 million metric tons of toxic conventional explosives (TNT and others) and more than 5000 metric tons of chemical weapons are present. Such unexploded ordnance (UXO) constitutes a direct risk of detonation with increased human access (fisheries, water sports, cable constructions, wind farms and pipelines). Moreover, after more than 70 years of resting on the seabed, the metal shells of these munitions items corrode, such that chemicals leak out and distribute in the marine environment. Explosive chemicals such as TNT and its derivatives are known for their toxicity and carcinogenicity. In order not to endanger today's shipping traffic or the installation of pipelines and offshore plants by uncontrolled explosions, controlled blast-in-place (BiP) operations of these dangerous relics is a common practice worldwide. However, blast-in-place methods of in situ munitions disposal often result in incomplete (low-order) detonation, leaving substantial quantities of the explosive material in the environment. In the present free field investigation, we placed mussels (Mytilusspp.) as a biomonitoring system in an area of the Baltic Sea where BiP operations took place and where, by visual inspections by scientific divers, smaller and larger pieces of munitions-related materials were scattered on the seafloor. After recovery, the mussels were transferred to our laboratory and analyzed for TNT and its derivatives via gas chromatography and mass spectroscopy. Our data unequivocally demonstrate that low-order BiP operations of dumped munitions in the sea lead to multiple increases in the concentration of TNT and its metabolites in the mussels when compared to similar studies at corroding but still encased mines. For this reason, we explicitly criticize BiP operations because of the resulting environmental hazards, which can ultimately even endanger human seafood consumers.</t>
  </si>
  <si>
    <t>[Maser, Edmund; Strehse, Jennifer S.] Univ Med Sch Schleswig Holstein, Inst Toxicol &amp; Pharmacol Nat Scientists, Campus Kiel,Brunswiker Str 10, D-24105 Kiel, Germany</t>
  </si>
  <si>
    <t>University of Kiel; Schleswig Holstein University Hospital</t>
  </si>
  <si>
    <t>Maser, E (corresponding author), Univ Med Sch Schleswig Holstein, Inst Toxicol &amp; Pharmacol Nat Scientists, Campus Kiel,Brunswiker Str 10, D-24105 Kiel, Germany.</t>
  </si>
  <si>
    <t>maser@toxi.uni-kiel.de</t>
  </si>
  <si>
    <t>Maser, Edmund/B-1728-2010; Strehse, Jennifer/AAI-6698-2021</t>
  </si>
  <si>
    <t>1432-0738</t>
  </si>
  <si>
    <t>10.1007/s00204-020-02743-0</t>
  </si>
  <si>
    <t>LZ2XE</t>
  </si>
  <si>
    <t>WOS:000541090500006</t>
  </si>
  <si>
    <t>Jamal, E; Reichelt-Brushett, A; Benkendorff, K</t>
  </si>
  <si>
    <t>Jamal, Endang; Reichelt-Brushett, Amanda; Benkendorff, Kirsten</t>
  </si>
  <si>
    <t>Exposure to multiple elements reduces the health of Saccostrea glomerata: An assessment of the Richmond River estuary, NSW, Australia</t>
  </si>
  <si>
    <t>Metal mixtures; Sediment; Biomonitoring; Metalloids; Mortality; Condition index</t>
  </si>
  <si>
    <t>HEAVY-METAL POLLUTION; TRACE-METAL; SURFACE SEDIMENTS; CONDITION INDEX; MORETON BAY; INTERTIDAL SEDIMENTS; SOURCE APPORTIONMENT; EASTERN OYSTER; WATER-QUALITY; CONTAMINATION</t>
  </si>
  <si>
    <t>This study investigated relationships between Sydney Rock Oyster (SRO) health and element concentrations in sediments and oysters from the Richmond River estuary. Six sites were sampled between November 2019 and May 2020. Multivariate permutational analysis of variance was used to compare oyster health parameters and element concentrations between sites, wet and dry conditions, and in oyster and sediment samples. Statistical analysis revealed significant spatial differences in oyster mortality, condition index, and size. Metal concentra-tions in oyster flesh significantly differed from metals in sediments. Most metals in sediments were below guideline values, except for Ni at some sites. Mortality, condition index, and weight correlated negatively with individual elements in oyster flesh (P, Zn, Mg, Al, Ni). BEST statistical models included various combinations of metals in sediment and flesh. This study highlights that spatial differences in SRO health tend to be related to site-specific metal compositions in sediment and oysters.</t>
  </si>
  <si>
    <t>[Jamal, Endang; Reichelt-Brushett, Amanda] Southern Cross Univ, Fac Sci &amp; Engn, East Lismore, NSW, Australia; [Benkendorff, Kirsten] Southern Cross Univ, Fac Sci &amp; Engn, Natl Marine Sci Ctr, East Lismore, NSW, Australia; [Jamal, Endang] Pattimura Univ, Fac Fisheries &amp; Marine Sci, Kota Ambon, Indonesia</t>
  </si>
  <si>
    <t>Southern Cross University; Southern Cross University; Universitas Pattimura</t>
  </si>
  <si>
    <t>Reichelt-Brushett, A (corresponding author), Southern Cross Univ, Fac Sci &amp; Engn, East Lismore, NSW, Australia.</t>
  </si>
  <si>
    <t>Benkendorff, Kirsten/Q-4200-2017; Jamal, Endang/KYR-1422-2024; Reichelt-Brushett, Amanda/Q-8348-2017</t>
  </si>
  <si>
    <t>Reichelt-Brushett, Amanda/0000-0002-5212-7586; Benkendorff, Kirsten/0000-0003-4052-3888; Jamal, Endang/0000-0003-2617-6365</t>
  </si>
  <si>
    <t>Australian Government Department of Foreign Affairs and Trade; Faculty of Science and Engineering, Southern Cross University; Australian Government, Department of Foreign Affairs and Trade, Australia Awards Scholarship</t>
  </si>
  <si>
    <t>Australian Government Department of Foreign Affairs and Trade(Australian Government); Faculty of Science and Engineering, Southern Cross University; Australian Government, Department of Foreign Affairs and Trade, Australia Awards Scholarship(Australian Government)</t>
  </si>
  <si>
    <t>Endang Jamal reports financial support was provided by Australian Government Department of Foreign Affairs and Trade. We appreciate the support of the Faculty of Science and Engineering, Southern Cross University. Endang Jamal was supported by the Australian Government, Department of Foreign Affairs and Trade, Australia Awards Scholarship.</t>
  </si>
  <si>
    <t>10.1016/j.marpolbul.2022.114177</t>
  </si>
  <si>
    <t>5U6IP</t>
  </si>
  <si>
    <t>WOS:000876648700008</t>
  </si>
  <si>
    <t>Queiroz, RNM; da Silva, PM; DeSouza, AM; Silva, LB; Dias, TLP</t>
  </si>
  <si>
    <t>Mendonca Queiroz, Romilda Narciza; da Silva, Patricia Mirella; DeSouza, Adriano Medeiros; Silva, Leticia Brasileiro; Pereira Dias, Thelma Lucia</t>
  </si>
  <si>
    <t>Effects of environmental factors on the distribution of the exotic species Mytilopsis sallei (Recluz, 1849) (Bivalvia: Dreissenidae) on the Northeast coast of Brazil</t>
  </si>
  <si>
    <t>Mytilopsis sallei; Estuary; Salinity gradient; Substrate type; Native species; Invasive species</t>
  </si>
  <si>
    <t>INVASIVE BIVALVE; XENOSTROBUS-SECURIS; SALINITY TOLERANCE; LIFE-HISTORY; HONG-KONG; MUSSEL; MYTILIDAE; IMPACT; LAGOON; TEMPERATURE</t>
  </si>
  <si>
    <t>The invasive bivalve Mytilopsis sallei caused several economic and ecological impacts in Asia. In Brazil, M. sallei was first reported in 2004, and thus far, little is known about its ecological impact on Brazilian estuaries. The present study aims to evaluate the abundance and distribution of M. sallei and to analyse the environmental factors that led to the establishment of this species in a Brazilian Northeast estuary. Sampling was carried out in six stations along the estuary, covering a broad spectrum of salinities. Results showed that M. sallei was the most abundant benthic species in this estuary, although it was not broadly distributed, occurring only in one station (S1), the most polluted and the one with the lowest salinities (mean 17.3 +/- 11.56), which was the abiotic factor controlling the distribution of M. sallei. This station also had the lowest diversity of species (H' = 0.3269). The main M. sallei microhabitat was the pneumatophores roots from mangrove trees and decomposing wood. Despite the high abundance of M. sallei in S1, this species experienced negative effect of other benthic species suggesting that its distribution was limited by the high abundance of native species in other stations. Our results suggest that the distribution of M. sallei is influenced by a set of characteristics: preference for low salinity, favourable substrate type, tolerance to pollutants, and less direct competitors. Understanding how invasive species are distributed and relate to native species will provide more robust strategies to help maintain environmental health that ultimately will prevent the expansion of M. sallei population.</t>
  </si>
  <si>
    <t>[Mendonca Queiroz, Romilda Narciza; Silva, Leticia Brasileiro; Pereira Dias, Thelma Lucia] State Univ Paraiba, Dept Biol, Lab Marine Biol, Campus 1, BR-58429500 Campina Grande, Paraiba, Brazil; [Mendonca Queiroz, Romilda Narciza; da Silva, Patricia Mirella] Univ Fed Paraiba, Dept Mol Biol, Lab Immunol &amp; Pathol Invertebrates, BR-58051900 Joao Pessoa, Paraiba, Brazil; [DeSouza, Adriano Medeiros] Univ Fed Paraiba, Dept Systemat &amp; Ecol, BR-58051900 Joao Pessoa, Paraiba, Brazil; [Mendonca Queiroz, Romilda Narciza; DeSouza, Adriano Medeiros; Pereira Dias, Thelma Lucia] Univ Fed Paraiba, Postgrad Program Biol Sci Zool, BR-58051900 Joao Pessoa, Paraiba, Brazil; [Silva, Leticia Brasileiro; Pereira Dias, Thelma Lucia] State Univ Paraiba, Postgrad Program Ecol &amp; Conservat, BR-58429500 Campina Grande, Paraiba, Brazil</t>
  </si>
  <si>
    <t>Universidade Estadual da Paraiba; Universidade Federal da Paraiba; Universidade Federal da Paraiba; Universidade Federal da Paraiba; Universidade Estadual da Paraiba</t>
  </si>
  <si>
    <t>Queiroz, RNM (corresponding author), State Univ Paraiba, Dept Biol, Lab Marine Biol, Campus 1, BR-58429500 Campina Grande, Paraiba, Brazil.</t>
  </si>
  <si>
    <t>rnarciza@gmail.com</t>
  </si>
  <si>
    <t>DeSouza, Adriano/AFT-1571-2022; Dias, Thelma/I-1024-2012; da Silva, Patricia/A-5115-2018</t>
  </si>
  <si>
    <t>Pereira Dias, Thelma Lucia/0000-0003-3920-6682; da Silva, Patricia Mirella/0000-0001-9687-0235</t>
  </si>
  <si>
    <t>Coordenacao de Aperfeicoamento de Pessoal de Nivel Superior - CAPES (Brazil); PADI foundation [21876]</t>
  </si>
  <si>
    <t>Coordenacao de Aperfeicoamento de Pessoal de Nivel Superior - CAPES (Brazil)(Coordenacao de Aperfeicoamento de Pessoal de Nivel Superior (CAPES)); PADI foundation</t>
  </si>
  <si>
    <t>We gratefully acknowledge Luis C. Damasceno, Caroline Lima, Livia Costa, Anna Cunha, Thayse Machado and Ana Claudia for technical assistance in field and lab work, and Dr. Miodeli Nogueira for manuscript advices. Thanks Dr. Andre Lira for statistical assistance and Tomer Abramov for English correction. We thank the Programa de Posgraduacao em Ecologia e Conservacao (PPGEC) of the Universidade Estadual da Paraiba for logistic support. Romilda N. M. Queiroz and Adriano M. De Souza were supported by Coordenacao de Aperfeicoamento de Pessoal de Nivel Superior - CAPES (Brazil). This research was supported by a grant from PADI foundation (No. 21876).</t>
  </si>
  <si>
    <t>10.1016/j.seares.2020.101954</t>
  </si>
  <si>
    <t>OH3WF</t>
  </si>
  <si>
    <t>WOS:000582501900004</t>
  </si>
  <si>
    <t>Onyena, AP; Nkwoji, JA; Chukwu, LO</t>
  </si>
  <si>
    <t>Onyena, A. P.; Nkwoji, J. A.; Chukwu, L. O.</t>
  </si>
  <si>
    <t>Evaluation of hydrochemistry and benthic macroinvertebrates in Chanomi Creek, Niger Delta Nigeria</t>
  </si>
  <si>
    <t>Benthic macroinvertebrates; Chanomi Creek; Hydrochemistry; Oil pollution; Niger Delta</t>
  </si>
  <si>
    <t>LAGOS LAGOON; GROWTH</t>
  </si>
  <si>
    <t>Anthropogenic stressors pose risks to aquatic ecosystem functions. The relationship between water chemistry and benthic macroinvertebrates assemblages of ten study stations in the Chanomi Creek, Delta State, Nigeria were assessed from March to August 2019 and analyzed using standard methods. Surface water temperatures (25.5-30.1 degrees C) showed little temporal variation compared to pH (7.27 +/- 0.38) throughout the study period. The mean salinity (10.88 +/- 5.64ppt) is typical of a brackish ecosystem. High conductivity (20623.93 +/- 1.23 mu S/cm), Total Dissolved Solids (9696.6 +/- 5.76ppm), and turbidity (18.5 +/- 10.43NTU) were recorded and above the recommended values of USEPA. The high DO (5.37 +/- 1.35 mg/l) recorded was attributed to the fast flow of water and aeration. The ANOVA tests showed that there is a significant difference between the means of the physicochemical parameters and the study months (P &lt; 0.05). A total of 357 macroinvertebrates belonging to 14 Species, 14 Genera, 14 Families, and 4 Phyla were recorded. The phylum Mollusca recorded the highest number of individuals (294) with Tympanotonus fuscatus being the most dominant species while Phylum Chordata recorded the least (1). Tori gbene (93) and Igbodibi gbene (90) stations recorded the highest number of individuals and also the lowest in species diversity of 0.82 and 0.93, dominance index (0.52 and 0.50), evenness (0.57 and 0.42), and richness index (0.67 and 1.11) respectively. Low species diversity and richness obtained in the study are a reflection of the constant sediment resuspension during dredging and cumulative toxic action of oil contaminants over the years. The equitability test recorded &lt;1 representing a high level of species preference in the study stations. The presence of Nereid polychaetes, the low abundance of the filter-feeding bivalves, and the sensitive arthropod species indicate consistent organic pollution in the area. Appropriate pollution compliance strategy through awareness-raising and monitoring of the creek is paramount and could lead to a prototype shift in water contamination and management in Nigeria. (C) 2021 Elsevier B.V. All rights reserved.</t>
  </si>
  <si>
    <t>[Onyena, A. P.] Univ Lagos, Dept Marine Sci, Fac Sci, Lagos, Nigeria; [Onyena, A. P.; Nkwoji, J. A.; Chukwu, L. O.] Nigeria Maritime Univ, Fac Marine Environm Management, Dept Marine Environm &amp; Pollut Control, Okerenkoko, Delta, Nigeria</t>
  </si>
  <si>
    <t>University of Lagos</t>
  </si>
  <si>
    <t>Onyena, AP (corresponding author), Univ Lagos, Dept Marine Sci, Fac Sci, Lagos, Nigeria.</t>
  </si>
  <si>
    <t>amarachionyena@gmail.com</t>
  </si>
  <si>
    <t>Onyena, Amarachi/AAD-9424-2021</t>
  </si>
  <si>
    <t>Nkwoji, Joseph/0000-0001-7465-104X</t>
  </si>
  <si>
    <t>10.1016/j.rsma.2021.101907</t>
  </si>
  <si>
    <t>TH9WX</t>
  </si>
  <si>
    <t>WOS:000672434600002</t>
  </si>
  <si>
    <t>Johnson, RL; Liang, FQ; Farris, JL</t>
  </si>
  <si>
    <t>Genetic diversity among four amblemini species (Bivalvia:Unionidae) in the Cache and White rivers, Arkansas</t>
  </si>
  <si>
    <t>SOUTHWESTERN NATURALIST</t>
  </si>
  <si>
    <t>ALLOZYME GENOTYPES; CADMIUM POLLUTION; POPULATIONS; MERCURY; SPECIATION; DIVERGENCE; RESISTANCE; SELECTION; MOLLUSKS; CLAM</t>
  </si>
  <si>
    <t>Allozymic analysis of 16 loci was utilized to determine the genetic diversity of four species of mussels in the Tribe Amblemini (Amblema plicata plicata (Say), Plectomerus dombeyanus (Valenciennes), Quadrula pustulosa (I. Lea), and Q. quadrula (Rafinesque)) in the Cache and White rivers of Arkansas. Mussel populations of both rivers have been subjected to frequent harvest, and White River populations have been exposed to periodic habitat destruction due to dredging. Ranges of polymorphism were from 0.572 for A. plicata to 0.360 for Q.. quadrula; heterozygosity values ranged from 0.049 for P. dombeyanus to 0.144 for Q. pustulosa. With the exception of low heterozygosity for Q. quadrula, heterozygosity and polymorphism values were similar to precious studies involving Amblemini of other river drainages. Populations were characterized by heterozygote deficiencies at all loci. Several determinants of heterozygote deficiency were investigated, with selection and inbreeding posed as viable hypotheses. Bottlenecking may be occurring in Q. quadrula. Although no evidence of genetic decline associated with bottlenecking was identified for the other three Amblemini, mussel beds are on the decline in Arkansas, and loss of genetic diversity is detrimental to the temporal stability of populations.</t>
  </si>
  <si>
    <t>SOUTHWESTERN ASSOC NATURALISTS</t>
  </si>
  <si>
    <t>SAN MARCOS</t>
  </si>
  <si>
    <t>SOUTHWEST TEXAS STATE UNIV, DEPT BIOLOGY, 601 UNIVERSITY DR, SAN MARCOS, TX 78666 USA</t>
  </si>
  <si>
    <t>0038-4909</t>
  </si>
  <si>
    <t>1943-6262</t>
  </si>
  <si>
    <t>SOUTHWEST NAT</t>
  </si>
  <si>
    <t>Southw. Natural.</t>
  </si>
  <si>
    <t>133TK</t>
  </si>
  <si>
    <t>WOS:000076701700005</t>
  </si>
  <si>
    <t>Ghosn, M; Mahfouz, C; Chekri, R; Khalaf, G; Guérin, T; Jitaru, P; Amara, R</t>
  </si>
  <si>
    <t>Ghosn, Micheline; Mahfouz, Celine; Chekri, Rachida; Khalaf, Gaby; Guerin, Thierry; Jitaru, Petru; Amara, Rachid</t>
  </si>
  <si>
    <t>Seasonal and Spatial Variability of Trace Elements in Livers and Muscles of Three Fish Species from the Eastern Mediterranean</t>
  </si>
  <si>
    <t>Trace elements; Fish species; Eastern Mediterranean; Lebanon; Seasonal variation; Spatial variation</t>
  </si>
  <si>
    <t>HEAVY-METAL DISTRIBUTION; COASTAL WATERS; ULVA-LACTUCA; SEA; PB; CD; SEDIMENT; SELENIUM; CADMIUM; MUSSELS</t>
  </si>
  <si>
    <t>Levels of 20 trace elements (Al, Ti, V, Cr, Mn, Fe, Co, Ni, Cu, Zn, As, Se, Ag, Cd, Sn, Sb, Ba, Hg, Pb, and U) were assessed in livers and muscles of two demersal fish species (Siganus rivulatus and Lithognathus mormyrus) and one pelagic species (Etrumeus teres) from the Lebanese coast located in the Eastern Mediterranean. The samples were collected from three sites along the Lebanese coast during the wet and dry seasons in 2017. The trace elements were more concentrated in livers than in muscles and interspecific differences were also found. The herbivorous species S. rivulatus showed the highest levels for most trace elements, while the carnivorous species L. mormyrus showed the least contamination. Elemental seasonal differences were species dependent and were observed for Ti, Cr, Mn, Fe, Ni, As, and Hg, with higher values during the wet season. Multivariate analysis showed spatial differences mainly during the wet season, while being closely related to species that reflected different accumulation patterns in each site. Levels of most trace metals in livers were higher than those reported in other Mediterranean regions (up to 2 to 3 folds). Nevertheless, the levels of Cd, Pb, and Hg in fish muscle were below the maximum levels set by the European Commission indicating that the consumption of these fish species is not likely to have adverse effect on human health. However, exposure depends on dietary habits of the population and a continuous exposure to these elements may result in adverse effects.</t>
  </si>
  <si>
    <t>[Ghosn, Micheline; Amara, Rachid] Univ Lille, Univ Littoral Cote dOpale, Lab Oceanol &amp; Geosci, CNRS,UMR 8187,LOG, Wimereux, France; [Ghosn, Micheline; Chekri, Rachida; Guerin, Thierry; Jitaru, Petru] Univ Paris Est, Lab Food Safety, ANSES, F-94701 Maisons Alfort, France; [Ghosn, Micheline; Mahfouz, Celine; Khalaf, Gaby] Natl Ctr Marine Sci, CNRS L, POB 534, Batroun, Lebanon</t>
  </si>
  <si>
    <t>Universite de Lille; Universite du Littoral-Cote-d'Opale; Centre National de la Recherche Scientifique (CNRS); CNRS - National Institute for Earth Sciences &amp; Astronomy (INSU); Ecole Nationale Veterinaire d'Alfort (ENVA); Agence Nationale de Securite Sanitaire de l'Alimentation, de l'Environnement du Travail (ANSES); Laboratoire de Securite Aliments; Centre National de la Recherche Scientifique (CNRS) - Lebanon; National Center for Marine Sciences (CNRSL)</t>
  </si>
  <si>
    <t>Ghosn, M (corresponding author), Univ Lille, Univ Littoral Cote dOpale, Lab Oceanol &amp; Geosci, CNRS,UMR 8187,LOG, Wimereux, France.;Ghosn, M (corresponding author), Univ Paris Est, Lab Food Safety, ANSES, F-94701 Maisons Alfort, France.;Ghosn, M (corresponding author), Natl Ctr Marine Sci, CNRS L, POB 534, Batroun, Lebanon.</t>
  </si>
  <si>
    <t>micheline.ghosn@univ-littoral.fr</t>
  </si>
  <si>
    <t>RACHID, AMARA/E-2525-2012; GUERIN, Thierry/Q-6397-2019; GUERIN, Thierry/AGM-5991-2022</t>
  </si>
  <si>
    <t>AMARA, Rachid/0000-0002-7183-1333; Ghosn, Micheline/0000-0001-8803-7454; GUERIN, Thierry/0000-0003-4060-6616; JITARU, Petru/0000-0001-9521-6899</t>
  </si>
  <si>
    <t>Lebanese National Council for Scientific Research (CNRS-L); European Union (ERDF); French Government; Region Hauts-de-France; IFREMER</t>
  </si>
  <si>
    <t>Lebanese National Council for Scientific Research (CNRS-L); European Union (ERDF)(European Union (EU)); French Government; Region Hauts-de-France(Region Hauts-de-France); IFREMER</t>
  </si>
  <si>
    <t>Micheline Ghosn would like to thank the Lebanese National Council for Scientific Research (CNRS-L) for the Ph.D. scholarship and the Anses Laboratory for Food Safety for offering the opportunity to carry out the project in the unit Trace Metals and Minerals/Department of Chemical Contaminants in Food. This work has been partially financially supported by the European Union (ERDF), the French Government, the Region Hauts-de-France, and IFREMER, in the framework of the project CPER MARCO 2015-2020.'</t>
  </si>
  <si>
    <t>10.1007/s11356-020-07794-5</t>
  </si>
  <si>
    <t>LW8BR</t>
  </si>
  <si>
    <t>WOS:000510094800006</t>
  </si>
  <si>
    <t>Mello, DF; da Silva, PM; Barracco, MA; Soudant, P; Hégaret, H</t>
  </si>
  <si>
    <t>Mello, Danielle Ferraz; da Silva, Patricia Mirella; Barracco, Margherita Anna; Soudant, Philippe; Hegaret, Helene</t>
  </si>
  <si>
    <t>Effects of the dinoflagellate Alexandrium minutum and its toxin (saxitoxin) on the functional activity and gene expression of Crassostrea gigas hemocytes</t>
  </si>
  <si>
    <t>HARMFUL ALGAE</t>
  </si>
  <si>
    <t>Alexandrium minutum; Crassostrea gigas; Flow cytometry; Gene expression; Harmful algae; Hemocytes; Saxitoxin</t>
  </si>
  <si>
    <t>FLOW-CYTOMETRIC ANALYSIS; MUSSEL MYTILUS-EDULIS; HARMFUL ALGAL BLOOMS; HEAT-SHOCK PROTEINS; PACIFIC OYSTER; EASTERN OYSTERS; ENVIRONMENTAL-POLLUTION; RUDITAPES-PHILIPPINARUM; PROROCENTRUM-MINIMUM; PERKINSUS-OLSENI</t>
  </si>
  <si>
    <t>Blood cells or hemocytes are the major component of the cellular immune responses in bivalves. Recent evidences have demonstrated that the immune functions of these cells can be impaired by harmful algae and their toxins. In this study, we compared the in vitro effect of the toxic dinoflagellate Alexandrium minutum and its purified paralytic toxin, saxitoxin (STX) on the oyster Crassostrea gigas hemocytes. Oyster hemocytes were incubated with A. minutum or STX, and their size, complexity, viability, phagocytic activity and reactive oxygen species (ROS) production were analyzed through flow cytometry. Also, expression of eleven defense-related genes was evaluated through real-time quantitative PCR. Cell incubation with both, the noxious microalga and STX did not alter hemocyte viability neither complexity. However, their phagocytic capacity and ROS production were significantly affected by both treatments. On the other hand, only A. minutum exposure resulted in increase of hemocyte size. Transcript levels of the gene encoding the cytokine Interleukin-17 was significantly higher (4.5-fold) after hemocytes were exposed to A. minutum, which contrasted with a decreased (7-fold) number of transcripts, when hemocytes were treated with STX. The purified toxin also led to lower transcript levels of a cytochrome P450 gene, the CYP356A1 (3.5-fold). On the other hand, hemocytes incubated with STX presented higher mRNA levels of antimicrobial peptide defensin-2 (7-fold) and heat shock protein Hsp70 (2-fold) genes. Altogether, these results suggest that the noxious alga A. minutum and STX can indeed negatively affect immunocompetence of C gigas hemocytes, although in distinct manners. These differences could be due to a lower STX bioavailability in living microalgal cultures or alternatively to the presence of allelopathic compounds produced by living microalgae. This is the first report comparing the transcription of defense-related genes in oysters exposed to a harmful alga and its purified toxin. (c) 2013 Elsevier B.V. All rights reserved.</t>
  </si>
  <si>
    <t>[Mello, Danielle Ferraz; Barracco, Margherita Anna] Univ Fed Santa Catarina, Ctr Biol Sci, Dept Cell Biol Embryol &amp; Genet, Lab Immunol Appl Aquaculture, BR-88040900 Florianopolis, SC, Brazil; [da Silva, Patricia Mirella] Univ Fed Paraiba, Exact &amp; Nat Sci Ctr, Dept Mol Biol, Lab Immunol &amp; Pathol Invertebrates, BR-58051900 Joao Pessoa, PB, Brazil; [Soudant, Philippe; Hegaret, Helene] Univ Bretagne Occidentale, IUEM, LEMAR CNRS UMR 6539, F-29280 Plouzane, France</t>
  </si>
  <si>
    <t>Universidade Federal de Santa Catarina (UFSC); Universidade Federal da Paraiba; Universite de Bretagne Occidentale; Institut Universitaire Europeen de la Mer (IUEM); Centre National de la Recherche Scientifique (CNRS); Ifremer; Institut de Recherche pour le Developpement (IRD); CNRS - Institute of Ecology &amp; Environment (INEE)</t>
  </si>
  <si>
    <t>da Silva, PM (corresponding author), Univ Fed Paraiba, Exact &amp; Nat Sci Ctr, Dept Mol Biol, Lab Immunol &amp; Pathol Invertebrates, Campus 1, BR-58051900 Joao Pessoa, PB, Brazil.</t>
  </si>
  <si>
    <t>mirella_dasilva@hotmail.com</t>
  </si>
  <si>
    <t>da Silva, Patricia/A-5115-2018; Mello, Danielle/AAI-7538-2020; Hegaret, Helene/B-7206-2008</t>
  </si>
  <si>
    <t>Soudant, Philippe/0000-0003-3090-5612; Hegaret, Helene/0000-0003-4639-9013; Mello, Danielle/0000-0003-0530-8277; da Silva, Patricia Mirella/0000-0001-9687-0235</t>
  </si>
  <si>
    <t>CNPq [474539/2008-3]; CNPq/CNRS [24712, 490559/2010-7]</t>
  </si>
  <si>
    <t>CNPq(Conselho Nacional de Desenvolvimento Cientifico e Tecnologico (CNPQ)); CNPq/CNRS(Conselho Nacional de Desenvolvimento Cientifico e Tecnologico (CNPQ)Centre National de la Recherche Scientifique (CNRS))</t>
  </si>
  <si>
    <t>This study was supported by CNPq (research project No. 474539/2008-3) and bilateral cooperation CNPq/CNRS (research projects Nos. 24712 and 490559/2010-7). We sincerely appreciate the scholarship provided for Danielle F. Mello (REUNI/UFSC). Marguerita Anna Barracco is a research fellow of CNPq. [SS]</t>
  </si>
  <si>
    <t>1568-9883</t>
  </si>
  <si>
    <t>1878-1470</t>
  </si>
  <si>
    <t>Harmful Algae</t>
  </si>
  <si>
    <t>10.1016/j.hal.2013.03.003</t>
  </si>
  <si>
    <t>164OF</t>
  </si>
  <si>
    <t>WOS:000320418700005</t>
  </si>
  <si>
    <t>Bhat, ZM; Gani, KM</t>
  </si>
  <si>
    <t>Bhat, Zaid Mushtaq; Gani, Khalid Muzamil</t>
  </si>
  <si>
    <t>Microfiber pollution from Dhobi Ghats (open air laundry centers) and commercial laundries in a north Indian city</t>
  </si>
  <si>
    <t>Laundry; Dhobi Ghats; Microplastics; Microfibers; Occurrence; Water</t>
  </si>
  <si>
    <t>GASTROINTESTINAL-TRACT; WASTE-WATER; HEAVY-METAL; MICROPLASTICS; ACCUMULATION; MUSSEL; INDEX; SEA</t>
  </si>
  <si>
    <t>In regions like Southeast Asia, Dhobi Ghats-traditional open-air laundromats-hold cultural significance and provide livelihoods to many people. These centers are near the riverbanks for easy access to water for washing. These Dhobi Ghats are among major sources of microfibers (MFs) in the waterbodies. However, there is no ample data that confirms their level of MF release into the waterbodies. This study reports for the first time the prevalence of microfibers (MFs) in wastewater from Dhobi Ghats in a North Indian city and comparatively assess them with the MF pollution from commercial laundries. A mean microfiber concentration of 3204 +/- 270 MFs/L was observed in the discharged effluents of Dhobi Ghats, while a concentration at 36,923 +/- 389 MFs/L was observed in effluents from commercial laundries. Pertinently, microfibers measuring less than 75 mu m dominated in effluents of commercial laundries, accounting for 53% of the total. Conversely, microfibers within the 75-150-mu m range were present in effluents of Dhobi Ghats, constituting 52%. Spectroscopic analyses by FTIR showed polyester and polyamides as the main polymers released from Dhobi Ghats. Ecological risk assessment demonstrated a potential environmental risk from the MF pollution from Dhobi Ghats and commercial laundries. The study also proposed a mitigation framework prioritizing both environmental protection and the sustenance of local livelihoods for reducing the microfiber pollution by the Dhobi Ghats.</t>
  </si>
  <si>
    <t>[Bhat, Zaid Mushtaq; Gani, Khalid Muzamil] Natl Inst Technol, Dept Civil Engn, Srinagar, Jammu &amp; Kashmir, India; [Gani, Khalid Muzamil] Durban Univ Technol, Inst Water &amp; Wastewater Technol, POB 1334, ZA-4000 Durban, South Africa</t>
  </si>
  <si>
    <t>National Institute of Technology (NIT System); National Institute of Technology Srinagar; Durban University of Technology</t>
  </si>
  <si>
    <t>Gani, KM (corresponding author), Natl Inst Technol, Dept Civil Engn, Srinagar, Jammu &amp; Kashmir, India.;Gani, KM (corresponding author), Durban Univ Technol, Inst Water &amp; Wastewater Technol, POB 1334, ZA-4000 Durban, South Africa.</t>
  </si>
  <si>
    <t>khalid.m@nitsri.ac.in</t>
  </si>
  <si>
    <t>Gani, Khalid/R-5031-2019</t>
  </si>
  <si>
    <t>Gani, Khalid Muzamil/0000-0002-2062-1547</t>
  </si>
  <si>
    <t>10.1007/s11356-023-31700-4</t>
  </si>
  <si>
    <t>IA0B4</t>
  </si>
  <si>
    <t>WOS:001142546300003</t>
  </si>
  <si>
    <t>Vodiasova, EA; Meger, YV; Lantushenko, AO</t>
  </si>
  <si>
    <t>Vodiasova, E. A.; Meger, Y. V.; Lantushenko, A. O.</t>
  </si>
  <si>
    <t>Identification and characterization of the novel genes encoding glutathione S-transferases in Mytilus galloprovincialis</t>
  </si>
  <si>
    <t>Transcriptome; RNA-seq; Mytilus galloprovincialis; Glutathione S-transferases; Gene expression; Exon-intron structure</t>
  </si>
  <si>
    <t>BLUE MUSSEL; MU-CLASS; CLONING; BIOMARKER; EXPRESSION; SEQUENCE; GST; TOLERANCE; EVOLUTION; ALIGNMENT</t>
  </si>
  <si>
    <t>The superfamily of glutathione S-transferases (GST) plays an essential role in the xenobiotic metabolism, binding compounds to the glutathione, and is like a cell protector during the influence of various negative external factors. Nevertheless, there are very few works devoted to the investigation of these genes in marine invertebrates. Up to this time, only three classes of cytosolic GSTs for one of the leading commercial molluscs Mytilus galloprovincialis were described. We sequenced the whole transcriptome from the gill tissues and, using bioinformatic analysis, detected ten classes of glutathione S-transferases, which are expressed in the mussel M. galloprovincialis. For the first time, two subfamilies were described: mitochondrial GST (kappa class) and microsomal (MAPEG), as well as five classes of the family of cytosolic GSTs (mu, omega, rho, tau, theta). Omega and sigma GST classes might be rapidly regulated genes due to the lack of introns and this assumption was confirmed by the investigation of short-term hypoxia on M. galloprovincialis. Seven new classes of GST revealed a greater gene variety of this detoxifying enzyme in mussels than expected. The obtained nucleotide sequences are necessary for future investigations of GSTs expression in response to various external factors (pollution, oxygen starvation, infection, etc.).</t>
  </si>
  <si>
    <t>[Vodiasova, E. A.] RAS, AO Kovalevsky Inst Biol Southern Seas, Lab Marine Biodivers &amp; Funct Genom, Lenninsky Ave 38, Moscow 119991, Russia; [Meger, Y. V.; Lantushenko, A. O.] Sevastopol State Univ, Lab Mol &amp; Cell Biophys, Sevastopol 299053, Russia</t>
  </si>
  <si>
    <t>Russian Academy of Sciences; AO Kovalevsky Institute of Biology of the Southern Seas of RAS (IBSS); Sevastopol State University</t>
  </si>
  <si>
    <t>Meger, YV (corresponding author), Sevastopol State Univ, Lab Mol &amp; Cell Biophys, Sevastopol 299053, Russia.</t>
  </si>
  <si>
    <t>00-025209@sevsu.ru</t>
  </si>
  <si>
    <t>Lantushenko, Anastasiya/U-3241-2019; Vodiasova, Ekaterina/AAH-2018-2019</t>
  </si>
  <si>
    <t>Meger, Akov/0000-0002-3413-8476</t>
  </si>
  <si>
    <t>Ministry of Education and Science of the Russian Federation [14.W03.31.0015]; SSU [33/06-31]; [AAAA-A18-118020890074-2]</t>
  </si>
  <si>
    <t>Ministry of Education and Science of the Russian Federation(Ministry of Education and Science, Russian Federation); SSU;</t>
  </si>
  <si>
    <t>Many thanks to D.A. Afonnikov from the Systems Biology Depart-ment, Institute of Cytology and Genetics SB RAS, who consulted during the bioinformatic analyses assembly de novo transcriptome. This work is funded by State Assignment No. AAAA-A18-118020890074-2 (identifi-cation and phylogeny of GSTs) , the Ministry of Education and Science of the Russian Federation grant No. 14.W03.31.0015 (RNA extraction, cDNA preparation and sequencing) and an internal grant of SSU for 2020 No. 33/06-31 (transcriptome assembly) . The RNA-seq data anal-ysis performed using computational resources of the Bioinformatics Joint Computational Center of the Institute of Cytology and Genetics SB RAS.</t>
  </si>
  <si>
    <t>10.1016/j.cbd.2021.100926</t>
  </si>
  <si>
    <t>XB5JN</t>
  </si>
  <si>
    <t>WOS:000721365600001</t>
  </si>
  <si>
    <t>The role of warming in modulating neodymium effects on adults and sperm of Mytilus galloprovincialis</t>
  </si>
  <si>
    <t>Neodymium; Mussels; Adults' responses; Sperm' responses; Warming</t>
  </si>
  <si>
    <t>RARE-EARTH-ELEMENTS; HISTOPATHOLOGICAL INDEXES; OXIDATIVE STRESS; EDULIS-L; MARINE; MUSSEL; TEMPERATURE; POLLUTION; GLUTATHIONE; BIOMARKERS</t>
  </si>
  <si>
    <t>The use of rare earth elements (REEs) has been increasing and one of the most used is neodymium (Nd). Being an emergent contaminant, its negative impacts are poorly understood. Aquatic organisms are also threatened by climate change-related factors, as is the case of warming, which can change the effects of REEs. Thus, the impacts of Nd, warming, and the combination of both stressors were studied in adult mussels and sperm of the species Mytilus galloprovincialis, after an exposure period of 28 days (adults) and 30 min (sperm). The effects were evaluated through the analysis of biochemical and histopathological alterations in adults and biochemical and physiological responses given by sperm. The results showed that mussels only activated their biotransformation capacity when exposed to the stressors acting alone, which was insufficient to avoid lipid peroxidation. Furthermore, warming (alone and combined with Nd) also produces damage to proteins. The digestive gland was the most sensitive organ to Nd, presenting several histopathological alterations. In the case of sperm, all stressors induced lipid peroxidation, a higher oxygen demand, and a decrease in velocity, even if the sperm viability was maintained. It seems that warming influenced the effects of Nd to some extent. The present findings contribute significantly to the field of REEs environmental toxicology by offering valuable insights into the impacts of Nd on various biological levels of mussels. Additionally, within the context of climate change, this study sheds light on how temperature influences the effects of Nd. The obtained results indicate that both stressors can potentially compromise the overall health of mussel populations, thereby affecting other species reliant on them for food and habitat. Moreover, this study highlights impaired sperm health, which could adversely affect their reproductive capacity and ultimately lead to population decline.</t>
  </si>
  <si>
    <t>[Leite, Carla; Cuccaro, Alessia; Soares, Amadeu M. V. M.; Freitas, Rosa] Univ Aveiro, Dept Biol, P-3810193 Aveiro, Portugal; [Leite, Carla; Cuccaro, Alessia; Soares, Amadeu M. V. M.; Freitas, Rosa] Univ Aveiro, CESAM, P-3810193 Aveiro, Portugal; [Russo, Tania; Polese, Gianluca] Univ Naples Federico II, Dept Biol, I-80126 Naples, Italy; [Cuccaro, Alessia; Pretti, Carlo] Univ Pisa, Dept Vet Sci, I-56122 Pisa, Italy; [Pinto, Joao; Pereira, Eduarda] Univ Aveiro, Dept Chem, P-3810193 Aveiro, Portugal; [Pinto, Joao; Pereira, Eduarda] Univ Aveiro, LAQV REQUIMTE, P-3810193 Aveiro, Portugal; [Pretti, Carlo] Interuniv Consortium Marine Biol Leghorn G Bacci, I-57128 Livorno, Italy</t>
  </si>
  <si>
    <t>Universidade de Aveiro; Universidade de Aveiro; University of Naples Federico II; University of Pisa; Universidade de Aveiro; Universidade de Aveiro; Consorzio per il Centro Interuniversitario di Biologia Marina ed Ecologia Applicata G. Bacci</t>
  </si>
  <si>
    <t>Pinto, João/ABF-8890-2021; Polese, Gianluca/F-3496-2013; Cuccaro, Alessia/AAN-4418-2020; Freitas, Rosa/A-7539-2012; PRETTI, CARLO/K-5948-2017; Russo, Tania/AHA-0304-2022; Soares, Amadeu/A-8304-2008; Leite, Carla/F-1683-2019</t>
  </si>
  <si>
    <t>Freitas, Rosa/0000-0003-4900-3897; PRETTI, CARLO/0000-0003-4949-2088; Russo, Tania/0000-0002-3531-3977; Cuccaro, Alessia/0000-0001-8631-3822; Soares, Amadeu/0000-0003-0879-9470; Leite, Carla/0000-0001-8579-293X; Pinto, Joao/0000-0002-6175-2906</t>
  </si>
  <si>
    <t>REQUIMTE [UIDB/50006/2020]; CESAM [UIDP/50017/2020, UIDB/50017/2020, LA/P/0094/2020]; National Funds through the Portuguese Science Foundation (Fundacao para a Ciencia e a Tecnologia, FCT [2020.05296.BD, 2020.05323.BD, PD/BD/150609/2020]</t>
  </si>
  <si>
    <t>REQUIMTE; CESAM; National Funds through the Portuguese Science Foundation (Fundacao para a Ciencia e a Tecnologia, FCT</t>
  </si>
  <si>
    <t>Thanks are due for financial support to REQUIMTE (UIDB/50006/2020) and CESAM (UIDP/50017/2020 + UIDB/50017/2020 + LA/P/0094/2020) . Carla Leite, Joao Pinto and Alessia Cuccaro acknowledge their Ph.D. grant (2020.05296.BD, 2020.05323.BD and PD/BD/150609/2020, respectively) by the National Funds through the Portuguese Science Foundation (Fundacao para a Ciencia e a Tecnologia, FCT) .</t>
  </si>
  <si>
    <t>10.1016/j.jenvman.2024.120854</t>
  </si>
  <si>
    <t>D5B9Q</t>
  </si>
  <si>
    <t>WOS:001296345700001</t>
  </si>
  <si>
    <t>Arini, A; Baudrimont, M; Feurtet-Mazel, A; Coynel, A; Blanc, G; Coste, M; Delmas, F</t>
  </si>
  <si>
    <t>Arini, Adeline; Baudrimont, Magalie; Feurtet-Mazel, Agnes; Coynel, Alexandra; Blanc, Gerard; Coste, Michel; Delmas, Francois</t>
  </si>
  <si>
    <t>Comparison of periphytic biofilm and filter-feeding bivalve metal bioaccumulation (Cd and Zn) to monitor hydrosystem restoration after industrial remediation: a year of biomonitoring</t>
  </si>
  <si>
    <t>CLAM CORBICULA-FLUMINEA; FRESH-WATER; CADMIUM ACCUMULATION; METALLOTHIONEIN RESPONSE; ZINC BIOACCUMULATION; DIATOM COMMUNITIES; AQUATIC ORGANISMS; RIVER; LOT; POLLUTION</t>
  </si>
  <si>
    <t>Despite a significant decrease in the metallic waste emissions from an industrial site and a remediation process initiated in 2007, the Riou-Mort watershed (southwest France) still exhibits high Cd and Zn concentrations. Metal wastes have long been proven to significantly disturb aquatic communities. In this study, bioaccumulation capacities and responses to the chemical improvement of the hydrosystem were assessed for a year along the contamination gradient through the comparison of two biological models: Corbicula fluminea and periphytic biofilms, both considered as good bioindicators. Bioaccumulation results confirmed the persistence of water contamination in Corbicula fluminea and biofilms with, respectively, maximum Cd concentrations reaching 80.6 and 861.2 mu g gDW(-1), and Zn concentrations 2.0 and 21.3 mg gDW(-1). Biofilms exhibited bioaccumulation in close correlation with water contamination, while Corbicula fluminea presented Cd bioaccumulation clearly regulated by water temperature and metal concentrations, affecting the ventilatory activity, as revealed by condition indices measurements. Also, a linear regression using Cd bioaccumulation and temperature (Fig. 7) showed that below approximately 6 degrees C Corbicula fluminea did not appear to accumulate metals. Bioconcentration factors (BCFs) were higher in biofilms in comparison with Corbicula fluminea and showed the great accumulation capacity of suspended particulate matter in biofilms. However, bioaccumulation capacities are known to be influenced by many factors other than metal concentrations, such as temperature, water oxygenation or plankton and nutrient concentrations. Thus, this study demonstrates the power of a combined assessment using both Corbicula fluminea and biofilms as bioindicators to give a more integrated view of water quality assessment. Finally, when comparing our results with previous studies, the start of hydrosystem restoration could be shown by decreasing bioaccumulation in organisms.</t>
  </si>
  <si>
    <t>[Arini, Adeline; Baudrimont, Magalie; Feurtet-Mazel, Agnes] Univ Bordeaux 1, EPOC, UMR CNRS 5805, F-33120 Arcachon, France; [Coynel, Alexandra; Blanc, Gerard] Univ Bordeaux 1, EPOC, UMR CNRS 5805, F-33405 Talence, France; [Coste, Michel; Delmas, Francois] Irstea, UR REBX, F-33612 Cestas, France</t>
  </si>
  <si>
    <t>Centre National de la Recherche Scientifique (CNRS); CNRS - National Institute for Earth Sciences &amp; Astronomy (INSU); Universite de Bordeaux; Universite de Bordeaux; Centre National de la Recherche Scientifique (CNRS); CNRS - National Institute for Earth Sciences &amp; Astronomy (INSU); INRAE</t>
  </si>
  <si>
    <t>Arini, A (corresponding author), Univ Bordeaux 1, EPOC, UMR CNRS 5805, Pl Docteur Peyneau, F-33120 Arcachon, France.</t>
  </si>
  <si>
    <t>a.arini@epoc.u-bordeaux1.fr</t>
  </si>
  <si>
    <t>Blanc, Gerard/0009-0005-9814-0427; Baudrimont, Magalie/0000-0001-9901-8435; Coynel, Alexandra/0000-0003-4725-4190</t>
  </si>
  <si>
    <t>Agence Nationale de la Recherche (ANR) [ANR 08-CES-014]; EPOC laboratory; Cemagref laboratory</t>
  </si>
  <si>
    <t>Agence Nationale de la Recherche (ANR)(Agence Nationale de la Recherche (ANR)); EPOC laboratory; Cemagref laboratory</t>
  </si>
  <si>
    <t>This work was supported by the Agence Nationale de la Recherche (ANR) through its programme CES (Contamination Ecosystemes Sante) under the reference ANR 08-CES-014 and developed in the RE-SYST project. We would like to thank Veronique Duflo and Henri Bouillard, from the EPOC laboratory, and Soizic Morin from the Cemagref laboratory, for their support in fieldwork. We would also like to thank Muriel Bonnet and Maryse Boudigues from the Cemagref laboratory and Cecile Boissy from the EPOC laboratory for the chemical analyses. Finally we thank the UMICORE group (Viviez site) for their collaboration.</t>
  </si>
  <si>
    <t>10.1039/c1em10581g</t>
  </si>
  <si>
    <t>855IV</t>
  </si>
  <si>
    <t>WOS:000297558200010</t>
  </si>
  <si>
    <t>Frank, SN; Singer, C; Sures, B</t>
  </si>
  <si>
    <t>Frank, Sabrina N.; Singer, Christoph; Sures, Bernd</t>
  </si>
  <si>
    <t>Metallothionein (MT) response after chronic palladium exposure in the zebra mussel, Dreissena polymorpha</t>
  </si>
  <si>
    <t>Platinum group elements; Bioindication; Biomarker; Metal pollution</t>
  </si>
  <si>
    <t>PLATINUM-GROUP METALS; ATOMIC-ABSORPTION-SPECTROMETRY; MYTILUS-EDULIS; DIGESTIVE GLAND; URBAN LAKE; ROAD DUST; IN-VITRO; CADMIUM; GALLOPROVINCIALIS; BIOMARKER</t>
  </si>
  <si>
    <t>The effects of different exposure concentrations of palladium (Pd) on relative metallothionein (MT) response and bioaccumulation were investigated in zebra mussels (Dreissena polymorpha). The mussels were exposed to 0.05, 5, 50, and 500 Vg/L Pd2+ for 10 weeks under controlled temperature and fasting conditions. Relative MT contents were assessed by a modified Ag-saturation method, which allows to discriminate between MT bound to Pd (Pd-MT) and MT bound to unidentified metals (Ag-MT). Determination of metal contents resulted from atomic absorption spectrometry following a microwave digestion. For unexposed mussels and mussels exposed to 0.05 mu g/L Pd no metal accumulation could be detected. All other exposure concentrations resulted in detectable Pd accumulation in mussels with final tissue concentrations of 96 mu g/g (500 mu g/L), 45 mu g/g (50 mu g/L), and 9 mu g/g (5 mu g/L). Compared with initial levels Pd-MT concentrations at the end of the exposure period were 600 (500 mu g/L), 160 (50 mu g/L), and 27 (5 mu g/L) times higher. These results show that an increase in MTs in D. polymorpha already occurs at relatively low aqueous Pd concentrations indicating that there is the need for detoxification of Pd in the mussel. Furthermore, correlations between Ag-MT and Pd accumulation indicate that higher exposure concentrations are associated with adverse effects on the mussels. Thus, harmful effects of chronic Pd exposure of organisms even in lowest concentrations cannot be excluded in the environment. (C) 2008 Elsevier Inc. All rights reserved.</t>
  </si>
  <si>
    <t>[Frank, Sabrina N.; Singer, Christoph; Sures, Bernd] Univ Duisburg Essen, Dept Appl Zool Hydrobiol, D-45117 Essen, Germany</t>
  </si>
  <si>
    <t>University of Duisburg Essen</t>
  </si>
  <si>
    <t>Sures, B (corresponding author), Univ Duisburg Essen, Dept Appl Zool Hydrobiol, D-45117 Essen, Germany.</t>
  </si>
  <si>
    <t>10.1016/j.envres.2008.07.021</t>
  </si>
  <si>
    <t>368YR</t>
  </si>
  <si>
    <t>WOS:000260660000006</t>
  </si>
  <si>
    <t>Curren, E; Leaw, CP; Lim, PT; Leong, SCY</t>
  </si>
  <si>
    <t>Curren, Emily; Leaw, Chui Pin; Lim, Po Teen; Leong, Sandric Chee Yew</t>
  </si>
  <si>
    <t>Evidence of Marine Microplastics in Commercially Harvested Seafood</t>
  </si>
  <si>
    <t>FRONTIERS IN BIOENGINEERING AND BIOTECHNOLOGY</t>
  </si>
  <si>
    <t>seafood; microplastic; commercial; marine; pollution; shrimp</t>
  </si>
  <si>
    <t>POLYETHYLENE MICROBEADS; LITOPENAEUS-VANNAMEI; PLASTIC ADDITIVES; COASTAL WATERS; SHRIMP; INGESTION; CONTAMINATION; ORGANISMS; ABUNDANCE; BIVALVES</t>
  </si>
  <si>
    <t>Microplastic pollution is a global issue that has a detrimental impact on food safety. In marine environments, microplastics are a threat to marine organisms, as they are often the same size range as prey and are mistaken as food. Consumption of microplastics has led to the damage of digestive organs and a reduction in growth and reproductive output. In this study, microplastic pollution was assessed across three commercially available shrimp species that were obtained from the supermarkets of Singapore. A total of 93 individuals were studied from the Pacific white leg shrimp, Litopenaeus vannamei, the Argentine red shrimp Pleoticus muelleri and the Indian white shrimp Fenneropenaeus indicus. Microplastic fibers, fragments, film and spheres were identified from the digestive tract of these organisms. Microplastic abundance ranged from 13.4 to 7050 items. F. indicus exhibited the highest number of microplastics. Microplastic film was the most abundant in L. vannamei individuals (93-97%) and spheres were the most abundant in P. muelleri (70%) and F. indicus (61%) individuals. This study demonstrates that microplastic contamination is evident in commonly consumed shrimp and highlights the role of shrimp in the trophic transfer and accumulation of microplastics in seafood. The consumption of microplastic-containing seafood is a route of exposure to humans and has implications on human health and food security. Capsule: Microplastics were examined in three shrimp species from the supermarkets of Singapore. Microplastics ranged from 13.4 to 7050 items of shrimp.</t>
  </si>
  <si>
    <t>[Curren, Emily; Leong, Sandric Chee Yew] Natl Univ Singapore, Trop Marine Sci Inst TMSI, St Johns Isl Natl Marine Lab, Singapore, Singapore; [Leaw, Chui Pin; Lim, Po Teen] Univ Malaya, Inst Ocean &amp; Earth Sci, Bachok Marine Res Stn, Bachok, Kelantan, Malaysia</t>
  </si>
  <si>
    <t>National University of Singapore; Universiti Malaya</t>
  </si>
  <si>
    <t>Curren, E (corresponding author), Natl Univ Singapore, Trop Marine Sci Inst TMSI, St Johns Isl Natl Marine Lab, Singapore, Singapore.</t>
  </si>
  <si>
    <t>e0013223@u.nus.edu</t>
  </si>
  <si>
    <t>Leaw, Chui Pin/F-5220-2012; /F-5304-2013; Lim, Po Teen/C-9758-2013</t>
  </si>
  <si>
    <t>/0000-0002-6767-0020; Lim, Po Teen/0000-0003-2823-0564</t>
  </si>
  <si>
    <t>NUS</t>
  </si>
  <si>
    <t>NUS(National University of Singapore)</t>
  </si>
  <si>
    <t>This work was partially supported by funds awarded to Dr. Sandric Leong through NUS and was made possible because of the support from members of Team HABs.</t>
  </si>
  <si>
    <t>2296-4185</t>
  </si>
  <si>
    <t>FRONT BIOENG BIOTECH</t>
  </si>
  <si>
    <t>Front. Bioeng. Biotechnol.</t>
  </si>
  <si>
    <t>DEC 4</t>
  </si>
  <si>
    <t>10.3389/fbioe.2020.562760</t>
  </si>
  <si>
    <t>Biotechnology &amp; Applied Microbiology; Engineering, Biomedical</t>
  </si>
  <si>
    <t>Biotechnology &amp; Applied Microbiology; Engineering</t>
  </si>
  <si>
    <t>PG2UL</t>
  </si>
  <si>
    <t>WOS:000599596000001</t>
  </si>
  <si>
    <t>Zhou, ZX; Kong, FZ; Zhang, QC; Gao, Y; Koch, F; Gobler, CJ; Chen, ZF; Wang, YF; Yu, RC</t>
  </si>
  <si>
    <t>Zhou, Zhengxi; Kong, Fanzhou; Zhang, Qingchun; Gao, Yan; Koch, Florian; Gobler, Christopher J.; Chen, Zhenfan; Wang, Yunfeng; Yu, Rencheng</t>
  </si>
  <si>
    <t>Brown tides linked to the unique nutrient profile in coastal waters of Qinhuangdao, China</t>
  </si>
  <si>
    <t>Brown tide; Aureococcus anophagefferens; Nitrogen pollution; Bohai sea; Harmful algal blooms (HABs)</t>
  </si>
  <si>
    <t>HARMFUL ALGAL BLOOMS; AUREOCOCCUS-ANOPHAGEFFERENS; NITROGEN UPTAKE; INTERANNUAL VARIABILITY; NATURAL-POPULATIONS; LONG-ISLAND; BOHAI SEA; EUTROPHICATION; PHYTOPLANKTON; DYNAMICS</t>
  </si>
  <si>
    <t>Brown tides caused by the pelagophyte Aureococcus anophagefferens have frequently occurred in the Bohai Sea since 2009 and have led to a dramatic collapse of the local scallop culture. To determine why brown tides occurred in the Bohai Sea rather than in other eutrophic coastal waters of China, phytoplankton communities and nutrients were evaluated and nutrient addition experiments were conducted in the Qinhuangdao coastal area. The concentration of dissolved organic nitrogen (DON) was nearly five times higher than that of dissolved inorganic nitrogen (DIN) during brown tides. High levels of phytoplankton biomass and nutrients were observed in the inshore waters, and the patterns of different nutrients were heterogeneous, which could be due to the uneven distribution of pelagophytes and non-brown tide phytoplankton populations (NBTP). The nutrient enrichment results indicated that the growth of the phytoplankton community was nitrogen-limited. Enrichment of DON, especially urea, could promote the growth of pelagophytes during the development stages of the brown tide. In brief, the results of this study imply that the unique nutrient profile (rich in DON but deficient in DIN) could support the outbreak of brown tides in the inshore waters of Qinhuangdao.</t>
  </si>
  <si>
    <t>[Zhou, Zhengxi; Kong, Fanzhou; Zhang, Qingchun; Chen, Zhenfan; Wang, Yunfeng; Yu, Rencheng] Chinese Acad Sci, Inst Oceanol, CAS Key Lab Marine Ecol &amp; Environm Sci, Qingdao 266071, Peoples R China; [Zhou, Zhengxi; Kong, Fanzhou; Zhang, Qingchun; Chen, Zhenfan; Wang, Yunfeng; Yu, Rencheng] Pilot Natl Lab Marine Sci &amp; Technol Qingdao, Lab Marine Ecol &amp; Environm Sci, Qingdao 266071, Peoples R China; [Zhou, Zhengxi; Kong, Fanzhou; Zhang, Qingchun; Wang, Yunfeng; Yu, Rencheng] Chinese Acad Sci, Ctr Ocean Mega Sci, Qingdao 266071, Peoples R China; [Gao, Yan] China Ocean Mineral Resources R&amp;D Assoc, Beijing 100860, Peoples R China; [Koch, Florian] Helmholtz Ctr Polar &amp; Marine Res, Alfred Wegener Inst, D-25570 Bremerhaven, Germany; [Gobler, Christopher J.] SUNY Stony Brook, Sch Marine &amp; Atmospher Sci, Southampton, NY 11968 USA; [Gobler, Christopher J.] SUNY Stony Brook, Sch Marine &amp; Atmospher Sci, Stony Brook, NY 11794 USA; [Yu, Rencheng] Univ Chinese Acad Sci, Beijing 100049, Peoples R China</t>
  </si>
  <si>
    <t>Chinese Academy of Sciences; Institute of Oceanology, CAS; Laoshan Laboratory; Chinese Academy of Sciences; Helmholtz Association; Alfred Wegener Institute, Helmholtz Centre for Polar &amp; Marine Research; State University of New York (SUNY) System; State University of New York (SUNY) Stony Brook; State University of New York (SUNY) System; State University of New York (SUNY) Stony Brook; Chinese Academy of Sciences; University of Chinese Academy of Sciences, CAS</t>
  </si>
  <si>
    <t>Yu, RC (corresponding author), Chinese Acad Sci, Inst Oceanol, CAS Key Lab Marine Ecol &amp; Environm Sci, Qingdao 266071, Peoples R China.</t>
  </si>
  <si>
    <t>rcyu@qdio.ac.cn</t>
  </si>
  <si>
    <t>Zhou, Zhengxi/U-4968-2019; Yu, Rencheng/J-4450-2017</t>
  </si>
  <si>
    <t>Koch, Florian/0000-0001-7107-4160; Zhou, Zhengxi/0000-0001-7482-4297; Yu, Rencheng/0000-0001-6430-9224</t>
  </si>
  <si>
    <t>National Natural Science Founda-tion project; Strategic Priority Research Program of the Chinese Academy of Sciences (CAS); [42006146]; [XDA19060203]</t>
  </si>
  <si>
    <t>National Natural Science Founda-tion project(National Natural Science Foundation of China (NSFC)); Strategic Priority Research Program of the Chinese Academy of Sciences (CAS); ;</t>
  </si>
  <si>
    <t>Acknowledgement This study was supported by the National Natural Science Founda-tion project [grant number 42006146] and Strategic Priority Research Program of the Chinese Academy of Sciences (CAS) [grant number XDA19060203] . We are indebted to the colleagues who participated in sample collection and analysis during the cruises in 2012 and 2013.</t>
  </si>
  <si>
    <t>10.1016/j.envres.2022.114459</t>
  </si>
  <si>
    <t>5I4JK</t>
  </si>
  <si>
    <t>WOS:000868324800001</t>
  </si>
  <si>
    <t>Xiu, M; Pan, LQ; Jin, Q</t>
  </si>
  <si>
    <t>Xiu, Meng; Pan, Luqing; Jin, Qian</t>
  </si>
  <si>
    <t>Bioaccumulation and oxidative damage in juvenile scallop Chlamys farreri exposed to benzo[a]pyrene, benzo[b]fluoranthene and chrysene</t>
  </si>
  <si>
    <t>Polycyclic Aromatic Hydrocarbons; Chlamys farreri; Bioaccumulation; Oxidative damage</t>
  </si>
  <si>
    <t>POLYCYCLIC AROMATIC-HYDROCARBONS; MUSSELS MYTILUS-EDULIS; DNA STRAND BREAKS; LIPID-PEROXIDATION; HEAVY-METALS; PROTEINS; GALLOPROVINCIALIS; BIOMARKERS; POLLUTION; SEDIMENTS</t>
  </si>
  <si>
    <t>The study is aimed at investigating the bioaccumulation and oxidative damage of juvenile scallops (Chlamys farreri) exposed to three selected PAHs: benzo[a]pyrene (BaP), benzo[b]fluoranthene (BbF) and chrysene (CHR). For this purpose, a study was performed on juvenile scallops exposed to BaP (0.01, 0.2 and 4 mu g/L), BbF (0.02, 0.2 and 2 mu g/L) and CHR (0.2, 0.8 and 3.2 mu g/L) for 21 days. Accumulations of these three PAHs in soft parts of scallops, except the 0.01 mu g/L BaP group and the 0.02 mu g/L BbF group, showed obvious time and dose dependence, and CHR accumulation was higher when compared to BaP and BbF. Oxidative damage indicators, including lipid peroxidation (LPO), protein carbonyl (PC) and DNA strand breaks, were also measured in soft parts to assess effects of the selected PAHs. The results showed that the LPO levels, PC contents and DNA damage were induced significantly (P &lt; 0.05 or P &lt; 0.01), except in the low level groups of BaP and BbF, and different trends were detected with time of exposure. According to the correlation analysis results, PC content in soft parts showed a good correlation with the target contaminant and seemed to be proposed as a potential early indicator of BaP, BbF and CHR. In addition the sequence of toxicity is BaP &gt; BbF &gt; CHR, judging by the level of induction of oxidative damage at 0.2 mu g/L levels. The results of this research are expected to contribute to the establishment of a good biochemical index of exposure to PAHs in laboratory experiments, which can be further useful in field studies. (C) 2014 Elsevier Inc. All rights reserved.</t>
  </si>
  <si>
    <t>[Xiu, Meng; Pan, Luqing; Jin, Qian] Ocean Univ China, Minist Educ, Coll Fisheries, Key Lab Mariculture, Qingdao 266003, Peoples R China</t>
  </si>
  <si>
    <t>Pan, LQ (corresponding author), Ocean Univ China, Minist Educ, Coll Fisheries, Key Lab Mariculture, Yushan Rd 5, Qingdao 266003, Peoples R China.</t>
  </si>
  <si>
    <t>This work was supported by the State Oceanic Administration specific public project of China (201105013). We thank the staff at the Laboratory of Physiology for the help with sampling and taking care of the scallops.</t>
  </si>
  <si>
    <t>10.1016/j.ecoenv.2014.05.016</t>
  </si>
  <si>
    <t>AP5LZ</t>
  </si>
  <si>
    <t>WOS:000342122000015</t>
  </si>
  <si>
    <t>Morley, NJ; Lewis, JW; Hoole, D</t>
  </si>
  <si>
    <t>Morley, N. J.; Lewis, J. W.; Hoole, D.</t>
  </si>
  <si>
    <t>Pollutant-induced effects on immunological and physiological interactions in aquatic host-trematode systems: implications for parasite transmission</t>
  </si>
  <si>
    <t>Black Forest Symposium on Environmental and Ecological Parasitology - Impact of Global Change</t>
  </si>
  <si>
    <t>Freudenstadt, GERMANY</t>
  </si>
  <si>
    <t>MANSONI-INFECTED MICE; ECHINOPARYPHIUM-RECURVATUM CERCARIAE; HEPATIC-MICROSOMAL ENZYMES; HEAVY-METAL CONCENTRATIONS; SYRIAN GOLDEN-HAMSTERS; ANTI-FOULING BIOCIDES; CLAM PISIDIUM-AMNICUM; FRESH-WATER CLAM; SCHISTOSOMA-MANSONI; FASCIOLA-HEPATICA</t>
  </si>
  <si>
    <t>Under conditions of pollution both host and parasite are susceptible to the pathogenic effects of toxicants, which in turn may result in detrimental changes to their immunological and physiological processes. Digenetic trematodes, which encompass species of both medical and economic importance, possess complex life cycles and are common parasites of both vertebrates and molluscs. The combined stress induced by pollution and parasitism influences the physiology of the host which can have implications not only on host survival but also on the functional biology of resident parasite populations. The present paper reviews the effects of pollutants on the immunology and physiology in both vertebrate and molluscan host-trematode systems and the implications for parasite transmission.</t>
  </si>
  <si>
    <t>Royal Holloway Univ London, Sch Biol Sci, Egham TW20 0EX, Surrey, England; Univ Keele, Sch Life Sci, Keele ST5 5BG, Staffs, England</t>
  </si>
  <si>
    <t>University of London; Royal Holloway University London; Keele University</t>
  </si>
  <si>
    <t>Morley, NJ (corresponding author), Royal Holloway Univ London, Sch Biol Sci, Egham TW20 0EX, Surrey, England.</t>
  </si>
  <si>
    <t>Morley, Neil/E-4307-2010; Hoole, David/HIK-0929-2022</t>
  </si>
  <si>
    <t>10.1079/JOH2006345</t>
  </si>
  <si>
    <t>052AF</t>
  </si>
  <si>
    <t>WOS:000238202100005</t>
  </si>
  <si>
    <t>Devi, KP; Pandian, SK; Kumar, NSS</t>
  </si>
  <si>
    <t>Cholinesterase activity in clam Meretrix casta:: Possible biomarker for organophosphate pesticide pollution</t>
  </si>
  <si>
    <t>ACETYLCHOLINESTERASE ACTIVITY; MYTILUS-GALLOPROVINCIALIS; CHLORPYRIFOS; ORGANISMS; MALATHION; TOXICITY; COPPER; EDULIS; SEA</t>
  </si>
  <si>
    <t>Alagappa Univ, Dept Biotechnol, Karaikkudi 600003, Tamil Nadu, India</t>
  </si>
  <si>
    <t>Devi, KP (corresponding author), Alagappa Univ, Dept Biotechnol, Karaikkudi 600003, Tamil Nadu, India.</t>
  </si>
  <si>
    <t>Devi, Kasi/U-9565-2019; Karutha Pandian, Shunmugiah/B-6765-2018</t>
  </si>
  <si>
    <t>Karutha Pandian, Shunmugiah/0000-0003-2925-0575</t>
  </si>
  <si>
    <t>10.1007/s00128-004-0577-8</t>
  </si>
  <si>
    <t>890ZT</t>
  </si>
  <si>
    <t>WOS:000226551800005</t>
  </si>
  <si>
    <t>Element Contents in Three Commercially Important Edible Mollusks Harvested off the Southwestern Coast of Crimea (Black Sea) and Assessment of Human Health Risks from Their Consumption</t>
  </si>
  <si>
    <t>mollusks; Mytilus galloprovincialis; Rapana venosa; Crassostrea gigas; trace elements; ICP-MS; cluster analysis; accumulation universality index; human health risk</t>
  </si>
  <si>
    <t>HEAVY-METAL POLLUTION; MUSSELS MYTILUS-GALLOPROVINCIALIS; OYSTER CRASSOSTREA-GIGAS; RAPANA-VENOSA; TRACE-ELEMENTS; BIOACCUMULATION; SYSTEM; BAY; PHYTOPLANKTON; ORGANISMS</t>
  </si>
  <si>
    <t>Mollusks are a prospective food for the world's growing population, but the contents of toxic and essential trace elements in them have not been studied comprehensively. In this work, using inductively coupled plasma mass spectrometry, the contents of 72 elements in soft tissues of the edible mollusks Mytilus galloprovincialis, Rapana venosa, and Crassostrea gigas from the coastal area of the southwestern Crimea were estimated and compared with the maximum permissible levels. Element accumulation similarities were observed in the two bivalve species. Cluster analysis applied to the non-normalized contents allowed finding an optimal number of non-overlapping element clusters: 1 group of macroelements, 1-2 groups of trace elements, and 1-2 groups of ultratrace elements. As an outcome of this analysis, the element accumulation universality index was introduced, which demonstrated the accumulation universality decrease in the order: mussel &gt; sea snail &gt; oyster. An original approach to estimating the mollusk consumption rate was proposed to assess human health risks. Two possible consumption scenarios were identified for Crimean residents. From the expected consumption of all species in both scenarios, there are no health risks, but they are not excluded, within the 95% probability, from high consumption of mussels and sea snails in the pessimistic scenario.</t>
  </si>
  <si>
    <t>[Kapranov, Sergey V.; Karavantseva, Nadezhda V.; Bobko, Nikolay I.; Ryabushko, Vitaliy I.; Kapranova, Larisa L.] RAS, AO Kovalevsky Inst Biol Southern Seas, Sevastopol 299011, Russia</t>
  </si>
  <si>
    <t>Kapranov, SV (corresponding author), RAS, AO Kovalevsky Inst Biol Southern Seas, Sevastopol 299011, Russia.</t>
  </si>
  <si>
    <t>sergey.v.kapranov@yandex.ru; nvideokaravan12@gmail.com; ni.bobko@yandex.ru; rabushko2006@yandex.ru; lar_sa1980@mail.ru</t>
  </si>
  <si>
    <t>[121030300149-0]; [121040500247-0]</t>
  </si>
  <si>
    <t>This research received financial support within the governmental research assignments 121030300149-0 and 121040500247-0.</t>
  </si>
  <si>
    <t>10.3390/foods10102313</t>
  </si>
  <si>
    <t>WN9SN</t>
  </si>
  <si>
    <t>WOS:000712105100001</t>
  </si>
  <si>
    <t>Wei, HY; Meng, ZQ</t>
  </si>
  <si>
    <t>Wei, Haiying; Meng, Ziqiang</t>
  </si>
  <si>
    <t>Enhancing effects of diethyldithiocarbamate on increase of sodium channel by sulfur dioxide derivatives in ventricular myocytes</t>
  </si>
  <si>
    <t>CELL BIOLOGY INTERNATIONAL</t>
  </si>
  <si>
    <t>Ventricular myocytes; Patch-clamp technique; Sodium current; Diethyldithiocarbamate; Sulfur dioxide</t>
  </si>
  <si>
    <t>AIR-POLLUTION; CARDIOVASCULAR-DISEASES; HOSPITAL ADMISSIONS; POTASSIUM CURRENTS; OXIDATIVE DAMAGE; DAILY MORTALITY; BLOOD-PRESSURE; FREE-RADICALS; IN-VIVO; RAT</t>
  </si>
  <si>
    <t>The enhancing effects of diethyldithiocarbamate (DDC) on increase of sodium channel by sulfur dioxide derivatives in ventricular myocytes were studied using the whole cell patch-clamp technique to probe the mechanism of SO2 on the cardiovascular system in this study. Firstly, the effects of DDC and/or sulfur dioxide (SO2) derivatives on the activities of superoxide dismutase (SOD) were studied. The results showed that DDC decreased SOD activities significantly and SO2 derivatives had no significant effect on SOD activities; however, DDC and SO2 derivatives combined led to a significant decrease of SOD activities. In the electrophysiological test, DDC (1-100 mM) increased sodium current (I-Na) in a concentration-dependent manner and the concentration for half-maximum increase (EC50) was 20 mM. Addition of 20 mM DDC to the SO2 derivatives-containing medium significantly shifted the voltage-dependent activation curve of I-Na toward the hyperpolarizing direction (V-h are -51 mV, -53 mV and -54 mV, respectively) and shifted the steady-state inactivation curve to more positive potentials (V-h are -74 mV, -71 mV and -65 mV, respectively) compared with the control and 10 mM SO2 derivatives exposure. These results indicated that DDC could enhance the increasing effects on Na+ channels induced by SO2 derivatives, and suggested that the toxicity of SO2 on ventricular myocytes of rats was realized by free radical, especially O (-) over bar2 . (C) 2008 International Federation for Cell Biology. Published by Elsevier Ltd. All rights reserved.</t>
  </si>
  <si>
    <t>[Wei, Haiying; Meng, Ziqiang] Shanxi Univ, Inst Environm Med &amp; Toxicol, Taiyuan 030006, Peoples R China</t>
  </si>
  <si>
    <t>Shanxi University</t>
  </si>
  <si>
    <t>Meng, ZQ (corresponding author), Shanxi Univ, Inst Environm Med &amp; Toxicol, Taiyuan 030006, Peoples R China.</t>
  </si>
  <si>
    <t>weihaiying@sxu.edu.cn; zqmeng@sxu.edu.cn</t>
  </si>
  <si>
    <t>National Natural Science Foundation of China [20677035, 20477023]; Natural Science Foundation of Shanxi Province [20031092]</t>
  </si>
  <si>
    <t>National Natural Science Foundation of China(National Natural Science Foundation of China (NSFC)); Natural Science Foundation of Shanxi Province(Natural Science Foundation of Shanxi Province)</t>
  </si>
  <si>
    <t>This research was supported by grant No. 20677035 and No. 20477023 from the National Natural Science Foundation of China and by grant 20031092 from the Natural Science Foundation of Shanxi Province.</t>
  </si>
  <si>
    <t>1065-6995</t>
  </si>
  <si>
    <t>1095-8355</t>
  </si>
  <si>
    <t>CELL BIOL INT</t>
  </si>
  <si>
    <t>Cell Biol. Int.</t>
  </si>
  <si>
    <t>10.1016/j.cellbi.2008.06.004</t>
  </si>
  <si>
    <t>369CS</t>
  </si>
  <si>
    <t>WOS:000260671700014</t>
  </si>
  <si>
    <t>Prarat, P; Hongsawat, P</t>
  </si>
  <si>
    <t>Prarat, Panida; Hongsawat, Parnuch</t>
  </si>
  <si>
    <t>Microplastic pollution in surface seawater and beach sand from the shore of Rayong province, Thailand: Distribution, characterization, and ecological risk assessment</t>
  </si>
  <si>
    <t>Microplastic pollution; Ecological risk; Pollution load index; Seawater; Beach sand; Thailand</t>
  </si>
  <si>
    <t>SOUTH CHINA SEA; HEAVY-METAL; FLOATING MICROPLASTICS; CHANGJIANG ESTUARY; SEDIMENTS; WATERS; ACCUMULATION; ABUNDANCE; BIVALVES; GULF</t>
  </si>
  <si>
    <t>The distribution, characteristics, and ecological risk of microplastics in beach sand and seawater samples collected along the shore of Rayong province, Thailand, were investigated in this study. The average micro plastics abundance in beach sand and seawater was 338.89 +/- 264.94 particles/kg d.w. and 1781.48 +/- 1598.36 particles/m(3), respectively. Beach sand and seawater had the most yellow-brown particles and transparent microfibers, respectively. The most common microplastics (100-500 mu m) and polyethylene were found. In beach sand, the potential ecological risk (RI) is classified as minor, while in seawater, it is classified as medium. The PLIzone in beach sand and seawater was Hazard Level II and Hazard Level IV, respectively. Despite their apparent proximity, the non-correlation between risk levels in beach sand and seawater may be due to polymer type variations influenced by the different land-based and sea-based sources.</t>
  </si>
  <si>
    <t>[Prarat, Panida; Hongsawat, Parnuch] King Mongkuts Univ Technol North Bangkok, Fac Sci Energy &amp; Environm, Rayong Campus, Rayong, Thailand</t>
  </si>
  <si>
    <t>King Mongkuts University of Technology North Bangkok</t>
  </si>
  <si>
    <t>Prarat, P (corresponding author), King Mongkuts Univ Technol North Bangkok, Fac Sci Energy &amp; Environm, Rayong Campus, Rayong, Thailand.</t>
  </si>
  <si>
    <t>panida.p@sciee.kmutnb.ac.th</t>
  </si>
  <si>
    <t>King Mongkut's University of Technology North Bangkok [KMUTNB-64-KNOW-19]</t>
  </si>
  <si>
    <t>King Mongkut's University of Technology North Bangkok</t>
  </si>
  <si>
    <t>This research was funded by the King Mongkut's University of Technology North Bangkok [Contract no. KMUTNB-64-KNOW-19] . We would like to thank Faculty of Science, Energy and Environment, King Mongkut's University of Technology North Bangkok (Rayong Campus) for the equipment.</t>
  </si>
  <si>
    <t>10.1016/j.marpolbul.2021.113200</t>
  </si>
  <si>
    <t>WOS:000737215300002</t>
  </si>
  <si>
    <t>Torkan, A; Ehsani, M</t>
  </si>
  <si>
    <t>Torkan, Arash; Ehsani, Mehrdad</t>
  </si>
  <si>
    <t>A Novel Nonisolated Z-Source DC-DC Converter for Photovoltaic Applications</t>
  </si>
  <si>
    <t>IEEE TRANSACTIONS ON INDUSTRY APPLICATIONS</t>
  </si>
  <si>
    <t>32nd Annual IEEE Applied Power Electronics Specialists Conference and Exposition (APEC)</t>
  </si>
  <si>
    <t>MAR 26-30, 2017</t>
  </si>
  <si>
    <t>Tampa, FL</t>
  </si>
  <si>
    <t>DC-DC power converters; renewable energy systems; solar energy; solar power generation; Z-source converter</t>
  </si>
  <si>
    <t>VOLTAGE-LIFT TECHNIQUE; STEP-UP CONVERTER; SWITCHED-CAPACITOR; INDUCTOR</t>
  </si>
  <si>
    <t>Pollution problems caused by fossil fuels have led to more investigations on renewable energy systems. Photovoltaic cells and fuel cells output low-level voltage than required; therefore, high gain dc-dc converters are used to boost this low voltage. The Z-source converter can be employed as dc-dc converter to boost the photovoltaic panel voltages. It also offers other advantages, such as clamped switched voltage, high voltage gain, isolation of energy source from the load, and positive polarity for output voltage; therefore, this is a good choice for high step-up applications. This paper presents analysis of a novel high step-up Z-source based dc-dc converter that has higher voltage gain than the Z-source converter. Furthermore, high efficiency, low device voltage stress, and wide voltage gain range make it a good candidate for photovoltaic and high voltage step-up applications. The proposed dc-dc converter is evaluated experimentally for converting 24-V dc input to 300-V dc output at 100 Wand to validate the simulation results.</t>
  </si>
  <si>
    <t>[Torkan, Arash; Ehsani, Mehrdad] Texas A&amp;M Univ, Dept Elect &amp; Comp Engn, Power Elect &amp; Motor Drives Lab, College Stn, TX 77843 USA</t>
  </si>
  <si>
    <t>Torkan, A (corresponding author), Texas A&amp;M Univ, Dept Elect &amp; Comp Engn, Power Elect &amp; Motor Drives Lab, College Stn, TX 77843 USA.</t>
  </si>
  <si>
    <t>arashtorkan@gmail.com; ehsani@ece.tamu.edu</t>
  </si>
  <si>
    <t>IEEE-INST ELECTRICAL ELECTRONICS ENGINEERS INC</t>
  </si>
  <si>
    <t>PISCATAWAY</t>
  </si>
  <si>
    <t>445 HOES LANE, PISCATAWAY, NJ 08855-4141 USA</t>
  </si>
  <si>
    <t>0093-9994</t>
  </si>
  <si>
    <t>1939-9367</t>
  </si>
  <si>
    <t>IEEE T IND APPL</t>
  </si>
  <si>
    <t>IEEE Trans. Ind. Appl.</t>
  </si>
  <si>
    <t>10.1109/TIA.2018.2833821</t>
  </si>
  <si>
    <t>Engineering, Multidisciplinary; Engineering, Electrical &amp; Electronic</t>
  </si>
  <si>
    <t>GU6EF</t>
  </si>
  <si>
    <t>WOS:000445399100055</t>
  </si>
  <si>
    <t>Skowronska-Ochmann, K; Cuber, P; Lewin, I</t>
  </si>
  <si>
    <t>Skowronska-Ochmann, Katarzyna; Cuber, Piotr; Lewin, Iga</t>
  </si>
  <si>
    <t>The first record and occurrence of Stagnicola turricula (Held, 1836) (Gastropoda: Pulmonata: Lymnaeidae) in Upper Silesia (Southern Poland) in relation to different environmental factors</t>
  </si>
  <si>
    <t>ZOOLOGISCHER ANZEIGER</t>
  </si>
  <si>
    <t>Gastropoda; Stagnicola turricula (Held 1836); Lymnaeidae; Upper Silesia; Anthropogenic reservoirs; Redundancy analysis (RDA)</t>
  </si>
  <si>
    <t>FRESH-WATER SNAILS; MOLLUSK COMMUNITIES; DENSITY; LAKES</t>
  </si>
  <si>
    <t>The degradation of freshwater environments, e.g.: eutrophication, drainage, water pollution, has led to the decline of lymnaeid species distribution. Some of them are recorded in the Red Book and Red List of species as rare; vulnerable or legally protected. The survey was carried out in Upper Silesia (Southern Poland), which is one of the biggest coal basins in the world. This region is devoid of natural water bodies; only reservoirs of an anthropogenic origin are common. Anthropogenic reservoirs, which are not very degraded, constitute important lentic habitats in Upper Silesia and they provide refuges for wildlife including rare and vulnerable molluscan species. This survey uncovered the first occurrence of Stagnicola turricula in the anthropogenic reservoirs in this area. S. turricula has been subdominant in molluscan communities. Sixteen molluscan species, including 11 gastropod and 5 bivalve species, were recorded at the,sampling sites. Based on a redundancy analysis (RDA), the organic matter content in the bottom sediments and pH were the parameters most associated (statistically significant) with the distribution of molluscan species including S. turricula. (C) 2011 Elsevier GmbH. All rights reserved.</t>
  </si>
  <si>
    <t>[Lewin, Iga] Univ Silesia, Fac Biol &amp; Environm Protect, Dept Hydrobiol, PL-40007 Katowice, Poland; [Cuber, Piotr] Med Univ Silesia, Sch Pharm, Inst Parasitol, PL-41218 Sosnowiec, Poland; [Skowronska-Ochmann, Katarzyna] Upper Silesian Nat Heritage Ctr, PL-40543 Katowice, Poland</t>
  </si>
  <si>
    <t>University of Silesia in Katowice; Medical University Silesia</t>
  </si>
  <si>
    <t>Lewin, I (corresponding author), Univ Silesia, Fac Biol &amp; Environm Protect, Dept Hydrobiol, 9 Bankowa St, PL-40007 Katowice, Poland.</t>
  </si>
  <si>
    <t>k.skowronska@cdpgs.katowice.pl; piotrc10@op.pl; iga.lewin@us.edu.pl</t>
  </si>
  <si>
    <t>Cuber, Piotr/AAW-8249-2020</t>
  </si>
  <si>
    <t>Cuber, Piotr/0000-0003-3186-1180; Lewin, Iga/0000-0001-5204-2120</t>
  </si>
  <si>
    <t>0044-5231</t>
  </si>
  <si>
    <t>ZOOL ANZ</t>
  </si>
  <si>
    <t>Zool. Anz.</t>
  </si>
  <si>
    <t>10.1016/j.jcz.2011.11.001</t>
  </si>
  <si>
    <t>039SG</t>
  </si>
  <si>
    <t>WOS:000311266200011</t>
  </si>
  <si>
    <t>Blom, EL; Mück, I; Heubel, K; Svensson, O</t>
  </si>
  <si>
    <t>Blom, Eva-Lotta; Mueck, Isabel; Heubel, Katja; Svensson, Ola</t>
  </si>
  <si>
    <t>Acoustic and visual courtship traits in two sympatric marine Gobiidae species - Pomatoschistus microps and Pomatoschistus minutus</t>
  </si>
  <si>
    <t>ENVIRONMENTAL BIOLOGY OF FISHES</t>
  </si>
  <si>
    <t>Acoustic communication; Character displacement; Gobiidae; Matechoice; Sexual selection; Sound signal production</t>
  </si>
  <si>
    <t>MALE SAND GOBY; COMMON GOBY; NEST AVAILABILITY; WATER TURBIDITY; PREDATION RISK; GOBIUS-NIGER; BLACK GOBY; SEX-RATIO; BEHAVIOR; FISH</t>
  </si>
  <si>
    <t>Divergence in courtship traits across species can evolve as adaptations to different environments, and also through avoidance of reproductive interference and character displacement. Differences may also be explained by phylogenetic relationships. We compared different courtship traits, including male courtship sounds, in two sympatric Pomatoschistus species. Both species are characterised by having male and female courtship, and paternal care of eggs in nests under mussel shells and rocks. In addition to presenting novel observations, we reviewed the literature on courtship traits for both species and complemented it with new observations. We found that courting males of the common goby P. microps sing louder and produce sounds of shorter duration than males of the sand goby P. minutus. Furthermore, males of P. microps swim faster towards females during courtship than males of P. minutus. The eyes of P. minutus females turn black during courtship attempts, whereas this is not the case for females of P. microps. Species-specific differences in courtship sounds and behavior may lead to different susceptibility of the two species to environmental change such as noise pollution and turbidity.</t>
  </si>
  <si>
    <t>[Blom, Eva-Lotta; Svensson, Ola] Univ Gothenburg, Dept Biol &amp; Environm Sci, Box 463, SE-40530 Gothenburg, Sweden; [Mueck, Isabel] Univ Tubingen, Anim Evolutionary Ecol, Morgenstelle 28, D-72076 Tubingen, Germany; [Heubel, Katja] Univ Cologne, Inst Zool, Res Stn Grietherbusch, D-50923 Cologne, Germany; [Svensson, Ola] Univ Gothenburg, Linnaeus Ctr Marine Evolutionary Biol, Gothenburg, Sweden</t>
  </si>
  <si>
    <t>University of Gothenburg; Eberhard Karls University of Tubingen; University of Cologne; University of Gothenburg</t>
  </si>
  <si>
    <t>Svensson, O (corresponding author), Univ Gothenburg, Dept Biol &amp; Environm Sci, Box 463, SE-40530 Gothenburg, Sweden.</t>
  </si>
  <si>
    <t>ola.svensson@bioenv.gu.se</t>
  </si>
  <si>
    <t>Svensson, Ola/F-5232-2013; Heubel, Katja/J-4060-2012</t>
  </si>
  <si>
    <t>Svensson, Ola/0000-0003-3752-3131; Heubel, Katja/0000-0002-7946-5542</t>
  </si>
  <si>
    <t>Graduate School in Marine Environmental Research at the Gothenburg Centre for Marine Research; Helge Ax:son Johnssons stiftelse; Herbert &amp; Karin Jacobssons stiftelse; ASSEMBLE grant [227799]; Volkswagen foundation; Linnaeus Centre for Marine Evolutionary Biology at the University of Gothenburg - Linnaeus-grant from the Swedish Research Council VR; Linnaeus Centre for Marine Evolutionary Biology at the University of Gothenburg - Linnaeus-grant from the Swedish Research Council Formas</t>
  </si>
  <si>
    <t>Graduate School in Marine Environmental Research at the Gothenburg Centre for Marine Research; Helge Ax:son Johnssons stiftelse; Herbert &amp; Karin Jacobssons stiftelse; ASSEMBLE grant; Volkswagen foundation(Volkswagen); Linnaeus Centre for Marine Evolutionary Biology at the University of Gothenburg - Linnaeus-grant from the Swedish Research Council VR; Linnaeus Centre for Marine Evolutionary Biology at the University of Gothenburg - Linnaeus-grant from the Swedish Research Council Formas</t>
  </si>
  <si>
    <t>M. Celander, K. de Jong and J. Wilson helped in the field and the Sven Loven Centre of Marine Infrastructure in Kristineberg for use of their facilities, technical support and hospitality. We thank Calum Ninnes for valuable comments on the manuscript. The manuscript was greatly improved by the helpful comments from two anonymous reviewers. Financial support was provided by the Graduate School in Marine Environmental Research at the Gothenburg Centre for Marine Research, Helge Ax:son Johnssons stiftelse, Herbert &amp; Karin Jacobssons stiftelse, (to ELB), ASSEMBLE grant agreement no 227799 (to IM and KH), Volkswagen foundation (to KH), the Linnaeus Centre for Marine Evolutionary Biology at the University of Gothenburg which is supported by a Linnaeus-grant from the Swedish Research Councils VR and Formas (to OS).</t>
  </si>
  <si>
    <t>0378-1909</t>
  </si>
  <si>
    <t>1573-5133</t>
  </si>
  <si>
    <t>ENVIRON BIOL FISH</t>
  </si>
  <si>
    <t>Environ. Biol. Fishes</t>
  </si>
  <si>
    <t>10.1007/s10641-016-0550-5</t>
  </si>
  <si>
    <t>ED4OS</t>
  </si>
  <si>
    <t>WOS:000388829900008</t>
  </si>
  <si>
    <t>Coldsnow, KD; Relyea, RA</t>
  </si>
  <si>
    <t>Coldsnow, Kayla D.; Relyea, Rick A.</t>
  </si>
  <si>
    <t>The combined effects of macrophytes and three road salts on aquatic communities in outdoor mesocosms</t>
  </si>
  <si>
    <t>Constructed wetlands; Elodea canadensis; NaCl alternatives; Road deicing salts; Salinization; Salt-impacted ecosystems</t>
  </si>
  <si>
    <t>FRESH-WATER MUSSELS; HEAVY-METALS; LIFE-HISTORY; FOOD WEBS; TOXICITY; SALINITY; SALINIZATION; DAPHNIA; EVOLUTION; IMPACTS</t>
  </si>
  <si>
    <t>Because of environmental and societal concerns, new strategies are being developed to mitigate the effects of road salt. These include new deicers that are alternatives to or mixtures with the most common road salt, sodium chloride (NaCl), improved techniques and equipment, and biotic mitigation methods. Using outdoor mesocosms, we investigated the impacts of NaCl and two common alternatives, magnesium chloride (MgCl2) and calcium chloride (CaCl2) on freshwater communities. We also investigated the mitigation ability of a common macrophyte, Elodea. We hypothesized that road salt exposure reduces filamentous algae, zooplankton, and macrocrustaceans, but results in increases in phytoplankton and gastropods. We also hypothesized that MgCl2 is the most toxic salt to communities, followed by CaCl2, and then NaCl. Lastly, we hypothesized that macrophytes mitigate some of the effects of road salt, specifically the effects on primary producers. We found that all three salts reduced filamentous algal biomass and amphipod abundance, but only MgCl2 reduced Elodea biomass. MgCl2 had the largest and longest lasting effects on zooplankton, specifically cladocerans and copepods, which resulted in a significant increase in phytoplankton and rotifers. CaCl2 increased ostracods and decreased snail abundance, but NaCl increased snail abundance. Lastly, while we did not find many interactions between road salt and macrophyte treatments, macrophytes did counteract many of the salt effects on producers, leading to decreased phytoplankton, increased filamentous algae, and altered abiotic responses. Thus, at similar chloride concentrations, NaCl alternatives, specifically MgCl2, are not safer for aquatic ecosystems and more research is needed to find safer road management strategies to protect freshwater ecosystems.</t>
  </si>
  <si>
    <t>[Coldsnow, Kayla D.; Relyea, Rick A.] Rensselaer Polytech Inst, Darrin Fresh Water Inst, Dept Biol Sci, 110 8th St, Troy, NY 12180 USA; [Coldsnow, Kayla D.] US EPA, Off Pesticide Programs, Hlth Effects Div, Res Triangle Pk, NC 27711 USA</t>
  </si>
  <si>
    <t>Rensselaer Polytechnic Institute; United States Environmental Protection Agency</t>
  </si>
  <si>
    <t>Coldsnow, KD (corresponding author), Rensselaer Polytech Inst, Darrin Fresh Water Inst, Dept Biol Sci, 110 8th St, Troy, NY 12180 USA.;Coldsnow, KD (corresponding author), US EPA, Off Pesticide Programs, Hlth Effects Div, Res Triangle Pk, NC 27711 USA.</t>
  </si>
  <si>
    <t>Jefferson Project at Lake George - Rensselaer Polytechnic Institute, International Business Machines (IBM); Fund for Lake George; National Science Foundation Graduate Research Fellowship [DGE 1744655]</t>
  </si>
  <si>
    <t>Jefferson Project at Lake George - Rensselaer Polytechnic Institute, International Business Machines (IBM); Fund for Lake George; National Science Foundation Graduate Research Fellowship(National Science Foundation (NSF))</t>
  </si>
  <si>
    <t>This study was funded by the Jefferson Project at Lake George, which is supported by Rensselaer Polytechnic Institute, International Business Machines (IBM) , and The Fund for Lake George. K. D. Coldsnow was supported by the National Science Foundation Graduate Research Fellowship under Grant No. DGE 1744655. Any opinion, findings, con-clusions, or recommendations expressed in this material are those of the authors (s) and do not necessarily reflect the views, endorsements, or recommendations of the National Science Foundation (NSF) . We thank Aaron Stoler and William Hintz for experimental guidance. We thank Anna-Christina Amason, Hannah Barrett, Audrey Boraski, Hanna Bor-doh, Melissa Calabria, Christian Cavanough, Laurel Dean, Angelina Giorgio, Kate Goodell, Devin Jones, Zan Koenig, Brian Mattes, Joshua Mincer, Joseph Mruzek, Alec Nabb, David Nesich, Christine Relyea, Patrick Roa, Matt Schuler, Jon Stetler, Tianrui Wang, Justin Waldern, and Erika Yates for help with conducting the experiment and processing samples. We thank Jonathan Borrelli for statistical advice. We also thank the editor and associate editor for the handling of our manuscript and the anonymous reviewers for providing comments to improve our manuscript.</t>
  </si>
  <si>
    <t>10.1016/j.envpol.2021.117652</t>
  </si>
  <si>
    <t>WOS:000696310700005</t>
  </si>
  <si>
    <t>Orbea, A; Fahimi, HD; Cajaraville, MP</t>
  </si>
  <si>
    <t>Immunolocalization of four antioxidant enzymes in digestive glands of mollusks and crustaceans and fish liver</t>
  </si>
  <si>
    <t>HISTOCHEMISTRY AND CELL BIOLOGY</t>
  </si>
  <si>
    <t>catalase; superoxide dismutase; glutathione peroxidase; peroxisomes; immunocytochemistry; aquatic organisms</t>
  </si>
  <si>
    <t>MUSSEL MYTILUS-GALLOPROVINCIALIS; ZINC SUPEROXIDE-DISMUTASE; GLUTATHIONE-PEROXIDASE; IMMUNOHISTOCHEMICAL LOCALIZATION; INTRACELLULAR-LOCALIZATION; CYTOCHEMICAL DEMONSTRATION; OXIDATIVE STRESS; RAT HEPATOCYTES; COMMON MUSSEL; PURIFICATION</t>
  </si>
  <si>
    <t>The aim of this work was to determine the immunolocalization of the antioxidant enzymes catalase, Cu,Zn-superoxide dismutase (SOD), Mn-SOD, and glutathione peroxidase (GPX) in the bivalve mollusks Mytilus galloprovincialis and Crassostrea sp., the crab Carcinus maenas, and the teleostean fish Mugil cephalus. By immunoblotting, crossreactivity between antibodies and the corresponding proteins in the digestive gland/hepatopancreas of invertebrates and the fish Liver was demonstrated. Immunohistochemical studies showed that the stomach epithelium was strongly immunostained for catalase in mollusks. In crabs, ducts showed stronger immunostaining than tubules and in mullet hepatocytes the reaction appeared in discrete granules corresponding to peroxisomes. With regard to Cu,Zn-SOD, the apex of the tubule cells in mussels and crabs was distinctly immunostained, whereas in oysters the reaction was more marked in ducts and in mullet liver a uniform diffuse cytoplasmic staining was found. Mn-SOD was strongly positive in mollusk and crab ducts and in muller periportal hepatocytes. Finally, GPX was not detected in mussels while in oysters a slight reaction was noted in all cell types. In crabs, connective tissue cells and the apex of duct cells were immunostained, but in mullet liver only erythrocytes appeared reactive. Immunoelectron microscopy revealed that catalase was localized in peroxisomes with a dense labeling in fish and less intense labeling in invertebrates. Cu,Zn-SOD was mainly a cytosolic protein although additional positive subcellular sites (peroxisomes, nuclei) were also observed, while Mn-SOD was restricted to mitochondria. GPX was localized in the cytosol, nucleus, and lysosomes, occurring also in peroxisomes of the fish liver. The results presented here provide a basis for future application of the immunodetection techniques to study the possible differential induction of antioxidant enzymes in aquatic organisms subjected to oxidative stress as a result of exposure to environmental pollutants.</t>
  </si>
  <si>
    <t>Univ Basque Country, Euskal Herriko Unibertsitatea, Zientzi Fak, Biol Zelularra Histol Lab, E-48080 Bilbao, Basque Cty, Spain</t>
  </si>
  <si>
    <t>Univ Basque Country, Euskal Herriko Unibertsitatea, Zientzi Fak, Biol Zelularra Histol Lab, 644 PK, E-48080 Bilbao, Basque Cty, Spain.</t>
  </si>
  <si>
    <t>/I-2501-2015; Cajaraville, Miren P/I-4757-2015</t>
  </si>
  <si>
    <t>Cajaraville, Miren P/0000-0001-6527-6137; ORBEA DEL REY, AMAIA/0000-0002-0229-4482</t>
  </si>
  <si>
    <t>0948-6143</t>
  </si>
  <si>
    <t>1432-119X</t>
  </si>
  <si>
    <t>HISTOCHEM CELL BIOL</t>
  </si>
  <si>
    <t>Histochem. Cell Biol.</t>
  </si>
  <si>
    <t>Cell Biology; Microscopy</t>
  </si>
  <si>
    <t>381FV</t>
  </si>
  <si>
    <t>WOS:000165752400006</t>
  </si>
  <si>
    <t>Rech, S; Pichs, YJB; García-Vazquez, E</t>
  </si>
  <si>
    <t>Rech, Sabine; Borrell Pichs, Yaisel J.; Garcia-Vazquez, Eva</t>
  </si>
  <si>
    <t>Anthropogenic marine litter composition in coastal areas may be a predictor of potentially invasive rafting fauna</t>
  </si>
  <si>
    <t>LONG-DISTANCE DISPERSAL; PLASTIC DEBRIS; BEACH; ACCUMULATION; CIRRIPEDIA; PATTERNS; BUOYS; LIFE; SIZE; BAY</t>
  </si>
  <si>
    <t>Anthropogenic plastic pollution is a global problem. In the marine environment, one of its less studied effects is the transport of attached biota, which might lead to introductions of non-native species in new areas or aid in habitat expansions of invasive species. The goal of the present work was to assess if the material composition of beached anthropogenic litter is indicative of the rafting fauna in a coastal area and could thus be used as a simple and cost-efficient tool for risk assessment in the future. Beached anthropogenic litter and attached biota along the 200 km coastline of Asturias, central Bay of Biscay, Spain, were analysed. The macrobiotic community attached to fouled litter items was identified using genetic barcoding combined with visual taxonomic analysis, and compared between hard plastics, foams, other plastics and non-plastic items. On the other hand, the material composition of beached litter was analysed in a standardized area on each beach. From these two datasets, the expected frequency of several rafting taxa was calculated for the coastal area and compared to the actually observed frequencies. The results showed that plastics were the most abundant type of beached litter. Litter accumulation was likely driven by coastal sources (industry, ports) and river/sewage inputs and transported by near-shore currents. Rafting vectors were almost exclusively made up of plastics and could mainly be attributed to fishing activity and leisure/household. We identified a variety of rafting biota, including species of goose barnacles, acorn barnacles, bivalves, gastropods, polychaetes and bryozoan, and hydrozoan colonies attached to stranded litter. Several of these species were non-native and invasive, such as the giant Pacific oyster (Crassostrea gigas) and the Australian barnacle (Austrominius modestus). The composition of attached fauna varied strongly between litter items of different materials. Plastics, except for foam, had a much more diverse attached community than non-plastic materials. The predicted frequency of several taxa attached to beached litter significantly correlated with the actually observed frequencies. Therefore we suggest that the composition of stranded litter on a beach or an area could allow for predictions about the corresponding attached biotic community, including invasive species.</t>
  </si>
  <si>
    <t>[Rech, Sabine; Borrell Pichs, Yaisel J.; Garcia-Vazquez, Eva] Univ Oviedo, Dept Funct Biol, Oviedo, Asturias, Spain</t>
  </si>
  <si>
    <t>Rech, S (corresponding author), Univ Oviedo, Dept Funct Biol, Oviedo, Asturias, Spain.</t>
  </si>
  <si>
    <t>rechsabine@uniovi.es</t>
  </si>
  <si>
    <t>Rech, Sabine/ABE-1665-2020; Garcia-Vazquez, Eva/Y-7293-2019; Borrell Pichs, Yaisel Juan/B-2650-2009</t>
  </si>
  <si>
    <t>Borrell Pichs, Yaisel Juan/0000-0003-2840-4384; Garcia-Vazquez, Eva/0000-0002-8429-838X; Rech, Sabine/0000-0002-7500-6330</t>
  </si>
  <si>
    <t>European Commission [Marie Curie ITN H2020 AQUAINVAD-ED] [642197]; Marie Curie Actions (MSCA) [642197] Funding Source: Marie Curie Actions (MSCA)</t>
  </si>
  <si>
    <t>European Commission [Marie Curie ITN H2020 AQUAINVAD-ED]; Marie Curie Actions (MSCA)(Marie Curie Actions)</t>
  </si>
  <si>
    <t>This work was supported by the European Commission [Marie Curie 2014 ITN H2020 AQUAINVAD-ED; grant agreement no. 642197].</t>
  </si>
  <si>
    <t>JAN 31</t>
  </si>
  <si>
    <t>e0191859</t>
  </si>
  <si>
    <t>10.1371/journal.pone.0191859</t>
  </si>
  <si>
    <t>FU2GT</t>
  </si>
  <si>
    <t>WOS:000423668400058</t>
  </si>
  <si>
    <t>Cardon, PY; Roques, O; Caron, A; Rosabal, M; Fortin, C; Amyot, M</t>
  </si>
  <si>
    <t>Cardon, Pierre-Yves; Roques, Olivier; Caron, Antoine; Rosabal, Maikel; Fortin, Claude; Amyot, Marc</t>
  </si>
  <si>
    <t>Role of prey subcellular distribution on the bioaccumulation of yttrium (Y) in the rainbow trout</t>
  </si>
  <si>
    <t>Yttrium; Subcellular partitioning; Trophic transfer; Metal; Fish; Rare earth elements</t>
  </si>
  <si>
    <t>RARE-EARTH-ELEMENTS; TROPHICALLY AVAILABLE METAL; FRESH-WATER; CHIRONOMUS-RIPARIUS; DAPHNIA-MAGNA; 2 BIVALVES; CD; CADMIUM; MARINE; COMPARTMENTALIZATION</t>
  </si>
  <si>
    <t>Our knowledge of the processes leading to the bioaccumulation of rare earth elements (REE) in aquatic biota is limited. As the contamination of freshwater ecosystems by anthropogenic REE have recently been reported, it becomes increasingly urgent to understand how these metals are transferred to freshwater organisms in order to develop appropriate guidelines. We exposed rainbow trout (Oncorhynchus mykiss) to an REE, yttrium (Y), to either a range of Y-contaminated prey (Daphnia magna) or a range of Y-contaminated water. For the feeding experiment, the relationship between the Y assimilation by O. mykiss and the Y subcellular fractionation in D. magna was evaluated. Assimilation efficiency of Y by O. mykiss was low, ranging from 0.8 to 3%. These values were close to the proportion of Y accumulated in D. magna cytosol, 0.6-2%, a theoretical trophically available fraction. Moreover, under our laboratory conditions, water appeared as a poor source of Y transfer to O. mykiss. Regardless of the source of contamination, a similar pattern of Y bioaccumulation among O. mykiss tissues was revealed: muscles &lt; liver &lt; gills &lt; intestine. We conclude that the trophic transfer potential of Y is low and the evaluation of Y burden in prey cytosol appears to be a relevant predictor of Y assimilation by their consumers. (C) 2019 Elsevier Ltd. All rights reserved.</t>
  </si>
  <si>
    <t>[Cardon, Pierre-Yves; Caron, Antoine; Amyot, Marc] Univ Montreal UdeM, Dept Sci Biol, GRIL, Complexe Sci,CP 6128, Montreal, PQ H3C 3J7, Canada; [Roques, Olivier] Univ La Rochelle, Fac Sci &amp; Technol, Ave Michel Crepeau, F-17042 La Rochelle, France; [Rosabal, Maikel] Univ Quebec Montreal UQAM, Dept Sci Biol, GRIL, 141 Ave President Kennedy, Montreal, PQ H2X 1Y4, Canada; [Fortin, Claude] INRS, Ctr Eau Terre Environm, ETE, 490 rue Couronne, Quebec City, PQ G1K 9A9, Canada</t>
  </si>
  <si>
    <t>Universite de Montreal; La Rochelle Universite; University of Quebec; University of Quebec Montreal; University of Quebec; Institut national de la recherche scientifique (INRS)</t>
  </si>
  <si>
    <t>Amyot, M (corresponding author), Univ Montreal UdeM, Dept Sci Biol, GRIL, Complexe Sci,CP 6128, Montreal, PQ H3C 3J7, Canada.</t>
  </si>
  <si>
    <t>pierre-yves.cardon@umontreal.ca; olivier.roques@etudiant.univ-lr.fr; antoine.caron@environnement.gouv.qc.ca; rosabal.maikel@uqam.ca; claude.fortin@ete.inrs.ca; m.amyot@umontreal.ca</t>
  </si>
  <si>
    <t>Amyot, Marc/A-7182-2008</t>
  </si>
  <si>
    <t>Amyot, Marc/0000-0002-0340-3249; Rosabal, Maikel/0000-0002-5420-3490</t>
  </si>
  <si>
    <t>Natural Sciences and Engineering Research Council (NSERC); NSERC strategic grant (TRIVALENCE); NSERC CREATE Mine of Knowledge network; Canada Research Chair Program</t>
  </si>
  <si>
    <t>Natural Sciences and Engineering Research Council (NSERC)(Natural Sciences and Engineering Research Council of Canada (NSERC)); NSERC strategic grant (TRIVALENCE)(Natural Sciences and Engineering Research Council of Canada (NSERC)); NSERC CREATE Mine of Knowledge network(Natural Sciences and Engineering Research Council of Canada (NSERC)); Canada Research Chair Program(Canada Research Chairs)</t>
  </si>
  <si>
    <t>We would like to thank the technicians from the Centre d'expertise en analyse environnementale du Quebec (CEAEQ Ministere de l'Environnement et de la Lutte contre les changements climatiques; MELCC) for their assistance in the breeding of organisms and in many chemical analyses. We also would like to thank the INRS-ETE technicians for their help in Y concentrations measurements. Finally, we would like to thank Nicolas Gruyer for his help in planning the laboratory work and for reviewing the document. This research was funded through the Natural Sciences and Engineering Research Council (NSERC) Discovery grant and an NSERC strategic grant (TRIVALENCE) to M. Amyot. This work was supported by the NSERC CREATE Mine of Knowledge network through a scholarship to P.-Y. Cardon. M. Amyot and C. Fortin are supported by the Canada Research Chair Program. The lab ware used in experiments performed at the Quebec City CEAEQ were purchased and provided by the MELCC.</t>
  </si>
  <si>
    <t>10.1016/j.envpol.2019.113804</t>
  </si>
  <si>
    <t>KU4BO</t>
  </si>
  <si>
    <t>WOS:000519655100064</t>
  </si>
  <si>
    <t>Kleinschmidt, JM; Janosik, AM</t>
  </si>
  <si>
    <t>Kleinschmidt, Jordan M.; Janosik, Alexis M.</t>
  </si>
  <si>
    <t>Microplastics in Florida, United States: A Case Study of Quantification and Characterization With Intertidal Snails</t>
  </si>
  <si>
    <t>FRONTIERS IN ECOLOGY AND EVOLUTION</t>
  </si>
  <si>
    <t>marine pollution; Stramonita haemastoma; Melongena corona; Gulf of Mexico; microfibers; microfragments</t>
  </si>
  <si>
    <t>SOUTHERN OYSTER DRILL; PLASTIC DEBRIS; MARINE-ENVIRONMENT; STRAMONITA-HAEMASTOMA; INGESTION; ABUNDANCE; SIZE; LAKE; CONTAMINATION; ACCUMULATION</t>
  </si>
  <si>
    <t>Concentrations of microplastics are increasing within the oceans, including waters surrounding Florida, United States. Miles of sandy beaches make the sunshine state a prime tourist destination leading to an increased amount of pollution along Florida coasts. Microplastics can cause damage to intertidal organisms, as well as causing issues up the food chain with biomagnification and seafood consumers, such as humans. Florida is also subject to hurricanes which often distribute sediments, filling the water column with previously settled microplastics. These factors make Florida a special case to review considering the state is affected heavily by hurricanes and tourism, which can contribute to microplastic concentrations in the Gulf of Mexico. The focus of this study was to quantify, characterize, and compare microplastics contamination in two predatory marine snail species from intertidal habitats in Florida, United States Ingestion results were also compared to microplastics contamination of water samples collected from the same locations. Red-mouth rock shell (Stramonita haemastoma, n = 30) and Crown conch (Melongena corona, n = 30) snails were collected from intertidal habitats in Florida and digested for microplastics quantification. Water samples were filtered and microplastics were quantified. 256 microplastics, of which 93% were microfibers and 7% were microfragments were isolated from snails (n = 60). Additionally, 67 microplastics were isolated from 8 L of seawater (8.375 microplastics/L), of which 97% were microfibers and 3% were microfragments. This is the first known study to demonstrate microplastics contamination of tissues in predatory marine intertidal snails. Marine intertidal snails may be good organisms for biomonitoring of microplastics in intertidal sandy habitats.</t>
  </si>
  <si>
    <t>[Kleinschmidt, Jordan M.; Janosik, Alexis M.] Univ West Florida, Dept Biol, Pensacola, FL 32514 USA</t>
  </si>
  <si>
    <t>Janosik, AM (corresponding author), Univ West Florida, Dept Biol, Pensacola, FL 32514 USA.</t>
  </si>
  <si>
    <t>ajanosik@uwf.edu</t>
  </si>
  <si>
    <t>Office of Undergraduate Research at the University of West Florida</t>
  </si>
  <si>
    <t>Funding Funding was provided for this study from the Office of Undergraduate Research at the University of West Florida.</t>
  </si>
  <si>
    <t>2296-701X</t>
  </si>
  <si>
    <t>FRONT ECOL EVOL</t>
  </si>
  <si>
    <t>Front. Ecol. Evol.</t>
  </si>
  <si>
    <t>SEP 22</t>
  </si>
  <si>
    <t>10.3389/fevo.2021.645727</t>
  </si>
  <si>
    <t>WB7EA</t>
  </si>
  <si>
    <t>WOS:000703731200001</t>
  </si>
  <si>
    <t>Amiard, JC; Bacheley, H; Barillé, AL; Barillé, L; Geffard, A; Himery, N</t>
  </si>
  <si>
    <t>Temporal changes in nickel and vanadium concentrations and in condition index and metallothionein levels in three species of molluscs following the Erika oil spill</t>
  </si>
  <si>
    <t>nickel; vanadium; condition index; metallothionein; molluscs; mussel; Mlytilus edulis; dogwhelk; Nucella lapillus; periwinkle; Littorina littorea</t>
  </si>
  <si>
    <t>MUSSEL MYTILUS-GALLOPROVINCIALIS; LITTORINA-LITTOREA; METAL CONTAMINATION; NUCELLA-LAPILLUS; INDUCTION; CADMIUM; ACCUMULATION; BIOMARKER; POLLUTION; EXPOSURE</t>
  </si>
  <si>
    <t>The petroleum spilt by the tanker Erika contained environmentally high concentrations of nickel (45 mg kg(-1)) and vanadium (83 mg kg(-1)). Our aim was to show that nickel and vanadium concentrations in marine organisms could be used as tracers of their exposure to oil deposits along the coast. Two biomarkers were determined, condition index (CI) and metallothionein levels. Samples were collected monthly from January to May 2000 from five sites along the coast of Vendee and Loire Atlantique: (1) Lerat, (2) La Govelle, (3) Saint Gildas, (4) La Bernerie and (5) La Fosse. Among benthic invertebrates, mussels Mytilus edulis (filter-feeders), periwinkles Littorina littorea (grazing-feeders) and dogwhelks Nucella lapillus (carnivora, bivalve predators) were selected. In addition, mussels were collected from a control site, Fier d'Ars (Re Island). The species chosen as bioindicators have responded to the presence of oil in their environment by accumulating nickel and vanadium. The bioaccumulation of vanadium occurred early one month after oil spill whereas nickel bioaccumulation was deferred, probably as a consequence of a lower stability of vanadylporphyrins compared to nickelporphyrins which are known in particular for their role in stabilizing emulsions (film at the water/oil interface). Interspecific differences may be explained by different food habits: periwinkles grazed contaminated algae; mussels as filter-feeders retained particles and colloids from the water column; dogwhelks fed on mussels. Spatio-temporal changes of nickel and vanadium concentrations may result from (i) the arrival of new oil slicks, (ii) the action of cleaning of the coasts contributing to the re-suspension of petroleum. In all of the three species, few changes of the Cl were observed from site to site. CI variations were linked to sexual ripening in mussels. Mussels originating from the control site showed NIT concentrations significantly lower than those in specimens from impacted sites. The highest MT concentrations were observed in January and February, and then a consistent decrease was registered in March and May. NIT concentrations in periwinkles increased very significantly in March and May. An increase in MT concentrations was also shown at this period in dogwhelks. Depending on the species, positive correlations were shown between NIT and nickel and/or vanadium concentrations.</t>
  </si>
  <si>
    <t>Univ Nantes, ISOMer, EA 2160, SMAB,Serv Ecotoxicol, F-44322 Nantes 3, France; Univ Nantes, ISOMer, EA 2663, EMI, F-44322 Nantes 3, France</t>
  </si>
  <si>
    <t>Univ Nantes, ISOMer, EA 2160, SMAB,Serv Ecotoxicol, 2 Rue Houssiniere,BP 92208, F-44322 Nantes 3, France.</t>
  </si>
  <si>
    <t>Jean-Claude.Amiard@isomer.univ-nantes.fr</t>
  </si>
  <si>
    <t>Geffard, Alain/0000-0001-9236-2890; Barille, Laurent/0000-0001-5138-2684</t>
  </si>
  <si>
    <t>10.1051/alr:2004037</t>
  </si>
  <si>
    <t>870NH</t>
  </si>
  <si>
    <t>WOS:000225064200007</t>
  </si>
  <si>
    <t>Barghi, M; Shin, ES; Son, MH; Choi, SD; Pyo, H; Chang, YS</t>
  </si>
  <si>
    <t>Barghi, Mandana; Shin, Eun-su; Son, Min-Hui; Choi, Sung-Deuk; Pyo, Heesoo; Chang, Yoon-Seok</t>
  </si>
  <si>
    <t>Hexabromocyclododecane (HBCD) in the Korean food basket and estimation of dietary exposure</t>
  </si>
  <si>
    <t>HBCD; Food; Fish and shellfish; Dietary intake; Korean population</t>
  </si>
  <si>
    <t>BROMINATED FLAME RETARDANTS; POLYBROMINATED DIPHENYL ETHERS; ENANTIOMER-SPECIFIC PROFILES; TETRABROMOBISPHENOL-A; GAMMA-HEXABROMOCYCLODODECANE; TEMPORAL TRENDS; LAKE-ONTARIO; SOUTH-KOREA; ALPHA; DIASTEREOISOMERS</t>
  </si>
  <si>
    <t>1,2,5,6,9,10-hexabromocyclododecane (HBCD) is a brominated flame retardant that is used worldwide in expanded and extruded polystyrene foam and simultaneously emitted to the environment. HBCD can easily accumulate in animals and humans and cause neurotoxicity, thyroid hormone disruption, and reproductive disorders. Therefore, it is essential to monitor the HBCD concentrations in foods and estimate the human exposure through the diet. In this study a total of 521 food samples from eight food categories were sampled and analyzed for their HBCD content. Based on consumption data, the average dietary intake of the general Korean population and specific subgroups was calculated. The highest levels of HBCD were found in fish and shellfish (0.47 ng g(-1) ww), and this was attributed to natural exposure to the contaminated marine environments and the HBCD bioaccumulation. In addition, the use of expanded polystyrene buoys in aquaculture was also found to be a potential source of HBCD in bivalves. The high solubility of alpha-HBCD in water and the persistence of this diastereomer compared to beta- and gamma-HBCD in biological tissues, led to higher accumulation of alpha-HBCD in animal -based foods. In contrast, the diastereomeric selectivity and lower metabolic capacity in plants compared with animals led to the predominance of gamma-HBCD in plant-based foods. The dietary intake of HBCD was estimated to be 0.82 ng kg(-1) bw d(-1) in the general population and 2.89 ng kg(-1) bw d(-1) in children up to 5 years of age. The high HBCD intake in children was found to be a result of their lower body weight and their high consumption of milk and homemade Korean baby foods that usually contain fish. (C) 2016 Elsevier Ltd. All rights reserved.</t>
  </si>
  <si>
    <t>[Barghi, Mandana; Shin, Eun-su; Son, Min-Hui; Chang, Yoon-Seok] Pohang Univ Sci &amp; Technol POSTECH, Sch Environm Sci &amp; Engn, 77 Cheongam Ro, Pohang 37673, South Korea; [Choi, Sung-Deuk] UNIST, Sch Urban &amp; Environm Engn, UNIST Gil 50, Ulsan 44919, South Korea; [Pyo, Heesoo] Korea Inst Sci &amp; Technol, Mol Recognit Res Ctr, Hwarangno 14 Gil 5, Seoul 136791, South Korea</t>
  </si>
  <si>
    <t>Pohang University of Science &amp; Technology (POSTECH); Ulsan National Institute of Science &amp; Technology (UNIST); Korea Institute of Science &amp; Technology (KIST)</t>
  </si>
  <si>
    <t>Chang, YS (corresponding author), Pohang Univ Sci &amp; Technol POSTECH, Sch Environm Sci &amp; Engn, 77 Cheongam Ro, Pohang 37673, South Korea.</t>
  </si>
  <si>
    <t>yschang@postech.ac.kr</t>
  </si>
  <si>
    <t>Choi, Sung-Deuk/F-4827-2010</t>
  </si>
  <si>
    <t>Barghi, Mandana/0000-0001-7171-1051; Chang, Yoon-Seok/0000-0002-0623-2932; Choi, Sung-Deuk/0000-0003-1024-2620</t>
  </si>
  <si>
    <t>Korea Ministry of Food and Drug Safety [12162KFDA015]</t>
  </si>
  <si>
    <t>Korea Ministry of Food and Drug Safety(Ministry of Food &amp; Drug Safety (MFDS), Republic of Korea)</t>
  </si>
  <si>
    <t>This research was supported by a grant (12162KFDA015) that was awarded by the Korea Ministry of Food and Drug Safety in 2012-2015.</t>
  </si>
  <si>
    <t>10.1016/j.envpol.2016.02.026</t>
  </si>
  <si>
    <t>DO6VO</t>
  </si>
  <si>
    <t>WOS:000377921800029</t>
  </si>
  <si>
    <t>Magalhaes, L; de Montaudouin, X; Figueira, E; Freitas, R</t>
  </si>
  <si>
    <t>Magalhaes, Luisa; de Montaudouin, Xavier; Figueira, Etelvina; Freitas, Rosa</t>
  </si>
  <si>
    <t>Interactive effects of contamination and trematode infection in cockles biochemical performance</t>
  </si>
  <si>
    <t>Cercariae dose; Arsenic; Experimental infection; Infection success; Host susceptibility</t>
  </si>
  <si>
    <t>NEW-ZEALAND COCKLE; CERASTODERMA-EDULE; MARINE BIVALVE; METAL CONTAMINATION; LYMNAEA-TRUNCATULA; IMMUNE-RESPONSES; MYTILUS-EDULIS; STRESS; PARASITES; EXPOSURE</t>
  </si>
  <si>
    <t>Anthropogenic activities, especially those involving substances that pollute the environment can interfere with bivalve populations, as well as parasitism, a fundamental ecological interaction often neglected. In marine environments, organisms are concomitantly exposed to pollutants and parasites, a combination with synergistic, antagonistic or additive effects representing a potential threat to aquatic communities sustainability. In the present study, Cerastoderma edule (the edible cockle)-Himasthla elongate (trematode) was used as host-parasite model. Cockles are worldwide recognized as good sentinel and bioindicator species and can be infected by several trematodes, the most abundant macroparasites in coastal waters. Tested hypotheses were: 1) cockles exposed to increasing parasite pressure will present greater stress response; 2) cockles exposure to arsenic (single concentration test: 5.2 mu g L-1) will change parasite infection success and cockles stress response to infection. Arsenic was used for being one of the most common pollutants in the world and stress response assessed using biochemical markers of glycogen content, metabolism, antioxidant activity and cellular damage. Results showed that intensity of parasite pressure was positively correlated to biochemical response, mainly represented by higher metabolic requirements. Contamination did not affect parasite infection success. Compared to arsenic, trematode infection alone exerted a stronger impact: higher glycogen storage, metabolism and cellular damage and antioxidant activity inhibition. In interaction, parasitism and arsenic reduced hosts metabolism and cellular damage. Therefore, to a certain extent and in a contamination scenario, cockles may benefit from trematode infection, working as a protection for the pollutant accumulation in the organisms, reducing overall ROS production, which can consequently led to less toxic effects. These findings highlighted the deleterious effects of trematode infection in their hosts and showed the importance of including parasitology in ecotoxicological studies. (C) 2018 Elsevier Ltd. All rights reserved.</t>
  </si>
  <si>
    <t>[Magalhaes, Luisa; Figueira, Etelvina; Freitas, Rosa] Univ Aveiro, Dept Biol, Campus Univ Santiago, P-3810193 Aveiro, Portugal; [Magalhaes, Luisa; Figueira, Etelvina; Freitas, Rosa] Univ Aveiro, CESAM, P-3810193 Aveiro, Portugal; [Magalhaes, Luisa; de Montaudouin, Xavier] Univ Bordeaux, EPOC, UMR CNRS 5805, 2 Rue Pr Jolyet, F-33120 Arcachon, France</t>
  </si>
  <si>
    <t>Universidade de Aveiro; Universidade de Aveiro; Centre National de la Recherche Scientifique (CNRS); CNRS - National Institute for Earth Sciences &amp; Astronomy (INSU); Universite de Bordeaux</t>
  </si>
  <si>
    <t>Freitas, Rosa/A-7539-2012; Figueira, Etelvina/M-6116-2013; Magalhaes, Luisa/K-3876-2014</t>
  </si>
  <si>
    <t>Freitas, Rosa/0000-0003-4900-3897; Figueira, Etelvina/0000-0002-6763-2665; Magalhaes, Luisa/0000-0002-9862-9653</t>
  </si>
  <si>
    <t>National Funds through the Portuguese Science and Technology Foundation (FCT) - FSE and Programa Operacional Capital Humano (POCH) [PD/BD/52570/2014]; European Union; Integrated Programme of SRAMP;TD Smart Valorisation of Endogenous Marine Biological Resources Under a Changing Climate [Centro-01-0145-FEDER-000018]; Centro 2020 program, Portugal 2020, European Union, through the European Regional Development Fund; COCKLES [EAPA_458/2016]; CESAM [UID/AMB/50017]; FCT/MEC; FEDER, within the PT2020 Partnership Agreement and Compete 2020; Fundação para a Ciência e a Tecnologia [PD/BD/52570/2014] Funding Source: FCT</t>
  </si>
  <si>
    <t>National Funds through the Portuguese Science and Technology Foundation (FCT) - FSE and Programa Operacional Capital Humano (POCH); European Union(European Union (EU)); Integrated Programme of SRAMP;TD Smart Valorisation of Endogenous Marine Biological Resources Under a Changing Climate; Centro 2020 program, Portugal 2020, European Union, through the European Regional Development Fund; COCKLES; CESAM; FCT/MEC(Fundacao para a Ciencia e a Tecnologia (FCT)); FEDER, within the PT2020 Partnership Agreement and Compete 2020; Fundação para a Ciência e a Tecnologia(Fundacao para a Ciencia e a Tecnologia (FCT))</t>
  </si>
  <si>
    <t>Luisa Magalhaes benefited from PhD grant (reference: PD/BD/52570/2014) given by the National Funds through the Portuguese Science and Technology Foundation (FCT), supported by FSE and Programa Operacional Capital Humano (POCH) and European Union. Rosa Freitas benefited from a research position funded by the Integrated Programme of SR&amp;TD Smart Valorisation of Endogenous Marine Biological Resources Under a Changing Climate (reference: Centro-01-0145-FEDER-000018), co-funded by Centro 2020 program, Portugal 2020, European Union, through the European Regional Development Fund. This work was supported by the research project COCKLES (EAPA_458/2016 COCKLES Co-Operation for Restoring CocKle SheLlfisheries &amp; its Ecosystem Services in the Atlantic Area).Thanks are also due, for the financial support to CESAM (UID/AMB/50017), to FCT/MEC through national funds, and the co-funding by the FEDER, within the PT2020 Partnership Agreement and Compete 2020. Authors are grateful to David Thieltges and his team for helping to collect Littorina littorea specimens.</t>
  </si>
  <si>
    <t>10.1016/j.envpol.2018.09.102</t>
  </si>
  <si>
    <t>WOS:000449892700072</t>
  </si>
  <si>
    <t>Bhagwat, G; Carbery, M; Tran, TKA; Grainge, I; O'Connor, W; Palanisami, T</t>
  </si>
  <si>
    <t>Bhagwat, Geetika; Carbery, Maddison; Tran, Thi Kim Anh; Grainge, Ian; O'Connor, Wayne; Palanisami, Thava</t>
  </si>
  <si>
    <t>Fingerprinting Plastic-Associated Inorganic and Organic Matter on Plastic Aged in the Marine Environment for a Decade</t>
  </si>
  <si>
    <t>plastic pollution; aging; weathering; plastisphere; mixed contaminants; aquaculture</t>
  </si>
  <si>
    <t>SP NOV.; SURFACE WATERS; MICROPLASTICS; SUBSTANCES; DEBRIS; BIOACCUMULATION; DEGRADATION; BIOFILM; COLONIZATION; TRANSPORT</t>
  </si>
  <si>
    <t>The long-term aging of plastic leads to weathering and biofouling that can influence the behavior and fate of plastic in the marine environment. This is the first study to fingerprint the contaminant profiles and bacterial communities present in plastic-associated inorganic and organic matter (PIOM) isolated from 10 year-aged plastic. Plastic sleeves were sampled from an oyster aquaculture farm and the PIOM was isolated from the intertidal, subtidal, and sediment-buried segments to investigate the levels of metal(loid)s, polyaromatic hydrocarbons (PAHs), perfluoroalkyl substances (PFAS) and explore the microbial community composition. Results indicated that the PIOM present on long-term aged high-density polyethylene plastic harbored high concentrations of metal(loid)s, PAHs, and PFAS. Metagenomic analysis revealed that the bacterial composition in the PIOM differed by habitat type, which consisted of potentially pathogenic taxa including Vibrio, Shewanella, and Psychrobacter. This study provides new insights into PIOM as a potential sink for hazardous environmental contaminants and its role in enhancing the vector potential of plastic. Therefore, we recommend the inclusion of PIOM analysis in current biomonitoring regimes and that plastics be used with caution in aquaculture settings to safeguard valuable food resources, particularly in areas of point-source contamination.</t>
  </si>
  <si>
    <t>[Bhagwat, Geetika; Carbery, Maddison; Grainge, Ian] Univ Newcastle, Sch Environm &amp; Life Sci, Callaghan, NSW 2308, Australia; [Tran, Thi Kim Anh; Palanisami, Thava] Univ Newcastle, Global Innovat Ctr Adv Nanomat, Sch Engn, Callaghan, NSW 2308, Australia; [O'Connor, Wayne] Port Stephens Fisheries Inst, NSW Dept Primary Ind, Taylors Beach 2316, Australia</t>
  </si>
  <si>
    <t>University of Newcastle; University of Newcastle; NSW Department of Primary Industries</t>
  </si>
  <si>
    <t>Palanisami, T (corresponding author), Univ Newcastle, Global Innovat Ctr Adv Nanomat, Sch Engn, Callaghan, NSW 2308, Australia.;O'Connor, W (corresponding author), Port Stephens Fisheries Inst, NSW Dept Primary Ind, Taylors Beach 2316, Australia.</t>
  </si>
  <si>
    <t>wayne.oconnor@dpi.nsw.gov.au; thava.palanisami@newcastle.edu.au</t>
  </si>
  <si>
    <t>Bhagwat, Geetika/AAC-7655-2021; O'Connor, Wayne/AAL-8097-2020; Palanisami, Thavamani/AAO-4414-2020; Grainge, Ian/A-9031-2010</t>
  </si>
  <si>
    <t>Palanisami, Thavamani/0000-0002-3697-4750; Grainge, Ian/0000-0001-8268-583X; Tran, Thi Kim Anh/0000-0002-6689-9077; Bhagwat, Geetika/0000-0003-2344-1493</t>
  </si>
  <si>
    <t>Commonwealth of Australia; University of Newcastle through the Australian Government Research Training Program (RTP) Scholarship</t>
  </si>
  <si>
    <t>Commonwealth of Australia(Australian Government); University of Newcastle through the Australian Government Research Training Program (RTP) Scholarship</t>
  </si>
  <si>
    <t>The authors acknowledge the support of the Commonwealth of Australia and the University of Newcastle through the Australian Government Research Training Program (RTP) Scholarship. The authors wish to thank Dr. Kavitha Ramadass, Dr. Satheesh Clastinrusselraj Indirathankam and Rohan Bahadur for their assistance with PFAS, XRD, and SEM analyses.</t>
  </si>
  <si>
    <t>10.1021/acs.est.1c00262</t>
  </si>
  <si>
    <t>SP0PB</t>
  </si>
  <si>
    <t>WOS:000659374200022</t>
  </si>
  <si>
    <t>LaBrecque, JJ; Benzo, Z; Alfonso, JA; Cordoves, PR; Quintal, M; Gomez, CV; Marcano, E</t>
  </si>
  <si>
    <t>The concentrations of selected trace elements in clams, Trivela mactroidea along the Venezuelan coast in the state of Miranda</t>
  </si>
  <si>
    <t>HEAVY-METALS; MUSSELS</t>
  </si>
  <si>
    <t>Inst Venezolano Invest Cient, Caracas 1020A, Venezuela</t>
  </si>
  <si>
    <t>Venezuelan Institute Science Research</t>
  </si>
  <si>
    <t>Ctr Quim, 8424 NW 56th St,Suite CCS 00204, Miami, FL 33166 USA.</t>
  </si>
  <si>
    <t>jalfonso@ivic.ve</t>
  </si>
  <si>
    <t>Labrecque, John/AAD-3171-2022</t>
  </si>
  <si>
    <t>10.1016/j.marpolbul.2004.07.011</t>
  </si>
  <si>
    <t>867EH</t>
  </si>
  <si>
    <t>WOS:000224824600033</t>
  </si>
  <si>
    <t>Lei, FJ; Zhang, N; Miao, JJ; Tong, RX; Li, YB; Pan, LQ</t>
  </si>
  <si>
    <t>Lei, Fengjun; Zhang, Ning; Miao, Jingjing; Tong, Ruixue; Li, Yaobing; Pan, Luqing</t>
  </si>
  <si>
    <t>Potential pathway and mechanisms underlining the immunotoxicity of benzo[a]pyrene to Chlamys farreri</t>
  </si>
  <si>
    <t>B[a]P; Chlamys farreri; Immunotoxicity pathway; Metabolism; Neuroendocrine immunity; Apoptosis</t>
  </si>
  <si>
    <t>POLYCYCLIC AROMATIC-HYDROCARBONS; IMMUNE-RESPONSE; METABOLIZING-ENZYMES; OXIDATIVE STRESS; GENE-EXPRESSION; DNA-DAMAGE; APOPTOSIS; DEFENSE; PROTEIN; HEMOCYTES</t>
  </si>
  <si>
    <t>The long-distance migration of polycyclic aromatic hydrocarbons (PAHs) promotes their release into the marine environment, posing a serious threat to marine life. Studies have shown that PAHs have significant immunotoxicity effects on bivalves, but the exact mechanism of immunotoxicity remains unclear. This paper aims to investigate the effects of exposure to 0.4, 2, and 10 mu g/L of benzo(a)pyrene (B[a]P) on the immunity of Chlamys farreri under environmental conditions, as well as the potential molecular mechanism. Multiple biomarkers, including phagocytosis rate, metabolites, neurotoxicity, oxidative stress, DNA damage, and apoptosis, were adopted to assess these effects. After exposure to 0.4, 2, and 10 mu g/L B[a] P, obvious concentration-dependent immunotoxicity was observed, indicated by a decrease in the hemocyte index (total hemocyte count, phagocytosis rate, antibacterial and bacteriolytic activity). Analysis of the detoxification metabolic system in C. farreri revealed that B[a]P produced B[a]P-7,8-diol-9,10-epoxide (BPDE) through metabolism, which led to an increase in the expression of protein tyrosine kinase (PTK). In addition, the increased content of neurotransmitters (including acetylcholine, gamma-aminobutyric acid, enkephalin, norepinephrine, dopamine, and serotonin) and related receptors implied that B[a]P might affect immunity through neuroendocrine system. The changes in signal pathway factors involved in immune regulation indicated that B[a]P interfered with Ca2+ and cAMP signal transduction via the BPDE-PTK pathway or neuroendocrine pathway, resulting in immunosuppression. Additionally, B[a]P induced the increase in reactive oxygen species (ROS) content and DNA damage, as well as an upregulation of key genes in the mitochondrial pathway and death receptor pathway, leading to the increase of apoptosis rate. Taken together, this study comprehensively investigated the detoxification metabolic system, neuroendocrine system, and cell apoptosis to explore the toxic mechanism of bivalves under B[a]P stress.</t>
  </si>
  <si>
    <t>[Lei, Fengjun; Zhang, Ning; Miao, Jingjing; Tong, Ruixue; Li, Yaobing; Pan, Luqing] Ocean Univ China, Key Lab Mariculture, Minist Educ, Qingdao 266003, Peoples R China</t>
  </si>
  <si>
    <t>liu, qi/KHC-7509-2024</t>
  </si>
  <si>
    <t>General Program of National Natural Science Foundation of China [32273106]; Shandong Agricultural Major Applied Technology Innovation Project [2017-10]; Fundamental Research Funds for the Central Universities [202262009]</t>
  </si>
  <si>
    <t>General Program of National Natural Science Foundation of China(National Natural Science Foundation of China (NSFC)); Shandong Agricultural Major Applied Technology Innovation Project; Fundamental Research Funds for the Central Universities(Fundamental Research Funds for the Central Universities)</t>
  </si>
  <si>
    <t>This work was supported by the General Program of National Natural Science Foundation of China (32273106) and the Shandong Agricultural Major Applied Technology Innovation Project (2017-10) and supported by the Fundamental Research Funds for the Central Universities (202262009).</t>
  </si>
  <si>
    <t>10.1007/s11356-023-29016-4</t>
  </si>
  <si>
    <t>R7ZT1</t>
  </si>
  <si>
    <t>WOS:001049105100002</t>
  </si>
  <si>
    <t>Mercogliano, R; Santonicola, S; De Felice, A; Anastasio, A; Murru, N; Ferrante, MC; Cortesi, ML</t>
  </si>
  <si>
    <t>Mercogliano, Raffaelina; Santonicola, Serena; De Felice, Alessandra; Anastasio, Aniello; Murru, Nicoletta; Ferrante, Maria Carmela; Cortesi, Maria Luisa</t>
  </si>
  <si>
    <t>Occurrence and distribution of polycyclic aromatic hydrocarbons in mussels from the gulf of Naples, Tyrrhenian Sea, Italy</t>
  </si>
  <si>
    <t>Polycyclic aromatic hydrocarbon; Gulf of Naples; Mytilus galloprovincialis</t>
  </si>
  <si>
    <t>POLYCHLORINATED-BIPHENYLS; MYTILUS-GALLOPROVINCIALIS; MARINE ORGANISMS; HEAVY-METALS; SEDIMENTS; PAHS; CAMPANIA; CONTAMINATION; POLLUTION; EXPOSURE</t>
  </si>
  <si>
    <t>To assess the potential impact of the industrial activity on food safety and risk for consumers, the aim of the study was to evaluate the levels of 14 polycyclic aromatic hydrocarbons (PAH) in 69 samples of wild and farm Mytilus galloprovincialis, collected in sites of coast of Gulf of Naples, Tyrrhenian Sea. All hydrocarbons were found in samples. Higher levels of pyrolytic PAHs were in wild than in farm mussels. Benzo(a)pyrene exceeded the Regulation (EC) n.835/11 levels of 1 mu g/kg in 15 samples (71.42%) of wild and 25 samples (65.79%) of farm mussels. System of sum of 4 hydrocarbons exceeded the law level in 15 samples (71.42%) of wild and 21 samples (55.26%) of farm mussels. Wild mussel levels showed a potential impact of pyrolytic sources of PAH on food safety. Occurrence of carcinogenic PAHs should be a cause for concern, in areas where the mussels are being farmed for human consumption. (C) 2016 Elsevier Ltd. All rights reserved.</t>
  </si>
  <si>
    <t>[Mercogliano, Raffaelina; Santonicola, Serena; Anastasio, Aniello; Murru, Nicoletta; Ferrante, Maria Carmela; Cortesi, Maria Luisa] Univ Naples Federico II, Dept Vet Med &amp; Anim Prod, I-80138 Naples, Italy; [De Felice, Alessandra] DVM, Provincia Di Chieti, Italy</t>
  </si>
  <si>
    <t>Mercogliano, R (corresponding author), Univ Naples Federico II, Fac Med Vet, Dipartimento Med Vet &amp; Prod Anim, Via F Delpino 1, I-80137 Naples, Italy.</t>
  </si>
  <si>
    <t>raffaella.mercogliano@unina.it</t>
  </si>
  <si>
    <t>santonicola, serena/AAN-3778-2020; Ferrante, Maria Carmela/HKE-7739-2023; De Felice, Alessandra/T-3320-2019; Mercogliano, Raffaella/AAP-9774-2020</t>
  </si>
  <si>
    <t>Mercogliano, Raffaelina/0000-0001-9167-4091; Murru, Nicoletta/0000-0001-7688-7099; santonicola, serena/0000-0003-3341-8000</t>
  </si>
  <si>
    <t>10.1016/j.marpolbul.2016.01.015</t>
  </si>
  <si>
    <t>WOS:000374198100059</t>
  </si>
  <si>
    <t>Seifert, M; Wen, L; Alberti, M; Kausch, U; Hock, B</t>
  </si>
  <si>
    <t>Biomonitoring: Integration of biological endpoints into chemical monitoring</t>
  </si>
  <si>
    <t>PURE AND APPLIED CHEMISTRY</t>
  </si>
  <si>
    <t>Symposium on Implications of Endocrine Active Substances for Humans and Wildlife</t>
  </si>
  <si>
    <t>NOV 17-21, 2002</t>
  </si>
  <si>
    <t>YOKOHAMA, JAPAN</t>
  </si>
  <si>
    <t>ESTROGEN; XENOESTROGENS; VITELLOGENIN; IMMUNOASSAY; BIOMARKER</t>
  </si>
  <si>
    <t>Biomonitoring is currently performed at two levels, assessing exposure to pollutants and effects monitoring by bioassays. As an example for the first approach, vitellogenin (VTG) in male fish of Abramis brama as an endpoint for estrogen exposure is discussed. However, similar changes of VTG or VTG-like proteins in the hemolymph of mussels could not be detected. Enzyme-linked receptor assays for monitoring estrogenic effects at the molecular level serve as an example for the second category. Applications of the enzyme-linked receptor assay (ELRA) developed in our laboratory are presented. Detection limits of 0.02 mug/l 17beta-estradiol were recently achieved with the chemiluminescent format. Although effect monitoring provides information in terms of toxicity equivalents, it is not possible to relate the signals to specific pollutants and their concentrations. For this purpose, chemical analysis is required. New approaches are reported for the direct coupling of bioassays and chemical analysis. This concept is defined as bioresponse-linked instrumental analysis. It combines biomolecular recognition, initiating a biological effect, and chemical analysis. In addition to the classical bioanalytical approaches, new strategies in genomics and proteomics have been developed. This may lead to multimarker approaches opening this area to environmental analytics.</t>
  </si>
  <si>
    <t>Tech Univ Munich, Ctr Life Sci Weihenstephan, Chair Cell Biol, D-85350 Freising Weihenstephan, Germany</t>
  </si>
  <si>
    <t>Technical University of Munich</t>
  </si>
  <si>
    <t>Seifert, M (corresponding author), Tech Univ Munich, Ctr Life Sci Weihenstephan, Chair Cell Biol, Alte Akad 12, D-85350 Freising Weihenstephan, Germany.</t>
  </si>
  <si>
    <t>INT UNION PURE APPLIED CHEMISTRY</t>
  </si>
  <si>
    <t>104 TW ALEXANDER DR, PO BOX 13757, RES TRIANGLE PK, NC 27709-3757 USA</t>
  </si>
  <si>
    <t>0033-4545</t>
  </si>
  <si>
    <t>PURE APPL CHEM</t>
  </si>
  <si>
    <t>Pure Appl. Chem.</t>
  </si>
  <si>
    <t>10.1351/pac200375112451</t>
  </si>
  <si>
    <t>764YG</t>
  </si>
  <si>
    <t>WOS:000188233800068</t>
  </si>
  <si>
    <t>Sun, XW; Wu, XD; Deng, PC; Tian, D; Song, YY; Zhao, JQ; Li, QY; Feng, SY; Zhang, J; Lu, CH; Zou, HW; Zhou, ZH</t>
  </si>
  <si>
    <t>Sun, Xunwen; Wu, Xiaodong; Deng, Pengcheng; Tian, Dong; Song, Yangyang; Zhao, Jiangqi; Li, Qingye; Feng, Shiyi; Zhang, Jian; Lu, Canhui; Zou, Huawei; Zhou, Zehang</t>
  </si>
  <si>
    <t>Facile and universal fabrication of cellulose nanofibers from bulk lignocellulose materials and their applications in multifunctional epidermal electrophysiological signals monitoring</t>
  </si>
  <si>
    <t>Cellulose nanofiber; MXene; Multifunctional application; Epidermal electrophysiological signals</t>
  </si>
  <si>
    <t>PRETREATMENT; LIGNIN; MXENE; EXTRACTION; SOFTWOOD</t>
  </si>
  <si>
    <t>Cellulose nanofibers (CNF) are promising in composite functional materials, while the pulping and bleaching processes are usually needed in their production, leading to high cost and pollution. Here, a two-step liquid how water (LHW)/deep eutectic solvents (DES) pretreatment and wet mechanical grinding exfoliation strategy is employed to prepare CNF from three raw representative bulk lignocellulose materials (wheat straw, moso bamboo and poplar wood) without pulping and bleaching processes. CNF prepared from this universal approach exhibits desirable nanofibrous structure and good mechanical properties, which could serve as reinforcing and binding agents for the assembly of transition metal carbides (MXene) nanosheets to overcome their poor mechanical properties and structure stability. The obtained CNF/MXene composite film with closely stacked mussel-like structure exhibits enhanced mechanical properties, and demonstrates potential applications in electromagnetic interference shielding and electro-/photo-thermal heating. Furthermore, flexible and conductive CNF/MXene composite film could serve as dry electrodes to detect and monitor epidermal electrophysiological signals (electrocardiogram, electromyogram, etc.). This work provides a scalable and universal approach for the fabrication of high-performance CNF-based multifunctional materials, which is promising for the development of flexible and portable electronics.</t>
  </si>
  <si>
    <t>[Sun, Xunwen; Deng, Pengcheng; Tian, Dong; Zhao, Jiangqi; Li, Qingye; Feng, Shiyi; Zhang, Jian; Lu, Canhui; Zou, Huawei; Zhou, Zehang] Sichuan Univ, Polymer Res Inst, State Key Lab Polymer Mat Engn, Chengdu 610065, Peoples R China; [Wu, Xiaodong; Song, Yangyang] Sichuan Univ, Sch Mech Engn, Chengdu 610065, Peoples R China; [Tian, Dong] Sichuan Agr Univ, Inst Ecol &amp; Environm Sci, Chengdu 611130, Peoples R China; [Lu, Canhui] Sichuan Univ, Adv Polymer Mat Res Ctr, Shishi 362700, Peoples R China</t>
  </si>
  <si>
    <t>Sichuan University; Sichuan University; Sichuan Agricultural University; Sichuan University</t>
  </si>
  <si>
    <t>Zhou, ZH (corresponding author), Sichuan Univ, Polymer Res Inst, State Key Lab Polymer Mat Engn, Chengdu 610065, Peoples R China.</t>
  </si>
  <si>
    <t>zzh303@scu.edu.cn</t>
  </si>
  <si>
    <t>Tian, Dong/K-8264-2019; Song, Yang/ABE-9615-2021; Wu, Xiaodong/KCY-1170-2024; li, qingye/HGD-7003-2022</t>
  </si>
  <si>
    <t>Wu, Xiaodong/0000-0002-8005-6738</t>
  </si>
  <si>
    <t>Sichuan Science and Technology Program [2022YFG0291, 2020YJ0261]; Program for Featured Directions of Engineering Multidisciplines of Sichuan University [2020SCUNG203]; Joint Project for the Talent Innovation Sharing Alliance of Quanzhou [2021C064L]</t>
  </si>
  <si>
    <t>Sichuan Science and Technology Program; Program for Featured Directions of Engineering Multidisciplines of Sichuan University; Joint Project for the Talent Innovation Sharing Alliance of Quanzhou</t>
  </si>
  <si>
    <t>The authors thank Sichuan Science and Technology Program (2022YFG0291 and 2020YJ0261) , the Program for Featured Directions of Engineering Multidisciplines of Sichuan University (No. 2020SCUNG203) and the Joint Project for the Talent Innovation Sharing Alliance of Quanzhou (2021C064L) for financial support. The authors thank Dr. Guiping Yuan from the Analytical and Testing Centre of Sichuan University for providing the TEM measurement.</t>
  </si>
  <si>
    <t>10.1016/j.indcrop.2023.116762</t>
  </si>
  <si>
    <t>F8NZ4</t>
  </si>
  <si>
    <t>WOS:000984873700001</t>
  </si>
  <si>
    <t>Bancon-Montigny, C; Lespes, G; Potin-Gautier, M</t>
  </si>
  <si>
    <t>Improved routine speciation of organotin compounds in environmental samples by pulsed flame photometric detection</t>
  </si>
  <si>
    <t>JOURNAL OF CHROMATOGRAPHY A</t>
  </si>
  <si>
    <t>6th International Symposium on Hyphenated Techniques in Chromatography and Hyphenated Chromatographic Analyzers (HTC-6)</t>
  </si>
  <si>
    <t>FEB 09-11, 2000</t>
  </si>
  <si>
    <t>BRUGGE, BELGIUM</t>
  </si>
  <si>
    <t>pulsed flame photometric detection; flame photometric detection; detection; GC; water analysis; environmental analysis; chemometrics; experimental design; organotin compounds</t>
  </si>
  <si>
    <t>GAS-CHROMATOGRAPHY; GC-FPD; EXPERIMENTAL-DESIGNS; PHENYLTIN COMPOUNDS; BUTYLTIN; ETHYLATION; TIN; OPTIMIZATION; SELECTIVITY; NABET(4)</t>
  </si>
  <si>
    <t>The high toxicity of the organotin species requires sensitive analytical methods in order to understand the origins of pollution and perform monitoring programs in the water cycle. The optimisation of a new detection method, pulsed flame photometric detection (PFPD), is reported for the simultaneous determination of butyl-, phenyl- and octyltins. The methodology of the experimental designs at two levels was used. It allows the evaluation of the influence of the three gas flow-rates on the peak heights and resolution between the closest peaks obtained using two different wavelengths of detection (390 and 611 nm). The modelling of these two responses, according to second-order polynomials, leads to the precise adjustment of the operating conditions. PFPD has shown two significant improvements over conventional flame photometric detection: increased sensitivity (absolute detection limits: 0.07 to 2 pg as Sn) and greater selectivity, whatever the wavelength used. This new analytical process was validated by the analysis of certified reference material and spiked river water. It was used in routine analysis of environmental samples (wastewater, sludge, sand and oyster). (C) 2000 Elsevier Science B.V. All rights reserved.</t>
  </si>
  <si>
    <t>Univ Pau &amp; Pays Adour, Lab Chim Analty Bioinorgan &amp; Environm, UMR 5034, F-64000 Pau, France</t>
  </si>
  <si>
    <t>Bancon-Montigny, C (corresponding author), Univ Pau &amp; Pays Adour, Lab Chim Analty Bioinorgan &amp; Environm, UMR 5034, Ave Univ, F-64000 Pau, France.</t>
  </si>
  <si>
    <t>Montigny, Chrystelle/ACN-3124-2022; MONTIGNY, Chrystelle/H-1993-2013</t>
  </si>
  <si>
    <t>MONTIGNY, Chrystelle/0000-0003-0734-7130; Lespes, Gaetane/0000-0002-1752-8923</t>
  </si>
  <si>
    <t>J CHROMATOGR A</t>
  </si>
  <si>
    <t>J. Chromatogr. A</t>
  </si>
  <si>
    <t>10.1016/S0021-9673(00)00595-1</t>
  </si>
  <si>
    <t>366WN</t>
  </si>
  <si>
    <t>WOS:000090029400017</t>
  </si>
  <si>
    <t>Rodrigues, R; Lourenço, J; Pereira, P; Carvalho, S; Mendo, S</t>
  </si>
  <si>
    <t>Rodrigues, Raquel; Lourenco, Joana; Pereira, Patricia; Carvalho, Susana; Mendo, Sonia</t>
  </si>
  <si>
    <t>Effects of metal contamination on the gene expression profile of two benthic species: Cerastoderma edule and Ruditapes philippinarum</t>
  </si>
  <si>
    <t>Suppressive Subtractive Hybridization (SSH); qPCR; Tagus estuary; Biomarkers; Environmental pollution; Risk assessment</t>
  </si>
  <si>
    <t>ZEBRAFISH DANIO-RERIO; TAGUS ESTUARY; CADMIUM CONTAMINATION; COASTAL ENVIRONMENTS; BIOMARKER RESPONSES; POLLUTION; SEDIMENTS; TOXICITY; EXPOSURE; DIETARY</t>
  </si>
  <si>
    <t>This study aimed to identify new biomarkers for metal exposure in two bivalve species. Suppressive Subtractive Hybridization (SSH) was employed to evaluate the transcriptomic response of Cerastoderma edule and Ruditapes philippinarum to metal pollution. Protein synthesis and catalytic activity were the most affected metabolic processes in C. edule and R. philippinarum, respectively. Also, different genes responded to the effect of contamination in each species. The different response observed in both species reinforces the importance of including more than one bioindicator species in risk assessment studies. These results provide the basis for new studies, which are necessary for further validation of the use of the identified genes as molecular biomarkers for metal exposure.</t>
  </si>
  <si>
    <t>[Rodrigues, Raquel; Lourenco, Joana; Pereira, Patricia; Mendo, Sonia] Univ Aveiro, Ctr Environm &amp; Marine Studies, Campus Santiago, P-3810193 Aveiro, Portugal; [Rodrigues, Raquel; Lourenco, Joana; Pereira, Patricia; Mendo, Sonia] Univ Aveiro, Dept Biol, CESAM, Campus Santiago, P-3810193 Aveiro, Portugal; [Pereira, Patricia] IPMA Portuguese Inst Sea &amp; Atmosphere, Ave Brasilia, P-1449006 Lisbon, Portugal; [Carvalho, Susana] KAUST, RSRC, BESE, Thuwal 239556900, Saudi Arabia</t>
  </si>
  <si>
    <t>Universidade de Aveiro; Universidade de Aveiro; Instituto Portugues do Mar e da Atmosfera; King Abdullah University of Science &amp; Technology</t>
  </si>
  <si>
    <t>Rodrigues, R (corresponding author), Univ Nottingham, Ctr Biomol Sci, Univ Pk, Nottingham NG7 2RD, England.</t>
  </si>
  <si>
    <t>raquel.rodrigues@nottingham.ac.uk</t>
  </si>
  <si>
    <t>Rodrigues, Raquel/HHM-3686-2022; Carvalho, Susana/F-3872-2016; Lourenco, Joana/C-8830-2009; Carvalho, Susana/F-7590-2011; Pereira, Patricia/G-3117-2014; Mendo, Sonia/E-1095-2011</t>
  </si>
  <si>
    <t>Rodrigues, Raquel/0000-0002-2903-3258; Lourenco, Joana/0000-0003-0301-6385; Carvalho, Susana/0000-0003-1300-1953; Pereira, Patricia/0000-0001-7613-0635; Mendo, Sonia/0000-0001-5057-5660</t>
  </si>
  <si>
    <t>Fundacao para a Ciencia e a Tecnologia (FCT; Government of Portugal) [PTDC/AAC-AMB/121037/2010]; FCT/MCTES [BI/CESAM/PTDC/AAC-AMB/121037/2010]; European Regional Development Fund (ERDF) through COMPETE Thematic Factors of Competitiveness Operational Program (POFC); [SFRH/BPD/69563/2010]; [SFRH/BPD/92554/2013]; Fundação para a Ciência e a Tecnologia [SFRH/BPD/92554/2013, PTDC/AAC-AMB/121037/2010] Funding Source: FCT</t>
  </si>
  <si>
    <t>Fundacao para a Ciencia e a Tecnologia (FCT; Government of Portugal); FCT/MCTES(Fundacao para a Ciencia e a Tecnologia (FCT)); European Regional Development Fund (ERDF) through COMPETE Thematic Factors of Competitiveness Operational Program (POFC)(European Union (EU)); ; ; Fundação para a Ciência e a Tecnologia(Fundacao para a Ciencia e a Tecnologia (FCT))</t>
  </si>
  <si>
    <t>This work was funded by the Fundacao para a Ciencia e a Tecnologia (FCT; Government of Portugal) through the Research Project PTDC/AAC-AMB/121037/2010 [co-financed by FCT/MCTES in its national budget component (PIDDAC) through the Investigation Fellowship (BI/CESAM/PTDC/AAC-AMB/121037/2010), by the European Regional Development Fund (ERDF) through COMPETE Thematic Factors of Competitiveness Operational Program (POFC)], and the Post-doctoral fellowships SFRH/BPD/69563/2010 and SFRH/BPD/92554/2013.</t>
  </si>
  <si>
    <t>10.1016/j.marpolbul.2017.08.014</t>
  </si>
  <si>
    <t>WOS:000418727000030</t>
  </si>
  <si>
    <t>Sutherland, GE; Franco, ME; Matson, CW; Lavado, R</t>
  </si>
  <si>
    <t>Sutherland, Grace E.; Franco, Marco E.; Matson, Cole W.; Lavado, Ramon</t>
  </si>
  <si>
    <t>Oxidative Potential of Chemical Mixtures Extracted from Contaminated Galveston Bay, TX Seafood Using a Human Cell Co-culture Model</t>
  </si>
  <si>
    <t>POLYCHLORINATED-BIPHENYLS PCBS; ACCUMULATION; LIVER; METABOLISM; OYSTERS; DNA</t>
  </si>
  <si>
    <t>Increasing levels of pollution in Galveston Bay, TX, are of significant concern for populations that directly depend on fishing activities. Efforts to evaluate contaminant levels in commercial fish have been largely limited to the quantification of chemical mixtures in fish tissue, but little information exists about the toxicological potential of these chemicals on consumption of contaminated seafood. The present study makes use of a human cell co-culture model, mimicking the digestive system, to address the oxidative potential of chemical mixtures in seafood. Chemical extractions were performed on fillets from three fish species and oysters collected from different areas in Galveston Bay. The resulting extracts were used to expose intestinal and liver cells before the measurement of cytotoxicity and activity of antioxidant enzymes. The pesticide 4,4 '-DDE was found in nearly all samples from all sites in concentrations ranging from 0.23-9.4 mu g/kg. Similarly, total PCBs found in fish and oyster tissue ranged from 0.68-65.65 mu g/kg, with PCB-118 being the most common congener measured. In terms of cytotoxicity, oyster extracts led to significant cell mortality, contrary to observations for fish extracts. Antioxidant enzymes, while not directly related to the presence of chemical mixtures in tissue, presented evidence of potential increases in activity from spotted trout extracts. Observations from this study suggest the need to evaluate toxicological aspects of contaminated seafood and support the use of in vitro models for the screening of accumulated chemicals.</t>
  </si>
  <si>
    <t>[Sutherland, Grace E.; Franco, Marco E.; Matson, Cole W.; Lavado, Ramon] Baylor Univ, Dept Environm Sci, One Bear Pl 97266, Waco, TX 76798 USA</t>
  </si>
  <si>
    <t>Matson, Cole/F-7992-2010; Lavado, Ramon/D-3544-2011</t>
  </si>
  <si>
    <t>Baylor University [YIDP2019]; Department of Environmental Science; Young Investigator Development Program; Baylor University; C. Gus Glasscock, Jr. Endowed Fund of Excellence in Environmental Sciences</t>
  </si>
  <si>
    <t>Baylor University; Department of Environmental Science; Young Investigator Development Program; Baylor University; C. Gus Glasscock, Jr. Endowed Fund of Excellence in Environmental Sciences</t>
  </si>
  <si>
    <t>The authors gratefully acknowledge Baylor University (Grant No. YIDP2019) and the Department of Environmental Science for providing funds to make this research possible. This work was supported in part by funds from the Young Investigator Development Program, the Vice Provost for Research at Baylor University and the C. Gus Glasscock, Jr. Endowed Fund of Excellence in Environmental Sciences. The authors would also like to thank Dr. Erica Bruce for kindly providing Caco-2 cells, and Dr. Sascha Usenko for assistance in the extraction process.</t>
  </si>
  <si>
    <t>10.1007/s00244-019-00695-w</t>
  </si>
  <si>
    <t>KQ7NF</t>
  </si>
  <si>
    <t>WOS:000504134300001</t>
  </si>
  <si>
    <t>Liang, J; Yu, ML; Guo, LY; Cui, B; Zhao, X; Sun, CJ; Wang, Y; Liu, GQ; Cui, HX; Zeng, ZH</t>
  </si>
  <si>
    <t>Liang, Jie; Yu, Manli; Guo, Liya; Cui, Bo; Zhao, Xiang; Sun, Changjiao; Wang, Yan; Liu, Guoqiang; Cui, Haixin; Zeng, Zhanghua</t>
  </si>
  <si>
    <t>Bioinspired Development of P(St-MAA)-Avermectin Nanoparticles with High Affinity for Foliage To Enhance Folia Retention</t>
  </si>
  <si>
    <t>1st International Conference on Nanotechnology Applications and Implications of Agrochemicals toward Sustainable Agriculture and Food Systems</t>
  </si>
  <si>
    <t>NOV 17-18, 2016</t>
  </si>
  <si>
    <t>Beijing, PEOPLES R CHINA</t>
  </si>
  <si>
    <t>bioinspired; pesticide nanoparticles; foliage adhesion; folio retention; avermectins</t>
  </si>
  <si>
    <t>ORGANOPHOSPHORUS INSECTICIDES; CONTROLLED-RELEASE; AVERMECTIN; PROTECTION; NANOMATERIALS; PESTICIDES; PRIORITIES; DOPAMINE; CAPSULES; TRENDS</t>
  </si>
  <si>
    <t>Pesticides are chemical or biological substances to control pests and protect the crop yield. Most pesticides suffering from large amounts of losses in the environment lead to damage of ecological systems and food pollution. To reduce their losses and increase the utilization rate, we have developed bioinspired mussel avermectin nanoparticles [P(St-MAA)-Av-Cat] with strong adhesion to crop foliage by the emulsion solvent evaporation method and chemical modification. They were near spheres with a diameter of around 120 nm. They displayed remarkable high avermectin content of more than 50% (w/w) and presented excellent storage stability as well as continuous sustained release. The photosensitive avermectins loaded were highly improved against ultraviolet light. Meanwhile, the retention rate of P(St-MAA)-Av-Cat on the crop foliage surfaces was significantly increased. As a result, the indoor toxicity of P(St-MAA)-Av-Cat was highly enhanced. The adhesive property strongly depended upon the functional groups on the nanoparticle surface. The multimodal binding mode of P(St-MAA)-Av- Cat to the crop foliage surface resulted in stronger adhesion and a longer retention time.</t>
  </si>
  <si>
    <t>[Liang, Jie; Yu, Manli; Guo, Liya; Cui, Bo; Zhao, Xiang; Sun, Changjiao; Wang, Yan; Liu, Guoqiang; Cui, Haixin; Zeng, Zhanghua] Chinese Acad Agr Sci, Inst Environm &amp; Sustainable Dev Agr, Beijing 100081, Peoples R China</t>
  </si>
  <si>
    <t>Chinese Academy of Agricultural Sciences; Institute of Environment &amp; Sustainable Development in Agriculture, CAAS</t>
  </si>
  <si>
    <t>Cui, HX; Zeng, ZH (corresponding author), Chinese Acad Agr Sci, Inst Environm &amp; Sustainable Dev Agr, Beijing 100081, Peoples R China.</t>
  </si>
  <si>
    <t>cuihaixin@caas.cn; zengzhanghua@caas.cn</t>
  </si>
  <si>
    <t>Li, Wenqing/KJM-5092-2024</t>
  </si>
  <si>
    <t>National Key Project of Research and Development Plan Program of China [2017YFD0200900]; Thousand Talents Plan Program; National Key Basic Research Program of China (973 Program) from Ministry of Science and Technology of China [2014CB932200]</t>
  </si>
  <si>
    <t>National Key Project of Research and Development Plan Program of China; Thousand Talents Plan Program; National Key Basic Research Program of China (973 Program) from Ministry of Science and Technology of China</t>
  </si>
  <si>
    <t>This work was funded by National Key Project of Research and Development Plan Program of China (2017YFD0200900), Thousand Talents Plan Program, and National Key Basic Research Program of China (973 Program) from Ministry of Science and Technology of China (2014CB932200).</t>
  </si>
  <si>
    <t>10.1021/acs.jafc.7b01998</t>
  </si>
  <si>
    <t>GM6UQ</t>
  </si>
  <si>
    <t>WOS:000438312200014</t>
  </si>
  <si>
    <t>Lacaze, E; Devaux, A; Mons, R; Bony, S; Garric, J; Geffard, A; Geffard, O</t>
  </si>
  <si>
    <t>Lacaze, Emilie; Devaux, Alain; Mons, Raphael; Bony, Sylvie; Garric, Jeanne; Geffard, Alain; Geffard, Olivier</t>
  </si>
  <si>
    <t>DNA damage in caged Gammarus fossarum amphipods: A tool for freshwater genotoxicity assessment</t>
  </si>
  <si>
    <t>Gammarus fossarum; Genotoxicity; Caging; Waste water treatment plant effluent; Polymetallic contamination</t>
  </si>
  <si>
    <t>BIVALVE CORBICULA-FLUMINEA; HEAVY-METAL POLLUTION; GRADIENT RIVER LOT; METALLOTHIONEIN RESPONSE; FIELD TRANSPLANTATION; ZINC BIOACCUMULATION; STRAND BREAKS; CONTAMINATION; CADMIUM; MARINE</t>
  </si>
  <si>
    <t>The aim of this study was to propose a tool for freshwater environmental genotoxicity assessment using Gammarus fossarum, a high ecologically relevant species. In a first part, gammarids were caged upstream and downstream wastewater treatment plant effluent output. The sensitivity of genotoxic responses of haemocytes, oocytes and spermatozoa was compared using the Comet assay. Spermatozoa appeared to be the most sensitive, suitable and relevant cell type for genotoxicity risk assessment. In a second part, a watershed-scale study was conducted over 2 years to evaluate the applicability of our caging procedure. The genotoxic impact of a contamination was followed, taking into account seasonal variability. DNA damage in spermatozoa exhibited low basal level and low variability in control upstream sites, providing a reliable discrimination of polluted sites. Finally, DNA damage in caged G. fossarum has been proved to be a sensitive and reproducible tool for freshwater genotoxicity assessment. (C) 2011 Elsevier Ltd. All rights reserved.</t>
  </si>
  <si>
    <t>[Lacaze, Emilie; Mons, Raphael; Garric, Jeanne; Geffard, Olivier] Irstea, Unite Rech Milieux Aquat UR MALY, F-69336 Lyon 9, France; [Lacaze, Emilie; Devaux, Alain; Bony, Sylvie] Univ Lyon, INRA ENTPE, Lab Sci Environm, F-69518 Vaulx En Velin, France; [Geffard, Alain] UFR Sci, URVVC SE EA 2069, Lab Ecotoxicol, F-51687 Reims 2, France</t>
  </si>
  <si>
    <t>INRAE; INRAE; Universite de Reims Champagne-Ardenne</t>
  </si>
  <si>
    <t>Geffard, O (corresponding author), Irstea, Unite Rech Milieux Aquat UR MALY, F-69336 Lyon 9, France.</t>
  </si>
  <si>
    <t>olivier.geffard@cemagref.fr</t>
  </si>
  <si>
    <t>National Research Project [ANR 08-CES-014 RESYST]; Recherche Environnement Cluster of the Rhone-Alpes Region</t>
  </si>
  <si>
    <t>National Research Project; Recherche Environnement Cluster of the Rhone-Alpes Region(Region Auvergne-Rhone-Alpes)</t>
  </si>
  <si>
    <t>This study was funded by the National Research Project ANR 08-CES-014 RESYST and by the Recherche Environnement Cluster of the Rhone-Alpes Region. Marion Gust, Veronique Duflo and Claire Noel are gratefully acknowledged for their help in the field experiments. The authors would like to thank Gerard Laprat from ABC laboratory (Viviez, Aveyron, France), and Mr. Soares and Mr. Magniette from the hydraulic energy society SHEM. The authors also wish to thank Mrs. Linda Northrup for her very helpful critical reading of the English of the manuscript.</t>
  </si>
  <si>
    <t>10.1016/j.envpol.2011.02.038</t>
  </si>
  <si>
    <t>WOS:000290839900029</t>
  </si>
  <si>
    <t>Bouzidi, I; Fkiri, A; Saidani, W; Khazri, A; Mezni, A; Mougin, K; Beyrem, H; Sellami, B</t>
  </si>
  <si>
    <t>Bouzidi, Imen; Fkiri, Anis; Saidani, Wiem; Khazri, Abdelhafidh; Mezni, Amine; Mougin, Karine; Beyrem, Hamouda; Sellami, Badreddine</t>
  </si>
  <si>
    <t>The pharmaceutical triclosan induced oxidative stress and physiological disorder in marine organism and nanoparticles as a potential mitigating tool</t>
  </si>
  <si>
    <t>Pharmaceuticals; Nanoparticles; Oxidative stress; Marine ecosystem; Biomonitoring</t>
  </si>
  <si>
    <t>PERNA-VIRIDIS; PHOTOCATALYTIC ACTIVITY; OXIDE NANOPARTICLES; OXYGEN-CONSUMPTION; MUSSEL; ACCUMULATION; COPPER; ZINC; CLEARANCE; EXCRETION</t>
  </si>
  <si>
    <t>Environmental research plays a crucial role in formulating novel approaches to pollution management and preservation of biodiversity. This study aims to assess the potential harm of pharmaceutical triclosan (TCS) to non-target aquatic organism, the mussel Mytilus galloprovincialis. Furthermore, our study investigates the potential effectiveness of TiO2 and ZnO nanomaterials (TiO2 NPs and ZnO NPs) in degrading TCS. To ascertain the morphology, structure, and stability of the nanomaterials, several chemical techniques were employed. To evaluate the impact of TCS, TiO2 NPs, and ZnO NPs, both physiological (filtration rate (FR) and respiration rate (RR)), antioxidant enzymes (superoxide dismutase (SOD), catalase (CAT), glutathione-S-transferase (GST)) activities and malondialdehyde (MDA) contents were measured in M. galloprovincialis gills and digestive gland. The mussel's responses varied depending on the contaminant, concentration, and organ, underscoring the significance of compiling these factors in ecotoxicity tests. The main toxic mechanisms of TCS and ZnO NPs at a concentration of 100 mu g/L were likely to be a decrease in FR and RR, an increase in oxidative stress, and increased lipid peroxidation. Our findings indicate that a mixture of TCS and NPs has an antagonist effect on the gills and digestive gland. This effect is particularly notable in the case of TCS2 = 100 mu g/L combined with TiO2 NP2 = 100 mu g/L, which warrants further investigation to determine the underlying mechanism. Additionally, our results suggest that TiO2 NPs are more effective than ZnO NPs at degrading TCS, which may have practical implications for pharmaceutical control in marine ecosystems and in water purification plants. In summary, our study provides valuable information on the impact of pharmaceuticals on non-target organisms and sheds light on potential solutions for their removal from aqueous environments.</t>
  </si>
  <si>
    <t>[Bouzidi, Imen; Saidani, Wiem; Khazri, Abdelhafidh; Beyrem, Hamouda] Fac Sci Bizerte, Unite Ecotoxicol &amp; Ecol Cotiere GREEC, Lab Biosurveillance Environm LBE, Bizerte 7021, Tunisia; [Bouzidi, Imen] Univ Jendouba, Inst Super Biotechnol Beja, Jendouba 8189, Tunisia; [Fkiri, Anis; Mezni, Amine] Univ Carthage, Fac Sci Bizerte, Lab Heteroorgan Cpds &amp; Nanostruct Mat LR18ES11, Zarzouna 7021, Tunisia; [Mougin, Karine] Univ Haute Alsace, Inst Sci Materiaux, CNRS, UMR 7361,IS2M, 15 Rue Jean Starcky, F-68057 Mulhouse, France; [Sellami, Badreddine] Natl Inst Marine Sci &amp; Technol, Tabarka 8110, Tunisia</t>
  </si>
  <si>
    <t>Universite de Carthage; Universite de Jendouba; Universite de Carthage; Universites de Strasbourg Etablissements Associes; Universite de Haute-Alsace (UHA); Centre National de la Recherche Scientifique (CNRS); CNRS - Institute of Chemistry (INC)</t>
  </si>
  <si>
    <t>Sellami, B (corresponding author), Natl Inst Marine Sci &amp; Technol, Tabarka 8110, Tunisia.</t>
  </si>
  <si>
    <t>sellamibadreddine@gmail.com</t>
  </si>
  <si>
    <t>SELLAMI, Badreddine/0000-0002-1989-5946</t>
  </si>
  <si>
    <t>Ministry of Higher Education of Carthage (Tunisia); Laboratory of Environment Biomonitoring, Faculty of Sciences of Bizerte 7021 Jarzouna (Tunisia); Institut de Science des Materiaux de Mulhouse (IS2M)</t>
  </si>
  <si>
    <t>This project was supported by grants from The Ministry of Higher Education of Carthage (Tunisia), Laboratory of Environment Biomonitoring, Faculty of Sciences of Bizerte 7021 Jarzouna (Tunisia), and Institut de Science des Materiaux de Mulhouse (IS2M). Pr. David SHEEHAN is gratefully acknowledged as native English speaker for her helpful criticisms on an early version of the manuscript and for English improvements.</t>
  </si>
  <si>
    <t>10.1016/j.marenvres.2024.106424</t>
  </si>
  <si>
    <t>OV1B5</t>
  </si>
  <si>
    <t>WOS:001209952700001</t>
  </si>
  <si>
    <t>Wang, T; Hu, MH; Xu, GE; Shi, HH; Leung, JYS; Wang, YJ</t>
  </si>
  <si>
    <t>Wang, Ting; Hu, Menghong; Xu, Guangen; Shi, Huahong; Leung, Jonathan Y. S.; Wang, Youji</t>
  </si>
  <si>
    <t>Microplastic accumulation via trophic transfer: Can a predatory crab counter the adverse effects of microplastics by body defence?</t>
  </si>
  <si>
    <t>Bioaccumulation; Body defence; Hepatopancreas; Microplastic; Toxicity; Trophic transfer</t>
  </si>
  <si>
    <t>MYTILUS-EDULIS L.; POLYSTYRENE MICROPLASTICS; AQUATIC ENVIRONMENTS; ERIOCHEIR-SINENSIS; OXIDATIVE STRESS; EXPOSURE; MUSSELS; TOXICITY; SYSTEM; FUTURE</t>
  </si>
  <si>
    <t>Microplastics are considered detrimental to aquatic organisms due to their potential accumulation along food chains. Thus, it is puzzling why some of them appear unaffected by microplastics. Here, we assessed the contribution of water filtration and food consumption to microplastic accumulation in a predatory marine crab (Charybdis japonica) and examined the associated impacts of microplastics (particle size: 5 mu m) following ingestion for one week. Results showed that water filtration and food consumption contributed similarly to the accumulation of microplastics, which were distributed among organs in this order: hepatopancreas &gt; guts &gt; gills &gt; muscles. Yet, biomagnification (i.e. accumulation through consumption of microplastic-contaminated mussels) did not occur possibly due to egestion of microplastics. The crabs upregulated detoxification capacity (EROD) and antioxidant defence (GST) in response to the microplastics accumulated in their tissues. However, these defence mechanisms collapsed when the microplastic concentration in hepatopancreas exceeded-3 mg g-1, leading to severe hepatic injury (elevated AST and ALT) and impaired neural activity (reduced AChE). Our results suggest that marine organisms have an innate capacity to counter the acute effects of microplastics, but there is a limit beyond which the defence mechanisms fail and hence physiological functions are impaired. As microplastic pollution will deteriorate in the future, the fitness and survival of marine organisms may be undermined by microplastics, affecting the stability and functioning of marine ecosystems. (C) 2020 Elsevier B.V. All rights reserved.</t>
  </si>
  <si>
    <t>[Wang, Ting; Hu, Menghong; Xu, Guangen; Wang, Youji] Shanghai Ocean Univ, Minist Sci &amp; Technol, Int Res Ctr Marine Biosci, Shanghai 201306, Peoples R China; [Wang, Ting; Hu, Menghong; Xu, Guangen; Wang, Youji] Shanghai Ocean Univ, Minist Educ, Key Lab Explorat &amp; Utilizat Aquat Genet Resources, Shanghai 201306, Peoples R China; [Shi, Huahong] East China Normal Univ, State Key Lab Estuarine &amp; Coastal Res, Shanghai 200062, Peoples R China; [Leung, Jonathan Y. S.] Univ Adelaide, Sch Biol Sci, Environm Inst, Southern Seas Ecol Labs, Adelaide, SA 5005, Australia; [Leung, Jonathan Y. S.] Southwest Univ, Fac Mat &amp; Energy, Chongqing 400715, Peoples R China</t>
  </si>
  <si>
    <t>Shanghai Ocean University; Shanghai Ocean University; East China Normal University; University of Adelaide; Southwest University - China</t>
  </si>
  <si>
    <t>Wang, YJ (corresponding author), Shanghai Ocean Univ, Minist Sci &amp; Technol, Int Res Ctr Marine Biosci, Shanghai 201306, Peoples R China.;Leung, JYS (corresponding author), Univ Adelaide, Sch Biol Sci, Environm Inst, Southern Seas Ecol Labs, Adelaide, SA 5005, Australia.</t>
  </si>
  <si>
    <t>jonathan.leung@adelaide.edu.au; youjiwang2@gmail.com</t>
  </si>
  <si>
    <t>Leung, Jonathan/AAF-9321-2019; Shi, Huahong/F-1511-2011; Wang, Youji/B-8086-2011</t>
  </si>
  <si>
    <t>Leung, Jonathan/0000-0001-5846-3401; Wang, Ting/0000-0003-0892-7831; Wang, Youji/0000-0003-3011-1919; Shi, Huahong/0000-0003-2978-0680</t>
  </si>
  <si>
    <t>Natural Science Foundation of China [31872587]; Open Research Fund of State Key Laboratory of Estuarine and Coastal Research [SKLEC-KF201706]; Shanghai Pujiang Talent Program [18PJ1404000]</t>
  </si>
  <si>
    <t>Natural Science Foundation of China(National Natural Science Foundation of China (NSFC)); Open Research Fund of State Key Laboratory of Estuarine and Coastal Research; Shanghai Pujiang Talent Program</t>
  </si>
  <si>
    <t>This research is supported by the Natural Science Foundation of China (31872587), Open Research Fund of State Key Laboratory of Estuarine and Coastal Research (SKLEC-KF201706) and Shanghai Pujiang Talent Program (18PJ1404000).</t>
  </si>
  <si>
    <t>10.1016/j.scitotenv.2020.142099</t>
  </si>
  <si>
    <t>OX9WE</t>
  </si>
  <si>
    <t>WOS:000593905500007</t>
  </si>
  <si>
    <t>Chalghmi, H; Zrafi, I; Gourves, PY; Bourdineaud, JP; Saidane-Mosbahi, D</t>
  </si>
  <si>
    <t>Chalghmi, Houssem; Zrafi, Ines; Gourves, Pierre-Yves; Bourdineaud, Jean-Paul; Saidane-Mosbahi, Dalila</t>
  </si>
  <si>
    <t>Combined effects of metal contamination and abiotic parameters on biomarker responses in clam Ruditapes decussatus gills: an integrated approach in biomonitoring of Tunis lagoon</t>
  </si>
  <si>
    <t>MUSSELS MYTILUS-GALLOPROVINCIALIS; CARCINUS-MAENAS; BIZERTA LAGOON; POLLUTION; COPPER; STRESS; COAST; SOUTH; GULF; BIOACCUMULATION</t>
  </si>
  <si>
    <t>The spatial and seasonal alteration in a battery of biomarkers responses (enzymatic activity of glutathione S-transferase, catalase and acetylcholinesterase and lipid peroxidation) were investigated to assess the metal derived effects in clam (Ruditapes decussatus) gills, collected from Tunis lagoon (Tunisia). Trace metals (Ag, As, Cd, Cu, Hg, Mn, Ni, Pb, V and Zn) concentrations were assessed seasonally in sediments and tissues of R. decussatus from three different sites (S1, S2 and S3). Bioaccumulation factor (BAF) analysis showed a spatio-temporal variation of metal uptake rates in clams through sediments. Likewise, the multibiomarker approach enabled a time-site trend differentiation between sites with distinctive degrees of anthropogenic contamination. Site S2 was identified as the most impacted region due to the presence of different contamination sources (shipping and industrial activities). The results suggest that biomarker's seasonal variation arises from a complex interaction between environmental conditions (e.g. temperature, salinity) and probably biological factors (mainly the reproduction process) along with anthropogenic pressure. The general biological response measured with the IBR index at all the sampling sites revealed the highest metabolic stress in summer. The combined effects of metal contamination and increased temperature and salinity in summer appear to induce the highest metabolic adaptation response. The selected biomarkers provided an integrated response, which is useful for the assessment of the combined effects of metal contamination and abiotic parameters in clams and the environmental status of coastal lagoon ecosystem.</t>
  </si>
  <si>
    <t>[Chalghmi, Houssem; Gourves, Pierre-Yves; Bourdineaud, Jean-Paul] Univ Bordeaux, UMR CNRS EPOC 5805, Arcachon Marine Stn, Pl Dr Peyneau, F-33120 Arcachon, France; [Chalghmi, Houssem; Saidane-Mosbahi, Dalila] Fac Pharm, Lab Anal Treatment &amp; Valorizat Environm Pollutant, Monastir 5000, Tunisia; [Zrafi, Ines] Ctr Water Res &amp; Technol, Technopk Borj Cedria,BP 273, Soliman 8020, Tunisia</t>
  </si>
  <si>
    <t>Centre National de la Recherche Scientifique (CNRS); CNRS - National Institute for Earth Sciences &amp; Astronomy (INSU); Universite de Bordeaux; Universite de Monastir; Centre de Recherche et des Technologies des Eaux de Borj Cedria</t>
  </si>
  <si>
    <t>Chalghmi, H (corresponding author), Univ Bordeaux, UMR CNRS EPOC 5805, Arcachon Marine Stn, Pl Dr Peyneau, F-33120 Arcachon, France.;Chalghmi, H (corresponding author), Fac Pharm, Lab Anal Treatment &amp; Valorizat Environm Pollutant, Monastir 5000, Tunisia.</t>
  </si>
  <si>
    <t>houssem.chalghmi@yahoo.fr</t>
  </si>
  <si>
    <t>University of Bordeaux, France; University of Monastir, Tunisia; French Institute of Tunisia</t>
  </si>
  <si>
    <t>University of Bordeaux, France; University of Monastir, Tunisia(Universite de Monastir); French Institute of Tunisia</t>
  </si>
  <si>
    <t>This study was supported by the University of Bordeaux, France, the University of Monastir, Tunisia and the French Institute of Tunisia.</t>
  </si>
  <si>
    <t>10.1039/c6em00139d</t>
  </si>
  <si>
    <t>DR5KE</t>
  </si>
  <si>
    <t>WOS:000379941100013</t>
  </si>
  <si>
    <t>Pergent, G; Labbe, C; Lafabrie, C; Kantin, R; Pergent-Martini, C</t>
  </si>
  <si>
    <t>Pergent, Gerard; Labbe, Celine; Lafabrie, Celine; Kantin, Roger; Pergent-Martini, Christine</t>
  </si>
  <si>
    <t>Organic and inorganic human-induced contamination of Posidonia oceanica meadows</t>
  </si>
  <si>
    <t>Trace metals; Polycyclic aromatic hydrocarbons; Contamination; Seagrass; Posidonia oceanica; Mediterranean</t>
  </si>
  <si>
    <t>HEAVY-METALS; TRACE-METALS; SEAGRASS; MUSSEL; BIOAVAILABILITY; SEDIMENT; COAST; PAHS; AREA; RADIONUCLIDES</t>
  </si>
  <si>
    <t>In coastal environments, plants are used for phytoremediation of contamination. Organic and inorganic contaminants may be due to natural and/or anthropogenic sources. The aim of this study is to compare inorganic (trace metal) and organic (PAH) contamination in Posidonia oceanica and to analyse the relationship between these types of pollutants indeed very few studies have been interested in their correlations and common sources. P. oceanica leaves were collected in two sites exhibiting different levels of human-induced pressure. Higher values were recorded in the more polluted site (Toulon) for trace metals (Ag, Hg, Pb) as well as for PAHs (Medium Molecular Weight and High Molecular Weight) due to the presence of the city and/or harbour in proximity. For the first time in a coastal environment, correlations were observed between metals and PAHs. (C) 2011 Elsevier B.V. All rights reserved.</t>
  </si>
  <si>
    <t>[Pergent, Gerard; Labbe, Celine; Lafabrie, Celine; Pergent-Martini, Christine] Univ Corsica, Fac Sci, EQEL, CNRS,UMR 6134, F-20250 Corte, France; [Lafabrie, Celine; Kantin, Roger] IFREMER, Mediterranean Ctr, F-83507 La Seyne Sur Mer, France</t>
  </si>
  <si>
    <t>Centre National de la Recherche Scientifique (CNRS); CNRS - Institute for Engineering &amp; Systems Sciences (INSIS); Ifremer</t>
  </si>
  <si>
    <t>Labbe, C (corresponding author), Univ Corsica, Fac Sci, EQEL, CNRS,UMR 6134, BP 52, F-20250 Corte, France.</t>
  </si>
  <si>
    <t>labbe@univ-corse.fr</t>
  </si>
  <si>
    <t>Collectivite Territoriale de Corse; MONIQUA</t>
  </si>
  <si>
    <t>Collectivite Territoriale de Corse(Region Corse); MONIQUA</t>
  </si>
  <si>
    <t>This study was supported by a grant from the Collectivite Territoriale de Corse and by the MONIQUA and GdR Programs, set up within the framework of the INTERREG IIIA Convention. We wish to thank B. Mimault and Ifremer for diving assistance, and C. Lopez y Royo for English correction.</t>
  </si>
  <si>
    <t>10.1016/j.ecoleng.2011.02.001</t>
  </si>
  <si>
    <t>774GD</t>
  </si>
  <si>
    <t>WOS:000291372400025</t>
  </si>
  <si>
    <t>Prosser, RS; Salole, J; Hang, S</t>
  </si>
  <si>
    <t>Prosser, R. S.; Salole, J.; Hang, S.</t>
  </si>
  <si>
    <t>Toxicity of 6PPD-quinone to four freshwater invertebrate species*</t>
  </si>
  <si>
    <t>Mayfly; Freshwater mussel; Zooplankton; Freshwater snail; Tire; Antioxidant</t>
  </si>
  <si>
    <t>SUBSTITUTED PHENYLAMINE ANTIOXIDANTS; WEAR PARTICLES; LIFE STAGES</t>
  </si>
  <si>
    <t>The antioxidant N-(1,3-Dimethylbutyl)-N '-phenyl-p-phenylenediamine (6PPD) is used to protect the rubber in tires from oxidation, which extends the life of the tire. When oxidized, 6PPD is transformed into 6PPD-quinone (6PPDQ). 6PPDQ, along with other tire ingredients, can enter aquatic ecosystems through the transport of tire wear particles in runoff during a precipitation event. The mass mortality of coho salmon following precipitation events in urban areas lead to the discovery that 6PPDQ is the likely cause due to coho salmon's relatively high sensitivity to 6PPDQ. The assessment of 6PPDQ toxicity to other aquatic species has expanded, but it has focused on fish. This study investigated the toxicity of 6PPDQ to four freshwater invertebrate species, larval burrowing mayfly (Hexagenia spp.), juvenile cladoceran (Daphnia magna), file ramshorn snail embryo (Planorbella pilsbryi), and adult washboard mussel (Megalonaias nervosa). For all four species, the highest concentration of 6PPDQ tested did not result in significant mortality. This translated into the determination of the highest concentration that did not cause significant mortality (NOEC) for Hexagenia spp., D. magna, P. pilsbryi, and M. nervosa of 232.0, 42.0, 11.7, and 17.9 mu g/L, respectively. The data from this study indicate that freshwater invertebrates are not as sensitive to 6PPDQ as some salmonid species (e.g., coho salmon Oncorhynchus kisutch). This study also analyzed 6PPDQ in road runoff from around the city of Guelph in Ontario, Canada. 6PPQ was detected in all samples but the concentration was two orders of magnitude lower than the NOECs for the four tested species of freshwater invertebrate.</t>
  </si>
  <si>
    <t>[Prosser, R. S.; Salole, J.; Hang, S.] Univ Guelph, Sch Environm Sci, Guelph, ON, Canada; [Prosser, R. S.] Univ Guelph, Sch Environm Sci, 50 Stone Rd East, Guelph, ON N1G 2W1, Canada</t>
  </si>
  <si>
    <t>University of Guelph; University of Guelph</t>
  </si>
  <si>
    <t>Prosser, RS (corresponding author), Univ Guelph, Sch Environm Sci, 50 Stone Rd East, Guelph, ON N1G 2W1, Canada.</t>
  </si>
  <si>
    <t>Hang, Spencer/0009-0001-3850-3370; Salole, Jack/0009-0003-9752-618X</t>
  </si>
  <si>
    <t>10.1016/j.envpol.2023.122512</t>
  </si>
  <si>
    <t>FE0F4</t>
  </si>
  <si>
    <t>WOS:001143961100001</t>
  </si>
  <si>
    <t>Beutel, MW; Harmon, TC; Novotny, TE; Mock, J; Gilmore, ME; Hart, SC; Traina, S; Duttagupta, S; Brooks, A; Jerde, CL; Hoh, E; van de Werfhorst, LC; Butsic, V; Wartenberg, AC; Holden, PA</t>
  </si>
  <si>
    <t>Beutel, Marc W.; Harmon, Thomas C.; Novotny, Thomas E.; Mock, Jeremiah; Gilmore, Michelle E.; Hart, Stephen C.; Traina, Samuel; Duttagupta, Srimanti; Brooks, Andrew; Jerde, Christopher L.; Hoh, Eunha; van de Werfhorst, Laurie C.; Butsic, Van; Wartenberg, Ariani C.; Holden, Patricia A.</t>
  </si>
  <si>
    <t>A Review of Environmental Pollution from the Use and Disposal of Cigarettes and Electronic Cigarettes: Contaminants, Sources, and Impacts</t>
  </si>
  <si>
    <t>cigarette butts; cotinine; environmental contamination; microplastics; nicotine; tobacco product waste</t>
  </si>
  <si>
    <t>WASTE-WATER CONTAMINANTS; REAL-TIME MEASUREMENT; 90 DEGREES-C; TOBACCO-SMOKE; THIRDHAND-SMOKE; UNITED-STATES; HEAVY-METALS; NATIONAL RECONNAISSANCE; ORGANIC CONTAMINANTS; HEALTH IMPLICATIONS</t>
  </si>
  <si>
    <t>While the impacts of cigarette smoking on human health are widely known, a less recognized impact of tobacco product use and disposal is environmental pollution. This review discusses the current literature related to cigarette and e-cigarette contamination in the context of environmental sources and impacts, with a focus on the documented influences on biota, ranging from bacteria to mammals. Cigarette butts and electronic cigarette components can leach contaminants into soil, water, and air. Cellulose acetate cigarette filters comprising the butts are minimally degradable and are a source of bulk plastic and microplastic pollution, especially in aquatic ecosystems where they tend to accumulate. Cigarette combustion and aerosol production during e-cigarette use result in air contamination from sidestream, exhaled, and thirdhand pathways. The chemical byproducts of tobacco product use contaminate wastewater effluents, landfill leachates, and urban storm drains. The widespread detection of nicotine and cotinine in the environment illustrates the potential for large-scale environmental impacts of tobacco product waste. Studies show that cigarette butt leachate and nicotine are toxic to microbes, plants, benthic organisms, bivalves, zooplankton, fish, and mammals; however, there remain critical knowledge gaps related to the environmental impacts of tobacco product waste on environmental health and ecosystem functioning.</t>
  </si>
  <si>
    <t>[Beutel, Marc W.; Harmon, Thomas C.; Gilmore, Michelle E.; Traina, Samuel] Univ Calif, Environm Syst Grad Grp, Merced, CA 95343 USA; [Novotny, Thomas E.; Duttagupta, Srimanti; Hoh, Eunha] San Diego State Univ, Sch Publ Hlth, San Diego, CA 92182 USA; [Mock, Jeremiah] Univ Calif San Francisco, Inst Hlth &amp; Aging, San Francisco, CA 94110 USA; [Hart, Stephen C.] Univ Calif, Dept Life &amp; Environm Sci, Merced, CA 95343 USA; [Hart, Stephen C.] Univ Calif, Sierra Nevada Res Inst, Merced, CA 95343 USA; [Duttagupta, Srimanti] San Diego State Univ, San Diego State Univ Res Fdn, San Diego, CA 92182 USA; [Brooks, Andrew; Jerde, Christopher L.] Univ Calif Santa Barbara, Inst Marine Sci, Santa Barbara, CA 93106 USA; [van de Werfhorst, Laurie C.; Holden, Patricia A.] Univ Calif Santa Barbara, Bren Sch Environm Sci &amp; Management, Santa Barbara, CA 93106 USA; [Butsic, Van; Wartenberg, Ariani C.] Univ Calif Berkeley, Environm Sci Policy &amp; Management Dept, Berkeley, CA 94720 USA</t>
  </si>
  <si>
    <t>University of California System; University of California Merced; California State University System; San Diego State University; University of California System; University of California San Francisco; University of California System; University of California Merced; University of California System; University of California Merced; California State University System; San Diego State University; University of California System; University of California Santa Barbara; University of California System; University of California Santa Barbara; University of California System; University of California Berkeley</t>
  </si>
  <si>
    <t>Beutel, MW (corresponding author), Univ Calif, Environm Syst Grad Grp, Merced, CA 95343 USA.</t>
  </si>
  <si>
    <t>mbeutel@ucmerced.edu; tharmon@ucmerced.edu; tnovotny@sdsu.edu; jeremiah.mock@ucsf.edu; mgilmore61@gmail.com; shart4@ucmerced.edu; straina@ucmerced.edu; srimanti.duttagupta@gmail.com; andy.brooks@ucsb.edu; cjerde@ucsb.edu; ehoh@sdsu.edu; lvandewerfhorst@bren.ucsb.edu; vanbutsic@berkeley.edu; awartenberg@berkeley.edu; holden@bren.ucsb.edu</t>
  </si>
  <si>
    <t>Jerde, Christopher/AAJ-4385-2020; Wartenberg, Ariani/HSG-2734-2023; Duttagupta, Srimanti/AAE-8375-2022</t>
  </si>
  <si>
    <t>Holden, Patricia/0000-0002-6777-5359; Hoh, Eunha/0000-0002-4075-040X; Duttagupta, Srimanti/0000-0002-3454-6269; Mock, Jeremiah/0000-0003-3851-4229; Gilmore, Michelle/0000-0003-0080-4183; Brooks, Andrew/0000-0002-6651-1204; Jerde, Christopher/0000-0002-8074-3466; Wartenberg, Ariani/0000-0002-0052-5005; Novotny, Thomas/0000-0001-9235-0582</t>
  </si>
  <si>
    <t>California Tobacco-Related Disease Research Grants Program Office of the University of California [29NP-0001]; University of California Natural Reserve System (UC NRS), Office of the President</t>
  </si>
  <si>
    <t>California Tobacco-Related Disease Research Grants Program Office of the University of California; University of California Natural Reserve System (UC NRS), Office of the President</t>
  </si>
  <si>
    <t>Funds for this project were provided by the California Tobacco-Related Disease Research Grants Program Office of the University of California, Grant Number 29NP-0001, with support from the University of California Natural Reserve System (UC NRS), Office of the President.</t>
  </si>
  <si>
    <t>10.3390/su132312994</t>
  </si>
  <si>
    <t>XV7BL</t>
  </si>
  <si>
    <t>WOS:000735092800001</t>
  </si>
  <si>
    <t>Gacic, Z; Kolarevic, S; Sunjog, K; Kracun-Kolarevic, M; Paunovic, M; Knezevic-Vukcevic, J; Vukovic-Gacic, B</t>
  </si>
  <si>
    <t>Gacic, Zoran; Kolarevic, Stoimir; Sunjog, Karolina; Kracun-Kolarevic, Margareta; Paunovic, Momir; Knezevic-Vukcevic, Jelena; Vukovic-Gacic, Branka</t>
  </si>
  <si>
    <t>The impact of in vivo and in vitro exposure to base analogue 5-FU on the level of DNA damage in haemocytes of freshwater mussels Unio pictorum and Unio tumidus</t>
  </si>
  <si>
    <t>5-Fluorouracil; Comet assay; Unio pictorum; Unio tumidus</t>
  </si>
  <si>
    <t>ZEBRA MUSSEL; DREISSENA-POLYMORPHA; GILL CELLS; COMET; 5-FLUOROURACIL; BIOMARKERS; TOXICITY; QUALITY; GENOTOXICITY; CADMIUM</t>
  </si>
  <si>
    <t>The impact of in vivo and in vitro exposure to anticancer drug 5-Fluorouracil (5-FU) on the level of DNA damage was evaluated using comet assay on haemocytes of freshwater mussels Unio pictorum and Unio tumidus. For the in vivo experiment, the groups of 5 mussels per concentration were exposed for 72 h to 5-FU (0.04, 0.4, 4, 40 and 100 mu M) with 0.4 mu M being the lowest concentration to induce significant DNA damage. For the in vitro experiment, the primary cultures of haemocytes were treated with 0.04, 0.4, 4 and 40 mu M 5-FU for 22 h and the treatment with CdCl2 was used as a positive control. In contrast to in vivo exposure, 5-FU did not induce significant increase of DNA damage in vitro, possibly because of the absence of haemocytes proliferation in primary cultures. (C) 2014 Elsevier Ltd. All rights reserved.</t>
  </si>
  <si>
    <t>[Gacic, Zoran; Sunjog, Karolina] Univ Belgrade, Inst Multidisciplinary Res, Belgrade 11000, Serbia; [Kolarevic, Stoimir; Knezevic-Vukcevic, Jelena; Vukovic-Gacic, Branka] Univ Belgrade, Fac Biol, Chair Microbiol, Ctr Genotoxicol &amp; Ecogenotoxicol, Belgrade 11000, Serbia; [Kracun-Kolarevic, Margareta; Paunovic, Momir] Univ Belgrade, Inst Biol ResearchSinisa Stankovic, Belgrade 11000, Serbia</t>
  </si>
  <si>
    <t>zorga@imsi.rs; stoimirk@bio.bg.ac.rs; mpaunovi@ibiss.ac.rs; brankavg@bio.bg.ac.rs</t>
  </si>
  <si>
    <t>Paunović, Momir/H-9177-2019; Kolarevic, Stoimir/JQW-3696-2023; Kračun-Kolarević, Margareta/JQT-3327-2023</t>
  </si>
  <si>
    <t>Vukovic-Gacic, Branka/0000-0001-8767-1912; Sunjog, Karolina/0000-0002-7533-1256; Paunovic, Momir/0000-0002-6432-1191; Kracun-Kolarevic, Margareta/0000-0002-8885-2456; Kolarevic, Stoimir/0000-0002-6938-8803; Knezevic-Vukcevic, Jelena/0000-0002-8138-6579</t>
  </si>
  <si>
    <t>European Community [265264]; Ministry of Education, Science and Technological Development of the Republic of Serbia [172058]</t>
  </si>
  <si>
    <t>European Community; Ministry of Education, Science and Technological Development of the Republic of Serbia</t>
  </si>
  <si>
    <t>This financial support of the European Community's Seventh Framework Programme (FP7/2007-2013), Grant agreement n. 265264: CytoThreat: Fate and effects of cytostatic pharmaceuticals in the environment and the identification of biomarkers for improved risk assessment on environmental exposure and by Ministry of Education, Science and Technological Development of the Republic of Serbia, Projects No. 172058.</t>
  </si>
  <si>
    <t>10.1016/j.envpol.2014.04.024</t>
  </si>
  <si>
    <t>AK7JS</t>
  </si>
  <si>
    <t>WOS:000338605200019</t>
  </si>
  <si>
    <t>Attig, H; Dagnino, A; Negri, A; Jebali, J; Boussetta, H; Viarengo, A; Dondero, F; Banni, M</t>
  </si>
  <si>
    <t>Attig, Hajer; Dagnino, Alessandro; Negri, Alessandro; Jebali, Jamel; Boussetta, Hamadi; Viarengo, Aldo; Dondero, Francesco; Banni, Mohamed</t>
  </si>
  <si>
    <t>Uptake and biochemical responses of mussels Mytilus galloprovincialis exposed to sublethal nickel concentrations</t>
  </si>
  <si>
    <t>Acute exposure; Ni; Toxicokinetic; Toxicodynamic</t>
  </si>
  <si>
    <t>FRESH-WATER MUSSEL; CADMIUM UPTAKE; PCR ANALYSIS; EXPRESSION; STRESS; POLLUTION; MIXTURE; FISH; AG; CR</t>
  </si>
  <si>
    <t>In the present study, mussel (Mytilus galloprovincialis) digestive gland oxidative stress biomarkers and detoxification responses to acute exposure to nickel (Ni) were investigated. Mussels were exposed to two sublethal concentrations of Ni (135 mu g/L per animal (2.5 mu M) and 770 mu g/L per animal (13 mu M)) for 24, 48, 72, 96 h and 8 days. Following biological responses were measured: (1) glutathione S-transferase (GST) activity as a phase II conjugation enzyme, (2) catalase activity as antioxidant response, (3) malondialdehyde accumulation (MDA) as lipid peroxydation marker and metallothionein as specific response to metals exposure. The cholinergic system was evaluated using the acetylcholinesterase activity (AChE). Moreover, Ni uptakes during the exposure periods were assessed and the uptake rate constant determined. A correlation matrix (CM) between the investigated biomarkers and a principal component analysis (PCA) were achieved for the two tested concentrations. The Ni-uptake constant was higher in animals exposed to the lowest concentration. The CM and the PCA showed a time-dependent effect of the Ni exposure on the investigated biomarkers being more pronounced in animals exposed to the highest Ni concentration. While AChE showed a significant increase after 48 h and a further return to control values in the lowest concentration, it was drastically maintained inhibited in the highest concentration. Our data provided clues about the occurrence of different toxicokinetics and toxicodynamics of two Ni sublethal concentrations in an ecologically relevant organism. (C) 2010 Elsevier Inc. All rights reserved.</t>
  </si>
  <si>
    <t>[Attig, Hajer; Jebali, Jamel; Boussetta, Hamadi; Banni, Mohamed] ISA, Lab Biochem &amp; Environm Toxicol, Higher Inst Agron, Chott Mariem 4042, Sousse, Tunisia; [Dagnino, Alessandro; Negri, Alessandro; Viarengo, Aldo; Dondero, Francesco] Univ Piemonte Orientale Amedeo Avogadro, Dept Environm &amp; Life Sci, I-15100 Alessandria, Italy</t>
  </si>
  <si>
    <t>Universite de Tunis-El-Manar; Institut Salah Azaiez; University of Eastern Piedmont Amedeo Avogadro</t>
  </si>
  <si>
    <t>Banni, M (corresponding author), ISA, Lab Biochem &amp; Environm Toxicol, Higher Inst Agron, Chott Mariem 4042, Sousse, Tunisia.</t>
  </si>
  <si>
    <t>Dagnino, Alessandro/D-3060-2013; jebali, jamel/E-4813-2013; Dondero, Francesco/J-1528-2012; Banni, Mohamed/M-2144-2014</t>
  </si>
  <si>
    <t>jebali, jamel/0000-0003-1444-1432; Viarengo, Aldo/0000-0002-1557-6526; Dagnino, Alessandro/0000-0003-3779-9891; Dondero, Francesco/0000-0001-7945-3712; Banni, Mohamed/0000-0001-9764-0343</t>
  </si>
  <si>
    <t>Ministere de l'Enseignement Superieur et de la Recherche Scientifique, Tunisia [UR04A6R05]; UE-FW [003956]</t>
  </si>
  <si>
    <t>Ministere de l'Enseignement Superieur et de la Recherche Scientifique, Tunisia; UE-FW</t>
  </si>
  <si>
    <t>This work was supported by funds from Ministere de l'Enseignement Superieur et de la Recherche Scientifique, Tunisia; UR04A6R05. Biochimie et Toxicologie Environnementale, 6th UE-FW-Project NoMiRACLE (Contract number, 003956).</t>
  </si>
  <si>
    <t>10.1016/j.ecoenv.2010.08.007</t>
  </si>
  <si>
    <t>WOS:000282792300032</t>
  </si>
  <si>
    <t>Tran, D; Massabuau, JC; Garnier-Laplace, J</t>
  </si>
  <si>
    <t>Tran, Damien; Massabuau, Jean-Charles; Garnier-Laplace, Jacqueline</t>
  </si>
  <si>
    <t>Impact of hypoxia on hemolymph contamination by uranium in an aquatic animal, the freshwater clam Corbicula fluminea</t>
  </si>
  <si>
    <t>Hypoxia; Hemolymph; Arterial; Venous; Uranium; Corbicula fluminea</t>
  </si>
  <si>
    <t>INDUCED VENTILATORY ACTIVITY; VALVE CLOSURE RESPONSE; BIOACCUMULATION; CADMIUM; OXYGENATION; TOXICITY; EXPOSURE; MUSSELS; ACCUMULATION; BEHAVIOR</t>
  </si>
  <si>
    <t>Multi-stress situations are a major question and low-oxygenated waters (hypoxia) are a growing problem. Importantly, hypoxia stimulates the ventilatory flow rate in aquatic animals and this increases gill exposure to contaminants. Surprisingly, in the freshwater clam Corbicula fluminea this is associated, with increased bioaccumulation of uranium in gills but not in deep tissues. We searched for an explanation by analyzing hemolymph U-transport in Corbicula exposed to 0.36 mu M dissolved uranium at various O-2-levels for 10 days. In hypoxia, one observed an increased U concentration in the arterial hemolymph flowing from gills to tissues but this was not associated with an increased U concentration in the venous hemolymph nor in the other tissues. We conclude that the cardiac flow rate must have decreased to explain this absence of over-accumulation. in addition to its already known deleterious effects, uranium can thus deeply impair cardiac How rate in exposed aquatic animals during multi-stress exposures. (C)008 Elsevier Ltd. All rights reserved.</t>
  </si>
  <si>
    <t>[Tran, Damien; Massabuau, Jean-Charles] Univ Bordeaux 1, CNRS, UMR EPOC 5805, F-33120 Arcachon, France; [Garnier-Laplace, Jacqueline] Inst Radioprotect &amp; Surete Nucl, Lab Radioecol &amp; Ecotoxicol, F-13115 St Paul Les Durance, France</t>
  </si>
  <si>
    <t>Tran, D (corresponding author), Univ Bordeaux 1, CNRS, UMR EPOC 5805, Pl Dr Peyneau, F-33120 Arcachon, France.</t>
  </si>
  <si>
    <t>d.tran@epoc.u-bordeaux1.fr; jc.massabuau@epoc.u-bordeaux1.fr; jacqueline.Garnier-Laplace@irsn.fr</t>
  </si>
  <si>
    <t>Jacqueline, Garnier-Laplace/0000-0002-3486-147X; Massabuau, Jean-Charles/0000-0003-1302-1719; Tran, Damien/0000-0002-7432-7765</t>
  </si>
  <si>
    <t>10.1016/j.envpol.2008.05.023</t>
  </si>
  <si>
    <t>WOS:000261678700031</t>
  </si>
  <si>
    <t>Milan, M; Pauletto, M; Boffo, L; Carrer, C; Sorrentino, F; Ferrari, G; Pavan, L; Patarnello, T; Bargelloni, L</t>
  </si>
  <si>
    <t>Milan, M.; Pauletto, M.; Boffo, L.; Carrer, C.; Sorrentino, F.; Ferrari, G.; Pavan, L.; Patarnello, T.; Bargelloni, L.</t>
  </si>
  <si>
    <t>Transcriptomic resources for environmental risk assessment: a case study in the Venice lagoon</t>
  </si>
  <si>
    <t>Environmental risk assessment; Genomics; Venice lagoon; Ruditapes philippinarum; Good environmental status</t>
  </si>
  <si>
    <t>GENE-TRANSCRIPTION; BIOMARKERS; STRESS; RESPONSES; EXPOSURE; ACETYLCHOLINESTERASE; PHILIPPINARUM; MICROARRAYS; SEDIMENTS; POLLUTION</t>
  </si>
  <si>
    <t>The development of new resources to evaluate the environmental status is becoming increasingly important representing a key challenge for ocean and coastal management. Recently, the employment of transcriptomics in aquatic toxicology has led to increasing initiatives proposing to integrate ecotoxicogenomics in the evaluation of marine ecosystem health. However, several technical issues need to be addressed before introducing genomics as a reliable tool in regulatory ecotoxicology. The Venice lagoon constitutes an excellent case, in which the assessment of environmental risks derived from the nearby industrial activities represents a crucial task. In this context, the potential role of genomics to assist environmental monitoring was investigated through the definition of reliable gene expression markers associated to chemical contamination in Manila clams, and their subsequent employment for the classification of Venice lagoon areas. Overall, the present study addresses key issues to evaluate the future outlooks of genomics in the environmental monitoring and risk assessment. (C) 2014 Elsevier Ltd. All rights reserved.</t>
  </si>
  <si>
    <t>[Milan, M.; Pauletto, M.; Patarnello, T.; Bargelloni, L.] Univ Padua, Dept Comparat Biomed &amp; Food Sci, I-35020 Legnaro, PD, Italy; [Boffo, L.] Azienda ULSS 14 Chioggia, Chioggia, Italy; [Carrer, C.] Thetis SPA Magistrato Acque, Lab Ctr Studi Microinquinanti Organici CSMO, I-35127 Padua, Italy; [Sorrentino, F.; Ferrari, G.] Magistrato Acque Venezia, Ufficio Tecn Antinquinamento, I-30125 Venice, Italy; [Pavan, L.] G3 Ind, I-30020 Marcon, VE, Italy</t>
  </si>
  <si>
    <t>Milan, M (corresponding author), Univ Padua, Dept Comparat Biomed &amp; Food Sci, Viale Univ 16, I-35020 Legnaro, PD, Italy.</t>
  </si>
  <si>
    <t>Milan, Massimo/H-7428-2019; Pauletto, Marianna/K-5518-2019</t>
  </si>
  <si>
    <t>Pauletto, Marianna/0000-0002-2424-7484; PATARNELLO, Tomaso/0000-0003-1794-5791; MILAN, MASSIMO/0000-0003-0246-9008</t>
  </si>
  <si>
    <t>Magistrato alle Acque di Venezia; University of Padova, Progetto Giovani Studiosi - Bando - Scienze Agrarie e Veterinarie [GRIC13XVFI]</t>
  </si>
  <si>
    <t>Magistrato alle Acque di Venezia; University of Padova, Progetto Giovani Studiosi - Bando - Scienze Agrarie e Veterinarie</t>
  </si>
  <si>
    <t>This study was supported by funding from Magistrato alle Acque di Venezia and from University of Padova, Progetto Giovani Studiosi - Bando 2013 - Scienze Agrarie e Veterinarie (Prot. GRIC13XVFI).</t>
  </si>
  <si>
    <t>10.1016/j.envpol.2014.12.005</t>
  </si>
  <si>
    <t>CD2PM</t>
  </si>
  <si>
    <t>WOS:000350921500012</t>
  </si>
  <si>
    <t>Fonollosa, E; Peñalver, A; Aguilar, C; Borrull, F</t>
  </si>
  <si>
    <t>Fonollosa, E.; Penalver, A.; Aguilar, C.; Borrull, F.</t>
  </si>
  <si>
    <t>Bioaccumulation of natural radionuclides in molluscs from the Ebro Delta area</t>
  </si>
  <si>
    <t>Natural radionuclides; Molluscs; Annual ingestion doses</t>
  </si>
  <si>
    <t>MUSSEL MYTILUS-GALLOPROVINCIALIS; COASTAL POPULATION; SOUTHERN CATALONIA; DOSE ASSESSMENT; HUMAN-BEINGS; PO-210; PB-210; INDIA; GULF; SAMPLES</t>
  </si>
  <si>
    <t>Po-210, Pb-210, U-234, U-238, Th-232 and Th-230 were analysed in the edible part of four different species of bivalves typically produced and consumed in the Ebro Delta area. The results show that the main contributor to the radioactive content in these species was Po-210, with values ranging between 263.1 +/- 26.6 and 813.0 +/- 72.9 Bq/kg (d.w.), which are higher than the usual reported activity levels in other geographical areas. This can probably be attributed to the activities of a phosphate industrial plant located upstream on the Ebro River, which may lead to enhanced levels of naturally occurring radioactive isotopes in the aquatic ecosystem. To determine the possible impact on health, the committed effective doses through the consumption of the different species were evaluated and the cumulative total annual effective dose for their consumption was estimated to 187.6 mu Sv/year, which is in the range of 200-1000 mu Sv/year given by UNSCEAR.</t>
  </si>
  <si>
    <t>[Fonollosa, E.; Penalver, A.; Aguilar, C.; Borrull, F.] Univ Rovira &amp; Virgili, Dept Quim Analit &amp; Quim Organ, Unitat Radioquim Ambiental &amp; Sanitaria URAIS, CAT, Carretera Nacl 340,Km 1094, Tarragona 43895, Spain</t>
  </si>
  <si>
    <t>Universitat Rovira i Virgili</t>
  </si>
  <si>
    <t>Aguilar, C (corresponding author), Univ Rovira &amp; Virgili, Dept Quim Analit &amp; Quim Organ, Unitat Radioquim Ambiental &amp; Sanitaria URAIS, CAT, Carretera Nacl 340,Km 1094, Tarragona 43895, Spain.</t>
  </si>
  <si>
    <t>carme.aguilar@urv.cat</t>
  </si>
  <si>
    <t>Peñalver, Alejandra/F-2305-2016; Aguilar, Carme/K-8997-2014</t>
  </si>
  <si>
    <t>Borrull, Francesc/0000-0003-2718-9336; Aguilar, Carme/0000-0002-5913-2599</t>
  </si>
  <si>
    <t>10.1007/s11356-016-7783-x</t>
  </si>
  <si>
    <t>WOS:000392105700020</t>
  </si>
  <si>
    <t>Gattás, F; Espinosa, M; Babay, P; Pizarro, H; Cataldo, D</t>
  </si>
  <si>
    <t>Gattas, Florencia; Espinosa, Mariela; Babay, Paola; Pizarro, Haydee; Cataldo, Daniel</t>
  </si>
  <si>
    <t>Invasive species versus pollutants: Potential of Limnoperna fortunei to degrade glyphosate-based commercial formulations</t>
  </si>
  <si>
    <t>Glyphosate; Limnoperna fortunei; Degradation; Roundup Max (R); Glifosato Atanor (R); Freshwater</t>
  </si>
  <si>
    <t>FRESH-WATER; RISK-ASSESSMENT; SURFACE WATERS; AMINOMETHYLPHOSPHONIC ACID; MICROBIAL-DEGRADATION; LARVAL DEVELOPMENT; ROUNDUP MAX(R); IMPACT; TOXICITY; HERBICIDES</t>
  </si>
  <si>
    <t>The intensive use of glyphosate in industrial agriculture may lead to freshwater contamination, encouraging studies of its toxic effect on non-target aquatic organisms. Glyphosate-based commercial formulations contain adjuvants, making them even more toxic than the active ingredient (a.i.) itself. The golden mussel Limnoperna fortunei is a freshwater invasive species which has been found to increase glyphosate dissipation in water and to accelerate eutrophication. The aim of this study is to evaluate the capability of L. fortunei to reduce the concentration of glyphosate in two commercial formulations, Roundup Max (R) and Glifosato Atanor (R). Results were compared with the decay of the a.i. alone and in presence of mussels. Evasive response and toxicity tests were performed in a first set of trials to analyze the response of L. fortunei exposed to Roundup Max (R) and Glifosato Atanor (R). Subsequently, we conducted a 21-day degradation experiment in 2.6-L microcosms applying the following treatments: 6 mg L-1 of technical-grade glyphosate (G), Glifosato Atanor (R) (A), Roundup Max (R) (R), 20 mussels in dechlorinated tap water (M), and the combination of mussels and herbicide either in the technical-grade (MG) or formulated form (MA and MR) (all by triplicate). Samples were collected at days 0, 1, 7, 14 and 21. No significant differences in glyphosate decay were found between treatments with mussels (MG: 2.03 +/- 0.40 mg L-1; MA: 1.60 +/- 0.32 mg L-1; MR: 1.81 +/- 0.21 mg L-1), between glyphosate as a.i. and the commercial formulations, and between the commercial formulations, suggesting that the adjuvants did not affect the degrading potential of L. fortunei. In addition to the acceleration of glyphosate dissipation in water, there was an increase in the concentration of dissolved nutrients in water (N-NH4+ and P-PO43-) even higher than that caused by the filtering activity of the mussels, probably resulting from stress or from the degradation of glyphosate and adjuvants. We believe that a larger bioavailability of these nutrients due to glyphosate metabolization mediated by mussels would accelerate eutrophication processes in natural water bodies. The approach used here, where L. fortunei was exposed to two commercial formulations actually used in agricultural practices, sheds light on the potential impact of glyphosate decay on water bodies invaded by this species.</t>
  </si>
  <si>
    <t>[Gattas, Florencia; Pizarro, Haydee; Cataldo, Daniel] Univ Buenos Aires, Dept Ecol Genet &amp; Evoluc, Fac Ciencias Exactas &amp; Nat, C1428EGA, Buenos Aires, DF, Argentina; [Gattas, Florencia; Pizarro, Haydee; Cataldo, Daniel] Univ Buenos Aires, CONICET, Inst Ecol Genet &amp; Evoluc Buenos Aires IEGEBA, C1428EGA, Buenos Aires, DF, Argentina; [Espinosa, Mariela; Babay, Paola] Comis Nacl Energia Atom, Dept Quim Analit, Av Gen Paz 1499, RA-1650 San Martin, Buenos Aires, Argentina</t>
  </si>
  <si>
    <t>University of Buenos Aires; University of Buenos Aires; Consejo Nacional de Investigaciones Cientificas y Tecnicas (CONICET); Comision Nacional de Energia Atomica (CNEA)</t>
  </si>
  <si>
    <t>Cataldo, D (corresponding author), Pabellon II,Int Guiraldes 2160,Ciudad Univ,C1428E, Buenos Aires, DF, Argentina.</t>
  </si>
  <si>
    <t>daniel@ege.fcen.uba.ar</t>
  </si>
  <si>
    <t>CATALDO, DANIEL/0000-0002-3643-0809</t>
  </si>
  <si>
    <t>ANPCyT [PICT 2014 1156]; CONICET [PIP 11220130100399]; UBACyT [20020170100020BA]</t>
  </si>
  <si>
    <t>ANPCyT(ANPCyT); CONICET(Consejo Nacional de Investigaciones Cientificas y Tecnicas (CONICET)); UBACyT</t>
  </si>
  <si>
    <t>This work was supported by ANPCyT (PICT 2014 1156), CONICET (PIP 11220130100399) and UBACyT (20020170100020BA) (Argentina). The authors declare that they have no conflict of interest.</t>
  </si>
  <si>
    <t>10.1016/j.ecoenv.2020.110794</t>
  </si>
  <si>
    <t>MH7IM</t>
  </si>
  <si>
    <t>WOS:000546898000024</t>
  </si>
  <si>
    <t>Hongsawat, P; Thinjong, W; Chouychai, B; Punyapalakul, P; Prarat, P</t>
  </si>
  <si>
    <t>Hongsawat, Parnuch; Thinjong, Waleerat; Chouychai, Bopit; Punyapalakul, Patiparn; Prarat, Panida</t>
  </si>
  <si>
    <t>Microplastics in retail shellfish from a seafood market in eastern Thailand: Occurrence and risks to human food safety</t>
  </si>
  <si>
    <t>Microplastic; Shellfish; Seafood; Food safety; Thailand</t>
  </si>
  <si>
    <t>PERSISTENT ORGANIC POLLUTANTS; COMMERCIAL FISHES; CONTAMINATION; ZOOPLANKTON; INGESTION; SEA; IDENTIFICATION; PARTICLES; NORTHEAST; ABUNDANCE</t>
  </si>
  <si>
    <t>This study aimed to investigate the presence of microplastics in three economically essential shellfish species: green mussels, cockles and spotted babylon. The average abundance of microplastics ranged from 2.41 to 2.84 particles/g wet weight. The predominant shape was fiber, with colors ranging from black-grey to transparent. The size of the microplastics discovered was &lt;1.0 mm. Polystyrene and polyethylene were the most detected types in mussels and cockles, while linen was the predominant type in spotted babylon. The Thai population's estimated annual intake (EAI) of microplastics through shellfish consumption ranged from 20.23 to 1178.42 particles/person/year. The potential human health risks were evaluated using the polymer hazard index (PHI), which led to risk categories III-IV. These findings, along with others from the literature, indicate that shellfish consumption may pose risks to human health, depending on the species consumed and the origin of the specimens.</t>
  </si>
  <si>
    <t>[Hongsawat, Parnuch; Thinjong, Waleerat; Prarat, Panida] King Mongkuts Univ Technol North Bangkok, Fac Sci Energy &amp; Environm, Rayong Campus, Rayong 21120, Thailand; [Chouychai, Bopit] King Mongkuts Univ Technol North Bangkok, Fac Engn &amp; Technol, Rayong Campus, Rayong 21120, Thailand; [Punyapalakul, Patiparn] Chulalongkorn Univ, Fac Engn, Dept Environm Engn, Bangkok 10330, Thailand; [Punyapalakul, Patiparn] Chulalongkorn Univ, Ctr Excellence Hazardous Subst Management, Bangkok 10330, Thailand; [Punyapalakul, Patiparn] Chulalongkorn Univ, Res Unit Control Emerging Micropollutants Environm, Bangkok 10330, Thailand</t>
  </si>
  <si>
    <t>King Mongkuts University of Technology North Bangkok; King Mongkuts University of Technology North Bangkok; Chulalongkorn University; Chulalongkorn University; Chulalongkorn University</t>
  </si>
  <si>
    <t>Prarat, P (corresponding author), King Mongkuts Univ Technol North Bangkok, Fac Sci Energy &amp; Environm, Rayong Campus, Rayong 21120, Thailand.</t>
  </si>
  <si>
    <t>National Science, Research and Innovation Fund (NSRF); King Mongkut's University of Technology North Bangkok [KMUTNB-FF-65-29]</t>
  </si>
  <si>
    <t>National Science, Research and Innovation Fund (NSRF); King Mongkut's University of Technology North Bangkok</t>
  </si>
  <si>
    <t>This research was funded by the National Science, Research and Innovation Fund (NSRF) and King Mongkut's University of Technology North Bangkok with Contract no. KMUTNB-FF-65-29. We thank the Faculty of Science, Energy and Environment, King Mongkut's University of Technology North Bangkok (Rayong Campus) for the equipment.</t>
  </si>
  <si>
    <t>10.1016/j.marpolbul.2024.116228</t>
  </si>
  <si>
    <t>OI6R6</t>
  </si>
  <si>
    <t>WOS:001206686600001</t>
  </si>
  <si>
    <t>Carden, L; Lloret, J; Kidwell, SM</t>
  </si>
  <si>
    <t>Carden, Lilja; Lloret, Javier; Kidwell, Susan M.</t>
  </si>
  <si>
    <t>Dead molluscan shells from multiple trophic groups as archives of nitrogen isotopic evidence of wastewater gradients in estuaries</t>
  </si>
  <si>
    <t>Eutrophication; Mollusks; Nitrogen isotopes; Wastewater; Estuaries</t>
  </si>
  <si>
    <t>COASTAL MARINE ECOSYSTEMS; GREAT-BARRIER-REEF; WAQUOIT BAY; GEUKENSIA-DEMISSA; NUTRIENT ENRICHMENT; STABLE-ISOTOPES; RIBBED MUSSEL; GROWTH-RATE; FOOD WEBS; EUTROPHICATION</t>
  </si>
  <si>
    <t>Increased coastal urbanization worldwide has resulted in increased nitrogen inputs to ecosystems, leading to eutrophication and other negative effects. We assessed 615N in the dead-collected shells of three molluscan species in two estuaries in order to evaluate their ability to identify known gradients in wastewater nitrogen input, namely from private septic systems feeding directly into Waquoit Bay and from a groundwater plume reflecting wastewater injection at a municipal treatment plant in West Falmouth Harbor, Massachusetts, USA. Shells of a suspension-feeder (Geukensia demissa), a micro-algal grazer (Littorina littorea), and an omnivore (Nassarius obsoletus) were collected from lower intertidal sediments near the taxon's life habitat. We found that 615N in dead-collected shells decreased significantly along the gradients of wastewater pollution in both estu-aries, with similar results across all three trophic groups. These positive results demonstrate the potential of dead-shell assemblages for detecting spatial gradients of wastewater pollution.</t>
  </si>
  <si>
    <t>[Carden, Lilja; Kidwell, Susan M.] Univ Chicago, Dept Geophys Sci, Chicago, IL USA; [Lloret, Javier] Marine Biol Lab, Ecosyst Ctr, Woods Hole, MA USA; [Carden, Lilja] Univ Cincinnati, Dept Geosci, Cincinnati, OH USA; [Carden, Lilja] 3407 Ruther Ave, Cincinnati, OH 45220 USA</t>
  </si>
  <si>
    <t>University of Chicago; Marine Biological Laboratory - Woods Hole; University System of Ohio; University of Cincinnati</t>
  </si>
  <si>
    <t>Carden, L (corresponding author), 3407 Ruther Ave, Cincinnati, OH 45220 USA.</t>
  </si>
  <si>
    <t>cardenla@mail.uc.edu</t>
  </si>
  <si>
    <t>; Lloret, Javier/C-1994-2016</t>
  </si>
  <si>
    <t>, Lilja/0009-0005-0048-9488; Lloret, Javier/0000-0003-3916-884X</t>
  </si>
  <si>
    <t>Paleontological Society</t>
  </si>
  <si>
    <t>Acknowledgments We thank two anonymous reviewers for their helpful suggestions, and faculty and staff at the University of Chicago and the Marine Bio-logical Laboratory for support and feedback, especially Marshall Otter, Gerard Olack, Broc Kokesh, and David Archer. Lilja Carden acknowl-edges the Paleontological Society for research funds, and thanks friends and family for all their love and support through this project and over the years.</t>
  </si>
  <si>
    <t>10.1016/j.marpolbul.2023.114752</t>
  </si>
  <si>
    <t>C5RE9</t>
  </si>
  <si>
    <t>WOS:000962477900001</t>
  </si>
  <si>
    <t>Fry, B; Rogers, K; Barry, B; Barr, N; Dudley, B</t>
  </si>
  <si>
    <t>Fry, B.; Rogers, K.; Barry, B.; Barr, N.; Dudley, B.</t>
  </si>
  <si>
    <t>Eutrophication indicators in the Hutt River Estuary, New Zealand</t>
  </si>
  <si>
    <t>Ulva; nitrogen isotopes; nutrients; carbon isotopes; urban estuary; consumers; food webs</t>
  </si>
  <si>
    <t>ALGAL; WELLINGTON; SIGNATURES; NUTRIENTS; POLLUTION; BLOOMS; COAST</t>
  </si>
  <si>
    <t>The Hutt River estuary near Wellington New Zealand has a luxuriant intertidal band of green macroalgae growing throughout the year. Investigations of water chemistry suggested that the upstream freshwater river was likely P-limited and passed on watershed nitrogen nutrients to the estuary. P fertilisation of the estuary from marine waters led to crossing N and P nutrient loadings that support the observed macroalgal proliferation. Chemical analyses of nutrients, macroalgae, and barnacle and mussel consumers were used to understand further the mix of factors controlling eutrophication and food webs in this urban estuary. delta N-15 and delta C-13 were respective helpful indicators of watershed N inputs and C cycling between benthic and pelagic parts of the food web.</t>
  </si>
  <si>
    <t>[Fry, B.] Louisiana State Univ, Dept Oceanog &amp; Coastal Sci, Baton Rouge, LA 70803 USA; [Rogers, K.; Barry, B.] GNS Sci, Natl Isotope Ctr, Lower Hutt, New Zealand; [Barr, N.] Aquaculture Res Ctr, Natl Inst Water &amp; Atmospher Res, Wellington, New Zealand; [Dudley, B.] Univ Hawaii, Dept Biol, Hilo, HI 96720 USA</t>
  </si>
  <si>
    <t>Louisiana State University System; Louisiana State University; GNS Science - New Zealand; National Institute of Water &amp; Atmospheric Research (NIWA) - New Zealand; University of Hawaii System; University Hawaii Hilo</t>
  </si>
  <si>
    <t>Fry, B (corresponding author), Louisiana State Univ, Dept Oceanog &amp; Coastal Sci, Baton Rouge, LA 70803 USA.</t>
  </si>
  <si>
    <t>bfry@lsu.edu</t>
  </si>
  <si>
    <t>Rogers, Karyne/ABF-9317-2021</t>
  </si>
  <si>
    <t>Rogers, Karyne/0000-0001-8464-4337; Dudley, Bruce/0000-0002-8937-4310</t>
  </si>
  <si>
    <t>NOAA (USA) [NA06NOS4780141]</t>
  </si>
  <si>
    <t>NOAA (USA)(National Oceanic Atmospheric Admin (NOAA) - USA)</t>
  </si>
  <si>
    <t>This research was conducted while the first author was on sabbatical leave from Louisiana State University, Baton Rouge, Louisiana, USA. Grants from the NOAA Coastal Ocean Program (USA) grant NA06NOS4780141 partially supported B. Fry. We thank Bruce Gainsford for drafting Fig. 1, and comments from two anonymous reviewers improved the manuscript.</t>
  </si>
  <si>
    <t>10.1080/00288330.2011.578652</t>
  </si>
  <si>
    <t>880RM</t>
  </si>
  <si>
    <t>WOS:000299424600008</t>
  </si>
  <si>
    <t>Improvements in calibration procedures for the quantitative determination of trace elements in carbonate material (mussel shells) by laser ablation ICP-MS</t>
  </si>
  <si>
    <t>PLASMA-MASS-SPECTROMETRY; METAL CONCENTRATIONS; MYTILUS-EDULIS; VARIABILITY; POLLUTION; CADMIUM</t>
  </si>
  <si>
    <t>A better repeatability and accuracy in the quantitative determination of trace elements in mussel shells or carbonate-based materials by LA-ICP-MS was achieved by using a series of multielement calibration standards prepared by co-precipitation of twelve elements into a CaCO3 matrix in order to improve the homogeneity of the resulting powder samples. Pressed powder discs of good mechanical stability could be obtained at a pressure of 50 MPa, without the addition of a binder. An UV laser (modified Nd:YAG, 266 nm) was used in the Q-switched mode at a repetition rate of 10 Hz and an energy level of 3.5 mJ. Correlation coefficients (R) for the linear calibration graphs (concentration range: 1.5-400 mu g/g) for Cr, Mn, Co, Cu, Zn, As, Cd, Sn, Ba, and Pb are generally better than 0.997. The detection limits for all elements investigated are in the sub-mu g/g range. Incorporation of elements into the matrix by co-precipitation has shown as a superior method for producing calibration standards than the simple mixture of the analytes (in carbonate or oxide form) with the matrix (CaCO3) or addition of standard solutions to a carbonate powder base. Two examples of the quantitative determination of toxic elements in mussel shells will be presented.</t>
  </si>
  <si>
    <t>Vale do Itajai Univ, Ctr Technol Earth &amp; Ocean Sci, CTTMar, BR-88302202 Itajai, Santa Catarina, Brazil; Pontificia Univ Catolica Rio de Janeiro, Dept Chem, BR-22453900 Rio De Janeiro, Brazil</t>
  </si>
  <si>
    <t>Universidade do Vale do Itajai; Pontificia Universidade Catolica do Rio de Janeiro</t>
  </si>
  <si>
    <t>Bellotto, VR (corresponding author), Vale do Itajai Univ, Ctr Technol Earth &amp; Ocean Sci, CTTMar, POB 360, BR-88302202 Itajai, Santa Catarina, Brazil.</t>
  </si>
  <si>
    <t>10.1007/s002160000421</t>
  </si>
  <si>
    <t>339FZ</t>
  </si>
  <si>
    <t>WOS:000088468100005</t>
  </si>
  <si>
    <t>Sfriso, A; Facca, C; Raccanelli, S</t>
  </si>
  <si>
    <t>Sfriso, Adriano; Facca, Chiara; Raccanelli, Stefano</t>
  </si>
  <si>
    <t>PCDD/F and dioxin-like PCB bioaccumulation by Manila clam from polluted areas of Venice lagoon (Italy)</t>
  </si>
  <si>
    <t>PCDD/Fs; DLPCBs; Bioaccumulation pathway; Tapes philippinarum; Venice lagoon</t>
  </si>
  <si>
    <t>OF-VENICE; ORGANIC POLLUTANTS; HISTORICAL TRENDS; SURFACE SEDIMENTS; CHANGING STATE; HEAVY-METALS; PART; CONTAMINATION; ENVIRONMENT; SITES</t>
  </si>
  <si>
    <t>POP bioaccumulation pathways in the clam Tapes philippinarum were examined for two years from juveniles to adult size. Two polluted sites, one with sandy sediment, the other muddy were compared with a reference site characterized by low contamination levels. juvenile clams coming from a hatchery were reared both on the sediment and in nets suspended at 30 cm from the bottom. POP changes in clam tissue were related to the concentrations recorded in sediments and in the particulate matter during the entire fattening period. Results provided interesting data on the relationships between environmental contamination and bioaccumulation. Contrary to studies on the decontamination times of the clams collected in polluted areas, this work investigates the preferential clam bioaccumulation pathways during growth under different environmental conditions. In general POP bioaccumulation resulted to be correlated to concentrations in SPM rather than in sediments and was higher in S-clams rather than in B-clams. (C) 2013 Elsevier Ltd. All rights reserved.</t>
  </si>
  <si>
    <t>[Sfriso, Adriano; Facca, Chiara] Univ Ca Foscari Venice, Dept Environm Sci Informat &amp; Stat, I-30123 Venice, Italy</t>
  </si>
  <si>
    <t>Sfriso, A (corresponding author), Univ Ca Foscari Venice, Dept Environm Sci Informat &amp; Stat, Santa Marta 2137, I-30123 Venice, Italy.</t>
  </si>
  <si>
    <t>sfrisoad@unive.it</t>
  </si>
  <si>
    <t>Facca, Chiara/D-4368-2013</t>
  </si>
  <si>
    <t>Facca, Chiara/0000-0001-5185-9024</t>
  </si>
  <si>
    <t>Italian Ministry of Agricultural and Forestry Policies (MIPAF)</t>
  </si>
  <si>
    <t>The authors thank the Italian Ministry of Agricultural and Forestry Policies (MIPAF) that funded the present project in the framework of the VI Triennial Plan for Fish and Aquaculture in Marine and Brackish Waters. The authors are grateful to Dr. Aurelio Zentilin for the technical assistance and to Dr. Orietta Zucchetta for the English editing.</t>
  </si>
  <si>
    <t>10.1016/j.envpol.2013.08.026</t>
  </si>
  <si>
    <t>285TZ</t>
  </si>
  <si>
    <t>WOS:000329419200035</t>
  </si>
  <si>
    <t>Douhri, H; Sayah, F</t>
  </si>
  <si>
    <t>Douhri, Hikmat; Sayah, Fouad</t>
  </si>
  <si>
    <t>The use of enzymatic biomarkers in two marine invertebrates Nereis diversicolor and Patella vulgata for the biomonitoring of Tangier's bay (Morocco)</t>
  </si>
  <si>
    <t>Nereis diversicolor; Patella vulgata; Biomonitoring; Catalase; Esterase; alpha-amylase; Acetylcholinesterase</t>
  </si>
  <si>
    <t>FRESH-WATER MUSSEL; CARBOHYDRATE-METABOLISM; MYTILUS-GALLOPROVINCIALIS; LAMELLIDENS-MARGINALIS; RUDITAPES-DECUSSATUS; ALPHA-AMYLASES; ACETYLCHOLINESTERASE; ESTERASES; EXPOSURE; CONTAMINATION</t>
  </si>
  <si>
    <t>The fast increase of anthropogenic activities has led to a continual influx of xenobiotics into the marine ecosystems. Quantifying biochemical parameters in marine invertebrates makes possible the evaluation of pollutants' damaging effect. In fact, to examine the health state of Tangier's bay, we focused on the study of catalase, esterase, acetylcholinesterase and alpha-amylase activities as biomarkers in two species of marine invertebrates Nereis diversicolor (Polychaeta, Nereidae) and Patella vulgata (Mollusca, Prosobranchia), collected from different sites along the Mediterranean coastline of Tangier. Our results showed that these biochemical parameters are disturbed following the level of decreasing environmental quality, and for this reason they are promising in the biomonitoring studies of the Moroccan marine environment. (C) 2008 Elsevier Inc. All rights reserved.</t>
  </si>
  <si>
    <t>[Douhri, Hikmat; Sayah, Fouad] Univ Abdelmalek Essaadi, Fac Sci &amp; Tech, Lab Biol Appl &amp; Sci Environm, Ctr Etudes Environm Mediterraneenes, Tangier 9000, Morocco</t>
  </si>
  <si>
    <t>Abdelmalek Essaadi University of Tetouan</t>
  </si>
  <si>
    <t>Douhri, H (corresponding author), Univ Abdelmalek Essaadi, Fac Sci, Dept Biol, BP 2121, Tetouan, Morocco.</t>
  </si>
  <si>
    <t>hdouhri@gmail.com</t>
  </si>
  <si>
    <t>DOUHRI, Hikmat/AAT-3128-2020</t>
  </si>
  <si>
    <t>DOUHRI, Hikmat/0000-0002-7658-7843</t>
  </si>
  <si>
    <t>le Pole d'Excellence Regional - AUF</t>
  </si>
  <si>
    <t>This work was supported by le Pole d'Excellence Regional - AUF project led by Prof. Dr. Fouad Sayah. During this investigation, studies involving humans or experimental animals were conducted in accordance with national and institutional guidelines for the protection of human subjects and animal welfare.</t>
  </si>
  <si>
    <t>10.1016/j.ecoenv.2008.07.016</t>
  </si>
  <si>
    <t>372SC</t>
  </si>
  <si>
    <t>WOS:000260921000017</t>
  </si>
  <si>
    <t>Baag, S; Mahapatra, S; Mandal, S</t>
  </si>
  <si>
    <t>Baag, Sritama; Mahapatra, Sayantan; Mandal, Sumit</t>
  </si>
  <si>
    <t>An Integrated and Multibiomarker approach to delineate oxidative stress status of Bellamya bengalensis under the interactions of elevated temperature and chlorpyrifos contamination</t>
  </si>
  <si>
    <t>Thermal stress; Pesticide; Gastropod; Oxidative stress; Genotoxicity</t>
  </si>
  <si>
    <t>SHRIMP LITOPENAEUS-VANNAMEI; MYTILUS-GALLOPROVINCIALIS; THERMAL-STRESS; DNA-DAMAGE; OCEAN ACIDIFICATION; BIOMARKER RESPONSE; MARINE MUSSELS; CLIMATE-CHANGE; COMET ASSAY; EXPOSURE</t>
  </si>
  <si>
    <t>Synergistic effects of warming on bioconcentration and receptiveness of pollutants are still poorly unravelled in conjunction with cellular and molecular responses. The present study addressed the impact of an environmental relevant dose of chlorpyrifos (organophosphate pesticide), under control (25 degrees C) and elevated levels of temperature (30 degrees C, 35 degrees C) in Bellamya bengalensis, a freshwater gastropod for 60 days across various endpoints. Multiple levels of biomarkers were measured: growth conditions (organ to flesh weight ratio, condition index), oxidative stress status (SOD, CAT, GST, LPO) and DNA damage (Comet assay-3rd, 30th and 60th days only) after acute (24, 48 and 72 h) and long-term exposures (10th, 20th, 30th, 40th, 50th and 60th days). An integrated biomarker response (IBR) strategy was adapted to amalgamate results generated from various biomarkers to assess organism's vulnerability to pesticide pollution and how it may shift with warming climate. Significant changes were observed in growth conditions under longer exposure periods. Acute as well as long-term exposures enhanced the antioxidant and detoxification enzyme activity. DNA damage was extensive under longer exposure to stress howbeit was also significantly escalated under acute severe warming. Antioxidant and detoxification mechanisms fell short in counteracting cellular level damage. The IBR results indicated long-term acclimation of B. bengalensis to elevated temperatures and pesticide contamination lead to an improved tolerance level howbeit, acute stress was more detrimental. This study provided evidence for the efficiency of employing an integrated biomarker approach for B. bengalensis in future bio-monitoring studies. (C) 2020 Elsevier Ltd. All rights reserved.</t>
  </si>
  <si>
    <t>[Baag, Sritama; Mahapatra, Sayantan; Mandal, Sumit] Presidency Univ, Dept Life Sci, Marine Ecol Lab, 86-1 Coll St, Kolkata 700073, India</t>
  </si>
  <si>
    <t>Mandal, Sumit/0000-0002-2147-9466; MAHAPATRA, SAYANTAN/0009-0007-5858-7894</t>
  </si>
  <si>
    <t>Department of Higher Education, Science &amp; Technology and Biotechnology, Government ofWest Bengal (WBHESTB) [282(Sanc.)/ST/P/ST/5G-02/2017]; SERB DST [EEQ/2019/000252]; FRPDF grant of Presidency University</t>
  </si>
  <si>
    <t>Department of Higher Education, Science &amp; Technology and Biotechnology, Government ofWest Bengal (WBHESTB); SERB DST(Department of Science &amp; Technology (India)Science Engineering Research Board (SERB), India); FRPDF grant of Presidency University</t>
  </si>
  <si>
    <t>This work is supported by grants awarded to S.M. from Department of Higher Education, Science &amp; Technology and Biotechnology, Government ofWest Bengal (WBHESTB) (Memo No. 282(Sanc.)/ST/P/S&amp;T/5G-02/2017 dated 27.03.2018), SERB DST (EEQ/2019/000252 dated 14.11.2019) and FRPDF grant of Presidency University. The authors thank anonymous reviewers for their constructive comments. Data in this paper is part of a doctoral thesis of S.B. to be submitted in partial fulfilment of the requirements of a degree of Doctor of Philosophy from Presidency University, Kolkata. The authors are grateful to Dr. Andrew M. Lohrer for his valuable input in revising the manuscript. The authors would like to acknowledge Prof. Prabir Kumar Mukhopadhyay and Dr. Souryadeep Mukherjee for their help. Thanks are also due to Rubia Mondal, Priyankar Pal, Nirajan Ghosal for their help in different stages during the present work. The authors would also like to express their appreciation to all the members of Marine Ecology Laboratory for excellent team work.</t>
  </si>
  <si>
    <t>10.1016/j.chemosphere.2020.128512</t>
  </si>
  <si>
    <t>PK6RQ</t>
  </si>
  <si>
    <t>WOS:000602569900026</t>
  </si>
  <si>
    <t>André, C; Gagné, F</t>
  </si>
  <si>
    <t>Andre, C.; Gagne, F.</t>
  </si>
  <si>
    <t>The comparative toxicity of rainfall overflows and a municipal effluent plume in Elliptio complanata using a novel qPCR array approach</t>
  </si>
  <si>
    <t>Elliptio complanata; Vitellogenin; qPCR array; Adverse outcome pathways; Municipal effluent; Rainfall overflows</t>
  </si>
  <si>
    <t>FRESH-WATER MUSSELS; VITELLOGENIN GENE-EXPRESSION; EXPOSURE; FEMINIZATION; RESPONSES; CELLS</t>
  </si>
  <si>
    <t>Municipal effluents have the potential to disrupt the endocrine system involved in reproduction in aquatic organisms. The purpose of this study was to develop a novel a quantitative polymerase chain reaction (qPCR) array for the freshwater mussel Elliptio complanata to compare the toxic properties of municipal effluents and rainfall overflows. Mussels were caged for 3 months at upstream and downstream sites of a municipal effluent discharge point and 2 rainfall overflow sites in the Saint-Lawrence River. The data revealed that exposure to municipal effluents and overflow sites lead to increased expression of vitellogenin (VTG) in male mussels, altered sexual differentiation in females, gene expression involved in oxidative stress (superoxide dismutase, glutathione S-transferase) and DNA damage (chromosome mismatch and repair of covalently-bound DNA adducts). Mussels at the downstream site accumulated also large amounts of heterotrophic bacteria but not at the overflow sites. However, mussels at the overflow sites had decreased expression in ABC transporter gene expression. Scaling analysis revealed that the following gene expression were related to effects at higher level of biological organization such as total RNA levels, gonad mass and gonad somatic index: DNA repair of covalent DNA adducts, mistmach chromosomal recombination during meiosis and undifferentiated cells in gonads. In conclusion, exposure to rainfall overflow sites have similar effects to municipal effluents based on VTG and oxidative stress responses at the transcriptomic levels only but the effects at the DNA integrity and sexual differentiation were involved in adverse outcome pathways of urban pollution in Elliptio complanata mussels.</t>
  </si>
  <si>
    <t>[Andre, C.; Gagne, F.] Environm &amp; Climate Change Canada, Aquat Contaminants Res Div, 105 McGill, Montreal, PQ, Canada</t>
  </si>
  <si>
    <t>Gagné, F (corresponding author), Environm &amp; Climate Change Canada, Aquat Contaminants Res Div, 105 McGill, Montreal, PQ, Canada.</t>
  </si>
  <si>
    <t>francois.gagne@canada.ca</t>
  </si>
  <si>
    <t>Saint-Lawrence Action Plan of Environment and Climate Change Canada</t>
  </si>
  <si>
    <t>The authors recognized the assistance of Joanna Kowalcik in the preparation of tissues for biomarker analyses. This project was funded by the Saint-Lawrence Action Plan of Environment and Climate Change Canada.</t>
  </si>
  <si>
    <t>10.1016/j.cbpc.2020.108760</t>
  </si>
  <si>
    <t>LG7IO</t>
  </si>
  <si>
    <t>WOS:000528270100009</t>
  </si>
  <si>
    <t>Song, HM; Zhu, LJ; Zhang, WH; Wang, G; Zeng, ZX; Zhu, BK</t>
  </si>
  <si>
    <t>Song, Hai-Ming; Zhu, Li-Jing; Zhang, Wen-Hui; Wang, Gang; Zeng, Zhi-Xiang; Zhu, Bai-Kang</t>
  </si>
  <si>
    <t>Antifouling PVDF membranes fabricated via progressive potassium ion-π assembly of dopamine</t>
  </si>
  <si>
    <t>Cation-p progressive assembly; Dopamine; Antifouling; Rough membrane; Spin-spin relaxation time; Hydration layer</t>
  </si>
  <si>
    <t>ULTRAFILTRATION MEMBRANE; ACETYLCHOLINE-BINDING; SURFACE MODIFICATION; MAGNETIC-RELAXATION; POLYDOPAMINE; PERMEABILITY; SEPARATION; MOLECULES; CHEMISTRY; PROPERTY</t>
  </si>
  <si>
    <t>Mussel-inspired surface modification draws a lot of attention for improving membrane antifouling property. However, it remains a serious challenge to fabricate a strong hydrophilic layer on the rough surface, preventing the pollutants to adhere to them during the filtration process. Here, a progressive cation-pi assembly of poly dopamine (PDA) was introduced to boost the antifouling property of the rough polyvinylidene fluoride (PVDF) membrane, which was fabricated by the non-solvent induced phase separation (NIPS) method using alcohol as the non-solvent. Afterward, dopamine and 3-sulfopropyl methacrylate potassium salt (SMPS) were co-deposited on the rough membranes via K+-pi interactions, leading to &gt; 20% increment in graft yield compared with DA layer at the same deposition time. In addition, spin-spin relaxation time (T-2) of water of DS modified membrane characterized by relaxation NMR decreased 484.9 ms, revealing strong hydration capability on the membrane surface and excellent water hydrophilicity. Benefited by the hydration capability, improved antifouling performance was obtained against natural organic polymers and crude oil, and good oil-in-water emulsions separation property without pressure. The K+-pi interactions assistance dopamine assembly indicated a convenient technique for improving the antifouling performance of the rough membrane with a thick and strong hydrophilic layer.</t>
  </si>
  <si>
    <t>[Song, Hai-Ming; Zhu, Li-Jing; Zhang, Wen-Hui; Wang, Gang; Zeng, Zhi-Xiang] Chinese Acad Sci, Ningbo Inst Mat Technol &amp; Engn, Key Lab Marine Mat &amp; Related Technol, Zhejiang Key Lab Marine Mat &amp; Protect Technol, Ningbo 315201, Peoples R China; [Song, Hai-Ming] Univ Chinese Acad Sci, Beijing 100049, Peoples R China; [Zhu, Bai-Kang] Zhejiang Ocean Univ Zhoushan, Zhejiang 316022, Peoples R China</t>
  </si>
  <si>
    <t>Chinese Academy of Sciences; Ningbo Institute of Materials Technology and Engineering, CAS; Chinese Academy of Sciences; University of Chinese Academy of Sciences, CAS; Zhejiang Ocean University</t>
  </si>
  <si>
    <t>Zhu, LJ; Zeng, ZX (corresponding author), Chinese Acad Sci, Ningbo Inst Mat Technol &amp; Engn, Key Lab Marine Mat &amp; Related Technol, Zhejiang Key Lab Marine Mat &amp; Protect Technol, Ningbo 315201, Peoples R China.</t>
  </si>
  <si>
    <t>zhulijing@nimte.ac.cn; zengzhx@nimte.ac.cn</t>
  </si>
  <si>
    <t>Li, Lei/JPE-6543-2023; Wang, Gang/HSA-7451-2023</t>
  </si>
  <si>
    <t>Zhejiang Provincial Natural Science Foundation of China [LY21E030014]; National Natural Science Foundation of China [U1809214]</t>
  </si>
  <si>
    <t>Zhejiang Provincial Natural Science Foundation of China(Natural Science Foundation of Zhejiang Province); National Natural Science Foundation of China(National Natural Science Foundation of China (NSFC))</t>
  </si>
  <si>
    <t>Acknowledgments This work is financed supported by the Zhejiang Provincial Natural Science Foundation of China (LY21E030014) and the National Natural Science Foundation of China (No. U1809214) .</t>
  </si>
  <si>
    <t>10.1016/j.apsusc.2022.152973</t>
  </si>
  <si>
    <t>0X9IM</t>
  </si>
  <si>
    <t>WOS:000790013000003</t>
  </si>
  <si>
    <t>Marigómez, I; Múgica, M; Izagirre, U; Sokolova, IM</t>
  </si>
  <si>
    <t>Marigomez, Ionan; Mugica, Maria; Izagirre, Urtzi; Sokolova, Inna M.</t>
  </si>
  <si>
    <t>Chronic environmental stress enhances tolerance to seasonal gradual warming in marine mussels</t>
  </si>
  <si>
    <t>CRASSOSTREA-VIRGINICA GMELIN; TISSUE-LEVEL BIOMARKERS; MYTILUS-GALLOPROVINCIALIS; DIGESTIVE CELLS; QUANTITATIVE ALTERATIONS; ELEVATED-TEMPERATURE; MEMBRANE STABILITY; LITTORINA-LITTOREA; BASQUE ESTUARIES; CADMIUM EXPOSURE</t>
  </si>
  <si>
    <t>In global climate change scenarios, seawater warming acts in concert with multiple stress sources, which may enhance the susceptibility of marine biota to thermal stress. Here, the responsiveness to seasonal gradual warming was investigated in temperate mussels from a chronically stressed population in comparison with a healthy one. Stressed and healthy mussels were subjected to gradual temperature elevation for 8 days (1 degrees C per day; fall: 16- 24 degrees C, winter: 12-20 degrees C, summer: 20-28 degrees C) and kept at elevated temperature for 3 weeks. Healthy mussels experienced thermal stress and entered the time-limited survival period in the fall, became acclimated in winter and exhibited sublethal damage in summer. In stressed mussels, thermal stress and subsequent health deterioration were elicited in the fall but no transition into the critical period of time-limited survival was observed. Stressed mussels did not become acclimated to 20 degrees C in winter, when they experienced low-to-moderate thermal stress, and did not experience sublethal damage at 28 degrees C in summer, showing instead signs of metabolic rate depression. Overall, although the thermal threshold was lowered in chronically stressed mussels, they exhibited enhanced tolerance to seasonal gradual warming, especially in summer. These results challenge current assumptions on the susceptibility of marine biota to the interactive effects of seawater warming and pollution.</t>
  </si>
  <si>
    <t>[Marigomez, Ionan; Mugica, Maria; Izagirre, Urtzi] PiE UPV EHU, Res Ctr Expt Marine Biol &amp; Biotechnol, CBET Res Grp, Plentzia Bizkaia, Basque Country, Spain; [Sokolova, Inna M.] Univ Rostock, Marine Biol, Inst Biosci, Rostock, Germany</t>
  </si>
  <si>
    <t>University of Basque Country; University of Rostock</t>
  </si>
  <si>
    <t>Marigómez, I (corresponding author), PiE UPV EHU, Res Ctr Expt Marine Biol &amp; Biotechnol, CBET Res Grp, Plentzia Bizkaia, Basque Country, Spain.</t>
  </si>
  <si>
    <t>Izagirre, Urtzi/C-3848-2017; MARIGOMEZ ALLENDE, Ionan/C-3909-2017; Sokolova, Inna/B-4955-2009</t>
  </si>
  <si>
    <t>Izagirre, Urtzi/0000-0002-3477-4974; MARIGOMEZ ALLENDE, Ionan/0000-0001-6274-541X; Sokolova, Inna/0000-0002-2068-4302</t>
  </si>
  <si>
    <t>ETORTEK research strategic actions K-Egokitzen I &amp; II (Basque Government); MINECO [CTM2012-40203-C02-01]; Consolidated Research Group in Cell Biology in Environmental Toxicology [GIC07/26-IT-393-07]; UPV/EHU Research &amp; Formation Unit in Ecosystem Health Protection [UFI11/37]; MINECO (DIAGNOseas-BMW)</t>
  </si>
  <si>
    <t>ETORTEK research strategic actions K-Egokitzen I &amp; II (Basque Government)(Basque Government); MINECO(Spanish Government); Consolidated Research Group in Cell Biology in Environmental Toxicology; UPV/EHU Research &amp; Formation Unit in Ecosystem Health Protection; MINECO (DIAGNOseas-BMW)</t>
  </si>
  <si>
    <t>This work was supported by funds from ETORTEK research strategic actions K-Egokitzen I &amp; II (Basque Government 2007-2011), by MINECO (CTM2012-40203-C02-01; DIAGNOseas-BMW), grants to the Consolidated Research Group in Cell Biology in Environmental Toxicology (GIC07/26-IT-393-07) and the UPV/EHU Research &amp; Formation Unit in Ecosystem Health Protection (UFI11/37).</t>
  </si>
  <si>
    <t>MAR 23</t>
  </si>
  <si>
    <t>e0174359</t>
  </si>
  <si>
    <t>10.1371/journal.pone.0174359</t>
  </si>
  <si>
    <t>ER8VS</t>
  </si>
  <si>
    <t>WOS:000399102200086</t>
  </si>
  <si>
    <t>Sen Gupta, R; Islam, SS; Bose, S</t>
  </si>
  <si>
    <t>Sen Gupta, Ria; Islam, Sk Safikul; Bose, Suryasarathi</t>
  </si>
  <si>
    <t>Closed-loop circularity in water remediating membranes enabled by 'exchangeable-bonds,' covalent organic framework, and sequential interpenetrating polymeric networks</t>
  </si>
  <si>
    <t>Closed -loop circularity; Bio-inspired membrane; Covalent organic framework; Interpenetrating polymeric network; Antifouling; Non-cytotoxic</t>
  </si>
  <si>
    <t>GRAPHENE OXIDE; ANTIBACTERIAL; POLYDOPAMINE; CRYSTALLINE; SEPARATION; DOPAMINE; HYDROGEL; ALGINATE; COFS</t>
  </si>
  <si>
    <t>Most commercial membranes are characterized by linear lifecycles, leading to landfill disposal, exacerbating microplastic pollution, and undermining membrane sustainability. A scalable approach was devised to create a closed -loop cycle for fouled membranes. This involved introducing 'exchangeable bonds' through covalent conjugation of a robust covalent organic framework (COF, here a Benzidine-based COF) and a mussel -inspired sequential interpenetrating polymeric network (IPN), achieved via salt -mediated Schiff -base condensation. These membranes targeted stringent water contaminants, with the COF nanoparticles characterized by angstromsized pores (15 &amp; Aring;), facilitating pore size reduction and unique morphologies. They exhibited a pure water flux of approximately 175 LMH at 100 psi (7 bar) transmembrane pressure, with improved selective transport through size and pore modulation. The functionalized membranes underwent thorough spectroscopic and microscopic characterization, displaying over 95 % rejection of monovalent and 98 % rejection of divalent salts for nearly 14 days, alongside significant chlorine tolerance. They also demonstrated over 97 % rejection of common dye foulants. Covalent attachment of the nanomaterial (B-COF) followed by in -situ polymerization drove their efficient rejection performance. Retaining recyclability while maintaining separation performance enhances their green and sustainable applications. Mechanically durable, support -free, resilient, and cost-effective, these bioinspired membranes have the potential to drive enhanced domestic water decontamination, marking a significant advancement in membrane technology.</t>
  </si>
  <si>
    <t>[Sen Gupta, Ria; Islam, Sk Safikul; Bose, Suryasarathi] Indian Inst Sci, Dept Mat Engn, Bengaluru 560012, India</t>
  </si>
  <si>
    <t>Bose, S (corresponding author), Indian Inst Sci, Dept Mat Engn, Bengaluru 560012, India.</t>
  </si>
  <si>
    <t>riasengupta92@gmail.com; safikul4mchem@gmail.com; sbose@iisc.ac.in</t>
  </si>
  <si>
    <t>Islam, SkSafikul/LFT-7187-2024</t>
  </si>
  <si>
    <t>DST/SERB (Swarnajayanti fellowship); MHRD [PM/MHRD-20- 17011.03]; National Postdoctoral Fellowship [PDF/2021/000629]</t>
  </si>
  <si>
    <t>DST/SERB (Swarnajayanti fellowship); MHRD; National Postdoctoral Fellowship</t>
  </si>
  <si>
    <t>The authors (SB) would like to acknowledge DST/SERB (Swarnajayanti fellowship) for funding, RS would like to acknowledge MHRD for Prime Minister's Research Fellowship (PMRF) (PM/MHRD-20- 17011.03) . The authors would like to express their heartfelt gratitude towards CENSE, IPC, and AFMM (IISc Bangalore) for characterization support and Biotech Testing Services, Mumbai for helping with biological studies. SSI thanks for the funding from the National Postdoctoral Fellowship (PDF/2021/000629) .</t>
  </si>
  <si>
    <t>10.1016/j.cej.2024.150909</t>
  </si>
  <si>
    <t>QN0L7</t>
  </si>
  <si>
    <t>WOS:001221433000001</t>
  </si>
  <si>
    <t>Georgieva, A; Yakimov, L; Kalchev, K; Tsvetanova, E; Chipev, N; Alexandrova, A</t>
  </si>
  <si>
    <t>Georgieva, A.; Yakimov, L.; Kalchev, K.; Tsvetanova, E.; Chipev, N.; Alexandrova, A.</t>
  </si>
  <si>
    <t>VARIATIONS OF GLUTATHIONE LEVEL AND GLUTATHIONE RELATED ENZYMES ACTIVITIES IN Mytilus galloprovincialis LAM. FROM THE BULGARIAN BLACK SEA COASTAL REGION</t>
  </si>
  <si>
    <t>glutathione; glutathione related enzymes; Mytilus galloprovincialis Lam.; Black Sea</t>
  </si>
  <si>
    <t>OXIDATIVE-STRESS; METAL POLLUTION; HEAVY-METALS; AREAS; BIOMARKERS; SEDIMENTS; TISSUES; COMPLEX</t>
  </si>
  <si>
    <t>Glutathione and glutathione related enzymes play an important role in oxidative stress (OS) regulation in bivalves. Detoxification of xenobiotic compounds entering the organism is attributed to glutathione-S-transferase (GST) which catalyses the conjugation of reduced glutathione (GSH) with various xenobiotics which become more hydrophilic thus facilitating their removal from the body. The Black Sea mussel Mytilus galloprovincialis Lam. is a sentinel species, used as a bioindicator of contamination. The aim of this study was to assess the variations of GSH and of related enzymes activities as biomarkers of the mussels' reaction to pollution exposure. Adult mussels (45-60 mm) were sampled from 11 localities, including two farms, along the Bulgarian Black Sea coast. GSH levels and activity of glutathione related enzymes were measured spectrophotometrically in the digestive gland, gills and foot. Highest GST activities along with depletion of GSH were present in mussels from the northern localities, which were more polluted than the southern localities where relatively high GSH levels and moderate GST activity and hence lower OS was found in mussels. Our results confirmed the presence of a coordinated reaction of the mussel detoxifying system to chronic exposure to various contaminants in the environment.</t>
  </si>
  <si>
    <t>[Georgieva, A.; Tsvetanova, E.; Chipev, N.; Alexandrova, A.] Bulgarian Acad Sci, Inst Neurobiol, Lab Free Rad Proc, 23 Acad G Bonchev St, Sofia 1113, Bulgaria; [Yakimov, L.] Bulgarian Acad Sci, Inst Biodivers &amp; Ecosyst Res, 2 Gagarin St, Sofia 1113, Bulgaria; [Kalchev, K.] Univ Shumen Bishop Konstantin Preslavski, Fac Nat Sci, Dept Biol, 113 Univ Ska St, Shumen, Bulgaria</t>
  </si>
  <si>
    <t>Bulgarian Academy of Sciences; Bulgarian Academy of Sciences; University of Shumen</t>
  </si>
  <si>
    <t>Alexandrova, A (corresponding author), Bulgarian Acad Sci, Inst Neurobiol, Lab Free Rad Proc, 23 Acad G Bonchev St, Sofia 1113, Bulgaria.</t>
  </si>
  <si>
    <t>a_alexandrova_bas@yahoo.com</t>
  </si>
  <si>
    <t>Chipev, Nesho/ABG-8857-2021; Georgieva, Almira/ABB-4627-2021</t>
  </si>
  <si>
    <t>National Science Fund, Bulgaria [KPi-06-.21/7]; Shumen University [RD-08-67/]</t>
  </si>
  <si>
    <t>National Science Fund, Bulgaria(National Science Fund of Bulgaria); Shumen University</t>
  </si>
  <si>
    <t>This work was supported by grant No K Pi-06-.21/7 of National Science Fund, Bulgaria and partly by project RD-08-67/25.01.2021 of Shumen University.</t>
  </si>
  <si>
    <t>SV8PY</t>
  </si>
  <si>
    <t>WOS:000664081000009</t>
  </si>
  <si>
    <t>Bezuidenhout, J; Nekhoroshkov, P; Zinicovscaia, I; Yushin, N; Frontasyeva, M</t>
  </si>
  <si>
    <t>Bezuidenhout, Jacques; Nekhoroshkov, Pavel; Zinicovscaia, Inga; Yushin, Nikita; Frontasyeva, Marina</t>
  </si>
  <si>
    <t>ACCUMULATION FEATURES OF MICRO AND MACROELEMENTS IN INDIGENOUS AND ALIEN MOLLUSCS IN SALDANHA BAY, SOUTH AFRICA</t>
  </si>
  <si>
    <t>elemental accumulation; Indigenous and alien molluscs; trace elements; Neutron Activation Analysis; Mytilus galloprovincialis; Crassostrea gigas; Choromytilus meridionalis</t>
  </si>
  <si>
    <t>MUSSEL MYTILUS-GALLOPROVINCIALIS; NEUTRON-ACTIVATION ANALYSIS; HEAVY-METALS; WEST-COAST; INVASION</t>
  </si>
  <si>
    <t>Alien Mediterranean mussels Mytilus galloprovincialis, Pacific oysters Crassostrea gigas and indigenous Cape mussels Choromytilus meridionalis were used as sentinel biomonitors of inorganic pollutants in Saldanha Bay, South Africa. Neutron activation analysis was used to determine the concentrations of 33 macro and microelements in the soft tissues of molluscs. The Mediterranean mussels significantly demonstrated the higher accumulation ability to S, Se and Br than the Pacific oysters, whereas the Pacific oysters - to Fe, Cu, Zn and As. The Cape mussels are more sensitive to Mn and As and the Mediterranean mussels were sensitive to Zn and Se.</t>
  </si>
  <si>
    <t>[Bezuidenhout, Jacques] Stellenbosch Univ, Fac Mil Sci, Victoria St, Stellenbosch, South Africa; [Nekhoroshkov, Pavel; Zinicovscaia, Inga; Yushin, Nikita; Frontasyeva, Marina] Joint Inst Nucl Res, Frank Lab Neutron Phys, FLNP Sect NAA &amp; Appl Res, Div Nucl Phys, Dubna 141980, Russia; [Zinicovscaia, Inga] Horia Hulubei Natl Inst R&amp;D Phys &amp; Nucl Engn, 30 Reactorului Str MG-6, Bucharest, Romania</t>
  </si>
  <si>
    <t>Stellenbosch University; Joint Institute for Nuclear Research - Russia; Horia Hulubei National Institute of Physics &amp; Nuclear Engineering</t>
  </si>
  <si>
    <t>Nekhoroshkov, P (corresponding author), Joint Inst Nucl Res, Frank Lab Neutron Phys, FLNP Sect NAA &amp; Appl Res, Div Nucl Phys, Dubna 141980, Russia.</t>
  </si>
  <si>
    <t>p.nekhoroshkov@gmail.com</t>
  </si>
  <si>
    <t>Nekhoroshkov, Pavel/AAD-8098-2022; Yushin, Nikita/ABC-5508-2021; Frontasyeva, Marina/S-9362-2019; Zinicovscaia, Inga/H-1656-2016</t>
  </si>
  <si>
    <t>Zinicovscaia, Inga/0000-0003-0820-887X; Nekhoroshkov, Pavel/0000-0002-6100-1571</t>
  </si>
  <si>
    <t>JINR-NRF of South Africa [430, 658]</t>
  </si>
  <si>
    <t>JINR-NRF of South Africa</t>
  </si>
  <si>
    <t>This study was supported by the JINR-NRF of South Africa grants in 2016-2017 (Order #430 of 28.06.2016, p.2, and Order #658 of 28.09.2017, p. 2.)</t>
  </si>
  <si>
    <t>10.2478/eces-2020-0030</t>
  </si>
  <si>
    <t>PL9CF</t>
  </si>
  <si>
    <t>WOS:000603409900001</t>
  </si>
  <si>
    <t>Guo, SW; Wan, YH; Chen, XR; Luo, JQ</t>
  </si>
  <si>
    <t>Guo, Shiwei; Wan, Yinhua; Chen, Xiangrong; Luo, Jianquan</t>
  </si>
  <si>
    <t>Loose nanofiltration membrane custom-tailored for resource recovery</t>
  </si>
  <si>
    <t>Loose nanofiltration; Interfacial polymerization; Nanomaterials; Desalination; Decolorization</t>
  </si>
  <si>
    <t>HOLLOW-FIBER MEMBRANES; COVALENT ORGANIC FRAMEWORKS; ACYL CHLORIDE MONOMER; STEP SPINNING PROCESS; DAIRY WASTE-WATER; COMPOSITE NANOFILTRATION; INTERFACIAL POLYMERIZATION; HIGH-FLUX; PHENOLIC-COMPOUNDS; FOULING RESISTANT</t>
  </si>
  <si>
    <t>Compared to the traditional nanofiltration (NF) membrane with molecular weight cut-off (MWCO) below 500 Da, an emerging loose NF (LNF) membrane with MWCO of 500 similar to 2000 Da has attracted increasing interests due to its higher selectivity and lower operating pressure, which exhibited distinct advantages in resource recovery from biomass and wastewater. This review summarizes the development of the LNF membranes, focusing on their preparations and applications. Regarding the membrane preparation, phase inversion and interfacial polymerization are the two leading and scalable fabrication methods, and other methods including dip coating, mussel-inspired deposition, self-assembly, grafting polymerization, and nanomaterials assembly/growth are also widely studied at a laboratory scale. As for the application of LNF, the fractionation of saccharides, polyphenols, and pigments for bioresource recovery as well as the separation of dyes and salts for zero discharge become research hotspots due to the increasing industrial demand. Besides the existing challenges faced by the applications of LNF, many opportunities to advance the field are also pointed out. This review not only provides a comprehensive overview on the development of the LNF membrane but also offers guidance to improve the membrane separation performance, especially for the resource recovery to minimize environmental pollution.</t>
  </si>
  <si>
    <t>[Guo, Shiwei; Wan, Yinhua; Chen, Xiangrong; Luo, Jianquan] Chinese Acad Sci, Univ Chinese Acad Sci, Inst Proc Engn, State Key Lab Biochem Engn, Beijing 100190, Peoples R China</t>
  </si>
  <si>
    <t>Chinese Academy of Sciences; University of Chinese Academy of Sciences, CAS; Institute of Process Engineering, CAS</t>
  </si>
  <si>
    <t>Chen, XR; Luo, JQ (corresponding author), Chinese Acad Sci, Univ Chinese Acad Sci, Inst Proc Engn, State Key Lab Biochem Engn, Beijing 100190, Peoples R China.</t>
  </si>
  <si>
    <t>xrchen@ipe.ac.cn; Jqluo@ipe.ac.cn</t>
  </si>
  <si>
    <t>Luo, Jianquan/D-3515-2014; Wang, Shaohua/G-8194-2018; Chen, Xiangrong/C-3113-2016</t>
  </si>
  <si>
    <t>guo, shiwei/0009-0003-3722-0306</t>
  </si>
  <si>
    <t>Province Key Research and Development Program of Shandong [2019JZZY010348]; Science and Technology Service Network Program of the Chinese Academy of Sciences [KFJ-STS-QYZX-096]; Zhejiang MEY Membrane Technology CO., LTD.</t>
  </si>
  <si>
    <t>Province Key Research and Development Program of Shandong; Science and Technology Service Network Program of the Chinese Academy of Sciences; Zhejiang MEY Membrane Technology CO., LTD.</t>
  </si>
  <si>
    <t>The financial supports are supplied by the Province Key Research and Development Program of Shandong (2019JZZY010348), the Science and Technology Service Network Program of the Chinese Academy of Sciences (KFJ-STS-QYZX-096) and Zhejiang MEY Membrane Technology CO., LTD.</t>
  </si>
  <si>
    <t>10.1016/j.cej.2020.127376</t>
  </si>
  <si>
    <t>QH2AD</t>
  </si>
  <si>
    <t>WOS:000618078100001</t>
  </si>
  <si>
    <t>Leiva, L; Scholz, S; Giménez, L; Boersma, M; Torres, G; Krone, R; Tremblay, N</t>
  </si>
  <si>
    <t>Leiva, Laura; Scholz, Soeren; Gimenez, Luis; Boersma, Maarten; Torres, Gabriela; Krone, Roland; Tremblay, Nelly</t>
  </si>
  <si>
    <t>Noisy waters can influence young-of-year lobsters' substrate choice and their antipredatory responses</t>
  </si>
  <si>
    <t>Anthropogenic noise; Diel activity; Exploration behavior; Decapods; Noise pollution</t>
  </si>
  <si>
    <t>HOMARUS-GAMMARUS; EUROPEAN LOBSTER; PARTICLE MOTION; SOUND EXPOSURE; GERMAN BIGHT; SHIP NOISE; BEHAVIOR; FISHES; FIELD; SEA</t>
  </si>
  <si>
    <t>Offshore human activities lead to increasing amounts of underwater noise in coastal and shelf environments, which may affect commercially-important benthic invertebrate groups like the re-stocked Helgoland European lobster (Homarus gammarus) in the German Bight (North Sea). It is crucial to understand the impact tonal lowfrequency noises, like maritime transport and offshore energy operations, may have on substrate choice and lobsters' behavior to assess potential benefits or bottlenecks of new hard-substrate artificial offshore environments that become available. In this study, we investigated the full factorial effect of a tonal low-frequency noise and predator presence on young-of-year (YOY) European lobsters' in a diurnal and nocturnal experiment. Rocks and European oyster shells (Ostrea edulis) were offered as substrate to YOY lobsters for 3 h. Video recordings (n = 134) allowed the identification of lobsters' initial substrate choice, diel activity and key behaviors (peeking, shelter construction, exploration and hiding). To ensure independence, YOY lobsters in the intermolt stage were randomly selected and assigned to the experimental tanks and used only once. We provide the first evidence that stressors alone, and in combination, constrain YOY lobsters' initial substrate choice towards rocks. During nighttime, the joint effect of exposure to a constant low-frequency noise and predator presence decreased antipredator behavior (i.e., hiding) and increased exploration behavior. Noise may thus interfere with YOY lobsters' attention and decision-making processes. This outcome pinpoints that added tonal low-frequency noise in the environment have the potential to influence the behavior of early-life stages of European lobsters under predator pressure and highlights the importance of including key benthic invertebrates' community relationships in anthropogenic noise risk assessments. Among others, effects of noise must be taken into consideration in plans involving the multi-use of any offshore area for decapods' stock enhancement, aquaculture, and temporary notake zones.</t>
  </si>
  <si>
    <t>[Leiva, Laura; Gimenez, Luis; Boersma, Maarten; Torres, Gabriela; Tremblay, Nelly] Shelf Sea Syst Ecol, Biol Anstalt Helgoland, Alfred Wegener Inst Helmholtz Zentrum Polar &amp; Mee, D-27498 Helgoland, Germany; [Scholz, Soeren] Univ Bielefeld, Fac Biol, D-33615 Bielefeld, Germany; [Gimenez, Luis] Bangor Univ, Sch Ocean Sci, Coll Environm Sci &amp; Engn, Menai Bridge LL59 5AB, Gwynedd, Wales; [Boersma, Maarten] Univ Bremen, FB2, D-28359 Bremen, Germany; [Krone, Roland] Reefauna Spezialisten Rifftiere, D-27568 Bremerhaven, Germany</t>
  </si>
  <si>
    <t>Helmholtz Association; Alfred Wegener Institute, Helmholtz Centre for Polar &amp; Marine Research; University of Bielefeld; Bangor University; University of Bremen</t>
  </si>
  <si>
    <t>Leiva, L (corresponding author), Shelf Sea Syst Ecol, Biol Anstalt Helgoland, Alfred Wegener Inst Helmholtz Zentrum Polar &amp; Mee, D-27498 Helgoland, Germany.</t>
  </si>
  <si>
    <t>laura.leiva@awi.de</t>
  </si>
  <si>
    <t>Torres, Gabriela/HMO-4877-2023; Tremblay, Nelly/K-2552-2014; Boersma, Maarten/A-5475-2013; Torres, Gabriela/S-2405-2016</t>
  </si>
  <si>
    <t>Tremblay, Nelly/0000-0002-8221-4680; Leiva, Laura/0000-0001-6979-6041; Boersma, Maarten/0000-0003-1010-026X; Torres, Gabriela/0000-0002-4064-0585</t>
  </si>
  <si>
    <t>Business Development and Technology Transfer Corporation of Schleswig Holstein (WT.SH)</t>
  </si>
  <si>
    <t>This work was funded by the Business Development and Technology Transfer Corporation of Schleswig Holstein (WT.SH) as part of L.L. doctoral thesis.</t>
  </si>
  <si>
    <t>10.1016/j.envpol.2021.118108</t>
  </si>
  <si>
    <t>UR3JE</t>
  </si>
  <si>
    <t>WOS:000696647500003</t>
  </si>
  <si>
    <t>Calapoglu, M; Sevinc, Z; Togay, VA; Kalyoncu, H</t>
  </si>
  <si>
    <t>Calapoglu, Mustafa; Sevinc, Zehra; Togay, Vehbi Atahan; Kalyoncu, Hasan</t>
  </si>
  <si>
    <t>EVALUATION OF OXIDATIVE STRESS AND GENOTOXICITY FOR ENVIRONMENTAL MONITORING USING FARMED RAINBOW TROUT</t>
  </si>
  <si>
    <t>Oncorhynchus mykiss; Oxidative stress; Protein carbonilation; Comet assay; Water pollution</t>
  </si>
  <si>
    <t>DNA-DAMAGE; ANTIOXIDANT DEFENSES; HEAVY-METALS; ZEBRA MUSSEL; EXPOSURE; NITRATE; BIOMARKERS; TOXICITY; NITRITE; HEMOCYTES</t>
  </si>
  <si>
    <t>The aim of this study is to determine the impact of water quality upon lipid, protein oxidation and DNA damage in the tissue of farmed Oncorhynchus mykiss (Walbaum, 1792) in concrete pond farms located in Candir River (Station I), Karacaoren 1 Reservoir (Station II), and catak Reservoir (Station III). The O. mykiss muscle tissue, blood and water samples were obtained simultaneously from all stations on February 2016. For each station, fourteen physicochemical parameters were measured in water samples and water quality levels determined by YSKYY (Surface Water Quality Management Regulation) were recorded. Muscle tissue malondialdehyde (MDA), protein carbonyl (PC) levels, and grade of DNA damage in erythrocytes using comet assay were determined in 0 mykiss from three fish farms. The water's physical and chemical parameters show that based on Turkish YSKYY, the water in all stations are categorised as class II according to the Turkish YSKYY. However, based upon its nitrite and total nitrogen values, Station III was found to be less polluted than the other stations, followed by a moderate degree of pollution for Station II, and significantly higher levels or pollution for Station I. The MDA and protein carbonyl levels were significantly higher in the muscle of the O. mykiss from Station I than Station II and III (p&lt;0.01). Fish from Station I exhibited a significantly higher DNA damage in red blood cells than Station II and Station III (p&lt;0.01). The study concluded that nitrogen species caused by exposure to an accumulation of environmental pollutants are an important source of RNS/ROS generation within the fish's tissue. RNS/ROS-mediated oxidative stress causes DNA fragmentation, lipid oxidation, and protein dysfunction, consequently negatively contributing to the quality of fish as a source of food, and also to their welfare.</t>
  </si>
  <si>
    <t>[Calapoglu, Mustafa; Sevinc, Zehra] Suleyman Demirel Univ, Fac Art &amp; Sci, Dept Chem, TR-32200 Isparta, Turkey; [Togay, Vehbi Atahan] Suleyman Demirel Univ, Fac Med, Dept Med Biol, TR-32200 Isparta, Turkey; [Kalyoncu, Hasan] Suleyman Demirel Univ, Fac Art &amp; Sci, Dept Biol, TR-32200 Isparta, Turkey</t>
  </si>
  <si>
    <t>Suleyman Demirel University; Suleyman Demirel University; Suleyman Demirel University</t>
  </si>
  <si>
    <t>Calapoglu, M (corresponding author), Suleyman Demirel Univ, Fac Art &amp; Sci, Dept Chem, TR-32200 Isparta, Turkey.</t>
  </si>
  <si>
    <t>calapoglu@hotmail.com</t>
  </si>
  <si>
    <t>Toğay, Vehbi Atahan/R-9156-2016; Calapoglu, mustafa/AAA-8756-2022</t>
  </si>
  <si>
    <t>Suleyman Demirel University Fund [4192-YL1-14]</t>
  </si>
  <si>
    <t>Suleyman Demirel University Fund(Suleyman Demirel University)</t>
  </si>
  <si>
    <t>This present study was financially supported by a grant from the Suleyman Demirel University Fund (Project No: 4192-YL1-14).</t>
  </si>
  <si>
    <t>WOS:000419539700018</t>
  </si>
  <si>
    <t>Sánchez-Rodríguez, I; Huerta-Diaz, MA; Choumiline, E; Holguín-Quiñones, O; Zertuche-González, JA</t>
  </si>
  <si>
    <t>Elemental concentrations in different species of seaweeds from Loreto Bay, Baja California Sur, Mexico:: implications for the geochemical control of metals in algal tissue</t>
  </si>
  <si>
    <t>Mexico; Baja California Sur; Bahia de Loreto; algae; metals; neutron activation analysis</t>
  </si>
  <si>
    <t>ZOSTERA-MARINA L; BLACK-SEA COAST; FUCUS-VESICULOSUS; HEAVY-METALS; BROWN SEAWEED; TRACE-METALS; SEASONAL-VARIATION; THERMAIKOS GULF; MYTILUS-EDULIS; COMMON MUSSEL</t>
  </si>
  <si>
    <t>Concentration levels of 21 elements were analyzed by instrumental neutron activation analysis (Rb, Cs, Ca, Sr, Ba, Sc, Cr, Fe, Co, Ni, Zn, Se, As, Sb, Th, U, Br, Hf, Ta, Zr, and Ag) in seven different seaweed species (Codium cuneatum, Sargassum sinicola, Padina durvillaei, Laurencia johnstonii, L. papillosa, Gracilaria pachidermatica and Hypnea pannosa), collected in a shallow coastal zone from Bahia de Loreto, Baja California Sur, Mexico. Measured concentrations in algal tissue spanned almost eight orders of magnitude (from 2.0 x 10(-3) mug g(-1) for Hf to 1.2 x 10(5) mug g(-1) for Ca). Ca was consistently the most abundant element in all analyzed seaweeds, followed by Fe and Sr. Brown algae showed a tendency to incorporate higher concentrations of elements than red and green algae. Additionally, there were significant linear correlations (P &lt; 0.05 to P &lt; 0.001) between a total of 76 different pairs of elements, some of them (e.g. Rb-Ni, Rb-Ag, Sc-Cr, Sc-Fe, Sc-Ni, Sc-Hf, Cr-Fe, Fe-Ni, Fe-Hf and Ni-Th) highly correlated (r(2) &gt; 0.900). A significant correlation (r(2) = 0.701, n = 18, P &lt; 0.001) exists between our measurements in the tissue of algae and their corresponding average elemental concentrations in oceanic water from the North Pacific Ocean. Hence, overall elemental abundance in algal tissue apparently is controlled by the elemental abundance in oceanic water, whereas metabolic processes as well as environmental factors relevant to each region modify the final concentration of a given element in the body or a macroalgae. (C) 2001 Elsevier Science Ltd. All rights reserved.</t>
  </si>
  <si>
    <t>IPN, CICIMAR, Ctr Interdisciplinario Ciencias Marinas, La Paz, BCS, Mexico; Inst Invest Oceanol, Coronado, CA 92178 USA; Inst Invest Oceanol, Ensenada 22830, Baja California, Mexico</t>
  </si>
  <si>
    <t>Huerta-Diaz, MA (corresponding author), Inst Invest Oceanol, PMB-133,POB 189003, Coronado, CA 92178 USA.</t>
  </si>
  <si>
    <t>Huerta-Diaz, Miguel Angel/0000-0001-5248-4340; ZERTUCHE-GONZALEZ, JOSE ANTONIO/0000-0002-9748-9820</t>
  </si>
  <si>
    <t>10.1016/S0269-7491(00)00223-2</t>
  </si>
  <si>
    <t>457GA</t>
  </si>
  <si>
    <t>WOS:000170127700001</t>
  </si>
  <si>
    <t>Ping, XY; Zhang, H; Jiang, YZ; Ling, JZ; Sun, P; Tang, BJ</t>
  </si>
  <si>
    <t>Ping, Xianyin; Zhang, Hui; Jiang, Yazhou; Ling, Jianzhong; Sun, Peng; Tang, Baojun</t>
  </si>
  <si>
    <t>Sediment Properties and Benthic Fauna Associated with Stock Enhancement and Farming of Marine Bivalve Populations in Xiangshan Bay, China</t>
  </si>
  <si>
    <t>OYSTER CRASSOSTREA-VIRGINICA; HEAVY-METAL POLLUTION; SULFATE REDUCTION; ORGANIC-MATTER; MYTILUS-EDULIS; NITROGEN-CYCLE; CULTURE; AQUACULTURE; BIODEPOSITION; COMMUNITY</t>
  </si>
  <si>
    <t>This study was designed to examine the impacts of ark shell Scapharca subcrenata enhancement and suspended oyster Crassostrea sikamea farming on sediment properties and fauna communities in the benthic zone of Xiangshan Bay, China. Ark shell enhancement took place over 319 days, after which sediment samples were collected from each of the three treatment sites: the enhancement area, an oyster farm, and a control area. Sediments from the oyster farming area had significantly higher moisture and acid volatile sulfide content, and the highest Cu, Zn, Pb, and Cd concentrations in all three treatment areas. The ark shell enhancement area has the lowest total organic carbon. No significant difference was found between the mean grain size in each of the three areas. Benthic fauna communities in the ark shell enhancement area were similar to those in the control area. Among the 16 faunal taxa identified, Ruditapes philippinarum was the most abundant species, followed by Glycera onomichiensis and Musculus senhousia. Suspension feeders were not found in the sediment beneath the oyster rafts. Cluster analysis showed a distinct separation between the benthic fauna communities in the oyster farming area and the other two treatment areas. Ark shell enhancement was thus shown to have minimal impact on the benthic environment, while the raft-farmed oysters had significant effects on the sediment structure and the benthic fauna after more than ten years of farming. The differences between the impacts of ark shell enhancement and oyster farming could be attributed to the slowing of water flow caused by oyster rafts.</t>
  </si>
  <si>
    <t>[Ping, Xianyin; Zhang, Hui; Jiang, Yazhou; Ling, Jianzhong; Sun, Peng; Tang, Baojun] Chinese Acad Fishery Sci, East China Sea Fisheries Res Inst, Shanghai, Peoples R China</t>
  </si>
  <si>
    <t>Chinese Academy of Fishery Sciences; East China Sea Fisheries Research Institute, CAFS</t>
  </si>
  <si>
    <t>Tang, BJ (corresponding author), Chinese Acad Fishery Sci, East China Sea Fisheries Res Inst, Shanghai, Peoples R China.</t>
  </si>
  <si>
    <t>pingxy@ecsf.ac.cn; zhhui269@126.com; yazhoujiang@163.com; lingjz@ecsf.ac.cn; sunpeng0512@hotmail.com; bjtang@yeah.net</t>
  </si>
  <si>
    <t>Sun, Peng/KDO-4243-2024</t>
  </si>
  <si>
    <t>tang, baojun/0000-0002-4741-9162</t>
  </si>
  <si>
    <t>National Key Research and Development Project [2020YFD0900804, CARS-49]</t>
  </si>
  <si>
    <t>National Key Research and Development Project(National Key Research &amp; Development Program of China)</t>
  </si>
  <si>
    <t>AcknowledgmentsThe present work was sponsored by the National Key Research and Development Project (grant no. 2020YFD0900804) and https://doi.org/10.13039/501100009997Modern Agro-Industry Technology Research System of China (CARS-49). The authors appreciate very much the assistance from Mr. Tianqi Jiang and Ms. Yang Zhang in the sample collection.</t>
  </si>
  <si>
    <t>FEB 4</t>
  </si>
  <si>
    <t>10.1155/2023/4729267</t>
  </si>
  <si>
    <t>8T8LR</t>
  </si>
  <si>
    <t>WOS:000929506900006</t>
  </si>
  <si>
    <t>Volland, M; Hampel, M; Martos-Sitcha, JA; Trombini, C; Martínez-Rodríguez, G; Blasco, J</t>
  </si>
  <si>
    <t>Volland, Moritz; Hampel, Miriam; Martos-Sitcha, Juan A.; Trombini, Chiara; Martinez-Rodriguez, Gonzalo; Blasco, Julian</t>
  </si>
  <si>
    <t>Citrate gold nanoparticle exposure in the marine bivalve Ruditapes philippinarum: uptake, elimination and oxidative stress response</t>
  </si>
  <si>
    <t>Au-nanoparticles; Accumulation; Elimination; q-PCR; Nanotoxicity; Redox homeostasis</t>
  </si>
  <si>
    <t>SURFACE-CHEMISTRY; HEAVY-METALS; TOXICITY; BIOACCUMULATION; ECOTOXICITY; SIZE; ESTUARINE; IMPACTS; RISKS; CELLS</t>
  </si>
  <si>
    <t>Gold nanoparticles (AuNPs) are considered an important nano-sized component of the twenty-first century. Due to their unique physical and chemical properties, they are being used and developed for a wide range of promising applications in medicine, biology and chemistry. Notwithstanding their useful aspects, in recent years concern has been raised over their ability to enter cells, organelles and nuclei and provoke oxidative stress. In a laboratory-based experiment, the non-target marine bivalve Ruditapes philippinarum was used as a model organism. Uptake, elimination and molecular effects under short-term and sub-chronic exposure conditions to an environmental relevant concentration (0.75 mu g L-1) of weakly agglomerating citrate AuNPs (similar to 20 nm) were studied. Our results demonstrate that at the tested concentration, the particles are readily taken up into the digestive gland&gt;gills and can produce significant changes (p &lt; 0.05) in oxidative stress and inflammatory response markers, as measured by phase II antioxidant enzymes and q-PCR gene expression analysis. However, the overall magnitude of responses was low, and oxidative damage was not provoked. Further, a significant elimination of Au from the digestive tract within a 7-day purification period was observed, with excretion being an important pathway. In conclusion, short-term and sub-chronic exposure to an environmental relevant concentration of citrate-stabilized AuNPs cannot be considered toxic to our model organism, while some further consideration should be given to chronic exposure effects.</t>
  </si>
  <si>
    <t>[Volland, Moritz; Martos-Sitcha, Juan A.; Trombini, Chiara; Martinez-Rodriguez, Gonzalo; Blasco, Julian] CSIC, Inst Ciencias Marinas Andalucia, Cadiz 11510, Spain; [Hampel, Miriam] Univ Cadiz, Fac Marine &amp; Environm Sci, Dept Phys Chem, Cadiz 11510, Spain; [Hampel, Miriam] Andalusian Ctr Marine Sci &amp; Technol CACYTMAR, Cadiz 11510, Spain</t>
  </si>
  <si>
    <t>Consejo Superior de Investigaciones Cientificas (CSIC); CSIC - Instituto de Ciencias Marinas de Andalucia (ICMAN); Universidad de Cadiz; Universidad de Cadiz</t>
  </si>
  <si>
    <t>Volland, M (corresponding author), CSIC, Inst Ciencias Marinas Andalucia, Campus Univ Rio San Pedro S-N, Cadiz 11510, Spain.</t>
  </si>
  <si>
    <t>moritz.volland@icman.csic.es</t>
  </si>
  <si>
    <t>Hampel, Miriam/R-3331-2018; Blasco, Julian/A-5319-2008; MARTINEZ-RODRIGUEZ, GONZALO/A-2564-2009; Martos-Sitcha, Juan Antonio/L-6140-2014</t>
  </si>
  <si>
    <t>Hampel, Miriam/0000-0002-3517-2334; Blasco, Julian/0000-0002-9750-383X; MARTINEZ-RODRIGUEZ, GONZALO/0000-0003-3379-580X; Martos-Sitcha, Juan Antonio/0000-0002-0151-7250</t>
  </si>
  <si>
    <t>regional government of Andalusia (Junta de Andalucia) [PE2011-RNM-7812]; Spanish government Plan Nacional I+D+I project [CTM2012-3872-C03-03]; Erasmus Mundus Ph.D. fellowship in Marine and Coastal Management</t>
  </si>
  <si>
    <t>regional government of Andalusia (Junta de Andalucia)(Junta de Andalucia); Spanish government Plan Nacional I+D+I project; Erasmus Mundus Ph.D. fellowship in Marine and Coastal Management</t>
  </si>
  <si>
    <t>This work was funded by the regional government of Andalusia (Junta de Andalucia) project PE2011-RNM-7812 and the Spanish government Plan Nacional I+D+I project CTM2012-3872-C03-03, as well as supported by the Erasmus Mundus Ph.D. fellowship in Marine and Coastal Management to M.V. (as coordinated by the University of Cadiz, Spain). The authors would also like to thank Carlos Garcia Negrete and Asuncion Fernandez Camacho of the Institute of Materials Science of Sevilla (CSIC-University of Seville, Spain), Laura Martin Diaz from the Andalusian Centre for Science and Marine Technologies (CACYTMAR) - University of Cadiz (Spain), as well as Maria Joao Bebianno and Tania Gomes from the Centre for Marine and Environmental Research (CIMA) - University of the Algarve (Portugal) for their assistance.</t>
  </si>
  <si>
    <t>10.1007/s11356-015-4718-x</t>
  </si>
  <si>
    <t>WOS:000365423100014</t>
  </si>
  <si>
    <t>Kärrman, A; Elgh-Dalgren, K; Lafossas, C; Moskeland, T</t>
  </si>
  <si>
    <t>Karrman, A.; Elgh-Dalgren, K.; Lafossas, C.; Moskeland, T.</t>
  </si>
  <si>
    <t>Environmental levels and distribution of structural isomers of perfluoroalkyl acids after aqueous fire-fighting foam (AFFF) contamination</t>
  </si>
  <si>
    <t>ENVIRONMENTAL CHEMISTRY</t>
  </si>
  <si>
    <t>6: 2 fluorotelomer sulfonates; 6: 2 FTS; perfluorooctane sulfonate; perfluorooctanecarbocylic acid; PFOA; PFOS</t>
  </si>
  <si>
    <t>PERFLUOROOCTANE SULFONATE; PERFLUORINATED SURFACTANTS; PERFLUOROCARBOXYLATES; GROUNDWATER; SAMPLES</t>
  </si>
  <si>
    <t>The environment (soil, water, sediment, fish, crab and mussel) around a training facility using aqueous film forming foams (AFFFs) was studied with respect to perfluorinated alkyl acids (PFAAs) and 6 : 2 fluorotelomer sulfonate (FTS) and their structural isomers. High levels of many PFAAs and 6 : 2 FTS were detected in soil, seepage water, sediment and fish liver. Structural isomers were found for sulfonates, except PFBuS, and for PFOA. Quantification using authentic standards revealed an isomer pattern of 63% linear PFOS (L-PFOS) and 80% linear PFOA (L-PFOA) in the soil at the contamination site, which indicated a source produced by electrochemical fluorination (ECF). The 6 : 2 FTS was 100% linear in all compartments thus coming from a telomerisation product. Enrichment of the linear structure of PFOS and PFOA in soil was seen with increasing distance from the training centre, and an enrichment of branched isomers for both compounds could be found in the seepage water. Sorption to sediment and accumulation in fish liver led to an enrichment of L-PFOS whereas all PFOA remained in the water body.</t>
  </si>
  <si>
    <t>[Karrman, A.; Elgh-Dalgren, K.; Lafossas, C.] Univ Orebro, Sch Sci &amp; Technol, Man Technol Environm Res Ctr, SE-70182 Orebro, Sweden; [Moskeland, T.] DNV, N-1322 Hovik, Norway</t>
  </si>
  <si>
    <t>Orebro University; DNV</t>
  </si>
  <si>
    <t>Kärrman, A (corresponding author), Univ Orebro, Sch Sci &amp; Technol, Man Technol Environm Res Ctr, SE-70182 Orebro, Sweden.</t>
  </si>
  <si>
    <t>anna.karrman@oru.se</t>
  </si>
  <si>
    <t>Norwegian Climate and Pollution Agency (KLIF)</t>
  </si>
  <si>
    <t>The Norwegian Climate and Pollution Agency (KLIF) is acknowledged for funding this work (from the 'Statlig program for forurensningsovervakning' program). Thanks are extended to Bard Nordbo, Ingunn Correll Myhre and Jon L. Fuglestad (KLIF) for continuous feedback. Thanks also to Christian Volan (DNV), Marte Braathen (DNV), Arne Pettersen (NGI) and Bergen Havfiskerlag (local angler association) for assistance with sampling and logistics. We are also grateful for permission and assistances of site managers at Flesland airport in Bergen. Waters Corporation (Paul Silcock and Keith Worrall) is acknowledged for quality assurance work.</t>
  </si>
  <si>
    <t>1448-2517</t>
  </si>
  <si>
    <t>ENVIRON CHEM</t>
  </si>
  <si>
    <t>Environ. Chem.</t>
  </si>
  <si>
    <t>10.1071/EN10145</t>
  </si>
  <si>
    <t>809LC</t>
  </si>
  <si>
    <t>WOS:000294056000005</t>
  </si>
  <si>
    <t>Min, EY; Cha, YJ; Kang, JC</t>
  </si>
  <si>
    <t>Min, Eun Young; Cha, Yong-Joo; Kang, Ju-Chan</t>
  </si>
  <si>
    <t>Effects of waterborne nickel on the physiological and immunological parameters of the Pacific abalone Haliotis discus hannai during thermal stress</t>
  </si>
  <si>
    <t>Nickel; Thermal stress; LC50; Hemolymph; Immunology; Hematology; THC; Lysozyme; PO; Phagocytosis; Haliotis discus hannai</t>
  </si>
  <si>
    <t>ANTIOXIDANT DEFENSE SYSTEMS; TROUT ONCORHYNCHUS-MYKISS; IN-VITRO EXPOSURE; DIVERSICOLOR-SUPERTEXTA; IMMUNE-RESPONSE; RAINBOW-TROUT; CRASSOSTREA-VIRGINICA; PHAGOCYTIC-ACTIVITY; OXIDATIVE STRESS; MARINE MUSSEL</t>
  </si>
  <si>
    <t>In this study, the 96-h LC50 at 22 and 26 A degrees C values was 28.591 and 11.761 mg/L, respectively, for NiCl2 exposure in the abalone. The alteration of physiological and immune-toxicological parameters such as the total hemocyte count (THC), lysozyme, phenoloxidase (PO), and phagocytosis activity was measured in the abalone exposed to nickel (200 and 400 mu g/L) under thermal stress for 96 h. In this study, Mg and THC decreased, while Ca, lysozyme, PO, and phagocytosis activity increased in the hemolymph of Pacific abalone exposed to NiCl2 when compared to a control at both 22 and 26 A degrees C. However, these parameters were not affected by a rise in temperature from 22 to 26 A degrees C in non-exposed groups. Our results showed that NiCl2 below 400 mu g/L was able to stimulate immune responses in abalone. However, complex stressors, thermal changes, or NiCl2 can modify the immunological response and lead to changes in the physiology of host-pollutant interactions in the abalone.</t>
  </si>
  <si>
    <t>[Min, Eun Young] Pukyong Natl Univ, Inst Fisheries Sci, Busan 619911, South Korea; [Cha, Yong-Joo; Kang, Ju-Chan] Pukyong Natl Univ, Dept Aquat Life Med, Busan 608737, South Korea</t>
  </si>
  <si>
    <t>Pukyong National University; Pukyong National University</t>
  </si>
  <si>
    <t>Kang, JC (corresponding author), Pukyong Natl Univ, Dept Aquat Life Med, Busan 608737, South Korea.</t>
  </si>
  <si>
    <t>jckang@pknu.ac.kr</t>
  </si>
  <si>
    <t>10.1007/s11356-015-4597-1</t>
  </si>
  <si>
    <t>CQ0TZ</t>
  </si>
  <si>
    <t>WOS:000360311500072</t>
  </si>
  <si>
    <t>Vargas, JGM; da Silva, VB; de Oliveira, LK; Molina, EF</t>
  </si>
  <si>
    <t>Matos Vargas, Julia Gabriela; da Silva, Vinicius Bueno; de Oliveira, Lilian Karla; Molina, Eduardo Ferreira</t>
  </si>
  <si>
    <t>MICROPLASTICOS: USO NA INDUSTRIA COSMETICA E IMPACTOS NO AMBIENTE AQUATICO</t>
  </si>
  <si>
    <t>QUIMICA NOVA</t>
  </si>
  <si>
    <t>polyethylene; microbeads; personal care products; organic contaminants; adsorption</t>
  </si>
  <si>
    <t>WASTE-WATER; FRESH-WATER; SORPTION; POLLUTION; ADSORPTION; TRANSPORT; MUSSEL; ACCUMULATION; ENVIRONMENT; PARTICLES</t>
  </si>
  <si>
    <t>MICROPLASTICS: APPLICATIONS IN THE COSMETIC INDUSTRY AND IMPACTS ON THE AQUATIC ENVIRONMENT. Environmental pollution from plastics and microplastics is currently one of the most relevant issues of the scientific community and cosmetic industry. In particular, microplastics are referred to as small pieces of plastic less than five millimeters (&lt;5mm) and do not dissolve in water, can be harmful to the ocean and aquatic life. Microplastics can be designated as i) primary -particles that are intentionally developed as micro sized plastic particles used in cosmetic formulations like microbeads, and ii) secondary microplastics -stem from all kinds of plastic material debris result of decomposition caused by UV radiation, mechanical stress (ocean waves) and wind action. This article gives an overview about plastics/microplastics, that are mainly used in personal care products and cosmetic. Moreover, we attempt to demonstrated some of the major problems that microplastics based materials can cause in the aquatic life leading to a human health concern. In this context, the interaction between microplastic-contaminants and possible effects in the environment or organisms was explore based on the literature analysis.</t>
  </si>
  <si>
    <t>[Matos Vargas, Julia Gabriela; da Silva, Vinicius Bueno; Molina, Eduardo Ferreira] Univ Franca, BR-14400600 Franca, SP, Brazil; [de Oliveira, Lilian Karla] Inst Fed Sao Paulo, Campus Barretos, BR-14781502 Barretos, SP, Brazil</t>
  </si>
  <si>
    <t>Universidad de Franca; Instituto Federal de Sao Paulo (IFSP)</t>
  </si>
  <si>
    <t>Molina, EF (corresponding author), Univ Franca, BR-14400600 Franca, SP, Brazil.</t>
  </si>
  <si>
    <t>eduardo.molina@unifran.edu.br</t>
  </si>
  <si>
    <t>de Oliveira, Lilian/V-4022-2019; Molina, Eduardo/F-7155-2012</t>
  </si>
  <si>
    <t>Matos Vargas, Julia Gabriela/0009-0006-9493-1405</t>
  </si>
  <si>
    <t>SOC BRASILEIRA QUIMICA</t>
  </si>
  <si>
    <t>CAIXA POSTAL 26037, 05599-970 SAO PAULO, BRAZIL</t>
  </si>
  <si>
    <t>0100-4042</t>
  </si>
  <si>
    <t>1678-7064</t>
  </si>
  <si>
    <t>QUIM NOVA</t>
  </si>
  <si>
    <t>Quim. Nova</t>
  </si>
  <si>
    <t>10.21577/0100-4042.20170870</t>
  </si>
  <si>
    <t>5B0HX</t>
  </si>
  <si>
    <t>WOS:000766663100001</t>
  </si>
  <si>
    <t>Hannan, F; Huang, Q; Farooq, MA; Ayyaz, A; Ma, JY; Zhang, N; Ali, B; Deyett, E; Zhou, WJ; Islam, F</t>
  </si>
  <si>
    <t>Hannan, Fakhir; Huang, Qian; Farooq, Muhammad A.; Ayyaz, Ahsan; Ma, Junyi; Zhang, Na; Ali, Basharat; Deyett, Elizabeth; Zhou, Weijun; Islam, Faisal</t>
  </si>
  <si>
    <t>Organic and inorganic amendments for the remediation of nickel contaminated soil and its improvement on Brassica napus growth and oxidative defense</t>
  </si>
  <si>
    <t>Soil enzyme activity; Ni immobilization; In-situ remediation; Gene expression; Oxidative stress</t>
  </si>
  <si>
    <t>HEAVY-METAL POLLUTION; VARIABLE CHARGE SOILS; CADMIUM UPTAKE; AQUEOUS-SOLUTIONS; PLANT-GROWTH; COLORIMETRIC DETERMINATION; LIPID-PEROXIDATION; HYDROGEN-PEROXIDE; GENE-EXPRESSION; ENZYME-ACTIVITY</t>
  </si>
  <si>
    <t>In-situ stabilization has been considered an effective way to remediate metal contaminated soil. Thus, pot experiments were undertaken to investigate the effectiveness of multiple stabilization agents such as biochar (BC), mussel shell (MS), zeolite (ZE) and limestone (LS) on the immobilization of Ni, physicochemical features and enzyme activities in polluted soil. Results showed that the sole application of Ni adversely affected the rapeseed growth, photosynthetic pigments, and antioxidative defense. However, the addition of amendments to the contaminated soil significantly reduced Ni bioavailability. The XRD analysis confirmed the formation of Ni related ligands and FTIR showed the presence of hydroxyl, carboxyl and sulfur functional groups, as well as complexation and adsorption of Ni on amendments. Among multiple amendments, biochar significantly enhanced plant biomass attributes and total chlorophyll content. Moreover, addition of amendments also strengthened the antioxidant defense by decreasing Ni induced oxidative stress (H2O2 and O2.-), increased macronutrient availability, reduced Ni uptake and improved soil health. The qPCR analysis showed that the Ni transporters were significantly suppressed by amendments, which is correlated with the lower accumulation of Ni in rapeseed. The present study showed that immobilizing agents, especially biochar, is an effective amendment to immobilize Ni in soil, which restricts its entry into the food chain.</t>
  </si>
  <si>
    <t>[Hannan, Fakhir; Huang, Qian; Ayyaz, Ahsan; Ma, Junyi; Zhang, Na; Islam, Faisal] Zhejiang Univ, Inst Crop Sci, Hangzhou 310058, Peoples R China; [Hannan, Fakhir; Huang, Qian; Ayyaz, Ahsan; Ma, Junyi; Zhang, Na; Islam, Faisal] Zhejiang Univ, Zhejiang Key Lab Crop Germplasm, Hangzhou 310058, Peoples R China; [Farooq, Muhammad A.; Zhou, Weijun] Zhejiang Univ, Minist Agr, Inst Crop Sci, Hangzhou 310058, Peoples R China; [Farooq, Muhammad A.; Zhou, Weijun] Zhejiang Univ, Rural Affairs Lab Spect Sensing, Hangzhou 310058, Peoples R China; [Ali, Basharat] Univ Agr Faisalabad, Dept Agron, Faisalabad 38040, Pakistan; [Deyett, Elizabeth] Univ Calif Riverside, Dept Bot &amp; Plant Sci, Riverside, CA 92521 USA</t>
  </si>
  <si>
    <t>Zhejiang University; Zhejiang University; Zhejiang University; Ministry of Agriculture &amp; Rural Affairs; Zhejiang University; University of Agriculture Faisalabad; University of California System; University of California Riverside</t>
  </si>
  <si>
    <t>Islam, F (corresponding author), Zhejiang Univ, Inst Crop Sci, Hangzhou 310058, Peoples R China.;Islam, F (corresponding author), Zhejiang Univ, Zhejiang Key Lab Crop Germplasm, Hangzhou 310058, Peoples R China.;Zhou, WJ (corresponding author), Zhejiang Univ, Minist Agr, Inst Crop Sci, Hangzhou 310058, Peoples R China.;Zhou, WJ (corresponding author), Zhejiang Univ, Rural Affairs Lab Spect Sensing, Hangzhou 310058, Peoples R China.</t>
  </si>
  <si>
    <t>wjzhou@zju.edu.cn; faisalislam@zju.edu.cn</t>
  </si>
  <si>
    <t>zhou, wei/HTO-6935-2023; Hannan, Fakhir/GPX-9665-2022; Islam, Faisal/F-9159-2014; Ayyaz, Ahsan/ABB-9236-2022; Ali, Basharat/M-4478-2017; Farooq, Muhammad Ahsan/R-7334-2017</t>
  </si>
  <si>
    <t>Ayyaz, Ahsan/0000-0002-7121-700X; Ali, Basharat/0000-0002-5965-7352; Farooq, Muhammad Ahsan/0000-0002-7183-2379</t>
  </si>
  <si>
    <t>National Key Technology Research and Development Program of China [2018YFD0700701]; Jiangsu Collaborative Innovation Center for Modern Crop Production (JCICMCP); National Natural Science Foundation of China [31950410554]; Science and Technology Department of Zhejiang Province [2016C02050-8]; Sino-German Research Project [GZ 1362]</t>
  </si>
  <si>
    <t>National Key Technology Research and Development Program of China(National Key Technology R&amp;D ProgramNational High Technology Research and Development Program of China); Jiangsu Collaborative Innovation Center for Modern Crop Production (JCICMCP); National Natural Science Foundation of China(National Natural Science Foundation of China (NSFC)); Science and Technology Department of Zhejiang Province; Sino-German Research Project</t>
  </si>
  <si>
    <t>This research was funded by the National Key Technology Research and Development Program of China (2018YFD0700701), the Jiangsu Collaborative Innovation Center for Modern Crop Production (JCICMCP), the National Natural Science Foundation of China (31950410554), the Science and Technology Department of Zhejiang Province (2016C02050-8), and the Sino-German Research Project (GZ 1362). We thank teacher Hu Weizhen (Agricultural Experiment Station, ZJU), Dr. Xie Li, teachers Wang Weilan and Li Junying (Lab. of Electron Microscopy, ZJU) for the help in electron microcopy analysis, and teacher Xing Chaogang for XRD and FTIR analysis (Analysis Center of Agrobiology and Environmental Sciences, ZJU), Zhejiang University for their assistance during the experiment.</t>
  </si>
  <si>
    <t>10.1016/j.jhazmat.2021.125921</t>
  </si>
  <si>
    <t>SX0CD</t>
  </si>
  <si>
    <t>WOS:000664879200003</t>
  </si>
  <si>
    <t>Roszko, M; Szymczyk, K; Jedrzejczak, R</t>
  </si>
  <si>
    <t>Roszko, Marek; Szymczyk, Krystyna; Jedrzejczak, Renata</t>
  </si>
  <si>
    <t>Photochemistry of tetra- through hexa-brominated dioxins/furans, hydroxylated and native BDEs in different media</t>
  </si>
  <si>
    <t>Brominated dioxins; PBDE; OH-BDE; Degradation; UV</t>
  </si>
  <si>
    <t>POLYBROMINATED DIPHENYL ETHERS; DIBENZO-P-DIOXINS; SEALS PHOCA-HISPIDA; BLUE MUSSELS; OH-PBDES; WATER; BIOTRANSFORMATION; PHOTOLYSIS; EMISSIONS; PRODUCTS</t>
  </si>
  <si>
    <t>The aim of this study was to investigate (i) the behavior of native PBDEs during UV irradiation in different media, (ii) the possibility of their transformation into hydroxylated PBDEs in aqueous media, and (iii) the photochemistry/levels of brominated dioxins/furans formed from hydroxylated PBDEs. Debromination leading to the formation of a wide range of low-brominated congeners was the main path of photocatalyzed transformations of PBDEs. In organic solvents other than toluene, BDEs degraded in line with the pseudo first order kinetics (10-20 min half-life, depending on congener type and reaction medium). Irradiated BDE 209 congener behaved quite differently than lower-brominated BDEs: detectable amounts of various bromo-benzenes were found. That suggests that UV irradiation of BDE 209 leads to cleavage of the ether bound between the congener's aromatic rings. Formation of bromophenyl bromo-methyl-biphenyl ethers or benzyl-bromophenoxybenzenes was observed in irradiated PBDE toluene-based solutions. The total concentration of OH-BDEs found in the reaction medium did not exceed 0.2 % of the initial precursor mass. Moreover, lower-brominated congeners detected in the reaction medium indicate subsequent debromination of OH-BDEs or hydro-debromination of the degraded congeners. Brominated dioxins and low levels of furans were observed in samples containing OH-BDEs. The total mass of dioxins did not exceed 3.5 % of the initial precursor mass.</t>
  </si>
  <si>
    <t>[Roszko, Marek; Szymczyk, Krystyna; Jedrzejczak, Renata] Inst Agr &amp; Food Biotechnol, Dept Food Anal, PL-02532 Warsaw, Poland</t>
  </si>
  <si>
    <t>Warsaw University of Life Sciences</t>
  </si>
  <si>
    <t>Roszko, M (corresponding author), Inst Agr &amp; Food Biotechnol, Dept Food Anal, Rakowiecka 36, PL-02532 Warsaw, Poland.</t>
  </si>
  <si>
    <t>roszko@ibprs.pl</t>
  </si>
  <si>
    <t>Szymczyk, Krystyna/0000-0001-6486-2660; Roszko, Marek/0000-0003-1848-2100</t>
  </si>
  <si>
    <t>Polish Ministry of Sciences and Higher Education [IP2012/054572]</t>
  </si>
  <si>
    <t>Polish Ministry of Sciences and Higher Education(Ministry of Science and Higher Education, Poland)</t>
  </si>
  <si>
    <t>This study was financially supported by the Polish Ministry of Sciences and Higher Education (Iuventus Plus IP2012/054572).</t>
  </si>
  <si>
    <t>10.1007/s11356-015-5065-7</t>
  </si>
  <si>
    <t>WOS:000365816000007</t>
  </si>
  <si>
    <t>Li, JD; Babayomi, O; Zhang, ZB; Li, Z</t>
  </si>
  <si>
    <t>Li, Junda; Babayomi, Oluleke; Zhang, Zhenbin; Li, Zhen</t>
  </si>
  <si>
    <t>Robust Predictive Current Control of PMSG Wind Turbines with Sensor Noise Suppression</t>
  </si>
  <si>
    <t>ENERGIES</t>
  </si>
  <si>
    <t>permanent magnet synchronous generator; wind turbine; model predictive control; noise suppression; disturbance rejection; robust control</t>
  </si>
  <si>
    <t>DRIVES</t>
  </si>
  <si>
    <t>Model predictive control (MPC) is an efficient and multi-functional control scheme for synchronous permanent magnet generators (PMSGs). However, the effective management of traditional MPC depends on precise system models. Multiple uncertainties of permanent magnet flux, motor inductance, filter inductance and parameter measurement noise will limit MPC's performance. The conventional linear extended state observer (ESO) can perform robust predictive control of the ultralocal model of the PMSG system to cope with parameter mismatches. However, the ESO is limited in balancing disturbance rejection with measurement noise attenuation. Since the amplification of high-frequency noise pollution can lead to both poor control performance and system instability, this challenge is of significant importance. To solve the problem, a new hybrid parallel cascaded ESO (PCESO) model-free predictive control framework is proposed using the three-level neutral-point-clamped (NPC) power electronic converter, on both the machine side and grid side. Analytical discussions of the time and frequency domain characteristics of the PCESO demonstrate its superior characteristics over the ESO. The proposed method can effectively balance parameter mismatch, disturbance rejection and high-frequency noise suppression. Finally, the effectiveness of the proposed method, under uncertainties of parameter mismatches, measurement noise and permanent magnet flux, is verified through real-time hardware-in-the-loop tests on a back-to-back grid-tied PMSG interfaced with an NPC power converter.</t>
  </si>
  <si>
    <t>[Li, Junda; Babayomi, Oluleke; Zhang, Zhenbin; Li, Zhen] Shandong Univ, Sch Elect Engn, Jinan 250061, Peoples R China</t>
  </si>
  <si>
    <t>Shandong University</t>
  </si>
  <si>
    <t>Zhang, ZB (corresponding author), Shandong Univ, Sch Elect Engn, Jinan 250061, Peoples R China.</t>
  </si>
  <si>
    <t>202114559@mail.sdu.edu.cn; oluleke.babayomi@mail.sdu.edu.cn; zbz@sdu.edu.cn; zhenli0901@sdu.edu.cn</t>
  </si>
  <si>
    <t>Babayomi, Oluleke/H-6273-2019; Zhang, Zhenbin/K-1402-2016</t>
  </si>
  <si>
    <t>Zhang, Zhenbin/0000-0002-2453-7502</t>
  </si>
  <si>
    <t>National Key R amp; D Program of China [2022YFB4201700]; General Program of National Natural Science Foundation of China [51977124, 52277192, 52277191]</t>
  </si>
  <si>
    <t>National Key R amp; D Program of China; General Program of National Natural Science Foundation of China(National Natural Science Foundation of China (NSFC))</t>
  </si>
  <si>
    <t>This research was funded by National Key R &amp; amp; D Program of China under 2022YFB4201700, in part by the General Program of National Natural Science Foundation of China under Grant 51977124, 52277192, and 52277191.</t>
  </si>
  <si>
    <t>1996-1073</t>
  </si>
  <si>
    <t>Energies</t>
  </si>
  <si>
    <t>10.3390/en16176255</t>
  </si>
  <si>
    <t>Energy &amp; Fuels</t>
  </si>
  <si>
    <t>R2RF8</t>
  </si>
  <si>
    <t>WOS:001062866200001</t>
  </si>
  <si>
    <t>Tibon, J; Gomez-Delgado, AI; Agüera, A; Strohmeier, T; Silva, MS; Lundebye, AK; Larsen, MM; Sloth, JJ; Amlund, H; Sele, V</t>
  </si>
  <si>
    <t>Tibon, Jojo; Gomez-Delgado, Ana I.; Aguera, Antonio; Strohmeier, Tore; Silva, Marta S.; Lundebye, Anne-Katrine; Larsen, Martin M.; Sloth, Jens J.; Amlund, Heidi; Sele, Veronika</t>
  </si>
  <si>
    <t>Arsenic speciation in low-trophic marine food chain - An arsenic exposure study on microalgae (Diacronema lutheri) and blue mussels (Mytilus edulis L.)</t>
  </si>
  <si>
    <t>Biotransformation; Bioaccumulation; HPLC; ICP-MS; Arsenosugars; Feed safety</t>
  </si>
  <si>
    <t>DUNALIELLA-TERTIOLECTA; UNICELLULAR ALGA; BIOACCUMULATION; ARSENOBETAINE; BIOTRANSFORMATION; METABOLISM; TOXICITY; SEAWATER; CADMIUM; ARSENOSUGARS</t>
  </si>
  <si>
    <t>Microalgae and blue mussels are known to accumulate undesirable substances from the environment, including arsenic (As). Microalgae can biotransform inorganic As (iAs) to organoarsenic species, which can be transferred to blue mussels. Knowledge on As uptake, biotransformation, and trophic transfer is important with regards to feed and food safety since As species have varying toxicities. In the current work, experiments were conducted in two parts: (1) exposure of the microalgae Diacronema lutheri to 5 and 10 mu g/L As(V) in seawater for 4 days, and (2) dietary As exposure where blue mussels (Mytilus edulis L.) were fed with D. lutheri exposed to 5 and 10 mu g/L As (V), or by aquatic exposure to 5 mu g/L As(V) in seawater, for a total of 25 days. The results showed that D. lutheri can take up As from seawater and transform it to methylated As species and arsenosugars (AsSug). However, exposure to 10 mu g/L As(V) resulted in accumulation of iAs in D. lutheri and lower production of methylated As species, which may suggest that detoxification mechanisms were overwhelmed. Blue mussels exposed to As via the diet and seawater showed no accumulation of As. Use of linear mixed models revealed that the blue mussels were gradually losing As instead, which may be due to As concentration differences in the mussels' natural environment and the experimental setup. Both D. lutheri and blue mussels contained notable proportions of simple methylated As species and AsSug. Arsenobetaine (AB) was not detected in D. lutheri but present in minor fraction in mussels. The findings suggest that low-trophic marine organisms mainly contain methylated As species and AsSug. The use of low-trophic marine organisms as feed ingredients requires further studies since AsSug are regarded as potentially toxic, which may introduce new risks to feed and food safety.</t>
  </si>
  <si>
    <t>[Tibon, Jojo; Gomez-Delgado, Ana I.; Aguera, Antonio; Strohmeier, Tore; Silva, Marta S.; Lundebye, Anne-Katrine; Sloth, Jens J.; Sele, Veronika] Inst Marine Res, POB 1870 Nordnes, N-5817 Bergen, Norway; [Tibon, Jojo; Sloth, Jens J.; Amlund, Heidi] Tech Univ Denmark, Natl Food Inst, Kemitorvet Bldg 201, DK-2800 Lyngby, Denmark; [Larsen, Martin M.] Aarhus Univ, Inst Ecosci, POB 358,Frederiksborgvej 399, DK-4000 Roskilde, Denmark; [Sele, Veronika] POB 1870 Nordnes, NO-5817 Bergen, Norway</t>
  </si>
  <si>
    <t>Institute of Marine Research - Norway; Technical University of Denmark; Aarhus University</t>
  </si>
  <si>
    <t>Sele, V (corresponding author), POB 1870 Nordnes, NO-5817 Bergen, Norway.</t>
  </si>
  <si>
    <t>Veronika.Sele@hi.no</t>
  </si>
  <si>
    <t>Sloth, Jens/H-6283-2017; Larsen, Martin/AAY-4024-2021; Aguera, Antonio/O-5498-2017</t>
  </si>
  <si>
    <t>Sele, Veronika/0000-0002-5700-629X; Larsen, Martin M/0000-0003-4331-8548; Gomez Delgado, Ana Isabel/0000-0002-4943-7452; Sloth, Jens Jorgen/0000-0002-3636-8769; Aguera, Antonio/0000-0003-0076-1849; Tibon, Jojo/0000-0002-3575-1723</t>
  </si>
  <si>
    <t>project Metals, arsenic and arsenic species in novel marine feed resources [15333]; Ministry of Trade, Industry and Fisheries (NFD) , Norway [15333]</t>
  </si>
  <si>
    <t>project Metals, arsenic and arsenic species in novel marine feed resources; Ministry of Trade, Industry and Fisheries (NFD) , Norway</t>
  </si>
  <si>
    <t>The authors would like to thank Annhild Engevik, Cathinka Krogness, Oivind Strand, Kjetil Stensland, and Sjur age Skar for the assistance in the exposure experiments at the IMR Research Station in Austevoll. Furthermore, the authors thank Sabrina June Hvid (AU Ecoscience) for the assistance in the analysis of seawater samples. This work was part of the project Metals, arsenic and arsenic species in novel marine feed resources (Project no. 15333) , which was funded by the Ministry of Trade, Industry and Fisheries (NFD) , Norway.</t>
  </si>
  <si>
    <t>10.1016/j.envpol.2023.122176</t>
  </si>
  <si>
    <t>FS2S7</t>
  </si>
  <si>
    <t>WOS:001147785200001</t>
  </si>
  <si>
    <t>Schlacher, TA; Connolly, RM</t>
  </si>
  <si>
    <t>Schlacher, Thomas A.; Connolly, Rod M.</t>
  </si>
  <si>
    <t>Land-Ocean Coupling of Carbon and Nitrogen Fluxes on Sandy Beaches</t>
  </si>
  <si>
    <t>ECOSYSTEMS</t>
  </si>
  <si>
    <t>land-ocean coupling; sandy shores; food webs; trophic subsidy</t>
  </si>
  <si>
    <t>TERRESTRIAL FOOD WEBS; GULF-OF-CALIFORNIA; ORGANIC-CARBON; DONAX-SERRA; PARTICULATE MATERIALS; FRESH-WATER; MARINE; ECOSYSTEMS; RIVER; DONACIDAE</t>
  </si>
  <si>
    <t>Rivers link oceans with the land, creating global hot spots of carbon processing in coastal seas. Coastlines around the world are dominated by sandy beaches, but beaches are unusual in that they are thought to rely almost exclusively on marine imports for food. No significant connections to terrestrial production having been demonstrated. By contrast, we isotopically traced carbon and nitrogen pathways leading to clams (Donax deltoides) on beaches. Clams from areas influenced by river plumes had significantly different isotope signatures (delta C-13: -18.5 to -20.2aEuro degrees; delta N-15: 8.3-10.0aEuro degrees) compared with clams remote from plumes (delta C-13: -17.5 to -19.5aEuro degrees; delta N-15: 7.6-8.7aEuro degrees), showing that terrestrial carbon and sewage, both delivered in river plumes, penetrate beach food webs. This is a novel mechanism of trophic subsidy in marine intertidal systems, linking the world's largest shore ecosystem to continental watersheds. The same clams also carry pollution signatures of sewage discharged into rivers, demonstrating that coastal rivers connect ecosystems in unexpected ways and transfer contaminants across the land-ocean boundary. The links we demonstrate between terrigenous matter and the largest of all marine intertidal ecosystems are significant given the immense social, cultural, and economic values of beaches to humans and the predicted consequences of altered river discharge to coastal seas caused by global climate change.</t>
  </si>
  <si>
    <t>[Schlacher, Thomas A.] Univ Sunshine Coast, Fac Sci Hlth &amp; Educ, Maroochydore, Qld 4558, Australia; [Connolly, Rod M.] Griffith Univ, Sch Environm, Gold Coast, Qld 4222, Australia; [Connolly, Rod M.] Griffith Univ, Australian Rivers Inst Coast &amp; Estuaries, Gold Coast, Qld 4222, Australia</t>
  </si>
  <si>
    <t>University of the Sunshine Coast; Griffith University; Griffith University - Gold Coast Campus; Griffith University; Griffith University - Gold Coast Campus</t>
  </si>
  <si>
    <t>Schlacher, TA (corresponding author), Univ Sunshine Coast, Fac Sci Hlth &amp; Educ, Maroochydore, Qld 4558, Australia.</t>
  </si>
  <si>
    <t>tschlach@usc.edu.au; r.connolly@griffith.edu.au</t>
  </si>
  <si>
    <t>Schlacher, Thomas/J-4614-2016; Connolly, Rod/C-4094-2008</t>
  </si>
  <si>
    <t>Schlacher, Thomas/0000-0003-2184-9217; Connolly, Rod/0000-0001-6223-1291</t>
  </si>
  <si>
    <t>1432-9840</t>
  </si>
  <si>
    <t>1435-0629</t>
  </si>
  <si>
    <t>Ecosystems</t>
  </si>
  <si>
    <t>10.1007/s10021-008-9224-2</t>
  </si>
  <si>
    <t>411SY</t>
  </si>
  <si>
    <t>WOS:000263672100009</t>
  </si>
  <si>
    <t>Baratange, C; Paris-Palacios, S; Bonnard, I; Delahaut, L; Grandjean, D; Wortham, L; Sayen, S; Gallorini, A; Michel, J; Renault, D; Breider, F; Loizeau, JL; Cosio, C</t>
  </si>
  <si>
    <t>Baratange, Clement; Paris-Palacios, Severine; Bonnard, Isabelle; Delahaut, Laurence; Grandjean, Dominique; Wortham, Laurence; Sayen, Stephanie; Gallorini, Andrea; Michel, Jean; Renault, David; Breider, Florian; Loizeau, Jean-Luc; Cosio, Claudia</t>
  </si>
  <si>
    <t>Metabolic, cellular and defense responses to single and co-exposure to carbamazepine and methylmercury in Dreissena polymorpha</t>
  </si>
  <si>
    <t>Bioaccumulation; Bivalve; Cellular compensation; Oxidative stress; Toxicity pathways</t>
  </si>
  <si>
    <t>MAPK SIGNALING PATHWAYS; NMR-BASED METABOLOMICS; WASTE-WATER TREATMENT; MYTILUS-GALLOPROVINCIALIS; ZEBRA MUSSEL; ANTIOXIDANT SYSTEMS; DRUG CARBAMAZEPINE; COMBINED EXPOSURE; LIFE PARAMETERS; METHYL-MERCURY</t>
  </si>
  <si>
    <t>Carbamazepine (CBZ) and Hg are widespread and persistent micropollutants in aquatic environments. Both pollutants are known to trigger similar toxicity mechanisms, e.g. reactive oxygen species (ROS) production. Here, their effects were assessed in the zebra mussel Dreissena polymorpha, frequently used as a freshwater model in ecotoxicology and biomonitoring. Single and co-exposures to CBZ (3.9 mu g L-1) and MeHg (280 ng L-1) were performed for 1 and 7 days. Metabolomics analyses evidenced that the co-exposure was the most disturbing after 7 days, reducing the amount of 25 metabolites involved in protein synthesis, energy metabolism, antioxidant response and osmoregulation, and significantly altering cells and organelles' structure supporting a reduction of functions of gills and digestive glands. CBZ alone after 7 days decreased the amount of alpha-aminobutyric acid and had a moderate effect on the structure of mitochondria in digestive glands. MeHg alone had no effect on mussels' metabolome, but caused a significant alteration of cells and organelles' structure in gills and digestive glands. Single exposures and the co-exposure increased antioxidant responses vs control in gills and digestive glands, without resulting in lipid peroxidation, suggesting an increased ROS production caused by both pollutants. Data globally supported that a higher number of hyperactive cells compensated cellular alterations in the digestive gland of mussels exposed to CBZ or MeHg alone, while CBZ + MeHg co-exposure overwhelmed this compensation after 7 days. Those effects were unpredictable based on cellular responses to CBZ and MeHg alone, highlighting the need to consider molecular toxicity pathways for a better anticipation of effects of pollutants in biota in complex environmental conditions.</t>
  </si>
  <si>
    <t>[Baratange, Clement; Paris-Palacios, Severine; Bonnard, Isabelle; Delahaut, Laurence; Cosio, Claudia] Univ Reims, Unite Stress Environm &amp; BIOsurveillance Milieux A, UMR I INERIS URCA ULH SEBIO 02, BP 1039 F, F-51687 Reims, France; [Grandjean, Dominique; Breider, Florian] Ecole Polytech Fed Lausanne EPFL, Cent Environm Lab, IIE, ENAC, Stn 2, CH-1015 Lausanne, Switzerland; [Wortham, Laurence; Michel, Jean] Univ Reims, Inserm UMR S 1250 P3Cell, F-51685 Reims 2, France; [Sayen, Stephanie] Univ Reims, Inst Chim Mol Reims ICMR, UMR CNRS 7312, BP 1039, F-51687 Reims 2, France; [Gallorini, Andrea; Loizeau, Jean-Luc] Univ Geneva, Inst Environm Sci, Dept FA Forel Environm &amp; Aquat Sci, Blvd Carl Vogt 66, CH-1211 Geneva, Switzerland; [Renault, David] Univ Rennes, CNRS, ECOBIO Ecosyst Biodiversite Evolut, UMR 6553, Rennes, France; [Renault, David] Inst Univ France, 1 Rue Descartes, F-75231 Paris 05, France</t>
  </si>
  <si>
    <t>Universite de Reims Champagne-Ardenne; Swiss Federal Institutes of Technology Domain; Ecole Polytechnique Federale de Lausanne; Universite de Reims Champagne-Ardenne; Universite de Reims Champagne-Ardenne; University of Geneva; Universite de Rennes; Centre National de la Recherche Scientifique (CNRS); CNRS - Institute of Ecology &amp; Environment (INEE); Institut Universitaire de France</t>
  </si>
  <si>
    <t>Cosio, C (corresponding author), Univ Reims, Unite Stress Environm &amp; BIOsurveillance Milieux A, UMR I INERIS URCA ULH SEBIO 02, BP 1039 F, F-51687 Reims, France.</t>
  </si>
  <si>
    <t>claudia.cosio@univ-reims.fr</t>
  </si>
  <si>
    <t>Loizeau, Jean-Luc/AAA-1165-2022; Breider, Florian/J-6747-2012</t>
  </si>
  <si>
    <t>Cosio, Claudia/0000-0001-8570-2738; Loizeau, Jean-Luc/0000-0002-0611-0388; Breider, Florian/0000-0002-5698-0314</t>
  </si>
  <si>
    <t>Grand Reims through the Aquasurv Chair; French National program EC2CO (Ecosphere Continentale et Cotiere) through the CARMA [12837]; SFR Condorcet through the DeMo program</t>
  </si>
  <si>
    <t>Grand Reims through the Aquasurv Chair; French National program EC2CO (Ecosphere Continentale et Cotiere) through the CARMA; SFR Condorcet through the DeMo program</t>
  </si>
  <si>
    <t>This research was funded by Grand Reims through the Aquasurv Chair, by the French National program EC2CO (Ecosph`ere Continentale et Cotiere) through the CARMA n. 12837 program and by the SFR Condorcet through the DeMo program.</t>
  </si>
  <si>
    <t>10.1016/j.envpol.2022.118933</t>
  </si>
  <si>
    <t>ZD8OK</t>
  </si>
  <si>
    <t>WOS:000758454600004</t>
  </si>
  <si>
    <t>Balazy, P; Wiktor, J; Tatarek, A; Weslawski, JM</t>
  </si>
  <si>
    <t>Balazy, Piotr; Wiktor, Jozef; Tatarek, Agnieszka; Weslawski, Jan Marcin</t>
  </si>
  <si>
    <t>Apparent return of free-living Fucus vesiculosus to the Polish Baltic waters</t>
  </si>
  <si>
    <t>Underwater meadows; Fucus mats; Puck Lagoon; Re-discovery</t>
  </si>
  <si>
    <t>PUCK BAY; GDANSK; GULF; SEA</t>
  </si>
  <si>
    <t>The underwater meadows of the Puck Bay, once thriving with eelgrass Zostera marina , bladderwrack Fucus vesiculosus and black carrageen Furcellaria lumbricalis , experienced a decline in water quality during the 1960s and 1970s due to untreated sewage pollution. This, together with commercial exploitation, led to the disappearance of bladderwrack in 1977, with unsuccessful attempts at reintroduction in the early 2000s. In December 2023, a SCUBA survey near Rzucewo revealed a numerous bladderwrack in a benthic free-living form after 46 years of absence. The algae were found between 1.7 and 2.7 m depth, loosely positioned on the seabed, often within Z. marina beds, and with blue mussels Mytilus edulis attached. This reappearance suggests a positive trend in seawater quality and overall state of the Puck Bay, especially when combined with recent recovery of other algae species. The apparent return of bladderwrack could enhance ecosystem functionality, benefiting fish recruitment, grazer and algal biomass. Further investigations on bladderwrack's reappearance are needed in order to verify whether this is the only ecotype currently present in the Puck Bay. (c) 2024 Institute of Oceanology of the Polish Academy of Sciences. Production and hosting by Elsevier B.V. This is an open access article under the CC BY-NC-ND license ( http://creativecommons.org/licenses/by-nc-nd/4.0/ ).</t>
  </si>
  <si>
    <t>[Balazy, Piotr; Wiktor, Jozef; Tatarek, Agnieszka; Weslawski, Jan Marcin] Polish Acad Sci, Inst Oceanol, Powstancow Warszawy 55, P-81712 Sopot, Poland</t>
  </si>
  <si>
    <t>Polish Academy of Sciences; Institute of Oceanology of the Polish Academy of Sciences</t>
  </si>
  <si>
    <t>Balazy, P (corresponding author), Polish Acad Sci, Inst Oceanol, Powstancow Warszawy 55, P-81712 Sopot, Poland.</t>
  </si>
  <si>
    <t>balazy@iopan.pl</t>
  </si>
  <si>
    <t>Weslawski, Jan/F-4075-2012; Balazy, Piotr/D-2949-2018</t>
  </si>
  <si>
    <t>Balazy, Piotr/0000-0002-1126-3151</t>
  </si>
  <si>
    <t>10.1016/j.oceano.2024.02.004</t>
  </si>
  <si>
    <t>TF1A0</t>
  </si>
  <si>
    <t>WOS:001239743200001</t>
  </si>
  <si>
    <t>Padovan, A; Kennedy, K; Rose, D; Gibb, K</t>
  </si>
  <si>
    <t>Padovan, Anna; Kennedy, Karen; Rose, Dianne; Gibb, Karen</t>
  </si>
  <si>
    <t>Microbial quality of wild shellfish in a tropical estuary subject to treated effluent discharge</t>
  </si>
  <si>
    <t>Shellfish; Pathogens; Faecal indicators; Effluent; Vibrio</t>
  </si>
  <si>
    <t>VIBRIO-PARAHAEMOLYTICUS; SOURCE TRACKING; FECAL CONTAMINATION; ESCHERICHIA-COLI; SURFACE WATERS; MULTIPLEX PCR; SEAFOOD; SALMONELLA; INDICATORS; OYSTERS</t>
  </si>
  <si>
    <t>Elevated faecal indicator levels in beaches around Darwin Harbour including near effluent outfalls have led to concerns about the safety of popular, locally harvested aquatic foods. To address these concerns, the impact of treated effluent discharge on the microbial quality of aquatic foods was assessed using culture-based and molecular tools. Seawater, shellfish (mangrove snails Telescopium and Nerita balteata, the local black lip oyster Saccostrea cucullata) and mud crabs (Scylla serrata) were collected from 13 sites close (impacted) and distal (reference) to two effluent discharge locations, in creeks and coastal areas. Sampling occurred over two dry seasons and one wet season. E. coli, typical sewage related pathogens, Salmonella and norovirus, and the molecular faecal marker Bacteroides, as well as naturally occurring marine bacteria, Vibrio parahaemolyticus and Vibrio vulnificus were tested in biota. E. coli and faecal coliforms were measured in water in water. The highest concentration of faecal coliforms in water was from the Buffalo Creek discharge site. At sites located in creeks including reference creeks, the highest concentrations of faecal coliforms in water were measured in the wet season compared to the dry season, whereas in coastal sites, no or only few ( &lt; 10) faecal coliforms were detected. E. coli concentrations in both snail species were significantly higher in the wet season compared to the dry season (P &lt; 0.0001) at both the treated effluent discharge sites and reference sites with some samples exceeding the acceptable Australian and New Zealand Food Standards (ANZFS) level based on E. coli levels in bivalves. E. coli concentrations in all of the S. cucullata samples were either below the detection limit or below the ANZFS limit for E. coli. No E. coif exceedances occurred in cooked mud crabs although low E. coli levels were measured in 3 cooked mud crab samples. Only one shellfish sample (T. telescopium) was positive for Salmonella. Norovirus and Bacteroides were not detected in any of the shellfish samples tested. V. parahaemolyticus and V. vulnificus were significantly more prevalent in shellfish samples during the wet season. Twelve virulent strains of V. parahaemolyticus were detected in T. telescopium and two in N. balteata. There was no significant difference in V. parahaemolyticus prevalence between sites. V. parahaemolyticus was detected in cooked S. serrata samples from three sites in the wet season and once in the 2016 dry season. V. vulnificus was detected in both T. telescopium and N. balteata, but not in any of the S. cucullata samples. One cooked crab meat sample from a reference site was positive for V. vulnificus. The prevalence of V. vulnificus was significantly higher at the reference sites compared to the discharge or potential impact sites. The lack of correlation between E. coli and targeted faecal pathogens in biota confirm that traditional faecal markers are not suitable surrogates for faecal pollution, at least not in the tropics. The higher prevalence of E. coil, V. parahaemolyticus and V. vulnificus in biota during the wet season compared to the dry season irrespective of treated sewage influence suggests that marine snails should not be harvested and consumed from creeks during the wet season. Any future aquaculture involving shellfish should consider these data when developing appropriate shellfish quality assurance protocols and for making decisions on where to situate farms.</t>
  </si>
  <si>
    <t>[Padovan, Anna; Gibb, Karen] Charles Darwin Univ, Res Inst Environm &amp; Livelihoods, Darwin, NT 0909, Australia; [Kennedy, Karen; Rose, Dianne] Power Water Corp, Water Serv, POB 37471, Winnellie, NT 0821, Australia</t>
  </si>
  <si>
    <t>Charles Darwin University</t>
  </si>
  <si>
    <t>Padovan, A (corresponding author), Charles Darwin Univ, Res Inst Environm &amp; Livelihoods, Darwin, NT 0909, Australia.</t>
  </si>
  <si>
    <t>anna.padovan@cdu.edu.au</t>
  </si>
  <si>
    <t>Padovan, Anna/0000-0002-1128-1309</t>
  </si>
  <si>
    <t>Power Water Corporation (Darwin, Northern Terriotry, Austalia)</t>
  </si>
  <si>
    <t>Power Water Corporation (Darwin, Northern Terriotry, Austalia) provided funding for this project.</t>
  </si>
  <si>
    <t>10.1016/j.envres.2019.108921</t>
  </si>
  <si>
    <t>KG7DX</t>
  </si>
  <si>
    <t>WOS:000510109700017</t>
  </si>
  <si>
    <t>dos Santos, MC; da Silva, RC; Leite, ACR; Nascentes, CC; Botero, WG; Santos, JCC</t>
  </si>
  <si>
    <t>dos Santos, Mayara C.; da Silva Filho, Reginaldo C.; Leite, Ana Catarina R.; Nascentes, Clesia C.; Botero, Wander G.; Santos, Josue C. C.</t>
  </si>
  <si>
    <t>Evaluation of Potentially Toxic Elements in Mundau Lagoon (Maceio, AL-Brazil): Systematic Environmental Monitoring of Water and Food Quality</t>
  </si>
  <si>
    <t>JOURNAL OF THE BRAZILIAN CHEMICAL SOCIETY</t>
  </si>
  <si>
    <t>Mundau lagoon; environmental monitoring; water quality; bivalve; potentially toxic elements</t>
  </si>
  <si>
    <t>CLOUD POINT EXTRACTION; SPECTROPHOTOMETRIC DETERMINATION; POLLUTION INDEX; SURFACE-WATER; HEAVY-METALS; SAMPLES; PRECONCENTRATION; RIVER; MICROEXTRACTION; SEDIMENTS</t>
  </si>
  <si>
    <t>The Mundau lagoon (Maceio, AL), besides being relevant socially, economically, and culturally, also in its surroundings, presents an intense anthropic occupation, characterized by a large population and the industrial activities presence. In this systematic environmental monitoring study (from 2017 to 2019), concentrations of Al, As, Bi, Cd, Cr, Cu, Fe, Hg, Li, Mn, Mo, Ni, Pb, Sb, Sn, V, and Zn in surface waters, and total Hg content in the bivalve Mytella charruana (sururu) were recorded, using cold vapor atomic fluorescence spectrometry (or hydride generation) (HG/CV AFS), inductively coupled plasma mass spectrometry (ICP-MS), and chronopotentiometry. In the water samples, the following elements presented concentrations above the values recommended by the National Council for the Environment (CONAMA), in mu g L-1: Al (24.4 -2008), Cu (1.88-13.03), Fe (84.9-4107), Hg (&lt; 0.0069-2.92), Mn (10.65-200), Pb (192-1443) and Zn (121-997), and therefore, the water was classified following the water pollution index (WPI), as highly impure and polluted. The Hg content in sururu, the main food in Mundau lagoon, ranged from 0.036-0.63 mg kg(-1) (dry weight). Further, the chemometric evaluation of the data based on the principal component and correlation analysis suggested a chemical-defined profile at the different sampling points.</t>
  </si>
  <si>
    <t>[dos Santos, Mayara C.; da Silva Filho, Reginaldo C.; Leite, Ana Catarina R.; Botero, Wander G.; Santos, Josue C. C.] Univ Fed Alagoas UFAL, Inst Quim &amp; Biotecnol, Campus AC Simoes, BR-57072900 Maceio, Alagoas, Brazil; [Nascentes, Clesia C.] Univ Fed Minas Gerais UFMG, Dept Quim, BR-31270901 Belo Horizonte, MG, Brazil</t>
  </si>
  <si>
    <t>Santos, JCC (corresponding author), Univ Fed Alagoas UFAL, Inst Quim &amp; Biotecnol, Campus AC Simoes, BR-57072900 Maceio, Alagoas, Brazil.</t>
  </si>
  <si>
    <t>josue@iqb.ufal.br</t>
  </si>
  <si>
    <t>Nascentes, Clésia/M-9025-2015; botero, wander/L-9399-2014; Leite, Ana Catarina/K-8340-2014; Santos, Josue/F-6497-2016</t>
  </si>
  <si>
    <t>Correia da Silva Filho, Reginaldo/0000-0001-7068-731X; Leite, Ana Catarina/0000-0002-3426-3357; Santos, Josue/0000-0002-9525-5123</t>
  </si>
  <si>
    <t>Coordenacao de Aperfeicoamento de Pessoal de Nivel Superior -Brazil (CAPES) [001]; Conselho Nacional de Desenvolvimento Cientifico e Tecnologico (CNPq); Fundacao de Amparo a Pesquisa do Estado de Alagoas (FAPEAL) [60030 000863/2016]</t>
  </si>
  <si>
    <t>Coordenacao de Aperfeicoamento de Pessoal de Nivel Superior -Brazil (CAPES)(Coordenacao de Aperfeicoamento de Pessoal de Nivel Superior (CAPES)); Conselho Nacional de Desenvolvimento Cientifico e Tecnologico (CNPq)(Conselho Nacional de Desenvolvimento Cientifico e Tecnologico (CNPQ)); Fundacao de Amparo a Pesquisa do Estado de Alagoas (FAPEAL)(Fundacao de Amparo a Pesquisa do Estado de Alagoas (FAPEAL))</t>
  </si>
  <si>
    <t>The authors thank Coordenacao de Aperfeicoamento de Pessoal de Nivel Superior -Brazil (CAPES) -Finance Code 001, Conselho Nacional de Desenvolvimento Cientifico e Tecnologico (CNPq) for financial support and fellowships (JCCS and CCN), and Fundacao de Amparo a Pesquisa do Estado de Alagoas (FAPEAL, process number: 60030 000863/2016).</t>
  </si>
  <si>
    <t>0103-5053</t>
  </si>
  <si>
    <t>1678-4790</t>
  </si>
  <si>
    <t>J BRAZIL CHEM SOC</t>
  </si>
  <si>
    <t>J. Braz. Chem. Soc.</t>
  </si>
  <si>
    <t>10.21577/0103-5053.20210067</t>
  </si>
  <si>
    <t>TS9WT</t>
  </si>
  <si>
    <t>WOS:000680003400005</t>
  </si>
  <si>
    <t>Jena, KB; Verlecar, XN; Chainy, GBN</t>
  </si>
  <si>
    <t>Jena, K. B.; Verlecar, X. N.; Chainy, G. B. N.</t>
  </si>
  <si>
    <t>Application of oxidative stress indices in natural populations of Perna viridis as biomarker of environmental pollution</t>
  </si>
  <si>
    <t>Antioxidant enzymes; Lipid peroxidation; Biomarker; Coastal waters; Perna viridis</t>
  </si>
  <si>
    <t>GREEN-LIPPED MUSSEL; DIGESTIVE GLAND; WEST-COAST; ANTIOXIDANT ENZYMES; MYTILUS-GALLOPROVINCIALIS; BIOCHEMICAL MARKERS; SEASONAL-VARIATION; HEAVY-METALS; TRACE-METALS; GLUTATHIONE</t>
  </si>
  <si>
    <t>Oxidative stress indices were measured in gills and digestive glands of Perna viridis collected from three coastal locations in Goa i.e., Bambolim, Marmugao Harbour and Malim. In addition to lipid peroxidation, the activities of antioxidant enzymes such as superoxide dismutase, catalase, glutathione peroxidase,glutathione reductase and glutathione S-transferase and two non-enzymatic antioxidants (ascorbic acid and reduced glutathione) were investigated in order to understand their variation with respect to pollution status of the sampling locations. We observed a significant increase in lipid peroxidation and antioxidant enzymes of both the tissues at Mormugao Harbour and Malim, suggesting that the animals at these two locations are at higher level of oxidative stress as compared to those at Bambolim. Conversely, low levels of non-enzymatic antioxidants such as ascorbic acid and reduced glutathione, observed at Mormugao Harbour and Malim indicate that the animals may use these compounds to counteract stress in the tissues. This study shows that changes in lipid peroxidation, superoxide dismutase, catalase, glutathione reductase, glutathione S-transferase and reduced glutathione in tissues of A viridis can be used as molecular biomarkers in environmental monitoring programs. (C) 2008 Elsevier Ltd. All rights reserved.</t>
  </si>
  <si>
    <t>[Jena, K. B.; Verlecar, X. N.] Natl Inst Oceanog, Div Biol Oceanog, Environm Lab, Panaji 403004, Goa, India; [Chainy, G. B. N.] Utkal Univ, Dept Zool &amp; Biotechnol, Bhubaneswar 751004, Orissa, India</t>
  </si>
  <si>
    <t>Verlecar, XN (corresponding author), Natl Inst Oceanog, Div Biol Oceanog, Environm Lab, Panaji 403004, Goa, India.</t>
  </si>
  <si>
    <t>NIO [SSP1738]</t>
  </si>
  <si>
    <t>NIO</t>
  </si>
  <si>
    <t>The authors are grateful for the help of the Director of NIO. This work is carried under the funds from NIO Project SSP1738. We are thankful to the Head of the Department of Zoology and Biotechnology, Utkal University, for facilities.</t>
  </si>
  <si>
    <t>10.1016/j.marpolbul.2008.08.018</t>
  </si>
  <si>
    <t>WOS:000262963500025</t>
  </si>
  <si>
    <t>Prosser, RS; Gillis, PL; Holman, EAM; Schissler, D; Ikert, H; Toito, J; Gilroy, E; Campbell, S; Bartlett, AJ; Milani, D; Parrott, JL; Balakrishnan, VK</t>
  </si>
  <si>
    <t>Prosser, R. S.; Gillis, P. L.; Holman, E. A. M.; Schissler, D.; Ikert, H.; Toito, J.; Gilroy, E.; Campbell, S.; Bartlett, A. J.; Milani, D.; Parrott, J. L.; Balakrishnan, V. K.</t>
  </si>
  <si>
    <t>Effect of substituted phenylamine antioxidants on three life stages of the freshwater mussel Lampsilis siliquoidea</t>
  </si>
  <si>
    <t>ACUTE TOXICITY; PARTITION-COEFFICIENT; CHEMICALS; GLOCHIDIA; ANIMALS; COPPER</t>
  </si>
  <si>
    <t>Substituted phenylamines (SPAs) are incorporated into a variety of consumer products (e.g., polymers, lubricants) in order to increase the lifespan of the products by acting as a primary antioxidant. Based on their physicochemical properties, if SPAs were to enter the aquatic environment, they would likely partition into sediment. No studies to date have investigated the effect of sediment-associated SPAs on aquatic organisms. The current study examined the effect of four SPAs (diphenylamine (DPA); N-phenyl-1-napthylamine (PNA); N-(1,3-dimethylbutyl)-N'-phenyl-1,4-phenylenediamine (DPPDA); 4,4'-methylene-bis[N-sec-butylaniline] (MBA)) on three different life stages of the freshwater mussel, Lampsilis siliquoidea. The viability of larvae (glochidia) of L. siliquoidea and Lampsilis fasciola was assessed after 48 h of exposure to SPAs in water. The 48-h EC50s for glochidia viability of L. siliquoidea were 5951, 606, 439, and 258 mu g/L for DPA, PNA, DPPDA, and MBA, respectively, and 7946, 591, 137, and 47 mu g/L, respectively, for L. fasciola. Juvenile (7-15 months) and adult L. siliquoidea were exposed to sediment-associated SPAs for 28 d. LC50s for juvenile mussels were 18, 55, 62, and 109 mu g/g dry weight (dw) of sediment for DPA, PNA, DPPDA, and MBA, respectively. Adult mussels were exposed to sub-lethal concentrations of sediment-associated SPAs in order to investigate reactive oxygen species (ROS), lipid peroxidation and total glutathione in the gill, gonad, and digestive gland tissue, and viability and DNA damage in hemocytes. No significant concentration-dependent trend in any of these biochemical and cellular endpoints relative to the concentration of sediment-associated SPAs was observed in any tissues. Investigations into the concentration of SPAs in the aquatic environment are required before a conclusion can be made on whether these compounds pose a hazard to the different life stages of freshwater mussels.</t>
  </si>
  <si>
    <t>[Prosser, R. S.; Gillis, P. L.; Holman, E. A. M.; Schissler, D.; Ikert, H.; Toito, J.; Bartlett, A. J.; Parrott, J. L.; Balakrishnan, V. K.] Environm &amp; Climate Change Canada, Aquat Contaminants Res Div, Burlington, ON, Canada; [Gilroy, E.; Campbell, S.] Greenhouse Sci, Burlington, ON, Canada; [Milani, D.] Environm &amp; Climate Change Canada, Watershed Hydrol &amp; Ecol Res Div, Burlington, ON, Canada; [Prosser, R. S.] Univ Guelph, Sch Environm Sci, Guelph, ON, Canada</t>
  </si>
  <si>
    <t>Environment &amp; Climate Change Canada; Environment &amp; Climate Change Canada; University of Guelph</t>
  </si>
  <si>
    <t>Prosser, RS (corresponding author), Univ Guelph, Sch Environm Sci, Guelph, ON, Canada.</t>
  </si>
  <si>
    <t>Ikert, Heather/AAP-3489-2021; Prosser, Ryan/AAC-4048-2022</t>
  </si>
  <si>
    <t>Ikert, Heather/0000-0002-3271-8397; Prosser, Ryan/0000-0001-9087-5748; Bartlett, Adrienne/0000-0003-3265-0502</t>
  </si>
  <si>
    <t>Government of Canada's Chemicals Management Plan</t>
  </si>
  <si>
    <t>The Government of Canada's Chemicals Management Plan provided funding for this research.</t>
  </si>
  <si>
    <t>10.1016/j.envpol.2017.05.086</t>
  </si>
  <si>
    <t>FG3AW</t>
  </si>
  <si>
    <t>WOS:000410010200029</t>
  </si>
  <si>
    <t>Babitsch, D; Berger, E; Sundermann, A</t>
  </si>
  <si>
    <t>Babitsch, Denise; Berger, Elisabeth; Sundermann, Andrea</t>
  </si>
  <si>
    <t>Linking environmental with biological data: Low sampling frequencies of chemical pollutants and nutrients in rivers reduce the reliability of model results</t>
  </si>
  <si>
    <t>Threshold Indicator Taxa Analysis; Species sensitivity distribution; Benthic macroinvertebrate; Water quality parameter; Hazardous concentration; Change point</t>
  </si>
  <si>
    <t>SPECIES SENSITIVITY DISTRIBUTIONS; WATER-QUALITY DATA; REAL-TIME; BIOASSESSMENT; BIODIVERSITY; ASSEMBLAGES; CRITERIA; REGIMES; STREAMS; TRENDS</t>
  </si>
  <si>
    <t>Linking environmental and biological data using ecological models can provide crucial knowledge about the effects of water quality parameters on freshwater ecosystems. However, a model can only be as reliable as its input data. Here, the influence of sampling frequency of temporal variable environmental input data on the reliability of model results when linked to biological data was investigated using Threshold Indicator Taxa Analysis (TITAN) and species sensitivity distributions (SSDs). Large-scale biological data from benthic macroinvertebrates and matching water quality data including four metals and four nutrients of up to 559 site-year combinations formed the initial data sets. To compare different sampling frequencies, the initial water quality data sets (n = 12 samples per year, set as reference) were subsampled (n = 10, 8, 6, 4, 2 and 1), annual mean values calculated and used as input data in the models. As expected, subsampling significantly reduced the reliability of the environmental input data across all eight substances. For TITAN, the use of environmental input data with a reduced reliability led to a considerable (1) loss of information because valid taxa were no longer identified, (2) gain of unreliable taxon-specific change points due to false positive taxa, and (3) bias in the change point estimation. In contrast, the reliability of the SSD results appeared to be much less reduced. However, closer examination of the SSD input data indicated that existing effects were masked by poor model performance. The results confirm that the sampling frequency of water quality data significantly influences the reliability of model results when linked with biological data. For studies limited to low sampling frequencies, the discussion provides recommendations on how to deal with low sampling frequencies of temporally variable water quality data when using them in TITAN, in SSDs, and in other ecological models. (C) 2021 Elsevier B.V. All rights reserved.</t>
  </si>
  <si>
    <t>[Babitsch, Denise; Sundermann, Andrea] Senckenberg Res Inst, Dept River Ecol &amp; Conservat, Clamecystr 12, D-63571 Gelnhausen, Germany; [Babitsch, Denise; Sundermann, Andrea] Nat Hist Museum Frankfurt, Clamecystr 12, D-63571 Gelnhausen, Germany; [Babitsch, Denise; Sundermann, Andrea] Goethe Univ, Dept Aquat Ecotoxicol, Inst Ecol Evolut &amp; Divers, Max von Laue Str 13, D-60438 Frankfurt, Germany; [Berger, Elisabeth] Univ Koblenz Landau, Dept Social Ecol Syst, Fortstr 7, D-76829 Landau, Germany</t>
  </si>
  <si>
    <t>Senckenberg Gesellschaft fur Naturforschung (SGN); Goethe University Frankfurt; University of Koblenz &amp; Landau</t>
  </si>
  <si>
    <t>Denise.Babitsch@senckenberg.de; Berger@uni-landau.de; Andrea.Sundermann@senckenberg.de</t>
  </si>
  <si>
    <t>Sundermann, Andrea/0000-0003-2304-1967</t>
  </si>
  <si>
    <t>Hans Bockler Foundation PhD fellowship</t>
  </si>
  <si>
    <t>The first author gratefully acknowledges the financial support received towards her PhD from the Hans Bockler Foundation PhD fellowship. Special thanks go out to the Saxon State Office for Environment, Agriculture and Geology for the provision of water quality monitoring data (https://www.umwelt.sachsen.de/umwelt/wasser/7112.htm) as well as benthic macroinvertebrate monitoring data. English language editing service was supplied by Goethe Research Academy for Early Career Researchers.</t>
  </si>
  <si>
    <t>10.1016/j.scitotenv.2021.145498</t>
  </si>
  <si>
    <t>QW6JO</t>
  </si>
  <si>
    <t>WOS:000628753700102</t>
  </si>
  <si>
    <t>Gan, DF; Dou, JB; Huang, Q; Huang, HY; Chen, JY; Liu, MY; Qi, HX; Yang, ZY; Zhang, XY; Wei, Y</t>
  </si>
  <si>
    <t>Gan, Defu; Dou, Jibo; Huang, Qiang; Huang, Hongye; Chen, Junyu; Liu, Meiying; Qi, Hongxu; Yang, Zhenyu; Zhang, Xiaoyong; Wei, Yen</t>
  </si>
  <si>
    <t>Carbon nanotubes-based polymer nanocomposites: Bio-mimic preparation and methylene blue adsorption</t>
  </si>
  <si>
    <t>Carbon nanotubes; Ring-opening reaction; Dopamine; Mussel inspired chemistry; Methylene blue; Adsorption</t>
  </si>
  <si>
    <t>MUSSEL INSPIRED CHEMISTRY; METAL-ORGANIC FRAMEWORK; SURFACE MODIFICATION; HEAVY-METALS; WASTE-WATER; REMOVAL; DYE; NANOPARTICLES; PERFORMANCE; ADSORBENTS</t>
  </si>
  <si>
    <t>The effective removal of environmental pollutants using nanomaterials and their composites has attracted great attention over the past few decades. Among them, carbon nanotubes (CNTs) have been extensively applied as adsorbents to remove various environmental pollutants for their small size, large surface areas and unique chemical structure. However, the adsorption performance of pristine CNTs is largely limited for their poor dispersibility and lack of functional groups. In this work, CNTs based composites (CNTs@poly(S-co-MA-DA)) have been successfully synthesized through combination of ring-opening reaction and mussel inspired chemistry. The pristine CNTs and as-prepared CNTs@poly(S-co-MA-DA) were characterized by transmission electron microscope (TEM), Fourier transform infrared spectroscopy (FT-IR), thermogravimetric analysis (TGA), and X-ray photoelectron spectroscopy (XPS). The influence of various experimental factors on the adsorption process, such as contact time, initial MB concentration, solution pH and temperature, was studied. Experimental results show that adsorption capacity of CNTs@poly(S-co-MA-DA) is about 4 times that of pristine CNTs in same experimental conditions. The kinetics and isotherms studies suggest that pseudo-second-order kinetic and Freundlich isotherm models could well fit with the adsorption data. The thermodynamic studies imply that the adsorption process of MB onto CNTs@poly(S-co-MA-DA) is endothermic and spontaneous. The adsorption mechanism might be the synergistic action of physical adsorption of CNTs@poly(S-co-MA-DA) particles and electrostatic interaction between the MB and functional groups on the surface of CNTs@poly(S-co-MA-DA) composites, including carboxyl, acylamino, hydroxyl and aromatic moieties. These obtained results and facts indicate that the as-prepared CNTs@poly(S-co-MA-DA) could be utilized as high-performance adsorbents with great potential applications in environmental treatment.</t>
  </si>
  <si>
    <t>[Gan, Defu; Dou, Jibo; Huang, Qiang; Huang, Hongye; Chen, Junyu; Liu, Meiying; Yang, Zhenyu; Zhang, Xiaoyong] Nanchang Univ, Coll Chem, 999 Xuefu Ave, Nanchang 330031, Jiangxi, Peoples R China; [Qi, Hongxu] Johns Hopkins Univ, Dept Mat Sci &amp; Engn, Baltimore, MD 21218 USA; [Wei, Yen] Tsinghua Univ, Dept Chem, Beijing 100084, Peoples R China; [Wei, Yen] Tsinghua Univ, Tsinghua Ctr Frontier Polymer Res, Beijing 100084, Peoples R China; [Wei, Yen] Chung Yuan Christian Univ, Dept Chem, Changhua 32023, Taiwan; [Wei, Yen] Chung Yuan Christian Univ, Ctr Nanotechnol, Changhua 32023, Taiwan; [Wei, Yen] Chung Yuan Christian Univ, Inst Biomed Technol, Changhua 32023, Taiwan</t>
  </si>
  <si>
    <t>Nanchang University; Johns Hopkins University; Tsinghua University; Tsinghua University; Chung Yuan Christian University; Chung Yuan Christian University; Chung Yuan Christian University</t>
  </si>
  <si>
    <t>Yang, ZY; Zhang, XY (corresponding author), Nanchang Univ, Coll Chem, 999 Xuefu Ave, Nanchang 330031, Jiangxi, Peoples R China.;Wei, Y (corresponding author), Tsinghua Univ, Dept Chem, Beijing 100084, Peoples R China.;Wei, Y (corresponding author), Tsinghua Univ, Tsinghua Ctr Frontier Polymer Res, Beijing 100084, Peoples R China.;Wei, Y (corresponding author), Chung Yuan Christian Univ, Dept Chem, Changhua 32023, Taiwan.;Wei, Y (corresponding author), Chung Yuan Christian Univ, Ctr Nanotechnol, Changhua 32023, Taiwan.;Wei, Y (corresponding author), Chung Yuan Christian Univ, Inst Biomed Technol, Changhua 32023, Taiwan.</t>
  </si>
  <si>
    <t>zyyang@ncu.edu.cn; zhangxiaoyong@ncu.edu.cn; weiyen@tsinghua.edu.cn</t>
  </si>
  <si>
    <t>Yang, Zhenyu/CAA-2334-2022; zhang, xiaoyong/ABD-5797-2021; Wei, Yen/H-5329-2012; liu, meiying/H-7762-2013; QI, Hongxu/B-1025-2012; Dou, Jibo/AAT-1196-2021</t>
  </si>
  <si>
    <t>Gan, Defu/0009-0006-9368-6348; Dou, Jibo/0000-0002-9190-400X</t>
  </si>
  <si>
    <t>National Natural Science Foundation of China [21865016, 21788102, 21564006, 21561022, 51561022, 21644014]</t>
  </si>
  <si>
    <t>This research was supported by the National Natural Science Foundation of China (Nos. 21865016, 21788102, 21564006, 21561022, 51561022, 21644014).</t>
  </si>
  <si>
    <t>10.1016/j.jece.2019.103525</t>
  </si>
  <si>
    <t>LB6KW</t>
  </si>
  <si>
    <t>WOS:000524743700014</t>
  </si>
  <si>
    <t>Namiesnik, J; Szefer, P; Sliwka-Kaszynska, M; Moncheva, S; Arancibia-Avila, P; Toledo, F; Ham, KS; Kang, SG; Gorinstein, S</t>
  </si>
  <si>
    <t>Namiesnik, Jacek; Szefer, Piotr; Sliwka-Kaszynska, Magdalena; Moncheva, Snejana; Arancibia-Avila, Patricia; Toledo, Fernando; Ham, Kyung-Sik; Kang, Seong-Gook; Gorinstein, Shela</t>
  </si>
  <si>
    <t>Determination of PAHs, PCBs, Minerals, Trace Elements, and Fatty Acids in Rapana thomasiana as an Indication of Pollution</t>
  </si>
  <si>
    <t>MUSSELS MYTILUS-GALLOPROVINCIALIS; POLYCYCLIC AROMATIC-HYDROCARBONS; HEAVY-METALS; ORGANOCHLORINE PESTICIDES; EXTRACTION; MOLLUSKS; WATER; GULF</t>
  </si>
  <si>
    <t>The aim of this investigation was to introduce several analytical methods for determination of polycyclic aromatic hydrocarbons (PAHs), polychlorinated biphenyls (PCBs), minerals, trace elements, and fatty acids in Rapana thomasiana as a marine pollution indicator organism. The chemical differences of the gastropod Ra. thomasiana from polluted and nonpolluted sites of the Black Sea on the Bulgarian coast were investigated. Chromatography and high-resolution inductively coupled plasma/MS analyses were used for evaluation of PAHs, PCBs, fatty acids, minerals, and trace elements. These methods can be applied to other marine products.</t>
  </si>
  <si>
    <t>[Gorinstein, Shela] Hebrew Univ Jerusalem, Hadassah Med Sch, Sch Pharm, Inst Drug Res, IL-91010 Jerusalem, Israel; [Namiesnik, Jacek] Gdansk Univ Technol, Fac Chem, Dept Analyt Chem, PL-80952 Gdansk, Poland; [Sliwka-Kaszynska, Magdalena] Gdansk Univ Technol, Fac Chem, Dept Organ Chem, PL-80952 Gdansk, Poland; [Szefer, Piotr] Med Univ Gdansk, Fac Pharm, Gdansk, Poland; [Moncheva, Snejana] Bulgarian Acad Sci, Inst Oceanol, Varna 9000, Bulgaria; [Arancibia-Avila, Patricia; Toledo, Fernando] Univ Bio Bio, Dept Basic Sci, Chillan, Chile; [Ham, Kyung-Sik; Kang, Seong-Gook] Mokpo Natl Univ, Dept Food Engn, Muan, South Korea</t>
  </si>
  <si>
    <t>Hebrew University of Jerusalem; Fahrenheit Universities; Gdansk University of Technology; Fahrenheit Universities; Gdansk University of Technology; Fahrenheit Universities; Medical University Gdansk; Bulgarian Academy of Sciences; Universidad del Bio-Bio; Mokpo National University</t>
  </si>
  <si>
    <t>Gorinstein, S (corresponding author), Hebrew Univ Jerusalem, Hadassah Med Sch, Sch Pharm, Inst Drug Res, IL-91010 Jerusalem, Israel.</t>
  </si>
  <si>
    <t>Namiesnik, Jacek/0000-0001-9598-2198; Arancibia-Avila, Patricia/0000-0002-5814-1725; Sliwka-Kaszynska, Magdalena/0000-0002-9717-3893; TOLEDO-MONTIEL, FERNANDO/0000-0001-9435-0973</t>
  </si>
  <si>
    <t>1944-7922</t>
  </si>
  <si>
    <t>679WG</t>
  </si>
  <si>
    <t>WOS:000284190900032</t>
  </si>
  <si>
    <t>Allen, JI; McVeigh, A</t>
  </si>
  <si>
    <t>Towards computational models of cells for environmental toxicology</t>
  </si>
  <si>
    <t>JOURNAL OF MOLECULAR HISTOLOGY</t>
  </si>
  <si>
    <t>MUSSELS MYTILUS-GALLOPROVINCIALIS; DIGESTIVE CELLS; PEROXISOME DEGRADATION; RESPONSES; LYSOSOMES; MACROAUTOPHAGY; EDULIS; DAMAGE; BLOOD; OIL</t>
  </si>
  <si>
    <t>This paper outlines an approach to the development of computational models of cells for marine environmental toxicology. Exposure of cells to pollutants can lead to lysosomal damage and dysfunction, augmented autophagy, cellular dysfunction and atrophy and ultimately tissue pathology and organ damage. The application of carbon and nitrogen based models of intra cellular vesicular traffic for simulating the autophagic and lysosomal response of the hepatopancreatic digestive cells of marine molluscs is described. Two numerical models of the vesicular transport of carbon and nitrogen in the cell are presented. These demonstrate the importance of endocytotic uptake as a driver of lysosomal dynamics and the need to recognize and model it as a discrete process. Conceptual and mathematical models of the toxic impact of polycyclic aromatic hydrocarbons on the digestive gland are presented. The role of experimental research and the need to integrate it with modelling is highlighted.</t>
  </si>
  <si>
    <t>Plymouth Marine Lab, Plymouth PL1 3DH, Devon, England; Univ Plymouth, Dept Math &amp; Stat, Plymouth PL4 8AA, Devon, England</t>
  </si>
  <si>
    <t>Plymouth Marine Laboratory; University of Plymouth</t>
  </si>
  <si>
    <t>1567-2379</t>
  </si>
  <si>
    <t>1567-2387</t>
  </si>
  <si>
    <t>J MOL HISTOL</t>
  </si>
  <si>
    <t>J. Mol. Histol.</t>
  </si>
  <si>
    <t>881XY</t>
  </si>
  <si>
    <t>WOS:000225904000006</t>
  </si>
  <si>
    <t>Coppola, F; Pires, A; Velez, C; Soares, AMVM; Pereira, E; Figueira, E; Freitas, R</t>
  </si>
  <si>
    <t>Coppola, Francesca; Pires, Adilia; Velez, Catia; Soares, Amadeu M. V. M.; Pereira, Eduarda; Figueira, Etelvina; Freitas, Rosa</t>
  </si>
  <si>
    <t>Biochemical and physiological alterations induced in Diopatra neapolitana after a long-term exposure to Arsenic</t>
  </si>
  <si>
    <t>Oxidative stress; Biomarkers; Arsenic; Regenerative capacity; Polychaete; Sediment</t>
  </si>
  <si>
    <t>POLYCHAETE HEDISTE-DIVERSICOLOR; BIVALVE CERASTODERMA-EDULE; REGENERATIVE CAPACITY; NEREIS-DIVERSICOLOR; SUBCELLULAR COMPARTMENTALIZATION; POLLUTION BIOMARKERS; ARENICOLA-MARINA; OXIDATIVE STRESS; SALINITY CHANGES; AVEIRO PORTUGAL</t>
  </si>
  <si>
    <t>Several authors identified polychaetes as a group of marine invertebrates that respond rapidly to anthropogenic stressors. Furthermore, several studies have demonstrated that environmental pollution lead to the impoverishment of benthic communities with species replacement and biodiversity loss, but very few studies have investigated biochemical and physiological alterations that species undergo in response to Arsenic (As) exposure. Therefore, the present study assessed the toxicity induced in the polychaete Diopatra neapolitana after a long-term (28 days) exposure to different As concentrations (0.0, 0.05, 0.25 and 1.25 mg/L). For this biochemical and physiological alterations were evaluated. Biochemical analysis included the measurement of different biomarkers such as glutathione S-transferase (GST), lipid peroxidation (LPO), superoxide dismutase (SOD), catalase (CAT), reduced glutathione (GSH) and oxidized glutathione (GSSG) were assessed in order to evaluate oxidative stress. Physiological analyzes included the observation of polychaetes regenerative capacity and the quantification of organisms total protein (PROT) and glycogen (GLY) content. The results obtained allowed to confirm the suitability of these biomarkers to identify the toxicity caused by As and moreover revealed that D. neapolitana is a good bioindicator of As pollution. (C) 2016 Elsevier Inc. All rights reserved.</t>
  </si>
  <si>
    <t>[Coppola, Francesca; Pires, Adilia; Velez, Catia; Soares, Amadeu M. V. M.; Figueira, Etelvina; Freitas, Rosa] Univ Aveiro, Dept Biol, Campus Univ Santiago, P-3810193 Aveiro, Portugal; [Coppola, Francesca; Pires, Adilia; Velez, Catia; Soares, Amadeu M. V. M.; Pereira, Eduarda; Figueira, Etelvina; Freitas, Rosa] Univ Aveiro, CESAM, Aveiro, Portugal; [Pereira, Eduarda] Univ Aveiro, Dept Chem, Aveiro, Portugal</t>
  </si>
  <si>
    <t>Coppola, Francesca/U-8869-2018; Pereira, Eduarda/A-5907-2012; Freitas, Rosa/A-7539-2012; Figueira, Etelvina/M-6116-2013; Soares, Amadeu/A-8304-2008; Pires, Adilia/K-2174-2014</t>
  </si>
  <si>
    <t>Coppola, Francesca/0000-0002-7039-9630; Freitas, Rosa/0000-0003-4900-3897; Casu, Valentina/0000-0003-4844-675X; Figueira, Etelvina/0000-0002-6763-2665; Pereira, Eduarda/0000-0002-6046-5243; Soares, Amadeu/0000-0003-0879-9470; Pires, Adilia/0000-0002-4406-1847</t>
  </si>
  <si>
    <t>Portuguese Science Foundation (FCT/MEC); FEDER; National Funds through Portuguese Science Foundation (FCT) [SFRH/BD/86356/2012, SFRH/BPD/92258/2013]; FSE; CESAM research own funds [BPD/CESAM/RP/BENTONICAS/2013]; Fundação para a Ciência e a Tecnologia [SFRH/BD/86356/2012] Funding Source: FCT</t>
  </si>
  <si>
    <t>Portuguese Science Foundation (FCT/MEC)(Fundacao para a Ciencia e a Tecnologia (FCT)); FEDER(European Union (EU)Spanish Government); National Funds through Portuguese Science Foundation (FCT)(Fundacao para a Ciencia e a Tecnologia (FCT)); FSE(European Social Fund (ESF)); CESAM research own funds; Fundação para a Ciência e a Tecnologia(Fundacao para a Ciencia e a Tecnologia (FCT))</t>
  </si>
  <si>
    <t>This study was supported by the Portuguese Science Foundation (FCT/MEC), co-funded by FEDER within PT2020 Partnership Agreement and Compete 2020, and through CESAM: UID/AMB/50017. Catia Velez benefited from a PhD grant (SFRH/BD/86356/2012) and Rosa Freitas benefited from a post-doc grant (SFRH/BPD/92258/2013), both financed by National Funds through the Portuguese Science Foundation (FCT), supported by FSE and Programa Operacional Capital Humano (POCH) e da Uniao Europeia. Adilia Pires benefited from a post-doc grant (BPD/CESAM/RP/BENTONICAS/2013) funded by CESAM research own funds.</t>
  </si>
  <si>
    <t>10.1016/j.cbpc.2016.06.006</t>
  </si>
  <si>
    <t>DY7QY</t>
  </si>
  <si>
    <t>WOS:000385325600001</t>
  </si>
  <si>
    <t>Muller, EB; Osenberg, CW; Schmitt, RJ; Holbrook, SJ; Nisbet, RM</t>
  </si>
  <si>
    <t>Muller, Erik B.; Osenberg, Craig W.; Schmitt, Russell J.; Holbrook, Sally J.; Nisbet, Roger M.</t>
  </si>
  <si>
    <t>Sublethal toxicant effects with dynamic energy budget theory: application to mussel outplants</t>
  </si>
  <si>
    <t>Toxicity modeling; DEBtox; Dynamic energy budgets; Sublethal effects; Produced water</t>
  </si>
  <si>
    <t>POPULATION-DYNAMICS; TOXICITY TESTS; MODELS; DEBTOX; WATER; VARIABILITY; PARAMETERS; EFFLUENT; LEVEL</t>
  </si>
  <si>
    <t>We investigate the effectiveness of a sublethal toxic effect model embedded in Dynamic Energy Budget (DEB) theory for the analysis of field data. We analyze the performance of two species of mussels, Mytilus galloprovincialis and M. californianus, near a diffuser discharging produced water in the Southern California Bight, California. Produced water is a byproduct of oil production consisting of fossil water together with compounds added during the extraction process, and generally contains highly elevated levels of pollutants relative to sea water. Produced water negatively affects the production of somatic and reproductive biomass in both mussel species; we show that these negative effects can be quantified with our DEB-based modeling framework through the estimation of toxic effect scaling parameters. Our analyses reveal that the toxic impact of produced water on growth and reproduction of M. californianus is substantially higher than for M. galloprovincialis. Projections of the expected lifetime production of gonad biomass indicate that the environmental impact of produced water can be as large as 100%, whereas short-term assessment without the use of DEB theory projects a maximum effect of only 30%.</t>
  </si>
  <si>
    <t>[Muller, Erik B.; Schmitt, Russell J.; Holbrook, Sally J.; Nisbet, Roger M.] Univ Calif Santa Barbara, Dept Ecol Evolut &amp; Marine Biol, Santa Barbara, CA 93106 USA; [Muller, Erik B.; Schmitt, Russell J.] Univ Calif Santa Barbara, Environm Studies Program, Santa Barbara, CA 93106 USA; [Osenberg, Craig W.] Univ Florida, Dept Biol, Gainesville, FL 32611 USA</t>
  </si>
  <si>
    <t>University of California System; University of California Santa Barbara; University of California System; University of California Santa Barbara; State University System of Florida; University of Florida</t>
  </si>
  <si>
    <t>Muller, EB (corresponding author), Univ Calif Santa Barbara, Dept Ecol Evolut &amp; Marine Biol, Santa Barbara, CA 93106 USA.</t>
  </si>
  <si>
    <t>Osenberg, Craig/M-9904-2013; Nisbet, Roger/B-6951-2014</t>
  </si>
  <si>
    <t>Osenberg, Craig/0000-0003-1918-7904; Muller, Erik/0000-0003-2300-0727</t>
  </si>
  <si>
    <t>US Environmental Protection Agency Science; US EPA [R-882867601]; US National Science Foundation [EF-0742521]; Minerals Management Service; US Department of Interior; UC Toxic Substances Research &amp; Teaching Program; US Army Research Office [W911NF-09-D-0001]; [14-35-0001-3071]</t>
  </si>
  <si>
    <t>US Environmental Protection Agency Science(United States Environmental Protection Agency); US EPA(United States Environmental Protection Agency); US National Science Foundation(National Science Foundation (NSF)); Minerals Management Service; US Department of Interior; UC Toxic Substances Research &amp; Teaching Program(University of California System); US Army Research Office;</t>
  </si>
  <si>
    <t>We appreciate the generous help and insight of Teresa Fan and Rick Higashi, who conducted the barium analyses. We thank Susan Anderson, Heather Berkley, Gary Cherr, Tin Klanjscek, Erik Noonburg, and Wendy Rose for valuable discussions. This research was supported by a grant from the US Environmental Protection Agency Science to Achieve Results (STAR) Estuarine and Great Lakes (EaGLe) program through funding to the Pacific Estuarine Ecosystem Indicator Research (PEEIR) Consortium, US EPA Agreement # R-882867601, from the US National Science Foundation (EF-0742521) to RMN, from the Minerals Management Service, US Department of Interior, under MMS Agreement No. 14-35-0001-3071, and from the Coastal Toxicology Lead Program of the UC Toxic Substances Research &amp; Teaching Program. This work was also supported by the Institute for Collaborative Biotechnologies through contract no. W911NF-09-D-0001 from the US Army Research Office. The content of the information herein does not necessarily reflect the position or policy of the Government and no official endorsement should be inferred.</t>
  </si>
  <si>
    <t>10.1007/s10646-009-0384-4</t>
  </si>
  <si>
    <t>WOS:000273032100004</t>
  </si>
  <si>
    <t>Yang, XD; Pan, Y; Ding, LL; Wu, B; Wang, JF; Ren, HQ</t>
  </si>
  <si>
    <t>Yang, Xudong; Pan, Yao; Ding, Lili; Wu, Bing; Wang, Jinfeng; Ren, Hongqiang</t>
  </si>
  <si>
    <t>Polydopamine/graphite sheet electrode for highly efficient electrocatalytic hydrogen peroxide generation and bisphenol A removal</t>
  </si>
  <si>
    <t>Electrocatalysis; Hydrogen peroxide; Bisphenol A; Stability at pH value; Q-TOF</t>
  </si>
  <si>
    <t>OXYGEN REDUCTION REACTION; DEGRADATION; WATER; PEROXYMONOSULFATE; OXIDATION</t>
  </si>
  <si>
    <t>Electrocatalytic processes, are greatly limited by acid conditions during water/wastewater treatment, and lead to higher disposal costs. Herein, based on the principle of strong adhesion of invertebrate mussels, polydopamine with multiple functional groups was immobilized on graphite sheet electrodes for constructing the electrocatalytic system (GS-PDA), which achieved favorable stability in hydrogen peroxide (H2O2) yield and model pollutant Bisphenol A (BPA) removal at pH = 3-9. At natural pH (similar to 5.8), GS-PDA had a higher BPA removal efficiency with 113 % increase in degradation rate and an 1100 % increase in productivity of H2O2 than control group. O-2 bubbling was the original contributor of oxidant and its two-electron reduction product (H2O2) had a significant contribution for BPA removal in GS-PDA. High pH (pH &gt;= 5) increased the selectivity toward the four-electron oxygen reduction process (to H2O) in control group, while GS-PDA could inhibit this process, thus promoting the production of H2O2 from two-electron oxygen reduction process. Both hydroxyl radicals and singlet oxygen were effective in removing BPA and the former was the primary pathway. Furthermore, 18 dominant degradations were identified in GS-PDA by high resolution hybrid quadrupole time-of-flight mass spectrometer, and BPA degradation pathway was proposed. This work found a way to decrease the effects of pH on electrocatalytic purification of water and generation of H2O2, and provided a strategy for treating wastewater at neutral pH.</t>
  </si>
  <si>
    <t>[Yang, Xudong; Pan, Yao; Ding, Lili; Wu, Bing; Wang, Jinfeng; Ren, Hongqiang] Nanjing Univ, Sch Environm, State Key Lab Pollut Control &amp; Resource Reuse, Nanjing 210023, Peoples R China</t>
  </si>
  <si>
    <t>Nanjing University</t>
  </si>
  <si>
    <t>Ren, HQ (corresponding author), Nanjing Univ, Sch Environm, State Key Lab Pollut Control &amp; Resource Reuse, Nanjing 210023, Peoples R China.</t>
  </si>
  <si>
    <t>hqren@nju.edu.cn</t>
  </si>
  <si>
    <t>hq, ren/AGA-1128-2022; Wang, Jinfeng/V-7541-2019</t>
  </si>
  <si>
    <t>Excellent Research Program of Nanjing University; Fundamental Research Funds for the Central Universities; [ZYJH005]; [021114380170]</t>
  </si>
  <si>
    <t>Excellent Research Program of Nanjing University; Fundamental Research Funds for the Central Universities(Fundamental Research Funds for the Central Universities); ;</t>
  </si>
  <si>
    <t>This research was supported by the Excellent Research Program of Nanjing University (ZYJH005) and Fundamental Research Funds for the Central Universities (021114380170) .</t>
  </si>
  <si>
    <t>10.1016/j.cej.2022.140026</t>
  </si>
  <si>
    <t>6Y5MH</t>
  </si>
  <si>
    <t>WOS:000897138500001</t>
  </si>
  <si>
    <t>Martín-Díaz, ML; Blasco, J; Sales, D; Delvalls, TA</t>
  </si>
  <si>
    <t>Martin-Diaz, M. L.; Blasco, J.; Sales, D.; Delvalls, T. A.</t>
  </si>
  <si>
    <t>Field validation of a battery of biomarkers to assess sediment quality in Spanish ports</t>
  </si>
  <si>
    <t>Carcinus maenas; Ruditapes philippinarum; dredged material; oxidative stress; metallothionein</t>
  </si>
  <si>
    <t>GLUTATHIONE-S-TRANSFERASE; AZNALCOLLAR MINING SPILL; HEAVY-METALS; GUADALQUIVIR ESTUARY; OXIDATIVE STRESS; RISK-ASSESSMENT; BIOACCUMULATION; RESPONSES; TOXICITY; CADIZ</t>
  </si>
  <si>
    <t>Two marine invertebrates, the crab Carcinus rnaenas and the clam Ruditapes philippinarum, were used as bioindicator species to assess contamination when exposed in situ to sediment from different sites from four Spanish ports Cadiz (SW Spain), Huelva (SW Spain), Bilbao (NE Spain) and Pasajes (NE Spain). In an attempt to determine sediments toxicity, a combination of exposure biomarkers was analyzed in both species: metallothionein-like-proteins (MTLPs), ethoxyresorufin O-deethylase (EROD), glutathione S-transferase activity (GST), glutathione peroxidase (GPX) and glutathione reductase (GR). In parallel, physical and chemical characterization of the different sediments was performed and biological responses related to the contaminants. Significant induction of MTLPs was observed when organisms were exposed to metal contaminated sediments (port of Huelva), and EROD and GPX activities after exposure to sediments containing organic compounds (port of Bilbao and Pasajes). No significant interspecies differences were observed in biomarker responses except for the GST and GR. (C) 2007 Published by Elsevier Ltd.</t>
  </si>
  <si>
    <t>[Martin-Diaz, M. L.; Delvalls, T. A.] Fac Ciencias Mar &amp; Ambientale, Dept Quim Fis, Puerto Real 11510, Spain; [Martin-Diaz, M. L.; Blasco, J.] Inst Ciencias Marinas Andalucia, Consejo Super Invest Cient, Puerto Real 11510, Spain; [Sales, D.] Fac Ciencias Mar &amp; Ambientale, Dept Ciencias Ambientales &amp; Tecnol Alimentos, Puerto Real 11510, Spain</t>
  </si>
  <si>
    <t>Martín-Díaz, ML (corresponding author), Fac Ciencias Mar &amp; Ambientale, Dept Quim Fis, Poligono Rio Pedro S-N, Puerto Real 11510, Spain.</t>
  </si>
  <si>
    <t>laura.martin@uca.es</t>
  </si>
  <si>
    <t>; Blasco, Julian/A-5319-2008; Del Valls, T. Angel/K-9664-2014; Sales Marquez, Diego/M-1199-2014</t>
  </si>
  <si>
    <t>Martin-Diaz, M. Laura/0000-0003-0400-0641; Blasco, Julian/0000-0002-9750-383X; Del Valls, T. Angel/0000-0001-7674-9278; Sales Marquez, Diego/0000-0002-0295-1729</t>
  </si>
  <si>
    <t>10.1016/j.envpol.2007.03.019</t>
  </si>
  <si>
    <t>276LT</t>
  </si>
  <si>
    <t>WOS:000254144200024</t>
  </si>
  <si>
    <t>Levine, A; Sauafea-Le'au, F</t>
  </si>
  <si>
    <t>Levine, Arielle; Sauafea-Le'au, Fatima</t>
  </si>
  <si>
    <t>Traditional Knowledge, Use, and Management of Living Marine Resources in American Samoa: Documenting Changes over Time through Interviews with Elder Fishers</t>
  </si>
  <si>
    <t>PACIFIC SCIENCE</t>
  </si>
  <si>
    <t>CONSERVATION METHODS; COLLAPSE</t>
  </si>
  <si>
    <t>We interviewed elder fishermen in American Samoa to better understand their perspectives on traditional use and management of marine resources and changes in the status of certain species over the course of time. Elder fishermen provide an important source of information in a context of limited catch data, declining fishing effort, and evolving local fishing traditions. Most fishermen interviewed during the study described a decline in the quality of various nearshore habitats, a general decrease in abundance of edible reef fish, and diminished abundance of locally valued palolo, atule, giant clams, and octopus. Populations of reef sharks and turtles are typically seen as stable or increasing. Fishermen from the relatively densely populated island of Tutuila tended to report a greater decrease in abundance of marine resources in general than did fishermen from the more remote Manu`a Islands. Elder fishermen commonly reported deterioration of nearshore and shoreline habitats as an issue of concern. Many interviewees also asserted that past use of destructive fishing methods has led to a decline in marine resources in the region. The fishermen generated various recommendations for improving local fisheries, including: reducing runoff-related pollution and sediment, preventing destructive fishing methods, and establishing marine protected areas. Although traditional marine tenure systems are no longer as influential in American Samoa as they were in the past, various rules regarding appropriate use of local marine ecosystems and associated resources continue to be implemented across the islands.</t>
  </si>
  <si>
    <t>[Levine, Arielle] San Diego State Univ, Dept Geog, San Diego, CA 92182 USA; [Sauafea-Le'au, Fatima] NOAA, Pacific Islands Reg Off, Habitat Conservat Div, Amer Samoa Field Off, Pago Pago, AS 96799 USA</t>
  </si>
  <si>
    <t>California State University System; San Diego State University; National Oceanic Atmospheric Admin (NOAA) - USA</t>
  </si>
  <si>
    <t>Levine, A (corresponding author), San Diego State Univ, Dept Geog, 5500 Campanile Dr, San Diego, CA 92182 USA.</t>
  </si>
  <si>
    <t>alevine@mail.sdsu.edu</t>
  </si>
  <si>
    <t>Levine, Arielle/AAA-4817-2021</t>
  </si>
  <si>
    <t>NOAA Preserve America Initiative</t>
  </si>
  <si>
    <t>NOAA Preserve America Initiative(National Oceanic Atmospheric Admin (NOAA) - USA)</t>
  </si>
  <si>
    <t>This article is part of a special issue of Pacific Science (vol. 67, no. 3) on the Human Dimensions of Small-Scale and Traditional Fisheries in the Asia-Pacific Region, guest editors John N. (Jack) Kittinger and Edward W. Glazier. This research was supported by a grant from the NOAA Preserve America Initiative, with in-kind assistance from the American Samoa Department of Marine and Wildlife Resources, and American Samoa National Park. Manuscript accepted 9 October 2012.</t>
  </si>
  <si>
    <t>UNIV HAWAII PRESS</t>
  </si>
  <si>
    <t>HONOLULU</t>
  </si>
  <si>
    <t>2840 KOLOWALU ST, HONOLULU, HI 96822 USA</t>
  </si>
  <si>
    <t>0030-8870</t>
  </si>
  <si>
    <t>1534-6188</t>
  </si>
  <si>
    <t>PAC SCI</t>
  </si>
  <si>
    <t>Pac. Sci.</t>
  </si>
  <si>
    <t>10.2984/67.3.7</t>
  </si>
  <si>
    <t>283PS</t>
  </si>
  <si>
    <t>WOS:000329260100007</t>
  </si>
  <si>
    <t>Cunningham, EM; Cuthbert, RN; Coughlan, NE; Kregting, L; Cairnduff, V; Dick, JTA</t>
  </si>
  <si>
    <t>Cunningham, Eoghan M.; Cuthbert, Ross N.; Coughlan, Neil E.; Kregting, Louise; Cairnduff, Victoria; Dick, Jaimie T. A.</t>
  </si>
  <si>
    <t>Microplastics do not affect the feeding rates of a marine predator</t>
  </si>
  <si>
    <t>Animal behaviour; Blue mussel; Functional response; Pollutants; Shore crab; Synthetic polymers</t>
  </si>
  <si>
    <t>ENVIRONMENTALLY RELEVANT CONCENTRATIONS; FUNCTIONAL-RESPONSES; BLUE MUSSELS; INGESTION; COMMUNITY; EXPOSURE; IMPACTS; COPPER; FISH; SEA</t>
  </si>
  <si>
    <t>Microplastics may affect the physiology, behaviour and populations of aquatic and terrestrial fauna through many mechanisms, such as direct consumption and sensory disruption. However, the majority of experimental studies have employed questionably high dosages of microplastics that have little environmental relevance. Predation, in particular, is a key trophic interaction that structures populations and communities and influences ecosystem functioning, but rarely features in microplastic research. Here, we quantify the effects of low (similar to 65-114 MP/L) and high (similar to 650-1140 MP/L) microplastic concentrations on the feeding behaviour of a ubiquitous and globally representative key marine predator, the shore crab, Carcinus maenas. We used a functional response approach (predator consumption across prey densities) to determine crab consumption rates towards a key marine community prey species, the blue mussel Mytilus edulis, under low and high microplastic concentrations with acute (8h) and chronic (120h) microplastic exposure times. For both the acute and chronic microplastic exposure experiments, proportional prey consumption by crabs did not differ with respect to microplastic concentration, but significantly decreased over increasing prey densities. The crabs thus displayed classical, hyperbolic Type fl functional responses in all experimental groups, characterised by high consumption rates at low prey densities. Crab attack rates, handling times and maximum feeding rates (i.e. functional response curves) were not significantly altered under lower or higher microplastics concentrations, or by acute or chronic microplastic exposures. Here, we show that functional response analyses could be widely employed to ascertain microplastic impacts on consumer-resource interactions. Furthermore, we suggest that future studies should adopt both acute and chronic microplastic exposure regimes, using environmentally-relevant microplastic dosages and types as well as elevated future scenarios of microplastic concentrations. (C) 2021 Elsevier B.V. All rights reserved.</t>
  </si>
  <si>
    <t>[Cunningham, Eoghan M.; Cuthbert, Ross N.; Coughlan, Neil E.; Kregting, Louise; Cairnduff, Victoria; Dick, Jaimie T. A.] Queens Univ Belfast, Queens Univ Marine Lab, 12-13 Strand, Portaferry BT22 1PF, North Ireland; [Cuthbert, Ross N.] Helmholtz Zentrum Ozeanforsch Kiel, GEOMAR, Dusternbrooker Weg 20, D-24105 Kiel, Germany; [Coughlan, Neil E.] Univ Coll Cork, Sch Biol Earth &amp; Environm Sci, Cork, Ireland; [Kregting, Louise] Queens Univ Belfast, Sch Nat &amp; Built Environm, Belfast BT9 5BN, Antrim, North Ireland; [Dick, Jaimie T. A.] Queens Univ Belfast, Inst Global Food Secur, Sch Biol Sci, Belfast BT9 5DL, Antrim, North Ireland</t>
  </si>
  <si>
    <t>Queens University Belfast; Helmholtz Association; GEOMAR Helmholtz Center for Ocean Research Kiel; University College Cork; Queens University Belfast; Queens University Belfast</t>
  </si>
  <si>
    <t>Cunningham, EM (corresponding author), Queens Univ Belfast, Queens Univ Marine Lab, 12-13 Strand, Portaferry BT22 1PF, North Ireland.</t>
  </si>
  <si>
    <t>ecunningham18@qub.ac.uk</t>
  </si>
  <si>
    <t>Coughlan, Neil/AAT-1760-2020</t>
  </si>
  <si>
    <t>Cunningham, Manus/0000-0002-6323-079X; Cuthbert, Ross N./0000-0003-2770-254X</t>
  </si>
  <si>
    <t>Department for Agriculture, Environment, and Rural Affairs, Northern Ireland; Alexander von Humboldt Foundation; Irish Environmental Protection Agency project Newtrients (EPA Research Programme 2014-2020) [2016WLS11]; G&amp;M Williams fund, Queen's University Belfast</t>
  </si>
  <si>
    <t>Department for Agriculture, Environment, and Rural Affairs, Northern Ireland; Alexander von Humboldt Foundation(Alexander von Humboldt Foundation); Irish Environmental Protection Agency project Newtrients (EPA Research Programme 2014-2020)(Environmental Protection Agency Ireland (EPA)); G&amp;M Williams fund, Queen's University Belfast</t>
  </si>
  <si>
    <t>EMC is supported by the Department for Agriculture, Environment, and Rural Affairs, Northern Ireland. RNC acknowledges funding from the Alexander von Humboldt Foundation. NEC gratefully acknowledges support from the Irish Environmental Protection Agency project Newtrients (EPA Research Programme 2014-2020: 2016WLS11) . VC is supported by the G&amp;M Williams fund, Queen's University Belfast. All authors gratefully thank Emma Healey for technical support, and Gavin Grant, Hannah Williams, and Polly Moore for assisting in the animal collection and maintenance. The authors also thank We Are Vanimals and Indie for stimulating discussion.</t>
  </si>
  <si>
    <t>10.1016/j.scitotenv.2021.146487</t>
  </si>
  <si>
    <t>SJ6ZE</t>
  </si>
  <si>
    <t>WOS:000655679800010</t>
  </si>
  <si>
    <t>Lu, MY; Shi, XS; Li, X; Lian, SJ; Xu, DY; Guo, RB</t>
  </si>
  <si>
    <t>Lu, Ming-Yi; Shi, Xiao-Shuang; Li, Xu; Lian, Shu-Juan; Xu, Dong-Yan; Guo, Rong-Bo</t>
  </si>
  <si>
    <t>Addition of oyster shell to enhance organic matter degradation and nitrogen conservation during anaerobic digestate composting</t>
  </si>
  <si>
    <t>Compost; Digested residue; Bulking agent; Ammonia emissions; Greenhouse gas</t>
  </si>
  <si>
    <t>GASEOUS EMISSIONS; SEWAGE-SLUDGE; HEAVY-METALS; PIG MANURE; FOOD WASTE; STRAW; BIOCHAR; FERTILIZER; CARBON; PERFORMANCE</t>
  </si>
  <si>
    <t>Anaerobic digested residue (DR) is the main by-product from biogas plants, and it is predominantly used as organic fertilizer after composting. To resolve the problems of long duration and nitrogen loss in conventional composting, bulking agents are always added during the composting process. In this study, oyster shell (OS) was used as a bulking agent for DR composting. Four treatments were conducted by mixing DR and OS at different concentrations (0%, 10%, 20% and 30%, based on wet weight) and then composting the mixtures for 40 days. The results showed that the organic matter (OM) degradation efficiency was enhanced by 5.62%, 12.15% and 16.98% with increasing amounts of OS addition. The increased content of microbial biomass carbon in the compost indicated a suitable living environment for aerobic microbes with added OS, which could explain the increased OM degradation efficiency. Compared with the control, the NH(3)emissions in the treatments with 10%, 20% and 30% OS were decreased by 13.81%, 33.33% and 53.76%, respectively. The increase in total nitrogen content in the compost is probably due to the absorption of NH(3)by OS. Results indicated that OS is a suitable bulking agent for DR composting and that the addition of 20-30% OS can significantly enhance composting performance.</t>
  </si>
  <si>
    <t>[Lu, Ming-Yi; Shi, Xiao-Shuang; Li, Xu; Lian, Shu-Juan; Guo, Rong-Bo] Chinese Acad Sci, Qingdao Inst Bioenergy &amp; Bioproc Technol, Shandong Ind Engn Lab Biogas Prod &amp; Utilizat, Key Lab Biofuels,Shandong Prov Key Lab Synthet Bi, Qingdao 266101, Shandong, Peoples R China; [Lu, Ming-Yi; Li, Xu] Univ Chinese Acad Sci, Beijing 100049, Peoples R China; [Shi, Xiao-Shuang; Guo, Rong-Bo] Dalian Natl Lab Clean Energy, Dalian 116023, Peoples R China; [Xu, Dong-Yan] Qingdao Univ Sci &amp; Technol, Fac Engn, Qingdao 266042, Peoples R China</t>
  </si>
  <si>
    <t>Chinese Academy of Sciences; Qingdao Institute of Bioenergy &amp; Bioprocess Technology, CAS; Chinese Academy of Sciences; University of Chinese Academy of Sciences, CAS; Qingdao University of Science &amp; Technology</t>
  </si>
  <si>
    <t>Guo, RB (corresponding author), Chinese Acad Sci, Qingdao Inst Bioenergy &amp; Bioproc Technol, Shandong Ind Engn Lab Biogas Prod &amp; Utilizat, Key Lab Biofuels,Shandong Prov Key Lab Synthet Bi, Qingdao 266101, Shandong, Peoples R China.;Guo, RB (corresponding author), Dalian Natl Lab Clean Energy, Dalian 116023, Peoples R China.</t>
  </si>
  <si>
    <t>guorb@qibebt.ac.cn</t>
  </si>
  <si>
    <t>Lian, Shujuan/AAH-2634-2021; Li, Xu/IYJ-1175-2023; chen, minghui/KFR-8832-2024</t>
  </si>
  <si>
    <t>Lian, Shujuan/0000-0002-9077-7731</t>
  </si>
  <si>
    <t>Transformational Technologies for Clean Energy and Demonstration, Strategic Priority Research Program of the Chinese Academy of Sciences [XDA 21060400]; QIBEBT [I201906]; National Key R&amp;D Program of China [2017YFD0800801-03]; Key R&amp;D Project of Shandong Province [2017CXGC0305]; Heilongjiang R&amp;D Program of Application and Advanced Technology [GA19B202]; China Postdoctoral Science Foundation [228223]; Major independent innovation projects of Qingdao [8-1-1-96-zhz]</t>
  </si>
  <si>
    <t>Transformational Technologies for Clean Energy and Demonstration, Strategic Priority Research Program of the Chinese Academy of Sciences; QIBEBT; National Key R&amp;D Program of China; Key R&amp;D Project of Shandong Province; Heilongjiang R&amp;D Program of Application and Advanced Technology; China Postdoctoral Science Foundation(China Postdoctoral Science Foundation); Major independent innovation projects of Qingdao</t>
  </si>
  <si>
    <t>The project was financially supported by the Transformational Technologies for Clean Energy and Demonstration, Strategic Priority Research Program of the Chinese Academy of Sciences (XDA 21060400), QIBEBT I201906, National Key R&amp;D Program of China (2017YFD0800801-03), Key R&amp;D Project of Shandong Province (2017CXGC0305), Heilongjiang R&amp;D Program of Application and Advanced Technology (GA19B202), the 66th general funding from China Postdoctoral Science Foundation (228223) and Major independent innovation projects of Qingdao (8-1-1-96-zhz).</t>
  </si>
  <si>
    <t>10.1007/s11356-020-09460-2</t>
  </si>
  <si>
    <t>MZ8BD</t>
  </si>
  <si>
    <t>WOS:000539968900002</t>
  </si>
  <si>
    <t>Biomonitoring of trace elements in muscle and liver tissue of freshwater fish</t>
  </si>
  <si>
    <t>9th Conference on Total Reflection X-Ray Fluorescence Analysis and Related Methods</t>
  </si>
  <si>
    <t>SEP 08-13, 2002</t>
  </si>
  <si>
    <t>UNIV LISBON, LISBON, PORTUGAL</t>
  </si>
  <si>
    <t>UNIV LISBON</t>
  </si>
  <si>
    <t>biomonitor; freshwater fish (Clarias fucus); total-reflection X-ray fluorescence; trace elements; Vietnam</t>
  </si>
  <si>
    <t>X-RAY-FLUORESCENCE; CLARIAS-GARIEPINUS; METAL ACCUMULATION; HEAVY-METALS; RIVER; LAKES; BIOAVAILABILITY; ORGANISMS; TOXICITY; MUSSEL</t>
  </si>
  <si>
    <t>The aim of this study was to investigate the potential impact of a coal combustion power plant in the northern part of Vietnam with regard to elemental pollution on the surrounding environment. Freshwater fishes (Clarias fucus) were sampled both at a site exposed to the emissions of the power plant and at a reference site seemingly free from industrial activities. The elemental concentrations in muscle and liver tissue were analyzed using total-reflection Xray fluorescence and atomic absorption spectroscopy. A comparison of muscle tissue with International Standards (Food and Agricultural Organization) showed that the fishes from both sites did not constitute any health risk for human consumers with regard to the elements Cu, Zn, As, Se, Cd, Pb and Cr. Generally, concentration differences between sites were found to be small in the edible tissue. Compared to the muscle tissue, concentrations of metals were elevated in the liver. The elemental concentrations of P, S, K, Ca, Fe, Mn, Zn and Pb were significantly higher in the hepatic tissue from the exposed site, suggesting-together with measurements of airborne pollutants-emissions from the power plant as a probable source of these elements. (C) 2003 Elsevier B.V. All rights reserved.</t>
  </si>
  <si>
    <t>Univ Gothenburg, Dept Chem Atmospher Sci, SE-41296 Gothenburg, Sweden</t>
  </si>
  <si>
    <t>Univ Gothenburg, Dept Chem Atmospher Sci, SE-41296 Gothenburg, Sweden.</t>
  </si>
  <si>
    <t>10.1016/j.sab.2003.05.003</t>
  </si>
  <si>
    <t>754YC</t>
  </si>
  <si>
    <t>WOS:000187360200023</t>
  </si>
  <si>
    <t>Garcia, AG; Suarez, DC; Li, JN; Rotchell, JM</t>
  </si>
  <si>
    <t>Garcia, Angela G.; Suarez, Diana C.; Li, Jiana; Rotchell, Jeanette M.</t>
  </si>
  <si>
    <t>A comparison of microplastic contamination in freshwater fish from natural and farmed sources</t>
  </si>
  <si>
    <t>Microplastics; Fresh water; Fish; Pollution; Aquaculture; Colombia</t>
  </si>
  <si>
    <t>COMMERCIAL FISH; COASTAL WATERS; INGESTION; ENVIRONMENTS; EXPOSURE; MUSSELS; POLLUTION; LAKE</t>
  </si>
  <si>
    <t>Contamination of aquatic systems mainly by urbanization and poor sanitation, deficient or lack of wastewater treatments, dumping of solid residues, and run off has led to the presence of particles, including manmade polymers, in tissues of many marine and freshwater species. In this study, the prevalence of microplastics (MPs) in freshwater fish from farmed and natural sources was investigated. Oreochromis niloticus from aquaculture farms in the Huila region in Colombia, and two local species (Prochilodus magdalenae and Pimelodus grosskopfii), naturally present in surface waters were sampled. Of the particles identified, fragments were the predominant type in the three tissue types (stomach, gill, and flesh) derived from farmed and natural fishes. MicroFT-IR spectroscopy was conducted on 208 randomly selected samples, with 22% of particles identified as MPs based on spectra with a match rate &gt;= 70%. A total of 53% of identified particles corresponded to cellophane/cellulose, the most abundant particle found in all fish. Not all fish contained MPs: 44% of Oreochromis farmed fish contained MPs, while 75% of natural source fish contained MPs in any of its tissues. Overall, polyethylene terephthalate (PET), polyester (PES), and polyethylene (PE) were the prevalent MPs found in the freshwater fish. A broader variety of polymer types was observed in farmed fish. The edible flesh part of fish presented the lower prevalence of MPs compared to gill and stomach (gut), with gut displaying a higher frequency and diversity of MPs. This preliminary study suggests that the incidence and type of MPs varies in farmed verses natural fish sources as well as across different tissue types, with significantly less detected within the edible flesh tissues compared with stomach and gill tissues.</t>
  </si>
  <si>
    <t>[Garcia, Angela G.] Univ Surcolombiana, Fac Exact &amp; Nat Sci, Ave Pastrana Borrero Carrera 1A, Neiva, Huila, Colombia; [Suarez, Diana C.] Export Pez SAS, Qual Control Lab, Km 12 Via Neiva, Huila, Colombia; [Li, Jiana] Hohai Univ, Coll Oceanog, Nanjing 210098, Peoples R China; [Rotchell, Jeanette M.] Univ Hull, Dept Biol &amp; Marine Sci, Cottingham Rd, Kingston Upon Hull HU6 7RX, N Humberside, England</t>
  </si>
  <si>
    <t>Hohai University; University of Hull</t>
  </si>
  <si>
    <t>Garcia, AG (corresponding author), Univ Surcolombiana, Fac Exact &amp; Nat Sci, Ave Pastrana Borrero Carrera 1A, Neiva, Huila, Colombia.</t>
  </si>
  <si>
    <t>angela.garcia@usco.edu.com</t>
  </si>
  <si>
    <t>YAN, LING/JXY-6904-2024</t>
  </si>
  <si>
    <t>Garcia Gomez, Angela Goretty/0000-0001-7611-5275</t>
  </si>
  <si>
    <t>Higher Education Funding Council for England</t>
  </si>
  <si>
    <t>Higher Education Funding Council for England(UK Research &amp; Innovation (UKRI)Higher Education Funding Council for England (HEFCE))</t>
  </si>
  <si>
    <t>The resources used for this research were provided by the University of Hull from the grant funded by the Higher Education Funding Council for England, which includes an allocation from the Global Challenges Research Fund (GCRF). An agreement was established between the University of Hull, the Surcolombia University and a seafood processing facility from the region of study, with the aim to develop a research named Microplastic contamination of the global food supply: obtain of initial data for baseline creation evidencing the status of fish farmed in the Huila region, Colombia, which was the base for this manuscript.</t>
  </si>
  <si>
    <t>10.1007/s11356-020-11605-2</t>
  </si>
  <si>
    <t>QX9QQ</t>
  </si>
  <si>
    <t>WOS:000590962800003</t>
  </si>
  <si>
    <t>Benitez-Polo, Z; Velasco, LA</t>
  </si>
  <si>
    <t>Benitez-Polo, Z.; Velasco, L. A.</t>
  </si>
  <si>
    <t>Effects of suspended mineral coal dust on the energetic physiology of the Caribbean scallop Argopecten nucleus (Born, 1778)</t>
  </si>
  <si>
    <t>Scope for growth (SFG); Bioenergetics; Absorption; Metabolism; Nanoparticles</t>
  </si>
  <si>
    <t>SUSPENSION-FEEDING BIVALVES; INFAUNAL MULINIA-EDULIS; CERASTODERMA-EDULE; NODIPECTEN-NODOSUS; FOOD CONCENTRATION; FILTRATION-RATES; CADMIUM EXPOSURE; WIDE-RANGE; GROWTH; NANOPARTICLES</t>
  </si>
  <si>
    <t>The effects of increasing concentrations of suspended mineral coal dust on the energetic physiology of the Caribbean scallop Argopecten nucleus were studied, at a concentration range that is environmentally relevant and representative of areas proximate to coal loading and shipping ports. Adult hatchery-produced animals were exposed to different concentrations of coal dust, i.e. 0, 2, 9 and 40 mg L-1. At increasing concentrations of coal dust, the rates of filtration and pseudofeces production increased, while the rates of ingestion and absorption remained constant. The rates of oxygen consumption and ammonium excretion decreased, as well as the absorption efficiency and the scope for growth. Suspended coal dust particles, at concentrations higher than or equal to 2 mg L-1, were ingested preferentially over microalgae by A. nucleus, causing reductions in its absorption capability, metabolism and in the amount of energy for growth and reproduction, thus generating physiological stress. (C) 2020 Elsevier Ltd. All rights reserved.</t>
  </si>
  <si>
    <t>[Benitez-Polo, Z.; Velasco, L. A.] Univ Magdalena, Sect San Pedro Alejandrino, Lab Moluscos &amp; Microalgas, Carrera 32 22-08, Santa Marta, Colombia</t>
  </si>
  <si>
    <t>Universidad del Magdalena</t>
  </si>
  <si>
    <t>Velasco, LA (corresponding author), Univ Magdalena, Sect San Pedro Alejandrino, Lab Moluscos &amp; Microalgas, Carrera 32 22-08, Santa Marta, Colombia.</t>
  </si>
  <si>
    <t>zamirbenitezp@unimagdalena.edu.co; molmarcol@gmail.com</t>
  </si>
  <si>
    <t>Benitez-Polo, Zamir/0000-0001-9089-5095</t>
  </si>
  <si>
    <t>Universidad del Magdalena, Colombia [0388, 0339]</t>
  </si>
  <si>
    <t>Universidad del Magdalena, Colombia</t>
  </si>
  <si>
    <t>Universidad del Magdalena, Colombia, Grant Res. 0388, 2017 and 0339, 2018.</t>
  </si>
  <si>
    <t>10.1016/j.envpol.2020.114000</t>
  </si>
  <si>
    <t>WOS:000528537600074</t>
  </si>
  <si>
    <t>Mendonça, JMD; de Souza, IS; de Medeiros, GF; Mina, IMCAP</t>
  </si>
  <si>
    <t>dos Santos Mendonca, Jaisa Marilia; de Souza, Ivanildo Surini; de Medeiros, Guilherme Fulgencio; Aguiar Pinto Mina, Isabel Maria Cravo</t>
  </si>
  <si>
    <t>Geochemical and ecotoxicological evaluation of sediments of a semiarid estuary on the northeast of Brazil (Natal / RN)</t>
  </si>
  <si>
    <t>Toxicity; Sediments; Metals; Geoaccumulation index</t>
  </si>
  <si>
    <t>TRACE-METAL CONTAMINATION; OYSTER CRASSOSTREA-RHIZOPHORAE; WASTE-WATER; HEAVY-METALS; SURFACE SEDIMENTS; TREATMENT PLANTS; POTENGI ESTUARY; RIVER; TOXICITY; QUALITY</t>
  </si>
  <si>
    <t>The Jundiai-Potengi Estuary (JPE), northeast of Brazil, suffers from intense degradation due to anthropogenic pollution from different sources, including several punctual treated and untreated domestic sewage discharges. To evaluate the estuary surface sediment quality near the outlet of a wastewater treatment plant (WWTP), five sampling points were selected. Four campaigns were performed on dry and rainy seasons of the years 2015 and 2016. The sediment samples were submitted to chronic ecotoxicological tests with Nitocra sp., and to metals, granulometry, and total organic matter analysis. The geochemical data were analyzed through enrichment indexes and, multivariate analysis, was performed integrating the ecotoxicological data. The sediment did not display toxicity to Nitocra sp. however, some metals' concentration (Mn, Pb, Cu, Ni, and Cd) exceeded the limits established by Brazilian legislation. In general, the concentration of the analyzed metals doubled from rainy season to dry season. Considering our findings, we suggest quantifying other classes of contaminants and conducting studies on the bioavailability of metals in JPE, as well as using other organisms of different trophic levels in ecotoxicity tests. (C) 2021 Elsevier B.V. All rights reserved.</t>
  </si>
  <si>
    <t>[dos Santos Mendonca, Jaisa Marilia; de Souza, Ivanildo Surini] Fed Inst Educ Sci &amp; Technol Rio Grande do Norte I, Av Senador Salgado Filho 1559, BR-59015000 Natal, RN, Brazil; [de Medeiros, Guilherme Fulgencio] Fed Univ Rio Grande do Norte UFRN, Campus Univ Lagoa Nova 1524, BR-59078970 Natal, RN, Brazil; [Aguiar Pinto Mina, Isabel Maria Cravo] Univ Minho DB ECUM, Biol Dept, Sch Sci, Campus Gualtar, P-4710057 Braga, Portugal; [Aguiar Pinto Mina, Isabel Maria Cravo] Ctr Res &amp; Technol Agroenvironm Biol Sci CITAB, P-5001801 Vila Real, Portugal</t>
  </si>
  <si>
    <t>University of Tras-os-Montes &amp; Alto Douro</t>
  </si>
  <si>
    <t>Mendonça, JMD (corresponding author), 148 Ferro Cardoso St,103B Apartment, BR-59025400 Natal, RN, Brazil.</t>
  </si>
  <si>
    <t>jaisa.mendonca@ifrn.edu.br</t>
  </si>
  <si>
    <t>de Oliveira, Ivanildo/L-4198-2018</t>
  </si>
  <si>
    <t>de Medeiros, Guilherme Fulgencio/0000-0002-5279-4725; A-P. Mina, Isabel/0000-0001-7365-6156; , Ivanildo/0000-0001-7523-6657; Mendonca, Jaisa Marilia/0000-0002-2352-008X</t>
  </si>
  <si>
    <t>10.1016/j.rsma.2021.101676</t>
  </si>
  <si>
    <t>RC5BD</t>
  </si>
  <si>
    <t>WOS:000632815700002</t>
  </si>
  <si>
    <t>Mamindy-Pajany, Y; Galgani, F; Roméo, M; Hurel, C; Marmier, N</t>
  </si>
  <si>
    <t>Mamindy-Pajany, Y.; Galgani, F.; Romeo, M.; Hurel, C.; Marmier, N.</t>
  </si>
  <si>
    <t>Minerals as additives for decreasing the toxicity of Mediterranean contaminated dredged sediments</t>
  </si>
  <si>
    <t>Dredged sediments; Crassostrea gigas larvae; Toxicity; Mineral additive; Sediment management</t>
  </si>
  <si>
    <t>BIOTIC LIGAND MODEL; ZERO-VALENT IRON; CHEMICAL CONTAMINATION; METAL MOBILITY; WATER; CADMIUM; COPPER; ADSORPTION; ZN; CD</t>
  </si>
  <si>
    <t>The management of dredged sediments is a priority issue in the Mediterranean sea where sediments are historically polluted. The aims of this study were to evaluate the toxicity of port sediment samples and the effect of three mineral additives (hematite, zerovalent iron (ZVI) and natural zeolite (NZ)) on sediment elutriate toxicity. Four sediments (A, B, C and D) were provided by port authorities after composting procedure; particle size, particulate organic carbon, metals and organic pollutants (TBT, PAHs, PCBs) were determined in whole sediments. Elutriates from these composted sediments were analyzed by determining toxicity level using oyster (Crassostrea gigas) larvae bioassay, metal and dissolved organic carbon concentrations. Toxicity, measured on undiluted elutriates (250 g/L), decreased as follows: A &gt;= B &gt; C similar to D. The treatment of sediments with mineral additives (5%) revealed that hematite tends to decrease the elutriate toxicity in all samples, particularly in samples B and C. This effect may be related to metal concentration decrease in elutriates, in particular Cu and Zn, that have a significant toxic effect on oyster larvae. ZVI and NZ have a variable influence on elutriate toxicity. Results suggest that hematite may be a possible candidate for decreasing chemical concentration and improving the quality of elutriates. Hematite could be used for sediment stabilization prior to the deposit in a specific site or landfill. (C) 2010 Elsevier Inc. All rights reserved.</t>
  </si>
  <si>
    <t>[Mamindy-Pajany, Y.; Romeo, M.] Univ Nice Sophia Antipolis, Fac Sci Ecosyst Marins Cotiers &amp; Reponses Stress, ECOMERS, EA 4228, F-06108 Nice 02, France; [Mamindy-Pajany, Y.; Hurel, C.; Marmier, N.] Univ Nice Sophia Antipolis, Fac Sci, LRSAE, F-06108 Nice, France; [Galgani, F.] IFREMER, PAC Corse Imm Agostini, ZI Furiani, Lab Environm Ressources, F-20600 Bastia, France</t>
  </si>
  <si>
    <t>Universite Cote d'Azur; Universite Cote d'Azur; Ifremer</t>
  </si>
  <si>
    <t>Roméo, M (corresponding author), Univ Nice Sophia Antipolis, Fac Sci Ecosyst Marins Cotiers &amp; Reponses Stress, ECOMERS, EA 4228, BP 71,28 Ave Valrose, F-06108 Nice 02, France.</t>
  </si>
  <si>
    <t>Hurel, Charlotte/0000-0001-6187-6354; galgani, francois/0000-0001-8770-6054</t>
  </si>
  <si>
    <t>SEDIMARD program; Agence de l'eau PACA</t>
  </si>
  <si>
    <t>The authors thank Fabienne Seby and Christelle Benoit from UT2A for organotins analyses, Jean-Luc Aqua and Laurent Sannier from the SEDIMARD program and Pierre Boissery from the Agence de l'eau PACA for their financial contributions to this research study.</t>
  </si>
  <si>
    <t>10.1016/j.ecoenv.2010.07.044</t>
  </si>
  <si>
    <t>WOS:000282792300037</t>
  </si>
  <si>
    <t>Zhou, J; Chen, B; Cai, Z</t>
  </si>
  <si>
    <t>Zhou, Jin; Chen, Baiyang; Cai, Zhonghua</t>
  </si>
  <si>
    <t>Metabolomics-based approach for assessing the toxicity mechanisms of dibutyl phthalate to abalone (Haliotis diversicolor supertexta)</t>
  </si>
  <si>
    <t>Abalone; Dibutyl phthalate; Metabolism characteristics; Toxicological mechanisms</t>
  </si>
  <si>
    <t>CLAM RUDITAPES-PHILIPPINARUM; ESTERS; RESPONSES; EXPOSURE; DISCRIMINATION; RECOVERY; MOLLUSKS</t>
  </si>
  <si>
    <t>Dibutyl phthalate (DBP) is a ubiquitous contaminant in the marine environment, and relatively little is known about the toxicological mechanisms of this compound at the metabolite level. In this study, marine gastropods (abalone) were exposed to DBP at environmentally relevant concentrations (2, 10, and 50 mu g/L) for 30 days. The plasma metabolite profiles were determined at the 5th, 15th, and 30th. The major metabolite changes corresponding to DBP exposure were related to osmotic regulation, energy metabolism, and environmental stress, and the effects displayed a dose-dependent pattern. The most obvious change was the increase in the levels of intracellular metabolites (betaine, dimethylglycine, homarine, glutamine, and lactate) and tricarboxylic acid cycle intermediates. The results revealed that DBP may lead to abalone oxidative stress, lipid metabolism dysfunction, energy metabolism disturbance, and osmoregulation imbalance. These results would be helpful in better understanding the mechanisms of abalone response to DBP stress at the system level.</t>
  </si>
  <si>
    <t>[Zhou, Jin; Cai, Zhonghua] Tsinghua Univ, Grad Sch Shenzhen, Div Ocean Sci &amp; Technol, Shenzhen 518055, Peoples R China; [Zhou, Jin; Cai, Zhonghua] Shenzhen Publ Platform Screening &amp; Applicat Marin, Shenzhen, Guangdong, Peoples R China; [Chen, Baiyang] Harbin Inst Technol Shenzhen Grad Sch, Dept Civil &amp; Environm Engn, Shenzhen 518055, Guangdong, Peoples R China</t>
  </si>
  <si>
    <t>Tsinghua Shenzhen International Graduate School; Tsinghua University; Harbin Institute of Technology</t>
  </si>
  <si>
    <t>Cai, Z (corresponding author), Shenzhen Publ Platform Screening &amp; Applicat Marin, Shenzhen, Guangdong, Peoples R China.</t>
  </si>
  <si>
    <t>caizh@sz.tsinghua.edu.cn</t>
  </si>
  <si>
    <t>Chen, Baiyang/B-1044-2009</t>
  </si>
  <si>
    <t>cai, zhonghua/0000-0002-3582-1664</t>
  </si>
  <si>
    <t>Marine Public Welfare Projects of China [201205020-9, 201305021-1]; Natural Science Foundation of China [41106087, 41476092]; Guangdong Province Marine and Fishery Special Funding of Science &amp; Technology Promote Project [A201303F06]; Shenzhen Key Laboratory for Coastal Ocean Dynamic and Environment [ZDSY20130402163735964]; Special Fund of State Key Joint Laboratory of Environment Simulation and Pollution Control [13K10ESPCT]; Fundamental Research Project of Shenzhen [JCYJ20130402145002375, JCYJ20140417115840286]; Innovation Research &amp; Develop Project of Nanshan District of Shenzhen [KC2013JSCX003A]</t>
  </si>
  <si>
    <t>Marine Public Welfare Projects of China; Natural Science Foundation of China(National Natural Science Foundation of China (NSFC)); Guangdong Province Marine and Fishery Special Funding of Science &amp; Technology Promote Project; Shenzhen Key Laboratory for Coastal Ocean Dynamic and Environment; Special Fund of State Key Joint Laboratory of Environment Simulation and Pollution Control; Fundamental Research Project of Shenzhen; Innovation Research &amp; Develop Project of Nanshan District of Shenzhen</t>
  </si>
  <si>
    <t>This study was supported by Marine Public Welfare Projects of China (201205020-9, 201305021-1), Natural Science Foundation of China (41106087, 41476092), Guangdong Province Marine and Fishery Special Funding of Science &amp; Technology Promote Project (A201303F06), Shenzhen Key Laboratory for Coastal Ocean Dynamic and Environment (ZDSY20130402163735964), Special Fund of State Key Joint Laboratory of Environment Simulation and Pollution Control (13K10ESPCT), Fundamental Research Project of Shenzhen (JCYJ20130402145002375, JCYJ20140417115840286), and Innovation Research &amp; Develop Project of Nanshan District of Shenzhen (KC2013JSCX003A).</t>
  </si>
  <si>
    <t>10.1007/s11356-014-3859-7</t>
  </si>
  <si>
    <t>CE1QJ</t>
  </si>
  <si>
    <t>WOS:000351586500028</t>
  </si>
  <si>
    <t>Ramasubburayan, R; Prakash, S; Venkatesan, S; Palavesam, A; Immanuel, G</t>
  </si>
  <si>
    <t>Ramasubburayan, Ramasamy; Prakash, Santhiyagu; Venkatesan, Srinivasan; Palavesam, Arunachalam; Immanuel, Grasian</t>
  </si>
  <si>
    <t>Environmentally benign antifouling activity and toxic properties of bioactive metabolites from mangrove Excoecaria agallocha L</t>
  </si>
  <si>
    <t>Mangrove; Excoecaria agallocha; Antifouling; Field assay; GC-MS; Biodegradation</t>
  </si>
  <si>
    <t>BARNACLE BALANUS-AMPHITRITE; BACILLUS-FLEXUS APGI; SUBSP SUBTILIS RG; SYRINGODIUM-ISOETIFOLIUM; NATURAL-PRODUCTS; MARINE; BACTERIUM; EXTRACTS; ANTIBACTERIAL; BIOFILMS</t>
  </si>
  <si>
    <t>This study was aimed to investigate the antifouling (AF) potentials and toxic properties of methanol extract from leaves of mangrove Excoecaria agallocha. Antimicrofouling activity results inferred that this extract strongly inhibited fouling bacterial and microalgal growth. This extract had also inhibited the settlement of brown mussel Perna indica and larvae of barnacle Balanus amphitrite. Further, EC50 &lt; LC50 and therapeutic ratio &gt; 1 together propagated non-toxic nature of the extract. Mollusk foot adherence assay result showed complete inhibition of foot spreading and loss of attachment of common rocky fouler Patella vulgata to the substrata. Field assay results affirmed that this extract effectively deterred settlement of biofoulers. Purification and GC-MS analysis of bioassay-guided active spot evidenced presence of three major compounds (&gt; 85%) responsible for the promising AF activity. The identified lead compounds subjected to an estimation (BIOWIN (TM)) program developed by United States Environmental Protection Agency (USEPA) predicts that they are biodegradable in nature.</t>
  </si>
  <si>
    <t>[Ramasubburayan, Ramasamy; Immanuel, Grasian] Manonmaniam Sundaranar Univ, Ctr Marine Sci &amp; Technol, Rajakkamangalam 629502, Tamil Nadu, India; [Ramasubburayan, Ramasamy; Palavesam, Arunachalam] Manonmaniam Sundaranar Univ, Dept Anim Sci, Tirunelveli 627012, Tamil Nadu, India; [Prakash, Santhiyagu] Sri Kaliswari Coll, Dept Biotechnol, Virudunagar 626123, Tamil Nadu, India; [Venkatesan, Srinivasan] Periyar Univ, Dept Environm Sci, Salem 636011, Tamil Nadu, India</t>
  </si>
  <si>
    <t>Manonmaniam Sundaranar University; Manonmaniam Sundaranar University; Periyar University</t>
  </si>
  <si>
    <t>Ramasubburayan, R; Immanuel, G (corresponding author), Manonmaniam Sundaranar Univ, Ctr Marine Sci &amp; Technol, Rajakkamangalam 629502, Tamil Nadu, India.;Ramasubburayan, R (corresponding author), Manonmaniam Sundaranar Univ, Dept Anim Sci, Tirunelveli 627012, Tamil Nadu, India.</t>
  </si>
  <si>
    <t>vramanj@gmail.com; gimmas@gmail.com</t>
  </si>
  <si>
    <t>Ramasubburayan, Ramasamy/IAP-4074-2023; santhiyagu, prakash/J-8033-2014; srinivasan, venkatesan/A-2489-2015</t>
  </si>
  <si>
    <t>RAMASAMY, RAMASUBBURAYAN/0000-0001-7198-4076; santhiyagu, prakash/0000-0002-3728-6917; srinivasan, venkatesan/0000-0002-4107-241X</t>
  </si>
  <si>
    <t>UGC, New Delhi, India [19-91/2013(BSR)]</t>
  </si>
  <si>
    <t>UGC, New Delhi, India(University Grants Commission, India)</t>
  </si>
  <si>
    <t>We gratefully acknowledge the financial assistance extended in the form of BSR-One time Grant by the UGC, New Delhi, India [F. No. 19-91/2013(BSR) dated October 2013].</t>
  </si>
  <si>
    <t>10.1007/s11356-017-0297-3</t>
  </si>
  <si>
    <t>WOS:000417545800054</t>
  </si>
  <si>
    <t>Chou, CL; Paon, LA; Moffatt, JD; King, T</t>
  </si>
  <si>
    <t>Selection of bioindicators for monitoring marine environmental quality in the Bay of Fundy, Atlantic Canada</t>
  </si>
  <si>
    <t>indicator species; metals; organic contaminants; pollution monitoring; spatial; mussel watch</t>
  </si>
  <si>
    <t>LOBSTER HOMARUS-AMERICANUS; MUSSEL MYTILUS-EDULIS; COAL-COKING PLANT; SAINT-JOHN HARBOR; TRACE-METAL; DIGESTIVE GLANDS; AROMATIC-HYDROCARBONS; ORGANIC CONTAMINANTS; INNER BAY; COPPER</t>
  </si>
  <si>
    <t>Distribution of metals, PAH's and PCB's in lobsters, mussels, and sediments were used to assess marine environmental quality of the Bay of Fundy. This study demonstrates that the lobster (Homarus americanus) is a better bioindicator for monitoring contaminants in the marine environment and has a greater capacity for the uptake and accumulation of contaminants than the mussel (Mytilus edulis) and sediments. A definite pattern in the spatial distribution of lobster Cu, Cd, and Ag was evident. The distribution of organic contaminants for both mussels and lobsters in the Bay of Fundy lacked a spatial trend, and organic contaminants were undetectable in sediments from all sites. The Gulf Watch Programme, which monitors chemicals in mussels in the Bay of Fundy, did not indicate a problem with high levels of Cu, Cd, and Zn in the ecosystem. Analytes below the detection limit, such as in mussels and sediments, increase the difficulties of chemical analysis and detection for environmental monitoring. Deficiencies of mussels in monitoring the Bay of Fundy were discussed. (C) 2003 Elsevier Science Ltd. All rights reserved.</t>
  </si>
  <si>
    <t>Bedford Inst Oceanog, Oceans &amp; Environm Branch, Dept Fisheries &amp; Oceans, Dartmouth, NS B2Y 4A2, Canada</t>
  </si>
  <si>
    <t>Fisheries &amp; Oceans Canada; Bedford Institute of Oceanography</t>
  </si>
  <si>
    <t>Bedford Inst Oceanog, Oceans &amp; Environm Branch, Dept Fisheries &amp; Oceans, POB 1006,Maritimes Reg, Dartmouth, NS B2Y 4A2, Canada.</t>
  </si>
  <si>
    <t>10.1016/S0025-326X(03)00045-6</t>
  </si>
  <si>
    <t>WOS:000183749500020</t>
  </si>
  <si>
    <t>Kucuksezgin, F; Aydin-Onen, S; Gonul, LT; Pazi, I; Kocak, F</t>
  </si>
  <si>
    <t>Kucuksezgin, F.; Aydin-Onen, S.; Gonul, L. T.; Pazi, I.; Kocak, F.</t>
  </si>
  <si>
    <t>Assessment of organotin (butyltin species) contamination in marine biota from the Eastern Aegean Sea, Turkey</t>
  </si>
  <si>
    <t>Butyltins; Fish; Mussel; Barnacle; TARL; Eastern Aegean Sea</t>
  </si>
  <si>
    <t>MYTILUS-GALLOPROVINCIALIS; TIN CONTAMINATION; HEAVY-METALS; SEDIMENTS; ENVIRONMENT; POLLUTION; MUSSELS; TBT; TISSUES; GROWTH</t>
  </si>
  <si>
    <t>The marine environment continues to be adversely affected by tributyltin (TBT) release from maritime traffic. Therefore the concentrations of TBT, dibutyltin (DBT) and monobutyltin (MBT) were measured in barnacles, mussels and fish along the Eastern Aegean coastline. The average concentrations of TBT ng Sn g(-1) were found to be 235 in fish, 116 in mussels and 635 in barnacles. The highest concentrations of TBT, DBT and MBT were observed in the barnacles which had been sampled in marinas and harbors. All mussels sampled showed values of TBT + DBT, which were below the tolerable average residue level (TARL) as currently accepted. This indicates a lack of risk to the consumer. However, 7 out of the 15 fish sampled displayed TBT + DBT levels above the TARL, which indicates that a fish consumer group may be at risk. Barnacles have high potential as biomonitors for the presence of organotin in the Aegean Sea. (C) 2011 Elsevier Ltd. All rights reserved.</t>
  </si>
  <si>
    <t>[Kucuksezgin, F.; Aydin-Onen, S.; Gonul, L. T.; Pazi, I.; Kocak, F.] Dokuz Eylul Univ, Inst Marine Sci &amp; Technol, TR-35340 Izmir, Turkey</t>
  </si>
  <si>
    <t>aydın, sinem/P-9141-2019; PAZI, İdil/P-2195-2019; Kucuksezgin, Filiz/P-3788-2019; Koçak, Ferah/Q-2610-2019; gonul, tolga/O-9668-2019</t>
  </si>
  <si>
    <t>gonul, tolga/0000-0001-7118-9398; PAZI, Idil/0000-0003-4234-3733; Kucuksezgin, Filiz/0000-0001-9030-5227; YILMAZ, FERAH/0000-0002-3817-612X</t>
  </si>
  <si>
    <t>10.1016/j.marpolbul.2011.06.020</t>
  </si>
  <si>
    <t>821PB</t>
  </si>
  <si>
    <t>WOS:000294985800020</t>
  </si>
  <si>
    <t>Fiandrino, A; Martin, Y; Got, P; Bonnefont, JL; Troussellier, M</t>
  </si>
  <si>
    <t>Bacterial contamination of Mediterranean coastal seawater as affected by riverine inputs: simulation approach applied to a shellfish breeding area (Thau lagoon, France)</t>
  </si>
  <si>
    <t>thermotolerant coliform dynamics; Mediterranean coastal seawater; modeling; river flow; shellfish contamination</t>
  </si>
  <si>
    <t>ENVIRONMENTAL STRESSES; BRACKISH WATER; MODEL; SALMONELLA; BASIN; POPULATION; POLLUTION; RESPONSES; SURVIVAL; OYSTERS</t>
  </si>
  <si>
    <t>Consequences of short-term changes in thermotolerant coliform loads on their spatio-temporal distribution in a Mediterranean lagoon with large-scale mollusk farming (Than lagoon, France) were explored using a simulation approach. Simulations were based on bacterial transport and survival coupled models forced by the input of bacterial loads from the two main rivers (Vene and Pallas) that flow into the lagoon. Different flow types (reference, sudden and constant), bringing the same bacterial load, were considered and subsequent spatial and temporal bacterial contamination of lagoon surface water and shellfish was estimated. Simulation results showed that as long as loads were high, hydrodynamical processes governed the distribution of bacterial abundance in receiving areas. As soon as loads decreased or when time supply increased, biological die-off processes became dominant. Bacterial contamination of shellfish induced by the different flow types appeared to depend on the receiving area. In the case of Pallas River area, a sudden input of bacteria led to a high bacterial contamination of shellfish but only during a short period (approximate to1 day). A constant input of the same amount of bacteria induced a lower but significant contamination during all the simulation period (10 days). On the contrary, bacterial inputs from the Vene River led to shellfish contamination only when bacteria were delivered through a flood event. Exposure time of bacteria to adverse environmental conditions appeared to be the main explanation to the above-mentioned differences. Consequences of our results in terms of environmental management strategy were discussed. (C) 2002 Elsevier Science Ltd. All rights reserved.</t>
  </si>
  <si>
    <t>Univ Montpellier 2, Lab Ecosyst Lagunaires, CNRS, UMR 5119, F-34095 Montpellier 05, France; Inst Oceanog Paul Ricard, F-83140 Six Fours la Plage, France</t>
  </si>
  <si>
    <t>Centre National de la Recherche Scientifique (CNRS); Universite de Montpellier</t>
  </si>
  <si>
    <t>Univ Montpellier 2, Lab Ecosyst Lagunaires, CNRS, UMR 5119, F-34095 Montpellier 05, France.</t>
  </si>
  <si>
    <t>troussel@hydrobio.univmontp2.fr</t>
  </si>
  <si>
    <t>GOT, Patrice/0000-0001-7528-0770; BONNEFONT, Jean-Paul/0000-0002-4235-1197</t>
  </si>
  <si>
    <t>10.1016/S0043-1354(02)00573-0</t>
  </si>
  <si>
    <t>669GY</t>
  </si>
  <si>
    <t>WOS:000182344600003</t>
  </si>
  <si>
    <t>Dong, XX; Lv, LL; Zhao, WH; Yu, YB; Liu, QG</t>
  </si>
  <si>
    <t>Dong, Xuexing; Lv, Linlan; Zhao, Weihong; Yu, Yebing; Liu, Qigen</t>
  </si>
  <si>
    <t>Optimization of integrated multi-trophic aquaculture systems for the giant freshwater prawn Macrobrachium rosenbergii</t>
  </si>
  <si>
    <t>AQUACULTURE ENVIRONMENT INTERACTIONS</t>
  </si>
  <si>
    <t>Macrobrachium rosenbergii; Integrated multitrophic aquaculture; Specific growth rate; Water quality; Chlorophyll a</t>
  </si>
  <si>
    <t>CARP HYPOPHTHALMICHTHYS-MOLITRIX; SHRIMP POND EFFLUENT; FILTER-FEEDING FISH; SILVER CARP; HYPEREUTROPHIC LAKE; PLANKTON COMMUNITY; PHYTOPLANKTON; NUTRIENTS; SEAWEEDS</t>
  </si>
  <si>
    <t>Traditional monoculture farming of the giant freshwater prawn Macrobrachium rosenbergii causes a deterioration in water quality as a result of effluent discharge, leading to frequent disease outbreaks and environmental pollution. In the present study, the effects of integrated multitrophic aquaculture (IMTA) systems on the growth of M. rosenbergii and water quality were evaluated. Six treatments, with 4 replicates each, were used, including prawn monoculture (MP), prawn with aquatic plants (Lemna minor) (PP), prawn with silver carp Hypophthalmichthys molitrix (PF), prawn with mussels (Anodonta sp.) and H. molitrix (PMF), prawn with Anodonta sp. and L. minor (PMP) and prawn with Anodonta sp., L. minor and H. molitrix (PMPF). Growth rates of M. rosenbergii and physical, chemical and biological parameters were assessed every 10 d and on the last day of the 64 d experiment. Average weight gain in M. rosenbergii was highest in the PMPF group, although this was not statistically significant. There was also no significant difference in survival rate among treatments. Dissolved oxygen concentrations were significantly higher in the PMPF group, whereas total nitrogen and chlorophyll a concentrations were highest in the PF group. Compared to the MP group, stocking with H. molitrix (PF, PMF and PMPF) effectively reduced PO4-P. L. minor exhibited effective uptake of both N and P. In contrast to the group stocked only with H. molitrix (PF), stocking with L. minor (PP and PMP groups) reduced phytoplankton biomass. In summary, culturing M. rosenbergii in a multitrophic PMPF system provides the potential for increased economic profits and ecological benefits.</t>
  </si>
  <si>
    <t>[Dong, Xuexing; Liu, Qigen] Shanghai Ocean Univ, Coll Fisheries &amp; Life Sci, Shanghai 201306, Peoples R China; [Dong, Xuexing; Lv, Linlan; Zhao, Weihong; Yu, Yebing] Yancheng Inst Technol, Dept Ocean Technol, Key Lab Aquaculture &amp; Ecol Coastal Pool Jiangsu P, Yancheng 224051, Jiangsu, Peoples R China</t>
  </si>
  <si>
    <t>Shanghai Ocean University; Yancheng Institute of Technology</t>
  </si>
  <si>
    <t>Liu, QG (corresponding author), Shanghai Ocean Univ, Coll Fisheries &amp; Life Sci, Shanghai 201306, Peoples R China.</t>
  </si>
  <si>
    <t>qgliu@shou.edu.cn</t>
  </si>
  <si>
    <t>Wang, Yitong/KBA-1959-2024; zhang, hongcheng/O-9719-2015</t>
  </si>
  <si>
    <t>Public Welfare Agriculture Research Special Project [201203083]; Agricultural Science and Technology Guidance Project of Yancheng, China [YKN2014002]</t>
  </si>
  <si>
    <t>Public Welfare Agriculture Research Special Project; Agricultural Science and Technology Guidance Project of Yancheng, China</t>
  </si>
  <si>
    <t>This work was supported by Public Welfare Agriculture Research Special Project (no. 201203083), and Agricultural Science and Technology Guidance Project of Yancheng, China (YKN2014002).</t>
  </si>
  <si>
    <t>1869-215X</t>
  </si>
  <si>
    <t>1869-7534</t>
  </si>
  <si>
    <t>AQUACULT ENV INTERAC</t>
  </si>
  <si>
    <t>Aquac. Environ. Interact.</t>
  </si>
  <si>
    <t>10.3354/aei00287</t>
  </si>
  <si>
    <t>HF5VH</t>
  </si>
  <si>
    <t>WOS:000454301700003</t>
  </si>
  <si>
    <t>Macias, D; Hong, S; Yang, KM; Kim, J; Ha Kim, J</t>
  </si>
  <si>
    <t>Macias, Daniela; Hong, Seokwoo; Yang, Kwon Mo; Kim, Junsu; Ha Kim, Jeong</t>
  </si>
  <si>
    <t>Variability of marine epifauna assemblages in response to the microhabitat type and thermal stress</t>
  </si>
  <si>
    <t>Warm water discharge; Associated epifauna; Microhabitat; Community composition; Taxa response</t>
  </si>
  <si>
    <t>BENTHIC CRUSTACEA; MOBILE EPIFAUNA; TEMPERATURE; TOLERANCE; COMMUNITY; ECOLOGY; CLIMATE; COASTAL; SEA; PRODUCTIVITY</t>
  </si>
  <si>
    <t>Anthropogenic activities like overfishing, urban and industrial developments, and coastal pollution are some of the stressors affecting the marine environment. Thermal pollution from coastal industries like power plants represents the main cause of increased temperatures in water bodies, which can affect the marine community structure and function. The aim of this study was: 1) to compare the epifaunal communities associated with three different types of microhabitats: articulated coralline algae around coral colonies (CWC), articulated coralline algae in the absence of coral colonies and other benthic organisms (CNB), and the seaweed Ecklonia cava (ECK); and 2) to determine the potential changes in epifaunal communities in acute response to the increased water temperature resulting from coastal power plant activities in Jeju Island, South Korea. Our findings revealed a strong association between epifaunal abundance and microhabitat type, with CNB exhibiting the highest abundance while ECK showed the lowest. Additionally, an increase in temperature of 0.5-1.5 C-degrees was observed to not alter the overall abundance of epifauna at the impact site, however, it did lead to a shift in the community composition. There was a notable decline in the abundance of amphipods-caprellids, polychaetes, gastropods, and bivalves with their densities nearly halving in response to thermal stress. Furthermore, there was a shift in dominant taxa, transitioning from amphipods-caprellids to amphipods-non-caprellids. Conversely, other taxonomic groups such as isopods and copepods showed a remarkable surge in abundance following the temperature rise. These findings highlight the relationship between rising temperatures and epifaunal community composition while emphasizing taxa's different responses to thermal stress.</t>
  </si>
  <si>
    <t>[Macias, Daniela; Hong, Seokwoo; Yang, Kwon Mo; Kim, Junsu; Ha Kim, Jeong] Sungkyunkwan Univ, Dept Biol Sci, Suwon 16419, South Korea</t>
  </si>
  <si>
    <t>Sungkyunkwan University (SKKU)</t>
  </si>
  <si>
    <t>Ha Kim, J (corresponding author), Sungkyunkwan Univ, Dept Biol Sci, Suwon 16419, South Korea.</t>
  </si>
  <si>
    <t>jhkbio@skku.edu</t>
  </si>
  <si>
    <t>Namjeju Power Plant and Brain Korea 21 (4th stage)</t>
  </si>
  <si>
    <t>The authors thank the reviewers for their valuable comments and suggestions which improve the final version of this manuscript. This study was supported in part by the grant from Namjeju Power Plant and Brain Korea 21 (4th stage) .</t>
  </si>
  <si>
    <t>10.1016/j.rsma.2024.103392</t>
  </si>
  <si>
    <t>KS3U1</t>
  </si>
  <si>
    <t>WOS:001181923800001</t>
  </si>
  <si>
    <t>Lotze, HK</t>
  </si>
  <si>
    <t>Radical changes in the Wadden Sea fauna and flora over the last 2,000 years</t>
  </si>
  <si>
    <t>conservation; environmental history; extinction; multiple human impacts; recovery</t>
  </si>
  <si>
    <t>HISTORICAL CHANGES; NORTH-SEA; ABUNDANCE; AREA; FISH</t>
  </si>
  <si>
    <t>Humans have interacted with the Wadden Sea since its origin 7,500 years ago. However, exploitation, habitat alteration and pollution have strongly increased since the Middle Ages, affecting abundance and distribution of many marine mammals, birds, fish, invertebrates and plants. Large whales and some large birds disappeared more than 500 years ago. Most small whales, seals, birds, large fish and oysters were severely reduced by the late 19th and early 20th centuries, leading to the collapse of several traditional fisheries. In the 20th century, conservation efforts have enabled some breeding birds and seals to recover. But other species declined further due to continuing exploitation, habitat destruction, pollution and eutrophication. Moreover, complex three-dimensional habitats such as oyster banks, Sabellaria reefs and subtidal eelgrass beds have been lost completely. In contrast, several opportunistic species such as gulls, polychaetes, green algae and exotic invaders increased during the 20th century. Taken together, multiple human impacts have caused dramatic losses of large predators and habitat-building species in the Wadden Sea over the last 500 years. Although still of high natural value and global importance, the Wadden Sea is a fundamentally changed ecosystem. On the other hand, reduced hunting pressure, increased habitat protection and reduced river pollution have enabled the recent recovery of several species and an increase in environmental quality. These successes, together with a historical vision of what was once possible, should guide current and future conservation, restoration and management efforts towards a more sustainable interaction between man and the sea.</t>
  </si>
  <si>
    <t>Alfred Wegener Inst Polar &amp; Marine Res, Wadden Sea Stn Sylt, D-25992 List Auf Sylt, Germany; Leibniz Inst Marine Sci, D-24105 Kiel, Germany</t>
  </si>
  <si>
    <t>Helmholtz Association; Alfred Wegener Institute, Helmholtz Centre for Polar &amp; Marine Research; Helmholtz Association; GEOMAR Helmholtz Center for Ocean Research Kiel</t>
  </si>
  <si>
    <t>Dalhousie Univ, Dept Biol, Halifax, NS B3H 4J1, Canada.</t>
  </si>
  <si>
    <t>hlotze@dal.ca</t>
  </si>
  <si>
    <t>Lotze, Heike/0000-0001-6258-1304</t>
  </si>
  <si>
    <t>10.1007/s10152-004-0208-0</t>
  </si>
  <si>
    <t>915TP</t>
  </si>
  <si>
    <t>WOS:000228334500009</t>
  </si>
  <si>
    <t>Page, DS; Widdows, J; Staff, FJ</t>
  </si>
  <si>
    <t>Effects of thermal stress and tri(n)butyl tin on anaerobic energy metabolism in Mytilus edulis</t>
  </si>
  <si>
    <t>MUSSEL; POLLUTION; AIR</t>
  </si>
  <si>
    <t>The purpose of this study was to understand the effects of tri(n)butyl tin (TBT) on anaerobic energy metabolism and whether TBT causes a lowered ability of Mytilus edulis to withstand emersion. The study design included two levels of anaerobic effect and elevated temperature. Two TBT-dosed groups of mussels (10 mu g g(-1) dry wt) and two control groups, were thermally stressed at 35 degrees C for 2 h, one TBT/control pair in air and the second TBT/control pair under nitrogen. Using an HPLC-based method, mono- and dicarboxylic acid metabolites associated with anaerobic energy metabolism were quantified before and after treatment for subsamples of all groups. TBT exposure was found to significantly increase anaerobic mortality at elevated temperatures. The rates of accumulation of the anaerobic end products succinate, lactate and propionate were greatest for the nitrogen-exposed TBT group. As an uncoupler of fumarate reductase in anaerobic energy metabolism, TBT causes lowered ATP production and a stimulation of glycogen breakdown and glycolysis consistent with the increased rate of accumulation of anaerobic end products observed in the TBT group relative to the control group. This effect is most pronounced for the strictly anaerobic nitrogen-exposed TBT group. The increased rate of lactate accumulation in the nitrogen-exposed TBT group reflects an increased glycolytic rate leading to the increased pyruvate levels observed for this group. This lowering of anaerobic metabolic efficiency is consistent with the observed lowered tolerance of emersion in TBT-exposed mussels. (C) 1998 Elsevier Science Ltd. All rights reserved.</t>
  </si>
  <si>
    <t>Bowdoin Coll, Dept Chem, Brunswick, ME 04011 USA; Plymouth Marine Lab, Plymouth LP1 3DH, Devon, England</t>
  </si>
  <si>
    <t>Bowdoin College; Plymouth Marine Laboratory</t>
  </si>
  <si>
    <t>Page, DS (corresponding author), Bowdoin Coll, Dept Chem, Brunswick, ME 04011 USA.</t>
  </si>
  <si>
    <t>10.1016/S0141-1136(97)00116-5</t>
  </si>
  <si>
    <t>WOS:000075806100087</t>
  </si>
  <si>
    <t>Richter, BD; Braun, DP; Mendelson, MA; Master, LL</t>
  </si>
  <si>
    <t>Threats to imperiled freshwater fauna</t>
  </si>
  <si>
    <t>CONSERVATION BIOLOGY</t>
  </si>
  <si>
    <t>CONSERVATION; EXTINCTIONS; CALIFORNIA; STOCKS; FISHES</t>
  </si>
  <si>
    <t>Threats to imperiled freshwater fauna in the U.S. were assessed through an experts survey addressing anthropogenic stressors and their sources. Specifically, causes of historic declines and current limits to recovery were identified for 135 imperiled freshwater species of fishes, crayfishes, dragonflies and damselflies, mussels, and amphibians. The survey was designed to identify threats with sufficient specificity to inform resource managers and regulators faced with translating information about predominant biological threats into specific, responsive actions. The findings point to altered sediment loads and nutrient inputs from agricultural nonpoint pollution; interference from exotic species; and altered hydrologic regimes associated with impoundment operations as the three leading threats nationwide, accompanied by many lesser but still significant threats. Variations in threats among regions nad among taxa were also evident. Eastern species are most commonly affected by altered sediment loads from agricultural activities, whereas exotic species, habitat removal/damage, and altered hydrologic regimes predominate in the West. Altered sediment loading from agricultural activities and exotic species are dominant problems for both eastern mussels and fishes. However, eastern fishes also appear to be suffering from municipal nonpoint pollution (nutrients and sediments), whereas eastern mussels appear to be more severely affected by altered nutrient impacts from hydroelectric impoundments and agricultural runoff. Our findings suggest that control of nonpoint source pollution associated with agriculture activities should be a very high priority for agricultural producers and governmental support programs. Additionally, the large number of hydropower dams in the U.S. subject to federal re-licensing in coming years suggests a significant opportunity to restore natural hydrologic regimes in the affected rivers.</t>
  </si>
  <si>
    <t>NATURE CONSERVANCY,BIOHYDROL PROGRAM,ARLINGTON,VA 22209; NATURE CONSERVANCY,BIOHYDROL PROGRAM,BOULDER,CO 80302; NATURE CONSERVANCY,BOSTON,MA 02110</t>
  </si>
  <si>
    <t>Nature Conservancy; Nature Conservancy; Nature Conservancy</t>
  </si>
  <si>
    <t>Richter, BD (corresponding author), NATURE CONSERVANCY,BIOHYDROL PROGRAM,POB 430,HAYDEN,CO 81639, USA.</t>
  </si>
  <si>
    <t>BLACKWELL SCIENCE INC</t>
  </si>
  <si>
    <t>350 MAIN ST, MALDEN, MA 02148</t>
  </si>
  <si>
    <t>0888-8892</t>
  </si>
  <si>
    <t>CONSERV BIOL</t>
  </si>
  <si>
    <t>Conserv. Biol.</t>
  </si>
  <si>
    <t>10.1046/j.1523-1739.1997.96236.x</t>
  </si>
  <si>
    <t>Biodiversity Conservation; Ecology; Environmental Sciences</t>
  </si>
  <si>
    <t>YB760</t>
  </si>
  <si>
    <t>WOS:A1997YB76000006</t>
  </si>
  <si>
    <t>Knapen, D; Reynders, H; Bervoets, L; Verheyen, E; Blust, R</t>
  </si>
  <si>
    <t>Knapen, Dries; Reynders, Hans; Bervoets, Lieven; Verheyen, Erik; Blust, Ronny</t>
  </si>
  <si>
    <t>Metallothionein gene and protein expression as a biomarker for metal pollution in natural gudgeon populations</t>
  </si>
  <si>
    <t>metal pollution; metallothionein; gene expression; protein expression; gudgeon; Gobio gobio</t>
  </si>
  <si>
    <t>CLAM RUDITAPES-DECUSSATUS; MESSENGER-RNA; GOBIO-GOBIO; HEPATIC METALLOTHIONEIN; SEASONAL-CHANGES; DIGESTIVE GLAND; EUROPEAN EEL; FISH; CADMIUM; WATER</t>
  </si>
  <si>
    <t>Gudgeons (Gobio gobio) from historically Cd and Zn contaminated sites in Flanders (Belgium) were found to be resistant to elevated Cd levels. In previous work, this increased resistance was largely explained by increased metallothionein (MT) expression. Recently, environmental cleanup efforts resulted in a significant decrease in Cd concentrations in the surface water. In this study, we evaluated the use of hepatic metal and metallothionein (MT) concentrations as biomarkers of metal exposure before and after the cleanup. Hepatic MT mRNA levels were determined after the environmental metal levels decreased in order to assess the applicability of MT gene expression as an environmental biomarker in natural fish populations. Our data show that both metallothionein protein and gene expression have the potential to be sensitive biomarkers for metal exposure. Significant correlations were found (a) among accumulated metal concentrations and both MT protein and mRNA levels, and (b) between MT protein and mRNA levels. However, our data illustrated that while MT protein and gene expression give a quantitative picture of metal load at a single time point, quantitative information in natural populations cannot always be obtained when different time points (including different years) are compared, since MT gene and protein expression are affected by many other factors in addition to the metal load. Furthermore, the result of the environmental cleanup was reflected in a decrease of hepatic Cd concentrations. Zn remained the most important factor determining MT concentrations. Finally, two differently sized MT mRNAs were amplified to test the hypothesis that 3 '-UTR length can offer a protective advantage in conditions of environmental stress. Our data provided no evidence to support this hypothesis. In contrast, the ratio of the long mRNA variant relative to total MT mRNA was surprisingly constant, and independent of exposure history. (C) 2007 Elsevier B.V. All rights reserved.</t>
  </si>
  <si>
    <t>Univ Antwerp, Dept Biol, Res Unit Ecophysiol Biochem &amp; Toxicol, B-2020 Antwerp, Belgium</t>
  </si>
  <si>
    <t>Knapen, D (corresponding author), Univ Antwerp, Dept Biol, Res Unit Ecophysiol Biochem &amp; Toxicol, Groenenborgerlaan 171, B-2020 Antwerp, Belgium.</t>
  </si>
  <si>
    <t>dries.knapen@ua.ac.be</t>
  </si>
  <si>
    <t>Bervoets, Lieven/E-5012-2015; VERHEYEN, ERIK/E-5550-2013</t>
  </si>
  <si>
    <t>VERHEYEN, ERIK/0000-0001-7157-1474; Knapen, Dries/0000-0003-0472-8114</t>
  </si>
  <si>
    <t>10.1016/j.aquatox.2007.02.008</t>
  </si>
  <si>
    <t>163DL</t>
  </si>
  <si>
    <t>WOS:000246138800002</t>
  </si>
  <si>
    <t>Geret, F; Rainglet, F; Cosson, RP</t>
  </si>
  <si>
    <t>Comparison between isolation protocols commonly used for the purification of mollusc metallothioneins</t>
  </si>
  <si>
    <t>BINDING PROTEINS; MYTILUS-EDULIS; CADMIUM; ACCUMULATION; MUSSELS</t>
  </si>
  <si>
    <t>Two centrifugation methods (at 30 000 and 100 000 g) combined with two isolation procedures (heat denaturation and solvent precipitation) were tested to check if their use introduced significant differences in the quantification of metals (Cd, Cu, Zn) and metallothioneins in blue mussel organs (gills and digestive gland). No contaminating compounds originating from the lowest centrifugation speed,were likely to interfere with quantitative measurements of metal, protein and metallothionein. As isolation treatments act on specific properties of proteins in general and metallothionein isoforms in particular they cannot be used interchangeably,. Therefore, any comparisons of MT amounts in bivalve tissues with data from the literature have to take into account the isolation procedure. Similar results were obtained with three other molluscs, Crassostrea gigas, Bathymodiolus thermophilus thermophilus (hydrothermal mussel), and Corbicula fluminea (estuarine bivalve). (C) 1998 Elsevier Science Ltd All rights reserved.</t>
  </si>
  <si>
    <t>Fac Pharm, CNRS EP 61, ISOMer, F-44035 Nantes 1, France</t>
  </si>
  <si>
    <t>Geret, F (corresponding author), Fac Pharm, CNRS EP 61, ISOMer, BP 53508, F-44035 Nantes 1, France.</t>
  </si>
  <si>
    <t>10.1016/S0141-1136(97)00106-2</t>
  </si>
  <si>
    <t>WOS:000075806100112</t>
  </si>
  <si>
    <t>Banda, PG; Kurup, GB; Mucherla, R</t>
  </si>
  <si>
    <t>Banda, Prashanth Goud; Kurup, Gayathri Bindu; Mucherla, Raghasudha</t>
  </si>
  <si>
    <t>Immobilization of Ag nanoparticles on NiFe2O4@TiO2@PDA: Multifunctional catalytic action toward the reduction of 4-Nitrophenol and photodegradation of methylene blue and ciprofloxacin</t>
  </si>
  <si>
    <t>JOURNAL OF PHYSICS AND CHEMISTRY OF SOLIDS</t>
  </si>
  <si>
    <t>Heterogeneous nanocatalyst; Reduction of 4-NP; Degradation of MB; Ciprofloxacin; Direct sunlight; Magnetic recovery</t>
  </si>
  <si>
    <t>MUSSEL-INSPIRED CHEMISTRY; IN-SITU SYNTHESIS; SILVER NANOPARTICLES; FACILE PREPARATION; CORE-SHELL; GREEN SYNTHESIS; POLYDOPAMINE; GRAPHENE; REMOVAL; HYDROGENATION</t>
  </si>
  <si>
    <t>Freshwater, an essential commodity of life, is under threat by the presence of pernicious chemicals, such as 4nitrophenol (4-NP), organic azo dyes, and colorless antibiotic pollutants, leading to water pollution. It is an absolute necessity to transform these pernicious chemicals into benign compounds to mitigate water pollution and safeguard life on Earth. One such effort in the current work is the development of a recyclable, multifunctional, and heterogeneous NiFe2O4@TiO2@PDA-Ag magnetic nanocatalyst for the reduction of 4-NP to 4aminophenol (4-AP) and the photocatalytic degradation of methylene blue (MB) (an organic azo dye) and ciprofloxacin (CIP) (a colorless antibiotic pollutant) under irradiation with direct sunlight. Characterization of the developed catalyst was achieved using various spectroscopic and analytical methods (XRD, FTIR &amp; UV-Vis spectroscopy, SEM, TEM, and XPS). The visible light active nature of the catalyst was confirmed by our UV-Vis spectroscopic data. The reduction of 4-NP to 4-AP with 97% conversion was achieved using the catalyst at room temperature in an aqueous medium in the presence of sodium borohydride (NaBH4) at a rate constant of 0.462 min-1. The photocatalytic degradation of MB and CIP was achieved using the catalyst under irradiation with direct sunlight, in which 96.5 and 68% degradation was observed with a degradation rate constant of 0.0483 and 0.0750 min-1 respectively. The presence of a magnetic NiFe2O4 core in the catalyst enables its recovery with the aid of the external magnet, its reusability was assessed and exhibited good efficacy up to five cycles. The magnetic nature of the catalyst was confirmed using vibrating sample magnetometry (VSM). The synthesis of a sole reusable magnetic catalyst suitable for the removal of three toxic pollutants under normal conditions adopting a facile methodology with excellent activity up to five cycles is rare and thus, the findings from the present work provide helpful information in wastewater treatment.</t>
  </si>
  <si>
    <t>[Banda, Prashanth Goud; Kurup, Gayathri Bindu; Mucherla, Raghasudha] Natl Inst Technol Warangal, Dept Chem, Warangal 506004, Telangana, India</t>
  </si>
  <si>
    <t>National Institute of Technology (NIT System); National Institute of Technology Warangal</t>
  </si>
  <si>
    <t>Mucherla, R (corresponding author), Natl Inst Technol Warangal, Dept Chem, Warangal 506004, Telangana, India.</t>
  </si>
  <si>
    <t>prashanthb@student.nitw.ac.in; gb22cyr1r01@student.nitw.ac.in; raghas13chem@nitw.ac.in</t>
  </si>
  <si>
    <t>Raghasudha, Mucherla/AAK-8170-2020; Mucherla, Raghasudha/C-3267-2016</t>
  </si>
  <si>
    <t>Mucherla, Raghasudha/0000-0002-1710-9630; kurup, Gayathri Bindu/0009-0002-2798-4698</t>
  </si>
  <si>
    <t>National Institute of Technology Warangal (NITW) [P1082]; DST - FIST grant [SR/FST/CSII/2018/65]; NITW</t>
  </si>
  <si>
    <t>National Institute of Technology Warangal (NITW); DST - FIST grant; NITW</t>
  </si>
  <si>
    <t>MR is grateful to the National Institute of Technology Warangal (NITW) for the Research Seed Money (P1082 Plan Gen.-RSM) and DST - FIST grant (SR/FST/CSII/2018/65) awarded to the Department of Chemistry, NITW, for the financial support of this work. BPG is grateful to NITW for the Senior Research Fellowship.</t>
  </si>
  <si>
    <t>0022-3697</t>
  </si>
  <si>
    <t>1879-2553</t>
  </si>
  <si>
    <t>J PHYS CHEM SOLIDS</t>
  </si>
  <si>
    <t>J. Phys. Chem. Solids</t>
  </si>
  <si>
    <t>10.1016/j.jpcs.2023.111556</t>
  </si>
  <si>
    <t>Chemistry, Multidisciplinary; Physics, Condensed Matter</t>
  </si>
  <si>
    <t>O7RE1</t>
  </si>
  <si>
    <t>WOS:001045730600001</t>
  </si>
  <si>
    <t>Burgeot, T; Woll, S; Galgani, F</t>
  </si>
  <si>
    <t>Evaluation of the micronucleus test on Mytilus galloprovincialis for monitoring applications along French coasts</t>
  </si>
  <si>
    <t>MARINE MUSSEL; CONTAMINATION; INDUCTION; CADMIUM; WATERS; EDULIS</t>
  </si>
  <si>
    <t>With a view to monitoring applications, the micronucleus (MN) test was evaluated on hemocytes from Mytilus galloprovincialis obtained in intermediate and contaminated sites along the French Mediterranean coast. A simple, rapid method of sampling and cytological preparation was tested. In vivo determinations of MN variation observed from February to May did not demonstrate clearly the exposure of organisms in highly polluted areas. To provide a basis for long-term interpretation, measurements of chemical pollutants in mussels, as performed by the National Observation Network, were compared with MN test results. The determination of an MN base level specific to each site, though not always related to the different chemical pollutants present, indicated that intersite comparison over wide areas of the French coast might prove difficult. Micronuclei, which have already shown their potential value as an index for the genotoxic effect of the marine environment, need to be improved before monitoring application.</t>
  </si>
  <si>
    <t>IFREMER, LAB COTIER, F-85507 LA SEYNE SUR MER, FRANCE</t>
  </si>
  <si>
    <t>IFREMER, LAB ECOTOXICOL, RUE ILE YEU, F-44037 NANTES 01, FRANCE.</t>
  </si>
  <si>
    <t>10.1016/0025-326X(96)89526-9</t>
  </si>
  <si>
    <t>TU799</t>
  </si>
  <si>
    <t>WOS:A1996TU79900010</t>
  </si>
  <si>
    <t>Martinez, DI; de Oliveira, AJFC</t>
  </si>
  <si>
    <t>Martinez, Diego Igawa; Fernandes Cardoso de Oliveira, Ana Julia</t>
  </si>
  <si>
    <t>FAECAL BACTERIA IN Perna perna (LINNAEUS, 1758) (MOLLUSCA: BIVALVIA) FOR BIOMONITORING COASTAL WATERS AND SEAFOOD QUALITY</t>
  </si>
  <si>
    <t>4th Brazilian Symposium on Oceanography</t>
  </si>
  <si>
    <t>DEC 08-12, 2008</t>
  </si>
  <si>
    <t>Oceanographic Inst Univ, Sao Paulo, BRAZIL</t>
  </si>
  <si>
    <t>Oceanographic Inst Univ</t>
  </si>
  <si>
    <t>Perna perna; Fecal bacteria; Enterococci; Thermotolerant Coliforms; Clearance; Biomonitoring</t>
  </si>
  <si>
    <t>MICROBIOLOGICAL POLLUTION; INDICATOR; MUSSELS</t>
  </si>
  <si>
    <t>Urban development in coastal areas is intense and leads to the increase of sewage outfall and other negative impacts as consequences. Thus, stringent regulations establishing limits to the microbiological contamination of water and seafood are needed. The objective of this study is to evaluate the usefulness of Enterococci and Thermotolerant Coliform densities in the flesh of mussels Perna perna as an alternative tool for monitoring the microbiological quality of coastal waters. The study also considers allometric relations applied to clearance rates to understand rates of bacterial concentration. Bacterial loads obtained in mussels' flesh were from 50 to 4,300 times greater than in the water sampled in the vicinity of the mussels and some were considered inappropriate for consumption even when the water presented no restrictions. The mean clearance rate obtained for Enterococci retention was 317.7 ml h(-1) and this rate (CR) is related to the mussels' size (L) by the equation CR = 28.3229L(1.6421). The results showed that bacterial densities in the mussels' tissues may reflect chronic contamination of the environment and that clearance rates are important for taking the best decision in situations where, for example, it is desired to introduce mussels for aquaculture and the evaluation of the water concerned is required.</t>
  </si>
  <si>
    <t>[Martinez, Diego Igawa; Fernandes Cardoso de Oliveira, Ana Julia] Univ Estadual Paulista, UNESP, BR-11330900 Sao Vicente, SP, Brazil</t>
  </si>
  <si>
    <t>Universidade Estadual Paulista</t>
  </si>
  <si>
    <t>Martinez, DI (corresponding author), Univ Estadual Paulista, UNESP, Campus Expt Litoral Paulista,Praca Infante Dom He, BR-11330900 Sao Vicente, SP, Brazil.</t>
  </si>
  <si>
    <t>diegoigawa@clp.unesp.br</t>
  </si>
  <si>
    <t>Oliveira, Ana Julia/K-5888-2014</t>
  </si>
  <si>
    <t>Oliveira, Ana Julia/0000-0002-0646-504X</t>
  </si>
  <si>
    <t>10.1590/S1679-87592010000700005</t>
  </si>
  <si>
    <t>648JT</t>
  </si>
  <si>
    <t>WOS:000281690400005</t>
  </si>
  <si>
    <t>Chen, YL; Shen, ZX; Li, GJ; Wang, KH; Cai, XW; Xiong, X; Wu, CX</t>
  </si>
  <si>
    <t>Chen, Yuling; Shen, Zhixin; Li, Gaojun; Wang, Kehuan; Cai, Xingwei; Xiong, Xiong; Wu, Chenxi</t>
  </si>
  <si>
    <t>Factors affecting microplastic accumulation by wild fish: A case study in the Nandu River, South China</t>
  </si>
  <si>
    <t>Microplastic; Fish; Biomonitoring; Accumulation</t>
  </si>
  <si>
    <t>3 GORGES RESERVOIR; FRESH-WATER; INGESTION; ZEBRAFISH; POLLUTION; EGESTION; MUSSEL</t>
  </si>
  <si>
    <t>Quantifying microplastic accumulation in aquatic organisms is important for risk assessments in natural habitats. However, studies on the factors influencing microplastic accumulation by fish, particularly in natural water bodies, remain limited. In this study, we monitored the microplastic pollution characteristics in the fish digestive tract and surface water of the Nandu River, the largest river in Hainan, China. Among the 179 fish examined, microplastics were detected in 90.5 %, covering 27 fish species. Moreover, low abundance of microplastics occurred among the different fish, with an average of 3.20 +/- 2.60 particles per fish. Fibrous microplastics with a large size (&gt;500 mu m) were dominant in both the water column and fish. In this study, fish size, feeding habits, and living habitats did not affect microplastic abundance in fish. Based on the analysis of differences in the abundance and morphological characteristics of microplastics in water column and fish, we suggested that the random intake and differential excretion of microplastics with different characteristics by fish might lead to the homogeneity of microplastic accumulation in different fish. Our study suggest that more attention should be given to the negative effects of microplastics on small fish owing to the higher microplastic exposure per gram weight, and further improvement in microplastic risk assessment methods is required.</t>
  </si>
  <si>
    <t>[Chen, Yuling; Wang, Kehuan; Xiong, Xiong; Wu, Chenxi] Chinese Acad Sci, Inst Hydrobiol, State Key Lab Freshwater Ecol &amp; Biotechnol, Wuhan 430072, Peoples R China; [Shen, Zhixin; Li, Gaojun; Cai, Xingwei] Hainan Acad Ocean &amp; Fisheries Sci, Haikou 571126, Hainan, Peoples R China; [Chen, Yuling] Univ Chinese Acad Sci, Beijing 100039, Peoples R China</t>
  </si>
  <si>
    <t>Chinese Academy of Sciences; Institute of Hydrobiology, CAS; Chinese Academy of Sciences; University of Chinese Academy of Sciences, CAS</t>
  </si>
  <si>
    <t>Xiong, X (corresponding author), Donghu South Rd 7, Wuhan 430072, Peoples R China.</t>
  </si>
  <si>
    <t>xxiong@ihb.ac.cn</t>
  </si>
  <si>
    <t>Li, Gaojun/AAD-9870-2022; Xiong, Xiong/GQQ-8712-2022; Chen, YL/HJP-8740-2023; Wu, Chenxi/O-7689-2016</t>
  </si>
  <si>
    <t>National Key Research and Development Program of China [2018YFD0900701]; Youth Innovation Promotion Association CAS [2021339]</t>
  </si>
  <si>
    <t>National Key Research and Development Program of China(National Key Research &amp; Development Program of China); Youth Innovation Promotion Association CAS</t>
  </si>
  <si>
    <t>This study was funded by the National Key Research and Development Program of China (2018YFD0900701) and the Youth Innovation Promotion Association CAS (2021339). We would also like to appreciate the help provided Ms. Min Wang for her help in the Raman spectroscopy analysis and thank to www.figdraw.comfor providing drawing materials for graphical abstract.</t>
  </si>
  <si>
    <t>10.1016/j.scitotenv.2022.157486</t>
  </si>
  <si>
    <t>8P3RO</t>
  </si>
  <si>
    <t>WOS:000926442800006</t>
  </si>
  <si>
    <t>Katsuki, K; Seto, K; Nomura, R; Maekawa, K; Khim, BK</t>
  </si>
  <si>
    <t>Katsuki, Kota; Seto, Koji; Nomura, Ritsuo; Maekawa, Kimihiko; Khim, Boo-Keun</t>
  </si>
  <si>
    <t>Effect of human activity on Lake Saroma (Japan) during the past 150 years: Evidence by variation of diatom assemblages</t>
  </si>
  <si>
    <t>diatoms; lacustrine ecology; pollution; shellfish culture; coastal zone; Lake Saroma</t>
  </si>
  <si>
    <t>CHESAPEAKE BAY; SEDIMENTS; EUTROPHICATION; PORTUGAL</t>
  </si>
  <si>
    <t>Diatom assemblages of the surface and in core sediment samples from Lake Saroma (Japan) were examined for the purpose of evaluating anthropogenic effect on the coastal environmental changes. Before the first inlet excavation, the lake's water quality and ecology were controlled by water exchange with the Okhotsk Sea as well as lake-level variation. However, large-scale ecological modification occurred, mainly due to artificial excavation and shellfish industrial farms. A distinct record of the succession of the dominant diatom taxa was preserved in core sediments. Low-oxygen water was prevalent in the lake in 1929, before the first inlet excavation. Immediately after the first inlet excavation, the low-oxygen water in the western basin of the lake began to disappear, in a trend that became increasing transparent, which has been attributed to an increasing rate of water exchange. However, the lacustrine environment of bottom sediments resumes deterioration 20 years after since the first artificial excavation: the resultant deposition of river-mouth materials into the deep basin caused eutrophication and environmental disturbance of the lake bottom. At the same time, the eutrophication of surface water became intensified with the onset of intense scallop culturing beginning in 1966. Increasing organic loads deposited onto the bottom layer in the form of excreta from the scallop nursery led to more oxygen deficiency and the elution of nitrogen and phosphorus from the sediment, which again brought about eutrophication of the surface layer. Such environmental change was reflected in a decrease of benthic diatom taxa and an increase of planktonic taxa, trends which have continued until today. Particularly, the numbers of diatom assemblage have been decreasing all over the lake during the last 10 years, which suggests that Lake Saroma's present-day deterioration and eutrophication will continue or become even worse. (C) 2008 Elsevier Ltd. All rights reserved.</t>
  </si>
  <si>
    <t>[Katsuki, Kota; Khim, Boo-Keun] Pusan Natl Univ, Div Earth Environm Syst, Pusan 609735, South Korea; [Seto, Koji] Shimane Univ, Res Ctr Coastal Lagoon Environm, Matsue, Shimane 6908504, Japan; [Nomura, Ritsuo] Shimane Univ, Dept Educ, Matsue, Shimane 6908504, Japan; [Maekawa, Kimihiko] Aquaculture &amp; Res Inst Saroma Lake, Kitami, Hokkaido 0930216, Japan</t>
  </si>
  <si>
    <t>Pusan National University; Shimane University; Shimane University</t>
  </si>
  <si>
    <t>Katsuki, K (corresponding author), Pusan Natl Univ, Div Earth Environm Syst, San 30 Jangjeon Dong, Pusan 609735, South Korea.</t>
  </si>
  <si>
    <t>kkota@pusan.ac.kr</t>
  </si>
  <si>
    <t>MEXT [1154046, 15204046]; Korea Polar Research Institute [PE09010]; PNU Post-doc Program; Grants-in-Aid for Scientific Research [15204046] Funding Source: KAKEN</t>
  </si>
  <si>
    <t>MEXT(Ministry of Education, Culture, Sports, Science and Technology, Japan (MEXT)); Korea Polar Research Institute(Korea Polar Research Institute of Marine Research Placement (KOPRI)); PNU Post-doc Program; Grants-in-Aid for Scientific Research(Ministry of Education, Culture, Sports, Science and Technology, Japan (MEXT)Japan Society for the Promotion of ScienceGrants-in-Aid for Scientific Research (KAKENHI))</t>
  </si>
  <si>
    <t>Financial supports from MEXT Grants-in-Aid-for Scientific Research (C) (2), Project No. 1154046 (to Dr. Seto), and Research (A), Project No. 15204046 (to Prof. Nomura), Korea Polar Research Institute (grant PE09010 to Prof. Khim) and PNU Post-doc Program (to Dr. Katsuki) are gratefully acknowledged. We appreciate the members of Aquaculture and Research Institute of Saroma Lake who supported the sampling work. We also thank Dr. H. Takata (Pusan National University) and Dr. Y. Miyamoto (Tottori Prefectural Institute of Public Health and Environmental Science) who introduced the precious documents. Thanks also go to three anonymous reviewers including Dr. Wolanski (Editor-in-chief) for their constructive and critical suggestions to improve the manuscript.</t>
  </si>
  <si>
    <t>ACADEMIC PRESS LTD ELSEVIER SCIENCE LTD</t>
  </si>
  <si>
    <t>10.1016/j.ecss.2008.10.015</t>
  </si>
  <si>
    <t>399BU</t>
  </si>
  <si>
    <t>WOS:000262776200008</t>
  </si>
  <si>
    <t>Kholodkevich, S; Sharov, A; Kuznetsova, T; Kurakin, A; Joksimovic, D; Nikolic, M</t>
  </si>
  <si>
    <t>Kholodkevich, Sergey; Sharov, Andrey; Kuznetsova, Tatiana; Kurakin, Anton; Joksimovic, Danijela; Nikolic, Marko</t>
  </si>
  <si>
    <t>Physiological testing of Mytilus galloprovincialis for the environmental assessing of coastal marine areas: a case study in Boka Kotorska Bay (the Adriatic Sea)</t>
  </si>
  <si>
    <t>Marine coastal areas; biological effects of pollution; heart rate variability; Mytilus galloprovincialis; trace elements in tissues; the Adriatic Sea</t>
  </si>
  <si>
    <t>LIMPET PATELLA-VULGATA; HEART-RATE; MONITORING-SYSTEM; CARDIAC ACTIVITY; POLLUTION; RESPONSES; COPPER; CRAYFISH</t>
  </si>
  <si>
    <t>The aim of this work was to validate in the field certain measurement of the heart rate alterations of the bioindicator organism Mytilus galloprovicialis as a tool for ecotoxicological biomonitoring and assessment applications related to coastal and marine environment. The latter was determined by testing the mussels according to the method of functional loading (1-hour lowered salinity stress-exposure). The time of heart rate (HR) recovery (T-rec) and the coefficient of HR variation (CVHR) in a group of tested animals were used as biomarkers for the assessment of their physiological state. It was found that the values of the biomarkers in mussels from our reference location were 1.3-1.5 times lower than in mussels from differently polluted coastal areas of the Bay. The study also included an investigation of the relationship between the mussel's cardiac rhythm characteristics and the bioaccumulation of trace elements in their soft tissues, caused by chronic pollution. The conclusion was drawn that this approach to the physiological testing of mussels could be useful in developing a rapid and low-cost method for the assessment of the health of coastal ecosystems.</t>
  </si>
  <si>
    <t>[Kholodkevich, Sergey; Sharov, Andrey; Kuznetsova, Tatiana; Kurakin, Anton] Russian Acad Sci, St Petersburg Sci Res Ctr Ecol Safety, 18 Korpusnaya Str, St Petersburg 197110, Russia; [Kholodkevich, Sergey] St Petersburg State Univ, Inst Earth Sci, St Petersburg, Russia; [Sharov, Andrey] Russian Acad Sci, Papanin Inst Biol Inland Waters, Borok, Russia; [Joksimovic, Danijela; Nikolic, Marko] Univ Montenegro, Inst Marine Biol, Kotor, Montenegro</t>
  </si>
  <si>
    <t>Russian Academy of Sciences; St. Petersburg Scientific Centre of the Russian Academy of Sciences; St. Petersburg Federal Research Center of the Russian Academy of Sciences; Saint Petersburg State University; Papanin Institute for Biology of Inland Waters; Russian Academy of Sciences; University of Montenegro</t>
  </si>
  <si>
    <t>Kholodkevich, S (corresponding author), Russian Acad Sci, St Petersburg Sci Res Ctr Ecol Safety, 18 Korpusnaya Str, St Petersburg 197110, Russia.;Kholodkevich, S (corresponding author), St Petersburg State Univ, 7-9 Univ Skaya Nab, St Petersburg 199034, Russia.</t>
  </si>
  <si>
    <t>kholodkevich@mail.ru</t>
  </si>
  <si>
    <t>Kholodkevich, Sergey/N-6380-2013; Joksimovic, Danijela/AAH-7688-2019; Kuznetsova, Tatiana/ABD-1741-2020; Kurakin, Anton/AAD-6019-2022; Sharov, Andrey/K-4222-2013</t>
  </si>
  <si>
    <t>Sharov, Andrey/0000-0001-7581-2538</t>
  </si>
  <si>
    <t>Ministry of Science of Montenegro; HERIC project through the BIO-ICT Centre of Excellence [01-1001]; Ministry of Agriculture and Rural Development of Montenegro</t>
  </si>
  <si>
    <t>Ministry of Science of Montenegro; HERIC project through the BIO-ICT Centre of Excellence; Ministry of Agriculture and Rural Development of Montenegro</t>
  </si>
  <si>
    <t>This work has been supported by the Ministry of Science of Montenegro, and HERIC project through the BIO-ICT Centre of Excellence (Contract No. 01-1001) and partly by the Ministry of Agriculture and Rural Development of Montenegro.</t>
  </si>
  <si>
    <t>AUG 9</t>
  </si>
  <si>
    <t>10.1080/02757540.2019.1618282</t>
  </si>
  <si>
    <t>MAY 2019</t>
  </si>
  <si>
    <t>IJ1FT</t>
  </si>
  <si>
    <t>WOS:000468703000001</t>
  </si>
  <si>
    <t>Quintáns-Fondo, A; Fernández-Calviño, D; Nóvoa-Muñoz, JC; Arias-Estévez, M; Fernández-Sanjurjo, MJ; Alvarez-Rodríguez, E; Núñez-Delgado, A</t>
  </si>
  <si>
    <t>Quintans-Fondo, Ana; Fernandez-Calvino, David; Carlos Novoa-Munoz, Juan; Arias-Estevez, Manuel; Fernandez-Sanjurjo, Maria J.; Alvarez-Rodriguez, Esperanza; Nunez-Delgado, Avelino</t>
  </si>
  <si>
    <t>As(V) Sorption/Desorption on Different Waste Materials and Soil Samples</t>
  </si>
  <si>
    <t>arsenic retention/release; hemp waste; mussel shell; oak ash; pine bark</t>
  </si>
  <si>
    <t>FT-IR SPECTROSCOPY; BY-PRODUCTS; COMPETITIVE SORPTION; ARSENIC REMOVAL; ADSORPTION; WATER; CHROMIUM; DESORPTION; RETENTION; FOREST</t>
  </si>
  <si>
    <t>Aiming to investigate the efficacy of different materials as bio-sorbents for the purification of As-polluted waters, batch-type experiments were employed to study As(V) sorption and desorption on oak ash, pine bark, hemp waste, mussel shell, pyritic material, and soil samples, as a function of the As(V) concentration added. Pyritic material and oak ash showed high sorption (90% and &gt;87%) and low desorption (&lt;2% and &lt;7%). Alternatively, hemp waste showed low retention (16% sorption and 100% desorption of the amount previously sorbed), fine shell and pine bark sorbed &lt;3% and desorbed 100%, the vineyard soil sample sorbed 8% and released 85%, and the forest soil sample sorbed 32% and desorbed 38%. Sorption data fitted well to the Langmuir and Freundlich models in the case of both soil samples and the pyritic material, but only to the Freundlich equation in the case of the various by-products. These results indicate that the pyritic material and oak ash can be considered efficient As(V) sorbents (thus, useful in remediation of contaminated sites and removal of that pollutant), even when As(V) concentrations up to 6 mmol L-1 are added, while the other materials that were tested cannot retain or remove As(V) from polluted media.</t>
  </si>
  <si>
    <t>[Quintans-Fondo, Ana; Fernandez-Sanjurjo, Maria J.; Alvarez-Rodriguez, Esperanza; Nunez-Delgado, Avelino] Univ Santiago de Compostela, Engn Polytech Sch, Dept Soil Sci &amp; Agr Chem, Lugo 27002, Spain; [Fernandez-Calvino, David; Carlos Novoa-Munoz, Juan; Arias-Estevez, Manuel] Univ Vigo, Fac Sci, Dept Plant Biol &amp; Soil Sci, Campus Ourense, Orense 32004, Spain</t>
  </si>
  <si>
    <t>anaquintansfondo@hotmail.com; davidfc@uvigo.es; edjuanca@uvigo.es; mastevez@uvigo.es; mf.sanjurjo@usc.es; esperanza.alvarez@usc.es; avelino.nunez@usc.es</t>
  </si>
  <si>
    <t>Nóvoa-Muñoz, J. C./A-9181-2009; Fernández-Sanjurjo, María/ABC-6938-2020; Coelho, Gustavo/F-4986-2015; Fernandez-Calvino, David/C-5756-2015; Nunez-Delgado, Avelino/K-3964-2013; Arias-Estevez, Manuel/M-8629-2016; Alvarez, Esperanza/B-3154-2018</t>
  </si>
  <si>
    <t>Novoa-Munoz, Juan Carlos/0000-0003-3062-4191; Fernandez-Calvino, David/0000-0003-0864-7039; Nunez-Delgado, Avelino/0000-0001-5373-1606; Fernandez-Sanjurjo, Maria J./0000-0001-6728-7147; Arias-Estevez, Manuel/0000-0002-9162-1587; Alvarez, Esperanza/0000-0003-3470-2679</t>
  </si>
  <si>
    <t>Ministerio de Economia y Competitividad, Government of Spain [CGL2012-36805-C02-01, CGL2012-36805-C02-02]; European Regional Development Fund (ERDF)</t>
  </si>
  <si>
    <t>Ministerio de Economia y Competitividad, Government of Spain(Spanish Government); European Regional Development Fund (ERDF)(European Union (EU))</t>
  </si>
  <si>
    <t>Funds received to perform this study: grant numbers CGL2012-36805-C02-01 and CGL2012-36805-C02-02 (Ministerio de Economia y Competitividad, Government of Spain). Also the European Regional Development Fund (ERDF) partially financed it. We have not received funds for covering the costs to publish in open access.</t>
  </si>
  <si>
    <t>10.3390/ijerph14070803</t>
  </si>
  <si>
    <t>FD2ND</t>
  </si>
  <si>
    <t>WOS:000407370700135</t>
  </si>
  <si>
    <t>Belmahi, Y; Khati, W; Derbal, F; Belmahi, AE; Missawi, O; Zitouni, N; Rouane-Hacene, O; Benabdi, M; Banni, M</t>
  </si>
  <si>
    <t>Belmahi, Youcef; Khati, Wyllia; Derbal, Farid; Belmahi, Alae Eddine; Missawi, Omayma; Zitouni, Nesrine; Rouane-Hacene, Omar; Benabdi, Mouloud; Banni, Mohamed</t>
  </si>
  <si>
    <t>Multi-marker Approach in the Black Sea Urchin Arbacia lixula (Linnaeus, 1758) from Algerian West Coast</t>
  </si>
  <si>
    <t>Arbacia lixula; Algerian coast; Mediterranean; Multi biomarker Pollution index</t>
  </si>
  <si>
    <t>MUSSEL MYTILUS-GALLOPROVINCIALIS; GLUTATHIONE-S-TRANSFERASE; PARACENTROTUS-LIVIDUS; OXIDATIVE STRESS; ACETYLCHOLINESTERASE ACTIVITY; SEASONAL-VARIATION; BIOMARKER RESPONSES; HEAVY-METALS; ENVIRONMENTAL CONTAMINATION; DEVELOPMENTAL ABNORMALITIES</t>
  </si>
  <si>
    <t>In this study, a multi-biomarker approach is applied to evaluate the biological responses of the black sea urchin Arbacia lixula along the west coast of Algeria. Sea urchins were sampled from six different Algerian West coast sites during two periods (February and August 2018). A series of biomarkers were monitored in the gonads: a glutathione-s-transferase enzyme involved in the phase II biotransformation process, Acetylcholinesterase as a biomarker of neurotoxicity, malondialdehydes as a biomarker of oxidative stress damage, metallothionein, a specific biomarker of metal stress, and Catalase as a biomarker of general stress. The data shows a significant effect of the period factor on the biomarker's responses of A. lixula. The cold period seems to have a more marked influence on the variation of biomarkers, such as acetylcholinesterase inhibition, increased glutathione-s-transferase and catalase activity, and significantly elevated levels of metallothionein in contrast to malondialdehyde, whose levels are elevated in the hot period. Biomarker responses differed between sites depending on the degree of disturbance. Using the multi-biomarker pollution index allowed us to specify the state of health of each site, respecting a gradient of five pollution levels. The results indicate that site S4 is considered the most polluted, while site S3, the presumed reference site, appears to be the cleanest. The gonads of this species can be considered a reliable indicator of environmental stress and capable of establishing an integrated diagnosis of the state of the coastal ecosystem.</t>
  </si>
  <si>
    <t>[Belmahi, Youcef; Khati, Wyllia] Chadli Bendjedid Univ, Fac Sci Nat &amp; Life, Lab Biodivers &amp; Ecosyst Pollut, BP 73, El Tarf 36000, Algeria; [Derbal, Farid] Badji Mokhtar Univ, Marine Bioresources Lab, Annaba, Algeria; [Belmahi, Alae Eddine; Rouane-Hacene, Omar; Benabdi, Mouloud] Univ Oran 1 Ahmed Ben Bella, Dept Biol, BP 1524 El Mnaouer, Oran, Algeria; [Missawi, Omayma; Zitouni, Nesrine; Banni, Mohamed] Univ Sousse, Higher Inst Agron, Lab Agrobiodivers &amp; Ecotoxicol LR21AGR02, Sousse, Tunisia; [Banni, Mohamed] Univ Monastir, Higher Inst Biotechnol, Monastir, Tunisia</t>
  </si>
  <si>
    <t>Universite Badji Mokhtar - Annaba; Universite de Sousse; Universite de Monastir</t>
  </si>
  <si>
    <t>Belmahi, Y (corresponding author), Chadli Bendjedid Univ, Fac Sci Nat &amp; Life, Lab Biodivers &amp; Ecosyst Pollut, BP 73, El Tarf 36000, Algeria.</t>
  </si>
  <si>
    <t>Joseph_bel@live.fr</t>
  </si>
  <si>
    <t>missawi, omayma/0000-0002-1135-1776</t>
  </si>
  <si>
    <t>10.1007/s41208-023-00544-7</t>
  </si>
  <si>
    <t>CF9P4</t>
  </si>
  <si>
    <t>WOS:000961212600003</t>
  </si>
  <si>
    <t>Herut, B; Kress, N; Shefer, E; Hornung, H</t>
  </si>
  <si>
    <t>Trace element levels in mollusks from clean and polluted coastal marine sites in the Mediterranean, Red and North Seas</t>
  </si>
  <si>
    <t>trace elements; mollusks; contamination levels; coastal marine sites</t>
  </si>
  <si>
    <t>HAIFA BAY ISRAEL; SHALLOW SEDIMENTS; METAL POLLUTION; MERCURY POLLUTION; MUSSELS; FAUNA; CONTAMINATION; COPPER; FLORA; INPUT</t>
  </si>
  <si>
    <t>The trace element contamination levels in mollusks were evaluated for different marine coastal sites in the Mediterranean (Israeli coast), Red (Israeli coast) and North (German coast) Seas. Three bivalve species (Mactra corallina, Donax sp, and Mytilus edulis) and two gastropod species (Patella sp. and Cellana rota) were sampled at polluted and relatively clean sites, and their soft tissue analyzed for Hg, Cd, Zn. Cu, Mn and Fe concentrations. Representative samples were screened for organic contaminants [(DDE), polychlorinated biphenyls PCBs and polycyclic aromatic hydrocarbons (PAHs)] which exhibited very low concentrations at all sites. In the Red Sea. the gastropod C. rota showed low levels of Hg (below detection limit) and similar Cd concentrations at all the examined sites, while other trace elements (Cu, Zn, Mn, Fe) were slightly enriched at the northern beach stations. Along the Mediterranean coast of Israel, Hg and Zn were enriched in two bivalves (M. corallina and Donax sp.) from Haifa Bay, both species undergoing a longterm decrease in Hg based on previous studies. Significant Cd and Zn enrichment was detected in Patella sp. from the Kishon River estuary at the southern part of Haifa Bay. In general, Patella sp. and Donax sp, specimens from Haifa Bay exhibited higher levels of Cd compared to other sites along the Israeli Mediterranean coast, attributed to the enrichment of Cd in suspended particulate matter. Along the German coast (North Sea) M. edulis exhibited higher concentrations of HE and Cd at the Elbe and Elder estuaries, but with levels below those found in polluted sites elsewhere.</t>
  </si>
  <si>
    <t>Natl Inst Oceanog, Israel Oceanog &amp; Limnol Res, IL-31080 Haifa, Israel</t>
  </si>
  <si>
    <t>Herut, B (corresponding author), Natl Inst Oceanog, Israel Oceanog &amp; Limnol Res, POB 8030, IL-31080 Haifa, Israel.</t>
  </si>
  <si>
    <t>305AL</t>
  </si>
  <si>
    <t>WOS:000086516600003</t>
  </si>
  <si>
    <t>Boltovskoy, D; Correa, N; Cataldo, D; Stripeikis, J; Tudino, M</t>
  </si>
  <si>
    <t>Environmental stress on Corbicula fluminea (Bivalvia) in the Parana River delta (Argentina): Complex pollution-related disruption of population structures</t>
  </si>
  <si>
    <t>ARCHIV FUR HYDROBIOLOGIE</t>
  </si>
  <si>
    <t>ASIATIC CLAM; NATURAL-POPULATION; ARTIFICIAL STREAMS; GROWTH; WATER; ZINC; MANILENSIS; DISPERSAL; EXPOSURE; DYNAMICS</t>
  </si>
  <si>
    <t>Corbicula fluminea was collected at monthly intervals in November 1991-June 1993, and in March, April 1995 at a site located in the vicinity of strong sources of industrial and sewage effluents (confluence of the Rivers San Antonio and Vinculacion, SaV); and in November 1994 and March, April 1995 at a presumably less polluted one (Parana de las Palmas River, PP), in the lower delta of the Parana River (Argentina). Abundances at SaV ranged between 430 and 10,300 ind. m(-2), being noticeably higher than those at PP, as well as those at 19 stations between and around these two locales. Shell lengths at SaV were monotonous throughout the 19-months period, over 90% of the clams varying between 16 and 22.5 mm in length; no discernible cohorts were recorded. At PP, on the other hand, juveniles below 5 mm were largely dominant, and shells above 25-30 mm in length were very common. Larvae retrieved from the gills of gravid clams showed much greater mortality rates in waters from SaV (up to 75% after 120 hr), than in those from PP and in the control (approximately 10% after 192 hr). The first internal growth-related mark in clams from SaV was closer to the umbo (mean: 14.2 mm), than that in clams from PP (mean: 24 mm). It is concluded that inadequate water quality at SaV is responsible for 100% mortalities of newborns, for dwarfed adult clams, and for the lack of discernible cohorts.</t>
  </si>
  <si>
    <t>CONSEJO NACL INVEST CIENT &amp; TECN,BUENOS AIRES,DF,ARGENTINA; SERV HIDROG NAVAL,RA-1271 BUENOS AIRES,DF,ARGENTINA; UNIV BUENOS AIRES,FAC CIENCIAS EXACTAS &amp; NAT,DEPT QUIM INORGAN,RA-1428 BUENOS AIRES,DF,ARGENTINA</t>
  </si>
  <si>
    <t>Consejo Nacional de Investigaciones Cientificas y Tecnicas (CONICET); Servicio de Hidrografia Naval; University of Buenos Aires</t>
  </si>
  <si>
    <t>Boltovskoy, D (corresponding author), UNIV BUENOS AIRES,FAC CIENCIAS EXACTAS &amp; NAT,DEPT CIENCIAS BIOL,RA-1428 BUENOS AIRES,DF,ARGENTINA.</t>
  </si>
  <si>
    <t>Boltovskoy, Demetrio/ITA-5729-2023</t>
  </si>
  <si>
    <t>CATALDO, DANIEL/0000-0002-3643-0809; Correa, Nancy/0000-0001-7769-0239; Boltovskoy, Demetrio/0000-0003-3484-2954</t>
  </si>
  <si>
    <t>E SCHWEIZERBART'SCHE VERLAGS</t>
  </si>
  <si>
    <t>NAEGELE U OBERMILLER JOHANNESSTRASSE 3A, D 70176 STUTTGART, GERMANY</t>
  </si>
  <si>
    <t>0003-9136</t>
  </si>
  <si>
    <t>ARCH HYDROBIOL</t>
  </si>
  <si>
    <t>Arch. Hydrobiol.</t>
  </si>
  <si>
    <t>WQ506</t>
  </si>
  <si>
    <t>WOS:A1997WQ50600004</t>
  </si>
  <si>
    <t>SECOR, CL; MILLS, EL; HARSHBARGER, J; KUNTZ, HT; GUTENMANN, WH; LISK, DJ</t>
  </si>
  <si>
    <t>BIOACCUMULATION OF TOXICANTS, ELEMENT AND NUTRIENT COMPOSITION, AND SOFT-TISSUE HISTOLOGY OF ZEBRA MUSSELS (DREISSENA-POLYMORPHA) FROM NEW-YORK-STATE WATERS</t>
  </si>
  <si>
    <t>MYTILUS-EDULIS; CADMIUM ACCUMULATION; POLYCHLORINATED-BIPHENYLS; CONTAMINATED SEDIMENT; MERCENARIA-MERCENARIA; GREAT-LAKES; FRESH; ARSENOBETAINE; POLLUTION; METALS</t>
  </si>
  <si>
    <t>Zebra mussels (Dreissena polymorpha) were collected from three rivers and three lakes in New York state and analyzed for toxic and nutrient elements, amino acids and vitamins. The concentration of Cd and Se in soft tissues was generally high. Calcium comprised 40% by weight of the shell. Polychlorinated biphenyls were markedly higher in soft tissues of zebra mussels from the Hudson River than the other waters. Mussel soft tissues from only two waters showed detectable levels of p,p'-DDE. Significant histologic lesions or infectious agents were not observed in soft tissues.</t>
  </si>
  <si>
    <t>CORNELL UNIV,NEW YORK STATE COLL AGR &amp; LIFE SCI,TOX CHEM LAB,ITHACA,NY 14853; CORNELL UNIV,NEW YORK STATE COLL AGR &amp; LIFE SCI,DEPT ANIM SCI,ITHACA,NY 14853; CORNELL BIOL FIELD STN,BRIDGEPORT,NY 13030; NATL MUSEUM NAT HIST,WASHINGTON,DC 20560</t>
  </si>
  <si>
    <t>Cornell University; Cornell University; Cornell University; Smithsonian Institution; Smithsonian National Museum of Natural History</t>
  </si>
  <si>
    <t>10.1016/0045-6535(93)90224-S</t>
  </si>
  <si>
    <t>LA349</t>
  </si>
  <si>
    <t>WOS:A1993LA34900015</t>
  </si>
  <si>
    <t>Lotze, HK; Reise, K; Worm, B; van Beusekom, J; Busch, M; Ehlers, A; Heinrich, D; Hoffmann, RC; Holm, P; Jensen, C; Knottnerus, OS; Langhanki, N; Prummel, W; Vollmer, M; Wolff, WJ</t>
  </si>
  <si>
    <t>Human transformations of the Wadden Sea ecosystem through time: a synthesis</t>
  </si>
  <si>
    <t>environmental history; human impacts; shifting baselines; ecosystem consequences; conservation</t>
  </si>
  <si>
    <t>BANC-DARGUIN; NORTH-SEA; FAUNA; FISH; AREA; MAURITANIA; DEPLETION</t>
  </si>
  <si>
    <t>Todays Wadden Sea is a heavily human-altered ecosystem. Shaped by natural forces since its origin 7,500 years ago, humans gradually gained dominance in influencing ecosystem structure and functioning. Here, we reconstruct the timeline of human impacts and the history of ecological changes in the Wadden Sea. We then discuss the ecosystem and societal consequences of observed changes, and conclude with management implications. Human influences have intensified and multiplied over time. Large-scale habitat transformation over the last 1,000 years has eliminated diverse terrestrial, freshwater, brackish and marine habitats. Intensive exploitation of everything from oysters to whales has depleted most large predators and habitat-building species since medieval times. In the twentieth century, pollution, eutrophication, species invasions and, presumably, climate change have had marked impacts on the Wadden Sea flora and fauna. Yet habitat loss and overexploitation were the two main causes for the extinction or severe depletion of 144 species (similar to 20% of total macrobiota). The loss of biodiversity, large predators, special habitats, filter and storage capacity, and degradation in water quality have led to a simplification and homogenisation of the food web structure and ecosystem functioning that has affected the Wadden Sea ecosystem and coastal societies alike. Recent conservation efforts have reversed some negative trends by enabling some birds and mammals to recover and by creating new economic options for society. The Wadden Sea history provides a unique long-term perspective on ecological change, new objectives for conservation, restoration and management, and an ecological baseline that allows us to envision a rich, productive and diverse Wadden Sea ecosystem and coastal society.</t>
  </si>
  <si>
    <t>Alfred Wegener Inst Polar &amp; Marine Res, Wadden Sea Stn Sylt, D-25992 List Auf Sylt, Germany; Leibniz Inst Marine Sci, D-24105 Kiel, Germany; Vikingeskibsmuseet, Nationalmuseet, DK-4000 Roskilde, Denmark; Univ Kiel, Inst Haustierkunde, D-24118 Kiel, Germany; York Univ, Dept Hist, N York, ON M3J 1P3, Canada; Univ So Denmark, Ctr Maritime &amp; Reg Hist, DK-6700 Esbjerg, Denmark; Groningen Inst Archaeol, NL-9712 ER Groningen, Netherlands; Common Wadden Sea Secretariat, D-26382 Wilhelmshaven, Germany; Univ Groningen, Dept Marine Biol, NL-9750 AA Haren, Netherlands</t>
  </si>
  <si>
    <t>Helmholtz Association; Alfred Wegener Institute, Helmholtz Centre for Polar &amp; Marine Research; Helmholtz Association; GEOMAR Helmholtz Center for Ocean Research Kiel; University of Kiel; York University - Canada; University of Southern Denmark; University of Groningen; University of Groningen</t>
  </si>
  <si>
    <t>van Beusekom, Justus/F-7674-2012; Worm, Boris/ADW-9659-2022; Holm, Poul/E-8100-2012</t>
  </si>
  <si>
    <t>Worm, Boris/0000-0002-5742-8716; Lotze, Heike/0000-0001-6258-1304; Holm, Poul/0000-0003-3927-3308</t>
  </si>
  <si>
    <t>10.1007/s10152-004-0209-z</t>
  </si>
  <si>
    <t>WOS:000228334500010</t>
  </si>
  <si>
    <t>Maceda-Veiga, A; Baselga, A; Sousa, R; Vilà, M; Doadrio, I; de Sostoa, A</t>
  </si>
  <si>
    <t>Maceda-Veiga, Alberto; Baselga, Andres; Sousa, Ronaldo; Vila, Montserrat; Doadrio, Ignacio; de Sostoa, Adolfo</t>
  </si>
  <si>
    <t>Fine-scale determinants of conservation value of river reaches in a hotspot of native and non-native species diversity</t>
  </si>
  <si>
    <t>Diversity patterns; Conservation trade-offs; Fluvial reserves</t>
  </si>
  <si>
    <t>WATER BIODIVERSITY CONSERVATION; ECOLOGICAL QUALITY; FISH ASSEMBLAGES; PROTECTED AREAS; CRAYFISH; PATTERNS; IDENTIFICATION; POPULATIONS; ENRICHMENT; MANAGEMENT</t>
  </si>
  <si>
    <t>Global freshwater biodiversity is declining at unprecedented rates while non-native species are expanding. Examining diversity patterns across variable river conditions can help develop better management strategies. However, many indicators can be used to determine the conservartion value of aquatic communities, and little is known of how well they correlate to each other in making diagnostics, including when testing for the efficacy of protected areas. Using an extensive data set (99,700 km(2), n = 530 sites) across protected and unprotected river reaches in 15 catchments of NE Spain, we examine correlations among 20 indicators of conservation value of fish communities, including the benefits they provide to birds and threatened mammals and mussels. Our results showed that total native fish abundance or richness correlated reasonably well with many native indicators. However, the lack of a strong congruence led modelling techniques to identify different river attributes for each indicator of conservation-value. Overall, tributaries were identified as native fish refugees, and nutrient pollution, salinization, low water velocity and poor habitat structure as major threats to the native biota. We also found that protected areas offered limited coverage to major components of biodiversity, including rarity, threat and host-parasite relationships, even though values of non-native indicators were notably reduced. In conclusion, restoring natural hydrological regimes and water chemical status is a priority to stem freshwater biodiversity loss in this region. A complementary action can be the protection of tributaries, but more studies examining multiple components of diversity are necessary to fully test their potential as fluvial reserves in Mediterranean climate areas. (C) 2016 Elsevier B.V. All rights reserved.</t>
  </si>
  <si>
    <t>[Maceda-Veiga, Alberto; Vila, Montserrat] CSIC, EBD, Dept Integrat Ecol, E-41092 Seville, Spain; [Maceda-Veiga, Alberto; de Sostoa, Adolfo] Univ Barcelona, Fac Biol, Inst Res Biodivers IRBio, E-08028 Barcelona, Spain; [Baselga, Andres] Univ Santiago de Compostela, Fac Biol, Dept Zool, E-15782 Santiago De Compostela, Spain; [Sousa, Ronaldo] Univ Minho, Dept Biol, CBMA Ctr Mol &amp; Environm Biol, Campus Gualtar, P-P4710057 Braga, Portugal; [Sousa, Ronaldo] Univ Porto, CIIMAR CIMAR Interdisciplinary Ctr Marine &amp; Envi, P-4050123 Oporto, Portugal; [Doadrio, Ignacio] CSIC, Museo Nacl Ciencias Nat, Dept Biodivers &amp; Evolutionary Biol, E-28006 Madrid, Spain; [de Sostoa, Adolfo] Univ Barcelona, Fac Biol, Dept Evolutionary Biol Ecol &amp; Environm Sci, E-08028 Barcelona, Spain</t>
  </si>
  <si>
    <t>Consejo Superior de Investigaciones Cientificas (CSIC); CSIC - Estacion Biologica de Donana (EBD); University of Barcelona; Universidade de Santiago de Compostela; Universidade do Minho; Universidade do Porto; Consejo Superior de Investigaciones Cientificas (CSIC); CSIC - Museo Nacional de Ciencias Naturales (MNCN); University of Barcelona</t>
  </si>
  <si>
    <t>Maceda-Veiga, A (corresponding author), CSIC, EBD, Dept Integrat Ecol, E-41092 Seville, Spain.</t>
  </si>
  <si>
    <t>albertomaceda@gmail.com</t>
  </si>
  <si>
    <t>Baselga, Andres/A-6740-2008; Vila, Montserrat/D-9339-2013; Sousa, Ronaldo/C-4887-2008; Doadrio, Ignacio/F-8448-2016; Maceda-Veiga, Alberto/F-1185-2010; CIIMAR, BYT/N-6498-2017</t>
  </si>
  <si>
    <t>Doadrio, Ignacio/0000-0003-4863-9711; Maceda-Veiga, Alberto/0000-0002-1736-4631; CIIMAR, BYT/0000-0002-3703-4402; Sousa, Ronaldo/0000-0002-5961-5515; Baselga, Andres/0000-0001-7914-7109</t>
  </si>
  <si>
    <t>Severo Ochoa Program for Centres of Excellence in R + D + I [SEV-2012-0262]; Agencia Catalana de l'Aigua (ACA); Confederacion Hidrografica del Ebro (CHE); la Fundacio Barcelona Zoo i l'Ajuntament de Barcelona; Spanish Ministry of Economy and Competitiveness; FEDER [CGL2013-43350-P, CGL2015-65346-R]</t>
  </si>
  <si>
    <t>Severo Ochoa Program for Centres of Excellence in R + D + I; Agencia Catalana de l'Aigua (ACA); Confederacion Hidrografica del Ebro (CHE); la Fundacio Barcelona Zoo i l'Ajuntament de Barcelona; Spanish Ministry of Economy and Competitiveness(Spanish Government); FEDER(European Union (EU)Spanish Government)</t>
  </si>
  <si>
    <t>We are grateful to people who assisted in the field and to the laboratory of GIS and Remote Sensing at Dofiana Biological Station (LAST-EBD) for providing data on protected areas. We also thank Josep EscribanoAlacid (The 'Museu Blau'- Natural History Museum of Barcelona) and Dr. Francesc Oliva (Department of Statistics, UB) for useful discussion and two anonymous reviewers for their constructive review. AMV was funded by the Severo Ochoa Program for Centres of Excellence in R + D + I (SEV-2012-0262). We also thank Agencia Catalana de l'Aigua (ACA)' and 'Confederacion Hidrografica del Ebro (CHE)' for funding support. This study was also partially supported by 'la Fundacio Barcelona Zoo i l'Ajuntament de Barcelona', the Spanish Ministry of Economy and Competitiveness and FEDER projects (CGL2013-43350-P and CGL2015-65346-R).</t>
  </si>
  <si>
    <t>10.1016/j.scitotenv.2016.09.097</t>
  </si>
  <si>
    <t>ED7ZA</t>
  </si>
  <si>
    <t>WOS:000389090100044</t>
  </si>
  <si>
    <t>Zhu, SS; Gan, N; Pan, DD; Li, Y; Yang, T; Hu, FT; Cao, YT; Wu, DZ</t>
  </si>
  <si>
    <t>Zhu, Shanshan; Gan, Ning; Pan, Daodong; Li, Yi; Yang, Ting; Hu, Futao; Cao, Yuting; Wu, Dazhen</t>
  </si>
  <si>
    <t>Extraction of tributyltin by magnetic molecularly imprinted polymers</t>
  </si>
  <si>
    <t>MICROCHIMICA ACTA</t>
  </si>
  <si>
    <t>Magnetic molecularly imprinted polymers; Organotin; Marine organisms samples; Liquid chromatography-tandem mass spectrometry</t>
  </si>
  <si>
    <t>SOLID-PHASE EXTRACTION; ORGANOTIN COMPOUNDS; SELECTIVE REMOVAL; BASE-LINE; SURFACE; COAST; NANOPARTICLES; RECOGNITION; PERFORMANCE; POLLUTION</t>
  </si>
  <si>
    <t>We have prepared core-shell magnetic molecularly imprinted polymer nanoparticles for recognition and extraction of tributyl tin (TBT). The use of particles strongly improves the imprinting effect and leads to fast adsorption kinetics and high adsorption capacities. The functional monomer acrylamide was grafted to the surface of Fe3O4 nanospheres in two steps, and MIP layers were then formed on the surface by creating a MIP layer on the surface consisting of poly(ethyleneglycol dimethacrylate) with a TBT template. The particles were characterized in terms of morphological, magnetic, adsorption, and recognition properties. We then have developed a method for the extraction of TBT from spiked mussel (Mytilidae), and its determination by liquid chromatography-tandem mass spectrometry. The method has a limit of detection of 1.0 ng g(-1) (n = 5) of TBT, with a linear response between 5.0 and 1,000 ng g(-1). The proposed method was successfully applied to the determination of trace TBT in marine food samples with recoveries in the range of 78.3-95.6 %.</t>
  </si>
  <si>
    <t>[Zhu, Shanshan; Pan, Daodong; Hu, Futao] Ningbo Univ, Fac Marine Sci, Ningbo 315211, Zhejiang, Peoples R China; [Gan, Ning; Li, Yi; Cao, Yuting; Wu, Dazhen] Ningbo Univ, Fac Mat Sci &amp; Chem Engn, Ningbo 315211, Zhejiang, Peoples R China; [Yang, Ting] Ningbo Agr Sci Res Inst, Ningbo 315040, Zhejiang, Peoples R China</t>
  </si>
  <si>
    <t>Ningbo University; Ningbo University</t>
  </si>
  <si>
    <t>Pan, DD (corresponding author), Ningbo Univ, Fac Marine Sci, Ningbo 315211, Zhejiang, Peoples R China.</t>
  </si>
  <si>
    <t>ganning@nbu.edu.cn; daodongpan@163.com</t>
  </si>
  <si>
    <t>Gan, Ning/C-5975-2018; Zhu, Sybil/JSL-4924-2023; Li, Yi/GVW-6539-2022</t>
  </si>
  <si>
    <t>Support Program of Nation [2012 BAK08B01]; Foundation of Nation [30901367]; Natural Science Foundation of Zhejiang [LY12C20004]; Analysis Testing Science Technology Project of Zhejiang [2009F70025]; Natural Science Foundation of Ningbo [2012A610144, 2011A610006]; Subject Construction Project of Ningbo [XKL11D2104]; K.C. Wong Megna Fundation of Ningbo University (China)</t>
  </si>
  <si>
    <t>Support Program of Nation; Foundation of Nation; Natural Science Foundation of Zhejiang(Natural Science Foundation of Zhejiang Province); Analysis Testing Science Technology Project of Zhejiang; Natural Science Foundation of Ningbo; Subject Construction Project of Ningbo; K.C. Wong Megna Fundation of Ningbo University (China)</t>
  </si>
  <si>
    <t>This work was supported by grants from the Support Program of Nation (no. 2012 BAK08B01), Foundation of Nation (no. 30901367), Natural Science Foundation of Zhejiang (no. LY12C20004), Analysis Testing Science Technology Project of Zhejiang (no. 2009F70025), Natural Science Foundation of Ningbo (no. 2012A610144 and no. 2011A610006), Subject Construction Project of Ningbo (no. XKL11D2104), and the K.C. Wong Megna Fundation of Ningbo University (China).</t>
  </si>
  <si>
    <t>0026-3672</t>
  </si>
  <si>
    <t>1436-5073</t>
  </si>
  <si>
    <t>MICROCHIM ACTA</t>
  </si>
  <si>
    <t>Microchim. Acta</t>
  </si>
  <si>
    <t>10.1007/s00604-013-0962-2</t>
  </si>
  <si>
    <t>146ED</t>
  </si>
  <si>
    <t>WOS:000319071300003</t>
  </si>
  <si>
    <t>Garaffo, GV; Jaubet, ML; Becherucci, ME; Elías, R</t>
  </si>
  <si>
    <t>Garaffo, G. V.; Jaubet, M. L.; Becherucci, M. E.; Elias, R.</t>
  </si>
  <si>
    <t>Assessing environmental health using ecological indices for soft bottom in sewage-affected rocky shores: The case of the largest seaside resort of SW Atlantic</t>
  </si>
  <si>
    <t>Urban effluents; AMBI; BENTIX; M-AMBI</t>
  </si>
  <si>
    <t>MARINE-BIOTIC-INDEX; EUROPEAN WATER; BENTHIC COMMUNITIES; DEL-PLATA; QUALITY; COASTAL; INDICATORS; ESTUARINE; MARKERS; CLASSIFICATION</t>
  </si>
  <si>
    <t>Efficient ecological indices can reflect the differences between impacted and nonimpacted sites, leading to significant variations at the contamination spatial scale. Here, we evaluated the spatial-temporal variability of 3 ecological indices (AMBI, M-AMBI, and BENTIX) in response to the distinct levels of sewage contamination. The indices were evaluated in two different ways: including Brachidontes rodriguezii (IBR) and excluding B. rodriguezii (EBR). The fact that mussel beds create a secondary infaunal habitat allows us to test these indices for soft bottoms in areas with rocky bottoms. The effectiveness and the level of agreement of these indices were increased when they were calculated with EBR. BENTIX and M-AMBI produced under- and overestimations of the ecological status of the studied sites. AMBI (EBR) seems to be better suited for environmental quality assessment in the study area. This index reduces the processing time of samples; thus, the AMBI (EBR) index could be used as a robust management tool for monitoring programs in areas with hard substrate. (C) 2016 Elsevier Ltd. All rights reserved.</t>
  </si>
  <si>
    <t>[Garaffo, G. V.] Univ Nacl Mar Del Plata, Fac Ciencias Exactas &amp; Nat, Dept Ciencias Marinas, IIMyC, Dean Funes 3350,B 7602 AYL, Mar Del Plata, Buenos Aires, Argentina; Consejo Nacl Invest Cient &amp; Tecn, Consejo Nacl Invest Cient &amp; Tecn, Av Rivadavia 1917,C1033AAJ, Buenos Aires, DF, Argentina</t>
  </si>
  <si>
    <t>National University of Mar del Plata; Consejo Nacional de Investigaciones Cientificas y Tecnicas (CONICET)</t>
  </si>
  <si>
    <t>Garaffo, GV (corresponding author), Univ Nacl Mar Del Plata, Fac Ciencias Exactas &amp; Nat, Dept Ciencias Marinas, IIMyC, Dean Funes 3350,B 7602 AYL, Mar Del Plata, Buenos Aires, Argentina.</t>
  </si>
  <si>
    <t>garaffo@mdp.edu.ar</t>
  </si>
  <si>
    <t>Consejo Nacional de Investigaciones Cientificas y Tecnicas (CONICET) of Argentina</t>
  </si>
  <si>
    <t>Consejo Nacional de Investigaciones Cientificas y Tecnicas (CONICET) of Argentina(Consejo Nacional de Investigaciones Cientificas y Tecnicas (CONICET))</t>
  </si>
  <si>
    <t>We are grateful to Dra. MA Sanchez who helped in sampling and sample processing, to Miss MS Rivero who helped in sampling and in the determination of TOM, and to Dr. Vallarino for the support during sampling. ML Jaubet, and ME Becherucci were supported by a Ph.D. Fellowship from Consejo Nacional de Investigaciones Cientificas y Tecnicas (CONICET) of Argentina. We thank the anonymous referee for their contributions, which greatly improved the quality of this manuscript</t>
  </si>
  <si>
    <t>10.1016/j.marpolbul.2016.12.017</t>
  </si>
  <si>
    <t>WOS:000394399800040</t>
  </si>
  <si>
    <t>Miragoli, M; Novak, P; Ruenraroengsak, P; Shevchuk, AI; Korchev, YE; Lab, MJ; Tetley, TD; Gorelik, J</t>
  </si>
  <si>
    <t>Miragoli, Michele; Novak, Pavel; Ruenraroengsak, Pakatip; Shevchuk, Andrew I.; Korchev, Yuri E.; Lab, Max J.; Tetley, Teresa D.; Gorelik, Julia</t>
  </si>
  <si>
    <t>Functional interaction between charged nanoparticles and cardiac tissue: a new paradigm for cardiac arrhythmia?</t>
  </si>
  <si>
    <t>NANOMEDICINE</t>
  </si>
  <si>
    <t>action potential; arrhythmia; calcium transient; cardiac electrophysiology; cell topography; conduction velocity; DADs; electrically charged nanoparticles; nanopores; scanning ion conductance microscopy</t>
  </si>
  <si>
    <t>ION CONDUCTANCE MICROSCOPY; PARTICULATE AIR-POLLUTION; ULTRAFINE PARTICLES; CARDIOVASCULAR-DISEASE; IN-VITRO; HEART; CELLS; EXPOSURE; FINE; VIVO</t>
  </si>
  <si>
    <t>Aim: To investigate the effect of surface charge of therapeutic nanoparticles on sarcolemmal ionic homeostasis and the initiation of arrhythmias. Materials &amp; methods: Cultured neonatal rat myocytes were exposed to 50 nm-charged polystyrene latex nanoparticles and examined using a combination of hopping probe scanning ion conductance microscopy, optical recording of action potential characteristics and patch clamp. Results: Positively charged, amine-modified polystyrene latex nanoparticles showed cytotoxic effects and induced large-scale damage to cardiomyocyte membranes leading to calcium alternans and cell death. By contrast, negatively charged, carboxyl-modified polystyrene latex nanoparticles (NegNPs) were not overtly cytotoxic but triggered formation of 50-250-nm nanopores in the membrane. Cells exposed to NegNPs revealed pro-arrhythmic events, such as delayed afterdepolarizations, reduction in conduction velocity and pathological increment of action potential duration together with an increase in ionic current throughout the membrane, carried by the nanopores. Conclusion: The utilization of charged nanoparticles is a novel concept for targeting cardiac excitability. However, this unique nanoscopic investigation reveals an altered electrophysiological substrate, which sensitized the heart cells towards arrhythmias.</t>
  </si>
  <si>
    <t>[Miragoli, Michele; Novak, Pavel; Lab, Max J.; Gorelik, Julia] Univ London Imperial Coll Sci Technol &amp; Med, Imperial Ctr Translat &amp; Expt Med, Natl Heart &amp; Lung Inst, Myocardial Funct Unit, London W12 0NN, England; [Miragoli, Michele] Univ Parma, Ctr Excellence Toxicol Res, Dept Evolut &amp; Funct Biol, Physiol Sect,exISPESL INAIL, I-43124 Parma, Italy; [Novak, Pavel; Shevchuk, Andrew I.; Korchev, Yuri E.] Univ London Imperial Coll Sci Technol &amp; Med, Div Med, London W12 0NN, England; [Ruenraroengsak, Pakatip; Tetley, Teresa D.] Univ London Imperial Coll Sci Technol &amp; Med, Natl Heart &amp; Lung Inst, Sect Pharmacol &amp; Toxicol, London SW3 6LY, England; [Shevchuk, Andrew I.] Univ Southampton, Inst Life Sci, Southampton SO17 1BJ, Hants, England</t>
  </si>
  <si>
    <t>Imperial College London; University of Parma; Imperial College London; Imperial College London; University of Southampton</t>
  </si>
  <si>
    <t>Gorelik, J (corresponding author), Univ London Imperial Coll Sci Technol &amp; Med, Imperial Ctr Translat &amp; Expt Med, Natl Heart &amp; Lung Inst, Myocardial Funct Unit, 4th Floor,Hammersmith Campus,Du Cane Rd, London W12 0NN, England.</t>
  </si>
  <si>
    <t>j.gorelik@ic.ac.uk</t>
  </si>
  <si>
    <t>Korchev, Yuri/D-2498-2009; Novak, Pavel/P-8154-2019; Ruenraroengsak, Pakatip/A-3503-2019; Tetley, Teresa/B-3288-2016; Miragoli, Michele/K-6418-2016; Novak, Pavel/J-4264-2012</t>
  </si>
  <si>
    <t>Ruenraroengsak, Pakatip/0000-0002-4345-9159; Miragoli, Michele/0000-0002-4058-4368; Korchev, Yuri/0000-0002-4872-8696; Shevchuk, Andriy/0000-0002-1799-4625; Gorelik, Julia/0000-0003-1148-9158; Novak, Pavel/0000-0002-5461-0344</t>
  </si>
  <si>
    <t>Medical Research Council UK [G0700926]; Wellcome Trust [WTN090594]; Italian Ministry of Health [GR-2009-1530528]; BBSRC [BB/D020875/1] Funding Source: UKRI; MRC [G0700926] Funding Source: UKRI</t>
  </si>
  <si>
    <t>Medical Research Council UK(UK Research &amp; Innovation (UKRI)Medical Research Council UK (MRC)); Wellcome Trust(Wellcome Trust); Italian Ministry of Health(Ministry of Health, Italy); BBSRC(UK Research &amp; Innovation (UKRI)Biotechnology and Biological Sciences Research Council (BBSRC)); MRC(UK Research &amp; Innovation (UKRI)Medical Research Council UK (MRC))</t>
  </si>
  <si>
    <t>The authors are supported by the following funds: Medical Research Council UK grant no. G0700926 to TD Tetley, YE Korchev and J Gorelik; Wellcome Trust grant no. WTN090594 to J Gorelik and M Miragoli; Young Researcher Project, Italian Ministry of Health grant no. GR-2009-1530528 to M Miragoli. P Novak, AI Shevchuk, YE Korchev and MJ Lab hold shares of Ionscope Ltd, UK, a small spin-out company manufacturing scanning ion conductance microscopes. The authors have no other relevant affiliations or financial involvement with any organization or entity with a financial interest in or financial conflict with the subject matter or materials discussed in the manuscript apart from those disclosed.</t>
  </si>
  <si>
    <t>FUTURE MEDICINE LTD</t>
  </si>
  <si>
    <t>UNITEC HOUSE, 3RD FLOOR, 2 ALBERT PLACE, FINCHLEY CENTRAL, LONDON, N3 1QB, ENGLAND</t>
  </si>
  <si>
    <t>1743-5889</t>
  </si>
  <si>
    <t>NANOMEDICINE-UK</t>
  </si>
  <si>
    <t>Nanomedicine</t>
  </si>
  <si>
    <t>10.2217/NNM.12.125</t>
  </si>
  <si>
    <t>Biotechnology &amp; Applied Microbiology; Nanoscience &amp; Nanotechnology</t>
  </si>
  <si>
    <t>Biotechnology &amp; Applied Microbiology; Science &amp; Technology - Other Topics</t>
  </si>
  <si>
    <t>143FL</t>
  </si>
  <si>
    <t>WOS:000318852100011</t>
  </si>
  <si>
    <t>Sullivan, M; Evert, S; Straub, P; Reding, M; Robinson, N; Zimmermann, E; Ambrose, D</t>
  </si>
  <si>
    <t>Sullivan, Mark; Evert, Steven; Straub, Peter; Reding, Melanie; Robinson, Nathan; Zimmermann, Elizabeth; Ambrose, David</t>
  </si>
  <si>
    <t>Identification, recovery, and impact of ghost fishing gear in the Mullica River-Great Bay Estuary (New Jersey, USA): Stakeholder-driven restoration for smaller-scale systems</t>
  </si>
  <si>
    <t>Callinectes sapidus; Mullica River-Great Bay Estuary; Ghost fishing; Side scan sonar; Cooperative research</t>
  </si>
  <si>
    <t>BLUE-CRAB TRAPS; CHESAPEAKE BAY; DERELICT; DISTURBANCE; MANAGEMENT; POTS</t>
  </si>
  <si>
    <t>The impact of ghost fishing in large coastal ecosystems has generated considerable interest. In smaller, understudied systems with fewer stakeholders, derelict fishing gear (DFGs) may have impacts similar to these larger systems at the same relative scale. Four years of side scan sonar surveys in the Mullica River-Great Bay Estuary (New Jersey, USA) supported the recovery of 1776 DFGs off-season by commercial partners. Locations with high densities of recovered DFGs (&gt; 200 DFGs/km(2)) occupied intersections of recreational vessel traffic and commercial crabbing activity. Condition and depth-in-sediment of recovered DFGs was used to evaluate true bycatch (terrapins, whelks, blue crabs) versus species utilizing degraded gear as habitat (juvenile tautog, oyster toadfish). Critically, gear recovered in-season with low cost sonars (an additional 225 DFGs) prevented the accumulation of new DFGs which likely generate the highest percentages of bycatch. Removal of DFGs in this system led to significant ecological (reduced bycatch), economic (&gt; $61,000 in direct pay, reused gear), and anticipated future benefits (increased harvest).</t>
  </si>
  <si>
    <t>[Sullivan, Mark; Evert, Steven; Straub, Peter; Robinson, Nathan; Zimmermann, Elizabeth; Ambrose, David] Stockton Univ, Sch Nat Sci &amp; Math, 101 Vera King Farris Dr, Galloway, NJ 08205 USA; [Evert, Steven; Robinson, Nathan; Zimmermann, Elizabeth; Ambrose, David] Stockton Univ, Marine Field Stn, 30 Wilson Ave, Port Republic, NJ 08241 USA; [Reding, Melanie] Jacques Cousteau Natl Estuarine Res Reserve, Jacques Cousteau Coastal Ctr, 130 Great Bay Blvd, Tuckerton, NJ 08087 USA</t>
  </si>
  <si>
    <t>Stockton University; Stockton University</t>
  </si>
  <si>
    <t>Sullivan, M (corresponding author), Stockton Univ, Sch Nat Sci &amp; Math, 101 Vera King Farris Dr, Galloway, NJ 08205 USA.</t>
  </si>
  <si>
    <t>Mark.Sullivan@stockton.edu</t>
  </si>
  <si>
    <t>Straub, Peter/A-8592-2009</t>
  </si>
  <si>
    <t>Straub, Peter/0000-0002-7494-6136</t>
  </si>
  <si>
    <t>NOAA Marine Debris Program [NA12NMF4630075, NA15NOS4630065]; Stockton University</t>
  </si>
  <si>
    <t>NOAA Marine Debris Program(National Oceanic Atmospheric Admin (NOAA) - USA); Stockton University</t>
  </si>
  <si>
    <t>Funding generously provided by NOAA Marine Debris Program awards NA12NMF4630075 &amp; NA15NOS4630065 to Stockton University. This project would not have been conceived or successfully executed without commercial partners K. and W. Unkert, P. Andersen, A. Kurtz, and G. Leeds. Side scan sonar training by V. Capone of Black Laser Learning. Stockton undergraduate/graduate student support: B. Howard, M. Duffy, M. Berezin, D. Friedman, C. Power, E. Burnite, J. McGilly, A. Zimmermann, J. Taylor, C. Janiszewski, B. Lewis, R. Hamer, T. Johnson, MARS 3307-001 Fisheries Science and Management students. DFG processing day support: Kaitlin Gannon and Jacques Cousteau National Estuarine Research Reserve volunteers. Stockton University grant support: D. Weiss, B. Olsen, T, Regn, P. Bairaktaris, J. Joseph, T. Hilsin, M. Jelinski. Permitting: B, Muffley. Project advice: L. Barry, K. Havens, D. Stanhope, W. Slacum. Special thanks to NOAA Marine Debris Removal Program support: N. Wallace, T. Barry, K. Cialino, J. Rolfe.</t>
  </si>
  <si>
    <t>10.1016/j.marpolbul.2018.10.058</t>
  </si>
  <si>
    <t>HJ9IQ</t>
  </si>
  <si>
    <t>WOS:000457512500007</t>
  </si>
  <si>
    <t>Franchet, C; Goudeau, M; Goudeau, H</t>
  </si>
  <si>
    <t>Mercuric ions impair the fertilization potential, the resumption of meiosis, the formation of male pronucleus, and increase polyspermy, in the egg of the ascidian Phallusia mammillata</t>
  </si>
  <si>
    <t>JOURNAL OF EXPERIMENTAL ZOOLOGY</t>
  </si>
  <si>
    <t>SEA-URCHIN EGGS; HEAVY-METALS; DISSOLVED MERCURY; VOLTAGE-CLAMP; CELL INJURY; SPERM; TOXICITY; GROWTH; PHOSPHORYLATION; SURVIVAL</t>
  </si>
  <si>
    <t>In the sea squirt Phallusia mammillata, fertilization occurs externally in the seawater surrounding the adult. The impact of mercuric ions, one of the most toxic environmental pollutants, was investigated on the functioning of the ionic channels of unfertilized or fertilized egg membrane and on the associated egg morphological events occurring at fertilization. Hg2+ ions in the submicromolar range affected in a dose-dependent manner (range 0.0625 to 2 mu M) the functioning of voltage-dependent Na+ and Ca2+ channels pre-existing in the unfertilized oocyte membrane. These channels are also sequentially involved in the first step of the egg electrical response to fertilization (i.e., the fertilization potential) and were impaired by Hg2+. Mercuric ions also strongly inhibited the further operating sperm-dependent channels of this fertilization potential. The two highest concentrations used (1 and 2 mu M) greatly reduced the number of eggs that responded electrically and, as a consequence, diminished the percentage of fertilized eggs that resumed meiosis. Also as a consequence of the impairment by Hg2+ ions of the egg electrical response to fertilization, the electrical block to polyspermy became less efficient and the proportion of polyspermic eggs increased. Finally, the percentage of eggs containing a male pronucleus over the total number of sperm-penetrated eggs statistically diminished in a dose-dependent manner under the effect of Hg2+ ions. (C) 1997 Wiley-Liss, Inc.</t>
  </si>
  <si>
    <t>UNIV PARIS 06,BIOL STN,EQUIPE CANAUX ION &amp; DEV,F-29682 ROSCOFF,FRANCE; CTR ETUD OCEANOG &amp; BIOL MARINE,UPR CNRS 9042,F-29682 ROSCOFF,FRANCE</t>
  </si>
  <si>
    <t>Sorbonne Universite; Centre National de la Recherche Scientifique (CNRS)</t>
  </si>
  <si>
    <t>DIV JOHN WILEY &amp; SONS INC, 605 THIRD AVE, NEW YORK, NY 10158-0012</t>
  </si>
  <si>
    <t>0022-104X</t>
  </si>
  <si>
    <t>J EXP ZOOL</t>
  </si>
  <si>
    <t>J. Exp. Zool.</t>
  </si>
  <si>
    <t>10.1002/(SICI)1097-010X(19970701)278:4&lt;255::AID-JEZ7&gt;3.3.CO;2-8</t>
  </si>
  <si>
    <t>XG183</t>
  </si>
  <si>
    <t>WOS:A1997XG18300007</t>
  </si>
  <si>
    <t>Guevara, SR; Arribére, M; Bubach, D; Vigliano, P; Rizzo, A; Alonso, M; Sánchez, R</t>
  </si>
  <si>
    <t>Silver contamination on abiotic and biotic compartments of Nahuel Huapi National Park lakes, Patagonia, Argentina</t>
  </si>
  <si>
    <t>silver; sediment core; fish; mussel; Nahuel Huapi National Park; Patagonia</t>
  </si>
  <si>
    <t>NORTHERN PATAGONIA; FISH; ORGANISMS; SEDIMENTS; POLLUTION; TISSUES; MERCURY</t>
  </si>
  <si>
    <t>The Ag contents of abiotic and biotic compartments of different lakes of Nahuel Huapi National Park, Patagonia, Argentina were analyzed. The water bodies studied were lakes Nahuel Huapi, Moreno, Escondido, Espejo Chico and Traful, the latter chosen as a reference lake. The Ag concentration profiles of short sediment cores, dated by Pb-210 and Cs-137 techniques, were analyzed, as well as suspended load collected from three sites of lake Nahuel Huapi. The biota studied were the native mussel Diplodon chilensis (digestive gland and total soft tissues pooled samples) and five species of fish, two native and three introduced (liver and muscle pooled samples). Ag contents were determined by Instrumental Neutron Activation Analysis (INAA). The upper layers of the sediment cores sampled in lake Nahuel Huapi were enriched in Ag contents compared to deep layers in accumulation periods corresponding to the second half of the 20th century, but this enrichment was neither observed in the reference take Traful, nor in lakes Espejo Chico and Escondido. Ag was enriched over background level (0.1 mug g(-1)) also in suspended load collected in lake Nahuel Huapi. Ag fluxes to sediments were computed for suspended load and enriched sediment core layers. Highest Ag fluxes, from 350 to 470 mug m(-2) year(-1), were measured in Nahuel Huapi near the site where the liquid effluents of the Bariloche city sewage treatment plant are released to the lake. The spatial distribution of the other Ag fluxes suggests that this is the main source of Ag to lake Nahuel Huapi and lateral transport occurs within the water body. Ag concentrations on biota samples were consistent with these conclusions. Mussels collected in lake Nahuel Huapi showed higher Ag concentrations than in the other lakes, especially when compared to lake Traful. Ag contents in mussels were strongly associated with sediment intake, but enriched probably due to sediment grain size sorting during the intake processes. Evidence of food chain biomagnification of Ag in fish liver was observed. Ag contents in fish liver were higher at lake Nahuel Huapi even considering the high intra-specific variability, with highest values ranging from 10 to 29 mug g(-1) dry weight for brown trout and rainbow trout. (C) 2004 Elsevier B.V. All rights reserved.</t>
  </si>
  <si>
    <t>Ctr Atom Bariloche, Lab Anal Activac Neutron, RA-8400 San Carlos De Bariloche, Rio Negro, Argentina</t>
  </si>
  <si>
    <t>Comision Nacional de Energia Atomica (CNEA); Centro Atomico Bariloche</t>
  </si>
  <si>
    <t>Ctr Atom Bariloche, Lab Anal Activac Neutron, RA-8400 San Carlos De Bariloche, Rio Negro, Argentina.</t>
  </si>
  <si>
    <t>ribeiro@cab.cnea.gov.ar</t>
  </si>
  <si>
    <t>Guevara, Sergio/I-9241-2019; Rizzo, Andrea/AAB-6325-2020</t>
  </si>
  <si>
    <t>10.1016/j.scitotenv.2004.05.020</t>
  </si>
  <si>
    <t>888FJ</t>
  </si>
  <si>
    <t>WOS:000226359300010</t>
  </si>
  <si>
    <t>Rodríguez-Romero, A; Jiménez-Tenorio, N; Basallote, MD; De Orte, MR; Blasco, J; Riba, I</t>
  </si>
  <si>
    <t>Rodriguez-Romero, Araceli; Jimenez-Tenorio, Natalia; Dolores Basallote, M.; De Orte, Manoela R.; Blasco, Julian; Riba, Inmaculada</t>
  </si>
  <si>
    <t>Predicting the Impacts of CO2 Leakage from Subseabed Storage: Effects of Metal Accumulation and Toxicity on the Model Benthic Organism Ruditapes philippinarum</t>
  </si>
  <si>
    <t>OCEAN ACIDIFICATION; SEDIMENT QUALITY; SEAWATER ACIDIFICATION; CLAM; BIOACCUMULATION; POLLUTION; CARBON; BIOAVAILABILITY; HISTOPATHOLOGY; BIOMARKERS</t>
  </si>
  <si>
    <t>The urgent need to minimize the potential harm deriving from global climate change and ocean acidification has led governmental decision-makers and scientists to explore and study new strategies for reducing the levels of anthropogenic CO2. One of the mitigation measures proposed for reducing the concentration of atmospheric CO2 is the capture and storage of this gas in subseabed geological formations; this proposal is generating considerable international interest. The main risk associated with this option is the leakage of retained CO2, which could cause serious environmental perturbations, particularly acidification, in marine ecosystems. The study reported is aimed at quantifying the effects of acidification derived from CO2 leakage on marine organisms. To this end, a lab-scale experiment involving direct release of CO2 through marine sediment was conducted using Ruditapes philippinarum as a model benthic organism. For 10 days bivalves were exposed to 3 sediment samples with different physicochemical characteristics and at pre-established pH conditions (8.0-6.1). End points measured were: survival, burrowing activity, histopathological lesions, and metal accumulation (Fe, Al, Mn, Cu, and Zn) in whole body. Correlations analyses indicated highly significant associations (P &lt; 0.01) between pH and the biological effects measured in R philippinarum, except for metal concentrations in tissues. Further research to understand and predict the biological and economic implications for coastal ecosystems deriving from acidification by CO2 leakages is urgently needed.</t>
  </si>
  <si>
    <t>[Rodriguez-Romero, Araceli; Blasco, Julian] CSIC, Inst Ciencias Marinas Andalucia, Dept Ecol &amp; Gest Costera, Cadiz 11510, Spain; [Jimenez-Tenorio, Natalia; Dolores Basallote, M.; De Orte, Manoela R.; Riba, Inmaculada] Univ Cadiz, Fac Ciencias Mar &amp; Ambientales, Catedra UNESCO UNITWIN WiCop, Cadiz 11510, Spain</t>
  </si>
  <si>
    <t>Rodríguez-Romero, A (corresponding author), CSIC, Inst Ciencias Marinas Andalucia, Dept Ecol &amp; Gest Costera, Campus Rio San Pedro, Cadiz 11510, Spain.</t>
  </si>
  <si>
    <t>araceli.rodriguezromero@icman.csic.es</t>
  </si>
  <si>
    <t>Basallote, M/P-3104-2019; Rodríguez, Araceli/GXM-7707-2022; Jimenez-Tenorio, Natalia/L-4599-2014; Blasco, Julian/A-5319-2008</t>
  </si>
  <si>
    <t>Basallote, M Dolores/0000-0003-2011-3806; Jimenez-Tenorio, Natalia/0000-0001-7879-9877; Blasco, Julian/0000-0002-9750-383X; Rodriguez-Romero, Araceli/0000-0002-6718-1040</t>
  </si>
  <si>
    <t>Junta de Andalucia (Regional Government) [RNM-3924]; Spanish Ministerio de Economia y Competitividad [CTM 2011-2843-CO2-02]</t>
  </si>
  <si>
    <t>Junta de Andalucia (Regional Government)(Junta de Andalucia); Spanish Ministerio de Economia y Competitividad(Spanish Government)</t>
  </si>
  <si>
    <t>This work was funded by the Junta de Andalucia (Regional Government) under grant reference RNM-3924, and by the Spanish Ministerio de Economia y Competitividad under grant reference CTM 2011-2843-CO2-02. We thank Antonio Moreno, Pedro M. Oliva, and David Rondan for their assistance during sediment sampling. We are also grateful to the Harbour Master's Office of Huelva for valuable help with the management of sediment sampling.</t>
  </si>
  <si>
    <t>10.1021/es501939c</t>
  </si>
  <si>
    <t>AR5RJ</t>
  </si>
  <si>
    <t>WOS:000343640900066</t>
  </si>
  <si>
    <t>Stabili, L; Rizzo, L; Caprioli, R; Leone, A; Piraino, S</t>
  </si>
  <si>
    <t>Stabili, Loredana; Rizzo, Lucia; Caprioli, Rosa; Leone, Antonella; Piraino, Stefano</t>
  </si>
  <si>
    <t>Jellyfish Bioprospecting in the Mediterranean Sea: Antioxidant and Lysozyme-Like Activities from Aurelia coerulea (Cnidaria, Scyphozoa) Extracts</t>
  </si>
  <si>
    <t>MARINE DRUGS</t>
  </si>
  <si>
    <t>bioactive compounds; antimicrobial compounds; lysozyme-like activity; peptides; moon medusa</t>
  </si>
  <si>
    <t>ANTIMICROBIAL PEPTIDES; RHOPILEMA-ESCULENTUM; NEMATOCYST VENOM; COLON-CARCINOMA; MUCUS; ANTIBACTERIAL; PURIFICATION; HYDROLYSATE; CHEMICALS; SYMBIONT</t>
  </si>
  <si>
    <t>Marine invertebrates represent a vast, untapped source of bioactive compounds. Cnidarians are represented by nearly 10,000 species that contain a complex mixture of venoms, collagen, and other bioactive compounds, including enzymes, oligosaccharides, fatty acids, and lipophilic molecules. Due to their high abundance in coastal waters, several jellyfish taxa may be regarded as candidate targets for the discovery of novel lead molecules and biomaterials and as a potential source of food/feed ingredients. The moon jellyfish Aurelia coerulea is one of the most common jellyfish worldwide and is particularly abundant in sheltered coastal lagoons and marinas of the Mediterranean Sea, where it first appeared-as an alien species-in the last century, when Pacific oyster cultivation began. In the present study, the antioxidant and lysozyme antibacterial activities associated with extracts from different medusa compartments-namely the umbrella, oral arms, and secreted mucus-were investigated. Extracts from the oral arms of A. coerulea displayed significant antioxidant activity. Similarly, lysozyme-like activity was the highest in extracts from oral arms. These findings suggest that A. coerulea outbreaks may be used in the search for novel cytolytic and cytotoxic products against marine bacteria. The geographically wide occurrence and the seasonally high abundance of A. coerulea populations in coastal waters envisage and stimulate the search for biotechnological applications of jellyfish biomasses in the pharmaceutical, nutritional, and nutraceutical sectors.</t>
  </si>
  <si>
    <t>[Stabili, Loredana; Caprioli, Rosa; Piraino, Stefano] Univ Salento, Dept Biol &amp; Environm Sci &amp; Technol, Via Prov le Lecce Monteroni, I-73100 Lecce, Italy; [Stabili, Loredana] CNR, Inst Water Res, Via Roma 3, I-74123 Taranto, Italy; [Rizzo, Lucia] Stn Zool Anton Dohrn, Dept Integrat Marine Ecol, I-80121 Naples, Italy; [Leone, Antonella] CNR, CNR, ISPA, Inst Sci Food Prod, Via Prov Le Lecce Monteroni, I-72100 Lecce, Italy; [Leone, Antonella; Piraino, Stefano] Consorzio Nazl Interuniv Sci Mare CoNISMa, Piazzale Flaminio 9, I-00196 Rome, Italy</t>
  </si>
  <si>
    <t>University of Salento; Consiglio Nazionale delle Ricerche (CNR); Stazione Zoologica Anton Dohrn di Napoli; Consiglio Nazionale delle Ricerche (CNR); Istituto Scienze delle Produzioni Alimentari (ISPA-CNR); CoNISMa</t>
  </si>
  <si>
    <t>Stabili, L (corresponding author), Univ Salento, Dept Biol &amp; Environm Sci &amp; Technol, Via Prov le Lecce Monteroni, I-73100 Lecce, Italy.;Stabili, L (corresponding author), CNR, Inst Water Res, Via Roma 3, I-74123 Taranto, Italy.;Rizzo, L (corresponding author), Stn Zool Anton Dohrn, Dept Integrat Marine Ecol, I-80121 Naples, Italy.</t>
  </si>
  <si>
    <t>loredana.stabili@iamc.cnr.it; lucia.rizzo@szn.it; rosa.caprioli@unisalento.it; antonella.leone@ispa.cnr.it; stefano.piraino@unisalento.it</t>
  </si>
  <si>
    <t>Rizzo, Lucia/AAZ-7575-2021; Leone, Antonella/J-4770-2012; Rizzo, Lucia/HCI-7308-2022; Piraino, Stefano/J-5234-2012</t>
  </si>
  <si>
    <t>Leone, Antonella/0000-0002-5610-4031; Stabili, Loredana/0000-0001-6143-0862; Rizzo, Lucia/0000-0002-0893-0582; Piraino, Stefano/0000-0002-8752-9390</t>
  </si>
  <si>
    <t>Project GoJelly-A gelatinous solution to plastic pollution - EU H2020-BG-2016-2017 [774499]; project MED-USESSfruttamento delle biomasse di meduse come risorsa per applicazioni in ambito nutrizionale, nutraceutico, farmaceutico e cosmeceutico - Apulian Region, REFIN programme [AFD9B120/UNISAL119]</t>
  </si>
  <si>
    <t>Project GoJelly-A gelatinous solution to plastic pollution - EU H2020-BG-2016-2017; project MED-USESSfruttamento delle biomasse di meduse come risorsa per applicazioni in ambito nutrizionale, nutraceutico, farmaceutico e cosmeceutico - Apulian Region, REFIN programme</t>
  </si>
  <si>
    <t>This research was supported by the Project GoJelly-A gelatinous solution to plastic pollution grant agreement No 774499 funded by EU H2020-BG-2016-2017 and by the project MED-USESSfruttamento delle biomasse di meduse come risorsa per applicazioni in ambito nutrizionale, nutraceutico, farmaceutico e cosmeceutico, code AFD9B120/UNISAL119, funded by the Apulian Region, REFIN programme.</t>
  </si>
  <si>
    <t>1660-3397</t>
  </si>
  <si>
    <t>MAR DRUGS</t>
  </si>
  <si>
    <t>Mar. Drugs</t>
  </si>
  <si>
    <t>10.3390/md19110619</t>
  </si>
  <si>
    <t>Chemistry, Medicinal; Pharmacology &amp; Pharmacy</t>
  </si>
  <si>
    <t>XF6BN</t>
  </si>
  <si>
    <t>WOS:000724154400001</t>
  </si>
  <si>
    <t>Viñas, L; Franco, A; Blanco, X; Bargiela, J; Soriano, JA; Perez-Fernandez, B; Gonzalez, JJ</t>
  </si>
  <si>
    <t>Vinas, Lucia; Franco, Angeles; Blanco, Xoana; Bargiela, Jessica; Soriano, Jose A.; Perez-Fernandez, Begona; Jose Gonzalez, Juan</t>
  </si>
  <si>
    <t>Temporal and spatial changes of PAH concentrations in Mytilus galloprovincialis from Ria de Vigo (NW Spain)</t>
  </si>
  <si>
    <t>Aromatic hydrocarbons; Biota; HPLC; Mytilus galloprovincialis; Biomonitoring; Rias</t>
  </si>
  <si>
    <t>POLYCYCLIC-AROMATIC-HYDROCARBONS; PETROLEUM-HYDROCARBONS; CHEMICAL CONCENTRATIONS; SURFICIAL SEDIMENTS; WILD MUSSELS; SOOT CARBON; US COAST; PRESTIGE; TRENDS; EDULIS</t>
  </si>
  <si>
    <t>The aim of this study was to establish the temporal trends and spatial distribution of Polycyclic Aromatic Hydrocarbons (PAHs) in Ria de Vigo by means of studying the PAH burden in wild mussels. The samples were collected in eight sites along the margins of the Ria de Vigo during November from 1998 to 2008 and Polycyclic Aromatic Hydrocarbon contents were determined using high performance liquid chromatography-fluorescence derivatization (HPLC-FLD). Quality of chemical analysis was guaranteed by participation in QUASIMEME intercalibration exercises carried out during the period of analysis. The concentrations for the sum of 13 PAHs were in the range 24-480 mu g/kg dw, typical of an urban and industrialized area (50-500 mu g/kg dw) except for a punctual input in La Guia in 1998 that led to a concentration above 1,000 mu g/kg dw. In general, the sites in the outermost section of the estuary (ria) showed the lowest values, with an increasing gradient in the medium and inner parts of the ria. Temporal patterns show, in general, a downward trend. The relative proportion of 3 and 4 ring PAHs also varies with the site, the former being predominant in the outermost area and the latter in the medium and inner parts of the ria. This is consistently related with the sources and processes taking place in different areas of the estuary.</t>
  </si>
  <si>
    <t>[Vinas, Lucia; Franco, Angeles; Blanco, Xoana; Bargiela, Jessica; Soriano, Jose A.; Perez-Fernandez, Begona; Jose Gonzalez, Juan] IEO, Ctr Oceanog Vigo, Vigo 36390, Spain</t>
  </si>
  <si>
    <t>Viñas, L (corresponding author), IEO, Ctr Oceanog Vigo, Subida Radio Faro 50, Vigo 36390, Spain.</t>
  </si>
  <si>
    <t>lucia.vinas@vi.ieo.es</t>
  </si>
  <si>
    <t>soriano, jose antonio/HNR-1536-2023; Pérez-Fernández, Begoña/W-9344-2019; Vinas, Lucia/B-7804-2008</t>
  </si>
  <si>
    <t>Vinas, Lucia/0000-0002-3816-5359; Perez-Fernandez, Begona/0000-0002-5654-2517; Bargiela Barros, Jesica/0000-0002-5241-9001</t>
  </si>
  <si>
    <t>Spanish Ministry of Science and Innovation [CTM2007-60148]</t>
  </si>
  <si>
    <t>This work was partially supported by the Spanish Ministry of Science and Innovation (Project CTM2007-60148). The authors would like to thank Bruno Cambeiro and the rest of the lab staff for the technical support in the collection and preparation of the samples.</t>
  </si>
  <si>
    <t>10.1007/s11356-011-0584-3</t>
  </si>
  <si>
    <t>879LN</t>
  </si>
  <si>
    <t>WOS:000299330800022</t>
  </si>
  <si>
    <t>Stabili, L; Pagliara, P</t>
  </si>
  <si>
    <t>Stabili, Loredana; Pagliara, Patrizia</t>
  </si>
  <si>
    <t>The sea urchin Paracentrotus lividus immunological response to chemical pollution exposure: The case of lindane</t>
  </si>
  <si>
    <t>Sea urchin; Lindane; Haemolytic activity; Antibacterial activity; Lysozyme-like activity; Invertebrate immunity</t>
  </si>
  <si>
    <t>ORGANOCHLORINE PESTICIDES; ANTIBACTERIAL ACTIVITY; PACIFIC OYSTER; LYSOZYME-LIKE; STRESS; MARINE; HEMOCYTES; WATER; ZINC; HEXACHLOROCYCLOHEXANE</t>
  </si>
  <si>
    <t>In the marine environment organochlorine insecticides can be broadly detected in water, sediments, and biota. These pollutants may have major ecological consequences since they may affect marine organisms and endanger organismal growth, reproduction or survival. In this study we investigated the modification of some sea urchin immunological parameters in response to subchronic lindane (gamma-HCH) exposure. Adult specimens of the sea urchin Paracentrotus lividus were exposed to two different concentrations (0.1 and 0.5 mg L-1) of lindane. After 24 and 48 h of treatment, we examined the lindane influence on coelomocytes vitality and enumeration as well on some humoral parameters. Our results showed that the presence of the pesticide affected both cellular and humoral components of the immune system. In particular, P. lividus coelomocytes vitality did not change but a decrease of the total cell number and an increase of the red cells was recorded. Haemolytic and lysozyme-like activities as well as antibacterial activity on Vibrio alginolyticus of treated animals decreased. Sea urchin immunological competence modifications might represent a tool for monitoring disease susceptibility thus providing biological criteria for the implementation of water quality standards to protect marine organisms. (C) 2015 Elsevier Ltd. All rights reserved.</t>
  </si>
  <si>
    <t>[Stabili, Loredana] CNR, Inst Coastal Marine Environm, I-74100 Taranto, Italy; [Stabili, Loredana; Pagliara, Patrizia] Univ Salento, Dept Biol &amp; Environm Sci &amp; Technol, I-73100 Lecce, Italy</t>
  </si>
  <si>
    <t>Consiglio Nazionale delle Ricerche (CNR); University of Salento</t>
  </si>
  <si>
    <t>Stabili, L (corresponding author), Univ Salento, Dept Biol &amp; Environm Sci &amp; Technol, Via Prov Lecce Monteroni, I-73100 Lecce, Italy.</t>
  </si>
  <si>
    <t>loredana.stabili@iamc.cnr.it</t>
  </si>
  <si>
    <t>Pagliara, Patrizia/S-9208-2019</t>
  </si>
  <si>
    <t>Pagliara, Patrizia/0000-0001-8936-7367</t>
  </si>
  <si>
    <t>PRIN Project - Italian Ministry of University and Research; RITMARE Flagship Project - Italian Ministry of University and Research</t>
  </si>
  <si>
    <t>Financial support was provided by the PRIN Project (2010-2011) and RITMARE Flagship Project both funded by the Italian Ministry of University and Research.</t>
  </si>
  <si>
    <t>10.1016/j.chemosphere.2015.04.006</t>
  </si>
  <si>
    <t>CK9GV</t>
  </si>
  <si>
    <t>WOS:000356549500009</t>
  </si>
  <si>
    <t>Erraud, A; Bonnard, M; Duflot, A; Geffard, A; Danger, JM; Forget-Leray, J; Xuereb, B</t>
  </si>
  <si>
    <t>Erraud, Alexandre; Bonnard, Marc; Duflot, Aurelie; Geffard, Alain; Danger, Jean-Michel; Forget-Leray, Joelle; Xuereb, Benoit</t>
  </si>
  <si>
    <t>Assessment of sperm quality in palaemonid prawns using Comet assay: methodological optimization</t>
  </si>
  <si>
    <t>Comet assay; DNA damage; Genotoxicity; Crustacean; Male infertility; Spermatozoa</t>
  </si>
  <si>
    <t>SHRIMP LITOPENAEUS-VANNAMEI; PATERNAL GENOTOXIN EXPOSURE; DNA-REPAIR INHIBITION; GAMMARUS-FOSSARUM; REPRODUCTION IMPAIRMENT; ERIOCHEIR-SINENSIS; HYDROGEN-PEROXIDE; CRASSOSTREA-GIGAS; MYTILUS-EDULIS; PACIFIC OYSTER</t>
  </si>
  <si>
    <t>The aim of this study was to adapt the Comet assay in spermatozoa of the marine prawn Palaemon serratus to use it as a marker of sperm quality. Indeed, due to the characteristics of their spermatozoa, the measurement of DNA integrity is one of the few markers which can be transferred to crustaceans to assess the quality of their semen. In the first step, the methods of collecting and maintaining spermatozoa were optimized. Cell survival was estimated during kinetics of preservation (i.e. 1, 2, 4 and 8 h) in various suspension media to define artificial seawater (ASW) as optimal. Several methods in the releasing of spermatozoa from the spermatophore of prawns were estimated with regard to their incidence both on the efficiency of extraction and the survival of cells. Pipetting up and down turned out to be the most successful and the least invasive technique. Secondly, the transfer of Comet assay was optimized by studying various times in both cell lysis (i.e. 1, 6, 18 h) and DNA denaturation (i.e. 15, 30 and 45 min), after in vitro exposure of spermatozoa to an H2O2 gradient as model genotoxicant. Results revealed that a minimum of 1 h in cell lysis and 15 min of DNA denaturation were sufficient to obtain valuable results, linked with a low compaction of DNA in spermatozoa of Palaemon sp. Finally, the sensitivity of P. serratus spermatozoa was assessed after in vitro exposures to model genotoxicants displaying various modes of interaction with DNA (i.e. UV-C, 13.3-79.5 J m(-2); H2O2, 5-10 mu M and MMS, 0.5-5 mM) and some environmental contaminants known or suspected to be genotoxic (i.e. cadmium and diuron, 0.015-1.5 mu g L-1; carbamazepine, 0.1-10 mu g L-1) for invertebrates. The low variability of the baseline level of DNA strand breaks recorded in controls highlighted the robustness of the method. P. serratus spermatozoa displayed significant DNA damage from the lowest doses tested for all model genotoxicants, but conversely, no genotoxic effect of tested environmental contaminants was observed. These results, which are discussed according to the protocol tested in the present study and the comparison with literature data, could suggest a difference in the response or sensitivity of spermatozoa to environmental genotoxicity between invertebrate species, and therefore the interest of Palaemonidae prawns in ecogenotoxicology. In conclusion, the present study underlines the potential of the Comet assay as a marker to assess the contamination impact on the sperm quality in Palaemonidae prawns in view to a potential application for in situ biomonitoring surveys.</t>
  </si>
  <si>
    <t>[Erraud, Alexandre; Duflot, Aurelie; Danger, Jean-Michel; Forget-Leray, Joelle; Xuereb, Benoit] Normandie Univ, UNIHAVRE, UMR I SEBIO 02, FR CNRS SCALE 3730, F-76600 Le Havre, France; [Bonnard, Marc; Geffard, Alain] Univ Reims, UMR I SEBIO 02, F-51100 Reims, France</t>
  </si>
  <si>
    <t>Universite de Reims Champagne-Ardenne; Universite Le Havre Normandie; Universite de Reims Champagne-Ardenne</t>
  </si>
  <si>
    <t>Xuereb, B (corresponding author), Normandie Univ, UNIHAVRE, UMR I SEBIO 02, FR CNRS SCALE 3730, F-76600 Le Havre, France.</t>
  </si>
  <si>
    <t>benoit.xuereb@univ-lehavre.fr</t>
  </si>
  <si>
    <t>XUEREB, Benoit/0000-0001-6898-0955; Geffard, Alain/0000-0001-9236-2890; Bonnard, Marc/0000-0002-6155-0191; Forget-Leray, joelle/0000-0003-3859-3879</t>
  </si>
  <si>
    <t>project ECOTONES - program Seine-Aval V (Public Interest Groups Seine-Aval); Research Federation CNRS SCALE [3730]; Normandie Region</t>
  </si>
  <si>
    <t>project ECOTONES - program Seine-Aval V (Public Interest Groups Seine-Aval); Research Federation CNRS SCALE; Normandie Region(Region Normandie)</t>
  </si>
  <si>
    <t>This study was supported by project ECOTONES funded by the program Seine-Aval V (Public Interest Groups Seine-Aval), the Research Federation CNRS 3730 SCALE and the Normandie Region. The authors wish to thank Mr. G. Tremolet (UMR-I 02 INERIS-URCA-ULH, Normandie Universite, France) for punctual technical assistance during the sampling, and Dr. O. Geffard (IRSTEA Lyon, France) and Pr. F. Le Foll (UMR-I 02 INERIS-URCA-ULH, Normandie Universite, France) for their advice regarding this study. The authors also thank Mrs. D. Hallidy for proof-reading the English.</t>
  </si>
  <si>
    <t>10.1007/s11356-017-8754-6</t>
  </si>
  <si>
    <t>WOS:000431790000007</t>
  </si>
  <si>
    <t>Traina, A; Ausili, A; Bonsignore, M; Fattorini, D; Gherardi, S; Gorbi, S; Quinci, E; Romano, E; Manta, DS; Tranchida, G; Regoli, F; Sprovieri, M</t>
  </si>
  <si>
    <t>Traina, Anna; Ausili, Antonella; Bonsignore, Maria; Fattorini, Daniele; Gherardi, Serena; Gorbi, Stefania; Quinci, Enza; Romano, Elena; Manta, Daniela Salvagio; Tranchida, Giorgio; Regoli, Francesco; Sprovieri, Mario</t>
  </si>
  <si>
    <t>Organochlorines and Polycyclic Aromatic Hydrocarbons as fingerprint of exposure pathways from marine sediments to biota</t>
  </si>
  <si>
    <t>Organochlorines; PAHs; Biota; Sediment; Source fingerprint</t>
  </si>
  <si>
    <t>PERSISTENT ORGANIC POLLUTANTS; MUSSELS MYTILUS-GALLOPROVINCIALIS; POLYCHLORINATED-BIPHENYLS PCBS; HEALTH-RISK; COASTAL POLLUTION; MEDITERRANEAN SEA; CONGENER PATTERNS; MERCURY; FISH; BAY</t>
  </si>
  <si>
    <t>To elucidate the dynamics of a suite of organochlorine contaminants (PCBs, HCB), PAHs and Hg and verify the potential of these pollutants as reliable fingerprints of sources, an ensemble of marine sediments and organisms (finfish, shellfish species and Mytilus galloprovincialis) were analysed from the contaminated Augusta Bay (Southern Italy). The Hg and HCB concentration in the sediments exceeded the EQS of the Directive 2000/60/ EU. Similarly, n-ary sumation PCB and selected PAHs were above the threshold limit set by regulation. The marine organisms showed Hg concentrations above CE 1881/2006. Contaminants in transplanted mussel evidenced an increased accumulation overtime and different distribution patterns between sampling sites. Analysis of the homolog composition of PCB congeners revealed comparable patterns between sediments and marine organisms and offered the opportunity to define a robust fingerprint for tracing contaminants transfer from the abiotic to the biotic compartments. These results were confirmed by the Fluoranthene/Pyrene, Hg and HCB distribution modes.</t>
  </si>
  <si>
    <t>[Traina, Anna; Manta, Daniela Salvagio] Natl Res Council Italy, Inst Anthrop Impacts &amp; Sustainabil Marine Environ, Lungomare Cristoforo Colombo 452, I-90149 Palermo, Italy; [Ausili, Antonella; Romano, Elena] Inst Environm Protect &amp; Res ISPRA, Via V Brancati 60, I-00144 Rome, Italy; [Bonsignore, Maria; Quinci, Enza; Tranchida, Giorgio; Sprovieri, Mario] Natl Res Council Italy, Inst Anthrop Impacts &amp; Sustainabil Marine Environ, Via Mare 3, I-91021 Torretta Granitola, Trapani, Italy; [Fattorini, Daniele; Gorbi, Stefania; Regoli, Francesco] Polytech Univ Marche, Dept Life &amp; Environm Sci DiSVA, Via Brecce Bianche, I-60131 Ancona, Italy; [Gherardi, Serena] Natl Res Council Italy, Inst Marine Sci CNR ISMAR, I-80133 Naples, Italy</t>
  </si>
  <si>
    <t>Consiglio Nazionale delle Ricerche (CNR); Italian Institute for Environmental Protection &amp; Research (ISPRA); Consiglio Nazionale delle Ricerche (CNR); Marche Polytechnic University; Consiglio Nazionale delle Ricerche (CNR); Istituto di Scienze Marine (ISMAR-CNR)</t>
  </si>
  <si>
    <t>Bonsignore, M (corresponding author), Natl Res Council Italy, Inst Anthrop Impacts &amp; Sustainabil Marine Environ, Via Mare 3, I-91021 Torretta Granitola, Trapani, Italy.</t>
  </si>
  <si>
    <t>maria.bonsignorei@ias.cnr.it</t>
  </si>
  <si>
    <t>Fattorini, Daniele/A-2969-2010; Gorbi, Stefania/K-5662-2016; Sprovieri, Mario/AAY-1021-2020; Regoli, Francesco/K-2719-2018; Romano, Elena/I-7419-2019</t>
  </si>
  <si>
    <t>Regoli, Francesco/0000-0001-6084-6188; SPROVIERI, MARIO/0000-0002-7192-5014; Romano, Elena/0000-0001-9498-4810; tranchida, giorgio/0000-0003-1815-3382</t>
  </si>
  <si>
    <t>Italian Ministry of Education, University and Research</t>
  </si>
  <si>
    <t>This work is part of the CISAS (MIUR-CNR) project, funded by the Italian Ministry of Education, University and Research. The authors wish to thank the colleagues involved the scientific collaboration among the National Research Council of Italy, Carmelo Buscaino and Gaspare Buffa for their support in samples collection during the CNR oceanographic surveys and all the laboratory personnel of IAS-CNR of Capo Granitola.</t>
  </si>
  <si>
    <t>10.1016/j.marpolbul.2021.112676</t>
  </si>
  <si>
    <t>UA9TE</t>
  </si>
  <si>
    <t>WOS:000685495800007</t>
  </si>
  <si>
    <t>Goodfellow, FJL; Murray, VSG; Ouki, SK; Iversen, A; Sparks, A; Bartlett, T</t>
  </si>
  <si>
    <t>Public health response to an incident of secondary chemical contamination at a beach in the United Kingdom</t>
  </si>
  <si>
    <t>OCCUPATIONAL AND ENVIRONMENTAL MEDICINE</t>
  </si>
  <si>
    <t>public health; water pollutants; chemical; hydrocarbons; cyanides</t>
  </si>
  <si>
    <t>Objectives-To gather enough data from a large scale investigation involving two health authorities, to assess the possible concentrations and routes of exposure and the consequent health implications. To use the data to decide whether a polluted beach should remain open to the public. In Spring 1997, a chemical incident came to light at a beach on the south coast of England when a local resident reported a sulphurous smell, visible signs of oil, and reduced numbers of fishing bait. The beach was situated adjacent to a former gasworks site and was accessible to the public. The incident was reported to the local authority and was initially investigated by the Environment Agency and the local authority. An Environment Agency report confirmed contamination of the beach with cyanide, ammonia, and polycyclic aromatic hydrocarbons (PAHs) with associated potential health risks. The incident was then referred to the local health authorities for investigation. Methods-The investigation was carried out in four stages: comprehensive sampling and analysis to identify the extent of contamination, followed by an assessment of risk to health; establishment of a long term monitoring programme to identify any changes in contaminant concentrations; investigation of the effects of the contamination on shellfish; and review of the routine monitoring data and current sampling strategy. Results-The initial investigation confirmed that the beach was contaminated, with the most likely source being the adjacent former gasworks site. The level of contamination was not found to be likely to pose a hazard to users of the beach. However, subsequent investigation of shellfish in the area led to warning signs being erected on the beach to prevent human consumption of mussels contaminated with PAHs. Conclusions-Several lessons can be learnt from this investigation, which can be applied to incident management more generally: the importance of collaboration and coordination; the need for early involvement of the health authority; and the importance of carrying out appropriate sampling and analysis as soon as possible, to assess the risk to health and the environment.</t>
  </si>
  <si>
    <t>Guys &amp; St Thomas Hosp Trust, Med Toxicol Unit, Chem Incident Response Serv, London, England; Univ Surrey, Ctr Environm Hlth Engn, Guildford GU2 5XH, Surrey, England; Brighton &amp; Hove Hlth Author, Lewes, England; Brighton &amp; Hove Council, Environm Serv, Hove, England; Adur Dist Council, Housing Community &amp; Environm Serv Dept, Shoreham By Sea, England</t>
  </si>
  <si>
    <t>Guy's &amp; St Thomas' NHS Foundation Trust; University of Surrey</t>
  </si>
  <si>
    <t>Goodfellow, FJL (corresponding author), Guys &amp; St Thomas Hosp Trust, Med Toxicol Unit, Chem Incident Response Serv, London, England.</t>
  </si>
  <si>
    <t>Ouki, Sabeha/B-7816-2013</t>
  </si>
  <si>
    <t>BRITISH MED JOURNAL PUBL GROUP</t>
  </si>
  <si>
    <t>BRITISH MED ASSOC HOUSE, TAVISTOCK SQUARE, LONDON WC1H 9JR, ENGLAND</t>
  </si>
  <si>
    <t>1351-0711</t>
  </si>
  <si>
    <t>OCCUP ENVIRON MED</t>
  </si>
  <si>
    <t>Occup. Environ. Med.</t>
  </si>
  <si>
    <t>10.1136/oem.58.4.232</t>
  </si>
  <si>
    <t>412EC</t>
  </si>
  <si>
    <t>WOS:000167540600003</t>
  </si>
  <si>
    <t>Luo, ZX; Li, MT; Wang, ZH; Li, JL; Guo, JH; Rosenfeldt, RR; Seitz, F; Yan, CZ</t>
  </si>
  <si>
    <t>Luo, Zhuanxi; Li, Mengting; Wang, Zhenhong; Li, Jinli; Guo, Jianhua; Rosenfeldt, Ricki R.; Seitz, Frank; Yan, Changzhou</t>
  </si>
  <si>
    <t>Effect of titanium dioxide nanoparticles on the accumulation and distribution of arsenate in Daphnia magna in the presence of an algal food</t>
  </si>
  <si>
    <t>Nanoparticles; Arsenic; Bioavailability; Subcellular distribution; Algae</t>
  </si>
  <si>
    <t>MICROCYSTIS-AERUGINOSA; SUBCELLULAR COMPARTMENTALIZATION; TIO2 NANOPARTICLES; CHLORELLA-VULGARIS; PARTICLE UPTAKE; 2 BIVALVES; TOXICITY; CADMIUM; WATER; ZINC</t>
  </si>
  <si>
    <t>The impact of titanium dioxide nanoparticles (nano-TiO2) on the bioavailability of metals in aquatic filter-feeding organisms has rarely been investigated, especially in the presence of algae as a food source. In this study, we quantified the accumulation and subcellular distribution of arsenate (As (V)) in Daphnia magna in the presence of nano-TiO2 and a green alga (Scenedesmus obliquus) food source. Results showed that S. obliquus significantly increased the accumulation of total arsenic (As) and titanium (Ti) in D. magna. The presence of this food source increased As in metal-sensitive fractions (MSF) and as biologically detoxified metals (BDM), while it decreased Ti levels in MSF but increased levels as BDM. The difference in the subcellular distribution of As and Ti demonstrates the dissociation of As from nano-TiO2 during digestion at subcellular partitioning irrespective of food availability. In turn, the presence of algae was shown to increase metal-based toxicity in D. magna due to the transfer of As from BMD to MSF. Furthermore, S. obliquus significantly increased the concentration of As and Ti in soluble fractions, indicating that As and nano-TiO2 ingested by D. magna could be transferred more readily to their predators in the presence of S. obliquus. Our study shows the potential of algae to increase the toxicity and biomagnification of As (V) . Furthermore, it highlights food as an important factor in the toxicity assessment of nanomaterials and co-existing pollutants.</t>
  </si>
  <si>
    <t>[Luo, Zhuanxi; Li, Mengting; Wang, Zhenhong; Li, Jinli; Guo, Jianhua; Yan, Changzhou] Chinese Acad Sci, Inst Urban Environm, Key Lab Urban Environm &amp; Hlth, Xiamen 361021, Peoples R China; [Rosenfeldt, Ricki R.; Seitz, Frank] Univ Koblenz Landau, Inst Environm Sci, Fortstr 7, D-76829 Landau, Germany; [Rosenfeldt, Ricki R.; Seitz, Frank] nEcoTox, Neumuehle 2, D-76855 Annweiler, Germany</t>
  </si>
  <si>
    <t>Chinese Academy of Sciences; Institute of Urban Environment, CAS; University of Koblenz &amp; Landau</t>
  </si>
  <si>
    <t>Luo, ZX; Yan, CZ (corresponding author), Chinese Acad Sci, Inst Urban Environm, Key Lab Urban Environm &amp; Hlth, Xiamen 361021, Peoples R China.</t>
  </si>
  <si>
    <t>zxluoire@163.com; czyan@iue.ac.cn</t>
  </si>
  <si>
    <t>luo, Zhuanxi/B-8441-2009</t>
  </si>
  <si>
    <t>luo, Zhuanxi/0000-0003-0164-4492; Seitz, Frank/0000-0002-3181-0140</t>
  </si>
  <si>
    <t>National Nature Science Foundation of China [41401552, 41271484]; Nature Science Foundation of Fujian Province, China [2016J01691, 2017Y0081]; Science and Technology project of Xiamen, China [3502Z20172026]</t>
  </si>
  <si>
    <t>National Nature Science Foundation of China(National Natural Science Foundation of China (NSFC)); Nature Science Foundation of Fujian Province, China(Natural Science Foundation of Fujian Province); Science and Technology project of Xiamen, China</t>
  </si>
  <si>
    <t>This study was jointly funded by the National Nature Science Foundation of China (41401552 and 41271484), the Nature Science Foundation of Fujian Province, China (2016J01691 and 2017Y0081), and the Science and Technology project of Xiamen, China (3502Z20172026).</t>
  </si>
  <si>
    <t>10.1007/s11356-018-2265-y</t>
  </si>
  <si>
    <t>WOS:000438830900060</t>
  </si>
  <si>
    <t>Li, YB; Zhang, CQ; Chen, YZ; Liang, ZB; Zhou, YJ; Pan, G</t>
  </si>
  <si>
    <t>Li, Yubin; Zhang, Chuangqiang; Chen, Yongzhi; Liang, Zhibin; Zhou, Yingjie; Pan, Gang</t>
  </si>
  <si>
    <t>Fabrication of functional discarded shells-based superhydrophobic coatings</t>
  </si>
  <si>
    <t>SUSTAINABLE MATERIALS AND TECHNOLOGIES</t>
  </si>
  <si>
    <t>Discarded shells; Superhydrophobic coating; Corrosion protection; Cleaning; Stearic acid</t>
  </si>
  <si>
    <t>OIL/WATER SEPARATION; MEMBRANE; POWDER</t>
  </si>
  <si>
    <t>With the expansion of shellfish aquaculture, there has been an increase in the number of discarded shells, leading to a range of issues, including environmental pollution, global warming, health risks, and the eutrophication of coastal waters. The recycling of discarded mussel shells holds great research significance. In this study, we present a method for preparing a functional shell powder-based superhydrophobic coating filler by modifying shell powder with Mg(OH) 2 and stearic acid (SA). Mg(OH) 2 crystals were utilized to modify shell powder and enhance the abrasion resistance of superhydrophobic coatings. Additionally, loading SA can decrease the free energy of the filler surface, thereby improving the hydrophobic properties of the coating. Moreover, the adhesion of water-based coatings can be enhanced by the functional shell powder (Shell powder/Mg(OH) 2 @SA) filler through strong molecular forces between the aqueous fluorocarbon emulsion and the modified shell powder. The contact angle (CA) of the coating was approximately 150 degrees , and the hydrophobic critical value of the coating was approximately 1550 times that of washing. Even after 1200 washes, the CA remained at 97 degrees . This simple and environmentally friendly method was expected to enable the preparation of waterproof barriers with strong corrosion resistance on various substrates. The results demonstrated that the proposed filler is easy to store, simple to process, cost-effective in production, and environmentally friendly. Moreover, the coating utilizing the proposed filler exhibits excellent abrasion resistance, water resistance, adhesion, and thermal stability. This innovation provides an eco-friendly solution that repurposes discarded shells and mitigates environmental pollution. The recycling and reusing of discarded shells can significantly enhance the profitability of shellfish farming and contribute to sustainable development. Importantly, it will contribute to the mitigation of global warming and the achievement of carbon neutrality.</t>
  </si>
  <si>
    <t>[Li, Yubin; Zhang, Chuangqiang; Chen, Yongzhi; Liang, Zhibin; Zhou, Yingjie; Pan, Gang] Guangdong Ocean Univ, Fac Chem &amp; Environm Sci, Zhanjiang 524088, Peoples R China; [Li, Yubin; Pan, Gang] Guangdong Ocean Univ, Res Ctr Coastal Environm Protect &amp; Ecol Resilience, Zhanjiang 524088, Peoples R China; [Pan, Gang] York St John Univ, Sch Humanities, York YO31 7EX, England; [Pan, Gang] Jiangsu Jiuguan Inst Environm &amp; Resources, Yixing, Peoples R China</t>
  </si>
  <si>
    <t>Guangdong Ocean University; Guangdong Ocean University; York Saint John University</t>
  </si>
  <si>
    <t>Li, YB; Pan, G (corresponding author), Guangdong Ocean Univ, Fac Chem &amp; Environm Sci, Zhanjiang 524088, Peoples R China.</t>
  </si>
  <si>
    <t>2007liyubin@163.com</t>
  </si>
  <si>
    <t>chen, yongzhi/ABD-9455-2020; zhou, Yingjie/A-2565-2014</t>
  </si>
  <si>
    <t>Natural Science Foundation of Guangdong Province [2023A1515011157]; Special Fund Project for Science and Technology Innovation Strategy of Guangdong Province [pdjh2023b0251]; Guangdong Ocean University Innovation and Entrepreneurship Team Project [CCTD201830]; National College Students Innovation and Entrepreneurship Training Program project funding [202310566003 x]</t>
  </si>
  <si>
    <t>Natural Science Foundation of Guangdong Province(National Natural Science Foundation of Guangdong Province); Special Fund Project for Science and Technology Innovation Strategy of Guangdong Province; Guangdong Ocean University Innovation and Entrepreneurship Team Project; National College Students Innovation and Entrepreneurship Training Program project funding</t>
  </si>
  <si>
    <t>This work was supported by the Natural Science Foundation of Guangdong Province (2023A1515011157) , the Special Fund Project for Science and Technology Innovation Strategy of Guangdong Province (pdjh2023b0251) , the Guangdong Ocean University Innovation and Entrepreneurship Team Project (CCTD201830) , and the National College Students Innovation and Entrepreneurship Training Program project funding (202310566003 x) . The authors would like to thank Editage for their professional English language editing services.</t>
  </si>
  <si>
    <t>2214-9937</t>
  </si>
  <si>
    <t>SUSTAIN MATER TECHNO</t>
  </si>
  <si>
    <t>Sustain. Mater. Technol.</t>
  </si>
  <si>
    <t>e01034</t>
  </si>
  <si>
    <t>10.1016/j.susmat.2024.e01034</t>
  </si>
  <si>
    <t>Green &amp; Sustainable Science &amp; Technology; Energy &amp; Fuels; Materials Science, Multidisciplinary</t>
  </si>
  <si>
    <t>Science &amp; Technology - Other Topics; Energy &amp; Fuels; Materials Science</t>
  </si>
  <si>
    <t>XZ4V1</t>
  </si>
  <si>
    <t>WOS:001265497100001</t>
  </si>
  <si>
    <t>Albano, PG; Filippova, N; Steger, J; Kaufman, DS; Tomasovych, A; Stachowitsch, M; Zuschin, M</t>
  </si>
  <si>
    <t>Albano, Paolo G.; Filippova, Nadezhda; Steger, Jan; Kaufman, Darrell S.; Tomasovych, Adam; Stachowitsch, Michael; Zuschin, Martin</t>
  </si>
  <si>
    <t>Oil platforms in the Persian (Arabian) Gulf: Living and death assemblages reveal no effects</t>
  </si>
  <si>
    <t>Aquatic Sciences Meeting of the Association-for-the-Sciences-of-Limnology-and-Oceanography (ASLO)</t>
  </si>
  <si>
    <t>FEB 22-27, 2015</t>
  </si>
  <si>
    <t>Granada, SPAIN</t>
  </si>
  <si>
    <t>Persian (Arabian) Gulf; Offshore structures; Mollusca; Live-dead fidelity; Oil pollution</t>
  </si>
  <si>
    <t>BENTHIC COMMUNITIES; SPECIES COMPOSITION; MOLLUSCAN LIVE; DRILL-CUTTINGS; OFFSHORE OIL; FIDELITY; SHELF; DIVERSITY; SEA; SEDIMENT</t>
  </si>
  <si>
    <t>Environmental impact assessments require pre-impact data to discriminate between natural and anthropogenic sources of community shifts. True pre-impact data, however, are rarely available because the onset of ocean biomonitoring in the 20th century frequently postdates the timing of such shifts. Death assemblages (DAs) sampled on a sea-floor capture previous community states and represent archives of past preimpact conditions. This is because they change more slowly (10-10,000 years) than the corresponding living assemblage (LA) (yearly scales of turnover). Strong and rapid directional changes such as those due to human activities are therefore not immediately captured by DAs, leading to a greater live-dead (LD) mismatch than under natural processes alone. We used this approach to infer disturbance of benthic habitats around platforms in two major oilfields in the Persian (Arabian) Gulf: Umm Al Dalkh (UA) and Zakum (ZK). We found that, first, LD metrics showed no correlation with contamination levels or distance from the platform. Second, although LAs and DAs significantly differed in species composition and did not overlap in multivariate space, the difference was generated by a single species, the semelid deposit-feeding bivalve Ervilia purpurea. This bivalve was not found alive, but constituted 30-50% of the DAs at the field scale and up to 92% at some stations. Radiocarbon-calibrated amino acid racemization dating of valves of this species showed considerable spatial and temporal heterogeneity in production over the last decades and centuries, implying a boom-and-bust population dynamics; its absence in LAs is thus likely unrelated to the onset of oil platform production in the 20th century. The remaining LD differences probably reflect within- and multiple-habitat temporal or spatial averaging, and taxonomic similarity and rank-order agreement in species abundance at the field scale are comparable with values recorded in pristine areas. Therefore, we found no evidence of major community shifts in this oilfield area. (C) 2015 Elsevier Ltd. All rights reserved.</t>
  </si>
  <si>
    <t>[Albano, Paolo G.; Filippova, Nadezhda; Steger, Jan; Zuschin, Martin] Univ Vienna, Dept Palaeontol, Althanstr 14, A-1090 Vienna, Austria; [Filippova, Nadezhda] St Petersburg State Univ, Fac Biol &amp; Soil Sci, Dept Ichthyol &amp; Hydrobiol, Univ Skaya Nab 7-9, St Petersburg 199034, Russia; [Kaufman, Darrell S.] No Arizona Univ, Sch Earth Sci &amp; Environm Sustainabilily, Campus Box 4099, Flagstaff, AZ 86011 USA; [Tomasovych, Adam] Slovak Acad Sci, Inst Geol, Dubravska Cesta 9, Bratislava 84005, Slovakia; [Stachowitsch, Michael] Univ Vienna, Ctr Ecol, Dept Limnol &amp; Biooceanog, Althanstr 14, A-1090 Vienna, Austria</t>
  </si>
  <si>
    <t>University of Vienna; Saint Petersburg State University; Northern Arizona University; Slovak Academy of Sciences; University of Vienna</t>
  </si>
  <si>
    <t>Albano, PG (corresponding author), Univ Vienna, Dept Palaeontol, Althanstr 14, A-1090 Vienna, Austria.</t>
  </si>
  <si>
    <t>pgalbano@gmail.com; naticaf@gmail.com; jan_steger@gmx.at; darrell.kaufman@nau.edu; adam.tomasovych@savba.sk; michael.stachowitsch@univie.ac.at; martin.zuschin@univie.ac.at</t>
  </si>
  <si>
    <t>Albano, Paolo/N-3020-2019; Kaufman, Darrell/A-2471-2008; Tomasovych, Adam/C-9623-2010; Filippova, Nadezhda/B-2334-2016; Zuschin, Martin/M-9951-2016; Albano, Paolo Giulio/E-6128-2012</t>
  </si>
  <si>
    <t>Tomasovych, Adam/0000-0002-0471-9480; Filippova, Nadezhda/0000-0002-8611-9066; Zuschin, Martin/0000-0002-5235-0198; Albano, Paolo Giulio/0000-0001-9876-1024</t>
  </si>
  <si>
    <t>10.1016/j.csr.2015.12.007</t>
  </si>
  <si>
    <t>DP0QE</t>
  </si>
  <si>
    <t>WOS:000378193500004</t>
  </si>
  <si>
    <t>Hur, SB</t>
  </si>
  <si>
    <t>Present status of larval-rearing technology in Korea</t>
  </si>
  <si>
    <t>International Symposium on Live Food Organisms and Marine Larviculture</t>
  </si>
  <si>
    <t>SEP 01-04, 1996</t>
  </si>
  <si>
    <t>NAGASAKI, JAPAN</t>
  </si>
  <si>
    <t>larval rearing; seedling production; live food organism</t>
  </si>
  <si>
    <t>The overall status of seedling production in Korea is discussed. In shellfish culture, such as oyster and ark shell, seedlings are obtained by natural seedling collection. Shellfish seedling production has been decreasing rapidly due to coastal pollution and continuous dense culture over the years. This has lead to the development of artificial production of shellfish seedlings. However, the mass production of seedlings in the hatchery is not yet fully developed in Korea. Isochrysis, Pavlova, Chaetoceros and Thalassiosira are the main Live food organisms for the artificial seedling production. These species can be cultured indoors, but the technology for their outdoor culture is not established. Marine fish culture production is growing fast. With regard to seedling production of marine fish, flounder and rockfish are the most important commercial species. For seedling production of these species, rotifers and Artemia are the main live food organisms. Marine Chlorella for rotifer culture is unstable at temperatures over 30 degrees C. Nannochloris oculate, which grows faster than marine Chlorella at temperatures over 30 degrees C is widely used in the summer season as an alternative. A natural Artemis strain exists in small quantities in areas of restricted salt fields. However, the mass production of Korean Artemia cyst is not economically feasible. Korean Artemia strain seems to have originated from the Sandong Pennisula in China, because of similarities such as the hatching ecology, chromosome number and nutrient composition. Currently, research is carried out to identify a new live food organism that can substitute rotifers and Artemia. The cost of feed including live food organisms is 30-60% of the total production cost for seedling production of marine fish in Korea. Therefore, new and inexpensive artificial formulated feeds should be developed.</t>
  </si>
  <si>
    <t>Pukyong Natl Univ, Dept Aquaculture, Pusan 608737, South Korea</t>
  </si>
  <si>
    <t>Hur, SB (corresponding author), Pukyong Natl Univ, Dept Aquaculture, Pusan 608737, South Korea.</t>
  </si>
  <si>
    <t>DEC 22</t>
  </si>
  <si>
    <t>10.1023/A:1003165526133</t>
  </si>
  <si>
    <t>ZM290</t>
  </si>
  <si>
    <t>WOS:000073523700006</t>
  </si>
  <si>
    <t>Added, A; Khalloufi, N; Khazri, A; Harrath, AH; Mansour, L; Nahdi, S; Boufahja, F; Aldahmash, W; Alrefaei, AF; Dellali, M</t>
  </si>
  <si>
    <t>Added, Amira; Khalloufi, Noureddine; Khazri, Abdelhafidh; Harrath, Abdel Halim; Mansour, Lamjed; Nahdi, Saber; Boufahja, Fehmi; Aldahmash, Waleed; Alrefaei, Abdulwahed Fahad; Dellali, Mohamed</t>
  </si>
  <si>
    <t>Effects of an Endocrine Disruptor Triclosan on Ruditapes decussatus: Multimarker and Histological Approaches</t>
  </si>
  <si>
    <t>Ruditapes decussatus; endocrine disruptors; triclosan; biomarkers; histopathology</t>
  </si>
  <si>
    <t>MUSSEL MYTILUS-GALLOPROVINCIALIS; GLUTATHIONE S-TRANSFERASES; PERNA-VIRIDIS; CARCINUS-MAENAS; ENVIRONMENTAL CONTAMINATION; CHLORINATED HYDROCARBONS; BIOCHEMICAL RESPONSES; GUADALQUIVIR ESTUARY; POLLUTION BIOMARKERS; INTEGRATED APPROACH</t>
  </si>
  <si>
    <t>Simple Summary The multiple effects of endocrine disruptors on aquatic invertebrates have rarely been assessed based on integrative approaches, despite the clear advantage of exploring histology in association with traditional acute toxicology tools. Applying such approaches is critical in significantly reducing health risks for human populations that regularly consume seafood such as bivalves. The data presented here support the use of the European clam Ruditapes decussatus as a biological indicator of the presence of triclosan in seawater, and demonstrate the usefulness of biomarker assessment and histological features in determining environmental thresholds and government guidelines. The aim of this work was to study the ecotoxicological effects of an endocrine disruptor triclosan on the clam Ruditapes decussatus. The bivalves were exposed to three concentrations of this biocide (C1 = 100 ng/L, C2 = 200 ng/L and C3 = 500 ng/L) for three and seven days. The impact was assessed at the gills and digestive glands, through activities of an antioxidant defense biomarker (Gluthatione S-Transferase, GST), a damage biomarker (Malondialdehyde, MDA), and a neurotoxicity biomarker (Acetylcholinesterase, AChE). Furthermore, histological traits were approached in different organs to evaluate any possible alteration induced by triclosan. It appears from this study that both gills and digestive glands responded discernibly to triclosan and effects were concentration-dependent. The stressed clams showed a significant increase in their GST and MDA activities in gills and digestive glands compared to controls for both time slots considered. In turn, the AChE activity was clearly inhibited in both organs in a time dependent way. The histological study made it possible to observe several structural pathologies caused by triclosan in the gills and the digestive gland. These alterations consisted mainly of inflammatory reactions, malformations of the lamellae and fusion of the gill filaments, degeneration of the connective tissue, and the erosion of the gill cilia with the appearance of certain severe alterations (cell necrosis and apoptosis), which can thus cause a malfunction of the gills and eventually lead to a reduction in oxygen consumption and a disruption of the osmoregulation for bivalves. Alterations in the digestive gland have also been detected, mainly by epithelial alterations, thinning of the tubules, and alteration of the basal cell membrane which can impair the ability of clams to absorb food. At germinal cells, several damages were observed in the oocytes which probably disturbed the reproductive function and the fertility of the clams. The damages observed in female gonads were caused by the cytolysis of a large number of oocytes through autophagy and necrosis at 200 ng triclosan/L. Moreover, at 500 ng triclosan/L, hemocytic infiltration was observed in acini and apoptotic bodies reflected in the fragmentation of more than 90% of oocytes.</t>
  </si>
  <si>
    <t>[Added, Amira; Khalloufi, Noureddine; Khazri, Abdelhafidh; Dellali, Mohamed] Univ Carthage, Fac Sci Bizerte, Coastal Ecol &amp; Ecotoxicol Unit, LR01ES14 Lab Environm Biomonitoring, Zarzouna 7021, Tunisia; [Harrath, Abdel Halim; Mansour, Lamjed; Nahdi, Saber; Aldahmash, Waleed; Alrefaei, Abdulwahed Fahad] King Saud Univ, Coll Sci, Zool Dept, POB 2455, Riyadh 11451, Saudi Arabia; [Boufahja, Fehmi] Imam Mohammad Ibn Saud Islamic Univ IMSIU, Coll Sci, Biol Dept, Riyadh 11623, Saudi Arabia</t>
  </si>
  <si>
    <t>Universite de Carthage; King Saud University; Imam Mohammad Ibn Saud Islamic University (IMSIU)</t>
  </si>
  <si>
    <t>Harrath, AH (corresponding author), King Saud Univ, Coll Sci, Zool Dept, POB 2455, Riyadh 11451, Saudi Arabia.</t>
  </si>
  <si>
    <t>Alrefaei, Abdulwahed/AAX-7443-2021; DELLALI, Mohamed/JVZ-2120-2024; Aldahmash, Waleed/AAY-4555-2021; MANSOUR, Lamjed/U-3028-2017; Harrath, Abdel Halim/K-2166-2014</t>
  </si>
  <si>
    <t>Alrefaei, Abdulwahed/0000-0002-3761-6656; MANSOUR, Lamjed/0000-0002-9415-9383; Harrath, Abdel Halim/0000-0002-2170-1303; Aldahmash, Waleed/0000-0002-8423-3586; Mohamed, DELLALI/0000-0002-4979-3369</t>
  </si>
  <si>
    <t>Deputyship for Research and Innovation, Ministry of Education in Saudi Arabia [IFKSURG-2-675]</t>
  </si>
  <si>
    <t>Deputyship for Research and Innovation, Ministry of Education in Saudi Arabia</t>
  </si>
  <si>
    <t>The authors extend their appreciation to the Deputyship for Research and Innovation, Ministry of Education in Saudi Arabia for funding this research work through the project no. (IFKSURG-2-675).</t>
  </si>
  <si>
    <t>10.3390/ani13030402</t>
  </si>
  <si>
    <t>8T3NG</t>
  </si>
  <si>
    <t>WOS:000929172600001</t>
  </si>
  <si>
    <t>Bodo-Nilles, A; Quentel, C; Mazurais, D; Zambonino-Infante, JL; Auffret, M; Thomas-Guyon, H; Le Floche, S</t>
  </si>
  <si>
    <t>Bodo-Nilles, Anne; Quentel, Claire; Mazurais, David; Zambonino-Infante, Jose Luis; Auffret, Michel; Thomas-Guyon, Helene; Le Floche, Stephane</t>
  </si>
  <si>
    <t>In vivo effects of the soluble fraction of light cycle oil on immune functions in the European sea bass, Dicentrarchus labrax (Linne)</t>
  </si>
  <si>
    <t>Dicentrarchus labrax; Leucocytes; Light cycle oil; Immune parameters; Bioaccumulation; Gene expression</t>
  </si>
  <si>
    <t>POLYCYCLIC AROMATIC-HYDROCARBONS; FIXED-WAVELENGTH FLUORESCENCE; EEL ANGUILLA-ANGUILLA; CRASSOSTREA-GIGAS; PACIFIC OYSTER; FLOW-CYTOMETRY; FISH; BIOACCUMULATION; L.; NAPHTHALENE</t>
  </si>
  <si>
    <t>Hydrocarbons are major contaminants that may affect biota at various trophic levels in estuaries and coastal ecosystems. The effects of accidental pollution by light cycle oil (LCO), a refined product of heavy fuel oil, on bioaccumulation, depuration processes and immune-related parameters in the European sea bass, Dicentrarchus labrax, were investigated in the laboratory after 7 days of exposure and a 2-week recovery period. Exposure of fish to the soluble fraction of LCO (1600 ng L(-1)) for 7 days led to the bioaccumulation of some polycyclic aromatic hydrocarbons (PAHs) in muscles: naphthalene, acenaphthene, fluorene, phenanthrene and anthracene. After 7 days of recovery period, half-elimination of naphthalene was reported in fish muscles due to facilitated diffusive loss by the epithelium and a faster elimination rate proven by the presence of a high level of naphthalene biliary metabolites. The other bioaccumulated molecules displayed a slower deputation rate due to their elimination by the formation of hydrophobic metabolites excreted through bile or urine. Three days after the beginning of the recovery period, each contaminated fish showed severe external lesions (tissue necrosis, suppurative exudates, haemorrhagic area). The hypothesis of a possible link with inflammatory phenomenon was supported by (i) an inversion of the leucocyte sub-population percentage, (ii) a significant up-expression in the spleen of the tumour necrosis factor alpha gene, (iii) a significant increase in ACH(50). Moreover, the lack of C3 gene regulation in the spleen suggested a non-renewal of this component. The reduction of phagocytic activity and lysozyme concentration reflected immune suppression. Finally, LCO toxicity in this fish was clearly demonstrated to be related to inflammatory reaction and immune depletion. (C) 2011 Elsevier Inc. All rights reserved.</t>
  </si>
  <si>
    <t>[Bodo-Nilles, Anne; Quentel, Claire] Agence Natl Securite Sanit Aliments Environm &amp; Tr, Anses Lab Ploufragan Plouzane, F-29280 Plouzane, France; [Mazurais, David; Zambonino-Infante, Jose Luis] IFREMER, Lab Adaptat Reprod &amp; Nutr Poissons Marins, F-29280 Plouzane, France; [Auffret, Michel] Inst Univ Europeen de la Mer, CNRS, LEMAR UMR 6539, F-29280 Plouzane, France; [Thomas-Guyon, Helene] Univ La Rochelle, CNRS, LIENSs Littoral Environm &amp; Soc, UMR 6250, F-17000 La Rochelle, France; [Le Floche, Stephane] Cedre, Ctr Documentat Rech &amp; Expt Pollut Accid Eaux, F-29218 Brest 02, France</t>
  </si>
  <si>
    <t>Ifremer; Centre National de la Recherche Scientifique (CNRS); Ifremer; Institut de Recherche pour le Developpement (IRD); CNRS - Institute of Ecology &amp; Environment (INEE); Universite de Bretagne Occidentale; Institut Universitaire Europeen de la Mer (IUEM); La Rochelle Universite; Centre National de la Recherche Scientifique (CNRS)</t>
  </si>
  <si>
    <t>Bodo-Nilles, A (corresponding author), Agence Natl Securite Sanit Aliments Environm &amp; Tr, Anses Lab Ploufragan Plouzane, Technopole Brest Iroise, F-29280 Plouzane, France.</t>
  </si>
  <si>
    <t>anne.bado-nilles@ineris.fr</t>
  </si>
  <si>
    <t>LE FLOCH, Stephane/E-7863-2016; THOMAS, Helene/JZW-5193-2024; , Mazurais/AAF-9981-2019; BADO-NILLES, Anne/Q-8563-2018; ZAMBONINO-INFANTE, Jose Luis/F-9828-2010</t>
  </si>
  <si>
    <t>Mazurais, David/0000-0002-5686-2510; BADO-NILLES, Anne/0000-0002-4776-9592; THOMAS, Helene/0000-0002-7932-6841; ZAMBONINO-INFANTE, Jose Luis/0000-0001-8436-4773; Le Floch, Stephane/0000-0002-5794-7284</t>
  </si>
  <si>
    <t>European programme Emergency Response to Coastal Oil, Chemical and Inert Pollution from Shipping (EROCIPS INTERREG IIIB); Total</t>
  </si>
  <si>
    <t>European programme Emergency Response to Coastal Oil, Chemical and Inert Pollution from Shipping (EROCIPS INTERREG IIIB); Total(Total SA)</t>
  </si>
  <si>
    <t>M. Girin is acknowledged for allowing the work at Cedre in Brest (Brittany, France). This research was supported by the European programme Emergency Response to Coastal Oil, Chemical and Inert Pollution from Shipping (EROCIPS INTERREG IIIB) and Total. Thanks to Sally Ferguson for her reading of this document.</t>
  </si>
  <si>
    <t>10.1016/j.ecoenv.2011.06.021</t>
  </si>
  <si>
    <t>WOS:000295438000013</t>
  </si>
  <si>
    <t>Said, RM; Nassar, SE; Mohamed, AA</t>
  </si>
  <si>
    <t>Said, Radwa Mohamed; Nassar, Safaa Ezzat; Mohamed, Aya Ali</t>
  </si>
  <si>
    <t>Assessment of microplastic and trace element pollution in the southeastern Mediterranean coasts, Egypt, using shellfish Arca noae as a bioindicator</t>
  </si>
  <si>
    <t>Arca noae; Mediterranean coasts; Biomonitoring; Microplastics; Trace elements</t>
  </si>
  <si>
    <t>HEAVY-METALS; AQUATIC ENVIRONMENTS; RISK-ASSESSMENT; SOUTH CHINA; MUSSEL; CONTAMINATION; SEDIMENTS; BIVALVES; LAGOON; AREAS</t>
  </si>
  <si>
    <t>The ubiquitous presence of microplastics (MPs) and trace elements in the marine environment is regarded as a global threat to marine organisms. The current study aims to assess MP levels and trace element (Cu, Zn, Cd, Pb, Se, and Fe) accumulation in the shellfish Arca noae collected from five locations along the southeastern Mediterranean coasts, Alexandria, Egypt. The frequency of the occurrence of ingested MPs in A. noae soft tissues was 48%, whereas the abundance of MPs was 1.65 +/- 0.28 MP/individual and 0.58 +/- 0.04 items g(1) of the wet weight of tissue. Polyethylene was the most abundant polymer in A. noae, followed by polypropylene and polystyrene. The concentration levels of Zn, Cd, and Pb detected in the soft tissues of A. noae are higher than the maximum permissible limits. This study provides baseline data for further environmental assessments, with the use of A. noae as an early warning indicator in biomonitoring programs.</t>
  </si>
  <si>
    <t>[Said, Radwa Mohamed; Nassar, Safaa Ezzat; Mohamed, Aya Ali] Zagazig Univ, Fac Sci, Zool Dept, Zagazig, Egypt</t>
  </si>
  <si>
    <t>Nassar, SE (corresponding author), Zagazig Univ, Fac Sci, Zool Dept, Zagazig, Egypt.</t>
  </si>
  <si>
    <t>safaaezat@zu.edu.eg</t>
  </si>
  <si>
    <t>Ali, Aya/0009-0006-2067-029X</t>
  </si>
  <si>
    <t>10.1016/j.marpolbul.2022.113493</t>
  </si>
  <si>
    <t>2P7TC</t>
  </si>
  <si>
    <t>WOS:000819937400007</t>
  </si>
  <si>
    <t>Abidli, S; Pinheiro, M; Lahbib, Y; Neuparth, T; Santos, MM; El Menif, NT</t>
  </si>
  <si>
    <t>Abidli, Sami; Pinheiro, Marlene; Lahbib, Youssef; Neuparth, Teresa; Santos, Miguel M.; Trigui El Menif, Najoua</t>
  </si>
  <si>
    <t>Effects of environmentally relevant levels of polyethylene microplastic on Mytilus galloprovincialis (Mollusca: Bivalvia): filtration rate and oxidative stress</t>
  </si>
  <si>
    <t>Microplastics; Polyethylene; Mytilus galloprovincialis; Filtration rate; Biomarkers</t>
  </si>
  <si>
    <t>POLYSTYRENE MICROPLASTICS; DEFENSE SYSTEM; PLASTIC DEBRIS; HEAVY-METALS; MARINE; BIOMARKERS; POLLUTION; MUSSELS; EXPOSURE; TOXICITY</t>
  </si>
  <si>
    <t>The objective of the present study was to evaluate the potential toxic effects of polyethylene microplastics (PE-MPs) (40-48 mu m) on the Mediterranean mussel Mytilus galloprovincialis in controlled laboratory conditions. The exposure was carried out for 14 days with three environmentally relevant PE-MPs concentrations of 1, 10, and 100 and a high concentration of 1000 mu g/L. Effects of PE-MPs were assessed by evaluating the filtration rate (FR) after 7 and 14 days of exposure and by analyzing biochemical biomarkers of oxidative stress (catalase - CAT, glutathione S-transferase - GST, and the levels of lipid peroxidation - LPO) in the M. galloprovincialis digestive gland after 14 days of exposure. Results showed that M. galloprovincialis does not accumulate PE-MPs of 40-48 mu m size in its whole tissues. The filtration rate was significantly reduced with the increase of PE-MPs concentrations. The biochemical biomarkers indicated that PE-MPs induced oxidative damage (LPO) at low concentrations (1 and 10 mu g/L) with a significant reduction in females of 1000 mu g/L treated group and inactivate antioxidative system (CAT and GST) in the digestive gland of both sexes at high concentrations (100 and 1000 mu g/L). This study demonstrates that PE-MPs have biological effects on M. galloprovincialis at environmentally relevant concentrations thus brings new insights on the potential impacts of PE-MPs in marine bivalves.</t>
  </si>
  <si>
    <t>[Abidli, Sami; Lahbib, Youssef; Trigui El Menif, Najoua] Univ Carthage, Lab Environm Biomonitoring, Fac Sci Bizerte, Zarzouna 7021, Bizerte, Tunisia; [Pinheiro, Marlene; Neuparth, Teresa; Santos, Miguel M.] CIIMAR Interdisciplinary Ctr Marine &amp; Environm Re, Ave Gen Norton de Matos S-N, P-4450208 Matosinhos, Portugal; [Santos, Miguel M.] Univ Porto, FCUP Fac Sci, Rua Campo Alegre S-N, P-4169007 Porto, Portugal</t>
  </si>
  <si>
    <t>Universite de Carthage; Universidade do Porto; Universidade do Porto</t>
  </si>
  <si>
    <t>Abidli, S (corresponding author), Univ Carthage, Lab Environm Biomonitoring, Fac Sci Bizerte, Zarzouna 7021, Bizerte, Tunisia.</t>
  </si>
  <si>
    <t>Lahbib, Youssef/AAT-8410-2021; Neuparth, Maria/I-1207-2013; Santos, Miguel/AAD-9267-2021</t>
  </si>
  <si>
    <t>Lahbib, Youssef/0000-0002-1748-4158; Santos, Miguel/0000-0001-7347-0546; Neuparth, Teresa/0000-0003-3314-0184; Pinheiro, Marlene/0000-0001-6534-1365</t>
  </si>
  <si>
    <t>Faculty of Sciences of Bizerte, University of Carthage; Ministry of High Education and Scientific Research in Tunisia; Interdisciplinary Centre of Marine and Environmental Research (CIIMAR) in Portugal; Foundation for Science and Technology (FCT) in Portugal; Department of International Relations (DRI) in Portugal</t>
  </si>
  <si>
    <t>Faculty of Sciences of Bizerte, University of Carthage; Ministry of High Education and Scientific Research in Tunisia; Interdisciplinary Centre of Marine and Environmental Research (CIIMAR) in Portugal; Foundation for Science and Technology (FCT) in Portugal(Fundacao para a Ciencia e a Tecnologia (FCT)); Department of International Relations (DRI) in Portugal</t>
  </si>
  <si>
    <t>This research was funded by the Faculty of Sciences of Bizerte, University of Carthage, the Ministry of High Education and Scientific Research in Tunisia and the Interdisciplinary Centre of Marine and Environmental Research (CIIMAR), Foundation for Science and Technology (FCT), Department of International Relations (DRI) in Portugal</t>
  </si>
  <si>
    <t>10.1007/s11356-021-12506-8</t>
  </si>
  <si>
    <t>SJ7VL</t>
  </si>
  <si>
    <t>WOS:000611929900011</t>
  </si>
  <si>
    <t>Lei, K; Qiao, F; Liu, Q; Wei, ZL; An, LH; Qi, HL; Cui, S; LeBlanc, GA</t>
  </si>
  <si>
    <t>Lei, Kun; Qiao, Fei; Liu, Qing; Wei, Zhanliang; An, Lihui; Qi, Hongli; Cui, Song; LeBlanc, Gerald A.</t>
  </si>
  <si>
    <t>Preliminary evidence for snail deformation from a Eutrophic lake</t>
  </si>
  <si>
    <t>Eutrophication; Snail; Deformity; Transcriptomic; Mechanism</t>
  </si>
  <si>
    <t>RETINOID-X-RECEPTOR; ENDOCRINE DISRUPTION; TAIHU LAKE; RNA; MODEL; INHIBITION; EXPRESSION; DYNAMICS; EXPOSURE; OYSTER</t>
  </si>
  <si>
    <t>The incidence of deformities in snails Bellamya aeruginosa was investigated in a typical eutrophicated lake - Taihu Lake. A total of 15 105 specimens were collected, and 0.18-0.93% of the snails exhibited abnormal tentacle bifurcations. Abnormally developed snails were all female and were found in regions with relatively high Chlorophyll a levels (12.40 +/- 7.23 mu g/L). As tentacles are sexually dimorphic in B. aeruginosa, we postulated that factors associated with eutrophication might be responsible for the partial masculinization of tentacles in females. Differential gene expression analyses revealed that a number of unigenes were significantly up regulated or down-regulated in snails sampled from three locations having high Chlorophyll a levels compared with snails sampled from the region with lower Chlorophyll a level (2.95 mu g/L). Thus, transcriptomic profiling revealed potential molecular signal of eutrophication that can lead to developmental abnormalities in this species.</t>
  </si>
  <si>
    <t>[Lei, Kun; Qiao, Fei; Liu, Qing; Wei, Zhanliang; An, Lihui] Chinese Res Inst Environm Sci, State Environm Protect Key Lab Estuarine &amp; Coasta, Beijing 100012, Peoples R China; [Qi, Hongli] Tianjin Agr Univ, Coll Fisheries, Tianjin Key Lab Aqua Ecol &amp; Aquaculture, Tianjin 300384, Peoples R China; [Cui, Song] Northeast Agr Univ, Sch Water Conservancy &amp; Civil Engn, Harbin 150030, Heilongjiang, Peoples R China; [LeBlanc, Gerald A.] North Carolina State Univ, Dept Biol Sci, Raleigh, NC 27606 USA</t>
  </si>
  <si>
    <t>Chinese Research Academy of Environmental Sciences; Tianjin Agricultural University; Northeast Agricultural University - China; North Carolina State University</t>
  </si>
  <si>
    <t>An, LH (corresponding author), 8 Da Yang Fang,An Wai Bei Yuan Rd, Beijing 100012, Peoples R China.</t>
  </si>
  <si>
    <t>anlhui@163.com</t>
  </si>
  <si>
    <t>An, Lihui/AGD-8625-2022; CUI, SONG/P-5328-2018</t>
  </si>
  <si>
    <t>CUI, SONG/0000-0002-2567-8999</t>
  </si>
  <si>
    <t>National Natural Science Foundation of China [21577137, 41330637]; Beijing Natural Science Foundation [8162041]; Water Pollution Control and Management [2012ZX07506-008]; National Key Research and Development Plan [2016YFC1402206]; Science and Technology Planning Project of Tianjin [15JCYBJC23900]</t>
  </si>
  <si>
    <t>National Natural Science Foundation of China(National Natural Science Foundation of China (NSFC)); Beijing Natural Science Foundation(Beijing Natural Science Foundation); Water Pollution Control and Management; National Key Research and Development Plan(National Key Research &amp; Development Program of China); Science and Technology Planning Project of Tianjin</t>
  </si>
  <si>
    <t>This work was supported by National Natural Science Foundation of China (21577137 &amp; 41330637), Beijing Natural Science Foundation (8162041), Water Pollution Control and Management (2012ZX07506-008), National Key Research and Development Plan (2016YFC1402206), and Science and Technology Planning Project of Tianjin (15JCYBJC23900) are gratefully acknowledged.</t>
  </si>
  <si>
    <t>10.1016/j.etap.2017.06.019</t>
  </si>
  <si>
    <t>FC0ZC</t>
  </si>
  <si>
    <t>WOS:000406566200028</t>
  </si>
  <si>
    <t>Hidouri, S; Ensibi, C; Landoulsi, A; Daly-Yahia, MN</t>
  </si>
  <si>
    <t>Hidouri, Slah; Ensibi, Cherif; Landoulsi, Ahmed; Daly-Yahia, Mohamed Nejib</t>
  </si>
  <si>
    <t>Effects of Chronic Exposure to Silver Nanoparticles on Ruditapes decussatus Gills Using Biochemical Markers</t>
  </si>
  <si>
    <t>Silver nanoparticles; Ceratonia siliqua fruit extract; Ruditapes decussatus; Chronic exposure; Biochemical manifestations</t>
  </si>
  <si>
    <t>GLUTATHIONE-REDUCTASE; OXIDATIVE STRESS; ACETYLCHOLINESTERASE; BIOMARKERS; SEDIMENTS; TOXICITY; TUNISIA; METAL</t>
  </si>
  <si>
    <t>Nanoparticles are among the particular materials produced by industrial activities; the release of these nanoparticles in natural ecosystems interacts with living organisms. Aquatic environment is the most common estuary waste medium for industrial and all human activities, the consequences may be highly effective on sea food species. Moreover, the potential in situ reduction of metallic ions by preexistent agents leads to nanoparticles which may cause hazardous effects. Many organisms become at risk especially those that use gills during respiration process such as bivalves. The study undertaken investigates the potential effect of silver nanoparticles obtained by green synthesis method on the gills of Ruditapes decussatus as a model. Nanoparticles have been synthesized using Ceratonia siliqua fruit extract as a reducing agent. The organisms have been chronically exposed to silver nanoparticles and the effects were biochemically evaluated. The tests performed show a typical behavior of catalase, glutathione reductase, and glutathione S-transferase activities that give information about the oxidative stress-induced malondialdehyde quantification, which reveals a possible membranous deterioration of the gills. Acetylcholinesterase expression has been qualified to be at a safe rate which implies the capacity of the animal to protect the cholinergic system.</t>
  </si>
  <si>
    <t>[Hidouri, Slah; Landoulsi, Ahmed] Carthage Univ, Fac Sci Bizerte, Lab Biochem &amp; Mol Biol, Bizerte, Tunisia; [Ensibi, Cherif; Daly-Yahia, Mohamed Nejib] Carthage Univ, Fac Sci Bizerte, Res Grp Biodivers &amp; Functioning Aquat Syst, Marine Biol, Bizerte, Tunisia; [Hidouri, Slah] Carthage Univ, Fac Sci Bizerte, Dept Res, Bizerte 7000, Tunisia</t>
  </si>
  <si>
    <t>Universite de Carthage; Universite de Carthage; Universite de Carthage</t>
  </si>
  <si>
    <t>Hidouri, S (corresponding author), Carthage Univ, Fac Sci Bizerte, Dept Res, Bizerte 7000, Tunisia.</t>
  </si>
  <si>
    <t>hidourislah@yahoo.co.in</t>
  </si>
  <si>
    <t>Mohamed Nejib, DALY YAHIA/0000-0002-1049-2171; Landoulsi, Ahmed/0000-0002-5101-7641</t>
  </si>
  <si>
    <t>10.1007/s11270-017-3265-0</t>
  </si>
  <si>
    <t>EL0ZX</t>
  </si>
  <si>
    <t>WOS:000394351400027</t>
  </si>
  <si>
    <t>Romeo, T; D'Alessandro, M; Esposito, V; Scotti, G; Berto, D; Formalewicz, M; Noventa, S; Giuliani, S; Macchia, S; Sartori, D; Mazzola, A; Andaloro, F; Giacobbe, S; Deidun, A; Renzi, M</t>
  </si>
  <si>
    <t>Romeo, Teresa; D'Alessandro, Michela; Esposito, Valentina; Scotti, Gianfranco; Berto, Daniela; Formalewicz, Malgorzata; Noventa, Seta; Giuliani, Silvia; Macchia, Simona; Sartori, Davide; Mazzola, Angelo; Andaloro, Franco; Giacobbe, Salvatore; Deidun, Alan; Renzi, Monia</t>
  </si>
  <si>
    <t>Environmental quality assessment of Grand Harbour (Valletta, Maltese Islands): a case study of a busy harbour in the Central Mediterranean Sea</t>
  </si>
  <si>
    <t>Microplastics; Non-indigenous species; Anthropogenic impact; Multivariate statistics; Central Mediterranean Sea; Harbour sediment</t>
  </si>
  <si>
    <t>POLYCYCLIC AROMATIC-HYDROCARBONS; ORGANIC POLLUTANTS PAHS; COASTAL SEDIMENTS; HEAVY-METALS; POLYCHLORINATED-BIPHENYLS; ORGANOTIN COMPOUNDS; SURFACE SEDIMENTS; TRACE-ELEMENTS; AEOLIAN ARCHIPELAGO; MARINE-ENVIRONMENT</t>
  </si>
  <si>
    <t>Contamination levels by plastic debris, trace elements and persistent organic pollutants were assessed and related to macrobenthic diversity within soft bottoms of Grand Harbour (Malta, Central Mediterranean). Sediment toxicity was evaluated by ecotoxicological method, deploying Bacteria (Vibrio fischeri), Echinodermata (Paracentrotus lividus) and Crustacea (Corophium orientale). Univariate analysis (Pearson's test) was used to test relationships between biodiversity indices, pollutants and grain size. A multivariate approach (PERMANOVA) was applied to investigate for any significant differences among sampling stations concerning plastic abundances and to test the relationship between infaunal abundances and pollutant concentrations (the BIOENV test). Significant differences in the plastic abundances were found between sampling stations. The lowest value for Shannon-Wiener biodiversity index was associated to the highest sediment pollution level. Multivariate analyses suggest that MBT and TBT were factors that most influenced macrozoobenthic abundance and biodiversity. The bivalve Corbula gibba and the introduced polychaete Monticellina dorsobranchialis were the most abundant found species</t>
  </si>
  <si>
    <t>[Romeo, Teresa; D'Alessandro, Michela; Esposito, Valentina; Scotti, Gianfranco; Andaloro, Franco] STS Palermo, ISPRA, Inst Environm Protect &amp; Res, Lab Ichthyol &amp; Marine Ecol, Messina, Italy; [Berto, Daniela; Formalewicz, Malgorzata; Noventa, Seta] ISPRA, Inst Environm Protect &amp; Res, Chioggia, Italy; [Giuliani, Silvia; Macchia, Simona; Sartori, Davide] ISPRA, Inst Environm Protect &amp; Res, Livorno, Italy; [Mazzola, Angelo] UO Siracusa, ARPA, Reg Agcy Environm Protect, Siracusa, Italy; [Giacobbe, Salvatore] Univ Messina, Dept Biol &amp; Environm Sci, Messina, Italy; [Deidun, Alan] Univ Malta, Phys Oceanog Unit, Msida, Malta; [Renzi, Monia] Biosci Res Ctr, Orbetello, Grosseto, Italy</t>
  </si>
  <si>
    <t>Italian Institute for Environmental Protection &amp; Research (ISPRA); Italian Institute for Environmental Protection &amp; Research (ISPRA); Italian Institute for Environmental Protection &amp; Research (ISPRA); Regional Environmental Protection Agency - Italy; University of Messina; University of Malta</t>
  </si>
  <si>
    <t>Romeo, T (corresponding author), STS Palermo, ISPRA, Inst Environm Protect &amp; Res, Lab Ichthyol &amp; Marine Ecol, Messina, Italy.</t>
  </si>
  <si>
    <t>teresa.romeo@isprambiente.it</t>
  </si>
  <si>
    <t>Berto, Daniela/ABD-5622-2021; Renzi, Monia/AAM-8333-2020; Romeo, Teresa/AAA-1711-2020; Esposito, Valentina/AAE-3561-2019; Sartori, Davide/ABB-5581-2020; D'Alessandro, Michela/AAE-8389-2019; /R-3573-2018</t>
  </si>
  <si>
    <t>Sartori, Davide/0000-0002-5180-8857; Renzi, Monia/0000-0003-2452-1698; /0000-0001-7638-7027; Deidun, Alan/0000-0002-6919-5374; Esposito, Valentina/0000-0001-7595-8369</t>
  </si>
  <si>
    <t>ARPA Institute of Siracusa; European Biodivalue Project (PO-Italy Malta)</t>
  </si>
  <si>
    <t>The authors are grateful to G. Valastro, senior manager of ARPA Institute of Siracusa and project manager of the European Biodivalue Project (PO-Italy Malta 2007-2013) that co-financed this research. We are also grateful to Pietro Vivona for the collaboration in the database of the project.</t>
  </si>
  <si>
    <t>10.1007/s10661-015-4950-3</t>
  </si>
  <si>
    <t>WOS:000365871600022</t>
  </si>
  <si>
    <t>Larrose, A; Coynel, A; Schäfer, J; Blanc, G; Massé, L; Maneux, E</t>
  </si>
  <si>
    <t>Larrose, Aurelie; Coynel, Alexandra; Schaefer, Joerg; Blanc, Gerard; Masse, Laurent; Maneux, Eric</t>
  </si>
  <si>
    <t>Assessing the current state of the Gironde Estuary by mapping priority contaminant distribution and risk potential in surface sediment</t>
  </si>
  <si>
    <t>SUSPENDED PARTICULATE MATTER; HEAVY-METAL POLLUTION; TRACE-METAL; RIVER ESTUARY; SEASONAL-VARIATIONS; QUALITY GUIDELINES; MARINE-SEDIMENTS; FLUVIAL SYSTEM; ORGANIC-CARBON; URANIUM DISTRIBUTION</t>
  </si>
  <si>
    <t>Based on high spatial resolution monitoring, the first spatial distribution maps for the eight trace elements identified as priority contaminants in aquatic systems (i.e. As, Cd, Cr, Cu, Hg, Ni, Pb and Zn) in surface sediments of the Gironde Estuary (SW France) are presented. This large European fluvial-estuarine system is known for important historical multi-element (mainly Cd, Zn, Cu and Pb) pollution by former mining and mineral processing activation in the Riou-Mort watershed located 350 km upstream the estuary. As a consequence, oyster production in the estuary is prohibited, and Cd concentrations in oysters from the Marennes-Oleron area are close to consumption thresholds. Surface sediment samples were analysed for grain size, particulate organic C and trace element concentrations. Determination of trace elements was carried out by ICP-MS for As, Cd, Cr, Cu, Ni, Pb, Th and Zn, and by CV-AAS for Hg. Total and potentially released trace element stocks in the surface sediment were evaluated by using concentrations in the estuary and in selected sediment core. Assuming that sediment resuspension affects mainly the uppermost sediment layer, the total trace element stocks in the studied 0-10 cm depth range may represent the equivalent of one (Cd) to eight (As. Cr) times the annual fluvial trace element inputs into the estuary. Comparing total trace element concentrations in surface sediment with: (i) data on the regional geochemical baseline to evaluate the potentially remobilised fraction and (ii) the potentially bio-available fraction aimed at establishing a first spatially resolved risk assessment of the trace element cocktail present in these sediments at the estuary scale. After correction for grain size effects by Th normalisation, potentially highly toxic metals such as Cd and Hg showed the highest enrichment factors. From ecotoxicological indices, areas were identified and quantified where trace element levels and mobility may bear a risk to benthic organisms. The GIS-based spatial distribution of ecotoxicological indices for the trace element cocktail suggests that similar to 95% of the surface sediment are 'Low-Medium-priority zones, highlighting the need for further impact studies. The produced maps of trace element distributions and associated risk potentials are likely to be a useful tool to authorities in charge of sustainable estuarine management, e.g. for the optimisation of dredging activities or development of the estuarine infrastructure. (C) 2010 Elsevier Ltd. All rights reserved.</t>
  </si>
  <si>
    <t>[Larrose, Aurelie; Coynel, Alexandra; Schaefer, Joerg; Blanc, Gerard; Masse, Laurent] Univ Bordeaux, UMR EPOC 5805, F-33405 Talence, France; [Maneux, Eric] ADERA, Ctr Condorcet, F-33608 Pessac, France</t>
  </si>
  <si>
    <t>Coynel, A (corresponding author), Univ Bordeaux, UMR EPOC 5805, Ave Fac, F-33405 Talence, France.</t>
  </si>
  <si>
    <t>a.coynel@epoc.u-bordeaux1.fr</t>
  </si>
  <si>
    <t>Coynel, Alexandra/0000-0003-4725-4190; Schafer, Jorg/0000-0003-2631-908X; Blanc, Gerard/0009-0005-9814-0427</t>
  </si>
  <si>
    <t>Region Aquitaine; le Ministere de la Recherche; INSU (VoTrTram); French National Research Agency [ANR-07-VULN-03]; l'Agence de l'Eau Adour-Garonne</t>
  </si>
  <si>
    <t>Region Aquitaine(Region Nouvelle-Aquitaine); le Ministere de la Recherche(Ministry of Research, France); INSU (VoTrTram); French National Research Agency(Agence Nationale de la Recherche (ANR)); l'Agence de l'Eau Adour-Garonne(Agence Nationale de la Recherche (ANR))</t>
  </si>
  <si>
    <t>The authors thank the following colleagues for various aspects of the laboratory work: C. Bossy, G. Lavaux, J.P. Lissalde, B. Papion, H. Derriennic, B. Meunier, F. Scholz, L. Dutruch, J. Tronczynski and S. Schmidt. The grain size analyses were performed by G. Chabaud (team 'Sedimentologie' UMR CNRS 5805 EPOC). The authors gratefully acknowledge A. Demetriades, M. Gasparon and C. Reimann for their helpful comments during the review process. This work was supported by the 'Region Aquitaine', 'l'Agence de l'Eau Adour-Garonne' and 'le Ministere de la Recherche'. We also greatly acknowledge support by the INSU (VoTrTram) and the French National Research Agency (ANR-07-VULN-03). We thank the crew of the RV 'Cotes de la Manche' (INSU) and the CIRMAT (INSU).</t>
  </si>
  <si>
    <t>10.1016/j.apgeochem.2010.10.007</t>
  </si>
  <si>
    <t>703DJ</t>
  </si>
  <si>
    <t>WOS:000285954000011</t>
  </si>
  <si>
    <t>Somerfield, PJ; Atkins, M; Bolam, SG; Clarke, KR; Garnacho, E; Rees, HL; Smith, R; Warwick, RM</t>
  </si>
  <si>
    <t>Relative impacts at sites of dredged-material relocation in the coastal environment: a phylum-level meta-analysis approach</t>
  </si>
  <si>
    <t>MACROBENTHIC COMMUNITY STRUCTURE; MATERIAL DISPOSAL; TAXONOMIC RESOLUTION; POLLUTION; DISTURBANCE; MACROFAUNA; BENTHOS</t>
  </si>
  <si>
    <t>Phylum-level meta-analysis was applied to 192 samples from a variety of dredgings disposal and relocation sites around the coast of England and Wales. No consistent relationship was found between the disturbance status of macrobenthic communities within disposal sites and the nature or amount of dredgings disposed. Differences between samples within and outside disposal sites were generally smaller than differences between different sites and various patterns of impact were detected. It is concluded that dredgings disposal has two contrasting impacts on benthic communities. One, associated with organic enrichment, leads to communities dominated by annelids and nematodes. The other, associated with intense physical disturbance, favours large motile or armoured forms, such as bivalve molluscs and crustaceans. These effects may act antagonistically, and in a phylum-level meta-analysis may cancel each other out. None of the samples examined from offshore disposal sites was grossly disturbed, in terms of the proportional contribution to production from different phyla, and overall most samples ranged from moderately disturbed to undisturbed. The ecological impacts associated with the intertidal placement of material (beneficial use schemes) were comparable to those observed for the conventional sea disposal sites.</t>
  </si>
  <si>
    <t>Plymouth Marine Lab, Plymouth PL1 3DH, Devon, England; Ctr Environm Fisheries &amp; Aquaculture Sci, Burnham on Crouch CM0 8HA, Essex, England; Ctr Environm Fisheries &amp; Aquaculture Sci, Lowestoft NR33 OHT, Suffolk, England</t>
  </si>
  <si>
    <t>Plymouth Marine Laboratory; Centre for Environment Fisheries &amp; Aquaculture Science; Centre for Environment Fisheries &amp; Aquaculture Science</t>
  </si>
  <si>
    <t>Plymouth Marine Lab, Prospect Pl, Plymouth PL1 3DH, Devon, England.</t>
  </si>
  <si>
    <t>pjso@pml.ac.uk</t>
  </si>
  <si>
    <t>Clarke, K/A-5934-2012; Somerfield, Paul/J-9189-2014</t>
  </si>
  <si>
    <t>Atkins, Martyn James/0000-0002-0304-6616; Somerfield, Paul/0000-0002-7581-5621</t>
  </si>
  <si>
    <t>10.1007/s00227-005-0168-1</t>
  </si>
  <si>
    <t>026ZS</t>
  </si>
  <si>
    <t>WOS:000236382800005</t>
  </si>
  <si>
    <t>Sultan, A; Abelson, A; Bresler, V; Fishelson, L; Mokady, O</t>
  </si>
  <si>
    <t>Biomonitoring marine environmental quality at the level of gene-expression - testing the feasibility of a new approach</t>
  </si>
  <si>
    <t>7th International Conference of the Israel-Society-for-Ecology-and-Environmental-Quality-Sciences</t>
  </si>
  <si>
    <t>JUN 13-18, 1999</t>
  </si>
  <si>
    <t>JERUSALEM, ISRAEL</t>
  </si>
  <si>
    <t>Mediterranean; coastal environment; pollution; gene expression; DD-PCR; Donax trunculus</t>
  </si>
  <si>
    <t>DIGESTIVE GLAND MICROSOMES; DIFFERENTIAL-DISPLAY; DONAX-TRUNCULUS; TRACE-METALS; SHALLOW SEDIMENTS; MESSENGER-RNA; HAIFA BAY; ISRAEL; MERCURY; IDENTIFICATION</t>
  </si>
  <si>
    <t>Differential-display PCR (DD-PCR), a comparative method for detecting alterations in the expression pattern of unknown genes, was applied to identify markers for environmental pollution of the coastal marine environment, in Donax trunculus (Mollusca: Bivalvia). Bivalves collected from a site typified by industrial pollution were compared with bivalves collected from an unpolluted site. Additionally, bivalves from the unpolluted site were exposed in the laboratory to increasing levels of pollution. Multiple responsive fragments, including qualitative and quantitative differentials, were observed in both experimental designs. Fragment-specific primers may be designed for use in diagnostic amplifications, according to the sequence of selected differential fragments. This study is a first step toward the establishment of a marine warning and monitoring system based on the most basic level of biological response.</t>
  </si>
  <si>
    <t>Tel Aviv Univ, Inst Nat Conservat Res, IL-69978 Tel Aviv, Israel; Tel Aviv Univ, Dept Zool, IL-69978 Tel Aviv, Israel</t>
  </si>
  <si>
    <t>Tel Aviv University; Tel Aviv University</t>
  </si>
  <si>
    <t>Sultan, A (corresponding author), Tel Aviv Univ, Inst Nat Conservat Res, IL-69978 Tel Aviv, Israel.</t>
  </si>
  <si>
    <t>10.2166/wst.2000.0324</t>
  </si>
  <si>
    <t>356WC</t>
  </si>
  <si>
    <t>WOS:000089465000043</t>
  </si>
  <si>
    <t>ANDERLINI, VC</t>
  </si>
  <si>
    <t>THE EFFECT OF SEWAGE ON TRACE-METAL CONCENTRATIONS AND SCOPE FOR GROWTH IN MYTILUS-EDULIS-AOTEANUS AND PERNA-CANALICULUS FROM WELLINGTON HARBOR, NEW-ZEALAND</t>
  </si>
  <si>
    <t>MUSSELS; SEWAGE; TRACE METALS; SCOPE FOR GROWTH (SFG) MEASUREMENTS</t>
  </si>
  <si>
    <t>MUSSEL; POLLUTION; CALIFORNIA; MOLLUSKS; SILVER; COPPER; BAY</t>
  </si>
  <si>
    <t>Trace metal data are reported for Mytilus edulis aoteanus and Perna canaliculus, sampled monthly for 16 months from sites at varying distances away from a major municipal sewage outfall at the entrance to Wellington Harbour, New Zealand. The data indicate that the sewage outfall is the most likely input source of Ag, Cu, Pb, and Zn in this region, and that marine communities up to 3 km east and up to 750 m northwest of the outfall are periodically exposed to the effluent. However, only mussels within 750 m of the discharge point have elevated levels of potentially toxic metals and only M. edulis aoteanus from within 100 m of the outfall had higher concentrations of Pb and Zn than are permitted in shellfish for human consumption under N.Z. regulations. Scope for growth of both species, determined during a 3-month period, showed that the effluent adversely affected the physiological condition of these species at sites within 750 m of the discharge. Data for P. canaliculus from an uncontaminated area of Wellington Harbour transplanted into the effluent at increasing distances from the outfall and analysed for trace metals and scope for growth after 1, 2 and 3 months exposure, also indicated that trace metal levels and scope for growth in these mussels were affected by proximity to the outfall.</t>
  </si>
  <si>
    <t>ANDERLINI, VC (corresponding author), VICTORIA UNIV WELLINGTON,COASTAL MARINE RES UNIT,POB 600,WELLINGTON,NEW ZEALAND.</t>
  </si>
  <si>
    <t>10.1016/0048-9697(92)90396-A</t>
  </si>
  <si>
    <t>WOS:A1992JR72300021</t>
  </si>
  <si>
    <t>El Idrissi, O; Gobert, S; Delmas, A; Demolliens, M; Aiello, A; Pasqualini, V; Ternengo, S</t>
  </si>
  <si>
    <t>El Idrissi, O.; Gobert, S.; Delmas, A.; Demolliens, M.; Aiello, A.; Pasqualini, V.; Ternengo, S.</t>
  </si>
  <si>
    <t>Effects of trace elements contaminations on the larval development of Paracentrotus lividus using an innovative experimental approach</t>
  </si>
  <si>
    <t>Bioassays; Trace elements; Chronic contamination; Larval developmental; Paracentrotus lividus</t>
  </si>
  <si>
    <t>SEAGRASS POSIDONIA-OCEANICA; SEA-URCHIN EMBRYO; COMBINED TOXICITY; HEAVY-METALS; CADMIUM; QUALITY; MALFORMATIONS; LAMARCK; STRESS; OYSTER</t>
  </si>
  <si>
    <t>Several experiments were performed using larvae of Paracentrotus lividus (Lamarck, 1816) in order to determine the consequences of different chronic contamination with mixtures of (i) fifteen trace elements from concentrations measured in the world ocean seawater, and (ii) seven trace elements from contamination resulting from mining. To predict the impact of increased marine pollution, higher concentrations were also used. These bioassays were conducted using spawners collected from Calvi (reference site, Corsica), and Albo (mining area, Corsica). The effects of trace elements have been studied on the entire larval development. The results show wider arms and delayed development as the number and concentration of trace elements increases. Therefore, the synergy between the different trace elements is of paramount importance with regard to the impact on organisms. Probably due to a hormesis phenomenon, larvae contaminated with seven trace elements at average concentrations developed more quickly. This work also highlighted the importance of the origin of spawners in ecotoxicological studies. To our knowledge, this is the first study to investigate the effects of such a broad combination of trace elements for chronic contamination on the entire larval stage of Paracentrotus lividus.</t>
  </si>
  <si>
    <t>[El Idrissi, O.; Aiello, A.; Pasqualini, V.; Ternengo, S.] Univ Corse, UMR CNRS Sci Pour Environm 6134, F-20250 Corte, France; [El Idrissi, O.; Delmas, A.; Demolliens, M.; Aiello, A.; Pasqualini, V.; Ternengo, S.] Univ Corse, UAR CNRS Stella Mare 3514, F-20620 Biguglia, France; [El Idrissi, O.; Gobert, S.] Univ Liege, Ctr MARE, Lab Oceanol, Focus, B6c, B-4000 Liege, Belgium; [Gobert, S.] Stn Rech Sous Maines &amp; Ocenograph STARESO, F-20260 Calvi, France</t>
  </si>
  <si>
    <t>El Idrissi, O (corresponding author), Univ Corse, UMR CNRS Sci Pour Environm 6134, F-20250 Corte, France.;El Idrissi, O (corresponding author), Univ Corse, UAR CNRS Stella Mare 3514, F-20620 Biguglia, France.;El Idrissi, O (corresponding author), Univ Liege, Ctr MARE, Lab Oceanol, Focus, B6c, B-4000 Liege, Belgium.</t>
  </si>
  <si>
    <t>el-idrissi_o@univ-corse.fr</t>
  </si>
  <si>
    <t>Pasqualini, Vanina/D-7255-2012</t>
  </si>
  <si>
    <t>El Idrissi, Ouafa/0000-0002-8194-9845; AIELLO, Antoine/0000-0002-5930-0302</t>
  </si>
  <si>
    <t>University of Corsica (France); Univeristy of Liege (Belgium); French Government; Collectivity of Corsica; MISTRALS (Mediterranean Integrated STudies at Regional And Local Scales)</t>
  </si>
  <si>
    <t>This work was supported by the University of Corsica (France) and the Univeristy of Liege (Belgium) . This study would not have been possible without the financial support of the French Government, the Collectivity of Corsica and the MISTRALS (Mediterranean Integrated STudies at Regional And Local Scales) research program that authors are grateful for their cooperation. This work is part of the STARECAPMED (STAtion of Reference and rEsearch on Change of local and global Anthropogenic Pressures on Mediterranean Ecosystems Drifts) project. The authors are grateful to the scuba diver team of the UMS 3514 Stella Mare for their efforts during the underwater sampling and for providing the necessary facilities. The authors wish to thank M. Paul for proof-reading the manuscript.</t>
  </si>
  <si>
    <t>10.1016/j.aquatox.2022.106152</t>
  </si>
  <si>
    <t>0U9EN</t>
  </si>
  <si>
    <t>WOS:000787949200004</t>
  </si>
  <si>
    <t>van der Meer, TV; Verdonschot, PFM; Dokter, L; Absalah, S; Kraak, MHS</t>
  </si>
  <si>
    <t>van der Meer, Tom, V; Verdonschot, Piet F. M.; Dokter, Lina; Absalah, Samira; Kraak, Michiel H. S.</t>
  </si>
  <si>
    <t>Organic matter degradation and redistribution of sediment associated contaminants by benthic invertebrate activities</t>
  </si>
  <si>
    <t>Wastewater treatment plant sludge; Chironomus riparius; Metals; PAHs; Contaminant fate; Macroinvertebrate traits</t>
  </si>
  <si>
    <t>HEAVY-METALS; ZEBRA MUSSEL; BIOTURBATION; TOXICITY; SLUDGE; BIOAVAILABILITY; ACCUMULATION; FIXATION; DYNAMICS; NUTRIENT</t>
  </si>
  <si>
    <t>The fate of sediment associated compounds is the combined result of chemical properties and biological activities. Yet, studies simultaneously addressing the effects of biota on the redistribution and bioaccumulation of contaminants are scarce. Our aim was therefore to assess the effect of benthic invertebrate activities on organic matter degradation and the redistribution of metals and Polycyclic Aromatic Hydrocarbons (PAHs) in contaminated sediment. To this end, we introduced egg ropes of the non-biting midge Chironomus riparius into waste-water treatment plant sludge and allowed these to either develop until fourth instar larvae or to fully complete their life cycle into terrestrial flying adults. Chironomid larvae enhanced sludge degradation, resulting in increased metal concentrations in the sludge and in a flux of metals into the overlying water. Moreover, they hampered PAH degradation in the sludge. Contaminant transport from aquatic to terrestrial ecosystems with emerging invertebrates as a vector is widely acknowledged, but here we showed that biomanipulation prevailed over bioaccumulation, since due to chironomid activity, the flux of metals from the sludge into the overlying water was larger than into chironomid biomass. It is therefore concluded that contaminant-macroinvertebrate interactions are bilateral relationships driven by the interplay between macroinvertebrate traits and contaminant properties.</t>
  </si>
  <si>
    <t>[van der Meer, Tom, V; Verdonschot, Piet F. M.] Wageningen UR, Wageningen Environm Res, POB 47, NL-6700 AA Wageningen, Netherlands; [van der Meer, Tom, V; Verdonschot, Piet F. M.; Dokter, Lina; Absalah, Samira; Kraak, Michiel H. S.] Univ Amsterdam, Inst Biodivers &amp; Ecosyst Dynam, POB 94240, NL-1090 GE Amsterdam, Netherlands</t>
  </si>
  <si>
    <t>Wageningen University &amp; Research; University of Amsterdam</t>
  </si>
  <si>
    <t>van der Meer, TV (corresponding author), Wageningen UR, Wageningen Environm Res, POB 47, NL-6700 AA Wageningen, Netherlands.</t>
  </si>
  <si>
    <t>tom1.vandermeer@wur.nl</t>
  </si>
  <si>
    <t>Verdonschot, Piet/0000-0002-4126-7452; van der Meer, Tom Vincent/0000-0002-2418-9093; Absalah, Samira/0000-0002-8726-2542</t>
  </si>
  <si>
    <t>Hoogheemraadschap Hollands Noorderkwartier; Waterschap Rivierenland; Hoogheemraadschap de Stichtse Rijnlanden</t>
  </si>
  <si>
    <t>This work was supported by three Dutch Water Boards: Hoogheemraadschap Hollands Noorderkwartier, Waterschap Rivierenland, and Hoogheemraadschap de Stichtse Rijnlanden.</t>
  </si>
  <si>
    <t>10.1016/j.envpol.2022.119455</t>
  </si>
  <si>
    <t>5Y7SU</t>
  </si>
  <si>
    <t>WOS:000879483600005</t>
  </si>
  <si>
    <t>Hong, S; Khim, JS; Park, J; Son, HS; Choi, SD; Choi, K; Ryu, J; Kim, CY; Chang, GS; Giesy, JP</t>
  </si>
  <si>
    <t>Hong, Seongjin; Khim, Jong Seong; Park, Jinsoon; Son, Hee-Sik; Choi, Sung-Deuk; Choi, Kyungho; Ryu, Jongseong; Kim, Chang-Yong; Chang, Gap Soo; Giesy, John P.</t>
  </si>
  <si>
    <t>Species- and tissue-specific bioaccumulation of arsenicals in various aquatic organisms from a highly industrialized area in the Pohang City, Korea</t>
  </si>
  <si>
    <t>Arsenic speciation; Arsenobetaine; Bioaccumulation; HPLC-ICP/MS; mu-XANES</t>
  </si>
  <si>
    <t>PERFORMANCE LIQUID-CHROMATOGRAPHY; MARINE SAMPLES; POLYCHLORINATED-BIPHENYLS; HEAVY-METALS; SPECIATION; WATER; SEDIMENTS; FISH; ARSENOBETAINE; VICINITY</t>
  </si>
  <si>
    <t>Contamination of water and sediment with arsenic (As) in a highly industrialized area of Pohang City, Korea was investigated, with emphasis on in situ bioaccumulation of arsenicals by various aquatic organisms. Species- and tissue-specific concentrations of arsenicals were determined by use of HPLC-ICP/MS and is-X-ray absorption near-edge structure (mu-XANES). Concentrations of arsenic in aquatic organisms were strongly associated with corresponding water concentrations, which indicates point sources associated with land use and activities. Arsenobetaine was the most dominant form of arsenic found in fishes, bivalves, crabs, and shrimps, while As-III was predominant in freshwater snails. The mu-XANES analysis provided additional information about the unidentified arsenicals such as As-thiol. Arsenicals were mainly localized in intestine of mullet and marsh clam. Distribution and bioaccumulation of arsenic were strongly correlated with salinity, which indicates that natural processes controlling biogeochemistry of arsenic would be important in estuarine lotic system. (C) 2014 Elsevier Ltd. All rights reserved.</t>
  </si>
  <si>
    <t>[Hong, Seongjin; Khim, Jong Seong; Park, Jinsoon] Seoul Natl Univ, Sch Earth &amp; Environm Sci, Seoul, South Korea; [Hong, Seongjin; Khim, Jong Seong; Park, Jinsoon] Seoul Natl Univ, Res Inst Oceanog, Seoul, South Korea; [Son, Hee-Sik; Choi, Sung-Deuk] Ulsan Natl Inst Sci &amp; Technol, Environm Anal Ctr, Ulsan, South Korea; [Choi, Sung-Deuk] Ulsan Natl Inst Sci &amp; Technol, Sch Urban &amp; Environm Engn, Ulsan, South Korea; [Choi, Kyungho] Seoul Natl Univ, Sch Publ Hlth, Seoul, South Korea; [Ryu, Jongseong] Anyang Univ, Dept Marine Biotechnol, Ganghwa, Incheon, South Korea; [Kim, Chang-Yong] Canadian Light Source, Saskatoon, SK, Canada; [Chang, Gap Soo] Univ Saskatchewan, Dept Phys &amp; Engn Phys, Saskatoon, SK, Canada; [Giesy, John P.] Univ Saskatchewan, Dept Vet Biomed Sci, Saskatoon, SK, Canada; [Giesy, John P.] Univ Saskatchewan, Toxicol Ctr, Saskatoon, SK, Canada; [Giesy, John P.] City Univ Hong Kong, Dept Biol &amp; Chem, Kowloon, Hong Kong, Peoples R China; [Giesy, John P.] City Univ Hong Kong, State Key Lab Marine Pollut, Kowloon, Hong Kong, Peoples R China; [Giesy, John P.] Nanjing Univ, Sch Environm, Nanjing 210008, Jiangsu, Peoples R China</t>
  </si>
  <si>
    <t>Seoul National University (SNU); Seoul National University (SNU); Ulsan National Institute of Science &amp; Technology (UNIST); Ulsan National Institute of Science &amp; Technology (UNIST); Seoul National University (SNU); Anyang University; University of Saskatchewan; University of Saskatchewan; University of Saskatchewan; University of Saskatchewan; City University of Hong Kong; City University of Hong Kong; Nanjing University</t>
  </si>
  <si>
    <t>Khim, JS (corresponding author), Seoul Natl Univ, Sch Earth &amp; Environm Sci, Seoul, South Korea.</t>
  </si>
  <si>
    <t>Park, Jinsoon/AAI-1904-2020; Hong, Seongjin/AAO-8503-2020; Khim, Jong Seong/AAD-3054-2020; choi, kyungho/D-5732-2012; Choi, Sung-Deuk/F-4827-2010; Kim, Chang-Yong/I-3136-2014; Hong, Seongjin/B-5933-2013</t>
  </si>
  <si>
    <t>Giesy, John/0000-0003-1931-9962; Choi, Sung-Deuk/0000-0003-1024-2620; Khim, Jong Seong/0000-0001-7977-0929; Kim, Chang-Yong/0000-0002-1280-9718; Park, Jinsoon/0000-0003-1588-4673; Hong, Seongjin/0000-0002-6305-8731</t>
  </si>
  <si>
    <t>Ministry of Oceans and Fisheries of Korea; Canada Research Chair program; Toxicology Program and Global Institute for Water Security of the University of Saskatchewan; Department of Biology and Chemistry and Research Centre for Coastal Pollution and Conservation, City University of Hong Kong; Einstein Professor Program of the Chinese Academy of Sciences</t>
  </si>
  <si>
    <t>Ministry of Oceans and Fisheries of Korea; Canada Research Chair program(Canada Research Chairs); Toxicology Program and Global Institute for Water Security of the University of Saskatchewan; Department of Biology and Chemistry and Research Centre for Coastal Pollution and Conservation, City University of Hong Kong(City University of Hong Kong); Einstein Professor Program of the Chinese Academy of Sciences</t>
  </si>
  <si>
    <t>This work was supported by the projects entitled Development of Technology for CO2 Marine Geological Storage and Oil spill Environmental Impact Assessment and Environmental Restoration (PM57431) funded by the Ministry of Oceans and Fisheries of Korea given to Prof. J.S. Khim. Prof. J.P. Giesy was supported by the Canada Research Chair program, the Toxicology Program and Global Institute for Water Security of the University of Saskatchewan, an at large Chair Professorship at the Department of Biology and Chemistry and Research Centre for Coastal Pollution and Conservation, City University of Hong Kong, and the Einstein Professor Program of the Chinese Academy of Sciences.</t>
  </si>
  <si>
    <t>10.1016/j.envpol.2014.05.004</t>
  </si>
  <si>
    <t>WOS:000339774200004</t>
  </si>
  <si>
    <t>Oaten, JFP; Hudson, MD; Jensen, AC; Williams, ID</t>
  </si>
  <si>
    <t>Oaten, J. F. P.; Hudson, M. D.; Jensen, A. C.; Williams, I. D.</t>
  </si>
  <si>
    <t>Seasonal effects to metallothionein responses to metal exposure in a naturalised population of Ruditapes philippinarum in a semi-enclosed estuarine environment</t>
  </si>
  <si>
    <t>Biomonitoring; Manila clam; Poole Harbour; Gametogenesis; Condition index; Invasive species</t>
  </si>
  <si>
    <t>MYTILUS-GALLOPROVINCIALIS; SPECTROPHOTOMETRIC METHOD; BIOMARKER RESPONSES; TAPES-PHILIPPINARUM; CERASTODERMA-EDULE; DIGESTIVE GLAND; POTENTIAL USE; DECUSSATUS; CONTAMINATION; CADMIUM</t>
  </si>
  <si>
    <t>The Manila clam(Ruditapes philippinarum), an invasive species in Northern Europe, can be used as a bioindicator of metal pollution. Seasonal effects on metallothionein (MT) production have not been considered in this species at the northernmost extent of its European distribution. This study assesses the annual seasonal effects on MT and metal concentrations in R. philippinarum from Poole Harbour, UK. R. philippinarum were collected in winter, spring, summer, and autumn throughout 2015, and MT and metal concentrations, as well as biotic and abiotic variables, were quantified. During winter, linear regression analysis showed significant positive relationships between tissue metal and MT concentrations. However, during spring and summer, these relationships were mostly insignificant. MT concentrations during spring had significant positive relationships with tissue and whole weight. Significant positive relationships were also observed between MT and condition index, during summer. During spring and summer, biotic factors seem to override the role of MT as a detoxification mechanism for metal exposure in this species. This is probably due to an increase in MT concentration in spring caused by gametogenesis, associated with increased tissue weight as the gonads expand. A depletion of energy resources, or physical stressors such as heat, may be attributed to the reduced MT production in clams of poor body condition in summer. The evidence from this study suggests that MT may only be a useful biomarker of metal pollution during winter in R. philippinarum in the UK. This verifies the natural variability of MT in this species at high latitudes, and highlights the potential and limits to a widely available bioindicator of metal pollution. (C) 2016 The Authors. Published by Elsevier B.V.</t>
  </si>
  <si>
    <t>[Oaten, J. F. P.; Hudson, M. D.; Williams, I. D.] Univ Southampton, Fac Engn &amp; Environm, Ctr Environm Sci, Univ Rd, Southampton SO17 1BJ, Hants, England; [Jensen, A. C.] Univ Southampton, Natl Oceanog Ctr, Ocean &amp; Earth Sci, Waterfront Campus,EuropeanWay, Southampton SO14 3ZH, Hants, England</t>
  </si>
  <si>
    <t>University of Southampton; University of Southampton; NERC National Oceanography Centre</t>
  </si>
  <si>
    <t>Oaten, JFP (corresponding author), Univ Southampton, Fac Engn &amp; Environm, Ctr Environm Sci, Univ Rd, Southampton SO17 1BJ, Hants, England.</t>
  </si>
  <si>
    <t>jfpo1g13@soton.ac.uk; mdh@soton.ac.uk; acj@noc.soton.ac.uk; idw@soton.ac.uk</t>
  </si>
  <si>
    <t>Oaten, Jamie/0009-0004-7227-6695</t>
  </si>
  <si>
    <t>Engineering and Physical Sciences Research Council [EP/L505067/1]; Southampton Marine and Maritime Institute (SMMI)</t>
  </si>
  <si>
    <t>Engineering and Physical Sciences Research Council(UK Research &amp; Innovation (UKRI)Engineering &amp; Physical Sciences Research Council (EPSRC)); Southampton Marine and Maritime Institute (SMMI)</t>
  </si>
  <si>
    <t>The authors would like to thank the Engineering and Physical Sciences Research Council (EP/L505067/1) and the Southampton Marine and Maritime Institute (SMMI) for jointly financing this study. Thanks are also due to Professor John Humphreys, for assistance with field sampling, and Dr Matthew Cooper for laboratory assistance and advice.</t>
  </si>
  <si>
    <t>10.1016/j.scitotenv.2016.09.202</t>
  </si>
  <si>
    <t>EF5MD</t>
  </si>
  <si>
    <t>hybrid, Green Accepted</t>
  </si>
  <si>
    <t>WOS:000390373400129</t>
  </si>
  <si>
    <t>Souza, IS; Santos, FR; Martins, DA; Morais, PCV; Gama, AF; Nascimento, RF; Cavalcante, RM; Abessa, DMS</t>
  </si>
  <si>
    <t>Souza, Ivanildo S.; Santos, Felipe R.; Martins, Davi A.; Morais, Pollyana C. V.; Gama, Allyne F.; Nascimento, Ronaldo F.; Cavalcante, Rivelino M.; Abessa, Denis M. S.</t>
  </si>
  <si>
    <t>Dealing with complex contamination scenarios: using a multi-geochemical approach to assess environmental quality and identify pollution sources in a semi-arid estuary from Brazil</t>
  </si>
  <si>
    <t>Source apportionment; Molecular markers; Synthetic chemicals; Emerging organic contaminants; Semi-arid estuary</t>
  </si>
  <si>
    <t>POLYCYCLIC AROMATIC-HYDROCARBONS; LA-PLATA ESTUARY; OYSTER CRASSOSTREA-RHIZOPHORAE; TRACE-METAL CONTAMINATION; SURFACE SEDIMENTS; SEWAGE CONTAMINATION; HEAVY-METAL; SPATIOTEMPORAL DISTRIBUTION; ORGANIC CONTAMINANTS; SOURCE APPORTIONMENT</t>
  </si>
  <si>
    <t>The Jundiai-Potengi Estuary (EJP) is located on the semi-arid coast of northeastern Brazil and is influenced by multiple sources of contamination. The sediment quality of EJP was assessed by using a multi-geochemical approach during the dry and wet seasons. Sediments were analyzed for concentrations of nutrients, metals, polycyclic aromatic hydrocarbons (PAHs), pesticides, hormones (natural and synthetic), and sterols. The results were integrated by multivariate methods. The sediment was altered by the presence of contaminants from anthropogenic and natural sources. The middle and lower estuarine areas were considered more degraded in both seasons. In these regions, metals, hormones, sterols, and PAHs were found, indicating that these regions are severely affected by industrial, sanitary and aquaculture effluents, combustion of fossil fuels, and oil spills. The upstream region was contaminated by pesticides. The contamination pattern along the EJP shows the prevalence of local sources which continuously release the chemicals into the estuary. Worse conditions occurred during the rainy season, when the runoff from urban and rural areas is more intense and carries a greater load of contaminants to the EJP.</t>
  </si>
  <si>
    <t>[Souza, Ivanildo S.] Fed Inst Educ Sci &amp; Technol Rio Grande Norte IFRN, Ave Senador Salgado Filho 1559, BR-59015000 Natal, RN, Brazil; [Souza, Ivanildo S.; Santos, Felipe R.; Martins, Davi A.; Morais, Pollyana C. V.; Gama, Allyne F.; Cavalcante, Rivelino M.; Abessa, Denis M. S.] Univ Fed Ceara, Inst Marine Sci, Ave Abolicao 3207, BR-60165081 Fortaleza, CE, Brazil; [Santos, Felipe R.; Nascimento, Ronaldo F.] Univ Fed Ceara, Dept Analyt Chem &amp; Phys Chem, R Humberto Monte S-N,Campus Pici, BR-60455760 Fortaleza, Ceara, Brazil; [Santos, Felipe R.] Univ Sao Paulo, Oceanog Inst, Praca Oceanog 191, BR-05508120 Sao Paulo, SP, Brazil; [Abessa, Denis M. S.] Sao Paulo State Univ UNESP, Praca Infante Dom Henrique S-N, BR-11330900 Sao Vicente, SP, Brazil</t>
  </si>
  <si>
    <t>Instituto Federal do Rio Grande do Norte; Universidade Federal do Ceara; Universidade Federal do Ceara; Universidade de Sao Paulo; Universidade Estadual Paulista</t>
  </si>
  <si>
    <t>Souza, IS (corresponding author), Fed Inst Educ Sci &amp; Technol Rio Grande Norte IFRN, Ave Senador Salgado Filho 1559, BR-59015000 Natal, RN, Brazil.</t>
  </si>
  <si>
    <t>ivanildo.surini@ifrn.edu.br</t>
  </si>
  <si>
    <t>de Oliveira, Ivanildo/L-4198-2018; DA SILVA SANTOS, FELIPE/AAX-9240-2020; Cavalcante, Rivelino/D-6968-2017; NASCIMENTO, RONALDO/B-4028-2013; Abessa, Denis/D-6507-2014</t>
  </si>
  <si>
    <t>NASCIMENTO, RONALDO/0000-0002-6393-6944; , Ivanildo/0000-0001-7523-6657; Abessa, Denis/0000-0003-4609-1668; Rodrigues dos Santos, Felipe/0000-0001-8756-5036</t>
  </si>
  <si>
    <t>Brazilian National Council for Scientific and Technological Development -CNPq [484171/2010-0, 480583/2012-9]; FUNCAP [150.01.00/09]; CNPq [201952/2017-3, 311609/2014-7, 308533/2018-6]</t>
  </si>
  <si>
    <t>Brazilian National Council for Scientific and Technological Development -CNPq(Conselho Nacional de Desenvolvimento Cientifico e Tecnologico (CNPQ)); FUNCAP(Fundacao Cearense de Apoio ao Desenvolvimento Cientifico e Tecnologico (FUNCAP)); CNPq(Conselho Nacional de Desenvolvimento Cientifico e Tecnologico (CNPQ))</t>
  </si>
  <si>
    <t>This investigation was funded by the Brazilian National Council for Scientific and Technological Development -CNPq (processes: #484171/2010-0 and #480583/2012-9) and FUNCAP (process: #150.01.00/09). Dr. R.M. Cavalcante (Process #201952/2017-3) and Dr. D.M.S Abessa (Processes #311609/2014-7 and #308533/2018-6) also thank CNPq for the PQ grants.</t>
  </si>
  <si>
    <t>10.1007/s10661-022-10238-x</t>
  </si>
  <si>
    <t>2S2BB</t>
  </si>
  <si>
    <t>WOS:000821602100002</t>
  </si>
  <si>
    <t>Stuijfzand, SC; Drenth, A; Helms, M; Kraak, MHS</t>
  </si>
  <si>
    <t>Bioassays using the midge Chironomus riparius and the zebra mussel Dreissena polymorpha for evaluation of river water quality</t>
  </si>
  <si>
    <t>PULP-MILL EFFLUENT; ACUTE TOXICITY; CERIODAPHNIA-DUBIA; FILTRATION-RATE; RHINE; MEUSE; POLLUTANTS; AMMONIA; GROWTH; COPPER</t>
  </si>
  <si>
    <t>To evaluate if the water quality of the river Meuse affects macrofauna species, the impact of water from this river on two representative species was tested under controlled conditions. Short-term bioassays with reference populations of the midge Chironomus riparius and the zebra mussel Dreissena polymorpha were performed simultaneously, using growth and filtration rate as sublethal parameters, respectively. Filtration rates of mussels seemed to be slightly inhibited by Meuse water in 1994 and 1995, although this was only significant in the first year. Apparently, although this species is inhabiting the river Meuse, the water quality still causes sublethal effects. In contrast to the mussel, midges were less sensitive to Meuse water in laboratory experiments; growth inhibition was never observed, while in some experiments growth was even enhanced. In the period of testing, it was not possible to relate effects on macrofauna species in laboratory tests to individual substances in polluted river systems. Because the response of the test species was marginal, it is recommended to include more sensitive species as tested in the present study, especially in view of a general improvement of the water quality in the river Meuse.</t>
  </si>
  <si>
    <t>10.1007/s002449900330</t>
  </si>
  <si>
    <t>ZE977</t>
  </si>
  <si>
    <t>WOS:000072850500007</t>
  </si>
  <si>
    <t>Freitas, R; de Marchi, L; Moreira, A; Pestana, JLT; Wrona, FJ; Figueira, E; Soares, AMVM</t>
  </si>
  <si>
    <t>Freitas, Rosa; de Marchi, Lucia; Moreira, Anthony; Pestana, Joao L. T.; Wrona, Frederick J.; Figueira, Etelvina; Soares, Amadeu M. V. M.</t>
  </si>
  <si>
    <t>Physiological and biochemical impacts induced bymercury pollution and seawater acidification in Hediste diversicolor</t>
  </si>
  <si>
    <t>Polychaetes; Oxidative stress; Metabolism; Respiration rate; Contamination; Climate change</t>
  </si>
  <si>
    <t>POLYCHAETE NEREIS-DIVERSICOLOR; LONG-TERM EXPOSURE; BIVALVES CRASSOSTREA-VIRGINICA; OXIDATIVE STRESS; OCEAN ACIDIFICATION; DIOPATRA-NEAPOLITANA; REGENERATIVE CAPACITY; CERASTODERMA-EDULE; MERCURY CONTAMINATION; SILVER NANOPARTICLES</t>
  </si>
  <si>
    <t>The present study evaluated the impacts of predicted seawater acidification and Hg pollution, when stressors were acting alone and in combination, on the polychaete Hediste diversicolor. Polychaetes were exposed during 28 days to low pH (7.5), Hg (5 mu g/L) and pH 7.5 + Hg, and physiological alterations (respiration rate), biochemical markers related to metabolic potential (glycogen and protein content, electron transport system activity) and oxidative status (activity of antioxidant and biotransformation enzymes, lipid peroxidation) were evaluated. The results obtained clearly showed that polychaetes were sensitive to low pH and Hg contamination, both acting alone or in combination. Organisms used their energy reserves under stressful conditions, which decreased by up to half of the control content, probably to fuel defence mechanisms. Our findings further demonstrated that polychaetes exposed to these stressors presented increased antioxidant defence mechanisms (3 fold compared to control). However, organisms were not able to prevent cellular damage, especially noticed at Hg exposure and pH 7.5. Overall, although all the tested conditions induced oxidative stress in Hediste diversicolor, the combined effect of seawater acidification and Hg contamination did not induce higher impacts in polychaetes than single stressor exposures. These findings may indicate that predicted climate change scenarios may not increase Hediste diversicolor sensitivity towards Hg and may not significantly change the toxicity of this contaminant to this polychaete species. (C) 2017 Elsevier B.V. All rights reserved.</t>
  </si>
  <si>
    <t>[Freitas, Rosa; de Marchi, Lucia; Moreira, Anthony; Pestana, Joao L. T.; Wrona, Frederick J.; Figueira, Etelvina; Soares, Amadeu M. V. M.] Univ Aveiro, Dept Biol, Campus Univ Santiago, P-3810193 Aveiro, Portugal; [Freitas, Rosa; de Marchi, Lucia; Moreira, Anthony; Pestana, Joao L. T.; Wrona, Frederick J.; Figueira, Etelvina; Soares, Amadeu M. V. M.] Univ Aveiro, CESAM, P-3810193 Aveiro, Portugal; [Wrona, Frederick J.] Univ Victoria, Dept Geog, David Turpin Bldg, Victoria, BC V8P 5C2, Canada</t>
  </si>
  <si>
    <t>Universidade de Aveiro; Universidade de Aveiro; University of Victoria</t>
  </si>
  <si>
    <t>De Marchi, Lucia/ABG-1246-2021; Moreira, Anthony/K-3968-2014; Pestana, Joao/A-9279-2008; Soares, Amadeu/A-8304-2008; Freitas, Rosa/A-7539-2012; Figueira, Etelvina/M-6116-2013</t>
  </si>
  <si>
    <t>Moreira, Anthony/0000-0003-0781-5424; Pestana, Joao/0000-0003-1322-2959; Soares, Amadeu/0000-0003-0879-9470; Freitas, Rosa/0000-0003-4900-3897; Figueira, Etelvina/0000-0002-6763-2665; De Marchi, Lucia/0000-0001-6899-4476</t>
  </si>
  <si>
    <t>PhD grant [SFRH/BD/101273/2014, SFRH/BD/93107/2013]; post-doc grants [SFRH/BPD/92258/2013, SFRH/BPD/103897/2014]; FSE; Programa Operacional Capital Humano (POCH) e da Uniao Europeia; Integrated Programme of SRTD [Centro-01-0145-FEDER-000018]; European Union, through the European Regional Development Fund; CESAM [UID/AMB/50017]; FCT/MEC; FEDER</t>
  </si>
  <si>
    <t>PhD grant; post-doc grants; FSE(European Social Fund (ESF)); Programa Operacional Capital Humano (POCH) e da Uniao Europeia; Integrated Programme of SRTD; European Union, through the European Regional Development Fund(European Union (EU)); CESAM; FCT/MEC(Fundacao para a Ciencia e a Tecnologia (FCT)); FEDER(European Union (EU)Spanish Government)</t>
  </si>
  <si>
    <t>Lucia de Marchi benefited from PhD grant (SFRH/BD/101273/2014), Anthony Moreira benefited from PhD grant (SFRH/BD/93107/2013) Rosa Freitas and Joao Pestana benefited from post-doc grants (SFRH/BPD/92258/2013 and SFRH/BPD/103897/2014) attributed by the National Funds through the Portuguese Science Foundation (FCT), supported by FSE and Programa Operacional Capital Humano (POCH) e da Uniao Europeia. This work was supported by the Integrated Programme of SR&amp;TD Smart Valorization of Endogenous Marine Biological Resources Under a Changing Climate (reference Centro-01-0145-FEDER-000018), co-funded by Centro 2020 program, Portugal 2020, European Union, through the European Regional Development Fund. Thanks are due to financial support from CESAM (UID/AMB/50017), from FCT/MEC through national funds, and from co-funding by FEDER, within the PT2020 Partnership Agreement and Compete 2020.</t>
  </si>
  <si>
    <t>10.1016/j.scitotenv.2017.04.005</t>
  </si>
  <si>
    <t>EV2AZ</t>
  </si>
  <si>
    <t>WOS:000401556800068</t>
  </si>
  <si>
    <t>Guidi, P; Corsolini, S; Bernardeschi, M; Rocco, L; Nigro, M; Baroni, D; Mottola, F; Scarcelli, V; Santonastaso, M; Falleni, A; Della Torre, C; Corsi, I; Pozo, K; Frenzilli, G</t>
  </si>
  <si>
    <t>Guidi, Patrizia; Corsolini, Simonetta; Bernardeschi, Margherita; Rocco, Lucia; Nigro, Marco; Baroni, Davide; Mottola, Filomena; Scarcelli, Vittoria; Santonastaso, Marianna; Falleni, Alessandra; Della Torre, Camilla; Corsi, Ilaria; Pozo, Karla; Frenzilli, Giada</t>
  </si>
  <si>
    <t>Dioxin-like compounds bioavailability and genotoxicity assessment in the Gulf of Follonica, Tuscany (Northern Tyrrhenian Sea)</t>
  </si>
  <si>
    <t>DNA damage; RAPD-PCR; Cytome-Micronucleus assay; PCDDs/DFs; TEQs; PCBs</t>
  </si>
  <si>
    <t>MUSSEL MYTILUS-GALLOPROVINCIALIS; CHROMOSOMAL DAMAGE; WASTE INCINERATOR; DNA; NANOPARTICLES; CADMIUM; POLLUTION; BIOMARKERS; RESPONSES; PCDD/FS</t>
  </si>
  <si>
    <t>The Gulf of Follonica (Italy) is impacted by the chemical pollution from ancient mining activity and present industrial processes. This study was aimed to determine the bioavailability of dioxin-like compounds (DLCs) in coastal marine environment and to assess the genotoxic potential of waste waters entering the sea from an industrial canal. Moderately high levels of DCLs compounds (ZPCDDs + PCDFs 2.18-29.00 pg/g dry wt) were detected in Mytilus galloprovincialis transplanted near the waste waters canal and their corresponding Toxic Equivalents (TEQs) calculated. In situ exposed mussels did not show any genotoxic effect (by Comet and Micronucleus assay). Otherwise, laboratory exposure to canal waters exhibited a reduced genomic template stability (by RAPD-PCR assay) but not DNA or chromosomal damage. Our data reveal the need to focus on the levels and distribution of DLCs in edible species from the study area considering their potential transfer to humans through the consumption of sea food.</t>
  </si>
  <si>
    <t>[Guidi, Patrizia; Bernardeschi, Margherita; Nigro, Marco; Scarcelli, Vittoria; Falleni, Alessandra; Frenzilli, Giada] Univ Pisa, Dept Clin &amp; Expt Med, Sect Appl Biol &amp; Genet, I-56126 Pisa, Italy; [Corsolini, Simonetta; Baroni, Davide; Della Torre, Camilla; Corsi, Ilaria; Pozo, Karla] Univ Siena, Dept Phys Earth &amp; Environm Sci, Siena, Italy; [Rocco, Lucia; Mottola, Filomena; Santonastaso, Marianna] Univ Naples 2, Dept Environm Biol &amp; Pharmaceut, Sci &amp; Technol, Caserta, Italy; [Della Torre, Camilla] Univ Milan, Dept Biosci, Milan, Italy; [Pozo, Karla] Masaryk Univ, Res Ctr Tox Cpds Environm, Brno, Czech Republic; [Pozo, Karla] Univ Catolica Santisima Concepcion, Fac Ciencias, Concepcion, Chile</t>
  </si>
  <si>
    <t>University of Pisa; University of Siena; Universita della Campania Vanvitelli; University of Milan; Masaryk University Brno; Universidad Catolica de la Santisima Concepcion</t>
  </si>
  <si>
    <t>Nigro, M (corresponding author), Univ Pisa, Dept Clin &amp; Expt Med, Sect Appl Biol &amp; Genet, I-56126 Pisa, Italy.</t>
  </si>
  <si>
    <t>marco.nigro@med.unipi.it</t>
  </si>
  <si>
    <t>Corsolini, Simonetta/B-9460-2012; Rocco, Lucia/AAZ-4615-2020; Pozo, Karla/D-3822-2012; corsi, ilaria/D-3795-2012</t>
  </si>
  <si>
    <t>Pozo, Karla/0000-0001-7747-7518; Bernardeschi, Margherita/0000-0003-2650-1834; Baroni, Davide/0000-0002-8852-927X; Santonastaso, Marianna/0000-0002-0445-4136; corsi, ilaria/0000-0002-1811-3041; ROCCO, Lucia/0000-0001-6250-4798; Mottola, Filomena/0000-0001-9228-9398</t>
  </si>
  <si>
    <t>This work was partially supported by the Italian Ministry of Research (project PRIN2009FHHP2W).</t>
  </si>
  <si>
    <t>10.1016/j.marpolbul.2017.11.062</t>
  </si>
  <si>
    <t>WOS:000425569400060</t>
  </si>
  <si>
    <t>Gomes, JF; Bednarczyk, K; Gmurek, M; Stelmachowski, M; Zaleska-Medynska, A; Bastos, FC; Quinta-Ferreira, ME; Costa, R; Quinta-Ferreira, RM; Martins, RC</t>
  </si>
  <si>
    <t>Gomes, Joao F.; Bednarczyk, Katarzyna; Gmurek, Marta; Stelmachowski, Marek; Zaleska-Medynska, Adriana; Bastos, Fatima C.; Emilia Quinta-Ferreira, M.; Costa, Raquel; Quinta-Ferreira, Rosa M.; Martins, Rui C.</t>
  </si>
  <si>
    <t>Noble metal-TiO2 supported catalysts for the catalytic ozonation of parabens mixtures</t>
  </si>
  <si>
    <t>Ozonation; Catalytic ozonation; Noble metals based catalysts; Parabens; Toxicity assessment; TiO2; Endocrine disruptor compounds</t>
  </si>
  <si>
    <t>BODY TOPICAL APPLICATION; GAS-CHROMATOGRAPHY; SURFACE-WATER; DEGRADATION; OXIDATION; OXYGEN; 4-HYDROXYBENZOATE; PHOTODEGRADATION; PHARMACEUTICALS; FORMALDEHYDE</t>
  </si>
  <si>
    <t>Parabens are endocrine disrupting compounds (EDCs) used as antimicrobial and preservatives and are reaching natural water courses with dangerous consequences. The efficiency of several catalysts in catalytic ozonation compared to single ozonation was tested for a mixture of five parabens degradation. On catalytic ozonation noble metals (Pd, Pt, Ag, Au) supported on TiO2 were used, and their activity was compared with TiO2. Single ozonation was able to totally oxidize the initial parabens mixture using a high transferred ozone dose (TOD) (around 170 mg/L). However, the COD reduction was very low (25%). The combination of ozonation with the catalysts tested improved the parabens degradation and COD removal using lower TOD values. For best catalysts, 0.5% Pt TiO2 and 0.5% Pd-TiO2, total degradation of parabens was achieved for a TOD of 70 mg/L, which represents an ozone dose decrease by a factor of almost 3 in comparison to single ozonation. Moreover, these catalytic systems led to a COD and TOC removal of 36% and 18% respectively. The toxicity of the parabens solutions before and after treatments was evaluated using four different biological preparations. The initial parabens mixture was very toxic, but after treatment with all the conditions proposed the Vibrio fischeri luminescence inhibition and Asian clam mortality decreased while the germination index of Lepidium sativum increased. The studies made in a mammalian neuronal preparation, Wistar rat brain slices, indicate that the parabens mixture treated using single or catalytic ozonation had no effect on the measured neuronal ROS signals, unlike the raw mixture. Although total COD and TOC removal was not achieved, indicating the presence of refractory compounds, the toxicity analysis indicates that the transformation products are less environmentally harmful than parabens. These results show that, even using low catalyst loads, noble metals (especially Pt and Pd) can truly enhance ozone action over pollutants. (C) 2017 Institution of Chemical Engineers. Published by Elsevier B.V. All rights reserved.</t>
  </si>
  <si>
    <t>[Gomes, Joao F.; Costa, Raquel; Quinta-Ferreira, Rosa M.; Martins, Rui C.] Univ Coimbra, CIEPQPF Chem Engn Proc &amp; Forest Prod Res Ctr, Dept Chem Engn, Fac Sci &amp; Technol, Rua Silvio Lima, P-3030790 Coimbra, Portugal; [Bednarczyk, Katarzyna; Stelmachowski, Marek] Lodz Univ Technol, Fac Proc &amp; Environm Engn, Dept Safety Engn, Wolczanska 213, PL-90924 Lodz, Poland; [Gmurek, Marta] Lodz Univ Technol, Fac Proc &amp; Environm Engn, Dept Bioproc Engn, Wolczanska 213, PL-90924 Lodz, Poland; [Zaleska-Medynska, Adriana] Univ Gdansk, Dept Environm Technol, Fac Chem, Ul Wita Stwosza 63, PL-80308 Gdansk, Poland; [Bastos, Fatima C.; Emilia Quinta-Ferreira, M.] Univ Coimbra, CNC Ctr Neurosci &amp; Cell Biol, Rua Larga, P-3004516 Coimbra, Portugal; [Bastos, Fatima C.; Emilia Quinta-Ferreira, M.] Univ Coimbra, Dept Phys, Fac Sci &amp; Technol, Rua Larga, P-3004516 Coimbra, Portugal</t>
  </si>
  <si>
    <t>Universidade de Coimbra; Lodz University of Technology; Lodz University of Technology; Fahrenheit Universities; University of Gdansk; Universidade de Coimbra; Universidade de Coimbra</t>
  </si>
  <si>
    <t>Gomes, JF (corresponding author), Univ Coimbra, CIEPQPF Chem Engn Proc &amp; Forest Prod Res Ctr, Dept Chem Engn, Fac Sci &amp; Technol, Rua Silvio Lima, P-3030790 Coimbra, Portugal.</t>
  </si>
  <si>
    <t>jgomes@eq.uc.pt</t>
  </si>
  <si>
    <t>Gomes, João/AAJ-9446-2020; Bednarczyk, Katarzyna/AAQ-5920-2021; Zaleska-Medynska, Adriana/JUV-6518-2023; Costa, Raquel/GVU-4642-2022; Stelmachowski, Marek/P-1467-2019; Martins, Rui/B-4704-2011; Quinta-Ferreira, Rosa M./L-2663-2014; Gmurek, Marta/B-3758-2013</t>
  </si>
  <si>
    <t>Bednarczyk, Katarzyna/0000-0002-7418-6042; Stelmachowski, Marek/0000-0002-4889-8804; Martins, Rui/0000-0003-1376-0829; Zaleska-Medynska, Adriana/0000-0003-3817-296X; Gomes, Joao/0000-0002-6087-1575; Quinta-Ferreira, Rosa M./0000-0002-0762-2641; Gmurek, Marta/0000-0002-8017-2317</t>
  </si>
  <si>
    <t>Fundagdo para a Ciencia a Tecnologia under IFCT programme [IF/00215/2014]; European Social Fund; Human Potential Operational Programme; QREN-Mais Centro [ICT/2009/02/012/1890]; [UID/NEU/04539/2013]</t>
  </si>
  <si>
    <t>Fundagdo para a Ciencia a Tecnologia under IFCT programme; European Social Fund(European Social Fund (ESF)); Human Potential Operational Programme; QREN-Mais Centro;</t>
  </si>
  <si>
    <t>Joao Gomes and Rui C. Martins gratefully acknowledge Fundagdo para a Ciencia a Tecnologia by the financial support under IFCT2014 programme (IF/00215/2014) with financing from the European Social Fund and the Human Potential Operational Programme. We acknowledge to Professor Luis Castro for the collaboration on TOC analysis. Access to TAIL-UC facility funded under QREN-Mais Centro ProjectICT/2009/02/012/1890 is gratefully acknowledged. The Biophysics group thanks the Centre for Neuroscience and Cell Biology, University of Coimbra, Coimbra, Portugal, for providing the rat brains. This work was funded by strategic project UID/NEU/04539/2013.</t>
  </si>
  <si>
    <t>10.1016/j.psep.2017.07.001</t>
  </si>
  <si>
    <t>FL9ZV</t>
  </si>
  <si>
    <t>WOS:000414619500017</t>
  </si>
  <si>
    <t>Haase, P; Hering, D; Jähnig, SC; Lorenz, AW; Sundermann, A</t>
  </si>
  <si>
    <t>Haase, P.; Hering, D.; Jaehnig, S. C.; Lorenz, A. W.; Sundermann, A.</t>
  </si>
  <si>
    <t>The impact of hydromorphological restoration on river ecological status: a comparison of fish, benthic invertebrates, and macrophytes</t>
  </si>
  <si>
    <t>Macroinvertebrates; Monitoring; Stream; Water Framework Directive; Assessment</t>
  </si>
  <si>
    <t>MACROINVERTEBRATE SAMPLES; POPULATION-STRUCTURE; STREAM RESTORATION; MOUNTAIN RIVERS; RUNNING WATERS; GERMANY; CLASSIFICATION; VEGETATION; DIVERSITY; PRECISION</t>
  </si>
  <si>
    <t>The European Water Framework Directive (WFD) has led to an increase in hydromorphological restoration attempts in European rivers, but data on the ecological responses of rivers to these restoration attempts are scarce. We investigated the effects of 24 hydromorphological river restoration projects in Germany. We compared hydromorphological parameters and biological diversity of macroinvertebrates, fish, and macrophytes in restored reaches to nearby unrestored sections. We applied, for the first time, the WFD to assess the results of these restoration projects. While hydromorphology changed significantly in the restored sections, differences between restored and unrestored sections in terms of biological parameters were lower. Positive restoration effects were observed for fish (11 of 24 cases) only. Based on the synthesis of results from the different organism groups, only one of the 24 restored sections reached a good Ecological Quality Class as demanded by the WFD. Our results indicate that stressors other than hydromorphological degradation still affect the biota in restored sections. We emphasize the need for advanced restoration strategies based on catchment analyses considering water pollution, source populations, and dispersal capacities of sensitive species, and recommend the inclusion of additional parameters, including societal and stakeholder perspectives, in assessing the initial success of restoration projects.</t>
  </si>
  <si>
    <t>[Haase, P.; Jaehnig, S. C.; Sundermann, A.] Senckenberg Res Inst, Dept River Ecol &amp; Conservat, D-63571 Gelnhausen, Germany; [Haase, P.; Jaehnig, S. C.; Sundermann, A.] Nat Hist Museum Frankfurt, D-63571 Gelnhausen, Germany; [Haase, P.; Jaehnig, S. C.; Sundermann, A.] Biodivers &amp; Climate Res Ctr, D-60325 Frankfurt, Germany; [Hering, D.; Lorenz, A. W.] Univ Duisburg Essen, Dept Aquat Ecol, D-45117 Essen, Germany</t>
  </si>
  <si>
    <t>Senckenberg Gesellschaft fur Naturforschung (SGN); University of Duisburg Essen</t>
  </si>
  <si>
    <t>Haase, P (corresponding author), Senckenberg Res Inst, Dept River Ecol &amp; Conservat, Clamecystr 12, D-63571 Gelnhausen, Germany.</t>
  </si>
  <si>
    <t>peter.haase@senckenberg.de</t>
  </si>
  <si>
    <t>Hering, Daniel/D-4280-2012; Haase, Peter/A-5644-2011; Sundermann, Andrea/A-2938-2009; Jahnig, Sonja C./D-7126-2011</t>
  </si>
  <si>
    <t>Jahnig, Sonja C./0000-0002-6349-9561; Sundermann, Andrea/0000-0003-2304-1967</t>
  </si>
  <si>
    <t>Deutsche Bundesstiftung Umwelt'' (DBU); Hesse's Ministry of Environment, and the research funding programme LOEWE-Landes-Offensive zur Entwicklung Wissenschaftlich-oekonomischer Exzellenz of Hesse's Ministry of Higher Education, Research, and the Arts</t>
  </si>
  <si>
    <t>We greatly acknowledge the help of Daniel Dangel, Thomas Korte, Karin Schindehutte, Elisabeth Heigl, Egbert Korte, Markus Paster, and Thomas Michl for supporting the field work. This study was financed by Deutsche Bundesstiftung Umwelt'' (DBU), the Hesse's Ministry of Environment, and the research funding programme LOEWE-Landes-Offensive zur Entwicklung Wissenschaftlich-oekonomischer Exzellenz of Hesse's Ministry of Higher Education, Research, and the Arts.</t>
  </si>
  <si>
    <t>10.1007/s10750-012-1255-1</t>
  </si>
  <si>
    <t>086OB</t>
  </si>
  <si>
    <t>WOS:000314693600030</t>
  </si>
  <si>
    <t>Vogel, B; Volk, CM; Wintel, J; Lauther, V; Müller, R; Patra, PK; Riese, M; Terao, Y; Stroh, F</t>
  </si>
  <si>
    <t>Vogel, Barbel; Volk, C. Michael; Wintel, Johannes; Lauther, Valentin; Muller, Rolf; Patra, Prabir K.; Riese, Martin; Terao, Yukio; Stroh, Fred</t>
  </si>
  <si>
    <t>Reconstructing high-resolution in-situ vertical carbon dioxide profiles in the sparsely monitored Asian monsoon region</t>
  </si>
  <si>
    <t>COMMUNICATIONS EARTH &amp; ENVIRONMENT</t>
  </si>
  <si>
    <t>CHEMICAL LAGRANGIAN MODEL; BOUNDARY-LAYER SOURCES; ATMOSPHERIC CO2; ERA-INTERIM; TRANSPORT PATHWAYS; LOWER STRATOSPHERE; GREENHOUSE GASES; TROPOPAUSE LAYER; TRACE GASES; MEAN AGES</t>
  </si>
  <si>
    <t>Atmospheric concentrations of the greenhouse gases carbon dioxide and nitrous oxide have increased substantially because of human activities. However, their sources in South Asia, which contribute strongly to the accelerating global growth of carbon dioxide and nitrous oxide, are poorly quantified. Here, we present aircraft measurements with high temporal and vertical resolution up to 20 km during the Asian summer monsoon where rapid upward transport of surface pollutants to greater altitudes occurs. Using Lagrangian model simulations, we successfully reconstruct observed carbon dioxide profiles leading to an improved understanding of the vertical structure of carbon dioxide in the Asian monsoon region. We show that spatio-temporal patterns of carbon dioxide on the Indian subcontinent driven by regional flux variations rapidly propagate to approximately 13 km with slower ascent above. Enhanced carbon dioxide compared to the stratospheric background can be detected up to 20 km. We suggest that the propagation of these signals from the surface to the stratosphere can be used to evaluate transport models and assess carbon dioxide fluxes in South Asia. Lagrangian model simulations successfully reconstruct vertical carbon dioxide profiles obtained by high resolution aircraft measurements during the Asian summer monsoon in a region of rapid upward transport of surface pollutants to altitude, allowing better pollutant source attribution.</t>
  </si>
  <si>
    <t>[Vogel, Barbel; Muller, Rolf; Riese, Martin; Stroh, Fred] Forschungszentrum Julich, Inst Energy &amp; Climate Res IEK 7, Julich, Germany; [Volk, C. Michael; Wintel, Johannes; Lauther, Valentin] Univ Wuppertal, Inst Atmospher &amp; Environm Res, Wuppertal, Germany; [Patra, Prabir K.] Japan Agcy Marine Earth Sci &amp; Technol JAMSTEC, Res Inst Global Change, Yokohama, Japan; [Terao, Yukio] Natl Inst Environm Studies, Earth Syst Div, Ibaraki, Japan; [Wintel, Johannes] Curt Engelhorn Ctr Archaeometry gGmbH, Mannheim, Germany</t>
  </si>
  <si>
    <t>Helmholtz Association; Research Center Julich; University of Wuppertal; Japan Agency for Marine-Earth Science &amp; Technology (JAMSTEC); National Institute for Environmental Studies - Japan</t>
  </si>
  <si>
    <t>Vogel, B (corresponding author), Forschungszentrum Julich, Inst Energy &amp; Climate Res IEK 7, Julich, Germany.</t>
  </si>
  <si>
    <t>b.vogel@fz-juelich.de</t>
  </si>
  <si>
    <t>Patra, Prabir/B-5206-2009; Vogel, Bärbel/A-9988-2013; Terao, Yukio/A-2099-2008; Muller, Rolf/A-6669-2013; Riese, Martin/A-3927-2013</t>
  </si>
  <si>
    <t>Vogel, Barbel/0000-0001-9763-3055; Patra, Prabir/0000-0001-5700-9389; Terao, Yukio/0000-0003-2345-7073; Muller, Rolf/0000-0002-5024-9977; Riese, Martin/0000-0001-6398-6493</t>
  </si>
  <si>
    <t>European Commission [ENV.2013.6.1-2, 603557]; German Helmholtz Association within the Helmholtz-CAS Joint Research Group [307]; Environment Research and Technology Development Fund of the Environmental Restoration and Conservation Agency of Japan [JPMEERF20152002, 20182002, 21S20800]</t>
  </si>
  <si>
    <t>European Commission(European Union (EU)European Commission Joint Research Centre); German Helmholtz Association within the Helmholtz-CAS Joint Research Group; Environment Research and Technology Development Fund of the Environmental Restoration and Conservation Agency of Japan</t>
  </si>
  <si>
    <t>We are indebted to many local institutions, authorities, as well as individuals for making the StratoClim aircraft field campaign a success. We are especially grateful to the Nepalese, Indian, and Bangladeshi authorities for granting clearances as well as the Kathmandu airport authorities for their local support. Strong support by several local science partners is highly appreciated. We thank the Geophysica aircraft crews and pilots without whom these measurements could not have been conducted. The European Commission has granted and funded the StratoClim project within Framework Programme 7 under ENV.2013.6.1-2, Grant agreement No. 603557. The HAGAR operations and data analysis was supported by Thorben Beckert from University Wuppertal and were partly funded by the German Helmholtz Association within the Helmholtz-CAS Joint Research Group No. 307. The Nainital and Comilla measurements were performed by Manish Naja from Aryabhatta Research Institute of Observational Sciences, Md. Kawser Ahmed from University of Dhaka, and Shohei Nomura, Toshinobu Machida, Motoki Sasakawa Hitoshi Mukai from NIES, and supported by the Environment Research and Technology Development Fund (grant nos. JPMEERF20152002, 20182002 and 21S20800) of the Environmental Restoration and Conservation Agency of Japan. Further, we gratefully acknowledge the World Data Centre for Greenhouse Gases (WDCGG) for providing CO2 and N2O ground-based measurements in particular Yong Zhang from China Meteorological Administration, Beijing, China; Kirk Thoning, Pieter Tans, Ed Dlugokencky, Xin Lan, Bradley D. Hall, Geoffrey S. Dutton and Stephen A. Montzka from Earth System Research Laboratory (NOAA), Boulder, US. Further, we would like to thank the Japan Aerospace Exploration Agency (JAXA), the National Institute for Environmental Studies (NIES), and the Ministry of the Environment (MOE) for providing the GOSAT L4B-data product in particular Shamil Maksyutov, the NOAA Earth System Research Laboratory for providing CarbonTracker in particular Andy Jacobson, the European Centre for Medium-Range Weather Forecasts (ECMWF) for providing ERA5 reanalyses and the Juelich Supercomputing Centre (JSC; Research Centre Juelich, Germany) for computing time on the supercomputer JUWELS (project CLaMS-ESM). Finally, we acknowledge our colleagues from IEK-7 (Research Centre Juelich) Felix Ploeger, Gebhard Guenther, Jens-Uwe Grooss, Nicole Thomas, Nicole Spelten and Paul Konopka for support and discussion. The authors thank all reviewers of this paper for their helpful constructive comments.</t>
  </si>
  <si>
    <t>2662-4435</t>
  </si>
  <si>
    <t>COMMUN EARTH ENVIRON</t>
  </si>
  <si>
    <t>Commun. Earth Environ.</t>
  </si>
  <si>
    <t>10.1038/s43247-023-00725-5</t>
  </si>
  <si>
    <t>Environmental Sciences; Geosciences, Multidisciplinary; Meteorology &amp; Atmospheric Sciences</t>
  </si>
  <si>
    <t>Environmental Sciences &amp; Ecology; Geology; Meteorology &amp; Atmospheric Sciences</t>
  </si>
  <si>
    <t>A8FJ3</t>
  </si>
  <si>
    <t>WOS:000957418500002</t>
  </si>
  <si>
    <t>Diodato, S; Comoglio, L; Camilion, C; Amin, O; Marcovecchio, J</t>
  </si>
  <si>
    <t>Diodato, Soledad; Comoglio, Laura; Camilion, Carolina; Amin, Oscar; Marcovecchio, Jorge</t>
  </si>
  <si>
    <t>Integrated biomarker response in Mytilus chilensis exposed to untreated urban discharges along the coast of Ushuaia Bay (Beagle Channel, Argentina)</t>
  </si>
  <si>
    <t>Biomarkers; Early responses; IBR; In situ bioassays; Municipal wastewater; Mussels; Oxidative stress; Patagonia</t>
  </si>
  <si>
    <t>TIERRA-DEL-FUEGO; OXIDATIVE STRESS BIOMARKERS; HEAVY-METAL CONCENTRATIONS; ACETYLCHOLINESTERASE ACTIVITY; OXYGEN-CONSUMPTION; ENVIRONMENTAL-POLLUTION; BIOCHEMICAL RESPONSES; RUDITAPES-DECUSSATUS; MUSSELS; GALLOPROVINCIALIS</t>
  </si>
  <si>
    <t>The short-term effects of coastal untreated effluents from Ushuaia Bay, Beagle Channel, on the biochemical and physiological biomarkers of Mytilus chilensis were assessed. An integrated biomarker response (IBR) index was calculated as a helpful tool to represent the general stress of the experimental organisms. Cultured mussels were exposed during 96 h to three coastal sites impacted by sewage effluents. At the beginning (T-0) and every 24 h, mussels were subsampled from each site and different biochemical and physiological biomarkers were determined. There was no mortality registered in the experiments during the 96 h. However, biochemical and physiological biomarkers presented significant variations. Lipid peroxidation mean levels in mussels decreased in mantle and increased in digestive gland with respect to T-0 in almost all cases. Acetylcholinesterase activity was inhibited in all sites, reaching a maximal decrease of 35% with respect to T-0. Catalase remained stable and glutathione-S-transferase was activated. Oxygen consumption and ammonia excretion rates increased in organisms from two sites and, consequently, O:N ratio decreased, denoting a symptom of stress. IBR values showed the existence of different stress levels between exposed and unexposed mussels. These results exhibited an alteration of the general metabolism of mussels exposed for a short period of time to untreated coastal wastewater, suggesting the use of these organisms as early indicators of changes in the environmental quality of coastal waters of Ushuaia Bay.</t>
  </si>
  <si>
    <t>[Diodato, Soledad] Consejo Nacl Invest Cient &amp; Tecn, Ctr Austral Invest Cient CADIC, Grp Ecosistemas Acuat &amp; Indicadores Ambientales, Lab Ecol Terr &amp; Acuat, B Houssay 200,V9410, Ushuaia, Argentina; [Diodato, Soledad; Camilion, Carolina] Univ Nacl Tierra Fuego UNTDF, Inst Ciencias Polares Ambiente &amp; Recursos Nat, Fuegia Basket 251,V9410, Ushuaia, Argentina; [Marcovecchio, Jorge] UNS, CONICET, Inst Argentino Oceanog IADO, Lab Quim Marina, Camino La Carrindanga Km 7-5, Bahia Blanca, Buenos Aires, Argentina; [Marcovecchio, Jorge] Univ Tecnol Nacl FRBB, 11 Abril 461,B8000, Bahia Blanca, Buenos Aires, Argentina; [Marcovecchio, Jorge] Univ FASTA, Avellaneda 3341,B7600, Mar Del Plata, Argentina</t>
  </si>
  <si>
    <t>Consejo Nacional de Investigaciones Cientificas y Tecnicas (CONICET); National University of the South; Consejo Nacional de Investigaciones Cientificas y Tecnicas (CONICET)</t>
  </si>
  <si>
    <t>Diodato, S (corresponding author), Consejo Nacl Invest Cient &amp; Tecn, Ctr Austral Invest Cient CADIC, Grp Ecosistemas Acuat &amp; Indicadores Ambientales, Lab Ecol Terr &amp; Acuat, B Houssay 200,V9410, Ushuaia, Argentina.;Diodato, S (corresponding author), Univ Nacl Tierra Fuego UNTDF, Inst Ciencias Polares Ambiente &amp; Recursos Nat, Fuegia Basket 251,V9410, Ushuaia, Argentina.</t>
  </si>
  <si>
    <t>sole22diodato@gmail.com</t>
  </si>
  <si>
    <t>Diodato, Soledad/0000-0002-0439-3628</t>
  </si>
  <si>
    <t>Agencia Nacional de Promocion Cientifica y Tecnologica (ANPCyT PICT) [1261/2006]</t>
  </si>
  <si>
    <t>Agencia Nacional de Promocion Cientifica y Tecnologica (ANPCyT PICT)(ANPCyT)</t>
  </si>
  <si>
    <t>This study was supported by Agencia Nacional de Promocion Cientifica y Tecnologica (ANPCyT PICT No 1261/2006) granted to Dr. O. Amin.</t>
  </si>
  <si>
    <t>10.1007/s11356-021-13587-1</t>
  </si>
  <si>
    <t>TR4HO</t>
  </si>
  <si>
    <t>WOS:000632850600006</t>
  </si>
  <si>
    <t>Abdulkadir, WAFW; Omar, RC; Shamsudin, MS</t>
  </si>
  <si>
    <t>Abdulkadir, Wan Aisyah Fadilah Wae; Omar, Rohayu Che; Shamsudin, Muhamad Sharafee</t>
  </si>
  <si>
    <t>Ammoniacal nitrogen - A critical contaminant in leachate composition: Characteristics, potential risk, and adsorption treatment innovations</t>
  </si>
  <si>
    <t>JOURNAL OF WATER PROCESS ENGINEERING</t>
  </si>
  <si>
    <t>Leachate; Ammoniacal nitrogen; Waste management; Energy demand; Adsorption</t>
  </si>
  <si>
    <t>MUNICIPAL SOLID-WASTE; MUSSEL PERNA-VIRIDIS; LANDFILL LEACHATE; ACTIVATED CARBON; SANITARY-LANDFILL; ORGANIC CONTAMINANTS; SURFACE-CHEMISTRY; AQUEOUS-SOLUTION; GRAPHENE OXIDE; WATER REMEDIATION</t>
  </si>
  <si>
    <t>The substantial presence of ammoniacal nitrogen (NH3-N) in leachate has precipitated a severe decline in aquatic ecosystems and poses considerable threats to human health. The conventional methods for NH3-N removal suffer from various drawbacks. This review meticulously finds and combines the key characteristics and potential risks of NH3-N. Given the challenges posed by this hard-to-treat pollutant, it emphasizes the critical need for careful consideration to figure out the most effective treatment approach. An excess of NH3-N can impede microbial activity, leading to a decline in the removal efficiency of the treatment system. Hence, it becomes crucial to prioritize a sustainable alternative for leachate treatment by delving into a comprehensive exploration of the adsorption process for NH3-N removal. This study supplies a comparative analysis of key adsorbent materials, encompassing carbon- and non-carbon-based variants. This overview includes insights into modifications, treatment conditions, and the efficiency of NH3-N removal. The theoretical and experimental findings shed light on the intricate interplay of chemical and physical forces that bind the adsorbent and NH3-N, enhancing our comprehension of their interaction in the treatment process. Common isotherm models are elucidated to inform future optimization strategies for NH3-N removal.</t>
  </si>
  <si>
    <t>[Abdulkadir, Wan Aisyah Fadilah Wae; Omar, Rohayu Che] Univ Tenaga Nas, Inst Energy Infrastruct IEI, Coll Engn, Jalan IKRAM UNITEN, Kajang 43000, Selangor Darul, Malaysia; [Abdulkadir, Wan Aisyah Fadilah Wae; Omar, Rohayu Che] Univ Tenaga Nas, Coll Engn, Dept Civil Engn, Jalan IKRAM UNITEN, Kajang 43000, Selangor Darul, Malaysia; [Shamsudin, Muhamad Sharafee] Univ Sains Malaysia, Sch Chem Engn, Engn Campus, Nibong Tebal 14300, Penang, Malaysia</t>
  </si>
  <si>
    <t>Universiti Tenaga Nasional; Universiti Tenaga Nasional; Universiti Sains Malaysia</t>
  </si>
  <si>
    <t>Abdulkadir, WAFW; Omar, RC (corresponding author), Univ Tenaga Nas, Inst Energy Infrastruct IEI, Coll Engn, Jalan IKRAM UNITEN, Kajang 43000, Selangor Darul, Malaysia.;Abdulkadir, WAFW; Omar, RC (corresponding author), Univ Tenaga Nas, Coll Engn, Dept Civil Engn, Jalan IKRAM UNITEN, Kajang 43000, Selangor Darul, Malaysia.</t>
  </si>
  <si>
    <t>wan.aisyah@uniten.edu.my; rohayu@uniten.edu.my</t>
  </si>
  <si>
    <t>SHAMSUDIN, MUHAMAD/AAE-3444-2021; Wae AbdulKadir, Wan Aisyah Fadilah/HJI-7009-2023</t>
  </si>
  <si>
    <t>AI-assisted technologies in the writing process</t>
  </si>
  <si>
    <t>This work was supported by the Ministry of Higher Education (MoHE) Malaysia, through the Prototype Development Research Grant Scheme (PRGS) , under the project code of PRGS/1/2020/WAB04/UNITEN/02/1, and by Tenaga Nasional Berhad (TNB) and UNITEN through the BOLD Refresh Postdoctoral Fellowships under the project code of J510050002 -IC -6 BOLDREFRESH2025-Centre of Excellence.Declaration of generative AI and AI-assisted technologies in the writing processr Declaration of generative AI and AI-assisted technologies in the writing process</t>
  </si>
  <si>
    <t>2214-7144</t>
  </si>
  <si>
    <t>J WATER PROCESS ENG</t>
  </si>
  <si>
    <t>J. Water Process. Eng.</t>
  </si>
  <si>
    <t>10.1016/j.jwpe.2024.105424</t>
  </si>
  <si>
    <t>Engineering, Environmental; Engineering, Chemical; Water Resources</t>
  </si>
  <si>
    <t>SX6M0</t>
  </si>
  <si>
    <t>WOS:001237787000001</t>
  </si>
  <si>
    <t>Focardi, S; Corsi, I; Franchi, E</t>
  </si>
  <si>
    <t>Safety issues and sustainable development of European aquaculture: new tools for environmentally sound aquaculture</t>
  </si>
  <si>
    <t>aquaculture; biomarkers; ecology; food safety; sustainability</t>
  </si>
  <si>
    <t>BASS DICENTRARCHUS-LABRAX; HEPATIC BIOTRANSFORMATION ENZYMES; EEL ANGUILLA-ANGUILLA; SEA-BASS; FISH-MEAL; BETA-NAPHTHOFLAVONE; CRASSOSTREA-GIGAS; TOTAL REPLACEMENT; PACIFIC OYSTER; RAINBOW-TROUT</t>
  </si>
  <si>
    <t>Sustainable and long-term growth of the aquaculture industry should involve both ecologically sound practices and appropriate resource management. The increasing economic dimension of Mediterranean aquaculture is opening new economic niches and may be a valid support to reduce the pressure of traditional fisheries. Aquaculture practices can also lead to modi. cations of coastal habitats through the impact of wastes of land-based and open-sea mariculture facilities. In addition to these aspects which place a direct pressure on aquatic ecosystems and wild fishery resources, a wide range of environmental contaminants, such as chemicals used in farming operations, can accumulate in farmed organisms and put fish health and quality at risk. Thus, as aquaculture makes its transition to a major food-producing sector, proper assessment and control of environmental impacts and food safety awareness are becoming increasingly important. The development of simple tools able to monitor the extent of environmental and biological impacts associated with farming operations at various levels of biological complexity from the ecosystem to the organism level is required. Although a number of techniques for assessing the environmental and biological impact of pollutants in natural ecosystems are available, the development of practical and validated tools is sorely needed in aquaculture.</t>
  </si>
  <si>
    <t>Univ Siena, Dept Environm Sci G Sarfatti, I-53100 Siena, Italy</t>
  </si>
  <si>
    <t>Univ Siena, Dept Environm Sci G Sarfatti, Via Mattioli 4, I-53100 Siena, Italy.</t>
  </si>
  <si>
    <t>focardi@unisi.it</t>
  </si>
  <si>
    <t>corsi, ilaria/D-3795-2012</t>
  </si>
  <si>
    <t>10.1007/s10499-004-9036-0</t>
  </si>
  <si>
    <t>907EY</t>
  </si>
  <si>
    <t>WOS:000227699600002</t>
  </si>
  <si>
    <t>Guo, YY; Chen, LG; Wu, J; Hua, JH; Yang, LH; Wang, QW; Zhang, W; Lee, JS; Zhou, BS</t>
  </si>
  <si>
    <t>Guo, Yongyong; Chen, Lianguo; Wu, Juan; Hua, Jianghuan; Yang, Lihua; Wang, Qiangwei; Zhang, Wei; Lee, Jae-Seong; Zhou, Bingsheng</t>
  </si>
  <si>
    <t>Parental co-exposure to bisphenol A and nano-TiO2 causes thyroid endocrine disruption and developmental neurotoxicity in zebrafish offspring</t>
  </si>
  <si>
    <t>Bisphenol A; n-TiO2; Chronic co-exposure; Maternal transfer; Developmental neurotoxity and thyroid; disruption; Zebrafish</t>
  </si>
  <si>
    <t>TITANIUM-DIOXIDE NANOPARTICLES; DIPHENYL ETHERS PBDES; GENE-EXPRESSION; IN-VITRO; MARINE BIVALVE; HUMAN HEALTH; DANIO-RERIO; RAT-BRAIN; EXPOSURE; LARVAE</t>
  </si>
  <si>
    <t>The coexistence of organic toxicants and nanoparticles in the environment influences pollutant bioavailability and toxicity. Using chronic co-exposure to an adult zebrafish model, this study investigated the transfer kinetics and transgenerational effects of bisphenol A (BPA) and titanium dioxide nanoparticles (n-TiO2) exposure in F1 offspring. When single and combined exposure to BPA (0, 2, and 20 mu g/L) and n-TiO2 (100 mu g/L) were compared, combined exposure was found to reciprocally facilitate bioaccumulation in adult fish while enhancing maternal transfer to offspring. Thyroid endocrine disruption and developmental neuroloxiciLy were observed in larval offspring by parental exposure to BPA alone or in combination with n-TiO2. Exposure to 20 mu g/L BPA significantly decreased the thyroxine (T4) concentration in adult plasma, leading to less transfer info the eggs. The presence of 20 mu g/L BPA with n-TiO2 further decreased the level of T4 compared lo BPA exposure alone. Additionally, offspring larvae derived from exposed parents exhibited lethargic swimming behavior. Overall, this study examined the interactions of BPA and n-TiO2 with regard lo their bioaccumulation, maternal transfer, and developmental effects, which highlighted that co-exposure dynamics are important and need to be considered for accurate environmental risk assessment. (C) 2018 Elsevier B.V. All rights reserved.</t>
  </si>
  <si>
    <t>[Guo, Yongyong; Chen, Lianguo; Wu, Juan; Hua, Jianghuan; Yang, Lihua; Zhou, Bingsheng] Chinese Acad Sci, State Key Lab Freshwater Ecol &amp; Biotechnol, Inst Hydrobiol, Wuhan 430072, Peoples R China; [Wang, Qiangwei] Zhejiang Univ, Inst Pesticide &amp; Environm Toxicol, Hangzhou 310058, Zhejiang, Peoples R China; [Zhang, Wei] East China Univ Sci &amp; Technol, State Environm Protect Key Lab Environm Risk Asse, Sch Resource &amp; Environm Engn, Shanghai 200237, Peoples R China; [Lee, Jae-Seong] Sungkyunkwan Univ, Dept Biol Sci, Coll Sci, Suwon 16419, South Korea</t>
  </si>
  <si>
    <t>Chinese Academy of Sciences; Institute of Hydrobiology, CAS; Zhejiang University; East China University of Science &amp; Technology; Sungkyunkwan University (SKKU)</t>
  </si>
  <si>
    <t>Zhou, BS (corresponding author), Chinese Acad Sci, State Key Lab Freshwater Ecol &amp; Biotechnol, Inst Hydrobiol, Wuhan 430072, Peoples R China.</t>
  </si>
  <si>
    <t>bszhou@ihb.ac.cn</t>
  </si>
  <si>
    <t>Hua, Jianghuan/P-9122-2017; Wang, Yitong/KBA-1959-2024; Lee, Jae-Seong/H-6013-2015</t>
  </si>
  <si>
    <t>Chen, Lianguo/0009-0005-1892-6877; Lee, Jae-Seong/0000-0003-0944-5172</t>
  </si>
  <si>
    <t>National Natural Science Foundation of China [21577168]; Chinese Academy of Sciences [XDB14040103]; State Key Laboratory of Freshwater Ecology and Biotechnology [2016FBZ11]</t>
  </si>
  <si>
    <t>National Natural Science Foundation of China(National Natural Science Foundation of China (NSFC)); Chinese Academy of Sciences(Chinese Academy of Sciences); State Key Laboratory of Freshwater Ecology and Biotechnology(Chinese Academy of Sciences)</t>
  </si>
  <si>
    <t>This work was supported by the National Natural Science Foundation of China [grant number 21577168], the Strategic Priority Research Program of the Chinese Academy of Sciences [grant number XDB14040103], and the State Key Laboratory of Freshwater Ecology and Biotechnology (2016FBZ11).</t>
  </si>
  <si>
    <t>10.1016/j.scitotenv.2018.09.007</t>
  </si>
  <si>
    <t>WOS:000447092700057</t>
  </si>
  <si>
    <t>MAURER, D; ROBERTSON, G; GERLINGER, T</t>
  </si>
  <si>
    <t>SAN-PEDRO SHELF CALIFORNIA - TESTING THE PEARSON-ROSENBERG MODEL (PRM)</t>
  </si>
  <si>
    <t>SOUTHERN-CALIFORNIA; COMMUNITY STRUCTURE; BENTHIC COMMUNITY; METAL POLLUTION; CURRENT SYSTEM; COASTAL ZONE; WADDEN SEA; BAY; EUTROPHICATION; DYNAMICS</t>
  </si>
  <si>
    <t>Based on quarterly sampling (n = 260) over four years (1985-89) from California's San Pedro Shelf the Pearson-Rosenberg Model (PRM) or organic enrichment was tested for the Orange County ocean outfall. The null hypothesis was that lest species, abundance, and biomass curves (SAB) from the shelf closely resemble those from the model. Principal areas of agreement between test curves and model curves include increased abundance and biomass approaching an ocean outfall. Major departures from the PRM include: (1) no sharp decline in SAB curves to azoic conditions, (2) displacement of SAB curves away from the outfall, and (3) opportunistic species did not exclude or eliminate rare species. Moreover, the role of local dominant species (bivalve-Parvilucina tenuisculpta, ostracod-Euphilomedes carcharodonta polychaetous annelid-Capitella capitata) can greatly influence SAB curves within the model. Bioenhancement should not necessarily be viewed as a diagnostic feature of a polluted site. Since the PRM was originally developed for semi-enclosed, low energy depositional habitats with long residence times (fjords, sea lochs), open ocean, high energy, erosional habitats (coast and shelf) may not be the most appropriate sites to apply this model. Uncritical application of the PRM to the Orange County ocean outfall may lead to unnecessary and costly decisions.</t>
  </si>
  <si>
    <t>CTY SANITATION DIST ORANGE CTY, CALIF FDN VALLEY, CA 92708 USA</t>
  </si>
  <si>
    <t>MAURER, D (corresponding author), CALIF STATE UNIV LONG BEACH, DEPT BIOL, LONG BEACH, CA 90840 USA.</t>
  </si>
  <si>
    <t>10.1016/0141-1136(93)90099-L</t>
  </si>
  <si>
    <t>LD447</t>
  </si>
  <si>
    <t>WOS:A1993LD44700001</t>
  </si>
  <si>
    <t>Influence of length on element concentrations in blue mussels (Mytilus edulis)</t>
  </si>
  <si>
    <t>METAL CONTENT; BODY SIZE; ZINC</t>
  </si>
  <si>
    <t>MINIST ENVIRONM &amp; ENERGY, NATL ENVIRONM RES INST, DEPT ARCTIC ENVIRONM, TAGENSVEJ 135, 4TH FLOOR, DK-2200 COPENHAGEN N, DENMARK.</t>
  </si>
  <si>
    <t>10.1016/0025-326X(96)00067-7</t>
  </si>
  <si>
    <t>VV094</t>
  </si>
  <si>
    <t>WOS:A1996VV09400020</t>
  </si>
  <si>
    <t>Sauco, S; Gómez, J; Barboza, FR; Lercari, D; Defeo, O</t>
  </si>
  <si>
    <t>Sauco, Sebastian; Gomez, Julio; Barboza, Francisco R.; Lercari, Diego; Defeo, Omar</t>
  </si>
  <si>
    <t>Modified Whole Effluent Toxicity Test to Assess and Decouple Wastewater Effects from Environmental Gradients</t>
  </si>
  <si>
    <t>CONTAMINATION; DISCHARGE; SEDIMENTS; BIOAVAILABILITY; COMMUNITY; STRESSORS; POLLUTION; IMPACT</t>
  </si>
  <si>
    <t>Environmental gradients and wastewater discharges produce aggregated effects on marine populations, obscuring the detection of human impact. Classical assessment methods do not include environmental effects in toxicity tests designs, which could lead to incorrect conclusions. We proposed a modified Whole Effluent Toxicity test (mWET) that includes environmental gradients in addition to effluent dilutions, together with the application of Generalized Linear Mixed Models (GLMM) to assess and decouple those effects. We tested this approach, analyzing the lethal effects of wastewater on a marine sandy beach bivalve affected by an artificial canal freshwater discharge used for rice crops irrigation. To this end, we compared bivalve mortality between canal water dilutions (CWd) and salinity controls (SC: without canal water). CWd were prepared by diluting the water effluent (sampled during the pesticide application period) with artificial marine water. The salinity gradient was included in the design by achieving the same final salinities in both CWd and SC, allowing us to account for the effects of salinity by including this variable as a random factor in the GLMM. Our approach detected significantly higher mortalities in CWd, indicating potential toxic effects of the effluent discharge. mWET represents an improvement over the internationally standardized WET tests, since it considers environmental variability and uses appropriate statistical analyses.</t>
  </si>
  <si>
    <t>[Sauco, Sebastian; Gomez, Julio; Barboza, Francisco R.; Lercari, Diego; Defeo, Omar] Univ Republica, Fac Ciencias, Dept Ecol &amp; Evoluc, UNDECIMAR, Montevideo, Uruguay</t>
  </si>
  <si>
    <t>Universidad de la Republica, Uruguay</t>
  </si>
  <si>
    <t>Sauco, S (corresponding author), Univ Republica, Fac Ciencias, Dept Ecol &amp; Evoluc, UNDECIMAR, Montevideo, Uruguay.</t>
  </si>
  <si>
    <t>sebastiansauco@gmail.com</t>
  </si>
  <si>
    <t>Lercari, Diego/AFZ-1141-2022</t>
  </si>
  <si>
    <t>Lercari, Diego/0000-0001-7980-2193; Defeo, Omar/0000-0001-8318-528X; Barboza, Francisco Rafael/0000-0002-9100-2962</t>
  </si>
  <si>
    <t>Environmental Facility [GCP URU 030 GFF]; Comision Sectorial de Investigacion Cientifica (CSIC Uruguay-Project) [2025]; Pew Charitable Trusts</t>
  </si>
  <si>
    <t>Environmental Facility; Comision Sectorial de Investigacion Cientifica (CSIC Uruguay-Project); Pew Charitable Trusts</t>
  </si>
  <si>
    <t>Fundings from Environmental Facility (GCP URU 030 GFF), Comision Sectorial de Investigacion Cientifica (CSIC Uruguay-Project 2025) and The Pew Charitable Trusts are acknowledged. The funders had no role in study design, data collection and analysis, decision to publish, or preparation of the manuscript.</t>
  </si>
  <si>
    <t>e66285</t>
  </si>
  <si>
    <t>10.1371/journal.pone.0066285</t>
  </si>
  <si>
    <t>166TB</t>
  </si>
  <si>
    <t>WOS:000320579400084</t>
  </si>
  <si>
    <t>Hornberger, MI; Luoma, SN; Cain, DJ; Parchaso, F; Brown, CL; Bouse, RM; Wellise, C; Thompson, JK</t>
  </si>
  <si>
    <t>Linkage of bioaccumulation and biological effects to changes in pollutant loads in south San Francisco Bay</t>
  </si>
  <si>
    <t>TRACE-METAL CONTAMINATION; BIVALVE MACOMA-BALTHICA; CHEMICAL CONCENTRATIONS; TEMPORAL FLUCTUATIONS; SEDIMENT CORES; COPPER; SILVER; CALIFORNIA; MARINE; TOXICITY</t>
  </si>
  <si>
    <t>The developed world has invested billions of dollars in waste treatment since the 1970s; however, changes in ecological or biological responses are rarely associated with reductions in metal pollutants. Here we present a novel, 23-yr time series of environmental change from a San Francisco Bay mudflat located 1 km from the discharge of a suburban domestic sewage treatment plant. Samples of surface sediment, the bioindicator Macoma balthica, and metals loading data were used to establish links between discharge, bioaccumulation, and effects. Mean annual Ag concentrations in M. balthica were 106 mu g/g in 1978 and 3.67 mu g/g in 1998. Concentrations of Cu declined from 287 mu g/g in 1980 to a minimum of 24 mu g/g in 1991. Declining; Cu bioaccumulation was strongly correlated with decreasing Cu loads from the plant between 1977 and 1998. Relationships with bioaccumulation and total annual precipitation suggested that inputs from nonpoint sources were most important in controlling Zn bioavailability during the same period. Ecoepidemiological criteria were used to associate failed gamete production in M balthica to a metals-enriched environment. Reproduction persistently failed between the mid-1970s and mid-1980s; it recovered after metal contamination declined. Other potential environmental causes such as food availability, sediment chemistry, or seasonal salinity fluctuations were not related to the timing of the change in reproductive capability. The results establish an associative link, suggesting that it is important to further investigate the chemical interference of Cu and/or Ag with invertebrate reproduction at relatively moderate levels of environmental contamination.</t>
  </si>
  <si>
    <t>US Geol Survey, Menlo Park, CA 94025 USA</t>
  </si>
  <si>
    <t>Hornberger, MI (corresponding author), US Geol Survey, 345 Middlefield Rd,MS 465, Menlo Park, CA 94025 USA.</t>
  </si>
  <si>
    <t>10.1021/es991185g</t>
  </si>
  <si>
    <t>325MA</t>
  </si>
  <si>
    <t>WOS:000087678300005</t>
  </si>
  <si>
    <t>Lin, KD; Zhou, SY; Chen, X; Ding, JF; Kong, XY; Gan, J</t>
  </si>
  <si>
    <t>Lin, Kunde; Zhou, Shiyang; Chen, Xi; Ding, Jiafeng; Kong, Xiaoyan; Gan, Jay</t>
  </si>
  <si>
    <t>Formation of hydroxylated polybrominated diphenyl ethers from laccase-catalyzed oxidation of bromophenols</t>
  </si>
  <si>
    <t>OH-PBDEs; Dioxins; Laccase; Persistent organic pollutants; Emerging contaminants</t>
  </si>
  <si>
    <t>SALMON SALMO-SALAR; FLAME RETARDANTS; BLUE MUSSELS; DIOXINS; ALGAE; BIODEGRADATION; IDENTIFICATION; PURIFICATION; ANALOGS; SPONGE</t>
  </si>
  <si>
    <t>Hydroxylated polybrominated diphenyl ethers (OH-PBDEs) have been frequently found in the marine biosphere as emerging organic contaminants. Studies to date have suggested that OH-PBDEs in marine biota are natural products. However, the mechanisms leading to the biogenesis of OH-PBDEs are still far from clear. In this study, using a laccase isolated from Trametes versicolor as the model enzyme, we explored the formation of OH-PBDEs from the laccase-catalyzed oxidation of simple bromophenols (e.g., 2,4-DBP and 2,4,6-TBP). Experiments under ambient conditions clearly showed that OH-PBDEs were produced from 2,4-DBP and 2,4,6-TBP in presence of laccase. Polybrominated compounds 2'-OH-BDE68, 2,2'-diOH-BB80, and 1,3,8-TrBDD were identified as the products from 2,4-DBP, and 2'-OH-BDE121 and 4'-OH-BDE121 from 2,4,6-TBP. The production of OH-PBDEs was likely a result of the coupling of bromophenoxy radicals, generated from the laccase-catalyzed oxidation of 2,4-DBP or 2,4,6-TBP. The transformation of bromophenols by laccase was pH-dependant, and was also influenced by enzymatic activity. In view of the abundance of 2,4-DBP and 2,4,6-TBP and the phylogenetic distribution of laccases in the environment, laccase-catalyzed conversion of bromophenols may be potentially an important route for the natural biosynthesis of OH-PBDEs. (C) 2015 Elsevier Ltd. All rights reserved,</t>
  </si>
  <si>
    <t>[Lin, Kunde] Xiamen Univ, Coll Environm &amp; Ecol, Minist Educ Coastal &amp; Wetland Ecosyst, State Key Lab Marine Environm Sci,Key Lab, Xiamen 361102, Peoples R China; [Lin, Kunde; Zhou, Shiyang; Chen, Xi; Ding, Jiafeng; Kong, Xiaoyan] Zhejiang Univ Technol, Coll Biol &amp; Environm Engn, Hangzhou 310032, Zhejiang, Peoples R China; [Gan, Jay] Univ Calif Riverside, Dept Environm Sci, Riverside, CA 92521 USA</t>
  </si>
  <si>
    <t>Xiamen University; Zhejiang University of Technology; University of California System; University of California Riverside</t>
  </si>
  <si>
    <t>Lin, KD (corresponding author), Xiamen Univ, Coll Environm &amp; Ecol, Xiamen 361102, Peoples R China.</t>
  </si>
  <si>
    <t>link@xmu.edu.cn</t>
  </si>
  <si>
    <t>Lin, Kunde/A-5439-2009</t>
  </si>
  <si>
    <t>Lin, Kunde/0000-0003-3186-5296</t>
  </si>
  <si>
    <t>National Natural Science Foundation of China [21477115, 21277124, 21320102007]; Zhejiang Provincial Natural Science Foundation [LR13B070001]</t>
  </si>
  <si>
    <t>National Natural Science Foundation of China(National Natural Science Foundation of China (NSFC)); Zhejiang Provincial Natural Science Foundation(Natural Science Foundation of Zhejiang Province)</t>
  </si>
  <si>
    <t>This work was jointly supported by the National Natural Science Foundation of China (21477115, 21277124, and 21320102007) and Zhejiang Provincial Natural Science Foundation (LR13B070001).</t>
  </si>
  <si>
    <t>10.1016/j.chemosphere.2015.08.014</t>
  </si>
  <si>
    <t>CS0SP</t>
  </si>
  <si>
    <t>WOS:000361772800106</t>
  </si>
  <si>
    <t>Xu, SC; Xu, S; Zhou, Y; Yue, SD; Qiao, YL; Liu, MJ; Gu, RT; Song, XY; Zhang, Y; Zhang, XM</t>
  </si>
  <si>
    <t>Xu, Shaochun; Xu, Shuai; Zhou, Yi; Yue, Shidong; Qiao, Yongliang; Liu, Mingjie; Gu, Ruiting; Song, Xiaoyue; Zhang, Yu; Zhang, Xiaomei</t>
  </si>
  <si>
    <t>Sonar and in situ surveys of eelgrass distribution, reproductive effort, and sexual recruitment contribution in a eutrophic bay with intensive human activities: Implication for seagrass conservation</t>
  </si>
  <si>
    <t>Zostera marina L.; Bohai Sea; Seagrass distribution; Single beam echosounder; Sexual reproduction; Population recruitment; Resilience; Conservation</t>
  </si>
  <si>
    <t>ZOSTERA-MARINA L.; SEA-SURFACE TEMPERATURE; SWAN-LAKE LAGOON; CHAETOMORPHA-LINUM; POPULATIONS; DYNAMICS; GERMINATION; STRATEGIES; DISPERSAL; RECOLONIZATION</t>
  </si>
  <si>
    <t>Seagrass beds are recognized as pivotal and among the most vulnerable coastal marine ecosystems globally. The eelgrass Zostera marina L. is the most widely distributed seagrass species and dominates the temperate northern hemisphere. However, an alarming decline in seagrass has been occurring worldwide due to multiple stressors. Seagrass meadow degradation is particularly serious in the Bohai Sea, in temperate China; however, large areas (&gt; 500 ha) of seagrass meadows and population recruitment have rarely been reported in this area. In the present study, we report on a large eelgrass bed in a eutrophic bay of the Bohai Sea. Sonar and field survey methods were used to investigate the distribution of seagrass and its population recruitment. We also analyzed the major threats to this large seagrass bed. Results showed that a large Z. marina bed with an area of 694.36 ha occurred in this area of the Bohai Sea, with a peripheral area of similar to 25 km(2). Seagrass canopy height and plant coverage had a significant correlation with water depth. Asexual reproduction principally occurred in autumn and played a dominant role in population recruitment in vegetated areas, where no seedlings successfully colonized. In contrast, a considerable number of seedlings survived in the seagrass meadow gaps, and thus played a critical role in the recruitment in these areas. The maximum reproductive shoot densities were about 100 and 70 shoots m(-2) at sampling site (S)-1 and S-2 in 2018, respectively, which was about two times more than in 2019 (50 and 20 reproductive shoots m(-2) at S-1 and S-2, respectively). The potential seed output per unit area in 2019 was about 1020 seeds m(-2) at S-1 and 830 seeds m(-2) at S-2, and the seed output in the study area was at a low level compared with global values. Overall, high spring and summer water temperature appeared to induce sexual reproduction of Z. marina in the study area, including reproductive effort, reproductive investment, and seedling development. Furthermore, eelgrass height, aboveground biomass, and density were significantly related to water temperature. Among the potential threatening factors to seagrass in this area, the activities of clam harvesting were intense with daily clam catches &gt; 2000 kg, leading to patchy seagrass meadows, especially in the fringe areas. The seagrass bed was also threatened by marine pollution (nutrient loading) and land reclamation. Therefore, the protection and restoration of this seagrass bed are strongly recommended. Our study will provide fundamental information for the conservation and management strategies of large eelgrass beds in the Bohai Sea.</t>
  </si>
  <si>
    <t>[Xu, Shaochun; Xu, Shuai; Zhou, Yi; Yue, Shidong; Qiao, Yongliang; Liu, Mingjie; Gu, Ruiting; Song, Xiaoyue; Zhang, Yu; Zhang, Xiaomei] Chinese Acad Sci, Inst Oceanol, CAS Key Lab Marine Ecol &amp; Environm Sci, Qingdao 266071, Peoples R China; [Xu, Shaochun; Xu, Shuai; Zhou, Yi; Yue, Shidong; Qiao, Yongliang; Liu, Mingjie; Gu, Ruiting; Song, Xiaoyue; Zhang, Yu; Zhang, Xiaomei] Qingdao Natl Lab Marine Sci &amp; Technol, Lab Marine Ecol &amp; Environm Sci, Qingdao 266237, Peoples R China; [Xu, Shaochun; Xu, Shuai; Zhou, Yi; Yue, Shidong; Qiao, Yongliang; Liu, Mingjie; Gu, Ruiting; Song, Xiaoyue; Zhang, Yu; Zhang, Xiaomei] Chinese Acad Sci, Ctr Ocean Megasci, Qingdao 266071, Peoples R China; [Xu, Shaochun; Xu, Shuai; Zhou, Yi; Yue, Shidong; Qiao, Yongliang; Liu, Mingjie; Gu, Ruiting; Song, Xiaoyue; Zhang, Yu; Zhang, Xiaomei] Chinese Acad Sci, Inst Oceanol, CAS Engn Lab Marine Ranching, Qingdao 266071, Peoples R China; [Xu, Shaochun; Xu, Shuai; Zhou, Yi; Yue, Shidong; Liu, Mingjie; Gu, Ruiting; Song, Xiaoyue; Zhang, Yu; Zhang, Xiaomei] Univ Chinese Acad Sci, Beijing 100049, Peoples R China; [Qiao, Yongliang] Qingdao Univ Sci &amp; Technol, Qingdao 266000, Peoples R China</t>
  </si>
  <si>
    <t>Chinese Academy of Sciences; Institute of Oceanology, CAS; Laoshan Laboratory; Chinese Academy of Sciences; Chinese Academy of Sciences; Institute of Oceanology, CAS; Chinese Academy of Sciences; University of Chinese Academy of Sciences, CAS; Qingdao University of Science &amp; Technology</t>
  </si>
  <si>
    <t>Zhou, Y (corresponding author), Chinese Acad Sci, Inst Oceanol, CAS Key Lab Marine Ecol &amp; Environm Sci, Qingdao 266071, Peoples R China.</t>
  </si>
  <si>
    <t>xu, shuai/KFS-8484-2024; Zhou, Yi/F-4219-2011</t>
  </si>
  <si>
    <t>National Key Research and Development Program of China [2019YFD0901301]; National Science &amp; Technology Basic Work Program [2015FY110600]; Key Research Project of Frontier Sciences of CAS [QYZDB-SSW-DQC041-1]; Taishan Scholar Project of Shandong Province</t>
  </si>
  <si>
    <t>National Key Research and Development Program of China(National Key Research &amp; Development Program of China); National Science &amp; Technology Basic Work Program; Key Research Project of Frontier Sciences of CAS; Taishan Scholar Project of Shandong Province</t>
  </si>
  <si>
    <t>We would like to thank Huaxin Li and Chuang Li for their help with the field survey. This research was supported by the National Key Research and Development Program of China (2019YFD0901301), the National Science &amp; Technology Basic Work Program (2015FY110600), the Key Research Project of Frontier Sciences of CAS (QYZDB-SSW-DQC041-1), and the Taishan Scholar Project of Shandong Province (Distinguished Taishan Scholars).</t>
  </si>
  <si>
    <t>10.1016/j.marpolbul.2020.111706</t>
  </si>
  <si>
    <t>PH3MA</t>
  </si>
  <si>
    <t>WOS:000600320100008</t>
  </si>
  <si>
    <t>Bejaoui, S; Bouziz, M; Ghribi, F; Chetoui, I; El Cafsi, M</t>
  </si>
  <si>
    <t>Bejaoui, Safa; Bouziz, Mehdi; Ghribi, Feriel; Chetoui, Imene; El Cafsi, M'hamed</t>
  </si>
  <si>
    <t>Assessment of the biochemical and nutritional values of Venerupis decussata from Tunisian lagoons submitted to different anthropogenic ranks</t>
  </si>
  <si>
    <t>Fatty acids; Lipid classes; Metal bioaccumulation; Tunisian lagoons; Venerupis decussata</t>
  </si>
  <si>
    <t>FATTY-ACID-COMPOSITION; CLAM RUDITAPES-DECUSSATUS; MYTILUS-GALLOPROVINCIALIS LMK.; LIPID CLASSES; SCROBICULARIA-PLANA; CERASTODERMA-EDULE; DIGESTIVE GLAND; HEAVY-METALS; BLUE MUSSELS; PROXIMATE COMPOSITION</t>
  </si>
  <si>
    <t>The present study aimed to evaluate the biochemical status of Venerupis decussata collected seasonally from two Tunisian coastline lagoons (Ghar El Melh and Boughrara) submitted to different anthropogenic levels. Trace elements were significantly higher in clams from Boughrara, especially during the warm season. Fatty acids, proximate compositions, and nutritional value of both clam populations were higher, appearing to be the best for human consumption principally during the spring season. The principal component analysis was determined, including phospholipids and reserve lipids, revealing a great variation with the exogenous and endogenous factors. Generally, clams from Boughrara had a significant alteration in biochemical composition principally due to the anthropogenic levels and physicochemical fluctuation of this lagoon. Our results reflected the healthy benefit of clam consumption and the use of energy reserves and essential fatty acids as a great biomarker to assess ecological risk in lagoons and other coastal ecosystems.</t>
  </si>
  <si>
    <t>[Bejaoui, Safa; Bouziz, Mehdi; Ghribi, Feriel; Chetoui, Imene; El Cafsi, M'hamed] Univ Tunis El Manar, Fac Sci Tunis, Biol Dept, Lab Ecol Biol &amp; Physiol Aquat Environm, Tunis 2092, Tunisia</t>
  </si>
  <si>
    <t>Universite de Tunis-El-Manar; Faculte des Sciences de Tunis (FST)</t>
  </si>
  <si>
    <t>Bejaoui, S (corresponding author), Univ Tunis El Manar, Fac Sci Tunis, Biol Dept, Lab Ecol Biol &amp; Physiol Aquat Environm, Tunis 2092, Tunisia.</t>
  </si>
  <si>
    <t>safa.BEJAOUI@fst.utm.tn</t>
  </si>
  <si>
    <t>Laboratory of Ecology, Biology, and Physiology of Aquatic Organisms, Department of Biology (LEBPAO), University of Tunis El Manar, Faculty of Science of Tunis [LU 18 ES 41]</t>
  </si>
  <si>
    <t>Laboratory of Ecology, Biology, and Physiology of Aquatic Organisms, Department of Biology (LEBPAO), University of Tunis El Manar, Faculty of Science of Tunis</t>
  </si>
  <si>
    <t>This work was supported by the Laboratory of Ecology, Biology, and Physiology of Aquatic Organisms, Department of Biology (LEBPAO; LU 18 ES 41), University of Tunis El Manar, Faculty of Science of Tunis. The authors are grateful to Mr. Hsan MEJARI for his technical assistance. We gratefully recognize the support of all members of the LEBPAO concerning their great help in the analysis. This research did not receive any specific grant from funding agencies in the public, commercial, or not-for-profit sectors.</t>
  </si>
  <si>
    <t>10.1007/s11356-019-06851-y</t>
  </si>
  <si>
    <t>WOS:000497830900013</t>
  </si>
  <si>
    <t>Monteiro, F; Lemos, LS; de Moura, JF; Rocha, RCC; Moreira, I; Di Beneditto, APM; Kehrig, HA; Bordon, IC; Siciliano, S; Saint'Pierre, TD; Hauser-Davis, RA</t>
  </si>
  <si>
    <t>Monteiro, Fernanda; Lemos, Leila S.; de Moura, Jailson Fulgencio; Chavez Rocha, Rafael Christian; Moreira, Isabel; Di Beneditto, Ana Paula M.; Kehrig, Helena A.; Bordon, Isabella C.; Siciliano, Salvatore; Saint'Pierre, Tatiana D.; Hauser-Davis, Rachel Ann</t>
  </si>
  <si>
    <t>Total and subcellular Ti distribution and detoxification processes in Pontoporia blainvillei and Steno bredanensis dolphins from Southeastern Brazil</t>
  </si>
  <si>
    <t>TiO2 nanoparticles; Bioavailability; Titanium; Delphinids; Metalloproteins; Detoxification</t>
  </si>
  <si>
    <t>TITANIUM-DIOXIDE NANOPARTICLES; OXIDATIVE STRESS; HEAVY-METALS; 2 BIVALVES; METALLOTHIONEIN; SEA; ZN; CD; COMPARTMENTALIZATION; BIOINDICATORS</t>
  </si>
  <si>
    <t>Titanium (Ti), used in many dailyuse products, such as shampoos and sunscreen fillers, in the form of TiO2 nanoparticles (NPs), may elicit adverse marine biota effects. Marine mammal Ti data is scarce, and subcellular distribution and detoxification information is non-existent. Ti concentrations and metalloprotein detoxification in Pontoporia blainvillei and Steno bredanensis dolphins from Southeastern Brazil were assessed. Metallothionein (MT) concentrations were determined spectrophotometrically, total and subcellular Ti, by ICP-MS and detoxification, by HPLC-ICP-MS. Ti detoxification occurred through MT complexation. Statistical Ti MT associations were observed in S. bredanensis liver, indicating TiO2 NPs contamination, as Ti binds to MT only as NPs. MT-Ti correlations were observed for both the coastal (P. blainvillei) and offshore (S. bredanensis) dolphins, evidencing oceanic TiO2 diffusion. Ti detoxification through binding to reduced glutathione occurred in both species. Thermostable subcellular fractions are a valuable tool for cetacean Ti detoxification assessments and should be applied to conservation efforts.</t>
  </si>
  <si>
    <t>[Monteiro, Fernanda; Chavez Rocha, Rafael Christian; Moreira, Isabel; Saint'Pierre, Tatiana D.] Pontificia Univ Catolica Rio de Janeiro PUC Rio, Dept Quim, Rua Marques de Sao Vicente 225, BR-22453900 Rio De Janeiro, RJ, Brazil; [Lemos, Leila S.; de Moura, Jailson Fulgencio; Siciliano, Salvatore; Hauser-Davis, Rachel Ann] Grp Estudos Mamiferos Marinhos Regiao Lagos GEMM, Rua Sao Jose 1-260, BR-28970000 Araruama, RJ, Brazil; [Lemos, Leila S.] Oregon State Univ, Hatfield Marine Sci Ctr, Marine Mammal Inst, 2030 SE Marine Sci Dr, Newport, OR 97365 USA; [de Moura, Jailson Fulgencio] Leibniz Ctr Trop Marine Ecol ZMT, Syst Ecol Grp, Fahrenheitstr 6, D-28359 Bremen, Germany; [Di Beneditto, Ana Paula M.; Kehrig, Helena A.] Univ Estadual Norte Fluminense, Lab Ciencias Ambientais, BR-28013602 Campos Dos Goytacazes, RJ, Brazil; [Bordon, Isabella C.] UNESP Univ Estadual Paulista, NEPEA, Campus Litoral Paulista, BR-11330900 Sao Vicente, SP, Brazil; [Siciliano, Salvatore] Fiocruz MS, Lab Biodiversidade, Inst Oswaldo Cruz, Pavilhao Mourisco Sala 217,Av Brasil 4-365, BR-21040900 Rio De Janeiro, RJ, Brazil; [Hauser-Davis, Rachel Ann] Fundacao Oswaldo Cruz, Lab Avaliacao &amp; Promocao Saude Ambiental, Inst Oswaldo Cruz, Av Brasil 4-365, BR-21040360 Rio De Janeiro, Brazil</t>
  </si>
  <si>
    <t>Oregon State University; Leibniz Zentrum fur Marine Tropenforschung (ZMT); Universidade Estadual do Norte Fluminense; Universidade Estadual Paulista; Fundacao Oswaldo Cruz; Fundacao Oswaldo Cruz</t>
  </si>
  <si>
    <t>Saint'Pierre, TD (corresponding author), Pontificia Univ Catolica Rio de Janeiro PUC Rio, Dept Quim, Rua Marques de Sao Vicente 225, BR-22453900 Rio De Janeiro, RJ, Brazil.;Hauser-Davis, RA (corresponding author), Grp Estudos Mamiferos Marinhos Regiao Lagos GEMM, Rua Sao Jose 1-260, BR-28970000 Araruama, RJ, Brazil.;Hauser-Davis, RA (corresponding author), Fundacao Oswaldo Cruz, Lab Avaliacao &amp; Promocao Saude Ambiental, Inst Oswaldo Cruz, Av Brasil 4-365, BR-21040360 Rio De Janeiro, Brazil.</t>
  </si>
  <si>
    <t>tatispierre@puc-rio.br; rachel.hauser.davis@gmail.com</t>
  </si>
  <si>
    <t>Soledade Lemos, Leila/AAX-9329-2021; Siciliano, Salvatore/H-7670-2015; Di Beneditto, Ana Paula/JCE-1238-2023; Saint'Pierre, Tatiana/E-2965-2015; Hauser-Davis, Rachel/C-7970-2013; Sousa Monteiro, Fernanda/AAJ-1575-2021; Kehrig, Helena/AAG-6252-2020; Bordon, Isabella/F-7028-2012; Di Beneditto, Ana Paula/L-9347-2013</t>
  </si>
  <si>
    <t>Hauser-Davis, Rachel/0000-0002-9451-471X; Saint Pierre, Tatiana/0000-0002-7619-5620; Bordon, Isabella/0000-0001-9413-8227; Di Beneditto, Ana Paula/0000-0002-4248-9380; Soledade Lemos, Leila/0000-0001-6324-0894; Siciliano, Salvatore/0000-0002-0124-8070; Sousa Monteiro, Fernanda/0000-0002-6399-4490</t>
  </si>
  <si>
    <t>National Council for Scientific and Technological Development (CNPq); Carlos Chagas Filho Foundation for Supporting Research in the State of Rio de Janeiro; Coordenacao de Aperfeicoamento de Pessoal de Nivel Superior - Brasil (CAPES) [001]</t>
  </si>
  <si>
    <t>National Council for Scientific and Technological Development (CNPq)(Conselho Nacional de Desenvolvimento Cientifico e Tecnologico (CNPQ)); Carlos Chagas Filho Foundation for Supporting Research in the State of Rio de Janeiro; Coordenacao de Aperfeicoamento de Pessoal de Nivel Superior - Brasil (CAPES)(Coordenacao de Aperfeicoamento de Pessoal de Nivel Superior (CAPES))</t>
  </si>
  <si>
    <t>FM would like to thank the National Council for Scientific and Technological Development (CNPq) for the Master's scholarshop and TDSP, for a productivity grant. APMDB acknowledges grants from CNPq and the Carlos Chagas Filho Foundation for Supporting Research in the State of Rio de Janeiro. This study was financed in part by the Coordenacao de Aperfeicoamento de Pessoal de Nivel Superior - Brasil (CAPES) - Finance Code 001.</t>
  </si>
  <si>
    <t>10.1016/j.marpolbul.2020.110975</t>
  </si>
  <si>
    <t>WOS:000523640200084</t>
  </si>
  <si>
    <t>Goodman, KE; Hare, JT; Khamis, ZI; Hua, T; Sang, QXA</t>
  </si>
  <si>
    <t>Goodman, Kerestin E.; Hare, Joan T.; Khamis, Zahraa, I; Hua, Timothy; Sang, Qing-Xiang Amy</t>
  </si>
  <si>
    <t>Exposure of Human Lung Cells to Polystyrene Microplastics Significantly Retards Cell Proliferation and Triggers Morphological Changes</t>
  </si>
  <si>
    <t>CHEMICAL RESEARCH IN TOXICOLOGY</t>
  </si>
  <si>
    <t>PARTICULATE MATTER; COASTAL WATERS; MUSSELS; METABOLISM; DEPOSITION; MICROBIOTA; TRANSPORT; POLLUTION; TOXICITY; FIBERS</t>
  </si>
  <si>
    <t>Microplastics in the environment produced by decomposition of globally increasing waste plastics have become a dominant component of both water and air pollution. To examine the potential toxicological effects of microplastics on human cells, the cultured human alveolar A549 cells were exposed to polystyrene microplastics (PS-MPs) of 1 and 10 mu m diameter as a model of the environmental contaminants. Both sizes caused a significant reduction in cell proliferation but exhibited little cytotoxicity, as measured by the maintenance of cell viabilities determined by trypan blue staining and by Calcein-AM staining. The cell viabilities did not drop below 93% even at concentrations of PS-MPs as high as 100 mu g/mL. Despite these high viabilities, further assays revealed a population level decrease in metabolic activity parallel in time with a dramatic decrease in proliferation rate in PS-MP exposed cells. Furthermore, phase contrast imaging of live cells at 72 h revealed major changes in the morphology of cells exposed to microplastics, as well as the uptake of multiple 1 PS-MPs into the cells. Confocal fluorescent microscopy at 24 h of exposure confirmed the incorporation of 1 mu m PS-MPs. These disturbances at the proliferative and cytoskeletal levels of human cells lead us to propose that airborne polystyrene microplastics may have toxicologic consequences. This is the first report of exposure of human cells to an environmental contaminant resulting in the dual effects of inhibition of cell proliferation and major changes in cell morphology. Our results make clear that human exposure to microplastic pollution has significant consequence and potential for harm to humans.</t>
  </si>
  <si>
    <t>[Goodman, Kerestin E.; Hare, Joan T.; Khamis, Zahraa, I; Hua, Timothy; Sang, Qing-Xiang Amy] Florida State Univ, Dept Chem &amp; Biochem, Tallahassee, FL 32306 USA; [Khamis, Zahraa, I] Lebanese Univ, Fac Sci, Dept Chem &amp; Biochem, Hadath Beirut, Lebanon; [Sang, Qing-Xiang Amy] Florida State Univ, Inst Mol Biophys, Tallahassee, FL 32306 USA</t>
  </si>
  <si>
    <t>State University System of Florida; Florida State University; Lebanese University; State University System of Florida; Florida State University</t>
  </si>
  <si>
    <t>Sang, QXA (corresponding author), Florida State Univ, Dept Chem &amp; Biochem, Tallahassee, FL 32306 USA.;Sang, QXA (corresponding author), Florida State Univ, Inst Mol Biophys, Tallahassee, FL 32306 USA.</t>
  </si>
  <si>
    <t>qxsang@chem.fsu.edu</t>
  </si>
  <si>
    <t>Khamis, Zahraa/AAE-6925-2020</t>
  </si>
  <si>
    <t>Sang, Qing-Xiang (Amy)/0000-0001-8828-0569; Hua, Timothy/0000-0003-1008-9398</t>
  </si>
  <si>
    <t>Florida State University</t>
  </si>
  <si>
    <t>This work was supported in part by grants from the Florida State University and an Endowed Chair Professorship in Cancer Research from anonymous donors to Q.X.A.S.</t>
  </si>
  <si>
    <t>0893-228X</t>
  </si>
  <si>
    <t>1520-5010</t>
  </si>
  <si>
    <t>CHEM RES TOXICOL</t>
  </si>
  <si>
    <t>Chem. Res. Toxicol.</t>
  </si>
  <si>
    <t>10.1021/acs.chemrestox.0c00486</t>
  </si>
  <si>
    <t>Chemistry, Medicinal; Chemistry, Multidisciplinary; Toxicology</t>
  </si>
  <si>
    <t>Pharmacology &amp; Pharmacy; Chemistry; Toxicology</t>
  </si>
  <si>
    <t>RQ4BA</t>
  </si>
  <si>
    <t>WOS:000642364000013</t>
  </si>
  <si>
    <t>Curren, E; Leong, SCY</t>
  </si>
  <si>
    <t>Curren, Emily; Leong, Sandric Chee Yew</t>
  </si>
  <si>
    <t>Spatiotemporal characterisation of microplastics in the coastal regions of Singapore</t>
  </si>
  <si>
    <t>Microplastics; Distribution; Marine; Seawater</t>
  </si>
  <si>
    <t>MYTILUS-EDULIS; SINKING RATES; INGESTION; FISH; POLLUTANTS; ABUNDANCE; MUSSEL; WATERS</t>
  </si>
  <si>
    <t>In the 21st century, plastic production continues to increase at an unprecedented rate, leading to the global issue of plastic pollution. In marine environments, a significant fraction of plastic litter are microplastics, which have a wide range of effects in marine ecosystems. Here, we examine the spatiotemporal distribution of microplastics along the Johor and Singapore Straits, at surface and at depth. Generally, more microplastics were recorded from the surface waters across both Straits. Fragments were the dominant microplastic type (70%), followed by film (25%) and fiber (5%). A total of seven colours of microplastics were identified, with clear microplastics as the most abundant (64.9%), followed by black (25.1%) and blue (5.5%). Microplastics under 500 mu m in size accounted for 98.9%, followed by particles 500-1000 mu m (1%) and 1-5 mm (0.1%). During the monsoon season, the abundance of microplastics across various sites were observed to be &gt; 1.1 times when compared to the inter-monsoon period. Rainfall was a closely related to the increased microplastic abundance across various sites in the Singapore Strait. This suggests that weather variations during climate change can play critical roles in modulating microplastic availability. Beach sediments facing the Singapore Strait recorded an abundance of 13.1 parti-cles/kg, with polypropylene fragments, polyethylene pellets and thermoplastic polyester foam identified via Fourier transform infrared spectroscopy. Hence, it is crucial to profile the spatio-temporal variation of microplastic abundance in both the surface and in the water column to gain a better understanding of the threat caused by microplastic pollution in the coastal regions of Singapore.</t>
  </si>
  <si>
    <t>[Curren, Emily; Leong, Sandric Chee Yew] Natl Univ Singapore, Trop Marine Sci Inst, St Johns Isl Natl Marine Lab, 18 Kent Ridge Rd, Singapore 119227, Singapore</t>
  </si>
  <si>
    <t>Curren, E (corresponding author), Natl Univ Singapore, Trop Marine Sci Inst, St Johns Isl Natl Marine Lab, 18 Kent Ridge Rd, Singapore 119227, Singapore.</t>
  </si>
  <si>
    <t>; /F-5304-2013</t>
  </si>
  <si>
    <t>Curren, Emily/0000-0002-5327-6647; /0000-0002-6767-0020</t>
  </si>
  <si>
    <t>National University of Singapore(National University of Singapore)</t>
  </si>
  <si>
    <t>This work was partially supported by funds awarded to Dr. Sandric Leong through the National University of Singapore and was made possible because of the support from members of Team HABs, St. John Island National Marine Laboratory. We would like to thank Bruker, Singapore for the FTIR analysis conducted in this study.</t>
  </si>
  <si>
    <t>e12961</t>
  </si>
  <si>
    <t>10.1016/j.heliyon.2023.e12961</t>
  </si>
  <si>
    <t>D5YA3</t>
  </si>
  <si>
    <t>WOS:000969474200001</t>
  </si>
  <si>
    <t>Garrard, SL; Spicer, JI; Thompson, RC</t>
  </si>
  <si>
    <t>Garrard, S. L.; Spicer, J., I; Thompson, R. C.</t>
  </si>
  <si>
    <t>Tyre particle exposure affects the health of two key estuarine invertebrates</t>
  </si>
  <si>
    <t>Tyre/tire wear particles; Microplastics; Ecotoxicology; Benthic invertebrates; Energy reserves; Oxidative stress</t>
  </si>
  <si>
    <t>BIVALVE SCROBICULARIA-PLANA; NEREIS-DIVERSICOLOR; HEDISTE-DIVERSICOLOR; SILVER NANOPARTICLES; ENERGY RESERVES; DIGESTIVE GLAND; MICROPLASTICS; SEDIMENT; ORGANISMS; WATER</t>
  </si>
  <si>
    <t>Tyre wear particles may be the largest source of microplastic to the natural environment, yet information on their biological impacts is inadequate. Two key estuarine invertebrates; the clam Scrobicularia plana and the ragworm Hediste diversicolor were exposed to 10% tyre particles in sediment for three days. Both species consumed the particles, although S. plana consumed 25x more than H. diversicolor (967 compared with 35 particles.g? 1 wet weight, respectively). We then investigated the impact of 21 days exposure to different concentrations of tyre particles in estuarine sediments (0.2, 1, and 5% dry weight sediment) on aspects of the health of S. plana and H. diversicolor. Reductions in feeding and burial rates were observed for S. plana but not H. diversicolor, whilst both species showed a decrease in protein content in response to the greatest tyre particle concentration (5%), linked to an 18% decrease in energy reserves for H. diversicolor. Five percent tyre particle exposure led to an increase in total glutathione in the tissues of H. diversicolor, whilst lipid peroxidation decreased in the digestive glands of S. plana, possibly due to an increase in cell turnover. This study found that S. plana's health was impacted at lower concentrations than H. diversicolor, likely due to its consumption of large quantities of sedi-ment. At the high exposure concentration (5%), the health of both invertebrates was impacted. This study did not separate the effects caused by the microplastic particles versus the effects of the chemical additives leaching from these particles, but our results do indicate that future studies should investigate effects in isolation and in combination, to determine the main drivers of toxicity.</t>
  </si>
  <si>
    <t>[Garrard, S. L.; Spicer, J., I; Thompson, R. C.] Univ Plymouth, Marine Biol &amp; Ecol Res Ctr, Sch Biol &amp; Marine Sci, Plymouth PL4 8AA, England; [Garrard, S. L.] Plymouth Marine Lab, Prospect Pl, Plymouth PL1 3DH, England</t>
  </si>
  <si>
    <t>Garrard, SL (corresponding author), Plymouth Marine Lab, Prospect Pl, Plymouth PL1 3DH, England.</t>
  </si>
  <si>
    <t>sga@pml.ac.uk</t>
  </si>
  <si>
    <t>Thompson, Richard/J-8879-2014; Garrard, Samantha/GWV-3903-2022</t>
  </si>
  <si>
    <t>Thompson, Richard/0000-0003-2262-6621; Garrard, Samantha/0000-0002-4791-7209</t>
  </si>
  <si>
    <t>Daphne Jackson Trust Fellowship; NERC [NE/V00185X/1]; NERC [NE/V00185X/1] Funding Source: UKRI</t>
  </si>
  <si>
    <t>Daphne Jackson Trust Fellowship; NERC(UK Research &amp; Innovation (UKRI)Natural Environment Research Council (NERC)); NERC(UK Research &amp; Innovation (UKRI)Natural Environment Research Council (NERC))</t>
  </si>
  <si>
    <t>This work was funded by a Daphne Jackson Trust Fellowship awarded to SG, sponsored by NERC. RCT was also supported by funding from NERC (NE/V00185X/1).</t>
  </si>
  <si>
    <t>10.1016/j.envpol.2022.120244</t>
  </si>
  <si>
    <t>6N1MG</t>
  </si>
  <si>
    <t>WOS:000889324000005</t>
  </si>
  <si>
    <t>Thebault, H; Charmasson, S; Calmet, D; Arnaud, M; Henocque, Y</t>
  </si>
  <si>
    <t>The coastal Mediterranean monitoring network project: Radionuclide survey</t>
  </si>
  <si>
    <t>RADIATION PROTECTION DOSIMETRY</t>
  </si>
  <si>
    <t>International Symposium on Radionuclides in the Oceans - Distributions, Models and Impacts (RADOC 96-97)</t>
  </si>
  <si>
    <t>APR 07-11, 1997</t>
  </si>
  <si>
    <t>NORWICH, ENGLAND</t>
  </si>
  <si>
    <t>MUSSEL MYTILUS-EDULIS; HEAVY-METAL; ESTUARINE; WATCH; WATER</t>
  </si>
  <si>
    <t>The Water Management Plan (WMP) prepared for the Phone Mediterranean Corsica region by the competent French Water Agency in implementation of the 1992 Law on Water regulations, includes provisions for the coastal zone. One of the basic requirements is the implementation of a comprehensive tool to improve both the knowledge and assessment of coastal water quality: the Coastal Mediterranean Monitoring Network. Among the proposed additional surveys, the institution of uniform, permanent monitoring of various pollutants (including radionuclides) has been adopted. In this context, a preliminary study was run using moored shellfish caging devices at more than 80 stations along the French Mediterranean coast. Half of them were selected for radioactivity measurement. This work, undertaken jointly by IFREMER, the Water Agency and IPSN has produced the first outline of the pollution situation for the French Mediterranean coast along the 30 m isobath. The results are compared with those regularly obtained through the IPSN marine observatory and will help re-focus the radionuclide survey.</t>
  </si>
  <si>
    <t>Inst Protect &amp; Surete Nucl, Lab Etud Radioecol Continentales &amp; Mediterranee, F-83507 Le Seyne Mer, France; Inst Protect &amp; Surete Nucl, Lab Mesure Radioact Environm, F-91400 Orsay, France; IFREMER, Lab Cotier Toulon, F-83507 Le Seyne Mer, France</t>
  </si>
  <si>
    <t>Thebault, H (corresponding author), Inst Protect &amp; Surete Nucl, Lab Etud Radioecol Continentales &amp; Mediterranee, BP 330, F-83507 Le Seyne Mer, France.</t>
  </si>
  <si>
    <t>NUCLEAR TECHNOLOGY PUBL</t>
  </si>
  <si>
    <t>ASHFORD</t>
  </si>
  <si>
    <t>PO BOX 7, ASHFORD, KENT, ENGLAND TN23 1YW</t>
  </si>
  <si>
    <t>0144-8420</t>
  </si>
  <si>
    <t>RADIAT PROT DOSIM</t>
  </si>
  <si>
    <t>Radiat. Prot. Dosim.</t>
  </si>
  <si>
    <t>10.1093/oxfordjournals.rpd.a032245</t>
  </si>
  <si>
    <t>Environmental Sciences; Public, Environmental &amp; Occupational Health; Nuclear Science &amp; Technology; Radiology, Nuclear Medicine &amp; Medical Imaging</t>
  </si>
  <si>
    <t>Environmental Sciences &amp; Ecology; Public, Environmental &amp; Occupational Health; Nuclear Science &amp; Technology; Radiology, Nuclear Medicine &amp; Medical Imaging</t>
  </si>
  <si>
    <t>ZQ347</t>
  </si>
  <si>
    <t>WOS:000073850200008</t>
  </si>
  <si>
    <t>Lares, ML; Orians, KJ</t>
  </si>
  <si>
    <t>Differences in Cd elimination from Mytilus californianus and Mytilus trossulus soft tissues</t>
  </si>
  <si>
    <t>mussels; Mytilus californianus; Mytilus trossulus; Cd exposure; Cd elimination</t>
  </si>
  <si>
    <t>NORTHEAST PACIFIC; EDULIS-PLANULATUS; TRACE-METALS; SEA-WATER; CADMIUM; MUSSEL; ACCUMULATION; FOOD; BIOACCUMULATION; KINETICS</t>
  </si>
  <si>
    <t>Field results have shown that Mytilus californianus is able to release its Cd concentrations significantly in just a few days. The existing paradigm states that Cd elimination from Mytilus soft tissues is a very slow process. This discrepancy was investigated in the laboratory, testing the effect of two Cd levels (10 and 1 mug l(-1)) on its release from Mytilus trossulus and M. californianus soft tissues. After exposure to 10 mug l(-1), both species showed a significant uptake with no elimination after several days of depuration. After exposure to 1 mug l(-1), the responses were different. No significant Cd uptake was seen in M. trossulus while in M. californianus uptake was significant but returned to the background level after just 1 day of depuration. This response of M. californianus is consistent with that reported from field studies. These results are important for environmental monitoring programs since M. californianus has been used as equivalent to other Mytilus species in the assessment of Cd pollution. (C) 2001 Elsevier Science Ltd. All rights reserved.</t>
  </si>
  <si>
    <t>Ctr Invest Cientif &amp; Educ Super Ensenada BC, Dept Ecol, Ensenada 22800, Baja California, Mexico; Univ British Columbia, Dept Earth &amp; Ocean Sci, Vancouver, BC V6T 1Z4, Canada</t>
  </si>
  <si>
    <t>CICESE - Centro de Investigacion Cientifica y de Educacion Superior de Ensenada; University of British Columbia</t>
  </si>
  <si>
    <t>Lares, ML (corresponding author), CICESE, Dept Ecol, POB 434844, San Diego, CA 92143 USA.</t>
  </si>
  <si>
    <t>Orians, Kristin/0000-0002-3217-6778</t>
  </si>
  <si>
    <t>10.1016/S0269-7491(00)00117-2</t>
  </si>
  <si>
    <t>401KZ</t>
  </si>
  <si>
    <t>WOS:000166927900011</t>
  </si>
  <si>
    <t>Stark, JS; Corbett, PA; Dunshea, G; Johnstone, G; King, C; Mondon, JA; Power, ML; Samuel, A; Snape, I; Riddle, M</t>
  </si>
  <si>
    <t>Stark, Jonathan S.; Corbett, Patricia A.; Dunshea, Glenn; Johnstone, Glenn; King, Catherine; Mondon, Julie A.; Power, Michelle L.; Samuel, Angelingifta; Snape, Ian; Riddle, Martin</t>
  </si>
  <si>
    <t>The environmental impact of sewage and wastewater outfalls in Antarctica: An example from Davis station, East Antarctica</t>
  </si>
  <si>
    <t>Antibiotic resistance; Escherichia coli; Benthic communities; Coastal ecosystem; Pollution; Stable isotopes</t>
  </si>
  <si>
    <t>TREMATOMUS-BERNACCHII PISCES; SOFT-SEDIMENT ASSEMBLAGES; ESCHERICHIA-COLI; MCMURDO-STATION; MULTIVARIATE-ANALYSIS; BENTHIC COMMUNITIES; FECAL-COLIFORMS; VESTFOLD HILLS; CASEY STATION; URINARY-TRACT</t>
  </si>
  <si>
    <t>We present a comprehensive scientific assessment of the environmental impacts of an Antarctic wastewater ocean outfall, at Davis station in East Antarctica. We assessed the effectiveness of current wastewater treatment and disposal requirements under the Protocol on Environmental Protection to the Antarctic Treaty. Macerated wastewater has been discharged from an outfall at Davis since the failure of the secondary treatment plant in 2005. Water, sediment and wildlife were tested for presence of human enteric bacteria and antibiotic resistance mechanisms. Epibiotic and sediment macrofaunal communities were tested for differences between sites near the outfall and controls. Local fish were examined for evidence of histopathological abnormalities. Sediments, fish and gastropods were tested for uptake of sewage as measured by stable isotopes of N and C. Escherichia coli carrying antibiotic resistance determinants were found in water, sediments and wildlife (the filter feeding bivalve Laternula eliptica). Fish (Trematomus bernacchii) within close proximity to the outfall had significantly more severe and greater occurrences of histopathological abnormalities than at controls, consistent with exposure to sewage. There was significant enrichment of N-15 in T. bernacchii and the predatory gastropod Neobuccinum eatoni around the outfall, providing evidence of uptake of sewage. There were significant differences between epibiotic and sediment macrofaunal communities at control and outfall sites (&lt;1.5 km), when sites were separated into groups of similar habitat types. Benthic community composition was also strongly related to habitat and environmental drivers such as sea ice. The combined evidence indicated that the discharge of wastewater from the Davis outfall is causing environmental impacts. These findings suggest that conditions in Antarctic coastal locations, such as Davis, are unlikely to be conducive to initial dilution and rapid dispersal of wastewater as required under the Protocol on Environmental Protection to the Antarctic Treaty. Current minimum requirements for wastewater treatment and disposal in Antarctica are insufficient to ameliorate these risks and are likely to lead to accumulation of contaminants and introduction of non-native microbes and associated genetic elements. This new understanding suggests that modernised approaches to the treatment and disposal of wastewater are required in Antarctica. The most effective solution is advanced levels of wastewater treatment, which are now possible, feasible and a high priority for installation. As a direct outcome of the study, a new advanced treatment system is being installed at Davis, effectively avoiding environmental risks. (C) 2016 Elsevier Ltd. All rights reserved.</t>
  </si>
  <si>
    <t>[Stark, Jonathan S.; Johnstone, Glenn; King, Catherine; Snape, Ian; Riddle, Martin] Australian Antarctic Div, Antarctic Conservat &amp; Management Theme, Channel Hwy, Kingston, Tas 7050, Australia; [Corbett, Patricia A.; Mondon, Julie A.] Deakin Univ, Ctr Integrat Ecol, Sch Life &amp; Environm Sci, Warrnambool Campus,POB 423, Warrnambool, Vic 3280, Australia; [Dunshea, Glenn] Ecol Marine Serv Pty Ltd, 2-3 Thomsen St, Millbank, Qld 4670, Australia; [Power, Michelle L.] Macquarie Univ, Dept Biol Sci, N Ryde, NSW 2109, Australia; [Samuel, Angelingifta] Australian Natl Univ, Res Sch Biol, Div Evolut Ecol &amp; Genet, 116 Daley Rd, Acton, ACT 2601, Australia</t>
  </si>
  <si>
    <t>Australian Antarctic Division; Deakin University; Macquarie University; Australian National University</t>
  </si>
  <si>
    <t>Stark, JS (corresponding author), Australian Antarctic Div, Antarctic Conservat &amp; Management Theme, Channel Hwy, Kingston, Tas 7050, Australia.</t>
  </si>
  <si>
    <t>jonny.stark@aad.gov.au</t>
  </si>
  <si>
    <t>Stark, Jonathan/ABF-4025-2020; King, Catherine/G-7059-2017</t>
  </si>
  <si>
    <t>Power, Michelle/0000-0003-3160-4301; Johnstone, Glenn/0000-0002-9302-4794; Dunshea, Glenn/0000-0002-8683-0181; Corbett, Patricia/0000-0002-0867-9113; Stark, Jonathan/0000-0002-4268-8072; King, Catherine/0000-0003-3356-0381</t>
  </si>
  <si>
    <t>Australian Antarctic Division [3217]</t>
  </si>
  <si>
    <t>Australian Antarctic Division</t>
  </si>
  <si>
    <t>This project was made possible by the contributions of the following people: Helena Baird, Peter Barnes, Damon Bolton, Kathryn Brown, Lachlan Byatt, Cawthorn, Ben Coombe, Chris Gillies, Roger Handsworth, Melanie Ho, Greg Hince, Teresa O'Leary, Ewan McIvor, Michael Packer, Mark Pekin, Simon Reeves, Bianca Sfiligoj, Kate Stark, Scott Stark, Aaron Spur, Michelle Thums, Patti Virtue, Lauren Wise, Ellen Woolfenden, Mike Woolridge. This study was funded by the Australian Antarctic Division, project 3217.</t>
  </si>
  <si>
    <t>10.1016/j.watres.2016.09.026</t>
  </si>
  <si>
    <t>WOS:000385902000062</t>
  </si>
  <si>
    <t>Olsson, B; Bradley, BP; Gilek, M; Reimer, O; Shepard, JL; Tedengren, M</t>
  </si>
  <si>
    <t>Physiological and proteomic responses in Mytilus edulis exposed to PCBs and PAHs extracted from Baltic Sea sediments</t>
  </si>
  <si>
    <t>17th Baltic Marine Biologists Symposium</t>
  </si>
  <si>
    <t>NOV 25-29, 2001</t>
  </si>
  <si>
    <t>Stockholm, SWEDEN</t>
  </si>
  <si>
    <t>proteome; stress proteins; physiology; blue mussels; organic contaminants; Baltic Sea</t>
  </si>
  <si>
    <t>POLYCHLORINATED BIPHENYL CONGENERS; POLYCYCLIC AROMATIC-HYDROCARBONS; PROTEIN EXPRESSION SIGNATURES; HEAT-SHOCK PROTEINS; STRESS PROTEINS; BLUE MUSSEL; COPPER CONCENTRATIONS; MARINE ORGANISMS; NORTH-SEA; INDUCTION</t>
  </si>
  <si>
    <t>Stress responses in blue mussels (Mytilus edulis. L.) exposed to organic pollutants were measured using several physiological measures and as changes in protein expression. Blue mussels from the Baltic Sea were exposed for 6 days in a flow-through system to two fractions of extracted Baltic sediments (containing primarily PAHs or PCBs) from one industrially impacted site and one off-shore site. Exposure to Aroclor1248 (a commercial PCB mixture) was included as a reference treatment. Physiological response was measured as changes in respiration, excretion, clearance rates and scope for growth. Of the physiological responses, only clearance rate and scope for growth in the Aroclor and impacted site PCB treatments differed significantly (p &lt; 0.05) from control organisms, perhaps due to a large variation among individuals. Seven proteins were observed, presumed to be from stress protein families (hsp60, hsp70 and hsp90) on one-dimensional electrophoresis gels. All protein levels, except three proteins, 62, 73 and 90 kDa, in response to PCB exposure from the industrial site, were significantly higher (p &lt; 0.05) in treated than in control organisms, suggesting the use of stress-inducible proteins as diagnostics in risk assessment. A wider sample of proteins was observed using two-dimensional gel electrophoresis. The presence or absence of protein spots compared to control organisms was used as an indication of stress. Between 23 and 76 proteins or spots were present and 15 to 23 absent compared to controls, and the results supported the physiological and one-dimensional gel results, suggesting that the mussels were indeed suffering from stress. The methods used here represent stress monitoring at two different levels of biological organization; the cellular- and the level of individual organisms. In this experiment the protein response showed less variation among individuals compared to the physiological parameters. The protein response, however, still suffers from the lack of interpretation into commonly used monitoring terms, which emphasizes the need for more knowledge of whether the response is a momentary reflection of exposure or an early warning of higher order effects.</t>
  </si>
  <si>
    <t>Univ Stockholm, Dept Syst Ecol, S-10691 Stockholm, Sweden; Univ Maryland Baltimore Cty, Dept Biol Sci, Baltimore, MD 21228 USA</t>
  </si>
  <si>
    <t>tedengren@ecology.su.se</t>
  </si>
  <si>
    <t>Tedengren, Michael/0000-0002-1087-6714; Gilek, Michael/0000-0001-8536-373X</t>
  </si>
  <si>
    <t>10.1023/B:hydr.0000018203.90350.8e</t>
  </si>
  <si>
    <t>811PS</t>
  </si>
  <si>
    <t>WOS:000220784400003</t>
  </si>
  <si>
    <t>Cui, XJ; Wan, B; Guo, LH; Yang, Y; Ren, XM</t>
  </si>
  <si>
    <t>Cui, Xuejing; Wan, Bin; Guo, Liang-Hong; Yang, Yu; Ren, Xiaomin</t>
  </si>
  <si>
    <t>Insight into the Mechanisms of Combined Toxicity of Single-Walled Carbon Nanotubes and Nickel Ions in Macrophages: Role of P2X7 Receptor</t>
  </si>
  <si>
    <t>TITANIUM-DIOXIDE NANOPARTICLES; MARINE BIVALVE; ANTIOXIDANT DEFENSES; CARASSIUS-AURATUS; COMBINED EXPOSURE; DIVALENT-CATIONS; P2X7 RECEPTORS; ACCUMULATION; METAL; BIOACCUMULATION</t>
  </si>
  <si>
    <t>Coexistence of nanomaterials and environmental pollutants requires in-depth understanding of combined toxicity and underlying mechanism. In this work, we found that coexposure to the mixture of noncytotoxic level of single-walled carbon nanotubes (SWCNTs) (10 mu g/mL) and Ni2+ (20 mu M) induced significant cytotoxicity in macrophages. However, almost equal amount of intracellular Ni2+ was detected after Ni2+/SWCNT coexposure or Ni2+ single exposure, indicating no enhanced cellular uptake of Ni2+ occurred. SDS-PAGE analysis revealed 50% more SWCNTs retained in Ni2+/SWCNT exposed cells than that with SWCNT exposure alone, regardless of the exposure sequence (coexposure, Ni2+ pre- or post-treatment), suggesting inhibited SWCNT exocytosis by Ni2+. The increased cellular dose of SWCNTs could quantitatively account for the elevated toxicity of Ni2+/SWCNT mixture to cells. It was then found that agonist (ATP) and antagonist (o-ATP) of P2X(7)R could regulate intracellular SWCNT amount and the cytotoxicity accordingly. In addition, inhibition of P2X(7)R by P2X(7)-targeting siRNA diminished the inhibitory effect of Ni2+. It was therefore concluded that Ni2+ impeded SWCNT exocytosis by inhibiting P2X(7)R, leading to higher intracellular retention of SWCNTs and elevated cytotoxicity. Our work identified exocytosis inhibition as an important mechanism for SWCNT/Ni2+ toxicity, and revealed the crucial role of P2X(7)R. in mediating such inhibitory effect.</t>
  </si>
  <si>
    <t>[Cui, Xuejing; Wan, Bin; Guo, Liang-Hong; Yang, Yu; Ren, Xiaomin] Chinese Acad Sci, Res Ctr Ecoenvironm Sci, State Key Lab Environm Chem &amp; Ecotoxicol, Beijing 100085, Peoples R China; [Cui, Xuejing; Wan, Bin; Guo, Liang-Hong; Ren, Xiaomin] Univ Chinese Acad Sci, Beijing 100049, Peoples R China; [Guo, Liang-Hong] Jianghan Univ, Inst Environm &amp; Hlth, Wuhan 430056, Hubei, Peoples R China</t>
  </si>
  <si>
    <t>Chinese Academy of Sciences; Research Center for Eco-Environmental Sciences (RCEES); Chinese Academy of Sciences; University of Chinese Academy of Sciences, CAS; Jianghan University</t>
  </si>
  <si>
    <t>Wan, B; Guo, LH (corresponding author), Chinese Acad Sci, Res Ctr Ecoenvironm Sci, State Key Lab Environm Chem &amp; Ecotoxicol, Beijing 100085, Peoples R China.;Wan, B; Guo, LH (corresponding author), Univ Chinese Acad Sci, Beijing 100049, Peoples R China.;Guo, LH (corresponding author), Jianghan Univ, Inst Environm &amp; Hlth, Wuhan 430056, Hubei, Peoples R China.</t>
  </si>
  <si>
    <t>binwan@rcees.ac.cn; LHGuo@rcees.ac.cn</t>
  </si>
  <si>
    <t>Guo, Liang-Hong/A-2909-2012</t>
  </si>
  <si>
    <t>Chinese Academy of Sciences [XDB14040101]; Key Research Program of Frontier Sciences, CAS [QYZDJ-SSW-DQC020-02]; National Natural Science Foundation of China [21477146, 21277158, 91543203, 21321004, 21577163, 21407168]</t>
  </si>
  <si>
    <t>Chinese Academy of Sciences(Chinese Academy of Sciences); Key Research Program of Frontier Sciences, CAS; National Natural Science Foundation of China(National Natural Science Foundation of China (NSFC))</t>
  </si>
  <si>
    <t>This work was supported by the Chinese Academy of Sciences (XDB14040101), Key Research Program of Frontier Sciences, CAS (QYZDJ-SSW-DQC020-02) and National Natural Science Foundation of China (21477146, 21277158, 91543203, 21321004, 21577163, 21407168).</t>
  </si>
  <si>
    <t>10.1021/acs.est.6b03842</t>
  </si>
  <si>
    <t>EC5ED</t>
  </si>
  <si>
    <t>WOS:000388155000047</t>
  </si>
  <si>
    <t>Sun, SM; Jin, YT; Luo, PH; Shi, XT</t>
  </si>
  <si>
    <t>Sun, Shengming; Jin, Yiting; Luo, Penghui; Shi, Xiaotao</t>
  </si>
  <si>
    <t>Polystyrene microplastics induced male reproductive toxicity and transgenerational effects in freshwater prawn</t>
  </si>
  <si>
    <t>Polystyrenemicroplastics; Crustacean; Testis; Reproductivetoxicity; Transgenerationaleffects</t>
  </si>
  <si>
    <t>OXIDATIVE STRESS; EXPOSURE; IMMOBILIZATION; ACCUMULATION; PARTICLES; INGESTION; APOPTOSIS; LINNAEUS; HYPOXIA; MUSSEL</t>
  </si>
  <si>
    <t>Microplastics have become pervasive environmental pollutants, especially in freshwater rivers and lakes. However, how freshwater prawns' reproductive system is affected by polystyrene microplastics (PS-MPs) remains incompletely understood. Thus, the present study aimed to determine the effect of PS-MPs on the male reproductive system and off -spring larval immunity in oriental river prawn. Acute exposure to PS-MPs decreased the survival rate and heart rate of prawn larvae. After chronic exposure to PS-MPs (2 and 20 mg/L) for four weeks, the oxidative stress generation in tes-tis tissue indicated a negative impact on male prawn testicular function. PS-MPs disrupted testicular germ cell quality and caused sex hormone imbalance, leading to reduced hatching success and survival of F1 larvae, despite not being exposed to PS-MPs. Steroidogenic gene expression was altered and apoptosis-related genes had higher expression in the gonads after parental exposure to PS-MPs. Decreased immunity-related enzyme activities were observed in F1 lar-vae with/without continued PS-MPs exposure, compared with those in untreated prawns. A concentration-dependent increase in bioaccumulation of PS-MPs in different tissues of larval offspring was observed. Thus, PS-MPs had multiple effects on male reproductive dysfunction and transgenerational toxicity in prawns. Our findings provide a novel insight into the reproductive toxicity mechanism of microplastics in freshwater crustaceans.</t>
  </si>
  <si>
    <t>[Sun, Shengming; Jin, Yiting; Luo, Penghui] Shanghai Ocean Univ, Key Lab Explorat &amp; Utilisat Aquat Genet Resources, Minist Educ, Shanghai 201306, Peoples R China; [Sun, Shengming] Shanghai Ocean Univ, Minist Sci &amp; Technol, Int Res Ctr Marine Biosci, Shanghai 201306, Peoples R China; [Shi, Xiaotao] China Three Gorges Univ, Hubei Int Sci &amp; Technol Cooperat Base Fish Passage, Yichang 443002, Peoples R China</t>
  </si>
  <si>
    <t>Shanghai Ocean University; Shanghai Ocean University; China Three Gorges University</t>
  </si>
  <si>
    <t>Sun, SM (corresponding author), Shanghai Ocean Univ, Key Lab Explorat &amp; Utilisat Aquat Genet Resources, Minist Educ, Shanghai 201306, Peoples R China.</t>
  </si>
  <si>
    <t>sunshengming621416@163.com</t>
  </si>
  <si>
    <t>Key R &amp; D Program of Guangdong Province, China [2020B0202010001]; Key R &amp; D Program of Ningxia Province, China [2022ZDYF0569]; National Key Research and Develop-ment Program of China [2019YFD0900400]</t>
  </si>
  <si>
    <t>Key R &amp; D Program of Guangdong Province, China; Key R &amp; D Program of Ningxia Province, China; National Key Research and Develop-ment Program of China</t>
  </si>
  <si>
    <t>Acknowledgements This study was supported by the Key R &amp; D Program of Guangdong Province, China (2020B0202010001) , the Key R &amp; D Program of Ningxia Province, China (2022ZDYF0569) , the National Key Research and Develop-ment Program of China (2019YFD0900400) .</t>
  </si>
  <si>
    <t>10.1016/j.scitotenv.2022.156820</t>
  </si>
  <si>
    <t>2U5XZ</t>
  </si>
  <si>
    <t>WOS:000823234600010</t>
  </si>
  <si>
    <t>Lin, L; Chen, CC; Zhu, XS; Pan, K; Xu, XR</t>
  </si>
  <si>
    <t>Lin, Lin; Chen, Ciara Chun; Zhu, Xiaoshan; Pan, Ke; Xu, Xiangrong</t>
  </si>
  <si>
    <t>Risk of aquaculture-derived microplastics in aquaculture areas: An overlooked issue or a non-issue?</t>
  </si>
  <si>
    <t>aquaculture; microplastics; occurrence; bioaccumulation; ecological risk</t>
  </si>
  <si>
    <t>GASTROINTESTINAL-TRACT; COASTAL WATERS; SEA; MUSSEL; WILD; INGESTION; SEDIMENTS; POLLUTION; BEACHES</t>
  </si>
  <si>
    <t>Plastic equipment such as fishing nets and foam buoys has been widely used in aquaculture. This kind of equipment would gradually decompose while being subject to the long-term effects of physical, chemical, and biological degradation processes, leading to the release of large amounts of microplastics (MPs) into the local marine environment and the generation of aquaculture-derived MPs (AD-MPs). The rapid growth of aquaculture has resulted in an explosion of AD-MPs with various environmental consequences. The accumulation of MPs in aquatic products was found closely related to the abundance of environmental MPs, suggesting the importance of determining whether AD-MPs increase the risk of MP ingestion by aquatic products and thus endanger aquatic food safety. In this short communication, the ecological and health risks of AD-MPs were discussed and perspectives were proposed for future studies.</t>
  </si>
  <si>
    <t>[Lin, Lin; Chen, Ciara Chun; Zhu, Xiaoshan] Tsinghua Univ, Shenzhen Int Grad Sch, Shenzhen, Peoples R China; [Chen, Ciara Chun; Pan, Ke] Shenzhen Univ, Inst Adv Study, Shenzhen, Peoples R China; [Zhu, Xiaoshan] South Lab Ocean Sci &amp; Engn Guangdong, Zhuhai, Peoples R China; [Xu, Xiangrong] Chinese Acad Sci, South China Sea Inst Oceanol, Key Lab Trop Marine Bioresources &amp; Ecol, Guangdong Prov Key Lab Appl Marine Biol, Guangzhou, Peoples R China</t>
  </si>
  <si>
    <t>Tsinghua University; Shenzhen University; Chinese Academy of Sciences; South China Sea Institute of Oceanology, CAS</t>
  </si>
  <si>
    <t>Zhu, XS (corresponding author), Tsinghua Univ, Shenzhen Int Grad Sch, Shenzhen, Peoples R China.;Zhu, XS (corresponding author), South Lab Ocean Sci &amp; Engn Guangdong, Zhuhai, Peoples R China.</t>
  </si>
  <si>
    <t>zhu.xiaoshan@sz.tsinghua.edu.cn</t>
  </si>
  <si>
    <t>Xu, Xiangrong/B-7054-2011; Chen, Ciara/GWM-8883-2022; Zhu, Xiao-Shan/B-2179-2015</t>
  </si>
  <si>
    <t>Zhu, Xiao-Shan/0000-0003-1223-1415; Xu, Xiangrong/0009-0008-0888-1662</t>
  </si>
  <si>
    <t>National Natural Science Foundation of China [41877352, 41876129, 42006141]; Natural Science Foundation of Guangdong Province [2021A1515010158]; Shenzhen Fundamental Research and Discipline Layout project [JCYJ20180507182227257]</t>
  </si>
  <si>
    <t>National Natural Science Foundation of China(National Natural Science Foundation of China (NSFC)); Natural Science Foundation of Guangdong Province(National Natural Science Foundation of Guangdong Province); Shenzhen Fundamental Research and Discipline Layout project</t>
  </si>
  <si>
    <t>Funding This work was supported by the National Natural Science Foundation of China (Nos. 41877352, 41876129, 42006141), Natural Science Foundation of Guangdong Province (No. 2021A1515010158), and Shenzhen Fundamental Research and Discipline Layout project (JCYJ20180507182227257).</t>
  </si>
  <si>
    <t>10.3389/fmars.2022.923471</t>
  </si>
  <si>
    <t>3P0HS</t>
  </si>
  <si>
    <t>WOS:000837218200001</t>
  </si>
  <si>
    <t>Trombini, C; Fabbri, E; Blasco, J</t>
  </si>
  <si>
    <t>Trombini, Chiara; Fabbri, Elena; Blasco, Julian</t>
  </si>
  <si>
    <t>Temporal variations in metallothionein concentration and subcellular distribution of metals in gills and digestive glands of the oyster Crassostrea angulata</t>
  </si>
  <si>
    <t>14th Iberian Seminar on Marine Chemistry</t>
  </si>
  <si>
    <t>SEP 22-24, 2008</t>
  </si>
  <si>
    <t>metallothionein; metals; subcellular distribution; River Guadalquivir estuary; mining accident; Crassostrea angulata</t>
  </si>
  <si>
    <t>MYTILUS-GALLOPROVINCIALIS; TRACE-METALS; POLLUTION; ESTUARY; CD; BIOACCUMULATION; CONTAMINATION; INDUCTION; BIVALVE; CADMIUM</t>
  </si>
  <si>
    <t>The metallothionein levels and metal concentrations in whole body digestive gland and gills of Crassostrea angulata were analyzed in field samples collected from the River Guadalquivir estuary over several years following a mining waste spill upstream The subcellular distribution of metals was analyzed to determine the mechanisms involved in the detoxification process The highest metallothionein levels were reported in the digestive gland shortly after the mining contamination event In this organ metals are stored preferentially in the non cytosolic fraction when increased bioaccumulation takes place In the cytosol of the gills metals are associated with metallothionein whereas in the digestive gland the distribution of metals between metallothioneins and high molecular weight proteins is similar Metallothionein variation cannot be explained by metals alone other abiotic factors must be taken into account In order to use metallothionein as a metal exposure biomarker in field studies natural variability needs to be taken into account for the correct interpretation of results</t>
  </si>
  <si>
    <t>[Trombini, Chiara; Blasco, Julian] CSIC, Inst Ciencias Marinas Andalucia, Cadiz 11510, Spain; [Fabbri, Elena] Univ Bologna, Interdisciplinary Ctr Res Environm Sci CIRSA, I-40126 Bologna, Italy</t>
  </si>
  <si>
    <t>Consejo Superior de Investigaciones Cientificas (CSIC); CSIC - Instituto de Ciencias Marinas de Andalucia (ICMAN); University of Bologna</t>
  </si>
  <si>
    <t>Trombini, C (corresponding author), CSIC, Inst Ciencias Marinas Andalucia, Campus Rio San Pedro, Cadiz 11510, Spain.</t>
  </si>
  <si>
    <t>Fabbri, Elena/KAM-0365-2024; Blasco, Julian/A-5319-2008</t>
  </si>
  <si>
    <t>Blasco, Julian/0000-0002-9750-383X; FABBRI, Elena/0000-0002-9957-8202</t>
  </si>
  <si>
    <t>10.3989/scimar.2010.74s1143</t>
  </si>
  <si>
    <t>692PI</t>
  </si>
  <si>
    <t>WOS:000285164400015</t>
  </si>
  <si>
    <t>Mohan, P; Hamid, FS; Furumaiv, H; Nishikawa, K</t>
  </si>
  <si>
    <t>Mohan, Priya; Hamid, Fauziah Shahul; Furumaiv, Hiroaki; Nishikawa, Kahoko</t>
  </si>
  <si>
    <t>Beneath the surface: Exploring microplastic intricacies in Anadara granosa</t>
  </si>
  <si>
    <t>Anadara granosa; Microplastic; Principal component analysis (PCA); Risk assessment; Estimated dietary intake (EDI); Trophic transfer</t>
  </si>
  <si>
    <t>HEAVY-METAL POLLUTION; TEGILLARCA-GRANOSA; INGESTION; ABUNDANCE; COCKLES; MUSSELS; BIVALVES; OYSTERS; MARKET; CLAM</t>
  </si>
  <si>
    <t>Anadara granosa or blood cockles have been reported to be a candidate for biomonitoring agents due to their sedimentary nature and their nutrient uptake mechanisms. Yet, this bivalve is still regarded as a delicacy in Asian cuisine. Malaysia is the largest exporter of this sea product that contaminated cockles may also be experienced by the importing countries. However, the bioaccumulation of microplastics in A. granosa cultivated in Malaysia has not been extensively studied. It is crucial to comprehend the risk posed to humans by consuming A. granosa in their diet. Therefore, the purpose of this research is to investigate the levels of microplastic accumulation in A. granosa from major exporters in Peninsular Malaysia, to evaluate the associated risk of microplastics on the species, and to estimate daily human consumption of microplastics through the consumption of A. granosa. The abundance of microplastics was quantified through the use of a stereo microscope, and the polymer type was determined using FTIR and micro-FTIR. Findings from this investigation revealed that all samples of A. granosa were contaminated with microplastics, with the highest levels of accumulation found in bivalves collected from the west coast (0.26 +/- 0.15 particles/g) of Peninsular Malaysia. Fragment and fiber microplastics, measuring between 0.05 and 0.1 mm in size, were found to be the most prevalent in A. granosa, with blue being the dominant identified colour and rayon being the most common polymer type. Microplastic risk assessment due to the presence of polyacrylate, polycarbonate (PC), and polymethyl methacrylate (PMMA) resulted in a high risk of contamination for A. granosa. It was further determined that the current estimated dietary intake (EDI) suggests that consumers of A. granosa uptake approximately 21.8 -93.5 particles/person/year of microplastics. This study highlights that A. granosa accumulates microplastics, which could potentially result in bioaccumulation and biomagnification in humans through consumption.</t>
  </si>
  <si>
    <t>[Mohan, Priya; Hamid, Fauziah Shahul] Univ Malaya, Inst Biol Sci, Fac Sci, Kuala Lumpur 50603, Malaysia; [Hamid, Fauziah Shahul] Univ Malaya, Fac Sci, Ctr Res Waste Management, Kuala Lumpur 50603, Malaysia; [Furumaiv, Hiroaki] Chuo Univ, Res &amp; Dev Initiat, Tokyo, Japan; [Nishikawa, Kahoko] Chuo Univ, Fac Commerce, Tokyo, Japan</t>
  </si>
  <si>
    <t>Universiti Malaya; Universiti Malaya; Chuo University; Chuo University</t>
  </si>
  <si>
    <t>Hamid, FS (corresponding author), Univ Malaya, Inst Biol Sci, Fac Sci, Kuala Lumpur 50603, Malaysia.;Hamid, FS (corresponding author), Univ Malaya, Fac Sci, Ctr Res Waste Management, Kuala Lumpur 50603, Malaysia.</t>
  </si>
  <si>
    <t>mohan, priya/JPX-7772-2023; Shahul Hamid, Fauziah/B-5213-2010</t>
  </si>
  <si>
    <t>Shahul Hamid, Fauziah/0000-0002-4083-0602</t>
  </si>
  <si>
    <t>Chuo University, Tokyo, Japan [IF011-2022]</t>
  </si>
  <si>
    <t>Chuo University, Tokyo, Japan</t>
  </si>
  <si>
    <t>This work was supported by the Chuo University, Tokyo, Japan [grant number: IF011-2022] .</t>
  </si>
  <si>
    <t>10.1016/j.marenvres.2024.106581</t>
  </si>
  <si>
    <t>WQ2Q2</t>
  </si>
  <si>
    <t>WOS:001256276900001</t>
  </si>
  <si>
    <t>Park, JG; Iwata, H; Tue, NM; Kunisue, T; Kim, EY</t>
  </si>
  <si>
    <t>Park, Jae Gon; Iwata, Hisato; Tue, Nguyen Minh; Kunisue, Tatsuya; Kim, Eun-Young</t>
  </si>
  <si>
    <t>Effects of 1,3,7-tribromodibenzo-p-dioxin, a natural dioxin on chicken embryos: Comparison with effects of 2,3,7,8-tetrachlorodibenzo-p-dioxin</t>
  </si>
  <si>
    <t>1; 3; 7-tribromodibenzo-p-dioxin (1; 7-TriBDD); Natural dioxin; 2; 7; 8-tetrachlorodibenzo-p-dioxin (TCDD); Dioxins; Chick embryo; Transcriptome</t>
  </si>
  <si>
    <t>CORMORANT PHALACROCORAX-CARBO; DIBENZO-P-DIOXINS; DIPHENYL ETHERS; BLUE MUSSELS; TCDD; INSULIN; GROWTH; KINASES; GLUCOSE; CYP1A5</t>
  </si>
  <si>
    <t>Several naturally occurring dioxins, including 1,3,7-tribromodibenzo-p-dioxin (1,3,7-TriBDD), synthesized by red algae, have been detected in the marine environment. As 1,3,7-TriBDD is accumulated in mussels and fish, predators, such as marine birds, are exposed to this congener, similar to anthropogenic dioxins (including 2,3,7,8-tetrachlorodibenzo-p-dioxin TCDD). However, little is known about the impact of 1,3,7-TriBDD exposure on the bird health. To understand the effects of 1,3,7-TriBDD on birds, the phenotypic effects and hepatic transcriptome were investigated in chicken (Gallus gallus) embryos treated with 27 mu M (2.9 ng/g egg) and 137 mu M (14.4 ng/g egg) 1,3,7-TriBDD. The blood glucose levels in the 1,3,7-TriBDD-treated groups were lower than those in the control group. The transcriptome analysis of 6520 sequences in the 27 and 137 mu M 1,3,7-TriBDDtreated groups identified 733 and 596 differentially expressed genes (DEGs). Cytochrome P450 1A4 and 1A5 were also identified as DEGs, suggesting that the aryl hydrocarbon receptor is activated by this congener. Pathway and network analyses with DEGs suggested that 1,3,7-TriBDD may induce carcinogenic effects and metabolic alterations. These results were similar to the effects on TCDD-treated embryos. Nevertheless, the overall transcriptome results suggested that compared with TCDD, 1,3,7-TriBDD has a unique impact on insulinand peroxisome-signaling pathways in chicken embryos. Differences in altered transcriptome profiles between 1,3,7-TriBDD- and TCDD-treated embryos may lead to different phenotypic effects: less severe effects of 1,3,7TriBDD and more fatal effects of TCDD. Collectively, these findings warrant the further assessment of the hazard and risk of 1,3,7-TriBDD on marine animals, considering increased exposure due to climate change.</t>
  </si>
  <si>
    <t>[Park, Jae Gon; Kim, Eun-Young] Kyung Hee Univ, Dept Biol, Seoul 130701, South Korea; [Iwata, Hisato; Tue, Nguyen Minh; Kunisue, Tatsuya; Kim, Eun-Young] Ehime Univ, Ctr Marine Environm Studies CMES, Matsuyama, Ehime 7908577, Japan; [Kim, Eun-Young] Kyung Hee Univ, Dept Biol, Dept Life &amp; Nanopharmaceut Sci, Seoul 130701, South Korea</t>
  </si>
  <si>
    <t>Kyung Hee University; Ehime University; Kyung Hee University</t>
  </si>
  <si>
    <t>Kim, EY (corresponding author), Kyung Hee Univ, Dept Biol, Seoul 130701, South Korea.;Kim, EY (corresponding author), Ehime Univ, Ctr Marine Environm Studies CMES, Matsuyama, Ehime 7908577, Japan.;Kim, EY (corresponding author), Kyung Hee Univ, Dept Biol, Dept Life &amp; Nanopharmaceut Sci, Seoul 130701, South Korea.</t>
  </si>
  <si>
    <t>eykim08@khu.ac.kr</t>
  </si>
  <si>
    <t>Kunisue, Tatsuya/G-4171-2014</t>
  </si>
  <si>
    <t>Park, Jae Gon/0000-0002-6034-6287</t>
  </si>
  <si>
    <t>National Research Foundation of Korea (NRF) - Korea government (Ministry of Edu-cation, Science and Technology) [2019R1A2C1084556, 2021K2A91A01102192, 2022R1A2C1006006]; Japan Society for the Promotion of Science [26220103, 19K22912]; Ministry of Education, Culture, Sports, Science and Technology (MEXT) , Japan; Grants-in-Aid for Scientific Research [19K22912, 26220103] Funding Source: KAKEN</t>
  </si>
  <si>
    <t>National Research Foundation of Korea (NRF) - Korea government (Ministry of Edu-cation, Science and Technology)(National Research Foundation of Korea); Japan Society for the Promotion of Science(Ministry of Education, Culture, Sports, Science and Technology, Japan (MEXT)Japan Society for the Promotion of Science); Ministry of Education, Culture, Sports, Science and Technology (MEXT) , Japan(Ministry of Education, Culture, Sports, Science and Technology, Japan (MEXT)); Grants-in-Aid for Scientific Research(Ministry of Education, Culture, Sports, Science and Technology, Japan (MEXT)Japan Society for the Promotion of ScienceGrants-in-Aid for Scientific Research (KAKENHI))</t>
  </si>
  <si>
    <t>This research was supported by the National Research Foundation of Korea (NRF) grant funded by the Korea government (Ministry of Edu-cation, Science and Technology) to E.-Y. Kim. (2019R1A2C1084556, 2021K2A91A01102192 and 2022R1A2C1006006) . This study was also supported by Grants-in-Aid for Scientific Research (S) (No. 26220103) and Challenging Research (Exploratory) (No. 19K22912) to H.I. from Japan Society for the Promotion of Science and ?Joint Usage/Research Center - Leading Academia in Marine and Environment Pollution Research (LaMer) ? from the Ministry of Education, Culture, Sports, Science and Technology (MEXT) , Japan.</t>
  </si>
  <si>
    <t>10.1016/j.ecoenv.2022.113538</t>
  </si>
  <si>
    <t>1L0QA</t>
  </si>
  <si>
    <t>WOS:000798996500007</t>
  </si>
  <si>
    <t>Koprivnikar, J; Forbes, MR; Baker, RL</t>
  </si>
  <si>
    <t>Effects of atrazine on cercarial longevity, activity, and infectivity</t>
  </si>
  <si>
    <t>JOURNAL OF PARASITOLOGY</t>
  </si>
  <si>
    <t>SCHISTOSOMA-MANSONI-CERCARIAE; DIPLOSTOMUM-SPATHACEUM TREMATODA; ECHINOSTOMA-TRIVOLVIS CERCARIAE; SURVIVAL; POLLUTION; PARASITES; TOXICITY; CADMIUM; LARVAE; ZINC</t>
  </si>
  <si>
    <t>Susceptibility of free-living infective stages of parasites to contaminants is relatively understudied compared with independent effects on measures of host health or immunity, but may be important in affecting prevalence and intensity of parasite infections. We investigated whether atrazine, an herbicide commonly used in North America. affected the cercariae of 4 different species of digenetic trematodes, and found that effects of atrazine concentration on mortality and activity of cercariae varied among species. Mortality of Echinostoma trivolvis increased in a 200 mu g/L atrazine solution, and a species of Alaria showed both decreased activity and increased mortality. We also examined whether the ability of E. trivolvis to infect the second intermediate host, larval amphibians, was compromised by atrazine exposure. Longevity and prevalence of E. trivolvis cercariae was affected at 200 mu g/L atrazine, whereas intensity of infection in Rana clamitans tadpoles was reduced at both 20 mu g/L and 200 mu g/L atrazine. Our results indicate that the viability of cercariae of some species is compromised by exposure to atrazine, emphasizing the importance of considering the influence of contaminants on free-living stages of parasites in addressing how environmental degradation may relate to host parasitism.</t>
  </si>
  <si>
    <t>Univ Toronto, Dept Biol, Mississauga, ON L5L 1C6, Canada</t>
  </si>
  <si>
    <t>University of Toronto; University Toronto Mississauga</t>
  </si>
  <si>
    <t>Univ Toronto, Dept Biol, Mississauga, ON L5L 1C6, Canada.</t>
  </si>
  <si>
    <t>Forbes, Mark/B-3575-2013</t>
  </si>
  <si>
    <t>Forbes, Mark/0000-0002-2288-3209</t>
  </si>
  <si>
    <t>ALLEN PRESS INC</t>
  </si>
  <si>
    <t>810 E 10TH ST, LAWRENCE, KS 66044 USA</t>
  </si>
  <si>
    <t>0022-3395</t>
  </si>
  <si>
    <t>1937-2345</t>
  </si>
  <si>
    <t>J PARASITOL</t>
  </si>
  <si>
    <t>J. Parasitol.</t>
  </si>
  <si>
    <t>10.1645/GE-624R.1</t>
  </si>
  <si>
    <t>039TG</t>
  </si>
  <si>
    <t>WOS:000237329400014</t>
  </si>
  <si>
    <t>Nam, SE; Haque, MN; Lee, JS; Park, HS; Rhee, JS</t>
  </si>
  <si>
    <t>Nam, Sang-Eun; Haque, Md Niamul; Lee, Jung Sick; Park, Hyoung Sook; Rhee, Jae-Sung</t>
  </si>
  <si>
    <t>Prolonged exposure to hypoxia inhibits the growth of Pacific abalone by modulating innate immunity and oxidative status</t>
  </si>
  <si>
    <t>20th International Symposium on Pollutant Responses in Marine Organisms (PRIMO)</t>
  </si>
  <si>
    <t>MAY 19-22, 2019</t>
  </si>
  <si>
    <t>Abalone; Hypoxia; Toxicity; Growth; Oxidative stress; Immunity</t>
  </si>
  <si>
    <t>HALIOTIS-DISCUS-DISCUS; 2 MARINE BIVALVES; CRASSOSTREA-GIGAS; DISSOLVED-OXYGEN; GRASS SHRIMP; ANTIOXIDANT RESPONSES; LIPID-PEROXIDATION; GENE-EXPRESSION; CYCLIC HYPOXIA; STRESS</t>
  </si>
  <si>
    <t>In aquatic animals, hypoxia is associated with growth retardation, impaired immunity, susceptibility to pathogens, oxidative stress, and mortality. However, the relative long-term effects of hypoxia on bivalves, including abalone, are not well understood. In this study, we examined the effects of exposure to hypoxic (2.5 and 4 mg O-2 L-1) and normoxic (8 mg O-2 L-1) conditions on the growth, survival, and immune and antioxidant responses of the economically important Pacific abalone Haliotis discus hannai over a 4 month period. We observed that exposure to 2.5 mg O-2 L-1 resulted in marked reductions in assessed shell parameters, average meat weight, and survival compared with exposure to 4 and 8 mg O-2 L-1. There were also significant reductions in oxygen consumption and ammonia-N excretion in abalone exposed to 2.5 mg O-2 L-1. We also detected initial immunosuppression in the 2.5 mg O-2 L-1 -treated abalone, as evidenced by a significant reduction in total hemocytes and inhibition of antibacterial and lysozyme activities. Furthermore, intracellular malondialdehyde concentrations were significantly elevated at 1 month in the 2.5 mg O-2 L-1 treatment group, whereas there were reductions in the levels of glutathione and enzymatic activities of catalase and superoxide dismutase, thereby indicating potential hypoxia-induced oxidative stress and a depression of antioxidant capacity. After 4 months of treatment, severe hypoxia (2.5 mg O-2 L-1) had significantly modulated all measured parameters, whereas exposure to 4 and 8 mg O-2 L(-1 )had induced no significant effects. Collectively, our observations indicate that under long-term exposure to hypoxia, Pacific abalone failed to maintain an effective antioxidant defense system and adequate immunity, with the observed biochemical disruptions leading to a reduction in growth and survival.</t>
  </si>
  <si>
    <t>[Nam, Sang-Eun; Haque, Md Niamul; Rhee, Jae-Sung] Incheon Natl Univ, Coll Nat Sci, Dept Marine Sci, Incheon 22012, South Korea; [Haque, Md Niamul; Rhee, Jae-Sung] Incheon Natl Univ, Res Inst Basic Sci, Incheon 22012, South Korea; [Lee, Jung Sick] Chonnam Natl Univ, Dept Aqualife Med, Yeosu 59626, South Korea; [Park, Hyoung Sook] Incheon Jaeneung Univ, Dept Song Do Bioenvironm Engn, Incheon 22573, South Korea; [Rhee, Jae-Sung] Inst Green Environm Res Ctr, Incheon 21999, South Korea</t>
  </si>
  <si>
    <t>Incheon National University; Incheon National University; Chonnam National University</t>
  </si>
  <si>
    <t>Rhee, JS (corresponding author), Incheon Natl Univ, Coll Nat Sci, Dept Marine Sci, Incheon 22012, South Korea.;Park, HS (corresponding author), Incheon Jaeneung Univ, Dept Song Do Bioenvironm Engn, Incheon 22573, South Korea.</t>
  </si>
  <si>
    <t>muni24@jeiu.ac.kr; jsrhee@inu.ac.kr</t>
  </si>
  <si>
    <t>; Haque, Dr.Md.Niamul/AAG-3206-2020</t>
  </si>
  <si>
    <t>Rhee, Jae-Sung/0000-0003-3313-8850; Haque, Dr.Md.Niamul/0000-0002-2571-1285</t>
  </si>
  <si>
    <t>Korea Institute of Planning and Evaluation for Technology in Food, Agriculture, Forestry and Fisheries (IPET) through Golden Seed Project - Ministry of Oceans and Fisheries (MOF) [213008-05-1-SB720]; Basic Science Research Program through the National Research Foundation of Korea (NRF) - Ministry of Education [NRF-2017R1A6A1A06015181]</t>
  </si>
  <si>
    <t>Korea Institute of Planning and Evaluation for Technology in Food, Agriculture, Forestry and Fisheries (IPET) through Golden Seed Project - Ministry of Oceans and Fisheries (MOF)(Institute of Planning &amp; Evaluation for Technology in Food, Agriculture, Forestry, &amp; Fisheries (iPET), Republic of KoreaMinistry of Oceans &amp; Fisheries (MOF), Republic of Korea); Basic Science Research Program through the National Research Foundation of Korea (NRF) - Ministry of Education(National Research Foundation of KoreaMinistry of Education (MOE), Republic of KoreaNational Research Council for Economics, Humanities &amp; Social Sciences, Republic of Korea)</t>
  </si>
  <si>
    <t>This research was supported by Korea Institute of Planning and Evaluation for Technology in Food, Agriculture, Forestry and Fisheries (IPET) through Golden Seed Project, funded by Ministry of Oceans and Fisheries (MOF) (213008-05-1-SB720), and was also supported by Basic Science Research Program through the National Research Foundation of Korea (NRF) funded by the Ministry of Education (NRF-2017R1A6A1A06015181).</t>
  </si>
  <si>
    <t>10.1016/j.aquatox.2020.105596</t>
  </si>
  <si>
    <t>NW2UU</t>
  </si>
  <si>
    <t>WOS:000574866100007</t>
  </si>
  <si>
    <t>Deudero, S; Box, A; March, D; Valencia, JM; Grau, AM; Tintore, T; Benedicto, J</t>
  </si>
  <si>
    <t>Deudero, S.; Box, A.; March, D.; Valencia, J. M.; Grau, A. M.; Tintore, T.; Benedicto, J.</t>
  </si>
  <si>
    <t>Temporal trends of metals in benthic invertebrate species from the Balearic Islands, Western, Mediterranean</t>
  </si>
  <si>
    <t>MUSSELS MYTILUS-GALLOPROVINCIALIS; ECHINOID PARACENTROTUS-LIVIDUS; HEAVY-METALS; TRACE-METALS; POSIDONIA-OCEANICA; ATLANTIC COAST; ADRIATIC SEA; SOFT-TISSUE; HONG-KONG; POLLUTION</t>
  </si>
  <si>
    <t>CSIC UIB, GOI IMEDEA, Palma de Mallorca 07122, Spain; Lab Biol Marina, Palma de Mallorca 07122, Spain; Conselleria Agr &amp; Pesca, Direcc Gen Pesca, Govern Balear, Spain; CSIC UIB, Inst Mediterrani Estudis Avancats, GOI, Esporles 07195, Spain; Inst Espanol Oceanografia, Grp Estudio Contaminac Marina, Murcia 30740, Spain</t>
  </si>
  <si>
    <t>University of Barcelona; Consejo Superior de Investigaciones Cientificas (CSIC); ATTITUS Educacao; Universitat de les Illes Balears; Consejo Superior de Investigaciones Cientificas (CSIC); ATTITUS Educacao; University of Barcelona; Universitat de les Illes Balears; Spanish Institute of Oceanography</t>
  </si>
  <si>
    <t>Deudero, S (corresponding author), CSIC UIB, GOI IMEDEA, Campus Univ,Ctra Valldemossa,Km 7-5, Palma de Mallorca 07122, Spain.</t>
  </si>
  <si>
    <t>Valencia, Jose/IAO-2562-2023; Antonio, Box/AAB-1212-2021; March, David/G-6489-2014; Deudero Company, Salud/I-1883-2015</t>
  </si>
  <si>
    <t>March, David/0000-0002-6118-761X; Grau, Amalia/0000-0002-6461-6985; Valencia, Jose/0000-0002-1912-1975; Deudero Company, Salud/0000-0001-5584-2801; Tintore, Joaquin/0000-0002-6311-0093</t>
  </si>
  <si>
    <t>10.1016/j.marpolbul.2007.05.012</t>
  </si>
  <si>
    <t>WOS:000250013900037</t>
  </si>
  <si>
    <t>Huang, Q; Liu, LC; Zeng, GJ; Liu, MY; Mao, LC; Huang, HY; Deng, FJ; Zhang, XY; Wei, Y</t>
  </si>
  <si>
    <t>Huang, Qiang; Liu, Leichun; Zeng, Guangjian; Liu, Meiying; Mao, Liucheng; Huang, Hongye; Deng, Fengjie; Zhang, Xiaoyong; Wei, Yen</t>
  </si>
  <si>
    <t>Preparation of silica nanoparticle based polymer composites via mussel inspired chemistry and their enhanced adsorption capability towards methylene blue</t>
  </si>
  <si>
    <t>FUNCTIONALIZED CARBON NANOTUBES; MICHAEL ADDITION-REACTION; GRAPHENE OXIDE; SURFACE MODIFICATION; HEAVY-METAL; BIOINSPIRED STRATEGY; SELF-POLYMERIZATION; DYE ADSORPTION; ORGANIC-DYE; REMOVAL</t>
  </si>
  <si>
    <t>The highly efficient removal of environmental pollutants from aqueous solution using low cost adsorbents has recently attracted great research attention. Among them, polymer nanocomposites should be some of the most important candidates for adsorption applications because of their combination of the advantages of both nanomaterials and polymers. In this work, a bioinspired strategy has been developed for the fabrication of silica nanoparticle based polymer composites, which were used as low cost and highly efficient adsorbents for the removal of methylene blue. First, poly(SVS-co-ITA) copolymers were synthesized by free radical polymerization using 4-vinylbenzenesulfonate and itaconic anhydride as monomers. Then dopamine was linked with poly(SVS-co-ITA) through a rather facile ring-opening reaction. The final SiO2@poly(SVS-co-ITA-DA) polymer nanocomposites were obtained by attaching poly(SVS-co-ITA-DA) onto silica nanoparticles taking advantage of dopamine adhesion. The structure, morphology and chemical compositions of SiO2@poly(SVS-co-ITA-DA) polymer nanocomposites were characterized by a number of methods in detail. The effect of adsorption parameters, including contact time, concentration of methylene blue, temperature and pH, on adsorption capability have been investigated. The adsorption data was fitted by Langmuir and Freundlich adsorption models. The pseudo-first-order, pseudo-second-order and intra-particle diffusion models were used for kinetic analysis. We found that the adsorption capacity of SiO2@poly(SVS-co-ITA-DA) nanocomposites is much greater than that of raw SiO2 NPs. Taken together, we have developed a bioinspired strategy to prepare silica nanoparticle based polymer nanocomposites with improved performance for environmental applications.</t>
  </si>
  <si>
    <t>[Huang, Qiang; Liu, Leichun; Zeng, Guangjian; Liu, Meiying; Mao, Liucheng; Huang, Hongye; Deng, Fengjie; Zhang, Xiaoyong] Nanchang Univ, Jiangxi Prov Key Lab New Energy Chem, Dept Chem, 999 Xuefu Ave, Nanchang 330031, Peoples R China; [Wei, Yen] Tsinghua Univ, Tsinghua Ctr Frontier Polymer Res, Dept Chem, Beijing 100084, Peoples R China</t>
  </si>
  <si>
    <t>Nanchang University; Tsinghua University</t>
  </si>
  <si>
    <t>Deng, FJ; Zhang, XY (corresponding author), Nanchang Univ, Jiangxi Prov Key Lab New Energy Chem, Dept Chem, 999 Xuefu Ave, Nanchang 330031, Peoples R China.;Wei, Y (corresponding author), Tsinghua Univ, Tsinghua Ctr Frontier Polymer Res, Dept Chem, Beijing 100084, Peoples R China.</t>
  </si>
  <si>
    <t>fengjiedeng@aliyun.com; xiaoyongzhang1980@gmail.com; weiyen@tsinghua.edu.cn</t>
  </si>
  <si>
    <t>zhang, xiaoyong/D-9539-2011; liu, meiying/H-7762-2013; Wei, Yen/H-5329-2012; Qiang, Huang/F-6265-2015</t>
  </si>
  <si>
    <t>National Science Foundation of China [51363016, 21474057, 21564006, 21561022]; National 973 Project [2011CB935700]</t>
  </si>
  <si>
    <t>This research was supported by the National Science Foundation of China (No. 51363016, 21474057, 21564006, 21561022), and the National 973 Project (No. 2011CB935700).</t>
  </si>
  <si>
    <t>10.1039/c6ra16467f</t>
  </si>
  <si>
    <t>DX1PI</t>
  </si>
  <si>
    <t>WOS:000384139000077</t>
  </si>
  <si>
    <t>Giusti, L; Wlliamson, AC; Mistry, A</t>
  </si>
  <si>
    <t>Biologically available trace metals in Mytilus edulis from the coast of northeast England</t>
  </si>
  <si>
    <t>SEASONAL-VARIATIONS; ATLANTIC COAST; SOUTHERN SPAIN; MUSSELS; SEA; CADMIUM; GROWTH; ESTUARINE; MOLLUSKS; OYSTERS</t>
  </si>
  <si>
    <t>The concentrations of Fe, Mn, Zn, Cr, Cu, Pb, Ni, Cd, and Ag were determined in soft tissue and shell material of mussel Mytilus edulis collected in the winter season from five coastal sites in the northeast of England. The trace metal levels observed were significantly high, particularly at locations affected by past coal mining activities (Blackhall) and present industrial sources (Middleton). The mussels from the chosen control site (Holy Island), a shellfish-designated area, were particularly enriched in Cu and Ag. The metal pollution index for the Bran Sands site, a heavily industrialised area on the Tees Estuary, was relatively low. At four sites out of five, the levels of Fe and Cu were negatively correlated with mussel size. No significant correlation with size was found for the other metals. With few exceptions, the elements Fe, Zn, and Mn accumulated preferentially in the soft tissue, whereas Pb, Cd, Ct, Ag, and Ni were more abundant in the hard part of the mussels. The Ag values in shell material were remarkably similar (about 6 mg kg(-1) - 7 mg kg(-1), dry wt) at all sites studied. In general, the data show that the mussels from the coastline studied accumulate metal concentrations comparable to or higher than the most contaminated sites reported in the literature. (C)1999 Elsevier Science Ltd.</t>
  </si>
  <si>
    <t>Univ Cent Lancashire, Dept Environm Management, Preston PR1 2HE, Lancs, England</t>
  </si>
  <si>
    <t>University of Central Lancashire</t>
  </si>
  <si>
    <t>Giusti, L (corresponding author), Univ Cent Lancashire, Dept Environm Management, Preston PR1 2HE, Lancs, England.</t>
  </si>
  <si>
    <t>10.1016/S0160-4120(99)00066-5</t>
  </si>
  <si>
    <t>262PP</t>
  </si>
  <si>
    <t>WOS:000084075900004</t>
  </si>
  <si>
    <t>HUTCHINGS, P</t>
  </si>
  <si>
    <t>BALLAST WATER INTRODUCTIONS OF EXOTIC MARINE ORGANISMS INTO AUSTRALIA - CURRENT STATUS AND MANAGEMENT OPTIONS</t>
  </si>
  <si>
    <t>CLAM POTAMOCORBULA-AMURENSIS; FRANCISCO BAY CALIFORNIA; REMARKABLE INVASION; DISPERSAL; USA</t>
  </si>
  <si>
    <t>A brief summary is provided of the fish species which have been introduced into Australia, probably by ballast water. The documentation of these introductions led to a baseline study of Twofold Bay, southern NSW, being undertaken by the Australian Museum, and subsequently to a review of all the species which had probably been introduced via ballast water into Australia. The discovery of toxic dinoflagellates in the ballast water of a number of ships entering Australia and in the sediment of several harbours in Australia highlighted the seriousness of the problem, especially for the developing aquaculture industry. The Federal Department of Primary Industry established a Scientific Working Group; this group developed a research programme which is now being implemented. The initial results of this programme are summarized. Finally, the voluntary guidelines imposed by the Australian Quarantine Inspection Service on ships entering Australian ports and deballasting are discussed.</t>
  </si>
  <si>
    <t>AUSTRALIAN MUSEUM, POB A285, SYDNEY, NSW 2000, AUSTRALIA.</t>
  </si>
  <si>
    <t>10.1016/0025-326X(92)90225-U</t>
  </si>
  <si>
    <t>WOS:A1992KJ81800012</t>
  </si>
  <si>
    <t>Bellas, J</t>
  </si>
  <si>
    <t>Bellas, Juan</t>
  </si>
  <si>
    <t>Comparative toxicity and of alternative antifouling biocides on embryos larvae of marine invertebrates</t>
  </si>
  <si>
    <t>antifouling; biocide; mussel; sea-urchin; ascidian; embryo-larval bioassay; larval settlement</t>
  </si>
  <si>
    <t>PARACENTROTUS-LIVIDUS; ORGANOTIN; CHLOROTHALONIL; EXTRACTION; PESTICIDES; SEDIMENTS; POLLUTION; BIOASSAY; SEAWATER; CADMIUM</t>
  </si>
  <si>
    <t>This study evaluates the impact of commonly used booster biocides (chlorothalonil, Sea-Nine 211, dichlofluanid, tolylfluanid and Irgarol 1051) on early developmental stages of marine invertebrates of commercial and ecological relevance. Toxicity tests were conducted with embryos and larvae of the bivalve Mytilus edulis, the sea-urchin Paracentrotus lividus and the ascidian Ciona intestinalis. Toxicity was quantified in terms of the EC50 (median effective concentration) and EC10 reducing embryogenesis success, larval growth and larval settlement by 50% and 10% respectively. The EC10 and EC50 for chlorothalonil ranged from 2 to 108 and from 25 to 159 nM; for Sea-Nine 211 values were 6-204 and 38-372 nM; for dichlofluanid effective concentrations were 95-830 and 244-4311 nM; tolylfluanid yielded values between 99-631 and 213-2839 nM; and Irgarol 1051 was the least toxic compound showing values from 3145 to &gt; 25 600 and from 6076 to &gt; 25 600 nM. Those biocides may be ranked in the following order from highest to lowest toxicity to embryos and larvae of M edulis, P lividus and C intestinalis: chlorothalonil &gt; Sea-Nine 211 &gt; dichlofluanid=tolylfluanid &gt; Irgarol 1051. The registered effective concentrations were compared to worst-case environmental concentrations reported in literature in order to evaluate the risk posed by these biocides to those invertebrate species. Our data support that chlorothalonil, Sea-Nine 211 and dichlofluanid predicted levels in marinas represent a threat to M edulis, P lividus, and C intestinalis populations, whilst Irgarol 1051 showed no toxic effects on the biological responses tested here at worst-case environmental concentrations. (c) 2006 Elsevier B.V. All rights reserved.</t>
  </si>
  <si>
    <t>Univ Vigo, Dept Ecoloxia &amp; Biol Anim, Vigo 36310, Galicia, Spain</t>
  </si>
  <si>
    <t>Bellas, J (corresponding author), Univ Vigo, Dept Ecoloxia &amp; Biol Anim, Estrada,Colexio Univ S-N, Vigo 36310, Galicia, Spain.</t>
  </si>
  <si>
    <t>Bellas, Juan/N-1594-2015</t>
  </si>
  <si>
    <t>Bellas, Juan/0000-0001-6179-8528</t>
  </si>
  <si>
    <t>10.1016/j.scitotenv.2006.01.028</t>
  </si>
  <si>
    <t>077PS</t>
  </si>
  <si>
    <t>WOS:000240042700005</t>
  </si>
  <si>
    <t>De Giovanni, A; Abondio, P; Frapiccini, E; Luiselli, D; Marini, M</t>
  </si>
  <si>
    <t>De Giovanni, Andrea; Abondio, Paolo; Frapiccini, Emanuela; Luiselli, Donata; Marini, Mauro</t>
  </si>
  <si>
    <t>Meta-Analysis of a New Georeferenced Database on Polycyclic Aromatic Hydrocarbons in Western and Central Mediterranean Seafood</t>
  </si>
  <si>
    <t>environmental pollutants; polycyclic aromatic hydrocarbons; seafood; Mediterranean Sea; Adriatic Sea; Ionian Sea; Tyrrhenian Sea; database; meta-analysis; contaminants</t>
  </si>
  <si>
    <t>MUSSELS MYTILUS-GALLOPROVINCIALIS; NORTHERN ADRIATIC SEA; MARINE ORGANISMS; MULLUS-BARBATUS; COASTAL WATERS; HEAVY-METALS; GULF; PAHS; BIOACCUMULATION; POLLUTION</t>
  </si>
  <si>
    <t>Featured Application The database featured in the present work aims to support researchers and decisionmakers in planning future investigations and in evaluating current knowledge on polycyclic aromatic hydrocarbons when it comes to fixing the limits to PAH levels in fishery products. The aim of this work was to collect and harmonize the results of several studies achieved over the years, in order to obtain a database of georeferenced observations on polycyclic aromatic hydrocarbons (PAHs) in Western and Central Mediterranean seafood. For each observation, some information on the taxonomy and the ecology of the sampled species are reported, as well as details on the investigated hydrocarbon, and spatial and temporal information on sampling. Moreover, two health risk indexes were calculated for each record and included in the database. Through several statistical methods, we conducted a meta-analysis of the data on some of the species in this database, identifying trends that could be related to the biology of the investigated organisms, as well as to the physico-chemical properties of each hydrocarbon and to the oceanographic characteristic of this part of the Mediterranean. The analysis of the data showed that, at a consumption rate like the one typical of the Italian population, seafood caught from the area considered in the present work seems to pose a minimal risk to health. However, we also found evidence of an increasing trend of PAH concentrations in Mediterranean mussels, pointing to the need for constant monitoring.</t>
  </si>
  <si>
    <t>[De Giovanni, Andrea; Abondio, Paolo; Luiselli, Donata] Univ Bologna, Dept Cultural Heritage, Via Ariani 1, I-48121 Ravenna, Italy; [De Giovanni, Andrea; Luiselli, Donata; Marini, Mauro] Interinst Ctr Res Marine Biodivers Resources &amp; Bi, Fano Marine Ctr, Viale Adriat 1-N, I-61032 Fano, Italy; [Abondio, Paolo] Univ Bologna, Ctr Genome Biol, Dept Biol Geol &amp; Environm Sci, Lab Mol Anthropol, Via Selmi 3, I-40126 Bologna, Italy; [Frapiccini, Emanuela; Marini, Mauro] CNR, Natl Res Council IRBIM, Inst Biol Resources &amp; Marine Biotechnol, Largo Fiera Pesca 2, I-60125 Ancona, Italy</t>
  </si>
  <si>
    <t>University of Bologna; University of Bologna; Consiglio Nazionale delle Ricerche (CNR); Istituto per le Risorse Biologiche Biotecnologie Marine (IRBIM-CNR)</t>
  </si>
  <si>
    <t>De Giovanni, A (corresponding author), Univ Bologna, Dept Cultural Heritage, Via Ariani 1, I-48121 Ravenna, Italy.;De Giovanni, A (corresponding author), Interinst Ctr Res Marine Biodivers Resources &amp; Bi, Fano Marine Ctr, Viale Adriat 1-N, I-61032 Fano, Italy.</t>
  </si>
  <si>
    <t>andrea.degiovanni5@unibo.it; paolo.abondio2@unibo.it; emanuelairapiccini@cnr.it; donata.luiselli@unibo.it; mauro.marini@cnr.it</t>
  </si>
  <si>
    <t>; Frapiccini, Emanuela/Q-6084-2018; Abondio, Paolo/AFI-0344-2022; Marini, Mauro/AAE-9399-2020</t>
  </si>
  <si>
    <t>De Giovanni, Andrea/0000-0002-7286-5105; Frapiccini, Emanuela/0000-0001-7828-6246; Abondio, Paolo/0000-0002-9626-8495; Marini, Mauro/0000-0002-9674-7197; Luiselli, Donata/0000-0003-2105-2478</t>
  </si>
  <si>
    <t>10.3390/app12062776</t>
  </si>
  <si>
    <t>0D6WA</t>
  </si>
  <si>
    <t>WOS:000776132100001</t>
  </si>
  <si>
    <t>Sazykina, M; Barabashin, T; Konstantinova, E; Al-Rammahi, AAK; Pavlenko, L; Khmelevtsova, L; Karchava, S; Klimova, M; Mkhitaryan, I; Khammami, M; Sazykin, I</t>
  </si>
  <si>
    <t>Sazykina, Marina; Barabashin, Timofey; Konstantinova, Elizaveta; Al-Rammahi, Ameer Abood Karim; Pavlenko, Liliya; Khmelevtsova, Lyudmila; Karchava, Shorena; Klimova, Maria; Mkhitaryan, Irina; Khammami, Margarita; Sazykin, Ivan</t>
  </si>
  <si>
    <t>Non-corresponding contaminants in marine surface sediments as a factor of ARGs spread in the Sea of Azov</t>
  </si>
  <si>
    <t>Antibiotic resistance genes; Potentially toxic elements; Organochlorine pesticides; Polychlorinated biphenyls; Radionuclides; Sediment pollution</t>
  </si>
  <si>
    <t>ANTIBIOTIC-RESISTANCE GENES; SCALLOP CHLAMYS-FARRERI; HEAVY-METALS; BACTERIAL COMMUNITY; BOTTOM SEDIMENTS; LUX-BIOSENSORS; RIVER; PLASMIDS; WATER; RADIONUCLIDES</t>
  </si>
  <si>
    <t>The present study aims to analyze the level and total toxicity of the most common pollutants in surface sediments and assess their impact on the occurrence of antibiotic resistance genes (ARGs) in the Sea of Azov. Biotesting using the whole-cell bacterial lux-biosensors showed high integral toxicity of surface sediments and the presence of genotoxicants and substances that cause oxidative stress and protein damage. Using cluster analysis, it was shown that the distribution of pollutants in the Sea of Azov depends on the type of surface sediments. The relative abundance and distribution of 14 ARGs in surface sediments were shown. Principle component analyses results suggest that non-corresponding contaminants do not exert direct influence on the ARGs abundance in the surface sediments of the Sea of Azov. Thus, the need to investigate the significance of non-corresponding pollutants in the selection and distribution of ARGs in the aquatic environment remains a pressing problem.</t>
  </si>
  <si>
    <t>[Sazykina, Marina; Barabashin, Timofey; Konstantinova, Elizaveta; Khmelevtsova, Lyudmila; Karchava, Shorena; Klimova, Maria; Khammami, Margarita; Sazykin, Ivan] Southern Fed Univ, 194-2 Stachki Ave, Rostov Na Donu 344090, Russia; [Barabashin, Timofey; Pavlenko, Liliya; Mkhitaryan, Irina] Russian Fed Res Inst Fisheries &amp; Oceanog, Azov Black Sea Branch, 21v Beregovaya St, Rostov Na Donu 344002, Russia; [Al-Rammahi, Ameer Abood Karim] Al Furat Al Awsat Tech Univ, 70 Hill St, Najaf 54003, Iraq; [Sazykina, Marina] Southern Fed Univ, Acad Biol &amp; Biotechnol, 194-1 Stachki Ave, Rostov Na Donu 344090, Russia</t>
  </si>
  <si>
    <t>Southern Federal University; Al-Furat Al-Awsat Technical University; Southern Federal University</t>
  </si>
  <si>
    <t>Sazykina, M (corresponding author), Southern Fed Univ, Acad Biol &amp; Biotechnol, 194-1 Stachki Ave, Rostov Na Donu 344090, Russia.</t>
  </si>
  <si>
    <t>samara@sfedu.ru</t>
  </si>
  <si>
    <t>Maria, Klimova/AAB-3401-2020; Konstantinova, Elizaveta/C-6255-2017</t>
  </si>
  <si>
    <t>Konstantinova, Elizaveta/0000-0002-9836-8721</t>
  </si>
  <si>
    <t>Ministry of Science and Higher Education of the Russian Federation; [0852-2020-0029]</t>
  </si>
  <si>
    <t>Ministry of Science and Higher Education of the Russian Federation;</t>
  </si>
  <si>
    <t>Acknowledgments This research was supported by the Ministry of Science and Higher Education of the Russian Federation in the framework of State assign-ment No. 0852-2020-0029 in the field of scientific</t>
  </si>
  <si>
    <t>10.1016/j.marpolbul.2022.114196</t>
  </si>
  <si>
    <t>5H4SF</t>
  </si>
  <si>
    <t>WOS:000867669700006</t>
  </si>
  <si>
    <t>Piwoni-Piórewicz, A; Strekopytov, S; Humphreys-Williams, E; Kuklinski, P</t>
  </si>
  <si>
    <t>Piwoni-Piorewicz, Anna; Strekopytov, Stanislav; Humphreys-Williams, Emma; Kuklinski, Piotr</t>
  </si>
  <si>
    <t>The patterns of elemental concentration (Ca, Na, Sr, Mg, Mn, Ba, Cu, Pb, V, Y, U and Cd) in shells of invertebrates representing different CaCO3 polymorphs: a case study from the brackish Gulf of Gdansk (the Baltic Sea)</t>
  </si>
  <si>
    <t>MUSSELS MYTILUS-TROSSULUS; ARAGONITIC BIVALVE SHELLS; HEAVY-METAL POLLUTION; TRACE-METALS; MACOMA-BALTHICA; CARBONATE MINERALOGY; BARNACLE SHELLS; MYA-ARENARIA; PUCK BAY; MERCENARIA-MERCENARIA</t>
  </si>
  <si>
    <t>The shells of calcitic arthropod Amphibalanus improvisus; aragonitic bivalves Cerastoderma glaucum, Limecola balthica, and Mya arenaria; and bimineralic bivalve Mytilus trossulus were collected in the brackish waters of the southern Baltic Sea in order to study patterns of bulk elemental concentration (Ca, Na, Sr, Mg, Ba, Mn, Cu, Pb, V, Y, U and Cd) in shells composed of different crystal lattices (calcite and aragonite). The factors controlling the elemental composition of shells are discussed in the context of crystal lattice properties, size classes of organisms and potential environmental differences between locations. Clams that precipitate fully aragonitic shells have a clear predominance of Sr over Mg in shells, contrary to predominant accumulation of Mg over Sr in calcitic shells of barnacles. However, the barnacle calcite shell contains higher Sr concentration than bivalve aragonite. The elemental variability between size-grouped shells is different for each studied species, and the elemental concentrations tend to be lower in the large size classes compared to the smaller size classes. Biological differences between and within species, such as growth rate, feeding strategy (including feeding rate and assimilation efficiency or composition) and contribution of organic material, seem to be important factors determining the elemental accumulation in shells. Because specimens used in this study were obtained from different sampling sites within the gulf, the impact of location-specific environmental factors, such as sediment type, cannot be excluded.</t>
  </si>
  <si>
    <t>[Piwoni-Piorewicz, Anna; Kuklinski, Piotr] Polish Acad Sci, Inst Oceanol, PL-81712 Sopot, Poland; [Strekopytov, Stanislav; Humphreys-Williams, Emma] Nat Hist Museum, Imaging &amp; Anal Ctr, London SW7 5BD, England; [Kuklinski, Piotr] Nat Hist Museum, Dept Life Sci, London SW7 5BD, England; [Strekopytov, Stanislav] LGC Ltd, Natl Measurement Lab, Teddington TW11 0LY, Middx, England</t>
  </si>
  <si>
    <t>Polish Academy of Sciences; Institute of Oceanology of the Polish Academy of Sciences; Natural History Museum London; Natural History Museum London; LGC Genomics</t>
  </si>
  <si>
    <t>Piwoni-Piórewicz, A (corresponding author), Polish Acad Sci, Inst Oceanol, PL-81712 Sopot, Poland.</t>
  </si>
  <si>
    <t>apiwoni@iopan.pl</t>
  </si>
  <si>
    <t>Strekopytov, Stanislav/ABI-2251-2020</t>
  </si>
  <si>
    <t>Piwoni-Piorewicz, Anna/0000-0003-2131-161X</t>
  </si>
  <si>
    <t>Polish National Science Centre [LOGGER/2017/25/N/ST10/02305, PANIC/2016/23/B/ST10/01936]</t>
  </si>
  <si>
    <t>Polish National Science Centre</t>
  </si>
  <si>
    <t>The research leading to these results received funding from the Polish National Science Centre in the frame of project contracts LOGGER/2017/25/N/ST10/02305 and PANIC/2016/23/B/ST10/01936.</t>
  </si>
  <si>
    <t>JAN 29</t>
  </si>
  <si>
    <t>10.5194/bg-18-707-2021</t>
  </si>
  <si>
    <t>QB6ZO</t>
  </si>
  <si>
    <t>WOS:000614289000002</t>
  </si>
  <si>
    <t>Background concentrations of Cd, Cu, Pb and Zn in the green-lipped mussel Perna viridis (Linnaeus) from peninsular Malaysia</t>
  </si>
  <si>
    <t>TRACE-METALS; HONG-KONG; HEAVY-METAL; SOUTHERN SPAIN; ATLANTIC COAST; POLLUTION; ENVIRONMENT; INDICATOR; THAILAND; WATERS</t>
  </si>
  <si>
    <t>Yap, CK (corresponding author), Univ Putra Malaysia, Fac Sci &amp; Environm Studies, Dept Biol, Serdang 43400, Selangor, Malaysia.</t>
  </si>
  <si>
    <t>Yap, Chee/N-1318-2015; Tan, Soon/V-1782-2019; Tan, S/B-2448-2010</t>
  </si>
  <si>
    <t>Tan, S/0000-0001-9960-4493</t>
  </si>
  <si>
    <t>10.1016/S0025-326X(03)00163-2</t>
  </si>
  <si>
    <t>715MC</t>
  </si>
  <si>
    <t>WOS:000184975300030</t>
  </si>
  <si>
    <t>Calisi, A; Giordano, ME; Dondero, F; Maisano, M; Fasulo, S; Lionetto, MG</t>
  </si>
  <si>
    <t>Calisi, Antonio; Giordano, Maria Elena; Dondero, Francesco; Maisano, Maria; Fasulo, Salvatore; Lionetto, Maria Giulia</t>
  </si>
  <si>
    <t>Morphological and functional alterations in hemocytes of Mytilus galloprovincialis exposed in high-impact anthropogenic sites</t>
  </si>
  <si>
    <t>Morphological alterations; Hemocytes; Mytilus galloprovincialis; Biomonitoring; Environmental chemical stress</t>
  </si>
  <si>
    <t>LYSOSOMAL MEMBRANE STABILITY; CELL-VOLUME REGULATION; GENOTOXICITY BIOMARKERS; NUCLEAR ABNORMALITIES; POLLUTION; MUSSELS; MERCURY; STRESS; ENVIRONMENTS; CYTOSKELETON</t>
  </si>
  <si>
    <t>The work aimed to study the induction of morphological alterations in M. galloprovincialis in the field and its suitability to be integrated into a sensitive, simple, and cost-effective cell-based multimarker approach for the detection of the stress status induced by pollution in coastal marine environments in view of ecotoxicological biomonitoring and assessment application. Cellular morphometric alterations was paralleled by the analysis of standardized biomarkers such as lysosomal membrane destabilization, and genotoxocity biomarkers such as micronuclei and binuclated cells frequencies were investigated. The study was carried out by means of a transplanting experiment in the field, using caged organisms from an initial population exposed in the field in two multi-impacted coastal sites of the central Mediterranean area, Bagnoli in the eastern Tyrrhenian Sea and Augusta-Melilli-Priolo in the western Ionian Sea. Capo Miseno (NA) for the Tyrrhenian area and Brucoli (ME) for the Ionian area were chosen as control sites.Hemocyte enlargement and filopodial elongation increased frequencies were observed in organisms exposed to the impacted sites. These morphometric alterations showed strong agreement with the lysosomal membrane destabilization and biomarkers of genotoxicity, suggesting their usefulness in detecting the pollutant-induced stress syndrome related to genotoxic damage.</t>
  </si>
  <si>
    <t>[Calisi, Antonio; Dondero, Francesco] Univ Piemonte Orientale Vercelli, Dept Sci &amp; Technol Innovat, Viale Michel 11, I-15121 Alessandria, Alessandria, Italy; [Giordano, Maria Elena; Lionetto, Maria Giulia] Univ Salento, Dept Biol &amp; Environm Sci &amp; Technol, Via Provle Lecce Monteroni, I-73100 Lecce, Italy; [Maisano, Maria; Fasulo, Salvatore] Univ Messina, Dept Chem Biol Pharmaceut &amp; Environm Sci, Viale Ferdinando Stagno dAlcontres 31, I-98166 Messina, Italy; [Lionetto, Maria Giulia] Natl Biodivers Future Ctr, I-90133 Palermo, Italy</t>
  </si>
  <si>
    <t>University of Salento; University of Messina</t>
  </si>
  <si>
    <t>Calisi, A (corresponding author), Univ Piemonte Orientale Vercelli, Dept Sci &amp; Technol Innovat, Viale Michel 11, I-15121 Alessandria, Alessandria, Italy.</t>
  </si>
  <si>
    <t>antonio.calisi@uniupo.it; elena.giordano@unisalento.it; francesco.dondero@uniupo.it; maria.maisano@unime.it; sfasulo@unime.it; giulia.lionetto@unisalento.it</t>
  </si>
  <si>
    <t>Giordano, Maria/AEH-2986-2022; Dondero, Francesco/J-1528-2012; Lionetto, Maria/H-1356-2011; calisi, antonio/AGQ-2382-2022</t>
  </si>
  <si>
    <t>calisi, antonio/0000-0002-8146-7280</t>
  </si>
  <si>
    <t>PRIN national program [2010ARBLT7_001/008]</t>
  </si>
  <si>
    <t>PRIN national program</t>
  </si>
  <si>
    <t>This work was supported under PRIN national program by the SYS-TEMS BIOLOGY project Grant Number 2010ARBLT7_001/008 (coordinated by Prof. S. Fasulo, University of Messina) .</t>
  </si>
  <si>
    <t>10.1016/j.marenvres.2023.105988</t>
  </si>
  <si>
    <t>G7BY1</t>
  </si>
  <si>
    <t>WOS:000990680700001</t>
  </si>
  <si>
    <t>Airoldi, L; Beck, MW</t>
  </si>
  <si>
    <t>Gibson, RN; Atkinson, RJA; Gordon, JDM</t>
  </si>
  <si>
    <t>Airoldi, Laura; Beck, Michael W.</t>
  </si>
  <si>
    <t>Loss, status and trends for coastal marine habitats of Europe</t>
  </si>
  <si>
    <t>OCEANOGRAPHY AND MARINE BIOLOGY, VOL 45</t>
  </si>
  <si>
    <t>Oceanography and Marine Biology</t>
  </si>
  <si>
    <t>Article; Book Chapter</t>
  </si>
  <si>
    <t>LONG-TERM CHANGES; POSIDONIA-OCEANICA BEDS; ALGA CAULERPA-TAXIFOLIA; SEAGRASS ZOSTERA-MARINA; NORTHERN ADRIATIC SEA; SOUTH-EAST ENGLAND; WADDEN SEA; SALT-MARSHES; MACROALGAL VEGETATION; DISTRIBUTION PATTERNS</t>
  </si>
  <si>
    <t>Over the centuries, land reclamation, coastal development, overfishing and pollution have nearly eliminated European wetlands, seagrass meadows, shellfish beds, biogenic reefs and other productive and diverse coastal habitats. It is estimated that every day between 1960 and 1995, a kilometre of European coastline was developed. Most countries have estimated losses of coastal wetlands and seagrasses exceeding 50% of the original area with peaks above 80% for many regions. Conspicuous declines, sometimes to virtual local disappearance of kelps and other complex macroalgae, have been observed in several countries. A few dominant threats have led to these losses over time. The greatest impacts to wetlands have consistently been land claim and coastal development. The greatest impacts to seagrasses and macroalgae are presently associated with degraded water quality while in the past there have been more effects from destructive fishing and diseases. Coastal development remains an important threat to seagrasses. For biogenic habitats, such as oyster reefs and maerls, some of the greatest impacts have been from destructive fishing and overexploitation with additional impacts of disease, particularly to native oysters. Coastal development and defence have had the greatest known impacts on soft-sediment habitats with a high likelihood that trawling has affected vast areas. The concept of 'shifting baselines', which has been applied mostly to the inadequate historical perspective of fishery losses, is extremely relevant for habitat loss more generally. Most habitat loss estimates refer to a relatively short time span primarily within the last century. However, in some regions, most estuarine and near-shore coastal habitats were already severely degraded or driven to virtual extinction well before 1900. Native oyster reefs were ecologically extinct by the 1950s along most European coastlines and in many bays well before that. These shellfish reefs are among the most endangered coastal habitats, but they receive some of the least protection. Nowadays less than 15% of the European coastline is considered in 'good' condition. Those fragments of native habitats that remain are under continued threat, and their management is not generally informed by adequate knowledge of their distribution and status. There are many policies and directives aimed at reducing and reversing these losses but their overall positive benefits have been low. Further neglecting this long history of habitat loss and transformation may ultimately compromise the successful management and future sustainability of those few fragments of native and semi-native coastal habitats that remain in Europe.</t>
  </si>
  <si>
    <t>[Airoldi, Laura] Univ Bologna, Dipartimento Biol Evoluz Sperimentale, I-48100 Ravenna, Italy; [Airoldi, Laura] Univ Bologna, Ctr Interdipartimental Ric Sci Ambientali Ravenna, I-48100 Ravenna, Italy; [Beck, Michael W.] Univ Calif Santa Cruz, Nat Conservancy, Santa Cruz, CA 95060 USA; [Beck, Michael W.] Univ Calif Santa Cruz, Inst Marine Sci, Santa Cruz, CA 95060 USA</t>
  </si>
  <si>
    <t>University of Bologna; University of Bologna; Nature Conservancy; University of California System; University of California Santa Cruz; University of California System; University of California Santa Cruz</t>
  </si>
  <si>
    <t>Airoldi, L (corresponding author), Univ Bologna, Dipartimento Biol Evoluz Sperimentale, Via S Alberto 163, I-48100 Ravenna, Italy.</t>
  </si>
  <si>
    <t>laura.airoldi@unibo.it</t>
  </si>
  <si>
    <t>Airoldi, Laura/I-3553-2019; Beck, Michael/AAB-2844-2019</t>
  </si>
  <si>
    <t>Beck, Michael/0000-0002-5107-9973; Airoldi, Laura/0000-0001-5046-0871</t>
  </si>
  <si>
    <t>CRC PRESS-TAYLOR &amp; FRANCIS GROUP</t>
  </si>
  <si>
    <t>BOCA RATON</t>
  </si>
  <si>
    <t>6000 BROKEN SOUND PARKWAY NW, STE 300, BOCA RATON, FL 33487-2742 USA</t>
  </si>
  <si>
    <t>0078-3218</t>
  </si>
  <si>
    <t>978-1-4200-5093-6</t>
  </si>
  <si>
    <t>OCEANOGR MAR BIOL</t>
  </si>
  <si>
    <t>Oceanogr. Mar. Biol.</t>
  </si>
  <si>
    <t>10.1201/9781420050943</t>
  </si>
  <si>
    <t>Book Citation Index – Science (BKCI-S); Science Citation Index Expanded (SCI-EXPANDED)</t>
  </si>
  <si>
    <t>BHE51</t>
  </si>
  <si>
    <t>WOS:000252476600007</t>
  </si>
  <si>
    <t>Accoroni, S; Tartaglione, L; Dello Iacovo, E; Pichierri, S; Marini, M; Campanelli, A; Dell'Aversano, C; Totti, C</t>
  </si>
  <si>
    <t>Accoroni, Stefano; Tartaglione, Luciana; Dello Iacovo, Emma; Pichierri, Salvatore; Marini, Mauro; Campanelli, Alessandra; Dell'Aversano, Carmela; Totti, Cecilia</t>
  </si>
  <si>
    <t>Influence of environmental factors on the toxin production of Ostreopsis cf. ovata during bloom events</t>
  </si>
  <si>
    <t>Harmful algae; Toxicity; Palytoxin; Ovatoxins; Temperature; Nutrients</t>
  </si>
  <si>
    <t>FRENCH MEDITERRANEAN COAST; NORTHERN ADRIATIC SEA; HARMFUL ALGAL BLOOMS; MUSSELS MYTILUS-GALLOPROVINCIALIS; PALYTOXIN-LIKE COMPOUNDS; DINOFLAGELLATE OSTREOPSIS; PUTATIVE PALYTOXIN; OVATOXIN-A; ALLELOPATHIC INTERACTIONS; PHYSIOLOGICAL-RESPONSES</t>
  </si>
  <si>
    <t>Intense blooms of the toxic dinoflagellate Ostreopsis have been a recurrent phenomenon along several Mediterranean coasts. Blooms have been associated with noxious effects on human health and mortality of marine organisms, due to the production of palytoxin-like compounds. We analyzed the toxin concentrations throughout an O. cf. ovata bloom to highlight their relationships with environmental parameters in the Conero Riviera, northern Adriatic Sea. High temperature and balanced nutrient conditions were the optimal environmental conditions to start and sustain blooms as well as to maximize toxin production. Ostreopsis showed a gradual decrease of toxin content throughout the bloom ascribed to the occurring of the same non-optimal conditions that led to the bloom decline. Moreover, our results suggest that toxin fraction released during bloom could be higher than that released in batch culture. Results from this study pointed out that the first bloom phase is potentially the most dangerous to human health.</t>
  </si>
  <si>
    <t>[Accoroni, Stefano; Pichierri, Salvatore; Totti, Cecilia] Univ Politecn Marche, Dipartimento Sci Vita &amp; Ambiente, Via Brecce Bianche, I-60131 Ancona, Italy; [Tartaglione, Luciana; Dello Iacovo, Emma; Dell'Aversano, Carmela] Univ Naples Federico II, Dipartimerao Farm, Scuola Med, Via D Montesano 49, I-80131 Naples, Italy; [Marini, Mauro; Campanelli, Alessandra] CNR, Ist Sci Marine, I-60125 Ancona, Italy</t>
  </si>
  <si>
    <t>Marche Polytechnic University; University of Naples Federico II; Consiglio Nazionale delle Ricerche (CNR); Istituto di Scienze Marine (ISMAR-CNR)</t>
  </si>
  <si>
    <t>Accoroni, S (corresponding author), Univ Politecn Marche, Dipartimento Sci Vita &amp; Ambiente, Via Brecce Bianche, I-60131 Ancona, Italy.</t>
  </si>
  <si>
    <t>s.accoroni@univpm.it</t>
  </si>
  <si>
    <t>Tartaglione, Luciana/ABG-1088-2020; Campanelli, Alessandra/ABD-5099-2021; TOTTI, Cecilia Maria/A-9178-2016; Marini, Mauro/AAE-9399-2020; Accoroni, Stefano/F-5818-2014</t>
  </si>
  <si>
    <t>TOTTI, Cecilia Maria/0000-0002-1532-6009; CAMPANELLI, ALESSANDRA/0000-0003-4818-3996; Marini, Mauro/0000-0002-9674-7197; Accoroni, Stefano/0000-0002-1134-7849</t>
  </si>
  <si>
    <t>10.1016/j.marpolbul.2017.08.049</t>
  </si>
  <si>
    <t>WOS:000415776600042</t>
  </si>
  <si>
    <t>Miller, JR; Mackin, G</t>
  </si>
  <si>
    <t>Miller, Jerry R.; Mackin, Gail</t>
  </si>
  <si>
    <t>Concentrations, Sources, and Potential Ecological Impacts of Selected Trace Metals on Aquatic Biota within the Little Tennessee River Basin, North Carolina</t>
  </si>
  <si>
    <t>Appalachian elktoe mussel; Contamination; Little Tennessee River; Sediment provenance; Trace metals</t>
  </si>
  <si>
    <t>BLUE-RIDGE MOUNTAINS; CONTAMINATION; STREAMS; STORAGE; DISPERSION; CADMIUM; EROSION; CHANNEL; QUALITY; SYSTEM</t>
  </si>
  <si>
    <t>The Upper Little Tennessee River (ULTR) possesses one of the most diverse assemblages of aquatic biota in North America, including the endangered Appalachian elktoe mussel (Alasmidonta raveneliana). Populations of the Appalachian elktoe declined significantly following a 2004 flood generated by hurricanes Frances and Ivan. Although the cause(s) of decline have yet to be determined, population declines may reflect exposure to contaminated sediment within the river system. The objectives of this study were to provide a preliminary assessment of the potential impact of sediment-associated trace metals on aquatic biota, particularly the Appalachian elktoe mussel, and to determine the source(s) of trace metals to the axial channel. Total sediment-associated Cu, Cr, Ni, and Zn concentrations within the ULTR locally exceeded threshold and probable effect guidelines for aquatic biota. These data are consistent with previous analyses that found particulate and dissolved concentrations of Cu in river waters periodically exceeded aquatic impact guidelines. However, the data conflict with (1) metal speciation analyses that show that Cu, Cr, and Zn are largely associated with the residual, non-available sediment phase, and (2) trace metal concentrations that are higher in mussel shells from the Tuckasegee River, a control site with intact populations, than in the ULTR. Moreover, the analyses suggest that most of the metals are derived from sulfide minerals contained within the underlying bedrock and, in the case of Cu, from locally used pesticides. The importance of the underlying bedrock as a significant long-term trace metal source suggests that Appalachian elktoe mussels were exposed to high levels of Cu, Cr, Ni, and Zn both before and after the 2004 event. Thus, it appears unlikely that the decline of Appalachian elktoe populations is related primarily to trace metals.</t>
  </si>
  <si>
    <t>[Miller, Jerry R.] Western Carolina Univ, Dept Geosci &amp; Nat Resources, Cullowhee, NC 28723 USA; [Mackin, Gail] No Kentucky Univ, Dept Math &amp; Stat, Highland Hts, KY 41099 USA</t>
  </si>
  <si>
    <t>University of North Carolina; Western Carolina University; Northern Kentucky University</t>
  </si>
  <si>
    <t>Miller, JR (corresponding author), Western Carolina Univ, Dept Geosci &amp; Nat Resources, Cullowhee, NC 28723 USA.</t>
  </si>
  <si>
    <t>jmiller@wcu.edu</t>
  </si>
  <si>
    <t>Miller, Jerry/JGD-0706-2023</t>
  </si>
  <si>
    <t>US Fish and Wildlife Service [40181AG059]</t>
  </si>
  <si>
    <t>US Fish and Wildlife Service(US Fish &amp; Wildlife Service)</t>
  </si>
  <si>
    <t>A number of students aided in the collection of the field data including Andrew Allen, Matthew Burnette, Chad Haitt, Jason Jarvis, Danvey Walsh, and Rachael Tury. Lionel Villarroel was instrumental in overseeing much of the data collection process. Their help in acquiring and manipulating the data is greatly appreciated. The text benefited greatly from comments provided by three anonymous reviewers and by those provided by Dr. Mark Taylor. Any shortcomings within the analyses are, of course, ours and do not reflect the suggestions provided during the review process. We also appreciate the financial support provided for the project by the US Fish and Wildlife Service under agreement number 40181AG059. Interpretations presented herein do not necessarily reflect the views of the US Fish and Wildlife Service.</t>
  </si>
  <si>
    <t>10.1007/s11270-013-1613-2</t>
  </si>
  <si>
    <t>181KM</t>
  </si>
  <si>
    <t>WOS:000321666500016</t>
  </si>
  <si>
    <t>Fogliano, C; Carotenuto, R; Panzuto, R; Spennato, V; De Bonis, S; Simoniello, P; Raggio, A; Avallone, B; Agnisola, C; Motta, CM</t>
  </si>
  <si>
    <t>Fogliano, Chiara; Carotenuto, Rosa; Panzuto, Raffaele; Spennato, Valentina; De Bonis, Salvatore; Simoniello, Palma; Raggio, Anja; Avallone, Bice; Agnisola, Claudio; Motta, Chiara Maria</t>
  </si>
  <si>
    <t>Behavioral alterations and gills damage in Mytilus galloprovincialis exposed to an environmental concentration of delorazepam</t>
  </si>
  <si>
    <t>Valve opening tests; Oxygen consumption; Valve abductor muscles; Protein pattern; Lectin staining</t>
  </si>
  <si>
    <t>PERIPHERAL BENZODIAZEPINE-RECEPTORS; DIGESTIVE GLAND; MUSSEL; LIVER; PHARMACEUTICALS; CADMIUM; PB</t>
  </si>
  <si>
    <t>Psychoactive compounds, and benzodiazepines (BZPs) in particular, represent an important class of emerging pollutants due to their large (ab)use and high resistance to degradation. Nowadays it is known that sewage treatment does not completely eliminate these substances and, therefore, BZPs and their metabolites reach concern levels in most aquatic environments all over Europe, ranging from mu g/L to ng/L. In this study, we investigated the effects of delorazepam on Mytilus galloprovincialis, a model organism in toxicity testing and a key species in coastal marine ecosystems. Given its psychoactive activity, the study primarily addressed discovering the effects on behavior, by conventional valve opening and closure tests. Possible cytotoxic activity was also investigated by analyzing valve abductor muscles, gills histology, and correlated oxygen consumption. Results demonstrate negative effects on mussel behavior, interference with metabolism, and alteration of gill morphology and protein content. In conclusion, delorazepam confirms its toxicity to aquatic environments, highlighting the possibility that BZDs can ultimately affect the structure of the food web and the functions of the coastal ecosystems.</t>
  </si>
  <si>
    <t>[Fogliano, Chiara; Carotenuto, Rosa; Panzuto, Raffaele; Spennato, Valentina; Raggio, Anja; Avallone, Bice; Agnisola, Claudio; Motta, Chiara Maria] Univ Naples Federico II, Dept Biol, I-80126 Naples, Italy; [De Bonis, Salvatore] Reg Agcy Environm Protect Latium Arpa Lazio, Via Saredo, I-00173 Rome, Italy; [Simoniello, Palma] Univ Naples Parthenope, Dept Sci &amp; Technol, I-80133 Naples, Italy</t>
  </si>
  <si>
    <t>University of Naples Federico II; Parthenope University Naples</t>
  </si>
  <si>
    <t>Avallone, B (corresponding author), Univ Naples Federico II, Dept Biol, I-80126 Naples, Italy.</t>
  </si>
  <si>
    <t>Fogliano, Chiara/AAB-6342-2022; maria, Motta/K-1426-2019; Avallone, Bice/ABB-3425-2020</t>
  </si>
  <si>
    <t>De Bonis, Salvatore/0000-0002-3714-2163; Fogliano, Chiara/0000-0003-0868-2520; Avallone, Bice/0000-0002-5355-1557</t>
  </si>
  <si>
    <t>10.1016/j.etap.2022.104030</t>
  </si>
  <si>
    <t>8D1LA</t>
  </si>
  <si>
    <t>WOS:000918059400001</t>
  </si>
  <si>
    <t>Gust, M; Fortier, M; Garric, J; Fournier, M; Gagné, F</t>
  </si>
  <si>
    <t>Gust, M.; Fortier, M.; Garric, J.; Fournier, M.; Gagne, F.</t>
  </si>
  <si>
    <t>Immunotoxicity of surface waters contaminated by municipal effluents to the snail Lymnaea stagnalis</t>
  </si>
  <si>
    <t>Lymnaea stagnalis; Urban effluent; Immune response; Cytometry; Gene expression</t>
  </si>
  <si>
    <t>MUSSEL ELLIPTIO-COMPLANATA; GASTROPOD NUCELLA-LAPILLUS; TOLL-LIKE RECEPTOR; WASTE-WATER; PHAGOCYTIC-ACTIVITY; IN-VITRO; MYTILUS-GALLOPROVINCIALIS; PHARMACEUTICAL PRODUCTS; ESTROGENIC EFFLUENT; OXIDATIVE STRESS</t>
  </si>
  <si>
    <t>The immunotoxic effects of surface waters contaminated by a municipal effluent dispersion plume were examined in the snail Lymnaea stagnalis. Snails were exposed to surface waters where changes in hemocyte counts, viability, levels of reactive oxygen species (ROS), reduced thiols and phagocytic activity were tracked following exposure periods of 3 h and 3 and 7 d. Changes in mRNA expression of some genes in the hemocytes were also assessed after 7 d of exposure, as follows: genes coding for catalase (CAT), superoxide dismutase (SOD), glutathione reductase (GSR), selenium-dependent glutathione peroxidase (SeGPX), two isoforms of the nitric oxide synthetase (NOS1 and NOS2), molluscan defensive molecule (MDM), toll-like receptor 4 (TLR4), allograft inflammatory factor-1 (AIF), and heat-shock protein 70 (HSP70). At the sites closest to the discharge point, exposure led to impaired hemocyte viability and intracellular thiol levels and also an increase of hemocyte count, ROS levels and phagocytosis. Phagocytosis and ROS levels in hemocytes were correlated with heterotrophic bacterial counts in snails. We found four genes with increased mRNA expression as a response to exposure of municipal wastewaters: TLR4 (6-fold), HSP70 (2-fold), SeGPx (4-fold) and CAT (2-fold). Immunocompetence responses were analyzed by canonical analysis to seek out relationships with mRNA expression of the genes involved in stress, pattern recognition, cellular and humoral responses. The data revealed that genes involved in oxidative stress were strongly involved with immunocompetence and that the resulting immune responses were influenced both by the bacterial and pollutant loadings of the effluent. (C) 2012 Elsevier B.V. All rights reserved.</t>
  </si>
  <si>
    <t>[Gust, M.; Garric, J.] IRSTEA, UR MAEP, Lab Ecotoxicol, F-69009 Lyon, France; [Gust, M.; Gagne, F.] Environm Canada, Emerging Methods Sect, Aquat Contaminants Res Div, Montreal, PQ H2Y 2E7, Canada; [Fortier, M.; Fournier, M.; Gagne, F.] INRS Inst Armand Frappier, Laval, PQ H7V 1B7, Canada</t>
  </si>
  <si>
    <t>INRAE; Environment &amp; Climate Change Canada; University of Quebec; Institut national de la recherche scientifique (INRS)</t>
  </si>
  <si>
    <t>Gust, M (corresponding author), IRSTEA, UR MAEP, Lab Ecotoxicol, 3 Bis Quai Chauveau,CP 220, F-69336 Lyon 09, France.</t>
  </si>
  <si>
    <t>marion.gust@irstea.fr</t>
  </si>
  <si>
    <t>Garric, Jeanne/0000-0001-5637-072X</t>
  </si>
  <si>
    <t>La Region Rhone-Alpes; Municipal Effluent Research Program of Environment Canada</t>
  </si>
  <si>
    <t>La Region Rhone-Alpes(Region Auvergne-Rhone-Alpes); Municipal Effluent Research Program of Environment Canada</t>
  </si>
  <si>
    <t>Marion Gust held a fellowship from La Region Rhone-Alpes. This project was funded by the Municipal Effluent Research Program of Environment Canada. The manuscript was copyedited by Patricia Potvin of Environment Canada. Claude Lessard is thanked for his help with the sample collection.</t>
  </si>
  <si>
    <t>10.1016/j.aquatox.2012.09.001</t>
  </si>
  <si>
    <t>092MB</t>
  </si>
  <si>
    <t>WOS:000315125600042</t>
  </si>
  <si>
    <t>Chen, LG; Hu, CY; Guo, YY; Shi, QP; Zhou, BS</t>
  </si>
  <si>
    <t>Chen, Lianguo; Hu, Chenyan; Guo, Yongyong; Shi, Qipeng; Zhou, Bingsheng</t>
  </si>
  <si>
    <t>TiO2 nanoparticles and BPA are combined to impair the development of offspring zebrafish after parental coexposure</t>
  </si>
  <si>
    <t>Parental combined exposure; TiO2 and BPA mixture; Developmental toxicity; Phagolysosome; Sex hormones</t>
  </si>
  <si>
    <t>TITANIUM-DIOXIDE NANOPARTICLES; MEDAKA ORYZIAS-MELASTIGMA; BISPHENOL-A; ENDOCRINE DISRUPTION; MARINE BIVALVE; WEB SERVER; TOXICITY; EXPOSURE; NANO-TIO2; BIOCONCENTRATION</t>
  </si>
  <si>
    <t>Titanium dioxide (TiO2) nanoparticles and bisphenol A (BPA) in aquatic environments interact reciprocally to enhance the maternal transfer of pollutants to offspring, thus varying the innate toxicities during early embryonic development. However, it remains unexplored regarding the molecular mechanisms of developmental toxicity in offspring after parental coexposure. In the present study, adult zebrafish were exposed to TiO2 nanoparticles (100 mu g/L), BPA (20 mu g/L) or their binary mixture for four months. Then, eggs of F1 generation were collected and reared in clean water until 5 days post-fertilization. In characteristic of larval survival and growth, parental coexposure to TiO2 particles and BPA caused a severer inhibition of F1 offspring larvae compared with single exposure. Mechanistic investigation by shotgun proteomics found that development of larval offspring from coexposed parents was impaired through a distinct mode of toxicity, that is, specifically altering the activity of phagosome and lysosome. Single exposure of adult zebrafish to TiO2 mainly affected insulin-responsive compartment; and BPA parental exposure mainly affected carbohydrate metabolism and calcium signaling of larval offspring. Furthermore, considering the tight regulation of sex hormones in the expression of vitellogenin (VTG), addition of nanoparticles during parental exposure led to inconsistencies between VTG induction and endogenous levels of sex hormones (estradiol and testosterone) in F1 offspring fish. This implied that transfer of nanoparticles to offspring larvae may change the availability of hormonal molecules and BPA at target tissues. Overall, current results provided mechanistic clues into the multigenerational developmental toxicity by parental coexposure to TiO2 particles and BPA. (C) 2018 Elsevier Ltd. All rights reserved.</t>
  </si>
  <si>
    <t>[Chen, Lianguo; Guo, Yongyong; Shi, Qipeng; Zhou, Bingsheng] Chinese Acad Sci, Inst Hydrobiol, State Key Lab Freshwater Ecol &amp; Biotechnol, Wuhan 430072, Peoples R China; [Hu, Chenyan] Wuhan Inst Technol, Sch Chem &amp; Environm Engn, Wuhan 430072, Peoples R China</t>
  </si>
  <si>
    <t>Chinese Academy of Sciences; Institute of Hydrobiology, CAS; Wuhan Institute of Technology</t>
  </si>
  <si>
    <t>Chen, LG (corresponding author), Chinese Acad Sci, Inst Hydrobiol, State Key Lab Freshwater Ecol &amp; Biotechnol, Wuhan 430072, Peoples R China.</t>
  </si>
  <si>
    <t>lchenam@ihb.ac.cn</t>
  </si>
  <si>
    <t>hu, chen/JHT-2836-2023</t>
  </si>
  <si>
    <t>Chen, Lianguo/0009-0005-1892-6877</t>
  </si>
  <si>
    <t>National Natural Science Foundation of China [21577168]; Strategic Priority Research Program of the Chinese Academy of Sciences [XDB14040103]; State Key Laboratory of Freshwater Ecology and Biotechnology [2016FBZ11]</t>
  </si>
  <si>
    <t>National Natural Science Foundation of China(National Natural Science Foundation of China (NSFC)); Strategic Priority Research Program of the Chinese Academy of Sciences(Chinese Academy of Sciences); State Key Laboratory of Freshwater Ecology and Biotechnology(Chinese Academy of Sciences)</t>
  </si>
  <si>
    <t>This work was supported by the National Natural Science Foundation of China (grant number 21577168), the Strategic Priority Research Program of the Chinese Academy of Sciences (grant number XDB14040103), the State Key Laboratory of Freshwater Ecology and Biotechnology (grant number 2016FBZ11).</t>
  </si>
  <si>
    <t>10.1016/j.chemosphere.2018.11.052</t>
  </si>
  <si>
    <t>HI1RU</t>
  </si>
  <si>
    <t>WOS:000456223500080</t>
  </si>
  <si>
    <t>Gattás, F; Vinocur, A; Graziano, M; Afonso, MD; Pizarro, H; Cataldo, D</t>
  </si>
  <si>
    <t>Gattas, F.; Vinocur, A.; Graziano, M.; dos Santos Afonso, M.; Pizarro, H.; Cataldo, D.</t>
  </si>
  <si>
    <t>Differential impact of Limnoperna fortunei-herbicide interaction between Roundup Max® and glyphosate on freshwater microscopic communities</t>
  </si>
  <si>
    <t>Limnoperna fortunei; Roundup Max (R); Glyphosate; Invasive species; Multiple stressors; Microscopic communities; Outdoor mesocosms; Grazing rate</t>
  </si>
  <si>
    <t>MICROBIAL COMMUNITIES; DREISSENA-POLYMORPHA; ORIGINAL FORMULATION; INTRODUCED BIVALVE; MULTIPLE STRESSORS; RISK-ASSESSMENT; SOUTH-AMERICA; TOXICITY; RATES; ECOSYSTEMS</t>
  </si>
  <si>
    <t>Multiple anthropogenic stressors act simultaneously on the environment, with consequences different from those caused by single-stressor exposure. We investigated how the combination of the invasive mussel Limnoperna fortunei and a widely applied herbicide, Roundup Max (R), affected freshwater microscopic communities and water quality. Further, we compared these results with those induced by the combination of the mussel and technical-grade glyphosate. We carried out a 34-day experiment in outdoor mesocosms, applying the following six treatments: 6 mg L-1 of technical-grade glyphosate (G), the equivalent concentration of glyphosate in Roundup Max (R) (R), 100 mussels (M), the combination of mussels and herbicide either in the technical-grade or formulated form (MG and MR, respectively), and control (C). Herbicides significantly increased total phosphorus in water; R and MR showed greater initial total nitrogen and ammonium. R increased picoplankton abundance and caused an eightfold increase in phytoplankton, with high turbidity values; G had a lower effect on these variables. Herbicide-mussel combination induced an accelerated dissipation of glyphosate in water (MG 6.36 +/- 0.83 mg G g DW-1 day(-1) and MR 5.16 +/- 1.26 mg G g DW-1 day(-1)). A synergistic effect on ammonium was observed in MR but not in MG. MR and MG had an antagonistic effect on phytoplankton, which showed a drastic reduction due to grazing, as revealed by M. We provide evidence of differential effects of Roundup Max (R) and technical-grade glyphosate over water quality and microscopic communities, and in combination with mussels. However, in the combination of mussels and herbicides, mussels seem to play a leading role. In the presence of L. fortunei, the effects of higher nutrient availability provided by herbicides addition were counteracted by the filtration activity of mussels, which released nutrients, grazed on picoplankton and phytoplankton, and boosted the development of other primary producers, periphyton and metaphyton.</t>
  </si>
  <si>
    <t>[Gattas, F.; Vinocur, A.; Graziano, M.; Pizarro, H.; Cataldo, D.] Univ Buenos Aires, Fac Ciencias Exactas &amp; Nat, Dept Ecol Genet &amp; Evoluc, IEGEBA,CONICET, Buenos Aires, DF, Argentina; [Vinocur, A.] Univ Buenos Aires, Fac Ciencias Exactas &amp; Nat, Dept Biodiversidad &amp; Biol Expt, Buenos Aires, DF, Argentina; [Graziano, M.; dos Santos Afonso, M.] Univ Buenos Aires, Fac Ciencias Exactas &amp; Nat, Dept Quim Inorgan, INQUIMAE,CONICET, Buenos Aires, DF, Argentina</t>
  </si>
  <si>
    <t>University of Buenos Aires; Consejo Nacional de Investigaciones Cientificas y Tecnicas (CONICET); University of Buenos Aires; Consejo Nacional de Investigaciones Cientificas y Tecnicas (CONICET); University of Buenos Aires</t>
  </si>
  <si>
    <t>Gattás, F (corresponding author), Univ Buenos Aires, Fac Ciencias Exactas &amp; Nat, Dept Ecol Genet &amp; Evoluc, IEGEBA,CONICET, Buenos Aires, DF, Argentina.</t>
  </si>
  <si>
    <t>florencia.gattas@ege.fcen.uba.ar</t>
  </si>
  <si>
    <t>Graziano, Martin/ITV-8185-2023</t>
  </si>
  <si>
    <t>Graziano, Martin/0000-0002-6876-7211; dos Santos Afonso, Maria/0000-0001-7851-9708; CATALDO, DANIEL/0000-0002-3643-0809</t>
  </si>
  <si>
    <t>Agencia Nacional de Promocion Cientifica y Tecnologica [PICT 2010 0908, 2014 1586]; Universidad de Buenos Aires [UBACyT 20020100100550]</t>
  </si>
  <si>
    <t>Agencia Nacional de Promocion Cientifica y Tecnologica(ANPCyTSpanish Government); Universidad de Buenos Aires(University of Buenos Aires)</t>
  </si>
  <si>
    <t>This work was supported by the Agencia Nacional de Promocion Cientifica y Tecnologica (PICT 2010 0908 and 2014 1586) and Universidad de Buenos Aires (UBACyT 20020100100550). We thank Leidy Velandia for field assistance.</t>
  </si>
  <si>
    <t>10.1007/s11356-016-7005-6</t>
  </si>
  <si>
    <t>DX5QH</t>
  </si>
  <si>
    <t>WOS:000384435800091</t>
  </si>
  <si>
    <t>Panigrahi, S; Mohanty, AK; Samantara, MK; Sahu, G; Chandrasekaran, S; Subramanian, V; Srinivas, CV</t>
  </si>
  <si>
    <t>Panigrahi, Satyanarayan; Mohanty, A. K.; Samantara, M. K.; Sahu, G.; Chandrasekaran, S.; Subramanian, V; Srinivas, C., V</t>
  </si>
  <si>
    <t>Distribution, annual committed effective dose, and health safety assessment of 210Po in marine biota from Kalpakkam coast, Bay of Bengal</t>
  </si>
  <si>
    <t>Po-210; Seafood; Kalpakkam; Food safety; Radiological safety; Activity intake; Committed effective dose</t>
  </si>
  <si>
    <t>MUSSEL MYTILUS-EDULIS; HUMAN-BEINGS; NATURAL RADIONUCLIDES; BIVALVE MOLLUSKS; SOUTHEAST COAST; PB-210; CONSUMPTION; ECOSYSTEM; SEAFOOD; FISHES</t>
  </si>
  <si>
    <t>Seafood, intertidal biota, beach sediment, and seawater from Kalpakkam coast, Bay of Bengal were analyzed for Po-210 to evaluate the internal exposure and other radiological safety aspects. Kalpakkam houses various nuclear power generation facilities on its coast. The activity concentration of Po-210 was more pronounced in the intertidal organisms. Pelagic planktivorous fishes have the highest activity of the non-technogenic radionuclide, followed by the detrital feeders, benthic planktivores, benthic carnivores, and pelagic carnivore fishes. The affinity of Po-210 to organic detrital matter and planktonic organisms has led to a higher accumulation of radionuclide in planktivorous fishes. Activity concentration of Po-210 in seafood ranged between 1.13 +/- 0.3 and 96.71 +/- 1.6 Bq kg(-1) (Becquerel/kilogram). In seaweeds and gastropods, it ranged from 2.09 +/- 0.2 to 8.21 +/- 0.6 and from 9.31 +/- 0.7 to 21.58 +/- 1.2 Bq kg(-1), respectively. The committed effective dose (CED) of Po-210 in seafood varied from 31.18 to 456.68 mu Sv yr(-1) (microSievert/year). Radiological hazard parameters, such as activity intake, CED in consumption, of the seafood from this coast are within the acceptable levels prescribed by the International Commission on Radiological Protection and US Environmental Protection Agency.</t>
  </si>
  <si>
    <t>[Panigrahi, Satyanarayan; Chandrasekaran, S.; Srinivas, C., V] Indira Gandhi Ctr Atom Res, Environm Assessment Sect, EAD RESG SQRMG, Kalpakkam 603102, Tamil Nadu, India; [Mohanty, A. K.; Samantara, M. K.; Sahu, G.; Subramanian, V] Indira Gandhi Ctr Atom Res, Aerosol Transport &amp; Biodivers Sect, RESD RESG SQRMG, Kalpakkam, Tamil Nadu, India; [Chandrasekaran, S.; Srinivas, C., V] Homi Bhaba Natl Inst, Mumbai, Tamil Nadu, India</t>
  </si>
  <si>
    <t>Indira Gandhi Centre for Atomic Research (IGCAR); Indira Gandhi Centre for Atomic Research (IGCAR); Homi Bhabha National Institute</t>
  </si>
  <si>
    <t>Panigrahi, S (corresponding author), Indira Gandhi Ctr Atom Res, Radiol &amp; Environm Safety Grp, Environm Assessment Sect, Kalpakkam 603102, Tamil Nadu, India.</t>
  </si>
  <si>
    <t>snpanigrahi@igcar.gov.in</t>
  </si>
  <si>
    <t>Panigrahi, Satya/AAF-3275-2020</t>
  </si>
  <si>
    <t>Panigrahi, Satya/0000-0002-6137-8432</t>
  </si>
  <si>
    <t>10.1016/j.marpolbul.2021.113147</t>
  </si>
  <si>
    <t>YJ0XF</t>
  </si>
  <si>
    <t>WOS:000744261600004</t>
  </si>
  <si>
    <t>Dedourge-Geffard, O; Charron, L; Hofbauer, C; Gaillet, V; Palais, F; Lacaze, E; Geffard, A; Geffard, O</t>
  </si>
  <si>
    <t>Dedourge-Geffard, O.; Charron, L.; Hofbauer, C.; Gaillet, V.; Palais, F.; Lacaze, E.; Geffard, A.; Geffard, O.</t>
  </si>
  <si>
    <t>Temporal patterns of digestive enzyme activities and feeding rate in gammarids (Gammarus fossarum) exposed to inland polluted waters</t>
  </si>
  <si>
    <t>Energy metabolism; Caging; Temporal variations; Invertebrate; Metal contamination</t>
  </si>
  <si>
    <t>TRANSPLANTED ZEBRA MUSSELS; HEAVY-METAL POLLUTION; DAPHNIA-MAGNA; IN-SITU; METALLOTHIONEIN RESPONSE; CORBICULA-FLUMINEA; CRYSTALLINE STYLE; ASELLUS-AQUATICUS; SEASONAL-CHANGES; PULEX</t>
  </si>
  <si>
    <t>The aim of this study was to use digestive enzyme activities in Gammarus fossarum as biomarkers during active biomonitoring. Standardised gammarids were transplanted for 7 days to five sites in the Riou Mort watershed contaminated by polymetallic pollution. This experiment was conducted on seven different dates from February 2009 to June 2010. Feeding rates were tracked, along with amylase, cellulase and trypsin activities. We found that feeding rate and digestive capacity were reduced in the most polluted site, Joany, in comparison with the reference site Up.Lot. The results suggested that trypsin was more sensitive than the other two carbohydrases. In the four other sites, seasonal differences were observed during the 2 yr but no clear pattern can be established. This study highlights the ability of G. fossarum to demonstrate environmental disturbances and suggests the use of a caging process in certain seasons. Caging organisms and feeding ad libitum is advantageous, as it reduces inter-individual variability and removes dependence on the native food fluctuations. However, confounding factors other than temperature were present, and the interpretation of digestive enzyme activities is complex. (C) 2013 Elsevier Inc. All rights reserved.</t>
  </si>
  <si>
    <t>[Dedourge-Geffard, O.; Charron, L.; Hofbauer, C.; Gaillet, V.; Palais, F.; Geffard, A.] Univ Reims, Interact Anim Environm EA 4689, UFR SEN, F-51687 Reims 2, France; [Lacaze, E.; Geffard, O.] IRSTEA Lyon, Lab Ecotoxicol, Unite Rech Milieux Aquat Ecol &amp; Pollut MAEP, F-69626 Villeurbanne, France</t>
  </si>
  <si>
    <t>Dedourge-Geffard, O (corresponding author), Univ Reims, Interact Anim Environm EA 4689, UFR SEN, Moulin Housse,BP 1039, F-51687 Reims 2, France.</t>
  </si>
  <si>
    <t>odile.dedourge@univ-reims.fr</t>
  </si>
  <si>
    <t>Geffard, olivier/0000-0001-7760-4644; Geffard, Alain/0000-0001-9236-2890; Dedourge-Geffard, Odile/0000-0001-6308-2080</t>
  </si>
  <si>
    <t>National Research Project ANR [08-CES-014 RESYST, 2011 CESA 021 02]</t>
  </si>
  <si>
    <t>National Research Project ANR(Agence Nationale de la Recherche (ANR))</t>
  </si>
  <si>
    <t>This study was supported by the National Research Project ANR 08-CES-014 RESYST and ANR 2011 CESA 021 02. The authors sincerely thank Elsevier for the English revision.</t>
  </si>
  <si>
    <t>10.1016/j.ecoenv.2013.07.016</t>
  </si>
  <si>
    <t>226MC</t>
  </si>
  <si>
    <t>WOS:000325039400018</t>
  </si>
  <si>
    <t>Pérez-Fernández, B; Viñas, L; Bargiela, J</t>
  </si>
  <si>
    <t>Perez-Fernandez, Begona; Vinas, Lucia; Bargiela, Jesica</t>
  </si>
  <si>
    <t>Historical Profiles of Polycyclic Aromatic Hydrocarbons (PAHs) in Marine Sediment Cores from Northwest Spain</t>
  </si>
  <si>
    <t>SURFACE SEDIMENTS; NW SPAIN; ESTUARINE SEDIMENTS; ADRIATIC SEA; HEAVY-METALS; TRACE-METALS; BARENTS SEA; HARBOR; POLLUTION; RIVER</t>
  </si>
  <si>
    <t>The northwest coast of Spain is characterized by an irregular coastline rich in marine life and with the highest mussel production in Europe. Taking this into account, the characterization of the pollution levels and the sources involved appear necessary. Not only were parent Polycyclic Aromatic Hydrocarbons (PAHs) analysed but also their alkylated homologues. In total, 35 compounds were analyzed in 5 sediment cores. Sediments were collected using a box core dredge and extracted by (Pressurized Liquid Extraction) whilst the quantification of PAHs was performed using gas chromatography coupled to mass spectrometry (GC-MS). The total concentration detected varied from 49.6 to 2489 ng g(-1) dry weight (d.w.) of which parent PAHs ranged from 44.5 to 2254 ng g(-1) d.w. and alkylated PAHs varied from 5.04 to 317 ng g(-1) d.w. Temporal and spatial evolution were outlined and pollution sources were identified along with a possible correlation between this pollution and local history and industry. Most of the PAHs from the superficial samples have a biomass and coal combustion profile, and some specific, localized events are reflected in the total PAH concentration evolution. Moreover, the study of the deepest layers of the sampled cores provides a baseline to develop background concentration values that will help in future sediment quality assessment.</t>
  </si>
  <si>
    <t>[Perez-Fernandez, Begona; Vinas, Lucia; Bargiela, Jesica] Ctr Oceanog Vigo, Inst Espaol Oceanog, Vigo 36390, Spain; [Perez-Fernandez, Begona] Univ Vigo, Campus Mar, Vigo 36310, Spain</t>
  </si>
  <si>
    <t>Viñas, L (corresponding author), Ctr Oceanog Vigo, Inst Espaol Oceanog, Vigo 36390, Spain.</t>
  </si>
  <si>
    <t>Pérez-Fernández, Begoña/W-9344-2019; Vinas, Lucia/B-7804-2008</t>
  </si>
  <si>
    <t>Bargiela Barros, Jesica/0000-0002-5241-9001; Perez-Fernandez, Begona/0000-0002-5654-2517; Vinas, Lucia/0000-0002-3816-5359</t>
  </si>
  <si>
    <t>IEO; Spanish Ministry of Agriculture, Food and Environment</t>
  </si>
  <si>
    <t>The authors thank M. Lopez and G. Fernandez Carrera and the technical staff of the Marine Pollution Department at IEO-Vigo, as well as the officers and crew of R/V Jose Maria Navaz for assistance in samples collection and preparation. The study was funded by a Fund Management Agreement between the IEO and the Spanish Ministry of Agriculture, Food and Environment (2010-2012).</t>
  </si>
  <si>
    <t>10.1007/s00244-016-0312-6</t>
  </si>
  <si>
    <t>EB1DD</t>
  </si>
  <si>
    <t>WOS:000387086000001</t>
  </si>
  <si>
    <t>Ololade, IA; Oladoja, NA; Ololade, OO; Saliu, TD; Alabi, AB; Obadawo, SB; Anifowose, MM</t>
  </si>
  <si>
    <t>Ololade, Isaac Ayodele; Oladoja, Nurudeen Abiola; Ololade, Oluwaranti Olubunmi; Saliu, Toyin Dunsin; Alabi, Adenike Bosede; Obadawo, Samuel Babatunde; Anifowose, Mayowa Monday</t>
  </si>
  <si>
    <t>Bioaccumulation and toxic potencies of polycyclic aromatic hydrocarbons in freshwater biota from the Ogbese River, Nigeria</t>
  </si>
  <si>
    <t>Water pollution; Polycyclic aromatic hydrocarbons; Bioaccumulation factor; Biota-sediment accumulation factor; Potency equivalent concentration</t>
  </si>
  <si>
    <t>SURFACE SEDIMENTS; GALICIAN COAST; HEAVY-METALS; HUMAN HEALTH; PAHS; FISH; MARINE; ACCUMULATION; MUSSELS; BIOAVAILABILITY</t>
  </si>
  <si>
    <t>Samples of fish and shellfish (periwinkles, mussel, and snail) collected from the rapidly contaminated Ogbese River, Ondo State, Nigeria, were analyzed for their polycyclic aromatic hydrocarbon (PAH) levels by gas chromatography-mass spectrometry after cleanup using solid-phase extraction. The rank order of concentration of Sigma PAHs in fish follows: gills &gt;&gt; eggs &gt;&gt;&gt; muscle. The dry weight concentrations (mu g/g) of total PAHs ranged from &lt;0.001 to 2.06, 0.01 to 18.67, 0.01 to 9.56, and 0.01 to 8.28 in fish muscle, periwinkle, snail, and mussel respectively. Accumulation levels of PAHs in the biota were used to calculate biota-sediment (or porewater) accumulation factors (BSAF (BPwAF)) and bioaccumulation factor (BAF). The lower molecular weight PAHs constitute major components (87% in each case) of PAH congener profiles. Bioaccumulation was greatest for PAHs with log K-ow values between 5.0 and 5.6. However, the study did not show a good correlation between log K-ow of individual PAH and the corresponding BSAFs/BPwAF for the biota. The study indicates that significantly greater (p&lt;0.05) BSAFs for PAHs were observed in the three bottom dwellers than in fish muscle which suggests that the sediment-feeding behavior largely affected the extent of PAH bioaccumulation in the aquatic organisms. The calculated potency equivalent concentration (PEC) of total PAHs was above the recommended screening value (SV) in US EPA guidelines, suggesting great concern for human consumption. However, estimated excess cancer risk (ECR) induced by dietary exposure only suggests potential cancer risk. The study suggests urgent remediation of the river to safeguard public health.</t>
  </si>
  <si>
    <t>[Ololade, Isaac Ayodele; Ololade, Oluwaranti Olubunmi; Alabi, Adenike Bosede; Obadawo, Samuel Babatunde; Anifowose, Mayowa Monday] Adekunle Ajasin Univ, Dept Chem Sci, Environm Monitoring Unit, PMB 001, Akungba Akoko, Ondo, Nigeria; [Oladoja, Nurudeen Abiola; Saliu, Toyin Dunsin] Adekunle Ajasin Univ, Dept Chem Sci, Hydrochem Res Lab, Akungba Akoko, Nigeria</t>
  </si>
  <si>
    <t>Ololade, IA (corresponding author), Adekunle Ajasin Univ, Dept Chem Sci, Environm Monitoring Unit, PMB 001, Akungba Akoko, Ondo, Nigeria.</t>
  </si>
  <si>
    <t>isaac.ololade@aaua.edu.ng</t>
  </si>
  <si>
    <t>Saliu, Toyin Dunsin/HOH-6532-2023</t>
  </si>
  <si>
    <t>10.1007/s10661-020-08759-4</t>
  </si>
  <si>
    <t>PG7RX</t>
  </si>
  <si>
    <t>WOS:000599929400001</t>
  </si>
  <si>
    <t>de Mora, S; Tolosa, I; Fowler, SW; Villeneuve, JP; Cassi, R; Cattini, C</t>
  </si>
  <si>
    <t>de Mora, Stephen; Tolosa, Imma; Fowler, Scott W.; Villeneuve, Jean-Pierre; Cassi, Roberto; Cattini, Chantal</t>
  </si>
  <si>
    <t>Distribution of petroleum hydrocarbons and organochlorinated contaminants in marine biota and coastal sediments from the ROPME Sea Area during 2005</t>
  </si>
  <si>
    <t>Biota; Sediments; Pollution; Petroleum hydrocarbons; Organochlorinated compounds; Gulf region</t>
  </si>
  <si>
    <t>POLYCYCLIC AROMATIC-HYDROCARBONS; GULF-WAR ASSESSMENT; ARABIAN GULF; OIL POLLUTION; ENVIRONMENTAL CONSEQUENCES; POLYCHLORINATED-BIPHENYLS; CHLORINATED HYDROCARBONS; MULLUS-BARBATUS; HEAVY-METALS; CASPIAN SEA</t>
  </si>
  <si>
    <t>fThe composition and spatial distribution of various petroleum hydrocarbons (PHs), comprising both aliphatic and polycyclic aromatic hydrocarbons (PAHs), and selected chlorinated pesticides and PCBs were measured in biota and coastal sediments from seven countries in the Persian Gulf and the Gulf of Oman (Bahrain, Iran, Kuwait, Oman, Qatar, Saudi Arabia and the United Arab Emirates). Evidence of extensive marine contamination with respect to organochlorinated compounds and PHs was not observed. Only one site, namely the BAPCO oil refinery in Bahrain, was considered to be chronically contaminated. Comparison of the results from this survey for Sigma DDTs and Sigma PCBs in rock oysters from the Gulf of Oman with similar measurements made at the same locations over the past two decades indicates a temporal trend of overall decreasing Sigma PCB concentrations in oysters, whereas Sigma DDTs levels have little changed during that period. (C) 2010 Elsevier Ltd. All rights reserved.</t>
  </si>
  <si>
    <t>[de Mora, Stephen; Tolosa, Imma; Fowler, Scott W.; Villeneuve, Jean-Pierre; Cassi, Roberto; Cattini, Chantal] IAEA, Marine Environm Labs, MC-98000 Monaco, Monaco</t>
  </si>
  <si>
    <t>de Mora, S (corresponding author), Plymouth Marine Lab, Prospect Pl, Plymouth PL1 3DH, Devon, England.</t>
  </si>
  <si>
    <t>Stephen.deMora@gmail.com</t>
  </si>
  <si>
    <t>Tolosa, Imma/0000-0002-2668-5488</t>
  </si>
  <si>
    <t>ROPME under a MoU</t>
  </si>
  <si>
    <t>This study was carried out with the financial and technical support provided by ROPME under a MoU between ROPME and IAEA. We acknowledge with gratitude the logistic support received in each country: in Kingdom of Bahrain from the Public Commission for the Protection of Marine Resources, Environment and Wildlife: in Islamic Republic of Iran from the Department of the Environment (DOE), Marine Environment Bureau: in State of Kuwait from Environment Public Authority (EPA); in Sultanate of Oman from the Ministry of Regional Municipalities, Environment and Water Resources; in Kingdom of Saudi Arabia from the Presidency of Meteorology and Environment (PME), Eastern Province: and in United Arab Emirates from the Federal Environmental Agency (FEA). IAEA is grateful for the technical support provided to its Marine Environment Laboratories by the Government of the Principality of Monaco.</t>
  </si>
  <si>
    <t>10.1016/j.marpolbul.2010.09.021</t>
  </si>
  <si>
    <t>WOS:000285735700033</t>
  </si>
  <si>
    <t>Garg, AN; Chutke, NL; Ambulkar, MN; Dogra, RKS</t>
  </si>
  <si>
    <t>An evaluation of the environmental implications of petroleum refinery emissions by multielemental neutron activation analysis of rumen fluid ash of buffaloes</t>
  </si>
  <si>
    <t>APPLIED RADIATION AND ISOTOPES</t>
  </si>
  <si>
    <t>TRACE-ELEMENTS; SELENIUM; COPPER</t>
  </si>
  <si>
    <t>In order to study environmental pollution in and around a petroleum refinery complex, a multielemental instrumental neutron activation analysis (INAA) method was used to assay concentrations of As, Ba, Br, Cl, Co, Cr, Cs, Cu, Fe, Hg, La, Mn, Mo, K, Na, P, Sc, Rb, Se, Sr, W and Zn in the rumen fluid ash samples of buffaloes from the vicinity of the refinery. Corresponding samples from a control area 300 km away from the refinery were analysed. Standard Reference Materials, Bovine liver (SRM 1577a), Oyster tissue (SRM 1566a) and Animal bone (CRM H-5) were also analysed for quality control. Samples were irradiated with thermal neutrons at 10(12)-10(13) n cm(-2) s(-1) and counted by high-resolution gamma spectrometry. Mean elemental concentrations of As, Ba, Br, Cr, Hg and Fe were found to be enhanced, whereas those of Na, K, Cl, Cu, Mn and P were depleted in samples from the vicinity of the refinery complex compared to controls. The environmental implications of anomalous elemental concentrations are discussed.</t>
  </si>
  <si>
    <t>IND TOXICOL RES CTR,LUCKNOW 226001,UTTAR PRADESH,INDIA</t>
  </si>
  <si>
    <t>Council of Scientific &amp; Industrial Research (CSIR) - India; CSIR - Indian Institute of Toxicology Research (IITR)</t>
  </si>
  <si>
    <t>Garg, AN (corresponding author), NAGPUR UNIV,DEPT CHEM,NAGPUR 440010,MAHARASHTRA,INDIA.</t>
  </si>
  <si>
    <t>0969-8043</t>
  </si>
  <si>
    <t>APPL RADIAT ISOTOPES</t>
  </si>
  <si>
    <t>Appl. Radiat. Isot.</t>
  </si>
  <si>
    <t>10.1016/0969-8043(95)00329-0</t>
  </si>
  <si>
    <t>Chemistry, Inorganic &amp; Nuclear; Nuclear Science &amp; Technology; Radiology, Nuclear Medicine &amp; Medical Imaging</t>
  </si>
  <si>
    <t>Chemistry; Nuclear Science &amp; Technology; Radiology, Nuclear Medicine &amp; Medical Imaging</t>
  </si>
  <si>
    <t>UQ370</t>
  </si>
  <si>
    <t>WOS:A1996UQ37000016</t>
  </si>
  <si>
    <t>Solaun, O; Rodríguez, JG; Borja, A; Larreta, J; Valencia, V</t>
  </si>
  <si>
    <t>Solaun, O.; Rodriguez, J. G.; Borja, A.; Larreta, J.; Valencia, V.</t>
  </si>
  <si>
    <t>Relationships between polychlorinated biphenyls in molluscs, hydrological characteristics and human pressures, within Basque estuaries (northern Spain)</t>
  </si>
  <si>
    <t>Molluscs; Sediments; PCBs; Hydrological characteristics; Human pressures; Basque Country</t>
  </si>
  <si>
    <t>PERSISTENT ORGANIC POLLUTANTS; MYTILUS-GALLOPROVINCIALIS; ORGANOCHLORINE COMPOUNDS; RISK-ASSESSMENT; HEAVY-METALS; MUSSEL WATCH; BLUE MUSSELS; CONTAMINANTS; PCBS; BAY</t>
  </si>
  <si>
    <t>Interannual variability of polychlorinated biphenyls (PCBs), measured in the soft tissues of Mytilus galloproyincialis mussels and Crassostrea gigas oysters, collected from estuarine waters within the Basque Country (Bay of Biscay), are investigated. Samples were collected in the autumn, between 2002 and 2011. Sites located within the ports of Bilbao and Pasaia showed the highest PCBs concentrations in molluscs; the lowest were observed in the mouth of the Oka estuary, an area of low population and industrial activity. Congener profiles of PCBs in the tissues of molluscs reveal the predominance of hexachlorobiphenyls (CB153 and CB138). In addition, redundancy analysis has shown that residence time, river flow and a 'pressure index' explain 57% of the variability in the PCB congener concentrations (the higher the values of these variables, the higher the concentration). Finally, Sigma 7PCB median concentrations in molluscs and sediments, collected from nearby sampling sites, were found to be moderately correlated (r(2) = 0.513, p &lt; 0.01). (c) 2014 Elsevier Ltd. All rights reserved.</t>
  </si>
  <si>
    <t>[Solaun, O.; Rodriguez, J. G.; Borja, A.; Larreta, J.; Valencia, V.] AZTI Tecnalia Fdn Herrera Kaia, Div Marine Res, Pasaia 20110, Spain</t>
  </si>
  <si>
    <t>Solaun, O (corresponding author), AZTI Tecnalia Fdn Herrera Kaia, Div Marine Res, Portualdea Z-G, Pasaia 20110, Spain.</t>
  </si>
  <si>
    <t>Rodriguez, J. German/B-8232-2009; Borja, Angel/I-3665-2018</t>
  </si>
  <si>
    <t>Rodriguez, J. German/0000-0003-1565-4851; Solaun, Oihana/0000-0001-9524-4101; Larreta, Joana/0000-0001-8276-9232; Borja, Angel/0000-0003-1601-2025</t>
  </si>
  <si>
    <t>10.1016/j.chemosphere.2014.07.053</t>
  </si>
  <si>
    <t>AX5GC</t>
  </si>
  <si>
    <t>WOS:000346953700018</t>
  </si>
  <si>
    <t>Montroni, D; Simoni, A; Pasquini, V; Dinelli, E; Ciavatta, C; Triunfo, C; Secci, M; Marzadori, C; Addis, P; Falini, G</t>
  </si>
  <si>
    <t>Montroni, Devis; Simoni, Andrea; Pasquini, Viviana; Dinelli, Enrico; Ciavatta, Claudio; Triunfo, Carla; Secci, Marco; Marzadori, Claudio; Addis, Pierantonio; Falini, Giuseppe</t>
  </si>
  <si>
    <t>A non-lethal method to assess element content in the endangered Pinna nobilis</t>
  </si>
  <si>
    <t>HEAVY-METAL POLLUTION; BICOLOR GMELIN MOLLUSCA; MYTILUS-EDULIS; SEASONAL-VARIATIONS; SHELL STRENGTH; TRACE-METALS; MUSSEL; GROWTH; BYSSUS; BIOACCUMULATION</t>
  </si>
  <si>
    <t>The fan shell Pinna nobilis is the largest bivalve endemic to the Mediterranean and is actually a strongly endangered species. Due to the biological, ecological, and historical relevance of this species, the research of a non-lethal method to relate the element content in organism's tissues and environment can provide information potentially useful to evaluate environmental pollution and organism physiological status. In this study, a screening on element concentration in the animal growing environment (seawater and sediments) and in four soft tissues (hepatopancreas, gills, mantle, and muscle), and two acellular tissues (calcite shell layer, and byssus) was performed. The comparison among these results was used to assess whether the no-lethal acellular tissue element concentration can be used to reveal the element presence in the environment and soft tissues. Elements, such as B, Ag, As, Mn, Mo, Pb, or Se, showed a possible relationship between their presence in the byssus and soft tissues. In the byssus Cr, Sb, Sn, and V have shown to be mostly related to the environment, more than the soft tissues, and might be used to draw a historical record of the exposure of the organism. The element concentration in the calcite shell layer did not relate with environmental element concentrations. Essential elements, like Cu, Fe, Ni, and Zn, were present in calcite shell layer and byssus and are likely related to their biological activity in the organism. The research also gave an overview on the presence of pollution and on the preferential intake route of the element. In summary, this study, performed on a limited number of specimens of this protected species, indicated that element concentration in the byssus can be applied as non-lethal method to monitor this endangered species and its interaction with the elements in the growing environment.</t>
  </si>
  <si>
    <t>[Montroni, Devis; Triunfo, Carla; Falini, Giuseppe] Alma Mater Studiorum Univ Bologna, Dept Chim G Ciamician, Via F Selmi 2, I-40126 Bologna, Italy; [Simoni, Andrea; Ciavatta, Claudio; Marzadori, Claudio] Alma Mater Studiorum Univ Bologna, Dept Sci &amp; Technol Agr &amp; Environm, Dista, Via Fanin 40, I-40127 Bologna, Italy; [Pasquini, Viviana; Secci, Marco; Addis, Pierantonio] Univ Cagliari, Dept Sci Vita dellAmbiente, Via Fiorelli 1, I-09126 Cagliari, Italy; [Dinelli, Enrico] Alma Mater Studiorum Univ Bologna, Dept Sci Biol, Geologiche Ambientali, Piazza Porta San Donato 1, I-40126 Bologna, Italy; [Falini, Giuseppe] Ist Studio Mat Nanostrutturati CNR ISMN, Consiglio Nazl Ric, Via P Gobetti 101, I-40129 Bologna, Italy; [Triunfo, Carla; Falini, Giuseppe] Fano Marine Ctr, Inter Inst Ctr Res Marine Biodivers Resources &amp; B, Viale Adriat 1-N, I-61032 Fano, Italy; [Montroni, Devis] Univ Calif Irvine, Dept Mat Sci &amp; Engn, Irvine, CA 92697 USA</t>
  </si>
  <si>
    <t>University of Bologna; University of Bologna; University of Cagliari; University of Bologna; Consiglio Nazionale delle Ricerche (CNR); Istituto per lo Studio dei Materiali Nanostrutturati (ISMN-CNR); University of California System; University of California Irvine</t>
  </si>
  <si>
    <t>Montroni, D; Falini, G (corresponding author), Alma Mater Studiorum Univ Bologna, Dept Chim G Ciamician, Via F Selmi 2, I-40126 Bologna, Italy.;Addis, P (corresponding author), Univ Cagliari, Dept Sci Vita dellAmbiente, Via Fiorelli 1, I-09126 Cagliari, Italy.;Falini, G (corresponding author), Ist Studio Mat Nanostrutturati CNR ISMN, Consiglio Nazl Ric, Via P Gobetti 101, I-40129 Bologna, Italy.;Falini, G (corresponding author), Fano Marine Ctr, Inter Inst Ctr Res Marine Biodivers Resources &amp; B, Viale Adriat 1-N, I-61032 Fano, Italy.;Montroni, D (corresponding author), Univ Calif Irvine, Dept Mat Sci &amp; Engn, Irvine, CA 92697 USA.</t>
  </si>
  <si>
    <t>devis.montroni@gmail.com; addisp@unica.it; giuseppe.falini@unibo.it</t>
  </si>
  <si>
    <t>Montroni, Devis/AAC-1893-2019; dinelli, enrico/G-6532-2012; Addis, Pierantonio/C-5855-2016</t>
  </si>
  <si>
    <t>pasquini, viviana/0000-0003-2502-6103; Montroni, Devis/0000-0003-1731-4578; dinelli, enrico/0000-0002-3870-544X; Addis, Pierantonio/0000-0002-0464-0270</t>
  </si>
  <si>
    <t>10.1038/s41598-021-98535-2</t>
  </si>
  <si>
    <t>UY5PL</t>
  </si>
  <si>
    <t>WOS:000701575500077</t>
  </si>
  <si>
    <t>Colombo, JC; Bilos, C; Lenicov, M; Colautti, D; Landoni, P; Brochu, C</t>
  </si>
  <si>
    <t>Detritivorous fish contamination in the Reo de la Plata estuary: a critical accumulation pathway in the cycle of anthropogenic compounds</t>
  </si>
  <si>
    <t>HEAVY-METAL POLLUTION; POLYCHLORINATED-BIPHENYLS; CHLORINATED PESTICIDES; CORBICULA-FLUMINEA; DIOXIN EQUIVALENTS; ASIATIC CLAMS; TRACE-METALS; RIO; HYDROCARBONS; ARGENTINA</t>
  </si>
  <si>
    <t>Aliphatic hydrocarbons, chlorinated pesticides, polychlorinated biphenyls (PCBs), dioxins, furans, and trace metals have been quantified in fishes collected at four stations in Reo de la Plata to determine contaminant sources, elucidate interstation and interspecies differences, and assess the health risks associated with fish consumption. Reo de la Plata fish present low trace metal concentrations and moderate to high levels of organic pollutants, particularly aliphatic hydrocarbons and PCBs. The highest concentrations were recorded in Prochilodus lineatus, a dominant and remarkably specialized fatty detritivore that feeds on contaminated organic-rich flocculent matter. Lower levels were registered in Cyprinus carpio and especially in Mugil cephalus, reflecting different feeding preferences. A geographical pattern of higher contaminant concentrations close to the Buenos Aires urban center and lower levels in distant stations was also observed. The multivariate analysis of contaminant signatures indicated that most contaminated Prochilodus had fresh petrogenic and PCB traces, similar to fossil fuels and Aroclor 1254-1260, whereas Mugil and fish from distant sites presented a higher proportion of biogenic hydrocarbons and of more chlorinated PCBs. Toxicity equivalents ranged from 11 to 39 pg,g fresh weight(-1) in Prochilodus, exceeding the guideline of 25 pg,g(-1) for human consumption, with allowable consumption rates as low as 1 g fish,day(-1).</t>
  </si>
  <si>
    <t>Natl Univ La Plata, Fac Ciencias Nat &amp; Museo, Lab Quim Ambiental &amp; Biogeoquim, RA-1900 La Plata, Argentina; Comis Invest Cient Prov Buenos Aires, Buenos Aires, DF, Argentina; Natl Univ La Plata, Fac Ciencias Nat &amp; Museo, Inst Limnol, RA-1900 La Plata, Argentina; Minist Environm Quebec, Ctr Expertise Anal Environm Quebec, Laval, PQ H7C 2M7, Canada</t>
  </si>
  <si>
    <t>National University of La Plata; Museo La Plata; Comision de Investigaciones Cientificas; National University of La Plata; Museo La Plata</t>
  </si>
  <si>
    <t>Natl Univ La Plata, Fac Ciencias Nat &amp; Museo, Lab Quim Ambiental &amp; Biogeoquim, Paseo Bosque S-N, RA-1900 La Plata, Argentina.</t>
  </si>
  <si>
    <t>colombo@museo.fcnym.unlp.edu.ar</t>
  </si>
  <si>
    <t>Colautti, Dario/0000-0002-8896-4255; Bilos, Claudio/0000-0003-1199-7515</t>
  </si>
  <si>
    <t>10.1139/cjfas-57-6-1139</t>
  </si>
  <si>
    <t>325YC</t>
  </si>
  <si>
    <t>WOS:000087703800004</t>
  </si>
  <si>
    <t>Waquet, F; Goloub, P; Deuzé, JL; Léon, JF; Auriol, F; Verwaerde, C; Balois, JY; François, P</t>
  </si>
  <si>
    <t>Waquet, F.; Goloub, P.; Deuze, J.-L.; Leon, J.-F.; Auriol, F.; Verwaerde, C.; Balois, J.-Y.; Francois, P.</t>
  </si>
  <si>
    <t>Aerosol retrieval over land using a multiband polarimeter and comparison with path radiance method</t>
  </si>
  <si>
    <t>JOURNAL OF GEOPHYSICAL RESEARCH-ATMOSPHERES</t>
  </si>
  <si>
    <t>OPTICAL-PROPERTIES; POLARIZED REFLECTANCE; CLAMS EXPERIMENT; SATELLITE; ALGORITHM; DEPTH; OCEAN; MODIS; TEMPERATURE; ABSORPTION</t>
  </si>
  <si>
    <t>[1] This study focuses on the development of a new approach to retrieve aerosol properties over land, based on the use of multispectral polarized measurements (0.67 - 2.2 mu m). We use the measurements of the airborne MICROPOL polarimeter during regional aircraft field experiments located in France and dedicated to the study of aerosol ( pollutant and mineral dust particles) and surface properties. We have developed a multiband polarization algorithm (MBP) and compared the retrievals with both a path radiance algorithm and Sun photometer data. It is shown that surface polarized reflectance exhibits only a small spectral variation for forward scattering geometries (3% on average, 15 - 20% for a single view and scattering angle &lt; 110 degrees). The atmospheric contribution at 2.2 mu m is small for aerosol optical thicknesses (AOTs) up to 0.15 at 0.67 mu m and can be accounted for in the retrieval of surface properties. The 2.2 mu m channel therefore enables us to accurately derive the surface polarization in the shorter MICROPOL bands. For the observations we have made, the surface model developed for the analysis of the Polarization and Directionality of the Earth Reflectance ( POLDER) measurements overestimates surface polarization from a few to fifty percents. This leads to AOT underestimation by a factor two. For the pollutant aerosol cases (0.065 &lt; AOT &lt; 0.20), the MBP approach retrieves AOT with an accuracy of 0.03, over both natural and urban surfaces. However, this method remains only weakly sensitive to coarse mode particles and fails when dust particles associated with large AOTs (0.5) are considered.</t>
  </si>
  <si>
    <t>Univ Lille 1, CNRS, UMR 8518, Opt Atmospher Lab, F-59655 Villeneuve Dascq, France; Columbia Univ, Dept Appl Phys &amp; Appl Math, New York, NY USA</t>
  </si>
  <si>
    <t>Centre National de la Recherche Scientifique (CNRS); CNRS - National Institute for Earth Sciences &amp; Astronomy (INSU); Universite de Lille; Columbia University</t>
  </si>
  <si>
    <t>Waquet, F (corresponding author), NASA, Goddard Inst Space Studies, 2880 Broadway, New York, NY 10025 USA.</t>
  </si>
  <si>
    <t>fwaquet@giss.nasa.gov</t>
  </si>
  <si>
    <t>Leon, Jean-Francois/D-2226-2018</t>
  </si>
  <si>
    <t>Leon, Jean-Francois/0000-0002-1251-0361; Frederique, Auriol/0000-0001-5256-9993</t>
  </si>
  <si>
    <t>AMER GEOPHYSICAL UNION</t>
  </si>
  <si>
    <t>2000 FLORIDA AVE NW, WASHINGTON, DC 20009 USA</t>
  </si>
  <si>
    <t>2169-897X</t>
  </si>
  <si>
    <t>2169-8996</t>
  </si>
  <si>
    <t>J GEOPHYS RES-ATMOS</t>
  </si>
  <si>
    <t>J. Geophys. Res.-Atmos.</t>
  </si>
  <si>
    <t>JUN 13</t>
  </si>
  <si>
    <t>D11</t>
  </si>
  <si>
    <t>D11214</t>
  </si>
  <si>
    <t>10.1029/2006JD008029</t>
  </si>
  <si>
    <t>180MQ</t>
  </si>
  <si>
    <t>WOS:000247369200007</t>
  </si>
  <si>
    <t>Simao, FCP; Gravato, C; Machado, AL; Soares, AMVM; Pestana, JLT</t>
  </si>
  <si>
    <t>Simao, Fatima C. P.; Gravato, Carlos; Machado, Ana Luisa; Soares, Amadeu M. V. M.; Pestana, Joao L. T.</t>
  </si>
  <si>
    <t>Effects of pyrene and benzo[a]pyrene on the reproduction and newborn morphology and behavior of the freshwater planarian Girardia tigrina</t>
  </si>
  <si>
    <t>Planarians; Fertility; Fecundity; PAHs; Newborn anomalies</t>
  </si>
  <si>
    <t>POLYCYCLIC AROMATIC-HYDROCARBONS; ENZYME-ACTIVITIES; DUGESIA-JAPONICA; PACIFIC OYSTER; ACUTE TOXICITY; IN-VIVO; EXPOSURE; BENZO(A)PYRENE; ZEBRAFISH; SEA</t>
  </si>
  <si>
    <t>Polycyclic aromatic hydrocarbons (PAHs) are ubiquitous pollutants of aquatic ecosystems. Because they are persistent, there is great potential for chronic toxicity to aquatic species, and the evaluation of reproductive effects is fundamental. In this context, planarians are interesting experimental animals, since they can be sensitive to environmental pollutants, and a wide range of reproductive-related endpoints can be assessed. In this work we evaluated fecundity (number of cocoons), fertility (number of newborns), newborn anomalies, adult weight, regenerative abilities and PAH-residues in tissues of the freshwater planarian Girardia tigrina, exposed to either pyrene or benzo[a]pyrene (B[a]P). Pyrene reduced planarian fecundity and fertility at 18.75 mu g L-1 and 75.00 mu g L-1, while B[a]P reduced planarian fecundity at the 37.50 mu g L-1 treatment, which was accompanied by a 33.7% reduction in fertility. Cocoons were kept in clean media and newborns were evaluated for behavioral and morphological anomalies. Many of the newborns resulting from the B[a]P experiment revealed behavioral anomalies, such as spasms and uncoordinated movements. These behavioral anomalies were observed in 12.9% and 38.2% of newborns resulting from the exposure of adult planarians to 9.38 mu g L-1 and 37.50 mu g L-1 of B[a] P, respectively. This study is the first report on the effects of PAHs in freshwater planarians' sexual reproduction and a decreased reproductive output was evidenced. Moreover, the exposure of adults to B alp lead to defects in newborns, raising concern on the possible long-term consequences of these compounds for natural planarian populations. (C) 2020 Elsevier Ltd. All rights reserved.</t>
  </si>
  <si>
    <t>[Simao, Fatima C. P.; Machado, Ana Luisa; Soares, Amadeu M. V. M.; Pestana, Joao L. T.] Univ Aveiro, CESAM, Campus Univ Santiago, P-3810193 Aveiro, Portugal; [Simao, Fatima C. P.; Machado, Ana Luisa; Soares, Amadeu M. V. M.; Pestana, Joao L. T.] Univ Aveiro, Dept Biol, Campus Univ Santiago, P-3810193 Aveiro, Portugal; [Gravato, Carlos] Univ Lisbon, Fac Ciencias, P-1749016 Lisbon, Portugal; [Gravato, Carlos] Univ Lisbon, CESAM, P-1749016 Lisbon, Portugal</t>
  </si>
  <si>
    <t>Universidade de Aveiro; Universidade de Aveiro; Universidade de Lisboa; Universidade de Lisboa</t>
  </si>
  <si>
    <t>Simao, FCP (corresponding author), Univ Aveiro, CESAM, Campus Univ Santiago, P-3810193 Aveiro, Portugal.;Simao, FCP (corresponding author), Univ Aveiro, Dept Biol, Campus Univ Santiago, P-3810193 Aveiro, Portugal.</t>
  </si>
  <si>
    <t>fatima.simao@ua.pt</t>
  </si>
  <si>
    <t>Simão, Fátima/ABG-8757-2020; Soares, Amadeu/A-8304-2008; Simao, Fatima/V-3737-2018; Machado, Ana/U-9736-2018; Gravato, Carlos Alexandre Sarabando/I-6496-2019; Pestana, Joao/A-9279-2008</t>
  </si>
  <si>
    <t>Soares, Amadeu/0000-0003-0879-9470; Simao, Fatima/0000-0003-3186-3557; Machado, Ana/0000-0002-5213-6001; Gravato, Carlos Alexandre Sarabando/0000-0003-0562-6945; Pestana, Joao/0000-0003-1322-2959</t>
  </si>
  <si>
    <t>FCT/MCTES (Fundacao para a Ciencia e Tecnologia/Ministerio da Ciencia, Tecnologia e Ensino Superior) [UIDP/50017/2020+UIDB/50017/2020]; FCT; POPH/FSE (Programa Operacional Potencial Humano/Fundo Social Europeu) [IF/01401/2014, IF/01420/2015]; FCT [SFRH/BD/52567/2014]</t>
  </si>
  <si>
    <t>FCT/MCTES (Fundacao para a Ciencia e Tecnologia/Ministerio da Ciencia, Tecnologia e Ensino Superior)(Fundacao para a Ciencia e a Tecnologia (FCT)); FCT(Fundacao para a Ciencia e a Tecnologia (FCT)); POPH/FSE (Programa Operacional Potencial Humano/Fundo Social Europeu); FCT(Fundacao para a Ciencia e a Tecnologia (FCT))</t>
  </si>
  <si>
    <t>Thanks are due for the financial support to CESAM (UIDP/50017/2020thornUIDB/50017/2020), to FCT/MCTES (Fundac~ao para a Ci&lt;^&gt;encia e Tecnologia/Minist~erio da Ci&lt;^&gt;encia, Tecnologia e Ensino Superior) through national funds. We thank FCT and POPH/FSE (Programa Operacional Potencial Humano/Fundo Social Europeu) for the research contract under the program Investigador FCT of Carlos Gravato (IF/01401/2014) and Jo~ao L.T. Pestana (IF/01420/2015). FCT also financed a doctoral grant to F~atima C. P. Sim~ao (SFRH/BD/52567/2014).</t>
  </si>
  <si>
    <t>10.1016/j.chemosphere.2020.128448</t>
  </si>
  <si>
    <t>PG6AZ</t>
  </si>
  <si>
    <t>WOS:000599817400047</t>
  </si>
  <si>
    <t>Strode, E; Barda, I; Suhareva, N; Kolesova, N; Turja, R; Lehtonen, KK</t>
  </si>
  <si>
    <t>Strode, Evita; Barda, Ieva; Suhareva, Natalija; Kolesova, Natalja; Turja, Raisa; Lehtonen, Kari K.</t>
  </si>
  <si>
    <t>Influence of Environmental Variables on Biochemical Biomarkers in the Amphipod Monoporeia affinis from the Gulf of Riga (Baltic Sea)</t>
  </si>
  <si>
    <t>amphipods; Monoporeia affinis; Gulf of Riga; biochemical biomarkers</t>
  </si>
  <si>
    <t>CLAM MACOMA-BALTHICA; QUALITY ASSESSMENT; PONTOPOREIA-FEMORATA; SEASONAL VARIABILITY; OXIDATIVE STRESS; SEDIMENT; ACCUMULATION; TEMPERATURE; MECHANISMS; NODULARIN</t>
  </si>
  <si>
    <t>The complexity of the marine environment and the increasing anthropogenic pressure create a necessity to expand existing monitoring approaches. The main goal of this study was to depict the effects of selected, seasonally varying environmental factors on a battery of biomarkers in the benthic amphipod Monoporeia affinis from the Gulf of Riga (GoR). Seasonal variability in acetylcholinesterase (AChE), catalase (CAT), glutathione reductase (GR), and glutathione S-transferase (GST) activities was investigated at six coastal stations (20-30 m) in August and November in 2020 and 2021. In addition, the biomarkers were measured at seven deep-water stations (&gt;30 m) in November 2021. In general, the results indicated no significant influence of the measured environmental variables on the biomarker activities, except for deep-water stations, where chlorophyll a significantly affected enzymatic activity. The current study indicated that M. affinis has a higher GST, CAT and GR activity in summer compared to autumn in coastal stations, showing seasonal variability of these biomarkers. However, summarizing the biomarker levels recorded at each station and season, the integrated biomarker response (IBR) index showed the most stressed health status of the M. affinis populations in the deep-water stations 135 and 107 and coastal regions in the north-eastern part of the GoR (station 160B). This suggests that the impact on enzymatic responses of benthic organisms could be due to port activities leading to the accumulation of pollutants in muddy sediments regionally. Moreover, for the monitoring of biological effects of contaminants there is a need to establish the background levels of biomarkers, i.e., responses to the different natural environmental factors in the GoR region.</t>
  </si>
  <si>
    <t>[Strode, Evita; Barda, Ieva; Suhareva, Natalija] Agcy Daugavpils Univ, Latvian Inst Aquat Ecol, Voleru Str 4, LV-1007 Riga, Latvia; [Kolesova, Natalja] Tallinn Univ Technol, Dept Marine Syst, Akad Tee 15a, EE-12618 Tallinn, Estonia; [Turja, Raisa; Lehtonen, Kari K.] Finnish Environm Inst SYKE, Marine Res Ctr, Latokartanonkaari 11, FI-00790 Helsinki, Finland</t>
  </si>
  <si>
    <t>Tallinn University of Technology; Finnish Environment Institute</t>
  </si>
  <si>
    <t>Strode, E (corresponding author), Agcy Daugavpils Univ, Latvian Inst Aquat Ecol, Voleru Str 4, LV-1007 Riga, Latvia.</t>
  </si>
  <si>
    <t>evita.strode@lhei.lv</t>
  </si>
  <si>
    <t>Turja, Raisa/AAT-1959-2021; Kolesova, Natalja/AFK-0571-2022</t>
  </si>
  <si>
    <t>Barda, Ieva/0000-0002-5907-2581; Strode, Evita/0000-0002-0844-789X; Lehtonen, Kari Kullervo/0000-0002-7757-2336</t>
  </si>
  <si>
    <t>10.3390/w15020248</t>
  </si>
  <si>
    <t>8A4DZ</t>
  </si>
  <si>
    <t>WOS:000916192000001</t>
  </si>
  <si>
    <t>Retif, J; Zalouk-Vergnoux, A; Briant, N; Francois, Y; Poirier, L</t>
  </si>
  <si>
    <t>Retif, Julie; Zalouk-Vergnoux, Aurore; Briant, Nicolas; Francois, Yannick; Poirier, Laurence</t>
  </si>
  <si>
    <t>Trophic dilution of rare earth elements along the food chain of the Seine estuary (France)</t>
  </si>
  <si>
    <t>REEs; Trophic transfer; BAF; BSAF; Gd anomaly; Estuarine ecosystem</t>
  </si>
  <si>
    <t>FRESH-WATER; GADOLINIUM ANOMALIES; HOSPITAL EFFLUENTS; CORBICULA-FLUMINEA; RISK-ASSESSMENT; MARINE FISH; BIOACCUMULATION; BIVALVES; TOXICITY; SEAWEED</t>
  </si>
  <si>
    <t>Society's interest in rare earth elements (REEs) and their increasing use in many fields is leading to enrichments in aquatic environments, such as estuaries. This study of the Seine estuary assessed the distribution of REEs along the food web, including different species from 5 phyla representing different trophic levels. Total REE concentrations, which were higher in algae, mollusks, crustaceans and annelids (4.85-156; 1.59-4.08; 2.48 +/- 1.80 and 0.14 +/- 0.11 mu g/g dw, respectively) than in vertebrates (0.03-0.15 mu g/g dw), correlated with delta 15N 15 N indicated a trophic dilution. REE contributions in the studied species were higher for light REEs than for heavy and medium REEs. Positives anomalies for Eu, Gd, Tb and Lu were highlighted particularly in vertebrates, possibly due to species-dependent bioaccumulation/detoxification or related to anthropogenic inputs. The calculated BAF and BSAF indicated an important partitioning of REEs in organisms compared to the dissolved phase and a limited transfer from sediment to organisms.</t>
  </si>
  <si>
    <t>[Retif, Julie; Zalouk-Vergnoux, Aurore; Francois, Yannick; Poirier, Laurence] Nantes Univ, Inst Subst &amp; Organismes Mer, ISOMer, UR 2160, F-44000 Nantes, France; [Briant, Nicolas] CCEM Contaminat Chim Ecosyst Marins, Ifremer, F-44000 Nantes, France</t>
  </si>
  <si>
    <t>Retif, J (corresponding author), Nantes Univ, Inst Subst &amp; Organismes Mer, ISOMer, UR 2160, F-44000 Nantes, France.</t>
  </si>
  <si>
    <t>julie.retif@univ-nantes.fr; aurore.zalouk-vergnoux@univ-nantes.fr; Nicolas.Briant@ifremer.fr; Yannick.Francois@univ-nantes.fr; laurence.poirier@univ-nantes.fr</t>
  </si>
  <si>
    <t>Observatory of the Sciences of the Universe Nantes Atlantique (OSUNA, Nantes University, CNRS UAR-3281, UGE, CNAM, Universite d'Angers, IMT Atlantique); French MESRI</t>
  </si>
  <si>
    <t>This project was supported by the Observatory of the Sciences of the Universe Nantes Atlantique (OSUNA, Nantes University, CNRS UAR-3281, UGE, CNAM, Universite d'Angers, IMT Atlantique) . The authors thank the French MESRI for the PhD scholarship of J. Retif and the Ifremer team for sampling (SELI Seine campaign DOI: 10.17600/18001 614) . Furthermore, we acknowledge A. Kamari, V. Lemabecque and P. Gaudin for technical assistance, J. Dumay for algae identification, as well as the interns S. Graille and F. Mohamed Dahlan for sample preparation.</t>
  </si>
  <si>
    <t>10.1016/j.marpolbul.2024.116671</t>
  </si>
  <si>
    <t>ZG8R4</t>
  </si>
  <si>
    <t>WOS:001274240700001</t>
  </si>
  <si>
    <t>Crichton, EM; Noël, M; Gies, EA; Ross, PS</t>
  </si>
  <si>
    <t>Crichton, Ellika M.; Noel, Marie; Gies, Esther A.; Ross, Peter S.</t>
  </si>
  <si>
    <t>A novel, density-independent and FTIR-compatible approach for the rapid extraction of microplastics from aquatic sediments</t>
  </si>
  <si>
    <t>ANALYTICAL METHODS</t>
  </si>
  <si>
    <t>PLASTIC DEBRIS; MARINE; BIVALVES; QUANTIFICATION; FIBERS; WASTE; LOST</t>
  </si>
  <si>
    <t>Microplastics have been detected in aquatic sediments around the world, highlighting the propensity of this matrix to serve as a sink for these structural pollutants. More reliable and reproducible extraction protocols for microplastics would facilitate comparisons across studies. A number of different extraction techniques are currently used to separate microplastics from sediment and almost exclusively employ density-based separations, which take advantage of the inherent densities of plastic particles. Some of these techniques are cost-effective but fail to fully recover all plastic types. Other techniques may recover most plastic types, but are more costly and/ or hazardous to human or environmental health. We present here a novel, cost- effective oil extraction protocol ( OEP) that provides an alternative to density- based approaches by taking advantage of the oleophilic properties of microplastics. Using this technique, we counted microplastic particles in spiked sediment samples using light microscopy and observed 96.1% +/- 7.4 recovery for total microplastics, with recovery rates of 92.7% +/- 4.3 for fibers and 99% +/- 1.4 for particles. Subsequent analysis with Fourier-Transform Infrared Spectrometry (FTIR) revealed that the oil interfered with the FTIR spectrum of microplastics, but that an additional, post- extraction clean- up step using ethyl alcohol (90%) removed residual traces of oil and eliminated the FTIR spectral interference. The application of this new technique to shoreline sediment samples collected from sites in urban Vancouver, British Columbia, Canada, and a remote beach on Vancouver Island, as well as bulk seawater, demonstrated that the oil extraction protocol is effective for environmental samples. This novel OEP represents a cost-effective and reliable alternative to leading density-based techniques.</t>
  </si>
  <si>
    <t>[Crichton, Ellika M.; Noel, Marie; Gies, Esther A.; Ross, Peter S.] Vancouver Aquarium Marine Sci Ctr, Coastal Ocean Res Inst, Ocean Pollut Res Program, POB 3232, Vancouver, BC V6B 3X8, Canada; [Gies, Esther A.] Univ British Columbia, Dept Civil Engn, 6250 Appl Sci Ln, Vancouver, BC V6T 1Z4, Canada</t>
  </si>
  <si>
    <t>Ross, PS (corresponding author), Vancouver Aquarium Marine Sci Ctr, Coastal Ocean Res Inst, Ocean Pollut Res Program, POB 3232, Vancouver, BC V6B 3X8, Canada.</t>
  </si>
  <si>
    <t>Peter.Ross@vanaqua.org</t>
  </si>
  <si>
    <t>MetroVancouver, the City of Vancouver; Shad Foundation; R. Howard Webster Foundation; Science Horizons internship from Environment Canada; MITACS Accelerate award; Agilent Technologies for the provision of operational FTIR expertise</t>
  </si>
  <si>
    <t>The authors gratefully acknowledge the financial support of MetroVancouver, the City of Vancouver, the Shad Foundation and the R. Howard Webster Foundation. We thank Surfrider members Rachael Montgomery, Maureen Hluchy and Gillian Montgomery for the collection of intertidal beach sediment samples from Vancouver Island. Ellika Crichton was supported by a Science Horizons internship from Environment Canada. Esther Gies was supported by a MITACS Accelerate award. We thank Andjela Knezevic-Stevanovic and Farida Bishay for their guidance and assistance. The authors gratefully acknowledge the expert support of Agilent Technologies for the provision of operational FTIR expertise.</t>
  </si>
  <si>
    <t>1759-9660</t>
  </si>
  <si>
    <t>1759-9679</t>
  </si>
  <si>
    <t>ANAL METHODS-UK</t>
  </si>
  <si>
    <t>Anal. Methods</t>
  </si>
  <si>
    <t>MAR 7</t>
  </si>
  <si>
    <t>10.1039/c6ay02733d</t>
  </si>
  <si>
    <t>Chemistry, Analytical; Food Science &amp; Technology; Spectroscopy</t>
  </si>
  <si>
    <t>Chemistry; Food Science &amp; Technology; Spectroscopy</t>
  </si>
  <si>
    <t>EN4TK</t>
  </si>
  <si>
    <t>WOS:000395999600012</t>
  </si>
  <si>
    <t>Jacqueline, R; Luc, M; Michel, B</t>
  </si>
  <si>
    <t>Jacqueline, Russo; Luc, Madec; Michel, Brehelin</t>
  </si>
  <si>
    <t>Haemocyte lysosomal fragility facing an environmental reality: A toxicological perspective with atrazine and Lymnaea stagnalis (Gastropoda, Pulmonata) as a test case</t>
  </si>
  <si>
    <t>Haemocytes; Lysosome; Microcosm; Acridine orange (AO); Neutral red; Herbicide</t>
  </si>
  <si>
    <t>RED RETENTION ASSAY; PHYSA-ACUTA DRAP.; MYTILUS-EDULIS; MARINE MUSSEL; ELECTRON-MICROSCOPY; TAPES-PHILIPPINARUM; WATER; BIOMARKERS; POLLUTION; RESPONSES</t>
  </si>
  <si>
    <t>The present study investigates the potential use of haemocyte lysosomal fragility as a reliable indicator of toxic injury in snails subjected to herbicide atrazine. Two cytochemical assays were used. The first one was based on microscopic observations of neutral red dye, and the second one on a fluorescence spectroscopy approach using acridine orange, which had the advantage of being more reliable in assessing minor cell damage. Two sets of experiments were carried out in controlled laboratory conditions (temperature. photoperiod) and in outdoor microcosms. which produce more realistic ecological conditions. An unequivocal relationship was shown, linking atrazine exposure to Lymnaea stagnalis haemocytes lysosomal permeability. High temperatures also had a negative effect on the lysosomal membrane. In the microcosms, the response was affected by seasonal factors, and led to an integrated cell response. It was concluded that lysosomal sensitivity reflects environmental changes. Moreover, the technique using acridine orange was shown to be sufficiently sensitive and reliable to serve as a lysosomal marker in a controlled environment. (C) 2009 Elsevier Inc. All rights reserved</t>
  </si>
  <si>
    <t>[Jacqueline, Russo; Luc, Madec] Univ Rennes 1, UMR Ecobio 6553, CNRS, F-35042 Rennes, France; [Michel, Brehelin] Univ Montpellier 2, UMR 1133, INRA UMII, F-34095 Montpellier 05, France</t>
  </si>
  <si>
    <t>Centre National de la Recherche Scientifique (CNRS); CNRS - Institute of Ecology &amp; Environment (INEE); Universite de Rennes; INRAE; Universite de Montpellier</t>
  </si>
  <si>
    <t>Jacqueline, R (corresponding author), Univ Rennes 1, UMR Ecobio 6553, CNRS, Campus Beaulieu,Ave Gen Leclerc, F-35042 Rennes, France.</t>
  </si>
  <si>
    <t>jacqueline.russo@univ-rennes1.fr</t>
  </si>
  <si>
    <t>INRA Experimental Unit of Aquatic Ecology and Toxicology (Rennes, France); CNRS, UMR 6553 Ecobio (Rennes, France)</t>
  </si>
  <si>
    <t>INRA Experimental Unit of Aquatic Ecology and Toxicology (Rennes, France); CNRS, UMR 6553 Ecobio (Rennes, France)(Centre National de la Recherche Scientifique (CNRS))</t>
  </si>
  <si>
    <t>The authors are grateful to the members of the INRA Unit of Aquatic Ecology and Toxicology, especially to Dr. Lagadic L. We thank M. Heydorff and D. Azam for technical assistance and for providing the animals used in this study. Thanks to O. Kah (Universite Rennesl, IFR 140) for fluorescent microscopy assistance and to S. Dourlot (Universite Rennesl, EA 3193) for digital imaging. This work was supported by the INRA Experimental Unit of Aquatic Ecology and Toxicology (Rennes, France) and the CNRS, UMR 6553 Ecobio (Rennes, France).</t>
  </si>
  <si>
    <t>10.1016/j.ecoenv.2009.05.015</t>
  </si>
  <si>
    <t>489CA</t>
  </si>
  <si>
    <t>WOS:000269395900013</t>
  </si>
  <si>
    <t>Lewis, AJ; Yun, XY; Lewis, MG; McKenzie, ER; Spooner, DE; Kurz, MJ; Suri, R; Sales, CM</t>
  </si>
  <si>
    <t>Lewis, Asa J.; Yun, Xiaoyan; Lewis, Max G.; McKenzie, Erica R.; Spooner, Daniel E.; Kurz, Marie J.; Suri, Rominder; Sales, Christopher M.</t>
  </si>
  <si>
    <t>Impacts of divalent cations (Mg2+and Ca2+) on PFAS bioaccumulation in freshwater macroinvertebrates representing different foraging modes</t>
  </si>
  <si>
    <t>Bioavailability; Uptake mechanism; Fate and transport; PFAS profiles; Environmental relevance</t>
  </si>
  <si>
    <t>POLYFLUOROALKYL SUBSTANCES PFASS; FILM-FORMING FOAM; PERFLUOROOCTANE SULFONATE; PERFLUOROALKYL SUBSTANCES; PERFLUORINATED COMPOUNDS; ADSORPTION BEHAVIOR; SOLUTION PH; SHORT-CHAIN; SORPTION; ACIDS</t>
  </si>
  <si>
    <t>Per- and polyfluoroalkyl substances (PFAS) have extensively contaminated freshwater aquatic ecosystems where they can be transported in water and partition to sediment and biota. In this paper, three freshwater benthic macroinvertebrates with different foraging modes were exposed to environmentally relevant concentrations of eight perfluoroalkyl carboxylates (PFCA), three perfluoroalkyl sulfonates (PFSA), and three fluorotelomer sulfonates (FTS) at varying divalent cation concentrations of magnesium (Mg2+) and calcium (Ca2+). Divalent cations can impact PFAS partitioning to solids, especially to sediments, at higher concentrations. Sediment dwelling worms (Lumbriculus variegatus), epibenthic grazing snails (Physella acuta), and sediment-dwelling filterfeeding bivalves (Elliptio complanata) were selected due to their unique foraging modes. Microcosms were composed of synthetic sediment, culture water, macroinvertebrates, and PFAS and consisted of a 28-day exposure period. L. variegatus had significantly higher PFAS bioaccumulation than P. acuta and E. complanata, likely due to higher levels of interactions with and ingestion of the contaminated sediment. High Mg2+ (7.5 mM Mg2+) and High Ca2+ (7.5 mM Ca2+) conditions generally had statistically higher bioaccumulation factors (BAF) than the Reference Condition (0.2 mM Ca2+ and 0.2 mM Mg2+) for PFAS with perfluorinated chain lengths greater than eight carbons. Long-chain PFAS dominated the PFAS profiles of the macroinvertebrates for all groups of compounds studied (PFCA, PFSA, and FTS). These results indicate that the study organism has the greatest impact on bioaccumulation, although divalent cation concentration had observable impacts between organisms depending on the environmental conditions. Elevated cation concentrations in the microcosms led to significantly greater bioaccumulation in the test organisms compared to the experimental reference conditions for long-chain PFAS.</t>
  </si>
  <si>
    <t>[Lewis, Asa J.; Sales, Christopher M.] Drexel Univ, Dept Civil Architectural &amp; Environm Engn, 3100 Market St, Philadelphia, PA 19104 USA; [Yun, Xiaoyan; McKenzie, Erica R.; Suri, Rominder] Temple Univ, Civil &amp; Environm Engn Dept, Philadelphia, PA 19122 USA; [Lewis, Max G.] Temple Univ, Dept Biol, Philadelphia, PA 19122 USA; [Spooner, Daniel E.] Lock Haven Univ, Commonwealth Univ Penn, Dept Biol, Lock Haven, PA 17745 USA; [Kurz, Marie J.] Drexel Univ, Acad Nat Sci, Philadelphia, PA 19103 USA; [Kurz, Marie J.] Environm Sci Div, Oak Ridge Natl Lab, Oak Ridge, TN 37831 USA</t>
  </si>
  <si>
    <t>Drexel University; Pennsylvania Commonwealth System of Higher Education (PCSHE); Temple University; Pennsylvania Commonwealth System of Higher Education (PCSHE); Temple University; Pennsylvania State System of Higher Education (PASSHE); Lock Haven University; Drexel University; United States Department of Energy (DOE); Oak Ridge National Laboratory</t>
  </si>
  <si>
    <t>Lewis, AJ (corresponding author), Drexel Univ, Dept Civil Architectural &amp; Environm Engn, 3100 Market St, Philadelphia, PA 19104 USA.</t>
  </si>
  <si>
    <t>ajl394@drexel.edu</t>
  </si>
  <si>
    <t>; Sales, Christopher M./N-6560-2013</t>
  </si>
  <si>
    <t>Yun, Xiaoyan/0000-0001-9987-6982; Lewis, Asa/0000-0002-0750-4274; Sales, Christopher M./0000-0002-1781-8752</t>
  </si>
  <si>
    <t>Strategic Environmental Research and Development Program [ER19-1032]</t>
  </si>
  <si>
    <t>Strategic Environmental Research and Development Program</t>
  </si>
  <si>
    <t>Funding This work was supported by the Strategic Environmental Research and Development Program (ER19-1032) .</t>
  </si>
  <si>
    <t>10.1016/j.envpol.2023.121938</t>
  </si>
  <si>
    <t>K4ZN9</t>
  </si>
  <si>
    <t>WOS:001016539600001</t>
  </si>
  <si>
    <t>Dallas, ML; Yang, ZK; Boyle, JP; Boycott, HE; Scragg, JL; Milligan, CJ; Elies, J; Duke, A; Thireau, J; Reboul, C; Richard, S; Bernus, O; Steele, DS; Peers, C</t>
  </si>
  <si>
    <t>Dallas, Mark L.; Yang, Zhaokang; Boyle, John P.; Boycott, Hannah E.; Scragg, Jason L.; Milligan, Carol J.; Elies, Jacobo; Duke, Adrian; Thireau, Jerome; Reboul, Cyril; Richard, Sylvain; Bernus, Olivier; Steele, Derek S.; Peers, Chris</t>
  </si>
  <si>
    <t>Carbon Monoxide Induces Cardiac Arrhythmia via Induction of the Late Na+ Current</t>
  </si>
  <si>
    <t>AMERICAN JOURNAL OF RESPIRATORY AND CRITICAL CARE MEDICINE</t>
  </si>
  <si>
    <t>carbon monoxide; arrhythmia; late Na+ channel; nitric oxide; S-nitrosylation</t>
  </si>
  <si>
    <t>PERSISTENT SODIUM CURRENT; CA2+ CHANNELS; CARBOXYHEMOGLOBIN; POLLUTION; EXPOSURE; MODERATE; INJURY; CO</t>
  </si>
  <si>
    <t>Rationale: Clinical reports describe life-threatening cardiac arrhythmias after environmental exposure to carbon monoxide (CO) or accidental CO poisoning. Numerous case studies describe disruption of repolarization and prolongation of the QT interval, yet the mechanisms underlying CO-induced arrhythmias are unknown. Objectives: To understand the cellular basis of CO-induced arrhythmias and to indentify an effective therapeutic approach. Methods: Patch-clamp electrophysiology and confocal Ca2+ and nitric oxide (NO) imaging in isolated ventricular myocytes was performed together with protein S-nitrosylation to investigate the effects of CO at the cellular and molecular levels, whereas telemetry was used to investigate effects of CO on electrocardiogram recordings in vivo. Measurements and Main Results: CO increased the sustained (late) component of the inward Na+ current, resulting in prolongation of the action potential and the associated intracellular Ca2+ transient. In more than 50% of myocytes these changes progressed to early after-depolarization-like arrhythmias. CO elevated NO levels in myocytes and caused S-nitrosylation of the Na+ channel, Na(v)1.5. All proarrhythmic effects of CO were abolished by the NO synthase inhibitor L-NAME, and reversed by ranolazine, an inhibitor of the late Na+ current. Ranolazine also corrected QT variability and arrhythmias induced by CO in vivo, as monitored by telemetry. Conclusions: Our data indicate that the proarrhythmic effects of CO arise from activation of NO synthase, leading to NO-mediated nitrosylation of Na(v)1.5 and to induction of the late Na+ current. We also show that the antianginal drug ranolazine can abolish CO-induced early after-depolarizations, highlighting a novel approach to the treatment of CO-induced arrhythmias.</t>
  </si>
  <si>
    <t>[Dallas, Mark L.; Boyle, John P.; Boycott, Hannah E.; Scragg, Jason L.; Elies, Jacobo; Peers, Chris] Univ Leeds, Fac Med &amp; Hlth, Div Cardiovasc Med, Leeds LS2 9JT, W Yorkshire, England; [Yang, Zhaokang; Milligan, Carol J.; Duke, Adrian; Bernus, Olivier; Steele, Derek S.] Univ Leeds, Fac Biol Sci, Inst Membrane &amp; Syst Biol, Leeds LS2 9JT, W Yorkshire, England; [Thireau, Jerome; Richard, Sylvain] CHU Arnaud de Villeneuve, Inserm, U1046, Montpellier, France; [Reboul, Cyril] Fac Sci, Lab Pharm Ecol Cardiovasc, Avignon, France</t>
  </si>
  <si>
    <t>University of Leeds; University of Leeds; Institut National de la Sante et de la Recherche Medicale (Inserm); Universite de Montpellier; CHU de Montpellier; Avignon Universite</t>
  </si>
  <si>
    <t>Peers, C (corresponding author), Univ Leeds, Fac Med &amp; Hlth, Div Cardiovasc &amp; Neuronal Remodelling, LIGHT, Clarendon Way, Leeds LS2 9JT, W Yorkshire, England.</t>
  </si>
  <si>
    <t>c.s.peers@leeds.ac.uk</t>
  </si>
  <si>
    <t>Steele, Derek/D-4633-2009; Richard, Sylvain/C-9695-2016; Boyle, John/N-4868-2016; Dallas, Mark/Q-6117-2019; Thireau, Jerome/C-5579-2016; Bernus, Olivier/B-9956-2015; Elies, Jacobo/K-7684-2017</t>
  </si>
  <si>
    <t>Thireau, Jerome/0000-0002-1641-5142; Peers, Chris/0000-0002-8354-346X; Richard, Sylvain/0000-0001-9460-6705; Dallas, Mark/0000-0002-5190-0522; Bernus, Olivier/0000-0003-3917-5791; Elies, Jacobo/0000-0002-2518-8412; Milligan, Carol/0000-0003-0353-7228; Steele, Derek/0000-0002-1339-784X</t>
  </si>
  <si>
    <t>British Heart Foundation (London, UK) [26885]; Biomedical Health Research Centre (University of Leeds, Leeds, UK); Gilead Sciences, Inc. (Palo Alto, CA); Wellcome Trust (London, UK) [081195]; Fondation de France [2068001722]</t>
  </si>
  <si>
    <t>British Heart Foundation (London, UK)(British Heart Foundation); Biomedical Health Research Centre (University of Leeds, Leeds, UK); Gilead Sciences, Inc. (Palo Alto, CA)(Gilead Sciences); Wellcome Trust (London, UK)(Wellcome Trust); Fondation de France(Fondation de France)</t>
  </si>
  <si>
    <t>Supported by the British Heart Foundation (London, UK, grant #26885), the Biomedical Health Research Centre (University of Leeds, Leeds, UK), Gilead Sciences, Inc. (Palo Alto, CA), the Wellcome Trust (London, UK, grant #081195), and Fondation de France (grant #2068001722).</t>
  </si>
  <si>
    <t>AMER THORACIC SOC</t>
  </si>
  <si>
    <t>25 BROADWAY, 18 FL, NEW YORK, NY 10004 USA</t>
  </si>
  <si>
    <t>1073-449X</t>
  </si>
  <si>
    <t>1535-4970</t>
  </si>
  <si>
    <t>AM J RESP CRIT CARE</t>
  </si>
  <si>
    <t>Am. J. Respir. Crit. Care Med.</t>
  </si>
  <si>
    <t>10.1164/rccm.201204-0688OC</t>
  </si>
  <si>
    <t>Critical Care Medicine; Respiratory System</t>
  </si>
  <si>
    <t>General &amp; Internal Medicine; Respiratory System</t>
  </si>
  <si>
    <t>014NV</t>
  </si>
  <si>
    <t>WOS:000309383600016</t>
  </si>
  <si>
    <t>Sebesvari, Z; Ettwig, KF; Emons, H</t>
  </si>
  <si>
    <t>Biomonitoring of tin and arsenic in different compartments of a limnic ecosystem with emphasis on Corbicula fluminea and Dikerogammarus villosus</t>
  </si>
  <si>
    <t>RIVER; ACCUMULATION; METALS; BIOAVAILABILITY; TOXICITY; ZINC</t>
  </si>
  <si>
    <t>Asian clam Corbicula fluminea, the amphipod Dikerogammarus villosus and the macrophyte Nuphar lutea were tested for investigating spatial and temporal variability in the bioavailability of tin and arsenic in the River Lippe, Germany. Samples were collected from September 2002 to May 2003 at a tin polluted site ( source pollution) and a reference site. Additional screening sampling was carried out twice in April 2003 to test the extent of As and Sn concentration in periphyton (aufwuchs) samples. Accumulated Sn and As concentrations were measured with ICP-MS after sample processing ( dissection, cryo-milling) and digestion. Quality control was performed by parallel analysis of three certified reference materials. Measurable As and Sn contents in plant tissues were only detectable in roots ( below 30 mug kg(-1) and 20 mug kg(-1) for As and Sn, respectively). Homogenates from C.. uminea and D. villosus tissues showed site-dependent trace metal contents. Elevated bioavailability of Sn is present downstream of the sewage discharge of the world's biggest producer of tributyltin (TBT) at Luenen ( northern Ruhr region). In comparison to C.. uminea, D. villosus shows higher concentrations of tin in samples from both sites. Arsenic concentrations in C.. uminea remain constant with increasing shell size, whereas tin shows a size-dependent accumulation. The results indicate that Corbicula. uminea and Dikerogammarus villosus are suitable passive biomonitoring organisms for Sn, but As levels might be actively regulated. The concentration of tin in the periphyton ( aufwuchs) samples was found to be much higher in samples from a contaminated site ( 428 +/- 63 vs. 1949 +/- 226 mug kg(-1)).</t>
  </si>
  <si>
    <t>Carl von Ossietzky Univ Oldenburg, Inst Chem &amp; Biol Marine Environm, D-26111 Oldenburg, Germany; Univ Duisburg Essen, Inst Ecol, Dept Hydrobiol, D-45117 Essen, Germany; Commiss European Communities, Joint Res Ctr, Inst Reference Mat &amp; Measurements, B-2440 Geel, Belgium</t>
  </si>
  <si>
    <t>Carl von Ossietzky Universitat Oldenburg; University of Duisburg Essen; European Commission Joint Research Centre; EC JRC Institute for Reference Materials &amp; Measurements (IRMM)</t>
  </si>
  <si>
    <t>Carl von Ossietzky Univ Oldenburg, Inst Chem &amp; Biol Marine Environm, D-26111 Oldenburg, Germany.</t>
  </si>
  <si>
    <t>sebesvari@icbm.de; ettwig@mpil-ploen.mpg.deuni-essen.de; hendrik.emons@cec.eu.int</t>
  </si>
  <si>
    <t>Ettwig, Katharina/B-9395-2011</t>
  </si>
  <si>
    <t>Sebesvari, Zita/0000-0001-7686-1227</t>
  </si>
  <si>
    <t>10.1039/b410717a</t>
  </si>
  <si>
    <t>WOS:000227284700003</t>
  </si>
  <si>
    <t>Vignier, J; Rolton, A; Soudant, P; Chu, FLE; Robert, R; Volety, AK</t>
  </si>
  <si>
    <t>Vignier, J.; Rolton, A.; Soudant, P.; Chu, F. L. E.; Robert, R.; Volety, A. K.</t>
  </si>
  <si>
    <t>Interactions between Crassostrea virginica larvae and Deepwater Horizon oil: Toxic effects via dietary exposure</t>
  </si>
  <si>
    <t>Deepwater Horizon oil; Droplet; Oyster larvae; Dietary exposure; PAH</t>
  </si>
  <si>
    <t>POLYCYCLIC AROMATIC-HYDROCARBONS; PHOTO-ENHANCED TOXICITY; WEATHERED CRUDE-OIL; EARLY-LIFE STAGES; GULF-OF-MEXICO; EASTERN OYSTER; DISPERSED OIL; TROPHIC TRANSFER; FLOW-CYTOMETRY; HEAVY-METALS</t>
  </si>
  <si>
    <t>The Deepwater Horizon (DWH) disaster released crude oil in the Gulf of Mexico for 87 days, overlapping with the reproductive season and recruitment of the oyster Crassostrea virginica. The pelagic larval life stages of C. virginica are particularly vulnerable to contaminants such as polycyclic aromatic hydrocarbons (PAHs) and oil droplets. Based on their lipophilic properties, PAHs and oil droplets can adsorb onto phytoplankton and filter-feeding C virginica larvae may be exposed to these contaminants bound to suspended sediment, adsorbed onto algal and other particles, or in solution. This study examined the effects of exposure of C virginica larvae to algae mixed with DWH oil. In a 14-day laboratory exposure, 5 day-old C virginica larvae were exposed to Tisochrysis lutea mixed with four concentrations of unfiltered DWH oil (HEWAF) in a static renewal system. Larval growth, feeding capacity, abnormality and mortality were monitored throughout the exposure. Total PAH (n = 50) content of the water medium, in which larvae were grown, were quantified by GC/MS-SIM. Oil droplets were observed bound to algae, resulting in particles in the size-range of food ingested by oyster larvae (1-30 mu m). After 14 days of exposure, larval growth and survival were negatively affected at concentrations of tPAH50 as low as 1.6 mu g L-1.GC/MS-SIM analysis of the exposure medium confirmed that certain PAHs were also adsorbed by T. lutea and taken up by oyster larvae via ingestion of oil droplets and/or contaminated algae. Long-term exposure to chronic levels of PAH (1.6-78 mu g tPAH50 L-1) was shown to negatively affect larval survival. This study demonstrates that dietary exposure of oyster larvae to DWH oil is a realistic route of crude oil toxicity and may have serious implications on the planktonic community and the food chain. (C) 2018 Elsevier Ltd. All rights reserved.</t>
  </si>
  <si>
    <t>[Vignier, J.; Rolton, A.; Volety, A. K.] Florida Gulf Coast Univ, Dept Marine &amp; Ecol Sci, Coll Arts &amp; Sci, Ft Myers, FL 33965 USA; [Vignier, J.; Rolton, A.; Soudant, P.] IUEM UBO, Lab Sci Environm Marin, UMR LEMAR 6539, Technopole Brest Iroise, F-29280 Plouzane, France; [Chu, F. L. E.] VIMS, Dept Aquat Hlth Sci, Coll William &amp; Mary, Gloucester Point, VA 23062 USA; [Robert, R.] Ifremer, Unite Littoral, Ctr Bretagne, ZI Pointe Diable, CS 10070, F-29280 Plouzane, France; [Volety, A. K.] Univ N Carolina, Coll Arts &amp; Sci, 601 South Coll Rd, Wilmington, NC 28403 USA; [Vignier, J.; Rolton, A.] Cawthron Inst, 98 Halifax St East, Nelson 7010, New Zealand</t>
  </si>
  <si>
    <t>State University System of Florida; Florida Gulf Coast University; Universite de Bretagne Occidentale; Institut Universitaire Europeen de la Mer (IUEM); Centre National de la Recherche Scientifique (CNRS); Ifremer; Institut de Recherche pour le Developpement (IRD); William &amp; Mary; Virginia Institute of Marine Science; Ifremer; University of North Carolina; University of North Carolina Wilmington</t>
  </si>
  <si>
    <t>Vignier, J (corresponding author), Cawthron Inst, 98 Halifax St East, Nelson 7010, New Zealand.</t>
  </si>
  <si>
    <t>julien.vignier@cawthron.org.nz</t>
  </si>
  <si>
    <t>Rolton, Anne/0000-0003-2951-2969; Robert, Rene/0000-0003-3897-1999; Soudant, Philippe/0000-0003-3090-5612</t>
  </si>
  <si>
    <t>10.1016/j.envpol.2018.12.057</t>
  </si>
  <si>
    <t>HK8EL</t>
  </si>
  <si>
    <t>WOS:000458222100062</t>
  </si>
  <si>
    <t>Paterson, KJ; Schreider, M; Zimmerman, KD</t>
  </si>
  <si>
    <t>Effect of catchment disturbance on seston quality and quantity in Brisbane Water, NSW</t>
  </si>
  <si>
    <t>seston; nutrients; urbanization; rainfall</t>
  </si>
  <si>
    <t>PLACOPECTEN-MAGELLANICUS BIVALVES; INFAUNAL MYA ARENARIA; MUSSEL MYTILUS-EDULIS; SUSPENDED PARTICLES; CRASSOSTREA-GIGAS; PHYSIOLOGICAL-RESPONSES; FOOD AVAILABILITY; SEASONAL-CHANGES; MARENNES-OLERON; GROWTH</t>
  </si>
  <si>
    <t>The direct effect of catchment disturbance on water parameters and the quality and quantity of seston were investigated in Brisbane Water, NSW Australia. Nutrient concentrations, faecal coliform levels and seston quality and quantity varied among catchments in Brisbane Water. Three of the four major catchment creeks entering Brisbane Water are sourced from disturbed catchments (Erina, Narara and Kincumber Creeks), including both industrial and residential areas, while one is sourced from a relatively undisturbed catchment (Woy Woy Creek). Monitoring occurred during wet and dry weather. After rainfall, elevated levels of nitrite/ nitrate (NOX) were recorded at the developed location at EC although the differences were not significant. Particulate nitrogen (PN) increased significantly at the developed locations at NC and EC after rainfall. The increases in these two forms of nitrogen after rainfall suggest non-point sources within the catchment. Ammonia (NH3) concentrations were consistently higher at Erina Creek, even during dry weather suggesting a point source of NH3 pollution. Variations in phosphate (PO4) concentration among locations sampled were significant on only one occasion but no trends in the variation were apparent. Although not always significant, trends in total particulate matter (TPM), particulate inorganic matter (PIM) and particulate organic matter (POM) concentrations showed higher levels at developed locations, particularly after rainfall. The %POM was lower at developed locations than at Woy Woy Creek due to relatively greater increases in PIM. On some dates sampled, trends in seston quality measures indicated poorer quality seston associated with developed catchments (i.e. %PC, %PN, PC: Chl a, Chl a : TPM and PN : Chl a) but these were significant for only some tests. The PC: PN ratio, however, did not follow the same patterns as other seston quality indicators. By altering the quantity and quality of the seston, overdevelopment can potentially lead to changes in estuarine food webs. The significance of these changes depends on factors such as the ability of primary consumers to adapt their feeding strategies in order to accommodate for shifts in the quality and quantity of food available to them. (C) 2003 Elsevier Science B.V. All rights reserved.</t>
  </si>
  <si>
    <t>Univ Newcastle, Sch Sci &amp; Technol, Ourimbah, NSW 2258, Australia</t>
  </si>
  <si>
    <t>Paterson, KJ (corresponding author), Univ Newcastle, Sch Sci &amp; Technol, Cent Coast Campus,POB 127, Ourimbah, NSW 2258, Australia.</t>
  </si>
  <si>
    <t>10.1016/S0272-7714(02)00188-9</t>
  </si>
  <si>
    <t>663UE</t>
  </si>
  <si>
    <t>WOS:000182023900016</t>
  </si>
  <si>
    <t>Wagner, A; Pettersson, JBC; Boman, J</t>
  </si>
  <si>
    <t>Wagner, Annemarie; Pettersson, Jan B. C.; Boman, Johan</t>
  </si>
  <si>
    <t>Elemental concentrations in air, water, and aquatic biota in two rural provinces in northern Vietnam</t>
  </si>
  <si>
    <t>biomonitors; dry deposition; fine particles (PM2.5); freshwater fish (Clarias fucus); freshwater mussel (Pletholophus swinhoei); Vietnam</t>
  </si>
  <si>
    <t>TRACE-ELEMENTS; HEAVY-METALS; DEPOSITION FLUXES; HANOI; SULFATE; SULFUR; PM2.5</t>
  </si>
  <si>
    <t>The present study on environmental pollution in northern Vietnam investigates elemental concentrations in fine particulate matter (PM2.5), freshwater, and aquatic biota at two sites with differing levels of industrial activities. An Thin is situated 47 km cast of Hanoi in the neighbourhood of a coal combustion power plant, whereas the reference site, Duy Minh, is situated in the agricultural province of Ha Nam, 40km south of Hanoi. Elemental concentrations were analysed using energy-dispersive X-ray fluorescence, total reflection X-ray fluorescence, and graphite furnace atomic absorption spectrometry. All investigated elements in fine particles (PM2.5) had significantly higher concentrations in An Thin, thus identifying the air at this site as polluted. In contrast to the aerosol samples, elemental concentrations as well as quantitative differences between the sampling sites were low in freshwater and biota, indicating that the impact of atmospheric deposition was limited.</t>
  </si>
  <si>
    <t>Wagner, A (corresponding author), Univ Gothenburg, Dept Chem, SE-41296 Gothenburg, Sweden.</t>
  </si>
  <si>
    <t>wagnera@chem.gu.se</t>
  </si>
  <si>
    <t>Pettersson, Jan/D-2250-2009; Boman, Johan/D-2143-2009</t>
  </si>
  <si>
    <t>10.1080/02757540601083872</t>
  </si>
  <si>
    <t>143BF</t>
  </si>
  <si>
    <t>WOS:000244694300005</t>
  </si>
  <si>
    <t>Hanumanthu, S; Vogel, B; Müller, R; Brunamonti, S; Fadnavis, S; Li, D; Ölsner, P; Naja, M; Singh, BB; Kumar, KR; Sonbawne, S; Jauhiainen, H; Vömel, H; Luo, BP; Jorge, T; Wienhold, FG; Dirkson, R; Peter, T</t>
  </si>
  <si>
    <t>Hanumanthu, Sreeharsha; Vogel, Baerbel; Mueller, Rolf; Brunamonti, Simone; Fadnavis, Suvarna; Li, Dan; Olsner, Peter; Naja, Manish; Singh, Bhupendra Bahadur; Kumar, Kunchala Ravi; Sonbawne, Sunil; Jauhiainen, Hannu; Vomel, Holger; Luo, Beiping; Jorge, Teresa; Wienhold, Frank G.; Dirkson, Ruud; Peter, Thomas</t>
  </si>
  <si>
    <t>Strong day-to-day variability of the Asian Tropopause Aerosol Layer (ATAL) in August 2016 at the Himalayan foothills</t>
  </si>
  <si>
    <t>SUMMER MONSOON ANTICYCLONE; BALLOON-BORNE MEASUREMENTS; LOWER STRATOSPHERE; UPPER TROPOSPHERE; WATER-VAPOR; CIRRUS CLOUDS; BOUNDARY-LAYER; ANTHROPOGENIC EMISSIONS; CONVECTIVE-TRANSPORT; NORTHERN-HEMISPHERE</t>
  </si>
  <si>
    <t>The South Asian summer monsoon is associated with a large-scale anticyclonic circulation in the upper troposphere and lower stratosphere (UTLS), which confines the air mass inside. During boreal summer, the confinement of this air mass leads to an accumulation of aerosol between about 13 and 18 km (360 and 440 K potential temperature); this accumulation of aerosol constitutes the Asian Tropopause Aerosol Layer (ATAL). We present balloon-borne aerosol backscatter measurements of the ATAL performed by the Compact Optical Backscatter Aerosol Detector (COBALD) instrument in Nainital in northern India in August 2016, and compare these with COBALD measurements in the post-monsoon time in November 2016. The measurements demonstrate a strong variability of the ATAL's altitude, vertical extent, aerosol backscatter intensity and cirrus cloud occurrence frequency. Such a variability cannot be deduced from climatological means of the ATAL as they are derived from satellite measurements. To explain this observed variability we performed a Lagrangian back-trajectory analysis using the Chemical Lagrangian Model of the Stratosphere (CLaMS). We identify the transport pathways as well as the source regions of air parcels contributing to the ATAL over Nainital in August 2016. Our analysis reveals a variety of factors contributing to the observed day-to-day variability of the ATAL: continental convection, tropical cyclones (maritime convection), dynamics of the anticyclone and strato-spheric intrusions. Thus, the air in the ATAL is a mixture of air masses coming from different atmospheric altitude layers. In addition, contributions from the model boundary layer originate in different geographic source regions. The location of the strongest updraft along the backward trajectories reveals a cluster of strong upward transport at the southern edge of the Himalayan foothills. From the top of the convective outflow level (about 13 km; 360 K) the air parcels ascend slowly to ATAL altitudes within a large-scale upward spiral driven by the diabatic heating in the anticyclonic flow of the South Asian summer monsoon at UTLS altitudes. Cases with a strong ATAL typically show boundary layer contributions from the Tibetan Plateau, the foothills of the Himalayas and other continental regions below the Asian monsoon. Weaker ATAL cases show higher contributions from the maritime boundary layer, often related to tropical cyclones, indicating a mixing of clean maritime and polluted continental air. On the one hand increasing anthropogenic emissions in the future are expected due to the strong growth of Asian economies; on the other hand the implementation of new emission control measures (in particular in China) has reduced the anthropogenic emissions of some pollutants contributing to the ATAL substantially. It needs to be monitored in the future whether the thickness and intensity of the ATAL will further increase, which will likely impact the surface climate.</t>
  </si>
  <si>
    <t>[Hanumanthu, Sreeharsha; Vogel, Baerbel; Mueller, Rolf; Li, Dan] Forschungszentrum Julich, Inst Energy &amp; Climate Res IEK 7, Julich, Germany; [Brunamonti, Simone; Luo, Beiping; Jorge, Teresa; Wienhold, Frank G.; Peter, Thomas] Swiss Fed Inst Technol, Inst Atmospher &amp; Climate Sci IAC, Zurich, Switzerland; [Brunamonti, Simone] Swiss Fed Lab Mat Sci &amp; Technol EMPA, Lab Air Pollut Environm Technol, Dubendorf, Switzerland; [Fadnavis, Suvarna; Singh, Bhupendra Bahadur; Sonbawne, Sunil] Indian Inst Trop Meteorol IITM, Pune, Maharashtra, India; [Li, Dan] Chinese Acad Sci, Inst Atmospher Phys, Key Lab Middle Atmosphere &amp; Global Environm Obser, Beijing, Peoples R China; [Olsner, Peter; Dirkson, Ruud] Deutsch Wetterdienst DWD GCOS Reference Upper Air, Lindenberg, Germany; [Naja, Manish] Aryabhatta Res Inst Observat Sci ARIES, Naini Tal, India; [Kumar, Kunchala Ravi] Indian Inst Technol IIT, Ctr Atmospher Sci, New Delhi, India; [Jauhiainen, Hannu] Vaisala Oyj, Vantaa, Finland; [Vomel, Holger] Natl Ctr Atmospher Res, Earth Observing Lab, POB 3000, Boulder, CO 80307 USA</t>
  </si>
  <si>
    <t>Helmholtz Association; Research Center Julich; Swiss Federal Institutes of Technology Domain; ETH Zurich; Swiss Federal Institutes of Technology Domain; Swiss Federal Laboratories for Materials Science &amp; Technology (EMPA); Ministry of Earth Sciences (MoES) - India; Indian Institute of Tropical Meteorology (IITM); Chinese Academy of Sciences; Institute of Atmospheric Physics, CAS; Department of Science &amp; Technology (India); Aryabhatta Research Institute of Observational Sciences (ARIES); Indian Institute of Technology System (IIT System); Indian Institute of Technology (IIT) - Madras; Indian Institute of Technology (IIT) - Delhi; National Center Atmospheric Research (NCAR) - USA</t>
  </si>
  <si>
    <t>Vogel, Bärbel/A-9988-2013; Singh, Bhupendra/AAX-5377-2020; , Fadnavis/AAA-7485-2020; LI, Dan/O-5900-2014; Peter, Thomas/B-2529-2018; Muller, Rolf/A-6669-2013</t>
  </si>
  <si>
    <t>Li, Dan/0000-0002-4812-5000; Vogel, Barbel/0000-0001-9763-3055; Luo, Beiping/0000-0003-1629-881X; Peter, Thomas/0000-0002-7218-7156; Muller, Rolf/0000-0002-5024-9977; Singh, Bhupendra Bahadur/0000-0003-3877-6800; Fadnavis, Suvarna/0000-0003-4442-0755</t>
  </si>
  <si>
    <t>European Community [603557]; Swiss National Science Foundation [200021-147127]; Swiss National Science Foundation (SNF) [200021_147127] Funding Source: Swiss National Science Foundation (SNF)</t>
  </si>
  <si>
    <t>European Community; Swiss National Science Foundation(Swiss National Science Foundation (SNSF)); Swiss National Science Foundation (SNF)(Swiss National Science Foundation (SNSF))</t>
  </si>
  <si>
    <t>This research has been supported by the European Community (grant no. 603557) and the Swiss National Science Foundation (grant no. 200021-147127).</t>
  </si>
  <si>
    <t>NOV 24</t>
  </si>
  <si>
    <t>10.5194/acp-20-14273-2020</t>
  </si>
  <si>
    <t>OU9HB</t>
  </si>
  <si>
    <t>gold, Green Published, Green Accepted, Green Submitted</t>
  </si>
  <si>
    <t>WOS:000591833100002</t>
  </si>
  <si>
    <t>Schloesser, DW; Robbins, JA; Matisoff, G; Nalepa, TF; Morehead, NR</t>
  </si>
  <si>
    <t>Schloesser, Don W.; Robbins, John A.; Matisoff, Gerald; Nalepa, Thomas F.; Morehead, Nancy R.</t>
  </si>
  <si>
    <t>A 200 year chronology of burrowing mayflies (Hexagenia spp.) in Saginaw Bay</t>
  </si>
  <si>
    <t>JOURNAL OF GREAT LAKES RESEARCH</t>
  </si>
  <si>
    <t>Mayflies; Mayfly tusks; Saginaw Bay; Chronology; Radionuclides; Lake Huron</t>
  </si>
  <si>
    <t>LAKE-HURON; ZEBRA MUSSEL; DREISSENA-POLYMORPHA; SEDIMENTS; COMMUNITY; PB-210; ERIE</t>
  </si>
  <si>
    <t>After an absence of 50 years, burrowing mayflies (Hexagenia spp.) colonized western Lake Erie which led to interest in whether this fauna can be used to measure recovery in nearshore waters throughout the Great Lakes. However, in many areas we do not know if mayflies were native/endemic and thus, whether recovery is a logical measure to assess progress of recovery. In the present study, we construct a chronologic record of relative abundance of burrowing mayflies in Saginaw Bay by the use of mayfly tusks and radionuclides in sediments (i.e., a paleoecologic record) and historic records of mayfly nymphs in the bay. These records reveal that mayflies: (1) were few before 1799, which indicates that nymphs were probably native/endemic in the bay, (2) increased between 1799 and 1807 and remained at relatively high levels between 1807 and 1965, probably in response to increased nutrient run-off from the watershed, (3) declined dramatically between 1965 and 1973, probably as a result of excessive eutrophication in the mid-1950s; and, (4) were few and highly variable between 1973 and 2001, probably as a result of low and unstable abundances of mayfly nymphs. Historic records verify that nymphs disappeared in the bay in the late-1950s to early-1960s which is in agreement with the paleoecologic record. Reoccurrence of low abundances of nymphs in the bay between 1991 and 2008 and comparison of chronologic records of nymphs in Saginaw Bay and western Lake Erie suggest that mayflies may return to Saginaw Bay in the early-21st century. Undoubtedly, watershed conservation and three decades of pollution abatement have set the stage for a recovery of burrowing mayflies in Saginaw Bay, and possibly in other areas of the Great Lakes. Published by Elsevier B.V. on behalf of International Association for Great Lakes Research.</t>
  </si>
  <si>
    <t>[Schloesser, Don W.] US Geol Survey, Great Lakes Sci Ctr, Ann Arbor, MI 48105 USA; [Robbins, John A.; Nalepa, Thomas F.; Morehead, Nancy R.] NOAA, Great Lakes Environm Res Lab, Ann Arbor, MI 48108 USA; [Matisoff, Gerald] Case Western Reserve Univ, Dept Earth Environm &amp; Planetary Sci, Cleveland, OH 44106 USA</t>
  </si>
  <si>
    <t>United States Department of the Interior; United States Geological Survey; National Oceanic Atmospheric Admin (NOAA) - USA; University System of Ohio; Case Western Reserve University</t>
  </si>
  <si>
    <t>Schloesser, DW (corresponding author), US Geol Survey, Great Lakes Sci Ctr, 1451 Green Rd, Ann Arbor, MI 48105 USA.</t>
  </si>
  <si>
    <t>dschloesser@usgs.gov; drjarobbins@gmail.com; gerald.matisoff@case.edu</t>
  </si>
  <si>
    <t>Morehead, Nancy/0000-0003-3859-3035</t>
  </si>
  <si>
    <t>0380-1330</t>
  </si>
  <si>
    <t>J GREAT LAKES RES</t>
  </si>
  <si>
    <t>J. Gt. Lakes Res.</t>
  </si>
  <si>
    <t>10.1016/j.jglr.2013.12.016</t>
  </si>
  <si>
    <t>Environmental Sciences; Limnology; Marine &amp; Freshwater Biology</t>
  </si>
  <si>
    <t>AD8XN</t>
  </si>
  <si>
    <t>WOS:000333549100009</t>
  </si>
  <si>
    <t>Haase, P; Pauls, SU; Schindehütte, K; Sundermann, A</t>
  </si>
  <si>
    <t>Haase, Peter; Pauls, Steffen U.; Schindehuette, Karin; Sundermann, Andrea</t>
  </si>
  <si>
    <t>First audit of macroinvertebrate samples from an EU Water Framework Directive monitoring program: human error greatly lowers precision of assessment results</t>
  </si>
  <si>
    <t>JOURNAL OF THE NORTH AMERICAN BENTHOLOGICAL SOCIETY</t>
  </si>
  <si>
    <t>stream assessment; methodology; quality control; quality assurance; benthic invertebrates; river; stream; ecological status; water management</t>
  </si>
  <si>
    <t>BENTHIC INVERTEBRATE SAMPLES; PATCH DYNAMICS; ASSESSING STREAMS; DATA QUALITY; VARIABILITY; BIOASSESSMENT; PROTOCOL; RIVERS; IDENTIFICATION; UNCERTAINTY</t>
  </si>
  <si>
    <t>Invertebrates are often used in biological monitoring of soil and water ecosystems. Because of the huge number of invertebrate species, sample processing (sorting and identification) is a labor-intensive and often difficult task that is prone to error. These errors can bias assessment results, which often are used by environmental managers to guide funding decisions for costly restoration measures. However, quality control of assessment results is not implemented in many freshwater monitoring programs. We conducted the first audit of an official European freshwater monitoring program based on 414 macroinvertebrate samples from streams and rivers in Germany. The samples were collected by personnel at 7 different commercial environmental laboratories using the European Union (EU) Water Framework Directive protocol. We audited 12% of all samples at 3 different levels: 1) a sorting audit, 2) an identification audit, and 3) a total audit based on both sorting and identification. The sorting audit revealed that 29% of the specimens and every 5(th) taxon (20.6%) had been overlooked by the primary analyst. Differences in sorting were correlated with taxon body size (r = 0.61, p &lt; 0.001). The identification audit showed that &gt;30% of taxa differed between the results of the primary analysts and auditors. Taxa considered difficult to identify were not more prone to error than were taxa considered easier to identify. Primary analysts and auditors assigned 34% of audited samples to different quality classes in &gt;= 1 of 3 assessment modules (organic pollution, acidification, and general degradation). For 16% of the samples, these changes resulted in a different final ecological assessment. Such a high rate of differences between primary analysts and auditors could lead to ineffective allocation of several million Euros. Our results clearly illustrate the need for adequate quality control and auditing in freshwater monitoring.</t>
  </si>
  <si>
    <t>[Haase, Peter; Pauls, Steffen U.; Schindehuette, Karin; Sundermann, Andrea] Senckenberg, Res Inst, D-63571 Gelnhausen, Germany; [Haase, Peter; Pauls, Steffen U.; Schindehuette, Karin; Sundermann, Andrea] Nat Hist Museum, Dept Limnol &amp; Conservat, D-63571 Gelnhausen, Germany; [Pauls, Steffen U.] Univ Minnesota, Dept Entomol, St Paul, MN 55108 USA</t>
  </si>
  <si>
    <t>Senckenberg Gesellschaft fur Naturforschung (SGN); University of Minnesota System; University of Minnesota Twin Cities</t>
  </si>
  <si>
    <t>Haase, P (corresponding author), Senckenberg, Res Inst, Clamecy Str 12, D-63571 Gelnhausen, Germany.</t>
  </si>
  <si>
    <t>peter.haase@senckenberg.de; steffen.pauls@senckenberg.de; karin.schindehuette@munlv.nrw.de; andrea.sundermann@senckenberg.de</t>
  </si>
  <si>
    <t>Sundermann, Andrea/A-2938-2009; Pauls, Steffen/C-2192-2011; Haase, Peter/A-5644-2011</t>
  </si>
  <si>
    <t>Hessisches Landesamt fur Umwelt und Geologie; Hesse's Ministry of Higher Education, Research, and the Arts</t>
  </si>
  <si>
    <t>We thank Manfred Coiling, Thomas O. Eggers, Christine Engelhardt, Wolfram Graf, Elisabeth Heigl, Arne Haybach, Monika Hess, Uwe Jueg, Irene Rademacher, Rudiger Wagner, Doreen Werner, and Michael Zettler for their support of our audit. We thank Robin Thomson (St Paul, Minnesota), Mark Vinson (Logan, Utah), and 1 anonymous referee for helpful comments on earlier versions of our manuscript. This study was financed by Hessisches Landesamt fur Umwelt und Geologie and the research funding programme LOEWE - Landes-Offensive zur Entwicklung Wissenschaftlich-oekonomischer Exzellenz of Hesse's Ministry of Higher Education, Research, and the Arts.</t>
  </si>
  <si>
    <t>NORTH AMER BENTHOLOGICAL SOC</t>
  </si>
  <si>
    <t>1041 NEW HAMSPHIRE STREET, LAWRENCE, KS 66044 USA</t>
  </si>
  <si>
    <t>0887-3593</t>
  </si>
  <si>
    <t>J N AM BENTHOL SOC</t>
  </si>
  <si>
    <t>J. N. Am. Benthol. Soc.</t>
  </si>
  <si>
    <t>10.1899/09-183.1</t>
  </si>
  <si>
    <t>676EB</t>
  </si>
  <si>
    <t>WOS:000283891800008</t>
  </si>
  <si>
    <t>Siddique, S; Chaudhry, MN; Ahmad, SR; Javed, R; Nazir, R; Mubarak, S; Alghamdi, HA; Mahmood, A</t>
  </si>
  <si>
    <t>Siddique, Sidra; Chaudhry, M. Nawaz; Ahmad, Sajid Rashid; Javed, Rimsha; Nazir, Rabia; Mubarak, Shafaq; Alghamdi, Huda Ahmed; Mahmood, Adeel</t>
  </si>
  <si>
    <t>Comprehensive GIS based risk surveillance of organochlorine pesticides (OCPs) in edible fish species of River Chenab, Pakistan</t>
  </si>
  <si>
    <t>River Chenab; Geo-statistical; Pollution index; Bio-indicator human health risk assessment</t>
  </si>
  <si>
    <t>AIR-SOIL EXCHANGE; HUMAN HEALTH; HEAVY-METALS; POLYCHLORINATED-BIPHENYLS; DISTRIBUTION PATTERN; SURFACE SOILS; CONTAMINATION; SEDIMENTS; MUSSELS; WATER</t>
  </si>
  <si>
    <t>The present study was conducted to evaluate Carcinogenic (TR) and non-carcinogenic (THQ) human health risk of or-ganochlorine pesticides (OCPs) in three edible fish species (Labeo boga, Channa marulius and Wallago attu) of River Che-nab, Pakistan using USEPA human health risk assessment model. Holistic GIS (Geographic information system) based Geo-Statistical approach has been employed for the first time in River Chenab, Pakistan to categorize contaminated risk zones of OCPs based on single pollution index. The n-ary sumation OCPs concentrations in fish species were ranged from 5.09 to 414 ng/g with the prevalence of dieldrin. Results of single pollution index of DDE, aldrin, dieldrin and n-ary sumation endosulfan revealed River Chenab as polluted and risk zone area. Distribution pattern assessed significantly higher (p &lt; 0.05) con-centrations of OCPs in downstream area suggesting substantial pollution of surrounded industrial region. The human health risk assessment depicted no harmful non-carcinogenic (THQ) risk except for sigma OCPs concentration of C. marulius. Significant carcinogenic (TR) health risk exhibited by all examined OCPs from maximum of the studied sites. There-fore, the high carcinogenic human health risk had highlighted an immediate removal of continuous disposal of OCPs in the River Chenab.</t>
  </si>
  <si>
    <t>[Siddique, Sidra; Ahmad, Sajid Rashid] Univ Punjab, Coll Earth &amp; Environm Sci, Lahore, Pakistan; [Chaudhry, M. Nawaz] Fac Basic Sci, Lahore Sch Econ, Dept Environm Sci &amp; Policy, Lahore, Pakistan; [Javed, Rimsha; Mahmood, Adeel] Women Univ, Dept Environm Sci, Govt Coll, Sialkot, Pakistan; [Nazir, Rabia; Mubarak, Shafaq] Pakistan Council Sci &amp; Ind Res Labs Complex, Appl Chem Res Ctr, Lahore, Pakistan; [Alghamdi, Huda Ahmed] King Khalid Univ, Coll Sci, Dept Biol, Abha 61413, Saudi Arabia</t>
  </si>
  <si>
    <t>University of Punjab; Lahore School of Economics; PCSIR Laboratories Complex; King Khalid University</t>
  </si>
  <si>
    <t>Mahmood, A (corresponding author), Women Univ, Dept Environm Sci, Govt Coll, Sialkot, Pakistan.</t>
  </si>
  <si>
    <t>adilqau5@gmail.com</t>
  </si>
  <si>
    <t>Ahmad, Sajid/ABH-1971-2020</t>
  </si>
  <si>
    <t>Javed, Rimsha/0009-0005-1502-2055</t>
  </si>
  <si>
    <t>Deanship of Scientific Research at King Khalid University, Abha, Saudi Arabia [RGP.2/245/43]</t>
  </si>
  <si>
    <t>Deanship of Scientific Research at King Khalid University, Abha, Saudi Arabia</t>
  </si>
  <si>
    <t>The authors extend their appreciation to the Deanship of Scientific Research at King Khalid University, Abha, Saudi Arabia for funding this work through Large Groups Project under grant number RGP.2/245/43.</t>
  </si>
  <si>
    <t>10.1016/j.scitotenv.2023.162084</t>
  </si>
  <si>
    <t>9S1HT</t>
  </si>
  <si>
    <t>WOS:000946096800001</t>
  </si>
  <si>
    <t>Napierska, D; Podolska, M</t>
  </si>
  <si>
    <t>Napierska, Dorota; Podolska, Magdalena</t>
  </si>
  <si>
    <t>Relationship between biomarker responses and contaminant concentration in selected tissues of flounder (Platichthys flesus) from the Polish coastal area of the Baltic Sea</t>
  </si>
  <si>
    <t>Baltic Sea; Contaminants; Flounder; Biomarkers</t>
  </si>
  <si>
    <t>XENOBIOTIC-METABOLIZING ENZYMES; MITOCHONDRIAL MALIC ENZYME; MUSSEL MYTILUS-EDULIS; DEMISSUS GILL TISSUE; CHOLINESTERASE ACTIVITY; SURFICIAL SEDIMENTS; HEAVY-METALS; FISH; ACETYLCHOLINESTERASE; POLLUTION</t>
  </si>
  <si>
    <t>Previous studies in the Gulf of Gdansk discussed the responses of selected enzymatic biomarkers to the contaminant gradient in fish and mussels. In the present study, flounder muscle and liver tissues were analyzed for polychlorinated biphenyls (PCB congeners: 28, 52 101, 118, 138 153 and 180), organochlorine pesticides (HCHs, HCB and DDTs), and trace metals (Pb, Cd, Zn, Cu, Hg, Cr). An attempt was made to identify the relationship between the measured enzymatic biomarker responses (cholinesterases, malic enzyme, isocitrate dehydrogenase, glutathione S-transferase) and contaminant concentrations in selected flounder tissues. The observed differences in enzymatic biomarker levels suggest that chronic exposure to low-concentration mixtures of contaminants may be occurring in the studied area. However, no conclusive evidence was found of a clear link between the biomarker responses and contaminant concentrations in flounder tissues.</t>
  </si>
  <si>
    <t>[Napierska, Dorota; Podolska, Magdalena] Sea Fisheries Res Inst, PL-80332 Gdynia, Poland</t>
  </si>
  <si>
    <t>Podolska, M (corresponding author), Sea Fisheries Res Inst, Kollataja 1, PL-80332 Gdynia, Poland.</t>
  </si>
  <si>
    <t>bilbo@mir.gdynia.pl</t>
  </si>
  <si>
    <t>Podolska, Magdalena/0000-0002-3303-3787</t>
  </si>
  <si>
    <t>Polish State Committee for Scientific Research</t>
  </si>
  <si>
    <t>Polish State Committee for Scientific Research(Polish State Committee for Scientific Research)</t>
  </si>
  <si>
    <t>Our work was supported by the Polish State Committee for Scientific Research. The chemical analyses were performed by I. Barska, and L. Polak-Juszczak in the Accredited Research Laboratory of the Sea Fisheries Institute.</t>
  </si>
  <si>
    <t>360VK</t>
  </si>
  <si>
    <t>WOS:000260086100004</t>
  </si>
  <si>
    <t>WIDDOWS, J; DONKIN, P</t>
  </si>
  <si>
    <t>ROLE OF PHYSIOLOGICAL ENERGETICS IN ECOTOXICOLOGY</t>
  </si>
  <si>
    <t>12TH ANNUAL CONF OF THE EUROPEAN SOC FOR COMPARATIVE PHYSIOLOGY AND BIOCHEMISTRY</t>
  </si>
  <si>
    <t>AUG 27-31, 1990</t>
  </si>
  <si>
    <t>UNIV UTRECHT, UTRECHT, NETHERLANDS</t>
  </si>
  <si>
    <t>UNIV UTRECHT</t>
  </si>
  <si>
    <t>MUSSELS MYTILUS-EDULIS; COPPER CONCENTRATIONS; GROWTH; POLLUTION; LARVAE; WATER; BAY; TRIBUTYLTIN; HYDROCARBON; TOXICOLOGY</t>
  </si>
  <si>
    <t>1. The role of physiological energetic measurements combined with chemical analyses of contaminants in body tissues of mussels in fundamental toxicological studies and pollution monitoring programmes is outlined. 2. Important features of this toxicological approach are briefly reviewed, including aspects of bioaccumulation, sensitivity, quantitative concentration-response relationships, QSARs, mechanistic interpretation, ecological relevance, integration of the consequences of multiple mechanisms of toxicity and effects of contaminant mixtures and application to laboratory and field studies. 3. This review focuses particularly on recent advances in understanding and predicting the effects of complex mixtures of contaminants.</t>
  </si>
  <si>
    <t>WIDDOWS, J (corresponding author), PLYMOUTH MARINE LAB,PROSPECT PL,PLYMOUTH PL1 3DH,ENGLAND.</t>
  </si>
  <si>
    <t>10.1016/0742-8413(91)90125-D</t>
  </si>
  <si>
    <t>WOS:A1991FL62100017</t>
  </si>
  <si>
    <t>Cerralbo, P; Balsells, MFP; Mestres, M; Fernandez, M; Espino, M; Grifoll, M; Sanchez-Arcilla, A</t>
  </si>
  <si>
    <t>Cerralbo, Pablo; Balsells, Marta F-Pedrera; Mestres, Marc; Fernandez, Margarita; Espino, Manuel; Grifoll, Manel; Sanchez-Arcilla, Agustin</t>
  </si>
  <si>
    <t>Use of a hydrodynamic model for the management of water renovation in a coastal system</t>
  </si>
  <si>
    <t>OCEAN SCIENCE</t>
  </si>
  <si>
    <t>SURFACE CIRCULATION; TIME SCALES; ALFACS BAY; ESTUARY; WIND; VARIABILITY; POLLUTION; RENEWAL; BARRIER; RADAR</t>
  </si>
  <si>
    <t>In this contribution we investigate the hydrodynamic response in Alfacs Bay (Ebro Delta, NW Mediterranean Sea) to different anthropogenic modifications in freshwater flows and inner bay-open sea connections. The fresh water coming from rice field irrigation contains nutrients and pesticides and therefore affects in multiple ways the productivity and water quality of the bay. The application of a nested oceanographic circulation modelling suite within the bay provides objective information to solve water quality problems that are becoming more acute due to temperature and phytoplankton concentration peaks during the summer period when seawater may exceed 28 degrees C, leading to high rates of mussel mortality and therefore a significant impact on the local economy. The effects of different management solutions (like a connection channel between the inner bay and open sea) are hydrodynamically modelled in order to diminish residence times (e-flushing time) and water temperatures. The modelling system, based on the Regional Ocean Modeling System (ROMS), consists of a set of nested domains using data from CMEMS-IBI for the initial and open boundary conditions (coarser domain). One full year (2014) of simulation is used to validate the results, showing low errors with sea surface temperature (SST) and good agreement with surface currents. Finally, a set of twin numerical experiments during the summer period (when the water temperature reaches 28 degrees C) is used to analyse the effects of proposed nature-based interventions. Although these actions modify water temperature in the water column, the decrease in SST is not enough to avoid high temperatures during some days and prevent eventual mussel mortality during summer in the shallowest regions. However, the proposed management actions reveal their effectiveness in diminishing water residence times along the entire bay, thus preventing the inner areas from having poor water renewal and the corresponding ecological problems.</t>
  </si>
  <si>
    <t>[Cerralbo, Pablo; Balsells, Marta F-Pedrera; Mestres, Marc; Espino, Manuel; Grifoll, Manel; Sanchez-Arcilla, Agustin] Polytech Univ Catalonia LIM UPC, Maritime Engn Lab, Barcelona 08034, Spain; [Cerralbo, Pablo; Mestres, Marc; Espino, Manuel; Sanchez-Arcilla, Agustin] Int Ctr Coastal Resources Res CIIRC, Barcelona 08034, Spain; [Fernandez, Margarita] Inst Agr &amp; Food Res &amp; Technol IRTA, Carretera Poblenou Km 5-5, San Carlos de la Rapita, Spain</t>
  </si>
  <si>
    <t>Universitat Politecnica de Catalunya; Universitat Politecnica de Catalunya; Centre Internacional d'Investigacio dels Recursos Costaners (CIIRC); IRTA</t>
  </si>
  <si>
    <t>Cerralbo, P (corresponding author), Polytech Univ Catalonia LIM UPC, Maritime Engn Lab, Barcelona 08034, Spain.;Cerralbo, P (corresponding author), Int Ctr Coastal Resources Res CIIRC, Barcelona 08034, Spain.</t>
  </si>
  <si>
    <t>pablo.cerralbo@upc.edu</t>
  </si>
  <si>
    <t>Mestres, Marc/KCJ-6812-2024; Cerralbo, Pablo/AAC-9868-2020; Fernandez-Tejedor, Margarita/J-9449-2013; Grifoll, Manel/A-1266-2013</t>
  </si>
  <si>
    <t>Fernandez-Tejedor, Margarita/0000-0002-2875-1135; Grifoll, Manel/0000-0003-4260-6732; Balsells F-Pedrera, Marta/0000-0002-4514-832X</t>
  </si>
  <si>
    <t>EU H2020 programme [730030]; Direccio General de Pesca I Afers Maritims in the framework of the project Analisi ambiental de les Badies del Delta de l'Ebre i el seu entorn. Cap al desenvolupament d'una eina per a la seva gestio integrada; project ECOSISTEMA [CTM2017-84275-R]; Secretaria d'Universitats i Recerca del Dpt. d'Economia i Coneixement de la Generalitat de Catalunya [2014SGR1253]</t>
  </si>
  <si>
    <t>EU H2020 programme(Horizon 2020); Direccio General de Pesca I Afers Maritims in the framework of the project Analisi ambiental de les Badies del Delta de l'Ebre i el seu entorn. Cap al desenvolupament d'una eina per a la seva gestio integrada; project ECOSISTEMA; Secretaria d'Universitats i Recerca del Dpt. d'Economia i Coneixement de la Generalitat de Catalunya(Generalitat de Catalunya)</t>
  </si>
  <si>
    <t>The authors are grateful for the collaboration with IRTA staff for participation in the field campaigns carried out within the framework of the monitoring programme on water quality at the shellfish growing areas in Catalonia. Thanks for the data provided by Puertos del Estado and AEMET. This work received funding from the EU H2020 programme under grant agreement no. 730030 (CEASELESS project). The authors also acknowledge the funding and support received from the Direccio General de Pesca I Afers Maritims in the framework of the project Analisi ambiental de les Badies del Delta de l'Ebre i el seu entorn. Cap al desenvolupament d'una eina per a la seva gestio integrada and the project ECOSISTEMA (CTM2017-84275-R). We also want to thank the Secretaria d'Universitats i Recerca del Dpt. d'Economia i Coneixement de la Generalitat de Catalunya (ref. 2014SGR1253), who supported our research group.</t>
  </si>
  <si>
    <t>1812-0784</t>
  </si>
  <si>
    <t>OCEAN SCI</t>
  </si>
  <si>
    <t>Ocean Sci.</t>
  </si>
  <si>
    <t>10.5194/os-15-215-2019</t>
  </si>
  <si>
    <t>Meteorology &amp; Atmospheric Sciences; Oceanography</t>
  </si>
  <si>
    <t>HN5EE</t>
  </si>
  <si>
    <t>WOS:000460205100001</t>
  </si>
  <si>
    <t>Loaiza, I; Hurtado, D; Miglio, M; Orrego, H; Mendo, J</t>
  </si>
  <si>
    <t>Loaiza, Ivan; Hurtado, Daniela; Miglio, Maria; Orrego, Henry; Mendo, Jaime</t>
  </si>
  <si>
    <t>Tissue-specific Cd and Pb accumulation in Peruvian scallop (Argopecten purpuratus) transplanted to a suspended and bottom culture at Sechura Bay, Peru</t>
  </si>
  <si>
    <t>Argopecten purpuratus; Metal accumulation; Culture system; Risk assessment; Consumption; Sechura Bay</t>
  </si>
  <si>
    <t>CHLAMYS-VARIA; TROPHIC RELATIONSHIPS; FOOD-WEB; CADMIUM; CU; CONSUMPTION; PECTINIDAE; ZN; BIOACCUMULATION; SEDIMENT</t>
  </si>
  <si>
    <t>In order to understand the effect of different culture systems on Cd and Pb accumulation, suspended long-line and bottom cultures of Argopecten purpuratus were conducted during January until April 2010 (120 days). The Cd tissue levels were the highest at the middle of the experiment (30-d till 70-d) for suspended-cultured individuals, while bottom-cultured individuals showed an increasing trend. Gonad Pb levels were also higher during the same period for all cultures, while adductor muscle exhibited no considerable variations. Cd and Pb tissue concentrations were mainly greater in deeper cultures. There were no significant differences in Cd and Pb accumulation between individual sizes. The Cd and Pb levels in edible tissue (gonad + adductor muscle) did not exceed the EU and FDA maximum levels. Based on the target hazard quotient (THQ) and the provisional tolerance weekly intake (PTWI), no risk (THQ &lt; 1 and %PTWI &lt; 30) was found for human consumption. (C) 2014 Elsevier Ltd. All rights reserved.</t>
  </si>
  <si>
    <t>[Loaiza, Ivan; Hurtado, Daniela; Miglio, Maria; Orrego, Henry; Mendo, Jaime] La Molina Natl Agr Univ UNALM, Fac Fisheries, Dept Fisheries Management &amp; Environm, Lima 12, Peru</t>
  </si>
  <si>
    <t>Universidad Nacional Agraria La Molina</t>
  </si>
  <si>
    <t>Loaiza, I (corresponding author), Sci Univ South UCSUR, Fac Marine Biol, Panamer Sur Km 19,Ave Antigua Carretera, Lima 42, Peru.</t>
  </si>
  <si>
    <t>ivanalamos@gmail.com</t>
  </si>
  <si>
    <t>Alamo, Iván/AAF-7531-2019</t>
  </si>
  <si>
    <t>Loaiza, Ivan/0000-0001-8061-5678; Miglio Toledo, Maria Cristina/0000-0002-7134-042X</t>
  </si>
  <si>
    <t>Fondos para la Innovacion, Ciencia y Tecnologia (FINCyT)</t>
  </si>
  <si>
    <t>This research was funded by the Fondos para la Innovacion, Ciencia y Tecnologia (FINCyT) in cooperation with the Universidad Nacional Agraria La Molina (UNALM) and Universidad Nacional de Piura (UNP). Sincere thanks to the Asociacion de Pescadores Artesanales Beatita de Humay from Sechura, Piura - Peru. We also thank the anonymous reviewers of the manuscript for their critical review.</t>
  </si>
  <si>
    <t>10.1016/j.marpolbul.2014.09.058</t>
  </si>
  <si>
    <t>WOS:000351977100006</t>
  </si>
  <si>
    <t>Nice, HE; Thorndyke, MC; Morritt, D; Steele, S; Crane, M</t>
  </si>
  <si>
    <t>Development of Crassostrea gigas larvae is affected by 4-nonylphenol</t>
  </si>
  <si>
    <t>Crassostrea gigas; nonylphenol; larval deformity; lethal effects; sublethal effects; aquaculture</t>
  </si>
  <si>
    <t>EELPOUT ZOARCES VIVIPARUS; RAINBOW-TROUT; ONCORHYNCHUS-MYKISS; ALKYLPHENOLIC COMPOUNDS; VITELLOGENIN SYNTHESIS; TESTICULAR STRUCTURE; ESTROGENIC ACTIVITY; DISSOLVED MERCURY; OYSTER LARVAE; GERMAN BIGHT</t>
  </si>
  <si>
    <t>Nonylphenol is a known endocrine disrupter that is widespread in the aquatic environment. In this investigation, the Pacific Oyster, Cyassostrea gigas (Thunberg), a marine invertebrate widely used in standard pollution bioassays, was exposed to a range of concentrations of 4-nonylphenol (0.1, 1, 10, 100, 1000 and 10000 mu g/l). Development of C, gigas to a particular larval stage (D-shape) was monitored over a 72 h time period at eight-hourly intervals. 4-nonylphenol delayed development to D-shape and caused a significant decrease in survival rate. In addition a growth abnormality was observed. (C) 2000 Elsevier Science Ltd. All rights reserved.</t>
  </si>
  <si>
    <t>Univ London Royal Holloway &amp; Bedford New Coll, Sch Biol Sci, Egham TW20 0EX, Surrey, England</t>
  </si>
  <si>
    <t>University of London; Royal Holloway University London</t>
  </si>
  <si>
    <t>10.1016/S0025-326X(99)00230-1</t>
  </si>
  <si>
    <t>324VV</t>
  </si>
  <si>
    <t>WOS:000087642800014</t>
  </si>
  <si>
    <t>AbdelMoati, MAR</t>
  </si>
  <si>
    <t>Alkyllead species in the coastal waters of Alexandria, Egypt</t>
  </si>
  <si>
    <t>alkyllead; speciation; water; biota; sediments; Alexandria coast</t>
  </si>
  <si>
    <t>LEAD; ESTUARY; BEHAVIOR</t>
  </si>
  <si>
    <t>Fourteen locations were sampled along the Alexandria coast to assess the occurrence and fate of alkyllead compounds in water, sediments and biota. Tetraalkyllead was not observed in any of the samples analyzed. PbMe(3)(+) dominated the; methyllead species in water (constituting 62-64% of total alkyllead) reaching 1506 ng kg(-1) opposite the alkyllead production plant. PbEt(3)(+) dominated the ethyllead species constituting 18-20% of total alkyllead species with a maximum concentration of 902 ng kg(-1). PbEt(2)(+2) &gt; PbMe(2)(+2) &gt; PbMe(2)Et(+) &gt; PbMeEt(2)(+) appeared mostly in nearshore stations with maximum levels being reached opposite to the alkyllead production plant and traffic light locations an the highway running parallel to the seashore, especially during summer. Seasonal variations were mainly related to traffic activity. The average concentration ratio of PbMe(3)(+):PbEt(3)(+) is 3.2 +/- 2.4 reflecting the use of PbMe(4) as a petrol additive. Alkyllead compounds behaved nonconservatively on reaching seawater due to their removal from solution by uptake onto suspended particles. The Pb2Me(3)(+):PbMe(2)(+2) concentration ratio in sediments fluctuated between 30:1 for nearshore to 5:1 for offshore samples while that for PbEt(3)(+):PbEt(2)(+) was 1.6:1 and 2.9:1 for the same areas. Methylethyllead species were not detected in offshore sediments. Low tri- and dialkyllead levels were observed for anaerobic sediments. Alkyllead species concentration in biota inhabiting the coastal waters of Alexandria increased in the following order: Mixed plankton &lt; Mugil capito (pelagic fish) &lt; Mullus burbatus (demersal fish) &lt; Donax trunculus (bivalve) &lt; Ulva rigida (algae) &lt; Neptunus pelagicus (crab) indicating higher levels in demersal rather than pelagic organisms. The maximum concentration factors for crabs are: 2850, 4985, 12970 and 6690 for PbMe(3)(+), PbEt(3)(+), PbMe(2)(+2) and PbEt(2)(+2), respectively, during summer. Alkyllead concentrations in some individuals reached high levels. These levels are considered hazardous with respect to the future discharge strategy of alkyllead to coastal waters, rendering these compounds more bioavailable. However, a health hazard criterion has not yet been established.</t>
  </si>
  <si>
    <t>UNIV ALEXANDRIA, FAC SCI, DEPT OCEANOG, ALEXANDRIA, EGYPT</t>
  </si>
  <si>
    <t>AbdelMoati, MAR (corresponding author), UNIV QATAR, FAC SCI, DEPT MARINE SCI, POB 2713, DOHA, QATAR.</t>
  </si>
  <si>
    <t>10.1016/0269-7491(95)00016-K</t>
  </si>
  <si>
    <t>WOS:A1996TK46100009</t>
  </si>
  <si>
    <t>Baudrimont, Magalie; de Montaudouin, Xavier; Palvadeau, Audrey</t>
  </si>
  <si>
    <t>Impact of digenean parasite infection on metallothionein synthesis by the cockle (Cerastoderma edule):: A multivariate field monitoring</t>
  </si>
  <si>
    <t>Cerastoderma edule; metallothioneins; parasites; reproduction; metals</t>
  </si>
  <si>
    <t>DIPLOSTOMUM-SPATHACEUM TREMATODA; CLAM RUDITAPES-DECUSSATUS; METAL EXPOSURE; CORBICULA-FLUMINEA; MYTILUS-GALLOPROVINCIALIS; BINDING PROTEINS; MACOMA-BALTHICA; CADMIUM; TOXICITY; POPULATION</t>
  </si>
  <si>
    <t>Metallothioneins (MT) are proteins that play an important role in metabolism of essential metals and detoxification of trace metals from living organisms. Their synthesis is induced by metal pollution but can also be exacerbated by other factors such as reproduction processes. In this context, we monitored NIT concentrations in a cockle Cerastoderma edule (marine bivalve) population and highlighted the effect of a castrating digenean parasite, Labratrema minimus. In spent cockles, NIT levels were low (ca. 5 nmol sites g(-1), fresh weight) but slightly higher in parasitized individuals. During gametogenesis, NIT synthesis increased in all cockles, but concentrations were lower in parasitized individuals (18 against 27 nmol sites g(-1), fw in unparasitized cockles) in relation with gonad damage by parasites. Therefore, it is suggested that parasite infection in cockles can modulate MT synthesis that could consequently interfere with the response of these protective proteins in case of metal contamination. (c) 2005 Elsevier Ltd. All rights reserved.</t>
  </si>
  <si>
    <t>Univ Bordeaux 1, Lab Oceanog Biol, UMR 5805, F-33120 Arcachon, France; Univ Bordeaux 1, Lab Ecophysiol &amp; Ecotoxicol Syst Aquat, UMR 5805, F-33120 Arcachon, France</t>
  </si>
  <si>
    <t>de Montaudouin, X (corresponding author), Univ Bordeaux 1, Lab Oceanog Biol, UMR 5805, 2 Rue Pr Jolyet, F-33120 Arcachon, France.</t>
  </si>
  <si>
    <t>m.baudrimont@epoc.u-bordeaux1.fr; x.de-montaudouin@epoc.u-bordeaux1.fr</t>
  </si>
  <si>
    <t>10.1016/j.marpolbul.2005.09.035</t>
  </si>
  <si>
    <t>058TI</t>
  </si>
  <si>
    <t>WOS:000238687100015</t>
  </si>
  <si>
    <t>Durou, C; Mouneyrac, C; Amiard-Triquet, C</t>
  </si>
  <si>
    <t>Durou, Cyril; Mouneyrac, Catherine; Amiard-Triquet, Claude</t>
  </si>
  <si>
    <t>Environmental quality assessment in estuarine ecosystems:: Use of biometric measurements and fecundity of the ragworm Nereis diversicolor (Polychaeta, Nereididae)</t>
  </si>
  <si>
    <t>Nereis diversicolor; biometric measurements; fecundity; biomonitoring; sediment</t>
  </si>
  <si>
    <t>MUSSELS MYTILUS-GALLOPROVINCIALIS; CLAMS MYA-ARENARIA; HEDISTE-DIVERSICOLOR; HEAVY-METALS; DELAYED GAMETOGENESIS; POPULATION-STRUCTURE; REPRODUCTIVE EFFORT; MARINE-SEDIMENTS; ATLANTIC COAST; OOGENIC CYCLE</t>
  </si>
  <si>
    <t>The ability to cope with environmental stress may be expensive in terms of energy and this cost of tolerance is suspected to have negative counterparts such as reduced growth and fecundity. To date, condition indices based on biometric measurements are currently used in bivalves or fish but do not exist in endobenthic worms, despite their interest as bioindicators for the sedimentary compartment in which the major part of pollutants is stored in aquatic environments. In the present work, several biometric variables (jaw and total body length, number of segments, the length of the first three segments L3, wet or dry weight) were measured in the ragworm Nereis diversicolor originating from clean (Authie) and polluted (Seine) estuaries (France) to study size-weight relationships. The production of oocytes by females (which represent 80-90% of the population) was quantified in the same specimens. In females from the polluted site, the condition was shown to be altered and, in parallel, the production of oocytes was lower than in females from the comparatively clean site. From an operational point of view, we recommend the use of the length L3 and the wet weight. Because fecundity is mainly dependent on size and weight in N. diversicolor, biometric measurements would be useful tools for assessing the biological quality of estuarine sediments. (C) 2007 Elsevier Ltd. All rights reserved.</t>
  </si>
  <si>
    <t>[Durou, Cyril; Mouneyrac, Catherine] Univ Nantes, CNRS, SMAB, F-44322 Nantes 3, France; [Durou, Cyril; Mouneyrac, Catherine; Amiard-Triquet, Claude] Univ Catholique Ouest, Inst Biol &amp; Ecol Appl, CEREA, F-49008 Angers 01, France</t>
  </si>
  <si>
    <t>Centre National de la Recherche Scientifique (CNRS); Nantes Universite; Institut Polytechnique de Paris; Ecole des Ponts ParisTech</t>
  </si>
  <si>
    <t>Mouneyrac, C (corresponding author), Univ Nantes, CNRS, SMAB, 2 Rue Houssiniere,BP 92208, F-44322 Nantes 3, France.</t>
  </si>
  <si>
    <t>10.1016/j.watres.2007.11.028</t>
  </si>
  <si>
    <t>300LO</t>
  </si>
  <si>
    <t>WOS:000255825500032</t>
  </si>
  <si>
    <t>Rist, S; Almroth, BC; Hartmann, NB; Karlsson, TM</t>
  </si>
  <si>
    <t>Rist, Sinja; Almroth, Bethanie Carney; Hartmann, Nanna B.; Karlsson, Therese M.</t>
  </si>
  <si>
    <t>A critical perspective on early communications concerning human health aspects of microplastics</t>
  </si>
  <si>
    <t>Contamination; Food products; Plastic additives; Chemical toxicity; Particle toxicity</t>
  </si>
  <si>
    <t>PLASTIC DEBRIS; BISPHENOL-A; PHTHALATE EXPOSURE; ENVIRONMENT; PARTICLES; POLLUTION; BIVALVES; FISH; FOOD; IDENTIFICATION</t>
  </si>
  <si>
    <t>Microplastic research in recent years has shown that small plastic particles are found almost every where we look. Besides aquatic and terrestrial environments, this also includes aquatic species intended for human consumption and several studies have reported their prevalence in other food products and beverages. The scientific as well as public debate has therefore increasingly focused on human health implications of microplastic exposure. However, there is a big discrepancy between the magnitude of this debate and actual scientific findings, which have merely shown the presence of microplastics in certain products. While plastics can undoubtedly be hazardous to human health due to toxicity of associated chemicals or as a consequence of particle toxicity, the extent to which microplastics in individual food products and beverages contribute to this is debatable. Considering the enormous use of plastic materials in our everyday lives, microplastics from food products and beverages likely only constitute a minor exposure pathway for plastic particles and associated chemicals to humans. But as this is rarely put into perspective, the recent debate has created a skewed picture of human plastic exposure. We risk pulling the focus away from the root of the problem: the way in which we consume, use and dispose of plastics leading to their widespread presence in our everyday life and in the environment. Therefore we urge for a more careful and balanced discussion which includes these aspects. (C) 2018 Elsevier B.V. All rights reserved.</t>
  </si>
  <si>
    <t>[Rist, Sinja; Hartmann, Nanna B.] Tech Univ Denmark, Dept Environm Engn, Bldg 115, DK-2800 Lyngby, Denmark; [Almroth, Bethanie Carney] Univ Gothenburg, Dept Biol &amp; Environm Sci, Medicinaregatan 18A, S-41390 Gothenburg, Sweden; [Karlsson, Therese M.] Univ Gothenburg, Dept Marine Sci, Kristineberg Marine Res Stn, S-45178 Fiskebackskil, Sweden</t>
  </si>
  <si>
    <t>Technical University of Denmark; University of Gothenburg; University of Gothenburg</t>
  </si>
  <si>
    <t>Karlsson, TM (corresponding author), Univ Gothenburg, Dept Marine Sci, Kristineberg Marine Res Stn, S-45178 Fiskebackskil, Sweden.</t>
  </si>
  <si>
    <t>siri@env.dtu.dk; bethanie.carney@bioenv.gu.se; nibh@env.dtu.dk; therese.karlsson@marine.gu.se</t>
  </si>
  <si>
    <t>Hartmann, Nanna B./A-1678-2009; Carney Almroth, Bethanie/Q-6411-2019; Rist, Sinja/P-4916-2017</t>
  </si>
  <si>
    <t>Hartmann, Nanna B./0000-0002-0442-245X; Carney Almroth, Bethanie/0000-0002-5037-4612; Rist, Sinja/0000-0003-3002-0793; Karlsson, Therese/0009-0002-3749-6217</t>
  </si>
  <si>
    <t>Swedish Environmental Research Council Formas [2014-1146, 2016-00895]; Interreg project Clean Coastline; Technical University of Denmark through the DTU-EPFL collaborative PhD grant of Sinja Rist; Otto Monsteds Fond; KVA grant; Formas [2016-00895] Funding Source: Formas</t>
  </si>
  <si>
    <t>Swedish Environmental Research Council Formas(Swedish Research Council Formas); Interreg project Clean Coastline; Technical University of Denmark through the DTU-EPFL collaborative PhD grant of Sinja Rist; Otto Monsteds Fond; KVA grant; Formas(Swedish Research Council Formas)</t>
  </si>
  <si>
    <t>For financial support of Therese M. Karlsson we thank the Swedish Environmental Research Council Formas (grant number 2014-1146), and the Interreg project Clean Coastline. We furthermore would like to thank the Technical University of Denmark for funding through the DTU-EPFL collaborative PhD grant of Sinja Rist as well as the Otto Monsteds Fond for supporting her external research stay at Sven Loven Centre for Marine Sciences. Bethanie Carney Almroth was supported by the Swedish Environmental Research Council Formas (grant number 2016-00895). We would also like to acknowledge the KVA grant for Internationalization and Scientific Renewal at the Sven Loven Centre for Marine Sciences for their support to Nanna B. Hartmann in the project Microplastics in Marine Bivalves. The funding sources had no involvement in study design, collection and interpretation of data or writing of the report.</t>
  </si>
  <si>
    <t>10.1016/j.scitotenv.2018.01.092</t>
  </si>
  <si>
    <t>WOS:000428194000072</t>
  </si>
  <si>
    <t>Vevers, WF; Dixon, DR; Dixon, LRJ</t>
  </si>
  <si>
    <t>Vevers, William F.; Dixon, David R.; Dixon, Linda R. J.</t>
  </si>
  <si>
    <t>The role of hydrostatic pressure on developmental stages of Pomatoceros lamarcki (Polychaeta: Serpulidae) exposed to water accommodated fractions of crude oil and positive genotoxins at simulated depths of 1000-3000 m</t>
  </si>
  <si>
    <t>Hydrostatic pressure; Pollution; Deep-sea; Genotoxicology; Oil toxicity</t>
  </si>
  <si>
    <t>MUSSEL BATHYMODIOLUS-AZORICUS; POLYCYCLIC AROMATIC-HYDROCARBONS; SEA HYDROTHERMAL-VENT; MARINE TUBEWORM; TOXICITY; EMBRYOS; COPPER; FISH; LIFE; TEMPERATURE</t>
  </si>
  <si>
    <t>The effect of high hydrostatic pressures on the ecotoxicological profile of pollutants is an unexplored research area. Using Pomatoceros lamarcki as a surrogate organism for this eco-barotoxicological study, it was found that in a 48 h larval bioassay with water accommodated fractions (WAF) of crude oil of up to 15.1 mg L(-1) (total hydrocarbon content) and hydrostatic pressures up to 300 bar (3000 m), an additive response was found (p &lt; 0.001) rather than any synergism (p = 0.881). Comprehensive cytogenetic analysis of 6-h (15 degrees C) embryos exposed to WAF (0.19 mg L(-1)) at 100 bar showed no effects on mitotic fidelity or cell division rate over the 1 bar treatment. However, embryo's treated with the clastogen mitomycin-c at 100 bar exhibited a significant increase in mitotic aberrations over 1 bar treated as was the case with hypo/hypersaline treatments (p &lt; 0.05). Conversely, an increase in hydrostatic pressure actually reduced the effects of spindle inhibition by the aneugen colchicine (p &lt; 0.05). (C) 2009 Elsevier Ltd. All rights reserved.</t>
  </si>
  <si>
    <t>[Vevers, William F.] Univ Plymouth, Sch Biol Sci, Plymouth PL4 8AA, Devon, England; [Vevers, William F.; Dixon, David R.; Dixon, Linda R. J.] Marine Biol Assoc UK, Plymouth PL1 2PB, Devon, England; [Vevers, William F.; Dixon, David R.] Natl Oceanog Ctr, Southampton SO14 3ZH, Hants, England</t>
  </si>
  <si>
    <t>University of Plymouth; Marine Biological Association United Kingdom; NERC National Oceanography Centre</t>
  </si>
  <si>
    <t>Vevers, WF (corresponding author), Univ Plymouth, Sch Biol Sci, Plymouth PL4 8AA, Devon, England.</t>
  </si>
  <si>
    <t>william.vevers@plymouth.ac.uk</t>
  </si>
  <si>
    <t>vevers, william/0000-0002-6493-5724</t>
  </si>
  <si>
    <t>NERC [MBA010001, noc010009] Funding Source: UKRI</t>
  </si>
  <si>
    <t>10.1016/j.envpol.2009.11.024</t>
  </si>
  <si>
    <t>WOS:000277726500077</t>
  </si>
  <si>
    <t>Rivas-Pérez, IM; Paradelo-Núñez, R; Nóvoa-Muñoz, JC; Arias-Estévez, M; Fernández-Sanjurjo, MJ; Alvarez-Rodríguez, E; Núñez-Delgado, A</t>
  </si>
  <si>
    <t>Maria Rivas-Perez, Ivana; Paradelo-Nunez, Remigio; Carlos Novoa-Munoz, Juan; Arias-Estevez, Manuel; Jose Fernandez-Sanjurjo, Maria; Alvarez-Rodriguez, Esperanza; Nunez-Delgado, Avelino</t>
  </si>
  <si>
    <t>As(V) and P Competitive Sorption on Soils, By-Products and Waste Materials</t>
  </si>
  <si>
    <t>arsenic; forest soil; phosphorus; sorption-competition; vineyard soil; waste materials</t>
  </si>
  <si>
    <t>ARSENATE ADSORPTION; PHOSPHATE; KINETICS; PHOSPHORUS; DESORPTION; RETENTION; FRACTIONATION; MINERALS; CHROMIUM; VINEYARD</t>
  </si>
  <si>
    <t>Batch-type experiments were used to study competitive As(V) and P sorption on various soils and sorbent materials. The materials assayed were a forest soil, a vineyard soil, pyritic material, granitic material, coarsely and finely ground mussel shell, calcinated mussel shell ash, pine sawdust and slate processing fines. Competition between As(V) and P was pronounced in the case of both soils, granitic material, slate fines, both shells and pine sawdust, showing more affinity for P. Contrary, the pyritic material and mussel shell ash showed high and similar affinity for As(V) and P. These results could be useful to make a correct use of the soils and materials assayed when focusing on As and P removal in solid or liquid media, in circumstances where both pollutants may compete for sorption sites.</t>
  </si>
  <si>
    <t>[Maria Rivas-Perez, Ivana; Jose Fernandez-Sanjurjo, Maria; Alvarez-Rodriguez, Esperanza; Nunez-Delgado, Avelino] Univ Santiago de Compostela, Engn Polytech Sch, Dept Soil Sci &amp; Agr Chem, Lugo 27002, Spain; [Paradelo-Nunez, Remigio; Carlos Novoa-Munoz, Juan; Arias-Estevez, Manuel] Univ Vigo, Fac Sci, Dept Plant Biol &amp; Soil Sci, Orense 32004, Spain</t>
  </si>
  <si>
    <t>ivanamaria.rivas@rai.usc.es; remigio.paradelo@uvigo.es; edjuanca@uvigo.es; mastevez@uvigo.es; mf.sanjurjo@usc.es; esperanza.alvarez@usc.es; avelino.nunez@usc.es</t>
  </si>
  <si>
    <t>Fernández-Sanjurjo, María/ABC-6938-2020; Paradelo, Remigio/H-8296-2019; Nóvoa-Muñoz, J. C./A-9181-2009; Alvarez, Esperanza/B-3154-2018; Nunez-Delgado, Avelino/K-3964-2013; Arias-Estevez, Manuel/M-8629-2016</t>
  </si>
  <si>
    <t>Alvarez, Esperanza/0000-0003-3470-2679; Novoa-Munoz, Juan Carlos/0000-0003-3062-4191; Nunez-Delgado, Avelino/0000-0001-5373-1606; Fernandez-Sanjurjo, Maria J./0000-0001-6728-7147; Arias-Estevez, Manuel/0000-0002-9162-1587; Paradelo Nunez, Remigio/0000-0002-4165-177X</t>
  </si>
  <si>
    <t>Spanish Ministry of Economy and Competitiveness [CGL2012-36805-C02-01, CGL2012-36805-C02-02]; European Regional Development Fund (ERDF) (FEDER in Spain); Juan de la Cierva post-doctoral contract [JCI-2012-11778]</t>
  </si>
  <si>
    <t>Spanish Ministry of Economy and Competitiveness(Spanish Government); European Regional Development Fund (ERDF) (FEDER in Spain)(Spanish Government); Juan de la Cierva post-doctoral contract</t>
  </si>
  <si>
    <t>This study was funded by the Spanish Ministry of Economy and Competitiveness by means of the research projects CGL2012-36805-C02-01 and CGL2012-36805-C02-02. It was also partially financed by the European Regional Development Fund (ERDF) (FEDER in Spain). Remigio Paradelo-Nunez holds a Juan de la Cierva post-doctoral contract (JCI-2012-11778).</t>
  </si>
  <si>
    <t>10.3390/ijerph121215016</t>
  </si>
  <si>
    <t>DA1EL</t>
  </si>
  <si>
    <t>WOS:000367539000057</t>
  </si>
  <si>
    <t>Englund, VPM; Heino, MP</t>
  </si>
  <si>
    <t>The freshwater mussel (Anodonta anatina) in monitoring of 2,4,6-trichlorophenol: Behaviour and environmental variation considered</t>
  </si>
  <si>
    <t>WATER MUSSEL; CHLORINATED PHENOLICS; DREISSENA-POLYMORPHA; DAPHNIA-MAGNA; ACCUMULATION; LAKES; DEPURATION; POLLUTION; QUANTITY; COPPER</t>
  </si>
  <si>
    <t>The effects of 2,4,6-trichlorophenol, humic acid and food particles (Selenastrum capricornotum) on the valve movements of Anodonta anatina were studied under laboratory conditions using a factorial experimental design. None of the treatments affected the average valve openness or the number of valve movements. 2,4,6-TCP affected the short-term variability of the valve openness, but ina way depending on the presence of humic acid and food particles. Humic acid increased the accumulation of 2,4,6-TCP, while the presence of food particles and the valve openness had no effect.</t>
  </si>
  <si>
    <t>HELSINKI UNIV,DEPT ECOL &amp; SYSTEMAT,DIV POPULAT BIOL,SF-00014 HELSINKI,FINLAND</t>
  </si>
  <si>
    <t>University of Helsinki</t>
  </si>
  <si>
    <t>Englund, VPM (corresponding author), DEPT BIOSCI,DIV ANIM PHYSIOL,POB 17,SF-00014 HELSINKI,FINLAND.</t>
  </si>
  <si>
    <t>Heino, Mikko/C-7241-2009</t>
  </si>
  <si>
    <t>Heino, Mikko/0000-0003-2928-3940</t>
  </si>
  <si>
    <t>10.1016/0045-6535(95)00333-9</t>
  </si>
  <si>
    <t>TT735</t>
  </si>
  <si>
    <t>WOS:A1996TT73500012</t>
  </si>
  <si>
    <t>Boldrocchi, G; Monticelli, D; Omar, YM; Bettinetti, R</t>
  </si>
  <si>
    <t>Boldrocchi, G.; Monticelli, D.; Omar, Y. Moussa; Bettinetti, R.</t>
  </si>
  <si>
    <t>Trace elements and POPs in two commercial shark species from Djibouti: Implications for human exposure</t>
  </si>
  <si>
    <t>Hammerhead shark; Milk shark; PCB; DDT; Gulf of Aden; Trace elements</t>
  </si>
  <si>
    <t>PERSISTENT ORGANIC POLLUTANTS; SCALLOPED HAMMERHEAD SHARK; GULF-OF-CALIFORNIA; POLYCHLORINATED-BIPHENYLS; SPHYRNA-LEWINI; HEAVY-METAL; MEDITERRANEAN SEA; ORGANOCHLORINE CONCENTRATIONS; SOUTHEASTERN COAST; MUSCLE-TISSUE</t>
  </si>
  <si>
    <t>Within Djibouti (Gulf of Aden), the scalloped hammerhead shark (Sphyrna lewini) and milk shark (Rhizoprionodon acutus) are important components of the artisanal fishery and they are caught to be exported or sold for local consumption. However, little scientific information exists on the contamination load of these species in this area of the world. With global populations of elasmobranchs in decline, understanding the extent of contaminant exposure is critical to future conservation as well as to assess the health risks for consumers of these species. The contaminants analyzed in this study comprised PCB, DDT and trace elements in livers, muscles and fins of both hammerhead sharks and milk sharks. The overall organochlorine compounds (OCs) and trace elements concentrations were similar among the two sharks' species and the pattern of PCB and DDT tissue distribution showed the highest burdens in livers compared with muscles and fins. However, the different accumulation profiles of OCs among shark species suggest species-specific accumulation of these contaminants. The p,p'DDE/Sigma DDT ratios were equal or slightly higher than the critic value of 0.6, suggesting possible recent inputs of technical DDT in the area. Concentration of trace elements from this study were generally comparable to those found in sharks from other areas of the world and, highlight the wide variation in metal concentrations between species, individuals and tissues. As far as Hg is concerned, scalloped hammerhead sharks showed higher accumulation in muscles compared with milk sharks. Both species showed elevated concentration of Se, which might be related to high Hg levels since Se inhibits Hg toxicity. The potential cancer risk for PCB, Cd, Ni, Cr and As fell within the range of 10(-6)-10(-4), suggesting some concerns for the overall contamination levels in both species. Indeed, consuming of fish involves a mixture of all analyzed elements, and therefore, some potential risk might arise from regularly consuming these species. (C) 2019 Published by Elsevier B.V.</t>
  </si>
  <si>
    <t>[Boldrocchi, G.; Bettinetti, R.] Univ Insubria, Dept Human Sci, Innovat &amp; Terr, Via Valleggio 11, I-22100 Como, Italy; [Monticelli, D.] Univ Insubria, Dept Sci &amp; High Technol, Via Valleggio 11, I-22100 Como, Italy; [Omar, Y. Moussa] Ctr Etud &amp; Rech Djibouti, Route Aeroport, Djibouti, Djibouti</t>
  </si>
  <si>
    <t>University of Insubria; University of Insubria</t>
  </si>
  <si>
    <t>Bettinetti, R (corresponding author), Univ Insubria, Dept Human Sci, Innovat &amp; Terr, Via Valleggio 11, I-22100 Como, Italy.</t>
  </si>
  <si>
    <t>roberta.bettinetti@uninsubria.it</t>
  </si>
  <si>
    <t>Bettinetti, Roberta/AAD-7072-2019; Boldrocchi, Ginevra/KSM-8483-2024; MONTICELLI, DAMIANO/I-3887-2012</t>
  </si>
  <si>
    <t>Boldrocchi, Ginevra/0000-0002-6827-4687; Bettinetti, Roberta/0000-0001-7481-6190; MONTICELLI, DAMIANO/0000-0001-9086-2760</t>
  </si>
  <si>
    <t>10.1016/j.scitotenv.2019.03.122</t>
  </si>
  <si>
    <t>WOS:000463663500061</t>
  </si>
  <si>
    <t>Iliff, SM; Wilczek, ER; Harris, RJ; Bouldin, R; Stoner, EW</t>
  </si>
  <si>
    <t>Iliff, Samantha M.; Wilczek, Eliza R.; Harris, Rachel J.; Bouldin, Ryan; Stoner, Elizabeth W.</t>
  </si>
  <si>
    <t>Evidence of microplastics from benthic jellyfish (Cassiopea xamachana) in Florida estuaries</t>
  </si>
  <si>
    <t>Anthropogenic debris; Hurricane; Upside-down jellyfish; Microfibers; Bioindicator</t>
  </si>
  <si>
    <t>UPSIDE-DOWN JELLYFISH; MARINE-ENVIRONMENT; GREEN MUSSEL; HEAVY-METALS; INGESTION; ACCUMULATION; ZOOPLANKTON; POLLUTION; POLLUTANTS; SEDIMENTS</t>
  </si>
  <si>
    <t>Plastic pollution is a concern in many nearshore ecosystems, and it is critical to understand how microplastics (plastics &lt; 5 mm in length) affect nearshore marine biota. Here, we report the presence of microplastics in the benthic, upside-down jellyfish (Cassiopea xamachana) across three estuaries in south Florida. Microplastics were recovered from Cassiopea using an acid digestion, then enumerated via microscopy, and identified using micro Fourier-transform interferometer (mu FTIR) analysis. Out of 115 specimens analyzed, 77% contained microplastics. Bell diameter and number of plastics per individual varied significantly across locations with the highest plastic densities and bell diameter observed in individuals from Big Pine Key, followed by Jupiter, and Sarasota. mu FTIR analysis confirmed that synthetic microfibers were the dominant microplastic measured at all three locations and may indicate Cassiopea as potential sinks of microplastic. Cassiopea may be used as bioindicators of microplastic contamination in the future, allowing for potential plastic pollution mitigation.</t>
  </si>
  <si>
    <t>[Iliff, Samantha M.] Univ Michigan, Dept Ecol &amp; Evolutionary Biol, 1105 N Univ Ave, Ann Arbor, MI 48109 USA; [Iliff, Samantha M.; Harris, Rachel J.] Florida Atlantic Univ, Harriet L Wilkes Honors Coll, 5353 Parkside Dr, Jupiter, FL 33458 USA; [Wilczek, Eliza R.; Bouldin, Ryan; Stoner, Elizabeth W.] Bentley Univ, Dept Nat &amp; Appl Sci, 175 Forest St, North Waltham, MA 02452 USA; [Harris, Rachel J.] WildPine Ecol Lab, Loxahatchee River Dist, 2500 Jupiter Pk Dr, Jupiter, FL 33458 USA</t>
  </si>
  <si>
    <t>University of Michigan System; University of Michigan; State University System of Florida; Florida Atlantic University; Bentley University</t>
  </si>
  <si>
    <t>Iliff, SM (corresponding author), Univ Michigan, Dept Ecol &amp; Evolutionary Biol, 1105 N Univ Ave, Ann Arbor, MI 48109 USA.</t>
  </si>
  <si>
    <t>siliff@umich.edu; wilczek_eliz@bentley.edu; rachel.harris@lrecd.org; rbouldin@bentley.edu; estoner@bentley.edu</t>
  </si>
  <si>
    <t>Bouldin, Ryan/I-4910-2019; Harris, Rachel/R-5903-2019</t>
  </si>
  <si>
    <t>Harris, Rachel Joy/0000-0001-5117-7592; Iliff, Samantha/0000-0002-3070-4565</t>
  </si>
  <si>
    <t>Bentley University; Jeanne &amp; Dan Valente Center for Arts Sciences; Loxahatchee River District</t>
  </si>
  <si>
    <t>This work was supported by Bentley University Faculty Competitive Grant, The Jeanne &amp; Dan Valente Center for Arts &amp; Sciences Undergraduate Research Assistantship and Travel Fund, and the Loxahatchee River District.</t>
  </si>
  <si>
    <t>10.1016/j.marpolbul.2020.111521</t>
  </si>
  <si>
    <t>NN3NN</t>
  </si>
  <si>
    <t>WOS:000568698200007</t>
  </si>
  <si>
    <t>Eça, GF; Pedreira, RMA; Hatje, V</t>
  </si>
  <si>
    <t>Eca, Gilmara F.; Pedreira, Rodrigo M. A.; Hatje, Vanessa</t>
  </si>
  <si>
    <t>Trace and major elements distribution and transfer within a benthic system: Polychaete Chaetopterus variopedatus, commensal crab Polyonyx gibbesi, worm tube, and sediments</t>
  </si>
  <si>
    <t>Benthic organisms; Bioaccumulation; Contamination; Transfer; Todos os Santos Bay</t>
  </si>
  <si>
    <t>OS-SANTOS BAY; METAL CONCENTRATIONS; HEAVY-METALS; ESTUARINE SYSTEM; BIOACCUMULATION; CONTAMINATION; AVAILABILITY; ACCUMULATION; ASSEMBLAGES; SHELLFISH</t>
  </si>
  <si>
    <t>Samples of the polychaete Chaetopterus variopedatus, worm tubes, commensal crab Polyonyx gibbesi and sediments were collected in eight sites in Todos os Santos Bay, Brazil, in order to evaluate the potential use of the polychaetes and crabs as biomonitors and to assess the relationships and accumulation of trace and major elements in different benthic compartments. Trace and major elements were determined by ICP OES. Organic carbon, total nitrogen and sulfur were determined by CNS elemental analyser. Tubes, crabs and polychaetes were important in the retention of trace and major elements. Metals that presented the highest accumulation in polychaetes (i.e. Mg &gt; Al &gt; Fe &gt; Zn &gt; Mn &gt; Co &gt; Cu &gt; Ba &gt; Cr) where the same for crabs (i.e. Mg &gt; Al &gt; Fe &gt; Mn &gt; Co &gt; Zn &gt; Cu &gt; Ba &gt; Cr). High concentrations of Al, Ba, Cr, Mn and Fe, from terrigenous sources, were observed in tubes, which presented accumulation factors up to 81.5 for Mn. Sedentary polychaetes are seen as good biomonitor alternatives for metal contamination studies, because they are one of the most abundant taxon in the benthic system, live in direct contact with sediments, are present in broad distributions and can also handle relatively high concentrations of metals ensuring chronic exposition. The possibility to work with not only the polychaete but also its tube offers advantages compared to bivalves that generally do not accumulate certain metals in very high levels. (C) 2013 Elsevier Ltd. All rights reserved.</t>
  </si>
  <si>
    <t>[Eca, Gilmara F.; Pedreira, Rodrigo M. A.; Hatje, Vanessa] Univ Fed Bahia, Inst Chem, BR-40170115 Salvador, BA, Brazil</t>
  </si>
  <si>
    <t>Hatje, V (corresponding author), Univ Calif Santa Cruz, Dept Ocean Sci, Santa Cruz, CA 95064 USA.</t>
  </si>
  <si>
    <t>vhatje@ucsc.edu</t>
  </si>
  <si>
    <t>Hatje, Vanessa/K-1317-2012</t>
  </si>
  <si>
    <t>Pedreira, Rodrigo/0000-0003-4502-1609</t>
  </si>
  <si>
    <t>FAPESB [CVN 0049/2008]; INCT de Energia e Ambiente (CNPq); CNPq; CAPES</t>
  </si>
  <si>
    <t>FAPESB(Fundacao de Amparo a Pesquisa do Estado da Bahia (FAPESB)); INCT de Energia e Ambiente (CNPq)(Conselho Nacional de Desenvolvimento Cientifico e Tecnologico (CNPQ)); CNPq(Conselho Nacional de Desenvolvimento Cientifico e Tecnologico (CNPQ)); CAPES(Coordenacao de Aperfeicoamento de Pessoal de Nivel Superior (CAPES))</t>
  </si>
  <si>
    <t>The authors would like to thank the colleagues of the laboratory of Chemical Oceanography for their help in field work, Luiza Ribeiro (polychaete identification) and Gabriel Barros (crab identification). This work was financially supported by FAPESB (CVN 0049/2008) and INCT de Energia e Ambiente (CNPq). V. Hatje and G.F. Eca were sponsored by CNPq and CAPES, respectively.</t>
  </si>
  <si>
    <t>10.1016/j.marpolbul.2013.07.036</t>
  </si>
  <si>
    <t>WOS:000326211600017</t>
  </si>
  <si>
    <t>Hartard, C; Banas, S; Loutreul, J; Rincé, A; Benoit, F; Boudaud, N; Gantzer, C</t>
  </si>
  <si>
    <t>Hartard, C.; Banas, S.; Loutreul, J.; Rince, A.; Benoit, F.; Boudaud, N.; Gantzer, C.</t>
  </si>
  <si>
    <t>Relevance of F-Specific RNA Bacteriophages in Assessing Human Norovirus Risk in Shellfish and Environmental Waters</t>
  </si>
  <si>
    <t>COMMERCIAL HARVESTING AREAS; WASTE-WATER; FECAL CONTAMINATION; ENTERIC VIRUSES; VIRAL CONTAMINATION; HUMAN ADENOVIRUSES; ESCHERICHIA-COLI; BIVALVE MOLLUSKS; OYSTERS; INDICATOR</t>
  </si>
  <si>
    <t>Human noroviruses (HuNoVs) are the main cause of shellfish-borne gastroenteritis outbreaks. In the absence of routine technical approaches allowing infectious particles to be detected, this viral pathogen is currently targeted by genome research, leading to difficult interpretations. In this study, we investigated the potential of F-specific RNA bacteriophages (FRNAPH) as fecal and viral contamination indicators in shellfish and water from a local harvesting area. FRNAPH were also used as microbial source tracking tools. Constraints imposed by detection limits are illustrated here by the detection of infectious FRNAPH in several samples in the absence of FRNAPH genomes. The opposite situation was also observed, likely explained by the persistence of the genomes being greater than infectivity. Similar considerations may be applied to HuNoVs, suggesting that HuNoV genome targeting is of limited relevance in assessing infectious risks. While FRNAPH did not provide any benefits compared to Escherichia coli as fecal pollution indicators in water, novel observations were made in shellfish: contrary to E. coli, a seasonal trend of infectious FRNAPH concentrations was observed. These concentrations were higher than those found in water, confirming bioaccumulation in shellfish. This study also underlines a relationship between the presence of HuNoV genomes and those of human-specific FRNAPH subgroup II (FRNAPH-II) in shellfish collected throughout Europe. Further research should be undertaken to evaluate FRNAPH potential as an indicator of the presence of infectious HuNoVs. To this end, shellfish involved in HuNoV-caused gastroenteritis outbreaks should be analyzed for the presence of infectious FRNAPH-II. IMPORTANCE This work provides new data about the use of F-specific RNA phages (FRNAPH) as a tool for evaluating fecal or viral contamination, especially in shellfish. In our case study, FRNAPH did not provide any benefits compared to E. coli as fecal pollution indicators in water but were found to be very useful in shellfish. Their concentrations in shellfish were higher than those found in the surrounding water, confirming bioaccumulation. This study also underlines a relationship between the presence of human norovirus genomes (HuNoVs) and those of FRNAPH subgroup II (FRNAPH-II). Considering that the two virus types have similar behaviors and since FRNAPH infectivity can be investigated, the specific detection of infectious FRNAPH-II could be regarded as an indication of the presence of infectious HuNoVs. The contribution of infectious human FRNAPH targeting for assessing the viral risk associated with HuNoVs in shellfish should thus be investigated.</t>
  </si>
  <si>
    <t>[Hartard, C.; Banas, S.; Gantzer, C.] Univ Lorraine, Fac Pharm, UMR 7564, LCPME, Nancy, France; [Hartard, C.; Banas, S.; Gantzer, C.] CNRS, UMR 7564, LCPME, Nancy, France; [Hartard, C.; Banas, S.; Gantzer, C.] Univ Lorraine, Inst Jean Barriol, Fac Sci &amp; Technol, Vandoeuvre Les Nancy, France; [Loutreul, J.; Boudaud, N.] Actalia, Food Safety Dept, St Lo, France; [Rince, A.] Normandie Univ, UNICAEN, U2RM, Caen, France; [Benoit, F.] LABEO Manche, St Lo, France</t>
  </si>
  <si>
    <t>Universite de Lorraine; Centre National de la Recherche Scientifique (CNRS); CNRS - Institute of Chemistry (INC); Universite de Lorraine; Centre National de la Recherche Scientifique (CNRS); CNRS - Institute of Chemistry (INC); CHU de Nancy; Universite de Lorraine; Universite de Caen Normandie</t>
  </si>
  <si>
    <t>Gantzer, C (corresponding author), Univ Lorraine, Fac Pharm, UMR 7564, LCPME, Nancy, France.;Gantzer, C (corresponding author), CNRS, UMR 7564, LCPME, Nancy, France.;Gantzer, C (corresponding author), Univ Lorraine, Inst Jean Barriol, Fac Sci &amp; Technol, Vandoeuvre Les Nancy, France.</t>
  </si>
  <si>
    <t>Rince, Alain/AAD-5482-2019; Boudaud, Nicolas/KEJ-0492-2024</t>
  </si>
  <si>
    <t>Rince, Alain/0000-0002-0165-7288</t>
  </si>
  <si>
    <t>Seine Normandy Water Agency; Institut Carnot Energie et Environnement en Lorraine</t>
  </si>
  <si>
    <t>This work was funded by the Seine Normandy Water Agency and by Institut Carnot Energie et Environnement en Lorraine.</t>
  </si>
  <si>
    <t>10.1128/AEM.01528-16</t>
  </si>
  <si>
    <t>DU9KF</t>
  </si>
  <si>
    <t>WOS:000382535000023</t>
  </si>
  <si>
    <t>Boldrocchi, G; Spanu, D; Mazzoni, M; Omar, M; Baneschi, I; Boschi, C; Zinzula, L; Bettinetti, R; Monticelli, D</t>
  </si>
  <si>
    <t>Boldrocchi, G.; Spanu, D.; Mazzoni, M.; Omar, M.; Baneschi, I; Boschi, C.; Zinzula, L.; Bettinetti, R.; Monticelli, D.</t>
  </si>
  <si>
    <t>Bioaccumulation and biomagnification in elasmobranchs: A concurrent assessment of trophic transfer of trace elements in 12 species from the Indian Ocean</t>
  </si>
  <si>
    <t>Sharks; Metals; Tissues; Contaminants; Trophic web; Trophic position</t>
  </si>
  <si>
    <t>PERSISTENT ORGANIC POLLUTANTS; SHARK PRIONACE-GLAUCA; GULF-OF-CALIFORNIA; MUSCLE-TISSUE; STABLE-ISOTOPES; TOTAL MERCURY; SPHYRNA-LEWINI; SOMNIOSUS-MICROCEPHALUS; METAL CONCENTRATIONS; FEEDING ECOLOGY</t>
  </si>
  <si>
    <t>We provided the first multi-species study investigating the presence and organotropism of trace elements in three tissues of 12 elasmobranch species. Shark species showed comparable TE loads, although milk sharks and juvenile scalloped hammerhead sharks exhibited the highest Cd and Hg levels, respectively. Fins accumulated higher levels of Pb, Co, and Cr; muscles higher V, As, and Hg; livers higher Se and Cd levels. The organotropism of TEs calls for cautious when choosing a tissue to be sampled since certain tissues, like fin clips, do not provide reliable surrogate for the internal loads of some TEs. Strong correlations between essential and toxic TEs indicated detoxification mechanisms, while the TMF provided evidence for Hg, As and Se biomagnification along the food-web. Considering the difficulties in assessing elasmobranchs contamination from different areas, the proposed multi-species approach represents a valuable way to estimate the species-specific accumulation and transfer of pollutants in sharks.</t>
  </si>
  <si>
    <t>[Boldrocchi, G.; Mazzoni, M.; Bettinetti, R.] Univ Insubria, Dept Human Sci Innovat &amp; Terr, Via Valleggio 11, Como, Italy; [Spanu, D.; Monticelli, D.] Univ Insubria, Dept Sci &amp; High Technol, Via Valleggio 11, Como, Italy; [Omar, M.] Ctr Etud &amp; Rech Djibouti, Route Aeroport, Djibouti, Djibouti; [Baneschi, I; Boschi, C.] Natl Res Council Italy, Inst Geosci &amp; Earth Resources, Pisa, Italy; [Zinzula, L.] Ctr Educ Ambientale &amp; Sostenibilita Laguna Nora, Pula, CA, Italy</t>
  </si>
  <si>
    <t>University of Insubria; University of Insubria; Consiglio Nazionale delle Ricerche (CNR); Istituto di Geoscienze e Georisorse (IGG-CNR)</t>
  </si>
  <si>
    <t>Boldrocchi, G; Bettinetti, R (corresponding author), Univ Insubria, Dept Human Sci Innovat &amp; Terr, Via Valleggio 11, Como, Italy.;Monticelli, D (corresponding author), Univ Insubria, Dept Sci &amp; High Technol, Via Valleggio 11, Como, Italy.</t>
  </si>
  <si>
    <t>gboldrocchi@uninsubria.it; roberta.bettinetti@uninsubria.it; damiano.monticelli@uninsubria.it</t>
  </si>
  <si>
    <t>Bettinetti, Roberta/AAD-7072-2019; Boldrocchi, Ginevra/KSM-8483-2024; Spanu, Davide/ABB-9943-2020; Baneschi, Ilaria/AAC-1935-2021; MONTICELLI, DAMIANO/I-3887-2012; Boschi, Chiara/HCH-2547-2022</t>
  </si>
  <si>
    <t>Bettinetti, Roberta/0000-0001-7481-6190; Zinzula, Luca/0000-0001-6489-7070; MONTICELLI, DAMIANO/0000-0001-9086-2760; Boldrocchi, Ginevra/0000-0002-6827-4687; Boschi, Chiara/0000-0001-8972-4432; Spanu, Davide/0000-0001-7948-2839</t>
  </si>
  <si>
    <t>10.1016/j.marpolbul.2021.112853</t>
  </si>
  <si>
    <t>UY7DK</t>
  </si>
  <si>
    <t>WOS:000701679700010</t>
  </si>
  <si>
    <t>Bissett, W; Smith, R; Adams, LG; Field, R; Moyer, W; Phillips, T; Scott, HM; Wade, T; Sweet, S; Thompson, JA</t>
  </si>
  <si>
    <t>Bissett, Wesley, Jr.; Smith, Roger; Adams, L. Garry; Field, Robert; Moyer, William; Phillips, Tim; Scott, H. Morgan; Wade, Terry; Sweet, Stephen; Thompson, James A.</t>
  </si>
  <si>
    <t>An evaluation of the health status of the Lavaca Bay, Texas ecosystem using Crassostrea virginica as the sentinel species</t>
  </si>
  <si>
    <t>Genotoxicity; Flow cytometry; Bayesian spatio-temporal analysis; Sentinel species; Lysosomal destabilization assay</t>
  </si>
  <si>
    <t>CHROMOSOMAL DAMAGE; CONTAMINATED SITES; MERCURY; GENOTOXICITY; AZERBAIJAN; TOXICITY; PATTERNS; EXPOSURE; OYSTERS; MUSSELS</t>
  </si>
  <si>
    <t>Locational risks for compromised ecosystem health for the eastern oysters (Crassostrea virginica) harvested from Lavaca Bay, Texas were estimated. Flow cytometric evaluation of variations in DNA content and the lysosomal destabilization assay were used for evaluation of genotoxicity and stress, respectively. Bayesian geo-statistical methods were utilized to estimate and evaluate spatial effects. For models with spatial risks, continuous surface maps of predicted parameter values were created to evaluate risk location. Lysosomal destabilization assay results were spatially oriented whereas flow cytometry results were fit best with the random effects model. While not spatially oriented, the highest levels of variations in DNA content were also present near industrial facilities. Locational risks of increased biomarkers of genotoxicity and stress in the eastern oyster (Crassostrea virginica) were increased with proximity to industrial facilities (C) 2008 Elsevier Ltd. All rights reserved.</t>
  </si>
  <si>
    <t>[Bissett, Wesley, Jr.; Field, Robert; Moyer, William; Thompson, James A.] Texas A&amp;M Univ, Coll Vet Med, Dept Large Anim Clin Sci, College Stn, TX 77843 USA; [Smith, Roger; Adams, L. Garry] Texas A&amp;M Univ, Coll Vet Med, Dept Vet Pathobiol, College Stn, TX 77843 USA; [Phillips, Tim; Scott, H. Morgan] Texas A&amp;M Univ, Coll Vet Med, Dept Vet Integrat Biosci, College Stn, TX 77843 USA; [Wade, Terry; Sweet, Stephen] Texas A&amp;M Univ, Coll Geosci, Geochem &amp; Environm Res Grp, College Stn, TX 77843 USA</t>
  </si>
  <si>
    <t>Bissett, W (corresponding author), Texas A&amp;M Univ, Coll Vet Med, Dept Large Anim Clin Sci, 4475 TAMU, College Stn, TX 77843 USA.</t>
  </si>
  <si>
    <t>Smith, Roger/C-8685-2013; Scott, Harvey/ABC-9935-2020; Wade, Terry/A-4012-2012</t>
  </si>
  <si>
    <t>Smith, Roger/0000-0001-5645-8422; Scott, Harvey/0000-0002-0538-5961; Sweet, Stephen/0000-0002-1441-8198</t>
  </si>
  <si>
    <t>10.1016/j.marpolbul.2008.09.014</t>
  </si>
  <si>
    <t>422IQ</t>
  </si>
  <si>
    <t>WOS:000264421400025</t>
  </si>
  <si>
    <t>Llobet, JM; Falcó, G; Bocio, A; Domingo, JL</t>
  </si>
  <si>
    <t>Llobet, Juan M.; Falco, Gemma; Bocio, Ana; Domingo, Jose L.</t>
  </si>
  <si>
    <t>Exposure to polycyclic aromatic hydrocarbons through consumption of edible marine species in Catalonia, Spain</t>
  </si>
  <si>
    <t>ESTIMATED DIETARY-INTAKE; POLYCHLORINATED-BIPHENYLS; COLORECTAL ADENOMA; DIPHENYL ETHERS; FOODS; HEALTH; RISK; POPULATION; POLLUTION; CADMIUM</t>
  </si>
  <si>
    <t>The concentrations of 16 polycyclic aromatic hydrocarbons (PAHs; naphthalene, acenaphtylene, acenaphtene, fluorene, phenanthrene, anthracene, fluoranthene, pyrene, benzo[a]anthracene, chrysene, benzo[b]fluoranthene, benzo[k]fluoranthene, benzo[a]pyrene, indeno[1,2,3-c,d]pyrene, dibenzo[a,h]anthracene, and benzo[g,h,i]perylene) were determined by gas chromatography-mass spectrometry in samples of 14 edible marine species (sardine, tuna, anchovy, mackerel, swordfish, salmon, hake, red mullet, sole, cuttlefish, squid, clam, mussel, and shrimp) collected in March and April 2005. These species are widely consumed by the population of Catalonia, Spain. PAH intake was also estimated for eight age and sex groups of this population. Mussel, clam, and shrimp had the highest PAH concentrations (22.4, 21.5, and 15.9 ng/g of fresh weight, respectively). In contrast, sole (2.5 ng/g of fresh weight) and cuttlefish and squid (both 3.0 ng/g of fresh weight) had the lowest mean concentrations. The highest PAH intake was found in women and girls (5.3 and 5.2 ng/kg/day, respectively), but female adolescents and female seniors had the lowest PAH intakes (3.3 ng/kg/day in both groups). The intake of benzo[a]pyrene and six other PAHs that are probably human carcinogens through consumption of these marine species would be associated with 0.27/10(6) increase in the risk of development of cancer over a 70-year life span.</t>
  </si>
  <si>
    <t>Univ Rovira &amp; Virgili, Sch Med, Lab Toxicol &amp; Environm Hlth, E-43201 Reus, Spain; Univ Barcelona, Sch Pharm, Toxicol Unit, E-08028 Barcelona, Spain</t>
  </si>
  <si>
    <t>Universitat Rovira i Virgili; University of Barcelona</t>
  </si>
  <si>
    <t>Domingo, JL (corresponding author), Univ Rovira &amp; Virgili, Sch Med, Lab Toxicol &amp; Environm Hlth, C St Llorenc 21, E-43201 Reus, Spain.</t>
  </si>
  <si>
    <t>joseluis.domingo@urv.net</t>
  </si>
  <si>
    <t>Domingo, Jose/E-8327-2014; Llobet, Juan/F-7775-2016</t>
  </si>
  <si>
    <t>Falco Alay, Gemma/0000-0003-4303-078X; Domingo, Jose L/0000-0001-6647-9470</t>
  </si>
  <si>
    <t>10.4315/0362-028X-69.10.2493</t>
  </si>
  <si>
    <t>092VC</t>
  </si>
  <si>
    <t>WOS:000241124400027</t>
  </si>
  <si>
    <t>Yavuz, Y; Ozen, DO; Erol, ZY; Goren, H; Yilmaz, B</t>
  </si>
  <si>
    <t>Yavuz, Yavuz; Ozen, Deniz Oyku; Erol, Zehra Yagmur; Goren, Habibe; Yilmaz, Bayram</t>
  </si>
  <si>
    <t>Effects of endocrine disruptors on the electrical activity of leptin receptor neurons in the dorsomedial hypothalamus and anxiety-like behavior in male mice</t>
  </si>
  <si>
    <t>p?-DDT; TBT; Leptin receptor neurons; Electrophysiology; Locomotor activity; Anxiety-like behavior</t>
  </si>
  <si>
    <t>POLYCHLORINATED-BIPHENYLS; BONE TURNOVER; TRIBUTYLTIN; EXPOSURE; STRESS; CIRCUITS; OBESITY; RATS; AROCLOR-1254; ASSOCIATION</t>
  </si>
  <si>
    <t>There is increasing concern about the effects of endocrine disrupting chemicals (EDCs) on human health. Recently, some EDCs are suggested to affect energy metabolism leading to increased risk of obesity. Obesogenic effects of some EDCs on adipogenesis have been reported, however, there is no study examining their potential actions on the brain circuits controlling feeding and metabolism. We have investigated effects of tributyltin (TBT) and dichlorodiphenyltrichloroethane (p,p'-DDT) on electrical activity on dorsomedial hypothalamic leptin re-ceptor neurons (DMHLepR), morphological adaptations in neuronal anatomy of DMHLepR, locomotion, and anxiety-like behaviors in mice. Twenty-three Lep-Cre transgenic mice were intracranially injected with GFP virus. Control animals received intraperitoneal corn oil alone while group 2 and 3 received TBT (25 mu g/kg) and p, p'-DDT (2 mg/kg) for one month. Locomotor activity and anxiety-like behavior of the animals were determined by open field test. Electrophysiological effects of TBT and p,p'-DDT on DMHLepR neurons were determined by patch clamp method. Neuronal anatomy was determined by confocal microscopy. Spontaneous firing frequency of DMHLepR neurons of TBT group of mice was significantly higher than both p,p'-DDT and control groups (p &lt; 0.01). TBT and p,p'-DDT significantly decreased frequency of the spontaneous inhibitory post-synaptic currents to DMHLepR neurons compared to the control group (p &lt; 0.05). The time spent in the center and the number of entrances to the center by the TBT-administered mice were significantly lower than other groups (p &lt; 0.01). The total distance traveled and mean speed of the control group of mice were significantly higher than the p,p'-DDT-and TBT-administered animals (p &lt; 0.0001). c-Fos activity of the p,p'-DDT-and TBT-administered animals were significantly elevated compared to the control group (p &lt; 0.001), while no change in the number of dendritic spines were observed. In conclusion, this study demonstrates that exposure to TBT and p,p'-DDT alters electrical activity in DMHLepR neurons and behavioral state in mice.</t>
  </si>
  <si>
    <t>[Yavuz, Yavuz; Ozen, Deniz Oyku; Erol, Zehra Yagmur; Goren, Habibe; Yilmaz, Bayram] Yeditepe Univ, Fac Med, Dept Physiol, Istanbul, Turkiye</t>
  </si>
  <si>
    <t>Yeditepe University</t>
  </si>
  <si>
    <t>Yilmaz, B (corresponding author), Yeditepe Univ, Fac Med, Dept Physiol, Istanbul, Turkiye.</t>
  </si>
  <si>
    <t>yavuzyavuz1712@gmail.com; byilmaz@yeditepe.edu.tr</t>
  </si>
  <si>
    <t>Erol, Zehra/KAM-4693-2024; Yilmaz, Bayram/IXD-3395-2023</t>
  </si>
  <si>
    <t>EROL, Zehra Yagmur/0000-0002-8856-8842; Yilmaz, Bayram/0000-0002-2674-6535; YAVUZ, YAVUZ/0000-0002-2211-9665</t>
  </si>
  <si>
    <t>10.1016/j.envpol.2023.121366</t>
  </si>
  <si>
    <t>D0NX1</t>
  </si>
  <si>
    <t>WOS:000965791100001</t>
  </si>
  <si>
    <t>Reid, AJM; Budge, SM</t>
  </si>
  <si>
    <t>Reid, Anna-Jean M.; Budge, Suzanne M.</t>
  </si>
  <si>
    <t>Identification of unresolved complex mixtures (UCMs) of hydrocarbons in commercial fish oil supplements</t>
  </si>
  <si>
    <t>unresolved complex mixture; petrogenic hydrocarbons; salmon oil; dietary supplements; fish oil refining</t>
  </si>
  <si>
    <t>MUSSEL MYTILUS-EDULIS; AROMATIC-HYDROCARBONS; PETROLEUM-HYDROCARBONS; ALIPHATIC-HYDROCARBONS; GAS-CHROMATOGRAPHY; SEDIMENTS; METABOLISM; POLLUTANTS; TOXICITY; RELEASE</t>
  </si>
  <si>
    <t>BACKGROUNDHeightened awareness of the health benefits of fish oil consumption has led to a great increase in the number of fish oil supplements available to the consumer. Therefore manufacturers are continually looking for ways to distinguish their products from those of competitors. Minimally refined or virgin fish oils provide a unique feature; however, petroleum hydrocarbon contamination from oil spills is a reality in the world's oceans. The question arises whether oil produced from fish species caught in these polluted areas is free of petroleum hydrocarbons, with particular interest in unresolved complex mixtures (UCMs). This study investigates the presence of UCMs in commercially available fish oil supplements advertised as being virgin, as well as refined. RESULTSWeathered petroleum hydrocarbons in the form of a UCM were found at 523 mu g g(-1) in a virgin Alaskan salmon oil supplement. Supplements that were refined were free of this contamination. CONCLUSIONFish used in the production of fish oil supplements appear to have accumulated petrogenic hydrocarbons in their tissues which were not removed by minimal oil refining. Further study is required to determine if there are any health implications associated with long-term consumption of these contaminated supplements. (c) 2014 Society of Chemical Industry</t>
  </si>
  <si>
    <t>[Reid, Anna-Jean M.; Budge, Suzanne M.] Dalhousie Univ, Dept Proc Engn &amp; Appl Sci, Halifax, NS B3H 4R2, Canada</t>
  </si>
  <si>
    <t>Reid, AJM (corresponding author), Dalhousie Univ, Dept Proc Engn &amp; Appl Sci, 1360 Barrington St,POB 15000, Halifax, NS B3H 4R2, Canada.</t>
  </si>
  <si>
    <t>anna-jean.reid@dal.ca</t>
  </si>
  <si>
    <t>Budge, Suzanne/0000-0003-4984-7344</t>
  </si>
  <si>
    <t>10.1002/jsfa.6741</t>
  </si>
  <si>
    <t>AU8JP</t>
  </si>
  <si>
    <t>WOS:000345842900025</t>
  </si>
  <si>
    <t>Ma, C; Stelzenmueller, V; Rehren, J; Yu, J; Zhang, ZW; Zheng, H; Lin, L; Yang, HC; Jin, YH</t>
  </si>
  <si>
    <t>Ma, Chen; Stelzenmueller, Vanessa; Rehren, Jennifer; Yu, Jing; Zhang, Zhiwei; Zheng, Hao; Lin, Lu; Yang, Hee-Cheol; Jin, Yinhuan</t>
  </si>
  <si>
    <t>A risk-based approach to cumulative effects assessment for large marine ecosystems to support transboundary marine spatial planning: A case study of the yellow sea</t>
  </si>
  <si>
    <t>DPSI model; Network analysis; Risk identification; Spatially explicit risk analysis; Transboundary cooperation; China and South Korea</t>
  </si>
  <si>
    <t>MANAGEMENT; IMPACT; PRINCIPLES; CHALLENGES; PROTECTION; FRAMEWORK</t>
  </si>
  <si>
    <t>Cumulative effects assessment (CEA) should be conducted at ecologically meaningful scales such as large marine ecosystems to halt further ocean degradation caused by anthropogenic pressures and facilitate ecosystem-based management such as transboundary marine spatial planning (MSP). However, few studies exist at large marine ecosystems scale, especially in the West Pacific seas, where countries have different MSP processes yet trans-boundary cooperation is paramount. Thus, a step-wise CEA would be informative to help bordering countries set a common goal. Building on the risk-based CEA framework, we decomposed CEA into risk identification and spatially-explicit risk analysis and applied it to the Yellow Sea Large Marine Ecosystem (YSLME), aiming to understand the most influential cause-effect pathways and risk distribution pattern. The results showed that (1) seven human activities including port, mariculture, fishing, industry and urban development, shipping, energy, and coastal defence, and three pressures including physical loss of seabed, input of hazardous substances, ni-trogen, and phosphorus enrichment were the leading causes of environmental problems in the YSLME; (2) benthic organisms, fishes, algae, tidal flats, seabirds, and marine mammals were the most vulnerable ecosystem components on which cumulative effects acted; (3) areas with relatively high risk mainly concentrated on nearshore zones, especially Shandong, Liaoning, and northern Jiangsu, while coastal bays of South Korea also witnessed high risk; (4) certain risks could be observed in the transboundary area, of which the causes were the pervasive fishing, shipping, and sinking of pollutants in this area due to the cyclonic circulation and fine-grained sediments. In future transboundary cooperation on MSP, risk criteria and evaluation of existing management measures should be incorporated to determine whether the identified risk has exceeded the acceptable level and identify the next step of cooperation. Our study presents an example of CEA at large marine ecosystems scale and provides a reference to other large marine ecosystems in the West Pacific and elsewhere.</t>
  </si>
  <si>
    <t>[Ma, Chen; Yu, Jing] Ocean Univ China, Coll Ocean &amp; Atmospher Sci, Qingdao 266100, Peoples R China; [Ma, Chen; Stelzenmueller, Vanessa; Rehren, Jennifer; Yu, Jing] Thunen Inst Sea Fisheries, D-27572 Bremerhaven, Germany; [Yu, Jing] Ocean Univ China, Inst Marine Dev, Qingdao 266100, Peoples R China; [Zhang, Zhiwei] Minist Nat Resources, Inst Oceanog 1, Qingdao 266001, Peoples R China; [Zheng, Hao] Ocean Univ China, Coll Environm Sci &amp; Engn, Qingdao 266100, Peoples R China; [Lin, Lu] China Univ Petr, Sch Econ &amp; Management, Beijing 102249, Peoples R China; [Yang, Hee-Cheol; Jin, Yinhuan] Korea Inst Ocean Sci &amp; Technol, Ocean Law &amp; Policy Inst, Busan 49111, South Korea</t>
  </si>
  <si>
    <t>Ocean University of China; Johann Heinrich von Thunen Institute; Ocean University of China; Ministry of Natural Resources of the People's Republic of China; First Institute of Oceanography, Ministry of Natural Resources; Ocean University of China; China University of Petroleum; Korea Institute of Ocean Science &amp; Technology (KIOST)</t>
  </si>
  <si>
    <t>Yu, J (corresponding author), Ocean Univ China, Coll Ocean &amp; Atmospher Sci, Qingdao 266100, Peoples R China.;Zhang, ZW (corresponding author), Minist Nat Resources, Inst Oceanog 1, Qingdao 266001, Peoples R China.</t>
  </si>
  <si>
    <t>by6801@ouc.edu.cn; zzw@fio.org.cn</t>
  </si>
  <si>
    <t>Zheng, Hao/AAB-1916-2021; Zheng, Hao/R-7048-2016</t>
  </si>
  <si>
    <t>Rehren, Jennifer/0000-0002-0889-0699; Stelzenmuller, Vanessa/0000-0002-6419-8357; Zheng, Hao/0000-0003-4311-5185</t>
  </si>
  <si>
    <t>Project of China -Korea Joint Ocean Research Center [PI -2022-3-01]; German Federal Ministry of Education and Research [03F0862D]; China Scholarship Council [202106330035]</t>
  </si>
  <si>
    <t>Project of China -Korea Joint Ocean Research Center; German Federal Ministry of Education and Research(Federal Ministry of Education &amp; Research (BMBF)); China Scholarship Council(China Scholarship Council)</t>
  </si>
  <si>
    <t>We would like to thank all contributors and funders that made this study possible. This work was supported by the Project of China -Korea Joint Ocean Research Center [grant number PI -2022-3-01] , MuSSeL project funded by the German Federal Ministry of Education and Research [grant number 03F0862D] , and the China Scholarship Council [grant number 202106330035] . We also gratefully acknowledge Hon- ghao Tang, Jonas Letschert, and Arjay Cayetano for their help in the data processing. Our sincere gratitude also goes to the anonymous reviewers for their insightful comments.</t>
  </si>
  <si>
    <t>10.1016/j.jenvman.2023.118165</t>
  </si>
  <si>
    <t>J0TM9</t>
  </si>
  <si>
    <t>WOS:001006817100001</t>
  </si>
  <si>
    <t>Shumway, SE; Allen, SM; Boersma, PD</t>
  </si>
  <si>
    <t>Marine birds and harmful algal blooms: sporadic victims or under-reported events?</t>
  </si>
  <si>
    <t>bird; harmful algal blooms; red tides</t>
  </si>
  <si>
    <t>SOMATERIA-MOLLISSIMA; MYTILUS-EDULIS; COMMON EIDERS; RED-TIDE; MORTALITY; SEA; SELECTION; SEABIRDS; MUSSELS; DEATHS</t>
  </si>
  <si>
    <t>From the late Pliocene to now, blooms of toxic algae are associated with mortalities of marine birds. Given the long historical presence of harmful algal blooms (HABs) worldwide and the numbers of seabirds that feed on filter-feeding fish and shellfish, it is surprising that relatively few incidents of seabird deaths as a result of toxic algae have been reported. The limited information available tends to come from major events, whereas the rare events are missed and hence not reported. Much is anecdotal and still more probably is not published. We suspect that factors working in concert may lead to deaths and wrecks that might not occur as a result of anyone factor working independently, e.g. starvation tends to render birds more vulnerable to stress. Seabird wrecks, very much larger than usual concentration of seabird corpses washed ashore over a short period of time, often provide evidence of deleterious conditions in offshore populations, e.g. weather, food, pollution, fishing activities, and parasites. It is noted in the literature that wrecks caused by natural toxins such as botulism and algal toxins are apparently less common; however, this perception may be due to a combination of factors including the bird species involved, size of populations, location, and chance of discovery. Wrecks involving near-shore species probably provide a more accurate estimate of total mortality for any given event than offshore species. A survey of available data on the impacts of toxic algae on seabirds revealed an array of responses ranging from reduced feeding activity, inability to lay eggs, and loss of motor coordination to death. Severe impacts on recruitment have been noted in some populations. There are few experimental studies; however, evidence has been provided for the ability of some species to 'learn' to avoid toxic food sources. We present a summary of available data on seabird/toxic algal interactions and suggestions of how impacts on seabirds during future blooms of harmful algae be recorded. (C) 2003 Elsevier Science B.V. All rights reserved.</t>
  </si>
  <si>
    <t>Univ Connecticut, Dept Marine Sci, Groton, CT 06340 USA; Med Univ S Carolina, Grice Marine Lab, Charleston, SC 29425 USA; Univ Washington, Dept Zool, Seattle, WA 98195 USA</t>
  </si>
  <si>
    <t>University of Connecticut; Medical University of South Carolina; University of Washington; University of Washington Seattle</t>
  </si>
  <si>
    <t>Univ Connecticut, Dept Marine Sci, 1080 Shennecossett Rd, Groton, CT 06340 USA.</t>
  </si>
  <si>
    <t>sandra.shumway@uconn.edu</t>
  </si>
  <si>
    <t>10.1016/S1568-9883(03)00002-7</t>
  </si>
  <si>
    <t>812UM</t>
  </si>
  <si>
    <t>WOS:000220864400001</t>
  </si>
  <si>
    <t>Daley, K; Jamieson, R; Rainham, D; Hansen, LT</t>
  </si>
  <si>
    <t>Daley, Kiley; Jamieson, Rob; Rainham, Daniel; Hansen, Lisbeth Truelstrup</t>
  </si>
  <si>
    <t>Wastewater treatment and public health in Nunavut: a microbial risk assessment framework for the Canadian Arctic</t>
  </si>
  <si>
    <t>Conceptual model; Environmental exposures; Indigenous health; Inuit; Quantitative microbial risk assessment (QMRA); Rural health; Water; Sanitation; and Hygiene (WASH); Wastewater</t>
  </si>
  <si>
    <t>ACUTE GASTROINTESTINAL ILLNESS; MUSSELS MYTILUS-EDULIS; DRINKING-WATER; MICROBIOLOGICAL QUALITY; PERFORMANCE ASSESSMENT; STABILIZATION PONDS; TREATMENT WETLANDS; CLIMATE-CHANGE; PATHOGENS; IMPACTS</t>
  </si>
  <si>
    <t>Wastewater management in Canadian Arctic communities is influenced by several geographical factors including climate, remoteness, population size, and local food-harvesting practices. Most communities use trucked collection services and basic treatment systems, which are capable of only low-level pathogen removal. These systems are typically reliant solely on natural environmental processes for treatment and make use of existing lagoons, wetlands, and bays. They are operated in a manner such that partially treated wastewater still containing potentially hazardous microorganisms is released into the terrestrial and aquatic environment at random times. Northern communities rely heavily on their local surroundings as a source of food, drinking water, and recreation, thus creating the possibility of human exposure to wastewater effluent. Human exposure to microbial hazards present in municipal wastewater can lead to acute gastrointestinal illness or more severe disease. Although estimating the actual disease burdens associated with wastewater exposures in Arctic communities is challenging, waterborne- and sanitation-related illness is believed to be comparatively higher than in other parts of Canada. This review offers a conceptual framework and evaluation of current knowledge to enable the first microbial risk assessment of exposure scenarios associated with food-harvesting and recreational activities in Arctic communities, where simplified wastewater systems are being operated.</t>
  </si>
  <si>
    <t>[Daley, Kiley] Dalhousie Univ, Ctr Water Resources Studies, Halifax, NS, Canada; [Jamieson, Rob] Dalhousie Univ, Dept Proc Engn &amp; Appl Sci, Halifax, NS, Canada; [Rainham, Daniel] Dalhousie Univ, Environm Sci Program, Halifax, NS, Canada; [Hansen, Lisbeth Truelstrup] Tech Univ Denmark, Natl Food Inst, Lyngby, Denmark</t>
  </si>
  <si>
    <t>Dalhousie University; Dalhousie University; Dalhousie University; Technical University of Denmark</t>
  </si>
  <si>
    <t>Daley, K (corresponding author), Dalhousie Univ, Ctr Water Resources Studies, Halifax, NS, Canada.</t>
  </si>
  <si>
    <t>kiley.daley@dal.ca</t>
  </si>
  <si>
    <t>Rainham, Daniel/C-4800-2009</t>
  </si>
  <si>
    <t>Hansen, Lisbeth Truelstrup/0000-0003-0485-5252; Rainham, Daniel/0000-0002-3932-2942; Jamieson, Rob/0000-0003-3170-3203</t>
  </si>
  <si>
    <t>Government of Nunavut</t>
  </si>
  <si>
    <t>This study was partially supported by research funding from the Government of Nunavut. The views expressed in this paper are those of the authors and do not necessarily reflect the views or policies of the Government of Nunavut.</t>
  </si>
  <si>
    <t>10.1007/s11356-017-8566-8</t>
  </si>
  <si>
    <t>HA0TB</t>
  </si>
  <si>
    <t>WOS:000449920100005</t>
  </si>
  <si>
    <t>Lee, YH; Jeong, CB; Wang, MH; Hagiwara, A; Lee, JS</t>
  </si>
  <si>
    <t>Lee, Young Hwan; Jeong, Chang-Bum; Wang, Minghua; Hagiwara, Atsushi; Lee, Jae-Seong</t>
  </si>
  <si>
    <t>Transgenerational acclimation to changes in ocean acidification in marine invertebrates</t>
  </si>
  <si>
    <t>Ocean acidification; Calcium carbonate system; Marine invertebrates; Transgenerational plasticity; Transgenerational responses mechanisms</t>
  </si>
  <si>
    <t>CALCIUM-CARBONATE SATURATION; OYSTER SACCOSTREA-GLOMERATA; ACID-BASE REGULATION; REDUCED SEAWATER PH; EARLY-LIFE STAGES; SEA-URCHIN; CLIMATE-CHANGE; DNA METHYLATION; OXIDATIVE STRESS; IMMUNE-RESPONSE</t>
  </si>
  <si>
    <t>The rapid pace of increasing oceanic acidity poses a major threat to the fitness of the marine ecosystem, as well as the buffering capacity of the oceans. Disruption in chemical equilibrium in the ocean leads to decreased carbonate ion precipitation, resulting in calcium carbonate saturation. If these trends continue, calcifying invertebrates will experience difficultly maintaining their calcium carbonate exoskeleton and shells. Because malfunction of exoskeleton formation by calcifiers in response to ocean acidification (OA) will have non-canonical biological cascading results in the marine ecosystem, many studies have investigated the direct and indirect consequences of OA on ecosystem- and physiology-related traits of marine invertebrates. Considering that evolutionary adaptation to OA depends on the duration of OA effects, long-term exposure to OA stress over multi-generations may result in adaptive mechanisms that increase the potential fitness of marine invertebrates in response to OA. Transgenerational studies have the potential to elucidate the roles of acclimation, carryover effects, and evolutionary adaptation within and over generations in response to OA. In particular, understanding mechanisms of transgenerational responses (e.g., antioxidant responses, metabolic changes, epigenetic reprogramming) to changes in OA will enhance our understanding of marine invertebrate in response to rapid climate change.</t>
  </si>
  <si>
    <t>[Lee, Young Hwan; Jeong, Chang-Bum; Lee, Jae-Seong] Sungkyunkwan Univ, Coll Sci, Dept Biol Sci, Suwon 16419, South Korea; [Jeong, Chang-Bum] Incheon Natl Univ, Coll Nat Sci, Dept Marine Sci, Incheon 22012, South Korea; [Wang, Minghua] Xiamen Univ, State Key Lab Marine Environm Sci, Coll Environm &amp; Ecol, Xiamen 36110, Peoples R China; [Wang, Minghua] Xiamen Univ, Fujian Prov Key Lab Coastal Ecol &amp; Environm Studi, Xiamen 361102, Peoples R China; [Hagiwara, Atsushi] Nagasaki Univ, Inst Integrated Sci &amp; Technol, Nagasaki 8528521, Japan; [Hagiwara, Atsushi] Nagasaki Univ, Org Marine Sci &amp; Technol, Nagasaki 8528521, Japan</t>
  </si>
  <si>
    <t>Sungkyunkwan University (SKKU); Incheon National University; Xiamen University; Xiamen University; Nagasaki University; Nagasaki University</t>
  </si>
  <si>
    <t>Lee, JS (corresponding author), Sungkyunkwan Univ, Coll Sci, Dept Biol Sci, Suwon 16419, South Korea.</t>
  </si>
  <si>
    <t>jslee2@skku.edu</t>
  </si>
  <si>
    <t>Wang, Minghua/H-3494-2015; Jeong, Chang-Bum/ABH-9095-2020; Lee, Younh Hwan/ABI-5927-2020; Hagiwara, Atsushi/O-3606-2018; Lee, Jae-Seong/H-6013-2015</t>
  </si>
  <si>
    <t>Hagiwara, Atsushi/0000-0001-7514-8737; Wang, Minghua/0000-0002-9955-4745; Lee, Young Hwan/0000-0003-1579-0263; Lee, Jae-Seong/0000-0003-0944-5172</t>
  </si>
  <si>
    <t>Basic Science Research Program through the National Research Foundation of Korea (NRF) - Ministry of Education [NRF-2019R1A6A1A10073079]</t>
  </si>
  <si>
    <t>Basic Science Research Program through the National Research Foundation of Korea (NRF) - Ministry of Education(National Research Foundation of KoreaMinistry of Education (MOE), Republic of KoreaNational Research Council for Economics, Humanities &amp; Social Sciences, Republic of Korea)</t>
  </si>
  <si>
    <t>`This work was supported by a grant from Basic Science Research Program through the National Research Foundation of Korea (NRF) funded by the Ministry of Education (No. NRF-2019R1A6A1A10073079).</t>
  </si>
  <si>
    <t>10.1016/j.marpolbul.2020.111006</t>
  </si>
  <si>
    <t>WOS:000523640200088</t>
  </si>
  <si>
    <t>Rausina, GA; Wong, DCL; Arnold, WR; Mancini, ER; Steen, AE</t>
  </si>
  <si>
    <t>Toxicity of methyl tert-butyl ether to marine organisms:: ambient water quality criteria calculation</t>
  </si>
  <si>
    <t>methyl tert-butyl ether; aquatic toxicity; water quality criteria; marine organisms</t>
  </si>
  <si>
    <t>AQUATIC TOXICITY; MTBE; POLLUTANTS; FISH; FATE</t>
  </si>
  <si>
    <t>In response to increasing concerns over the detection of methyl tert-butyl ether (MTBE) in groundwater and surface water and its potential effects in aquatic ecosystems, industry and the United States Environmental Protection Agency (USEPA) began to collaborate in 1997 to develop aquatic toxicity databases sufficient to derive ambient water quality criteria for MTBE consistent with USEPA requirements. Acute toxicity data for seven marine species, chronic toxicity data for an invertebrate, and plant toxicity data were developed to complete the saltwater database. The species tested were Cyprinodon variegatus, Gasterosteus aculeatus, Callinectes sapidus, Mytilus galloprovincialis, Palaemonetes pugio, Rhepoxynius abronus, Americamysis bahia, and Skeletonema costatum. The toxicity tests were conducted in accordance with USEPA and American Society for Testing and Materials testing procedures and Good Laboratory Practice guidelines. Data developed from this study were consistent with existing data and showed that MTBE has low acute and chronic toxicity to the marine species tested. Based upon measured MTBE concentrations, acute effects were found to range from 166 mg MTBE/l for the grass shrimp to 1950 mg MTBE/l for marine mussel. The no-observed effect concentration for the reproduction and growth of mysids was 26 mg MTBE/l during the life cycle test. The toxicity of MTBE to saltwater organisms is comparable to its toxicity to the freshwater species tested. Reported MTBE concentrations in coastal waters are several orders of magnitude lower than concentrations observed to cause effects in marine organisms. (C) 2002 Elsevier Science Ltd. All rights reserved.</t>
  </si>
  <si>
    <t>Chevron Res &amp; Technol Co, Richmond, CA 94802 USA; Equilon Enterprises LLC, Houston, TX 77082 USA; Copper Dev Assoc, New York, NY 10016 USA; ER Mancini &amp; Associates, Camarillo, CA 93012 USA; ExxonMobil Res &amp; Engn, Fairfax, VA 22037 USA</t>
  </si>
  <si>
    <t>Chevron; Exxon Mobil Corporation</t>
  </si>
  <si>
    <t>Wong, DCL (corresponding author), Equilon Enterprises LLC, Westhollow Technol Ctr, POB 1380, Houston, TX 77251 USA.</t>
  </si>
  <si>
    <t>PII S0045-6535(01)00311-3</t>
  </si>
  <si>
    <t>10.1016/S0045-6535(01)00311-3</t>
  </si>
  <si>
    <t>WOS:000175339500007</t>
  </si>
  <si>
    <t>Sun, HX; Dang, Z; Xia, Q; Tang, WC; Zhang, GR</t>
  </si>
  <si>
    <t>Sun, Hong-Xia; Dang, Zhi; Xia, Qiang; Tang, Wen-Cheng; Zhang, Gu-Ren</t>
  </si>
  <si>
    <t>The effect of dietary nickel on the immune responses of Spodoptera litura Fabricius larvae</t>
  </si>
  <si>
    <t>JOURNAL OF INSECT PHYSIOLOGY</t>
  </si>
  <si>
    <t>Spodoptera litura; Nickel; Phenoloxidase; Encapsulation</t>
  </si>
  <si>
    <t>HEAVY-METAL POLLUTION; COMMON MARINE MUSSEL; MYTILUS-EDULIS; CONTAMINATED SITES; COPPER-SULFATE; PACIFIC OYSTER; IMMUNOCOMPETENCE; EXPOSURE; SYSTEM; SUSCEPTIBILITY</t>
  </si>
  <si>
    <t>By exposing Spodoptera litura Fabricius larvae to nickel (Ni) in artificial diets for successive three generations, we investigated the impacts of the dietary Ni on growth and immune response of the fifth and sixth instar larvae at 24 h intervals. The time of newly moulted fifth instar larvae was labelled as Oh. After exposure to 5 mg/kg Ni for two generations, Ni exposure significantly improved larval phenoloxidase activity and encapsulation grade in fifth instar larvae when compared to controls, except for encapsulation grade at 72-120 h in the second generation. However, higher concentrations of Ni (&gt;= 10 mg/kg) only significantly reduced encapsulation grade at 72-120 h. In the third generation, insects given higher dietary levels of Ni (&gt;= 10 mg/kg) showed lower immune responses and retarded relative growth rate (RGR) compared to controls, but those exposed to lower Ni levels (&lt;= 5 mg/kg) had a significantly improved encapsulation grade at 24-72 h. Larvae at lower Ni level (&lt;= 5 mg/kg) treatments had significantly higher RGR in comparison with that in controls. There was no significant difference in food relative consumption rate (RCR) and RGR among any treatment of the fifth instar larvae in three successive generations. These results indicated that the type and extent of effects on growth and immune responses of S. litura varied with the Ni concentrations and exposure periods. (C) 2011 Elsevier Ltd. All rights reserved.</t>
  </si>
  <si>
    <t>[Sun, Hong-Xia; Tang, Wen-Cheng; Zhang, Gu-Ren] Sun Yat Sen Univ, State Key Lab Biol Control, Guangzhou 510275, Guangdong, Peoples R China; [Sun, Hong-Xia; Tang, Wen-Cheng; Zhang, Gu-Ren] Sun Yat Sen Univ, Inst Entomol, Guangzhou 510275, Guangdong, Peoples R China; [Sun, Hong-Xia; Dang, Zhi] S China Univ Technol, Minist Educ, Key Lab Pollut Control &amp; Ecosyst Restorat Ind Clu, Guangzhou 510006, Guangdong, Peoples R China; [Xia, Qiang] Zunyi Med Coll, Zhuhai 519041, Guangdong, Peoples R China</t>
  </si>
  <si>
    <t>Sun Yat Sen University; Sun Yat Sen University; South China University of Technology; Zunyi Medical University</t>
  </si>
  <si>
    <t>Zhang, GR (corresponding author), Sun Yat Sen Univ, State Key Lab Biol Control, Guangzhou 510275, Guangdong, Peoples R China.</t>
  </si>
  <si>
    <t>zhanggr@mail.sysu.edu.cn</t>
  </si>
  <si>
    <t>Yin, Hua/0000-0002-2793-0860</t>
  </si>
  <si>
    <t>National Basic Research Program of China [2006CB102001]; National Natural Science Foundation of China [30771458]; Ministry of Education of China [20070558029]; Key Science and Technology Projects of Zhuhai City [PC20061049]</t>
  </si>
  <si>
    <t>National Basic Research Program of China(National Basic Research Program of China); National Natural Science Foundation of China(National Natural Science Foundation of China (NSFC)); Ministry of Education of China(Ministry of Education, China); Key Science and Technology Projects of Zhuhai City</t>
  </si>
  <si>
    <t>This work was supported by the National Basic Research Program of China (Grant No. 2006CB102001), the National Natural Science Foundation of China (Grant No. 30771458), Doctoral Fund of Ministry of Education of China (Grant No. 20070558029) and the Key Science and Technology Projects of Zhuhai City (Grant No. PC20061049).</t>
  </si>
  <si>
    <t>0022-1910</t>
  </si>
  <si>
    <t>1879-1611</t>
  </si>
  <si>
    <t>J INSECT PHYSIOL</t>
  </si>
  <si>
    <t>J. Insect Physiol.</t>
  </si>
  <si>
    <t>10.1016/j.jinsphys.2011.04.008</t>
  </si>
  <si>
    <t>Entomology; Physiology; Zoology</t>
  </si>
  <si>
    <t>797FR</t>
  </si>
  <si>
    <t>WOS:000293110400014</t>
  </si>
  <si>
    <t>Bezerra, MF; Goyanna, FA; Lacerda, LD</t>
  </si>
  <si>
    <t>Bezerra, Moises Fernandes; de Alencar Goyanna, Felipe A.; Lacerda, Luiz Drude</t>
  </si>
  <si>
    <t>Risk assessment of human Hg exposure through consumption of fishery products in Ceara state, northeastern Brazil</t>
  </si>
  <si>
    <t>Fisheries; Aquaculture; Hg contamination; Exposure; Food safety</t>
  </si>
  <si>
    <t>JAGUARIBE RIVER; FOOD-CONSUMPTION; MANGROVE OYSTER; MERCURY; RHIZOPHORAE; BASIN</t>
  </si>
  <si>
    <t>The contamination of fish and aquaculture products may prove an obstacle to achieve the economic potential of the fishery sector worldwide. Seafood is a key source of Hg exposure to human consumers. Thus, it is necessary to monitor current contamination levels and formulate future scenarios of exposure to pollutants as supporting measures to improve, in the short and medium term, the sustainability of the fishing sector and guarantee food safety. In the short term, players in the private sector and governmental agencies need to provide up-to-date production data and to follow international recommendations, as it relates to seafood quality and sustainable production chains. Here, we provide an assessment of the fishery production in Cear ' a State, Brazil, and syn-thetize the present knowledge on Hg concentrations in fisheries and aquaculture products associated with their relative economic and consumers' diet relevance. The present assessment serves as a model study to produce a regionalized inventory of Hg concentrations in accordance with the national and international food safety guides and to estimate the risk of exposure to Hg of human populations through fisheries consumption. We show that legal Hg limits does not represent safe consumption levels, as exposure risk is a combined effect of trophic level, a proxy of Hg concentrations, consumption rates, and consumer age/weigh group. Most seafood species in Ceara ' have no restriction to human consumption, with a few exceptions. Children at a subsistence level mainly consuming fish are at most exposure risk. The overall information is graphically presented aiming to increase public perception on the theme and proposition of mitigating actions by the respective stakeholders.</t>
  </si>
  <si>
    <t>[Bezerra, Moises Fernandes; de Alencar Goyanna, Felipe A.; Lacerda, Luiz Drude] Univ Fed Ceara, Inst Ciencias Mar LABOMAR UFC, Ave Abolicao 3207, BR-60165081 Fortaleza, CE, Brazil</t>
  </si>
  <si>
    <t>Bezerra, MF (corresponding author), Univ Fed Ceara, Inst Ciencias Mar LABOMAR UFC, Ave Abolicao 3207, BR-60165081 Fortaleza, CE, Brazil.</t>
  </si>
  <si>
    <t>mmoisesfb@gmail.com</t>
  </si>
  <si>
    <t>Lacerda, Luiz/AAI-9004-2020; de Alencar Goyanna, Felipe/AAH-2953-2019; Fernandes Bezerra, Moises/O-3333-2014</t>
  </si>
  <si>
    <t>Goyanna, Felipe/0000-0001-6247-9983; Fernandes Bezerra, Moises/0000-0001-9418-1874</t>
  </si>
  <si>
    <t>Funda?a?o Cearense de Apoio ao Desenvolvimento Cientifico e Tecnol?ogico (FUNCAP) [11276248/2021]</t>
  </si>
  <si>
    <t>Funda?a?o Cearense de Apoio ao Desenvolvimento Cientifico e Tecnol?ogico (FUNCAP)</t>
  </si>
  <si>
    <t>Funding This work was supported by Funda?a?o Cearense de Apoio ao Desenvolvimento Cientifico e Tecnol?ogico (FUNCAP) through the fellowship #11276248/2021.</t>
  </si>
  <si>
    <t>10.1016/j.marpolbul.2023.114713</t>
  </si>
  <si>
    <t>9V0KA</t>
  </si>
  <si>
    <t>WOS:000948089300001</t>
  </si>
  <si>
    <t>Almeida, F; Nunes, B</t>
  </si>
  <si>
    <t>Almeida, Filipa; Nunes, Bruno</t>
  </si>
  <si>
    <t>Effects of acetaminophen in oxidative stress and neurotoxicity biomarkers of the gastropod Phorcus lineatus</t>
  </si>
  <si>
    <t>Pharmaceutical drugs; Paracetamol; ROS; Catalase; GST; Cholinesterases; Aquatic wildlife</t>
  </si>
  <si>
    <t>PHARMACEUTICAL DRUG PARACETAMOL; CLAM RUDITAPES-PHILIPPINARUM; EXPOSURE; ACETYLCHOLINESTERASE; MECHANISMS; CADMIUM; COPPER; PLANTS; DAMAGE; FISH</t>
  </si>
  <si>
    <t>The growing use of pharmaceutical drugs has become a major environmental issue considering that these substances (or their metabolites) end up inevitably in sewage waters after excretion. In the wild, these chemicals may affect non-target organisms, and their potential toxicity is not sufficiently studied, a reality that is particularly true for marine organisms. Acetaminophen (also known as paracetamol) is known to be toxic in high dosages, namely, by triggering oxidative effects. These effects may be potentiated in marine organisms subjected to contamination resulting from large human settlements along coastal areas. In order to assess how different exposure regimes (acute vs. chronic) may affect aquatic wildlife, individuals of the gastropod species Phorcus lineatus were acutely (96 h) and chronically (28 days) exposed to ecologically relevant concentrations of acetaminophen. The effects were evaluated through the quantification of selected biomarkers-catalase (CAT), glutathione-S-transferase (GST), and cholinesterase (ChE) activities. The results from acute exposure showed no significant effects in all three biomarkers, but chronically exposed organisms showed significant increases in the activities of CAT and ChEs. The data show that P. lineatus triggered a defensive biological response in the presence of acetaminophen, and also show that realistically low levels of acetaminophen can exert adaptive changes with unknown consequences.</t>
  </si>
  <si>
    <t>[Almeida, Filipa; Nunes, Bruno] Univ Aveiro, Dept Biol, Campus Santiago, P-3810193 Aveiro, Portugal; [Nunes, Bruno] Univ Aveiro, Ctr Estudos Ambiente &amp; Mar CESAM, Campus Santiago, P-3810193 Aveiro, Portugal</t>
  </si>
  <si>
    <t>Nunes, B (corresponding author), Univ Aveiro, Dept Biol, Campus Santiago, P-3810193 Aveiro, Portugal.;Nunes, B (corresponding author), Univ Aveiro, Ctr Estudos Ambiente &amp; Mar CESAM, Campus Santiago, P-3810193 Aveiro, Portugal.</t>
  </si>
  <si>
    <t>FCT/MEC [UID/AMB/50017]; FEDER; FEDER, within Compete 2020</t>
  </si>
  <si>
    <t>FCT/MEC(Fundacao para a Ciencia e a Tecnologia (FCT)); FEDER(European Union (EU)Spanish Government); FEDER, within Compete 2020(European Union (EU)Marie Curie Actions)</t>
  </si>
  <si>
    <t>Financial support to CESAM (UID/AMB/50017) was provided by FCT/MEC through national funds, and the co-funding by the FEDER, within the PT2020 Partnership Agreement and Compete 2020.</t>
  </si>
  <si>
    <t>10.1007/s11356-019-04349-1</t>
  </si>
  <si>
    <t>HT8YW</t>
  </si>
  <si>
    <t>WOS:000464852200036</t>
  </si>
  <si>
    <t>Stockwell, CE; Christian, TJ; Goetz, JD; Jayarathne, T; Bhave, PV; Praveen, PS; Adhikari, S; Maharjan, R; DeCarlo, PF; Stone, EA; Saikawa, E; Blake, DR; Simpson, IJ; Yokelson, RJ; Panday, AK</t>
  </si>
  <si>
    <t>Stockwell, Chelsea E.; Christian, Ted J.; Goetz, J. Douglas; Jayarathne, Thilina; Bhave, Prakash V.; Praveen, Puppala S.; Adhikari, Sagar; Maharjan, Rashmi; DeCarlo, Peter F.; Stone, Elizabeth A.; Saikawa, Eri; Blake, Donald R.; Simpson, Isobel J.; Yokelson, Robert J.; Panday, Arnico K.</t>
  </si>
  <si>
    <t>Nepal Ambient Monitoring and Source Testing Experiment (NAMaSTE): emissions of trace gases and light-absorbing carbon from wood and dung cooking fires, garbage and crop residue burning, brick kilns, and other sources</t>
  </si>
  <si>
    <t>VOLATILE ORGANIC-COMPOUNDS; GASOLINE VEHICLE EMISSIONS; INDOOR AIR-POLLUTION; BLACK CARBON; COMPOUNDS VOCS; LABORATORY MEASUREMENTS; AEROSOL FORMATION; KATHMANDU VALLEY; ATMOSPHERIC EMISSIONS; CHASSIS DYNAMOMETER</t>
  </si>
  <si>
    <t>The Nepal Ambient Monitoring and Source Testing Experiment (NAMaSTE) campaign took place in and around the Kathmandu Valley and in the Indo-Gangetic Plain (IGP) of southern Nepal during April 2015. The source characterization phase targeted numerous important but under-sampled (and often inefficient) combustion sources that are widespread in the developing world such as cooking with a variety of stoves and solid fuels, brick kilns, open burning of municipal solid waste (a.k.a. trash or garbage burning), crop residue burning, generators, irrigation pumps, and motorcycles. NAMaSTE produced the first, or rare, measurements of aerosol optical properties, aerosol mass, and detailed trace gas chemistry for the emissions from many of the sources. This paper reports the trace gas and aerosol measurements obtained by Fourier transform infrared (FTIR) spectroscopy, whole-air sampling (WAS), and photoacoustic extinctiometers (PAX; 405 and 870 nm) based on field work with a moveable lab sampling authentic sources. The primary aerosol optical properties reported include emission factors (EFs) for scattering and absorption coefficients (EF B-scat, EF B-abs, in m(2) kg(-1) fuel burned), single scattering albedos (SSAs), and absorption Angstrom exponents (AAEs). From these data we estimate black and brown carbon (BC, BrC) emission factors (g kg(-1) fuel burned). The trace gas measurements provide EFs (g kg(-1)) for CO2, CO, CH4, selected non-methane hydrocarbons up to C-10, a large suite of oxygenated organic compounds, NH3, HCN, NOx, SO2, HCl, HF, etc. (up to similar to 80 gases in all). The emissions varied significantly by source, and light absorption by both BrC and BC was important for many sources. The AAE for dung-fuel cooking fires (4.63 +/- 0.68) was significantly higher than for wood-fuel cooking fires (3.01 +/- 0.10). Dung-fuel cooking fires also emitted high levels of NH3 (3.00 +/- 1.33 g kg(-1)), organic acids (7.66 +/- 6.90 g kg(-1)), and HCN (2.01 +/- 1.25 g kg(-1)), where the latter could contribute to satellite observations of high levels of HCN in the lower stratosphere above the Asian monsoon. HCN was also emitted in significant quantities by several non-biomass burning sources. BTEX compounds (benzene, toluene, ethylbenzene, xylenes) were major emissions from both dung-(similar to 4.5 g kg(-1)) and wood-fuel (similar to 1.5 g kg(-1)) cooking fires, and a simple method to estimate indoor exposure to the many measured important air toxics is described. Biogas emerged as the cleanest cooking technology of approximately a dozen stove-fuel combinations measured. Crop residue burning produced relatively high emissions of oxygenated organic compounds (similar to 12 g kg(-1)) and SO2 (2.54 +/- 1.09 g kg(-1)). Two brick kilns co-firing different amounts of biomass with coal as the primary fuel produced contrasting results. A zigzag kiln burning mostly coal at high efficiency produced larger amounts of BC, HF, HCl, and NOx, with the halogenated emissions likely coming from the clay. The clamp kiln (with relatively more biomass fuel) produced much greater quantities of most individual organic gases, about twice as much BrC, and significantly more known and likely organic aerosol precursors. Both kilns were significant SO2 sources with their emission factors averaging 12.8 +/- 0.2 g kg(-1). Mixed-garbage burning produced significantly more BC (3.3 +/- 3.88 g kg(-1)) and BTEX (similar to 4.5 g kg(-1)) emissions than in previous measurements. For all fossil fuel sources, diesel burned more efficiently than gasoline but produced larger NOx and aerosol emission factors. Among the least efficient sources sampled were gasoline-fueled motorcycles during start-up and idling for which the CO EF was on the order of similar to 700 g kg(-1) - or about 10 times that of a typical biomass fire. Minor motorcycle servicing led to minimal if any reduction in gaseous pollutants but reduced particulate emissions, as detailed in a companion paper (Jayarathne et al., 2016). A small gasolinepowered generator and an  insect repellent fire were also among the sources with the highest emission factors for pollutants. These measurements begin to address the critical data gap for these important, undersampled sources, but due to their diversity and abundance, more work is needed.</t>
  </si>
  <si>
    <t>[Stockwell, Chelsea E.; Christian, Ted J.; Yokelson, Robert J.] Univ Montana, Dept Chem, Missoula, MT 59812 USA; [Goetz, J. Douglas; DeCarlo, Peter F.] Drexel Univ, Dept Chem, Philadelphia, PA 19104 USA; [Goetz, J. Douglas; DeCarlo, Peter F.] Drexel Univ, Dept Civil Architectural &amp; Environm Engn, Philadelphia, PA 19104 USA; [Jayarathne, Thilina; Stone, Elizabeth A.] Univ Iowa, Dept Chem, Iowa City, IA 52242 USA; [Bhave, Prakash V.; Praveen, Puppala S.; Panday, Arnico K.] Int Ctr Integrated Mt Dev ICIMOD, Khumaltar 44700, Nepal; [Adhikari, Sagar; Maharjan, Rashmi] MinErgy Pvt Ltd, Lalitpur 9354, Nepal; [Saikawa, Eri] Emory Univ, Dept Environm Sci, Atlanta, GA 30322 USA; [Blake, Donald R.; Simpson, Isobel J.] Univ Calif Irvine, Dept Chem, Irvine, CA 92697 USA; [Stockwell, Chelsea E.] NOAA, Div Chem Sci, Earth Syst Res Lab, Boulder, CO 80305 USA</t>
  </si>
  <si>
    <t>University of Montana System; University of Montana; Drexel University; Drexel University; University of Iowa; Emory University; University of California System; University of California Irvine; National Oceanic Atmospheric Admin (NOAA) - USA</t>
  </si>
  <si>
    <t>Yokelson, RJ (corresponding author), Univ Montana, Dept Chem, Missoula, MT 59812 USA.</t>
  </si>
  <si>
    <t>bob.yokelson@umontana.edu</t>
  </si>
  <si>
    <t>Saikawa, Eri/HCI-9996-2022; Bhave, Prakash/L-1958-2013; Stockwell, Chelsea/ABH-6021-2020; Puppala, Siva/E-7795-2013; DeCarlo, Peter/AAA-8561-2019; Yokelson, Robert/C-9971-2011</t>
  </si>
  <si>
    <t>Goetz, James/0000-0003-0824-1215; Yokelson, Robert/0000-0002-8415-6808; Stockwell, Chelsea/0000-0003-3462-2126; Saikawa, Eri/0000-0003-3166-8620; DeCarlo, Peter/0000-0001-6385-7149; Adhikari, Sagar/0000-0003-3894-4560; Puppala, Siva Praveen/0000-0002-1352-3412; Blake, Donald/0000-0002-8283-5014</t>
  </si>
  <si>
    <t>NSF [AGS-1349976, AGS-1461458, AGS-1350021]; NASA Earth Science Division Award [NNX14AP45G]; ICIMOD; NASA [NNX14AP45G, 675338] Funding Source: Federal RePORTER; Div Atmospheric &amp; Geospace Sciences; Directorate For Geosciences [1350021, 1351616] Funding Source: National Science Foundation; Div Atmospheric &amp; Geospace Sciences; Directorate For Geosciences [1461458] Funding Source: National Science Foundation</t>
  </si>
  <si>
    <t>NSF(National Science Foundation (NSF)); NASA Earth Science Division Award; ICIMOD; NASA(National Aeronautics &amp; Space Administration (NASA)); Div Atmospheric &amp; Geospace Sciences; Directorate For Geosciences(National Science Foundation (NSF)NSF - Directorate for Geosciences (GEO)); Div Atmospheric &amp; Geospace Sciences; Directorate For Geosciences(National Science Foundation (NSF)NSF - Directorate for Geosciences (GEO))</t>
  </si>
  <si>
    <t>Chelsea E. Stockwell, Ted J. Christian, Robert J. Yokelson, purchase of the PAXs, WAS analyses, and many other NAMaSTE-associated expenses were supported by NSF grant AGS-1349976. Robert J. Yokelson, Donald R. Blake, and Isobel J. Simpson were also supported by NASA Earth Science Division Award NNX14AP45G. Thilina Jayarathne and Elizabeth A. Stone were supported by NSF grant AGS-1351616. J. Douglas Goetz and Peter F. DeCarlo were supported by NSF grant AGS-1461458. Prakash V. Bhave, Puppala S. Praveen, Sagar Adhikari, Rashmi Maharjan, and Arnico K. Panday were partially supported by core funds of ICIMOD contributed by the governments of Afghanistan, Australia, Austria, Bangladesh, Bhutan, China, India, Myanmar, Nepal, Norway, Pakistan, Switzerland, and the United Kingdom. Eri Saikawa was supported by NSF grant AGS-1350021. We thank G. McMeeking, J. Walker, and S. Murphy for helpful discussions on the PAX instruments and data; S. B. Dangol, S. Dhungel, S. Ghimire, and M. Rai for identifying and arranging access to the field sampling sites; B. R. Khanal for assisting with the lab-based cooking tests; and Nawraj and K. Sherpa for logistic support.</t>
  </si>
  <si>
    <t>10.5194/acp-16-11043-2016</t>
  </si>
  <si>
    <t>DW9GD</t>
  </si>
  <si>
    <t>WOS:000383963600001</t>
  </si>
  <si>
    <t>Barros, F; Hatje, V; Figueiredo, MB; Magalhaes, WF; Dórea, HS; Emídio, ES</t>
  </si>
  <si>
    <t>Barros, Francisco; Hatje, Vanessa; Figueiredo, Maria Betania; Magalhaes, Wagner Ferreira; Dorea, Haroldo Silveira; Emidio, Elissandro Soares</t>
  </si>
  <si>
    <t>The structure of the benthic macrofaunal assemblages and sediments characteristics of the Paraguacu estuarine system, NE, Brazil</t>
  </si>
  <si>
    <t>benthos; sediment chemistry; spatial variations; tropical estuary; Paraguacu River</t>
  </si>
  <si>
    <t>DREDGED MATERIAL DISPOSAL; TRACE-METALS; MACROBENTHIC COMMUNITY; TAXONOMIC SUFFICIENCY; GUANABARA BAY; HEAVY-METALS; CORAL MUCUS; POLLUTION; CONTAMINATION; NUTRIENTS</t>
  </si>
  <si>
    <t>The structure of the benthic macrofaunal assemblages of the estuarine portion of Paraguacu River, NE, Brazil, and its relationship with surface sediment characteristics (trace metals, PAHs, nutrients and grain size) and physical variables were investigated at ten stations on two contrasting occasions, summer (dry season) and winter (rainy season). A total of 1258 individuals (632 in winter and 626 in summer) and 62 taxa representing polychaetes, crustaceans, bivalves, echinoderms, bryozoans, sponges, cnidarians and cephalochordates were collected. Benthic assemblages in the upper estuary were unlike those in the lower estuary and a clear substitution of benthic taxa along the estuary was observed. Macrofaunal invertebrates in the low salinity region, composed of coarse sediments, were dominated by tellinids, venerids (bivalves), cirolanids (isopods), cyclopoids (copepods), and nereidids (polychaetes). While the high salinity region, composed of fine sediments, were dominated by nuculids (bivalves), cirratulids (polychaetes), and by amphiurids (ophiuroids). The Paraguacu estuarine system is not severely affected by anthropogenic activities. In the great majority of the study sites, concentrations of trace metals and PAHs in the sediments were near background values. Nutrients values were also low. We formulated new models of taxon distribution and suggested detailed studies on the effects of salinity variation and studies using functional approaches to better understand the processes causing the spatial patterns in tropical estuarine benthic assemblages. (C) 2008 Elsevier Ltd. All rights reserved.</t>
  </si>
  <si>
    <t>[Barros, Francisco; Figueiredo, Maria Betania; Magalhaes, Wagner Ferreira] Univ Fed Bahia, Inst Biol, Dept Zool, Lab Ecol Bentonica, BR-40170290 Salvador, BA, Brazil; [Hatje, Vanessa] Univ Fed Bahia, Inst Quim, Dept Quim Analit, BR-40170290 Salvador, BA, Brazil; [Dorea, Haroldo Silveira; Emidio, Elissandro Soares] Univ Fed Sergipe, Dept Quim, Lab Anal Compostos Organ Poluentes, BR-49100000 Sao Cristovao, SE, Brazil</t>
  </si>
  <si>
    <t>Universidade Federal da Bahia; Universidade Federal da Bahia; Universidade Federal de Sergipe</t>
  </si>
  <si>
    <t>Barros, F (corresponding author), Univ Fed Bahia, Inst Biol, Dept Zool, Lab Ecol Bentonica, Campus Ondina, BR-40170290 Salvador, BA, Brazil.</t>
  </si>
  <si>
    <t>barrosf@ufba.br</t>
  </si>
  <si>
    <t>emidio, elissandro/F-4346-2013; DOREA, Haroldo/C-4650-2015; Hatje, Vanessa/K-1317-2012; Barros, Francisco/A-3545-2008</t>
  </si>
  <si>
    <t>Barros, Francisco/0000-0002-3037-1991</t>
  </si>
  <si>
    <t>JUL 30</t>
  </si>
  <si>
    <t>10.1016/j.ecss.2008.02.016</t>
  </si>
  <si>
    <t>322AR</t>
  </si>
  <si>
    <t>WOS:000257348100018</t>
  </si>
  <si>
    <t>Zhu, J; Cai, ZJ; Su, XJ; Fu, QL; Liu, YH; Huang, QY; Violante, A; Hu, HQ</t>
  </si>
  <si>
    <t>Zhu, Jun; Cai, Zhijian; Su, Xiaojuan; Fu, Qingling; Liu, Yonghong; Huang, Qiaoyun; Violante, Antonio; Hu, Hongqing</t>
  </si>
  <si>
    <t>Immobilization and phytotoxicity of Pb in contaminated soil amended with γ-polyglutamic acid, phosphate rock, and γ-polyglutamic acid-activated phosphate rock</t>
  </si>
  <si>
    <t>Activated phosphate rock; Immobilization; Phytotoxicity; Pb; Soil</t>
  </si>
  <si>
    <t>SHOOTING RANGE SOIL; LEAD IMMOBILIZATION; ORGANIC-MATTER; HEAVY-METALS; MUSSEL SHELL; COW BONE; ZN; CU; AMENDMENTS; MOBILITY</t>
  </si>
  <si>
    <t>Pot experiments were conducted to investigate the effects of gamma-polyglutamic acid (gamma-PGA), phosphate rock (PR), and gamma-PGA-activated PR (gamma-PGA-PR) on the immobilization and phytotoxicity of Pb in a contaminated soil. The proportion of residual Pb (Re-Pb) in soil was reduced by the addition of gamma-PGA but was increased by the application of PR and gamma-PGA-PR. The addition of gamma-PGA in soil improved the accumulation of Pb in pak choi and decreased the growth of pak choi, suggesting the intensification of Pb phytotoxicity to pak choi. However, opposite effects of PR and gamma-PGA-PR on the phytotoxicity of Pb to pak choi in soil were observed. Moreover, in the examined range, gamma-PGA-PR activated by a higher amount of gamma-PGA resulted in a greater proportion of Re-Pb in soil and weaker phytotoxicity of Pb to pak choi. The predominance of gamma-PGA-PR in relieving the phytotoxicity of Pb was ascribed mainly to the increase of soil pH and available phosphate after the amendment, which could facilitate the precipitation of Pb in soil and provide pak choi with more phosphorus nutrient.</t>
  </si>
  <si>
    <t>[Zhu, Jun; Cai, Zhijian; Su, Xiaojuan; Fu, Qingling; Liu, Yonghong; Huang, Qiaoyun; Hu, Hongqing] Huazhong Agr Univ, Coll Resources &amp; Environm, Key Lab Arable Land Conservat Middle &amp; Lower Reac, Minist Agr, Wuhan 430070, Peoples R China; [Violante, Antonio] Univ Naples Federico II, Fac Agr, Dept Soil Plant Environm &amp; Anim Prod Sci, I-80055 Portici, NA, Italy</t>
  </si>
  <si>
    <t>Huazhong Agricultural University; Ministry of Agriculture &amp; Rural Affairs; University of Naples Federico II</t>
  </si>
  <si>
    <t>Hu, HQ (corresponding author), Huazhong Agr Univ, Coll Resources &amp; Environm, Key Lab Arable Land Conservat Middle &amp; Lower Reac, Minist Agr, Wuhan 430070, Peoples R China.</t>
  </si>
  <si>
    <t>hqhu@mail.hzau.edu.cn</t>
  </si>
  <si>
    <t>Huang, Qiaoyun/A-8418-2012; Hu, Hongqing/AAA-3943-2020; Zhu, Jun/GYU-5951-2022</t>
  </si>
  <si>
    <t>National High Technology Research and Development Program of China (863 program) [2012AA101402]; National Natural Science Foundation of China [41071165]</t>
  </si>
  <si>
    <t>National High Technology Research and Development Program of China (863 program)(National High Technology Research and Development Program of China); National Natural Science Foundation of China(National Natural Science Foundation of China (NSFC))</t>
  </si>
  <si>
    <t>We are grateful to the National High Technology Research and Development Program of China (863 program) (2012AA101402) and the National Natural Science Foundation of China (Grant number: 41071165) for the financial support on the research.</t>
  </si>
  <si>
    <t>10.1007/s11356-014-3503-6</t>
  </si>
  <si>
    <t>CB0MC</t>
  </si>
  <si>
    <t>WOS:000349319200029</t>
  </si>
  <si>
    <t>King, LE; de Solla, SR; Marentette, JR; Lavoie, RA; Kyser, TK; Campbell, LM; Arts, MT; Quinn, JS</t>
  </si>
  <si>
    <t>King, L. E.; de Solla, S. R.; Marentette, J. R.; Lavoie, R. A.; Kyser, T. K.; Campbell, L. M.; Arts, M. T.; Quinn, J. S.</t>
  </si>
  <si>
    <t>Fatty acids, stable isotopes, and regurgitate reveal diet differences between Lake Ontario and Lake Erie double-crested cormorants (Phalacrocorax auritus)</t>
  </si>
  <si>
    <t>Diet; Fatty acids; Stable isotopes; Regurgitates; Mussels; Invasive species</t>
  </si>
  <si>
    <t>GOBY NEOGOBIUS-MELANOSTOMUS; LAURENTIAN GREAT-LAKES; ROUND GOBY; HAMILTON HARBOR; FOOD-WEB; MERCURY CONTAMINATION; ECOLOGICAL TRACERS; AIR-POLLUTION; CASPIAN TERNS; HERRING-GULLS</t>
  </si>
  <si>
    <t>A detailed understanding of the possible confounding effects of natural diet is important for ecotoxicological research where exposures cannot be controlled. The opportunistic feeding of double-crested cormorants (Phalacrocorax auritus) may limit the ability to draw toxicological conclusions where food sources are potentially contaminated, such as in some sites across the Great Lakes. Using a variety of methods to study diet may allow for the detection of finer differences that would be missed without these complementary approaches. We used regurgitates, essential fatty acids (EFA), and C-13 and N-15 stable isotopes to understand cormorant diets at sites in Lake Ontario (Hamilton Harbour) and Lake Erie. Lake Ontario cormorant diets as estimated with regurgitates consisted almost entirely of alewife (Alosa pseudoharengus; 51-56%) and round goby (Neogobius melanostomus; 25-42%). A higher number of fish species were identified in Lake Erie cormorant regurgitate, but overall diets were dominated by round goby (70%). Fatty acid profiles and stable isotope mixing models indicated large differences between the diets of cormorants from Lake Ontario and Lake Erie but not between sexes. Polymethylene-interrupted fatty acids (PMI-FA) were useful as indicators of secondary contribution of mussels; mass fractions were much higher in cormorants from Lake Erie, indicating those cormorants consumed higher amounts of prey that feed on invasive zebra and quagga mussels (Dreissena spp.), especially round goby. All methods used to study diet give incomplete and biased results, but combining traditional and biochemical methods can help generate a more complete picture than has been attempted previously. Crown Copyright (C) 2017 Published by Elsevier B.V. on behalf of International Association for Great Lakes Research. All rights reserved.</t>
  </si>
  <si>
    <t>[King, L. E.; Quinn, J. S.] McMaster Univ, Dept Biol, 1280 Main St West, Hamilton, ON L8S 4K1, Canada; [de Solla, S. R.] Canada Ctr Inland Waters, Ecotoxicol &amp; Wildlife Hlth Div, Environm &amp; Climate Change Canada, 867 Lakeshore Rd, Burlington, ON L7S 1A1, Canada; [Marentette, J. R.] McMaster Univ, Dept Psychol Neurosci &amp; Behav, 1280 Main St West, Hamilton, ON L8S 4K1, Canada; [Lavoie, R. A.; Campbell, L. M.] Queens Univ, Dept Biol, 116 Barrie St, Kingston, ON K7L 3N6, Canada; [Kyser, T. K.] Queens Univ, Dept Geol Sci &amp; Geol Engn, Miller Hall, Kingston, ON K7L 3N6, Canada; [Arts, M. T.] Canada Ctr Inland Waters, Environm &amp; Climate Change Canada, 867 Lakeshore Rd, Burlington, ON L7S 1A1, Canada; [Campbell, L. M.] St Marys Univ, Dept Environm Sci, 923 Robie St, Halifax, NS B3H 3C3, Canada; [Arts, M. T.] Ryerson Univ, Dept Biol &amp; Chem, 350 Victoria St, Toronto, ON M5B 2K3, Canada</t>
  </si>
  <si>
    <t>McMaster University; Environment &amp; Climate Change Canada; Canada Centre for Inland Waters (CCIW); McMaster University; Queens University - Canada; Queens University - Canada; Environment &amp; Climate Change Canada; Canada Centre for Inland Waters (CCIW); Saint Marys University - Canada; Toronto Metropolitan University</t>
  </si>
  <si>
    <t>King, LE (corresponding author), McMaster Univ, Dept Biol, 1280 Main St West, Hamilton, ON L8S 4K1, Canada.</t>
  </si>
  <si>
    <t>king.laura.elizabeth@gmail.com</t>
  </si>
  <si>
    <t>Lavoie, Raphael/B-4039-2011; Arts, Michael/H-4973-2012; Campbell, Linda M./C-1257-2009</t>
  </si>
  <si>
    <t>/0000-0002-0735-7227; Arts, Michael/0000-0002-2335-4317; Lavoie, Raphael A./0000-0003-3381-3254; Campbell, Linda M./0000-0002-8936-0883</t>
  </si>
  <si>
    <t>Environment Canada's Chemicals Management Plan (CMP); NSERC; OGS; FQRNT; CFI/ORF</t>
  </si>
  <si>
    <t>Environment Canada's Chemicals Management Plan (CMP); NSERC(Natural Sciences and Engineering Research Council of Canada (NSERC)); OGS(Ontario Graduate Scholarship); FQRNT(FQRNT); CFI/ORF(Canada Foundation for Innovation)</t>
  </si>
  <si>
    <t>Thanks to K. Intini, K. McCormack, G. Barrett, J. Farabakshah and J. Wong for field and lab assistance, S. Balshine for helpful discussions, A. Kling, J. Chao, and K. MacDougall for lab assistance, and A. Vuletich and K. Feige for help with stable isotope analysis. A special thanks to T. Johnson and M. Yuille (Aquatic Research and Monitoring Section, OMNR) for providing stable isotope data in fish and to the Hamilton Port Authority for permission to sample on their property. Funding was provided by Environment Canada's Chemicals Management Plan (CMP) to SdS, NSERC and OGS to LEK and RAL, FQRNT to RAL, NSERC and CFI/ORF to TICK.</t>
  </si>
  <si>
    <t>10.1016/j.jglr.2017.03.004</t>
  </si>
  <si>
    <t>EW0ZH</t>
  </si>
  <si>
    <t>WOS:000402219200014</t>
  </si>
  <si>
    <t>Edge, KJ; Dafforn, KA; Simpson, SL; Roach, AC; Johnston, EL</t>
  </si>
  <si>
    <t>Edge, Katelyn J.; Dafforn, Katherine A.; Simpson, Stuart L.; Roach, Anthony C.; Johnston, Emma L.</t>
  </si>
  <si>
    <t>A biomarker of contaminant exposure is effective in large scale assessment of ten estuaries</t>
  </si>
  <si>
    <t>Bivalves; Contaminants; Lysosomal membrane stability; Environmental monitoring; Re-suspended sediments</t>
  </si>
  <si>
    <t>OYSTERS CRASSOSTREA-VIRGINICA; OXIDATIVE STRESS BIOMARKERS; PORT JACKSON ESTUARY; COPPER MINE TAILINGS; ENVIRONMENTAL TOXICOLOGY; METAL BIOACCUMULATION; CELLULAR BIOMARKERS; SEDIMENT QUALITY; POLLUTION; HARBOR</t>
  </si>
  <si>
    <t>Cost-effective and sensitive measures of anthropogenic stress are necessary tools in any environmental monitoring program. When implementing new monitoring tools in a region, rigorous laboratory and field studies are essential for characterizing the sensitivity and efficacy of the approach. We exposed the oyster Saccostrea glomerata to various individual contaminants through multiple exposure pathways (water and food-borne) in the laboratory and measured two biomarker responses, lysosomal membrane stability (LMS) and lipid peroxidation (LPO). LMS was sensitive to both contaminant exposure pathways. We subsequently measured this biomarker in oysters which had been experimentally deployed at multiple sites in each of ten estuaries with varying levels of contamination associated with re-suspended sediments. There was a strong association between LMS and metal exposure, despite substantial natural variation in water quality parameters. Our results illustrate the potential use of LMS as a pragmatic indicator of biotic injury in environmental monitoring programs for re-suspended contaminated sediments. (C) 2014 Elsevier Ltd. All rights reserved.</t>
  </si>
  <si>
    <t>[Edge, Katelyn J.; Dafforn, Katherine A.; Johnston, Emma L.] Univ New S Wales, Evolut &amp; Ecol Res Ctr, Sch Biol Earth &amp; Environm Sci, Sydney, NSW 2052, Australia; [Simpson, Stuart L.] CSIRO Land &amp; Water, Ctr Environm Contaminants Res, Kirrawee, NSW 2232, Australia; [Roach, Anthony C.] NSW Off Environm &amp; Heritage, Ctr Ecotoxicol, Lidcombe, NSW 1825, Australia; [Johnston, Emma L.] Sydney Inst Marine Sci, Mosman, NSW 2088, Australia</t>
  </si>
  <si>
    <t>University of New South Wales Sydney; Commonwealth Scientific &amp; Industrial Research Organisation (CSIRO); Office of Environment &amp; Heritage - New South Wales; Sydney Institute of Marine Science</t>
  </si>
  <si>
    <t>Simpson, Stuart/JCE-1589-2023; Dafforn, Katherine/J-9647-2013; Johnston, Emma/B-7210-2009; Simpson, Stuart/A-6044-2011</t>
  </si>
  <si>
    <t>Dafforn, Katherine/0000-0001-8848-377X; Edge, Katelyn/0000-0002-0920-0020; Johnston, Emma/0000-0002-2117-366X; Simpson, Stuart/0000-0003-1759-0564</t>
  </si>
  <si>
    <t>Australian Research Council through an Australian Research Fellowship; Blue Scope Steel; NSW Marine Parks; CSIRO land and water and NSW Office of Environment and Heritage</t>
  </si>
  <si>
    <t>Australian Research Council through an Australian Research Fellowship(Australian Research Council); Blue Scope Steel; NSW Marine Parks; CSIRO land and water and NSW Office of Environment and Heritage</t>
  </si>
  <si>
    <t>This research was primarily supported by the Australian Research Council through an Australian Research Fellowship awarded to Johnston and a Linkage Grant awarded to Johnston, Kelaher and Coleman. We would like to thank Jaz Lawes, Natalie Riven), Vivian Sim, other members of the Subtidal Ecology and Ecotoxicology laboratory and volunteers for their assistance with this project. We thank Blue Scope Steel, NSW Marine Parks, CSIRO land and water and NSW Office of Environment and Heritage for their support.</t>
  </si>
  <si>
    <t>10.1016/j.chemosphere.2014.01.001</t>
  </si>
  <si>
    <t>AC1OB</t>
  </si>
  <si>
    <t>WOS:000332264800003</t>
  </si>
  <si>
    <t>SZEFER, P; SZEFER, K</t>
  </si>
  <si>
    <t>CONCENTRATION AND DISCRIMINATION FACTORS FOR CD, PB, ZN AND CU IN BENTHOS OF PUCK BAY, BALTIC SEA</t>
  </si>
  <si>
    <t>MYTILUS-EDULIS-PLANULATUS; ZOSTERA-MARINA L; TRACE-METALS; HEAVY-METALS; BROWN SEAWEED; MUSSEL-WATCH; INDICATOR; POLLUTION; CADMIUM; WATER</t>
  </si>
  <si>
    <t>Concentration and discrimination factors for Cd, Pb, Zn and Cu in benthos were estimated and are discussed with respect to concentrations in ambient water and surface sediments. The factors showed significant discrimination in favour of Zn versus Pb as well as for Cd versus Pb (especially with respect to surface sediment) in soft tissue of older specimens of Mytilus edulis. The data suggest that this mollusc has a greater affinity for Cd than for Pb. Hence Mytilus edulis may be less able to regulate the uptake of Cd compared with Pb from the ambient water and/or surface bottom sediment.</t>
  </si>
  <si>
    <t>SZEFER, P (corresponding author), MED ACAD GDANSK,DEPT ANALYT CHEM,GEN J HALLERA 107,PL-80416 GDANSK,POLAND.</t>
  </si>
  <si>
    <t>10.1016/0048-9697(91)90335-C</t>
  </si>
  <si>
    <t>FU951</t>
  </si>
  <si>
    <t>WOS:A1991FU95100011</t>
  </si>
  <si>
    <t>Pugh, RS; Becker, PR; Porter, BJ; Ellisor, MB; Moors, AJ; Wise, SA</t>
  </si>
  <si>
    <t>Pugh, Rebecca S.; Becker, Paul R.; Porter, Barbara J.; Ellisor, Michael B.; Moors, Amanda J.; Wise, Stephen A.</t>
  </si>
  <si>
    <t>Design and applications of the National Institute of Standards and Technology's (NIST's) environmental specimen banking programs</t>
  </si>
  <si>
    <t>CELL PRESERVATION TECHNOLOGY</t>
  </si>
  <si>
    <t>PERSISTENT ORGANIC POLLUTANTS; DOLPHINS STENO-BREDANENSIS; HERRING GULL EGGS; MARINE MAMMALS; TEMPORAL TRENDS; URIA-AALGE; TISSUES; CONTAMINATION; MERCURY; LIVER</t>
  </si>
  <si>
    <t>The National Institute of Standards and Technology (NIST) environmental specimen banking system consists of two environmental specimen banks (ESBs): the National Biomonitoring Specimen Bank established in 1979, and the Marine Environmental Specimen Bank established in 2002. Both facilities were specifically designed to store environmental specimens over long periods of time (50-100 years) and in such a way that future researchers could use these specimens to answer questions regarding trends in newly recognized environmental contaminants and verification of past analytical results. The NIST environmental banking system maintains collections of human liver specimens, human blood serum and blood spots, human diet samples, marine sediments, fish tissues, mussels, oysters, marine mammal tissues, and bird eggs and feathers collected as part of several monitoring and research programs supported by the U.S. Government. The NIST environmental banking system emphasizes: (1) carefully designed (and published) collection and banking procedures, (2) cryogenic storage to ensure sample stability, (3) high efficiency particulate air (HEPA)-filtered clean air conditions in the sample preparation and freezer rooms, (4) cryogenic homogenization systems for sample preparation, (5) computerized sample inventory and tracking system, (6) computerized security and monitoring systems, and (7) redundancy to minimize sample loss due to equipment or system failure. The NIST ESBs provide a resource of research specimens that are used to address questions regarding temporal and geographic trends in environmental contamination (including documentation of newly recognized contaminants), changes in ecosystem structure and function, genetic separation of populations of animals, and the health status of marine animals.</t>
  </si>
  <si>
    <t>[Pugh, Rebecca S.; Becker, Paul R.; Ellisor, Michael B.; Moors, Amanda J.] Natl Inst Stand &amp; Technol, Hollings Marine Lab, Div Analyt Chem, Charleston, SC 29412 USA; [Porter, Barbara J.; Wise, Stephen A.] Natl Inst Stand &amp; Technol, Div Analyt Chem, Gaithersburg, MD 20899 USA</t>
  </si>
  <si>
    <t>National Institute of Standards &amp; Technology (NIST) - USA; National Institute of Standards &amp; Technology (NIST) - USA</t>
  </si>
  <si>
    <t>Pugh, RS (corresponding author), Natl Inst Stand &amp; Technol, Hollings Marine Lab, Div Analyt Chem, 331 Ft Johnson Rd, Charleston, SC 29412 USA.</t>
  </si>
  <si>
    <t>Rebecca.Pugh@nist.gov</t>
  </si>
  <si>
    <t>Wise, Stephen/HLP-7967-2023</t>
  </si>
  <si>
    <t>MARY ANN LIEBERT, INC</t>
  </si>
  <si>
    <t>NEW ROCHELLE</t>
  </si>
  <si>
    <t>140 HUGUENOT STREET, 3RD FL, NEW ROCHELLE, NY 10801 USA</t>
  </si>
  <si>
    <t>1538-344X</t>
  </si>
  <si>
    <t>CELL PRESERV TECHNOL</t>
  </si>
  <si>
    <t>Cell Preserv. Technol.</t>
  </si>
  <si>
    <t>10.1089/cpt.2007.0517</t>
  </si>
  <si>
    <t>Cell Biology; Medical Laboratory Technology</t>
  </si>
  <si>
    <t>289PF</t>
  </si>
  <si>
    <t>WOS:000255065700003</t>
  </si>
  <si>
    <t>Zhu, B; Lin, Q; Ke, CH; Huang, HQ</t>
  </si>
  <si>
    <t>Zhu, Bo; Lin, Qing; Ke, Cai-Huan; Huang, He-Qing</t>
  </si>
  <si>
    <t>Single subunit type of ferritin from visceral mass of Saccostrea cucullata: Cloning, expression and cisplatin-subunit analysis</t>
  </si>
  <si>
    <t>Saccostrea cucullata; Ferritin; Monitoring level of Cd2+ pollution; Bacterial challenge; Cisplatin-subunit analysis</t>
  </si>
  <si>
    <t>IRON-REGULATORY PROTEINS; HEAVY-CHAIN; H-CHAINS; SEQUENCE; IDENTIFICATION; ALIGNMENT; CADMIUM; ANIMALS; PLANTS; GENES</t>
  </si>
  <si>
    <t>Ferritin, the iron storage protein, plays a key role in iron metabolism. Here, we have cloned an inducible ferritin cDNA with 516 bp within the open reading frame fragment from the visceral mass of Saccostrea cucullata. The subunit sequence of the ferritin was predicted to be a polypeptide of 171 amino acids with a molecular weight (MW) of 19.9182 kDa and an isoelectric point of 5.24. The cDNA sequence of S. cucullata ferritin was constructed into a pET-32a expression system for expressing its relative protein efficiently in the Escherichia coli BL21 strain under isopropyl-beta-D-thiogalactoside (IPTG) induction. The recombinant ferritin, which was further purified on a Ni-NTA resin column and digested with enterokinase, was detected as a single subunit of approximately MW 20 kDa using both SDS-PAGE and mass spectrometry. S. cucullata ferritin (ScFer) showed 98% identity with Crassostrea gigas ferritin at the amino acid level. The secondary structure and phosphorylation sites of deduced amino acids were predicted with ExPASy proteomics tools and the NetPhos 2.0 server, respectively, and the subunit space structure of recombinant S. cucullata ferritin (rScFer) was built using the molecular operating environmental software system. The results of both in-gel digestion and identification using MALDI-TOF MS/MS showed that the recombinant protein was ScFer. ICP-MS indicated that rScFer subunit can directly bind to cisplatin[cis-Diaminedichloroplatinum(CDDP)], giving approximately 22.9 CDDP/ferritin subunit for forming a novel complex of CDDP-subunit, which suggests that it constructs a nanometer CDDP core-ferritin for developing a new drug of anti-cancer. The results of both the real-time PCR and Western blotting showed that the expression of ScFer mRNA was up-regulated in the oyster under the stress of Cd2+. In addition, the expression increment of ScFer mRNA under bacterial challenge indicated that ferritin participated in the immune response of S. cucullata. The recombinant ScFer should prove to be useful for further study of the structure and function of ferritin in S. cucullata. Crown Copyright (C) 2011 Published by Elsevier Ltd. All rights reserved.</t>
  </si>
  <si>
    <t>[Zhu, Bo; Lin, Qing; Huang, He-Qing] Xiamen Univ, Sch Life Sci, State Key Lab Stress Cell Biol, Xiamen 361005, Peoples R China; [Ke, Cai-Huan; Huang, He-Qing] Xiamen Univ, State Key Lab Marine Environm Sci, Xiamen 361005, Peoples R China; [Lin, Qing; Huang, He-Qing] Xiamen Univ, Coll Chem &amp; Chem Engn, Key Lab Chem Biol Fujian Prov, Xiamen 361005, Peoples R China</t>
  </si>
  <si>
    <t>Huang, HQ (corresponding author), Xiamen Univ, Sch Life Sci, State Key Lab Stress Cell Biol, Xiamen 361005, Peoples R China.</t>
  </si>
  <si>
    <t>Huang, HQ/G-4093-2010; Ke, CH/G-4635-2010</t>
  </si>
  <si>
    <t>State Natural Science Fund [30870515]; 973 Projects [2010CB126403]; PCSIRT, China [IRT0941]</t>
  </si>
  <si>
    <t>This work was funded by grants from the State Natural Science Fund (No. 30870515) and 973 Projects (No. 2010CB126403), and the PCSIRT Project (IRT0941), China. We thank Professor John Hodgkiss for assistance with the English in this manuscript.</t>
  </si>
  <si>
    <t>10.1016/j.fsi.2011.06.020</t>
  </si>
  <si>
    <t>810TU</t>
  </si>
  <si>
    <t>WOS:000294150800012</t>
  </si>
  <si>
    <t>Syasina, IG; Vaschenko, MA; Zhadan, PM</t>
  </si>
  <si>
    <t>Morphological alterations in the digestive diverticula of Mizuhopecten yessoensis (Bivalvia: Pectinidae) from polluted areas of Peter the Great Bay, Sea of Japan</t>
  </si>
  <si>
    <t>MYTILUS-EDULIS-L; GLAND-GONAD COMPLEX; CRASSOSTREA-VIRGINICA; N-NITROSODIMETHYLAMINE; MARINE MUSSEL; EXPOSURE; CADMIUM; CELLS; HISTOPATHOLOGY; RESPONSES</t>
  </si>
  <si>
    <t>This paper describes the histology of the digestive diverticula of Mizuhopecten yessoensis (Jay) sampled from one reference and three polluted stations in Peter the Great Bay, Sea of Japan. A wide spectrum of morphological changes has been identified in scallops from polluted sites. Some changes were typical of only one of the polluted stations, such as the occurrence of new cell types, transitive cells with attributes of both digestive and basophilic cells, altered basophilic cells at Station B, the occurrence of atrophic tubules at Station C and mass shedding of basophilic cells in tubule lumina at Station D. Other changes were common in scallops from all polluted sires, such as vacuolization and shedding of digestive cells and necrosis of digestive tubules. Two different responses of the basophilic cells may represent an adaptive-compensatory reaction of the digestive diverticula to damage, i.e. loss of digestive cells and disruption of intracellular digestion. The regeneration of the digestive diverticula through the formation of new tubules was observed in scallops from all stations but at Station D there was incomplete regeneration as evidenced by the smaller numbers of digestive tubules per unit area of digestive diverticula. Histological changes in the scallop digestive diverticula seem to be related to pollution of Peter the Great Bay. (C) 1997 Elsevier Science Ltd.</t>
  </si>
  <si>
    <t>RUSSIAN ACAD SCI,FAR E BRANCH,PACIFIC OCEANOL INST,INST MARINE BIOL,VLADIVOSTOK 690041,RUSSIA</t>
  </si>
  <si>
    <t>Ilichev Pacific Oceanological Institute; Russian Academy of Sciences; National Scientific Center of Marine Biology, Far East Branch of the Russian Academy of Sciences</t>
  </si>
  <si>
    <t>Zhadan, Petr/A-9983-2016; Vaschenko, Marina/P-9370-2015</t>
  </si>
  <si>
    <t>Vaschenko, Marina/0000-0002-9098-2102; Syasina, Iraida/0000-0003-1484-4047</t>
  </si>
  <si>
    <t>10.1016/S0141-1136(96)00104-3</t>
  </si>
  <si>
    <t>WP580</t>
  </si>
  <si>
    <t>WOS:A1997WP58000007</t>
  </si>
  <si>
    <t>Beg, MU; Al-Jandal, N; Al-Subiai, S; Karam, Q; Husain, S; Butt, SA; Ali, A; Al-Hasan, E; Al-Dufaileej, S; Al-Husaini, M</t>
  </si>
  <si>
    <t>Beg, M. U.; Al-Jandal, N.; Al-Subiai, S.; Karam, Q.; Husain, S.; Butt, S. A.; Ali, A.; Al-Hasan, E.; Al-Dufaileej, S.; Al-Husaini, M.</t>
  </si>
  <si>
    <t>Metallothionein, oxidative stress and trace metals in gills and liver of demersal and pelagic fish species from Kuwaits' marine area</t>
  </si>
  <si>
    <t>Environmental pollution; Biomarker; Stress proteins; Acanthopagrus latus; Cynoglossus arel</t>
  </si>
  <si>
    <t>SEDIMENTS; EXPOSURE; CADMIUM; GULF; ACCUMULATION; HYDROCARBONS; INDUCTION; RESPONSES; BIVALVES; PROTEINS</t>
  </si>
  <si>
    <t>Two fish species yellowfin seabream (Acanthopagrus lotus) and tonguesole (Cynoglossus arel) were collected from two locations in Kuwait's territorial waters in non-reproductive periods and used as bio-indicator organism for the assessment of metals in the marine environment. Species variation in fish was observed; seabream contained high metal content and metallothionein in liver and gill tissues compared to tonguesole, especially from Kuwait Bay area. Oxidative injury was registered in the gills of both species, but in tonguesole liver was also involved. Consequently, antioxidant enzyme catalase was elevated in tonguesole enabling bottom dwelling fish to combat oxidative assault. The study provided information about the current status of metals in marine sediment and levels of metals accumulated in representative species along with oxidative damage in exposed tissues and the range of biomarker protein metallothionein and enzymes of antioxidant defence mechanism enhancing our understanding about the biological response to the existing marine environment in Kuwait. (C) 2015 Elsevier Ltd. All rights reserved.</t>
  </si>
  <si>
    <t>[Beg, M. U.; Al-Jandal, N.; Al-Subiai, S.; Karam, Q.; Husain, S.; Butt, S. A.; Ali, A.; Al-Hasan, E.; Al-Dufaileej, S.; Al-Husaini, M.] Kuwait Inst Sci Res, Environm Pollut &amp; Climate Program, Environm &amp; Life Sci Res Ctr, Safat 13109, Kuwait</t>
  </si>
  <si>
    <t>Beg, MU (corresponding author), Kuwait Inst Sci Res, Environm Pollut &amp; Climate Program, Environm &amp; Life Sci Res Ctr, POB 24885, Safat 13109, Kuwait.</t>
  </si>
  <si>
    <t>mbeg@kisr.edu.kw</t>
  </si>
  <si>
    <t>Aljandal, Dr. Noura/0000-0002-2472-6346</t>
  </si>
  <si>
    <t>Kuwait Institute for Scientific Research (KISR); Kuwait Foundation for the Advancement of Sciences (KFAS) - Kuwait</t>
  </si>
  <si>
    <t>The authors are grateful to Dr. Naji Al-Mutairi, Director General of Kuwait Institute for Scientific Research (KISR) and Dr. Adnan A. Shahabuddin, Director General of Kuwait Foundation for the Advancement of Sciences (KFAS) - Kuwait, for their interest in and providing financial support for the study.</t>
  </si>
  <si>
    <t>10.1016/j.marpolbul.2015.07.058</t>
  </si>
  <si>
    <t>WOS:000367108100009</t>
  </si>
  <si>
    <t>Ishitsuka, K; Tsuji, M; Yamamoto, M; Tanaka, R; Suga, R; Kuwamura, M; Sakuragi, T; Shimono, M; Kusuhara, K</t>
  </si>
  <si>
    <t>Ishitsuka, Kazue; Tsuji, Mayumi; Yamamoto, Megumi; Tanaka, Rie; Suga, Reiko; Kuwamura, Mami; Sakuragi, Toshihide; Shimono, Masayuki; Kusuhara, Koichi</t>
  </si>
  <si>
    <t>Japan Environm Children's Study</t>
  </si>
  <si>
    <t>Association between maternal fish consumption during pregnancy and preterm births: the Japan Environment and Children's Study</t>
  </si>
  <si>
    <t>ENVIRONMENTAL HEALTH AND PREVENTIVE MEDICINE</t>
  </si>
  <si>
    <t>Fish; Birth cohort; Preterm births</t>
  </si>
  <si>
    <t>POLYUNSATURATED FATTY-ACIDS; BODY-MASS INDEX; VALIDITY; FETAL; RISK; QUESTIONNAIRE; EPIDEMIOLOGY; MERCURY; SEAFOOD; COHORT</t>
  </si>
  <si>
    <t>Background: Fish are a rich source of essential nutrients that protect against preterm birth. However, as fish can absorb environmental pollutants, their consumption can also increase the risk of preterm birth. This study aimed to assess whether maternal fish consumption during pregnancy is associated with preterm birth in a nationwide large Japanese cohort that consumed relatively high amounts and many types of fish.Methods: This study included 81,428 mother-child pairs enrolled in a nationwide prospective Japanese birth cohort study. Fish consumption was assessed using a validated food frequency questionnaire. Multivariate logistic regression was used to investigate the association of total consumption of fish, fatty fish and lean fish, fish paste, and seafood and clams with preterm birth, adjusted for potential confounders.Results: There was no association between overall fish consumption and preterm births. However, the highest quintile of fish paste consumption was significantly associated with an increased risk of preterm birth (odds ratio [OR]: 1.11; 95% confidence interval [CI: 1.04, 1.17]). The consumption of baked fish paste at least three times per week was significantly associated with preterm birth (OR: 1.20; 95% CI: 1.03, 1.40). Consumption of other types of fish, except fish paste, was not significantly associated with preterm birth risk. Conclusions: Fish paste consumption may increase the risk of preterm birth. Further studies are required to confirm this association.</t>
  </si>
  <si>
    <t>[Ishitsuka, Kazue; Tsuji, Mayumi; Yamamoto, Megumi; Tanaka, Rie; Kuwamura, Mami; Sakuragi, Toshihide] Univ Occupat &amp; Environm Hlth, Sch Med, Dept Environm Hlth, Kitakyushu, Japan; [Ishitsuka, Kazue] Natl Ctr Child Hlth &amp; Dev, Dept Social Med, Tokyo, Japan; [Yamamoto, Megumi] Natl Inst Minamata Dis, Dept Environm &amp; Publ Hlth, Minamata, Japan; [Tsuji, Mayumi; Suga, Reiko; Shimono, Masayuki; Kusuhara, Koichi] Univ Occupat &amp; Environm Hlth, Reg Ctr Japan Environm &amp; Childrens Study, Kitakyushu, Japan; [Kuwamura, Mami; Shimono, Masayuki; Kusuhara, Koichi] Univ Occupat &amp; Environm Hlth, Dept Pediat, Kitakyushu, Japan</t>
  </si>
  <si>
    <t>University of Occupational &amp; Environmental Health - Japan; National Center for Child Health &amp; Development - Japan; University of Occupational &amp; Environmental Health - Japan; University of Occupational &amp; Environmental Health - Japan</t>
  </si>
  <si>
    <t>Ishitsuka, K (corresponding author), Univ Occupat &amp; Environm Hlth, Sch Med, Dept Environm Hlth, Kitakyushu, Japan.;Ishitsuka, K (corresponding author), Natl Ctr Child Hlth &amp; Dev, Dept Social Med, Tokyo, Japan.</t>
  </si>
  <si>
    <t>ishitsuka-k@ncchd.go.jp</t>
  </si>
  <si>
    <t>Eguchi, Mami/IYK-0512-2023</t>
  </si>
  <si>
    <t>Japan Environment and Children's Study of the Ministry of Environment, Japan</t>
  </si>
  <si>
    <t>This work was funded by the Japan Environment and Children's Study of the Ministry of Environment, Japan. The findings and conclusions of this article are solely the responsibility of the authors and do not represent the official views of the government.</t>
  </si>
  <si>
    <t>JAPANESE SOC HYGIENE</t>
  </si>
  <si>
    <t>Kyoto-city</t>
  </si>
  <si>
    <t>146 Nishioji-cho, Shimodachiuri-dori, Kamigyo-ku,, Kyoto-city, Kyoto, JAPAN</t>
  </si>
  <si>
    <t>1342-078X</t>
  </si>
  <si>
    <t>1347-4715</t>
  </si>
  <si>
    <t>ENVIRON HEALTH PREV</t>
  </si>
  <si>
    <t>Environ. Health Prev.</t>
  </si>
  <si>
    <t>10.1265/ehpm.23-00084</t>
  </si>
  <si>
    <t>X2XY8</t>
  </si>
  <si>
    <t>WOS:001097148100005</t>
  </si>
  <si>
    <t>Silva, CJM; Beleza, S; Campos, D; Soares, AMVM; Silva, ALP; Pestana, JLT; Gravato, C</t>
  </si>
  <si>
    <t>Silva, Carlos J. M.; Beleza, Sonia; Campos, Diana; Soares, Amadeu M. V. M.; Patricio Silva, Ana L.; Pestana, Joao L. T.; Gravato, Carlos</t>
  </si>
  <si>
    <t>Immune response triggered by the ingestion of polyethylene microplastics in the dipteran larvae Chironomus riparius</t>
  </si>
  <si>
    <t>Innate immune system; Phenoloxidase; Biomarkers; Invertebrates; Plastic pollution</t>
  </si>
  <si>
    <t>HEAVY-METAL POLLUTION; PRO-PHENOL-OXIDASE; PHENOLOXIDASE ACTIVITY; GEOMETRID MOTH; DEFENSE; PROPHENOLOXIDASE; ACTIVATION; MUSSEL; POLLUTANTS; HEMOLYMPH</t>
  </si>
  <si>
    <t>The activation of insects' immune system due to the ingestion of microplastics (MPs) has only been evidenced by the upregulation of specific genes. The activation of phenoloxidase (PO) system is one of the primary responses involved in insects' innate immunity when facing parasites and pathogens, and ingestion of MPs can trigger a similar process. This study aimed at addressing the activities of basal PO and total PO (PO+ prophenoloxidase - proPO), in Chironomus riparius larvae (a model species in ecotoxicology) exposed to sediments spiked with polyethylene microplastics (PE-MPs; size-range 32-63 mu m; concentrations: 1.25; 5; to 20 g kg-1) for 48 h. The ingestion of PE-MPs by larvae triggered a significant increase of basal PO activity at 5 and 20 g PE-MPs kg-1, by 26% and 29%, respectively, whereas total PO increased significantly in the latter (+48%), suggesting de novo synthesis of proPO by organisms. Considering the particle size, the immune response's activation is probably linked to damage in the epithelial cells of the gut lumen. This research work provides the first evidence on the activation of the insect's innate immune system after ingestion of MPs and underlines the PO activity as a good indicator of the immune response induced by MPs' ingestion.</t>
  </si>
  <si>
    <t>[Silva, Carlos J. M.; Beleza, Sonia; Campos, Diana; Soares, Amadeu M. V. M.; Patricio Silva, Ana L.; Pestana, Joao L. T.] Univ Aveiro, CESAM Ctr Environm &amp; Marine Studies, Dept Biol, Campus Univ Santiago, P-3810193 Aveiro, Portugal; [Gravato, Carlos] Univ Lisbon, Fac Sci, P-1749016 Lisbon, Portugal; [Gravato, Carlos] Univ Lisbon, CESAM, P-1749016 Lisbon, Portugal</t>
  </si>
  <si>
    <t>Universidade de Aveiro; Universidade de Lisboa; Universidade de Lisboa</t>
  </si>
  <si>
    <t>Pestana, JLT (corresponding author), Univ Aveiro, CESAM Ctr Environm &amp; Marine Studies, Dept Biol, Campus Univ Santiago, P-3810193 Aveiro, Portugal.</t>
  </si>
  <si>
    <t>Soares, Amadeu/A-8304-2008; Gravato, Carlos Alexandre Sarabando/I-6496-2019; Campos, Diana M/U-9808-2018; Pestana, Joao/A-9279-2008; Patricio Silva, Ana/K-1919-2013</t>
  </si>
  <si>
    <t>Soares, Amadeu/0000-0003-0879-9470; Gravato, Carlos Alexandre Sarabando/0000-0003-0562-6945; Silva, Carlos J.M./0000-0001-7590-9639; Campos, Diana M/0000-0002-3272-9360; Pestana, Joao/0000-0003-1322-2959; Patricio Silva, Ana/0000-0003-1932-1229</t>
  </si>
  <si>
    <t>Fundaco para a Ciencia e a Tecnologia (FCT - Portugal) [UIDP/50017/2020+UIDB/50017/2020]; Ministerio da Ciencia, Tecnologia e Ensino Superior (MCTES - Portugal) [UIDP/50017/2020+UIDB/50017/2020]; FEDER, through COMPETE2020 - Programa Operacional Competitividade e Internacionalizacao (POCI) [POCI-01-0145-FEDER-030361]; national funds (OE), through FCT/MCTES [POCI-01-0145-FEDER-030361]; POCH funds [CEECIND/01366/2018]; FCT under POCH funds [IF/01420/2015, IF/01401/2014, PD/BD/128134/2016]; European Social Fund; Portuguese National Funds from MEC; project ComPET [5662]; Fundação para a Ciência e a Tecnologia [PD/BD/128134/2016] Funding Source: FCT</t>
  </si>
  <si>
    <t>Fundaco para a Ciencia e a Tecnologia (FCT - Portugal); Ministerio da Ciencia, Tecnologia e Ensino Superior (MCTES - Portugal); FEDER, through COMPETE2020 - Programa Operacional Competitividade e Internacionalizacao (POCI)(European Union (EU)); national funds (OE), through FCT/MCTES(Fundacao para a Ciencia e a Tecnologia (FCT)); POCH funds; FCT under POCH funds(Fundacao para a Ciencia e a Tecnologia (FCT)); European Social Fund(European Social Fund (ESF)); Portuguese National Funds from MEC(Fundacao para a Ciencia e a Tecnologia (FCT)); project ComPET; Fundação para a Ciência e a Tecnologia(Fundacao para a Ciencia e a Tecnologia (FCT))</t>
  </si>
  <si>
    <t>Thanks are due to Fundaco para a Ciencia e a Tecnologia (FCT - Portugal) e Ministerio da Ciencia, Tecnologia e Ensino Superior (MCTES - Portugal) for the financial support to CESAM (UIDP/50017/2020+UIDB/50017/2020), through national funds, and to research project (POCI-01-0145-FEDER-030361) funded by FEDER, through COMPETE2020 - Programa Operacional Competitividade e Internacionalizacao (POCI), and by national funds (OE), through FCT/MCTES. CS was supported by FCT through scholarship PD/BD/128134/2016 and ALPS was supported by CEECIND/01366/2018, whereas JLTP and CG were supported by the FCT research contracts IF/01420/2015 and IF/01401/2014, respectively; all under POCH funds, co-financed by the European Social Fund and Portuguese National Funds from MEC. DC has a research contract within the project ComPET (nr. 5662).</t>
  </si>
  <si>
    <t>10.1016/j.jhazmat.2021.125401</t>
  </si>
  <si>
    <t>SF8XC</t>
  </si>
  <si>
    <t>WOS:000653030500008</t>
  </si>
  <si>
    <t>Turner, A</t>
  </si>
  <si>
    <t>Turner, Andrew</t>
  </si>
  <si>
    <t>Selenium in sediments and biota from estuaries of southwest England</t>
  </si>
  <si>
    <t>Selenium; Estuaries; Sediment; Accumulation; Macroalgae; Invertebrates</t>
  </si>
  <si>
    <t>BIVALVE POTAMOCORBULA-AMURENSIS; UNITED-KINGDOM ESTUARIES; LAKE MACQUARIE; ACCUMULATION; AUSTRALIA; METALS; BIOAVAILABILITY; CADMIUM; COPPER; BASIN</t>
  </si>
  <si>
    <t>Selenium concentrations have been measured in sediment, fucoid macroalgae and macroinvertebrates from four estuaries of SW England (Yealm, Plym, Looe, Fal). Sediment concentrations ranged from about 0.4 mu g g(-1) in the Yealm to 1.49 mu g g(-1) at one site in the Plym. Concentrations in Fucus vesiculosus (0.05-0.31 mu g g(-1)) and F. ceranoides (0.05-0.51 mu g g(-1)) were significantly lower than corresponding concentrations in sediment but there was no correlation between algal and sediment concentrations. Selenium concentrations in Littorina littorea (similar to 4 mu g g(-1)), Hediste diversicolor (2.82-12.68 mu g g(-1)), Arenicola marina (similar to 17 mu g g(-1)) and Scrobicularia plana (1.18-6.85 mu g g(-1)) were considerably higher than concentrations in macroalga or sediment, suggesting that Se is effectively accumulated from the diet. Although Se concentrations in some invertebrates exceed toxicity thresholds for the diet of predacious birds and fish, no specific evidence for Se toxicity exists in these estuaries, (C) 2013 Elsevier Ltd. All rights reserved.</t>
  </si>
  <si>
    <t>Univ Plymouth, Sch Geog Earth &amp; Environm Sci, Plymouth PL4 8AA, Devon, England</t>
  </si>
  <si>
    <t>Turner, A (corresponding author), Univ Plymouth, Sch Geog Earth &amp; Environm Sci, Plymouth PL4 8AA, Devon, England.</t>
  </si>
  <si>
    <t>Turner, Andrew/AAI-8829-2020</t>
  </si>
  <si>
    <t>10.1016/j.marpolbul.2013.05.023</t>
  </si>
  <si>
    <t>WOS:000323586900034</t>
  </si>
  <si>
    <t>Sizmur, T; Campbell, L; Dracott, K; Jones, M; O'Driscoll, NJ; Gerwing, T</t>
  </si>
  <si>
    <t>Sizmur, Tom; Campbell, Lily; Dracott, Karina; Jones, Megan; O'Driscoll, Nelson J.; Gerwing, Travis</t>
  </si>
  <si>
    <t>Relationships between Potentially Toxic Elements in intertidal sediments and their bioaccumulation by benthic invertebrates</t>
  </si>
  <si>
    <t>SUNDERBAN MANGROVE WETLAND; HEAVY-METAL; PULP-MILL; NEREIS-DIVERSICOLOR; DISCONTINUITY ARPD; BIVALVE MOLLUSKS; COMMUNITY; ZINC; ESTUARINE; POLLUTION</t>
  </si>
  <si>
    <t>The bioaccumulation of Potentially Toxic Elements (PTEs) by benthic invertebrates in estuarine sediments is poorly understood. We sampled and analysed PTEs in sediments and benthic invertebrates from five sites in the Skeena Estuary (British Columbia, Canada), including sites adjacent to an abandoned cannery and a decommissioned papermill. Our aim was to elucidate baseline levels of PTE concentrations at sites that may be recovering from disturbance associated with prior industrial development and identify organisms that could be used to biomonitor the impact of future industrial developments. There was no indication that sediments of the salmon cannery were polluted, but acidic sediments adjacent to the papermill contained elevated concentrations of Cd, Cr, Hg and Pb. Benthic invertebrate community assemblages confirm that sediments have mostly recovered from prior industrial development associated with discharge of papermill sludge. Overall, we did not observe any relationship between PTE concentrations in the sediment and PTE concentrations in invertebrate tissues. However, we did observe a negative relationship between sediment pH and the Biota-Sediment Accumulation Factor (BSAF) of most PTEs for Oregon pill bugs (Gnori-mosphaeroma oregonensis). G. oregonensis, observed at all sites, feeds on the fibers associated with the papermill discharge. Thus, G. oregonensis is a useful biomonitors for quantifying the impact of the decommissioned papermill, and are candidate biomonitors for assessing the impact of similar industrial development projects on intertidal ecosystems.</t>
  </si>
  <si>
    <t>[Sizmur, Tom; Jones, Megan] Univ Reading, Dept Geog &amp; Environm Sci, Reading, Berks, England; [Campbell, Lily; Gerwing, Travis] Univ Victoria, Dept Biol, Victoria, BC, Canada; [Dracott, Karina] Ocean Wise Conservat Assoc, North Coast Cetacean Res Initiat, Prince Rupert, BC, Canada; [O'Driscoll, Nelson J.] Acadia Univ, Dept Earth &amp; Environm Sci, Wolfville, NS, Canada; [Gerwing, Travis] Univ Northern British Columbia, Ecosyst Sci &amp; Management Program, Prince George, BC, Canada</t>
  </si>
  <si>
    <t>University of Reading; University of Victoria; Acadia University; University of Northern British Columbia</t>
  </si>
  <si>
    <t>Sizmur, T (corresponding author), Univ Reading, Dept Geog &amp; Environm Sci, Reading, Berks, England.</t>
  </si>
  <si>
    <t>t.sizmur@reading.ac.uk</t>
  </si>
  <si>
    <t>Gerwing, Travis/AAU-6569-2020; Sizmur, Tom/F-4532-2018</t>
  </si>
  <si>
    <t>Dracott, Karina/0000-0001-9225-1816; O'Driscoll, Nelson/0000-0002-8598-8251; Sizmur, Tom/0000-0001-9835-7195</t>
  </si>
  <si>
    <t>Royal Geographical Society Environment and Sustainability Research Grant - Mitacs Elevate fellowship</t>
  </si>
  <si>
    <t>This work was funded by a Royal Geographical Society Environment and Sustainability Research Grant awarded to TS and TG, https://www.rgs.org/in-the-field/in-the-fieldgrants/research-grants/environment-and-sustainability-research-grants/.TG was also funded by a Mitacs Elevate fellowship, https://www.mitacs.ca/en/programs/elevate.The funders had no role in study design, data collection and analysis, decision to publish, or preparation of the manuscript.</t>
  </si>
  <si>
    <t>e0216767</t>
  </si>
  <si>
    <t>10.1371/journal.pone.0216767</t>
  </si>
  <si>
    <t>LM5BF</t>
  </si>
  <si>
    <t>gold, Green Published, Green Submitted, Green Accepted</t>
  </si>
  <si>
    <t>WOS:000532262800003</t>
  </si>
  <si>
    <t>FOSTER, P; CHACKO, J</t>
  </si>
  <si>
    <t>MINOR AND TRACE-ELEMENTS IN THE SHELL OF PATELLA-VULGATA (L)</t>
  </si>
  <si>
    <t>OYSTERS CRASSOSTREA-VIRGINICA; METAL POLLUTION; MUSSEL SHELLS; HEAVY-METALS; ESTUARY; MYTILUS; STREAM; WATER; SEA</t>
  </si>
  <si>
    <t>Specimens of the common limpet (Patella vulgata) were collected from each of three sites of high chemical characterisation around the coast of Anglesey, North Wales, UK. The shells were analysed individually for their minor element (Mg, Sr) and trace element (Fe, Mn, Cu, Zn) content. Mean concentrations (n = 75) of these elements in the shell of P. Vulgata were 3621, 1566, 15.6, 46.1, 2.7 and 3.9 mu g g(-1), respectively. The elemental concentrations, however, exhibited both a marked intra-and inter-population variability. Principal component analysis applied to the data for individual populations showed the element concentrations in the shell to be controlled by three contemporaneous, but quite different agencies. Despite the variability within individual populations, significant differences in gross element composition were apparent amongst the three populations studied. The environmental availability of elements at the three sites was not reflected in the trace metal concentrations of the shells. The shell of P. Vulgata is therefore rejected for potential use in environmental trace metal monitoring.</t>
  </si>
  <si>
    <t>COCHIN UNIV SCI &amp; TECHNOL,SCH MARINE SCI,COCHIN 682016,KERALA,INDIA</t>
  </si>
  <si>
    <t>FOSTER, P (corresponding author), UNIV WALES,SCH OCEAN SCI,BANGOR,GWYNEDD,WALES.</t>
  </si>
  <si>
    <t>10.1016/0141-1136(94)00005-A</t>
  </si>
  <si>
    <t>RJ130</t>
  </si>
  <si>
    <t>WOS:A1995RJ13000004</t>
  </si>
  <si>
    <t>Dellali, M; Khallouli, A; Harrath, AH; Falodah, F; Alwasel, S; Beyrem, H; Gyedu-Ababio, T; Rohal-Lupher, M; Boufahja, F</t>
  </si>
  <si>
    <t>Dellali, Mohamed; Khallouli, Altaf; Harrath, Abdel Halim; Falodah, Fawaz; Alwasel, Saleh; Beyrem, Hamouda; Gyedu-Ababio, Thomas; Rohal-Lupher, Melissa; Boufahja, Fehmi</t>
  </si>
  <si>
    <t>Effects of Au/TiO2 metallic nanoparticles on Unio ravoisieri: assessment through an oxidative stress and toxicity biomarkers</t>
  </si>
  <si>
    <t>Nanoparticles; Gold; Titanium dioxide; Biomarkers; Oxidative stress; Unio ravoisieri</t>
  </si>
  <si>
    <t>TITANIUM-DIOXIDE NANOPARTICLES; ZINC-OXIDE NANOPARTICLES; FRESH-WATER BIVALVE; SCROBICULARIA-PLANA; CORBICULA-FLUMINEA; TIO2 NANOPARTICLES; MYTILUS-GALLOPROVINCIALIS; SILVER NANOPARTICLES; GOLD NANOPARTICLES; ACETYLCHOLINESTERASE ACTIVITY</t>
  </si>
  <si>
    <t>Several studies have been performed on the effects of nanoparticles on aquatic life. However, most of them investigated marine organisms, not freshwater organisms. This study investigated biomarker responses after exposure for 48 h and 7 days to newly made gold and titanium dioxide (Au/TiO2) metallic nanoparticles (MNPs) (100 and 200 mu g center dot L-1) using the freshwater bivalve mussel Unio ravoisieri. Biochemical analysis of the gills and digestive glands showed induction of oxidative stress following exposure of the bivalve to Au/TiO2 MNPs. After 2 or 7 days of exposure to Au/TiO2 MNPs, both utilized concentrations of Au/TiO2 MNPs induce an overproduction of H2O2. Catalase and glutathione S-transferase activities and the malonedialdehyde content significantly increased in the presence of Au/TiO2 MNPs, depending on the concentration and target organ. In contrast, acetylcholinesterase activity was significantly inhibited, indicating a discernible disturbance of the cholinergic system in the presence of Au/TiO2 MNPs. The behavior of the freshwater mussel was altered by reducing the clearance rate. Therefore, U. ravoisieri can be used as a model species in laboratory studies to mirror the presence of MNPs, and the biomarker approach is important for detecting the effects of Au/TiO2 MNPs. In addition, digestive gland is the target organ of Au/TiO(2)NPs contamination.</t>
  </si>
  <si>
    <t>[Dellali, Mohamed; Khallouli, Altaf; Beyrem, Hamouda; Boufahja, Fehmi] Univ Carthage, Coastal Ecol &amp; Ecotoxicol Unit, Lab Environm Biomonitoring, Fac Sci Bizerte, Zarzouna 7021, Tunisia; [Harrath, Abdel Halim; Falodah, Fawaz; Alwasel, Saleh] King Saud Univ, Zool Dept, Coll Sci, Box 2455, Riyadh 11451, Saudi Arabia; [Gyedu-Ababio, Thomas] Univ South Africa, Pretoria, South Africa; [Rohal-Lupher, Melissa] Texas Water Dev Board, 1700 North Congress Ave, Austin, TX 78701 USA</t>
  </si>
  <si>
    <t>Boufahja, F (corresponding author), Univ Carthage, Coastal Ecol &amp; Ecotoxicol Unit, Lab Environm Biomonitoring, Fac Sci Bizerte, Zarzouna 7021, Tunisia.</t>
  </si>
  <si>
    <t>DELLALI, Mohamed/JVZ-2120-2024; Harrath, Abdel Halim/K-2166-2014</t>
  </si>
  <si>
    <t>Harrath, Abdel Halim/0000-0002-2170-1303; Mohamed, DELLALI/0000-0002-4979-3369</t>
  </si>
  <si>
    <t>10.1007/s11356-020-12305-7</t>
  </si>
  <si>
    <t>RD9YX</t>
  </si>
  <si>
    <t>WOS:000605574200005</t>
  </si>
  <si>
    <t>Nowak, C; Vogt, C; Oehlmann, J; Pfenninger, M; Schwenk, K; Streit, B; Oetken, M</t>
  </si>
  <si>
    <t>Nowak, Carsten; Vogt, Christian; Oehlmann, Joerg; Pfenninger, Markus; Schwenk, Klaus; Streit, Bruno; Oetken, Matthias</t>
  </si>
  <si>
    <t>Impact of genetic diversity and inbreeding on the life-history of Chironomus midges over consecutive generations</t>
  </si>
  <si>
    <t>Tributyltin; Chironomids; Environmental stress; Genetic variability; Evolutionary toxicology; Pesticide exposure</t>
  </si>
  <si>
    <t>CADMIUM; POPULATION; RIPARIUS; TRIBUTYLTIN; DIPTERA; STRESS</t>
  </si>
  <si>
    <t>We report results of a multigenerational experiment with Chironomus riparius. Two strains with a high and a low level of genetic variability were exposed to a low, environmentally relevant TBT concentration of 80 mu g Sn kg(-1) sediment dw nominally (time weighted mean, based on measured concentrations: 4.5 mu g Sn kg(-1) sediment dw), and various life history traits as well as genetic diversity were monitored for eleven consecutive generations. While TBT effects are hardly visible in the outbred and genetically diverse strain, the inbred and genetically impoverished strain shows a clearly reduced population growth rate compared to the control. Moreover, the impoverished strain shows an increase in fitness over time. Analyses of variation at five microsatellite loci revealed that the level of genetic variation is strongly reduced in the inbred compared to the outbred strain. Moreover, genetic diversity increases over time in the inbred strain. This finding explains the observed increase in fitness in both inbred lineages (control and TBT exposed). The results document that inbreeding and the level of genetic diversity might be of crucial importance in populations under pollution stress. Furthermore, ecotoxicological bioassays have to consider genetic diversity if results between laboratories should be comparable. Our data provides evidence that genetic diversity strongly contributes to the survival of a population exposed to chemical pollution. (C) 2012 Elsevier Ltd. All rights reserved,</t>
  </si>
  <si>
    <t>[Nowak, Carsten] Senckenberg Res Inst, Conservat Res Sect, D-63571 Gelnhausen, Germany; [Nowak, Carsten] Nat Hist Museums, D-63571 Gelnhausen, Germany; [Nowak, Carsten; Oehlmann, Joerg; Pfenninger, Markus; Schwenk, Klaus; Streit, Bruno] Biodivers &amp; Climate Res Ctr BiK F, D-60325 Frankfurt, Germany; [Vogt, Christian; Oehlmann, Joerg; Oetken, Matthias] Goethe Univ Frankfurt, Dept Aquat Ecotoxicol, Div Biol Sci, D-60054 Frankfurt, Germany; [Schwenk, Klaus] Univ Koblenz Landau, Inst Environm Sci, D-76829 Landau Pfalz, Germany; [Streit, Bruno] Goethe Univ Frankfurt, Dept Ecol &amp; Evolut, Div Biol Sci, D-60054 Frankfurt, Germany</t>
  </si>
  <si>
    <t>Senckenberg Gesellschaft fur Naturforschung (SGN); Senckenberg Gesellschaft fur Naturforschung (SGN); Senckenberg Biodiversitat &amp; Klima- Forschungszentrum (BiK-F); Goethe University Frankfurt; University of Koblenz &amp; Landau; Goethe University Frankfurt</t>
  </si>
  <si>
    <t>Nowak, C (corresponding author), Clamecystr 12, D-63571 Gelnhausen, Germany.</t>
  </si>
  <si>
    <t>cnowak@senckenberg.de</t>
  </si>
  <si>
    <t>Oetken, Matthias/C-9906-2010; Schwenk, Klaus/G-9603-2015; Vogt, Christian/E-2028-2012; Oehlmann, Jorg/B-4565-2010; Nowak, Carsten/A-4466-2014</t>
  </si>
  <si>
    <t>Oehlmann, Jorg/0000-0002-6075-2701; Schwenk, Klaus/0000-0003-2427-4332; Nowak, Carsten/0000-0002-3139-1951</t>
  </si>
  <si>
    <t>federal state Baden-Wurttemberg [BWR 22018]; Hesse's Ministry of Higher Education, Research, and the Arts</t>
  </si>
  <si>
    <t>federal state Baden-Wurttemberg; Hesse's Ministry of Higher Education, Research, and the Arts</t>
  </si>
  <si>
    <t>The assistance of the staff of the Departments Aquatic Ecotoxicology and Ecology and Evolution of the Goethe-University Frankfurt am Main is greatly appreciated. This research Project has been funded by the BW-Plus program Programm Lebensgrundlage Umwelt und ihre Sicherung of the federal state Baden-Wurttemberg (Contract Number BWR 22018). Additional funding comes from the research funding programme LOEWE - Landes-Offensive zur Entwicklung Wissenschaftlich-okonomischer Exzellenz of Hesse's Ministry of Higher Education, Research, and the Arts.</t>
  </si>
  <si>
    <t>10.1016/j.chemosphere.2012.03.036</t>
  </si>
  <si>
    <t>970VQ</t>
  </si>
  <si>
    <t>WOS:000306160800012</t>
  </si>
  <si>
    <t>Strady, E; Kervella, S; Blanc, G; Robert, S; Stanisière, JY; Coynel, A; Schäfer, J</t>
  </si>
  <si>
    <t>Strady, Emilie; Kervella, Stephane; Blanc, Gerard; Robert, Serge; Stanisiere, Jean Yves; Coynel, Alexandra; Schaefer, Joerg</t>
  </si>
  <si>
    <t>Spatial and temporal variations in trace metal concentrations in surface sediments of the Marennes Oleron Bay. Relation to hydrodynamic forcing</t>
  </si>
  <si>
    <t>Trace metal; Marennes Oleron Bay; Enrichment factor; Sediment; Hydrodynamic; Altus</t>
  </si>
  <si>
    <t>GIRONDE ESTUARY; INTERTIDAL MUDFLAT; CONTINENTAL-SHELF; TRANSPORT; CADMIUM; SYSTEM; FRANCE; GEOCHEMISTRY; URANIUM; FLUXES</t>
  </si>
  <si>
    <t>Sediments quality assessment is of priority concern to provide a comprehensible overview of ecological and chemical state of an ecosystem. The Marennes-Oleron Bay, hosting the largest oyster production in France, is influenced by the historic polymetallic pollution of the Gironde Estuary. Despite, management efforts and decreasing emissions in the Gironde watershed, Cd levels in oysters from the bay are close to consumption limit (5 pig g(-1) dw. EC no. 466/2001). In this context, the aim of the study was to assess the priority metal (Ni, Cu, Zn, As, Ag, Cd, Hg, Pb and Th) concentrations in sediment within the Bay, by investigating spatial and temporal distribution variations and the role of hydrodynamic forcing. For that we selected three sites (east, west and south) characterizing different environments of she Bay and we observed metal concentrations, grain size distribution, bed elevation and wave activities during a year survey. The sampling strategy pointed out both spatial and temporal metal concentrations variability in sediment. In general, metal enrichments were close to geochemical background. The eastern part of the Bay, largely influenced by the Charente river particulate deposition, presented constant concentrations over the survey. In contrast, in the western part, bed elevation was strongly influenced by hydrodynamic forcing especially wave activities, and metal distribution showed constant metal concentrations except very located Cd minor enrichment related to the Gironde influence via the Antioche Strait (north). The southern part was disconnected from the rest of the Bay and showed minor to very located moderately severe Cd enrichment, related to the Gironde water discharges via the Maumusson Strait (south). Thus, the multi-disciplinary approach was relevant to characterize the interactions between hydrodynamic forcing on the environment and sediments and their metal quality state which (i) were close to geochemical background over a year for Ni, Cu, Zn, As, Ag, Ng and Pb (i) which presented enrichment of Cd in the western and southern part. (C) 2011 Elsevier Ltd. All rights reserved.</t>
  </si>
  <si>
    <t>[Strady, Emilie; Blanc, Gerard; Coynel, Alexandra; Schaefer, Joerg] Univ Bordeaux 1, CNRS, EPOC, GEMA Team,UMR 5805, F-33405 Talence, France; [Kervella, Stephane; Stanisiere, Jean Yves] IFREMER, LER PC, F-17137 Lhoumeau, France; [Stanisiere, Jean Yves] IFREMER, Stn Trinite Mer, F-56470 La Trinite Sur Mer, France</t>
  </si>
  <si>
    <t>Centre National de la Recherche Scientifique (CNRS); CNRS - National Institute for Earth Sciences &amp; Astronomy (INSU); Universite de Bordeaux; Ifremer; Ifremer</t>
  </si>
  <si>
    <t>Strady, E (corresponding author), Univ Bordeaux 1, CNRS, EPOC, GEMA Team,UMR 5805, Ave Fac, F-33405 Talence, France.</t>
  </si>
  <si>
    <t>e.strady@epoc.u-bordeaux1.fr; s.kervella@epoc.u-bordeaux1.fr</t>
  </si>
  <si>
    <t>Schafer, Jorg/0000-0003-2631-908X; Robert, Serge/0000-0003-3785-8935; Blanc, Gerard/0009-0005-9814-0427; strady, emilie/0000-0001-5683-0810; Coynel, Alexandra/0000-0003-4725-4190</t>
  </si>
  <si>
    <t>laboratory IFREMER LERPC; Conseil General de Charente-Maritime; Region Poitou-Charente; VOTRTRAM EC2CO INSU</t>
  </si>
  <si>
    <t>laboratory IFREMER LERPC; Conseil General de Charente-Maritime(Region Nouvelle-Aquitaine); Region Poitou-Charente(Region Nouvelle-Aquitaine); VOTRTRAM EC2CO INSU</t>
  </si>
  <si>
    <t>The authors thank Lucette Joassard for the grain size distribution analysis. The study was funded by the laboratory IFREMER LERPC, the Conseil General de Charente-Maritime and the Region Poitou-Charente and the VOTRTRAM EC2CO INSU program.</t>
  </si>
  <si>
    <t>10.1016/j.csr.2011.03.006</t>
  </si>
  <si>
    <t>774IW</t>
  </si>
  <si>
    <t>WOS:000291379900009</t>
  </si>
  <si>
    <t>Gagnon, C; Saulnier, I</t>
  </si>
  <si>
    <t>Distribution and fate of metals in the dispersion plume of a major municipal effluent</t>
  </si>
  <si>
    <t>metal; geochemistry; wastewater effluent; environmental fate; dispersion plume</t>
  </si>
  <si>
    <t>BIOAVAILABILITY; BIVALVE; MERCURY</t>
  </si>
  <si>
    <t>The environmental impacts of municipal wastewater discharges on receiving waters are numerous and inputs of contaminants such as metals can cause toxicity to organisms in receiving waters. The effluents generated by the treatment plant of the city of Montreal, Canada, the largest such facility in the St. Lawrence Valley, was investigated to determine the environmental fate of trace metals in the receiving waters. Total and extractable metal concentrations were determined and physico-chemical parameters were measured to characterize the receiving waters and evaluate their influence on the fate and behaviour of metals released from the urban effluent. Our results showed that particulate metals near the effluent discharge point are highly reactive and their distribution seems to be significantly influenced by the abundance of HCl-reactive iron and manganese, which act as trace-metal carriers. The partitioning of metals between dissolved and particulate phases varies along the effluent dispersion plume and therefore could strongly influence the exposure routes for aquatic organisms that are exposed to the various contaminants released from the effluent. Crown Copyright (C) 2003 Published by Elsevier Science Ltd. All rights reserved.</t>
  </si>
  <si>
    <t>Environm Canada, St Lawrence Ctr, Montreal, PQ H2Y 2E7, Canada</t>
  </si>
  <si>
    <t>Environm Canada, St Lawrence Ctr, 105 McGill St,7th Floor, Montreal, PQ H2Y 2E7, Canada.</t>
  </si>
  <si>
    <t>christian.gagnon@ec.gc.ca</t>
  </si>
  <si>
    <t>10.1016/S0269-7491(02)00433-5</t>
  </si>
  <si>
    <t>678LP</t>
  </si>
  <si>
    <t>WOS:000182868900006</t>
  </si>
  <si>
    <t>Tang, ZW; Lin, XX; Yu, MQ; Yang, JB; Li, SQ; Mondal, AK; Wu, H</t>
  </si>
  <si>
    <t>Tang, Zuwu; Lin, Xinxing; Yu, Meiqiong; Yang, Jinbei; Li, Shiqian; Mondal, Ajoy Kanti; Wu, Hui</t>
  </si>
  <si>
    <t>A review of cellulose-based catechol-containing functional materials for advanced applications</t>
  </si>
  <si>
    <t>Catechol; Cellulose; Dopamine; Functional materials</t>
  </si>
  <si>
    <t>MUSSEL-INSPIRED ADHESIVE; IN-SITU REDUCTION; HEAVY-METAL ION; COTTON FABRICS; GRAPHENE OXIDE; NANOFIBRILLATED CELLULOSE; SILVER NANOPARTICLES; SURFACE-CHEMISTRY; FILTER-PAPER; POLYDOPAMINE</t>
  </si>
  <si>
    <t>With the increment in global energy consumption and severe environmental pollution, it is urgently needed to explore green and sustainable materials. Inspired by nature, catechol groups in mussel adhesion proteins have been successively understood and utilized as novel biomimetic materials. In parallel, cellulose presents a wide class of functional materials rating from macro-scale to nano-scale components. The cross-over among both research fields alters the introduction of impressive materials with potential engineering properties, where catechol-containing materials supply a general stage for the functionalization of cellulose or cellulose derivatives. In this review, the role of catechol groups in the modification of cellulose and cellulose derivatives is discussed. A broad variety of advanced applications of cellulose-based catechol-containing materials, including adhesives, hydrogels, aerogels, membranes, textiles, pulp and papermaking, composites, are presented. Furthermore, some critical remaining challenges and opportunities are studied to mount the way toward the rational purpose and applications of cellulose-based catechol-containing materials.</t>
  </si>
  <si>
    <t>[Tang, Zuwu; Lin, Xinxing; Yu, Meiqiong; Yang, Jinbei; Li, Shiqian] Fujian Polytech Normal Univ, Sch Mat &amp; Packaging Engn, Fuzhou 350300, Fujian, Peoples R China; [Yu, Meiqiong; Mondal, Ajoy Kanti; Wu, Hui] Fujian Agr &amp; Forestry Univ, Coll Mat Engn, 63 Xiyuangong Rd, Fuzhou 350108, Fujian, Peoples R China; [Yu, Meiqiong; Wu, Hui] Natl Forestry &amp; Grassland Adm, Key Lab Plant Fiber Funct Mat, Fuzhou 350108, Fujian, Peoples R China; [Mondal, Ajoy Kanti] Bangladesh Council Sci &amp; Ind Res, Inst Natl Analyt Res &amp; Serv, Dhaka 1205, Bangladesh</t>
  </si>
  <si>
    <t>Fujian Polytechnic Normal University; Fujian Agriculture &amp; Forestry University; Bangladesh Council of Scientific &amp; Industrial Research (BCSIR); Institute of National Analytical Research &amp; Service (INARS)</t>
  </si>
  <si>
    <t>Mondal, AK; Wu, H (corresponding author), Fujian Agr &amp; Forestry Univ, Coll Mat Engn, 63 Xiyuangong Rd, Fuzhou 350108, Fujian, Peoples R China.</t>
  </si>
  <si>
    <t>ajoymondal325@yahoo.com; wuhui@fafu.edu.cn</t>
  </si>
  <si>
    <t>Mondal, Ajoy Kanti/AGZ-7591-2022; Mondal, Ajoy Kanti/JAZ-0494-2023</t>
  </si>
  <si>
    <t>Mondal, Dr. Ajoy Kanti/0000-0002-0982-0457; Tang, Zuwu/0009-0004-8334-1210</t>
  </si>
  <si>
    <t>National Natural Science Foundation of China [22278071]; Natural Science Foundation of Fujian Province [2023J05212]; Education and Scientific Research Project for Young and Middle-aged Teachers of Fujian Province, China [JAT220249]</t>
  </si>
  <si>
    <t>National Natural Science Foundation of China(National Natural Science Foundation of China (NSFC)); Natural Science Foundation of Fujian Province(Natural Science Foundation of Fujian Province); Education and Scientific Research Project for Young and Middle-aged Teachers of Fujian Province, China</t>
  </si>
  <si>
    <t>Funding was provided by the National Natural Science Foundation of China (Grant Number 22278071), the Natural Science Foundation of Fujian Province (Grant Number 2023J05212) and the Education and Scientific Research Project for Young and Middle-aged Teachers of Fujian Province, China (Grant Number JAT220249).</t>
  </si>
  <si>
    <t>10.1016/j.ijbiomac.2024.131243</t>
  </si>
  <si>
    <t>QH2E2</t>
  </si>
  <si>
    <t>WOS:001219913600001</t>
  </si>
  <si>
    <t>Boulajfene, W; Strogyloudi, E; Lasram, M; El Mlayah, A; Vassiliki-Angelique, C; Zouari-Tlig, S</t>
  </si>
  <si>
    <t>Boulajfene, Wafa; Strogyloudi, Evangelia; Lasram, Montassar; El Mlayah, Ammar; Vassiliki-Angelique, Catsiki; Zouari-Tlig, Sabiha</t>
  </si>
  <si>
    <t>Biological and biochemical assessment in Phorcus articulatus (Lamarck 1822): contamination and seasonal effect</t>
  </si>
  <si>
    <t>Rocky coastline; Trochidae; Contamination; Biomonitoring</t>
  </si>
  <si>
    <t>MUSSELS MYTILUS-GALLOPROVINCIALIS; POLYCYCLIC AROMATIC-HYDROCARBONS; HEAVY-METALS; TRACE-METALS; GIBBULA-UMBILICALIS; MONODONTA-LINEATA; DIGESTIVE GLAND; ANTIOXIDANT RESPONSES; REPRODUCTIVE-CYCLES; CRASSOSTREA-GIGAS</t>
  </si>
  <si>
    <t>This work aims to diagnose the state of the northeastern coasts of Tunisia using P. articulatus species. Biological parameters, protein and metallothionein content, enzymatic activities, and metallic concentration were assessed at four stations during four seasons and analyzed by multiple regressions. The comparison of biological ratios showed minima at Sidi Daoued and maxima at Korbous where metallothioneins were maximal. The catalytic activity was low during summer and higher during cold periods contrary to acetylcholinesterase activity. Concerning glutathione S-transferase, its activity was important at Kelibia in autumn and at La Goulette and Sidi Daoued in warm seasons. The metallic concentrations were low at Korbous and maximal at Kelibia and Sidi Daoued stations. Kelibia seems to be the most polluted site followed by Sidi Daoued and La Goulette (industries, urbanization and fishing ports). The pollution seems to be reduced at Korbous station having more suitable conditions for the proliferation of monodonts.</t>
  </si>
  <si>
    <t>[Boulajfene, Wafa; Zouari-Tlig, Sabiha] Univ Tunis El Manar II, Fac Sci Tunis, Dept Biol, Unite Rech Biol Integrat &amp; Ecol Fonctionnelle &amp; E, Tunis 2092, Tunisia; [Strogyloudi, Evangelia; Vassiliki-Angelique, Catsiki] Hellen Ctr Marine Res, Inst Oceanog, Ecotoxicol Lab, Anavyssos 19013, Greece; [Lasram, Montassar] Univ Tunis El Manar II, Fac Sci Tunis, Dept Biol, Lab Endocrinol &amp; Physiol Agress, Tunis 2092, Tunisia; [El Mlayah, Ammar] Ctr Rech &amp; Technol Eaux, Lab Georessources, Technopole Bordj Cedria 273, Soliman 8020, Tunisia</t>
  </si>
  <si>
    <t>Universite de Tunis-El-Manar; Faculte des Sciences de Tunis (FST); Hellenic Centre for Marine Research; Universite de Tunis-El-Manar; Faculte des Sciences de Tunis (FST); Centre de Recherche et des Technologies des Eaux de Borj Cedria</t>
  </si>
  <si>
    <t>Boulajfene, W (corresponding author), Univ Tunis El Manar II, Fac Sci Tunis, Dept Biol, Unite Rech Biol Integrat &amp; Ecol Fonctionnelle &amp; E, Tunis 2092, Tunisia.</t>
  </si>
  <si>
    <t>wboulajfene@gmail.com</t>
  </si>
  <si>
    <t>10.1007/s10661-019-7726-3</t>
  </si>
  <si>
    <t>IQ1EP</t>
  </si>
  <si>
    <t>WOS:000480493000001</t>
  </si>
  <si>
    <t>Tornero, V; Arias, AM; Blasco, J</t>
  </si>
  <si>
    <t>Tornero, Victoria; Arias, Alberto M.; Blasco, Julian</t>
  </si>
  <si>
    <t>Trace element contamination in the Guadalquivir River Estuary ten years after the Aznalcollar mine spill</t>
  </si>
  <si>
    <t>Trace elements; Aznalcollar mine spill; Scrobicularia plana; Hediste diversicolor; Sediments</t>
  </si>
  <si>
    <t>HEAVY-METAL BIOAVAILABILITY; SEDIMENT QUALITY VALUES; SCROBICULARIA-PLANA; MINING SPILL; VERTICAL-DISTRIBUTION; NEREIS-DIVERSICOLOR; ACCIDENTAL SPILL; MARINE-SEDIMENTS; OXIDATIVE STRESS; MID-ATLANTIC</t>
  </si>
  <si>
    <t>Sediments, clams Scrobicularia piano and worms Hediste diversicolor from the Guadalquivir estuary were collected ten years after the Aznalcollar mine spill and analyzed for metals. Significant seasonal and spatial effects were detected for most elements, so data from different sampling periods and locations were treated separately. Overall, the most polluted sites were found upstream, although Zn and Cu tended to accumulate at the estuary mouth. A significant decline of Zn in sediments and clams was observed compared to levels reported following the spill, so the estuarine ecosystem has recovered. However, the concentrations of some elements in S. piano were still higher than those of heavily contaminated regions. In this mollusk, Pb and As levels were higher in 2008 than in previous years, suggesting a new source entering into the estuary. Metals in sediments presented low bioavailability for biota, so other sources must account for the concentrations observed in these species. (C) 2014 Elsevier Ltd. All rights reserved.</t>
  </si>
  <si>
    <t>[Tornero, Victoria; Arias, Alberto M.; Blasco, Julian] Campus Univ Rio San Pedro, Inst Ciencias Marinas Andalucia, CSIC, Cadiz 11510, Spain; [Tornero, Victoria] European Commiss, Inst Environm &amp; Sustainabil, Water Resources Unit, Joint Res Ctr, I-21027 Ispra, VA, Italy</t>
  </si>
  <si>
    <t>Consejo Superior de Investigaciones Cientificas (CSIC); CSIC - Instituto de Ciencias Marinas de Andalucia (ICMAN); European Commission Joint Research Centre; EC JRC ISPRA Site</t>
  </si>
  <si>
    <t>Tornero, V (corresponding author), European Commiss, Inst Environm &amp; Sustainabil, Water Resources Unit, Joint Res Ctr, Via Enrico Fermi 2749, I-21027 Ispra, VA, Italy.</t>
  </si>
  <si>
    <t>victoriatornero@ub.edu</t>
  </si>
  <si>
    <t>Tornero, Victoria/GPP-1018-2022; Blasco, Julian/A-5319-2008</t>
  </si>
  <si>
    <t>, Victoria/0000-0002-1265-551X; Blasco, Julian/0000-0002-9750-383X</t>
  </si>
  <si>
    <t>Programa Nacional de Potenciacion de Recursos Humanos del Plan Nacional de Investigacion Cientifica, Desarrollo e Innovacion Tecnologica; Spanish Science and Technology National Plan [CTM2005-07282-C03-02/TECNO]; Interreg IIIA REDCONTAMAR SP5 [SP3.E101/03]</t>
  </si>
  <si>
    <t>Programa Nacional de Potenciacion de Recursos Humanos del Plan Nacional de Investigacion Cientifica, Desarrollo e Innovacion Tecnologica; Spanish Science and Technology National Plan; Interreg IIIA REDCONTAMAR SP5</t>
  </si>
  <si>
    <t>Authors want to thank A. Moreno, P. Vidal, C. Trombini, A. Rodriguez, and D. Macias for their help in the sampling collection and treatments. While doing this work, V. Tornero was fully supported by a 3P contract from the Programa Nacional de Potenciacion de Recursos Humanos del Plan Nacional de Investigacion Cientifica, Desarrollo e Innovacion Tecnologica (2000-2003). The presented study was supported as a part of the projects CTM2005-07282-C03-02/TECNO (Spanish Science and Technology National Plan) and Interreg IIIA REDCONTAMAR SP5 (SP3.E101/03).</t>
  </si>
  <si>
    <t>10.1016/j.marpolbul.2014.06.044</t>
  </si>
  <si>
    <t>WOS:000342860100052</t>
  </si>
  <si>
    <t>Fliedner, A; Rüdel, H; Knopf, B; Lohmann, N; Paulus, M; Jud, M; Pirntke, U; Koschorreck, J</t>
  </si>
  <si>
    <t>Fliedner, Annette; Ruedel, Heinz; Knopf, Burkhard; Lohmann, Nina; Paulus, Martin; Jud, Michael; Pirntke, Ulrike; Koschorreck, Jan</t>
  </si>
  <si>
    <t>Assessment of seafood contamination under the marine strategy framework directive: contributions of the German environmental specimen bank</t>
  </si>
  <si>
    <t>Marine strategy framework directive; Descriptor 9; Biotamonitoring; Environmental specimen bank; Bluemussel; Eelpout</t>
  </si>
  <si>
    <t>ORGANOTIN COMPOUNDS; FISH; ECOSYSTEMS; MERCURY; TRENDS; RIVER; BIOACCUMULATION; ORGANISMS; POLLUTION; HEALTH</t>
  </si>
  <si>
    <t>Descriptor 9 (D9) of the European Union Marine Strategy Framework Directive refers to the compliance of contaminant levels in fish and other seafood of a defined marine region or subregion with human health threshold values. This requires georeferenced samples that are often difficult to obtain when relying on commercial fisheries or programs designed for monitoring human exposure. The present study examines whether georeferenced samples of blue mussel (Mytilus edulis) and eelpout (Zoarces viviparus) fillet of the German environmental specimen bank (ESB) can be used in this context. The suitability of the ESB samples, procedures, and analytical methods is evaluated with respect to D9 requirements. Based on ESB data for the D9 relevant contaminants Pb, Cd, Hg, a4 PAHs, PCDD/Fs, dioxin-like (dl)-PCBs, and indicator non-dl-PCBs and the potentially relevant substances TBT, PFOS, PBDE, and HBCDD, the Good Environmental Status for D9 is assessed at the ESB sites in the North and Baltic Seas. The overall evaluation indicates that ESB samples are suitable for D9 assessment with the limitation that only coastal areas of the North and Baltic Seas are covered. Over a period of up to 30 years, concentrations of the D9 relevant contaminants were well below the maximum levels allowed for human consumption.</t>
  </si>
  <si>
    <t>[Fliedner, Annette; Ruedel, Heinz; Knopf, Burkhard] Fraunhofer Inst Mol Biol &amp; Appl Ecol Fraunhofcr I, Dept Environm Specimen Bank &amp; Elemental Anal, D-57392 Schmallenberg, Germany; [Lohmann, Nina] Eurofins GfA Lab Serv GmbH, Neulaender Kamp 1a, D-21079 Hamburg, Germany; [Paulus, Martin] Trier Univ, Dept Biogeog Environm Specimen Bank, D-54286 Trier, Germany; [Jud, Michael] Fed Off Consumer Protect &amp; Food Safety BVL, Unit 101,POB 110260, D-10832 Berlin, Germany; [Pirntke, Ulrike; Koschorreck, Jan] German Environm Agcy Umwelthundesamt, D-06813 Dessau Rosslau, Germany</t>
  </si>
  <si>
    <t>Universitat Trier</t>
  </si>
  <si>
    <t>Fliedner, A (corresponding author), Fraunhofer Inst Mol Biol &amp; Appl Ecol Fraunhofcr I, Dept Environm Specimen Bank &amp; Elemental Anal, D-57392 Schmallenberg, Germany.</t>
  </si>
  <si>
    <t>Koschorreck, Jan/0000-0002-1043-3278; Fliedner, Annette/0000-0002-0940-2140; Rudel, Heinz/0000-0002-4175-4787</t>
  </si>
  <si>
    <t>German Environmental Specimen Bank program</t>
  </si>
  <si>
    <t>This study was funded by the German Environmental Specimen Bank program. J. Wellmitz from the German Environment Agency is thanked for the provision of the LOESS trend tool software. We acknowledge the dedicated work of all members of the ESB teams at the Environment Agency, Eurofins, Fraunhofer IME, and Trier University.</t>
  </si>
  <si>
    <t>10.1007/s11356-018-2728-1</t>
  </si>
  <si>
    <t>GT1EP</t>
  </si>
  <si>
    <t>WOS:000444202800025</t>
  </si>
  <si>
    <t>McDonagh, B; Tyther, R; Sheehan, D</t>
  </si>
  <si>
    <t>Carbonylation and glutathionylation of proteins in the blue mussel Mytilus edulis detected by proteomic analysis and Western blotting:: Actin as a target for oxidative stress</t>
  </si>
  <si>
    <t>carbonylation; glutathione; oxidative stress; proteomics; Mytilus edulis</t>
  </si>
  <si>
    <t>DIGESTIVE GLAND; S-TRANSFERASE; ANTIOXIDANT ENZYMES; HYDROGEN-PEROXIDE; REDOX PROTEOMICS; IDENTIFICATION; POLLUTION; GALLOPROVINCIALIS; CYTOSKELETON; COPPER</t>
  </si>
  <si>
    <t>Protein expression profiles (PEPs) were generated by two-dimensional electrophoresis (2-D SDS-PAGE) for gill and digestive glands of Mytilus edulis sampled from a polluted and reference site in Cork Harbour, Ireland. Similar patterns and expression levels were found for both sites in silver stained gels. However, Western blotting for carbonylated proteins demonstrated higher levels of specific carbonylation of proteins in tissues from animals in the polluted site. Animals from the reference site were acclimated in holding tanks, exposed to 1 mM H2O2 for 24 h, dissected and analysed by 2-D SDS-PAGE. Again, generally similar PEPs were found in control and exposed animals for gill and digestive gland but carbonylation was more pronounced in polluted and exposed animals. Western blotting of extracts after one-dimensional electrophoresis with antibodies to glutathione and actin revealed that gill proteins are glutathionylated more strongly than digestive gland and that this process is more pronounced in polluted animals than in controls. We conclude that carbonylation and glutathionylation can occur in gill and digestive gland in response to oxidative stress in M. edulis. Actin is a major target for both glutathionylation and carbonylation under oxidative stress conditions. (c) 2005 Elsevier B.V. All rights reserved.</t>
  </si>
  <si>
    <t>Natl Univ Ireland Univ Coll Cork, Dept Biochem, Proteom Res Grp, Cork, Ireland; Natl Univ Ireland Univ Coll Cork, Environm Res Inst, Cork, Ireland</t>
  </si>
  <si>
    <t>University College Cork; University College Cork</t>
  </si>
  <si>
    <t>Dept Biochem, Lee Maltings,Prospekt Row, Cork, Ireland.</t>
  </si>
  <si>
    <t>10.1016/j.aquatox.2005.03.020</t>
  </si>
  <si>
    <t>938HL</t>
  </si>
  <si>
    <t>WOS:000229990400008</t>
  </si>
  <si>
    <t>Gopalakrishnan, S; Thilagam, H; Huang, WB; Wang, KJ</t>
  </si>
  <si>
    <t>Gopalakrishnan, Singaram; Thilagam, Harikrishnan; Huang, Wei-Bin; Wang, Ke-Jian</t>
  </si>
  <si>
    <t>Immunomodulation in the marine gastropod Haliotis diversicolor exposed to benzo(a)pyrene</t>
  </si>
  <si>
    <t>Haliotis diversicolor; Abalone; Benzo(a)pyrene; Immunomodulation</t>
  </si>
  <si>
    <t>MUSSEL MYTILUS-EDULIS; POLYCYCLIC AROMATIC-HYDROCARBONS; OYSTER CRASSOSTREA-VIRGINICA; CLAM TAPES-PHILIPPINARUM; IN-VITRO EXPOSURE; IMMUNE-RESPONSE; PERNA-VIRIDIS; VIBRIO-PARAHAEMOLYTICUS; BIVALVE MOLLUSKS; HEAVY-METALS</t>
  </si>
  <si>
    <t>It has been reported that environmental pollutants in the aquatic ecosystem could weaken immune competence of organisms. The purpose of the present study was to investigate the effects of benzo(a)pyrene [B(a)P] on immunomodulation in marine gastropods and to see if these effects are caused by or related to the generation of reactive oxygen species. In our present study, the marine gastropod Haliotis diversicolor was exposed to sublethal concentrations (0.01, 0.02, 0.04 and 0.08 mg L-1) of B(a)P for 7 d under laboratory conditions and the alterations of hematological parameters like haemocyte count, haemocyte viability, protein content and immune components like phenoloxidase, phagocytosis and superoxide anion generation were measured. In addition, the changes in lysozyme activity, antibacterial activity due to the effect of B(a)P on abalone were analysed. B(a)P was found to decrease significantly the total number of circulating haemocytes. Intracellular superoxide anion generation and phenoloxidase significantly increased on exposure to B(a)P, whereas phagocytic activity was decreased significantly at higher concentration. Significant alterations were found in the uptake of neutral red and the observed alterations of hematological parameters and immune components tested indicated the generation of immunotoxicological effects on abalone due to B(a)P exposure. The results demonstrate a possible relationship between B(a)P and the immunological parameters of abalone studied. (C) 2008 Elsevier Ltd. All rights reserved.</t>
  </si>
  <si>
    <t>[Gopalakrishnan, Singaram; Thilagam, Harikrishnan; Huang, Wei-Bin; Wang, Ke-Jian] Xiamen Univ, Coll Oceanog &amp; Environm Sci, State Key Lab Marine Environm Sci, Xiamen 361005, Fujian, Peoples R China</t>
  </si>
  <si>
    <t>Wang, KJ (corresponding author), Xiamen Univ, Coll Oceanog &amp; Environm Sci, State Key Lab Marine Environm Sci, Siming Nanlu 422, Xiamen 361005, Fujian, Peoples R China.</t>
  </si>
  <si>
    <t>wkjian@xmu.edu.cn</t>
  </si>
  <si>
    <t>Wang, KJ/G-4609-2010; Gopalakrishnan, Singaram/AEB-6454-2022</t>
  </si>
  <si>
    <t>National High Technology Research and Development Program of China [2007AA091406]</t>
  </si>
  <si>
    <t>National High Technology Research and Development Program of China(National High Technology Research and Development Program of China)</t>
  </si>
  <si>
    <t>This work was supported by a Grant (2007AA091406) from the National High Technology Research and Development Program of China (863 Program).</t>
  </si>
  <si>
    <t>10.1016/j.chemosphere.2008.12.027</t>
  </si>
  <si>
    <t>440SS</t>
  </si>
  <si>
    <t>WOS:000265720600017</t>
  </si>
  <si>
    <t>Sericano, JL; Brooks, JM; Champ, MA; Kennicutt, MC; Makeyev, VV</t>
  </si>
  <si>
    <t>Trace contaminant concentrations in the Kara Sea and its adjacent rivers, Russia</t>
  </si>
  <si>
    <t>POLYCHLORINATED BIPHENYL CONGENERS; PERSISTENT ORGANOCHLORINE RESIDUES; POLYCYCLIC AROMATIC-HYDROCARBONS; DIBENZO-PARA-DIOXINS; COD GADUS-MORHUA; CHLORINATED PESTICIDES; HEAVY-METALS; GEOGRAPHICAL-DISTRIBUTION; ATMOSPHERIC TRANSPORT; P-DIOXINS</t>
  </si>
  <si>
    <t>Trace organic (chlorinated pesticides, PCBs, PAHs and dioxins/furans) and trace metal concentrations were measured in surficial sediment and biological tissues (i.e., worms, crustaceans, bivalve molluscs, and fish livers) collected from the Russian Arctic. Total DDT, chlordane, PCB and PAH concentrations ranged from ND to 1.2, ND to &lt;0.1, ND to 1.5 and &lt;20-810 ng g(-1), respectively, in a suite of 40 surficial sediment samples from the Kara Sea and the adjacent Ob and Yenisey Rivers. High sedimentary concentrations of contaminants were found in the lower part of the Yenisey River below the salt wedge. Total dioxins/furans were analysed in a subset of 20 sediment samples and ranged from 1.4 to 410 pg g(-1). The highest trace organic contaminant concentrations were found in organisms, particularly fish livers. Concentrations as high as 89 ng g(-1) chlordane; 1010 ng g(-1) total DDTs; 460 ng g(-1) total PCBs; and 1110 ng g(-1) total PAH, were detected. A subset of 11 tissue samples was analysed for dioxins and furans with total concentrations ranging from 12 to 61 pg g(-1). Concentrations of many trace organic and metal contaminants in the Kara Sea appear to originate from riverine sources and atmospheric transport from more temperate areas. Most organic contaminant concentrations in sediments were low; however, contaminants are being concentrated in organisms and may pose a health hazard for inhabitants of coastal villages. (C) 2001 Elsevier Science Ltd. All rights reserved.</t>
  </si>
  <si>
    <t>Texas A&amp;M Univ, Geochem &amp; Environm Res Grp, College Stn, TX 77845 USA; Res Inst Nat Conservat Arctic &amp; N, St Petersburg, Russia</t>
  </si>
  <si>
    <t>jose@gerg.tamu.edu</t>
  </si>
  <si>
    <t>10.1016/S0025-326X(00)00236-8</t>
  </si>
  <si>
    <t>WOS:000172356900012</t>
  </si>
  <si>
    <t>Gornati, R; Longo, A; Rossi, F; Maisano, M; Sabatino, G; Mauceri, A; Bernardini, G; Fasulo, S</t>
  </si>
  <si>
    <t>Gornati, Rosalba; Longo, Arturo; Rossi, Federica; Maisano, Maria; Sabatino, Giuseppe; Mauceri, Angela; Bernardini, Giovanni; Fasulo, Salvatore</t>
  </si>
  <si>
    <t>Effects of titanium dioxide nanoparticle exposure in Mytilus galloprovincialis gills and digestive gland</t>
  </si>
  <si>
    <t>Biomarkers; in vivo experiments; morphology; nanotoxicity</t>
  </si>
  <si>
    <t>ENVIRONMENTAL-POLLUTION; TIO2 NANOPARTICLES; MUSSELS; ECOTOXICITY; CYTOTOXICITY; FRESH; IRRADIATION; EXPRESSION; BIOMARKERS; NANO-TIO2</t>
  </si>
  <si>
    <t>Despite the wide use of nanoscale materials in several fields, some aspects of the nanoparticle behavior have to be still investigated. In this work, we faced the aspect of environmental effects of increasing concentrations of TiO(2)NPs using the Mytilus galloprovincialis as an animal model and carrying out a multidisciplinary approach to better explain the results. Bioaccumulation suggested that the gills and digestive gland are the most sensitive organs to TiO2NP exposure. Histological observations have evidenced an altered tissue organization and a consistent infiltration of hemocytes, as a consequence of the immune system activation, even though an increase in lipid peroxidation is uncertain and DNA damage became relevant only at high exposure dose (10 mg/L) or for longer exposure time (96 h). However, the over expression of SOD1 mRNA strengthen the concept that the toxicity of TiO(2)NPs could occur indirectly by ROS production. TEM analysis showed the presence of multilamellar bodies, RER fragmentation, and cytoplasmic vacuolization within relevant presence of dense granules, residual bodies, and lipid inclusions. These findings support the evidence of an initial inflammatory response by the cells of the target organs leading to apoptosis. In conclusion, we can state that certainly the exposure to TiO(2)NPs has affected our animal model from cellular to molecular levels. Interestingly, the same responses are caused by lower TiO2NP concentration and longer exposure time as well as higher doses and shorter exposure. We do not know if some of the conditions detected are reversible, then further studies are required to clarify this aspect.</t>
  </si>
  <si>
    <t>[Gornati, Rosalba; Rossi, Federica; Bernardini, Giovanni] Univ Insubria, Dipartimento Biotecnol &amp; Sci Vita, Via Dunant 3, Varese, Italy; [Gornati, Rosalba; Bernardini, Giovanni] ICRM CNR Milano, Politecn Milano, Prot Factory Res Ctr, Milan, Italy; [Gornati, Rosalba; Bernardini, Giovanni] Univ Insubria, Milan, Italy; [Longo, Arturo; Maisano, Maria; Mauceri, Angela; Fasulo, Salvatore] Univ Messina, Dipartimento Sci Biol &amp; Ambientali, Messina, Italy; [Sabatino, Giuseppe] Univ Messina, Dipartimento Fis &amp; Sci Terra, Messina, Italy</t>
  </si>
  <si>
    <t>University of Insubria; Consiglio Nazionale delle Ricerche (CNR); Istituto di Chimica del Riconoscimento Molecolare (ICRM-CNR); Polytechnic University of Milan; University of Insubria; University of Messina; University of Messina</t>
  </si>
  <si>
    <t>Bernardini, Giovanni/GRJ-0070-2022</t>
  </si>
  <si>
    <t>Sabatino, Giuseppe/0000-0003-1569-5960; MAISANO, Maria/0000-0003-2517-5117</t>
  </si>
  <si>
    <t>PRIN [Prot. 2010ARBLT7_001/008]; FAR (Fondo comune di Ateneo per la Ricerca)</t>
  </si>
  <si>
    <t>This research was supported by PRIN grant (Prot. 2010ARBLT7_001/008) to S. F. and R. G. and by FAR (Fondo comune di Ateneo per la Ricerca 2013) to R. G. and G. B.</t>
  </si>
  <si>
    <t>10.3109/17435390.2015.1132348</t>
  </si>
  <si>
    <t>DQ5MA</t>
  </si>
  <si>
    <t>WOS:000379248300017</t>
  </si>
  <si>
    <t>Liu, Y; Tam, NFY; Guan, YT; Gao, BY</t>
  </si>
  <si>
    <t>Liu, Ying; Tam, Nora Feng Yee; Guan, Yuntao; Gao, Baoyu</t>
  </si>
  <si>
    <t>Influence of a Marine Diatom on the Embryonic Toxicity of 17α-Ethynylestradiol to the Abalone Haliotis diversicolor supertexta</t>
  </si>
  <si>
    <t>Environmental estrogen; Acute toxicity; Dietary exposure; Navicula incerta; Biodegradation; Bioaccumulation</t>
  </si>
  <si>
    <t>ENDOCRINE-DISRUPTING CHEMICALS; SKELETONEMA-COSTATUM; LARVAL SETTLEMENT; GENE-EXPRESSION; DAPHNIA-MAGNA; ZEBRA MUSSEL; WASTE-WATER; BISPHENOL-A; ALGAE; BIOACCUMULATION</t>
  </si>
  <si>
    <t>The embryos of a marine abalone, Haliotis diversicolor supertexta, were exposed to a typical environmental estrogen, 17 alpha-ethynylestradiol (EE2), for 96 h, to examine the acute toxicity of EE2 to the embryogenesis of the abalone. A marine diatom, Navicula incerta, was used in the test media as settlement substrate and food for the abalone larvae. During the embryo culture, more than 30 % of EE2 could be removed from the test media by the diatom, mainly via biodegradation, leading to a decrease of water-borne exposure dose. Further, the exposure concentrations of EE2 around the living microenvironment of the abalone larvae could be magnified 350-468 times after the larvae settled on the diatom, as indicated by the bioconcentration factors of EE2 in the diatom. Increased bioaccumulation of EE2 in the diatom caused greater inhibition on the metamorphosis of the abalone larvae by enhancing the uptake of EE2 in the larvae via dietary exposure, while declined water-borne exposure dose did not affect the embryonic toxicity of EE2 and its uptake in the abalone larvae. The 96-h median effective concentration of EE2 to the metamorphosis of the abalone larvae was 10.01 mu g L-1, when the exposure doses in both the test media and the diatom were controlled stable. The 96-h hazard concentration for 5 % of the species was 1.20 mu g L-1, which was still higher than but close to the reported upper contamination level of EE2 and could be employed as the safety threshold for the metamorphosis of the abalone embryos.</t>
  </si>
  <si>
    <t>[Liu, Ying; Gao, Baoyu] Shandong Univ, Shandong Prov Key Lab Water Pollut Control &amp; Reso, Sch Environm Sci &amp; Engn, Jinan 250100, Peoples R China; [Guan, Yuntao] Tsinghua Univ, Res Ctr Environm Engn &amp; Management, Grad Sch Shenzhen, Shenzhen 518055, Peoples R China; [Tam, Nora Feng Yee] City Univ Hong Kong, Dept Biol &amp; Chem, Hong Kong, Hong Kong, Peoples R China</t>
  </si>
  <si>
    <t>Shandong University; Tsinghua Shenzhen International Graduate School; Tsinghua University; City University of Hong Kong</t>
  </si>
  <si>
    <t>Guan, YT (corresponding author), Tsinghua Univ, Res Ctr Environm Engn &amp; Management, Grad Sch Shenzhen, Shenzhen 518055, Peoples R China.</t>
  </si>
  <si>
    <t>guanyt@tsinghua.edu.cn</t>
  </si>
  <si>
    <t>Liu, Ying/AGR-3057-2022</t>
  </si>
  <si>
    <t>Liu, Ying/0000-0003-4439-8818; TAM, Nora Fung-yee/0000-0003-2205-8775</t>
  </si>
  <si>
    <t>Shenzhen Bureau of Science Technology and Information [[2006]386]; China Postdoctoral Science Foundation [0100481255]; Innovation Foundation of Shandong University [2010GN050]</t>
  </si>
  <si>
    <t>Shenzhen Bureau of Science Technology and Information; China Postdoctoral Science Foundation(China Postdoctoral Science Foundation); Innovation Foundation of Shandong University</t>
  </si>
  <si>
    <t>This work was supported by Shenzhen Bureau of Science Technology and Information ([2006]386), partly by China Postdoctoral Science Foundation (0100481255) and Innovation Foundation of Shandong University (2010GN050).</t>
  </si>
  <si>
    <t>10.1007/s11270-012-1202-9</t>
  </si>
  <si>
    <t>WOS:000307276400065</t>
  </si>
  <si>
    <t>Cubadda, F; Raggi, A; Coni, E</t>
  </si>
  <si>
    <t>Element fingerprinting of marine organisms by dynamic reaction cell inductively coupled plasma mass spectrometry</t>
  </si>
  <si>
    <t>5th Mediterranean Basin Conference on Analytical Chemistry</t>
  </si>
  <si>
    <t>MAY 24-28, 2005</t>
  </si>
  <si>
    <t>Teramo, ITALY</t>
  </si>
  <si>
    <t>dynamic reaction cell inductively coupled plasma mass spectrometry; seafood; multielement analysis; principal component analysis; discriminant analysis</t>
  </si>
  <si>
    <t>TRACE-ELEMENTS; ICP-MS; INTERFERENCES; COLLISION; POLLUTION; CHROMIUM; MOLLUSKS; MUSSELS; FISH; FOOD</t>
  </si>
  <si>
    <t>A method for the determination of sixteen elements (Al, As, Cd, Co, Cr, Cu, Fe, Hg, Mn, Mo, Ni, Pb, Se, Sn, V, Zn) in seafood by dynamic reaction cell inductively coupled plasma mass spectrometry (ICP-DRC-MS) is presented. A preliminary study of polyatomic interferences was carried out in relation to the chemical composition of marine organisms belonging to different taxa. Acid effects and other matrix effects in marine organisms submitted to closed-vessel microwave digestion were investigated as well. Ammonia was the reactive gas used in the DRC to remove polyatomic ions interfering with Al-27, Cr-52, Fe-56 and V-51. Optimal conditions for the simultaneous determination of analytes were identified in order to develop a fast multielement method. A suite of real samples (mussels and various fish species) were used during method development along with three certified reference materials: BCR CRM 278R (mussel tissue), BCR CRM 422 (cod muscle) and DORM-2 (dogfish muscle). The proposed analytical approach can be used in conjunction with suitable chemometric procedures to address quality and safety issues in aquaculture and fisheries. As an example, a case study is described in which mussels from three farming sites in the Venice Lagoon were distinguished by multivariate analysis of element fingerprints.</t>
  </si>
  <si>
    <t>Ist Super Sanita, Natl Ctr Food Qual &amp; Risk Assessment, I-00161 Rome, Italy</t>
  </si>
  <si>
    <t>Ist Super Sanita, Natl Ctr Food Qual &amp; Risk Assessment, Viale Regina Elena 299, I-00161 Rome, Italy.</t>
  </si>
  <si>
    <t>francesco.cubadda@iss.it</t>
  </si>
  <si>
    <t>CONI, ETTORE/C-2002-2015; Cubadda, Francesco/O-4291-2014</t>
  </si>
  <si>
    <t>Cubadda, Francesco/0000-0003-3454-7947</t>
  </si>
  <si>
    <t>10.1007/s00216-005-0256-6</t>
  </si>
  <si>
    <t>022CE</t>
  </si>
  <si>
    <t>WOS:000236031500005</t>
  </si>
  <si>
    <t>Pascoli, F; Negrato, E; Di Giancamillo, A; Bertotto, D; Domeneghini, C; Simontacchi, C; Mutinelli, F; Radaelli, G</t>
  </si>
  <si>
    <t>Pascoli, Francesco; Negrato, Elena; Di Giancamillo, Alessia; Bertotto, Daniela; Domeneghini, Cinzia; Simontacchi, Claudia; Mutinelli, Franco; Radaelli, Giuseppe</t>
  </si>
  <si>
    <t>Evaluation of oxidative stress biomarkers in Zosterisessor ophiocephalus from the Venice Lagoon, Italy</t>
  </si>
  <si>
    <t>MDA; ACR; HNE; NT; Fish</t>
  </si>
  <si>
    <t>ANTIOXIDANT ENZYMES; LIPID-PEROXIDATION; FISH; INHIBITION; POLLUTION; RESPONSES; MUSSELS; DAMAGE</t>
  </si>
  <si>
    <t>Several studies carried out in the last years have demonstrated the presence of a wide range of contaminants in some areas of the Venice Lagoon. Many of these contaminants are able to drive free radical reactions, which lead to oxidative stress and can potentially affect fish health. In the present study, oxidative stress biomarkers were examined in three different sites (Porto Marghera, Val di Brenta and Caroman) of the Venice Lagoon and their levels monitored in Zosterisessor ophiocephalus, one of the most common fish species present in the lagoon. Schmorl's staining revealed the presence of melanomacrophage centres in spleen and head kidney, and the highest number of melanomacrophage centres was observed in the animals sampled at the Porto Marghera (Porto Marghera vs Val di brenta and Caroman: p &lt; 0.01). The cellular localization of HNE and NT, investigated through an immunohistochemical approach, showed that immunopositivity was mainly localized in melanomacrophage centres of spleen and kidney. It is relevant that the animals of the detoxified control group did not exhibit any immunoreactivity. By Western blot, the antibodies against HNE and NT recognized in the liver polypeptides damaged by oxidative stress with molecular weights under 66 kDa. Comparing the relative densities, animals from the Val di Brenta site exhibited the lowest levels of HNE adducts (p &lt; 0.05). whereas animals from the Porto Marghera site exhibited the highest levels of NT adducts (p &lt; 0.05). MDA levels, measured spectrophotometrically by TBARS assay did not exhibit any statistical difference among sites. (C) 2010 Elsevier B.V. All rights reserved.</t>
  </si>
  <si>
    <t>[Pascoli, Francesco; Negrato, Elena; Bertotto, Daniela; Simontacchi, Claudia; Radaelli, Giuseppe] Univ Padua, Dept Expt Vet Sci, I-35020 Legnaro, PD, Italy; [Di Giancamillo, Alessia; Domeneghini, Cinzia] Univ Milan, Dept Vet Sci &amp; Technol Food Safety, I-20134 Milan, Italy; [Mutinelli, Franco] Ist Zooprofilatt Venezie, I-35020 Legnaro, PD, Italy</t>
  </si>
  <si>
    <t>University of Padua; University of Milan; IZS delle Venezie</t>
  </si>
  <si>
    <t>Radaelli, G (corresponding author), Univ Padua, Dept Expt Vet Sci, Agripolis Viale Univ 16, I-35020 Legnaro, PD, Italy.</t>
  </si>
  <si>
    <t>MUTINELLI, FRANCO/K-7525-2018; Di Giancamillo, Alessia/Z-1477-2019; Pascoli, Francesco/AAL-8206-2020</t>
  </si>
  <si>
    <t>Domeneghini, Cinzia/0000-0002-2040-6783; DI GIANCAMILLO, ALESSIA/0000-0003-1674-3020; Pascoli, Francesco/0000-0003-2239-3098; BERTOTTO, Daniela/0000-0002-1370-8679; RADAELLI, Giuseppe/0000-0003-0176-1701</t>
  </si>
  <si>
    <t>Regione-Veneto; University of Milan</t>
  </si>
  <si>
    <t>Regione-Veneto(Regione Veneto); University of Milan</t>
  </si>
  <si>
    <t>The authors wish to thank the team of fishermen who caught animals. This research was supported by grants from the Regione-Veneto to F. Mutinelli and the University of Milan to C. Domeneghini.</t>
  </si>
  <si>
    <t>10.1016/j.aquatox.2010.12.003</t>
  </si>
  <si>
    <t>734OX</t>
  </si>
  <si>
    <t>WOS:000288346200004</t>
  </si>
  <si>
    <t>Ereira, T; Coelho, JP; Duarte, AC; Pardal, MA; Pereira, ME</t>
  </si>
  <si>
    <t>Ereira, T.; Coelho, J. P.; Duarte, A. C.; Pardal, M. A.; Pereira, M. E.</t>
  </si>
  <si>
    <t>Size-Dependent Arsenic Accumulation in Scrobicularia plana in a Temperate Coastal Lagoon (Ria de Aveiro, Portugal)</t>
  </si>
  <si>
    <t>Coastal lagoon; Arsenic; Scrobicularia plana; Size effect; Food safety</t>
  </si>
  <si>
    <t>HEAVY-METALS; BIOACCUMULATION; CONTAMINATION; SEDIMENT; ESTUARIES; SPILL</t>
  </si>
  <si>
    <t>Sediment, suspended particulate matter (SPM), water and clam Scrobicularia plana samples were collected in a temperate coastal lagoon with anthropogenic impact. Arsenic levels in sediments, SPM and water presented a spatial concentration gradient. A significant linear regression between arsenic levels in S. plana and SPM suggests particulate matter as the main route of arsenic exposure. Trend analysis showed that total arsenic concentrations in S. plana generally increased with size class, reflecting lifespan bioaccumulation. Despite being efficient in reflecting environmental contamination levels, results suggest that arsenic accumulation by S. plana may not be a passive process, given the proportionally lower accumulation in high contamination areas. Annual bioaccumulation rates ranged from 5.6 to 1 mg kg(-1) year(-1), suggesting a possible toxicity risk for individuals of the most contaminated area. Despite the absence of regulatory guidelines, food safety assessment highlighted possible adverse effects of consuming S. plana in most contaminated areas.</t>
  </si>
  <si>
    <t>[Ereira, T.; Coelho, J. P.; Duarte, A. C.; Pereira, M. E.] Univ Aveiro, Ctr Environm &amp; Marine Studies, CESAM, P-3810193 Aveiro, Portugal; [Ereira, T.; Coelho, J. P.; Duarte, A. C.; Pereira, M. E.] Univ Aveiro, Dept Chem, P-3810193 Aveiro, Portugal; [Pardal, M. A.] Univ Coimbra, Dept Life Sci, CEF Ctr Funct Ecol, P-3001401 Coimbra, Portugal</t>
  </si>
  <si>
    <t>Coelho, JP (corresponding author), Univ Aveiro, Ctr Environm &amp; Marine Studies, CESAM, P-3810193 Aveiro, Portugal.</t>
  </si>
  <si>
    <t>Coelho, João/C-1699-2008; Pardal, Miguel Angelo/C-3984-2009; Duarte, Armando/C-1424-2008</t>
  </si>
  <si>
    <t>Coelho, Joao Pedro/0000-0003-1975-8308; Pardal, Miguel Angelo/0000-0001-6048-7007; Duarte, Armando/0000-0002-4868-4099</t>
  </si>
  <si>
    <t>European Funds through COMPETE; Portuguese Foundation for Science and Technology (FCT) [UID/AMB/50017/2013, BPD/48449/2008]</t>
  </si>
  <si>
    <t>European Funds through COMPETE; Portuguese Foundation for Science and Technology (FCT)(Fundacao para a Ciencia e a Tecnologia (FCT))</t>
  </si>
  <si>
    <t>This work was supported by European Funds through COMPETE and by National Funds through the Portuguese Foundation for Science and Technology (FCT) within project UID/AMB/50017/2013 (CESAM) and a Post-Doc grant to Joao Pedro Coelho (BPD/48449/2008).</t>
  </si>
  <si>
    <t>10.1007/s11270-015-2484-5</t>
  </si>
  <si>
    <t>CM4XS</t>
  </si>
  <si>
    <t>WOS:000357690100021</t>
  </si>
  <si>
    <t>Zhang, LB; Sun, W; Cai, WG; Zhang, Z; Chen, HG; Ma, SW; Jia, XP</t>
  </si>
  <si>
    <t>Zhang, Linbao; Sun, Wei; Cai, Wengui; Zhang, Zhe; Chen, Haigang; Ma, Shengwei; Jia, Xiaoping</t>
  </si>
  <si>
    <t>Transcriptional response of four C1q domain containing protein (C1qDC) genes from Venerupis philippinarum exposed to the water soluble fraction of No.0 diesel oil</t>
  </si>
  <si>
    <t>C1q-domain-containing protein (C1qDC); mRNA expression; Venerupis philippinarum; Water soluble fraction of No.0 diesel oil (WSFD)</t>
  </si>
  <si>
    <t>POLYCYCLIC AROMATIC-HYDROCARBONS; DIFFERENTIALLY EXPRESSED GENES; SCALLOP CHLAMYS-FARRERI; HEAVY-METALS; C1Q-DOMAIN-CONTAINING PROTEINS; DI(2-ETHYLHEXYL) PHTHALATE; MYTILUS-GALLOPROVINCIALIS; ACCOMMODATED FRACTION; OXIDATIVE STRESS; DIGESTIVE GLAND</t>
  </si>
  <si>
    <t>As pattern recognitionreceptors, the C1q-domain-containing (C1qDC) proteins play an important role in the pathogen recognition and complement pathway activation. In the present study, four novel C1q domain containing proteins (designated as VpC1qDC1,VpC1qDC2,VpC1qDC3 and VpC1qDC4) were cloned and characterized from clam Venerupis philippinarum. The four VpC1qDCs all possessed the conserved features critical for the fundamental structure and function of the C1q family. The four VpC1qDCs genes showed differential response profiles after exposure to the water soluble fraction of No.0 diesel oil (WSFD). More notably, VpC1qDC1 and VpC1qDC3 were more sensitive to low concentration of WSFD, as their mRNA level changed by higher magnitudes. In addition, VpC1qDC2 and VpC1qDC4 displayed notable increases with larger amplitude to high concentration of WSFD. All these results suggested that the transcriptional response of VpC1qDCs genes were probably a protective mechanism of the cell to oils pollution. The diverse expression patterns of VpC1qDCs demonstrated that VpC1qDC1 and VpC1qDC3 were sensitive responders to environmental stress in V. philippinarum. (C) 2016 Elsevier Inc. All rights reserved.</t>
  </si>
  <si>
    <t>[Zhang, Linbao; Sun, Wei; Cai, Wengui; Zhang, Zhe; Chen, Haigang; Ma, Shengwei; Jia, Xiaoping] South China Sea Fisheries Res Inst, Key Lab South China Sea Fishery Resources Exploit, Minist Agr, Guangzhou 510300, Guangdong, Peoples R China; [Zhang, Linbao; Sun, Wei; Cai, Wengui; Zhang, Zhe; Chen, Haigang; Ma, Shengwei; Jia, Xiaoping] Chinese Acad Fishery Sci, South China Sea Fisheries Res Inst, Key Lab Fishery Ecol Environm, Guangzhou 510300, Guangdong, Peoples R China</t>
  </si>
  <si>
    <t>Chinese Academy of Fishery Sciences; South China Sea Fisheries Research Institute, CAFS; Ministry of Agriculture &amp; Rural Affairs; Chinese Academy of Fishery Sciences; South China Sea Fisheries Research Institute, CAFS</t>
  </si>
  <si>
    <t>Zhang, LB; Jia, XP (corresponding author), South China Sea Fisheries Res Inst, Key Lab South China Sea Fishery Resources Exploit, Minist Agr, Guangzhou 510300, Guangdong, Peoples R China.</t>
  </si>
  <si>
    <t>zhanglinbao1984@163.com; nhsjxp2016@sina.com</t>
  </si>
  <si>
    <t>project of the People's Republic of China Ministry of Agriculture, Fisheries Bureau [2012-NZ-5739]; Chinese Academy of Fishery Sciences [2014A02XK02, 2013YD07]; National Natural Science Funds of China [41306113]; Special Scientific Research Funds for Central Non-profit Institutes</t>
  </si>
  <si>
    <t>project of the People's Republic of China Ministry of Agriculture, Fisheries Bureau; Chinese Academy of Fishery Sciences; National Natural Science Funds of China(National Natural Science Foundation of China (NSFC)); Special Scientific Research Funds for Central Non-profit Institutes</t>
  </si>
  <si>
    <t>This research was supported by the project of the People's Republic of China Ministry of Agriculture, Fisheries Bureau (2012-NZ-5739), Special Scientific Research Funds for Central Non-profit Institutes, Chinese Academy of Fishery Sciences (2014A02XK02 and 2013YD07), and National Natural Science Funds of China (41306113).</t>
  </si>
  <si>
    <t>10.1016/j.ecoenv.2016.05.024</t>
  </si>
  <si>
    <t>WOS:000380867200006</t>
  </si>
  <si>
    <t>de Siqueira, WN; de Franca, EJ; Pereira, DR; Lima, MD; Silva, HAMF; Sa, JLF; de Araujo, HDA; Melo, AMMD</t>
  </si>
  <si>
    <t>de Siqueira, Williams Nascimento; de Franca, Elvis Joacir; Pereira, Dewson Rocha; Lima, Maira de Vasconcelos; Silva, Hianna Arely Milca Fagundes; Sa, Jose Luis Ferreira; de Araujo, Hallysson Douglas Andrade; Melo, Ana Maria Mendonca de Albuquerque</t>
  </si>
  <si>
    <t>Toxicity and genotoxicity of domestic sewage sludge in the freshwater snail Biomphalaria glabrata (Say, 1818)</t>
  </si>
  <si>
    <t>Biomarker; Cytotoxic; Comet assay; Ecotoxicity; Hemocyte; Mollusk; Toxicity</t>
  </si>
  <si>
    <t>COMET ASSAY; HEAVY-METALS; DNA-DAMAGE; INDUSTRIAL EFFLUENTS; CORBICULA-FLUMINEA; MICRONUCLEUS ASSAY; BIVALVE MOLLUSKS; IN-VITRO; POLLUTION; FISH</t>
  </si>
  <si>
    <t>Waste produced in homes is one of the main sources of pollutants in freshwater ecosystems. Therefore, it is imperative to implement methodologies that aid in environmental monitoring procedures. The use of organisms as biomonitors has grown increasingly prevalent as they are models that provide data that can be adequately evaluated. In this work, we investigated the genotoxic and cytotoxic effects caused by domestic sewage sludge through an analysis of biomarkers in the mollusk Biomphalaria glabrata. For the tests, increasing concentrations of 50, 100, 150, and 500 mg L-1 of domestic sewage sludge were standardized, in addition to control groups. Assays were performed after the mollusks were exposed to the domestic sewage sludge in acute (48 h) and chronic (15 d) manner. Toxicity tests were performed with embryonic and adult snails. The cytoplasmic and nuclear changes were analyzed in the hemocyte cells. Lastly, genotoxic damage was analyzed using the comet assay. Adult snails and embryos of B. glabrata showed no significant morphological changes. Domestic sludge caused deleterious effects on mollusks as confirmed after cell genotoxicity tests. Therefore, based on the results obtained from the analysis of B. glabrata hemocytes, we can affirm that domestic sewage sludge causes genotoxic and cytotoxic effects on mollusk cells. Therefore, it is possible to conclude that the mollusk Biomphalaria glabrata can be used as a good low-cost alternative to assist in the biomonitoring of freshwater environments. Graphical Abstract</t>
  </si>
  <si>
    <t>[de Siqueira, Williams Nascimento; Pereira, Dewson Rocha; Lima, Maira de Vasconcelos; Silva, Hianna Arely Milca Fagundes; Sa, Jose Luis Ferreira; de Araujo, Hallysson Douglas Andrade; Melo, Ana Maria Mendonca de Albuquerque] Univ Fed Pernambuco, Dept Biofis &amp; Radiobiol, Recife, PE, Brazil; [de Siqueira, Williams Nascimento; de Franca, Elvis Joacir; Lima, Maira de Vasconcelos] Ctr Reg Ciencias Nucl Nordeste, Serv Monitoracao Ambiental, Recife, PE, Brazil; [de Siqueira, Williams Nascimento] Univ Fed Pernambuco, Lab Radiobiol, Av Prof Moraes Rego S-N, BR-50780901 Recife, PE, Brazil</t>
  </si>
  <si>
    <t>Universidade Federal de Pernambuco; Universidade Federal de Pernambuco</t>
  </si>
  <si>
    <t>de Siqueira, WN (corresponding author), Univ Fed Pernambuco, Dept Biofis &amp; Radiobiol, Recife, PE, Brazil.;de Siqueira, WN (corresponding author), Ctr Reg Ciencias Nucl Nordeste, Serv Monitoracao Ambiental, Recife, PE, Brazil.;de Siqueira, WN (corresponding author), Univ Fed Pernambuco, Lab Radiobiol, Av Prof Moraes Rego S-N, BR-50780901 Recife, PE, Brazil.</t>
  </si>
  <si>
    <t>williams.wns@gmail.com</t>
  </si>
  <si>
    <t>luiz, jose/V-1211-2019; Silva, Adriana/N-3028-2016; De França, Elvis/AAC-6986-2020</t>
  </si>
  <si>
    <t>Coordenacao de Aperfeicoamento de Pessoal de Nivel Superior (CAPES); Comissao Nacional de Energia Nuclear (CNEN); Conselho Nacional de Desenvolvimento Cientifico e Tecnologico (CNPq); Fundacao de Amparo a Ciencia e a Tecnologia do Estado de Pernambuco (FACEPE); FACEPE [BFP-0080-2.08/20]</t>
  </si>
  <si>
    <t>Coordenacao de Aperfeicoamento de Pessoal de Nivel Superior (CAPES)(Coordenacao de Aperfeicoamento de Pessoal de Nivel Superior (CAPES)); Comissao Nacional de Energia Nuclear (CNEN); Conselho Nacional de Desenvolvimento Cientifico e Tecnologico (CNPq)(Conselho Nacional de Desenvolvimento Cientifico e Tecnologico (CNPQ)); Fundacao de Amparo a Ciencia e a Tecnologia do Estado de Pernambuco (FACEPE)(Fundacao de Amparo a Ciencia e Tecnologia do Estado de Pernambuco (FACEPE)); FACEPE(Fundacao de Amparo a Ciencia e Tecnologia do Estado de Pernambuco (FACEPE))</t>
  </si>
  <si>
    <t>The present study was supported by the following Brazilian agencies: Coordenacao de Aperfeicoamento de Pessoal de Nivel Superior (CAPES), Comissao Nacional de Energia Nuclear (CNEN), Conselho Nacional de Desenvolvimento Cientifico e Tecnologico (CNPq), and Fundacao de Amparo a Ciencia e a Tecnologia do Estado de Pernambuco (FACEPE). H.D.A. Araujo thanks FACEPE for the Researcher Fixation Scholarship (BFP-0080-2.08/20).</t>
  </si>
  <si>
    <t>10.1007/s11356-021-15529-3</t>
  </si>
  <si>
    <t>WOS:000675796000015</t>
  </si>
  <si>
    <t>Giménez, V; Cardoso, P; Sá, C; Patinha, C; Da Silva, EF; Figueira, E; Pires, A</t>
  </si>
  <si>
    <t>Gimenez, Valeria; Cardoso, Paulo; Sa, Carina; Patinha, Carla; da Silva, Eduardo Ferreira; Figueira, Etelvina; Pires, Adilia</t>
  </si>
  <si>
    <t>Interplay of Seasonality, Major and Trace Elements: Impacts on the Polychaete Diopatra neapolitana</t>
  </si>
  <si>
    <t>Diopatra neapolitana; biochemical endpoints; oxidative stress; major elements; trace elements; seasonality</t>
  </si>
  <si>
    <t>ELECTRON-TRANSPORT SYSTEM; BIVALVE CERASTODERMA-EDULE; OXIDATIVE-STRESS; BIOCHEMICAL RESPONSES; REPRODUCTIVE-BIOLOGY; METAL CONCENTRATIONS; NEREIS-DIVERSICOLOR; ESTUARINE SEDIMENTS; LIPID-PEROXIDATION; TROPHIC TRANSFER</t>
  </si>
  <si>
    <t>Simple Summary Coastal systems often serve as sinks for toxic elements, and seasonality has been responsible for many changes in the physical and chemical parameters of waters and sediments, leading to geochemical alterations in aquatic systems and the alteration of element uptake rates in organisms. Diopatra neapolitana worms were collected from five sites of the Ria de Aveiro lagoon in the autumn, winter, spring, and summer of 2018/2019 and were tested to check for differences in the biochemical responses (cell damage, antioxidant enzymes, biotransformation enzymes, and energy-related parameters) among seasons and sites. In general, the results demonstrated that enzyme activities were higher in spring and summer due to high temperatures and element bioaccumulation. Energy-related parameters presented with higher levels in spring and autumn, which was mainly due to element bioaccumulation. Oxidative damage was higher during winter and was related to salinity and decreases in temperature. This study demonstrated that abiotic factors influence the geochemistry of elements and that both significantly affect organism performance in low-contamination systems, such as the Ria de Aveiro lagoon. This knowledge is important to understand how ecological and economically relevant species such as D. neapolitana respond to environmental changes. Polychaetes are known to be good bioindicators of marine pollution, such as inorganic contamination. Major and trace elements are commonly present in sediment and may be accumulated by polychaetes such as the tubiculous Diopatra neapolitana. In this study, D. neapolitana individuals were collected in the autumn, winter, spring, and summer of 2018/2019 from the Ria de Aveiro lagoon (western Portugal) to understand how seasonality influences element accumulation. The impact of the interaction of seasonality and elements on oxidative status, energy metabolism, and oxidative damage was also assessed. The obtained results showed that the activity of the antioxidant enzymes catalase, glutathione S-transferases, and non-protein thiol levels were higher in summer and that superoxide dismutase, lipid peroxidation, and electron transport system activity increased in winter. The lowest glycogen levels were observed during spring, and protein carbonylation was the highest during autumn. These results could mainly be related to high temperatures and the bioaccumulation of Al, As, Mn, and Zn. Energy-related parameters increased during spring and autumn, mainly due to the bioaccumulation of the same elements during spring and summer. Lipid damage was higher during winter, which was mainly due to salinity and temperature decreases. Overall, this study demonstrates that seasonality plays a role in element accumulation by polychaetes and that both impact the oxidative status of D. neapolitana.</t>
  </si>
  <si>
    <t>[Gimenez, Valeria] Univ Aveiro, Dept Biol, P-3810193 Aveiro, Portugal; [Cardoso, Paulo; Sa, Carina; Figueira, Etelvina; Pires, Adilia] Univ Aveiro, Ctr Environm &amp; Marine Studies CESAM, Dept Biol, P-3810193 Aveiro, Portugal; [Patinha, Carla; da Silva, Eduardo Ferreira] Univ Aveiro, Dept Geosci, GEOBIOTEC, P-3810193 Aveiro, Portugal</t>
  </si>
  <si>
    <t>Pires, A (corresponding author), Univ Aveiro, Ctr Environm &amp; Marine Studies CESAM, Dept Biol, P-3810193 Aveiro, Portugal.</t>
  </si>
  <si>
    <t>valeriacgimenez@ua.pt; pjcardoso@ua.pt; carinafsa@ua.pt; cpatinha@ua.pt; eafsilva@ua.pt; efigueira@ua.pt; adilia@ua.pt</t>
  </si>
  <si>
    <t>da Silva, Eduardo/AAT-5115-2020; Patinha, Carla/AAS-8699-2020; Pires, Adilia/K-2174-2014; Figueira, Etelvina/M-6116-2013; Cardoso, Paulo/V-5260-2018; Ferreira da Silva, Eduardo/B-3317-2012</t>
  </si>
  <si>
    <t>Pires, Adilia/0000-0002-4406-1847; Sa, Carina/0000-0002-2041-1873; Figueira, Etelvina/0000-0002-6763-2665; Cardoso, Paulo/0000-0002-1234-5861; Ferreira da Silva, Eduardo/0000-0002-3019-8471; Patinha, Carla/0000-0001-6006-344X; de Castro Gimenez, Valeria/0000-0003-0689-6330</t>
  </si>
  <si>
    <t>BIOGEOCLIM project - FEDER through COMPETE2020-Programa Operational Competitividade e Internacionalizacao (POCI) [POCI-01-0145-FEDER-029185]; national funds (OE) through FCT/MCTES; CESAMand GeoBioTec by FCT/MCTES [UIDP/50017/2020+UIDB/50017/2020+LA/P/0094/2020, UID/GEO/04035/2020]</t>
  </si>
  <si>
    <t>BIOGEOCLIM project - FEDER through COMPETE2020-Programa Operational Competitividade e Internacionalizacao (POCI); national funds (OE) through FCT/MCTES(Fundacao para a Ciencia e a Tecnologia (FCT)); CESAMand GeoBioTec by FCT/MCTES</t>
  </si>
  <si>
    <t>This research was funded by the BIOGEOCLIM project (POCI-01-0145-FEDER-029185) funded by FEDER through COMPETE2020-Programa Operational Competitividade e Internacionalizacao (POCI), and by national funds (OE) through FCT/MCTES. We also acknowledge the financial support from CESAMand GeoBioTec by FCT/MCTES (UIDP/50017/2020+UIDB/50017/2020+LA/P/0094/2020 and UID/GEO/04035/2020) through national funds.</t>
  </si>
  <si>
    <t>10.3390/biology11081153</t>
  </si>
  <si>
    <t>4C0MI</t>
  </si>
  <si>
    <t>WOS:000846158900001</t>
  </si>
  <si>
    <t>Mohamat-Yusuff, F; Ibrahim, DSM; Mukhtar, A; Joni, AAM; Kusin, FM; Mohamed, KN; Zulkeflee, Z; Asha'ari, ZH; Zulkifli, SZ; Ismail, A; Arshad, A</t>
  </si>
  <si>
    <t>Mohamat-Yusuff, Ferdaus; Ibrahim, Dhilshad Shereen Mohamed; Mukhtar, Aqilah; Joni, Amirul Azuan Mad; Kusin, Faradiella Mohd; Mohamed, Khairul Nizam; Zulkeflee, Zufarzaana; Asha'ari, Zulfa Hanan; Zulkifli, Syaizwan Zahmir; Ismail, Ahmad; Arshad, Aziz</t>
  </si>
  <si>
    <t>Toxicity effect of Diuron on gill tissue structure and the tissue residue of blood cockles (Tegillarca granosa)</t>
  </si>
  <si>
    <t>Agriculture; Biocide; Pollution; Acute; Marine; Pathological score</t>
  </si>
  <si>
    <t>BOOSTER BIOCIDES; SUBLETHAL; COPPER; CONTAMINATION; DEGRADATION; IMPACT; OYSTER; AREA</t>
  </si>
  <si>
    <t>This study aimed to identify the toxicity effect of Diuron on Tegillarca granosa by determining accumulation in the soft tissues and alteration on the gill tissue structure. Wild stocks T. granosa were grouped to identify the initial Diuron concentration and 48-h exposure in different concentrations (0, 1, 2, 3, and 4 mg.L-1). The Diuron in tissue was extracted using an established procedure and identified using High-Performance Liquid Chromatography (HPLC). Gills were analysed for histopathological study; tissue structure was classified and scored using a developed scoring system. Diuron concentration in the soft tissue of exposed T. granosa was in the range 1.27-8.09 mg.kg(-1), w/w and not proportionately increase along with the exposure concentration. The mean index values of the gill histopathology ranged from 5.25-7.67 and classified as moderate to severe. Gills characteristics and T. granosa protective behaviour potentially limit Diuron accumulation in the soft tissue.</t>
  </si>
  <si>
    <t>[Mohamat-Yusuff, Ferdaus; Ibrahim, Dhilshad Shereen Mohamed; Joni, Amirul Azuan Mad; Kusin, Faradiella Mohd; Mohamed, Khairul Nizam; Zulkeflee, Zufarzaana; Asha'ari, Zulfa Hanan] Univ Putra Malaysia, Fac Forestry &amp; Environm, Dept Environm, Upm Serdang 43400, Selangor, Malaysia; [Mohamat-Yusuff, Ferdaus; Zulkifli, Syaizwan Zahmir; Arshad, Aziz] Univ Putra Malaysia, Int Inst Aquaculture &amp; Aquat Sci I AQUAS, Jalan Kemang 6,Batu 7, Port Dickson 71050, Negeri Sembilan, Malaysia; [Mukhtar, Aqilah; Zulkifli, Syaizwan Zahmir; Ismail, Ahmad] Univ Putra Malaysia, Fac Sci, Dept Biol, Upm Serdang 43400, Selangor, Malaysia; [Arshad, Aziz] Univ Putra Malaysia, Fac Agr, Dept Aquaculture, Upm Serdang 43400, Selangor, Malaysia</t>
  </si>
  <si>
    <t>Universiti Putra Malaysia; Universiti Putra Malaysia; Universiti Putra Malaysia; Universiti Putra Malaysia</t>
  </si>
  <si>
    <t>Mohamat-Yusuff, F (corresponding author), Univ Putra Malaysia, Fac Forestry &amp; Environm, Dept Environm, Upm Serdang 43400, Selangor, Malaysia.</t>
  </si>
  <si>
    <t>ferdius@upm.edu.my</t>
  </si>
  <si>
    <t>Mohamed, Khairul/AAP-4920-2021; Zulkifli, Syaizwan/L-8335-2013; Zulkeflee, Zufarzaana/U-8015-2019; Mukhtar, Aqilah/AAX-3159-2021; Mohd Kusin, Faradiella/G-6384-2011</t>
  </si>
  <si>
    <t>Mohd Kusin, Faradiella/0000-0002-6078-6063; Ash'aari, Zulfa Hanan/0000-0002-9500-1342</t>
  </si>
  <si>
    <t>Ministry of Higher Education, Malaysia [FRGS/1/2017/WAB05/UPM/02/1]</t>
  </si>
  <si>
    <t>Ministry of Higher Education, Malaysia(Ministry of Education, Malaysia)</t>
  </si>
  <si>
    <t>This research was funded by The Fundamental Research Grant Scheme (FRGS) (Reference No.: FRGS/1/2017/WAB05/UPM/02/1) from the Ministry of Higher Education, Malaysia. The authors thank laboratory assistants at Universiti Putra Malaysia for their sincere guidance and help with sampling. We also put on record the cooperation extended by the Department of Fisheries Malaysia and representatives of T. granosa farmers who cooperate in carrying out this project.</t>
  </si>
  <si>
    <t>10.1016/j.marpolbul.2021.113071</t>
  </si>
  <si>
    <t>WT1BZ</t>
  </si>
  <si>
    <t>WOS:000715608100006</t>
  </si>
  <si>
    <t>STRONKHORST, J; YSEBAERT, TJ; SMEDES, F; MEININGER, PL; DIRKSEN, S; BOUDEWIJN, TJ</t>
  </si>
  <si>
    <t>CONTAMINANTS IN EGGS OF SOME WATERBIRD SPECIES FROM THE SCHELDT ESTUARY, SW NETHERLANDS</t>
  </si>
  <si>
    <t>POLYCYCLIC AROMATIC-HYDROCARBONS; COMMON TERNS; POLLUTANTS; BIRDS; ORGANOCHLORINE; ECOTOXICOLOGY; RESIDUES; MERCURY; COAST; DDE</t>
  </si>
  <si>
    <t>The contaminated Scheldt estuary is a wetland of international importance for waterbirds. In eggs of Common Terns (Sterna hirundo) from the brackish zone, concentrations of Hg, Cr, Cu, Cd, Zn, and PAHs did not exceed no-observed effect levels reported in the literature. Eggshell thickness did not differ from the pre-DDT period. However, concentrations of PCB-118 (0.1-0.7 mug g-1 WW) may indicate adverse effects on reproductive success. In terns' eggs from the marine zone, PCB-118 did not exceed the no-observed effect concentration. In eggs of Black-headed Gulls (Larus ridibundus) concentrations of HCB, lindane, DDT and dieldrin are low and showed no spatial gradient. PCB levels, on the other hand, are high in the brackish zone where adults forage on intertidal flats and eight times lower in eggs from the North Sea coast where adults feed mainly inland. No adverse effect on breeding success of Black-headed Gulls was observed in the field. The estimated biomagnification factor for PCB-153 for Oyster catcher (Haematopus ostralegus) is higher than for terns and gulls.</t>
  </si>
  <si>
    <t>INST NAT CONSERVAT, B-3500 HASSELT, BELGIUM; BUR WAARDENBURG BU, 4100 AJ CULEMBORG, NETHERLANDS</t>
  </si>
  <si>
    <t>MINIST TRANSPORT PUBL WORK &amp; WATER MANAGEMENT, DIV TIDAL WATER, RIJKSWATERSTAAT, POB 8039, MIDDELBURG, NETHERLANDS.</t>
  </si>
  <si>
    <t>Smedes, Foppe/JBS-0115-2023; Ysebaert, Tom/C-6715-2011; Smedes, Foppe/E-1434-2012</t>
  </si>
  <si>
    <t>Smedes, Foppe/0000-0002-1018-0063</t>
  </si>
  <si>
    <t>10.1016/0025-326X(93)90409-D</t>
  </si>
  <si>
    <t>ME284</t>
  </si>
  <si>
    <t>WOS:A1993ME28400008</t>
  </si>
  <si>
    <t>Zhang, XF; Taylor, WD; Rudstam, LG</t>
  </si>
  <si>
    <t>Zhang, Xiufeng; Taylor, William D.; Rudstam, Lars G.</t>
  </si>
  <si>
    <t>Herbivorous snails can increase water clarity by stimulating growth of benthic algae</t>
  </si>
  <si>
    <t>Eutrophication; Benthification; Benthos; Benthic algae; Pelagic algae</t>
  </si>
  <si>
    <t>BELLAMYA-AERUGINOSA REEVE; PELAGIC COUPLING IMPLICATIONS; MUSSEL DREISSENA-POLYMORPHA; FRESH-WATER; SHALLOW LAKES; PERIPHYTIC ALGAE; FOOD-CHAIN; PHYTOPLANKTON; EUTROPHICATION; PHOSPHORUS</t>
  </si>
  <si>
    <t>Eutrophication in shallow lakes is characterized by a switch from benthic to pelagic dominance of primary productivity that leads to turbid water, while benthification is characterized by a shift in primary production from the pelagic zone to the benthos associated with clear water. A 12-week mesocosm experiment tested the hypothesis that the herbivorous snail Bellamya aeruginosa stimulates the growth of pelagic algae through grazing on benthic algae and through accelerating nutrient release from sediment. A tube-microcosm experiment using P-32-PO4 as a tracer tested the effects of the snails on the release of sediment phosphorus (P). The mesocosm experiment recorded greater total nitrogen (TN) concentrations and a higher ratio of TN:TP in the overlying water, and a higher light intensity and biomass of benthic algae as measured by chlorophyll a (Chl a) in the snail treatment than in the control. Concentrations of total phosphorus (TP), total suspended solids (TSSs), and inorganic suspended solids (ISSs) in the overlying water were lower in the snail treatment than in the control, though no significant difference in Chl a of pelagic algae between the snail treatment and control was observed. In the microcosm experiment, P-32 activity in the overlying water was higher in the snail treatment than in the control, indicating that snails accelerated P release from the sediment. Our interpretation of these results is that snails enhanced growth of benthic algae and thereby improved water clarity despite grazing on the benthic algae and enhancing P release from the sediment. The rehabilitation of native snail populations may therefore enhance the recovery of eutrophic shallow lakes to a clear water state by stimulating growth of benthic algae.</t>
  </si>
  <si>
    <t>[Zhang, Xiufeng] Jinan Univ, Dept Ecol, Guangzhou 510632, Guangdong, Peoples R China; [Zhang, Xiufeng] Jinan Univ, Inst Hydrobiol, Guangzhou 510632, Guangdong, Peoples R China; [Zhang, Xiufeng; Rudstam, Lars G.] Cornell Univ, Dept Nat Resources, Cornell Biol Field Stn, Bridgeport, NY 13030 USA; [Taylor, William D.] Univ Waterloo, Dept Biol, Waterloo, ON N2L 3G1, Canada</t>
  </si>
  <si>
    <t>Jinan University; Jinan University; Chinese Academy of Sciences; Cornell University; University of Waterloo</t>
  </si>
  <si>
    <t>Zhang, XF (corresponding author), Jinan Univ, Dept Ecol, Guangzhou 510632, Guangdong, Peoples R China.;Zhang, XF (corresponding author), Jinan Univ, Inst Hydrobiol, Guangzhou 510632, Guangdong, Peoples R China.;Zhang, XF (corresponding author), Cornell Univ, Dept Nat Resources, Cornell Biol Field Stn, Bridgeport, NY 13030 USA.</t>
  </si>
  <si>
    <t>wetlandxfz@163.com; wdtaylor@uwaterloo.ca; rudstam@cornell.edu</t>
  </si>
  <si>
    <t>Rudstam, Lars/0000-0002-3732-6368</t>
  </si>
  <si>
    <t>National Natural Science Foundation of China [31570456, 41771100]; Provincial Natural Science Foundation of Guangdong [2016A030313103]</t>
  </si>
  <si>
    <t>National Natural Science Foundation of China(National Natural Science Foundation of China (NSFC)); Provincial Natural Science Foundation of Guangdong</t>
  </si>
  <si>
    <t>The authors are grateful to Ping Li for her assistance in sampling and sample analyses. We thank Dr. Ken Chan for the valuable editorial work on this manuscript. This study was sponsored by the National Natural Science Foundation of China (Nos. 31570456 and 41771100) and Provincial Natural Science Foundation of Guangdong (No. 2016A030313103) and completed while the senior author was a visiting professor at Cornell University.</t>
  </si>
  <si>
    <t>10.1007/s11356-017-0108-x</t>
  </si>
  <si>
    <t>FK6XY</t>
  </si>
  <si>
    <t>WOS:000413649700057</t>
  </si>
  <si>
    <t>Al-Dabbas, MA; Al-Jaberi, MHA</t>
  </si>
  <si>
    <t>Al-Dabbas, Moutaz A.; Al-Jaberi, Mohanad H. A.</t>
  </si>
  <si>
    <t>Geochemistry of Crassostrea cucullata shells as environmental contamination indicator in Iraqi coasts, North Arabian Gulf</t>
  </si>
  <si>
    <t>ARABIAN JOURNAL OF GEOSCIENCES</t>
  </si>
  <si>
    <t>Geochemical constituents; Crassostrea cucullata shell; Biomonitoring; Intertidal zone; Iraq</t>
  </si>
  <si>
    <t>MUSSEL PERNA-VIRIDIS; METAL CONCENTRATIONS; HEAVY-METALS; GIGAS</t>
  </si>
  <si>
    <t>Geochemical analysis of Crassostrea cucullata shells was carried out to study the pollution of the Iraqi aquatic brackish and marine environments. Samples of shells and water were collected from the intertidal zone at seven different stations (Fadakia, Rass Al Bishah, Khor Abdullah, Khor Shytianah, Hacham Island, Khor Al Zubair, and Shatt Al Basra) during low tide period from March to August 2011 from the Shatt Al-Arab, Shatt Al-Basra and Iraqi coasts along the North Arabian Gulf. The hydrochemical analysis reflects three zones of water salinity, Fadakia and Shatt Al Basra of Brackish water with total dissolve solid (TDS) range (15,148-18,130 ppm), Rass Al Bishah of saline water with TDS range (34,123-36,521 ppm), and the other marine coastal sites of saline water with TDS range (39,215-45,220 ppm). The geochemical analysis results show that positive correlation was found between water salinity of the sampling sites and the chemical constituents CaO %, MgO %, K2O %, Na2O %, LOI %, Sr/Ca, and Mg/Ca and the trace elements Co, Ni, Rb, Sr, Zn, Cu, Ba, Cr, and Pb concentrations, while negative correlation was found between water salinity and SiO2, Al2O3, P2O5, and Fe2O3 percentages in the calcite shell of C. cucullata. It is good to use the mineralogical evidence of C. cucullata shells with their living aqueous habitat to build an aqueous environment pollution models. Thus, the shells of C. cucullata were found to be a useful tool for monitoring contamination in the Iraqi aquatic brackish and marine environments.</t>
  </si>
  <si>
    <t>[Al-Dabbas, Moutaz A.] Univ Baghdad, Coll Sci, Baghdad, Iraq; [Al-Jaberi, Mohanad H. A.] Univ Basra, Coll Sci, Basra, Iraq</t>
  </si>
  <si>
    <t>University of Baghdad; University of Basrah</t>
  </si>
  <si>
    <t>Al-Dabbas, MA (corresponding author), Univ Baghdad, Coll Sci, Baghdad, Iraq.</t>
  </si>
  <si>
    <t>prof_aldabbas@yahoo.com; jaberi76@yahoo.com</t>
  </si>
  <si>
    <t>Al-Dabbas, Moutaz/Z-1358-2018; Al-Jaberi, Mohanad/AAF-2339-2019</t>
  </si>
  <si>
    <t>Al-Jaberi, Mohanad/0000-0001-8731-9708</t>
  </si>
  <si>
    <t>1866-7511</t>
  </si>
  <si>
    <t>1866-7538</t>
  </si>
  <si>
    <t>ARAB J GEOSCI</t>
  </si>
  <si>
    <t>Arab. J. Geosci.</t>
  </si>
  <si>
    <t>10.1007/s12517-014-1592-7</t>
  </si>
  <si>
    <t>CP7LD</t>
  </si>
  <si>
    <t>WOS:000360068200035</t>
  </si>
  <si>
    <t>Chandramohan, D</t>
  </si>
  <si>
    <t>Recent advances in marine microbiology: The Indian scenario</t>
  </si>
  <si>
    <t>JOURNAL OF MARINE BIOTECHNOLOGY</t>
  </si>
  <si>
    <t>APMBC 95</t>
  </si>
  <si>
    <t>SEP 12-14, 1995</t>
  </si>
  <si>
    <t>JAPAN</t>
  </si>
  <si>
    <t>SULFATE-REDUCING BACTERIA; CINEREUM J AG; ARABIAN SEA; HETEROTROPHIC BACTERIA; LUMINOUS BACTERIA; FUNGAL COMPONENT; PENAEUS-MONODON; MERCURY; THRAUSTOCHYTRIDS; DECOMPOSITION</t>
  </si>
  <si>
    <t>Great strides have been made in understanding the microbes of the seas around India, and these include both mycological and bacteriological aspects, covering near, offshore, and deep-sea waters. In mycology, the role of the little known group of protists, the thraustochytrids, in the marine environment has been elucidated. Fungal diseases inflicting local strains of algae, rock oysters and coral reefs have been highlighted. This review also covers aspects of shell-boring algae and fungi inhabiting deep-sea calcareous matter. Bacteriological studies cover aspects of denitrification, sulfate reduction, and chemolithotrophy. In addition, the ecology of bioluminescent bacteria and their use in coastal pollution surveillance have been investigated. Other areas covered include microbial antagonism, metal-microbe interactions, and pollution studies. Deep-sea bacteriological studies have suggested the oxidative role of bacteria in the formation of deep-sea polymetallic nodules. The use of some of the bacterial isolates in hydrocarbon degradation, for plasmid isolation, and other applications of marine microbes from different niches as sources of industrial enzymes is discussed.</t>
  </si>
  <si>
    <t>Chandramohan, D (corresponding author), NATL INST OCEANOG,DONA PAULS 403004,GOA,INDIA.</t>
  </si>
  <si>
    <t>0941-2905</t>
  </si>
  <si>
    <t>J MAR BIOTECHNOL</t>
  </si>
  <si>
    <t>J. Mar. Biotechnol.</t>
  </si>
  <si>
    <t>XJ358</t>
  </si>
  <si>
    <t>WOS:A1997XJ35800001</t>
  </si>
  <si>
    <t>Sidi, N; Aris, AZ; Yusuff, FM; Looi, LJ; Mokhtar, NF</t>
  </si>
  <si>
    <t>Sidi, Nordiani; Aris, Ahmad Zaharin; Yusuff, Ferdaus Mohamat; Looi, Ley Juen; Mokhtar, Nor Farhanna</t>
  </si>
  <si>
    <t>Tape seagrass (Enhalus acoroides) as a bioindicator of trace metal contamination in Merambong shoal, Johor Strait, Malaysia</t>
  </si>
  <si>
    <t>Bioindicator; Merambong shoal; Seagrass; Trace metal; Translocation factor</t>
  </si>
  <si>
    <t>CYMODOCEA-NODOSA; COASTAL WATERS; POLLUTION; BIOACCUMULATION; ACCUMULATION; BIOMONITOR; INDICATORS; PROFILE; MUSSEL; COPPER</t>
  </si>
  <si>
    <t>Revealing the potential of seagrass as a bioindicator for metal pollution is important for assessing marine ecosystem health. Trace metal (Cd-111, Cu-63, Ni-60, Pb-208, (66)m) concentrations in the various parts (root, rhizome, and blade) of tape seagrass (Enhalus acoroides) collected from Merambong shoal of Sungai Pulai estuary, Johor Strait, Malaysia were acid-extracted using a microwave digester and analysed via inductively coupled plasma mass spectrometry (ICP-MS). The ranges of trace metal concentrations (in mu g(-1) dry weight) were as follows: Cd (0.05-0.81), Cu (1.62-27.85), Ni (1.89-9.35), Pb (0.69-4.16), and Zn (3.44-35.98). The translocation factor revealed that E. acoroides is a hyperaccumulator plant, as its blades can accumulate high concentrations of Cd, Cu, Ni, and Zn, but not Pb. The plant limits Pb mobility to minimize Pb's toxic impact. Thus, E. acoroides is a potential bioindicator of metal pollution by Cd, Cu, Ni, and Zn in estuarine environments.</t>
  </si>
  <si>
    <t>[Sidi, Nordiani; Aris, Ahmad Zaharin; Yusuff, Ferdaus Mohamat; Looi, Ley Juen; Mokhtar, Nor Farhanna] Univ Putra Malaysia, Fac Environm Studies, Dept Environm Sci, Serdang 43400, Selangor, Malaysia</t>
  </si>
  <si>
    <t>Aris, AZ (corresponding author), Univ Putra Malaysia, Fac Environm Studies, Dept Environm Sci, Serdang 43400, Selangor, Malaysia.</t>
  </si>
  <si>
    <t>zaharin@upm.edu.my</t>
  </si>
  <si>
    <t>ARIS, AHMAD ZAHARIN/O-5116-2015; Mohamat Yusuff, Ferdaus/K-1064-2014</t>
  </si>
  <si>
    <t>ARIS, AHMAD ZAHARIN/0000-0002-4827-0750; Mohamat Yusuff, Ferdaus/0000-0003-2056-1449</t>
  </si>
  <si>
    <t>UPM-KPM [KPM P (S) 400-7/2/29-4(65)]; JSPS [KPM P (S) 400-7/2/29-4(65)]</t>
  </si>
  <si>
    <t>UPM-KPM; JSPS(Ministry of Education, Culture, Sports, Science and Technology, Japan (MEXT)Japan Society for the Promotion of Science)</t>
  </si>
  <si>
    <t>This research was funded by a joint fund program between UPM-KPM and JSPS (Project no. KPM P (S) 400-7/2/29-4(65)). The authors would like to extent their gratitude to Mr. Muhammad Idham Said, Ms. Norlela Talib and Mr. Abdussamad for their help during sample collection. The authors would also like to thank Mr. Tengku Shahrul Tengku Md Yusoff, Mr. Shamsuddin Johan, Mr. Mohd Zamani Ismail, Mrs. Siti Arina Mahat and Mr. Zairi Ismail for their commitment in analyzing the samples. Thanks to lab members for provided valuable comments on the manuscript.</t>
  </si>
  <si>
    <t>10.1016/j.marpolbul.2017.10.041</t>
  </si>
  <si>
    <t>WOS:000425569400013</t>
  </si>
  <si>
    <t>Stara, A; Pagano, M; Albano, M; Savoca, S; Di Bella, G; Albergamo, A; Koutkova, Z; Sandova, M; Velisek, J; Fabrello, J; Matozzo, V; Faggio, C</t>
  </si>
  <si>
    <t>Stara, Alzbeta; Pagano, Maria; Albano, Marco; Savoca, Serena; Di Bella, Giuseppa; Albergamo, Ambrogina; Koutkova, Zuzana; Sandova, Marie; Velisek, Josef; Fabrello, Jacopo; Matozzo, Valerio; Faggio, Caterina</t>
  </si>
  <si>
    <t>Effects of long-term exposure of Mytilus galloprovincialis to thiacloprid: A multibiomarker approach*</t>
  </si>
  <si>
    <t>Toxicity; Insecticide; Invertebrates; Biomarkers; Bioaccumulation</t>
  </si>
  <si>
    <t>PERSISTENT ORGANIC POLLUTANTS; VOLUME DECREASE RVD; OXIDATIVE STRESS; DIGESTIVE GLAND; AMMONIA EXCRETION; MARINE ORGANISMS; HEAVY-METALS; FRESH-WATER; MUSSEL; TOXICITY</t>
  </si>
  <si>
    <t>Thiacloprid is a neonicotinoid insecticide widely exploited in agriculture and easily mobilized towards aquatic environments by atmospheric agents. However, little information about its toxicological effects on aquatic invertebrate bioindicators is available. In this study, specimens of the mussel Mytilus galloprovincialis were exposed to thiacloprid at environmental (4.5 mu g L-1) and 100 times higher than environmental (450 mu g L-1) concentrations for 20 days. Thiacloprid affected haemolymph biochemical parameters, cell viability in the digestive gland, antioxidant biomarkers and lipid peroxidation in the digestive gland and gills at environmentally relevant concentrations (4.5 mu g L-1). In addition, thiacloprid exposure caused histological damage to the digestive gland and gills. Interestingly, the pesticide was detected at levels equal to 0.14 ng g-1 in the soft tissues of sentinels exposed for 20 days to 450 mu g L-1 thiacloprid in seawater mu. Due to its harmful potential and cumulative effects after long-term exposure of M. galloprovincialis, thiacloprid may pose a potential risk to nontarget aquatic organisms, as well as to human health. This aspect requires further in-depth investigation.</t>
  </si>
  <si>
    <t>[Stara, Alzbeta; Sandova, Marie; Velisek, Josef] Univ South Bohemia Ceske Budejovice, Res Inst Fish Culture &amp; Hydrobiol, Fac Fisheries &amp; Protect Waters, South Bohemian Res Ctr Aquaculture &amp; Biodivers Hy, Zatisi 728-2, Vodnany 38925, Czech Republic; [Pagano, Maria; Albano, Marco; Savoca, Serena; Faggio, Caterina] Univ Messina, Dept Chem Biol Pharmaceut &amp; Environm Sci, Viale Ferdinando Stagno dAlcontres 31, I-98166 Messina, Italy; [Di Bella, Giuseppa; Albergamo, Ambrogina] Univ Messina, Dept Biomed Dent Morphol &amp; Funct Images Sci BIOMO, Viale Annunziata, Messina, Italy; [Koutkova, Zuzana] Univ Vet &amp; Pharmaceut Sci Brno, Fac Vet Hyg &amp; Ecol, Dept Anim Protect Welf &amp; Behav, Palackeho Tr 1946-1, Brno 61242, Czech Republic; [Fabrello, Jacopo; Matozzo, Valerio] Univ Padua, Dept Biol, Via Basssi 58-B, I-35131 Padua, Italy</t>
  </si>
  <si>
    <t>University of South Bohemia Ceske Budejovice; University of Messina; University of Messina; University of Veterinary Sciences Brno; University of Padua</t>
  </si>
  <si>
    <t>Faggio, C (corresponding author), Univ Messina, Dept Chem Biol Pharmaceut &amp; Environm Sci, Viale Ferdinando Stagno dAlcontres 31, I-98166 Messina, Italy.</t>
  </si>
  <si>
    <t>Velisek, Josef/G-5009-2015; Albano, Marco/AAE-2282-2019; Matozzo, Valerio/D-6999-2017; Savoca, Serena/AAZ-1134-2021; Pagano, Maria/HQY-2377-2023</t>
  </si>
  <si>
    <t>Koutkova, Zuzana/0000-0001-6696-4855; Velisek, Josef/0000-0002-3756-1341; Albano, Marco/0000-0003-0635-2755; SAVOCA, SERENA/0000-0001-5207-6582</t>
  </si>
  <si>
    <t>Ministry of Education, Youth and Sports of the Czech Republic [LM2018099]</t>
  </si>
  <si>
    <t>Ministry of Education, Youth and Sports of the Czech Republic(Ministry of Education, Youth &amp; Sports - Czech Republic)</t>
  </si>
  <si>
    <t>The study was financially supported by The Ministry of Education, Youth and Sports of the Czech Republic, project CENAKVA (No. LM2018099) . The authors also would like to thank Dr. Giandolfo Clara for the English correction.</t>
  </si>
  <si>
    <t>10.1016/j.envpol.2021.117892</t>
  </si>
  <si>
    <t>UR5QK</t>
  </si>
  <si>
    <t>WOS:000696803700010</t>
  </si>
  <si>
    <t>Jin, HB; Ding, J; Liu, HR; Yang, L; Li, DM; Han, XD</t>
  </si>
  <si>
    <t>Jin, Haibo; Ding, Jie; Liu, Hongru; Yang, Lei; Li, Dongmei; Han, Xiaodong</t>
  </si>
  <si>
    <t>Chronic exposure to polystyrene microplastics induced LHR reduction and decreased testosterone levels through NF-κB pathway</t>
  </si>
  <si>
    <t>PS-MPs; Male reproductive dysfunction; Testosterone; LHR; Macrophages; NF-kappa B</t>
  </si>
  <si>
    <t>MACROPHAGES; INFERTILITY; ACTIVATION; EXPRESSION; MUSSEL; ALPHA; CELLS</t>
  </si>
  <si>
    <t>The extensive utilization of plastic products in recent years has resulted in a significant contamination of microplastics (MPs). The ingestion of MPs by aquatic and terrestrial organisms facilitates their transmission to mammals through the food chain. Therefore, the toxicity of MPs has attracted widespread attention from researchers. Previous studies have shown a connection between being exposed to polystyrene MPs (PS-MPs) and issues with male reproductive function. Testosterone, a hormone essential for male reproductive function, is produced and secreted by specialized cells known as Leydig cells, which found in the testicular interstitium. In our prior research, we confirmed that exposure to PS-MPs caused a reduction in testosterone levels by interfering with the LH-mediated LHR/cAMP/PKA/StAR pathway, with LHR being pivotal in this mechanism. However, the molecular mechanism underlying PS-MPs-induced reduction of LHR remains unclear. In this study, mice were respectively given drinking water containing 1000 mu g/L PS-MPs characterized by diameters of 0.5 mu m, 4 mu m, and 10 mu m for a period of 180 days. Our findings indicated that exposure to PS-MPs resulted in the proliferation of macrophages as well as their polarization towards the M1 phenotype. Additionally, the presence of PS-MPs triggered the release of tumor necrosis factor alpha (TNF-alpha) from macrophages, thereby activating nuclear factor-xB (NF-xB) signaling pathway within Leydig cells. The translocation of NF-xB into nucleus facilitated its binding to the promoter region of LHR, which consequently led to the repression of LHR transcription. This transcriptional inhibition resulted in a subsequent suppression of testosterone synthesis and secretion. Overall, this study elucidates a theoretical basis for explaining the interference of PS-MPs on the testosterone synthesis and secretion in Leydig cells from the perspective of the interaction between cells in the testicular interstitium.</t>
  </si>
  <si>
    <t>[Jin, Haibo; Ding, Jie; Liu, Hongru; Li, Dongmei; Han, Xiaodong] Nanjing Univ, Med Sch, Div Anat &amp; Histoembryol, State Key Lab Analyt Chem Life Sci, Nanjing 210093, Jiangsu, Peoples R China; [Jin, Haibo; Ding, Jie; Liu, Hongru; Li, Dongmei; Han, Xiaodong] Nanjing Univ, Jiangsu Key Lab Mol Med, Nanjing 210093, Jiangsu, Peoples R China; [Jin, Haibo] Yangzhou Univ, Sch Publ Hlth, Yangzhou 225000, Jiangsu, Peoples R China; [Yang, Lei] Nantong Univ, Affiliated Hosp, Dept Clin Biobank, Nantong 226001, Jiangsu, Peoples R China; [Yang, Lei] Nantong Univ, Affiliated Hosp, Inst Oncol, Nantong 226001, Jiangsu, Peoples R China; [Yang, Lei] Nantong Univ, Med Sch, Dept Pathol, Nantong 226001, Jiangsu, Peoples R China</t>
  </si>
  <si>
    <t>Nanjing University; Nanjing University; Yangzhou University; Nantong University; Nantong University; Nantong University</t>
  </si>
  <si>
    <t>Han, XD (corresponding author), Nanjing Univ, Med Sch, Div Anat &amp; Histoembryol, State Key Lab Analyt Chem Life Sci, Nanjing 210093, Jiangsu, Peoples R China.</t>
  </si>
  <si>
    <t>jin1144827403@163.com; djie@nju.edu.cn; mg21350039@smail.nju.edu.cn; yang-lei@ntu.edu.cn; lidm@nju.edu.cn; hanxd@nju.edu.cn</t>
  </si>
  <si>
    <t>Li, May/HDL-6705-2022</t>
  </si>
  <si>
    <t>National Natural Science Foundation of China [22276093, 31870492, 31971517]; Jiangsu Science and Tech- nology Association -Young Scientific and Technological Talent Support Project [TJ-2022-054]; China Postdoctoral Science Foundation [2023M732981]; Natural Science Research of Jiangsu Higher Education Institutions of China [23KJB330007]; Yangzhou Lvyangjinfeng Talent Support Program [YZLYJFJH2022YHBS157]</t>
  </si>
  <si>
    <t>National Natural Science Foundation of China(National Natural Science Foundation of China (NSFC)); Jiangsu Science and Tech- nology Association -Young Scientific and Technological Talent Support Project; China Postdoctoral Science Foundation(China Postdoctoral Science Foundation); Natural Science Research of Jiangsu Higher Education Institutions of China; Yangzhou Lvyangjinfeng Talent Support Program</t>
  </si>
  <si>
    <t>Acknowledgements This work was supported by National Natural Science Foundation of China (22276093, 31870492, 31971517) , Jiangsu Science and Tech- nology Association -Young Scientific and Technological Talent Support Project (TJ-2022-054) , China Postdoctoral Science Foundation (2023M732981) , Natural Science Research of Jiangsu Higher Education Institutions of China (23KJB330007) , Yangzhou Lvyangjinfeng Talent Support Program (YZLYJFJH2022YHBS157) .</t>
  </si>
  <si>
    <t>10.1016/j.envpol.2024.124543</t>
  </si>
  <si>
    <t>ZD2K0</t>
  </si>
  <si>
    <t>WOS:001273287700001</t>
  </si>
  <si>
    <t>de Melo, APZ; Hoff, RB; Molognoni, L; Kleemann, CR; de Oliveira, T; de Oliveira, LVA; Daguer, H; Barreto, PLM</t>
  </si>
  <si>
    <t>Zapelini de Melo, Ana Paula; Hoff, Rodrigo Barcellos; Molognoni, Luciano; Kleemann, Cristian Rafael; de Oliveira, Thais; Alves de Oliveira, Luan Valdemiro; Daguer, Heitor; Manique Barreto, Pedro Luiz</t>
  </si>
  <si>
    <t>Determination of Polycyclic Aromatic Hydrocarbons in Seafood by PLE-LC-APCI-MS/MS and Preliminary Risk Assessment of the Northeast Brazil Oil Spill</t>
  </si>
  <si>
    <t>Carcinogenic; Food safety; Method validation; Pressurized liquid extraction</t>
  </si>
  <si>
    <t>PETROLEUM-HYDROCARBONS; COAST; POLLUTANTS; PERSISTENT; SEDIMENTS; MUSSELS; TRENDS; PAHS</t>
  </si>
  <si>
    <t>In 2019, a vast oil spill reached more than 4,000 km of the Brazilian coast, leading to an urgent action, which included the assessment of seafood safety from the affected areas. The aim of our study was the development, optimization, validation, and application of a fast, sensible, and reliable method to determine eight polycyclic aromatic hydrocarbons in seafood. The sample preparation was based on pressurized liquid extraction using a hard cap coffee machine and subsequent quantitation by liquid chromatography coupled to tandem mass spectrometry with atmospheric-pressure chemical ionization source (LC-APCI-MS/MS). The method performance was verified in accordance to the Commission Decision 2002/657/EC in terms of selectivity, linearity (R-2 &gt; 0.95), precision (CV &lt; 21%), accuracy (75-115%), decision limit, and detection capability. The analytical limits were set to 0.9-1.25 mu g kg(-1) (limits of detection) and 1.25-5.00 mu g kg(-1) (limits of quantitation). The method was applied to more than a hundred of seafood samples. Concentrations of benzo[a]anthracene, chrysene, benzo[b]fluoranthene, benzo[k]fluoranthene, benzo[a]pyrene, dibenzo[a,h]anthracene, benzo[ghi]perylene, and indene[1,2,3-cd]pyrene ranged from &lt; LOQ to 156 mu g kg(-1). Benzo[a]anthracene (41.7%), benzo[a]pyrene (41.7%), and benzo[b]fluoranthene (37,5%) were the most frequent PAH, ranging from &lt; LOQ to 113 mu g kg(-1). The analyzed samples showed PAH concentrations below the concern levels established by the Brazilian regulatory agency and below the limits established by European Union. Risk assessment was performed to evaluate the daily dietary intake of seafood and the carcinogenic potential of the measured levels, based on Brazilian seafood consumption profile, PAHs levels, and toxicity equivalent factors.</t>
  </si>
  <si>
    <t>[Zapelini de Melo, Ana Paula; Alves de Oliveira, Luan Valdemiro; Manique Barreto, Pedro Luiz] Univ Fed Santa Catarina UFSC, Dept Ciencia &amp; Tecnol Alimentos, BR-88034100 Florianopolis, SC, Brazil; [Hoff, Rodrigo Barcellos; Molognoni, Luciano; Kleemann, Cristian Rafael; de Oliveira, Thais; Alves de Oliveira, Luan Valdemiro; Daguer, Heitor] Minist Agr Pecuaria &amp; Abastecimento, Secao Laboratorial Avancada Santa Catarina SLAV, Lab Fed Def Agr, SC,LFDA,RS, Rua Joao Grum 117, BR-88102600 Sao Jose, SC, Brazil; [Molognoni, Luciano; Kleemann, Cristian Rafael] Inst Catarinense Sanidade Agr ICASA, BR-88034100 Florianopolis, SC, Brazil</t>
  </si>
  <si>
    <t>Universidade Federal de Santa Catarina (UFSC)</t>
  </si>
  <si>
    <t>Hoff, RB (corresponding author), Minist Agr Pecuaria &amp; Abastecimento, Secao Laboratorial Avancada Santa Catarina SLAV, Lab Fed Def Agr, SC,LFDA,RS, Rua Joao Grum 117, BR-88102600 Sao Jose, SC, Brazil.</t>
  </si>
  <si>
    <t>rodrigo.hoff@agro.gov.br</t>
  </si>
  <si>
    <t>Daguer, Heitor/M-9197-2016; Hoff, Rodrigo/O-1421-2015; Manique Barreto, Pedro Luiz/AGX-7481-2022; Zapelini de Melo, Ana Paula/JOZ-1317-2023</t>
  </si>
  <si>
    <t>Hoff, Rodrigo/0000-0003-2516-9446; Manique Barreto, Pedro Luiz/0000-0001-8716-8962; Alves de Oliveira, Luan Valdemiro/0000-0001-5395-4498; Zapelini de Melo, Ana Paula/0000-0002-4053-2277; Daguer, Heitor/0000-0001-6345-0285</t>
  </si>
  <si>
    <t>10.1007/s12161-022-02252-z</t>
  </si>
  <si>
    <t>1V2RI</t>
  </si>
  <si>
    <t>WOS:000766401300001</t>
  </si>
  <si>
    <t>Piarulli, S; Hansen, BH; Ciesielski, T; Zocher, AL; Malzahn, A; Olsvik, PA; Sonne, C; Nordtug, T; Jenssen, BM; Booth, AM; Farkas, J</t>
  </si>
  <si>
    <t>Piarulli, Stefania; Hansen, Bjorn Henrik; Ciesielski, Tomasz; Zocher, Anna-Lena; Malzahn, Arne; Olsvik, Pal A.; Sonne, Christian; Nordtug, Trond; Jenssen, Bjorn Munro; Booth, Andy M.; Farkas, Julia</t>
  </si>
  <si>
    <t>Sources, distribution and effects of rare earth elements in the marine environment: Current knowledge and research gaps</t>
  </si>
  <si>
    <t>REY; Marine ecosystem; Distribution; Transfer; Ecotoxicity; Risk assessment</t>
  </si>
  <si>
    <t>ANTHROPOGENIC GADOLINIUM; SURFACE SEDIMENTS; FRESH-WATER; NEODYMIUM ISOTOPES; DISTRIBUTION PATTERNS; HOSPITAL EFFLUENTS; SUSPENDED LOADS; TRACE-ELEMENTS; MUSSEL SHELLS; RIVER WATERS</t>
  </si>
  <si>
    <t>Rare earth elements and yttrium (REY) are critical elements for a wide range of applications and consumer products. Their growing extraction and use can potentially lead to REY and anthropogenic-REY chemical com-plexes (ACC-REY) being released in the marine environment, causing concern regarding their potential effects on organisms and ecosystems. Here, we critically review the scientific knowledge on REY sources (geogenic and anthropogenic), factors affecting REY distribution and transfer in the marine environment, as well as accumu-lation in-and effects on marine biota. Further, we aim to draw the attention to research gaps that warrant further scientific attention to assess the potential risk posed by anthropogenic REY release. Geochemical processes affecting REY mobilisation from natural sources and factors affecting their distribution and transfer across marine compartments are well established, featuring a high variability dependent on local conditions. There is, however, a research gap with respect to evaluating the environmental distribution and fate of REY from anthropogenic sources, particularly regarding ACC-REY, which can have a high persistence in seawater. In addition, data on organismal uptake, accumulation, organ distribution and effects are scarce and at best frag-mentary. Particularly, the effects of ACC-REY at organismal and community levels are, so far, not sufficiently studied. To assess the potential risks caused by anthropogenic REY release there is an urgent need to i) harmonise data reporting to promote comparability across studies and environmental matrices, ii) conduct research on transport, fate and behaviour of ACC-REY vs geogenic REY iii) deepen the knowledge on bioavailability, accumulation and effects of ACC-REY and REY mixtures at organismal and community level, which is essential for risk assessment of anthropogenic REY in marine ecosystems.</t>
  </si>
  <si>
    <t>[Piarulli, Stefania; Hansen, Bjorn Henrik; Nordtug, Trond; Booth, Andy M.; Farkas, Julia] SINTEF Ocean, Dept Climate &amp; Environm, Brattorkaia 17C, N-7010 Trondheim, Norway; [Ciesielski, Tomasz; Jenssen, Bjorn Munro] Norwegian Univ Sci &amp; Technol, Dept Biol, Hogskoleringen 5, N-7491 Trondheim, Norway; [Zocher, Anna-Lena] Jacobs Univ, Dept Phys &amp; Earth Sci, Campus Ring 1, D-28759 Bremen, Germany; [Malzahn, Arne] SINTEF Ocean, Dept Fisheries &amp; New Biomarine Ind, Brattorkaia 17C, N-7010 Trondheim, Norway; [Olsvik, Pal A.] Nord Univ, Fac Biosci &amp; Aquaculture, Univ Allen 11, N-8026 Bodo, Norway; [Sonne, Christian] Aarhus Univ, Dept Biosci, Frederiksborgvej 399, DK-4000 Roskilde, Denmark</t>
  </si>
  <si>
    <t>SINTEF; Norwegian University of Science &amp; Technology (NTNU); Jacobs University; SINTEF; Nord University; Aarhus University</t>
  </si>
  <si>
    <t>Piarulli, S (corresponding author), SINTEF Ocean, Dept Climate &amp; Environm, Brattorkaia 17C, N-7010 Trondheim, Norway.</t>
  </si>
  <si>
    <t>stefania.piarulli@sintef.no</t>
  </si>
  <si>
    <t>Ciesielski, Tomasz/J-9039-2012; Hansen, Bjørn Henrik/GYR-1533-2022; Jenssen, Bjorn/J-4830-2012; Olsvik, Pål/B-8232-2012; Piarulli, Stefania/AAF-8782-2020; Nordtug, Trond/GZG-7597-2022; Sonne, Christian/I-7532-2013; Malzahn, Arne/C-5851-2013; Booth, Andy/L-6177-2016; Hansen, Bjorn Henrik/L-5731-2016</t>
  </si>
  <si>
    <t>Nordtug, Trond/0000-0002-0269-2974; Sonne, Christian/0000-0001-5723-5263; Ciesielski, Tomasz Maciej/0000-0001-7509-1662; Piarulli, Stefania/0000-0002-2979-7186; Malzahn, Arne/0000-0002-2027-0804; Booth, Andy/0000-0002-4702-2210; Hansen, Bjorn Henrik/0000-0002-7599-4850</t>
  </si>
  <si>
    <t>Norwegian Research Council [301236]</t>
  </si>
  <si>
    <t>This work has been conducted under the framework of the project ELEMENTARY and funding has been provided by the Norwegian Research Council (grant agreement No. 301236).</t>
  </si>
  <si>
    <t>10.1016/j.envpol.2021.118230</t>
  </si>
  <si>
    <t>WB6LX</t>
  </si>
  <si>
    <t>WOS:000703682700006</t>
  </si>
  <si>
    <t>Massman, WJ; Musselman, RC; Lefohn, AS</t>
  </si>
  <si>
    <t>A conceptual ozone dose-response model to develop a standard to protect vegetation</t>
  </si>
  <si>
    <t>ATMOSPHERIC ENVIRONMENT</t>
  </si>
  <si>
    <t>air quality standards; injury; damage; dose; exposure; dry deposition; ozone</t>
  </si>
  <si>
    <t>PLANT-ATMOSPHERE INTERACTION; ADVERSE CROP RESPONSE; DRY DEPOSITION; AMBIENT OZONE; AIR-POLLUTANTS; GRASSLAND ECOSYSTEM; DECIDUOUS FOREST; NITROGEN-DIOXIDE; EDDY-CORRELATION; EXPOSURE</t>
  </si>
  <si>
    <t>The present air quality standard to protect vegetation from ozone is based on a measured concentration (i.e., exposure) rather than on plant uptake rates (or dose). Proposed exposure-based standards have led to concerns about the appropriateness of chamber studies. There has also been some debate about the importance of the diel phase difference between plant conductance and ozone concentration in assessing the potential for plant damage. In this paper, we use physical reasoning based on (i) plant defenses and (ii) general resistance concepts of dry deposition to derive a suggested general form of a dose-based standard. The dose-based standard is then related to the more traditional exposure-based standard. Although we develop the model in terms of plant injury, we also discuss how the model can be extended to include damage, which historically has been the focus of air quality standards. With this new dose-based approach, we clarify some of the issues concerning chambers and the interaction of the daily cycles of ozone concentration and plant stomatal conductance. We further demonstrate that ii) weighted fluxes can be used as a surrogate for plant defenses, (ii) injury or damage to vegetation is more likely to be correlated with a dose-based index that differentially weights ambient ozone concentration or plant uptake rates than one which does not, (iii) the potential for ozone injury or damage to plants can occur throughout the day, and (iv) when assessing the potential for plant damage, a differentially weighted flux-based standard is likely to be more precise and more discriminating than a cumulative ozone-based exposure index. Finally, because our basic premise relies on plant defensive mechanisms, we outline areas of research that are necessary before a dose-based standard can be implemented. Published by Elsevier Science Ltd.</t>
  </si>
  <si>
    <t>US Forest Serv, USDA, Rocky Mt Res Stn, Ft Collins, CO 80528 USA; ASL &amp; Associates, Helena, MT 59601 USA</t>
  </si>
  <si>
    <t>United States Department of Agriculture (USDA); United States Forest Service</t>
  </si>
  <si>
    <t>Massman, WJ (corresponding author), US Forest Serv, USDA, Rocky Mt Res Stn, 240 W Prospect Rd, Ft Collins, CO 80528 USA.</t>
  </si>
  <si>
    <t>Lefohn, Allen/V-6594-2019</t>
  </si>
  <si>
    <t>1352-2310</t>
  </si>
  <si>
    <t>ATMOS ENVIRON</t>
  </si>
  <si>
    <t>Atmos. Environ.</t>
  </si>
  <si>
    <t>10.1016/S1352-2310(99)00395-7</t>
  </si>
  <si>
    <t>275LK</t>
  </si>
  <si>
    <t>WOS:000084821500007</t>
  </si>
  <si>
    <t>Alzahrani, H; El-Sorogy, AS; Qaysi, S</t>
  </si>
  <si>
    <t>Alzahrani, Hassan; El-Sorogy, Abdelbaset S.; Qaysi, Saleh</t>
  </si>
  <si>
    <t>Assessment of human health risks of toxic elements in coastal area between Al-Khafji and Al-Jubail, Saudi Arabia</t>
  </si>
  <si>
    <t>Toxic metals; Enrichment factor; Human health risk; Chronic daily intake; Arabia Gulf</t>
  </si>
  <si>
    <t>RED-SEA COAST; URBAN SOILS; INTERTIDAL GASTROPOD; METAL CONTAMINATION; BIVALVE SHELLS; HEAVY-METALS; SEDIMENTS; GULF; VALIDATION; EXPOSURE</t>
  </si>
  <si>
    <t>The present work aims to document the distribution of toxic elements (TEs) and assess the human health risk posed by the TEs in the marine sediment of the Arabian Gulf, Saudi Arabia. The descending order of TE averages (mu g/g) was as follows: Ni &gt; Cr &gt; V &gt; Zn &gt; Pb &gt; Cu &gt; As &gt; Co. Based on the enrichment factor values, only minor enrichment for Pb, As, Cr, and Ni was noted. The hazard index (HI) values for the non-carcinogenic risk of the TEs were less than 1.0, and the lifetime cancer risk values for carcinogenic Pb, Cr, and As ranged between 2.96 x 10-8 and 5.44 x 10-5, indicating no significant health hazards for the inhabitants of the study area.</t>
  </si>
  <si>
    <t>[Alzahrani, Hassan; El-Sorogy, Abdelbaset S.; Qaysi, Saleh] King Saud Univ, Coll Sci, Geol &amp; Geophys Dept, Riyadh, Saudi Arabia; [El-Sorogy, Abdelbaset S.] POB 2455, Riyadh 11451, Saudi Arabia</t>
  </si>
  <si>
    <t>El-Sorogy, AS (corresponding author), POB 2455, Riyadh 11451, Saudi Arabia.</t>
  </si>
  <si>
    <t>Alzahrani, Hassan/GYQ-5699-2022; El-Sorogy, Abdelbaset/C-9445-2014</t>
  </si>
  <si>
    <t>Alzahrani, Hassan/0000-0002-4690-4983</t>
  </si>
  <si>
    <t>King Saud University, Riyadh, Saudi Arabia [RSP2023R425]</t>
  </si>
  <si>
    <t>The authors extend their appreciation to Researchers Supporting Project number RSP2023R425, King Saud University, Riyadh, Saudi Arabia. Moreover, the authors thank the anonymous reviewers for their valuable suggestions and constructive comments, and the editor to improve the quality of the manuscript.</t>
  </si>
  <si>
    <t>10.1016/j.marpolbul.2023.115622</t>
  </si>
  <si>
    <t>W7PS5</t>
  </si>
  <si>
    <t>WOS:001093515300001</t>
  </si>
  <si>
    <t>LUOMA, SN; HO, YB; BRYAN, GW</t>
  </si>
  <si>
    <t>FATE, BIOAVAILABILITY AND TOXICITY OF SILVER IN ESTUARINE ENVIRONMENTS</t>
  </si>
  <si>
    <t>BIVALVE SCROBICULARIA-PLANA; HEAVY-METAL CONTAMINATION; UNITED-KINGDOM ESTUARIES; SAN-FRANCISCO BAY; MACOMA-BALTHICA; MYTILUS-EDULIS; TRACE-ELEMENTS; GIGAS THUNBERG; ACCUMULATION; SEDIMENTS</t>
  </si>
  <si>
    <t>The chemistry and bioavailability of Ag contribute to its high toxicity in marine and estuarine waters. Silver is unusual, in that both the dominant speciation reaction in seawater and the processes important in sorbing Ag in sediments favour enhanced bioavailability. Formation of a stable chloro complex favours dispersal of dissolved Ag, and the abundant chloro complex is available to biota. Sequestration by sediments also occurs, but with relatively slow kinetics. Amorphous aggregated coatings enhance Ag accumulation in sediments, as well as Ag uptake from sediments by deposit feeders. In estuaries, the bioaccumulation of Ag increases 56-fold with each unit of increased Ag concentration in sediments. Toxicity for sensitive marine species occurs at absolute concentrations as low as those observed for any non-alkylated metal, partly because bioaccumulation increases so steeply with contamination. The environmental window of tolerance to Ag in estuaries could be narrower than for many elements.</t>
  </si>
  <si>
    <t>UNIV HONG KONG, DEPT BOT, HONG KONG, HONG KONG; PLYMOUTH MARINE LAB, PLYMOUTH PL1 2PB, DEVON, ENGLAND</t>
  </si>
  <si>
    <t>University of Hong Kong; Plymouth Marine Laboratory</t>
  </si>
  <si>
    <t>US GEOL SURVEY, MAIL STOP 465, MENLO PK, CA 94025 USA.</t>
  </si>
  <si>
    <t>10.1016/0025-326X(95)00081-W</t>
  </si>
  <si>
    <t>WOS:A1995RU55100007</t>
  </si>
  <si>
    <t>Bebianno, MJ; Machado, LM</t>
  </si>
  <si>
    <t>Concentrations of metals and metallothioneins in Mytilus galloprovincialis along the south coast of Portugal</t>
  </si>
  <si>
    <t>INDUCTION; CADMIUM; MUSSELS; EDULIS</t>
  </si>
  <si>
    <t>UNIV ALGARVE, CAMPUS GAMBELAS, P-8000 FARO, PORTUGAL.</t>
  </si>
  <si>
    <t>10.1016/S0025-326X(97)00036-2</t>
  </si>
  <si>
    <t>YD111</t>
  </si>
  <si>
    <t>WOS:A1997YD11100020</t>
  </si>
  <si>
    <t>Gajdosechova, Z; Palmer, CH; Dave, D; Jiao, GL; Zhao, YF; Tan, ZJ; Chisholm, J; Zhang, JZ; Stefanova, R; Hossain, A; Mester, Z</t>
  </si>
  <si>
    <t>Gajdosechova, Zuzana; Palmer, Calvin H.; Dave, Deepika; Jiao, Guangling; Zhao, Yanfang; Tan, Zhijun; Chisholm, Jeffrey; Zhang, Junzeng; Stefanova, Roumiana; Hossain, Abul; Mester, Zoltan</t>
  </si>
  <si>
    <t>Arsenic speciation in sea cucumbers: Identification and quantitation of water-extractable species</t>
  </si>
  <si>
    <t>Sea cucumber; Arsenic speciation; HPLC-ICP-MS; Arsenic pollution; Sequential extraction</t>
  </si>
  <si>
    <t>MUSSELS MYTILUS-EDULIS; LITTORINA-LITTOREA; ECKLONIA-RADIATA; MARINE ORGANISMS; COASTAL AREAS; HEAVY-METALS; YELLOW SEAS; HPLC-ICPMS; ARSENOLIPIDS; ARSENOBETAINE</t>
  </si>
  <si>
    <t>With the constant quest for new sources of superfoods to supplement the largely nutrient deficient diet of the modern society, sea cucumbers are gaining increasing popularity. Three species of sea cucumbers, Cucumaria frondosa, Apostichopus californicus and Apostichopus japonicus were collected from three geographical regions, Atlantic and Pacific coast of Canada and Yellow sea/ East China sea in China, respectively. These organisms were sectioned into parts (body wall, tentacles, internal organ, skin and muscle) and analysed for total arsenic (As) by inductively coupled plasma mass spectrometry (ICP-MS) and As species by high-performance liquid chromatography (HPLC) coupled to ICP-MS. Normal and reversed sequential extractions were optimised to address As distribution between lipids (polar and nonpolar) and water-extractable fractions. Two extraction methods for water-extractable As were compared in terms of the number and the amount of extracted species. The results revealed that total As concentration and As species distribution varies significantly between sea cucumbers species. Total As in studied body parts ranged between 2.8 +/- 0.52 and 7.9 +/- 1.2 mg kg(-1) , with an exception of the muscle tissue of A. californicus, where it reached to 36 +/- 3.5 mg kg(-1) . Arsenobetaine (AsB) was the most abundant As species in A. californicus and A. japonicus, however, inorganic As represented over 70% of total recovered As in the body parts of C. frondosa. Arsenosugars-328 and 482 were found in all studied body parts whereas arsenosugar-408 was only found in the skin of A. californicus. This is the first time that such a variation in As species distribution between sea cucumber species has been shown. Crown Copyright (C) 2020 Published by Elsevier Ltd. All rights reserved.</t>
  </si>
  <si>
    <t>[Gajdosechova, Zuzana; Palmer, Calvin H.; Mester, Zoltan] Natl Res Council Canada, Metrol Res Ctr, 1200 Montreal Rd, Ottawa, ON, Canada; [Dave, Deepika] Mem Univ Newfoundland, Ctr Aquaculture &amp; Seafood Dev, Fisheries &amp; Marine Inst, St John, NF, Canada; [Jiao, Guangling] Canadian Sea Cucumber Processors Assoc, Halifax, NS, Canada; [Zhao, Yanfang; Tan, Zhijun] Chinese Acad Fishery Sci, Yellow Sea Fisheries Res Inst, Key Lab Testing &amp; Evaluat Aquat Prod Safety &amp; Qua, Minist Agr &amp; Rural Affairs, Qingdao, Peoples R China; [Chisholm, Jeffrey] Natl Res Council Canada, Aquat &amp; Crop Resource Dev Res Ctr, Charlottetown, PE, Canada; [Zhang, Junzeng; Stefanova, Roumiana] Natl Res Council Canada, Aquat &amp; Crop Resource Dev Res Ctr, Halifax, NS, Canada; [Hossain, Abul] Mem Univ Newfoundland, Dept Biochem, St John, NF A1B 3X9, Canada</t>
  </si>
  <si>
    <t>National Research Council Canada; Memorial University Newfoundland; Chinese Academy of Fishery Sciences; Yellow Sea Fisheries Research Institute, CAFS; Ministry of Agriculture &amp; Rural Affairs; National Research Council Canada; National Research Council Canada; International Business Machines (IBM); Memorial University Newfoundland</t>
  </si>
  <si>
    <t>Gajdosechova, Z (corresponding author), Natl Res Council Canada, Metrol Res Ctr, 1200 Montreal Rd, Ottawa, ON, Canada.</t>
  </si>
  <si>
    <t>zuzana.gajdosechova@nrc-cnrc.gc.ca</t>
  </si>
  <si>
    <t>Gajdosehova, Zuzana/HSF-6309-2023; Hossain, Abul/AAE-4714-2020; zhao, yan/GWC-9174-2022; Mester, Zoltan/A-8886-2019</t>
  </si>
  <si>
    <t>Palmer, Calvin/0000-0003-3449-0709; Hossain, Abul/0000-0002-7519-8555; mester, Zoltan/0000-0002-2377-2615</t>
  </si>
  <si>
    <t>10.1016/j.envpol.2020.115190</t>
  </si>
  <si>
    <t>NR8ZT</t>
  </si>
  <si>
    <t>WOS:000571852700013</t>
  </si>
  <si>
    <t>Xiao, C; Gu, Y; Zhou, CY; Wang, L; Zhang, MM; Ruan, DY</t>
  </si>
  <si>
    <t>Xiao, Cheng; Gu, Yan; Zhou, Chun-Yi; Wang, Lang; Zhang, Min-Min; Ruan, Di-Yun</t>
  </si>
  <si>
    <t>Pb2+ impairs GABAergic synaptic transmission in rat hippocampal slices:: A possible involvement of presynaptic calcium channels</t>
  </si>
  <si>
    <t>BRAIN RESEARCH</t>
  </si>
  <si>
    <t>Pb2+; GABA(A) receptor; inhibitory postsynaptic current; voltage-gated calcium channel; hippocampal slice</t>
  </si>
  <si>
    <t>GAMMA-AMINOBUTYRIC-ACID; LONG-TERM POTENTIATION; GABA RELEASE; MOLECULAR-MECHANISMS; INDUCED CONVULSIONS; PAIRED-PULSE; IN-VIVO; LEAD; GLUTAMATE; CA1</t>
  </si>
  <si>
    <t>Pb2+ is a common pollutant that causes a wide variety of detrimental effects on developing central nervous system, including cognitive deficit. However, the mechanisms of Pb2+ neurotoxicity remain to be elucidated. GABAergic synaptic transmission in hippocampus is implicated in learning and memory. In the present study, we examined the effects of Pb2+ on GABA(A)-receptor-mediated inhibitory postsynaptic currents (IPSCs), recorded on CA1 pyramidal neurons in rat hippocampal slices, using whole-cell patch clamp recording. Pb2+ significantly inhibited the peak amplitude of evoked IPSCs and increased paired pulse ratio. In addition, Pb2+, (2-50 mu M) significantly diminished the frequency of spontaneous IPSCs in a concentration-dependent manner with an IC50 of 7.56 mu M, without changing the amplitude of spontaneous IPSCs. However, Pb2+ (10 mu M) did not alter the frequency and amplitude of miniature IPSCs. It was indicated that Pb 2, impaired GABAergic synaptic transmission via a presynaptic mechanism, inhibiting action potential-dependent GABA release. Interestingly, the inhibition of spontaneous IPSC frequency induced by 10 mu M Pb2+, was significantly attenuated either in the presence of 100 mu M Cd2+ or in a low-calcium (0.5 mM) bath. It suggested the involvement of voltage-gated calcium channels (VGCC) in Pb2+'s inhibition of GABA release. This study provided electrophysiological evidence from developing hippocampal slices to support that Pb2+ inhibited action potential-dependent GABA release by inhibiting presynaptic VGCC, which might be a mechanism for Pb2+ induced cognitive deficit. (c) 2006 Elsevier B.V. All rights reserved.</t>
  </si>
  <si>
    <t>Univ Sci &amp; Technol China, Sch Life Sci, Hefei 230027, Anhui, Peoples R China</t>
  </si>
  <si>
    <t>Ruan, DY (corresponding author), Univ Sci &amp; Technol China, Sch Life Sci, Hefei 230027, Anhui, Peoples R China.</t>
  </si>
  <si>
    <t>Gu, Yan/IWM-4746-2023; Xiao, Cheng/O-5696-2015; Gu, Yan/K-4702-2017</t>
  </si>
  <si>
    <t>0006-8993</t>
  </si>
  <si>
    <t>1872-6240</t>
  </si>
  <si>
    <t>BRAIN RES</t>
  </si>
  <si>
    <t>Brain Res.</t>
  </si>
  <si>
    <t>MAY 9</t>
  </si>
  <si>
    <t>10.1016/j.brainres.2006.03.005</t>
  </si>
  <si>
    <t>056HM</t>
  </si>
  <si>
    <t>WOS:000238512900011</t>
  </si>
  <si>
    <t>Luo, MY; Yao, CJ; Zhai, SX; Jin, KL; Huang, XQ; Zhou, M; Liu, AR; Xu, B; Cai, ZS</t>
  </si>
  <si>
    <t>Luo, Meiyin; Yao, Chengjian; Zhai, Shixiong; Jin, Kaili; Huang, XiQin; Zhou, Man; Liu, AiRong; Xu, Bi; Cai, Zaisheng</t>
  </si>
  <si>
    <t>Design and preparation of mixed special wettability fabrics based on backed weave for separation of light oil/water/heavy oil mixtures</t>
  </si>
  <si>
    <t>JOURNAL OF INDUSTRIAL TEXTILES</t>
  </si>
  <si>
    <t>Light oil; water; heavy oil mixtures; separation; backed weave organization; mixed special wettability fabric</t>
  </si>
  <si>
    <t>COPPER-MESH; SURFACE; METHODOLOGY; SPONGES; MUSSEL</t>
  </si>
  <si>
    <t>In recent years, the frequent emission of oily wastewater and marine oil spills has resulted in water bodies containing large amounts of light oil/water/heavy oil mixtures. The increasing pollution of the water prompts us to develop new materials that can separate oil and water effectively. In this work, a mixed special wettability fabric based on the backed weave organization is prepared by using different yarns with special infiltration properties. The mixed special wettability fabric can separate the light oil/water/heavy oil three-phase mixtures successfully in one step, due to the effect of gravity-driven and capillary force-driven. Under the optimal process with the reed number of the fabric 84#, the separation efficiency of water can reach 98.36%, and the average separation flux is 0.447 L/m(2) s. In addition, the mixed special wettability fabric shows a good recycling, as well as structural stability, which is good for the application in practical oil-water separation.</t>
  </si>
  <si>
    <t>[Luo, Meiyin; Yao, Chengjian; Zhai, Shixiong; Jin, Kaili; Huang, XiQin; Zhou, Man; Liu, AiRong; Xu, Bi; Cai, Zaisheng] Donghua Univ, Coll Chem Chem Engn &amp; Biotechnol, Minist Educ, Key Lab Sci &amp; Technol Ecotext, Shanghai, Peoples R China; [Luo, Meiyin; Yao, Chengjian; Zhai, Shixiong; Jin, Kaili; Huang, XiQin; Zhou, Man; Liu, AiRong; Xu, Bi; Cai, Zaisheng] Donghua Univ, Coll Chem Chem Engn &amp; Biotechnol, Shanghai, Peoples R China</t>
  </si>
  <si>
    <t>Donghua University; Donghua University</t>
  </si>
  <si>
    <t>Cai, ZS (corresponding author), Donghua Univ, Room 2093,3 Coll Bldg,2999 North Renmin Rd, Shanghai 201620, Peoples R China.</t>
  </si>
  <si>
    <t>zshcai@dhu.edu.cn</t>
  </si>
  <si>
    <t>Xu, Bi/X-1265-2019; yao, chengjian/IZE-9345-2023; Zhai, Shixiong/ABF-1852-2021</t>
  </si>
  <si>
    <t>Xu, Bi/0000-0003-0137-2706; Zhai, Shixiong/0000-0001-8147-773X</t>
  </si>
  <si>
    <t>1528-0837</t>
  </si>
  <si>
    <t>1530-8057</t>
  </si>
  <si>
    <t>J IND TEXT</t>
  </si>
  <si>
    <t>J. Ind. Text.</t>
  </si>
  <si>
    <t>10.1177/1528083719900933</t>
  </si>
  <si>
    <t>Materials Science, Textiles</t>
  </si>
  <si>
    <t>ZA2AO</t>
  </si>
  <si>
    <t>WOS:000509288900001</t>
  </si>
  <si>
    <t>Carbone, G; Lettieri, G; Marinaro, C; Costabile, M; Notariale, R; Bianchi, AR; De Maio, A; Piscopo, M</t>
  </si>
  <si>
    <t>Carbone, Gelsomina; Lettieri, Gennaro; Marinaro, Carmela; Costabile, Martina; Notariale, Rosaria; Bianchi, Anna Rita; De Maio, Anna; Piscopo, Marina</t>
  </si>
  <si>
    <t>A Molecular Mechanism to Explain the Nickel-Induced Changes in Protamine-like Proteins and Their DNA Binding Affecting Sperm Chromatin in Mytilus galloprovincialis: An In Vitro Study</t>
  </si>
  <si>
    <t>nickel; spermatozoa; protamine-like; PARP; sperm chromatin; DNA; Mytilus galloprovincialis; nickel molecular mechanisms</t>
  </si>
  <si>
    <t>HEAVY-METALS; CHAETOPTERUS-VARIOPEDATUS; SUPEROXIDE-DISMUTASE; SELF-ASSOCIATION; MUSSELS MYTILUS; HUMAN OOCYTES; MARINE; TOXICITY; POLLUTION; EXPOSURE</t>
  </si>
  <si>
    <t>Nickel is associated with reproductive toxicity, but little is known about the molecular mechanisms of nickel-induced effects on sperm chromatin and protamine-like proteins (PLs). In the present work, we analyzed PLs from Mytilus galloprovincialis by urea-acetic acid polyacrylamide gel electrophoresis (AU-PAGE) and SDS-PAGE and assessed their binding to DNA by Electrophoretic Mobility Shift Assay (EMSA) after exposing mussels to 5, 15, and 35 mu M NiCl2 for 24 h. In addition, a time course of digestion with MNase and release of PLs from sperm nuclei by the NaCl gradient was performed. For all exposure doses, in AU-PAGE, there was an additional migrating band between PL-III and PL-IV, corresponding to a fraction of PLs in the form of peptides detected by SDS-PAGE. Alterations in DNA binding of PLs were observed by EMSA after exposure to 5 and 15 mu M NiCl2, while, at all NiCl2 doses, increased accessibility of MNase to sperm chromatin was found. The latter was particularly relevant at 15 mu M NiCl2, a dose at which increased release of PLII and PLIII from sperm nuclei and the highest value of nickel accumulated in the gonads were also found. Finally, at all exposure doses, there was also an increase in PARP expression, but especially at 5 mu M NiCl2. A possible molecular mechanism for the toxic reproductive effects of nickel in Mytilus galloprovincialis is discussed.</t>
  </si>
  <si>
    <t>[Carbone, Gelsomina; Lettieri, Gennaro; Marinaro, Carmela; Costabile, Martina; Bianchi, Anna Rita; De Maio, Anna; Piscopo, Marina] Univ Naples Federico II, Dept Biol, Via Cinthia 21, I-80126 Naples, Italy; [Notariale, Rosaria] Univ Campania Luigi Vanvitelli, Sch Med, Dept Precis Med, Via Luigi de Crecchio, I-80138 Naples, Italy</t>
  </si>
  <si>
    <t>PISCOPO, MARINA/AAU-5505-2020; Marinaro, Carmela/HNS-2479-2023; Costabile, Martina/HHN-7010-2022; Lettieri, Gennaro/AAZ-1164-2020</t>
  </si>
  <si>
    <t>Costabile, Martina/0000-0003-0034-0024; Marinaro, Carmela/0000-0002-1817-7280; Bianchi, Anna Rita/0000-0003-3055-148X; Lettieri, Gennaro/0000-0002-0141-3320</t>
  </si>
  <si>
    <t>10.3390/biom13030520</t>
  </si>
  <si>
    <t>A2YW9</t>
  </si>
  <si>
    <t>WOS:000953849800001</t>
  </si>
  <si>
    <t>Hung, CC; Gong, GC; Chen, HY; Hsieh, HL; Santschi, PH; Wade, TL; Sericano, JL</t>
  </si>
  <si>
    <t>Hung, Chin-Chang; Gong, Gwo-Ching; Chen, Hung-Yu; Hsieh, Hwey-Lian; Santschi, Peter H.; Wade, Terry L.; Sericano, Jose L.</t>
  </si>
  <si>
    <t>Relationships between pesticides and organic carbon fractions in sediments of the Danshui River estuary and adjacent coastal areas of Taiwan</t>
  </si>
  <si>
    <t>pesticide; sediments; POC; black carbon; Danshui River; Taiwan</t>
  </si>
  <si>
    <t>GULF-OF-MEXICO; BLACK CARBON; POLYCHLORINATED-BIPHENYLS; GREEN OYSTER; HEAVY-METALS; PCBS; BAY; BIOAVAILABILITY; QUANTIFICATION; CONTAMINATION</t>
  </si>
  <si>
    <t>In order to understand the fate of pesticides in marine environments, concentrations of pesticides and different carbonaceous fractions were determined for surface sediments in the Danshui River and nearby coastal areas of Taiwan. The major compounds detected were tetrachlorobenzene, HCHs, chlordane, aldrin, DDDs, DDEs and DDTs. Total concentrations of pesticides in the sediments ranged from not detectable to 23 ng g(-1) with the maximum value detected near the discharge point of the marine outfall from the Pali sewage treatment plant. These results confirm that pesticides persist in estuarine and nearby coastal environments of the Danshui River well after their ban. Concentrations of total pesticides significantly correlate with concentrations of total organic carbon and black carbon in these sediments, suggesting that total organic carbon and black carbon regulate the distribution of trace organic pollutants in fluvial and coastal marine sediments. (c) 2007 Elsevier Ltd. All rights reserved.</t>
  </si>
  <si>
    <t>Natl Taiwan Ocean Univ, Inst Marine Environm Chem &amp; Ecol, Chilung 202, Taiwan; Natl Taiwan Ocean Univ, Dept Marine Environm Informat, Chilung 20224, Taiwan; Acad Sinica, Res Ctr Biodivers, Taipei 115, Taiwan; Texas A&amp;M Univ, LOER, Galveston, TX 77551 USA; Texas A&amp;M Univ, GERG, College Stn, TX 77845 USA</t>
  </si>
  <si>
    <t>National Taiwan Ocean University; National Taiwan Ocean University; Academia Sinica - Taiwan; Texas A&amp;M University System; Texas A&amp;M University System; Texas A&amp;M University College Station</t>
  </si>
  <si>
    <t>Hung, CC (corresponding author), Natl Taiwan Ocean Univ, Inst Marine Environm Chem &amp; Ecol, 2 Pei Ning Rd, Chilung 202, Taiwan.</t>
  </si>
  <si>
    <t>cchung@mail.ntou.edu.tw</t>
  </si>
  <si>
    <t>Wade, Terry/A-4012-2012; Hung, Chin Chang/KVY-9897-2024; Gong, Gwo-Ching/B-4877-2009; Santschi, Peter/D-5712-2012</t>
  </si>
  <si>
    <t>10.1016/j.envpol.2006.11.036</t>
  </si>
  <si>
    <t>182YY</t>
  </si>
  <si>
    <t>WOS:000247541100019</t>
  </si>
  <si>
    <t>Silva, TS; Meili, L; Carvalho, SHV; Soletti, JI; Dotto, GL; Fonseca, EJS</t>
  </si>
  <si>
    <t>Silva, Tarsila S.; Meili, Lucas; Carvalho, Sandra Helena V.; Soletti, Joao Inacio; Dotto, Guilherme Luiz; Fonseca, Eduardo Jorge S.</t>
  </si>
  <si>
    <t>Kinetics, isotherm, and thermodynamic studies of methylene blue adsorption from water by Mytella falcata waste</t>
  </si>
  <si>
    <t>Clamshell; Waste; Dyes; Removal; Alternative adsorbents</t>
  </si>
  <si>
    <t>AQUEOUS-SOLUTION; ACTIVATED CARBON; HEAVY-METALS; REMOVAL; SHELL; DYE; BIOSORPTION; SORPTION; EQUILIBRIUM; BIOSORBENT</t>
  </si>
  <si>
    <t>This work evaluates the application of Mytella falcata shells, discarded in large quantities in the state of Alagoas, Brazil, as adsorbent for methylene blue dye (MB). It was investigated how the amount of adsorbent (M), the average particle diameter (G), and the agitation speed (A) affected the adsorption. Kinetic and equilibrium studies were conducted, and the pseudo-second-order equation adequately represented the kinetic data and isotherms following Liu's model (q (max) = 8.81 mg g(-1) at 60 A degrees C). The adsorption was spontaneous, favorable, and endothermic. Mytella falcata shell is a suitable adsorbent for MB and could potentially contribute to its removal from the environment.</t>
  </si>
  <si>
    <t>[Silva, Tarsila S.; Meili, Lucas; Carvalho, Sandra Helena V.; Soletti, Joao Inacio] Univ Fed Alagoas, Ctr Technol, Separat Syst &amp; Proc Optimizat Lab, BR-57072970 Maceio, AL, Brazil; [Dotto, Guilherme Luiz] Univ Fed Santa Maria, Chem Engn Dept, Environm Proc Lab LAPAM, BR-97119900 Santa Maria, RS, Brazil; [Fonseca, Eduardo Jorge S.] Univ Fed Alagoas, Ctr Exact &amp; Nat Sci, Dept Phys, Quant &amp; Non Linear Opt Lab, BR-57072970 Maceio, AL, Brazil</t>
  </si>
  <si>
    <t>Universidade Federal de Alagoas; Universidade Federal de Santa Maria (UFSM); Universidade Federal de Alagoas</t>
  </si>
  <si>
    <t>Meili, L (corresponding author), Univ Fed Alagoas, Ctr Technol, Separat Syst &amp; Proc Optimizat Lab, BR-57072970 Maceio, AL, Brazil.</t>
  </si>
  <si>
    <t>lucas.meili@ctec.ufal.br</t>
  </si>
  <si>
    <t>Soletti, João/AAO-6371-2021; Fonseca, Eduardo/G-2844-2015; de Carvalho, Sandra/AAO-6693-2021; Dotto, Guilherme Luiz/I-8271-2015; Meili, Lucas/E-8962-2015; /E-5733-2019</t>
  </si>
  <si>
    <t>Dotto, Guilherme Luiz/0000-0002-4413-8138; Carvalho, Sandra Helena Vieira de/0000-0003-2891-3859; Meili, Lucas/0000-0002-0307-8204; /0000-0002-7758-9939</t>
  </si>
  <si>
    <t>10.1007/s11356-017-9645-6</t>
  </si>
  <si>
    <t>FE7BS</t>
  </si>
  <si>
    <t>WOS:000408363200042</t>
  </si>
  <si>
    <t>Maggi, C; Ausili, A; Boscolo, R; Cacciatore, F; Bonometto, A; Cornello, M; Berto, D</t>
  </si>
  <si>
    <t>Maggi, C.; Ausili, A.; Boscolo, R.; Cacciatore, F.; Bonometto, A.; Cornello, M.; Berto, D.</t>
  </si>
  <si>
    <t>Sediment and biota in trend monitoring of contaminants in transitional waters</t>
  </si>
  <si>
    <t>TRAC-TRENDS IN ANALYTICAL CHEMISTRY</t>
  </si>
  <si>
    <t>Biota; Contaminant; Directive 2008/105/EC; Environmental quality standard (EQS); Lagoon of Venice; Priority substance; Sediment; Transitional water; Trend monitoring; Water Framework Directive (WFD)</t>
  </si>
  <si>
    <t>LAGOON-OF-VENICE; CLAMS TAPES-PHILIPPINARUM; ORGANOTIN COMPOUNDS; HEAVY-METALS; MYTILUS-GALLOPROVINCIALIS; CHANGING STATE; MARINE MUSSELS</t>
  </si>
  <si>
    <t>According to Directive 2008/105/EC, the Italian Parliament issued in 2010 the Legislative Decree 219, which determined the environmental quality standard (EQS) for sediment of marine coastal areas, lagoons and coastal ponds. For the purpose of trend monitoring, sediment and biota are the most suitable matrices for many substances. Directive 2008/105/EC gives an indication of the substances that should be taken into consideration for trend monitoring and sets an integrated water-management plan, which has to be prepared for each river-basin district. This article illustrates the criteria that were applied to draw the plan with the aim of assessing the trends of several substances in sediment and biota of the Lagoon of Venice, taking into account the recommendations of Directive 2000/60/EC and the daughter Directives. For this purpose, contaminant concentrations coming from a survey conducted in 2005 were compared with the Italian EQS. Results allowed for the evaluation of spatial and temporal trends of several contaminants in sediments and mollusks of the Lagoon of Venice. They allowed us to focus on which compounds need further monitoring and, most of all, which pollutants require measures to reduce inputs. (C) 2012 Published by Elsevier Ltd.</t>
  </si>
  <si>
    <t>[Maggi, C.] Inst Environm Protect &amp; Res Environm Qual Assessm, I-00166 Rome, Italy; [Ausili, A.; Boscolo, R.; Cacciatore, F.; Bonometto, A.; Cornello, M.; Berto, D.] ISPRA, Rome, Italy</t>
  </si>
  <si>
    <t>Maggi, C (corresponding author), Inst Environm Protect &amp; Res Environm Qual Assessm, Via Casalotti 300, I-00166 Rome, Italy.</t>
  </si>
  <si>
    <t>chiara.maggi@isprambiente.it</t>
  </si>
  <si>
    <t>Berto, Daniela/ABD-5622-2021</t>
  </si>
  <si>
    <t>CACCIATORE, FEDERICA/0000-0001-8886-7407</t>
  </si>
  <si>
    <t>0165-9936</t>
  </si>
  <si>
    <t>TRAC-TREND ANAL CHEM</t>
  </si>
  <si>
    <t>Trac-Trends Anal. Chem.</t>
  </si>
  <si>
    <t>10.1016/j.trac.2012.01.006</t>
  </si>
  <si>
    <t>970SR</t>
  </si>
  <si>
    <t>WOS:000306153100017</t>
  </si>
  <si>
    <t>Arienzo, M; Toscanesi, M; Trifuoggi, M; Ferrara, L; Stanislao, C; Donadio, C; Grazia, V; Gionata, D; Carella, F</t>
  </si>
  <si>
    <t>Arienzo, Michele; Toscanesi, Maria; Trifuoggi, Marco; Ferrara, Luciano; Stanislao, Corrado; Donadio, Carlo; Grazia, Villari; Gionata, De Vico; Carella, Francesca</t>
  </si>
  <si>
    <t>Contaminants bioaccumulation and pathological assessment in Mytilus galloprovincialis in coastal waters facing the brownfield site of Bagnoli, Italy</t>
  </si>
  <si>
    <t>Mytilus galloprovincialis; Polycyclic aromatic hydrocarbons; Metals; Bioaccumulation; Ecopathology; Littoral dynamics</t>
  </si>
  <si>
    <t>POLYCYCLIC AROMATIC-HYDROCARBONS; METAL CONCENTRATIONS; ZINC CONCENTRATIONS; BIOLOGICAL TISSUES; POZZUOLI CAMPANIA; MARINE ORGANISMS; MYA-ARENARIA; OIL-SPILL; MUSSELS; POLLUTION</t>
  </si>
  <si>
    <t>We studied the bioaccumulation of metals and PAHs, the pathological conditions, regressive phenomena and pathogens in wild Mytilus galloprovincialis taken along the North Pier facing the former second Italian largest steelworks of Bagnoli. There was no Cd and Pb bioaccumulation with respect to the EU role 221/2002. Metal shell index decreased as follows: Pb &gt; Ni &gt; Zn &gt; Cu and correlates with the pollution state. The level of BaP was up to thirtysixfold higher the EU rule 835/2011. The stun of 4 hydrocarbons, PAH4, were up to seventeen fold the rule. PAH levels increased toward the coast. Prevalence values of tissue necrosis and inflammatory lesions were between 50 and 100%. In May animals showed lesion like granulocytomas and inflammatory capsules. Signs of atresia, necrotic oocytes and diffused cases of hermaphroditism were detected. An appropriate localization of farming to avoid contamination from sediment turbulence and risks for consumer health is needed.</t>
  </si>
  <si>
    <t>[Arienzo, Michele; Stanislao, Corrado; Donadio, Carlo] Univ Napoli Federico II, Dipartimento Sci Terra Ambiente &amp; Risorse, Largo San Marcellino 10, I-80138 Naples, Italy; [Toscanesi, Maria; Trifuoggi, Marco; Ferrara, Luciano] Univ Napoli Federico II, Dipartimento Sci Chim, Complesso Univ Monte St Angelo,Via Cintia 26, I-80126 Naples, Italy; [Grazia, Villari; Gionata, De Vico; Carella, Francesca] Univ Napoli Federico II, Dipartimento Biol, Complesso Univ Monte St Angelo,Via Cintia 26, I-80126 Naples, Italy</t>
  </si>
  <si>
    <t>University of Naples Federico II; University of Naples Federico II; University of Naples Federico II</t>
  </si>
  <si>
    <t>Arienzo, M (corresponding author), Univ Napoli Federico II, Dipartimento Sci Terra Ambiente &amp; Risorse, Largo San Marcellino 10, I-80138 Naples, Italy.</t>
  </si>
  <si>
    <t>michele.arienzo@unina.it</t>
  </si>
  <si>
    <t>Toscanesi, Maria/AFL-6884-2022; DONADIO, Carlo/M-3434-2017; DE VICO, Gionata/N-7268-2016</t>
  </si>
  <si>
    <t>CARELLA, Francesca/0000-0003-1780-1990; toscanesi, maria/0000-0002-7802-1261; DONADIO, Carlo/0000-0001-9582-3058; DE VICO, Gionata/0000-0001-5953-4160</t>
  </si>
  <si>
    <t>10.1016/j.marpolbul.2019.01.064</t>
  </si>
  <si>
    <t>HP1CF</t>
  </si>
  <si>
    <t>WOS:000461402300040</t>
  </si>
  <si>
    <t>Buschbaum, C; Shama, LNS; Amorim, FLL; Brand, S; Broquard, CMA; Camillini, N; Cornelius, A; Dolch, T; Dummermuth, A; Feldner, J; Guignard, MS; Habedank, J; Hoffmann, JJL; Horn, S; Konyssova, G; Koop-Jakobsen, K; Lauerburg, R; Mehler, K; Odongo, V; Petri, M; Reents, S; Rick, JJ; Rubinetti, S; Salahi, M; Sander, L; Sidorenko, V; Spence-Jones, HC; van Beusekom, JEE; Waser, AM; Wegner, KM; Wiltshire, KH</t>
  </si>
  <si>
    <t>Buschbaum, Christian; Shama, L. N. S.; Amorim, F. L. L.; Brand, S.; Broquard, C. M. A.; Camillini, N.; Cornelius, A.; Dolch, T.; Dummermuth, A.; Feldner, J.; Guignard, M. S.; Habedank, J.; Hoffmann, J. J. L.; Horn, S.; Konyssova, G.; Koop-Jakobsen, K.; Lauerburg, R.; Mehler, K.; Odongo, V.; Petri, M.; Reents, S.; Rick, J. J.; Rubinetti, S.; Salahi, M.; Sander, L.; Sidorenko, V.; Spence-Jones, H. C.; van Beusekom, J. E. E.; Waser, A. M.; Wegner, K. M.; Wiltshire, K. H.</t>
  </si>
  <si>
    <t>Climate change impacts on a sedimentary coast-a regional synthesis from genes to ecosystems</t>
  </si>
  <si>
    <t>MARINE BIODIVERSITY</t>
  </si>
  <si>
    <t>Wadden Sea; Climate change; Sea level rise; Ocean warming; Coastal ecology; Conservation</t>
  </si>
  <si>
    <t>NORTHERN WADDEN SEA; MUSSEL MYTILUS-EDULIS; LONG-TERM CHANGES; INTRODUCED PACIFIC OYSTERS; SYLT-ROMO BIGHT; ECOLOGICAL NETWORK ANALYSIS; SALT MARSHES; LEVEL RISE; CRASSOSTREA-GIGAS; SEVERE WINTER</t>
  </si>
  <si>
    <t>Climate change effects on coastal ecosystems vary on large spatial scales, but can also be highly site dependent at the regional level. The Wadden Sea in the south-eastern North Sea is warming faster than many other temperate coastal areas, with surface seawater temperature increasing by almost 2 degrees C over the last 60 years, nearly double the global ocean mean increase. Climate warming is accompanied by rising sea levels, which have increased by approximately 2 mm yr-1 over the last 120 years. For this sedimentary coast, the predicted acceleration of sea-level rise will have profound effects on tidal dynamics and bathymetry in the area. This paper synthesises studies of the effects of ocean warming and sea level rise in the northern Wadden Sea, largely based on research conducted at the Wadden Sea Station Sylt of the Alfred Wegener Institute Helmholtz Centre for Polar and Marine Research. An increasing rate of sea level rise above a critical threshold will lead to coastal erosion and changes in sediment composition, and may cause the transition from a tidal to lagoon-like environment as tidal flats submerge. This involves changes to coastal morphology, and the decline of important habitats such as muddy tidal flats, salt marshes and seagrass meadows, as well as their ecological services (e.g. carbon sequestration). Ocean warming affects plankton dynamics and phenology, as well as benthic community structure by hampering cold-adapted but facilitating warm-adapted species. The latter consist mostly of introduced non-native species originating from warmer coasts, with some epibenthic species acting as ecosystem engineers that create novel habitats on the tidal flats. Warming also changes interactions between species by decoupling existing predator-prey dynamics, as well as forming new interactions in which mass mortalities caused by parasites and pathogens can play an understudied but essential role. However, Wadden Sea organisms can adapt to changing abiotic and biotic parameters via genetic adaptation and phenotypic plasticity, which can also be inherited across generations (transgenerational plasticity), enabling faster plastic responses to future conditions. Important research advances have been made using next-generation molecular tools (-omics), mesocosm experiments simulating future climate scenarios, modelling approaches (ecological network analysis), and internet-based technologies for data collection and archiving. By synthesising these climate change impacts on multiple levels of physical and biological organisation in the northern Wadden Sea, we reveal knowledge gaps that need to be addressed by future investigations and comparative studies in other regions in order to implement management, mitigation and restoration strategies to preserve the uniqueness of this ecosystem of global importance.</t>
  </si>
  <si>
    <t>[Buschbaum, Christian; Shama, L. N. S.; Amorim, F. L. L.; Brand, S.; Broquard, C. M. A.; Camillini, N.; Cornelius, A.; Dolch, T.; Dummermuth, A.; Guignard, M. S.; Habedank, J.; Hoffmann, J. J. L.; Horn, S.; Konyssova, G.; Lauerburg, R.; Mehler, K.; Odongo, V.; Petri, M.; Reents, S.; Rick, J. J.; Rubinetti, S.; Salahi, M.; Sander, L.; Sidorenko, V.; Spence-Jones, H. C.; Waser, A. M.; Wegner, K. M.; Wiltshire, K. H.] Alfred Wegener Inst, Helmholtz Ctr Polar &amp; Marine Res, Wadden Sea Stn Sylt, Hafenstr 43, D-25992 List Auf Sylt, Germany; [Feldner, J.] Christian Albrechts Univ Kiel, Sch Sustainabil, Christian Albrechts Pl 4, D-24118 Kiel, Germany; [Koop-Jakobsen, K.] Marine Biol Lab, Ecosyst Ctr, Woods Hole, MA USA; [Lauerburg, R.; van Beusekom, J. E. E.] Alfred Wegener Inst, Helmholtz Ctr Polar &amp; Marine Res, Comp &amp; Data Ctr, Handelshafen 12, D-27570 Bremerhaven, Germany; [van Beusekom, J. E. E.] Helmholtz Ctr Hereon, Inst Carbon Cycles, Max Planck Str 1, D-21502 Geesthacht, Germany</t>
  </si>
  <si>
    <t>Helmholtz Association; Alfred Wegener Institute, Helmholtz Centre for Polar &amp; Marine Research; University of Kiel; Marine Biological Laboratory - Woods Hole; Helmholtz Association; Alfred Wegener Institute, Helmholtz Centre for Polar &amp; Marine Research; Max Planck Society</t>
  </si>
  <si>
    <t>Buschbaum, C (corresponding author), Alfred Wegener Inst, Helmholtz Ctr Polar &amp; Marine Res, Wadden Sea Stn Sylt, Hafenstr 43, D-25992 List Auf Sylt, Germany.</t>
  </si>
  <si>
    <t>christian.buschbaum@awi.de</t>
  </si>
  <si>
    <t>Sidorenko, Vera/ABA-2221-2021; Habedank, Joel/LBI-7874-2024; Shama, Lisa N S/K-7469-2017; Salahi, Morteza/P-8242-2017; Wegner, Karl Mathias/P-1149-2015; Waser, Andreas/J-2082-2016</t>
  </si>
  <si>
    <t>BROQUARD, CORALIE/0000-0002-0461-1568; Shama, Lisa N S/0000-0002-9017-9950; Sidorenko, Vera/0000-0002-5956-1844; Konyssova, Gaziza/0009-0008-5460-4754; Salahi, Morteza/0000-0003-1744-1390; Wegner, Karl Mathias/0000-0002-2410-8898; Waser, Andreas/0000-0002-9455-4447; Habedank, Joel/0009-0006-1709-0008</t>
  </si>
  <si>
    <t>Projekt DEAL; Landesbetrieb fuer Kuestenschutz, Nationalpark und Meeresschutz Schleswig-Holstein (LKN); Landesamt fuer Umwelt des Landes Schleswig-Holstein (LfU, former LLUR); Niedersaechsischer Landesbetrieb fuer Wasserwirtschaft, Kueste und Naturschutz (NLWKN); Landesamt fuer Umwelt, Naturschutz und Geologie Mecklenburg-Vorpommern (LUNG); Bundesamt fuer Naturschutz (BfN); Deutsche Bundesstiftung Umwelt (DBU) [20018/530]; Federal German Ministry of Education and Research through the CoastalFutures [03F0911J]; Bioweb [03F0861A]; Federal Ministry of Education and Research (BMBF) [03F091A, 03F0907A]; EU [101027303, 101060937]; Marie Curie Actions (MSCA) [101027303] Funding Source: Marie Curie Actions (MSCA)</t>
  </si>
  <si>
    <t>Projekt DEAL; Landesbetrieb fuer Kuestenschutz, Nationalpark und Meeresschutz Schleswig-Holstein (LKN); Landesamt fuer Umwelt des Landes Schleswig-Holstein (LfU, former LLUR); Niedersaechsischer Landesbetrieb fuer Wasserwirtschaft, Kueste und Naturschutz (NLWKN); Landesamt fuer Umwelt, Naturschutz und Geologie Mecklenburg-Vorpommern (LUNG); Bundesamt fuer Naturschutz (BfN); Deutsche Bundesstiftung Umwelt (DBU); Federal German Ministry of Education and Research through the CoastalFutures; Bioweb; Federal Ministry of Education and Research (BMBF)(Federal Ministry of Education &amp; Research (BMBF)); EU(European Union (EU)); Marie Curie Actions (MSCA)(Marie Curie Actions)</t>
  </si>
  <si>
    <t>Open Access funding enabled and organized by Projekt DEAL. T. Dolch, C. Buschbaum and A. Cornelius would like to thank the Landesbetrieb fuer Kuestenschutz, Nationalpark und Meeresschutz Schleswig-Holstein (LKN), the Landesamt fuer Umwelt des Landes Schleswig-Holstein (LfU, former LLUR), the Niedersaechsischer Landesbetrieb fuer Wasserwirtschaft, Kueste und Naturschutz (NLWKN), the Landesamt fuer Umwelt, Naturschutz und Geologie Mecklenburg-Vorpommern (LUNG) and the Bundesamt fuer Naturschutz (BfN) for funding the seagrass monitoring in Schleswig-Holstein and the marine neobiota assessment on German coasts. A. Cornelius was funded by the Deutsche Bundesstiftung Umwelt (DBU, Grant no. 20018/530). K.H. Wiltshire, V. Siderenko, S. Rubinetti, M. Guinard and J. Rick acknowledge support by the Federal German Ministry of Education and Research through the CoastalFutures (Grant no. 03F0911J) and the Bioweb (Grant no. 03F0861A) projects. V. Sidorenko, S. Rubinetti and S. Brand acknowledge support by the Federal Ministry of Education and Research (BMBF) through the project CREATE (03F091A), part of the research mission 'Protection and Sustainable use of Marine Areas' within the German Marine Research Alliance (DAM). J. Hoffmann was supported by the Marie Curie action KARST, under the EU H2020 program, project number 101027303. C. Broquard was funded by the BMBF in the framework of the JPI Aquatic Pollutants programme (03F0907A). A.M. Waser acknowledges support from the project MARBEFES of the European Union's Horizon Europe Programme (Grant no. 101060937, www.marbefes.eu).</t>
  </si>
  <si>
    <t>1867-1616</t>
  </si>
  <si>
    <t>1867-1624</t>
  </si>
  <si>
    <t>MAR BIODIVERS</t>
  </si>
  <si>
    <t>Mar. Biodivers.</t>
  </si>
  <si>
    <t>10.1007/s12526-024-01453-5</t>
  </si>
  <si>
    <t>Biodiversity Conservation; Marine &amp; Freshwater Biology</t>
  </si>
  <si>
    <t>Biodiversity &amp; Conservation; Marine &amp; Freshwater Biology</t>
  </si>
  <si>
    <t>A4H2G</t>
  </si>
  <si>
    <t>WOS:001282150700001</t>
  </si>
  <si>
    <t>Batista, D; Tellini, K; Nudi, AH; Massone, TP; Scofield, AD; Wagener, ADR</t>
  </si>
  <si>
    <t>Batista, Daniela; Tellini, Karla; Nudi, Adriana H.; Massone, Thais P.; Scofield, Arthur de L.; Wagener, Angela de L. R.</t>
  </si>
  <si>
    <t>Marine sponges as bioindicators of oil and combustion derived PAH in coastal waters</t>
  </si>
  <si>
    <t>Marine sponges; Bioindicator; Polycyclic aromatic hydrocarbons; Perna perna</t>
  </si>
  <si>
    <t>POLYCYCLIC AROMATIC-HYDROCARBONS; MUSSELS PERNA-PERNA; RIO-DE-JANEIRO; GUANABARA BAY; HEAVY-METALS; TRACE-METAL; CONTAMINATION; SEDIMENTS; POLLUTION; BIOMONITOR</t>
  </si>
  <si>
    <t>The present study evaluates the potential of Hymeniacidon heliophila as bioindicator of PAH contamination. For this, concentration of 33 PAH was determined in organisms from sites with different contamination level including the heavily polluted Guanabara Bay, Rio de Janeiro, and less impacted coastal areas. PAH concentration and typology were determined in sponges collected from different depths and in two different seasons. The brown mussel broadly studied as bioindicator was also sampled from the same sites for comparison. Both species provided similar information on total PAH concentration which is related to site contamination level. Sponges, however, revealed slight tendency to accumulation of combustion-derived PAH in relation to petrogenic compounds. Differences in PAH typology between species may derive from the interspecific variation in particle size ingestion. Different hydrocarbon typologies were observed in sponges from dry and wet season and PAH concentration varied with depth. H. heliophila may be used as an alternative approach to investigate the presence and sources of PAH in estuarine areas. (C) 2013 Elsevier Ltd. All rights reserved.</t>
  </si>
  <si>
    <t>[Batista, Daniela; Tellini, Karla; Nudi, Adriana H.; Massone, Thais P.; Scofield, Arthur de L.; Wagener, Angela de L. R.] Pontificia Univ Catolica Rio de Janeiro, Dept Quim, Lab Estudos Marinhos &amp; Ambientais, BR-22451045 Rio De Janeiro, Brazil</t>
  </si>
  <si>
    <t>Wagener, ADR (corresponding author), Pontificia Univ Catolica Rio de Janeiro, Dept Quim, Lab Estudos Marinhos &amp; Ambientais, BR-22451045 Rio De Janeiro, Brazil.</t>
  </si>
  <si>
    <t>angela@puc-rio.br</t>
  </si>
  <si>
    <t>Batista, Daniela/IVH-6200-2023</t>
  </si>
  <si>
    <t>Pedrete, Thais/0000-0003-4831-3578; Batista, Daniela/0000-0001-5624-132X</t>
  </si>
  <si>
    <t>FAPERJ; CNPq - PNPD [559064/2008-0]</t>
  </si>
  <si>
    <t>FAPERJ(Fundacao Carlos Chagas Filho de Amparo a Pesquisa do Estado do Rio De Janeiro (FAPERJ)); CNPq - PNPD(Conselho Nacional de Desenvolvimento Cientifico e Tecnologico (CNPQ))</t>
  </si>
  <si>
    <t>This work was sponsored by FAPERJ and CNPq - PNPD (process no 559064/2008-0) and D. Batista is grateful for the post-doctoral grant.</t>
  </si>
  <si>
    <t>10.1016/j.marenvres.2013.09.022</t>
  </si>
  <si>
    <t>WOS:000327569000025</t>
  </si>
  <si>
    <t>Goetz, JD; Giordano, MR; Stockwell, CE; Christian, TJ; Maharjan, R; Adhikari, S; Bhave, PV; Praveen, PS; Panday, AK; Jayarathne, T; Stone, EA; Yokelson, RJ; DeCarlo, PF</t>
  </si>
  <si>
    <t>Goetz, J. Douglas; Giordano, Michael R.; Stockwell, Chelsea E.; Christian, Ted J.; Maharjan, Rashmi; Adhikari, Sagar; Bhave, Prakash, V; Praveen, Puppala S.; Panday, Arnico K.; Jayarathne, Thilina; Stone, Elizabeth A.; Yokelson, Robert J.; DeCarlo, Peter F.</t>
  </si>
  <si>
    <t>Speciated online PM1 from South Asian combustion sources - Part 1: Fuel-based emission factors and size distributions</t>
  </si>
  <si>
    <t>AEROSOL MASS-SPECTROMETER; POLYCYCLIC AROMATIC-HYDROCARBONS; BIOMASS-BURNING EMISSIONS; EXPERIMENT NAMASTE EMISSIONS; INDOOR AIR-POLLUTION; BLACK CARBON; CROP RESIDUE; PARTICULATE MATTER; LIGHT-ABSORPTION; BROWN CARBON</t>
  </si>
  <si>
    <t>Combustion of biomass, garbage, and fossil fuels in South Asia has led to poor air quality in the region and has uncertain climate forcing impacts. Online measurements of submicron aerosol (PM1) emissions were conducted as part of the Nepal Ambient Monitoring and Source Testing Experiment (NAMaSTE) to investigate and report emission factors (EFs) and vacuum aerodynamic diameter (d(va)) size distributions from prevalent but poorly characterized combustion sources. The online aerosol instrumentation included a mini aerosol mass spectrometer (mAMS) and a dual-spot eight-channel aethalometer (AE33). The mAMS measured non-refractory PM1 mass, composition, and size. The AE33-measured black carbon (BC) mass and estimated light absorption at 370 nm due to organic aerosol or brown carbon. Complementary gas-phase measurements of carbon dioxide (CO2), carbon monoxide (CO), and methane (CH4) were collected using a Picarro Inc. cavity ring-down spectrometer (CRDS) to calculate fuel-based EFs using the carbon mass balance approach. The investigated emission sources include open garbage burning, diesel-powered irrigation pumps, idling motorcycles, traditional cookstoves fueled with dung and wood, agricultural residue fires, and coal-fired brick-making kilns, all of which were tested in the field. Open-garbage-burning emissions, which included mixed refuse and segregated plastics, were found to have some of the largest PM1 EFs (3.77-19.8 g kg(-1)) and the highest variability of the investigated emission sources. Non-refractory organic aerosol (OA) size distributions measured by the mAMS from garbage-burning emissions were observed to have lognormal mode d va values ranging from 145 to 380 nm. Particle-phase hydrogen chloride (HCl) was observed from open garbage burning and was attributed to the burning of chlorinated plastics. Emissions from two diesel-powered irrigation pumps with different operational ages were tested during NAMaSTE. Organic aerosol and BC were the primary components of the emissions and the OA size distributions were centered at similar to 80 nm d(va). The older pump was observed to have significantly larger EFOA than the newer pump (5.18 g kg(-1) compared to 0.45 g kg(-1)) and similar EFBc Emissions from two distinct types of coal-fired brick-making kilns were investigated. The less advanced, intermittently fired clamp kiln was observed to have relatively large EFs of inorganic aerosol, including sulfate (0.48 g kg(-1)) and ammonium (0.17 g kg(-1)), compared to the other investigated emission sources. The clamp kiln was also observed to have the largest absorption Angstrom exponent (AAE = 4) and organic carbon (OC) to BC ratio (OC: BC = 52). The continuously fired zigzag kiln was observed to have the largest fraction of sulfate emissions with an EFSO4 of 0.96 g kg(-1). Non-refractory aerosol size distributions for the brick kilns were centered at similar to 400 nm d(va). The biomass burning samples were all observed to have significant fractions of OA and non-refractory chloride; based on the size distribution results, the chloride was mostly externally mixed from the OA. The dung-fueled traditional cookstoves were observed to emit ammonium, suggesting that the chloride emissions were partially neutralized. In addition to reporting EFs and size distributions, aerosol optical properties and mass ratios of OC to BC were investigated to make comparisons with other NAMaSTE results (i.e., online photoacoustic extinctiometer (PAX) and off-line filter based) and the existing literature. This work provides critical field measurements of aerosol emissions from important yet under-characterized combustion sources common to South Asia and the developing world.</t>
  </si>
  <si>
    <t>[Goetz, J. Douglas; Giordano, Michael R.; DeCarlo, Peter F.] Drexel Univ, Dept Civil Architectural &amp; Environm Engn, Philadelphia, PA 19104 USA; [Stockwell, Chelsea E.; Christian, Ted J.; Yokelson, Robert J.] Univ Montana, Dept Chem, Missoula, MT 59812 USA; [Maharjan, Rashmi; Adhikari, Sagar] MinErgy Pvt Ltd, Lalitpur, Nepal; [Adhikari, Sagar; Bhave, Prakash, V; Praveen, Puppala S.; Panday, Arnico K.] Int Ctr Integrated Mt Dev ICIMOD, Lalitpur, Nepal; [Jayarathne, Thilina; Stone, Elizabeth A.] Univ Iowa, Dept Chem, Iowa City, IA 52242 USA; [Stone, Elizabeth A.] Univ Iowa, Dept Chem &amp; Biochem Engn, Iowa City, IA 52242 USA; [DeCarlo, Peter F.] Drexel Univ, Dept Chem, Philadelphia, PA 19104 USA; [Goetz, J. Douglas] Univ Colorado, Lab Atmospher &amp; Space Phys, Boulder, CO 80309 USA; [Stockwell, Chelsea E.] NOAA Earth Syst Res Lab, Chem Sci Div, Boulder, CO USA; [Maharjan, Rashmi] Clean Energy Nepal, Lalitpur, Nepal; [Bhave, Prakash, V] North Carolina State Univ, Agr Inst, Raleigh, NC USA</t>
  </si>
  <si>
    <t>Drexel University; University of Montana System; University of Montana; University of Iowa; University of Iowa; Drexel University; University of Colorado System; University of Colorado Boulder; National Oceanic Atmospheric Admin (NOAA) - USA; North Carolina State University</t>
  </si>
  <si>
    <t>DeCarlo, PF (corresponding author), Drexel Univ, Dept Civil Architectural &amp; Environm Engn, Philadelphia, PA 19104 USA.</t>
  </si>
  <si>
    <t>pfd33@drexel.edu</t>
  </si>
  <si>
    <t>Puppala, Siva/E-7795-2013; DeCarlo, Peter/AAA-8561-2019; Bhave, Prakash/L-1958-2013; Stockwell, Chelsea/ABH-6021-2020; Yokelson, Robert/C-9971-2011</t>
  </si>
  <si>
    <t>DeCarlo, Peter/0000-0001-6385-7149; Adhikari, Sagar/0000-0003-3894-4560; Giordano, Michael R/0000-0002-6820-6668; Yokelson, Robert/0000-0002-8415-6808; Goetz, James/0000-0003-0824-1215; Stockwell, Chelsea/0000-0003-3462-2126; Puppala, Siva Praveen/0000-0002-1352-3412</t>
  </si>
  <si>
    <t>National Science Foundation [AGS 1461458]; NSF [AGS 1351616]; AGS [1349967]; NASA Earth Science Division [NNX14AP45G]; NASA [NNX14AP45G, 675338] Funding Source: Federal RePORTER</t>
  </si>
  <si>
    <t>National Science Foundation(National Science Foundation (NSF)); NSF(National Science Foundation (NSF)); AGS; NASA Earth Science Division; NASA(National Aeronautics &amp; Space Administration (NASA))</t>
  </si>
  <si>
    <t>The authors would like to thank the logistics and support team in Nepal, which included numerous personnel from ICIMOD, MinErgy Pvt. Ltd., and RETS. We would like to acknowledge the proficiency and expertise of Sanubabu B. Dangol and the MinErgy team, who were integral to finding and gaining access to field sites for this study. A special thanks to Karma Sherpa and Nawraj, who were both central parts of the field team and without whom this work would not be possible and possibly less enjoyable. We thank the villagers of Nawalparasi for their generosity and hospitality. Finally, the authors would like to acknowledge Erin Katz for her excellent contribution to the post-campaign lab work that provided key results to help characterize the dilution system. This project was funded by the National Science Foundation under grant AGS 1461458. Elizabeth A. Stone and Thilina Jayarathne were supported by NSF grant number AGS 1351616, Robert J. Yokelson and Chelsea E. Stockwell were supported by AGS 1349967, and Robert J. Yokelson was also supported by NASA Earth Science Division Award NNX14AP45G.</t>
  </si>
  <si>
    <t>OCT 12</t>
  </si>
  <si>
    <t>10.5194/acp-18-14653-2018</t>
  </si>
  <si>
    <t>GW7UM</t>
  </si>
  <si>
    <t>WOS:000447177500004</t>
  </si>
  <si>
    <t>Koenig, S; Savage, C; Kim, JP</t>
  </si>
  <si>
    <t>Koenig, Samuel; Savage, Candida; Kim, Jonathan P.</t>
  </si>
  <si>
    <t>Two novel non-destructive biomarkers to assess PAH-induced oxidative stress and porphyrinogenic effects in crabs</t>
  </si>
  <si>
    <t>Non-destructive biomarker; PAH; crab urine; fluorescence spectrometry; oxidative stress; porphyrin</t>
  </si>
  <si>
    <t>FLUOROMETRIC SCREENING-TEST; LIPID-PEROXIDATION; DIGESTIVE GLAND; EXPOSURE; MUSSEL; DAMAGE; POPULATIONS; MERCURY; POLYCHLOROBIPHENYLS; QUANTIFICATION</t>
  </si>
  <si>
    <t>Two novel, non-destructive assays were developed to evaluate contaminant-induced lipid peroxidation (thiobarbituric acid-reacting substances, TBARS, levels) and haem biosynthesis disruption (porphyrin excretion) in decapod crabs. A laboratory experiment was conducted whereby pie-crust crabs (Cancer novaezelandiae) were fed cockles (Austrovenus stutchburyi) collected from a contaminated and reference site and TBARS levels and porphyrin excretion determined using fluorometric analysis in urine samples. Pyrene metabolite levels were also measured in the same urine samples to assess polycyclic aromatic hydrocarbon (PAH) exposure. Contaminant-exposed crabs exhibited elevated urinary TBARS and porphyrin levels and a strong correlation was found between these two assays and the urinary pyrene metabolite concentrations. However, there was large within-treatment variability, which precluded a clear separation between the control and the impacted group. Nevertheless, consistency in the direction of the response shows that the biomarkers reflect pollutant levels and validates the use of these simple techniques from human medicine for environmental assessments.</t>
  </si>
  <si>
    <t>[Koenig, Samuel; Savage, Candida] Univ Otago, Dept Marine Sci, Dunedin 9016, New Zealand; [Kim, Jonathan P.] Univ Otago, Dept Chem, Dunedin 9016, New Zealand</t>
  </si>
  <si>
    <t>University of Otago; University of Otago</t>
  </si>
  <si>
    <t>Savage, C (corresponding author), Univ Otago, Dept Marine Sci, POB 56, Dunedin 9016, New Zealand.</t>
  </si>
  <si>
    <t>candida.savage@stonebow.otago.ac.nz</t>
  </si>
  <si>
    <t>departments of Marine Science and Chemistry, University of Otago, New Zealand; Ecology Research Group at the University of Otago</t>
  </si>
  <si>
    <t>The authors gratefully acknowledge the departments of Marine Science and Chemistry, University of Otago, New Zealand, for funding and use of facilities. This work was partially funded by the Ecology Research Group at the University of Otago. Moreover, we thank the University of Otago for a Postgraduate Publishing Bursary that facilitated write up of this research as a manuscript. We also thank the anonymous reviewers whose comments improved the manuscript.</t>
  </si>
  <si>
    <t>10.3109/13547500903123026</t>
  </si>
  <si>
    <t>532AO</t>
  </si>
  <si>
    <t>WOS:000272715700002</t>
  </si>
  <si>
    <t>Hylland, K; Skold, M; Gunnarsson, JS; Skei, J</t>
  </si>
  <si>
    <t>Interactions between eutrophication and contaminants .4. Effects on sediment-dwelling organisms</t>
  </si>
  <si>
    <t>eutrophication; hypoxia; Cd; Hg; B(a)P; Amphiura filiformis; Nereis (Hediste) diversicolor; Abra alba; biomarkers</t>
  </si>
  <si>
    <t>MYTILUS-EDULIS-L; METALLOTHIONEIN-LIKE PROTEINS; GLUTATHIONE S-TRANSFERASES; BIVALVE MACOMA-BALTHICA; STAR ASTERIAS-RUBENS; ABRA-ALBA MOLLUSCA; NEREIS-DIVERSICOLOR; AMPHIURA-FILIFORMIS; CADMIUM ACCUMULATION; COMMON MUSSEL</t>
  </si>
  <si>
    <t>Effects of organic enrichment, oxygen availability and the presence of contaminants on three sediment-dwelling invertebrates, the polychaete Nereis (Hediste) diversicolor, the bivalve Abra alba and the brittle star Amphiura filiformis, were assessed using growth, arm regeneration and biomarkers (metallothionein-like proteins, glutathione reductase, glutathione S-transferase) in 93-day microcosm experiment. Moderate organic enrichment (approx, 40 g C m(-2)) increased growth and hypoxia (2.4-3.5 mg l(-1)) decreased growth in all three species. Effects of organic enrichment and low oxygen availability were additive for growth in N. diversicolor and A. filiformis, whereas there was an interaction between hypoxia and organic enrichment in their effects on growth in A. alba, reflecting a decreased ability of this species to utilize the available organic material under hypoxic conditions. Sediment-bound contaminants (4.8 mg kg(-1) Cd and 1.32 mg kg(-1) benzo[a]pyrene) had minor effects on growth and arm regeneration. Some biomarkers in N. diversicolor and A. filiformis reflected tissue contaminant concentrations, whereas there was no response of biomarkers in A. alba to any treatment or contaminant. (C) 1997 Elsevier Science Ltd.</t>
  </si>
  <si>
    <t>GOTHENBURG UNIV, KRISTINEBERG MARINE RES STN, S-45034 FISKEBACKSKIL, SWEDEN</t>
  </si>
  <si>
    <t>NORWEGIAN INST WATER RES, NIVA, POB 173 KJELSAS, N-0411 OSLO, NORWAY.</t>
  </si>
  <si>
    <t>10.1016/S0025-326X(97)00025-8</t>
  </si>
  <si>
    <t>XZ189</t>
  </si>
  <si>
    <t>WOS:A1996XZ18900011</t>
  </si>
  <si>
    <t>Sokolowski, A; Wolowicz, M; Hummel, H; Smolarz-Górska, K; Fichet, D; Radenac, G; Thiriot-Quiévreux, C; Namiesnik, J</t>
  </si>
  <si>
    <t>Abnormal features of Macoma balthica (Bivalvia) in the Baltic Sea:: alerting symptoms of environmental adversity?</t>
  </si>
  <si>
    <t>abnormal features; Macoma balthica; southern Baltic sea; environmental adversity</t>
  </si>
  <si>
    <t>GILL NEOPLASIA; GENETIC-TRAITS; TRACE-METALS; POPULATIONS; POLLUTION; GDANSK; COPPER; GULF; ACCUMULATION; ELIMINATION</t>
  </si>
  <si>
    <t>Recent studies of the Baltic clam Macoma balthica (L.) from the southern Baltic (the Gulf of Gdansk) have revealed striking morphological, histological and cytogenctic features. Strong deformation of the shell, including elongation of the posterior end and the appearance of an easily visible flexure in this part, has been recorded. The Population contribution of the deformed blunt shelled (irregular) clams ranged from 0% to 65% and tended to increase with depth. The morphologically irregular clams had higher accumulated tissue concentrations of trace metals (As, Ag, Cd, Pb, Cu and Zn), indicating a different metal handling ability. Adverse conditions in deeper water regions of the Gulf (e.g. hypoxia, hydrogen sulphide, elevated bioavailability of contaminants) have been suggested as inducers of the phenotypical changes (morphological deformation) in part of the population and, in parallel, of the specific physiological adaptations that result in higher metal accumulation in the irregular clams. Cytogenetic and histological analyses showed the presence of tumours in gill cells and digestive system of the affected clams, the prevalence of disseminated neoplasia ranging from 0% to 94% depending on the site. The disease was manifested by a modified karyotype (i.e. an abnormal number and morphology of chromosomes), a higher activity of nucleolar organizer regions (AgNORs), and tissue lesions (enlarged cells, actively proliferative with pleomorphic nuclei). Bottom sediments showed acute toxicity and have been proposed as a source of an initialising carcinogenic factor. However, none of the ecotoxicological studies provided was successful in the clear demonstration of a single (or multifactorial) agent that can account for the disseminated neoplasia. (C) 2004 Elsevier Ltd. All rights reserved.</t>
  </si>
  <si>
    <t>Univ Gdansk, Inst Oceanog, Lab Estuarine Ecol, PL-81378 Gdynia, Poland; Netherlands Inst Ecol, Ctr Estuarine &amp; Marine Ecol, NL-4401 NT Yerseke, Netherlands; Univ La Rochelle, Inst Littoral, LBEM, F-17042 La Rochelle, France; Univ Paris 06, Observ Oceanol, CNRS, INSU, F-06230 Villefranche Sur Mer, France; Gdansk Univ Technol, Fac Chem, PL-80952 Gdansk, Poland</t>
  </si>
  <si>
    <t>Fahrenheit Universities; University of Gdansk; Royal Netherlands Academy of Arts &amp; Sciences; Netherlands Institute of Ecology (NIOO-KNAW); La Rochelle Universite; Centre National de la Recherche Scientifique (CNRS); CNRS - National Institute for Earth Sciences &amp; Astronomy (INSU); Sorbonne Universite; Fahrenheit Universities; Gdansk University of Technology</t>
  </si>
  <si>
    <t>Univ Gdansk, Inst Oceanog, Lab Estuarine Ecol, Pilsudskiego 46, PL-81378 Gdynia, Poland.</t>
  </si>
  <si>
    <t>Hummel, Herman/A-9610-2011; Radenac, Gilles/O-9760-2014</t>
  </si>
  <si>
    <t>Hummel, Herman/0000-0001-6902-5773; Smolarz, Katarzyna/0000-0002-0205-7268; Namiesnik, Jacek/0000-0001-9598-2198; Sokolowski, Adam/0000-0002-7551-3199; Denis, Fichet/0000-0002-4913-8946; Radenac, Gilles/0000-0002-7906-6453</t>
  </si>
  <si>
    <t>10.1016/j.marpolbul.2004.04.002</t>
  </si>
  <si>
    <t>841OK</t>
  </si>
  <si>
    <t>WOS:000222939800014</t>
  </si>
  <si>
    <t>Ahmadi, A; Moore, F; Keshavarzi, B; Soltani, N; Sorooshian, A</t>
  </si>
  <si>
    <t>Ahmadi, Azam; Moore, Farid; Keshavarzi, Behnam; Soltani, Naghmeh; Sorooshian, Armin</t>
  </si>
  <si>
    <t>Potentially toxic elements and microplastics in muscle tissues of different marine species from the Persian Gulf: Levels, associated risks, and trophic transfer</t>
  </si>
  <si>
    <t>Potential toxic element; Microplastic; Marine species; Trophic transfer; Seafood safety; Persian Gulf</t>
  </si>
  <si>
    <t>MUSSEL MYTILUS-EDULIS; HEAVY-METALS; HEALTH-RISK; COMMERCIAL FISH; NORTH-SEA; MAGNIFICATION FACTORS; AQUATIC ORGANISMS; PLASTIC DEBRIS; DEMERSAL FISH; MUSA ESTUARY</t>
  </si>
  <si>
    <t>Selected potentially toxic elements (PTEs), including As, Cd, Co, Cr, Cu, Hg, Ni, Pb, Se, and Zn, along with microplastic particles (MPs) were characterized in the muscle of seafood species in order to study potential health risk and also investigate biomagnification of the contaminants. The results revealed high levels of the analyzed PTEs and MPs in crustaceans. The cancer risk among the consumer population (adult and children) posed by As is higher than the acceptable lifetime risk of 10(-4). Portunus plagicus and Platycephalus indices had the highest and lowest amount of MP particles in their muscles, respectively, among investigated species. Finally, PTEs (except Hg) and MPs are not biomagnified in the collected species. The results of this research emphasize the importance of accounting for health risks posed by potential pollutants via consumption of contaminated seafood.</t>
  </si>
  <si>
    <t>[Ahmadi, Azam; Moore, Farid; Keshavarzi, Behnam; Soltani, Naghmeh] Shiraz Univ, Coll Sci, Dept Earth Sci, Shiraz 71454, Iran; [Sorooshian, Armin] Univ Arizona, Dept Chem &amp; Environm Engn, Tucson, AZ 85721 USA; [Sorooshian, Armin] Univ Arizona, Dept Hydrol &amp; Atmospher Sci, Tucson, AZ 85721 USA</t>
  </si>
  <si>
    <t>Shiraz University; University of Arizona; University of Arizona</t>
  </si>
  <si>
    <t>Keshavarzi, B (corresponding author), Shiraz Univ, Coll Sci, Dept Earth Sci, Shiraz 71454, Iran.</t>
  </si>
  <si>
    <t>bkeshavarzi@shirazu.ac.ir</t>
  </si>
  <si>
    <t>Soltani, Naghmeh/AGK-8425-2022; Sorooshian, Armin/E-5035-2010</t>
  </si>
  <si>
    <t>Shiraz Uni-versity Medical Geology Center</t>
  </si>
  <si>
    <t>The authors would like to extend their gratitude to the Shiraz Uni-versity Medical Geology Center and Shiraz University Research Com-mittee for logistical support.</t>
  </si>
  <si>
    <t>10.1016/j.marpolbul.2021.113283</t>
  </si>
  <si>
    <t>YQ4DE</t>
  </si>
  <si>
    <t>WOS:000749259800010</t>
  </si>
  <si>
    <t>Xia, YT; Wang, WX</t>
  </si>
  <si>
    <t>Xia, Yiteng; Wang, Wen-Xiong</t>
  </si>
  <si>
    <t>Subcellular responses of fish cells to sewage effluents: Cell line-based and whole-animal based approaches</t>
  </si>
  <si>
    <t>Toxicity determination; Subcellular organelles; Fluorescent assay; Sewage effluents; Biomarkers</t>
  </si>
  <si>
    <t>ETHOXYRESORUFIN-O-DEETHYLASE; CALCIUM INFLUX; TOXICITY; ACCUMULATION; LYSOSOMES; CHEMICALS; EXPOSURE; CADMIUM; MUSSELS; BIOLOGY</t>
  </si>
  <si>
    <t>Acute toxicity determination is essential in the ecological risk assessment. Traditionally, acute toxicity testing requires substantial numbers of animals and uses death as an apical end point which requires large number of experimental animals and takes days to obtain the results. Application of fish cell lines can provide a possible alternative to traditional acute toxicity test. However, cell-based assay may show several orders of magnitude less sensitive than the animal-based results. Some changes in cellular organelles could have the sensitivity in responding to pollutants. For this reason, a cell-based fluorescent assay was developed using rabbitfish fin cells as model and fluorescent probes to visualize the subcellular responses. The subcellular responses under sewage effluents exposure were captured by confocal microscopy. These cellular responses were quantified and several subcellular indexes represented the toxicity. The optimized assay was then used to determine the toxicity of sewage effluents displaying toxicity to aquatic animals. Through visualization of cellular responses, we further screened several cellular indexes including lysosomal number and mitochondrial size which had a good linear relationship with sewage effluents content. Besides, these cellular indexes had a good agreement between in vivo and in vitro results, demonstrating the accuracy of cellular parameters in representing the acute toxicity of sewage effluents. The developed cell-based testing assay presented here has the characteristics of a faster and cheaper method, which does not require complex facilities and large amount of testing samples. The developed assay may be further applied in predicting the acute toxicity to sewage effluents.</t>
  </si>
  <si>
    <t>[Wang, Wen-Xiong] City Univ Hong Kong, Sch Energy &amp; Environm, Kowloon, Hong Kong, Peoples R China; [Wang, Wen-Xiong] City Univ Hong Kong, State Key Lab Marine Pollut, Kowloon, Hong Kong, Peoples R China; City Univ Hong Kong, Shenzhen Res Inst, Res Ctr Oceans &amp; Human Hlth, Shenzhen 518057, Peoples R China</t>
  </si>
  <si>
    <t>City University of Hong Kong; City University of Hong Kong; Shenzhen Research Institute, City University of Hong Kong; City University of Hong Kong</t>
  </si>
  <si>
    <t>10.1016/j.scitotenv.2023.167528</t>
  </si>
  <si>
    <t>Y1CI8</t>
  </si>
  <si>
    <t>WOS:001102712900001</t>
  </si>
  <si>
    <t>Svigruha, R; Molnár, L; Elekes, K; Pirger, Z; Fodor, I</t>
  </si>
  <si>
    <t>Svigruha, Reka; Molnar, Laszlo; Elekes, Karoly; Pirger, Zsolt; Fodor, Istvan</t>
  </si>
  <si>
    <t>Effect of tributyltin exposure on the embryonic development and behavior of a molluscan model species, Lymnaea stagnalis</t>
  </si>
  <si>
    <t>Tributyltin; Mollusk; Lymnaea stagnalis; Tin accumulation; Development; Heart rate; Feeding; Locomotion</t>
  </si>
  <si>
    <t>POND SNAIL; CHRONIC TOXICITY; CARDIAC ACTIVITY; REPRODUCTION; MUSSEL; EMBRYOGENESIS; EXPRESSION; SEROTONIN; IMPOSEX; CADMIUM</t>
  </si>
  <si>
    <t>The presence of the organotin compound tributyltin (TBT) in aquatic ecosystems has been a serious environmental problem for decades. Although a number of studies described the negative impact of TBT on mollusks at different levels, investigations connected to its potential effects during embryogenesis have been neglected. For a better understanding of the impact of TBT on mollusks, in the present study, embryos of previously TBT-treated or not treated specimens of the great pond snail (Lymnaea stagnalis) were exposed to 100 ng L- 1 TBT from egglaying (single-cell stage) until hatching. According to our results, TBT significantly delayed hatching and caused shell malformation. TBT transiently decreased the locomotion (gliding) and also reduced the feeding activity, demonstrating for the first time that this compound can alter the behavioral patterns of molluscan embryos. The heart rate was also significantly reduced, providing further support that cardiac activity is an excellent indicator of metal pollution in molluscan species. At the histochemical level, tin was demonstrated for the first time in TBT-treated hatchlings with intensive reaction in the central nervous system, kidney, and hepatopancreas. Overall, the most notable effects were observed in treated embryos derived from TBT treated snails. Our findings indicate that TBT has detrimental effects on the development and physiological functions of Lymnaea embryos even at a sub-lethal concentration, potentially influencing their survival and fitness. Highlighting our observations, we have demonstrated previously unknown physiological changes (altered heart rate, locomotion, and feeding activity) caused by TBT, as well as visualized tin at the histochemical level in a molluscan species for the first time following TBT exposure. Further studies are in progress to reveal the cellular and molecular mechanisms underlying the physiological and behavioral changes described in the present study.</t>
  </si>
  <si>
    <t>[Svigruha, Reka; Molnar, Laszlo; Elekes, Karoly; Pirger, Zsolt; Fodor, Istvan] HUN REN Balaton Limnol Res Inst, Ecophysiol &amp; Environm Toxicol Res Grp, Tihany, Hungary</t>
  </si>
  <si>
    <t>Pirger, Z; Fodor, I (corresponding author), HUN REN Balaton Limnol Res Inst, Ecophysiol &amp; Environm Toxicol Res Grp, Tihany, Hungary.</t>
  </si>
  <si>
    <t>fodor.istvan@blki.hu</t>
  </si>
  <si>
    <t>Pirger, Zsolt/AAH-7907-2021</t>
  </si>
  <si>
    <t>Hungarian Academy of Sciences [BO/00521/24/08]; National Brain Project [NAP2022-I-10/2022]; Hungarian Scientific Research Fund [138039, 146787]; National Laboratory for Water Science and Water Security (HUN-REN BLRI) [RRF 2.3.1-21-2022-00008]; Sustainable Development and Technologies National Programme of the Hungarian Academy of Sciences [NP2022-II3/2022]; New National Excellence Program of the Ministry for Innovation and Technology from the source of the National Research, Development and Innovation Fund [UNKP-23-4-II-PE-1]</t>
  </si>
  <si>
    <t>Hungarian Academy of Sciences(Hungarian Academy of Sciences); National Brain Project; Hungarian Scientific Research Fund(Orszagos Tudomanyos Kutatasi Alapprogramok (OTKA)); National Laboratory for Water Science and Water Security (HUN-REN BLRI); Sustainable Development and Technologies National Programme of the Hungarian Academy of Sciences; New National Excellence Program of the Ministry for Innovation and Technology from the source of the National Research, Development and Innovation Fund</t>
  </si>
  <si>
    <t>This work was supported by the Janos Bolyai Research Scholarship of the Hungarian Academy of Sciences (#BO/00521/24/08, I.F.), the National Brain Project (#NAP2022-I-10/2022, Z.P.), the Hungarian Scientific Research Fund (#138039, Z.P.; #146787, I.F.), the National Laboratory for Water Science and Water Security (#RRF 2.3.1-21-2022-00008, HUN-REN BLRI), the Sustainable Development and Technologies National Programme of the Hungarian Academy of Sciences (#NP2022-II3/2022, HUN-REN BLRI), and the New National Excellence Program of the Ministry for Innovation and Technology from the source of the National Research, Development and Innovation Fund (UNKP-23-4-II-PE-1, R.S.) .</t>
  </si>
  <si>
    <t>10.1016/j.cbpc.2024.109996</t>
  </si>
  <si>
    <t>C7F0R</t>
  </si>
  <si>
    <t>WOS:001290979300001</t>
  </si>
  <si>
    <t>El-Sorogy, AS; Youssef, M; Al-Kahtany, K; Al-Otaiby, N</t>
  </si>
  <si>
    <t>El-Sorogy, Abdelbaset S.; Youssef, Mohamed; Al-Kahtany, Khaled; Al-Otaiby, Naif</t>
  </si>
  <si>
    <t>Assessment of arsenic in coastal sediments, seawaters and molluscs in the Tarut Island, Arabian Gulf, Saudi Arabia</t>
  </si>
  <si>
    <t>Arsenic; Coastal sediments; Seawaters; Molluscs; Tarut island; Arabian gulf; Saudi Arabia</t>
  </si>
  <si>
    <t>HEAVY-METAL CONTAMINATION; SURFICIAL SEDIMENTS; MARINE-ENVIRONMENT; TRACE-METALS; POLLUTION; ENRICHMENT; ELEMENTS; SURFACE; WATER; SEA</t>
  </si>
  <si>
    <t>In order to assess arsenic on the Tarut coast, Saudi Arabian Gulf, 38 sediment samples, 26 seawater samples and 40 gastropod and bivalve specimens were collected for analyses by Inductively Coupled Plasma-Mass Spectrometer. The Enrichment Factor (EF), the Geoaccumulation Index (Igeo) and the Contamination Factor (CF) indicated that coastal sediments of Tarut Island are severely enriched, strongly polluted and very highly contaminated with arsenic as a result of anthropogenic inputs. Comparison with arsenic in coastal sediments, seawaters and molluscs in the Red Sea, the Arabian Gulf and abroad coasts suggested that the studied samples have higher concentrations of As. The suggested natural sources of arsenic in the study area are the weathering and decomposition of neighboring deserts. The anthropogenic sources include the land reclamation, petrochemical industries, boat exhaust emissions, oil leakage, desalination plants and sewage effluents. These anthropogenic sources are the dominant sources of As in the study area and mostly came from Al Jubail industrial city to the north. (C) 2015 Elsevier Ltd. All rights reserved.</t>
  </si>
  <si>
    <t>[El-Sorogy, Abdelbaset S.; Youssef, Mohamed; Al-Kahtany, Khaled; Al-Otaiby, Naif] King Saud Univ, Coll Sci, Dept Geol &amp; Geophys, Riyadh 11451, Saudi Arabia; [El-Sorogy, Abdelbaset S.] Zagazig Univ, Fac Sci, Dept Geol, Zagazig, Egypt; [Youssef, Mohamed] South Valley Univ, Fac Sci, Dept Geol, Qina, Egypt</t>
  </si>
  <si>
    <t>Youssef, Mohamed/AAA-2918-2022; El-Sorogy, Abdelbaset/C-9445-2014; alkahtany, khalid/AFB-7640-2022; Youssef, Mohamed/C-9389-2014</t>
  </si>
  <si>
    <t>Youssef, Mohamed/0000-0001-6465-6293; El-Sorogy, Abdelbaset/0000-0003-0283-1433</t>
  </si>
  <si>
    <t>National Plan for Science, Technology and Innovation (MAARIFAH), King Abdulaziz City for Science and Technology, Kingdom of Saudi Arabia [12- ENV2805-02]</t>
  </si>
  <si>
    <t>This Project was funded by the National Plan for Science, Technology and Innovation (MAARIFAH), King Abdulaziz City for Science and Technology, Kingdom of Saudi Arabia, Award Number (12- ENV2805-02).</t>
  </si>
  <si>
    <t>10.1016/j.jafrearsci.2015.10.001</t>
  </si>
  <si>
    <t>CZ9JG</t>
  </si>
  <si>
    <t>WOS:000367413300005</t>
  </si>
  <si>
    <t>Basallote, MD; Rodríguez-Romero, A; Blasco, J; DelValls, A; Riba, I</t>
  </si>
  <si>
    <t>Basallote, M. D.; Rodriguez-Romero, A.; Blasco, J.; DelValls, A.; Riba, I.</t>
  </si>
  <si>
    <t>Lethal effects on different marine organisms, associated with sediment-seawater acidification deriving from CO2 leakage</t>
  </si>
  <si>
    <t>Carbon capture and storage (CCS); pH; Toxicity test; Seawater; Sediment; Sediment elutriates</t>
  </si>
  <si>
    <t>EARLY-LIFE-STAGES; ANTHROPOGENIC CARBON; LITTORAL ECOSYSTEMS; HEAVY-METALS; TOXICITY; QUALITY; SITE; FISH; PH; ADAPTATION</t>
  </si>
  <si>
    <t>CO2 leakages during carbon capture and storage in sub-seabed geological structures could produce potential impacts on the marine environment. To study lethal effects on marine organisms attributable to CO2 seawater acidification, a bubbling CO2 system was designed enabling a battery of different tests to be conducted, under laboratory conditions, employing various pH treatments (8.0, 7.5, 7.0, 6.5, 6.0, and 5.5). Assays were performed of three exposure routes (seawater, whole sediment, and sediment elutriate). Individuals of the clam (Ruditapes philippinarum) and early-life stages of the gilthead seabream, Sparus aurata, were exposed for 10 days and 72 h, respectively, to acidified clean seawater. S. aurata larvae were also exposed to acidified elutriate samples, and polychaete organisms of the specie Hediste diversicolor and clams R. philippinarum were also exposed for 10 days to estuarine whole sediment. In the fish larvae elutriate test, 100 % mortality was recorded at pH 6.0, after 48 h of exposure. Similar results were obtained in the clam sediment exposure test. In the other organisms, significant mortality (p &lt; 0.05) was observed at pH values lower than 6.0. Very high lethal effects (calculating L[H+]50, defined as the H+ concentration that causes lethal effects in 50 % of the population exposed) were detected in association with the lowest pH treatment for all the species. The implication of these results is that a severe decrease of seawater pH would cause high mortality in marine organisms of several different kinds and life stages. The study addresses the potential risks incurred due to CO2 leakages in marine environments.</t>
  </si>
  <si>
    <t>[Basallote, M. D.; DelValls, A.; Riba, I.] Univ Cadiz, Dept Quim Fis, Fac Ciencias Mar &amp; Ambientales, UNESCO UNITWIN Wicop, Cadiz 11510, Spain; [Rodriguez-Romero, A.; Blasco, J.] Inst Ciencias Marinas Andalucia CSIC, Dept Ecol &amp; Gest Costera, Cadiz 11510, Spain; [Blasco, J.] Unidad Asociada Oceanog Interdisciplinar UCA CSIC, Cadiz 11510, Spain</t>
  </si>
  <si>
    <t>Universidad de Cadiz; Consejo Superior de Investigaciones Cientificas (CSIC); CSIC - Instituto de Ciencias Marinas de Andalucia (ICMAN); Consejo Superior de Investigaciones Cientificas (CSIC)</t>
  </si>
  <si>
    <t>Basallote, MD (corresponding author), Univ Cadiz, Dept Quim Fis, Fac Ciencias Mar &amp; Ambientales, UNESCO UNITWIN Wicop, Campus Excelencia Int Mar CEIMAR,Poligono Rio San, Cadiz 11510, Spain.</t>
  </si>
  <si>
    <t>dolores.basallote@uca.es</t>
  </si>
  <si>
    <t>Rodríguez, Araceli/GXM-7707-2022; Basallote, M/P-3104-2019; Del Valls, T. Angel/K-9664-2014; Blasco, Julian/A-5319-2008</t>
  </si>
  <si>
    <t>Basallote, M Dolores/0000-0003-2011-3806; Riba, Inmaculada/0000-0003-1271-2534; Del Valls, T. Angel/0000-0001-7674-9278; Blasco, Julian/0000-0002-9750-383X; Rodriguez-Romero, Araceli/0000-0002-6718-1040</t>
  </si>
  <si>
    <t>10.1007/s11356-012-0899-8</t>
  </si>
  <si>
    <t>WOS:000306790200010</t>
  </si>
  <si>
    <t>Faggio, C; Pagano, M; Alampi, R; Vazzana, I; Felice, MR</t>
  </si>
  <si>
    <t>Faggio, Caterina; Pagano, Maria; Alampi, Roberto; Vazzana, Irene; Felice, Maria Rosa</t>
  </si>
  <si>
    <t>Cytotoxicity, haemolymphatic parameters, and oxidative stress following exposure to sub-lethal concentrations of quaternium-15 in Mytilus galloprovincialis</t>
  </si>
  <si>
    <t>Quaternium-15; Cytotoxicity; Haemolymphatic parameters; Oxidative stress; Mytilus galloprovincialis</t>
  </si>
  <si>
    <t>CLAM RUDITAPES-PHILIPPINARUM; LYSOSOMAL MEMBRANE STABILITY; WASTE-WATER TREATMENT; PATCH TEST REACTIONS; VOLUME DECREASE RVD; REACTIVE OXYGEN; MARINE MUSSELS; HEAVY-METALS; FORMALDEHYDE; BIOMARKERS</t>
  </si>
  <si>
    <t>The presence of a xenobiotic in the environment can often represent a risk for living organisms. Quaternium-15, a preservative, is one of the most used substances and is added to several cosmetics and other industrial products. For this reason,kwowing the bio-indicator of the marine environment, the toxicological effects potentially elicited by this preservative on the marine invertebrate Mytilus gallo-provincialis were studied. The results of this work confirm that quaternium-15, used at 0.1 and 1 mg/l concentrations, while metabolized in M. galloprovincialis, causes a decrease in cellular viability, and remarkable changes to the defense and antioxidant system. In fact, haemocyte viability is dramatically reduced, and haemolymphatic parameter measurements indicate a stress on the animal. Moreover, an increase in radical species production, in Thiobarbituric Acid Reactive Species (TBARS) concentration, and in the Heat Shock Protein 70 amount, were observed in hepatopancreas. These changes suggest that the antioxidant systems are activated to overwhelm the oxidative damage induced by quaternium-15. Quaternium-15 jeopardizes both the defense and antioxidant systems. These results provide essential information with the biological fate of quaternium-15 in aquatic organisms, and confirm that biomarkers represent an important tool for modern environmental assessments as they can help with the prediction of pollutants involved in the monitoring program. (C) 2016 Elsevier B.V. All rights reserved.</t>
  </si>
  <si>
    <t>[Faggio, Caterina; Pagano, Maria; Alampi, Roberto; Felice, Maria Rosa] Univ Messina, Dept Chem Biol Pharmaceut &amp; Environm Sci, Viale Ferdinando Stagno dAlcontres 31, I-98166 Sant Agata Di Messina, Italy; [Vazzana, Irene] Expt Zooprofilat Inst Sicily A Mirri, Palermo, Italy</t>
  </si>
  <si>
    <t>Faggio, C (corresponding author), Univ Messina, Dept Chem Biol Pharmaceut &amp; Environm Sci, Viale Ferdinando Stagno dAlcontres 31, I-98166 Sant Agata Di Messina, Italy.</t>
  </si>
  <si>
    <t>Pagano, Maria/HQY-2377-2023; Vazzana, Irene/P-6774-2015</t>
  </si>
  <si>
    <t>felice, maria rosa/0000-0002-4224-2345; Vazzana, Irene/0000-0001-5489-5573</t>
  </si>
  <si>
    <t>10.1016/j.aquatox.2016.10.010</t>
  </si>
  <si>
    <t>ED3VW</t>
  </si>
  <si>
    <t>WOS:000388777600026</t>
  </si>
  <si>
    <t>Ibbotson, J; Ibhadon, AO</t>
  </si>
  <si>
    <t>Ibbotson, J.; Ibhadon, A. O.</t>
  </si>
  <si>
    <t>Origin and analysis of aliphatic and cyclic hydrocarbons in northeast United Kingdom coastal marine sediments</t>
  </si>
  <si>
    <t>Sediments; GC-MS; PAHs; Organic; Solvent extraction; n-Alkanes; Cyclic alkanes</t>
  </si>
  <si>
    <t>POLYCYCLIC AROMATIC-HYDROCARBONS; HEAVY-METALS; POLLUTANTS; PAHS; DEPOSITION; TRANSPORT; MUSSELS</t>
  </si>
  <si>
    <t>Sediment samples from multiple sites in the North Sea Coast of England were solvent extracted and analysed by a quadruple gas chromatograph equipped with a mass spectrometer detector in order to determine the concentration and distribution of aliphatic and alicyclic n-alkanes Results indicate that most of the organic. species present in the sediment samples consisted of anthropogenically derived long chain aliphatic and Acyclic n-alkanes (C-n(10-15), (17,) (19-21) (24) (26) (27) (29) (30) (33) (35) (36) (43)). n-alkanols, n-alkanals, n-alkanones. esters as well as many volatile organic compounds (VOCs) Chemical composition of samples and relative concentration were found to vary both spatially and temporally on all scales. These variations are mainly attributable to spatial and temporal variations in source but also parameters such as rainfall, turbulence and micro-organism activity also account for the observed trends (C) 2010 Elsevier Ltd All rights reserved</t>
  </si>
  <si>
    <t>[Ibbotson, J.; Ibhadon, A. O.] Univ Hull, Fac Sci &amp; Environm, Ctr Environm &amp; Marine Sci, Scarborough YO11 3AZ, England</t>
  </si>
  <si>
    <t>University of Hull</t>
  </si>
  <si>
    <t>Ibhadon, AO (corresponding author), Univ Hull, Fac Sci &amp; Environm, Ctr Environm &amp; Marine Sci, Scarborough Campus, Scarborough YO11 3AZ, England.</t>
  </si>
  <si>
    <t>ibhadon, ALEX/IKG-6266-2023</t>
  </si>
  <si>
    <t>10.1016/j.marpolbul.2010.03.024</t>
  </si>
  <si>
    <t>624YG</t>
  </si>
  <si>
    <t>WOS:000279857600034</t>
  </si>
  <si>
    <t>Claisse, D; Cossa, D; Bretaudeau-Sanjuan, J; Touchard, SG; Bombled, B</t>
  </si>
  <si>
    <t>Methylmercury in molluscs along the French coast</t>
  </si>
  <si>
    <t>AQUEOUS-PHASE ETHYLATION; TRANSPLANTED MUSSELS; MERCURY; CONTAMINATION; MYTILUS</t>
  </si>
  <si>
    <t>Ifremer; Nantes Universite</t>
  </si>
  <si>
    <t>IFREMER, Ctr Nantes, BP 21005, F-44311 Nantes 3, France.</t>
  </si>
  <si>
    <t>10.1016/S0025-326X(01)00036-4</t>
  </si>
  <si>
    <t>430JT</t>
  </si>
  <si>
    <t>WOS:000168571300022</t>
  </si>
  <si>
    <t>Oliveira, SS; Alves, CN; Morte, ESB; Santos, AD; Araujo, RGO; Santos, DCMB</t>
  </si>
  <si>
    <t>Oliveira, Sidimar Santos; Alves, Camilla Nascimento; Boa Morte, Elane Santos; Santos Junior, Anibal de Freitas; Oliveira Araujo, Rennan Geovanny; Muniz Batista Santos, Daniele Cristina</t>
  </si>
  <si>
    <t>Determination of essential and potentially toxic elements and their estimation of bioaccessibility in honeys</t>
  </si>
  <si>
    <t>Honey; Sample preparation; Mineral composition; Bioaccessibility; Multivariate data analysis; ICP-OES</t>
  </si>
  <si>
    <t>ATOMIC-ABSORPTION; SAMPLE PREPARATION; TRACE-ELEMENTS; EMISSION-SPECTROMETRY; MINERAL-CONTENT; HEAVY-METALS; BEE HONEY; POLLUTION; ORIGIN</t>
  </si>
  <si>
    <t>In this work, the evaluation of the mineral profile and estimation of the bioaccessibility of essential and potentially toxic elements in honey samples was proposed. The experimental design and multivariate data analysis were applied as tool chemometrics. The acidic honey decomposition procedure using a cold finger digester block was proposed for analysis by inductively coupled plasma optical emission spectrometry (ICP OES). The analytical method presented good precision ( &lt; 10%). The accuracy was confirmed through the analysis of a certified reference material (CRM) of tomato leaves (AGRO C1003a) and oyster tissue (NIST 1566b). The concentration ranges (in mg kg(-1) ) of the analytes quantified in honey samples were As ( &lt; LoQ, 3.25), B ( &lt; LoQ, 6.72), Ba ( &lt; LoQ, 0.25), Ca (28.4-216), Cd ( &lt; LoQ, 0.29), Cu ( &lt; LoQ, 0.29), Fe ( &lt; LoQ, 47.0), K (27.2-1210), Mg (2.82-96.0), Mn (0.17-4.62), Na (16.4-260), P ( &lt; LoQ, 128), Se ( &lt; LoQ, 0.45), Sr ( &lt; LoQ, 1.08), and Zn ( &lt; LoQ, 2.94). Higher concentrations of Cu and Zn were observed in dark and amber honeys. From the multivariate analysis of the data, it was verified that the samples of urban predominance presented higher mineral content than the samples of honey of predominance rural. The bioaccessibility estimation was performed using the in vitro extraction method using the simple bioaccessibility extraction test (SBET). The bands of the bioaccessible contents (in %) for the analytes were Ca ( &lt; LoQ, 21.4), Fe ( &lt; LoQ, 21.8), K (9.4-20.0), Mg (15.0-25.0), and Na ( &lt; LoQ, 20.2). These results provide relevant information about the mineral composition of honey based on the visual coloration, geographical origin and bioaccessible content of the analytes in the gastric phase, contributing to the control of honey quality.</t>
  </si>
  <si>
    <t>[Oliveira, Sidimar Santos; Alves, Camilla Nascimento; Oliveira Araujo, Rennan Geovanny; Muniz Batista Santos, Daniele Cristina] Univ Fed Bahia, Dept Quim Analit, BR-40170115 Salvador, BA, Brazil; [Boa Morte, Elane Santos] Inst Fed Educ Ciencia &amp; Tecnol, BR-48110000 Catu, BA, Brazil; [Santos Junior, Anibal de Freitas] Univ Estado Bahia, BR-41150000 Salvador, BA, Brazil</t>
  </si>
  <si>
    <t>Universidade Federal da Bahia; Instituto Federal do Sertao Pernambucano; Universidade do Estado Bahia</t>
  </si>
  <si>
    <t>Santos, DCMB (corresponding author), Univ Fed Bahia, Dept Quim Analit, BR-40170115 Salvador, BA, Brazil.</t>
  </si>
  <si>
    <t>dcmsantos@ufba.br</t>
  </si>
  <si>
    <t>SANTOS, DANIELE/AAI-9455-2021; Oliveira, Sidimar/A-3547-2017; de Freitas Santos Junior, Anibal/K-8937-2016</t>
  </si>
  <si>
    <t>de Freitas Santos Junior, Anibal/0000-0002-3022-0771; Oliveira, Sidimar/0000-0002-7057-4136; OLIVEIRA ARAUJO, RENNAN GEOVANNY/0000-0001-6955-8115</t>
  </si>
  <si>
    <t>Conselho Nacional de Desenvolvimento Cientifico e Tecnologico (CNPq, Brazil); Fundacao de Amparo Pesquisa do Estado da Bahia (FAPESB, Brazil); Programa de Apoio a Jovens Professores Doutores (PROPESQ, Edital PROPCl/PROPG, Brazil) [UFBA 004/2016]; Coordenacao de Aperfeicoamento de Pessoal de Nivel Superior, Brasil (CAPES, Brazil) [001]</t>
  </si>
  <si>
    <t>Conselho Nacional de Desenvolvimento Cientifico e Tecnologico (CNPq, Brazil)(Conselho Nacional de Desenvolvimento Cientifico e Tecnologico (CNPQ)); Fundacao de Amparo Pesquisa do Estado da Bahia (FAPESB, Brazil)(Fundacao de Amparo a Pesquisa do Estado da Bahia (FAPESB)); Programa de Apoio a Jovens Professores Doutores (PROPESQ, Edital PROPCl/PROPG, Brazil); Coordenacao de Aperfeicoamento de Pessoal de Nivel Superior, Brasil (CAPES, Brazil)</t>
  </si>
  <si>
    <t>This work was supported by Conselho Nacional de Desenvolvimento Cientifico e Tecnologico (CNPq, Brazil), Fundacao de Amparo Pesquisa do Estado da Bahia (FAPESB, Brazil), and Programa de Apoio a Jovens Professores Doutores (PROPESQ, Edital PROPCl/PROPG, UFBA 004/2016, Brazil) by providing scholarship, financial support, and infrastructure. This study was also financed in part by the Coordenacao de Aperfeicoamento de Pessoal de Nivel Superior, Brasil (CAPES, Brazil), Finance Code 001.</t>
  </si>
  <si>
    <t>10.1016/j.microc.2019.104221</t>
  </si>
  <si>
    <t>JO0AS</t>
  </si>
  <si>
    <t>WOS:000497250700015</t>
  </si>
  <si>
    <t>Arsalan, M; Khan, ZM; Sultan, M; Ali, I; Shakoor, A; Mahmood, MH; Ahmad, M; Shamshiri, RR; Imran, MA; Khalid, MU</t>
  </si>
  <si>
    <t>Arsalan, Muhammad; Khan, Zahid M.; Sultan, Muhammad; Ali, Imran; Shakoor, Aamir; Mahmood, Muhammad H.; Ahmad, Maqbool; Shamshiri, Redmond R.; Imran, Muhammad A.; Khalid, Muhammad U.</t>
  </si>
  <si>
    <t>EXPERIMENTAL INVESTIGATION OF A WASTEWATER TREATMENT SYSTEM UTILIZING MAIZE COB AS TRICKLING FILTER MEDIA</t>
  </si>
  <si>
    <t>Maize cob; trickling filter; wastewater; treatment; performance evaluation</t>
  </si>
  <si>
    <t>BIOLOGICAL AERATED FILTER; BIOTRICKLING FILTER; PERFORMANCE EVALUATION; OYSTER SHELL; HEAVY-METALS; REMOVAL; BIOFILM; NITROGEN; TRANSFORMATION; COMBINATION</t>
  </si>
  <si>
    <t>Requirement for the wastewater (WW) treatment has increased from the viewpoints of environmental safety and water shortage. The WW treatment is usually a costly process, however, trickling filter (TF) based WW treatment systems can be low-cost options. Therefore, maize cob trickling filter (MCTF) WW treatment system is designed and developed using indigenous materials. A TF based WW treatment system containing indigenous material can be easy to operate and more adaptable for domestic and industrial application. The operation of the MCTF system was studied for 140 days at different field loading rates varying 27, 37, 58 and 71 m(3)/m(2)/day (flow rate 50, 70, 108 and 132 m(3)/day) successfully. The obtained removal efficiency of biological oxygen demand (BOD) and chemical oxygen demand (COD) were accomplished between 74 to 84% and 72 to 83%, respectively. The observed solids removal was 32 to 65% for total suspended solids (TSS) and 33 to 45% for total dissolved solids (TDS). Furthermore; the study evaluates the MCTF media degradation on a weekly basis. Only 20.5 cm (17.5%) in MCTF media reduction was observed from its total height of 116 cm during entire evaluation period (140 days). The MCTF continued to operate without significant loss in performance. The MCTF system successfully treated the WW at field loadings/flow rates. The MCTF treatment system not only minimize the pollution load to the receiving environment but also helps to elevate the reusing potential of WW by providing relatively safe irrigation water supplement for agricultural lands.</t>
  </si>
  <si>
    <t>[Arsalan, Muhammad; Khan, Zahid M.; Sultan, Muhammad; Shakoor, Aamir; Mahmood, Muhammad H.] Bahauddin Zakariya Univ, Dept Agr Engn, Bosan Rd, Multan 60800, Pakistan; [Ali, Imran] Shenzhen Univ, Coll Chem &amp; Environm Engn, Dept Environm Sci &amp; Engn, Shenzhen 518060, Guangdong, Peoples R China; [Ali, Imran] Shenzhen Univ, Coll Phys &amp; Optoelect Engn, Minist Educ &amp; Guangdong Prov, Key Lab Optoelect Devices &amp; Syst, Shenzhen 518060, Peoples R China; [Ahmad, Maqbool] Mango Res Inst, Old Shujabad Rd, Multan 60000, Pakistan; [Shamshiri, Redmond R.] Leibniz Inst Agr Engn &amp; Bioecon, Max Eyth Allee 100, D-14469 Potsdam, Germany; [Imran, Muhammad A.] China Univ Geosci Beijing, Beijing Key Lab Water Resources &amp; Environm Engn, Beijing, Peoples R China; [Khalid, Muhammad U.] In Serv Agr Training Inst, Punjab Agr Dept, Rahim Yar Khan, Pakistan</t>
  </si>
  <si>
    <t>Bahauddin Zakariya University; Shenzhen University; Shenzhen University; Leibniz Institut fur Agrartechnik und Biookonomie (ATB); China University of Geosciences</t>
  </si>
  <si>
    <t>Khan, ZM (corresponding author), Bahauddin Zakariya Univ, Dept Agr Engn, Bosan Rd, Multan 60800, Pakistan.</t>
  </si>
  <si>
    <t>zahidmk@bzu.edu.pk</t>
  </si>
  <si>
    <t>Shamshiri, Redmond/ABG-1486-2020; Arsalan, Muhammad/KRP-8755-2024; Mahmood Khan, Zahid/HKN-2912-2023; Shakoor, Aamir/B-9453-2016; Ali, Imran/HOC-6956-2023; Sultan, Muhammad/AAE-7883-2020</t>
  </si>
  <si>
    <t>Ali, Imran/0000-0002-1266-4336; Sultan, Muhammad/0000-0002-7301-5567</t>
  </si>
  <si>
    <t>Higher Education Commission (HEC) of Pakistan</t>
  </si>
  <si>
    <t>Higher Education Commission (HEC) of Pakistan(Higher Education Commission of Pakistan)</t>
  </si>
  <si>
    <t>The authors acknowledge financial support from Higher Education Commission (HEC) of Pakistan under research project titled: `Development and Adoption of Wastewater Treatment Technologies for Safe Re-Use of Municipal Wastewater and Associated Bio-Solids in Multan region'.</t>
  </si>
  <si>
    <t>QX2ME</t>
  </si>
  <si>
    <t>WOS:000629181200016</t>
  </si>
  <si>
    <t>Visha, A; Lau, A; Yang, C; Bhavsar, SP; Depew, D; Matos, L; Ni, F; Arhonditsis, GB</t>
  </si>
  <si>
    <t>Visha, Ariola; Lau, Alexander; Yang, Cindy; Bhavsar, Satyendra P.; Depew, David; Matos, Laud; Ni, Felicity; Arhonditsis, George B.</t>
  </si>
  <si>
    <t>A probabilistic assessment of the impairment status of Areas of Concern in the Laurentian Great Lakes: How far are we from delisting the Hamilton Harbour, Lake Ontario, Canada?</t>
  </si>
  <si>
    <t>Bayesian inference; Fish contamination; Eutrophication; Ecosystem resilience; Probabilistic criteria; Decision making</t>
  </si>
  <si>
    <t>FISH CONSUMPTION ADVISORIES; WATER-QUALITY; BAYESIAN CALIBRATION; TEMPORAL TRENDS; POLYCHLORINATED BIPHENYL; ZEBRA MUSSELS; MERCURY; CONTAMINATION; MODELS; RISK</t>
  </si>
  <si>
    <t>Environmental policy analysis aims to identify the important drivers of degradation, elucidate sources of controversy, and put the necessary risk assessment tools in place to prepare for the unexpected. It is thus critical to develop risk assessment frameworks that ensure both continuity in the decision-making process, but also iterative adjustments to accommodate the non-stationarity of open environmental systems or the intrinsic uncertainty reflecting our incomplete knowledge. In this context, we reappraise the idea of probabilistic water quality criteria as a pragmatic way to accommodate the frequently experienced situation when the prevailing conditions may not always be favourable, even if the central tendency of the system is on par with what is defined as an acceptable ecosystem state. Our case study is the Hamilton Harbour, a large embayment located at the western end of Lake Ontario, with a long history of environmental pollution problems. Based on a probabilistic framework, our basic objective is to provide a comprehensive assessment of the current state of eutrophication and fish contamination in the system. Notwithstanding the significant improvements brought about by the remedial measures in the area, our analysis shows that the system continues to experience excessively high exceedance frequencies of the water quality goals, as well as of the consumption advisory PCB benchmarks of eight sport fish species examined. Specifically, 95.6% of the measured TP concentrations exceeded the proposed threshold level of 20 ?g L-1, while 43.9% of the measured values exceeded the proposed chlorophyll a targeted value of 10 ?g L-1. Likewise, the recent THg exceedance frequencies of the advisory benchmark were consistently very low, except from freshwater drum, but we still found high frequency violations of the advisory PCB benchmark across all fish species examined. These results clearly suggest that the Hamilton Harbour is still a long way off from being delisted as an Area of Concern. While our modelling analysis does not negate -in principle- the optimism that the goal of restoring environmental health of the system is achievable, it cautions that there are many ?ecological unknowns? that may determine the degree and timing of restoration. The present framework encapsulates one of the founding concepts of the Hamilton Harbour remediation, whereby management strategies and quality goals heavily rely on continuous research and monitoring and dynamically adapt to the contemporary changes of the ecological conditions.</t>
  </si>
  <si>
    <t>[Visha, Ariola; Lau, Alexander; Yang, Cindy; Bhavsar, Satyendra P.; Ni, Felicity; Arhonditsis, George B.] Univ Toronto, Dept Phys &amp; Environm Sci, Toronto, ON M1C 1A4, Canada; [Bhavsar, Satyendra P.] Ontario Minist Environm, Conservat &amp; Pk Environm Monitoring &amp; Reporting Br, Toronto, ON M9P 3V6, Canada; [Depew, David] Canada Ctr Inland Waters, Environm &amp; Climate Change Canada, Burlington, ON L7R 4A6, Canada; [Matos, Laud] Environm &amp; Climate Change Canada, Great Lakes Areas Concern, Toronto, ON M3H 5T4, Canada</t>
  </si>
  <si>
    <t>University of Toronto; Environment &amp; Climate Change Canada; Canada Centre for Inland Waters (CCIW); Environment &amp; Climate Change Canada</t>
  </si>
  <si>
    <t>Arhonditsis, George/AAI-7897-2020</t>
  </si>
  <si>
    <t>Arhonditsis, George/0000-0001-5359-8737; Depew, David/0000-0003-2759-6759</t>
  </si>
  <si>
    <t>Government of Canada through the Department of the Environment, Canada [GCXE18P102]</t>
  </si>
  <si>
    <t>Government of Canada through the Department of the Environment, Canada</t>
  </si>
  <si>
    <t>This project was undertaken with the financial support of the Government of Canada provided through the Department of the Environment, Canada (Project Number GCXE18P102). The authors are grateful to all the scientists and technical personnel, who have been involved with the development of the water quality and fish contamination datasets in the Hamilton Harbour. Special thanks to Duncan Boyd, John Hall, Kristin O'Connor, Julie Vanden Byllaardt, Cheriene Vieira, Sarah Day, and Tanya Long for their support throughout this project.</t>
  </si>
  <si>
    <t>10.1016/j.ecoinf.2021.101271</t>
  </si>
  <si>
    <t>RM7PO</t>
  </si>
  <si>
    <t>WOS:000639851100002</t>
  </si>
  <si>
    <t>Fu, LF; Pei, J; Zhang, YY; Cheng, XG; Long, SX; Zeng, LX</t>
  </si>
  <si>
    <t>Fu, Lingfang; Pei, Jie; Zhang, Yuyu; Cheng, Xiaogu; Long, Shenxing; Zeng, Lixi</t>
  </si>
  <si>
    <t>Polybrominated diphenyl ethers and alternative halogenated flame retardants in mollusks from the Chinese Bohai Sea: Levels and interspecific differences</t>
  </si>
  <si>
    <t>Halogenated flame retardant; Mollusk; Bohai Sea; Interspecific difference; Influence factor</t>
  </si>
  <si>
    <t>MARINE FOOD-WEB; TOTAL MERCURY CONTAMINATION; WASTE RECYCLING SITE; PEARL RIVER ESTUARY; ORGANIC POLLUTANTS; POLYCHLORINATED-BIPHENYLS; SPATIAL-DISTRIBUTION; TROPHIC TRANSFER; COASTAL SITES; YELLOW SEA</t>
  </si>
  <si>
    <t>Polybrominated diphenyl ethers (PBDEs) and alternative halogenated flame retardants (AHFRs) were measured in eleven mollusk species collected from the Chinese Bohai Sea. PBDEs and AHFRs were detected in all species, and their average total concentrations were in the range of 22.5-355 and 10.0-84.3 ng/g lipid weight, respectively. Decabromodiphenyl ether (BDE-209) and decabromodiphenylethane (DBDPE) were the dominant halogenated flame retardants (HFRs), contributing 22.5% to 73.6% and 3.1% to 38.3% of the total HFRs, respectively. The levels of PBDEs and AHFRs were moderate to high from a global perspective. Interspecific differences in the accumulation of PBDEs and AHFRs were characterized by heat map and cluster analysis. Composition profile differences were also observed, with higher proportions of AHFRs in gastropods than in bivalves. These species-specific differences in concentrations and profiles in mollusks were attributed to different species traits, including feeding habit, trophic level, and metabolic potential.</t>
  </si>
  <si>
    <t>[Fu, Lingfang; Pei, Jie; Zhang, Yuyu; Long, Shenxing; Zeng, Lixi] Jinan Univ, Guangdong Key Lab Environm Pollut &amp; Hlth, Guangzhou Key Lab Environm Exposure &amp; Hlth, Sch Environm, Guangzhou 510632, Guangdong, Peoples R China; [Cheng, Xiaogu] Guangzhou Res Inst Environm Protect, Guangzhou 510620, Guangdong, Peoples R China</t>
  </si>
  <si>
    <t>Fu, LF; Zeng, LX (corresponding author), Jinan Univ, Guangdong Key Lab Environm Pollut &amp; Hlth, Guangzhou Key Lab Environm Exposure &amp; Hlth, Sch Environm, Guangzhou 510632, Guangdong, Peoples R China.</t>
  </si>
  <si>
    <t>jueduizhenque@163.com; lxzeng@juu.edu.cn</t>
  </si>
  <si>
    <t>Zhang, Yuyu/KSM-3060-2024</t>
  </si>
  <si>
    <t>National Natural Science Foundation of China [41522304, 21577142]</t>
  </si>
  <si>
    <t>This work was supported by the National Natural Science Foundation of China (41522304, 21577142).</t>
  </si>
  <si>
    <t>10.1016/j.marpolbul.2019.03.056</t>
  </si>
  <si>
    <t>IH2IX</t>
  </si>
  <si>
    <t>WOS:000474319500064</t>
  </si>
  <si>
    <t>Sany, SBT; Hashim, R; Rezayi, M; Salleh, A; Rahman, MA; Safari, O; Sasekumar, A</t>
  </si>
  <si>
    <t>Sany, Seyedeh Belin Tavakoly; Hashim, Rosli; Rezayi, Majid; Salleh, Aishah; Rahman, Mohammad Azizur; Safari, Omid; Sasekumar, A.</t>
  </si>
  <si>
    <t>Human health risk of polycyclic aromatic hydrocarbons from consumption of blood cockle and exposure to contaminated sediments and water along the Klang Strait, Malaysia</t>
  </si>
  <si>
    <t>Toxicity assessment; Carcinogenic risk for human consumption; PAHs; Blood cockle (Anadara granosa); Malaysia</t>
  </si>
  <si>
    <t>ANADARA-GRANOSA; HEAVY-METALS; PAHS; POLLUTION; ESTUARY; METHYLAMINE; MUSSELS; GULF; SOIL</t>
  </si>
  <si>
    <t>The concentration of carcinogenic poly aromatic hydrocarbons (c-PAHs) present in water and sediment of Klang Strait as well as in the edible tissue of blood cockle (Anadara granosa) was investigated. The human health risk of c-PAHs was assessed in accordance with the standards of the United States Environmental Protection Agency (US EPA). The cancer risks of c-PAHs to human are expected to occur through the consumption of blood cockles or via gastrointestinal exposure to polluted sediments and water in Kalng Strait. The non-carcinogenic risks that are associated with multiple pathways based on ingestion rate and contact rates with water were higher than the US EPA safe level at almost all stations, but the non-carcinogenic risks for eating blood cockle was below the level of US EPA concern. A high correlation between concentrations of c-PAHs in different matrices showed that the bioaccumulation of c-PAHs by blood cockles could be regarded as a potential health hazard for the consumers. (C) 2014 Elsevier Ltd. All rights reserved.</t>
  </si>
  <si>
    <t>[Sany, Seyedeh Belin Tavakoly; Hashim, Rosli; Salleh, Aishah; Sasekumar, A.] Univ Malaya, Inst Biol Sci, Kuala Lumpur 50603, Malaysia; [Rezayi, Majid] Univ Malaya, Fac Sci, Dept Chem, Kuala Lumpur 50603, Malaysia; [Sany, Seyedeh Belin Tavakoly; Rezayi, Majid] Food Sci &amp; Technol Res Inst, ACECR Mashhad Branch, Food Qual &amp; Safety Res Dept, Mashhad 917751376, Iran; [Rahman, Mohammad Azizur] UTS, Sch Environm, Broadway, NSW 2007, Australia; [Safari, Omid] Ferdowsi Univ Mashhad, Fac Nat Resources &amp; Environm, Mashhad, Iran</t>
  </si>
  <si>
    <t>Universiti Malaya; Universiti Malaya; University of Technology Sydney; Ferdowsi University Mashhad</t>
  </si>
  <si>
    <t>Sany, SBT (corresponding author), Univ Malaya, Inst Biol Sci, Kuala Lumpur 50603, Malaysia.</t>
  </si>
  <si>
    <t>belintavakoli332@gmail.com</t>
  </si>
  <si>
    <t>rezayi, majid/AAA-8972-2020; Sany, Seyedeh/B-5876-2019; Rahman, M/F-4639-2011; Hashim, Rosli/A-8555-2010; A., sasekumar/ABA-5212-2020; Safari, Omid/U-8155-2017; Safari, Omid/G-1983-2016</t>
  </si>
  <si>
    <t>Safari, Omid/0000-0003-1610-4755; Safari, Omid/0000-0001-8378-8291; Tavakoly Sany, Seyedeh Belin/0000-0002-7891-4449; Rahman, M Azizur/0000-0002-8065-0286</t>
  </si>
  <si>
    <t>University Malaya [UM.C/625/1/HIR/162, RP004A-SUS]</t>
  </si>
  <si>
    <t>University Malaya(Universiti Malaya)</t>
  </si>
  <si>
    <t>The authors' gratitude goes to support of University Malaya High Impact Research (HIR) grant with project number UM.C/625/1/HIR/162 and University Malaya Research Grant (RP004A-SUS).</t>
  </si>
  <si>
    <t>10.1016/j.marpolbul.2014.05.004</t>
  </si>
  <si>
    <t>AL0GF</t>
  </si>
  <si>
    <t>WOS:000338804700043</t>
  </si>
  <si>
    <t>Xie, MW; Wang, WX</t>
  </si>
  <si>
    <t>Xie, Minwei; Wang, Wen-Xiong</t>
  </si>
  <si>
    <t>Contrasting temporal dynamics of dissolved and colloidal trace metals in the Pearl River Estuary</t>
  </si>
  <si>
    <t>Behavior of trace metal; Estuarine mixing; Spatial and temporal variability; Colloids; Hydrology; Biogeochemical process</t>
  </si>
  <si>
    <t>ORGANIC-MATTER; DISTRIBUTIONS; SEDIMENTS; CHINA; COMPLEXATION; POLLUTION; CADMIUM; OYSTERS; DELTA; SIZE</t>
  </si>
  <si>
    <t>Metal contamination in the Pearl River Estuary (PRE) is persistent-, yet a comprehensive understanding of distribution and behavior of metals in surface water of this large, multi-source estuary is still lacking. In the present study, water samples from 24 sites spanning the whole estuary during the dry and wet season were collected and fractioned. Trace metal concentrations in samples were then determined following a preconcentration technique using Nobias Chelate-PA1 resin. Distribution of trace metals exhibited variability along and across estuary, as a result of estuarine mixing, external metal loadings, addition and removal. Behavior of metals was contrasting between the dry and wet seasons, exhibiting metal-specific intercorrelations and dynamics. Colloidal metals (Mn, Ni and Cd) were primarily present in upper estuary and areas affected by external contaminant loading. Colloidal Cu was the only metal that was ubiquitous in the estuary in both seasons. It showed a high affinity for small-size organic colloids (likely fulvic acid) during the dry season. Overall, the present study demonstrated the multi-source character of the PRE and that the behavior of trace metals was controlled by the coupling of hydrologic and geochemical processes, with anthropogenic perturbations. (C) 2020 Elsevier Ltd. All rights reserved.</t>
  </si>
  <si>
    <t>[Xie, Minwei] Xiamen Univ, Coll Environm &amp; Ecol, Xiamen 361102, Fujian, Peoples R China; [Xie, Minwei; Wang, Wen-Xiong] City Univ Hong Kong, Res Ctr Oceans &amp; Human Hlth, Shenzhen Res Inst, Shenzhen 518057, Peoples R China; [Wang, Wen-Xiong] City Univ Hong Kong, Sch Energy &amp; Environm, State Key Lab Marine Pollut, Kowloon, Hong Kong, Peoples R China</t>
  </si>
  <si>
    <t>Xiamen University; City University of Hong Kong; Shenzhen Research Institute, City University of Hong Kong; City University of Hong Kong</t>
  </si>
  <si>
    <t>Wang, WX (corresponding author), City Univ Hong Kong, Sch Energy &amp; Environm, State Key Lab Marine Pollut, Kowloon, Hong Kong, Peoples R China.</t>
  </si>
  <si>
    <t>Xie, Minwei/0000-0003-4359-8738; Wang, Wenxiong/0000-0001-9033-0158</t>
  </si>
  <si>
    <t>National Natural Science Foundation of China [21707113, 21777134]; Hong Kong Branch of Southern Marine Science and Engineering Guangdong Laboratory (Guangzhou) [SMSEGL20SC01]; TUYF fund [19SC01]</t>
  </si>
  <si>
    <t>National Natural Science Foundation of China(National Natural Science Foundation of China (NSFC)); Hong Kong Branch of Southern Marine Science and Engineering Guangdong Laboratory (Guangzhou); TUYF fund</t>
  </si>
  <si>
    <t>We thank Dr. Nanyan Weng, Dr. Guangyuan Lu, and Yunlong Li for their assistance in the field. M.X. specially thanks Dr. Qiao-Guo Tan for teaching how to use the software R. Dr. Graeme E. Batley, Dr. Brad Angel and three anonymous reviewers were greatly acknowledged for their valuable comments to improve the manuscript. This study was supported by National Natural Science Foundation of China (Grant No. 21707113 and 21777134), and the Hong Kong Branch of Southern Marine Science and Engineering Guangdong Laboratory (Guangzhou) (SMSEGL20SC01), and the TUYF fund (19SC01).</t>
  </si>
  <si>
    <t>10.1016/j.envpol.2020.114955</t>
  </si>
  <si>
    <t>WOS:000564557000018</t>
  </si>
  <si>
    <t>Butrimaviciene, L; Stankeviciute, M; Kalciene, V; Joksas, K; Barsiene, J</t>
  </si>
  <si>
    <t>Butrimaviciene, Laura; Stankeviciute, Milda; Kalciene, Virginija; Joksas, Kestutis; Barsiene, Janina</t>
  </si>
  <si>
    <t>Genotoxic, cytotoxic, and neurotoxic responses in Anodonta cygnea after complex metal mixture treatment</t>
  </si>
  <si>
    <t>Trace metals; Genotoxicity; Cytotoxicity; Anodonta cygnea; AChE; Accumulation</t>
  </si>
  <si>
    <t>GLUTATHIONE-S-TRANSFERASE; MOLECULAR BIOMARKERS ACETYLCHOLINESTERASE; MUSSELS MYTILUS-GALLOPROVINCIALIS; SITU EXPOSURE HISTORY; CADMIUM CHLORIDE; PERIPHERAL ERYTHROCYTES; DIGESTIVE GLAND; ZEBRA MUSSELS; DNA-DAMAGE; BIOACCUMULATION</t>
  </si>
  <si>
    <t>Environmental effects associated with the release of various metals even at maximum permissible concentrations (MPC) to the aquatic ecosystems are evident. In the present work, time-dependent increase in accumulated metals amount in gills of Anodonta cygnea after exposure to complex metal (Zn 0.1, Cu 0.01, Ni 0.01, Cr 0.01, Pb 0.005, and Cd 0.005 mg/L, MPC accepted for the inland waters in EU) mixture at various time points (1, 2, 4, 7, 14, and 28 days) was investigated. Statistically significant increase of Cu and Cd was determined in mussel's gills after 7-day exposure, in comparison to control group; moreover, significantly elevated concentration of Cu was measured and after 14-day treatment (in comparison to control and pre-exposure group). Concentrations of five (Cu, Ni, Cr, Pb, and Cd) out of 6 investigated metals were statistically increased in gills tissue after 28-day treatment. Moreover, complex metal mixture has demonstrated tissue- and time-dependent genotoxicity (Sigma Gentox) and cytotoxicity (Sigma Cytox) responses in mussels. After 4-day exposure, there were found the highest Sigma Gentox levels in gills cells and haemocytes. Two-day treatment of mussels resulted in the highest and statistically significant induction of Sigma Cytox level (in gills). Furthermore, after short-term (4 days) exposure, statistically significant inhibition of AChE activity in hemolymph of metal mixture-exposed mussels, in comparison to control and pre-exposure group, was found. Comparison of investigated responses in different tissue of A. cygnea discloses new information about metal mixture (at MPC) impacts at different treatment time. According to the obtained geno- and cytotoxicity data, it is suggested that gills are more sensitive tissue. Environmentally relevant trace metal concentrations when existing in mixture are able to cause adverse effects in A. cygnea; therefore, biological effects at different levels of organism are expected as a realistic scenario.</t>
  </si>
  <si>
    <t>[Butrimaviciene, Laura; Stankeviciute, Milda; Joksas, Kestutis; Barsiene, Janina] Inst Ecol, Nat Res Ctr, Akad Str 2, LT-08412 Vilnius, Lithuania; [Kalciene, Virginija] Vilnius Univ, Inst Biosci, Life Sci Ctr, Sauletekio Av 7, LT-10257 Vilnius, Lithuania; [Joksas, Kestutis] Vilnius Univ, Fac Chem &amp; Geosci, Naugarduko 24, LT-03225 Vilnius, Lithuania</t>
  </si>
  <si>
    <t>Butrimaviciene, L (corresponding author), Inst Ecol, Nat Res Ctr, Akad Str 2, LT-08412 Vilnius, Lithuania.</t>
  </si>
  <si>
    <t>laura.butrimaviciene@gamtc.lt</t>
  </si>
  <si>
    <t>Stankevičiūtė, Milda/AAD-3397-2019</t>
  </si>
  <si>
    <t>Stankeviciute, Milda/0000-0001-8906-3814; Kalciene, Virginija/0000-0003-2579-3927</t>
  </si>
  <si>
    <t>Research Council of Lithuania [ACTIS S-MIP-17-10]</t>
  </si>
  <si>
    <t>This study was funded by the Research Council of Lithuania through the project ACTIS S-MIP-17-10.</t>
  </si>
  <si>
    <t>10.1007/s11356-019-04206-1</t>
  </si>
  <si>
    <t>HS4IE</t>
  </si>
  <si>
    <t>WOS:000463824600028</t>
  </si>
  <si>
    <t>Nyberg, E; Faxneld, S; Danielsson, S; Eriksson, U; Miller, A; Bignert, A</t>
  </si>
  <si>
    <t>Nyberg, Elisabeth; Faxneld, Suzanne; Danielsson, Sara; Eriksson, Ulla; Miller, Aroha; Bignert, Anders</t>
  </si>
  <si>
    <t>Temporal and spatial trends of PCBs, DDTs, HCHs, and HCB in Swedish marine biota 1969-2012</t>
  </si>
  <si>
    <t>Ecotoxicology; Baltic Sea biota; POPs; Monitoring</t>
  </si>
  <si>
    <t>GUILLEMOT URIA-AALGE; PERSISTENT ORGANIC POLLUTANTS; HERRING CLUPEA-HARENGUS; CHLORINATED PESTICIDES; GLOBAL FRACTIONATION; CONTAMINANTS; PARAMETERS; MERCURY; EUROPE; EGGS</t>
  </si>
  <si>
    <t>In the 1960s, the Baltic Sea was severely polluted by organic contaminants such as PCBs, HCHs, HCB, and DDTs. Elevated concentrations caused severe adverse effects in Baltic biota. Since then, these substances have been monitored temporally and spatially in Baltic biota, primarily in herring (Clupea harengus) and in guillemot (Uria aalge) egg, but also in cod (Gadus morhua), perch (Perca fluviatilis), eelpout (Zoarces viviparous), and blue mussel (Mytilus edulis). These chemicals were banned in Sweden in the late 1970s/early 1980s. Since the start of monitoring, overall significant decreases of about 70-90 % have been observed. However, concentrations are still higher in the Baltic Sea than in, for example, the North Sea. CB-118 and DDE exceed the suggested target concentrations (24 lg kg(-1) lipid weight and 5 lg kg(-1) wet weight, respectively) at certain sites in some of the monitored species, showing that concentrations may still be too high to protect the most sensitive organisms.</t>
  </si>
  <si>
    <t>[Nyberg, Elisabeth; Faxneld, Suzanne; Danielsson, Sara; Bignert, Anders] Swedish Museum Nat Hist, Dept Environm Res &amp; Monitoring, S-11418 Stockholm, Sweden; [Eriksson, Ulla] Stockholm Univ, Dept Environm Sci &amp; Analyt Chem, S-10691 Stockholm, Sweden; [Miller, Aroha] Univ British Columbia, Dept Appl Biol, Vancouver, BC V6T 1Z4, Canada</t>
  </si>
  <si>
    <t>Swedish Museum of Natural History; University of British Columbia</t>
  </si>
  <si>
    <t>Nyberg, E (corresponding author), Swedish Museum Nat Hist, Dept Environm Res &amp; Monitoring, Box 50007, S-11418 Stockholm, Sweden.</t>
  </si>
  <si>
    <t>elisabeth.nyberg@nrm.se; suzanne.faxneld@nrm.se; sara.danielsson@nrm.se; ulla.eriksson@aces.su.se; arohamiller@gmail.com; anders.bignert@nrm.se</t>
  </si>
  <si>
    <t>Faxneld, Suzanne/0000-0001-8468-0696</t>
  </si>
  <si>
    <t>Swedish Environmental Protection Agency</t>
  </si>
  <si>
    <t>The Swedish Environmental Protection Agency funds the Swedish National Monitoring Program of Contaminants in Biota. Mats Hjelmberg, Henrik Dahlgren, Jill Staveley Ohlund, and Eva Kylberg at the SMNH are thanked for sample coordination and preparation.</t>
  </si>
  <si>
    <t>S484</t>
  </si>
  <si>
    <t>S497</t>
  </si>
  <si>
    <t>10.1007/s13280-015-0673-5</t>
  </si>
  <si>
    <t>CS7UB</t>
  </si>
  <si>
    <t>WOS:000362290800015</t>
  </si>
  <si>
    <t>Aközcan, S; Görgün, AU; Yüksel, A</t>
  </si>
  <si>
    <t>Akozcan, Serpil; Gorgun, Aysun Ugur; Yuksel, Ayhan</t>
  </si>
  <si>
    <t>Seasonal variation of the concentrations of 137Cs in sediment, sea water, and some organisms collected from Izmir Bay and Didim</t>
  </si>
  <si>
    <t>fish; sediment; marine; monitoring; radionuclides</t>
  </si>
  <si>
    <t>VERTICAL-DISTRIBUTION; HEAVY-METAL; PU-239,PU-240; POLLUTION; RADIONUCLIDES; ACCUMULATION; RADIOCESIUM; (CS)-C-137; SAMPLES; SR-90</t>
  </si>
  <si>
    <t>Cs-137 in the marine environment mainly originates from fallout of atmospheric nuclear weapon tests, accidental releases from nuclear facilities, and from the Chernobyl accident. After the latter accident, many studies have been carried out in Turkey. The objective of this study is to assess the spatial distribution of Cs-137 in the coastal marine environment of the Aegean Sea. The concentrat'ions of Cs-137 in sediment, sea water, mussel (Mytilus galloprovincialis), and fish samples collected from the coast of the Aegean Sea at Izmir Bay and near Didim (Akbuk) have been monitored for seasonal variability by the means of gamma spectroscopy: they vary between 0.10 +/- 0.01 and 1.5 +/- 0.3 Bq kg 1, 1.3 +/- 0.1 and 4.3 +/- 0.4 Bq m(-3), &lt; 0.2 and 1.3 +/- 0.3 Bq kg(-1), and 0.20 +/- 0.03 and 1.8 +/- 0.3 Bq kg(-1), respectively.</t>
  </si>
  <si>
    <t>[Akozcan, Serpil] Kirklareli Univ, Fac Sci &amp; Literature, Dept Phys, Kirklareli, Turkey; [Gorgun, Aysun Ugur] Ege Univ, Inst Nucl Sci, Izmir, Turkey; [Yuksel, Ayhan] Cekmece Nucl Res &amp; Training Ctr, TAEK, Istanbul, Turkey</t>
  </si>
  <si>
    <t>Kirklareli University; Ege University; Turkish Energy, Nuclear &amp; Mineral Research Agency (TENMAK); Ministry of Energy &amp; Natural Resources - Turkey</t>
  </si>
  <si>
    <t>Aközcan, S (corresponding author), Kirklareli Univ, Fac Sci &amp; Literature, Dept Phys, Kirklareli, Turkey.</t>
  </si>
  <si>
    <t>serpil.akozcan@klu.edu.tr</t>
  </si>
  <si>
    <t>10.1080/02772248.2014.929689</t>
  </si>
  <si>
    <t>AO6DG</t>
  </si>
  <si>
    <t>WOS:000341438800002</t>
  </si>
  <si>
    <t>Lopes, LGA; Lopes, FC; Quintana, KG; Costa, PG; Martins, CDG; Souza, MM</t>
  </si>
  <si>
    <t>Lopes, Luiz Gustavo Alves; Lopes, Fernanda Chaves; Quintana, Karine Gularte; Costa, Patricia Gomes; Martins, Camila de Martinez Gaspar; Souza, Marta Marques</t>
  </si>
  <si>
    <t>Biomineralization biomarkers to assess microplastics toxic effects in the freshwater snail Pomacea canaliculata</t>
  </si>
  <si>
    <t>Calcification; Calcium; Ca2+ATPase; Mollusk; Polyethylene; Shell</t>
  </si>
  <si>
    <t>SHELL REGENERATION; APPLE SNAIL; MUSSEL; PARTICLES; INDUCTION; EXPOSURE; QUALITY; COPPER; SEA</t>
  </si>
  <si>
    <t>Microplastics (MPs) pollution has increased the number of reports on the toxic effects on biota, especially aquatic organisms. Recently, studies highlighted changes in ion transport and concentration, especially Ca2+, in organisms exposed to MPs. For calcifying organisms, such as mollusks, Ca2+ homeostasis is critical for their shells construction. We investigated the effects of polyethylene (PE) MPs at 20 &amp; mu;g/L on biomineralization biomarkers (Ca2+ATPase, carbonic anhydrase, hemolymph [Ca2+], and shell regeneration) of the freshwater gastropod Pomacea canaliculata. Two experimental sets were performed: (1) animals in physiological condition and (2) animals with their shells excised. The results of the first set showed that within 24 h, the hemolymph [Ca2+] decreased, and the Ca2+ATPase activity increased in the mantle edge. For carbonic anhydrase (CA), the activity decreased in the gland and increased in the mantle. By 72 h, the hemolymph [Ca2+] had not changed, whereas both enzymes had increased in both tissues. In the second set, the hemolymph [Ca2+] increased after 72 h, whereas Ca2+ATPase activity decreased in both tissues. For AC, the opposite results were observed. At 120 h, calcium pumping was still reduced and CA values increased in the digestive gland. Additionally, MPs exposure increased the capacity of the gastropods to recover their shells. Based on this, our work provides novel data associating PE microplastic exposures (at 20 &amp; mu;g/L) and their potential to stimulate biomineralization enzymes of P. canaliculata, as well as increase shell regeneration in excised animal; a good prerogative for further investigations on both subjects that still lacks of more robust evidence.</t>
  </si>
  <si>
    <t>[Lopes, Luiz Gustavo Alves; Martins, Camila de Martinez Gaspar; Souza, Marta Marques] Univ Fed Rio Grande, Inst Ciencias Biol, Programa Posgrad Biol Ambientes Aquat Continentais, Ave Italia km 8, BR-96203900 Rio Grande, RS, Brazil; [Lopes, Fernanda Chaves; Martins, Camila de Martinez Gaspar; Souza, Marta Marques] Univ Fed Rio Grande, Inst Ciencias Biol, Programa Posgrad Ciencias Fisiol, Ave Italia km 8, BR-96203900 Rio Grande, RS, Brazil; [Quintana, Karine Gularte] Univ Fed Rio Grande, Graduaca Oceanol, Inst Oceanol, Ave Italia km 8, BR-96203900 Rio Grande, RS, Brazil; [Costa, Patricia Gomes] Fundaca Espirito Santense Tecnol FEST, Ave Fernando Ferrari,845 Goiabeiras, Vitoria, ES, Brazil; [Lopes, Luiz Gustavo Alves] Univ Fed Rio Grande, Inst Ciencias Biol, Ave Italia km 8, BR-96203900 Rio Grande, RS, Brazil</t>
  </si>
  <si>
    <t>Universidade Federal do Rio Grande; Universidade Federal do Rio Grande; Universidade Federal do Rio Grande; Universidade Federal do Rio Grande</t>
  </si>
  <si>
    <t>Lopes, LGA (corresponding author), Univ Fed Rio Grande, Inst Ciencias Biol, Ave Italia km 8, BR-96203900 Rio Grande, RS, Brazil.</t>
  </si>
  <si>
    <t>luizgalves13@gmail.com</t>
  </si>
  <si>
    <t>de Martinez Gaspar Martins, Camila/AAR-7061-2020; Costa, Patrícia/C-9520-2017; Souza, Marta/E-4974-2013; Lopes, Luiz/J-4385-2015</t>
  </si>
  <si>
    <t>Coordenacao de Aperfeicoamento de Pessoal de Nivel Superior - Brasil (CAPES) [001]; CNPq [314776/2020-6, 312898/2020-7]</t>
  </si>
  <si>
    <t>Coordenacao de Aperfeicoamento de Pessoal de Nivel Superior - Brasil (CAPES)(Coordenacao de Aperfeicoamento de Pessoal de Nivel Superior (CAPES)); CNPq(Conselho Nacional de Desenvolvimento Cientifico e Tecnologico (CNPQ))</t>
  </si>
  <si>
    <t>This study was financed in part by the Coordenacao de Aperfeicoamento de Pessoal de Nivel Superior - Brasil (CAPES) - Finance Code 001 and is part of the Master thesis of LGA Lopes. MM Souza and CMG Martins are research fellows from CNPq (#314776/2020-6 and #312898/2020-7, respectively). Special thanks to Dr. Claudia B. R. Martinez for the microplastics donation and to Jessica Roda for helping with the protocol information, as well as to Ingrid Souza and Andressa Suanes for help with the biomarkers analysis and gastropod culture. Finally, we thank the graphic designer Pedro Veneziano for helping with shell-recovery image editing and for generating the graphical abstract.</t>
  </si>
  <si>
    <t>10.1016/j.cbpc.2023.109585</t>
  </si>
  <si>
    <t>O3EQ9</t>
  </si>
  <si>
    <t>WOS:001042687900001</t>
  </si>
  <si>
    <t>Jacobson, Y</t>
  </si>
  <si>
    <t>Jacobson, Y.</t>
  </si>
  <si>
    <t>Incorporation of trace elements in aragonite skeletons of South East Mediterranean vermetids</t>
  </si>
  <si>
    <t>BIVALVE SHELLS; HISTORICAL RECORDS; CALCIFICATION RATE; LEAD EMISSIONS; CORAL; METALS; SEA; SEDIMENTS; SR/CA; VARIABILITY</t>
  </si>
  <si>
    <t>The Mediterranean Sea is a unique archive of past climatology, as this region is sensitive to both global climate fluctuations and manmade disturbances. Our understanding of these processes is however, limited, due to the absence of high-resolution multi-element proxies in this region. Here, I present the first high-resolution record of trace-elements (TE) in Mediterranean aragonite veremtid reefs, spanning the last millennium. Modern vermetid TE contents are mostly in agreement with other marine biogenic aragonites, reinforcing the potential use of veremtid reefs as paleo-environmental proxies. The down-core U/Ca and Sr/Ca fluctuations resemble the main climatic events of the last millennium, potentially linked to changes in sea surface temperature (SST). Pb and Cd records are associated with anthropogenic pollution and demonstrate trends related to growing industrial ac-tivity in the Anthropocene. Carbonate records of Al, Fe and Rb are attested as potential proxies to infer terrestrial inputs. Fe/Ca is used to decouple dust from riverine sources, while Rb/Ca is proposed for differentiation between sources of dust. The sub-millennial multi-element study enables the observation of independent environmental patterns within a single archive, and the decoupling of anthropogenic imprint from natural variability.</t>
  </si>
  <si>
    <t>[Jacobson, Y.] Weizmann Inst Sci, Dept Earth &amp; Planetary Sci, Rehovot, Israel; [Jacobson, Y.] Israel Oceanog &amp; Limnol Res, Haifa, Israel</t>
  </si>
  <si>
    <t>Weizmann Institute of Science; Israel Oceanographic &amp; Limnological Research Institute</t>
  </si>
  <si>
    <t>Jacobson, Y (corresponding author), Weizmann Inst Sci, Dept Earth &amp; Planetary Sci, Rehovot, Israel.;Jacobson, Y (corresponding author), Israel Oceanog &amp; Limnol Res, Haifa, Israel.</t>
  </si>
  <si>
    <t>tjacobson@ocean.org.il</t>
  </si>
  <si>
    <t>Student Award of the Mediterranean Sea Research Center of Israel; ISF [1246/12]</t>
  </si>
  <si>
    <t>Student Award of the Mediterranean Sea Research Center of Israel; ISF(Israel Science Foundation)</t>
  </si>
  <si>
    <t>&amp; nbsp;The author thanks Irena Brailovski for the help with sample preparation, Ilit Cohen-Ofri for help with ICP-MS maintenance and operation, Nir Galili for the scanning electron microscope images, and Jack Silverman for valuable comments on manuscript. This work was partly supported by a Student Award of the Mediterranean Sea Research Center of Israel, granted to Y. J. and by ISF grant #1246/12.</t>
  </si>
  <si>
    <t>10.1016/j.apgeochem.2023.105720</t>
  </si>
  <si>
    <t>M0IZ7</t>
  </si>
  <si>
    <t>WOS:001027043000001</t>
  </si>
  <si>
    <t>Cardellicchio, N; Annicchiarico, C; Di Leo, A; Giandomenico, S; Spada, L</t>
  </si>
  <si>
    <t>Cardellicchio, Nicola; Annicchiarico, Cristina; Di Leo, Antonella; Giandomenico, Santina; Spada, Lucia</t>
  </si>
  <si>
    <t>The Mar Piccolo of Taranto: an interesting marine ecosystem for the environmental problems studies</t>
  </si>
  <si>
    <t>Ritmare project; Mar Piccolo; Mediterranean Sea; Transitional environment</t>
  </si>
  <si>
    <t>GULF IONIAN SEA; AROMATIC-HYDROCARBONS PAHS; HEAVY-METALS; MYTILUS-GALLOPROVINCIALIS; SEMIENCLOSED BASIN; SURFACE SEDIMENTS; APULIAN COAST; SOUTHERN; TOXICITY; PCBS</t>
  </si>
  <si>
    <t>The National Project RITMARE (la Ricerca ITaliana per il MARE-Italian Research for the sea) started from 1 January 2012. It is one of the national research programs funded by the Italian Ministry of University and Research. RITMARE is coordinated by the National Research Council (CNR) and involves an integrated effort of most of the scientific community working on marine and maritime issues. Within the project, different marine study areas of strategic importance for the Mediterranean have been identified: Among these, the coastal area of Taranto (Ionian Sea, Southern Italy) was chosen for its different industry settlements and the relative impact on the marine environment. In particular, the research has been concentrated on the Mar Piccolo of Taranto, a complex marine ecosystem model important in terms of ecological, social, and economic activities for the presence also of extensive mussel farms. The site has been selected also because the Mar Piccolo area is a characteristic on field laboratory suitable to investigate release and diffusion mechanisms of contaminants, evaluate chemical-ecological risks towards the marine ecosystem and human health, and suggest and test potential remediation strategies for contaminated sediments. In this context, within the project RITMARE, a task force of researchers has contributed to elaboration a functioning conceptual model with a multidisciplinary approach useful to identify anthropogenic forcings, its impacts, and solutions of environmental remediation. This paper describes in brief some of the environmental issues related to the Mar Piccolo basin.</t>
  </si>
  <si>
    <t>[Cardellicchio, Nicola; Annicchiarico, Cristina; Di Leo, Antonella; Giandomenico, Santina; Spada, Lucia] UOS, CNR, Inst Marine Coastal Environm, Via Roma 3, I-74123 Taranto, TA, Italy</t>
  </si>
  <si>
    <t>Cardellicchio, N (corresponding author), UOS, CNR, Inst Marine Coastal Environm, Via Roma 3, I-74123 Taranto, TA, Italy.</t>
  </si>
  <si>
    <t>nicola.cardellicchio@iamc.cnr.it</t>
  </si>
  <si>
    <t>10.1007/s11356-015-4924-6</t>
  </si>
  <si>
    <t>WOS:000378817300002</t>
  </si>
  <si>
    <t>Ramos, AS; Antunes, SC; Nunes, B</t>
  </si>
  <si>
    <t>Ramos, A. S.; Antunes, S. C.; Nunes, B.</t>
  </si>
  <si>
    <t>Biomonitoring of environmental stress in Pollicipes pollicipes from the northern coast of Portugal: a non-destructive approach using haemolymph</t>
  </si>
  <si>
    <t>Gooseneck barnacle; Oxidative stress; Seasonal variations; Anthropogenic pollution; Haemolymph</t>
  </si>
  <si>
    <t>POLYCYCLIC AROMATIC-HYDROCARBONS; CRASSOSTREA-GIGAS THUNBERG; GLUTATHIONE S-TRANSFERASES; RUSH JUNCUS-MARITIMUS; OXIDATIVE STRESS; SEASONAL-VARIATIONS; PACIFIC OYSTER; DOURO ESTUARY; HEAVY-METALS; MYTILUS-GALLOPROVINCIALIS</t>
  </si>
  <si>
    <t>In the intertidal area, the interactions between anthropogenic contaminants and natural variations (biotic and abiotic factors) are poorly understood. Consequently, there is a great need for new assessment procedures to characterize the biological responses occurring in organisms from this extreme environment. Considering the intrinsic inter-individual variations among organisms from a single population, it is important to propose new methods that address this variability, by validating a sampling strategy in target groups of organisms, encompassing seasonal fluctuations. This strategy must however be less invasive than traditional methods, avoiding the mandatory sacrifice of the sampled organisms. By doing so, it is also possible to increase the ecological relevance of obtainable data, and contribute to minimize damage to endangered species. The main purpose of the present study was to assess the influence of seasonal variations in the responses elicited by anthropogenic compounds on a marine crustacean species, by using a biomarker-based approach. According to this purpose, the seasonal variations in key physiological responses (biomarkers) were investigated in the crustacean Pollicipes pollicipes from the Northern coast of Portugal. Biomarkers used for this purpose were the activity of the phase II biotransformation isoenzymes glutathione-S-transferases (GSTs), the activity of cholinesterases (ChEs), and the levels of lipid peroxidation (TSARS). All biomarkers were quantified in distinct tissues (such as cirri, and peduncle) and haemolymph (a non-destructive source of biological samples). The glycogen content in peduncle tissue, and the variation in haemocyte number in haemolymph were also analyzed. Samples were collected monthly, during a year, in Lavadores, located in the proximity of an estuarine area (Douro River). The results showed a seasonal pattern in all tested biomarkers. The results also showed a significant increase in GSTs activities, and in peroxidative damage, especially during warmer months. The lowest ChEs values were recorded during the rainy season. The results also showed a similar pattern among all tested tissues, validating the proposed use of the haemolymph as a source tissue for non-lethal sampling strategy for biomarker determinations. Glycogen content was apparently related to the reproductive cycle, with lower values being observed in spring and summer. Total haemocyte count (THC) increased during summer months. The results pointed to an influence of natural variations in the levels of biomarkers in P. pollicipes, highly dependent upon abiotic factors, a factor that must be considered when interpreting biological responses elicited by anthropogenic contaminants from the marine coastal environment. The validation of haemolymph as a non-lethal source tissue for the quantification of biomarkers was successfully attained, opening the possibility of less invasive and almost unlimited sampling in a small number of organisms. (C) 2015 Elsevier Inc. All rights reserved.</t>
  </si>
  <si>
    <t>[Ramos, A. S.; Antunes, S. C.] Univ Porto, Fac Ciencias, Dept Biol, Rua Campo Alegre S-N,Edificio FC4, P-4169007 Oporto, Portugal; [Antunes, S. C.] CIIMAR Ctr Interdisciplinar Invest Marinha &amp; Ambi, Rua Bragas 289, P-450123 Oporto, Portugal; [Nunes, B.] Univ Aveiro, CESAM Ctr Estudos Ambiente &amp; Mar, Campus Univ Santiago, P-3810193 Aveiro, Portugal; [Nunes, B.] Univ Aveiro, Dept Biol, Campus Univ Santiago, P-3810193 Aveiro, Portugal</t>
  </si>
  <si>
    <t>Universidade do Porto; Universidade do Porto; Universidade de Aveiro; Universidade de Aveiro</t>
  </si>
  <si>
    <t>Antunes, SC (corresponding author), Univ Porto, Fac Ciencias, Dept Biol, Rua Campo Alegre S-N,Edificio FC4, P-4169007 Oporto, Portugal.</t>
  </si>
  <si>
    <t>scantunes@fc.up.pt</t>
  </si>
  <si>
    <t>Antunes, Sara/C-7150-2008; Nunes, Bruno/J-4579-2013</t>
  </si>
  <si>
    <t>Antunes, Sara/0000-0002-6686-9919; Nunes, Bruno/0000-0002-6743-2321</t>
  </si>
  <si>
    <t>European Funds through COMPETE; National Funds through the Portuguese Science Foundation (FCT) [PEst-C/MAR/LA0017/2013, UID/AMB/50017/2013]; Human Potential Operational Programme (National Strategic Reference Framework); European Social Fund (EU)</t>
  </si>
  <si>
    <t>European Funds through COMPETE; National Funds through the Portuguese Science Foundation (FCT)(Fundacao para a Ciencia e a Tecnologia (FCT)); Human Potential Operational Programme (National Strategic Reference Framework); European Social Fund (EU)(European Union (EU)European Social Fund (ESF))</t>
  </si>
  <si>
    <t>This work was supported by European Funds through COMPETE and by National Funds through the Portuguese Science Foundation (FCT) within Project PEst-C/MAR/LA0017/2013 and UID/AMB/50017/2013. Bruno Nunes was hired under the program Investigador FCT, co-funded by the Human Potential Operational Programme (National Strategic Reference Framework 2007-2013) and European Social Fund (EU). Authors wish to thank an anonymous reviewer and Bruno B. Castro (University of Minho, Portugal) for their important suggestions in terms of data analysis.</t>
  </si>
  <si>
    <t>10.1016/j.ecoenv.2015.12.008</t>
  </si>
  <si>
    <t>DE1NM</t>
  </si>
  <si>
    <t>WOS:000370393700001</t>
  </si>
  <si>
    <t>Scebba, F; Tognotti, D; Presciuttini, G; Gabellieri, E; Cioni, P; Angeloni, D; Basso, B; Morelli, E</t>
  </si>
  <si>
    <t>Scebba, Francesca; Tognotti, Danika; Presciuttini, Gianluca; Gabellieri, Edi; Cioni, Patrizia; Angeloni, Debora; Basso, Barbara; Morelli, Elisabetta</t>
  </si>
  <si>
    <t>A SELDI-TOF approach to ecotoxicology: comparative profiling of low molecular weight proteins from a marine diatom exposed to CdSe/ZnS quantum dots</t>
  </si>
  <si>
    <t>6th Biannual ECOtoxicology Meeting (BECOME 2014)</t>
  </si>
  <si>
    <t>NOV 11-13, 2014</t>
  </si>
  <si>
    <t>Livorno, ITALY</t>
  </si>
  <si>
    <t>Nanoparticles; Phaeodactylum tricornutum; SELDI-TOF-MS; Biomarkers; Microalgae</t>
  </si>
  <si>
    <t>PHAEODACTYLUM-TRICORNUTUM; COPPER NANOPARTICLES; TOXICITY; BIOMARKERS; MS; MUSSEL; SOIL; BIOAVAILABILITY; ENVIRONMENT; LIMITATIONS</t>
  </si>
  <si>
    <t>Quantum dots (QDs), namely semiconductor nanocrystals, due to their particular optical and electronic properties, have growing applications in device technology, biotechnology and biomedical fields. Nevertheless, the possible threat to human health and the environment have attracted increasing attention as the production and applications of QDs increases rapidly while standard evaluation of safety lags. In the present study we performed proteomic analyses, by means of 2D gel electrophoresis and Surface Enhanced Laser Desorption Ionization-Time of Flight-Mass Spectrometry (SELDI-TOF-MS). We aimed to identify potential biomarkers of exposure to CdSe/ZnS quantum dots. The marine diatom Phaeodactylum tricornutum exposed to 2.5 nM QDs was used as a model system. Both 2DE and SELDI showed the presence of differentially expressed proteins. By Principal Component Analysis (PCA) we were able to show that the differentially expressed proteins can discriminate between exposed and not exposed cells. Furthermore, a protein profile specific for exposed cells was obtained by SELDI analysis. To our knowledge, this is the first example of the application of SELDI technology to the analysis of microorganisms used as biological sentinel model of marine environmental pollution. (C) 2015 Elsevier Inc. All rights reserved.</t>
  </si>
  <si>
    <t>[Scebba, Francesca; Angeloni, Debora] Scuola Super Sant Anna, Inst Life Sci, I-56127 Pisa, Italy; [Tognotti, Danika; Presciuttini, Gianluca; Gabellieri, Edi; Cioni, Patrizia; Basso, Barbara; Morelli, Elisabetta] CNR, Inst Biophys, Sect Pisa, I-56124 Pisa, Italy</t>
  </si>
  <si>
    <t>Scuola Superiore Sant'Anna; Consiglio Nazionale delle Ricerche (CNR); Istituto di Biofisica (IBF-CNR)</t>
  </si>
  <si>
    <t>Scebba, F (corresponding author), Scuola Super Sant Anna, Inst Life Sci, Piazza Martini della Liberta 33, I-56127 Pisa, Italy.</t>
  </si>
  <si>
    <t>f.scebba@sssup.it</t>
  </si>
  <si>
    <t>Scebba, Francesca/0000-0002-7499-8745; Morelli, Elisabetta/0000-0003-4206-3758; Angeloni, Debora/0000-0002-3850-5392; Gabellieri, Edi/0000-0003-0750-4095; Cioni, Patrizia/0000-0002-2243-6716</t>
  </si>
  <si>
    <t>National Research Council funds</t>
  </si>
  <si>
    <t>This research was supported by the National Research Council funds. The authors gratefully acknowledge Prof. Flavio Coceani for the scientific support and Dr. Marcella Simili for the revision of English language. Same Spots software used to analyze 2DE gels was kindly provided by Total lab.</t>
  </si>
  <si>
    <t>10.1016/j.ecoenv.2015.08.024</t>
  </si>
  <si>
    <t>CX2WM</t>
  </si>
  <si>
    <t>WOS:000365557500007</t>
  </si>
  <si>
    <t>Bowman, MF; Nussbaumer, C; Burgess, NM</t>
  </si>
  <si>
    <t>Bowman, Michelle F.; Nussbaumer, Christina; Burgess, Neil M.</t>
  </si>
  <si>
    <t>Community Composition of Lake Zooplankton, Benthic Macroinvertebrates and Forage Fish Across a pH Gradient in Kejimkujik National Park, Nova Scotia, Canada</t>
  </si>
  <si>
    <t>pH gradient; Community composition; Biological indicators; Kejimkujik National Park</t>
  </si>
  <si>
    <t>PERCH PERCA-FLAVESCENS; BIOLOGICAL MERCURY HOTSPOT; YELLOW PERCH; ATLANTIC CANADA; SOUTHEASTERN CANADA; ACIDIC DEPOSITION; WATER CHEMISTRY; HISTORIC SITE; COMMON LOONS; ACIDIFICATION</t>
  </si>
  <si>
    <t>The composition of zooplankton, benthic macroinvertebrate (BMI) and forage fish communities of 20 lakes in and near Kejimkujik National Park and National Historic Site were evaluated as part of Environment Canada's Acid Rain Biomonitoring Program. The pH of study lakes ranged from 4.3 to 6.6. Lake pH was positively correlated with alkalinity, calcium and magnesium concentrations and negatively correlated with colour, aluminium, total organic carbon and nitrogen. Gradients in overall BMI community composition and total BMI richness were strongly related to the gradient in pH, but the composition of zooplankton and forage fish communities were more strongly related to other environmental parameters such as elevation. Potential indicator species for future acid rain monitoring included Daphnia catawba, the amphipod Hyalella azteca, pill/pea clams Pisidium casertanum and Pisidium ferrugineum and larval water scavenger beetle Berosus. These chemical and biological data provide a baseline for future evaluation of the continued effects of anthropogenic deposition to this acid-sensitive region of Atlantic Canada.</t>
  </si>
  <si>
    <t>[Bowman, Michelle F.] Forensecology, Guelph, ON, Canada; [Nussbaumer, Christina] Environm Canada, Ecotoxicol &amp; Wildlife Hlth Div, Dartmouth, NS, Canada; [Burgess, Neil M.] Environm Canada, Ecotoxicol &amp; Wildlife Hlth Div, Mt Pearl, NF, Canada</t>
  </si>
  <si>
    <t>Bowman, MF (corresponding author), Forensecology, Guelph, ON, Canada.</t>
  </si>
  <si>
    <t>michelle.f.bowman@gmail.com</t>
  </si>
  <si>
    <t>Burgess, Neil/0000-0001-6084-2048</t>
  </si>
  <si>
    <t>Clean Air Regulatory Agenda (CARA) program of Environment Canada</t>
  </si>
  <si>
    <t>This study was funded by the Clean Air Regulatory Agenda (CARA) program of Environment Canada. Collections were made under scientific permits from Parks Canada and Fisheries and Oceans Canada. All animal handling followed procedures approved by an Environment Canada Animal Care Committee. We would like to thank Bohdan Bilyj (BIOTAX), who completed taxonomic identifications of macroinvertebrates, and the Sudbury Freshwater Co-op Unit at Laurentian University, where zooplankton identifications were completed. In addition, we thank Tom Clair and Ian Dennis (formerly in the Water Science and Technology Directorate, Environment Canada) for providing water chemistry data. We thank Adam Martens and Miriam Morgan for field and lab assistance. Logistical support was provided by staff at Kejimkujik National Park and National Historic Site, Parks Canada and Mersey Tobeatic Research Institute.</t>
  </si>
  <si>
    <t>10.1007/s11270-014-2211-7</t>
  </si>
  <si>
    <t>AU0NO</t>
  </si>
  <si>
    <t>WOS:000345320200010</t>
  </si>
  <si>
    <t>Park, KS; Song, JI; Choe, BL; Kim, SJ</t>
  </si>
  <si>
    <t>Amylase polymorphism of Littorina brevicula from polluted and unpolluted sites, Korea</t>
  </si>
  <si>
    <t>MERCURY POLLUTION; DIFFERENTIAL RESISTANCE; NECTOPSYCHE-ALBIDA; ALLOZYME GENOTYPE; SELECTION; METALS; MUSSEL</t>
  </si>
  <si>
    <t>Sungshin Womens Univ, Dept Biol, Seoul 136742, South Korea; Ewha Womans Univ, Dept Sci Biol, Seoul 120750, South Korea; Sungkyunkwan Univ, Dept Biol, Coll Sci, Suwon 440746, South Korea</t>
  </si>
  <si>
    <t>Sungshin Women's University; Ewha Womans University; Sungkyunkwan University (SKKU)</t>
  </si>
  <si>
    <t>Park, KS (corresponding author), Sungshin Womens Univ, Dept Biol, Seoul 136742, South Korea.</t>
  </si>
  <si>
    <t>10.1007/s001289901027</t>
  </si>
  <si>
    <t>251CJ</t>
  </si>
  <si>
    <t>WOS:000083426800012</t>
  </si>
  <si>
    <t>Lanceleur, L; Schäfer, J; Blanc, G; Coynel, A; Bossy, C; Baudrimont, M; Glé, C; Larrose, A; Renault, S; Strady, E</t>
  </si>
  <si>
    <t>Lanceleur, Laurent; Schaefer, Joerg; Blanc, Gerard; Coynel, Alexandra; Bossy, Cecile; Baudrimont, Magalie; Gle, Corine; Larrose, Aurelie; Renault, Sophie; Strady, Emilie</t>
  </si>
  <si>
    <t>Silver behaviour along the salinity gradient of the Gironde Estuary</t>
  </si>
  <si>
    <t>Chlorocomplexation; Silver addition; Marine geochemistry; Ion exchange; Isotope dilution</t>
  </si>
  <si>
    <t>SAN-FRANCISCO BAY; PLASMA-MASS SPECTROMETRY; PARTICULATE ORGANIC-CARBON; HEAVY-METAL CD; DISSOLVED SILVER; TRACE-METAL; ONLINE DETERMINATION; GEOCHEMICAL SIGNALS; MACROTIDAL ESTUARY; COASTAL WATERS</t>
  </si>
  <si>
    <t>Dissolved and particulate Ag concentrations (Ag-D and Ag-P, respectively) were measured in surface water and suspended particulate matter (SPM) along the salinity gradient of the Gironde Estuary, South West France, during three cruises (2008-2009) covering contrasting hydrological conditions, i.e. two cruises during intermediate and one during high freshwater discharge (similar to 740 and similar to 2,300 m(3)/s). Silver distribution reflected non-conservative behaviour with 60-70 % of Ag-P in freshwater particles being desorbed by chlorocomplexation. The amount of Ag-P desorbed was similar to the so-called reactive, potentially bioavailable Ag-P fraction (60 +/- 4 %) extracted from river SPM by 1 M HCl. Both Ag-P (0.22 +/- 0.05 mg/kg) and Ag-P/Th-P (0.025-0.028) in the residual fraction of fluvial and estuarine SPM were similar to those in SPM from the estuary mouth and in coastal sediments from the shelf off the Gironde Estuary, indicating that chlorocomplexation desorbs the reactive Ag-P. The data show that desorption of reactive Ag-P mainly occurs inside the estuary during low and intermediate discharge, whereas expulsion of partially Ag-P-depleted SPM (Ag-P/Th-P similar to 0.040) during the flood implies ongoing desorption in the coastal ocean, e.g. in the nearby oyster production areas (Marennes-Ol,ron Bay). The highest Ag-D levels (6-8 ng/L) occurred in the mid-salinity range (15-20) of the Gironde Estuary and were decoupled from freshwater discharge. In the maximum turbidity zone, Ag-D were at minimum, showing that high SPM concentrations (a) induce Ag-D adsorption in estuarine freshwater and (b) counterbalance Ag-P desorption in the low salinity range (1-3). Accordingly, Ag behaviour in turbid estuaries appears to be controlled by the balance between salinity and SPM levels. The first estimates of daily Ag-D net fluxes for the Gironde Estuary (Boyle's method) showed relatively stable theoretical Ag-D at zero salinity (Ag (D) (0) = 25-30 ng/L) for the contrasting hydrological situations. Accordingly, Ag-D net fluxes were very similar for the situations with intermediate discharge (1.7 and 1.6 g/day) and clearly higher during the flood (5.0 g/day) despite incomplete desorption. Applying Ag (D) (0) to the annual freshwater inputs provided an annual net Ag-D flux (0.64-0.89 t/year in 2008 and 0.56-0.77 t/year in 2009) that was 12-50 times greater than the Ag-D gross flux. This estimate was consistent with net Ag-D flux estimates obtained from gross Ag-P flux considering 60 % desorption in the estuarine salinity gradient.</t>
  </si>
  <si>
    <t>[Lanceleur, Laurent; Schaefer, Joerg; Blanc, Gerard; Coynel, Alexandra; Bossy, Cecile; Baudrimont, Magalie; Gle, Corine; Larrose, Aurelie; Renault, Sophie; Strady, Emilie] Univ Bordeaux, EPOC, UMR 5805, F-33405 Talence, France</t>
  </si>
  <si>
    <t>Lanceleur, L (corresponding author), Univ Bordeaux, EPOC, UMR 5805, F-33405 Talence, France.</t>
  </si>
  <si>
    <t>l.lanceleur@epoc.u-bordeaux1.fr</t>
  </si>
  <si>
    <t>Schafer, Jorg/0000-0003-2631-908X; Baudrimont, Magalie/0000-0001-9901-8435; Coynel, Alexandra/0000-0003-4725-4190; Blanc, Gerard/0009-0005-9814-0427; strady, emilie/0000-0001-5683-0810; Lanceleur, Laurent/0000-0003-0454-9570</t>
  </si>
  <si>
    <t>CYTRIX EC2CO VOTR'TRAM Project; ANR Vulnerabilite, Milieu et Climat [ANR-07-VULN-003]</t>
  </si>
  <si>
    <t>CYTRIX EC2CO VOTR'TRAM Project; ANR Vulnerabilite, Milieu et Climat(Agence Nationale de la Recherche (ANR))</t>
  </si>
  <si>
    <t>We thank S. Schmidt and J. Troncinsky for providing dated sediment samples from the West Gironde Mud Patch. We gratefully acknowledge the captains and crews of the RV 'Cotes de la Manche' (INSU) and S. Castelle, A. Dabrin, H. Derriennic and M. Masson for their help during field work. This work was supported by the CYTRIX EC2CO VOTR'TRAM Project and the ANR Vulnerabilite, Milieu et Climat (ANR-07-VULN-003).</t>
  </si>
  <si>
    <t>10.1007/s11356-012-1045-3</t>
  </si>
  <si>
    <t>WOS:000315442500014</t>
  </si>
  <si>
    <t>Chen, CW; Chen, CF</t>
  </si>
  <si>
    <t>Chen, Chiu-Wen; Chen, Chih-Feng</t>
  </si>
  <si>
    <t>Distribution, origin, and potential toxicological significance of polycyclic aromatic hydrocarbons (PAHs) in sediments of Kaohsiung Harbor, Taiwan</t>
  </si>
  <si>
    <t>Polycyclic aromatic hydrocarbons (PAHs); Sediment; Sediment Quality Guidelines (SQGs); Toxic equivalent (TEQ(carc))</t>
  </si>
  <si>
    <t>BAY MARMARA SEA; SURFACE SEDIMENTS; SURFICIAL SEDIMENTS; SIZE FRACTIONS; HEAVY-METALS; CHINA; SPAIN; CONTAMINATION; POLLUTION; MUSSELS</t>
  </si>
  <si>
    <t>Sediment samples were collected from 12 locations of Kaohsiung Harbor, Taiwan and analyzed for polycyclic aromatic hydrocarbons (PAHs). Total PAH concentrations varied from 472 to 16,201 ng g(-1) dry weight. The highest PAH concentrations were from the industrial zone docks situated in south Kaohsiung Harbor. Diagnostic ratios showed that the possible source of PAHs in the industrial zone dock could be coal combustion while in the other zones it could be petroleum combustion. The toxic equivalent concentrations (TEQ(carc)) of PAHs varied from 55 to 1964 ng TEQ g(-1) dry weight. Higher total TEQ(carc) values were found at industrial zone docks (from 1404 to 1964 ng TEQ g(-1) dry weight). As compared with the US Sediment Quality Guidelines (SQGs), the observed levels of PAHs at industrial zone docks exceeded the effects range low (ERL), and could thus cause acute biological damage. However, the lower levels of PAHs at the other zones would probably not exert adverse biological effects. (C) 2011 Elsevier Ltd. All rights reserved.</t>
  </si>
  <si>
    <t>[Chen, Chiu-Wen; Chen, Chih-Feng] Natl Kaohsiung Marine Univ, Dept Marine Environm Engn, Kaohsiung 811, Taiwan</t>
  </si>
  <si>
    <t>Chen, CW (corresponding author), Natl Kaohsiung Marine Univ, Dept Marine Environm Engn, Kaohsiung 811, Taiwan.</t>
  </si>
  <si>
    <t>cwchen@mail.nkmu.edu.tw</t>
  </si>
  <si>
    <t>Chen, Chih-Feng/HTP-3222-2023</t>
  </si>
  <si>
    <t>Chen, Chih-Feng/0000-0002-0935-4847</t>
  </si>
  <si>
    <t>Kaohsiung City Marine Bureau, Taiwan</t>
  </si>
  <si>
    <t>This work was supported by the Kaohsiung City Marine Bureau, Taiwan. The authors would like to thank the personnel of the Kaohsiung City Marine Bureau for their support throughout this project.</t>
  </si>
  <si>
    <t>10.1016/j.marpolbul.2011.04.047</t>
  </si>
  <si>
    <t>WOS:000294092700052</t>
  </si>
  <si>
    <t>Heuvel, CE; Drouillard, KG; Haffner, GD; Zhao, YM; Fisk, AT</t>
  </si>
  <si>
    <t>Heuvel, Cecilia E.; Drouillard, Kenneth G.; Haffner, G. Douglas; Zhao, Yingming; Fisk, Aaron T.</t>
  </si>
  <si>
    <t>Influence of Feeding Ecology on Legacy Organochlorine Contaminants in Freshwater Fishes of Lake Erie</t>
  </si>
  <si>
    <t>Stable isotopes; Ecology; Freshwater fish; Contaminants; Bioaccumulation; Food web</t>
  </si>
  <si>
    <t>POLYCHLORINATED BIPHENYL CONGENERS; TROUT SALVELINUS-NAMAYCUSH; SULFUR STABLE-ISOTOPES; PERCH PERCA-FLAVESCENS; FOOD-CHAIN STRUCTURE; YELLOW PERCH; TROPHIC TRANSFER; GREAT-LAKES; MERCURY BIOACCUMULATION; ZEBRA MUSSELS</t>
  </si>
  <si>
    <t>Persistent organic pollutants (POPs) in biota are influenced by ecological, physiological, and physicochemical properties; however, there is a need for a better understanding about the interplay of these parameters on POP dynamics and fate. To address this, POPs in three Lake Erie freshwater fishes (freshwater drum, Aplodinotus grunniens; walleye, Sander vitreus; and white perch, Morone americana) with different feeding ecologies were assessed using life history characteristics and three stable isotopes (delta C-13, delta N-15, and delta S-34). Lipid normalized POP concentrations were in the range of past studies and were generally similar among the three species when all ages were combined. Principal component analysis (PCA) found the two significant PCs (explaining 59% and 10% of the variation), with all POPs loading significantly onto PC1, which indicated a common source of contamination, likely legacy sediment loads. Loadings on both PCs were correlated with POP log K-OW. Age, habitat use (delta C-13 and delta S-34), trophic position (delta N-15) and interactions between age and delta N-15, age and species, and delta N-15 and delta S-34 were significant predictors of POP concentration based on PC1 scores, whereas delta C-13 and species were significant predictors of PC2 scores. The similar concentrations among the species, yet variation related to the ecology (age and trophic position) across individuals demonstrates the complexity of contaminant dynamics in freshwater fish in a large lake system and the need to consider variation across individuals within species. Environ Toxicol Chem 2021;00:1-13. (c) 2021 SETAC</t>
  </si>
  <si>
    <t>[Heuvel, Cecilia E.; Drouillard, Kenneth G.; Haffner, G. Douglas; Fisk, Aaron T.] Univ Windsor, Great Lakes Inst Environm Res, Windsor, ON, Canada; [Zhao, Yingming] Ontario Minist Northern Dev Mines Nat Resources &amp;, Aquat Res &amp; Monitoring Sect, Wheatley, ON, Canada</t>
  </si>
  <si>
    <t>Heuvel, CE (corresponding author), Univ Windsor, Great Lakes Inst Environm Res, Windsor, ON, Canada.</t>
  </si>
  <si>
    <t>heuvelc@uwindsor.ca</t>
  </si>
  <si>
    <t>Zhao, Ying/HTO-4462-2023</t>
  </si>
  <si>
    <t>Heuvel, Cecilia/0000-0003-3999-2919</t>
  </si>
  <si>
    <t>Natural Sciences and Engineering Research Council (NSERC)</t>
  </si>
  <si>
    <t>Natural Sciences and Engineering Research Council (NSERC)(Natural Sciences and Engineering Research Council of Canada (NSERC))</t>
  </si>
  <si>
    <t>The present study was funded by a Natural Sciences and Engineering Research Council (NSERC) Discovery awarded to A.T. Fisk. We thank K. Johnston and the Chemical Tracers Lab for running samples for stable isotope analysis, and N. Ismail and the Chemical Exposure and Bioavailability Lab for assistance with the contaminant analysis. We are also grateful for the contributions of the Ohio Department of Natural Resources, the Ontario Ministry of Northern Development, Mines, Natural Resources, and Forestry, and the US Geological Survey for their assistance in collecting samples. Finally, we thank three anonymous reviewers for their comments, which helped improve this manuscript.</t>
  </si>
  <si>
    <t>10.1002/etc.5224</t>
  </si>
  <si>
    <t>WOS:000716616500001</t>
  </si>
  <si>
    <t>Marques, DD; Costa, PG; Souza, GM; Cardozo, JG; Barcarolli, IF; Bianchini, A</t>
  </si>
  <si>
    <t>Marques, Daiane da Silva; Costa, Patricia Gomes; Souza, Gustavo Martinez; Cardozo, Janaina Goulart; Barcarolli, Indianara Fernanda; Bianchini, Adalto</t>
  </si>
  <si>
    <t>Selection of biochemical and physiological parameters in the croaker Micropogonias furnieri as biomarkers of chemical contamination in estuaries using a generalized additive model (GAM)</t>
  </si>
  <si>
    <t>Fish; Hydrocarbon; Metal; Monitoring; Pesticide; Pollution</t>
  </si>
  <si>
    <t>MUSSELS LASMIGONA-COSTATA; NATURAL FACTORS SALINITY; GUPPY POECILIA-VIVIPARA; FISH CARASSIUS-AURATUS; PATOS-LAGOON-ESTUARY; OXIDATIVE STRESS; TRACE-METALS; MARINE ORGANISMS; WATERBORNE ZINC; SOUTHERN BRAZIL</t>
  </si>
  <si>
    <t>Biochemical and physiological parameters in the croaker Micropogonias furnieri were evaluated as biomarkers of chemical contaminants in estuaries. Juvenile croakers (10-20 cm total body length) were collected in summer and winter (2011 and 2012), in two sites at the Lagoa dos Patos estuary (southern Brazil). Fish were also collected in summer (2011 and 2012) in one site at the Barra do Chui estuary (southern Brazil). Tissue (gills, muscle or liver) samples were dissected and analyzed for contaminants [metals, polycyclic aromatic hydrocarbons (PAHs) and organochlorine pesticides (OCPs)] and selected biochemical and physiological parameters [metallothionein- like proteins (MTLP), acetylcholinesterase (AChE) activity, ethoxyresorufin-O-deethylase (EROD) activity, and lipid peroxidation (LPO)]. Additionally, water samples were collected for water chemical analyses (salinity, pH, temperature, dissolved oxygen, total alkalinity, and sulfate concentration). Data obtained were integrated and analyzed, using Principal Component Analysis (PCA) and Generalized Additive Model (GAM) approaches. Results showed that changes in concentrations of chemical contaminants and responses of biochemical and physiological parameters did not show any pattern according to the site, season and year of fish collection. However, they were influenced by fish body length and water temperature and salinity. Liver LPO and EROD activity were not responsive to PAHs. However, liver LPO was responsive to HCB, p,p-DDD, p,p-DDT and endosulfan sulfate. In turn, gill MTLP concentration, muscle AChE activity and liver EROD activity were responsive to non-essential metals (Pb, Cd and Ag). Considering that the ecotoxicological modeling approach adopted (GAM) accounted for biological, spatial and temporal variability of data associated with fish body size and site, season and year of fish collection, gill MTLP concentration, muscle AChE activity, as well as liver LPO and EROD activity can be considered as reliable biomarkers of fish exposure to chemical contaminants in estuaries. (C) 2018 Elsevier B.V. All rights reserved.</t>
  </si>
  <si>
    <t>[Marques, Daiane da Silva] Univ Fed Rio Grande FURG, Programa Pos Grad Ciencias Fisiol, Inst Ciencias Biol, Av Italia Km 8, BR-96203900 Rio Grande, RS, Brazil; [Costa, Patricia Gomes; Souza, Gustavo Martinez; Cardozo, Janaina Goulart; Bianchini, Adalto] Univ Fed Rio Grande FURG, Inst Ciencias Biol, Av Italia Km 8,Campus Carreiros, BR-96203900 Rio Grande, RS, Brazil; [Barcarolli, Indianara Fernanda] Univ Estado Santa Catarina, Dept Engn Ambientat, Lages, SC, Brazil</t>
  </si>
  <si>
    <t>Universidade Federal do Rio Grande; Universidade Federal do Rio Grande; Universidade do Estado de Santa Catarina</t>
  </si>
  <si>
    <t>Bianchini, A (corresponding author), Univ Fed Rio Grande FURG, Inst Ciencias Biol, Av Italia Km 8,Campus Carreiros, BR-96203900 Rio Grande, RS, Brazil.</t>
  </si>
  <si>
    <t>daianesmma@riogrande.rs.gov.br; adaltobianchini@furg.br</t>
  </si>
  <si>
    <t>Gomes Costa, Patricia/C-9520-2017; Bianchini, Adalto/C-5384-2013</t>
  </si>
  <si>
    <t>Gomes Costa, Patricia/0000-0002-2520-6369; Bianchini, Adalto/0000-0002-7627-7650</t>
  </si>
  <si>
    <t>Conselho Nacional de Desenvolvimento Cientifico e Tecnologico (CNPq, Brasilia, DF, Brazil) [573949/2008-5]; Coordenacao de Aperfeicoamento do Pessoal de Ensino Superior (CAPES, Programa Ciencias do Mar, Brasilia, DF, Brazil) [230/2010]; International Development Research Centre (IDRC, International Research Chair Initiative, Ottawa, Canada) [104519-003]; International Canada Research Chair Program from IDRC</t>
  </si>
  <si>
    <t>Conselho Nacional de Desenvolvimento Cientifico e Tecnologico (CNPq, Brasilia, DF, Brazil)(Conselho Nacional de Desenvolvimento Cientifico e Tecnologico (CNPQ)); Coordenacao de Aperfeicoamento do Pessoal de Ensino Superior (CAPES, Programa Ciencias do Mar, Brasilia, DF, Brazil); International Development Research Centre (IDRC, International Research Chair Initiative, Ottawa, Canada)(International Development Research Centre - IDRC); International Canada Research Chair Program from IDRC(International Development Research Centre - IDRC)</t>
  </si>
  <si>
    <t>This work was supported by the Conselho Nacional de Desenvolvimento Cientifico e Tecnologico (CNPq, Brasilia, DF, Brazil; grant #573949/2008-5), the Coordenacao de Aperfeicoamento do Pessoal de Ensino Superior (CAPES, Programa Ciencias do Mar, Brasilia, DF, Brazil; grant #230/2010), and the International Development Research Centre (IDRC, International Research Chair Initiative, Ottawa, Canada; grant #104519-003). A. Bianchini is a research fellow from the Brazilian CNPq (Proc. #307647/2016-1) and was supported by the International Canada Research Chair Program from IDRC. Authors thank Dr. Gilberto Fillmann for providing the laboratory conditions to perform the organic contaminants analyses.</t>
  </si>
  <si>
    <t>10.1016/j.scitotenv.2018.08.049</t>
  </si>
  <si>
    <t>WOS:000447090400146</t>
  </si>
  <si>
    <t>Cresson, P; Travers-Trolet, M; Rouquette, M; Timmerman, CA; Giraldo, C; Lefebvre, S; Ernande, B</t>
  </si>
  <si>
    <t>Cresson, Pierre; Travers-Trolet, Morgane; Rouquette, Manuel; Timmerman, Charles-Andre; Giraldo, Carolina; Lefebvre, Sebastien; Ernande, Bruno</t>
  </si>
  <si>
    <t>Underestimation of chemical contamination in marine fish muscle tissue can be reduced by considering variable wet:dry weight ratios</t>
  </si>
  <si>
    <t>Wet:dry ratio; Conversion factor; Contaminant concentration; Marine fish; Percentage of humidity</t>
  </si>
  <si>
    <t>STABLE-ISOTOPE ANALYSES; MERLUCCIUS-MERLUCCIUS; LIPID-CONTENT; MERCURY; INDICATORS; FRACTIONATION; ABSORPTION; DELTA-N-15</t>
  </si>
  <si>
    <t>Whether considered as a risk for human health or as ecological tracers, contaminants' concentrations measured in fish muscles are commonly expressed relative to wet or dry mass. Comparison of results required conversion factors (CF) but accurate values are scarce and case-specific. The present paper is aimed at investigating errors linked with the use of the theoretical value. Muscles dry and wet masses were measured in 15 fish species to determine the actual CF. Most CF were lower than the theoretical wet:dry ratio of 5 classically used, with variations at individual and species level. Muscle lipid content (inferred by C/N ratios) was a crucial factor explaining discrepancies, claiming for caution when working with lipid-rich species. The observed variability demonstrated that using the theoretical CF may be inaccurate, when actual CF largely differs from the theoretical value. Dedicated measurement is the better approach when accuracy is required.</t>
  </si>
  <si>
    <t>[Cresson, Pierre; Travers-Trolet, Morgane; Rouquette, Manuel; Timmerman, Charles-Andre; Giraldo, Carolina; Lefebvre, Sebastien; Ernande, Bruno] IFREMER, HMMN, Ctr Manche Mer Nord, BP 669, F-62321 Boulogne Sur Mer, France; [Lefebvre, Sebastien] Univ Littoral Cote dOpale, Univ Lille, CNRS, UMR 8187,LOG, 28 Ave Foch, F-62930 Wimereux, France</t>
  </si>
  <si>
    <t>Ifremer; Universite de Lille; Universite du Littoral-Cote-d'Opale; Centre National de la Recherche Scientifique (CNRS); CNRS - National Institute for Earth Sciences &amp; Astronomy (INSU)</t>
  </si>
  <si>
    <t>Cresson, P (corresponding author), IFREMER, Lab Ressources Halieut, 150 Quai Gambetta,BP 699, F-62321 Boulogne Sur Mer, France.</t>
  </si>
  <si>
    <t>pierre.cresson@ifremer.fr</t>
  </si>
  <si>
    <t>Giraldo, Carolina/AFN-7210-2022; Lefebvre, Sébastien/G-8562-2011; Ernande, Bruno/C-1182-2008; Cresson, Pierre/D-8402-2012</t>
  </si>
  <si>
    <t>Timmerman, Charles-Andre/0000-0001-7307-7090; Ernande, Bruno/0000-0002-0727-5774; Cresson, Pierre/0000-0002-3485-4261; Travers-Trolet, Morgane/0000-0003-1493-662X; Giraldo, Carolina/0000-0003-0278-522X</t>
  </si>
  <si>
    <t>Ifremer Scientific Direction, through the RETROGRAD Politique de Site grant; French government; region Hauts-de-France</t>
  </si>
  <si>
    <t>Ifremer Scientific Direction, through the RETROGRAD Politique de Site grant; French government; region Hauts-de-France(Region Hauts-de-France)</t>
  </si>
  <si>
    <t>Financial support for this work was provided by Ifremer Scientific Direction, through the RETROGRAD Politique de Site grant and by the French government and the region Hauts-de-France in the framework of the project CPER 2014-2020 MARCO. We would like to thank the crew of R/V Thalassa for their help with sampling during CAMANOC survey, to the staff of the Cornell University Stable Isotope laboratory for fish isotopic and C/N ratios measurements,}Khalef Rhabi for technical support during fish dissections, and to Marc Bouchoucha (Ifremer/LER-PAC) and Sophie Fonfec for fruitful exchanges on conversion steps. Queen scallop isotopic ratios are courtesy of Stanislas F. Dubois (Ifremer/DYNECO) to whom we are also grateful.</t>
  </si>
  <si>
    <t>10.1016/j.marpolbul.2017.08.046</t>
  </si>
  <si>
    <t>WOS:000415776600044</t>
  </si>
  <si>
    <t>Zhao, SZ; Song, X; Bu, XM; Zhu, C; Wang, G; Liao, F; Yang, SW; Wang, M</t>
  </si>
  <si>
    <t>Zhao, Shizhen; Song, Xun; Bu, Xiuming; Zhu, Chong; Wang, Gang; Liao, Fang; Yang, Siwei; Wang, Miao</t>
  </si>
  <si>
    <t>Polydopamine dots as an ultrasensitive fluorescent probe switch for Cr(VI) in vitro</t>
  </si>
  <si>
    <t>Cr(VI) detection; fluorescent probe; in vitro; polydopamine dots</t>
  </si>
  <si>
    <t>GRAPHENE QUANTUM DOTS; MUSSEL-INSPIRED POLYDOPAMINE; TUNABLE-PHOTOLUMINESCENCE; HIGHLY FLUORESCENT; SENSING PLATFORM; NANOPARTICLES; POLY(O-PHENYLENEDIAMINE); CHROMIUM(VI); NANOSPHERES; FABRICATION</t>
  </si>
  <si>
    <t>Because of the great demand for fluorescent materials, fluorescent dyes, semiconductor quantum dots, and carbon-based quantum dots have been studied extensively. However, the poor photostability and potential biological toxicity need to be resolved. In this study, we demonstrated the synthesis of a new biomass quantum dot, the polydopamine dot (PDADs), via a simple hydrothermal method under an acidic environment. This new biomass quantum dot showed not only remarkable photoluminescence properties (quantum yield50.93) but also a high stability and low toxicity. Moreover, these PDADs could be used as a fluorescent probe for the rapid detection of Cr(VI) (response time =0.01 s). The detection limit (1x10(-11) M) is the lowest detection limit reported for Cr(VI) fluorescent probes. The mechanism efficient quenching progress could have been due to the fast redox progress between the PDADs and Cr(VI). Moreover, we also showed a practical application of PDADs for Cr(VI) detection in vitro. (C) 2017 Wiley Periodicals, Inc.</t>
  </si>
  <si>
    <t>[Zhao, Shizhen; Song, Xun; Liao, Fang; Yang, Siwei] China West Normal Univ, Chem Synth &amp; Pollut Control, Key Lab Sichuan Prov, Sch Chem &amp; Chem Ind, Nanchong 637002, Peoples R China; [Bu, Xiuming; Zhu, Chong; Wang, Gang; Yang, Siwei] Chinese Acad Sci, Shanghai Inst Microsyst &amp; Informat Technol, State Key Lab Funct Mat Informat, Shanghai, Peoples R China; [Wang, Miao] Nantong Univ, Sch Chem &amp; Chem Engn, Nantong 226019, Peoples R China</t>
  </si>
  <si>
    <t>China West Normal University; Chinese Academy of Sciences; Shanghai Institute of Microsystem &amp; Information Technology, CAS; Nantong University</t>
  </si>
  <si>
    <t>Liao, F; Yang, SW (corresponding author), China West Normal Univ, Chem Synth &amp; Pollut Control, Key Lab Sichuan Prov, Sch Chem &amp; Chem Ind, Nanchong 637002, Peoples R China.;Yang, SW (corresponding author), Chinese Acad Sci, Shanghai Inst Microsyst &amp; Informat Technol, State Key Lab Funct Mat Informat, Shanghai, Peoples R China.;Wang, M (corresponding author), Nantong Univ, Sch Chem &amp; Chem Engn, Nantong 226019, Peoples R China.</t>
  </si>
  <si>
    <t>liaozhang2003@163.com; yangsiwei@mail.sim.ac.cn; wangmiao@163.com</t>
  </si>
  <si>
    <t>Song, Xun/HLP-9945-2023; Yang, Siwei/AER-1316-2022; Wang, Gang/AES-6465-2022</t>
  </si>
  <si>
    <t>Yang, Siwei/0000-0002-5227-8210; Wang, Gang/0000-0002-2288-3807</t>
  </si>
  <si>
    <t>Sichuan Provincial Department of Education [14ZA0125]; Chemical Synthesis and Pollution Control Key Laboratory of Sichuan Province [CSPC2015-6-1]; National Natural Science Foundation of China [11104303]; Chinese Academy of Sciences [KGZD-EW303, XDA02040000]</t>
  </si>
  <si>
    <t>Sichuan Provincial Department of Education; Chemical Synthesis and Pollution Control Key Laboratory of Sichuan Province; National Natural Science Foundation of China(National Natural Science Foundation of China (NSFC)); Chinese Academy of Sciences(Chinese Academy of Sciences)</t>
  </si>
  <si>
    <t>This work was supported by the Key Fund Project of the Sichuan Provincial Department of Education (contract grant number 14ZA0125), the Open Project Fund of the Chemical Synthesis and Pollution Control Key Laboratory of Sichuan Province (contract grant number CSPC2015-6-1), the National Natural Science Foundation of China (contract grant number 11104303), and the Chinese Academy of Sciences (contract grant numbers KGZD-EW303 and XDA02040000).</t>
  </si>
  <si>
    <t>10.1002/app.44784</t>
  </si>
  <si>
    <t>EM2LY</t>
  </si>
  <si>
    <t>WOS:000395148800017</t>
  </si>
  <si>
    <t>Agusa, T; Kunito, T; Sudaryanto, A; Monirith, I; Kan-Atireklap, S; Iwata, H; Ismail, A; Sanguansin, J; Muchtar, M; Tana, TS; Tanabe, S</t>
  </si>
  <si>
    <t>Agusa, Tetsuro; Kunito, Takashi; Sudaryanto, Agus; Monirith, In; Kan-Atireklap, Supawat; Iwata, Hisato; Ismail, Ahmad; Sanguansin, Joompol; Muchtar, Muswerry; Tana, Touch Seang; Tanabe, Shinsuke</t>
  </si>
  <si>
    <t>Exposure assessment for trace elements from consumption of marine fish in Southeast Asia</t>
  </si>
  <si>
    <t>trace elements; fish; risk assessment; Southeast Asia</t>
  </si>
  <si>
    <t>MUSSEL PERNA-VIRIDIS; METAL CONCENTRATIONS; WEST-COAST; CONTAMINATION; ACCUMULATION; MERCURY; TISSUE; WATER; ZN; CD</t>
  </si>
  <si>
    <t>Concentrations of 20 trace elements were determined in muscle and liver of 34 species of marine fish collected from coastal areas of Cambodia, Indonesia, Malaysia and Thailand. Large regional difference was observed in the levels of trace elements in liver of one fish family (Carangidae): the highest mean concentration was observed in fish from the Malaysian coastal waters for V, Cr, Zn, Pb and Bi and those from the Java Sea side of Indonesia for Sn and Hg. To assess the health risk to the Southeast Asian populations from consumption of fish, intake rates of trace elements were estimated. Some marine fish showed Hg levels higher than the guideline values by U.S. Environmental Protection Agency and Joint FAO/WHO Expert Committee on Food Additives (JECFA). This suggests that consumption of these fish may be hazardous to the people. (c) 2006 Elsevier Ltd. All rights reserved.</t>
  </si>
  <si>
    <t>Ehime Univ, CMES, Matsuyama, Ehime 7908577, Japan; Shinshu Univ, Fac Sci, Dept Environm Sci, Matsumoto, Nagano 3908621, Japan; Univ Putra Malaysia, Fac Sci &amp; Environm Studies, Dept Biol, Serdang 43400, Selangor, Malaysia; Eastern Marine Fisheries Dev Ctr, Muang 21160, Rayong, Thailand; Indonesian Inst Sci, Res &amp; Dev Ctr Oceanol, Bandung 11048, Indonesia; OBSES, Off Council Ministers, Phom Penh, Cambodia</t>
  </si>
  <si>
    <t>Ehime University; Shinshu University; Universiti Putra Malaysia; National Research &amp; Innovation Agency of Indonesia (BRIN); Indonesian Institute of Sciences (LIPI)</t>
  </si>
  <si>
    <t>Tanabe, S (corresponding author), Ehime Univ, CMES, Bunkyo Cho 2-5, Matsuyama, Ehime 7908577, Japan.</t>
  </si>
  <si>
    <t>Sudaryanto, Agus/ABF-4423-2021; Iwata, Hisato/A-5478-2013; Kunito, Takashi/D-8449-2012; Tanabe, Shinsuke/G-6950-2013</t>
  </si>
  <si>
    <t>Kunito, Takashi/0000-0002-3028-736X; Ismail, Ahmad/0000-0002-7669-5641; Iwata, Hisato/0000-0002-6867-0532; Tanabe, Shinsuke/0000-0002-0911-6232; Sudaryanto, Agus/0000-0001-6956-6756</t>
  </si>
  <si>
    <t>10.1016/j.envpol.2006.04.034</t>
  </si>
  <si>
    <t>WOS:000244410800020</t>
  </si>
  <si>
    <t>Sokolova, I</t>
  </si>
  <si>
    <t>Sokolova, Inna</t>
  </si>
  <si>
    <t>Mitochondrial Adaptations to Variable Environments and Their Role in Animals' Stress Tolerance</t>
  </si>
  <si>
    <t>Symposium on Inside the Black Box - The Mitochondrial Basis of Life-History Variation and Animal Performance at the Annual Meeting of the Society-for-Integrative-and-Comparative-Biology</t>
  </si>
  <si>
    <t>JAN 03-07, 2018</t>
  </si>
  <si>
    <t>San Francisco, CA</t>
  </si>
  <si>
    <t>CRASSOSTREA-VIRGINICA GMELIN; LUGWORM ARENICOLA-MARINA; DOWN CONTROL ANALYSIS; OXYGEN SPECIES PRODUCTION; FRESH-WATER EXPOSURE; WHITE SEA LITTORINA; CADMIUM EXPOSURE; OXIDATIVE STRESS; EASTERN OYSTERS; GILL MITOCHONDRIA</t>
  </si>
  <si>
    <t>Mitochondria are the key organelles involved in energy and redox homeostasis, cellular signaling, and survival. Animal mitochondria are exquisitely sensitive to environmental stress, and stress-induced changes in the mitochondrial integrity and function have major consequences for the organismal performance and fitness. Studies in the model organisms such as terrestrial mammals and insects showed that mitochondrial dysfunction is a major cause of injury during pathological conditions and environmental insults such as hypoxia, ischemia-reperfusion, and exposure to toxins. However, animals from highly stressful environments (such as the intertidal zone of the ocean) can maintain mitochondrial integrity and function despite intense and rapid fluctuations in abiotic conditions and associated changes in the intracellular milieu. Recent studies demonstrate that mitochondria of intertidal organisms (including mollusks, crustaceans, and fish) are capable of maintaining activity of mitochondrial electron transport system (ETS), ATP synthesis, and mitochondrial coupling in a broad range of temperature, osmolarity, and ion content. Mitochondria of intertidal organisms such as mollusks are also resistant to hypoxia-reoxygenation injury and show stability or even upregulation of the mitochondrial ETS activity and ATP synthesis capacity during intermittent hypoxia. In contrast, pH optima for mitochondrial ATP synthesis and respiration are relatively narrow in intertidal mollusks and may reflect adaptation to suppress metabolic rate during pH shifts caused by extreme stress. Sensitivity to anthropogenic pollutants (such as trace metals) in intertidal mollusks appears similar to that of other organisms (including mammals) and may reflect the lack of adaptation to these evolutionarily novel stressors. The mechanisms of the exceptional mitochondrial resilience to temperature, salinity, and hypoxic stress are not yet fully understood in intertidal organisms, yet recent studies demonstrate that they may involve rapid modulation of the ETS capacity (possibly due to post-translation modification of mitochondrial proteins), upregulation of antioxidant defenses in anticipation of oxidative stress, and high activity of mitochondrial proteases involved in degradation of damaged mitochondrial proteins. With rapidly developing molecular tools for non-model organisms, future studies of mitochondrial adaptations should pinpoint the molecular sites associated with the passive tolerance and/or active regulation of mitochondrial activity during stress exposures in intertidal organisms, investigate the roles of mitochondria in transduction of stress signals, and explore the interplay between bioenergetics and mitochondrial signaling in facilitating survival in these highly stressful environments.</t>
  </si>
  <si>
    <t>[Sokolova, Inna] Univ Rostock, Inst Biol Sci, Dept Marine Biol, A Einstein Str 3, D-18055 Rostock, Germany; [Sokolova, Inna] Univ Rostock, Interdisciplinary Fac, Dept Maritime Syst, Rostock, Germany</t>
  </si>
  <si>
    <t>University of Rostock; University of Rostock</t>
  </si>
  <si>
    <t>Sokolova, I (corresponding author), Univ Rostock, Inst Biol Sci, Dept Marine Biol, A Einstein Str 3, D-18055 Rostock, Germany.;Sokolova, I (corresponding author), Univ Rostock, Interdisciplinary Fac, Dept Maritime Syst, Rostock, Germany.</t>
  </si>
  <si>
    <t>Deutsche Forschungsgemeinschaft (DFG) in the framework of the Research Training Group Baltic TRANSCOAST [GRK 2000]; U.S. National Science Foundation [IOS-1738378]</t>
  </si>
  <si>
    <t>Deutsche Forschungsgemeinschaft (DFG) in the framework of the Research Training Group Baltic TRANSCOAST; U.S. National Science Foundation(National Science Foundation (NSF))</t>
  </si>
  <si>
    <t>The work was in part supported by the Deutsche Forschungsgemeinschaft (DFG) in the framework of the Research Training Group Baltic TRANSCOAST (award number GRK 2000) and by the U.S. National Science Foundation, award IOS-1738378. This is Baltic TRANSCOAST Publication No. GRK2000/0012.</t>
  </si>
  <si>
    <t>10.1093/icb/icy017</t>
  </si>
  <si>
    <t>HC7QJ</t>
  </si>
  <si>
    <t>WOS:000451996200015</t>
  </si>
  <si>
    <t>Liu, HM; Jiang, AL; Yu, Z</t>
  </si>
  <si>
    <t>Liu, Hongmei; Jiang, Aili; Yu, Zhen</t>
  </si>
  <si>
    <t>Effect of Nickel on the antioxidant system of Styela clava</t>
  </si>
  <si>
    <t>antioxidant enzyme; nickle; lipid peroxidation; Styela clava; ascidians</t>
  </si>
  <si>
    <t>MYTILUS-GALLOPROVINCIALIS; DIGESTIVE GLAND; TRACE-METALS; ENZYMES; ENVIRONMENT; BIOMARKER; POLLUTION; RESPONSES; CADMIUM; MUSSEL</t>
  </si>
  <si>
    <t>S. clava were exposed to sublethal concentrations of niclde (0.01, 0.05, 0.1 or 0.2 mg Ni L-1) for 40 days. Biochemical stress response of S. clava was studied taking into account superoxide dismutase (SOD), catalase (CAT), glutathione peroxidase (GPx), as well as lipid peroxidation (LPO). Present study confirms the presence of antioxidant enzymatic activity in the tissues of S. clava, reflecting a physiological adaptation to continuous metal exposure in their natural environment. Ni exposure induced a significant SOD, CAT and GPx activity inhibition in ascidians. After several days of exposure, the enzymatic activities recovered to some extent during continuous Ni treatment, that may be a contributing factor for the animals' self-repair.</t>
  </si>
  <si>
    <t>[Liu, Hongmei] Yantai Univ, Sch Ocean, Yantai 264005, Shandong, Peoples R China; [Jiang, Aili; Yu, Zhen] Yantai Univ, Dept Bioengn, Yantai 264005, Shandong, Peoples R China</t>
  </si>
  <si>
    <t>Yantai University; Yantai University</t>
  </si>
  <si>
    <t>Jiang, AL (corresponding author), Yantai Univ, Dept Bioengn, Yantai 264005, Shandong, Peoples R China.</t>
  </si>
  <si>
    <t>jal9035@163.com</t>
  </si>
  <si>
    <t>Liu, Hongmei/CAA-9473-2022</t>
  </si>
  <si>
    <t>National Natural Science Foundation of China [31070368]; Natural Science Foundation of Shandong Province [ZR2014CM031]</t>
  </si>
  <si>
    <t>National Natural Science Foundation of China(National Natural Science Foundation of China (NSFC)); Natural Science Foundation of Shandong Province(Natural Science Foundation of Shandong Province)</t>
  </si>
  <si>
    <t>Authors are grateful to National Natural Science Foundation of China (Grant No: 31070368) and Natural Science Foundation of Shandong Province (Grant No: ZR2014CM031) for the financial support.</t>
  </si>
  <si>
    <t>FG0GS</t>
  </si>
  <si>
    <t>WOS:000409398000011</t>
  </si>
  <si>
    <t>Britvic, S; Hackenberger, BK; Jaric, D; Stepic, S</t>
  </si>
  <si>
    <t>Britvic, Smiljana; Hackenberger, Branimir K.; Jaric, Davorka; Stepic, Sandra</t>
  </si>
  <si>
    <t>Detection of mutagens and BaPMO inducers in river water using the Blue Cotton adsorption technique</t>
  </si>
  <si>
    <t>Ames test; benzo(a)pyrene monooxygenase activity; Blue Cotton; fish; MFO; bioactivation potential</t>
  </si>
  <si>
    <t>POLYCYCLIC AROMATIC-HYDROCARBONS; MUSSEL MYTILUS-GALLOPROVINCIALIS; TROUT SALMO-GAIRDNERI; RAINBOW-TROUT; SAVA RIVER; COPPER-PHTHALOCYANINE; HEPATIC BIOTRANSFORMATION; ALPHA-NAPHTHOFLAVONE; SEASONAL-VARIATION; SURFACE WATERS</t>
  </si>
  <si>
    <t>Induction of Mixed Function Oxidase (MFO) activity and bioactivation potential were measured in experimental carp and in native fish species from two rivers with different pollution level (Sava and Mreznica). The experimental carp were intraperitoneally exposed to various water volume equivalents of Blue Cotton extracts from both rivers. The induction of MFO measured as a Benzo(a)pyrene monooxygenase (BaPMO) activity was increased up to 9.3-fold in experimental carp and up to 11.3-fold in native fish from Sava River, whereas the values from Mreznica River showed only a slight increase when compared with the control (highest increase of 1.8-fold in nose carp). Accordingly, bioactivation potential using modified Ames test was higher in both experiments with Sava River. Both measured parameters in experimental carp increased in a dose-dependent manner in accordance to river volume equivalents. Different induction potential of native fish species comparable between two rivers confirmed the known possibility of their usage in biomonitoring studies. These results give qualitatively a new support to the idea of using Blue Cotton extraction technique combined with induction of MFO activity and Ames test in fish as a good biomarker for assessing risk of exposure to mutagens/carcinogens such as Polycyclic Aromatic Hydrocarbons (PAHs), especially due to the simplicity and cost-effectiveness of these methods. (c) 2010 Wiley Periodicals, Inc. Environ Toxicol, 2012.</t>
  </si>
  <si>
    <t>[Hackenberger, Branimir K.; Jaric, Davorka; Stepic, Sandra] JJ Strossmayer Univ, Dept Biol, Osijek, Croatia; [Britvic, Smiljana] Rudjer Boskovic Inst, Ctr Marine &amp; Environm Res, Zagreb, Croatia</t>
  </si>
  <si>
    <t>University of JJ Strossmayer Osijek; Rudjer Boskovic Institute</t>
  </si>
  <si>
    <t>Hackenberger, BK (corresponding author), JJ Strossmayer Univ, Dept Biol, Osijek, Croatia.</t>
  </si>
  <si>
    <t>hack@biologija.unios.hr</t>
  </si>
  <si>
    <t>Hackenberger, Branimir/AAT-6871-2021; Hackenberger, Davorka/AAB-4572-2022; Hackenberger, Branimir/H-1662-2013</t>
  </si>
  <si>
    <t>Hackenberger, Branimir/0000-0003-4317-2067; Hackenberger, Davorka/0000-0002-3315-7608</t>
  </si>
  <si>
    <t>10.1002/tox.20625</t>
  </si>
  <si>
    <t>894LY</t>
  </si>
  <si>
    <t>WOS:000300429400003</t>
  </si>
  <si>
    <t>Zhao, H; Li, WJ; Zhao, XD; Li, X; Yang, DZ; Ren, HW; Zhou, YB</t>
  </si>
  <si>
    <t>Zhao, Huan; Li, Wanjuan; Zhao, Xinda; Li, Xu; Yang, Dazuo; Ren, Hongwei; Zhou, Yibing</t>
  </si>
  <si>
    <t>Cu/Zn superoxide dismutase (SOD) and catalase (CAT) response to crude oil exposure in the polychaete Perinereis aibuhitensis</t>
  </si>
  <si>
    <t>Perinereis aibuhitensis; Cu/Zn superoxide dismutase; Catalase; Crude oil</t>
  </si>
  <si>
    <t>MUSSEL MYTILUS-GALLOPROVINCIALIS; PETROLEUM-HYDROCARBONS; BEAUVERIA-BASSIANA; MOLECULAR-CLONING; STRESS; EXPRESSION; BIOMARKERS; CADMIUM; GENES; BIOACCUMULATION</t>
  </si>
  <si>
    <t>Cu/Zn superoxide dismutase (SOD) and catalase (CAT) cDNAs from the polychaete Perinereis aibuhitensis were cloned and characterized in order to investigate the relationship between crude oil exposure and stress response in this worm. The full length of PaSOD was 870 bp and PaCAT was 1967 bp encoding 150 and 506 amino acids, respectively. Gene expression and enzyme activity of Cu/Zn SOD and CAT in response to crude oil contaminated soil (500, 1500, and 3000 mg/kg) were measured. The results showed that expression of the CAT gene and enzyme activity in P. aibuhitensis was positively correlated to the concentration of crude oil and reached a maximum at 15 days of exposure to 3000 mg/kg crude oil. The expression of the SOD gene and enzyme activity of SOD in P. aibuhitensis also increased during exposure to crude oil and reached a maximum at 10 days of exposure to 3000 mg/kg crude oil. These results indicated that SOD and CAT are important for maintaining the balance of cellular metabolism and protecting P. aibuhitensis from crude oil toxicity.</t>
  </si>
  <si>
    <t>[Zhao, Huan; Li, Wanjuan; Zhao, Xinda; Yang, Dazuo; Ren, Hongwei; Zhou, Yibing] Dalian Ocean Univ, Key Lab Marine Bioresource Restorat &amp; Habitat Rep, 52 HeiShiJiao St, Dalian 116023, Liaoning, Peoples R China; [Li, Xu] Dalian Ocean Univ, Dalian Prod Promot Ctr, Dalian 116025, Peoples R China</t>
  </si>
  <si>
    <t>Dalian Ocean University; Dalian Ocean University</t>
  </si>
  <si>
    <t>Zhou, YB (corresponding author), Dalian Ocean Univ, Key Lab Marine Bioresource Restorat &amp; Habitat Rep, 52 HeiShiJiao St, Dalian 116023, Liaoning, Peoples R China.</t>
  </si>
  <si>
    <t>ybzhou@dlou.edu.cn</t>
  </si>
  <si>
    <t>National Natural Science Foundation of China [41306138]; National Marine Public Welfare Research Project [201305002, 201305043]; Project of Marine Ecological Restoration Technology Research to the Penglai 19-3 Oil Spill Accident [19-3YJ09]</t>
  </si>
  <si>
    <t>National Natural Science Foundation of China(National Natural Science Foundation of China (NSFC)); National Marine Public Welfare Research Project; Project of Marine Ecological Restoration Technology Research to the Penglai 19-3 Oil Spill Accident</t>
  </si>
  <si>
    <t>This work was funded by the National Natural Science Foundation of China (No. 41306138), the National Marine Public Welfare Research Project (Nos. 201305002, 201305043), and the Project of Marine Ecological Restoration Technology Research to the Penglai 19-3 Oil Spill Accident (No. 19-3YJ09).</t>
  </si>
  <si>
    <t>10.1007/s11356-016-7594-0</t>
  </si>
  <si>
    <t>WOS:000392105700059</t>
  </si>
  <si>
    <t>Truchet, DM; Buzzi, NS; Negro, CL; Palavecino, CC; Mora, MC; Marcaovecchio, JE</t>
  </si>
  <si>
    <t>Truchet, D. M.; Buzzi, N. S.; Negro, C. L.; Palavecino, C. C.; Mora, M. C.; Marcaovecchio, J. E.</t>
  </si>
  <si>
    <t>Unraveling the depuration mechanisms of metals in the burrowing crab (Neohelice granulata Dana, 1852): Biochemical biomarkers, metal-rich granules and bioaccumulation patterns</t>
  </si>
  <si>
    <t>Metals; Depuration; Environmental tolerance; Decapods; Metallothioneins</t>
  </si>
  <si>
    <t>SUBCELLULAR COMPARTMENTALIZATION; OXIDATIVE STRESS; MODEL SELECTION; WHITE SHRIMP; 2 BIVALVES; CADMIUM; TOXICITY; MARINE; CD; CONTAMINATION</t>
  </si>
  <si>
    <t>We studied the depuration mechanisms of metals (Cd, Cu, Pb, Zn, Mn, Ni, Cr, Fe) in Neohelice granulata, from sites with different human impacts (PC, a more impacted site and VM, a less impacted one). Our objectives included assessing metal concentrations (essential and non-essential) before and after depuration treatment, evaluating biochemical biomarkers (non-enzymatic and enzymatic) pre and post-treatment, and determining the role of metal-rich granules (MRG) in depuration. We observed variability in metals and biomarkers post-depuration, with no significant differences observed in PC, while Cd and Mn increased and Ni, Cu, and Fe decreased in VM. Integrated biomarkers' response indicated the prevailing antioxidant capacity in depurated organisms. Lipid peroxidation changes were insignificant, except in depurated-VM where values increased. MRG showed a significant decrease only for Mn and Fe, suggesting they were not the primary depuration structure. We concluded that depuration might depend on the species, gender and contamination history.</t>
  </si>
  <si>
    <t>[Truchet, D. M.; Buzzi, N. S.; Marcaovecchio, J. E.] CCT CONICET, Inst Argentino Oceanog IADO, Area Oceanog Quim, Camino Carrindanga,km 7-5,Edificio E1,B8000FWB, Bahia Blanca, Buenos Aires, Argentina; [Truchet, D. M.] Univ Nacl Mar del Plata UNMdP, Fac Ciencias Exactas &amp; Nat, Grp Ecotoxicol, Inst Invest Marinas &amp; Costeras IIMyC,CONICET, Dean Funes 3350,B7602AYL, Mar Del Plata, Argentina; [Buzzi, N. S.] Univ Nacl Sur UNS, Dept Biol Bioquim &amp; Farm, San Juan 670,B8000ICN, Bahia Blanca, Buenos Aires, Argentina; [Negro, C. L.] Univ Nacl Litoral ESS, Escuela Super San, Fac Ciencias Biol &amp; Bioquim, FBCB UNL, Paraje El Pozo S-N, RA-3000 Ciudad De Santa Fe, Santa Fe, Argentina; [Negro, C. L.; Mora, M. C.] CONICET UNL, Inst Nacl Limnol INALI, Paraje Pozo S-N, RA-3000 Ciudad De Santa Fe, Santa Fe, Argentina; [Palavecino, C. C.] CONICET UNL, Inst Ciencias Vet Litoral ICIVET, Lab Ecol Enfermedades, RP Kreder 2805, Esperanza, Santa Fe, Argentina; [Marcaovecchio, J. E.] Univ Tecnol Nacl UTN FRBB, 11 Abril 461,B8000LMI, Bahia Blanca, Buenos Aires, Argentina</t>
  </si>
  <si>
    <t>Consejo Nacional de Investigaciones Cientificas y Tecnicas (CONICET); National University of Mar del Plata; Consejo Nacional de Investigaciones Cientificas y Tecnicas (CONICET); National University of the South; National University of the Littoral; National University of the Littoral; Consejo Nacional de Investigaciones Cientificas y Tecnicas (CONICET); Consejo Nacional de Investigaciones Cientificas y Tecnicas (CONICET); National University of the Littoral</t>
  </si>
  <si>
    <t>Truchet, DM (corresponding author), Univ Nacl Mar del Plata UNMdP, Fac Ciencias Exactas &amp; Nat, Grp Ecotoxicol, Inst Invest Marinas &amp; Costeras IIMyC,CONICET, Dean Funes 3350,B7602AYL, Mar Del Plata, Argentina.</t>
  </si>
  <si>
    <t>dmtruchet@conicet.gov.ar</t>
  </si>
  <si>
    <t>Negro, Carlo/A-1569-2013</t>
  </si>
  <si>
    <t>10.1016/j.marpolbul.2023.115638</t>
  </si>
  <si>
    <t>Y3JS3</t>
  </si>
  <si>
    <t>WOS:001104271000001</t>
  </si>
  <si>
    <t>Aouini, F; Boussoufa, D; Ghribi, F; Bejaoui, S; Elcafsi, M</t>
  </si>
  <si>
    <t>Aouini, Fatma; Boussoufa, Dhouha; Ghribi, Feriel; Bejaoui, Safa; Elcafsi, Mhamed</t>
  </si>
  <si>
    <t>Use of fatty acid composition, neurotoxic and oxidative stress biomarkers to assess the effect of permethrin exposure in the gills of Donax trunculus from Tunisian coast</t>
  </si>
  <si>
    <t>Donax trunculus; Permethrin; Fatty acids; Acetylcholinesterase; Catalase; Lipid peroxidation; Glutathione</t>
  </si>
  <si>
    <t>RUDITAPES-PHILIPPINARUM; SCROBICULARIA-PLANA; CLOMAZONE HERBICIDE; LIPID CLASSES; LIFE STAGES; CLAM; POLLUTION; CADMIUM; RESPONSES; TOXICITY</t>
  </si>
  <si>
    <t>Permethrin (PER) is a pyrethroid insecticide widely used in Tunisia for agricultural activities. The present investigation tried to assess the impact of PER exposure (150 mu g.L-1) on the biochemical composition of two different size classes (adults and juveniles) of Donax trunculus. Results have shown a significant decrease in total lipid and fatty acid contents in both treated size classes with more sensitivity of juveniles to the toxin than adults. Generally, saturated (SFA) and monounsaturated (MUFA) fatty acids decreased in the gills of adult specimens with PER contamination, while, polyunsaturated fatty acids (PUFA) were the most affected in both size classes' expressed by significant decrease in n-3 and n-6 PUFAs. EPA/DHA and n-3/n-6 ratios increased significantly in the gills of both size classes after PER exposure. However, changes in EPA+DHA contents are reduced only in juveniles. The activity of the neurotoxic biomarker, acetylcholinesterase, decreased significantly in the gills of both adults and juveniles after PER exposure showing high activity in juveniles compared to adults. However, catalase activity, lipid peroxidation levels and glutathione contents increased significantly with the exposure to PER.</t>
  </si>
  <si>
    <t>[Aouini, Fatma; Boussoufa, Dhouha; Ghribi, Feriel; Bejaoui, Safa; Elcafsi, Mhamed] Univ Tunis El Manar, Sci Fac Tunis, Res Unit Physiol &amp; Aquat Environm, Tunis 2092, Tunisia</t>
  </si>
  <si>
    <t>Aouini, F (corresponding author), Univ Tunis El Manar, Sci Fac Tunis, Res Unit Physiol &amp; Aquat Environm, Tunis 2092, Tunisia.</t>
  </si>
  <si>
    <t>f.aouini16@gmail.com</t>
  </si>
  <si>
    <t>Research Unit of Physiology and Aquatic Environment</t>
  </si>
  <si>
    <t>This study was supported by the Research Unit of Physiology and Aquatic Environment. I would like to thank all members of the unit for their help and collaboration.</t>
  </si>
  <si>
    <t>10.21411/CBM.A.2CCA63E8</t>
  </si>
  <si>
    <t>GN0WR</t>
  </si>
  <si>
    <t>WOS:000438700700009</t>
  </si>
  <si>
    <t>Kumar, V; Valadez-Blanco, R; Kumar, P; Singh, J; Kumar, P</t>
  </si>
  <si>
    <t>Kumar, Vinod; Valadez-Blanco, Rogelio; Kumar, Pankaj; Singh, Jogendra; Kumar, Piyush</t>
  </si>
  <si>
    <t>Effects of treated sugar mill effluent and rice straw on substrate properties under milky mushroom (Calocybe indica P&amp;C) production: Nutrient utilization and growth kinetics studies</t>
  </si>
  <si>
    <t>Calocybe indica; Milky mushroom; Mycoremediation; Sugar mill effluent; Sustainable mushroom production</t>
  </si>
  <si>
    <t>PLEUROTUS-SAJOR-CAJU; MUNICIPAL WASTE-WATER; CULTIVATED MUSHROOMS; OYSTER MUSHROOM; HEAVY-METALS; OSTREATUS; POLLUTION; YIELD; TRANSLOCATION; MANAGEMENT</t>
  </si>
  <si>
    <t>In this work, we evaluated the potential of treated sugar mill effluent (SME) as a moistener of rice straw substrate for laboratory cultivation of milky mushroom (Calocybe indica P&amp;C). Five different concentrations of SME including, 0% (control using normal water supply) 25, 50, 75, and 100% were tested to enrich the rice straw substrate. Laboratory experiments were performed under controlled temperature (32.5 degrees C) and humidity (74.0%). The results showed that substrate enrichment with SME significantly increased the nutrient composition of rice straw substrate which further enhanced the C. indica production. After cultivation of C. indica, the maximum removal of substrate nutrients including, organic carbon (36.05%), NO3--N (37.41%), Na+ (26.19%), K+ (9.80%), PO43--P (9.33%), SO42- (38.65%), Ca2+ (28.19%), Mg2+ (37.50%), Cu2+ (43.70%), Fe3+ (36.41%), Mn2+ (35.62%), and Zn2+ (36.13%) was observed using 50% SME enrichment. The maximum flush yield and bioefficiency were 127.2 g/kg substrate and 75.3% with maximum nutrient uptake rates, respectively within the same treatment. The modified Gompertz model gave the best predicted cumulative mushroom biomass production (y: 148.7 g/kg) and lag phase (0.1070 days) with a good coefficient of determination (R-2 &gt;= 0.9900), respectively. This work represented the sustainable utilization of treated SME for enhanced production of C. indica while reducing freshwater and fertilizer inputs. (C) 2020 Elsevier B.V. All rights reserved.</t>
  </si>
  <si>
    <t>[Kumar, Vinod; Kumar, Pankaj; Singh, Jogendra; Kumar, Piyush] Gurukula Kangri Vishwavidyalaya, Agroecol &amp; Pollut Res Lab, Dept Zool &amp; Environm Sci, Haridwar 249404, Uttarakhand, India; [Valadez-Blanco, Rogelio] Univ Tecnolog Mixteca, Inst Agroind, Carretera Acatlima Km 2-5, Oaxaca 69000, Oaxaca, Mexico</t>
  </si>
  <si>
    <t>Gurukul Kangri Vishwavidyalaya</t>
  </si>
  <si>
    <t>Kumar, P (corresponding author), Gurukula Kangri Vishwavidyalaya, Agroecol &amp; Pollut Res Lab, Dept Zool &amp; Environm Sci, Haridwar 249404, Uttarakhand, India.</t>
  </si>
  <si>
    <t>rs.pankajkumar@gkv.ac.in</t>
  </si>
  <si>
    <t>Kumar, Dr. Piyush/JCD-6608-2023; Kumar, Vinod/V-8332-2019; Blanco, Rogelio/B-3968-2008; Kumar, Pankaj/AAF-2231-2019</t>
  </si>
  <si>
    <t>Kumar, Dr. Piyush/0000-0002-0733-1131; Singh, Jogendra/0000-0002-4841-8049; Valadez-Blanco, Rogelio/0000-0002-4734-376X; Kumar, Pankaj/0000-0003-0346-0910</t>
  </si>
  <si>
    <t>Department of Zoology and Environmental Science, Gurukula Kangri Vishwavidyalaya, Haridwar, India</t>
  </si>
  <si>
    <t>This research was supported by the Department of Zoology and Environmental Science, Gurukula Kangri Vishwavidyalaya, Haridwar, India.</t>
  </si>
  <si>
    <t>10.1016/j.eti.2020.101041</t>
  </si>
  <si>
    <t>OE9UL</t>
  </si>
  <si>
    <t>WOS:000580866600132</t>
  </si>
  <si>
    <t>Touaylia, S; Khazri, A; Mezni, A; Bejaoui, M</t>
  </si>
  <si>
    <t>Touaylia, Samir; Khazri, Abdelhafidh; Mezni, Ali; Bejaoui, Mustapha</t>
  </si>
  <si>
    <t>Effect of permethrin (pyrethroid insecticide) on the biochemical response of the freshwater amphipod Echinogammarus tacapensis (Chevreux and Gauthier, 1924)</t>
  </si>
  <si>
    <t>Amphipods; freshwater; pesticide; biomarkers</t>
  </si>
  <si>
    <t>CLAM RUDITAPES-DECUSSATUS; POLLUTION BIOMARKERS; COMPARATIVE TOXICITY; AQUATIC ORGANISMS; DNA-DAMAGE; SENSITIVITY; MECHANISMS; PROTEINS; ATRAZINE; CADMIUM</t>
  </si>
  <si>
    <t>Pyrethroids, the widely used pesticides, are highly toxic to aquatic organisms. However, little information is available on their toxicity on crustaceans. We utilized imagoes of Echinogammarus tacapensis to elucidate the effects of sublethal concentrations of permethrin. The LC50 (48, 72, and 96h) was assessed considering several pesticide concentrations (ranging between 0.5 and 100ngL(-1)) using the Regtox package and were found to be 13.88, 8.974, and 4.259ngL(-1), respectively. The biomarkers' response was analyzed using animals exposed to 0.35, 0.7, and 1.4ng/L of permethrin for 4days. The catalase activity was significantly induced after 48h of exposure to the three permethrin concentrations. Additionally, the glutathione S-transferase activity was increased in a concentration-dependent manner. However, exposed to C1 (0.35ngL(-1)), the superoxide dismutase (SOD) activity showed no significant change compared to control values. The hydrogen peroxide (H2O2) rate was found to be similar to the SOD variation. Our findings suggest that permethrin poses a potential threat to freshwater amphipods and thus, the test species can be a useful tool for pesticide toxicity biomonitoring due to their small size, easy husbandry, short life cycle, and high fecundity.</t>
  </si>
  <si>
    <t>[Touaylia, Samir; Khazri, Abdelhafidh; Mezni, Ali; Bejaoui, Mustapha] Univ Carthage, Fac Sci Bizerte, Lab Environm Biomonitoring, Bizerte, Tunisia</t>
  </si>
  <si>
    <t>Khazri, A (corresponding author), Univ Carthage, Fac Sci Bizerte, Lab Environm Biomonitoring, Bizerte, Tunisia.</t>
  </si>
  <si>
    <t>Abdelhafidh, Khazri/GNM-7581-2022; touaylia, Samir/AAM-3337-2020; Ali, MEZNI/Q-6923-2017</t>
  </si>
  <si>
    <t>Ali, MEZNI/0000-0002-9659-926X</t>
  </si>
  <si>
    <t>10.1080/10236244.2018.1473711</t>
  </si>
  <si>
    <t>GI8OQ</t>
  </si>
  <si>
    <t>WOS:000434784700006</t>
  </si>
  <si>
    <t>Baudrimont, M; Andrei, J; Mornet, S; Gonzalez, P; Mesmer-Dudons, N; Gourves, PY; Jaffal, A; Dedourge-Geffard, O; Geffard, A; Geffard, O; Garric, J; Feurtet-Mazel, A</t>
  </si>
  <si>
    <t>Baudrimont, Magalie; Andrei, Jennifer; Mornet, Stephane; Gonzalez, Patrice; Mesmer-Dudons, Nathalie; Gourves, Pierre-Yves; Jaffal, Ali; Dedourge-Geffard, Odile; Geffard, Alain; Geffard, Olivier; Garric, Jeanne; Feurtet-Mazel, Agnes</t>
  </si>
  <si>
    <t>Trophic transfer and effects of gold nanoparticles (AuNPs) in Gammarus fossarum from contaminated periphytic biofilm</t>
  </si>
  <si>
    <t>Gold nanoparticles; Trophic transfer; Periphytic biofilm; Gammarus fossarum; Gene transcription; Digestive enzyme activity; Mitochondrial disruption</t>
  </si>
  <si>
    <t>BIVALVE CORBICULA-FLUMINEA; FRESH-WATER BIOFILMS; SILVER NANOPARTICLES; FUNCTIONAL-ROLE; HEAVY-METALS; IN-VITRO; TOXICITY; AMPHIPODA; CRUSTACEA; EXPOSURE</t>
  </si>
  <si>
    <t>This work addressed the trophic transfer and effects of functionalized gold nanoparticles (AuNPs) from periphytic biofilms to the crustacean Gammarus fossarum. Biofilms were exposed for 48 h to 10 nm positively charged functionalized AuNPs at two concentrations, 4.6 and 46 mg/L, and crustaceans G. fossarum grazed on these for 7 days, with daily biofilm renewal. Gold bioaccumulation in biofilm and crustacean were measured to estimate the trophic transfer ratio of these AuNP, and, for the first time, a transcriptomic approach and transmission electron microscopy observations in the crustacean were made. These two approaches showed cellular damage caused by oxidative stress and, in particular, an impact of these AuNPs on mitochondrial respiration. Modulation of digestive enzyme activity was also observed, suggesting modifications of digestive functions. The damage due to these nanoparticles could then have vital consequences for the organisms during chronic exposure.</t>
  </si>
  <si>
    <t>[Baudrimont, Magalie; Andrei, Jennifer; Gonzalez, Patrice; Mesmer-Dudons, Nathalie; Gourves, Pierre-Yves; Feurtet-Mazel, Agnes] Univ Bordeaux, CNRS, UMR EPOC 5805, Aquat Ecotoxicol, Pl Dr Peyneau, F-33120 Arcachon, France; [Mornet, Stephane] ICMCB, 87 Ave Dr Albert Schweitzer, F-33600 Pessac, France; [Jaffal, Ali; Dedourge-Geffard, Odile; Geffard, Alain] Univ Reims, UMR I SEBIO 02, Campus Moulin Housse,BP 1039, F-51687 Reims 2, France; [Geffard, Olivier; Garric, Jeanne] IRSTEA, 5 Rue Doua,CS70077, F-69626 Villeurbanne, France</t>
  </si>
  <si>
    <t>Centre National de la Recherche Scientifique (CNRS); CNRS - National Institute for Earth Sciences &amp; Astronomy (INSU); Universite de Bordeaux; Universite de Bordeaux; Universite de Reims Champagne-Ardenne; Universite Paris Saclay; INRAE</t>
  </si>
  <si>
    <t>Baudrimont, M (corresponding author), Univ Bordeaux, CNRS, UMR EPOC 5805, Aquat Ecotoxicol, Pl Dr Peyneau, F-33120 Arcachon, France.</t>
  </si>
  <si>
    <t>Gonzalez, Patrice/KGK-5933-2024; Mornet, Stephane/A-6608-2017</t>
  </si>
  <si>
    <t>Geffard, olivier/0000-0001-7760-4644; Baudrimont, Magalie/0000-0001-9901-8435; Geffard, Alain/0000-0001-9236-2890; JAFFAL, Ali/0009-0005-8294-7701; Dedourge-Geffard, Odile/0000-0001-6308-2080; Mornet, Stephane/0000-0002-1115-5812; Gonzalez, Patrice/0000-0003-2628-2993</t>
  </si>
  <si>
    <t>Agence Nationale de Securite Sanitaire de l'Alimentation, de l'Environnement et du Travail (ANSES) research program TRONANO; Agence Nationale de la Recherche (ANR) in the CITTOXIC-Nano program [ANR-14-CE21-0001-01]; Investments for the future Program within the Cluster of Excellence COTE [ANR-10-LABX-45]; Agence Nationale de la Recherche (ANR) [ANR-14-CE21-0001] Funding Source: Agence Nationale de la Recherche (ANR)</t>
  </si>
  <si>
    <t>Agence Nationale de Securite Sanitaire de l'Alimentation, de l'Environnement et du Travail (ANSES) research program TRONANO; Agence Nationale de la Recherche (ANR) in the CITTOXIC-Nano program; Investments for the future Program within the Cluster of Excellence COTE; Agence Nationale de la Recherche (ANR)(Agence Nationale de la Recherche (ANR))</t>
  </si>
  <si>
    <t>The authors thank the Agence Nationale de Securite Sanitaire de l'Alimentation, de l'Environnement et du Travail (ANSES) research program TRONANO, for their support of this work. They also thank Bruno Etcheverria from the EPOC laboratory (University of Bordeaux) for his support in laboratory work, and the Bordeaux Imaging Center which allowed us access to their microscopic devices. This work was also supported by the Agence Nationale de la Recherche (ANR) in the CITTOXIC-Nano program (ANR-14-CE21-0001-01) and the Investments for the future Program, within the Cluster of Excellence COTE (ANR-10-LABX-45).</t>
  </si>
  <si>
    <t>10.1007/s11356-017-8400-3</t>
  </si>
  <si>
    <t>WOS:000431790000002</t>
  </si>
  <si>
    <t>Alvarado, NE; Buxens, A; Mazon, LI; Marigómez, I; Soto, M</t>
  </si>
  <si>
    <t>Cellular biomarkers of exposure and biological effect in hepatocytes of turbot (Scophthalmus maximus) exposed to Cd, Cu and Zn and after depuration</t>
  </si>
  <si>
    <t>metals; autometallography; metallothioneins; hepatocytes; vacuolisation; lysosomes; psetta</t>
  </si>
  <si>
    <t>LYSOSOMAL STRUCTURE ALTERATIONS; LITTORINA-LITTOREA; DIGESTIVE CELLS; SUBCELLULAR-DISTRIBUTION; ENVIRONMENTAL-POLLUTION; MARINE FLATFISH; COMMON WINKLE; METALLOTHIONEIN; CADMIUM; MUSSELS</t>
  </si>
  <si>
    <t>Cellular biomarkers of exposure and biological effects were measured in hepatocytes of turbot exposed to either Cd, Cu or Zn at concentrations of 1 and 10 mg/l seawater for 7 days and after depuration for 14 days. Metal content in hepatocyte lysosomes was determined by image analysis after autometallography (AMG) as volume density of autometallographed black silver deposits (Vv(BSD)). Metallothionein (MT) levels were quantified on liver sections by microdensitometry after immunohistochemical staining with a polyclonal anti cod-MT antibody (MT-OD), and in the cytosolic fraction of hepatocytes by difference pulse polarography (MT-DPP). Lysosomal structural changes (lysosomal volume, surface and numerical densities-Vv(LYS), Sv(LYS) and Nv(LYS)-, and surface-to-volume ratio S/V-Lys) were quantified by image analysis after demonstration of beta-glucuronidase activity on liver cryotome sections. Vacuolisation produced by metal-exposure in hepatocytes was quantified by stereology as volume density of vacuoles (Vv(VAC)). Exposure time and metal concentrations significantly affected Vv(BSD) in lysosomes, MT levels and the degree of vacuolisation after 1 h and 1 day exposure to the three metals. The highest VVBSD, MT and Vv(VAC) values were recorded after 7 days exposure in all cases. MT-OD and MT-DPP were significantly correlated with VVBSD. Vv(LYS) in hepatocytes increased significantly after exposure to the metals. Exposure biomarkers returned to control values after depuration with the exception of those turbots that had been exposed to 10 mg Cd/l. Alike, Vv(LYS) and Sv(lys) (Cu exposure) and Nv(LYS) (Cd and Zn exposures) returned to control values after depuration. It has been therefore demonstrated that the biomarkers used are reversible and return towards control levels once metal exposure ceases. Overall, it is concluded that Vv(BSD), MT-levels and lysosomal responses are valuable biomarkers to assess metal exposure and its effects in turbot, although in quantitative terms the biomarker response varied between metals. (C) 2004 Elsevier B.V. All rights reserved.</t>
  </si>
  <si>
    <t>Univ Basque Country, Sch Sci &amp; Technol, Dept Zool &amp; Anim Cell Biol, E-48080 Bilbao, Spain; Univ Basque Country, Sch Sci &amp; Technol, Dept Genet Phys Anthropol &amp; Anim Physiol, E-48080 Bilbao, Spain</t>
  </si>
  <si>
    <t>Univ Basque Country, Sch Sci &amp; Technol, Dept Zool &amp; Anim Cell Biol, POB 644, E-48080 Bilbao, Spain.</t>
  </si>
  <si>
    <t>zopsolom@lg.ehu.es</t>
  </si>
  <si>
    <t>10.1016/j.aquatox.2005.03.024</t>
  </si>
  <si>
    <t>956OS</t>
  </si>
  <si>
    <t>WOS:000231310300002</t>
  </si>
  <si>
    <t>Sadraddini, S; Azim, ME; Shimoda, Y; Bhavsar, SP; Drouillard, KG; Backus, SM; Arhonditsis, GB</t>
  </si>
  <si>
    <t>Sadraddini, Somayeh; Azim, M. Ekram; Shimoda, Yuko; Bhavsar, Satyendra P.; Drouillard, Ken G.; Backus, Sean M.; Arhonditsis, George B.</t>
  </si>
  <si>
    <t>A Bayesian assessment of the PCB temporal trends in Lake Erie fish communities</t>
  </si>
  <si>
    <t>Polychlorinated biphenyls; Bayesian inference; Bioaccumulation; Dynamic linear modeling; Lake Erie; Fish contamination</t>
  </si>
  <si>
    <t>POLYCHLORINATED BIPHENYL CONGENERS; PERSISTENT ORGANIC POLLUTANTS; TROUT SALVELINUS-NAMAYCUSH; GREAT-LAKES; TROPHIC TRANSFER; ZEBRA MUSSELS; ROUND GOBIES; SPORT-FISH; CONTAMINANTS; MERCURY</t>
  </si>
  <si>
    <t>The temporal trends of polychlorinated biphenyls (PCBs) in Lake Erie fish were evaluated using 30 years of fish contaminant data (1977-2007). The first step of our statistical analysis was based on simple exponential decay models parameterized with Bayesian inference techniques to assess the declining rates in four intensively sampled fish species, i.e., walleye (Stizostedion vitreum), coho salmon (Oncorhynchus kisutch), rainbow trout (Oncorhynchus mykiss) and white bass (Morone chrysops). Because the exponential model postulates monotonic decrease of the PCB levels, we included first- or second-order random error terms in our statistical formulations to accommodate non-monotonic patterns in the dataset studied. Generally, our results suggest that the PCBs have been decreasing over the last 30 years with relatively weak rates that vary among the different fish species examined. Yet, our analysis with the exponential decay model also identified an increasing trend in the PCB concentrations of walleye skinless-boneless filet data, which is manifested after the mid-90s. In the second step, we used dynamic linear modeling (DLM) analysis to account for the fact that the fish length covaries with the PCB concentrations and that different sized fish may have been sampled over time. Our DLM analysis suggests that the previously reported trend of the walleye filet data is actually an artifact associated with the bias of the fish sampling practices followed. The coho salmon and rainbow trout PCB concentrations have been decreasing steadily during the study period but the associated rates were relatively weak. Finally, the PCB trends in white bass appear to have been stabilized over that last decade, although the robustness of this result remains to be confirmed due to the temporal inconsistencies of the information used. We conclude by emphasizing the importance of explicitly accounting for the different covariates (e.g., length, age, lipid content) that can potentially hamper the detection of the actual temporal trends of fish contaminants. (C) 2011 International Association for Great Lakes Research. Published by Elsevier B.V. All rights reserved.</t>
  </si>
  <si>
    <t>[Sadraddini, Somayeh; Azim, M. Ekram; Shimoda, Yuko; Arhonditsis, George B.] Univ Toronto, Ecol Modeling Lab, Dept Phys &amp; Environm Sci, Toronto, ON M1C 1A4, Canada; [Bhavsar, Satyendra P.] Ontario Minist Environm, Environm Monitoring &amp; Reporting Branch, Toronto, ON M9P 3V6, Canada; [Bhavsar, Satyendra P.; Arhonditsis, George B.] Univ Toronto, Ctr Environm, Toronto, ON M5S 3E8, Canada; [Drouillard, Ken G.] Univ Windsor, Great Lakes Inst Environm Res, Windsor, ON N9B 3P4, Canada; [Backus, Sean M.] Environm Canada, Water Qual Monitoring &amp; Surveillance Div, Water Sci &amp; Technol Directorate, Burlington, ON L7R 4A6, Canada</t>
  </si>
  <si>
    <t>University of Toronto; University of Toronto; University of Windsor; Environment &amp; Climate Change Canada</t>
  </si>
  <si>
    <t>Arhonditsis, GB (corresponding author), Univ Toronto, Ecol Modeling Lab, Dept Phys &amp; Environm Sci, Toronto, ON M1C 1A4, Canada.</t>
  </si>
  <si>
    <t>somayeh.sadraddini@utoronto.ca; eazim@utsc.utoronto.ca; yshimoda@utsc.utoronto.ca; Satyendra.Bhavsar@ontario.ca; kgd@uwindsor.ca; Sean.Backus@ec.gc.ca; georgea@utsc.utoronto.ca</t>
  </si>
  <si>
    <t>Shimoda, Yuko/I-3521-2017; Arhonditsis, George/C-6980-2009</t>
  </si>
  <si>
    <t>This project has received funding support from the Ontario Ministry of the Environment (Best in Science Research Program-Grant Funding Agreement 89002). Such support does not indicate endorsement by the Ministry of the contents of the study. All the model codes pertinent to this analysis are available upon request from the corresponding author.</t>
  </si>
  <si>
    <t>10.1016/j.jglr.2011.06.005</t>
  </si>
  <si>
    <t>821MF</t>
  </si>
  <si>
    <t>WOS:000294978400010</t>
  </si>
  <si>
    <t>Russo, J; Lagadic, L</t>
  </si>
  <si>
    <t>Effects of environmental concentrations of atrazine on hemocyte density and phagocytic activity in the pond snail Lymnaea stagnalis (Gastropoda, Pulmonata)</t>
  </si>
  <si>
    <t>immunotoxicity; biomarker; phagocytosis; oxidative stress; flow cytometry; freshwater snail</t>
  </si>
  <si>
    <t>FRESH-WATER MESOCOSMS; COMMON MARINE MUSSEL; IN-VITRO EXPOSURE; MYTILUS-EDULIS; MYA-ARENARIA; HEAVY-METALS; ECOTOXICOLOGICAL RELEVANCE; CRASSOSTREA-VIRGINICA; BIOMPHALARIA-GLABRATA; MOLLUSCAN HEMOCYTES</t>
  </si>
  <si>
    <t>Immunotoxicological effects of environmentally relevant concentrations (10, 23, 50, 100 mug/l) of atrazine were studied in Lyllinaeal stagnalis. Individual hemolymph sampling was performed at 0, 24, 48, 72, 96, 168, 336, 504 and 672 h during exposure. Every atrazine concentration induced a significant increase in the mean number of circulating hemocytes, without any concentration-response relation. A peak (1.6-fold increase) of hemocyte density was observed after 96 h of exposure. After 504 h, the number of hemocytes remained hi her only in the snails exposed to the two highest concentrations. Granulocytes contributed most to the increase in hemocyte density in herbicide-exposed snails. Both short- (24 and 96 h) and long-term (504 h) exposures resulted in significant inhibition of hemocyte phagocytic activity upon E. coli. Over the long-term, phagocytosis recovered for the two lowest concentrations. After 504 h of exposure, every herbicide level resulted in a significant reduction of reactive oxygen species production in E. coli-stimulated hemocytes, which was not observed for short-term exposures. (C) 2003 Elsevier Ltd. All rights reserved.</t>
  </si>
  <si>
    <t>Univ Rennes 1, CNRS, UMR 6553, F-35042 Rennes, France; ENSAR, Equipe Ecotoxicol &amp; Qual Milieux, UMR 985, INRA, F-35042 Rennes, France</t>
  </si>
  <si>
    <t>Universite de Rennes; Centre National de la Recherche Scientifique (CNRS); CNRS - Institute of Ecology &amp; Environment (INEE); INRAE; Universite de Rennes; Institut Agro; Agrocampus Ouest</t>
  </si>
  <si>
    <t>Russo, J (corresponding author), Univ Rennes 1, CNRS, UMR 6553, Campus Beaulieu, F-35042 Rennes, France.</t>
  </si>
  <si>
    <t>10.1016/S0269-7491(03)00269-0</t>
  </si>
  <si>
    <t>WOS:000187780000015</t>
  </si>
  <si>
    <t>Unrine, JM; Hopkins, WA; Romanek, CS; Jackson, BP</t>
  </si>
  <si>
    <t>Unrine, Jason M.; Hopkins, William A.; Romanek, Christopher S.; Jackson, Brian P.</t>
  </si>
  <si>
    <t>Bioaccumulation of trace elements in omnivorous amphibian larvae: Implications for amphibian health and contaminant transport</t>
  </si>
  <si>
    <t>trace element; amphibian; bioaccumulation; coral combustion waste; stable isotope</t>
  </si>
  <si>
    <t>BULLFROGS RANA-CATESBEIANA; DIETARY MERCURY EXPOSURE; COAL-COMBUSTION WASTES; FOOD-WEB; SPHENOCEPHALA LARVAE; BIVALVE CORBICULA; TROPHIC POSITION; STABLE NITROGEN; CARBON ISOTOPES; BUFO-TERRESTRIS</t>
  </si>
  <si>
    <t>Despite the influence that amphibians have on the flow of energy and nutrients in ecological systems, the role that amphibians play in transporting contaminants through food webs has received very little attention. This study was undertaken to investigate bioaccumulation of trace elements in amphibians relative to other small aquatic organisms in a contaminated wetland. We collected bullfrog larvae (Rana catesbeiana) along with three other species of small vertebrates and four species of invertebrates from a site contaminated with a wide array of trace elements and analyzed them for trace element concentrations and stable nitrogen and carbon isotope composition. We found that amphibian larvae accumulated the highest concentrations of most trace elements, possibly due to their feeding ecology. These results suggest that omnivorous amphibian larvae can serve as a critical link for trace element trophic transfer. Their propensity to accumulate trace elements may have important implications for amphibian health in contaminated environments and should be further investigated. (c) 2007 Elsevier Ltd. All rights reserved.</t>
  </si>
  <si>
    <t>Univ Georgia, Savannah River Ecol Lab, Aiken, SC 29802 USA; Virginia Polytech Inst &amp; State Univ, Dept Fisheries &amp; Wildlife Sci, Blacksburg, VA 24061 USA; Univ Georgia, Dept Geol, Athens, GA 30602 USA; Dartmouth Coll, Dept Chem &amp; Earth Sci, Hanover, NH 03755 USA</t>
  </si>
  <si>
    <t>University System of Georgia; University of Georgia; United States Department of Energy (DOE); Savannah River Ecology Laboratory; Virginia Polytechnic Institute &amp; State University; University System of Georgia; University of Georgia; Dartmouth College</t>
  </si>
  <si>
    <t>Unrine, JM (corresponding author), Univ Georgia, Savannah River Ecol Lab, PO Drawer E, Aiken, SC 29802 USA.</t>
  </si>
  <si>
    <t>unrine@sref.edu</t>
  </si>
  <si>
    <t>Hopkins, William/JFK-5636-2023; Jackson, Brian/AAL-4166-2021</t>
  </si>
  <si>
    <t>Unrine, Jason/0000-0003-3012-5261</t>
  </si>
  <si>
    <t>10.1016/j.envpol.2007.01.039</t>
  </si>
  <si>
    <t>WOS:000249601200007</t>
  </si>
  <si>
    <t>Bighiu, MA; Watermann, B; Guo, XL; Almroth, BC; Eriksson-Wiklund, AK</t>
  </si>
  <si>
    <t>Bighiu, Maria Alexandra; Watermann, Burkard; Guo, Xueli; Almroth, Bethanie Carney; Eriksson-Wiklund, Ann-Kristin</t>
  </si>
  <si>
    <t>Mortality and histopathological effects in harbour-transplanted snails with different exposure histories</t>
  </si>
  <si>
    <t>Metals; Snails; Theodoxus fluviatilis; Caging; Histopathology; COI</t>
  </si>
  <si>
    <t>THEODOXUS-FLUVIATILIS; PHENOTYPIC PLASTICITY; COPPER CONTAMINATION; LYMNAEA-STAGNALIS; AQUATIC ANIMALS; POLLUTION; TOLERANCE; MUSSELS; BIOMARKERS; PARASITES</t>
  </si>
  <si>
    <t>Contaminants are important stressors in the aquatic environment and may exert selective pressures on organisms. We hypothesized that snails originating from a metal-contaminated habitat (B) would have increased tolerance to harbour contaminants (e.g. metals from antifouling paints), compared to snails originating from a relatively clean habitat (A). We assessed tolerance to metals in terms of survival and histopathological alterations after 2, 4 and 8 weeks of in situ exposure in three Baltic Sea boat harbours and three reference sites. We also hypothesized that any potential tolerance to contaminants would be associated with differences in genetic diversity between the two snail populations (evaluated as mitochondrial cytochrome c oxidase subunit I, COI). The results show that snails from population A survived to a higher extent compared to population B, possibly indicating either a lack of adaptation to metals in snails B or impaired health condition due to contaminant pre-exposure or a higher resilience of snails A. Moreover, the genetic diversity of COI was low within each population and did not differ between populations. In general, 83% of all the types of histopathological alterations (e.g. lysis and necrosis of gonads and digestive gland or granulocytoma and phagocytosis in the storage tissue, among others) had a higher probability of occurrence among harbour-exposed snails compared to reference exposed snails, regardless of snail population origin. The only significant difference in histological effects between the two populations was in the frequency of parasite infestations and shell fouling, both being larger for population A than B. Interestingly, the rate of parasite infestations was higher for males than females from population A, whereas no sexual dichotomy was observed for population B. Our results show that exposure to harbour contaminants causes both lethal and sublethal toxicity to snails, and the association between many of the toxic responses and metals substantiates that antifouling substances contribute to the observed effects, although there is a large proportion of variation in our data that remains unexplained.</t>
  </si>
  <si>
    <t>[Bighiu, Maria Alexandra; Guo, Xueli; Eriksson-Wiklund, Ann-Kristin] Stockholm Univ, Dept Environm Sci &amp; Analyt Chem ACES, SE-10691 Stockholm, Sweden; [Watermann, Burkard] LimnoMar, Lab Aquat Res, Bei Neuen Munze 11, D-22145 Homburg, Germany; [Almroth, Bethanie Carney] Univ Gothenburg, Dept Biol &amp; Environm Sci, POB 463, S-40530 Gothenburg, Sweden</t>
  </si>
  <si>
    <t>Stockholm University; University of Gothenburg</t>
  </si>
  <si>
    <t>Bighiu, MA (corresponding author), Stockholm Univ, Dept Environm Sci &amp; Analyt Chem ACES, SE-10691 Stockholm, Sweden.</t>
  </si>
  <si>
    <t>maria.bighiu@aces.su.se; watermann@limnomar.de; shirleyguo1122@gmail.com; bethanie.carney@bioenv.gu.se; Ann-Kristin.Eriksson-Wiklund@aces.su.se</t>
  </si>
  <si>
    <t>Bighiu, Maria/ABA-9079-2020; Carney Almroth, Bethanie/Q-6411-2019</t>
  </si>
  <si>
    <t>Carney Almroth, Bethanie/0000-0002-5037-4612; Bighiu, Maria/0000-0001-8478-0144</t>
  </si>
  <si>
    <t>BONUS; European Community's Seventh Framework Programme [2012-90]; Baltic Sea national funding institutions</t>
  </si>
  <si>
    <t>BONUS; European Community's Seventh Framework Programme(European Union (EU)); Baltic Sea national funding institutions</t>
  </si>
  <si>
    <t>This study was funded by BONUS (CHANGE-project), financed jointly by the European Community's Seventh Framework Programme (grant agreement 2012-90) and Baltic Sea national funding institutions.</t>
  </si>
  <si>
    <t>10.1016/j.aquatox.2017.06.018</t>
  </si>
  <si>
    <t>FF3GN</t>
  </si>
  <si>
    <t>WOS:000408783600002</t>
  </si>
  <si>
    <t>Vreys, N; Amé, MV; Filippi, I; Cazenave, J; Valdés, ME; Bistoni, MA</t>
  </si>
  <si>
    <t>Vreys, N.; Ame, M. V.; Filippi, I.; Cazenave, J.; Valdes, M. E.; Bistoni, M. A.</t>
  </si>
  <si>
    <t>Effect of Landscape Changes on Water Quality and Health Status of Heptapterus mustelinus (Siluriformes, Heptapteridae)</t>
  </si>
  <si>
    <t>JENYNSIA-MULTIDENTATA ANABLEPIDAE; INTEGRATED BIOMARKER RESPONSE; CATFISH RHAMDIA-QUELEN; MIDDLE-LOWER BASIN; FISH LIZA-AURATA; ENVIRONMENTAL-POLLUTION; AGRICULTURAL ACTIVITIES; MARINE MUSSELS; RIVER CORDOBA; HEAVY-METALS</t>
  </si>
  <si>
    <t>Substances derived from anthropogenic activities induce changes in the physical and chemical characteristics of the aquatic environment. Physicochemical and biological studies are necessary to understand how changes in landscape affect the health of the aquatic environment. The main goal of this study was to evaluate how the landscape at different spatial scales affects (1) water quality and (2) the health status of Heptapterus mustelinus, based on several biomarkers. During the dry season, individuals were caught in three sites with different degrees of anthropogenic activity. The quality of the terrestrial environment was assessed using the Riparian Quality and Land Use Indices. The water quality condition was evaluated using a water quality index, and pesticides and pharmaceuticals were measured in water. The following biomarkers were analyzed in the fish: general health status (Condition Factor, Hepatosomatic index and energetic costs), enzymatic activity (GST, CAT, AchE), carbonyl content in proteins and histopathological responses in liver and gills. The most impacted sites by the presence of pesticides showed more alterations in the surrounding landscape; specially, changes in the riparian area. In this area, biomarkers denoted more damage than in sites with protected riparian zone. Conservation status of riparian ecosystems is crucial in the determination of rivers ecological quality. Our results demonstrate the importance of monitoring the environmental quality through an integrated analysis, using native fish to understand the effects of human activities on the biota. [GRAPHICS] .</t>
  </si>
  <si>
    <t>[Vreys, N.] Univ Nacl Cordoba, Fac Ciencias Exactas Fis &amp; Nat, Dept Diversidad Biol &amp; Ecol, Av Velez Sarsfield 299, RA-5000 Cordoba, Argentina; [Ame, M. V.; Filippi, I.; Valdes, M. E.] Univ Nacl Cordoba, CONICET, Ctr Invest Bioquim Clin &amp; Inmunol Cordoba CIBICI, Dept Bioquim Clin, Ciudad Univ, RA-5000 Cordoba, Argentina; [Ame, M. V.; Filippi, I.; Valdes, M. E.] Univ Nacl Cordoba, Fac Ciencias Quim, Ciudad Univ, RA-5000 Cordoba, Argentina; [Cazenave, J.] Consejo Nacl Invest Cient &amp; Tecn, UNL, INALI, Lab Ictiol,Inst Nacl Limnol, Santa Fe, Argentina; [Cazenave, J.] UNL, FHUC, Fac Humanidades &amp; Ciencias, Ciudad Univ, RA-3000 Santa Fe, Argentina; [Bistoni, M. A.] Univ Nacl Cordoba, CONICET, IDEA, Av Velez Sarsfield 299, RA-5000 Cordoba, Argentina; [Bistoni, M. A.] Univ Nacl Cordoba, Fac Ciencias Exactas Fis &amp; Nat, Av Velez Sarsfield 299, RA-5000 Cordoba, Argentina</t>
  </si>
  <si>
    <t>National University of Cordoba; National University of Cordoba; Consejo Nacional de Investigaciones Cientificas y Tecnicas (CONICET); National University of Cordoba; National University of the Littoral; Consejo Nacional de Investigaciones Cientificas y Tecnicas (CONICET); National University of the Littoral; Consejo Nacional de Investigaciones Cientificas y Tecnicas (CONICET); National University of Cordoba; National University of Cordoba</t>
  </si>
  <si>
    <t>Bistoni, MA (corresponding author), Univ Nacl Cordoba, CONICET, IDEA, Av Velez Sarsfield 299, RA-5000 Cordoba, Argentina.;Bistoni, MA (corresponding author), Univ Nacl Cordoba, Fac Ciencias Exactas Fis &amp; Nat, Av Velez Sarsfield 299, RA-5000 Cordoba, Argentina.</t>
  </si>
  <si>
    <t>bistonimaria@gmail.com</t>
  </si>
  <si>
    <t>Valdes, Maria/ABQ-2578-2022</t>
  </si>
  <si>
    <t>Ame, Maria/0000-0003-2382-8196; VALDES, MARIA EUGENIA/0000-0002-6935-4427; Cazenave, Jimena/0000-0003-2930-246X</t>
  </si>
  <si>
    <t>National Research Council (CONICET) [PIP 112-201101-01084]; Secretaria de Ciencia y Tecnica of the Universidad Nacional de Cordoba (SECYT)</t>
  </si>
  <si>
    <t>National Research Council (CONICET)(Consejo Nacional de Investigaciones Cientificas y Tecnicas (CONICET)); Secretaria de Ciencia y Tecnica of the Universidad Nacional de Cordoba (SECYT)(Secretaria de Ciencia y Tecnologia (SECYT))</t>
  </si>
  <si>
    <t>This study was supported by grants from National Research Council (CONICET, PIP 112-201101-01084) and Secretaria de Ciencia y Tecnica of the Universidad Nacional de Cordoba (SECYT, 2015/2016.).</t>
  </si>
  <si>
    <t>10.1007/s00244-018-00593-7</t>
  </si>
  <si>
    <t>HP3AA</t>
  </si>
  <si>
    <t>WOS:000461546800010</t>
  </si>
  <si>
    <t>Jafarabadi, AR; Bakhtiari, AR; Yaghoobi, Z; Yap, CK; Maisano, M; Cappello, T</t>
  </si>
  <si>
    <t>Jafarabadi, Ali Ranjbar; Bakhtiari, Alireza Riyahi; Yaghoobi, Zeinab; Yap, Chee Kong; Maisano, Maria; Cappello, Tiziana</t>
  </si>
  <si>
    <t>Distributions and compositional patterns of polycyclic aromatic hydrocarbons (PAHs) and their derivatives in three edible fishes from Kharg coral Island, Persian Gulf, Iran</t>
  </si>
  <si>
    <t>PAHs; PAH derivatives; Edible fish; Muscle; Liver; Persian Gulf</t>
  </si>
  <si>
    <t>MUSSELS MYTILUS-GALLOPROVINCIALIS; ECOLOGICAL RISK-ASSESSMENT; ORGANIC POLLUTANTS PAHS; ATLANTIC BLUEFIN TUNA; EEL ANGUILLA-ANGUILLA; CEPHALUS L. PISCES; SURFACE SEDIMENTS; HEAVY-METALS; LIZA-AURATA; PETROCHEMICAL CONTAMINATION</t>
  </si>
  <si>
    <t>This is the first report on bioaccumulation of polycyclic aromatic hydrocarbons (PAHs) and their derivatives (oxygen, nitrogen, sulfur, hydroxyl, carbonyl and methyl-containing PAHs) in three edible marine fishes, namely Lutjanus argentimaculatus, Lethrinus microdon and Scomberomorus guttatus, from Kharg Island, Persian Gulf, Iran. The concentrations (ng g(-1) dw) of Sigma 39PAHs resulted significantly higher in fish liver than muscle, with the PAH composition pattern dominated by low molecular weight compounds (naphthalene, alkyl-naphthalenes and phenanthrene). The highest mean concentrations of Sigma 9 oxygenated and Sigma 15 hydroxylated PAHs (ng g(-1) dw) were found ound in L microdon and L argentimaculatus, respectively, while the lowest values in S. guttatus. Additionally, the highest mean concentrations of Sigma 5 carbonylic PAHs (ng g(-1) dw) were found in L. argentimaculatus, followed by L. microdon. The PAHs levels and distribution in fish liver and muscle were dependent on both the K-ow of PAHs congeners and fish lipid contents. Overall, the present findings provide important baseline data for further research on the eco-toxicity of PAHs in aquatic organisms, and consequent implications for human health. (C) 2018 Elsevier Ltd. All rights reserved.</t>
  </si>
  <si>
    <t>[Jafarabadi, Ali Ranjbar; Bakhtiari, Alireza Riyahi] Tarbiat Modares Univ, Fac Nat Resources &amp; Marine Sci, Dept Environm Sci, Noor, Mazandaran, Iran; [Yaghoobi, Zeinab] Khorramshahr Univ Marine Sci &amp; Technol, Fac Marine Sci, Dept Marine Biol, Khorramshahr, Iran; [Yap, Chee Kong] Univ Putra Malaysia, Dept Biol, Fac Sci, Serdang, Selangor, Malaysia; [Maisano, Maria; Cappello, Tiziana] Univ Messina, Dept Chem Biol Pharmaceut &amp; Environm Sci, Messina, Italy</t>
  </si>
  <si>
    <t>Tarbiat Modares University; Khorramshahr University of Marine Science &amp; Technology; Universiti Putra Malaysia; University of Messina</t>
  </si>
  <si>
    <t>Bakhtiari, AR (corresponding author), Tarbiat Modares Univ, Fac Nat Resources &amp; Marine Sci, Dept Environm Sci, Noor, Mazandaran, Iran.</t>
  </si>
  <si>
    <t>Ali.ranjbar@modares.ac.ir; riahi@modares.ac.ir</t>
  </si>
  <si>
    <t>Riyahi Bakhtiari, Alireza/JTV-7290-2023; Ranjbar, Ali/AAC-1659-2019; Yap, Chee Kong/N-1318-2015; CAPPELLO, TIZIANA/J-6902-2016</t>
  </si>
  <si>
    <t>Yap, Chee Kong/0000-0003-0317-0999; CAPPELLO, TIZIANA/0000-0002-7790-6324; (KMSU), khorramshahr university of marine Science and technology/0000-0001-8329-9690; jafarabadi ranjbar, ali/0000-0001-9106-1981; MAISANO, Maria/0000-0003-2517-5117; yaghoobi, zeinab/0000-0002-8615-9957</t>
  </si>
  <si>
    <t>10.1016/j.chemosphere.2018.10.092</t>
  </si>
  <si>
    <t>HA6IO</t>
  </si>
  <si>
    <t>WOS:000450383400093</t>
  </si>
  <si>
    <t>Luis, LG; Barreto, A; Trindade, T; Soares, AMVM; Oliveira, M</t>
  </si>
  <si>
    <t>Luis, Luis G.; Barreto, Angela; Trindade, Tito; Soares, Amadeu M. V. M.; Oliveira, Miguel</t>
  </si>
  <si>
    <t>Effects of emerging contaminants on neurotransmission and biotransformation in marine organisms - An in vitro approach</t>
  </si>
  <si>
    <t>Gold nanopartides; Human pharmaceuticals; Mixtures; Phase II biotransformation; Neurotransmission; Mytilus galloprovincialis</t>
  </si>
  <si>
    <t>MUSSEL MYTILUS-GALLOPROVINCIALIS; POMATOSCHISTUS-MICROPS TELEOSTEI; GLUTATHIONE S-TRANSFERASES; HEAVY-METAL INHIBITION; ZEBRAFISH DANIO-RERIO; FRESH-WATER MUSSELS; SHORT-TERM EXPOSURE; GOLD NANOPARTICLES; WASTE-WATER; ACETYLCHOLINESTERASE ACTIVITY</t>
  </si>
  <si>
    <t>The effects of gold (ionic form and nanopartides - AuNPs) and pharmaceuticals (carbamazepine and fluoxetine) on enzymes involved in neurotransmission (acetylcholinesterase - AChE) and biotransformation (glutathione S-transferases - GST) were assessed by their incubation with Mytilus galloprovincialis' hemolymph and subcellular fraction of gills, respectively. AuNPs did not alter enzymatic activities unlike ionic gold that inhibited AChE and GST activities at 2.5 and 0.42 mg.L-1, respectively. Carbamazepine inhibited AChE activity at 500 mg.L-1 and fluoxetine at 1000 mg.L-1. GST was inhibited by carbamazepine at 250 mg.L-1 and by fluoxetine at 125 mg.L-1. Increased AChE activity was found in simultaneous exposures to fluoxetine and bovine serum albumin coated AuNPs (BSA-AuNPs). Concerning GST, in the simultaneous exposures, AuNPs revealed protective effects against carbamazepine (citrate and polyvinylpyrrolidone coated) and fluoxetine (citrate and BSA coated) induced inhibition. However, BSA-AuNPs increased the inhibition caused by carbamazepine. AuNPs demonstrated ability to interfere with other chemicals toxicity justifying further studies. (C) 2016 Elsevier Ltd. All rights reserved.</t>
  </si>
  <si>
    <t>[Luis, Luis G.; Barreto, Angela; Soares, Amadeu M. V. M.; Oliveira, Miguel] Univ Aveiro, Dept Biol, P-3810193 Aveiro, Portugal; [Luis, Luis G.; Barreto, Angela; Soares, Amadeu M. V. M.; Oliveira, Miguel] Univ Aveiro, CESAM, P-3810193 Aveiro, Portugal; [Trindade, Tito] Univ Aveiro, Dept Chem, P-3810193 Aveiro, Portugal; [Trindade, Tito] Univ Aveiro, CICECO, P-3810193 Aveiro, Portugal</t>
  </si>
  <si>
    <t>Universidade de Aveiro; Universidade de Aveiro; Universidade de Aveiro; Universidade de Aveiro</t>
  </si>
  <si>
    <t>Oliveira, M (corresponding author), Univ Aveiro, Dept Biol, P-3810193 Aveiro, Portugal.;Oliveira, M (corresponding author), Univ Aveiro, CESAM, P-3810193 Aveiro, Portugal.</t>
  </si>
  <si>
    <t>migueloliveira@ua.pt</t>
  </si>
  <si>
    <t>Barreto, Angela/M-9833-2018; Soares, Amadeu/A-8304-2008; Oliveira, Miguel/E-4090-2010; Trindade, Tito/A-8030-2010</t>
  </si>
  <si>
    <t>Barreto, Angela/0000-0002-1697-4788; Soares, Amadeu/0000-0003-0879-9470; Oliveira, Miguel/0000-0001-5404-7718; Trindade, Tito/0000-0002-5456-7243</t>
  </si>
  <si>
    <t>COMPETE - Operational Competitiveness Program; national funds through FCT - Foundation for Science and Technology, under the project NANOAu - Effects of Gold Nanoparticles to Aquatic Organisms [FCT PTDC/MAR-EST/3399/2012, FCOMP-01-0124-FEDER-029435, PEst-C/MAR/LA0017/2013, Pest-C/CTM/LA0011/2013, UID/AMB/50017/2013]; FCT [BI/U188/6881/2014, BI/U188/6593/2013]; FCT - European Social Fund [SFRH/BPD/85107/2012]; national funds from the Ministerio da Educacao e Ciencia (POPH-QREN-Tipologia 4.1) of Portugal; Fundação para a Ciência e a Tecnologia [SFRH/BPD/85107/2012] Funding Source: FCT</t>
  </si>
  <si>
    <t>COMPETE - Operational Competitiveness Program; national funds through FCT - Foundation for Science and Technology, under the project NANOAu - Effects of Gold Nanoparticles to Aquatic Organisms; FCT(Fundacao para a Ciencia e a Tecnologia (FCT)); FCT - European Social Fund(Fundacao para a Ciencia e a Tecnologia (FCT)); national funds from the Ministerio da Educacao e Ciencia (POPH-QREN-Tipologia 4.1) of Portugal; Fundação para a Ciência e a Tecnologia(Fundacao para a Ciencia e a Tecnologia (FCT))</t>
  </si>
  <si>
    <t>This research was supported through the COMPETE - Operational Competitiveness Program and national funds through FCT - Foundation for Science and Technology, under the project NANOAu - Effects of Gold Nanoparticles to Aquatic Organisms (FCT PTDC/MAR-EST/3399/2012) (FCOMP-01-0124-FEDER-029435), PEst-C/MAR/LA0017/2013 and Pest-C/CTM/LA0011/2013, UID/AMB/50017/2013; L.G. Luis has a fellowship from FCT (BI/U188/6881/2014); A. Barreto had a fellowship from FCT (BI/U188/6593/2013); M. Oliveira has a post-doc fellowship from FCT (SFRH/BPD/85107/2012) supported by the European Social Fund and national funds from the Ministerio da Educacao e Ciencia (POPH-QREN-Tipologia 4.1) of Portugal.</t>
  </si>
  <si>
    <t>10.1016/j.marpolbul.2016.02.064</t>
  </si>
  <si>
    <t>WOS:000376545900041</t>
  </si>
  <si>
    <t>Jigyasi, J; Kundu, R</t>
  </si>
  <si>
    <t>Jigyasi, Jyoti; Kundu, Rahul</t>
  </si>
  <si>
    <t>LOW CONCENTRATION OF A DIOXIN (2, 3, 7, 8 TCDD) AFFECTS THE GLYCOSIDASES AND ACID PHOSPHATASE ACTIVITY IN MICE HEPATOCYTES</t>
  </si>
  <si>
    <t>DOSE-RESPONSE</t>
  </si>
  <si>
    <t>Dioxin; TCDD; lysosomal enzymes; dose and duration; liver; mice</t>
  </si>
  <si>
    <t>MUSSEL MYTILUS-GALLOPROVINCIALIS; ARYL-HYDROCARBON RECEPTOR; CYTOCHROME P4501A1; PHOSPHOLIPASE A(2); CELLS; INDUCTION; POLLUTION; MECHANISM; TOXICITY; COPPER</t>
  </si>
  <si>
    <t>Present communication reports the effects of environmentally available, low doses of tetra chloro di benzo-p-dioxin (2,3,7,8 TCDD) to lysosomal enzymes in mice liver. The study tests the hypothesis, in vivo exposure of low dose TCDD provokes dose and duration dependent toxic effects to key lysosomal enzymes and thereby causes cellular apoptotic changes. Three groups of female Swiss albino mice were subjected to two doses of TCDD (0.004 mg/kg bw/d, 0.04 mg/kg bw/d) for 2, 4 and 6 days of exposure durations. The results indicated significant exposure duration dependent effects of TCDD in mice liver cells. The results suggested that TCDD possibly induced an increase in intracellular ions or ROS which in turn altered different physiological activities by affecting different metabolic pathway of the liver cells. The altered functions of key lysosomal enzymes by TCDD may also evoke the process of cellular apoptosis.</t>
  </si>
  <si>
    <t>[Jigyasi, Jyoti; Kundu, Rahul] Saurashtra Univ, Dept Biosci, Rajkot 360005, Gujarat, India</t>
  </si>
  <si>
    <t>Saurashtra University</t>
  </si>
  <si>
    <t>Kundu, R (corresponding author), Saurashtra Univ, Dept Biosci, Rajkot 360005, Gujarat, India.</t>
  </si>
  <si>
    <t>rskundu@sauuni.ernet.in</t>
  </si>
  <si>
    <t>Kundu, Rahul/0000-0001-7744-7386; Jigyasi, Jyoti/0000-0002-9941-2333</t>
  </si>
  <si>
    <t>UGC, Govt. of India, New Delhi; UGC, New Delhi for Meritorious Scholarship</t>
  </si>
  <si>
    <t>UGC, Govt. of India, New Delhi(University Grants Commission, India); UGC, New Delhi for Meritorious Scholarship</t>
  </si>
  <si>
    <t>Authors are thankful to UGC, Govt. of India, New Delhi for supporting this study through its DSA/CAS programme. The senior author is thankful to UGC, New Delhi for Meritorious Scholarship.</t>
  </si>
  <si>
    <t>INT DOSE-RESPONSE SOC</t>
  </si>
  <si>
    <t>AMHERST</t>
  </si>
  <si>
    <t>UNIV MASSACHUSETTS SPH, MORRILL SCI CTR 1, N344, 639 N PLEASANT ST, AMHERST, MA 01003-9298 USA</t>
  </si>
  <si>
    <t>1559-3258</t>
  </si>
  <si>
    <t>Dose-Response</t>
  </si>
  <si>
    <t>10.2203/dose-response.13-053.Kundu</t>
  </si>
  <si>
    <t>Pharmacology &amp; Pharmacy; Radiology, Nuclear Medicine &amp; Medical Imaging; Toxicology</t>
  </si>
  <si>
    <t>AX0SN</t>
  </si>
  <si>
    <t>WOS:000346662400007</t>
  </si>
  <si>
    <t>Sousa, AP; Nunes, B</t>
  </si>
  <si>
    <t>Sousa, Ana Paula; Nunes, Bruno</t>
  </si>
  <si>
    <t>Dangerous connections: biochemical and behavioral traits in Daphnia magna and Daphnia longispina exposed to ecologically relevant amounts of paracetamol</t>
  </si>
  <si>
    <t>Drugs; Crustaceans; Biomarkers; Population effects; Sublethal effect</t>
  </si>
  <si>
    <t>PHARMACEUTICAL DRUG PARACETAMOL; CLAM RUDITAPES-PHILIPPINARUM; MULTI-RESIDUE ANALYSIS; SWIMMING BEHAVIOR; OXIDATIVE STRESS; ZINC PYRITHIONE; BROAD RANGE; WATER; ACETAMINOPHEN; REPRODUCTION</t>
  </si>
  <si>
    <t>Exposure of nontarget organisms to therapeutic agents can cause distinct toxic effects, even at low concentrations. Paracetamol is a painkiller drug, widely used in human and veterinary therapies, being frequently found in the aquatic compartment in considerable amounts. Its toxicity has already been established for some species, but its full ecotoxicological potential is still not sufficiently described. To characterize the ecotoxicity of paracetamol, the present study evaluated several parameters, such as acute immobilization (EC50 calculation), biochemical alterations, and behavioral effects, in two species of freshwater microcrustaceans of the genus Daphnia (D. magna and D. longispina). To increase the relevance of the data obtained, animals were exposed to levels of paracetamol similar to those already reported to occur in the wild. Data showed antioxidant responses in both species, namely an increase of catalase and GSTs activities in D. magna. On the contrary, effects of paracetamol on D. longispina included only an impairment of GSTs activity. Despite the absence of anticholinesterasic effects, behavioral modifications were also observed. This set of data indicates that realistic levels of paracetamol may trigger the activation of the antioxidant defense system of freshwater crustaceans, causing changes in behavioral traits (increase in swimming time, but with a reduction in swimming distance) of unknown etiology that are likely to affect normal life traits of wild populations.</t>
  </si>
  <si>
    <t>[Sousa, Ana Paula; Nunes, Bruno] Univ Aveiro, Ctr Estudos Ambiente &amp; Mar CESAM, Campus Santiago, P-3810193 Aveiro, Portugal; [Nunes, Bruno] Univ Aveiro, Dept Biol, Campus Santiago, P-3810193 Aveiro, Portugal</t>
  </si>
  <si>
    <t>Nunes, B (corresponding author), Univ Aveiro, Ctr Estudos Ambiente &amp; Mar CESAM, Campus Santiago, P-3810193 Aveiro, Portugal.;Nunes, B (corresponding author), Univ Aveiro, Dept Biol, Campus Santiago, P-3810193 Aveiro, Portugal.</t>
  </si>
  <si>
    <t>paullinha01@hotmail.com; nunes.b@ua.pt</t>
  </si>
  <si>
    <t>Sousa, Ana/AAT-4649-2020; Nunes, Bruno/J-4579-2013</t>
  </si>
  <si>
    <t>Nunes, Bruno/0000-0002-6743-2321</t>
  </si>
  <si>
    <t>Fundacao para a Ciencia e a Tecnologia, FCT (project ECO-R-pharmplast-Ecotoxicity of realistic combinations of pharmaceutical drugs and microplastics in marine ecosystems) [POCI-01-0145-FEDER-029203]; FCT [UIDB/50017/2020 + UIDP/50017/2020]; ERDF, within the PT2020 Partnership Agreement; Compete 2020</t>
  </si>
  <si>
    <t>Fundacao para a Ciencia e a Tecnologia, FCT (project ECO-R-pharmplast-Ecotoxicity of realistic combinations of pharmaceutical drugs and microplastics in marine ecosystems); FCT(Fundacao para a Ciencia e a Tecnologia (FCT)); ERDF, within the PT2020 Partnership Agreement(European Union (EU)Marie Curie Actions); Compete 2020</t>
  </si>
  <si>
    <t>This research was funded by Fundacao para a Ciencia e a Tecnologia, FCT (project ECO-R-pharmplast-Ecotoxicity of realistic combinations of pharmaceutical drugs and microplastics in marine ecosystems, reference POCI-01-0145-FEDER-029203). FCT also funded the research centre CESAM, in which the research was conducted (UIDB/50017/2020 + UIDP/50017/2020); CESAM was also co-funded by ERDF, within the PT2020 Partnership Agreement and Compete 2020. None of these sources of funding had any role in the design of the study and collection, analysis, and interpretation of data and in the writing of the manuscript.</t>
  </si>
  <si>
    <t>10.1007/s11356-021-13200-5</t>
  </si>
  <si>
    <t>WOS:000630657000007</t>
  </si>
  <si>
    <t>Abdel-Khalek, AA</t>
  </si>
  <si>
    <t>Abdel-Khalek, Amr A.</t>
  </si>
  <si>
    <t>Comparative Evaluation of Genotoxic Effects Induced by CuO Bulk and Nano-Particles in Nile Tilapia, Oreochromis niloticus</t>
  </si>
  <si>
    <t>CuO nano-particles; Genotoxicity; DNA fragmentation; Micronucleus</t>
  </si>
  <si>
    <t>COPPER-OXIDE NANOPARTICLES; TITANIUM-DIOXIDE; SILVER NANOPARTICLES; DETAILED DESCRIPTION; TIO2 NANOPARTICLES; DNA FRAGMENTATION; OXIDATIVE STRESS; TOXICITY; MUSSEL; WATER</t>
  </si>
  <si>
    <t>Metal oxide nano-particles have definitely unique toxicological properties than currently investigated oxides. Therefore, this study was aimed to comparatively evaluate the genotoxicity of nano-CuO and bulk CuO particles on a model fish species Oreochromis niloticus. Fish were exposed to two selected concentrations ((1)/(10) and (1)/(20) of the LC50/96 h) of both nano-CuO and bulk CuO for 30 days. Genotoxic effects associated with DNA ladder formation and chromosomal damage were investigated using DNA fragmentation and micronucleus techniques. Based on DNA fragmentation of fish hepatocytes, the two selected concentrations of bulk and nano-CuO were found to induce DNA damage. Analysis of the DNA fragments initiated by bulk CuO on agarose gel revealed DNA ladder pattern, which is commonly considered as a hallmark of apoptosis, while fish exposed to nano-CuO particles showed a molecular hallmark of necrosis which is the fragmentation of the nuclear DNA into a smear-like pattern. Also, DNA damage was further confirmed quantitatively using the image analysis software Image J. In this context, nanoCuO- treated groups exhibited a maximum DNA damage especially at the lower concentration ((1)/(20) LC50/96 h). To ensure CuO genotoxicity, micronucleus and other nine nuclear abnormalities were studied in peripheral erythrocytes and significant (p &lt; 0.05) elevation was observed in nano-CuO-exposed groups at the lower concentration followed by a decrease in extent of chromosomal damage at the higher concentration, while fish groups treated with bulk CuO showed a more or less dose-dependent effect.</t>
  </si>
  <si>
    <t>[Abdel-Khalek, Amr A.] Cairo Univ, Fac Sci, Dept Zool, Cairo, Egypt</t>
  </si>
  <si>
    <t>Egyptian Knowledge Bank (EKB); Cairo University</t>
  </si>
  <si>
    <t>Abdel-Khalek, AA (corresponding author), Cairo Univ, Fac Sci, Dept Zool, Cairo, Egypt.</t>
  </si>
  <si>
    <t>ecoamr@gmail.com</t>
  </si>
  <si>
    <t>Abdel-Khalek, Amr/0000-0002-6777-8728</t>
  </si>
  <si>
    <t>Faculty of Science, Cairo University</t>
  </si>
  <si>
    <t>Faculty of Science, Cairo University(Egyptian Knowledge Bank (EKB)Cairo University)</t>
  </si>
  <si>
    <t>I would like to thank Faculty of Science, Cairo University, for partly financial support of this work through the provision of chemicals necessary to complete this work.</t>
  </si>
  <si>
    <t>10.1007/s11270-015-2737-3</t>
  </si>
  <si>
    <t>DA6FN</t>
  </si>
  <si>
    <t>WOS:000367898100039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</si>
</sst>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等线"/>
      <family val="2"/>
      <charset val="134"/>
      <scheme val="minor"/>
    </font>
    <font>
      <sz val="10"/>
      <name val="Arial"/>
      <family val="2"/>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8A2C-2494-480C-9F20-F9DC0004290E}">
  <dimension ref="A1:BV3514"/>
  <sheetViews>
    <sheetView tabSelected="1" workbookViewId="0">
      <selection activeCell="G3004" sqref="G3004"/>
    </sheetView>
  </sheetViews>
  <sheetFormatPr defaultRowHeight="13.8"/>
  <sheetData>
    <row r="1" spans="1:7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row>
    <row r="2" spans="1:72">
      <c r="A2" s="1" t="s">
        <v>72</v>
      </c>
      <c r="B2" s="1" t="s">
        <v>73</v>
      </c>
      <c r="C2" s="1" t="s">
        <v>74</v>
      </c>
      <c r="D2" s="1" t="s">
        <v>74</v>
      </c>
      <c r="E2" s="1" t="s">
        <v>74</v>
      </c>
      <c r="F2" s="1" t="s">
        <v>75</v>
      </c>
      <c r="G2" s="1" t="s">
        <v>74</v>
      </c>
      <c r="H2" s="1" t="s">
        <v>74</v>
      </c>
      <c r="I2" s="1" t="s">
        <v>76</v>
      </c>
      <c r="J2" s="1" t="s">
        <v>77</v>
      </c>
      <c r="K2" s="1" t="s">
        <v>74</v>
      </c>
      <c r="L2" s="1" t="s">
        <v>74</v>
      </c>
      <c r="M2" s="1" t="s">
        <v>78</v>
      </c>
      <c r="N2" s="1" t="s">
        <v>79</v>
      </c>
      <c r="O2" s="1" t="s">
        <v>74</v>
      </c>
      <c r="P2" s="1" t="s">
        <v>74</v>
      </c>
      <c r="Q2" s="1" t="s">
        <v>74</v>
      </c>
      <c r="R2" s="1" t="s">
        <v>74</v>
      </c>
      <c r="S2" s="1" t="s">
        <v>74</v>
      </c>
      <c r="T2" s="1" t="s">
        <v>80</v>
      </c>
      <c r="U2" s="1" t="s">
        <v>81</v>
      </c>
      <c r="V2" s="1" t="s">
        <v>82</v>
      </c>
      <c r="W2" s="1" t="s">
        <v>83</v>
      </c>
      <c r="X2" s="1" t="s">
        <v>84</v>
      </c>
      <c r="Y2" s="1" t="s">
        <v>85</v>
      </c>
      <c r="Z2" s="1" t="s">
        <v>74</v>
      </c>
      <c r="AA2" s="1" t="s">
        <v>74</v>
      </c>
      <c r="AB2" s="1" t="s">
        <v>74</v>
      </c>
      <c r="AC2" s="1" t="s">
        <v>74</v>
      </c>
      <c r="AD2" s="1" t="s">
        <v>74</v>
      </c>
      <c r="AE2" s="1" t="s">
        <v>74</v>
      </c>
      <c r="AF2" s="1" t="s">
        <v>74</v>
      </c>
      <c r="AG2" s="1">
        <v>33</v>
      </c>
      <c r="AH2" s="1">
        <v>26</v>
      </c>
      <c r="AI2" s="1">
        <v>27</v>
      </c>
      <c r="AJ2" s="1">
        <v>4</v>
      </c>
      <c r="AK2" s="1">
        <v>7</v>
      </c>
      <c r="AL2" s="1" t="s">
        <v>86</v>
      </c>
      <c r="AM2" s="1" t="s">
        <v>87</v>
      </c>
      <c r="AN2" s="1" t="s">
        <v>88</v>
      </c>
      <c r="AO2" s="1" t="s">
        <v>89</v>
      </c>
      <c r="AP2" s="1" t="s">
        <v>90</v>
      </c>
      <c r="AQ2" s="1" t="s">
        <v>74</v>
      </c>
      <c r="AR2" s="1" t="s">
        <v>91</v>
      </c>
      <c r="AS2" s="1" t="s">
        <v>92</v>
      </c>
      <c r="AT2" s="1" t="s">
        <v>93</v>
      </c>
      <c r="AU2" s="1">
        <v>1982</v>
      </c>
      <c r="AV2" s="1">
        <v>2</v>
      </c>
      <c r="AW2" s="1">
        <v>2</v>
      </c>
      <c r="AX2" s="1" t="s">
        <v>74</v>
      </c>
      <c r="AY2" s="1" t="s">
        <v>74</v>
      </c>
      <c r="AZ2" s="1" t="s">
        <v>74</v>
      </c>
      <c r="BA2" s="1" t="s">
        <v>74</v>
      </c>
      <c r="BB2" s="1">
        <v>99</v>
      </c>
      <c r="BC2" s="1">
        <v>109</v>
      </c>
      <c r="BD2" s="1" t="s">
        <v>74</v>
      </c>
      <c r="BE2" s="1" t="s">
        <v>94</v>
      </c>
      <c r="BF2" s="1" t="str">
        <f>HYPERLINK("http://dx.doi.org/10.1002/jat.2550020208","http://dx.doi.org/10.1002/jat.2550020208")</f>
        <v>http://dx.doi.org/10.1002/jat.2550020208</v>
      </c>
      <c r="BG2" s="1" t="s">
        <v>74</v>
      </c>
      <c r="BH2" s="1" t="s">
        <v>74</v>
      </c>
      <c r="BI2" s="1">
        <v>11</v>
      </c>
      <c r="BJ2" s="1" t="s">
        <v>95</v>
      </c>
      <c r="BK2" s="1" t="s">
        <v>96</v>
      </c>
      <c r="BL2" s="1" t="s">
        <v>95</v>
      </c>
      <c r="BM2" s="1" t="s">
        <v>97</v>
      </c>
      <c r="BN2" s="1" t="s">
        <v>74</v>
      </c>
      <c r="BO2" s="1" t="s">
        <v>74</v>
      </c>
      <c r="BP2" s="1" t="s">
        <v>74</v>
      </c>
      <c r="BQ2" s="1" t="s">
        <v>74</v>
      </c>
      <c r="BR2" s="1" t="s">
        <v>98</v>
      </c>
      <c r="BS2" s="1" t="s">
        <v>99</v>
      </c>
      <c r="BT2" s="1" t="str">
        <f>HYPERLINK("https%3A%2F%2Fwww.webofscience.com%2Fwos%2Fwoscc%2Ffull-record%2FWOS:000481577900007","View Full Record in Web of Science")</f>
        <v>View Full Record in Web of Science</v>
      </c>
    </row>
    <row r="3" spans="1:72">
      <c r="A3" s="1" t="s">
        <v>72</v>
      </c>
      <c r="B3" s="1" t="s">
        <v>100</v>
      </c>
      <c r="C3" s="1" t="s">
        <v>74</v>
      </c>
      <c r="D3" s="1" t="s">
        <v>74</v>
      </c>
      <c r="E3" s="1" t="s">
        <v>74</v>
      </c>
      <c r="F3" s="1" t="s">
        <v>101</v>
      </c>
      <c r="G3" s="1" t="s">
        <v>74</v>
      </c>
      <c r="H3" s="1" t="s">
        <v>74</v>
      </c>
      <c r="I3" s="1" t="s">
        <v>102</v>
      </c>
      <c r="J3" s="1" t="s">
        <v>103</v>
      </c>
      <c r="K3" s="1" t="s">
        <v>74</v>
      </c>
      <c r="L3" s="1" t="s">
        <v>74</v>
      </c>
      <c r="M3" s="1" t="s">
        <v>78</v>
      </c>
      <c r="N3" s="1" t="s">
        <v>79</v>
      </c>
      <c r="O3" s="1" t="s">
        <v>74</v>
      </c>
      <c r="P3" s="1" t="s">
        <v>74</v>
      </c>
      <c r="Q3" s="1" t="s">
        <v>74</v>
      </c>
      <c r="R3" s="1" t="s">
        <v>74</v>
      </c>
      <c r="S3" s="1" t="s">
        <v>74</v>
      </c>
      <c r="T3" s="1" t="s">
        <v>74</v>
      </c>
      <c r="U3" s="1" t="s">
        <v>104</v>
      </c>
      <c r="V3" s="1" t="s">
        <v>105</v>
      </c>
      <c r="W3" s="1" t="s">
        <v>106</v>
      </c>
      <c r="X3" s="1" t="s">
        <v>107</v>
      </c>
      <c r="Y3" s="1" t="s">
        <v>108</v>
      </c>
      <c r="Z3" s="1" t="s">
        <v>109</v>
      </c>
      <c r="AA3" s="1" t="s">
        <v>110</v>
      </c>
      <c r="AB3" s="1" t="s">
        <v>111</v>
      </c>
      <c r="AC3" s="1" t="s">
        <v>74</v>
      </c>
      <c r="AD3" s="1" t="s">
        <v>74</v>
      </c>
      <c r="AE3" s="1" t="s">
        <v>74</v>
      </c>
      <c r="AF3" s="1" t="s">
        <v>74</v>
      </c>
      <c r="AG3" s="1">
        <v>17</v>
      </c>
      <c r="AH3" s="1">
        <v>9</v>
      </c>
      <c r="AI3" s="1">
        <v>10</v>
      </c>
      <c r="AJ3" s="1">
        <v>0</v>
      </c>
      <c r="AK3" s="1">
        <v>27</v>
      </c>
      <c r="AL3" s="1" t="s">
        <v>112</v>
      </c>
      <c r="AM3" s="1" t="s">
        <v>113</v>
      </c>
      <c r="AN3" s="1" t="s">
        <v>114</v>
      </c>
      <c r="AO3" s="1" t="s">
        <v>115</v>
      </c>
      <c r="AP3" s="1" t="s">
        <v>116</v>
      </c>
      <c r="AQ3" s="1" t="s">
        <v>74</v>
      </c>
      <c r="AR3" s="1" t="s">
        <v>117</v>
      </c>
      <c r="AS3" s="1" t="s">
        <v>118</v>
      </c>
      <c r="AT3" s="1" t="s">
        <v>119</v>
      </c>
      <c r="AU3" s="1">
        <v>2007</v>
      </c>
      <c r="AV3" s="1">
        <v>79</v>
      </c>
      <c r="AW3" s="1">
        <v>2</v>
      </c>
      <c r="AX3" s="1" t="s">
        <v>74</v>
      </c>
      <c r="AY3" s="1" t="s">
        <v>74</v>
      </c>
      <c r="AZ3" s="1" t="s">
        <v>74</v>
      </c>
      <c r="BA3" s="1" t="s">
        <v>74</v>
      </c>
      <c r="BB3" s="1">
        <v>218</v>
      </c>
      <c r="BC3" s="1">
        <v>220</v>
      </c>
      <c r="BD3" s="1" t="s">
        <v>74</v>
      </c>
      <c r="BE3" s="1" t="s">
        <v>120</v>
      </c>
      <c r="BF3" s="1" t="str">
        <f>HYPERLINK("http://dx.doi.org/10.1007/s00128-007-9166-y","http://dx.doi.org/10.1007/s00128-007-9166-y")</f>
        <v>http://dx.doi.org/10.1007/s00128-007-9166-y</v>
      </c>
      <c r="BG3" s="1" t="s">
        <v>74</v>
      </c>
      <c r="BH3" s="1" t="s">
        <v>74</v>
      </c>
      <c r="BI3" s="1">
        <v>3</v>
      </c>
      <c r="BJ3" s="1" t="s">
        <v>121</v>
      </c>
      <c r="BK3" s="1" t="s">
        <v>96</v>
      </c>
      <c r="BL3" s="1" t="s">
        <v>122</v>
      </c>
      <c r="BM3" s="1" t="s">
        <v>123</v>
      </c>
      <c r="BN3" s="1">
        <v>17668142</v>
      </c>
      <c r="BO3" s="1" t="s">
        <v>74</v>
      </c>
      <c r="BP3" s="1" t="s">
        <v>74</v>
      </c>
      <c r="BQ3" s="1" t="s">
        <v>74</v>
      </c>
      <c r="BR3" s="1" t="s">
        <v>98</v>
      </c>
      <c r="BS3" s="1" t="s">
        <v>124</v>
      </c>
      <c r="BT3" s="1" t="str">
        <f>HYPERLINK("https%3A%2F%2Fwww.webofscience.com%2Fwos%2Fwoscc%2Ffull-record%2FWOS:000249297300020","View Full Record in Web of Science")</f>
        <v>View Full Record in Web of Science</v>
      </c>
    </row>
    <row r="4" spans="1:72">
      <c r="A4" s="1" t="s">
        <v>72</v>
      </c>
      <c r="B4" s="1" t="s">
        <v>125</v>
      </c>
      <c r="C4" s="1" t="s">
        <v>74</v>
      </c>
      <c r="D4" s="1" t="s">
        <v>74</v>
      </c>
      <c r="E4" s="1" t="s">
        <v>74</v>
      </c>
      <c r="F4" s="1" t="s">
        <v>125</v>
      </c>
      <c r="G4" s="1" t="s">
        <v>74</v>
      </c>
      <c r="H4" s="1" t="s">
        <v>74</v>
      </c>
      <c r="I4" s="1" t="s">
        <v>126</v>
      </c>
      <c r="J4" s="1" t="s">
        <v>127</v>
      </c>
      <c r="K4" s="1" t="s">
        <v>74</v>
      </c>
      <c r="L4" s="1" t="s">
        <v>74</v>
      </c>
      <c r="M4" s="1" t="s">
        <v>78</v>
      </c>
      <c r="N4" s="1" t="s">
        <v>79</v>
      </c>
      <c r="O4" s="1" t="s">
        <v>74</v>
      </c>
      <c r="P4" s="1" t="s">
        <v>74</v>
      </c>
      <c r="Q4" s="1" t="s">
        <v>74</v>
      </c>
      <c r="R4" s="1" t="s">
        <v>74</v>
      </c>
      <c r="S4" s="1" t="s">
        <v>74</v>
      </c>
      <c r="T4" s="1" t="s">
        <v>128</v>
      </c>
      <c r="U4" s="1" t="s">
        <v>129</v>
      </c>
      <c r="V4" s="1" t="s">
        <v>130</v>
      </c>
      <c r="W4" s="1" t="s">
        <v>131</v>
      </c>
      <c r="X4" s="1" t="s">
        <v>132</v>
      </c>
      <c r="Y4" s="1" t="s">
        <v>133</v>
      </c>
      <c r="Z4" s="1" t="s">
        <v>134</v>
      </c>
      <c r="AA4" s="1" t="s">
        <v>74</v>
      </c>
      <c r="AB4" s="1" t="s">
        <v>135</v>
      </c>
      <c r="AC4" s="1" t="s">
        <v>74</v>
      </c>
      <c r="AD4" s="1" t="s">
        <v>74</v>
      </c>
      <c r="AE4" s="1" t="s">
        <v>74</v>
      </c>
      <c r="AF4" s="1" t="s">
        <v>74</v>
      </c>
      <c r="AG4" s="1">
        <v>40</v>
      </c>
      <c r="AH4" s="1">
        <v>65</v>
      </c>
      <c r="AI4" s="1">
        <v>80</v>
      </c>
      <c r="AJ4" s="1">
        <v>0</v>
      </c>
      <c r="AK4" s="1">
        <v>21</v>
      </c>
      <c r="AL4" s="1" t="s">
        <v>136</v>
      </c>
      <c r="AM4" s="1" t="s">
        <v>137</v>
      </c>
      <c r="AN4" s="1" t="s">
        <v>138</v>
      </c>
      <c r="AO4" s="1" t="s">
        <v>139</v>
      </c>
      <c r="AP4" s="1" t="s">
        <v>140</v>
      </c>
      <c r="AQ4" s="1" t="s">
        <v>74</v>
      </c>
      <c r="AR4" s="1" t="s">
        <v>127</v>
      </c>
      <c r="AS4" s="1" t="s">
        <v>141</v>
      </c>
      <c r="AT4" s="1" t="s">
        <v>142</v>
      </c>
      <c r="AU4" s="1">
        <v>1999</v>
      </c>
      <c r="AV4" s="1">
        <v>38</v>
      </c>
      <c r="AW4" s="1">
        <v>14</v>
      </c>
      <c r="AX4" s="1" t="s">
        <v>74</v>
      </c>
      <c r="AY4" s="1" t="s">
        <v>74</v>
      </c>
      <c r="AZ4" s="1" t="s">
        <v>74</v>
      </c>
      <c r="BA4" s="1" t="s">
        <v>74</v>
      </c>
      <c r="BB4" s="1">
        <v>3339</v>
      </c>
      <c r="BC4" s="1">
        <v>3356</v>
      </c>
      <c r="BD4" s="1" t="s">
        <v>74</v>
      </c>
      <c r="BE4" s="1" t="s">
        <v>143</v>
      </c>
      <c r="BF4" s="1" t="str">
        <f>HYPERLINK("http://dx.doi.org/10.1016/S0045-6535(98)00567-0","http://dx.doi.org/10.1016/S0045-6535(98)00567-0")</f>
        <v>http://dx.doi.org/10.1016/S0045-6535(98)00567-0</v>
      </c>
      <c r="BG4" s="1" t="s">
        <v>74</v>
      </c>
      <c r="BH4" s="1" t="s">
        <v>74</v>
      </c>
      <c r="BI4" s="1">
        <v>18</v>
      </c>
      <c r="BJ4" s="1" t="s">
        <v>144</v>
      </c>
      <c r="BK4" s="1" t="s">
        <v>96</v>
      </c>
      <c r="BL4" s="1" t="s">
        <v>145</v>
      </c>
      <c r="BM4" s="1" t="s">
        <v>146</v>
      </c>
      <c r="BN4" s="1">
        <v>10390846</v>
      </c>
      <c r="BO4" s="1" t="s">
        <v>74</v>
      </c>
      <c r="BP4" s="1" t="s">
        <v>74</v>
      </c>
      <c r="BQ4" s="1" t="s">
        <v>74</v>
      </c>
      <c r="BR4" s="1" t="s">
        <v>98</v>
      </c>
      <c r="BS4" s="1" t="s">
        <v>147</v>
      </c>
      <c r="BT4" s="1" t="str">
        <f>HYPERLINK("https%3A%2F%2Fwww.webofscience.com%2Fwos%2Fwoscc%2Ffull-record%2FWOS:000080005200012","View Full Record in Web of Science")</f>
        <v>View Full Record in Web of Science</v>
      </c>
    </row>
    <row r="5" spans="1:72">
      <c r="A5" s="1" t="s">
        <v>72</v>
      </c>
      <c r="B5" s="1" t="s">
        <v>148</v>
      </c>
      <c r="C5" s="1" t="s">
        <v>74</v>
      </c>
      <c r="D5" s="1" t="s">
        <v>74</v>
      </c>
      <c r="E5" s="1" t="s">
        <v>74</v>
      </c>
      <c r="F5" s="1" t="s">
        <v>148</v>
      </c>
      <c r="G5" s="1" t="s">
        <v>74</v>
      </c>
      <c r="H5" s="1" t="s">
        <v>74</v>
      </c>
      <c r="I5" s="1" t="s">
        <v>149</v>
      </c>
      <c r="J5" s="1" t="s">
        <v>150</v>
      </c>
      <c r="K5" s="1" t="s">
        <v>74</v>
      </c>
      <c r="L5" s="1" t="s">
        <v>74</v>
      </c>
      <c r="M5" s="1" t="s">
        <v>78</v>
      </c>
      <c r="N5" s="1" t="s">
        <v>151</v>
      </c>
      <c r="O5" s="1" t="s">
        <v>152</v>
      </c>
      <c r="P5" s="1" t="s">
        <v>153</v>
      </c>
      <c r="Q5" s="1" t="s">
        <v>154</v>
      </c>
      <c r="R5" s="1" t="s">
        <v>74</v>
      </c>
      <c r="S5" s="1" t="s">
        <v>74</v>
      </c>
      <c r="T5" s="1" t="s">
        <v>155</v>
      </c>
      <c r="U5" s="1" t="s">
        <v>156</v>
      </c>
      <c r="V5" s="1" t="s">
        <v>157</v>
      </c>
      <c r="W5" s="1" t="s">
        <v>158</v>
      </c>
      <c r="X5" s="1" t="s">
        <v>159</v>
      </c>
      <c r="Y5" s="1" t="s">
        <v>160</v>
      </c>
      <c r="Z5" s="1" t="s">
        <v>161</v>
      </c>
      <c r="AA5" s="1" t="s">
        <v>162</v>
      </c>
      <c r="AB5" s="1" t="s">
        <v>163</v>
      </c>
      <c r="AC5" s="1" t="s">
        <v>74</v>
      </c>
      <c r="AD5" s="1" t="s">
        <v>74</v>
      </c>
      <c r="AE5" s="1" t="s">
        <v>74</v>
      </c>
      <c r="AF5" s="1" t="s">
        <v>74</v>
      </c>
      <c r="AG5" s="1">
        <v>45</v>
      </c>
      <c r="AH5" s="1">
        <v>68</v>
      </c>
      <c r="AI5" s="1">
        <v>77</v>
      </c>
      <c r="AJ5" s="1">
        <v>1</v>
      </c>
      <c r="AK5" s="1">
        <v>26</v>
      </c>
      <c r="AL5" s="1" t="s">
        <v>150</v>
      </c>
      <c r="AM5" s="1" t="s">
        <v>164</v>
      </c>
      <c r="AN5" s="1" t="s">
        <v>165</v>
      </c>
      <c r="AO5" s="1" t="s">
        <v>166</v>
      </c>
      <c r="AP5" s="1" t="s">
        <v>167</v>
      </c>
      <c r="AQ5" s="1" t="s">
        <v>74</v>
      </c>
      <c r="AR5" s="1" t="s">
        <v>168</v>
      </c>
      <c r="AS5" s="1" t="s">
        <v>169</v>
      </c>
      <c r="AT5" s="1" t="s">
        <v>170</v>
      </c>
      <c r="AU5" s="1">
        <v>2005</v>
      </c>
      <c r="AV5" s="1">
        <v>53</v>
      </c>
      <c r="AW5" s="1" t="s">
        <v>74</v>
      </c>
      <c r="AX5" s="1" t="s">
        <v>74</v>
      </c>
      <c r="AY5" s="1">
        <v>1</v>
      </c>
      <c r="AZ5" s="1" t="s">
        <v>74</v>
      </c>
      <c r="BA5" s="1" t="s">
        <v>74</v>
      </c>
      <c r="BB5" s="1">
        <v>41</v>
      </c>
      <c r="BC5" s="1">
        <v>53</v>
      </c>
      <c r="BD5" s="1" t="s">
        <v>74</v>
      </c>
      <c r="BE5" s="1" t="s">
        <v>74</v>
      </c>
      <c r="BF5" s="1" t="s">
        <v>74</v>
      </c>
      <c r="BG5" s="1" t="s">
        <v>74</v>
      </c>
      <c r="BH5" s="1" t="s">
        <v>74</v>
      </c>
      <c r="BI5" s="1">
        <v>13</v>
      </c>
      <c r="BJ5" s="1" t="s">
        <v>171</v>
      </c>
      <c r="BK5" s="1" t="s">
        <v>172</v>
      </c>
      <c r="BL5" s="1" t="s">
        <v>173</v>
      </c>
      <c r="BM5" s="1" t="s">
        <v>174</v>
      </c>
      <c r="BN5" s="1">
        <v>17465143</v>
      </c>
      <c r="BO5" s="1" t="s">
        <v>74</v>
      </c>
      <c r="BP5" s="1" t="s">
        <v>74</v>
      </c>
      <c r="BQ5" s="1" t="s">
        <v>74</v>
      </c>
      <c r="BR5" s="1" t="s">
        <v>98</v>
      </c>
      <c r="BS5" s="1" t="s">
        <v>175</v>
      </c>
      <c r="BT5" s="1" t="str">
        <f>HYPERLINK("https%3A%2F%2Fwww.webofscience.com%2Fwos%2Fwoscc%2Ffull-record%2FWOS:000230498900006","View Full Record in Web of Science")</f>
        <v>View Full Record in Web of Science</v>
      </c>
    </row>
    <row r="6" spans="1:72">
      <c r="A6" s="1" t="s">
        <v>72</v>
      </c>
      <c r="B6" s="1" t="s">
        <v>176</v>
      </c>
      <c r="C6" s="1" t="s">
        <v>74</v>
      </c>
      <c r="D6" s="1" t="s">
        <v>74</v>
      </c>
      <c r="E6" s="1" t="s">
        <v>74</v>
      </c>
      <c r="F6" s="1" t="s">
        <v>177</v>
      </c>
      <c r="G6" s="1" t="s">
        <v>74</v>
      </c>
      <c r="H6" s="1" t="s">
        <v>74</v>
      </c>
      <c r="I6" s="1" t="s">
        <v>178</v>
      </c>
      <c r="J6" s="1" t="s">
        <v>179</v>
      </c>
      <c r="K6" s="1" t="s">
        <v>74</v>
      </c>
      <c r="L6" s="1" t="s">
        <v>74</v>
      </c>
      <c r="M6" s="1" t="s">
        <v>78</v>
      </c>
      <c r="N6" s="1" t="s">
        <v>79</v>
      </c>
      <c r="O6" s="1" t="s">
        <v>74</v>
      </c>
      <c r="P6" s="1" t="s">
        <v>74</v>
      </c>
      <c r="Q6" s="1" t="s">
        <v>74</v>
      </c>
      <c r="R6" s="1" t="s">
        <v>74</v>
      </c>
      <c r="S6" s="1" t="s">
        <v>74</v>
      </c>
      <c r="T6" s="1" t="s">
        <v>180</v>
      </c>
      <c r="U6" s="1" t="s">
        <v>181</v>
      </c>
      <c r="V6" s="1" t="s">
        <v>182</v>
      </c>
      <c r="W6" s="1" t="s">
        <v>183</v>
      </c>
      <c r="X6" s="1" t="s">
        <v>184</v>
      </c>
      <c r="Y6" s="1" t="s">
        <v>185</v>
      </c>
      <c r="Z6" s="1" t="s">
        <v>186</v>
      </c>
      <c r="AA6" s="1" t="s">
        <v>187</v>
      </c>
      <c r="AB6" s="1" t="s">
        <v>188</v>
      </c>
      <c r="AC6" s="1" t="s">
        <v>189</v>
      </c>
      <c r="AD6" s="1" t="s">
        <v>189</v>
      </c>
      <c r="AE6" s="1" t="s">
        <v>190</v>
      </c>
      <c r="AF6" s="1" t="s">
        <v>74</v>
      </c>
      <c r="AG6" s="1">
        <v>32</v>
      </c>
      <c r="AH6" s="1">
        <v>14</v>
      </c>
      <c r="AI6" s="1">
        <v>14</v>
      </c>
      <c r="AJ6" s="1">
        <v>4</v>
      </c>
      <c r="AK6" s="1">
        <v>43</v>
      </c>
      <c r="AL6" s="1" t="s">
        <v>112</v>
      </c>
      <c r="AM6" s="1" t="s">
        <v>191</v>
      </c>
      <c r="AN6" s="1" t="s">
        <v>192</v>
      </c>
      <c r="AO6" s="1" t="s">
        <v>193</v>
      </c>
      <c r="AP6" s="1" t="s">
        <v>194</v>
      </c>
      <c r="AQ6" s="1" t="s">
        <v>74</v>
      </c>
      <c r="AR6" s="1" t="s">
        <v>195</v>
      </c>
      <c r="AS6" s="1" t="s">
        <v>196</v>
      </c>
      <c r="AT6" s="1" t="s">
        <v>197</v>
      </c>
      <c r="AU6" s="1">
        <v>2015</v>
      </c>
      <c r="AV6" s="1">
        <v>187</v>
      </c>
      <c r="AW6" s="1">
        <v>12</v>
      </c>
      <c r="AX6" s="1" t="s">
        <v>74</v>
      </c>
      <c r="AY6" s="1" t="s">
        <v>74</v>
      </c>
      <c r="AZ6" s="1" t="s">
        <v>74</v>
      </c>
      <c r="BA6" s="1" t="s">
        <v>74</v>
      </c>
      <c r="BB6" s="1" t="s">
        <v>74</v>
      </c>
      <c r="BC6" s="1" t="s">
        <v>74</v>
      </c>
      <c r="BD6" s="1">
        <v>762</v>
      </c>
      <c r="BE6" s="1" t="s">
        <v>198</v>
      </c>
      <c r="BF6" s="1" t="str">
        <f>HYPERLINK("http://dx.doi.org/10.1007/s10661-015-4976-6","http://dx.doi.org/10.1007/s10661-015-4976-6")</f>
        <v>http://dx.doi.org/10.1007/s10661-015-4976-6</v>
      </c>
      <c r="BG6" s="1" t="s">
        <v>74</v>
      </c>
      <c r="BH6" s="1" t="s">
        <v>74</v>
      </c>
      <c r="BI6" s="1">
        <v>11</v>
      </c>
      <c r="BJ6" s="1" t="s">
        <v>144</v>
      </c>
      <c r="BK6" s="1" t="s">
        <v>96</v>
      </c>
      <c r="BL6" s="1" t="s">
        <v>145</v>
      </c>
      <c r="BM6" s="1" t="s">
        <v>199</v>
      </c>
      <c r="BN6" s="1">
        <v>26581608</v>
      </c>
      <c r="BO6" s="1" t="s">
        <v>74</v>
      </c>
      <c r="BP6" s="1" t="s">
        <v>74</v>
      </c>
      <c r="BQ6" s="1" t="s">
        <v>74</v>
      </c>
      <c r="BR6" s="1" t="s">
        <v>98</v>
      </c>
      <c r="BS6" s="1" t="s">
        <v>200</v>
      </c>
      <c r="BT6" s="1" t="str">
        <f>HYPERLINK("https%3A%2F%2Fwww.webofscience.com%2Fwos%2Fwoscc%2Ffull-record%2FWOS:000365871600037","View Full Record in Web of Science")</f>
        <v>View Full Record in Web of Science</v>
      </c>
    </row>
    <row r="7" spans="1:72">
      <c r="A7" s="1" t="s">
        <v>72</v>
      </c>
      <c r="B7" s="1" t="s">
        <v>201</v>
      </c>
      <c r="C7" s="1" t="s">
        <v>74</v>
      </c>
      <c r="D7" s="1" t="s">
        <v>74</v>
      </c>
      <c r="E7" s="1" t="s">
        <v>74</v>
      </c>
      <c r="F7" s="1" t="s">
        <v>202</v>
      </c>
      <c r="G7" s="1" t="s">
        <v>74</v>
      </c>
      <c r="H7" s="1" t="s">
        <v>74</v>
      </c>
      <c r="I7" s="1" t="s">
        <v>203</v>
      </c>
      <c r="J7" s="1" t="s">
        <v>204</v>
      </c>
      <c r="K7" s="1" t="s">
        <v>74</v>
      </c>
      <c r="L7" s="1" t="s">
        <v>74</v>
      </c>
      <c r="M7" s="1" t="s">
        <v>78</v>
      </c>
      <c r="N7" s="1" t="s">
        <v>79</v>
      </c>
      <c r="O7" s="1" t="s">
        <v>74</v>
      </c>
      <c r="P7" s="1" t="s">
        <v>74</v>
      </c>
      <c r="Q7" s="1" t="s">
        <v>74</v>
      </c>
      <c r="R7" s="1" t="s">
        <v>74</v>
      </c>
      <c r="S7" s="1" t="s">
        <v>74</v>
      </c>
      <c r="T7" s="1" t="s">
        <v>205</v>
      </c>
      <c r="U7" s="1" t="s">
        <v>206</v>
      </c>
      <c r="V7" s="1" t="s">
        <v>207</v>
      </c>
      <c r="W7" s="1" t="s">
        <v>208</v>
      </c>
      <c r="X7" s="1" t="s">
        <v>209</v>
      </c>
      <c r="Y7" s="1" t="s">
        <v>210</v>
      </c>
      <c r="Z7" s="1" t="s">
        <v>211</v>
      </c>
      <c r="AA7" s="1" t="s">
        <v>212</v>
      </c>
      <c r="AB7" s="1" t="s">
        <v>213</v>
      </c>
      <c r="AC7" s="1" t="s">
        <v>214</v>
      </c>
      <c r="AD7" s="1" t="s">
        <v>215</v>
      </c>
      <c r="AE7" s="1" t="s">
        <v>216</v>
      </c>
      <c r="AF7" s="1" t="s">
        <v>74</v>
      </c>
      <c r="AG7" s="1">
        <v>55</v>
      </c>
      <c r="AH7" s="1">
        <v>14</v>
      </c>
      <c r="AI7" s="1">
        <v>14</v>
      </c>
      <c r="AJ7" s="1">
        <v>6</v>
      </c>
      <c r="AK7" s="1">
        <v>73</v>
      </c>
      <c r="AL7" s="1" t="s">
        <v>217</v>
      </c>
      <c r="AM7" s="1" t="s">
        <v>218</v>
      </c>
      <c r="AN7" s="1" t="s">
        <v>219</v>
      </c>
      <c r="AO7" s="1" t="s">
        <v>220</v>
      </c>
      <c r="AP7" s="1" t="s">
        <v>221</v>
      </c>
      <c r="AQ7" s="1" t="s">
        <v>74</v>
      </c>
      <c r="AR7" s="1" t="s">
        <v>222</v>
      </c>
      <c r="AS7" s="1" t="s">
        <v>223</v>
      </c>
      <c r="AT7" s="1" t="s">
        <v>224</v>
      </c>
      <c r="AU7" s="1">
        <v>2022</v>
      </c>
      <c r="AV7" s="1">
        <v>29</v>
      </c>
      <c r="AW7" s="1">
        <v>9</v>
      </c>
      <c r="AX7" s="1" t="s">
        <v>74</v>
      </c>
      <c r="AY7" s="1" t="s">
        <v>74</v>
      </c>
      <c r="AZ7" s="1" t="s">
        <v>225</v>
      </c>
      <c r="BA7" s="1" t="s">
        <v>74</v>
      </c>
      <c r="BB7" s="1">
        <v>12706</v>
      </c>
      <c r="BC7" s="1">
        <v>12719</v>
      </c>
      <c r="BD7" s="1" t="s">
        <v>74</v>
      </c>
      <c r="BE7" s="1" t="s">
        <v>226</v>
      </c>
      <c r="BF7" s="1" t="str">
        <f>HYPERLINK("http://dx.doi.org/10.1007/s11356-021-18150-6","http://dx.doi.org/10.1007/s11356-021-18150-6")</f>
        <v>http://dx.doi.org/10.1007/s11356-021-18150-6</v>
      </c>
      <c r="BG7" s="1" t="s">
        <v>74</v>
      </c>
      <c r="BH7" s="1" t="s">
        <v>227</v>
      </c>
      <c r="BI7" s="1">
        <v>14</v>
      </c>
      <c r="BJ7" s="1" t="s">
        <v>144</v>
      </c>
      <c r="BK7" s="1" t="s">
        <v>96</v>
      </c>
      <c r="BL7" s="1" t="s">
        <v>145</v>
      </c>
      <c r="BM7" s="1" t="s">
        <v>228</v>
      </c>
      <c r="BN7" s="1">
        <v>34993803</v>
      </c>
      <c r="BO7" s="1" t="s">
        <v>74</v>
      </c>
      <c r="BP7" s="1" t="s">
        <v>74</v>
      </c>
      <c r="BQ7" s="1" t="s">
        <v>74</v>
      </c>
      <c r="BR7" s="1" t="s">
        <v>98</v>
      </c>
      <c r="BS7" s="1" t="s">
        <v>229</v>
      </c>
      <c r="BT7" s="1" t="str">
        <f>HYPERLINK("https%3A%2F%2Fwww.webofscience.com%2Fwos%2Fwoscc%2Ffull-record%2FWOS:000740587300025","View Full Record in Web of Science")</f>
        <v>View Full Record in Web of Science</v>
      </c>
    </row>
    <row r="8" spans="1:72">
      <c r="A8" s="1" t="s">
        <v>72</v>
      </c>
      <c r="B8" s="1" t="s">
        <v>230</v>
      </c>
      <c r="C8" s="1" t="s">
        <v>74</v>
      </c>
      <c r="D8" s="1" t="s">
        <v>74</v>
      </c>
      <c r="E8" s="1" t="s">
        <v>74</v>
      </c>
      <c r="F8" s="1" t="s">
        <v>230</v>
      </c>
      <c r="G8" s="1" t="s">
        <v>74</v>
      </c>
      <c r="H8" s="1" t="s">
        <v>74</v>
      </c>
      <c r="I8" s="1" t="s">
        <v>231</v>
      </c>
      <c r="J8" s="1" t="s">
        <v>232</v>
      </c>
      <c r="K8" s="1" t="s">
        <v>74</v>
      </c>
      <c r="L8" s="1" t="s">
        <v>74</v>
      </c>
      <c r="M8" s="1" t="s">
        <v>78</v>
      </c>
      <c r="N8" s="1" t="s">
        <v>151</v>
      </c>
      <c r="O8" s="1" t="s">
        <v>233</v>
      </c>
      <c r="P8" s="1" t="s">
        <v>234</v>
      </c>
      <c r="Q8" s="1" t="s">
        <v>235</v>
      </c>
      <c r="R8" s="1" t="s">
        <v>74</v>
      </c>
      <c r="S8" s="1" t="s">
        <v>74</v>
      </c>
      <c r="T8" s="1" t="s">
        <v>74</v>
      </c>
      <c r="U8" s="1" t="s">
        <v>236</v>
      </c>
      <c r="V8" s="1" t="s">
        <v>237</v>
      </c>
      <c r="W8" s="1" t="s">
        <v>74</v>
      </c>
      <c r="X8" s="1" t="s">
        <v>74</v>
      </c>
      <c r="Y8" s="1" t="s">
        <v>238</v>
      </c>
      <c r="Z8" s="1" t="s">
        <v>74</v>
      </c>
      <c r="AA8" s="1" t="s">
        <v>74</v>
      </c>
      <c r="AB8" s="1" t="s">
        <v>239</v>
      </c>
      <c r="AC8" s="1" t="s">
        <v>74</v>
      </c>
      <c r="AD8" s="1" t="s">
        <v>74</v>
      </c>
      <c r="AE8" s="1" t="s">
        <v>74</v>
      </c>
      <c r="AF8" s="1" t="s">
        <v>74</v>
      </c>
      <c r="AG8" s="1">
        <v>21</v>
      </c>
      <c r="AH8" s="1">
        <v>49</v>
      </c>
      <c r="AI8" s="1">
        <v>54</v>
      </c>
      <c r="AJ8" s="1">
        <v>0</v>
      </c>
      <c r="AK8" s="1">
        <v>9</v>
      </c>
      <c r="AL8" s="1" t="s">
        <v>136</v>
      </c>
      <c r="AM8" s="1" t="s">
        <v>137</v>
      </c>
      <c r="AN8" s="1" t="s">
        <v>138</v>
      </c>
      <c r="AO8" s="1" t="s">
        <v>240</v>
      </c>
      <c r="AP8" s="1" t="s">
        <v>241</v>
      </c>
      <c r="AQ8" s="1" t="s">
        <v>74</v>
      </c>
      <c r="AR8" s="1" t="s">
        <v>242</v>
      </c>
      <c r="AS8" s="1" t="s">
        <v>243</v>
      </c>
      <c r="AT8" s="1" t="s">
        <v>244</v>
      </c>
      <c r="AU8" s="1">
        <v>1995</v>
      </c>
      <c r="AV8" s="1">
        <v>31</v>
      </c>
      <c r="AW8" s="1" t="s">
        <v>245</v>
      </c>
      <c r="AX8" s="1" t="s">
        <v>74</v>
      </c>
      <c r="AY8" s="1" t="s">
        <v>74</v>
      </c>
      <c r="AZ8" s="1" t="s">
        <v>74</v>
      </c>
      <c r="BA8" s="1" t="s">
        <v>74</v>
      </c>
      <c r="BB8" s="1">
        <v>277</v>
      </c>
      <c r="BC8" s="1">
        <v>280</v>
      </c>
      <c r="BD8" s="1" t="s">
        <v>74</v>
      </c>
      <c r="BE8" s="1" t="s">
        <v>246</v>
      </c>
      <c r="BF8" s="1" t="str">
        <f>HYPERLINK("http://dx.doi.org/10.1016/0025-326X(95)00136-B","http://dx.doi.org/10.1016/0025-326X(95)00136-B")</f>
        <v>http://dx.doi.org/10.1016/0025-326X(95)00136-B</v>
      </c>
      <c r="BG8" s="1" t="s">
        <v>74</v>
      </c>
      <c r="BH8" s="1" t="s">
        <v>74</v>
      </c>
      <c r="BI8" s="1">
        <v>4</v>
      </c>
      <c r="BJ8" s="1" t="s">
        <v>247</v>
      </c>
      <c r="BK8" s="1" t="s">
        <v>172</v>
      </c>
      <c r="BL8" s="1" t="s">
        <v>248</v>
      </c>
      <c r="BM8" s="1" t="s">
        <v>249</v>
      </c>
      <c r="BN8" s="1" t="s">
        <v>74</v>
      </c>
      <c r="BO8" s="1" t="s">
        <v>74</v>
      </c>
      <c r="BP8" s="1" t="s">
        <v>74</v>
      </c>
      <c r="BQ8" s="1" t="s">
        <v>74</v>
      </c>
      <c r="BR8" s="1" t="s">
        <v>98</v>
      </c>
      <c r="BS8" s="1" t="s">
        <v>250</v>
      </c>
      <c r="BT8" s="1" t="str">
        <f>HYPERLINK("https%3A%2F%2Fwww.webofscience.com%2Fwos%2Fwoscc%2Ffull-record%2FWOS:A1995TM84200018","View Full Record in Web of Science")</f>
        <v>View Full Record in Web of Science</v>
      </c>
    </row>
    <row r="9" spans="1:72">
      <c r="A9" s="1" t="s">
        <v>72</v>
      </c>
      <c r="B9" s="1" t="s">
        <v>251</v>
      </c>
      <c r="C9" s="1" t="s">
        <v>74</v>
      </c>
      <c r="D9" s="1" t="s">
        <v>74</v>
      </c>
      <c r="E9" s="1" t="s">
        <v>74</v>
      </c>
      <c r="F9" s="1" t="s">
        <v>251</v>
      </c>
      <c r="G9" s="1" t="s">
        <v>74</v>
      </c>
      <c r="H9" s="1" t="s">
        <v>74</v>
      </c>
      <c r="I9" s="1" t="s">
        <v>252</v>
      </c>
      <c r="J9" s="1" t="s">
        <v>253</v>
      </c>
      <c r="K9" s="1" t="s">
        <v>74</v>
      </c>
      <c r="L9" s="1" t="s">
        <v>74</v>
      </c>
      <c r="M9" s="1" t="s">
        <v>78</v>
      </c>
      <c r="N9" s="1" t="s">
        <v>79</v>
      </c>
      <c r="O9" s="1" t="s">
        <v>74</v>
      </c>
      <c r="P9" s="1" t="s">
        <v>74</v>
      </c>
      <c r="Q9" s="1" t="s">
        <v>74</v>
      </c>
      <c r="R9" s="1" t="s">
        <v>74</v>
      </c>
      <c r="S9" s="1" t="s">
        <v>74</v>
      </c>
      <c r="T9" s="1" t="s">
        <v>74</v>
      </c>
      <c r="U9" s="1" t="s">
        <v>254</v>
      </c>
      <c r="V9" s="1" t="s">
        <v>255</v>
      </c>
      <c r="W9" s="1" t="s">
        <v>256</v>
      </c>
      <c r="X9" s="1" t="s">
        <v>257</v>
      </c>
      <c r="Y9" s="1" t="s">
        <v>258</v>
      </c>
      <c r="Z9" s="1" t="s">
        <v>74</v>
      </c>
      <c r="AA9" s="1" t="s">
        <v>259</v>
      </c>
      <c r="AB9" s="1" t="s">
        <v>260</v>
      </c>
      <c r="AC9" s="1" t="s">
        <v>74</v>
      </c>
      <c r="AD9" s="1" t="s">
        <v>74</v>
      </c>
      <c r="AE9" s="1" t="s">
        <v>74</v>
      </c>
      <c r="AF9" s="1" t="s">
        <v>74</v>
      </c>
      <c r="AG9" s="1">
        <v>18</v>
      </c>
      <c r="AH9" s="1">
        <v>16</v>
      </c>
      <c r="AI9" s="1">
        <v>17</v>
      </c>
      <c r="AJ9" s="1">
        <v>0</v>
      </c>
      <c r="AK9" s="1">
        <v>15</v>
      </c>
      <c r="AL9" s="1" t="s">
        <v>261</v>
      </c>
      <c r="AM9" s="1" t="s">
        <v>262</v>
      </c>
      <c r="AN9" s="1" t="s">
        <v>263</v>
      </c>
      <c r="AO9" s="1" t="s">
        <v>264</v>
      </c>
      <c r="AP9" s="1" t="s">
        <v>74</v>
      </c>
      <c r="AQ9" s="1" t="s">
        <v>74</v>
      </c>
      <c r="AR9" s="1" t="s">
        <v>265</v>
      </c>
      <c r="AS9" s="1" t="s">
        <v>266</v>
      </c>
      <c r="AT9" s="1" t="s">
        <v>267</v>
      </c>
      <c r="AU9" s="1">
        <v>2001</v>
      </c>
      <c r="AV9" s="1">
        <v>3</v>
      </c>
      <c r="AW9" s="1">
        <v>5</v>
      </c>
      <c r="AX9" s="1" t="s">
        <v>74</v>
      </c>
      <c r="AY9" s="1" t="s">
        <v>74</v>
      </c>
      <c r="AZ9" s="1" t="s">
        <v>74</v>
      </c>
      <c r="BA9" s="1" t="s">
        <v>74</v>
      </c>
      <c r="BB9" s="1">
        <v>539</v>
      </c>
      <c r="BC9" s="1">
        <v>542</v>
      </c>
      <c r="BD9" s="1" t="s">
        <v>74</v>
      </c>
      <c r="BE9" s="1" t="s">
        <v>268</v>
      </c>
      <c r="BF9" s="1" t="str">
        <f>HYPERLINK("http://dx.doi.org/10.1039/b103047g","http://dx.doi.org/10.1039/b103047g")</f>
        <v>http://dx.doi.org/10.1039/b103047g</v>
      </c>
      <c r="BG9" s="1" t="s">
        <v>74</v>
      </c>
      <c r="BH9" s="1" t="s">
        <v>74</v>
      </c>
      <c r="BI9" s="1">
        <v>4</v>
      </c>
      <c r="BJ9" s="1" t="s">
        <v>269</v>
      </c>
      <c r="BK9" s="1" t="s">
        <v>96</v>
      </c>
      <c r="BL9" s="1" t="s">
        <v>270</v>
      </c>
      <c r="BM9" s="1" t="s">
        <v>271</v>
      </c>
      <c r="BN9" s="1">
        <v>11695125</v>
      </c>
      <c r="BO9" s="1" t="s">
        <v>74</v>
      </c>
      <c r="BP9" s="1" t="s">
        <v>74</v>
      </c>
      <c r="BQ9" s="1" t="s">
        <v>74</v>
      </c>
      <c r="BR9" s="1" t="s">
        <v>98</v>
      </c>
      <c r="BS9" s="1" t="s">
        <v>272</v>
      </c>
      <c r="BT9" s="1" t="str">
        <f>HYPERLINK("https%3A%2F%2Fwww.webofscience.com%2Fwos%2Fwoscc%2Ffull-record%2FWOS:000171794600019","View Full Record in Web of Science")</f>
        <v>View Full Record in Web of Science</v>
      </c>
    </row>
    <row r="10" spans="1:72">
      <c r="A10" s="1" t="s">
        <v>72</v>
      </c>
      <c r="B10" s="1" t="s">
        <v>273</v>
      </c>
      <c r="C10" s="1" t="s">
        <v>74</v>
      </c>
      <c r="D10" s="1" t="s">
        <v>74</v>
      </c>
      <c r="E10" s="1" t="s">
        <v>74</v>
      </c>
      <c r="F10" s="1" t="s">
        <v>273</v>
      </c>
      <c r="G10" s="1" t="s">
        <v>74</v>
      </c>
      <c r="H10" s="1" t="s">
        <v>74</v>
      </c>
      <c r="I10" s="1" t="s">
        <v>274</v>
      </c>
      <c r="J10" s="1" t="s">
        <v>275</v>
      </c>
      <c r="K10" s="1" t="s">
        <v>74</v>
      </c>
      <c r="L10" s="1" t="s">
        <v>74</v>
      </c>
      <c r="M10" s="1" t="s">
        <v>78</v>
      </c>
      <c r="N10" s="1" t="s">
        <v>79</v>
      </c>
      <c r="O10" s="1" t="s">
        <v>74</v>
      </c>
      <c r="P10" s="1" t="s">
        <v>74</v>
      </c>
      <c r="Q10" s="1" t="s">
        <v>74</v>
      </c>
      <c r="R10" s="1" t="s">
        <v>74</v>
      </c>
      <c r="S10" s="1" t="s">
        <v>74</v>
      </c>
      <c r="T10" s="1" t="s">
        <v>276</v>
      </c>
      <c r="U10" s="1" t="s">
        <v>277</v>
      </c>
      <c r="V10" s="1" t="s">
        <v>278</v>
      </c>
      <c r="W10" s="1" t="s">
        <v>279</v>
      </c>
      <c r="X10" s="1" t="s">
        <v>280</v>
      </c>
      <c r="Y10" s="1" t="s">
        <v>281</v>
      </c>
      <c r="Z10" s="1" t="s">
        <v>282</v>
      </c>
      <c r="AA10" s="1" t="s">
        <v>283</v>
      </c>
      <c r="AB10" s="1" t="s">
        <v>284</v>
      </c>
      <c r="AC10" s="1" t="s">
        <v>74</v>
      </c>
      <c r="AD10" s="1" t="s">
        <v>74</v>
      </c>
      <c r="AE10" s="1" t="s">
        <v>74</v>
      </c>
      <c r="AF10" s="1" t="s">
        <v>74</v>
      </c>
      <c r="AG10" s="1">
        <v>63</v>
      </c>
      <c r="AH10" s="1">
        <v>144</v>
      </c>
      <c r="AI10" s="1">
        <v>168</v>
      </c>
      <c r="AJ10" s="1">
        <v>1</v>
      </c>
      <c r="AK10" s="1">
        <v>56</v>
      </c>
      <c r="AL10" s="1" t="s">
        <v>285</v>
      </c>
      <c r="AM10" s="1" t="s">
        <v>286</v>
      </c>
      <c r="AN10" s="1" t="s">
        <v>287</v>
      </c>
      <c r="AO10" s="1" t="s">
        <v>288</v>
      </c>
      <c r="AP10" s="1" t="s">
        <v>289</v>
      </c>
      <c r="AQ10" s="1" t="s">
        <v>74</v>
      </c>
      <c r="AR10" s="1" t="s">
        <v>290</v>
      </c>
      <c r="AS10" s="1" t="s">
        <v>291</v>
      </c>
      <c r="AT10" s="1" t="s">
        <v>93</v>
      </c>
      <c r="AU10" s="1">
        <v>2004</v>
      </c>
      <c r="AV10" s="1">
        <v>16</v>
      </c>
      <c r="AW10" s="1">
        <v>4</v>
      </c>
      <c r="AX10" s="1" t="s">
        <v>74</v>
      </c>
      <c r="AY10" s="1" t="s">
        <v>74</v>
      </c>
      <c r="AZ10" s="1" t="s">
        <v>74</v>
      </c>
      <c r="BA10" s="1" t="s">
        <v>74</v>
      </c>
      <c r="BB10" s="1">
        <v>501</v>
      </c>
      <c r="BC10" s="1">
        <v>512</v>
      </c>
      <c r="BD10" s="1" t="s">
        <v>74</v>
      </c>
      <c r="BE10" s="1" t="s">
        <v>292</v>
      </c>
      <c r="BF10" s="1" t="str">
        <f>HYPERLINK("http://dx.doi.org/10.1016/j.fsi.2003.08.007","http://dx.doi.org/10.1016/j.fsi.2003.08.007")</f>
        <v>http://dx.doi.org/10.1016/j.fsi.2003.08.007</v>
      </c>
      <c r="BG10" s="1" t="s">
        <v>74</v>
      </c>
      <c r="BH10" s="1" t="s">
        <v>74</v>
      </c>
      <c r="BI10" s="1">
        <v>12</v>
      </c>
      <c r="BJ10" s="1" t="s">
        <v>293</v>
      </c>
      <c r="BK10" s="1" t="s">
        <v>96</v>
      </c>
      <c r="BL10" s="1" t="s">
        <v>293</v>
      </c>
      <c r="BM10" s="1" t="s">
        <v>294</v>
      </c>
      <c r="BN10" s="1">
        <v>15123292</v>
      </c>
      <c r="BO10" s="1" t="s">
        <v>74</v>
      </c>
      <c r="BP10" s="1" t="s">
        <v>74</v>
      </c>
      <c r="BQ10" s="1" t="s">
        <v>74</v>
      </c>
      <c r="BR10" s="1" t="s">
        <v>98</v>
      </c>
      <c r="BS10" s="1" t="s">
        <v>295</v>
      </c>
      <c r="BT10" s="1" t="str">
        <f>HYPERLINK("https%3A%2F%2Fwww.webofscience.com%2Fwos%2Fwoscc%2Ffull-record%2FWOS:000220922400004","View Full Record in Web of Science")</f>
        <v>View Full Record in Web of Science</v>
      </c>
    </row>
    <row r="11" spans="1:72">
      <c r="A11" s="1" t="s">
        <v>72</v>
      </c>
      <c r="B11" s="1" t="s">
        <v>296</v>
      </c>
      <c r="C11" s="1" t="s">
        <v>74</v>
      </c>
      <c r="D11" s="1" t="s">
        <v>74</v>
      </c>
      <c r="E11" s="1" t="s">
        <v>74</v>
      </c>
      <c r="F11" s="1" t="s">
        <v>296</v>
      </c>
      <c r="G11" s="1" t="s">
        <v>74</v>
      </c>
      <c r="H11" s="1" t="s">
        <v>74</v>
      </c>
      <c r="I11" s="1" t="s">
        <v>297</v>
      </c>
      <c r="J11" s="1" t="s">
        <v>232</v>
      </c>
      <c r="K11" s="1" t="s">
        <v>74</v>
      </c>
      <c r="L11" s="1" t="s">
        <v>74</v>
      </c>
      <c r="M11" s="1" t="s">
        <v>78</v>
      </c>
      <c r="N11" s="1" t="s">
        <v>79</v>
      </c>
      <c r="O11" s="1" t="s">
        <v>74</v>
      </c>
      <c r="P11" s="1" t="s">
        <v>74</v>
      </c>
      <c r="Q11" s="1" t="s">
        <v>74</v>
      </c>
      <c r="R11" s="1" t="s">
        <v>74</v>
      </c>
      <c r="S11" s="1" t="s">
        <v>74</v>
      </c>
      <c r="T11" s="1" t="s">
        <v>298</v>
      </c>
      <c r="U11" s="1" t="s">
        <v>299</v>
      </c>
      <c r="V11" s="1" t="s">
        <v>300</v>
      </c>
      <c r="W11" s="1" t="s">
        <v>301</v>
      </c>
      <c r="X11" s="1" t="s">
        <v>302</v>
      </c>
      <c r="Y11" s="1" t="s">
        <v>303</v>
      </c>
      <c r="Z11" s="1" t="s">
        <v>304</v>
      </c>
      <c r="AA11" s="1" t="s">
        <v>74</v>
      </c>
      <c r="AB11" s="1" t="s">
        <v>74</v>
      </c>
      <c r="AC11" s="1" t="s">
        <v>74</v>
      </c>
      <c r="AD11" s="1" t="s">
        <v>74</v>
      </c>
      <c r="AE11" s="1" t="s">
        <v>74</v>
      </c>
      <c r="AF11" s="1" t="s">
        <v>74</v>
      </c>
      <c r="AG11" s="1">
        <v>38</v>
      </c>
      <c r="AH11" s="1">
        <v>21</v>
      </c>
      <c r="AI11" s="1">
        <v>23</v>
      </c>
      <c r="AJ11" s="1">
        <v>0</v>
      </c>
      <c r="AK11" s="1">
        <v>9</v>
      </c>
      <c r="AL11" s="1" t="s">
        <v>136</v>
      </c>
      <c r="AM11" s="1" t="s">
        <v>137</v>
      </c>
      <c r="AN11" s="1" t="s">
        <v>138</v>
      </c>
      <c r="AO11" s="1" t="s">
        <v>240</v>
      </c>
      <c r="AP11" s="1" t="s">
        <v>241</v>
      </c>
      <c r="AQ11" s="1" t="s">
        <v>74</v>
      </c>
      <c r="AR11" s="1" t="s">
        <v>242</v>
      </c>
      <c r="AS11" s="1" t="s">
        <v>243</v>
      </c>
      <c r="AT11" s="1" t="s">
        <v>305</v>
      </c>
      <c r="AU11" s="1">
        <v>2002</v>
      </c>
      <c r="AV11" s="1">
        <v>44</v>
      </c>
      <c r="AW11" s="1">
        <v>9</v>
      </c>
      <c r="AX11" s="1" t="s">
        <v>74</v>
      </c>
      <c r="AY11" s="1" t="s">
        <v>74</v>
      </c>
      <c r="AZ11" s="1" t="s">
        <v>74</v>
      </c>
      <c r="BA11" s="1" t="s">
        <v>74</v>
      </c>
      <c r="BB11" s="1">
        <v>870</v>
      </c>
      <c r="BC11" s="1">
        <v>876</v>
      </c>
      <c r="BD11" s="1" t="s">
        <v>306</v>
      </c>
      <c r="BE11" s="1" t="s">
        <v>307</v>
      </c>
      <c r="BF11" s="1" t="str">
        <f>HYPERLINK("http://dx.doi.org/10.1016/S0025-326X(02)00089-9","http://dx.doi.org/10.1016/S0025-326X(02)00089-9")</f>
        <v>http://dx.doi.org/10.1016/S0025-326X(02)00089-9</v>
      </c>
      <c r="BG11" s="1" t="s">
        <v>74</v>
      </c>
      <c r="BH11" s="1" t="s">
        <v>74</v>
      </c>
      <c r="BI11" s="1">
        <v>7</v>
      </c>
      <c r="BJ11" s="1" t="s">
        <v>247</v>
      </c>
      <c r="BK11" s="1" t="s">
        <v>96</v>
      </c>
      <c r="BL11" s="1" t="s">
        <v>248</v>
      </c>
      <c r="BM11" s="1" t="s">
        <v>308</v>
      </c>
      <c r="BN11" s="1">
        <v>12405211</v>
      </c>
      <c r="BO11" s="1" t="s">
        <v>74</v>
      </c>
      <c r="BP11" s="1" t="s">
        <v>74</v>
      </c>
      <c r="BQ11" s="1" t="s">
        <v>74</v>
      </c>
      <c r="BR11" s="1" t="s">
        <v>98</v>
      </c>
      <c r="BS11" s="1" t="s">
        <v>309</v>
      </c>
      <c r="BT11" s="1" t="str">
        <f>HYPERLINK("https%3A%2F%2Fwww.webofscience.com%2Fwos%2Fwoscc%2Ffull-record%2FWOS:000178361200014","View Full Record in Web of Science")</f>
        <v>View Full Record in Web of Science</v>
      </c>
    </row>
    <row r="12" spans="1:72">
      <c r="A12" s="1" t="s">
        <v>72</v>
      </c>
      <c r="B12" s="1" t="s">
        <v>310</v>
      </c>
      <c r="C12" s="1" t="s">
        <v>74</v>
      </c>
      <c r="D12" s="1" t="s">
        <v>74</v>
      </c>
      <c r="E12" s="1" t="s">
        <v>74</v>
      </c>
      <c r="F12" s="1" t="s">
        <v>311</v>
      </c>
      <c r="G12" s="1" t="s">
        <v>74</v>
      </c>
      <c r="H12" s="1" t="s">
        <v>74</v>
      </c>
      <c r="I12" s="1" t="s">
        <v>312</v>
      </c>
      <c r="J12" s="1" t="s">
        <v>232</v>
      </c>
      <c r="K12" s="1" t="s">
        <v>74</v>
      </c>
      <c r="L12" s="1" t="s">
        <v>74</v>
      </c>
      <c r="M12" s="1" t="s">
        <v>78</v>
      </c>
      <c r="N12" s="1" t="s">
        <v>79</v>
      </c>
      <c r="O12" s="1" t="s">
        <v>74</v>
      </c>
      <c r="P12" s="1" t="s">
        <v>74</v>
      </c>
      <c r="Q12" s="1" t="s">
        <v>74</v>
      </c>
      <c r="R12" s="1" t="s">
        <v>74</v>
      </c>
      <c r="S12" s="1" t="s">
        <v>74</v>
      </c>
      <c r="T12" s="1" t="s">
        <v>313</v>
      </c>
      <c r="U12" s="1" t="s">
        <v>314</v>
      </c>
      <c r="V12" s="1" t="s">
        <v>315</v>
      </c>
      <c r="W12" s="1" t="s">
        <v>316</v>
      </c>
      <c r="X12" s="1" t="s">
        <v>317</v>
      </c>
      <c r="Y12" s="1" t="s">
        <v>318</v>
      </c>
      <c r="Z12" s="1" t="s">
        <v>319</v>
      </c>
      <c r="AA12" s="1" t="s">
        <v>320</v>
      </c>
      <c r="AB12" s="1" t="s">
        <v>321</v>
      </c>
      <c r="AC12" s="1" t="s">
        <v>322</v>
      </c>
      <c r="AD12" s="1" t="s">
        <v>323</v>
      </c>
      <c r="AE12" s="1" t="s">
        <v>324</v>
      </c>
      <c r="AF12" s="1" t="s">
        <v>74</v>
      </c>
      <c r="AG12" s="1">
        <v>42</v>
      </c>
      <c r="AH12" s="1">
        <v>14</v>
      </c>
      <c r="AI12" s="1">
        <v>14</v>
      </c>
      <c r="AJ12" s="1">
        <v>0</v>
      </c>
      <c r="AK12" s="1">
        <v>38</v>
      </c>
      <c r="AL12" s="1" t="s">
        <v>136</v>
      </c>
      <c r="AM12" s="1" t="s">
        <v>137</v>
      </c>
      <c r="AN12" s="1" t="s">
        <v>138</v>
      </c>
      <c r="AO12" s="1" t="s">
        <v>240</v>
      </c>
      <c r="AP12" s="1" t="s">
        <v>241</v>
      </c>
      <c r="AQ12" s="1" t="s">
        <v>74</v>
      </c>
      <c r="AR12" s="1" t="s">
        <v>242</v>
      </c>
      <c r="AS12" s="1" t="s">
        <v>243</v>
      </c>
      <c r="AT12" s="1" t="s">
        <v>325</v>
      </c>
      <c r="AU12" s="1">
        <v>2017</v>
      </c>
      <c r="AV12" s="1">
        <v>123</v>
      </c>
      <c r="AW12" s="1" t="s">
        <v>326</v>
      </c>
      <c r="AX12" s="1" t="s">
        <v>74</v>
      </c>
      <c r="AY12" s="1" t="s">
        <v>74</v>
      </c>
      <c r="AZ12" s="1" t="s">
        <v>74</v>
      </c>
      <c r="BA12" s="1" t="s">
        <v>74</v>
      </c>
      <c r="BB12" s="1">
        <v>47</v>
      </c>
      <c r="BC12" s="1">
        <v>56</v>
      </c>
      <c r="BD12" s="1" t="s">
        <v>74</v>
      </c>
      <c r="BE12" s="1" t="s">
        <v>327</v>
      </c>
      <c r="BF12" s="1" t="str">
        <f>HYPERLINK("http://dx.doi.org/10.1016/j.marpolbul.2017.09.031","http://dx.doi.org/10.1016/j.marpolbul.2017.09.031")</f>
        <v>http://dx.doi.org/10.1016/j.marpolbul.2017.09.031</v>
      </c>
      <c r="BG12" s="1" t="s">
        <v>74</v>
      </c>
      <c r="BH12" s="1" t="s">
        <v>74</v>
      </c>
      <c r="BI12" s="1">
        <v>10</v>
      </c>
      <c r="BJ12" s="1" t="s">
        <v>247</v>
      </c>
      <c r="BK12" s="1" t="s">
        <v>96</v>
      </c>
      <c r="BL12" s="1" t="s">
        <v>248</v>
      </c>
      <c r="BM12" s="1" t="s">
        <v>328</v>
      </c>
      <c r="BN12" s="1">
        <v>28938999</v>
      </c>
      <c r="BO12" s="1" t="s">
        <v>74</v>
      </c>
      <c r="BP12" s="1" t="s">
        <v>74</v>
      </c>
      <c r="BQ12" s="1" t="s">
        <v>74</v>
      </c>
      <c r="BR12" s="1" t="s">
        <v>98</v>
      </c>
      <c r="BS12" s="1" t="s">
        <v>329</v>
      </c>
      <c r="BT12" s="1" t="str">
        <f>HYPERLINK("https%3A%2F%2Fwww.webofscience.com%2Fwos%2Fwoscc%2Ffull-record%2FWOS:000415776600019","View Full Record in Web of Science")</f>
        <v>View Full Record in Web of Science</v>
      </c>
    </row>
    <row r="13" spans="1:72">
      <c r="A13" s="1" t="s">
        <v>72</v>
      </c>
      <c r="B13" s="1" t="s">
        <v>330</v>
      </c>
      <c r="C13" s="1" t="s">
        <v>74</v>
      </c>
      <c r="D13" s="1" t="s">
        <v>74</v>
      </c>
      <c r="E13" s="1" t="s">
        <v>74</v>
      </c>
      <c r="F13" s="1" t="s">
        <v>331</v>
      </c>
      <c r="G13" s="1" t="s">
        <v>74</v>
      </c>
      <c r="H13" s="1" t="s">
        <v>74</v>
      </c>
      <c r="I13" s="1" t="s">
        <v>332</v>
      </c>
      <c r="J13" s="1" t="s">
        <v>232</v>
      </c>
      <c r="K13" s="1" t="s">
        <v>74</v>
      </c>
      <c r="L13" s="1" t="s">
        <v>74</v>
      </c>
      <c r="M13" s="1" t="s">
        <v>78</v>
      </c>
      <c r="N13" s="1" t="s">
        <v>79</v>
      </c>
      <c r="O13" s="1" t="s">
        <v>74</v>
      </c>
      <c r="P13" s="1" t="s">
        <v>74</v>
      </c>
      <c r="Q13" s="1" t="s">
        <v>74</v>
      </c>
      <c r="R13" s="1" t="s">
        <v>74</v>
      </c>
      <c r="S13" s="1" t="s">
        <v>74</v>
      </c>
      <c r="T13" s="1" t="s">
        <v>333</v>
      </c>
      <c r="U13" s="1" t="s">
        <v>334</v>
      </c>
      <c r="V13" s="1" t="s">
        <v>335</v>
      </c>
      <c r="W13" s="1" t="s">
        <v>336</v>
      </c>
      <c r="X13" s="1" t="s">
        <v>337</v>
      </c>
      <c r="Y13" s="1" t="s">
        <v>338</v>
      </c>
      <c r="Z13" s="1" t="s">
        <v>339</v>
      </c>
      <c r="AA13" s="1" t="s">
        <v>340</v>
      </c>
      <c r="AB13" s="1" t="s">
        <v>341</v>
      </c>
      <c r="AC13" s="1" t="s">
        <v>342</v>
      </c>
      <c r="AD13" s="1" t="s">
        <v>342</v>
      </c>
      <c r="AE13" s="1" t="s">
        <v>343</v>
      </c>
      <c r="AF13" s="1" t="s">
        <v>74</v>
      </c>
      <c r="AG13" s="1">
        <v>28</v>
      </c>
      <c r="AH13" s="1">
        <v>16</v>
      </c>
      <c r="AI13" s="1">
        <v>17</v>
      </c>
      <c r="AJ13" s="1">
        <v>0</v>
      </c>
      <c r="AK13" s="1">
        <v>92</v>
      </c>
      <c r="AL13" s="1" t="s">
        <v>136</v>
      </c>
      <c r="AM13" s="1" t="s">
        <v>137</v>
      </c>
      <c r="AN13" s="1" t="s">
        <v>138</v>
      </c>
      <c r="AO13" s="1" t="s">
        <v>240</v>
      </c>
      <c r="AP13" s="1" t="s">
        <v>241</v>
      </c>
      <c r="AQ13" s="1" t="s">
        <v>74</v>
      </c>
      <c r="AR13" s="1" t="s">
        <v>242</v>
      </c>
      <c r="AS13" s="1" t="s">
        <v>243</v>
      </c>
      <c r="AT13" s="1" t="s">
        <v>344</v>
      </c>
      <c r="AU13" s="1">
        <v>2013</v>
      </c>
      <c r="AV13" s="1">
        <v>72</v>
      </c>
      <c r="AW13" s="1">
        <v>1</v>
      </c>
      <c r="AX13" s="1" t="s">
        <v>74</v>
      </c>
      <c r="AY13" s="1" t="s">
        <v>74</v>
      </c>
      <c r="AZ13" s="1" t="s">
        <v>74</v>
      </c>
      <c r="BA13" s="1" t="s">
        <v>74</v>
      </c>
      <c r="BB13" s="1">
        <v>264</v>
      </c>
      <c r="BC13" s="1">
        <v>273</v>
      </c>
      <c r="BD13" s="1" t="s">
        <v>74</v>
      </c>
      <c r="BE13" s="1" t="s">
        <v>345</v>
      </c>
      <c r="BF13" s="1" t="str">
        <f>HYPERLINK("http://dx.doi.org/10.1016/j.marpolbul.2013.04.018","http://dx.doi.org/10.1016/j.marpolbul.2013.04.018")</f>
        <v>http://dx.doi.org/10.1016/j.marpolbul.2013.04.018</v>
      </c>
      <c r="BG13" s="1" t="s">
        <v>74</v>
      </c>
      <c r="BH13" s="1" t="s">
        <v>74</v>
      </c>
      <c r="BI13" s="1">
        <v>10</v>
      </c>
      <c r="BJ13" s="1" t="s">
        <v>247</v>
      </c>
      <c r="BK13" s="1" t="s">
        <v>96</v>
      </c>
      <c r="BL13" s="1" t="s">
        <v>248</v>
      </c>
      <c r="BM13" s="1" t="s">
        <v>346</v>
      </c>
      <c r="BN13" s="1">
        <v>23706615</v>
      </c>
      <c r="BO13" s="1" t="s">
        <v>74</v>
      </c>
      <c r="BP13" s="1" t="s">
        <v>74</v>
      </c>
      <c r="BQ13" s="1" t="s">
        <v>74</v>
      </c>
      <c r="BR13" s="1" t="s">
        <v>98</v>
      </c>
      <c r="BS13" s="1" t="s">
        <v>347</v>
      </c>
      <c r="BT13" s="1" t="str">
        <f>HYPERLINK("https%3A%2F%2Fwww.webofscience.com%2Fwos%2Fwoscc%2Ffull-record%2FWOS:000321937700045","View Full Record in Web of Science")</f>
        <v>View Full Record in Web of Science</v>
      </c>
    </row>
    <row r="14" spans="1:72">
      <c r="A14" s="1" t="s">
        <v>72</v>
      </c>
      <c r="B14" s="1" t="s">
        <v>348</v>
      </c>
      <c r="C14" s="1" t="s">
        <v>74</v>
      </c>
      <c r="D14" s="1" t="s">
        <v>74</v>
      </c>
      <c r="E14" s="1" t="s">
        <v>74</v>
      </c>
      <c r="F14" s="1" t="s">
        <v>348</v>
      </c>
      <c r="G14" s="1" t="s">
        <v>74</v>
      </c>
      <c r="H14" s="1" t="s">
        <v>74</v>
      </c>
      <c r="I14" s="1" t="s">
        <v>349</v>
      </c>
      <c r="J14" s="1" t="s">
        <v>350</v>
      </c>
      <c r="K14" s="1" t="s">
        <v>74</v>
      </c>
      <c r="L14" s="1" t="s">
        <v>74</v>
      </c>
      <c r="M14" s="1" t="s">
        <v>78</v>
      </c>
      <c r="N14" s="1" t="s">
        <v>151</v>
      </c>
      <c r="O14" s="1" t="s">
        <v>351</v>
      </c>
      <c r="P14" s="1" t="s">
        <v>352</v>
      </c>
      <c r="Q14" s="1" t="s">
        <v>353</v>
      </c>
      <c r="R14" s="1" t="s">
        <v>74</v>
      </c>
      <c r="S14" s="1" t="s">
        <v>74</v>
      </c>
      <c r="T14" s="1" t="s">
        <v>354</v>
      </c>
      <c r="U14" s="1" t="s">
        <v>355</v>
      </c>
      <c r="V14" s="1" t="s">
        <v>356</v>
      </c>
      <c r="W14" s="1" t="s">
        <v>357</v>
      </c>
      <c r="X14" s="1" t="s">
        <v>358</v>
      </c>
      <c r="Y14" s="1" t="s">
        <v>359</v>
      </c>
      <c r="Z14" s="1" t="s">
        <v>360</v>
      </c>
      <c r="AA14" s="1" t="s">
        <v>74</v>
      </c>
      <c r="AB14" s="1" t="s">
        <v>74</v>
      </c>
      <c r="AC14" s="1" t="s">
        <v>74</v>
      </c>
      <c r="AD14" s="1" t="s">
        <v>74</v>
      </c>
      <c r="AE14" s="1" t="s">
        <v>74</v>
      </c>
      <c r="AF14" s="1" t="s">
        <v>74</v>
      </c>
      <c r="AG14" s="1">
        <v>25</v>
      </c>
      <c r="AH14" s="1">
        <v>25</v>
      </c>
      <c r="AI14" s="1">
        <v>28</v>
      </c>
      <c r="AJ14" s="1">
        <v>0</v>
      </c>
      <c r="AK14" s="1">
        <v>4</v>
      </c>
      <c r="AL14" s="1" t="s">
        <v>361</v>
      </c>
      <c r="AM14" s="1" t="s">
        <v>362</v>
      </c>
      <c r="AN14" s="1" t="s">
        <v>363</v>
      </c>
      <c r="AO14" s="1" t="s">
        <v>364</v>
      </c>
      <c r="AP14" s="1" t="s">
        <v>74</v>
      </c>
      <c r="AQ14" s="1" t="s">
        <v>74</v>
      </c>
      <c r="AR14" s="1" t="s">
        <v>365</v>
      </c>
      <c r="AS14" s="1" t="s">
        <v>366</v>
      </c>
      <c r="AT14" s="1" t="s">
        <v>267</v>
      </c>
      <c r="AU14" s="1">
        <v>1998</v>
      </c>
      <c r="AV14" s="1">
        <v>33</v>
      </c>
      <c r="AW14" s="1">
        <v>4</v>
      </c>
      <c r="AX14" s="1" t="s">
        <v>74</v>
      </c>
      <c r="AY14" s="1" t="s">
        <v>74</v>
      </c>
      <c r="AZ14" s="1" t="s">
        <v>74</v>
      </c>
      <c r="BA14" s="1" t="s">
        <v>74</v>
      </c>
      <c r="BB14" s="1">
        <v>213</v>
      </c>
      <c r="BC14" s="1">
        <v>219</v>
      </c>
      <c r="BD14" s="1" t="s">
        <v>74</v>
      </c>
      <c r="BE14" s="1" t="s">
        <v>367</v>
      </c>
      <c r="BF14" s="1" t="str">
        <f>HYPERLINK("http://dx.doi.org/10.3147/jsfp.33.213","http://dx.doi.org/10.3147/jsfp.33.213")</f>
        <v>http://dx.doi.org/10.3147/jsfp.33.213</v>
      </c>
      <c r="BG14" s="1" t="s">
        <v>74</v>
      </c>
      <c r="BH14" s="1" t="s">
        <v>74</v>
      </c>
      <c r="BI14" s="1">
        <v>7</v>
      </c>
      <c r="BJ14" s="1" t="s">
        <v>368</v>
      </c>
      <c r="BK14" s="1" t="s">
        <v>172</v>
      </c>
      <c r="BL14" s="1" t="s">
        <v>368</v>
      </c>
      <c r="BM14" s="1" t="s">
        <v>369</v>
      </c>
      <c r="BN14" s="1" t="s">
        <v>74</v>
      </c>
      <c r="BO14" s="1" t="s">
        <v>370</v>
      </c>
      <c r="BP14" s="1" t="s">
        <v>74</v>
      </c>
      <c r="BQ14" s="1" t="s">
        <v>74</v>
      </c>
      <c r="BR14" s="1" t="s">
        <v>98</v>
      </c>
      <c r="BS14" s="1" t="s">
        <v>371</v>
      </c>
      <c r="BT14" s="1" t="str">
        <f>HYPERLINK("https%3A%2F%2Fwww.webofscience.com%2Fwos%2Fwoscc%2Ffull-record%2FWOS:000076900300008","View Full Record in Web of Science")</f>
        <v>View Full Record in Web of Science</v>
      </c>
    </row>
    <row r="15" spans="1:72">
      <c r="A15" s="1" t="s">
        <v>72</v>
      </c>
      <c r="B15" s="1" t="s">
        <v>372</v>
      </c>
      <c r="C15" s="1" t="s">
        <v>74</v>
      </c>
      <c r="D15" s="1" t="s">
        <v>74</v>
      </c>
      <c r="E15" s="1" t="s">
        <v>74</v>
      </c>
      <c r="F15" s="1" t="s">
        <v>373</v>
      </c>
      <c r="G15" s="1" t="s">
        <v>74</v>
      </c>
      <c r="H15" s="1" t="s">
        <v>74</v>
      </c>
      <c r="I15" s="1" t="s">
        <v>374</v>
      </c>
      <c r="J15" s="1" t="s">
        <v>232</v>
      </c>
      <c r="K15" s="1" t="s">
        <v>74</v>
      </c>
      <c r="L15" s="1" t="s">
        <v>74</v>
      </c>
      <c r="M15" s="1" t="s">
        <v>78</v>
      </c>
      <c r="N15" s="1" t="s">
        <v>79</v>
      </c>
      <c r="O15" s="1" t="s">
        <v>74</v>
      </c>
      <c r="P15" s="1" t="s">
        <v>74</v>
      </c>
      <c r="Q15" s="1" t="s">
        <v>74</v>
      </c>
      <c r="R15" s="1" t="s">
        <v>74</v>
      </c>
      <c r="S15" s="1" t="s">
        <v>74</v>
      </c>
      <c r="T15" s="1" t="s">
        <v>375</v>
      </c>
      <c r="U15" s="1" t="s">
        <v>376</v>
      </c>
      <c r="V15" s="1" t="s">
        <v>377</v>
      </c>
      <c r="W15" s="1" t="s">
        <v>378</v>
      </c>
      <c r="X15" s="1" t="s">
        <v>379</v>
      </c>
      <c r="Y15" s="1" t="s">
        <v>380</v>
      </c>
      <c r="Z15" s="1" t="s">
        <v>381</v>
      </c>
      <c r="AA15" s="1" t="s">
        <v>382</v>
      </c>
      <c r="AB15" s="1" t="s">
        <v>383</v>
      </c>
      <c r="AC15" s="1" t="s">
        <v>384</v>
      </c>
      <c r="AD15" s="1" t="s">
        <v>385</v>
      </c>
      <c r="AE15" s="1" t="s">
        <v>386</v>
      </c>
      <c r="AF15" s="1" t="s">
        <v>74</v>
      </c>
      <c r="AG15" s="1">
        <v>45</v>
      </c>
      <c r="AH15" s="1">
        <v>18</v>
      </c>
      <c r="AI15" s="1">
        <v>19</v>
      </c>
      <c r="AJ15" s="1">
        <v>1</v>
      </c>
      <c r="AK15" s="1">
        <v>39</v>
      </c>
      <c r="AL15" s="1" t="s">
        <v>136</v>
      </c>
      <c r="AM15" s="1" t="s">
        <v>137</v>
      </c>
      <c r="AN15" s="1" t="s">
        <v>138</v>
      </c>
      <c r="AO15" s="1" t="s">
        <v>240</v>
      </c>
      <c r="AP15" s="1" t="s">
        <v>241</v>
      </c>
      <c r="AQ15" s="1" t="s">
        <v>74</v>
      </c>
      <c r="AR15" s="1" t="s">
        <v>242</v>
      </c>
      <c r="AS15" s="1" t="s">
        <v>243</v>
      </c>
      <c r="AT15" s="1" t="s">
        <v>387</v>
      </c>
      <c r="AU15" s="1">
        <v>2017</v>
      </c>
      <c r="AV15" s="1">
        <v>118</v>
      </c>
      <c r="AW15" s="1" t="s">
        <v>326</v>
      </c>
      <c r="AX15" s="1" t="s">
        <v>74</v>
      </c>
      <c r="AY15" s="1" t="s">
        <v>74</v>
      </c>
      <c r="AZ15" s="1" t="s">
        <v>74</v>
      </c>
      <c r="BA15" s="1" t="s">
        <v>74</v>
      </c>
      <c r="BB15" s="1">
        <v>420</v>
      </c>
      <c r="BC15" s="1">
        <v>426</v>
      </c>
      <c r="BD15" s="1" t="s">
        <v>74</v>
      </c>
      <c r="BE15" s="1" t="s">
        <v>388</v>
      </c>
      <c r="BF15" s="1" t="str">
        <f>HYPERLINK("http://dx.doi.org/10.1016/j.marpolbul.2017.03.012","http://dx.doi.org/10.1016/j.marpolbul.2017.03.012")</f>
        <v>http://dx.doi.org/10.1016/j.marpolbul.2017.03.012</v>
      </c>
      <c r="BG15" s="1" t="s">
        <v>74</v>
      </c>
      <c r="BH15" s="1" t="s">
        <v>74</v>
      </c>
      <c r="BI15" s="1">
        <v>7</v>
      </c>
      <c r="BJ15" s="1" t="s">
        <v>247</v>
      </c>
      <c r="BK15" s="1" t="s">
        <v>96</v>
      </c>
      <c r="BL15" s="1" t="s">
        <v>248</v>
      </c>
      <c r="BM15" s="1" t="s">
        <v>389</v>
      </c>
      <c r="BN15" s="1">
        <v>28320509</v>
      </c>
      <c r="BO15" s="1" t="s">
        <v>390</v>
      </c>
      <c r="BP15" s="1" t="s">
        <v>74</v>
      </c>
      <c r="BQ15" s="1" t="s">
        <v>74</v>
      </c>
      <c r="BR15" s="1" t="s">
        <v>98</v>
      </c>
      <c r="BS15" s="1" t="s">
        <v>391</v>
      </c>
      <c r="BT15" s="1" t="str">
        <f>HYPERLINK("https%3A%2F%2Fwww.webofscience.com%2Fwos%2Fwoscc%2Ffull-record%2FWOS:000402217300063","View Full Record in Web of Science")</f>
        <v>View Full Record in Web of Science</v>
      </c>
    </row>
    <row r="16" spans="1:72">
      <c r="A16" s="1" t="s">
        <v>72</v>
      </c>
      <c r="B16" s="1" t="s">
        <v>392</v>
      </c>
      <c r="C16" s="1" t="s">
        <v>74</v>
      </c>
      <c r="D16" s="1" t="s">
        <v>74</v>
      </c>
      <c r="E16" s="1" t="s">
        <v>74</v>
      </c>
      <c r="F16" s="1" t="s">
        <v>393</v>
      </c>
      <c r="G16" s="1" t="s">
        <v>74</v>
      </c>
      <c r="H16" s="1" t="s">
        <v>74</v>
      </c>
      <c r="I16" s="1" t="s">
        <v>394</v>
      </c>
      <c r="J16" s="1" t="s">
        <v>395</v>
      </c>
      <c r="K16" s="1" t="s">
        <v>74</v>
      </c>
      <c r="L16" s="1" t="s">
        <v>74</v>
      </c>
      <c r="M16" s="1" t="s">
        <v>78</v>
      </c>
      <c r="N16" s="1" t="s">
        <v>79</v>
      </c>
      <c r="O16" s="1" t="s">
        <v>74</v>
      </c>
      <c r="P16" s="1" t="s">
        <v>74</v>
      </c>
      <c r="Q16" s="1" t="s">
        <v>74</v>
      </c>
      <c r="R16" s="1" t="s">
        <v>74</v>
      </c>
      <c r="S16" s="1" t="s">
        <v>74</v>
      </c>
      <c r="T16" s="1" t="s">
        <v>396</v>
      </c>
      <c r="U16" s="1" t="s">
        <v>397</v>
      </c>
      <c r="V16" s="1" t="s">
        <v>398</v>
      </c>
      <c r="W16" s="1" t="s">
        <v>399</v>
      </c>
      <c r="X16" s="1" t="s">
        <v>400</v>
      </c>
      <c r="Y16" s="1" t="s">
        <v>401</v>
      </c>
      <c r="Z16" s="1" t="s">
        <v>402</v>
      </c>
      <c r="AA16" s="1" t="s">
        <v>403</v>
      </c>
      <c r="AB16" s="1" t="s">
        <v>404</v>
      </c>
      <c r="AC16" s="1" t="s">
        <v>405</v>
      </c>
      <c r="AD16" s="1" t="s">
        <v>406</v>
      </c>
      <c r="AE16" s="1" t="s">
        <v>407</v>
      </c>
      <c r="AF16" s="1" t="s">
        <v>74</v>
      </c>
      <c r="AG16" s="1">
        <v>38</v>
      </c>
      <c r="AH16" s="1">
        <v>9</v>
      </c>
      <c r="AI16" s="1">
        <v>13</v>
      </c>
      <c r="AJ16" s="1">
        <v>2</v>
      </c>
      <c r="AK16" s="1">
        <v>35</v>
      </c>
      <c r="AL16" s="1" t="s">
        <v>408</v>
      </c>
      <c r="AM16" s="1" t="s">
        <v>409</v>
      </c>
      <c r="AN16" s="1" t="s">
        <v>410</v>
      </c>
      <c r="AO16" s="1" t="s">
        <v>411</v>
      </c>
      <c r="AP16" s="1" t="s">
        <v>74</v>
      </c>
      <c r="AQ16" s="1" t="s">
        <v>74</v>
      </c>
      <c r="AR16" s="1" t="s">
        <v>412</v>
      </c>
      <c r="AS16" s="1" t="s">
        <v>413</v>
      </c>
      <c r="AT16" s="1" t="s">
        <v>74</v>
      </c>
      <c r="AU16" s="1">
        <v>2012</v>
      </c>
      <c r="AV16" s="1">
        <v>47</v>
      </c>
      <c r="AW16" s="1">
        <v>11</v>
      </c>
      <c r="AX16" s="1" t="s">
        <v>74</v>
      </c>
      <c r="AY16" s="1" t="s">
        <v>74</v>
      </c>
      <c r="AZ16" s="1" t="s">
        <v>74</v>
      </c>
      <c r="BA16" s="1" t="s">
        <v>74</v>
      </c>
      <c r="BB16" s="1">
        <v>1528</v>
      </c>
      <c r="BC16" s="1">
        <v>1535</v>
      </c>
      <c r="BD16" s="1" t="s">
        <v>74</v>
      </c>
      <c r="BE16" s="1" t="s">
        <v>414</v>
      </c>
      <c r="BF16" s="1" t="str">
        <f>HYPERLINK("http://dx.doi.org/10.1080/10934529.2012.680393","http://dx.doi.org/10.1080/10934529.2012.680393")</f>
        <v>http://dx.doi.org/10.1080/10934529.2012.680393</v>
      </c>
      <c r="BG16" s="1" t="s">
        <v>74</v>
      </c>
      <c r="BH16" s="1" t="s">
        <v>74</v>
      </c>
      <c r="BI16" s="1">
        <v>8</v>
      </c>
      <c r="BJ16" s="1" t="s">
        <v>415</v>
      </c>
      <c r="BK16" s="1" t="s">
        <v>96</v>
      </c>
      <c r="BL16" s="1" t="s">
        <v>416</v>
      </c>
      <c r="BM16" s="1" t="s">
        <v>417</v>
      </c>
      <c r="BN16" s="1">
        <v>22702812</v>
      </c>
      <c r="BO16" s="1" t="s">
        <v>74</v>
      </c>
      <c r="BP16" s="1" t="s">
        <v>74</v>
      </c>
      <c r="BQ16" s="1" t="s">
        <v>74</v>
      </c>
      <c r="BR16" s="1" t="s">
        <v>98</v>
      </c>
      <c r="BS16" s="1" t="s">
        <v>418</v>
      </c>
      <c r="BT16" s="1" t="str">
        <f>HYPERLINK("https%3A%2F%2Fwww.webofscience.com%2Fwos%2Fwoscc%2Ffull-record%2FWOS:000305298900006","View Full Record in Web of Science")</f>
        <v>View Full Record in Web of Science</v>
      </c>
    </row>
    <row r="17" spans="1:72">
      <c r="A17" s="1" t="s">
        <v>72</v>
      </c>
      <c r="B17" s="1" t="s">
        <v>419</v>
      </c>
      <c r="C17" s="1" t="s">
        <v>74</v>
      </c>
      <c r="D17" s="1" t="s">
        <v>74</v>
      </c>
      <c r="E17" s="1" t="s">
        <v>74</v>
      </c>
      <c r="F17" s="1" t="s">
        <v>419</v>
      </c>
      <c r="G17" s="1" t="s">
        <v>74</v>
      </c>
      <c r="H17" s="1" t="s">
        <v>74</v>
      </c>
      <c r="I17" s="1" t="s">
        <v>420</v>
      </c>
      <c r="J17" s="1" t="s">
        <v>421</v>
      </c>
      <c r="K17" s="1" t="s">
        <v>74</v>
      </c>
      <c r="L17" s="1" t="s">
        <v>74</v>
      </c>
      <c r="M17" s="1" t="s">
        <v>78</v>
      </c>
      <c r="N17" s="1" t="s">
        <v>79</v>
      </c>
      <c r="O17" s="1" t="s">
        <v>74</v>
      </c>
      <c r="P17" s="1" t="s">
        <v>74</v>
      </c>
      <c r="Q17" s="1" t="s">
        <v>74</v>
      </c>
      <c r="R17" s="1" t="s">
        <v>74</v>
      </c>
      <c r="S17" s="1" t="s">
        <v>74</v>
      </c>
      <c r="T17" s="1" t="s">
        <v>422</v>
      </c>
      <c r="U17" s="1" t="s">
        <v>423</v>
      </c>
      <c r="V17" s="1" t="s">
        <v>424</v>
      </c>
      <c r="W17" s="1" t="s">
        <v>425</v>
      </c>
      <c r="X17" s="1" t="s">
        <v>426</v>
      </c>
      <c r="Y17" s="1" t="s">
        <v>427</v>
      </c>
      <c r="Z17" s="1" t="s">
        <v>74</v>
      </c>
      <c r="AA17" s="1" t="s">
        <v>428</v>
      </c>
      <c r="AB17" s="1" t="s">
        <v>429</v>
      </c>
      <c r="AC17" s="1" t="s">
        <v>74</v>
      </c>
      <c r="AD17" s="1" t="s">
        <v>74</v>
      </c>
      <c r="AE17" s="1" t="s">
        <v>74</v>
      </c>
      <c r="AF17" s="1" t="s">
        <v>74</v>
      </c>
      <c r="AG17" s="1">
        <v>32</v>
      </c>
      <c r="AH17" s="1">
        <v>42</v>
      </c>
      <c r="AI17" s="1">
        <v>48</v>
      </c>
      <c r="AJ17" s="1">
        <v>0</v>
      </c>
      <c r="AK17" s="1">
        <v>14</v>
      </c>
      <c r="AL17" s="1" t="s">
        <v>430</v>
      </c>
      <c r="AM17" s="1" t="s">
        <v>137</v>
      </c>
      <c r="AN17" s="1" t="s">
        <v>431</v>
      </c>
      <c r="AO17" s="1" t="s">
        <v>432</v>
      </c>
      <c r="AP17" s="1" t="s">
        <v>74</v>
      </c>
      <c r="AQ17" s="1" t="s">
        <v>74</v>
      </c>
      <c r="AR17" s="1" t="s">
        <v>433</v>
      </c>
      <c r="AS17" s="1" t="s">
        <v>434</v>
      </c>
      <c r="AT17" s="1" t="s">
        <v>74</v>
      </c>
      <c r="AU17" s="1">
        <v>2000</v>
      </c>
      <c r="AV17" s="1">
        <v>109</v>
      </c>
      <c r="AW17" s="1">
        <v>1</v>
      </c>
      <c r="AX17" s="1" t="s">
        <v>74</v>
      </c>
      <c r="AY17" s="1" t="s">
        <v>74</v>
      </c>
      <c r="AZ17" s="1" t="s">
        <v>74</v>
      </c>
      <c r="BA17" s="1" t="s">
        <v>74</v>
      </c>
      <c r="BB17" s="1">
        <v>165</v>
      </c>
      <c r="BC17" s="1">
        <v>171</v>
      </c>
      <c r="BD17" s="1" t="s">
        <v>74</v>
      </c>
      <c r="BE17" s="1" t="s">
        <v>435</v>
      </c>
      <c r="BF17" s="1" t="str">
        <f>HYPERLINK("http://dx.doi.org/10.1016/S0269-7491(99)00223-7","http://dx.doi.org/10.1016/S0269-7491(99)00223-7")</f>
        <v>http://dx.doi.org/10.1016/S0269-7491(99)00223-7</v>
      </c>
      <c r="BG17" s="1" t="s">
        <v>74</v>
      </c>
      <c r="BH17" s="1" t="s">
        <v>74</v>
      </c>
      <c r="BI17" s="1">
        <v>7</v>
      </c>
      <c r="BJ17" s="1" t="s">
        <v>144</v>
      </c>
      <c r="BK17" s="1" t="s">
        <v>96</v>
      </c>
      <c r="BL17" s="1" t="s">
        <v>145</v>
      </c>
      <c r="BM17" s="1" t="s">
        <v>436</v>
      </c>
      <c r="BN17" s="1">
        <v>15092924</v>
      </c>
      <c r="BO17" s="1" t="s">
        <v>74</v>
      </c>
      <c r="BP17" s="1" t="s">
        <v>74</v>
      </c>
      <c r="BQ17" s="1" t="s">
        <v>74</v>
      </c>
      <c r="BR17" s="1" t="s">
        <v>98</v>
      </c>
      <c r="BS17" s="1" t="s">
        <v>437</v>
      </c>
      <c r="BT17" s="1" t="str">
        <f>HYPERLINK("https%3A%2F%2Fwww.webofscience.com%2Fwos%2Fwoscc%2Ffull-record%2FWOS:000086143300018","View Full Record in Web of Science")</f>
        <v>View Full Record in Web of Science</v>
      </c>
    </row>
    <row r="18" spans="1:72">
      <c r="A18" s="1" t="s">
        <v>72</v>
      </c>
      <c r="B18" s="1" t="s">
        <v>438</v>
      </c>
      <c r="C18" s="1" t="s">
        <v>74</v>
      </c>
      <c r="D18" s="1" t="s">
        <v>74</v>
      </c>
      <c r="E18" s="1" t="s">
        <v>74</v>
      </c>
      <c r="F18" s="1" t="s">
        <v>439</v>
      </c>
      <c r="G18" s="1" t="s">
        <v>74</v>
      </c>
      <c r="H18" s="1" t="s">
        <v>74</v>
      </c>
      <c r="I18" s="1" t="s">
        <v>440</v>
      </c>
      <c r="J18" s="1" t="s">
        <v>179</v>
      </c>
      <c r="K18" s="1" t="s">
        <v>74</v>
      </c>
      <c r="L18" s="1" t="s">
        <v>74</v>
      </c>
      <c r="M18" s="1" t="s">
        <v>78</v>
      </c>
      <c r="N18" s="1" t="s">
        <v>79</v>
      </c>
      <c r="O18" s="1" t="s">
        <v>74</v>
      </c>
      <c r="P18" s="1" t="s">
        <v>74</v>
      </c>
      <c r="Q18" s="1" t="s">
        <v>74</v>
      </c>
      <c r="R18" s="1" t="s">
        <v>74</v>
      </c>
      <c r="S18" s="1" t="s">
        <v>74</v>
      </c>
      <c r="T18" s="1" t="s">
        <v>441</v>
      </c>
      <c r="U18" s="1" t="s">
        <v>442</v>
      </c>
      <c r="V18" s="1" t="s">
        <v>443</v>
      </c>
      <c r="W18" s="1" t="s">
        <v>444</v>
      </c>
      <c r="X18" s="1" t="s">
        <v>445</v>
      </c>
      <c r="Y18" s="1" t="s">
        <v>446</v>
      </c>
      <c r="Z18" s="1" t="s">
        <v>447</v>
      </c>
      <c r="AA18" s="1" t="s">
        <v>448</v>
      </c>
      <c r="AB18" s="1" t="s">
        <v>449</v>
      </c>
      <c r="AC18" s="1" t="s">
        <v>450</v>
      </c>
      <c r="AD18" s="1" t="s">
        <v>450</v>
      </c>
      <c r="AE18" s="1" t="s">
        <v>451</v>
      </c>
      <c r="AF18" s="1" t="s">
        <v>74</v>
      </c>
      <c r="AG18" s="1">
        <v>27</v>
      </c>
      <c r="AH18" s="1">
        <v>10</v>
      </c>
      <c r="AI18" s="1">
        <v>11</v>
      </c>
      <c r="AJ18" s="1">
        <v>0</v>
      </c>
      <c r="AK18" s="1">
        <v>17</v>
      </c>
      <c r="AL18" s="1" t="s">
        <v>112</v>
      </c>
      <c r="AM18" s="1" t="s">
        <v>191</v>
      </c>
      <c r="AN18" s="1" t="s">
        <v>192</v>
      </c>
      <c r="AO18" s="1" t="s">
        <v>193</v>
      </c>
      <c r="AP18" s="1" t="s">
        <v>194</v>
      </c>
      <c r="AQ18" s="1" t="s">
        <v>74</v>
      </c>
      <c r="AR18" s="1" t="s">
        <v>195</v>
      </c>
      <c r="AS18" s="1" t="s">
        <v>196</v>
      </c>
      <c r="AT18" s="1" t="s">
        <v>452</v>
      </c>
      <c r="AU18" s="1">
        <v>2019</v>
      </c>
      <c r="AV18" s="1">
        <v>191</v>
      </c>
      <c r="AW18" s="1">
        <v>9</v>
      </c>
      <c r="AX18" s="1" t="s">
        <v>74</v>
      </c>
      <c r="AY18" s="1" t="s">
        <v>74</v>
      </c>
      <c r="AZ18" s="1" t="s">
        <v>74</v>
      </c>
      <c r="BA18" s="1" t="s">
        <v>74</v>
      </c>
      <c r="BB18" s="1" t="s">
        <v>74</v>
      </c>
      <c r="BC18" s="1" t="s">
        <v>74</v>
      </c>
      <c r="BD18" s="1">
        <v>538</v>
      </c>
      <c r="BE18" s="1" t="s">
        <v>453</v>
      </c>
      <c r="BF18" s="1" t="str">
        <f>HYPERLINK("http://dx.doi.org/10.1007/s10661-019-7637-3","http://dx.doi.org/10.1007/s10661-019-7637-3")</f>
        <v>http://dx.doi.org/10.1007/s10661-019-7637-3</v>
      </c>
      <c r="BG18" s="1" t="s">
        <v>74</v>
      </c>
      <c r="BH18" s="1" t="s">
        <v>74</v>
      </c>
      <c r="BI18" s="1">
        <v>10</v>
      </c>
      <c r="BJ18" s="1" t="s">
        <v>144</v>
      </c>
      <c r="BK18" s="1" t="s">
        <v>96</v>
      </c>
      <c r="BL18" s="1" t="s">
        <v>145</v>
      </c>
      <c r="BM18" s="1" t="s">
        <v>454</v>
      </c>
      <c r="BN18" s="1">
        <v>31377862</v>
      </c>
      <c r="BO18" s="1" t="s">
        <v>74</v>
      </c>
      <c r="BP18" s="1" t="s">
        <v>74</v>
      </c>
      <c r="BQ18" s="1" t="s">
        <v>74</v>
      </c>
      <c r="BR18" s="1" t="s">
        <v>98</v>
      </c>
      <c r="BS18" s="1" t="s">
        <v>455</v>
      </c>
      <c r="BT18" s="1" t="str">
        <f>HYPERLINK("https%3A%2F%2Fwww.webofscience.com%2Fwos%2Fwoscc%2Ffull-record%2FWOS:000480243200003","View Full Record in Web of Science")</f>
        <v>View Full Record in Web of Science</v>
      </c>
    </row>
    <row r="19" spans="1:72">
      <c r="A19" s="1" t="s">
        <v>72</v>
      </c>
      <c r="B19" s="1" t="s">
        <v>456</v>
      </c>
      <c r="C19" s="1" t="s">
        <v>74</v>
      </c>
      <c r="D19" s="1" t="s">
        <v>74</v>
      </c>
      <c r="E19" s="1" t="s">
        <v>74</v>
      </c>
      <c r="F19" s="1" t="s">
        <v>457</v>
      </c>
      <c r="G19" s="1" t="s">
        <v>74</v>
      </c>
      <c r="H19" s="1" t="s">
        <v>74</v>
      </c>
      <c r="I19" s="1" t="s">
        <v>458</v>
      </c>
      <c r="J19" s="1" t="s">
        <v>459</v>
      </c>
      <c r="K19" s="1" t="s">
        <v>74</v>
      </c>
      <c r="L19" s="1" t="s">
        <v>74</v>
      </c>
      <c r="M19" s="1" t="s">
        <v>78</v>
      </c>
      <c r="N19" s="1" t="s">
        <v>79</v>
      </c>
      <c r="O19" s="1" t="s">
        <v>74</v>
      </c>
      <c r="P19" s="1" t="s">
        <v>74</v>
      </c>
      <c r="Q19" s="1" t="s">
        <v>74</v>
      </c>
      <c r="R19" s="1" t="s">
        <v>74</v>
      </c>
      <c r="S19" s="1" t="s">
        <v>74</v>
      </c>
      <c r="T19" s="1" t="s">
        <v>460</v>
      </c>
      <c r="U19" s="1" t="s">
        <v>461</v>
      </c>
      <c r="V19" s="1" t="s">
        <v>462</v>
      </c>
      <c r="W19" s="1" t="s">
        <v>463</v>
      </c>
      <c r="X19" s="1" t="s">
        <v>464</v>
      </c>
      <c r="Y19" s="1" t="s">
        <v>465</v>
      </c>
      <c r="Z19" s="1" t="s">
        <v>466</v>
      </c>
      <c r="AA19" s="1" t="s">
        <v>467</v>
      </c>
      <c r="AB19" s="1" t="s">
        <v>468</v>
      </c>
      <c r="AC19" s="1" t="s">
        <v>74</v>
      </c>
      <c r="AD19" s="1" t="s">
        <v>74</v>
      </c>
      <c r="AE19" s="1" t="s">
        <v>74</v>
      </c>
      <c r="AF19" s="1" t="s">
        <v>74</v>
      </c>
      <c r="AG19" s="1">
        <v>38</v>
      </c>
      <c r="AH19" s="1">
        <v>47</v>
      </c>
      <c r="AI19" s="1">
        <v>48</v>
      </c>
      <c r="AJ19" s="1">
        <v>0</v>
      </c>
      <c r="AK19" s="1">
        <v>46</v>
      </c>
      <c r="AL19" s="1" t="s">
        <v>112</v>
      </c>
      <c r="AM19" s="1" t="s">
        <v>113</v>
      </c>
      <c r="AN19" s="1" t="s">
        <v>469</v>
      </c>
      <c r="AO19" s="1" t="s">
        <v>470</v>
      </c>
      <c r="AP19" s="1" t="s">
        <v>471</v>
      </c>
      <c r="AQ19" s="1" t="s">
        <v>74</v>
      </c>
      <c r="AR19" s="1" t="s">
        <v>472</v>
      </c>
      <c r="AS19" s="1" t="s">
        <v>473</v>
      </c>
      <c r="AT19" s="1" t="s">
        <v>267</v>
      </c>
      <c r="AU19" s="1">
        <v>2012</v>
      </c>
      <c r="AV19" s="1">
        <v>9</v>
      </c>
      <c r="AW19" s="1">
        <v>4</v>
      </c>
      <c r="AX19" s="1" t="s">
        <v>74</v>
      </c>
      <c r="AY19" s="1" t="s">
        <v>74</v>
      </c>
      <c r="AZ19" s="1" t="s">
        <v>74</v>
      </c>
      <c r="BA19" s="1" t="s">
        <v>74</v>
      </c>
      <c r="BB19" s="1">
        <v>579</v>
      </c>
      <c r="BC19" s="1">
        <v>586</v>
      </c>
      <c r="BD19" s="1" t="s">
        <v>74</v>
      </c>
      <c r="BE19" s="1" t="s">
        <v>474</v>
      </c>
      <c r="BF19" s="1" t="str">
        <f>HYPERLINK("http://dx.doi.org/10.1007/s13762-012-0078-y","http://dx.doi.org/10.1007/s13762-012-0078-y")</f>
        <v>http://dx.doi.org/10.1007/s13762-012-0078-y</v>
      </c>
      <c r="BG19" s="1" t="s">
        <v>74</v>
      </c>
      <c r="BH19" s="1" t="s">
        <v>74</v>
      </c>
      <c r="BI19" s="1">
        <v>8</v>
      </c>
      <c r="BJ19" s="1" t="s">
        <v>144</v>
      </c>
      <c r="BK19" s="1" t="s">
        <v>96</v>
      </c>
      <c r="BL19" s="1" t="s">
        <v>145</v>
      </c>
      <c r="BM19" s="1" t="s">
        <v>475</v>
      </c>
      <c r="BN19" s="1" t="s">
        <v>74</v>
      </c>
      <c r="BO19" s="1" t="s">
        <v>476</v>
      </c>
      <c r="BP19" s="1" t="s">
        <v>74</v>
      </c>
      <c r="BQ19" s="1" t="s">
        <v>74</v>
      </c>
      <c r="BR19" s="1" t="s">
        <v>98</v>
      </c>
      <c r="BS19" s="1" t="s">
        <v>477</v>
      </c>
      <c r="BT19" s="1" t="str">
        <f>HYPERLINK("https%3A%2F%2Fwww.webofscience.com%2Fwos%2Fwoscc%2Ffull-record%2FWOS:000308225100001","View Full Record in Web of Science")</f>
        <v>View Full Record in Web of Science</v>
      </c>
    </row>
    <row r="20" spans="1:72">
      <c r="A20" s="1" t="s">
        <v>72</v>
      </c>
      <c r="B20" s="1" t="s">
        <v>478</v>
      </c>
      <c r="C20" s="1" t="s">
        <v>74</v>
      </c>
      <c r="D20" s="1" t="s">
        <v>74</v>
      </c>
      <c r="E20" s="1" t="s">
        <v>74</v>
      </c>
      <c r="F20" s="1" t="s">
        <v>479</v>
      </c>
      <c r="G20" s="1" t="s">
        <v>74</v>
      </c>
      <c r="H20" s="1" t="s">
        <v>74</v>
      </c>
      <c r="I20" s="1" t="s">
        <v>480</v>
      </c>
      <c r="J20" s="1" t="s">
        <v>232</v>
      </c>
      <c r="K20" s="1" t="s">
        <v>74</v>
      </c>
      <c r="L20" s="1" t="s">
        <v>74</v>
      </c>
      <c r="M20" s="1" t="s">
        <v>78</v>
      </c>
      <c r="N20" s="1" t="s">
        <v>79</v>
      </c>
      <c r="O20" s="1" t="s">
        <v>74</v>
      </c>
      <c r="P20" s="1" t="s">
        <v>74</v>
      </c>
      <c r="Q20" s="1" t="s">
        <v>74</v>
      </c>
      <c r="R20" s="1" t="s">
        <v>74</v>
      </c>
      <c r="S20" s="1" t="s">
        <v>74</v>
      </c>
      <c r="T20" s="1" t="s">
        <v>481</v>
      </c>
      <c r="U20" s="1" t="s">
        <v>482</v>
      </c>
      <c r="V20" s="1" t="s">
        <v>483</v>
      </c>
      <c r="W20" s="1" t="s">
        <v>484</v>
      </c>
      <c r="X20" s="1" t="s">
        <v>485</v>
      </c>
      <c r="Y20" s="1" t="s">
        <v>486</v>
      </c>
      <c r="Z20" s="1" t="s">
        <v>487</v>
      </c>
      <c r="AA20" s="1" t="s">
        <v>74</v>
      </c>
      <c r="AB20" s="1" t="s">
        <v>488</v>
      </c>
      <c r="AC20" s="1" t="s">
        <v>74</v>
      </c>
      <c r="AD20" s="1" t="s">
        <v>74</v>
      </c>
      <c r="AE20" s="1" t="s">
        <v>74</v>
      </c>
      <c r="AF20" s="1" t="s">
        <v>74</v>
      </c>
      <c r="AG20" s="1">
        <v>32</v>
      </c>
      <c r="AH20" s="1">
        <v>27</v>
      </c>
      <c r="AI20" s="1">
        <v>27</v>
      </c>
      <c r="AJ20" s="1">
        <v>14</v>
      </c>
      <c r="AK20" s="1">
        <v>93</v>
      </c>
      <c r="AL20" s="1" t="s">
        <v>136</v>
      </c>
      <c r="AM20" s="1" t="s">
        <v>137</v>
      </c>
      <c r="AN20" s="1" t="s">
        <v>138</v>
      </c>
      <c r="AO20" s="1" t="s">
        <v>240</v>
      </c>
      <c r="AP20" s="1" t="s">
        <v>241</v>
      </c>
      <c r="AQ20" s="1" t="s">
        <v>74</v>
      </c>
      <c r="AR20" s="1" t="s">
        <v>242</v>
      </c>
      <c r="AS20" s="1" t="s">
        <v>243</v>
      </c>
      <c r="AT20" s="1" t="s">
        <v>142</v>
      </c>
      <c r="AU20" s="1">
        <v>2018</v>
      </c>
      <c r="AV20" s="1">
        <v>131</v>
      </c>
      <c r="AW20" s="1" t="s">
        <v>74</v>
      </c>
      <c r="AX20" s="1" t="s">
        <v>489</v>
      </c>
      <c r="AY20" s="1" t="s">
        <v>74</v>
      </c>
      <c r="AZ20" s="1" t="s">
        <v>74</v>
      </c>
      <c r="BA20" s="1" t="s">
        <v>74</v>
      </c>
      <c r="BB20" s="1">
        <v>773</v>
      </c>
      <c r="BC20" s="1">
        <v>781</v>
      </c>
      <c r="BD20" s="1" t="s">
        <v>74</v>
      </c>
      <c r="BE20" s="1" t="s">
        <v>490</v>
      </c>
      <c r="BF20" s="1" t="str">
        <f>HYPERLINK("http://dx.doi.org/10.1016/j.marpolbul.2018.04.068","http://dx.doi.org/10.1016/j.marpolbul.2018.04.068")</f>
        <v>http://dx.doi.org/10.1016/j.marpolbul.2018.04.068</v>
      </c>
      <c r="BG20" s="1" t="s">
        <v>74</v>
      </c>
      <c r="BH20" s="1" t="s">
        <v>74</v>
      </c>
      <c r="BI20" s="1">
        <v>9</v>
      </c>
      <c r="BJ20" s="1" t="s">
        <v>247</v>
      </c>
      <c r="BK20" s="1" t="s">
        <v>96</v>
      </c>
      <c r="BL20" s="1" t="s">
        <v>248</v>
      </c>
      <c r="BM20" s="1" t="s">
        <v>491</v>
      </c>
      <c r="BN20" s="1">
        <v>29887005</v>
      </c>
      <c r="BO20" s="1" t="s">
        <v>74</v>
      </c>
      <c r="BP20" s="1" t="s">
        <v>74</v>
      </c>
      <c r="BQ20" s="1" t="s">
        <v>74</v>
      </c>
      <c r="BR20" s="1" t="s">
        <v>98</v>
      </c>
      <c r="BS20" s="1" t="s">
        <v>492</v>
      </c>
      <c r="BT20" s="1" t="str">
        <f>HYPERLINK("https%3A%2F%2Fwww.webofscience.com%2Fwos%2Fwoscc%2Ffull-record%2FWOS:000437060300084","View Full Record in Web of Science")</f>
        <v>View Full Record in Web of Science</v>
      </c>
    </row>
    <row r="21" spans="1:72">
      <c r="A21" s="1" t="s">
        <v>72</v>
      </c>
      <c r="B21" s="1" t="s">
        <v>493</v>
      </c>
      <c r="C21" s="1" t="s">
        <v>74</v>
      </c>
      <c r="D21" s="1" t="s">
        <v>74</v>
      </c>
      <c r="E21" s="1" t="s">
        <v>74</v>
      </c>
      <c r="F21" s="1" t="s">
        <v>493</v>
      </c>
      <c r="G21" s="1" t="s">
        <v>74</v>
      </c>
      <c r="H21" s="1" t="s">
        <v>74</v>
      </c>
      <c r="I21" s="1" t="s">
        <v>494</v>
      </c>
      <c r="J21" s="1" t="s">
        <v>495</v>
      </c>
      <c r="K21" s="1" t="s">
        <v>74</v>
      </c>
      <c r="L21" s="1" t="s">
        <v>74</v>
      </c>
      <c r="M21" s="1" t="s">
        <v>78</v>
      </c>
      <c r="N21" s="1" t="s">
        <v>79</v>
      </c>
      <c r="O21" s="1" t="s">
        <v>74</v>
      </c>
      <c r="P21" s="1" t="s">
        <v>74</v>
      </c>
      <c r="Q21" s="1" t="s">
        <v>74</v>
      </c>
      <c r="R21" s="1" t="s">
        <v>74</v>
      </c>
      <c r="S21" s="1" t="s">
        <v>74</v>
      </c>
      <c r="T21" s="1" t="s">
        <v>496</v>
      </c>
      <c r="U21" s="1" t="s">
        <v>497</v>
      </c>
      <c r="V21" s="1" t="s">
        <v>498</v>
      </c>
      <c r="W21" s="1" t="s">
        <v>499</v>
      </c>
      <c r="X21" s="1" t="s">
        <v>500</v>
      </c>
      <c r="Y21" s="1" t="s">
        <v>501</v>
      </c>
      <c r="Z21" s="1" t="s">
        <v>74</v>
      </c>
      <c r="AA21" s="1" t="s">
        <v>502</v>
      </c>
      <c r="AB21" s="1" t="s">
        <v>503</v>
      </c>
      <c r="AC21" s="1" t="s">
        <v>74</v>
      </c>
      <c r="AD21" s="1" t="s">
        <v>74</v>
      </c>
      <c r="AE21" s="1" t="s">
        <v>74</v>
      </c>
      <c r="AF21" s="1" t="s">
        <v>74</v>
      </c>
      <c r="AG21" s="1">
        <v>16</v>
      </c>
      <c r="AH21" s="1">
        <v>6</v>
      </c>
      <c r="AI21" s="1">
        <v>6</v>
      </c>
      <c r="AJ21" s="1">
        <v>0</v>
      </c>
      <c r="AK21" s="1">
        <v>2</v>
      </c>
      <c r="AL21" s="1" t="s">
        <v>504</v>
      </c>
      <c r="AM21" s="1" t="s">
        <v>505</v>
      </c>
      <c r="AN21" s="1" t="s">
        <v>506</v>
      </c>
      <c r="AO21" s="1" t="s">
        <v>507</v>
      </c>
      <c r="AP21" s="1" t="s">
        <v>74</v>
      </c>
      <c r="AQ21" s="1" t="s">
        <v>74</v>
      </c>
      <c r="AR21" s="1" t="s">
        <v>508</v>
      </c>
      <c r="AS21" s="1" t="s">
        <v>509</v>
      </c>
      <c r="AT21" s="1" t="s">
        <v>510</v>
      </c>
      <c r="AU21" s="1">
        <v>2000</v>
      </c>
      <c r="AV21" s="1">
        <v>9</v>
      </c>
      <c r="AW21" s="1" t="s">
        <v>511</v>
      </c>
      <c r="AX21" s="1" t="s">
        <v>74</v>
      </c>
      <c r="AY21" s="1" t="s">
        <v>74</v>
      </c>
      <c r="AZ21" s="1" t="s">
        <v>74</v>
      </c>
      <c r="BA21" s="1" t="s">
        <v>74</v>
      </c>
      <c r="BB21" s="1">
        <v>759</v>
      </c>
      <c r="BC21" s="1">
        <v>765</v>
      </c>
      <c r="BD21" s="1" t="s">
        <v>74</v>
      </c>
      <c r="BE21" s="1" t="s">
        <v>74</v>
      </c>
      <c r="BF21" s="1" t="s">
        <v>74</v>
      </c>
      <c r="BG21" s="1" t="s">
        <v>74</v>
      </c>
      <c r="BH21" s="1" t="s">
        <v>74</v>
      </c>
      <c r="BI21" s="1">
        <v>7</v>
      </c>
      <c r="BJ21" s="1" t="s">
        <v>144</v>
      </c>
      <c r="BK21" s="1" t="s">
        <v>96</v>
      </c>
      <c r="BL21" s="1" t="s">
        <v>145</v>
      </c>
      <c r="BM21" s="1" t="s">
        <v>512</v>
      </c>
      <c r="BN21" s="1" t="s">
        <v>74</v>
      </c>
      <c r="BO21" s="1" t="s">
        <v>74</v>
      </c>
      <c r="BP21" s="1" t="s">
        <v>74</v>
      </c>
      <c r="BQ21" s="1" t="s">
        <v>74</v>
      </c>
      <c r="BR21" s="1" t="s">
        <v>98</v>
      </c>
      <c r="BS21" s="1" t="s">
        <v>513</v>
      </c>
      <c r="BT21" s="1" t="str">
        <f>HYPERLINK("https%3A%2F%2Fwww.webofscience.com%2Fwos%2Fwoscc%2Ffull-record%2FWOS:000166030300009","View Full Record in Web of Science")</f>
        <v>View Full Record in Web of Science</v>
      </c>
    </row>
    <row r="22" spans="1:72">
      <c r="A22" s="1" t="s">
        <v>72</v>
      </c>
      <c r="B22" s="1" t="s">
        <v>514</v>
      </c>
      <c r="C22" s="1" t="s">
        <v>74</v>
      </c>
      <c r="D22" s="1" t="s">
        <v>74</v>
      </c>
      <c r="E22" s="1" t="s">
        <v>74</v>
      </c>
      <c r="F22" s="1" t="s">
        <v>515</v>
      </c>
      <c r="G22" s="1" t="s">
        <v>74</v>
      </c>
      <c r="H22" s="1" t="s">
        <v>74</v>
      </c>
      <c r="I22" s="1" t="s">
        <v>516</v>
      </c>
      <c r="J22" s="1" t="s">
        <v>204</v>
      </c>
      <c r="K22" s="1" t="s">
        <v>74</v>
      </c>
      <c r="L22" s="1" t="s">
        <v>74</v>
      </c>
      <c r="M22" s="1" t="s">
        <v>78</v>
      </c>
      <c r="N22" s="1" t="s">
        <v>79</v>
      </c>
      <c r="O22" s="1" t="s">
        <v>74</v>
      </c>
      <c r="P22" s="1" t="s">
        <v>74</v>
      </c>
      <c r="Q22" s="1" t="s">
        <v>74</v>
      </c>
      <c r="R22" s="1" t="s">
        <v>74</v>
      </c>
      <c r="S22" s="1" t="s">
        <v>74</v>
      </c>
      <c r="T22" s="1" t="s">
        <v>517</v>
      </c>
      <c r="U22" s="1" t="s">
        <v>518</v>
      </c>
      <c r="V22" s="1" t="s">
        <v>519</v>
      </c>
      <c r="W22" s="1" t="s">
        <v>520</v>
      </c>
      <c r="X22" s="1" t="s">
        <v>521</v>
      </c>
      <c r="Y22" s="1" t="s">
        <v>522</v>
      </c>
      <c r="Z22" s="1" t="s">
        <v>523</v>
      </c>
      <c r="AA22" s="1" t="s">
        <v>74</v>
      </c>
      <c r="AB22" s="1" t="s">
        <v>74</v>
      </c>
      <c r="AC22" s="1" t="s">
        <v>524</v>
      </c>
      <c r="AD22" s="1" t="s">
        <v>525</v>
      </c>
      <c r="AE22" s="1" t="s">
        <v>526</v>
      </c>
      <c r="AF22" s="1" t="s">
        <v>74</v>
      </c>
      <c r="AG22" s="1">
        <v>72</v>
      </c>
      <c r="AH22" s="1">
        <v>12</v>
      </c>
      <c r="AI22" s="1">
        <v>17</v>
      </c>
      <c r="AJ22" s="1">
        <v>8</v>
      </c>
      <c r="AK22" s="1">
        <v>93</v>
      </c>
      <c r="AL22" s="1" t="s">
        <v>217</v>
      </c>
      <c r="AM22" s="1" t="s">
        <v>218</v>
      </c>
      <c r="AN22" s="1" t="s">
        <v>219</v>
      </c>
      <c r="AO22" s="1" t="s">
        <v>220</v>
      </c>
      <c r="AP22" s="1" t="s">
        <v>221</v>
      </c>
      <c r="AQ22" s="1" t="s">
        <v>74</v>
      </c>
      <c r="AR22" s="1" t="s">
        <v>222</v>
      </c>
      <c r="AS22" s="1" t="s">
        <v>223</v>
      </c>
      <c r="AT22" s="1" t="s">
        <v>142</v>
      </c>
      <c r="AU22" s="1">
        <v>2022</v>
      </c>
      <c r="AV22" s="1">
        <v>29</v>
      </c>
      <c r="AW22" s="1">
        <v>29</v>
      </c>
      <c r="AX22" s="1" t="s">
        <v>74</v>
      </c>
      <c r="AY22" s="1" t="s">
        <v>74</v>
      </c>
      <c r="AZ22" s="1" t="s">
        <v>74</v>
      </c>
      <c r="BA22" s="1" t="s">
        <v>74</v>
      </c>
      <c r="BB22" s="1">
        <v>44582</v>
      </c>
      <c r="BC22" s="1">
        <v>44596</v>
      </c>
      <c r="BD22" s="1" t="s">
        <v>74</v>
      </c>
      <c r="BE22" s="1" t="s">
        <v>527</v>
      </c>
      <c r="BF22" s="1" t="str">
        <f>HYPERLINK("http://dx.doi.org/10.1007/s11356-022-18727-9","http://dx.doi.org/10.1007/s11356-022-18727-9")</f>
        <v>http://dx.doi.org/10.1007/s11356-022-18727-9</v>
      </c>
      <c r="BG22" s="1" t="s">
        <v>74</v>
      </c>
      <c r="BH22" s="1" t="s">
        <v>528</v>
      </c>
      <c r="BI22" s="1">
        <v>15</v>
      </c>
      <c r="BJ22" s="1" t="s">
        <v>144</v>
      </c>
      <c r="BK22" s="1" t="s">
        <v>96</v>
      </c>
      <c r="BL22" s="1" t="s">
        <v>145</v>
      </c>
      <c r="BM22" s="1" t="s">
        <v>529</v>
      </c>
      <c r="BN22" s="1">
        <v>35133586</v>
      </c>
      <c r="BO22" s="1" t="s">
        <v>74</v>
      </c>
      <c r="BP22" s="1" t="s">
        <v>74</v>
      </c>
      <c r="BQ22" s="1" t="s">
        <v>74</v>
      </c>
      <c r="BR22" s="1" t="s">
        <v>98</v>
      </c>
      <c r="BS22" s="1" t="s">
        <v>530</v>
      </c>
      <c r="BT22" s="1" t="str">
        <f>HYPERLINK("https%3A%2F%2Fwww.webofscience.com%2Fwos%2Fwoscc%2Ffull-record%2FWOS:000752775700004","View Full Record in Web of Science")</f>
        <v>View Full Record in Web of Science</v>
      </c>
    </row>
    <row r="23" spans="1:72">
      <c r="A23" s="1" t="s">
        <v>72</v>
      </c>
      <c r="B23" s="1" t="s">
        <v>531</v>
      </c>
      <c r="C23" s="1" t="s">
        <v>74</v>
      </c>
      <c r="D23" s="1" t="s">
        <v>74</v>
      </c>
      <c r="E23" s="1" t="s">
        <v>74</v>
      </c>
      <c r="F23" s="1" t="s">
        <v>532</v>
      </c>
      <c r="G23" s="1" t="s">
        <v>74</v>
      </c>
      <c r="H23" s="1" t="s">
        <v>74</v>
      </c>
      <c r="I23" s="1" t="s">
        <v>533</v>
      </c>
      <c r="J23" s="1" t="s">
        <v>534</v>
      </c>
      <c r="K23" s="1" t="s">
        <v>74</v>
      </c>
      <c r="L23" s="1" t="s">
        <v>74</v>
      </c>
      <c r="M23" s="1" t="s">
        <v>78</v>
      </c>
      <c r="N23" s="1" t="s">
        <v>79</v>
      </c>
      <c r="O23" s="1" t="s">
        <v>74</v>
      </c>
      <c r="P23" s="1" t="s">
        <v>74</v>
      </c>
      <c r="Q23" s="1" t="s">
        <v>74</v>
      </c>
      <c r="R23" s="1" t="s">
        <v>74</v>
      </c>
      <c r="S23" s="1" t="s">
        <v>74</v>
      </c>
      <c r="T23" s="1" t="s">
        <v>535</v>
      </c>
      <c r="U23" s="1" t="s">
        <v>536</v>
      </c>
      <c r="V23" s="1" t="s">
        <v>537</v>
      </c>
      <c r="W23" s="1" t="s">
        <v>538</v>
      </c>
      <c r="X23" s="1" t="s">
        <v>539</v>
      </c>
      <c r="Y23" s="1" t="s">
        <v>540</v>
      </c>
      <c r="Z23" s="1" t="s">
        <v>541</v>
      </c>
      <c r="AA23" s="1" t="s">
        <v>74</v>
      </c>
      <c r="AB23" s="1" t="s">
        <v>74</v>
      </c>
      <c r="AC23" s="1" t="s">
        <v>542</v>
      </c>
      <c r="AD23" s="1" t="s">
        <v>542</v>
      </c>
      <c r="AE23" s="1" t="s">
        <v>543</v>
      </c>
      <c r="AF23" s="1" t="s">
        <v>74</v>
      </c>
      <c r="AG23" s="1">
        <v>64</v>
      </c>
      <c r="AH23" s="1">
        <v>0</v>
      </c>
      <c r="AI23" s="1">
        <v>0</v>
      </c>
      <c r="AJ23" s="1">
        <v>5</v>
      </c>
      <c r="AK23" s="1">
        <v>8</v>
      </c>
      <c r="AL23" s="1" t="s">
        <v>112</v>
      </c>
      <c r="AM23" s="1" t="s">
        <v>113</v>
      </c>
      <c r="AN23" s="1" t="s">
        <v>114</v>
      </c>
      <c r="AO23" s="1" t="s">
        <v>544</v>
      </c>
      <c r="AP23" s="1" t="s">
        <v>74</v>
      </c>
      <c r="AQ23" s="1" t="s">
        <v>74</v>
      </c>
      <c r="AR23" s="1" t="s">
        <v>534</v>
      </c>
      <c r="AS23" s="1" t="s">
        <v>545</v>
      </c>
      <c r="AT23" s="1" t="s">
        <v>546</v>
      </c>
      <c r="AU23" s="1">
        <v>2023</v>
      </c>
      <c r="AV23" s="1">
        <v>13</v>
      </c>
      <c r="AW23" s="1">
        <v>1</v>
      </c>
      <c r="AX23" s="1" t="s">
        <v>74</v>
      </c>
      <c r="AY23" s="1" t="s">
        <v>74</v>
      </c>
      <c r="AZ23" s="1" t="s">
        <v>74</v>
      </c>
      <c r="BA23" s="1" t="s">
        <v>74</v>
      </c>
      <c r="BB23" s="1" t="s">
        <v>74</v>
      </c>
      <c r="BC23" s="1" t="s">
        <v>74</v>
      </c>
      <c r="BD23" s="1">
        <v>127</v>
      </c>
      <c r="BE23" s="1" t="s">
        <v>547</v>
      </c>
      <c r="BF23" s="1" t="str">
        <f>HYPERLINK("http://dx.doi.org/10.1186/s13568-023-01626-8","http://dx.doi.org/10.1186/s13568-023-01626-8")</f>
        <v>http://dx.doi.org/10.1186/s13568-023-01626-8</v>
      </c>
      <c r="BG23" s="1" t="s">
        <v>74</v>
      </c>
      <c r="BH23" s="1" t="s">
        <v>74</v>
      </c>
      <c r="BI23" s="1">
        <v>8</v>
      </c>
      <c r="BJ23" s="1" t="s">
        <v>548</v>
      </c>
      <c r="BK23" s="1" t="s">
        <v>96</v>
      </c>
      <c r="BL23" s="1" t="s">
        <v>548</v>
      </c>
      <c r="BM23" s="1" t="s">
        <v>549</v>
      </c>
      <c r="BN23" s="1">
        <v>37964138</v>
      </c>
      <c r="BO23" s="1" t="s">
        <v>550</v>
      </c>
      <c r="BP23" s="1" t="s">
        <v>74</v>
      </c>
      <c r="BQ23" s="1" t="s">
        <v>74</v>
      </c>
      <c r="BR23" s="1" t="s">
        <v>98</v>
      </c>
      <c r="BS23" s="1" t="s">
        <v>551</v>
      </c>
      <c r="BT23" s="1" t="str">
        <f>HYPERLINK("https%3A%2F%2Fwww.webofscience.com%2Fwos%2Fwoscc%2Ffull-record%2FWOS:001103775000001","View Full Record in Web of Science")</f>
        <v>View Full Record in Web of Science</v>
      </c>
    </row>
    <row r="24" spans="1:72">
      <c r="A24" s="1" t="s">
        <v>72</v>
      </c>
      <c r="B24" s="1" t="s">
        <v>552</v>
      </c>
      <c r="C24" s="1" t="s">
        <v>74</v>
      </c>
      <c r="D24" s="1" t="s">
        <v>74</v>
      </c>
      <c r="E24" s="1" t="s">
        <v>74</v>
      </c>
      <c r="F24" s="1" t="s">
        <v>552</v>
      </c>
      <c r="G24" s="1" t="s">
        <v>74</v>
      </c>
      <c r="H24" s="1" t="s">
        <v>74</v>
      </c>
      <c r="I24" s="1" t="s">
        <v>553</v>
      </c>
      <c r="J24" s="1" t="s">
        <v>554</v>
      </c>
      <c r="K24" s="1" t="s">
        <v>74</v>
      </c>
      <c r="L24" s="1" t="s">
        <v>74</v>
      </c>
      <c r="M24" s="1" t="s">
        <v>78</v>
      </c>
      <c r="N24" s="1" t="s">
        <v>79</v>
      </c>
      <c r="O24" s="1" t="s">
        <v>74</v>
      </c>
      <c r="P24" s="1" t="s">
        <v>74</v>
      </c>
      <c r="Q24" s="1" t="s">
        <v>74</v>
      </c>
      <c r="R24" s="1" t="s">
        <v>74</v>
      </c>
      <c r="S24" s="1" t="s">
        <v>74</v>
      </c>
      <c r="T24" s="1" t="s">
        <v>555</v>
      </c>
      <c r="U24" s="1" t="s">
        <v>556</v>
      </c>
      <c r="V24" s="1" t="s">
        <v>557</v>
      </c>
      <c r="W24" s="1" t="s">
        <v>558</v>
      </c>
      <c r="X24" s="1" t="s">
        <v>559</v>
      </c>
      <c r="Y24" s="1" t="s">
        <v>560</v>
      </c>
      <c r="Z24" s="1" t="s">
        <v>561</v>
      </c>
      <c r="AA24" s="1" t="s">
        <v>562</v>
      </c>
      <c r="AB24" s="1" t="s">
        <v>563</v>
      </c>
      <c r="AC24" s="1" t="s">
        <v>74</v>
      </c>
      <c r="AD24" s="1" t="s">
        <v>74</v>
      </c>
      <c r="AE24" s="1" t="s">
        <v>74</v>
      </c>
      <c r="AF24" s="1" t="s">
        <v>74</v>
      </c>
      <c r="AG24" s="1">
        <v>42</v>
      </c>
      <c r="AH24" s="1">
        <v>68</v>
      </c>
      <c r="AI24" s="1">
        <v>78</v>
      </c>
      <c r="AJ24" s="1">
        <v>0</v>
      </c>
      <c r="AK24" s="1">
        <v>16</v>
      </c>
      <c r="AL24" s="1" t="s">
        <v>564</v>
      </c>
      <c r="AM24" s="1" t="s">
        <v>113</v>
      </c>
      <c r="AN24" s="1" t="s">
        <v>565</v>
      </c>
      <c r="AO24" s="1" t="s">
        <v>566</v>
      </c>
      <c r="AP24" s="1" t="s">
        <v>567</v>
      </c>
      <c r="AQ24" s="1" t="s">
        <v>74</v>
      </c>
      <c r="AR24" s="1" t="s">
        <v>568</v>
      </c>
      <c r="AS24" s="1" t="s">
        <v>569</v>
      </c>
      <c r="AT24" s="1" t="s">
        <v>224</v>
      </c>
      <c r="AU24" s="1">
        <v>1999</v>
      </c>
      <c r="AV24" s="1">
        <v>122</v>
      </c>
      <c r="AW24" s="1">
        <v>2</v>
      </c>
      <c r="AX24" s="1" t="s">
        <v>74</v>
      </c>
      <c r="AY24" s="1" t="s">
        <v>74</v>
      </c>
      <c r="AZ24" s="1" t="s">
        <v>74</v>
      </c>
      <c r="BA24" s="1" t="s">
        <v>74</v>
      </c>
      <c r="BB24" s="1">
        <v>253</v>
      </c>
      <c r="BC24" s="1">
        <v>263</v>
      </c>
      <c r="BD24" s="1" t="s">
        <v>74</v>
      </c>
      <c r="BE24" s="1" t="s">
        <v>570</v>
      </c>
      <c r="BF24" s="1" t="str">
        <f>HYPERLINK("http://dx.doi.org/10.1016/S0742-8413(98)10116-0","http://dx.doi.org/10.1016/S0742-8413(98)10116-0")</f>
        <v>http://dx.doi.org/10.1016/S0742-8413(98)10116-0</v>
      </c>
      <c r="BG24" s="1" t="s">
        <v>74</v>
      </c>
      <c r="BH24" s="1" t="s">
        <v>74</v>
      </c>
      <c r="BI24" s="1">
        <v>11</v>
      </c>
      <c r="BJ24" s="1" t="s">
        <v>571</v>
      </c>
      <c r="BK24" s="1" t="s">
        <v>96</v>
      </c>
      <c r="BL24" s="1" t="s">
        <v>571</v>
      </c>
      <c r="BM24" s="1" t="s">
        <v>572</v>
      </c>
      <c r="BN24" s="1">
        <v>10190053</v>
      </c>
      <c r="BO24" s="1" t="s">
        <v>74</v>
      </c>
      <c r="BP24" s="1" t="s">
        <v>74</v>
      </c>
      <c r="BQ24" s="1" t="s">
        <v>74</v>
      </c>
      <c r="BR24" s="1" t="s">
        <v>98</v>
      </c>
      <c r="BS24" s="1" t="s">
        <v>573</v>
      </c>
      <c r="BT24" s="1" t="str">
        <f>HYPERLINK("https%3A%2F%2Fwww.webofscience.com%2Fwos%2Fwoscc%2Ffull-record%2FWOS:000078715600013","View Full Record in Web of Science")</f>
        <v>View Full Record in Web of Science</v>
      </c>
    </row>
    <row r="25" spans="1:72">
      <c r="A25" s="1" t="s">
        <v>72</v>
      </c>
      <c r="B25" s="1" t="s">
        <v>574</v>
      </c>
      <c r="C25" s="1" t="s">
        <v>74</v>
      </c>
      <c r="D25" s="1" t="s">
        <v>74</v>
      </c>
      <c r="E25" s="1" t="s">
        <v>74</v>
      </c>
      <c r="F25" s="1" t="s">
        <v>574</v>
      </c>
      <c r="G25" s="1" t="s">
        <v>74</v>
      </c>
      <c r="H25" s="1" t="s">
        <v>74</v>
      </c>
      <c r="I25" s="1" t="s">
        <v>575</v>
      </c>
      <c r="J25" s="1" t="s">
        <v>576</v>
      </c>
      <c r="K25" s="1" t="s">
        <v>74</v>
      </c>
      <c r="L25" s="1" t="s">
        <v>74</v>
      </c>
      <c r="M25" s="1" t="s">
        <v>78</v>
      </c>
      <c r="N25" s="1" t="s">
        <v>151</v>
      </c>
      <c r="O25" s="1" t="s">
        <v>577</v>
      </c>
      <c r="P25" s="1" t="s">
        <v>578</v>
      </c>
      <c r="Q25" s="1" t="s">
        <v>579</v>
      </c>
      <c r="R25" s="1" t="s">
        <v>74</v>
      </c>
      <c r="S25" s="1" t="s">
        <v>74</v>
      </c>
      <c r="T25" s="1" t="s">
        <v>580</v>
      </c>
      <c r="U25" s="1" t="s">
        <v>74</v>
      </c>
      <c r="V25" s="1" t="s">
        <v>581</v>
      </c>
      <c r="W25" s="1" t="s">
        <v>74</v>
      </c>
      <c r="X25" s="1" t="s">
        <v>74</v>
      </c>
      <c r="Y25" s="1" t="s">
        <v>582</v>
      </c>
      <c r="Z25" s="1" t="s">
        <v>74</v>
      </c>
      <c r="AA25" s="1" t="s">
        <v>74</v>
      </c>
      <c r="AB25" s="1" t="s">
        <v>74</v>
      </c>
      <c r="AC25" s="1" t="s">
        <v>74</v>
      </c>
      <c r="AD25" s="1" t="s">
        <v>74</v>
      </c>
      <c r="AE25" s="1" t="s">
        <v>74</v>
      </c>
      <c r="AF25" s="1" t="s">
        <v>74</v>
      </c>
      <c r="AG25" s="1">
        <v>6</v>
      </c>
      <c r="AH25" s="1">
        <v>3</v>
      </c>
      <c r="AI25" s="1">
        <v>3</v>
      </c>
      <c r="AJ25" s="1">
        <v>0</v>
      </c>
      <c r="AK25" s="1">
        <v>4</v>
      </c>
      <c r="AL25" s="1" t="s">
        <v>136</v>
      </c>
      <c r="AM25" s="1" t="s">
        <v>137</v>
      </c>
      <c r="AN25" s="1" t="s">
        <v>583</v>
      </c>
      <c r="AO25" s="1" t="s">
        <v>584</v>
      </c>
      <c r="AP25" s="1" t="s">
        <v>74</v>
      </c>
      <c r="AQ25" s="1" t="s">
        <v>74</v>
      </c>
      <c r="AR25" s="1" t="s">
        <v>585</v>
      </c>
      <c r="AS25" s="1" t="s">
        <v>586</v>
      </c>
      <c r="AT25" s="1" t="s">
        <v>74</v>
      </c>
      <c r="AU25" s="1">
        <v>1994</v>
      </c>
      <c r="AV25" s="1">
        <v>30</v>
      </c>
      <c r="AW25" s="1">
        <v>10</v>
      </c>
      <c r="AX25" s="1" t="s">
        <v>74</v>
      </c>
      <c r="AY25" s="1" t="s">
        <v>74</v>
      </c>
      <c r="AZ25" s="1" t="s">
        <v>74</v>
      </c>
      <c r="BA25" s="1" t="s">
        <v>74</v>
      </c>
      <c r="BB25" s="1">
        <v>173</v>
      </c>
      <c r="BC25" s="1">
        <v>177</v>
      </c>
      <c r="BD25" s="1" t="s">
        <v>74</v>
      </c>
      <c r="BE25" s="1" t="s">
        <v>74</v>
      </c>
      <c r="BF25" s="1" t="s">
        <v>74</v>
      </c>
      <c r="BG25" s="1" t="s">
        <v>74</v>
      </c>
      <c r="BH25" s="1" t="s">
        <v>74</v>
      </c>
      <c r="BI25" s="1">
        <v>5</v>
      </c>
      <c r="BJ25" s="1" t="s">
        <v>587</v>
      </c>
      <c r="BK25" s="1" t="s">
        <v>588</v>
      </c>
      <c r="BL25" s="1" t="s">
        <v>589</v>
      </c>
      <c r="BM25" s="1" t="s">
        <v>590</v>
      </c>
      <c r="BN25" s="1" t="s">
        <v>74</v>
      </c>
      <c r="BO25" s="1" t="s">
        <v>74</v>
      </c>
      <c r="BP25" s="1" t="s">
        <v>74</v>
      </c>
      <c r="BQ25" s="1" t="s">
        <v>74</v>
      </c>
      <c r="BR25" s="1" t="s">
        <v>98</v>
      </c>
      <c r="BS25" s="1" t="s">
        <v>591</v>
      </c>
      <c r="BT25" s="1" t="str">
        <f>HYPERLINK("https%3A%2F%2Fwww.webofscience.com%2Fwos%2Fwoscc%2Ffull-record%2FWOS:A1994QP63100022","View Full Record in Web of Science")</f>
        <v>View Full Record in Web of Science</v>
      </c>
    </row>
    <row r="26" spans="1:72">
      <c r="A26" s="1" t="s">
        <v>72</v>
      </c>
      <c r="B26" s="1" t="s">
        <v>592</v>
      </c>
      <c r="C26" s="1" t="s">
        <v>74</v>
      </c>
      <c r="D26" s="1" t="s">
        <v>74</v>
      </c>
      <c r="E26" s="1" t="s">
        <v>74</v>
      </c>
      <c r="F26" s="1" t="s">
        <v>593</v>
      </c>
      <c r="G26" s="1" t="s">
        <v>74</v>
      </c>
      <c r="H26" s="1" t="s">
        <v>74</v>
      </c>
      <c r="I26" s="1" t="s">
        <v>594</v>
      </c>
      <c r="J26" s="1" t="s">
        <v>595</v>
      </c>
      <c r="K26" s="1" t="s">
        <v>74</v>
      </c>
      <c r="L26" s="1" t="s">
        <v>74</v>
      </c>
      <c r="M26" s="1" t="s">
        <v>78</v>
      </c>
      <c r="N26" s="1" t="s">
        <v>79</v>
      </c>
      <c r="O26" s="1" t="s">
        <v>74</v>
      </c>
      <c r="P26" s="1" t="s">
        <v>74</v>
      </c>
      <c r="Q26" s="1" t="s">
        <v>74</v>
      </c>
      <c r="R26" s="1" t="s">
        <v>74</v>
      </c>
      <c r="S26" s="1" t="s">
        <v>74</v>
      </c>
      <c r="T26" s="1" t="s">
        <v>596</v>
      </c>
      <c r="U26" s="1" t="s">
        <v>597</v>
      </c>
      <c r="V26" s="1" t="s">
        <v>598</v>
      </c>
      <c r="W26" s="1" t="s">
        <v>599</v>
      </c>
      <c r="X26" s="1" t="s">
        <v>600</v>
      </c>
      <c r="Y26" s="1" t="s">
        <v>601</v>
      </c>
      <c r="Z26" s="1" t="s">
        <v>602</v>
      </c>
      <c r="AA26" s="1" t="s">
        <v>603</v>
      </c>
      <c r="AB26" s="1" t="s">
        <v>604</v>
      </c>
      <c r="AC26" s="1" t="s">
        <v>605</v>
      </c>
      <c r="AD26" s="1" t="s">
        <v>606</v>
      </c>
      <c r="AE26" s="1" t="s">
        <v>607</v>
      </c>
      <c r="AF26" s="1" t="s">
        <v>74</v>
      </c>
      <c r="AG26" s="1">
        <v>74</v>
      </c>
      <c r="AH26" s="1">
        <v>29</v>
      </c>
      <c r="AI26" s="1">
        <v>34</v>
      </c>
      <c r="AJ26" s="1">
        <v>0</v>
      </c>
      <c r="AK26" s="1">
        <v>37</v>
      </c>
      <c r="AL26" s="1" t="s">
        <v>112</v>
      </c>
      <c r="AM26" s="1" t="s">
        <v>191</v>
      </c>
      <c r="AN26" s="1" t="s">
        <v>192</v>
      </c>
      <c r="AO26" s="1" t="s">
        <v>608</v>
      </c>
      <c r="AP26" s="1" t="s">
        <v>609</v>
      </c>
      <c r="AQ26" s="1" t="s">
        <v>74</v>
      </c>
      <c r="AR26" s="1" t="s">
        <v>595</v>
      </c>
      <c r="AS26" s="1" t="s">
        <v>610</v>
      </c>
      <c r="AT26" s="1" t="s">
        <v>267</v>
      </c>
      <c r="AU26" s="1">
        <v>2012</v>
      </c>
      <c r="AV26" s="1">
        <v>21</v>
      </c>
      <c r="AW26" s="1">
        <v>7</v>
      </c>
      <c r="AX26" s="1" t="s">
        <v>74</v>
      </c>
      <c r="AY26" s="1" t="s">
        <v>74</v>
      </c>
      <c r="AZ26" s="1" t="s">
        <v>74</v>
      </c>
      <c r="BA26" s="1" t="s">
        <v>74</v>
      </c>
      <c r="BB26" s="1">
        <v>1928</v>
      </c>
      <c r="BC26" s="1">
        <v>1936</v>
      </c>
      <c r="BD26" s="1" t="s">
        <v>74</v>
      </c>
      <c r="BE26" s="1" t="s">
        <v>611</v>
      </c>
      <c r="BF26" s="1" t="str">
        <f>HYPERLINK("http://dx.doi.org/10.1007/s10646-012-0926-z","http://dx.doi.org/10.1007/s10646-012-0926-z")</f>
        <v>http://dx.doi.org/10.1007/s10646-012-0926-z</v>
      </c>
      <c r="BG26" s="1" t="s">
        <v>74</v>
      </c>
      <c r="BH26" s="1" t="s">
        <v>74</v>
      </c>
      <c r="BI26" s="1">
        <v>9</v>
      </c>
      <c r="BJ26" s="1" t="s">
        <v>612</v>
      </c>
      <c r="BK26" s="1" t="s">
        <v>96</v>
      </c>
      <c r="BL26" s="1" t="s">
        <v>122</v>
      </c>
      <c r="BM26" s="1" t="s">
        <v>613</v>
      </c>
      <c r="BN26" s="1">
        <v>22614035</v>
      </c>
      <c r="BO26" s="1" t="s">
        <v>74</v>
      </c>
      <c r="BP26" s="1" t="s">
        <v>74</v>
      </c>
      <c r="BQ26" s="1" t="s">
        <v>74</v>
      </c>
      <c r="BR26" s="1" t="s">
        <v>98</v>
      </c>
      <c r="BS26" s="1" t="s">
        <v>614</v>
      </c>
      <c r="BT26" s="1" t="str">
        <f>HYPERLINK("https%3A%2F%2Fwww.webofscience.com%2Fwos%2Fwoscc%2Ffull-record%2FWOS:000308235500016","View Full Record in Web of Science")</f>
        <v>View Full Record in Web of Science</v>
      </c>
    </row>
    <row r="27" spans="1:72">
      <c r="A27" s="1" t="s">
        <v>72</v>
      </c>
      <c r="B27" s="1" t="s">
        <v>615</v>
      </c>
      <c r="C27" s="1" t="s">
        <v>74</v>
      </c>
      <c r="D27" s="1" t="s">
        <v>74</v>
      </c>
      <c r="E27" s="1" t="s">
        <v>74</v>
      </c>
      <c r="F27" s="1" t="s">
        <v>616</v>
      </c>
      <c r="G27" s="1" t="s">
        <v>74</v>
      </c>
      <c r="H27" s="1" t="s">
        <v>74</v>
      </c>
      <c r="I27" s="1" t="s">
        <v>617</v>
      </c>
      <c r="J27" s="1" t="s">
        <v>618</v>
      </c>
      <c r="K27" s="1" t="s">
        <v>74</v>
      </c>
      <c r="L27" s="1" t="s">
        <v>74</v>
      </c>
      <c r="M27" s="1" t="s">
        <v>78</v>
      </c>
      <c r="N27" s="1" t="s">
        <v>79</v>
      </c>
      <c r="O27" s="1" t="s">
        <v>74</v>
      </c>
      <c r="P27" s="1" t="s">
        <v>74</v>
      </c>
      <c r="Q27" s="1" t="s">
        <v>74</v>
      </c>
      <c r="R27" s="1" t="s">
        <v>74</v>
      </c>
      <c r="S27" s="1" t="s">
        <v>74</v>
      </c>
      <c r="T27" s="1" t="s">
        <v>619</v>
      </c>
      <c r="U27" s="1" t="s">
        <v>620</v>
      </c>
      <c r="V27" s="1" t="s">
        <v>621</v>
      </c>
      <c r="W27" s="1" t="s">
        <v>622</v>
      </c>
      <c r="X27" s="1" t="s">
        <v>74</v>
      </c>
      <c r="Y27" s="1" t="s">
        <v>623</v>
      </c>
      <c r="Z27" s="1" t="s">
        <v>624</v>
      </c>
      <c r="AA27" s="1" t="s">
        <v>625</v>
      </c>
      <c r="AB27" s="1" t="s">
        <v>626</v>
      </c>
      <c r="AC27" s="1" t="s">
        <v>74</v>
      </c>
      <c r="AD27" s="1" t="s">
        <v>74</v>
      </c>
      <c r="AE27" s="1" t="s">
        <v>74</v>
      </c>
      <c r="AF27" s="1" t="s">
        <v>74</v>
      </c>
      <c r="AG27" s="1">
        <v>56</v>
      </c>
      <c r="AH27" s="1">
        <v>71</v>
      </c>
      <c r="AI27" s="1">
        <v>78</v>
      </c>
      <c r="AJ27" s="1">
        <v>0</v>
      </c>
      <c r="AK27" s="1">
        <v>31</v>
      </c>
      <c r="AL27" s="1" t="s">
        <v>627</v>
      </c>
      <c r="AM27" s="1" t="s">
        <v>628</v>
      </c>
      <c r="AN27" s="1" t="s">
        <v>629</v>
      </c>
      <c r="AO27" s="1" t="s">
        <v>630</v>
      </c>
      <c r="AP27" s="1" t="s">
        <v>74</v>
      </c>
      <c r="AQ27" s="1" t="s">
        <v>74</v>
      </c>
      <c r="AR27" s="1" t="s">
        <v>631</v>
      </c>
      <c r="AS27" s="1" t="s">
        <v>632</v>
      </c>
      <c r="AT27" s="1" t="s">
        <v>142</v>
      </c>
      <c r="AU27" s="1">
        <v>2013</v>
      </c>
      <c r="AV27" s="1">
        <v>14</v>
      </c>
      <c r="AW27" s="1">
        <v>1</v>
      </c>
      <c r="AX27" s="1" t="s">
        <v>74</v>
      </c>
      <c r="AY27" s="1" t="s">
        <v>74</v>
      </c>
      <c r="AZ27" s="1" t="s">
        <v>74</v>
      </c>
      <c r="BA27" s="1" t="s">
        <v>74</v>
      </c>
      <c r="BB27" s="1">
        <v>99</v>
      </c>
      <c r="BC27" s="1">
        <v>108</v>
      </c>
      <c r="BD27" s="1" t="s">
        <v>74</v>
      </c>
      <c r="BE27" s="1" t="s">
        <v>633</v>
      </c>
      <c r="BF27" s="1" t="str">
        <f>HYPERLINK("http://dx.doi.org/10.12681/mms.323","http://dx.doi.org/10.12681/mms.323")</f>
        <v>http://dx.doi.org/10.12681/mms.323</v>
      </c>
      <c r="BG27" s="1" t="s">
        <v>74</v>
      </c>
      <c r="BH27" s="1" t="s">
        <v>74</v>
      </c>
      <c r="BI27" s="1">
        <v>10</v>
      </c>
      <c r="BJ27" s="1" t="s">
        <v>634</v>
      </c>
      <c r="BK27" s="1" t="s">
        <v>96</v>
      </c>
      <c r="BL27" s="1" t="s">
        <v>635</v>
      </c>
      <c r="BM27" s="1" t="s">
        <v>636</v>
      </c>
      <c r="BN27" s="1" t="s">
        <v>74</v>
      </c>
      <c r="BO27" s="1" t="s">
        <v>637</v>
      </c>
      <c r="BP27" s="1" t="s">
        <v>74</v>
      </c>
      <c r="BQ27" s="1" t="s">
        <v>74</v>
      </c>
      <c r="BR27" s="1" t="s">
        <v>98</v>
      </c>
      <c r="BS27" s="1" t="s">
        <v>638</v>
      </c>
      <c r="BT27" s="1" t="str">
        <f>HYPERLINK("https%3A%2F%2Fwww.webofscience.com%2Fwos%2Fwoscc%2Ffull-record%2FWOS:000320294500013","View Full Record in Web of Science")</f>
        <v>View Full Record in Web of Science</v>
      </c>
    </row>
    <row r="28" spans="1:72">
      <c r="A28" s="1" t="s">
        <v>72</v>
      </c>
      <c r="B28" s="1" t="s">
        <v>639</v>
      </c>
      <c r="C28" s="1" t="s">
        <v>74</v>
      </c>
      <c r="D28" s="1" t="s">
        <v>74</v>
      </c>
      <c r="E28" s="1" t="s">
        <v>74</v>
      </c>
      <c r="F28" s="1" t="s">
        <v>639</v>
      </c>
      <c r="G28" s="1" t="s">
        <v>74</v>
      </c>
      <c r="H28" s="1" t="s">
        <v>74</v>
      </c>
      <c r="I28" s="1" t="s">
        <v>640</v>
      </c>
      <c r="J28" s="1" t="s">
        <v>641</v>
      </c>
      <c r="K28" s="1" t="s">
        <v>74</v>
      </c>
      <c r="L28" s="1" t="s">
        <v>74</v>
      </c>
      <c r="M28" s="1" t="s">
        <v>78</v>
      </c>
      <c r="N28" s="1" t="s">
        <v>79</v>
      </c>
      <c r="O28" s="1" t="s">
        <v>74</v>
      </c>
      <c r="P28" s="1" t="s">
        <v>74</v>
      </c>
      <c r="Q28" s="1" t="s">
        <v>74</v>
      </c>
      <c r="R28" s="1" t="s">
        <v>74</v>
      </c>
      <c r="S28" s="1" t="s">
        <v>74</v>
      </c>
      <c r="T28" s="1" t="s">
        <v>642</v>
      </c>
      <c r="U28" s="1" t="s">
        <v>643</v>
      </c>
      <c r="V28" s="1" t="s">
        <v>644</v>
      </c>
      <c r="W28" s="1" t="s">
        <v>645</v>
      </c>
      <c r="X28" s="1" t="s">
        <v>646</v>
      </c>
      <c r="Y28" s="1" t="s">
        <v>647</v>
      </c>
      <c r="Z28" s="1" t="s">
        <v>648</v>
      </c>
      <c r="AA28" s="1" t="s">
        <v>74</v>
      </c>
      <c r="AB28" s="1" t="s">
        <v>649</v>
      </c>
      <c r="AC28" s="1" t="s">
        <v>74</v>
      </c>
      <c r="AD28" s="1" t="s">
        <v>74</v>
      </c>
      <c r="AE28" s="1" t="s">
        <v>74</v>
      </c>
      <c r="AF28" s="1" t="s">
        <v>74</v>
      </c>
      <c r="AG28" s="1">
        <v>42</v>
      </c>
      <c r="AH28" s="1">
        <v>100</v>
      </c>
      <c r="AI28" s="1">
        <v>114</v>
      </c>
      <c r="AJ28" s="1">
        <v>0</v>
      </c>
      <c r="AK28" s="1">
        <v>54</v>
      </c>
      <c r="AL28" s="1" t="s">
        <v>650</v>
      </c>
      <c r="AM28" s="1" t="s">
        <v>651</v>
      </c>
      <c r="AN28" s="1" t="s">
        <v>652</v>
      </c>
      <c r="AO28" s="1" t="s">
        <v>653</v>
      </c>
      <c r="AP28" s="1" t="s">
        <v>654</v>
      </c>
      <c r="AQ28" s="1" t="s">
        <v>74</v>
      </c>
      <c r="AR28" s="1" t="s">
        <v>655</v>
      </c>
      <c r="AS28" s="1" t="s">
        <v>656</v>
      </c>
      <c r="AT28" s="1" t="s">
        <v>657</v>
      </c>
      <c r="AU28" s="1">
        <v>2004</v>
      </c>
      <c r="AV28" s="1">
        <v>67</v>
      </c>
      <c r="AW28" s="1">
        <v>4</v>
      </c>
      <c r="AX28" s="1" t="s">
        <v>74</v>
      </c>
      <c r="AY28" s="1" t="s">
        <v>74</v>
      </c>
      <c r="AZ28" s="1" t="s">
        <v>74</v>
      </c>
      <c r="BA28" s="1" t="s">
        <v>74</v>
      </c>
      <c r="BB28" s="1">
        <v>347</v>
      </c>
      <c r="BC28" s="1">
        <v>357</v>
      </c>
      <c r="BD28" s="1" t="s">
        <v>74</v>
      </c>
      <c r="BE28" s="1" t="s">
        <v>658</v>
      </c>
      <c r="BF28" s="1" t="str">
        <f>HYPERLINK("http://dx.doi.org/10.1016/j.aquatox.2004.01.014","http://dx.doi.org/10.1016/j.aquatox.2004.01.014")</f>
        <v>http://dx.doi.org/10.1016/j.aquatox.2004.01.014</v>
      </c>
      <c r="BG28" s="1" t="s">
        <v>74</v>
      </c>
      <c r="BH28" s="1" t="s">
        <v>74</v>
      </c>
      <c r="BI28" s="1">
        <v>11</v>
      </c>
      <c r="BJ28" s="1" t="s">
        <v>659</v>
      </c>
      <c r="BK28" s="1" t="s">
        <v>96</v>
      </c>
      <c r="BL28" s="1" t="s">
        <v>659</v>
      </c>
      <c r="BM28" s="1" t="s">
        <v>660</v>
      </c>
      <c r="BN28" s="1">
        <v>15084411</v>
      </c>
      <c r="BO28" s="1" t="s">
        <v>74</v>
      </c>
      <c r="BP28" s="1" t="s">
        <v>74</v>
      </c>
      <c r="BQ28" s="1" t="s">
        <v>74</v>
      </c>
      <c r="BR28" s="1" t="s">
        <v>98</v>
      </c>
      <c r="BS28" s="1" t="s">
        <v>661</v>
      </c>
      <c r="BT28" s="1" t="str">
        <f>HYPERLINK("https%3A%2F%2Fwww.webofscience.com%2Fwos%2Fwoscc%2Ffull-record%2FWOS:000221137500005","View Full Record in Web of Science")</f>
        <v>View Full Record in Web of Science</v>
      </c>
    </row>
    <row r="29" spans="1:72">
      <c r="A29" s="1" t="s">
        <v>72</v>
      </c>
      <c r="B29" s="1" t="s">
        <v>662</v>
      </c>
      <c r="C29" s="1" t="s">
        <v>74</v>
      </c>
      <c r="D29" s="1" t="s">
        <v>74</v>
      </c>
      <c r="E29" s="1" t="s">
        <v>74</v>
      </c>
      <c r="F29" s="1" t="s">
        <v>662</v>
      </c>
      <c r="G29" s="1" t="s">
        <v>74</v>
      </c>
      <c r="H29" s="1" t="s">
        <v>74</v>
      </c>
      <c r="I29" s="1" t="s">
        <v>663</v>
      </c>
      <c r="J29" s="1" t="s">
        <v>664</v>
      </c>
      <c r="K29" s="1" t="s">
        <v>74</v>
      </c>
      <c r="L29" s="1" t="s">
        <v>74</v>
      </c>
      <c r="M29" s="1" t="s">
        <v>78</v>
      </c>
      <c r="N29" s="1" t="s">
        <v>79</v>
      </c>
      <c r="O29" s="1" t="s">
        <v>74</v>
      </c>
      <c r="P29" s="1" t="s">
        <v>74</v>
      </c>
      <c r="Q29" s="1" t="s">
        <v>74</v>
      </c>
      <c r="R29" s="1" t="s">
        <v>74</v>
      </c>
      <c r="S29" s="1" t="s">
        <v>74</v>
      </c>
      <c r="T29" s="1" t="s">
        <v>665</v>
      </c>
      <c r="U29" s="1" t="s">
        <v>666</v>
      </c>
      <c r="V29" s="1" t="s">
        <v>667</v>
      </c>
      <c r="W29" s="1" t="s">
        <v>668</v>
      </c>
      <c r="X29" s="1" t="s">
        <v>74</v>
      </c>
      <c r="Y29" s="1" t="s">
        <v>669</v>
      </c>
      <c r="Z29" s="1" t="s">
        <v>670</v>
      </c>
      <c r="AA29" s="1" t="s">
        <v>671</v>
      </c>
      <c r="AB29" s="1" t="s">
        <v>672</v>
      </c>
      <c r="AC29" s="1" t="s">
        <v>74</v>
      </c>
      <c r="AD29" s="1" t="s">
        <v>74</v>
      </c>
      <c r="AE29" s="1" t="s">
        <v>74</v>
      </c>
      <c r="AF29" s="1" t="s">
        <v>74</v>
      </c>
      <c r="AG29" s="1">
        <v>36</v>
      </c>
      <c r="AH29" s="1">
        <v>18</v>
      </c>
      <c r="AI29" s="1">
        <v>21</v>
      </c>
      <c r="AJ29" s="1">
        <v>0</v>
      </c>
      <c r="AK29" s="1">
        <v>11</v>
      </c>
      <c r="AL29" s="1" t="s">
        <v>673</v>
      </c>
      <c r="AM29" s="1" t="s">
        <v>674</v>
      </c>
      <c r="AN29" s="1" t="s">
        <v>675</v>
      </c>
      <c r="AO29" s="1" t="s">
        <v>676</v>
      </c>
      <c r="AP29" s="1" t="s">
        <v>74</v>
      </c>
      <c r="AQ29" s="1" t="s">
        <v>74</v>
      </c>
      <c r="AR29" s="1" t="s">
        <v>677</v>
      </c>
      <c r="AS29" s="1" t="s">
        <v>678</v>
      </c>
      <c r="AT29" s="1" t="s">
        <v>142</v>
      </c>
      <c r="AU29" s="1">
        <v>2004</v>
      </c>
      <c r="AV29" s="1">
        <v>30</v>
      </c>
      <c r="AW29" s="1">
        <v>2</v>
      </c>
      <c r="AX29" s="1" t="s">
        <v>74</v>
      </c>
      <c r="AY29" s="1" t="s">
        <v>74</v>
      </c>
      <c r="AZ29" s="1" t="s">
        <v>74</v>
      </c>
      <c r="BA29" s="1" t="s">
        <v>74</v>
      </c>
      <c r="BB29" s="1">
        <v>323</v>
      </c>
      <c r="BC29" s="1">
        <v>333</v>
      </c>
      <c r="BD29" s="1" t="s">
        <v>74</v>
      </c>
      <c r="BE29" s="1" t="s">
        <v>679</v>
      </c>
      <c r="BF29" s="1" t="str">
        <f>HYPERLINK("http://dx.doi.org/10.7773/cm.v30i2.183","http://dx.doi.org/10.7773/cm.v30i2.183")</f>
        <v>http://dx.doi.org/10.7773/cm.v30i2.183</v>
      </c>
      <c r="BG29" s="1" t="s">
        <v>74</v>
      </c>
      <c r="BH29" s="1" t="s">
        <v>74</v>
      </c>
      <c r="BI29" s="1">
        <v>11</v>
      </c>
      <c r="BJ29" s="1" t="s">
        <v>680</v>
      </c>
      <c r="BK29" s="1" t="s">
        <v>96</v>
      </c>
      <c r="BL29" s="1" t="s">
        <v>680</v>
      </c>
      <c r="BM29" s="1" t="s">
        <v>681</v>
      </c>
      <c r="BN29" s="1" t="s">
        <v>74</v>
      </c>
      <c r="BO29" s="1" t="s">
        <v>476</v>
      </c>
      <c r="BP29" s="1" t="s">
        <v>74</v>
      </c>
      <c r="BQ29" s="1" t="s">
        <v>74</v>
      </c>
      <c r="BR29" s="1" t="s">
        <v>98</v>
      </c>
      <c r="BS29" s="1" t="s">
        <v>682</v>
      </c>
      <c r="BT29" s="1" t="str">
        <f>HYPERLINK("https%3A%2F%2Fwww.webofscience.com%2Fwos%2Fwoscc%2Ffull-record%2FWOS:000221976100006","View Full Record in Web of Science")</f>
        <v>View Full Record in Web of Science</v>
      </c>
    </row>
    <row r="30" spans="1:72">
      <c r="A30" s="1" t="s">
        <v>72</v>
      </c>
      <c r="B30" s="1" t="s">
        <v>683</v>
      </c>
      <c r="C30" s="1" t="s">
        <v>74</v>
      </c>
      <c r="D30" s="1" t="s">
        <v>74</v>
      </c>
      <c r="E30" s="1" t="s">
        <v>74</v>
      </c>
      <c r="F30" s="1" t="s">
        <v>684</v>
      </c>
      <c r="G30" s="1" t="s">
        <v>74</v>
      </c>
      <c r="H30" s="1" t="s">
        <v>74</v>
      </c>
      <c r="I30" s="1" t="s">
        <v>685</v>
      </c>
      <c r="J30" s="1" t="s">
        <v>103</v>
      </c>
      <c r="K30" s="1" t="s">
        <v>74</v>
      </c>
      <c r="L30" s="1" t="s">
        <v>74</v>
      </c>
      <c r="M30" s="1" t="s">
        <v>78</v>
      </c>
      <c r="N30" s="1" t="s">
        <v>79</v>
      </c>
      <c r="O30" s="1" t="s">
        <v>74</v>
      </c>
      <c r="P30" s="1" t="s">
        <v>74</v>
      </c>
      <c r="Q30" s="1" t="s">
        <v>74</v>
      </c>
      <c r="R30" s="1" t="s">
        <v>74</v>
      </c>
      <c r="S30" s="1" t="s">
        <v>74</v>
      </c>
      <c r="T30" s="1" t="s">
        <v>686</v>
      </c>
      <c r="U30" s="1" t="s">
        <v>687</v>
      </c>
      <c r="V30" s="1" t="s">
        <v>688</v>
      </c>
      <c r="W30" s="1" t="s">
        <v>689</v>
      </c>
      <c r="X30" s="1" t="s">
        <v>690</v>
      </c>
      <c r="Y30" s="1" t="s">
        <v>691</v>
      </c>
      <c r="Z30" s="1" t="s">
        <v>692</v>
      </c>
      <c r="AA30" s="1" t="s">
        <v>693</v>
      </c>
      <c r="AB30" s="1" t="s">
        <v>694</v>
      </c>
      <c r="AC30" s="1" t="s">
        <v>695</v>
      </c>
      <c r="AD30" s="1" t="s">
        <v>696</v>
      </c>
      <c r="AE30" s="1" t="s">
        <v>697</v>
      </c>
      <c r="AF30" s="1" t="s">
        <v>74</v>
      </c>
      <c r="AG30" s="1">
        <v>38</v>
      </c>
      <c r="AH30" s="1">
        <v>1</v>
      </c>
      <c r="AI30" s="1">
        <v>1</v>
      </c>
      <c r="AJ30" s="1">
        <v>0</v>
      </c>
      <c r="AK30" s="1">
        <v>4</v>
      </c>
      <c r="AL30" s="1" t="s">
        <v>112</v>
      </c>
      <c r="AM30" s="1" t="s">
        <v>113</v>
      </c>
      <c r="AN30" s="1" t="s">
        <v>114</v>
      </c>
      <c r="AO30" s="1" t="s">
        <v>115</v>
      </c>
      <c r="AP30" s="1" t="s">
        <v>116</v>
      </c>
      <c r="AQ30" s="1" t="s">
        <v>74</v>
      </c>
      <c r="AR30" s="1" t="s">
        <v>117</v>
      </c>
      <c r="AS30" s="1" t="s">
        <v>118</v>
      </c>
      <c r="AT30" s="1" t="s">
        <v>197</v>
      </c>
      <c r="AU30" s="1">
        <v>2022</v>
      </c>
      <c r="AV30" s="1">
        <v>109</v>
      </c>
      <c r="AW30" s="1">
        <v>6</v>
      </c>
      <c r="AX30" s="1" t="s">
        <v>74</v>
      </c>
      <c r="AY30" s="1" t="s">
        <v>74</v>
      </c>
      <c r="AZ30" s="1" t="s">
        <v>74</v>
      </c>
      <c r="BA30" s="1" t="s">
        <v>74</v>
      </c>
      <c r="BB30" s="1">
        <v>1135</v>
      </c>
      <c r="BC30" s="1">
        <v>1141</v>
      </c>
      <c r="BD30" s="1" t="s">
        <v>74</v>
      </c>
      <c r="BE30" s="1" t="s">
        <v>698</v>
      </c>
      <c r="BF30" s="1" t="str">
        <f>HYPERLINK("http://dx.doi.org/10.1007/s00128-022-03626-z","http://dx.doi.org/10.1007/s00128-022-03626-z")</f>
        <v>http://dx.doi.org/10.1007/s00128-022-03626-z</v>
      </c>
      <c r="BG30" s="1" t="s">
        <v>74</v>
      </c>
      <c r="BH30" s="1" t="s">
        <v>699</v>
      </c>
      <c r="BI30" s="1">
        <v>7</v>
      </c>
      <c r="BJ30" s="1" t="s">
        <v>121</v>
      </c>
      <c r="BK30" s="1" t="s">
        <v>96</v>
      </c>
      <c r="BL30" s="1" t="s">
        <v>122</v>
      </c>
      <c r="BM30" s="1" t="s">
        <v>700</v>
      </c>
      <c r="BN30" s="1">
        <v>36331576</v>
      </c>
      <c r="BO30" s="1" t="s">
        <v>74</v>
      </c>
      <c r="BP30" s="1" t="s">
        <v>74</v>
      </c>
      <c r="BQ30" s="1" t="s">
        <v>74</v>
      </c>
      <c r="BR30" s="1" t="s">
        <v>98</v>
      </c>
      <c r="BS30" s="1" t="s">
        <v>701</v>
      </c>
      <c r="BT30" s="1" t="str">
        <f>HYPERLINK("https%3A%2F%2Fwww.webofscience.com%2Fwos%2Fwoscc%2Ffull-record%2FWOS:000878965700002","View Full Record in Web of Science")</f>
        <v>View Full Record in Web of Science</v>
      </c>
    </row>
    <row r="31" spans="1:72">
      <c r="A31" s="1" t="s">
        <v>72</v>
      </c>
      <c r="B31" s="1" t="s">
        <v>702</v>
      </c>
      <c r="C31" s="1" t="s">
        <v>74</v>
      </c>
      <c r="D31" s="1" t="s">
        <v>74</v>
      </c>
      <c r="E31" s="1" t="s">
        <v>74</v>
      </c>
      <c r="F31" s="1" t="s">
        <v>702</v>
      </c>
      <c r="G31" s="1" t="s">
        <v>74</v>
      </c>
      <c r="H31" s="1" t="s">
        <v>74</v>
      </c>
      <c r="I31" s="1" t="s">
        <v>703</v>
      </c>
      <c r="J31" s="1" t="s">
        <v>704</v>
      </c>
      <c r="K31" s="1" t="s">
        <v>74</v>
      </c>
      <c r="L31" s="1" t="s">
        <v>74</v>
      </c>
      <c r="M31" s="1" t="s">
        <v>78</v>
      </c>
      <c r="N31" s="1" t="s">
        <v>151</v>
      </c>
      <c r="O31" s="1" t="s">
        <v>705</v>
      </c>
      <c r="P31" s="1" t="s">
        <v>706</v>
      </c>
      <c r="Q31" s="1" t="s">
        <v>707</v>
      </c>
      <c r="R31" s="1" t="s">
        <v>74</v>
      </c>
      <c r="S31" s="1" t="s">
        <v>74</v>
      </c>
      <c r="T31" s="1" t="s">
        <v>708</v>
      </c>
      <c r="U31" s="1" t="s">
        <v>709</v>
      </c>
      <c r="V31" s="1" t="s">
        <v>710</v>
      </c>
      <c r="W31" s="1" t="s">
        <v>711</v>
      </c>
      <c r="X31" s="1" t="s">
        <v>712</v>
      </c>
      <c r="Y31" s="1" t="s">
        <v>713</v>
      </c>
      <c r="Z31" s="1" t="s">
        <v>74</v>
      </c>
      <c r="AA31" s="1" t="s">
        <v>714</v>
      </c>
      <c r="AB31" s="1" t="s">
        <v>715</v>
      </c>
      <c r="AC31" s="1" t="s">
        <v>74</v>
      </c>
      <c r="AD31" s="1" t="s">
        <v>74</v>
      </c>
      <c r="AE31" s="1" t="s">
        <v>74</v>
      </c>
      <c r="AF31" s="1" t="s">
        <v>74</v>
      </c>
      <c r="AG31" s="1">
        <v>14</v>
      </c>
      <c r="AH31" s="1">
        <v>10</v>
      </c>
      <c r="AI31" s="1">
        <v>10</v>
      </c>
      <c r="AJ31" s="1">
        <v>0</v>
      </c>
      <c r="AK31" s="1">
        <v>7</v>
      </c>
      <c r="AL31" s="1" t="s">
        <v>716</v>
      </c>
      <c r="AM31" s="1" t="s">
        <v>191</v>
      </c>
      <c r="AN31" s="1" t="s">
        <v>717</v>
      </c>
      <c r="AO31" s="1" t="s">
        <v>718</v>
      </c>
      <c r="AP31" s="1" t="s">
        <v>74</v>
      </c>
      <c r="AQ31" s="1" t="s">
        <v>74</v>
      </c>
      <c r="AR31" s="1" t="s">
        <v>719</v>
      </c>
      <c r="AS31" s="1" t="s">
        <v>720</v>
      </c>
      <c r="AT31" s="1" t="s">
        <v>267</v>
      </c>
      <c r="AU31" s="1">
        <v>1997</v>
      </c>
      <c r="AV31" s="1">
        <v>99</v>
      </c>
      <c r="AW31" s="1" t="s">
        <v>721</v>
      </c>
      <c r="AX31" s="1" t="s">
        <v>74</v>
      </c>
      <c r="AY31" s="1" t="s">
        <v>74</v>
      </c>
      <c r="AZ31" s="1" t="s">
        <v>74</v>
      </c>
      <c r="BA31" s="1" t="s">
        <v>74</v>
      </c>
      <c r="BB31" s="1">
        <v>615</v>
      </c>
      <c r="BC31" s="1">
        <v>622</v>
      </c>
      <c r="BD31" s="1" t="s">
        <v>74</v>
      </c>
      <c r="BE31" s="1" t="s">
        <v>74</v>
      </c>
      <c r="BF31" s="1" t="s">
        <v>74</v>
      </c>
      <c r="BG31" s="1" t="s">
        <v>74</v>
      </c>
      <c r="BH31" s="1" t="s">
        <v>74</v>
      </c>
      <c r="BI31" s="1">
        <v>8</v>
      </c>
      <c r="BJ31" s="1" t="s">
        <v>722</v>
      </c>
      <c r="BK31" s="1" t="s">
        <v>588</v>
      </c>
      <c r="BL31" s="1" t="s">
        <v>723</v>
      </c>
      <c r="BM31" s="1" t="s">
        <v>724</v>
      </c>
      <c r="BN31" s="1" t="s">
        <v>74</v>
      </c>
      <c r="BO31" s="1" t="s">
        <v>74</v>
      </c>
      <c r="BP31" s="1" t="s">
        <v>74</v>
      </c>
      <c r="BQ31" s="1" t="s">
        <v>74</v>
      </c>
      <c r="BR31" s="1" t="s">
        <v>98</v>
      </c>
      <c r="BS31" s="1" t="s">
        <v>725</v>
      </c>
      <c r="BT31" s="1" t="str">
        <f>HYPERLINK("https%3A%2F%2Fwww.webofscience.com%2Fwos%2Fwoscc%2Ffull-record%2FWOS:A1997XW68200063","View Full Record in Web of Science")</f>
        <v>View Full Record in Web of Science</v>
      </c>
    </row>
    <row r="32" spans="1:72">
      <c r="A32" s="1" t="s">
        <v>72</v>
      </c>
      <c r="B32" s="1" t="s">
        <v>726</v>
      </c>
      <c r="C32" s="1" t="s">
        <v>74</v>
      </c>
      <c r="D32" s="1" t="s">
        <v>74</v>
      </c>
      <c r="E32" s="1" t="s">
        <v>74</v>
      </c>
      <c r="F32" s="1" t="s">
        <v>727</v>
      </c>
      <c r="G32" s="1" t="s">
        <v>74</v>
      </c>
      <c r="H32" s="1" t="s">
        <v>74</v>
      </c>
      <c r="I32" s="1" t="s">
        <v>728</v>
      </c>
      <c r="J32" s="1" t="s">
        <v>729</v>
      </c>
      <c r="K32" s="1" t="s">
        <v>74</v>
      </c>
      <c r="L32" s="1" t="s">
        <v>74</v>
      </c>
      <c r="M32" s="1" t="s">
        <v>78</v>
      </c>
      <c r="N32" s="1" t="s">
        <v>79</v>
      </c>
      <c r="O32" s="1" t="s">
        <v>74</v>
      </c>
      <c r="P32" s="1" t="s">
        <v>74</v>
      </c>
      <c r="Q32" s="1" t="s">
        <v>74</v>
      </c>
      <c r="R32" s="1" t="s">
        <v>74</v>
      </c>
      <c r="S32" s="1" t="s">
        <v>74</v>
      </c>
      <c r="T32" s="1" t="s">
        <v>730</v>
      </c>
      <c r="U32" s="1" t="s">
        <v>731</v>
      </c>
      <c r="V32" s="1" t="s">
        <v>732</v>
      </c>
      <c r="W32" s="1" t="s">
        <v>733</v>
      </c>
      <c r="X32" s="1" t="s">
        <v>734</v>
      </c>
      <c r="Y32" s="1" t="s">
        <v>735</v>
      </c>
      <c r="Z32" s="1" t="s">
        <v>736</v>
      </c>
      <c r="AA32" s="1" t="s">
        <v>737</v>
      </c>
      <c r="AB32" s="1" t="s">
        <v>738</v>
      </c>
      <c r="AC32" s="1" t="s">
        <v>739</v>
      </c>
      <c r="AD32" s="1" t="s">
        <v>739</v>
      </c>
      <c r="AE32" s="1" t="s">
        <v>740</v>
      </c>
      <c r="AF32" s="1" t="s">
        <v>74</v>
      </c>
      <c r="AG32" s="1">
        <v>54</v>
      </c>
      <c r="AH32" s="1">
        <v>10</v>
      </c>
      <c r="AI32" s="1">
        <v>12</v>
      </c>
      <c r="AJ32" s="1">
        <v>2</v>
      </c>
      <c r="AK32" s="1">
        <v>27</v>
      </c>
      <c r="AL32" s="1" t="s">
        <v>86</v>
      </c>
      <c r="AM32" s="1" t="s">
        <v>87</v>
      </c>
      <c r="AN32" s="1" t="s">
        <v>88</v>
      </c>
      <c r="AO32" s="1" t="s">
        <v>741</v>
      </c>
      <c r="AP32" s="1" t="s">
        <v>742</v>
      </c>
      <c r="AQ32" s="1" t="s">
        <v>74</v>
      </c>
      <c r="AR32" s="1" t="s">
        <v>743</v>
      </c>
      <c r="AS32" s="1" t="s">
        <v>744</v>
      </c>
      <c r="AT32" s="1" t="s">
        <v>142</v>
      </c>
      <c r="AU32" s="1">
        <v>2013</v>
      </c>
      <c r="AV32" s="1">
        <v>44</v>
      </c>
      <c r="AW32" s="1">
        <v>7</v>
      </c>
      <c r="AX32" s="1" t="s">
        <v>74</v>
      </c>
      <c r="AY32" s="1" t="s">
        <v>74</v>
      </c>
      <c r="AZ32" s="1" t="s">
        <v>74</v>
      </c>
      <c r="BA32" s="1" t="s">
        <v>74</v>
      </c>
      <c r="BB32" s="1">
        <v>1076</v>
      </c>
      <c r="BC32" s="1">
        <v>1084</v>
      </c>
      <c r="BD32" s="1" t="s">
        <v>74</v>
      </c>
      <c r="BE32" s="1" t="s">
        <v>745</v>
      </c>
      <c r="BF32" s="1" t="str">
        <f>HYPERLINK("http://dx.doi.org/10.1111/j.1365-2109.2012.03111.x","http://dx.doi.org/10.1111/j.1365-2109.2012.03111.x")</f>
        <v>http://dx.doi.org/10.1111/j.1365-2109.2012.03111.x</v>
      </c>
      <c r="BG32" s="1" t="s">
        <v>74</v>
      </c>
      <c r="BH32" s="1" t="s">
        <v>74</v>
      </c>
      <c r="BI32" s="1">
        <v>9</v>
      </c>
      <c r="BJ32" s="1" t="s">
        <v>746</v>
      </c>
      <c r="BK32" s="1" t="s">
        <v>96</v>
      </c>
      <c r="BL32" s="1" t="s">
        <v>746</v>
      </c>
      <c r="BM32" s="1" t="s">
        <v>747</v>
      </c>
      <c r="BN32" s="1" t="s">
        <v>74</v>
      </c>
      <c r="BO32" s="1" t="s">
        <v>550</v>
      </c>
      <c r="BP32" s="1" t="s">
        <v>74</v>
      </c>
      <c r="BQ32" s="1" t="s">
        <v>74</v>
      </c>
      <c r="BR32" s="1" t="s">
        <v>98</v>
      </c>
      <c r="BS32" s="1" t="s">
        <v>748</v>
      </c>
      <c r="BT32" s="1" t="str">
        <f>HYPERLINK("https%3A%2F%2Fwww.webofscience.com%2Fwos%2Fwoscc%2Ffull-record%2FWOS:000320118900007","View Full Record in Web of Science")</f>
        <v>View Full Record in Web of Science</v>
      </c>
    </row>
    <row r="33" spans="1:72">
      <c r="A33" s="1" t="s">
        <v>72</v>
      </c>
      <c r="B33" s="1" t="s">
        <v>749</v>
      </c>
      <c r="C33" s="1" t="s">
        <v>74</v>
      </c>
      <c r="D33" s="1" t="s">
        <v>74</v>
      </c>
      <c r="E33" s="1" t="s">
        <v>74</v>
      </c>
      <c r="F33" s="1" t="s">
        <v>750</v>
      </c>
      <c r="G33" s="1" t="s">
        <v>74</v>
      </c>
      <c r="H33" s="1" t="s">
        <v>74</v>
      </c>
      <c r="I33" s="1" t="s">
        <v>751</v>
      </c>
      <c r="J33" s="1" t="s">
        <v>752</v>
      </c>
      <c r="K33" s="1" t="s">
        <v>74</v>
      </c>
      <c r="L33" s="1" t="s">
        <v>74</v>
      </c>
      <c r="M33" s="1" t="s">
        <v>78</v>
      </c>
      <c r="N33" s="1" t="s">
        <v>79</v>
      </c>
      <c r="O33" s="1" t="s">
        <v>74</v>
      </c>
      <c r="P33" s="1" t="s">
        <v>74</v>
      </c>
      <c r="Q33" s="1" t="s">
        <v>74</v>
      </c>
      <c r="R33" s="1" t="s">
        <v>74</v>
      </c>
      <c r="S33" s="1" t="s">
        <v>74</v>
      </c>
      <c r="T33" s="1" t="s">
        <v>753</v>
      </c>
      <c r="U33" s="1" t="s">
        <v>754</v>
      </c>
      <c r="V33" s="1" t="s">
        <v>755</v>
      </c>
      <c r="W33" s="1" t="s">
        <v>756</v>
      </c>
      <c r="X33" s="1" t="s">
        <v>757</v>
      </c>
      <c r="Y33" s="1" t="s">
        <v>758</v>
      </c>
      <c r="Z33" s="1" t="s">
        <v>759</v>
      </c>
      <c r="AA33" s="1" t="s">
        <v>74</v>
      </c>
      <c r="AB33" s="1" t="s">
        <v>760</v>
      </c>
      <c r="AC33" s="1" t="s">
        <v>74</v>
      </c>
      <c r="AD33" s="1" t="s">
        <v>74</v>
      </c>
      <c r="AE33" s="1" t="s">
        <v>74</v>
      </c>
      <c r="AF33" s="1" t="s">
        <v>74</v>
      </c>
      <c r="AG33" s="1">
        <v>85</v>
      </c>
      <c r="AH33" s="1">
        <v>1</v>
      </c>
      <c r="AI33" s="1">
        <v>1</v>
      </c>
      <c r="AJ33" s="1">
        <v>3</v>
      </c>
      <c r="AK33" s="1">
        <v>5</v>
      </c>
      <c r="AL33" s="1" t="s">
        <v>430</v>
      </c>
      <c r="AM33" s="1" t="s">
        <v>137</v>
      </c>
      <c r="AN33" s="1" t="s">
        <v>431</v>
      </c>
      <c r="AO33" s="1" t="s">
        <v>761</v>
      </c>
      <c r="AP33" s="1" t="s">
        <v>762</v>
      </c>
      <c r="AQ33" s="1" t="s">
        <v>74</v>
      </c>
      <c r="AR33" s="1" t="s">
        <v>763</v>
      </c>
      <c r="AS33" s="1" t="s">
        <v>764</v>
      </c>
      <c r="AT33" s="1" t="s">
        <v>765</v>
      </c>
      <c r="AU33" s="1">
        <v>2023</v>
      </c>
      <c r="AV33" s="1">
        <v>189</v>
      </c>
      <c r="AW33" s="1" t="s">
        <v>74</v>
      </c>
      <c r="AX33" s="1" t="s">
        <v>74</v>
      </c>
      <c r="AY33" s="1" t="s">
        <v>74</v>
      </c>
      <c r="AZ33" s="1" t="s">
        <v>74</v>
      </c>
      <c r="BA33" s="1" t="s">
        <v>74</v>
      </c>
      <c r="BB33" s="1" t="s">
        <v>74</v>
      </c>
      <c r="BC33" s="1" t="s">
        <v>74</v>
      </c>
      <c r="BD33" s="1">
        <v>106043</v>
      </c>
      <c r="BE33" s="1" t="s">
        <v>766</v>
      </c>
      <c r="BF33" s="1" t="str">
        <f>HYPERLINK("http://dx.doi.org/10.1016/j.marenvres.2023.106043","http://dx.doi.org/10.1016/j.marenvres.2023.106043")</f>
        <v>http://dx.doi.org/10.1016/j.marenvres.2023.106043</v>
      </c>
      <c r="BG33" s="1" t="s">
        <v>74</v>
      </c>
      <c r="BH33" s="1" t="s">
        <v>767</v>
      </c>
      <c r="BI33" s="1">
        <v>9</v>
      </c>
      <c r="BJ33" s="1" t="s">
        <v>768</v>
      </c>
      <c r="BK33" s="1" t="s">
        <v>96</v>
      </c>
      <c r="BL33" s="1" t="s">
        <v>769</v>
      </c>
      <c r="BM33" s="1" t="s">
        <v>770</v>
      </c>
      <c r="BN33" s="1">
        <v>37331072</v>
      </c>
      <c r="BO33" s="1" t="s">
        <v>476</v>
      </c>
      <c r="BP33" s="1" t="s">
        <v>74</v>
      </c>
      <c r="BQ33" s="1" t="s">
        <v>74</v>
      </c>
      <c r="BR33" s="1" t="s">
        <v>98</v>
      </c>
      <c r="BS33" s="1" t="s">
        <v>771</v>
      </c>
      <c r="BT33" s="1" t="str">
        <f>HYPERLINK("https%3A%2F%2Fwww.webofscience.com%2Fwos%2Fwoscc%2Ffull-record%2FWOS:001031448700001","View Full Record in Web of Science")</f>
        <v>View Full Record in Web of Science</v>
      </c>
    </row>
    <row r="34" spans="1:72">
      <c r="A34" s="1" t="s">
        <v>72</v>
      </c>
      <c r="B34" s="1" t="s">
        <v>772</v>
      </c>
      <c r="C34" s="1" t="s">
        <v>74</v>
      </c>
      <c r="D34" s="1" t="s">
        <v>74</v>
      </c>
      <c r="E34" s="1" t="s">
        <v>74</v>
      </c>
      <c r="F34" s="1" t="s">
        <v>773</v>
      </c>
      <c r="G34" s="1" t="s">
        <v>74</v>
      </c>
      <c r="H34" s="1" t="s">
        <v>74</v>
      </c>
      <c r="I34" s="1" t="s">
        <v>774</v>
      </c>
      <c r="J34" s="1" t="s">
        <v>775</v>
      </c>
      <c r="K34" s="1" t="s">
        <v>74</v>
      </c>
      <c r="L34" s="1" t="s">
        <v>74</v>
      </c>
      <c r="M34" s="1" t="s">
        <v>78</v>
      </c>
      <c r="N34" s="1" t="s">
        <v>79</v>
      </c>
      <c r="O34" s="1" t="s">
        <v>74</v>
      </c>
      <c r="P34" s="1" t="s">
        <v>74</v>
      </c>
      <c r="Q34" s="1" t="s">
        <v>74</v>
      </c>
      <c r="R34" s="1" t="s">
        <v>74</v>
      </c>
      <c r="S34" s="1" t="s">
        <v>74</v>
      </c>
      <c r="T34" s="1" t="s">
        <v>776</v>
      </c>
      <c r="U34" s="1" t="s">
        <v>777</v>
      </c>
      <c r="V34" s="1" t="s">
        <v>778</v>
      </c>
      <c r="W34" s="1" t="s">
        <v>779</v>
      </c>
      <c r="X34" s="1" t="s">
        <v>780</v>
      </c>
      <c r="Y34" s="1" t="s">
        <v>781</v>
      </c>
      <c r="Z34" s="1" t="s">
        <v>782</v>
      </c>
      <c r="AA34" s="1" t="s">
        <v>783</v>
      </c>
      <c r="AB34" s="1" t="s">
        <v>784</v>
      </c>
      <c r="AC34" s="1" t="s">
        <v>785</v>
      </c>
      <c r="AD34" s="1" t="s">
        <v>786</v>
      </c>
      <c r="AE34" s="1" t="s">
        <v>787</v>
      </c>
      <c r="AF34" s="1" t="s">
        <v>74</v>
      </c>
      <c r="AG34" s="1">
        <v>46</v>
      </c>
      <c r="AH34" s="1">
        <v>81</v>
      </c>
      <c r="AI34" s="1">
        <v>81</v>
      </c>
      <c r="AJ34" s="1">
        <v>3</v>
      </c>
      <c r="AK34" s="1">
        <v>54</v>
      </c>
      <c r="AL34" s="1" t="s">
        <v>788</v>
      </c>
      <c r="AM34" s="1" t="s">
        <v>789</v>
      </c>
      <c r="AN34" s="1" t="s">
        <v>790</v>
      </c>
      <c r="AO34" s="1" t="s">
        <v>791</v>
      </c>
      <c r="AP34" s="1" t="s">
        <v>74</v>
      </c>
      <c r="AQ34" s="1" t="s">
        <v>74</v>
      </c>
      <c r="AR34" s="1" t="s">
        <v>792</v>
      </c>
      <c r="AS34" s="1" t="s">
        <v>793</v>
      </c>
      <c r="AT34" s="1" t="s">
        <v>119</v>
      </c>
      <c r="AU34" s="1">
        <v>2013</v>
      </c>
      <c r="AV34" s="1">
        <v>154</v>
      </c>
      <c r="AW34" s="1">
        <v>2</v>
      </c>
      <c r="AX34" s="1" t="s">
        <v>74</v>
      </c>
      <c r="AY34" s="1" t="s">
        <v>74</v>
      </c>
      <c r="AZ34" s="1" t="s">
        <v>74</v>
      </c>
      <c r="BA34" s="1" t="s">
        <v>74</v>
      </c>
      <c r="BB34" s="1">
        <v>217</v>
      </c>
      <c r="BC34" s="1">
        <v>225</v>
      </c>
      <c r="BD34" s="1" t="s">
        <v>74</v>
      </c>
      <c r="BE34" s="1" t="s">
        <v>794</v>
      </c>
      <c r="BF34" s="1" t="str">
        <f>HYPERLINK("http://dx.doi.org/10.1007/s12011-013-9727-3","http://dx.doi.org/10.1007/s12011-013-9727-3")</f>
        <v>http://dx.doi.org/10.1007/s12011-013-9727-3</v>
      </c>
      <c r="BG34" s="1" t="s">
        <v>74</v>
      </c>
      <c r="BH34" s="1" t="s">
        <v>74</v>
      </c>
      <c r="BI34" s="1">
        <v>9</v>
      </c>
      <c r="BJ34" s="1" t="s">
        <v>795</v>
      </c>
      <c r="BK34" s="1" t="s">
        <v>96</v>
      </c>
      <c r="BL34" s="1" t="s">
        <v>795</v>
      </c>
      <c r="BM34" s="1" t="s">
        <v>796</v>
      </c>
      <c r="BN34" s="1">
        <v>23793920</v>
      </c>
      <c r="BO34" s="1" t="s">
        <v>74</v>
      </c>
      <c r="BP34" s="1" t="s">
        <v>74</v>
      </c>
      <c r="BQ34" s="1" t="s">
        <v>74</v>
      </c>
      <c r="BR34" s="1" t="s">
        <v>98</v>
      </c>
      <c r="BS34" s="1" t="s">
        <v>797</v>
      </c>
      <c r="BT34" s="1" t="str">
        <f>HYPERLINK("https%3A%2F%2Fwww.webofscience.com%2Fwos%2Fwoscc%2Ffull-record%2FWOS:000323274900009","View Full Record in Web of Science")</f>
        <v>View Full Record in Web of Science</v>
      </c>
    </row>
    <row r="35" spans="1:72">
      <c r="A35" s="1" t="s">
        <v>72</v>
      </c>
      <c r="B35" s="1" t="s">
        <v>798</v>
      </c>
      <c r="C35" s="1" t="s">
        <v>74</v>
      </c>
      <c r="D35" s="1" t="s">
        <v>74</v>
      </c>
      <c r="E35" s="1" t="s">
        <v>74</v>
      </c>
      <c r="F35" s="1" t="s">
        <v>798</v>
      </c>
      <c r="G35" s="1" t="s">
        <v>74</v>
      </c>
      <c r="H35" s="1" t="s">
        <v>74</v>
      </c>
      <c r="I35" s="1" t="s">
        <v>799</v>
      </c>
      <c r="J35" s="1" t="s">
        <v>554</v>
      </c>
      <c r="K35" s="1" t="s">
        <v>74</v>
      </c>
      <c r="L35" s="1" t="s">
        <v>74</v>
      </c>
      <c r="M35" s="1" t="s">
        <v>78</v>
      </c>
      <c r="N35" s="1" t="s">
        <v>79</v>
      </c>
      <c r="O35" s="1" t="s">
        <v>74</v>
      </c>
      <c r="P35" s="1" t="s">
        <v>74</v>
      </c>
      <c r="Q35" s="1" t="s">
        <v>74</v>
      </c>
      <c r="R35" s="1" t="s">
        <v>74</v>
      </c>
      <c r="S35" s="1" t="s">
        <v>74</v>
      </c>
      <c r="T35" s="1" t="s">
        <v>800</v>
      </c>
      <c r="U35" s="1" t="s">
        <v>801</v>
      </c>
      <c r="V35" s="1" t="s">
        <v>802</v>
      </c>
      <c r="W35" s="1" t="s">
        <v>803</v>
      </c>
      <c r="X35" s="1" t="s">
        <v>804</v>
      </c>
      <c r="Y35" s="1" t="s">
        <v>805</v>
      </c>
      <c r="Z35" s="1" t="s">
        <v>806</v>
      </c>
      <c r="AA35" s="1" t="s">
        <v>74</v>
      </c>
      <c r="AB35" s="1" t="s">
        <v>74</v>
      </c>
      <c r="AC35" s="1" t="s">
        <v>74</v>
      </c>
      <c r="AD35" s="1" t="s">
        <v>74</v>
      </c>
      <c r="AE35" s="1" t="s">
        <v>74</v>
      </c>
      <c r="AF35" s="1" t="s">
        <v>74</v>
      </c>
      <c r="AG35" s="1">
        <v>39</v>
      </c>
      <c r="AH35" s="1">
        <v>53</v>
      </c>
      <c r="AI35" s="1">
        <v>64</v>
      </c>
      <c r="AJ35" s="1">
        <v>1</v>
      </c>
      <c r="AK35" s="1">
        <v>20</v>
      </c>
      <c r="AL35" s="1" t="s">
        <v>564</v>
      </c>
      <c r="AM35" s="1" t="s">
        <v>113</v>
      </c>
      <c r="AN35" s="1" t="s">
        <v>807</v>
      </c>
      <c r="AO35" s="1" t="s">
        <v>566</v>
      </c>
      <c r="AP35" s="1" t="s">
        <v>567</v>
      </c>
      <c r="AQ35" s="1" t="s">
        <v>74</v>
      </c>
      <c r="AR35" s="1" t="s">
        <v>568</v>
      </c>
      <c r="AS35" s="1" t="s">
        <v>569</v>
      </c>
      <c r="AT35" s="1" t="s">
        <v>765</v>
      </c>
      <c r="AU35" s="1">
        <v>2005</v>
      </c>
      <c r="AV35" s="1">
        <v>141</v>
      </c>
      <c r="AW35" s="1">
        <v>3</v>
      </c>
      <c r="AX35" s="1" t="s">
        <v>74</v>
      </c>
      <c r="AY35" s="1" t="s">
        <v>74</v>
      </c>
      <c r="AZ35" s="1" t="s">
        <v>74</v>
      </c>
      <c r="BA35" s="1" t="s">
        <v>74</v>
      </c>
      <c r="BB35" s="1">
        <v>306</v>
      </c>
      <c r="BC35" s="1">
        <v>313</v>
      </c>
      <c r="BD35" s="1" t="s">
        <v>74</v>
      </c>
      <c r="BE35" s="1" t="s">
        <v>808</v>
      </c>
      <c r="BF35" s="1" t="str">
        <f>HYPERLINK("http://dx.doi.org/10.1016/j.cca.2005.07.008","http://dx.doi.org/10.1016/j.cca.2005.07.008")</f>
        <v>http://dx.doi.org/10.1016/j.cca.2005.07.008</v>
      </c>
      <c r="BG35" s="1" t="s">
        <v>74</v>
      </c>
      <c r="BH35" s="1" t="s">
        <v>74</v>
      </c>
      <c r="BI35" s="1">
        <v>8</v>
      </c>
      <c r="BJ35" s="1" t="s">
        <v>571</v>
      </c>
      <c r="BK35" s="1" t="s">
        <v>96</v>
      </c>
      <c r="BL35" s="1" t="s">
        <v>571</v>
      </c>
      <c r="BM35" s="1" t="s">
        <v>809</v>
      </c>
      <c r="BN35" s="1">
        <v>16098817</v>
      </c>
      <c r="BO35" s="1" t="s">
        <v>810</v>
      </c>
      <c r="BP35" s="1" t="s">
        <v>74</v>
      </c>
      <c r="BQ35" s="1" t="s">
        <v>74</v>
      </c>
      <c r="BR35" s="1" t="s">
        <v>98</v>
      </c>
      <c r="BS35" s="1" t="s">
        <v>811</v>
      </c>
      <c r="BT35" s="1" t="str">
        <f>HYPERLINK("https%3A%2F%2Fwww.webofscience.com%2Fwos%2Fwoscc%2Ffull-record%2FWOS:000231895400011","View Full Record in Web of Science")</f>
        <v>View Full Record in Web of Science</v>
      </c>
    </row>
    <row r="36" spans="1:72">
      <c r="A36" s="1" t="s">
        <v>72</v>
      </c>
      <c r="B36" s="1" t="s">
        <v>812</v>
      </c>
      <c r="C36" s="1" t="s">
        <v>74</v>
      </c>
      <c r="D36" s="1" t="s">
        <v>74</v>
      </c>
      <c r="E36" s="1" t="s">
        <v>74</v>
      </c>
      <c r="F36" s="1" t="s">
        <v>813</v>
      </c>
      <c r="G36" s="1" t="s">
        <v>74</v>
      </c>
      <c r="H36" s="1" t="s">
        <v>74</v>
      </c>
      <c r="I36" s="1" t="s">
        <v>814</v>
      </c>
      <c r="J36" s="1" t="s">
        <v>815</v>
      </c>
      <c r="K36" s="1" t="s">
        <v>74</v>
      </c>
      <c r="L36" s="1" t="s">
        <v>74</v>
      </c>
      <c r="M36" s="1" t="s">
        <v>78</v>
      </c>
      <c r="N36" s="1" t="s">
        <v>79</v>
      </c>
      <c r="O36" s="1" t="s">
        <v>74</v>
      </c>
      <c r="P36" s="1" t="s">
        <v>74</v>
      </c>
      <c r="Q36" s="1" t="s">
        <v>74</v>
      </c>
      <c r="R36" s="1" t="s">
        <v>74</v>
      </c>
      <c r="S36" s="1" t="s">
        <v>74</v>
      </c>
      <c r="T36" s="1" t="s">
        <v>816</v>
      </c>
      <c r="U36" s="1" t="s">
        <v>817</v>
      </c>
      <c r="V36" s="1" t="s">
        <v>818</v>
      </c>
      <c r="W36" s="1" t="s">
        <v>819</v>
      </c>
      <c r="X36" s="1" t="s">
        <v>820</v>
      </c>
      <c r="Y36" s="1" t="s">
        <v>821</v>
      </c>
      <c r="Z36" s="1" t="s">
        <v>822</v>
      </c>
      <c r="AA36" s="1" t="s">
        <v>823</v>
      </c>
      <c r="AB36" s="1" t="s">
        <v>74</v>
      </c>
      <c r="AC36" s="1" t="s">
        <v>74</v>
      </c>
      <c r="AD36" s="1" t="s">
        <v>74</v>
      </c>
      <c r="AE36" s="1" t="s">
        <v>74</v>
      </c>
      <c r="AF36" s="1" t="s">
        <v>74</v>
      </c>
      <c r="AG36" s="1">
        <v>13</v>
      </c>
      <c r="AH36" s="1">
        <v>7</v>
      </c>
      <c r="AI36" s="1">
        <v>7</v>
      </c>
      <c r="AJ36" s="1">
        <v>1</v>
      </c>
      <c r="AK36" s="1">
        <v>21</v>
      </c>
      <c r="AL36" s="1" t="s">
        <v>824</v>
      </c>
      <c r="AM36" s="1" t="s">
        <v>825</v>
      </c>
      <c r="AN36" s="1" t="s">
        <v>826</v>
      </c>
      <c r="AO36" s="1" t="s">
        <v>827</v>
      </c>
      <c r="AP36" s="1" t="s">
        <v>74</v>
      </c>
      <c r="AQ36" s="1" t="s">
        <v>74</v>
      </c>
      <c r="AR36" s="1" t="s">
        <v>828</v>
      </c>
      <c r="AS36" s="1" t="s">
        <v>829</v>
      </c>
      <c r="AT36" s="1" t="s">
        <v>74</v>
      </c>
      <c r="AU36" s="1">
        <v>2020</v>
      </c>
      <c r="AV36" s="1">
        <v>21</v>
      </c>
      <c r="AW36" s="1">
        <v>2</v>
      </c>
      <c r="AX36" s="1" t="s">
        <v>74</v>
      </c>
      <c r="AY36" s="1" t="s">
        <v>74</v>
      </c>
      <c r="AZ36" s="1" t="s">
        <v>74</v>
      </c>
      <c r="BA36" s="1" t="s">
        <v>74</v>
      </c>
      <c r="BB36" s="1">
        <v>490</v>
      </c>
      <c r="BC36" s="1">
        <v>497</v>
      </c>
      <c r="BD36" s="1" t="s">
        <v>74</v>
      </c>
      <c r="BE36" s="1" t="s">
        <v>74</v>
      </c>
      <c r="BF36" s="1" t="s">
        <v>74</v>
      </c>
      <c r="BG36" s="1" t="s">
        <v>74</v>
      </c>
      <c r="BH36" s="1" t="s">
        <v>74</v>
      </c>
      <c r="BI36" s="1">
        <v>8</v>
      </c>
      <c r="BJ36" s="1" t="s">
        <v>144</v>
      </c>
      <c r="BK36" s="1" t="s">
        <v>96</v>
      </c>
      <c r="BL36" s="1" t="s">
        <v>145</v>
      </c>
      <c r="BM36" s="1" t="s">
        <v>830</v>
      </c>
      <c r="BN36" s="1" t="s">
        <v>74</v>
      </c>
      <c r="BO36" s="1" t="s">
        <v>74</v>
      </c>
      <c r="BP36" s="1" t="s">
        <v>74</v>
      </c>
      <c r="BQ36" s="1" t="s">
        <v>74</v>
      </c>
      <c r="BR36" s="1" t="s">
        <v>98</v>
      </c>
      <c r="BS36" s="1" t="s">
        <v>831</v>
      </c>
      <c r="BT36" s="1" t="str">
        <f>HYPERLINK("https%3A%2F%2Fwww.webofscience.com%2Fwos%2Fwoscc%2Ffull-record%2FWOS:000566784600012","View Full Record in Web of Science")</f>
        <v>View Full Record in Web of Science</v>
      </c>
    </row>
    <row r="37" spans="1:72">
      <c r="A37" s="1" t="s">
        <v>72</v>
      </c>
      <c r="B37" s="1" t="s">
        <v>832</v>
      </c>
      <c r="C37" s="1" t="s">
        <v>74</v>
      </c>
      <c r="D37" s="1" t="s">
        <v>74</v>
      </c>
      <c r="E37" s="1" t="s">
        <v>74</v>
      </c>
      <c r="F37" s="1" t="s">
        <v>833</v>
      </c>
      <c r="G37" s="1" t="s">
        <v>74</v>
      </c>
      <c r="H37" s="1" t="s">
        <v>74</v>
      </c>
      <c r="I37" s="1" t="s">
        <v>834</v>
      </c>
      <c r="J37" s="1" t="s">
        <v>103</v>
      </c>
      <c r="K37" s="1" t="s">
        <v>74</v>
      </c>
      <c r="L37" s="1" t="s">
        <v>74</v>
      </c>
      <c r="M37" s="1" t="s">
        <v>78</v>
      </c>
      <c r="N37" s="1" t="s">
        <v>79</v>
      </c>
      <c r="O37" s="1" t="s">
        <v>74</v>
      </c>
      <c r="P37" s="1" t="s">
        <v>74</v>
      </c>
      <c r="Q37" s="1" t="s">
        <v>74</v>
      </c>
      <c r="R37" s="1" t="s">
        <v>74</v>
      </c>
      <c r="S37" s="1" t="s">
        <v>74</v>
      </c>
      <c r="T37" s="1" t="s">
        <v>835</v>
      </c>
      <c r="U37" s="1" t="s">
        <v>836</v>
      </c>
      <c r="V37" s="1" t="s">
        <v>837</v>
      </c>
      <c r="W37" s="1" t="s">
        <v>838</v>
      </c>
      <c r="X37" s="1" t="s">
        <v>74</v>
      </c>
      <c r="Y37" s="1" t="s">
        <v>839</v>
      </c>
      <c r="Z37" s="1" t="s">
        <v>840</v>
      </c>
      <c r="AA37" s="1" t="s">
        <v>841</v>
      </c>
      <c r="AB37" s="1" t="s">
        <v>74</v>
      </c>
      <c r="AC37" s="1" t="s">
        <v>842</v>
      </c>
      <c r="AD37" s="1" t="s">
        <v>843</v>
      </c>
      <c r="AE37" s="1" t="s">
        <v>844</v>
      </c>
      <c r="AF37" s="1" t="s">
        <v>74</v>
      </c>
      <c r="AG37" s="1">
        <v>19</v>
      </c>
      <c r="AH37" s="1">
        <v>41</v>
      </c>
      <c r="AI37" s="1">
        <v>45</v>
      </c>
      <c r="AJ37" s="1">
        <v>6</v>
      </c>
      <c r="AK37" s="1">
        <v>57</v>
      </c>
      <c r="AL37" s="1" t="s">
        <v>112</v>
      </c>
      <c r="AM37" s="1" t="s">
        <v>113</v>
      </c>
      <c r="AN37" s="1" t="s">
        <v>114</v>
      </c>
      <c r="AO37" s="1" t="s">
        <v>115</v>
      </c>
      <c r="AP37" s="1" t="s">
        <v>116</v>
      </c>
      <c r="AQ37" s="1" t="s">
        <v>74</v>
      </c>
      <c r="AR37" s="1" t="s">
        <v>117</v>
      </c>
      <c r="AS37" s="1" t="s">
        <v>118</v>
      </c>
      <c r="AT37" s="1" t="s">
        <v>142</v>
      </c>
      <c r="AU37" s="1">
        <v>2015</v>
      </c>
      <c r="AV37" s="1">
        <v>94</v>
      </c>
      <c r="AW37" s="1">
        <v>6</v>
      </c>
      <c r="AX37" s="1" t="s">
        <v>74</v>
      </c>
      <c r="AY37" s="1" t="s">
        <v>74</v>
      </c>
      <c r="AZ37" s="1" t="s">
        <v>74</v>
      </c>
      <c r="BA37" s="1" t="s">
        <v>74</v>
      </c>
      <c r="BB37" s="1">
        <v>749</v>
      </c>
      <c r="BC37" s="1">
        <v>755</v>
      </c>
      <c r="BD37" s="1" t="s">
        <v>74</v>
      </c>
      <c r="BE37" s="1" t="s">
        <v>845</v>
      </c>
      <c r="BF37" s="1" t="str">
        <f>HYPERLINK("http://dx.doi.org/10.1007/s00128-015-1534-4","http://dx.doi.org/10.1007/s00128-015-1534-4")</f>
        <v>http://dx.doi.org/10.1007/s00128-015-1534-4</v>
      </c>
      <c r="BG37" s="1" t="s">
        <v>74</v>
      </c>
      <c r="BH37" s="1" t="s">
        <v>74</v>
      </c>
      <c r="BI37" s="1">
        <v>7</v>
      </c>
      <c r="BJ37" s="1" t="s">
        <v>121</v>
      </c>
      <c r="BK37" s="1" t="s">
        <v>96</v>
      </c>
      <c r="BL37" s="1" t="s">
        <v>122</v>
      </c>
      <c r="BM37" s="1" t="s">
        <v>846</v>
      </c>
      <c r="BN37" s="1">
        <v>25863478</v>
      </c>
      <c r="BO37" s="1" t="s">
        <v>74</v>
      </c>
      <c r="BP37" s="1" t="s">
        <v>74</v>
      </c>
      <c r="BQ37" s="1" t="s">
        <v>74</v>
      </c>
      <c r="BR37" s="1" t="s">
        <v>98</v>
      </c>
      <c r="BS37" s="1" t="s">
        <v>847</v>
      </c>
      <c r="BT37" s="1" t="str">
        <f>HYPERLINK("https%3A%2F%2Fwww.webofscience.com%2Fwos%2Fwoscc%2Ffull-record%2FWOS:000355749500013","View Full Record in Web of Science")</f>
        <v>View Full Record in Web of Science</v>
      </c>
    </row>
    <row r="38" spans="1:72">
      <c r="A38" s="1" t="s">
        <v>72</v>
      </c>
      <c r="B38" s="1" t="s">
        <v>848</v>
      </c>
      <c r="C38" s="1" t="s">
        <v>74</v>
      </c>
      <c r="D38" s="1" t="s">
        <v>74</v>
      </c>
      <c r="E38" s="1" t="s">
        <v>74</v>
      </c>
      <c r="F38" s="1" t="s">
        <v>849</v>
      </c>
      <c r="G38" s="1" t="s">
        <v>74</v>
      </c>
      <c r="H38" s="1" t="s">
        <v>74</v>
      </c>
      <c r="I38" s="1" t="s">
        <v>850</v>
      </c>
      <c r="J38" s="1" t="s">
        <v>851</v>
      </c>
      <c r="K38" s="1" t="s">
        <v>74</v>
      </c>
      <c r="L38" s="1" t="s">
        <v>74</v>
      </c>
      <c r="M38" s="1" t="s">
        <v>78</v>
      </c>
      <c r="N38" s="1" t="s">
        <v>79</v>
      </c>
      <c r="O38" s="1" t="s">
        <v>74</v>
      </c>
      <c r="P38" s="1" t="s">
        <v>74</v>
      </c>
      <c r="Q38" s="1" t="s">
        <v>74</v>
      </c>
      <c r="R38" s="1" t="s">
        <v>74</v>
      </c>
      <c r="S38" s="1" t="s">
        <v>74</v>
      </c>
      <c r="T38" s="1" t="s">
        <v>852</v>
      </c>
      <c r="U38" s="1" t="s">
        <v>853</v>
      </c>
      <c r="V38" s="1" t="s">
        <v>854</v>
      </c>
      <c r="W38" s="1" t="s">
        <v>855</v>
      </c>
      <c r="X38" s="1" t="s">
        <v>856</v>
      </c>
      <c r="Y38" s="1" t="s">
        <v>857</v>
      </c>
      <c r="Z38" s="1" t="s">
        <v>858</v>
      </c>
      <c r="AA38" s="1" t="s">
        <v>859</v>
      </c>
      <c r="AB38" s="1" t="s">
        <v>860</v>
      </c>
      <c r="AC38" s="1" t="s">
        <v>861</v>
      </c>
      <c r="AD38" s="1" t="s">
        <v>862</v>
      </c>
      <c r="AE38" s="1" t="s">
        <v>863</v>
      </c>
      <c r="AF38" s="1" t="s">
        <v>74</v>
      </c>
      <c r="AG38" s="1">
        <v>44</v>
      </c>
      <c r="AH38" s="1">
        <v>28</v>
      </c>
      <c r="AI38" s="1">
        <v>29</v>
      </c>
      <c r="AJ38" s="1">
        <v>9</v>
      </c>
      <c r="AK38" s="1">
        <v>72</v>
      </c>
      <c r="AL38" s="1" t="s">
        <v>864</v>
      </c>
      <c r="AM38" s="1" t="s">
        <v>865</v>
      </c>
      <c r="AN38" s="1" t="s">
        <v>866</v>
      </c>
      <c r="AO38" s="1" t="s">
        <v>867</v>
      </c>
      <c r="AP38" s="1" t="s">
        <v>868</v>
      </c>
      <c r="AQ38" s="1" t="s">
        <v>74</v>
      </c>
      <c r="AR38" s="1" t="s">
        <v>869</v>
      </c>
      <c r="AS38" s="1" t="s">
        <v>870</v>
      </c>
      <c r="AT38" s="1" t="s">
        <v>74</v>
      </c>
      <c r="AU38" s="1">
        <v>2019</v>
      </c>
      <c r="AV38" s="1">
        <v>28</v>
      </c>
      <c r="AW38" s="1">
        <v>4</v>
      </c>
      <c r="AX38" s="1" t="s">
        <v>74</v>
      </c>
      <c r="AY38" s="1" t="s">
        <v>74</v>
      </c>
      <c r="AZ38" s="1" t="s">
        <v>74</v>
      </c>
      <c r="BA38" s="1" t="s">
        <v>74</v>
      </c>
      <c r="BB38" s="1">
        <v>2949</v>
      </c>
      <c r="BC38" s="1">
        <v>2959</v>
      </c>
      <c r="BD38" s="1" t="s">
        <v>74</v>
      </c>
      <c r="BE38" s="1" t="s">
        <v>871</v>
      </c>
      <c r="BF38" s="1" t="str">
        <f>HYPERLINK("http://dx.doi.org/10.15244/pjoes/92941","http://dx.doi.org/10.15244/pjoes/92941")</f>
        <v>http://dx.doi.org/10.15244/pjoes/92941</v>
      </c>
      <c r="BG38" s="1" t="s">
        <v>74</v>
      </c>
      <c r="BH38" s="1" t="s">
        <v>74</v>
      </c>
      <c r="BI38" s="1">
        <v>11</v>
      </c>
      <c r="BJ38" s="1" t="s">
        <v>144</v>
      </c>
      <c r="BK38" s="1" t="s">
        <v>96</v>
      </c>
      <c r="BL38" s="1" t="s">
        <v>145</v>
      </c>
      <c r="BM38" s="1" t="s">
        <v>872</v>
      </c>
      <c r="BN38" s="1" t="s">
        <v>74</v>
      </c>
      <c r="BO38" s="1" t="s">
        <v>873</v>
      </c>
      <c r="BP38" s="1" t="s">
        <v>74</v>
      </c>
      <c r="BQ38" s="1" t="s">
        <v>74</v>
      </c>
      <c r="BR38" s="1" t="s">
        <v>98</v>
      </c>
      <c r="BS38" s="1" t="s">
        <v>874</v>
      </c>
      <c r="BT38" s="1" t="str">
        <f>HYPERLINK("https%3A%2F%2Fwww.webofscience.com%2Fwos%2Fwoscc%2Ffull-record%2FWOS:000467051900041","View Full Record in Web of Science")</f>
        <v>View Full Record in Web of Science</v>
      </c>
    </row>
    <row r="39" spans="1:72">
      <c r="A39" s="1" t="s">
        <v>72</v>
      </c>
      <c r="B39" s="1" t="s">
        <v>875</v>
      </c>
      <c r="C39" s="1" t="s">
        <v>74</v>
      </c>
      <c r="D39" s="1" t="s">
        <v>74</v>
      </c>
      <c r="E39" s="1" t="s">
        <v>74</v>
      </c>
      <c r="F39" s="1" t="s">
        <v>876</v>
      </c>
      <c r="G39" s="1" t="s">
        <v>74</v>
      </c>
      <c r="H39" s="1" t="s">
        <v>74</v>
      </c>
      <c r="I39" s="1" t="s">
        <v>877</v>
      </c>
      <c r="J39" s="1" t="s">
        <v>232</v>
      </c>
      <c r="K39" s="1" t="s">
        <v>74</v>
      </c>
      <c r="L39" s="1" t="s">
        <v>74</v>
      </c>
      <c r="M39" s="1" t="s">
        <v>78</v>
      </c>
      <c r="N39" s="1" t="s">
        <v>79</v>
      </c>
      <c r="O39" s="1" t="s">
        <v>74</v>
      </c>
      <c r="P39" s="1" t="s">
        <v>74</v>
      </c>
      <c r="Q39" s="1" t="s">
        <v>74</v>
      </c>
      <c r="R39" s="1" t="s">
        <v>74</v>
      </c>
      <c r="S39" s="1" t="s">
        <v>74</v>
      </c>
      <c r="T39" s="1" t="s">
        <v>878</v>
      </c>
      <c r="U39" s="1" t="s">
        <v>879</v>
      </c>
      <c r="V39" s="1" t="s">
        <v>880</v>
      </c>
      <c r="W39" s="1" t="s">
        <v>881</v>
      </c>
      <c r="X39" s="1" t="s">
        <v>882</v>
      </c>
      <c r="Y39" s="1" t="s">
        <v>883</v>
      </c>
      <c r="Z39" s="1" t="s">
        <v>884</v>
      </c>
      <c r="AA39" s="1" t="s">
        <v>885</v>
      </c>
      <c r="AB39" s="1" t="s">
        <v>886</v>
      </c>
      <c r="AC39" s="1" t="s">
        <v>887</v>
      </c>
      <c r="AD39" s="1" t="s">
        <v>887</v>
      </c>
      <c r="AE39" s="1" t="s">
        <v>888</v>
      </c>
      <c r="AF39" s="1" t="s">
        <v>74</v>
      </c>
      <c r="AG39" s="1">
        <v>55</v>
      </c>
      <c r="AH39" s="1">
        <v>18</v>
      </c>
      <c r="AI39" s="1">
        <v>23</v>
      </c>
      <c r="AJ39" s="1">
        <v>0</v>
      </c>
      <c r="AK39" s="1">
        <v>19</v>
      </c>
      <c r="AL39" s="1" t="s">
        <v>136</v>
      </c>
      <c r="AM39" s="1" t="s">
        <v>137</v>
      </c>
      <c r="AN39" s="1" t="s">
        <v>138</v>
      </c>
      <c r="AO39" s="1" t="s">
        <v>240</v>
      </c>
      <c r="AP39" s="1" t="s">
        <v>241</v>
      </c>
      <c r="AQ39" s="1" t="s">
        <v>74</v>
      </c>
      <c r="AR39" s="1" t="s">
        <v>242</v>
      </c>
      <c r="AS39" s="1" t="s">
        <v>243</v>
      </c>
      <c r="AT39" s="1" t="s">
        <v>142</v>
      </c>
      <c r="AU39" s="1">
        <v>2011</v>
      </c>
      <c r="AV39" s="1">
        <v>62</v>
      </c>
      <c r="AW39" s="1">
        <v>6</v>
      </c>
      <c r="AX39" s="1" t="s">
        <v>74</v>
      </c>
      <c r="AY39" s="1" t="s">
        <v>74</v>
      </c>
      <c r="AZ39" s="1" t="s">
        <v>74</v>
      </c>
      <c r="BA39" s="1" t="s">
        <v>74</v>
      </c>
      <c r="BB39" s="1">
        <v>1345</v>
      </c>
      <c r="BC39" s="1">
        <v>1351</v>
      </c>
      <c r="BD39" s="1" t="s">
        <v>74</v>
      </c>
      <c r="BE39" s="1" t="s">
        <v>889</v>
      </c>
      <c r="BF39" s="1" t="str">
        <f>HYPERLINK("http://dx.doi.org/10.1016/j.marpolbul.2011.03.036","http://dx.doi.org/10.1016/j.marpolbul.2011.03.036")</f>
        <v>http://dx.doi.org/10.1016/j.marpolbul.2011.03.036</v>
      </c>
      <c r="BG39" s="1" t="s">
        <v>74</v>
      </c>
      <c r="BH39" s="1" t="s">
        <v>74</v>
      </c>
      <c r="BI39" s="1">
        <v>7</v>
      </c>
      <c r="BJ39" s="1" t="s">
        <v>247</v>
      </c>
      <c r="BK39" s="1" t="s">
        <v>96</v>
      </c>
      <c r="BL39" s="1" t="s">
        <v>248</v>
      </c>
      <c r="BM39" s="1" t="s">
        <v>890</v>
      </c>
      <c r="BN39" s="1">
        <v>21507426</v>
      </c>
      <c r="BO39" s="1" t="s">
        <v>74</v>
      </c>
      <c r="BP39" s="1" t="s">
        <v>74</v>
      </c>
      <c r="BQ39" s="1" t="s">
        <v>74</v>
      </c>
      <c r="BR39" s="1" t="s">
        <v>98</v>
      </c>
      <c r="BS39" s="1" t="s">
        <v>891</v>
      </c>
      <c r="BT39" s="1" t="str">
        <f>HYPERLINK("https%3A%2F%2Fwww.webofscience.com%2Fwos%2Fwoscc%2Ffull-record%2FWOS:000292677000037","View Full Record in Web of Science")</f>
        <v>View Full Record in Web of Science</v>
      </c>
    </row>
    <row r="40" spans="1:72">
      <c r="A40" s="1" t="s">
        <v>72</v>
      </c>
      <c r="B40" s="1" t="s">
        <v>892</v>
      </c>
      <c r="C40" s="1" t="s">
        <v>74</v>
      </c>
      <c r="D40" s="1" t="s">
        <v>74</v>
      </c>
      <c r="E40" s="1" t="s">
        <v>74</v>
      </c>
      <c r="F40" s="1" t="s">
        <v>892</v>
      </c>
      <c r="G40" s="1" t="s">
        <v>74</v>
      </c>
      <c r="H40" s="1" t="s">
        <v>74</v>
      </c>
      <c r="I40" s="1" t="s">
        <v>893</v>
      </c>
      <c r="J40" s="1" t="s">
        <v>894</v>
      </c>
      <c r="K40" s="1" t="s">
        <v>74</v>
      </c>
      <c r="L40" s="1" t="s">
        <v>74</v>
      </c>
      <c r="M40" s="1" t="s">
        <v>78</v>
      </c>
      <c r="N40" s="1" t="s">
        <v>79</v>
      </c>
      <c r="O40" s="1" t="s">
        <v>74</v>
      </c>
      <c r="P40" s="1" t="s">
        <v>74</v>
      </c>
      <c r="Q40" s="1" t="s">
        <v>74</v>
      </c>
      <c r="R40" s="1" t="s">
        <v>74</v>
      </c>
      <c r="S40" s="1" t="s">
        <v>74</v>
      </c>
      <c r="T40" s="1" t="s">
        <v>895</v>
      </c>
      <c r="U40" s="1" t="s">
        <v>74</v>
      </c>
      <c r="V40" s="1" t="s">
        <v>896</v>
      </c>
      <c r="W40" s="1" t="s">
        <v>74</v>
      </c>
      <c r="X40" s="1" t="s">
        <v>74</v>
      </c>
      <c r="Y40" s="1" t="s">
        <v>897</v>
      </c>
      <c r="Z40" s="1" t="s">
        <v>74</v>
      </c>
      <c r="AA40" s="1" t="s">
        <v>74</v>
      </c>
      <c r="AB40" s="1" t="s">
        <v>74</v>
      </c>
      <c r="AC40" s="1" t="s">
        <v>74</v>
      </c>
      <c r="AD40" s="1" t="s">
        <v>74</v>
      </c>
      <c r="AE40" s="1" t="s">
        <v>74</v>
      </c>
      <c r="AF40" s="1" t="s">
        <v>74</v>
      </c>
      <c r="AG40" s="1">
        <v>0</v>
      </c>
      <c r="AH40" s="1">
        <v>2</v>
      </c>
      <c r="AI40" s="1">
        <v>2</v>
      </c>
      <c r="AJ40" s="1">
        <v>0</v>
      </c>
      <c r="AK40" s="1">
        <v>5</v>
      </c>
      <c r="AL40" s="1" t="s">
        <v>898</v>
      </c>
      <c r="AM40" s="1" t="s">
        <v>899</v>
      </c>
      <c r="AN40" s="1" t="s">
        <v>900</v>
      </c>
      <c r="AO40" s="1" t="s">
        <v>901</v>
      </c>
      <c r="AP40" s="1" t="s">
        <v>74</v>
      </c>
      <c r="AQ40" s="1" t="s">
        <v>74</v>
      </c>
      <c r="AR40" s="1" t="s">
        <v>902</v>
      </c>
      <c r="AS40" s="1" t="s">
        <v>903</v>
      </c>
      <c r="AT40" s="1" t="s">
        <v>93</v>
      </c>
      <c r="AU40" s="1">
        <v>1991</v>
      </c>
      <c r="AV40" s="1">
        <v>12</v>
      </c>
      <c r="AW40" s="1">
        <v>2</v>
      </c>
      <c r="AX40" s="1" t="s">
        <v>74</v>
      </c>
      <c r="AY40" s="1" t="s">
        <v>74</v>
      </c>
      <c r="AZ40" s="1" t="s">
        <v>74</v>
      </c>
      <c r="BA40" s="1" t="s">
        <v>74</v>
      </c>
      <c r="BB40" s="1">
        <v>131</v>
      </c>
      <c r="BC40" s="1">
        <v>135</v>
      </c>
      <c r="BD40" s="1" t="s">
        <v>74</v>
      </c>
      <c r="BE40" s="1" t="s">
        <v>74</v>
      </c>
      <c r="BF40" s="1" t="s">
        <v>74</v>
      </c>
      <c r="BG40" s="1" t="s">
        <v>74</v>
      </c>
      <c r="BH40" s="1" t="s">
        <v>74</v>
      </c>
      <c r="BI40" s="1">
        <v>5</v>
      </c>
      <c r="BJ40" s="1" t="s">
        <v>144</v>
      </c>
      <c r="BK40" s="1" t="s">
        <v>96</v>
      </c>
      <c r="BL40" s="1" t="s">
        <v>145</v>
      </c>
      <c r="BM40" s="1" t="s">
        <v>904</v>
      </c>
      <c r="BN40" s="1" t="s">
        <v>74</v>
      </c>
      <c r="BO40" s="1" t="s">
        <v>74</v>
      </c>
      <c r="BP40" s="1" t="s">
        <v>74</v>
      </c>
      <c r="BQ40" s="1" t="s">
        <v>74</v>
      </c>
      <c r="BR40" s="1" t="s">
        <v>98</v>
      </c>
      <c r="BS40" s="1" t="s">
        <v>905</v>
      </c>
      <c r="BT40" s="1" t="str">
        <f>HYPERLINK("https%3A%2F%2Fwww.webofscience.com%2Fwos%2Fwoscc%2Ffull-record%2FWOS:A1991GC93700006","View Full Record in Web of Science")</f>
        <v>View Full Record in Web of Science</v>
      </c>
    </row>
    <row r="41" spans="1:72">
      <c r="A41" s="1" t="s">
        <v>72</v>
      </c>
      <c r="B41" s="1" t="s">
        <v>906</v>
      </c>
      <c r="C41" s="1" t="s">
        <v>74</v>
      </c>
      <c r="D41" s="1" t="s">
        <v>74</v>
      </c>
      <c r="E41" s="1" t="s">
        <v>74</v>
      </c>
      <c r="F41" s="1" t="s">
        <v>907</v>
      </c>
      <c r="G41" s="1" t="s">
        <v>74</v>
      </c>
      <c r="H41" s="1" t="s">
        <v>74</v>
      </c>
      <c r="I41" s="1" t="s">
        <v>908</v>
      </c>
      <c r="J41" s="1" t="s">
        <v>909</v>
      </c>
      <c r="K41" s="1" t="s">
        <v>74</v>
      </c>
      <c r="L41" s="1" t="s">
        <v>74</v>
      </c>
      <c r="M41" s="1" t="s">
        <v>78</v>
      </c>
      <c r="N41" s="1" t="s">
        <v>79</v>
      </c>
      <c r="O41" s="1" t="s">
        <v>74</v>
      </c>
      <c r="P41" s="1" t="s">
        <v>74</v>
      </c>
      <c r="Q41" s="1" t="s">
        <v>74</v>
      </c>
      <c r="R41" s="1" t="s">
        <v>74</v>
      </c>
      <c r="S41" s="1" t="s">
        <v>74</v>
      </c>
      <c r="T41" s="1" t="s">
        <v>910</v>
      </c>
      <c r="U41" s="1" t="s">
        <v>911</v>
      </c>
      <c r="V41" s="1" t="s">
        <v>912</v>
      </c>
      <c r="W41" s="1" t="s">
        <v>913</v>
      </c>
      <c r="X41" s="1" t="s">
        <v>914</v>
      </c>
      <c r="Y41" s="1" t="s">
        <v>915</v>
      </c>
      <c r="Z41" s="1" t="s">
        <v>916</v>
      </c>
      <c r="AA41" s="1" t="s">
        <v>917</v>
      </c>
      <c r="AB41" s="1" t="s">
        <v>918</v>
      </c>
      <c r="AC41" s="1" t="s">
        <v>74</v>
      </c>
      <c r="AD41" s="1" t="s">
        <v>74</v>
      </c>
      <c r="AE41" s="1" t="s">
        <v>74</v>
      </c>
      <c r="AF41" s="1" t="s">
        <v>74</v>
      </c>
      <c r="AG41" s="1">
        <v>138</v>
      </c>
      <c r="AH41" s="1">
        <v>47</v>
      </c>
      <c r="AI41" s="1">
        <v>50</v>
      </c>
      <c r="AJ41" s="1">
        <v>3</v>
      </c>
      <c r="AK41" s="1">
        <v>84</v>
      </c>
      <c r="AL41" s="1" t="s">
        <v>919</v>
      </c>
      <c r="AM41" s="1" t="s">
        <v>651</v>
      </c>
      <c r="AN41" s="1" t="s">
        <v>920</v>
      </c>
      <c r="AO41" s="1" t="s">
        <v>921</v>
      </c>
      <c r="AP41" s="1" t="s">
        <v>922</v>
      </c>
      <c r="AQ41" s="1" t="s">
        <v>74</v>
      </c>
      <c r="AR41" s="1" t="s">
        <v>923</v>
      </c>
      <c r="AS41" s="1" t="s">
        <v>924</v>
      </c>
      <c r="AT41" s="1" t="s">
        <v>325</v>
      </c>
      <c r="AU41" s="1">
        <v>2018</v>
      </c>
      <c r="AV41" s="1">
        <v>639</v>
      </c>
      <c r="AW41" s="1" t="s">
        <v>74</v>
      </c>
      <c r="AX41" s="1" t="s">
        <v>74</v>
      </c>
      <c r="AY41" s="1" t="s">
        <v>74</v>
      </c>
      <c r="AZ41" s="1" t="s">
        <v>74</v>
      </c>
      <c r="BA41" s="1" t="s">
        <v>74</v>
      </c>
      <c r="BB41" s="1">
        <v>156</v>
      </c>
      <c r="BC41" s="1">
        <v>174</v>
      </c>
      <c r="BD41" s="1" t="s">
        <v>74</v>
      </c>
      <c r="BE41" s="1" t="s">
        <v>925</v>
      </c>
      <c r="BF41" s="1" t="str">
        <f>HYPERLINK("http://dx.doi.org/10.1016/j.scitotenv.2018.04.377","http://dx.doi.org/10.1016/j.scitotenv.2018.04.377")</f>
        <v>http://dx.doi.org/10.1016/j.scitotenv.2018.04.377</v>
      </c>
      <c r="BG41" s="1" t="s">
        <v>74</v>
      </c>
      <c r="BH41" s="1" t="s">
        <v>74</v>
      </c>
      <c r="BI41" s="1">
        <v>19</v>
      </c>
      <c r="BJ41" s="1" t="s">
        <v>144</v>
      </c>
      <c r="BK41" s="1" t="s">
        <v>96</v>
      </c>
      <c r="BL41" s="1" t="s">
        <v>145</v>
      </c>
      <c r="BM41" s="1" t="s">
        <v>926</v>
      </c>
      <c r="BN41" s="1">
        <v>29783116</v>
      </c>
      <c r="BO41" s="1" t="s">
        <v>74</v>
      </c>
      <c r="BP41" s="1" t="s">
        <v>74</v>
      </c>
      <c r="BQ41" s="1" t="s">
        <v>74</v>
      </c>
      <c r="BR41" s="1" t="s">
        <v>98</v>
      </c>
      <c r="BS41" s="1" t="s">
        <v>927</v>
      </c>
      <c r="BT41" s="1" t="str">
        <f>HYPERLINK("https%3A%2F%2Fwww.webofscience.com%2Fwos%2Fwoscc%2Ffull-record%2FWOS:000436806200016","View Full Record in Web of Science")</f>
        <v>View Full Record in Web of Science</v>
      </c>
    </row>
    <row r="42" spans="1:72">
      <c r="A42" s="1" t="s">
        <v>72</v>
      </c>
      <c r="B42" s="1" t="s">
        <v>928</v>
      </c>
      <c r="C42" s="1" t="s">
        <v>74</v>
      </c>
      <c r="D42" s="1" t="s">
        <v>74</v>
      </c>
      <c r="E42" s="1" t="s">
        <v>74</v>
      </c>
      <c r="F42" s="1" t="s">
        <v>928</v>
      </c>
      <c r="G42" s="1" t="s">
        <v>74</v>
      </c>
      <c r="H42" s="1" t="s">
        <v>74</v>
      </c>
      <c r="I42" s="1" t="s">
        <v>929</v>
      </c>
      <c r="J42" s="1" t="s">
        <v>127</v>
      </c>
      <c r="K42" s="1" t="s">
        <v>74</v>
      </c>
      <c r="L42" s="1" t="s">
        <v>74</v>
      </c>
      <c r="M42" s="1" t="s">
        <v>78</v>
      </c>
      <c r="N42" s="1" t="s">
        <v>79</v>
      </c>
      <c r="O42" s="1" t="s">
        <v>74</v>
      </c>
      <c r="P42" s="1" t="s">
        <v>74</v>
      </c>
      <c r="Q42" s="1" t="s">
        <v>74</v>
      </c>
      <c r="R42" s="1" t="s">
        <v>74</v>
      </c>
      <c r="S42" s="1" t="s">
        <v>74</v>
      </c>
      <c r="T42" s="1" t="s">
        <v>930</v>
      </c>
      <c r="U42" s="1" t="s">
        <v>931</v>
      </c>
      <c r="V42" s="1" t="s">
        <v>932</v>
      </c>
      <c r="W42" s="1" t="s">
        <v>933</v>
      </c>
      <c r="X42" s="1" t="s">
        <v>712</v>
      </c>
      <c r="Y42" s="1" t="s">
        <v>934</v>
      </c>
      <c r="Z42" s="1" t="s">
        <v>74</v>
      </c>
      <c r="AA42" s="1" t="s">
        <v>935</v>
      </c>
      <c r="AB42" s="1" t="s">
        <v>936</v>
      </c>
      <c r="AC42" s="1" t="s">
        <v>74</v>
      </c>
      <c r="AD42" s="1" t="s">
        <v>74</v>
      </c>
      <c r="AE42" s="1" t="s">
        <v>74</v>
      </c>
      <c r="AF42" s="1" t="s">
        <v>74</v>
      </c>
      <c r="AG42" s="1">
        <v>28</v>
      </c>
      <c r="AH42" s="1">
        <v>52</v>
      </c>
      <c r="AI42" s="1">
        <v>56</v>
      </c>
      <c r="AJ42" s="1">
        <v>0</v>
      </c>
      <c r="AK42" s="1">
        <v>8</v>
      </c>
      <c r="AL42" s="1" t="s">
        <v>136</v>
      </c>
      <c r="AM42" s="1" t="s">
        <v>137</v>
      </c>
      <c r="AN42" s="1" t="s">
        <v>138</v>
      </c>
      <c r="AO42" s="1" t="s">
        <v>139</v>
      </c>
      <c r="AP42" s="1" t="s">
        <v>74</v>
      </c>
      <c r="AQ42" s="1" t="s">
        <v>74</v>
      </c>
      <c r="AR42" s="1" t="s">
        <v>127</v>
      </c>
      <c r="AS42" s="1" t="s">
        <v>141</v>
      </c>
      <c r="AT42" s="1" t="s">
        <v>119</v>
      </c>
      <c r="AU42" s="1">
        <v>2002</v>
      </c>
      <c r="AV42" s="1">
        <v>48</v>
      </c>
      <c r="AW42" s="1">
        <v>7</v>
      </c>
      <c r="AX42" s="1" t="s">
        <v>74</v>
      </c>
      <c r="AY42" s="1" t="s">
        <v>74</v>
      </c>
      <c r="AZ42" s="1" t="s">
        <v>74</v>
      </c>
      <c r="BA42" s="1" t="s">
        <v>74</v>
      </c>
      <c r="BB42" s="1">
        <v>671</v>
      </c>
      <c r="BC42" s="1">
        <v>677</v>
      </c>
      <c r="BD42" s="1" t="s">
        <v>937</v>
      </c>
      <c r="BE42" s="1" t="s">
        <v>938</v>
      </c>
      <c r="BF42" s="1" t="str">
        <f>HYPERLINK("http://dx.doi.org/10.1016/S0045-6535(02)00196-0","http://dx.doi.org/10.1016/S0045-6535(02)00196-0")</f>
        <v>http://dx.doi.org/10.1016/S0045-6535(02)00196-0</v>
      </c>
      <c r="BG42" s="1" t="s">
        <v>74</v>
      </c>
      <c r="BH42" s="1" t="s">
        <v>74</v>
      </c>
      <c r="BI42" s="1">
        <v>7</v>
      </c>
      <c r="BJ42" s="1" t="s">
        <v>144</v>
      </c>
      <c r="BK42" s="1" t="s">
        <v>96</v>
      </c>
      <c r="BL42" s="1" t="s">
        <v>145</v>
      </c>
      <c r="BM42" s="1" t="s">
        <v>939</v>
      </c>
      <c r="BN42" s="1">
        <v>12201197</v>
      </c>
      <c r="BO42" s="1" t="s">
        <v>74</v>
      </c>
      <c r="BP42" s="1" t="s">
        <v>74</v>
      </c>
      <c r="BQ42" s="1" t="s">
        <v>74</v>
      </c>
      <c r="BR42" s="1" t="s">
        <v>98</v>
      </c>
      <c r="BS42" s="1" t="s">
        <v>940</v>
      </c>
      <c r="BT42" s="1" t="str">
        <f>HYPERLINK("https%3A%2F%2Fwww.webofscience.com%2Fwos%2Fwoscc%2Ffull-record%2FWOS:000177243400004","View Full Record in Web of Science")</f>
        <v>View Full Record in Web of Science</v>
      </c>
    </row>
    <row r="43" spans="1:72">
      <c r="A43" s="1" t="s">
        <v>72</v>
      </c>
      <c r="B43" s="1" t="s">
        <v>941</v>
      </c>
      <c r="C43" s="1" t="s">
        <v>74</v>
      </c>
      <c r="D43" s="1" t="s">
        <v>74</v>
      </c>
      <c r="E43" s="1" t="s">
        <v>74</v>
      </c>
      <c r="F43" s="1" t="s">
        <v>941</v>
      </c>
      <c r="G43" s="1" t="s">
        <v>74</v>
      </c>
      <c r="H43" s="1" t="s">
        <v>74</v>
      </c>
      <c r="I43" s="1" t="s">
        <v>942</v>
      </c>
      <c r="J43" s="1" t="s">
        <v>232</v>
      </c>
      <c r="K43" s="1" t="s">
        <v>74</v>
      </c>
      <c r="L43" s="1" t="s">
        <v>74</v>
      </c>
      <c r="M43" s="1" t="s">
        <v>78</v>
      </c>
      <c r="N43" s="1" t="s">
        <v>79</v>
      </c>
      <c r="O43" s="1" t="s">
        <v>74</v>
      </c>
      <c r="P43" s="1" t="s">
        <v>74</v>
      </c>
      <c r="Q43" s="1" t="s">
        <v>74</v>
      </c>
      <c r="R43" s="1" t="s">
        <v>74</v>
      </c>
      <c r="S43" s="1" t="s">
        <v>74</v>
      </c>
      <c r="T43" s="1" t="s">
        <v>943</v>
      </c>
      <c r="U43" s="1" t="s">
        <v>944</v>
      </c>
      <c r="V43" s="1" t="s">
        <v>945</v>
      </c>
      <c r="W43" s="1" t="s">
        <v>946</v>
      </c>
      <c r="X43" s="1" t="s">
        <v>947</v>
      </c>
      <c r="Y43" s="1" t="s">
        <v>948</v>
      </c>
      <c r="Z43" s="1" t="s">
        <v>949</v>
      </c>
      <c r="AA43" s="1" t="s">
        <v>950</v>
      </c>
      <c r="AB43" s="1" t="s">
        <v>74</v>
      </c>
      <c r="AC43" s="1" t="s">
        <v>74</v>
      </c>
      <c r="AD43" s="1" t="s">
        <v>74</v>
      </c>
      <c r="AE43" s="1" t="s">
        <v>74</v>
      </c>
      <c r="AF43" s="1" t="s">
        <v>74</v>
      </c>
      <c r="AG43" s="1">
        <v>41</v>
      </c>
      <c r="AH43" s="1">
        <v>30</v>
      </c>
      <c r="AI43" s="1">
        <v>36</v>
      </c>
      <c r="AJ43" s="1">
        <v>0</v>
      </c>
      <c r="AK43" s="1">
        <v>14</v>
      </c>
      <c r="AL43" s="1" t="s">
        <v>136</v>
      </c>
      <c r="AM43" s="1" t="s">
        <v>137</v>
      </c>
      <c r="AN43" s="1" t="s">
        <v>138</v>
      </c>
      <c r="AO43" s="1" t="s">
        <v>240</v>
      </c>
      <c r="AP43" s="1" t="s">
        <v>241</v>
      </c>
      <c r="AQ43" s="1" t="s">
        <v>74</v>
      </c>
      <c r="AR43" s="1" t="s">
        <v>242</v>
      </c>
      <c r="AS43" s="1" t="s">
        <v>243</v>
      </c>
      <c r="AT43" s="1" t="s">
        <v>951</v>
      </c>
      <c r="AU43" s="1">
        <v>2003</v>
      </c>
      <c r="AV43" s="1">
        <v>46</v>
      </c>
      <c r="AW43" s="1">
        <v>11</v>
      </c>
      <c r="AX43" s="1" t="s">
        <v>74</v>
      </c>
      <c r="AY43" s="1" t="s">
        <v>74</v>
      </c>
      <c r="AZ43" s="1" t="s">
        <v>74</v>
      </c>
      <c r="BA43" s="1" t="s">
        <v>74</v>
      </c>
      <c r="BB43" s="1">
        <v>1450</v>
      </c>
      <c r="BC43" s="1">
        <v>1455</v>
      </c>
      <c r="BD43" s="1" t="s">
        <v>74</v>
      </c>
      <c r="BE43" s="1" t="s">
        <v>952</v>
      </c>
      <c r="BF43" s="1" t="str">
        <f>HYPERLINK("http://dx.doi.org/10.1016/S0025-326X(03)00283-2","http://dx.doi.org/10.1016/S0025-326X(03)00283-2")</f>
        <v>http://dx.doi.org/10.1016/S0025-326X(03)00283-2</v>
      </c>
      <c r="BG43" s="1" t="s">
        <v>74</v>
      </c>
      <c r="BH43" s="1" t="s">
        <v>74</v>
      </c>
      <c r="BI43" s="1">
        <v>6</v>
      </c>
      <c r="BJ43" s="1" t="s">
        <v>247</v>
      </c>
      <c r="BK43" s="1" t="s">
        <v>96</v>
      </c>
      <c r="BL43" s="1" t="s">
        <v>248</v>
      </c>
      <c r="BM43" s="1" t="s">
        <v>953</v>
      </c>
      <c r="BN43" s="1">
        <v>14607542</v>
      </c>
      <c r="BO43" s="1" t="s">
        <v>74</v>
      </c>
      <c r="BP43" s="1" t="s">
        <v>74</v>
      </c>
      <c r="BQ43" s="1" t="s">
        <v>74</v>
      </c>
      <c r="BR43" s="1" t="s">
        <v>98</v>
      </c>
      <c r="BS43" s="1" t="s">
        <v>954</v>
      </c>
      <c r="BT43" s="1" t="str">
        <f>HYPERLINK("https%3A%2F%2Fwww.webofscience.com%2Fwos%2Fwoscc%2Ffull-record%2FWOS:000186854000021","View Full Record in Web of Science")</f>
        <v>View Full Record in Web of Science</v>
      </c>
    </row>
    <row r="44" spans="1:72">
      <c r="A44" s="1" t="s">
        <v>72</v>
      </c>
      <c r="B44" s="1" t="s">
        <v>955</v>
      </c>
      <c r="C44" s="1" t="s">
        <v>74</v>
      </c>
      <c r="D44" s="1" t="s">
        <v>74</v>
      </c>
      <c r="E44" s="1" t="s">
        <v>74</v>
      </c>
      <c r="F44" s="1" t="s">
        <v>956</v>
      </c>
      <c r="G44" s="1" t="s">
        <v>74</v>
      </c>
      <c r="H44" s="1" t="s">
        <v>74</v>
      </c>
      <c r="I44" s="1" t="s">
        <v>957</v>
      </c>
      <c r="J44" s="1" t="s">
        <v>958</v>
      </c>
      <c r="K44" s="1" t="s">
        <v>74</v>
      </c>
      <c r="L44" s="1" t="s">
        <v>74</v>
      </c>
      <c r="M44" s="1" t="s">
        <v>78</v>
      </c>
      <c r="N44" s="1" t="s">
        <v>79</v>
      </c>
      <c r="O44" s="1" t="s">
        <v>74</v>
      </c>
      <c r="P44" s="1" t="s">
        <v>74</v>
      </c>
      <c r="Q44" s="1" t="s">
        <v>74</v>
      </c>
      <c r="R44" s="1" t="s">
        <v>74</v>
      </c>
      <c r="S44" s="1" t="s">
        <v>74</v>
      </c>
      <c r="T44" s="1" t="s">
        <v>74</v>
      </c>
      <c r="U44" s="1" t="s">
        <v>959</v>
      </c>
      <c r="V44" s="1" t="s">
        <v>960</v>
      </c>
      <c r="W44" s="1" t="s">
        <v>961</v>
      </c>
      <c r="X44" s="1" t="s">
        <v>962</v>
      </c>
      <c r="Y44" s="1" t="s">
        <v>963</v>
      </c>
      <c r="Z44" s="1" t="s">
        <v>964</v>
      </c>
      <c r="AA44" s="1" t="s">
        <v>965</v>
      </c>
      <c r="AB44" s="1" t="s">
        <v>966</v>
      </c>
      <c r="AC44" s="1" t="s">
        <v>74</v>
      </c>
      <c r="AD44" s="1" t="s">
        <v>74</v>
      </c>
      <c r="AE44" s="1" t="s">
        <v>74</v>
      </c>
      <c r="AF44" s="1" t="s">
        <v>74</v>
      </c>
      <c r="AG44" s="1">
        <v>26</v>
      </c>
      <c r="AH44" s="1">
        <v>79</v>
      </c>
      <c r="AI44" s="1">
        <v>86</v>
      </c>
      <c r="AJ44" s="1">
        <v>0</v>
      </c>
      <c r="AK44" s="1">
        <v>9</v>
      </c>
      <c r="AL44" s="1" t="s">
        <v>86</v>
      </c>
      <c r="AM44" s="1" t="s">
        <v>87</v>
      </c>
      <c r="AN44" s="1" t="s">
        <v>88</v>
      </c>
      <c r="AO44" s="1" t="s">
        <v>967</v>
      </c>
      <c r="AP44" s="1" t="s">
        <v>968</v>
      </c>
      <c r="AQ44" s="1" t="s">
        <v>74</v>
      </c>
      <c r="AR44" s="1" t="s">
        <v>969</v>
      </c>
      <c r="AS44" s="1" t="s">
        <v>970</v>
      </c>
      <c r="AT44" s="1" t="s">
        <v>267</v>
      </c>
      <c r="AU44" s="1">
        <v>2007</v>
      </c>
      <c r="AV44" s="1">
        <v>22</v>
      </c>
      <c r="AW44" s="1">
        <v>5</v>
      </c>
      <c r="AX44" s="1" t="s">
        <v>74</v>
      </c>
      <c r="AY44" s="1" t="s">
        <v>74</v>
      </c>
      <c r="AZ44" s="1" t="s">
        <v>74</v>
      </c>
      <c r="BA44" s="1" t="s">
        <v>74</v>
      </c>
      <c r="BB44" s="1">
        <v>525</v>
      </c>
      <c r="BC44" s="1">
        <v>531</v>
      </c>
      <c r="BD44" s="1" t="s">
        <v>74</v>
      </c>
      <c r="BE44" s="1" t="s">
        <v>971</v>
      </c>
      <c r="BF44" s="1" t="str">
        <f>HYPERLINK("http://dx.doi.org/10.1002/tox.20301","http://dx.doi.org/10.1002/tox.20301")</f>
        <v>http://dx.doi.org/10.1002/tox.20301</v>
      </c>
      <c r="BG44" s="1" t="s">
        <v>74</v>
      </c>
      <c r="BH44" s="1" t="s">
        <v>74</v>
      </c>
      <c r="BI44" s="1">
        <v>7</v>
      </c>
      <c r="BJ44" s="1" t="s">
        <v>972</v>
      </c>
      <c r="BK44" s="1" t="s">
        <v>96</v>
      </c>
      <c r="BL44" s="1" t="s">
        <v>973</v>
      </c>
      <c r="BM44" s="1" t="s">
        <v>974</v>
      </c>
      <c r="BN44" s="1">
        <v>17696139</v>
      </c>
      <c r="BO44" s="1" t="s">
        <v>370</v>
      </c>
      <c r="BP44" s="1" t="s">
        <v>74</v>
      </c>
      <c r="BQ44" s="1" t="s">
        <v>74</v>
      </c>
      <c r="BR44" s="1" t="s">
        <v>98</v>
      </c>
      <c r="BS44" s="1" t="s">
        <v>975</v>
      </c>
      <c r="BT44" s="1" t="str">
        <f>HYPERLINK("https%3A%2F%2Fwww.webofscience.com%2Fwos%2Fwoscc%2Ffull-record%2FWOS:000249328800010","View Full Record in Web of Science")</f>
        <v>View Full Record in Web of Science</v>
      </c>
    </row>
    <row r="45" spans="1:72">
      <c r="A45" s="1" t="s">
        <v>72</v>
      </c>
      <c r="B45" s="1" t="s">
        <v>976</v>
      </c>
      <c r="C45" s="1" t="s">
        <v>74</v>
      </c>
      <c r="D45" s="1" t="s">
        <v>74</v>
      </c>
      <c r="E45" s="1" t="s">
        <v>74</v>
      </c>
      <c r="F45" s="1" t="s">
        <v>977</v>
      </c>
      <c r="G45" s="1" t="s">
        <v>74</v>
      </c>
      <c r="H45" s="1" t="s">
        <v>74</v>
      </c>
      <c r="I45" s="1" t="s">
        <v>978</v>
      </c>
      <c r="J45" s="1" t="s">
        <v>204</v>
      </c>
      <c r="K45" s="1" t="s">
        <v>74</v>
      </c>
      <c r="L45" s="1" t="s">
        <v>74</v>
      </c>
      <c r="M45" s="1" t="s">
        <v>78</v>
      </c>
      <c r="N45" s="1" t="s">
        <v>79</v>
      </c>
      <c r="O45" s="1" t="s">
        <v>74</v>
      </c>
      <c r="P45" s="1" t="s">
        <v>74</v>
      </c>
      <c r="Q45" s="1" t="s">
        <v>74</v>
      </c>
      <c r="R45" s="1" t="s">
        <v>74</v>
      </c>
      <c r="S45" s="1" t="s">
        <v>74</v>
      </c>
      <c r="T45" s="1" t="s">
        <v>979</v>
      </c>
      <c r="U45" s="1" t="s">
        <v>980</v>
      </c>
      <c r="V45" s="1" t="s">
        <v>981</v>
      </c>
      <c r="W45" s="1" t="s">
        <v>982</v>
      </c>
      <c r="X45" s="1" t="s">
        <v>983</v>
      </c>
      <c r="Y45" s="1" t="s">
        <v>984</v>
      </c>
      <c r="Z45" s="1" t="s">
        <v>985</v>
      </c>
      <c r="AA45" s="1" t="s">
        <v>986</v>
      </c>
      <c r="AB45" s="1" t="s">
        <v>987</v>
      </c>
      <c r="AC45" s="1" t="s">
        <v>988</v>
      </c>
      <c r="AD45" s="1" t="s">
        <v>989</v>
      </c>
      <c r="AE45" s="1" t="s">
        <v>990</v>
      </c>
      <c r="AF45" s="1" t="s">
        <v>74</v>
      </c>
      <c r="AG45" s="1">
        <v>79</v>
      </c>
      <c r="AH45" s="1">
        <v>2</v>
      </c>
      <c r="AI45" s="1">
        <v>2</v>
      </c>
      <c r="AJ45" s="1">
        <v>1</v>
      </c>
      <c r="AK45" s="1">
        <v>22</v>
      </c>
      <c r="AL45" s="1" t="s">
        <v>217</v>
      </c>
      <c r="AM45" s="1" t="s">
        <v>218</v>
      </c>
      <c r="AN45" s="1" t="s">
        <v>219</v>
      </c>
      <c r="AO45" s="1" t="s">
        <v>220</v>
      </c>
      <c r="AP45" s="1" t="s">
        <v>221</v>
      </c>
      <c r="AQ45" s="1" t="s">
        <v>74</v>
      </c>
      <c r="AR45" s="1" t="s">
        <v>222</v>
      </c>
      <c r="AS45" s="1" t="s">
        <v>223</v>
      </c>
      <c r="AT45" s="1" t="s">
        <v>765</v>
      </c>
      <c r="AU45" s="1">
        <v>2021</v>
      </c>
      <c r="AV45" s="1">
        <v>28</v>
      </c>
      <c r="AW45" s="1">
        <v>27</v>
      </c>
      <c r="AX45" s="1" t="s">
        <v>74</v>
      </c>
      <c r="AY45" s="1" t="s">
        <v>74</v>
      </c>
      <c r="AZ45" s="1" t="s">
        <v>74</v>
      </c>
      <c r="BA45" s="1" t="s">
        <v>74</v>
      </c>
      <c r="BB45" s="1">
        <v>36523</v>
      </c>
      <c r="BC45" s="1">
        <v>36534</v>
      </c>
      <c r="BD45" s="1" t="s">
        <v>74</v>
      </c>
      <c r="BE45" s="1" t="s">
        <v>991</v>
      </c>
      <c r="BF45" s="1" t="str">
        <f>HYPERLINK("http://dx.doi.org/10.1007/s11356-021-13158-4","http://dx.doi.org/10.1007/s11356-021-13158-4")</f>
        <v>http://dx.doi.org/10.1007/s11356-021-13158-4</v>
      </c>
      <c r="BG45" s="1" t="s">
        <v>74</v>
      </c>
      <c r="BH45" s="1" t="s">
        <v>992</v>
      </c>
      <c r="BI45" s="1">
        <v>12</v>
      </c>
      <c r="BJ45" s="1" t="s">
        <v>144</v>
      </c>
      <c r="BK45" s="1" t="s">
        <v>96</v>
      </c>
      <c r="BL45" s="1" t="s">
        <v>145</v>
      </c>
      <c r="BM45" s="1" t="s">
        <v>993</v>
      </c>
      <c r="BN45" s="1">
        <v>33694119</v>
      </c>
      <c r="BO45" s="1" t="s">
        <v>74</v>
      </c>
      <c r="BP45" s="1" t="s">
        <v>74</v>
      </c>
      <c r="BQ45" s="1" t="s">
        <v>74</v>
      </c>
      <c r="BR45" s="1" t="s">
        <v>98</v>
      </c>
      <c r="BS45" s="1" t="s">
        <v>994</v>
      </c>
      <c r="BT45" s="1" t="str">
        <f>HYPERLINK("https%3A%2F%2Fwww.webofscience.com%2Fwos%2Fwoscc%2Ffull-record%2FWOS:000627268300002","View Full Record in Web of Science")</f>
        <v>View Full Record in Web of Science</v>
      </c>
    </row>
    <row r="46" spans="1:72">
      <c r="A46" s="1" t="s">
        <v>72</v>
      </c>
      <c r="B46" s="1" t="s">
        <v>995</v>
      </c>
      <c r="C46" s="1" t="s">
        <v>74</v>
      </c>
      <c r="D46" s="1" t="s">
        <v>74</v>
      </c>
      <c r="E46" s="1" t="s">
        <v>74</v>
      </c>
      <c r="F46" s="1" t="s">
        <v>996</v>
      </c>
      <c r="G46" s="1" t="s">
        <v>74</v>
      </c>
      <c r="H46" s="1" t="s">
        <v>74</v>
      </c>
      <c r="I46" s="1" t="s">
        <v>997</v>
      </c>
      <c r="J46" s="1" t="s">
        <v>998</v>
      </c>
      <c r="K46" s="1" t="s">
        <v>74</v>
      </c>
      <c r="L46" s="1" t="s">
        <v>74</v>
      </c>
      <c r="M46" s="1" t="s">
        <v>78</v>
      </c>
      <c r="N46" s="1" t="s">
        <v>79</v>
      </c>
      <c r="O46" s="1" t="s">
        <v>74</v>
      </c>
      <c r="P46" s="1" t="s">
        <v>74</v>
      </c>
      <c r="Q46" s="1" t="s">
        <v>74</v>
      </c>
      <c r="R46" s="1" t="s">
        <v>74</v>
      </c>
      <c r="S46" s="1" t="s">
        <v>74</v>
      </c>
      <c r="T46" s="1" t="s">
        <v>999</v>
      </c>
      <c r="U46" s="1" t="s">
        <v>1000</v>
      </c>
      <c r="V46" s="1" t="s">
        <v>1001</v>
      </c>
      <c r="W46" s="1" t="s">
        <v>1002</v>
      </c>
      <c r="X46" s="1" t="s">
        <v>1003</v>
      </c>
      <c r="Y46" s="1" t="s">
        <v>1004</v>
      </c>
      <c r="Z46" s="1" t="s">
        <v>1005</v>
      </c>
      <c r="AA46" s="1" t="s">
        <v>1006</v>
      </c>
      <c r="AB46" s="1" t="s">
        <v>1007</v>
      </c>
      <c r="AC46" s="1" t="s">
        <v>74</v>
      </c>
      <c r="AD46" s="1" t="s">
        <v>74</v>
      </c>
      <c r="AE46" s="1" t="s">
        <v>74</v>
      </c>
      <c r="AF46" s="1" t="s">
        <v>74</v>
      </c>
      <c r="AG46" s="1">
        <v>49</v>
      </c>
      <c r="AH46" s="1">
        <v>13</v>
      </c>
      <c r="AI46" s="1">
        <v>15</v>
      </c>
      <c r="AJ46" s="1">
        <v>1</v>
      </c>
      <c r="AK46" s="1">
        <v>19</v>
      </c>
      <c r="AL46" s="1" t="s">
        <v>112</v>
      </c>
      <c r="AM46" s="1" t="s">
        <v>113</v>
      </c>
      <c r="AN46" s="1" t="s">
        <v>1008</v>
      </c>
      <c r="AO46" s="1" t="s">
        <v>1009</v>
      </c>
      <c r="AP46" s="1" t="s">
        <v>74</v>
      </c>
      <c r="AQ46" s="1" t="s">
        <v>74</v>
      </c>
      <c r="AR46" s="1" t="s">
        <v>1010</v>
      </c>
      <c r="AS46" s="1" t="s">
        <v>1011</v>
      </c>
      <c r="AT46" s="1" t="s">
        <v>951</v>
      </c>
      <c r="AU46" s="1">
        <v>2007</v>
      </c>
      <c r="AV46" s="1">
        <v>53</v>
      </c>
      <c r="AW46" s="1">
        <v>4</v>
      </c>
      <c r="AX46" s="1" t="s">
        <v>74</v>
      </c>
      <c r="AY46" s="1" t="s">
        <v>74</v>
      </c>
      <c r="AZ46" s="1" t="s">
        <v>74</v>
      </c>
      <c r="BA46" s="1" t="s">
        <v>74</v>
      </c>
      <c r="BB46" s="1">
        <v>552</v>
      </c>
      <c r="BC46" s="1">
        <v>558</v>
      </c>
      <c r="BD46" s="1" t="s">
        <v>74</v>
      </c>
      <c r="BE46" s="1" t="s">
        <v>1012</v>
      </c>
      <c r="BF46" s="1" t="str">
        <f>HYPERLINK("http://dx.doi.org/10.1007/s00244-006-0257-2","http://dx.doi.org/10.1007/s00244-006-0257-2")</f>
        <v>http://dx.doi.org/10.1007/s00244-006-0257-2</v>
      </c>
      <c r="BG46" s="1" t="s">
        <v>74</v>
      </c>
      <c r="BH46" s="1" t="s">
        <v>74</v>
      </c>
      <c r="BI46" s="1">
        <v>7</v>
      </c>
      <c r="BJ46" s="1" t="s">
        <v>121</v>
      </c>
      <c r="BK46" s="1" t="s">
        <v>96</v>
      </c>
      <c r="BL46" s="1" t="s">
        <v>122</v>
      </c>
      <c r="BM46" s="1" t="s">
        <v>1013</v>
      </c>
      <c r="BN46" s="1">
        <v>17594047</v>
      </c>
      <c r="BO46" s="1" t="s">
        <v>74</v>
      </c>
      <c r="BP46" s="1" t="s">
        <v>74</v>
      </c>
      <c r="BQ46" s="1" t="s">
        <v>74</v>
      </c>
      <c r="BR46" s="1" t="s">
        <v>98</v>
      </c>
      <c r="BS46" s="1" t="s">
        <v>1014</v>
      </c>
      <c r="BT46" s="1" t="str">
        <f>HYPERLINK("https%3A%2F%2Fwww.webofscience.com%2Fwos%2Fwoscc%2Ffull-record%2FWOS:000250138000006","View Full Record in Web of Science")</f>
        <v>View Full Record in Web of Science</v>
      </c>
    </row>
    <row r="47" spans="1:72">
      <c r="A47" s="1" t="s">
        <v>72</v>
      </c>
      <c r="B47" s="1" t="s">
        <v>1015</v>
      </c>
      <c r="C47" s="1" t="s">
        <v>74</v>
      </c>
      <c r="D47" s="1" t="s">
        <v>74</v>
      </c>
      <c r="E47" s="1" t="s">
        <v>74</v>
      </c>
      <c r="F47" s="1" t="s">
        <v>1016</v>
      </c>
      <c r="G47" s="1" t="s">
        <v>74</v>
      </c>
      <c r="H47" s="1" t="s">
        <v>74</v>
      </c>
      <c r="I47" s="1" t="s">
        <v>1017</v>
      </c>
      <c r="J47" s="1" t="s">
        <v>495</v>
      </c>
      <c r="K47" s="1" t="s">
        <v>74</v>
      </c>
      <c r="L47" s="1" t="s">
        <v>74</v>
      </c>
      <c r="M47" s="1" t="s">
        <v>78</v>
      </c>
      <c r="N47" s="1" t="s">
        <v>79</v>
      </c>
      <c r="O47" s="1" t="s">
        <v>74</v>
      </c>
      <c r="P47" s="1" t="s">
        <v>74</v>
      </c>
      <c r="Q47" s="1" t="s">
        <v>74</v>
      </c>
      <c r="R47" s="1" t="s">
        <v>74</v>
      </c>
      <c r="S47" s="1" t="s">
        <v>74</v>
      </c>
      <c r="T47" s="1" t="s">
        <v>1018</v>
      </c>
      <c r="U47" s="1" t="s">
        <v>1019</v>
      </c>
      <c r="V47" s="1" t="s">
        <v>1020</v>
      </c>
      <c r="W47" s="1" t="s">
        <v>1021</v>
      </c>
      <c r="X47" s="1" t="s">
        <v>1022</v>
      </c>
      <c r="Y47" s="1" t="s">
        <v>1023</v>
      </c>
      <c r="Z47" s="1" t="s">
        <v>1024</v>
      </c>
      <c r="AA47" s="1" t="s">
        <v>1025</v>
      </c>
      <c r="AB47" s="1" t="s">
        <v>1026</v>
      </c>
      <c r="AC47" s="1" t="s">
        <v>1027</v>
      </c>
      <c r="AD47" s="1" t="s">
        <v>1028</v>
      </c>
      <c r="AE47" s="1" t="s">
        <v>1029</v>
      </c>
      <c r="AF47" s="1" t="s">
        <v>74</v>
      </c>
      <c r="AG47" s="1">
        <v>54</v>
      </c>
      <c r="AH47" s="1">
        <v>12</v>
      </c>
      <c r="AI47" s="1">
        <v>13</v>
      </c>
      <c r="AJ47" s="1">
        <v>0</v>
      </c>
      <c r="AK47" s="1">
        <v>18</v>
      </c>
      <c r="AL47" s="1" t="s">
        <v>1030</v>
      </c>
      <c r="AM47" s="1" t="s">
        <v>1031</v>
      </c>
      <c r="AN47" s="1" t="s">
        <v>1032</v>
      </c>
      <c r="AO47" s="1" t="s">
        <v>507</v>
      </c>
      <c r="AP47" s="1" t="s">
        <v>1033</v>
      </c>
      <c r="AQ47" s="1" t="s">
        <v>74</v>
      </c>
      <c r="AR47" s="1" t="s">
        <v>508</v>
      </c>
      <c r="AS47" s="1" t="s">
        <v>509</v>
      </c>
      <c r="AT47" s="1" t="s">
        <v>74</v>
      </c>
      <c r="AU47" s="1">
        <v>2012</v>
      </c>
      <c r="AV47" s="1">
        <v>21</v>
      </c>
      <c r="AW47" s="1" t="s">
        <v>1034</v>
      </c>
      <c r="AX47" s="1" t="s">
        <v>74</v>
      </c>
      <c r="AY47" s="1" t="s">
        <v>74</v>
      </c>
      <c r="AZ47" s="1" t="s">
        <v>74</v>
      </c>
      <c r="BA47" s="1" t="s">
        <v>74</v>
      </c>
      <c r="BB47" s="1">
        <v>2785</v>
      </c>
      <c r="BC47" s="1">
        <v>2794</v>
      </c>
      <c r="BD47" s="1" t="s">
        <v>74</v>
      </c>
      <c r="BE47" s="1" t="s">
        <v>74</v>
      </c>
      <c r="BF47" s="1" t="s">
        <v>74</v>
      </c>
      <c r="BG47" s="1" t="s">
        <v>74</v>
      </c>
      <c r="BH47" s="1" t="s">
        <v>74</v>
      </c>
      <c r="BI47" s="1">
        <v>10</v>
      </c>
      <c r="BJ47" s="1" t="s">
        <v>144</v>
      </c>
      <c r="BK47" s="1" t="s">
        <v>96</v>
      </c>
      <c r="BL47" s="1" t="s">
        <v>145</v>
      </c>
      <c r="BM47" s="1" t="s">
        <v>1035</v>
      </c>
      <c r="BN47" s="1" t="s">
        <v>74</v>
      </c>
      <c r="BO47" s="1" t="s">
        <v>74</v>
      </c>
      <c r="BP47" s="1" t="s">
        <v>74</v>
      </c>
      <c r="BQ47" s="1" t="s">
        <v>74</v>
      </c>
      <c r="BR47" s="1" t="s">
        <v>98</v>
      </c>
      <c r="BS47" s="1" t="s">
        <v>1036</v>
      </c>
      <c r="BT47" s="1" t="str">
        <f>HYPERLINK("https%3A%2F%2Fwww.webofscience.com%2Fwos%2Fwoscc%2Ffull-record%2FWOS:000310112100012","View Full Record in Web of Science")</f>
        <v>View Full Record in Web of Science</v>
      </c>
    </row>
    <row r="48" spans="1:72">
      <c r="A48" s="1" t="s">
        <v>72</v>
      </c>
      <c r="B48" s="1" t="s">
        <v>1037</v>
      </c>
      <c r="C48" s="1" t="s">
        <v>74</v>
      </c>
      <c r="D48" s="1" t="s">
        <v>74</v>
      </c>
      <c r="E48" s="1" t="s">
        <v>74</v>
      </c>
      <c r="F48" s="1" t="s">
        <v>1038</v>
      </c>
      <c r="G48" s="1" t="s">
        <v>74</v>
      </c>
      <c r="H48" s="1" t="s">
        <v>74</v>
      </c>
      <c r="I48" s="1" t="s">
        <v>1039</v>
      </c>
      <c r="J48" s="1" t="s">
        <v>1040</v>
      </c>
      <c r="K48" s="1" t="s">
        <v>74</v>
      </c>
      <c r="L48" s="1" t="s">
        <v>74</v>
      </c>
      <c r="M48" s="1" t="s">
        <v>78</v>
      </c>
      <c r="N48" s="1" t="s">
        <v>79</v>
      </c>
      <c r="O48" s="1" t="s">
        <v>74</v>
      </c>
      <c r="P48" s="1" t="s">
        <v>74</v>
      </c>
      <c r="Q48" s="1" t="s">
        <v>74</v>
      </c>
      <c r="R48" s="1" t="s">
        <v>74</v>
      </c>
      <c r="S48" s="1" t="s">
        <v>74</v>
      </c>
      <c r="T48" s="1" t="s">
        <v>1041</v>
      </c>
      <c r="U48" s="1" t="s">
        <v>1042</v>
      </c>
      <c r="V48" s="1" t="s">
        <v>1043</v>
      </c>
      <c r="W48" s="1" t="s">
        <v>1044</v>
      </c>
      <c r="X48" s="1" t="s">
        <v>1045</v>
      </c>
      <c r="Y48" s="1" t="s">
        <v>1046</v>
      </c>
      <c r="Z48" s="1" t="s">
        <v>1047</v>
      </c>
      <c r="AA48" s="1" t="s">
        <v>1048</v>
      </c>
      <c r="AB48" s="1" t="s">
        <v>74</v>
      </c>
      <c r="AC48" s="1" t="s">
        <v>74</v>
      </c>
      <c r="AD48" s="1" t="s">
        <v>74</v>
      </c>
      <c r="AE48" s="1" t="s">
        <v>74</v>
      </c>
      <c r="AF48" s="1" t="s">
        <v>74</v>
      </c>
      <c r="AG48" s="1">
        <v>38</v>
      </c>
      <c r="AH48" s="1">
        <v>5</v>
      </c>
      <c r="AI48" s="1">
        <v>5</v>
      </c>
      <c r="AJ48" s="1">
        <v>0</v>
      </c>
      <c r="AK48" s="1">
        <v>9</v>
      </c>
      <c r="AL48" s="1" t="s">
        <v>1049</v>
      </c>
      <c r="AM48" s="1" t="s">
        <v>1050</v>
      </c>
      <c r="AN48" s="1" t="s">
        <v>1051</v>
      </c>
      <c r="AO48" s="1" t="s">
        <v>1052</v>
      </c>
      <c r="AP48" s="1" t="s">
        <v>1053</v>
      </c>
      <c r="AQ48" s="1" t="s">
        <v>74</v>
      </c>
      <c r="AR48" s="1" t="s">
        <v>1054</v>
      </c>
      <c r="AS48" s="1" t="s">
        <v>1055</v>
      </c>
      <c r="AT48" s="1" t="s">
        <v>267</v>
      </c>
      <c r="AU48" s="1">
        <v>2007</v>
      </c>
      <c r="AV48" s="1">
        <v>52</v>
      </c>
      <c r="AW48" s="1">
        <v>10</v>
      </c>
      <c r="AX48" s="1" t="s">
        <v>74</v>
      </c>
      <c r="AY48" s="1" t="s">
        <v>74</v>
      </c>
      <c r="AZ48" s="1" t="s">
        <v>74</v>
      </c>
      <c r="BA48" s="1" t="s">
        <v>74</v>
      </c>
      <c r="BB48" s="1">
        <v>457</v>
      </c>
      <c r="BC48" s="1">
        <v>463</v>
      </c>
      <c r="BD48" s="1" t="s">
        <v>74</v>
      </c>
      <c r="BE48" s="1" t="s">
        <v>1056</v>
      </c>
      <c r="BF48" s="1" t="str">
        <f>HYPERLINK("http://dx.doi.org/10.17221/2047-VETMED","http://dx.doi.org/10.17221/2047-VETMED")</f>
        <v>http://dx.doi.org/10.17221/2047-VETMED</v>
      </c>
      <c r="BG48" s="1" t="s">
        <v>74</v>
      </c>
      <c r="BH48" s="1" t="s">
        <v>74</v>
      </c>
      <c r="BI48" s="1">
        <v>7</v>
      </c>
      <c r="BJ48" s="1" t="s">
        <v>1057</v>
      </c>
      <c r="BK48" s="1" t="s">
        <v>96</v>
      </c>
      <c r="BL48" s="1" t="s">
        <v>1057</v>
      </c>
      <c r="BM48" s="1" t="s">
        <v>1058</v>
      </c>
      <c r="BN48" s="1" t="s">
        <v>74</v>
      </c>
      <c r="BO48" s="1" t="s">
        <v>873</v>
      </c>
      <c r="BP48" s="1" t="s">
        <v>74</v>
      </c>
      <c r="BQ48" s="1" t="s">
        <v>74</v>
      </c>
      <c r="BR48" s="1" t="s">
        <v>98</v>
      </c>
      <c r="BS48" s="1" t="s">
        <v>1059</v>
      </c>
      <c r="BT48" s="1" t="str">
        <f>HYPERLINK("https%3A%2F%2Fwww.webofscience.com%2Fwos%2Fwoscc%2Ffull-record%2FWOS:000249922100006","View Full Record in Web of Science")</f>
        <v>View Full Record in Web of Science</v>
      </c>
    </row>
    <row r="49" spans="1:72">
      <c r="A49" s="1" t="s">
        <v>72</v>
      </c>
      <c r="B49" s="1" t="s">
        <v>1060</v>
      </c>
      <c r="C49" s="1" t="s">
        <v>74</v>
      </c>
      <c r="D49" s="1" t="s">
        <v>74</v>
      </c>
      <c r="E49" s="1" t="s">
        <v>74</v>
      </c>
      <c r="F49" s="1" t="s">
        <v>1060</v>
      </c>
      <c r="G49" s="1" t="s">
        <v>74</v>
      </c>
      <c r="H49" s="1" t="s">
        <v>74</v>
      </c>
      <c r="I49" s="1" t="s">
        <v>1061</v>
      </c>
      <c r="J49" s="1" t="s">
        <v>1062</v>
      </c>
      <c r="K49" s="1" t="s">
        <v>74</v>
      </c>
      <c r="L49" s="1" t="s">
        <v>74</v>
      </c>
      <c r="M49" s="1" t="s">
        <v>78</v>
      </c>
      <c r="N49" s="1" t="s">
        <v>79</v>
      </c>
      <c r="O49" s="1" t="s">
        <v>74</v>
      </c>
      <c r="P49" s="1" t="s">
        <v>74</v>
      </c>
      <c r="Q49" s="1" t="s">
        <v>74</v>
      </c>
      <c r="R49" s="1" t="s">
        <v>74</v>
      </c>
      <c r="S49" s="1" t="s">
        <v>74</v>
      </c>
      <c r="T49" s="1" t="s">
        <v>1063</v>
      </c>
      <c r="U49" s="1" t="s">
        <v>1064</v>
      </c>
      <c r="V49" s="1" t="s">
        <v>1065</v>
      </c>
      <c r="W49" s="1" t="s">
        <v>74</v>
      </c>
      <c r="X49" s="1" t="s">
        <v>74</v>
      </c>
      <c r="Y49" s="1" t="s">
        <v>74</v>
      </c>
      <c r="Z49" s="1" t="s">
        <v>1066</v>
      </c>
      <c r="AA49" s="1" t="s">
        <v>74</v>
      </c>
      <c r="AB49" s="1" t="s">
        <v>74</v>
      </c>
      <c r="AC49" s="1" t="s">
        <v>74</v>
      </c>
      <c r="AD49" s="1" t="s">
        <v>74</v>
      </c>
      <c r="AE49" s="1" t="s">
        <v>74</v>
      </c>
      <c r="AF49" s="1" t="s">
        <v>74</v>
      </c>
      <c r="AG49" s="1">
        <v>46</v>
      </c>
      <c r="AH49" s="1">
        <v>109</v>
      </c>
      <c r="AI49" s="1">
        <v>125</v>
      </c>
      <c r="AJ49" s="1">
        <v>1</v>
      </c>
      <c r="AK49" s="1">
        <v>36</v>
      </c>
      <c r="AL49" s="1" t="s">
        <v>919</v>
      </c>
      <c r="AM49" s="1" t="s">
        <v>651</v>
      </c>
      <c r="AN49" s="1" t="s">
        <v>920</v>
      </c>
      <c r="AO49" s="1" t="s">
        <v>1067</v>
      </c>
      <c r="AP49" s="1" t="s">
        <v>74</v>
      </c>
      <c r="AQ49" s="1" t="s">
        <v>74</v>
      </c>
      <c r="AR49" s="1" t="s">
        <v>1068</v>
      </c>
      <c r="AS49" s="1" t="s">
        <v>1069</v>
      </c>
      <c r="AT49" s="1" t="s">
        <v>170</v>
      </c>
      <c r="AU49" s="1">
        <v>2006</v>
      </c>
      <c r="AV49" s="1">
        <v>60</v>
      </c>
      <c r="AW49" s="1" t="s">
        <v>1070</v>
      </c>
      <c r="AX49" s="1" t="s">
        <v>74</v>
      </c>
      <c r="AY49" s="1" t="s">
        <v>74</v>
      </c>
      <c r="AZ49" s="1" t="s">
        <v>74</v>
      </c>
      <c r="BA49" s="1" t="s">
        <v>74</v>
      </c>
      <c r="BB49" s="1">
        <v>220</v>
      </c>
      <c r="BC49" s="1">
        <v>234</v>
      </c>
      <c r="BD49" s="1" t="s">
        <v>74</v>
      </c>
      <c r="BE49" s="1" t="s">
        <v>1071</v>
      </c>
      <c r="BF49" s="1" t="str">
        <f>HYPERLINK("http://dx.doi.org/10.1016/j.jmarsys.2005.09.007","http://dx.doi.org/10.1016/j.jmarsys.2005.09.007")</f>
        <v>http://dx.doi.org/10.1016/j.jmarsys.2005.09.007</v>
      </c>
      <c r="BG49" s="1" t="s">
        <v>74</v>
      </c>
      <c r="BH49" s="1" t="s">
        <v>74</v>
      </c>
      <c r="BI49" s="1">
        <v>15</v>
      </c>
      <c r="BJ49" s="1" t="s">
        <v>1072</v>
      </c>
      <c r="BK49" s="1" t="s">
        <v>96</v>
      </c>
      <c r="BL49" s="1" t="s">
        <v>1073</v>
      </c>
      <c r="BM49" s="1" t="s">
        <v>1074</v>
      </c>
      <c r="BN49" s="1" t="s">
        <v>74</v>
      </c>
      <c r="BO49" s="1" t="s">
        <v>74</v>
      </c>
      <c r="BP49" s="1" t="s">
        <v>74</v>
      </c>
      <c r="BQ49" s="1" t="s">
        <v>74</v>
      </c>
      <c r="BR49" s="1" t="s">
        <v>98</v>
      </c>
      <c r="BS49" s="1" t="s">
        <v>1075</v>
      </c>
      <c r="BT49" s="1" t="str">
        <f>HYPERLINK("https%3A%2F%2Fwww.webofscience.com%2Fwos%2Fwoscc%2Ffull-record%2FWOS:000238331500003","View Full Record in Web of Science")</f>
        <v>View Full Record in Web of Science</v>
      </c>
    </row>
    <row r="50" spans="1:72">
      <c r="A50" s="1" t="s">
        <v>72</v>
      </c>
      <c r="B50" s="1" t="s">
        <v>1076</v>
      </c>
      <c r="C50" s="1" t="s">
        <v>74</v>
      </c>
      <c r="D50" s="1" t="s">
        <v>74</v>
      </c>
      <c r="E50" s="1" t="s">
        <v>74</v>
      </c>
      <c r="F50" s="1" t="s">
        <v>1077</v>
      </c>
      <c r="G50" s="1" t="s">
        <v>74</v>
      </c>
      <c r="H50" s="1" t="s">
        <v>74</v>
      </c>
      <c r="I50" s="1" t="s">
        <v>1078</v>
      </c>
      <c r="J50" s="1" t="s">
        <v>232</v>
      </c>
      <c r="K50" s="1" t="s">
        <v>74</v>
      </c>
      <c r="L50" s="1" t="s">
        <v>74</v>
      </c>
      <c r="M50" s="1" t="s">
        <v>78</v>
      </c>
      <c r="N50" s="1" t="s">
        <v>79</v>
      </c>
      <c r="O50" s="1" t="s">
        <v>74</v>
      </c>
      <c r="P50" s="1" t="s">
        <v>74</v>
      </c>
      <c r="Q50" s="1" t="s">
        <v>74</v>
      </c>
      <c r="R50" s="1" t="s">
        <v>74</v>
      </c>
      <c r="S50" s="1" t="s">
        <v>74</v>
      </c>
      <c r="T50" s="1" t="s">
        <v>1079</v>
      </c>
      <c r="U50" s="1" t="s">
        <v>1080</v>
      </c>
      <c r="V50" s="1" t="s">
        <v>1081</v>
      </c>
      <c r="W50" s="1" t="s">
        <v>1082</v>
      </c>
      <c r="X50" s="1" t="s">
        <v>1083</v>
      </c>
      <c r="Y50" s="1" t="s">
        <v>1084</v>
      </c>
      <c r="Z50" s="1" t="s">
        <v>1085</v>
      </c>
      <c r="AA50" s="1" t="s">
        <v>1086</v>
      </c>
      <c r="AB50" s="1" t="s">
        <v>1087</v>
      </c>
      <c r="AC50" s="1" t="s">
        <v>1088</v>
      </c>
      <c r="AD50" s="1" t="s">
        <v>1089</v>
      </c>
      <c r="AE50" s="1" t="s">
        <v>1090</v>
      </c>
      <c r="AF50" s="1" t="s">
        <v>74</v>
      </c>
      <c r="AG50" s="1">
        <v>45</v>
      </c>
      <c r="AH50" s="1">
        <v>13</v>
      </c>
      <c r="AI50" s="1">
        <v>13</v>
      </c>
      <c r="AJ50" s="1">
        <v>2</v>
      </c>
      <c r="AK50" s="1">
        <v>33</v>
      </c>
      <c r="AL50" s="1" t="s">
        <v>136</v>
      </c>
      <c r="AM50" s="1" t="s">
        <v>137</v>
      </c>
      <c r="AN50" s="1" t="s">
        <v>138</v>
      </c>
      <c r="AO50" s="1" t="s">
        <v>240</v>
      </c>
      <c r="AP50" s="1" t="s">
        <v>241</v>
      </c>
      <c r="AQ50" s="1" t="s">
        <v>74</v>
      </c>
      <c r="AR50" s="1" t="s">
        <v>242</v>
      </c>
      <c r="AS50" s="1" t="s">
        <v>243</v>
      </c>
      <c r="AT50" s="1" t="s">
        <v>1091</v>
      </c>
      <c r="AU50" s="1">
        <v>2016</v>
      </c>
      <c r="AV50" s="1">
        <v>107</v>
      </c>
      <c r="AW50" s="1">
        <v>1</v>
      </c>
      <c r="AX50" s="1" t="s">
        <v>74</v>
      </c>
      <c r="AY50" s="1" t="s">
        <v>74</v>
      </c>
      <c r="AZ50" s="1" t="s">
        <v>74</v>
      </c>
      <c r="BA50" s="1" t="s">
        <v>74</v>
      </c>
      <c r="BB50" s="1">
        <v>292</v>
      </c>
      <c r="BC50" s="1">
        <v>299</v>
      </c>
      <c r="BD50" s="1" t="s">
        <v>74</v>
      </c>
      <c r="BE50" s="1" t="s">
        <v>1092</v>
      </c>
      <c r="BF50" s="1" t="str">
        <f>HYPERLINK("http://dx.doi.org/10.1016/j.marpolbul.2016.03.054","http://dx.doi.org/10.1016/j.marpolbul.2016.03.054")</f>
        <v>http://dx.doi.org/10.1016/j.marpolbul.2016.03.054</v>
      </c>
      <c r="BG50" s="1" t="s">
        <v>74</v>
      </c>
      <c r="BH50" s="1" t="s">
        <v>74</v>
      </c>
      <c r="BI50" s="1">
        <v>8</v>
      </c>
      <c r="BJ50" s="1" t="s">
        <v>247</v>
      </c>
      <c r="BK50" s="1" t="s">
        <v>96</v>
      </c>
      <c r="BL50" s="1" t="s">
        <v>248</v>
      </c>
      <c r="BM50" s="1" t="s">
        <v>1093</v>
      </c>
      <c r="BN50" s="1">
        <v>27058966</v>
      </c>
      <c r="BO50" s="1" t="s">
        <v>74</v>
      </c>
      <c r="BP50" s="1" t="s">
        <v>74</v>
      </c>
      <c r="BQ50" s="1" t="s">
        <v>74</v>
      </c>
      <c r="BR50" s="1" t="s">
        <v>98</v>
      </c>
      <c r="BS50" s="1" t="s">
        <v>1094</v>
      </c>
      <c r="BT50" s="1" t="str">
        <f>HYPERLINK("https%3A%2F%2Fwww.webofscience.com%2Fwos%2Fwoscc%2Ffull-record%2FWOS:000377726700048","View Full Record in Web of Science")</f>
        <v>View Full Record in Web of Science</v>
      </c>
    </row>
    <row r="51" spans="1:72">
      <c r="A51" s="1" t="s">
        <v>72</v>
      </c>
      <c r="B51" s="1" t="s">
        <v>1095</v>
      </c>
      <c r="C51" s="1" t="s">
        <v>74</v>
      </c>
      <c r="D51" s="1" t="s">
        <v>74</v>
      </c>
      <c r="E51" s="1" t="s">
        <v>74</v>
      </c>
      <c r="F51" s="1" t="s">
        <v>1095</v>
      </c>
      <c r="G51" s="1" t="s">
        <v>74</v>
      </c>
      <c r="H51" s="1" t="s">
        <v>74</v>
      </c>
      <c r="I51" s="1" t="s">
        <v>1096</v>
      </c>
      <c r="J51" s="1" t="s">
        <v>1097</v>
      </c>
      <c r="K51" s="1" t="s">
        <v>74</v>
      </c>
      <c r="L51" s="1" t="s">
        <v>74</v>
      </c>
      <c r="M51" s="1" t="s">
        <v>78</v>
      </c>
      <c r="N51" s="1" t="s">
        <v>79</v>
      </c>
      <c r="O51" s="1" t="s">
        <v>74</v>
      </c>
      <c r="P51" s="1" t="s">
        <v>74</v>
      </c>
      <c r="Q51" s="1" t="s">
        <v>74</v>
      </c>
      <c r="R51" s="1" t="s">
        <v>74</v>
      </c>
      <c r="S51" s="1" t="s">
        <v>74</v>
      </c>
      <c r="T51" s="1" t="s">
        <v>74</v>
      </c>
      <c r="U51" s="1" t="s">
        <v>74</v>
      </c>
      <c r="V51" s="1" t="s">
        <v>1098</v>
      </c>
      <c r="W51" s="1" t="s">
        <v>74</v>
      </c>
      <c r="X51" s="1" t="s">
        <v>74</v>
      </c>
      <c r="Y51" s="1" t="s">
        <v>1099</v>
      </c>
      <c r="Z51" s="1" t="s">
        <v>74</v>
      </c>
      <c r="AA51" s="1" t="s">
        <v>74</v>
      </c>
      <c r="AB51" s="1" t="s">
        <v>74</v>
      </c>
      <c r="AC51" s="1" t="s">
        <v>74</v>
      </c>
      <c r="AD51" s="1" t="s">
        <v>74</v>
      </c>
      <c r="AE51" s="1" t="s">
        <v>74</v>
      </c>
      <c r="AF51" s="1" t="s">
        <v>74</v>
      </c>
      <c r="AG51" s="1">
        <v>27</v>
      </c>
      <c r="AH51" s="1">
        <v>70</v>
      </c>
      <c r="AI51" s="1">
        <v>76</v>
      </c>
      <c r="AJ51" s="1">
        <v>0</v>
      </c>
      <c r="AK51" s="1">
        <v>6</v>
      </c>
      <c r="AL51" s="1" t="s">
        <v>217</v>
      </c>
      <c r="AM51" s="1" t="s">
        <v>218</v>
      </c>
      <c r="AN51" s="1" t="s">
        <v>219</v>
      </c>
      <c r="AO51" s="1" t="s">
        <v>1100</v>
      </c>
      <c r="AP51" s="1" t="s">
        <v>1101</v>
      </c>
      <c r="AQ51" s="1" t="s">
        <v>74</v>
      </c>
      <c r="AR51" s="1" t="s">
        <v>1102</v>
      </c>
      <c r="AS51" s="1" t="s">
        <v>1103</v>
      </c>
      <c r="AT51" s="1" t="s">
        <v>74</v>
      </c>
      <c r="AU51" s="1">
        <v>1986</v>
      </c>
      <c r="AV51" s="1">
        <v>92</v>
      </c>
      <c r="AW51" s="1">
        <v>1</v>
      </c>
      <c r="AX51" s="1" t="s">
        <v>74</v>
      </c>
      <c r="AY51" s="1" t="s">
        <v>74</v>
      </c>
      <c r="AZ51" s="1" t="s">
        <v>74</v>
      </c>
      <c r="BA51" s="1" t="s">
        <v>74</v>
      </c>
      <c r="BB51" s="1">
        <v>7</v>
      </c>
      <c r="BC51" s="1">
        <v>13</v>
      </c>
      <c r="BD51" s="1" t="s">
        <v>74</v>
      </c>
      <c r="BE51" s="1" t="s">
        <v>1104</v>
      </c>
      <c r="BF51" s="1" t="str">
        <f>HYPERLINK("http://dx.doi.org/10.1007/BF00392739","http://dx.doi.org/10.1007/BF00392739")</f>
        <v>http://dx.doi.org/10.1007/BF00392739</v>
      </c>
      <c r="BG51" s="1" t="s">
        <v>74</v>
      </c>
      <c r="BH51" s="1" t="s">
        <v>74</v>
      </c>
      <c r="BI51" s="1">
        <v>7</v>
      </c>
      <c r="BJ51" s="1" t="s">
        <v>680</v>
      </c>
      <c r="BK51" s="1" t="s">
        <v>96</v>
      </c>
      <c r="BL51" s="1" t="s">
        <v>680</v>
      </c>
      <c r="BM51" s="1" t="s">
        <v>1105</v>
      </c>
      <c r="BN51" s="1" t="s">
        <v>74</v>
      </c>
      <c r="BO51" s="1" t="s">
        <v>74</v>
      </c>
      <c r="BP51" s="1" t="s">
        <v>74</v>
      </c>
      <c r="BQ51" s="1" t="s">
        <v>74</v>
      </c>
      <c r="BR51" s="1" t="s">
        <v>98</v>
      </c>
      <c r="BS51" s="1" t="s">
        <v>1106</v>
      </c>
      <c r="BT51" s="1" t="str">
        <f>HYPERLINK("https%3A%2F%2Fwww.webofscience.com%2Fwos%2Fwoscc%2Ffull-record%2FWOS:A1986D420500002","View Full Record in Web of Science")</f>
        <v>View Full Record in Web of Science</v>
      </c>
    </row>
    <row r="52" spans="1:72">
      <c r="A52" s="1" t="s">
        <v>72</v>
      </c>
      <c r="B52" s="1" t="s">
        <v>1107</v>
      </c>
      <c r="C52" s="1" t="s">
        <v>74</v>
      </c>
      <c r="D52" s="1" t="s">
        <v>74</v>
      </c>
      <c r="E52" s="1" t="s">
        <v>74</v>
      </c>
      <c r="F52" s="1" t="s">
        <v>1108</v>
      </c>
      <c r="G52" s="1" t="s">
        <v>74</v>
      </c>
      <c r="H52" s="1" t="s">
        <v>74</v>
      </c>
      <c r="I52" s="1" t="s">
        <v>1109</v>
      </c>
      <c r="J52" s="1" t="s">
        <v>459</v>
      </c>
      <c r="K52" s="1" t="s">
        <v>74</v>
      </c>
      <c r="L52" s="1" t="s">
        <v>74</v>
      </c>
      <c r="M52" s="1" t="s">
        <v>78</v>
      </c>
      <c r="N52" s="1" t="s">
        <v>79</v>
      </c>
      <c r="O52" s="1" t="s">
        <v>74</v>
      </c>
      <c r="P52" s="1" t="s">
        <v>74</v>
      </c>
      <c r="Q52" s="1" t="s">
        <v>74</v>
      </c>
      <c r="R52" s="1" t="s">
        <v>74</v>
      </c>
      <c r="S52" s="1" t="s">
        <v>74</v>
      </c>
      <c r="T52" s="1" t="s">
        <v>1110</v>
      </c>
      <c r="U52" s="1" t="s">
        <v>1111</v>
      </c>
      <c r="V52" s="1" t="s">
        <v>1112</v>
      </c>
      <c r="W52" s="1" t="s">
        <v>1113</v>
      </c>
      <c r="X52" s="1" t="s">
        <v>1114</v>
      </c>
      <c r="Y52" s="1" t="s">
        <v>1115</v>
      </c>
      <c r="Z52" s="1" t="s">
        <v>1116</v>
      </c>
      <c r="AA52" s="1" t="s">
        <v>74</v>
      </c>
      <c r="AB52" s="1" t="s">
        <v>1117</v>
      </c>
      <c r="AC52" s="1" t="s">
        <v>1118</v>
      </c>
      <c r="AD52" s="1" t="s">
        <v>1118</v>
      </c>
      <c r="AE52" s="1" t="s">
        <v>1119</v>
      </c>
      <c r="AF52" s="1" t="s">
        <v>74</v>
      </c>
      <c r="AG52" s="1">
        <v>45</v>
      </c>
      <c r="AH52" s="1">
        <v>0</v>
      </c>
      <c r="AI52" s="1">
        <v>0</v>
      </c>
      <c r="AJ52" s="1">
        <v>6</v>
      </c>
      <c r="AK52" s="1">
        <v>25</v>
      </c>
      <c r="AL52" s="1" t="s">
        <v>112</v>
      </c>
      <c r="AM52" s="1" t="s">
        <v>113</v>
      </c>
      <c r="AN52" s="1" t="s">
        <v>114</v>
      </c>
      <c r="AO52" s="1" t="s">
        <v>470</v>
      </c>
      <c r="AP52" s="1" t="s">
        <v>471</v>
      </c>
      <c r="AQ52" s="1" t="s">
        <v>74</v>
      </c>
      <c r="AR52" s="1" t="s">
        <v>472</v>
      </c>
      <c r="AS52" s="1" t="s">
        <v>473</v>
      </c>
      <c r="AT52" s="1" t="s">
        <v>951</v>
      </c>
      <c r="AU52" s="1">
        <v>2023</v>
      </c>
      <c r="AV52" s="1">
        <v>20</v>
      </c>
      <c r="AW52" s="1">
        <v>11</v>
      </c>
      <c r="AX52" s="1" t="s">
        <v>74</v>
      </c>
      <c r="AY52" s="1" t="s">
        <v>74</v>
      </c>
      <c r="AZ52" s="1" t="s">
        <v>74</v>
      </c>
      <c r="BA52" s="1" t="s">
        <v>74</v>
      </c>
      <c r="BB52" s="1">
        <v>12611</v>
      </c>
      <c r="BC52" s="1">
        <v>12624</v>
      </c>
      <c r="BD52" s="1" t="s">
        <v>74</v>
      </c>
      <c r="BE52" s="1" t="s">
        <v>1120</v>
      </c>
      <c r="BF52" s="1" t="str">
        <f>HYPERLINK("http://dx.doi.org/10.1007/s13762-023-05060-y","http://dx.doi.org/10.1007/s13762-023-05060-y")</f>
        <v>http://dx.doi.org/10.1007/s13762-023-05060-y</v>
      </c>
      <c r="BG52" s="1" t="s">
        <v>74</v>
      </c>
      <c r="BH52" s="1" t="s">
        <v>1121</v>
      </c>
      <c r="BI52" s="1">
        <v>14</v>
      </c>
      <c r="BJ52" s="1" t="s">
        <v>144</v>
      </c>
      <c r="BK52" s="1" t="s">
        <v>96</v>
      </c>
      <c r="BL52" s="1" t="s">
        <v>145</v>
      </c>
      <c r="BM52" s="1" t="s">
        <v>1122</v>
      </c>
      <c r="BN52" s="1" t="s">
        <v>74</v>
      </c>
      <c r="BO52" s="1" t="s">
        <v>74</v>
      </c>
      <c r="BP52" s="1" t="s">
        <v>74</v>
      </c>
      <c r="BQ52" s="1" t="s">
        <v>74</v>
      </c>
      <c r="BR52" s="1" t="s">
        <v>98</v>
      </c>
      <c r="BS52" s="1" t="s">
        <v>1123</v>
      </c>
      <c r="BT52" s="1" t="str">
        <f>HYPERLINK("https%3A%2F%2Fwww.webofscience.com%2Fwos%2Fwoscc%2Ffull-record%2FWOS:001028484600003","View Full Record in Web of Science")</f>
        <v>View Full Record in Web of Science</v>
      </c>
    </row>
    <row r="53" spans="1:72">
      <c r="A53" s="1" t="s">
        <v>72</v>
      </c>
      <c r="B53" s="1" t="s">
        <v>1124</v>
      </c>
      <c r="C53" s="1" t="s">
        <v>74</v>
      </c>
      <c r="D53" s="1" t="s">
        <v>74</v>
      </c>
      <c r="E53" s="1" t="s">
        <v>74</v>
      </c>
      <c r="F53" s="1" t="s">
        <v>1125</v>
      </c>
      <c r="G53" s="1" t="s">
        <v>74</v>
      </c>
      <c r="H53" s="1" t="s">
        <v>74</v>
      </c>
      <c r="I53" s="1" t="s">
        <v>1126</v>
      </c>
      <c r="J53" s="1" t="s">
        <v>495</v>
      </c>
      <c r="K53" s="1" t="s">
        <v>74</v>
      </c>
      <c r="L53" s="1" t="s">
        <v>74</v>
      </c>
      <c r="M53" s="1" t="s">
        <v>78</v>
      </c>
      <c r="N53" s="1" t="s">
        <v>79</v>
      </c>
      <c r="O53" s="1" t="s">
        <v>74</v>
      </c>
      <c r="P53" s="1" t="s">
        <v>74</v>
      </c>
      <c r="Q53" s="1" t="s">
        <v>74</v>
      </c>
      <c r="R53" s="1" t="s">
        <v>74</v>
      </c>
      <c r="S53" s="1" t="s">
        <v>74</v>
      </c>
      <c r="T53" s="1" t="s">
        <v>1127</v>
      </c>
      <c r="U53" s="1" t="s">
        <v>1128</v>
      </c>
      <c r="V53" s="1" t="s">
        <v>1129</v>
      </c>
      <c r="W53" s="1" t="s">
        <v>1130</v>
      </c>
      <c r="X53" s="1" t="s">
        <v>1131</v>
      </c>
      <c r="Y53" s="1" t="s">
        <v>1132</v>
      </c>
      <c r="Z53" s="1" t="s">
        <v>1133</v>
      </c>
      <c r="AA53" s="1" t="s">
        <v>1134</v>
      </c>
      <c r="AB53" s="1" t="s">
        <v>1135</v>
      </c>
      <c r="AC53" s="1" t="s">
        <v>74</v>
      </c>
      <c r="AD53" s="1" t="s">
        <v>74</v>
      </c>
      <c r="AE53" s="1" t="s">
        <v>74</v>
      </c>
      <c r="AF53" s="1" t="s">
        <v>74</v>
      </c>
      <c r="AG53" s="1">
        <v>26</v>
      </c>
      <c r="AH53" s="1">
        <v>3</v>
      </c>
      <c r="AI53" s="1">
        <v>4</v>
      </c>
      <c r="AJ53" s="1">
        <v>0</v>
      </c>
      <c r="AK53" s="1">
        <v>5</v>
      </c>
      <c r="AL53" s="1" t="s">
        <v>1030</v>
      </c>
      <c r="AM53" s="1" t="s">
        <v>1031</v>
      </c>
      <c r="AN53" s="1" t="s">
        <v>1032</v>
      </c>
      <c r="AO53" s="1" t="s">
        <v>507</v>
      </c>
      <c r="AP53" s="1" t="s">
        <v>1033</v>
      </c>
      <c r="AQ53" s="1" t="s">
        <v>74</v>
      </c>
      <c r="AR53" s="1" t="s">
        <v>508</v>
      </c>
      <c r="AS53" s="1" t="s">
        <v>509</v>
      </c>
      <c r="AT53" s="1" t="s">
        <v>74</v>
      </c>
      <c r="AU53" s="1">
        <v>2017</v>
      </c>
      <c r="AV53" s="1">
        <v>26</v>
      </c>
      <c r="AW53" s="1">
        <v>12</v>
      </c>
      <c r="AX53" s="1" t="s">
        <v>74</v>
      </c>
      <c r="AY53" s="1" t="s">
        <v>74</v>
      </c>
      <c r="AZ53" s="1" t="s">
        <v>74</v>
      </c>
      <c r="BA53" s="1" t="s">
        <v>74</v>
      </c>
      <c r="BB53" s="1">
        <v>7608</v>
      </c>
      <c r="BC53" s="1">
        <v>7612</v>
      </c>
      <c r="BD53" s="1" t="s">
        <v>74</v>
      </c>
      <c r="BE53" s="1" t="s">
        <v>74</v>
      </c>
      <c r="BF53" s="1" t="s">
        <v>74</v>
      </c>
      <c r="BG53" s="1" t="s">
        <v>74</v>
      </c>
      <c r="BH53" s="1" t="s">
        <v>74</v>
      </c>
      <c r="BI53" s="1">
        <v>5</v>
      </c>
      <c r="BJ53" s="1" t="s">
        <v>144</v>
      </c>
      <c r="BK53" s="1" t="s">
        <v>96</v>
      </c>
      <c r="BL53" s="1" t="s">
        <v>145</v>
      </c>
      <c r="BM53" s="1" t="s">
        <v>1136</v>
      </c>
      <c r="BN53" s="1" t="s">
        <v>74</v>
      </c>
      <c r="BO53" s="1" t="s">
        <v>74</v>
      </c>
      <c r="BP53" s="1" t="s">
        <v>74</v>
      </c>
      <c r="BQ53" s="1" t="s">
        <v>74</v>
      </c>
      <c r="BR53" s="1" t="s">
        <v>98</v>
      </c>
      <c r="BS53" s="1" t="s">
        <v>1137</v>
      </c>
      <c r="BT53" s="1" t="str">
        <f>HYPERLINK("https%3A%2F%2Fwww.webofscience.com%2Fwos%2Fwoscc%2Ffull-record%2FWOS:000419539700078","View Full Record in Web of Science")</f>
        <v>View Full Record in Web of Science</v>
      </c>
    </row>
    <row r="54" spans="1:72">
      <c r="A54" s="1" t="s">
        <v>72</v>
      </c>
      <c r="B54" s="1" t="s">
        <v>1138</v>
      </c>
      <c r="C54" s="1" t="s">
        <v>74</v>
      </c>
      <c r="D54" s="1" t="s">
        <v>74</v>
      </c>
      <c r="E54" s="1" t="s">
        <v>74</v>
      </c>
      <c r="F54" s="1" t="s">
        <v>1139</v>
      </c>
      <c r="G54" s="1" t="s">
        <v>74</v>
      </c>
      <c r="H54" s="1" t="s">
        <v>74</v>
      </c>
      <c r="I54" s="1" t="s">
        <v>1140</v>
      </c>
      <c r="J54" s="1" t="s">
        <v>179</v>
      </c>
      <c r="K54" s="1" t="s">
        <v>74</v>
      </c>
      <c r="L54" s="1" t="s">
        <v>74</v>
      </c>
      <c r="M54" s="1" t="s">
        <v>78</v>
      </c>
      <c r="N54" s="1" t="s">
        <v>79</v>
      </c>
      <c r="O54" s="1" t="s">
        <v>74</v>
      </c>
      <c r="P54" s="1" t="s">
        <v>74</v>
      </c>
      <c r="Q54" s="1" t="s">
        <v>74</v>
      </c>
      <c r="R54" s="1" t="s">
        <v>74</v>
      </c>
      <c r="S54" s="1" t="s">
        <v>74</v>
      </c>
      <c r="T54" s="1" t="s">
        <v>1141</v>
      </c>
      <c r="U54" s="1" t="s">
        <v>1142</v>
      </c>
      <c r="V54" s="1" t="s">
        <v>1143</v>
      </c>
      <c r="W54" s="1" t="s">
        <v>1144</v>
      </c>
      <c r="X54" s="1" t="s">
        <v>1145</v>
      </c>
      <c r="Y54" s="1" t="s">
        <v>1146</v>
      </c>
      <c r="Z54" s="1" t="s">
        <v>1147</v>
      </c>
      <c r="AA54" s="1" t="s">
        <v>74</v>
      </c>
      <c r="AB54" s="1" t="s">
        <v>74</v>
      </c>
      <c r="AC54" s="1" t="s">
        <v>1148</v>
      </c>
      <c r="AD54" s="1" t="s">
        <v>1148</v>
      </c>
      <c r="AE54" s="1" t="s">
        <v>1149</v>
      </c>
      <c r="AF54" s="1" t="s">
        <v>74</v>
      </c>
      <c r="AG54" s="1">
        <v>55</v>
      </c>
      <c r="AH54" s="1">
        <v>8</v>
      </c>
      <c r="AI54" s="1">
        <v>8</v>
      </c>
      <c r="AJ54" s="1">
        <v>0</v>
      </c>
      <c r="AK54" s="1">
        <v>25</v>
      </c>
      <c r="AL54" s="1" t="s">
        <v>112</v>
      </c>
      <c r="AM54" s="1" t="s">
        <v>191</v>
      </c>
      <c r="AN54" s="1" t="s">
        <v>192</v>
      </c>
      <c r="AO54" s="1" t="s">
        <v>193</v>
      </c>
      <c r="AP54" s="1" t="s">
        <v>194</v>
      </c>
      <c r="AQ54" s="1" t="s">
        <v>74</v>
      </c>
      <c r="AR54" s="1" t="s">
        <v>195</v>
      </c>
      <c r="AS54" s="1" t="s">
        <v>196</v>
      </c>
      <c r="AT54" s="1" t="s">
        <v>305</v>
      </c>
      <c r="AU54" s="1">
        <v>2012</v>
      </c>
      <c r="AV54" s="1">
        <v>184</v>
      </c>
      <c r="AW54" s="1">
        <v>9</v>
      </c>
      <c r="AX54" s="1" t="s">
        <v>74</v>
      </c>
      <c r="AY54" s="1" t="s">
        <v>74</v>
      </c>
      <c r="AZ54" s="1" t="s">
        <v>74</v>
      </c>
      <c r="BA54" s="1" t="s">
        <v>74</v>
      </c>
      <c r="BB54" s="1">
        <v>5371</v>
      </c>
      <c r="BC54" s="1">
        <v>5385</v>
      </c>
      <c r="BD54" s="1" t="s">
        <v>74</v>
      </c>
      <c r="BE54" s="1" t="s">
        <v>1150</v>
      </c>
      <c r="BF54" s="1" t="str">
        <f>HYPERLINK("http://dx.doi.org/10.1007/s10661-011-2346-6","http://dx.doi.org/10.1007/s10661-011-2346-6")</f>
        <v>http://dx.doi.org/10.1007/s10661-011-2346-6</v>
      </c>
      <c r="BG54" s="1" t="s">
        <v>74</v>
      </c>
      <c r="BH54" s="1" t="s">
        <v>74</v>
      </c>
      <c r="BI54" s="1">
        <v>15</v>
      </c>
      <c r="BJ54" s="1" t="s">
        <v>144</v>
      </c>
      <c r="BK54" s="1" t="s">
        <v>96</v>
      </c>
      <c r="BL54" s="1" t="s">
        <v>145</v>
      </c>
      <c r="BM54" s="1" t="s">
        <v>1151</v>
      </c>
      <c r="BN54" s="1">
        <v>21922178</v>
      </c>
      <c r="BO54" s="1" t="s">
        <v>74</v>
      </c>
      <c r="BP54" s="1" t="s">
        <v>74</v>
      </c>
      <c r="BQ54" s="1" t="s">
        <v>74</v>
      </c>
      <c r="BR54" s="1" t="s">
        <v>98</v>
      </c>
      <c r="BS54" s="1" t="s">
        <v>1152</v>
      </c>
      <c r="BT54" s="1" t="str">
        <f>HYPERLINK("https%3A%2F%2Fwww.webofscience.com%2Fwos%2Fwoscc%2Ffull-record%2FWOS:000307332300012","View Full Record in Web of Science")</f>
        <v>View Full Record in Web of Science</v>
      </c>
    </row>
    <row r="55" spans="1:72">
      <c r="A55" s="1" t="s">
        <v>72</v>
      </c>
      <c r="B55" s="1" t="s">
        <v>1153</v>
      </c>
      <c r="C55" s="1" t="s">
        <v>74</v>
      </c>
      <c r="D55" s="1" t="s">
        <v>74</v>
      </c>
      <c r="E55" s="1" t="s">
        <v>74</v>
      </c>
      <c r="F55" s="1" t="s">
        <v>1154</v>
      </c>
      <c r="G55" s="1" t="s">
        <v>74</v>
      </c>
      <c r="H55" s="1" t="s">
        <v>74</v>
      </c>
      <c r="I55" s="1" t="s">
        <v>1155</v>
      </c>
      <c r="J55" s="1" t="s">
        <v>704</v>
      </c>
      <c r="K55" s="1" t="s">
        <v>74</v>
      </c>
      <c r="L55" s="1" t="s">
        <v>74</v>
      </c>
      <c r="M55" s="1" t="s">
        <v>78</v>
      </c>
      <c r="N55" s="1" t="s">
        <v>79</v>
      </c>
      <c r="O55" s="1" t="s">
        <v>74</v>
      </c>
      <c r="P55" s="1" t="s">
        <v>74</v>
      </c>
      <c r="Q55" s="1" t="s">
        <v>74</v>
      </c>
      <c r="R55" s="1" t="s">
        <v>74</v>
      </c>
      <c r="S55" s="1" t="s">
        <v>74</v>
      </c>
      <c r="T55" s="1" t="s">
        <v>1156</v>
      </c>
      <c r="U55" s="1" t="s">
        <v>1157</v>
      </c>
      <c r="V55" s="1" t="s">
        <v>1158</v>
      </c>
      <c r="W55" s="1" t="s">
        <v>1159</v>
      </c>
      <c r="X55" s="1" t="s">
        <v>1160</v>
      </c>
      <c r="Y55" s="1" t="s">
        <v>1161</v>
      </c>
      <c r="Z55" s="1" t="s">
        <v>1162</v>
      </c>
      <c r="AA55" s="1" t="s">
        <v>1163</v>
      </c>
      <c r="AB55" s="1" t="s">
        <v>74</v>
      </c>
      <c r="AC55" s="1" t="s">
        <v>1164</v>
      </c>
      <c r="AD55" s="1" t="s">
        <v>1164</v>
      </c>
      <c r="AE55" s="1" t="s">
        <v>1165</v>
      </c>
      <c r="AF55" s="1" t="s">
        <v>74</v>
      </c>
      <c r="AG55" s="1">
        <v>36</v>
      </c>
      <c r="AH55" s="1">
        <v>1</v>
      </c>
      <c r="AI55" s="1">
        <v>1</v>
      </c>
      <c r="AJ55" s="1">
        <v>1</v>
      </c>
      <c r="AK55" s="1">
        <v>12</v>
      </c>
      <c r="AL55" s="1" t="s">
        <v>1166</v>
      </c>
      <c r="AM55" s="1" t="s">
        <v>1167</v>
      </c>
      <c r="AN55" s="1" t="s">
        <v>1168</v>
      </c>
      <c r="AO55" s="1" t="s">
        <v>718</v>
      </c>
      <c r="AP55" s="1" t="s">
        <v>1169</v>
      </c>
      <c r="AQ55" s="1" t="s">
        <v>74</v>
      </c>
      <c r="AR55" s="1" t="s">
        <v>719</v>
      </c>
      <c r="AS55" s="1" t="s">
        <v>720</v>
      </c>
      <c r="AT55" s="1" t="s">
        <v>119</v>
      </c>
      <c r="AU55" s="1">
        <v>2022</v>
      </c>
      <c r="AV55" s="1">
        <v>233</v>
      </c>
      <c r="AW55" s="1">
        <v>8</v>
      </c>
      <c r="AX55" s="1" t="s">
        <v>74</v>
      </c>
      <c r="AY55" s="1" t="s">
        <v>74</v>
      </c>
      <c r="AZ55" s="1" t="s">
        <v>74</v>
      </c>
      <c r="BA55" s="1" t="s">
        <v>74</v>
      </c>
      <c r="BB55" s="1" t="s">
        <v>74</v>
      </c>
      <c r="BC55" s="1" t="s">
        <v>74</v>
      </c>
      <c r="BD55" s="1">
        <v>332</v>
      </c>
      <c r="BE55" s="1" t="s">
        <v>1170</v>
      </c>
      <c r="BF55" s="1" t="str">
        <f>HYPERLINK("http://dx.doi.org/10.1007/s11270-022-05805-4","http://dx.doi.org/10.1007/s11270-022-05805-4")</f>
        <v>http://dx.doi.org/10.1007/s11270-022-05805-4</v>
      </c>
      <c r="BG55" s="1" t="s">
        <v>74</v>
      </c>
      <c r="BH55" s="1" t="s">
        <v>74</v>
      </c>
      <c r="BI55" s="1">
        <v>11</v>
      </c>
      <c r="BJ55" s="1" t="s">
        <v>722</v>
      </c>
      <c r="BK55" s="1" t="s">
        <v>96</v>
      </c>
      <c r="BL55" s="1" t="s">
        <v>723</v>
      </c>
      <c r="BM55" s="1" t="s">
        <v>1171</v>
      </c>
      <c r="BN55" s="1" t="s">
        <v>74</v>
      </c>
      <c r="BO55" s="1" t="s">
        <v>476</v>
      </c>
      <c r="BP55" s="1" t="s">
        <v>74</v>
      </c>
      <c r="BQ55" s="1" t="s">
        <v>74</v>
      </c>
      <c r="BR55" s="1" t="s">
        <v>98</v>
      </c>
      <c r="BS55" s="1" t="s">
        <v>1172</v>
      </c>
      <c r="BT55" s="1" t="str">
        <f>HYPERLINK("https%3A%2F%2Fwww.webofscience.com%2Fwos%2Fwoscc%2Ffull-record%2FWOS:000836614800006","View Full Record in Web of Science")</f>
        <v>View Full Record in Web of Science</v>
      </c>
    </row>
    <row r="56" spans="1:72">
      <c r="A56" s="1" t="s">
        <v>72</v>
      </c>
      <c r="B56" s="1" t="s">
        <v>1173</v>
      </c>
      <c r="C56" s="1" t="s">
        <v>74</v>
      </c>
      <c r="D56" s="1" t="s">
        <v>74</v>
      </c>
      <c r="E56" s="1" t="s">
        <v>74</v>
      </c>
      <c r="F56" s="1" t="s">
        <v>1174</v>
      </c>
      <c r="G56" s="1" t="s">
        <v>74</v>
      </c>
      <c r="H56" s="1" t="s">
        <v>74</v>
      </c>
      <c r="I56" s="1" t="s">
        <v>1175</v>
      </c>
      <c r="J56" s="1" t="s">
        <v>1176</v>
      </c>
      <c r="K56" s="1" t="s">
        <v>74</v>
      </c>
      <c r="L56" s="1" t="s">
        <v>74</v>
      </c>
      <c r="M56" s="1" t="s">
        <v>78</v>
      </c>
      <c r="N56" s="1" t="s">
        <v>79</v>
      </c>
      <c r="O56" s="1" t="s">
        <v>74</v>
      </c>
      <c r="P56" s="1" t="s">
        <v>74</v>
      </c>
      <c r="Q56" s="1" t="s">
        <v>74</v>
      </c>
      <c r="R56" s="1" t="s">
        <v>74</v>
      </c>
      <c r="S56" s="1" t="s">
        <v>74</v>
      </c>
      <c r="T56" s="1" t="s">
        <v>1177</v>
      </c>
      <c r="U56" s="1" t="s">
        <v>74</v>
      </c>
      <c r="V56" s="1" t="s">
        <v>1178</v>
      </c>
      <c r="W56" s="1" t="s">
        <v>1179</v>
      </c>
      <c r="X56" s="1" t="s">
        <v>1180</v>
      </c>
      <c r="Y56" s="1" t="s">
        <v>1181</v>
      </c>
      <c r="Z56" s="1" t="s">
        <v>1182</v>
      </c>
      <c r="AA56" s="1" t="s">
        <v>1183</v>
      </c>
      <c r="AB56" s="1" t="s">
        <v>1184</v>
      </c>
      <c r="AC56" s="1" t="s">
        <v>1185</v>
      </c>
      <c r="AD56" s="1" t="s">
        <v>1186</v>
      </c>
      <c r="AE56" s="1" t="s">
        <v>1187</v>
      </c>
      <c r="AF56" s="1" t="s">
        <v>74</v>
      </c>
      <c r="AG56" s="1">
        <v>33</v>
      </c>
      <c r="AH56" s="1">
        <v>6</v>
      </c>
      <c r="AI56" s="1">
        <v>7</v>
      </c>
      <c r="AJ56" s="1">
        <v>1</v>
      </c>
      <c r="AK56" s="1">
        <v>35</v>
      </c>
      <c r="AL56" s="1" t="s">
        <v>408</v>
      </c>
      <c r="AM56" s="1" t="s">
        <v>409</v>
      </c>
      <c r="AN56" s="1" t="s">
        <v>1188</v>
      </c>
      <c r="AO56" s="1" t="s">
        <v>1189</v>
      </c>
      <c r="AP56" s="1" t="s">
        <v>1190</v>
      </c>
      <c r="AQ56" s="1" t="s">
        <v>74</v>
      </c>
      <c r="AR56" s="1" t="s">
        <v>1191</v>
      </c>
      <c r="AS56" s="1" t="s">
        <v>1192</v>
      </c>
      <c r="AT56" s="1" t="s">
        <v>1193</v>
      </c>
      <c r="AU56" s="1">
        <v>2021</v>
      </c>
      <c r="AV56" s="1">
        <v>54</v>
      </c>
      <c r="AW56" s="1">
        <v>14</v>
      </c>
      <c r="AX56" s="1" t="s">
        <v>74</v>
      </c>
      <c r="AY56" s="1" t="s">
        <v>74</v>
      </c>
      <c r="AZ56" s="1" t="s">
        <v>74</v>
      </c>
      <c r="BA56" s="1" t="s">
        <v>74</v>
      </c>
      <c r="BB56" s="1">
        <v>2293</v>
      </c>
      <c r="BC56" s="1">
        <v>2303</v>
      </c>
      <c r="BD56" s="1" t="s">
        <v>74</v>
      </c>
      <c r="BE56" s="1" t="s">
        <v>1194</v>
      </c>
      <c r="BF56" s="1" t="str">
        <f>HYPERLINK("http://dx.doi.org/10.1080/00032719.2020.1856862","http://dx.doi.org/10.1080/00032719.2020.1856862")</f>
        <v>http://dx.doi.org/10.1080/00032719.2020.1856862</v>
      </c>
      <c r="BG56" s="1" t="s">
        <v>74</v>
      </c>
      <c r="BH56" s="1" t="s">
        <v>1195</v>
      </c>
      <c r="BI56" s="1">
        <v>11</v>
      </c>
      <c r="BJ56" s="1" t="s">
        <v>1196</v>
      </c>
      <c r="BK56" s="1" t="s">
        <v>96</v>
      </c>
      <c r="BL56" s="1" t="s">
        <v>1197</v>
      </c>
      <c r="BM56" s="1" t="s">
        <v>1198</v>
      </c>
      <c r="BN56" s="1" t="s">
        <v>74</v>
      </c>
      <c r="BO56" s="1" t="s">
        <v>74</v>
      </c>
      <c r="BP56" s="1" t="s">
        <v>74</v>
      </c>
      <c r="BQ56" s="1" t="s">
        <v>74</v>
      </c>
      <c r="BR56" s="1" t="s">
        <v>98</v>
      </c>
      <c r="BS56" s="1" t="s">
        <v>1199</v>
      </c>
      <c r="BT56" s="1" t="str">
        <f>HYPERLINK("https%3A%2F%2Fwww.webofscience.com%2Fwos%2Fwoscc%2Ffull-record%2FWOS:000597359400001","View Full Record in Web of Science")</f>
        <v>View Full Record in Web of Science</v>
      </c>
    </row>
    <row r="57" spans="1:72">
      <c r="A57" s="1" t="s">
        <v>72</v>
      </c>
      <c r="B57" s="1" t="s">
        <v>1200</v>
      </c>
      <c r="C57" s="1" t="s">
        <v>74</v>
      </c>
      <c r="D57" s="1" t="s">
        <v>74</v>
      </c>
      <c r="E57" s="1" t="s">
        <v>74</v>
      </c>
      <c r="F57" s="1" t="s">
        <v>1200</v>
      </c>
      <c r="G57" s="1" t="s">
        <v>74</v>
      </c>
      <c r="H57" s="1" t="s">
        <v>74</v>
      </c>
      <c r="I57" s="1" t="s">
        <v>1201</v>
      </c>
      <c r="J57" s="1" t="s">
        <v>1202</v>
      </c>
      <c r="K57" s="1" t="s">
        <v>74</v>
      </c>
      <c r="L57" s="1" t="s">
        <v>74</v>
      </c>
      <c r="M57" s="1" t="s">
        <v>78</v>
      </c>
      <c r="N57" s="1" t="s">
        <v>79</v>
      </c>
      <c r="O57" s="1" t="s">
        <v>74</v>
      </c>
      <c r="P57" s="1" t="s">
        <v>74</v>
      </c>
      <c r="Q57" s="1" t="s">
        <v>74</v>
      </c>
      <c r="R57" s="1" t="s">
        <v>74</v>
      </c>
      <c r="S57" s="1" t="s">
        <v>74</v>
      </c>
      <c r="T57" s="1" t="s">
        <v>1203</v>
      </c>
      <c r="U57" s="1" t="s">
        <v>1204</v>
      </c>
      <c r="V57" s="1" t="s">
        <v>1205</v>
      </c>
      <c r="W57" s="1" t="s">
        <v>74</v>
      </c>
      <c r="X57" s="1" t="s">
        <v>74</v>
      </c>
      <c r="Y57" s="1" t="s">
        <v>1206</v>
      </c>
      <c r="Z57" s="1" t="s">
        <v>74</v>
      </c>
      <c r="AA57" s="1" t="s">
        <v>74</v>
      </c>
      <c r="AB57" s="1" t="s">
        <v>74</v>
      </c>
      <c r="AC57" s="1" t="s">
        <v>74</v>
      </c>
      <c r="AD57" s="1" t="s">
        <v>74</v>
      </c>
      <c r="AE57" s="1" t="s">
        <v>74</v>
      </c>
      <c r="AF57" s="1" t="s">
        <v>74</v>
      </c>
      <c r="AG57" s="1">
        <v>36</v>
      </c>
      <c r="AH57" s="1">
        <v>19</v>
      </c>
      <c r="AI57" s="1">
        <v>20</v>
      </c>
      <c r="AJ57" s="1">
        <v>0</v>
      </c>
      <c r="AK57" s="1">
        <v>4</v>
      </c>
      <c r="AL57" s="1" t="s">
        <v>716</v>
      </c>
      <c r="AM57" s="1" t="s">
        <v>191</v>
      </c>
      <c r="AN57" s="1" t="s">
        <v>717</v>
      </c>
      <c r="AO57" s="1" t="s">
        <v>1207</v>
      </c>
      <c r="AP57" s="1" t="s">
        <v>74</v>
      </c>
      <c r="AQ57" s="1" t="s">
        <v>74</v>
      </c>
      <c r="AR57" s="1" t="s">
        <v>1202</v>
      </c>
      <c r="AS57" s="1" t="s">
        <v>1208</v>
      </c>
      <c r="AT57" s="1" t="s">
        <v>1209</v>
      </c>
      <c r="AU57" s="1">
        <v>1993</v>
      </c>
      <c r="AV57" s="1">
        <v>258</v>
      </c>
      <c r="AW57" s="1" t="s">
        <v>74</v>
      </c>
      <c r="AX57" s="1" t="s">
        <v>74</v>
      </c>
      <c r="AY57" s="1" t="s">
        <v>74</v>
      </c>
      <c r="AZ57" s="1" t="s">
        <v>74</v>
      </c>
      <c r="BA57" s="1" t="s">
        <v>74</v>
      </c>
      <c r="BB57" s="1">
        <v>41</v>
      </c>
      <c r="BC57" s="1">
        <v>58</v>
      </c>
      <c r="BD57" s="1" t="s">
        <v>74</v>
      </c>
      <c r="BE57" s="1" t="s">
        <v>1210</v>
      </c>
      <c r="BF57" s="1" t="str">
        <f>HYPERLINK("http://dx.doi.org/10.1007/BF00006185","http://dx.doi.org/10.1007/BF00006185")</f>
        <v>http://dx.doi.org/10.1007/BF00006185</v>
      </c>
      <c r="BG57" s="1" t="s">
        <v>74</v>
      </c>
      <c r="BH57" s="1" t="s">
        <v>74</v>
      </c>
      <c r="BI57" s="1">
        <v>18</v>
      </c>
      <c r="BJ57" s="1" t="s">
        <v>680</v>
      </c>
      <c r="BK57" s="1" t="s">
        <v>96</v>
      </c>
      <c r="BL57" s="1" t="s">
        <v>680</v>
      </c>
      <c r="BM57" s="1" t="s">
        <v>1211</v>
      </c>
      <c r="BN57" s="1" t="s">
        <v>74</v>
      </c>
      <c r="BO57" s="1" t="s">
        <v>74</v>
      </c>
      <c r="BP57" s="1" t="s">
        <v>74</v>
      </c>
      <c r="BQ57" s="1" t="s">
        <v>74</v>
      </c>
      <c r="BR57" s="1" t="s">
        <v>98</v>
      </c>
      <c r="BS57" s="1" t="s">
        <v>1212</v>
      </c>
      <c r="BT57" s="1" t="str">
        <f>HYPERLINK("https%3A%2F%2Fwww.webofscience.com%2Fwos%2Fwoscc%2Ffull-record%2FWOS:A1993LK06800006","View Full Record in Web of Science")</f>
        <v>View Full Record in Web of Science</v>
      </c>
    </row>
    <row r="58" spans="1:72">
      <c r="A58" s="1" t="s">
        <v>72</v>
      </c>
      <c r="B58" s="1" t="s">
        <v>1213</v>
      </c>
      <c r="C58" s="1" t="s">
        <v>74</v>
      </c>
      <c r="D58" s="1" t="s">
        <v>74</v>
      </c>
      <c r="E58" s="1" t="s">
        <v>74</v>
      </c>
      <c r="F58" s="1" t="s">
        <v>1213</v>
      </c>
      <c r="G58" s="1" t="s">
        <v>74</v>
      </c>
      <c r="H58" s="1" t="s">
        <v>74</v>
      </c>
      <c r="I58" s="1" t="s">
        <v>1214</v>
      </c>
      <c r="J58" s="1" t="s">
        <v>232</v>
      </c>
      <c r="K58" s="1" t="s">
        <v>74</v>
      </c>
      <c r="L58" s="1" t="s">
        <v>74</v>
      </c>
      <c r="M58" s="1" t="s">
        <v>78</v>
      </c>
      <c r="N58" s="1" t="s">
        <v>79</v>
      </c>
      <c r="O58" s="1" t="s">
        <v>74</v>
      </c>
      <c r="P58" s="1" t="s">
        <v>74</v>
      </c>
      <c r="Q58" s="1" t="s">
        <v>74</v>
      </c>
      <c r="R58" s="1" t="s">
        <v>74</v>
      </c>
      <c r="S58" s="1" t="s">
        <v>74</v>
      </c>
      <c r="T58" s="1" t="s">
        <v>1215</v>
      </c>
      <c r="U58" s="1" t="s">
        <v>1216</v>
      </c>
      <c r="V58" s="1" t="s">
        <v>1217</v>
      </c>
      <c r="W58" s="1" t="s">
        <v>1218</v>
      </c>
      <c r="X58" s="1" t="s">
        <v>1219</v>
      </c>
      <c r="Y58" s="1" t="s">
        <v>1220</v>
      </c>
      <c r="Z58" s="1" t="s">
        <v>1221</v>
      </c>
      <c r="AA58" s="1" t="s">
        <v>1222</v>
      </c>
      <c r="AB58" s="1" t="s">
        <v>74</v>
      </c>
      <c r="AC58" s="1" t="s">
        <v>74</v>
      </c>
      <c r="AD58" s="1" t="s">
        <v>74</v>
      </c>
      <c r="AE58" s="1" t="s">
        <v>74</v>
      </c>
      <c r="AF58" s="1" t="s">
        <v>74</v>
      </c>
      <c r="AG58" s="1">
        <v>30</v>
      </c>
      <c r="AH58" s="1">
        <v>15</v>
      </c>
      <c r="AI58" s="1">
        <v>17</v>
      </c>
      <c r="AJ58" s="1">
        <v>0</v>
      </c>
      <c r="AK58" s="1">
        <v>7</v>
      </c>
      <c r="AL58" s="1" t="s">
        <v>136</v>
      </c>
      <c r="AM58" s="1" t="s">
        <v>137</v>
      </c>
      <c r="AN58" s="1" t="s">
        <v>138</v>
      </c>
      <c r="AO58" s="1" t="s">
        <v>240</v>
      </c>
      <c r="AP58" s="1" t="s">
        <v>241</v>
      </c>
      <c r="AQ58" s="1" t="s">
        <v>74</v>
      </c>
      <c r="AR58" s="1" t="s">
        <v>242</v>
      </c>
      <c r="AS58" s="1" t="s">
        <v>243</v>
      </c>
      <c r="AT58" s="1" t="s">
        <v>1223</v>
      </c>
      <c r="AU58" s="1">
        <v>1999</v>
      </c>
      <c r="AV58" s="1">
        <v>38</v>
      </c>
      <c r="AW58" s="1">
        <v>3</v>
      </c>
      <c r="AX58" s="1" t="s">
        <v>74</v>
      </c>
      <c r="AY58" s="1" t="s">
        <v>74</v>
      </c>
      <c r="AZ58" s="1" t="s">
        <v>74</v>
      </c>
      <c r="BA58" s="1" t="s">
        <v>74</v>
      </c>
      <c r="BB58" s="1">
        <v>202</v>
      </c>
      <c r="BC58" s="1">
        <v>206</v>
      </c>
      <c r="BD58" s="1" t="s">
        <v>74</v>
      </c>
      <c r="BE58" s="1" t="s">
        <v>1224</v>
      </c>
      <c r="BF58" s="1" t="str">
        <f>HYPERLINK("http://dx.doi.org/10.1016/S0025-326X(98)00169-6","http://dx.doi.org/10.1016/S0025-326X(98)00169-6")</f>
        <v>http://dx.doi.org/10.1016/S0025-326X(98)00169-6</v>
      </c>
      <c r="BG58" s="1" t="s">
        <v>74</v>
      </c>
      <c r="BH58" s="1" t="s">
        <v>74</v>
      </c>
      <c r="BI58" s="1">
        <v>5</v>
      </c>
      <c r="BJ58" s="1" t="s">
        <v>247</v>
      </c>
      <c r="BK58" s="1" t="s">
        <v>96</v>
      </c>
      <c r="BL58" s="1" t="s">
        <v>248</v>
      </c>
      <c r="BM58" s="1" t="s">
        <v>1225</v>
      </c>
      <c r="BN58" s="1" t="s">
        <v>74</v>
      </c>
      <c r="BO58" s="1" t="s">
        <v>74</v>
      </c>
      <c r="BP58" s="1" t="s">
        <v>74</v>
      </c>
      <c r="BQ58" s="1" t="s">
        <v>74</v>
      </c>
      <c r="BR58" s="1" t="s">
        <v>98</v>
      </c>
      <c r="BS58" s="1" t="s">
        <v>1226</v>
      </c>
      <c r="BT58" s="1" t="str">
        <f>HYPERLINK("https%3A%2F%2Fwww.webofscience.com%2Fwos%2Fwoscc%2Ffull-record%2FWOS:000079884500014","View Full Record in Web of Science")</f>
        <v>View Full Record in Web of Science</v>
      </c>
    </row>
    <row r="59" spans="1:72">
      <c r="A59" s="1" t="s">
        <v>72</v>
      </c>
      <c r="B59" s="1" t="s">
        <v>1227</v>
      </c>
      <c r="C59" s="1" t="s">
        <v>74</v>
      </c>
      <c r="D59" s="1" t="s">
        <v>74</v>
      </c>
      <c r="E59" s="1" t="s">
        <v>74</v>
      </c>
      <c r="F59" s="1" t="s">
        <v>1228</v>
      </c>
      <c r="G59" s="1" t="s">
        <v>74</v>
      </c>
      <c r="H59" s="1" t="s">
        <v>74</v>
      </c>
      <c r="I59" s="1" t="s">
        <v>1229</v>
      </c>
      <c r="J59" s="1" t="s">
        <v>1230</v>
      </c>
      <c r="K59" s="1" t="s">
        <v>74</v>
      </c>
      <c r="L59" s="1" t="s">
        <v>74</v>
      </c>
      <c r="M59" s="1" t="s">
        <v>78</v>
      </c>
      <c r="N59" s="1" t="s">
        <v>79</v>
      </c>
      <c r="O59" s="1" t="s">
        <v>74</v>
      </c>
      <c r="P59" s="1" t="s">
        <v>74</v>
      </c>
      <c r="Q59" s="1" t="s">
        <v>74</v>
      </c>
      <c r="R59" s="1" t="s">
        <v>74</v>
      </c>
      <c r="S59" s="1" t="s">
        <v>74</v>
      </c>
      <c r="T59" s="1" t="s">
        <v>1231</v>
      </c>
      <c r="U59" s="1" t="s">
        <v>1232</v>
      </c>
      <c r="V59" s="1" t="s">
        <v>1233</v>
      </c>
      <c r="W59" s="1" t="s">
        <v>1234</v>
      </c>
      <c r="X59" s="1" t="s">
        <v>1235</v>
      </c>
      <c r="Y59" s="1" t="s">
        <v>1236</v>
      </c>
      <c r="Z59" s="1" t="s">
        <v>1237</v>
      </c>
      <c r="AA59" s="1" t="s">
        <v>74</v>
      </c>
      <c r="AB59" s="1" t="s">
        <v>74</v>
      </c>
      <c r="AC59" s="1" t="s">
        <v>1238</v>
      </c>
      <c r="AD59" s="1" t="s">
        <v>1239</v>
      </c>
      <c r="AE59" s="1" t="s">
        <v>1240</v>
      </c>
      <c r="AF59" s="1" t="s">
        <v>74</v>
      </c>
      <c r="AG59" s="1">
        <v>33</v>
      </c>
      <c r="AH59" s="1">
        <v>1</v>
      </c>
      <c r="AI59" s="1">
        <v>1</v>
      </c>
      <c r="AJ59" s="1">
        <v>0</v>
      </c>
      <c r="AK59" s="1">
        <v>23</v>
      </c>
      <c r="AL59" s="1" t="s">
        <v>1241</v>
      </c>
      <c r="AM59" s="1" t="s">
        <v>1242</v>
      </c>
      <c r="AN59" s="1" t="s">
        <v>1243</v>
      </c>
      <c r="AO59" s="1" t="s">
        <v>1244</v>
      </c>
      <c r="AP59" s="1" t="s">
        <v>1245</v>
      </c>
      <c r="AQ59" s="1" t="s">
        <v>74</v>
      </c>
      <c r="AR59" s="1" t="s">
        <v>1246</v>
      </c>
      <c r="AS59" s="1" t="s">
        <v>1247</v>
      </c>
      <c r="AT59" s="1" t="s">
        <v>74</v>
      </c>
      <c r="AU59" s="1">
        <v>2020</v>
      </c>
      <c r="AV59" s="1">
        <v>18</v>
      </c>
      <c r="AW59" s="1">
        <v>1</v>
      </c>
      <c r="AX59" s="1" t="s">
        <v>74</v>
      </c>
      <c r="AY59" s="1" t="s">
        <v>74</v>
      </c>
      <c r="AZ59" s="1" t="s">
        <v>74</v>
      </c>
      <c r="BA59" s="1" t="s">
        <v>74</v>
      </c>
      <c r="BB59" s="1">
        <v>77</v>
      </c>
      <c r="BC59" s="1">
        <v>88</v>
      </c>
      <c r="BD59" s="1" t="s">
        <v>74</v>
      </c>
      <c r="BE59" s="1" t="s">
        <v>1248</v>
      </c>
      <c r="BF59" s="1" t="str">
        <f>HYPERLINK("http://dx.doi.org/10.15666/aeer/1801_077088","http://dx.doi.org/10.15666/aeer/1801_077088")</f>
        <v>http://dx.doi.org/10.15666/aeer/1801_077088</v>
      </c>
      <c r="BG59" s="1" t="s">
        <v>74</v>
      </c>
      <c r="BH59" s="1" t="s">
        <v>74</v>
      </c>
      <c r="BI59" s="1">
        <v>12</v>
      </c>
      <c r="BJ59" s="1" t="s">
        <v>1249</v>
      </c>
      <c r="BK59" s="1" t="s">
        <v>96</v>
      </c>
      <c r="BL59" s="1" t="s">
        <v>145</v>
      </c>
      <c r="BM59" s="1" t="s">
        <v>1250</v>
      </c>
      <c r="BN59" s="1" t="s">
        <v>74</v>
      </c>
      <c r="BO59" s="1" t="s">
        <v>873</v>
      </c>
      <c r="BP59" s="1" t="s">
        <v>74</v>
      </c>
      <c r="BQ59" s="1" t="s">
        <v>74</v>
      </c>
      <c r="BR59" s="1" t="s">
        <v>98</v>
      </c>
      <c r="BS59" s="1" t="s">
        <v>1251</v>
      </c>
      <c r="BT59" s="1" t="str">
        <f>HYPERLINK("https%3A%2F%2Fwww.webofscience.com%2Fwos%2Fwoscc%2Ffull-record%2FWOS:000518377600005","View Full Record in Web of Science")</f>
        <v>View Full Record in Web of Science</v>
      </c>
    </row>
    <row r="60" spans="1:72">
      <c r="A60" s="1" t="s">
        <v>72</v>
      </c>
      <c r="B60" s="1" t="s">
        <v>1252</v>
      </c>
      <c r="C60" s="1" t="s">
        <v>74</v>
      </c>
      <c r="D60" s="1" t="s">
        <v>74</v>
      </c>
      <c r="E60" s="1" t="s">
        <v>74</v>
      </c>
      <c r="F60" s="1" t="s">
        <v>1252</v>
      </c>
      <c r="G60" s="1" t="s">
        <v>74</v>
      </c>
      <c r="H60" s="1" t="s">
        <v>74</v>
      </c>
      <c r="I60" s="1" t="s">
        <v>1253</v>
      </c>
      <c r="J60" s="1" t="s">
        <v>1254</v>
      </c>
      <c r="K60" s="1" t="s">
        <v>74</v>
      </c>
      <c r="L60" s="1" t="s">
        <v>74</v>
      </c>
      <c r="M60" s="1" t="s">
        <v>78</v>
      </c>
      <c r="N60" s="1" t="s">
        <v>79</v>
      </c>
      <c r="O60" s="1" t="s">
        <v>74</v>
      </c>
      <c r="P60" s="1" t="s">
        <v>74</v>
      </c>
      <c r="Q60" s="1" t="s">
        <v>74</v>
      </c>
      <c r="R60" s="1" t="s">
        <v>74</v>
      </c>
      <c r="S60" s="1" t="s">
        <v>74</v>
      </c>
      <c r="T60" s="1" t="s">
        <v>1255</v>
      </c>
      <c r="U60" s="1" t="s">
        <v>1256</v>
      </c>
      <c r="V60" s="1" t="s">
        <v>1257</v>
      </c>
      <c r="W60" s="1" t="s">
        <v>1258</v>
      </c>
      <c r="X60" s="1" t="s">
        <v>1259</v>
      </c>
      <c r="Y60" s="1" t="s">
        <v>1260</v>
      </c>
      <c r="Z60" s="1" t="s">
        <v>1261</v>
      </c>
      <c r="AA60" s="1" t="s">
        <v>1262</v>
      </c>
      <c r="AB60" s="1" t="s">
        <v>1263</v>
      </c>
      <c r="AC60" s="1" t="s">
        <v>74</v>
      </c>
      <c r="AD60" s="1" t="s">
        <v>74</v>
      </c>
      <c r="AE60" s="1" t="s">
        <v>74</v>
      </c>
      <c r="AF60" s="1" t="s">
        <v>74</v>
      </c>
      <c r="AG60" s="1">
        <v>41</v>
      </c>
      <c r="AH60" s="1">
        <v>31</v>
      </c>
      <c r="AI60" s="1">
        <v>37</v>
      </c>
      <c r="AJ60" s="1">
        <v>0</v>
      </c>
      <c r="AK60" s="1">
        <v>15</v>
      </c>
      <c r="AL60" s="1" t="s">
        <v>136</v>
      </c>
      <c r="AM60" s="1" t="s">
        <v>137</v>
      </c>
      <c r="AN60" s="1" t="s">
        <v>138</v>
      </c>
      <c r="AO60" s="1" t="s">
        <v>1264</v>
      </c>
      <c r="AP60" s="1" t="s">
        <v>1265</v>
      </c>
      <c r="AQ60" s="1" t="s">
        <v>74</v>
      </c>
      <c r="AR60" s="1" t="s">
        <v>1266</v>
      </c>
      <c r="AS60" s="1" t="s">
        <v>1267</v>
      </c>
      <c r="AT60" s="1" t="s">
        <v>1223</v>
      </c>
      <c r="AU60" s="1">
        <v>2004</v>
      </c>
      <c r="AV60" s="1">
        <v>30</v>
      </c>
      <c r="AW60" s="1">
        <v>1</v>
      </c>
      <c r="AX60" s="1" t="s">
        <v>74</v>
      </c>
      <c r="AY60" s="1" t="s">
        <v>74</v>
      </c>
      <c r="AZ60" s="1" t="s">
        <v>74</v>
      </c>
      <c r="BA60" s="1" t="s">
        <v>74</v>
      </c>
      <c r="BB60" s="1">
        <v>39</v>
      </c>
      <c r="BC60" s="1">
        <v>46</v>
      </c>
      <c r="BD60" s="1" t="s">
        <v>74</v>
      </c>
      <c r="BE60" s="1" t="s">
        <v>1268</v>
      </c>
      <c r="BF60" s="1" t="str">
        <f>HYPERLINK("http://dx.doi.org/10.1016/S0160-4120(03)00144-2","http://dx.doi.org/10.1016/S0160-4120(03)00144-2")</f>
        <v>http://dx.doi.org/10.1016/S0160-4120(03)00144-2</v>
      </c>
      <c r="BG60" s="1" t="s">
        <v>74</v>
      </c>
      <c r="BH60" s="1" t="s">
        <v>74</v>
      </c>
      <c r="BI60" s="1">
        <v>8</v>
      </c>
      <c r="BJ60" s="1" t="s">
        <v>144</v>
      </c>
      <c r="BK60" s="1" t="s">
        <v>96</v>
      </c>
      <c r="BL60" s="1" t="s">
        <v>145</v>
      </c>
      <c r="BM60" s="1" t="s">
        <v>1269</v>
      </c>
      <c r="BN60" s="1">
        <v>14664863</v>
      </c>
      <c r="BO60" s="1" t="s">
        <v>1270</v>
      </c>
      <c r="BP60" s="1" t="s">
        <v>74</v>
      </c>
      <c r="BQ60" s="1" t="s">
        <v>74</v>
      </c>
      <c r="BR60" s="1" t="s">
        <v>98</v>
      </c>
      <c r="BS60" s="1" t="s">
        <v>1271</v>
      </c>
      <c r="BT60" s="1" t="str">
        <f>HYPERLINK("https%3A%2F%2Fwww.webofscience.com%2Fwos%2Fwoscc%2Ffull-record%2FWOS:000187974100006","View Full Record in Web of Science")</f>
        <v>View Full Record in Web of Science</v>
      </c>
    </row>
    <row r="61" spans="1:72">
      <c r="A61" s="1" t="s">
        <v>72</v>
      </c>
      <c r="B61" s="1" t="s">
        <v>1272</v>
      </c>
      <c r="C61" s="1" t="s">
        <v>74</v>
      </c>
      <c r="D61" s="1" t="s">
        <v>74</v>
      </c>
      <c r="E61" s="1" t="s">
        <v>74</v>
      </c>
      <c r="F61" s="1" t="s">
        <v>1273</v>
      </c>
      <c r="G61" s="1" t="s">
        <v>74</v>
      </c>
      <c r="H61" s="1" t="s">
        <v>74</v>
      </c>
      <c r="I61" s="1" t="s">
        <v>1274</v>
      </c>
      <c r="J61" s="1" t="s">
        <v>1275</v>
      </c>
      <c r="K61" s="1" t="s">
        <v>74</v>
      </c>
      <c r="L61" s="1" t="s">
        <v>74</v>
      </c>
      <c r="M61" s="1" t="s">
        <v>78</v>
      </c>
      <c r="N61" s="1" t="s">
        <v>79</v>
      </c>
      <c r="O61" s="1" t="s">
        <v>74</v>
      </c>
      <c r="P61" s="1" t="s">
        <v>74</v>
      </c>
      <c r="Q61" s="1" t="s">
        <v>74</v>
      </c>
      <c r="R61" s="1" t="s">
        <v>74</v>
      </c>
      <c r="S61" s="1" t="s">
        <v>74</v>
      </c>
      <c r="T61" s="1" t="s">
        <v>1276</v>
      </c>
      <c r="U61" s="1" t="s">
        <v>1277</v>
      </c>
      <c r="V61" s="1" t="s">
        <v>1278</v>
      </c>
      <c r="W61" s="1" t="s">
        <v>1279</v>
      </c>
      <c r="X61" s="1" t="s">
        <v>1280</v>
      </c>
      <c r="Y61" s="1" t="s">
        <v>1281</v>
      </c>
      <c r="Z61" s="1" t="s">
        <v>1282</v>
      </c>
      <c r="AA61" s="1" t="s">
        <v>1283</v>
      </c>
      <c r="AB61" s="1" t="s">
        <v>1284</v>
      </c>
      <c r="AC61" s="1" t="s">
        <v>1285</v>
      </c>
      <c r="AD61" s="1" t="s">
        <v>1285</v>
      </c>
      <c r="AE61" s="1" t="s">
        <v>1286</v>
      </c>
      <c r="AF61" s="1" t="s">
        <v>74</v>
      </c>
      <c r="AG61" s="1">
        <v>76</v>
      </c>
      <c r="AH61" s="1">
        <v>7</v>
      </c>
      <c r="AI61" s="1">
        <v>8</v>
      </c>
      <c r="AJ61" s="1">
        <v>2</v>
      </c>
      <c r="AK61" s="1">
        <v>13</v>
      </c>
      <c r="AL61" s="1" t="s">
        <v>650</v>
      </c>
      <c r="AM61" s="1" t="s">
        <v>651</v>
      </c>
      <c r="AN61" s="1" t="s">
        <v>652</v>
      </c>
      <c r="AO61" s="1" t="s">
        <v>1287</v>
      </c>
      <c r="AP61" s="1" t="s">
        <v>74</v>
      </c>
      <c r="AQ61" s="1" t="s">
        <v>74</v>
      </c>
      <c r="AR61" s="1" t="s">
        <v>1288</v>
      </c>
      <c r="AS61" s="1" t="s">
        <v>1289</v>
      </c>
      <c r="AT61" s="1" t="s">
        <v>170</v>
      </c>
      <c r="AU61" s="1">
        <v>2022</v>
      </c>
      <c r="AV61" s="1">
        <v>52</v>
      </c>
      <c r="AW61" s="1" t="s">
        <v>74</v>
      </c>
      <c r="AX61" s="1" t="s">
        <v>74</v>
      </c>
      <c r="AY61" s="1" t="s">
        <v>74</v>
      </c>
      <c r="AZ61" s="1" t="s">
        <v>74</v>
      </c>
      <c r="BA61" s="1" t="s">
        <v>74</v>
      </c>
      <c r="BB61" s="1" t="s">
        <v>74</v>
      </c>
      <c r="BC61" s="1" t="s">
        <v>74</v>
      </c>
      <c r="BD61" s="1">
        <v>102334</v>
      </c>
      <c r="BE61" s="1" t="s">
        <v>1290</v>
      </c>
      <c r="BF61" s="1" t="str">
        <f>HYPERLINK("http://dx.doi.org/10.1016/j.rsma.2022.102334","http://dx.doi.org/10.1016/j.rsma.2022.102334")</f>
        <v>http://dx.doi.org/10.1016/j.rsma.2022.102334</v>
      </c>
      <c r="BG61" s="1" t="s">
        <v>74</v>
      </c>
      <c r="BH61" s="1" t="s">
        <v>1291</v>
      </c>
      <c r="BI61" s="1">
        <v>16</v>
      </c>
      <c r="BJ61" s="1" t="s">
        <v>1292</v>
      </c>
      <c r="BK61" s="1" t="s">
        <v>96</v>
      </c>
      <c r="BL61" s="1" t="s">
        <v>248</v>
      </c>
      <c r="BM61" s="1" t="s">
        <v>1293</v>
      </c>
      <c r="BN61" s="1" t="s">
        <v>74</v>
      </c>
      <c r="BO61" s="1" t="s">
        <v>74</v>
      </c>
      <c r="BP61" s="1" t="s">
        <v>74</v>
      </c>
      <c r="BQ61" s="1" t="s">
        <v>74</v>
      </c>
      <c r="BR61" s="1" t="s">
        <v>98</v>
      </c>
      <c r="BS61" s="1" t="s">
        <v>1294</v>
      </c>
      <c r="BT61" s="1" t="str">
        <f>HYPERLINK("https%3A%2F%2Fwww.webofscience.com%2Fwos%2Fwoscc%2Ffull-record%2FWOS:000793641200011","View Full Record in Web of Science")</f>
        <v>View Full Record in Web of Science</v>
      </c>
    </row>
    <row r="62" spans="1:72">
      <c r="A62" s="1" t="s">
        <v>72</v>
      </c>
      <c r="B62" s="1" t="s">
        <v>1295</v>
      </c>
      <c r="C62" s="1" t="s">
        <v>74</v>
      </c>
      <c r="D62" s="1" t="s">
        <v>74</v>
      </c>
      <c r="E62" s="1" t="s">
        <v>74</v>
      </c>
      <c r="F62" s="1" t="s">
        <v>1296</v>
      </c>
      <c r="G62" s="1" t="s">
        <v>74</v>
      </c>
      <c r="H62" s="1" t="s">
        <v>74</v>
      </c>
      <c r="I62" s="1" t="s">
        <v>1297</v>
      </c>
      <c r="J62" s="1" t="s">
        <v>1298</v>
      </c>
      <c r="K62" s="1" t="s">
        <v>74</v>
      </c>
      <c r="L62" s="1" t="s">
        <v>74</v>
      </c>
      <c r="M62" s="1" t="s">
        <v>78</v>
      </c>
      <c r="N62" s="1" t="s">
        <v>79</v>
      </c>
      <c r="O62" s="1" t="s">
        <v>74</v>
      </c>
      <c r="P62" s="1" t="s">
        <v>74</v>
      </c>
      <c r="Q62" s="1" t="s">
        <v>74</v>
      </c>
      <c r="R62" s="1" t="s">
        <v>74</v>
      </c>
      <c r="S62" s="1" t="s">
        <v>74</v>
      </c>
      <c r="T62" s="1" t="s">
        <v>1299</v>
      </c>
      <c r="U62" s="1" t="s">
        <v>1300</v>
      </c>
      <c r="V62" s="1" t="s">
        <v>1301</v>
      </c>
      <c r="W62" s="1" t="s">
        <v>1302</v>
      </c>
      <c r="X62" s="1" t="s">
        <v>1303</v>
      </c>
      <c r="Y62" s="1" t="s">
        <v>1304</v>
      </c>
      <c r="Z62" s="1" t="s">
        <v>1305</v>
      </c>
      <c r="AA62" s="1" t="s">
        <v>1306</v>
      </c>
      <c r="AB62" s="1" t="s">
        <v>1307</v>
      </c>
      <c r="AC62" s="1" t="s">
        <v>1308</v>
      </c>
      <c r="AD62" s="1" t="s">
        <v>1309</v>
      </c>
      <c r="AE62" s="1" t="s">
        <v>1310</v>
      </c>
      <c r="AF62" s="1" t="s">
        <v>74</v>
      </c>
      <c r="AG62" s="1">
        <v>38</v>
      </c>
      <c r="AH62" s="1">
        <v>8</v>
      </c>
      <c r="AI62" s="1">
        <v>9</v>
      </c>
      <c r="AJ62" s="1">
        <v>1</v>
      </c>
      <c r="AK62" s="1">
        <v>18</v>
      </c>
      <c r="AL62" s="1" t="s">
        <v>1311</v>
      </c>
      <c r="AM62" s="1" t="s">
        <v>1312</v>
      </c>
      <c r="AN62" s="1" t="s">
        <v>1313</v>
      </c>
      <c r="AO62" s="1" t="s">
        <v>1314</v>
      </c>
      <c r="AP62" s="1" t="s">
        <v>1315</v>
      </c>
      <c r="AQ62" s="1" t="s">
        <v>74</v>
      </c>
      <c r="AR62" s="1" t="s">
        <v>1316</v>
      </c>
      <c r="AS62" s="1" t="s">
        <v>1317</v>
      </c>
      <c r="AT62" s="1" t="s">
        <v>93</v>
      </c>
      <c r="AU62" s="1">
        <v>2018</v>
      </c>
      <c r="AV62" s="1">
        <v>28</v>
      </c>
      <c r="AW62" s="1">
        <v>3</v>
      </c>
      <c r="AX62" s="1" t="s">
        <v>74</v>
      </c>
      <c r="AY62" s="1" t="s">
        <v>74</v>
      </c>
      <c r="AZ62" s="1" t="s">
        <v>74</v>
      </c>
      <c r="BA62" s="1" t="s">
        <v>74</v>
      </c>
      <c r="BB62" s="1">
        <v>732</v>
      </c>
      <c r="BC62" s="1">
        <v>743</v>
      </c>
      <c r="BD62" s="1" t="s">
        <v>74</v>
      </c>
      <c r="BE62" s="1" t="s">
        <v>74</v>
      </c>
      <c r="BF62" s="1" t="s">
        <v>74</v>
      </c>
      <c r="BG62" s="1" t="s">
        <v>74</v>
      </c>
      <c r="BH62" s="1" t="s">
        <v>74</v>
      </c>
      <c r="BI62" s="1">
        <v>12</v>
      </c>
      <c r="BJ62" s="1" t="s">
        <v>1318</v>
      </c>
      <c r="BK62" s="1" t="s">
        <v>96</v>
      </c>
      <c r="BL62" s="1" t="s">
        <v>1319</v>
      </c>
      <c r="BM62" s="1" t="s">
        <v>1320</v>
      </c>
      <c r="BN62" s="1" t="s">
        <v>74</v>
      </c>
      <c r="BO62" s="1" t="s">
        <v>74</v>
      </c>
      <c r="BP62" s="1" t="s">
        <v>74</v>
      </c>
      <c r="BQ62" s="1" t="s">
        <v>74</v>
      </c>
      <c r="BR62" s="1" t="s">
        <v>98</v>
      </c>
      <c r="BS62" s="1" t="s">
        <v>1321</v>
      </c>
      <c r="BT62" s="1" t="str">
        <f>HYPERLINK("https%3A%2F%2Fwww.webofscience.com%2Fwos%2Fwoscc%2Ffull-record%2FWOS:000433050100009","View Full Record in Web of Science")</f>
        <v>View Full Record in Web of Science</v>
      </c>
    </row>
    <row r="63" spans="1:72">
      <c r="A63" s="1" t="s">
        <v>72</v>
      </c>
      <c r="B63" s="1" t="s">
        <v>1322</v>
      </c>
      <c r="C63" s="1" t="s">
        <v>74</v>
      </c>
      <c r="D63" s="1" t="s">
        <v>74</v>
      </c>
      <c r="E63" s="1" t="s">
        <v>74</v>
      </c>
      <c r="F63" s="1" t="s">
        <v>1323</v>
      </c>
      <c r="G63" s="1" t="s">
        <v>74</v>
      </c>
      <c r="H63" s="1" t="s">
        <v>74</v>
      </c>
      <c r="I63" s="1" t="s">
        <v>1324</v>
      </c>
      <c r="J63" s="1" t="s">
        <v>894</v>
      </c>
      <c r="K63" s="1" t="s">
        <v>74</v>
      </c>
      <c r="L63" s="1" t="s">
        <v>74</v>
      </c>
      <c r="M63" s="1" t="s">
        <v>78</v>
      </c>
      <c r="N63" s="1" t="s">
        <v>79</v>
      </c>
      <c r="O63" s="1" t="s">
        <v>74</v>
      </c>
      <c r="P63" s="1" t="s">
        <v>74</v>
      </c>
      <c r="Q63" s="1" t="s">
        <v>74</v>
      </c>
      <c r="R63" s="1" t="s">
        <v>74</v>
      </c>
      <c r="S63" s="1" t="s">
        <v>74</v>
      </c>
      <c r="T63" s="1" t="s">
        <v>1325</v>
      </c>
      <c r="U63" s="1" t="s">
        <v>1326</v>
      </c>
      <c r="V63" s="1" t="s">
        <v>1327</v>
      </c>
      <c r="W63" s="1" t="s">
        <v>1328</v>
      </c>
      <c r="X63" s="1" t="s">
        <v>1329</v>
      </c>
      <c r="Y63" s="1" t="s">
        <v>1330</v>
      </c>
      <c r="Z63" s="1" t="s">
        <v>1331</v>
      </c>
      <c r="AA63" s="1" t="s">
        <v>74</v>
      </c>
      <c r="AB63" s="1" t="s">
        <v>74</v>
      </c>
      <c r="AC63" s="1" t="s">
        <v>74</v>
      </c>
      <c r="AD63" s="1" t="s">
        <v>74</v>
      </c>
      <c r="AE63" s="1" t="s">
        <v>74</v>
      </c>
      <c r="AF63" s="1" t="s">
        <v>74</v>
      </c>
      <c r="AG63" s="1">
        <v>33</v>
      </c>
      <c r="AH63" s="1">
        <v>8</v>
      </c>
      <c r="AI63" s="1">
        <v>8</v>
      </c>
      <c r="AJ63" s="1">
        <v>0</v>
      </c>
      <c r="AK63" s="1">
        <v>13</v>
      </c>
      <c r="AL63" s="1" t="s">
        <v>898</v>
      </c>
      <c r="AM63" s="1" t="s">
        <v>899</v>
      </c>
      <c r="AN63" s="1" t="s">
        <v>900</v>
      </c>
      <c r="AO63" s="1" t="s">
        <v>901</v>
      </c>
      <c r="AP63" s="1" t="s">
        <v>74</v>
      </c>
      <c r="AQ63" s="1" t="s">
        <v>74</v>
      </c>
      <c r="AR63" s="1" t="s">
        <v>902</v>
      </c>
      <c r="AS63" s="1" t="s">
        <v>903</v>
      </c>
      <c r="AT63" s="1" t="s">
        <v>765</v>
      </c>
      <c r="AU63" s="1">
        <v>2016</v>
      </c>
      <c r="AV63" s="1">
        <v>37</v>
      </c>
      <c r="AW63" s="1">
        <v>4</v>
      </c>
      <c r="AX63" s="1" t="s">
        <v>74</v>
      </c>
      <c r="AY63" s="1" t="s">
        <v>74</v>
      </c>
      <c r="AZ63" s="1" t="s">
        <v>74</v>
      </c>
      <c r="BA63" s="1" t="s">
        <v>74</v>
      </c>
      <c r="BB63" s="1">
        <v>585</v>
      </c>
      <c r="BC63" s="1">
        <v>589</v>
      </c>
      <c r="BD63" s="1" t="s">
        <v>74</v>
      </c>
      <c r="BE63" s="1" t="s">
        <v>74</v>
      </c>
      <c r="BF63" s="1" t="s">
        <v>74</v>
      </c>
      <c r="BG63" s="1" t="s">
        <v>74</v>
      </c>
      <c r="BH63" s="1" t="s">
        <v>74</v>
      </c>
      <c r="BI63" s="1">
        <v>5</v>
      </c>
      <c r="BJ63" s="1" t="s">
        <v>144</v>
      </c>
      <c r="BK63" s="1" t="s">
        <v>96</v>
      </c>
      <c r="BL63" s="1" t="s">
        <v>145</v>
      </c>
      <c r="BM63" s="1" t="s">
        <v>1332</v>
      </c>
      <c r="BN63" s="1">
        <v>27498505</v>
      </c>
      <c r="BO63" s="1" t="s">
        <v>74</v>
      </c>
      <c r="BP63" s="1" t="s">
        <v>74</v>
      </c>
      <c r="BQ63" s="1" t="s">
        <v>74</v>
      </c>
      <c r="BR63" s="1" t="s">
        <v>98</v>
      </c>
      <c r="BS63" s="1" t="s">
        <v>1333</v>
      </c>
      <c r="BT63" s="1" t="str">
        <f>HYPERLINK("https%3A%2F%2Fwww.webofscience.com%2Fwos%2Fwoscc%2Ffull-record%2FWOS:000382473800016","View Full Record in Web of Science")</f>
        <v>View Full Record in Web of Science</v>
      </c>
    </row>
    <row r="64" spans="1:72">
      <c r="A64" s="1" t="s">
        <v>72</v>
      </c>
      <c r="B64" s="1" t="s">
        <v>1334</v>
      </c>
      <c r="C64" s="1" t="s">
        <v>74</v>
      </c>
      <c r="D64" s="1" t="s">
        <v>74</v>
      </c>
      <c r="E64" s="1" t="s">
        <v>74</v>
      </c>
      <c r="F64" s="1" t="s">
        <v>1335</v>
      </c>
      <c r="G64" s="1" t="s">
        <v>74</v>
      </c>
      <c r="H64" s="1" t="s">
        <v>74</v>
      </c>
      <c r="I64" s="1" t="s">
        <v>1336</v>
      </c>
      <c r="J64" s="1" t="s">
        <v>1337</v>
      </c>
      <c r="K64" s="1" t="s">
        <v>74</v>
      </c>
      <c r="L64" s="1" t="s">
        <v>74</v>
      </c>
      <c r="M64" s="1" t="s">
        <v>78</v>
      </c>
      <c r="N64" s="1" t="s">
        <v>79</v>
      </c>
      <c r="O64" s="1" t="s">
        <v>74</v>
      </c>
      <c r="P64" s="1" t="s">
        <v>74</v>
      </c>
      <c r="Q64" s="1" t="s">
        <v>74</v>
      </c>
      <c r="R64" s="1" t="s">
        <v>74</v>
      </c>
      <c r="S64" s="1" t="s">
        <v>74</v>
      </c>
      <c r="T64" s="1" t="s">
        <v>1338</v>
      </c>
      <c r="U64" s="1" t="s">
        <v>1339</v>
      </c>
      <c r="V64" s="1" t="s">
        <v>1340</v>
      </c>
      <c r="W64" s="1" t="s">
        <v>1341</v>
      </c>
      <c r="X64" s="1" t="s">
        <v>1342</v>
      </c>
      <c r="Y64" s="1" t="s">
        <v>1343</v>
      </c>
      <c r="Z64" s="1" t="s">
        <v>1344</v>
      </c>
      <c r="AA64" s="1" t="s">
        <v>1345</v>
      </c>
      <c r="AB64" s="1" t="s">
        <v>1346</v>
      </c>
      <c r="AC64" s="1" t="s">
        <v>1347</v>
      </c>
      <c r="AD64" s="1" t="s">
        <v>1348</v>
      </c>
      <c r="AE64" s="1" t="s">
        <v>1349</v>
      </c>
      <c r="AF64" s="1" t="s">
        <v>74</v>
      </c>
      <c r="AG64" s="1">
        <v>66</v>
      </c>
      <c r="AH64" s="1">
        <v>6</v>
      </c>
      <c r="AI64" s="1">
        <v>6</v>
      </c>
      <c r="AJ64" s="1">
        <v>2</v>
      </c>
      <c r="AK64" s="1">
        <v>20</v>
      </c>
      <c r="AL64" s="1" t="s">
        <v>1350</v>
      </c>
      <c r="AM64" s="1" t="s">
        <v>1351</v>
      </c>
      <c r="AN64" s="1" t="s">
        <v>1352</v>
      </c>
      <c r="AO64" s="1" t="s">
        <v>74</v>
      </c>
      <c r="AP64" s="1" t="s">
        <v>1353</v>
      </c>
      <c r="AQ64" s="1" t="s">
        <v>74</v>
      </c>
      <c r="AR64" s="1" t="s">
        <v>1354</v>
      </c>
      <c r="AS64" s="1" t="s">
        <v>1355</v>
      </c>
      <c r="AT64" s="1" t="s">
        <v>1356</v>
      </c>
      <c r="AU64" s="1">
        <v>2020</v>
      </c>
      <c r="AV64" s="1">
        <v>7</v>
      </c>
      <c r="AW64" s="1" t="s">
        <v>74</v>
      </c>
      <c r="AX64" s="1" t="s">
        <v>74</v>
      </c>
      <c r="AY64" s="1" t="s">
        <v>74</v>
      </c>
      <c r="AZ64" s="1" t="s">
        <v>74</v>
      </c>
      <c r="BA64" s="1" t="s">
        <v>74</v>
      </c>
      <c r="BB64" s="1" t="s">
        <v>74</v>
      </c>
      <c r="BC64" s="1" t="s">
        <v>74</v>
      </c>
      <c r="BD64" s="1">
        <v>412</v>
      </c>
      <c r="BE64" s="1" t="s">
        <v>1357</v>
      </c>
      <c r="BF64" s="1" t="str">
        <f>HYPERLINK("http://dx.doi.org/10.3389/fmars.2020.00412","http://dx.doi.org/10.3389/fmars.2020.00412")</f>
        <v>http://dx.doi.org/10.3389/fmars.2020.00412</v>
      </c>
      <c r="BG64" s="1" t="s">
        <v>74</v>
      </c>
      <c r="BH64" s="1" t="s">
        <v>74</v>
      </c>
      <c r="BI64" s="1">
        <v>9</v>
      </c>
      <c r="BJ64" s="1" t="s">
        <v>247</v>
      </c>
      <c r="BK64" s="1" t="s">
        <v>96</v>
      </c>
      <c r="BL64" s="1" t="s">
        <v>248</v>
      </c>
      <c r="BM64" s="1" t="s">
        <v>1358</v>
      </c>
      <c r="BN64" s="1" t="s">
        <v>74</v>
      </c>
      <c r="BO64" s="1" t="s">
        <v>873</v>
      </c>
      <c r="BP64" s="1" t="s">
        <v>74</v>
      </c>
      <c r="BQ64" s="1" t="s">
        <v>74</v>
      </c>
      <c r="BR64" s="1" t="s">
        <v>98</v>
      </c>
      <c r="BS64" s="1" t="s">
        <v>1359</v>
      </c>
      <c r="BT64" s="1" t="str">
        <f>HYPERLINK("https%3A%2F%2Fwww.webofscience.com%2Fwos%2Fwoscc%2Ffull-record%2FWOS:000540423600001","View Full Record in Web of Science")</f>
        <v>View Full Record in Web of Science</v>
      </c>
    </row>
    <row r="65" spans="1:72">
      <c r="A65" s="1" t="s">
        <v>72</v>
      </c>
      <c r="B65" s="1" t="s">
        <v>1360</v>
      </c>
      <c r="C65" s="1" t="s">
        <v>74</v>
      </c>
      <c r="D65" s="1" t="s">
        <v>74</v>
      </c>
      <c r="E65" s="1" t="s">
        <v>74</v>
      </c>
      <c r="F65" s="1" t="s">
        <v>1361</v>
      </c>
      <c r="G65" s="1" t="s">
        <v>74</v>
      </c>
      <c r="H65" s="1" t="s">
        <v>74</v>
      </c>
      <c r="I65" s="1" t="s">
        <v>1362</v>
      </c>
      <c r="J65" s="1" t="s">
        <v>495</v>
      </c>
      <c r="K65" s="1" t="s">
        <v>74</v>
      </c>
      <c r="L65" s="1" t="s">
        <v>74</v>
      </c>
      <c r="M65" s="1" t="s">
        <v>78</v>
      </c>
      <c r="N65" s="1" t="s">
        <v>79</v>
      </c>
      <c r="O65" s="1" t="s">
        <v>74</v>
      </c>
      <c r="P65" s="1" t="s">
        <v>74</v>
      </c>
      <c r="Q65" s="1" t="s">
        <v>74</v>
      </c>
      <c r="R65" s="1" t="s">
        <v>74</v>
      </c>
      <c r="S65" s="1" t="s">
        <v>74</v>
      </c>
      <c r="T65" s="1" t="s">
        <v>1363</v>
      </c>
      <c r="U65" s="1" t="s">
        <v>1364</v>
      </c>
      <c r="V65" s="1" t="s">
        <v>1365</v>
      </c>
      <c r="W65" s="1" t="s">
        <v>1366</v>
      </c>
      <c r="X65" s="1" t="s">
        <v>1367</v>
      </c>
      <c r="Y65" s="1" t="s">
        <v>1368</v>
      </c>
      <c r="Z65" s="1" t="s">
        <v>1369</v>
      </c>
      <c r="AA65" s="1" t="s">
        <v>1370</v>
      </c>
      <c r="AB65" s="1" t="s">
        <v>74</v>
      </c>
      <c r="AC65" s="1" t="s">
        <v>1371</v>
      </c>
      <c r="AD65" s="1" t="s">
        <v>1372</v>
      </c>
      <c r="AE65" s="1" t="s">
        <v>1373</v>
      </c>
      <c r="AF65" s="1" t="s">
        <v>74</v>
      </c>
      <c r="AG65" s="1">
        <v>24</v>
      </c>
      <c r="AH65" s="1">
        <v>1</v>
      </c>
      <c r="AI65" s="1">
        <v>1</v>
      </c>
      <c r="AJ65" s="1">
        <v>0</v>
      </c>
      <c r="AK65" s="1">
        <v>16</v>
      </c>
      <c r="AL65" s="1" t="s">
        <v>1030</v>
      </c>
      <c r="AM65" s="1" t="s">
        <v>1031</v>
      </c>
      <c r="AN65" s="1" t="s">
        <v>1032</v>
      </c>
      <c r="AO65" s="1" t="s">
        <v>507</v>
      </c>
      <c r="AP65" s="1" t="s">
        <v>1033</v>
      </c>
      <c r="AQ65" s="1" t="s">
        <v>74</v>
      </c>
      <c r="AR65" s="1" t="s">
        <v>508</v>
      </c>
      <c r="AS65" s="1" t="s">
        <v>509</v>
      </c>
      <c r="AT65" s="1" t="s">
        <v>74</v>
      </c>
      <c r="AU65" s="1">
        <v>2019</v>
      </c>
      <c r="AV65" s="1">
        <v>28</v>
      </c>
      <c r="AW65" s="1">
        <v>1</v>
      </c>
      <c r="AX65" s="1" t="s">
        <v>74</v>
      </c>
      <c r="AY65" s="1" t="s">
        <v>74</v>
      </c>
      <c r="AZ65" s="1" t="s">
        <v>74</v>
      </c>
      <c r="BA65" s="1" t="s">
        <v>74</v>
      </c>
      <c r="BB65" s="1">
        <v>271</v>
      </c>
      <c r="BC65" s="1">
        <v>279</v>
      </c>
      <c r="BD65" s="1" t="s">
        <v>74</v>
      </c>
      <c r="BE65" s="1" t="s">
        <v>74</v>
      </c>
      <c r="BF65" s="1" t="s">
        <v>74</v>
      </c>
      <c r="BG65" s="1" t="s">
        <v>74</v>
      </c>
      <c r="BH65" s="1" t="s">
        <v>74</v>
      </c>
      <c r="BI65" s="1">
        <v>9</v>
      </c>
      <c r="BJ65" s="1" t="s">
        <v>144</v>
      </c>
      <c r="BK65" s="1" t="s">
        <v>96</v>
      </c>
      <c r="BL65" s="1" t="s">
        <v>145</v>
      </c>
      <c r="BM65" s="1" t="s">
        <v>1374</v>
      </c>
      <c r="BN65" s="1" t="s">
        <v>74</v>
      </c>
      <c r="BO65" s="1" t="s">
        <v>74</v>
      </c>
      <c r="BP65" s="1" t="s">
        <v>74</v>
      </c>
      <c r="BQ65" s="1" t="s">
        <v>74</v>
      </c>
      <c r="BR65" s="1" t="s">
        <v>98</v>
      </c>
      <c r="BS65" s="1" t="s">
        <v>1375</v>
      </c>
      <c r="BT65" s="1" t="str">
        <f>HYPERLINK("https%3A%2F%2Fwww.webofscience.com%2Fwos%2Fwoscc%2Ffull-record%2FWOS:000459235700032","View Full Record in Web of Science")</f>
        <v>View Full Record in Web of Science</v>
      </c>
    </row>
    <row r="66" spans="1:72">
      <c r="A66" s="1" t="s">
        <v>72</v>
      </c>
      <c r="B66" s="1" t="s">
        <v>1376</v>
      </c>
      <c r="C66" s="1" t="s">
        <v>74</v>
      </c>
      <c r="D66" s="1" t="s">
        <v>74</v>
      </c>
      <c r="E66" s="1" t="s">
        <v>74</v>
      </c>
      <c r="F66" s="1" t="s">
        <v>1377</v>
      </c>
      <c r="G66" s="1" t="s">
        <v>74</v>
      </c>
      <c r="H66" s="1" t="s">
        <v>74</v>
      </c>
      <c r="I66" s="1" t="s">
        <v>1378</v>
      </c>
      <c r="J66" s="1" t="s">
        <v>495</v>
      </c>
      <c r="K66" s="1" t="s">
        <v>74</v>
      </c>
      <c r="L66" s="1" t="s">
        <v>74</v>
      </c>
      <c r="M66" s="1" t="s">
        <v>78</v>
      </c>
      <c r="N66" s="1" t="s">
        <v>79</v>
      </c>
      <c r="O66" s="1" t="s">
        <v>74</v>
      </c>
      <c r="P66" s="1" t="s">
        <v>74</v>
      </c>
      <c r="Q66" s="1" t="s">
        <v>74</v>
      </c>
      <c r="R66" s="1" t="s">
        <v>74</v>
      </c>
      <c r="S66" s="1" t="s">
        <v>74</v>
      </c>
      <c r="T66" s="1" t="s">
        <v>1379</v>
      </c>
      <c r="U66" s="1" t="s">
        <v>1380</v>
      </c>
      <c r="V66" s="1" t="s">
        <v>1381</v>
      </c>
      <c r="W66" s="1" t="s">
        <v>1382</v>
      </c>
      <c r="X66" s="1" t="s">
        <v>1383</v>
      </c>
      <c r="Y66" s="1" t="s">
        <v>1384</v>
      </c>
      <c r="Z66" s="1" t="s">
        <v>1385</v>
      </c>
      <c r="AA66" s="1" t="s">
        <v>74</v>
      </c>
      <c r="AB66" s="1" t="s">
        <v>74</v>
      </c>
      <c r="AC66" s="1" t="s">
        <v>74</v>
      </c>
      <c r="AD66" s="1" t="s">
        <v>74</v>
      </c>
      <c r="AE66" s="1" t="s">
        <v>74</v>
      </c>
      <c r="AF66" s="1" t="s">
        <v>74</v>
      </c>
      <c r="AG66" s="1">
        <v>35</v>
      </c>
      <c r="AH66" s="1">
        <v>8</v>
      </c>
      <c r="AI66" s="1">
        <v>11</v>
      </c>
      <c r="AJ66" s="1">
        <v>1</v>
      </c>
      <c r="AK66" s="1">
        <v>26</v>
      </c>
      <c r="AL66" s="1" t="s">
        <v>1030</v>
      </c>
      <c r="AM66" s="1" t="s">
        <v>1031</v>
      </c>
      <c r="AN66" s="1" t="s">
        <v>1032</v>
      </c>
      <c r="AO66" s="1" t="s">
        <v>507</v>
      </c>
      <c r="AP66" s="1" t="s">
        <v>1033</v>
      </c>
      <c r="AQ66" s="1" t="s">
        <v>74</v>
      </c>
      <c r="AR66" s="1" t="s">
        <v>508</v>
      </c>
      <c r="AS66" s="1" t="s">
        <v>509</v>
      </c>
      <c r="AT66" s="1" t="s">
        <v>74</v>
      </c>
      <c r="AU66" s="1">
        <v>2006</v>
      </c>
      <c r="AV66" s="1">
        <v>15</v>
      </c>
      <c r="AW66" s="1">
        <v>5</v>
      </c>
      <c r="AX66" s="1" t="s">
        <v>74</v>
      </c>
      <c r="AY66" s="1" t="s">
        <v>74</v>
      </c>
      <c r="AZ66" s="1" t="s">
        <v>74</v>
      </c>
      <c r="BA66" s="1" t="s">
        <v>74</v>
      </c>
      <c r="BB66" s="1">
        <v>379</v>
      </c>
      <c r="BC66" s="1">
        <v>384</v>
      </c>
      <c r="BD66" s="1" t="s">
        <v>74</v>
      </c>
      <c r="BE66" s="1" t="s">
        <v>74</v>
      </c>
      <c r="BF66" s="1" t="s">
        <v>74</v>
      </c>
      <c r="BG66" s="1" t="s">
        <v>74</v>
      </c>
      <c r="BH66" s="1" t="s">
        <v>74</v>
      </c>
      <c r="BI66" s="1">
        <v>6</v>
      </c>
      <c r="BJ66" s="1" t="s">
        <v>144</v>
      </c>
      <c r="BK66" s="1" t="s">
        <v>96</v>
      </c>
      <c r="BL66" s="1" t="s">
        <v>145</v>
      </c>
      <c r="BM66" s="1" t="s">
        <v>1386</v>
      </c>
      <c r="BN66" s="1" t="s">
        <v>74</v>
      </c>
      <c r="BO66" s="1" t="s">
        <v>74</v>
      </c>
      <c r="BP66" s="1" t="s">
        <v>74</v>
      </c>
      <c r="BQ66" s="1" t="s">
        <v>74</v>
      </c>
      <c r="BR66" s="1" t="s">
        <v>98</v>
      </c>
      <c r="BS66" s="1" t="s">
        <v>1387</v>
      </c>
      <c r="BT66" s="1" t="str">
        <f>HYPERLINK("https%3A%2F%2Fwww.webofscience.com%2Fwos%2Fwoscc%2Ffull-record%2FWOS:000237763100008","View Full Record in Web of Science")</f>
        <v>View Full Record in Web of Science</v>
      </c>
    </row>
    <row r="67" spans="1:72">
      <c r="A67" s="1" t="s">
        <v>72</v>
      </c>
      <c r="B67" s="1" t="s">
        <v>1388</v>
      </c>
      <c r="C67" s="1" t="s">
        <v>74</v>
      </c>
      <c r="D67" s="1" t="s">
        <v>74</v>
      </c>
      <c r="E67" s="1" t="s">
        <v>74</v>
      </c>
      <c r="F67" s="1" t="s">
        <v>1388</v>
      </c>
      <c r="G67" s="1" t="s">
        <v>74</v>
      </c>
      <c r="H67" s="1" t="s">
        <v>74</v>
      </c>
      <c r="I67" s="1" t="s">
        <v>1389</v>
      </c>
      <c r="J67" s="1" t="s">
        <v>421</v>
      </c>
      <c r="K67" s="1" t="s">
        <v>74</v>
      </c>
      <c r="L67" s="1" t="s">
        <v>74</v>
      </c>
      <c r="M67" s="1" t="s">
        <v>78</v>
      </c>
      <c r="N67" s="1" t="s">
        <v>79</v>
      </c>
      <c r="O67" s="1" t="s">
        <v>74</v>
      </c>
      <c r="P67" s="1" t="s">
        <v>74</v>
      </c>
      <c r="Q67" s="1" t="s">
        <v>74</v>
      </c>
      <c r="R67" s="1" t="s">
        <v>74</v>
      </c>
      <c r="S67" s="1" t="s">
        <v>74</v>
      </c>
      <c r="T67" s="1" t="s">
        <v>74</v>
      </c>
      <c r="U67" s="1" t="s">
        <v>1390</v>
      </c>
      <c r="V67" s="1" t="s">
        <v>1391</v>
      </c>
      <c r="W67" s="1" t="s">
        <v>1392</v>
      </c>
      <c r="X67" s="1" t="s">
        <v>74</v>
      </c>
      <c r="Y67" s="1" t="s">
        <v>1393</v>
      </c>
      <c r="Z67" s="1" t="s">
        <v>74</v>
      </c>
      <c r="AA67" s="1" t="s">
        <v>74</v>
      </c>
      <c r="AB67" s="1" t="s">
        <v>74</v>
      </c>
      <c r="AC67" s="1" t="s">
        <v>74</v>
      </c>
      <c r="AD67" s="1" t="s">
        <v>74</v>
      </c>
      <c r="AE67" s="1" t="s">
        <v>74</v>
      </c>
      <c r="AF67" s="1" t="s">
        <v>74</v>
      </c>
      <c r="AG67" s="1">
        <v>41</v>
      </c>
      <c r="AH67" s="1">
        <v>23</v>
      </c>
      <c r="AI67" s="1">
        <v>24</v>
      </c>
      <c r="AJ67" s="1">
        <v>1</v>
      </c>
      <c r="AK67" s="1">
        <v>13</v>
      </c>
      <c r="AL67" s="1" t="s">
        <v>430</v>
      </c>
      <c r="AM67" s="1" t="s">
        <v>137</v>
      </c>
      <c r="AN67" s="1" t="s">
        <v>431</v>
      </c>
      <c r="AO67" s="1" t="s">
        <v>432</v>
      </c>
      <c r="AP67" s="1" t="s">
        <v>1394</v>
      </c>
      <c r="AQ67" s="1" t="s">
        <v>74</v>
      </c>
      <c r="AR67" s="1" t="s">
        <v>433</v>
      </c>
      <c r="AS67" s="1" t="s">
        <v>434</v>
      </c>
      <c r="AT67" s="1" t="s">
        <v>74</v>
      </c>
      <c r="AU67" s="1">
        <v>1996</v>
      </c>
      <c r="AV67" s="1">
        <v>92</v>
      </c>
      <c r="AW67" s="1">
        <v>3</v>
      </c>
      <c r="AX67" s="1" t="s">
        <v>74</v>
      </c>
      <c r="AY67" s="1" t="s">
        <v>74</v>
      </c>
      <c r="AZ67" s="1" t="s">
        <v>74</v>
      </c>
      <c r="BA67" s="1" t="s">
        <v>74</v>
      </c>
      <c r="BB67" s="1">
        <v>359</v>
      </c>
      <c r="BC67" s="1">
        <v>368</v>
      </c>
      <c r="BD67" s="1" t="s">
        <v>74</v>
      </c>
      <c r="BE67" s="1" t="s">
        <v>1395</v>
      </c>
      <c r="BF67" s="1" t="str">
        <f>HYPERLINK("http://dx.doi.org/10.1016/0269-7491(95)00077-1","http://dx.doi.org/10.1016/0269-7491(95)00077-1")</f>
        <v>http://dx.doi.org/10.1016/0269-7491(95)00077-1</v>
      </c>
      <c r="BG67" s="1" t="s">
        <v>74</v>
      </c>
      <c r="BH67" s="1" t="s">
        <v>74</v>
      </c>
      <c r="BI67" s="1">
        <v>10</v>
      </c>
      <c r="BJ67" s="1" t="s">
        <v>144</v>
      </c>
      <c r="BK67" s="1" t="s">
        <v>96</v>
      </c>
      <c r="BL67" s="1" t="s">
        <v>145</v>
      </c>
      <c r="BM67" s="1" t="s">
        <v>1396</v>
      </c>
      <c r="BN67" s="1">
        <v>15091389</v>
      </c>
      <c r="BO67" s="1" t="s">
        <v>74</v>
      </c>
      <c r="BP67" s="1" t="s">
        <v>74</v>
      </c>
      <c r="BQ67" s="1" t="s">
        <v>74</v>
      </c>
      <c r="BR67" s="1" t="s">
        <v>98</v>
      </c>
      <c r="BS67" s="1" t="s">
        <v>1397</v>
      </c>
      <c r="BT67" s="1" t="str">
        <f>HYPERLINK("https%3A%2F%2Fwww.webofscience.com%2Fwos%2Fwoscc%2Ffull-record%2FWOS:A1996UU93200016","View Full Record in Web of Science")</f>
        <v>View Full Record in Web of Science</v>
      </c>
    </row>
    <row r="68" spans="1:72">
      <c r="A68" s="1" t="s">
        <v>72</v>
      </c>
      <c r="B68" s="1" t="s">
        <v>1398</v>
      </c>
      <c r="C68" s="1" t="s">
        <v>74</v>
      </c>
      <c r="D68" s="1" t="s">
        <v>74</v>
      </c>
      <c r="E68" s="1" t="s">
        <v>74</v>
      </c>
      <c r="F68" s="1" t="s">
        <v>1399</v>
      </c>
      <c r="G68" s="1" t="s">
        <v>74</v>
      </c>
      <c r="H68" s="1" t="s">
        <v>74</v>
      </c>
      <c r="I68" s="1" t="s">
        <v>1400</v>
      </c>
      <c r="J68" s="1" t="s">
        <v>204</v>
      </c>
      <c r="K68" s="1" t="s">
        <v>74</v>
      </c>
      <c r="L68" s="1" t="s">
        <v>74</v>
      </c>
      <c r="M68" s="1" t="s">
        <v>78</v>
      </c>
      <c r="N68" s="1" t="s">
        <v>79</v>
      </c>
      <c r="O68" s="1" t="s">
        <v>74</v>
      </c>
      <c r="P68" s="1" t="s">
        <v>74</v>
      </c>
      <c r="Q68" s="1" t="s">
        <v>74</v>
      </c>
      <c r="R68" s="1" t="s">
        <v>74</v>
      </c>
      <c r="S68" s="1" t="s">
        <v>74</v>
      </c>
      <c r="T68" s="1" t="s">
        <v>1401</v>
      </c>
      <c r="U68" s="1" t="s">
        <v>1402</v>
      </c>
      <c r="V68" s="1" t="s">
        <v>1403</v>
      </c>
      <c r="W68" s="1" t="s">
        <v>1404</v>
      </c>
      <c r="X68" s="1" t="s">
        <v>1405</v>
      </c>
      <c r="Y68" s="1" t="s">
        <v>1406</v>
      </c>
      <c r="Z68" s="1" t="s">
        <v>1407</v>
      </c>
      <c r="AA68" s="1" t="s">
        <v>74</v>
      </c>
      <c r="AB68" s="1" t="s">
        <v>74</v>
      </c>
      <c r="AC68" s="1" t="s">
        <v>74</v>
      </c>
      <c r="AD68" s="1" t="s">
        <v>74</v>
      </c>
      <c r="AE68" s="1" t="s">
        <v>74</v>
      </c>
      <c r="AF68" s="1" t="s">
        <v>74</v>
      </c>
      <c r="AG68" s="1">
        <v>42</v>
      </c>
      <c r="AH68" s="1">
        <v>5</v>
      </c>
      <c r="AI68" s="1">
        <v>5</v>
      </c>
      <c r="AJ68" s="1">
        <v>0</v>
      </c>
      <c r="AK68" s="1">
        <v>27</v>
      </c>
      <c r="AL68" s="1" t="s">
        <v>217</v>
      </c>
      <c r="AM68" s="1" t="s">
        <v>218</v>
      </c>
      <c r="AN68" s="1" t="s">
        <v>219</v>
      </c>
      <c r="AO68" s="1" t="s">
        <v>220</v>
      </c>
      <c r="AP68" s="1" t="s">
        <v>221</v>
      </c>
      <c r="AQ68" s="1" t="s">
        <v>74</v>
      </c>
      <c r="AR68" s="1" t="s">
        <v>222</v>
      </c>
      <c r="AS68" s="1" t="s">
        <v>223</v>
      </c>
      <c r="AT68" s="1" t="s">
        <v>119</v>
      </c>
      <c r="AU68" s="1">
        <v>2017</v>
      </c>
      <c r="AV68" s="1">
        <v>24</v>
      </c>
      <c r="AW68" s="1">
        <v>23</v>
      </c>
      <c r="AX68" s="1" t="s">
        <v>74</v>
      </c>
      <c r="AY68" s="1" t="s">
        <v>74</v>
      </c>
      <c r="AZ68" s="1" t="s">
        <v>74</v>
      </c>
      <c r="BA68" s="1" t="s">
        <v>74</v>
      </c>
      <c r="BB68" s="1">
        <v>19347</v>
      </c>
      <c r="BC68" s="1">
        <v>19356</v>
      </c>
      <c r="BD68" s="1" t="s">
        <v>74</v>
      </c>
      <c r="BE68" s="1" t="s">
        <v>1408</v>
      </c>
      <c r="BF68" s="1" t="str">
        <f>HYPERLINK("http://dx.doi.org/10.1007/s11356-017-9527-y","http://dx.doi.org/10.1007/s11356-017-9527-y")</f>
        <v>http://dx.doi.org/10.1007/s11356-017-9527-y</v>
      </c>
      <c r="BG68" s="1" t="s">
        <v>74</v>
      </c>
      <c r="BH68" s="1" t="s">
        <v>74</v>
      </c>
      <c r="BI68" s="1">
        <v>10</v>
      </c>
      <c r="BJ68" s="1" t="s">
        <v>144</v>
      </c>
      <c r="BK68" s="1" t="s">
        <v>96</v>
      </c>
      <c r="BL68" s="1" t="s">
        <v>145</v>
      </c>
      <c r="BM68" s="1" t="s">
        <v>1409</v>
      </c>
      <c r="BN68" s="1">
        <v>28669096</v>
      </c>
      <c r="BO68" s="1" t="s">
        <v>74</v>
      </c>
      <c r="BP68" s="1" t="s">
        <v>74</v>
      </c>
      <c r="BQ68" s="1" t="s">
        <v>74</v>
      </c>
      <c r="BR68" s="1" t="s">
        <v>98</v>
      </c>
      <c r="BS68" s="1" t="s">
        <v>1410</v>
      </c>
      <c r="BT68" s="1" t="str">
        <f>HYPERLINK("https%3A%2F%2Fwww.webofscience.com%2Fwos%2Fwoscc%2Ffull-record%2FWOS:000407723100055","View Full Record in Web of Science")</f>
        <v>View Full Record in Web of Science</v>
      </c>
    </row>
    <row r="69" spans="1:72">
      <c r="A69" s="1" t="s">
        <v>72</v>
      </c>
      <c r="B69" s="1" t="s">
        <v>1411</v>
      </c>
      <c r="C69" s="1" t="s">
        <v>74</v>
      </c>
      <c r="D69" s="1" t="s">
        <v>74</v>
      </c>
      <c r="E69" s="1" t="s">
        <v>74</v>
      </c>
      <c r="F69" s="1" t="s">
        <v>1412</v>
      </c>
      <c r="G69" s="1" t="s">
        <v>74</v>
      </c>
      <c r="H69" s="1" t="s">
        <v>74</v>
      </c>
      <c r="I69" s="1" t="s">
        <v>1413</v>
      </c>
      <c r="J69" s="1" t="s">
        <v>127</v>
      </c>
      <c r="K69" s="1" t="s">
        <v>74</v>
      </c>
      <c r="L69" s="1" t="s">
        <v>74</v>
      </c>
      <c r="M69" s="1" t="s">
        <v>78</v>
      </c>
      <c r="N69" s="1" t="s">
        <v>79</v>
      </c>
      <c r="O69" s="1" t="s">
        <v>74</v>
      </c>
      <c r="P69" s="1" t="s">
        <v>74</v>
      </c>
      <c r="Q69" s="1" t="s">
        <v>74</v>
      </c>
      <c r="R69" s="1" t="s">
        <v>74</v>
      </c>
      <c r="S69" s="1" t="s">
        <v>74</v>
      </c>
      <c r="T69" s="1" t="s">
        <v>1414</v>
      </c>
      <c r="U69" s="1" t="s">
        <v>1415</v>
      </c>
      <c r="V69" s="1" t="s">
        <v>1416</v>
      </c>
      <c r="W69" s="1" t="s">
        <v>645</v>
      </c>
      <c r="X69" s="1" t="s">
        <v>1417</v>
      </c>
      <c r="Y69" s="1" t="s">
        <v>1418</v>
      </c>
      <c r="Z69" s="1" t="s">
        <v>1419</v>
      </c>
      <c r="AA69" s="1" t="s">
        <v>74</v>
      </c>
      <c r="AB69" s="1" t="s">
        <v>649</v>
      </c>
      <c r="AC69" s="1" t="s">
        <v>74</v>
      </c>
      <c r="AD69" s="1" t="s">
        <v>74</v>
      </c>
      <c r="AE69" s="1" t="s">
        <v>74</v>
      </c>
      <c r="AF69" s="1" t="s">
        <v>74</v>
      </c>
      <c r="AG69" s="1">
        <v>28</v>
      </c>
      <c r="AH69" s="1">
        <v>71</v>
      </c>
      <c r="AI69" s="1">
        <v>86</v>
      </c>
      <c r="AJ69" s="1">
        <v>1</v>
      </c>
      <c r="AK69" s="1">
        <v>28</v>
      </c>
      <c r="AL69" s="1" t="s">
        <v>136</v>
      </c>
      <c r="AM69" s="1" t="s">
        <v>137</v>
      </c>
      <c r="AN69" s="1" t="s">
        <v>138</v>
      </c>
      <c r="AO69" s="1" t="s">
        <v>139</v>
      </c>
      <c r="AP69" s="1" t="s">
        <v>140</v>
      </c>
      <c r="AQ69" s="1" t="s">
        <v>74</v>
      </c>
      <c r="AR69" s="1" t="s">
        <v>127</v>
      </c>
      <c r="AS69" s="1" t="s">
        <v>141</v>
      </c>
      <c r="AT69" s="1" t="s">
        <v>267</v>
      </c>
      <c r="AU69" s="1">
        <v>2006</v>
      </c>
      <c r="AV69" s="1">
        <v>65</v>
      </c>
      <c r="AW69" s="1">
        <v>4</v>
      </c>
      <c r="AX69" s="1" t="s">
        <v>74</v>
      </c>
      <c r="AY69" s="1" t="s">
        <v>74</v>
      </c>
      <c r="AZ69" s="1" t="s">
        <v>74</v>
      </c>
      <c r="BA69" s="1" t="s">
        <v>74</v>
      </c>
      <c r="BB69" s="1">
        <v>609</v>
      </c>
      <c r="BC69" s="1">
        <v>617</v>
      </c>
      <c r="BD69" s="1" t="s">
        <v>74</v>
      </c>
      <c r="BE69" s="1" t="s">
        <v>1420</v>
      </c>
      <c r="BF69" s="1" t="str">
        <f>HYPERLINK("http://dx.doi.org/10.1016/j.chemosphere.2006.01.074","http://dx.doi.org/10.1016/j.chemosphere.2006.01.074")</f>
        <v>http://dx.doi.org/10.1016/j.chemosphere.2006.01.074</v>
      </c>
      <c r="BG69" s="1" t="s">
        <v>74</v>
      </c>
      <c r="BH69" s="1" t="s">
        <v>74</v>
      </c>
      <c r="BI69" s="1">
        <v>9</v>
      </c>
      <c r="BJ69" s="1" t="s">
        <v>144</v>
      </c>
      <c r="BK69" s="1" t="s">
        <v>96</v>
      </c>
      <c r="BL69" s="1" t="s">
        <v>145</v>
      </c>
      <c r="BM69" s="1" t="s">
        <v>1421</v>
      </c>
      <c r="BN69" s="1">
        <v>16545425</v>
      </c>
      <c r="BO69" s="1" t="s">
        <v>74</v>
      </c>
      <c r="BP69" s="1" t="s">
        <v>74</v>
      </c>
      <c r="BQ69" s="1" t="s">
        <v>74</v>
      </c>
      <c r="BR69" s="1" t="s">
        <v>98</v>
      </c>
      <c r="BS69" s="1" t="s">
        <v>1422</v>
      </c>
      <c r="BT69" s="1" t="str">
        <f>HYPERLINK("https%3A%2F%2Fwww.webofscience.com%2Fwos%2Fwoscc%2Ffull-record%2FWOS:000241652000010","View Full Record in Web of Science")</f>
        <v>View Full Record in Web of Science</v>
      </c>
    </row>
    <row r="70" spans="1:72">
      <c r="A70" s="1" t="s">
        <v>72</v>
      </c>
      <c r="B70" s="1" t="s">
        <v>1423</v>
      </c>
      <c r="C70" s="1" t="s">
        <v>74</v>
      </c>
      <c r="D70" s="1" t="s">
        <v>74</v>
      </c>
      <c r="E70" s="1" t="s">
        <v>74</v>
      </c>
      <c r="F70" s="1" t="s">
        <v>1424</v>
      </c>
      <c r="G70" s="1" t="s">
        <v>74</v>
      </c>
      <c r="H70" s="1" t="s">
        <v>74</v>
      </c>
      <c r="I70" s="1" t="s">
        <v>1425</v>
      </c>
      <c r="J70" s="1" t="s">
        <v>1426</v>
      </c>
      <c r="K70" s="1" t="s">
        <v>74</v>
      </c>
      <c r="L70" s="1" t="s">
        <v>74</v>
      </c>
      <c r="M70" s="1" t="s">
        <v>78</v>
      </c>
      <c r="N70" s="1" t="s">
        <v>79</v>
      </c>
      <c r="O70" s="1" t="s">
        <v>74</v>
      </c>
      <c r="P70" s="1" t="s">
        <v>74</v>
      </c>
      <c r="Q70" s="1" t="s">
        <v>74</v>
      </c>
      <c r="R70" s="1" t="s">
        <v>74</v>
      </c>
      <c r="S70" s="1" t="s">
        <v>74</v>
      </c>
      <c r="T70" s="1" t="s">
        <v>74</v>
      </c>
      <c r="U70" s="1" t="s">
        <v>1427</v>
      </c>
      <c r="V70" s="1" t="s">
        <v>1428</v>
      </c>
      <c r="W70" s="1" t="s">
        <v>1429</v>
      </c>
      <c r="X70" s="1" t="s">
        <v>1430</v>
      </c>
      <c r="Y70" s="1" t="s">
        <v>1431</v>
      </c>
      <c r="Z70" s="1" t="s">
        <v>74</v>
      </c>
      <c r="AA70" s="1" t="s">
        <v>74</v>
      </c>
      <c r="AB70" s="1" t="s">
        <v>1432</v>
      </c>
      <c r="AC70" s="1" t="s">
        <v>74</v>
      </c>
      <c r="AD70" s="1" t="s">
        <v>74</v>
      </c>
      <c r="AE70" s="1" t="s">
        <v>74</v>
      </c>
      <c r="AF70" s="1" t="s">
        <v>74</v>
      </c>
      <c r="AG70" s="1">
        <v>25</v>
      </c>
      <c r="AH70" s="1">
        <v>11</v>
      </c>
      <c r="AI70" s="1">
        <v>12</v>
      </c>
      <c r="AJ70" s="1">
        <v>0</v>
      </c>
      <c r="AK70" s="1">
        <v>7</v>
      </c>
      <c r="AL70" s="1" t="s">
        <v>1433</v>
      </c>
      <c r="AM70" s="1" t="s">
        <v>1434</v>
      </c>
      <c r="AN70" s="1" t="s">
        <v>1435</v>
      </c>
      <c r="AO70" s="1" t="s">
        <v>1436</v>
      </c>
      <c r="AP70" s="1" t="s">
        <v>74</v>
      </c>
      <c r="AQ70" s="1" t="s">
        <v>74</v>
      </c>
      <c r="AR70" s="1" t="s">
        <v>1437</v>
      </c>
      <c r="AS70" s="1" t="s">
        <v>1438</v>
      </c>
      <c r="AT70" s="1" t="s">
        <v>142</v>
      </c>
      <c r="AU70" s="1">
        <v>2010</v>
      </c>
      <c r="AV70" s="1">
        <v>39</v>
      </c>
      <c r="AW70" s="1">
        <v>2</v>
      </c>
      <c r="AX70" s="1" t="s">
        <v>74</v>
      </c>
      <c r="AY70" s="1" t="s">
        <v>74</v>
      </c>
      <c r="AZ70" s="1" t="s">
        <v>74</v>
      </c>
      <c r="BA70" s="1" t="s">
        <v>74</v>
      </c>
      <c r="BB70" s="1">
        <v>299</v>
      </c>
      <c r="BC70" s="1">
        <v>302</v>
      </c>
      <c r="BD70" s="1" t="s">
        <v>74</v>
      </c>
      <c r="BE70" s="1" t="s">
        <v>74</v>
      </c>
      <c r="BF70" s="1" t="s">
        <v>74</v>
      </c>
      <c r="BG70" s="1" t="s">
        <v>74</v>
      </c>
      <c r="BH70" s="1" t="s">
        <v>74</v>
      </c>
      <c r="BI70" s="1">
        <v>4</v>
      </c>
      <c r="BJ70" s="1" t="s">
        <v>1439</v>
      </c>
      <c r="BK70" s="1" t="s">
        <v>96</v>
      </c>
      <c r="BL70" s="1" t="s">
        <v>1439</v>
      </c>
      <c r="BM70" s="1" t="s">
        <v>1440</v>
      </c>
      <c r="BN70" s="1" t="s">
        <v>74</v>
      </c>
      <c r="BO70" s="1" t="s">
        <v>74</v>
      </c>
      <c r="BP70" s="1" t="s">
        <v>74</v>
      </c>
      <c r="BQ70" s="1" t="s">
        <v>74</v>
      </c>
      <c r="BR70" s="1" t="s">
        <v>98</v>
      </c>
      <c r="BS70" s="1" t="s">
        <v>1441</v>
      </c>
      <c r="BT70" s="1" t="str">
        <f>HYPERLINK("https%3A%2F%2Fwww.webofscience.com%2Fwos%2Fwoscc%2Ffull-record%2FWOS:000282156100018","View Full Record in Web of Science")</f>
        <v>View Full Record in Web of Science</v>
      </c>
    </row>
    <row r="71" spans="1:72">
      <c r="A71" s="1" t="s">
        <v>72</v>
      </c>
      <c r="B71" s="1" t="s">
        <v>1442</v>
      </c>
      <c r="C71" s="1" t="s">
        <v>74</v>
      </c>
      <c r="D71" s="1" t="s">
        <v>74</v>
      </c>
      <c r="E71" s="1" t="s">
        <v>74</v>
      </c>
      <c r="F71" s="1" t="s">
        <v>1443</v>
      </c>
      <c r="G71" s="1" t="s">
        <v>74</v>
      </c>
      <c r="H71" s="1" t="s">
        <v>74</v>
      </c>
      <c r="I71" s="1" t="s">
        <v>1444</v>
      </c>
      <c r="J71" s="1" t="s">
        <v>232</v>
      </c>
      <c r="K71" s="1" t="s">
        <v>74</v>
      </c>
      <c r="L71" s="1" t="s">
        <v>74</v>
      </c>
      <c r="M71" s="1" t="s">
        <v>78</v>
      </c>
      <c r="N71" s="1" t="s">
        <v>79</v>
      </c>
      <c r="O71" s="1" t="s">
        <v>74</v>
      </c>
      <c r="P71" s="1" t="s">
        <v>74</v>
      </c>
      <c r="Q71" s="1" t="s">
        <v>74</v>
      </c>
      <c r="R71" s="1" t="s">
        <v>74</v>
      </c>
      <c r="S71" s="1" t="s">
        <v>74</v>
      </c>
      <c r="T71" s="1" t="s">
        <v>1445</v>
      </c>
      <c r="U71" s="1" t="s">
        <v>1446</v>
      </c>
      <c r="V71" s="1" t="s">
        <v>1447</v>
      </c>
      <c r="W71" s="1" t="s">
        <v>1448</v>
      </c>
      <c r="X71" s="1" t="s">
        <v>1449</v>
      </c>
      <c r="Y71" s="1" t="s">
        <v>1450</v>
      </c>
      <c r="Z71" s="1" t="s">
        <v>1451</v>
      </c>
      <c r="AA71" s="1" t="s">
        <v>1452</v>
      </c>
      <c r="AB71" s="1" t="s">
        <v>1453</v>
      </c>
      <c r="AC71" s="1" t="s">
        <v>1454</v>
      </c>
      <c r="AD71" s="1" t="s">
        <v>1455</v>
      </c>
      <c r="AE71" s="1" t="s">
        <v>1456</v>
      </c>
      <c r="AF71" s="1" t="s">
        <v>74</v>
      </c>
      <c r="AG71" s="1">
        <v>21</v>
      </c>
      <c r="AH71" s="1">
        <v>49</v>
      </c>
      <c r="AI71" s="1">
        <v>53</v>
      </c>
      <c r="AJ71" s="1">
        <v>1</v>
      </c>
      <c r="AK71" s="1">
        <v>32</v>
      </c>
      <c r="AL71" s="1" t="s">
        <v>136</v>
      </c>
      <c r="AM71" s="1" t="s">
        <v>137</v>
      </c>
      <c r="AN71" s="1" t="s">
        <v>138</v>
      </c>
      <c r="AO71" s="1" t="s">
        <v>240</v>
      </c>
      <c r="AP71" s="1" t="s">
        <v>241</v>
      </c>
      <c r="AQ71" s="1" t="s">
        <v>74</v>
      </c>
      <c r="AR71" s="1" t="s">
        <v>242</v>
      </c>
      <c r="AS71" s="1" t="s">
        <v>243</v>
      </c>
      <c r="AT71" s="1" t="s">
        <v>1223</v>
      </c>
      <c r="AU71" s="1">
        <v>2018</v>
      </c>
      <c r="AV71" s="1">
        <v>128</v>
      </c>
      <c r="AW71" s="1" t="s">
        <v>74</v>
      </c>
      <c r="AX71" s="1" t="s">
        <v>74</v>
      </c>
      <c r="AY71" s="1" t="s">
        <v>74</v>
      </c>
      <c r="AZ71" s="1" t="s">
        <v>74</v>
      </c>
      <c r="BA71" s="1" t="s">
        <v>74</v>
      </c>
      <c r="BB71" s="1">
        <v>197</v>
      </c>
      <c r="BC71" s="1">
        <v>201</v>
      </c>
      <c r="BD71" s="1" t="s">
        <v>74</v>
      </c>
      <c r="BE71" s="1" t="s">
        <v>1457</v>
      </c>
      <c r="BF71" s="1" t="str">
        <f>HYPERLINK("http://dx.doi.org/10.1016/j.marpolbul.2018.01.024","http://dx.doi.org/10.1016/j.marpolbul.2018.01.024")</f>
        <v>http://dx.doi.org/10.1016/j.marpolbul.2018.01.024</v>
      </c>
      <c r="BG71" s="1" t="s">
        <v>74</v>
      </c>
      <c r="BH71" s="1" t="s">
        <v>74</v>
      </c>
      <c r="BI71" s="1">
        <v>5</v>
      </c>
      <c r="BJ71" s="1" t="s">
        <v>247</v>
      </c>
      <c r="BK71" s="1" t="s">
        <v>96</v>
      </c>
      <c r="BL71" s="1" t="s">
        <v>248</v>
      </c>
      <c r="BM71" s="1" t="s">
        <v>1458</v>
      </c>
      <c r="BN71" s="1">
        <v>29571363</v>
      </c>
      <c r="BO71" s="1" t="s">
        <v>74</v>
      </c>
      <c r="BP71" s="1" t="s">
        <v>74</v>
      </c>
      <c r="BQ71" s="1" t="s">
        <v>74</v>
      </c>
      <c r="BR71" s="1" t="s">
        <v>98</v>
      </c>
      <c r="BS71" s="1" t="s">
        <v>1459</v>
      </c>
      <c r="BT71" s="1" t="str">
        <f>HYPERLINK("https%3A%2F%2Fwww.webofscience.com%2Fwos%2Fwoscc%2Ffull-record%2FWOS:000430645600022","View Full Record in Web of Science")</f>
        <v>View Full Record in Web of Science</v>
      </c>
    </row>
    <row r="72" spans="1:72">
      <c r="A72" s="1" t="s">
        <v>72</v>
      </c>
      <c r="B72" s="1" t="s">
        <v>1460</v>
      </c>
      <c r="C72" s="1" t="s">
        <v>74</v>
      </c>
      <c r="D72" s="1" t="s">
        <v>74</v>
      </c>
      <c r="E72" s="1" t="s">
        <v>74</v>
      </c>
      <c r="F72" s="1" t="s">
        <v>1461</v>
      </c>
      <c r="G72" s="1" t="s">
        <v>74</v>
      </c>
      <c r="H72" s="1" t="s">
        <v>74</v>
      </c>
      <c r="I72" s="1" t="s">
        <v>1462</v>
      </c>
      <c r="J72" s="1" t="s">
        <v>204</v>
      </c>
      <c r="K72" s="1" t="s">
        <v>74</v>
      </c>
      <c r="L72" s="1" t="s">
        <v>74</v>
      </c>
      <c r="M72" s="1" t="s">
        <v>78</v>
      </c>
      <c r="N72" s="1" t="s">
        <v>79</v>
      </c>
      <c r="O72" s="1" t="s">
        <v>74</v>
      </c>
      <c r="P72" s="1" t="s">
        <v>74</v>
      </c>
      <c r="Q72" s="1" t="s">
        <v>74</v>
      </c>
      <c r="R72" s="1" t="s">
        <v>74</v>
      </c>
      <c r="S72" s="1" t="s">
        <v>74</v>
      </c>
      <c r="T72" s="1" t="s">
        <v>1463</v>
      </c>
      <c r="U72" s="1" t="s">
        <v>1464</v>
      </c>
      <c r="V72" s="1" t="s">
        <v>1465</v>
      </c>
      <c r="W72" s="1" t="s">
        <v>1466</v>
      </c>
      <c r="X72" s="1" t="s">
        <v>1467</v>
      </c>
      <c r="Y72" s="1" t="s">
        <v>1468</v>
      </c>
      <c r="Z72" s="1" t="s">
        <v>1469</v>
      </c>
      <c r="AA72" s="1" t="s">
        <v>74</v>
      </c>
      <c r="AB72" s="1" t="s">
        <v>74</v>
      </c>
      <c r="AC72" s="1" t="s">
        <v>74</v>
      </c>
      <c r="AD72" s="1" t="s">
        <v>74</v>
      </c>
      <c r="AE72" s="1" t="s">
        <v>74</v>
      </c>
      <c r="AF72" s="1" t="s">
        <v>74</v>
      </c>
      <c r="AG72" s="1">
        <v>28</v>
      </c>
      <c r="AH72" s="1">
        <v>15</v>
      </c>
      <c r="AI72" s="1">
        <v>15</v>
      </c>
      <c r="AJ72" s="1">
        <v>2</v>
      </c>
      <c r="AK72" s="1">
        <v>25</v>
      </c>
      <c r="AL72" s="1" t="s">
        <v>217</v>
      </c>
      <c r="AM72" s="1" t="s">
        <v>218</v>
      </c>
      <c r="AN72" s="1" t="s">
        <v>219</v>
      </c>
      <c r="AO72" s="1" t="s">
        <v>220</v>
      </c>
      <c r="AP72" s="1" t="s">
        <v>74</v>
      </c>
      <c r="AQ72" s="1" t="s">
        <v>74</v>
      </c>
      <c r="AR72" s="1" t="s">
        <v>222</v>
      </c>
      <c r="AS72" s="1" t="s">
        <v>223</v>
      </c>
      <c r="AT72" s="1" t="s">
        <v>1470</v>
      </c>
      <c r="AU72" s="1">
        <v>2008</v>
      </c>
      <c r="AV72" s="1">
        <v>15</v>
      </c>
      <c r="AW72" s="1">
        <v>1</v>
      </c>
      <c r="AX72" s="1" t="s">
        <v>74</v>
      </c>
      <c r="AY72" s="1" t="s">
        <v>74</v>
      </c>
      <c r="AZ72" s="1" t="s">
        <v>74</v>
      </c>
      <c r="BA72" s="1" t="s">
        <v>74</v>
      </c>
      <c r="BB72" s="1">
        <v>89</v>
      </c>
      <c r="BC72" s="1">
        <v>94</v>
      </c>
      <c r="BD72" s="1" t="s">
        <v>74</v>
      </c>
      <c r="BE72" s="1" t="s">
        <v>1471</v>
      </c>
      <c r="BF72" s="1" t="str">
        <f>HYPERLINK("http://dx.doi.org/10.1065/espr2007.12.469","http://dx.doi.org/10.1065/espr2007.12.469")</f>
        <v>http://dx.doi.org/10.1065/espr2007.12.469</v>
      </c>
      <c r="BG72" s="1" t="s">
        <v>74</v>
      </c>
      <c r="BH72" s="1" t="s">
        <v>74</v>
      </c>
      <c r="BI72" s="1">
        <v>6</v>
      </c>
      <c r="BJ72" s="1" t="s">
        <v>144</v>
      </c>
      <c r="BK72" s="1" t="s">
        <v>96</v>
      </c>
      <c r="BL72" s="1" t="s">
        <v>145</v>
      </c>
      <c r="BM72" s="1" t="s">
        <v>1472</v>
      </c>
      <c r="BN72" s="1">
        <v>18306893</v>
      </c>
      <c r="BO72" s="1" t="s">
        <v>74</v>
      </c>
      <c r="BP72" s="1" t="s">
        <v>74</v>
      </c>
      <c r="BQ72" s="1" t="s">
        <v>74</v>
      </c>
      <c r="BR72" s="1" t="s">
        <v>98</v>
      </c>
      <c r="BS72" s="1" t="s">
        <v>1473</v>
      </c>
      <c r="BT72" s="1" t="str">
        <f>HYPERLINK("https%3A%2F%2Fwww.webofscience.com%2Fwos%2Fwoscc%2Ffull-record%2FWOS:000253493200015","View Full Record in Web of Science")</f>
        <v>View Full Record in Web of Science</v>
      </c>
    </row>
    <row r="73" spans="1:72">
      <c r="A73" s="1" t="s">
        <v>72</v>
      </c>
      <c r="B73" s="1" t="s">
        <v>1474</v>
      </c>
      <c r="C73" s="1" t="s">
        <v>74</v>
      </c>
      <c r="D73" s="1" t="s">
        <v>74</v>
      </c>
      <c r="E73" s="1" t="s">
        <v>74</v>
      </c>
      <c r="F73" s="1" t="s">
        <v>1475</v>
      </c>
      <c r="G73" s="1" t="s">
        <v>74</v>
      </c>
      <c r="H73" s="1" t="s">
        <v>74</v>
      </c>
      <c r="I73" s="1" t="s">
        <v>1476</v>
      </c>
      <c r="J73" s="1" t="s">
        <v>641</v>
      </c>
      <c r="K73" s="1" t="s">
        <v>74</v>
      </c>
      <c r="L73" s="1" t="s">
        <v>74</v>
      </c>
      <c r="M73" s="1" t="s">
        <v>78</v>
      </c>
      <c r="N73" s="1" t="s">
        <v>79</v>
      </c>
      <c r="O73" s="1" t="s">
        <v>74</v>
      </c>
      <c r="P73" s="1" t="s">
        <v>74</v>
      </c>
      <c r="Q73" s="1" t="s">
        <v>74</v>
      </c>
      <c r="R73" s="1" t="s">
        <v>74</v>
      </c>
      <c r="S73" s="1" t="s">
        <v>74</v>
      </c>
      <c r="T73" s="1" t="s">
        <v>1477</v>
      </c>
      <c r="U73" s="1" t="s">
        <v>1478</v>
      </c>
      <c r="V73" s="1" t="s">
        <v>1479</v>
      </c>
      <c r="W73" s="1" t="s">
        <v>1480</v>
      </c>
      <c r="X73" s="1" t="s">
        <v>1481</v>
      </c>
      <c r="Y73" s="1" t="s">
        <v>1482</v>
      </c>
      <c r="Z73" s="1" t="s">
        <v>1483</v>
      </c>
      <c r="AA73" s="1" t="s">
        <v>1484</v>
      </c>
      <c r="AB73" s="1" t="s">
        <v>1485</v>
      </c>
      <c r="AC73" s="1" t="s">
        <v>1486</v>
      </c>
      <c r="AD73" s="1" t="s">
        <v>1487</v>
      </c>
      <c r="AE73" s="1" t="s">
        <v>1488</v>
      </c>
      <c r="AF73" s="1" t="s">
        <v>74</v>
      </c>
      <c r="AG73" s="1">
        <v>39</v>
      </c>
      <c r="AH73" s="1">
        <v>119</v>
      </c>
      <c r="AI73" s="1">
        <v>128</v>
      </c>
      <c r="AJ73" s="1">
        <v>1</v>
      </c>
      <c r="AK73" s="1">
        <v>91</v>
      </c>
      <c r="AL73" s="1" t="s">
        <v>650</v>
      </c>
      <c r="AM73" s="1" t="s">
        <v>651</v>
      </c>
      <c r="AN73" s="1" t="s">
        <v>652</v>
      </c>
      <c r="AO73" s="1" t="s">
        <v>653</v>
      </c>
      <c r="AP73" s="1" t="s">
        <v>654</v>
      </c>
      <c r="AQ73" s="1" t="s">
        <v>74</v>
      </c>
      <c r="AR73" s="1" t="s">
        <v>655</v>
      </c>
      <c r="AS73" s="1" t="s">
        <v>656</v>
      </c>
      <c r="AT73" s="1" t="s">
        <v>546</v>
      </c>
      <c r="AU73" s="1">
        <v>2010</v>
      </c>
      <c r="AV73" s="1">
        <v>100</v>
      </c>
      <c r="AW73" s="1">
        <v>4</v>
      </c>
      <c r="AX73" s="1" t="s">
        <v>74</v>
      </c>
      <c r="AY73" s="1" t="s">
        <v>74</v>
      </c>
      <c r="AZ73" s="1" t="s">
        <v>74</v>
      </c>
      <c r="BA73" s="1" t="s">
        <v>74</v>
      </c>
      <c r="BB73" s="1">
        <v>339</v>
      </c>
      <c r="BC73" s="1">
        <v>345</v>
      </c>
      <c r="BD73" s="1" t="s">
        <v>74</v>
      </c>
      <c r="BE73" s="1" t="s">
        <v>1489</v>
      </c>
      <c r="BF73" s="1" t="str">
        <f>HYPERLINK("http://dx.doi.org/10.1016/j.aquatox.2010.08.005","http://dx.doi.org/10.1016/j.aquatox.2010.08.005")</f>
        <v>http://dx.doi.org/10.1016/j.aquatox.2010.08.005</v>
      </c>
      <c r="BG73" s="1" t="s">
        <v>74</v>
      </c>
      <c r="BH73" s="1" t="s">
        <v>74</v>
      </c>
      <c r="BI73" s="1">
        <v>7</v>
      </c>
      <c r="BJ73" s="1" t="s">
        <v>659</v>
      </c>
      <c r="BK73" s="1" t="s">
        <v>96</v>
      </c>
      <c r="BL73" s="1" t="s">
        <v>659</v>
      </c>
      <c r="BM73" s="1" t="s">
        <v>1490</v>
      </c>
      <c r="BN73" s="1">
        <v>20843565</v>
      </c>
      <c r="BO73" s="1" t="s">
        <v>74</v>
      </c>
      <c r="BP73" s="1" t="s">
        <v>74</v>
      </c>
      <c r="BQ73" s="1" t="s">
        <v>74</v>
      </c>
      <c r="BR73" s="1" t="s">
        <v>98</v>
      </c>
      <c r="BS73" s="1" t="s">
        <v>1491</v>
      </c>
      <c r="BT73" s="1" t="str">
        <f>HYPERLINK("https%3A%2F%2Fwww.webofscience.com%2Fwos%2Fwoscc%2Ffull-record%2FWOS:000284787200005","View Full Record in Web of Science")</f>
        <v>View Full Record in Web of Science</v>
      </c>
    </row>
    <row r="74" spans="1:72">
      <c r="A74" s="1" t="s">
        <v>72</v>
      </c>
      <c r="B74" s="1" t="s">
        <v>1492</v>
      </c>
      <c r="C74" s="1" t="s">
        <v>74</v>
      </c>
      <c r="D74" s="1" t="s">
        <v>74</v>
      </c>
      <c r="E74" s="1" t="s">
        <v>74</v>
      </c>
      <c r="F74" s="1" t="s">
        <v>1493</v>
      </c>
      <c r="G74" s="1" t="s">
        <v>74</v>
      </c>
      <c r="H74" s="1" t="s">
        <v>74</v>
      </c>
      <c r="I74" s="1" t="s">
        <v>1494</v>
      </c>
      <c r="J74" s="1" t="s">
        <v>232</v>
      </c>
      <c r="K74" s="1" t="s">
        <v>74</v>
      </c>
      <c r="L74" s="1" t="s">
        <v>74</v>
      </c>
      <c r="M74" s="1" t="s">
        <v>78</v>
      </c>
      <c r="N74" s="1" t="s">
        <v>79</v>
      </c>
      <c r="O74" s="1" t="s">
        <v>74</v>
      </c>
      <c r="P74" s="1" t="s">
        <v>74</v>
      </c>
      <c r="Q74" s="1" t="s">
        <v>74</v>
      </c>
      <c r="R74" s="1" t="s">
        <v>74</v>
      </c>
      <c r="S74" s="1" t="s">
        <v>74</v>
      </c>
      <c r="T74" s="1" t="s">
        <v>1495</v>
      </c>
      <c r="U74" s="1" t="s">
        <v>1496</v>
      </c>
      <c r="V74" s="1" t="s">
        <v>1497</v>
      </c>
      <c r="W74" s="1" t="s">
        <v>1498</v>
      </c>
      <c r="X74" s="1" t="s">
        <v>1499</v>
      </c>
      <c r="Y74" s="1" t="s">
        <v>1500</v>
      </c>
      <c r="Z74" s="1" t="s">
        <v>1501</v>
      </c>
      <c r="AA74" s="1" t="s">
        <v>1502</v>
      </c>
      <c r="AB74" s="1" t="s">
        <v>1503</v>
      </c>
      <c r="AC74" s="1" t="s">
        <v>1504</v>
      </c>
      <c r="AD74" s="1" t="s">
        <v>1505</v>
      </c>
      <c r="AE74" s="1" t="s">
        <v>1506</v>
      </c>
      <c r="AF74" s="1" t="s">
        <v>74</v>
      </c>
      <c r="AG74" s="1">
        <v>47</v>
      </c>
      <c r="AH74" s="1">
        <v>78</v>
      </c>
      <c r="AI74" s="1">
        <v>81</v>
      </c>
      <c r="AJ74" s="1">
        <v>2</v>
      </c>
      <c r="AK74" s="1">
        <v>53</v>
      </c>
      <c r="AL74" s="1" t="s">
        <v>136</v>
      </c>
      <c r="AM74" s="1" t="s">
        <v>137</v>
      </c>
      <c r="AN74" s="1" t="s">
        <v>138</v>
      </c>
      <c r="AO74" s="1" t="s">
        <v>240</v>
      </c>
      <c r="AP74" s="1" t="s">
        <v>241</v>
      </c>
      <c r="AQ74" s="1" t="s">
        <v>74</v>
      </c>
      <c r="AR74" s="1" t="s">
        <v>242</v>
      </c>
      <c r="AS74" s="1" t="s">
        <v>243</v>
      </c>
      <c r="AT74" s="1" t="s">
        <v>1507</v>
      </c>
      <c r="AU74" s="1">
        <v>2016</v>
      </c>
      <c r="AV74" s="1">
        <v>105</v>
      </c>
      <c r="AW74" s="1">
        <v>1</v>
      </c>
      <c r="AX74" s="1" t="s">
        <v>74</v>
      </c>
      <c r="AY74" s="1" t="s">
        <v>74</v>
      </c>
      <c r="AZ74" s="1" t="s">
        <v>74</v>
      </c>
      <c r="BA74" s="1" t="s">
        <v>74</v>
      </c>
      <c r="BB74" s="1">
        <v>393</v>
      </c>
      <c r="BC74" s="1">
        <v>402</v>
      </c>
      <c r="BD74" s="1" t="s">
        <v>74</v>
      </c>
      <c r="BE74" s="1" t="s">
        <v>1508</v>
      </c>
      <c r="BF74" s="1" t="str">
        <f>HYPERLINK("http://dx.doi.org/10.1016/j.marpolbul.2016.02.021","http://dx.doi.org/10.1016/j.marpolbul.2016.02.021")</f>
        <v>http://dx.doi.org/10.1016/j.marpolbul.2016.02.021</v>
      </c>
      <c r="BG74" s="1" t="s">
        <v>74</v>
      </c>
      <c r="BH74" s="1" t="s">
        <v>74</v>
      </c>
      <c r="BI74" s="1">
        <v>10</v>
      </c>
      <c r="BJ74" s="1" t="s">
        <v>247</v>
      </c>
      <c r="BK74" s="1" t="s">
        <v>96</v>
      </c>
      <c r="BL74" s="1" t="s">
        <v>248</v>
      </c>
      <c r="BM74" s="1" t="s">
        <v>1509</v>
      </c>
      <c r="BN74" s="1">
        <v>26917093</v>
      </c>
      <c r="BO74" s="1" t="s">
        <v>74</v>
      </c>
      <c r="BP74" s="1" t="s">
        <v>74</v>
      </c>
      <c r="BQ74" s="1" t="s">
        <v>74</v>
      </c>
      <c r="BR74" s="1" t="s">
        <v>98</v>
      </c>
      <c r="BS74" s="1" t="s">
        <v>1510</v>
      </c>
      <c r="BT74" s="1" t="str">
        <f>HYPERLINK("https%3A%2F%2Fwww.webofscience.com%2Fwos%2Fwoscc%2Ffull-record%2FWOS:000375816000060","View Full Record in Web of Science")</f>
        <v>View Full Record in Web of Science</v>
      </c>
    </row>
    <row r="75" spans="1:72">
      <c r="A75" s="1" t="s">
        <v>72</v>
      </c>
      <c r="B75" s="1" t="s">
        <v>1511</v>
      </c>
      <c r="C75" s="1" t="s">
        <v>74</v>
      </c>
      <c r="D75" s="1" t="s">
        <v>74</v>
      </c>
      <c r="E75" s="1" t="s">
        <v>74</v>
      </c>
      <c r="F75" s="1" t="s">
        <v>1512</v>
      </c>
      <c r="G75" s="1" t="s">
        <v>74</v>
      </c>
      <c r="H75" s="1" t="s">
        <v>74</v>
      </c>
      <c r="I75" s="1" t="s">
        <v>1513</v>
      </c>
      <c r="J75" s="1" t="s">
        <v>1514</v>
      </c>
      <c r="K75" s="1" t="s">
        <v>74</v>
      </c>
      <c r="L75" s="1" t="s">
        <v>74</v>
      </c>
      <c r="M75" s="1" t="s">
        <v>78</v>
      </c>
      <c r="N75" s="1" t="s">
        <v>79</v>
      </c>
      <c r="O75" s="1" t="s">
        <v>74</v>
      </c>
      <c r="P75" s="1" t="s">
        <v>74</v>
      </c>
      <c r="Q75" s="1" t="s">
        <v>74</v>
      </c>
      <c r="R75" s="1" t="s">
        <v>74</v>
      </c>
      <c r="S75" s="1" t="s">
        <v>74</v>
      </c>
      <c r="T75" s="1" t="s">
        <v>1515</v>
      </c>
      <c r="U75" s="1" t="s">
        <v>1516</v>
      </c>
      <c r="V75" s="1" t="s">
        <v>1517</v>
      </c>
      <c r="W75" s="1" t="s">
        <v>1518</v>
      </c>
      <c r="X75" s="1" t="s">
        <v>1519</v>
      </c>
      <c r="Y75" s="1" t="s">
        <v>1520</v>
      </c>
      <c r="Z75" s="1" t="s">
        <v>1521</v>
      </c>
      <c r="AA75" s="1" t="s">
        <v>1522</v>
      </c>
      <c r="AB75" s="1" t="s">
        <v>1523</v>
      </c>
      <c r="AC75" s="1" t="s">
        <v>74</v>
      </c>
      <c r="AD75" s="1" t="s">
        <v>74</v>
      </c>
      <c r="AE75" s="1" t="s">
        <v>74</v>
      </c>
      <c r="AF75" s="1" t="s">
        <v>74</v>
      </c>
      <c r="AG75" s="1">
        <v>17</v>
      </c>
      <c r="AH75" s="1">
        <v>20</v>
      </c>
      <c r="AI75" s="1">
        <v>21</v>
      </c>
      <c r="AJ75" s="1">
        <v>2</v>
      </c>
      <c r="AK75" s="1">
        <v>22</v>
      </c>
      <c r="AL75" s="1" t="s">
        <v>112</v>
      </c>
      <c r="AM75" s="1" t="s">
        <v>191</v>
      </c>
      <c r="AN75" s="1" t="s">
        <v>192</v>
      </c>
      <c r="AO75" s="1" t="s">
        <v>1524</v>
      </c>
      <c r="AP75" s="1" t="s">
        <v>74</v>
      </c>
      <c r="AQ75" s="1" t="s">
        <v>74</v>
      </c>
      <c r="AR75" s="1" t="s">
        <v>1525</v>
      </c>
      <c r="AS75" s="1" t="s">
        <v>1526</v>
      </c>
      <c r="AT75" s="1" t="s">
        <v>142</v>
      </c>
      <c r="AU75" s="1">
        <v>2008</v>
      </c>
      <c r="AV75" s="1">
        <v>32</v>
      </c>
      <c r="AW75" s="1">
        <v>5</v>
      </c>
      <c r="AX75" s="1" t="s">
        <v>74</v>
      </c>
      <c r="AY75" s="1" t="s">
        <v>74</v>
      </c>
      <c r="AZ75" s="1" t="s">
        <v>74</v>
      </c>
      <c r="BA75" s="1" t="s">
        <v>74</v>
      </c>
      <c r="BB75" s="1">
        <v>377</v>
      </c>
      <c r="BC75" s="1">
        <v>381</v>
      </c>
      <c r="BD75" s="1" t="s">
        <v>74</v>
      </c>
      <c r="BE75" s="1" t="s">
        <v>1527</v>
      </c>
      <c r="BF75" s="1" t="str">
        <f>HYPERLINK("http://dx.doi.org/10.1007/s11259-008-9045-y","http://dx.doi.org/10.1007/s11259-008-9045-y")</f>
        <v>http://dx.doi.org/10.1007/s11259-008-9045-y</v>
      </c>
      <c r="BG75" s="1" t="s">
        <v>74</v>
      </c>
      <c r="BH75" s="1" t="s">
        <v>74</v>
      </c>
      <c r="BI75" s="1">
        <v>5</v>
      </c>
      <c r="BJ75" s="1" t="s">
        <v>1057</v>
      </c>
      <c r="BK75" s="1" t="s">
        <v>96</v>
      </c>
      <c r="BL75" s="1" t="s">
        <v>1057</v>
      </c>
      <c r="BM75" s="1" t="s">
        <v>1528</v>
      </c>
      <c r="BN75" s="1">
        <v>18369732</v>
      </c>
      <c r="BO75" s="1" t="s">
        <v>74</v>
      </c>
      <c r="BP75" s="1" t="s">
        <v>74</v>
      </c>
      <c r="BQ75" s="1" t="s">
        <v>74</v>
      </c>
      <c r="BR75" s="1" t="s">
        <v>98</v>
      </c>
      <c r="BS75" s="1" t="s">
        <v>1529</v>
      </c>
      <c r="BT75" s="1" t="str">
        <f>HYPERLINK("https%3A%2F%2Fwww.webofscience.com%2Fwos%2Fwoscc%2Ffull-record%2FWOS:000255629800004","View Full Record in Web of Science")</f>
        <v>View Full Record in Web of Science</v>
      </c>
    </row>
    <row r="76" spans="1:72">
      <c r="A76" s="1" t="s">
        <v>72</v>
      </c>
      <c r="B76" s="1" t="s">
        <v>1530</v>
      </c>
      <c r="C76" s="1" t="s">
        <v>74</v>
      </c>
      <c r="D76" s="1" t="s">
        <v>74</v>
      </c>
      <c r="E76" s="1" t="s">
        <v>74</v>
      </c>
      <c r="F76" s="1" t="s">
        <v>1531</v>
      </c>
      <c r="G76" s="1" t="s">
        <v>74</v>
      </c>
      <c r="H76" s="1" t="s">
        <v>74</v>
      </c>
      <c r="I76" s="1" t="s">
        <v>1532</v>
      </c>
      <c r="J76" s="1" t="s">
        <v>1533</v>
      </c>
      <c r="K76" s="1" t="s">
        <v>74</v>
      </c>
      <c r="L76" s="1" t="s">
        <v>74</v>
      </c>
      <c r="M76" s="1" t="s">
        <v>78</v>
      </c>
      <c r="N76" s="1" t="s">
        <v>79</v>
      </c>
      <c r="O76" s="1" t="s">
        <v>74</v>
      </c>
      <c r="P76" s="1" t="s">
        <v>74</v>
      </c>
      <c r="Q76" s="1" t="s">
        <v>74</v>
      </c>
      <c r="R76" s="1" t="s">
        <v>74</v>
      </c>
      <c r="S76" s="1" t="s">
        <v>74</v>
      </c>
      <c r="T76" s="1" t="s">
        <v>1534</v>
      </c>
      <c r="U76" s="1" t="s">
        <v>1535</v>
      </c>
      <c r="V76" s="1" t="s">
        <v>1536</v>
      </c>
      <c r="W76" s="1" t="s">
        <v>1537</v>
      </c>
      <c r="X76" s="1" t="s">
        <v>1538</v>
      </c>
      <c r="Y76" s="1" t="s">
        <v>1539</v>
      </c>
      <c r="Z76" s="1" t="s">
        <v>1540</v>
      </c>
      <c r="AA76" s="1" t="s">
        <v>74</v>
      </c>
      <c r="AB76" s="1" t="s">
        <v>1541</v>
      </c>
      <c r="AC76" s="1" t="s">
        <v>1542</v>
      </c>
      <c r="AD76" s="1" t="s">
        <v>1542</v>
      </c>
      <c r="AE76" s="1" t="s">
        <v>1543</v>
      </c>
      <c r="AF76" s="1" t="s">
        <v>74</v>
      </c>
      <c r="AG76" s="1">
        <v>61</v>
      </c>
      <c r="AH76" s="1">
        <v>14</v>
      </c>
      <c r="AI76" s="1">
        <v>17</v>
      </c>
      <c r="AJ76" s="1">
        <v>3</v>
      </c>
      <c r="AK76" s="1">
        <v>26</v>
      </c>
      <c r="AL76" s="1" t="s">
        <v>1544</v>
      </c>
      <c r="AM76" s="1" t="s">
        <v>1545</v>
      </c>
      <c r="AN76" s="1" t="s">
        <v>1546</v>
      </c>
      <c r="AO76" s="1" t="s">
        <v>1547</v>
      </c>
      <c r="AP76" s="1" t="s">
        <v>74</v>
      </c>
      <c r="AQ76" s="1" t="s">
        <v>74</v>
      </c>
      <c r="AR76" s="1" t="s">
        <v>1533</v>
      </c>
      <c r="AS76" s="1" t="s">
        <v>1548</v>
      </c>
      <c r="AT76" s="1" t="s">
        <v>74</v>
      </c>
      <c r="AU76" s="1">
        <v>2017</v>
      </c>
      <c r="AV76" s="1">
        <v>27</v>
      </c>
      <c r="AW76" s="1">
        <v>2</v>
      </c>
      <c r="AX76" s="1" t="s">
        <v>74</v>
      </c>
      <c r="AY76" s="1" t="s">
        <v>74</v>
      </c>
      <c r="AZ76" s="1" t="s">
        <v>74</v>
      </c>
      <c r="BA76" s="1" t="s">
        <v>74</v>
      </c>
      <c r="BB76" s="1">
        <v>219</v>
      </c>
      <c r="BC76" s="1">
        <v>227</v>
      </c>
      <c r="BD76" s="1" t="s">
        <v>74</v>
      </c>
      <c r="BE76" s="1" t="s">
        <v>74</v>
      </c>
      <c r="BF76" s="1" t="s">
        <v>74</v>
      </c>
      <c r="BG76" s="1" t="s">
        <v>74</v>
      </c>
      <c r="BH76" s="1" t="s">
        <v>74</v>
      </c>
      <c r="BI76" s="1">
        <v>9</v>
      </c>
      <c r="BJ76" s="1" t="s">
        <v>680</v>
      </c>
      <c r="BK76" s="1" t="s">
        <v>96</v>
      </c>
      <c r="BL76" s="1" t="s">
        <v>680</v>
      </c>
      <c r="BM76" s="1" t="s">
        <v>1549</v>
      </c>
      <c r="BN76" s="1" t="s">
        <v>74</v>
      </c>
      <c r="BO76" s="1" t="s">
        <v>74</v>
      </c>
      <c r="BP76" s="1" t="s">
        <v>74</v>
      </c>
      <c r="BQ76" s="1" t="s">
        <v>74</v>
      </c>
      <c r="BR76" s="1" t="s">
        <v>98</v>
      </c>
      <c r="BS76" s="1" t="s">
        <v>1550</v>
      </c>
      <c r="BT76" s="1" t="str">
        <f>HYPERLINK("https%3A%2F%2Fwww.webofscience.com%2Fwos%2Fwoscc%2Ffull-record%2FWOS:000418486800007","View Full Record in Web of Science")</f>
        <v>View Full Record in Web of Science</v>
      </c>
    </row>
    <row r="77" spans="1:72">
      <c r="A77" s="1" t="s">
        <v>72</v>
      </c>
      <c r="B77" s="1" t="s">
        <v>1551</v>
      </c>
      <c r="C77" s="1" t="s">
        <v>74</v>
      </c>
      <c r="D77" s="1" t="s">
        <v>74</v>
      </c>
      <c r="E77" s="1" t="s">
        <v>74</v>
      </c>
      <c r="F77" s="1" t="s">
        <v>1552</v>
      </c>
      <c r="G77" s="1" t="s">
        <v>74</v>
      </c>
      <c r="H77" s="1" t="s">
        <v>74</v>
      </c>
      <c r="I77" s="1" t="s">
        <v>1553</v>
      </c>
      <c r="J77" s="1" t="s">
        <v>1554</v>
      </c>
      <c r="K77" s="1" t="s">
        <v>74</v>
      </c>
      <c r="L77" s="1" t="s">
        <v>74</v>
      </c>
      <c r="M77" s="1" t="s">
        <v>78</v>
      </c>
      <c r="N77" s="1" t="s">
        <v>79</v>
      </c>
      <c r="O77" s="1" t="s">
        <v>74</v>
      </c>
      <c r="P77" s="1" t="s">
        <v>74</v>
      </c>
      <c r="Q77" s="1" t="s">
        <v>74</v>
      </c>
      <c r="R77" s="1" t="s">
        <v>74</v>
      </c>
      <c r="S77" s="1" t="s">
        <v>74</v>
      </c>
      <c r="T77" s="1" t="s">
        <v>1555</v>
      </c>
      <c r="U77" s="1" t="s">
        <v>74</v>
      </c>
      <c r="V77" s="1" t="s">
        <v>1556</v>
      </c>
      <c r="W77" s="1" t="s">
        <v>1557</v>
      </c>
      <c r="X77" s="1" t="s">
        <v>1558</v>
      </c>
      <c r="Y77" s="1" t="s">
        <v>1559</v>
      </c>
      <c r="Z77" s="1" t="s">
        <v>1560</v>
      </c>
      <c r="AA77" s="1" t="s">
        <v>1561</v>
      </c>
      <c r="AB77" s="1" t="s">
        <v>1562</v>
      </c>
      <c r="AC77" s="1" t="s">
        <v>1563</v>
      </c>
      <c r="AD77" s="1" t="s">
        <v>1564</v>
      </c>
      <c r="AE77" s="1" t="s">
        <v>1565</v>
      </c>
      <c r="AF77" s="1" t="s">
        <v>74</v>
      </c>
      <c r="AG77" s="1">
        <v>62</v>
      </c>
      <c r="AH77" s="1">
        <v>3</v>
      </c>
      <c r="AI77" s="1">
        <v>3</v>
      </c>
      <c r="AJ77" s="1">
        <v>1</v>
      </c>
      <c r="AK77" s="1">
        <v>8</v>
      </c>
      <c r="AL77" s="1" t="s">
        <v>1566</v>
      </c>
      <c r="AM77" s="1" t="s">
        <v>1567</v>
      </c>
      <c r="AN77" s="1" t="s">
        <v>1568</v>
      </c>
      <c r="AO77" s="1" t="s">
        <v>74</v>
      </c>
      <c r="AP77" s="1" t="s">
        <v>1569</v>
      </c>
      <c r="AQ77" s="1" t="s">
        <v>74</v>
      </c>
      <c r="AR77" s="1" t="s">
        <v>1570</v>
      </c>
      <c r="AS77" s="1" t="s">
        <v>1571</v>
      </c>
      <c r="AT77" s="1" t="s">
        <v>224</v>
      </c>
      <c r="AU77" s="1">
        <v>2021</v>
      </c>
      <c r="AV77" s="1">
        <v>11</v>
      </c>
      <c r="AW77" s="1">
        <v>4</v>
      </c>
      <c r="AX77" s="1" t="s">
        <v>74</v>
      </c>
      <c r="AY77" s="1" t="s">
        <v>74</v>
      </c>
      <c r="AZ77" s="1" t="s">
        <v>74</v>
      </c>
      <c r="BA77" s="1" t="s">
        <v>74</v>
      </c>
      <c r="BB77" s="1" t="s">
        <v>74</v>
      </c>
      <c r="BC77" s="1" t="s">
        <v>74</v>
      </c>
      <c r="BD77" s="1">
        <v>1856</v>
      </c>
      <c r="BE77" s="1" t="s">
        <v>1572</v>
      </c>
      <c r="BF77" s="1" t="str">
        <f>HYPERLINK("http://dx.doi.org/10.3390/app11041856","http://dx.doi.org/10.3390/app11041856")</f>
        <v>http://dx.doi.org/10.3390/app11041856</v>
      </c>
      <c r="BG77" s="1" t="s">
        <v>74</v>
      </c>
      <c r="BH77" s="1" t="s">
        <v>74</v>
      </c>
      <c r="BI77" s="1">
        <v>14</v>
      </c>
      <c r="BJ77" s="1" t="s">
        <v>1573</v>
      </c>
      <c r="BK77" s="1" t="s">
        <v>96</v>
      </c>
      <c r="BL77" s="1" t="s">
        <v>1574</v>
      </c>
      <c r="BM77" s="1" t="s">
        <v>1575</v>
      </c>
      <c r="BN77" s="1" t="s">
        <v>74</v>
      </c>
      <c r="BO77" s="1" t="s">
        <v>873</v>
      </c>
      <c r="BP77" s="1" t="s">
        <v>74</v>
      </c>
      <c r="BQ77" s="1" t="s">
        <v>74</v>
      </c>
      <c r="BR77" s="1" t="s">
        <v>98</v>
      </c>
      <c r="BS77" s="1" t="s">
        <v>1576</v>
      </c>
      <c r="BT77" s="1" t="str">
        <f>HYPERLINK("https%3A%2F%2Fwww.webofscience.com%2Fwos%2Fwoscc%2Ffull-record%2FWOS:000632076800001","View Full Record in Web of Science")</f>
        <v>View Full Record in Web of Science</v>
      </c>
    </row>
    <row r="78" spans="1:72">
      <c r="A78" s="1" t="s">
        <v>72</v>
      </c>
      <c r="B78" s="1" t="s">
        <v>201</v>
      </c>
      <c r="C78" s="1" t="s">
        <v>74</v>
      </c>
      <c r="D78" s="1" t="s">
        <v>74</v>
      </c>
      <c r="E78" s="1" t="s">
        <v>74</v>
      </c>
      <c r="F78" s="1" t="s">
        <v>202</v>
      </c>
      <c r="G78" s="1" t="s">
        <v>74</v>
      </c>
      <c r="H78" s="1" t="s">
        <v>74</v>
      </c>
      <c r="I78" s="1" t="s">
        <v>1577</v>
      </c>
      <c r="J78" s="1" t="s">
        <v>204</v>
      </c>
      <c r="K78" s="1" t="s">
        <v>74</v>
      </c>
      <c r="L78" s="1" t="s">
        <v>74</v>
      </c>
      <c r="M78" s="1" t="s">
        <v>78</v>
      </c>
      <c r="N78" s="1" t="s">
        <v>79</v>
      </c>
      <c r="O78" s="1" t="s">
        <v>74</v>
      </c>
      <c r="P78" s="1" t="s">
        <v>74</v>
      </c>
      <c r="Q78" s="1" t="s">
        <v>74</v>
      </c>
      <c r="R78" s="1" t="s">
        <v>74</v>
      </c>
      <c r="S78" s="1" t="s">
        <v>74</v>
      </c>
      <c r="T78" s="1" t="s">
        <v>1578</v>
      </c>
      <c r="U78" s="1" t="s">
        <v>1579</v>
      </c>
      <c r="V78" s="1" t="s">
        <v>1580</v>
      </c>
      <c r="W78" s="1" t="s">
        <v>1581</v>
      </c>
      <c r="X78" s="1" t="s">
        <v>209</v>
      </c>
      <c r="Y78" s="1" t="s">
        <v>1582</v>
      </c>
      <c r="Z78" s="1" t="s">
        <v>1583</v>
      </c>
      <c r="AA78" s="1" t="s">
        <v>212</v>
      </c>
      <c r="AB78" s="1" t="s">
        <v>213</v>
      </c>
      <c r="AC78" s="1" t="s">
        <v>1584</v>
      </c>
      <c r="AD78" s="1" t="s">
        <v>1585</v>
      </c>
      <c r="AE78" s="1" t="s">
        <v>1586</v>
      </c>
      <c r="AF78" s="1" t="s">
        <v>74</v>
      </c>
      <c r="AG78" s="1">
        <v>59</v>
      </c>
      <c r="AH78" s="1">
        <v>6</v>
      </c>
      <c r="AI78" s="1">
        <v>7</v>
      </c>
      <c r="AJ78" s="1">
        <v>3</v>
      </c>
      <c r="AK78" s="1">
        <v>39</v>
      </c>
      <c r="AL78" s="1" t="s">
        <v>217</v>
      </c>
      <c r="AM78" s="1" t="s">
        <v>218</v>
      </c>
      <c r="AN78" s="1" t="s">
        <v>219</v>
      </c>
      <c r="AO78" s="1" t="s">
        <v>220</v>
      </c>
      <c r="AP78" s="1" t="s">
        <v>221</v>
      </c>
      <c r="AQ78" s="1" t="s">
        <v>74</v>
      </c>
      <c r="AR78" s="1" t="s">
        <v>222</v>
      </c>
      <c r="AS78" s="1" t="s">
        <v>223</v>
      </c>
      <c r="AT78" s="1" t="s">
        <v>267</v>
      </c>
      <c r="AU78" s="1">
        <v>2020</v>
      </c>
      <c r="AV78" s="1">
        <v>27</v>
      </c>
      <c r="AW78" s="1">
        <v>30</v>
      </c>
      <c r="AX78" s="1" t="s">
        <v>74</v>
      </c>
      <c r="AY78" s="1" t="s">
        <v>74</v>
      </c>
      <c r="AZ78" s="1" t="s">
        <v>74</v>
      </c>
      <c r="BA78" s="1" t="s">
        <v>74</v>
      </c>
      <c r="BB78" s="1">
        <v>37384</v>
      </c>
      <c r="BC78" s="1">
        <v>37394</v>
      </c>
      <c r="BD78" s="1" t="s">
        <v>74</v>
      </c>
      <c r="BE78" s="1" t="s">
        <v>1587</v>
      </c>
      <c r="BF78" s="1" t="str">
        <f>HYPERLINK("http://dx.doi.org/10.1007/s11356-020-09106-3","http://dx.doi.org/10.1007/s11356-020-09106-3")</f>
        <v>http://dx.doi.org/10.1007/s11356-020-09106-3</v>
      </c>
      <c r="BG78" s="1" t="s">
        <v>74</v>
      </c>
      <c r="BH78" s="1" t="s">
        <v>1588</v>
      </c>
      <c r="BI78" s="1">
        <v>11</v>
      </c>
      <c r="BJ78" s="1" t="s">
        <v>144</v>
      </c>
      <c r="BK78" s="1" t="s">
        <v>96</v>
      </c>
      <c r="BL78" s="1" t="s">
        <v>145</v>
      </c>
      <c r="BM78" s="1" t="s">
        <v>1589</v>
      </c>
      <c r="BN78" s="1">
        <v>32378107</v>
      </c>
      <c r="BO78" s="1" t="s">
        <v>74</v>
      </c>
      <c r="BP78" s="1" t="s">
        <v>74</v>
      </c>
      <c r="BQ78" s="1" t="s">
        <v>74</v>
      </c>
      <c r="BR78" s="1" t="s">
        <v>98</v>
      </c>
      <c r="BS78" s="1" t="s">
        <v>1590</v>
      </c>
      <c r="BT78" s="1" t="str">
        <f>HYPERLINK("https%3A%2F%2Fwww.webofscience.com%2Fwos%2Fwoscc%2Ffull-record%2FWOS:000530810900002","View Full Record in Web of Science")</f>
        <v>View Full Record in Web of Science</v>
      </c>
    </row>
    <row r="79" spans="1:72">
      <c r="A79" s="1" t="s">
        <v>72</v>
      </c>
      <c r="B79" s="1" t="s">
        <v>1591</v>
      </c>
      <c r="C79" s="1" t="s">
        <v>74</v>
      </c>
      <c r="D79" s="1" t="s">
        <v>74</v>
      </c>
      <c r="E79" s="1" t="s">
        <v>74</v>
      </c>
      <c r="F79" s="1" t="s">
        <v>1591</v>
      </c>
      <c r="G79" s="1" t="s">
        <v>74</v>
      </c>
      <c r="H79" s="1" t="s">
        <v>74</v>
      </c>
      <c r="I79" s="1" t="s">
        <v>1592</v>
      </c>
      <c r="J79" s="1" t="s">
        <v>421</v>
      </c>
      <c r="K79" s="1" t="s">
        <v>74</v>
      </c>
      <c r="L79" s="1" t="s">
        <v>74</v>
      </c>
      <c r="M79" s="1" t="s">
        <v>78</v>
      </c>
      <c r="N79" s="1" t="s">
        <v>79</v>
      </c>
      <c r="O79" s="1" t="s">
        <v>74</v>
      </c>
      <c r="P79" s="1" t="s">
        <v>74</v>
      </c>
      <c r="Q79" s="1" t="s">
        <v>74</v>
      </c>
      <c r="R79" s="1" t="s">
        <v>74</v>
      </c>
      <c r="S79" s="1" t="s">
        <v>74</v>
      </c>
      <c r="T79" s="1" t="s">
        <v>1593</v>
      </c>
      <c r="U79" s="1" t="s">
        <v>1594</v>
      </c>
      <c r="V79" s="1" t="s">
        <v>1595</v>
      </c>
      <c r="W79" s="1" t="s">
        <v>1596</v>
      </c>
      <c r="X79" s="1" t="s">
        <v>1597</v>
      </c>
      <c r="Y79" s="1" t="s">
        <v>74</v>
      </c>
      <c r="Z79" s="1" t="s">
        <v>74</v>
      </c>
      <c r="AA79" s="1" t="s">
        <v>1598</v>
      </c>
      <c r="AB79" s="1" t="s">
        <v>1599</v>
      </c>
      <c r="AC79" s="1" t="s">
        <v>74</v>
      </c>
      <c r="AD79" s="1" t="s">
        <v>74</v>
      </c>
      <c r="AE79" s="1" t="s">
        <v>74</v>
      </c>
      <c r="AF79" s="1" t="s">
        <v>74</v>
      </c>
      <c r="AG79" s="1">
        <v>43</v>
      </c>
      <c r="AH79" s="1">
        <v>61</v>
      </c>
      <c r="AI79" s="1">
        <v>67</v>
      </c>
      <c r="AJ79" s="1">
        <v>0</v>
      </c>
      <c r="AK79" s="1">
        <v>15</v>
      </c>
      <c r="AL79" s="1" t="s">
        <v>430</v>
      </c>
      <c r="AM79" s="1" t="s">
        <v>137</v>
      </c>
      <c r="AN79" s="1" t="s">
        <v>1600</v>
      </c>
      <c r="AO79" s="1" t="s">
        <v>432</v>
      </c>
      <c r="AP79" s="1" t="s">
        <v>74</v>
      </c>
      <c r="AQ79" s="1" t="s">
        <v>74</v>
      </c>
      <c r="AR79" s="1" t="s">
        <v>433</v>
      </c>
      <c r="AS79" s="1" t="s">
        <v>434</v>
      </c>
      <c r="AT79" s="1" t="s">
        <v>74</v>
      </c>
      <c r="AU79" s="1">
        <v>1997</v>
      </c>
      <c r="AV79" s="1">
        <v>96</v>
      </c>
      <c r="AW79" s="1">
        <v>3</v>
      </c>
      <c r="AX79" s="1" t="s">
        <v>74</v>
      </c>
      <c r="AY79" s="1" t="s">
        <v>74</v>
      </c>
      <c r="AZ79" s="1" t="s">
        <v>74</v>
      </c>
      <c r="BA79" s="1" t="s">
        <v>74</v>
      </c>
      <c r="BB79" s="1">
        <v>343</v>
      </c>
      <c r="BC79" s="1">
        <v>350</v>
      </c>
      <c r="BD79" s="1" t="s">
        <v>74</v>
      </c>
      <c r="BE79" s="1" t="s">
        <v>1601</v>
      </c>
      <c r="BF79" s="1" t="str">
        <f>HYPERLINK("http://dx.doi.org/10.1016/S0269-7491(97)00043-2","http://dx.doi.org/10.1016/S0269-7491(97)00043-2")</f>
        <v>http://dx.doi.org/10.1016/S0269-7491(97)00043-2</v>
      </c>
      <c r="BG79" s="1" t="s">
        <v>74</v>
      </c>
      <c r="BH79" s="1" t="s">
        <v>74</v>
      </c>
      <c r="BI79" s="1">
        <v>8</v>
      </c>
      <c r="BJ79" s="1" t="s">
        <v>144</v>
      </c>
      <c r="BK79" s="1" t="s">
        <v>96</v>
      </c>
      <c r="BL79" s="1" t="s">
        <v>145</v>
      </c>
      <c r="BM79" s="1" t="s">
        <v>1602</v>
      </c>
      <c r="BN79" s="1">
        <v>15093400</v>
      </c>
      <c r="BO79" s="1" t="s">
        <v>74</v>
      </c>
      <c r="BP79" s="1" t="s">
        <v>74</v>
      </c>
      <c r="BQ79" s="1" t="s">
        <v>74</v>
      </c>
      <c r="BR79" s="1" t="s">
        <v>98</v>
      </c>
      <c r="BS79" s="1" t="s">
        <v>1603</v>
      </c>
      <c r="BT79" s="1" t="str">
        <f>HYPERLINK("https%3A%2F%2Fwww.webofscience.com%2Fwos%2Fwoscc%2Ffull-record%2FWOS:A1997XU52000007","View Full Record in Web of Science")</f>
        <v>View Full Record in Web of Science</v>
      </c>
    </row>
    <row r="80" spans="1:72">
      <c r="A80" s="1" t="s">
        <v>72</v>
      </c>
      <c r="B80" s="1" t="s">
        <v>1604</v>
      </c>
      <c r="C80" s="1" t="s">
        <v>74</v>
      </c>
      <c r="D80" s="1" t="s">
        <v>74</v>
      </c>
      <c r="E80" s="1" t="s">
        <v>74</v>
      </c>
      <c r="F80" s="1" t="s">
        <v>1605</v>
      </c>
      <c r="G80" s="1" t="s">
        <v>74</v>
      </c>
      <c r="H80" s="1" t="s">
        <v>74</v>
      </c>
      <c r="I80" s="1" t="s">
        <v>1606</v>
      </c>
      <c r="J80" s="1" t="s">
        <v>1607</v>
      </c>
      <c r="K80" s="1" t="s">
        <v>74</v>
      </c>
      <c r="L80" s="1" t="s">
        <v>74</v>
      </c>
      <c r="M80" s="1" t="s">
        <v>78</v>
      </c>
      <c r="N80" s="1" t="s">
        <v>79</v>
      </c>
      <c r="O80" s="1" t="s">
        <v>74</v>
      </c>
      <c r="P80" s="1" t="s">
        <v>74</v>
      </c>
      <c r="Q80" s="1" t="s">
        <v>74</v>
      </c>
      <c r="R80" s="1" t="s">
        <v>74</v>
      </c>
      <c r="S80" s="1" t="s">
        <v>74</v>
      </c>
      <c r="T80" s="1" t="s">
        <v>1608</v>
      </c>
      <c r="U80" s="1" t="s">
        <v>1609</v>
      </c>
      <c r="V80" s="1" t="s">
        <v>1610</v>
      </c>
      <c r="W80" s="1" t="s">
        <v>1611</v>
      </c>
      <c r="X80" s="1" t="s">
        <v>1612</v>
      </c>
      <c r="Y80" s="1" t="s">
        <v>1613</v>
      </c>
      <c r="Z80" s="1" t="s">
        <v>1614</v>
      </c>
      <c r="AA80" s="1" t="s">
        <v>1615</v>
      </c>
      <c r="AB80" s="1" t="s">
        <v>1616</v>
      </c>
      <c r="AC80" s="1" t="s">
        <v>1617</v>
      </c>
      <c r="AD80" s="1" t="s">
        <v>1618</v>
      </c>
      <c r="AE80" s="1" t="s">
        <v>1619</v>
      </c>
      <c r="AF80" s="1" t="s">
        <v>74</v>
      </c>
      <c r="AG80" s="1">
        <v>47</v>
      </c>
      <c r="AH80" s="1">
        <v>27</v>
      </c>
      <c r="AI80" s="1">
        <v>33</v>
      </c>
      <c r="AJ80" s="1">
        <v>0</v>
      </c>
      <c r="AK80" s="1">
        <v>19</v>
      </c>
      <c r="AL80" s="1" t="s">
        <v>1620</v>
      </c>
      <c r="AM80" s="1" t="s">
        <v>1621</v>
      </c>
      <c r="AN80" s="1" t="s">
        <v>1622</v>
      </c>
      <c r="AO80" s="1" t="s">
        <v>1623</v>
      </c>
      <c r="AP80" s="1" t="s">
        <v>1624</v>
      </c>
      <c r="AQ80" s="1" t="s">
        <v>74</v>
      </c>
      <c r="AR80" s="1" t="s">
        <v>1607</v>
      </c>
      <c r="AS80" s="1" t="s">
        <v>1625</v>
      </c>
      <c r="AT80" s="1" t="s">
        <v>93</v>
      </c>
      <c r="AU80" s="1">
        <v>2009</v>
      </c>
      <c r="AV80" s="1">
        <v>35</v>
      </c>
      <c r="AW80" s="1">
        <v>3</v>
      </c>
      <c r="AX80" s="1" t="s">
        <v>74</v>
      </c>
      <c r="AY80" s="1" t="s">
        <v>74</v>
      </c>
      <c r="AZ80" s="1" t="s">
        <v>74</v>
      </c>
      <c r="BA80" s="1" t="s">
        <v>74</v>
      </c>
      <c r="BB80" s="1">
        <v>315</v>
      </c>
      <c r="BC80" s="1">
        <v>322</v>
      </c>
      <c r="BD80" s="1" t="s">
        <v>74</v>
      </c>
      <c r="BE80" s="1" t="s">
        <v>74</v>
      </c>
      <c r="BF80" s="1" t="s">
        <v>74</v>
      </c>
      <c r="BG80" s="1" t="s">
        <v>74</v>
      </c>
      <c r="BH80" s="1" t="s">
        <v>74</v>
      </c>
      <c r="BI80" s="1">
        <v>8</v>
      </c>
      <c r="BJ80" s="1" t="s">
        <v>1626</v>
      </c>
      <c r="BK80" s="1" t="s">
        <v>96</v>
      </c>
      <c r="BL80" s="1" t="s">
        <v>1626</v>
      </c>
      <c r="BM80" s="1" t="s">
        <v>1627</v>
      </c>
      <c r="BN80" s="1" t="s">
        <v>74</v>
      </c>
      <c r="BO80" s="1" t="s">
        <v>74</v>
      </c>
      <c r="BP80" s="1" t="s">
        <v>74</v>
      </c>
      <c r="BQ80" s="1" t="s">
        <v>74</v>
      </c>
      <c r="BR80" s="1" t="s">
        <v>98</v>
      </c>
      <c r="BS80" s="1" t="s">
        <v>1628</v>
      </c>
      <c r="BT80" s="1" t="str">
        <f>HYPERLINK("https%3A%2F%2Fwww.webofscience.com%2Fwos%2Fwoscc%2Ffull-record%2FWOS:000266405400010","View Full Record in Web of Science")</f>
        <v>View Full Record in Web of Science</v>
      </c>
    </row>
    <row r="81" spans="1:72">
      <c r="A81" s="1" t="s">
        <v>72</v>
      </c>
      <c r="B81" s="1" t="s">
        <v>1629</v>
      </c>
      <c r="C81" s="1" t="s">
        <v>74</v>
      </c>
      <c r="D81" s="1" t="s">
        <v>74</v>
      </c>
      <c r="E81" s="1" t="s">
        <v>74</v>
      </c>
      <c r="F81" s="1" t="s">
        <v>1630</v>
      </c>
      <c r="G81" s="1" t="s">
        <v>74</v>
      </c>
      <c r="H81" s="1" t="s">
        <v>74</v>
      </c>
      <c r="I81" s="1" t="s">
        <v>1631</v>
      </c>
      <c r="J81" s="1" t="s">
        <v>232</v>
      </c>
      <c r="K81" s="1" t="s">
        <v>74</v>
      </c>
      <c r="L81" s="1" t="s">
        <v>74</v>
      </c>
      <c r="M81" s="1" t="s">
        <v>78</v>
      </c>
      <c r="N81" s="1" t="s">
        <v>79</v>
      </c>
      <c r="O81" s="1" t="s">
        <v>74</v>
      </c>
      <c r="P81" s="1" t="s">
        <v>74</v>
      </c>
      <c r="Q81" s="1" t="s">
        <v>74</v>
      </c>
      <c r="R81" s="1" t="s">
        <v>74</v>
      </c>
      <c r="S81" s="1" t="s">
        <v>74</v>
      </c>
      <c r="T81" s="1" t="s">
        <v>1632</v>
      </c>
      <c r="U81" s="1" t="s">
        <v>1633</v>
      </c>
      <c r="V81" s="1" t="s">
        <v>1634</v>
      </c>
      <c r="W81" s="1" t="s">
        <v>1635</v>
      </c>
      <c r="X81" s="1" t="s">
        <v>1636</v>
      </c>
      <c r="Y81" s="1" t="s">
        <v>1637</v>
      </c>
      <c r="Z81" s="1" t="s">
        <v>1638</v>
      </c>
      <c r="AA81" s="1" t="s">
        <v>1639</v>
      </c>
      <c r="AB81" s="1" t="s">
        <v>1640</v>
      </c>
      <c r="AC81" s="1" t="s">
        <v>1641</v>
      </c>
      <c r="AD81" s="1" t="s">
        <v>1641</v>
      </c>
      <c r="AE81" s="1" t="s">
        <v>1642</v>
      </c>
      <c r="AF81" s="1" t="s">
        <v>74</v>
      </c>
      <c r="AG81" s="1">
        <v>60</v>
      </c>
      <c r="AH81" s="1">
        <v>36</v>
      </c>
      <c r="AI81" s="1">
        <v>38</v>
      </c>
      <c r="AJ81" s="1">
        <v>0</v>
      </c>
      <c r="AK81" s="1">
        <v>23</v>
      </c>
      <c r="AL81" s="1" t="s">
        <v>136</v>
      </c>
      <c r="AM81" s="1" t="s">
        <v>137</v>
      </c>
      <c r="AN81" s="1" t="s">
        <v>138</v>
      </c>
      <c r="AO81" s="1" t="s">
        <v>240</v>
      </c>
      <c r="AP81" s="1" t="s">
        <v>241</v>
      </c>
      <c r="AQ81" s="1" t="s">
        <v>74</v>
      </c>
      <c r="AR81" s="1" t="s">
        <v>242</v>
      </c>
      <c r="AS81" s="1" t="s">
        <v>243</v>
      </c>
      <c r="AT81" s="1" t="s">
        <v>765</v>
      </c>
      <c r="AU81" s="1">
        <v>2009</v>
      </c>
      <c r="AV81" s="1">
        <v>58</v>
      </c>
      <c r="AW81" s="1">
        <v>7</v>
      </c>
      <c r="AX81" s="1" t="s">
        <v>74</v>
      </c>
      <c r="AY81" s="1" t="s">
        <v>74</v>
      </c>
      <c r="AZ81" s="1" t="s">
        <v>74</v>
      </c>
      <c r="BA81" s="1" t="s">
        <v>74</v>
      </c>
      <c r="BB81" s="1">
        <v>1025</v>
      </c>
      <c r="BC81" s="1">
        <v>1031</v>
      </c>
      <c r="BD81" s="1" t="s">
        <v>74</v>
      </c>
      <c r="BE81" s="1" t="s">
        <v>1643</v>
      </c>
      <c r="BF81" s="1" t="str">
        <f>HYPERLINK("http://dx.doi.org/10.1016/j.marpolbul.2009.02.011","http://dx.doi.org/10.1016/j.marpolbul.2009.02.011")</f>
        <v>http://dx.doi.org/10.1016/j.marpolbul.2009.02.011</v>
      </c>
      <c r="BG81" s="1" t="s">
        <v>74</v>
      </c>
      <c r="BH81" s="1" t="s">
        <v>74</v>
      </c>
      <c r="BI81" s="1">
        <v>7</v>
      </c>
      <c r="BJ81" s="1" t="s">
        <v>247</v>
      </c>
      <c r="BK81" s="1" t="s">
        <v>96</v>
      </c>
      <c r="BL81" s="1" t="s">
        <v>248</v>
      </c>
      <c r="BM81" s="1" t="s">
        <v>1644</v>
      </c>
      <c r="BN81" s="1">
        <v>19303611</v>
      </c>
      <c r="BO81" s="1" t="s">
        <v>74</v>
      </c>
      <c r="BP81" s="1" t="s">
        <v>74</v>
      </c>
      <c r="BQ81" s="1" t="s">
        <v>74</v>
      </c>
      <c r="BR81" s="1" t="s">
        <v>98</v>
      </c>
      <c r="BS81" s="1" t="s">
        <v>1645</v>
      </c>
      <c r="BT81" s="1" t="str">
        <f>HYPERLINK("https%3A%2F%2Fwww.webofscience.com%2Fwos%2Fwoscc%2Ffull-record%2FWOS:000268422500020","View Full Record in Web of Science")</f>
        <v>View Full Record in Web of Science</v>
      </c>
    </row>
    <row r="82" spans="1:72">
      <c r="A82" s="1" t="s">
        <v>72</v>
      </c>
      <c r="B82" s="1" t="s">
        <v>1646</v>
      </c>
      <c r="C82" s="1" t="s">
        <v>74</v>
      </c>
      <c r="D82" s="1" t="s">
        <v>74</v>
      </c>
      <c r="E82" s="1" t="s">
        <v>74</v>
      </c>
      <c r="F82" s="1" t="s">
        <v>1647</v>
      </c>
      <c r="G82" s="1" t="s">
        <v>74</v>
      </c>
      <c r="H82" s="1" t="s">
        <v>74</v>
      </c>
      <c r="I82" s="1" t="s">
        <v>1648</v>
      </c>
      <c r="J82" s="1" t="s">
        <v>459</v>
      </c>
      <c r="K82" s="1" t="s">
        <v>74</v>
      </c>
      <c r="L82" s="1" t="s">
        <v>74</v>
      </c>
      <c r="M82" s="1" t="s">
        <v>78</v>
      </c>
      <c r="N82" s="1" t="s">
        <v>79</v>
      </c>
      <c r="O82" s="1" t="s">
        <v>74</v>
      </c>
      <c r="P82" s="1" t="s">
        <v>74</v>
      </c>
      <c r="Q82" s="1" t="s">
        <v>74</v>
      </c>
      <c r="R82" s="1" t="s">
        <v>74</v>
      </c>
      <c r="S82" s="1" t="s">
        <v>74</v>
      </c>
      <c r="T82" s="1" t="s">
        <v>1649</v>
      </c>
      <c r="U82" s="1" t="s">
        <v>1650</v>
      </c>
      <c r="V82" s="1" t="s">
        <v>1651</v>
      </c>
      <c r="W82" s="1" t="s">
        <v>1652</v>
      </c>
      <c r="X82" s="1" t="s">
        <v>1653</v>
      </c>
      <c r="Y82" s="1" t="s">
        <v>1654</v>
      </c>
      <c r="Z82" s="1" t="s">
        <v>1655</v>
      </c>
      <c r="AA82" s="1" t="s">
        <v>74</v>
      </c>
      <c r="AB82" s="1" t="s">
        <v>1656</v>
      </c>
      <c r="AC82" s="1" t="s">
        <v>1657</v>
      </c>
      <c r="AD82" s="1" t="s">
        <v>1658</v>
      </c>
      <c r="AE82" s="1" t="s">
        <v>1659</v>
      </c>
      <c r="AF82" s="1" t="s">
        <v>74</v>
      </c>
      <c r="AG82" s="1">
        <v>24</v>
      </c>
      <c r="AH82" s="1">
        <v>2</v>
      </c>
      <c r="AI82" s="1">
        <v>4</v>
      </c>
      <c r="AJ82" s="1">
        <v>0</v>
      </c>
      <c r="AK82" s="1">
        <v>36</v>
      </c>
      <c r="AL82" s="1" t="s">
        <v>112</v>
      </c>
      <c r="AM82" s="1" t="s">
        <v>113</v>
      </c>
      <c r="AN82" s="1" t="s">
        <v>469</v>
      </c>
      <c r="AO82" s="1" t="s">
        <v>470</v>
      </c>
      <c r="AP82" s="1" t="s">
        <v>471</v>
      </c>
      <c r="AQ82" s="1" t="s">
        <v>74</v>
      </c>
      <c r="AR82" s="1" t="s">
        <v>472</v>
      </c>
      <c r="AS82" s="1" t="s">
        <v>473</v>
      </c>
      <c r="AT82" s="1" t="s">
        <v>267</v>
      </c>
      <c r="AU82" s="1">
        <v>2017</v>
      </c>
      <c r="AV82" s="1">
        <v>14</v>
      </c>
      <c r="AW82" s="1">
        <v>10</v>
      </c>
      <c r="AX82" s="1" t="s">
        <v>74</v>
      </c>
      <c r="AY82" s="1" t="s">
        <v>74</v>
      </c>
      <c r="AZ82" s="1" t="s">
        <v>74</v>
      </c>
      <c r="BA82" s="1" t="s">
        <v>74</v>
      </c>
      <c r="BB82" s="1">
        <v>2269</v>
      </c>
      <c r="BC82" s="1">
        <v>2276</v>
      </c>
      <c r="BD82" s="1" t="s">
        <v>74</v>
      </c>
      <c r="BE82" s="1" t="s">
        <v>1660</v>
      </c>
      <c r="BF82" s="1" t="str">
        <f>HYPERLINK("http://dx.doi.org/10.1007/s13762-017-1358-3","http://dx.doi.org/10.1007/s13762-017-1358-3")</f>
        <v>http://dx.doi.org/10.1007/s13762-017-1358-3</v>
      </c>
      <c r="BG82" s="1" t="s">
        <v>74</v>
      </c>
      <c r="BH82" s="1" t="s">
        <v>74</v>
      </c>
      <c r="BI82" s="1">
        <v>8</v>
      </c>
      <c r="BJ82" s="1" t="s">
        <v>144</v>
      </c>
      <c r="BK82" s="1" t="s">
        <v>96</v>
      </c>
      <c r="BL82" s="1" t="s">
        <v>145</v>
      </c>
      <c r="BM82" s="1" t="s">
        <v>1661</v>
      </c>
      <c r="BN82" s="1" t="s">
        <v>74</v>
      </c>
      <c r="BO82" s="1" t="s">
        <v>74</v>
      </c>
      <c r="BP82" s="1" t="s">
        <v>74</v>
      </c>
      <c r="BQ82" s="1" t="s">
        <v>74</v>
      </c>
      <c r="BR82" s="1" t="s">
        <v>98</v>
      </c>
      <c r="BS82" s="1" t="s">
        <v>1662</v>
      </c>
      <c r="BT82" s="1" t="str">
        <f>HYPERLINK("https%3A%2F%2Fwww.webofscience.com%2Fwos%2Fwoscc%2Ffull-record%2FWOS:000410751800018","View Full Record in Web of Science")</f>
        <v>View Full Record in Web of Science</v>
      </c>
    </row>
    <row r="83" spans="1:72">
      <c r="A83" s="1" t="s">
        <v>72</v>
      </c>
      <c r="B83" s="1" t="s">
        <v>1663</v>
      </c>
      <c r="C83" s="1" t="s">
        <v>74</v>
      </c>
      <c r="D83" s="1" t="s">
        <v>74</v>
      </c>
      <c r="E83" s="1" t="s">
        <v>74</v>
      </c>
      <c r="F83" s="1" t="s">
        <v>1664</v>
      </c>
      <c r="G83" s="1" t="s">
        <v>74</v>
      </c>
      <c r="H83" s="1" t="s">
        <v>74</v>
      </c>
      <c r="I83" s="1" t="s">
        <v>1665</v>
      </c>
      <c r="J83" s="1" t="s">
        <v>179</v>
      </c>
      <c r="K83" s="1" t="s">
        <v>74</v>
      </c>
      <c r="L83" s="1" t="s">
        <v>74</v>
      </c>
      <c r="M83" s="1" t="s">
        <v>78</v>
      </c>
      <c r="N83" s="1" t="s">
        <v>79</v>
      </c>
      <c r="O83" s="1" t="s">
        <v>74</v>
      </c>
      <c r="P83" s="1" t="s">
        <v>74</v>
      </c>
      <c r="Q83" s="1" t="s">
        <v>74</v>
      </c>
      <c r="R83" s="1" t="s">
        <v>74</v>
      </c>
      <c r="S83" s="1" t="s">
        <v>74</v>
      </c>
      <c r="T83" s="1" t="s">
        <v>1666</v>
      </c>
      <c r="U83" s="1" t="s">
        <v>1667</v>
      </c>
      <c r="V83" s="1" t="s">
        <v>1668</v>
      </c>
      <c r="W83" s="1" t="s">
        <v>1669</v>
      </c>
      <c r="X83" s="1" t="s">
        <v>1670</v>
      </c>
      <c r="Y83" s="1" t="s">
        <v>1671</v>
      </c>
      <c r="Z83" s="1" t="s">
        <v>1672</v>
      </c>
      <c r="AA83" s="1" t="s">
        <v>1673</v>
      </c>
      <c r="AB83" s="1" t="s">
        <v>1674</v>
      </c>
      <c r="AC83" s="1" t="s">
        <v>1675</v>
      </c>
      <c r="AD83" s="1" t="s">
        <v>1676</v>
      </c>
      <c r="AE83" s="1" t="s">
        <v>1677</v>
      </c>
      <c r="AF83" s="1" t="s">
        <v>74</v>
      </c>
      <c r="AG83" s="1">
        <v>51</v>
      </c>
      <c r="AH83" s="1">
        <v>29</v>
      </c>
      <c r="AI83" s="1">
        <v>30</v>
      </c>
      <c r="AJ83" s="1">
        <v>0</v>
      </c>
      <c r="AK83" s="1">
        <v>48</v>
      </c>
      <c r="AL83" s="1" t="s">
        <v>112</v>
      </c>
      <c r="AM83" s="1" t="s">
        <v>191</v>
      </c>
      <c r="AN83" s="1" t="s">
        <v>192</v>
      </c>
      <c r="AO83" s="1" t="s">
        <v>193</v>
      </c>
      <c r="AP83" s="1" t="s">
        <v>194</v>
      </c>
      <c r="AQ83" s="1" t="s">
        <v>74</v>
      </c>
      <c r="AR83" s="1" t="s">
        <v>195</v>
      </c>
      <c r="AS83" s="1" t="s">
        <v>196</v>
      </c>
      <c r="AT83" s="1" t="s">
        <v>170</v>
      </c>
      <c r="AU83" s="1">
        <v>2018</v>
      </c>
      <c r="AV83" s="1">
        <v>190</v>
      </c>
      <c r="AW83" s="1">
        <v>5</v>
      </c>
      <c r="AX83" s="1" t="s">
        <v>74</v>
      </c>
      <c r="AY83" s="1" t="s">
        <v>74</v>
      </c>
      <c r="AZ83" s="1" t="s">
        <v>74</v>
      </c>
      <c r="BA83" s="1" t="s">
        <v>74</v>
      </c>
      <c r="BB83" s="1" t="s">
        <v>74</v>
      </c>
      <c r="BC83" s="1" t="s">
        <v>74</v>
      </c>
      <c r="BD83" s="1" t="s">
        <v>74</v>
      </c>
      <c r="BE83" s="1" t="s">
        <v>1678</v>
      </c>
      <c r="BF83" s="1" t="str">
        <f>HYPERLINK("http://dx.doi.org/10.1007/s10661-018-6624-4","http://dx.doi.org/10.1007/s10661-018-6624-4")</f>
        <v>http://dx.doi.org/10.1007/s10661-018-6624-4</v>
      </c>
      <c r="BG83" s="1" t="s">
        <v>74</v>
      </c>
      <c r="BH83" s="1" t="s">
        <v>74</v>
      </c>
      <c r="BI83" s="1">
        <v>16</v>
      </c>
      <c r="BJ83" s="1" t="s">
        <v>144</v>
      </c>
      <c r="BK83" s="1" t="s">
        <v>96</v>
      </c>
      <c r="BL83" s="1" t="s">
        <v>145</v>
      </c>
      <c r="BM83" s="1" t="s">
        <v>1679</v>
      </c>
      <c r="BN83" s="1">
        <v>29644448</v>
      </c>
      <c r="BO83" s="1" t="s">
        <v>74</v>
      </c>
      <c r="BP83" s="1" t="s">
        <v>74</v>
      </c>
      <c r="BQ83" s="1" t="s">
        <v>74</v>
      </c>
      <c r="BR83" s="1" t="s">
        <v>98</v>
      </c>
      <c r="BS83" s="1" t="s">
        <v>1680</v>
      </c>
      <c r="BT83" s="1" t="str">
        <f>HYPERLINK("https%3A%2F%2Fwww.webofscience.com%2Fwos%2Fwoscc%2Ffull-record%2FWOS:000431280200006","View Full Record in Web of Science")</f>
        <v>View Full Record in Web of Science</v>
      </c>
    </row>
    <row r="84" spans="1:72">
      <c r="A84" s="1" t="s">
        <v>72</v>
      </c>
      <c r="B84" s="1" t="s">
        <v>1681</v>
      </c>
      <c r="C84" s="1" t="s">
        <v>74</v>
      </c>
      <c r="D84" s="1" t="s">
        <v>74</v>
      </c>
      <c r="E84" s="1" t="s">
        <v>74</v>
      </c>
      <c r="F84" s="1" t="s">
        <v>1681</v>
      </c>
      <c r="G84" s="1" t="s">
        <v>74</v>
      </c>
      <c r="H84" s="1" t="s">
        <v>74</v>
      </c>
      <c r="I84" s="1" t="s">
        <v>1682</v>
      </c>
      <c r="J84" s="1" t="s">
        <v>909</v>
      </c>
      <c r="K84" s="1" t="s">
        <v>74</v>
      </c>
      <c r="L84" s="1" t="s">
        <v>74</v>
      </c>
      <c r="M84" s="1" t="s">
        <v>78</v>
      </c>
      <c r="N84" s="1" t="s">
        <v>79</v>
      </c>
      <c r="O84" s="1" t="s">
        <v>74</v>
      </c>
      <c r="P84" s="1" t="s">
        <v>74</v>
      </c>
      <c r="Q84" s="1" t="s">
        <v>74</v>
      </c>
      <c r="R84" s="1" t="s">
        <v>74</v>
      </c>
      <c r="S84" s="1" t="s">
        <v>74</v>
      </c>
      <c r="T84" s="1" t="s">
        <v>1683</v>
      </c>
      <c r="U84" s="1" t="s">
        <v>1684</v>
      </c>
      <c r="V84" s="1" t="s">
        <v>1685</v>
      </c>
      <c r="W84" s="1" t="s">
        <v>1686</v>
      </c>
      <c r="X84" s="1" t="s">
        <v>1687</v>
      </c>
      <c r="Y84" s="1" t="s">
        <v>1688</v>
      </c>
      <c r="Z84" s="1" t="s">
        <v>74</v>
      </c>
      <c r="AA84" s="1" t="s">
        <v>1689</v>
      </c>
      <c r="AB84" s="1" t="s">
        <v>74</v>
      </c>
      <c r="AC84" s="1" t="s">
        <v>74</v>
      </c>
      <c r="AD84" s="1" t="s">
        <v>74</v>
      </c>
      <c r="AE84" s="1" t="s">
        <v>74</v>
      </c>
      <c r="AF84" s="1" t="s">
        <v>74</v>
      </c>
      <c r="AG84" s="1">
        <v>36</v>
      </c>
      <c r="AH84" s="1">
        <v>165</v>
      </c>
      <c r="AI84" s="1">
        <v>181</v>
      </c>
      <c r="AJ84" s="1">
        <v>0</v>
      </c>
      <c r="AK84" s="1">
        <v>37</v>
      </c>
      <c r="AL84" s="1" t="s">
        <v>919</v>
      </c>
      <c r="AM84" s="1" t="s">
        <v>651</v>
      </c>
      <c r="AN84" s="1" t="s">
        <v>920</v>
      </c>
      <c r="AO84" s="1" t="s">
        <v>921</v>
      </c>
      <c r="AP84" s="1" t="s">
        <v>74</v>
      </c>
      <c r="AQ84" s="1" t="s">
        <v>74</v>
      </c>
      <c r="AR84" s="1" t="s">
        <v>923</v>
      </c>
      <c r="AS84" s="1" t="s">
        <v>924</v>
      </c>
      <c r="AT84" s="1" t="s">
        <v>1690</v>
      </c>
      <c r="AU84" s="1">
        <v>2000</v>
      </c>
      <c r="AV84" s="1">
        <v>248</v>
      </c>
      <c r="AW84" s="1">
        <v>1</v>
      </c>
      <c r="AX84" s="1" t="s">
        <v>74</v>
      </c>
      <c r="AY84" s="1" t="s">
        <v>74</v>
      </c>
      <c r="AZ84" s="1" t="s">
        <v>74</v>
      </c>
      <c r="BA84" s="1" t="s">
        <v>74</v>
      </c>
      <c r="BB84" s="1">
        <v>11</v>
      </c>
      <c r="BC84" s="1">
        <v>25</v>
      </c>
      <c r="BD84" s="1" t="s">
        <v>74</v>
      </c>
      <c r="BE84" s="1" t="s">
        <v>1691</v>
      </c>
      <c r="BF84" s="1" t="str">
        <f>HYPERLINK("http://dx.doi.org/10.1016/S0048-9697(99)00477-5","http://dx.doi.org/10.1016/S0048-9697(99)00477-5")</f>
        <v>http://dx.doi.org/10.1016/S0048-9697(99)00477-5</v>
      </c>
      <c r="BG84" s="1" t="s">
        <v>74</v>
      </c>
      <c r="BH84" s="1" t="s">
        <v>74</v>
      </c>
      <c r="BI84" s="1">
        <v>15</v>
      </c>
      <c r="BJ84" s="1" t="s">
        <v>144</v>
      </c>
      <c r="BK84" s="1" t="s">
        <v>96</v>
      </c>
      <c r="BL84" s="1" t="s">
        <v>145</v>
      </c>
      <c r="BM84" s="1" t="s">
        <v>1692</v>
      </c>
      <c r="BN84" s="1">
        <v>10807038</v>
      </c>
      <c r="BO84" s="1" t="s">
        <v>74</v>
      </c>
      <c r="BP84" s="1" t="s">
        <v>74</v>
      </c>
      <c r="BQ84" s="1" t="s">
        <v>74</v>
      </c>
      <c r="BR84" s="1" t="s">
        <v>98</v>
      </c>
      <c r="BS84" s="1" t="s">
        <v>1693</v>
      </c>
      <c r="BT84" s="1" t="str">
        <f>HYPERLINK("https%3A%2F%2Fwww.webofscience.com%2Fwos%2Fwoscc%2Ffull-record%2FWOS:000086555600002","View Full Record in Web of Science")</f>
        <v>View Full Record in Web of Science</v>
      </c>
    </row>
    <row r="85" spans="1:72">
      <c r="A85" s="1" t="s">
        <v>72</v>
      </c>
      <c r="B85" s="1" t="s">
        <v>1694</v>
      </c>
      <c r="C85" s="1" t="s">
        <v>74</v>
      </c>
      <c r="D85" s="1" t="s">
        <v>74</v>
      </c>
      <c r="E85" s="1" t="s">
        <v>74</v>
      </c>
      <c r="F85" s="1" t="s">
        <v>1694</v>
      </c>
      <c r="G85" s="1" t="s">
        <v>74</v>
      </c>
      <c r="H85" s="1" t="s">
        <v>74</v>
      </c>
      <c r="I85" s="1" t="s">
        <v>1695</v>
      </c>
      <c r="J85" s="1" t="s">
        <v>421</v>
      </c>
      <c r="K85" s="1" t="s">
        <v>74</v>
      </c>
      <c r="L85" s="1" t="s">
        <v>74</v>
      </c>
      <c r="M85" s="1" t="s">
        <v>78</v>
      </c>
      <c r="N85" s="1" t="s">
        <v>79</v>
      </c>
      <c r="O85" s="1" t="s">
        <v>74</v>
      </c>
      <c r="P85" s="1" t="s">
        <v>74</v>
      </c>
      <c r="Q85" s="1" t="s">
        <v>74</v>
      </c>
      <c r="R85" s="1" t="s">
        <v>74</v>
      </c>
      <c r="S85" s="1" t="s">
        <v>74</v>
      </c>
      <c r="T85" s="1" t="s">
        <v>1696</v>
      </c>
      <c r="U85" s="1" t="s">
        <v>1697</v>
      </c>
      <c r="V85" s="1" t="s">
        <v>1698</v>
      </c>
      <c r="W85" s="1" t="s">
        <v>1699</v>
      </c>
      <c r="X85" s="1" t="s">
        <v>1481</v>
      </c>
      <c r="Y85" s="1" t="s">
        <v>1700</v>
      </c>
      <c r="Z85" s="1" t="s">
        <v>74</v>
      </c>
      <c r="AA85" s="1" t="s">
        <v>74</v>
      </c>
      <c r="AB85" s="1" t="s">
        <v>74</v>
      </c>
      <c r="AC85" s="1" t="s">
        <v>74</v>
      </c>
      <c r="AD85" s="1" t="s">
        <v>74</v>
      </c>
      <c r="AE85" s="1" t="s">
        <v>74</v>
      </c>
      <c r="AF85" s="1" t="s">
        <v>74</v>
      </c>
      <c r="AG85" s="1">
        <v>42</v>
      </c>
      <c r="AH85" s="1">
        <v>47</v>
      </c>
      <c r="AI85" s="1">
        <v>60</v>
      </c>
      <c r="AJ85" s="1">
        <v>0</v>
      </c>
      <c r="AK85" s="1">
        <v>19</v>
      </c>
      <c r="AL85" s="1" t="s">
        <v>430</v>
      </c>
      <c r="AM85" s="1" t="s">
        <v>137</v>
      </c>
      <c r="AN85" s="1" t="s">
        <v>431</v>
      </c>
      <c r="AO85" s="1" t="s">
        <v>432</v>
      </c>
      <c r="AP85" s="1" t="s">
        <v>74</v>
      </c>
      <c r="AQ85" s="1" t="s">
        <v>74</v>
      </c>
      <c r="AR85" s="1" t="s">
        <v>433</v>
      </c>
      <c r="AS85" s="1" t="s">
        <v>434</v>
      </c>
      <c r="AT85" s="1" t="s">
        <v>74</v>
      </c>
      <c r="AU85" s="1">
        <v>2001</v>
      </c>
      <c r="AV85" s="1">
        <v>114</v>
      </c>
      <c r="AW85" s="1">
        <v>3</v>
      </c>
      <c r="AX85" s="1" t="s">
        <v>74</v>
      </c>
      <c r="AY85" s="1" t="s">
        <v>74</v>
      </c>
      <c r="AZ85" s="1" t="s">
        <v>74</v>
      </c>
      <c r="BA85" s="1" t="s">
        <v>74</v>
      </c>
      <c r="BB85" s="1">
        <v>303</v>
      </c>
      <c r="BC85" s="1">
        <v>311</v>
      </c>
      <c r="BD85" s="1" t="s">
        <v>74</v>
      </c>
      <c r="BE85" s="1" t="s">
        <v>1701</v>
      </c>
      <c r="BF85" s="1" t="str">
        <f>HYPERLINK("http://dx.doi.org/10.1016/S0269-7491(01)00086-0","http://dx.doi.org/10.1016/S0269-7491(01)00086-0")</f>
        <v>http://dx.doi.org/10.1016/S0269-7491(01)00086-0</v>
      </c>
      <c r="BG85" s="1" t="s">
        <v>74</v>
      </c>
      <c r="BH85" s="1" t="s">
        <v>74</v>
      </c>
      <c r="BI85" s="1">
        <v>9</v>
      </c>
      <c r="BJ85" s="1" t="s">
        <v>144</v>
      </c>
      <c r="BK85" s="1" t="s">
        <v>96</v>
      </c>
      <c r="BL85" s="1" t="s">
        <v>145</v>
      </c>
      <c r="BM85" s="1" t="s">
        <v>1702</v>
      </c>
      <c r="BN85" s="1">
        <v>11584629</v>
      </c>
      <c r="BO85" s="1" t="s">
        <v>74</v>
      </c>
      <c r="BP85" s="1" t="s">
        <v>74</v>
      </c>
      <c r="BQ85" s="1" t="s">
        <v>74</v>
      </c>
      <c r="BR85" s="1" t="s">
        <v>98</v>
      </c>
      <c r="BS85" s="1" t="s">
        <v>1703</v>
      </c>
      <c r="BT85" s="1" t="str">
        <f>HYPERLINK("https%3A%2F%2Fwww.webofscience.com%2Fwos%2Fwoscc%2Ffull-record%2FWOS:000171001600002","View Full Record in Web of Science")</f>
        <v>View Full Record in Web of Science</v>
      </c>
    </row>
    <row r="86" spans="1:72">
      <c r="A86" s="1" t="s">
        <v>72</v>
      </c>
      <c r="B86" s="1" t="s">
        <v>1704</v>
      </c>
      <c r="C86" s="1" t="s">
        <v>74</v>
      </c>
      <c r="D86" s="1" t="s">
        <v>74</v>
      </c>
      <c r="E86" s="1" t="s">
        <v>74</v>
      </c>
      <c r="F86" s="1" t="s">
        <v>1704</v>
      </c>
      <c r="G86" s="1" t="s">
        <v>74</v>
      </c>
      <c r="H86" s="1" t="s">
        <v>74</v>
      </c>
      <c r="I86" s="1" t="s">
        <v>1705</v>
      </c>
      <c r="J86" s="1" t="s">
        <v>704</v>
      </c>
      <c r="K86" s="1" t="s">
        <v>74</v>
      </c>
      <c r="L86" s="1" t="s">
        <v>74</v>
      </c>
      <c r="M86" s="1" t="s">
        <v>78</v>
      </c>
      <c r="N86" s="1" t="s">
        <v>79</v>
      </c>
      <c r="O86" s="1" t="s">
        <v>74</v>
      </c>
      <c r="P86" s="1" t="s">
        <v>74</v>
      </c>
      <c r="Q86" s="1" t="s">
        <v>74</v>
      </c>
      <c r="R86" s="1" t="s">
        <v>74</v>
      </c>
      <c r="S86" s="1" t="s">
        <v>74</v>
      </c>
      <c r="T86" s="1" t="s">
        <v>74</v>
      </c>
      <c r="U86" s="1" t="s">
        <v>1706</v>
      </c>
      <c r="V86" s="1" t="s">
        <v>1707</v>
      </c>
      <c r="W86" s="1" t="s">
        <v>74</v>
      </c>
      <c r="X86" s="1" t="s">
        <v>74</v>
      </c>
      <c r="Y86" s="1" t="s">
        <v>1708</v>
      </c>
      <c r="Z86" s="1" t="s">
        <v>74</v>
      </c>
      <c r="AA86" s="1" t="s">
        <v>74</v>
      </c>
      <c r="AB86" s="1" t="s">
        <v>1709</v>
      </c>
      <c r="AC86" s="1" t="s">
        <v>74</v>
      </c>
      <c r="AD86" s="1" t="s">
        <v>74</v>
      </c>
      <c r="AE86" s="1" t="s">
        <v>74</v>
      </c>
      <c r="AF86" s="1" t="s">
        <v>74</v>
      </c>
      <c r="AG86" s="1">
        <v>61</v>
      </c>
      <c r="AH86" s="1">
        <v>29</v>
      </c>
      <c r="AI86" s="1">
        <v>33</v>
      </c>
      <c r="AJ86" s="1">
        <v>0</v>
      </c>
      <c r="AK86" s="1">
        <v>7</v>
      </c>
      <c r="AL86" s="1" t="s">
        <v>716</v>
      </c>
      <c r="AM86" s="1" t="s">
        <v>191</v>
      </c>
      <c r="AN86" s="1" t="s">
        <v>717</v>
      </c>
      <c r="AO86" s="1" t="s">
        <v>718</v>
      </c>
      <c r="AP86" s="1" t="s">
        <v>74</v>
      </c>
      <c r="AQ86" s="1" t="s">
        <v>74</v>
      </c>
      <c r="AR86" s="1" t="s">
        <v>719</v>
      </c>
      <c r="AS86" s="1" t="s">
        <v>720</v>
      </c>
      <c r="AT86" s="1" t="s">
        <v>119</v>
      </c>
      <c r="AU86" s="1">
        <v>1995</v>
      </c>
      <c r="AV86" s="1">
        <v>83</v>
      </c>
      <c r="AW86" s="1" t="s">
        <v>1070</v>
      </c>
      <c r="AX86" s="1" t="s">
        <v>74</v>
      </c>
      <c r="AY86" s="1" t="s">
        <v>74</v>
      </c>
      <c r="AZ86" s="1" t="s">
        <v>74</v>
      </c>
      <c r="BA86" s="1" t="s">
        <v>74</v>
      </c>
      <c r="BB86" s="1">
        <v>237</v>
      </c>
      <c r="BC86" s="1">
        <v>252</v>
      </c>
      <c r="BD86" s="1" t="s">
        <v>74</v>
      </c>
      <c r="BE86" s="1" t="s">
        <v>1710</v>
      </c>
      <c r="BF86" s="1" t="str">
        <f>HYPERLINK("http://dx.doi.org/10.1007/BF00477355","http://dx.doi.org/10.1007/BF00477355")</f>
        <v>http://dx.doi.org/10.1007/BF00477355</v>
      </c>
      <c r="BG86" s="1" t="s">
        <v>74</v>
      </c>
      <c r="BH86" s="1" t="s">
        <v>74</v>
      </c>
      <c r="BI86" s="1">
        <v>16</v>
      </c>
      <c r="BJ86" s="1" t="s">
        <v>722</v>
      </c>
      <c r="BK86" s="1" t="s">
        <v>96</v>
      </c>
      <c r="BL86" s="1" t="s">
        <v>723</v>
      </c>
      <c r="BM86" s="1" t="s">
        <v>1711</v>
      </c>
      <c r="BN86" s="1" t="s">
        <v>74</v>
      </c>
      <c r="BO86" s="1" t="s">
        <v>74</v>
      </c>
      <c r="BP86" s="1" t="s">
        <v>74</v>
      </c>
      <c r="BQ86" s="1" t="s">
        <v>74</v>
      </c>
      <c r="BR86" s="1" t="s">
        <v>98</v>
      </c>
      <c r="BS86" s="1" t="s">
        <v>1712</v>
      </c>
      <c r="BT86" s="1" t="str">
        <f>HYPERLINK("https%3A%2F%2Fwww.webofscience.com%2Fwos%2Fwoscc%2Ffull-record%2FWOS:A1995RY46200005","View Full Record in Web of Science")</f>
        <v>View Full Record in Web of Science</v>
      </c>
    </row>
    <row r="87" spans="1:72">
      <c r="A87" s="1" t="s">
        <v>72</v>
      </c>
      <c r="B87" s="1" t="s">
        <v>1713</v>
      </c>
      <c r="C87" s="1" t="s">
        <v>74</v>
      </c>
      <c r="D87" s="1" t="s">
        <v>74</v>
      </c>
      <c r="E87" s="1" t="s">
        <v>74</v>
      </c>
      <c r="F87" s="1" t="s">
        <v>1713</v>
      </c>
      <c r="G87" s="1" t="s">
        <v>74</v>
      </c>
      <c r="H87" s="1" t="s">
        <v>74</v>
      </c>
      <c r="I87" s="1" t="s">
        <v>1714</v>
      </c>
      <c r="J87" s="1" t="s">
        <v>909</v>
      </c>
      <c r="K87" s="1" t="s">
        <v>74</v>
      </c>
      <c r="L87" s="1" t="s">
        <v>74</v>
      </c>
      <c r="M87" s="1" t="s">
        <v>78</v>
      </c>
      <c r="N87" s="1" t="s">
        <v>79</v>
      </c>
      <c r="O87" s="1" t="s">
        <v>74</v>
      </c>
      <c r="P87" s="1" t="s">
        <v>74</v>
      </c>
      <c r="Q87" s="1" t="s">
        <v>74</v>
      </c>
      <c r="R87" s="1" t="s">
        <v>74</v>
      </c>
      <c r="S87" s="1" t="s">
        <v>74</v>
      </c>
      <c r="T87" s="1" t="s">
        <v>1715</v>
      </c>
      <c r="U87" s="1" t="s">
        <v>1716</v>
      </c>
      <c r="V87" s="1" t="s">
        <v>1717</v>
      </c>
      <c r="W87" s="1" t="s">
        <v>1718</v>
      </c>
      <c r="X87" s="1" t="s">
        <v>1719</v>
      </c>
      <c r="Y87" s="1" t="s">
        <v>1720</v>
      </c>
      <c r="Z87" s="1" t="s">
        <v>1721</v>
      </c>
      <c r="AA87" s="1" t="s">
        <v>74</v>
      </c>
      <c r="AB87" s="1" t="s">
        <v>74</v>
      </c>
      <c r="AC87" s="1" t="s">
        <v>74</v>
      </c>
      <c r="AD87" s="1" t="s">
        <v>74</v>
      </c>
      <c r="AE87" s="1" t="s">
        <v>74</v>
      </c>
      <c r="AF87" s="1" t="s">
        <v>74</v>
      </c>
      <c r="AG87" s="1">
        <v>42</v>
      </c>
      <c r="AH87" s="1">
        <v>36</v>
      </c>
      <c r="AI87" s="1">
        <v>40</v>
      </c>
      <c r="AJ87" s="1">
        <v>0</v>
      </c>
      <c r="AK87" s="1">
        <v>18</v>
      </c>
      <c r="AL87" s="1" t="s">
        <v>919</v>
      </c>
      <c r="AM87" s="1" t="s">
        <v>651</v>
      </c>
      <c r="AN87" s="1" t="s">
        <v>920</v>
      </c>
      <c r="AO87" s="1" t="s">
        <v>921</v>
      </c>
      <c r="AP87" s="1" t="s">
        <v>922</v>
      </c>
      <c r="AQ87" s="1" t="s">
        <v>74</v>
      </c>
      <c r="AR87" s="1" t="s">
        <v>923</v>
      </c>
      <c r="AS87" s="1" t="s">
        <v>924</v>
      </c>
      <c r="AT87" s="1" t="s">
        <v>1722</v>
      </c>
      <c r="AU87" s="1">
        <v>1999</v>
      </c>
      <c r="AV87" s="1">
        <v>226</v>
      </c>
      <c r="AW87" s="1" t="s">
        <v>1723</v>
      </c>
      <c r="AX87" s="1" t="s">
        <v>74</v>
      </c>
      <c r="AY87" s="1" t="s">
        <v>74</v>
      </c>
      <c r="AZ87" s="1" t="s">
        <v>74</v>
      </c>
      <c r="BA87" s="1" t="s">
        <v>74</v>
      </c>
      <c r="BB87" s="1">
        <v>121</v>
      </c>
      <c r="BC87" s="1">
        <v>131</v>
      </c>
      <c r="BD87" s="1" t="s">
        <v>74</v>
      </c>
      <c r="BE87" s="1" t="s">
        <v>1724</v>
      </c>
      <c r="BF87" s="1" t="str">
        <f>HYPERLINK("http://dx.doi.org/10.1016/S0048-9697(98)00378-7","http://dx.doi.org/10.1016/S0048-9697(98)00378-7")</f>
        <v>http://dx.doi.org/10.1016/S0048-9697(98)00378-7</v>
      </c>
      <c r="BG87" s="1" t="s">
        <v>74</v>
      </c>
      <c r="BH87" s="1" t="s">
        <v>74</v>
      </c>
      <c r="BI87" s="1">
        <v>11</v>
      </c>
      <c r="BJ87" s="1" t="s">
        <v>144</v>
      </c>
      <c r="BK87" s="1" t="s">
        <v>96</v>
      </c>
      <c r="BL87" s="1" t="s">
        <v>145</v>
      </c>
      <c r="BM87" s="1" t="s">
        <v>1725</v>
      </c>
      <c r="BN87" s="1" t="s">
        <v>74</v>
      </c>
      <c r="BO87" s="1" t="s">
        <v>74</v>
      </c>
      <c r="BP87" s="1" t="s">
        <v>74</v>
      </c>
      <c r="BQ87" s="1" t="s">
        <v>74</v>
      </c>
      <c r="BR87" s="1" t="s">
        <v>98</v>
      </c>
      <c r="BS87" s="1" t="s">
        <v>1726</v>
      </c>
      <c r="BT87" s="1" t="str">
        <f>HYPERLINK("https%3A%2F%2Fwww.webofscience.com%2Fwos%2Fwoscc%2Ffull-record%2FWOS:000079006300003","View Full Record in Web of Science")</f>
        <v>View Full Record in Web of Science</v>
      </c>
    </row>
    <row r="88" spans="1:72">
      <c r="A88" s="1" t="s">
        <v>72</v>
      </c>
      <c r="B88" s="1" t="s">
        <v>1727</v>
      </c>
      <c r="C88" s="1" t="s">
        <v>74</v>
      </c>
      <c r="D88" s="1" t="s">
        <v>74</v>
      </c>
      <c r="E88" s="1" t="s">
        <v>74</v>
      </c>
      <c r="F88" s="1" t="s">
        <v>1728</v>
      </c>
      <c r="G88" s="1" t="s">
        <v>74</v>
      </c>
      <c r="H88" s="1" t="s">
        <v>74</v>
      </c>
      <c r="I88" s="1" t="s">
        <v>1729</v>
      </c>
      <c r="J88" s="1" t="s">
        <v>1730</v>
      </c>
      <c r="K88" s="1" t="s">
        <v>74</v>
      </c>
      <c r="L88" s="1" t="s">
        <v>74</v>
      </c>
      <c r="M88" s="1" t="s">
        <v>78</v>
      </c>
      <c r="N88" s="1" t="s">
        <v>79</v>
      </c>
      <c r="O88" s="1" t="s">
        <v>74</v>
      </c>
      <c r="P88" s="1" t="s">
        <v>74</v>
      </c>
      <c r="Q88" s="1" t="s">
        <v>74</v>
      </c>
      <c r="R88" s="1" t="s">
        <v>74</v>
      </c>
      <c r="S88" s="1" t="s">
        <v>74</v>
      </c>
      <c r="T88" s="1" t="s">
        <v>1731</v>
      </c>
      <c r="U88" s="1" t="s">
        <v>1732</v>
      </c>
      <c r="V88" s="1" t="s">
        <v>1733</v>
      </c>
      <c r="W88" s="1" t="s">
        <v>1734</v>
      </c>
      <c r="X88" s="1" t="s">
        <v>1735</v>
      </c>
      <c r="Y88" s="1" t="s">
        <v>1736</v>
      </c>
      <c r="Z88" s="1" t="s">
        <v>1737</v>
      </c>
      <c r="AA88" s="1" t="s">
        <v>1738</v>
      </c>
      <c r="AB88" s="1" t="s">
        <v>1739</v>
      </c>
      <c r="AC88" s="1" t="s">
        <v>1740</v>
      </c>
      <c r="AD88" s="1" t="s">
        <v>1741</v>
      </c>
      <c r="AE88" s="1" t="s">
        <v>1742</v>
      </c>
      <c r="AF88" s="1" t="s">
        <v>74</v>
      </c>
      <c r="AG88" s="1">
        <v>50</v>
      </c>
      <c r="AH88" s="1">
        <v>25</v>
      </c>
      <c r="AI88" s="1">
        <v>26</v>
      </c>
      <c r="AJ88" s="1">
        <v>1</v>
      </c>
      <c r="AK88" s="1">
        <v>14</v>
      </c>
      <c r="AL88" s="1" t="s">
        <v>1743</v>
      </c>
      <c r="AM88" s="1" t="s">
        <v>1744</v>
      </c>
      <c r="AN88" s="1" t="s">
        <v>1745</v>
      </c>
      <c r="AO88" s="1" t="s">
        <v>1746</v>
      </c>
      <c r="AP88" s="1" t="s">
        <v>1747</v>
      </c>
      <c r="AQ88" s="1" t="s">
        <v>74</v>
      </c>
      <c r="AR88" s="1" t="s">
        <v>1748</v>
      </c>
      <c r="AS88" s="1" t="s">
        <v>1749</v>
      </c>
      <c r="AT88" s="1" t="s">
        <v>74</v>
      </c>
      <c r="AU88" s="1">
        <v>2017</v>
      </c>
      <c r="AV88" s="1">
        <v>13</v>
      </c>
      <c r="AW88" s="1">
        <v>7</v>
      </c>
      <c r="AX88" s="1" t="s">
        <v>74</v>
      </c>
      <c r="AY88" s="1" t="s">
        <v>74</v>
      </c>
      <c r="AZ88" s="1" t="s">
        <v>74</v>
      </c>
      <c r="BA88" s="1" t="s">
        <v>74</v>
      </c>
      <c r="BB88" s="1">
        <v>774</v>
      </c>
      <c r="BC88" s="1">
        <v>781</v>
      </c>
      <c r="BD88" s="1" t="s">
        <v>74</v>
      </c>
      <c r="BE88" s="1" t="s">
        <v>1750</v>
      </c>
      <c r="BF88" s="1" t="str">
        <f>HYPERLINK("http://dx.doi.org/10.1080/17451000.2017.1296163","http://dx.doi.org/10.1080/17451000.2017.1296163")</f>
        <v>http://dx.doi.org/10.1080/17451000.2017.1296163</v>
      </c>
      <c r="BG88" s="1" t="s">
        <v>74</v>
      </c>
      <c r="BH88" s="1" t="s">
        <v>74</v>
      </c>
      <c r="BI88" s="1">
        <v>8</v>
      </c>
      <c r="BJ88" s="1" t="s">
        <v>1292</v>
      </c>
      <c r="BK88" s="1" t="s">
        <v>96</v>
      </c>
      <c r="BL88" s="1" t="s">
        <v>248</v>
      </c>
      <c r="BM88" s="1" t="s">
        <v>1751</v>
      </c>
      <c r="BN88" s="1" t="s">
        <v>74</v>
      </c>
      <c r="BO88" s="1" t="s">
        <v>1752</v>
      </c>
      <c r="BP88" s="1" t="s">
        <v>74</v>
      </c>
      <c r="BQ88" s="1" t="s">
        <v>74</v>
      </c>
      <c r="BR88" s="1" t="s">
        <v>98</v>
      </c>
      <c r="BS88" s="1" t="s">
        <v>1753</v>
      </c>
      <c r="BT88" s="1" t="str">
        <f>HYPERLINK("https%3A%2F%2Fwww.webofscience.com%2Fwos%2Fwoscc%2Ffull-record%2FWOS:000412448900007","View Full Record in Web of Science")</f>
        <v>View Full Record in Web of Science</v>
      </c>
    </row>
    <row r="89" spans="1:72">
      <c r="A89" s="1" t="s">
        <v>72</v>
      </c>
      <c r="B89" s="1" t="s">
        <v>1754</v>
      </c>
      <c r="C89" s="1" t="s">
        <v>74</v>
      </c>
      <c r="D89" s="1" t="s">
        <v>74</v>
      </c>
      <c r="E89" s="1" t="s">
        <v>74</v>
      </c>
      <c r="F89" s="1" t="s">
        <v>1754</v>
      </c>
      <c r="G89" s="1" t="s">
        <v>74</v>
      </c>
      <c r="H89" s="1" t="s">
        <v>74</v>
      </c>
      <c r="I89" s="1" t="s">
        <v>1755</v>
      </c>
      <c r="J89" s="1" t="s">
        <v>1756</v>
      </c>
      <c r="K89" s="1" t="s">
        <v>74</v>
      </c>
      <c r="L89" s="1" t="s">
        <v>74</v>
      </c>
      <c r="M89" s="1" t="s">
        <v>78</v>
      </c>
      <c r="N89" s="1" t="s">
        <v>79</v>
      </c>
      <c r="O89" s="1" t="s">
        <v>74</v>
      </c>
      <c r="P89" s="1" t="s">
        <v>74</v>
      </c>
      <c r="Q89" s="1" t="s">
        <v>74</v>
      </c>
      <c r="R89" s="1" t="s">
        <v>74</v>
      </c>
      <c r="S89" s="1" t="s">
        <v>74</v>
      </c>
      <c r="T89" s="1" t="s">
        <v>1757</v>
      </c>
      <c r="U89" s="1" t="s">
        <v>1758</v>
      </c>
      <c r="V89" s="1" t="s">
        <v>1759</v>
      </c>
      <c r="W89" s="1" t="s">
        <v>1760</v>
      </c>
      <c r="X89" s="1" t="s">
        <v>1761</v>
      </c>
      <c r="Y89" s="1" t="s">
        <v>1762</v>
      </c>
      <c r="Z89" s="1" t="s">
        <v>74</v>
      </c>
      <c r="AA89" s="1" t="s">
        <v>1763</v>
      </c>
      <c r="AB89" s="1" t="s">
        <v>74</v>
      </c>
      <c r="AC89" s="1" t="s">
        <v>74</v>
      </c>
      <c r="AD89" s="1" t="s">
        <v>74</v>
      </c>
      <c r="AE89" s="1" t="s">
        <v>74</v>
      </c>
      <c r="AF89" s="1" t="s">
        <v>74</v>
      </c>
      <c r="AG89" s="1">
        <v>49</v>
      </c>
      <c r="AH89" s="1">
        <v>72</v>
      </c>
      <c r="AI89" s="1">
        <v>89</v>
      </c>
      <c r="AJ89" s="1">
        <v>0</v>
      </c>
      <c r="AK89" s="1">
        <v>10</v>
      </c>
      <c r="AL89" s="1" t="s">
        <v>86</v>
      </c>
      <c r="AM89" s="1" t="s">
        <v>87</v>
      </c>
      <c r="AN89" s="1" t="s">
        <v>88</v>
      </c>
      <c r="AO89" s="1" t="s">
        <v>1764</v>
      </c>
      <c r="AP89" s="1" t="s">
        <v>1765</v>
      </c>
      <c r="AQ89" s="1" t="s">
        <v>74</v>
      </c>
      <c r="AR89" s="1" t="s">
        <v>1766</v>
      </c>
      <c r="AS89" s="1" t="s">
        <v>1767</v>
      </c>
      <c r="AT89" s="1" t="s">
        <v>170</v>
      </c>
      <c r="AU89" s="1">
        <v>1996</v>
      </c>
      <c r="AV89" s="1">
        <v>15</v>
      </c>
      <c r="AW89" s="1">
        <v>5</v>
      </c>
      <c r="AX89" s="1" t="s">
        <v>74</v>
      </c>
      <c r="AY89" s="1" t="s">
        <v>74</v>
      </c>
      <c r="AZ89" s="1" t="s">
        <v>74</v>
      </c>
      <c r="BA89" s="1" t="s">
        <v>74</v>
      </c>
      <c r="BB89" s="1">
        <v>802</v>
      </c>
      <c r="BC89" s="1">
        <v>808</v>
      </c>
      <c r="BD89" s="1" t="s">
        <v>74</v>
      </c>
      <c r="BE89" s="1" t="s">
        <v>1768</v>
      </c>
      <c r="BF89" s="1" t="str">
        <f>HYPERLINK("http://dx.doi.org/10.1002/etc.5620150528","http://dx.doi.org/10.1002/etc.5620150528")</f>
        <v>http://dx.doi.org/10.1002/etc.5620150528</v>
      </c>
      <c r="BG89" s="1" t="s">
        <v>74</v>
      </c>
      <c r="BH89" s="1" t="s">
        <v>74</v>
      </c>
      <c r="BI89" s="1">
        <v>7</v>
      </c>
      <c r="BJ89" s="1" t="s">
        <v>121</v>
      </c>
      <c r="BK89" s="1" t="s">
        <v>96</v>
      </c>
      <c r="BL89" s="1" t="s">
        <v>122</v>
      </c>
      <c r="BM89" s="1" t="s">
        <v>1769</v>
      </c>
      <c r="BN89" s="1" t="s">
        <v>74</v>
      </c>
      <c r="BO89" s="1" t="s">
        <v>74</v>
      </c>
      <c r="BP89" s="1" t="s">
        <v>74</v>
      </c>
      <c r="BQ89" s="1" t="s">
        <v>74</v>
      </c>
      <c r="BR89" s="1" t="s">
        <v>98</v>
      </c>
      <c r="BS89" s="1" t="s">
        <v>1770</v>
      </c>
      <c r="BT89" s="1" t="str">
        <f>HYPERLINK("https%3A%2F%2Fwww.webofscience.com%2Fwos%2Fwoscc%2Ffull-record%2FWOS:A1996UH98600028","View Full Record in Web of Science")</f>
        <v>View Full Record in Web of Science</v>
      </c>
    </row>
    <row r="90" spans="1:72">
      <c r="A90" s="1" t="s">
        <v>72</v>
      </c>
      <c r="B90" s="1" t="s">
        <v>1771</v>
      </c>
      <c r="C90" s="1" t="s">
        <v>74</v>
      </c>
      <c r="D90" s="1" t="s">
        <v>74</v>
      </c>
      <c r="E90" s="1" t="s">
        <v>74</v>
      </c>
      <c r="F90" s="1" t="s">
        <v>1772</v>
      </c>
      <c r="G90" s="1" t="s">
        <v>74</v>
      </c>
      <c r="H90" s="1" t="s">
        <v>74</v>
      </c>
      <c r="I90" s="1" t="s">
        <v>1773</v>
      </c>
      <c r="J90" s="1" t="s">
        <v>1774</v>
      </c>
      <c r="K90" s="1" t="s">
        <v>74</v>
      </c>
      <c r="L90" s="1" t="s">
        <v>74</v>
      </c>
      <c r="M90" s="1" t="s">
        <v>78</v>
      </c>
      <c r="N90" s="1" t="s">
        <v>79</v>
      </c>
      <c r="O90" s="1" t="s">
        <v>74</v>
      </c>
      <c r="P90" s="1" t="s">
        <v>74</v>
      </c>
      <c r="Q90" s="1" t="s">
        <v>74</v>
      </c>
      <c r="R90" s="1" t="s">
        <v>74</v>
      </c>
      <c r="S90" s="1" t="s">
        <v>74</v>
      </c>
      <c r="T90" s="1" t="s">
        <v>1775</v>
      </c>
      <c r="U90" s="1" t="s">
        <v>1776</v>
      </c>
      <c r="V90" s="1" t="s">
        <v>1777</v>
      </c>
      <c r="W90" s="1" t="s">
        <v>1778</v>
      </c>
      <c r="X90" s="1" t="s">
        <v>1779</v>
      </c>
      <c r="Y90" s="1" t="s">
        <v>1780</v>
      </c>
      <c r="Z90" s="1" t="s">
        <v>1781</v>
      </c>
      <c r="AA90" s="1" t="s">
        <v>74</v>
      </c>
      <c r="AB90" s="1" t="s">
        <v>74</v>
      </c>
      <c r="AC90" s="1" t="s">
        <v>1782</v>
      </c>
      <c r="AD90" s="1" t="s">
        <v>1783</v>
      </c>
      <c r="AE90" s="1" t="s">
        <v>1784</v>
      </c>
      <c r="AF90" s="1" t="s">
        <v>74</v>
      </c>
      <c r="AG90" s="1">
        <v>28</v>
      </c>
      <c r="AH90" s="1">
        <v>2</v>
      </c>
      <c r="AI90" s="1">
        <v>3</v>
      </c>
      <c r="AJ90" s="1">
        <v>1</v>
      </c>
      <c r="AK90" s="1">
        <v>21</v>
      </c>
      <c r="AL90" s="1" t="s">
        <v>1785</v>
      </c>
      <c r="AM90" s="1" t="s">
        <v>1786</v>
      </c>
      <c r="AN90" s="1" t="s">
        <v>1787</v>
      </c>
      <c r="AO90" s="1" t="s">
        <v>1788</v>
      </c>
      <c r="AP90" s="1" t="s">
        <v>74</v>
      </c>
      <c r="AQ90" s="1" t="s">
        <v>74</v>
      </c>
      <c r="AR90" s="1" t="s">
        <v>1789</v>
      </c>
      <c r="AS90" s="1" t="s">
        <v>1790</v>
      </c>
      <c r="AT90" s="1" t="s">
        <v>142</v>
      </c>
      <c r="AU90" s="1">
        <v>2011</v>
      </c>
      <c r="AV90" s="1">
        <v>5</v>
      </c>
      <c r="AW90" s="1">
        <v>2</v>
      </c>
      <c r="AX90" s="1" t="s">
        <v>74</v>
      </c>
      <c r="AY90" s="1" t="s">
        <v>74</v>
      </c>
      <c r="AZ90" s="1" t="s">
        <v>74</v>
      </c>
      <c r="BA90" s="1" t="s">
        <v>74</v>
      </c>
      <c r="BB90" s="1">
        <v>236</v>
      </c>
      <c r="BC90" s="1">
        <v>242</v>
      </c>
      <c r="BD90" s="1" t="s">
        <v>74</v>
      </c>
      <c r="BE90" s="1" t="s">
        <v>1791</v>
      </c>
      <c r="BF90" s="1" t="str">
        <f>HYPERLINK("http://dx.doi.org/10.1007/s11783-010-0218-8","http://dx.doi.org/10.1007/s11783-010-0218-8")</f>
        <v>http://dx.doi.org/10.1007/s11783-010-0218-8</v>
      </c>
      <c r="BG90" s="1" t="s">
        <v>74</v>
      </c>
      <c r="BH90" s="1" t="s">
        <v>74</v>
      </c>
      <c r="BI90" s="1">
        <v>7</v>
      </c>
      <c r="BJ90" s="1" t="s">
        <v>415</v>
      </c>
      <c r="BK90" s="1" t="s">
        <v>96</v>
      </c>
      <c r="BL90" s="1" t="s">
        <v>416</v>
      </c>
      <c r="BM90" s="1" t="s">
        <v>1792</v>
      </c>
      <c r="BN90" s="1" t="s">
        <v>74</v>
      </c>
      <c r="BO90" s="1" t="s">
        <v>74</v>
      </c>
      <c r="BP90" s="1" t="s">
        <v>74</v>
      </c>
      <c r="BQ90" s="1" t="s">
        <v>74</v>
      </c>
      <c r="BR90" s="1" t="s">
        <v>98</v>
      </c>
      <c r="BS90" s="1" t="s">
        <v>1793</v>
      </c>
      <c r="BT90" s="1" t="str">
        <f>HYPERLINK("https%3A%2F%2Fwww.webofscience.com%2Fwos%2Fwoscc%2Ffull-record%2FWOS:000291252500010","View Full Record in Web of Science")</f>
        <v>View Full Record in Web of Science</v>
      </c>
    </row>
    <row r="91" spans="1:72">
      <c r="A91" s="1" t="s">
        <v>72</v>
      </c>
      <c r="B91" s="1" t="s">
        <v>1794</v>
      </c>
      <c r="C91" s="1" t="s">
        <v>74</v>
      </c>
      <c r="D91" s="1" t="s">
        <v>74</v>
      </c>
      <c r="E91" s="1" t="s">
        <v>74</v>
      </c>
      <c r="F91" s="1" t="s">
        <v>1794</v>
      </c>
      <c r="G91" s="1" t="s">
        <v>74</v>
      </c>
      <c r="H91" s="1" t="s">
        <v>74</v>
      </c>
      <c r="I91" s="1" t="s">
        <v>1795</v>
      </c>
      <c r="J91" s="1" t="s">
        <v>232</v>
      </c>
      <c r="K91" s="1" t="s">
        <v>74</v>
      </c>
      <c r="L91" s="1" t="s">
        <v>74</v>
      </c>
      <c r="M91" s="1" t="s">
        <v>78</v>
      </c>
      <c r="N91" s="1" t="s">
        <v>79</v>
      </c>
      <c r="O91" s="1" t="s">
        <v>74</v>
      </c>
      <c r="P91" s="1" t="s">
        <v>74</v>
      </c>
      <c r="Q91" s="1" t="s">
        <v>74</v>
      </c>
      <c r="R91" s="1" t="s">
        <v>74</v>
      </c>
      <c r="S91" s="1" t="s">
        <v>74</v>
      </c>
      <c r="T91" s="1" t="s">
        <v>1796</v>
      </c>
      <c r="U91" s="1" t="s">
        <v>1797</v>
      </c>
      <c r="V91" s="1" t="s">
        <v>1798</v>
      </c>
      <c r="W91" s="1" t="s">
        <v>1799</v>
      </c>
      <c r="X91" s="1" t="s">
        <v>1800</v>
      </c>
      <c r="Y91" s="1" t="s">
        <v>1801</v>
      </c>
      <c r="Z91" s="1" t="s">
        <v>1802</v>
      </c>
      <c r="AA91" s="1" t="s">
        <v>1803</v>
      </c>
      <c r="AB91" s="1" t="s">
        <v>1804</v>
      </c>
      <c r="AC91" s="1" t="s">
        <v>74</v>
      </c>
      <c r="AD91" s="1" t="s">
        <v>74</v>
      </c>
      <c r="AE91" s="1" t="s">
        <v>74</v>
      </c>
      <c r="AF91" s="1" t="s">
        <v>74</v>
      </c>
      <c r="AG91" s="1">
        <v>43</v>
      </c>
      <c r="AH91" s="1">
        <v>62</v>
      </c>
      <c r="AI91" s="1">
        <v>73</v>
      </c>
      <c r="AJ91" s="1">
        <v>2</v>
      </c>
      <c r="AK91" s="1">
        <v>32</v>
      </c>
      <c r="AL91" s="1" t="s">
        <v>136</v>
      </c>
      <c r="AM91" s="1" t="s">
        <v>137</v>
      </c>
      <c r="AN91" s="1" t="s">
        <v>138</v>
      </c>
      <c r="AO91" s="1" t="s">
        <v>240</v>
      </c>
      <c r="AP91" s="1" t="s">
        <v>241</v>
      </c>
      <c r="AQ91" s="1" t="s">
        <v>74</v>
      </c>
      <c r="AR91" s="1" t="s">
        <v>242</v>
      </c>
      <c r="AS91" s="1" t="s">
        <v>243</v>
      </c>
      <c r="AT91" s="1" t="s">
        <v>1223</v>
      </c>
      <c r="AU91" s="1">
        <v>2002</v>
      </c>
      <c r="AV91" s="1">
        <v>44</v>
      </c>
      <c r="AW91" s="1">
        <v>3</v>
      </c>
      <c r="AX91" s="1" t="s">
        <v>74</v>
      </c>
      <c r="AY91" s="1" t="s">
        <v>74</v>
      </c>
      <c r="AZ91" s="1" t="s">
        <v>74</v>
      </c>
      <c r="BA91" s="1" t="s">
        <v>74</v>
      </c>
      <c r="BB91" s="1">
        <v>222</v>
      </c>
      <c r="BC91" s="1">
        <v>229</v>
      </c>
      <c r="BD91" s="1" t="s">
        <v>1805</v>
      </c>
      <c r="BE91" s="1" t="s">
        <v>1806</v>
      </c>
      <c r="BF91" s="1" t="str">
        <f>HYPERLINK("http://dx.doi.org/10.1016/S0025-326X(01)00244-2","http://dx.doi.org/10.1016/S0025-326X(01)00244-2")</f>
        <v>http://dx.doi.org/10.1016/S0025-326X(01)00244-2</v>
      </c>
      <c r="BG91" s="1" t="s">
        <v>74</v>
      </c>
      <c r="BH91" s="1" t="s">
        <v>74</v>
      </c>
      <c r="BI91" s="1">
        <v>8</v>
      </c>
      <c r="BJ91" s="1" t="s">
        <v>247</v>
      </c>
      <c r="BK91" s="1" t="s">
        <v>96</v>
      </c>
      <c r="BL91" s="1" t="s">
        <v>248</v>
      </c>
      <c r="BM91" s="1" t="s">
        <v>1807</v>
      </c>
      <c r="BN91" s="1">
        <v>11954739</v>
      </c>
      <c r="BO91" s="1" t="s">
        <v>74</v>
      </c>
      <c r="BP91" s="1" t="s">
        <v>74</v>
      </c>
      <c r="BQ91" s="1" t="s">
        <v>74</v>
      </c>
      <c r="BR91" s="1" t="s">
        <v>98</v>
      </c>
      <c r="BS91" s="1" t="s">
        <v>1808</v>
      </c>
      <c r="BT91" s="1" t="str">
        <f>HYPERLINK("https%3A%2F%2Fwww.webofscience.com%2Fwos%2Fwoscc%2Ffull-record%2FWOS:000174578200016","View Full Record in Web of Science")</f>
        <v>View Full Record in Web of Science</v>
      </c>
    </row>
    <row r="92" spans="1:72">
      <c r="A92" s="1" t="s">
        <v>72</v>
      </c>
      <c r="B92" s="1" t="s">
        <v>1809</v>
      </c>
      <c r="C92" s="1" t="s">
        <v>74</v>
      </c>
      <c r="D92" s="1" t="s">
        <v>74</v>
      </c>
      <c r="E92" s="1" t="s">
        <v>74</v>
      </c>
      <c r="F92" s="1" t="s">
        <v>1809</v>
      </c>
      <c r="G92" s="1" t="s">
        <v>74</v>
      </c>
      <c r="H92" s="1" t="s">
        <v>74</v>
      </c>
      <c r="I92" s="1" t="s">
        <v>1810</v>
      </c>
      <c r="J92" s="1" t="s">
        <v>1811</v>
      </c>
      <c r="K92" s="1" t="s">
        <v>74</v>
      </c>
      <c r="L92" s="1" t="s">
        <v>74</v>
      </c>
      <c r="M92" s="1" t="s">
        <v>78</v>
      </c>
      <c r="N92" s="1" t="s">
        <v>79</v>
      </c>
      <c r="O92" s="1" t="s">
        <v>74</v>
      </c>
      <c r="P92" s="1" t="s">
        <v>74</v>
      </c>
      <c r="Q92" s="1" t="s">
        <v>74</v>
      </c>
      <c r="R92" s="1" t="s">
        <v>74</v>
      </c>
      <c r="S92" s="1" t="s">
        <v>74</v>
      </c>
      <c r="T92" s="1" t="s">
        <v>1812</v>
      </c>
      <c r="U92" s="1" t="s">
        <v>1813</v>
      </c>
      <c r="V92" s="1" t="s">
        <v>1814</v>
      </c>
      <c r="W92" s="1" t="s">
        <v>1815</v>
      </c>
      <c r="X92" s="1" t="s">
        <v>1816</v>
      </c>
      <c r="Y92" s="1" t="s">
        <v>1817</v>
      </c>
      <c r="Z92" s="1" t="s">
        <v>74</v>
      </c>
      <c r="AA92" s="1" t="s">
        <v>1818</v>
      </c>
      <c r="AB92" s="1" t="s">
        <v>1819</v>
      </c>
      <c r="AC92" s="1" t="s">
        <v>74</v>
      </c>
      <c r="AD92" s="1" t="s">
        <v>74</v>
      </c>
      <c r="AE92" s="1" t="s">
        <v>74</v>
      </c>
      <c r="AF92" s="1" t="s">
        <v>74</v>
      </c>
      <c r="AG92" s="1">
        <v>78</v>
      </c>
      <c r="AH92" s="1">
        <v>55</v>
      </c>
      <c r="AI92" s="1">
        <v>64</v>
      </c>
      <c r="AJ92" s="1">
        <v>0</v>
      </c>
      <c r="AK92" s="1">
        <v>22</v>
      </c>
      <c r="AL92" s="1" t="s">
        <v>430</v>
      </c>
      <c r="AM92" s="1" t="s">
        <v>137</v>
      </c>
      <c r="AN92" s="1" t="s">
        <v>431</v>
      </c>
      <c r="AO92" s="1" t="s">
        <v>1820</v>
      </c>
      <c r="AP92" s="1" t="s">
        <v>74</v>
      </c>
      <c r="AQ92" s="1" t="s">
        <v>74</v>
      </c>
      <c r="AR92" s="1" t="s">
        <v>1821</v>
      </c>
      <c r="AS92" s="1" t="s">
        <v>1822</v>
      </c>
      <c r="AT92" s="1" t="s">
        <v>170</v>
      </c>
      <c r="AU92" s="1">
        <v>2003</v>
      </c>
      <c r="AV92" s="1">
        <v>81</v>
      </c>
      <c r="AW92" s="1">
        <v>1</v>
      </c>
      <c r="AX92" s="1" t="s">
        <v>74</v>
      </c>
      <c r="AY92" s="1" t="s">
        <v>74</v>
      </c>
      <c r="AZ92" s="1" t="s">
        <v>74</v>
      </c>
      <c r="BA92" s="1" t="s">
        <v>74</v>
      </c>
      <c r="BB92" s="1">
        <v>73</v>
      </c>
      <c r="BC92" s="1">
        <v>83</v>
      </c>
      <c r="BD92" s="1" t="s">
        <v>1823</v>
      </c>
      <c r="BE92" s="1" t="s">
        <v>1824</v>
      </c>
      <c r="BF92" s="1" t="str">
        <f>HYPERLINK("http://dx.doi.org/10.1016/S0308-8146(02)00380-1","http://dx.doi.org/10.1016/S0308-8146(02)00380-1")</f>
        <v>http://dx.doi.org/10.1016/S0308-8146(02)00380-1</v>
      </c>
      <c r="BG92" s="1" t="s">
        <v>74</v>
      </c>
      <c r="BH92" s="1" t="s">
        <v>74</v>
      </c>
      <c r="BI92" s="1">
        <v>11</v>
      </c>
      <c r="BJ92" s="1" t="s">
        <v>1825</v>
      </c>
      <c r="BK92" s="1" t="s">
        <v>96</v>
      </c>
      <c r="BL92" s="1" t="s">
        <v>1826</v>
      </c>
      <c r="BM92" s="1" t="s">
        <v>1827</v>
      </c>
      <c r="BN92" s="1" t="s">
        <v>74</v>
      </c>
      <c r="BO92" s="1" t="s">
        <v>74</v>
      </c>
      <c r="BP92" s="1" t="s">
        <v>74</v>
      </c>
      <c r="BQ92" s="1" t="s">
        <v>74</v>
      </c>
      <c r="BR92" s="1" t="s">
        <v>98</v>
      </c>
      <c r="BS92" s="1" t="s">
        <v>1828</v>
      </c>
      <c r="BT92" s="1" t="str">
        <f>HYPERLINK("https%3A%2F%2Fwww.webofscience.com%2Fwos%2Fwoscc%2Ffull-record%2FWOS:000181479600009","View Full Record in Web of Science")</f>
        <v>View Full Record in Web of Science</v>
      </c>
    </row>
    <row r="93" spans="1:72">
      <c r="A93" s="1" t="s">
        <v>72</v>
      </c>
      <c r="B93" s="1" t="s">
        <v>1829</v>
      </c>
      <c r="C93" s="1" t="s">
        <v>74</v>
      </c>
      <c r="D93" s="1" t="s">
        <v>74</v>
      </c>
      <c r="E93" s="1" t="s">
        <v>74</v>
      </c>
      <c r="F93" s="1" t="s">
        <v>1829</v>
      </c>
      <c r="G93" s="1" t="s">
        <v>74</v>
      </c>
      <c r="H93" s="1" t="s">
        <v>74</v>
      </c>
      <c r="I93" s="1" t="s">
        <v>1830</v>
      </c>
      <c r="J93" s="1" t="s">
        <v>421</v>
      </c>
      <c r="K93" s="1" t="s">
        <v>74</v>
      </c>
      <c r="L93" s="1" t="s">
        <v>74</v>
      </c>
      <c r="M93" s="1" t="s">
        <v>78</v>
      </c>
      <c r="N93" s="1" t="s">
        <v>79</v>
      </c>
      <c r="O93" s="1" t="s">
        <v>74</v>
      </c>
      <c r="P93" s="1" t="s">
        <v>74</v>
      </c>
      <c r="Q93" s="1" t="s">
        <v>74</v>
      </c>
      <c r="R93" s="1" t="s">
        <v>74</v>
      </c>
      <c r="S93" s="1" t="s">
        <v>74</v>
      </c>
      <c r="T93" s="1" t="s">
        <v>74</v>
      </c>
      <c r="U93" s="1" t="s">
        <v>1831</v>
      </c>
      <c r="V93" s="1" t="s">
        <v>1832</v>
      </c>
      <c r="W93" s="1" t="s">
        <v>1833</v>
      </c>
      <c r="X93" s="1" t="s">
        <v>1834</v>
      </c>
      <c r="Y93" s="1" t="s">
        <v>1835</v>
      </c>
      <c r="Z93" s="1" t="s">
        <v>74</v>
      </c>
      <c r="AA93" s="1" t="s">
        <v>1836</v>
      </c>
      <c r="AB93" s="1" t="s">
        <v>1837</v>
      </c>
      <c r="AC93" s="1" t="s">
        <v>74</v>
      </c>
      <c r="AD93" s="1" t="s">
        <v>74</v>
      </c>
      <c r="AE93" s="1" t="s">
        <v>74</v>
      </c>
      <c r="AF93" s="1" t="s">
        <v>74</v>
      </c>
      <c r="AG93" s="1">
        <v>15</v>
      </c>
      <c r="AH93" s="1">
        <v>32</v>
      </c>
      <c r="AI93" s="1">
        <v>34</v>
      </c>
      <c r="AJ93" s="1">
        <v>1</v>
      </c>
      <c r="AK93" s="1">
        <v>10</v>
      </c>
      <c r="AL93" s="1" t="s">
        <v>430</v>
      </c>
      <c r="AM93" s="1" t="s">
        <v>137</v>
      </c>
      <c r="AN93" s="1" t="s">
        <v>431</v>
      </c>
      <c r="AO93" s="1" t="s">
        <v>432</v>
      </c>
      <c r="AP93" s="1" t="s">
        <v>1394</v>
      </c>
      <c r="AQ93" s="1" t="s">
        <v>74</v>
      </c>
      <c r="AR93" s="1" t="s">
        <v>433</v>
      </c>
      <c r="AS93" s="1" t="s">
        <v>434</v>
      </c>
      <c r="AT93" s="1" t="s">
        <v>74</v>
      </c>
      <c r="AU93" s="1">
        <v>1993</v>
      </c>
      <c r="AV93" s="1">
        <v>82</v>
      </c>
      <c r="AW93" s="1">
        <v>1</v>
      </c>
      <c r="AX93" s="1" t="s">
        <v>74</v>
      </c>
      <c r="AY93" s="1" t="s">
        <v>74</v>
      </c>
      <c r="AZ93" s="1" t="s">
        <v>74</v>
      </c>
      <c r="BA93" s="1" t="s">
        <v>74</v>
      </c>
      <c r="BB93" s="1">
        <v>93</v>
      </c>
      <c r="BC93" s="1">
        <v>97</v>
      </c>
      <c r="BD93" s="1" t="s">
        <v>74</v>
      </c>
      <c r="BE93" s="1" t="s">
        <v>1838</v>
      </c>
      <c r="BF93" s="1" t="str">
        <f>HYPERLINK("http://dx.doi.org/10.1016/0269-7491(93)90166-L","http://dx.doi.org/10.1016/0269-7491(93)90166-L")</f>
        <v>http://dx.doi.org/10.1016/0269-7491(93)90166-L</v>
      </c>
      <c r="BG93" s="1" t="s">
        <v>74</v>
      </c>
      <c r="BH93" s="1" t="s">
        <v>74</v>
      </c>
      <c r="BI93" s="1">
        <v>5</v>
      </c>
      <c r="BJ93" s="1" t="s">
        <v>144</v>
      </c>
      <c r="BK93" s="1" t="s">
        <v>96</v>
      </c>
      <c r="BL93" s="1" t="s">
        <v>145</v>
      </c>
      <c r="BM93" s="1" t="s">
        <v>1839</v>
      </c>
      <c r="BN93" s="1">
        <v>15091803</v>
      </c>
      <c r="BO93" s="1" t="s">
        <v>1752</v>
      </c>
      <c r="BP93" s="1" t="s">
        <v>74</v>
      </c>
      <c r="BQ93" s="1" t="s">
        <v>74</v>
      </c>
      <c r="BR93" s="1" t="s">
        <v>98</v>
      </c>
      <c r="BS93" s="1" t="s">
        <v>1840</v>
      </c>
      <c r="BT93" s="1" t="str">
        <f>HYPERLINK("https%3A%2F%2Fwww.webofscience.com%2Fwos%2Fwoscc%2Ffull-record%2FWOS:A1993LQ96100012","View Full Record in Web of Science")</f>
        <v>View Full Record in Web of Science</v>
      </c>
    </row>
    <row r="94" spans="1:72">
      <c r="A94" s="1" t="s">
        <v>72</v>
      </c>
      <c r="B94" s="1" t="s">
        <v>1841</v>
      </c>
      <c r="C94" s="1" t="s">
        <v>74</v>
      </c>
      <c r="D94" s="1" t="s">
        <v>74</v>
      </c>
      <c r="E94" s="1" t="s">
        <v>74</v>
      </c>
      <c r="F94" s="1" t="s">
        <v>1842</v>
      </c>
      <c r="G94" s="1" t="s">
        <v>74</v>
      </c>
      <c r="H94" s="1" t="s">
        <v>74</v>
      </c>
      <c r="I94" s="1" t="s">
        <v>1843</v>
      </c>
      <c r="J94" s="1" t="s">
        <v>232</v>
      </c>
      <c r="K94" s="1" t="s">
        <v>74</v>
      </c>
      <c r="L94" s="1" t="s">
        <v>74</v>
      </c>
      <c r="M94" s="1" t="s">
        <v>78</v>
      </c>
      <c r="N94" s="1" t="s">
        <v>79</v>
      </c>
      <c r="O94" s="1" t="s">
        <v>74</v>
      </c>
      <c r="P94" s="1" t="s">
        <v>74</v>
      </c>
      <c r="Q94" s="1" t="s">
        <v>74</v>
      </c>
      <c r="R94" s="1" t="s">
        <v>74</v>
      </c>
      <c r="S94" s="1" t="s">
        <v>74</v>
      </c>
      <c r="T94" s="1" t="s">
        <v>1844</v>
      </c>
      <c r="U94" s="1" t="s">
        <v>1845</v>
      </c>
      <c r="V94" s="1" t="s">
        <v>1846</v>
      </c>
      <c r="W94" s="1" t="s">
        <v>1847</v>
      </c>
      <c r="X94" s="1" t="s">
        <v>1848</v>
      </c>
      <c r="Y94" s="1" t="s">
        <v>1849</v>
      </c>
      <c r="Z94" s="1" t="s">
        <v>1850</v>
      </c>
      <c r="AA94" s="1" t="s">
        <v>1851</v>
      </c>
      <c r="AB94" s="1" t="s">
        <v>1852</v>
      </c>
      <c r="AC94" s="1" t="s">
        <v>1853</v>
      </c>
      <c r="AD94" s="1" t="s">
        <v>1854</v>
      </c>
      <c r="AE94" s="1" t="s">
        <v>1855</v>
      </c>
      <c r="AF94" s="1" t="s">
        <v>74</v>
      </c>
      <c r="AG94" s="1">
        <v>59</v>
      </c>
      <c r="AH94" s="1">
        <v>36</v>
      </c>
      <c r="AI94" s="1">
        <v>41</v>
      </c>
      <c r="AJ94" s="1">
        <v>3</v>
      </c>
      <c r="AK94" s="1">
        <v>80</v>
      </c>
      <c r="AL94" s="1" t="s">
        <v>136</v>
      </c>
      <c r="AM94" s="1" t="s">
        <v>137</v>
      </c>
      <c r="AN94" s="1" t="s">
        <v>138</v>
      </c>
      <c r="AO94" s="1" t="s">
        <v>240</v>
      </c>
      <c r="AP94" s="1" t="s">
        <v>241</v>
      </c>
      <c r="AQ94" s="1" t="s">
        <v>74</v>
      </c>
      <c r="AR94" s="1" t="s">
        <v>242</v>
      </c>
      <c r="AS94" s="1" t="s">
        <v>243</v>
      </c>
      <c r="AT94" s="1" t="s">
        <v>1856</v>
      </c>
      <c r="AU94" s="1">
        <v>2015</v>
      </c>
      <c r="AV94" s="1">
        <v>97</v>
      </c>
      <c r="AW94" s="1" t="s">
        <v>326</v>
      </c>
      <c r="AX94" s="1" t="s">
        <v>74</v>
      </c>
      <c r="AY94" s="1" t="s">
        <v>74</v>
      </c>
      <c r="AZ94" s="1" t="s">
        <v>74</v>
      </c>
      <c r="BA94" s="1" t="s">
        <v>74</v>
      </c>
      <c r="BB94" s="1">
        <v>528</v>
      </c>
      <c r="BC94" s="1">
        <v>534</v>
      </c>
      <c r="BD94" s="1" t="s">
        <v>74</v>
      </c>
      <c r="BE94" s="1" t="s">
        <v>1857</v>
      </c>
      <c r="BF94" s="1" t="str">
        <f>HYPERLINK("http://dx.doi.org/10.1016/j.marpolbul.2015.05.017","http://dx.doi.org/10.1016/j.marpolbul.2015.05.017")</f>
        <v>http://dx.doi.org/10.1016/j.marpolbul.2015.05.017</v>
      </c>
      <c r="BG94" s="1" t="s">
        <v>74</v>
      </c>
      <c r="BH94" s="1" t="s">
        <v>74</v>
      </c>
      <c r="BI94" s="1">
        <v>7</v>
      </c>
      <c r="BJ94" s="1" t="s">
        <v>247</v>
      </c>
      <c r="BK94" s="1" t="s">
        <v>96</v>
      </c>
      <c r="BL94" s="1" t="s">
        <v>248</v>
      </c>
      <c r="BM94" s="1" t="s">
        <v>1858</v>
      </c>
      <c r="BN94" s="1">
        <v>26130526</v>
      </c>
      <c r="BO94" s="1" t="s">
        <v>74</v>
      </c>
      <c r="BP94" s="1" t="s">
        <v>74</v>
      </c>
      <c r="BQ94" s="1" t="s">
        <v>74</v>
      </c>
      <c r="BR94" s="1" t="s">
        <v>98</v>
      </c>
      <c r="BS94" s="1" t="s">
        <v>1859</v>
      </c>
      <c r="BT94" s="1" t="str">
        <f>HYPERLINK("https%3A%2F%2Fwww.webofscience.com%2Fwos%2Fwoscc%2Ffull-record%2FWOS:000360417800067","View Full Record in Web of Science")</f>
        <v>View Full Record in Web of Science</v>
      </c>
    </row>
    <row r="95" spans="1:72">
      <c r="A95" s="1" t="s">
        <v>72</v>
      </c>
      <c r="B95" s="1" t="s">
        <v>1860</v>
      </c>
      <c r="C95" s="1" t="s">
        <v>74</v>
      </c>
      <c r="D95" s="1" t="s">
        <v>74</v>
      </c>
      <c r="E95" s="1" t="s">
        <v>74</v>
      </c>
      <c r="F95" s="1" t="s">
        <v>1860</v>
      </c>
      <c r="G95" s="1" t="s">
        <v>74</v>
      </c>
      <c r="H95" s="1" t="s">
        <v>74</v>
      </c>
      <c r="I95" s="1" t="s">
        <v>1861</v>
      </c>
      <c r="J95" s="1" t="s">
        <v>232</v>
      </c>
      <c r="K95" s="1" t="s">
        <v>74</v>
      </c>
      <c r="L95" s="1" t="s">
        <v>74</v>
      </c>
      <c r="M95" s="1" t="s">
        <v>78</v>
      </c>
      <c r="N95" s="1" t="s">
        <v>79</v>
      </c>
      <c r="O95" s="1" t="s">
        <v>74</v>
      </c>
      <c r="P95" s="1" t="s">
        <v>74</v>
      </c>
      <c r="Q95" s="1" t="s">
        <v>74</v>
      </c>
      <c r="R95" s="1" t="s">
        <v>74</v>
      </c>
      <c r="S95" s="1" t="s">
        <v>74</v>
      </c>
      <c r="T95" s="1" t="s">
        <v>74</v>
      </c>
      <c r="U95" s="1" t="s">
        <v>1862</v>
      </c>
      <c r="V95" s="1" t="s">
        <v>1863</v>
      </c>
      <c r="W95" s="1" t="s">
        <v>1864</v>
      </c>
      <c r="X95" s="1" t="s">
        <v>1865</v>
      </c>
      <c r="Y95" s="1" t="s">
        <v>1866</v>
      </c>
      <c r="Z95" s="1" t="s">
        <v>74</v>
      </c>
      <c r="AA95" s="1" t="s">
        <v>74</v>
      </c>
      <c r="AB95" s="1" t="s">
        <v>74</v>
      </c>
      <c r="AC95" s="1" t="s">
        <v>74</v>
      </c>
      <c r="AD95" s="1" t="s">
        <v>74</v>
      </c>
      <c r="AE95" s="1" t="s">
        <v>74</v>
      </c>
      <c r="AF95" s="1" t="s">
        <v>74</v>
      </c>
      <c r="AG95" s="1">
        <v>12</v>
      </c>
      <c r="AH95" s="1">
        <v>25</v>
      </c>
      <c r="AI95" s="1">
        <v>27</v>
      </c>
      <c r="AJ95" s="1">
        <v>0</v>
      </c>
      <c r="AK95" s="1">
        <v>5</v>
      </c>
      <c r="AL95" s="1" t="s">
        <v>136</v>
      </c>
      <c r="AM95" s="1" t="s">
        <v>137</v>
      </c>
      <c r="AN95" s="1" t="s">
        <v>138</v>
      </c>
      <c r="AO95" s="1" t="s">
        <v>240</v>
      </c>
      <c r="AP95" s="1" t="s">
        <v>241</v>
      </c>
      <c r="AQ95" s="1" t="s">
        <v>74</v>
      </c>
      <c r="AR95" s="1" t="s">
        <v>242</v>
      </c>
      <c r="AS95" s="1" t="s">
        <v>243</v>
      </c>
      <c r="AT95" s="1" t="s">
        <v>1223</v>
      </c>
      <c r="AU95" s="1">
        <v>1995</v>
      </c>
      <c r="AV95" s="1">
        <v>30</v>
      </c>
      <c r="AW95" s="1">
        <v>3</v>
      </c>
      <c r="AX95" s="1" t="s">
        <v>74</v>
      </c>
      <c r="AY95" s="1" t="s">
        <v>74</v>
      </c>
      <c r="AZ95" s="1" t="s">
        <v>74</v>
      </c>
      <c r="BA95" s="1" t="s">
        <v>74</v>
      </c>
      <c r="BB95" s="1">
        <v>211</v>
      </c>
      <c r="BC95" s="1">
        <v>214</v>
      </c>
      <c r="BD95" s="1" t="s">
        <v>74</v>
      </c>
      <c r="BE95" s="1" t="s">
        <v>1867</v>
      </c>
      <c r="BF95" s="1" t="str">
        <f>HYPERLINK("http://dx.doi.org/10.1016/0025-326X(94)00143-W","http://dx.doi.org/10.1016/0025-326X(94)00143-W")</f>
        <v>http://dx.doi.org/10.1016/0025-326X(94)00143-W</v>
      </c>
      <c r="BG95" s="1" t="s">
        <v>74</v>
      </c>
      <c r="BH95" s="1" t="s">
        <v>74</v>
      </c>
      <c r="BI95" s="1">
        <v>4</v>
      </c>
      <c r="BJ95" s="1" t="s">
        <v>247</v>
      </c>
      <c r="BK95" s="1" t="s">
        <v>96</v>
      </c>
      <c r="BL95" s="1" t="s">
        <v>248</v>
      </c>
      <c r="BM95" s="1" t="s">
        <v>1868</v>
      </c>
      <c r="BN95" s="1" t="s">
        <v>74</v>
      </c>
      <c r="BO95" s="1" t="s">
        <v>74</v>
      </c>
      <c r="BP95" s="1" t="s">
        <v>74</v>
      </c>
      <c r="BQ95" s="1" t="s">
        <v>74</v>
      </c>
      <c r="BR95" s="1" t="s">
        <v>98</v>
      </c>
      <c r="BS95" s="1" t="s">
        <v>1869</v>
      </c>
      <c r="BT95" s="1" t="str">
        <f>HYPERLINK("https%3A%2F%2Fwww.webofscience.com%2Fwos%2Fwoscc%2Ffull-record%2FWOS:A1995QQ01600009","View Full Record in Web of Science")</f>
        <v>View Full Record in Web of Science</v>
      </c>
    </row>
    <row r="96" spans="1:72">
      <c r="A96" s="1" t="s">
        <v>72</v>
      </c>
      <c r="B96" s="1" t="s">
        <v>1870</v>
      </c>
      <c r="C96" s="1" t="s">
        <v>74</v>
      </c>
      <c r="D96" s="1" t="s">
        <v>74</v>
      </c>
      <c r="E96" s="1" t="s">
        <v>74</v>
      </c>
      <c r="F96" s="1" t="s">
        <v>1871</v>
      </c>
      <c r="G96" s="1" t="s">
        <v>74</v>
      </c>
      <c r="H96" s="1" t="s">
        <v>74</v>
      </c>
      <c r="I96" s="1" t="s">
        <v>1872</v>
      </c>
      <c r="J96" s="1" t="s">
        <v>495</v>
      </c>
      <c r="K96" s="1" t="s">
        <v>74</v>
      </c>
      <c r="L96" s="1" t="s">
        <v>74</v>
      </c>
      <c r="M96" s="1" t="s">
        <v>78</v>
      </c>
      <c r="N96" s="1" t="s">
        <v>151</v>
      </c>
      <c r="O96" s="1" t="s">
        <v>1873</v>
      </c>
      <c r="P96" s="1" t="s">
        <v>1874</v>
      </c>
      <c r="Q96" s="1" t="s">
        <v>1875</v>
      </c>
      <c r="R96" s="1" t="s">
        <v>74</v>
      </c>
      <c r="S96" s="1" t="s">
        <v>74</v>
      </c>
      <c r="T96" s="1" t="s">
        <v>1876</v>
      </c>
      <c r="U96" s="1" t="s">
        <v>1877</v>
      </c>
      <c r="V96" s="1" t="s">
        <v>1878</v>
      </c>
      <c r="W96" s="1" t="s">
        <v>1879</v>
      </c>
      <c r="X96" s="1" t="s">
        <v>1880</v>
      </c>
      <c r="Y96" s="1" t="s">
        <v>1881</v>
      </c>
      <c r="Z96" s="1" t="s">
        <v>1882</v>
      </c>
      <c r="AA96" s="1" t="s">
        <v>1883</v>
      </c>
      <c r="AB96" s="1" t="s">
        <v>1884</v>
      </c>
      <c r="AC96" s="1" t="s">
        <v>74</v>
      </c>
      <c r="AD96" s="1" t="s">
        <v>74</v>
      </c>
      <c r="AE96" s="1" t="s">
        <v>74</v>
      </c>
      <c r="AF96" s="1" t="s">
        <v>74</v>
      </c>
      <c r="AG96" s="1">
        <v>20</v>
      </c>
      <c r="AH96" s="1">
        <v>12</v>
      </c>
      <c r="AI96" s="1">
        <v>12</v>
      </c>
      <c r="AJ96" s="1">
        <v>12</v>
      </c>
      <c r="AK96" s="1">
        <v>21</v>
      </c>
      <c r="AL96" s="1" t="s">
        <v>1030</v>
      </c>
      <c r="AM96" s="1" t="s">
        <v>1031</v>
      </c>
      <c r="AN96" s="1" t="s">
        <v>1032</v>
      </c>
      <c r="AO96" s="1" t="s">
        <v>507</v>
      </c>
      <c r="AP96" s="1" t="s">
        <v>74</v>
      </c>
      <c r="AQ96" s="1" t="s">
        <v>74</v>
      </c>
      <c r="AR96" s="1" t="s">
        <v>508</v>
      </c>
      <c r="AS96" s="1" t="s">
        <v>509</v>
      </c>
      <c r="AT96" s="1" t="s">
        <v>74</v>
      </c>
      <c r="AU96" s="1">
        <v>2010</v>
      </c>
      <c r="AV96" s="1">
        <v>19</v>
      </c>
      <c r="AW96" s="1" t="s">
        <v>1885</v>
      </c>
      <c r="AX96" s="1" t="s">
        <v>74</v>
      </c>
      <c r="AY96" s="1" t="s">
        <v>74</v>
      </c>
      <c r="AZ96" s="1" t="s">
        <v>225</v>
      </c>
      <c r="BA96" s="1" t="s">
        <v>74</v>
      </c>
      <c r="BB96" s="1">
        <v>2292</v>
      </c>
      <c r="BC96" s="1">
        <v>2296</v>
      </c>
      <c r="BD96" s="1" t="s">
        <v>74</v>
      </c>
      <c r="BE96" s="1" t="s">
        <v>74</v>
      </c>
      <c r="BF96" s="1" t="s">
        <v>74</v>
      </c>
      <c r="BG96" s="1" t="s">
        <v>74</v>
      </c>
      <c r="BH96" s="1" t="s">
        <v>74</v>
      </c>
      <c r="BI96" s="1">
        <v>5</v>
      </c>
      <c r="BJ96" s="1" t="s">
        <v>144</v>
      </c>
      <c r="BK96" s="1" t="s">
        <v>172</v>
      </c>
      <c r="BL96" s="1" t="s">
        <v>145</v>
      </c>
      <c r="BM96" s="1" t="s">
        <v>1886</v>
      </c>
      <c r="BN96" s="1" t="s">
        <v>74</v>
      </c>
      <c r="BO96" s="1" t="s">
        <v>74</v>
      </c>
      <c r="BP96" s="1" t="s">
        <v>74</v>
      </c>
      <c r="BQ96" s="1" t="s">
        <v>74</v>
      </c>
      <c r="BR96" s="1" t="s">
        <v>98</v>
      </c>
      <c r="BS96" s="1" t="s">
        <v>1887</v>
      </c>
      <c r="BT96" s="1" t="str">
        <f>HYPERLINK("https%3A%2F%2Fwww.webofscience.com%2Fwos%2Fwoscc%2Ffull-record%2FWOS:000285178700001","View Full Record in Web of Science")</f>
        <v>View Full Record in Web of Science</v>
      </c>
    </row>
    <row r="97" spans="1:72">
      <c r="A97" s="1" t="s">
        <v>72</v>
      </c>
      <c r="B97" s="1" t="s">
        <v>1888</v>
      </c>
      <c r="C97" s="1" t="s">
        <v>74</v>
      </c>
      <c r="D97" s="1" t="s">
        <v>74</v>
      </c>
      <c r="E97" s="1" t="s">
        <v>74</v>
      </c>
      <c r="F97" s="1" t="s">
        <v>1889</v>
      </c>
      <c r="G97" s="1" t="s">
        <v>74</v>
      </c>
      <c r="H97" s="1" t="s">
        <v>74</v>
      </c>
      <c r="I97" s="1" t="s">
        <v>1890</v>
      </c>
      <c r="J97" s="1" t="s">
        <v>1891</v>
      </c>
      <c r="K97" s="1" t="s">
        <v>74</v>
      </c>
      <c r="L97" s="1" t="s">
        <v>74</v>
      </c>
      <c r="M97" s="1" t="s">
        <v>78</v>
      </c>
      <c r="N97" s="1" t="s">
        <v>79</v>
      </c>
      <c r="O97" s="1" t="s">
        <v>74</v>
      </c>
      <c r="P97" s="1" t="s">
        <v>74</v>
      </c>
      <c r="Q97" s="1" t="s">
        <v>74</v>
      </c>
      <c r="R97" s="1" t="s">
        <v>74</v>
      </c>
      <c r="S97" s="1" t="s">
        <v>74</v>
      </c>
      <c r="T97" s="1" t="s">
        <v>1892</v>
      </c>
      <c r="U97" s="1" t="s">
        <v>1893</v>
      </c>
      <c r="V97" s="1" t="s">
        <v>1894</v>
      </c>
      <c r="W97" s="1" t="s">
        <v>1895</v>
      </c>
      <c r="X97" s="1" t="s">
        <v>1896</v>
      </c>
      <c r="Y97" s="1" t="s">
        <v>1897</v>
      </c>
      <c r="Z97" s="1" t="s">
        <v>1898</v>
      </c>
      <c r="AA97" s="1" t="s">
        <v>1899</v>
      </c>
      <c r="AB97" s="1" t="s">
        <v>1900</v>
      </c>
      <c r="AC97" s="1" t="s">
        <v>74</v>
      </c>
      <c r="AD97" s="1" t="s">
        <v>74</v>
      </c>
      <c r="AE97" s="1" t="s">
        <v>74</v>
      </c>
      <c r="AF97" s="1" t="s">
        <v>74</v>
      </c>
      <c r="AG97" s="1">
        <v>34</v>
      </c>
      <c r="AH97" s="1">
        <v>18</v>
      </c>
      <c r="AI97" s="1">
        <v>18</v>
      </c>
      <c r="AJ97" s="1">
        <v>3</v>
      </c>
      <c r="AK97" s="1">
        <v>55</v>
      </c>
      <c r="AL97" s="1" t="s">
        <v>1901</v>
      </c>
      <c r="AM97" s="1" t="s">
        <v>1902</v>
      </c>
      <c r="AN97" s="1" t="s">
        <v>1903</v>
      </c>
      <c r="AO97" s="1" t="s">
        <v>1904</v>
      </c>
      <c r="AP97" s="1" t="s">
        <v>1905</v>
      </c>
      <c r="AQ97" s="1" t="s">
        <v>74</v>
      </c>
      <c r="AR97" s="1" t="s">
        <v>1906</v>
      </c>
      <c r="AS97" s="1" t="s">
        <v>1907</v>
      </c>
      <c r="AT97" s="1" t="s">
        <v>224</v>
      </c>
      <c r="AU97" s="1">
        <v>2013</v>
      </c>
      <c r="AV97" s="1">
        <v>12</v>
      </c>
      <c r="AW97" s="1">
        <v>2</v>
      </c>
      <c r="AX97" s="1" t="s">
        <v>74</v>
      </c>
      <c r="AY97" s="1" t="s">
        <v>74</v>
      </c>
      <c r="AZ97" s="1" t="s">
        <v>74</v>
      </c>
      <c r="BA97" s="1" t="s">
        <v>74</v>
      </c>
      <c r="BB97" s="1">
        <v>271</v>
      </c>
      <c r="BC97" s="1">
        <v>276</v>
      </c>
      <c r="BD97" s="1" t="s">
        <v>74</v>
      </c>
      <c r="BE97" s="1" t="s">
        <v>74</v>
      </c>
      <c r="BF97" s="1" t="s">
        <v>74</v>
      </c>
      <c r="BG97" s="1" t="s">
        <v>74</v>
      </c>
      <c r="BH97" s="1" t="s">
        <v>74</v>
      </c>
      <c r="BI97" s="1">
        <v>6</v>
      </c>
      <c r="BJ97" s="1" t="s">
        <v>144</v>
      </c>
      <c r="BK97" s="1" t="s">
        <v>96</v>
      </c>
      <c r="BL97" s="1" t="s">
        <v>145</v>
      </c>
      <c r="BM97" s="1" t="s">
        <v>1908</v>
      </c>
      <c r="BN97" s="1" t="s">
        <v>74</v>
      </c>
      <c r="BO97" s="1" t="s">
        <v>74</v>
      </c>
      <c r="BP97" s="1" t="s">
        <v>74</v>
      </c>
      <c r="BQ97" s="1" t="s">
        <v>74</v>
      </c>
      <c r="BR97" s="1" t="s">
        <v>98</v>
      </c>
      <c r="BS97" s="1" t="s">
        <v>1909</v>
      </c>
      <c r="BT97" s="1" t="str">
        <f>HYPERLINK("https%3A%2F%2Fwww.webofscience.com%2Fwos%2Fwoscc%2Ffull-record%2FWOS:000317854400011","View Full Record in Web of Science")</f>
        <v>View Full Record in Web of Science</v>
      </c>
    </row>
    <row r="98" spans="1:72">
      <c r="A98" s="1" t="s">
        <v>72</v>
      </c>
      <c r="B98" s="1" t="s">
        <v>1910</v>
      </c>
      <c r="C98" s="1" t="s">
        <v>74</v>
      </c>
      <c r="D98" s="1" t="s">
        <v>74</v>
      </c>
      <c r="E98" s="1" t="s">
        <v>74</v>
      </c>
      <c r="F98" s="1" t="s">
        <v>1911</v>
      </c>
      <c r="G98" s="1" t="s">
        <v>74</v>
      </c>
      <c r="H98" s="1" t="s">
        <v>74</v>
      </c>
      <c r="I98" s="1" t="s">
        <v>1912</v>
      </c>
      <c r="J98" s="1" t="s">
        <v>421</v>
      </c>
      <c r="K98" s="1" t="s">
        <v>74</v>
      </c>
      <c r="L98" s="1" t="s">
        <v>74</v>
      </c>
      <c r="M98" s="1" t="s">
        <v>78</v>
      </c>
      <c r="N98" s="1" t="s">
        <v>79</v>
      </c>
      <c r="O98" s="1" t="s">
        <v>74</v>
      </c>
      <c r="P98" s="1" t="s">
        <v>74</v>
      </c>
      <c r="Q98" s="1" t="s">
        <v>74</v>
      </c>
      <c r="R98" s="1" t="s">
        <v>74</v>
      </c>
      <c r="S98" s="1" t="s">
        <v>74</v>
      </c>
      <c r="T98" s="1" t="s">
        <v>1913</v>
      </c>
      <c r="U98" s="1" t="s">
        <v>1914</v>
      </c>
      <c r="V98" s="1" t="s">
        <v>1915</v>
      </c>
      <c r="W98" s="1" t="s">
        <v>1916</v>
      </c>
      <c r="X98" s="1" t="s">
        <v>1917</v>
      </c>
      <c r="Y98" s="1" t="s">
        <v>1918</v>
      </c>
      <c r="Z98" s="1" t="s">
        <v>1919</v>
      </c>
      <c r="AA98" s="1" t="s">
        <v>1920</v>
      </c>
      <c r="AB98" s="1" t="s">
        <v>1921</v>
      </c>
      <c r="AC98" s="1" t="s">
        <v>1922</v>
      </c>
      <c r="AD98" s="1" t="s">
        <v>1922</v>
      </c>
      <c r="AE98" s="1" t="s">
        <v>1923</v>
      </c>
      <c r="AF98" s="1" t="s">
        <v>74</v>
      </c>
      <c r="AG98" s="1">
        <v>58</v>
      </c>
      <c r="AH98" s="1">
        <v>12</v>
      </c>
      <c r="AI98" s="1">
        <v>13</v>
      </c>
      <c r="AJ98" s="1">
        <v>1</v>
      </c>
      <c r="AK98" s="1">
        <v>33</v>
      </c>
      <c r="AL98" s="1" t="s">
        <v>430</v>
      </c>
      <c r="AM98" s="1" t="s">
        <v>137</v>
      </c>
      <c r="AN98" s="1" t="s">
        <v>431</v>
      </c>
      <c r="AO98" s="1" t="s">
        <v>432</v>
      </c>
      <c r="AP98" s="1" t="s">
        <v>1394</v>
      </c>
      <c r="AQ98" s="1" t="s">
        <v>74</v>
      </c>
      <c r="AR98" s="1" t="s">
        <v>433</v>
      </c>
      <c r="AS98" s="1" t="s">
        <v>434</v>
      </c>
      <c r="AT98" s="1" t="s">
        <v>1470</v>
      </c>
      <c r="AU98" s="1">
        <v>2011</v>
      </c>
      <c r="AV98" s="1">
        <v>159</v>
      </c>
      <c r="AW98" s="1">
        <v>1</v>
      </c>
      <c r="AX98" s="1" t="s">
        <v>74</v>
      </c>
      <c r="AY98" s="1" t="s">
        <v>74</v>
      </c>
      <c r="AZ98" s="1" t="s">
        <v>74</v>
      </c>
      <c r="BA98" s="1" t="s">
        <v>74</v>
      </c>
      <c r="BB98" s="1">
        <v>116</v>
      </c>
      <c r="BC98" s="1">
        <v>124</v>
      </c>
      <c r="BD98" s="1" t="s">
        <v>74</v>
      </c>
      <c r="BE98" s="1" t="s">
        <v>1924</v>
      </c>
      <c r="BF98" s="1" t="str">
        <f>HYPERLINK("http://dx.doi.org/10.1016/j.envpol.2010.09.012","http://dx.doi.org/10.1016/j.envpol.2010.09.012")</f>
        <v>http://dx.doi.org/10.1016/j.envpol.2010.09.012</v>
      </c>
      <c r="BG98" s="1" t="s">
        <v>74</v>
      </c>
      <c r="BH98" s="1" t="s">
        <v>74</v>
      </c>
      <c r="BI98" s="1">
        <v>9</v>
      </c>
      <c r="BJ98" s="1" t="s">
        <v>144</v>
      </c>
      <c r="BK98" s="1" t="s">
        <v>96</v>
      </c>
      <c r="BL98" s="1" t="s">
        <v>145</v>
      </c>
      <c r="BM98" s="1" t="s">
        <v>1925</v>
      </c>
      <c r="BN98" s="1">
        <v>20965631</v>
      </c>
      <c r="BO98" s="1" t="s">
        <v>74</v>
      </c>
      <c r="BP98" s="1" t="s">
        <v>74</v>
      </c>
      <c r="BQ98" s="1" t="s">
        <v>74</v>
      </c>
      <c r="BR98" s="1" t="s">
        <v>98</v>
      </c>
      <c r="BS98" s="1" t="s">
        <v>1926</v>
      </c>
      <c r="BT98" s="1" t="str">
        <f>HYPERLINK("https%3A%2F%2Fwww.webofscience.com%2Fwos%2Fwoscc%2Ffull-record%2FWOS:000285129600016","View Full Record in Web of Science")</f>
        <v>View Full Record in Web of Science</v>
      </c>
    </row>
    <row r="99" spans="1:72">
      <c r="A99" s="1" t="s">
        <v>72</v>
      </c>
      <c r="B99" s="1" t="s">
        <v>1927</v>
      </c>
      <c r="C99" s="1" t="s">
        <v>74</v>
      </c>
      <c r="D99" s="1" t="s">
        <v>74</v>
      </c>
      <c r="E99" s="1" t="s">
        <v>74</v>
      </c>
      <c r="F99" s="1" t="s">
        <v>1928</v>
      </c>
      <c r="G99" s="1" t="s">
        <v>74</v>
      </c>
      <c r="H99" s="1" t="s">
        <v>74</v>
      </c>
      <c r="I99" s="1" t="s">
        <v>1929</v>
      </c>
      <c r="J99" s="1" t="s">
        <v>204</v>
      </c>
      <c r="K99" s="1" t="s">
        <v>74</v>
      </c>
      <c r="L99" s="1" t="s">
        <v>74</v>
      </c>
      <c r="M99" s="1" t="s">
        <v>78</v>
      </c>
      <c r="N99" s="1" t="s">
        <v>79</v>
      </c>
      <c r="O99" s="1" t="s">
        <v>74</v>
      </c>
      <c r="P99" s="1" t="s">
        <v>74</v>
      </c>
      <c r="Q99" s="1" t="s">
        <v>74</v>
      </c>
      <c r="R99" s="1" t="s">
        <v>74</v>
      </c>
      <c r="S99" s="1" t="s">
        <v>74</v>
      </c>
      <c r="T99" s="1" t="s">
        <v>1930</v>
      </c>
      <c r="U99" s="1" t="s">
        <v>1931</v>
      </c>
      <c r="V99" s="1" t="s">
        <v>1932</v>
      </c>
      <c r="W99" s="1" t="s">
        <v>1933</v>
      </c>
      <c r="X99" s="1" t="s">
        <v>1934</v>
      </c>
      <c r="Y99" s="1" t="s">
        <v>1935</v>
      </c>
      <c r="Z99" s="1" t="s">
        <v>1936</v>
      </c>
      <c r="AA99" s="1" t="s">
        <v>1937</v>
      </c>
      <c r="AB99" s="1" t="s">
        <v>1938</v>
      </c>
      <c r="AC99" s="1" t="s">
        <v>1939</v>
      </c>
      <c r="AD99" s="1" t="s">
        <v>1940</v>
      </c>
      <c r="AE99" s="1" t="s">
        <v>1941</v>
      </c>
      <c r="AF99" s="1" t="s">
        <v>74</v>
      </c>
      <c r="AG99" s="1">
        <v>71</v>
      </c>
      <c r="AH99" s="1">
        <v>24</v>
      </c>
      <c r="AI99" s="1">
        <v>24</v>
      </c>
      <c r="AJ99" s="1">
        <v>7</v>
      </c>
      <c r="AK99" s="1">
        <v>22</v>
      </c>
      <c r="AL99" s="1" t="s">
        <v>217</v>
      </c>
      <c r="AM99" s="1" t="s">
        <v>218</v>
      </c>
      <c r="AN99" s="1" t="s">
        <v>219</v>
      </c>
      <c r="AO99" s="1" t="s">
        <v>220</v>
      </c>
      <c r="AP99" s="1" t="s">
        <v>221</v>
      </c>
      <c r="AQ99" s="1" t="s">
        <v>74</v>
      </c>
      <c r="AR99" s="1" t="s">
        <v>222</v>
      </c>
      <c r="AS99" s="1" t="s">
        <v>223</v>
      </c>
      <c r="AT99" s="1" t="s">
        <v>224</v>
      </c>
      <c r="AU99" s="1">
        <v>2019</v>
      </c>
      <c r="AV99" s="1">
        <v>26</v>
      </c>
      <c r="AW99" s="1">
        <v>6</v>
      </c>
      <c r="AX99" s="1" t="s">
        <v>74</v>
      </c>
      <c r="AY99" s="1" t="s">
        <v>74</v>
      </c>
      <c r="AZ99" s="1" t="s">
        <v>74</v>
      </c>
      <c r="BA99" s="1" t="s">
        <v>74</v>
      </c>
      <c r="BB99" s="1">
        <v>6048</v>
      </c>
      <c r="BC99" s="1">
        <v>6064</v>
      </c>
      <c r="BD99" s="1" t="s">
        <v>74</v>
      </c>
      <c r="BE99" s="1" t="s">
        <v>1942</v>
      </c>
      <c r="BF99" s="1" t="str">
        <f>HYPERLINK("http://dx.doi.org/10.1007/s11356-018-3911-0","http://dx.doi.org/10.1007/s11356-018-3911-0")</f>
        <v>http://dx.doi.org/10.1007/s11356-018-3911-0</v>
      </c>
      <c r="BG99" s="1" t="s">
        <v>74</v>
      </c>
      <c r="BH99" s="1" t="s">
        <v>74</v>
      </c>
      <c r="BI99" s="1">
        <v>17</v>
      </c>
      <c r="BJ99" s="1" t="s">
        <v>144</v>
      </c>
      <c r="BK99" s="1" t="s">
        <v>96</v>
      </c>
      <c r="BL99" s="1" t="s">
        <v>145</v>
      </c>
      <c r="BM99" s="1" t="s">
        <v>1943</v>
      </c>
      <c r="BN99" s="1">
        <v>30612372</v>
      </c>
      <c r="BO99" s="1" t="s">
        <v>74</v>
      </c>
      <c r="BP99" s="1" t="s">
        <v>74</v>
      </c>
      <c r="BQ99" s="1" t="s">
        <v>74</v>
      </c>
      <c r="BR99" s="1" t="s">
        <v>98</v>
      </c>
      <c r="BS99" s="1" t="s">
        <v>1944</v>
      </c>
      <c r="BT99" s="1" t="str">
        <f>HYPERLINK("https%3A%2F%2Fwww.webofscience.com%2Fwos%2Fwoscc%2Ffull-record%2FWOS:000460831600071","View Full Record in Web of Science")</f>
        <v>View Full Record in Web of Science</v>
      </c>
    </row>
    <row r="100" spans="1:72">
      <c r="A100" s="1" t="s">
        <v>72</v>
      </c>
      <c r="B100" s="1" t="s">
        <v>1945</v>
      </c>
      <c r="C100" s="1" t="s">
        <v>74</v>
      </c>
      <c r="D100" s="1" t="s">
        <v>74</v>
      </c>
      <c r="E100" s="1" t="s">
        <v>74</v>
      </c>
      <c r="F100" s="1" t="s">
        <v>1946</v>
      </c>
      <c r="G100" s="1" t="s">
        <v>74</v>
      </c>
      <c r="H100" s="1" t="s">
        <v>74</v>
      </c>
      <c r="I100" s="1" t="s">
        <v>1947</v>
      </c>
      <c r="J100" s="1" t="s">
        <v>1948</v>
      </c>
      <c r="K100" s="1" t="s">
        <v>74</v>
      </c>
      <c r="L100" s="1" t="s">
        <v>74</v>
      </c>
      <c r="M100" s="1" t="s">
        <v>78</v>
      </c>
      <c r="N100" s="1" t="s">
        <v>79</v>
      </c>
      <c r="O100" s="1" t="s">
        <v>74</v>
      </c>
      <c r="P100" s="1" t="s">
        <v>74</v>
      </c>
      <c r="Q100" s="1" t="s">
        <v>74</v>
      </c>
      <c r="R100" s="1" t="s">
        <v>74</v>
      </c>
      <c r="S100" s="1" t="s">
        <v>74</v>
      </c>
      <c r="T100" s="1" t="s">
        <v>1949</v>
      </c>
      <c r="U100" s="1" t="s">
        <v>1950</v>
      </c>
      <c r="V100" s="1" t="s">
        <v>1951</v>
      </c>
      <c r="W100" s="1" t="s">
        <v>1952</v>
      </c>
      <c r="X100" s="1" t="s">
        <v>1953</v>
      </c>
      <c r="Y100" s="1" t="s">
        <v>1954</v>
      </c>
      <c r="Z100" s="1" t="s">
        <v>1955</v>
      </c>
      <c r="AA100" s="1" t="s">
        <v>1956</v>
      </c>
      <c r="AB100" s="1" t="s">
        <v>1957</v>
      </c>
      <c r="AC100" s="1" t="s">
        <v>1958</v>
      </c>
      <c r="AD100" s="1" t="s">
        <v>1959</v>
      </c>
      <c r="AE100" s="1" t="s">
        <v>1960</v>
      </c>
      <c r="AF100" s="1" t="s">
        <v>74</v>
      </c>
      <c r="AG100" s="1">
        <v>50</v>
      </c>
      <c r="AH100" s="1">
        <v>31</v>
      </c>
      <c r="AI100" s="1">
        <v>32</v>
      </c>
      <c r="AJ100" s="1">
        <v>0</v>
      </c>
      <c r="AK100" s="1">
        <v>106</v>
      </c>
      <c r="AL100" s="1" t="s">
        <v>430</v>
      </c>
      <c r="AM100" s="1" t="s">
        <v>137</v>
      </c>
      <c r="AN100" s="1" t="s">
        <v>431</v>
      </c>
      <c r="AO100" s="1" t="s">
        <v>1961</v>
      </c>
      <c r="AP100" s="1" t="s">
        <v>1962</v>
      </c>
      <c r="AQ100" s="1" t="s">
        <v>74</v>
      </c>
      <c r="AR100" s="1" t="s">
        <v>1963</v>
      </c>
      <c r="AS100" s="1" t="s">
        <v>1964</v>
      </c>
      <c r="AT100" s="1" t="s">
        <v>1965</v>
      </c>
      <c r="AU100" s="1">
        <v>2016</v>
      </c>
      <c r="AV100" s="1">
        <v>139</v>
      </c>
      <c r="AW100" s="1" t="s">
        <v>74</v>
      </c>
      <c r="AX100" s="1" t="s">
        <v>74</v>
      </c>
      <c r="AY100" s="1" t="s">
        <v>74</v>
      </c>
      <c r="AZ100" s="1" t="s">
        <v>74</v>
      </c>
      <c r="BA100" s="1" t="s">
        <v>74</v>
      </c>
      <c r="BB100" s="1">
        <v>1496</v>
      </c>
      <c r="BC100" s="1">
        <v>1503</v>
      </c>
      <c r="BD100" s="1" t="s">
        <v>74</v>
      </c>
      <c r="BE100" s="1" t="s">
        <v>1966</v>
      </c>
      <c r="BF100" s="1" t="str">
        <f>HYPERLINK("http://dx.doi.org/10.1016/j.jclepro.2016.09.021","http://dx.doi.org/10.1016/j.jclepro.2016.09.021")</f>
        <v>http://dx.doi.org/10.1016/j.jclepro.2016.09.021</v>
      </c>
      <c r="BG100" s="1" t="s">
        <v>74</v>
      </c>
      <c r="BH100" s="1" t="s">
        <v>74</v>
      </c>
      <c r="BI100" s="1">
        <v>8</v>
      </c>
      <c r="BJ100" s="1" t="s">
        <v>1967</v>
      </c>
      <c r="BK100" s="1" t="s">
        <v>96</v>
      </c>
      <c r="BL100" s="1" t="s">
        <v>1968</v>
      </c>
      <c r="BM100" s="1" t="s">
        <v>1969</v>
      </c>
      <c r="BN100" s="1" t="s">
        <v>74</v>
      </c>
      <c r="BO100" s="1" t="s">
        <v>74</v>
      </c>
      <c r="BP100" s="1" t="s">
        <v>74</v>
      </c>
      <c r="BQ100" s="1" t="s">
        <v>74</v>
      </c>
      <c r="BR100" s="1" t="s">
        <v>98</v>
      </c>
      <c r="BS100" s="1" t="s">
        <v>1970</v>
      </c>
      <c r="BT100" s="1" t="str">
        <f>HYPERLINK("https%3A%2F%2Fwww.webofscience.com%2Fwos%2Fwoscc%2Ffull-record%2FWOS:000386991600135","View Full Record in Web of Science")</f>
        <v>View Full Record in Web of Science</v>
      </c>
    </row>
    <row r="101" spans="1:72">
      <c r="A101" s="1" t="s">
        <v>72</v>
      </c>
      <c r="B101" s="1" t="s">
        <v>1971</v>
      </c>
      <c r="C101" s="1" t="s">
        <v>74</v>
      </c>
      <c r="D101" s="1" t="s">
        <v>74</v>
      </c>
      <c r="E101" s="1" t="s">
        <v>74</v>
      </c>
      <c r="F101" s="1" t="s">
        <v>1971</v>
      </c>
      <c r="G101" s="1" t="s">
        <v>74</v>
      </c>
      <c r="H101" s="1" t="s">
        <v>74</v>
      </c>
      <c r="I101" s="1" t="s">
        <v>1972</v>
      </c>
      <c r="J101" s="1" t="s">
        <v>752</v>
      </c>
      <c r="K101" s="1" t="s">
        <v>74</v>
      </c>
      <c r="L101" s="1" t="s">
        <v>74</v>
      </c>
      <c r="M101" s="1" t="s">
        <v>78</v>
      </c>
      <c r="N101" s="1" t="s">
        <v>79</v>
      </c>
      <c r="O101" s="1" t="s">
        <v>74</v>
      </c>
      <c r="P101" s="1" t="s">
        <v>74</v>
      </c>
      <c r="Q101" s="1" t="s">
        <v>74</v>
      </c>
      <c r="R101" s="1" t="s">
        <v>74</v>
      </c>
      <c r="S101" s="1" t="s">
        <v>74</v>
      </c>
      <c r="T101" s="1" t="s">
        <v>1973</v>
      </c>
      <c r="U101" s="1" t="s">
        <v>1974</v>
      </c>
      <c r="V101" s="1" t="s">
        <v>1975</v>
      </c>
      <c r="W101" s="1" t="s">
        <v>1976</v>
      </c>
      <c r="X101" s="1" t="s">
        <v>1977</v>
      </c>
      <c r="Y101" s="1" t="s">
        <v>1978</v>
      </c>
      <c r="Z101" s="1" t="s">
        <v>74</v>
      </c>
      <c r="AA101" s="1" t="s">
        <v>1979</v>
      </c>
      <c r="AB101" s="1" t="s">
        <v>1980</v>
      </c>
      <c r="AC101" s="1" t="s">
        <v>74</v>
      </c>
      <c r="AD101" s="1" t="s">
        <v>74</v>
      </c>
      <c r="AE101" s="1" t="s">
        <v>74</v>
      </c>
      <c r="AF101" s="1" t="s">
        <v>74</v>
      </c>
      <c r="AG101" s="1">
        <v>22</v>
      </c>
      <c r="AH101" s="1">
        <v>39</v>
      </c>
      <c r="AI101" s="1">
        <v>50</v>
      </c>
      <c r="AJ101" s="1">
        <v>0</v>
      </c>
      <c r="AK101" s="1">
        <v>22</v>
      </c>
      <c r="AL101" s="1" t="s">
        <v>430</v>
      </c>
      <c r="AM101" s="1" t="s">
        <v>137</v>
      </c>
      <c r="AN101" s="1" t="s">
        <v>431</v>
      </c>
      <c r="AO101" s="1" t="s">
        <v>761</v>
      </c>
      <c r="AP101" s="1" t="s">
        <v>74</v>
      </c>
      <c r="AQ101" s="1" t="s">
        <v>74</v>
      </c>
      <c r="AR101" s="1" t="s">
        <v>763</v>
      </c>
      <c r="AS101" s="1" t="s">
        <v>764</v>
      </c>
      <c r="AT101" s="1" t="s">
        <v>93</v>
      </c>
      <c r="AU101" s="1">
        <v>2002</v>
      </c>
      <c r="AV101" s="1">
        <v>53</v>
      </c>
      <c r="AW101" s="1">
        <v>3</v>
      </c>
      <c r="AX101" s="1" t="s">
        <v>74</v>
      </c>
      <c r="AY101" s="1" t="s">
        <v>74</v>
      </c>
      <c r="AZ101" s="1" t="s">
        <v>74</v>
      </c>
      <c r="BA101" s="1" t="s">
        <v>74</v>
      </c>
      <c r="BB101" s="1">
        <v>219</v>
      </c>
      <c r="BC101" s="1">
        <v>226</v>
      </c>
      <c r="BD101" s="1" t="s">
        <v>1981</v>
      </c>
      <c r="BE101" s="1" t="s">
        <v>1982</v>
      </c>
      <c r="BF101" s="1" t="str">
        <f>HYPERLINK("http://dx.doi.org/10.1016/S0141-1136(00)00264-6","http://dx.doi.org/10.1016/S0141-1136(00)00264-6")</f>
        <v>http://dx.doi.org/10.1016/S0141-1136(00)00264-6</v>
      </c>
      <c r="BG101" s="1" t="s">
        <v>74</v>
      </c>
      <c r="BH101" s="1" t="s">
        <v>74</v>
      </c>
      <c r="BI101" s="1">
        <v>8</v>
      </c>
      <c r="BJ101" s="1" t="s">
        <v>768</v>
      </c>
      <c r="BK101" s="1" t="s">
        <v>96</v>
      </c>
      <c r="BL101" s="1" t="s">
        <v>769</v>
      </c>
      <c r="BM101" s="1" t="s">
        <v>1983</v>
      </c>
      <c r="BN101" s="1">
        <v>11939290</v>
      </c>
      <c r="BO101" s="1" t="s">
        <v>74</v>
      </c>
      <c r="BP101" s="1" t="s">
        <v>74</v>
      </c>
      <c r="BQ101" s="1" t="s">
        <v>74</v>
      </c>
      <c r="BR101" s="1" t="s">
        <v>98</v>
      </c>
      <c r="BS101" s="1" t="s">
        <v>1984</v>
      </c>
      <c r="BT101" s="1" t="str">
        <f>HYPERLINK("https%3A%2F%2Fwww.webofscience.com%2Fwos%2Fwoscc%2Ffull-record%2FWOS:000174815500001","View Full Record in Web of Science")</f>
        <v>View Full Record in Web of Science</v>
      </c>
    </row>
    <row r="102" spans="1:72">
      <c r="A102" s="1" t="s">
        <v>72</v>
      </c>
      <c r="B102" s="1" t="s">
        <v>1985</v>
      </c>
      <c r="C102" s="1" t="s">
        <v>74</v>
      </c>
      <c r="D102" s="1" t="s">
        <v>74</v>
      </c>
      <c r="E102" s="1" t="s">
        <v>74</v>
      </c>
      <c r="F102" s="1" t="s">
        <v>1986</v>
      </c>
      <c r="G102" s="1" t="s">
        <v>74</v>
      </c>
      <c r="H102" s="1" t="s">
        <v>74</v>
      </c>
      <c r="I102" s="1" t="s">
        <v>1987</v>
      </c>
      <c r="J102" s="1" t="s">
        <v>232</v>
      </c>
      <c r="K102" s="1" t="s">
        <v>74</v>
      </c>
      <c r="L102" s="1" t="s">
        <v>74</v>
      </c>
      <c r="M102" s="1" t="s">
        <v>78</v>
      </c>
      <c r="N102" s="1" t="s">
        <v>79</v>
      </c>
      <c r="O102" s="1" t="s">
        <v>74</v>
      </c>
      <c r="P102" s="1" t="s">
        <v>74</v>
      </c>
      <c r="Q102" s="1" t="s">
        <v>74</v>
      </c>
      <c r="R102" s="1" t="s">
        <v>74</v>
      </c>
      <c r="S102" s="1" t="s">
        <v>74</v>
      </c>
      <c r="T102" s="1" t="s">
        <v>1988</v>
      </c>
      <c r="U102" s="1" t="s">
        <v>1989</v>
      </c>
      <c r="V102" s="1" t="s">
        <v>1990</v>
      </c>
      <c r="W102" s="1" t="s">
        <v>1991</v>
      </c>
      <c r="X102" s="1" t="s">
        <v>1992</v>
      </c>
      <c r="Y102" s="1" t="s">
        <v>1993</v>
      </c>
      <c r="Z102" s="1" t="s">
        <v>1994</v>
      </c>
      <c r="AA102" s="1" t="s">
        <v>1995</v>
      </c>
      <c r="AB102" s="1" t="s">
        <v>74</v>
      </c>
      <c r="AC102" s="1" t="s">
        <v>1996</v>
      </c>
      <c r="AD102" s="1" t="s">
        <v>1997</v>
      </c>
      <c r="AE102" s="1" t="s">
        <v>1998</v>
      </c>
      <c r="AF102" s="1" t="s">
        <v>74</v>
      </c>
      <c r="AG102" s="1">
        <v>100</v>
      </c>
      <c r="AH102" s="1">
        <v>0</v>
      </c>
      <c r="AI102" s="1">
        <v>0</v>
      </c>
      <c r="AJ102" s="1">
        <v>7</v>
      </c>
      <c r="AK102" s="1">
        <v>13</v>
      </c>
      <c r="AL102" s="1" t="s">
        <v>136</v>
      </c>
      <c r="AM102" s="1" t="s">
        <v>137</v>
      </c>
      <c r="AN102" s="1" t="s">
        <v>138</v>
      </c>
      <c r="AO102" s="1" t="s">
        <v>240</v>
      </c>
      <c r="AP102" s="1" t="s">
        <v>241</v>
      </c>
      <c r="AQ102" s="1" t="s">
        <v>74</v>
      </c>
      <c r="AR102" s="1" t="s">
        <v>242</v>
      </c>
      <c r="AS102" s="1" t="s">
        <v>243</v>
      </c>
      <c r="AT102" s="1" t="s">
        <v>267</v>
      </c>
      <c r="AU102" s="1">
        <v>2023</v>
      </c>
      <c r="AV102" s="1">
        <v>195</v>
      </c>
      <c r="AW102" s="1" t="s">
        <v>74</v>
      </c>
      <c r="AX102" s="1" t="s">
        <v>74</v>
      </c>
      <c r="AY102" s="1" t="s">
        <v>74</v>
      </c>
      <c r="AZ102" s="1" t="s">
        <v>74</v>
      </c>
      <c r="BA102" s="1" t="s">
        <v>74</v>
      </c>
      <c r="BB102" s="1" t="s">
        <v>74</v>
      </c>
      <c r="BC102" s="1" t="s">
        <v>74</v>
      </c>
      <c r="BD102" s="1">
        <v>115442</v>
      </c>
      <c r="BE102" s="1" t="s">
        <v>1999</v>
      </c>
      <c r="BF102" s="1" t="str">
        <f>HYPERLINK("http://dx.doi.org/10.1016/j.marpolbul.2023.115442","http://dx.doi.org/10.1016/j.marpolbul.2023.115442")</f>
        <v>http://dx.doi.org/10.1016/j.marpolbul.2023.115442</v>
      </c>
      <c r="BG102" s="1" t="s">
        <v>74</v>
      </c>
      <c r="BH102" s="1" t="s">
        <v>2000</v>
      </c>
      <c r="BI102" s="1">
        <v>13</v>
      </c>
      <c r="BJ102" s="1" t="s">
        <v>247</v>
      </c>
      <c r="BK102" s="1" t="s">
        <v>96</v>
      </c>
      <c r="BL102" s="1" t="s">
        <v>248</v>
      </c>
      <c r="BM102" s="1" t="s">
        <v>2001</v>
      </c>
      <c r="BN102" s="1">
        <v>37660665</v>
      </c>
      <c r="BO102" s="1" t="s">
        <v>74</v>
      </c>
      <c r="BP102" s="1" t="s">
        <v>74</v>
      </c>
      <c r="BQ102" s="1" t="s">
        <v>74</v>
      </c>
      <c r="BR102" s="1" t="s">
        <v>98</v>
      </c>
      <c r="BS102" s="1" t="s">
        <v>2002</v>
      </c>
      <c r="BT102" s="1" t="str">
        <f>HYPERLINK("https%3A%2F%2Fwww.webofscience.com%2Fwos%2Fwoscc%2Ffull-record%2FWOS:001076662900001","View Full Record in Web of Science")</f>
        <v>View Full Record in Web of Science</v>
      </c>
    </row>
    <row r="103" spans="1:72">
      <c r="A103" s="1" t="s">
        <v>72</v>
      </c>
      <c r="B103" s="1" t="s">
        <v>2003</v>
      </c>
      <c r="C103" s="1" t="s">
        <v>74</v>
      </c>
      <c r="D103" s="1" t="s">
        <v>74</v>
      </c>
      <c r="E103" s="1" t="s">
        <v>74</v>
      </c>
      <c r="F103" s="1" t="s">
        <v>2003</v>
      </c>
      <c r="G103" s="1" t="s">
        <v>74</v>
      </c>
      <c r="H103" s="1" t="s">
        <v>74</v>
      </c>
      <c r="I103" s="1" t="s">
        <v>2004</v>
      </c>
      <c r="J103" s="1" t="s">
        <v>232</v>
      </c>
      <c r="K103" s="1" t="s">
        <v>74</v>
      </c>
      <c r="L103" s="1" t="s">
        <v>74</v>
      </c>
      <c r="M103" s="1" t="s">
        <v>78</v>
      </c>
      <c r="N103" s="1" t="s">
        <v>79</v>
      </c>
      <c r="O103" s="1" t="s">
        <v>74</v>
      </c>
      <c r="P103" s="1" t="s">
        <v>74</v>
      </c>
      <c r="Q103" s="1" t="s">
        <v>74</v>
      </c>
      <c r="R103" s="1" t="s">
        <v>74</v>
      </c>
      <c r="S103" s="1" t="s">
        <v>74</v>
      </c>
      <c r="T103" s="1" t="s">
        <v>74</v>
      </c>
      <c r="U103" s="1" t="s">
        <v>2005</v>
      </c>
      <c r="V103" s="1" t="s">
        <v>2006</v>
      </c>
      <c r="W103" s="1" t="s">
        <v>2007</v>
      </c>
      <c r="X103" s="1" t="s">
        <v>74</v>
      </c>
      <c r="Y103" s="1" t="s">
        <v>2008</v>
      </c>
      <c r="Z103" s="1" t="s">
        <v>74</v>
      </c>
      <c r="AA103" s="1" t="s">
        <v>2009</v>
      </c>
      <c r="AB103" s="1" t="s">
        <v>2010</v>
      </c>
      <c r="AC103" s="1" t="s">
        <v>74</v>
      </c>
      <c r="AD103" s="1" t="s">
        <v>74</v>
      </c>
      <c r="AE103" s="1" t="s">
        <v>74</v>
      </c>
      <c r="AF103" s="1" t="s">
        <v>74</v>
      </c>
      <c r="AG103" s="1">
        <v>17</v>
      </c>
      <c r="AH103" s="1">
        <v>59</v>
      </c>
      <c r="AI103" s="1">
        <v>61</v>
      </c>
      <c r="AJ103" s="1">
        <v>0</v>
      </c>
      <c r="AK103" s="1">
        <v>6</v>
      </c>
      <c r="AL103" s="1" t="s">
        <v>136</v>
      </c>
      <c r="AM103" s="1" t="s">
        <v>137</v>
      </c>
      <c r="AN103" s="1" t="s">
        <v>138</v>
      </c>
      <c r="AO103" s="1" t="s">
        <v>240</v>
      </c>
      <c r="AP103" s="1" t="s">
        <v>241</v>
      </c>
      <c r="AQ103" s="1" t="s">
        <v>74</v>
      </c>
      <c r="AR103" s="1" t="s">
        <v>242</v>
      </c>
      <c r="AS103" s="1" t="s">
        <v>243</v>
      </c>
      <c r="AT103" s="1" t="s">
        <v>1470</v>
      </c>
      <c r="AU103" s="1">
        <v>1991</v>
      </c>
      <c r="AV103" s="1">
        <v>22</v>
      </c>
      <c r="AW103" s="1">
        <v>1</v>
      </c>
      <c r="AX103" s="1" t="s">
        <v>74</v>
      </c>
      <c r="AY103" s="1" t="s">
        <v>74</v>
      </c>
      <c r="AZ103" s="1" t="s">
        <v>74</v>
      </c>
      <c r="BA103" s="1" t="s">
        <v>74</v>
      </c>
      <c r="BB103" s="1">
        <v>10</v>
      </c>
      <c r="BC103" s="1">
        <v>14</v>
      </c>
      <c r="BD103" s="1" t="s">
        <v>74</v>
      </c>
      <c r="BE103" s="1" t="s">
        <v>2011</v>
      </c>
      <c r="BF103" s="1" t="str">
        <f>HYPERLINK("http://dx.doi.org/10.1016/0025-326X(91)90438-X","http://dx.doi.org/10.1016/0025-326X(91)90438-X")</f>
        <v>http://dx.doi.org/10.1016/0025-326X(91)90438-X</v>
      </c>
      <c r="BG103" s="1" t="s">
        <v>74</v>
      </c>
      <c r="BH103" s="1" t="s">
        <v>74</v>
      </c>
      <c r="BI103" s="1">
        <v>5</v>
      </c>
      <c r="BJ103" s="1" t="s">
        <v>247</v>
      </c>
      <c r="BK103" s="1" t="s">
        <v>96</v>
      </c>
      <c r="BL103" s="1" t="s">
        <v>248</v>
      </c>
      <c r="BM103" s="1" t="s">
        <v>2012</v>
      </c>
      <c r="BN103" s="1" t="s">
        <v>74</v>
      </c>
      <c r="BO103" s="1" t="s">
        <v>74</v>
      </c>
      <c r="BP103" s="1" t="s">
        <v>74</v>
      </c>
      <c r="BQ103" s="1" t="s">
        <v>74</v>
      </c>
      <c r="BR103" s="1" t="s">
        <v>98</v>
      </c>
      <c r="BS103" s="1" t="s">
        <v>2013</v>
      </c>
      <c r="BT103" s="1" t="str">
        <f>HYPERLINK("https%3A%2F%2Fwww.webofscience.com%2Fwos%2Fwoscc%2Ffull-record%2FWOS:A1991EZ43400004","View Full Record in Web of Science")</f>
        <v>View Full Record in Web of Science</v>
      </c>
    </row>
    <row r="104" spans="1:72">
      <c r="A104" s="1" t="s">
        <v>72</v>
      </c>
      <c r="B104" s="1" t="s">
        <v>2014</v>
      </c>
      <c r="C104" s="1" t="s">
        <v>74</v>
      </c>
      <c r="D104" s="1" t="s">
        <v>74</v>
      </c>
      <c r="E104" s="1" t="s">
        <v>74</v>
      </c>
      <c r="F104" s="1" t="s">
        <v>2015</v>
      </c>
      <c r="G104" s="1" t="s">
        <v>74</v>
      </c>
      <c r="H104" s="1" t="s">
        <v>74</v>
      </c>
      <c r="I104" s="1" t="s">
        <v>2016</v>
      </c>
      <c r="J104" s="1" t="s">
        <v>1554</v>
      </c>
      <c r="K104" s="1" t="s">
        <v>74</v>
      </c>
      <c r="L104" s="1" t="s">
        <v>74</v>
      </c>
      <c r="M104" s="1" t="s">
        <v>78</v>
      </c>
      <c r="N104" s="1" t="s">
        <v>79</v>
      </c>
      <c r="O104" s="1" t="s">
        <v>74</v>
      </c>
      <c r="P104" s="1" t="s">
        <v>74</v>
      </c>
      <c r="Q104" s="1" t="s">
        <v>74</v>
      </c>
      <c r="R104" s="1" t="s">
        <v>74</v>
      </c>
      <c r="S104" s="1" t="s">
        <v>74</v>
      </c>
      <c r="T104" s="1" t="s">
        <v>2017</v>
      </c>
      <c r="U104" s="1" t="s">
        <v>2018</v>
      </c>
      <c r="V104" s="1" t="s">
        <v>2019</v>
      </c>
      <c r="W104" s="1" t="s">
        <v>2020</v>
      </c>
      <c r="X104" s="1" t="s">
        <v>2021</v>
      </c>
      <c r="Y104" s="1" t="s">
        <v>2022</v>
      </c>
      <c r="Z104" s="1" t="s">
        <v>2023</v>
      </c>
      <c r="AA104" s="1" t="s">
        <v>2024</v>
      </c>
      <c r="AB104" s="1" t="s">
        <v>2025</v>
      </c>
      <c r="AC104" s="1" t="s">
        <v>2026</v>
      </c>
      <c r="AD104" s="1" t="s">
        <v>2026</v>
      </c>
      <c r="AE104" s="1" t="s">
        <v>2027</v>
      </c>
      <c r="AF104" s="1" t="s">
        <v>74</v>
      </c>
      <c r="AG104" s="1">
        <v>37</v>
      </c>
      <c r="AH104" s="1">
        <v>0</v>
      </c>
      <c r="AI104" s="1">
        <v>0</v>
      </c>
      <c r="AJ104" s="1">
        <v>0</v>
      </c>
      <c r="AK104" s="1">
        <v>0</v>
      </c>
      <c r="AL104" s="1" t="s">
        <v>1566</v>
      </c>
      <c r="AM104" s="1" t="s">
        <v>1567</v>
      </c>
      <c r="AN104" s="1" t="s">
        <v>1568</v>
      </c>
      <c r="AO104" s="1" t="s">
        <v>74</v>
      </c>
      <c r="AP104" s="1" t="s">
        <v>1569</v>
      </c>
      <c r="AQ104" s="1" t="s">
        <v>74</v>
      </c>
      <c r="AR104" s="1" t="s">
        <v>1570</v>
      </c>
      <c r="AS104" s="1" t="s">
        <v>1571</v>
      </c>
      <c r="AT104" s="1" t="s">
        <v>1223</v>
      </c>
      <c r="AU104" s="1">
        <v>2024</v>
      </c>
      <c r="AV104" s="1">
        <v>14</v>
      </c>
      <c r="AW104" s="1">
        <v>5</v>
      </c>
      <c r="AX104" s="1" t="s">
        <v>74</v>
      </c>
      <c r="AY104" s="1" t="s">
        <v>74</v>
      </c>
      <c r="AZ104" s="1" t="s">
        <v>74</v>
      </c>
      <c r="BA104" s="1" t="s">
        <v>74</v>
      </c>
      <c r="BB104" s="1" t="s">
        <v>74</v>
      </c>
      <c r="BC104" s="1" t="s">
        <v>74</v>
      </c>
      <c r="BD104" s="1">
        <v>1704</v>
      </c>
      <c r="BE104" s="1" t="s">
        <v>2028</v>
      </c>
      <c r="BF104" s="1" t="str">
        <f>HYPERLINK("http://dx.doi.org/10.3390/app14051704","http://dx.doi.org/10.3390/app14051704")</f>
        <v>http://dx.doi.org/10.3390/app14051704</v>
      </c>
      <c r="BG104" s="1" t="s">
        <v>74</v>
      </c>
      <c r="BH104" s="1" t="s">
        <v>74</v>
      </c>
      <c r="BI104" s="1">
        <v>12</v>
      </c>
      <c r="BJ104" s="1" t="s">
        <v>1573</v>
      </c>
      <c r="BK104" s="1" t="s">
        <v>96</v>
      </c>
      <c r="BL104" s="1" t="s">
        <v>1574</v>
      </c>
      <c r="BM104" s="1" t="s">
        <v>2029</v>
      </c>
      <c r="BN104" s="1" t="s">
        <v>74</v>
      </c>
      <c r="BO104" s="1" t="s">
        <v>637</v>
      </c>
      <c r="BP104" s="1" t="s">
        <v>74</v>
      </c>
      <c r="BQ104" s="1" t="s">
        <v>74</v>
      </c>
      <c r="BR104" s="1" t="s">
        <v>98</v>
      </c>
      <c r="BS104" s="1" t="s">
        <v>2030</v>
      </c>
      <c r="BT104" s="1" t="str">
        <f>HYPERLINK("https%3A%2F%2Fwww.webofscience.com%2Fwos%2Fwoscc%2Ffull-record%2FWOS:001183194700001","View Full Record in Web of Science")</f>
        <v>View Full Record in Web of Science</v>
      </c>
    </row>
    <row r="105" spans="1:72">
      <c r="A105" s="1" t="s">
        <v>72</v>
      </c>
      <c r="B105" s="1" t="s">
        <v>2031</v>
      </c>
      <c r="C105" s="1" t="s">
        <v>74</v>
      </c>
      <c r="D105" s="1" t="s">
        <v>74</v>
      </c>
      <c r="E105" s="1" t="s">
        <v>74</v>
      </c>
      <c r="F105" s="1" t="s">
        <v>2031</v>
      </c>
      <c r="G105" s="1" t="s">
        <v>74</v>
      </c>
      <c r="H105" s="1" t="s">
        <v>74</v>
      </c>
      <c r="I105" s="1" t="s">
        <v>2032</v>
      </c>
      <c r="J105" s="1" t="s">
        <v>421</v>
      </c>
      <c r="K105" s="1" t="s">
        <v>74</v>
      </c>
      <c r="L105" s="1" t="s">
        <v>74</v>
      </c>
      <c r="M105" s="1" t="s">
        <v>78</v>
      </c>
      <c r="N105" s="1" t="s">
        <v>79</v>
      </c>
      <c r="O105" s="1" t="s">
        <v>74</v>
      </c>
      <c r="P105" s="1" t="s">
        <v>74</v>
      </c>
      <c r="Q105" s="1" t="s">
        <v>74</v>
      </c>
      <c r="R105" s="1" t="s">
        <v>74</v>
      </c>
      <c r="S105" s="1" t="s">
        <v>74</v>
      </c>
      <c r="T105" s="1" t="s">
        <v>2033</v>
      </c>
      <c r="U105" s="1" t="s">
        <v>74</v>
      </c>
      <c r="V105" s="1" t="s">
        <v>2034</v>
      </c>
      <c r="W105" s="1" t="s">
        <v>2035</v>
      </c>
      <c r="X105" s="1" t="s">
        <v>2036</v>
      </c>
      <c r="Y105" s="1" t="s">
        <v>2037</v>
      </c>
      <c r="Z105" s="1" t="s">
        <v>74</v>
      </c>
      <c r="AA105" s="1" t="s">
        <v>2038</v>
      </c>
      <c r="AB105" s="1" t="s">
        <v>74</v>
      </c>
      <c r="AC105" s="1" t="s">
        <v>74</v>
      </c>
      <c r="AD105" s="1" t="s">
        <v>74</v>
      </c>
      <c r="AE105" s="1" t="s">
        <v>74</v>
      </c>
      <c r="AF105" s="1" t="s">
        <v>74</v>
      </c>
      <c r="AG105" s="1">
        <v>19</v>
      </c>
      <c r="AH105" s="1">
        <v>21</v>
      </c>
      <c r="AI105" s="1">
        <v>24</v>
      </c>
      <c r="AJ105" s="1">
        <v>0</v>
      </c>
      <c r="AK105" s="1">
        <v>4</v>
      </c>
      <c r="AL105" s="1" t="s">
        <v>430</v>
      </c>
      <c r="AM105" s="1" t="s">
        <v>137</v>
      </c>
      <c r="AN105" s="1" t="s">
        <v>1600</v>
      </c>
      <c r="AO105" s="1" t="s">
        <v>432</v>
      </c>
      <c r="AP105" s="1" t="s">
        <v>74</v>
      </c>
      <c r="AQ105" s="1" t="s">
        <v>74</v>
      </c>
      <c r="AR105" s="1" t="s">
        <v>433</v>
      </c>
      <c r="AS105" s="1" t="s">
        <v>434</v>
      </c>
      <c r="AT105" s="1" t="s">
        <v>74</v>
      </c>
      <c r="AU105" s="1">
        <v>1993</v>
      </c>
      <c r="AV105" s="1">
        <v>80</v>
      </c>
      <c r="AW105" s="1">
        <v>3</v>
      </c>
      <c r="AX105" s="1" t="s">
        <v>74</v>
      </c>
      <c r="AY105" s="1" t="s">
        <v>74</v>
      </c>
      <c r="AZ105" s="1" t="s">
        <v>74</v>
      </c>
      <c r="BA105" s="1" t="s">
        <v>74</v>
      </c>
      <c r="BB105" s="1">
        <v>223</v>
      </c>
      <c r="BC105" s="1">
        <v>230</v>
      </c>
      <c r="BD105" s="1" t="s">
        <v>74</v>
      </c>
      <c r="BE105" s="1" t="s">
        <v>2039</v>
      </c>
      <c r="BF105" s="1" t="str">
        <f>HYPERLINK("http://dx.doi.org/10.1016/0269-7491(93)90042-M","http://dx.doi.org/10.1016/0269-7491(93)90042-M")</f>
        <v>http://dx.doi.org/10.1016/0269-7491(93)90042-M</v>
      </c>
      <c r="BG105" s="1" t="s">
        <v>74</v>
      </c>
      <c r="BH105" s="1" t="s">
        <v>74</v>
      </c>
      <c r="BI105" s="1">
        <v>8</v>
      </c>
      <c r="BJ105" s="1" t="s">
        <v>144</v>
      </c>
      <c r="BK105" s="1" t="s">
        <v>96</v>
      </c>
      <c r="BL105" s="1" t="s">
        <v>145</v>
      </c>
      <c r="BM105" s="1" t="s">
        <v>2040</v>
      </c>
      <c r="BN105" s="1">
        <v>15091841</v>
      </c>
      <c r="BO105" s="1" t="s">
        <v>74</v>
      </c>
      <c r="BP105" s="1" t="s">
        <v>74</v>
      </c>
      <c r="BQ105" s="1" t="s">
        <v>74</v>
      </c>
      <c r="BR105" s="1" t="s">
        <v>98</v>
      </c>
      <c r="BS105" s="1" t="s">
        <v>2041</v>
      </c>
      <c r="BT105" s="1" t="str">
        <f>HYPERLINK("https%3A%2F%2Fwww.webofscience.com%2Fwos%2Fwoscc%2Ffull-record%2FWOS:A1993LF36900002","View Full Record in Web of Science")</f>
        <v>View Full Record in Web of Science</v>
      </c>
    </row>
    <row r="106" spans="1:72">
      <c r="A106" s="1" t="s">
        <v>72</v>
      </c>
      <c r="B106" s="1" t="s">
        <v>2042</v>
      </c>
      <c r="C106" s="1" t="s">
        <v>74</v>
      </c>
      <c r="D106" s="1" t="s">
        <v>74</v>
      </c>
      <c r="E106" s="1" t="s">
        <v>74</v>
      </c>
      <c r="F106" s="1" t="s">
        <v>2043</v>
      </c>
      <c r="G106" s="1" t="s">
        <v>74</v>
      </c>
      <c r="H106" s="1" t="s">
        <v>74</v>
      </c>
      <c r="I106" s="1" t="s">
        <v>2044</v>
      </c>
      <c r="J106" s="1" t="s">
        <v>232</v>
      </c>
      <c r="K106" s="1" t="s">
        <v>74</v>
      </c>
      <c r="L106" s="1" t="s">
        <v>74</v>
      </c>
      <c r="M106" s="1" t="s">
        <v>78</v>
      </c>
      <c r="N106" s="1" t="s">
        <v>79</v>
      </c>
      <c r="O106" s="1" t="s">
        <v>74</v>
      </c>
      <c r="P106" s="1" t="s">
        <v>74</v>
      </c>
      <c r="Q106" s="1" t="s">
        <v>74</v>
      </c>
      <c r="R106" s="1" t="s">
        <v>74</v>
      </c>
      <c r="S106" s="1" t="s">
        <v>74</v>
      </c>
      <c r="T106" s="1" t="s">
        <v>2045</v>
      </c>
      <c r="U106" s="1" t="s">
        <v>2046</v>
      </c>
      <c r="V106" s="1" t="s">
        <v>2047</v>
      </c>
      <c r="W106" s="1" t="s">
        <v>2048</v>
      </c>
      <c r="X106" s="1" t="s">
        <v>2049</v>
      </c>
      <c r="Y106" s="1" t="s">
        <v>2050</v>
      </c>
      <c r="Z106" s="1" t="s">
        <v>2051</v>
      </c>
      <c r="AA106" s="1" t="s">
        <v>2052</v>
      </c>
      <c r="AB106" s="1" t="s">
        <v>2053</v>
      </c>
      <c r="AC106" s="1" t="s">
        <v>2054</v>
      </c>
      <c r="AD106" s="1" t="s">
        <v>2054</v>
      </c>
      <c r="AE106" s="1" t="s">
        <v>2055</v>
      </c>
      <c r="AF106" s="1" t="s">
        <v>74</v>
      </c>
      <c r="AG106" s="1">
        <v>61</v>
      </c>
      <c r="AH106" s="1">
        <v>5</v>
      </c>
      <c r="AI106" s="1">
        <v>5</v>
      </c>
      <c r="AJ106" s="1">
        <v>1</v>
      </c>
      <c r="AK106" s="1">
        <v>8</v>
      </c>
      <c r="AL106" s="1" t="s">
        <v>136</v>
      </c>
      <c r="AM106" s="1" t="s">
        <v>137</v>
      </c>
      <c r="AN106" s="1" t="s">
        <v>138</v>
      </c>
      <c r="AO106" s="1" t="s">
        <v>240</v>
      </c>
      <c r="AP106" s="1" t="s">
        <v>241</v>
      </c>
      <c r="AQ106" s="1" t="s">
        <v>74</v>
      </c>
      <c r="AR106" s="1" t="s">
        <v>242</v>
      </c>
      <c r="AS106" s="1" t="s">
        <v>243</v>
      </c>
      <c r="AT106" s="1" t="s">
        <v>224</v>
      </c>
      <c r="AU106" s="1">
        <v>2023</v>
      </c>
      <c r="AV106" s="1">
        <v>187</v>
      </c>
      <c r="AW106" s="1" t="s">
        <v>74</v>
      </c>
      <c r="AX106" s="1" t="s">
        <v>74</v>
      </c>
      <c r="AY106" s="1" t="s">
        <v>74</v>
      </c>
      <c r="AZ106" s="1" t="s">
        <v>74</v>
      </c>
      <c r="BA106" s="1" t="s">
        <v>74</v>
      </c>
      <c r="BB106" s="1" t="s">
        <v>74</v>
      </c>
      <c r="BC106" s="1" t="s">
        <v>74</v>
      </c>
      <c r="BD106" s="1">
        <v>114519</v>
      </c>
      <c r="BE106" s="1" t="s">
        <v>2056</v>
      </c>
      <c r="BF106" s="1" t="str">
        <f>HYPERLINK("http://dx.doi.org/10.1016/j.marpolbul.2022.114519","http://dx.doi.org/10.1016/j.marpolbul.2022.114519")</f>
        <v>http://dx.doi.org/10.1016/j.marpolbul.2022.114519</v>
      </c>
      <c r="BG106" s="1" t="s">
        <v>74</v>
      </c>
      <c r="BH106" s="1" t="s">
        <v>2057</v>
      </c>
      <c r="BI106" s="1">
        <v>10</v>
      </c>
      <c r="BJ106" s="1" t="s">
        <v>247</v>
      </c>
      <c r="BK106" s="1" t="s">
        <v>96</v>
      </c>
      <c r="BL106" s="1" t="s">
        <v>248</v>
      </c>
      <c r="BM106" s="1" t="s">
        <v>2058</v>
      </c>
      <c r="BN106" s="1">
        <v>36610299</v>
      </c>
      <c r="BO106" s="1" t="s">
        <v>74</v>
      </c>
      <c r="BP106" s="1" t="s">
        <v>74</v>
      </c>
      <c r="BQ106" s="1" t="s">
        <v>74</v>
      </c>
      <c r="BR106" s="1" t="s">
        <v>98</v>
      </c>
      <c r="BS106" s="1" t="s">
        <v>2059</v>
      </c>
      <c r="BT106" s="1" t="str">
        <f>HYPERLINK("https%3A%2F%2Fwww.webofscience.com%2Fwos%2Fwoscc%2Ffull-record%2FWOS:000923523400001","View Full Record in Web of Science")</f>
        <v>View Full Record in Web of Science</v>
      </c>
    </row>
    <row r="107" spans="1:72">
      <c r="A107" s="1" t="s">
        <v>72</v>
      </c>
      <c r="B107" s="1" t="s">
        <v>2060</v>
      </c>
      <c r="C107" s="1" t="s">
        <v>74</v>
      </c>
      <c r="D107" s="1" t="s">
        <v>74</v>
      </c>
      <c r="E107" s="1" t="s">
        <v>74</v>
      </c>
      <c r="F107" s="1" t="s">
        <v>2061</v>
      </c>
      <c r="G107" s="1" t="s">
        <v>74</v>
      </c>
      <c r="H107" s="1" t="s">
        <v>74</v>
      </c>
      <c r="I107" s="1" t="s">
        <v>2062</v>
      </c>
      <c r="J107" s="1" t="s">
        <v>2063</v>
      </c>
      <c r="K107" s="1" t="s">
        <v>74</v>
      </c>
      <c r="L107" s="1" t="s">
        <v>74</v>
      </c>
      <c r="M107" s="1" t="s">
        <v>78</v>
      </c>
      <c r="N107" s="1" t="s">
        <v>79</v>
      </c>
      <c r="O107" s="1" t="s">
        <v>74</v>
      </c>
      <c r="P107" s="1" t="s">
        <v>74</v>
      </c>
      <c r="Q107" s="1" t="s">
        <v>74</v>
      </c>
      <c r="R107" s="1" t="s">
        <v>74</v>
      </c>
      <c r="S107" s="1" t="s">
        <v>74</v>
      </c>
      <c r="T107" s="1" t="s">
        <v>2064</v>
      </c>
      <c r="U107" s="1" t="s">
        <v>2065</v>
      </c>
      <c r="V107" s="1" t="s">
        <v>2066</v>
      </c>
      <c r="W107" s="1" t="s">
        <v>2067</v>
      </c>
      <c r="X107" s="1" t="s">
        <v>2068</v>
      </c>
      <c r="Y107" s="1" t="s">
        <v>2069</v>
      </c>
      <c r="Z107" s="1" t="s">
        <v>2070</v>
      </c>
      <c r="AA107" s="1" t="s">
        <v>74</v>
      </c>
      <c r="AB107" s="1" t="s">
        <v>74</v>
      </c>
      <c r="AC107" s="1" t="s">
        <v>2071</v>
      </c>
      <c r="AD107" s="1" t="s">
        <v>2072</v>
      </c>
      <c r="AE107" s="1" t="s">
        <v>2073</v>
      </c>
      <c r="AF107" s="1" t="s">
        <v>74</v>
      </c>
      <c r="AG107" s="1">
        <v>52</v>
      </c>
      <c r="AH107" s="1">
        <v>19</v>
      </c>
      <c r="AI107" s="1">
        <v>22</v>
      </c>
      <c r="AJ107" s="1">
        <v>4</v>
      </c>
      <c r="AK107" s="1">
        <v>61</v>
      </c>
      <c r="AL107" s="1" t="s">
        <v>2074</v>
      </c>
      <c r="AM107" s="1" t="s">
        <v>2075</v>
      </c>
      <c r="AN107" s="1" t="s">
        <v>2076</v>
      </c>
      <c r="AO107" s="1" t="s">
        <v>2077</v>
      </c>
      <c r="AP107" s="1" t="s">
        <v>2078</v>
      </c>
      <c r="AQ107" s="1" t="s">
        <v>74</v>
      </c>
      <c r="AR107" s="1" t="s">
        <v>2079</v>
      </c>
      <c r="AS107" s="1" t="s">
        <v>2080</v>
      </c>
      <c r="AT107" s="1" t="s">
        <v>2081</v>
      </c>
      <c r="AU107" s="1">
        <v>2016</v>
      </c>
      <c r="AV107" s="1">
        <v>32</v>
      </c>
      <c r="AW107" s="1">
        <v>2</v>
      </c>
      <c r="AX107" s="1" t="s">
        <v>74</v>
      </c>
      <c r="AY107" s="1" t="s">
        <v>74</v>
      </c>
      <c r="AZ107" s="1" t="s">
        <v>74</v>
      </c>
      <c r="BA107" s="1" t="s">
        <v>74</v>
      </c>
      <c r="BB107" s="1">
        <v>136</v>
      </c>
      <c r="BC107" s="1">
        <v>148</v>
      </c>
      <c r="BD107" s="1" t="s">
        <v>74</v>
      </c>
      <c r="BE107" s="1" t="s">
        <v>2082</v>
      </c>
      <c r="BF107" s="1" t="str">
        <f>HYPERLINK("http://dx.doi.org/10.1080/02757540.2015.1125891","http://dx.doi.org/10.1080/02757540.2015.1125891")</f>
        <v>http://dx.doi.org/10.1080/02757540.2015.1125891</v>
      </c>
      <c r="BG107" s="1" t="s">
        <v>74</v>
      </c>
      <c r="BH107" s="1" t="s">
        <v>74</v>
      </c>
      <c r="BI107" s="1">
        <v>13</v>
      </c>
      <c r="BJ107" s="1" t="s">
        <v>2083</v>
      </c>
      <c r="BK107" s="1" t="s">
        <v>96</v>
      </c>
      <c r="BL107" s="1" t="s">
        <v>2084</v>
      </c>
      <c r="BM107" s="1" t="s">
        <v>2085</v>
      </c>
      <c r="BN107" s="1" t="s">
        <v>74</v>
      </c>
      <c r="BO107" s="1" t="s">
        <v>74</v>
      </c>
      <c r="BP107" s="1" t="s">
        <v>74</v>
      </c>
      <c r="BQ107" s="1" t="s">
        <v>74</v>
      </c>
      <c r="BR107" s="1" t="s">
        <v>98</v>
      </c>
      <c r="BS107" s="1" t="s">
        <v>2086</v>
      </c>
      <c r="BT107" s="1" t="str">
        <f>HYPERLINK("https%3A%2F%2Fwww.webofscience.com%2Fwos%2Fwoscc%2Ffull-record%2FWOS:000370631500003","View Full Record in Web of Science")</f>
        <v>View Full Record in Web of Science</v>
      </c>
    </row>
    <row r="108" spans="1:72">
      <c r="A108" s="1" t="s">
        <v>72</v>
      </c>
      <c r="B108" s="1" t="s">
        <v>2087</v>
      </c>
      <c r="C108" s="1" t="s">
        <v>74</v>
      </c>
      <c r="D108" s="1" t="s">
        <v>74</v>
      </c>
      <c r="E108" s="1" t="s">
        <v>74</v>
      </c>
      <c r="F108" s="1" t="s">
        <v>2088</v>
      </c>
      <c r="G108" s="1" t="s">
        <v>74</v>
      </c>
      <c r="H108" s="1" t="s">
        <v>74</v>
      </c>
      <c r="I108" s="1" t="s">
        <v>2089</v>
      </c>
      <c r="J108" s="1" t="s">
        <v>421</v>
      </c>
      <c r="K108" s="1" t="s">
        <v>74</v>
      </c>
      <c r="L108" s="1" t="s">
        <v>74</v>
      </c>
      <c r="M108" s="1" t="s">
        <v>78</v>
      </c>
      <c r="N108" s="1" t="s">
        <v>79</v>
      </c>
      <c r="O108" s="1" t="s">
        <v>74</v>
      </c>
      <c r="P108" s="1" t="s">
        <v>74</v>
      </c>
      <c r="Q108" s="1" t="s">
        <v>74</v>
      </c>
      <c r="R108" s="1" t="s">
        <v>74</v>
      </c>
      <c r="S108" s="1" t="s">
        <v>74</v>
      </c>
      <c r="T108" s="1" t="s">
        <v>2090</v>
      </c>
      <c r="U108" s="1" t="s">
        <v>2091</v>
      </c>
      <c r="V108" s="1" t="s">
        <v>2092</v>
      </c>
      <c r="W108" s="1" t="s">
        <v>2093</v>
      </c>
      <c r="X108" s="1" t="s">
        <v>2094</v>
      </c>
      <c r="Y108" s="1" t="s">
        <v>2095</v>
      </c>
      <c r="Z108" s="1" t="s">
        <v>2096</v>
      </c>
      <c r="AA108" s="1" t="s">
        <v>74</v>
      </c>
      <c r="AB108" s="1" t="s">
        <v>2097</v>
      </c>
      <c r="AC108" s="1" t="s">
        <v>74</v>
      </c>
      <c r="AD108" s="1" t="s">
        <v>74</v>
      </c>
      <c r="AE108" s="1" t="s">
        <v>74</v>
      </c>
      <c r="AF108" s="1" t="s">
        <v>74</v>
      </c>
      <c r="AG108" s="1">
        <v>67</v>
      </c>
      <c r="AH108" s="1">
        <v>11</v>
      </c>
      <c r="AI108" s="1">
        <v>12</v>
      </c>
      <c r="AJ108" s="1">
        <v>0</v>
      </c>
      <c r="AK108" s="1">
        <v>14</v>
      </c>
      <c r="AL108" s="1" t="s">
        <v>430</v>
      </c>
      <c r="AM108" s="1" t="s">
        <v>137</v>
      </c>
      <c r="AN108" s="1" t="s">
        <v>431</v>
      </c>
      <c r="AO108" s="1" t="s">
        <v>432</v>
      </c>
      <c r="AP108" s="1" t="s">
        <v>74</v>
      </c>
      <c r="AQ108" s="1" t="s">
        <v>74</v>
      </c>
      <c r="AR108" s="1" t="s">
        <v>433</v>
      </c>
      <c r="AS108" s="1" t="s">
        <v>434</v>
      </c>
      <c r="AT108" s="1" t="s">
        <v>197</v>
      </c>
      <c r="AU108" s="1">
        <v>2007</v>
      </c>
      <c r="AV108" s="1">
        <v>150</v>
      </c>
      <c r="AW108" s="1">
        <v>3</v>
      </c>
      <c r="AX108" s="1" t="s">
        <v>74</v>
      </c>
      <c r="AY108" s="1" t="s">
        <v>74</v>
      </c>
      <c r="AZ108" s="1" t="s">
        <v>74</v>
      </c>
      <c r="BA108" s="1" t="s">
        <v>74</v>
      </c>
      <c r="BB108" s="1">
        <v>329</v>
      </c>
      <c r="BC108" s="1">
        <v>337</v>
      </c>
      <c r="BD108" s="1" t="s">
        <v>74</v>
      </c>
      <c r="BE108" s="1" t="s">
        <v>2098</v>
      </c>
      <c r="BF108" s="1" t="str">
        <f>HYPERLINK("http://dx.doi.org/10.1016/j.envpol.2007.01.025","http://dx.doi.org/10.1016/j.envpol.2007.01.025")</f>
        <v>http://dx.doi.org/10.1016/j.envpol.2007.01.025</v>
      </c>
      <c r="BG108" s="1" t="s">
        <v>74</v>
      </c>
      <c r="BH108" s="1" t="s">
        <v>74</v>
      </c>
      <c r="BI108" s="1">
        <v>9</v>
      </c>
      <c r="BJ108" s="1" t="s">
        <v>144</v>
      </c>
      <c r="BK108" s="1" t="s">
        <v>96</v>
      </c>
      <c r="BL108" s="1" t="s">
        <v>145</v>
      </c>
      <c r="BM108" s="1" t="s">
        <v>2099</v>
      </c>
      <c r="BN108" s="1">
        <v>17376567</v>
      </c>
      <c r="BO108" s="1" t="s">
        <v>74</v>
      </c>
      <c r="BP108" s="1" t="s">
        <v>74</v>
      </c>
      <c r="BQ108" s="1" t="s">
        <v>74</v>
      </c>
      <c r="BR108" s="1" t="s">
        <v>98</v>
      </c>
      <c r="BS108" s="1" t="s">
        <v>2100</v>
      </c>
      <c r="BT108" s="1" t="str">
        <f>HYPERLINK("https%3A%2F%2Fwww.webofscience.com%2Fwos%2Fwoscc%2Ffull-record%2FWOS:000252061000006","View Full Record in Web of Science")</f>
        <v>View Full Record in Web of Science</v>
      </c>
    </row>
    <row r="109" spans="1:72">
      <c r="A109" s="1" t="s">
        <v>72</v>
      </c>
      <c r="B109" s="1" t="s">
        <v>2101</v>
      </c>
      <c r="C109" s="1" t="s">
        <v>74</v>
      </c>
      <c r="D109" s="1" t="s">
        <v>74</v>
      </c>
      <c r="E109" s="1" t="s">
        <v>74</v>
      </c>
      <c r="F109" s="1" t="s">
        <v>2102</v>
      </c>
      <c r="G109" s="1" t="s">
        <v>74</v>
      </c>
      <c r="H109" s="1" t="s">
        <v>74</v>
      </c>
      <c r="I109" s="1" t="s">
        <v>2103</v>
      </c>
      <c r="J109" s="1" t="s">
        <v>204</v>
      </c>
      <c r="K109" s="1" t="s">
        <v>74</v>
      </c>
      <c r="L109" s="1" t="s">
        <v>74</v>
      </c>
      <c r="M109" s="1" t="s">
        <v>78</v>
      </c>
      <c r="N109" s="1" t="s">
        <v>79</v>
      </c>
      <c r="O109" s="1" t="s">
        <v>74</v>
      </c>
      <c r="P109" s="1" t="s">
        <v>74</v>
      </c>
      <c r="Q109" s="1" t="s">
        <v>74</v>
      </c>
      <c r="R109" s="1" t="s">
        <v>74</v>
      </c>
      <c r="S109" s="1" t="s">
        <v>74</v>
      </c>
      <c r="T109" s="1" t="s">
        <v>2104</v>
      </c>
      <c r="U109" s="1" t="s">
        <v>2105</v>
      </c>
      <c r="V109" s="1" t="s">
        <v>2106</v>
      </c>
      <c r="W109" s="1" t="s">
        <v>2107</v>
      </c>
      <c r="X109" s="1" t="s">
        <v>2108</v>
      </c>
      <c r="Y109" s="1" t="s">
        <v>2109</v>
      </c>
      <c r="Z109" s="1" t="s">
        <v>2110</v>
      </c>
      <c r="AA109" s="1" t="s">
        <v>2111</v>
      </c>
      <c r="AB109" s="1" t="s">
        <v>2112</v>
      </c>
      <c r="AC109" s="1" t="s">
        <v>2113</v>
      </c>
      <c r="AD109" s="1" t="s">
        <v>2114</v>
      </c>
      <c r="AE109" s="1" t="s">
        <v>2115</v>
      </c>
      <c r="AF109" s="1" t="s">
        <v>74</v>
      </c>
      <c r="AG109" s="1">
        <v>43</v>
      </c>
      <c r="AH109" s="1">
        <v>47</v>
      </c>
      <c r="AI109" s="1">
        <v>50</v>
      </c>
      <c r="AJ109" s="1">
        <v>1</v>
      </c>
      <c r="AK109" s="1">
        <v>48</v>
      </c>
      <c r="AL109" s="1" t="s">
        <v>217</v>
      </c>
      <c r="AM109" s="1" t="s">
        <v>218</v>
      </c>
      <c r="AN109" s="1" t="s">
        <v>219</v>
      </c>
      <c r="AO109" s="1" t="s">
        <v>220</v>
      </c>
      <c r="AP109" s="1" t="s">
        <v>221</v>
      </c>
      <c r="AQ109" s="1" t="s">
        <v>74</v>
      </c>
      <c r="AR109" s="1" t="s">
        <v>222</v>
      </c>
      <c r="AS109" s="1" t="s">
        <v>223</v>
      </c>
      <c r="AT109" s="1" t="s">
        <v>224</v>
      </c>
      <c r="AU109" s="1">
        <v>2014</v>
      </c>
      <c r="AV109" s="1">
        <v>21</v>
      </c>
      <c r="AW109" s="1">
        <v>3</v>
      </c>
      <c r="AX109" s="1" t="s">
        <v>74</v>
      </c>
      <c r="AY109" s="1" t="s">
        <v>74</v>
      </c>
      <c r="AZ109" s="1" t="s">
        <v>74</v>
      </c>
      <c r="BA109" s="1" t="s">
        <v>74</v>
      </c>
      <c r="BB109" s="1">
        <v>2386</v>
      </c>
      <c r="BC109" s="1">
        <v>2395</v>
      </c>
      <c r="BD109" s="1" t="s">
        <v>74</v>
      </c>
      <c r="BE109" s="1" t="s">
        <v>2116</v>
      </c>
      <c r="BF109" s="1" t="str">
        <f>HYPERLINK("http://dx.doi.org/10.1007/s11356-013-1890-8","http://dx.doi.org/10.1007/s11356-013-1890-8")</f>
        <v>http://dx.doi.org/10.1007/s11356-013-1890-8</v>
      </c>
      <c r="BG109" s="1" t="s">
        <v>74</v>
      </c>
      <c r="BH109" s="1" t="s">
        <v>74</v>
      </c>
      <c r="BI109" s="1">
        <v>10</v>
      </c>
      <c r="BJ109" s="1" t="s">
        <v>144</v>
      </c>
      <c r="BK109" s="1" t="s">
        <v>96</v>
      </c>
      <c r="BL109" s="1" t="s">
        <v>145</v>
      </c>
      <c r="BM109" s="1" t="s">
        <v>2117</v>
      </c>
      <c r="BN109" s="1">
        <v>23775003</v>
      </c>
      <c r="BO109" s="1" t="s">
        <v>74</v>
      </c>
      <c r="BP109" s="1" t="s">
        <v>74</v>
      </c>
      <c r="BQ109" s="1" t="s">
        <v>74</v>
      </c>
      <c r="BR109" s="1" t="s">
        <v>98</v>
      </c>
      <c r="BS109" s="1" t="s">
        <v>2118</v>
      </c>
      <c r="BT109" s="1" t="str">
        <f>HYPERLINK("https%3A%2F%2Fwww.webofscience.com%2Fwos%2Fwoscc%2Ffull-record%2FWOS:000330970400075","View Full Record in Web of Science")</f>
        <v>View Full Record in Web of Science</v>
      </c>
    </row>
    <row r="110" spans="1:72">
      <c r="A110" s="1" t="s">
        <v>72</v>
      </c>
      <c r="B110" s="1" t="s">
        <v>2119</v>
      </c>
      <c r="C110" s="1" t="s">
        <v>74</v>
      </c>
      <c r="D110" s="1" t="s">
        <v>74</v>
      </c>
      <c r="E110" s="1" t="s">
        <v>74</v>
      </c>
      <c r="F110" s="1" t="s">
        <v>2120</v>
      </c>
      <c r="G110" s="1" t="s">
        <v>74</v>
      </c>
      <c r="H110" s="1" t="s">
        <v>74</v>
      </c>
      <c r="I110" s="1" t="s">
        <v>2121</v>
      </c>
      <c r="J110" s="1" t="s">
        <v>103</v>
      </c>
      <c r="K110" s="1" t="s">
        <v>74</v>
      </c>
      <c r="L110" s="1" t="s">
        <v>74</v>
      </c>
      <c r="M110" s="1" t="s">
        <v>78</v>
      </c>
      <c r="N110" s="1" t="s">
        <v>79</v>
      </c>
      <c r="O110" s="1" t="s">
        <v>74</v>
      </c>
      <c r="P110" s="1" t="s">
        <v>74</v>
      </c>
      <c r="Q110" s="1" t="s">
        <v>74</v>
      </c>
      <c r="R110" s="1" t="s">
        <v>74</v>
      </c>
      <c r="S110" s="1" t="s">
        <v>74</v>
      </c>
      <c r="T110" s="1" t="s">
        <v>2122</v>
      </c>
      <c r="U110" s="1" t="s">
        <v>2123</v>
      </c>
      <c r="V110" s="1" t="s">
        <v>2124</v>
      </c>
      <c r="W110" s="1" t="s">
        <v>2125</v>
      </c>
      <c r="X110" s="1" t="s">
        <v>1329</v>
      </c>
      <c r="Y110" s="1" t="s">
        <v>2126</v>
      </c>
      <c r="Z110" s="1" t="s">
        <v>2127</v>
      </c>
      <c r="AA110" s="1" t="s">
        <v>74</v>
      </c>
      <c r="AB110" s="1" t="s">
        <v>74</v>
      </c>
      <c r="AC110" s="1" t="s">
        <v>2128</v>
      </c>
      <c r="AD110" s="1" t="s">
        <v>2129</v>
      </c>
      <c r="AE110" s="1" t="s">
        <v>2130</v>
      </c>
      <c r="AF110" s="1" t="s">
        <v>74</v>
      </c>
      <c r="AG110" s="1">
        <v>27</v>
      </c>
      <c r="AH110" s="1">
        <v>39</v>
      </c>
      <c r="AI110" s="1">
        <v>44</v>
      </c>
      <c r="AJ110" s="1">
        <v>0</v>
      </c>
      <c r="AK110" s="1">
        <v>31</v>
      </c>
      <c r="AL110" s="1" t="s">
        <v>112</v>
      </c>
      <c r="AM110" s="1" t="s">
        <v>113</v>
      </c>
      <c r="AN110" s="1" t="s">
        <v>114</v>
      </c>
      <c r="AO110" s="1" t="s">
        <v>115</v>
      </c>
      <c r="AP110" s="1" t="s">
        <v>116</v>
      </c>
      <c r="AQ110" s="1" t="s">
        <v>74</v>
      </c>
      <c r="AR110" s="1" t="s">
        <v>117</v>
      </c>
      <c r="AS110" s="1" t="s">
        <v>118</v>
      </c>
      <c r="AT110" s="1" t="s">
        <v>1470</v>
      </c>
      <c r="AU110" s="1">
        <v>2012</v>
      </c>
      <c r="AV110" s="1">
        <v>88</v>
      </c>
      <c r="AW110" s="1">
        <v>1</v>
      </c>
      <c r="AX110" s="1" t="s">
        <v>74</v>
      </c>
      <c r="AY110" s="1" t="s">
        <v>74</v>
      </c>
      <c r="AZ110" s="1" t="s">
        <v>74</v>
      </c>
      <c r="BA110" s="1" t="s">
        <v>74</v>
      </c>
      <c r="BB110" s="1">
        <v>48</v>
      </c>
      <c r="BC110" s="1">
        <v>53</v>
      </c>
      <c r="BD110" s="1" t="s">
        <v>74</v>
      </c>
      <c r="BE110" s="1" t="s">
        <v>2131</v>
      </c>
      <c r="BF110" s="1" t="str">
        <f>HYPERLINK("http://dx.doi.org/10.1007/s00128-011-0447-0","http://dx.doi.org/10.1007/s00128-011-0447-0")</f>
        <v>http://dx.doi.org/10.1007/s00128-011-0447-0</v>
      </c>
      <c r="BG110" s="1" t="s">
        <v>74</v>
      </c>
      <c r="BH110" s="1" t="s">
        <v>74</v>
      </c>
      <c r="BI110" s="1">
        <v>6</v>
      </c>
      <c r="BJ110" s="1" t="s">
        <v>121</v>
      </c>
      <c r="BK110" s="1" t="s">
        <v>96</v>
      </c>
      <c r="BL110" s="1" t="s">
        <v>122</v>
      </c>
      <c r="BM110" s="1" t="s">
        <v>2132</v>
      </c>
      <c r="BN110" s="1">
        <v>22045126</v>
      </c>
      <c r="BO110" s="1" t="s">
        <v>74</v>
      </c>
      <c r="BP110" s="1" t="s">
        <v>74</v>
      </c>
      <c r="BQ110" s="1" t="s">
        <v>74</v>
      </c>
      <c r="BR110" s="1" t="s">
        <v>98</v>
      </c>
      <c r="BS110" s="1" t="s">
        <v>2133</v>
      </c>
      <c r="BT110" s="1" t="str">
        <f>HYPERLINK("https%3A%2F%2Fwww.webofscience.com%2Fwos%2Fwoscc%2Ffull-record%2FWOS:000299328200010","View Full Record in Web of Science")</f>
        <v>View Full Record in Web of Science</v>
      </c>
    </row>
    <row r="111" spans="1:72">
      <c r="A111" s="1" t="s">
        <v>72</v>
      </c>
      <c r="B111" s="1" t="s">
        <v>2134</v>
      </c>
      <c r="C111" s="1" t="s">
        <v>74</v>
      </c>
      <c r="D111" s="1" t="s">
        <v>74</v>
      </c>
      <c r="E111" s="1" t="s">
        <v>74</v>
      </c>
      <c r="F111" s="1" t="s">
        <v>2135</v>
      </c>
      <c r="G111" s="1" t="s">
        <v>74</v>
      </c>
      <c r="H111" s="1" t="s">
        <v>74</v>
      </c>
      <c r="I111" s="1" t="s">
        <v>2136</v>
      </c>
      <c r="J111" s="1" t="s">
        <v>2137</v>
      </c>
      <c r="K111" s="1" t="s">
        <v>74</v>
      </c>
      <c r="L111" s="1" t="s">
        <v>74</v>
      </c>
      <c r="M111" s="1" t="s">
        <v>78</v>
      </c>
      <c r="N111" s="1" t="s">
        <v>79</v>
      </c>
      <c r="O111" s="1" t="s">
        <v>74</v>
      </c>
      <c r="P111" s="1" t="s">
        <v>74</v>
      </c>
      <c r="Q111" s="1" t="s">
        <v>74</v>
      </c>
      <c r="R111" s="1" t="s">
        <v>74</v>
      </c>
      <c r="S111" s="1" t="s">
        <v>74</v>
      </c>
      <c r="T111" s="1" t="s">
        <v>2138</v>
      </c>
      <c r="U111" s="1" t="s">
        <v>2139</v>
      </c>
      <c r="V111" s="1" t="s">
        <v>2140</v>
      </c>
      <c r="W111" s="1" t="s">
        <v>2141</v>
      </c>
      <c r="X111" s="1" t="s">
        <v>2142</v>
      </c>
      <c r="Y111" s="1" t="s">
        <v>2143</v>
      </c>
      <c r="Z111" s="1" t="s">
        <v>2144</v>
      </c>
      <c r="AA111" s="1" t="s">
        <v>74</v>
      </c>
      <c r="AB111" s="1" t="s">
        <v>74</v>
      </c>
      <c r="AC111" s="1" t="s">
        <v>2145</v>
      </c>
      <c r="AD111" s="1" t="s">
        <v>2146</v>
      </c>
      <c r="AE111" s="1" t="s">
        <v>2147</v>
      </c>
      <c r="AF111" s="1" t="s">
        <v>74</v>
      </c>
      <c r="AG111" s="1">
        <v>52</v>
      </c>
      <c r="AH111" s="1">
        <v>2</v>
      </c>
      <c r="AI111" s="1">
        <v>2</v>
      </c>
      <c r="AJ111" s="1">
        <v>9</v>
      </c>
      <c r="AK111" s="1">
        <v>43</v>
      </c>
      <c r="AL111" s="1" t="s">
        <v>1566</v>
      </c>
      <c r="AM111" s="1" t="s">
        <v>1567</v>
      </c>
      <c r="AN111" s="1" t="s">
        <v>1568</v>
      </c>
      <c r="AO111" s="1" t="s">
        <v>74</v>
      </c>
      <c r="AP111" s="1" t="s">
        <v>2148</v>
      </c>
      <c r="AQ111" s="1" t="s">
        <v>74</v>
      </c>
      <c r="AR111" s="1" t="s">
        <v>2149</v>
      </c>
      <c r="AS111" s="1" t="s">
        <v>2150</v>
      </c>
      <c r="AT111" s="1" t="s">
        <v>267</v>
      </c>
      <c r="AU111" s="1">
        <v>2022</v>
      </c>
      <c r="AV111" s="1">
        <v>23</v>
      </c>
      <c r="AW111" s="1">
        <v>20</v>
      </c>
      <c r="AX111" s="1" t="s">
        <v>74</v>
      </c>
      <c r="AY111" s="1" t="s">
        <v>74</v>
      </c>
      <c r="AZ111" s="1" t="s">
        <v>74</v>
      </c>
      <c r="BA111" s="1" t="s">
        <v>74</v>
      </c>
      <c r="BB111" s="1" t="s">
        <v>74</v>
      </c>
      <c r="BC111" s="1" t="s">
        <v>74</v>
      </c>
      <c r="BD111" s="1">
        <v>12136</v>
      </c>
      <c r="BE111" s="1" t="s">
        <v>2151</v>
      </c>
      <c r="BF111" s="1" t="str">
        <f>HYPERLINK("http://dx.doi.org/10.3390/ijms232012136","http://dx.doi.org/10.3390/ijms232012136")</f>
        <v>http://dx.doi.org/10.3390/ijms232012136</v>
      </c>
      <c r="BG111" s="1" t="s">
        <v>74</v>
      </c>
      <c r="BH111" s="1" t="s">
        <v>74</v>
      </c>
      <c r="BI111" s="1">
        <v>16</v>
      </c>
      <c r="BJ111" s="1" t="s">
        <v>2152</v>
      </c>
      <c r="BK111" s="1" t="s">
        <v>96</v>
      </c>
      <c r="BL111" s="1" t="s">
        <v>2153</v>
      </c>
      <c r="BM111" s="1" t="s">
        <v>2154</v>
      </c>
      <c r="BN111" s="1">
        <v>36292990</v>
      </c>
      <c r="BO111" s="1" t="s">
        <v>2155</v>
      </c>
      <c r="BP111" s="1" t="s">
        <v>74</v>
      </c>
      <c r="BQ111" s="1" t="s">
        <v>74</v>
      </c>
      <c r="BR111" s="1" t="s">
        <v>98</v>
      </c>
      <c r="BS111" s="1" t="s">
        <v>2156</v>
      </c>
      <c r="BT111" s="1" t="str">
        <f>HYPERLINK("https%3A%2F%2Fwww.webofscience.com%2Fwos%2Fwoscc%2Ffull-record%2FWOS:000875265500001","View Full Record in Web of Science")</f>
        <v>View Full Record in Web of Science</v>
      </c>
    </row>
    <row r="112" spans="1:72">
      <c r="A112" s="1" t="s">
        <v>72</v>
      </c>
      <c r="B112" s="1" t="s">
        <v>2157</v>
      </c>
      <c r="C112" s="1" t="s">
        <v>74</v>
      </c>
      <c r="D112" s="1" t="s">
        <v>74</v>
      </c>
      <c r="E112" s="1" t="s">
        <v>74</v>
      </c>
      <c r="F112" s="1" t="s">
        <v>2158</v>
      </c>
      <c r="G112" s="1" t="s">
        <v>74</v>
      </c>
      <c r="H112" s="1" t="s">
        <v>74</v>
      </c>
      <c r="I112" s="1" t="s">
        <v>2159</v>
      </c>
      <c r="J112" s="1" t="s">
        <v>204</v>
      </c>
      <c r="K112" s="1" t="s">
        <v>74</v>
      </c>
      <c r="L112" s="1" t="s">
        <v>74</v>
      </c>
      <c r="M112" s="1" t="s">
        <v>78</v>
      </c>
      <c r="N112" s="1" t="s">
        <v>79</v>
      </c>
      <c r="O112" s="1" t="s">
        <v>74</v>
      </c>
      <c r="P112" s="1" t="s">
        <v>74</v>
      </c>
      <c r="Q112" s="1" t="s">
        <v>74</v>
      </c>
      <c r="R112" s="1" t="s">
        <v>74</v>
      </c>
      <c r="S112" s="1" t="s">
        <v>74</v>
      </c>
      <c r="T112" s="1" t="s">
        <v>2160</v>
      </c>
      <c r="U112" s="1" t="s">
        <v>2161</v>
      </c>
      <c r="V112" s="1" t="s">
        <v>2162</v>
      </c>
      <c r="W112" s="1" t="s">
        <v>2163</v>
      </c>
      <c r="X112" s="1" t="s">
        <v>2164</v>
      </c>
      <c r="Y112" s="1" t="s">
        <v>2165</v>
      </c>
      <c r="Z112" s="1" t="s">
        <v>2166</v>
      </c>
      <c r="AA112" s="1" t="s">
        <v>2167</v>
      </c>
      <c r="AB112" s="1" t="s">
        <v>2168</v>
      </c>
      <c r="AC112" s="1" t="s">
        <v>74</v>
      </c>
      <c r="AD112" s="1" t="s">
        <v>74</v>
      </c>
      <c r="AE112" s="1" t="s">
        <v>74</v>
      </c>
      <c r="AF112" s="1" t="s">
        <v>74</v>
      </c>
      <c r="AG112" s="1">
        <v>63</v>
      </c>
      <c r="AH112" s="1">
        <v>4</v>
      </c>
      <c r="AI112" s="1">
        <v>4</v>
      </c>
      <c r="AJ112" s="1">
        <v>1</v>
      </c>
      <c r="AK112" s="1">
        <v>12</v>
      </c>
      <c r="AL112" s="1" t="s">
        <v>217</v>
      </c>
      <c r="AM112" s="1" t="s">
        <v>218</v>
      </c>
      <c r="AN112" s="1" t="s">
        <v>219</v>
      </c>
      <c r="AO112" s="1" t="s">
        <v>220</v>
      </c>
      <c r="AP112" s="1" t="s">
        <v>221</v>
      </c>
      <c r="AQ112" s="1" t="s">
        <v>74</v>
      </c>
      <c r="AR112" s="1" t="s">
        <v>222</v>
      </c>
      <c r="AS112" s="1" t="s">
        <v>223</v>
      </c>
      <c r="AT112" s="1" t="s">
        <v>1223</v>
      </c>
      <c r="AU112" s="1">
        <v>2022</v>
      </c>
      <c r="AV112" s="1">
        <v>29</v>
      </c>
      <c r="AW112" s="1">
        <v>12</v>
      </c>
      <c r="AX112" s="1" t="s">
        <v>74</v>
      </c>
      <c r="AY112" s="1" t="s">
        <v>74</v>
      </c>
      <c r="AZ112" s="1" t="s">
        <v>74</v>
      </c>
      <c r="BA112" s="1" t="s">
        <v>74</v>
      </c>
      <c r="BB112" s="1">
        <v>18245</v>
      </c>
      <c r="BC112" s="1">
        <v>18258</v>
      </c>
      <c r="BD112" s="1" t="s">
        <v>74</v>
      </c>
      <c r="BE112" s="1" t="s">
        <v>2169</v>
      </c>
      <c r="BF112" s="1" t="str">
        <f>HYPERLINK("http://dx.doi.org/10.1007/s11356-021-17069-2","http://dx.doi.org/10.1007/s11356-021-17069-2")</f>
        <v>http://dx.doi.org/10.1007/s11356-021-17069-2</v>
      </c>
      <c r="BG112" s="1" t="s">
        <v>74</v>
      </c>
      <c r="BH112" s="1" t="s">
        <v>2170</v>
      </c>
      <c r="BI112" s="1">
        <v>14</v>
      </c>
      <c r="BJ112" s="1" t="s">
        <v>144</v>
      </c>
      <c r="BK112" s="1" t="s">
        <v>96</v>
      </c>
      <c r="BL112" s="1" t="s">
        <v>145</v>
      </c>
      <c r="BM112" s="1" t="s">
        <v>2171</v>
      </c>
      <c r="BN112" s="1">
        <v>34689271</v>
      </c>
      <c r="BO112" s="1" t="s">
        <v>74</v>
      </c>
      <c r="BP112" s="1" t="s">
        <v>74</v>
      </c>
      <c r="BQ112" s="1" t="s">
        <v>74</v>
      </c>
      <c r="BR112" s="1" t="s">
        <v>98</v>
      </c>
      <c r="BS112" s="1" t="s">
        <v>2172</v>
      </c>
      <c r="BT112" s="1" t="str">
        <f>HYPERLINK("https%3A%2F%2Fwww.webofscience.com%2Fwos%2Fwoscc%2Ffull-record%2FWOS:000710610700007","View Full Record in Web of Science")</f>
        <v>View Full Record in Web of Science</v>
      </c>
    </row>
    <row r="113" spans="1:72">
      <c r="A113" s="1" t="s">
        <v>72</v>
      </c>
      <c r="B113" s="1" t="s">
        <v>2173</v>
      </c>
      <c r="C113" s="1" t="s">
        <v>74</v>
      </c>
      <c r="D113" s="1" t="s">
        <v>74</v>
      </c>
      <c r="E113" s="1" t="s">
        <v>74</v>
      </c>
      <c r="F113" s="1" t="s">
        <v>2174</v>
      </c>
      <c r="G113" s="1" t="s">
        <v>74</v>
      </c>
      <c r="H113" s="1" t="s">
        <v>74</v>
      </c>
      <c r="I113" s="1" t="s">
        <v>2175</v>
      </c>
      <c r="J113" s="1" t="s">
        <v>1756</v>
      </c>
      <c r="K113" s="1" t="s">
        <v>74</v>
      </c>
      <c r="L113" s="1" t="s">
        <v>74</v>
      </c>
      <c r="M113" s="1" t="s">
        <v>78</v>
      </c>
      <c r="N113" s="1" t="s">
        <v>79</v>
      </c>
      <c r="O113" s="1" t="s">
        <v>74</v>
      </c>
      <c r="P113" s="1" t="s">
        <v>74</v>
      </c>
      <c r="Q113" s="1" t="s">
        <v>74</v>
      </c>
      <c r="R113" s="1" t="s">
        <v>74</v>
      </c>
      <c r="S113" s="1" t="s">
        <v>74</v>
      </c>
      <c r="T113" s="1" t="s">
        <v>2176</v>
      </c>
      <c r="U113" s="1" t="s">
        <v>2177</v>
      </c>
      <c r="V113" s="1" t="s">
        <v>2178</v>
      </c>
      <c r="W113" s="1" t="s">
        <v>2179</v>
      </c>
      <c r="X113" s="1" t="s">
        <v>2180</v>
      </c>
      <c r="Y113" s="1" t="s">
        <v>2181</v>
      </c>
      <c r="Z113" s="1" t="s">
        <v>1483</v>
      </c>
      <c r="AA113" s="1" t="s">
        <v>2182</v>
      </c>
      <c r="AB113" s="1" t="s">
        <v>2183</v>
      </c>
      <c r="AC113" s="1" t="s">
        <v>2184</v>
      </c>
      <c r="AD113" s="1" t="s">
        <v>2185</v>
      </c>
      <c r="AE113" s="1" t="s">
        <v>2186</v>
      </c>
      <c r="AF113" s="1" t="s">
        <v>74</v>
      </c>
      <c r="AG113" s="1">
        <v>38</v>
      </c>
      <c r="AH113" s="1">
        <v>119</v>
      </c>
      <c r="AI113" s="1">
        <v>128</v>
      </c>
      <c r="AJ113" s="1">
        <v>2</v>
      </c>
      <c r="AK113" s="1">
        <v>115</v>
      </c>
      <c r="AL113" s="1" t="s">
        <v>86</v>
      </c>
      <c r="AM113" s="1" t="s">
        <v>87</v>
      </c>
      <c r="AN113" s="1" t="s">
        <v>88</v>
      </c>
      <c r="AO113" s="1" t="s">
        <v>1764</v>
      </c>
      <c r="AP113" s="1" t="s">
        <v>1765</v>
      </c>
      <c r="AQ113" s="1" t="s">
        <v>74</v>
      </c>
      <c r="AR113" s="1" t="s">
        <v>1766</v>
      </c>
      <c r="AS113" s="1" t="s">
        <v>1767</v>
      </c>
      <c r="AT113" s="1" t="s">
        <v>119</v>
      </c>
      <c r="AU113" s="1">
        <v>2011</v>
      </c>
      <c r="AV113" s="1">
        <v>30</v>
      </c>
      <c r="AW113" s="1">
        <v>8</v>
      </c>
      <c r="AX113" s="1" t="s">
        <v>74</v>
      </c>
      <c r="AY113" s="1" t="s">
        <v>74</v>
      </c>
      <c r="AZ113" s="1" t="s">
        <v>74</v>
      </c>
      <c r="BA113" s="1" t="s">
        <v>74</v>
      </c>
      <c r="BB113" s="1">
        <v>1767</v>
      </c>
      <c r="BC113" s="1">
        <v>1774</v>
      </c>
      <c r="BD113" s="1" t="s">
        <v>74</v>
      </c>
      <c r="BE113" s="1" t="s">
        <v>2187</v>
      </c>
      <c r="BF113" s="1" t="str">
        <f>HYPERLINK("http://dx.doi.org/10.1002/etc.571","http://dx.doi.org/10.1002/etc.571")</f>
        <v>http://dx.doi.org/10.1002/etc.571</v>
      </c>
      <c r="BG113" s="1" t="s">
        <v>74</v>
      </c>
      <c r="BH113" s="1" t="s">
        <v>74</v>
      </c>
      <c r="BI113" s="1">
        <v>8</v>
      </c>
      <c r="BJ113" s="1" t="s">
        <v>121</v>
      </c>
      <c r="BK113" s="1" t="s">
        <v>96</v>
      </c>
      <c r="BL113" s="1" t="s">
        <v>122</v>
      </c>
      <c r="BM113" s="1" t="s">
        <v>2188</v>
      </c>
      <c r="BN113" s="1">
        <v>21560147</v>
      </c>
      <c r="BO113" s="1" t="s">
        <v>74</v>
      </c>
      <c r="BP113" s="1" t="s">
        <v>74</v>
      </c>
      <c r="BQ113" s="1" t="s">
        <v>74</v>
      </c>
      <c r="BR113" s="1" t="s">
        <v>98</v>
      </c>
      <c r="BS113" s="1" t="s">
        <v>2189</v>
      </c>
      <c r="BT113" s="1" t="str">
        <f>HYPERLINK("https%3A%2F%2Fwww.webofscience.com%2Fwos%2Fwoscc%2Ffull-record%2FWOS:000293060900006","View Full Record in Web of Science")</f>
        <v>View Full Record in Web of Science</v>
      </c>
    </row>
    <row r="114" spans="1:72">
      <c r="A114" s="1" t="s">
        <v>72</v>
      </c>
      <c r="B114" s="1" t="s">
        <v>2190</v>
      </c>
      <c r="C114" s="1" t="s">
        <v>74</v>
      </c>
      <c r="D114" s="1" t="s">
        <v>74</v>
      </c>
      <c r="E114" s="1" t="s">
        <v>74</v>
      </c>
      <c r="F114" s="1" t="s">
        <v>2191</v>
      </c>
      <c r="G114" s="1" t="s">
        <v>74</v>
      </c>
      <c r="H114" s="1" t="s">
        <v>74</v>
      </c>
      <c r="I114" s="1" t="s">
        <v>2192</v>
      </c>
      <c r="J114" s="1" t="s">
        <v>2193</v>
      </c>
      <c r="K114" s="1" t="s">
        <v>74</v>
      </c>
      <c r="L114" s="1" t="s">
        <v>74</v>
      </c>
      <c r="M114" s="1" t="s">
        <v>78</v>
      </c>
      <c r="N114" s="1" t="s">
        <v>79</v>
      </c>
      <c r="O114" s="1" t="s">
        <v>74</v>
      </c>
      <c r="P114" s="1" t="s">
        <v>74</v>
      </c>
      <c r="Q114" s="1" t="s">
        <v>74</v>
      </c>
      <c r="R114" s="1" t="s">
        <v>74</v>
      </c>
      <c r="S114" s="1" t="s">
        <v>74</v>
      </c>
      <c r="T114" s="1" t="s">
        <v>2194</v>
      </c>
      <c r="U114" s="1" t="s">
        <v>2195</v>
      </c>
      <c r="V114" s="1" t="s">
        <v>2196</v>
      </c>
      <c r="W114" s="1" t="s">
        <v>2197</v>
      </c>
      <c r="X114" s="1" t="s">
        <v>2198</v>
      </c>
      <c r="Y114" s="1" t="s">
        <v>2199</v>
      </c>
      <c r="Z114" s="1" t="s">
        <v>2200</v>
      </c>
      <c r="AA114" s="1" t="s">
        <v>2201</v>
      </c>
      <c r="AB114" s="1" t="s">
        <v>2202</v>
      </c>
      <c r="AC114" s="1" t="s">
        <v>74</v>
      </c>
      <c r="AD114" s="1" t="s">
        <v>74</v>
      </c>
      <c r="AE114" s="1" t="s">
        <v>74</v>
      </c>
      <c r="AF114" s="1" t="s">
        <v>74</v>
      </c>
      <c r="AG114" s="1">
        <v>38</v>
      </c>
      <c r="AH114" s="1">
        <v>33</v>
      </c>
      <c r="AI114" s="1">
        <v>36</v>
      </c>
      <c r="AJ114" s="1">
        <v>0</v>
      </c>
      <c r="AK114" s="1">
        <v>30</v>
      </c>
      <c r="AL114" s="1" t="s">
        <v>2203</v>
      </c>
      <c r="AM114" s="1" t="s">
        <v>2204</v>
      </c>
      <c r="AN114" s="1" t="s">
        <v>2205</v>
      </c>
      <c r="AO114" s="1" t="s">
        <v>2206</v>
      </c>
      <c r="AP114" s="1" t="s">
        <v>74</v>
      </c>
      <c r="AQ114" s="1" t="s">
        <v>74</v>
      </c>
      <c r="AR114" s="1" t="s">
        <v>2207</v>
      </c>
      <c r="AS114" s="1" t="s">
        <v>2208</v>
      </c>
      <c r="AT114" s="1" t="s">
        <v>305</v>
      </c>
      <c r="AU114" s="1">
        <v>2006</v>
      </c>
      <c r="AV114" s="1">
        <v>56</v>
      </c>
      <c r="AW114" s="1">
        <v>3</v>
      </c>
      <c r="AX114" s="1" t="s">
        <v>74</v>
      </c>
      <c r="AY114" s="1" t="s">
        <v>74</v>
      </c>
      <c r="AZ114" s="1" t="s">
        <v>74</v>
      </c>
      <c r="BA114" s="1" t="s">
        <v>74</v>
      </c>
      <c r="BB114" s="1">
        <v>289</v>
      </c>
      <c r="BC114" s="1">
        <v>298</v>
      </c>
      <c r="BD114" s="1" t="s">
        <v>74</v>
      </c>
      <c r="BE114" s="1" t="s">
        <v>2209</v>
      </c>
      <c r="BF114" s="1" t="str">
        <f>HYPERLINK("http://dx.doi.org/10.1163/157075606778441822","http://dx.doi.org/10.1163/157075606778441822")</f>
        <v>http://dx.doi.org/10.1163/157075606778441822</v>
      </c>
      <c r="BG114" s="1" t="s">
        <v>74</v>
      </c>
      <c r="BH114" s="1" t="s">
        <v>74</v>
      </c>
      <c r="BI114" s="1">
        <v>10</v>
      </c>
      <c r="BJ114" s="1" t="s">
        <v>2210</v>
      </c>
      <c r="BK114" s="1" t="s">
        <v>96</v>
      </c>
      <c r="BL114" s="1" t="s">
        <v>2210</v>
      </c>
      <c r="BM114" s="1" t="s">
        <v>2211</v>
      </c>
      <c r="BN114" s="1" t="s">
        <v>74</v>
      </c>
      <c r="BO114" s="1" t="s">
        <v>74</v>
      </c>
      <c r="BP114" s="1" t="s">
        <v>74</v>
      </c>
      <c r="BQ114" s="1" t="s">
        <v>74</v>
      </c>
      <c r="BR114" s="1" t="s">
        <v>98</v>
      </c>
      <c r="BS114" s="1" t="s">
        <v>2212</v>
      </c>
      <c r="BT114" s="1" t="str">
        <f>HYPERLINK("https%3A%2F%2Fwww.webofscience.com%2Fwos%2Fwoscc%2Ffull-record%2FWOS:000241795000002","View Full Record in Web of Science")</f>
        <v>View Full Record in Web of Science</v>
      </c>
    </row>
    <row r="115" spans="1:72">
      <c r="A115" s="1" t="s">
        <v>72</v>
      </c>
      <c r="B115" s="1" t="s">
        <v>2213</v>
      </c>
      <c r="C115" s="1" t="s">
        <v>74</v>
      </c>
      <c r="D115" s="1" t="s">
        <v>74</v>
      </c>
      <c r="E115" s="1" t="s">
        <v>74</v>
      </c>
      <c r="F115" s="1" t="s">
        <v>2214</v>
      </c>
      <c r="G115" s="1" t="s">
        <v>74</v>
      </c>
      <c r="H115" s="1" t="s">
        <v>74</v>
      </c>
      <c r="I115" s="1" t="s">
        <v>2215</v>
      </c>
      <c r="J115" s="1" t="s">
        <v>103</v>
      </c>
      <c r="K115" s="1" t="s">
        <v>74</v>
      </c>
      <c r="L115" s="1" t="s">
        <v>74</v>
      </c>
      <c r="M115" s="1" t="s">
        <v>78</v>
      </c>
      <c r="N115" s="1" t="s">
        <v>79</v>
      </c>
      <c r="O115" s="1" t="s">
        <v>74</v>
      </c>
      <c r="P115" s="1" t="s">
        <v>74</v>
      </c>
      <c r="Q115" s="1" t="s">
        <v>74</v>
      </c>
      <c r="R115" s="1" t="s">
        <v>74</v>
      </c>
      <c r="S115" s="1" t="s">
        <v>74</v>
      </c>
      <c r="T115" s="1" t="s">
        <v>2216</v>
      </c>
      <c r="U115" s="1" t="s">
        <v>2217</v>
      </c>
      <c r="V115" s="1" t="s">
        <v>2218</v>
      </c>
      <c r="W115" s="1" t="s">
        <v>2219</v>
      </c>
      <c r="X115" s="1" t="s">
        <v>2220</v>
      </c>
      <c r="Y115" s="1" t="s">
        <v>2221</v>
      </c>
      <c r="Z115" s="1" t="s">
        <v>2222</v>
      </c>
      <c r="AA115" s="1" t="s">
        <v>74</v>
      </c>
      <c r="AB115" s="1" t="s">
        <v>2223</v>
      </c>
      <c r="AC115" s="1" t="s">
        <v>74</v>
      </c>
      <c r="AD115" s="1" t="s">
        <v>74</v>
      </c>
      <c r="AE115" s="1" t="s">
        <v>74</v>
      </c>
      <c r="AF115" s="1" t="s">
        <v>74</v>
      </c>
      <c r="AG115" s="1">
        <v>36</v>
      </c>
      <c r="AH115" s="1">
        <v>6</v>
      </c>
      <c r="AI115" s="1">
        <v>6</v>
      </c>
      <c r="AJ115" s="1">
        <v>2</v>
      </c>
      <c r="AK115" s="1">
        <v>24</v>
      </c>
      <c r="AL115" s="1" t="s">
        <v>112</v>
      </c>
      <c r="AM115" s="1" t="s">
        <v>113</v>
      </c>
      <c r="AN115" s="1" t="s">
        <v>114</v>
      </c>
      <c r="AO115" s="1" t="s">
        <v>115</v>
      </c>
      <c r="AP115" s="1" t="s">
        <v>116</v>
      </c>
      <c r="AQ115" s="1" t="s">
        <v>74</v>
      </c>
      <c r="AR115" s="1" t="s">
        <v>117</v>
      </c>
      <c r="AS115" s="1" t="s">
        <v>118</v>
      </c>
      <c r="AT115" s="1" t="s">
        <v>224</v>
      </c>
      <c r="AU115" s="1">
        <v>2018</v>
      </c>
      <c r="AV115" s="1">
        <v>100</v>
      </c>
      <c r="AW115" s="1">
        <v>2</v>
      </c>
      <c r="AX115" s="1" t="s">
        <v>74</v>
      </c>
      <c r="AY115" s="1" t="s">
        <v>74</v>
      </c>
      <c r="AZ115" s="1" t="s">
        <v>74</v>
      </c>
      <c r="BA115" s="1" t="s">
        <v>74</v>
      </c>
      <c r="BB115" s="1">
        <v>234</v>
      </c>
      <c r="BC115" s="1">
        <v>239</v>
      </c>
      <c r="BD115" s="1" t="s">
        <v>74</v>
      </c>
      <c r="BE115" s="1" t="s">
        <v>2224</v>
      </c>
      <c r="BF115" s="1" t="str">
        <f>HYPERLINK("http://dx.doi.org/10.1007/s00128-017-2203-6","http://dx.doi.org/10.1007/s00128-017-2203-6")</f>
        <v>http://dx.doi.org/10.1007/s00128-017-2203-6</v>
      </c>
      <c r="BG115" s="1" t="s">
        <v>74</v>
      </c>
      <c r="BH115" s="1" t="s">
        <v>74</v>
      </c>
      <c r="BI115" s="1">
        <v>6</v>
      </c>
      <c r="BJ115" s="1" t="s">
        <v>121</v>
      </c>
      <c r="BK115" s="1" t="s">
        <v>96</v>
      </c>
      <c r="BL115" s="1" t="s">
        <v>122</v>
      </c>
      <c r="BM115" s="1" t="s">
        <v>2225</v>
      </c>
      <c r="BN115" s="1">
        <v>29149364</v>
      </c>
      <c r="BO115" s="1" t="s">
        <v>74</v>
      </c>
      <c r="BP115" s="1" t="s">
        <v>74</v>
      </c>
      <c r="BQ115" s="1" t="s">
        <v>74</v>
      </c>
      <c r="BR115" s="1" t="s">
        <v>98</v>
      </c>
      <c r="BS115" s="1" t="s">
        <v>2226</v>
      </c>
      <c r="BT115" s="1" t="str">
        <f>HYPERLINK("https%3A%2F%2Fwww.webofscience.com%2Fwos%2Fwoscc%2Ffull-record%2FWOS:000424444800008","View Full Record in Web of Science")</f>
        <v>View Full Record in Web of Science</v>
      </c>
    </row>
    <row r="116" spans="1:72">
      <c r="A116" s="1" t="s">
        <v>72</v>
      </c>
      <c r="B116" s="1" t="s">
        <v>2227</v>
      </c>
      <c r="C116" s="1" t="s">
        <v>74</v>
      </c>
      <c r="D116" s="1" t="s">
        <v>74</v>
      </c>
      <c r="E116" s="1" t="s">
        <v>74</v>
      </c>
      <c r="F116" s="1" t="s">
        <v>2228</v>
      </c>
      <c r="G116" s="1" t="s">
        <v>74</v>
      </c>
      <c r="H116" s="1" t="s">
        <v>74</v>
      </c>
      <c r="I116" s="1" t="s">
        <v>2229</v>
      </c>
      <c r="J116" s="1" t="s">
        <v>1275</v>
      </c>
      <c r="K116" s="1" t="s">
        <v>74</v>
      </c>
      <c r="L116" s="1" t="s">
        <v>74</v>
      </c>
      <c r="M116" s="1" t="s">
        <v>78</v>
      </c>
      <c r="N116" s="1" t="s">
        <v>79</v>
      </c>
      <c r="O116" s="1" t="s">
        <v>74</v>
      </c>
      <c r="P116" s="1" t="s">
        <v>74</v>
      </c>
      <c r="Q116" s="1" t="s">
        <v>74</v>
      </c>
      <c r="R116" s="1" t="s">
        <v>74</v>
      </c>
      <c r="S116" s="1" t="s">
        <v>74</v>
      </c>
      <c r="T116" s="1" t="s">
        <v>2230</v>
      </c>
      <c r="U116" s="1" t="s">
        <v>2231</v>
      </c>
      <c r="V116" s="1" t="s">
        <v>2232</v>
      </c>
      <c r="W116" s="1" t="s">
        <v>2233</v>
      </c>
      <c r="X116" s="1" t="s">
        <v>2234</v>
      </c>
      <c r="Y116" s="1" t="s">
        <v>2235</v>
      </c>
      <c r="Z116" s="1" t="s">
        <v>2236</v>
      </c>
      <c r="AA116" s="1" t="s">
        <v>2237</v>
      </c>
      <c r="AB116" s="1" t="s">
        <v>2238</v>
      </c>
      <c r="AC116" s="1" t="s">
        <v>2239</v>
      </c>
      <c r="AD116" s="1" t="s">
        <v>2240</v>
      </c>
      <c r="AE116" s="1" t="s">
        <v>2241</v>
      </c>
      <c r="AF116" s="1" t="s">
        <v>74</v>
      </c>
      <c r="AG116" s="1">
        <v>63</v>
      </c>
      <c r="AH116" s="1">
        <v>7</v>
      </c>
      <c r="AI116" s="1">
        <v>7</v>
      </c>
      <c r="AJ116" s="1">
        <v>2</v>
      </c>
      <c r="AK116" s="1">
        <v>12</v>
      </c>
      <c r="AL116" s="1" t="s">
        <v>650</v>
      </c>
      <c r="AM116" s="1" t="s">
        <v>651</v>
      </c>
      <c r="AN116" s="1" t="s">
        <v>652</v>
      </c>
      <c r="AO116" s="1" t="s">
        <v>1287</v>
      </c>
      <c r="AP116" s="1" t="s">
        <v>74</v>
      </c>
      <c r="AQ116" s="1" t="s">
        <v>74</v>
      </c>
      <c r="AR116" s="1" t="s">
        <v>1288</v>
      </c>
      <c r="AS116" s="1" t="s">
        <v>1289</v>
      </c>
      <c r="AT116" s="1" t="s">
        <v>951</v>
      </c>
      <c r="AU116" s="1">
        <v>2020</v>
      </c>
      <c r="AV116" s="1">
        <v>40</v>
      </c>
      <c r="AW116" s="1" t="s">
        <v>74</v>
      </c>
      <c r="AX116" s="1" t="s">
        <v>74</v>
      </c>
      <c r="AY116" s="1" t="s">
        <v>74</v>
      </c>
      <c r="AZ116" s="1" t="s">
        <v>74</v>
      </c>
      <c r="BA116" s="1" t="s">
        <v>74</v>
      </c>
      <c r="BB116" s="1" t="s">
        <v>74</v>
      </c>
      <c r="BC116" s="1" t="s">
        <v>74</v>
      </c>
      <c r="BD116" s="1">
        <v>101521</v>
      </c>
      <c r="BE116" s="1" t="s">
        <v>2242</v>
      </c>
      <c r="BF116" s="1" t="str">
        <f>HYPERLINK("http://dx.doi.org/10.1016/j.rsma.2020.101521","http://dx.doi.org/10.1016/j.rsma.2020.101521")</f>
        <v>http://dx.doi.org/10.1016/j.rsma.2020.101521</v>
      </c>
      <c r="BG116" s="1" t="s">
        <v>74</v>
      </c>
      <c r="BH116" s="1" t="s">
        <v>74</v>
      </c>
      <c r="BI116" s="1">
        <v>8</v>
      </c>
      <c r="BJ116" s="1" t="s">
        <v>1292</v>
      </c>
      <c r="BK116" s="1" t="s">
        <v>96</v>
      </c>
      <c r="BL116" s="1" t="s">
        <v>248</v>
      </c>
      <c r="BM116" s="1" t="s">
        <v>2243</v>
      </c>
      <c r="BN116" s="1" t="s">
        <v>74</v>
      </c>
      <c r="BO116" s="1" t="s">
        <v>810</v>
      </c>
      <c r="BP116" s="1" t="s">
        <v>74</v>
      </c>
      <c r="BQ116" s="1" t="s">
        <v>74</v>
      </c>
      <c r="BR116" s="1" t="s">
        <v>98</v>
      </c>
      <c r="BS116" s="1" t="s">
        <v>2244</v>
      </c>
      <c r="BT116" s="1" t="str">
        <f>HYPERLINK("https%3A%2F%2Fwww.webofscience.com%2Fwos%2Fwoscc%2Ffull-record%2FWOS:000603374600017","View Full Record in Web of Science")</f>
        <v>View Full Record in Web of Science</v>
      </c>
    </row>
    <row r="117" spans="1:72">
      <c r="A117" s="1" t="s">
        <v>72</v>
      </c>
      <c r="B117" s="1" t="s">
        <v>2245</v>
      </c>
      <c r="C117" s="1" t="s">
        <v>74</v>
      </c>
      <c r="D117" s="1" t="s">
        <v>74</v>
      </c>
      <c r="E117" s="1" t="s">
        <v>74</v>
      </c>
      <c r="F117" s="1" t="s">
        <v>2246</v>
      </c>
      <c r="G117" s="1" t="s">
        <v>74</v>
      </c>
      <c r="H117" s="1" t="s">
        <v>74</v>
      </c>
      <c r="I117" s="1" t="s">
        <v>2247</v>
      </c>
      <c r="J117" s="1" t="s">
        <v>909</v>
      </c>
      <c r="K117" s="1" t="s">
        <v>74</v>
      </c>
      <c r="L117" s="1" t="s">
        <v>74</v>
      </c>
      <c r="M117" s="1" t="s">
        <v>78</v>
      </c>
      <c r="N117" s="1" t="s">
        <v>79</v>
      </c>
      <c r="O117" s="1" t="s">
        <v>74</v>
      </c>
      <c r="P117" s="1" t="s">
        <v>74</v>
      </c>
      <c r="Q117" s="1" t="s">
        <v>74</v>
      </c>
      <c r="R117" s="1" t="s">
        <v>74</v>
      </c>
      <c r="S117" s="1" t="s">
        <v>74</v>
      </c>
      <c r="T117" s="1" t="s">
        <v>2248</v>
      </c>
      <c r="U117" s="1" t="s">
        <v>2249</v>
      </c>
      <c r="V117" s="1" t="s">
        <v>2250</v>
      </c>
      <c r="W117" s="1" t="s">
        <v>2251</v>
      </c>
      <c r="X117" s="1" t="s">
        <v>2252</v>
      </c>
      <c r="Y117" s="1" t="s">
        <v>2253</v>
      </c>
      <c r="Z117" s="1" t="s">
        <v>2254</v>
      </c>
      <c r="AA117" s="1" t="s">
        <v>74</v>
      </c>
      <c r="AB117" s="1" t="s">
        <v>74</v>
      </c>
      <c r="AC117" s="1" t="s">
        <v>2255</v>
      </c>
      <c r="AD117" s="1" t="s">
        <v>2255</v>
      </c>
      <c r="AE117" s="1" t="s">
        <v>2256</v>
      </c>
      <c r="AF117" s="1" t="s">
        <v>74</v>
      </c>
      <c r="AG117" s="1">
        <v>41</v>
      </c>
      <c r="AH117" s="1">
        <v>8</v>
      </c>
      <c r="AI117" s="1">
        <v>8</v>
      </c>
      <c r="AJ117" s="1">
        <v>11</v>
      </c>
      <c r="AK117" s="1">
        <v>22</v>
      </c>
      <c r="AL117" s="1" t="s">
        <v>650</v>
      </c>
      <c r="AM117" s="1" t="s">
        <v>651</v>
      </c>
      <c r="AN117" s="1" t="s">
        <v>652</v>
      </c>
      <c r="AO117" s="1" t="s">
        <v>921</v>
      </c>
      <c r="AP117" s="1" t="s">
        <v>922</v>
      </c>
      <c r="AQ117" s="1" t="s">
        <v>74</v>
      </c>
      <c r="AR117" s="1" t="s">
        <v>923</v>
      </c>
      <c r="AS117" s="1" t="s">
        <v>924</v>
      </c>
      <c r="AT117" s="1" t="s">
        <v>2257</v>
      </c>
      <c r="AU117" s="1">
        <v>2023</v>
      </c>
      <c r="AV117" s="1">
        <v>884</v>
      </c>
      <c r="AW117" s="1" t="s">
        <v>74</v>
      </c>
      <c r="AX117" s="1" t="s">
        <v>74</v>
      </c>
      <c r="AY117" s="1" t="s">
        <v>74</v>
      </c>
      <c r="AZ117" s="1" t="s">
        <v>74</v>
      </c>
      <c r="BA117" s="1" t="s">
        <v>74</v>
      </c>
      <c r="BB117" s="1" t="s">
        <v>74</v>
      </c>
      <c r="BC117" s="1" t="s">
        <v>74</v>
      </c>
      <c r="BD117" s="1">
        <v>163861</v>
      </c>
      <c r="BE117" s="1" t="s">
        <v>2258</v>
      </c>
      <c r="BF117" s="1" t="str">
        <f>HYPERLINK("http://dx.doi.org/10.1016/j.scitotenv.2023.163861","http://dx.doi.org/10.1016/j.scitotenv.2023.163861")</f>
        <v>http://dx.doi.org/10.1016/j.scitotenv.2023.163861</v>
      </c>
      <c r="BG117" s="1" t="s">
        <v>74</v>
      </c>
      <c r="BH117" s="1" t="s">
        <v>2259</v>
      </c>
      <c r="BI117" s="1">
        <v>8</v>
      </c>
      <c r="BJ117" s="1" t="s">
        <v>144</v>
      </c>
      <c r="BK117" s="1" t="s">
        <v>96</v>
      </c>
      <c r="BL117" s="1" t="s">
        <v>145</v>
      </c>
      <c r="BM117" s="1" t="s">
        <v>2260</v>
      </c>
      <c r="BN117" s="1">
        <v>37142019</v>
      </c>
      <c r="BO117" s="1" t="s">
        <v>74</v>
      </c>
      <c r="BP117" s="1" t="s">
        <v>74</v>
      </c>
      <c r="BQ117" s="1" t="s">
        <v>74</v>
      </c>
      <c r="BR117" s="1" t="s">
        <v>98</v>
      </c>
      <c r="BS117" s="1" t="s">
        <v>2261</v>
      </c>
      <c r="BT117" s="1" t="str">
        <f>HYPERLINK("https%3A%2F%2Fwww.webofscience.com%2Fwos%2Fwoscc%2Ffull-record%2FWOS:001001258600001","View Full Record in Web of Science")</f>
        <v>View Full Record in Web of Science</v>
      </c>
    </row>
    <row r="118" spans="1:72">
      <c r="A118" s="1" t="s">
        <v>72</v>
      </c>
      <c r="B118" s="1" t="s">
        <v>2262</v>
      </c>
      <c r="C118" s="1" t="s">
        <v>74</v>
      </c>
      <c r="D118" s="1" t="s">
        <v>74</v>
      </c>
      <c r="E118" s="1" t="s">
        <v>74</v>
      </c>
      <c r="F118" s="1" t="s">
        <v>2263</v>
      </c>
      <c r="G118" s="1" t="s">
        <v>74</v>
      </c>
      <c r="H118" s="1" t="s">
        <v>74</v>
      </c>
      <c r="I118" s="1" t="s">
        <v>2264</v>
      </c>
      <c r="J118" s="1" t="s">
        <v>2265</v>
      </c>
      <c r="K118" s="1" t="s">
        <v>74</v>
      </c>
      <c r="L118" s="1" t="s">
        <v>74</v>
      </c>
      <c r="M118" s="1" t="s">
        <v>78</v>
      </c>
      <c r="N118" s="1" t="s">
        <v>79</v>
      </c>
      <c r="O118" s="1" t="s">
        <v>74</v>
      </c>
      <c r="P118" s="1" t="s">
        <v>74</v>
      </c>
      <c r="Q118" s="1" t="s">
        <v>74</v>
      </c>
      <c r="R118" s="1" t="s">
        <v>74</v>
      </c>
      <c r="S118" s="1" t="s">
        <v>74</v>
      </c>
      <c r="T118" s="1" t="s">
        <v>2266</v>
      </c>
      <c r="U118" s="1" t="s">
        <v>2267</v>
      </c>
      <c r="V118" s="1" t="s">
        <v>2268</v>
      </c>
      <c r="W118" s="1" t="s">
        <v>2269</v>
      </c>
      <c r="X118" s="1" t="s">
        <v>2270</v>
      </c>
      <c r="Y118" s="1" t="s">
        <v>2271</v>
      </c>
      <c r="Z118" s="1" t="s">
        <v>2272</v>
      </c>
      <c r="AA118" s="1" t="s">
        <v>2273</v>
      </c>
      <c r="AB118" s="1" t="s">
        <v>2274</v>
      </c>
      <c r="AC118" s="1" t="s">
        <v>74</v>
      </c>
      <c r="AD118" s="1" t="s">
        <v>74</v>
      </c>
      <c r="AE118" s="1" t="s">
        <v>74</v>
      </c>
      <c r="AF118" s="1" t="s">
        <v>74</v>
      </c>
      <c r="AG118" s="1">
        <v>48</v>
      </c>
      <c r="AH118" s="1">
        <v>82</v>
      </c>
      <c r="AI118" s="1">
        <v>86</v>
      </c>
      <c r="AJ118" s="1">
        <v>0</v>
      </c>
      <c r="AK118" s="1">
        <v>21</v>
      </c>
      <c r="AL118" s="1" t="s">
        <v>2074</v>
      </c>
      <c r="AM118" s="1" t="s">
        <v>2075</v>
      </c>
      <c r="AN118" s="1" t="s">
        <v>2076</v>
      </c>
      <c r="AO118" s="1" t="s">
        <v>2275</v>
      </c>
      <c r="AP118" s="1" t="s">
        <v>2276</v>
      </c>
      <c r="AQ118" s="1" t="s">
        <v>74</v>
      </c>
      <c r="AR118" s="1" t="s">
        <v>2265</v>
      </c>
      <c r="AS118" s="1" t="s">
        <v>2277</v>
      </c>
      <c r="AT118" s="1" t="s">
        <v>74</v>
      </c>
      <c r="AU118" s="1">
        <v>2007</v>
      </c>
      <c r="AV118" s="1">
        <v>12</v>
      </c>
      <c r="AW118" s="1">
        <v>4</v>
      </c>
      <c r="AX118" s="1" t="s">
        <v>74</v>
      </c>
      <c r="AY118" s="1" t="s">
        <v>74</v>
      </c>
      <c r="AZ118" s="1" t="s">
        <v>74</v>
      </c>
      <c r="BA118" s="1" t="s">
        <v>74</v>
      </c>
      <c r="BB118" s="1">
        <v>369</v>
      </c>
      <c r="BC118" s="1">
        <v>383</v>
      </c>
      <c r="BD118" s="1" t="s">
        <v>74</v>
      </c>
      <c r="BE118" s="1" t="s">
        <v>2278</v>
      </c>
      <c r="BF118" s="1" t="str">
        <f>HYPERLINK("http://dx.doi.org/10.1080/13547500701217061","http://dx.doi.org/10.1080/13547500701217061")</f>
        <v>http://dx.doi.org/10.1080/13547500701217061</v>
      </c>
      <c r="BG118" s="1" t="s">
        <v>74</v>
      </c>
      <c r="BH118" s="1" t="s">
        <v>74</v>
      </c>
      <c r="BI118" s="1">
        <v>15</v>
      </c>
      <c r="BJ118" s="1" t="s">
        <v>2279</v>
      </c>
      <c r="BK118" s="1" t="s">
        <v>96</v>
      </c>
      <c r="BL118" s="1" t="s">
        <v>2279</v>
      </c>
      <c r="BM118" s="1" t="s">
        <v>2280</v>
      </c>
      <c r="BN118" s="1">
        <v>17564843</v>
      </c>
      <c r="BO118" s="1" t="s">
        <v>74</v>
      </c>
      <c r="BP118" s="1" t="s">
        <v>74</v>
      </c>
      <c r="BQ118" s="1" t="s">
        <v>74</v>
      </c>
      <c r="BR118" s="1" t="s">
        <v>98</v>
      </c>
      <c r="BS118" s="1" t="s">
        <v>2281</v>
      </c>
      <c r="BT118" s="1" t="str">
        <f>HYPERLINK("https%3A%2F%2Fwww.webofscience.com%2Fwos%2Fwoscc%2Ffull-record%2FWOS:000247730100003","View Full Record in Web of Science")</f>
        <v>View Full Record in Web of Science</v>
      </c>
    </row>
    <row r="119" spans="1:72">
      <c r="A119" s="1" t="s">
        <v>72</v>
      </c>
      <c r="B119" s="1" t="s">
        <v>2282</v>
      </c>
      <c r="C119" s="1" t="s">
        <v>74</v>
      </c>
      <c r="D119" s="1" t="s">
        <v>74</v>
      </c>
      <c r="E119" s="1" t="s">
        <v>74</v>
      </c>
      <c r="F119" s="1" t="s">
        <v>2283</v>
      </c>
      <c r="G119" s="1" t="s">
        <v>74</v>
      </c>
      <c r="H119" s="1" t="s">
        <v>74</v>
      </c>
      <c r="I119" s="1" t="s">
        <v>2284</v>
      </c>
      <c r="J119" s="1" t="s">
        <v>2285</v>
      </c>
      <c r="K119" s="1" t="s">
        <v>74</v>
      </c>
      <c r="L119" s="1" t="s">
        <v>74</v>
      </c>
      <c r="M119" s="1" t="s">
        <v>78</v>
      </c>
      <c r="N119" s="1" t="s">
        <v>79</v>
      </c>
      <c r="O119" s="1" t="s">
        <v>74</v>
      </c>
      <c r="P119" s="1" t="s">
        <v>74</v>
      </c>
      <c r="Q119" s="1" t="s">
        <v>74</v>
      </c>
      <c r="R119" s="1" t="s">
        <v>74</v>
      </c>
      <c r="S119" s="1" t="s">
        <v>74</v>
      </c>
      <c r="T119" s="1" t="s">
        <v>2286</v>
      </c>
      <c r="U119" s="1" t="s">
        <v>2287</v>
      </c>
      <c r="V119" s="1" t="s">
        <v>2288</v>
      </c>
      <c r="W119" s="1" t="s">
        <v>2289</v>
      </c>
      <c r="X119" s="1" t="s">
        <v>2290</v>
      </c>
      <c r="Y119" s="1" t="s">
        <v>2291</v>
      </c>
      <c r="Z119" s="1" t="s">
        <v>1955</v>
      </c>
      <c r="AA119" s="1" t="s">
        <v>2292</v>
      </c>
      <c r="AB119" s="1" t="s">
        <v>2293</v>
      </c>
      <c r="AC119" s="1" t="s">
        <v>2294</v>
      </c>
      <c r="AD119" s="1" t="s">
        <v>2295</v>
      </c>
      <c r="AE119" s="1" t="s">
        <v>2296</v>
      </c>
      <c r="AF119" s="1" t="s">
        <v>74</v>
      </c>
      <c r="AG119" s="1">
        <v>33</v>
      </c>
      <c r="AH119" s="1">
        <v>29</v>
      </c>
      <c r="AI119" s="1">
        <v>30</v>
      </c>
      <c r="AJ119" s="1">
        <v>1</v>
      </c>
      <c r="AK119" s="1">
        <v>44</v>
      </c>
      <c r="AL119" s="1" t="s">
        <v>2297</v>
      </c>
      <c r="AM119" s="1" t="s">
        <v>1786</v>
      </c>
      <c r="AN119" s="1" t="s">
        <v>2298</v>
      </c>
      <c r="AO119" s="1" t="s">
        <v>2299</v>
      </c>
      <c r="AP119" s="1" t="s">
        <v>2300</v>
      </c>
      <c r="AQ119" s="1" t="s">
        <v>74</v>
      </c>
      <c r="AR119" s="1" t="s">
        <v>2301</v>
      </c>
      <c r="AS119" s="1" t="s">
        <v>2302</v>
      </c>
      <c r="AT119" s="1" t="s">
        <v>2303</v>
      </c>
      <c r="AU119" s="1">
        <v>2013</v>
      </c>
      <c r="AV119" s="1">
        <v>25</v>
      </c>
      <c r="AW119" s="1">
        <v>12</v>
      </c>
      <c r="AX119" s="1" t="s">
        <v>74</v>
      </c>
      <c r="AY119" s="1" t="s">
        <v>74</v>
      </c>
      <c r="AZ119" s="1" t="s">
        <v>74</v>
      </c>
      <c r="BA119" s="1" t="s">
        <v>74</v>
      </c>
      <c r="BB119" s="1">
        <v>2476</v>
      </c>
      <c r="BC119" s="1">
        <v>2486</v>
      </c>
      <c r="BD119" s="1" t="s">
        <v>74</v>
      </c>
      <c r="BE119" s="1" t="s">
        <v>2304</v>
      </c>
      <c r="BF119" s="1" t="str">
        <f>HYPERLINK("http://dx.doi.org/10.1016/S1001-0742(12)60320-9","http://dx.doi.org/10.1016/S1001-0742(12)60320-9")</f>
        <v>http://dx.doi.org/10.1016/S1001-0742(12)60320-9</v>
      </c>
      <c r="BG119" s="1" t="s">
        <v>74</v>
      </c>
      <c r="BH119" s="1" t="s">
        <v>74</v>
      </c>
      <c r="BI119" s="1">
        <v>11</v>
      </c>
      <c r="BJ119" s="1" t="s">
        <v>144</v>
      </c>
      <c r="BK119" s="1" t="s">
        <v>96</v>
      </c>
      <c r="BL119" s="1" t="s">
        <v>145</v>
      </c>
      <c r="BM119" s="1" t="s">
        <v>2305</v>
      </c>
      <c r="BN119" s="1">
        <v>24649680</v>
      </c>
      <c r="BO119" s="1" t="s">
        <v>74</v>
      </c>
      <c r="BP119" s="1" t="s">
        <v>74</v>
      </c>
      <c r="BQ119" s="1" t="s">
        <v>74</v>
      </c>
      <c r="BR119" s="1" t="s">
        <v>98</v>
      </c>
      <c r="BS119" s="1" t="s">
        <v>2306</v>
      </c>
      <c r="BT119" s="1" t="str">
        <f>HYPERLINK("https%3A%2F%2Fwww.webofscience.com%2Fwos%2Fwoscc%2Ffull-record%2FWOS:000328006200017","View Full Record in Web of Science")</f>
        <v>View Full Record in Web of Science</v>
      </c>
    </row>
    <row r="120" spans="1:72">
      <c r="A120" s="1" t="s">
        <v>72</v>
      </c>
      <c r="B120" s="1" t="s">
        <v>2307</v>
      </c>
      <c r="C120" s="1" t="s">
        <v>74</v>
      </c>
      <c r="D120" s="1" t="s">
        <v>74</v>
      </c>
      <c r="E120" s="1" t="s">
        <v>74</v>
      </c>
      <c r="F120" s="1" t="s">
        <v>2308</v>
      </c>
      <c r="G120" s="1" t="s">
        <v>74</v>
      </c>
      <c r="H120" s="1" t="s">
        <v>74</v>
      </c>
      <c r="I120" s="1" t="s">
        <v>2309</v>
      </c>
      <c r="J120" s="1" t="s">
        <v>150</v>
      </c>
      <c r="K120" s="1" t="s">
        <v>74</v>
      </c>
      <c r="L120" s="1" t="s">
        <v>74</v>
      </c>
      <c r="M120" s="1" t="s">
        <v>78</v>
      </c>
      <c r="N120" s="1" t="s">
        <v>79</v>
      </c>
      <c r="O120" s="1" t="s">
        <v>74</v>
      </c>
      <c r="P120" s="1" t="s">
        <v>74</v>
      </c>
      <c r="Q120" s="1" t="s">
        <v>74</v>
      </c>
      <c r="R120" s="1" t="s">
        <v>74</v>
      </c>
      <c r="S120" s="1" t="s">
        <v>74</v>
      </c>
      <c r="T120" s="1" t="s">
        <v>2310</v>
      </c>
      <c r="U120" s="1" t="s">
        <v>2311</v>
      </c>
      <c r="V120" s="1" t="s">
        <v>2312</v>
      </c>
      <c r="W120" s="1" t="s">
        <v>2313</v>
      </c>
      <c r="X120" s="1" t="s">
        <v>2314</v>
      </c>
      <c r="Y120" s="1" t="s">
        <v>2315</v>
      </c>
      <c r="Z120" s="1" t="s">
        <v>2316</v>
      </c>
      <c r="AA120" s="1" t="s">
        <v>2317</v>
      </c>
      <c r="AB120" s="1" t="s">
        <v>2318</v>
      </c>
      <c r="AC120" s="1" t="s">
        <v>74</v>
      </c>
      <c r="AD120" s="1" t="s">
        <v>74</v>
      </c>
      <c r="AE120" s="1" t="s">
        <v>74</v>
      </c>
      <c r="AF120" s="1" t="s">
        <v>74</v>
      </c>
      <c r="AG120" s="1">
        <v>30</v>
      </c>
      <c r="AH120" s="1">
        <v>9</v>
      </c>
      <c r="AI120" s="1">
        <v>12</v>
      </c>
      <c r="AJ120" s="1">
        <v>1</v>
      </c>
      <c r="AK120" s="1">
        <v>11</v>
      </c>
      <c r="AL120" s="1" t="s">
        <v>150</v>
      </c>
      <c r="AM120" s="1" t="s">
        <v>164</v>
      </c>
      <c r="AN120" s="1" t="s">
        <v>165</v>
      </c>
      <c r="AO120" s="1" t="s">
        <v>166</v>
      </c>
      <c r="AP120" s="1" t="s">
        <v>167</v>
      </c>
      <c r="AQ120" s="1" t="s">
        <v>74</v>
      </c>
      <c r="AR120" s="1" t="s">
        <v>168</v>
      </c>
      <c r="AS120" s="1" t="s">
        <v>169</v>
      </c>
      <c r="AT120" s="1" t="s">
        <v>197</v>
      </c>
      <c r="AU120" s="1">
        <v>2009</v>
      </c>
      <c r="AV120" s="1">
        <v>57</v>
      </c>
      <c r="AW120" s="1">
        <v>4</v>
      </c>
      <c r="AX120" s="1" t="s">
        <v>74</v>
      </c>
      <c r="AY120" s="1" t="s">
        <v>74</v>
      </c>
      <c r="AZ120" s="1" t="s">
        <v>74</v>
      </c>
      <c r="BA120" s="1" t="s">
        <v>74</v>
      </c>
      <c r="BB120" s="1">
        <v>955</v>
      </c>
      <c r="BC120" s="1">
        <v>962</v>
      </c>
      <c r="BD120" s="1" t="s">
        <v>74</v>
      </c>
      <c r="BE120" s="1" t="s">
        <v>74</v>
      </c>
      <c r="BF120" s="1" t="s">
        <v>74</v>
      </c>
      <c r="BG120" s="1" t="s">
        <v>74</v>
      </c>
      <c r="BH120" s="1" t="s">
        <v>74</v>
      </c>
      <c r="BI120" s="1">
        <v>8</v>
      </c>
      <c r="BJ120" s="1" t="s">
        <v>171</v>
      </c>
      <c r="BK120" s="1" t="s">
        <v>96</v>
      </c>
      <c r="BL120" s="1" t="s">
        <v>173</v>
      </c>
      <c r="BM120" s="1" t="s">
        <v>2319</v>
      </c>
      <c r="BN120" s="1">
        <v>20073327</v>
      </c>
      <c r="BO120" s="1" t="s">
        <v>74</v>
      </c>
      <c r="BP120" s="1" t="s">
        <v>74</v>
      </c>
      <c r="BQ120" s="1" t="s">
        <v>74</v>
      </c>
      <c r="BR120" s="1" t="s">
        <v>98</v>
      </c>
      <c r="BS120" s="1" t="s">
        <v>2320</v>
      </c>
      <c r="BT120" s="1" t="str">
        <f>HYPERLINK("https%3A%2F%2Fwww.webofscience.com%2Fwos%2Fwoscc%2Ffull-record%2FWOS:000272168100005","View Full Record in Web of Science")</f>
        <v>View Full Record in Web of Science</v>
      </c>
    </row>
    <row r="121" spans="1:72">
      <c r="A121" s="1" t="s">
        <v>72</v>
      </c>
      <c r="B121" s="1" t="s">
        <v>2321</v>
      </c>
      <c r="C121" s="1" t="s">
        <v>74</v>
      </c>
      <c r="D121" s="1" t="s">
        <v>74</v>
      </c>
      <c r="E121" s="1" t="s">
        <v>74</v>
      </c>
      <c r="F121" s="1" t="s">
        <v>2321</v>
      </c>
      <c r="G121" s="1" t="s">
        <v>74</v>
      </c>
      <c r="H121" s="1" t="s">
        <v>74</v>
      </c>
      <c r="I121" s="1" t="s">
        <v>2322</v>
      </c>
      <c r="J121" s="1" t="s">
        <v>2323</v>
      </c>
      <c r="K121" s="1" t="s">
        <v>74</v>
      </c>
      <c r="L121" s="1" t="s">
        <v>74</v>
      </c>
      <c r="M121" s="1" t="s">
        <v>78</v>
      </c>
      <c r="N121" s="1" t="s">
        <v>151</v>
      </c>
      <c r="O121" s="1" t="s">
        <v>2324</v>
      </c>
      <c r="P121" s="1" t="s">
        <v>2325</v>
      </c>
      <c r="Q121" s="1" t="s">
        <v>2326</v>
      </c>
      <c r="R121" s="1" t="s">
        <v>74</v>
      </c>
      <c r="S121" s="1" t="s">
        <v>74</v>
      </c>
      <c r="T121" s="1" t="s">
        <v>2327</v>
      </c>
      <c r="U121" s="1" t="s">
        <v>2328</v>
      </c>
      <c r="V121" s="1" t="s">
        <v>2329</v>
      </c>
      <c r="W121" s="1" t="s">
        <v>2330</v>
      </c>
      <c r="X121" s="1" t="s">
        <v>2331</v>
      </c>
      <c r="Y121" s="1" t="s">
        <v>2332</v>
      </c>
      <c r="Z121" s="1" t="s">
        <v>2333</v>
      </c>
      <c r="AA121" s="1" t="s">
        <v>2334</v>
      </c>
      <c r="AB121" s="1" t="s">
        <v>2335</v>
      </c>
      <c r="AC121" s="1" t="s">
        <v>74</v>
      </c>
      <c r="AD121" s="1" t="s">
        <v>74</v>
      </c>
      <c r="AE121" s="1" t="s">
        <v>74</v>
      </c>
      <c r="AF121" s="1" t="s">
        <v>74</v>
      </c>
      <c r="AG121" s="1">
        <v>52</v>
      </c>
      <c r="AH121" s="1">
        <v>58</v>
      </c>
      <c r="AI121" s="1">
        <v>72</v>
      </c>
      <c r="AJ121" s="1">
        <v>1</v>
      </c>
      <c r="AK121" s="1">
        <v>25</v>
      </c>
      <c r="AL121" s="1" t="s">
        <v>2336</v>
      </c>
      <c r="AM121" s="1" t="s">
        <v>113</v>
      </c>
      <c r="AN121" s="1" t="s">
        <v>2337</v>
      </c>
      <c r="AO121" s="1" t="s">
        <v>2338</v>
      </c>
      <c r="AP121" s="1" t="s">
        <v>2339</v>
      </c>
      <c r="AQ121" s="1" t="s">
        <v>74</v>
      </c>
      <c r="AR121" s="1" t="s">
        <v>2323</v>
      </c>
      <c r="AS121" s="1" t="s">
        <v>2340</v>
      </c>
      <c r="AT121" s="1" t="s">
        <v>74</v>
      </c>
      <c r="AU121" s="1">
        <v>2003</v>
      </c>
      <c r="AV121" s="1">
        <v>126</v>
      </c>
      <c r="AW121" s="1" t="s">
        <v>74</v>
      </c>
      <c r="AX121" s="1" t="s">
        <v>74</v>
      </c>
      <c r="AY121" s="1" t="s">
        <v>2341</v>
      </c>
      <c r="AZ121" s="1" t="s">
        <v>74</v>
      </c>
      <c r="BA121" s="1" t="s">
        <v>74</v>
      </c>
      <c r="BB121" s="1" t="s">
        <v>2342</v>
      </c>
      <c r="BC121" s="1" t="s">
        <v>2343</v>
      </c>
      <c r="BD121" s="1" t="s">
        <v>74</v>
      </c>
      <c r="BE121" s="1" t="s">
        <v>2344</v>
      </c>
      <c r="BF121" s="1" t="str">
        <f>HYPERLINK("http://dx.doi.org/10.1017/S0031182003003743","http://dx.doi.org/10.1017/S0031182003003743")</f>
        <v>http://dx.doi.org/10.1017/S0031182003003743</v>
      </c>
      <c r="BG121" s="1" t="s">
        <v>74</v>
      </c>
      <c r="BH121" s="1" t="s">
        <v>74</v>
      </c>
      <c r="BI121" s="1">
        <v>9</v>
      </c>
      <c r="BJ121" s="1" t="s">
        <v>2340</v>
      </c>
      <c r="BK121" s="1" t="s">
        <v>172</v>
      </c>
      <c r="BL121" s="1" t="s">
        <v>2340</v>
      </c>
      <c r="BM121" s="1" t="s">
        <v>2345</v>
      </c>
      <c r="BN121" s="1">
        <v>14667173</v>
      </c>
      <c r="BO121" s="1" t="s">
        <v>74</v>
      </c>
      <c r="BP121" s="1" t="s">
        <v>74</v>
      </c>
      <c r="BQ121" s="1" t="s">
        <v>74</v>
      </c>
      <c r="BR121" s="1" t="s">
        <v>98</v>
      </c>
      <c r="BS121" s="1" t="s">
        <v>2346</v>
      </c>
      <c r="BT121" s="1" t="str">
        <f>HYPERLINK("https%3A%2F%2Fwww.webofscience.com%2Fwos%2Fwoscc%2Ffull-record%2FWOS:000187344700006","View Full Record in Web of Science")</f>
        <v>View Full Record in Web of Science</v>
      </c>
    </row>
    <row r="122" spans="1:72">
      <c r="A122" s="1" t="s">
        <v>72</v>
      </c>
      <c r="B122" s="1" t="s">
        <v>2347</v>
      </c>
      <c r="C122" s="1" t="s">
        <v>74</v>
      </c>
      <c r="D122" s="1" t="s">
        <v>74</v>
      </c>
      <c r="E122" s="1" t="s">
        <v>74</v>
      </c>
      <c r="F122" s="1" t="s">
        <v>2348</v>
      </c>
      <c r="G122" s="1" t="s">
        <v>74</v>
      </c>
      <c r="H122" s="1" t="s">
        <v>74</v>
      </c>
      <c r="I122" s="1" t="s">
        <v>2349</v>
      </c>
      <c r="J122" s="1" t="s">
        <v>2350</v>
      </c>
      <c r="K122" s="1" t="s">
        <v>74</v>
      </c>
      <c r="L122" s="1" t="s">
        <v>74</v>
      </c>
      <c r="M122" s="1" t="s">
        <v>78</v>
      </c>
      <c r="N122" s="1" t="s">
        <v>79</v>
      </c>
      <c r="O122" s="1" t="s">
        <v>74</v>
      </c>
      <c r="P122" s="1" t="s">
        <v>74</v>
      </c>
      <c r="Q122" s="1" t="s">
        <v>74</v>
      </c>
      <c r="R122" s="1" t="s">
        <v>74</v>
      </c>
      <c r="S122" s="1" t="s">
        <v>74</v>
      </c>
      <c r="T122" s="1" t="s">
        <v>2351</v>
      </c>
      <c r="U122" s="1" t="s">
        <v>2352</v>
      </c>
      <c r="V122" s="1" t="s">
        <v>2353</v>
      </c>
      <c r="W122" s="1" t="s">
        <v>2354</v>
      </c>
      <c r="X122" s="1" t="s">
        <v>74</v>
      </c>
      <c r="Y122" s="1" t="s">
        <v>2355</v>
      </c>
      <c r="Z122" s="1" t="s">
        <v>2356</v>
      </c>
      <c r="AA122" s="1" t="s">
        <v>2357</v>
      </c>
      <c r="AB122" s="1" t="s">
        <v>74</v>
      </c>
      <c r="AC122" s="1" t="s">
        <v>2358</v>
      </c>
      <c r="AD122" s="1" t="s">
        <v>2358</v>
      </c>
      <c r="AE122" s="1" t="s">
        <v>2359</v>
      </c>
      <c r="AF122" s="1" t="s">
        <v>74</v>
      </c>
      <c r="AG122" s="1">
        <v>38</v>
      </c>
      <c r="AH122" s="1">
        <v>35</v>
      </c>
      <c r="AI122" s="1">
        <v>36</v>
      </c>
      <c r="AJ122" s="1">
        <v>0</v>
      </c>
      <c r="AK122" s="1">
        <v>15</v>
      </c>
      <c r="AL122" s="1" t="s">
        <v>2360</v>
      </c>
      <c r="AM122" s="1" t="s">
        <v>2361</v>
      </c>
      <c r="AN122" s="1" t="s">
        <v>2362</v>
      </c>
      <c r="AO122" s="1" t="s">
        <v>2363</v>
      </c>
      <c r="AP122" s="1" t="s">
        <v>74</v>
      </c>
      <c r="AQ122" s="1" t="s">
        <v>74</v>
      </c>
      <c r="AR122" s="1" t="s">
        <v>2364</v>
      </c>
      <c r="AS122" s="1" t="s">
        <v>2365</v>
      </c>
      <c r="AT122" s="1" t="s">
        <v>74</v>
      </c>
      <c r="AU122" s="1">
        <v>2017</v>
      </c>
      <c r="AV122" s="1">
        <v>16</v>
      </c>
      <c r="AW122" s="1">
        <v>4</v>
      </c>
      <c r="AX122" s="1" t="s">
        <v>74</v>
      </c>
      <c r="AY122" s="1" t="s">
        <v>74</v>
      </c>
      <c r="AZ122" s="1" t="s">
        <v>74</v>
      </c>
      <c r="BA122" s="1" t="s">
        <v>74</v>
      </c>
      <c r="BB122" s="1">
        <v>1123</v>
      </c>
      <c r="BC122" s="1">
        <v>1134</v>
      </c>
      <c r="BD122" s="1" t="s">
        <v>74</v>
      </c>
      <c r="BE122" s="1" t="s">
        <v>74</v>
      </c>
      <c r="BF122" s="1" t="s">
        <v>74</v>
      </c>
      <c r="BG122" s="1" t="s">
        <v>74</v>
      </c>
      <c r="BH122" s="1" t="s">
        <v>74</v>
      </c>
      <c r="BI122" s="1">
        <v>12</v>
      </c>
      <c r="BJ122" s="1" t="s">
        <v>746</v>
      </c>
      <c r="BK122" s="1" t="s">
        <v>96</v>
      </c>
      <c r="BL122" s="1" t="s">
        <v>746</v>
      </c>
      <c r="BM122" s="1" t="s">
        <v>2366</v>
      </c>
      <c r="BN122" s="1" t="s">
        <v>74</v>
      </c>
      <c r="BO122" s="1" t="s">
        <v>74</v>
      </c>
      <c r="BP122" s="1" t="s">
        <v>74</v>
      </c>
      <c r="BQ122" s="1" t="s">
        <v>74</v>
      </c>
      <c r="BR122" s="1" t="s">
        <v>98</v>
      </c>
      <c r="BS122" s="1" t="s">
        <v>2367</v>
      </c>
      <c r="BT122" s="1" t="str">
        <f>HYPERLINK("https%3A%2F%2Fwww.webofscience.com%2Fwos%2Fwoscc%2Ffull-record%2FWOS:000412924000001","View Full Record in Web of Science")</f>
        <v>View Full Record in Web of Science</v>
      </c>
    </row>
    <row r="123" spans="1:72">
      <c r="A123" s="1" t="s">
        <v>72</v>
      </c>
      <c r="B123" s="1" t="s">
        <v>2368</v>
      </c>
      <c r="C123" s="1" t="s">
        <v>74</v>
      </c>
      <c r="D123" s="1" t="s">
        <v>74</v>
      </c>
      <c r="E123" s="1" t="s">
        <v>74</v>
      </c>
      <c r="F123" s="1" t="s">
        <v>2369</v>
      </c>
      <c r="G123" s="1" t="s">
        <v>74</v>
      </c>
      <c r="H123" s="1" t="s">
        <v>74</v>
      </c>
      <c r="I123" s="1" t="s">
        <v>2370</v>
      </c>
      <c r="J123" s="1" t="s">
        <v>2371</v>
      </c>
      <c r="K123" s="1" t="s">
        <v>74</v>
      </c>
      <c r="L123" s="1" t="s">
        <v>74</v>
      </c>
      <c r="M123" s="1" t="s">
        <v>78</v>
      </c>
      <c r="N123" s="1" t="s">
        <v>79</v>
      </c>
      <c r="O123" s="1" t="s">
        <v>74</v>
      </c>
      <c r="P123" s="1" t="s">
        <v>74</v>
      </c>
      <c r="Q123" s="1" t="s">
        <v>74</v>
      </c>
      <c r="R123" s="1" t="s">
        <v>74</v>
      </c>
      <c r="S123" s="1" t="s">
        <v>74</v>
      </c>
      <c r="T123" s="1" t="s">
        <v>2372</v>
      </c>
      <c r="U123" s="1" t="s">
        <v>2373</v>
      </c>
      <c r="V123" s="1" t="s">
        <v>2374</v>
      </c>
      <c r="W123" s="1" t="s">
        <v>2375</v>
      </c>
      <c r="X123" s="1" t="s">
        <v>2376</v>
      </c>
      <c r="Y123" s="1" t="s">
        <v>2377</v>
      </c>
      <c r="Z123" s="1" t="s">
        <v>2378</v>
      </c>
      <c r="AA123" s="1" t="s">
        <v>2379</v>
      </c>
      <c r="AB123" s="1" t="s">
        <v>74</v>
      </c>
      <c r="AC123" s="1" t="s">
        <v>2380</v>
      </c>
      <c r="AD123" s="1" t="s">
        <v>2381</v>
      </c>
      <c r="AE123" s="1" t="s">
        <v>2382</v>
      </c>
      <c r="AF123" s="1" t="s">
        <v>74</v>
      </c>
      <c r="AG123" s="1">
        <v>61</v>
      </c>
      <c r="AH123" s="1">
        <v>7</v>
      </c>
      <c r="AI123" s="1">
        <v>8</v>
      </c>
      <c r="AJ123" s="1">
        <v>2</v>
      </c>
      <c r="AK123" s="1">
        <v>63</v>
      </c>
      <c r="AL123" s="1" t="s">
        <v>2383</v>
      </c>
      <c r="AM123" s="1" t="s">
        <v>2384</v>
      </c>
      <c r="AN123" s="1" t="s">
        <v>2385</v>
      </c>
      <c r="AO123" s="1" t="s">
        <v>2386</v>
      </c>
      <c r="AP123" s="1" t="s">
        <v>2387</v>
      </c>
      <c r="AQ123" s="1" t="s">
        <v>74</v>
      </c>
      <c r="AR123" s="1" t="s">
        <v>2388</v>
      </c>
      <c r="AS123" s="1" t="s">
        <v>2389</v>
      </c>
      <c r="AT123" s="1" t="s">
        <v>765</v>
      </c>
      <c r="AU123" s="1">
        <v>2012</v>
      </c>
      <c r="AV123" s="1">
        <v>25</v>
      </c>
      <c r="AW123" s="1">
        <v>3</v>
      </c>
      <c r="AX123" s="1" t="s">
        <v>74</v>
      </c>
      <c r="AY123" s="1" t="s">
        <v>74</v>
      </c>
      <c r="AZ123" s="1" t="s">
        <v>74</v>
      </c>
      <c r="BA123" s="1" t="s">
        <v>74</v>
      </c>
      <c r="BB123" s="1">
        <v>259</v>
      </c>
      <c r="BC123" s="1">
        <v>267</v>
      </c>
      <c r="BD123" s="1" t="s">
        <v>74</v>
      </c>
      <c r="BE123" s="1" t="s">
        <v>2390</v>
      </c>
      <c r="BF123" s="1" t="str">
        <f>HYPERLINK("http://dx.doi.org/10.1051/alr/2012024","http://dx.doi.org/10.1051/alr/2012024")</f>
        <v>http://dx.doi.org/10.1051/alr/2012024</v>
      </c>
      <c r="BG123" s="1" t="s">
        <v>74</v>
      </c>
      <c r="BH123" s="1" t="s">
        <v>74</v>
      </c>
      <c r="BI123" s="1">
        <v>9</v>
      </c>
      <c r="BJ123" s="1" t="s">
        <v>2391</v>
      </c>
      <c r="BK123" s="1" t="s">
        <v>96</v>
      </c>
      <c r="BL123" s="1" t="s">
        <v>2391</v>
      </c>
      <c r="BM123" s="1" t="s">
        <v>2392</v>
      </c>
      <c r="BN123" s="1" t="s">
        <v>74</v>
      </c>
      <c r="BO123" s="1" t="s">
        <v>370</v>
      </c>
      <c r="BP123" s="1" t="s">
        <v>74</v>
      </c>
      <c r="BQ123" s="1" t="s">
        <v>74</v>
      </c>
      <c r="BR123" s="1" t="s">
        <v>98</v>
      </c>
      <c r="BS123" s="1" t="s">
        <v>2393</v>
      </c>
      <c r="BT123" s="1" t="str">
        <f>HYPERLINK("https%3A%2F%2Fwww.webofscience.com%2Fwos%2Fwoscc%2Ffull-record%2FWOS:000312631200006","View Full Record in Web of Science")</f>
        <v>View Full Record in Web of Science</v>
      </c>
    </row>
    <row r="124" spans="1:72">
      <c r="A124" s="1" t="s">
        <v>72</v>
      </c>
      <c r="B124" s="1" t="s">
        <v>2394</v>
      </c>
      <c r="C124" s="1" t="s">
        <v>74</v>
      </c>
      <c r="D124" s="1" t="s">
        <v>74</v>
      </c>
      <c r="E124" s="1" t="s">
        <v>74</v>
      </c>
      <c r="F124" s="1" t="s">
        <v>2395</v>
      </c>
      <c r="G124" s="1" t="s">
        <v>74</v>
      </c>
      <c r="H124" s="1" t="s">
        <v>74</v>
      </c>
      <c r="I124" s="1" t="s">
        <v>2396</v>
      </c>
      <c r="J124" s="1" t="s">
        <v>421</v>
      </c>
      <c r="K124" s="1" t="s">
        <v>74</v>
      </c>
      <c r="L124" s="1" t="s">
        <v>74</v>
      </c>
      <c r="M124" s="1" t="s">
        <v>78</v>
      </c>
      <c r="N124" s="1" t="s">
        <v>79</v>
      </c>
      <c r="O124" s="1" t="s">
        <v>74</v>
      </c>
      <c r="P124" s="1" t="s">
        <v>74</v>
      </c>
      <c r="Q124" s="1" t="s">
        <v>74</v>
      </c>
      <c r="R124" s="1" t="s">
        <v>74</v>
      </c>
      <c r="S124" s="1" t="s">
        <v>74</v>
      </c>
      <c r="T124" s="1" t="s">
        <v>2397</v>
      </c>
      <c r="U124" s="1" t="s">
        <v>2398</v>
      </c>
      <c r="V124" s="1" t="s">
        <v>2399</v>
      </c>
      <c r="W124" s="1" t="s">
        <v>2400</v>
      </c>
      <c r="X124" s="1" t="s">
        <v>2401</v>
      </c>
      <c r="Y124" s="1" t="s">
        <v>2402</v>
      </c>
      <c r="Z124" s="1" t="s">
        <v>74</v>
      </c>
      <c r="AA124" s="1" t="s">
        <v>74</v>
      </c>
      <c r="AB124" s="1" t="s">
        <v>74</v>
      </c>
      <c r="AC124" s="1" t="s">
        <v>74</v>
      </c>
      <c r="AD124" s="1" t="s">
        <v>74</v>
      </c>
      <c r="AE124" s="1" t="s">
        <v>74</v>
      </c>
      <c r="AF124" s="1" t="s">
        <v>74</v>
      </c>
      <c r="AG124" s="1">
        <v>39</v>
      </c>
      <c r="AH124" s="1">
        <v>30</v>
      </c>
      <c r="AI124" s="1">
        <v>38</v>
      </c>
      <c r="AJ124" s="1">
        <v>0</v>
      </c>
      <c r="AK124" s="1">
        <v>12</v>
      </c>
      <c r="AL124" s="1" t="s">
        <v>430</v>
      </c>
      <c r="AM124" s="1" t="s">
        <v>137</v>
      </c>
      <c r="AN124" s="1" t="s">
        <v>431</v>
      </c>
      <c r="AO124" s="1" t="s">
        <v>432</v>
      </c>
      <c r="AP124" s="1" t="s">
        <v>1394</v>
      </c>
      <c r="AQ124" s="1" t="s">
        <v>74</v>
      </c>
      <c r="AR124" s="1" t="s">
        <v>433</v>
      </c>
      <c r="AS124" s="1" t="s">
        <v>434</v>
      </c>
      <c r="AT124" s="1" t="s">
        <v>765</v>
      </c>
      <c r="AU124" s="1">
        <v>2006</v>
      </c>
      <c r="AV124" s="1">
        <v>142</v>
      </c>
      <c r="AW124" s="1">
        <v>1</v>
      </c>
      <c r="AX124" s="1" t="s">
        <v>74</v>
      </c>
      <c r="AY124" s="1" t="s">
        <v>74</v>
      </c>
      <c r="AZ124" s="1" t="s">
        <v>74</v>
      </c>
      <c r="BA124" s="1" t="s">
        <v>74</v>
      </c>
      <c r="BB124" s="1">
        <v>73</v>
      </c>
      <c r="BC124" s="1">
        <v>82</v>
      </c>
      <c r="BD124" s="1" t="s">
        <v>74</v>
      </c>
      <c r="BE124" s="1" t="s">
        <v>2403</v>
      </c>
      <c r="BF124" s="1" t="str">
        <f>HYPERLINK("http://dx.doi.org/10.1016/j.envpol.2005.09.016","http://dx.doi.org/10.1016/j.envpol.2005.09.016")</f>
        <v>http://dx.doi.org/10.1016/j.envpol.2005.09.016</v>
      </c>
      <c r="BG124" s="1" t="s">
        <v>74</v>
      </c>
      <c r="BH124" s="1" t="s">
        <v>74</v>
      </c>
      <c r="BI124" s="1">
        <v>10</v>
      </c>
      <c r="BJ124" s="1" t="s">
        <v>144</v>
      </c>
      <c r="BK124" s="1" t="s">
        <v>96</v>
      </c>
      <c r="BL124" s="1" t="s">
        <v>145</v>
      </c>
      <c r="BM124" s="1" t="s">
        <v>2404</v>
      </c>
      <c r="BN124" s="1">
        <v>16343717</v>
      </c>
      <c r="BO124" s="1" t="s">
        <v>1752</v>
      </c>
      <c r="BP124" s="1" t="s">
        <v>74</v>
      </c>
      <c r="BQ124" s="1" t="s">
        <v>74</v>
      </c>
      <c r="BR124" s="1" t="s">
        <v>98</v>
      </c>
      <c r="BS124" s="1" t="s">
        <v>2405</v>
      </c>
      <c r="BT124" s="1" t="str">
        <f>HYPERLINK("https%3A%2F%2Fwww.webofscience.com%2Fwos%2Fwoscc%2Ffull-record%2FWOS:000237644600009","View Full Record in Web of Science")</f>
        <v>View Full Record in Web of Science</v>
      </c>
    </row>
    <row r="125" spans="1:72">
      <c r="A125" s="1" t="s">
        <v>72</v>
      </c>
      <c r="B125" s="1" t="s">
        <v>2406</v>
      </c>
      <c r="C125" s="1" t="s">
        <v>74</v>
      </c>
      <c r="D125" s="1" t="s">
        <v>74</v>
      </c>
      <c r="E125" s="1" t="s">
        <v>74</v>
      </c>
      <c r="F125" s="1" t="s">
        <v>2406</v>
      </c>
      <c r="G125" s="1" t="s">
        <v>74</v>
      </c>
      <c r="H125" s="1" t="s">
        <v>74</v>
      </c>
      <c r="I125" s="1" t="s">
        <v>2407</v>
      </c>
      <c r="J125" s="1" t="s">
        <v>2408</v>
      </c>
      <c r="K125" s="1" t="s">
        <v>74</v>
      </c>
      <c r="L125" s="1" t="s">
        <v>74</v>
      </c>
      <c r="M125" s="1" t="s">
        <v>78</v>
      </c>
      <c r="N125" s="1" t="s">
        <v>151</v>
      </c>
      <c r="O125" s="1" t="s">
        <v>2409</v>
      </c>
      <c r="P125" s="1" t="s">
        <v>2410</v>
      </c>
      <c r="Q125" s="1" t="s">
        <v>2411</v>
      </c>
      <c r="R125" s="1" t="s">
        <v>74</v>
      </c>
      <c r="S125" s="1" t="s">
        <v>2412</v>
      </c>
      <c r="T125" s="1" t="s">
        <v>2413</v>
      </c>
      <c r="U125" s="1" t="s">
        <v>2414</v>
      </c>
      <c r="V125" s="1" t="s">
        <v>2415</v>
      </c>
      <c r="W125" s="1" t="s">
        <v>2416</v>
      </c>
      <c r="X125" s="1" t="s">
        <v>2417</v>
      </c>
      <c r="Y125" s="1" t="s">
        <v>2418</v>
      </c>
      <c r="Z125" s="1" t="s">
        <v>2419</v>
      </c>
      <c r="AA125" s="1" t="s">
        <v>320</v>
      </c>
      <c r="AB125" s="1" t="s">
        <v>2420</v>
      </c>
      <c r="AC125" s="1" t="s">
        <v>74</v>
      </c>
      <c r="AD125" s="1" t="s">
        <v>74</v>
      </c>
      <c r="AE125" s="1" t="s">
        <v>74</v>
      </c>
      <c r="AF125" s="1" t="s">
        <v>74</v>
      </c>
      <c r="AG125" s="1">
        <v>47</v>
      </c>
      <c r="AH125" s="1">
        <v>12</v>
      </c>
      <c r="AI125" s="1">
        <v>14</v>
      </c>
      <c r="AJ125" s="1">
        <v>1</v>
      </c>
      <c r="AK125" s="1">
        <v>18</v>
      </c>
      <c r="AL125" s="1" t="s">
        <v>2421</v>
      </c>
      <c r="AM125" s="1" t="s">
        <v>2422</v>
      </c>
      <c r="AN125" s="1" t="s">
        <v>2423</v>
      </c>
      <c r="AO125" s="1" t="s">
        <v>2424</v>
      </c>
      <c r="AP125" s="1" t="s">
        <v>2425</v>
      </c>
      <c r="AQ125" s="1" t="s">
        <v>74</v>
      </c>
      <c r="AR125" s="1" t="s">
        <v>2426</v>
      </c>
      <c r="AS125" s="1" t="s">
        <v>2427</v>
      </c>
      <c r="AT125" s="1" t="s">
        <v>93</v>
      </c>
      <c r="AU125" s="1">
        <v>2006</v>
      </c>
      <c r="AV125" s="1">
        <v>25</v>
      </c>
      <c r="AW125" s="1">
        <v>1</v>
      </c>
      <c r="AX125" s="1" t="s">
        <v>74</v>
      </c>
      <c r="AY125" s="1" t="s">
        <v>74</v>
      </c>
      <c r="AZ125" s="1" t="s">
        <v>74</v>
      </c>
      <c r="BA125" s="1" t="s">
        <v>74</v>
      </c>
      <c r="BB125" s="1">
        <v>159</v>
      </c>
      <c r="BC125" s="1">
        <v>165</v>
      </c>
      <c r="BD125" s="1" t="s">
        <v>74</v>
      </c>
      <c r="BE125" s="1" t="s">
        <v>2428</v>
      </c>
      <c r="BF125" s="1" t="str">
        <f>HYPERLINK("http://dx.doi.org/10.2983/0730-8000(2006)25[159:EOTPLZ]2.0.CO;2","http://dx.doi.org/10.2983/0730-8000(2006)25[159:EOTPLZ]2.0.CO;2")</f>
        <v>http://dx.doi.org/10.2983/0730-8000(2006)25[159:EOTPLZ]2.0.CO;2</v>
      </c>
      <c r="BG125" s="1" t="s">
        <v>74</v>
      </c>
      <c r="BH125" s="1" t="s">
        <v>74</v>
      </c>
      <c r="BI125" s="1">
        <v>7</v>
      </c>
      <c r="BJ125" s="1" t="s">
        <v>2391</v>
      </c>
      <c r="BK125" s="1" t="s">
        <v>172</v>
      </c>
      <c r="BL125" s="1" t="s">
        <v>2391</v>
      </c>
      <c r="BM125" s="1" t="s">
        <v>2429</v>
      </c>
      <c r="BN125" s="1" t="s">
        <v>74</v>
      </c>
      <c r="BO125" s="1" t="s">
        <v>74</v>
      </c>
      <c r="BP125" s="1" t="s">
        <v>74</v>
      </c>
      <c r="BQ125" s="1" t="s">
        <v>74</v>
      </c>
      <c r="BR125" s="1" t="s">
        <v>98</v>
      </c>
      <c r="BS125" s="1" t="s">
        <v>2430</v>
      </c>
      <c r="BT125" s="1" t="str">
        <f>HYPERLINK("https%3A%2F%2Fwww.webofscience.com%2Fwos%2Fwoscc%2Ffull-record%2FWOS:000237149500020","View Full Record in Web of Science")</f>
        <v>View Full Record in Web of Science</v>
      </c>
    </row>
    <row r="126" spans="1:72">
      <c r="A126" s="1" t="s">
        <v>72</v>
      </c>
      <c r="B126" s="1" t="s">
        <v>2431</v>
      </c>
      <c r="C126" s="1" t="s">
        <v>74</v>
      </c>
      <c r="D126" s="1" t="s">
        <v>74</v>
      </c>
      <c r="E126" s="1" t="s">
        <v>74</v>
      </c>
      <c r="F126" s="1" t="s">
        <v>2431</v>
      </c>
      <c r="G126" s="1" t="s">
        <v>74</v>
      </c>
      <c r="H126" s="1" t="s">
        <v>74</v>
      </c>
      <c r="I126" s="1" t="s">
        <v>2432</v>
      </c>
      <c r="J126" s="1" t="s">
        <v>752</v>
      </c>
      <c r="K126" s="1" t="s">
        <v>74</v>
      </c>
      <c r="L126" s="1" t="s">
        <v>74</v>
      </c>
      <c r="M126" s="1" t="s">
        <v>78</v>
      </c>
      <c r="N126" s="1" t="s">
        <v>151</v>
      </c>
      <c r="O126" s="1" t="s">
        <v>2433</v>
      </c>
      <c r="P126" s="1" t="s">
        <v>2434</v>
      </c>
      <c r="Q126" s="1" t="s">
        <v>2435</v>
      </c>
      <c r="R126" s="1" t="s">
        <v>74</v>
      </c>
      <c r="S126" s="1" t="s">
        <v>74</v>
      </c>
      <c r="T126" s="1" t="s">
        <v>2436</v>
      </c>
      <c r="U126" s="1" t="s">
        <v>2437</v>
      </c>
      <c r="V126" s="1" t="s">
        <v>2438</v>
      </c>
      <c r="W126" s="1" t="s">
        <v>2439</v>
      </c>
      <c r="X126" s="1" t="s">
        <v>2440</v>
      </c>
      <c r="Y126" s="1" t="s">
        <v>2441</v>
      </c>
      <c r="Z126" s="1" t="s">
        <v>2442</v>
      </c>
      <c r="AA126" s="1" t="s">
        <v>2443</v>
      </c>
      <c r="AB126" s="1" t="s">
        <v>2444</v>
      </c>
      <c r="AC126" s="1" t="s">
        <v>74</v>
      </c>
      <c r="AD126" s="1" t="s">
        <v>74</v>
      </c>
      <c r="AE126" s="1" t="s">
        <v>74</v>
      </c>
      <c r="AF126" s="1" t="s">
        <v>74</v>
      </c>
      <c r="AG126" s="1">
        <v>12</v>
      </c>
      <c r="AH126" s="1">
        <v>174</v>
      </c>
      <c r="AI126" s="1">
        <v>202</v>
      </c>
      <c r="AJ126" s="1">
        <v>1</v>
      </c>
      <c r="AK126" s="1">
        <v>44</v>
      </c>
      <c r="AL126" s="1" t="s">
        <v>430</v>
      </c>
      <c r="AM126" s="1" t="s">
        <v>137</v>
      </c>
      <c r="AN126" s="1" t="s">
        <v>431</v>
      </c>
      <c r="AO126" s="1" t="s">
        <v>761</v>
      </c>
      <c r="AP126" s="1" t="s">
        <v>762</v>
      </c>
      <c r="AQ126" s="1" t="s">
        <v>74</v>
      </c>
      <c r="AR126" s="1" t="s">
        <v>763</v>
      </c>
      <c r="AS126" s="1" t="s">
        <v>764</v>
      </c>
      <c r="AT126" s="1" t="s">
        <v>2445</v>
      </c>
      <c r="AU126" s="1">
        <v>2004</v>
      </c>
      <c r="AV126" s="1">
        <v>58</v>
      </c>
      <c r="AW126" s="1" t="s">
        <v>2446</v>
      </c>
      <c r="AX126" s="1" t="s">
        <v>74</v>
      </c>
      <c r="AY126" s="1" t="s">
        <v>74</v>
      </c>
      <c r="AZ126" s="1" t="s">
        <v>74</v>
      </c>
      <c r="BA126" s="1" t="s">
        <v>74</v>
      </c>
      <c r="BB126" s="1">
        <v>377</v>
      </c>
      <c r="BC126" s="1">
        <v>381</v>
      </c>
      <c r="BD126" s="1" t="s">
        <v>74</v>
      </c>
      <c r="BE126" s="1" t="s">
        <v>2447</v>
      </c>
      <c r="BF126" s="1" t="str">
        <f>HYPERLINK("http://dx.doi.org/10.1016/j.marenvres.2004.03.083","http://dx.doi.org/10.1016/j.marenvres.2004.03.083")</f>
        <v>http://dx.doi.org/10.1016/j.marenvres.2004.03.083</v>
      </c>
      <c r="BG126" s="1" t="s">
        <v>74</v>
      </c>
      <c r="BH126" s="1" t="s">
        <v>74</v>
      </c>
      <c r="BI126" s="1">
        <v>5</v>
      </c>
      <c r="BJ126" s="1" t="s">
        <v>768</v>
      </c>
      <c r="BK126" s="1" t="s">
        <v>172</v>
      </c>
      <c r="BL126" s="1" t="s">
        <v>769</v>
      </c>
      <c r="BM126" s="1" t="s">
        <v>2448</v>
      </c>
      <c r="BN126" s="1">
        <v>15178056</v>
      </c>
      <c r="BO126" s="1" t="s">
        <v>74</v>
      </c>
      <c r="BP126" s="1" t="s">
        <v>74</v>
      </c>
      <c r="BQ126" s="1" t="s">
        <v>74</v>
      </c>
      <c r="BR126" s="1" t="s">
        <v>98</v>
      </c>
      <c r="BS126" s="1" t="s">
        <v>2449</v>
      </c>
      <c r="BT126" s="1" t="str">
        <f>HYPERLINK("https%3A%2F%2Fwww.webofscience.com%2Fwos%2Fwoscc%2Ffull-record%2FWOS:000222199100040","View Full Record in Web of Science")</f>
        <v>View Full Record in Web of Science</v>
      </c>
    </row>
    <row r="127" spans="1:72">
      <c r="A127" s="1" t="s">
        <v>72</v>
      </c>
      <c r="B127" s="1" t="s">
        <v>2450</v>
      </c>
      <c r="C127" s="1" t="s">
        <v>74</v>
      </c>
      <c r="D127" s="1" t="s">
        <v>74</v>
      </c>
      <c r="E127" s="1" t="s">
        <v>74</v>
      </c>
      <c r="F127" s="1" t="s">
        <v>2451</v>
      </c>
      <c r="G127" s="1" t="s">
        <v>74</v>
      </c>
      <c r="H127" s="1" t="s">
        <v>74</v>
      </c>
      <c r="I127" s="1" t="s">
        <v>2452</v>
      </c>
      <c r="J127" s="1" t="s">
        <v>1811</v>
      </c>
      <c r="K127" s="1" t="s">
        <v>74</v>
      </c>
      <c r="L127" s="1" t="s">
        <v>74</v>
      </c>
      <c r="M127" s="1" t="s">
        <v>78</v>
      </c>
      <c r="N127" s="1" t="s">
        <v>79</v>
      </c>
      <c r="O127" s="1" t="s">
        <v>74</v>
      </c>
      <c r="P127" s="1" t="s">
        <v>74</v>
      </c>
      <c r="Q127" s="1" t="s">
        <v>74</v>
      </c>
      <c r="R127" s="1" t="s">
        <v>74</v>
      </c>
      <c r="S127" s="1" t="s">
        <v>74</v>
      </c>
      <c r="T127" s="1" t="s">
        <v>2453</v>
      </c>
      <c r="U127" s="1" t="s">
        <v>2454</v>
      </c>
      <c r="V127" s="1" t="s">
        <v>2455</v>
      </c>
      <c r="W127" s="1" t="s">
        <v>2456</v>
      </c>
      <c r="X127" s="1" t="s">
        <v>2457</v>
      </c>
      <c r="Y127" s="1" t="s">
        <v>2458</v>
      </c>
      <c r="Z127" s="1" t="s">
        <v>2459</v>
      </c>
      <c r="AA127" s="1" t="s">
        <v>2460</v>
      </c>
      <c r="AB127" s="1" t="s">
        <v>2461</v>
      </c>
      <c r="AC127" s="1" t="s">
        <v>74</v>
      </c>
      <c r="AD127" s="1" t="s">
        <v>74</v>
      </c>
      <c r="AE127" s="1" t="s">
        <v>74</v>
      </c>
      <c r="AF127" s="1" t="s">
        <v>74</v>
      </c>
      <c r="AG127" s="1">
        <v>26</v>
      </c>
      <c r="AH127" s="1">
        <v>8</v>
      </c>
      <c r="AI127" s="1">
        <v>8</v>
      </c>
      <c r="AJ127" s="1">
        <v>0</v>
      </c>
      <c r="AK127" s="1">
        <v>7</v>
      </c>
      <c r="AL127" s="1" t="s">
        <v>430</v>
      </c>
      <c r="AM127" s="1" t="s">
        <v>137</v>
      </c>
      <c r="AN127" s="1" t="s">
        <v>431</v>
      </c>
      <c r="AO127" s="1" t="s">
        <v>1820</v>
      </c>
      <c r="AP127" s="1" t="s">
        <v>74</v>
      </c>
      <c r="AQ127" s="1" t="s">
        <v>74</v>
      </c>
      <c r="AR127" s="1" t="s">
        <v>1821</v>
      </c>
      <c r="AS127" s="1" t="s">
        <v>1822</v>
      </c>
      <c r="AT127" s="1" t="s">
        <v>74</v>
      </c>
      <c r="AU127" s="1">
        <v>2007</v>
      </c>
      <c r="AV127" s="1">
        <v>105</v>
      </c>
      <c r="AW127" s="1">
        <v>2</v>
      </c>
      <c r="AX127" s="1" t="s">
        <v>74</v>
      </c>
      <c r="AY127" s="1" t="s">
        <v>74</v>
      </c>
      <c r="AZ127" s="1" t="s">
        <v>74</v>
      </c>
      <c r="BA127" s="1" t="s">
        <v>74</v>
      </c>
      <c r="BB127" s="1">
        <v>667</v>
      </c>
      <c r="BC127" s="1">
        <v>674</v>
      </c>
      <c r="BD127" s="1" t="s">
        <v>74</v>
      </c>
      <c r="BE127" s="1" t="s">
        <v>2462</v>
      </c>
      <c r="BF127" s="1" t="str">
        <f>HYPERLINK("http://dx.doi.org/10.1016/j.foodchem.2006.12.055","http://dx.doi.org/10.1016/j.foodchem.2006.12.055")</f>
        <v>http://dx.doi.org/10.1016/j.foodchem.2006.12.055</v>
      </c>
      <c r="BG127" s="1" t="s">
        <v>74</v>
      </c>
      <c r="BH127" s="1" t="s">
        <v>74</v>
      </c>
      <c r="BI127" s="1">
        <v>8</v>
      </c>
      <c r="BJ127" s="1" t="s">
        <v>1825</v>
      </c>
      <c r="BK127" s="1" t="s">
        <v>96</v>
      </c>
      <c r="BL127" s="1" t="s">
        <v>1826</v>
      </c>
      <c r="BM127" s="1" t="s">
        <v>2463</v>
      </c>
      <c r="BN127" s="1" t="s">
        <v>74</v>
      </c>
      <c r="BO127" s="1" t="s">
        <v>74</v>
      </c>
      <c r="BP127" s="1" t="s">
        <v>74</v>
      </c>
      <c r="BQ127" s="1" t="s">
        <v>74</v>
      </c>
      <c r="BR127" s="1" t="s">
        <v>98</v>
      </c>
      <c r="BS127" s="1" t="s">
        <v>2464</v>
      </c>
      <c r="BT127" s="1" t="str">
        <f>HYPERLINK("https%3A%2F%2Fwww.webofscience.com%2Fwos%2Fwoscc%2Ffull-record%2FWOS:000249001700031","View Full Record in Web of Science")</f>
        <v>View Full Record in Web of Science</v>
      </c>
    </row>
    <row r="128" spans="1:72">
      <c r="A128" s="1" t="s">
        <v>72</v>
      </c>
      <c r="B128" s="1" t="s">
        <v>2465</v>
      </c>
      <c r="C128" s="1" t="s">
        <v>74</v>
      </c>
      <c r="D128" s="1" t="s">
        <v>74</v>
      </c>
      <c r="E128" s="1" t="s">
        <v>74</v>
      </c>
      <c r="F128" s="1" t="s">
        <v>2466</v>
      </c>
      <c r="G128" s="1" t="s">
        <v>74</v>
      </c>
      <c r="H128" s="1" t="s">
        <v>74</v>
      </c>
      <c r="I128" s="1" t="s">
        <v>2467</v>
      </c>
      <c r="J128" s="1" t="s">
        <v>103</v>
      </c>
      <c r="K128" s="1" t="s">
        <v>74</v>
      </c>
      <c r="L128" s="1" t="s">
        <v>74</v>
      </c>
      <c r="M128" s="1" t="s">
        <v>78</v>
      </c>
      <c r="N128" s="1" t="s">
        <v>79</v>
      </c>
      <c r="O128" s="1" t="s">
        <v>74</v>
      </c>
      <c r="P128" s="1" t="s">
        <v>74</v>
      </c>
      <c r="Q128" s="1" t="s">
        <v>74</v>
      </c>
      <c r="R128" s="1" t="s">
        <v>74</v>
      </c>
      <c r="S128" s="1" t="s">
        <v>74</v>
      </c>
      <c r="T128" s="1" t="s">
        <v>2468</v>
      </c>
      <c r="U128" s="1" t="s">
        <v>2469</v>
      </c>
      <c r="V128" s="1" t="s">
        <v>2470</v>
      </c>
      <c r="W128" s="1" t="s">
        <v>2471</v>
      </c>
      <c r="X128" s="1" t="s">
        <v>2472</v>
      </c>
      <c r="Y128" s="1" t="s">
        <v>2473</v>
      </c>
      <c r="Z128" s="1" t="s">
        <v>2474</v>
      </c>
      <c r="AA128" s="1" t="s">
        <v>2475</v>
      </c>
      <c r="AB128" s="1" t="s">
        <v>2476</v>
      </c>
      <c r="AC128" s="1" t="s">
        <v>2477</v>
      </c>
      <c r="AD128" s="1" t="s">
        <v>2478</v>
      </c>
      <c r="AE128" s="1" t="s">
        <v>2479</v>
      </c>
      <c r="AF128" s="1" t="s">
        <v>74</v>
      </c>
      <c r="AG128" s="1">
        <v>16</v>
      </c>
      <c r="AH128" s="1">
        <v>18</v>
      </c>
      <c r="AI128" s="1">
        <v>20</v>
      </c>
      <c r="AJ128" s="1">
        <v>0</v>
      </c>
      <c r="AK128" s="1">
        <v>9</v>
      </c>
      <c r="AL128" s="1" t="s">
        <v>112</v>
      </c>
      <c r="AM128" s="1" t="s">
        <v>113</v>
      </c>
      <c r="AN128" s="1" t="s">
        <v>114</v>
      </c>
      <c r="AO128" s="1" t="s">
        <v>115</v>
      </c>
      <c r="AP128" s="1" t="s">
        <v>116</v>
      </c>
      <c r="AQ128" s="1" t="s">
        <v>74</v>
      </c>
      <c r="AR128" s="1" t="s">
        <v>117</v>
      </c>
      <c r="AS128" s="1" t="s">
        <v>118</v>
      </c>
      <c r="AT128" s="1" t="s">
        <v>267</v>
      </c>
      <c r="AU128" s="1">
        <v>2009</v>
      </c>
      <c r="AV128" s="1">
        <v>83</v>
      </c>
      <c r="AW128" s="1">
        <v>4</v>
      </c>
      <c r="AX128" s="1" t="s">
        <v>74</v>
      </c>
      <c r="AY128" s="1" t="s">
        <v>74</v>
      </c>
      <c r="AZ128" s="1" t="s">
        <v>74</v>
      </c>
      <c r="BA128" s="1" t="s">
        <v>74</v>
      </c>
      <c r="BB128" s="1">
        <v>595</v>
      </c>
      <c r="BC128" s="1">
        <v>599</v>
      </c>
      <c r="BD128" s="1" t="s">
        <v>74</v>
      </c>
      <c r="BE128" s="1" t="s">
        <v>2480</v>
      </c>
      <c r="BF128" s="1" t="str">
        <f>HYPERLINK("http://dx.doi.org/10.1007/s00128-009-9828-z","http://dx.doi.org/10.1007/s00128-009-9828-z")</f>
        <v>http://dx.doi.org/10.1007/s00128-009-9828-z</v>
      </c>
      <c r="BG128" s="1" t="s">
        <v>74</v>
      </c>
      <c r="BH128" s="1" t="s">
        <v>74</v>
      </c>
      <c r="BI128" s="1">
        <v>5</v>
      </c>
      <c r="BJ128" s="1" t="s">
        <v>121</v>
      </c>
      <c r="BK128" s="1" t="s">
        <v>96</v>
      </c>
      <c r="BL128" s="1" t="s">
        <v>122</v>
      </c>
      <c r="BM128" s="1" t="s">
        <v>2481</v>
      </c>
      <c r="BN128" s="1">
        <v>19629367</v>
      </c>
      <c r="BO128" s="1" t="s">
        <v>74</v>
      </c>
      <c r="BP128" s="1" t="s">
        <v>74</v>
      </c>
      <c r="BQ128" s="1" t="s">
        <v>74</v>
      </c>
      <c r="BR128" s="1" t="s">
        <v>98</v>
      </c>
      <c r="BS128" s="1" t="s">
        <v>2482</v>
      </c>
      <c r="BT128" s="1" t="str">
        <f>HYPERLINK("https%3A%2F%2Fwww.webofscience.com%2Fwos%2Fwoscc%2Ffull-record%2FWOS:000269926000025","View Full Record in Web of Science")</f>
        <v>View Full Record in Web of Science</v>
      </c>
    </row>
    <row r="129" spans="1:72">
      <c r="A129" s="1" t="s">
        <v>72</v>
      </c>
      <c r="B129" s="1" t="s">
        <v>2483</v>
      </c>
      <c r="C129" s="1" t="s">
        <v>74</v>
      </c>
      <c r="D129" s="1" t="s">
        <v>74</v>
      </c>
      <c r="E129" s="1" t="s">
        <v>74</v>
      </c>
      <c r="F129" s="1" t="s">
        <v>2483</v>
      </c>
      <c r="G129" s="1" t="s">
        <v>74</v>
      </c>
      <c r="H129" s="1" t="s">
        <v>74</v>
      </c>
      <c r="I129" s="1" t="s">
        <v>2484</v>
      </c>
      <c r="J129" s="1" t="s">
        <v>2485</v>
      </c>
      <c r="K129" s="1" t="s">
        <v>74</v>
      </c>
      <c r="L129" s="1" t="s">
        <v>74</v>
      </c>
      <c r="M129" s="1" t="s">
        <v>78</v>
      </c>
      <c r="N129" s="1" t="s">
        <v>79</v>
      </c>
      <c r="O129" s="1" t="s">
        <v>74</v>
      </c>
      <c r="P129" s="1" t="s">
        <v>74</v>
      </c>
      <c r="Q129" s="1" t="s">
        <v>74</v>
      </c>
      <c r="R129" s="1" t="s">
        <v>74</v>
      </c>
      <c r="S129" s="1" t="s">
        <v>74</v>
      </c>
      <c r="T129" s="1" t="s">
        <v>2486</v>
      </c>
      <c r="U129" s="1" t="s">
        <v>74</v>
      </c>
      <c r="V129" s="1" t="s">
        <v>2487</v>
      </c>
      <c r="W129" s="1" t="s">
        <v>74</v>
      </c>
      <c r="X129" s="1" t="s">
        <v>74</v>
      </c>
      <c r="Y129" s="1" t="s">
        <v>2488</v>
      </c>
      <c r="Z129" s="1" t="s">
        <v>74</v>
      </c>
      <c r="AA129" s="1" t="s">
        <v>74</v>
      </c>
      <c r="AB129" s="1" t="s">
        <v>74</v>
      </c>
      <c r="AC129" s="1" t="s">
        <v>74</v>
      </c>
      <c r="AD129" s="1" t="s">
        <v>74</v>
      </c>
      <c r="AE129" s="1" t="s">
        <v>74</v>
      </c>
      <c r="AF129" s="1" t="s">
        <v>74</v>
      </c>
      <c r="AG129" s="1">
        <v>0</v>
      </c>
      <c r="AH129" s="1">
        <v>18</v>
      </c>
      <c r="AI129" s="1">
        <v>19</v>
      </c>
      <c r="AJ129" s="1">
        <v>0</v>
      </c>
      <c r="AK129" s="1">
        <v>6</v>
      </c>
      <c r="AL129" s="1" t="s">
        <v>2074</v>
      </c>
      <c r="AM129" s="1" t="s">
        <v>286</v>
      </c>
      <c r="AN129" s="1" t="s">
        <v>2489</v>
      </c>
      <c r="AO129" s="1" t="s">
        <v>2490</v>
      </c>
      <c r="AP129" s="1" t="s">
        <v>74</v>
      </c>
      <c r="AQ129" s="1" t="s">
        <v>74</v>
      </c>
      <c r="AR129" s="1" t="s">
        <v>2491</v>
      </c>
      <c r="AS129" s="1" t="s">
        <v>2492</v>
      </c>
      <c r="AT129" s="1" t="s">
        <v>2493</v>
      </c>
      <c r="AU129" s="1">
        <v>1991</v>
      </c>
      <c r="AV129" s="1">
        <v>8</v>
      </c>
      <c r="AW129" s="1">
        <v>3</v>
      </c>
      <c r="AX129" s="1" t="s">
        <v>74</v>
      </c>
      <c r="AY129" s="1" t="s">
        <v>74</v>
      </c>
      <c r="AZ129" s="1" t="s">
        <v>74</v>
      </c>
      <c r="BA129" s="1" t="s">
        <v>74</v>
      </c>
      <c r="BB129" s="1">
        <v>333</v>
      </c>
      <c r="BC129" s="1">
        <v>342</v>
      </c>
      <c r="BD129" s="1" t="s">
        <v>74</v>
      </c>
      <c r="BE129" s="1" t="s">
        <v>2494</v>
      </c>
      <c r="BF129" s="1" t="str">
        <f>HYPERLINK("http://dx.doi.org/10.1080/02652039109373982","http://dx.doi.org/10.1080/02652039109373982")</f>
        <v>http://dx.doi.org/10.1080/02652039109373982</v>
      </c>
      <c r="BG129" s="1" t="s">
        <v>74</v>
      </c>
      <c r="BH129" s="1" t="s">
        <v>74</v>
      </c>
      <c r="BI129" s="1">
        <v>10</v>
      </c>
      <c r="BJ129" s="1" t="s">
        <v>2495</v>
      </c>
      <c r="BK129" s="1" t="s">
        <v>96</v>
      </c>
      <c r="BL129" s="1" t="s">
        <v>2496</v>
      </c>
      <c r="BM129" s="1" t="s">
        <v>2497</v>
      </c>
      <c r="BN129" s="1">
        <v>1778269</v>
      </c>
      <c r="BO129" s="1" t="s">
        <v>74</v>
      </c>
      <c r="BP129" s="1" t="s">
        <v>74</v>
      </c>
      <c r="BQ129" s="1" t="s">
        <v>74</v>
      </c>
      <c r="BR129" s="1" t="s">
        <v>98</v>
      </c>
      <c r="BS129" s="1" t="s">
        <v>2498</v>
      </c>
      <c r="BT129" s="1" t="str">
        <f>HYPERLINK("https%3A%2F%2Fwww.webofscience.com%2Fwos%2Fwoscc%2Ffull-record%2FWOS:A1991GC21600010","View Full Record in Web of Science")</f>
        <v>View Full Record in Web of Science</v>
      </c>
    </row>
    <row r="130" spans="1:72">
      <c r="A130" s="1" t="s">
        <v>72</v>
      </c>
      <c r="B130" s="1" t="s">
        <v>2499</v>
      </c>
      <c r="C130" s="1" t="s">
        <v>74</v>
      </c>
      <c r="D130" s="1" t="s">
        <v>74</v>
      </c>
      <c r="E130" s="1" t="s">
        <v>74</v>
      </c>
      <c r="F130" s="1" t="s">
        <v>2499</v>
      </c>
      <c r="G130" s="1" t="s">
        <v>74</v>
      </c>
      <c r="H130" s="1" t="s">
        <v>74</v>
      </c>
      <c r="I130" s="1" t="s">
        <v>2500</v>
      </c>
      <c r="J130" s="1" t="s">
        <v>554</v>
      </c>
      <c r="K130" s="1" t="s">
        <v>74</v>
      </c>
      <c r="L130" s="1" t="s">
        <v>74</v>
      </c>
      <c r="M130" s="1" t="s">
        <v>78</v>
      </c>
      <c r="N130" s="1" t="s">
        <v>79</v>
      </c>
      <c r="O130" s="1" t="s">
        <v>74</v>
      </c>
      <c r="P130" s="1" t="s">
        <v>74</v>
      </c>
      <c r="Q130" s="1" t="s">
        <v>74</v>
      </c>
      <c r="R130" s="1" t="s">
        <v>74</v>
      </c>
      <c r="S130" s="1" t="s">
        <v>74</v>
      </c>
      <c r="T130" s="1" t="s">
        <v>2501</v>
      </c>
      <c r="U130" s="1" t="s">
        <v>2502</v>
      </c>
      <c r="V130" s="1" t="s">
        <v>2503</v>
      </c>
      <c r="W130" s="1" t="s">
        <v>2504</v>
      </c>
      <c r="X130" s="1" t="s">
        <v>2505</v>
      </c>
      <c r="Y130" s="1" t="s">
        <v>2506</v>
      </c>
      <c r="Z130" s="1" t="s">
        <v>74</v>
      </c>
      <c r="AA130" s="1" t="s">
        <v>74</v>
      </c>
      <c r="AB130" s="1" t="s">
        <v>2507</v>
      </c>
      <c r="AC130" s="1" t="s">
        <v>74</v>
      </c>
      <c r="AD130" s="1" t="s">
        <v>74</v>
      </c>
      <c r="AE130" s="1" t="s">
        <v>74</v>
      </c>
      <c r="AF130" s="1" t="s">
        <v>74</v>
      </c>
      <c r="AG130" s="1">
        <v>44</v>
      </c>
      <c r="AH130" s="1">
        <v>66</v>
      </c>
      <c r="AI130" s="1">
        <v>69</v>
      </c>
      <c r="AJ130" s="1">
        <v>0</v>
      </c>
      <c r="AK130" s="1">
        <v>5</v>
      </c>
      <c r="AL130" s="1" t="s">
        <v>564</v>
      </c>
      <c r="AM130" s="1" t="s">
        <v>113</v>
      </c>
      <c r="AN130" s="1" t="s">
        <v>565</v>
      </c>
      <c r="AO130" s="1" t="s">
        <v>566</v>
      </c>
      <c r="AP130" s="1" t="s">
        <v>567</v>
      </c>
      <c r="AQ130" s="1" t="s">
        <v>74</v>
      </c>
      <c r="AR130" s="1" t="s">
        <v>568</v>
      </c>
      <c r="AS130" s="1" t="s">
        <v>569</v>
      </c>
      <c r="AT130" s="1" t="s">
        <v>142</v>
      </c>
      <c r="AU130" s="1">
        <v>1999</v>
      </c>
      <c r="AV130" s="1">
        <v>123</v>
      </c>
      <c r="AW130" s="1">
        <v>2</v>
      </c>
      <c r="AX130" s="1" t="s">
        <v>74</v>
      </c>
      <c r="AY130" s="1" t="s">
        <v>74</v>
      </c>
      <c r="AZ130" s="1" t="s">
        <v>74</v>
      </c>
      <c r="BA130" s="1" t="s">
        <v>74</v>
      </c>
      <c r="BB130" s="1">
        <v>153</v>
      </c>
      <c r="BC130" s="1">
        <v>163</v>
      </c>
      <c r="BD130" s="1" t="s">
        <v>74</v>
      </c>
      <c r="BE130" s="1" t="s">
        <v>2508</v>
      </c>
      <c r="BF130" s="1" t="str">
        <f>HYPERLINK("http://dx.doi.org/10.1016/S0742-8413(99)00023-7","http://dx.doi.org/10.1016/S0742-8413(99)00023-7")</f>
        <v>http://dx.doi.org/10.1016/S0742-8413(99)00023-7</v>
      </c>
      <c r="BG130" s="1" t="s">
        <v>74</v>
      </c>
      <c r="BH130" s="1" t="s">
        <v>74</v>
      </c>
      <c r="BI130" s="1">
        <v>11</v>
      </c>
      <c r="BJ130" s="1" t="s">
        <v>571</v>
      </c>
      <c r="BK130" s="1" t="s">
        <v>96</v>
      </c>
      <c r="BL130" s="1" t="s">
        <v>571</v>
      </c>
      <c r="BM130" s="1" t="s">
        <v>2509</v>
      </c>
      <c r="BN130" s="1">
        <v>10442824</v>
      </c>
      <c r="BO130" s="1" t="s">
        <v>74</v>
      </c>
      <c r="BP130" s="1" t="s">
        <v>74</v>
      </c>
      <c r="BQ130" s="1" t="s">
        <v>74</v>
      </c>
      <c r="BR130" s="1" t="s">
        <v>98</v>
      </c>
      <c r="BS130" s="1" t="s">
        <v>2510</v>
      </c>
      <c r="BT130" s="1" t="str">
        <f>HYPERLINK("https%3A%2F%2Fwww.webofscience.com%2Fwos%2Fwoscc%2Ffull-record%2FWOS:000080819600006","View Full Record in Web of Science")</f>
        <v>View Full Record in Web of Science</v>
      </c>
    </row>
    <row r="131" spans="1:72">
      <c r="A131" s="1" t="s">
        <v>72</v>
      </c>
      <c r="B131" s="1" t="s">
        <v>2511</v>
      </c>
      <c r="C131" s="1" t="s">
        <v>74</v>
      </c>
      <c r="D131" s="1" t="s">
        <v>74</v>
      </c>
      <c r="E131" s="1" t="s">
        <v>74</v>
      </c>
      <c r="F131" s="1" t="s">
        <v>2512</v>
      </c>
      <c r="G131" s="1" t="s">
        <v>74</v>
      </c>
      <c r="H131" s="1" t="s">
        <v>74</v>
      </c>
      <c r="I131" s="1" t="s">
        <v>2513</v>
      </c>
      <c r="J131" s="1" t="s">
        <v>1811</v>
      </c>
      <c r="K131" s="1" t="s">
        <v>74</v>
      </c>
      <c r="L131" s="1" t="s">
        <v>74</v>
      </c>
      <c r="M131" s="1" t="s">
        <v>78</v>
      </c>
      <c r="N131" s="1" t="s">
        <v>79</v>
      </c>
      <c r="O131" s="1" t="s">
        <v>74</v>
      </c>
      <c r="P131" s="1" t="s">
        <v>74</v>
      </c>
      <c r="Q131" s="1" t="s">
        <v>74</v>
      </c>
      <c r="R131" s="1" t="s">
        <v>74</v>
      </c>
      <c r="S131" s="1" t="s">
        <v>74</v>
      </c>
      <c r="T131" s="1" t="s">
        <v>2514</v>
      </c>
      <c r="U131" s="1" t="s">
        <v>2515</v>
      </c>
      <c r="V131" s="1" t="s">
        <v>2516</v>
      </c>
      <c r="W131" s="1" t="s">
        <v>2517</v>
      </c>
      <c r="X131" s="1" t="s">
        <v>2518</v>
      </c>
      <c r="Y131" s="1" t="s">
        <v>2519</v>
      </c>
      <c r="Z131" s="1" t="s">
        <v>2520</v>
      </c>
      <c r="AA131" s="1" t="s">
        <v>2521</v>
      </c>
      <c r="AB131" s="1" t="s">
        <v>2522</v>
      </c>
      <c r="AC131" s="1" t="s">
        <v>2523</v>
      </c>
      <c r="AD131" s="1" t="s">
        <v>2523</v>
      </c>
      <c r="AE131" s="1" t="s">
        <v>2524</v>
      </c>
      <c r="AF131" s="1" t="s">
        <v>74</v>
      </c>
      <c r="AG131" s="1">
        <v>38</v>
      </c>
      <c r="AH131" s="1">
        <v>34</v>
      </c>
      <c r="AI131" s="1">
        <v>44</v>
      </c>
      <c r="AJ131" s="1">
        <v>5</v>
      </c>
      <c r="AK131" s="1">
        <v>46</v>
      </c>
      <c r="AL131" s="1" t="s">
        <v>430</v>
      </c>
      <c r="AM131" s="1" t="s">
        <v>137</v>
      </c>
      <c r="AN131" s="1" t="s">
        <v>431</v>
      </c>
      <c r="AO131" s="1" t="s">
        <v>1820</v>
      </c>
      <c r="AP131" s="1" t="s">
        <v>74</v>
      </c>
      <c r="AQ131" s="1" t="s">
        <v>74</v>
      </c>
      <c r="AR131" s="1" t="s">
        <v>1821</v>
      </c>
      <c r="AS131" s="1" t="s">
        <v>1822</v>
      </c>
      <c r="AT131" s="1" t="s">
        <v>2257</v>
      </c>
      <c r="AU131" s="1">
        <v>2010</v>
      </c>
      <c r="AV131" s="1">
        <v>121</v>
      </c>
      <c r="AW131" s="1">
        <v>3</v>
      </c>
      <c r="AX131" s="1" t="s">
        <v>74</v>
      </c>
      <c r="AY131" s="1" t="s">
        <v>74</v>
      </c>
      <c r="AZ131" s="1" t="s">
        <v>74</v>
      </c>
      <c r="BA131" s="1" t="s">
        <v>74</v>
      </c>
      <c r="BB131" s="1">
        <v>666</v>
      </c>
      <c r="BC131" s="1">
        <v>671</v>
      </c>
      <c r="BD131" s="1" t="s">
        <v>74</v>
      </c>
      <c r="BE131" s="1" t="s">
        <v>2525</v>
      </c>
      <c r="BF131" s="1" t="str">
        <f>HYPERLINK("http://dx.doi.org/10.1016/j.foodchem.2009.12.091","http://dx.doi.org/10.1016/j.foodchem.2009.12.091")</f>
        <v>http://dx.doi.org/10.1016/j.foodchem.2009.12.091</v>
      </c>
      <c r="BG131" s="1" t="s">
        <v>74</v>
      </c>
      <c r="BH131" s="1" t="s">
        <v>74</v>
      </c>
      <c r="BI131" s="1">
        <v>6</v>
      </c>
      <c r="BJ131" s="1" t="s">
        <v>1825</v>
      </c>
      <c r="BK131" s="1" t="s">
        <v>96</v>
      </c>
      <c r="BL131" s="1" t="s">
        <v>1826</v>
      </c>
      <c r="BM131" s="1" t="s">
        <v>2526</v>
      </c>
      <c r="BN131" s="1" t="s">
        <v>74</v>
      </c>
      <c r="BO131" s="1" t="s">
        <v>74</v>
      </c>
      <c r="BP131" s="1" t="s">
        <v>74</v>
      </c>
      <c r="BQ131" s="1" t="s">
        <v>74</v>
      </c>
      <c r="BR131" s="1" t="s">
        <v>98</v>
      </c>
      <c r="BS131" s="1" t="s">
        <v>2527</v>
      </c>
      <c r="BT131" s="1" t="str">
        <f>HYPERLINK("https%3A%2F%2Fwww.webofscience.com%2Fwos%2Fwoscc%2Ffull-record%2FWOS:000276292700005","View Full Record in Web of Science")</f>
        <v>View Full Record in Web of Science</v>
      </c>
    </row>
    <row r="132" spans="1:72">
      <c r="A132" s="1" t="s">
        <v>72</v>
      </c>
      <c r="B132" s="1" t="s">
        <v>2528</v>
      </c>
      <c r="C132" s="1" t="s">
        <v>74</v>
      </c>
      <c r="D132" s="1" t="s">
        <v>74</v>
      </c>
      <c r="E132" s="1" t="s">
        <v>74</v>
      </c>
      <c r="F132" s="1" t="s">
        <v>2529</v>
      </c>
      <c r="G132" s="1" t="s">
        <v>74</v>
      </c>
      <c r="H132" s="1" t="s">
        <v>74</v>
      </c>
      <c r="I132" s="1" t="s">
        <v>2530</v>
      </c>
      <c r="J132" s="1" t="s">
        <v>595</v>
      </c>
      <c r="K132" s="1" t="s">
        <v>74</v>
      </c>
      <c r="L132" s="1" t="s">
        <v>74</v>
      </c>
      <c r="M132" s="1" t="s">
        <v>78</v>
      </c>
      <c r="N132" s="1" t="s">
        <v>79</v>
      </c>
      <c r="O132" s="1" t="s">
        <v>74</v>
      </c>
      <c r="P132" s="1" t="s">
        <v>74</v>
      </c>
      <c r="Q132" s="1" t="s">
        <v>74</v>
      </c>
      <c r="R132" s="1" t="s">
        <v>74</v>
      </c>
      <c r="S132" s="1" t="s">
        <v>74</v>
      </c>
      <c r="T132" s="1" t="s">
        <v>2531</v>
      </c>
      <c r="U132" s="1" t="s">
        <v>2532</v>
      </c>
      <c r="V132" s="1" t="s">
        <v>2533</v>
      </c>
      <c r="W132" s="1" t="s">
        <v>2534</v>
      </c>
      <c r="X132" s="1" t="s">
        <v>2535</v>
      </c>
      <c r="Y132" s="1" t="s">
        <v>2536</v>
      </c>
      <c r="Z132" s="1" t="s">
        <v>2537</v>
      </c>
      <c r="AA132" s="1" t="s">
        <v>74</v>
      </c>
      <c r="AB132" s="1" t="s">
        <v>2538</v>
      </c>
      <c r="AC132" s="1" t="s">
        <v>74</v>
      </c>
      <c r="AD132" s="1" t="s">
        <v>74</v>
      </c>
      <c r="AE132" s="1" t="s">
        <v>74</v>
      </c>
      <c r="AF132" s="1" t="s">
        <v>74</v>
      </c>
      <c r="AG132" s="1">
        <v>83</v>
      </c>
      <c r="AH132" s="1">
        <v>5</v>
      </c>
      <c r="AI132" s="1">
        <v>6</v>
      </c>
      <c r="AJ132" s="1">
        <v>2</v>
      </c>
      <c r="AK132" s="1">
        <v>10</v>
      </c>
      <c r="AL132" s="1" t="s">
        <v>112</v>
      </c>
      <c r="AM132" s="1" t="s">
        <v>191</v>
      </c>
      <c r="AN132" s="1" t="s">
        <v>192</v>
      </c>
      <c r="AO132" s="1" t="s">
        <v>608</v>
      </c>
      <c r="AP132" s="1" t="s">
        <v>609</v>
      </c>
      <c r="AQ132" s="1" t="s">
        <v>74</v>
      </c>
      <c r="AR132" s="1" t="s">
        <v>595</v>
      </c>
      <c r="AS132" s="1" t="s">
        <v>610</v>
      </c>
      <c r="AT132" s="1" t="s">
        <v>170</v>
      </c>
      <c r="AU132" s="1">
        <v>2023</v>
      </c>
      <c r="AV132" s="1">
        <v>32</v>
      </c>
      <c r="AW132" s="1">
        <v>4</v>
      </c>
      <c r="AX132" s="1" t="s">
        <v>74</v>
      </c>
      <c r="AY132" s="1" t="s">
        <v>74</v>
      </c>
      <c r="AZ132" s="1" t="s">
        <v>74</v>
      </c>
      <c r="BA132" s="1" t="s">
        <v>74</v>
      </c>
      <c r="BB132" s="1">
        <v>487</v>
      </c>
      <c r="BC132" s="1">
        <v>501</v>
      </c>
      <c r="BD132" s="1" t="s">
        <v>74</v>
      </c>
      <c r="BE132" s="1" t="s">
        <v>2539</v>
      </c>
      <c r="BF132" s="1" t="str">
        <f>HYPERLINK("http://dx.doi.org/10.1007/s10646-023-02654-7","http://dx.doi.org/10.1007/s10646-023-02654-7")</f>
        <v>http://dx.doi.org/10.1007/s10646-023-02654-7</v>
      </c>
      <c r="BG132" s="1" t="s">
        <v>74</v>
      </c>
      <c r="BH132" s="1" t="s">
        <v>2540</v>
      </c>
      <c r="BI132" s="1">
        <v>15</v>
      </c>
      <c r="BJ132" s="1" t="s">
        <v>612</v>
      </c>
      <c r="BK132" s="1" t="s">
        <v>96</v>
      </c>
      <c r="BL132" s="1" t="s">
        <v>122</v>
      </c>
      <c r="BM132" s="1" t="s">
        <v>2541</v>
      </c>
      <c r="BN132" s="1">
        <v>37099202</v>
      </c>
      <c r="BO132" s="1" t="s">
        <v>74</v>
      </c>
      <c r="BP132" s="1" t="s">
        <v>74</v>
      </c>
      <c r="BQ132" s="1" t="s">
        <v>74</v>
      </c>
      <c r="BR132" s="1" t="s">
        <v>98</v>
      </c>
      <c r="BS132" s="1" t="s">
        <v>2542</v>
      </c>
      <c r="BT132" s="1" t="str">
        <f>HYPERLINK("https%3A%2F%2Fwww.webofscience.com%2Fwos%2Fwoscc%2Ffull-record%2FWOS:000983703700002","View Full Record in Web of Science")</f>
        <v>View Full Record in Web of Science</v>
      </c>
    </row>
    <row r="133" spans="1:72">
      <c r="A133" s="1" t="s">
        <v>72</v>
      </c>
      <c r="B133" s="1" t="s">
        <v>2543</v>
      </c>
      <c r="C133" s="1" t="s">
        <v>74</v>
      </c>
      <c r="D133" s="1" t="s">
        <v>74</v>
      </c>
      <c r="E133" s="1" t="s">
        <v>74</v>
      </c>
      <c r="F133" s="1" t="s">
        <v>2543</v>
      </c>
      <c r="G133" s="1" t="s">
        <v>74</v>
      </c>
      <c r="H133" s="1" t="s">
        <v>74</v>
      </c>
      <c r="I133" s="1" t="s">
        <v>2544</v>
      </c>
      <c r="J133" s="1" t="s">
        <v>1097</v>
      </c>
      <c r="K133" s="1" t="s">
        <v>74</v>
      </c>
      <c r="L133" s="1" t="s">
        <v>74</v>
      </c>
      <c r="M133" s="1" t="s">
        <v>78</v>
      </c>
      <c r="N133" s="1" t="s">
        <v>79</v>
      </c>
      <c r="O133" s="1" t="s">
        <v>74</v>
      </c>
      <c r="P133" s="1" t="s">
        <v>74</v>
      </c>
      <c r="Q133" s="1" t="s">
        <v>74</v>
      </c>
      <c r="R133" s="1" t="s">
        <v>74</v>
      </c>
      <c r="S133" s="1" t="s">
        <v>74</v>
      </c>
      <c r="T133" s="1" t="s">
        <v>74</v>
      </c>
      <c r="U133" s="1" t="s">
        <v>74</v>
      </c>
      <c r="V133" s="1" t="s">
        <v>2545</v>
      </c>
      <c r="W133" s="1" t="s">
        <v>74</v>
      </c>
      <c r="X133" s="1" t="s">
        <v>74</v>
      </c>
      <c r="Y133" s="1" t="s">
        <v>1099</v>
      </c>
      <c r="Z133" s="1" t="s">
        <v>74</v>
      </c>
      <c r="AA133" s="1" t="s">
        <v>74</v>
      </c>
      <c r="AB133" s="1" t="s">
        <v>74</v>
      </c>
      <c r="AC133" s="1" t="s">
        <v>74</v>
      </c>
      <c r="AD133" s="1" t="s">
        <v>74</v>
      </c>
      <c r="AE133" s="1" t="s">
        <v>74</v>
      </c>
      <c r="AF133" s="1" t="s">
        <v>74</v>
      </c>
      <c r="AG133" s="1">
        <v>29</v>
      </c>
      <c r="AH133" s="1">
        <v>145</v>
      </c>
      <c r="AI133" s="1">
        <v>152</v>
      </c>
      <c r="AJ133" s="1">
        <v>0</v>
      </c>
      <c r="AK133" s="1">
        <v>7</v>
      </c>
      <c r="AL133" s="1" t="s">
        <v>217</v>
      </c>
      <c r="AM133" s="1" t="s">
        <v>218</v>
      </c>
      <c r="AN133" s="1" t="s">
        <v>219</v>
      </c>
      <c r="AO133" s="1" t="s">
        <v>1100</v>
      </c>
      <c r="AP133" s="1" t="s">
        <v>1101</v>
      </c>
      <c r="AQ133" s="1" t="s">
        <v>74</v>
      </c>
      <c r="AR133" s="1" t="s">
        <v>1102</v>
      </c>
      <c r="AS133" s="1" t="s">
        <v>1103</v>
      </c>
      <c r="AT133" s="1" t="s">
        <v>74</v>
      </c>
      <c r="AU133" s="1">
        <v>1986</v>
      </c>
      <c r="AV133" s="1">
        <v>90</v>
      </c>
      <c r="AW133" s="1">
        <v>3</v>
      </c>
      <c r="AX133" s="1" t="s">
        <v>74</v>
      </c>
      <c r="AY133" s="1" t="s">
        <v>74</v>
      </c>
      <c r="AZ133" s="1" t="s">
        <v>74</v>
      </c>
      <c r="BA133" s="1" t="s">
        <v>74</v>
      </c>
      <c r="BB133" s="1">
        <v>425</v>
      </c>
      <c r="BC133" s="1">
        <v>431</v>
      </c>
      <c r="BD133" s="1" t="s">
        <v>74</v>
      </c>
      <c r="BE133" s="1" t="s">
        <v>2546</v>
      </c>
      <c r="BF133" s="1" t="str">
        <f>HYPERLINK("http://dx.doi.org/10.1007/BF00428566","http://dx.doi.org/10.1007/BF00428566")</f>
        <v>http://dx.doi.org/10.1007/BF00428566</v>
      </c>
      <c r="BG133" s="1" t="s">
        <v>74</v>
      </c>
      <c r="BH133" s="1" t="s">
        <v>74</v>
      </c>
      <c r="BI133" s="1">
        <v>7</v>
      </c>
      <c r="BJ133" s="1" t="s">
        <v>680</v>
      </c>
      <c r="BK133" s="1" t="s">
        <v>96</v>
      </c>
      <c r="BL133" s="1" t="s">
        <v>680</v>
      </c>
      <c r="BM133" s="1" t="s">
        <v>2547</v>
      </c>
      <c r="BN133" s="1" t="s">
        <v>74</v>
      </c>
      <c r="BO133" s="1" t="s">
        <v>74</v>
      </c>
      <c r="BP133" s="1" t="s">
        <v>74</v>
      </c>
      <c r="BQ133" s="1" t="s">
        <v>74</v>
      </c>
      <c r="BR133" s="1" t="s">
        <v>98</v>
      </c>
      <c r="BS133" s="1" t="s">
        <v>2548</v>
      </c>
      <c r="BT133" s="1" t="str">
        <f>HYPERLINK("https%3A%2F%2Fwww.webofscience.com%2Fwos%2Fwoscc%2Ffull-record%2FWOS:A1986A044500012","View Full Record in Web of Science")</f>
        <v>View Full Record in Web of Science</v>
      </c>
    </row>
    <row r="134" spans="1:72">
      <c r="A134" s="1" t="s">
        <v>72</v>
      </c>
      <c r="B134" s="1" t="s">
        <v>875</v>
      </c>
      <c r="C134" s="1" t="s">
        <v>74</v>
      </c>
      <c r="D134" s="1" t="s">
        <v>74</v>
      </c>
      <c r="E134" s="1" t="s">
        <v>74</v>
      </c>
      <c r="F134" s="1" t="s">
        <v>876</v>
      </c>
      <c r="G134" s="1" t="s">
        <v>74</v>
      </c>
      <c r="H134" s="1" t="s">
        <v>74</v>
      </c>
      <c r="I134" s="1" t="s">
        <v>2549</v>
      </c>
      <c r="J134" s="1" t="s">
        <v>204</v>
      </c>
      <c r="K134" s="1" t="s">
        <v>74</v>
      </c>
      <c r="L134" s="1" t="s">
        <v>74</v>
      </c>
      <c r="M134" s="1" t="s">
        <v>78</v>
      </c>
      <c r="N134" s="1" t="s">
        <v>79</v>
      </c>
      <c r="O134" s="1" t="s">
        <v>74</v>
      </c>
      <c r="P134" s="1" t="s">
        <v>74</v>
      </c>
      <c r="Q134" s="1" t="s">
        <v>74</v>
      </c>
      <c r="R134" s="1" t="s">
        <v>74</v>
      </c>
      <c r="S134" s="1" t="s">
        <v>74</v>
      </c>
      <c r="T134" s="1" t="s">
        <v>2550</v>
      </c>
      <c r="U134" s="1" t="s">
        <v>2551</v>
      </c>
      <c r="V134" s="1" t="s">
        <v>2552</v>
      </c>
      <c r="W134" s="1" t="s">
        <v>881</v>
      </c>
      <c r="X134" s="1" t="s">
        <v>882</v>
      </c>
      <c r="Y134" s="1" t="s">
        <v>883</v>
      </c>
      <c r="Z134" s="1" t="s">
        <v>2553</v>
      </c>
      <c r="AA134" s="1" t="s">
        <v>885</v>
      </c>
      <c r="AB134" s="1" t="s">
        <v>886</v>
      </c>
      <c r="AC134" s="1" t="s">
        <v>2554</v>
      </c>
      <c r="AD134" s="1" t="s">
        <v>2554</v>
      </c>
      <c r="AE134" s="1" t="s">
        <v>2555</v>
      </c>
      <c r="AF134" s="1" t="s">
        <v>74</v>
      </c>
      <c r="AG134" s="1">
        <v>69</v>
      </c>
      <c r="AH134" s="1">
        <v>18</v>
      </c>
      <c r="AI134" s="1">
        <v>20</v>
      </c>
      <c r="AJ134" s="1">
        <v>2</v>
      </c>
      <c r="AK134" s="1">
        <v>83</v>
      </c>
      <c r="AL134" s="1" t="s">
        <v>217</v>
      </c>
      <c r="AM134" s="1" t="s">
        <v>218</v>
      </c>
      <c r="AN134" s="1" t="s">
        <v>219</v>
      </c>
      <c r="AO134" s="1" t="s">
        <v>220</v>
      </c>
      <c r="AP134" s="1" t="s">
        <v>221</v>
      </c>
      <c r="AQ134" s="1" t="s">
        <v>74</v>
      </c>
      <c r="AR134" s="1" t="s">
        <v>222</v>
      </c>
      <c r="AS134" s="1" t="s">
        <v>223</v>
      </c>
      <c r="AT134" s="1" t="s">
        <v>224</v>
      </c>
      <c r="AU134" s="1">
        <v>2013</v>
      </c>
      <c r="AV134" s="1">
        <v>20</v>
      </c>
      <c r="AW134" s="1">
        <v>2</v>
      </c>
      <c r="AX134" s="1" t="s">
        <v>74</v>
      </c>
      <c r="AY134" s="1" t="s">
        <v>74</v>
      </c>
      <c r="AZ134" s="1" t="s">
        <v>74</v>
      </c>
      <c r="BA134" s="1" t="s">
        <v>74</v>
      </c>
      <c r="BB134" s="1">
        <v>761</v>
      </c>
      <c r="BC134" s="1">
        <v>770</v>
      </c>
      <c r="BD134" s="1" t="s">
        <v>74</v>
      </c>
      <c r="BE134" s="1" t="s">
        <v>2556</v>
      </c>
      <c r="BF134" s="1" t="str">
        <f>HYPERLINK("http://dx.doi.org/10.1007/s11356-012-1134-3","http://dx.doi.org/10.1007/s11356-012-1134-3")</f>
        <v>http://dx.doi.org/10.1007/s11356-012-1134-3</v>
      </c>
      <c r="BG134" s="1" t="s">
        <v>74</v>
      </c>
      <c r="BH134" s="1" t="s">
        <v>74</v>
      </c>
      <c r="BI134" s="1">
        <v>10</v>
      </c>
      <c r="BJ134" s="1" t="s">
        <v>144</v>
      </c>
      <c r="BK134" s="1" t="s">
        <v>96</v>
      </c>
      <c r="BL134" s="1" t="s">
        <v>145</v>
      </c>
      <c r="BM134" s="1" t="s">
        <v>2557</v>
      </c>
      <c r="BN134" s="1">
        <v>22961483</v>
      </c>
      <c r="BO134" s="1" t="s">
        <v>74</v>
      </c>
      <c r="BP134" s="1" t="s">
        <v>74</v>
      </c>
      <c r="BQ134" s="1" t="s">
        <v>74</v>
      </c>
      <c r="BR134" s="1" t="s">
        <v>98</v>
      </c>
      <c r="BS134" s="1" t="s">
        <v>2558</v>
      </c>
      <c r="BT134" s="1" t="str">
        <f>HYPERLINK("https%3A%2F%2Fwww.webofscience.com%2Fwos%2Fwoscc%2Ffull-record%2FWOS:000314065100014","View Full Record in Web of Science")</f>
        <v>View Full Record in Web of Science</v>
      </c>
    </row>
    <row r="135" spans="1:72">
      <c r="A135" s="1" t="s">
        <v>72</v>
      </c>
      <c r="B135" s="1" t="s">
        <v>2559</v>
      </c>
      <c r="C135" s="1" t="s">
        <v>74</v>
      </c>
      <c r="D135" s="1" t="s">
        <v>74</v>
      </c>
      <c r="E135" s="1" t="s">
        <v>74</v>
      </c>
      <c r="F135" s="1" t="s">
        <v>2560</v>
      </c>
      <c r="G135" s="1" t="s">
        <v>74</v>
      </c>
      <c r="H135" s="1" t="s">
        <v>74</v>
      </c>
      <c r="I135" s="1" t="s">
        <v>2561</v>
      </c>
      <c r="J135" s="1" t="s">
        <v>2562</v>
      </c>
      <c r="K135" s="1" t="s">
        <v>74</v>
      </c>
      <c r="L135" s="1" t="s">
        <v>74</v>
      </c>
      <c r="M135" s="1" t="s">
        <v>78</v>
      </c>
      <c r="N135" s="1" t="s">
        <v>79</v>
      </c>
      <c r="O135" s="1" t="s">
        <v>74</v>
      </c>
      <c r="P135" s="1" t="s">
        <v>74</v>
      </c>
      <c r="Q135" s="1" t="s">
        <v>74</v>
      </c>
      <c r="R135" s="1" t="s">
        <v>74</v>
      </c>
      <c r="S135" s="1" t="s">
        <v>74</v>
      </c>
      <c r="T135" s="1" t="s">
        <v>2563</v>
      </c>
      <c r="U135" s="1" t="s">
        <v>2564</v>
      </c>
      <c r="V135" s="1" t="s">
        <v>2565</v>
      </c>
      <c r="W135" s="1" t="s">
        <v>2566</v>
      </c>
      <c r="X135" s="1" t="s">
        <v>74</v>
      </c>
      <c r="Y135" s="1" t="s">
        <v>2567</v>
      </c>
      <c r="Z135" s="1" t="s">
        <v>2568</v>
      </c>
      <c r="AA135" s="1" t="s">
        <v>74</v>
      </c>
      <c r="AB135" s="1" t="s">
        <v>74</v>
      </c>
      <c r="AC135" s="1" t="s">
        <v>74</v>
      </c>
      <c r="AD135" s="1" t="s">
        <v>74</v>
      </c>
      <c r="AE135" s="1" t="s">
        <v>74</v>
      </c>
      <c r="AF135" s="1" t="s">
        <v>74</v>
      </c>
      <c r="AG135" s="1">
        <v>25</v>
      </c>
      <c r="AH135" s="1">
        <v>5</v>
      </c>
      <c r="AI135" s="1">
        <v>5</v>
      </c>
      <c r="AJ135" s="1">
        <v>0</v>
      </c>
      <c r="AK135" s="1">
        <v>5</v>
      </c>
      <c r="AL135" s="1" t="s">
        <v>2074</v>
      </c>
      <c r="AM135" s="1" t="s">
        <v>2075</v>
      </c>
      <c r="AN135" s="1" t="s">
        <v>2076</v>
      </c>
      <c r="AO135" s="1" t="s">
        <v>2569</v>
      </c>
      <c r="AP135" s="1" t="s">
        <v>2570</v>
      </c>
      <c r="AQ135" s="1" t="s">
        <v>74</v>
      </c>
      <c r="AR135" s="1" t="s">
        <v>2571</v>
      </c>
      <c r="AS135" s="1" t="s">
        <v>2572</v>
      </c>
      <c r="AT135" s="1" t="s">
        <v>74</v>
      </c>
      <c r="AU135" s="1">
        <v>2006</v>
      </c>
      <c r="AV135" s="1">
        <v>18</v>
      </c>
      <c r="AW135" s="1">
        <v>3</v>
      </c>
      <c r="AX135" s="1" t="s">
        <v>74</v>
      </c>
      <c r="AY135" s="1" t="s">
        <v>74</v>
      </c>
      <c r="AZ135" s="1" t="s">
        <v>74</v>
      </c>
      <c r="BA135" s="1" t="s">
        <v>74</v>
      </c>
      <c r="BB135" s="1">
        <v>95</v>
      </c>
      <c r="BC135" s="1">
        <v>103</v>
      </c>
      <c r="BD135" s="1" t="s">
        <v>74</v>
      </c>
      <c r="BE135" s="1" t="s">
        <v>2573</v>
      </c>
      <c r="BF135" s="1" t="str">
        <f>HYPERLINK("http://dx.doi.org/10.3184/095422906782146203","http://dx.doi.org/10.3184/095422906782146203")</f>
        <v>http://dx.doi.org/10.3184/095422906782146203</v>
      </c>
      <c r="BG135" s="1" t="s">
        <v>74</v>
      </c>
      <c r="BH135" s="1" t="s">
        <v>74</v>
      </c>
      <c r="BI135" s="1">
        <v>9</v>
      </c>
      <c r="BJ135" s="1" t="s">
        <v>2574</v>
      </c>
      <c r="BK135" s="1" t="s">
        <v>96</v>
      </c>
      <c r="BL135" s="1" t="s">
        <v>2575</v>
      </c>
      <c r="BM135" s="1" t="s">
        <v>2576</v>
      </c>
      <c r="BN135" s="1" t="s">
        <v>74</v>
      </c>
      <c r="BO135" s="1" t="s">
        <v>74</v>
      </c>
      <c r="BP135" s="1" t="s">
        <v>74</v>
      </c>
      <c r="BQ135" s="1" t="s">
        <v>74</v>
      </c>
      <c r="BR135" s="1" t="s">
        <v>98</v>
      </c>
      <c r="BS135" s="1" t="s">
        <v>2577</v>
      </c>
      <c r="BT135" s="1" t="str">
        <f>HYPERLINK("https%3A%2F%2Fwww.webofscience.com%2Fwos%2Fwoscc%2Ffull-record%2FWOS:000244166900002","View Full Record in Web of Science")</f>
        <v>View Full Record in Web of Science</v>
      </c>
    </row>
    <row r="136" spans="1:72">
      <c r="A136" s="1" t="s">
        <v>72</v>
      </c>
      <c r="B136" s="1" t="s">
        <v>2578</v>
      </c>
      <c r="C136" s="1" t="s">
        <v>74</v>
      </c>
      <c r="D136" s="1" t="s">
        <v>74</v>
      </c>
      <c r="E136" s="1" t="s">
        <v>74</v>
      </c>
      <c r="F136" s="1" t="s">
        <v>2579</v>
      </c>
      <c r="G136" s="1" t="s">
        <v>74</v>
      </c>
      <c r="H136" s="1" t="s">
        <v>74</v>
      </c>
      <c r="I136" s="1" t="s">
        <v>2580</v>
      </c>
      <c r="J136" s="1" t="s">
        <v>2581</v>
      </c>
      <c r="K136" s="1" t="s">
        <v>74</v>
      </c>
      <c r="L136" s="1" t="s">
        <v>74</v>
      </c>
      <c r="M136" s="1" t="s">
        <v>78</v>
      </c>
      <c r="N136" s="1" t="s">
        <v>79</v>
      </c>
      <c r="O136" s="1" t="s">
        <v>74</v>
      </c>
      <c r="P136" s="1" t="s">
        <v>74</v>
      </c>
      <c r="Q136" s="1" t="s">
        <v>74</v>
      </c>
      <c r="R136" s="1" t="s">
        <v>74</v>
      </c>
      <c r="S136" s="1" t="s">
        <v>74</v>
      </c>
      <c r="T136" s="1" t="s">
        <v>2582</v>
      </c>
      <c r="U136" s="1" t="s">
        <v>2583</v>
      </c>
      <c r="V136" s="1" t="s">
        <v>2584</v>
      </c>
      <c r="W136" s="1" t="s">
        <v>2585</v>
      </c>
      <c r="X136" s="1" t="s">
        <v>2586</v>
      </c>
      <c r="Y136" s="1" t="s">
        <v>2587</v>
      </c>
      <c r="Z136" s="1" t="s">
        <v>2588</v>
      </c>
      <c r="AA136" s="1" t="s">
        <v>74</v>
      </c>
      <c r="AB136" s="1" t="s">
        <v>2589</v>
      </c>
      <c r="AC136" s="1" t="s">
        <v>2590</v>
      </c>
      <c r="AD136" s="1" t="s">
        <v>2591</v>
      </c>
      <c r="AE136" s="1" t="s">
        <v>2592</v>
      </c>
      <c r="AF136" s="1" t="s">
        <v>74</v>
      </c>
      <c r="AG136" s="1">
        <v>43</v>
      </c>
      <c r="AH136" s="1">
        <v>9</v>
      </c>
      <c r="AI136" s="1">
        <v>9</v>
      </c>
      <c r="AJ136" s="1">
        <v>7</v>
      </c>
      <c r="AK136" s="1">
        <v>24</v>
      </c>
      <c r="AL136" s="1" t="s">
        <v>430</v>
      </c>
      <c r="AM136" s="1" t="s">
        <v>137</v>
      </c>
      <c r="AN136" s="1" t="s">
        <v>431</v>
      </c>
      <c r="AO136" s="1" t="s">
        <v>2593</v>
      </c>
      <c r="AP136" s="1" t="s">
        <v>2594</v>
      </c>
      <c r="AQ136" s="1" t="s">
        <v>74</v>
      </c>
      <c r="AR136" s="1" t="s">
        <v>2581</v>
      </c>
      <c r="AS136" s="1" t="s">
        <v>2595</v>
      </c>
      <c r="AT136" s="1" t="s">
        <v>142</v>
      </c>
      <c r="AU136" s="1">
        <v>2021</v>
      </c>
      <c r="AV136" s="1">
        <v>124</v>
      </c>
      <c r="AW136" s="1" t="s">
        <v>74</v>
      </c>
      <c r="AX136" s="1" t="s">
        <v>74</v>
      </c>
      <c r="AY136" s="1" t="s">
        <v>74</v>
      </c>
      <c r="AZ136" s="1" t="s">
        <v>74</v>
      </c>
      <c r="BA136" s="1" t="s">
        <v>74</v>
      </c>
      <c r="BB136" s="1" t="s">
        <v>74</v>
      </c>
      <c r="BC136" s="1" t="s">
        <v>74</v>
      </c>
      <c r="BD136" s="1" t="s">
        <v>74</v>
      </c>
      <c r="BE136" s="1" t="s">
        <v>2596</v>
      </c>
      <c r="BF136" s="1" t="str">
        <f>HYPERLINK("http://dx.doi.org/10.1016/j.foodcont.2021.107890","http://dx.doi.org/10.1016/j.foodcont.2021.107890")</f>
        <v>http://dx.doi.org/10.1016/j.foodcont.2021.107890</v>
      </c>
      <c r="BG136" s="1" t="s">
        <v>74</v>
      </c>
      <c r="BH136" s="1" t="s">
        <v>2597</v>
      </c>
      <c r="BI136" s="1">
        <v>10</v>
      </c>
      <c r="BJ136" s="1" t="s">
        <v>2598</v>
      </c>
      <c r="BK136" s="1" t="s">
        <v>96</v>
      </c>
      <c r="BL136" s="1" t="s">
        <v>2598</v>
      </c>
      <c r="BM136" s="1" t="s">
        <v>2599</v>
      </c>
      <c r="BN136" s="1" t="s">
        <v>74</v>
      </c>
      <c r="BO136" s="1" t="s">
        <v>74</v>
      </c>
      <c r="BP136" s="1" t="s">
        <v>74</v>
      </c>
      <c r="BQ136" s="1" t="s">
        <v>74</v>
      </c>
      <c r="BR136" s="1" t="s">
        <v>98</v>
      </c>
      <c r="BS136" s="1" t="s">
        <v>2600</v>
      </c>
      <c r="BT136" s="1" t="str">
        <f>HYPERLINK("https%3A%2F%2Fwww.webofscience.com%2Fwos%2Fwoscc%2Ffull-record%2FWOS:000753493800002","View Full Record in Web of Science")</f>
        <v>View Full Record in Web of Science</v>
      </c>
    </row>
    <row r="137" spans="1:72">
      <c r="A137" s="1" t="s">
        <v>72</v>
      </c>
      <c r="B137" s="1" t="s">
        <v>2601</v>
      </c>
      <c r="C137" s="1" t="s">
        <v>74</v>
      </c>
      <c r="D137" s="1" t="s">
        <v>74</v>
      </c>
      <c r="E137" s="1" t="s">
        <v>74</v>
      </c>
      <c r="F137" s="1" t="s">
        <v>2602</v>
      </c>
      <c r="G137" s="1" t="s">
        <v>74</v>
      </c>
      <c r="H137" s="1" t="s">
        <v>74</v>
      </c>
      <c r="I137" s="1" t="s">
        <v>2603</v>
      </c>
      <c r="J137" s="1" t="s">
        <v>752</v>
      </c>
      <c r="K137" s="1" t="s">
        <v>74</v>
      </c>
      <c r="L137" s="1" t="s">
        <v>74</v>
      </c>
      <c r="M137" s="1" t="s">
        <v>78</v>
      </c>
      <c r="N137" s="1" t="s">
        <v>79</v>
      </c>
      <c r="O137" s="1" t="s">
        <v>74</v>
      </c>
      <c r="P137" s="1" t="s">
        <v>74</v>
      </c>
      <c r="Q137" s="1" t="s">
        <v>74</v>
      </c>
      <c r="R137" s="1" t="s">
        <v>74</v>
      </c>
      <c r="S137" s="1" t="s">
        <v>74</v>
      </c>
      <c r="T137" s="1" t="s">
        <v>2604</v>
      </c>
      <c r="U137" s="1" t="s">
        <v>2605</v>
      </c>
      <c r="V137" s="1" t="s">
        <v>2606</v>
      </c>
      <c r="W137" s="1" t="s">
        <v>2607</v>
      </c>
      <c r="X137" s="1" t="s">
        <v>445</v>
      </c>
      <c r="Y137" s="1" t="s">
        <v>2608</v>
      </c>
      <c r="Z137" s="1" t="s">
        <v>2609</v>
      </c>
      <c r="AA137" s="1" t="s">
        <v>2610</v>
      </c>
      <c r="AB137" s="1" t="s">
        <v>2611</v>
      </c>
      <c r="AC137" s="1" t="s">
        <v>74</v>
      </c>
      <c r="AD137" s="1" t="s">
        <v>74</v>
      </c>
      <c r="AE137" s="1" t="s">
        <v>74</v>
      </c>
      <c r="AF137" s="1" t="s">
        <v>74</v>
      </c>
      <c r="AG137" s="1">
        <v>21</v>
      </c>
      <c r="AH137" s="1">
        <v>39</v>
      </c>
      <c r="AI137" s="1">
        <v>40</v>
      </c>
      <c r="AJ137" s="1">
        <v>0</v>
      </c>
      <c r="AK137" s="1">
        <v>43</v>
      </c>
      <c r="AL137" s="1" t="s">
        <v>430</v>
      </c>
      <c r="AM137" s="1" t="s">
        <v>137</v>
      </c>
      <c r="AN137" s="1" t="s">
        <v>431</v>
      </c>
      <c r="AO137" s="1" t="s">
        <v>761</v>
      </c>
      <c r="AP137" s="1" t="s">
        <v>74</v>
      </c>
      <c r="AQ137" s="1" t="s">
        <v>74</v>
      </c>
      <c r="AR137" s="1" t="s">
        <v>763</v>
      </c>
      <c r="AS137" s="1" t="s">
        <v>764</v>
      </c>
      <c r="AT137" s="1" t="s">
        <v>142</v>
      </c>
      <c r="AU137" s="1">
        <v>2011</v>
      </c>
      <c r="AV137" s="1">
        <v>71</v>
      </c>
      <c r="AW137" s="1">
        <v>5</v>
      </c>
      <c r="AX137" s="1" t="s">
        <v>74</v>
      </c>
      <c r="AY137" s="1" t="s">
        <v>74</v>
      </c>
      <c r="AZ137" s="1" t="s">
        <v>74</v>
      </c>
      <c r="BA137" s="1" t="s">
        <v>74</v>
      </c>
      <c r="BB137" s="1">
        <v>331</v>
      </c>
      <c r="BC137" s="1">
        <v>341</v>
      </c>
      <c r="BD137" s="1" t="s">
        <v>74</v>
      </c>
      <c r="BE137" s="1" t="s">
        <v>2612</v>
      </c>
      <c r="BF137" s="1" t="str">
        <f>HYPERLINK("http://dx.doi.org/10.1016/j.marenvres.2011.03.001","http://dx.doi.org/10.1016/j.marenvres.2011.03.001")</f>
        <v>http://dx.doi.org/10.1016/j.marenvres.2011.03.001</v>
      </c>
      <c r="BG137" s="1" t="s">
        <v>74</v>
      </c>
      <c r="BH137" s="1" t="s">
        <v>74</v>
      </c>
      <c r="BI137" s="1">
        <v>11</v>
      </c>
      <c r="BJ137" s="1" t="s">
        <v>768</v>
      </c>
      <c r="BK137" s="1" t="s">
        <v>96</v>
      </c>
      <c r="BL137" s="1" t="s">
        <v>769</v>
      </c>
      <c r="BM137" s="1" t="s">
        <v>2613</v>
      </c>
      <c r="BN137" s="1">
        <v>21492930</v>
      </c>
      <c r="BO137" s="1" t="s">
        <v>810</v>
      </c>
      <c r="BP137" s="1" t="s">
        <v>74</v>
      </c>
      <c r="BQ137" s="1" t="s">
        <v>74</v>
      </c>
      <c r="BR137" s="1" t="s">
        <v>98</v>
      </c>
      <c r="BS137" s="1" t="s">
        <v>2614</v>
      </c>
      <c r="BT137" s="1" t="str">
        <f>HYPERLINK("https%3A%2F%2Fwww.webofscience.com%2Fwos%2Fwoscc%2Ffull-record%2FWOS:000292442200003","View Full Record in Web of Science")</f>
        <v>View Full Record in Web of Science</v>
      </c>
    </row>
    <row r="138" spans="1:72">
      <c r="A138" s="1" t="s">
        <v>72</v>
      </c>
      <c r="B138" s="1" t="s">
        <v>2615</v>
      </c>
      <c r="C138" s="1" t="s">
        <v>74</v>
      </c>
      <c r="D138" s="1" t="s">
        <v>74</v>
      </c>
      <c r="E138" s="1" t="s">
        <v>74</v>
      </c>
      <c r="F138" s="1" t="s">
        <v>2616</v>
      </c>
      <c r="G138" s="1" t="s">
        <v>74</v>
      </c>
      <c r="H138" s="1" t="s">
        <v>74</v>
      </c>
      <c r="I138" s="1" t="s">
        <v>2617</v>
      </c>
      <c r="J138" s="1" t="s">
        <v>204</v>
      </c>
      <c r="K138" s="1" t="s">
        <v>74</v>
      </c>
      <c r="L138" s="1" t="s">
        <v>74</v>
      </c>
      <c r="M138" s="1" t="s">
        <v>78</v>
      </c>
      <c r="N138" s="1" t="s">
        <v>79</v>
      </c>
      <c r="O138" s="1" t="s">
        <v>74</v>
      </c>
      <c r="P138" s="1" t="s">
        <v>74</v>
      </c>
      <c r="Q138" s="1" t="s">
        <v>74</v>
      </c>
      <c r="R138" s="1" t="s">
        <v>74</v>
      </c>
      <c r="S138" s="1" t="s">
        <v>74</v>
      </c>
      <c r="T138" s="1" t="s">
        <v>2618</v>
      </c>
      <c r="U138" s="1" t="s">
        <v>2619</v>
      </c>
      <c r="V138" s="1" t="s">
        <v>2620</v>
      </c>
      <c r="W138" s="1" t="s">
        <v>2621</v>
      </c>
      <c r="X138" s="1" t="s">
        <v>2622</v>
      </c>
      <c r="Y138" s="1" t="s">
        <v>2623</v>
      </c>
      <c r="Z138" s="1" t="s">
        <v>2624</v>
      </c>
      <c r="AA138" s="1" t="s">
        <v>74</v>
      </c>
      <c r="AB138" s="1" t="s">
        <v>2625</v>
      </c>
      <c r="AC138" s="1" t="s">
        <v>74</v>
      </c>
      <c r="AD138" s="1" t="s">
        <v>74</v>
      </c>
      <c r="AE138" s="1" t="s">
        <v>74</v>
      </c>
      <c r="AF138" s="1" t="s">
        <v>74</v>
      </c>
      <c r="AG138" s="1">
        <v>40</v>
      </c>
      <c r="AH138" s="1">
        <v>29</v>
      </c>
      <c r="AI138" s="1">
        <v>32</v>
      </c>
      <c r="AJ138" s="1">
        <v>2</v>
      </c>
      <c r="AK138" s="1">
        <v>41</v>
      </c>
      <c r="AL138" s="1" t="s">
        <v>217</v>
      </c>
      <c r="AM138" s="1" t="s">
        <v>218</v>
      </c>
      <c r="AN138" s="1" t="s">
        <v>219</v>
      </c>
      <c r="AO138" s="1" t="s">
        <v>220</v>
      </c>
      <c r="AP138" s="1" t="s">
        <v>74</v>
      </c>
      <c r="AQ138" s="1" t="s">
        <v>74</v>
      </c>
      <c r="AR138" s="1" t="s">
        <v>222</v>
      </c>
      <c r="AS138" s="1" t="s">
        <v>223</v>
      </c>
      <c r="AT138" s="1" t="s">
        <v>142</v>
      </c>
      <c r="AU138" s="1">
        <v>2010</v>
      </c>
      <c r="AV138" s="1">
        <v>17</v>
      </c>
      <c r="AW138" s="1">
        <v>5</v>
      </c>
      <c r="AX138" s="1" t="s">
        <v>74</v>
      </c>
      <c r="AY138" s="1" t="s">
        <v>74</v>
      </c>
      <c r="AZ138" s="1" t="s">
        <v>74</v>
      </c>
      <c r="BA138" s="1" t="s">
        <v>74</v>
      </c>
      <c r="BB138" s="1">
        <v>1025</v>
      </c>
      <c r="BC138" s="1">
        <v>1034</v>
      </c>
      <c r="BD138" s="1" t="s">
        <v>74</v>
      </c>
      <c r="BE138" s="1" t="s">
        <v>2626</v>
      </c>
      <c r="BF138" s="1" t="str">
        <f>HYPERLINK("http://dx.doi.org/10.1007/s11356-009-0280-8","http://dx.doi.org/10.1007/s11356-009-0280-8")</f>
        <v>http://dx.doi.org/10.1007/s11356-009-0280-8</v>
      </c>
      <c r="BG138" s="1" t="s">
        <v>74</v>
      </c>
      <c r="BH138" s="1" t="s">
        <v>74</v>
      </c>
      <c r="BI138" s="1">
        <v>10</v>
      </c>
      <c r="BJ138" s="1" t="s">
        <v>144</v>
      </c>
      <c r="BK138" s="1" t="s">
        <v>96</v>
      </c>
      <c r="BL138" s="1" t="s">
        <v>145</v>
      </c>
      <c r="BM138" s="1" t="s">
        <v>2627</v>
      </c>
      <c r="BN138" s="1">
        <v>20058089</v>
      </c>
      <c r="BO138" s="1" t="s">
        <v>74</v>
      </c>
      <c r="BP138" s="1" t="s">
        <v>74</v>
      </c>
      <c r="BQ138" s="1" t="s">
        <v>74</v>
      </c>
      <c r="BR138" s="1" t="s">
        <v>98</v>
      </c>
      <c r="BS138" s="1" t="s">
        <v>2628</v>
      </c>
      <c r="BT138" s="1" t="str">
        <f>HYPERLINK("https%3A%2F%2Fwww.webofscience.com%2Fwos%2Fwoscc%2Ffull-record%2FWOS:000279221700001","View Full Record in Web of Science")</f>
        <v>View Full Record in Web of Science</v>
      </c>
    </row>
    <row r="139" spans="1:72">
      <c r="A139" s="1" t="s">
        <v>72</v>
      </c>
      <c r="B139" s="1" t="s">
        <v>2629</v>
      </c>
      <c r="C139" s="1" t="s">
        <v>74</v>
      </c>
      <c r="D139" s="1" t="s">
        <v>74</v>
      </c>
      <c r="E139" s="1" t="s">
        <v>74</v>
      </c>
      <c r="F139" s="1" t="s">
        <v>2630</v>
      </c>
      <c r="G139" s="1" t="s">
        <v>74</v>
      </c>
      <c r="H139" s="1" t="s">
        <v>74</v>
      </c>
      <c r="I139" s="1" t="s">
        <v>2631</v>
      </c>
      <c r="J139" s="1" t="s">
        <v>204</v>
      </c>
      <c r="K139" s="1" t="s">
        <v>74</v>
      </c>
      <c r="L139" s="1" t="s">
        <v>74</v>
      </c>
      <c r="M139" s="1" t="s">
        <v>78</v>
      </c>
      <c r="N139" s="1" t="s">
        <v>79</v>
      </c>
      <c r="O139" s="1" t="s">
        <v>74</v>
      </c>
      <c r="P139" s="1" t="s">
        <v>74</v>
      </c>
      <c r="Q139" s="1" t="s">
        <v>74</v>
      </c>
      <c r="R139" s="1" t="s">
        <v>74</v>
      </c>
      <c r="S139" s="1" t="s">
        <v>74</v>
      </c>
      <c r="T139" s="1" t="s">
        <v>2632</v>
      </c>
      <c r="U139" s="1" t="s">
        <v>2633</v>
      </c>
      <c r="V139" s="1" t="s">
        <v>2634</v>
      </c>
      <c r="W139" s="1" t="s">
        <v>2635</v>
      </c>
      <c r="X139" s="1" t="s">
        <v>2636</v>
      </c>
      <c r="Y139" s="1" t="s">
        <v>2637</v>
      </c>
      <c r="Z139" s="1" t="s">
        <v>2638</v>
      </c>
      <c r="AA139" s="1" t="s">
        <v>74</v>
      </c>
      <c r="AB139" s="1" t="s">
        <v>2639</v>
      </c>
      <c r="AC139" s="1" t="s">
        <v>74</v>
      </c>
      <c r="AD139" s="1" t="s">
        <v>74</v>
      </c>
      <c r="AE139" s="1" t="s">
        <v>74</v>
      </c>
      <c r="AF139" s="1" t="s">
        <v>74</v>
      </c>
      <c r="AG139" s="1">
        <v>58</v>
      </c>
      <c r="AH139" s="1">
        <v>14</v>
      </c>
      <c r="AI139" s="1">
        <v>14</v>
      </c>
      <c r="AJ139" s="1">
        <v>1</v>
      </c>
      <c r="AK139" s="1">
        <v>22</v>
      </c>
      <c r="AL139" s="1" t="s">
        <v>217</v>
      </c>
      <c r="AM139" s="1" t="s">
        <v>218</v>
      </c>
      <c r="AN139" s="1" t="s">
        <v>219</v>
      </c>
      <c r="AO139" s="1" t="s">
        <v>220</v>
      </c>
      <c r="AP139" s="1" t="s">
        <v>221</v>
      </c>
      <c r="AQ139" s="1" t="s">
        <v>74</v>
      </c>
      <c r="AR139" s="1" t="s">
        <v>222</v>
      </c>
      <c r="AS139" s="1" t="s">
        <v>223</v>
      </c>
      <c r="AT139" s="1" t="s">
        <v>142</v>
      </c>
      <c r="AU139" s="1">
        <v>2020</v>
      </c>
      <c r="AV139" s="1">
        <v>27</v>
      </c>
      <c r="AW139" s="1">
        <v>18</v>
      </c>
      <c r="AX139" s="1" t="s">
        <v>74</v>
      </c>
      <c r="AY139" s="1" t="s">
        <v>74</v>
      </c>
      <c r="AZ139" s="1" t="s">
        <v>74</v>
      </c>
      <c r="BA139" s="1" t="s">
        <v>74</v>
      </c>
      <c r="BB139" s="1">
        <v>22547</v>
      </c>
      <c r="BC139" s="1">
        <v>22567</v>
      </c>
      <c r="BD139" s="1" t="s">
        <v>74</v>
      </c>
      <c r="BE139" s="1" t="s">
        <v>2640</v>
      </c>
      <c r="BF139" s="1" t="str">
        <f>HYPERLINK("http://dx.doi.org/10.1007/s11356-020-08682-8","http://dx.doi.org/10.1007/s11356-020-08682-8")</f>
        <v>http://dx.doi.org/10.1007/s11356-020-08682-8</v>
      </c>
      <c r="BG139" s="1" t="s">
        <v>74</v>
      </c>
      <c r="BH139" s="1" t="s">
        <v>2641</v>
      </c>
      <c r="BI139" s="1">
        <v>21</v>
      </c>
      <c r="BJ139" s="1" t="s">
        <v>144</v>
      </c>
      <c r="BK139" s="1" t="s">
        <v>96</v>
      </c>
      <c r="BL139" s="1" t="s">
        <v>145</v>
      </c>
      <c r="BM139" s="1" t="s">
        <v>2642</v>
      </c>
      <c r="BN139" s="1">
        <v>32319062</v>
      </c>
      <c r="BO139" s="1" t="s">
        <v>74</v>
      </c>
      <c r="BP139" s="1" t="s">
        <v>74</v>
      </c>
      <c r="BQ139" s="1" t="s">
        <v>74</v>
      </c>
      <c r="BR139" s="1" t="s">
        <v>98</v>
      </c>
      <c r="BS139" s="1" t="s">
        <v>2643</v>
      </c>
      <c r="BT139" s="1" t="str">
        <f>HYPERLINK("https%3A%2F%2Fwww.webofscience.com%2Fwos%2Fwoscc%2Ffull-record%2FWOS:000528136500016","View Full Record in Web of Science")</f>
        <v>View Full Record in Web of Science</v>
      </c>
    </row>
    <row r="140" spans="1:72">
      <c r="A140" s="1" t="s">
        <v>72</v>
      </c>
      <c r="B140" s="1" t="s">
        <v>2644</v>
      </c>
      <c r="C140" s="1" t="s">
        <v>74</v>
      </c>
      <c r="D140" s="1" t="s">
        <v>74</v>
      </c>
      <c r="E140" s="1" t="s">
        <v>74</v>
      </c>
      <c r="F140" s="1" t="s">
        <v>2644</v>
      </c>
      <c r="G140" s="1" t="s">
        <v>74</v>
      </c>
      <c r="H140" s="1" t="s">
        <v>74</v>
      </c>
      <c r="I140" s="1" t="s">
        <v>2645</v>
      </c>
      <c r="J140" s="1" t="s">
        <v>894</v>
      </c>
      <c r="K140" s="1" t="s">
        <v>74</v>
      </c>
      <c r="L140" s="1" t="s">
        <v>74</v>
      </c>
      <c r="M140" s="1" t="s">
        <v>78</v>
      </c>
      <c r="N140" s="1" t="s">
        <v>79</v>
      </c>
      <c r="O140" s="1" t="s">
        <v>74</v>
      </c>
      <c r="P140" s="1" t="s">
        <v>74</v>
      </c>
      <c r="Q140" s="1" t="s">
        <v>74</v>
      </c>
      <c r="R140" s="1" t="s">
        <v>74</v>
      </c>
      <c r="S140" s="1" t="s">
        <v>74</v>
      </c>
      <c r="T140" s="1" t="s">
        <v>2646</v>
      </c>
      <c r="U140" s="1" t="s">
        <v>2647</v>
      </c>
      <c r="V140" s="1" t="s">
        <v>2648</v>
      </c>
      <c r="W140" s="1" t="s">
        <v>74</v>
      </c>
      <c r="X140" s="1" t="s">
        <v>74</v>
      </c>
      <c r="Y140" s="1" t="s">
        <v>2649</v>
      </c>
      <c r="Z140" s="1" t="s">
        <v>74</v>
      </c>
      <c r="AA140" s="1" t="s">
        <v>74</v>
      </c>
      <c r="AB140" s="1" t="s">
        <v>74</v>
      </c>
      <c r="AC140" s="1" t="s">
        <v>74</v>
      </c>
      <c r="AD140" s="1" t="s">
        <v>74</v>
      </c>
      <c r="AE140" s="1" t="s">
        <v>74</v>
      </c>
      <c r="AF140" s="1" t="s">
        <v>74</v>
      </c>
      <c r="AG140" s="1">
        <v>17</v>
      </c>
      <c r="AH140" s="1">
        <v>6</v>
      </c>
      <c r="AI140" s="1">
        <v>7</v>
      </c>
      <c r="AJ140" s="1">
        <v>0</v>
      </c>
      <c r="AK140" s="1">
        <v>4</v>
      </c>
      <c r="AL140" s="1" t="s">
        <v>898</v>
      </c>
      <c r="AM140" s="1" t="s">
        <v>899</v>
      </c>
      <c r="AN140" s="1" t="s">
        <v>900</v>
      </c>
      <c r="AO140" s="1" t="s">
        <v>901</v>
      </c>
      <c r="AP140" s="1" t="s">
        <v>74</v>
      </c>
      <c r="AQ140" s="1" t="s">
        <v>74</v>
      </c>
      <c r="AR140" s="1" t="s">
        <v>902</v>
      </c>
      <c r="AS140" s="1" t="s">
        <v>903</v>
      </c>
      <c r="AT140" s="1" t="s">
        <v>1470</v>
      </c>
      <c r="AU140" s="1">
        <v>1996</v>
      </c>
      <c r="AV140" s="1">
        <v>17</v>
      </c>
      <c r="AW140" s="1">
        <v>1</v>
      </c>
      <c r="AX140" s="1" t="s">
        <v>74</v>
      </c>
      <c r="AY140" s="1" t="s">
        <v>74</v>
      </c>
      <c r="AZ140" s="1" t="s">
        <v>74</v>
      </c>
      <c r="BA140" s="1" t="s">
        <v>74</v>
      </c>
      <c r="BB140" s="1">
        <v>5</v>
      </c>
      <c r="BC140" s="1">
        <v>10</v>
      </c>
      <c r="BD140" s="1" t="s">
        <v>74</v>
      </c>
      <c r="BE140" s="1" t="s">
        <v>74</v>
      </c>
      <c r="BF140" s="1" t="s">
        <v>74</v>
      </c>
      <c r="BG140" s="1" t="s">
        <v>74</v>
      </c>
      <c r="BH140" s="1" t="s">
        <v>74</v>
      </c>
      <c r="BI140" s="1">
        <v>6</v>
      </c>
      <c r="BJ140" s="1" t="s">
        <v>144</v>
      </c>
      <c r="BK140" s="1" t="s">
        <v>96</v>
      </c>
      <c r="BL140" s="1" t="s">
        <v>145</v>
      </c>
      <c r="BM140" s="1" t="s">
        <v>2650</v>
      </c>
      <c r="BN140" s="1" t="s">
        <v>74</v>
      </c>
      <c r="BO140" s="1" t="s">
        <v>74</v>
      </c>
      <c r="BP140" s="1" t="s">
        <v>74</v>
      </c>
      <c r="BQ140" s="1" t="s">
        <v>74</v>
      </c>
      <c r="BR140" s="1" t="s">
        <v>98</v>
      </c>
      <c r="BS140" s="1" t="s">
        <v>2651</v>
      </c>
      <c r="BT140" s="1" t="str">
        <f>HYPERLINK("https%3A%2F%2Fwww.webofscience.com%2Fwos%2Fwoscc%2Ffull-record%2FWOS:A1996TX39600004","View Full Record in Web of Science")</f>
        <v>View Full Record in Web of Science</v>
      </c>
    </row>
    <row r="141" spans="1:72">
      <c r="A141" s="1" t="s">
        <v>72</v>
      </c>
      <c r="B141" s="1" t="s">
        <v>2652</v>
      </c>
      <c r="C141" s="1" t="s">
        <v>74</v>
      </c>
      <c r="D141" s="1" t="s">
        <v>74</v>
      </c>
      <c r="E141" s="1" t="s">
        <v>74</v>
      </c>
      <c r="F141" s="1" t="s">
        <v>2653</v>
      </c>
      <c r="G141" s="1" t="s">
        <v>74</v>
      </c>
      <c r="H141" s="1" t="s">
        <v>74</v>
      </c>
      <c r="I141" s="1" t="s">
        <v>2654</v>
      </c>
      <c r="J141" s="1" t="s">
        <v>752</v>
      </c>
      <c r="K141" s="1" t="s">
        <v>74</v>
      </c>
      <c r="L141" s="1" t="s">
        <v>74</v>
      </c>
      <c r="M141" s="1" t="s">
        <v>78</v>
      </c>
      <c r="N141" s="1" t="s">
        <v>79</v>
      </c>
      <c r="O141" s="1" t="s">
        <v>74</v>
      </c>
      <c r="P141" s="1" t="s">
        <v>74</v>
      </c>
      <c r="Q141" s="1" t="s">
        <v>74</v>
      </c>
      <c r="R141" s="1" t="s">
        <v>74</v>
      </c>
      <c r="S141" s="1" t="s">
        <v>74</v>
      </c>
      <c r="T141" s="1" t="s">
        <v>2655</v>
      </c>
      <c r="U141" s="1" t="s">
        <v>2656</v>
      </c>
      <c r="V141" s="1" t="s">
        <v>2657</v>
      </c>
      <c r="W141" s="1" t="s">
        <v>2658</v>
      </c>
      <c r="X141" s="1" t="s">
        <v>2659</v>
      </c>
      <c r="Y141" s="1" t="s">
        <v>2660</v>
      </c>
      <c r="Z141" s="1" t="s">
        <v>2661</v>
      </c>
      <c r="AA141" s="1" t="s">
        <v>603</v>
      </c>
      <c r="AB141" s="1" t="s">
        <v>2662</v>
      </c>
      <c r="AC141" s="1" t="s">
        <v>2663</v>
      </c>
      <c r="AD141" s="1" t="s">
        <v>2664</v>
      </c>
      <c r="AE141" s="1" t="s">
        <v>2665</v>
      </c>
      <c r="AF141" s="1" t="s">
        <v>74</v>
      </c>
      <c r="AG141" s="1">
        <v>52</v>
      </c>
      <c r="AH141" s="1">
        <v>99</v>
      </c>
      <c r="AI141" s="1">
        <v>110</v>
      </c>
      <c r="AJ141" s="1">
        <v>2</v>
      </c>
      <c r="AK141" s="1">
        <v>56</v>
      </c>
      <c r="AL141" s="1" t="s">
        <v>430</v>
      </c>
      <c r="AM141" s="1" t="s">
        <v>137</v>
      </c>
      <c r="AN141" s="1" t="s">
        <v>431</v>
      </c>
      <c r="AO141" s="1" t="s">
        <v>761</v>
      </c>
      <c r="AP141" s="1" t="s">
        <v>762</v>
      </c>
      <c r="AQ141" s="1" t="s">
        <v>74</v>
      </c>
      <c r="AR141" s="1" t="s">
        <v>763</v>
      </c>
      <c r="AS141" s="1" t="s">
        <v>764</v>
      </c>
      <c r="AT141" s="1" t="s">
        <v>765</v>
      </c>
      <c r="AU141" s="1">
        <v>2011</v>
      </c>
      <c r="AV141" s="1">
        <v>72</v>
      </c>
      <c r="AW141" s="1" t="s">
        <v>326</v>
      </c>
      <c r="AX141" s="1" t="s">
        <v>74</v>
      </c>
      <c r="AY141" s="1" t="s">
        <v>74</v>
      </c>
      <c r="AZ141" s="1" t="s">
        <v>74</v>
      </c>
      <c r="BA141" s="1" t="s">
        <v>74</v>
      </c>
      <c r="BB141" s="1">
        <v>33</v>
      </c>
      <c r="BC141" s="1">
        <v>39</v>
      </c>
      <c r="BD141" s="1" t="s">
        <v>74</v>
      </c>
      <c r="BE141" s="1" t="s">
        <v>2666</v>
      </c>
      <c r="BF141" s="1" t="str">
        <f>HYPERLINK("http://dx.doi.org/10.1016/j.marenvres.2011.04.002","http://dx.doi.org/10.1016/j.marenvres.2011.04.002")</f>
        <v>http://dx.doi.org/10.1016/j.marenvres.2011.04.002</v>
      </c>
      <c r="BG141" s="1" t="s">
        <v>74</v>
      </c>
      <c r="BH141" s="1" t="s">
        <v>74</v>
      </c>
      <c r="BI141" s="1">
        <v>7</v>
      </c>
      <c r="BJ141" s="1" t="s">
        <v>768</v>
      </c>
      <c r="BK141" s="1" t="s">
        <v>96</v>
      </c>
      <c r="BL141" s="1" t="s">
        <v>769</v>
      </c>
      <c r="BM141" s="1" t="s">
        <v>2667</v>
      </c>
      <c r="BN141" s="1">
        <v>21632102</v>
      </c>
      <c r="BO141" s="1" t="s">
        <v>810</v>
      </c>
      <c r="BP141" s="1" t="s">
        <v>74</v>
      </c>
      <c r="BQ141" s="1" t="s">
        <v>74</v>
      </c>
      <c r="BR141" s="1" t="s">
        <v>98</v>
      </c>
      <c r="BS141" s="1" t="s">
        <v>2668</v>
      </c>
      <c r="BT141" s="1" t="str">
        <f>HYPERLINK("https%3A%2F%2Fwww.webofscience.com%2Fwos%2Fwoscc%2Ffull-record%2FWOS:000295349300005","View Full Record in Web of Science")</f>
        <v>View Full Record in Web of Science</v>
      </c>
    </row>
    <row r="142" spans="1:72">
      <c r="A142" s="1" t="s">
        <v>72</v>
      </c>
      <c r="B142" s="1" t="s">
        <v>2669</v>
      </c>
      <c r="C142" s="1" t="s">
        <v>74</v>
      </c>
      <c r="D142" s="1" t="s">
        <v>74</v>
      </c>
      <c r="E142" s="1" t="s">
        <v>74</v>
      </c>
      <c r="F142" s="1" t="s">
        <v>2670</v>
      </c>
      <c r="G142" s="1" t="s">
        <v>74</v>
      </c>
      <c r="H142" s="1" t="s">
        <v>74</v>
      </c>
      <c r="I142" s="1" t="s">
        <v>2671</v>
      </c>
      <c r="J142" s="1" t="s">
        <v>204</v>
      </c>
      <c r="K142" s="1" t="s">
        <v>74</v>
      </c>
      <c r="L142" s="1" t="s">
        <v>74</v>
      </c>
      <c r="M142" s="1" t="s">
        <v>78</v>
      </c>
      <c r="N142" s="1" t="s">
        <v>79</v>
      </c>
      <c r="O142" s="1" t="s">
        <v>74</v>
      </c>
      <c r="P142" s="1" t="s">
        <v>74</v>
      </c>
      <c r="Q142" s="1" t="s">
        <v>74</v>
      </c>
      <c r="R142" s="1" t="s">
        <v>74</v>
      </c>
      <c r="S142" s="1" t="s">
        <v>74</v>
      </c>
      <c r="T142" s="1" t="s">
        <v>2672</v>
      </c>
      <c r="U142" s="1" t="s">
        <v>2673</v>
      </c>
      <c r="V142" s="1" t="s">
        <v>2674</v>
      </c>
      <c r="W142" s="1" t="s">
        <v>2675</v>
      </c>
      <c r="X142" s="1" t="s">
        <v>2676</v>
      </c>
      <c r="Y142" s="1" t="s">
        <v>2677</v>
      </c>
      <c r="Z142" s="1" t="s">
        <v>2678</v>
      </c>
      <c r="AA142" s="1" t="s">
        <v>2679</v>
      </c>
      <c r="AB142" s="1" t="s">
        <v>2680</v>
      </c>
      <c r="AC142" s="1" t="s">
        <v>2681</v>
      </c>
      <c r="AD142" s="1" t="s">
        <v>2682</v>
      </c>
      <c r="AE142" s="1" t="s">
        <v>2683</v>
      </c>
      <c r="AF142" s="1" t="s">
        <v>74</v>
      </c>
      <c r="AG142" s="1">
        <v>40</v>
      </c>
      <c r="AH142" s="1">
        <v>6</v>
      </c>
      <c r="AI142" s="1">
        <v>6</v>
      </c>
      <c r="AJ142" s="1">
        <v>0</v>
      </c>
      <c r="AK142" s="1">
        <v>14</v>
      </c>
      <c r="AL142" s="1" t="s">
        <v>217</v>
      </c>
      <c r="AM142" s="1" t="s">
        <v>218</v>
      </c>
      <c r="AN142" s="1" t="s">
        <v>219</v>
      </c>
      <c r="AO142" s="1" t="s">
        <v>220</v>
      </c>
      <c r="AP142" s="1" t="s">
        <v>221</v>
      </c>
      <c r="AQ142" s="1" t="s">
        <v>74</v>
      </c>
      <c r="AR142" s="1" t="s">
        <v>222</v>
      </c>
      <c r="AS142" s="1" t="s">
        <v>223</v>
      </c>
      <c r="AT142" s="1" t="s">
        <v>765</v>
      </c>
      <c r="AU142" s="1">
        <v>2021</v>
      </c>
      <c r="AV142" s="1">
        <v>28</v>
      </c>
      <c r="AW142" s="1">
        <v>27</v>
      </c>
      <c r="AX142" s="1" t="s">
        <v>74</v>
      </c>
      <c r="AY142" s="1" t="s">
        <v>74</v>
      </c>
      <c r="AZ142" s="1" t="s">
        <v>74</v>
      </c>
      <c r="BA142" s="1" t="s">
        <v>74</v>
      </c>
      <c r="BB142" s="1">
        <v>36626</v>
      </c>
      <c r="BC142" s="1">
        <v>36639</v>
      </c>
      <c r="BD142" s="1" t="s">
        <v>74</v>
      </c>
      <c r="BE142" s="1" t="s">
        <v>2684</v>
      </c>
      <c r="BF142" s="1" t="str">
        <f>HYPERLINK("http://dx.doi.org/10.1007/s11356-021-13298-7","http://dx.doi.org/10.1007/s11356-021-13298-7")</f>
        <v>http://dx.doi.org/10.1007/s11356-021-13298-7</v>
      </c>
      <c r="BG142" s="1" t="s">
        <v>74</v>
      </c>
      <c r="BH142" s="1" t="s">
        <v>992</v>
      </c>
      <c r="BI142" s="1">
        <v>14</v>
      </c>
      <c r="BJ142" s="1" t="s">
        <v>144</v>
      </c>
      <c r="BK142" s="1" t="s">
        <v>96</v>
      </c>
      <c r="BL142" s="1" t="s">
        <v>145</v>
      </c>
      <c r="BM142" s="1" t="s">
        <v>993</v>
      </c>
      <c r="BN142" s="1">
        <v>33694118</v>
      </c>
      <c r="BO142" s="1" t="s">
        <v>74</v>
      </c>
      <c r="BP142" s="1" t="s">
        <v>74</v>
      </c>
      <c r="BQ142" s="1" t="s">
        <v>74</v>
      </c>
      <c r="BR142" s="1" t="s">
        <v>98</v>
      </c>
      <c r="BS142" s="1" t="s">
        <v>2685</v>
      </c>
      <c r="BT142" s="1" t="str">
        <f>HYPERLINK("https%3A%2F%2Fwww.webofscience.com%2Fwos%2Fwoscc%2Ffull-record%2FWOS:000627268300001","View Full Record in Web of Science")</f>
        <v>View Full Record in Web of Science</v>
      </c>
    </row>
    <row r="143" spans="1:72">
      <c r="A143" s="1" t="s">
        <v>72</v>
      </c>
      <c r="B143" s="1" t="s">
        <v>2686</v>
      </c>
      <c r="C143" s="1" t="s">
        <v>74</v>
      </c>
      <c r="D143" s="1" t="s">
        <v>74</v>
      </c>
      <c r="E143" s="1" t="s">
        <v>74</v>
      </c>
      <c r="F143" s="1" t="s">
        <v>2686</v>
      </c>
      <c r="G143" s="1" t="s">
        <v>74</v>
      </c>
      <c r="H143" s="1" t="s">
        <v>74</v>
      </c>
      <c r="I143" s="1" t="s">
        <v>2687</v>
      </c>
      <c r="J143" s="1" t="s">
        <v>2688</v>
      </c>
      <c r="K143" s="1" t="s">
        <v>74</v>
      </c>
      <c r="L143" s="1" t="s">
        <v>74</v>
      </c>
      <c r="M143" s="1" t="s">
        <v>78</v>
      </c>
      <c r="N143" s="1" t="s">
        <v>151</v>
      </c>
      <c r="O143" s="1" t="s">
        <v>2689</v>
      </c>
      <c r="P143" s="1" t="s">
        <v>2690</v>
      </c>
      <c r="Q143" s="1" t="s">
        <v>2691</v>
      </c>
      <c r="R143" s="1" t="s">
        <v>74</v>
      </c>
      <c r="S143" s="1" t="s">
        <v>2692</v>
      </c>
      <c r="T143" s="1" t="s">
        <v>2693</v>
      </c>
      <c r="U143" s="1" t="s">
        <v>2694</v>
      </c>
      <c r="V143" s="1" t="s">
        <v>2695</v>
      </c>
      <c r="W143" s="1" t="s">
        <v>2696</v>
      </c>
      <c r="X143" s="1" t="s">
        <v>2697</v>
      </c>
      <c r="Y143" s="1" t="s">
        <v>2698</v>
      </c>
      <c r="Z143" s="1" t="s">
        <v>2699</v>
      </c>
      <c r="AA143" s="1" t="s">
        <v>2700</v>
      </c>
      <c r="AB143" s="1" t="s">
        <v>2701</v>
      </c>
      <c r="AC143" s="1" t="s">
        <v>74</v>
      </c>
      <c r="AD143" s="1" t="s">
        <v>74</v>
      </c>
      <c r="AE143" s="1" t="s">
        <v>74</v>
      </c>
      <c r="AF143" s="1" t="s">
        <v>74</v>
      </c>
      <c r="AG143" s="1">
        <v>48</v>
      </c>
      <c r="AH143" s="1">
        <v>153</v>
      </c>
      <c r="AI143" s="1">
        <v>166</v>
      </c>
      <c r="AJ143" s="1">
        <v>2</v>
      </c>
      <c r="AK143" s="1">
        <v>50</v>
      </c>
      <c r="AL143" s="1" t="s">
        <v>136</v>
      </c>
      <c r="AM143" s="1" t="s">
        <v>137</v>
      </c>
      <c r="AN143" s="1" t="s">
        <v>138</v>
      </c>
      <c r="AO143" s="1" t="s">
        <v>2702</v>
      </c>
      <c r="AP143" s="1" t="s">
        <v>74</v>
      </c>
      <c r="AQ143" s="1" t="s">
        <v>74</v>
      </c>
      <c r="AR143" s="1" t="s">
        <v>2703</v>
      </c>
      <c r="AS143" s="1" t="s">
        <v>2704</v>
      </c>
      <c r="AT143" s="1" t="s">
        <v>2705</v>
      </c>
      <c r="AU143" s="1">
        <v>2003</v>
      </c>
      <c r="AV143" s="1">
        <v>17</v>
      </c>
      <c r="AW143" s="1" t="s">
        <v>2706</v>
      </c>
      <c r="AX143" s="1" t="s">
        <v>74</v>
      </c>
      <c r="AY143" s="1" t="s">
        <v>74</v>
      </c>
      <c r="AZ143" s="1" t="s">
        <v>74</v>
      </c>
      <c r="BA143" s="1" t="s">
        <v>74</v>
      </c>
      <c r="BB143" s="1">
        <v>539</v>
      </c>
      <c r="BC143" s="1">
        <v>546</v>
      </c>
      <c r="BD143" s="1" t="s">
        <v>74</v>
      </c>
      <c r="BE143" s="1" t="s">
        <v>2707</v>
      </c>
      <c r="BF143" s="1" t="str">
        <f>HYPERLINK("http://dx.doi.org/10.1016/S0887-2333(03)00093-6","http://dx.doi.org/10.1016/S0887-2333(03)00093-6")</f>
        <v>http://dx.doi.org/10.1016/S0887-2333(03)00093-6</v>
      </c>
      <c r="BG143" s="1" t="s">
        <v>74</v>
      </c>
      <c r="BH143" s="1" t="s">
        <v>74</v>
      </c>
      <c r="BI143" s="1">
        <v>8</v>
      </c>
      <c r="BJ143" s="1" t="s">
        <v>95</v>
      </c>
      <c r="BK143" s="1" t="s">
        <v>172</v>
      </c>
      <c r="BL143" s="1" t="s">
        <v>95</v>
      </c>
      <c r="BM143" s="1" t="s">
        <v>2708</v>
      </c>
      <c r="BN143" s="1">
        <v>14599442</v>
      </c>
      <c r="BO143" s="1" t="s">
        <v>74</v>
      </c>
      <c r="BP143" s="1" t="s">
        <v>74</v>
      </c>
      <c r="BQ143" s="1" t="s">
        <v>74</v>
      </c>
      <c r="BR143" s="1" t="s">
        <v>98</v>
      </c>
      <c r="BS143" s="1" t="s">
        <v>2709</v>
      </c>
      <c r="BT143" s="1" t="str">
        <f>HYPERLINK("https%3A%2F%2Fwww.webofscience.com%2Fwos%2Fwoscc%2Ffull-record%2FWOS:000186733400006","View Full Record in Web of Science")</f>
        <v>View Full Record in Web of Science</v>
      </c>
    </row>
    <row r="144" spans="1:72">
      <c r="A144" s="1" t="s">
        <v>72</v>
      </c>
      <c r="B144" s="1" t="s">
        <v>2710</v>
      </c>
      <c r="C144" s="1" t="s">
        <v>74</v>
      </c>
      <c r="D144" s="1" t="s">
        <v>74</v>
      </c>
      <c r="E144" s="1" t="s">
        <v>74</v>
      </c>
      <c r="F144" s="1" t="s">
        <v>2710</v>
      </c>
      <c r="G144" s="1" t="s">
        <v>74</v>
      </c>
      <c r="H144" s="1" t="s">
        <v>74</v>
      </c>
      <c r="I144" s="1" t="s">
        <v>2711</v>
      </c>
      <c r="J144" s="1" t="s">
        <v>103</v>
      </c>
      <c r="K144" s="1" t="s">
        <v>74</v>
      </c>
      <c r="L144" s="1" t="s">
        <v>74</v>
      </c>
      <c r="M144" s="1" t="s">
        <v>78</v>
      </c>
      <c r="N144" s="1" t="s">
        <v>79</v>
      </c>
      <c r="O144" s="1" t="s">
        <v>74</v>
      </c>
      <c r="P144" s="1" t="s">
        <v>74</v>
      </c>
      <c r="Q144" s="1" t="s">
        <v>74</v>
      </c>
      <c r="R144" s="1" t="s">
        <v>74</v>
      </c>
      <c r="S144" s="1" t="s">
        <v>74</v>
      </c>
      <c r="T144" s="1" t="s">
        <v>74</v>
      </c>
      <c r="U144" s="1" t="s">
        <v>2712</v>
      </c>
      <c r="V144" s="1" t="s">
        <v>74</v>
      </c>
      <c r="W144" s="1" t="s">
        <v>2713</v>
      </c>
      <c r="X144" s="1" t="s">
        <v>2714</v>
      </c>
      <c r="Y144" s="1" t="s">
        <v>2715</v>
      </c>
      <c r="Z144" s="1" t="s">
        <v>74</v>
      </c>
      <c r="AA144" s="1" t="s">
        <v>2716</v>
      </c>
      <c r="AB144" s="1" t="s">
        <v>2717</v>
      </c>
      <c r="AC144" s="1" t="s">
        <v>74</v>
      </c>
      <c r="AD144" s="1" t="s">
        <v>74</v>
      </c>
      <c r="AE144" s="1" t="s">
        <v>74</v>
      </c>
      <c r="AF144" s="1" t="s">
        <v>74</v>
      </c>
      <c r="AG144" s="1">
        <v>17</v>
      </c>
      <c r="AH144" s="1">
        <v>27</v>
      </c>
      <c r="AI144" s="1">
        <v>27</v>
      </c>
      <c r="AJ144" s="1">
        <v>0</v>
      </c>
      <c r="AK144" s="1">
        <v>17</v>
      </c>
      <c r="AL144" s="1" t="s">
        <v>2718</v>
      </c>
      <c r="AM144" s="1" t="s">
        <v>113</v>
      </c>
      <c r="AN144" s="1" t="s">
        <v>2719</v>
      </c>
      <c r="AO144" s="1" t="s">
        <v>115</v>
      </c>
      <c r="AP144" s="1" t="s">
        <v>74</v>
      </c>
      <c r="AQ144" s="1" t="s">
        <v>74</v>
      </c>
      <c r="AR144" s="1" t="s">
        <v>117</v>
      </c>
      <c r="AS144" s="1" t="s">
        <v>118</v>
      </c>
      <c r="AT144" s="1" t="s">
        <v>305</v>
      </c>
      <c r="AU144" s="1">
        <v>2003</v>
      </c>
      <c r="AV144" s="1">
        <v>71</v>
      </c>
      <c r="AW144" s="1">
        <v>3</v>
      </c>
      <c r="AX144" s="1" t="s">
        <v>74</v>
      </c>
      <c r="AY144" s="1" t="s">
        <v>74</v>
      </c>
      <c r="AZ144" s="1" t="s">
        <v>74</v>
      </c>
      <c r="BA144" s="1" t="s">
        <v>74</v>
      </c>
      <c r="BB144" s="1">
        <v>551</v>
      </c>
      <c r="BC144" s="1">
        <v>560</v>
      </c>
      <c r="BD144" s="1" t="s">
        <v>74</v>
      </c>
      <c r="BE144" s="1" t="s">
        <v>2720</v>
      </c>
      <c r="BF144" s="1" t="str">
        <f>HYPERLINK("http://dx.doi.org/10.1007/s00128-003-8829-6","http://dx.doi.org/10.1007/s00128-003-8829-6")</f>
        <v>http://dx.doi.org/10.1007/s00128-003-8829-6</v>
      </c>
      <c r="BG144" s="1" t="s">
        <v>74</v>
      </c>
      <c r="BH144" s="1" t="s">
        <v>74</v>
      </c>
      <c r="BI144" s="1">
        <v>10</v>
      </c>
      <c r="BJ144" s="1" t="s">
        <v>121</v>
      </c>
      <c r="BK144" s="1" t="s">
        <v>96</v>
      </c>
      <c r="BL144" s="1" t="s">
        <v>122</v>
      </c>
      <c r="BM144" s="1" t="s">
        <v>2721</v>
      </c>
      <c r="BN144" s="1">
        <v>14567582</v>
      </c>
      <c r="BO144" s="1" t="s">
        <v>74</v>
      </c>
      <c r="BP144" s="1" t="s">
        <v>74</v>
      </c>
      <c r="BQ144" s="1" t="s">
        <v>74</v>
      </c>
      <c r="BR144" s="1" t="s">
        <v>98</v>
      </c>
      <c r="BS144" s="1" t="s">
        <v>2722</v>
      </c>
      <c r="BT144" s="1" t="str">
        <f>HYPERLINK("https%3A%2F%2Fwww.webofscience.com%2Fwos%2Fwoscc%2Ffull-record%2FWOS:000184807000016","View Full Record in Web of Science")</f>
        <v>View Full Record in Web of Science</v>
      </c>
    </row>
    <row r="145" spans="1:72">
      <c r="A145" s="1" t="s">
        <v>72</v>
      </c>
      <c r="B145" s="1" t="s">
        <v>2723</v>
      </c>
      <c r="C145" s="1" t="s">
        <v>74</v>
      </c>
      <c r="D145" s="1" t="s">
        <v>74</v>
      </c>
      <c r="E145" s="1" t="s">
        <v>74</v>
      </c>
      <c r="F145" s="1" t="s">
        <v>2724</v>
      </c>
      <c r="G145" s="1" t="s">
        <v>74</v>
      </c>
      <c r="H145" s="1" t="s">
        <v>74</v>
      </c>
      <c r="I145" s="1" t="s">
        <v>2725</v>
      </c>
      <c r="J145" s="1" t="s">
        <v>2726</v>
      </c>
      <c r="K145" s="1" t="s">
        <v>74</v>
      </c>
      <c r="L145" s="1" t="s">
        <v>74</v>
      </c>
      <c r="M145" s="1" t="s">
        <v>78</v>
      </c>
      <c r="N145" s="1" t="s">
        <v>79</v>
      </c>
      <c r="O145" s="1" t="s">
        <v>74</v>
      </c>
      <c r="P145" s="1" t="s">
        <v>74</v>
      </c>
      <c r="Q145" s="1" t="s">
        <v>74</v>
      </c>
      <c r="R145" s="1" t="s">
        <v>74</v>
      </c>
      <c r="S145" s="1" t="s">
        <v>74</v>
      </c>
      <c r="T145" s="1" t="s">
        <v>2727</v>
      </c>
      <c r="U145" s="1" t="s">
        <v>2728</v>
      </c>
      <c r="V145" s="1" t="s">
        <v>2729</v>
      </c>
      <c r="W145" s="1" t="s">
        <v>2730</v>
      </c>
      <c r="X145" s="1" t="s">
        <v>1519</v>
      </c>
      <c r="Y145" s="1" t="s">
        <v>2731</v>
      </c>
      <c r="Z145" s="1" t="s">
        <v>2732</v>
      </c>
      <c r="AA145" s="1" t="s">
        <v>2733</v>
      </c>
      <c r="AB145" s="1" t="s">
        <v>2734</v>
      </c>
      <c r="AC145" s="1" t="s">
        <v>2735</v>
      </c>
      <c r="AD145" s="1" t="s">
        <v>2736</v>
      </c>
      <c r="AE145" s="1" t="s">
        <v>2737</v>
      </c>
      <c r="AF145" s="1" t="s">
        <v>74</v>
      </c>
      <c r="AG145" s="1">
        <v>41</v>
      </c>
      <c r="AH145" s="1">
        <v>16</v>
      </c>
      <c r="AI145" s="1">
        <v>18</v>
      </c>
      <c r="AJ145" s="1">
        <v>0</v>
      </c>
      <c r="AK145" s="1">
        <v>46</v>
      </c>
      <c r="AL145" s="1" t="s">
        <v>112</v>
      </c>
      <c r="AM145" s="1" t="s">
        <v>113</v>
      </c>
      <c r="AN145" s="1" t="s">
        <v>114</v>
      </c>
      <c r="AO145" s="1" t="s">
        <v>2738</v>
      </c>
      <c r="AP145" s="1" t="s">
        <v>2739</v>
      </c>
      <c r="AQ145" s="1" t="s">
        <v>74</v>
      </c>
      <c r="AR145" s="1" t="s">
        <v>2740</v>
      </c>
      <c r="AS145" s="1" t="s">
        <v>2741</v>
      </c>
      <c r="AT145" s="1" t="s">
        <v>267</v>
      </c>
      <c r="AU145" s="1">
        <v>2014</v>
      </c>
      <c r="AV145" s="1">
        <v>113</v>
      </c>
      <c r="AW145" s="1">
        <v>10</v>
      </c>
      <c r="AX145" s="1" t="s">
        <v>74</v>
      </c>
      <c r="AY145" s="1" t="s">
        <v>74</v>
      </c>
      <c r="AZ145" s="1" t="s">
        <v>74</v>
      </c>
      <c r="BA145" s="1" t="s">
        <v>74</v>
      </c>
      <c r="BB145" s="1">
        <v>3737</v>
      </c>
      <c r="BC145" s="1">
        <v>3743</v>
      </c>
      <c r="BD145" s="1" t="s">
        <v>74</v>
      </c>
      <c r="BE145" s="1" t="s">
        <v>2742</v>
      </c>
      <c r="BF145" s="1" t="str">
        <f>HYPERLINK("http://dx.doi.org/10.1007/s00436-014-4039-x","http://dx.doi.org/10.1007/s00436-014-4039-x")</f>
        <v>http://dx.doi.org/10.1007/s00436-014-4039-x</v>
      </c>
      <c r="BG145" s="1" t="s">
        <v>74</v>
      </c>
      <c r="BH145" s="1" t="s">
        <v>74</v>
      </c>
      <c r="BI145" s="1">
        <v>7</v>
      </c>
      <c r="BJ145" s="1" t="s">
        <v>2340</v>
      </c>
      <c r="BK145" s="1" t="s">
        <v>96</v>
      </c>
      <c r="BL145" s="1" t="s">
        <v>2340</v>
      </c>
      <c r="BM145" s="1" t="s">
        <v>2743</v>
      </c>
      <c r="BN145" s="1">
        <v>25115732</v>
      </c>
      <c r="BO145" s="1" t="s">
        <v>2744</v>
      </c>
      <c r="BP145" s="1" t="s">
        <v>74</v>
      </c>
      <c r="BQ145" s="1" t="s">
        <v>74</v>
      </c>
      <c r="BR145" s="1" t="s">
        <v>98</v>
      </c>
      <c r="BS145" s="1" t="s">
        <v>2745</v>
      </c>
      <c r="BT145" s="1" t="str">
        <f>HYPERLINK("https%3A%2F%2Fwww.webofscience.com%2Fwos%2Fwoscc%2Ffull-record%2FWOS:000342453800021","View Full Record in Web of Science")</f>
        <v>View Full Record in Web of Science</v>
      </c>
    </row>
    <row r="146" spans="1:72">
      <c r="A146" s="1" t="s">
        <v>72</v>
      </c>
      <c r="B146" s="1" t="s">
        <v>2746</v>
      </c>
      <c r="C146" s="1" t="s">
        <v>74</v>
      </c>
      <c r="D146" s="1" t="s">
        <v>74</v>
      </c>
      <c r="E146" s="1" t="s">
        <v>74</v>
      </c>
      <c r="F146" s="1" t="s">
        <v>2747</v>
      </c>
      <c r="G146" s="1" t="s">
        <v>74</v>
      </c>
      <c r="H146" s="1" t="s">
        <v>74</v>
      </c>
      <c r="I146" s="1" t="s">
        <v>2748</v>
      </c>
      <c r="J146" s="1" t="s">
        <v>2749</v>
      </c>
      <c r="K146" s="1" t="s">
        <v>74</v>
      </c>
      <c r="L146" s="1" t="s">
        <v>74</v>
      </c>
      <c r="M146" s="1" t="s">
        <v>78</v>
      </c>
      <c r="N146" s="1" t="s">
        <v>79</v>
      </c>
      <c r="O146" s="1" t="s">
        <v>74</v>
      </c>
      <c r="P146" s="1" t="s">
        <v>74</v>
      </c>
      <c r="Q146" s="1" t="s">
        <v>74</v>
      </c>
      <c r="R146" s="1" t="s">
        <v>74</v>
      </c>
      <c r="S146" s="1" t="s">
        <v>74</v>
      </c>
      <c r="T146" s="1" t="s">
        <v>2750</v>
      </c>
      <c r="U146" s="1" t="s">
        <v>2751</v>
      </c>
      <c r="V146" s="1" t="s">
        <v>2752</v>
      </c>
      <c r="W146" s="1" t="s">
        <v>2753</v>
      </c>
      <c r="X146" s="1" t="s">
        <v>2754</v>
      </c>
      <c r="Y146" s="1" t="s">
        <v>2755</v>
      </c>
      <c r="Z146" s="1" t="s">
        <v>2756</v>
      </c>
      <c r="AA146" s="1" t="s">
        <v>74</v>
      </c>
      <c r="AB146" s="1" t="s">
        <v>74</v>
      </c>
      <c r="AC146" s="1" t="s">
        <v>2757</v>
      </c>
      <c r="AD146" s="1" t="s">
        <v>2757</v>
      </c>
      <c r="AE146" s="1" t="s">
        <v>2758</v>
      </c>
      <c r="AF146" s="1" t="s">
        <v>74</v>
      </c>
      <c r="AG146" s="1">
        <v>62</v>
      </c>
      <c r="AH146" s="1">
        <v>2</v>
      </c>
      <c r="AI146" s="1">
        <v>2</v>
      </c>
      <c r="AJ146" s="1">
        <v>3</v>
      </c>
      <c r="AK146" s="1">
        <v>15</v>
      </c>
      <c r="AL146" s="1" t="s">
        <v>2074</v>
      </c>
      <c r="AM146" s="1" t="s">
        <v>2075</v>
      </c>
      <c r="AN146" s="1" t="s">
        <v>2076</v>
      </c>
      <c r="AO146" s="1" t="s">
        <v>2759</v>
      </c>
      <c r="AP146" s="1" t="s">
        <v>2760</v>
      </c>
      <c r="AQ146" s="1" t="s">
        <v>74</v>
      </c>
      <c r="AR146" s="1" t="s">
        <v>2761</v>
      </c>
      <c r="AS146" s="1" t="s">
        <v>2762</v>
      </c>
      <c r="AT146" s="1" t="s">
        <v>2763</v>
      </c>
      <c r="AU146" s="1">
        <v>2024</v>
      </c>
      <c r="AV146" s="1">
        <v>59</v>
      </c>
      <c r="AW146" s="1">
        <v>1</v>
      </c>
      <c r="AX146" s="1" t="s">
        <v>74</v>
      </c>
      <c r="AY146" s="1" t="s">
        <v>74</v>
      </c>
      <c r="AZ146" s="1" t="s">
        <v>74</v>
      </c>
      <c r="BA146" s="1" t="s">
        <v>74</v>
      </c>
      <c r="BB146" s="1">
        <v>123</v>
      </c>
      <c r="BC146" s="1">
        <v>131</v>
      </c>
      <c r="BD146" s="1" t="s">
        <v>74</v>
      </c>
      <c r="BE146" s="1" t="s">
        <v>2764</v>
      </c>
      <c r="BF146" s="1" t="str">
        <f>HYPERLINK("http://dx.doi.org/10.1080/01650521.2022.2065738","http://dx.doi.org/10.1080/01650521.2022.2065738")</f>
        <v>http://dx.doi.org/10.1080/01650521.2022.2065738</v>
      </c>
      <c r="BG146" s="1" t="s">
        <v>74</v>
      </c>
      <c r="BH146" s="1" t="s">
        <v>2765</v>
      </c>
      <c r="BI146" s="1">
        <v>9</v>
      </c>
      <c r="BJ146" s="1" t="s">
        <v>2210</v>
      </c>
      <c r="BK146" s="1" t="s">
        <v>96</v>
      </c>
      <c r="BL146" s="1" t="s">
        <v>2210</v>
      </c>
      <c r="BM146" s="1" t="s">
        <v>2766</v>
      </c>
      <c r="BN146" s="1" t="s">
        <v>74</v>
      </c>
      <c r="BO146" s="1" t="s">
        <v>74</v>
      </c>
      <c r="BP146" s="1" t="s">
        <v>74</v>
      </c>
      <c r="BQ146" s="1" t="s">
        <v>74</v>
      </c>
      <c r="BR146" s="1" t="s">
        <v>98</v>
      </c>
      <c r="BS146" s="1" t="s">
        <v>2767</v>
      </c>
      <c r="BT146" s="1" t="str">
        <f>HYPERLINK("https%3A%2F%2Fwww.webofscience.com%2Fwos%2Fwoscc%2Ffull-record%2FWOS:000790274300001","View Full Record in Web of Science")</f>
        <v>View Full Record in Web of Science</v>
      </c>
    </row>
    <row r="147" spans="1:72">
      <c r="A147" s="1" t="s">
        <v>72</v>
      </c>
      <c r="B147" s="1" t="s">
        <v>2768</v>
      </c>
      <c r="C147" s="1" t="s">
        <v>74</v>
      </c>
      <c r="D147" s="1" t="s">
        <v>74</v>
      </c>
      <c r="E147" s="1" t="s">
        <v>74</v>
      </c>
      <c r="F147" s="1" t="s">
        <v>2769</v>
      </c>
      <c r="G147" s="1" t="s">
        <v>74</v>
      </c>
      <c r="H147" s="1" t="s">
        <v>74</v>
      </c>
      <c r="I147" s="1" t="s">
        <v>2770</v>
      </c>
      <c r="J147" s="1" t="s">
        <v>204</v>
      </c>
      <c r="K147" s="1" t="s">
        <v>74</v>
      </c>
      <c r="L147" s="1" t="s">
        <v>74</v>
      </c>
      <c r="M147" s="1" t="s">
        <v>78</v>
      </c>
      <c r="N147" s="1" t="s">
        <v>79</v>
      </c>
      <c r="O147" s="1" t="s">
        <v>74</v>
      </c>
      <c r="P147" s="1" t="s">
        <v>74</v>
      </c>
      <c r="Q147" s="1" t="s">
        <v>74</v>
      </c>
      <c r="R147" s="1" t="s">
        <v>74</v>
      </c>
      <c r="S147" s="1" t="s">
        <v>74</v>
      </c>
      <c r="T147" s="1" t="s">
        <v>2771</v>
      </c>
      <c r="U147" s="1" t="s">
        <v>2772</v>
      </c>
      <c r="V147" s="1" t="s">
        <v>2773</v>
      </c>
      <c r="W147" s="1" t="s">
        <v>2774</v>
      </c>
      <c r="X147" s="1" t="s">
        <v>2775</v>
      </c>
      <c r="Y147" s="1" t="s">
        <v>2776</v>
      </c>
      <c r="Z147" s="1" t="s">
        <v>74</v>
      </c>
      <c r="AA147" s="1" t="s">
        <v>2777</v>
      </c>
      <c r="AB147" s="1" t="s">
        <v>2778</v>
      </c>
      <c r="AC147" s="1" t="s">
        <v>2779</v>
      </c>
      <c r="AD147" s="1" t="s">
        <v>2779</v>
      </c>
      <c r="AE147" s="1" t="s">
        <v>2780</v>
      </c>
      <c r="AF147" s="1" t="s">
        <v>74</v>
      </c>
      <c r="AG147" s="1">
        <v>90</v>
      </c>
      <c r="AH147" s="1">
        <v>1</v>
      </c>
      <c r="AI147" s="1">
        <v>1</v>
      </c>
      <c r="AJ147" s="1">
        <v>9</v>
      </c>
      <c r="AK147" s="1">
        <v>13</v>
      </c>
      <c r="AL147" s="1" t="s">
        <v>217</v>
      </c>
      <c r="AM147" s="1" t="s">
        <v>218</v>
      </c>
      <c r="AN147" s="1" t="s">
        <v>219</v>
      </c>
      <c r="AO147" s="1" t="s">
        <v>220</v>
      </c>
      <c r="AP147" s="1" t="s">
        <v>221</v>
      </c>
      <c r="AQ147" s="1" t="s">
        <v>74</v>
      </c>
      <c r="AR147" s="1" t="s">
        <v>222</v>
      </c>
      <c r="AS147" s="1" t="s">
        <v>223</v>
      </c>
      <c r="AT147" s="1" t="s">
        <v>1223</v>
      </c>
      <c r="AU147" s="1">
        <v>2024</v>
      </c>
      <c r="AV147" s="1">
        <v>31</v>
      </c>
      <c r="AW147" s="1">
        <v>13</v>
      </c>
      <c r="AX147" s="1" t="s">
        <v>74</v>
      </c>
      <c r="AY147" s="1" t="s">
        <v>74</v>
      </c>
      <c r="AZ147" s="1" t="s">
        <v>74</v>
      </c>
      <c r="BA147" s="1" t="s">
        <v>74</v>
      </c>
      <c r="BB147" s="1">
        <v>20586</v>
      </c>
      <c r="BC147" s="1">
        <v>20600</v>
      </c>
      <c r="BD147" s="1" t="s">
        <v>74</v>
      </c>
      <c r="BE147" s="1" t="s">
        <v>2781</v>
      </c>
      <c r="BF147" s="1" t="str">
        <f>HYPERLINK("http://dx.doi.org/10.1007/s11356-024-32268-3","http://dx.doi.org/10.1007/s11356-024-32268-3")</f>
        <v>http://dx.doi.org/10.1007/s11356-024-32268-3</v>
      </c>
      <c r="BG147" s="1" t="s">
        <v>74</v>
      </c>
      <c r="BH147" s="1" t="s">
        <v>2782</v>
      </c>
      <c r="BI147" s="1">
        <v>15</v>
      </c>
      <c r="BJ147" s="1" t="s">
        <v>144</v>
      </c>
      <c r="BK147" s="1" t="s">
        <v>96</v>
      </c>
      <c r="BL147" s="1" t="s">
        <v>145</v>
      </c>
      <c r="BM147" s="1" t="s">
        <v>2783</v>
      </c>
      <c r="BN147" s="1">
        <v>38374506</v>
      </c>
      <c r="BO147" s="1" t="s">
        <v>2784</v>
      </c>
      <c r="BP147" s="1" t="s">
        <v>74</v>
      </c>
      <c r="BQ147" s="1" t="s">
        <v>74</v>
      </c>
      <c r="BR147" s="1" t="s">
        <v>98</v>
      </c>
      <c r="BS147" s="1" t="s">
        <v>2785</v>
      </c>
      <c r="BT147" s="1" t="str">
        <f>HYPERLINK("https%3A%2F%2Fwww.webofscience.com%2Fwos%2Fwoscc%2Ffull-record%2FWOS:001165169900003","View Full Record in Web of Science")</f>
        <v>View Full Record in Web of Science</v>
      </c>
    </row>
    <row r="148" spans="1:72">
      <c r="A148" s="1" t="s">
        <v>72</v>
      </c>
      <c r="B148" s="1" t="s">
        <v>2786</v>
      </c>
      <c r="C148" s="1" t="s">
        <v>74</v>
      </c>
      <c r="D148" s="1" t="s">
        <v>74</v>
      </c>
      <c r="E148" s="1" t="s">
        <v>74</v>
      </c>
      <c r="F148" s="1" t="s">
        <v>2786</v>
      </c>
      <c r="G148" s="1" t="s">
        <v>74</v>
      </c>
      <c r="H148" s="1" t="s">
        <v>74</v>
      </c>
      <c r="I148" s="1" t="s">
        <v>2787</v>
      </c>
      <c r="J148" s="1" t="s">
        <v>232</v>
      </c>
      <c r="K148" s="1" t="s">
        <v>74</v>
      </c>
      <c r="L148" s="1" t="s">
        <v>74</v>
      </c>
      <c r="M148" s="1" t="s">
        <v>78</v>
      </c>
      <c r="N148" s="1" t="s">
        <v>79</v>
      </c>
      <c r="O148" s="1" t="s">
        <v>74</v>
      </c>
      <c r="P148" s="1" t="s">
        <v>74</v>
      </c>
      <c r="Q148" s="1" t="s">
        <v>74</v>
      </c>
      <c r="R148" s="1" t="s">
        <v>74</v>
      </c>
      <c r="S148" s="1" t="s">
        <v>74</v>
      </c>
      <c r="T148" s="1" t="s">
        <v>2788</v>
      </c>
      <c r="U148" s="1" t="s">
        <v>2789</v>
      </c>
      <c r="V148" s="1" t="s">
        <v>2790</v>
      </c>
      <c r="W148" s="1" t="s">
        <v>2791</v>
      </c>
      <c r="X148" s="1" t="s">
        <v>2036</v>
      </c>
      <c r="Y148" s="1" t="s">
        <v>2792</v>
      </c>
      <c r="Z148" s="1" t="s">
        <v>74</v>
      </c>
      <c r="AA148" s="1" t="s">
        <v>2793</v>
      </c>
      <c r="AB148" s="1" t="s">
        <v>2794</v>
      </c>
      <c r="AC148" s="1" t="s">
        <v>74</v>
      </c>
      <c r="AD148" s="1" t="s">
        <v>74</v>
      </c>
      <c r="AE148" s="1" t="s">
        <v>74</v>
      </c>
      <c r="AF148" s="1" t="s">
        <v>74</v>
      </c>
      <c r="AG148" s="1">
        <v>14</v>
      </c>
      <c r="AH148" s="1">
        <v>47</v>
      </c>
      <c r="AI148" s="1">
        <v>51</v>
      </c>
      <c r="AJ148" s="1">
        <v>1</v>
      </c>
      <c r="AK148" s="1">
        <v>19</v>
      </c>
      <c r="AL148" s="1" t="s">
        <v>136</v>
      </c>
      <c r="AM148" s="1" t="s">
        <v>137</v>
      </c>
      <c r="AN148" s="1" t="s">
        <v>138</v>
      </c>
      <c r="AO148" s="1" t="s">
        <v>240</v>
      </c>
      <c r="AP148" s="1" t="s">
        <v>241</v>
      </c>
      <c r="AQ148" s="1" t="s">
        <v>74</v>
      </c>
      <c r="AR148" s="1" t="s">
        <v>242</v>
      </c>
      <c r="AS148" s="1" t="s">
        <v>243</v>
      </c>
      <c r="AT148" s="1" t="s">
        <v>951</v>
      </c>
      <c r="AU148" s="1">
        <v>1999</v>
      </c>
      <c r="AV148" s="1">
        <v>38</v>
      </c>
      <c r="AW148" s="1">
        <v>11</v>
      </c>
      <c r="AX148" s="1" t="s">
        <v>74</v>
      </c>
      <c r="AY148" s="1" t="s">
        <v>74</v>
      </c>
      <c r="AZ148" s="1" t="s">
        <v>74</v>
      </c>
      <c r="BA148" s="1" t="s">
        <v>74</v>
      </c>
      <c r="BB148" s="1">
        <v>960</v>
      </c>
      <c r="BC148" s="1">
        <v>965</v>
      </c>
      <c r="BD148" s="1" t="s">
        <v>74</v>
      </c>
      <c r="BE148" s="1" t="s">
        <v>2795</v>
      </c>
      <c r="BF148" s="1" t="str">
        <f>HYPERLINK("http://dx.doi.org/10.1016/S0025-326X(99)00108-3","http://dx.doi.org/10.1016/S0025-326X(99)00108-3")</f>
        <v>http://dx.doi.org/10.1016/S0025-326X(99)00108-3</v>
      </c>
      <c r="BG148" s="1" t="s">
        <v>74</v>
      </c>
      <c r="BH148" s="1" t="s">
        <v>74</v>
      </c>
      <c r="BI148" s="1">
        <v>6</v>
      </c>
      <c r="BJ148" s="1" t="s">
        <v>247</v>
      </c>
      <c r="BK148" s="1" t="s">
        <v>96</v>
      </c>
      <c r="BL148" s="1" t="s">
        <v>248</v>
      </c>
      <c r="BM148" s="1" t="s">
        <v>2796</v>
      </c>
      <c r="BN148" s="1" t="s">
        <v>74</v>
      </c>
      <c r="BO148" s="1" t="s">
        <v>1752</v>
      </c>
      <c r="BP148" s="1" t="s">
        <v>74</v>
      </c>
      <c r="BQ148" s="1" t="s">
        <v>74</v>
      </c>
      <c r="BR148" s="1" t="s">
        <v>98</v>
      </c>
      <c r="BS148" s="1" t="s">
        <v>2797</v>
      </c>
      <c r="BT148" s="1" t="str">
        <f>HYPERLINK("https%3A%2F%2Fwww.webofscience.com%2Fwos%2Fwoscc%2Ffull-record%2FWOS:000084535700011","View Full Record in Web of Science")</f>
        <v>View Full Record in Web of Science</v>
      </c>
    </row>
    <row r="149" spans="1:72">
      <c r="A149" s="1" t="s">
        <v>72</v>
      </c>
      <c r="B149" s="1" t="s">
        <v>2798</v>
      </c>
      <c r="C149" s="1" t="s">
        <v>74</v>
      </c>
      <c r="D149" s="1" t="s">
        <v>74</v>
      </c>
      <c r="E149" s="1" t="s">
        <v>74</v>
      </c>
      <c r="F149" s="1" t="s">
        <v>2799</v>
      </c>
      <c r="G149" s="1" t="s">
        <v>74</v>
      </c>
      <c r="H149" s="1" t="s">
        <v>74</v>
      </c>
      <c r="I149" s="1" t="s">
        <v>2800</v>
      </c>
      <c r="J149" s="1" t="s">
        <v>204</v>
      </c>
      <c r="K149" s="1" t="s">
        <v>74</v>
      </c>
      <c r="L149" s="1" t="s">
        <v>74</v>
      </c>
      <c r="M149" s="1" t="s">
        <v>78</v>
      </c>
      <c r="N149" s="1" t="s">
        <v>79</v>
      </c>
      <c r="O149" s="1" t="s">
        <v>74</v>
      </c>
      <c r="P149" s="1" t="s">
        <v>74</v>
      </c>
      <c r="Q149" s="1" t="s">
        <v>74</v>
      </c>
      <c r="R149" s="1" t="s">
        <v>74</v>
      </c>
      <c r="S149" s="1" t="s">
        <v>74</v>
      </c>
      <c r="T149" s="1" t="s">
        <v>2801</v>
      </c>
      <c r="U149" s="1" t="s">
        <v>2802</v>
      </c>
      <c r="V149" s="1" t="s">
        <v>2803</v>
      </c>
      <c r="W149" s="1" t="s">
        <v>2804</v>
      </c>
      <c r="X149" s="1" t="s">
        <v>2805</v>
      </c>
      <c r="Y149" s="1" t="s">
        <v>2806</v>
      </c>
      <c r="Z149" s="1" t="s">
        <v>2807</v>
      </c>
      <c r="AA149" s="1" t="s">
        <v>2808</v>
      </c>
      <c r="AB149" s="1" t="s">
        <v>2809</v>
      </c>
      <c r="AC149" s="1" t="s">
        <v>2810</v>
      </c>
      <c r="AD149" s="1" t="s">
        <v>2810</v>
      </c>
      <c r="AE149" s="1" t="s">
        <v>2811</v>
      </c>
      <c r="AF149" s="1" t="s">
        <v>74</v>
      </c>
      <c r="AG149" s="1">
        <v>35</v>
      </c>
      <c r="AH149" s="1">
        <v>19</v>
      </c>
      <c r="AI149" s="1">
        <v>19</v>
      </c>
      <c r="AJ149" s="1">
        <v>1</v>
      </c>
      <c r="AK149" s="1">
        <v>48</v>
      </c>
      <c r="AL149" s="1" t="s">
        <v>217</v>
      </c>
      <c r="AM149" s="1" t="s">
        <v>218</v>
      </c>
      <c r="AN149" s="1" t="s">
        <v>219</v>
      </c>
      <c r="AO149" s="1" t="s">
        <v>220</v>
      </c>
      <c r="AP149" s="1" t="s">
        <v>221</v>
      </c>
      <c r="AQ149" s="1" t="s">
        <v>74</v>
      </c>
      <c r="AR149" s="1" t="s">
        <v>222</v>
      </c>
      <c r="AS149" s="1" t="s">
        <v>223</v>
      </c>
      <c r="AT149" s="1" t="s">
        <v>267</v>
      </c>
      <c r="AU149" s="1">
        <v>2014</v>
      </c>
      <c r="AV149" s="1">
        <v>21</v>
      </c>
      <c r="AW149" s="1">
        <v>19</v>
      </c>
      <c r="AX149" s="1" t="s">
        <v>74</v>
      </c>
      <c r="AY149" s="1" t="s">
        <v>74</v>
      </c>
      <c r="AZ149" s="1" t="s">
        <v>74</v>
      </c>
      <c r="BA149" s="1" t="s">
        <v>74</v>
      </c>
      <c r="BB149" s="1">
        <v>11331</v>
      </c>
      <c r="BC149" s="1">
        <v>11339</v>
      </c>
      <c r="BD149" s="1" t="s">
        <v>74</v>
      </c>
      <c r="BE149" s="1" t="s">
        <v>2812</v>
      </c>
      <c r="BF149" s="1" t="str">
        <f>HYPERLINK("http://dx.doi.org/10.1007/s11356-014-3079-1","http://dx.doi.org/10.1007/s11356-014-3079-1")</f>
        <v>http://dx.doi.org/10.1007/s11356-014-3079-1</v>
      </c>
      <c r="BG149" s="1" t="s">
        <v>74</v>
      </c>
      <c r="BH149" s="1" t="s">
        <v>74</v>
      </c>
      <c r="BI149" s="1">
        <v>9</v>
      </c>
      <c r="BJ149" s="1" t="s">
        <v>144</v>
      </c>
      <c r="BK149" s="1" t="s">
        <v>96</v>
      </c>
      <c r="BL149" s="1" t="s">
        <v>145</v>
      </c>
      <c r="BM149" s="1" t="s">
        <v>2813</v>
      </c>
      <c r="BN149" s="1">
        <v>24870291</v>
      </c>
      <c r="BO149" s="1" t="s">
        <v>74</v>
      </c>
      <c r="BP149" s="1" t="s">
        <v>74</v>
      </c>
      <c r="BQ149" s="1" t="s">
        <v>74</v>
      </c>
      <c r="BR149" s="1" t="s">
        <v>98</v>
      </c>
      <c r="BS149" s="1" t="s">
        <v>2814</v>
      </c>
      <c r="BT149" s="1" t="str">
        <f>HYPERLINK("https%3A%2F%2Fwww.webofscience.com%2Fwos%2Fwoscc%2Ffull-record%2FWOS:000342416400022","View Full Record in Web of Science")</f>
        <v>View Full Record in Web of Science</v>
      </c>
    </row>
    <row r="150" spans="1:72">
      <c r="A150" s="1" t="s">
        <v>72</v>
      </c>
      <c r="B150" s="1" t="s">
        <v>2815</v>
      </c>
      <c r="C150" s="1" t="s">
        <v>74</v>
      </c>
      <c r="D150" s="1" t="s">
        <v>74</v>
      </c>
      <c r="E150" s="1" t="s">
        <v>74</v>
      </c>
      <c r="F150" s="1" t="s">
        <v>2816</v>
      </c>
      <c r="G150" s="1" t="s">
        <v>74</v>
      </c>
      <c r="H150" s="1" t="s">
        <v>74</v>
      </c>
      <c r="I150" s="1" t="s">
        <v>2817</v>
      </c>
      <c r="J150" s="1" t="s">
        <v>2818</v>
      </c>
      <c r="K150" s="1" t="s">
        <v>74</v>
      </c>
      <c r="L150" s="1" t="s">
        <v>74</v>
      </c>
      <c r="M150" s="1" t="s">
        <v>78</v>
      </c>
      <c r="N150" s="1" t="s">
        <v>79</v>
      </c>
      <c r="O150" s="1" t="s">
        <v>74</v>
      </c>
      <c r="P150" s="1" t="s">
        <v>74</v>
      </c>
      <c r="Q150" s="1" t="s">
        <v>74</v>
      </c>
      <c r="R150" s="1" t="s">
        <v>74</v>
      </c>
      <c r="S150" s="1" t="s">
        <v>74</v>
      </c>
      <c r="T150" s="1" t="s">
        <v>2819</v>
      </c>
      <c r="U150" s="1" t="s">
        <v>2820</v>
      </c>
      <c r="V150" s="1" t="s">
        <v>2821</v>
      </c>
      <c r="W150" s="1" t="s">
        <v>2822</v>
      </c>
      <c r="X150" s="1" t="s">
        <v>2823</v>
      </c>
      <c r="Y150" s="1" t="s">
        <v>2824</v>
      </c>
      <c r="Z150" s="1" t="s">
        <v>2825</v>
      </c>
      <c r="AA150" s="1" t="s">
        <v>74</v>
      </c>
      <c r="AB150" s="1" t="s">
        <v>2826</v>
      </c>
      <c r="AC150" s="1" t="s">
        <v>2827</v>
      </c>
      <c r="AD150" s="1" t="s">
        <v>2827</v>
      </c>
      <c r="AE150" s="1" t="s">
        <v>2828</v>
      </c>
      <c r="AF150" s="1" t="s">
        <v>74</v>
      </c>
      <c r="AG150" s="1">
        <v>49</v>
      </c>
      <c r="AH150" s="1">
        <v>4</v>
      </c>
      <c r="AI150" s="1">
        <v>4</v>
      </c>
      <c r="AJ150" s="1">
        <v>4</v>
      </c>
      <c r="AK150" s="1">
        <v>10</v>
      </c>
      <c r="AL150" s="1" t="s">
        <v>1566</v>
      </c>
      <c r="AM150" s="1" t="s">
        <v>1567</v>
      </c>
      <c r="AN150" s="1" t="s">
        <v>1568</v>
      </c>
      <c r="AO150" s="1" t="s">
        <v>74</v>
      </c>
      <c r="AP150" s="1" t="s">
        <v>2829</v>
      </c>
      <c r="AQ150" s="1" t="s">
        <v>74</v>
      </c>
      <c r="AR150" s="1" t="s">
        <v>2818</v>
      </c>
      <c r="AS150" s="1" t="s">
        <v>2830</v>
      </c>
      <c r="AT150" s="1" t="s">
        <v>119</v>
      </c>
      <c r="AU150" s="1">
        <v>2023</v>
      </c>
      <c r="AV150" s="1">
        <v>12</v>
      </c>
      <c r="AW150" s="1">
        <v>16</v>
      </c>
      <c r="AX150" s="1" t="s">
        <v>74</v>
      </c>
      <c r="AY150" s="1" t="s">
        <v>74</v>
      </c>
      <c r="AZ150" s="1" t="s">
        <v>74</v>
      </c>
      <c r="BA150" s="1" t="s">
        <v>74</v>
      </c>
      <c r="BB150" s="1" t="s">
        <v>74</v>
      </c>
      <c r="BC150" s="1" t="s">
        <v>74</v>
      </c>
      <c r="BD150" s="1">
        <v>3018</v>
      </c>
      <c r="BE150" s="1" t="s">
        <v>2831</v>
      </c>
      <c r="BF150" s="1" t="str">
        <f>HYPERLINK("http://dx.doi.org/10.3390/foods12163018","http://dx.doi.org/10.3390/foods12163018")</f>
        <v>http://dx.doi.org/10.3390/foods12163018</v>
      </c>
      <c r="BG150" s="1" t="s">
        <v>74</v>
      </c>
      <c r="BH150" s="1" t="s">
        <v>74</v>
      </c>
      <c r="BI150" s="1">
        <v>18</v>
      </c>
      <c r="BJ150" s="1" t="s">
        <v>2598</v>
      </c>
      <c r="BK150" s="1" t="s">
        <v>96</v>
      </c>
      <c r="BL150" s="1" t="s">
        <v>2598</v>
      </c>
      <c r="BM150" s="1" t="s">
        <v>2832</v>
      </c>
      <c r="BN150" s="1">
        <v>37628017</v>
      </c>
      <c r="BO150" s="1" t="s">
        <v>550</v>
      </c>
      <c r="BP150" s="1" t="s">
        <v>74</v>
      </c>
      <c r="BQ150" s="1" t="s">
        <v>74</v>
      </c>
      <c r="BR150" s="1" t="s">
        <v>98</v>
      </c>
      <c r="BS150" s="1" t="s">
        <v>2833</v>
      </c>
      <c r="BT150" s="1" t="str">
        <f>HYPERLINK("https%3A%2F%2Fwww.webofscience.com%2Fwos%2Fwoscc%2Ffull-record%2FWOS:001056966900001","View Full Record in Web of Science")</f>
        <v>View Full Record in Web of Science</v>
      </c>
    </row>
    <row r="151" spans="1:72">
      <c r="A151" s="1" t="s">
        <v>72</v>
      </c>
      <c r="B151" s="1" t="s">
        <v>2834</v>
      </c>
      <c r="C151" s="1" t="s">
        <v>74</v>
      </c>
      <c r="D151" s="1" t="s">
        <v>74</v>
      </c>
      <c r="E151" s="1" t="s">
        <v>74</v>
      </c>
      <c r="F151" s="1" t="s">
        <v>2834</v>
      </c>
      <c r="G151" s="1" t="s">
        <v>74</v>
      </c>
      <c r="H151" s="1" t="s">
        <v>74</v>
      </c>
      <c r="I151" s="1" t="s">
        <v>2835</v>
      </c>
      <c r="J151" s="1" t="s">
        <v>909</v>
      </c>
      <c r="K151" s="1" t="s">
        <v>74</v>
      </c>
      <c r="L151" s="1" t="s">
        <v>74</v>
      </c>
      <c r="M151" s="1" t="s">
        <v>78</v>
      </c>
      <c r="N151" s="1" t="s">
        <v>151</v>
      </c>
      <c r="O151" s="1" t="s">
        <v>2836</v>
      </c>
      <c r="P151" s="1" t="s">
        <v>2837</v>
      </c>
      <c r="Q151" s="1" t="s">
        <v>2838</v>
      </c>
      <c r="R151" s="1" t="s">
        <v>74</v>
      </c>
      <c r="S151" s="1" t="s">
        <v>74</v>
      </c>
      <c r="T151" s="1" t="s">
        <v>2839</v>
      </c>
      <c r="U151" s="1" t="s">
        <v>2840</v>
      </c>
      <c r="V151" s="1" t="s">
        <v>2841</v>
      </c>
      <c r="W151" s="1" t="s">
        <v>2842</v>
      </c>
      <c r="X151" s="1" t="s">
        <v>2843</v>
      </c>
      <c r="Y151" s="1" t="s">
        <v>2844</v>
      </c>
      <c r="Z151" s="1" t="s">
        <v>2845</v>
      </c>
      <c r="AA151" s="1" t="s">
        <v>74</v>
      </c>
      <c r="AB151" s="1" t="s">
        <v>74</v>
      </c>
      <c r="AC151" s="1" t="s">
        <v>74</v>
      </c>
      <c r="AD151" s="1" t="s">
        <v>74</v>
      </c>
      <c r="AE151" s="1" t="s">
        <v>74</v>
      </c>
      <c r="AF151" s="1" t="s">
        <v>74</v>
      </c>
      <c r="AG151" s="1">
        <v>20</v>
      </c>
      <c r="AH151" s="1">
        <v>29</v>
      </c>
      <c r="AI151" s="1">
        <v>32</v>
      </c>
      <c r="AJ151" s="1">
        <v>1</v>
      </c>
      <c r="AK151" s="1">
        <v>7</v>
      </c>
      <c r="AL151" s="1" t="s">
        <v>650</v>
      </c>
      <c r="AM151" s="1" t="s">
        <v>651</v>
      </c>
      <c r="AN151" s="1" t="s">
        <v>652</v>
      </c>
      <c r="AO151" s="1" t="s">
        <v>921</v>
      </c>
      <c r="AP151" s="1" t="s">
        <v>922</v>
      </c>
      <c r="AQ151" s="1" t="s">
        <v>74</v>
      </c>
      <c r="AR151" s="1" t="s">
        <v>923</v>
      </c>
      <c r="AS151" s="1" t="s">
        <v>924</v>
      </c>
      <c r="AT151" s="1" t="s">
        <v>2846</v>
      </c>
      <c r="AU151" s="1">
        <v>2003</v>
      </c>
      <c r="AV151" s="1">
        <v>304</v>
      </c>
      <c r="AW151" s="1" t="s">
        <v>2847</v>
      </c>
      <c r="AX151" s="1" t="s">
        <v>74</v>
      </c>
      <c r="AY151" s="1" t="s">
        <v>74</v>
      </c>
      <c r="AZ151" s="1" t="s">
        <v>74</v>
      </c>
      <c r="BA151" s="1" t="s">
        <v>74</v>
      </c>
      <c r="BB151" s="1">
        <v>369</v>
      </c>
      <c r="BC151" s="1">
        <v>375</v>
      </c>
      <c r="BD151" s="1" t="s">
        <v>2848</v>
      </c>
      <c r="BE151" s="1" t="s">
        <v>2849</v>
      </c>
      <c r="BF151" s="1" t="str">
        <f>HYPERLINK("http://dx.doi.org/10.1016/S0048-9697(02)00582-X","http://dx.doi.org/10.1016/S0048-9697(02)00582-X")</f>
        <v>http://dx.doi.org/10.1016/S0048-9697(02)00582-X</v>
      </c>
      <c r="BG151" s="1" t="s">
        <v>74</v>
      </c>
      <c r="BH151" s="1" t="s">
        <v>74</v>
      </c>
      <c r="BI151" s="1">
        <v>7</v>
      </c>
      <c r="BJ151" s="1" t="s">
        <v>144</v>
      </c>
      <c r="BK151" s="1" t="s">
        <v>172</v>
      </c>
      <c r="BL151" s="1" t="s">
        <v>145</v>
      </c>
      <c r="BM151" s="1" t="s">
        <v>2850</v>
      </c>
      <c r="BN151" s="1">
        <v>12663197</v>
      </c>
      <c r="BO151" s="1" t="s">
        <v>74</v>
      </c>
      <c r="BP151" s="1" t="s">
        <v>74</v>
      </c>
      <c r="BQ151" s="1" t="s">
        <v>74</v>
      </c>
      <c r="BR151" s="1" t="s">
        <v>98</v>
      </c>
      <c r="BS151" s="1" t="s">
        <v>2851</v>
      </c>
      <c r="BT151" s="1" t="str">
        <f>HYPERLINK("https%3A%2F%2Fwww.webofscience.com%2Fwos%2Fwoscc%2Ffull-record%2FWOS:000182377700032","View Full Record in Web of Science")</f>
        <v>View Full Record in Web of Science</v>
      </c>
    </row>
    <row r="152" spans="1:72">
      <c r="A152" s="1" t="s">
        <v>72</v>
      </c>
      <c r="B152" s="1" t="s">
        <v>2852</v>
      </c>
      <c r="C152" s="1" t="s">
        <v>74</v>
      </c>
      <c r="D152" s="1" t="s">
        <v>74</v>
      </c>
      <c r="E152" s="1" t="s">
        <v>74</v>
      </c>
      <c r="F152" s="1" t="s">
        <v>2853</v>
      </c>
      <c r="G152" s="1" t="s">
        <v>74</v>
      </c>
      <c r="H152" s="1" t="s">
        <v>74</v>
      </c>
      <c r="I152" s="1" t="s">
        <v>2854</v>
      </c>
      <c r="J152" s="1" t="s">
        <v>1337</v>
      </c>
      <c r="K152" s="1" t="s">
        <v>74</v>
      </c>
      <c r="L152" s="1" t="s">
        <v>74</v>
      </c>
      <c r="M152" s="1" t="s">
        <v>78</v>
      </c>
      <c r="N152" s="1" t="s">
        <v>79</v>
      </c>
      <c r="O152" s="1" t="s">
        <v>74</v>
      </c>
      <c r="P152" s="1" t="s">
        <v>74</v>
      </c>
      <c r="Q152" s="1" t="s">
        <v>74</v>
      </c>
      <c r="R152" s="1" t="s">
        <v>74</v>
      </c>
      <c r="S152" s="1" t="s">
        <v>74</v>
      </c>
      <c r="T152" s="1" t="s">
        <v>2855</v>
      </c>
      <c r="U152" s="1" t="s">
        <v>2856</v>
      </c>
      <c r="V152" s="1" t="s">
        <v>2857</v>
      </c>
      <c r="W152" s="1" t="s">
        <v>2858</v>
      </c>
      <c r="X152" s="1" t="s">
        <v>2859</v>
      </c>
      <c r="Y152" s="1" t="s">
        <v>2860</v>
      </c>
      <c r="Z152" s="1" t="s">
        <v>2861</v>
      </c>
      <c r="AA152" s="1" t="s">
        <v>2862</v>
      </c>
      <c r="AB152" s="1" t="s">
        <v>2863</v>
      </c>
      <c r="AC152" s="1" t="s">
        <v>2864</v>
      </c>
      <c r="AD152" s="1" t="s">
        <v>2864</v>
      </c>
      <c r="AE152" s="1" t="s">
        <v>2865</v>
      </c>
      <c r="AF152" s="1" t="s">
        <v>74</v>
      </c>
      <c r="AG152" s="1">
        <v>89</v>
      </c>
      <c r="AH152" s="1">
        <v>1</v>
      </c>
      <c r="AI152" s="1">
        <v>1</v>
      </c>
      <c r="AJ152" s="1">
        <v>2</v>
      </c>
      <c r="AK152" s="1">
        <v>20</v>
      </c>
      <c r="AL152" s="1" t="s">
        <v>1350</v>
      </c>
      <c r="AM152" s="1" t="s">
        <v>1351</v>
      </c>
      <c r="AN152" s="1" t="s">
        <v>1352</v>
      </c>
      <c r="AO152" s="1" t="s">
        <v>74</v>
      </c>
      <c r="AP152" s="1" t="s">
        <v>1353</v>
      </c>
      <c r="AQ152" s="1" t="s">
        <v>74</v>
      </c>
      <c r="AR152" s="1" t="s">
        <v>1354</v>
      </c>
      <c r="AS152" s="1" t="s">
        <v>1355</v>
      </c>
      <c r="AT152" s="1" t="s">
        <v>2866</v>
      </c>
      <c r="AU152" s="1">
        <v>2022</v>
      </c>
      <c r="AV152" s="1">
        <v>9</v>
      </c>
      <c r="AW152" s="1" t="s">
        <v>74</v>
      </c>
      <c r="AX152" s="1" t="s">
        <v>74</v>
      </c>
      <c r="AY152" s="1" t="s">
        <v>74</v>
      </c>
      <c r="AZ152" s="1" t="s">
        <v>74</v>
      </c>
      <c r="BA152" s="1" t="s">
        <v>74</v>
      </c>
      <c r="BB152" s="1" t="s">
        <v>74</v>
      </c>
      <c r="BC152" s="1" t="s">
        <v>74</v>
      </c>
      <c r="BD152" s="1">
        <v>863629</v>
      </c>
      <c r="BE152" s="1" t="s">
        <v>2867</v>
      </c>
      <c r="BF152" s="1" t="str">
        <f>HYPERLINK("http://dx.doi.org/10.3389/fmars.2022.863629","http://dx.doi.org/10.3389/fmars.2022.863629")</f>
        <v>http://dx.doi.org/10.3389/fmars.2022.863629</v>
      </c>
      <c r="BG152" s="1" t="s">
        <v>74</v>
      </c>
      <c r="BH152" s="1" t="s">
        <v>74</v>
      </c>
      <c r="BI152" s="1">
        <v>17</v>
      </c>
      <c r="BJ152" s="1" t="s">
        <v>247</v>
      </c>
      <c r="BK152" s="1" t="s">
        <v>96</v>
      </c>
      <c r="BL152" s="1" t="s">
        <v>248</v>
      </c>
      <c r="BM152" s="1" t="s">
        <v>2868</v>
      </c>
      <c r="BN152" s="1" t="s">
        <v>74</v>
      </c>
      <c r="BO152" s="1" t="s">
        <v>550</v>
      </c>
      <c r="BP152" s="1" t="s">
        <v>74</v>
      </c>
      <c r="BQ152" s="1" t="s">
        <v>74</v>
      </c>
      <c r="BR152" s="1" t="s">
        <v>98</v>
      </c>
      <c r="BS152" s="1" t="s">
        <v>2869</v>
      </c>
      <c r="BT152" s="1" t="str">
        <f>HYPERLINK("https%3A%2F%2Fwww.webofscience.com%2Fwos%2Fwoscc%2Ffull-record%2FWOS:000806594900001","View Full Record in Web of Science")</f>
        <v>View Full Record in Web of Science</v>
      </c>
    </row>
    <row r="153" spans="1:72">
      <c r="A153" s="1" t="s">
        <v>72</v>
      </c>
      <c r="B153" s="1" t="s">
        <v>2870</v>
      </c>
      <c r="C153" s="1" t="s">
        <v>74</v>
      </c>
      <c r="D153" s="1" t="s">
        <v>74</v>
      </c>
      <c r="E153" s="1" t="s">
        <v>74</v>
      </c>
      <c r="F153" s="1" t="s">
        <v>2871</v>
      </c>
      <c r="G153" s="1" t="s">
        <v>74</v>
      </c>
      <c r="H153" s="1" t="s">
        <v>74</v>
      </c>
      <c r="I153" s="1" t="s">
        <v>2872</v>
      </c>
      <c r="J153" s="1" t="s">
        <v>775</v>
      </c>
      <c r="K153" s="1" t="s">
        <v>74</v>
      </c>
      <c r="L153" s="1" t="s">
        <v>74</v>
      </c>
      <c r="M153" s="1" t="s">
        <v>78</v>
      </c>
      <c r="N153" s="1" t="s">
        <v>2873</v>
      </c>
      <c r="O153" s="1" t="s">
        <v>74</v>
      </c>
      <c r="P153" s="1" t="s">
        <v>74</v>
      </c>
      <c r="Q153" s="1" t="s">
        <v>74</v>
      </c>
      <c r="R153" s="1" t="s">
        <v>74</v>
      </c>
      <c r="S153" s="1" t="s">
        <v>74</v>
      </c>
      <c r="T153" s="1" t="s">
        <v>2874</v>
      </c>
      <c r="U153" s="1" t="s">
        <v>2875</v>
      </c>
      <c r="V153" s="1" t="s">
        <v>2876</v>
      </c>
      <c r="W153" s="1" t="s">
        <v>2877</v>
      </c>
      <c r="X153" s="1" t="s">
        <v>2878</v>
      </c>
      <c r="Y153" s="1" t="s">
        <v>2879</v>
      </c>
      <c r="Z153" s="1" t="s">
        <v>2880</v>
      </c>
      <c r="AA153" s="1" t="s">
        <v>2881</v>
      </c>
      <c r="AB153" s="1" t="s">
        <v>2882</v>
      </c>
      <c r="AC153" s="1" t="s">
        <v>74</v>
      </c>
      <c r="AD153" s="1" t="s">
        <v>74</v>
      </c>
      <c r="AE153" s="1" t="s">
        <v>74</v>
      </c>
      <c r="AF153" s="1" t="s">
        <v>74</v>
      </c>
      <c r="AG153" s="1">
        <v>43</v>
      </c>
      <c r="AH153" s="1">
        <v>3</v>
      </c>
      <c r="AI153" s="1">
        <v>3</v>
      </c>
      <c r="AJ153" s="1">
        <v>6</v>
      </c>
      <c r="AK153" s="1">
        <v>6</v>
      </c>
      <c r="AL153" s="1" t="s">
        <v>2883</v>
      </c>
      <c r="AM153" s="1" t="s">
        <v>286</v>
      </c>
      <c r="AN153" s="1" t="s">
        <v>2884</v>
      </c>
      <c r="AO153" s="1" t="s">
        <v>791</v>
      </c>
      <c r="AP153" s="1" t="s">
        <v>2885</v>
      </c>
      <c r="AQ153" s="1" t="s">
        <v>74</v>
      </c>
      <c r="AR153" s="1" t="s">
        <v>792</v>
      </c>
      <c r="AS153" s="1" t="s">
        <v>793</v>
      </c>
      <c r="AT153" s="1" t="s">
        <v>2886</v>
      </c>
      <c r="AU153" s="1">
        <v>2024</v>
      </c>
      <c r="AV153" s="1" t="s">
        <v>74</v>
      </c>
      <c r="AW153" s="1" t="s">
        <v>74</v>
      </c>
      <c r="AX153" s="1" t="s">
        <v>74</v>
      </c>
      <c r="AY153" s="1" t="s">
        <v>74</v>
      </c>
      <c r="AZ153" s="1" t="s">
        <v>74</v>
      </c>
      <c r="BA153" s="1" t="s">
        <v>74</v>
      </c>
      <c r="BB153" s="1" t="s">
        <v>74</v>
      </c>
      <c r="BC153" s="1" t="s">
        <v>74</v>
      </c>
      <c r="BD153" s="1" t="s">
        <v>74</v>
      </c>
      <c r="BE153" s="1" t="s">
        <v>2887</v>
      </c>
      <c r="BF153" s="1" t="str">
        <f>HYPERLINK("http://dx.doi.org/10.1007/s12011-024-04128-1","http://dx.doi.org/10.1007/s12011-024-04128-1")</f>
        <v>http://dx.doi.org/10.1007/s12011-024-04128-1</v>
      </c>
      <c r="BG153" s="1" t="s">
        <v>74</v>
      </c>
      <c r="BH153" s="1" t="s">
        <v>2888</v>
      </c>
      <c r="BI153" s="1">
        <v>9</v>
      </c>
      <c r="BJ153" s="1" t="s">
        <v>795</v>
      </c>
      <c r="BK153" s="1" t="s">
        <v>96</v>
      </c>
      <c r="BL153" s="1" t="s">
        <v>795</v>
      </c>
      <c r="BM153" s="1" t="s">
        <v>2889</v>
      </c>
      <c r="BN153" s="1">
        <v>38430347</v>
      </c>
      <c r="BO153" s="1" t="s">
        <v>74</v>
      </c>
      <c r="BP153" s="1" t="s">
        <v>74</v>
      </c>
      <c r="BQ153" s="1" t="s">
        <v>74</v>
      </c>
      <c r="BR153" s="1" t="s">
        <v>98</v>
      </c>
      <c r="BS153" s="1" t="s">
        <v>2890</v>
      </c>
      <c r="BT153" s="1" t="str">
        <f>HYPERLINK("https%3A%2F%2Fwww.webofscience.com%2Fwos%2Fwoscc%2Ffull-record%2FWOS:001174985000001","View Full Record in Web of Science")</f>
        <v>View Full Record in Web of Science</v>
      </c>
    </row>
    <row r="154" spans="1:72">
      <c r="A154" s="1" t="s">
        <v>72</v>
      </c>
      <c r="B154" s="1" t="s">
        <v>2891</v>
      </c>
      <c r="C154" s="1" t="s">
        <v>74</v>
      </c>
      <c r="D154" s="1" t="s">
        <v>74</v>
      </c>
      <c r="E154" s="1" t="s">
        <v>74</v>
      </c>
      <c r="F154" s="1" t="s">
        <v>2892</v>
      </c>
      <c r="G154" s="1" t="s">
        <v>74</v>
      </c>
      <c r="H154" s="1" t="s">
        <v>74</v>
      </c>
      <c r="I154" s="1" t="s">
        <v>2893</v>
      </c>
      <c r="J154" s="1" t="s">
        <v>2894</v>
      </c>
      <c r="K154" s="1" t="s">
        <v>74</v>
      </c>
      <c r="L154" s="1" t="s">
        <v>74</v>
      </c>
      <c r="M154" s="1" t="s">
        <v>78</v>
      </c>
      <c r="N154" s="1" t="s">
        <v>79</v>
      </c>
      <c r="O154" s="1" t="s">
        <v>74</v>
      </c>
      <c r="P154" s="1" t="s">
        <v>74</v>
      </c>
      <c r="Q154" s="1" t="s">
        <v>74</v>
      </c>
      <c r="R154" s="1" t="s">
        <v>74</v>
      </c>
      <c r="S154" s="1" t="s">
        <v>74</v>
      </c>
      <c r="T154" s="1" t="s">
        <v>2895</v>
      </c>
      <c r="U154" s="1" t="s">
        <v>2896</v>
      </c>
      <c r="V154" s="1" t="s">
        <v>2897</v>
      </c>
      <c r="W154" s="1" t="s">
        <v>2898</v>
      </c>
      <c r="X154" s="1" t="s">
        <v>1481</v>
      </c>
      <c r="Y154" s="1" t="s">
        <v>2899</v>
      </c>
      <c r="Z154" s="1" t="s">
        <v>1483</v>
      </c>
      <c r="AA154" s="1" t="s">
        <v>2900</v>
      </c>
      <c r="AB154" s="1" t="s">
        <v>2183</v>
      </c>
      <c r="AC154" s="1" t="s">
        <v>2901</v>
      </c>
      <c r="AD154" s="1" t="s">
        <v>2902</v>
      </c>
      <c r="AE154" s="1" t="s">
        <v>2903</v>
      </c>
      <c r="AF154" s="1" t="s">
        <v>74</v>
      </c>
      <c r="AG154" s="1">
        <v>46</v>
      </c>
      <c r="AH154" s="1">
        <v>11</v>
      </c>
      <c r="AI154" s="1">
        <v>13</v>
      </c>
      <c r="AJ154" s="1">
        <v>1</v>
      </c>
      <c r="AK154" s="1">
        <v>16</v>
      </c>
      <c r="AL154" s="1" t="s">
        <v>2904</v>
      </c>
      <c r="AM154" s="1" t="s">
        <v>2905</v>
      </c>
      <c r="AN154" s="1" t="s">
        <v>2906</v>
      </c>
      <c r="AO154" s="1" t="s">
        <v>2907</v>
      </c>
      <c r="AP154" s="1" t="s">
        <v>74</v>
      </c>
      <c r="AQ154" s="1" t="s">
        <v>74</v>
      </c>
      <c r="AR154" s="1" t="s">
        <v>2908</v>
      </c>
      <c r="AS154" s="1" t="s">
        <v>2909</v>
      </c>
      <c r="AT154" s="1" t="s">
        <v>74</v>
      </c>
      <c r="AU154" s="1">
        <v>2009</v>
      </c>
      <c r="AV154" s="1">
        <v>383</v>
      </c>
      <c r="AW154" s="1" t="s">
        <v>74</v>
      </c>
      <c r="AX154" s="1" t="s">
        <v>74</v>
      </c>
      <c r="AY154" s="1" t="s">
        <v>74</v>
      </c>
      <c r="AZ154" s="1" t="s">
        <v>74</v>
      </c>
      <c r="BA154" s="1" t="s">
        <v>74</v>
      </c>
      <c r="BB154" s="1">
        <v>151</v>
      </c>
      <c r="BC154" s="1">
        <v>160</v>
      </c>
      <c r="BD154" s="1" t="s">
        <v>74</v>
      </c>
      <c r="BE154" s="1" t="s">
        <v>2910</v>
      </c>
      <c r="BF154" s="1" t="str">
        <f>HYPERLINK("http://dx.doi.org/10.3354/meps08016","http://dx.doi.org/10.3354/meps08016")</f>
        <v>http://dx.doi.org/10.3354/meps08016</v>
      </c>
      <c r="BG154" s="1" t="s">
        <v>74</v>
      </c>
      <c r="BH154" s="1" t="s">
        <v>74</v>
      </c>
      <c r="BI154" s="1">
        <v>10</v>
      </c>
      <c r="BJ154" s="1" t="s">
        <v>2911</v>
      </c>
      <c r="BK154" s="1" t="s">
        <v>96</v>
      </c>
      <c r="BL154" s="1" t="s">
        <v>2912</v>
      </c>
      <c r="BM154" s="1" t="s">
        <v>2913</v>
      </c>
      <c r="BN154" s="1" t="s">
        <v>74</v>
      </c>
      <c r="BO154" s="1" t="s">
        <v>2914</v>
      </c>
      <c r="BP154" s="1" t="s">
        <v>74</v>
      </c>
      <c r="BQ154" s="1" t="s">
        <v>74</v>
      </c>
      <c r="BR154" s="1" t="s">
        <v>98</v>
      </c>
      <c r="BS154" s="1" t="s">
        <v>2915</v>
      </c>
      <c r="BT154" s="1" t="str">
        <f>HYPERLINK("https%3A%2F%2Fwww.webofscience.com%2Fwos%2Fwoscc%2Ffull-record%2FWOS:000266756800012","View Full Record in Web of Science")</f>
        <v>View Full Record in Web of Science</v>
      </c>
    </row>
    <row r="155" spans="1:72">
      <c r="A155" s="1" t="s">
        <v>72</v>
      </c>
      <c r="B155" s="1" t="s">
        <v>2916</v>
      </c>
      <c r="C155" s="1" t="s">
        <v>74</v>
      </c>
      <c r="D155" s="1" t="s">
        <v>74</v>
      </c>
      <c r="E155" s="1" t="s">
        <v>74</v>
      </c>
      <c r="F155" s="1" t="s">
        <v>2917</v>
      </c>
      <c r="G155" s="1" t="s">
        <v>74</v>
      </c>
      <c r="H155" s="1" t="s">
        <v>74</v>
      </c>
      <c r="I155" s="1" t="s">
        <v>2918</v>
      </c>
      <c r="J155" s="1" t="s">
        <v>2919</v>
      </c>
      <c r="K155" s="1" t="s">
        <v>74</v>
      </c>
      <c r="L155" s="1" t="s">
        <v>74</v>
      </c>
      <c r="M155" s="1" t="s">
        <v>78</v>
      </c>
      <c r="N155" s="1" t="s">
        <v>79</v>
      </c>
      <c r="O155" s="1" t="s">
        <v>74</v>
      </c>
      <c r="P155" s="1" t="s">
        <v>74</v>
      </c>
      <c r="Q155" s="1" t="s">
        <v>74</v>
      </c>
      <c r="R155" s="1" t="s">
        <v>74</v>
      </c>
      <c r="S155" s="1" t="s">
        <v>74</v>
      </c>
      <c r="T155" s="1" t="s">
        <v>2920</v>
      </c>
      <c r="U155" s="1" t="s">
        <v>2921</v>
      </c>
      <c r="V155" s="1" t="s">
        <v>2922</v>
      </c>
      <c r="W155" s="1" t="s">
        <v>2923</v>
      </c>
      <c r="X155" s="1" t="s">
        <v>2924</v>
      </c>
      <c r="Y155" s="1" t="s">
        <v>2925</v>
      </c>
      <c r="Z155" s="1" t="s">
        <v>2926</v>
      </c>
      <c r="AA155" s="1" t="s">
        <v>2927</v>
      </c>
      <c r="AB155" s="1" t="s">
        <v>2928</v>
      </c>
      <c r="AC155" s="1" t="s">
        <v>74</v>
      </c>
      <c r="AD155" s="1" t="s">
        <v>74</v>
      </c>
      <c r="AE155" s="1" t="s">
        <v>74</v>
      </c>
      <c r="AF155" s="1" t="s">
        <v>74</v>
      </c>
      <c r="AG155" s="1">
        <v>47</v>
      </c>
      <c r="AH155" s="1">
        <v>0</v>
      </c>
      <c r="AI155" s="1">
        <v>0</v>
      </c>
      <c r="AJ155" s="1">
        <v>4</v>
      </c>
      <c r="AK155" s="1">
        <v>10</v>
      </c>
      <c r="AL155" s="1" t="s">
        <v>2929</v>
      </c>
      <c r="AM155" s="1" t="s">
        <v>2930</v>
      </c>
      <c r="AN155" s="1" t="s">
        <v>2931</v>
      </c>
      <c r="AO155" s="1" t="s">
        <v>2932</v>
      </c>
      <c r="AP155" s="1" t="s">
        <v>74</v>
      </c>
      <c r="AQ155" s="1" t="s">
        <v>74</v>
      </c>
      <c r="AR155" s="1" t="s">
        <v>2933</v>
      </c>
      <c r="AS155" s="1" t="s">
        <v>2934</v>
      </c>
      <c r="AT155" s="1" t="s">
        <v>2935</v>
      </c>
      <c r="AU155" s="1">
        <v>2023</v>
      </c>
      <c r="AV155" s="1">
        <v>74</v>
      </c>
      <c r="AW155" s="1">
        <v>2</v>
      </c>
      <c r="AX155" s="1" t="s">
        <v>74</v>
      </c>
      <c r="AY155" s="1" t="s">
        <v>74</v>
      </c>
      <c r="AZ155" s="1" t="s">
        <v>74</v>
      </c>
      <c r="BA155" s="1" t="s">
        <v>74</v>
      </c>
      <c r="BB155" s="1">
        <v>5641</v>
      </c>
      <c r="BC155" s="1" t="s">
        <v>2936</v>
      </c>
      <c r="BD155" s="1" t="s">
        <v>74</v>
      </c>
      <c r="BE155" s="1" t="s">
        <v>2937</v>
      </c>
      <c r="BF155" s="1" t="str">
        <f>HYPERLINK("http://dx.doi.org/10.12681/jhvms.29632","http://dx.doi.org/10.12681/jhvms.29632")</f>
        <v>http://dx.doi.org/10.12681/jhvms.29632</v>
      </c>
      <c r="BG155" s="1" t="s">
        <v>74</v>
      </c>
      <c r="BH155" s="1" t="s">
        <v>74</v>
      </c>
      <c r="BI155" s="1">
        <v>9</v>
      </c>
      <c r="BJ155" s="1" t="s">
        <v>1057</v>
      </c>
      <c r="BK155" s="1" t="s">
        <v>96</v>
      </c>
      <c r="BL155" s="1" t="s">
        <v>1057</v>
      </c>
      <c r="BM155" s="1" t="s">
        <v>2938</v>
      </c>
      <c r="BN155" s="1" t="s">
        <v>74</v>
      </c>
      <c r="BO155" s="1" t="s">
        <v>476</v>
      </c>
      <c r="BP155" s="1" t="s">
        <v>74</v>
      </c>
      <c r="BQ155" s="1" t="s">
        <v>74</v>
      </c>
      <c r="BR155" s="1" t="s">
        <v>98</v>
      </c>
      <c r="BS155" s="1" t="s">
        <v>2939</v>
      </c>
      <c r="BT155" s="1" t="str">
        <f>HYPERLINK("https%3A%2F%2Fwww.webofscience.com%2Fwos%2Fwoscc%2Ffull-record%2FWOS:001027217900005","View Full Record in Web of Science")</f>
        <v>View Full Record in Web of Science</v>
      </c>
    </row>
    <row r="156" spans="1:72">
      <c r="A156" s="1" t="s">
        <v>72</v>
      </c>
      <c r="B156" s="1" t="s">
        <v>2940</v>
      </c>
      <c r="C156" s="1" t="s">
        <v>74</v>
      </c>
      <c r="D156" s="1" t="s">
        <v>74</v>
      </c>
      <c r="E156" s="1" t="s">
        <v>74</v>
      </c>
      <c r="F156" s="1" t="s">
        <v>2941</v>
      </c>
      <c r="G156" s="1" t="s">
        <v>74</v>
      </c>
      <c r="H156" s="1" t="s">
        <v>74</v>
      </c>
      <c r="I156" s="1" t="s">
        <v>2942</v>
      </c>
      <c r="J156" s="1" t="s">
        <v>595</v>
      </c>
      <c r="K156" s="1" t="s">
        <v>74</v>
      </c>
      <c r="L156" s="1" t="s">
        <v>74</v>
      </c>
      <c r="M156" s="1" t="s">
        <v>78</v>
      </c>
      <c r="N156" s="1" t="s">
        <v>79</v>
      </c>
      <c r="O156" s="1" t="s">
        <v>74</v>
      </c>
      <c r="P156" s="1" t="s">
        <v>74</v>
      </c>
      <c r="Q156" s="1" t="s">
        <v>74</v>
      </c>
      <c r="R156" s="1" t="s">
        <v>74</v>
      </c>
      <c r="S156" s="1" t="s">
        <v>74</v>
      </c>
      <c r="T156" s="1" t="s">
        <v>2943</v>
      </c>
      <c r="U156" s="1" t="s">
        <v>2944</v>
      </c>
      <c r="V156" s="1" t="s">
        <v>2945</v>
      </c>
      <c r="W156" s="1" t="s">
        <v>2946</v>
      </c>
      <c r="X156" s="1" t="s">
        <v>2947</v>
      </c>
      <c r="Y156" s="1" t="s">
        <v>2948</v>
      </c>
      <c r="Z156" s="1" t="s">
        <v>2949</v>
      </c>
      <c r="AA156" s="1" t="s">
        <v>2950</v>
      </c>
      <c r="AB156" s="1" t="s">
        <v>74</v>
      </c>
      <c r="AC156" s="1" t="s">
        <v>2951</v>
      </c>
      <c r="AD156" s="1" t="s">
        <v>2952</v>
      </c>
      <c r="AE156" s="1" t="s">
        <v>2953</v>
      </c>
      <c r="AF156" s="1" t="s">
        <v>74</v>
      </c>
      <c r="AG156" s="1">
        <v>59</v>
      </c>
      <c r="AH156" s="1">
        <v>14</v>
      </c>
      <c r="AI156" s="1">
        <v>14</v>
      </c>
      <c r="AJ156" s="1">
        <v>7</v>
      </c>
      <c r="AK156" s="1">
        <v>39</v>
      </c>
      <c r="AL156" s="1" t="s">
        <v>112</v>
      </c>
      <c r="AM156" s="1" t="s">
        <v>191</v>
      </c>
      <c r="AN156" s="1" t="s">
        <v>192</v>
      </c>
      <c r="AO156" s="1" t="s">
        <v>608</v>
      </c>
      <c r="AP156" s="1" t="s">
        <v>609</v>
      </c>
      <c r="AQ156" s="1" t="s">
        <v>74</v>
      </c>
      <c r="AR156" s="1" t="s">
        <v>595</v>
      </c>
      <c r="AS156" s="1" t="s">
        <v>610</v>
      </c>
      <c r="AT156" s="1" t="s">
        <v>197</v>
      </c>
      <c r="AU156" s="1">
        <v>2021</v>
      </c>
      <c r="AV156" s="1">
        <v>30</v>
      </c>
      <c r="AW156" s="1">
        <v>10</v>
      </c>
      <c r="AX156" s="1" t="s">
        <v>74</v>
      </c>
      <c r="AY156" s="1" t="s">
        <v>74</v>
      </c>
      <c r="AZ156" s="1" t="s">
        <v>74</v>
      </c>
      <c r="BA156" s="1" t="s">
        <v>74</v>
      </c>
      <c r="BB156" s="1">
        <v>2011</v>
      </c>
      <c r="BC156" s="1">
        <v>2023</v>
      </c>
      <c r="BD156" s="1" t="s">
        <v>74</v>
      </c>
      <c r="BE156" s="1" t="s">
        <v>2954</v>
      </c>
      <c r="BF156" s="1" t="str">
        <f>HYPERLINK("http://dx.doi.org/10.1007/s10646-021-02465-8","http://dx.doi.org/10.1007/s10646-021-02465-8")</f>
        <v>http://dx.doi.org/10.1007/s10646-021-02465-8</v>
      </c>
      <c r="BG156" s="1" t="s">
        <v>74</v>
      </c>
      <c r="BH156" s="1" t="s">
        <v>2955</v>
      </c>
      <c r="BI156" s="1">
        <v>13</v>
      </c>
      <c r="BJ156" s="1" t="s">
        <v>612</v>
      </c>
      <c r="BK156" s="1" t="s">
        <v>96</v>
      </c>
      <c r="BL156" s="1" t="s">
        <v>122</v>
      </c>
      <c r="BM156" s="1" t="s">
        <v>2956</v>
      </c>
      <c r="BN156" s="1">
        <v>34529205</v>
      </c>
      <c r="BO156" s="1" t="s">
        <v>810</v>
      </c>
      <c r="BP156" s="1" t="s">
        <v>74</v>
      </c>
      <c r="BQ156" s="1" t="s">
        <v>74</v>
      </c>
      <c r="BR156" s="1" t="s">
        <v>98</v>
      </c>
      <c r="BS156" s="1" t="s">
        <v>2957</v>
      </c>
      <c r="BT156" s="1" t="str">
        <f>HYPERLINK("https%3A%2F%2Fwww.webofscience.com%2Fwos%2Fwoscc%2Ffull-record%2FWOS:000696420800001","View Full Record in Web of Science")</f>
        <v>View Full Record in Web of Science</v>
      </c>
    </row>
    <row r="157" spans="1:72">
      <c r="A157" s="1" t="s">
        <v>72</v>
      </c>
      <c r="B157" s="1" t="s">
        <v>2958</v>
      </c>
      <c r="C157" s="1" t="s">
        <v>74</v>
      </c>
      <c r="D157" s="1" t="s">
        <v>74</v>
      </c>
      <c r="E157" s="1" t="s">
        <v>74</v>
      </c>
      <c r="F157" s="1" t="s">
        <v>2959</v>
      </c>
      <c r="G157" s="1" t="s">
        <v>74</v>
      </c>
      <c r="H157" s="1" t="s">
        <v>74</v>
      </c>
      <c r="I157" s="1" t="s">
        <v>2960</v>
      </c>
      <c r="J157" s="1" t="s">
        <v>2961</v>
      </c>
      <c r="K157" s="1" t="s">
        <v>74</v>
      </c>
      <c r="L157" s="1" t="s">
        <v>74</v>
      </c>
      <c r="M157" s="1" t="s">
        <v>78</v>
      </c>
      <c r="N157" s="1" t="s">
        <v>79</v>
      </c>
      <c r="O157" s="1" t="s">
        <v>74</v>
      </c>
      <c r="P157" s="1" t="s">
        <v>74</v>
      </c>
      <c r="Q157" s="1" t="s">
        <v>74</v>
      </c>
      <c r="R157" s="1" t="s">
        <v>74</v>
      </c>
      <c r="S157" s="1" t="s">
        <v>74</v>
      </c>
      <c r="T157" s="1" t="s">
        <v>2962</v>
      </c>
      <c r="U157" s="1" t="s">
        <v>2963</v>
      </c>
      <c r="V157" s="1" t="s">
        <v>2964</v>
      </c>
      <c r="W157" s="1" t="s">
        <v>2965</v>
      </c>
      <c r="X157" s="1" t="s">
        <v>2966</v>
      </c>
      <c r="Y157" s="1" t="s">
        <v>2967</v>
      </c>
      <c r="Z157" s="1" t="s">
        <v>2968</v>
      </c>
      <c r="AA157" s="1" t="s">
        <v>2969</v>
      </c>
      <c r="AB157" s="1" t="s">
        <v>74</v>
      </c>
      <c r="AC157" s="1" t="s">
        <v>2970</v>
      </c>
      <c r="AD157" s="1" t="s">
        <v>2971</v>
      </c>
      <c r="AE157" s="1" t="s">
        <v>2972</v>
      </c>
      <c r="AF157" s="1" t="s">
        <v>74</v>
      </c>
      <c r="AG157" s="1">
        <v>47</v>
      </c>
      <c r="AH157" s="1">
        <v>172</v>
      </c>
      <c r="AI157" s="1">
        <v>192</v>
      </c>
      <c r="AJ157" s="1">
        <v>11</v>
      </c>
      <c r="AK157" s="1">
        <v>346</v>
      </c>
      <c r="AL157" s="1" t="s">
        <v>650</v>
      </c>
      <c r="AM157" s="1" t="s">
        <v>651</v>
      </c>
      <c r="AN157" s="1" t="s">
        <v>652</v>
      </c>
      <c r="AO157" s="1" t="s">
        <v>2973</v>
      </c>
      <c r="AP157" s="1" t="s">
        <v>2974</v>
      </c>
      <c r="AQ157" s="1" t="s">
        <v>74</v>
      </c>
      <c r="AR157" s="1" t="s">
        <v>2975</v>
      </c>
      <c r="AS157" s="1" t="s">
        <v>2976</v>
      </c>
      <c r="AT157" s="1" t="s">
        <v>1470</v>
      </c>
      <c r="AU157" s="1">
        <v>2017</v>
      </c>
      <c r="AV157" s="1">
        <v>98</v>
      </c>
      <c r="AW157" s="1" t="s">
        <v>74</v>
      </c>
      <c r="AX157" s="1" t="s">
        <v>74</v>
      </c>
      <c r="AY157" s="1" t="s">
        <v>74</v>
      </c>
      <c r="AZ157" s="1" t="s">
        <v>74</v>
      </c>
      <c r="BA157" s="1" t="s">
        <v>74</v>
      </c>
      <c r="BB157" s="1">
        <v>183</v>
      </c>
      <c r="BC157" s="1">
        <v>188</v>
      </c>
      <c r="BD157" s="1" t="s">
        <v>74</v>
      </c>
      <c r="BE157" s="1" t="s">
        <v>2977</v>
      </c>
      <c r="BF157" s="1" t="str">
        <f>HYPERLINK("http://dx.doi.org/10.1016/j.ecoleng.2016.10.057","http://dx.doi.org/10.1016/j.ecoleng.2016.10.057")</f>
        <v>http://dx.doi.org/10.1016/j.ecoleng.2016.10.057</v>
      </c>
      <c r="BG157" s="1" t="s">
        <v>74</v>
      </c>
      <c r="BH157" s="1" t="s">
        <v>74</v>
      </c>
      <c r="BI157" s="1">
        <v>6</v>
      </c>
      <c r="BJ157" s="1" t="s">
        <v>2978</v>
      </c>
      <c r="BK157" s="1" t="s">
        <v>96</v>
      </c>
      <c r="BL157" s="1" t="s">
        <v>2979</v>
      </c>
      <c r="BM157" s="1" t="s">
        <v>2980</v>
      </c>
      <c r="BN157" s="1" t="s">
        <v>74</v>
      </c>
      <c r="BO157" s="1" t="s">
        <v>74</v>
      </c>
      <c r="BP157" s="1" t="s">
        <v>74</v>
      </c>
      <c r="BQ157" s="1" t="s">
        <v>74</v>
      </c>
      <c r="BR157" s="1" t="s">
        <v>98</v>
      </c>
      <c r="BS157" s="1" t="s">
        <v>2981</v>
      </c>
      <c r="BT157" s="1" t="str">
        <f>HYPERLINK("https%3A%2F%2Fwww.webofscience.com%2Fwos%2Fwoscc%2Ffull-record%2FWOS:000390454300022","View Full Record in Web of Science")</f>
        <v>View Full Record in Web of Science</v>
      </c>
    </row>
    <row r="158" spans="1:72">
      <c r="A158" s="1" t="s">
        <v>72</v>
      </c>
      <c r="B158" s="1" t="s">
        <v>2982</v>
      </c>
      <c r="C158" s="1" t="s">
        <v>74</v>
      </c>
      <c r="D158" s="1" t="s">
        <v>74</v>
      </c>
      <c r="E158" s="1" t="s">
        <v>74</v>
      </c>
      <c r="F158" s="1" t="s">
        <v>2982</v>
      </c>
      <c r="G158" s="1" t="s">
        <v>74</v>
      </c>
      <c r="H158" s="1" t="s">
        <v>74</v>
      </c>
      <c r="I158" s="1" t="s">
        <v>2983</v>
      </c>
      <c r="J158" s="1" t="s">
        <v>2984</v>
      </c>
      <c r="K158" s="1" t="s">
        <v>74</v>
      </c>
      <c r="L158" s="1" t="s">
        <v>74</v>
      </c>
      <c r="M158" s="1" t="s">
        <v>78</v>
      </c>
      <c r="N158" s="1" t="s">
        <v>79</v>
      </c>
      <c r="O158" s="1" t="s">
        <v>74</v>
      </c>
      <c r="P158" s="1" t="s">
        <v>74</v>
      </c>
      <c r="Q158" s="1" t="s">
        <v>74</v>
      </c>
      <c r="R158" s="1" t="s">
        <v>74</v>
      </c>
      <c r="S158" s="1" t="s">
        <v>74</v>
      </c>
      <c r="T158" s="1" t="s">
        <v>2985</v>
      </c>
      <c r="U158" s="1" t="s">
        <v>2986</v>
      </c>
      <c r="V158" s="1" t="s">
        <v>2987</v>
      </c>
      <c r="W158" s="1" t="s">
        <v>2988</v>
      </c>
      <c r="X158" s="1" t="s">
        <v>2989</v>
      </c>
      <c r="Y158" s="1" t="s">
        <v>2990</v>
      </c>
      <c r="Z158" s="1" t="s">
        <v>2991</v>
      </c>
      <c r="AA158" s="1" t="s">
        <v>2992</v>
      </c>
      <c r="AB158" s="1" t="s">
        <v>2993</v>
      </c>
      <c r="AC158" s="1" t="s">
        <v>74</v>
      </c>
      <c r="AD158" s="1" t="s">
        <v>74</v>
      </c>
      <c r="AE158" s="1" t="s">
        <v>74</v>
      </c>
      <c r="AF158" s="1" t="s">
        <v>74</v>
      </c>
      <c r="AG158" s="1">
        <v>46</v>
      </c>
      <c r="AH158" s="1">
        <v>12</v>
      </c>
      <c r="AI158" s="1">
        <v>16</v>
      </c>
      <c r="AJ158" s="1">
        <v>0</v>
      </c>
      <c r="AK158" s="1">
        <v>10</v>
      </c>
      <c r="AL158" s="1" t="s">
        <v>112</v>
      </c>
      <c r="AM158" s="1" t="s">
        <v>191</v>
      </c>
      <c r="AN158" s="1" t="s">
        <v>192</v>
      </c>
      <c r="AO158" s="1" t="s">
        <v>2994</v>
      </c>
      <c r="AP158" s="1" t="s">
        <v>2995</v>
      </c>
      <c r="AQ158" s="1" t="s">
        <v>74</v>
      </c>
      <c r="AR158" s="1" t="s">
        <v>2996</v>
      </c>
      <c r="AS158" s="1" t="s">
        <v>2997</v>
      </c>
      <c r="AT158" s="1" t="s">
        <v>1223</v>
      </c>
      <c r="AU158" s="1">
        <v>1999</v>
      </c>
      <c r="AV158" s="1">
        <v>21</v>
      </c>
      <c r="AW158" s="1">
        <v>1</v>
      </c>
      <c r="AX158" s="1" t="s">
        <v>74</v>
      </c>
      <c r="AY158" s="1" t="s">
        <v>74</v>
      </c>
      <c r="AZ158" s="1" t="s">
        <v>74</v>
      </c>
      <c r="BA158" s="1" t="s">
        <v>74</v>
      </c>
      <c r="BB158" s="1">
        <v>51</v>
      </c>
      <c r="BC158" s="1">
        <v>66</v>
      </c>
      <c r="BD158" s="1" t="s">
        <v>74</v>
      </c>
      <c r="BE158" s="1" t="s">
        <v>2998</v>
      </c>
      <c r="BF158" s="1" t="str">
        <f>HYPERLINK("http://dx.doi.org/10.1023/A:1006544711923","http://dx.doi.org/10.1023/A:1006544711923")</f>
        <v>http://dx.doi.org/10.1023/A:1006544711923</v>
      </c>
      <c r="BG158" s="1" t="s">
        <v>74</v>
      </c>
      <c r="BH158" s="1" t="s">
        <v>74</v>
      </c>
      <c r="BI158" s="1">
        <v>16</v>
      </c>
      <c r="BJ158" s="1" t="s">
        <v>2999</v>
      </c>
      <c r="BK158" s="1" t="s">
        <v>96</v>
      </c>
      <c r="BL158" s="1" t="s">
        <v>3000</v>
      </c>
      <c r="BM158" s="1" t="s">
        <v>3001</v>
      </c>
      <c r="BN158" s="1" t="s">
        <v>74</v>
      </c>
      <c r="BO158" s="1" t="s">
        <v>74</v>
      </c>
      <c r="BP158" s="1" t="s">
        <v>74</v>
      </c>
      <c r="BQ158" s="1" t="s">
        <v>74</v>
      </c>
      <c r="BR158" s="1" t="s">
        <v>98</v>
      </c>
      <c r="BS158" s="1" t="s">
        <v>3002</v>
      </c>
      <c r="BT158" s="1" t="str">
        <f>HYPERLINK("https%3A%2F%2Fwww.webofscience.com%2Fwos%2Fwoscc%2Ffull-record%2FWOS:000081286600006","View Full Record in Web of Science")</f>
        <v>View Full Record in Web of Science</v>
      </c>
    </row>
    <row r="159" spans="1:72">
      <c r="A159" s="1" t="s">
        <v>72</v>
      </c>
      <c r="B159" s="1" t="s">
        <v>3003</v>
      </c>
      <c r="C159" s="1" t="s">
        <v>74</v>
      </c>
      <c r="D159" s="1" t="s">
        <v>74</v>
      </c>
      <c r="E159" s="1" t="s">
        <v>74</v>
      </c>
      <c r="F159" s="1" t="s">
        <v>3003</v>
      </c>
      <c r="G159" s="1" t="s">
        <v>74</v>
      </c>
      <c r="H159" s="1" t="s">
        <v>74</v>
      </c>
      <c r="I159" s="1" t="s">
        <v>3004</v>
      </c>
      <c r="J159" s="1" t="s">
        <v>3005</v>
      </c>
      <c r="K159" s="1" t="s">
        <v>74</v>
      </c>
      <c r="L159" s="1" t="s">
        <v>74</v>
      </c>
      <c r="M159" s="1" t="s">
        <v>78</v>
      </c>
      <c r="N159" s="1" t="s">
        <v>79</v>
      </c>
      <c r="O159" s="1" t="s">
        <v>74</v>
      </c>
      <c r="P159" s="1" t="s">
        <v>74</v>
      </c>
      <c r="Q159" s="1" t="s">
        <v>74</v>
      </c>
      <c r="R159" s="1" t="s">
        <v>74</v>
      </c>
      <c r="S159" s="1" t="s">
        <v>74</v>
      </c>
      <c r="T159" s="1" t="s">
        <v>3006</v>
      </c>
      <c r="U159" s="1" t="s">
        <v>3007</v>
      </c>
      <c r="V159" s="1" t="s">
        <v>3008</v>
      </c>
      <c r="W159" s="1" t="s">
        <v>74</v>
      </c>
      <c r="X159" s="1" t="s">
        <v>74</v>
      </c>
      <c r="Y159" s="1" t="s">
        <v>3009</v>
      </c>
      <c r="Z159" s="1" t="s">
        <v>74</v>
      </c>
      <c r="AA159" s="1" t="s">
        <v>74</v>
      </c>
      <c r="AB159" s="1" t="s">
        <v>74</v>
      </c>
      <c r="AC159" s="1" t="s">
        <v>74</v>
      </c>
      <c r="AD159" s="1" t="s">
        <v>74</v>
      </c>
      <c r="AE159" s="1" t="s">
        <v>74</v>
      </c>
      <c r="AF159" s="1" t="s">
        <v>74</v>
      </c>
      <c r="AG159" s="1">
        <v>61</v>
      </c>
      <c r="AH159" s="1">
        <v>29</v>
      </c>
      <c r="AI159" s="1">
        <v>31</v>
      </c>
      <c r="AJ159" s="1">
        <v>0</v>
      </c>
      <c r="AK159" s="1">
        <v>11</v>
      </c>
      <c r="AL159" s="1" t="s">
        <v>2904</v>
      </c>
      <c r="AM159" s="1" t="s">
        <v>2905</v>
      </c>
      <c r="AN159" s="1" t="s">
        <v>2906</v>
      </c>
      <c r="AO159" s="1" t="s">
        <v>3010</v>
      </c>
      <c r="AP159" s="1" t="s">
        <v>74</v>
      </c>
      <c r="AQ159" s="1" t="s">
        <v>74</v>
      </c>
      <c r="AR159" s="1" t="s">
        <v>3011</v>
      </c>
      <c r="AS159" s="1" t="s">
        <v>3012</v>
      </c>
      <c r="AT159" s="1" t="s">
        <v>3013</v>
      </c>
      <c r="AU159" s="1">
        <v>1997</v>
      </c>
      <c r="AV159" s="1">
        <v>28</v>
      </c>
      <c r="AW159" s="1">
        <v>3</v>
      </c>
      <c r="AX159" s="1" t="s">
        <v>74</v>
      </c>
      <c r="AY159" s="1" t="s">
        <v>74</v>
      </c>
      <c r="AZ159" s="1" t="s">
        <v>74</v>
      </c>
      <c r="BA159" s="1" t="s">
        <v>74</v>
      </c>
      <c r="BB159" s="1">
        <v>221</v>
      </c>
      <c r="BC159" s="1">
        <v>227</v>
      </c>
      <c r="BD159" s="1" t="s">
        <v>74</v>
      </c>
      <c r="BE159" s="1" t="s">
        <v>3014</v>
      </c>
      <c r="BF159" s="1" t="str">
        <f>HYPERLINK("http://dx.doi.org/10.3354/dao028221","http://dx.doi.org/10.3354/dao028221")</f>
        <v>http://dx.doi.org/10.3354/dao028221</v>
      </c>
      <c r="BG159" s="1" t="s">
        <v>74</v>
      </c>
      <c r="BH159" s="1" t="s">
        <v>74</v>
      </c>
      <c r="BI159" s="1">
        <v>7</v>
      </c>
      <c r="BJ159" s="1" t="s">
        <v>368</v>
      </c>
      <c r="BK159" s="1" t="s">
        <v>96</v>
      </c>
      <c r="BL159" s="1" t="s">
        <v>368</v>
      </c>
      <c r="BM159" s="1" t="s">
        <v>3015</v>
      </c>
      <c r="BN159" s="1" t="s">
        <v>74</v>
      </c>
      <c r="BO159" s="1" t="s">
        <v>370</v>
      </c>
      <c r="BP159" s="1" t="s">
        <v>74</v>
      </c>
      <c r="BQ159" s="1" t="s">
        <v>74</v>
      </c>
      <c r="BR159" s="1" t="s">
        <v>98</v>
      </c>
      <c r="BS159" s="1" t="s">
        <v>3016</v>
      </c>
      <c r="BT159" s="1" t="str">
        <f>HYPERLINK("https%3A%2F%2Fwww.webofscience.com%2Fwos%2Fwoscc%2Ffull-record%2FWOS:A1997XE33500008","View Full Record in Web of Science")</f>
        <v>View Full Record in Web of Science</v>
      </c>
    </row>
    <row r="160" spans="1:72">
      <c r="A160" s="1" t="s">
        <v>72</v>
      </c>
      <c r="B160" s="1" t="s">
        <v>3017</v>
      </c>
      <c r="C160" s="1" t="s">
        <v>74</v>
      </c>
      <c r="D160" s="1" t="s">
        <v>74</v>
      </c>
      <c r="E160" s="1" t="s">
        <v>74</v>
      </c>
      <c r="F160" s="1" t="s">
        <v>3018</v>
      </c>
      <c r="G160" s="1" t="s">
        <v>74</v>
      </c>
      <c r="H160" s="1" t="s">
        <v>74</v>
      </c>
      <c r="I160" s="1" t="s">
        <v>3019</v>
      </c>
      <c r="J160" s="1" t="s">
        <v>495</v>
      </c>
      <c r="K160" s="1" t="s">
        <v>74</v>
      </c>
      <c r="L160" s="1" t="s">
        <v>74</v>
      </c>
      <c r="M160" s="1" t="s">
        <v>78</v>
      </c>
      <c r="N160" s="1" t="s">
        <v>151</v>
      </c>
      <c r="O160" s="1" t="s">
        <v>3020</v>
      </c>
      <c r="P160" s="1" t="s">
        <v>3021</v>
      </c>
      <c r="Q160" s="1" t="s">
        <v>3022</v>
      </c>
      <c r="R160" s="1" t="s">
        <v>74</v>
      </c>
      <c r="S160" s="1" t="s">
        <v>74</v>
      </c>
      <c r="T160" s="1" t="s">
        <v>3023</v>
      </c>
      <c r="U160" s="1" t="s">
        <v>3024</v>
      </c>
      <c r="V160" s="1" t="s">
        <v>3025</v>
      </c>
      <c r="W160" s="1" t="s">
        <v>3026</v>
      </c>
      <c r="X160" s="1" t="s">
        <v>3027</v>
      </c>
      <c r="Y160" s="1" t="s">
        <v>3028</v>
      </c>
      <c r="Z160" s="1" t="s">
        <v>3029</v>
      </c>
      <c r="AA160" s="1" t="s">
        <v>3030</v>
      </c>
      <c r="AB160" s="1" t="s">
        <v>3031</v>
      </c>
      <c r="AC160" s="1" t="s">
        <v>74</v>
      </c>
      <c r="AD160" s="1" t="s">
        <v>74</v>
      </c>
      <c r="AE160" s="1" t="s">
        <v>74</v>
      </c>
      <c r="AF160" s="1" t="s">
        <v>74</v>
      </c>
      <c r="AG160" s="1">
        <v>42</v>
      </c>
      <c r="AH160" s="1">
        <v>25</v>
      </c>
      <c r="AI160" s="1">
        <v>26</v>
      </c>
      <c r="AJ160" s="1">
        <v>0</v>
      </c>
      <c r="AK160" s="1">
        <v>11</v>
      </c>
      <c r="AL160" s="1" t="s">
        <v>1030</v>
      </c>
      <c r="AM160" s="1" t="s">
        <v>1031</v>
      </c>
      <c r="AN160" s="1" t="s">
        <v>1032</v>
      </c>
      <c r="AO160" s="1" t="s">
        <v>507</v>
      </c>
      <c r="AP160" s="1" t="s">
        <v>1033</v>
      </c>
      <c r="AQ160" s="1" t="s">
        <v>74</v>
      </c>
      <c r="AR160" s="1" t="s">
        <v>508</v>
      </c>
      <c r="AS160" s="1" t="s">
        <v>509</v>
      </c>
      <c r="AT160" s="1" t="s">
        <v>74</v>
      </c>
      <c r="AU160" s="1">
        <v>2006</v>
      </c>
      <c r="AV160" s="1">
        <v>15</v>
      </c>
      <c r="AW160" s="1" t="s">
        <v>1034</v>
      </c>
      <c r="AX160" s="1" t="s">
        <v>74</v>
      </c>
      <c r="AY160" s="1" t="s">
        <v>74</v>
      </c>
      <c r="AZ160" s="1" t="s">
        <v>225</v>
      </c>
      <c r="BA160" s="1" t="s">
        <v>74</v>
      </c>
      <c r="BB160" s="1">
        <v>1041</v>
      </c>
      <c r="BC160" s="1">
        <v>1048</v>
      </c>
      <c r="BD160" s="1" t="s">
        <v>74</v>
      </c>
      <c r="BE160" s="1" t="s">
        <v>74</v>
      </c>
      <c r="BF160" s="1" t="s">
        <v>74</v>
      </c>
      <c r="BG160" s="1" t="s">
        <v>74</v>
      </c>
      <c r="BH160" s="1" t="s">
        <v>74</v>
      </c>
      <c r="BI160" s="1">
        <v>8</v>
      </c>
      <c r="BJ160" s="1" t="s">
        <v>144</v>
      </c>
      <c r="BK160" s="1" t="s">
        <v>172</v>
      </c>
      <c r="BL160" s="1" t="s">
        <v>145</v>
      </c>
      <c r="BM160" s="1" t="s">
        <v>3032</v>
      </c>
      <c r="BN160" s="1" t="s">
        <v>74</v>
      </c>
      <c r="BO160" s="1" t="s">
        <v>74</v>
      </c>
      <c r="BP160" s="1" t="s">
        <v>74</v>
      </c>
      <c r="BQ160" s="1" t="s">
        <v>74</v>
      </c>
      <c r="BR160" s="1" t="s">
        <v>98</v>
      </c>
      <c r="BS160" s="1" t="s">
        <v>3033</v>
      </c>
      <c r="BT160" s="1" t="str">
        <f>HYPERLINK("https%3A%2F%2Fwww.webofscience.com%2Fwos%2Fwoscc%2Ffull-record%2FWOS:000241082400011","View Full Record in Web of Science")</f>
        <v>View Full Record in Web of Science</v>
      </c>
    </row>
    <row r="161" spans="1:72">
      <c r="A161" s="1" t="s">
        <v>72</v>
      </c>
      <c r="B161" s="1" t="s">
        <v>3034</v>
      </c>
      <c r="C161" s="1" t="s">
        <v>74</v>
      </c>
      <c r="D161" s="1" t="s">
        <v>74</v>
      </c>
      <c r="E161" s="1" t="s">
        <v>74</v>
      </c>
      <c r="F161" s="1" t="s">
        <v>3035</v>
      </c>
      <c r="G161" s="1" t="s">
        <v>74</v>
      </c>
      <c r="H161" s="1" t="s">
        <v>74</v>
      </c>
      <c r="I161" s="1" t="s">
        <v>3036</v>
      </c>
      <c r="J161" s="1" t="s">
        <v>232</v>
      </c>
      <c r="K161" s="1" t="s">
        <v>74</v>
      </c>
      <c r="L161" s="1" t="s">
        <v>74</v>
      </c>
      <c r="M161" s="1" t="s">
        <v>78</v>
      </c>
      <c r="N161" s="1" t="s">
        <v>79</v>
      </c>
      <c r="O161" s="1" t="s">
        <v>74</v>
      </c>
      <c r="P161" s="1" t="s">
        <v>74</v>
      </c>
      <c r="Q161" s="1" t="s">
        <v>74</v>
      </c>
      <c r="R161" s="1" t="s">
        <v>74</v>
      </c>
      <c r="S161" s="1" t="s">
        <v>74</v>
      </c>
      <c r="T161" s="1" t="s">
        <v>3037</v>
      </c>
      <c r="U161" s="1" t="s">
        <v>3038</v>
      </c>
      <c r="V161" s="1" t="s">
        <v>3039</v>
      </c>
      <c r="W161" s="1" t="s">
        <v>3040</v>
      </c>
      <c r="X161" s="1" t="s">
        <v>3041</v>
      </c>
      <c r="Y161" s="1" t="s">
        <v>3042</v>
      </c>
      <c r="Z161" s="1" t="s">
        <v>3043</v>
      </c>
      <c r="AA161" s="1" t="s">
        <v>74</v>
      </c>
      <c r="AB161" s="1" t="s">
        <v>3044</v>
      </c>
      <c r="AC161" s="1" t="s">
        <v>3045</v>
      </c>
      <c r="AD161" s="1" t="s">
        <v>3046</v>
      </c>
      <c r="AE161" s="1" t="s">
        <v>3047</v>
      </c>
      <c r="AF161" s="1" t="s">
        <v>74</v>
      </c>
      <c r="AG161" s="1">
        <v>63</v>
      </c>
      <c r="AH161" s="1">
        <v>0</v>
      </c>
      <c r="AI161" s="1">
        <v>0</v>
      </c>
      <c r="AJ161" s="1">
        <v>4</v>
      </c>
      <c r="AK161" s="1">
        <v>7</v>
      </c>
      <c r="AL161" s="1" t="s">
        <v>136</v>
      </c>
      <c r="AM161" s="1" t="s">
        <v>137</v>
      </c>
      <c r="AN161" s="1" t="s">
        <v>138</v>
      </c>
      <c r="AO161" s="1" t="s">
        <v>240</v>
      </c>
      <c r="AP161" s="1" t="s">
        <v>241</v>
      </c>
      <c r="AQ161" s="1" t="s">
        <v>74</v>
      </c>
      <c r="AR161" s="1" t="s">
        <v>242</v>
      </c>
      <c r="AS161" s="1" t="s">
        <v>243</v>
      </c>
      <c r="AT161" s="1" t="s">
        <v>93</v>
      </c>
      <c r="AU161" s="1">
        <v>2024</v>
      </c>
      <c r="AV161" s="1">
        <v>201</v>
      </c>
      <c r="AW161" s="1" t="s">
        <v>74</v>
      </c>
      <c r="AX161" s="1" t="s">
        <v>74</v>
      </c>
      <c r="AY161" s="1" t="s">
        <v>74</v>
      </c>
      <c r="AZ161" s="1" t="s">
        <v>74</v>
      </c>
      <c r="BA161" s="1" t="s">
        <v>74</v>
      </c>
      <c r="BB161" s="1" t="s">
        <v>74</v>
      </c>
      <c r="BC161" s="1" t="s">
        <v>74</v>
      </c>
      <c r="BD161" s="1">
        <v>116177</v>
      </c>
      <c r="BE161" s="1" t="s">
        <v>3048</v>
      </c>
      <c r="BF161" s="1" t="str">
        <f>HYPERLINK("http://dx.doi.org/10.1016/j.marpolbul.2024.116177","http://dx.doi.org/10.1016/j.marpolbul.2024.116177")</f>
        <v>http://dx.doi.org/10.1016/j.marpolbul.2024.116177</v>
      </c>
      <c r="BG161" s="1" t="s">
        <v>74</v>
      </c>
      <c r="BH161" s="1" t="s">
        <v>2782</v>
      </c>
      <c r="BI161" s="1">
        <v>7</v>
      </c>
      <c r="BJ161" s="1" t="s">
        <v>247</v>
      </c>
      <c r="BK161" s="1" t="s">
        <v>96</v>
      </c>
      <c r="BL161" s="1" t="s">
        <v>248</v>
      </c>
      <c r="BM161" s="1" t="s">
        <v>3049</v>
      </c>
      <c r="BN161" s="1">
        <v>38382323</v>
      </c>
      <c r="BO161" s="1" t="s">
        <v>74</v>
      </c>
      <c r="BP161" s="1" t="s">
        <v>74</v>
      </c>
      <c r="BQ161" s="1" t="s">
        <v>74</v>
      </c>
      <c r="BR161" s="1" t="s">
        <v>98</v>
      </c>
      <c r="BS161" s="1" t="s">
        <v>3050</v>
      </c>
      <c r="BT161" s="1" t="str">
        <f>HYPERLINK("https%3A%2F%2Fwww.webofscience.com%2Fwos%2Fwoscc%2Ffull-record%2FWOS:001188230600001","View Full Record in Web of Science")</f>
        <v>View Full Record in Web of Science</v>
      </c>
    </row>
    <row r="162" spans="1:72">
      <c r="A162" s="1" t="s">
        <v>72</v>
      </c>
      <c r="B162" s="1" t="s">
        <v>3051</v>
      </c>
      <c r="C162" s="1" t="s">
        <v>74</v>
      </c>
      <c r="D162" s="1" t="s">
        <v>74</v>
      </c>
      <c r="E162" s="1" t="s">
        <v>74</v>
      </c>
      <c r="F162" s="1" t="s">
        <v>3051</v>
      </c>
      <c r="G162" s="1" t="s">
        <v>74</v>
      </c>
      <c r="H162" s="1" t="s">
        <v>74</v>
      </c>
      <c r="I162" s="1" t="s">
        <v>3052</v>
      </c>
      <c r="J162" s="1" t="s">
        <v>909</v>
      </c>
      <c r="K162" s="1" t="s">
        <v>74</v>
      </c>
      <c r="L162" s="1" t="s">
        <v>74</v>
      </c>
      <c r="M162" s="1" t="s">
        <v>78</v>
      </c>
      <c r="N162" s="1" t="s">
        <v>151</v>
      </c>
      <c r="O162" s="1" t="s">
        <v>3053</v>
      </c>
      <c r="P162" s="1" t="s">
        <v>3054</v>
      </c>
      <c r="Q162" s="1" t="s">
        <v>3055</v>
      </c>
      <c r="R162" s="1" t="s">
        <v>74</v>
      </c>
      <c r="S162" s="1" t="s">
        <v>74</v>
      </c>
      <c r="T162" s="1" t="s">
        <v>3056</v>
      </c>
      <c r="U162" s="1" t="s">
        <v>3057</v>
      </c>
      <c r="V162" s="1" t="s">
        <v>3058</v>
      </c>
      <c r="W162" s="1" t="s">
        <v>74</v>
      </c>
      <c r="X162" s="1" t="s">
        <v>74</v>
      </c>
      <c r="Y162" s="1" t="s">
        <v>3059</v>
      </c>
      <c r="Z162" s="1" t="s">
        <v>74</v>
      </c>
      <c r="AA162" s="1" t="s">
        <v>74</v>
      </c>
      <c r="AB162" s="1" t="s">
        <v>74</v>
      </c>
      <c r="AC162" s="1" t="s">
        <v>74</v>
      </c>
      <c r="AD162" s="1" t="s">
        <v>74</v>
      </c>
      <c r="AE162" s="1" t="s">
        <v>74</v>
      </c>
      <c r="AF162" s="1" t="s">
        <v>74</v>
      </c>
      <c r="AG162" s="1">
        <v>40</v>
      </c>
      <c r="AH162" s="1">
        <v>9</v>
      </c>
      <c r="AI162" s="1">
        <v>9</v>
      </c>
      <c r="AJ162" s="1">
        <v>0</v>
      </c>
      <c r="AK162" s="1">
        <v>11</v>
      </c>
      <c r="AL162" s="1" t="s">
        <v>919</v>
      </c>
      <c r="AM162" s="1" t="s">
        <v>651</v>
      </c>
      <c r="AN162" s="1" t="s">
        <v>920</v>
      </c>
      <c r="AO162" s="1" t="s">
        <v>921</v>
      </c>
      <c r="AP162" s="1" t="s">
        <v>74</v>
      </c>
      <c r="AQ162" s="1" t="s">
        <v>74</v>
      </c>
      <c r="AR162" s="1" t="s">
        <v>923</v>
      </c>
      <c r="AS162" s="1" t="s">
        <v>924</v>
      </c>
      <c r="AT162" s="1" t="s">
        <v>3060</v>
      </c>
      <c r="AU162" s="1">
        <v>1994</v>
      </c>
      <c r="AV162" s="1">
        <v>147</v>
      </c>
      <c r="AW162" s="1" t="s">
        <v>74</v>
      </c>
      <c r="AX162" s="1" t="s">
        <v>74</v>
      </c>
      <c r="AY162" s="1" t="s">
        <v>74</v>
      </c>
      <c r="AZ162" s="1" t="s">
        <v>74</v>
      </c>
      <c r="BA162" s="1" t="s">
        <v>74</v>
      </c>
      <c r="BB162" s="1">
        <v>131</v>
      </c>
      <c r="BC162" s="1">
        <v>139</v>
      </c>
      <c r="BD162" s="1" t="s">
        <v>74</v>
      </c>
      <c r="BE162" s="1" t="s">
        <v>74</v>
      </c>
      <c r="BF162" s="1" t="s">
        <v>74</v>
      </c>
      <c r="BG162" s="1" t="s">
        <v>74</v>
      </c>
      <c r="BH162" s="1" t="s">
        <v>74</v>
      </c>
      <c r="BI162" s="1">
        <v>9</v>
      </c>
      <c r="BJ162" s="1" t="s">
        <v>144</v>
      </c>
      <c r="BK162" s="1" t="s">
        <v>588</v>
      </c>
      <c r="BL162" s="1" t="s">
        <v>145</v>
      </c>
      <c r="BM162" s="1" t="s">
        <v>3061</v>
      </c>
      <c r="BN162" s="1" t="s">
        <v>74</v>
      </c>
      <c r="BO162" s="1" t="s">
        <v>74</v>
      </c>
      <c r="BP162" s="1" t="s">
        <v>74</v>
      </c>
      <c r="BQ162" s="1" t="s">
        <v>74</v>
      </c>
      <c r="BR162" s="1" t="s">
        <v>98</v>
      </c>
      <c r="BS162" s="1" t="s">
        <v>3062</v>
      </c>
      <c r="BT162" s="1" t="str">
        <f>HYPERLINK("https%3A%2F%2Fwww.webofscience.com%2Fwos%2Fwoscc%2Ffull-record%2FWOS:A1994NN06400018","View Full Record in Web of Science")</f>
        <v>View Full Record in Web of Science</v>
      </c>
    </row>
    <row r="163" spans="1:72">
      <c r="A163" s="1" t="s">
        <v>72</v>
      </c>
      <c r="B163" s="1" t="s">
        <v>3063</v>
      </c>
      <c r="C163" s="1" t="s">
        <v>74</v>
      </c>
      <c r="D163" s="1" t="s">
        <v>74</v>
      </c>
      <c r="E163" s="1" t="s">
        <v>74</v>
      </c>
      <c r="F163" s="1" t="s">
        <v>3063</v>
      </c>
      <c r="G163" s="1" t="s">
        <v>74</v>
      </c>
      <c r="H163" s="1" t="s">
        <v>74</v>
      </c>
      <c r="I163" s="1" t="s">
        <v>3064</v>
      </c>
      <c r="J163" s="1" t="s">
        <v>421</v>
      </c>
      <c r="K163" s="1" t="s">
        <v>74</v>
      </c>
      <c r="L163" s="1" t="s">
        <v>74</v>
      </c>
      <c r="M163" s="1" t="s">
        <v>78</v>
      </c>
      <c r="N163" s="1" t="s">
        <v>79</v>
      </c>
      <c r="O163" s="1" t="s">
        <v>74</v>
      </c>
      <c r="P163" s="1" t="s">
        <v>74</v>
      </c>
      <c r="Q163" s="1" t="s">
        <v>74</v>
      </c>
      <c r="R163" s="1" t="s">
        <v>74</v>
      </c>
      <c r="S163" s="1" t="s">
        <v>74</v>
      </c>
      <c r="T163" s="1" t="s">
        <v>74</v>
      </c>
      <c r="U163" s="1" t="s">
        <v>3065</v>
      </c>
      <c r="V163" s="1" t="s">
        <v>3066</v>
      </c>
      <c r="W163" s="1" t="s">
        <v>74</v>
      </c>
      <c r="X163" s="1" t="s">
        <v>74</v>
      </c>
      <c r="Y163" s="1" t="s">
        <v>3067</v>
      </c>
      <c r="Z163" s="1" t="s">
        <v>74</v>
      </c>
      <c r="AA163" s="1" t="s">
        <v>74</v>
      </c>
      <c r="AB163" s="1" t="s">
        <v>74</v>
      </c>
      <c r="AC163" s="1" t="s">
        <v>74</v>
      </c>
      <c r="AD163" s="1" t="s">
        <v>74</v>
      </c>
      <c r="AE163" s="1" t="s">
        <v>74</v>
      </c>
      <c r="AF163" s="1" t="s">
        <v>74</v>
      </c>
      <c r="AG163" s="1">
        <v>15</v>
      </c>
      <c r="AH163" s="1">
        <v>7</v>
      </c>
      <c r="AI163" s="1">
        <v>8</v>
      </c>
      <c r="AJ163" s="1">
        <v>0</v>
      </c>
      <c r="AK163" s="1">
        <v>16</v>
      </c>
      <c r="AL163" s="1" t="s">
        <v>430</v>
      </c>
      <c r="AM163" s="1" t="s">
        <v>137</v>
      </c>
      <c r="AN163" s="1" t="s">
        <v>1600</v>
      </c>
      <c r="AO163" s="1" t="s">
        <v>432</v>
      </c>
      <c r="AP163" s="1" t="s">
        <v>74</v>
      </c>
      <c r="AQ163" s="1" t="s">
        <v>74</v>
      </c>
      <c r="AR163" s="1" t="s">
        <v>433</v>
      </c>
      <c r="AS163" s="1" t="s">
        <v>434</v>
      </c>
      <c r="AT163" s="1" t="s">
        <v>74</v>
      </c>
      <c r="AU163" s="1">
        <v>1991</v>
      </c>
      <c r="AV163" s="1">
        <v>70</v>
      </c>
      <c r="AW163" s="1">
        <v>3</v>
      </c>
      <c r="AX163" s="1" t="s">
        <v>74</v>
      </c>
      <c r="AY163" s="1" t="s">
        <v>74</v>
      </c>
      <c r="AZ163" s="1" t="s">
        <v>74</v>
      </c>
      <c r="BA163" s="1" t="s">
        <v>74</v>
      </c>
      <c r="BB163" s="1">
        <v>209</v>
      </c>
      <c r="BC163" s="1">
        <v>217</v>
      </c>
      <c r="BD163" s="1" t="s">
        <v>74</v>
      </c>
      <c r="BE163" s="1" t="s">
        <v>3068</v>
      </c>
      <c r="BF163" s="1" t="str">
        <f>HYPERLINK("http://dx.doi.org/10.1016/0269-7491(91)90010-T","http://dx.doi.org/10.1016/0269-7491(91)90010-T")</f>
        <v>http://dx.doi.org/10.1016/0269-7491(91)90010-T</v>
      </c>
      <c r="BG163" s="1" t="s">
        <v>74</v>
      </c>
      <c r="BH163" s="1" t="s">
        <v>74</v>
      </c>
      <c r="BI163" s="1">
        <v>9</v>
      </c>
      <c r="BJ163" s="1" t="s">
        <v>144</v>
      </c>
      <c r="BK163" s="1" t="s">
        <v>96</v>
      </c>
      <c r="BL163" s="1" t="s">
        <v>145</v>
      </c>
      <c r="BM163" s="1" t="s">
        <v>3069</v>
      </c>
      <c r="BN163" s="1">
        <v>15092133</v>
      </c>
      <c r="BO163" s="1" t="s">
        <v>74</v>
      </c>
      <c r="BP163" s="1" t="s">
        <v>74</v>
      </c>
      <c r="BQ163" s="1" t="s">
        <v>74</v>
      </c>
      <c r="BR163" s="1" t="s">
        <v>98</v>
      </c>
      <c r="BS163" s="1" t="s">
        <v>3070</v>
      </c>
      <c r="BT163" s="1" t="str">
        <f>HYPERLINK("https%3A%2F%2Fwww.webofscience.com%2Fwos%2Fwoscc%2Ffull-record%2FWOS:A1991FK60400002","View Full Record in Web of Science")</f>
        <v>View Full Record in Web of Science</v>
      </c>
    </row>
    <row r="164" spans="1:72">
      <c r="A164" s="1" t="s">
        <v>72</v>
      </c>
      <c r="B164" s="1" t="s">
        <v>3071</v>
      </c>
      <c r="C164" s="1" t="s">
        <v>74</v>
      </c>
      <c r="D164" s="1" t="s">
        <v>74</v>
      </c>
      <c r="E164" s="1" t="s">
        <v>74</v>
      </c>
      <c r="F164" s="1" t="s">
        <v>3071</v>
      </c>
      <c r="G164" s="1" t="s">
        <v>74</v>
      </c>
      <c r="H164" s="1" t="s">
        <v>74</v>
      </c>
      <c r="I164" s="1" t="s">
        <v>3072</v>
      </c>
      <c r="J164" s="1" t="s">
        <v>179</v>
      </c>
      <c r="K164" s="1" t="s">
        <v>74</v>
      </c>
      <c r="L164" s="1" t="s">
        <v>74</v>
      </c>
      <c r="M164" s="1" t="s">
        <v>78</v>
      </c>
      <c r="N164" s="1" t="s">
        <v>151</v>
      </c>
      <c r="O164" s="1" t="s">
        <v>3073</v>
      </c>
      <c r="P164" s="1" t="s">
        <v>3074</v>
      </c>
      <c r="Q164" s="1" t="s">
        <v>3075</v>
      </c>
      <c r="R164" s="1" t="s">
        <v>74</v>
      </c>
      <c r="S164" s="1" t="s">
        <v>74</v>
      </c>
      <c r="T164" s="1" t="s">
        <v>74</v>
      </c>
      <c r="U164" s="1" t="s">
        <v>74</v>
      </c>
      <c r="V164" s="1" t="s">
        <v>3076</v>
      </c>
      <c r="W164" s="1" t="s">
        <v>74</v>
      </c>
      <c r="X164" s="1" t="s">
        <v>74</v>
      </c>
      <c r="Y164" s="1" t="s">
        <v>3077</v>
      </c>
      <c r="Z164" s="1" t="s">
        <v>74</v>
      </c>
      <c r="AA164" s="1" t="s">
        <v>3078</v>
      </c>
      <c r="AB164" s="1" t="s">
        <v>74</v>
      </c>
      <c r="AC164" s="1" t="s">
        <v>74</v>
      </c>
      <c r="AD164" s="1" t="s">
        <v>74</v>
      </c>
      <c r="AE164" s="1" t="s">
        <v>74</v>
      </c>
      <c r="AF164" s="1" t="s">
        <v>74</v>
      </c>
      <c r="AG164" s="1">
        <v>0</v>
      </c>
      <c r="AH164" s="1">
        <v>24</v>
      </c>
      <c r="AI164" s="1">
        <v>27</v>
      </c>
      <c r="AJ164" s="1">
        <v>1</v>
      </c>
      <c r="AK164" s="1">
        <v>9</v>
      </c>
      <c r="AL164" s="1" t="s">
        <v>716</v>
      </c>
      <c r="AM164" s="1" t="s">
        <v>191</v>
      </c>
      <c r="AN164" s="1" t="s">
        <v>717</v>
      </c>
      <c r="AO164" s="1" t="s">
        <v>193</v>
      </c>
      <c r="AP164" s="1" t="s">
        <v>74</v>
      </c>
      <c r="AQ164" s="1" t="s">
        <v>74</v>
      </c>
      <c r="AR164" s="1" t="s">
        <v>195</v>
      </c>
      <c r="AS164" s="1" t="s">
        <v>196</v>
      </c>
      <c r="AT164" s="1" t="s">
        <v>2705</v>
      </c>
      <c r="AU164" s="1">
        <v>1991</v>
      </c>
      <c r="AV164" s="1">
        <v>19</v>
      </c>
      <c r="AW164" s="1" t="s">
        <v>2847</v>
      </c>
      <c r="AX164" s="1" t="s">
        <v>74</v>
      </c>
      <c r="AY164" s="1" t="s">
        <v>74</v>
      </c>
      <c r="AZ164" s="1" t="s">
        <v>74</v>
      </c>
      <c r="BA164" s="1" t="s">
        <v>74</v>
      </c>
      <c r="BB164" s="1">
        <v>481</v>
      </c>
      <c r="BC164" s="1">
        <v>494</v>
      </c>
      <c r="BD164" s="1" t="s">
        <v>74</v>
      </c>
      <c r="BE164" s="1" t="s">
        <v>3079</v>
      </c>
      <c r="BF164" s="1" t="str">
        <f>HYPERLINK("http://dx.doi.org/10.1007/BF00401335","http://dx.doi.org/10.1007/BF00401335")</f>
        <v>http://dx.doi.org/10.1007/BF00401335</v>
      </c>
      <c r="BG164" s="1" t="s">
        <v>74</v>
      </c>
      <c r="BH164" s="1" t="s">
        <v>74</v>
      </c>
      <c r="BI164" s="1">
        <v>14</v>
      </c>
      <c r="BJ164" s="1" t="s">
        <v>144</v>
      </c>
      <c r="BK164" s="1" t="s">
        <v>588</v>
      </c>
      <c r="BL164" s="1" t="s">
        <v>145</v>
      </c>
      <c r="BM164" s="1" t="s">
        <v>3080</v>
      </c>
      <c r="BN164" s="1">
        <v>24233963</v>
      </c>
      <c r="BO164" s="1" t="s">
        <v>74</v>
      </c>
      <c r="BP164" s="1" t="s">
        <v>74</v>
      </c>
      <c r="BQ164" s="1" t="s">
        <v>74</v>
      </c>
      <c r="BR164" s="1" t="s">
        <v>98</v>
      </c>
      <c r="BS164" s="1" t="s">
        <v>3081</v>
      </c>
      <c r="BT164" s="1" t="str">
        <f>HYPERLINK("https%3A%2F%2Fwww.webofscience.com%2Fwos%2Fwoscc%2Ffull-record%2FWOS:A1991GW30800045","View Full Record in Web of Science")</f>
        <v>View Full Record in Web of Science</v>
      </c>
    </row>
    <row r="165" spans="1:72">
      <c r="A165" s="1" t="s">
        <v>72</v>
      </c>
      <c r="B165" s="1" t="s">
        <v>3082</v>
      </c>
      <c r="C165" s="1" t="s">
        <v>74</v>
      </c>
      <c r="D165" s="1" t="s">
        <v>74</v>
      </c>
      <c r="E165" s="1" t="s">
        <v>74</v>
      </c>
      <c r="F165" s="1" t="s">
        <v>3082</v>
      </c>
      <c r="G165" s="1" t="s">
        <v>74</v>
      </c>
      <c r="H165" s="1" t="s">
        <v>74</v>
      </c>
      <c r="I165" s="1" t="s">
        <v>3083</v>
      </c>
      <c r="J165" s="1" t="s">
        <v>554</v>
      </c>
      <c r="K165" s="1" t="s">
        <v>74</v>
      </c>
      <c r="L165" s="1" t="s">
        <v>74</v>
      </c>
      <c r="M165" s="1" t="s">
        <v>78</v>
      </c>
      <c r="N165" s="1" t="s">
        <v>79</v>
      </c>
      <c r="O165" s="1" t="s">
        <v>74</v>
      </c>
      <c r="P165" s="1" t="s">
        <v>74</v>
      </c>
      <c r="Q165" s="1" t="s">
        <v>74</v>
      </c>
      <c r="R165" s="1" t="s">
        <v>74</v>
      </c>
      <c r="S165" s="1" t="s">
        <v>74</v>
      </c>
      <c r="T165" s="1" t="s">
        <v>3084</v>
      </c>
      <c r="U165" s="1" t="s">
        <v>3085</v>
      </c>
      <c r="V165" s="1" t="s">
        <v>3086</v>
      </c>
      <c r="W165" s="1" t="s">
        <v>3087</v>
      </c>
      <c r="X165" s="1" t="s">
        <v>3088</v>
      </c>
      <c r="Y165" s="1" t="s">
        <v>3089</v>
      </c>
      <c r="Z165" s="1" t="s">
        <v>3090</v>
      </c>
      <c r="AA165" s="1" t="s">
        <v>74</v>
      </c>
      <c r="AB165" s="1" t="s">
        <v>74</v>
      </c>
      <c r="AC165" s="1" t="s">
        <v>74</v>
      </c>
      <c r="AD165" s="1" t="s">
        <v>74</v>
      </c>
      <c r="AE165" s="1" t="s">
        <v>74</v>
      </c>
      <c r="AF165" s="1" t="s">
        <v>74</v>
      </c>
      <c r="AG165" s="1">
        <v>31</v>
      </c>
      <c r="AH165" s="1">
        <v>10</v>
      </c>
      <c r="AI165" s="1">
        <v>14</v>
      </c>
      <c r="AJ165" s="1">
        <v>1</v>
      </c>
      <c r="AK165" s="1">
        <v>10</v>
      </c>
      <c r="AL165" s="1" t="s">
        <v>564</v>
      </c>
      <c r="AM165" s="1" t="s">
        <v>113</v>
      </c>
      <c r="AN165" s="1" t="s">
        <v>565</v>
      </c>
      <c r="AO165" s="1" t="s">
        <v>566</v>
      </c>
      <c r="AP165" s="1" t="s">
        <v>567</v>
      </c>
      <c r="AQ165" s="1" t="s">
        <v>74</v>
      </c>
      <c r="AR165" s="1" t="s">
        <v>568</v>
      </c>
      <c r="AS165" s="1" t="s">
        <v>569</v>
      </c>
      <c r="AT165" s="1" t="s">
        <v>93</v>
      </c>
      <c r="AU165" s="1">
        <v>2002</v>
      </c>
      <c r="AV165" s="1">
        <v>131</v>
      </c>
      <c r="AW165" s="1">
        <v>4</v>
      </c>
      <c r="AX165" s="1" t="s">
        <v>74</v>
      </c>
      <c r="AY165" s="1" t="s">
        <v>74</v>
      </c>
      <c r="AZ165" s="1" t="s">
        <v>74</v>
      </c>
      <c r="BA165" s="1" t="s">
        <v>74</v>
      </c>
      <c r="BB165" s="1">
        <v>425</v>
      </c>
      <c r="BC165" s="1">
        <v>431</v>
      </c>
      <c r="BD165" s="1" t="s">
        <v>3091</v>
      </c>
      <c r="BE165" s="1" t="s">
        <v>3092</v>
      </c>
      <c r="BF165" s="1" t="str">
        <f>HYPERLINK("http://dx.doi.org/10.1016/S1532-0456(02)00029-7","http://dx.doi.org/10.1016/S1532-0456(02)00029-7")</f>
        <v>http://dx.doi.org/10.1016/S1532-0456(02)00029-7</v>
      </c>
      <c r="BG165" s="1" t="s">
        <v>74</v>
      </c>
      <c r="BH165" s="1" t="s">
        <v>74</v>
      </c>
      <c r="BI165" s="1">
        <v>7</v>
      </c>
      <c r="BJ165" s="1" t="s">
        <v>571</v>
      </c>
      <c r="BK165" s="1" t="s">
        <v>96</v>
      </c>
      <c r="BL165" s="1" t="s">
        <v>571</v>
      </c>
      <c r="BM165" s="1" t="s">
        <v>3093</v>
      </c>
      <c r="BN165" s="1">
        <v>11976057</v>
      </c>
      <c r="BO165" s="1" t="s">
        <v>74</v>
      </c>
      <c r="BP165" s="1" t="s">
        <v>74</v>
      </c>
      <c r="BQ165" s="1" t="s">
        <v>74</v>
      </c>
      <c r="BR165" s="1" t="s">
        <v>98</v>
      </c>
      <c r="BS165" s="1" t="s">
        <v>3094</v>
      </c>
      <c r="BT165" s="1" t="str">
        <f>HYPERLINK("https%3A%2F%2Fwww.webofscience.com%2Fwos%2Fwoscc%2Ffull-record%2FWOS:000175430300003","View Full Record in Web of Science")</f>
        <v>View Full Record in Web of Science</v>
      </c>
    </row>
    <row r="166" spans="1:72">
      <c r="A166" s="1" t="s">
        <v>72</v>
      </c>
      <c r="B166" s="1" t="s">
        <v>3095</v>
      </c>
      <c r="C166" s="1" t="s">
        <v>74</v>
      </c>
      <c r="D166" s="1" t="s">
        <v>74</v>
      </c>
      <c r="E166" s="1" t="s">
        <v>74</v>
      </c>
      <c r="F166" s="1" t="s">
        <v>3096</v>
      </c>
      <c r="G166" s="1" t="s">
        <v>74</v>
      </c>
      <c r="H166" s="1" t="s">
        <v>74</v>
      </c>
      <c r="I166" s="1" t="s">
        <v>3097</v>
      </c>
      <c r="J166" s="1" t="s">
        <v>3098</v>
      </c>
      <c r="K166" s="1" t="s">
        <v>74</v>
      </c>
      <c r="L166" s="1" t="s">
        <v>74</v>
      </c>
      <c r="M166" s="1" t="s">
        <v>78</v>
      </c>
      <c r="N166" s="1" t="s">
        <v>79</v>
      </c>
      <c r="O166" s="1" t="s">
        <v>74</v>
      </c>
      <c r="P166" s="1" t="s">
        <v>74</v>
      </c>
      <c r="Q166" s="1" t="s">
        <v>74</v>
      </c>
      <c r="R166" s="1" t="s">
        <v>74</v>
      </c>
      <c r="S166" s="1" t="s">
        <v>74</v>
      </c>
      <c r="T166" s="1" t="s">
        <v>3099</v>
      </c>
      <c r="U166" s="1" t="s">
        <v>3100</v>
      </c>
      <c r="V166" s="1" t="s">
        <v>3101</v>
      </c>
      <c r="W166" s="1" t="s">
        <v>3102</v>
      </c>
      <c r="X166" s="1" t="s">
        <v>3103</v>
      </c>
      <c r="Y166" s="1" t="s">
        <v>3104</v>
      </c>
      <c r="Z166" s="1" t="s">
        <v>3105</v>
      </c>
      <c r="AA166" s="1" t="s">
        <v>3106</v>
      </c>
      <c r="AB166" s="1" t="s">
        <v>3107</v>
      </c>
      <c r="AC166" s="1" t="s">
        <v>74</v>
      </c>
      <c r="AD166" s="1" t="s">
        <v>74</v>
      </c>
      <c r="AE166" s="1" t="s">
        <v>74</v>
      </c>
      <c r="AF166" s="1" t="s">
        <v>74</v>
      </c>
      <c r="AG166" s="1">
        <v>82</v>
      </c>
      <c r="AH166" s="1">
        <v>3</v>
      </c>
      <c r="AI166" s="1">
        <v>3</v>
      </c>
      <c r="AJ166" s="1">
        <v>0</v>
      </c>
      <c r="AK166" s="1">
        <v>5</v>
      </c>
      <c r="AL166" s="1" t="s">
        <v>3108</v>
      </c>
      <c r="AM166" s="1" t="s">
        <v>3109</v>
      </c>
      <c r="AN166" s="1" t="s">
        <v>3110</v>
      </c>
      <c r="AO166" s="1" t="s">
        <v>3111</v>
      </c>
      <c r="AP166" s="1" t="s">
        <v>3112</v>
      </c>
      <c r="AQ166" s="1" t="s">
        <v>74</v>
      </c>
      <c r="AR166" s="1" t="s">
        <v>3113</v>
      </c>
      <c r="AS166" s="1" t="s">
        <v>3114</v>
      </c>
      <c r="AT166" s="1" t="s">
        <v>74</v>
      </c>
      <c r="AU166" s="1">
        <v>2023</v>
      </c>
      <c r="AV166" s="1">
        <v>74</v>
      </c>
      <c r="AW166" s="1">
        <v>2</v>
      </c>
      <c r="AX166" s="1" t="s">
        <v>74</v>
      </c>
      <c r="AY166" s="1" t="s">
        <v>74</v>
      </c>
      <c r="AZ166" s="1" t="s">
        <v>74</v>
      </c>
      <c r="BA166" s="1" t="s">
        <v>74</v>
      </c>
      <c r="BB166" s="1">
        <v>144</v>
      </c>
      <c r="BC166" s="1">
        <v>156</v>
      </c>
      <c r="BD166" s="1" t="s">
        <v>74</v>
      </c>
      <c r="BE166" s="1" t="s">
        <v>3115</v>
      </c>
      <c r="BF166" s="1" t="str">
        <f>HYPERLINK("http://dx.doi.org/10.1071/MF22173","http://dx.doi.org/10.1071/MF22173")</f>
        <v>http://dx.doi.org/10.1071/MF22173</v>
      </c>
      <c r="BG166" s="1" t="s">
        <v>74</v>
      </c>
      <c r="BH166" s="1" t="s">
        <v>2057</v>
      </c>
      <c r="BI166" s="1">
        <v>13</v>
      </c>
      <c r="BJ166" s="1" t="s">
        <v>3116</v>
      </c>
      <c r="BK166" s="1" t="s">
        <v>96</v>
      </c>
      <c r="BL166" s="1" t="s">
        <v>3117</v>
      </c>
      <c r="BM166" s="1" t="s">
        <v>3118</v>
      </c>
      <c r="BN166" s="1" t="s">
        <v>74</v>
      </c>
      <c r="BO166" s="1" t="s">
        <v>74</v>
      </c>
      <c r="BP166" s="1" t="s">
        <v>74</v>
      </c>
      <c r="BQ166" s="1" t="s">
        <v>74</v>
      </c>
      <c r="BR166" s="1" t="s">
        <v>98</v>
      </c>
      <c r="BS166" s="1" t="s">
        <v>3119</v>
      </c>
      <c r="BT166" s="1" t="str">
        <f>HYPERLINK("https%3A%2F%2Fwww.webofscience.com%2Fwos%2Fwoscc%2Ffull-record%2FWOS:000911385200001","View Full Record in Web of Science")</f>
        <v>View Full Record in Web of Science</v>
      </c>
    </row>
    <row r="167" spans="1:72">
      <c r="A167" s="1" t="s">
        <v>72</v>
      </c>
      <c r="B167" s="1" t="s">
        <v>3120</v>
      </c>
      <c r="C167" s="1" t="s">
        <v>74</v>
      </c>
      <c r="D167" s="1" t="s">
        <v>74</v>
      </c>
      <c r="E167" s="1" t="s">
        <v>74</v>
      </c>
      <c r="F167" s="1" t="s">
        <v>3121</v>
      </c>
      <c r="G167" s="1" t="s">
        <v>74</v>
      </c>
      <c r="H167" s="1" t="s">
        <v>74</v>
      </c>
      <c r="I167" s="1" t="s">
        <v>3122</v>
      </c>
      <c r="J167" s="1" t="s">
        <v>2371</v>
      </c>
      <c r="K167" s="1" t="s">
        <v>74</v>
      </c>
      <c r="L167" s="1" t="s">
        <v>74</v>
      </c>
      <c r="M167" s="1" t="s">
        <v>78</v>
      </c>
      <c r="N167" s="1" t="s">
        <v>79</v>
      </c>
      <c r="O167" s="1" t="s">
        <v>74</v>
      </c>
      <c r="P167" s="1" t="s">
        <v>74</v>
      </c>
      <c r="Q167" s="1" t="s">
        <v>74</v>
      </c>
      <c r="R167" s="1" t="s">
        <v>74</v>
      </c>
      <c r="S167" s="1" t="s">
        <v>74</v>
      </c>
      <c r="T167" s="1" t="s">
        <v>3123</v>
      </c>
      <c r="U167" s="1" t="s">
        <v>3124</v>
      </c>
      <c r="V167" s="1" t="s">
        <v>3125</v>
      </c>
      <c r="W167" s="1" t="s">
        <v>3126</v>
      </c>
      <c r="X167" s="1" t="s">
        <v>3127</v>
      </c>
      <c r="Y167" s="1" t="s">
        <v>3128</v>
      </c>
      <c r="Z167" s="1" t="s">
        <v>3129</v>
      </c>
      <c r="AA167" s="1" t="s">
        <v>3130</v>
      </c>
      <c r="AB167" s="1" t="s">
        <v>3131</v>
      </c>
      <c r="AC167" s="1" t="s">
        <v>3132</v>
      </c>
      <c r="AD167" s="1" t="s">
        <v>3133</v>
      </c>
      <c r="AE167" s="1" t="s">
        <v>3134</v>
      </c>
      <c r="AF167" s="1" t="s">
        <v>74</v>
      </c>
      <c r="AG167" s="1">
        <v>33</v>
      </c>
      <c r="AH167" s="1">
        <v>7</v>
      </c>
      <c r="AI167" s="1">
        <v>8</v>
      </c>
      <c r="AJ167" s="1">
        <v>3</v>
      </c>
      <c r="AK167" s="1">
        <v>54</v>
      </c>
      <c r="AL167" s="1" t="s">
        <v>2383</v>
      </c>
      <c r="AM167" s="1" t="s">
        <v>2384</v>
      </c>
      <c r="AN167" s="1" t="s">
        <v>2385</v>
      </c>
      <c r="AO167" s="1" t="s">
        <v>2386</v>
      </c>
      <c r="AP167" s="1" t="s">
        <v>2387</v>
      </c>
      <c r="AQ167" s="1" t="s">
        <v>74</v>
      </c>
      <c r="AR167" s="1" t="s">
        <v>2388</v>
      </c>
      <c r="AS167" s="1" t="s">
        <v>2389</v>
      </c>
      <c r="AT167" s="1" t="s">
        <v>1470</v>
      </c>
      <c r="AU167" s="1">
        <v>2013</v>
      </c>
      <c r="AV167" s="1">
        <v>26</v>
      </c>
      <c r="AW167" s="1">
        <v>1</v>
      </c>
      <c r="AX167" s="1" t="s">
        <v>74</v>
      </c>
      <c r="AY167" s="1" t="s">
        <v>74</v>
      </c>
      <c r="AZ167" s="1" t="s">
        <v>74</v>
      </c>
      <c r="BA167" s="1" t="s">
        <v>74</v>
      </c>
      <c r="BB167" s="1">
        <v>11</v>
      </c>
      <c r="BC167" s="1">
        <v>17</v>
      </c>
      <c r="BD167" s="1" t="s">
        <v>74</v>
      </c>
      <c r="BE167" s="1" t="s">
        <v>3135</v>
      </c>
      <c r="BF167" s="1" t="str">
        <f>HYPERLINK("http://dx.doi.org/10.1051/alr/2012040","http://dx.doi.org/10.1051/alr/2012040")</f>
        <v>http://dx.doi.org/10.1051/alr/2012040</v>
      </c>
      <c r="BG167" s="1" t="s">
        <v>74</v>
      </c>
      <c r="BH167" s="1" t="s">
        <v>74</v>
      </c>
      <c r="BI167" s="1">
        <v>7</v>
      </c>
      <c r="BJ167" s="1" t="s">
        <v>2391</v>
      </c>
      <c r="BK167" s="1" t="s">
        <v>96</v>
      </c>
      <c r="BL167" s="1" t="s">
        <v>2391</v>
      </c>
      <c r="BM167" s="1" t="s">
        <v>3136</v>
      </c>
      <c r="BN167" s="1" t="s">
        <v>74</v>
      </c>
      <c r="BO167" s="1" t="s">
        <v>370</v>
      </c>
      <c r="BP167" s="1" t="s">
        <v>74</v>
      </c>
      <c r="BQ167" s="1" t="s">
        <v>74</v>
      </c>
      <c r="BR167" s="1" t="s">
        <v>98</v>
      </c>
      <c r="BS167" s="1" t="s">
        <v>3137</v>
      </c>
      <c r="BT167" s="1" t="str">
        <f>HYPERLINK("https%3A%2F%2Fwww.webofscience.com%2Fwos%2Fwoscc%2Ffull-record%2FWOS:000317896900002","View Full Record in Web of Science")</f>
        <v>View Full Record in Web of Science</v>
      </c>
    </row>
    <row r="168" spans="1:72">
      <c r="A168" s="1" t="s">
        <v>72</v>
      </c>
      <c r="B168" s="1" t="s">
        <v>3138</v>
      </c>
      <c r="C168" s="1" t="s">
        <v>74</v>
      </c>
      <c r="D168" s="1" t="s">
        <v>74</v>
      </c>
      <c r="E168" s="1" t="s">
        <v>74</v>
      </c>
      <c r="F168" s="1" t="s">
        <v>3138</v>
      </c>
      <c r="G168" s="1" t="s">
        <v>74</v>
      </c>
      <c r="H168" s="1" t="s">
        <v>74</v>
      </c>
      <c r="I168" s="1" t="s">
        <v>3139</v>
      </c>
      <c r="J168" s="1" t="s">
        <v>595</v>
      </c>
      <c r="K168" s="1" t="s">
        <v>74</v>
      </c>
      <c r="L168" s="1" t="s">
        <v>74</v>
      </c>
      <c r="M168" s="1" t="s">
        <v>78</v>
      </c>
      <c r="N168" s="1" t="s">
        <v>79</v>
      </c>
      <c r="O168" s="1" t="s">
        <v>74</v>
      </c>
      <c r="P168" s="1" t="s">
        <v>74</v>
      </c>
      <c r="Q168" s="1" t="s">
        <v>74</v>
      </c>
      <c r="R168" s="1" t="s">
        <v>74</v>
      </c>
      <c r="S168" s="1" t="s">
        <v>74</v>
      </c>
      <c r="T168" s="1" t="s">
        <v>3140</v>
      </c>
      <c r="U168" s="1" t="s">
        <v>3141</v>
      </c>
      <c r="V168" s="1" t="s">
        <v>3142</v>
      </c>
      <c r="W168" s="1" t="s">
        <v>3143</v>
      </c>
      <c r="X168" s="1" t="s">
        <v>3144</v>
      </c>
      <c r="Y168" s="1" t="s">
        <v>3145</v>
      </c>
      <c r="Z168" s="1" t="s">
        <v>74</v>
      </c>
      <c r="AA168" s="1" t="s">
        <v>3146</v>
      </c>
      <c r="AB168" s="1" t="s">
        <v>3147</v>
      </c>
      <c r="AC168" s="1" t="s">
        <v>74</v>
      </c>
      <c r="AD168" s="1" t="s">
        <v>74</v>
      </c>
      <c r="AE168" s="1" t="s">
        <v>74</v>
      </c>
      <c r="AF168" s="1" t="s">
        <v>74</v>
      </c>
      <c r="AG168" s="1">
        <v>51</v>
      </c>
      <c r="AH168" s="1">
        <v>20</v>
      </c>
      <c r="AI168" s="1">
        <v>22</v>
      </c>
      <c r="AJ168" s="1">
        <v>0</v>
      </c>
      <c r="AK168" s="1">
        <v>8</v>
      </c>
      <c r="AL168" s="1" t="s">
        <v>716</v>
      </c>
      <c r="AM168" s="1" t="s">
        <v>191</v>
      </c>
      <c r="AN168" s="1" t="s">
        <v>717</v>
      </c>
      <c r="AO168" s="1" t="s">
        <v>608</v>
      </c>
      <c r="AP168" s="1" t="s">
        <v>74</v>
      </c>
      <c r="AQ168" s="1" t="s">
        <v>74</v>
      </c>
      <c r="AR168" s="1" t="s">
        <v>595</v>
      </c>
      <c r="AS168" s="1" t="s">
        <v>610</v>
      </c>
      <c r="AT168" s="1" t="s">
        <v>142</v>
      </c>
      <c r="AU168" s="1">
        <v>1998</v>
      </c>
      <c r="AV168" s="1">
        <v>7</v>
      </c>
      <c r="AW168" s="1">
        <v>3</v>
      </c>
      <c r="AX168" s="1" t="s">
        <v>74</v>
      </c>
      <c r="AY168" s="1" t="s">
        <v>74</v>
      </c>
      <c r="AZ168" s="1" t="s">
        <v>74</v>
      </c>
      <c r="BA168" s="1" t="s">
        <v>74</v>
      </c>
      <c r="BB168" s="1">
        <v>161</v>
      </c>
      <c r="BC168" s="1">
        <v>173</v>
      </c>
      <c r="BD168" s="1" t="s">
        <v>74</v>
      </c>
      <c r="BE168" s="1" t="s">
        <v>3148</v>
      </c>
      <c r="BF168" s="1" t="str">
        <f>HYPERLINK("http://dx.doi.org/10.1023/A:1014356327595","http://dx.doi.org/10.1023/A:1014356327595")</f>
        <v>http://dx.doi.org/10.1023/A:1014356327595</v>
      </c>
      <c r="BG168" s="1" t="s">
        <v>74</v>
      </c>
      <c r="BH168" s="1" t="s">
        <v>74</v>
      </c>
      <c r="BI168" s="1">
        <v>13</v>
      </c>
      <c r="BJ168" s="1" t="s">
        <v>612</v>
      </c>
      <c r="BK168" s="1" t="s">
        <v>96</v>
      </c>
      <c r="BL168" s="1" t="s">
        <v>122</v>
      </c>
      <c r="BM168" s="1" t="s">
        <v>3149</v>
      </c>
      <c r="BN168" s="1" t="s">
        <v>74</v>
      </c>
      <c r="BO168" s="1" t="s">
        <v>74</v>
      </c>
      <c r="BP168" s="1" t="s">
        <v>74</v>
      </c>
      <c r="BQ168" s="1" t="s">
        <v>74</v>
      </c>
      <c r="BR168" s="1" t="s">
        <v>98</v>
      </c>
      <c r="BS168" s="1" t="s">
        <v>3150</v>
      </c>
      <c r="BT168" s="1" t="str">
        <f>HYPERLINK("https%3A%2F%2Fwww.webofscience.com%2Fwos%2Fwoscc%2Ffull-record%2FWOS:000073626200005","View Full Record in Web of Science")</f>
        <v>View Full Record in Web of Science</v>
      </c>
    </row>
    <row r="169" spans="1:72">
      <c r="A169" s="1" t="s">
        <v>72</v>
      </c>
      <c r="B169" s="1" t="s">
        <v>3151</v>
      </c>
      <c r="C169" s="1" t="s">
        <v>74</v>
      </c>
      <c r="D169" s="1" t="s">
        <v>74</v>
      </c>
      <c r="E169" s="1" t="s">
        <v>74</v>
      </c>
      <c r="F169" s="1" t="s">
        <v>3151</v>
      </c>
      <c r="G169" s="1" t="s">
        <v>74</v>
      </c>
      <c r="H169" s="1" t="s">
        <v>74</v>
      </c>
      <c r="I169" s="1" t="s">
        <v>3152</v>
      </c>
      <c r="J169" s="1" t="s">
        <v>2265</v>
      </c>
      <c r="K169" s="1" t="s">
        <v>74</v>
      </c>
      <c r="L169" s="1" t="s">
        <v>74</v>
      </c>
      <c r="M169" s="1" t="s">
        <v>78</v>
      </c>
      <c r="N169" s="1" t="s">
        <v>79</v>
      </c>
      <c r="O169" s="1" t="s">
        <v>74</v>
      </c>
      <c r="P169" s="1" t="s">
        <v>74</v>
      </c>
      <c r="Q169" s="1" t="s">
        <v>74</v>
      </c>
      <c r="R169" s="1" t="s">
        <v>74</v>
      </c>
      <c r="S169" s="1" t="s">
        <v>74</v>
      </c>
      <c r="T169" s="1" t="s">
        <v>3153</v>
      </c>
      <c r="U169" s="1" t="s">
        <v>3154</v>
      </c>
      <c r="V169" s="1" t="s">
        <v>3155</v>
      </c>
      <c r="W169" s="1" t="s">
        <v>3156</v>
      </c>
      <c r="X169" s="1" t="s">
        <v>3157</v>
      </c>
      <c r="Y169" s="1" t="s">
        <v>3158</v>
      </c>
      <c r="Z169" s="1" t="s">
        <v>3159</v>
      </c>
      <c r="AA169" s="1" t="s">
        <v>3160</v>
      </c>
      <c r="AB169" s="1" t="s">
        <v>3161</v>
      </c>
      <c r="AC169" s="1" t="s">
        <v>74</v>
      </c>
      <c r="AD169" s="1" t="s">
        <v>74</v>
      </c>
      <c r="AE169" s="1" t="s">
        <v>74</v>
      </c>
      <c r="AF169" s="1" t="s">
        <v>74</v>
      </c>
      <c r="AG169" s="1">
        <v>43</v>
      </c>
      <c r="AH169" s="1">
        <v>92</v>
      </c>
      <c r="AI169" s="1">
        <v>100</v>
      </c>
      <c r="AJ169" s="1">
        <v>0</v>
      </c>
      <c r="AK169" s="1">
        <v>28</v>
      </c>
      <c r="AL169" s="1" t="s">
        <v>2074</v>
      </c>
      <c r="AM169" s="1" t="s">
        <v>2075</v>
      </c>
      <c r="AN169" s="1" t="s">
        <v>2076</v>
      </c>
      <c r="AO169" s="1" t="s">
        <v>2275</v>
      </c>
      <c r="AP169" s="1" t="s">
        <v>2276</v>
      </c>
      <c r="AQ169" s="1" t="s">
        <v>74</v>
      </c>
      <c r="AR169" s="1" t="s">
        <v>2265</v>
      </c>
      <c r="AS169" s="1" t="s">
        <v>2277</v>
      </c>
      <c r="AT169" s="1" t="s">
        <v>510</v>
      </c>
      <c r="AU169" s="1">
        <v>2002</v>
      </c>
      <c r="AV169" s="1">
        <v>7</v>
      </c>
      <c r="AW169" s="1">
        <v>6</v>
      </c>
      <c r="AX169" s="1" t="s">
        <v>74</v>
      </c>
      <c r="AY169" s="1" t="s">
        <v>74</v>
      </c>
      <c r="AZ169" s="1" t="s">
        <v>74</v>
      </c>
      <c r="BA169" s="1" t="s">
        <v>74</v>
      </c>
      <c r="BB169" s="1">
        <v>479</v>
      </c>
      <c r="BC169" s="1">
        <v>490</v>
      </c>
      <c r="BD169" s="1" t="s">
        <v>74</v>
      </c>
      <c r="BE169" s="1" t="s">
        <v>3162</v>
      </c>
      <c r="BF169" s="1" t="str">
        <f>HYPERLINK("http://dx.doi.org/10.1080/1354750021000034528","http://dx.doi.org/10.1080/1354750021000034528")</f>
        <v>http://dx.doi.org/10.1080/1354750021000034528</v>
      </c>
      <c r="BG169" s="1" t="s">
        <v>74</v>
      </c>
      <c r="BH169" s="1" t="s">
        <v>74</v>
      </c>
      <c r="BI169" s="1">
        <v>12</v>
      </c>
      <c r="BJ169" s="1" t="s">
        <v>2279</v>
      </c>
      <c r="BK169" s="1" t="s">
        <v>96</v>
      </c>
      <c r="BL169" s="1" t="s">
        <v>2279</v>
      </c>
      <c r="BM169" s="1" t="s">
        <v>3163</v>
      </c>
      <c r="BN169" s="1">
        <v>12581483</v>
      </c>
      <c r="BO169" s="1" t="s">
        <v>74</v>
      </c>
      <c r="BP169" s="1" t="s">
        <v>74</v>
      </c>
      <c r="BQ169" s="1" t="s">
        <v>74</v>
      </c>
      <c r="BR169" s="1" t="s">
        <v>98</v>
      </c>
      <c r="BS169" s="1" t="s">
        <v>3164</v>
      </c>
      <c r="BT169" s="1" t="str">
        <f>HYPERLINK("https%3A%2F%2Fwww.webofscience.com%2Fwos%2Fwoscc%2Ffull-record%2FWOS:000180120600004","View Full Record in Web of Science")</f>
        <v>View Full Record in Web of Science</v>
      </c>
    </row>
    <row r="170" spans="1:72">
      <c r="A170" s="1" t="s">
        <v>72</v>
      </c>
      <c r="B170" s="1" t="s">
        <v>3165</v>
      </c>
      <c r="C170" s="1" t="s">
        <v>74</v>
      </c>
      <c r="D170" s="1" t="s">
        <v>74</v>
      </c>
      <c r="E170" s="1" t="s">
        <v>74</v>
      </c>
      <c r="F170" s="1" t="s">
        <v>3166</v>
      </c>
      <c r="G170" s="1" t="s">
        <v>74</v>
      </c>
      <c r="H170" s="1" t="s">
        <v>74</v>
      </c>
      <c r="I170" s="1" t="s">
        <v>3167</v>
      </c>
      <c r="J170" s="1" t="s">
        <v>495</v>
      </c>
      <c r="K170" s="1" t="s">
        <v>74</v>
      </c>
      <c r="L170" s="1" t="s">
        <v>74</v>
      </c>
      <c r="M170" s="1" t="s">
        <v>78</v>
      </c>
      <c r="N170" s="1" t="s">
        <v>79</v>
      </c>
      <c r="O170" s="1" t="s">
        <v>74</v>
      </c>
      <c r="P170" s="1" t="s">
        <v>74</v>
      </c>
      <c r="Q170" s="1" t="s">
        <v>74</v>
      </c>
      <c r="R170" s="1" t="s">
        <v>74</v>
      </c>
      <c r="S170" s="1" t="s">
        <v>74</v>
      </c>
      <c r="T170" s="1" t="s">
        <v>3168</v>
      </c>
      <c r="U170" s="1" t="s">
        <v>3169</v>
      </c>
      <c r="V170" s="1" t="s">
        <v>3170</v>
      </c>
      <c r="W170" s="1" t="s">
        <v>3171</v>
      </c>
      <c r="X170" s="1" t="s">
        <v>3172</v>
      </c>
      <c r="Y170" s="1" t="s">
        <v>3173</v>
      </c>
      <c r="Z170" s="1" t="s">
        <v>3174</v>
      </c>
      <c r="AA170" s="1" t="s">
        <v>3175</v>
      </c>
      <c r="AB170" s="1" t="s">
        <v>3176</v>
      </c>
      <c r="AC170" s="1" t="s">
        <v>74</v>
      </c>
      <c r="AD170" s="1" t="s">
        <v>74</v>
      </c>
      <c r="AE170" s="1" t="s">
        <v>74</v>
      </c>
      <c r="AF170" s="1" t="s">
        <v>74</v>
      </c>
      <c r="AG170" s="1">
        <v>42</v>
      </c>
      <c r="AH170" s="1">
        <v>16</v>
      </c>
      <c r="AI170" s="1">
        <v>17</v>
      </c>
      <c r="AJ170" s="1">
        <v>0</v>
      </c>
      <c r="AK170" s="1">
        <v>10</v>
      </c>
      <c r="AL170" s="1" t="s">
        <v>1030</v>
      </c>
      <c r="AM170" s="1" t="s">
        <v>1031</v>
      </c>
      <c r="AN170" s="1" t="s">
        <v>1032</v>
      </c>
      <c r="AO170" s="1" t="s">
        <v>507</v>
      </c>
      <c r="AP170" s="1" t="s">
        <v>1033</v>
      </c>
      <c r="AQ170" s="1" t="s">
        <v>74</v>
      </c>
      <c r="AR170" s="1" t="s">
        <v>508</v>
      </c>
      <c r="AS170" s="1" t="s">
        <v>509</v>
      </c>
      <c r="AT170" s="1" t="s">
        <v>74</v>
      </c>
      <c r="AU170" s="1">
        <v>2012</v>
      </c>
      <c r="AV170" s="1">
        <v>21</v>
      </c>
      <c r="AW170" s="1" t="s">
        <v>3177</v>
      </c>
      <c r="AX170" s="1" t="s">
        <v>74</v>
      </c>
      <c r="AY170" s="1" t="s">
        <v>74</v>
      </c>
      <c r="AZ170" s="1" t="s">
        <v>74</v>
      </c>
      <c r="BA170" s="1" t="s">
        <v>74</v>
      </c>
      <c r="BB170" s="1">
        <v>1942</v>
      </c>
      <c r="BC170" s="1">
        <v>1947</v>
      </c>
      <c r="BD170" s="1" t="s">
        <v>74</v>
      </c>
      <c r="BE170" s="1" t="s">
        <v>74</v>
      </c>
      <c r="BF170" s="1" t="s">
        <v>74</v>
      </c>
      <c r="BG170" s="1" t="s">
        <v>74</v>
      </c>
      <c r="BH170" s="1" t="s">
        <v>74</v>
      </c>
      <c r="BI170" s="1">
        <v>6</v>
      </c>
      <c r="BJ170" s="1" t="s">
        <v>144</v>
      </c>
      <c r="BK170" s="1" t="s">
        <v>96</v>
      </c>
      <c r="BL170" s="1" t="s">
        <v>145</v>
      </c>
      <c r="BM170" s="1" t="s">
        <v>3178</v>
      </c>
      <c r="BN170" s="1" t="s">
        <v>74</v>
      </c>
      <c r="BO170" s="1" t="s">
        <v>74</v>
      </c>
      <c r="BP170" s="1" t="s">
        <v>74</v>
      </c>
      <c r="BQ170" s="1" t="s">
        <v>74</v>
      </c>
      <c r="BR170" s="1" t="s">
        <v>98</v>
      </c>
      <c r="BS170" s="1" t="s">
        <v>3179</v>
      </c>
      <c r="BT170" s="1" t="str">
        <f>HYPERLINK("https%3A%2F%2Fwww.webofscience.com%2Fwos%2Fwoscc%2Ffull-record%2FWOS:000306887300012","View Full Record in Web of Science")</f>
        <v>View Full Record in Web of Science</v>
      </c>
    </row>
    <row r="171" spans="1:72">
      <c r="A171" s="1" t="s">
        <v>72</v>
      </c>
      <c r="B171" s="1" t="s">
        <v>3180</v>
      </c>
      <c r="C171" s="1" t="s">
        <v>74</v>
      </c>
      <c r="D171" s="1" t="s">
        <v>74</v>
      </c>
      <c r="E171" s="1" t="s">
        <v>74</v>
      </c>
      <c r="F171" s="1" t="s">
        <v>3181</v>
      </c>
      <c r="G171" s="1" t="s">
        <v>74</v>
      </c>
      <c r="H171" s="1" t="s">
        <v>74</v>
      </c>
      <c r="I171" s="1" t="s">
        <v>3182</v>
      </c>
      <c r="J171" s="1" t="s">
        <v>3183</v>
      </c>
      <c r="K171" s="1" t="s">
        <v>74</v>
      </c>
      <c r="L171" s="1" t="s">
        <v>74</v>
      </c>
      <c r="M171" s="1" t="s">
        <v>78</v>
      </c>
      <c r="N171" s="1" t="s">
        <v>79</v>
      </c>
      <c r="O171" s="1" t="s">
        <v>74</v>
      </c>
      <c r="P171" s="1" t="s">
        <v>74</v>
      </c>
      <c r="Q171" s="1" t="s">
        <v>74</v>
      </c>
      <c r="R171" s="1" t="s">
        <v>74</v>
      </c>
      <c r="S171" s="1" t="s">
        <v>74</v>
      </c>
      <c r="T171" s="1" t="s">
        <v>3184</v>
      </c>
      <c r="U171" s="1" t="s">
        <v>3185</v>
      </c>
      <c r="V171" s="1" t="s">
        <v>3186</v>
      </c>
      <c r="W171" s="1" t="s">
        <v>3187</v>
      </c>
      <c r="X171" s="1" t="s">
        <v>3188</v>
      </c>
      <c r="Y171" s="1" t="s">
        <v>3189</v>
      </c>
      <c r="Z171" s="1" t="s">
        <v>3190</v>
      </c>
      <c r="AA171" s="1" t="s">
        <v>3191</v>
      </c>
      <c r="AB171" s="1" t="s">
        <v>3192</v>
      </c>
      <c r="AC171" s="1" t="s">
        <v>3193</v>
      </c>
      <c r="AD171" s="1" t="s">
        <v>3194</v>
      </c>
      <c r="AE171" s="1" t="s">
        <v>3195</v>
      </c>
      <c r="AF171" s="1" t="s">
        <v>74</v>
      </c>
      <c r="AG171" s="1">
        <v>84</v>
      </c>
      <c r="AH171" s="1">
        <v>0</v>
      </c>
      <c r="AI171" s="1">
        <v>0</v>
      </c>
      <c r="AJ171" s="1">
        <v>4</v>
      </c>
      <c r="AK171" s="1">
        <v>4</v>
      </c>
      <c r="AL171" s="1" t="s">
        <v>3196</v>
      </c>
      <c r="AM171" s="1" t="s">
        <v>262</v>
      </c>
      <c r="AN171" s="1" t="s">
        <v>3197</v>
      </c>
      <c r="AO171" s="1" t="s">
        <v>74</v>
      </c>
      <c r="AP171" s="1" t="s">
        <v>3198</v>
      </c>
      <c r="AQ171" s="1" t="s">
        <v>74</v>
      </c>
      <c r="AR171" s="1" t="s">
        <v>3183</v>
      </c>
      <c r="AS171" s="1" t="s">
        <v>3199</v>
      </c>
      <c r="AT171" s="1" t="s">
        <v>1507</v>
      </c>
      <c r="AU171" s="1">
        <v>2024</v>
      </c>
      <c r="AV171" s="1">
        <v>10</v>
      </c>
      <c r="AW171" s="1">
        <v>7</v>
      </c>
      <c r="AX171" s="1" t="s">
        <v>74</v>
      </c>
      <c r="AY171" s="1" t="s">
        <v>74</v>
      </c>
      <c r="AZ171" s="1" t="s">
        <v>74</v>
      </c>
      <c r="BA171" s="1" t="s">
        <v>74</v>
      </c>
      <c r="BB171" s="1" t="s">
        <v>74</v>
      </c>
      <c r="BC171" s="1" t="s">
        <v>74</v>
      </c>
      <c r="BD171" s="1" t="s">
        <v>3200</v>
      </c>
      <c r="BE171" s="1" t="s">
        <v>3201</v>
      </c>
      <c r="BF171" s="1" t="str">
        <f>HYPERLINK("http://dx.doi.org/10.1016/j.heliyon.2024.e29296","http://dx.doi.org/10.1016/j.heliyon.2024.e29296")</f>
        <v>http://dx.doi.org/10.1016/j.heliyon.2024.e29296</v>
      </c>
      <c r="BG171" s="1" t="s">
        <v>74</v>
      </c>
      <c r="BH171" s="1" t="s">
        <v>74</v>
      </c>
      <c r="BI171" s="1">
        <v>16</v>
      </c>
      <c r="BJ171" s="1" t="s">
        <v>3202</v>
      </c>
      <c r="BK171" s="1" t="s">
        <v>96</v>
      </c>
      <c r="BL171" s="1" t="s">
        <v>3203</v>
      </c>
      <c r="BM171" s="1" t="s">
        <v>3204</v>
      </c>
      <c r="BN171" s="1">
        <v>38601540</v>
      </c>
      <c r="BO171" s="1" t="s">
        <v>2155</v>
      </c>
      <c r="BP171" s="1" t="s">
        <v>74</v>
      </c>
      <c r="BQ171" s="1" t="s">
        <v>74</v>
      </c>
      <c r="BR171" s="1" t="s">
        <v>98</v>
      </c>
      <c r="BS171" s="1" t="s">
        <v>3205</v>
      </c>
      <c r="BT171" s="1" t="str">
        <f>HYPERLINK("https%3A%2F%2Fwww.webofscience.com%2Fwos%2Fwoscc%2Ffull-record%2FWOS:001226815500001","View Full Record in Web of Science")</f>
        <v>View Full Record in Web of Science</v>
      </c>
    </row>
    <row r="172" spans="1:72">
      <c r="A172" s="1" t="s">
        <v>72</v>
      </c>
      <c r="B172" s="1" t="s">
        <v>3206</v>
      </c>
      <c r="C172" s="1" t="s">
        <v>74</v>
      </c>
      <c r="D172" s="1" t="s">
        <v>74</v>
      </c>
      <c r="E172" s="1" t="s">
        <v>74</v>
      </c>
      <c r="F172" s="1" t="s">
        <v>3207</v>
      </c>
      <c r="G172" s="1" t="s">
        <v>74</v>
      </c>
      <c r="H172" s="1" t="s">
        <v>74</v>
      </c>
      <c r="I172" s="1" t="s">
        <v>3208</v>
      </c>
      <c r="J172" s="1" t="s">
        <v>909</v>
      </c>
      <c r="K172" s="1" t="s">
        <v>74</v>
      </c>
      <c r="L172" s="1" t="s">
        <v>74</v>
      </c>
      <c r="M172" s="1" t="s">
        <v>78</v>
      </c>
      <c r="N172" s="1" t="s">
        <v>79</v>
      </c>
      <c r="O172" s="1" t="s">
        <v>74</v>
      </c>
      <c r="P172" s="1" t="s">
        <v>74</v>
      </c>
      <c r="Q172" s="1" t="s">
        <v>74</v>
      </c>
      <c r="R172" s="1" t="s">
        <v>74</v>
      </c>
      <c r="S172" s="1" t="s">
        <v>74</v>
      </c>
      <c r="T172" s="1" t="s">
        <v>3209</v>
      </c>
      <c r="U172" s="1" t="s">
        <v>3210</v>
      </c>
      <c r="V172" s="1" t="s">
        <v>3211</v>
      </c>
      <c r="W172" s="1" t="s">
        <v>3212</v>
      </c>
      <c r="X172" s="1" t="s">
        <v>3213</v>
      </c>
      <c r="Y172" s="1" t="s">
        <v>3214</v>
      </c>
      <c r="Z172" s="1" t="s">
        <v>3215</v>
      </c>
      <c r="AA172" s="1" t="s">
        <v>3216</v>
      </c>
      <c r="AB172" s="1" t="s">
        <v>74</v>
      </c>
      <c r="AC172" s="1" t="s">
        <v>3217</v>
      </c>
      <c r="AD172" s="1" t="s">
        <v>3218</v>
      </c>
      <c r="AE172" s="1" t="s">
        <v>3219</v>
      </c>
      <c r="AF172" s="1" t="s">
        <v>74</v>
      </c>
      <c r="AG172" s="1">
        <v>49</v>
      </c>
      <c r="AH172" s="1">
        <v>5</v>
      </c>
      <c r="AI172" s="1">
        <v>6</v>
      </c>
      <c r="AJ172" s="1">
        <v>19</v>
      </c>
      <c r="AK172" s="1">
        <v>48</v>
      </c>
      <c r="AL172" s="1" t="s">
        <v>650</v>
      </c>
      <c r="AM172" s="1" t="s">
        <v>651</v>
      </c>
      <c r="AN172" s="1" t="s">
        <v>652</v>
      </c>
      <c r="AO172" s="1" t="s">
        <v>921</v>
      </c>
      <c r="AP172" s="1" t="s">
        <v>922</v>
      </c>
      <c r="AQ172" s="1" t="s">
        <v>74</v>
      </c>
      <c r="AR172" s="1" t="s">
        <v>923</v>
      </c>
      <c r="AS172" s="1" t="s">
        <v>924</v>
      </c>
      <c r="AT172" s="1" t="s">
        <v>3220</v>
      </c>
      <c r="AU172" s="1">
        <v>2023</v>
      </c>
      <c r="AV172" s="1">
        <v>885</v>
      </c>
      <c r="AW172" s="1" t="s">
        <v>74</v>
      </c>
      <c r="AX172" s="1" t="s">
        <v>74</v>
      </c>
      <c r="AY172" s="1" t="s">
        <v>74</v>
      </c>
      <c r="AZ172" s="1" t="s">
        <v>74</v>
      </c>
      <c r="BA172" s="1" t="s">
        <v>74</v>
      </c>
      <c r="BB172" s="1" t="s">
        <v>74</v>
      </c>
      <c r="BC172" s="1" t="s">
        <v>74</v>
      </c>
      <c r="BD172" s="1">
        <v>163726</v>
      </c>
      <c r="BE172" s="1" t="s">
        <v>3221</v>
      </c>
      <c r="BF172" s="1" t="str">
        <f>HYPERLINK("http://dx.doi.org/10.1016/j.scitotenv.2023.163726","http://dx.doi.org/10.1016/j.scitotenv.2023.163726")</f>
        <v>http://dx.doi.org/10.1016/j.scitotenv.2023.163726</v>
      </c>
      <c r="BG172" s="1" t="s">
        <v>74</v>
      </c>
      <c r="BH172" s="1" t="s">
        <v>2259</v>
      </c>
      <c r="BI172" s="1">
        <v>7</v>
      </c>
      <c r="BJ172" s="1" t="s">
        <v>144</v>
      </c>
      <c r="BK172" s="1" t="s">
        <v>96</v>
      </c>
      <c r="BL172" s="1" t="s">
        <v>145</v>
      </c>
      <c r="BM172" s="1" t="s">
        <v>3222</v>
      </c>
      <c r="BN172" s="1">
        <v>37116806</v>
      </c>
      <c r="BO172" s="1" t="s">
        <v>74</v>
      </c>
      <c r="BP172" s="1" t="s">
        <v>74</v>
      </c>
      <c r="BQ172" s="1" t="s">
        <v>74</v>
      </c>
      <c r="BR172" s="1" t="s">
        <v>98</v>
      </c>
      <c r="BS172" s="1" t="s">
        <v>3223</v>
      </c>
      <c r="BT172" s="1" t="str">
        <f>HYPERLINK("https%3A%2F%2Fwww.webofscience.com%2Fwos%2Fwoscc%2Ffull-record%2FWOS:001022281600001","View Full Record in Web of Science")</f>
        <v>View Full Record in Web of Science</v>
      </c>
    </row>
    <row r="173" spans="1:72">
      <c r="A173" s="1" t="s">
        <v>72</v>
      </c>
      <c r="B173" s="1" t="s">
        <v>3224</v>
      </c>
      <c r="C173" s="1" t="s">
        <v>74</v>
      </c>
      <c r="D173" s="1" t="s">
        <v>74</v>
      </c>
      <c r="E173" s="1" t="s">
        <v>74</v>
      </c>
      <c r="F173" s="1" t="s">
        <v>3225</v>
      </c>
      <c r="G173" s="1" t="s">
        <v>74</v>
      </c>
      <c r="H173" s="1" t="s">
        <v>74</v>
      </c>
      <c r="I173" s="1" t="s">
        <v>3226</v>
      </c>
      <c r="J173" s="1" t="s">
        <v>909</v>
      </c>
      <c r="K173" s="1" t="s">
        <v>74</v>
      </c>
      <c r="L173" s="1" t="s">
        <v>74</v>
      </c>
      <c r="M173" s="1" t="s">
        <v>78</v>
      </c>
      <c r="N173" s="1" t="s">
        <v>151</v>
      </c>
      <c r="O173" s="1" t="s">
        <v>3227</v>
      </c>
      <c r="P173" s="1" t="s">
        <v>3228</v>
      </c>
      <c r="Q173" s="1" t="s">
        <v>3229</v>
      </c>
      <c r="R173" s="1" t="s">
        <v>74</v>
      </c>
      <c r="S173" s="1" t="s">
        <v>74</v>
      </c>
      <c r="T173" s="1" t="s">
        <v>3230</v>
      </c>
      <c r="U173" s="1" t="s">
        <v>3231</v>
      </c>
      <c r="V173" s="1" t="s">
        <v>3232</v>
      </c>
      <c r="W173" s="1" t="s">
        <v>3233</v>
      </c>
      <c r="X173" s="1" t="s">
        <v>3234</v>
      </c>
      <c r="Y173" s="1" t="s">
        <v>3235</v>
      </c>
      <c r="Z173" s="1" t="s">
        <v>3029</v>
      </c>
      <c r="AA173" s="1" t="s">
        <v>3030</v>
      </c>
      <c r="AB173" s="1" t="s">
        <v>3236</v>
      </c>
      <c r="AC173" s="1" t="s">
        <v>74</v>
      </c>
      <c r="AD173" s="1" t="s">
        <v>74</v>
      </c>
      <c r="AE173" s="1" t="s">
        <v>74</v>
      </c>
      <c r="AF173" s="1" t="s">
        <v>74</v>
      </c>
      <c r="AG173" s="1">
        <v>35</v>
      </c>
      <c r="AH173" s="1">
        <v>46</v>
      </c>
      <c r="AI173" s="1">
        <v>53</v>
      </c>
      <c r="AJ173" s="1">
        <v>0</v>
      </c>
      <c r="AK173" s="1">
        <v>12</v>
      </c>
      <c r="AL173" s="1" t="s">
        <v>650</v>
      </c>
      <c r="AM173" s="1" t="s">
        <v>651</v>
      </c>
      <c r="AN173" s="1" t="s">
        <v>652</v>
      </c>
      <c r="AO173" s="1" t="s">
        <v>921</v>
      </c>
      <c r="AP173" s="1" t="s">
        <v>922</v>
      </c>
      <c r="AQ173" s="1" t="s">
        <v>74</v>
      </c>
      <c r="AR173" s="1" t="s">
        <v>923</v>
      </c>
      <c r="AS173" s="1" t="s">
        <v>924</v>
      </c>
      <c r="AT173" s="1" t="s">
        <v>3237</v>
      </c>
      <c r="AU173" s="1">
        <v>2006</v>
      </c>
      <c r="AV173" s="1">
        <v>368</v>
      </c>
      <c r="AW173" s="1">
        <v>1</v>
      </c>
      <c r="AX173" s="1" t="s">
        <v>74</v>
      </c>
      <c r="AY173" s="1" t="s">
        <v>74</v>
      </c>
      <c r="AZ173" s="1" t="s">
        <v>225</v>
      </c>
      <c r="BA173" s="1" t="s">
        <v>74</v>
      </c>
      <c r="BB173" s="1">
        <v>199</v>
      </c>
      <c r="BC173" s="1">
        <v>209</v>
      </c>
      <c r="BD173" s="1" t="s">
        <v>74</v>
      </c>
      <c r="BE173" s="1" t="s">
        <v>3238</v>
      </c>
      <c r="BF173" s="1" t="str">
        <f>HYPERLINK("http://dx.doi.org/10.1016/j.scitotenv.2005.09.080","http://dx.doi.org/10.1016/j.scitotenv.2005.09.080")</f>
        <v>http://dx.doi.org/10.1016/j.scitotenv.2005.09.080</v>
      </c>
      <c r="BG173" s="1" t="s">
        <v>74</v>
      </c>
      <c r="BH173" s="1" t="s">
        <v>74</v>
      </c>
      <c r="BI173" s="1">
        <v>11</v>
      </c>
      <c r="BJ173" s="1" t="s">
        <v>144</v>
      </c>
      <c r="BK173" s="1" t="s">
        <v>172</v>
      </c>
      <c r="BL173" s="1" t="s">
        <v>145</v>
      </c>
      <c r="BM173" s="1" t="s">
        <v>3239</v>
      </c>
      <c r="BN173" s="1">
        <v>16266737</v>
      </c>
      <c r="BO173" s="1" t="s">
        <v>74</v>
      </c>
      <c r="BP173" s="1" t="s">
        <v>74</v>
      </c>
      <c r="BQ173" s="1" t="s">
        <v>74</v>
      </c>
      <c r="BR173" s="1" t="s">
        <v>98</v>
      </c>
      <c r="BS173" s="1" t="s">
        <v>3240</v>
      </c>
      <c r="BT173" s="1" t="str">
        <f>HYPERLINK("https%3A%2F%2Fwww.webofscience.com%2Fwos%2Fwoscc%2Ffull-record%2FWOS:000240179900020","View Full Record in Web of Science")</f>
        <v>View Full Record in Web of Science</v>
      </c>
    </row>
    <row r="174" spans="1:72">
      <c r="A174" s="1" t="s">
        <v>72</v>
      </c>
      <c r="B174" s="1" t="s">
        <v>3241</v>
      </c>
      <c r="C174" s="1" t="s">
        <v>74</v>
      </c>
      <c r="D174" s="1" t="s">
        <v>74</v>
      </c>
      <c r="E174" s="1" t="s">
        <v>74</v>
      </c>
      <c r="F174" s="1" t="s">
        <v>3241</v>
      </c>
      <c r="G174" s="1" t="s">
        <v>74</v>
      </c>
      <c r="H174" s="1" t="s">
        <v>74</v>
      </c>
      <c r="I174" s="1" t="s">
        <v>3242</v>
      </c>
      <c r="J174" s="1" t="s">
        <v>909</v>
      </c>
      <c r="K174" s="1" t="s">
        <v>74</v>
      </c>
      <c r="L174" s="1" t="s">
        <v>74</v>
      </c>
      <c r="M174" s="1" t="s">
        <v>78</v>
      </c>
      <c r="N174" s="1" t="s">
        <v>79</v>
      </c>
      <c r="O174" s="1" t="s">
        <v>74</v>
      </c>
      <c r="P174" s="1" t="s">
        <v>74</v>
      </c>
      <c r="Q174" s="1" t="s">
        <v>74</v>
      </c>
      <c r="R174" s="1" t="s">
        <v>74</v>
      </c>
      <c r="S174" s="1" t="s">
        <v>74</v>
      </c>
      <c r="T174" s="1" t="s">
        <v>3243</v>
      </c>
      <c r="U174" s="1" t="s">
        <v>3244</v>
      </c>
      <c r="V174" s="1" t="s">
        <v>3245</v>
      </c>
      <c r="W174" s="1" t="s">
        <v>3246</v>
      </c>
      <c r="X174" s="1" t="s">
        <v>3247</v>
      </c>
      <c r="Y174" s="1" t="s">
        <v>3248</v>
      </c>
      <c r="Z174" s="1" t="s">
        <v>3249</v>
      </c>
      <c r="AA174" s="1" t="s">
        <v>3250</v>
      </c>
      <c r="AB174" s="1" t="s">
        <v>3251</v>
      </c>
      <c r="AC174" s="1" t="s">
        <v>74</v>
      </c>
      <c r="AD174" s="1" t="s">
        <v>74</v>
      </c>
      <c r="AE174" s="1" t="s">
        <v>74</v>
      </c>
      <c r="AF174" s="1" t="s">
        <v>74</v>
      </c>
      <c r="AG174" s="1">
        <v>46</v>
      </c>
      <c r="AH174" s="1">
        <v>52</v>
      </c>
      <c r="AI174" s="1">
        <v>54</v>
      </c>
      <c r="AJ174" s="1">
        <v>1</v>
      </c>
      <c r="AK174" s="1">
        <v>11</v>
      </c>
      <c r="AL174" s="1" t="s">
        <v>919</v>
      </c>
      <c r="AM174" s="1" t="s">
        <v>651</v>
      </c>
      <c r="AN174" s="1" t="s">
        <v>920</v>
      </c>
      <c r="AO174" s="1" t="s">
        <v>921</v>
      </c>
      <c r="AP174" s="1" t="s">
        <v>74</v>
      </c>
      <c r="AQ174" s="1" t="s">
        <v>74</v>
      </c>
      <c r="AR174" s="1" t="s">
        <v>923</v>
      </c>
      <c r="AS174" s="1" t="s">
        <v>924</v>
      </c>
      <c r="AT174" s="1" t="s">
        <v>1507</v>
      </c>
      <c r="AU174" s="1">
        <v>2006</v>
      </c>
      <c r="AV174" s="1">
        <v>359</v>
      </c>
      <c r="AW174" s="1" t="s">
        <v>2847</v>
      </c>
      <c r="AX174" s="1" t="s">
        <v>74</v>
      </c>
      <c r="AY174" s="1" t="s">
        <v>74</v>
      </c>
      <c r="AZ174" s="1" t="s">
        <v>74</v>
      </c>
      <c r="BA174" s="1" t="s">
        <v>74</v>
      </c>
      <c r="BB174" s="1">
        <v>135</v>
      </c>
      <c r="BC174" s="1">
        <v>144</v>
      </c>
      <c r="BD174" s="1" t="s">
        <v>74</v>
      </c>
      <c r="BE174" s="1" t="s">
        <v>3252</v>
      </c>
      <c r="BF174" s="1" t="str">
        <f>HYPERLINK("http://dx.doi.org/10.1016/j.scitotenv.2005.09.071","http://dx.doi.org/10.1016/j.scitotenv.2005.09.071")</f>
        <v>http://dx.doi.org/10.1016/j.scitotenv.2005.09.071</v>
      </c>
      <c r="BG174" s="1" t="s">
        <v>74</v>
      </c>
      <c r="BH174" s="1" t="s">
        <v>74</v>
      </c>
      <c r="BI174" s="1">
        <v>10</v>
      </c>
      <c r="BJ174" s="1" t="s">
        <v>144</v>
      </c>
      <c r="BK174" s="1" t="s">
        <v>96</v>
      </c>
      <c r="BL174" s="1" t="s">
        <v>145</v>
      </c>
      <c r="BM174" s="1" t="s">
        <v>3253</v>
      </c>
      <c r="BN174" s="1">
        <v>16257038</v>
      </c>
      <c r="BO174" s="1" t="s">
        <v>74</v>
      </c>
      <c r="BP174" s="1" t="s">
        <v>74</v>
      </c>
      <c r="BQ174" s="1" t="s">
        <v>74</v>
      </c>
      <c r="BR174" s="1" t="s">
        <v>98</v>
      </c>
      <c r="BS174" s="1" t="s">
        <v>3254</v>
      </c>
      <c r="BT174" s="1" t="str">
        <f>HYPERLINK("https%3A%2F%2Fwww.webofscience.com%2Fwos%2Fwoscc%2Ffull-record%2FWOS:000237011700013","View Full Record in Web of Science")</f>
        <v>View Full Record in Web of Science</v>
      </c>
    </row>
    <row r="175" spans="1:72">
      <c r="A175" s="1" t="s">
        <v>72</v>
      </c>
      <c r="B175" s="1" t="s">
        <v>3255</v>
      </c>
      <c r="C175" s="1" t="s">
        <v>74</v>
      </c>
      <c r="D175" s="1" t="s">
        <v>74</v>
      </c>
      <c r="E175" s="1" t="s">
        <v>74</v>
      </c>
      <c r="F175" s="1" t="s">
        <v>3256</v>
      </c>
      <c r="G175" s="1" t="s">
        <v>74</v>
      </c>
      <c r="H175" s="1" t="s">
        <v>74</v>
      </c>
      <c r="I175" s="1" t="s">
        <v>3257</v>
      </c>
      <c r="J175" s="1" t="s">
        <v>204</v>
      </c>
      <c r="K175" s="1" t="s">
        <v>74</v>
      </c>
      <c r="L175" s="1" t="s">
        <v>74</v>
      </c>
      <c r="M175" s="1" t="s">
        <v>78</v>
      </c>
      <c r="N175" s="1" t="s">
        <v>79</v>
      </c>
      <c r="O175" s="1" t="s">
        <v>74</v>
      </c>
      <c r="P175" s="1" t="s">
        <v>74</v>
      </c>
      <c r="Q175" s="1" t="s">
        <v>74</v>
      </c>
      <c r="R175" s="1" t="s">
        <v>74</v>
      </c>
      <c r="S175" s="1" t="s">
        <v>74</v>
      </c>
      <c r="T175" s="1" t="s">
        <v>3258</v>
      </c>
      <c r="U175" s="1" t="s">
        <v>3259</v>
      </c>
      <c r="V175" s="1" t="s">
        <v>3260</v>
      </c>
      <c r="W175" s="1" t="s">
        <v>3261</v>
      </c>
      <c r="X175" s="1" t="s">
        <v>3262</v>
      </c>
      <c r="Y175" s="1" t="s">
        <v>3263</v>
      </c>
      <c r="Z175" s="1" t="s">
        <v>3264</v>
      </c>
      <c r="AA175" s="1" t="s">
        <v>74</v>
      </c>
      <c r="AB175" s="1" t="s">
        <v>74</v>
      </c>
      <c r="AC175" s="1" t="s">
        <v>3265</v>
      </c>
      <c r="AD175" s="1" t="s">
        <v>3266</v>
      </c>
      <c r="AE175" s="1" t="s">
        <v>3267</v>
      </c>
      <c r="AF175" s="1" t="s">
        <v>74</v>
      </c>
      <c r="AG175" s="1">
        <v>79</v>
      </c>
      <c r="AH175" s="1">
        <v>55</v>
      </c>
      <c r="AI175" s="1">
        <v>56</v>
      </c>
      <c r="AJ175" s="1">
        <v>1</v>
      </c>
      <c r="AK175" s="1">
        <v>58</v>
      </c>
      <c r="AL175" s="1" t="s">
        <v>217</v>
      </c>
      <c r="AM175" s="1" t="s">
        <v>218</v>
      </c>
      <c r="AN175" s="1" t="s">
        <v>219</v>
      </c>
      <c r="AO175" s="1" t="s">
        <v>220</v>
      </c>
      <c r="AP175" s="1" t="s">
        <v>221</v>
      </c>
      <c r="AQ175" s="1" t="s">
        <v>74</v>
      </c>
      <c r="AR175" s="1" t="s">
        <v>222</v>
      </c>
      <c r="AS175" s="1" t="s">
        <v>223</v>
      </c>
      <c r="AT175" s="1" t="s">
        <v>765</v>
      </c>
      <c r="AU175" s="1">
        <v>2016</v>
      </c>
      <c r="AV175" s="1">
        <v>23</v>
      </c>
      <c r="AW175" s="1">
        <v>14</v>
      </c>
      <c r="AX175" s="1" t="s">
        <v>74</v>
      </c>
      <c r="AY175" s="1" t="s">
        <v>74</v>
      </c>
      <c r="AZ175" s="1" t="s">
        <v>74</v>
      </c>
      <c r="BA175" s="1" t="s">
        <v>74</v>
      </c>
      <c r="BB175" s="1">
        <v>13954</v>
      </c>
      <c r="BC175" s="1">
        <v>13963</v>
      </c>
      <c r="BD175" s="1" t="s">
        <v>74</v>
      </c>
      <c r="BE175" s="1" t="s">
        <v>3268</v>
      </c>
      <c r="BF175" s="1" t="str">
        <f>HYPERLINK("http://dx.doi.org/10.1007/s11356-016-6534-3","http://dx.doi.org/10.1007/s11356-016-6534-3")</f>
        <v>http://dx.doi.org/10.1007/s11356-016-6534-3</v>
      </c>
      <c r="BG175" s="1" t="s">
        <v>74</v>
      </c>
      <c r="BH175" s="1" t="s">
        <v>74</v>
      </c>
      <c r="BI175" s="1">
        <v>10</v>
      </c>
      <c r="BJ175" s="1" t="s">
        <v>144</v>
      </c>
      <c r="BK175" s="1" t="s">
        <v>96</v>
      </c>
      <c r="BL175" s="1" t="s">
        <v>145</v>
      </c>
      <c r="BM175" s="1" t="s">
        <v>3269</v>
      </c>
      <c r="BN175" s="1">
        <v>27040542</v>
      </c>
      <c r="BO175" s="1" t="s">
        <v>74</v>
      </c>
      <c r="BP175" s="1" t="s">
        <v>74</v>
      </c>
      <c r="BQ175" s="1" t="s">
        <v>74</v>
      </c>
      <c r="BR175" s="1" t="s">
        <v>98</v>
      </c>
      <c r="BS175" s="1" t="s">
        <v>3270</v>
      </c>
      <c r="BT175" s="1" t="str">
        <f>HYPERLINK("https%3A%2F%2Fwww.webofscience.com%2Fwos%2Fwoscc%2Ffull-record%2FWOS:000379553500033","View Full Record in Web of Science")</f>
        <v>View Full Record in Web of Science</v>
      </c>
    </row>
    <row r="176" spans="1:72">
      <c r="A176" s="1" t="s">
        <v>72</v>
      </c>
      <c r="B176" s="1" t="s">
        <v>3271</v>
      </c>
      <c r="C176" s="1" t="s">
        <v>74</v>
      </c>
      <c r="D176" s="1" t="s">
        <v>74</v>
      </c>
      <c r="E176" s="1" t="s">
        <v>74</v>
      </c>
      <c r="F176" s="1" t="s">
        <v>3271</v>
      </c>
      <c r="G176" s="1" t="s">
        <v>74</v>
      </c>
      <c r="H176" s="1" t="s">
        <v>74</v>
      </c>
      <c r="I176" s="1" t="s">
        <v>3272</v>
      </c>
      <c r="J176" s="1" t="s">
        <v>495</v>
      </c>
      <c r="K176" s="1" t="s">
        <v>74</v>
      </c>
      <c r="L176" s="1" t="s">
        <v>74</v>
      </c>
      <c r="M176" s="1" t="s">
        <v>78</v>
      </c>
      <c r="N176" s="1" t="s">
        <v>79</v>
      </c>
      <c r="O176" s="1" t="s">
        <v>74</v>
      </c>
      <c r="P176" s="1" t="s">
        <v>74</v>
      </c>
      <c r="Q176" s="1" t="s">
        <v>74</v>
      </c>
      <c r="R176" s="1" t="s">
        <v>74</v>
      </c>
      <c r="S176" s="1" t="s">
        <v>74</v>
      </c>
      <c r="T176" s="1" t="s">
        <v>3273</v>
      </c>
      <c r="U176" s="1" t="s">
        <v>3274</v>
      </c>
      <c r="V176" s="1" t="s">
        <v>3275</v>
      </c>
      <c r="W176" s="1" t="s">
        <v>3276</v>
      </c>
      <c r="X176" s="1" t="s">
        <v>3277</v>
      </c>
      <c r="Y176" s="1" t="s">
        <v>3278</v>
      </c>
      <c r="Z176" s="1" t="s">
        <v>3029</v>
      </c>
      <c r="AA176" s="1" t="s">
        <v>3030</v>
      </c>
      <c r="AB176" s="1" t="s">
        <v>3031</v>
      </c>
      <c r="AC176" s="1" t="s">
        <v>74</v>
      </c>
      <c r="AD176" s="1" t="s">
        <v>74</v>
      </c>
      <c r="AE176" s="1" t="s">
        <v>74</v>
      </c>
      <c r="AF176" s="1" t="s">
        <v>74</v>
      </c>
      <c r="AG176" s="1">
        <v>22</v>
      </c>
      <c r="AH176" s="1">
        <v>18</v>
      </c>
      <c r="AI176" s="1">
        <v>19</v>
      </c>
      <c r="AJ176" s="1">
        <v>0</v>
      </c>
      <c r="AK176" s="1">
        <v>4</v>
      </c>
      <c r="AL176" s="1" t="s">
        <v>1030</v>
      </c>
      <c r="AM176" s="1" t="s">
        <v>1031</v>
      </c>
      <c r="AN176" s="1" t="s">
        <v>1032</v>
      </c>
      <c r="AO176" s="1" t="s">
        <v>507</v>
      </c>
      <c r="AP176" s="1" t="s">
        <v>1033</v>
      </c>
      <c r="AQ176" s="1" t="s">
        <v>74</v>
      </c>
      <c r="AR176" s="1" t="s">
        <v>508</v>
      </c>
      <c r="AS176" s="1" t="s">
        <v>509</v>
      </c>
      <c r="AT176" s="1" t="s">
        <v>305</v>
      </c>
      <c r="AU176" s="1">
        <v>2002</v>
      </c>
      <c r="AV176" s="1">
        <v>11</v>
      </c>
      <c r="AW176" s="1" t="s">
        <v>3279</v>
      </c>
      <c r="AX176" s="1" t="s">
        <v>74</v>
      </c>
      <c r="AY176" s="1" t="s">
        <v>74</v>
      </c>
      <c r="AZ176" s="1" t="s">
        <v>225</v>
      </c>
      <c r="BA176" s="1" t="s">
        <v>74</v>
      </c>
      <c r="BB176" s="1">
        <v>620</v>
      </c>
      <c r="BC176" s="1">
        <v>625</v>
      </c>
      <c r="BD176" s="1" t="s">
        <v>74</v>
      </c>
      <c r="BE176" s="1" t="s">
        <v>74</v>
      </c>
      <c r="BF176" s="1" t="s">
        <v>74</v>
      </c>
      <c r="BG176" s="1" t="s">
        <v>74</v>
      </c>
      <c r="BH176" s="1" t="s">
        <v>74</v>
      </c>
      <c r="BI176" s="1">
        <v>6</v>
      </c>
      <c r="BJ176" s="1" t="s">
        <v>144</v>
      </c>
      <c r="BK176" s="1" t="s">
        <v>96</v>
      </c>
      <c r="BL176" s="1" t="s">
        <v>145</v>
      </c>
      <c r="BM176" s="1" t="s">
        <v>3280</v>
      </c>
      <c r="BN176" s="1" t="s">
        <v>74</v>
      </c>
      <c r="BO176" s="1" t="s">
        <v>74</v>
      </c>
      <c r="BP176" s="1" t="s">
        <v>74</v>
      </c>
      <c r="BQ176" s="1" t="s">
        <v>74</v>
      </c>
      <c r="BR176" s="1" t="s">
        <v>98</v>
      </c>
      <c r="BS176" s="1" t="s">
        <v>3281</v>
      </c>
      <c r="BT176" s="1" t="str">
        <f>HYPERLINK("https%3A%2F%2Fwww.webofscience.com%2Fwos%2Fwoscc%2Ffull-record%2FWOS:000179439000001","View Full Record in Web of Science")</f>
        <v>View Full Record in Web of Science</v>
      </c>
    </row>
    <row r="177" spans="1:72">
      <c r="A177" s="1" t="s">
        <v>72</v>
      </c>
      <c r="B177" s="1" t="s">
        <v>3282</v>
      </c>
      <c r="C177" s="1" t="s">
        <v>74</v>
      </c>
      <c r="D177" s="1" t="s">
        <v>74</v>
      </c>
      <c r="E177" s="1" t="s">
        <v>74</v>
      </c>
      <c r="F177" s="1" t="s">
        <v>3283</v>
      </c>
      <c r="G177" s="1" t="s">
        <v>74</v>
      </c>
      <c r="H177" s="1" t="s">
        <v>74</v>
      </c>
      <c r="I177" s="1" t="s">
        <v>3284</v>
      </c>
      <c r="J177" s="1" t="s">
        <v>127</v>
      </c>
      <c r="K177" s="1" t="s">
        <v>74</v>
      </c>
      <c r="L177" s="1" t="s">
        <v>74</v>
      </c>
      <c r="M177" s="1" t="s">
        <v>78</v>
      </c>
      <c r="N177" s="1" t="s">
        <v>79</v>
      </c>
      <c r="O177" s="1" t="s">
        <v>74</v>
      </c>
      <c r="P177" s="1" t="s">
        <v>74</v>
      </c>
      <c r="Q177" s="1" t="s">
        <v>74</v>
      </c>
      <c r="R177" s="1" t="s">
        <v>74</v>
      </c>
      <c r="S177" s="1" t="s">
        <v>74</v>
      </c>
      <c r="T177" s="1" t="s">
        <v>3285</v>
      </c>
      <c r="U177" s="1" t="s">
        <v>3286</v>
      </c>
      <c r="V177" s="1" t="s">
        <v>3287</v>
      </c>
      <c r="W177" s="1" t="s">
        <v>3288</v>
      </c>
      <c r="X177" s="1" t="s">
        <v>3289</v>
      </c>
      <c r="Y177" s="1" t="s">
        <v>3290</v>
      </c>
      <c r="Z177" s="1" t="s">
        <v>3291</v>
      </c>
      <c r="AA177" s="1" t="s">
        <v>3292</v>
      </c>
      <c r="AB177" s="1" t="s">
        <v>3293</v>
      </c>
      <c r="AC177" s="1" t="s">
        <v>3294</v>
      </c>
      <c r="AD177" s="1" t="s">
        <v>3295</v>
      </c>
      <c r="AE177" s="1" t="s">
        <v>3296</v>
      </c>
      <c r="AF177" s="1" t="s">
        <v>74</v>
      </c>
      <c r="AG177" s="1">
        <v>57</v>
      </c>
      <c r="AH177" s="1">
        <v>7</v>
      </c>
      <c r="AI177" s="1">
        <v>7</v>
      </c>
      <c r="AJ177" s="1">
        <v>1</v>
      </c>
      <c r="AK177" s="1">
        <v>63</v>
      </c>
      <c r="AL177" s="1" t="s">
        <v>136</v>
      </c>
      <c r="AM177" s="1" t="s">
        <v>137</v>
      </c>
      <c r="AN177" s="1" t="s">
        <v>138</v>
      </c>
      <c r="AO177" s="1" t="s">
        <v>139</v>
      </c>
      <c r="AP177" s="1" t="s">
        <v>140</v>
      </c>
      <c r="AQ177" s="1" t="s">
        <v>74</v>
      </c>
      <c r="AR177" s="1" t="s">
        <v>127</v>
      </c>
      <c r="AS177" s="1" t="s">
        <v>141</v>
      </c>
      <c r="AT177" s="1" t="s">
        <v>224</v>
      </c>
      <c r="AU177" s="1">
        <v>2021</v>
      </c>
      <c r="AV177" s="1">
        <v>265</v>
      </c>
      <c r="AW177" s="1" t="s">
        <v>74</v>
      </c>
      <c r="AX177" s="1" t="s">
        <v>74</v>
      </c>
      <c r="AY177" s="1" t="s">
        <v>74</v>
      </c>
      <c r="AZ177" s="1" t="s">
        <v>74</v>
      </c>
      <c r="BA177" s="1" t="s">
        <v>74</v>
      </c>
      <c r="BB177" s="1" t="s">
        <v>74</v>
      </c>
      <c r="BC177" s="1" t="s">
        <v>74</v>
      </c>
      <c r="BD177" s="1">
        <v>129067</v>
      </c>
      <c r="BE177" s="1" t="s">
        <v>3297</v>
      </c>
      <c r="BF177" s="1" t="str">
        <f>HYPERLINK("http://dx.doi.org/10.1016/j.chemosphere.2020.129067","http://dx.doi.org/10.1016/j.chemosphere.2020.129067")</f>
        <v>http://dx.doi.org/10.1016/j.chemosphere.2020.129067</v>
      </c>
      <c r="BG177" s="1" t="s">
        <v>74</v>
      </c>
      <c r="BH177" s="1" t="s">
        <v>74</v>
      </c>
      <c r="BI177" s="1">
        <v>9</v>
      </c>
      <c r="BJ177" s="1" t="s">
        <v>144</v>
      </c>
      <c r="BK177" s="1" t="s">
        <v>96</v>
      </c>
      <c r="BL177" s="1" t="s">
        <v>145</v>
      </c>
      <c r="BM177" s="1" t="s">
        <v>3298</v>
      </c>
      <c r="BN177" s="1">
        <v>33246704</v>
      </c>
      <c r="BO177" s="1" t="s">
        <v>74</v>
      </c>
      <c r="BP177" s="1" t="s">
        <v>74</v>
      </c>
      <c r="BQ177" s="1" t="s">
        <v>74</v>
      </c>
      <c r="BR177" s="1" t="s">
        <v>98</v>
      </c>
      <c r="BS177" s="1" t="s">
        <v>3299</v>
      </c>
      <c r="BT177" s="1" t="str">
        <f>HYPERLINK("https%3A%2F%2Fwww.webofscience.com%2Fwos%2Fwoscc%2Ffull-record%2FWOS:000603465000050","View Full Record in Web of Science")</f>
        <v>View Full Record in Web of Science</v>
      </c>
    </row>
    <row r="178" spans="1:72">
      <c r="A178" s="1" t="s">
        <v>72</v>
      </c>
      <c r="B178" s="1" t="s">
        <v>3300</v>
      </c>
      <c r="C178" s="1" t="s">
        <v>74</v>
      </c>
      <c r="D178" s="1" t="s">
        <v>74</v>
      </c>
      <c r="E178" s="1" t="s">
        <v>74</v>
      </c>
      <c r="F178" s="1" t="s">
        <v>3300</v>
      </c>
      <c r="G178" s="1" t="s">
        <v>74</v>
      </c>
      <c r="H178" s="1" t="s">
        <v>74</v>
      </c>
      <c r="I178" s="1" t="s">
        <v>3301</v>
      </c>
      <c r="J178" s="1" t="s">
        <v>909</v>
      </c>
      <c r="K178" s="1" t="s">
        <v>74</v>
      </c>
      <c r="L178" s="1" t="s">
        <v>74</v>
      </c>
      <c r="M178" s="1" t="s">
        <v>78</v>
      </c>
      <c r="N178" s="1" t="s">
        <v>151</v>
      </c>
      <c r="O178" s="1" t="s">
        <v>3302</v>
      </c>
      <c r="P178" s="1" t="s">
        <v>3303</v>
      </c>
      <c r="Q178" s="1" t="s">
        <v>3304</v>
      </c>
      <c r="R178" s="1" t="s">
        <v>74</v>
      </c>
      <c r="S178" s="1" t="s">
        <v>74</v>
      </c>
      <c r="T178" s="1" t="s">
        <v>3305</v>
      </c>
      <c r="U178" s="1" t="s">
        <v>3306</v>
      </c>
      <c r="V178" s="1" t="s">
        <v>3307</v>
      </c>
      <c r="W178" s="1" t="s">
        <v>3308</v>
      </c>
      <c r="X178" s="1" t="s">
        <v>3309</v>
      </c>
      <c r="Y178" s="1" t="s">
        <v>3310</v>
      </c>
      <c r="Z178" s="1" t="s">
        <v>74</v>
      </c>
      <c r="AA178" s="1" t="s">
        <v>3030</v>
      </c>
      <c r="AB178" s="1" t="s">
        <v>3311</v>
      </c>
      <c r="AC178" s="1" t="s">
        <v>74</v>
      </c>
      <c r="AD178" s="1" t="s">
        <v>74</v>
      </c>
      <c r="AE178" s="1" t="s">
        <v>74</v>
      </c>
      <c r="AF178" s="1" t="s">
        <v>74</v>
      </c>
      <c r="AG178" s="1">
        <v>28</v>
      </c>
      <c r="AH178" s="1">
        <v>42</v>
      </c>
      <c r="AI178" s="1">
        <v>44</v>
      </c>
      <c r="AJ178" s="1">
        <v>0</v>
      </c>
      <c r="AK178" s="1">
        <v>11</v>
      </c>
      <c r="AL178" s="1" t="s">
        <v>919</v>
      </c>
      <c r="AM178" s="1" t="s">
        <v>651</v>
      </c>
      <c r="AN178" s="1" t="s">
        <v>920</v>
      </c>
      <c r="AO178" s="1" t="s">
        <v>921</v>
      </c>
      <c r="AP178" s="1" t="s">
        <v>74</v>
      </c>
      <c r="AQ178" s="1" t="s">
        <v>74</v>
      </c>
      <c r="AR178" s="1" t="s">
        <v>923</v>
      </c>
      <c r="AS178" s="1" t="s">
        <v>924</v>
      </c>
      <c r="AT178" s="1" t="s">
        <v>3312</v>
      </c>
      <c r="AU178" s="1">
        <v>2000</v>
      </c>
      <c r="AV178" s="1">
        <v>261</v>
      </c>
      <c r="AW178" s="1" t="s">
        <v>2847</v>
      </c>
      <c r="AX178" s="1" t="s">
        <v>74</v>
      </c>
      <c r="AY178" s="1" t="s">
        <v>74</v>
      </c>
      <c r="AZ178" s="1" t="s">
        <v>74</v>
      </c>
      <c r="BA178" s="1" t="s">
        <v>74</v>
      </c>
      <c r="BB178" s="1">
        <v>61</v>
      </c>
      <c r="BC178" s="1">
        <v>68</v>
      </c>
      <c r="BD178" s="1" t="s">
        <v>74</v>
      </c>
      <c r="BE178" s="1" t="s">
        <v>3313</v>
      </c>
      <c r="BF178" s="1" t="str">
        <f>HYPERLINK("http://dx.doi.org/10.1016/S0048-9697(00)00595-7","http://dx.doi.org/10.1016/S0048-9697(00)00595-7")</f>
        <v>http://dx.doi.org/10.1016/S0048-9697(00)00595-7</v>
      </c>
      <c r="BG178" s="1" t="s">
        <v>74</v>
      </c>
      <c r="BH178" s="1" t="s">
        <v>74</v>
      </c>
      <c r="BI178" s="1">
        <v>8</v>
      </c>
      <c r="BJ178" s="1" t="s">
        <v>144</v>
      </c>
      <c r="BK178" s="1" t="s">
        <v>588</v>
      </c>
      <c r="BL178" s="1" t="s">
        <v>145</v>
      </c>
      <c r="BM178" s="1" t="s">
        <v>3314</v>
      </c>
      <c r="BN178" s="1">
        <v>11036977</v>
      </c>
      <c r="BO178" s="1" t="s">
        <v>74</v>
      </c>
      <c r="BP178" s="1" t="s">
        <v>74</v>
      </c>
      <c r="BQ178" s="1" t="s">
        <v>74</v>
      </c>
      <c r="BR178" s="1" t="s">
        <v>98</v>
      </c>
      <c r="BS178" s="1" t="s">
        <v>3315</v>
      </c>
      <c r="BT178" s="1" t="str">
        <f>HYPERLINK("https%3A%2F%2Fwww.webofscience.com%2Fwos%2Fwoscc%2Ffull-record%2FWOS:000089587200006","View Full Record in Web of Science")</f>
        <v>View Full Record in Web of Science</v>
      </c>
    </row>
    <row r="179" spans="1:72">
      <c r="A179" s="1" t="s">
        <v>72</v>
      </c>
      <c r="B179" s="1" t="s">
        <v>3316</v>
      </c>
      <c r="C179" s="1" t="s">
        <v>74</v>
      </c>
      <c r="D179" s="1" t="s">
        <v>74</v>
      </c>
      <c r="E179" s="1" t="s">
        <v>74</v>
      </c>
      <c r="F179" s="1" t="s">
        <v>3317</v>
      </c>
      <c r="G179" s="1" t="s">
        <v>74</v>
      </c>
      <c r="H179" s="1" t="s">
        <v>74</v>
      </c>
      <c r="I179" s="1" t="s">
        <v>3318</v>
      </c>
      <c r="J179" s="1" t="s">
        <v>1337</v>
      </c>
      <c r="K179" s="1" t="s">
        <v>74</v>
      </c>
      <c r="L179" s="1" t="s">
        <v>74</v>
      </c>
      <c r="M179" s="1" t="s">
        <v>78</v>
      </c>
      <c r="N179" s="1" t="s">
        <v>79</v>
      </c>
      <c r="O179" s="1" t="s">
        <v>74</v>
      </c>
      <c r="P179" s="1" t="s">
        <v>74</v>
      </c>
      <c r="Q179" s="1" t="s">
        <v>74</v>
      </c>
      <c r="R179" s="1" t="s">
        <v>74</v>
      </c>
      <c r="S179" s="1" t="s">
        <v>74</v>
      </c>
      <c r="T179" s="1" t="s">
        <v>3319</v>
      </c>
      <c r="U179" s="1" t="s">
        <v>3320</v>
      </c>
      <c r="V179" s="1" t="s">
        <v>3321</v>
      </c>
      <c r="W179" s="1" t="s">
        <v>3322</v>
      </c>
      <c r="X179" s="1" t="s">
        <v>3323</v>
      </c>
      <c r="Y179" s="1" t="s">
        <v>3324</v>
      </c>
      <c r="Z179" s="1" t="s">
        <v>3325</v>
      </c>
      <c r="AA179" s="1" t="s">
        <v>3326</v>
      </c>
      <c r="AB179" s="1" t="s">
        <v>3327</v>
      </c>
      <c r="AC179" s="1" t="s">
        <v>3328</v>
      </c>
      <c r="AD179" s="1" t="s">
        <v>3329</v>
      </c>
      <c r="AE179" s="1" t="s">
        <v>3330</v>
      </c>
      <c r="AF179" s="1" t="s">
        <v>74</v>
      </c>
      <c r="AG179" s="1">
        <v>39</v>
      </c>
      <c r="AH179" s="1">
        <v>1</v>
      </c>
      <c r="AI179" s="1">
        <v>1</v>
      </c>
      <c r="AJ179" s="1">
        <v>7</v>
      </c>
      <c r="AK179" s="1">
        <v>29</v>
      </c>
      <c r="AL179" s="1" t="s">
        <v>1350</v>
      </c>
      <c r="AM179" s="1" t="s">
        <v>1351</v>
      </c>
      <c r="AN179" s="1" t="s">
        <v>1352</v>
      </c>
      <c r="AO179" s="1" t="s">
        <v>74</v>
      </c>
      <c r="AP179" s="1" t="s">
        <v>1353</v>
      </c>
      <c r="AQ179" s="1" t="s">
        <v>74</v>
      </c>
      <c r="AR179" s="1" t="s">
        <v>1354</v>
      </c>
      <c r="AS179" s="1" t="s">
        <v>1355</v>
      </c>
      <c r="AT179" s="1" t="s">
        <v>3331</v>
      </c>
      <c r="AU179" s="1">
        <v>2023</v>
      </c>
      <c r="AV179" s="1">
        <v>9</v>
      </c>
      <c r="AW179" s="1" t="s">
        <v>74</v>
      </c>
      <c r="AX179" s="1" t="s">
        <v>74</v>
      </c>
      <c r="AY179" s="1" t="s">
        <v>74</v>
      </c>
      <c r="AZ179" s="1" t="s">
        <v>74</v>
      </c>
      <c r="BA179" s="1" t="s">
        <v>74</v>
      </c>
      <c r="BB179" s="1" t="s">
        <v>74</v>
      </c>
      <c r="BC179" s="1" t="s">
        <v>74</v>
      </c>
      <c r="BD179" s="1">
        <v>1014103</v>
      </c>
      <c r="BE179" s="1" t="s">
        <v>3332</v>
      </c>
      <c r="BF179" s="1" t="str">
        <f>HYPERLINK("http://dx.doi.org/10.3389/fmars.2022.1014103","http://dx.doi.org/10.3389/fmars.2022.1014103")</f>
        <v>http://dx.doi.org/10.3389/fmars.2022.1014103</v>
      </c>
      <c r="BG179" s="1" t="s">
        <v>74</v>
      </c>
      <c r="BH179" s="1" t="s">
        <v>74</v>
      </c>
      <c r="BI179" s="1">
        <v>11</v>
      </c>
      <c r="BJ179" s="1" t="s">
        <v>247</v>
      </c>
      <c r="BK179" s="1" t="s">
        <v>96</v>
      </c>
      <c r="BL179" s="1" t="s">
        <v>248</v>
      </c>
      <c r="BM179" s="1" t="s">
        <v>3333</v>
      </c>
      <c r="BN179" s="1" t="s">
        <v>74</v>
      </c>
      <c r="BO179" s="1" t="s">
        <v>873</v>
      </c>
      <c r="BP179" s="1" t="s">
        <v>74</v>
      </c>
      <c r="BQ179" s="1" t="s">
        <v>74</v>
      </c>
      <c r="BR179" s="1" t="s">
        <v>98</v>
      </c>
      <c r="BS179" s="1" t="s">
        <v>3334</v>
      </c>
      <c r="BT179" s="1" t="str">
        <f>HYPERLINK("https%3A%2F%2Fwww.webofscience.com%2Fwos%2Fwoscc%2Ffull-record%2FWOS:000920091500001","View Full Record in Web of Science")</f>
        <v>View Full Record in Web of Science</v>
      </c>
    </row>
    <row r="180" spans="1:72">
      <c r="A180" s="1" t="s">
        <v>72</v>
      </c>
      <c r="B180" s="1" t="s">
        <v>3335</v>
      </c>
      <c r="C180" s="1" t="s">
        <v>74</v>
      </c>
      <c r="D180" s="1" t="s">
        <v>74</v>
      </c>
      <c r="E180" s="1" t="s">
        <v>74</v>
      </c>
      <c r="F180" s="1" t="s">
        <v>3335</v>
      </c>
      <c r="G180" s="1" t="s">
        <v>74</v>
      </c>
      <c r="H180" s="1" t="s">
        <v>74</v>
      </c>
      <c r="I180" s="1" t="s">
        <v>3336</v>
      </c>
      <c r="J180" s="1" t="s">
        <v>595</v>
      </c>
      <c r="K180" s="1" t="s">
        <v>74</v>
      </c>
      <c r="L180" s="1" t="s">
        <v>74</v>
      </c>
      <c r="M180" s="1" t="s">
        <v>78</v>
      </c>
      <c r="N180" s="1" t="s">
        <v>79</v>
      </c>
      <c r="O180" s="1" t="s">
        <v>74</v>
      </c>
      <c r="P180" s="1" t="s">
        <v>74</v>
      </c>
      <c r="Q180" s="1" t="s">
        <v>74</v>
      </c>
      <c r="R180" s="1" t="s">
        <v>74</v>
      </c>
      <c r="S180" s="1" t="s">
        <v>74</v>
      </c>
      <c r="T180" s="1" t="s">
        <v>3337</v>
      </c>
      <c r="U180" s="1" t="s">
        <v>3338</v>
      </c>
      <c r="V180" s="1" t="s">
        <v>3339</v>
      </c>
      <c r="W180" s="1" t="s">
        <v>3340</v>
      </c>
      <c r="X180" s="1" t="s">
        <v>3341</v>
      </c>
      <c r="Y180" s="1" t="s">
        <v>3342</v>
      </c>
      <c r="Z180" s="1" t="s">
        <v>74</v>
      </c>
      <c r="AA180" s="1" t="s">
        <v>74</v>
      </c>
      <c r="AB180" s="1" t="s">
        <v>74</v>
      </c>
      <c r="AC180" s="1" t="s">
        <v>74</v>
      </c>
      <c r="AD180" s="1" t="s">
        <v>74</v>
      </c>
      <c r="AE180" s="1" t="s">
        <v>74</v>
      </c>
      <c r="AF180" s="1" t="s">
        <v>74</v>
      </c>
      <c r="AG180" s="1">
        <v>32</v>
      </c>
      <c r="AH180" s="1">
        <v>43</v>
      </c>
      <c r="AI180" s="1">
        <v>46</v>
      </c>
      <c r="AJ180" s="1">
        <v>1</v>
      </c>
      <c r="AK180" s="1">
        <v>23</v>
      </c>
      <c r="AL180" s="1" t="s">
        <v>716</v>
      </c>
      <c r="AM180" s="1" t="s">
        <v>191</v>
      </c>
      <c r="AN180" s="1" t="s">
        <v>717</v>
      </c>
      <c r="AO180" s="1" t="s">
        <v>608</v>
      </c>
      <c r="AP180" s="1" t="s">
        <v>74</v>
      </c>
      <c r="AQ180" s="1" t="s">
        <v>74</v>
      </c>
      <c r="AR180" s="1" t="s">
        <v>595</v>
      </c>
      <c r="AS180" s="1" t="s">
        <v>610</v>
      </c>
      <c r="AT180" s="1" t="s">
        <v>142</v>
      </c>
      <c r="AU180" s="1">
        <v>2000</v>
      </c>
      <c r="AV180" s="1">
        <v>9</v>
      </c>
      <c r="AW180" s="1">
        <v>3</v>
      </c>
      <c r="AX180" s="1" t="s">
        <v>74</v>
      </c>
      <c r="AY180" s="1" t="s">
        <v>74</v>
      </c>
      <c r="AZ180" s="1" t="s">
        <v>74</v>
      </c>
      <c r="BA180" s="1" t="s">
        <v>74</v>
      </c>
      <c r="BB180" s="1">
        <v>219</v>
      </c>
      <c r="BC180" s="1">
        <v>228</v>
      </c>
      <c r="BD180" s="1" t="s">
        <v>74</v>
      </c>
      <c r="BE180" s="1" t="s">
        <v>3343</v>
      </c>
      <c r="BF180" s="1" t="str">
        <f>HYPERLINK("http://dx.doi.org/10.1023/A:1008950905983","http://dx.doi.org/10.1023/A:1008950905983")</f>
        <v>http://dx.doi.org/10.1023/A:1008950905983</v>
      </c>
      <c r="BG180" s="1" t="s">
        <v>74</v>
      </c>
      <c r="BH180" s="1" t="s">
        <v>74</v>
      </c>
      <c r="BI180" s="1">
        <v>10</v>
      </c>
      <c r="BJ180" s="1" t="s">
        <v>612</v>
      </c>
      <c r="BK180" s="1" t="s">
        <v>96</v>
      </c>
      <c r="BL180" s="1" t="s">
        <v>122</v>
      </c>
      <c r="BM180" s="1" t="s">
        <v>3344</v>
      </c>
      <c r="BN180" s="1" t="s">
        <v>74</v>
      </c>
      <c r="BO180" s="1" t="s">
        <v>74</v>
      </c>
      <c r="BP180" s="1" t="s">
        <v>74</v>
      </c>
      <c r="BQ180" s="1" t="s">
        <v>74</v>
      </c>
      <c r="BR180" s="1" t="s">
        <v>98</v>
      </c>
      <c r="BS180" s="1" t="s">
        <v>3345</v>
      </c>
      <c r="BT180" s="1" t="str">
        <f>HYPERLINK("https%3A%2F%2Fwww.webofscience.com%2Fwos%2Fwoscc%2Ffull-record%2FWOS:000089795600008","View Full Record in Web of Science")</f>
        <v>View Full Record in Web of Science</v>
      </c>
    </row>
    <row r="181" spans="1:72">
      <c r="A181" s="1" t="s">
        <v>72</v>
      </c>
      <c r="B181" s="1" t="s">
        <v>3346</v>
      </c>
      <c r="C181" s="1" t="s">
        <v>74</v>
      </c>
      <c r="D181" s="1" t="s">
        <v>74</v>
      </c>
      <c r="E181" s="1" t="s">
        <v>74</v>
      </c>
      <c r="F181" s="1" t="s">
        <v>3347</v>
      </c>
      <c r="G181" s="1" t="s">
        <v>74</v>
      </c>
      <c r="H181" s="1" t="s">
        <v>74</v>
      </c>
      <c r="I181" s="1" t="s">
        <v>3348</v>
      </c>
      <c r="J181" s="1" t="s">
        <v>3349</v>
      </c>
      <c r="K181" s="1" t="s">
        <v>74</v>
      </c>
      <c r="L181" s="1" t="s">
        <v>74</v>
      </c>
      <c r="M181" s="1" t="s">
        <v>78</v>
      </c>
      <c r="N181" s="1" t="s">
        <v>79</v>
      </c>
      <c r="O181" s="1" t="s">
        <v>74</v>
      </c>
      <c r="P181" s="1" t="s">
        <v>74</v>
      </c>
      <c r="Q181" s="1" t="s">
        <v>74</v>
      </c>
      <c r="R181" s="1" t="s">
        <v>74</v>
      </c>
      <c r="S181" s="1" t="s">
        <v>74</v>
      </c>
      <c r="T181" s="1" t="s">
        <v>3350</v>
      </c>
      <c r="U181" s="1" t="s">
        <v>3351</v>
      </c>
      <c r="V181" s="1" t="s">
        <v>3352</v>
      </c>
      <c r="W181" s="1" t="s">
        <v>3353</v>
      </c>
      <c r="X181" s="1" t="s">
        <v>3354</v>
      </c>
      <c r="Y181" s="1" t="s">
        <v>3355</v>
      </c>
      <c r="Z181" s="1" t="s">
        <v>3356</v>
      </c>
      <c r="AA181" s="1" t="s">
        <v>3357</v>
      </c>
      <c r="AB181" s="1" t="s">
        <v>3358</v>
      </c>
      <c r="AC181" s="1" t="s">
        <v>3359</v>
      </c>
      <c r="AD181" s="1" t="s">
        <v>3360</v>
      </c>
      <c r="AE181" s="1" t="s">
        <v>3361</v>
      </c>
      <c r="AF181" s="1" t="s">
        <v>74</v>
      </c>
      <c r="AG181" s="1">
        <v>80</v>
      </c>
      <c r="AH181" s="1">
        <v>20</v>
      </c>
      <c r="AI181" s="1">
        <v>20</v>
      </c>
      <c r="AJ181" s="1">
        <v>0</v>
      </c>
      <c r="AK181" s="1">
        <v>36</v>
      </c>
      <c r="AL181" s="1" t="s">
        <v>3362</v>
      </c>
      <c r="AM181" s="1" t="s">
        <v>3363</v>
      </c>
      <c r="AN181" s="1" t="s">
        <v>3364</v>
      </c>
      <c r="AO181" s="1" t="s">
        <v>3365</v>
      </c>
      <c r="AP181" s="1" t="s">
        <v>3366</v>
      </c>
      <c r="AQ181" s="1" t="s">
        <v>74</v>
      </c>
      <c r="AR181" s="1" t="s">
        <v>3367</v>
      </c>
      <c r="AS181" s="1" t="s">
        <v>3368</v>
      </c>
      <c r="AT181" s="1" t="s">
        <v>1223</v>
      </c>
      <c r="AU181" s="1">
        <v>2017</v>
      </c>
      <c r="AV181" s="1">
        <v>137</v>
      </c>
      <c r="AW181" s="1" t="s">
        <v>74</v>
      </c>
      <c r="AX181" s="1" t="s">
        <v>74</v>
      </c>
      <c r="AY181" s="1" t="s">
        <v>74</v>
      </c>
      <c r="AZ181" s="1" t="s">
        <v>74</v>
      </c>
      <c r="BA181" s="1" t="s">
        <v>74</v>
      </c>
      <c r="BB181" s="1">
        <v>78</v>
      </c>
      <c r="BC181" s="1">
        <v>85</v>
      </c>
      <c r="BD181" s="1" t="s">
        <v>74</v>
      </c>
      <c r="BE181" s="1" t="s">
        <v>3369</v>
      </c>
      <c r="BF181" s="1" t="str">
        <f>HYPERLINK("http://dx.doi.org/10.1016/j.ecoenv.2016.11.027","http://dx.doi.org/10.1016/j.ecoenv.2016.11.027")</f>
        <v>http://dx.doi.org/10.1016/j.ecoenv.2016.11.027</v>
      </c>
      <c r="BG181" s="1" t="s">
        <v>74</v>
      </c>
      <c r="BH181" s="1" t="s">
        <v>74</v>
      </c>
      <c r="BI181" s="1">
        <v>8</v>
      </c>
      <c r="BJ181" s="1" t="s">
        <v>121</v>
      </c>
      <c r="BK181" s="1" t="s">
        <v>96</v>
      </c>
      <c r="BL181" s="1" t="s">
        <v>122</v>
      </c>
      <c r="BM181" s="1" t="s">
        <v>3370</v>
      </c>
      <c r="BN181" s="1">
        <v>27915146</v>
      </c>
      <c r="BO181" s="1" t="s">
        <v>74</v>
      </c>
      <c r="BP181" s="1" t="s">
        <v>74</v>
      </c>
      <c r="BQ181" s="1" t="s">
        <v>74</v>
      </c>
      <c r="BR181" s="1" t="s">
        <v>98</v>
      </c>
      <c r="BS181" s="1" t="s">
        <v>3371</v>
      </c>
      <c r="BT181" s="1" t="str">
        <f>HYPERLINK("https%3A%2F%2Fwww.webofscience.com%2Fwos%2Fwoscc%2Ffull-record%2FWOS:000392786400011","View Full Record in Web of Science")</f>
        <v>View Full Record in Web of Science</v>
      </c>
    </row>
    <row r="182" spans="1:72">
      <c r="A182" s="1" t="s">
        <v>72</v>
      </c>
      <c r="B182" s="1" t="s">
        <v>3372</v>
      </c>
      <c r="C182" s="1" t="s">
        <v>74</v>
      </c>
      <c r="D182" s="1" t="s">
        <v>74</v>
      </c>
      <c r="E182" s="1" t="s">
        <v>74</v>
      </c>
      <c r="F182" s="1" t="s">
        <v>3373</v>
      </c>
      <c r="G182" s="1" t="s">
        <v>74</v>
      </c>
      <c r="H182" s="1" t="s">
        <v>74</v>
      </c>
      <c r="I182" s="1" t="s">
        <v>3374</v>
      </c>
      <c r="J182" s="1" t="s">
        <v>275</v>
      </c>
      <c r="K182" s="1" t="s">
        <v>74</v>
      </c>
      <c r="L182" s="1" t="s">
        <v>74</v>
      </c>
      <c r="M182" s="1" t="s">
        <v>78</v>
      </c>
      <c r="N182" s="1" t="s">
        <v>79</v>
      </c>
      <c r="O182" s="1" t="s">
        <v>74</v>
      </c>
      <c r="P182" s="1" t="s">
        <v>74</v>
      </c>
      <c r="Q182" s="1" t="s">
        <v>74</v>
      </c>
      <c r="R182" s="1" t="s">
        <v>74</v>
      </c>
      <c r="S182" s="1" t="s">
        <v>74</v>
      </c>
      <c r="T182" s="1" t="s">
        <v>3375</v>
      </c>
      <c r="U182" s="1" t="s">
        <v>3376</v>
      </c>
      <c r="V182" s="1" t="s">
        <v>3377</v>
      </c>
      <c r="W182" s="1" t="s">
        <v>3378</v>
      </c>
      <c r="X182" s="1" t="s">
        <v>3379</v>
      </c>
      <c r="Y182" s="1" t="s">
        <v>3380</v>
      </c>
      <c r="Z182" s="1" t="s">
        <v>3381</v>
      </c>
      <c r="AA182" s="1" t="s">
        <v>3382</v>
      </c>
      <c r="AB182" s="1" t="s">
        <v>74</v>
      </c>
      <c r="AC182" s="1" t="s">
        <v>3383</v>
      </c>
      <c r="AD182" s="1" t="s">
        <v>3384</v>
      </c>
      <c r="AE182" s="1" t="s">
        <v>3385</v>
      </c>
      <c r="AF182" s="1" t="s">
        <v>74</v>
      </c>
      <c r="AG182" s="1">
        <v>78</v>
      </c>
      <c r="AH182" s="1">
        <v>71</v>
      </c>
      <c r="AI182" s="1">
        <v>78</v>
      </c>
      <c r="AJ182" s="1">
        <v>11</v>
      </c>
      <c r="AK182" s="1">
        <v>109</v>
      </c>
      <c r="AL182" s="1" t="s">
        <v>285</v>
      </c>
      <c r="AM182" s="1" t="s">
        <v>286</v>
      </c>
      <c r="AN182" s="1" t="s">
        <v>287</v>
      </c>
      <c r="AO182" s="1" t="s">
        <v>288</v>
      </c>
      <c r="AP182" s="1" t="s">
        <v>289</v>
      </c>
      <c r="AQ182" s="1" t="s">
        <v>74</v>
      </c>
      <c r="AR182" s="1" t="s">
        <v>290</v>
      </c>
      <c r="AS182" s="1" t="s">
        <v>291</v>
      </c>
      <c r="AT182" s="1" t="s">
        <v>142</v>
      </c>
      <c r="AU182" s="1">
        <v>2014</v>
      </c>
      <c r="AV182" s="1">
        <v>38</v>
      </c>
      <c r="AW182" s="1">
        <v>2</v>
      </c>
      <c r="AX182" s="1" t="s">
        <v>74</v>
      </c>
      <c r="AY182" s="1" t="s">
        <v>74</v>
      </c>
      <c r="AZ182" s="1" t="s">
        <v>74</v>
      </c>
      <c r="BA182" s="1" t="s">
        <v>74</v>
      </c>
      <c r="BB182" s="1">
        <v>318</v>
      </c>
      <c r="BC182" s="1">
        <v>329</v>
      </c>
      <c r="BD182" s="1" t="s">
        <v>74</v>
      </c>
      <c r="BE182" s="1" t="s">
        <v>3386</v>
      </c>
      <c r="BF182" s="1" t="str">
        <f>HYPERLINK("http://dx.doi.org/10.1016/j.fsi.2014.03.029","http://dx.doi.org/10.1016/j.fsi.2014.03.029")</f>
        <v>http://dx.doi.org/10.1016/j.fsi.2014.03.029</v>
      </c>
      <c r="BG182" s="1" t="s">
        <v>74</v>
      </c>
      <c r="BH182" s="1" t="s">
        <v>74</v>
      </c>
      <c r="BI182" s="1">
        <v>12</v>
      </c>
      <c r="BJ182" s="1" t="s">
        <v>293</v>
      </c>
      <c r="BK182" s="1" t="s">
        <v>96</v>
      </c>
      <c r="BL182" s="1" t="s">
        <v>293</v>
      </c>
      <c r="BM182" s="1" t="s">
        <v>3387</v>
      </c>
      <c r="BN182" s="1">
        <v>24698996</v>
      </c>
      <c r="BO182" s="1" t="s">
        <v>74</v>
      </c>
      <c r="BP182" s="1" t="s">
        <v>74</v>
      </c>
      <c r="BQ182" s="1" t="s">
        <v>74</v>
      </c>
      <c r="BR182" s="1" t="s">
        <v>98</v>
      </c>
      <c r="BS182" s="1" t="s">
        <v>3388</v>
      </c>
      <c r="BT182" s="1" t="str">
        <f>HYPERLINK("https%3A%2F%2Fwww.webofscience.com%2Fwos%2Fwoscc%2Ffull-record%2FWOS:000337014700007","View Full Record in Web of Science")</f>
        <v>View Full Record in Web of Science</v>
      </c>
    </row>
    <row r="183" spans="1:72">
      <c r="A183" s="1" t="s">
        <v>72</v>
      </c>
      <c r="B183" s="1" t="s">
        <v>3389</v>
      </c>
      <c r="C183" s="1" t="s">
        <v>74</v>
      </c>
      <c r="D183" s="1" t="s">
        <v>74</v>
      </c>
      <c r="E183" s="1" t="s">
        <v>74</v>
      </c>
      <c r="F183" s="1" t="s">
        <v>3390</v>
      </c>
      <c r="G183" s="1" t="s">
        <v>74</v>
      </c>
      <c r="H183" s="1" t="s">
        <v>74</v>
      </c>
      <c r="I183" s="1" t="s">
        <v>3391</v>
      </c>
      <c r="J183" s="1" t="s">
        <v>204</v>
      </c>
      <c r="K183" s="1" t="s">
        <v>74</v>
      </c>
      <c r="L183" s="1" t="s">
        <v>74</v>
      </c>
      <c r="M183" s="1" t="s">
        <v>78</v>
      </c>
      <c r="N183" s="1" t="s">
        <v>79</v>
      </c>
      <c r="O183" s="1" t="s">
        <v>74</v>
      </c>
      <c r="P183" s="1" t="s">
        <v>74</v>
      </c>
      <c r="Q183" s="1" t="s">
        <v>74</v>
      </c>
      <c r="R183" s="1" t="s">
        <v>74</v>
      </c>
      <c r="S183" s="1" t="s">
        <v>74</v>
      </c>
      <c r="T183" s="1" t="s">
        <v>3392</v>
      </c>
      <c r="U183" s="1" t="s">
        <v>3393</v>
      </c>
      <c r="V183" s="1" t="s">
        <v>3394</v>
      </c>
      <c r="W183" s="1" t="s">
        <v>3395</v>
      </c>
      <c r="X183" s="1" t="s">
        <v>74</v>
      </c>
      <c r="Y183" s="1" t="s">
        <v>3396</v>
      </c>
      <c r="Z183" s="1" t="s">
        <v>3397</v>
      </c>
      <c r="AA183" s="1" t="s">
        <v>3398</v>
      </c>
      <c r="AB183" s="1" t="s">
        <v>74</v>
      </c>
      <c r="AC183" s="1" t="s">
        <v>74</v>
      </c>
      <c r="AD183" s="1" t="s">
        <v>74</v>
      </c>
      <c r="AE183" s="1" t="s">
        <v>74</v>
      </c>
      <c r="AF183" s="1" t="s">
        <v>74</v>
      </c>
      <c r="AG183" s="1">
        <v>73</v>
      </c>
      <c r="AH183" s="1">
        <v>22</v>
      </c>
      <c r="AI183" s="1">
        <v>24</v>
      </c>
      <c r="AJ183" s="1">
        <v>4</v>
      </c>
      <c r="AK183" s="1">
        <v>68</v>
      </c>
      <c r="AL183" s="1" t="s">
        <v>217</v>
      </c>
      <c r="AM183" s="1" t="s">
        <v>218</v>
      </c>
      <c r="AN183" s="1" t="s">
        <v>219</v>
      </c>
      <c r="AO183" s="1" t="s">
        <v>220</v>
      </c>
      <c r="AP183" s="1" t="s">
        <v>221</v>
      </c>
      <c r="AQ183" s="1" t="s">
        <v>74</v>
      </c>
      <c r="AR183" s="1" t="s">
        <v>222</v>
      </c>
      <c r="AS183" s="1" t="s">
        <v>223</v>
      </c>
      <c r="AT183" s="1" t="s">
        <v>1470</v>
      </c>
      <c r="AU183" s="1">
        <v>2020</v>
      </c>
      <c r="AV183" s="1">
        <v>27</v>
      </c>
      <c r="AW183" s="1">
        <v>2</v>
      </c>
      <c r="AX183" s="1" t="s">
        <v>74</v>
      </c>
      <c r="AY183" s="1" t="s">
        <v>74</v>
      </c>
      <c r="AZ183" s="1" t="s">
        <v>74</v>
      </c>
      <c r="BA183" s="1" t="s">
        <v>74</v>
      </c>
      <c r="BB183" s="1">
        <v>2096</v>
      </c>
      <c r="BC183" s="1">
        <v>2106</v>
      </c>
      <c r="BD183" s="1" t="s">
        <v>74</v>
      </c>
      <c r="BE183" s="1" t="s">
        <v>3399</v>
      </c>
      <c r="BF183" s="1" t="str">
        <f>HYPERLINK("http://dx.doi.org/10.1007/s11356-019-06580-2","http://dx.doi.org/10.1007/s11356-019-06580-2")</f>
        <v>http://dx.doi.org/10.1007/s11356-019-06580-2</v>
      </c>
      <c r="BG183" s="1" t="s">
        <v>74</v>
      </c>
      <c r="BH183" s="1" t="s">
        <v>74</v>
      </c>
      <c r="BI183" s="1">
        <v>11</v>
      </c>
      <c r="BJ183" s="1" t="s">
        <v>144</v>
      </c>
      <c r="BK183" s="1" t="s">
        <v>96</v>
      </c>
      <c r="BL183" s="1" t="s">
        <v>145</v>
      </c>
      <c r="BM183" s="1" t="s">
        <v>3400</v>
      </c>
      <c r="BN183" s="1">
        <v>31773527</v>
      </c>
      <c r="BO183" s="1" t="s">
        <v>74</v>
      </c>
      <c r="BP183" s="1" t="s">
        <v>74</v>
      </c>
      <c r="BQ183" s="1" t="s">
        <v>74</v>
      </c>
      <c r="BR183" s="1" t="s">
        <v>98</v>
      </c>
      <c r="BS183" s="1" t="s">
        <v>3401</v>
      </c>
      <c r="BT183" s="1" t="str">
        <f>HYPERLINK("https%3A%2F%2Fwww.webofscience.com%2Fwos%2Fwoscc%2Ffull-record%2FWOS:000514596300075","View Full Record in Web of Science")</f>
        <v>View Full Record in Web of Science</v>
      </c>
    </row>
    <row r="184" spans="1:72">
      <c r="A184" s="1" t="s">
        <v>72</v>
      </c>
      <c r="B184" s="1" t="s">
        <v>3402</v>
      </c>
      <c r="C184" s="1" t="s">
        <v>74</v>
      </c>
      <c r="D184" s="1" t="s">
        <v>74</v>
      </c>
      <c r="E184" s="1" t="s">
        <v>74</v>
      </c>
      <c r="F184" s="1" t="s">
        <v>3403</v>
      </c>
      <c r="G184" s="1" t="s">
        <v>74</v>
      </c>
      <c r="H184" s="1" t="s">
        <v>74</v>
      </c>
      <c r="I184" s="1" t="s">
        <v>3404</v>
      </c>
      <c r="J184" s="1" t="s">
        <v>3405</v>
      </c>
      <c r="K184" s="1" t="s">
        <v>74</v>
      </c>
      <c r="L184" s="1" t="s">
        <v>74</v>
      </c>
      <c r="M184" s="1" t="s">
        <v>78</v>
      </c>
      <c r="N184" s="1" t="s">
        <v>79</v>
      </c>
      <c r="O184" s="1" t="s">
        <v>74</v>
      </c>
      <c r="P184" s="1" t="s">
        <v>74</v>
      </c>
      <c r="Q184" s="1" t="s">
        <v>74</v>
      </c>
      <c r="R184" s="1" t="s">
        <v>74</v>
      </c>
      <c r="S184" s="1" t="s">
        <v>74</v>
      </c>
      <c r="T184" s="1" t="s">
        <v>3406</v>
      </c>
      <c r="U184" s="1" t="s">
        <v>3407</v>
      </c>
      <c r="V184" s="1" t="s">
        <v>3408</v>
      </c>
      <c r="W184" s="1" t="s">
        <v>3409</v>
      </c>
      <c r="X184" s="1" t="s">
        <v>3410</v>
      </c>
      <c r="Y184" s="1" t="s">
        <v>3411</v>
      </c>
      <c r="Z184" s="1" t="s">
        <v>3412</v>
      </c>
      <c r="AA184" s="1" t="s">
        <v>3413</v>
      </c>
      <c r="AB184" s="1" t="s">
        <v>3414</v>
      </c>
      <c r="AC184" s="1" t="s">
        <v>3415</v>
      </c>
      <c r="AD184" s="1" t="s">
        <v>3416</v>
      </c>
      <c r="AE184" s="1" t="s">
        <v>3417</v>
      </c>
      <c r="AF184" s="1" t="s">
        <v>74</v>
      </c>
      <c r="AG184" s="1">
        <v>33</v>
      </c>
      <c r="AH184" s="1">
        <v>10</v>
      </c>
      <c r="AI184" s="1">
        <v>10</v>
      </c>
      <c r="AJ184" s="1">
        <v>0</v>
      </c>
      <c r="AK184" s="1">
        <v>10</v>
      </c>
      <c r="AL184" s="1" t="s">
        <v>3418</v>
      </c>
      <c r="AM184" s="1" t="s">
        <v>3419</v>
      </c>
      <c r="AN184" s="1" t="s">
        <v>3420</v>
      </c>
      <c r="AO184" s="1" t="s">
        <v>3421</v>
      </c>
      <c r="AP184" s="1" t="s">
        <v>3422</v>
      </c>
      <c r="AQ184" s="1" t="s">
        <v>74</v>
      </c>
      <c r="AR184" s="1" t="s">
        <v>3423</v>
      </c>
      <c r="AS184" s="1" t="s">
        <v>3424</v>
      </c>
      <c r="AT184" s="1" t="s">
        <v>305</v>
      </c>
      <c r="AU184" s="1">
        <v>2016</v>
      </c>
      <c r="AV184" s="1">
        <v>57</v>
      </c>
      <c r="AW184" s="1">
        <v>42</v>
      </c>
      <c r="AX184" s="1" t="s">
        <v>74</v>
      </c>
      <c r="AY184" s="1" t="s">
        <v>74</v>
      </c>
      <c r="AZ184" s="1" t="s">
        <v>74</v>
      </c>
      <c r="BA184" s="1" t="s">
        <v>74</v>
      </c>
      <c r="BB184" s="1">
        <v>19877</v>
      </c>
      <c r="BC184" s="1">
        <v>19889</v>
      </c>
      <c r="BD184" s="1" t="s">
        <v>74</v>
      </c>
      <c r="BE184" s="1" t="s">
        <v>3425</v>
      </c>
      <c r="BF184" s="1" t="str">
        <f>HYPERLINK("http://dx.doi.org/10.1080/19443994.2015.1106342","http://dx.doi.org/10.1080/19443994.2015.1106342")</f>
        <v>http://dx.doi.org/10.1080/19443994.2015.1106342</v>
      </c>
      <c r="BG184" s="1" t="s">
        <v>74</v>
      </c>
      <c r="BH184" s="1" t="s">
        <v>74</v>
      </c>
      <c r="BI184" s="1">
        <v>13</v>
      </c>
      <c r="BJ184" s="1" t="s">
        <v>3426</v>
      </c>
      <c r="BK184" s="1" t="s">
        <v>96</v>
      </c>
      <c r="BL184" s="1" t="s">
        <v>3427</v>
      </c>
      <c r="BM184" s="1" t="s">
        <v>3428</v>
      </c>
      <c r="BN184" s="1" t="s">
        <v>74</v>
      </c>
      <c r="BO184" s="1" t="s">
        <v>74</v>
      </c>
      <c r="BP184" s="1" t="s">
        <v>74</v>
      </c>
      <c r="BQ184" s="1" t="s">
        <v>74</v>
      </c>
      <c r="BR184" s="1" t="s">
        <v>98</v>
      </c>
      <c r="BS184" s="1" t="s">
        <v>3429</v>
      </c>
      <c r="BT184" s="1" t="str">
        <f>HYPERLINK("https%3A%2F%2Fwww.webofscience.com%2Fwos%2Fwoscc%2Ffull-record%2FWOS:000382746100028","View Full Record in Web of Science")</f>
        <v>View Full Record in Web of Science</v>
      </c>
    </row>
    <row r="185" spans="1:72">
      <c r="A185" s="1" t="s">
        <v>72</v>
      </c>
      <c r="B185" s="1" t="s">
        <v>3430</v>
      </c>
      <c r="C185" s="1" t="s">
        <v>74</v>
      </c>
      <c r="D185" s="1" t="s">
        <v>74</v>
      </c>
      <c r="E185" s="1" t="s">
        <v>74</v>
      </c>
      <c r="F185" s="1" t="s">
        <v>3430</v>
      </c>
      <c r="G185" s="1" t="s">
        <v>74</v>
      </c>
      <c r="H185" s="1" t="s">
        <v>74</v>
      </c>
      <c r="I185" s="1" t="s">
        <v>3431</v>
      </c>
      <c r="J185" s="1" t="s">
        <v>998</v>
      </c>
      <c r="K185" s="1" t="s">
        <v>74</v>
      </c>
      <c r="L185" s="1" t="s">
        <v>74</v>
      </c>
      <c r="M185" s="1" t="s">
        <v>78</v>
      </c>
      <c r="N185" s="1" t="s">
        <v>79</v>
      </c>
      <c r="O185" s="1" t="s">
        <v>74</v>
      </c>
      <c r="P185" s="1" t="s">
        <v>74</v>
      </c>
      <c r="Q185" s="1" t="s">
        <v>74</v>
      </c>
      <c r="R185" s="1" t="s">
        <v>74</v>
      </c>
      <c r="S185" s="1" t="s">
        <v>74</v>
      </c>
      <c r="T185" s="1" t="s">
        <v>74</v>
      </c>
      <c r="U185" s="1" t="s">
        <v>3432</v>
      </c>
      <c r="V185" s="1" t="s">
        <v>3433</v>
      </c>
      <c r="W185" s="1" t="s">
        <v>3434</v>
      </c>
      <c r="X185" s="1" t="s">
        <v>3435</v>
      </c>
      <c r="Y185" s="1" t="s">
        <v>3436</v>
      </c>
      <c r="Z185" s="1" t="s">
        <v>3437</v>
      </c>
      <c r="AA185" s="1" t="s">
        <v>3438</v>
      </c>
      <c r="AB185" s="1" t="s">
        <v>3439</v>
      </c>
      <c r="AC185" s="1" t="s">
        <v>74</v>
      </c>
      <c r="AD185" s="1" t="s">
        <v>74</v>
      </c>
      <c r="AE185" s="1" t="s">
        <v>74</v>
      </c>
      <c r="AF185" s="1" t="s">
        <v>74</v>
      </c>
      <c r="AG185" s="1">
        <v>33</v>
      </c>
      <c r="AH185" s="1">
        <v>30</v>
      </c>
      <c r="AI185" s="1">
        <v>35</v>
      </c>
      <c r="AJ185" s="1">
        <v>0</v>
      </c>
      <c r="AK185" s="1">
        <v>13</v>
      </c>
      <c r="AL185" s="1" t="s">
        <v>112</v>
      </c>
      <c r="AM185" s="1" t="s">
        <v>113</v>
      </c>
      <c r="AN185" s="1" t="s">
        <v>1008</v>
      </c>
      <c r="AO185" s="1" t="s">
        <v>1009</v>
      </c>
      <c r="AP185" s="1" t="s">
        <v>74</v>
      </c>
      <c r="AQ185" s="1" t="s">
        <v>74</v>
      </c>
      <c r="AR185" s="1" t="s">
        <v>1010</v>
      </c>
      <c r="AS185" s="1" t="s">
        <v>1011</v>
      </c>
      <c r="AT185" s="1" t="s">
        <v>267</v>
      </c>
      <c r="AU185" s="1">
        <v>2004</v>
      </c>
      <c r="AV185" s="1">
        <v>47</v>
      </c>
      <c r="AW185" s="1">
        <v>3</v>
      </c>
      <c r="AX185" s="1" t="s">
        <v>74</v>
      </c>
      <c r="AY185" s="1" t="s">
        <v>74</v>
      </c>
      <c r="AZ185" s="1" t="s">
        <v>74</v>
      </c>
      <c r="BA185" s="1" t="s">
        <v>74</v>
      </c>
      <c r="BB185" s="1">
        <v>341</v>
      </c>
      <c r="BC185" s="1">
        <v>351</v>
      </c>
      <c r="BD185" s="1" t="s">
        <v>74</v>
      </c>
      <c r="BE185" s="1" t="s">
        <v>3440</v>
      </c>
      <c r="BF185" s="1" t="str">
        <f>HYPERLINK("http://dx.doi.org/10.1007/s00244-004-3021-5","http://dx.doi.org/10.1007/s00244-004-3021-5")</f>
        <v>http://dx.doi.org/10.1007/s00244-004-3021-5</v>
      </c>
      <c r="BG185" s="1" t="s">
        <v>74</v>
      </c>
      <c r="BH185" s="1" t="s">
        <v>74</v>
      </c>
      <c r="BI185" s="1">
        <v>11</v>
      </c>
      <c r="BJ185" s="1" t="s">
        <v>121</v>
      </c>
      <c r="BK185" s="1" t="s">
        <v>96</v>
      </c>
      <c r="BL185" s="1" t="s">
        <v>122</v>
      </c>
      <c r="BM185" s="1" t="s">
        <v>3441</v>
      </c>
      <c r="BN185" s="1">
        <v>15386128</v>
      </c>
      <c r="BO185" s="1" t="s">
        <v>74</v>
      </c>
      <c r="BP185" s="1" t="s">
        <v>74</v>
      </c>
      <c r="BQ185" s="1" t="s">
        <v>74</v>
      </c>
      <c r="BR185" s="1" t="s">
        <v>98</v>
      </c>
      <c r="BS185" s="1" t="s">
        <v>3442</v>
      </c>
      <c r="BT185" s="1" t="str">
        <f>HYPERLINK("https%3A%2F%2Fwww.webofscience.com%2Fwos%2Fwoscc%2Ffull-record%2FWOS:000224054400008","View Full Record in Web of Science")</f>
        <v>View Full Record in Web of Science</v>
      </c>
    </row>
    <row r="186" spans="1:72">
      <c r="A186" s="1" t="s">
        <v>72</v>
      </c>
      <c r="B186" s="1" t="s">
        <v>3443</v>
      </c>
      <c r="C186" s="1" t="s">
        <v>74</v>
      </c>
      <c r="D186" s="1" t="s">
        <v>74</v>
      </c>
      <c r="E186" s="1" t="s">
        <v>74</v>
      </c>
      <c r="F186" s="1" t="s">
        <v>3444</v>
      </c>
      <c r="G186" s="1" t="s">
        <v>74</v>
      </c>
      <c r="H186" s="1" t="s">
        <v>74</v>
      </c>
      <c r="I186" s="1" t="s">
        <v>3445</v>
      </c>
      <c r="J186" s="1" t="s">
        <v>204</v>
      </c>
      <c r="K186" s="1" t="s">
        <v>74</v>
      </c>
      <c r="L186" s="1" t="s">
        <v>74</v>
      </c>
      <c r="M186" s="1" t="s">
        <v>78</v>
      </c>
      <c r="N186" s="1" t="s">
        <v>79</v>
      </c>
      <c r="O186" s="1" t="s">
        <v>74</v>
      </c>
      <c r="P186" s="1" t="s">
        <v>74</v>
      </c>
      <c r="Q186" s="1" t="s">
        <v>74</v>
      </c>
      <c r="R186" s="1" t="s">
        <v>74</v>
      </c>
      <c r="S186" s="1" t="s">
        <v>74</v>
      </c>
      <c r="T186" s="1" t="s">
        <v>3446</v>
      </c>
      <c r="U186" s="1" t="s">
        <v>3447</v>
      </c>
      <c r="V186" s="1" t="s">
        <v>3448</v>
      </c>
      <c r="W186" s="1" t="s">
        <v>3449</v>
      </c>
      <c r="X186" s="1" t="s">
        <v>3450</v>
      </c>
      <c r="Y186" s="1" t="s">
        <v>3451</v>
      </c>
      <c r="Z186" s="1" t="s">
        <v>3452</v>
      </c>
      <c r="AA186" s="1" t="s">
        <v>3453</v>
      </c>
      <c r="AB186" s="1" t="s">
        <v>74</v>
      </c>
      <c r="AC186" s="1" t="s">
        <v>3454</v>
      </c>
      <c r="AD186" s="1" t="s">
        <v>3455</v>
      </c>
      <c r="AE186" s="1" t="s">
        <v>3456</v>
      </c>
      <c r="AF186" s="1" t="s">
        <v>74</v>
      </c>
      <c r="AG186" s="1">
        <v>44</v>
      </c>
      <c r="AH186" s="1">
        <v>38</v>
      </c>
      <c r="AI186" s="1">
        <v>41</v>
      </c>
      <c r="AJ186" s="1">
        <v>13</v>
      </c>
      <c r="AK186" s="1">
        <v>125</v>
      </c>
      <c r="AL186" s="1" t="s">
        <v>217</v>
      </c>
      <c r="AM186" s="1" t="s">
        <v>218</v>
      </c>
      <c r="AN186" s="1" t="s">
        <v>219</v>
      </c>
      <c r="AO186" s="1" t="s">
        <v>220</v>
      </c>
      <c r="AP186" s="1" t="s">
        <v>221</v>
      </c>
      <c r="AQ186" s="1" t="s">
        <v>74</v>
      </c>
      <c r="AR186" s="1" t="s">
        <v>222</v>
      </c>
      <c r="AS186" s="1" t="s">
        <v>223</v>
      </c>
      <c r="AT186" s="1" t="s">
        <v>119</v>
      </c>
      <c r="AU186" s="1">
        <v>2016</v>
      </c>
      <c r="AV186" s="1">
        <v>23</v>
      </c>
      <c r="AW186" s="1">
        <v>16</v>
      </c>
      <c r="AX186" s="1" t="s">
        <v>74</v>
      </c>
      <c r="AY186" s="1" t="s">
        <v>74</v>
      </c>
      <c r="AZ186" s="1" t="s">
        <v>74</v>
      </c>
      <c r="BA186" s="1" t="s">
        <v>74</v>
      </c>
      <c r="BB186" s="1">
        <v>16834</v>
      </c>
      <c r="BC186" s="1">
        <v>16844</v>
      </c>
      <c r="BD186" s="1" t="s">
        <v>74</v>
      </c>
      <c r="BE186" s="1" t="s">
        <v>3457</v>
      </c>
      <c r="BF186" s="1" t="str">
        <f>HYPERLINK("http://dx.doi.org/10.1007/s11356-016-6817-8","http://dx.doi.org/10.1007/s11356-016-6817-8")</f>
        <v>http://dx.doi.org/10.1007/s11356-016-6817-8</v>
      </c>
      <c r="BG186" s="1" t="s">
        <v>74</v>
      </c>
      <c r="BH186" s="1" t="s">
        <v>74</v>
      </c>
      <c r="BI186" s="1">
        <v>11</v>
      </c>
      <c r="BJ186" s="1" t="s">
        <v>144</v>
      </c>
      <c r="BK186" s="1" t="s">
        <v>96</v>
      </c>
      <c r="BL186" s="1" t="s">
        <v>145</v>
      </c>
      <c r="BM186" s="1" t="s">
        <v>3458</v>
      </c>
      <c r="BN186" s="1">
        <v>27194017</v>
      </c>
      <c r="BO186" s="1" t="s">
        <v>74</v>
      </c>
      <c r="BP186" s="1" t="s">
        <v>74</v>
      </c>
      <c r="BQ186" s="1" t="s">
        <v>74</v>
      </c>
      <c r="BR186" s="1" t="s">
        <v>98</v>
      </c>
      <c r="BS186" s="1" t="s">
        <v>3459</v>
      </c>
      <c r="BT186" s="1" t="str">
        <f>HYPERLINK("https%3A%2F%2Fwww.webofscience.com%2Fwos%2Fwoscc%2Ffull-record%2FWOS:000381156600093","View Full Record in Web of Science")</f>
        <v>View Full Record in Web of Science</v>
      </c>
    </row>
    <row r="187" spans="1:72">
      <c r="A187" s="1" t="s">
        <v>72</v>
      </c>
      <c r="B187" s="1" t="s">
        <v>3460</v>
      </c>
      <c r="C187" s="1" t="s">
        <v>74</v>
      </c>
      <c r="D187" s="1" t="s">
        <v>74</v>
      </c>
      <c r="E187" s="1" t="s">
        <v>74</v>
      </c>
      <c r="F187" s="1" t="s">
        <v>3461</v>
      </c>
      <c r="G187" s="1" t="s">
        <v>74</v>
      </c>
      <c r="H187" s="1" t="s">
        <v>74</v>
      </c>
      <c r="I187" s="1" t="s">
        <v>3462</v>
      </c>
      <c r="J187" s="1" t="s">
        <v>495</v>
      </c>
      <c r="K187" s="1" t="s">
        <v>74</v>
      </c>
      <c r="L187" s="1" t="s">
        <v>74</v>
      </c>
      <c r="M187" s="1" t="s">
        <v>78</v>
      </c>
      <c r="N187" s="1" t="s">
        <v>79</v>
      </c>
      <c r="O187" s="1" t="s">
        <v>74</v>
      </c>
      <c r="P187" s="1" t="s">
        <v>74</v>
      </c>
      <c r="Q187" s="1" t="s">
        <v>74</v>
      </c>
      <c r="R187" s="1" t="s">
        <v>74</v>
      </c>
      <c r="S187" s="1" t="s">
        <v>74</v>
      </c>
      <c r="T187" s="1" t="s">
        <v>3463</v>
      </c>
      <c r="U187" s="1" t="s">
        <v>3464</v>
      </c>
      <c r="V187" s="1" t="s">
        <v>3465</v>
      </c>
      <c r="W187" s="1" t="s">
        <v>3466</v>
      </c>
      <c r="X187" s="1" t="s">
        <v>3467</v>
      </c>
      <c r="Y187" s="1" t="s">
        <v>3468</v>
      </c>
      <c r="Z187" s="1" t="s">
        <v>3469</v>
      </c>
      <c r="AA187" s="1" t="s">
        <v>3470</v>
      </c>
      <c r="AB187" s="1" t="s">
        <v>74</v>
      </c>
      <c r="AC187" s="1" t="s">
        <v>3471</v>
      </c>
      <c r="AD187" s="1" t="s">
        <v>3472</v>
      </c>
      <c r="AE187" s="1" t="s">
        <v>3473</v>
      </c>
      <c r="AF187" s="1" t="s">
        <v>74</v>
      </c>
      <c r="AG187" s="1">
        <v>43</v>
      </c>
      <c r="AH187" s="1">
        <v>2</v>
      </c>
      <c r="AI187" s="1">
        <v>2</v>
      </c>
      <c r="AJ187" s="1">
        <v>0</v>
      </c>
      <c r="AK187" s="1">
        <v>24</v>
      </c>
      <c r="AL187" s="1" t="s">
        <v>1030</v>
      </c>
      <c r="AM187" s="1" t="s">
        <v>1031</v>
      </c>
      <c r="AN187" s="1" t="s">
        <v>1032</v>
      </c>
      <c r="AO187" s="1" t="s">
        <v>507</v>
      </c>
      <c r="AP187" s="1" t="s">
        <v>1033</v>
      </c>
      <c r="AQ187" s="1" t="s">
        <v>74</v>
      </c>
      <c r="AR187" s="1" t="s">
        <v>508</v>
      </c>
      <c r="AS187" s="1" t="s">
        <v>509</v>
      </c>
      <c r="AT187" s="1" t="s">
        <v>74</v>
      </c>
      <c r="AU187" s="1">
        <v>2017</v>
      </c>
      <c r="AV187" s="1">
        <v>26</v>
      </c>
      <c r="AW187" s="1">
        <v>8</v>
      </c>
      <c r="AX187" s="1" t="s">
        <v>74</v>
      </c>
      <c r="AY187" s="1" t="s">
        <v>74</v>
      </c>
      <c r="AZ187" s="1" t="s">
        <v>74</v>
      </c>
      <c r="BA187" s="1" t="s">
        <v>74</v>
      </c>
      <c r="BB187" s="1">
        <v>5487</v>
      </c>
      <c r="BC187" s="1">
        <v>5501</v>
      </c>
      <c r="BD187" s="1" t="s">
        <v>74</v>
      </c>
      <c r="BE187" s="1" t="s">
        <v>74</v>
      </c>
      <c r="BF187" s="1" t="s">
        <v>74</v>
      </c>
      <c r="BG187" s="1" t="s">
        <v>74</v>
      </c>
      <c r="BH187" s="1" t="s">
        <v>74</v>
      </c>
      <c r="BI187" s="1">
        <v>15</v>
      </c>
      <c r="BJ187" s="1" t="s">
        <v>144</v>
      </c>
      <c r="BK187" s="1" t="s">
        <v>96</v>
      </c>
      <c r="BL187" s="1" t="s">
        <v>145</v>
      </c>
      <c r="BM187" s="1" t="s">
        <v>3474</v>
      </c>
      <c r="BN187" s="1" t="s">
        <v>74</v>
      </c>
      <c r="BO187" s="1" t="s">
        <v>74</v>
      </c>
      <c r="BP187" s="1" t="s">
        <v>74</v>
      </c>
      <c r="BQ187" s="1" t="s">
        <v>74</v>
      </c>
      <c r="BR187" s="1" t="s">
        <v>98</v>
      </c>
      <c r="BS187" s="1" t="s">
        <v>3475</v>
      </c>
      <c r="BT187" s="1" t="str">
        <f>HYPERLINK("https%3A%2F%2Fwww.webofscience.com%2Fwos%2Fwoscc%2Ffull-record%2FWOS:000409399600073","View Full Record in Web of Science")</f>
        <v>View Full Record in Web of Science</v>
      </c>
    </row>
    <row r="188" spans="1:72">
      <c r="A188" s="1" t="s">
        <v>72</v>
      </c>
      <c r="B188" s="1" t="s">
        <v>3476</v>
      </c>
      <c r="C188" s="1" t="s">
        <v>74</v>
      </c>
      <c r="D188" s="1" t="s">
        <v>74</v>
      </c>
      <c r="E188" s="1" t="s">
        <v>74</v>
      </c>
      <c r="F188" s="1" t="s">
        <v>3477</v>
      </c>
      <c r="G188" s="1" t="s">
        <v>74</v>
      </c>
      <c r="H188" s="1" t="s">
        <v>74</v>
      </c>
      <c r="I188" s="1" t="s">
        <v>3478</v>
      </c>
      <c r="J188" s="1" t="s">
        <v>1948</v>
      </c>
      <c r="K188" s="1" t="s">
        <v>74</v>
      </c>
      <c r="L188" s="1" t="s">
        <v>74</v>
      </c>
      <c r="M188" s="1" t="s">
        <v>78</v>
      </c>
      <c r="N188" s="1" t="s">
        <v>79</v>
      </c>
      <c r="O188" s="1" t="s">
        <v>74</v>
      </c>
      <c r="P188" s="1" t="s">
        <v>74</v>
      </c>
      <c r="Q188" s="1" t="s">
        <v>74</v>
      </c>
      <c r="R188" s="1" t="s">
        <v>74</v>
      </c>
      <c r="S188" s="1" t="s">
        <v>74</v>
      </c>
      <c r="T188" s="1" t="s">
        <v>3479</v>
      </c>
      <c r="U188" s="1" t="s">
        <v>3480</v>
      </c>
      <c r="V188" s="1" t="s">
        <v>3481</v>
      </c>
      <c r="W188" s="1" t="s">
        <v>3482</v>
      </c>
      <c r="X188" s="1" t="s">
        <v>3483</v>
      </c>
      <c r="Y188" s="1" t="s">
        <v>3484</v>
      </c>
      <c r="Z188" s="1" t="s">
        <v>1955</v>
      </c>
      <c r="AA188" s="1" t="s">
        <v>3485</v>
      </c>
      <c r="AB188" s="1" t="s">
        <v>3486</v>
      </c>
      <c r="AC188" s="1" t="s">
        <v>3487</v>
      </c>
      <c r="AD188" s="1" t="s">
        <v>3488</v>
      </c>
      <c r="AE188" s="1" t="s">
        <v>3489</v>
      </c>
      <c r="AF188" s="1" t="s">
        <v>74</v>
      </c>
      <c r="AG188" s="1">
        <v>34</v>
      </c>
      <c r="AH188" s="1">
        <v>34</v>
      </c>
      <c r="AI188" s="1">
        <v>34</v>
      </c>
      <c r="AJ188" s="1">
        <v>0</v>
      </c>
      <c r="AK188" s="1">
        <v>29</v>
      </c>
      <c r="AL188" s="1" t="s">
        <v>430</v>
      </c>
      <c r="AM188" s="1" t="s">
        <v>137</v>
      </c>
      <c r="AN188" s="1" t="s">
        <v>431</v>
      </c>
      <c r="AO188" s="1" t="s">
        <v>1961</v>
      </c>
      <c r="AP188" s="1" t="s">
        <v>1962</v>
      </c>
      <c r="AQ188" s="1" t="s">
        <v>74</v>
      </c>
      <c r="AR188" s="1" t="s">
        <v>1963</v>
      </c>
      <c r="AS188" s="1" t="s">
        <v>1964</v>
      </c>
      <c r="AT188" s="1" t="s">
        <v>2303</v>
      </c>
      <c r="AU188" s="1">
        <v>2014</v>
      </c>
      <c r="AV188" s="1">
        <v>84</v>
      </c>
      <c r="AW188" s="1" t="s">
        <v>74</v>
      </c>
      <c r="AX188" s="1" t="s">
        <v>74</v>
      </c>
      <c r="AY188" s="1" t="s">
        <v>74</v>
      </c>
      <c r="AZ188" s="1" t="s">
        <v>74</v>
      </c>
      <c r="BA188" s="1" t="s">
        <v>74</v>
      </c>
      <c r="BB188" s="1">
        <v>680</v>
      </c>
      <c r="BC188" s="1">
        <v>690</v>
      </c>
      <c r="BD188" s="1" t="s">
        <v>74</v>
      </c>
      <c r="BE188" s="1" t="s">
        <v>3490</v>
      </c>
      <c r="BF188" s="1" t="str">
        <f>HYPERLINK("http://dx.doi.org/10.1016/j.jclepro.2014.01.050","http://dx.doi.org/10.1016/j.jclepro.2014.01.050")</f>
        <v>http://dx.doi.org/10.1016/j.jclepro.2014.01.050</v>
      </c>
      <c r="BG188" s="1" t="s">
        <v>74</v>
      </c>
      <c r="BH188" s="1" t="s">
        <v>74</v>
      </c>
      <c r="BI188" s="1">
        <v>11</v>
      </c>
      <c r="BJ188" s="1" t="s">
        <v>1967</v>
      </c>
      <c r="BK188" s="1" t="s">
        <v>96</v>
      </c>
      <c r="BL188" s="1" t="s">
        <v>1968</v>
      </c>
      <c r="BM188" s="1" t="s">
        <v>3491</v>
      </c>
      <c r="BN188" s="1" t="s">
        <v>74</v>
      </c>
      <c r="BO188" s="1" t="s">
        <v>74</v>
      </c>
      <c r="BP188" s="1" t="s">
        <v>74</v>
      </c>
      <c r="BQ188" s="1" t="s">
        <v>74</v>
      </c>
      <c r="BR188" s="1" t="s">
        <v>98</v>
      </c>
      <c r="BS188" s="1" t="s">
        <v>3492</v>
      </c>
      <c r="BT188" s="1" t="str">
        <f>HYPERLINK("https%3A%2F%2Fwww.webofscience.com%2Fwos%2Fwoscc%2Ffull-record%2FWOS:000345731000072","View Full Record in Web of Science")</f>
        <v>View Full Record in Web of Science</v>
      </c>
    </row>
    <row r="189" spans="1:72">
      <c r="A189" s="1" t="s">
        <v>72</v>
      </c>
      <c r="B189" s="1" t="s">
        <v>3493</v>
      </c>
      <c r="C189" s="1" t="s">
        <v>74</v>
      </c>
      <c r="D189" s="1" t="s">
        <v>74</v>
      </c>
      <c r="E189" s="1" t="s">
        <v>74</v>
      </c>
      <c r="F189" s="1" t="s">
        <v>3494</v>
      </c>
      <c r="G189" s="1" t="s">
        <v>74</v>
      </c>
      <c r="H189" s="1" t="s">
        <v>74</v>
      </c>
      <c r="I189" s="1" t="s">
        <v>3495</v>
      </c>
      <c r="J189" s="1" t="s">
        <v>421</v>
      </c>
      <c r="K189" s="1" t="s">
        <v>74</v>
      </c>
      <c r="L189" s="1" t="s">
        <v>74</v>
      </c>
      <c r="M189" s="1" t="s">
        <v>78</v>
      </c>
      <c r="N189" s="1" t="s">
        <v>79</v>
      </c>
      <c r="O189" s="1" t="s">
        <v>74</v>
      </c>
      <c r="P189" s="1" t="s">
        <v>74</v>
      </c>
      <c r="Q189" s="1" t="s">
        <v>74</v>
      </c>
      <c r="R189" s="1" t="s">
        <v>74</v>
      </c>
      <c r="S189" s="1" t="s">
        <v>74</v>
      </c>
      <c r="T189" s="1" t="s">
        <v>3496</v>
      </c>
      <c r="U189" s="1" t="s">
        <v>3497</v>
      </c>
      <c r="V189" s="1" t="s">
        <v>3498</v>
      </c>
      <c r="W189" s="1" t="s">
        <v>3499</v>
      </c>
      <c r="X189" s="1" t="s">
        <v>3500</v>
      </c>
      <c r="Y189" s="1" t="s">
        <v>3501</v>
      </c>
      <c r="Z189" s="1" t="s">
        <v>3502</v>
      </c>
      <c r="AA189" s="1" t="s">
        <v>3503</v>
      </c>
      <c r="AB189" s="1" t="s">
        <v>3504</v>
      </c>
      <c r="AC189" s="1" t="s">
        <v>3500</v>
      </c>
      <c r="AD189" s="1" t="s">
        <v>3500</v>
      </c>
      <c r="AE189" s="1" t="s">
        <v>3505</v>
      </c>
      <c r="AF189" s="1" t="s">
        <v>74</v>
      </c>
      <c r="AG189" s="1">
        <v>73</v>
      </c>
      <c r="AH189" s="1">
        <v>6</v>
      </c>
      <c r="AI189" s="1">
        <v>6</v>
      </c>
      <c r="AJ189" s="1">
        <v>1</v>
      </c>
      <c r="AK189" s="1">
        <v>18</v>
      </c>
      <c r="AL189" s="1" t="s">
        <v>430</v>
      </c>
      <c r="AM189" s="1" t="s">
        <v>137</v>
      </c>
      <c r="AN189" s="1" t="s">
        <v>431</v>
      </c>
      <c r="AO189" s="1" t="s">
        <v>432</v>
      </c>
      <c r="AP189" s="1" t="s">
        <v>1394</v>
      </c>
      <c r="AQ189" s="1" t="s">
        <v>74</v>
      </c>
      <c r="AR189" s="1" t="s">
        <v>433</v>
      </c>
      <c r="AS189" s="1" t="s">
        <v>434</v>
      </c>
      <c r="AT189" s="1" t="s">
        <v>3506</v>
      </c>
      <c r="AU189" s="1">
        <v>2021</v>
      </c>
      <c r="AV189" s="1">
        <v>285</v>
      </c>
      <c r="AW189" s="1" t="s">
        <v>74</v>
      </c>
      <c r="AX189" s="1" t="s">
        <v>74</v>
      </c>
      <c r="AY189" s="1" t="s">
        <v>74</v>
      </c>
      <c r="AZ189" s="1" t="s">
        <v>74</v>
      </c>
      <c r="BA189" s="1" t="s">
        <v>74</v>
      </c>
      <c r="BB189" s="1" t="s">
        <v>74</v>
      </c>
      <c r="BC189" s="1" t="s">
        <v>74</v>
      </c>
      <c r="BD189" s="1">
        <v>117401</v>
      </c>
      <c r="BE189" s="1" t="s">
        <v>3507</v>
      </c>
      <c r="BF189" s="1" t="str">
        <f>HYPERLINK("http://dx.doi.org/10.1016/j.envpol.2021.117401","http://dx.doi.org/10.1016/j.envpol.2021.117401")</f>
        <v>http://dx.doi.org/10.1016/j.envpol.2021.117401</v>
      </c>
      <c r="BG189" s="1" t="s">
        <v>74</v>
      </c>
      <c r="BH189" s="1" t="s">
        <v>3508</v>
      </c>
      <c r="BI189" s="1">
        <v>11</v>
      </c>
      <c r="BJ189" s="1" t="s">
        <v>144</v>
      </c>
      <c r="BK189" s="1" t="s">
        <v>96</v>
      </c>
      <c r="BL189" s="1" t="s">
        <v>145</v>
      </c>
      <c r="BM189" s="1" t="s">
        <v>3509</v>
      </c>
      <c r="BN189" s="1">
        <v>34051567</v>
      </c>
      <c r="BO189" s="1" t="s">
        <v>810</v>
      </c>
      <c r="BP189" s="1" t="s">
        <v>74</v>
      </c>
      <c r="BQ189" s="1" t="s">
        <v>74</v>
      </c>
      <c r="BR189" s="1" t="s">
        <v>98</v>
      </c>
      <c r="BS189" s="1" t="s">
        <v>3510</v>
      </c>
      <c r="BT189" s="1" t="str">
        <f>HYPERLINK("https%3A%2F%2Fwww.webofscience.com%2Fwos%2Fwoscc%2Ffull-record%2FWOS:000685347700006","View Full Record in Web of Science")</f>
        <v>View Full Record in Web of Science</v>
      </c>
    </row>
    <row r="190" spans="1:72">
      <c r="A190" s="1" t="s">
        <v>72</v>
      </c>
      <c r="B190" s="1" t="s">
        <v>3511</v>
      </c>
      <c r="C190" s="1" t="s">
        <v>74</v>
      </c>
      <c r="D190" s="1" t="s">
        <v>74</v>
      </c>
      <c r="E190" s="1" t="s">
        <v>74</v>
      </c>
      <c r="F190" s="1" t="s">
        <v>3512</v>
      </c>
      <c r="G190" s="1" t="s">
        <v>74</v>
      </c>
      <c r="H190" s="1" t="s">
        <v>74</v>
      </c>
      <c r="I190" s="1" t="s">
        <v>3513</v>
      </c>
      <c r="J190" s="1" t="s">
        <v>554</v>
      </c>
      <c r="K190" s="1" t="s">
        <v>74</v>
      </c>
      <c r="L190" s="1" t="s">
        <v>74</v>
      </c>
      <c r="M190" s="1" t="s">
        <v>78</v>
      </c>
      <c r="N190" s="1" t="s">
        <v>79</v>
      </c>
      <c r="O190" s="1" t="s">
        <v>74</v>
      </c>
      <c r="P190" s="1" t="s">
        <v>74</v>
      </c>
      <c r="Q190" s="1" t="s">
        <v>74</v>
      </c>
      <c r="R190" s="1" t="s">
        <v>74</v>
      </c>
      <c r="S190" s="1" t="s">
        <v>74</v>
      </c>
      <c r="T190" s="1" t="s">
        <v>3514</v>
      </c>
      <c r="U190" s="1" t="s">
        <v>3515</v>
      </c>
      <c r="V190" s="1" t="s">
        <v>3516</v>
      </c>
      <c r="W190" s="1" t="s">
        <v>3517</v>
      </c>
      <c r="X190" s="1" t="s">
        <v>3518</v>
      </c>
      <c r="Y190" s="1" t="s">
        <v>3519</v>
      </c>
      <c r="Z190" s="1" t="s">
        <v>3520</v>
      </c>
      <c r="AA190" s="1" t="s">
        <v>3521</v>
      </c>
      <c r="AB190" s="1" t="s">
        <v>74</v>
      </c>
      <c r="AC190" s="1" t="s">
        <v>3522</v>
      </c>
      <c r="AD190" s="1" t="s">
        <v>3523</v>
      </c>
      <c r="AE190" s="1" t="s">
        <v>3524</v>
      </c>
      <c r="AF190" s="1" t="s">
        <v>74</v>
      </c>
      <c r="AG190" s="1">
        <v>69</v>
      </c>
      <c r="AH190" s="1">
        <v>43</v>
      </c>
      <c r="AI190" s="1">
        <v>53</v>
      </c>
      <c r="AJ190" s="1">
        <v>1</v>
      </c>
      <c r="AK190" s="1">
        <v>20</v>
      </c>
      <c r="AL190" s="1" t="s">
        <v>564</v>
      </c>
      <c r="AM190" s="1" t="s">
        <v>113</v>
      </c>
      <c r="AN190" s="1" t="s">
        <v>807</v>
      </c>
      <c r="AO190" s="1" t="s">
        <v>566</v>
      </c>
      <c r="AP190" s="1" t="s">
        <v>567</v>
      </c>
      <c r="AQ190" s="1" t="s">
        <v>74</v>
      </c>
      <c r="AR190" s="1" t="s">
        <v>568</v>
      </c>
      <c r="AS190" s="1" t="s">
        <v>569</v>
      </c>
      <c r="AT190" s="1" t="s">
        <v>1470</v>
      </c>
      <c r="AU190" s="1">
        <v>2009</v>
      </c>
      <c r="AV190" s="1">
        <v>149</v>
      </c>
      <c r="AW190" s="1">
        <v>1</v>
      </c>
      <c r="AX190" s="1" t="s">
        <v>74</v>
      </c>
      <c r="AY190" s="1" t="s">
        <v>74</v>
      </c>
      <c r="AZ190" s="1" t="s">
        <v>74</v>
      </c>
      <c r="BA190" s="1" t="s">
        <v>74</v>
      </c>
      <c r="BB190" s="1">
        <v>50</v>
      </c>
      <c r="BC190" s="1">
        <v>57</v>
      </c>
      <c r="BD190" s="1" t="s">
        <v>74</v>
      </c>
      <c r="BE190" s="1" t="s">
        <v>3525</v>
      </c>
      <c r="BF190" s="1" t="str">
        <f>HYPERLINK("http://dx.doi.org/10.1016/j.cbpc.2008.07.001","http://dx.doi.org/10.1016/j.cbpc.2008.07.001")</f>
        <v>http://dx.doi.org/10.1016/j.cbpc.2008.07.001</v>
      </c>
      <c r="BG190" s="1" t="s">
        <v>74</v>
      </c>
      <c r="BH190" s="1" t="s">
        <v>74</v>
      </c>
      <c r="BI190" s="1">
        <v>8</v>
      </c>
      <c r="BJ190" s="1" t="s">
        <v>571</v>
      </c>
      <c r="BK190" s="1" t="s">
        <v>96</v>
      </c>
      <c r="BL190" s="1" t="s">
        <v>571</v>
      </c>
      <c r="BM190" s="1" t="s">
        <v>3526</v>
      </c>
      <c r="BN190" s="1">
        <v>18662805</v>
      </c>
      <c r="BO190" s="1" t="s">
        <v>74</v>
      </c>
      <c r="BP190" s="1" t="s">
        <v>74</v>
      </c>
      <c r="BQ190" s="1" t="s">
        <v>74</v>
      </c>
      <c r="BR190" s="1" t="s">
        <v>98</v>
      </c>
      <c r="BS190" s="1" t="s">
        <v>3527</v>
      </c>
      <c r="BT190" s="1" t="str">
        <f>HYPERLINK("https%3A%2F%2Fwww.webofscience.com%2Fwos%2Fwoscc%2Ffull-record%2FWOS:000261936200006","View Full Record in Web of Science")</f>
        <v>View Full Record in Web of Science</v>
      </c>
    </row>
    <row r="191" spans="1:72">
      <c r="A191" s="1" t="s">
        <v>72</v>
      </c>
      <c r="B191" s="1" t="s">
        <v>3528</v>
      </c>
      <c r="C191" s="1" t="s">
        <v>74</v>
      </c>
      <c r="D191" s="1" t="s">
        <v>74</v>
      </c>
      <c r="E191" s="1" t="s">
        <v>74</v>
      </c>
      <c r="F191" s="1" t="s">
        <v>3529</v>
      </c>
      <c r="G191" s="1" t="s">
        <v>74</v>
      </c>
      <c r="H191" s="1" t="s">
        <v>74</v>
      </c>
      <c r="I191" s="1" t="s">
        <v>3530</v>
      </c>
      <c r="J191" s="1" t="s">
        <v>3349</v>
      </c>
      <c r="K191" s="1" t="s">
        <v>74</v>
      </c>
      <c r="L191" s="1" t="s">
        <v>74</v>
      </c>
      <c r="M191" s="1" t="s">
        <v>78</v>
      </c>
      <c r="N191" s="1" t="s">
        <v>79</v>
      </c>
      <c r="O191" s="1" t="s">
        <v>74</v>
      </c>
      <c r="P191" s="1" t="s">
        <v>74</v>
      </c>
      <c r="Q191" s="1" t="s">
        <v>74</v>
      </c>
      <c r="R191" s="1" t="s">
        <v>74</v>
      </c>
      <c r="S191" s="1" t="s">
        <v>74</v>
      </c>
      <c r="T191" s="1" t="s">
        <v>3531</v>
      </c>
      <c r="U191" s="1" t="s">
        <v>3532</v>
      </c>
      <c r="V191" s="1" t="s">
        <v>3533</v>
      </c>
      <c r="W191" s="1" t="s">
        <v>3534</v>
      </c>
      <c r="X191" s="1" t="s">
        <v>3535</v>
      </c>
      <c r="Y191" s="1" t="s">
        <v>3536</v>
      </c>
      <c r="Z191" s="1" t="s">
        <v>3537</v>
      </c>
      <c r="AA191" s="1" t="s">
        <v>74</v>
      </c>
      <c r="AB191" s="1" t="s">
        <v>3538</v>
      </c>
      <c r="AC191" s="1" t="s">
        <v>3539</v>
      </c>
      <c r="AD191" s="1" t="s">
        <v>3540</v>
      </c>
      <c r="AE191" s="1" t="s">
        <v>3541</v>
      </c>
      <c r="AF191" s="1" t="s">
        <v>74</v>
      </c>
      <c r="AG191" s="1">
        <v>50</v>
      </c>
      <c r="AH191" s="1">
        <v>28</v>
      </c>
      <c r="AI191" s="1">
        <v>29</v>
      </c>
      <c r="AJ191" s="1">
        <v>1</v>
      </c>
      <c r="AK191" s="1">
        <v>18</v>
      </c>
      <c r="AL191" s="1" t="s">
        <v>3362</v>
      </c>
      <c r="AM191" s="1" t="s">
        <v>3363</v>
      </c>
      <c r="AN191" s="1" t="s">
        <v>3364</v>
      </c>
      <c r="AO191" s="1" t="s">
        <v>3365</v>
      </c>
      <c r="AP191" s="1" t="s">
        <v>3366</v>
      </c>
      <c r="AQ191" s="1" t="s">
        <v>74</v>
      </c>
      <c r="AR191" s="1" t="s">
        <v>3367</v>
      </c>
      <c r="AS191" s="1" t="s">
        <v>3368</v>
      </c>
      <c r="AT191" s="1" t="s">
        <v>3542</v>
      </c>
      <c r="AU191" s="1">
        <v>2012</v>
      </c>
      <c r="AV191" s="1">
        <v>84</v>
      </c>
      <c r="AW191" s="1" t="s">
        <v>74</v>
      </c>
      <c r="AX191" s="1" t="s">
        <v>74</v>
      </c>
      <c r="AY191" s="1" t="s">
        <v>74</v>
      </c>
      <c r="AZ191" s="1" t="s">
        <v>74</v>
      </c>
      <c r="BA191" s="1" t="s">
        <v>74</v>
      </c>
      <c r="BB191" s="1">
        <v>92</v>
      </c>
      <c r="BC191" s="1">
        <v>98</v>
      </c>
      <c r="BD191" s="1" t="s">
        <v>74</v>
      </c>
      <c r="BE191" s="1" t="s">
        <v>3543</v>
      </c>
      <c r="BF191" s="1" t="str">
        <f>HYPERLINK("http://dx.doi.org/10.1016/j.ecoenv.2012.06.025","http://dx.doi.org/10.1016/j.ecoenv.2012.06.025")</f>
        <v>http://dx.doi.org/10.1016/j.ecoenv.2012.06.025</v>
      </c>
      <c r="BG191" s="1" t="s">
        <v>74</v>
      </c>
      <c r="BH191" s="1" t="s">
        <v>74</v>
      </c>
      <c r="BI191" s="1">
        <v>7</v>
      </c>
      <c r="BJ191" s="1" t="s">
        <v>121</v>
      </c>
      <c r="BK191" s="1" t="s">
        <v>96</v>
      </c>
      <c r="BL191" s="1" t="s">
        <v>122</v>
      </c>
      <c r="BM191" s="1" t="s">
        <v>3544</v>
      </c>
      <c r="BN191" s="1">
        <v>22854742</v>
      </c>
      <c r="BO191" s="1" t="s">
        <v>74</v>
      </c>
      <c r="BP191" s="1" t="s">
        <v>74</v>
      </c>
      <c r="BQ191" s="1" t="s">
        <v>74</v>
      </c>
      <c r="BR191" s="1" t="s">
        <v>98</v>
      </c>
      <c r="BS191" s="1" t="s">
        <v>3545</v>
      </c>
      <c r="BT191" s="1" t="str">
        <f>HYPERLINK("https%3A%2F%2Fwww.webofscience.com%2Fwos%2Fwoscc%2Ffull-record%2FWOS:000308771900013","View Full Record in Web of Science")</f>
        <v>View Full Record in Web of Science</v>
      </c>
    </row>
    <row r="192" spans="1:72">
      <c r="A192" s="1" t="s">
        <v>72</v>
      </c>
      <c r="B192" s="1" t="s">
        <v>3546</v>
      </c>
      <c r="C192" s="1" t="s">
        <v>74</v>
      </c>
      <c r="D192" s="1" t="s">
        <v>74</v>
      </c>
      <c r="E192" s="1" t="s">
        <v>74</v>
      </c>
      <c r="F192" s="1" t="s">
        <v>3547</v>
      </c>
      <c r="G192" s="1" t="s">
        <v>74</v>
      </c>
      <c r="H192" s="1" t="s">
        <v>74</v>
      </c>
      <c r="I192" s="1" t="s">
        <v>3548</v>
      </c>
      <c r="J192" s="1" t="s">
        <v>204</v>
      </c>
      <c r="K192" s="1" t="s">
        <v>74</v>
      </c>
      <c r="L192" s="1" t="s">
        <v>74</v>
      </c>
      <c r="M192" s="1" t="s">
        <v>78</v>
      </c>
      <c r="N192" s="1" t="s">
        <v>79</v>
      </c>
      <c r="O192" s="1" t="s">
        <v>74</v>
      </c>
      <c r="P192" s="1" t="s">
        <v>74</v>
      </c>
      <c r="Q192" s="1" t="s">
        <v>74</v>
      </c>
      <c r="R192" s="1" t="s">
        <v>74</v>
      </c>
      <c r="S192" s="1" t="s">
        <v>74</v>
      </c>
      <c r="T192" s="1" t="s">
        <v>3549</v>
      </c>
      <c r="U192" s="1" t="s">
        <v>3550</v>
      </c>
      <c r="V192" s="1" t="s">
        <v>3551</v>
      </c>
      <c r="W192" s="1" t="s">
        <v>3552</v>
      </c>
      <c r="X192" s="1" t="s">
        <v>3553</v>
      </c>
      <c r="Y192" s="1" t="s">
        <v>3554</v>
      </c>
      <c r="Z192" s="1" t="s">
        <v>3555</v>
      </c>
      <c r="AA192" s="1" t="s">
        <v>3556</v>
      </c>
      <c r="AB192" s="1" t="s">
        <v>3557</v>
      </c>
      <c r="AC192" s="1" t="s">
        <v>3558</v>
      </c>
      <c r="AD192" s="1" t="s">
        <v>3559</v>
      </c>
      <c r="AE192" s="1" t="s">
        <v>3560</v>
      </c>
      <c r="AF192" s="1" t="s">
        <v>74</v>
      </c>
      <c r="AG192" s="1">
        <v>67</v>
      </c>
      <c r="AH192" s="1">
        <v>55</v>
      </c>
      <c r="AI192" s="1">
        <v>70</v>
      </c>
      <c r="AJ192" s="1">
        <v>1</v>
      </c>
      <c r="AK192" s="1">
        <v>71</v>
      </c>
      <c r="AL192" s="1" t="s">
        <v>217</v>
      </c>
      <c r="AM192" s="1" t="s">
        <v>218</v>
      </c>
      <c r="AN192" s="1" t="s">
        <v>219</v>
      </c>
      <c r="AO192" s="1" t="s">
        <v>220</v>
      </c>
      <c r="AP192" s="1" t="s">
        <v>221</v>
      </c>
      <c r="AQ192" s="1" t="s">
        <v>74</v>
      </c>
      <c r="AR192" s="1" t="s">
        <v>222</v>
      </c>
      <c r="AS192" s="1" t="s">
        <v>223</v>
      </c>
      <c r="AT192" s="1" t="s">
        <v>1470</v>
      </c>
      <c r="AU192" s="1">
        <v>2013</v>
      </c>
      <c r="AV192" s="1">
        <v>20</v>
      </c>
      <c r="AW192" s="1">
        <v>1</v>
      </c>
      <c r="AX192" s="1" t="s">
        <v>74</v>
      </c>
      <c r="AY192" s="1" t="s">
        <v>74</v>
      </c>
      <c r="AZ192" s="1" t="s">
        <v>74</v>
      </c>
      <c r="BA192" s="1" t="s">
        <v>74</v>
      </c>
      <c r="BB192" s="1">
        <v>209</v>
      </c>
      <c r="BC192" s="1">
        <v>218</v>
      </c>
      <c r="BD192" s="1" t="s">
        <v>74</v>
      </c>
      <c r="BE192" s="1" t="s">
        <v>3561</v>
      </c>
      <c r="BF192" s="1" t="str">
        <f>HYPERLINK("http://dx.doi.org/10.1007/s11356-012-1057-z","http://dx.doi.org/10.1007/s11356-012-1057-z")</f>
        <v>http://dx.doi.org/10.1007/s11356-012-1057-z</v>
      </c>
      <c r="BG192" s="1" t="s">
        <v>74</v>
      </c>
      <c r="BH192" s="1" t="s">
        <v>74</v>
      </c>
      <c r="BI192" s="1">
        <v>10</v>
      </c>
      <c r="BJ192" s="1" t="s">
        <v>144</v>
      </c>
      <c r="BK192" s="1" t="s">
        <v>96</v>
      </c>
      <c r="BL192" s="1" t="s">
        <v>145</v>
      </c>
      <c r="BM192" s="1" t="s">
        <v>3562</v>
      </c>
      <c r="BN192" s="1">
        <v>22773332</v>
      </c>
      <c r="BO192" s="1" t="s">
        <v>74</v>
      </c>
      <c r="BP192" s="1" t="s">
        <v>74</v>
      </c>
      <c r="BQ192" s="1" t="s">
        <v>74</v>
      </c>
      <c r="BR192" s="1" t="s">
        <v>98</v>
      </c>
      <c r="BS192" s="1" t="s">
        <v>3563</v>
      </c>
      <c r="BT192" s="1" t="str">
        <f>HYPERLINK("https%3A%2F%2Fwww.webofscience.com%2Fwos%2Fwoscc%2Ffull-record%2FWOS:000313071900023","View Full Record in Web of Science")</f>
        <v>View Full Record in Web of Science</v>
      </c>
    </row>
    <row r="193" spans="1:72">
      <c r="A193" s="1" t="s">
        <v>72</v>
      </c>
      <c r="B193" s="1" t="s">
        <v>3564</v>
      </c>
      <c r="C193" s="1" t="s">
        <v>74</v>
      </c>
      <c r="D193" s="1" t="s">
        <v>74</v>
      </c>
      <c r="E193" s="1" t="s">
        <v>74</v>
      </c>
      <c r="F193" s="1" t="s">
        <v>3565</v>
      </c>
      <c r="G193" s="1" t="s">
        <v>74</v>
      </c>
      <c r="H193" s="1" t="s">
        <v>74</v>
      </c>
      <c r="I193" s="1" t="s">
        <v>3566</v>
      </c>
      <c r="J193" s="1" t="s">
        <v>3567</v>
      </c>
      <c r="K193" s="1" t="s">
        <v>74</v>
      </c>
      <c r="L193" s="1" t="s">
        <v>74</v>
      </c>
      <c r="M193" s="1" t="s">
        <v>78</v>
      </c>
      <c r="N193" s="1" t="s">
        <v>79</v>
      </c>
      <c r="O193" s="1" t="s">
        <v>74</v>
      </c>
      <c r="P193" s="1" t="s">
        <v>74</v>
      </c>
      <c r="Q193" s="1" t="s">
        <v>74</v>
      </c>
      <c r="R193" s="1" t="s">
        <v>74</v>
      </c>
      <c r="S193" s="1" t="s">
        <v>74</v>
      </c>
      <c r="T193" s="1" t="s">
        <v>3568</v>
      </c>
      <c r="U193" s="1" t="s">
        <v>3569</v>
      </c>
      <c r="V193" s="1" t="s">
        <v>3570</v>
      </c>
      <c r="W193" s="1" t="s">
        <v>3571</v>
      </c>
      <c r="X193" s="1" t="s">
        <v>3572</v>
      </c>
      <c r="Y193" s="1" t="s">
        <v>3573</v>
      </c>
      <c r="Z193" s="1" t="s">
        <v>3574</v>
      </c>
      <c r="AA193" s="1" t="s">
        <v>3575</v>
      </c>
      <c r="AB193" s="1" t="s">
        <v>3576</v>
      </c>
      <c r="AC193" s="1" t="s">
        <v>3577</v>
      </c>
      <c r="AD193" s="1" t="s">
        <v>3578</v>
      </c>
      <c r="AE193" s="1" t="s">
        <v>3579</v>
      </c>
      <c r="AF193" s="1" t="s">
        <v>74</v>
      </c>
      <c r="AG193" s="1">
        <v>32</v>
      </c>
      <c r="AH193" s="1">
        <v>0</v>
      </c>
      <c r="AI193" s="1">
        <v>0</v>
      </c>
      <c r="AJ193" s="1">
        <v>0</v>
      </c>
      <c r="AK193" s="1">
        <v>5</v>
      </c>
      <c r="AL193" s="1" t="s">
        <v>3580</v>
      </c>
      <c r="AM193" s="1" t="s">
        <v>1312</v>
      </c>
      <c r="AN193" s="1" t="s">
        <v>3581</v>
      </c>
      <c r="AO193" s="1" t="s">
        <v>3582</v>
      </c>
      <c r="AP193" s="1" t="s">
        <v>74</v>
      </c>
      <c r="AQ193" s="1" t="s">
        <v>74</v>
      </c>
      <c r="AR193" s="1" t="s">
        <v>3583</v>
      </c>
      <c r="AS193" s="1" t="s">
        <v>3584</v>
      </c>
      <c r="AT193" s="1" t="s">
        <v>93</v>
      </c>
      <c r="AU193" s="1">
        <v>2016</v>
      </c>
      <c r="AV193" s="1">
        <v>48</v>
      </c>
      <c r="AW193" s="1">
        <v>2</v>
      </c>
      <c r="AX193" s="1" t="s">
        <v>74</v>
      </c>
      <c r="AY193" s="1" t="s">
        <v>74</v>
      </c>
      <c r="AZ193" s="1" t="s">
        <v>74</v>
      </c>
      <c r="BA193" s="1" t="s">
        <v>74</v>
      </c>
      <c r="BB193" s="1">
        <v>605</v>
      </c>
      <c r="BC193" s="1">
        <v>607</v>
      </c>
      <c r="BD193" s="1" t="s">
        <v>74</v>
      </c>
      <c r="BE193" s="1" t="s">
        <v>74</v>
      </c>
      <c r="BF193" s="1" t="s">
        <v>74</v>
      </c>
      <c r="BG193" s="1" t="s">
        <v>74</v>
      </c>
      <c r="BH193" s="1" t="s">
        <v>74</v>
      </c>
      <c r="BI193" s="1">
        <v>3</v>
      </c>
      <c r="BJ193" s="1" t="s">
        <v>2210</v>
      </c>
      <c r="BK193" s="1" t="s">
        <v>96</v>
      </c>
      <c r="BL193" s="1" t="s">
        <v>2210</v>
      </c>
      <c r="BM193" s="1" t="s">
        <v>3585</v>
      </c>
      <c r="BN193" s="1" t="s">
        <v>74</v>
      </c>
      <c r="BO193" s="1" t="s">
        <v>74</v>
      </c>
      <c r="BP193" s="1" t="s">
        <v>74</v>
      </c>
      <c r="BQ193" s="1" t="s">
        <v>74</v>
      </c>
      <c r="BR193" s="1" t="s">
        <v>98</v>
      </c>
      <c r="BS193" s="1" t="s">
        <v>3586</v>
      </c>
      <c r="BT193" s="1" t="str">
        <f>HYPERLINK("https%3A%2F%2Fwww.webofscience.com%2Fwos%2Fwoscc%2Ffull-record%2FWOS:000374719000043","View Full Record in Web of Science")</f>
        <v>View Full Record in Web of Science</v>
      </c>
    </row>
    <row r="194" spans="1:72">
      <c r="A194" s="1" t="s">
        <v>72</v>
      </c>
      <c r="B194" s="1" t="s">
        <v>3587</v>
      </c>
      <c r="C194" s="1" t="s">
        <v>74</v>
      </c>
      <c r="D194" s="1" t="s">
        <v>74</v>
      </c>
      <c r="E194" s="1" t="s">
        <v>74</v>
      </c>
      <c r="F194" s="1" t="s">
        <v>3587</v>
      </c>
      <c r="G194" s="1" t="s">
        <v>74</v>
      </c>
      <c r="H194" s="1" t="s">
        <v>74</v>
      </c>
      <c r="I194" s="1" t="s">
        <v>3588</v>
      </c>
      <c r="J194" s="1" t="s">
        <v>641</v>
      </c>
      <c r="K194" s="1" t="s">
        <v>74</v>
      </c>
      <c r="L194" s="1" t="s">
        <v>74</v>
      </c>
      <c r="M194" s="1" t="s">
        <v>78</v>
      </c>
      <c r="N194" s="1" t="s">
        <v>79</v>
      </c>
      <c r="O194" s="1" t="s">
        <v>74</v>
      </c>
      <c r="P194" s="1" t="s">
        <v>74</v>
      </c>
      <c r="Q194" s="1" t="s">
        <v>74</v>
      </c>
      <c r="R194" s="1" t="s">
        <v>74</v>
      </c>
      <c r="S194" s="1" t="s">
        <v>74</v>
      </c>
      <c r="T194" s="1" t="s">
        <v>3589</v>
      </c>
      <c r="U194" s="1" t="s">
        <v>3590</v>
      </c>
      <c r="V194" s="1" t="s">
        <v>3591</v>
      </c>
      <c r="W194" s="1" t="s">
        <v>3592</v>
      </c>
      <c r="X194" s="1" t="s">
        <v>3593</v>
      </c>
      <c r="Y194" s="1" t="s">
        <v>3594</v>
      </c>
      <c r="Z194" s="1" t="s">
        <v>3595</v>
      </c>
      <c r="AA194" s="1" t="s">
        <v>3596</v>
      </c>
      <c r="AB194" s="1" t="s">
        <v>3597</v>
      </c>
      <c r="AC194" s="1" t="s">
        <v>74</v>
      </c>
      <c r="AD194" s="1" t="s">
        <v>74</v>
      </c>
      <c r="AE194" s="1" t="s">
        <v>74</v>
      </c>
      <c r="AF194" s="1" t="s">
        <v>74</v>
      </c>
      <c r="AG194" s="1">
        <v>48</v>
      </c>
      <c r="AH194" s="1">
        <v>151</v>
      </c>
      <c r="AI194" s="1">
        <v>171</v>
      </c>
      <c r="AJ194" s="1">
        <v>5</v>
      </c>
      <c r="AK194" s="1">
        <v>37</v>
      </c>
      <c r="AL194" s="1" t="s">
        <v>919</v>
      </c>
      <c r="AM194" s="1" t="s">
        <v>651</v>
      </c>
      <c r="AN194" s="1" t="s">
        <v>920</v>
      </c>
      <c r="AO194" s="1" t="s">
        <v>653</v>
      </c>
      <c r="AP194" s="1" t="s">
        <v>654</v>
      </c>
      <c r="AQ194" s="1" t="s">
        <v>74</v>
      </c>
      <c r="AR194" s="1" t="s">
        <v>655</v>
      </c>
      <c r="AS194" s="1" t="s">
        <v>656</v>
      </c>
      <c r="AT194" s="1" t="s">
        <v>170</v>
      </c>
      <c r="AU194" s="1">
        <v>2002</v>
      </c>
      <c r="AV194" s="1">
        <v>57</v>
      </c>
      <c r="AW194" s="1">
        <v>3</v>
      </c>
      <c r="AX194" s="1" t="s">
        <v>74</v>
      </c>
      <c r="AY194" s="1" t="s">
        <v>74</v>
      </c>
      <c r="AZ194" s="1" t="s">
        <v>74</v>
      </c>
      <c r="BA194" s="1" t="s">
        <v>74</v>
      </c>
      <c r="BB194" s="1">
        <v>127</v>
      </c>
      <c r="BC194" s="1">
        <v>137</v>
      </c>
      <c r="BD194" s="1" t="s">
        <v>3598</v>
      </c>
      <c r="BE194" s="1" t="s">
        <v>3599</v>
      </c>
      <c r="BF194" s="1" t="str">
        <f>HYPERLINK("http://dx.doi.org/10.1016/S0166-445X(01)00192-8","http://dx.doi.org/10.1016/S0166-445X(01)00192-8")</f>
        <v>http://dx.doi.org/10.1016/S0166-445X(01)00192-8</v>
      </c>
      <c r="BG194" s="1" t="s">
        <v>74</v>
      </c>
      <c r="BH194" s="1" t="s">
        <v>74</v>
      </c>
      <c r="BI194" s="1">
        <v>11</v>
      </c>
      <c r="BJ194" s="1" t="s">
        <v>659</v>
      </c>
      <c r="BK194" s="1" t="s">
        <v>96</v>
      </c>
      <c r="BL194" s="1" t="s">
        <v>659</v>
      </c>
      <c r="BM194" s="1" t="s">
        <v>3600</v>
      </c>
      <c r="BN194" s="1">
        <v>11891002</v>
      </c>
      <c r="BO194" s="1" t="s">
        <v>74</v>
      </c>
      <c r="BP194" s="1" t="s">
        <v>74</v>
      </c>
      <c r="BQ194" s="1" t="s">
        <v>74</v>
      </c>
      <c r="BR194" s="1" t="s">
        <v>98</v>
      </c>
      <c r="BS194" s="1" t="s">
        <v>3601</v>
      </c>
      <c r="BT194" s="1" t="str">
        <f>HYPERLINK("https%3A%2F%2Fwww.webofscience.com%2Fwos%2Fwoscc%2Ffull-record%2FWOS:000174587200002","View Full Record in Web of Science")</f>
        <v>View Full Record in Web of Science</v>
      </c>
    </row>
    <row r="195" spans="1:72">
      <c r="A195" s="1" t="s">
        <v>72</v>
      </c>
      <c r="B195" s="1" t="s">
        <v>3602</v>
      </c>
      <c r="C195" s="1" t="s">
        <v>74</v>
      </c>
      <c r="D195" s="1" t="s">
        <v>74</v>
      </c>
      <c r="E195" s="1" t="s">
        <v>74</v>
      </c>
      <c r="F195" s="1" t="s">
        <v>3602</v>
      </c>
      <c r="G195" s="1" t="s">
        <v>74</v>
      </c>
      <c r="H195" s="1" t="s">
        <v>74</v>
      </c>
      <c r="I195" s="1" t="s">
        <v>3603</v>
      </c>
      <c r="J195" s="1" t="s">
        <v>232</v>
      </c>
      <c r="K195" s="1" t="s">
        <v>74</v>
      </c>
      <c r="L195" s="1" t="s">
        <v>74</v>
      </c>
      <c r="M195" s="1" t="s">
        <v>78</v>
      </c>
      <c r="N195" s="1" t="s">
        <v>151</v>
      </c>
      <c r="O195" s="1" t="s">
        <v>233</v>
      </c>
      <c r="P195" s="1" t="s">
        <v>234</v>
      </c>
      <c r="Q195" s="1" t="s">
        <v>235</v>
      </c>
      <c r="R195" s="1" t="s">
        <v>74</v>
      </c>
      <c r="S195" s="1" t="s">
        <v>74</v>
      </c>
      <c r="T195" s="1" t="s">
        <v>74</v>
      </c>
      <c r="U195" s="1" t="s">
        <v>3604</v>
      </c>
      <c r="V195" s="1" t="s">
        <v>3605</v>
      </c>
      <c r="W195" s="1" t="s">
        <v>74</v>
      </c>
      <c r="X195" s="1" t="s">
        <v>74</v>
      </c>
      <c r="Y195" s="1" t="s">
        <v>3606</v>
      </c>
      <c r="Z195" s="1" t="s">
        <v>74</v>
      </c>
      <c r="AA195" s="1" t="s">
        <v>3607</v>
      </c>
      <c r="AB195" s="1" t="s">
        <v>3608</v>
      </c>
      <c r="AC195" s="1" t="s">
        <v>74</v>
      </c>
      <c r="AD195" s="1" t="s">
        <v>74</v>
      </c>
      <c r="AE195" s="1" t="s">
        <v>74</v>
      </c>
      <c r="AF195" s="1" t="s">
        <v>74</v>
      </c>
      <c r="AG195" s="1">
        <v>31</v>
      </c>
      <c r="AH195" s="1">
        <v>45</v>
      </c>
      <c r="AI195" s="1">
        <v>55</v>
      </c>
      <c r="AJ195" s="1">
        <v>0</v>
      </c>
      <c r="AK195" s="1">
        <v>8</v>
      </c>
      <c r="AL195" s="1" t="s">
        <v>136</v>
      </c>
      <c r="AM195" s="1" t="s">
        <v>137</v>
      </c>
      <c r="AN195" s="1" t="s">
        <v>138</v>
      </c>
      <c r="AO195" s="1" t="s">
        <v>240</v>
      </c>
      <c r="AP195" s="1" t="s">
        <v>241</v>
      </c>
      <c r="AQ195" s="1" t="s">
        <v>74</v>
      </c>
      <c r="AR195" s="1" t="s">
        <v>242</v>
      </c>
      <c r="AS195" s="1" t="s">
        <v>243</v>
      </c>
      <c r="AT195" s="1" t="s">
        <v>244</v>
      </c>
      <c r="AU195" s="1">
        <v>1995</v>
      </c>
      <c r="AV195" s="1">
        <v>31</v>
      </c>
      <c r="AW195" s="1" t="s">
        <v>245</v>
      </c>
      <c r="AX195" s="1" t="s">
        <v>74</v>
      </c>
      <c r="AY195" s="1" t="s">
        <v>74</v>
      </c>
      <c r="AZ195" s="1" t="s">
        <v>74</v>
      </c>
      <c r="BA195" s="1" t="s">
        <v>74</v>
      </c>
      <c r="BB195" s="1">
        <v>439</v>
      </c>
      <c r="BC195" s="1">
        <v>445</v>
      </c>
      <c r="BD195" s="1" t="s">
        <v>74</v>
      </c>
      <c r="BE195" s="1" t="s">
        <v>3609</v>
      </c>
      <c r="BF195" s="1" t="str">
        <f>HYPERLINK("http://dx.doi.org/10.1016/0025-326X(95)00171-I","http://dx.doi.org/10.1016/0025-326X(95)00171-I")</f>
        <v>http://dx.doi.org/10.1016/0025-326X(95)00171-I</v>
      </c>
      <c r="BG195" s="1" t="s">
        <v>74</v>
      </c>
      <c r="BH195" s="1" t="s">
        <v>74</v>
      </c>
      <c r="BI195" s="1">
        <v>7</v>
      </c>
      <c r="BJ195" s="1" t="s">
        <v>247</v>
      </c>
      <c r="BK195" s="1" t="s">
        <v>172</v>
      </c>
      <c r="BL195" s="1" t="s">
        <v>248</v>
      </c>
      <c r="BM195" s="1" t="s">
        <v>249</v>
      </c>
      <c r="BN195" s="1" t="s">
        <v>74</v>
      </c>
      <c r="BO195" s="1" t="s">
        <v>74</v>
      </c>
      <c r="BP195" s="1" t="s">
        <v>74</v>
      </c>
      <c r="BQ195" s="1" t="s">
        <v>74</v>
      </c>
      <c r="BR195" s="1" t="s">
        <v>98</v>
      </c>
      <c r="BS195" s="1" t="s">
        <v>3610</v>
      </c>
      <c r="BT195" s="1" t="str">
        <f>HYPERLINK("https%3A%2F%2Fwww.webofscience.com%2Fwos%2Fwoscc%2Ffull-record%2FWOS:A1995TM84200044","View Full Record in Web of Science")</f>
        <v>View Full Record in Web of Science</v>
      </c>
    </row>
    <row r="196" spans="1:72">
      <c r="A196" s="1" t="s">
        <v>72</v>
      </c>
      <c r="B196" s="1" t="s">
        <v>3611</v>
      </c>
      <c r="C196" s="1" t="s">
        <v>74</v>
      </c>
      <c r="D196" s="1" t="s">
        <v>74</v>
      </c>
      <c r="E196" s="1" t="s">
        <v>74</v>
      </c>
      <c r="F196" s="1" t="s">
        <v>3611</v>
      </c>
      <c r="G196" s="1" t="s">
        <v>74</v>
      </c>
      <c r="H196" s="1" t="s">
        <v>74</v>
      </c>
      <c r="I196" s="1" t="s">
        <v>3612</v>
      </c>
      <c r="J196" s="1" t="s">
        <v>641</v>
      </c>
      <c r="K196" s="1" t="s">
        <v>74</v>
      </c>
      <c r="L196" s="1" t="s">
        <v>74</v>
      </c>
      <c r="M196" s="1" t="s">
        <v>78</v>
      </c>
      <c r="N196" s="1" t="s">
        <v>79</v>
      </c>
      <c r="O196" s="1" t="s">
        <v>74</v>
      </c>
      <c r="P196" s="1" t="s">
        <v>74</v>
      </c>
      <c r="Q196" s="1" t="s">
        <v>74</v>
      </c>
      <c r="R196" s="1" t="s">
        <v>74</v>
      </c>
      <c r="S196" s="1" t="s">
        <v>74</v>
      </c>
      <c r="T196" s="1" t="s">
        <v>3613</v>
      </c>
      <c r="U196" s="1" t="s">
        <v>3614</v>
      </c>
      <c r="V196" s="1" t="s">
        <v>3615</v>
      </c>
      <c r="W196" s="1" t="s">
        <v>3616</v>
      </c>
      <c r="X196" s="1" t="s">
        <v>3617</v>
      </c>
      <c r="Y196" s="1" t="s">
        <v>3618</v>
      </c>
      <c r="Z196" s="1" t="s">
        <v>3619</v>
      </c>
      <c r="AA196" s="1" t="s">
        <v>74</v>
      </c>
      <c r="AB196" s="1" t="s">
        <v>74</v>
      </c>
      <c r="AC196" s="1" t="s">
        <v>74</v>
      </c>
      <c r="AD196" s="1" t="s">
        <v>74</v>
      </c>
      <c r="AE196" s="1" t="s">
        <v>74</v>
      </c>
      <c r="AF196" s="1" t="s">
        <v>74</v>
      </c>
      <c r="AG196" s="1">
        <v>53</v>
      </c>
      <c r="AH196" s="1">
        <v>82</v>
      </c>
      <c r="AI196" s="1">
        <v>89</v>
      </c>
      <c r="AJ196" s="1">
        <v>0</v>
      </c>
      <c r="AK196" s="1">
        <v>9</v>
      </c>
      <c r="AL196" s="1" t="s">
        <v>919</v>
      </c>
      <c r="AM196" s="1" t="s">
        <v>651</v>
      </c>
      <c r="AN196" s="1" t="s">
        <v>920</v>
      </c>
      <c r="AO196" s="1" t="s">
        <v>653</v>
      </c>
      <c r="AP196" s="1" t="s">
        <v>654</v>
      </c>
      <c r="AQ196" s="1" t="s">
        <v>74</v>
      </c>
      <c r="AR196" s="1" t="s">
        <v>655</v>
      </c>
      <c r="AS196" s="1" t="s">
        <v>656</v>
      </c>
      <c r="AT196" s="1" t="s">
        <v>142</v>
      </c>
      <c r="AU196" s="1">
        <v>2002</v>
      </c>
      <c r="AV196" s="1">
        <v>57</v>
      </c>
      <c r="AW196" s="1">
        <v>4</v>
      </c>
      <c r="AX196" s="1" t="s">
        <v>74</v>
      </c>
      <c r="AY196" s="1" t="s">
        <v>74</v>
      </c>
      <c r="AZ196" s="1" t="s">
        <v>74</v>
      </c>
      <c r="BA196" s="1" t="s">
        <v>74</v>
      </c>
      <c r="BB196" s="1">
        <v>225</v>
      </c>
      <c r="BC196" s="1">
        <v>242</v>
      </c>
      <c r="BD196" s="1" t="s">
        <v>3620</v>
      </c>
      <c r="BE196" s="1" t="s">
        <v>3621</v>
      </c>
      <c r="BF196" s="1" t="str">
        <f>HYPERLINK("http://dx.doi.org/10.1016/S0166-445X(01)00201-6","http://dx.doi.org/10.1016/S0166-445X(01)00201-6")</f>
        <v>http://dx.doi.org/10.1016/S0166-445X(01)00201-6</v>
      </c>
      <c r="BG196" s="1" t="s">
        <v>74</v>
      </c>
      <c r="BH196" s="1" t="s">
        <v>74</v>
      </c>
      <c r="BI196" s="1">
        <v>18</v>
      </c>
      <c r="BJ196" s="1" t="s">
        <v>659</v>
      </c>
      <c r="BK196" s="1" t="s">
        <v>96</v>
      </c>
      <c r="BL196" s="1" t="s">
        <v>659</v>
      </c>
      <c r="BM196" s="1" t="s">
        <v>3622</v>
      </c>
      <c r="BN196" s="1">
        <v>11932003</v>
      </c>
      <c r="BO196" s="1" t="s">
        <v>74</v>
      </c>
      <c r="BP196" s="1" t="s">
        <v>74</v>
      </c>
      <c r="BQ196" s="1" t="s">
        <v>74</v>
      </c>
      <c r="BR196" s="1" t="s">
        <v>98</v>
      </c>
      <c r="BS196" s="1" t="s">
        <v>3623</v>
      </c>
      <c r="BT196" s="1" t="str">
        <f>HYPERLINK("https%3A%2F%2Fwww.webofscience.com%2Fwos%2Fwoscc%2Ffull-record%2FWOS:000175173500003","View Full Record in Web of Science")</f>
        <v>View Full Record in Web of Science</v>
      </c>
    </row>
    <row r="197" spans="1:72">
      <c r="A197" s="1" t="s">
        <v>72</v>
      </c>
      <c r="B197" s="1" t="s">
        <v>3624</v>
      </c>
      <c r="C197" s="1" t="s">
        <v>74</v>
      </c>
      <c r="D197" s="1" t="s">
        <v>74</v>
      </c>
      <c r="E197" s="1" t="s">
        <v>74</v>
      </c>
      <c r="F197" s="1" t="s">
        <v>3625</v>
      </c>
      <c r="G197" s="1" t="s">
        <v>74</v>
      </c>
      <c r="H197" s="1" t="s">
        <v>74</v>
      </c>
      <c r="I197" s="1" t="s">
        <v>3626</v>
      </c>
      <c r="J197" s="1" t="s">
        <v>554</v>
      </c>
      <c r="K197" s="1" t="s">
        <v>74</v>
      </c>
      <c r="L197" s="1" t="s">
        <v>74</v>
      </c>
      <c r="M197" s="1" t="s">
        <v>78</v>
      </c>
      <c r="N197" s="1" t="s">
        <v>79</v>
      </c>
      <c r="O197" s="1" t="s">
        <v>74</v>
      </c>
      <c r="P197" s="1" t="s">
        <v>74</v>
      </c>
      <c r="Q197" s="1" t="s">
        <v>74</v>
      </c>
      <c r="R197" s="1" t="s">
        <v>74</v>
      </c>
      <c r="S197" s="1" t="s">
        <v>74</v>
      </c>
      <c r="T197" s="1" t="s">
        <v>3627</v>
      </c>
      <c r="U197" s="1" t="s">
        <v>3628</v>
      </c>
      <c r="V197" s="1" t="s">
        <v>3629</v>
      </c>
      <c r="W197" s="1" t="s">
        <v>3630</v>
      </c>
      <c r="X197" s="1" t="s">
        <v>3631</v>
      </c>
      <c r="Y197" s="1" t="s">
        <v>3632</v>
      </c>
      <c r="Z197" s="1" t="s">
        <v>3633</v>
      </c>
      <c r="AA197" s="1" t="s">
        <v>3634</v>
      </c>
      <c r="AB197" s="1" t="s">
        <v>3635</v>
      </c>
      <c r="AC197" s="1" t="s">
        <v>3636</v>
      </c>
      <c r="AD197" s="1" t="s">
        <v>3637</v>
      </c>
      <c r="AE197" s="1" t="s">
        <v>3638</v>
      </c>
      <c r="AF197" s="1" t="s">
        <v>74</v>
      </c>
      <c r="AG197" s="1">
        <v>83</v>
      </c>
      <c r="AH197" s="1">
        <v>116</v>
      </c>
      <c r="AI197" s="1">
        <v>139</v>
      </c>
      <c r="AJ197" s="1">
        <v>0</v>
      </c>
      <c r="AK197" s="1">
        <v>52</v>
      </c>
      <c r="AL197" s="1" t="s">
        <v>564</v>
      </c>
      <c r="AM197" s="1" t="s">
        <v>113</v>
      </c>
      <c r="AN197" s="1" t="s">
        <v>807</v>
      </c>
      <c r="AO197" s="1" t="s">
        <v>566</v>
      </c>
      <c r="AP197" s="1" t="s">
        <v>567</v>
      </c>
      <c r="AQ197" s="1" t="s">
        <v>74</v>
      </c>
      <c r="AR197" s="1" t="s">
        <v>568</v>
      </c>
      <c r="AS197" s="1" t="s">
        <v>569</v>
      </c>
      <c r="AT197" s="1" t="s">
        <v>93</v>
      </c>
      <c r="AU197" s="1">
        <v>2009</v>
      </c>
      <c r="AV197" s="1">
        <v>149</v>
      </c>
      <c r="AW197" s="1">
        <v>3</v>
      </c>
      <c r="AX197" s="1" t="s">
        <v>74</v>
      </c>
      <c r="AY197" s="1" t="s">
        <v>74</v>
      </c>
      <c r="AZ197" s="1" t="s">
        <v>74</v>
      </c>
      <c r="BA197" s="1" t="s">
        <v>74</v>
      </c>
      <c r="BB197" s="1">
        <v>281</v>
      </c>
      <c r="BC197" s="1">
        <v>288</v>
      </c>
      <c r="BD197" s="1" t="s">
        <v>74</v>
      </c>
      <c r="BE197" s="1" t="s">
        <v>3639</v>
      </c>
      <c r="BF197" s="1" t="str">
        <f>HYPERLINK("http://dx.doi.org/10.1016/j.cbpc.2008.07.012","http://dx.doi.org/10.1016/j.cbpc.2008.07.012")</f>
        <v>http://dx.doi.org/10.1016/j.cbpc.2008.07.012</v>
      </c>
      <c r="BG197" s="1" t="s">
        <v>74</v>
      </c>
      <c r="BH197" s="1" t="s">
        <v>74</v>
      </c>
      <c r="BI197" s="1">
        <v>8</v>
      </c>
      <c r="BJ197" s="1" t="s">
        <v>571</v>
      </c>
      <c r="BK197" s="1" t="s">
        <v>96</v>
      </c>
      <c r="BL197" s="1" t="s">
        <v>571</v>
      </c>
      <c r="BM197" s="1" t="s">
        <v>3640</v>
      </c>
      <c r="BN197" s="1">
        <v>18723121</v>
      </c>
      <c r="BO197" s="1" t="s">
        <v>74</v>
      </c>
      <c r="BP197" s="1" t="s">
        <v>74</v>
      </c>
      <c r="BQ197" s="1" t="s">
        <v>74</v>
      </c>
      <c r="BR197" s="1" t="s">
        <v>98</v>
      </c>
      <c r="BS197" s="1" t="s">
        <v>3641</v>
      </c>
      <c r="BT197" s="1" t="str">
        <f>HYPERLINK("https%3A%2F%2Fwww.webofscience.com%2Fwos%2Fwoscc%2Ffull-record%2FWOS:000264699400004","View Full Record in Web of Science")</f>
        <v>View Full Record in Web of Science</v>
      </c>
    </row>
    <row r="198" spans="1:72">
      <c r="A198" s="1" t="s">
        <v>72</v>
      </c>
      <c r="B198" s="1" t="s">
        <v>3642</v>
      </c>
      <c r="C198" s="1" t="s">
        <v>74</v>
      </c>
      <c r="D198" s="1" t="s">
        <v>74</v>
      </c>
      <c r="E198" s="1" t="s">
        <v>74</v>
      </c>
      <c r="F198" s="1" t="s">
        <v>3643</v>
      </c>
      <c r="G198" s="1" t="s">
        <v>74</v>
      </c>
      <c r="H198" s="1" t="s">
        <v>74</v>
      </c>
      <c r="I198" s="1" t="s">
        <v>3644</v>
      </c>
      <c r="J198" s="1" t="s">
        <v>232</v>
      </c>
      <c r="K198" s="1" t="s">
        <v>74</v>
      </c>
      <c r="L198" s="1" t="s">
        <v>74</v>
      </c>
      <c r="M198" s="1" t="s">
        <v>78</v>
      </c>
      <c r="N198" s="1" t="s">
        <v>79</v>
      </c>
      <c r="O198" s="1" t="s">
        <v>74</v>
      </c>
      <c r="P198" s="1" t="s">
        <v>74</v>
      </c>
      <c r="Q198" s="1" t="s">
        <v>74</v>
      </c>
      <c r="R198" s="1" t="s">
        <v>74</v>
      </c>
      <c r="S198" s="1" t="s">
        <v>74</v>
      </c>
      <c r="T198" s="1" t="s">
        <v>3645</v>
      </c>
      <c r="U198" s="1" t="s">
        <v>3646</v>
      </c>
      <c r="V198" s="1" t="s">
        <v>3647</v>
      </c>
      <c r="W198" s="1" t="s">
        <v>3648</v>
      </c>
      <c r="X198" s="1" t="s">
        <v>3649</v>
      </c>
      <c r="Y198" s="1" t="s">
        <v>3650</v>
      </c>
      <c r="Z198" s="1" t="s">
        <v>3651</v>
      </c>
      <c r="AA198" s="1" t="s">
        <v>74</v>
      </c>
      <c r="AB198" s="1" t="s">
        <v>74</v>
      </c>
      <c r="AC198" s="1" t="s">
        <v>74</v>
      </c>
      <c r="AD198" s="1" t="s">
        <v>74</v>
      </c>
      <c r="AE198" s="1" t="s">
        <v>74</v>
      </c>
      <c r="AF198" s="1" t="s">
        <v>74</v>
      </c>
      <c r="AG198" s="1">
        <v>50</v>
      </c>
      <c r="AH198" s="1">
        <v>39</v>
      </c>
      <c r="AI198" s="1">
        <v>52</v>
      </c>
      <c r="AJ198" s="1">
        <v>1</v>
      </c>
      <c r="AK198" s="1">
        <v>56</v>
      </c>
      <c r="AL198" s="1" t="s">
        <v>136</v>
      </c>
      <c r="AM198" s="1" t="s">
        <v>137</v>
      </c>
      <c r="AN198" s="1" t="s">
        <v>138</v>
      </c>
      <c r="AO198" s="1" t="s">
        <v>240</v>
      </c>
      <c r="AP198" s="1" t="s">
        <v>241</v>
      </c>
      <c r="AQ198" s="1" t="s">
        <v>74</v>
      </c>
      <c r="AR198" s="1" t="s">
        <v>242</v>
      </c>
      <c r="AS198" s="1" t="s">
        <v>243</v>
      </c>
      <c r="AT198" s="1" t="s">
        <v>951</v>
      </c>
      <c r="AU198" s="1">
        <v>2012</v>
      </c>
      <c r="AV198" s="1">
        <v>64</v>
      </c>
      <c r="AW198" s="1">
        <v>11</v>
      </c>
      <c r="AX198" s="1" t="s">
        <v>74</v>
      </c>
      <c r="AY198" s="1" t="s">
        <v>74</v>
      </c>
      <c r="AZ198" s="1" t="s">
        <v>74</v>
      </c>
      <c r="BA198" s="1" t="s">
        <v>74</v>
      </c>
      <c r="BB198" s="1">
        <v>2399</v>
      </c>
      <c r="BC198" s="1">
        <v>2408</v>
      </c>
      <c r="BD198" s="1" t="s">
        <v>74</v>
      </c>
      <c r="BE198" s="1" t="s">
        <v>3652</v>
      </c>
      <c r="BF198" s="1" t="str">
        <f>HYPERLINK("http://dx.doi.org/10.1016/j.marpolbul.2012.08.006","http://dx.doi.org/10.1016/j.marpolbul.2012.08.006")</f>
        <v>http://dx.doi.org/10.1016/j.marpolbul.2012.08.006</v>
      </c>
      <c r="BG198" s="1" t="s">
        <v>74</v>
      </c>
      <c r="BH198" s="1" t="s">
        <v>74</v>
      </c>
      <c r="BI198" s="1">
        <v>10</v>
      </c>
      <c r="BJ198" s="1" t="s">
        <v>247</v>
      </c>
      <c r="BK198" s="1" t="s">
        <v>96</v>
      </c>
      <c r="BL198" s="1" t="s">
        <v>248</v>
      </c>
      <c r="BM198" s="1" t="s">
        <v>3653</v>
      </c>
      <c r="BN198" s="1">
        <v>22938653</v>
      </c>
      <c r="BO198" s="1" t="s">
        <v>74</v>
      </c>
      <c r="BP198" s="1" t="s">
        <v>74</v>
      </c>
      <c r="BQ198" s="1" t="s">
        <v>74</v>
      </c>
      <c r="BR198" s="1" t="s">
        <v>98</v>
      </c>
      <c r="BS198" s="1" t="s">
        <v>3654</v>
      </c>
      <c r="BT198" s="1" t="str">
        <f>HYPERLINK("https%3A%2F%2Fwww.webofscience.com%2Fwos%2Fwoscc%2Ffull-record%2FWOS:000312418100028","View Full Record in Web of Science")</f>
        <v>View Full Record in Web of Science</v>
      </c>
    </row>
    <row r="199" spans="1:72">
      <c r="A199" s="1" t="s">
        <v>72</v>
      </c>
      <c r="B199" s="1" t="s">
        <v>3655</v>
      </c>
      <c r="C199" s="1" t="s">
        <v>74</v>
      </c>
      <c r="D199" s="1" t="s">
        <v>74</v>
      </c>
      <c r="E199" s="1" t="s">
        <v>74</v>
      </c>
      <c r="F199" s="1" t="s">
        <v>3656</v>
      </c>
      <c r="G199" s="1" t="s">
        <v>74</v>
      </c>
      <c r="H199" s="1" t="s">
        <v>74</v>
      </c>
      <c r="I199" s="1" t="s">
        <v>3657</v>
      </c>
      <c r="J199" s="1" t="s">
        <v>232</v>
      </c>
      <c r="K199" s="1" t="s">
        <v>74</v>
      </c>
      <c r="L199" s="1" t="s">
        <v>74</v>
      </c>
      <c r="M199" s="1" t="s">
        <v>78</v>
      </c>
      <c r="N199" s="1" t="s">
        <v>79</v>
      </c>
      <c r="O199" s="1" t="s">
        <v>74</v>
      </c>
      <c r="P199" s="1" t="s">
        <v>74</v>
      </c>
      <c r="Q199" s="1" t="s">
        <v>74</v>
      </c>
      <c r="R199" s="1" t="s">
        <v>74</v>
      </c>
      <c r="S199" s="1" t="s">
        <v>74</v>
      </c>
      <c r="T199" s="1" t="s">
        <v>3658</v>
      </c>
      <c r="U199" s="1" t="s">
        <v>3659</v>
      </c>
      <c r="V199" s="1" t="s">
        <v>3660</v>
      </c>
      <c r="W199" s="1" t="s">
        <v>3661</v>
      </c>
      <c r="X199" s="1" t="s">
        <v>3662</v>
      </c>
      <c r="Y199" s="1" t="s">
        <v>3663</v>
      </c>
      <c r="Z199" s="1" t="s">
        <v>3664</v>
      </c>
      <c r="AA199" s="1" t="s">
        <v>3665</v>
      </c>
      <c r="AB199" s="1" t="s">
        <v>3666</v>
      </c>
      <c r="AC199" s="1" t="s">
        <v>3667</v>
      </c>
      <c r="AD199" s="1" t="s">
        <v>3667</v>
      </c>
      <c r="AE199" s="1" t="s">
        <v>3668</v>
      </c>
      <c r="AF199" s="1" t="s">
        <v>74</v>
      </c>
      <c r="AG199" s="1">
        <v>67</v>
      </c>
      <c r="AH199" s="1">
        <v>50</v>
      </c>
      <c r="AI199" s="1">
        <v>54</v>
      </c>
      <c r="AJ199" s="1">
        <v>3</v>
      </c>
      <c r="AK199" s="1">
        <v>34</v>
      </c>
      <c r="AL199" s="1" t="s">
        <v>136</v>
      </c>
      <c r="AM199" s="1" t="s">
        <v>137</v>
      </c>
      <c r="AN199" s="1" t="s">
        <v>138</v>
      </c>
      <c r="AO199" s="1" t="s">
        <v>240</v>
      </c>
      <c r="AP199" s="1" t="s">
        <v>241</v>
      </c>
      <c r="AQ199" s="1" t="s">
        <v>74</v>
      </c>
      <c r="AR199" s="1" t="s">
        <v>242</v>
      </c>
      <c r="AS199" s="1" t="s">
        <v>243</v>
      </c>
      <c r="AT199" s="1" t="s">
        <v>119</v>
      </c>
      <c r="AU199" s="1">
        <v>2018</v>
      </c>
      <c r="AV199" s="1">
        <v>133</v>
      </c>
      <c r="AW199" s="1" t="s">
        <v>74</v>
      </c>
      <c r="AX199" s="1" t="s">
        <v>74</v>
      </c>
      <c r="AY199" s="1" t="s">
        <v>74</v>
      </c>
      <c r="AZ199" s="1" t="s">
        <v>74</v>
      </c>
      <c r="BA199" s="1" t="s">
        <v>74</v>
      </c>
      <c r="BB199" s="1">
        <v>664</v>
      </c>
      <c r="BC199" s="1">
        <v>670</v>
      </c>
      <c r="BD199" s="1" t="s">
        <v>74</v>
      </c>
      <c r="BE199" s="1" t="s">
        <v>3669</v>
      </c>
      <c r="BF199" s="1" t="str">
        <f>HYPERLINK("http://dx.doi.org/10.1016/j.marpolbul.2018.06.029","http://dx.doi.org/10.1016/j.marpolbul.2018.06.029")</f>
        <v>http://dx.doi.org/10.1016/j.marpolbul.2018.06.029</v>
      </c>
      <c r="BG199" s="1" t="s">
        <v>74</v>
      </c>
      <c r="BH199" s="1" t="s">
        <v>74</v>
      </c>
      <c r="BI199" s="1">
        <v>7</v>
      </c>
      <c r="BJ199" s="1" t="s">
        <v>247</v>
      </c>
      <c r="BK199" s="1" t="s">
        <v>96</v>
      </c>
      <c r="BL199" s="1" t="s">
        <v>248</v>
      </c>
      <c r="BM199" s="1" t="s">
        <v>3670</v>
      </c>
      <c r="BN199" s="1">
        <v>30041363</v>
      </c>
      <c r="BO199" s="1" t="s">
        <v>74</v>
      </c>
      <c r="BP199" s="1" t="s">
        <v>74</v>
      </c>
      <c r="BQ199" s="1" t="s">
        <v>74</v>
      </c>
      <c r="BR199" s="1" t="s">
        <v>98</v>
      </c>
      <c r="BS199" s="1" t="s">
        <v>3671</v>
      </c>
      <c r="BT199" s="1" t="str">
        <f>HYPERLINK("https%3A%2F%2Fwww.webofscience.com%2Fwos%2Fwoscc%2Ffull-record%2FWOS:000441853600072","View Full Record in Web of Science")</f>
        <v>View Full Record in Web of Science</v>
      </c>
    </row>
    <row r="200" spans="1:72">
      <c r="A200" s="1" t="s">
        <v>72</v>
      </c>
      <c r="B200" s="1" t="s">
        <v>3672</v>
      </c>
      <c r="C200" s="1" t="s">
        <v>74</v>
      </c>
      <c r="D200" s="1" t="s">
        <v>74</v>
      </c>
      <c r="E200" s="1" t="s">
        <v>74</v>
      </c>
      <c r="F200" s="1" t="s">
        <v>3673</v>
      </c>
      <c r="G200" s="1" t="s">
        <v>74</v>
      </c>
      <c r="H200" s="1" t="s">
        <v>74</v>
      </c>
      <c r="I200" s="1" t="s">
        <v>3674</v>
      </c>
      <c r="J200" s="1" t="s">
        <v>704</v>
      </c>
      <c r="K200" s="1" t="s">
        <v>74</v>
      </c>
      <c r="L200" s="1" t="s">
        <v>74</v>
      </c>
      <c r="M200" s="1" t="s">
        <v>78</v>
      </c>
      <c r="N200" s="1" t="s">
        <v>79</v>
      </c>
      <c r="O200" s="1" t="s">
        <v>74</v>
      </c>
      <c r="P200" s="1" t="s">
        <v>74</v>
      </c>
      <c r="Q200" s="1" t="s">
        <v>74</v>
      </c>
      <c r="R200" s="1" t="s">
        <v>74</v>
      </c>
      <c r="S200" s="1" t="s">
        <v>74</v>
      </c>
      <c r="T200" s="1" t="s">
        <v>3675</v>
      </c>
      <c r="U200" s="1" t="s">
        <v>3676</v>
      </c>
      <c r="V200" s="1" t="s">
        <v>3677</v>
      </c>
      <c r="W200" s="1" t="s">
        <v>3678</v>
      </c>
      <c r="X200" s="1" t="s">
        <v>3679</v>
      </c>
      <c r="Y200" s="1" t="s">
        <v>3680</v>
      </c>
      <c r="Z200" s="1" t="s">
        <v>3681</v>
      </c>
      <c r="AA200" s="1" t="s">
        <v>74</v>
      </c>
      <c r="AB200" s="1" t="s">
        <v>74</v>
      </c>
      <c r="AC200" s="1" t="s">
        <v>3682</v>
      </c>
      <c r="AD200" s="1" t="s">
        <v>3683</v>
      </c>
      <c r="AE200" s="1" t="s">
        <v>3684</v>
      </c>
      <c r="AF200" s="1" t="s">
        <v>74</v>
      </c>
      <c r="AG200" s="1">
        <v>36</v>
      </c>
      <c r="AH200" s="1">
        <v>9</v>
      </c>
      <c r="AI200" s="1">
        <v>10</v>
      </c>
      <c r="AJ200" s="1">
        <v>0</v>
      </c>
      <c r="AK200" s="1">
        <v>45</v>
      </c>
      <c r="AL200" s="1" t="s">
        <v>112</v>
      </c>
      <c r="AM200" s="1" t="s">
        <v>191</v>
      </c>
      <c r="AN200" s="1" t="s">
        <v>192</v>
      </c>
      <c r="AO200" s="1" t="s">
        <v>718</v>
      </c>
      <c r="AP200" s="1" t="s">
        <v>1169</v>
      </c>
      <c r="AQ200" s="1" t="s">
        <v>74</v>
      </c>
      <c r="AR200" s="1" t="s">
        <v>719</v>
      </c>
      <c r="AS200" s="1" t="s">
        <v>720</v>
      </c>
      <c r="AT200" s="1" t="s">
        <v>305</v>
      </c>
      <c r="AU200" s="1">
        <v>2016</v>
      </c>
      <c r="AV200" s="1">
        <v>227</v>
      </c>
      <c r="AW200" s="1">
        <v>9</v>
      </c>
      <c r="AX200" s="1" t="s">
        <v>74</v>
      </c>
      <c r="AY200" s="1" t="s">
        <v>74</v>
      </c>
      <c r="AZ200" s="1" t="s">
        <v>74</v>
      </c>
      <c r="BA200" s="1" t="s">
        <v>74</v>
      </c>
      <c r="BB200" s="1" t="s">
        <v>74</v>
      </c>
      <c r="BC200" s="1" t="s">
        <v>74</v>
      </c>
      <c r="BD200" s="1">
        <v>298</v>
      </c>
      <c r="BE200" s="1" t="s">
        <v>3685</v>
      </c>
      <c r="BF200" s="1" t="str">
        <f>HYPERLINK("http://dx.doi.org/10.1007/s11270-016-2975-z","http://dx.doi.org/10.1007/s11270-016-2975-z")</f>
        <v>http://dx.doi.org/10.1007/s11270-016-2975-z</v>
      </c>
      <c r="BG200" s="1" t="s">
        <v>74</v>
      </c>
      <c r="BH200" s="1" t="s">
        <v>74</v>
      </c>
      <c r="BI200" s="1">
        <v>11</v>
      </c>
      <c r="BJ200" s="1" t="s">
        <v>722</v>
      </c>
      <c r="BK200" s="1" t="s">
        <v>96</v>
      </c>
      <c r="BL200" s="1" t="s">
        <v>723</v>
      </c>
      <c r="BM200" s="1" t="s">
        <v>3686</v>
      </c>
      <c r="BN200" s="1" t="s">
        <v>74</v>
      </c>
      <c r="BO200" s="1" t="s">
        <v>74</v>
      </c>
      <c r="BP200" s="1" t="s">
        <v>74</v>
      </c>
      <c r="BQ200" s="1" t="s">
        <v>74</v>
      </c>
      <c r="BR200" s="1" t="s">
        <v>98</v>
      </c>
      <c r="BS200" s="1" t="s">
        <v>3687</v>
      </c>
      <c r="BT200" s="1" t="str">
        <f>HYPERLINK("https%3A%2F%2Fwww.webofscience.com%2Fwos%2Fwoscc%2Ffull-record%2FWOS:000382761400006","View Full Record in Web of Science")</f>
        <v>View Full Record in Web of Science</v>
      </c>
    </row>
    <row r="201" spans="1:72">
      <c r="A201" s="1" t="s">
        <v>72</v>
      </c>
      <c r="B201" s="1" t="s">
        <v>3688</v>
      </c>
      <c r="C201" s="1" t="s">
        <v>74</v>
      </c>
      <c r="D201" s="1" t="s">
        <v>74</v>
      </c>
      <c r="E201" s="1" t="s">
        <v>74</v>
      </c>
      <c r="F201" s="1" t="s">
        <v>3688</v>
      </c>
      <c r="G201" s="1" t="s">
        <v>74</v>
      </c>
      <c r="H201" s="1" t="s">
        <v>74</v>
      </c>
      <c r="I201" s="1" t="s">
        <v>3689</v>
      </c>
      <c r="J201" s="1" t="s">
        <v>1756</v>
      </c>
      <c r="K201" s="1" t="s">
        <v>74</v>
      </c>
      <c r="L201" s="1" t="s">
        <v>74</v>
      </c>
      <c r="M201" s="1" t="s">
        <v>78</v>
      </c>
      <c r="N201" s="1" t="s">
        <v>79</v>
      </c>
      <c r="O201" s="1" t="s">
        <v>74</v>
      </c>
      <c r="P201" s="1" t="s">
        <v>74</v>
      </c>
      <c r="Q201" s="1" t="s">
        <v>74</v>
      </c>
      <c r="R201" s="1" t="s">
        <v>74</v>
      </c>
      <c r="S201" s="1" t="s">
        <v>74</v>
      </c>
      <c r="T201" s="1" t="s">
        <v>3690</v>
      </c>
      <c r="U201" s="1" t="s">
        <v>3691</v>
      </c>
      <c r="V201" s="1" t="s">
        <v>3692</v>
      </c>
      <c r="W201" s="1" t="s">
        <v>3693</v>
      </c>
      <c r="X201" s="1" t="s">
        <v>3694</v>
      </c>
      <c r="Y201" s="1" t="s">
        <v>3695</v>
      </c>
      <c r="Z201" s="1" t="s">
        <v>3696</v>
      </c>
      <c r="AA201" s="1" t="s">
        <v>1689</v>
      </c>
      <c r="AB201" s="1" t="s">
        <v>649</v>
      </c>
      <c r="AC201" s="1" t="s">
        <v>74</v>
      </c>
      <c r="AD201" s="1" t="s">
        <v>74</v>
      </c>
      <c r="AE201" s="1" t="s">
        <v>74</v>
      </c>
      <c r="AF201" s="1" t="s">
        <v>74</v>
      </c>
      <c r="AG201" s="1">
        <v>41</v>
      </c>
      <c r="AH201" s="1">
        <v>61</v>
      </c>
      <c r="AI201" s="1">
        <v>68</v>
      </c>
      <c r="AJ201" s="1">
        <v>0</v>
      </c>
      <c r="AK201" s="1">
        <v>26</v>
      </c>
      <c r="AL201" s="1" t="s">
        <v>86</v>
      </c>
      <c r="AM201" s="1" t="s">
        <v>87</v>
      </c>
      <c r="AN201" s="1" t="s">
        <v>88</v>
      </c>
      <c r="AO201" s="1" t="s">
        <v>1764</v>
      </c>
      <c r="AP201" s="1" t="s">
        <v>1765</v>
      </c>
      <c r="AQ201" s="1" t="s">
        <v>74</v>
      </c>
      <c r="AR201" s="1" t="s">
        <v>1766</v>
      </c>
      <c r="AS201" s="1" t="s">
        <v>1767</v>
      </c>
      <c r="AT201" s="1" t="s">
        <v>951</v>
      </c>
      <c r="AU201" s="1">
        <v>1999</v>
      </c>
      <c r="AV201" s="1">
        <v>18</v>
      </c>
      <c r="AW201" s="1">
        <v>11</v>
      </c>
      <c r="AX201" s="1" t="s">
        <v>74</v>
      </c>
      <c r="AY201" s="1" t="s">
        <v>74</v>
      </c>
      <c r="AZ201" s="1" t="s">
        <v>74</v>
      </c>
      <c r="BA201" s="1" t="s">
        <v>74</v>
      </c>
      <c r="BB201" s="1">
        <v>2462</v>
      </c>
      <c r="BC201" s="1">
        <v>2471</v>
      </c>
      <c r="BD201" s="1" t="s">
        <v>74</v>
      </c>
      <c r="BE201" s="1" t="s">
        <v>3697</v>
      </c>
      <c r="BF201" s="1" t="str">
        <f>HYPERLINK("http://dx.doi.org/10.1002/etc.5620181112","http://dx.doi.org/10.1002/etc.5620181112")</f>
        <v>http://dx.doi.org/10.1002/etc.5620181112</v>
      </c>
      <c r="BG201" s="1" t="s">
        <v>74</v>
      </c>
      <c r="BH201" s="1" t="s">
        <v>74</v>
      </c>
      <c r="BI201" s="1">
        <v>10</v>
      </c>
      <c r="BJ201" s="1" t="s">
        <v>121</v>
      </c>
      <c r="BK201" s="1" t="s">
        <v>96</v>
      </c>
      <c r="BL201" s="1" t="s">
        <v>122</v>
      </c>
      <c r="BM201" s="1" t="s">
        <v>3698</v>
      </c>
      <c r="BN201" s="1" t="s">
        <v>74</v>
      </c>
      <c r="BO201" s="1" t="s">
        <v>74</v>
      </c>
      <c r="BP201" s="1" t="s">
        <v>74</v>
      </c>
      <c r="BQ201" s="1" t="s">
        <v>74</v>
      </c>
      <c r="BR201" s="1" t="s">
        <v>98</v>
      </c>
      <c r="BS201" s="1" t="s">
        <v>3699</v>
      </c>
      <c r="BT201" s="1" t="str">
        <f>HYPERLINK("https%3A%2F%2Fwww.webofscience.com%2Fwos%2Fwoscc%2Ffull-record%2FWOS:000083271100012","View Full Record in Web of Science")</f>
        <v>View Full Record in Web of Science</v>
      </c>
    </row>
    <row r="202" spans="1:72">
      <c r="A202" s="1" t="s">
        <v>72</v>
      </c>
      <c r="B202" s="1" t="s">
        <v>3700</v>
      </c>
      <c r="C202" s="1" t="s">
        <v>74</v>
      </c>
      <c r="D202" s="1" t="s">
        <v>74</v>
      </c>
      <c r="E202" s="1" t="s">
        <v>74</v>
      </c>
      <c r="F202" s="1" t="s">
        <v>3701</v>
      </c>
      <c r="G202" s="1" t="s">
        <v>74</v>
      </c>
      <c r="H202" s="1" t="s">
        <v>74</v>
      </c>
      <c r="I202" s="1" t="s">
        <v>3702</v>
      </c>
      <c r="J202" s="1" t="s">
        <v>275</v>
      </c>
      <c r="K202" s="1" t="s">
        <v>74</v>
      </c>
      <c r="L202" s="1" t="s">
        <v>74</v>
      </c>
      <c r="M202" s="1" t="s">
        <v>78</v>
      </c>
      <c r="N202" s="1" t="s">
        <v>79</v>
      </c>
      <c r="O202" s="1" t="s">
        <v>74</v>
      </c>
      <c r="P202" s="1" t="s">
        <v>74</v>
      </c>
      <c r="Q202" s="1" t="s">
        <v>74</v>
      </c>
      <c r="R202" s="1" t="s">
        <v>74</v>
      </c>
      <c r="S202" s="1" t="s">
        <v>74</v>
      </c>
      <c r="T202" s="1" t="s">
        <v>3703</v>
      </c>
      <c r="U202" s="1" t="s">
        <v>3704</v>
      </c>
      <c r="V202" s="1" t="s">
        <v>3705</v>
      </c>
      <c r="W202" s="1" t="s">
        <v>3706</v>
      </c>
      <c r="X202" s="1" t="s">
        <v>3707</v>
      </c>
      <c r="Y202" s="1" t="s">
        <v>3708</v>
      </c>
      <c r="Z202" s="1" t="s">
        <v>3709</v>
      </c>
      <c r="AA202" s="1" t="s">
        <v>3710</v>
      </c>
      <c r="AB202" s="1" t="s">
        <v>74</v>
      </c>
      <c r="AC202" s="1" t="s">
        <v>3711</v>
      </c>
      <c r="AD202" s="1" t="s">
        <v>3712</v>
      </c>
      <c r="AE202" s="1" t="s">
        <v>3713</v>
      </c>
      <c r="AF202" s="1" t="s">
        <v>74</v>
      </c>
      <c r="AG202" s="1">
        <v>35</v>
      </c>
      <c r="AH202" s="1">
        <v>24</v>
      </c>
      <c r="AI202" s="1">
        <v>29</v>
      </c>
      <c r="AJ202" s="1">
        <v>13</v>
      </c>
      <c r="AK202" s="1">
        <v>89</v>
      </c>
      <c r="AL202" s="1" t="s">
        <v>285</v>
      </c>
      <c r="AM202" s="1" t="s">
        <v>286</v>
      </c>
      <c r="AN202" s="1" t="s">
        <v>287</v>
      </c>
      <c r="AO202" s="1" t="s">
        <v>288</v>
      </c>
      <c r="AP202" s="1" t="s">
        <v>289</v>
      </c>
      <c r="AQ202" s="1" t="s">
        <v>74</v>
      </c>
      <c r="AR202" s="1" t="s">
        <v>290</v>
      </c>
      <c r="AS202" s="1" t="s">
        <v>291</v>
      </c>
      <c r="AT202" s="1" t="s">
        <v>142</v>
      </c>
      <c r="AU202" s="1">
        <v>2015</v>
      </c>
      <c r="AV202" s="1">
        <v>44</v>
      </c>
      <c r="AW202" s="1">
        <v>2</v>
      </c>
      <c r="AX202" s="1" t="s">
        <v>74</v>
      </c>
      <c r="AY202" s="1" t="s">
        <v>74</v>
      </c>
      <c r="AZ202" s="1" t="s">
        <v>74</v>
      </c>
      <c r="BA202" s="1" t="s">
        <v>74</v>
      </c>
      <c r="BB202" s="1">
        <v>430</v>
      </c>
      <c r="BC202" s="1">
        <v>435</v>
      </c>
      <c r="BD202" s="1" t="s">
        <v>74</v>
      </c>
      <c r="BE202" s="1" t="s">
        <v>3714</v>
      </c>
      <c r="BF202" s="1" t="str">
        <f>HYPERLINK("http://dx.doi.org/10.1016/j.fsi.2015.03.024","http://dx.doi.org/10.1016/j.fsi.2015.03.024")</f>
        <v>http://dx.doi.org/10.1016/j.fsi.2015.03.024</v>
      </c>
      <c r="BG202" s="1" t="s">
        <v>74</v>
      </c>
      <c r="BH202" s="1" t="s">
        <v>74</v>
      </c>
      <c r="BI202" s="1">
        <v>6</v>
      </c>
      <c r="BJ202" s="1" t="s">
        <v>293</v>
      </c>
      <c r="BK202" s="1" t="s">
        <v>96</v>
      </c>
      <c r="BL202" s="1" t="s">
        <v>293</v>
      </c>
      <c r="BM202" s="1" t="s">
        <v>3715</v>
      </c>
      <c r="BN202" s="1">
        <v>25804494</v>
      </c>
      <c r="BO202" s="1" t="s">
        <v>1752</v>
      </c>
      <c r="BP202" s="1" t="s">
        <v>74</v>
      </c>
      <c r="BQ202" s="1" t="s">
        <v>74</v>
      </c>
      <c r="BR202" s="1" t="s">
        <v>98</v>
      </c>
      <c r="BS202" s="1" t="s">
        <v>3716</v>
      </c>
      <c r="BT202" s="1" t="str">
        <f>HYPERLINK("https%3A%2F%2Fwww.webofscience.com%2Fwos%2Fwoscc%2Ffull-record%2FWOS:000354583800005","View Full Record in Web of Science")</f>
        <v>View Full Record in Web of Science</v>
      </c>
    </row>
    <row r="203" spans="1:72">
      <c r="A203" s="1" t="s">
        <v>72</v>
      </c>
      <c r="B203" s="1" t="s">
        <v>3717</v>
      </c>
      <c r="C203" s="1" t="s">
        <v>74</v>
      </c>
      <c r="D203" s="1" t="s">
        <v>74</v>
      </c>
      <c r="E203" s="1" t="s">
        <v>74</v>
      </c>
      <c r="F203" s="1" t="s">
        <v>3717</v>
      </c>
      <c r="G203" s="1" t="s">
        <v>74</v>
      </c>
      <c r="H203" s="1" t="s">
        <v>74</v>
      </c>
      <c r="I203" s="1" t="s">
        <v>3718</v>
      </c>
      <c r="J203" s="1" t="s">
        <v>3719</v>
      </c>
      <c r="K203" s="1" t="s">
        <v>74</v>
      </c>
      <c r="L203" s="1" t="s">
        <v>74</v>
      </c>
      <c r="M203" s="1" t="s">
        <v>78</v>
      </c>
      <c r="N203" s="1" t="s">
        <v>79</v>
      </c>
      <c r="O203" s="1" t="s">
        <v>74</v>
      </c>
      <c r="P203" s="1" t="s">
        <v>74</v>
      </c>
      <c r="Q203" s="1" t="s">
        <v>74</v>
      </c>
      <c r="R203" s="1" t="s">
        <v>74</v>
      </c>
      <c r="S203" s="1" t="s">
        <v>74</v>
      </c>
      <c r="T203" s="1" t="s">
        <v>3720</v>
      </c>
      <c r="U203" s="1" t="s">
        <v>3721</v>
      </c>
      <c r="V203" s="1" t="s">
        <v>3722</v>
      </c>
      <c r="W203" s="1" t="s">
        <v>3723</v>
      </c>
      <c r="X203" s="1" t="s">
        <v>3724</v>
      </c>
      <c r="Y203" s="1" t="s">
        <v>3725</v>
      </c>
      <c r="Z203" s="1" t="s">
        <v>3726</v>
      </c>
      <c r="AA203" s="1" t="s">
        <v>3727</v>
      </c>
      <c r="AB203" s="1" t="s">
        <v>3728</v>
      </c>
      <c r="AC203" s="1" t="s">
        <v>3729</v>
      </c>
      <c r="AD203" s="1" t="s">
        <v>3730</v>
      </c>
      <c r="AE203" s="1" t="s">
        <v>74</v>
      </c>
      <c r="AF203" s="1" t="s">
        <v>74</v>
      </c>
      <c r="AG203" s="1">
        <v>78</v>
      </c>
      <c r="AH203" s="1">
        <v>172</v>
      </c>
      <c r="AI203" s="1">
        <v>193</v>
      </c>
      <c r="AJ203" s="1">
        <v>4</v>
      </c>
      <c r="AK203" s="1">
        <v>49</v>
      </c>
      <c r="AL203" s="1" t="s">
        <v>3731</v>
      </c>
      <c r="AM203" s="1" t="s">
        <v>262</v>
      </c>
      <c r="AN203" s="1" t="s">
        <v>3732</v>
      </c>
      <c r="AO203" s="1" t="s">
        <v>3733</v>
      </c>
      <c r="AP203" s="1" t="s">
        <v>3734</v>
      </c>
      <c r="AQ203" s="1" t="s">
        <v>74</v>
      </c>
      <c r="AR203" s="1" t="s">
        <v>3735</v>
      </c>
      <c r="AS203" s="1" t="s">
        <v>3736</v>
      </c>
      <c r="AT203" s="1" t="s">
        <v>305</v>
      </c>
      <c r="AU203" s="1">
        <v>2004</v>
      </c>
      <c r="AV203" s="1">
        <v>207</v>
      </c>
      <c r="AW203" s="1">
        <v>19</v>
      </c>
      <c r="AX203" s="1" t="s">
        <v>74</v>
      </c>
      <c r="AY203" s="1" t="s">
        <v>74</v>
      </c>
      <c r="AZ203" s="1" t="s">
        <v>74</v>
      </c>
      <c r="BA203" s="1" t="s">
        <v>74</v>
      </c>
      <c r="BB203" s="1">
        <v>3369</v>
      </c>
      <c r="BC203" s="1">
        <v>3380</v>
      </c>
      <c r="BD203" s="1" t="s">
        <v>74</v>
      </c>
      <c r="BE203" s="1" t="s">
        <v>3737</v>
      </c>
      <c r="BF203" s="1" t="str">
        <f>HYPERLINK("http://dx.doi.org/10.1242/jeb.01152","http://dx.doi.org/10.1242/jeb.01152")</f>
        <v>http://dx.doi.org/10.1242/jeb.01152</v>
      </c>
      <c r="BG203" s="1" t="s">
        <v>74</v>
      </c>
      <c r="BH203" s="1" t="s">
        <v>74</v>
      </c>
      <c r="BI203" s="1">
        <v>12</v>
      </c>
      <c r="BJ203" s="1" t="s">
        <v>3738</v>
      </c>
      <c r="BK203" s="1" t="s">
        <v>96</v>
      </c>
      <c r="BL203" s="1" t="s">
        <v>3739</v>
      </c>
      <c r="BM203" s="1" t="s">
        <v>3740</v>
      </c>
      <c r="BN203" s="1">
        <v>15326213</v>
      </c>
      <c r="BO203" s="1" t="s">
        <v>74</v>
      </c>
      <c r="BP203" s="1" t="s">
        <v>74</v>
      </c>
      <c r="BQ203" s="1" t="s">
        <v>74</v>
      </c>
      <c r="BR203" s="1" t="s">
        <v>98</v>
      </c>
      <c r="BS203" s="1" t="s">
        <v>3741</v>
      </c>
      <c r="BT203" s="1" t="str">
        <f>HYPERLINK("https%3A%2F%2Fwww.webofscience.com%2Fwos%2Fwoscc%2Ffull-record%2FWOS:000224507500022","View Full Record in Web of Science")</f>
        <v>View Full Record in Web of Science</v>
      </c>
    </row>
    <row r="204" spans="1:72">
      <c r="A204" s="1" t="s">
        <v>72</v>
      </c>
      <c r="B204" s="1" t="s">
        <v>3742</v>
      </c>
      <c r="C204" s="1" t="s">
        <v>74</v>
      </c>
      <c r="D204" s="1" t="s">
        <v>74</v>
      </c>
      <c r="E204" s="1" t="s">
        <v>74</v>
      </c>
      <c r="F204" s="1" t="s">
        <v>3742</v>
      </c>
      <c r="G204" s="1" t="s">
        <v>74</v>
      </c>
      <c r="H204" s="1" t="s">
        <v>74</v>
      </c>
      <c r="I204" s="1" t="s">
        <v>3743</v>
      </c>
      <c r="J204" s="1" t="s">
        <v>641</v>
      </c>
      <c r="K204" s="1" t="s">
        <v>74</v>
      </c>
      <c r="L204" s="1" t="s">
        <v>74</v>
      </c>
      <c r="M204" s="1" t="s">
        <v>78</v>
      </c>
      <c r="N204" s="1" t="s">
        <v>79</v>
      </c>
      <c r="O204" s="1" t="s">
        <v>74</v>
      </c>
      <c r="P204" s="1" t="s">
        <v>74</v>
      </c>
      <c r="Q204" s="1" t="s">
        <v>74</v>
      </c>
      <c r="R204" s="1" t="s">
        <v>74</v>
      </c>
      <c r="S204" s="1" t="s">
        <v>74</v>
      </c>
      <c r="T204" s="1" t="s">
        <v>3744</v>
      </c>
      <c r="U204" s="1" t="s">
        <v>3745</v>
      </c>
      <c r="V204" s="1" t="s">
        <v>3746</v>
      </c>
      <c r="W204" s="1" t="s">
        <v>3747</v>
      </c>
      <c r="X204" s="1" t="s">
        <v>3748</v>
      </c>
      <c r="Y204" s="1" t="s">
        <v>3749</v>
      </c>
      <c r="Z204" s="1" t="s">
        <v>3750</v>
      </c>
      <c r="AA204" s="1" t="s">
        <v>74</v>
      </c>
      <c r="AB204" s="1" t="s">
        <v>3751</v>
      </c>
      <c r="AC204" s="1" t="s">
        <v>74</v>
      </c>
      <c r="AD204" s="1" t="s">
        <v>74</v>
      </c>
      <c r="AE204" s="1" t="s">
        <v>74</v>
      </c>
      <c r="AF204" s="1" t="s">
        <v>74</v>
      </c>
      <c r="AG204" s="1">
        <v>42</v>
      </c>
      <c r="AH204" s="1">
        <v>89</v>
      </c>
      <c r="AI204" s="1">
        <v>95</v>
      </c>
      <c r="AJ204" s="1">
        <v>0</v>
      </c>
      <c r="AK204" s="1">
        <v>14</v>
      </c>
      <c r="AL204" s="1" t="s">
        <v>650</v>
      </c>
      <c r="AM204" s="1" t="s">
        <v>651</v>
      </c>
      <c r="AN204" s="1" t="s">
        <v>652</v>
      </c>
      <c r="AO204" s="1" t="s">
        <v>653</v>
      </c>
      <c r="AP204" s="1" t="s">
        <v>654</v>
      </c>
      <c r="AQ204" s="1" t="s">
        <v>74</v>
      </c>
      <c r="AR204" s="1" t="s">
        <v>655</v>
      </c>
      <c r="AS204" s="1" t="s">
        <v>656</v>
      </c>
      <c r="AT204" s="1" t="s">
        <v>3752</v>
      </c>
      <c r="AU204" s="1">
        <v>2004</v>
      </c>
      <c r="AV204" s="1">
        <v>66</v>
      </c>
      <c r="AW204" s="1">
        <v>2</v>
      </c>
      <c r="AX204" s="1" t="s">
        <v>74</v>
      </c>
      <c r="AY204" s="1" t="s">
        <v>74</v>
      </c>
      <c r="AZ204" s="1" t="s">
        <v>74</v>
      </c>
      <c r="BA204" s="1" t="s">
        <v>74</v>
      </c>
      <c r="BB204" s="1">
        <v>197</v>
      </c>
      <c r="BC204" s="1">
        <v>204</v>
      </c>
      <c r="BD204" s="1" t="s">
        <v>74</v>
      </c>
      <c r="BE204" s="1" t="s">
        <v>3753</v>
      </c>
      <c r="BF204" s="1" t="str">
        <f>HYPERLINK("http://dx.doi.org/10.1016/j.aquatox.2003.09.003","http://dx.doi.org/10.1016/j.aquatox.2003.09.003")</f>
        <v>http://dx.doi.org/10.1016/j.aquatox.2003.09.003</v>
      </c>
      <c r="BG204" s="1" t="s">
        <v>74</v>
      </c>
      <c r="BH204" s="1" t="s">
        <v>74</v>
      </c>
      <c r="BI204" s="1">
        <v>8</v>
      </c>
      <c r="BJ204" s="1" t="s">
        <v>659</v>
      </c>
      <c r="BK204" s="1" t="s">
        <v>96</v>
      </c>
      <c r="BL204" s="1" t="s">
        <v>659</v>
      </c>
      <c r="BM204" s="1" t="s">
        <v>3754</v>
      </c>
      <c r="BN204" s="1">
        <v>15036874</v>
      </c>
      <c r="BO204" s="1" t="s">
        <v>74</v>
      </c>
      <c r="BP204" s="1" t="s">
        <v>74</v>
      </c>
      <c r="BQ204" s="1" t="s">
        <v>74</v>
      </c>
      <c r="BR204" s="1" t="s">
        <v>98</v>
      </c>
      <c r="BS204" s="1" t="s">
        <v>3755</v>
      </c>
      <c r="BT204" s="1" t="str">
        <f>HYPERLINK("https%3A%2F%2Fwww.webofscience.com%2Fwos%2Fwoscc%2Ffull-record%2FWOS:000220007000008","View Full Record in Web of Science")</f>
        <v>View Full Record in Web of Science</v>
      </c>
    </row>
    <row r="205" spans="1:72">
      <c r="A205" s="1" t="s">
        <v>72</v>
      </c>
      <c r="B205" s="1" t="s">
        <v>3756</v>
      </c>
      <c r="C205" s="1" t="s">
        <v>74</v>
      </c>
      <c r="D205" s="1" t="s">
        <v>74</v>
      </c>
      <c r="E205" s="1" t="s">
        <v>74</v>
      </c>
      <c r="F205" s="1" t="s">
        <v>3756</v>
      </c>
      <c r="G205" s="1" t="s">
        <v>74</v>
      </c>
      <c r="H205" s="1" t="s">
        <v>74</v>
      </c>
      <c r="I205" s="1" t="s">
        <v>3757</v>
      </c>
      <c r="J205" s="1" t="s">
        <v>2961</v>
      </c>
      <c r="K205" s="1" t="s">
        <v>74</v>
      </c>
      <c r="L205" s="1" t="s">
        <v>74</v>
      </c>
      <c r="M205" s="1" t="s">
        <v>78</v>
      </c>
      <c r="N205" s="1" t="s">
        <v>79</v>
      </c>
      <c r="O205" s="1" t="s">
        <v>74</v>
      </c>
      <c r="P205" s="1" t="s">
        <v>74</v>
      </c>
      <c r="Q205" s="1" t="s">
        <v>74</v>
      </c>
      <c r="R205" s="1" t="s">
        <v>74</v>
      </c>
      <c r="S205" s="1" t="s">
        <v>74</v>
      </c>
      <c r="T205" s="1" t="s">
        <v>3758</v>
      </c>
      <c r="U205" s="1" t="s">
        <v>3759</v>
      </c>
      <c r="V205" s="1" t="s">
        <v>3760</v>
      </c>
      <c r="W205" s="1" t="s">
        <v>74</v>
      </c>
      <c r="X205" s="1" t="s">
        <v>74</v>
      </c>
      <c r="Y205" s="1" t="s">
        <v>3761</v>
      </c>
      <c r="Z205" s="1" t="s">
        <v>74</v>
      </c>
      <c r="AA205" s="1" t="s">
        <v>74</v>
      </c>
      <c r="AB205" s="1" t="s">
        <v>74</v>
      </c>
      <c r="AC205" s="1" t="s">
        <v>74</v>
      </c>
      <c r="AD205" s="1" t="s">
        <v>74</v>
      </c>
      <c r="AE205" s="1" t="s">
        <v>74</v>
      </c>
      <c r="AF205" s="1" t="s">
        <v>74</v>
      </c>
      <c r="AG205" s="1">
        <v>36</v>
      </c>
      <c r="AH205" s="1">
        <v>27</v>
      </c>
      <c r="AI205" s="1">
        <v>30</v>
      </c>
      <c r="AJ205" s="1">
        <v>0</v>
      </c>
      <c r="AK205" s="1">
        <v>5</v>
      </c>
      <c r="AL205" s="1" t="s">
        <v>919</v>
      </c>
      <c r="AM205" s="1" t="s">
        <v>651</v>
      </c>
      <c r="AN205" s="1" t="s">
        <v>920</v>
      </c>
      <c r="AO205" s="1" t="s">
        <v>2973</v>
      </c>
      <c r="AP205" s="1" t="s">
        <v>74</v>
      </c>
      <c r="AQ205" s="1" t="s">
        <v>74</v>
      </c>
      <c r="AR205" s="1" t="s">
        <v>2975</v>
      </c>
      <c r="AS205" s="1" t="s">
        <v>2976</v>
      </c>
      <c r="AT205" s="1" t="s">
        <v>765</v>
      </c>
      <c r="AU205" s="1">
        <v>1997</v>
      </c>
      <c r="AV205" s="1">
        <v>8</v>
      </c>
      <c r="AW205" s="1">
        <v>3</v>
      </c>
      <c r="AX205" s="1" t="s">
        <v>74</v>
      </c>
      <c r="AY205" s="1" t="s">
        <v>74</v>
      </c>
      <c r="AZ205" s="1" t="s">
        <v>74</v>
      </c>
      <c r="BA205" s="1" t="s">
        <v>74</v>
      </c>
      <c r="BB205" s="1">
        <v>179</v>
      </c>
      <c r="BC205" s="1">
        <v>193</v>
      </c>
      <c r="BD205" s="1" t="s">
        <v>74</v>
      </c>
      <c r="BE205" s="1" t="s">
        <v>3762</v>
      </c>
      <c r="BF205" s="1" t="str">
        <f>HYPERLINK("http://dx.doi.org/10.1016/S0925-8574(97)00259-0","http://dx.doi.org/10.1016/S0925-8574(97)00259-0")</f>
        <v>http://dx.doi.org/10.1016/S0925-8574(97)00259-0</v>
      </c>
      <c r="BG205" s="1" t="s">
        <v>74</v>
      </c>
      <c r="BH205" s="1" t="s">
        <v>74</v>
      </c>
      <c r="BI205" s="1">
        <v>15</v>
      </c>
      <c r="BJ205" s="1" t="s">
        <v>2978</v>
      </c>
      <c r="BK205" s="1" t="s">
        <v>96</v>
      </c>
      <c r="BL205" s="1" t="s">
        <v>2979</v>
      </c>
      <c r="BM205" s="1" t="s">
        <v>3763</v>
      </c>
      <c r="BN205" s="1" t="s">
        <v>74</v>
      </c>
      <c r="BO205" s="1" t="s">
        <v>74</v>
      </c>
      <c r="BP205" s="1" t="s">
        <v>74</v>
      </c>
      <c r="BQ205" s="1" t="s">
        <v>74</v>
      </c>
      <c r="BR205" s="1" t="s">
        <v>98</v>
      </c>
      <c r="BS205" s="1" t="s">
        <v>3764</v>
      </c>
      <c r="BT205" s="1" t="str">
        <f>HYPERLINK("https%3A%2F%2Fwww.webofscience.com%2Fwos%2Fwoscc%2Ffull-record%2FWOS:A1997XL55700001","View Full Record in Web of Science")</f>
        <v>View Full Record in Web of Science</v>
      </c>
    </row>
    <row r="206" spans="1:72">
      <c r="A206" s="1" t="s">
        <v>72</v>
      </c>
      <c r="B206" s="1" t="s">
        <v>3765</v>
      </c>
      <c r="C206" s="1" t="s">
        <v>74</v>
      </c>
      <c r="D206" s="1" t="s">
        <v>74</v>
      </c>
      <c r="E206" s="1" t="s">
        <v>74</v>
      </c>
      <c r="F206" s="1" t="s">
        <v>3766</v>
      </c>
      <c r="G206" s="1" t="s">
        <v>74</v>
      </c>
      <c r="H206" s="1" t="s">
        <v>74</v>
      </c>
      <c r="I206" s="1" t="s">
        <v>3767</v>
      </c>
      <c r="J206" s="1" t="s">
        <v>2919</v>
      </c>
      <c r="K206" s="1" t="s">
        <v>74</v>
      </c>
      <c r="L206" s="1" t="s">
        <v>74</v>
      </c>
      <c r="M206" s="1" t="s">
        <v>78</v>
      </c>
      <c r="N206" s="1" t="s">
        <v>79</v>
      </c>
      <c r="O206" s="1" t="s">
        <v>74</v>
      </c>
      <c r="P206" s="1" t="s">
        <v>74</v>
      </c>
      <c r="Q206" s="1" t="s">
        <v>74</v>
      </c>
      <c r="R206" s="1" t="s">
        <v>74</v>
      </c>
      <c r="S206" s="1" t="s">
        <v>74</v>
      </c>
      <c r="T206" s="1" t="s">
        <v>3768</v>
      </c>
      <c r="U206" s="1" t="s">
        <v>3769</v>
      </c>
      <c r="V206" s="1" t="s">
        <v>3770</v>
      </c>
      <c r="W206" s="1" t="s">
        <v>3771</v>
      </c>
      <c r="X206" s="1" t="s">
        <v>3772</v>
      </c>
      <c r="Y206" s="1" t="s">
        <v>3773</v>
      </c>
      <c r="Z206" s="1" t="s">
        <v>3774</v>
      </c>
      <c r="AA206" s="1" t="s">
        <v>3775</v>
      </c>
      <c r="AB206" s="1" t="s">
        <v>74</v>
      </c>
      <c r="AC206" s="1" t="s">
        <v>74</v>
      </c>
      <c r="AD206" s="1" t="s">
        <v>74</v>
      </c>
      <c r="AE206" s="1" t="s">
        <v>74</v>
      </c>
      <c r="AF206" s="1" t="s">
        <v>74</v>
      </c>
      <c r="AG206" s="1">
        <v>29</v>
      </c>
      <c r="AH206" s="1">
        <v>0</v>
      </c>
      <c r="AI206" s="1">
        <v>0</v>
      </c>
      <c r="AJ206" s="1">
        <v>0</v>
      </c>
      <c r="AK206" s="1">
        <v>1</v>
      </c>
      <c r="AL206" s="1" t="s">
        <v>2929</v>
      </c>
      <c r="AM206" s="1" t="s">
        <v>2930</v>
      </c>
      <c r="AN206" s="1" t="s">
        <v>2931</v>
      </c>
      <c r="AO206" s="1" t="s">
        <v>2932</v>
      </c>
      <c r="AP206" s="1" t="s">
        <v>74</v>
      </c>
      <c r="AQ206" s="1" t="s">
        <v>74</v>
      </c>
      <c r="AR206" s="1" t="s">
        <v>2933</v>
      </c>
      <c r="AS206" s="1" t="s">
        <v>2934</v>
      </c>
      <c r="AT206" s="1" t="s">
        <v>2935</v>
      </c>
      <c r="AU206" s="1">
        <v>2023</v>
      </c>
      <c r="AV206" s="1">
        <v>74</v>
      </c>
      <c r="AW206" s="1">
        <v>2</v>
      </c>
      <c r="AX206" s="1" t="s">
        <v>74</v>
      </c>
      <c r="AY206" s="1" t="s">
        <v>74</v>
      </c>
      <c r="AZ206" s="1" t="s">
        <v>74</v>
      </c>
      <c r="BA206" s="1" t="s">
        <v>74</v>
      </c>
      <c r="BB206" s="1">
        <v>5735</v>
      </c>
      <c r="BC206" s="1">
        <v>5742</v>
      </c>
      <c r="BD206" s="1" t="s">
        <v>74</v>
      </c>
      <c r="BE206" s="1" t="s">
        <v>3776</v>
      </c>
      <c r="BF206" s="1" t="str">
        <f>HYPERLINK("http://dx.doi.org/10.12681/jhvms.30199","http://dx.doi.org/10.12681/jhvms.30199")</f>
        <v>http://dx.doi.org/10.12681/jhvms.30199</v>
      </c>
      <c r="BG206" s="1" t="s">
        <v>74</v>
      </c>
      <c r="BH206" s="1" t="s">
        <v>74</v>
      </c>
      <c r="BI206" s="1">
        <v>9</v>
      </c>
      <c r="BJ206" s="1" t="s">
        <v>1057</v>
      </c>
      <c r="BK206" s="1" t="s">
        <v>96</v>
      </c>
      <c r="BL206" s="1" t="s">
        <v>1057</v>
      </c>
      <c r="BM206" s="1" t="s">
        <v>3777</v>
      </c>
      <c r="BN206" s="1" t="s">
        <v>74</v>
      </c>
      <c r="BO206" s="1" t="s">
        <v>476</v>
      </c>
      <c r="BP206" s="1" t="s">
        <v>74</v>
      </c>
      <c r="BQ206" s="1" t="s">
        <v>74</v>
      </c>
      <c r="BR206" s="1" t="s">
        <v>98</v>
      </c>
      <c r="BS206" s="1" t="s">
        <v>3778</v>
      </c>
      <c r="BT206" s="1" t="str">
        <f>HYPERLINK("https%3A%2F%2Fwww.webofscience.com%2Fwos%2Fwoscc%2Ffull-record%2FWOS:001027992500007","View Full Record in Web of Science")</f>
        <v>View Full Record in Web of Science</v>
      </c>
    </row>
    <row r="207" spans="1:72">
      <c r="A207" s="1" t="s">
        <v>72</v>
      </c>
      <c r="B207" s="1" t="s">
        <v>3779</v>
      </c>
      <c r="C207" s="1" t="s">
        <v>74</v>
      </c>
      <c r="D207" s="1" t="s">
        <v>74</v>
      </c>
      <c r="E207" s="1" t="s">
        <v>74</v>
      </c>
      <c r="F207" s="1" t="s">
        <v>3779</v>
      </c>
      <c r="G207" s="1" t="s">
        <v>74</v>
      </c>
      <c r="H207" s="1" t="s">
        <v>74</v>
      </c>
      <c r="I207" s="1" t="s">
        <v>3780</v>
      </c>
      <c r="J207" s="1" t="s">
        <v>232</v>
      </c>
      <c r="K207" s="1" t="s">
        <v>74</v>
      </c>
      <c r="L207" s="1" t="s">
        <v>74</v>
      </c>
      <c r="M207" s="1" t="s">
        <v>78</v>
      </c>
      <c r="N207" s="1" t="s">
        <v>79</v>
      </c>
      <c r="O207" s="1" t="s">
        <v>74</v>
      </c>
      <c r="P207" s="1" t="s">
        <v>74</v>
      </c>
      <c r="Q207" s="1" t="s">
        <v>74</v>
      </c>
      <c r="R207" s="1" t="s">
        <v>74</v>
      </c>
      <c r="S207" s="1" t="s">
        <v>74</v>
      </c>
      <c r="T207" s="1" t="s">
        <v>74</v>
      </c>
      <c r="U207" s="1" t="s">
        <v>3781</v>
      </c>
      <c r="V207" s="1" t="s">
        <v>3782</v>
      </c>
      <c r="W207" s="1" t="s">
        <v>3783</v>
      </c>
      <c r="X207" s="1" t="s">
        <v>445</v>
      </c>
      <c r="Y207" s="1" t="s">
        <v>3784</v>
      </c>
      <c r="Z207" s="1" t="s">
        <v>74</v>
      </c>
      <c r="AA207" s="1" t="s">
        <v>3785</v>
      </c>
      <c r="AB207" s="1" t="s">
        <v>74</v>
      </c>
      <c r="AC207" s="1" t="s">
        <v>74</v>
      </c>
      <c r="AD207" s="1" t="s">
        <v>74</v>
      </c>
      <c r="AE207" s="1" t="s">
        <v>74</v>
      </c>
      <c r="AF207" s="1" t="s">
        <v>74</v>
      </c>
      <c r="AG207" s="1">
        <v>18</v>
      </c>
      <c r="AH207" s="1">
        <v>41</v>
      </c>
      <c r="AI207" s="1">
        <v>43</v>
      </c>
      <c r="AJ207" s="1">
        <v>1</v>
      </c>
      <c r="AK207" s="1">
        <v>8</v>
      </c>
      <c r="AL207" s="1" t="s">
        <v>136</v>
      </c>
      <c r="AM207" s="1" t="s">
        <v>137</v>
      </c>
      <c r="AN207" s="1" t="s">
        <v>138</v>
      </c>
      <c r="AO207" s="1" t="s">
        <v>240</v>
      </c>
      <c r="AP207" s="1" t="s">
        <v>241</v>
      </c>
      <c r="AQ207" s="1" t="s">
        <v>74</v>
      </c>
      <c r="AR207" s="1" t="s">
        <v>242</v>
      </c>
      <c r="AS207" s="1" t="s">
        <v>243</v>
      </c>
      <c r="AT207" s="1" t="s">
        <v>267</v>
      </c>
      <c r="AU207" s="1">
        <v>1997</v>
      </c>
      <c r="AV207" s="1">
        <v>34</v>
      </c>
      <c r="AW207" s="1">
        <v>10</v>
      </c>
      <c r="AX207" s="1" t="s">
        <v>74</v>
      </c>
      <c r="AY207" s="1" t="s">
        <v>74</v>
      </c>
      <c r="AZ207" s="1" t="s">
        <v>74</v>
      </c>
      <c r="BA207" s="1" t="s">
        <v>74</v>
      </c>
      <c r="BB207" s="1">
        <v>805</v>
      </c>
      <c r="BC207" s="1">
        <v>815</v>
      </c>
      <c r="BD207" s="1" t="s">
        <v>74</v>
      </c>
      <c r="BE207" s="1" t="s">
        <v>3786</v>
      </c>
      <c r="BF207" s="1" t="str">
        <f>HYPERLINK("http://dx.doi.org/10.1016/S0025-326X(97)00028-3","http://dx.doi.org/10.1016/S0025-326X(97)00028-3")</f>
        <v>http://dx.doi.org/10.1016/S0025-326X(97)00028-3</v>
      </c>
      <c r="BG207" s="1" t="s">
        <v>74</v>
      </c>
      <c r="BH207" s="1" t="s">
        <v>74</v>
      </c>
      <c r="BI207" s="1">
        <v>11</v>
      </c>
      <c r="BJ207" s="1" t="s">
        <v>247</v>
      </c>
      <c r="BK207" s="1" t="s">
        <v>96</v>
      </c>
      <c r="BL207" s="1" t="s">
        <v>248</v>
      </c>
      <c r="BM207" s="1" t="s">
        <v>3787</v>
      </c>
      <c r="BN207" s="1" t="s">
        <v>74</v>
      </c>
      <c r="BO207" s="1" t="s">
        <v>74</v>
      </c>
      <c r="BP207" s="1" t="s">
        <v>74</v>
      </c>
      <c r="BQ207" s="1" t="s">
        <v>74</v>
      </c>
      <c r="BR207" s="1" t="s">
        <v>98</v>
      </c>
      <c r="BS207" s="1" t="s">
        <v>3788</v>
      </c>
      <c r="BT207" s="1" t="str">
        <f>HYPERLINK("https%3A%2F%2Fwww.webofscience.com%2Fwos%2Fwoscc%2Ffull-record%2FWOS:000071486200017","View Full Record in Web of Science")</f>
        <v>View Full Record in Web of Science</v>
      </c>
    </row>
    <row r="208" spans="1:72">
      <c r="A208" s="1" t="s">
        <v>72</v>
      </c>
      <c r="B208" s="1" t="s">
        <v>3789</v>
      </c>
      <c r="C208" s="1" t="s">
        <v>74</v>
      </c>
      <c r="D208" s="1" t="s">
        <v>74</v>
      </c>
      <c r="E208" s="1" t="s">
        <v>74</v>
      </c>
      <c r="F208" s="1" t="s">
        <v>3790</v>
      </c>
      <c r="G208" s="1" t="s">
        <v>74</v>
      </c>
      <c r="H208" s="1" t="s">
        <v>74</v>
      </c>
      <c r="I208" s="1" t="s">
        <v>3791</v>
      </c>
      <c r="J208" s="1" t="s">
        <v>3792</v>
      </c>
      <c r="K208" s="1" t="s">
        <v>74</v>
      </c>
      <c r="L208" s="1" t="s">
        <v>74</v>
      </c>
      <c r="M208" s="1" t="s">
        <v>78</v>
      </c>
      <c r="N208" s="1" t="s">
        <v>79</v>
      </c>
      <c r="O208" s="1" t="s">
        <v>74</v>
      </c>
      <c r="P208" s="1" t="s">
        <v>74</v>
      </c>
      <c r="Q208" s="1" t="s">
        <v>74</v>
      </c>
      <c r="R208" s="1" t="s">
        <v>74</v>
      </c>
      <c r="S208" s="1" t="s">
        <v>74</v>
      </c>
      <c r="T208" s="1" t="s">
        <v>3793</v>
      </c>
      <c r="U208" s="1" t="s">
        <v>3794</v>
      </c>
      <c r="V208" s="1" t="s">
        <v>3795</v>
      </c>
      <c r="W208" s="1" t="s">
        <v>3796</v>
      </c>
      <c r="X208" s="1" t="s">
        <v>3797</v>
      </c>
      <c r="Y208" s="1" t="s">
        <v>3798</v>
      </c>
      <c r="Z208" s="1" t="s">
        <v>3799</v>
      </c>
      <c r="AA208" s="1" t="s">
        <v>3800</v>
      </c>
      <c r="AB208" s="1" t="s">
        <v>3801</v>
      </c>
      <c r="AC208" s="1" t="s">
        <v>74</v>
      </c>
      <c r="AD208" s="1" t="s">
        <v>74</v>
      </c>
      <c r="AE208" s="1" t="s">
        <v>74</v>
      </c>
      <c r="AF208" s="1" t="s">
        <v>74</v>
      </c>
      <c r="AG208" s="1">
        <v>60</v>
      </c>
      <c r="AH208" s="1">
        <v>4</v>
      </c>
      <c r="AI208" s="1">
        <v>4</v>
      </c>
      <c r="AJ208" s="1">
        <v>4</v>
      </c>
      <c r="AK208" s="1">
        <v>9</v>
      </c>
      <c r="AL208" s="1" t="s">
        <v>1566</v>
      </c>
      <c r="AM208" s="1" t="s">
        <v>1567</v>
      </c>
      <c r="AN208" s="1" t="s">
        <v>1568</v>
      </c>
      <c r="AO208" s="1" t="s">
        <v>74</v>
      </c>
      <c r="AP208" s="1" t="s">
        <v>3802</v>
      </c>
      <c r="AQ208" s="1" t="s">
        <v>74</v>
      </c>
      <c r="AR208" s="1" t="s">
        <v>3792</v>
      </c>
      <c r="AS208" s="1" t="s">
        <v>3803</v>
      </c>
      <c r="AT208" s="1" t="s">
        <v>119</v>
      </c>
      <c r="AU208" s="1">
        <v>2023</v>
      </c>
      <c r="AV208" s="1">
        <v>13</v>
      </c>
      <c r="AW208" s="1">
        <v>8</v>
      </c>
      <c r="AX208" s="1" t="s">
        <v>74</v>
      </c>
      <c r="AY208" s="1" t="s">
        <v>74</v>
      </c>
      <c r="AZ208" s="1" t="s">
        <v>74</v>
      </c>
      <c r="BA208" s="1" t="s">
        <v>74</v>
      </c>
      <c r="BB208" s="1" t="s">
        <v>74</v>
      </c>
      <c r="BC208" s="1" t="s">
        <v>74</v>
      </c>
      <c r="BD208" s="1">
        <v>943</v>
      </c>
      <c r="BE208" s="1" t="s">
        <v>3804</v>
      </c>
      <c r="BF208" s="1" t="str">
        <f>HYPERLINK("http://dx.doi.org/10.3390/metabo13080943","http://dx.doi.org/10.3390/metabo13080943")</f>
        <v>http://dx.doi.org/10.3390/metabo13080943</v>
      </c>
      <c r="BG208" s="1" t="s">
        <v>74</v>
      </c>
      <c r="BH208" s="1" t="s">
        <v>74</v>
      </c>
      <c r="BI208" s="1">
        <v>12</v>
      </c>
      <c r="BJ208" s="1" t="s">
        <v>3805</v>
      </c>
      <c r="BK208" s="1" t="s">
        <v>96</v>
      </c>
      <c r="BL208" s="1" t="s">
        <v>3805</v>
      </c>
      <c r="BM208" s="1" t="s">
        <v>3806</v>
      </c>
      <c r="BN208" s="1">
        <v>37623886</v>
      </c>
      <c r="BO208" s="1" t="s">
        <v>2155</v>
      </c>
      <c r="BP208" s="1" t="s">
        <v>74</v>
      </c>
      <c r="BQ208" s="1" t="s">
        <v>74</v>
      </c>
      <c r="BR208" s="1" t="s">
        <v>98</v>
      </c>
      <c r="BS208" s="1" t="s">
        <v>3807</v>
      </c>
      <c r="BT208" s="1" t="str">
        <f>HYPERLINK("https%3A%2F%2Fwww.webofscience.com%2Fwos%2Fwoscc%2Ffull-record%2FWOS:001057182200001","View Full Record in Web of Science")</f>
        <v>View Full Record in Web of Science</v>
      </c>
    </row>
    <row r="209" spans="1:72">
      <c r="A209" s="1" t="s">
        <v>72</v>
      </c>
      <c r="B209" s="1" t="s">
        <v>3808</v>
      </c>
      <c r="C209" s="1" t="s">
        <v>74</v>
      </c>
      <c r="D209" s="1" t="s">
        <v>74</v>
      </c>
      <c r="E209" s="1" t="s">
        <v>74</v>
      </c>
      <c r="F209" s="1" t="s">
        <v>3808</v>
      </c>
      <c r="G209" s="1" t="s">
        <v>74</v>
      </c>
      <c r="H209" s="1" t="s">
        <v>74</v>
      </c>
      <c r="I209" s="1" t="s">
        <v>3809</v>
      </c>
      <c r="J209" s="1" t="s">
        <v>704</v>
      </c>
      <c r="K209" s="1" t="s">
        <v>74</v>
      </c>
      <c r="L209" s="1" t="s">
        <v>74</v>
      </c>
      <c r="M209" s="1" t="s">
        <v>78</v>
      </c>
      <c r="N209" s="1" t="s">
        <v>79</v>
      </c>
      <c r="O209" s="1" t="s">
        <v>74</v>
      </c>
      <c r="P209" s="1" t="s">
        <v>74</v>
      </c>
      <c r="Q209" s="1" t="s">
        <v>74</v>
      </c>
      <c r="R209" s="1" t="s">
        <v>74</v>
      </c>
      <c r="S209" s="1" t="s">
        <v>74</v>
      </c>
      <c r="T209" s="1" t="s">
        <v>74</v>
      </c>
      <c r="U209" s="1" t="s">
        <v>74</v>
      </c>
      <c r="V209" s="1" t="s">
        <v>3810</v>
      </c>
      <c r="W209" s="1" t="s">
        <v>3811</v>
      </c>
      <c r="X209" s="1" t="s">
        <v>74</v>
      </c>
      <c r="Y209" s="1" t="s">
        <v>3812</v>
      </c>
      <c r="Z209" s="1" t="s">
        <v>74</v>
      </c>
      <c r="AA209" s="1" t="s">
        <v>74</v>
      </c>
      <c r="AB209" s="1" t="s">
        <v>74</v>
      </c>
      <c r="AC209" s="1" t="s">
        <v>74</v>
      </c>
      <c r="AD209" s="1" t="s">
        <v>74</v>
      </c>
      <c r="AE209" s="1" t="s">
        <v>74</v>
      </c>
      <c r="AF209" s="1" t="s">
        <v>74</v>
      </c>
      <c r="AG209" s="1">
        <v>12</v>
      </c>
      <c r="AH209" s="1">
        <v>4</v>
      </c>
      <c r="AI209" s="1">
        <v>4</v>
      </c>
      <c r="AJ209" s="1">
        <v>1</v>
      </c>
      <c r="AK209" s="1">
        <v>3</v>
      </c>
      <c r="AL209" s="1" t="s">
        <v>1166</v>
      </c>
      <c r="AM209" s="1" t="s">
        <v>1167</v>
      </c>
      <c r="AN209" s="1" t="s">
        <v>1168</v>
      </c>
      <c r="AO209" s="1" t="s">
        <v>718</v>
      </c>
      <c r="AP209" s="1" t="s">
        <v>1169</v>
      </c>
      <c r="AQ209" s="1" t="s">
        <v>74</v>
      </c>
      <c r="AR209" s="1" t="s">
        <v>719</v>
      </c>
      <c r="AS209" s="1" t="s">
        <v>720</v>
      </c>
      <c r="AT209" s="1" t="s">
        <v>74</v>
      </c>
      <c r="AU209" s="1">
        <v>1982</v>
      </c>
      <c r="AV209" s="1">
        <v>17</v>
      </c>
      <c r="AW209" s="1">
        <v>4</v>
      </c>
      <c r="AX209" s="1" t="s">
        <v>74</v>
      </c>
      <c r="AY209" s="1" t="s">
        <v>74</v>
      </c>
      <c r="AZ209" s="1" t="s">
        <v>74</v>
      </c>
      <c r="BA209" s="1" t="s">
        <v>74</v>
      </c>
      <c r="BB209" s="1">
        <v>409</v>
      </c>
      <c r="BC209" s="1">
        <v>414</v>
      </c>
      <c r="BD209" s="1" t="s">
        <v>74</v>
      </c>
      <c r="BE209" s="1" t="s">
        <v>3813</v>
      </c>
      <c r="BF209" s="1" t="str">
        <f>HYPERLINK("http://dx.doi.org/10.1007/BF00460107","http://dx.doi.org/10.1007/BF00460107")</f>
        <v>http://dx.doi.org/10.1007/BF00460107</v>
      </c>
      <c r="BG209" s="1" t="s">
        <v>74</v>
      </c>
      <c r="BH209" s="1" t="s">
        <v>74</v>
      </c>
      <c r="BI209" s="1">
        <v>6</v>
      </c>
      <c r="BJ209" s="1" t="s">
        <v>722</v>
      </c>
      <c r="BK209" s="1" t="s">
        <v>96</v>
      </c>
      <c r="BL209" s="1" t="s">
        <v>723</v>
      </c>
      <c r="BM209" s="1" t="s">
        <v>3814</v>
      </c>
      <c r="BN209" s="1" t="s">
        <v>74</v>
      </c>
      <c r="BO209" s="1" t="s">
        <v>74</v>
      </c>
      <c r="BP209" s="1" t="s">
        <v>74</v>
      </c>
      <c r="BQ209" s="1" t="s">
        <v>74</v>
      </c>
      <c r="BR209" s="1" t="s">
        <v>98</v>
      </c>
      <c r="BS209" s="1" t="s">
        <v>3815</v>
      </c>
      <c r="BT209" s="1" t="str">
        <f>HYPERLINK("https%3A%2F%2Fwww.webofscience.com%2Fwos%2Fwoscc%2Ffull-record%2FWOS:A1982NS30500006","View Full Record in Web of Science")</f>
        <v>View Full Record in Web of Science</v>
      </c>
    </row>
    <row r="210" spans="1:72">
      <c r="A210" s="1" t="s">
        <v>72</v>
      </c>
      <c r="B210" s="1" t="s">
        <v>3816</v>
      </c>
      <c r="C210" s="1" t="s">
        <v>74</v>
      </c>
      <c r="D210" s="1" t="s">
        <v>74</v>
      </c>
      <c r="E210" s="1" t="s">
        <v>74</v>
      </c>
      <c r="F210" s="1" t="s">
        <v>3817</v>
      </c>
      <c r="G210" s="1" t="s">
        <v>74</v>
      </c>
      <c r="H210" s="1" t="s">
        <v>74</v>
      </c>
      <c r="I210" s="1" t="s">
        <v>3818</v>
      </c>
      <c r="J210" s="1" t="s">
        <v>232</v>
      </c>
      <c r="K210" s="1" t="s">
        <v>74</v>
      </c>
      <c r="L210" s="1" t="s">
        <v>74</v>
      </c>
      <c r="M210" s="1" t="s">
        <v>78</v>
      </c>
      <c r="N210" s="1" t="s">
        <v>79</v>
      </c>
      <c r="O210" s="1" t="s">
        <v>74</v>
      </c>
      <c r="P210" s="1" t="s">
        <v>74</v>
      </c>
      <c r="Q210" s="1" t="s">
        <v>74</v>
      </c>
      <c r="R210" s="1" t="s">
        <v>74</v>
      </c>
      <c r="S210" s="1" t="s">
        <v>74</v>
      </c>
      <c r="T210" s="1" t="s">
        <v>3819</v>
      </c>
      <c r="U210" s="1" t="s">
        <v>3820</v>
      </c>
      <c r="V210" s="1" t="s">
        <v>3821</v>
      </c>
      <c r="W210" s="1" t="s">
        <v>3822</v>
      </c>
      <c r="X210" s="1" t="s">
        <v>3823</v>
      </c>
      <c r="Y210" s="1" t="s">
        <v>3824</v>
      </c>
      <c r="Z210" s="1" t="s">
        <v>3825</v>
      </c>
      <c r="AA210" s="1" t="s">
        <v>3826</v>
      </c>
      <c r="AB210" s="1" t="s">
        <v>3827</v>
      </c>
      <c r="AC210" s="1" t="s">
        <v>3828</v>
      </c>
      <c r="AD210" s="1" t="s">
        <v>3829</v>
      </c>
      <c r="AE210" s="1" t="s">
        <v>3830</v>
      </c>
      <c r="AF210" s="1" t="s">
        <v>74</v>
      </c>
      <c r="AG210" s="1">
        <v>94</v>
      </c>
      <c r="AH210" s="1">
        <v>4</v>
      </c>
      <c r="AI210" s="1">
        <v>4</v>
      </c>
      <c r="AJ210" s="1">
        <v>1</v>
      </c>
      <c r="AK210" s="1">
        <v>3</v>
      </c>
      <c r="AL210" s="1" t="s">
        <v>136</v>
      </c>
      <c r="AM210" s="1" t="s">
        <v>137</v>
      </c>
      <c r="AN210" s="1" t="s">
        <v>138</v>
      </c>
      <c r="AO210" s="1" t="s">
        <v>240</v>
      </c>
      <c r="AP210" s="1" t="s">
        <v>241</v>
      </c>
      <c r="AQ210" s="1" t="s">
        <v>74</v>
      </c>
      <c r="AR210" s="1" t="s">
        <v>242</v>
      </c>
      <c r="AS210" s="1" t="s">
        <v>243</v>
      </c>
      <c r="AT210" s="1" t="s">
        <v>93</v>
      </c>
      <c r="AU210" s="1">
        <v>2023</v>
      </c>
      <c r="AV210" s="1">
        <v>189</v>
      </c>
      <c r="AW210" s="1" t="s">
        <v>74</v>
      </c>
      <c r="AX210" s="1" t="s">
        <v>74</v>
      </c>
      <c r="AY210" s="1" t="s">
        <v>74</v>
      </c>
      <c r="AZ210" s="1" t="s">
        <v>74</v>
      </c>
      <c r="BA210" s="1" t="s">
        <v>74</v>
      </c>
      <c r="BB210" s="1" t="s">
        <v>74</v>
      </c>
      <c r="BC210" s="1" t="s">
        <v>74</v>
      </c>
      <c r="BD210" s="1">
        <v>114754</v>
      </c>
      <c r="BE210" s="1" t="s">
        <v>3831</v>
      </c>
      <c r="BF210" s="1" t="str">
        <f>HYPERLINK("http://dx.doi.org/10.1016/j.marpolbul.2023.114754","http://dx.doi.org/10.1016/j.marpolbul.2023.114754")</f>
        <v>http://dx.doi.org/10.1016/j.marpolbul.2023.114754</v>
      </c>
      <c r="BG210" s="1" t="s">
        <v>74</v>
      </c>
      <c r="BH210" s="1" t="s">
        <v>3832</v>
      </c>
      <c r="BI210" s="1">
        <v>8</v>
      </c>
      <c r="BJ210" s="1" t="s">
        <v>247</v>
      </c>
      <c r="BK210" s="1" t="s">
        <v>96</v>
      </c>
      <c r="BL210" s="1" t="s">
        <v>248</v>
      </c>
      <c r="BM210" s="1" t="s">
        <v>3833</v>
      </c>
      <c r="BN210" s="1">
        <v>36913801</v>
      </c>
      <c r="BO210" s="1" t="s">
        <v>74</v>
      </c>
      <c r="BP210" s="1" t="s">
        <v>74</v>
      </c>
      <c r="BQ210" s="1" t="s">
        <v>74</v>
      </c>
      <c r="BR210" s="1" t="s">
        <v>98</v>
      </c>
      <c r="BS210" s="1" t="s">
        <v>3834</v>
      </c>
      <c r="BT210" s="1" t="str">
        <f>HYPERLINK("https%3A%2F%2Fwww.webofscience.com%2Fwos%2Fwoscc%2Ffull-record%2FWOS:000996638200001","View Full Record in Web of Science")</f>
        <v>View Full Record in Web of Science</v>
      </c>
    </row>
    <row r="211" spans="1:72">
      <c r="A211" s="1" t="s">
        <v>72</v>
      </c>
      <c r="B211" s="1" t="s">
        <v>3835</v>
      </c>
      <c r="C211" s="1" t="s">
        <v>74</v>
      </c>
      <c r="D211" s="1" t="s">
        <v>74</v>
      </c>
      <c r="E211" s="1" t="s">
        <v>74</v>
      </c>
      <c r="F211" s="1" t="s">
        <v>3836</v>
      </c>
      <c r="G211" s="1" t="s">
        <v>74</v>
      </c>
      <c r="H211" s="1" t="s">
        <v>74</v>
      </c>
      <c r="I211" s="1" t="s">
        <v>3837</v>
      </c>
      <c r="J211" s="1" t="s">
        <v>204</v>
      </c>
      <c r="K211" s="1" t="s">
        <v>74</v>
      </c>
      <c r="L211" s="1" t="s">
        <v>74</v>
      </c>
      <c r="M211" s="1" t="s">
        <v>78</v>
      </c>
      <c r="N211" s="1" t="s">
        <v>79</v>
      </c>
      <c r="O211" s="1" t="s">
        <v>74</v>
      </c>
      <c r="P211" s="1" t="s">
        <v>74</v>
      </c>
      <c r="Q211" s="1" t="s">
        <v>74</v>
      </c>
      <c r="R211" s="1" t="s">
        <v>74</v>
      </c>
      <c r="S211" s="1" t="s">
        <v>74</v>
      </c>
      <c r="T211" s="1" t="s">
        <v>3838</v>
      </c>
      <c r="U211" s="1" t="s">
        <v>3839</v>
      </c>
      <c r="V211" s="1" t="s">
        <v>3840</v>
      </c>
      <c r="W211" s="1" t="s">
        <v>3841</v>
      </c>
      <c r="X211" s="1" t="s">
        <v>3842</v>
      </c>
      <c r="Y211" s="1" t="s">
        <v>3843</v>
      </c>
      <c r="Z211" s="1" t="s">
        <v>3844</v>
      </c>
      <c r="AA211" s="1" t="s">
        <v>3845</v>
      </c>
      <c r="AB211" s="1" t="s">
        <v>3846</v>
      </c>
      <c r="AC211" s="1" t="s">
        <v>3847</v>
      </c>
      <c r="AD211" s="1" t="s">
        <v>3848</v>
      </c>
      <c r="AE211" s="1" t="s">
        <v>3849</v>
      </c>
      <c r="AF211" s="1" t="s">
        <v>74</v>
      </c>
      <c r="AG211" s="1">
        <v>74</v>
      </c>
      <c r="AH211" s="1">
        <v>3</v>
      </c>
      <c r="AI211" s="1">
        <v>3</v>
      </c>
      <c r="AJ211" s="1">
        <v>4</v>
      </c>
      <c r="AK211" s="1">
        <v>15</v>
      </c>
      <c r="AL211" s="1" t="s">
        <v>217</v>
      </c>
      <c r="AM211" s="1" t="s">
        <v>218</v>
      </c>
      <c r="AN211" s="1" t="s">
        <v>219</v>
      </c>
      <c r="AO211" s="1" t="s">
        <v>220</v>
      </c>
      <c r="AP211" s="1" t="s">
        <v>221</v>
      </c>
      <c r="AQ211" s="1" t="s">
        <v>74</v>
      </c>
      <c r="AR211" s="1" t="s">
        <v>222</v>
      </c>
      <c r="AS211" s="1" t="s">
        <v>223</v>
      </c>
      <c r="AT211" s="1" t="s">
        <v>1470</v>
      </c>
      <c r="AU211" s="1">
        <v>2021</v>
      </c>
      <c r="AV211" s="1">
        <v>28</v>
      </c>
      <c r="AW211" s="1">
        <v>2</v>
      </c>
      <c r="AX211" s="1" t="s">
        <v>74</v>
      </c>
      <c r="AY211" s="1" t="s">
        <v>74</v>
      </c>
      <c r="AZ211" s="1" t="s">
        <v>74</v>
      </c>
      <c r="BA211" s="1" t="s">
        <v>74</v>
      </c>
      <c r="BB211" s="1">
        <v>1775</v>
      </c>
      <c r="BC211" s="1">
        <v>1788</v>
      </c>
      <c r="BD211" s="1" t="s">
        <v>74</v>
      </c>
      <c r="BE211" s="1" t="s">
        <v>3850</v>
      </c>
      <c r="BF211" s="1" t="str">
        <f>HYPERLINK("http://dx.doi.org/10.1007/s11356-020-10524-6","http://dx.doi.org/10.1007/s11356-020-10524-6")</f>
        <v>http://dx.doi.org/10.1007/s11356-020-10524-6</v>
      </c>
      <c r="BG211" s="1" t="s">
        <v>74</v>
      </c>
      <c r="BH211" s="1" t="s">
        <v>3851</v>
      </c>
      <c r="BI211" s="1">
        <v>14</v>
      </c>
      <c r="BJ211" s="1" t="s">
        <v>144</v>
      </c>
      <c r="BK211" s="1" t="s">
        <v>96</v>
      </c>
      <c r="BL211" s="1" t="s">
        <v>145</v>
      </c>
      <c r="BM211" s="1" t="s">
        <v>3852</v>
      </c>
      <c r="BN211" s="1">
        <v>32856244</v>
      </c>
      <c r="BO211" s="1" t="s">
        <v>74</v>
      </c>
      <c r="BP211" s="1" t="s">
        <v>74</v>
      </c>
      <c r="BQ211" s="1" t="s">
        <v>74</v>
      </c>
      <c r="BR211" s="1" t="s">
        <v>98</v>
      </c>
      <c r="BS211" s="1" t="s">
        <v>3853</v>
      </c>
      <c r="BT211" s="1" t="str">
        <f>HYPERLINK("https%3A%2F%2Fwww.webofscience.com%2Fwos%2Fwoscc%2Ffull-record%2FWOS:000565599100004","View Full Record in Web of Science")</f>
        <v>View Full Record in Web of Science</v>
      </c>
    </row>
    <row r="212" spans="1:72">
      <c r="A212" s="1" t="s">
        <v>72</v>
      </c>
      <c r="B212" s="1" t="s">
        <v>3854</v>
      </c>
      <c r="C212" s="1" t="s">
        <v>74</v>
      </c>
      <c r="D212" s="1" t="s">
        <v>74</v>
      </c>
      <c r="E212" s="1" t="s">
        <v>74</v>
      </c>
      <c r="F212" s="1" t="s">
        <v>3855</v>
      </c>
      <c r="G212" s="1" t="s">
        <v>74</v>
      </c>
      <c r="H212" s="1" t="s">
        <v>74</v>
      </c>
      <c r="I212" s="1" t="s">
        <v>3856</v>
      </c>
      <c r="J212" s="1" t="s">
        <v>3857</v>
      </c>
      <c r="K212" s="1" t="s">
        <v>74</v>
      </c>
      <c r="L212" s="1" t="s">
        <v>74</v>
      </c>
      <c r="M212" s="1" t="s">
        <v>78</v>
      </c>
      <c r="N212" s="1" t="s">
        <v>79</v>
      </c>
      <c r="O212" s="1" t="s">
        <v>74</v>
      </c>
      <c r="P212" s="1" t="s">
        <v>74</v>
      </c>
      <c r="Q212" s="1" t="s">
        <v>74</v>
      </c>
      <c r="R212" s="1" t="s">
        <v>74</v>
      </c>
      <c r="S212" s="1" t="s">
        <v>74</v>
      </c>
      <c r="T212" s="1" t="s">
        <v>3858</v>
      </c>
      <c r="U212" s="1" t="s">
        <v>3859</v>
      </c>
      <c r="V212" s="1" t="s">
        <v>3860</v>
      </c>
      <c r="W212" s="1" t="s">
        <v>3861</v>
      </c>
      <c r="X212" s="1" t="s">
        <v>3862</v>
      </c>
      <c r="Y212" s="1" t="s">
        <v>3863</v>
      </c>
      <c r="Z212" s="1" t="s">
        <v>3864</v>
      </c>
      <c r="AA212" s="1" t="s">
        <v>74</v>
      </c>
      <c r="AB212" s="1" t="s">
        <v>74</v>
      </c>
      <c r="AC212" s="1" t="s">
        <v>3865</v>
      </c>
      <c r="AD212" s="1" t="s">
        <v>3866</v>
      </c>
      <c r="AE212" s="1" t="s">
        <v>3867</v>
      </c>
      <c r="AF212" s="1" t="s">
        <v>74</v>
      </c>
      <c r="AG212" s="1">
        <v>63</v>
      </c>
      <c r="AH212" s="1">
        <v>3</v>
      </c>
      <c r="AI212" s="1">
        <v>3</v>
      </c>
      <c r="AJ212" s="1">
        <v>0</v>
      </c>
      <c r="AK212" s="1">
        <v>13</v>
      </c>
      <c r="AL212" s="1" t="s">
        <v>650</v>
      </c>
      <c r="AM212" s="1" t="s">
        <v>651</v>
      </c>
      <c r="AN212" s="1" t="s">
        <v>652</v>
      </c>
      <c r="AO212" s="1" t="s">
        <v>3868</v>
      </c>
      <c r="AP212" s="1" t="s">
        <v>3869</v>
      </c>
      <c r="AQ212" s="1" t="s">
        <v>74</v>
      </c>
      <c r="AR212" s="1" t="s">
        <v>3857</v>
      </c>
      <c r="AS212" s="1" t="s">
        <v>3870</v>
      </c>
      <c r="AT212" s="1" t="s">
        <v>3871</v>
      </c>
      <c r="AU212" s="1">
        <v>2022</v>
      </c>
      <c r="AV212" s="1">
        <v>834</v>
      </c>
      <c r="AW212" s="1" t="s">
        <v>74</v>
      </c>
      <c r="AX212" s="1" t="s">
        <v>74</v>
      </c>
      <c r="AY212" s="1" t="s">
        <v>74</v>
      </c>
      <c r="AZ212" s="1" t="s">
        <v>74</v>
      </c>
      <c r="BA212" s="1" t="s">
        <v>74</v>
      </c>
      <c r="BB212" s="1" t="s">
        <v>74</v>
      </c>
      <c r="BC212" s="1" t="s">
        <v>74</v>
      </c>
      <c r="BD212" s="1">
        <v>146611</v>
      </c>
      <c r="BE212" s="1" t="s">
        <v>3872</v>
      </c>
      <c r="BF212" s="1" t="str">
        <f>HYPERLINK("http://dx.doi.org/10.1016/j.gene.2022.146611","http://dx.doi.org/10.1016/j.gene.2022.146611")</f>
        <v>http://dx.doi.org/10.1016/j.gene.2022.146611</v>
      </c>
      <c r="BG212" s="1" t="s">
        <v>74</v>
      </c>
      <c r="BH212" s="1" t="s">
        <v>2765</v>
      </c>
      <c r="BI212" s="1">
        <v>10</v>
      </c>
      <c r="BJ212" s="1" t="s">
        <v>3873</v>
      </c>
      <c r="BK212" s="1" t="s">
        <v>96</v>
      </c>
      <c r="BL212" s="1" t="s">
        <v>3873</v>
      </c>
      <c r="BM212" s="1" t="s">
        <v>3874</v>
      </c>
      <c r="BN212" s="1">
        <v>35618219</v>
      </c>
      <c r="BO212" s="1" t="s">
        <v>74</v>
      </c>
      <c r="BP212" s="1" t="s">
        <v>74</v>
      </c>
      <c r="BQ212" s="1" t="s">
        <v>74</v>
      </c>
      <c r="BR212" s="1" t="s">
        <v>98</v>
      </c>
      <c r="BS212" s="1" t="s">
        <v>3875</v>
      </c>
      <c r="BT212" s="1" t="str">
        <f>HYPERLINK("https%3A%2F%2Fwww.webofscience.com%2Fwos%2Fwoscc%2Ffull-record%2FWOS:000817907400001","View Full Record in Web of Science")</f>
        <v>View Full Record in Web of Science</v>
      </c>
    </row>
    <row r="213" spans="1:72">
      <c r="A213" s="1" t="s">
        <v>72</v>
      </c>
      <c r="B213" s="1" t="s">
        <v>3876</v>
      </c>
      <c r="C213" s="1" t="s">
        <v>74</v>
      </c>
      <c r="D213" s="1" t="s">
        <v>74</v>
      </c>
      <c r="E213" s="1" t="s">
        <v>74</v>
      </c>
      <c r="F213" s="1" t="s">
        <v>3877</v>
      </c>
      <c r="G213" s="1" t="s">
        <v>74</v>
      </c>
      <c r="H213" s="1" t="s">
        <v>74</v>
      </c>
      <c r="I213" s="1" t="s">
        <v>3878</v>
      </c>
      <c r="J213" s="1" t="s">
        <v>3349</v>
      </c>
      <c r="K213" s="1" t="s">
        <v>74</v>
      </c>
      <c r="L213" s="1" t="s">
        <v>74</v>
      </c>
      <c r="M213" s="1" t="s">
        <v>78</v>
      </c>
      <c r="N213" s="1" t="s">
        <v>79</v>
      </c>
      <c r="O213" s="1" t="s">
        <v>74</v>
      </c>
      <c r="P213" s="1" t="s">
        <v>74</v>
      </c>
      <c r="Q213" s="1" t="s">
        <v>74</v>
      </c>
      <c r="R213" s="1" t="s">
        <v>74</v>
      </c>
      <c r="S213" s="1" t="s">
        <v>74</v>
      </c>
      <c r="T213" s="1" t="s">
        <v>3879</v>
      </c>
      <c r="U213" s="1" t="s">
        <v>3880</v>
      </c>
      <c r="V213" s="1" t="s">
        <v>3881</v>
      </c>
      <c r="W213" s="1" t="s">
        <v>3882</v>
      </c>
      <c r="X213" s="1" t="s">
        <v>3883</v>
      </c>
      <c r="Y213" s="1" t="s">
        <v>3884</v>
      </c>
      <c r="Z213" s="1" t="s">
        <v>3885</v>
      </c>
      <c r="AA213" s="1" t="s">
        <v>3886</v>
      </c>
      <c r="AB213" s="1" t="s">
        <v>3887</v>
      </c>
      <c r="AC213" s="1" t="s">
        <v>3888</v>
      </c>
      <c r="AD213" s="1" t="s">
        <v>3889</v>
      </c>
      <c r="AE213" s="1" t="s">
        <v>3890</v>
      </c>
      <c r="AF213" s="1" t="s">
        <v>74</v>
      </c>
      <c r="AG213" s="1">
        <v>54</v>
      </c>
      <c r="AH213" s="1">
        <v>31</v>
      </c>
      <c r="AI213" s="1">
        <v>34</v>
      </c>
      <c r="AJ213" s="1">
        <v>6</v>
      </c>
      <c r="AK213" s="1">
        <v>68</v>
      </c>
      <c r="AL213" s="1" t="s">
        <v>3362</v>
      </c>
      <c r="AM213" s="1" t="s">
        <v>3363</v>
      </c>
      <c r="AN213" s="1" t="s">
        <v>3364</v>
      </c>
      <c r="AO213" s="1" t="s">
        <v>3365</v>
      </c>
      <c r="AP213" s="1" t="s">
        <v>3366</v>
      </c>
      <c r="AQ213" s="1" t="s">
        <v>74</v>
      </c>
      <c r="AR213" s="1" t="s">
        <v>3367</v>
      </c>
      <c r="AS213" s="1" t="s">
        <v>3368</v>
      </c>
      <c r="AT213" s="1" t="s">
        <v>3891</v>
      </c>
      <c r="AU213" s="1">
        <v>2021</v>
      </c>
      <c r="AV213" s="1">
        <v>208</v>
      </c>
      <c r="AW213" s="1" t="s">
        <v>74</v>
      </c>
      <c r="AX213" s="1" t="s">
        <v>74</v>
      </c>
      <c r="AY213" s="1" t="s">
        <v>74</v>
      </c>
      <c r="AZ213" s="1" t="s">
        <v>74</v>
      </c>
      <c r="BA213" s="1" t="s">
        <v>74</v>
      </c>
      <c r="BB213" s="1" t="s">
        <v>74</v>
      </c>
      <c r="BC213" s="1" t="s">
        <v>74</v>
      </c>
      <c r="BD213" s="1">
        <v>111768</v>
      </c>
      <c r="BE213" s="1" t="s">
        <v>3892</v>
      </c>
      <c r="BF213" s="1" t="str">
        <f>HYPERLINK("http://dx.doi.org/10.1016/j.ecoenv.2020.111768","http://dx.doi.org/10.1016/j.ecoenv.2020.111768")</f>
        <v>http://dx.doi.org/10.1016/j.ecoenv.2020.111768</v>
      </c>
      <c r="BG213" s="1" t="s">
        <v>74</v>
      </c>
      <c r="BH213" s="1" t="s">
        <v>74</v>
      </c>
      <c r="BI213" s="1">
        <v>10</v>
      </c>
      <c r="BJ213" s="1" t="s">
        <v>121</v>
      </c>
      <c r="BK213" s="1" t="s">
        <v>96</v>
      </c>
      <c r="BL213" s="1" t="s">
        <v>122</v>
      </c>
      <c r="BM213" s="1" t="s">
        <v>3893</v>
      </c>
      <c r="BN213" s="1">
        <v>33396086</v>
      </c>
      <c r="BO213" s="1" t="s">
        <v>550</v>
      </c>
      <c r="BP213" s="1" t="s">
        <v>74</v>
      </c>
      <c r="BQ213" s="1" t="s">
        <v>74</v>
      </c>
      <c r="BR213" s="1" t="s">
        <v>98</v>
      </c>
      <c r="BS213" s="1" t="s">
        <v>3894</v>
      </c>
      <c r="BT213" s="1" t="str">
        <f>HYPERLINK("https%3A%2F%2Fwww.webofscience.com%2Fwos%2Fwoscc%2Ffull-record%2FWOS:000604137700005","View Full Record in Web of Science")</f>
        <v>View Full Record in Web of Science</v>
      </c>
    </row>
    <row r="214" spans="1:72">
      <c r="A214" s="1" t="s">
        <v>72</v>
      </c>
      <c r="B214" s="1" t="s">
        <v>3895</v>
      </c>
      <c r="C214" s="1" t="s">
        <v>74</v>
      </c>
      <c r="D214" s="1" t="s">
        <v>74</v>
      </c>
      <c r="E214" s="1" t="s">
        <v>74</v>
      </c>
      <c r="F214" s="1" t="s">
        <v>3896</v>
      </c>
      <c r="G214" s="1" t="s">
        <v>74</v>
      </c>
      <c r="H214" s="1" t="s">
        <v>74</v>
      </c>
      <c r="I214" s="1" t="s">
        <v>3897</v>
      </c>
      <c r="J214" s="1" t="s">
        <v>3898</v>
      </c>
      <c r="K214" s="1" t="s">
        <v>74</v>
      </c>
      <c r="L214" s="1" t="s">
        <v>74</v>
      </c>
      <c r="M214" s="1" t="s">
        <v>78</v>
      </c>
      <c r="N214" s="1" t="s">
        <v>79</v>
      </c>
      <c r="O214" s="1" t="s">
        <v>74</v>
      </c>
      <c r="P214" s="1" t="s">
        <v>74</v>
      </c>
      <c r="Q214" s="1" t="s">
        <v>74</v>
      </c>
      <c r="R214" s="1" t="s">
        <v>74</v>
      </c>
      <c r="S214" s="1" t="s">
        <v>74</v>
      </c>
      <c r="T214" s="1" t="s">
        <v>3899</v>
      </c>
      <c r="U214" s="1" t="s">
        <v>3900</v>
      </c>
      <c r="V214" s="1" t="s">
        <v>3901</v>
      </c>
      <c r="W214" s="1" t="s">
        <v>3902</v>
      </c>
      <c r="X214" s="1" t="s">
        <v>3903</v>
      </c>
      <c r="Y214" s="1" t="s">
        <v>3904</v>
      </c>
      <c r="Z214" s="1" t="s">
        <v>3905</v>
      </c>
      <c r="AA214" s="1" t="s">
        <v>3906</v>
      </c>
      <c r="AB214" s="1" t="s">
        <v>3907</v>
      </c>
      <c r="AC214" s="1" t="s">
        <v>3908</v>
      </c>
      <c r="AD214" s="1" t="s">
        <v>525</v>
      </c>
      <c r="AE214" s="1" t="s">
        <v>3909</v>
      </c>
      <c r="AF214" s="1" t="s">
        <v>74</v>
      </c>
      <c r="AG214" s="1">
        <v>40</v>
      </c>
      <c r="AH214" s="1">
        <v>20</v>
      </c>
      <c r="AI214" s="1">
        <v>22</v>
      </c>
      <c r="AJ214" s="1">
        <v>2</v>
      </c>
      <c r="AK214" s="1">
        <v>65</v>
      </c>
      <c r="AL214" s="1" t="s">
        <v>3910</v>
      </c>
      <c r="AM214" s="1" t="s">
        <v>3911</v>
      </c>
      <c r="AN214" s="1" t="s">
        <v>3912</v>
      </c>
      <c r="AO214" s="1" t="s">
        <v>3913</v>
      </c>
      <c r="AP214" s="1" t="s">
        <v>3914</v>
      </c>
      <c r="AQ214" s="1" t="s">
        <v>74</v>
      </c>
      <c r="AR214" s="1" t="s">
        <v>3915</v>
      </c>
      <c r="AS214" s="1" t="s">
        <v>3916</v>
      </c>
      <c r="AT214" s="1" t="s">
        <v>3917</v>
      </c>
      <c r="AU214" s="1">
        <v>2016</v>
      </c>
      <c r="AV214" s="1">
        <v>22</v>
      </c>
      <c r="AW214" s="1">
        <v>12</v>
      </c>
      <c r="AX214" s="1" t="s">
        <v>74</v>
      </c>
      <c r="AY214" s="1" t="s">
        <v>74</v>
      </c>
      <c r="AZ214" s="1" t="s">
        <v>74</v>
      </c>
      <c r="BA214" s="1" t="s">
        <v>74</v>
      </c>
      <c r="BB214" s="1">
        <v>3967</v>
      </c>
      <c r="BC214" s="1">
        <v>3970</v>
      </c>
      <c r="BD214" s="1" t="s">
        <v>74</v>
      </c>
      <c r="BE214" s="1" t="s">
        <v>3918</v>
      </c>
      <c r="BF214" s="1" t="str">
        <f>HYPERLINK("http://dx.doi.org/10.1002/chem.201600193","http://dx.doi.org/10.1002/chem.201600193")</f>
        <v>http://dx.doi.org/10.1002/chem.201600193</v>
      </c>
      <c r="BG214" s="1" t="s">
        <v>74</v>
      </c>
      <c r="BH214" s="1" t="s">
        <v>74</v>
      </c>
      <c r="BI214" s="1">
        <v>4</v>
      </c>
      <c r="BJ214" s="1" t="s">
        <v>3919</v>
      </c>
      <c r="BK214" s="1" t="s">
        <v>3920</v>
      </c>
      <c r="BL214" s="1" t="s">
        <v>1197</v>
      </c>
      <c r="BM214" s="1" t="s">
        <v>3921</v>
      </c>
      <c r="BN214" s="1">
        <v>26792102</v>
      </c>
      <c r="BO214" s="1" t="s">
        <v>74</v>
      </c>
      <c r="BP214" s="1" t="s">
        <v>74</v>
      </c>
      <c r="BQ214" s="1" t="s">
        <v>74</v>
      </c>
      <c r="BR214" s="1" t="s">
        <v>98</v>
      </c>
      <c r="BS214" s="1" t="s">
        <v>3922</v>
      </c>
      <c r="BT214" s="1" t="str">
        <f>HYPERLINK("https%3A%2F%2Fwww.webofscience.com%2Fwos%2Fwoscc%2Ffull-record%2FWOS:000372526500010","View Full Record in Web of Science")</f>
        <v>View Full Record in Web of Science</v>
      </c>
    </row>
    <row r="215" spans="1:72">
      <c r="A215" s="1" t="s">
        <v>72</v>
      </c>
      <c r="B215" s="1" t="s">
        <v>3923</v>
      </c>
      <c r="C215" s="1" t="s">
        <v>74</v>
      </c>
      <c r="D215" s="1" t="s">
        <v>74</v>
      </c>
      <c r="E215" s="1" t="s">
        <v>74</v>
      </c>
      <c r="F215" s="1" t="s">
        <v>3924</v>
      </c>
      <c r="G215" s="1" t="s">
        <v>74</v>
      </c>
      <c r="H215" s="1" t="s">
        <v>74</v>
      </c>
      <c r="I215" s="1" t="s">
        <v>3925</v>
      </c>
      <c r="J215" s="1" t="s">
        <v>3926</v>
      </c>
      <c r="K215" s="1" t="s">
        <v>74</v>
      </c>
      <c r="L215" s="1" t="s">
        <v>74</v>
      </c>
      <c r="M215" s="1" t="s">
        <v>78</v>
      </c>
      <c r="N215" s="1" t="s">
        <v>79</v>
      </c>
      <c r="O215" s="1" t="s">
        <v>74</v>
      </c>
      <c r="P215" s="1" t="s">
        <v>74</v>
      </c>
      <c r="Q215" s="1" t="s">
        <v>74</v>
      </c>
      <c r="R215" s="1" t="s">
        <v>74</v>
      </c>
      <c r="S215" s="1" t="s">
        <v>74</v>
      </c>
      <c r="T215" s="1" t="s">
        <v>3927</v>
      </c>
      <c r="U215" s="1" t="s">
        <v>3928</v>
      </c>
      <c r="V215" s="1" t="s">
        <v>3929</v>
      </c>
      <c r="W215" s="1" t="s">
        <v>3930</v>
      </c>
      <c r="X215" s="1" t="s">
        <v>3931</v>
      </c>
      <c r="Y215" s="1" t="s">
        <v>3932</v>
      </c>
      <c r="Z215" s="1" t="s">
        <v>3933</v>
      </c>
      <c r="AA215" s="1" t="s">
        <v>3934</v>
      </c>
      <c r="AB215" s="1" t="s">
        <v>3935</v>
      </c>
      <c r="AC215" s="1" t="s">
        <v>3936</v>
      </c>
      <c r="AD215" s="1" t="s">
        <v>3937</v>
      </c>
      <c r="AE215" s="1" t="s">
        <v>3938</v>
      </c>
      <c r="AF215" s="1" t="s">
        <v>74</v>
      </c>
      <c r="AG215" s="1">
        <v>63</v>
      </c>
      <c r="AH215" s="1">
        <v>11</v>
      </c>
      <c r="AI215" s="1">
        <v>12</v>
      </c>
      <c r="AJ215" s="1">
        <v>1</v>
      </c>
      <c r="AK215" s="1">
        <v>61</v>
      </c>
      <c r="AL215" s="1" t="s">
        <v>919</v>
      </c>
      <c r="AM215" s="1" t="s">
        <v>651</v>
      </c>
      <c r="AN215" s="1" t="s">
        <v>920</v>
      </c>
      <c r="AO215" s="1" t="s">
        <v>3939</v>
      </c>
      <c r="AP215" s="1" t="s">
        <v>3940</v>
      </c>
      <c r="AQ215" s="1" t="s">
        <v>74</v>
      </c>
      <c r="AR215" s="1" t="s">
        <v>3926</v>
      </c>
      <c r="AS215" s="1" t="s">
        <v>3941</v>
      </c>
      <c r="AT215" s="1" t="s">
        <v>3891</v>
      </c>
      <c r="AU215" s="1">
        <v>2019</v>
      </c>
      <c r="AV215" s="1">
        <v>499</v>
      </c>
      <c r="AW215" s="1" t="s">
        <v>74</v>
      </c>
      <c r="AX215" s="1" t="s">
        <v>74</v>
      </c>
      <c r="AY215" s="1" t="s">
        <v>74</v>
      </c>
      <c r="AZ215" s="1" t="s">
        <v>74</v>
      </c>
      <c r="BA215" s="1" t="s">
        <v>74</v>
      </c>
      <c r="BB215" s="1">
        <v>212</v>
      </c>
      <c r="BC215" s="1">
        <v>219</v>
      </c>
      <c r="BD215" s="1" t="s">
        <v>74</v>
      </c>
      <c r="BE215" s="1" t="s">
        <v>3942</v>
      </c>
      <c r="BF215" s="1" t="str">
        <f>HYPERLINK("http://dx.doi.org/10.1016/j.aquaculture.2018.09.021","http://dx.doi.org/10.1016/j.aquaculture.2018.09.021")</f>
        <v>http://dx.doi.org/10.1016/j.aquaculture.2018.09.021</v>
      </c>
      <c r="BG215" s="1" t="s">
        <v>74</v>
      </c>
      <c r="BH215" s="1" t="s">
        <v>74</v>
      </c>
      <c r="BI215" s="1">
        <v>8</v>
      </c>
      <c r="BJ215" s="1" t="s">
        <v>2391</v>
      </c>
      <c r="BK215" s="1" t="s">
        <v>96</v>
      </c>
      <c r="BL215" s="1" t="s">
        <v>2391</v>
      </c>
      <c r="BM215" s="1" t="s">
        <v>3943</v>
      </c>
      <c r="BN215" s="1" t="s">
        <v>74</v>
      </c>
      <c r="BO215" s="1" t="s">
        <v>74</v>
      </c>
      <c r="BP215" s="1" t="s">
        <v>74</v>
      </c>
      <c r="BQ215" s="1" t="s">
        <v>74</v>
      </c>
      <c r="BR215" s="1" t="s">
        <v>98</v>
      </c>
      <c r="BS215" s="1" t="s">
        <v>3944</v>
      </c>
      <c r="BT215" s="1" t="str">
        <f>HYPERLINK("https%3A%2F%2Fwww.webofscience.com%2Fwos%2Fwoscc%2Ffull-record%2FWOS:000447083800024","View Full Record in Web of Science")</f>
        <v>View Full Record in Web of Science</v>
      </c>
    </row>
    <row r="216" spans="1:72">
      <c r="A216" s="1" t="s">
        <v>72</v>
      </c>
      <c r="B216" s="1" t="s">
        <v>3945</v>
      </c>
      <c r="C216" s="1" t="s">
        <v>74</v>
      </c>
      <c r="D216" s="1" t="s">
        <v>74</v>
      </c>
      <c r="E216" s="1" t="s">
        <v>74</v>
      </c>
      <c r="F216" s="1" t="s">
        <v>3946</v>
      </c>
      <c r="G216" s="1" t="s">
        <v>74</v>
      </c>
      <c r="H216" s="1" t="s">
        <v>74</v>
      </c>
      <c r="I216" s="1" t="s">
        <v>3947</v>
      </c>
      <c r="J216" s="1" t="s">
        <v>3948</v>
      </c>
      <c r="K216" s="1" t="s">
        <v>74</v>
      </c>
      <c r="L216" s="1" t="s">
        <v>74</v>
      </c>
      <c r="M216" s="1" t="s">
        <v>78</v>
      </c>
      <c r="N216" s="1" t="s">
        <v>79</v>
      </c>
      <c r="O216" s="1" t="s">
        <v>74</v>
      </c>
      <c r="P216" s="1" t="s">
        <v>74</v>
      </c>
      <c r="Q216" s="1" t="s">
        <v>74</v>
      </c>
      <c r="R216" s="1" t="s">
        <v>74</v>
      </c>
      <c r="S216" s="1" t="s">
        <v>74</v>
      </c>
      <c r="T216" s="1" t="s">
        <v>3949</v>
      </c>
      <c r="U216" s="1" t="s">
        <v>3950</v>
      </c>
      <c r="V216" s="1" t="s">
        <v>3951</v>
      </c>
      <c r="W216" s="1" t="s">
        <v>3952</v>
      </c>
      <c r="X216" s="1" t="s">
        <v>3953</v>
      </c>
      <c r="Y216" s="1" t="s">
        <v>3954</v>
      </c>
      <c r="Z216" s="1" t="s">
        <v>3955</v>
      </c>
      <c r="AA216" s="1" t="s">
        <v>3956</v>
      </c>
      <c r="AB216" s="1" t="s">
        <v>3957</v>
      </c>
      <c r="AC216" s="1" t="s">
        <v>3958</v>
      </c>
      <c r="AD216" s="1" t="s">
        <v>3959</v>
      </c>
      <c r="AE216" s="1" t="s">
        <v>3960</v>
      </c>
      <c r="AF216" s="1" t="s">
        <v>74</v>
      </c>
      <c r="AG216" s="1">
        <v>34</v>
      </c>
      <c r="AH216" s="1">
        <v>11</v>
      </c>
      <c r="AI216" s="1">
        <v>14</v>
      </c>
      <c r="AJ216" s="1">
        <v>1</v>
      </c>
      <c r="AK216" s="1">
        <v>25</v>
      </c>
      <c r="AL216" s="1" t="s">
        <v>3961</v>
      </c>
      <c r="AM216" s="1" t="s">
        <v>286</v>
      </c>
      <c r="AN216" s="1" t="s">
        <v>3962</v>
      </c>
      <c r="AO216" s="1" t="s">
        <v>3963</v>
      </c>
      <c r="AP216" s="1" t="s">
        <v>3964</v>
      </c>
      <c r="AQ216" s="1" t="s">
        <v>74</v>
      </c>
      <c r="AR216" s="1" t="s">
        <v>3965</v>
      </c>
      <c r="AS216" s="1" t="s">
        <v>3966</v>
      </c>
      <c r="AT216" s="1" t="s">
        <v>267</v>
      </c>
      <c r="AU216" s="1">
        <v>2013</v>
      </c>
      <c r="AV216" s="1">
        <v>31</v>
      </c>
      <c r="AW216" s="1">
        <v>10</v>
      </c>
      <c r="AX216" s="1" t="s">
        <v>74</v>
      </c>
      <c r="AY216" s="1">
        <v>10</v>
      </c>
      <c r="AZ216" s="1" t="s">
        <v>225</v>
      </c>
      <c r="BA216" s="1" t="s">
        <v>74</v>
      </c>
      <c r="BB216" s="1">
        <v>75</v>
      </c>
      <c r="BC216" s="1">
        <v>80</v>
      </c>
      <c r="BD216" s="1" t="s">
        <v>74</v>
      </c>
      <c r="BE216" s="1" t="s">
        <v>3967</v>
      </c>
      <c r="BF216" s="1" t="str">
        <f>HYPERLINK("http://dx.doi.org/10.1177/0734242X13492840","http://dx.doi.org/10.1177/0734242X13492840")</f>
        <v>http://dx.doi.org/10.1177/0734242X13492840</v>
      </c>
      <c r="BG216" s="1" t="s">
        <v>74</v>
      </c>
      <c r="BH216" s="1" t="s">
        <v>74</v>
      </c>
      <c r="BI216" s="1">
        <v>6</v>
      </c>
      <c r="BJ216" s="1" t="s">
        <v>415</v>
      </c>
      <c r="BK216" s="1" t="s">
        <v>96</v>
      </c>
      <c r="BL216" s="1" t="s">
        <v>416</v>
      </c>
      <c r="BM216" s="1" t="s">
        <v>3968</v>
      </c>
      <c r="BN216" s="1">
        <v>23800442</v>
      </c>
      <c r="BO216" s="1" t="s">
        <v>74</v>
      </c>
      <c r="BP216" s="1" t="s">
        <v>74</v>
      </c>
      <c r="BQ216" s="1" t="s">
        <v>74</v>
      </c>
      <c r="BR216" s="1" t="s">
        <v>98</v>
      </c>
      <c r="BS216" s="1" t="s">
        <v>3969</v>
      </c>
      <c r="BT216" s="1" t="str">
        <f>HYPERLINK("https%3A%2F%2Fwww.webofscience.com%2Fwos%2Fwoscc%2Ffull-record%2FWOS:000329488200003","View Full Record in Web of Science")</f>
        <v>View Full Record in Web of Science</v>
      </c>
    </row>
    <row r="217" spans="1:72">
      <c r="A217" s="1" t="s">
        <v>72</v>
      </c>
      <c r="B217" s="1" t="s">
        <v>3970</v>
      </c>
      <c r="C217" s="1" t="s">
        <v>74</v>
      </c>
      <c r="D217" s="1" t="s">
        <v>74</v>
      </c>
      <c r="E217" s="1" t="s">
        <v>74</v>
      </c>
      <c r="F217" s="1" t="s">
        <v>3971</v>
      </c>
      <c r="G217" s="1" t="s">
        <v>74</v>
      </c>
      <c r="H217" s="1" t="s">
        <v>74</v>
      </c>
      <c r="I217" s="1" t="s">
        <v>3972</v>
      </c>
      <c r="J217" s="1" t="s">
        <v>3973</v>
      </c>
      <c r="K217" s="1" t="s">
        <v>74</v>
      </c>
      <c r="L217" s="1" t="s">
        <v>74</v>
      </c>
      <c r="M217" s="1" t="s">
        <v>78</v>
      </c>
      <c r="N217" s="1" t="s">
        <v>79</v>
      </c>
      <c r="O217" s="1" t="s">
        <v>74</v>
      </c>
      <c r="P217" s="1" t="s">
        <v>74</v>
      </c>
      <c r="Q217" s="1" t="s">
        <v>74</v>
      </c>
      <c r="R217" s="1" t="s">
        <v>74</v>
      </c>
      <c r="S217" s="1" t="s">
        <v>74</v>
      </c>
      <c r="T217" s="1" t="s">
        <v>3974</v>
      </c>
      <c r="U217" s="1" t="s">
        <v>3975</v>
      </c>
      <c r="V217" s="1" t="s">
        <v>3976</v>
      </c>
      <c r="W217" s="1" t="s">
        <v>3977</v>
      </c>
      <c r="X217" s="1" t="s">
        <v>3978</v>
      </c>
      <c r="Y217" s="1" t="s">
        <v>3979</v>
      </c>
      <c r="Z217" s="1" t="s">
        <v>3980</v>
      </c>
      <c r="AA217" s="1" t="s">
        <v>3981</v>
      </c>
      <c r="AB217" s="1" t="s">
        <v>3982</v>
      </c>
      <c r="AC217" s="1" t="s">
        <v>74</v>
      </c>
      <c r="AD217" s="1" t="s">
        <v>74</v>
      </c>
      <c r="AE217" s="1" t="s">
        <v>74</v>
      </c>
      <c r="AF217" s="1" t="s">
        <v>74</v>
      </c>
      <c r="AG217" s="1">
        <v>29</v>
      </c>
      <c r="AH217" s="1">
        <v>14</v>
      </c>
      <c r="AI217" s="1">
        <v>17</v>
      </c>
      <c r="AJ217" s="1">
        <v>0</v>
      </c>
      <c r="AK217" s="1">
        <v>24</v>
      </c>
      <c r="AL217" s="1" t="s">
        <v>3983</v>
      </c>
      <c r="AM217" s="1" t="s">
        <v>3984</v>
      </c>
      <c r="AN217" s="1" t="s">
        <v>3985</v>
      </c>
      <c r="AO217" s="1" t="s">
        <v>3986</v>
      </c>
      <c r="AP217" s="1" t="s">
        <v>3987</v>
      </c>
      <c r="AQ217" s="1" t="s">
        <v>74</v>
      </c>
      <c r="AR217" s="1" t="s">
        <v>3988</v>
      </c>
      <c r="AS217" s="1" t="s">
        <v>3989</v>
      </c>
      <c r="AT217" s="1" t="s">
        <v>170</v>
      </c>
      <c r="AU217" s="1">
        <v>2016</v>
      </c>
      <c r="AV217" s="1">
        <v>101</v>
      </c>
      <c r="AW217" s="1" t="s">
        <v>74</v>
      </c>
      <c r="AX217" s="1" t="s">
        <v>74</v>
      </c>
      <c r="AY217" s="1" t="s">
        <v>74</v>
      </c>
      <c r="AZ217" s="1" t="s">
        <v>225</v>
      </c>
      <c r="BA217" s="1" t="s">
        <v>74</v>
      </c>
      <c r="BB217" s="1">
        <v>2</v>
      </c>
      <c r="BC217" s="1">
        <v>8</v>
      </c>
      <c r="BD217" s="1" t="s">
        <v>74</v>
      </c>
      <c r="BE217" s="1" t="s">
        <v>3990</v>
      </c>
      <c r="BF217" s="1" t="str">
        <f>HYPERLINK("http://dx.doi.org/10.1016/j.psep.2016.01.013","http://dx.doi.org/10.1016/j.psep.2016.01.013")</f>
        <v>http://dx.doi.org/10.1016/j.psep.2016.01.013</v>
      </c>
      <c r="BG217" s="1" t="s">
        <v>74</v>
      </c>
      <c r="BH217" s="1" t="s">
        <v>74</v>
      </c>
      <c r="BI217" s="1">
        <v>7</v>
      </c>
      <c r="BJ217" s="1" t="s">
        <v>3991</v>
      </c>
      <c r="BK217" s="1" t="s">
        <v>96</v>
      </c>
      <c r="BL217" s="1" t="s">
        <v>3992</v>
      </c>
      <c r="BM217" s="1" t="s">
        <v>3993</v>
      </c>
      <c r="BN217" s="1" t="s">
        <v>74</v>
      </c>
      <c r="BO217" s="1" t="s">
        <v>74</v>
      </c>
      <c r="BP217" s="1" t="s">
        <v>74</v>
      </c>
      <c r="BQ217" s="1" t="s">
        <v>74</v>
      </c>
      <c r="BR217" s="1" t="s">
        <v>98</v>
      </c>
      <c r="BS217" s="1" t="s">
        <v>3994</v>
      </c>
      <c r="BT217" s="1" t="str">
        <f>HYPERLINK("https%3A%2F%2Fwww.webofscience.com%2Fwos%2Fwoscc%2Ffull-record%2FWOS:000378456500002","View Full Record in Web of Science")</f>
        <v>View Full Record in Web of Science</v>
      </c>
    </row>
    <row r="218" spans="1:72">
      <c r="A218" s="1" t="s">
        <v>72</v>
      </c>
      <c r="B218" s="1" t="s">
        <v>3995</v>
      </c>
      <c r="C218" s="1" t="s">
        <v>74</v>
      </c>
      <c r="D218" s="1" t="s">
        <v>74</v>
      </c>
      <c r="E218" s="1" t="s">
        <v>74</v>
      </c>
      <c r="F218" s="1" t="s">
        <v>3996</v>
      </c>
      <c r="G218" s="1" t="s">
        <v>74</v>
      </c>
      <c r="H218" s="1" t="s">
        <v>74</v>
      </c>
      <c r="I218" s="1" t="s">
        <v>3997</v>
      </c>
      <c r="J218" s="1" t="s">
        <v>704</v>
      </c>
      <c r="K218" s="1" t="s">
        <v>74</v>
      </c>
      <c r="L218" s="1" t="s">
        <v>74</v>
      </c>
      <c r="M218" s="1" t="s">
        <v>78</v>
      </c>
      <c r="N218" s="1" t="s">
        <v>79</v>
      </c>
      <c r="O218" s="1" t="s">
        <v>74</v>
      </c>
      <c r="P218" s="1" t="s">
        <v>74</v>
      </c>
      <c r="Q218" s="1" t="s">
        <v>74</v>
      </c>
      <c r="R218" s="1" t="s">
        <v>74</v>
      </c>
      <c r="S218" s="1" t="s">
        <v>74</v>
      </c>
      <c r="T218" s="1" t="s">
        <v>3998</v>
      </c>
      <c r="U218" s="1" t="s">
        <v>3999</v>
      </c>
      <c r="V218" s="1" t="s">
        <v>4000</v>
      </c>
      <c r="W218" s="1" t="s">
        <v>4001</v>
      </c>
      <c r="X218" s="1" t="s">
        <v>4002</v>
      </c>
      <c r="Y218" s="1" t="s">
        <v>4003</v>
      </c>
      <c r="Z218" s="1" t="s">
        <v>4004</v>
      </c>
      <c r="AA218" s="1" t="s">
        <v>4005</v>
      </c>
      <c r="AB218" s="1" t="s">
        <v>4006</v>
      </c>
      <c r="AC218" s="1" t="s">
        <v>4007</v>
      </c>
      <c r="AD218" s="1" t="s">
        <v>4008</v>
      </c>
      <c r="AE218" s="1" t="s">
        <v>4009</v>
      </c>
      <c r="AF218" s="1" t="s">
        <v>74</v>
      </c>
      <c r="AG218" s="1">
        <v>62</v>
      </c>
      <c r="AH218" s="1">
        <v>45</v>
      </c>
      <c r="AI218" s="1">
        <v>53</v>
      </c>
      <c r="AJ218" s="1">
        <v>1</v>
      </c>
      <c r="AK218" s="1">
        <v>38</v>
      </c>
      <c r="AL218" s="1" t="s">
        <v>4010</v>
      </c>
      <c r="AM218" s="1" t="s">
        <v>1167</v>
      </c>
      <c r="AN218" s="1" t="s">
        <v>1168</v>
      </c>
      <c r="AO218" s="1" t="s">
        <v>718</v>
      </c>
      <c r="AP218" s="1" t="s">
        <v>1169</v>
      </c>
      <c r="AQ218" s="1" t="s">
        <v>74</v>
      </c>
      <c r="AR218" s="1" t="s">
        <v>719</v>
      </c>
      <c r="AS218" s="1" t="s">
        <v>720</v>
      </c>
      <c r="AT218" s="1" t="s">
        <v>1470</v>
      </c>
      <c r="AU218" s="1">
        <v>2011</v>
      </c>
      <c r="AV218" s="1">
        <v>214</v>
      </c>
      <c r="AW218" s="1" t="s">
        <v>721</v>
      </c>
      <c r="AX218" s="1" t="s">
        <v>74</v>
      </c>
      <c r="AY218" s="1" t="s">
        <v>74</v>
      </c>
      <c r="AZ218" s="1" t="s">
        <v>74</v>
      </c>
      <c r="BA218" s="1" t="s">
        <v>74</v>
      </c>
      <c r="BB218" s="1">
        <v>499</v>
      </c>
      <c r="BC218" s="1">
        <v>507</v>
      </c>
      <c r="BD218" s="1" t="s">
        <v>74</v>
      </c>
      <c r="BE218" s="1" t="s">
        <v>4011</v>
      </c>
      <c r="BF218" s="1" t="str">
        <f>HYPERLINK("http://dx.doi.org/10.1007/s11270-010-0441-x","http://dx.doi.org/10.1007/s11270-010-0441-x")</f>
        <v>http://dx.doi.org/10.1007/s11270-010-0441-x</v>
      </c>
      <c r="BG218" s="1" t="s">
        <v>74</v>
      </c>
      <c r="BH218" s="1" t="s">
        <v>74</v>
      </c>
      <c r="BI218" s="1">
        <v>9</v>
      </c>
      <c r="BJ218" s="1" t="s">
        <v>722</v>
      </c>
      <c r="BK218" s="1" t="s">
        <v>96</v>
      </c>
      <c r="BL218" s="1" t="s">
        <v>723</v>
      </c>
      <c r="BM218" s="1" t="s">
        <v>4012</v>
      </c>
      <c r="BN218" s="1" t="s">
        <v>74</v>
      </c>
      <c r="BO218" s="1" t="s">
        <v>74</v>
      </c>
      <c r="BP218" s="1" t="s">
        <v>74</v>
      </c>
      <c r="BQ218" s="1" t="s">
        <v>74</v>
      </c>
      <c r="BR218" s="1" t="s">
        <v>98</v>
      </c>
      <c r="BS218" s="1" t="s">
        <v>4013</v>
      </c>
      <c r="BT218" s="1" t="str">
        <f>HYPERLINK("https%3A%2F%2Fwww.webofscience.com%2Fwos%2Fwoscc%2Ffull-record%2FWOS:000285468800040","View Full Record in Web of Science")</f>
        <v>View Full Record in Web of Science</v>
      </c>
    </row>
    <row r="219" spans="1:72">
      <c r="A219" s="1" t="s">
        <v>72</v>
      </c>
      <c r="B219" s="1" t="s">
        <v>4014</v>
      </c>
      <c r="C219" s="1" t="s">
        <v>74</v>
      </c>
      <c r="D219" s="1" t="s">
        <v>74</v>
      </c>
      <c r="E219" s="1" t="s">
        <v>74</v>
      </c>
      <c r="F219" s="1" t="s">
        <v>4014</v>
      </c>
      <c r="G219" s="1" t="s">
        <v>74</v>
      </c>
      <c r="H219" s="1" t="s">
        <v>74</v>
      </c>
      <c r="I219" s="1" t="s">
        <v>4015</v>
      </c>
      <c r="J219" s="1" t="s">
        <v>909</v>
      </c>
      <c r="K219" s="1" t="s">
        <v>74</v>
      </c>
      <c r="L219" s="1" t="s">
        <v>74</v>
      </c>
      <c r="M219" s="1" t="s">
        <v>78</v>
      </c>
      <c r="N219" s="1" t="s">
        <v>79</v>
      </c>
      <c r="O219" s="1" t="s">
        <v>74</v>
      </c>
      <c r="P219" s="1" t="s">
        <v>74</v>
      </c>
      <c r="Q219" s="1" t="s">
        <v>74</v>
      </c>
      <c r="R219" s="1" t="s">
        <v>74</v>
      </c>
      <c r="S219" s="1" t="s">
        <v>74</v>
      </c>
      <c r="T219" s="1" t="s">
        <v>4016</v>
      </c>
      <c r="U219" s="1" t="s">
        <v>4017</v>
      </c>
      <c r="V219" s="1" t="s">
        <v>4018</v>
      </c>
      <c r="W219" s="1" t="s">
        <v>4019</v>
      </c>
      <c r="X219" s="1" t="s">
        <v>4020</v>
      </c>
      <c r="Y219" s="1" t="s">
        <v>4021</v>
      </c>
      <c r="Z219" s="1" t="s">
        <v>74</v>
      </c>
      <c r="AA219" s="1" t="s">
        <v>4022</v>
      </c>
      <c r="AB219" s="1" t="s">
        <v>4023</v>
      </c>
      <c r="AC219" s="1" t="s">
        <v>74</v>
      </c>
      <c r="AD219" s="1" t="s">
        <v>74</v>
      </c>
      <c r="AE219" s="1" t="s">
        <v>74</v>
      </c>
      <c r="AF219" s="1" t="s">
        <v>74</v>
      </c>
      <c r="AG219" s="1">
        <v>30</v>
      </c>
      <c r="AH219" s="1">
        <v>87</v>
      </c>
      <c r="AI219" s="1">
        <v>91</v>
      </c>
      <c r="AJ219" s="1">
        <v>0</v>
      </c>
      <c r="AK219" s="1">
        <v>19</v>
      </c>
      <c r="AL219" s="1" t="s">
        <v>919</v>
      </c>
      <c r="AM219" s="1" t="s">
        <v>651</v>
      </c>
      <c r="AN219" s="1" t="s">
        <v>920</v>
      </c>
      <c r="AO219" s="1" t="s">
        <v>921</v>
      </c>
      <c r="AP219" s="1" t="s">
        <v>74</v>
      </c>
      <c r="AQ219" s="1" t="s">
        <v>74</v>
      </c>
      <c r="AR219" s="1" t="s">
        <v>923</v>
      </c>
      <c r="AS219" s="1" t="s">
        <v>924</v>
      </c>
      <c r="AT219" s="1" t="s">
        <v>1507</v>
      </c>
      <c r="AU219" s="1">
        <v>2002</v>
      </c>
      <c r="AV219" s="1">
        <v>288</v>
      </c>
      <c r="AW219" s="1">
        <v>3</v>
      </c>
      <c r="AX219" s="1" t="s">
        <v>74</v>
      </c>
      <c r="AY219" s="1" t="s">
        <v>74</v>
      </c>
      <c r="AZ219" s="1" t="s">
        <v>74</v>
      </c>
      <c r="BA219" s="1" t="s">
        <v>74</v>
      </c>
      <c r="BB219" s="1">
        <v>239</v>
      </c>
      <c r="BC219" s="1">
        <v>253</v>
      </c>
      <c r="BD219" s="1" t="s">
        <v>4024</v>
      </c>
      <c r="BE219" s="1" t="s">
        <v>4025</v>
      </c>
      <c r="BF219" s="1" t="str">
        <f>HYPERLINK("http://dx.doi.org/10.1016/S0048-9697(01)01010-5","http://dx.doi.org/10.1016/S0048-9697(01)01010-5")</f>
        <v>http://dx.doi.org/10.1016/S0048-9697(01)01010-5</v>
      </c>
      <c r="BG219" s="1" t="s">
        <v>74</v>
      </c>
      <c r="BH219" s="1" t="s">
        <v>74</v>
      </c>
      <c r="BI219" s="1">
        <v>15</v>
      </c>
      <c r="BJ219" s="1" t="s">
        <v>144</v>
      </c>
      <c r="BK219" s="1" t="s">
        <v>96</v>
      </c>
      <c r="BL219" s="1" t="s">
        <v>145</v>
      </c>
      <c r="BM219" s="1" t="s">
        <v>4026</v>
      </c>
      <c r="BN219" s="1">
        <v>11991527</v>
      </c>
      <c r="BO219" s="1" t="s">
        <v>74</v>
      </c>
      <c r="BP219" s="1" t="s">
        <v>74</v>
      </c>
      <c r="BQ219" s="1" t="s">
        <v>74</v>
      </c>
      <c r="BR219" s="1" t="s">
        <v>98</v>
      </c>
      <c r="BS219" s="1" t="s">
        <v>4027</v>
      </c>
      <c r="BT219" s="1" t="str">
        <f>HYPERLINK("https%3A%2F%2Fwww.webofscience.com%2Fwos%2Fwoscc%2Ffull-record%2FWOS:000174900400006","View Full Record in Web of Science")</f>
        <v>View Full Record in Web of Science</v>
      </c>
    </row>
    <row r="220" spans="1:72">
      <c r="A220" s="1" t="s">
        <v>72</v>
      </c>
      <c r="B220" s="1" t="s">
        <v>4028</v>
      </c>
      <c r="C220" s="1" t="s">
        <v>74</v>
      </c>
      <c r="D220" s="1" t="s">
        <v>74</v>
      </c>
      <c r="E220" s="1" t="s">
        <v>74</v>
      </c>
      <c r="F220" s="1" t="s">
        <v>4029</v>
      </c>
      <c r="G220" s="1" t="s">
        <v>74</v>
      </c>
      <c r="H220" s="1" t="s">
        <v>74</v>
      </c>
      <c r="I220" s="1" t="s">
        <v>4030</v>
      </c>
      <c r="J220" s="1" t="s">
        <v>232</v>
      </c>
      <c r="K220" s="1" t="s">
        <v>74</v>
      </c>
      <c r="L220" s="1" t="s">
        <v>74</v>
      </c>
      <c r="M220" s="1" t="s">
        <v>78</v>
      </c>
      <c r="N220" s="1" t="s">
        <v>79</v>
      </c>
      <c r="O220" s="1" t="s">
        <v>74</v>
      </c>
      <c r="P220" s="1" t="s">
        <v>74</v>
      </c>
      <c r="Q220" s="1" t="s">
        <v>74</v>
      </c>
      <c r="R220" s="1" t="s">
        <v>74</v>
      </c>
      <c r="S220" s="1" t="s">
        <v>74</v>
      </c>
      <c r="T220" s="1" t="s">
        <v>4031</v>
      </c>
      <c r="U220" s="1" t="s">
        <v>4032</v>
      </c>
      <c r="V220" s="1" t="s">
        <v>4033</v>
      </c>
      <c r="W220" s="1" t="s">
        <v>4034</v>
      </c>
      <c r="X220" s="1" t="s">
        <v>4035</v>
      </c>
      <c r="Y220" s="1" t="s">
        <v>4036</v>
      </c>
      <c r="Z220" s="1" t="s">
        <v>4037</v>
      </c>
      <c r="AA220" s="1" t="s">
        <v>74</v>
      </c>
      <c r="AB220" s="1" t="s">
        <v>4038</v>
      </c>
      <c r="AC220" s="1" t="s">
        <v>4039</v>
      </c>
      <c r="AD220" s="1" t="s">
        <v>4040</v>
      </c>
      <c r="AE220" s="1" t="s">
        <v>4041</v>
      </c>
      <c r="AF220" s="1" t="s">
        <v>74</v>
      </c>
      <c r="AG220" s="1">
        <v>60</v>
      </c>
      <c r="AH220" s="1">
        <v>86</v>
      </c>
      <c r="AI220" s="1">
        <v>99</v>
      </c>
      <c r="AJ220" s="1">
        <v>2</v>
      </c>
      <c r="AK220" s="1">
        <v>58</v>
      </c>
      <c r="AL220" s="1" t="s">
        <v>136</v>
      </c>
      <c r="AM220" s="1" t="s">
        <v>137</v>
      </c>
      <c r="AN220" s="1" t="s">
        <v>138</v>
      </c>
      <c r="AO220" s="1" t="s">
        <v>240</v>
      </c>
      <c r="AP220" s="1" t="s">
        <v>241</v>
      </c>
      <c r="AQ220" s="1" t="s">
        <v>74</v>
      </c>
      <c r="AR220" s="1" t="s">
        <v>242</v>
      </c>
      <c r="AS220" s="1" t="s">
        <v>243</v>
      </c>
      <c r="AT220" s="1" t="s">
        <v>197</v>
      </c>
      <c r="AU220" s="1">
        <v>2012</v>
      </c>
      <c r="AV220" s="1">
        <v>64</v>
      </c>
      <c r="AW220" s="1">
        <v>12</v>
      </c>
      <c r="AX220" s="1" t="s">
        <v>74</v>
      </c>
      <c r="AY220" s="1" t="s">
        <v>74</v>
      </c>
      <c r="AZ220" s="1" t="s">
        <v>74</v>
      </c>
      <c r="BA220" s="1" t="s">
        <v>74</v>
      </c>
      <c r="BB220" s="1">
        <v>2663</v>
      </c>
      <c r="BC220" s="1">
        <v>2670</v>
      </c>
      <c r="BD220" s="1" t="s">
        <v>74</v>
      </c>
      <c r="BE220" s="1" t="s">
        <v>4042</v>
      </c>
      <c r="BF220" s="1" t="str">
        <f>HYPERLINK("http://dx.doi.org/10.1016/j.marpolbul.2012.10.009","http://dx.doi.org/10.1016/j.marpolbul.2012.10.009")</f>
        <v>http://dx.doi.org/10.1016/j.marpolbul.2012.10.009</v>
      </c>
      <c r="BG220" s="1" t="s">
        <v>74</v>
      </c>
      <c r="BH220" s="1" t="s">
        <v>74</v>
      </c>
      <c r="BI220" s="1">
        <v>8</v>
      </c>
      <c r="BJ220" s="1" t="s">
        <v>247</v>
      </c>
      <c r="BK220" s="1" t="s">
        <v>96</v>
      </c>
      <c r="BL220" s="1" t="s">
        <v>248</v>
      </c>
      <c r="BM220" s="1" t="s">
        <v>4043</v>
      </c>
      <c r="BN220" s="1">
        <v>23122627</v>
      </c>
      <c r="BO220" s="1" t="s">
        <v>74</v>
      </c>
      <c r="BP220" s="1" t="s">
        <v>74</v>
      </c>
      <c r="BQ220" s="1" t="s">
        <v>74</v>
      </c>
      <c r="BR220" s="1" t="s">
        <v>98</v>
      </c>
      <c r="BS220" s="1" t="s">
        <v>4044</v>
      </c>
      <c r="BT220" s="1" t="str">
        <f>HYPERLINK("https%3A%2F%2Fwww.webofscience.com%2Fwos%2Fwoscc%2Ffull-record%2FWOS:000313380800021","View Full Record in Web of Science")</f>
        <v>View Full Record in Web of Science</v>
      </c>
    </row>
    <row r="221" spans="1:72">
      <c r="A221" s="1" t="s">
        <v>72</v>
      </c>
      <c r="B221" s="1" t="s">
        <v>4045</v>
      </c>
      <c r="C221" s="1" t="s">
        <v>74</v>
      </c>
      <c r="D221" s="1" t="s">
        <v>74</v>
      </c>
      <c r="E221" s="1" t="s">
        <v>74</v>
      </c>
      <c r="F221" s="1" t="s">
        <v>4046</v>
      </c>
      <c r="G221" s="1" t="s">
        <v>74</v>
      </c>
      <c r="H221" s="1" t="s">
        <v>74</v>
      </c>
      <c r="I221" s="1" t="s">
        <v>4047</v>
      </c>
      <c r="J221" s="1" t="s">
        <v>4048</v>
      </c>
      <c r="K221" s="1" t="s">
        <v>74</v>
      </c>
      <c r="L221" s="1" t="s">
        <v>74</v>
      </c>
      <c r="M221" s="1" t="s">
        <v>78</v>
      </c>
      <c r="N221" s="1" t="s">
        <v>79</v>
      </c>
      <c r="O221" s="1" t="s">
        <v>74</v>
      </c>
      <c r="P221" s="1" t="s">
        <v>74</v>
      </c>
      <c r="Q221" s="1" t="s">
        <v>74</v>
      </c>
      <c r="R221" s="1" t="s">
        <v>74</v>
      </c>
      <c r="S221" s="1" t="s">
        <v>74</v>
      </c>
      <c r="T221" s="1" t="s">
        <v>4049</v>
      </c>
      <c r="U221" s="1" t="s">
        <v>4050</v>
      </c>
      <c r="V221" s="1" t="s">
        <v>4051</v>
      </c>
      <c r="W221" s="1" t="s">
        <v>4052</v>
      </c>
      <c r="X221" s="1" t="s">
        <v>4053</v>
      </c>
      <c r="Y221" s="1" t="s">
        <v>4054</v>
      </c>
      <c r="Z221" s="1" t="s">
        <v>4055</v>
      </c>
      <c r="AA221" s="1" t="s">
        <v>4056</v>
      </c>
      <c r="AB221" s="1" t="s">
        <v>74</v>
      </c>
      <c r="AC221" s="1" t="s">
        <v>4057</v>
      </c>
      <c r="AD221" s="1" t="s">
        <v>4058</v>
      </c>
      <c r="AE221" s="1" t="s">
        <v>4059</v>
      </c>
      <c r="AF221" s="1" t="s">
        <v>74</v>
      </c>
      <c r="AG221" s="1">
        <v>30</v>
      </c>
      <c r="AH221" s="1">
        <v>2</v>
      </c>
      <c r="AI221" s="1">
        <v>2</v>
      </c>
      <c r="AJ221" s="1">
        <v>0</v>
      </c>
      <c r="AK221" s="1">
        <v>2</v>
      </c>
      <c r="AL221" s="1" t="s">
        <v>4048</v>
      </c>
      <c r="AM221" s="1" t="s">
        <v>4060</v>
      </c>
      <c r="AN221" s="1" t="s">
        <v>4061</v>
      </c>
      <c r="AO221" s="1" t="s">
        <v>4062</v>
      </c>
      <c r="AP221" s="1" t="s">
        <v>74</v>
      </c>
      <c r="AQ221" s="1" t="s">
        <v>74</v>
      </c>
      <c r="AR221" s="1" t="s">
        <v>4063</v>
      </c>
      <c r="AS221" s="1" t="s">
        <v>4064</v>
      </c>
      <c r="AT221" s="1" t="s">
        <v>74</v>
      </c>
      <c r="AU221" s="1">
        <v>2016</v>
      </c>
      <c r="AV221" s="1">
        <v>68</v>
      </c>
      <c r="AW221" s="1" t="s">
        <v>74</v>
      </c>
      <c r="AX221" s="1" t="s">
        <v>74</v>
      </c>
      <c r="AY221" s="1" t="s">
        <v>74</v>
      </c>
      <c r="AZ221" s="1" t="s">
        <v>74</v>
      </c>
      <c r="BA221" s="1" t="s">
        <v>74</v>
      </c>
      <c r="BB221" s="1" t="s">
        <v>74</v>
      </c>
      <c r="BC221" s="1" t="s">
        <v>74</v>
      </c>
      <c r="BD221" s="1">
        <v>1299</v>
      </c>
      <c r="BE221" s="1" t="s">
        <v>74</v>
      </c>
      <c r="BF221" s="1" t="s">
        <v>74</v>
      </c>
      <c r="BG221" s="1" t="s">
        <v>74</v>
      </c>
      <c r="BH221" s="1" t="s">
        <v>74</v>
      </c>
      <c r="BI221" s="1">
        <v>10</v>
      </c>
      <c r="BJ221" s="1" t="s">
        <v>746</v>
      </c>
      <c r="BK221" s="1" t="s">
        <v>96</v>
      </c>
      <c r="BL221" s="1" t="s">
        <v>746</v>
      </c>
      <c r="BM221" s="1" t="s">
        <v>4065</v>
      </c>
      <c r="BN221" s="1" t="s">
        <v>74</v>
      </c>
      <c r="BO221" s="1" t="s">
        <v>74</v>
      </c>
      <c r="BP221" s="1" t="s">
        <v>74</v>
      </c>
      <c r="BQ221" s="1" t="s">
        <v>74</v>
      </c>
      <c r="BR221" s="1" t="s">
        <v>98</v>
      </c>
      <c r="BS221" s="1" t="s">
        <v>4066</v>
      </c>
      <c r="BT221" s="1" t="str">
        <f>HYPERLINK("https%3A%2F%2Fwww.webofscience.com%2Fwos%2Fwoscc%2Ffull-record%2FWOS:000390599100001","View Full Record in Web of Science")</f>
        <v>View Full Record in Web of Science</v>
      </c>
    </row>
    <row r="222" spans="1:72">
      <c r="A222" s="1" t="s">
        <v>72</v>
      </c>
      <c r="B222" s="1" t="s">
        <v>4067</v>
      </c>
      <c r="C222" s="1" t="s">
        <v>74</v>
      </c>
      <c r="D222" s="1" t="s">
        <v>74</v>
      </c>
      <c r="E222" s="1" t="s">
        <v>74</v>
      </c>
      <c r="F222" s="1" t="s">
        <v>4068</v>
      </c>
      <c r="G222" s="1" t="s">
        <v>74</v>
      </c>
      <c r="H222" s="1" t="s">
        <v>74</v>
      </c>
      <c r="I222" s="1" t="s">
        <v>4069</v>
      </c>
      <c r="J222" s="1" t="s">
        <v>127</v>
      </c>
      <c r="K222" s="1" t="s">
        <v>74</v>
      </c>
      <c r="L222" s="1" t="s">
        <v>74</v>
      </c>
      <c r="M222" s="1" t="s">
        <v>78</v>
      </c>
      <c r="N222" s="1" t="s">
        <v>79</v>
      </c>
      <c r="O222" s="1" t="s">
        <v>74</v>
      </c>
      <c r="P222" s="1" t="s">
        <v>74</v>
      </c>
      <c r="Q222" s="1" t="s">
        <v>74</v>
      </c>
      <c r="R222" s="1" t="s">
        <v>74</v>
      </c>
      <c r="S222" s="1" t="s">
        <v>74</v>
      </c>
      <c r="T222" s="1" t="s">
        <v>4070</v>
      </c>
      <c r="U222" s="1" t="s">
        <v>4071</v>
      </c>
      <c r="V222" s="1" t="s">
        <v>4072</v>
      </c>
      <c r="W222" s="1" t="s">
        <v>4073</v>
      </c>
      <c r="X222" s="1" t="s">
        <v>4074</v>
      </c>
      <c r="Y222" s="1" t="s">
        <v>4075</v>
      </c>
      <c r="Z222" s="1" t="s">
        <v>4076</v>
      </c>
      <c r="AA222" s="1" t="s">
        <v>4077</v>
      </c>
      <c r="AB222" s="1" t="s">
        <v>4078</v>
      </c>
      <c r="AC222" s="1" t="s">
        <v>4079</v>
      </c>
      <c r="AD222" s="1" t="s">
        <v>4080</v>
      </c>
      <c r="AE222" s="1" t="s">
        <v>4081</v>
      </c>
      <c r="AF222" s="1" t="s">
        <v>74</v>
      </c>
      <c r="AG222" s="1">
        <v>62</v>
      </c>
      <c r="AH222" s="1">
        <v>11</v>
      </c>
      <c r="AI222" s="1">
        <v>16</v>
      </c>
      <c r="AJ222" s="1">
        <v>2</v>
      </c>
      <c r="AK222" s="1">
        <v>35</v>
      </c>
      <c r="AL222" s="1" t="s">
        <v>136</v>
      </c>
      <c r="AM222" s="1" t="s">
        <v>137</v>
      </c>
      <c r="AN222" s="1" t="s">
        <v>138</v>
      </c>
      <c r="AO222" s="1" t="s">
        <v>139</v>
      </c>
      <c r="AP222" s="1" t="s">
        <v>140</v>
      </c>
      <c r="AQ222" s="1" t="s">
        <v>74</v>
      </c>
      <c r="AR222" s="1" t="s">
        <v>127</v>
      </c>
      <c r="AS222" s="1" t="s">
        <v>141</v>
      </c>
      <c r="AT222" s="1" t="s">
        <v>93</v>
      </c>
      <c r="AU222" s="1">
        <v>2012</v>
      </c>
      <c r="AV222" s="1">
        <v>87</v>
      </c>
      <c r="AW222" s="1">
        <v>4</v>
      </c>
      <c r="AX222" s="1" t="s">
        <v>74</v>
      </c>
      <c r="AY222" s="1" t="s">
        <v>74</v>
      </c>
      <c r="AZ222" s="1" t="s">
        <v>74</v>
      </c>
      <c r="BA222" s="1" t="s">
        <v>74</v>
      </c>
      <c r="BB222" s="1">
        <v>397</v>
      </c>
      <c r="BC222" s="1">
        <v>403</v>
      </c>
      <c r="BD222" s="1" t="s">
        <v>74</v>
      </c>
      <c r="BE222" s="1" t="s">
        <v>4082</v>
      </c>
      <c r="BF222" s="1" t="str">
        <f>HYPERLINK("http://dx.doi.org/10.1016/j.chemosphere.2011.12.032","http://dx.doi.org/10.1016/j.chemosphere.2011.12.032")</f>
        <v>http://dx.doi.org/10.1016/j.chemosphere.2011.12.032</v>
      </c>
      <c r="BG222" s="1" t="s">
        <v>74</v>
      </c>
      <c r="BH222" s="1" t="s">
        <v>74</v>
      </c>
      <c r="BI222" s="1">
        <v>7</v>
      </c>
      <c r="BJ222" s="1" t="s">
        <v>144</v>
      </c>
      <c r="BK222" s="1" t="s">
        <v>96</v>
      </c>
      <c r="BL222" s="1" t="s">
        <v>145</v>
      </c>
      <c r="BM222" s="1" t="s">
        <v>4083</v>
      </c>
      <c r="BN222" s="1">
        <v>22230729</v>
      </c>
      <c r="BO222" s="1" t="s">
        <v>74</v>
      </c>
      <c r="BP222" s="1" t="s">
        <v>74</v>
      </c>
      <c r="BQ222" s="1" t="s">
        <v>74</v>
      </c>
      <c r="BR222" s="1" t="s">
        <v>98</v>
      </c>
      <c r="BS222" s="1" t="s">
        <v>4084</v>
      </c>
      <c r="BT222" s="1" t="str">
        <f>HYPERLINK("https%3A%2F%2Fwww.webofscience.com%2Fwos%2Fwoscc%2Ffull-record%2FWOS:000302045600015","View Full Record in Web of Science")</f>
        <v>View Full Record in Web of Science</v>
      </c>
    </row>
    <row r="223" spans="1:72">
      <c r="A223" s="1" t="s">
        <v>72</v>
      </c>
      <c r="B223" s="1" t="s">
        <v>4085</v>
      </c>
      <c r="C223" s="1" t="s">
        <v>74</v>
      </c>
      <c r="D223" s="1" t="s">
        <v>74</v>
      </c>
      <c r="E223" s="1" t="s">
        <v>74</v>
      </c>
      <c r="F223" s="1" t="s">
        <v>4086</v>
      </c>
      <c r="G223" s="1" t="s">
        <v>74</v>
      </c>
      <c r="H223" s="1" t="s">
        <v>74</v>
      </c>
      <c r="I223" s="1" t="s">
        <v>4087</v>
      </c>
      <c r="J223" s="1" t="s">
        <v>554</v>
      </c>
      <c r="K223" s="1" t="s">
        <v>74</v>
      </c>
      <c r="L223" s="1" t="s">
        <v>74</v>
      </c>
      <c r="M223" s="1" t="s">
        <v>78</v>
      </c>
      <c r="N223" s="1" t="s">
        <v>79</v>
      </c>
      <c r="O223" s="1" t="s">
        <v>74</v>
      </c>
      <c r="P223" s="1" t="s">
        <v>74</v>
      </c>
      <c r="Q223" s="1" t="s">
        <v>74</v>
      </c>
      <c r="R223" s="1" t="s">
        <v>74</v>
      </c>
      <c r="S223" s="1" t="s">
        <v>74</v>
      </c>
      <c r="T223" s="1" t="s">
        <v>4088</v>
      </c>
      <c r="U223" s="1" t="s">
        <v>4089</v>
      </c>
      <c r="V223" s="1" t="s">
        <v>4090</v>
      </c>
      <c r="W223" s="1" t="s">
        <v>4091</v>
      </c>
      <c r="X223" s="1" t="s">
        <v>4092</v>
      </c>
      <c r="Y223" s="1" t="s">
        <v>4093</v>
      </c>
      <c r="Z223" s="1" t="s">
        <v>74</v>
      </c>
      <c r="AA223" s="1" t="s">
        <v>4094</v>
      </c>
      <c r="AB223" s="1" t="s">
        <v>4095</v>
      </c>
      <c r="AC223" s="1" t="s">
        <v>4096</v>
      </c>
      <c r="AD223" s="1" t="s">
        <v>4097</v>
      </c>
      <c r="AE223" s="1" t="s">
        <v>4098</v>
      </c>
      <c r="AF223" s="1" t="s">
        <v>74</v>
      </c>
      <c r="AG223" s="1">
        <v>72</v>
      </c>
      <c r="AH223" s="1">
        <v>1</v>
      </c>
      <c r="AI223" s="1">
        <v>1</v>
      </c>
      <c r="AJ223" s="1">
        <v>7</v>
      </c>
      <c r="AK223" s="1">
        <v>16</v>
      </c>
      <c r="AL223" s="1" t="s">
        <v>564</v>
      </c>
      <c r="AM223" s="1" t="s">
        <v>113</v>
      </c>
      <c r="AN223" s="1" t="s">
        <v>807</v>
      </c>
      <c r="AO223" s="1" t="s">
        <v>566</v>
      </c>
      <c r="AP223" s="1" t="s">
        <v>567</v>
      </c>
      <c r="AQ223" s="1" t="s">
        <v>74</v>
      </c>
      <c r="AR223" s="1" t="s">
        <v>568</v>
      </c>
      <c r="AS223" s="1" t="s">
        <v>569</v>
      </c>
      <c r="AT223" s="1" t="s">
        <v>119</v>
      </c>
      <c r="AU223" s="1">
        <v>2023</v>
      </c>
      <c r="AV223" s="1">
        <v>270</v>
      </c>
      <c r="AW223" s="1" t="s">
        <v>74</v>
      </c>
      <c r="AX223" s="1" t="s">
        <v>74</v>
      </c>
      <c r="AY223" s="1" t="s">
        <v>74</v>
      </c>
      <c r="AZ223" s="1" t="s">
        <v>74</v>
      </c>
      <c r="BA223" s="1" t="s">
        <v>74</v>
      </c>
      <c r="BB223" s="1" t="s">
        <v>74</v>
      </c>
      <c r="BC223" s="1" t="s">
        <v>74</v>
      </c>
      <c r="BD223" s="1">
        <v>109641</v>
      </c>
      <c r="BE223" s="1" t="s">
        <v>4099</v>
      </c>
      <c r="BF223" s="1" t="str">
        <f>HYPERLINK("http://dx.doi.org/10.1016/j.cbpc.2023.109641","http://dx.doi.org/10.1016/j.cbpc.2023.109641")</f>
        <v>http://dx.doi.org/10.1016/j.cbpc.2023.109641</v>
      </c>
      <c r="BG223" s="1" t="s">
        <v>74</v>
      </c>
      <c r="BH223" s="1" t="s">
        <v>2259</v>
      </c>
      <c r="BI223" s="1">
        <v>11</v>
      </c>
      <c r="BJ223" s="1" t="s">
        <v>571</v>
      </c>
      <c r="BK223" s="1" t="s">
        <v>96</v>
      </c>
      <c r="BL223" s="1" t="s">
        <v>571</v>
      </c>
      <c r="BM223" s="1" t="s">
        <v>4100</v>
      </c>
      <c r="BN223" s="1">
        <v>37137384</v>
      </c>
      <c r="BO223" s="1" t="s">
        <v>74</v>
      </c>
      <c r="BP223" s="1" t="s">
        <v>74</v>
      </c>
      <c r="BQ223" s="1" t="s">
        <v>74</v>
      </c>
      <c r="BR223" s="1" t="s">
        <v>98</v>
      </c>
      <c r="BS223" s="1" t="s">
        <v>4101</v>
      </c>
      <c r="BT223" s="1" t="str">
        <f>HYPERLINK("https%3A%2F%2Fwww.webofscience.com%2Fwos%2Fwoscc%2Ffull-record%2FWOS:001053558000001","View Full Record in Web of Science")</f>
        <v>View Full Record in Web of Science</v>
      </c>
    </row>
    <row r="224" spans="1:72">
      <c r="A224" s="1" t="s">
        <v>72</v>
      </c>
      <c r="B224" s="1" t="s">
        <v>4102</v>
      </c>
      <c r="C224" s="1" t="s">
        <v>74</v>
      </c>
      <c r="D224" s="1" t="s">
        <v>74</v>
      </c>
      <c r="E224" s="1" t="s">
        <v>74</v>
      </c>
      <c r="F224" s="1" t="s">
        <v>4103</v>
      </c>
      <c r="G224" s="1" t="s">
        <v>74</v>
      </c>
      <c r="H224" s="1" t="s">
        <v>74</v>
      </c>
      <c r="I224" s="1" t="s">
        <v>4104</v>
      </c>
      <c r="J224" s="1" t="s">
        <v>4105</v>
      </c>
      <c r="K224" s="1" t="s">
        <v>74</v>
      </c>
      <c r="L224" s="1" t="s">
        <v>74</v>
      </c>
      <c r="M224" s="1" t="s">
        <v>78</v>
      </c>
      <c r="N224" s="1" t="s">
        <v>79</v>
      </c>
      <c r="O224" s="1" t="s">
        <v>74</v>
      </c>
      <c r="P224" s="1" t="s">
        <v>74</v>
      </c>
      <c r="Q224" s="1" t="s">
        <v>74</v>
      </c>
      <c r="R224" s="1" t="s">
        <v>74</v>
      </c>
      <c r="S224" s="1" t="s">
        <v>74</v>
      </c>
      <c r="T224" s="1" t="s">
        <v>4106</v>
      </c>
      <c r="U224" s="1" t="s">
        <v>4107</v>
      </c>
      <c r="V224" s="1" t="s">
        <v>4108</v>
      </c>
      <c r="W224" s="1" t="s">
        <v>4109</v>
      </c>
      <c r="X224" s="1" t="s">
        <v>4110</v>
      </c>
      <c r="Y224" s="1" t="s">
        <v>4111</v>
      </c>
      <c r="Z224" s="1" t="s">
        <v>4112</v>
      </c>
      <c r="AA224" s="1" t="s">
        <v>4113</v>
      </c>
      <c r="AB224" s="1" t="s">
        <v>74</v>
      </c>
      <c r="AC224" s="1" t="s">
        <v>74</v>
      </c>
      <c r="AD224" s="1" t="s">
        <v>74</v>
      </c>
      <c r="AE224" s="1" t="s">
        <v>74</v>
      </c>
      <c r="AF224" s="1" t="s">
        <v>74</v>
      </c>
      <c r="AG224" s="1">
        <v>33</v>
      </c>
      <c r="AH224" s="1">
        <v>39</v>
      </c>
      <c r="AI224" s="1">
        <v>51</v>
      </c>
      <c r="AJ224" s="1">
        <v>0</v>
      </c>
      <c r="AK224" s="1">
        <v>4</v>
      </c>
      <c r="AL224" s="1" t="s">
        <v>4114</v>
      </c>
      <c r="AM224" s="1" t="s">
        <v>4115</v>
      </c>
      <c r="AN224" s="1" t="s">
        <v>4116</v>
      </c>
      <c r="AO224" s="1" t="s">
        <v>4117</v>
      </c>
      <c r="AP224" s="1" t="s">
        <v>74</v>
      </c>
      <c r="AQ224" s="1" t="s">
        <v>74</v>
      </c>
      <c r="AR224" s="1" t="s">
        <v>4118</v>
      </c>
      <c r="AS224" s="1" t="s">
        <v>4119</v>
      </c>
      <c r="AT224" s="1" t="s">
        <v>951</v>
      </c>
      <c r="AU224" s="1">
        <v>2006</v>
      </c>
      <c r="AV224" s="1">
        <v>1</v>
      </c>
      <c r="AW224" s="1">
        <v>4</v>
      </c>
      <c r="AX224" s="1" t="s">
        <v>74</v>
      </c>
      <c r="AY224" s="1" t="s">
        <v>74</v>
      </c>
      <c r="AZ224" s="1" t="s">
        <v>74</v>
      </c>
      <c r="BA224" s="1" t="s">
        <v>74</v>
      </c>
      <c r="BB224" s="1">
        <v>85</v>
      </c>
      <c r="BC224" s="1">
        <v>90</v>
      </c>
      <c r="BD224" s="1" t="s">
        <v>74</v>
      </c>
      <c r="BE224" s="1" t="s">
        <v>74</v>
      </c>
      <c r="BF224" s="1" t="s">
        <v>74</v>
      </c>
      <c r="BG224" s="1" t="s">
        <v>74</v>
      </c>
      <c r="BH224" s="1" t="s">
        <v>74</v>
      </c>
      <c r="BI224" s="1">
        <v>6</v>
      </c>
      <c r="BJ224" s="1" t="s">
        <v>4120</v>
      </c>
      <c r="BK224" s="1" t="s">
        <v>96</v>
      </c>
      <c r="BL224" s="1" t="s">
        <v>4121</v>
      </c>
      <c r="BM224" s="1" t="s">
        <v>4122</v>
      </c>
      <c r="BN224" s="1" t="s">
        <v>74</v>
      </c>
      <c r="BO224" s="1" t="s">
        <v>74</v>
      </c>
      <c r="BP224" s="1" t="s">
        <v>74</v>
      </c>
      <c r="BQ224" s="1" t="s">
        <v>74</v>
      </c>
      <c r="BR224" s="1" t="s">
        <v>98</v>
      </c>
      <c r="BS224" s="1" t="s">
        <v>4123</v>
      </c>
      <c r="BT224" s="1" t="str">
        <f>HYPERLINK("https%3A%2F%2Fwww.webofscience.com%2Fwos%2Fwoscc%2Ffull-record%2FWOS:000204046500002","View Full Record in Web of Science")</f>
        <v>View Full Record in Web of Science</v>
      </c>
    </row>
    <row r="225" spans="1:72">
      <c r="A225" s="1" t="s">
        <v>72</v>
      </c>
      <c r="B225" s="1" t="s">
        <v>4124</v>
      </c>
      <c r="C225" s="1" t="s">
        <v>74</v>
      </c>
      <c r="D225" s="1" t="s">
        <v>74</v>
      </c>
      <c r="E225" s="1" t="s">
        <v>74</v>
      </c>
      <c r="F225" s="1" t="s">
        <v>4125</v>
      </c>
      <c r="G225" s="1" t="s">
        <v>74</v>
      </c>
      <c r="H225" s="1" t="s">
        <v>74</v>
      </c>
      <c r="I225" s="1" t="s">
        <v>4126</v>
      </c>
      <c r="J225" s="1" t="s">
        <v>421</v>
      </c>
      <c r="K225" s="1" t="s">
        <v>74</v>
      </c>
      <c r="L225" s="1" t="s">
        <v>74</v>
      </c>
      <c r="M225" s="1" t="s">
        <v>78</v>
      </c>
      <c r="N225" s="1" t="s">
        <v>79</v>
      </c>
      <c r="O225" s="1" t="s">
        <v>74</v>
      </c>
      <c r="P225" s="1" t="s">
        <v>74</v>
      </c>
      <c r="Q225" s="1" t="s">
        <v>74</v>
      </c>
      <c r="R225" s="1" t="s">
        <v>74</v>
      </c>
      <c r="S225" s="1" t="s">
        <v>74</v>
      </c>
      <c r="T225" s="1" t="s">
        <v>4127</v>
      </c>
      <c r="U225" s="1" t="s">
        <v>4128</v>
      </c>
      <c r="V225" s="1" t="s">
        <v>4129</v>
      </c>
      <c r="W225" s="1" t="s">
        <v>4130</v>
      </c>
      <c r="X225" s="1" t="s">
        <v>4131</v>
      </c>
      <c r="Y225" s="1" t="s">
        <v>4132</v>
      </c>
      <c r="Z225" s="1" t="s">
        <v>4133</v>
      </c>
      <c r="AA225" s="1" t="s">
        <v>4134</v>
      </c>
      <c r="AB225" s="1" t="s">
        <v>4135</v>
      </c>
      <c r="AC225" s="1" t="s">
        <v>4136</v>
      </c>
      <c r="AD225" s="1" t="s">
        <v>4137</v>
      </c>
      <c r="AE225" s="1" t="s">
        <v>4138</v>
      </c>
      <c r="AF225" s="1" t="s">
        <v>74</v>
      </c>
      <c r="AG225" s="1">
        <v>104</v>
      </c>
      <c r="AH225" s="1">
        <v>94</v>
      </c>
      <c r="AI225" s="1">
        <v>99</v>
      </c>
      <c r="AJ225" s="1">
        <v>7</v>
      </c>
      <c r="AK225" s="1">
        <v>148</v>
      </c>
      <c r="AL225" s="1" t="s">
        <v>430</v>
      </c>
      <c r="AM225" s="1" t="s">
        <v>137</v>
      </c>
      <c r="AN225" s="1" t="s">
        <v>431</v>
      </c>
      <c r="AO225" s="1" t="s">
        <v>432</v>
      </c>
      <c r="AP225" s="1" t="s">
        <v>1394</v>
      </c>
      <c r="AQ225" s="1" t="s">
        <v>74</v>
      </c>
      <c r="AR225" s="1" t="s">
        <v>433</v>
      </c>
      <c r="AS225" s="1" t="s">
        <v>434</v>
      </c>
      <c r="AT225" s="1" t="s">
        <v>765</v>
      </c>
      <c r="AU225" s="1">
        <v>2020</v>
      </c>
      <c r="AV225" s="1">
        <v>262</v>
      </c>
      <c r="AW225" s="1" t="s">
        <v>74</v>
      </c>
      <c r="AX225" s="1" t="s">
        <v>74</v>
      </c>
      <c r="AY225" s="1" t="s">
        <v>74</v>
      </c>
      <c r="AZ225" s="1" t="s">
        <v>74</v>
      </c>
      <c r="BA225" s="1" t="s">
        <v>74</v>
      </c>
      <c r="BB225" s="1" t="s">
        <v>74</v>
      </c>
      <c r="BC225" s="1" t="s">
        <v>74</v>
      </c>
      <c r="BD225" s="1">
        <v>114247</v>
      </c>
      <c r="BE225" s="1" t="s">
        <v>4139</v>
      </c>
      <c r="BF225" s="1" t="str">
        <f>HYPERLINK("http://dx.doi.org/10.1016/j.envpol.2020.114247","http://dx.doi.org/10.1016/j.envpol.2020.114247")</f>
        <v>http://dx.doi.org/10.1016/j.envpol.2020.114247</v>
      </c>
      <c r="BG225" s="1" t="s">
        <v>74</v>
      </c>
      <c r="BH225" s="1" t="s">
        <v>74</v>
      </c>
      <c r="BI225" s="1">
        <v>12</v>
      </c>
      <c r="BJ225" s="1" t="s">
        <v>144</v>
      </c>
      <c r="BK225" s="1" t="s">
        <v>96</v>
      </c>
      <c r="BL225" s="1" t="s">
        <v>145</v>
      </c>
      <c r="BM225" s="1" t="s">
        <v>4140</v>
      </c>
      <c r="BN225" s="1">
        <v>32120258</v>
      </c>
      <c r="BO225" s="1" t="s">
        <v>74</v>
      </c>
      <c r="BP225" s="1" t="s">
        <v>74</v>
      </c>
      <c r="BQ225" s="1" t="s">
        <v>74</v>
      </c>
      <c r="BR225" s="1" t="s">
        <v>98</v>
      </c>
      <c r="BS225" s="1" t="s">
        <v>4141</v>
      </c>
      <c r="BT225" s="1" t="str">
        <f>HYPERLINK("https%3A%2F%2Fwww.webofscience.com%2Fwos%2Fwoscc%2Ffull-record%2FWOS:000533524300072","View Full Record in Web of Science")</f>
        <v>View Full Record in Web of Science</v>
      </c>
    </row>
    <row r="226" spans="1:72">
      <c r="A226" s="1" t="s">
        <v>72</v>
      </c>
      <c r="B226" s="1" t="s">
        <v>4142</v>
      </c>
      <c r="C226" s="1" t="s">
        <v>74</v>
      </c>
      <c r="D226" s="1" t="s">
        <v>74</v>
      </c>
      <c r="E226" s="1" t="s">
        <v>74</v>
      </c>
      <c r="F226" s="1" t="s">
        <v>4142</v>
      </c>
      <c r="G226" s="1" t="s">
        <v>74</v>
      </c>
      <c r="H226" s="1" t="s">
        <v>74</v>
      </c>
      <c r="I226" s="1" t="s">
        <v>4143</v>
      </c>
      <c r="J226" s="1" t="s">
        <v>1756</v>
      </c>
      <c r="K226" s="1" t="s">
        <v>74</v>
      </c>
      <c r="L226" s="1" t="s">
        <v>74</v>
      </c>
      <c r="M226" s="1" t="s">
        <v>78</v>
      </c>
      <c r="N226" s="1" t="s">
        <v>79</v>
      </c>
      <c r="O226" s="1" t="s">
        <v>74</v>
      </c>
      <c r="P226" s="1" t="s">
        <v>74</v>
      </c>
      <c r="Q226" s="1" t="s">
        <v>74</v>
      </c>
      <c r="R226" s="1" t="s">
        <v>74</v>
      </c>
      <c r="S226" s="1" t="s">
        <v>74</v>
      </c>
      <c r="T226" s="1" t="s">
        <v>4144</v>
      </c>
      <c r="U226" s="1" t="s">
        <v>4145</v>
      </c>
      <c r="V226" s="1" t="s">
        <v>4146</v>
      </c>
      <c r="W226" s="1" t="s">
        <v>4147</v>
      </c>
      <c r="X226" s="1" t="s">
        <v>4148</v>
      </c>
      <c r="Y226" s="1" t="s">
        <v>4149</v>
      </c>
      <c r="Z226" s="1" t="s">
        <v>4150</v>
      </c>
      <c r="AA226" s="1" t="s">
        <v>4151</v>
      </c>
      <c r="AB226" s="1" t="s">
        <v>4152</v>
      </c>
      <c r="AC226" s="1" t="s">
        <v>74</v>
      </c>
      <c r="AD226" s="1" t="s">
        <v>74</v>
      </c>
      <c r="AE226" s="1" t="s">
        <v>74</v>
      </c>
      <c r="AF226" s="1" t="s">
        <v>74</v>
      </c>
      <c r="AG226" s="1">
        <v>30</v>
      </c>
      <c r="AH226" s="1">
        <v>12</v>
      </c>
      <c r="AI226" s="1">
        <v>12</v>
      </c>
      <c r="AJ226" s="1">
        <v>0</v>
      </c>
      <c r="AK226" s="1">
        <v>13</v>
      </c>
      <c r="AL226" s="1" t="s">
        <v>4153</v>
      </c>
      <c r="AM226" s="1" t="s">
        <v>4154</v>
      </c>
      <c r="AN226" s="1" t="s">
        <v>4155</v>
      </c>
      <c r="AO226" s="1" t="s">
        <v>1764</v>
      </c>
      <c r="AP226" s="1" t="s">
        <v>74</v>
      </c>
      <c r="AQ226" s="1" t="s">
        <v>74</v>
      </c>
      <c r="AR226" s="1" t="s">
        <v>1766</v>
      </c>
      <c r="AS226" s="1" t="s">
        <v>1767</v>
      </c>
      <c r="AT226" s="1" t="s">
        <v>142</v>
      </c>
      <c r="AU226" s="1">
        <v>2004</v>
      </c>
      <c r="AV226" s="1">
        <v>23</v>
      </c>
      <c r="AW226" s="1">
        <v>6</v>
      </c>
      <c r="AX226" s="1" t="s">
        <v>74</v>
      </c>
      <c r="AY226" s="1" t="s">
        <v>74</v>
      </c>
      <c r="AZ226" s="1" t="s">
        <v>74</v>
      </c>
      <c r="BA226" s="1" t="s">
        <v>74</v>
      </c>
      <c r="BB226" s="1">
        <v>1575</v>
      </c>
      <c r="BC226" s="1">
        <v>1582</v>
      </c>
      <c r="BD226" s="1" t="s">
        <v>74</v>
      </c>
      <c r="BE226" s="1" t="s">
        <v>4156</v>
      </c>
      <c r="BF226" s="1" t="str">
        <f>HYPERLINK("http://dx.doi.org/10.1897/03-331","http://dx.doi.org/10.1897/03-331")</f>
        <v>http://dx.doi.org/10.1897/03-331</v>
      </c>
      <c r="BG226" s="1" t="s">
        <v>74</v>
      </c>
      <c r="BH226" s="1" t="s">
        <v>74</v>
      </c>
      <c r="BI226" s="1">
        <v>8</v>
      </c>
      <c r="BJ226" s="1" t="s">
        <v>121</v>
      </c>
      <c r="BK226" s="1" t="s">
        <v>96</v>
      </c>
      <c r="BL226" s="1" t="s">
        <v>122</v>
      </c>
      <c r="BM226" s="1" t="s">
        <v>4157</v>
      </c>
      <c r="BN226" s="1">
        <v>15376544</v>
      </c>
      <c r="BO226" s="1" t="s">
        <v>74</v>
      </c>
      <c r="BP226" s="1" t="s">
        <v>74</v>
      </c>
      <c r="BQ226" s="1" t="s">
        <v>74</v>
      </c>
      <c r="BR226" s="1" t="s">
        <v>98</v>
      </c>
      <c r="BS226" s="1" t="s">
        <v>4158</v>
      </c>
      <c r="BT226" s="1" t="str">
        <f>HYPERLINK("https%3A%2F%2Fwww.webofscience.com%2Fwos%2Fwoscc%2Ffull-record%2FWOS:000221825600025","View Full Record in Web of Science")</f>
        <v>View Full Record in Web of Science</v>
      </c>
    </row>
    <row r="227" spans="1:72">
      <c r="A227" s="1" t="s">
        <v>72</v>
      </c>
      <c r="B227" s="1" t="s">
        <v>4159</v>
      </c>
      <c r="C227" s="1" t="s">
        <v>74</v>
      </c>
      <c r="D227" s="1" t="s">
        <v>74</v>
      </c>
      <c r="E227" s="1" t="s">
        <v>74</v>
      </c>
      <c r="F227" s="1" t="s">
        <v>4160</v>
      </c>
      <c r="G227" s="1" t="s">
        <v>74</v>
      </c>
      <c r="H227" s="1" t="s">
        <v>74</v>
      </c>
      <c r="I227" s="1" t="s">
        <v>4161</v>
      </c>
      <c r="J227" s="1" t="s">
        <v>775</v>
      </c>
      <c r="K227" s="1" t="s">
        <v>74</v>
      </c>
      <c r="L227" s="1" t="s">
        <v>74</v>
      </c>
      <c r="M227" s="1" t="s">
        <v>78</v>
      </c>
      <c r="N227" s="1" t="s">
        <v>79</v>
      </c>
      <c r="O227" s="1" t="s">
        <v>74</v>
      </c>
      <c r="P227" s="1" t="s">
        <v>74</v>
      </c>
      <c r="Q227" s="1" t="s">
        <v>74</v>
      </c>
      <c r="R227" s="1" t="s">
        <v>74</v>
      </c>
      <c r="S227" s="1" t="s">
        <v>74</v>
      </c>
      <c r="T227" s="1" t="s">
        <v>4162</v>
      </c>
      <c r="U227" s="1" t="s">
        <v>4163</v>
      </c>
      <c r="V227" s="1" t="s">
        <v>4164</v>
      </c>
      <c r="W227" s="1" t="s">
        <v>4165</v>
      </c>
      <c r="X227" s="1" t="s">
        <v>4166</v>
      </c>
      <c r="Y227" s="1" t="s">
        <v>4167</v>
      </c>
      <c r="Z227" s="1" t="s">
        <v>4168</v>
      </c>
      <c r="AA227" s="1" t="s">
        <v>4169</v>
      </c>
      <c r="AB227" s="1" t="s">
        <v>74</v>
      </c>
      <c r="AC227" s="1" t="s">
        <v>4170</v>
      </c>
      <c r="AD227" s="1" t="s">
        <v>4171</v>
      </c>
      <c r="AE227" s="1" t="s">
        <v>4172</v>
      </c>
      <c r="AF227" s="1" t="s">
        <v>74</v>
      </c>
      <c r="AG227" s="1">
        <v>45</v>
      </c>
      <c r="AH227" s="1">
        <v>13</v>
      </c>
      <c r="AI227" s="1">
        <v>14</v>
      </c>
      <c r="AJ227" s="1">
        <v>4</v>
      </c>
      <c r="AK227" s="1">
        <v>64</v>
      </c>
      <c r="AL227" s="1" t="s">
        <v>788</v>
      </c>
      <c r="AM227" s="1" t="s">
        <v>789</v>
      </c>
      <c r="AN227" s="1" t="s">
        <v>790</v>
      </c>
      <c r="AO227" s="1" t="s">
        <v>791</v>
      </c>
      <c r="AP227" s="1" t="s">
        <v>2885</v>
      </c>
      <c r="AQ227" s="1" t="s">
        <v>74</v>
      </c>
      <c r="AR227" s="1" t="s">
        <v>792</v>
      </c>
      <c r="AS227" s="1" t="s">
        <v>793</v>
      </c>
      <c r="AT227" s="1" t="s">
        <v>142</v>
      </c>
      <c r="AU227" s="1">
        <v>2015</v>
      </c>
      <c r="AV227" s="1">
        <v>165</v>
      </c>
      <c r="AW227" s="1">
        <v>2</v>
      </c>
      <c r="AX227" s="1" t="s">
        <v>74</v>
      </c>
      <c r="AY227" s="1" t="s">
        <v>74</v>
      </c>
      <c r="AZ227" s="1" t="s">
        <v>74</v>
      </c>
      <c r="BA227" s="1" t="s">
        <v>74</v>
      </c>
      <c r="BB227" s="1">
        <v>222</v>
      </c>
      <c r="BC227" s="1">
        <v>232</v>
      </c>
      <c r="BD227" s="1" t="s">
        <v>74</v>
      </c>
      <c r="BE227" s="1" t="s">
        <v>4173</v>
      </c>
      <c r="BF227" s="1" t="str">
        <f>HYPERLINK("http://dx.doi.org/10.1007/s12011-015-0266-y","http://dx.doi.org/10.1007/s12011-015-0266-y")</f>
        <v>http://dx.doi.org/10.1007/s12011-015-0266-y</v>
      </c>
      <c r="BG227" s="1" t="s">
        <v>74</v>
      </c>
      <c r="BH227" s="1" t="s">
        <v>74</v>
      </c>
      <c r="BI227" s="1">
        <v>11</v>
      </c>
      <c r="BJ227" s="1" t="s">
        <v>795</v>
      </c>
      <c r="BK227" s="1" t="s">
        <v>96</v>
      </c>
      <c r="BL227" s="1" t="s">
        <v>795</v>
      </c>
      <c r="BM227" s="1" t="s">
        <v>4174</v>
      </c>
      <c r="BN227" s="1">
        <v>25686765</v>
      </c>
      <c r="BO227" s="1" t="s">
        <v>74</v>
      </c>
      <c r="BP227" s="1" t="s">
        <v>74</v>
      </c>
      <c r="BQ227" s="1" t="s">
        <v>74</v>
      </c>
      <c r="BR227" s="1" t="s">
        <v>98</v>
      </c>
      <c r="BS227" s="1" t="s">
        <v>4175</v>
      </c>
      <c r="BT227" s="1" t="str">
        <f>HYPERLINK("https%3A%2F%2Fwww.webofscience.com%2Fwos%2Fwoscc%2Ffull-record%2FWOS:000354206800015","View Full Record in Web of Science")</f>
        <v>View Full Record in Web of Science</v>
      </c>
    </row>
    <row r="228" spans="1:72">
      <c r="A228" s="1" t="s">
        <v>72</v>
      </c>
      <c r="B228" s="1" t="s">
        <v>2891</v>
      </c>
      <c r="C228" s="1" t="s">
        <v>74</v>
      </c>
      <c r="D228" s="1" t="s">
        <v>74</v>
      </c>
      <c r="E228" s="1" t="s">
        <v>74</v>
      </c>
      <c r="F228" s="1" t="s">
        <v>2892</v>
      </c>
      <c r="G228" s="1" t="s">
        <v>74</v>
      </c>
      <c r="H228" s="1" t="s">
        <v>74</v>
      </c>
      <c r="I228" s="1" t="s">
        <v>4176</v>
      </c>
      <c r="J228" s="1" t="s">
        <v>421</v>
      </c>
      <c r="K228" s="1" t="s">
        <v>74</v>
      </c>
      <c r="L228" s="1" t="s">
        <v>74</v>
      </c>
      <c r="M228" s="1" t="s">
        <v>78</v>
      </c>
      <c r="N228" s="1" t="s">
        <v>79</v>
      </c>
      <c r="O228" s="1" t="s">
        <v>74</v>
      </c>
      <c r="P228" s="1" t="s">
        <v>74</v>
      </c>
      <c r="Q228" s="1" t="s">
        <v>74</v>
      </c>
      <c r="R228" s="1" t="s">
        <v>74</v>
      </c>
      <c r="S228" s="1" t="s">
        <v>74</v>
      </c>
      <c r="T228" s="1" t="s">
        <v>4177</v>
      </c>
      <c r="U228" s="1" t="s">
        <v>4178</v>
      </c>
      <c r="V228" s="1" t="s">
        <v>4179</v>
      </c>
      <c r="W228" s="1" t="s">
        <v>4180</v>
      </c>
      <c r="X228" s="1" t="s">
        <v>1481</v>
      </c>
      <c r="Y228" s="1" t="s">
        <v>4181</v>
      </c>
      <c r="Z228" s="1" t="s">
        <v>1483</v>
      </c>
      <c r="AA228" s="1" t="s">
        <v>2900</v>
      </c>
      <c r="AB228" s="1" t="s">
        <v>2183</v>
      </c>
      <c r="AC228" s="1" t="s">
        <v>4182</v>
      </c>
      <c r="AD228" s="1" t="s">
        <v>2902</v>
      </c>
      <c r="AE228" s="1" t="s">
        <v>4183</v>
      </c>
      <c r="AF228" s="1" t="s">
        <v>74</v>
      </c>
      <c r="AG228" s="1">
        <v>44</v>
      </c>
      <c r="AH228" s="1">
        <v>54</v>
      </c>
      <c r="AI228" s="1">
        <v>60</v>
      </c>
      <c r="AJ228" s="1">
        <v>1</v>
      </c>
      <c r="AK228" s="1">
        <v>75</v>
      </c>
      <c r="AL228" s="1" t="s">
        <v>430</v>
      </c>
      <c r="AM228" s="1" t="s">
        <v>137</v>
      </c>
      <c r="AN228" s="1" t="s">
        <v>431</v>
      </c>
      <c r="AO228" s="1" t="s">
        <v>432</v>
      </c>
      <c r="AP228" s="1" t="s">
        <v>74</v>
      </c>
      <c r="AQ228" s="1" t="s">
        <v>74</v>
      </c>
      <c r="AR228" s="1" t="s">
        <v>433</v>
      </c>
      <c r="AS228" s="1" t="s">
        <v>434</v>
      </c>
      <c r="AT228" s="1" t="s">
        <v>267</v>
      </c>
      <c r="AU228" s="1">
        <v>2011</v>
      </c>
      <c r="AV228" s="1">
        <v>159</v>
      </c>
      <c r="AW228" s="1">
        <v>10</v>
      </c>
      <c r="AX228" s="1" t="s">
        <v>74</v>
      </c>
      <c r="AY228" s="1" t="s">
        <v>74</v>
      </c>
      <c r="AZ228" s="1" t="s">
        <v>74</v>
      </c>
      <c r="BA228" s="1" t="s">
        <v>74</v>
      </c>
      <c r="BB228" s="1">
        <v>2500</v>
      </c>
      <c r="BC228" s="1">
        <v>2506</v>
      </c>
      <c r="BD228" s="1" t="s">
        <v>74</v>
      </c>
      <c r="BE228" s="1" t="s">
        <v>4184</v>
      </c>
      <c r="BF228" s="1" t="str">
        <f>HYPERLINK("http://dx.doi.org/10.1016/j.envpol.2011.06.029","http://dx.doi.org/10.1016/j.envpol.2011.06.029")</f>
        <v>http://dx.doi.org/10.1016/j.envpol.2011.06.029</v>
      </c>
      <c r="BG228" s="1" t="s">
        <v>74</v>
      </c>
      <c r="BH228" s="1" t="s">
        <v>74</v>
      </c>
      <c r="BI228" s="1">
        <v>7</v>
      </c>
      <c r="BJ228" s="1" t="s">
        <v>144</v>
      </c>
      <c r="BK228" s="1" t="s">
        <v>96</v>
      </c>
      <c r="BL228" s="1" t="s">
        <v>145</v>
      </c>
      <c r="BM228" s="1" t="s">
        <v>4185</v>
      </c>
      <c r="BN228" s="1">
        <v>21778002</v>
      </c>
      <c r="BO228" s="1" t="s">
        <v>74</v>
      </c>
      <c r="BP228" s="1" t="s">
        <v>74</v>
      </c>
      <c r="BQ228" s="1" t="s">
        <v>74</v>
      </c>
      <c r="BR228" s="1" t="s">
        <v>98</v>
      </c>
      <c r="BS228" s="1" t="s">
        <v>4186</v>
      </c>
      <c r="BT228" s="1" t="str">
        <f>HYPERLINK("https%3A%2F%2Fwww.webofscience.com%2Fwos%2Fwoscc%2Ffull-record%2FWOS:000295493100038","View Full Record in Web of Science")</f>
        <v>View Full Record in Web of Science</v>
      </c>
    </row>
    <row r="229" spans="1:72">
      <c r="A229" s="1" t="s">
        <v>72</v>
      </c>
      <c r="B229" s="1" t="s">
        <v>4187</v>
      </c>
      <c r="C229" s="1" t="s">
        <v>74</v>
      </c>
      <c r="D229" s="1" t="s">
        <v>74</v>
      </c>
      <c r="E229" s="1" t="s">
        <v>74</v>
      </c>
      <c r="F229" s="1" t="s">
        <v>4187</v>
      </c>
      <c r="G229" s="1" t="s">
        <v>74</v>
      </c>
      <c r="H229" s="1" t="s">
        <v>74</v>
      </c>
      <c r="I229" s="1" t="s">
        <v>4188</v>
      </c>
      <c r="J229" s="1" t="s">
        <v>4189</v>
      </c>
      <c r="K229" s="1" t="s">
        <v>74</v>
      </c>
      <c r="L229" s="1" t="s">
        <v>74</v>
      </c>
      <c r="M229" s="1" t="s">
        <v>78</v>
      </c>
      <c r="N229" s="1" t="s">
        <v>79</v>
      </c>
      <c r="O229" s="1" t="s">
        <v>74</v>
      </c>
      <c r="P229" s="1" t="s">
        <v>74</v>
      </c>
      <c r="Q229" s="1" t="s">
        <v>74</v>
      </c>
      <c r="R229" s="1" t="s">
        <v>74</v>
      </c>
      <c r="S229" s="1" t="s">
        <v>74</v>
      </c>
      <c r="T229" s="1" t="s">
        <v>74</v>
      </c>
      <c r="U229" s="1" t="s">
        <v>4190</v>
      </c>
      <c r="V229" s="1" t="s">
        <v>4191</v>
      </c>
      <c r="W229" s="1" t="s">
        <v>4192</v>
      </c>
      <c r="X229" s="1" t="s">
        <v>4193</v>
      </c>
      <c r="Y229" s="1" t="s">
        <v>4194</v>
      </c>
      <c r="Z229" s="1" t="s">
        <v>74</v>
      </c>
      <c r="AA229" s="1" t="s">
        <v>74</v>
      </c>
      <c r="AB229" s="1" t="s">
        <v>4195</v>
      </c>
      <c r="AC229" s="1" t="s">
        <v>74</v>
      </c>
      <c r="AD229" s="1" t="s">
        <v>74</v>
      </c>
      <c r="AE229" s="1" t="s">
        <v>74</v>
      </c>
      <c r="AF229" s="1" t="s">
        <v>74</v>
      </c>
      <c r="AG229" s="1">
        <v>24</v>
      </c>
      <c r="AH229" s="1">
        <v>27</v>
      </c>
      <c r="AI229" s="1">
        <v>27</v>
      </c>
      <c r="AJ229" s="1">
        <v>0</v>
      </c>
      <c r="AK229" s="1">
        <v>5</v>
      </c>
      <c r="AL229" s="1" t="s">
        <v>4196</v>
      </c>
      <c r="AM229" s="1" t="s">
        <v>4197</v>
      </c>
      <c r="AN229" s="1" t="s">
        <v>4198</v>
      </c>
      <c r="AO229" s="1" t="s">
        <v>4199</v>
      </c>
      <c r="AP229" s="1" t="s">
        <v>74</v>
      </c>
      <c r="AQ229" s="1" t="s">
        <v>74</v>
      </c>
      <c r="AR229" s="1" t="s">
        <v>4189</v>
      </c>
      <c r="AS229" s="1" t="s">
        <v>4200</v>
      </c>
      <c r="AT229" s="1" t="s">
        <v>74</v>
      </c>
      <c r="AU229" s="1">
        <v>2000</v>
      </c>
      <c r="AV229" s="1">
        <v>77</v>
      </c>
      <c r="AW229" s="1">
        <v>2</v>
      </c>
      <c r="AX229" s="1" t="s">
        <v>74</v>
      </c>
      <c r="AY229" s="1" t="s">
        <v>74</v>
      </c>
      <c r="AZ229" s="1" t="s">
        <v>74</v>
      </c>
      <c r="BA229" s="1" t="s">
        <v>74</v>
      </c>
      <c r="BB229" s="1">
        <v>57</v>
      </c>
      <c r="BC229" s="1">
        <v>63</v>
      </c>
      <c r="BD229" s="1" t="s">
        <v>74</v>
      </c>
      <c r="BE229" s="1" t="s">
        <v>74</v>
      </c>
      <c r="BF229" s="1" t="s">
        <v>74</v>
      </c>
      <c r="BG229" s="1" t="s">
        <v>74</v>
      </c>
      <c r="BH229" s="1" t="s">
        <v>74</v>
      </c>
      <c r="BI229" s="1">
        <v>7</v>
      </c>
      <c r="BJ229" s="1" t="s">
        <v>4201</v>
      </c>
      <c r="BK229" s="1" t="s">
        <v>96</v>
      </c>
      <c r="BL229" s="1" t="s">
        <v>2210</v>
      </c>
      <c r="BM229" s="1" t="s">
        <v>4202</v>
      </c>
      <c r="BN229" s="1" t="s">
        <v>74</v>
      </c>
      <c r="BO229" s="1" t="s">
        <v>74</v>
      </c>
      <c r="BP229" s="1" t="s">
        <v>74</v>
      </c>
      <c r="BQ229" s="1" t="s">
        <v>74</v>
      </c>
      <c r="BR229" s="1" t="s">
        <v>98</v>
      </c>
      <c r="BS229" s="1" t="s">
        <v>4203</v>
      </c>
      <c r="BT229" s="1" t="str">
        <f>HYPERLINK("https%3A%2F%2Fwww.webofscience.com%2Fwos%2Fwoscc%2Ffull-record%2FWOS:000088201400002","View Full Record in Web of Science")</f>
        <v>View Full Record in Web of Science</v>
      </c>
    </row>
    <row r="230" spans="1:72">
      <c r="A230" s="1" t="s">
        <v>72</v>
      </c>
      <c r="B230" s="1" t="s">
        <v>4204</v>
      </c>
      <c r="C230" s="1" t="s">
        <v>74</v>
      </c>
      <c r="D230" s="1" t="s">
        <v>74</v>
      </c>
      <c r="E230" s="1" t="s">
        <v>74</v>
      </c>
      <c r="F230" s="1" t="s">
        <v>4205</v>
      </c>
      <c r="G230" s="1" t="s">
        <v>74</v>
      </c>
      <c r="H230" s="1" t="s">
        <v>74</v>
      </c>
      <c r="I230" s="1" t="s">
        <v>4206</v>
      </c>
      <c r="J230" s="1" t="s">
        <v>1230</v>
      </c>
      <c r="K230" s="1" t="s">
        <v>74</v>
      </c>
      <c r="L230" s="1" t="s">
        <v>74</v>
      </c>
      <c r="M230" s="1" t="s">
        <v>78</v>
      </c>
      <c r="N230" s="1" t="s">
        <v>79</v>
      </c>
      <c r="O230" s="1" t="s">
        <v>74</v>
      </c>
      <c r="P230" s="1" t="s">
        <v>74</v>
      </c>
      <c r="Q230" s="1" t="s">
        <v>74</v>
      </c>
      <c r="R230" s="1" t="s">
        <v>74</v>
      </c>
      <c r="S230" s="1" t="s">
        <v>74</v>
      </c>
      <c r="T230" s="1" t="s">
        <v>4207</v>
      </c>
      <c r="U230" s="1" t="s">
        <v>4208</v>
      </c>
      <c r="V230" s="1" t="s">
        <v>4209</v>
      </c>
      <c r="W230" s="1" t="s">
        <v>4210</v>
      </c>
      <c r="X230" s="1" t="s">
        <v>4211</v>
      </c>
      <c r="Y230" s="1" t="s">
        <v>4212</v>
      </c>
      <c r="Z230" s="1" t="s">
        <v>4213</v>
      </c>
      <c r="AA230" s="1" t="s">
        <v>74</v>
      </c>
      <c r="AB230" s="1" t="s">
        <v>74</v>
      </c>
      <c r="AC230" s="1" t="s">
        <v>74</v>
      </c>
      <c r="AD230" s="1" t="s">
        <v>74</v>
      </c>
      <c r="AE230" s="1" t="s">
        <v>74</v>
      </c>
      <c r="AF230" s="1" t="s">
        <v>74</v>
      </c>
      <c r="AG230" s="1">
        <v>100</v>
      </c>
      <c r="AH230" s="1">
        <v>1</v>
      </c>
      <c r="AI230" s="1">
        <v>1</v>
      </c>
      <c r="AJ230" s="1">
        <v>0</v>
      </c>
      <c r="AK230" s="1">
        <v>15</v>
      </c>
      <c r="AL230" s="1" t="s">
        <v>4214</v>
      </c>
      <c r="AM230" s="1" t="s">
        <v>4215</v>
      </c>
      <c r="AN230" s="1" t="s">
        <v>4216</v>
      </c>
      <c r="AO230" s="1" t="s">
        <v>1244</v>
      </c>
      <c r="AP230" s="1" t="s">
        <v>1245</v>
      </c>
      <c r="AQ230" s="1" t="s">
        <v>74</v>
      </c>
      <c r="AR230" s="1" t="s">
        <v>1246</v>
      </c>
      <c r="AS230" s="1" t="s">
        <v>1247</v>
      </c>
      <c r="AT230" s="1" t="s">
        <v>74</v>
      </c>
      <c r="AU230" s="1">
        <v>2022</v>
      </c>
      <c r="AV230" s="1">
        <v>20</v>
      </c>
      <c r="AW230" s="1">
        <v>6</v>
      </c>
      <c r="AX230" s="1" t="s">
        <v>74</v>
      </c>
      <c r="AY230" s="1" t="s">
        <v>74</v>
      </c>
      <c r="AZ230" s="1" t="s">
        <v>74</v>
      </c>
      <c r="BA230" s="1" t="s">
        <v>74</v>
      </c>
      <c r="BB230" s="1">
        <v>5361</v>
      </c>
      <c r="BC230" s="1">
        <v>5379</v>
      </c>
      <c r="BD230" s="1" t="s">
        <v>74</v>
      </c>
      <c r="BE230" s="1" t="s">
        <v>4217</v>
      </c>
      <c r="BF230" s="1" t="str">
        <f>HYPERLINK("http://dx.doi.org/10.15666/aeer/2006_53615379","http://dx.doi.org/10.15666/aeer/2006_53615379")</f>
        <v>http://dx.doi.org/10.15666/aeer/2006_53615379</v>
      </c>
      <c r="BG230" s="1" t="s">
        <v>74</v>
      </c>
      <c r="BH230" s="1" t="s">
        <v>699</v>
      </c>
      <c r="BI230" s="1">
        <v>19</v>
      </c>
      <c r="BJ230" s="1" t="s">
        <v>1249</v>
      </c>
      <c r="BK230" s="1" t="s">
        <v>96</v>
      </c>
      <c r="BL230" s="1" t="s">
        <v>145</v>
      </c>
      <c r="BM230" s="1" t="s">
        <v>4218</v>
      </c>
      <c r="BN230" s="1" t="s">
        <v>74</v>
      </c>
      <c r="BO230" s="1" t="s">
        <v>873</v>
      </c>
      <c r="BP230" s="1" t="s">
        <v>74</v>
      </c>
      <c r="BQ230" s="1" t="s">
        <v>74</v>
      </c>
      <c r="BR230" s="1" t="s">
        <v>98</v>
      </c>
      <c r="BS230" s="1" t="s">
        <v>4219</v>
      </c>
      <c r="BT230" s="1" t="str">
        <f>HYPERLINK("https%3A%2F%2Fwww.webofscience.com%2Fwos%2Fwoscc%2Ffull-record%2FWOS:000891270500001","View Full Record in Web of Science")</f>
        <v>View Full Record in Web of Science</v>
      </c>
    </row>
    <row r="231" spans="1:72">
      <c r="A231" s="1" t="s">
        <v>72</v>
      </c>
      <c r="B231" s="1" t="s">
        <v>4220</v>
      </c>
      <c r="C231" s="1" t="s">
        <v>74</v>
      </c>
      <c r="D231" s="1" t="s">
        <v>74</v>
      </c>
      <c r="E231" s="1" t="s">
        <v>74</v>
      </c>
      <c r="F231" s="1" t="s">
        <v>4221</v>
      </c>
      <c r="G231" s="1" t="s">
        <v>74</v>
      </c>
      <c r="H231" s="1" t="s">
        <v>74</v>
      </c>
      <c r="I231" s="1" t="s">
        <v>4222</v>
      </c>
      <c r="J231" s="1" t="s">
        <v>4223</v>
      </c>
      <c r="K231" s="1" t="s">
        <v>74</v>
      </c>
      <c r="L231" s="1" t="s">
        <v>74</v>
      </c>
      <c r="M231" s="1" t="s">
        <v>78</v>
      </c>
      <c r="N231" s="1" t="s">
        <v>79</v>
      </c>
      <c r="O231" s="1" t="s">
        <v>74</v>
      </c>
      <c r="P231" s="1" t="s">
        <v>74</v>
      </c>
      <c r="Q231" s="1" t="s">
        <v>74</v>
      </c>
      <c r="R231" s="1" t="s">
        <v>74</v>
      </c>
      <c r="S231" s="1" t="s">
        <v>74</v>
      </c>
      <c r="T231" s="1" t="s">
        <v>4224</v>
      </c>
      <c r="U231" s="1" t="s">
        <v>4225</v>
      </c>
      <c r="V231" s="1" t="s">
        <v>4226</v>
      </c>
      <c r="W231" s="1" t="s">
        <v>4227</v>
      </c>
      <c r="X231" s="1" t="s">
        <v>3518</v>
      </c>
      <c r="Y231" s="1" t="s">
        <v>4228</v>
      </c>
      <c r="Z231" s="1" t="s">
        <v>4229</v>
      </c>
      <c r="AA231" s="1" t="s">
        <v>4230</v>
      </c>
      <c r="AB231" s="1" t="s">
        <v>74</v>
      </c>
      <c r="AC231" s="1" t="s">
        <v>4231</v>
      </c>
      <c r="AD231" s="1" t="s">
        <v>4232</v>
      </c>
      <c r="AE231" s="1" t="s">
        <v>4233</v>
      </c>
      <c r="AF231" s="1" t="s">
        <v>74</v>
      </c>
      <c r="AG231" s="1">
        <v>52</v>
      </c>
      <c r="AH231" s="1">
        <v>17</v>
      </c>
      <c r="AI231" s="1">
        <v>19</v>
      </c>
      <c r="AJ231" s="1">
        <v>4</v>
      </c>
      <c r="AK231" s="1">
        <v>46</v>
      </c>
      <c r="AL231" s="1" t="s">
        <v>2297</v>
      </c>
      <c r="AM231" s="1" t="s">
        <v>1786</v>
      </c>
      <c r="AN231" s="1" t="s">
        <v>4234</v>
      </c>
      <c r="AO231" s="1" t="s">
        <v>4235</v>
      </c>
      <c r="AP231" s="1" t="s">
        <v>4236</v>
      </c>
      <c r="AQ231" s="1" t="s">
        <v>74</v>
      </c>
      <c r="AR231" s="1" t="s">
        <v>4237</v>
      </c>
      <c r="AS231" s="1" t="s">
        <v>4238</v>
      </c>
      <c r="AT231" s="1" t="s">
        <v>305</v>
      </c>
      <c r="AU231" s="1">
        <v>2011</v>
      </c>
      <c r="AV231" s="1">
        <v>29</v>
      </c>
      <c r="AW231" s="1">
        <v>5</v>
      </c>
      <c r="AX231" s="1" t="s">
        <v>74</v>
      </c>
      <c r="AY231" s="1" t="s">
        <v>74</v>
      </c>
      <c r="AZ231" s="1" t="s">
        <v>74</v>
      </c>
      <c r="BA231" s="1" t="s">
        <v>74</v>
      </c>
      <c r="BB231" s="1">
        <v>981</v>
      </c>
      <c r="BC231" s="1">
        <v>989</v>
      </c>
      <c r="BD231" s="1" t="s">
        <v>74</v>
      </c>
      <c r="BE231" s="1" t="s">
        <v>4239</v>
      </c>
      <c r="BF231" s="1" t="str">
        <f>HYPERLINK("http://dx.doi.org/10.1007/s00343-011-0088-5","http://dx.doi.org/10.1007/s00343-011-0088-5")</f>
        <v>http://dx.doi.org/10.1007/s00343-011-0088-5</v>
      </c>
      <c r="BG231" s="1" t="s">
        <v>74</v>
      </c>
      <c r="BH231" s="1" t="s">
        <v>74</v>
      </c>
      <c r="BI231" s="1">
        <v>9</v>
      </c>
      <c r="BJ231" s="1" t="s">
        <v>4240</v>
      </c>
      <c r="BK231" s="1" t="s">
        <v>96</v>
      </c>
      <c r="BL231" s="1" t="s">
        <v>4241</v>
      </c>
      <c r="BM231" s="1" t="s">
        <v>4242</v>
      </c>
      <c r="BN231" s="1" t="s">
        <v>74</v>
      </c>
      <c r="BO231" s="1" t="s">
        <v>74</v>
      </c>
      <c r="BP231" s="1" t="s">
        <v>74</v>
      </c>
      <c r="BQ231" s="1" t="s">
        <v>74</v>
      </c>
      <c r="BR231" s="1" t="s">
        <v>98</v>
      </c>
      <c r="BS231" s="1" t="s">
        <v>4243</v>
      </c>
      <c r="BT231" s="1" t="str">
        <f>HYPERLINK("https%3A%2F%2Fwww.webofscience.com%2Fwos%2Fwoscc%2Ffull-record%2FWOS:000293632500009","View Full Record in Web of Science")</f>
        <v>View Full Record in Web of Science</v>
      </c>
    </row>
    <row r="232" spans="1:72">
      <c r="A232" s="1" t="s">
        <v>72</v>
      </c>
      <c r="B232" s="1" t="s">
        <v>4244</v>
      </c>
      <c r="C232" s="1" t="s">
        <v>74</v>
      </c>
      <c r="D232" s="1" t="s">
        <v>74</v>
      </c>
      <c r="E232" s="1" t="s">
        <v>74</v>
      </c>
      <c r="F232" s="1" t="s">
        <v>4245</v>
      </c>
      <c r="G232" s="1" t="s">
        <v>74</v>
      </c>
      <c r="H232" s="1" t="s">
        <v>74</v>
      </c>
      <c r="I232" s="1" t="s">
        <v>4246</v>
      </c>
      <c r="J232" s="1" t="s">
        <v>4247</v>
      </c>
      <c r="K232" s="1" t="s">
        <v>74</v>
      </c>
      <c r="L232" s="1" t="s">
        <v>74</v>
      </c>
      <c r="M232" s="1" t="s">
        <v>78</v>
      </c>
      <c r="N232" s="1" t="s">
        <v>79</v>
      </c>
      <c r="O232" s="1" t="s">
        <v>74</v>
      </c>
      <c r="P232" s="1" t="s">
        <v>74</v>
      </c>
      <c r="Q232" s="1" t="s">
        <v>74</v>
      </c>
      <c r="R232" s="1" t="s">
        <v>74</v>
      </c>
      <c r="S232" s="1" t="s">
        <v>74</v>
      </c>
      <c r="T232" s="1" t="s">
        <v>4248</v>
      </c>
      <c r="U232" s="1" t="s">
        <v>4249</v>
      </c>
      <c r="V232" s="1" t="s">
        <v>4250</v>
      </c>
      <c r="W232" s="1" t="s">
        <v>4251</v>
      </c>
      <c r="X232" s="1" t="s">
        <v>4252</v>
      </c>
      <c r="Y232" s="1" t="s">
        <v>4253</v>
      </c>
      <c r="Z232" s="1" t="s">
        <v>4254</v>
      </c>
      <c r="AA232" s="1" t="s">
        <v>4255</v>
      </c>
      <c r="AB232" s="1" t="s">
        <v>4256</v>
      </c>
      <c r="AC232" s="1" t="s">
        <v>4257</v>
      </c>
      <c r="AD232" s="1" t="s">
        <v>4258</v>
      </c>
      <c r="AE232" s="1" t="s">
        <v>4259</v>
      </c>
      <c r="AF232" s="1" t="s">
        <v>74</v>
      </c>
      <c r="AG232" s="1">
        <v>66</v>
      </c>
      <c r="AH232" s="1">
        <v>15</v>
      </c>
      <c r="AI232" s="1">
        <v>24</v>
      </c>
      <c r="AJ232" s="1">
        <v>0</v>
      </c>
      <c r="AK232" s="1">
        <v>41</v>
      </c>
      <c r="AL232" s="1" t="s">
        <v>2074</v>
      </c>
      <c r="AM232" s="1" t="s">
        <v>2075</v>
      </c>
      <c r="AN232" s="1" t="s">
        <v>2076</v>
      </c>
      <c r="AO232" s="1" t="s">
        <v>4260</v>
      </c>
      <c r="AP232" s="1" t="s">
        <v>4261</v>
      </c>
      <c r="AQ232" s="1" t="s">
        <v>74</v>
      </c>
      <c r="AR232" s="1" t="s">
        <v>4262</v>
      </c>
      <c r="AS232" s="1" t="s">
        <v>4263</v>
      </c>
      <c r="AT232" s="1" t="s">
        <v>74</v>
      </c>
      <c r="AU232" s="1">
        <v>2011</v>
      </c>
      <c r="AV232" s="1">
        <v>93</v>
      </c>
      <c r="AW232" s="1">
        <v>9</v>
      </c>
      <c r="AX232" s="1" t="s">
        <v>74</v>
      </c>
      <c r="AY232" s="1" t="s">
        <v>74</v>
      </c>
      <c r="AZ232" s="1" t="s">
        <v>225</v>
      </c>
      <c r="BA232" s="1" t="s">
        <v>74</v>
      </c>
      <c r="BB232" s="1">
        <v>1778</v>
      </c>
      <c r="BC232" s="1">
        <v>1787</v>
      </c>
      <c r="BD232" s="1" t="s">
        <v>74</v>
      </c>
      <c r="BE232" s="1" t="s">
        <v>4264</v>
      </c>
      <c r="BF232" s="1" t="str">
        <f>HYPERLINK("http://dx.doi.org/10.1080/02772248.2010.503656","http://dx.doi.org/10.1080/02772248.2010.503656")</f>
        <v>http://dx.doi.org/10.1080/02772248.2010.503656</v>
      </c>
      <c r="BG232" s="1" t="s">
        <v>74</v>
      </c>
      <c r="BH232" s="1" t="s">
        <v>74</v>
      </c>
      <c r="BI232" s="1">
        <v>10</v>
      </c>
      <c r="BJ232" s="1" t="s">
        <v>121</v>
      </c>
      <c r="BK232" s="1" t="s">
        <v>96</v>
      </c>
      <c r="BL232" s="1" t="s">
        <v>122</v>
      </c>
      <c r="BM232" s="1" t="s">
        <v>4265</v>
      </c>
      <c r="BN232" s="1" t="s">
        <v>74</v>
      </c>
      <c r="BO232" s="1" t="s">
        <v>74</v>
      </c>
      <c r="BP232" s="1" t="s">
        <v>74</v>
      </c>
      <c r="BQ232" s="1" t="s">
        <v>74</v>
      </c>
      <c r="BR232" s="1" t="s">
        <v>98</v>
      </c>
      <c r="BS232" s="1" t="s">
        <v>4266</v>
      </c>
      <c r="BT232" s="1" t="str">
        <f>HYPERLINK("https%3A%2F%2Fwww.webofscience.com%2Fwos%2Fwoscc%2Ffull-record%2FWOS:000299740600007","View Full Record in Web of Science")</f>
        <v>View Full Record in Web of Science</v>
      </c>
    </row>
    <row r="233" spans="1:72">
      <c r="A233" s="1" t="s">
        <v>72</v>
      </c>
      <c r="B233" s="1" t="s">
        <v>4267</v>
      </c>
      <c r="C233" s="1" t="s">
        <v>74</v>
      </c>
      <c r="D233" s="1" t="s">
        <v>74</v>
      </c>
      <c r="E233" s="1" t="s">
        <v>74</v>
      </c>
      <c r="F233" s="1" t="s">
        <v>4268</v>
      </c>
      <c r="G233" s="1" t="s">
        <v>74</v>
      </c>
      <c r="H233" s="1" t="s">
        <v>74</v>
      </c>
      <c r="I233" s="1" t="s">
        <v>4269</v>
      </c>
      <c r="J233" s="1" t="s">
        <v>232</v>
      </c>
      <c r="K233" s="1" t="s">
        <v>74</v>
      </c>
      <c r="L233" s="1" t="s">
        <v>74</v>
      </c>
      <c r="M233" s="1" t="s">
        <v>78</v>
      </c>
      <c r="N233" s="1" t="s">
        <v>79</v>
      </c>
      <c r="O233" s="1" t="s">
        <v>74</v>
      </c>
      <c r="P233" s="1" t="s">
        <v>74</v>
      </c>
      <c r="Q233" s="1" t="s">
        <v>74</v>
      </c>
      <c r="R233" s="1" t="s">
        <v>74</v>
      </c>
      <c r="S233" s="1" t="s">
        <v>74</v>
      </c>
      <c r="T233" s="1" t="s">
        <v>4270</v>
      </c>
      <c r="U233" s="1" t="s">
        <v>4271</v>
      </c>
      <c r="V233" s="1" t="s">
        <v>4272</v>
      </c>
      <c r="W233" s="1" t="s">
        <v>4273</v>
      </c>
      <c r="X233" s="1" t="s">
        <v>4274</v>
      </c>
      <c r="Y233" s="1" t="s">
        <v>4275</v>
      </c>
      <c r="Z233" s="1" t="s">
        <v>4276</v>
      </c>
      <c r="AA233" s="1" t="s">
        <v>4277</v>
      </c>
      <c r="AB233" s="1" t="s">
        <v>4278</v>
      </c>
      <c r="AC233" s="1" t="s">
        <v>4279</v>
      </c>
      <c r="AD233" s="1" t="s">
        <v>4280</v>
      </c>
      <c r="AE233" s="1" t="s">
        <v>4281</v>
      </c>
      <c r="AF233" s="1" t="s">
        <v>74</v>
      </c>
      <c r="AG233" s="1">
        <v>32</v>
      </c>
      <c r="AH233" s="1">
        <v>3</v>
      </c>
      <c r="AI233" s="1">
        <v>3</v>
      </c>
      <c r="AJ233" s="1">
        <v>5</v>
      </c>
      <c r="AK233" s="1">
        <v>24</v>
      </c>
      <c r="AL233" s="1" t="s">
        <v>136</v>
      </c>
      <c r="AM233" s="1" t="s">
        <v>137</v>
      </c>
      <c r="AN233" s="1" t="s">
        <v>138</v>
      </c>
      <c r="AO233" s="1" t="s">
        <v>240</v>
      </c>
      <c r="AP233" s="1" t="s">
        <v>241</v>
      </c>
      <c r="AQ233" s="1" t="s">
        <v>74</v>
      </c>
      <c r="AR233" s="1" t="s">
        <v>242</v>
      </c>
      <c r="AS233" s="1" t="s">
        <v>243</v>
      </c>
      <c r="AT233" s="1" t="s">
        <v>1470</v>
      </c>
      <c r="AU233" s="1">
        <v>2023</v>
      </c>
      <c r="AV233" s="1">
        <v>186</v>
      </c>
      <c r="AW233" s="1" t="s">
        <v>74</v>
      </c>
      <c r="AX233" s="1" t="s">
        <v>74</v>
      </c>
      <c r="AY233" s="1" t="s">
        <v>74</v>
      </c>
      <c r="AZ233" s="1" t="s">
        <v>74</v>
      </c>
      <c r="BA233" s="1" t="s">
        <v>74</v>
      </c>
      <c r="BB233" s="1" t="s">
        <v>74</v>
      </c>
      <c r="BC233" s="1" t="s">
        <v>74</v>
      </c>
      <c r="BD233" s="1">
        <v>114465</v>
      </c>
      <c r="BE233" s="1" t="s">
        <v>4282</v>
      </c>
      <c r="BF233" s="1" t="str">
        <f>HYPERLINK("http://dx.doi.org/10.1016/j.marpolbul.2022.114465","http://dx.doi.org/10.1016/j.marpolbul.2022.114465")</f>
        <v>http://dx.doi.org/10.1016/j.marpolbul.2022.114465</v>
      </c>
      <c r="BG233" s="1" t="s">
        <v>74</v>
      </c>
      <c r="BH233" s="1" t="s">
        <v>4283</v>
      </c>
      <c r="BI233" s="1">
        <v>8</v>
      </c>
      <c r="BJ233" s="1" t="s">
        <v>247</v>
      </c>
      <c r="BK233" s="1" t="s">
        <v>96</v>
      </c>
      <c r="BL233" s="1" t="s">
        <v>248</v>
      </c>
      <c r="BM233" s="1" t="s">
        <v>4284</v>
      </c>
      <c r="BN233" s="1">
        <v>36502773</v>
      </c>
      <c r="BO233" s="1" t="s">
        <v>74</v>
      </c>
      <c r="BP233" s="1" t="s">
        <v>74</v>
      </c>
      <c r="BQ233" s="1" t="s">
        <v>74</v>
      </c>
      <c r="BR233" s="1" t="s">
        <v>98</v>
      </c>
      <c r="BS233" s="1" t="s">
        <v>4285</v>
      </c>
      <c r="BT233" s="1" t="str">
        <f>HYPERLINK("https%3A%2F%2Fwww.webofscience.com%2Fwos%2Fwoscc%2Ffull-record%2FWOS:000899009400005","View Full Record in Web of Science")</f>
        <v>View Full Record in Web of Science</v>
      </c>
    </row>
    <row r="234" spans="1:72">
      <c r="A234" s="1" t="s">
        <v>72</v>
      </c>
      <c r="B234" s="1" t="s">
        <v>4286</v>
      </c>
      <c r="C234" s="1" t="s">
        <v>74</v>
      </c>
      <c r="D234" s="1" t="s">
        <v>74</v>
      </c>
      <c r="E234" s="1" t="s">
        <v>74</v>
      </c>
      <c r="F234" s="1" t="s">
        <v>4287</v>
      </c>
      <c r="G234" s="1" t="s">
        <v>74</v>
      </c>
      <c r="H234" s="1" t="s">
        <v>74</v>
      </c>
      <c r="I234" s="1" t="s">
        <v>4288</v>
      </c>
      <c r="J234" s="1" t="s">
        <v>3926</v>
      </c>
      <c r="K234" s="1" t="s">
        <v>74</v>
      </c>
      <c r="L234" s="1" t="s">
        <v>74</v>
      </c>
      <c r="M234" s="1" t="s">
        <v>78</v>
      </c>
      <c r="N234" s="1" t="s">
        <v>79</v>
      </c>
      <c r="O234" s="1" t="s">
        <v>74</v>
      </c>
      <c r="P234" s="1" t="s">
        <v>74</v>
      </c>
      <c r="Q234" s="1" t="s">
        <v>74</v>
      </c>
      <c r="R234" s="1" t="s">
        <v>74</v>
      </c>
      <c r="S234" s="1" t="s">
        <v>74</v>
      </c>
      <c r="T234" s="1" t="s">
        <v>4289</v>
      </c>
      <c r="U234" s="1" t="s">
        <v>4290</v>
      </c>
      <c r="V234" s="1" t="s">
        <v>4291</v>
      </c>
      <c r="W234" s="1" t="s">
        <v>4292</v>
      </c>
      <c r="X234" s="1" t="s">
        <v>4293</v>
      </c>
      <c r="Y234" s="1" t="s">
        <v>4294</v>
      </c>
      <c r="Z234" s="1" t="s">
        <v>4295</v>
      </c>
      <c r="AA234" s="1" t="s">
        <v>4296</v>
      </c>
      <c r="AB234" s="1" t="s">
        <v>4297</v>
      </c>
      <c r="AC234" s="1" t="s">
        <v>4298</v>
      </c>
      <c r="AD234" s="1" t="s">
        <v>4299</v>
      </c>
      <c r="AE234" s="1" t="s">
        <v>4300</v>
      </c>
      <c r="AF234" s="1" t="s">
        <v>74</v>
      </c>
      <c r="AG234" s="1">
        <v>89</v>
      </c>
      <c r="AH234" s="1">
        <v>34</v>
      </c>
      <c r="AI234" s="1">
        <v>40</v>
      </c>
      <c r="AJ234" s="1">
        <v>5</v>
      </c>
      <c r="AK234" s="1">
        <v>124</v>
      </c>
      <c r="AL234" s="1" t="s">
        <v>650</v>
      </c>
      <c r="AM234" s="1" t="s">
        <v>651</v>
      </c>
      <c r="AN234" s="1" t="s">
        <v>652</v>
      </c>
      <c r="AO234" s="1" t="s">
        <v>3939</v>
      </c>
      <c r="AP234" s="1" t="s">
        <v>3940</v>
      </c>
      <c r="AQ234" s="1" t="s">
        <v>74</v>
      </c>
      <c r="AR234" s="1" t="s">
        <v>3926</v>
      </c>
      <c r="AS234" s="1" t="s">
        <v>3941</v>
      </c>
      <c r="AT234" s="1" t="s">
        <v>2303</v>
      </c>
      <c r="AU234" s="1">
        <v>2016</v>
      </c>
      <c r="AV234" s="1">
        <v>465</v>
      </c>
      <c r="AW234" s="1" t="s">
        <v>74</v>
      </c>
      <c r="AX234" s="1" t="s">
        <v>74</v>
      </c>
      <c r="AY234" s="1" t="s">
        <v>74</v>
      </c>
      <c r="AZ234" s="1" t="s">
        <v>74</v>
      </c>
      <c r="BA234" s="1" t="s">
        <v>74</v>
      </c>
      <c r="BB234" s="1">
        <v>209</v>
      </c>
      <c r="BC234" s="1">
        <v>222</v>
      </c>
      <c r="BD234" s="1" t="s">
        <v>74</v>
      </c>
      <c r="BE234" s="1" t="s">
        <v>4301</v>
      </c>
      <c r="BF234" s="1" t="str">
        <f>HYPERLINK("http://dx.doi.org/10.1016/j.aquaculture.2016.09.016","http://dx.doi.org/10.1016/j.aquaculture.2016.09.016")</f>
        <v>http://dx.doi.org/10.1016/j.aquaculture.2016.09.016</v>
      </c>
      <c r="BG234" s="1" t="s">
        <v>74</v>
      </c>
      <c r="BH234" s="1" t="s">
        <v>74</v>
      </c>
      <c r="BI234" s="1">
        <v>14</v>
      </c>
      <c r="BJ234" s="1" t="s">
        <v>2391</v>
      </c>
      <c r="BK234" s="1" t="s">
        <v>96</v>
      </c>
      <c r="BL234" s="1" t="s">
        <v>2391</v>
      </c>
      <c r="BM234" s="1" t="s">
        <v>4302</v>
      </c>
      <c r="BN234" s="1" t="s">
        <v>74</v>
      </c>
      <c r="BO234" s="1" t="s">
        <v>74</v>
      </c>
      <c r="BP234" s="1" t="s">
        <v>74</v>
      </c>
      <c r="BQ234" s="1" t="s">
        <v>74</v>
      </c>
      <c r="BR234" s="1" t="s">
        <v>98</v>
      </c>
      <c r="BS234" s="1" t="s">
        <v>4303</v>
      </c>
      <c r="BT234" s="1" t="str">
        <f>HYPERLINK("https%3A%2F%2Fwww.webofscience.com%2Fwos%2Fwoscc%2Ffull-record%2FWOS:000385372200028","View Full Record in Web of Science")</f>
        <v>View Full Record in Web of Science</v>
      </c>
    </row>
    <row r="235" spans="1:72">
      <c r="A235" s="1" t="s">
        <v>72</v>
      </c>
      <c r="B235" s="1" t="s">
        <v>4304</v>
      </c>
      <c r="C235" s="1" t="s">
        <v>74</v>
      </c>
      <c r="D235" s="1" t="s">
        <v>74</v>
      </c>
      <c r="E235" s="1" t="s">
        <v>74</v>
      </c>
      <c r="F235" s="1" t="s">
        <v>4304</v>
      </c>
      <c r="G235" s="1" t="s">
        <v>74</v>
      </c>
      <c r="H235" s="1" t="s">
        <v>74</v>
      </c>
      <c r="I235" s="1" t="s">
        <v>4305</v>
      </c>
      <c r="J235" s="1" t="s">
        <v>4306</v>
      </c>
      <c r="K235" s="1" t="s">
        <v>74</v>
      </c>
      <c r="L235" s="1" t="s">
        <v>74</v>
      </c>
      <c r="M235" s="1" t="s">
        <v>78</v>
      </c>
      <c r="N235" s="1" t="s">
        <v>79</v>
      </c>
      <c r="O235" s="1" t="s">
        <v>74</v>
      </c>
      <c r="P235" s="1" t="s">
        <v>74</v>
      </c>
      <c r="Q235" s="1" t="s">
        <v>74</v>
      </c>
      <c r="R235" s="1" t="s">
        <v>74</v>
      </c>
      <c r="S235" s="1" t="s">
        <v>74</v>
      </c>
      <c r="T235" s="1" t="s">
        <v>4307</v>
      </c>
      <c r="U235" s="1" t="s">
        <v>4308</v>
      </c>
      <c r="V235" s="1" t="s">
        <v>4309</v>
      </c>
      <c r="W235" s="1" t="s">
        <v>4310</v>
      </c>
      <c r="X235" s="1" t="s">
        <v>4311</v>
      </c>
      <c r="Y235" s="1" t="s">
        <v>4312</v>
      </c>
      <c r="Z235" s="1" t="s">
        <v>74</v>
      </c>
      <c r="AA235" s="1" t="s">
        <v>562</v>
      </c>
      <c r="AB235" s="1" t="s">
        <v>563</v>
      </c>
      <c r="AC235" s="1" t="s">
        <v>74</v>
      </c>
      <c r="AD235" s="1" t="s">
        <v>74</v>
      </c>
      <c r="AE235" s="1" t="s">
        <v>74</v>
      </c>
      <c r="AF235" s="1" t="s">
        <v>74</v>
      </c>
      <c r="AG235" s="1">
        <v>29</v>
      </c>
      <c r="AH235" s="1">
        <v>139</v>
      </c>
      <c r="AI235" s="1">
        <v>158</v>
      </c>
      <c r="AJ235" s="1">
        <v>0</v>
      </c>
      <c r="AK235" s="1">
        <v>25</v>
      </c>
      <c r="AL235" s="1" t="s">
        <v>136</v>
      </c>
      <c r="AM235" s="1" t="s">
        <v>137</v>
      </c>
      <c r="AN235" s="1" t="s">
        <v>138</v>
      </c>
      <c r="AO235" s="1" t="s">
        <v>4313</v>
      </c>
      <c r="AP235" s="1" t="s">
        <v>74</v>
      </c>
      <c r="AQ235" s="1" t="s">
        <v>74</v>
      </c>
      <c r="AR235" s="1" t="s">
        <v>4314</v>
      </c>
      <c r="AS235" s="1" t="s">
        <v>4315</v>
      </c>
      <c r="AT235" s="1" t="s">
        <v>224</v>
      </c>
      <c r="AU235" s="1">
        <v>2002</v>
      </c>
      <c r="AV235" s="1">
        <v>131</v>
      </c>
      <c r="AW235" s="1">
        <v>2</v>
      </c>
      <c r="AX235" s="1" t="s">
        <v>74</v>
      </c>
      <c r="AY235" s="1" t="s">
        <v>74</v>
      </c>
      <c r="AZ235" s="1" t="s">
        <v>74</v>
      </c>
      <c r="BA235" s="1" t="s">
        <v>74</v>
      </c>
      <c r="BB235" s="1">
        <v>241</v>
      </c>
      <c r="BC235" s="1">
        <v>249</v>
      </c>
      <c r="BD235" s="1" t="s">
        <v>4316</v>
      </c>
      <c r="BE235" s="1" t="s">
        <v>4317</v>
      </c>
      <c r="BF235" s="1" t="str">
        <f>HYPERLINK("http://dx.doi.org/10.1016/S1096-4959(01)00502-4","http://dx.doi.org/10.1016/S1096-4959(01)00502-4")</f>
        <v>http://dx.doi.org/10.1016/S1096-4959(01)00502-4</v>
      </c>
      <c r="BG235" s="1" t="s">
        <v>74</v>
      </c>
      <c r="BH235" s="1" t="s">
        <v>74</v>
      </c>
      <c r="BI235" s="1">
        <v>9</v>
      </c>
      <c r="BJ235" s="1" t="s">
        <v>4318</v>
      </c>
      <c r="BK235" s="1" t="s">
        <v>96</v>
      </c>
      <c r="BL235" s="1" t="s">
        <v>4318</v>
      </c>
      <c r="BM235" s="1" t="s">
        <v>4319</v>
      </c>
      <c r="BN235" s="1">
        <v>11818245</v>
      </c>
      <c r="BO235" s="1" t="s">
        <v>74</v>
      </c>
      <c r="BP235" s="1" t="s">
        <v>74</v>
      </c>
      <c r="BQ235" s="1" t="s">
        <v>74</v>
      </c>
      <c r="BR235" s="1" t="s">
        <v>98</v>
      </c>
      <c r="BS235" s="1" t="s">
        <v>4320</v>
      </c>
      <c r="BT235" s="1" t="str">
        <f>HYPERLINK("https%3A%2F%2Fwww.webofscience.com%2Fwos%2Fwoscc%2Ffull-record%2FWOS:000173856200011","View Full Record in Web of Science")</f>
        <v>View Full Record in Web of Science</v>
      </c>
    </row>
    <row r="236" spans="1:72">
      <c r="A236" s="1" t="s">
        <v>72</v>
      </c>
      <c r="B236" s="1" t="s">
        <v>4321</v>
      </c>
      <c r="C236" s="1" t="s">
        <v>74</v>
      </c>
      <c r="D236" s="1" t="s">
        <v>74</v>
      </c>
      <c r="E236" s="1" t="s">
        <v>74</v>
      </c>
      <c r="F236" s="1" t="s">
        <v>4321</v>
      </c>
      <c r="G236" s="1" t="s">
        <v>74</v>
      </c>
      <c r="H236" s="1" t="s">
        <v>74</v>
      </c>
      <c r="I236" s="1" t="s">
        <v>4322</v>
      </c>
      <c r="J236" s="1" t="s">
        <v>909</v>
      </c>
      <c r="K236" s="1" t="s">
        <v>74</v>
      </c>
      <c r="L236" s="1" t="s">
        <v>74</v>
      </c>
      <c r="M236" s="1" t="s">
        <v>78</v>
      </c>
      <c r="N236" s="1" t="s">
        <v>151</v>
      </c>
      <c r="O236" s="1" t="s">
        <v>3302</v>
      </c>
      <c r="P236" s="1" t="s">
        <v>3303</v>
      </c>
      <c r="Q236" s="1" t="s">
        <v>3304</v>
      </c>
      <c r="R236" s="1" t="s">
        <v>74</v>
      </c>
      <c r="S236" s="1" t="s">
        <v>74</v>
      </c>
      <c r="T236" s="1" t="s">
        <v>4323</v>
      </c>
      <c r="U236" s="1" t="s">
        <v>4324</v>
      </c>
      <c r="V236" s="1" t="s">
        <v>4325</v>
      </c>
      <c r="W236" s="1" t="s">
        <v>4326</v>
      </c>
      <c r="X236" s="1" t="s">
        <v>4327</v>
      </c>
      <c r="Y236" s="1" t="s">
        <v>4328</v>
      </c>
      <c r="Z236" s="1" t="s">
        <v>4329</v>
      </c>
      <c r="AA236" s="1" t="s">
        <v>4330</v>
      </c>
      <c r="AB236" s="1" t="s">
        <v>4331</v>
      </c>
      <c r="AC236" s="1" t="s">
        <v>74</v>
      </c>
      <c r="AD236" s="1" t="s">
        <v>74</v>
      </c>
      <c r="AE236" s="1" t="s">
        <v>74</v>
      </c>
      <c r="AF236" s="1" t="s">
        <v>74</v>
      </c>
      <c r="AG236" s="1">
        <v>13</v>
      </c>
      <c r="AH236" s="1">
        <v>22</v>
      </c>
      <c r="AI236" s="1">
        <v>23</v>
      </c>
      <c r="AJ236" s="1">
        <v>0</v>
      </c>
      <c r="AK236" s="1">
        <v>9</v>
      </c>
      <c r="AL236" s="1" t="s">
        <v>919</v>
      </c>
      <c r="AM236" s="1" t="s">
        <v>651</v>
      </c>
      <c r="AN236" s="1" t="s">
        <v>920</v>
      </c>
      <c r="AO236" s="1" t="s">
        <v>921</v>
      </c>
      <c r="AP236" s="1" t="s">
        <v>922</v>
      </c>
      <c r="AQ236" s="1" t="s">
        <v>74</v>
      </c>
      <c r="AR236" s="1" t="s">
        <v>923</v>
      </c>
      <c r="AS236" s="1" t="s">
        <v>924</v>
      </c>
      <c r="AT236" s="1" t="s">
        <v>3312</v>
      </c>
      <c r="AU236" s="1">
        <v>2000</v>
      </c>
      <c r="AV236" s="1">
        <v>261</v>
      </c>
      <c r="AW236" s="1" t="s">
        <v>2847</v>
      </c>
      <c r="AX236" s="1" t="s">
        <v>74</v>
      </c>
      <c r="AY236" s="1" t="s">
        <v>74</v>
      </c>
      <c r="AZ236" s="1" t="s">
        <v>74</v>
      </c>
      <c r="BA236" s="1" t="s">
        <v>74</v>
      </c>
      <c r="BB236" s="1">
        <v>69</v>
      </c>
      <c r="BC236" s="1">
        <v>73</v>
      </c>
      <c r="BD236" s="1" t="s">
        <v>74</v>
      </c>
      <c r="BE236" s="1" t="s">
        <v>4332</v>
      </c>
      <c r="BF236" s="1" t="str">
        <f>HYPERLINK("http://dx.doi.org/10.1016/S0048-9697(00)00596-9","http://dx.doi.org/10.1016/S0048-9697(00)00596-9")</f>
        <v>http://dx.doi.org/10.1016/S0048-9697(00)00596-9</v>
      </c>
      <c r="BG236" s="1" t="s">
        <v>74</v>
      </c>
      <c r="BH236" s="1" t="s">
        <v>74</v>
      </c>
      <c r="BI236" s="1">
        <v>5</v>
      </c>
      <c r="BJ236" s="1" t="s">
        <v>144</v>
      </c>
      <c r="BK236" s="1" t="s">
        <v>172</v>
      </c>
      <c r="BL236" s="1" t="s">
        <v>145</v>
      </c>
      <c r="BM236" s="1" t="s">
        <v>3314</v>
      </c>
      <c r="BN236" s="1">
        <v>11036978</v>
      </c>
      <c r="BO236" s="1" t="s">
        <v>74</v>
      </c>
      <c r="BP236" s="1" t="s">
        <v>74</v>
      </c>
      <c r="BQ236" s="1" t="s">
        <v>74</v>
      </c>
      <c r="BR236" s="1" t="s">
        <v>98</v>
      </c>
      <c r="BS236" s="1" t="s">
        <v>4333</v>
      </c>
      <c r="BT236" s="1" t="str">
        <f>HYPERLINK("https%3A%2F%2Fwww.webofscience.com%2Fwos%2Fwoscc%2Ffull-record%2FWOS:000089587200007","View Full Record in Web of Science")</f>
        <v>View Full Record in Web of Science</v>
      </c>
    </row>
    <row r="237" spans="1:72">
      <c r="A237" s="1" t="s">
        <v>72</v>
      </c>
      <c r="B237" s="1" t="s">
        <v>4334</v>
      </c>
      <c r="C237" s="1" t="s">
        <v>74</v>
      </c>
      <c r="D237" s="1" t="s">
        <v>74</v>
      </c>
      <c r="E237" s="1" t="s">
        <v>74</v>
      </c>
      <c r="F237" s="1" t="s">
        <v>4335</v>
      </c>
      <c r="G237" s="1" t="s">
        <v>74</v>
      </c>
      <c r="H237" s="1" t="s">
        <v>74</v>
      </c>
      <c r="I237" s="1" t="s">
        <v>4336</v>
      </c>
      <c r="J237" s="1" t="s">
        <v>4337</v>
      </c>
      <c r="K237" s="1" t="s">
        <v>74</v>
      </c>
      <c r="L237" s="1" t="s">
        <v>74</v>
      </c>
      <c r="M237" s="1" t="s">
        <v>78</v>
      </c>
      <c r="N237" s="1" t="s">
        <v>79</v>
      </c>
      <c r="O237" s="1" t="s">
        <v>74</v>
      </c>
      <c r="P237" s="1" t="s">
        <v>74</v>
      </c>
      <c r="Q237" s="1" t="s">
        <v>74</v>
      </c>
      <c r="R237" s="1" t="s">
        <v>74</v>
      </c>
      <c r="S237" s="1" t="s">
        <v>74</v>
      </c>
      <c r="T237" s="1" t="s">
        <v>74</v>
      </c>
      <c r="U237" s="1" t="s">
        <v>4338</v>
      </c>
      <c r="V237" s="1" t="s">
        <v>4339</v>
      </c>
      <c r="W237" s="1" t="s">
        <v>4340</v>
      </c>
      <c r="X237" s="1" t="s">
        <v>4341</v>
      </c>
      <c r="Y237" s="1" t="s">
        <v>4342</v>
      </c>
      <c r="Z237" s="1" t="s">
        <v>1898</v>
      </c>
      <c r="AA237" s="1" t="s">
        <v>4343</v>
      </c>
      <c r="AB237" s="1" t="s">
        <v>4344</v>
      </c>
      <c r="AC237" s="1" t="s">
        <v>74</v>
      </c>
      <c r="AD237" s="1" t="s">
        <v>74</v>
      </c>
      <c r="AE237" s="1" t="s">
        <v>74</v>
      </c>
      <c r="AF237" s="1" t="s">
        <v>74</v>
      </c>
      <c r="AG237" s="1">
        <v>42</v>
      </c>
      <c r="AH237" s="1">
        <v>144</v>
      </c>
      <c r="AI237" s="1">
        <v>153</v>
      </c>
      <c r="AJ237" s="1">
        <v>5</v>
      </c>
      <c r="AK237" s="1">
        <v>124</v>
      </c>
      <c r="AL237" s="1" t="s">
        <v>650</v>
      </c>
      <c r="AM237" s="1" t="s">
        <v>651</v>
      </c>
      <c r="AN237" s="1" t="s">
        <v>652</v>
      </c>
      <c r="AO237" s="1" t="s">
        <v>4345</v>
      </c>
      <c r="AP237" s="1" t="s">
        <v>4346</v>
      </c>
      <c r="AQ237" s="1" t="s">
        <v>74</v>
      </c>
      <c r="AR237" s="1" t="s">
        <v>4347</v>
      </c>
      <c r="AS237" s="1" t="s">
        <v>4348</v>
      </c>
      <c r="AT237" s="1" t="s">
        <v>4349</v>
      </c>
      <c r="AU237" s="1">
        <v>2015</v>
      </c>
      <c r="AV237" s="1">
        <v>32</v>
      </c>
      <c r="AW237" s="1">
        <v>3</v>
      </c>
      <c r="AX237" s="1" t="s">
        <v>74</v>
      </c>
      <c r="AY237" s="1" t="s">
        <v>74</v>
      </c>
      <c r="AZ237" s="1" t="s">
        <v>74</v>
      </c>
      <c r="BA237" s="1" t="s">
        <v>74</v>
      </c>
      <c r="BB237" s="1">
        <v>369</v>
      </c>
      <c r="BC237" s="1">
        <v>378</v>
      </c>
      <c r="BD237" s="1" t="s">
        <v>74</v>
      </c>
      <c r="BE237" s="1" t="s">
        <v>4350</v>
      </c>
      <c r="BF237" s="1" t="str">
        <f>HYPERLINK("http://dx.doi.org/10.1016/j.nbt.2014.11.004","http://dx.doi.org/10.1016/j.nbt.2014.11.004")</f>
        <v>http://dx.doi.org/10.1016/j.nbt.2014.11.004</v>
      </c>
      <c r="BG237" s="1" t="s">
        <v>74</v>
      </c>
      <c r="BH237" s="1" t="s">
        <v>74</v>
      </c>
      <c r="BI237" s="1">
        <v>10</v>
      </c>
      <c r="BJ237" s="1" t="s">
        <v>4351</v>
      </c>
      <c r="BK237" s="1" t="s">
        <v>96</v>
      </c>
      <c r="BL237" s="1" t="s">
        <v>4352</v>
      </c>
      <c r="BM237" s="1" t="s">
        <v>4353</v>
      </c>
      <c r="BN237" s="1">
        <v>25500720</v>
      </c>
      <c r="BO237" s="1" t="s">
        <v>74</v>
      </c>
      <c r="BP237" s="1" t="s">
        <v>74</v>
      </c>
      <c r="BQ237" s="1" t="s">
        <v>74</v>
      </c>
      <c r="BR237" s="1" t="s">
        <v>98</v>
      </c>
      <c r="BS237" s="1" t="s">
        <v>4354</v>
      </c>
      <c r="BT237" s="1" t="str">
        <f>HYPERLINK("https%3A%2F%2Fwww.webofscience.com%2Fwos%2Fwoscc%2Ffull-record%2FWOS:000353346000007","View Full Record in Web of Science")</f>
        <v>View Full Record in Web of Science</v>
      </c>
    </row>
    <row r="238" spans="1:72">
      <c r="A238" s="1" t="s">
        <v>72</v>
      </c>
      <c r="B238" s="1" t="s">
        <v>4355</v>
      </c>
      <c r="C238" s="1" t="s">
        <v>74</v>
      </c>
      <c r="D238" s="1" t="s">
        <v>74</v>
      </c>
      <c r="E238" s="1" t="s">
        <v>74</v>
      </c>
      <c r="F238" s="1" t="s">
        <v>4356</v>
      </c>
      <c r="G238" s="1" t="s">
        <v>74</v>
      </c>
      <c r="H238" s="1" t="s">
        <v>74</v>
      </c>
      <c r="I238" s="1" t="s">
        <v>4357</v>
      </c>
      <c r="J238" s="1" t="s">
        <v>4358</v>
      </c>
      <c r="K238" s="1" t="s">
        <v>74</v>
      </c>
      <c r="L238" s="1" t="s">
        <v>74</v>
      </c>
      <c r="M238" s="1" t="s">
        <v>78</v>
      </c>
      <c r="N238" s="1" t="s">
        <v>79</v>
      </c>
      <c r="O238" s="1" t="s">
        <v>74</v>
      </c>
      <c r="P238" s="1" t="s">
        <v>74</v>
      </c>
      <c r="Q238" s="1" t="s">
        <v>74</v>
      </c>
      <c r="R238" s="1" t="s">
        <v>74</v>
      </c>
      <c r="S238" s="1" t="s">
        <v>74</v>
      </c>
      <c r="T238" s="1" t="s">
        <v>4359</v>
      </c>
      <c r="U238" s="1" t="s">
        <v>4360</v>
      </c>
      <c r="V238" s="1" t="s">
        <v>4361</v>
      </c>
      <c r="W238" s="1" t="s">
        <v>4362</v>
      </c>
      <c r="X238" s="1" t="s">
        <v>4363</v>
      </c>
      <c r="Y238" s="1" t="s">
        <v>4364</v>
      </c>
      <c r="Z238" s="1" t="s">
        <v>4365</v>
      </c>
      <c r="AA238" s="1" t="s">
        <v>4366</v>
      </c>
      <c r="AB238" s="1" t="s">
        <v>4367</v>
      </c>
      <c r="AC238" s="1" t="s">
        <v>74</v>
      </c>
      <c r="AD238" s="1" t="s">
        <v>74</v>
      </c>
      <c r="AE238" s="1" t="s">
        <v>74</v>
      </c>
      <c r="AF238" s="1" t="s">
        <v>74</v>
      </c>
      <c r="AG238" s="1">
        <v>53</v>
      </c>
      <c r="AH238" s="1">
        <v>27</v>
      </c>
      <c r="AI238" s="1">
        <v>30</v>
      </c>
      <c r="AJ238" s="1">
        <v>1</v>
      </c>
      <c r="AK238" s="1">
        <v>15</v>
      </c>
      <c r="AL238" s="1" t="s">
        <v>4368</v>
      </c>
      <c r="AM238" s="1" t="s">
        <v>4369</v>
      </c>
      <c r="AN238" s="1" t="s">
        <v>4370</v>
      </c>
      <c r="AO238" s="1" t="s">
        <v>4371</v>
      </c>
      <c r="AP238" s="1" t="s">
        <v>4372</v>
      </c>
      <c r="AQ238" s="1" t="s">
        <v>74</v>
      </c>
      <c r="AR238" s="1" t="s">
        <v>4373</v>
      </c>
      <c r="AS238" s="1" t="s">
        <v>4374</v>
      </c>
      <c r="AT238" s="1" t="s">
        <v>1470</v>
      </c>
      <c r="AU238" s="1">
        <v>2015</v>
      </c>
      <c r="AV238" s="1">
        <v>338</v>
      </c>
      <c r="AW238" s="1">
        <v>1</v>
      </c>
      <c r="AX238" s="1" t="s">
        <v>74</v>
      </c>
      <c r="AY238" s="1" t="s">
        <v>74</v>
      </c>
      <c r="AZ238" s="1" t="s">
        <v>74</v>
      </c>
      <c r="BA238" s="1" t="s">
        <v>74</v>
      </c>
      <c r="BB238" s="1">
        <v>40</v>
      </c>
      <c r="BC238" s="1">
        <v>47</v>
      </c>
      <c r="BD238" s="1" t="s">
        <v>74</v>
      </c>
      <c r="BE238" s="1" t="s">
        <v>4375</v>
      </c>
      <c r="BF238" s="1" t="str">
        <f>HYPERLINK("http://dx.doi.org/10.1016/j.crvi.2014.10.005","http://dx.doi.org/10.1016/j.crvi.2014.10.005")</f>
        <v>http://dx.doi.org/10.1016/j.crvi.2014.10.005</v>
      </c>
      <c r="BG238" s="1" t="s">
        <v>74</v>
      </c>
      <c r="BH238" s="1" t="s">
        <v>74</v>
      </c>
      <c r="BI238" s="1">
        <v>8</v>
      </c>
      <c r="BJ238" s="1" t="s">
        <v>171</v>
      </c>
      <c r="BK238" s="1" t="s">
        <v>96</v>
      </c>
      <c r="BL238" s="1" t="s">
        <v>173</v>
      </c>
      <c r="BM238" s="1" t="s">
        <v>4376</v>
      </c>
      <c r="BN238" s="1">
        <v>25528674</v>
      </c>
      <c r="BO238" s="1" t="s">
        <v>74</v>
      </c>
      <c r="BP238" s="1" t="s">
        <v>74</v>
      </c>
      <c r="BQ238" s="1" t="s">
        <v>74</v>
      </c>
      <c r="BR238" s="1" t="s">
        <v>98</v>
      </c>
      <c r="BS238" s="1" t="s">
        <v>4377</v>
      </c>
      <c r="BT238" s="1" t="str">
        <f>HYPERLINK("https%3A%2F%2Fwww.webofscience.com%2Fwos%2Fwoscc%2Ffull-record%2FWOS:000348247500005","View Full Record in Web of Science")</f>
        <v>View Full Record in Web of Science</v>
      </c>
    </row>
    <row r="239" spans="1:72">
      <c r="A239" s="1" t="s">
        <v>72</v>
      </c>
      <c r="B239" s="1" t="s">
        <v>4378</v>
      </c>
      <c r="C239" s="1" t="s">
        <v>74</v>
      </c>
      <c r="D239" s="1" t="s">
        <v>74</v>
      </c>
      <c r="E239" s="1" t="s">
        <v>74</v>
      </c>
      <c r="F239" s="1" t="s">
        <v>4378</v>
      </c>
      <c r="G239" s="1" t="s">
        <v>74</v>
      </c>
      <c r="H239" s="1" t="s">
        <v>74</v>
      </c>
      <c r="I239" s="1" t="s">
        <v>4379</v>
      </c>
      <c r="J239" s="1" t="s">
        <v>641</v>
      </c>
      <c r="K239" s="1" t="s">
        <v>74</v>
      </c>
      <c r="L239" s="1" t="s">
        <v>74</v>
      </c>
      <c r="M239" s="1" t="s">
        <v>78</v>
      </c>
      <c r="N239" s="1" t="s">
        <v>151</v>
      </c>
      <c r="O239" s="1" t="s">
        <v>4380</v>
      </c>
      <c r="P239" s="1">
        <v>2003</v>
      </c>
      <c r="Q239" s="1" t="s">
        <v>4381</v>
      </c>
      <c r="R239" s="1" t="s">
        <v>74</v>
      </c>
      <c r="S239" s="1" t="s">
        <v>74</v>
      </c>
      <c r="T239" s="1" t="s">
        <v>4382</v>
      </c>
      <c r="U239" s="1" t="s">
        <v>4383</v>
      </c>
      <c r="V239" s="1" t="s">
        <v>4384</v>
      </c>
      <c r="W239" s="1" t="s">
        <v>4385</v>
      </c>
      <c r="X239" s="1" t="s">
        <v>4386</v>
      </c>
      <c r="Y239" s="1" t="s">
        <v>4387</v>
      </c>
      <c r="Z239" s="1" t="s">
        <v>4388</v>
      </c>
      <c r="AA239" s="1" t="s">
        <v>4389</v>
      </c>
      <c r="AB239" s="1" t="s">
        <v>4390</v>
      </c>
      <c r="AC239" s="1" t="s">
        <v>74</v>
      </c>
      <c r="AD239" s="1" t="s">
        <v>74</v>
      </c>
      <c r="AE239" s="1" t="s">
        <v>74</v>
      </c>
      <c r="AF239" s="1" t="s">
        <v>74</v>
      </c>
      <c r="AG239" s="1">
        <v>47</v>
      </c>
      <c r="AH239" s="1">
        <v>37</v>
      </c>
      <c r="AI239" s="1">
        <v>38</v>
      </c>
      <c r="AJ239" s="1">
        <v>1</v>
      </c>
      <c r="AK239" s="1">
        <v>18</v>
      </c>
      <c r="AL239" s="1" t="s">
        <v>919</v>
      </c>
      <c r="AM239" s="1" t="s">
        <v>651</v>
      </c>
      <c r="AN239" s="1" t="s">
        <v>920</v>
      </c>
      <c r="AO239" s="1" t="s">
        <v>653</v>
      </c>
      <c r="AP239" s="1" t="s">
        <v>74</v>
      </c>
      <c r="AQ239" s="1" t="s">
        <v>74</v>
      </c>
      <c r="AR239" s="1" t="s">
        <v>655</v>
      </c>
      <c r="AS239" s="1" t="s">
        <v>656</v>
      </c>
      <c r="AT239" s="1" t="s">
        <v>4391</v>
      </c>
      <c r="AU239" s="1">
        <v>2005</v>
      </c>
      <c r="AV239" s="1">
        <v>75</v>
      </c>
      <c r="AW239" s="1">
        <v>1</v>
      </c>
      <c r="AX239" s="1" t="s">
        <v>74</v>
      </c>
      <c r="AY239" s="1" t="s">
        <v>74</v>
      </c>
      <c r="AZ239" s="1" t="s">
        <v>74</v>
      </c>
      <c r="BA239" s="1" t="s">
        <v>74</v>
      </c>
      <c r="BB239" s="1">
        <v>1</v>
      </c>
      <c r="BC239" s="1">
        <v>15</v>
      </c>
      <c r="BD239" s="1" t="s">
        <v>74</v>
      </c>
      <c r="BE239" s="1" t="s">
        <v>4392</v>
      </c>
      <c r="BF239" s="1" t="str">
        <f>HYPERLINK("http://dx.doi.org/10.1016/j.aquatox.2005.06.007","http://dx.doi.org/10.1016/j.aquatox.2005.06.007")</f>
        <v>http://dx.doi.org/10.1016/j.aquatox.2005.06.007</v>
      </c>
      <c r="BG239" s="1" t="s">
        <v>74</v>
      </c>
      <c r="BH239" s="1" t="s">
        <v>74</v>
      </c>
      <c r="BI239" s="1">
        <v>15</v>
      </c>
      <c r="BJ239" s="1" t="s">
        <v>659</v>
      </c>
      <c r="BK239" s="1" t="s">
        <v>588</v>
      </c>
      <c r="BL239" s="1" t="s">
        <v>659</v>
      </c>
      <c r="BM239" s="1" t="s">
        <v>4393</v>
      </c>
      <c r="BN239" s="1">
        <v>16046241</v>
      </c>
      <c r="BO239" s="1" t="s">
        <v>74</v>
      </c>
      <c r="BP239" s="1" t="s">
        <v>74</v>
      </c>
      <c r="BQ239" s="1" t="s">
        <v>74</v>
      </c>
      <c r="BR239" s="1" t="s">
        <v>98</v>
      </c>
      <c r="BS239" s="1" t="s">
        <v>4394</v>
      </c>
      <c r="BT239" s="1" t="str">
        <f>HYPERLINK("https%3A%2F%2Fwww.webofscience.com%2Fwos%2Fwoscc%2Ffull-record%2FWOS:000232434300001","View Full Record in Web of Science")</f>
        <v>View Full Record in Web of Science</v>
      </c>
    </row>
    <row r="240" spans="1:72">
      <c r="A240" s="1" t="s">
        <v>72</v>
      </c>
      <c r="B240" s="1" t="s">
        <v>4395</v>
      </c>
      <c r="C240" s="1" t="s">
        <v>74</v>
      </c>
      <c r="D240" s="1" t="s">
        <v>74</v>
      </c>
      <c r="E240" s="1" t="s">
        <v>74</v>
      </c>
      <c r="F240" s="1" t="s">
        <v>4396</v>
      </c>
      <c r="G240" s="1" t="s">
        <v>74</v>
      </c>
      <c r="H240" s="1" t="s">
        <v>74</v>
      </c>
      <c r="I240" s="1" t="s">
        <v>4397</v>
      </c>
      <c r="J240" s="1" t="s">
        <v>2371</v>
      </c>
      <c r="K240" s="1" t="s">
        <v>74</v>
      </c>
      <c r="L240" s="1" t="s">
        <v>74</v>
      </c>
      <c r="M240" s="1" t="s">
        <v>78</v>
      </c>
      <c r="N240" s="1" t="s">
        <v>151</v>
      </c>
      <c r="O240" s="1" t="s">
        <v>4398</v>
      </c>
      <c r="P240" s="1" t="s">
        <v>4399</v>
      </c>
      <c r="Q240" s="1" t="s">
        <v>4400</v>
      </c>
      <c r="R240" s="1" t="s">
        <v>74</v>
      </c>
      <c r="S240" s="1" t="s">
        <v>4401</v>
      </c>
      <c r="T240" s="1" t="s">
        <v>4402</v>
      </c>
      <c r="U240" s="1" t="s">
        <v>4403</v>
      </c>
      <c r="V240" s="1" t="s">
        <v>4404</v>
      </c>
      <c r="W240" s="1" t="s">
        <v>4405</v>
      </c>
      <c r="X240" s="1" t="s">
        <v>646</v>
      </c>
      <c r="Y240" s="1" t="s">
        <v>4406</v>
      </c>
      <c r="Z240" s="1" t="s">
        <v>4407</v>
      </c>
      <c r="AA240" s="1" t="s">
        <v>4408</v>
      </c>
      <c r="AB240" s="1" t="s">
        <v>4409</v>
      </c>
      <c r="AC240" s="1" t="s">
        <v>74</v>
      </c>
      <c r="AD240" s="1" t="s">
        <v>74</v>
      </c>
      <c r="AE240" s="1" t="s">
        <v>74</v>
      </c>
      <c r="AF240" s="1" t="s">
        <v>74</v>
      </c>
      <c r="AG240" s="1">
        <v>37</v>
      </c>
      <c r="AH240" s="1">
        <v>29</v>
      </c>
      <c r="AI240" s="1">
        <v>32</v>
      </c>
      <c r="AJ240" s="1">
        <v>1</v>
      </c>
      <c r="AK240" s="1">
        <v>20</v>
      </c>
      <c r="AL240" s="1" t="s">
        <v>2383</v>
      </c>
      <c r="AM240" s="1" t="s">
        <v>2384</v>
      </c>
      <c r="AN240" s="1" t="s">
        <v>2385</v>
      </c>
      <c r="AO240" s="1" t="s">
        <v>2386</v>
      </c>
      <c r="AP240" s="1" t="s">
        <v>2387</v>
      </c>
      <c r="AQ240" s="1" t="s">
        <v>74</v>
      </c>
      <c r="AR240" s="1" t="s">
        <v>2388</v>
      </c>
      <c r="AS240" s="1" t="s">
        <v>2389</v>
      </c>
      <c r="AT240" s="1" t="s">
        <v>4410</v>
      </c>
      <c r="AU240" s="1">
        <v>2007</v>
      </c>
      <c r="AV240" s="1">
        <v>20</v>
      </c>
      <c r="AW240" s="1">
        <v>1</v>
      </c>
      <c r="AX240" s="1" t="s">
        <v>74</v>
      </c>
      <c r="AY240" s="1" t="s">
        <v>74</v>
      </c>
      <c r="AZ240" s="1" t="s">
        <v>74</v>
      </c>
      <c r="BA240" s="1" t="s">
        <v>74</v>
      </c>
      <c r="BB240" s="1">
        <v>43</v>
      </c>
      <c r="BC240" s="1">
        <v>49</v>
      </c>
      <c r="BD240" s="1" t="s">
        <v>74</v>
      </c>
      <c r="BE240" s="1" t="s">
        <v>4411</v>
      </c>
      <c r="BF240" s="1" t="str">
        <f>HYPERLINK("http://dx.doi.org/10.1051/alr:2007014","http://dx.doi.org/10.1051/alr:2007014")</f>
        <v>http://dx.doi.org/10.1051/alr:2007014</v>
      </c>
      <c r="BG240" s="1" t="s">
        <v>74</v>
      </c>
      <c r="BH240" s="1" t="s">
        <v>74</v>
      </c>
      <c r="BI240" s="1">
        <v>7</v>
      </c>
      <c r="BJ240" s="1" t="s">
        <v>2391</v>
      </c>
      <c r="BK240" s="1" t="s">
        <v>172</v>
      </c>
      <c r="BL240" s="1" t="s">
        <v>2391</v>
      </c>
      <c r="BM240" s="1" t="s">
        <v>4412</v>
      </c>
      <c r="BN240" s="1" t="s">
        <v>74</v>
      </c>
      <c r="BO240" s="1" t="s">
        <v>370</v>
      </c>
      <c r="BP240" s="1" t="s">
        <v>74</v>
      </c>
      <c r="BQ240" s="1" t="s">
        <v>74</v>
      </c>
      <c r="BR240" s="1" t="s">
        <v>98</v>
      </c>
      <c r="BS240" s="1" t="s">
        <v>4413</v>
      </c>
      <c r="BT240" s="1" t="str">
        <f>HYPERLINK("https%3A%2F%2Fwww.webofscience.com%2Fwos%2Fwoscc%2Ffull-record%2FWOS:000246570900005","View Full Record in Web of Science")</f>
        <v>View Full Record in Web of Science</v>
      </c>
    </row>
    <row r="241" spans="1:72">
      <c r="A241" s="1" t="s">
        <v>72</v>
      </c>
      <c r="B241" s="1" t="s">
        <v>4414</v>
      </c>
      <c r="C241" s="1" t="s">
        <v>74</v>
      </c>
      <c r="D241" s="1" t="s">
        <v>74</v>
      </c>
      <c r="E241" s="1" t="s">
        <v>74</v>
      </c>
      <c r="F241" s="1" t="s">
        <v>4414</v>
      </c>
      <c r="G241" s="1" t="s">
        <v>74</v>
      </c>
      <c r="H241" s="1" t="s">
        <v>74</v>
      </c>
      <c r="I241" s="1" t="s">
        <v>4415</v>
      </c>
      <c r="J241" s="1" t="s">
        <v>958</v>
      </c>
      <c r="K241" s="1" t="s">
        <v>74</v>
      </c>
      <c r="L241" s="1" t="s">
        <v>74</v>
      </c>
      <c r="M241" s="1" t="s">
        <v>78</v>
      </c>
      <c r="N241" s="1" t="s">
        <v>79</v>
      </c>
      <c r="O241" s="1" t="s">
        <v>74</v>
      </c>
      <c r="P241" s="1" t="s">
        <v>74</v>
      </c>
      <c r="Q241" s="1" t="s">
        <v>74</v>
      </c>
      <c r="R241" s="1" t="s">
        <v>74</v>
      </c>
      <c r="S241" s="1" t="s">
        <v>74</v>
      </c>
      <c r="T241" s="1" t="s">
        <v>4416</v>
      </c>
      <c r="U241" s="1" t="s">
        <v>4417</v>
      </c>
      <c r="V241" s="1" t="s">
        <v>4418</v>
      </c>
      <c r="W241" s="1" t="s">
        <v>4419</v>
      </c>
      <c r="X241" s="1" t="s">
        <v>4420</v>
      </c>
      <c r="Y241" s="1" t="s">
        <v>4421</v>
      </c>
      <c r="Z241" s="1" t="s">
        <v>4422</v>
      </c>
      <c r="AA241" s="1" t="s">
        <v>4423</v>
      </c>
      <c r="AB241" s="1" t="s">
        <v>74</v>
      </c>
      <c r="AC241" s="1" t="s">
        <v>74</v>
      </c>
      <c r="AD241" s="1" t="s">
        <v>74</v>
      </c>
      <c r="AE241" s="1" t="s">
        <v>74</v>
      </c>
      <c r="AF241" s="1" t="s">
        <v>74</v>
      </c>
      <c r="AG241" s="1">
        <v>66</v>
      </c>
      <c r="AH241" s="1">
        <v>49</v>
      </c>
      <c r="AI241" s="1">
        <v>57</v>
      </c>
      <c r="AJ241" s="1">
        <v>0</v>
      </c>
      <c r="AK241" s="1">
        <v>35</v>
      </c>
      <c r="AL241" s="1" t="s">
        <v>86</v>
      </c>
      <c r="AM241" s="1" t="s">
        <v>87</v>
      </c>
      <c r="AN241" s="1" t="s">
        <v>88</v>
      </c>
      <c r="AO241" s="1" t="s">
        <v>967</v>
      </c>
      <c r="AP241" s="1" t="s">
        <v>968</v>
      </c>
      <c r="AQ241" s="1" t="s">
        <v>74</v>
      </c>
      <c r="AR241" s="1" t="s">
        <v>969</v>
      </c>
      <c r="AS241" s="1" t="s">
        <v>970</v>
      </c>
      <c r="AT241" s="1" t="s">
        <v>93</v>
      </c>
      <c r="AU241" s="1">
        <v>2004</v>
      </c>
      <c r="AV241" s="1">
        <v>19</v>
      </c>
      <c r="AW241" s="1">
        <v>2</v>
      </c>
      <c r="AX241" s="1" t="s">
        <v>74</v>
      </c>
      <c r="AY241" s="1" t="s">
        <v>74</v>
      </c>
      <c r="AZ241" s="1" t="s">
        <v>74</v>
      </c>
      <c r="BA241" s="1" t="s">
        <v>74</v>
      </c>
      <c r="BB241" s="1">
        <v>143</v>
      </c>
      <c r="BC241" s="1">
        <v>153</v>
      </c>
      <c r="BD241" s="1" t="s">
        <v>74</v>
      </c>
      <c r="BE241" s="1" t="s">
        <v>4424</v>
      </c>
      <c r="BF241" s="1" t="str">
        <f>HYPERLINK("http://dx.doi.org/10.1002/tox.20007","http://dx.doi.org/10.1002/tox.20007")</f>
        <v>http://dx.doi.org/10.1002/tox.20007</v>
      </c>
      <c r="BG241" s="1" t="s">
        <v>74</v>
      </c>
      <c r="BH241" s="1" t="s">
        <v>74</v>
      </c>
      <c r="BI241" s="1">
        <v>11</v>
      </c>
      <c r="BJ241" s="1" t="s">
        <v>972</v>
      </c>
      <c r="BK241" s="1" t="s">
        <v>96</v>
      </c>
      <c r="BL241" s="1" t="s">
        <v>973</v>
      </c>
      <c r="BM241" s="1" t="s">
        <v>4425</v>
      </c>
      <c r="BN241" s="1">
        <v>15038001</v>
      </c>
      <c r="BO241" s="1" t="s">
        <v>74</v>
      </c>
      <c r="BP241" s="1" t="s">
        <v>74</v>
      </c>
      <c r="BQ241" s="1" t="s">
        <v>74</v>
      </c>
      <c r="BR241" s="1" t="s">
        <v>98</v>
      </c>
      <c r="BS241" s="1" t="s">
        <v>4426</v>
      </c>
      <c r="BT241" s="1" t="str">
        <f>HYPERLINK("https%3A%2F%2Fwww.webofscience.com%2Fwos%2Fwoscc%2Ffull-record%2FWOS:000220687000008","View Full Record in Web of Science")</f>
        <v>View Full Record in Web of Science</v>
      </c>
    </row>
    <row r="242" spans="1:72">
      <c r="A242" s="1" t="s">
        <v>72</v>
      </c>
      <c r="B242" s="1" t="s">
        <v>4427</v>
      </c>
      <c r="C242" s="1" t="s">
        <v>74</v>
      </c>
      <c r="D242" s="1" t="s">
        <v>74</v>
      </c>
      <c r="E242" s="1" t="s">
        <v>74</v>
      </c>
      <c r="F242" s="1" t="s">
        <v>4428</v>
      </c>
      <c r="G242" s="1" t="s">
        <v>74</v>
      </c>
      <c r="H242" s="1" t="s">
        <v>74</v>
      </c>
      <c r="I242" s="1" t="s">
        <v>4429</v>
      </c>
      <c r="J242" s="1" t="s">
        <v>4223</v>
      </c>
      <c r="K242" s="1" t="s">
        <v>74</v>
      </c>
      <c r="L242" s="1" t="s">
        <v>74</v>
      </c>
      <c r="M242" s="1" t="s">
        <v>78</v>
      </c>
      <c r="N242" s="1" t="s">
        <v>79</v>
      </c>
      <c r="O242" s="1" t="s">
        <v>74</v>
      </c>
      <c r="P242" s="1" t="s">
        <v>74</v>
      </c>
      <c r="Q242" s="1" t="s">
        <v>74</v>
      </c>
      <c r="R242" s="1" t="s">
        <v>74</v>
      </c>
      <c r="S242" s="1" t="s">
        <v>74</v>
      </c>
      <c r="T242" s="1" t="s">
        <v>4430</v>
      </c>
      <c r="U242" s="1" t="s">
        <v>4431</v>
      </c>
      <c r="V242" s="1" t="s">
        <v>4432</v>
      </c>
      <c r="W242" s="1" t="s">
        <v>4433</v>
      </c>
      <c r="X242" s="1" t="s">
        <v>4434</v>
      </c>
      <c r="Y242" s="1" t="s">
        <v>4435</v>
      </c>
      <c r="Z242" s="1" t="s">
        <v>4436</v>
      </c>
      <c r="AA242" s="1" t="s">
        <v>74</v>
      </c>
      <c r="AB242" s="1" t="s">
        <v>74</v>
      </c>
      <c r="AC242" s="1" t="s">
        <v>4437</v>
      </c>
      <c r="AD242" s="1" t="s">
        <v>4438</v>
      </c>
      <c r="AE242" s="1" t="s">
        <v>4439</v>
      </c>
      <c r="AF242" s="1" t="s">
        <v>74</v>
      </c>
      <c r="AG242" s="1">
        <v>46</v>
      </c>
      <c r="AH242" s="1">
        <v>6</v>
      </c>
      <c r="AI242" s="1">
        <v>6</v>
      </c>
      <c r="AJ242" s="1">
        <v>3</v>
      </c>
      <c r="AK242" s="1">
        <v>36</v>
      </c>
      <c r="AL242" s="1" t="s">
        <v>2297</v>
      </c>
      <c r="AM242" s="1" t="s">
        <v>1786</v>
      </c>
      <c r="AN242" s="1" t="s">
        <v>4440</v>
      </c>
      <c r="AO242" s="1" t="s">
        <v>4235</v>
      </c>
      <c r="AP242" s="1" t="s">
        <v>4236</v>
      </c>
      <c r="AQ242" s="1" t="s">
        <v>74</v>
      </c>
      <c r="AR242" s="1" t="s">
        <v>4237</v>
      </c>
      <c r="AS242" s="1" t="s">
        <v>4238</v>
      </c>
      <c r="AT242" s="1" t="s">
        <v>170</v>
      </c>
      <c r="AU242" s="1">
        <v>2017</v>
      </c>
      <c r="AV242" s="1">
        <v>35</v>
      </c>
      <c r="AW242" s="1">
        <v>3</v>
      </c>
      <c r="AX242" s="1" t="s">
        <v>74</v>
      </c>
      <c r="AY242" s="1" t="s">
        <v>74</v>
      </c>
      <c r="AZ242" s="1" t="s">
        <v>74</v>
      </c>
      <c r="BA242" s="1" t="s">
        <v>74</v>
      </c>
      <c r="BB242" s="1">
        <v>603</v>
      </c>
      <c r="BC242" s="1">
        <v>612</v>
      </c>
      <c r="BD242" s="1" t="s">
        <v>74</v>
      </c>
      <c r="BE242" s="1" t="s">
        <v>4441</v>
      </c>
      <c r="BF242" s="1" t="str">
        <f>HYPERLINK("http://dx.doi.org/10.1007/s00343-017-5305-4","http://dx.doi.org/10.1007/s00343-017-5305-4")</f>
        <v>http://dx.doi.org/10.1007/s00343-017-5305-4</v>
      </c>
      <c r="BG242" s="1" t="s">
        <v>74</v>
      </c>
      <c r="BH242" s="1" t="s">
        <v>74</v>
      </c>
      <c r="BI242" s="1">
        <v>10</v>
      </c>
      <c r="BJ242" s="1" t="s">
        <v>4240</v>
      </c>
      <c r="BK242" s="1" t="s">
        <v>96</v>
      </c>
      <c r="BL242" s="1" t="s">
        <v>4241</v>
      </c>
      <c r="BM242" s="1" t="s">
        <v>4442</v>
      </c>
      <c r="BN242" s="1" t="s">
        <v>74</v>
      </c>
      <c r="BO242" s="1" t="s">
        <v>74</v>
      </c>
      <c r="BP242" s="1" t="s">
        <v>74</v>
      </c>
      <c r="BQ242" s="1" t="s">
        <v>74</v>
      </c>
      <c r="BR242" s="1" t="s">
        <v>98</v>
      </c>
      <c r="BS242" s="1" t="s">
        <v>4443</v>
      </c>
      <c r="BT242" s="1" t="str">
        <f>HYPERLINK("https%3A%2F%2Fwww.webofscience.com%2Fwos%2Fwoscc%2Ffull-record%2FWOS:000399168400015","View Full Record in Web of Science")</f>
        <v>View Full Record in Web of Science</v>
      </c>
    </row>
    <row r="243" spans="1:72">
      <c r="A243" s="1" t="s">
        <v>72</v>
      </c>
      <c r="B243" s="1" t="s">
        <v>4444</v>
      </c>
      <c r="C243" s="1" t="s">
        <v>74</v>
      </c>
      <c r="D243" s="1" t="s">
        <v>74</v>
      </c>
      <c r="E243" s="1" t="s">
        <v>74</v>
      </c>
      <c r="F243" s="1" t="s">
        <v>4445</v>
      </c>
      <c r="G243" s="1" t="s">
        <v>74</v>
      </c>
      <c r="H243" s="1" t="s">
        <v>74</v>
      </c>
      <c r="I243" s="1" t="s">
        <v>4446</v>
      </c>
      <c r="J243" s="1" t="s">
        <v>1230</v>
      </c>
      <c r="K243" s="1" t="s">
        <v>74</v>
      </c>
      <c r="L243" s="1" t="s">
        <v>74</v>
      </c>
      <c r="M243" s="1" t="s">
        <v>78</v>
      </c>
      <c r="N243" s="1" t="s">
        <v>79</v>
      </c>
      <c r="O243" s="1" t="s">
        <v>74</v>
      </c>
      <c r="P243" s="1" t="s">
        <v>74</v>
      </c>
      <c r="Q243" s="1" t="s">
        <v>74</v>
      </c>
      <c r="R243" s="1" t="s">
        <v>74</v>
      </c>
      <c r="S243" s="1" t="s">
        <v>74</v>
      </c>
      <c r="T243" s="1" t="s">
        <v>4447</v>
      </c>
      <c r="U243" s="1" t="s">
        <v>4448</v>
      </c>
      <c r="V243" s="1" t="s">
        <v>4449</v>
      </c>
      <c r="W243" s="1" t="s">
        <v>4450</v>
      </c>
      <c r="X243" s="1" t="s">
        <v>4451</v>
      </c>
      <c r="Y243" s="1" t="s">
        <v>4452</v>
      </c>
      <c r="Z243" s="1" t="s">
        <v>4453</v>
      </c>
      <c r="AA243" s="1" t="s">
        <v>4454</v>
      </c>
      <c r="AB243" s="1" t="s">
        <v>4455</v>
      </c>
      <c r="AC243" s="1" t="s">
        <v>4456</v>
      </c>
      <c r="AD243" s="1" t="s">
        <v>4456</v>
      </c>
      <c r="AE243" s="1" t="s">
        <v>4457</v>
      </c>
      <c r="AF243" s="1" t="s">
        <v>74</v>
      </c>
      <c r="AG243" s="1">
        <v>95</v>
      </c>
      <c r="AH243" s="1">
        <v>2</v>
      </c>
      <c r="AI243" s="1">
        <v>4</v>
      </c>
      <c r="AJ243" s="1">
        <v>0</v>
      </c>
      <c r="AK243" s="1">
        <v>4</v>
      </c>
      <c r="AL243" s="1" t="s">
        <v>1241</v>
      </c>
      <c r="AM243" s="1" t="s">
        <v>1242</v>
      </c>
      <c r="AN243" s="1" t="s">
        <v>1243</v>
      </c>
      <c r="AO243" s="1" t="s">
        <v>1244</v>
      </c>
      <c r="AP243" s="1" t="s">
        <v>1245</v>
      </c>
      <c r="AQ243" s="1" t="s">
        <v>74</v>
      </c>
      <c r="AR243" s="1" t="s">
        <v>1246</v>
      </c>
      <c r="AS243" s="1" t="s">
        <v>1247</v>
      </c>
      <c r="AT243" s="1" t="s">
        <v>74</v>
      </c>
      <c r="AU243" s="1">
        <v>2021</v>
      </c>
      <c r="AV243" s="1">
        <v>19</v>
      </c>
      <c r="AW243" s="1">
        <v>6</v>
      </c>
      <c r="AX243" s="1" t="s">
        <v>74</v>
      </c>
      <c r="AY243" s="1" t="s">
        <v>74</v>
      </c>
      <c r="AZ243" s="1" t="s">
        <v>74</v>
      </c>
      <c r="BA243" s="1" t="s">
        <v>74</v>
      </c>
      <c r="BB243" s="1">
        <v>5103</v>
      </c>
      <c r="BC243" s="1">
        <v>5128</v>
      </c>
      <c r="BD243" s="1" t="s">
        <v>74</v>
      </c>
      <c r="BE243" s="1" t="s">
        <v>4458</v>
      </c>
      <c r="BF243" s="1" t="str">
        <f>HYPERLINK("http://dx.doi.org/10.15666/aeer/1906_51035128","http://dx.doi.org/10.15666/aeer/1906_51035128")</f>
        <v>http://dx.doi.org/10.15666/aeer/1906_51035128</v>
      </c>
      <c r="BG243" s="1" t="s">
        <v>74</v>
      </c>
      <c r="BH243" s="1" t="s">
        <v>74</v>
      </c>
      <c r="BI243" s="1">
        <v>26</v>
      </c>
      <c r="BJ243" s="1" t="s">
        <v>1249</v>
      </c>
      <c r="BK243" s="1" t="s">
        <v>96</v>
      </c>
      <c r="BL243" s="1" t="s">
        <v>145</v>
      </c>
      <c r="BM243" s="1" t="s">
        <v>4459</v>
      </c>
      <c r="BN243" s="1" t="s">
        <v>74</v>
      </c>
      <c r="BO243" s="1" t="s">
        <v>873</v>
      </c>
      <c r="BP243" s="1" t="s">
        <v>74</v>
      </c>
      <c r="BQ243" s="1" t="s">
        <v>74</v>
      </c>
      <c r="BR243" s="1" t="s">
        <v>98</v>
      </c>
      <c r="BS243" s="1" t="s">
        <v>4460</v>
      </c>
      <c r="BT243" s="1" t="str">
        <f>HYPERLINK("https%3A%2F%2Fwww.webofscience.com%2Fwos%2Fwoscc%2Ffull-record%2FWOS:000725485200053","View Full Record in Web of Science")</f>
        <v>View Full Record in Web of Science</v>
      </c>
    </row>
    <row r="244" spans="1:72">
      <c r="A244" s="1" t="s">
        <v>72</v>
      </c>
      <c r="B244" s="1" t="s">
        <v>4461</v>
      </c>
      <c r="C244" s="1" t="s">
        <v>74</v>
      </c>
      <c r="D244" s="1" t="s">
        <v>74</v>
      </c>
      <c r="E244" s="1" t="s">
        <v>74</v>
      </c>
      <c r="F244" s="1" t="s">
        <v>4461</v>
      </c>
      <c r="G244" s="1" t="s">
        <v>74</v>
      </c>
      <c r="H244" s="1" t="s">
        <v>74</v>
      </c>
      <c r="I244" s="1" t="s">
        <v>4462</v>
      </c>
      <c r="J244" s="1" t="s">
        <v>4463</v>
      </c>
      <c r="K244" s="1" t="s">
        <v>74</v>
      </c>
      <c r="L244" s="1" t="s">
        <v>74</v>
      </c>
      <c r="M244" s="1" t="s">
        <v>78</v>
      </c>
      <c r="N244" s="1" t="s">
        <v>79</v>
      </c>
      <c r="O244" s="1" t="s">
        <v>74</v>
      </c>
      <c r="P244" s="1" t="s">
        <v>74</v>
      </c>
      <c r="Q244" s="1" t="s">
        <v>74</v>
      </c>
      <c r="R244" s="1" t="s">
        <v>74</v>
      </c>
      <c r="S244" s="1" t="s">
        <v>74</v>
      </c>
      <c r="T244" s="1" t="s">
        <v>74</v>
      </c>
      <c r="U244" s="1" t="s">
        <v>4464</v>
      </c>
      <c r="V244" s="1" t="s">
        <v>4465</v>
      </c>
      <c r="W244" s="1" t="s">
        <v>4466</v>
      </c>
      <c r="X244" s="1" t="s">
        <v>4467</v>
      </c>
      <c r="Y244" s="1" t="s">
        <v>4468</v>
      </c>
      <c r="Z244" s="1" t="s">
        <v>4469</v>
      </c>
      <c r="AA244" s="1" t="s">
        <v>74</v>
      </c>
      <c r="AB244" s="1" t="s">
        <v>4470</v>
      </c>
      <c r="AC244" s="1" t="s">
        <v>74</v>
      </c>
      <c r="AD244" s="1" t="s">
        <v>74</v>
      </c>
      <c r="AE244" s="1" t="s">
        <v>74</v>
      </c>
      <c r="AF244" s="1" t="s">
        <v>74</v>
      </c>
      <c r="AG244" s="1">
        <v>45</v>
      </c>
      <c r="AH244" s="1">
        <v>46</v>
      </c>
      <c r="AI244" s="1">
        <v>49</v>
      </c>
      <c r="AJ244" s="1">
        <v>2</v>
      </c>
      <c r="AK244" s="1">
        <v>31</v>
      </c>
      <c r="AL244" s="1" t="s">
        <v>4471</v>
      </c>
      <c r="AM244" s="1" t="s">
        <v>4472</v>
      </c>
      <c r="AN244" s="1" t="s">
        <v>4473</v>
      </c>
      <c r="AO244" s="1" t="s">
        <v>4474</v>
      </c>
      <c r="AP244" s="1" t="s">
        <v>4475</v>
      </c>
      <c r="AQ244" s="1" t="s">
        <v>74</v>
      </c>
      <c r="AR244" s="1" t="s">
        <v>4476</v>
      </c>
      <c r="AS244" s="1" t="s">
        <v>4477</v>
      </c>
      <c r="AT244" s="1" t="s">
        <v>1965</v>
      </c>
      <c r="AU244" s="1">
        <v>1999</v>
      </c>
      <c r="AV244" s="1">
        <v>33</v>
      </c>
      <c r="AW244" s="1">
        <v>24</v>
      </c>
      <c r="AX244" s="1" t="s">
        <v>74</v>
      </c>
      <c r="AY244" s="1" t="s">
        <v>74</v>
      </c>
      <c r="AZ244" s="1" t="s">
        <v>74</v>
      </c>
      <c r="BA244" s="1" t="s">
        <v>74</v>
      </c>
      <c r="BB244" s="1">
        <v>4385</v>
      </c>
      <c r="BC244" s="1">
        <v>4390</v>
      </c>
      <c r="BD244" s="1" t="s">
        <v>74</v>
      </c>
      <c r="BE244" s="1" t="s">
        <v>4478</v>
      </c>
      <c r="BF244" s="1" t="str">
        <f>HYPERLINK("http://dx.doi.org/10.1021/es9902165","http://dx.doi.org/10.1021/es9902165")</f>
        <v>http://dx.doi.org/10.1021/es9902165</v>
      </c>
      <c r="BG244" s="1" t="s">
        <v>74</v>
      </c>
      <c r="BH244" s="1" t="s">
        <v>74</v>
      </c>
      <c r="BI244" s="1">
        <v>6</v>
      </c>
      <c r="BJ244" s="1" t="s">
        <v>415</v>
      </c>
      <c r="BK244" s="1" t="s">
        <v>96</v>
      </c>
      <c r="BL244" s="1" t="s">
        <v>416</v>
      </c>
      <c r="BM244" s="1" t="s">
        <v>4479</v>
      </c>
      <c r="BN244" s="1" t="s">
        <v>74</v>
      </c>
      <c r="BO244" s="1" t="s">
        <v>74</v>
      </c>
      <c r="BP244" s="1" t="s">
        <v>74</v>
      </c>
      <c r="BQ244" s="1" t="s">
        <v>74</v>
      </c>
      <c r="BR244" s="1" t="s">
        <v>98</v>
      </c>
      <c r="BS244" s="1" t="s">
        <v>4480</v>
      </c>
      <c r="BT244" s="1" t="str">
        <f>HYPERLINK("https%3A%2F%2Fwww.webofscience.com%2Fwos%2Fwoscc%2Ffull-record%2FWOS:000084252300005","View Full Record in Web of Science")</f>
        <v>View Full Record in Web of Science</v>
      </c>
    </row>
    <row r="245" spans="1:72">
      <c r="A245" s="1" t="s">
        <v>72</v>
      </c>
      <c r="B245" s="1" t="s">
        <v>4481</v>
      </c>
      <c r="C245" s="1" t="s">
        <v>74</v>
      </c>
      <c r="D245" s="1" t="s">
        <v>74</v>
      </c>
      <c r="E245" s="1" t="s">
        <v>74</v>
      </c>
      <c r="F245" s="1" t="s">
        <v>4482</v>
      </c>
      <c r="G245" s="1" t="s">
        <v>74</v>
      </c>
      <c r="H245" s="1" t="s">
        <v>74</v>
      </c>
      <c r="I245" s="1" t="s">
        <v>4483</v>
      </c>
      <c r="J245" s="1" t="s">
        <v>4484</v>
      </c>
      <c r="K245" s="1" t="s">
        <v>74</v>
      </c>
      <c r="L245" s="1" t="s">
        <v>74</v>
      </c>
      <c r="M245" s="1" t="s">
        <v>78</v>
      </c>
      <c r="N245" s="1" t="s">
        <v>79</v>
      </c>
      <c r="O245" s="1" t="s">
        <v>74</v>
      </c>
      <c r="P245" s="1" t="s">
        <v>74</v>
      </c>
      <c r="Q245" s="1" t="s">
        <v>74</v>
      </c>
      <c r="R245" s="1" t="s">
        <v>74</v>
      </c>
      <c r="S245" s="1" t="s">
        <v>74</v>
      </c>
      <c r="T245" s="1" t="s">
        <v>4485</v>
      </c>
      <c r="U245" s="1" t="s">
        <v>4486</v>
      </c>
      <c r="V245" s="1" t="s">
        <v>4487</v>
      </c>
      <c r="W245" s="1" t="s">
        <v>4488</v>
      </c>
      <c r="X245" s="1" t="s">
        <v>4489</v>
      </c>
      <c r="Y245" s="1" t="s">
        <v>4490</v>
      </c>
      <c r="Z245" s="1" t="s">
        <v>3709</v>
      </c>
      <c r="AA245" s="1" t="s">
        <v>4491</v>
      </c>
      <c r="AB245" s="1" t="s">
        <v>4492</v>
      </c>
      <c r="AC245" s="1" t="s">
        <v>4493</v>
      </c>
      <c r="AD245" s="1" t="s">
        <v>2664</v>
      </c>
      <c r="AE245" s="1" t="s">
        <v>4494</v>
      </c>
      <c r="AF245" s="1" t="s">
        <v>74</v>
      </c>
      <c r="AG245" s="1">
        <v>46</v>
      </c>
      <c r="AH245" s="1">
        <v>31</v>
      </c>
      <c r="AI245" s="1">
        <v>37</v>
      </c>
      <c r="AJ245" s="1">
        <v>0</v>
      </c>
      <c r="AK245" s="1">
        <v>42</v>
      </c>
      <c r="AL245" s="1" t="s">
        <v>86</v>
      </c>
      <c r="AM245" s="1" t="s">
        <v>87</v>
      </c>
      <c r="AN245" s="1" t="s">
        <v>88</v>
      </c>
      <c r="AO245" s="1" t="s">
        <v>4495</v>
      </c>
      <c r="AP245" s="1" t="s">
        <v>4496</v>
      </c>
      <c r="AQ245" s="1" t="s">
        <v>74</v>
      </c>
      <c r="AR245" s="1" t="s">
        <v>4484</v>
      </c>
      <c r="AS245" s="1" t="s">
        <v>4497</v>
      </c>
      <c r="AT245" s="1" t="s">
        <v>119</v>
      </c>
      <c r="AU245" s="1">
        <v>2011</v>
      </c>
      <c r="AV245" s="1">
        <v>39</v>
      </c>
      <c r="AW245" s="1">
        <v>8</v>
      </c>
      <c r="AX245" s="1" t="s">
        <v>74</v>
      </c>
      <c r="AY245" s="1" t="s">
        <v>74</v>
      </c>
      <c r="AZ245" s="1" t="s">
        <v>74</v>
      </c>
      <c r="BA245" s="1" t="s">
        <v>74</v>
      </c>
      <c r="BB245" s="1">
        <v>759</v>
      </c>
      <c r="BC245" s="1">
        <v>766</v>
      </c>
      <c r="BD245" s="1" t="s">
        <v>74</v>
      </c>
      <c r="BE245" s="1" t="s">
        <v>4498</v>
      </c>
      <c r="BF245" s="1" t="str">
        <f>HYPERLINK("http://dx.doi.org/10.1002/clen.201000410","http://dx.doi.org/10.1002/clen.201000410")</f>
        <v>http://dx.doi.org/10.1002/clen.201000410</v>
      </c>
      <c r="BG245" s="1" t="s">
        <v>74</v>
      </c>
      <c r="BH245" s="1" t="s">
        <v>74</v>
      </c>
      <c r="BI245" s="1">
        <v>8</v>
      </c>
      <c r="BJ245" s="1" t="s">
        <v>4499</v>
      </c>
      <c r="BK245" s="1" t="s">
        <v>96</v>
      </c>
      <c r="BL245" s="1" t="s">
        <v>4500</v>
      </c>
      <c r="BM245" s="1" t="s">
        <v>4501</v>
      </c>
      <c r="BN245" s="1" t="s">
        <v>74</v>
      </c>
      <c r="BO245" s="1" t="s">
        <v>74</v>
      </c>
      <c r="BP245" s="1" t="s">
        <v>74</v>
      </c>
      <c r="BQ245" s="1" t="s">
        <v>74</v>
      </c>
      <c r="BR245" s="1" t="s">
        <v>98</v>
      </c>
      <c r="BS245" s="1" t="s">
        <v>4502</v>
      </c>
      <c r="BT245" s="1" t="str">
        <f>HYPERLINK("https%3A%2F%2Fwww.webofscience.com%2Fwos%2Fwoscc%2Ffull-record%2FWOS:000294720700007","View Full Record in Web of Science")</f>
        <v>View Full Record in Web of Science</v>
      </c>
    </row>
    <row r="246" spans="1:72">
      <c r="A246" s="1" t="s">
        <v>72</v>
      </c>
      <c r="B246" s="1" t="s">
        <v>4503</v>
      </c>
      <c r="C246" s="1" t="s">
        <v>74</v>
      </c>
      <c r="D246" s="1" t="s">
        <v>74</v>
      </c>
      <c r="E246" s="1" t="s">
        <v>74</v>
      </c>
      <c r="F246" s="1" t="s">
        <v>4504</v>
      </c>
      <c r="G246" s="1" t="s">
        <v>74</v>
      </c>
      <c r="H246" s="1" t="s">
        <v>74</v>
      </c>
      <c r="I246" s="1" t="s">
        <v>4505</v>
      </c>
      <c r="J246" s="1" t="s">
        <v>204</v>
      </c>
      <c r="K246" s="1" t="s">
        <v>74</v>
      </c>
      <c r="L246" s="1" t="s">
        <v>74</v>
      </c>
      <c r="M246" s="1" t="s">
        <v>78</v>
      </c>
      <c r="N246" s="1" t="s">
        <v>79</v>
      </c>
      <c r="O246" s="1" t="s">
        <v>74</v>
      </c>
      <c r="P246" s="1" t="s">
        <v>74</v>
      </c>
      <c r="Q246" s="1" t="s">
        <v>74</v>
      </c>
      <c r="R246" s="1" t="s">
        <v>74</v>
      </c>
      <c r="S246" s="1" t="s">
        <v>74</v>
      </c>
      <c r="T246" s="1" t="s">
        <v>4506</v>
      </c>
      <c r="U246" s="1" t="s">
        <v>74</v>
      </c>
      <c r="V246" s="1" t="s">
        <v>4507</v>
      </c>
      <c r="W246" s="1" t="s">
        <v>4508</v>
      </c>
      <c r="X246" s="1" t="s">
        <v>4509</v>
      </c>
      <c r="Y246" s="1" t="s">
        <v>4510</v>
      </c>
      <c r="Z246" s="1" t="s">
        <v>4511</v>
      </c>
      <c r="AA246" s="1" t="s">
        <v>4512</v>
      </c>
      <c r="AB246" s="1" t="s">
        <v>4513</v>
      </c>
      <c r="AC246" s="1" t="s">
        <v>4514</v>
      </c>
      <c r="AD246" s="1" t="s">
        <v>4515</v>
      </c>
      <c r="AE246" s="1" t="s">
        <v>4516</v>
      </c>
      <c r="AF246" s="1" t="s">
        <v>74</v>
      </c>
      <c r="AG246" s="1">
        <v>38</v>
      </c>
      <c r="AH246" s="1">
        <v>5</v>
      </c>
      <c r="AI246" s="1">
        <v>5</v>
      </c>
      <c r="AJ246" s="1">
        <v>2</v>
      </c>
      <c r="AK246" s="1">
        <v>23</v>
      </c>
      <c r="AL246" s="1" t="s">
        <v>217</v>
      </c>
      <c r="AM246" s="1" t="s">
        <v>218</v>
      </c>
      <c r="AN246" s="1" t="s">
        <v>219</v>
      </c>
      <c r="AO246" s="1" t="s">
        <v>220</v>
      </c>
      <c r="AP246" s="1" t="s">
        <v>221</v>
      </c>
      <c r="AQ246" s="1" t="s">
        <v>74</v>
      </c>
      <c r="AR246" s="1" t="s">
        <v>222</v>
      </c>
      <c r="AS246" s="1" t="s">
        <v>223</v>
      </c>
      <c r="AT246" s="1" t="s">
        <v>142</v>
      </c>
      <c r="AU246" s="1">
        <v>2021</v>
      </c>
      <c r="AV246" s="1">
        <v>28</v>
      </c>
      <c r="AW246" s="1">
        <v>24</v>
      </c>
      <c r="AX246" s="1" t="s">
        <v>74</v>
      </c>
      <c r="AY246" s="1" t="s">
        <v>74</v>
      </c>
      <c r="AZ246" s="1" t="s">
        <v>74</v>
      </c>
      <c r="BA246" s="1" t="s">
        <v>74</v>
      </c>
      <c r="BB246" s="1">
        <v>30986</v>
      </c>
      <c r="BC246" s="1">
        <v>30992</v>
      </c>
      <c r="BD246" s="1" t="s">
        <v>74</v>
      </c>
      <c r="BE246" s="1" t="s">
        <v>4517</v>
      </c>
      <c r="BF246" s="1" t="str">
        <f>HYPERLINK("http://dx.doi.org/10.1007/s11356-021-12978-8","http://dx.doi.org/10.1007/s11356-021-12978-8")</f>
        <v>http://dx.doi.org/10.1007/s11356-021-12978-8</v>
      </c>
      <c r="BG246" s="1" t="s">
        <v>74</v>
      </c>
      <c r="BH246" s="1" t="s">
        <v>4518</v>
      </c>
      <c r="BI246" s="1">
        <v>7</v>
      </c>
      <c r="BJ246" s="1" t="s">
        <v>144</v>
      </c>
      <c r="BK246" s="1" t="s">
        <v>96</v>
      </c>
      <c r="BL246" s="1" t="s">
        <v>145</v>
      </c>
      <c r="BM246" s="1" t="s">
        <v>4519</v>
      </c>
      <c r="BN246" s="1">
        <v>33594558</v>
      </c>
      <c r="BO246" s="1" t="s">
        <v>74</v>
      </c>
      <c r="BP246" s="1" t="s">
        <v>74</v>
      </c>
      <c r="BQ246" s="1" t="s">
        <v>74</v>
      </c>
      <c r="BR246" s="1" t="s">
        <v>98</v>
      </c>
      <c r="BS246" s="1" t="s">
        <v>4520</v>
      </c>
      <c r="BT246" s="1" t="str">
        <f>HYPERLINK("https%3A%2F%2Fwww.webofscience.com%2Fwos%2Fwoscc%2Ffull-record%2FWOS:000618606600021","View Full Record in Web of Science")</f>
        <v>View Full Record in Web of Science</v>
      </c>
    </row>
    <row r="247" spans="1:72">
      <c r="A247" s="1" t="s">
        <v>72</v>
      </c>
      <c r="B247" s="1" t="s">
        <v>4521</v>
      </c>
      <c r="C247" s="1" t="s">
        <v>74</v>
      </c>
      <c r="D247" s="1" t="s">
        <v>74</v>
      </c>
      <c r="E247" s="1" t="s">
        <v>74</v>
      </c>
      <c r="F247" s="1" t="s">
        <v>4522</v>
      </c>
      <c r="G247" s="1" t="s">
        <v>74</v>
      </c>
      <c r="H247" s="1" t="s">
        <v>74</v>
      </c>
      <c r="I247" s="1" t="s">
        <v>4523</v>
      </c>
      <c r="J247" s="1" t="s">
        <v>4524</v>
      </c>
      <c r="K247" s="1" t="s">
        <v>74</v>
      </c>
      <c r="L247" s="1" t="s">
        <v>74</v>
      </c>
      <c r="M247" s="1" t="s">
        <v>78</v>
      </c>
      <c r="N247" s="1" t="s">
        <v>79</v>
      </c>
      <c r="O247" s="1" t="s">
        <v>74</v>
      </c>
      <c r="P247" s="1" t="s">
        <v>74</v>
      </c>
      <c r="Q247" s="1" t="s">
        <v>74</v>
      </c>
      <c r="R247" s="1" t="s">
        <v>74</v>
      </c>
      <c r="S247" s="1" t="s">
        <v>74</v>
      </c>
      <c r="T247" s="1" t="s">
        <v>4525</v>
      </c>
      <c r="U247" s="1" t="s">
        <v>4526</v>
      </c>
      <c r="V247" s="1" t="s">
        <v>4527</v>
      </c>
      <c r="W247" s="1" t="s">
        <v>4528</v>
      </c>
      <c r="X247" s="1" t="s">
        <v>4529</v>
      </c>
      <c r="Y247" s="1" t="s">
        <v>4530</v>
      </c>
      <c r="Z247" s="1" t="s">
        <v>4531</v>
      </c>
      <c r="AA247" s="1" t="s">
        <v>4532</v>
      </c>
      <c r="AB247" s="1" t="s">
        <v>4533</v>
      </c>
      <c r="AC247" s="1" t="s">
        <v>4534</v>
      </c>
      <c r="AD247" s="1" t="s">
        <v>4535</v>
      </c>
      <c r="AE247" s="1" t="s">
        <v>4536</v>
      </c>
      <c r="AF247" s="1" t="s">
        <v>74</v>
      </c>
      <c r="AG247" s="1">
        <v>50</v>
      </c>
      <c r="AH247" s="1">
        <v>9</v>
      </c>
      <c r="AI247" s="1">
        <v>10</v>
      </c>
      <c r="AJ247" s="1">
        <v>2</v>
      </c>
      <c r="AK247" s="1">
        <v>17</v>
      </c>
      <c r="AL247" s="1" t="s">
        <v>4537</v>
      </c>
      <c r="AM247" s="1" t="s">
        <v>4538</v>
      </c>
      <c r="AN247" s="1" t="s">
        <v>4539</v>
      </c>
      <c r="AO247" s="1" t="s">
        <v>4540</v>
      </c>
      <c r="AP247" s="1" t="s">
        <v>74</v>
      </c>
      <c r="AQ247" s="1" t="s">
        <v>74</v>
      </c>
      <c r="AR247" s="1" t="s">
        <v>4541</v>
      </c>
      <c r="AS247" s="1" t="s">
        <v>4542</v>
      </c>
      <c r="AT247" s="1" t="s">
        <v>74</v>
      </c>
      <c r="AU247" s="1">
        <v>2017</v>
      </c>
      <c r="AV247" s="1">
        <v>14</v>
      </c>
      <c r="AW247" s="1" t="s">
        <v>74</v>
      </c>
      <c r="AX247" s="1" t="s">
        <v>74</v>
      </c>
      <c r="AY247" s="1" t="s">
        <v>74</v>
      </c>
      <c r="AZ247" s="1" t="s">
        <v>74</v>
      </c>
      <c r="BA247" s="1" t="s">
        <v>74</v>
      </c>
      <c r="BB247" s="1">
        <v>210</v>
      </c>
      <c r="BC247" s="1">
        <v>220</v>
      </c>
      <c r="BD247" s="1" t="s">
        <v>74</v>
      </c>
      <c r="BE247" s="1" t="s">
        <v>74</v>
      </c>
      <c r="BF247" s="1" t="s">
        <v>74</v>
      </c>
      <c r="BG247" s="1" t="s">
        <v>74</v>
      </c>
      <c r="BH247" s="1" t="s">
        <v>74</v>
      </c>
      <c r="BI247" s="1">
        <v>11</v>
      </c>
      <c r="BJ247" s="1" t="s">
        <v>4543</v>
      </c>
      <c r="BK247" s="1" t="s">
        <v>96</v>
      </c>
      <c r="BL247" s="1" t="s">
        <v>4543</v>
      </c>
      <c r="BM247" s="1" t="s">
        <v>4544</v>
      </c>
      <c r="BN247" s="1" t="s">
        <v>74</v>
      </c>
      <c r="BO247" s="1" t="s">
        <v>74</v>
      </c>
      <c r="BP247" s="1" t="s">
        <v>74</v>
      </c>
      <c r="BQ247" s="1" t="s">
        <v>74</v>
      </c>
      <c r="BR247" s="1" t="s">
        <v>98</v>
      </c>
      <c r="BS247" s="1" t="s">
        <v>4545</v>
      </c>
      <c r="BT247" s="1" t="str">
        <f>HYPERLINK("https%3A%2F%2Fwww.webofscience.com%2Fwos%2Fwoscc%2Ffull-record%2FWOS:000401030600014","View Full Record in Web of Science")</f>
        <v>View Full Record in Web of Science</v>
      </c>
    </row>
    <row r="248" spans="1:72">
      <c r="A248" s="1" t="s">
        <v>72</v>
      </c>
      <c r="B248" s="1" t="s">
        <v>4546</v>
      </c>
      <c r="C248" s="1" t="s">
        <v>74</v>
      </c>
      <c r="D248" s="1" t="s">
        <v>74</v>
      </c>
      <c r="E248" s="1" t="s">
        <v>74</v>
      </c>
      <c r="F248" s="1" t="s">
        <v>4547</v>
      </c>
      <c r="G248" s="1" t="s">
        <v>74</v>
      </c>
      <c r="H248" s="1" t="s">
        <v>74</v>
      </c>
      <c r="I248" s="1" t="s">
        <v>4548</v>
      </c>
      <c r="J248" s="1" t="s">
        <v>4549</v>
      </c>
      <c r="K248" s="1" t="s">
        <v>74</v>
      </c>
      <c r="L248" s="1" t="s">
        <v>74</v>
      </c>
      <c r="M248" s="1" t="s">
        <v>78</v>
      </c>
      <c r="N248" s="1" t="s">
        <v>79</v>
      </c>
      <c r="O248" s="1" t="s">
        <v>74</v>
      </c>
      <c r="P248" s="1" t="s">
        <v>74</v>
      </c>
      <c r="Q248" s="1" t="s">
        <v>74</v>
      </c>
      <c r="R248" s="1" t="s">
        <v>74</v>
      </c>
      <c r="S248" s="1" t="s">
        <v>74</v>
      </c>
      <c r="T248" s="1" t="s">
        <v>4550</v>
      </c>
      <c r="U248" s="1" t="s">
        <v>4551</v>
      </c>
      <c r="V248" s="1" t="s">
        <v>4552</v>
      </c>
      <c r="W248" s="1" t="s">
        <v>4553</v>
      </c>
      <c r="X248" s="1" t="s">
        <v>4554</v>
      </c>
      <c r="Y248" s="1" t="s">
        <v>4555</v>
      </c>
      <c r="Z248" s="1" t="s">
        <v>4556</v>
      </c>
      <c r="AA248" s="1" t="s">
        <v>4557</v>
      </c>
      <c r="AB248" s="1" t="s">
        <v>4558</v>
      </c>
      <c r="AC248" s="1" t="s">
        <v>74</v>
      </c>
      <c r="AD248" s="1" t="s">
        <v>74</v>
      </c>
      <c r="AE248" s="1" t="s">
        <v>74</v>
      </c>
      <c r="AF248" s="1" t="s">
        <v>74</v>
      </c>
      <c r="AG248" s="1">
        <v>75</v>
      </c>
      <c r="AH248" s="1">
        <v>42</v>
      </c>
      <c r="AI248" s="1">
        <v>42</v>
      </c>
      <c r="AJ248" s="1">
        <v>0</v>
      </c>
      <c r="AK248" s="1">
        <v>40</v>
      </c>
      <c r="AL248" s="1" t="s">
        <v>136</v>
      </c>
      <c r="AM248" s="1" t="s">
        <v>137</v>
      </c>
      <c r="AN248" s="1" t="s">
        <v>138</v>
      </c>
      <c r="AO248" s="1" t="s">
        <v>4559</v>
      </c>
      <c r="AP248" s="1" t="s">
        <v>4560</v>
      </c>
      <c r="AQ248" s="1" t="s">
        <v>74</v>
      </c>
      <c r="AR248" s="1" t="s">
        <v>4561</v>
      </c>
      <c r="AS248" s="1" t="s">
        <v>4562</v>
      </c>
      <c r="AT248" s="1" t="s">
        <v>765</v>
      </c>
      <c r="AU248" s="1">
        <v>2015</v>
      </c>
      <c r="AV248" s="1">
        <v>81</v>
      </c>
      <c r="AW248" s="1" t="s">
        <v>74</v>
      </c>
      <c r="AX248" s="1" t="s">
        <v>74</v>
      </c>
      <c r="AY248" s="1" t="s">
        <v>74</v>
      </c>
      <c r="AZ248" s="1" t="s">
        <v>74</v>
      </c>
      <c r="BA248" s="1" t="s">
        <v>74</v>
      </c>
      <c r="BB248" s="1">
        <v>143</v>
      </c>
      <c r="BC248" s="1">
        <v>150</v>
      </c>
      <c r="BD248" s="1" t="s">
        <v>74</v>
      </c>
      <c r="BE248" s="1" t="s">
        <v>4563</v>
      </c>
      <c r="BF248" s="1" t="str">
        <f>HYPERLINK("http://dx.doi.org/10.1016/j.fct.2015.04.020","http://dx.doi.org/10.1016/j.fct.2015.04.020")</f>
        <v>http://dx.doi.org/10.1016/j.fct.2015.04.020</v>
      </c>
      <c r="BG248" s="1" t="s">
        <v>74</v>
      </c>
      <c r="BH248" s="1" t="s">
        <v>74</v>
      </c>
      <c r="BI248" s="1">
        <v>8</v>
      </c>
      <c r="BJ248" s="1" t="s">
        <v>4564</v>
      </c>
      <c r="BK248" s="1" t="s">
        <v>96</v>
      </c>
      <c r="BL248" s="1" t="s">
        <v>4564</v>
      </c>
      <c r="BM248" s="1" t="s">
        <v>4565</v>
      </c>
      <c r="BN248" s="1">
        <v>25912965</v>
      </c>
      <c r="BO248" s="1" t="s">
        <v>74</v>
      </c>
      <c r="BP248" s="1" t="s">
        <v>74</v>
      </c>
      <c r="BQ248" s="1" t="s">
        <v>74</v>
      </c>
      <c r="BR248" s="1" t="s">
        <v>98</v>
      </c>
      <c r="BS248" s="1" t="s">
        <v>4566</v>
      </c>
      <c r="BT248" s="1" t="str">
        <f>HYPERLINK("https%3A%2F%2Fwww.webofscience.com%2Fwos%2Fwoscc%2Ffull-record%2FWOS:000356740500018","View Full Record in Web of Science")</f>
        <v>View Full Record in Web of Science</v>
      </c>
    </row>
    <row r="249" spans="1:72">
      <c r="A249" s="1" t="s">
        <v>72</v>
      </c>
      <c r="B249" s="1" t="s">
        <v>4567</v>
      </c>
      <c r="C249" s="1" t="s">
        <v>74</v>
      </c>
      <c r="D249" s="1" t="s">
        <v>74</v>
      </c>
      <c r="E249" s="1" t="s">
        <v>74</v>
      </c>
      <c r="F249" s="1" t="s">
        <v>4568</v>
      </c>
      <c r="G249" s="1" t="s">
        <v>74</v>
      </c>
      <c r="H249" s="1" t="s">
        <v>74</v>
      </c>
      <c r="I249" s="1" t="s">
        <v>4569</v>
      </c>
      <c r="J249" s="1" t="s">
        <v>641</v>
      </c>
      <c r="K249" s="1" t="s">
        <v>74</v>
      </c>
      <c r="L249" s="1" t="s">
        <v>74</v>
      </c>
      <c r="M249" s="1" t="s">
        <v>78</v>
      </c>
      <c r="N249" s="1" t="s">
        <v>79</v>
      </c>
      <c r="O249" s="1" t="s">
        <v>74</v>
      </c>
      <c r="P249" s="1" t="s">
        <v>74</v>
      </c>
      <c r="Q249" s="1" t="s">
        <v>74</v>
      </c>
      <c r="R249" s="1" t="s">
        <v>74</v>
      </c>
      <c r="S249" s="1" t="s">
        <v>74</v>
      </c>
      <c r="T249" s="1" t="s">
        <v>4570</v>
      </c>
      <c r="U249" s="1" t="s">
        <v>4571</v>
      </c>
      <c r="V249" s="1" t="s">
        <v>4572</v>
      </c>
      <c r="W249" s="1" t="s">
        <v>4573</v>
      </c>
      <c r="X249" s="1" t="s">
        <v>4574</v>
      </c>
      <c r="Y249" s="1" t="s">
        <v>4575</v>
      </c>
      <c r="Z249" s="1" t="s">
        <v>4576</v>
      </c>
      <c r="AA249" s="1" t="s">
        <v>4577</v>
      </c>
      <c r="AB249" s="1" t="s">
        <v>4578</v>
      </c>
      <c r="AC249" s="1" t="s">
        <v>74</v>
      </c>
      <c r="AD249" s="1" t="s">
        <v>74</v>
      </c>
      <c r="AE249" s="1" t="s">
        <v>74</v>
      </c>
      <c r="AF249" s="1" t="s">
        <v>74</v>
      </c>
      <c r="AG249" s="1">
        <v>78</v>
      </c>
      <c r="AH249" s="1">
        <v>27</v>
      </c>
      <c r="AI249" s="1">
        <v>27</v>
      </c>
      <c r="AJ249" s="1">
        <v>1</v>
      </c>
      <c r="AK249" s="1">
        <v>40</v>
      </c>
      <c r="AL249" s="1" t="s">
        <v>650</v>
      </c>
      <c r="AM249" s="1" t="s">
        <v>651</v>
      </c>
      <c r="AN249" s="1" t="s">
        <v>652</v>
      </c>
      <c r="AO249" s="1" t="s">
        <v>653</v>
      </c>
      <c r="AP249" s="1" t="s">
        <v>654</v>
      </c>
      <c r="AQ249" s="1" t="s">
        <v>74</v>
      </c>
      <c r="AR249" s="1" t="s">
        <v>655</v>
      </c>
      <c r="AS249" s="1" t="s">
        <v>656</v>
      </c>
      <c r="AT249" s="1" t="s">
        <v>170</v>
      </c>
      <c r="AU249" s="1">
        <v>2016</v>
      </c>
      <c r="AV249" s="1">
        <v>174</v>
      </c>
      <c r="AW249" s="1" t="s">
        <v>74</v>
      </c>
      <c r="AX249" s="1" t="s">
        <v>74</v>
      </c>
      <c r="AY249" s="1" t="s">
        <v>74</v>
      </c>
      <c r="AZ249" s="1" t="s">
        <v>74</v>
      </c>
      <c r="BA249" s="1" t="s">
        <v>74</v>
      </c>
      <c r="BB249" s="1">
        <v>123</v>
      </c>
      <c r="BC249" s="1">
        <v>133</v>
      </c>
      <c r="BD249" s="1" t="s">
        <v>74</v>
      </c>
      <c r="BE249" s="1" t="s">
        <v>4579</v>
      </c>
      <c r="BF249" s="1" t="str">
        <f>HYPERLINK("http://dx.doi.org/10.1016/j.aquatox.2016.02.024","http://dx.doi.org/10.1016/j.aquatox.2016.02.024")</f>
        <v>http://dx.doi.org/10.1016/j.aquatox.2016.02.024</v>
      </c>
      <c r="BG249" s="1" t="s">
        <v>74</v>
      </c>
      <c r="BH249" s="1" t="s">
        <v>74</v>
      </c>
      <c r="BI249" s="1">
        <v>11</v>
      </c>
      <c r="BJ249" s="1" t="s">
        <v>659</v>
      </c>
      <c r="BK249" s="1" t="s">
        <v>96</v>
      </c>
      <c r="BL249" s="1" t="s">
        <v>659</v>
      </c>
      <c r="BM249" s="1" t="s">
        <v>4580</v>
      </c>
      <c r="BN249" s="1">
        <v>26945539</v>
      </c>
      <c r="BO249" s="1" t="s">
        <v>74</v>
      </c>
      <c r="BP249" s="1" t="s">
        <v>74</v>
      </c>
      <c r="BQ249" s="1" t="s">
        <v>74</v>
      </c>
      <c r="BR249" s="1" t="s">
        <v>98</v>
      </c>
      <c r="BS249" s="1" t="s">
        <v>4581</v>
      </c>
      <c r="BT249" s="1" t="str">
        <f>HYPERLINK("https%3A%2F%2Fwww.webofscience.com%2Fwos%2Fwoscc%2Ffull-record%2FWOS:000374604100014","View Full Record in Web of Science")</f>
        <v>View Full Record in Web of Science</v>
      </c>
    </row>
    <row r="250" spans="1:72">
      <c r="A250" s="1" t="s">
        <v>72</v>
      </c>
      <c r="B250" s="1" t="s">
        <v>4582</v>
      </c>
      <c r="C250" s="1" t="s">
        <v>74</v>
      </c>
      <c r="D250" s="1" t="s">
        <v>74</v>
      </c>
      <c r="E250" s="1" t="s">
        <v>74</v>
      </c>
      <c r="F250" s="1" t="s">
        <v>4582</v>
      </c>
      <c r="G250" s="1" t="s">
        <v>74</v>
      </c>
      <c r="H250" s="1" t="s">
        <v>74</v>
      </c>
      <c r="I250" s="1" t="s">
        <v>4583</v>
      </c>
      <c r="J250" s="1" t="s">
        <v>704</v>
      </c>
      <c r="K250" s="1" t="s">
        <v>74</v>
      </c>
      <c r="L250" s="1" t="s">
        <v>74</v>
      </c>
      <c r="M250" s="1" t="s">
        <v>78</v>
      </c>
      <c r="N250" s="1" t="s">
        <v>79</v>
      </c>
      <c r="O250" s="1" t="s">
        <v>74</v>
      </c>
      <c r="P250" s="1" t="s">
        <v>74</v>
      </c>
      <c r="Q250" s="1" t="s">
        <v>74</v>
      </c>
      <c r="R250" s="1" t="s">
        <v>74</v>
      </c>
      <c r="S250" s="1" t="s">
        <v>74</v>
      </c>
      <c r="T250" s="1" t="s">
        <v>4584</v>
      </c>
      <c r="U250" s="1" t="s">
        <v>4585</v>
      </c>
      <c r="V250" s="1" t="s">
        <v>4586</v>
      </c>
      <c r="W250" s="1" t="s">
        <v>4587</v>
      </c>
      <c r="X250" s="1" t="s">
        <v>4588</v>
      </c>
      <c r="Y250" s="1" t="s">
        <v>4589</v>
      </c>
      <c r="Z250" s="1" t="s">
        <v>4590</v>
      </c>
      <c r="AA250" s="1" t="s">
        <v>74</v>
      </c>
      <c r="AB250" s="1" t="s">
        <v>74</v>
      </c>
      <c r="AC250" s="1" t="s">
        <v>74</v>
      </c>
      <c r="AD250" s="1" t="s">
        <v>74</v>
      </c>
      <c r="AE250" s="1" t="s">
        <v>74</v>
      </c>
      <c r="AF250" s="1" t="s">
        <v>74</v>
      </c>
      <c r="AG250" s="1">
        <v>35</v>
      </c>
      <c r="AH250" s="1">
        <v>0</v>
      </c>
      <c r="AI250" s="1">
        <v>0</v>
      </c>
      <c r="AJ250" s="1">
        <v>0</v>
      </c>
      <c r="AK250" s="1">
        <v>4</v>
      </c>
      <c r="AL250" s="1" t="s">
        <v>1166</v>
      </c>
      <c r="AM250" s="1" t="s">
        <v>1167</v>
      </c>
      <c r="AN250" s="1" t="s">
        <v>1168</v>
      </c>
      <c r="AO250" s="1" t="s">
        <v>718</v>
      </c>
      <c r="AP250" s="1" t="s">
        <v>1169</v>
      </c>
      <c r="AQ250" s="1" t="s">
        <v>74</v>
      </c>
      <c r="AR250" s="1" t="s">
        <v>719</v>
      </c>
      <c r="AS250" s="1" t="s">
        <v>720</v>
      </c>
      <c r="AT250" s="1" t="s">
        <v>224</v>
      </c>
      <c r="AU250" s="1">
        <v>2002</v>
      </c>
      <c r="AV250" s="1">
        <v>134</v>
      </c>
      <c r="AW250" s="1" t="s">
        <v>721</v>
      </c>
      <c r="AX250" s="1" t="s">
        <v>74</v>
      </c>
      <c r="AY250" s="1" t="s">
        <v>74</v>
      </c>
      <c r="AZ250" s="1" t="s">
        <v>74</v>
      </c>
      <c r="BA250" s="1" t="s">
        <v>74</v>
      </c>
      <c r="BB250" s="1">
        <v>229</v>
      </c>
      <c r="BC250" s="1">
        <v>238</v>
      </c>
      <c r="BD250" s="1" t="s">
        <v>74</v>
      </c>
      <c r="BE250" s="1" t="s">
        <v>74</v>
      </c>
      <c r="BF250" s="1" t="s">
        <v>74</v>
      </c>
      <c r="BG250" s="1" t="s">
        <v>74</v>
      </c>
      <c r="BH250" s="1" t="s">
        <v>74</v>
      </c>
      <c r="BI250" s="1">
        <v>10</v>
      </c>
      <c r="BJ250" s="1" t="s">
        <v>722</v>
      </c>
      <c r="BK250" s="1" t="s">
        <v>96</v>
      </c>
      <c r="BL250" s="1" t="s">
        <v>723</v>
      </c>
      <c r="BM250" s="1" t="s">
        <v>4591</v>
      </c>
      <c r="BN250" s="1" t="s">
        <v>74</v>
      </c>
      <c r="BO250" s="1" t="s">
        <v>74</v>
      </c>
      <c r="BP250" s="1" t="s">
        <v>74</v>
      </c>
      <c r="BQ250" s="1" t="s">
        <v>74</v>
      </c>
      <c r="BR250" s="1" t="s">
        <v>98</v>
      </c>
      <c r="BS250" s="1" t="s">
        <v>4592</v>
      </c>
      <c r="BT250" s="1" t="str">
        <f>HYPERLINK("https%3A%2F%2Fwww.webofscience.com%2Fwos%2Fwoscc%2Ffull-record%2FWOS:000173803800013","View Full Record in Web of Science")</f>
        <v>View Full Record in Web of Science</v>
      </c>
    </row>
    <row r="251" spans="1:72">
      <c r="A251" s="1" t="s">
        <v>72</v>
      </c>
      <c r="B251" s="1" t="s">
        <v>4593</v>
      </c>
      <c r="C251" s="1" t="s">
        <v>74</v>
      </c>
      <c r="D251" s="1" t="s">
        <v>74</v>
      </c>
      <c r="E251" s="1" t="s">
        <v>74</v>
      </c>
      <c r="F251" s="1" t="s">
        <v>4594</v>
      </c>
      <c r="G251" s="1" t="s">
        <v>74</v>
      </c>
      <c r="H251" s="1" t="s">
        <v>74</v>
      </c>
      <c r="I251" s="1" t="s">
        <v>4595</v>
      </c>
      <c r="J251" s="1" t="s">
        <v>4596</v>
      </c>
      <c r="K251" s="1" t="s">
        <v>74</v>
      </c>
      <c r="L251" s="1" t="s">
        <v>74</v>
      </c>
      <c r="M251" s="1" t="s">
        <v>78</v>
      </c>
      <c r="N251" s="1" t="s">
        <v>79</v>
      </c>
      <c r="O251" s="1" t="s">
        <v>74</v>
      </c>
      <c r="P251" s="1" t="s">
        <v>74</v>
      </c>
      <c r="Q251" s="1" t="s">
        <v>74</v>
      </c>
      <c r="R251" s="1" t="s">
        <v>74</v>
      </c>
      <c r="S251" s="1" t="s">
        <v>74</v>
      </c>
      <c r="T251" s="1" t="s">
        <v>4597</v>
      </c>
      <c r="U251" s="1" t="s">
        <v>4598</v>
      </c>
      <c r="V251" s="1" t="s">
        <v>4599</v>
      </c>
      <c r="W251" s="1" t="s">
        <v>4600</v>
      </c>
      <c r="X251" s="1" t="s">
        <v>4601</v>
      </c>
      <c r="Y251" s="1" t="s">
        <v>4602</v>
      </c>
      <c r="Z251" s="1" t="s">
        <v>4603</v>
      </c>
      <c r="AA251" s="1" t="s">
        <v>4604</v>
      </c>
      <c r="AB251" s="1" t="s">
        <v>4605</v>
      </c>
      <c r="AC251" s="1" t="s">
        <v>4606</v>
      </c>
      <c r="AD251" s="1" t="s">
        <v>4606</v>
      </c>
      <c r="AE251" s="1" t="s">
        <v>4607</v>
      </c>
      <c r="AF251" s="1" t="s">
        <v>74</v>
      </c>
      <c r="AG251" s="1">
        <v>54</v>
      </c>
      <c r="AH251" s="1">
        <v>62</v>
      </c>
      <c r="AI251" s="1">
        <v>68</v>
      </c>
      <c r="AJ251" s="1">
        <v>0</v>
      </c>
      <c r="AK251" s="1">
        <v>32</v>
      </c>
      <c r="AL251" s="1" t="s">
        <v>136</v>
      </c>
      <c r="AM251" s="1" t="s">
        <v>137</v>
      </c>
      <c r="AN251" s="1" t="s">
        <v>138</v>
      </c>
      <c r="AO251" s="1" t="s">
        <v>4608</v>
      </c>
      <c r="AP251" s="1" t="s">
        <v>4609</v>
      </c>
      <c r="AQ251" s="1" t="s">
        <v>74</v>
      </c>
      <c r="AR251" s="1" t="s">
        <v>4610</v>
      </c>
      <c r="AS251" s="1" t="s">
        <v>4611</v>
      </c>
      <c r="AT251" s="1" t="s">
        <v>4612</v>
      </c>
      <c r="AU251" s="1">
        <v>2011</v>
      </c>
      <c r="AV251" s="1">
        <v>31</v>
      </c>
      <c r="AW251" s="1">
        <v>5</v>
      </c>
      <c r="AX251" s="1" t="s">
        <v>74</v>
      </c>
      <c r="AY251" s="1" t="s">
        <v>74</v>
      </c>
      <c r="AZ251" s="1" t="s">
        <v>225</v>
      </c>
      <c r="BA251" s="1" t="s">
        <v>74</v>
      </c>
      <c r="BB251" s="1">
        <v>457</v>
      </c>
      <c r="BC251" s="1">
        <v>465</v>
      </c>
      <c r="BD251" s="1" t="s">
        <v>74</v>
      </c>
      <c r="BE251" s="1" t="s">
        <v>4613</v>
      </c>
      <c r="BF251" s="1" t="str">
        <f>HYPERLINK("http://dx.doi.org/10.1016/j.csr.2010.04.011","http://dx.doi.org/10.1016/j.csr.2010.04.011")</f>
        <v>http://dx.doi.org/10.1016/j.csr.2010.04.011</v>
      </c>
      <c r="BG251" s="1" t="s">
        <v>74</v>
      </c>
      <c r="BH251" s="1" t="s">
        <v>74</v>
      </c>
      <c r="BI251" s="1">
        <v>9</v>
      </c>
      <c r="BJ251" s="1" t="s">
        <v>1439</v>
      </c>
      <c r="BK251" s="1" t="s">
        <v>96</v>
      </c>
      <c r="BL251" s="1" t="s">
        <v>1439</v>
      </c>
      <c r="BM251" s="1" t="s">
        <v>4614</v>
      </c>
      <c r="BN251" s="1" t="s">
        <v>74</v>
      </c>
      <c r="BO251" s="1" t="s">
        <v>74</v>
      </c>
      <c r="BP251" s="1" t="s">
        <v>74</v>
      </c>
      <c r="BQ251" s="1" t="s">
        <v>74</v>
      </c>
      <c r="BR251" s="1" t="s">
        <v>98</v>
      </c>
      <c r="BS251" s="1" t="s">
        <v>4615</v>
      </c>
      <c r="BT251" s="1" t="str">
        <f>HYPERLINK("https%3A%2F%2Fwww.webofscience.com%2Fwos%2Fwoscc%2Ffull-record%2FWOS:000288818200009","View Full Record in Web of Science")</f>
        <v>View Full Record in Web of Science</v>
      </c>
    </row>
    <row r="252" spans="1:72">
      <c r="A252" s="1" t="s">
        <v>72</v>
      </c>
      <c r="B252" s="1" t="s">
        <v>4616</v>
      </c>
      <c r="C252" s="1" t="s">
        <v>74</v>
      </c>
      <c r="D252" s="1" t="s">
        <v>74</v>
      </c>
      <c r="E252" s="1" t="s">
        <v>74</v>
      </c>
      <c r="F252" s="1" t="s">
        <v>4617</v>
      </c>
      <c r="G252" s="1" t="s">
        <v>74</v>
      </c>
      <c r="H252" s="1" t="s">
        <v>74</v>
      </c>
      <c r="I252" s="1" t="s">
        <v>4618</v>
      </c>
      <c r="J252" s="1" t="s">
        <v>232</v>
      </c>
      <c r="K252" s="1" t="s">
        <v>74</v>
      </c>
      <c r="L252" s="1" t="s">
        <v>74</v>
      </c>
      <c r="M252" s="1" t="s">
        <v>78</v>
      </c>
      <c r="N252" s="1" t="s">
        <v>79</v>
      </c>
      <c r="O252" s="1" t="s">
        <v>74</v>
      </c>
      <c r="P252" s="1" t="s">
        <v>74</v>
      </c>
      <c r="Q252" s="1" t="s">
        <v>74</v>
      </c>
      <c r="R252" s="1" t="s">
        <v>74</v>
      </c>
      <c r="S252" s="1" t="s">
        <v>74</v>
      </c>
      <c r="T252" s="1" t="s">
        <v>4619</v>
      </c>
      <c r="U252" s="1" t="s">
        <v>4620</v>
      </c>
      <c r="V252" s="1" t="s">
        <v>4621</v>
      </c>
      <c r="W252" s="1" t="s">
        <v>4622</v>
      </c>
      <c r="X252" s="1" t="s">
        <v>4623</v>
      </c>
      <c r="Y252" s="1" t="s">
        <v>4624</v>
      </c>
      <c r="Z252" s="1" t="s">
        <v>4625</v>
      </c>
      <c r="AA252" s="1" t="s">
        <v>4626</v>
      </c>
      <c r="AB252" s="1" t="s">
        <v>4627</v>
      </c>
      <c r="AC252" s="1" t="s">
        <v>4628</v>
      </c>
      <c r="AD252" s="1" t="s">
        <v>4629</v>
      </c>
      <c r="AE252" s="1" t="s">
        <v>4630</v>
      </c>
      <c r="AF252" s="1" t="s">
        <v>74</v>
      </c>
      <c r="AG252" s="1">
        <v>36</v>
      </c>
      <c r="AH252" s="1">
        <v>5</v>
      </c>
      <c r="AI252" s="1">
        <v>5</v>
      </c>
      <c r="AJ252" s="1">
        <v>3</v>
      </c>
      <c r="AK252" s="1">
        <v>31</v>
      </c>
      <c r="AL252" s="1" t="s">
        <v>136</v>
      </c>
      <c r="AM252" s="1" t="s">
        <v>137</v>
      </c>
      <c r="AN252" s="1" t="s">
        <v>138</v>
      </c>
      <c r="AO252" s="1" t="s">
        <v>240</v>
      </c>
      <c r="AP252" s="1" t="s">
        <v>241</v>
      </c>
      <c r="AQ252" s="1" t="s">
        <v>74</v>
      </c>
      <c r="AR252" s="1" t="s">
        <v>242</v>
      </c>
      <c r="AS252" s="1" t="s">
        <v>243</v>
      </c>
      <c r="AT252" s="1" t="s">
        <v>951</v>
      </c>
      <c r="AU252" s="1">
        <v>2022</v>
      </c>
      <c r="AV252" s="1">
        <v>184</v>
      </c>
      <c r="AW252" s="1" t="s">
        <v>74</v>
      </c>
      <c r="AX252" s="1" t="s">
        <v>74</v>
      </c>
      <c r="AY252" s="1" t="s">
        <v>74</v>
      </c>
      <c r="AZ252" s="1" t="s">
        <v>74</v>
      </c>
      <c r="BA252" s="1" t="s">
        <v>74</v>
      </c>
      <c r="BB252" s="1" t="s">
        <v>74</v>
      </c>
      <c r="BC252" s="1" t="s">
        <v>74</v>
      </c>
      <c r="BD252" s="1">
        <v>114140</v>
      </c>
      <c r="BE252" s="1" t="s">
        <v>4631</v>
      </c>
      <c r="BF252" s="1" t="str">
        <f>HYPERLINK("http://dx.doi.org/10.1016/j.marpolbul.2022.114140","http://dx.doi.org/10.1016/j.marpolbul.2022.114140")</f>
        <v>http://dx.doi.org/10.1016/j.marpolbul.2022.114140</v>
      </c>
      <c r="BG252" s="1" t="s">
        <v>74</v>
      </c>
      <c r="BH252" s="1" t="s">
        <v>4632</v>
      </c>
      <c r="BI252" s="1">
        <v>7</v>
      </c>
      <c r="BJ252" s="1" t="s">
        <v>247</v>
      </c>
      <c r="BK252" s="1" t="s">
        <v>96</v>
      </c>
      <c r="BL252" s="1" t="s">
        <v>248</v>
      </c>
      <c r="BM252" s="1" t="s">
        <v>4633</v>
      </c>
      <c r="BN252" s="1">
        <v>36152497</v>
      </c>
      <c r="BO252" s="1" t="s">
        <v>74</v>
      </c>
      <c r="BP252" s="1" t="s">
        <v>74</v>
      </c>
      <c r="BQ252" s="1" t="s">
        <v>74</v>
      </c>
      <c r="BR252" s="1" t="s">
        <v>98</v>
      </c>
      <c r="BS252" s="1" t="s">
        <v>4634</v>
      </c>
      <c r="BT252" s="1" t="str">
        <f>HYPERLINK("https%3A%2F%2Fwww.webofscience.com%2Fwos%2Fwoscc%2Ffull-record%2FWOS:000876947900005","View Full Record in Web of Science")</f>
        <v>View Full Record in Web of Science</v>
      </c>
    </row>
    <row r="253" spans="1:72">
      <c r="A253" s="1" t="s">
        <v>72</v>
      </c>
      <c r="B253" s="1" t="s">
        <v>4635</v>
      </c>
      <c r="C253" s="1" t="s">
        <v>74</v>
      </c>
      <c r="D253" s="1" t="s">
        <v>74</v>
      </c>
      <c r="E253" s="1" t="s">
        <v>74</v>
      </c>
      <c r="F253" s="1" t="s">
        <v>4635</v>
      </c>
      <c r="G253" s="1" t="s">
        <v>74</v>
      </c>
      <c r="H253" s="1" t="s">
        <v>74</v>
      </c>
      <c r="I253" s="1" t="s">
        <v>4636</v>
      </c>
      <c r="J253" s="1" t="s">
        <v>3005</v>
      </c>
      <c r="K253" s="1" t="s">
        <v>74</v>
      </c>
      <c r="L253" s="1" t="s">
        <v>74</v>
      </c>
      <c r="M253" s="1" t="s">
        <v>78</v>
      </c>
      <c r="N253" s="1" t="s">
        <v>79</v>
      </c>
      <c r="O253" s="1" t="s">
        <v>74</v>
      </c>
      <c r="P253" s="1" t="s">
        <v>74</v>
      </c>
      <c r="Q253" s="1" t="s">
        <v>74</v>
      </c>
      <c r="R253" s="1" t="s">
        <v>74</v>
      </c>
      <c r="S253" s="1" t="s">
        <v>74</v>
      </c>
      <c r="T253" s="1" t="s">
        <v>4637</v>
      </c>
      <c r="U253" s="1" t="s">
        <v>4638</v>
      </c>
      <c r="V253" s="1" t="s">
        <v>4639</v>
      </c>
      <c r="W253" s="1" t="s">
        <v>4640</v>
      </c>
      <c r="X253" s="1" t="s">
        <v>4641</v>
      </c>
      <c r="Y253" s="1" t="s">
        <v>74</v>
      </c>
      <c r="Z253" s="1" t="s">
        <v>74</v>
      </c>
      <c r="AA253" s="1" t="s">
        <v>74</v>
      </c>
      <c r="AB253" s="1" t="s">
        <v>74</v>
      </c>
      <c r="AC253" s="1" t="s">
        <v>74</v>
      </c>
      <c r="AD253" s="1" t="s">
        <v>74</v>
      </c>
      <c r="AE253" s="1" t="s">
        <v>74</v>
      </c>
      <c r="AF253" s="1" t="s">
        <v>74</v>
      </c>
      <c r="AG253" s="1">
        <v>32</v>
      </c>
      <c r="AH253" s="1">
        <v>184</v>
      </c>
      <c r="AI253" s="1">
        <v>203</v>
      </c>
      <c r="AJ253" s="1">
        <v>0</v>
      </c>
      <c r="AK253" s="1">
        <v>26</v>
      </c>
      <c r="AL253" s="1" t="s">
        <v>2904</v>
      </c>
      <c r="AM253" s="1" t="s">
        <v>2905</v>
      </c>
      <c r="AN253" s="1" t="s">
        <v>2906</v>
      </c>
      <c r="AO253" s="1" t="s">
        <v>3010</v>
      </c>
      <c r="AP253" s="1" t="s">
        <v>74</v>
      </c>
      <c r="AQ253" s="1" t="s">
        <v>74</v>
      </c>
      <c r="AR253" s="1" t="s">
        <v>3011</v>
      </c>
      <c r="AS253" s="1" t="s">
        <v>3012</v>
      </c>
      <c r="AT253" s="1" t="s">
        <v>4642</v>
      </c>
      <c r="AU253" s="1">
        <v>1995</v>
      </c>
      <c r="AV253" s="1">
        <v>22</v>
      </c>
      <c r="AW253" s="1">
        <v>1</v>
      </c>
      <c r="AX253" s="1" t="s">
        <v>74</v>
      </c>
      <c r="AY253" s="1" t="s">
        <v>74</v>
      </c>
      <c r="AZ253" s="1" t="s">
        <v>74</v>
      </c>
      <c r="BA253" s="1" t="s">
        <v>74</v>
      </c>
      <c r="BB253" s="1">
        <v>59</v>
      </c>
      <c r="BC253" s="1">
        <v>65</v>
      </c>
      <c r="BD253" s="1" t="s">
        <v>74</v>
      </c>
      <c r="BE253" s="1" t="s">
        <v>4643</v>
      </c>
      <c r="BF253" s="1" t="str">
        <f>HYPERLINK("http://dx.doi.org/10.3354/dao022059","http://dx.doi.org/10.3354/dao022059")</f>
        <v>http://dx.doi.org/10.3354/dao022059</v>
      </c>
      <c r="BG253" s="1" t="s">
        <v>74</v>
      </c>
      <c r="BH253" s="1" t="s">
        <v>74</v>
      </c>
      <c r="BI253" s="1">
        <v>7</v>
      </c>
      <c r="BJ253" s="1" t="s">
        <v>368</v>
      </c>
      <c r="BK253" s="1" t="s">
        <v>96</v>
      </c>
      <c r="BL253" s="1" t="s">
        <v>368</v>
      </c>
      <c r="BM253" s="1" t="s">
        <v>4644</v>
      </c>
      <c r="BN253" s="1" t="s">
        <v>74</v>
      </c>
      <c r="BO253" s="1" t="s">
        <v>370</v>
      </c>
      <c r="BP253" s="1" t="s">
        <v>74</v>
      </c>
      <c r="BQ253" s="1" t="s">
        <v>74</v>
      </c>
      <c r="BR253" s="1" t="s">
        <v>98</v>
      </c>
      <c r="BS253" s="1" t="s">
        <v>4645</v>
      </c>
      <c r="BT253" s="1" t="str">
        <f>HYPERLINK("https%3A%2F%2Fwww.webofscience.com%2Fwos%2Fwoscc%2Ffull-record%2FWOS:A1995RB98600009","View Full Record in Web of Science")</f>
        <v>View Full Record in Web of Science</v>
      </c>
    </row>
    <row r="254" spans="1:72">
      <c r="A254" s="1" t="s">
        <v>72</v>
      </c>
      <c r="B254" s="1" t="s">
        <v>4646</v>
      </c>
      <c r="C254" s="1" t="s">
        <v>74</v>
      </c>
      <c r="D254" s="1" t="s">
        <v>74</v>
      </c>
      <c r="E254" s="1" t="s">
        <v>74</v>
      </c>
      <c r="F254" s="1" t="s">
        <v>4647</v>
      </c>
      <c r="G254" s="1" t="s">
        <v>74</v>
      </c>
      <c r="H254" s="1" t="s">
        <v>74</v>
      </c>
      <c r="I254" s="1" t="s">
        <v>4648</v>
      </c>
      <c r="J254" s="1" t="s">
        <v>595</v>
      </c>
      <c r="K254" s="1" t="s">
        <v>74</v>
      </c>
      <c r="L254" s="1" t="s">
        <v>74</v>
      </c>
      <c r="M254" s="1" t="s">
        <v>78</v>
      </c>
      <c r="N254" s="1" t="s">
        <v>79</v>
      </c>
      <c r="O254" s="1" t="s">
        <v>74</v>
      </c>
      <c r="P254" s="1" t="s">
        <v>74</v>
      </c>
      <c r="Q254" s="1" t="s">
        <v>74</v>
      </c>
      <c r="R254" s="1" t="s">
        <v>74</v>
      </c>
      <c r="S254" s="1" t="s">
        <v>74</v>
      </c>
      <c r="T254" s="1" t="s">
        <v>4649</v>
      </c>
      <c r="U254" s="1" t="s">
        <v>4650</v>
      </c>
      <c r="V254" s="1" t="s">
        <v>4651</v>
      </c>
      <c r="W254" s="1" t="s">
        <v>4652</v>
      </c>
      <c r="X254" s="1" t="s">
        <v>2947</v>
      </c>
      <c r="Y254" s="1" t="s">
        <v>4653</v>
      </c>
      <c r="Z254" s="1" t="s">
        <v>2949</v>
      </c>
      <c r="AA254" s="1" t="s">
        <v>74</v>
      </c>
      <c r="AB254" s="1" t="s">
        <v>74</v>
      </c>
      <c r="AC254" s="1" t="s">
        <v>4654</v>
      </c>
      <c r="AD254" s="1" t="s">
        <v>4655</v>
      </c>
      <c r="AE254" s="1" t="s">
        <v>4656</v>
      </c>
      <c r="AF254" s="1" t="s">
        <v>74</v>
      </c>
      <c r="AG254" s="1">
        <v>52</v>
      </c>
      <c r="AH254" s="1">
        <v>59</v>
      </c>
      <c r="AI254" s="1">
        <v>69</v>
      </c>
      <c r="AJ254" s="1">
        <v>9</v>
      </c>
      <c r="AK254" s="1">
        <v>75</v>
      </c>
      <c r="AL254" s="1" t="s">
        <v>112</v>
      </c>
      <c r="AM254" s="1" t="s">
        <v>191</v>
      </c>
      <c r="AN254" s="1" t="s">
        <v>192</v>
      </c>
      <c r="AO254" s="1" t="s">
        <v>608</v>
      </c>
      <c r="AP254" s="1" t="s">
        <v>609</v>
      </c>
      <c r="AQ254" s="1" t="s">
        <v>74</v>
      </c>
      <c r="AR254" s="1" t="s">
        <v>595</v>
      </c>
      <c r="AS254" s="1" t="s">
        <v>610</v>
      </c>
      <c r="AT254" s="1" t="s">
        <v>765</v>
      </c>
      <c r="AU254" s="1">
        <v>2016</v>
      </c>
      <c r="AV254" s="1">
        <v>25</v>
      </c>
      <c r="AW254" s="1">
        <v>5</v>
      </c>
      <c r="AX254" s="1" t="s">
        <v>74</v>
      </c>
      <c r="AY254" s="1" t="s">
        <v>74</v>
      </c>
      <c r="AZ254" s="1" t="s">
        <v>74</v>
      </c>
      <c r="BA254" s="1" t="s">
        <v>74</v>
      </c>
      <c r="BB254" s="1">
        <v>959</v>
      </c>
      <c r="BC254" s="1">
        <v>969</v>
      </c>
      <c r="BD254" s="1" t="s">
        <v>74</v>
      </c>
      <c r="BE254" s="1" t="s">
        <v>4657</v>
      </c>
      <c r="BF254" s="1" t="str">
        <f>HYPERLINK("http://dx.doi.org/10.1007/s10646-016-1653-7","http://dx.doi.org/10.1007/s10646-016-1653-7")</f>
        <v>http://dx.doi.org/10.1007/s10646-016-1653-7</v>
      </c>
      <c r="BG254" s="1" t="s">
        <v>74</v>
      </c>
      <c r="BH254" s="1" t="s">
        <v>74</v>
      </c>
      <c r="BI254" s="1">
        <v>11</v>
      </c>
      <c r="BJ254" s="1" t="s">
        <v>612</v>
      </c>
      <c r="BK254" s="1" t="s">
        <v>96</v>
      </c>
      <c r="BL254" s="1" t="s">
        <v>122</v>
      </c>
      <c r="BM254" s="1" t="s">
        <v>4658</v>
      </c>
      <c r="BN254" s="1">
        <v>27038477</v>
      </c>
      <c r="BO254" s="1" t="s">
        <v>74</v>
      </c>
      <c r="BP254" s="1" t="s">
        <v>74</v>
      </c>
      <c r="BQ254" s="1" t="s">
        <v>74</v>
      </c>
      <c r="BR254" s="1" t="s">
        <v>98</v>
      </c>
      <c r="BS254" s="1" t="s">
        <v>4659</v>
      </c>
      <c r="BT254" s="1" t="str">
        <f>HYPERLINK("https%3A%2F%2Fwww.webofscience.com%2Fwos%2Fwoscc%2Ffull-record%2FWOS:000376682600012","View Full Record in Web of Science")</f>
        <v>View Full Record in Web of Science</v>
      </c>
    </row>
    <row r="255" spans="1:72">
      <c r="A255" s="1" t="s">
        <v>72</v>
      </c>
      <c r="B255" s="1" t="s">
        <v>4660</v>
      </c>
      <c r="C255" s="1" t="s">
        <v>74</v>
      </c>
      <c r="D255" s="1" t="s">
        <v>74</v>
      </c>
      <c r="E255" s="1" t="s">
        <v>74</v>
      </c>
      <c r="F255" s="1" t="s">
        <v>4661</v>
      </c>
      <c r="G255" s="1" t="s">
        <v>74</v>
      </c>
      <c r="H255" s="1" t="s">
        <v>74</v>
      </c>
      <c r="I255" s="1" t="s">
        <v>4662</v>
      </c>
      <c r="J255" s="1" t="s">
        <v>4663</v>
      </c>
      <c r="K255" s="1" t="s">
        <v>74</v>
      </c>
      <c r="L255" s="1" t="s">
        <v>74</v>
      </c>
      <c r="M255" s="1" t="s">
        <v>78</v>
      </c>
      <c r="N255" s="1" t="s">
        <v>79</v>
      </c>
      <c r="O255" s="1" t="s">
        <v>74</v>
      </c>
      <c r="P255" s="1" t="s">
        <v>74</v>
      </c>
      <c r="Q255" s="1" t="s">
        <v>74</v>
      </c>
      <c r="R255" s="1" t="s">
        <v>74</v>
      </c>
      <c r="S255" s="1" t="s">
        <v>74</v>
      </c>
      <c r="T255" s="1" t="s">
        <v>4664</v>
      </c>
      <c r="U255" s="1" t="s">
        <v>4665</v>
      </c>
      <c r="V255" s="1" t="s">
        <v>4666</v>
      </c>
      <c r="W255" s="1" t="s">
        <v>4667</v>
      </c>
      <c r="X255" s="1" t="s">
        <v>4668</v>
      </c>
      <c r="Y255" s="1" t="s">
        <v>4669</v>
      </c>
      <c r="Z255" s="1" t="s">
        <v>4670</v>
      </c>
      <c r="AA255" s="1" t="s">
        <v>4671</v>
      </c>
      <c r="AB255" s="1" t="s">
        <v>4672</v>
      </c>
      <c r="AC255" s="1" t="s">
        <v>4673</v>
      </c>
      <c r="AD255" s="1" t="s">
        <v>4673</v>
      </c>
      <c r="AE255" s="1" t="s">
        <v>4674</v>
      </c>
      <c r="AF255" s="1" t="s">
        <v>74</v>
      </c>
      <c r="AG255" s="1">
        <v>85</v>
      </c>
      <c r="AH255" s="1">
        <v>0</v>
      </c>
      <c r="AI255" s="1">
        <v>0</v>
      </c>
      <c r="AJ255" s="1">
        <v>0</v>
      </c>
      <c r="AK255" s="1">
        <v>16</v>
      </c>
      <c r="AL255" s="1" t="s">
        <v>2074</v>
      </c>
      <c r="AM255" s="1" t="s">
        <v>2075</v>
      </c>
      <c r="AN255" s="1" t="s">
        <v>2076</v>
      </c>
      <c r="AO255" s="1" t="s">
        <v>4675</v>
      </c>
      <c r="AP255" s="1" t="s">
        <v>4676</v>
      </c>
      <c r="AQ255" s="1" t="s">
        <v>74</v>
      </c>
      <c r="AR255" s="1" t="s">
        <v>4677</v>
      </c>
      <c r="AS255" s="1" t="s">
        <v>4678</v>
      </c>
      <c r="AT255" s="1" t="s">
        <v>4679</v>
      </c>
      <c r="AU255" s="1">
        <v>2022</v>
      </c>
      <c r="AV255" s="1">
        <v>102</v>
      </c>
      <c r="AW255" s="1">
        <v>7</v>
      </c>
      <c r="AX255" s="1" t="s">
        <v>74</v>
      </c>
      <c r="AY255" s="1" t="s">
        <v>74</v>
      </c>
      <c r="AZ255" s="1" t="s">
        <v>74</v>
      </c>
      <c r="BA255" s="1" t="s">
        <v>74</v>
      </c>
      <c r="BB255" s="1">
        <v>1563</v>
      </c>
      <c r="BC255" s="1">
        <v>1582</v>
      </c>
      <c r="BD255" s="1" t="s">
        <v>74</v>
      </c>
      <c r="BE255" s="1" t="s">
        <v>4680</v>
      </c>
      <c r="BF255" s="1" t="str">
        <f>HYPERLINK("http://dx.doi.org/10.1080/03067319.2020.1739665","http://dx.doi.org/10.1080/03067319.2020.1739665")</f>
        <v>http://dx.doi.org/10.1080/03067319.2020.1739665</v>
      </c>
      <c r="BG255" s="1" t="s">
        <v>74</v>
      </c>
      <c r="BH255" s="1" t="s">
        <v>4681</v>
      </c>
      <c r="BI255" s="1">
        <v>20</v>
      </c>
      <c r="BJ255" s="1" t="s">
        <v>269</v>
      </c>
      <c r="BK255" s="1" t="s">
        <v>96</v>
      </c>
      <c r="BL255" s="1" t="s">
        <v>270</v>
      </c>
      <c r="BM255" s="1" t="s">
        <v>4682</v>
      </c>
      <c r="BN255" s="1" t="s">
        <v>74</v>
      </c>
      <c r="BO255" s="1" t="s">
        <v>810</v>
      </c>
      <c r="BP255" s="1" t="s">
        <v>74</v>
      </c>
      <c r="BQ255" s="1" t="s">
        <v>74</v>
      </c>
      <c r="BR255" s="1" t="s">
        <v>98</v>
      </c>
      <c r="BS255" s="1" t="s">
        <v>4683</v>
      </c>
      <c r="BT255" s="1" t="str">
        <f>HYPERLINK("https%3A%2F%2Fwww.webofscience.com%2Fwos%2Fwoscc%2Ffull-record%2FWOS:000520540000001","View Full Record in Web of Science")</f>
        <v>View Full Record in Web of Science</v>
      </c>
    </row>
    <row r="256" spans="1:72">
      <c r="A256" s="1" t="s">
        <v>72</v>
      </c>
      <c r="B256" s="1" t="s">
        <v>4684</v>
      </c>
      <c r="C256" s="1" t="s">
        <v>74</v>
      </c>
      <c r="D256" s="1" t="s">
        <v>74</v>
      </c>
      <c r="E256" s="1" t="s">
        <v>74</v>
      </c>
      <c r="F256" s="1" t="s">
        <v>4685</v>
      </c>
      <c r="G256" s="1" t="s">
        <v>74</v>
      </c>
      <c r="H256" s="1" t="s">
        <v>74</v>
      </c>
      <c r="I256" s="1" t="s">
        <v>4686</v>
      </c>
      <c r="J256" s="1" t="s">
        <v>4687</v>
      </c>
      <c r="K256" s="1" t="s">
        <v>74</v>
      </c>
      <c r="L256" s="1" t="s">
        <v>74</v>
      </c>
      <c r="M256" s="1" t="s">
        <v>78</v>
      </c>
      <c r="N256" s="1" t="s">
        <v>79</v>
      </c>
      <c r="O256" s="1" t="s">
        <v>74</v>
      </c>
      <c r="P256" s="1" t="s">
        <v>74</v>
      </c>
      <c r="Q256" s="1" t="s">
        <v>74</v>
      </c>
      <c r="R256" s="1" t="s">
        <v>74</v>
      </c>
      <c r="S256" s="1" t="s">
        <v>74</v>
      </c>
      <c r="T256" s="1" t="s">
        <v>4688</v>
      </c>
      <c r="U256" s="1" t="s">
        <v>4689</v>
      </c>
      <c r="V256" s="1" t="s">
        <v>4690</v>
      </c>
      <c r="W256" s="1" t="s">
        <v>4691</v>
      </c>
      <c r="X256" s="1" t="s">
        <v>4692</v>
      </c>
      <c r="Y256" s="1" t="s">
        <v>4693</v>
      </c>
      <c r="Z256" s="1" t="s">
        <v>2537</v>
      </c>
      <c r="AA256" s="1" t="s">
        <v>74</v>
      </c>
      <c r="AB256" s="1" t="s">
        <v>2538</v>
      </c>
      <c r="AC256" s="1" t="s">
        <v>4694</v>
      </c>
      <c r="AD256" s="1" t="s">
        <v>4695</v>
      </c>
      <c r="AE256" s="1" t="s">
        <v>4696</v>
      </c>
      <c r="AF256" s="1" t="s">
        <v>74</v>
      </c>
      <c r="AG256" s="1">
        <v>94</v>
      </c>
      <c r="AH256" s="1">
        <v>11</v>
      </c>
      <c r="AI256" s="1">
        <v>11</v>
      </c>
      <c r="AJ256" s="1">
        <v>0</v>
      </c>
      <c r="AK256" s="1">
        <v>15</v>
      </c>
      <c r="AL256" s="1" t="s">
        <v>650</v>
      </c>
      <c r="AM256" s="1" t="s">
        <v>651</v>
      </c>
      <c r="AN256" s="1" t="s">
        <v>652</v>
      </c>
      <c r="AO256" s="1" t="s">
        <v>4697</v>
      </c>
      <c r="AP256" s="1" t="s">
        <v>74</v>
      </c>
      <c r="AQ256" s="1" t="s">
        <v>74</v>
      </c>
      <c r="AR256" s="1" t="s">
        <v>4698</v>
      </c>
      <c r="AS256" s="1" t="s">
        <v>4699</v>
      </c>
      <c r="AT256" s="1" t="s">
        <v>224</v>
      </c>
      <c r="AU256" s="1">
        <v>2022</v>
      </c>
      <c r="AV256" s="1">
        <v>25</v>
      </c>
      <c r="AW256" s="1" t="s">
        <v>74</v>
      </c>
      <c r="AX256" s="1" t="s">
        <v>74</v>
      </c>
      <c r="AY256" s="1" t="s">
        <v>74</v>
      </c>
      <c r="AZ256" s="1" t="s">
        <v>74</v>
      </c>
      <c r="BA256" s="1" t="s">
        <v>74</v>
      </c>
      <c r="BB256" s="1" t="s">
        <v>74</v>
      </c>
      <c r="BC256" s="1" t="s">
        <v>74</v>
      </c>
      <c r="BD256" s="1">
        <v>102202</v>
      </c>
      <c r="BE256" s="1" t="s">
        <v>4700</v>
      </c>
      <c r="BF256" s="1" t="str">
        <f>HYPERLINK("http://dx.doi.org/10.1016/j.eti.2021.102202","http://dx.doi.org/10.1016/j.eti.2021.102202")</f>
        <v>http://dx.doi.org/10.1016/j.eti.2021.102202</v>
      </c>
      <c r="BG256" s="1" t="s">
        <v>74</v>
      </c>
      <c r="BH256" s="1" t="s">
        <v>4701</v>
      </c>
      <c r="BI256" s="1">
        <v>16</v>
      </c>
      <c r="BJ256" s="1" t="s">
        <v>4702</v>
      </c>
      <c r="BK256" s="1" t="s">
        <v>96</v>
      </c>
      <c r="BL256" s="1" t="s">
        <v>4703</v>
      </c>
      <c r="BM256" s="1" t="s">
        <v>4704</v>
      </c>
      <c r="BN256" s="1" t="s">
        <v>74</v>
      </c>
      <c r="BO256" s="1" t="s">
        <v>873</v>
      </c>
      <c r="BP256" s="1" t="s">
        <v>74</v>
      </c>
      <c r="BQ256" s="1" t="s">
        <v>74</v>
      </c>
      <c r="BR256" s="1" t="s">
        <v>98</v>
      </c>
      <c r="BS256" s="1" t="s">
        <v>4705</v>
      </c>
      <c r="BT256" s="1" t="str">
        <f>HYPERLINK("https%3A%2F%2Fwww.webofscience.com%2Fwos%2Fwoscc%2Ffull-record%2FWOS:000754183300005","View Full Record in Web of Science")</f>
        <v>View Full Record in Web of Science</v>
      </c>
    </row>
    <row r="257" spans="1:72">
      <c r="A257" s="1" t="s">
        <v>72</v>
      </c>
      <c r="B257" s="1" t="s">
        <v>4706</v>
      </c>
      <c r="C257" s="1" t="s">
        <v>74</v>
      </c>
      <c r="D257" s="1" t="s">
        <v>74</v>
      </c>
      <c r="E257" s="1" t="s">
        <v>74</v>
      </c>
      <c r="F257" s="1" t="s">
        <v>4707</v>
      </c>
      <c r="G257" s="1" t="s">
        <v>74</v>
      </c>
      <c r="H257" s="1" t="s">
        <v>74</v>
      </c>
      <c r="I257" s="1" t="s">
        <v>4708</v>
      </c>
      <c r="J257" s="1" t="s">
        <v>3857</v>
      </c>
      <c r="K257" s="1" t="s">
        <v>74</v>
      </c>
      <c r="L257" s="1" t="s">
        <v>74</v>
      </c>
      <c r="M257" s="1" t="s">
        <v>78</v>
      </c>
      <c r="N257" s="1" t="s">
        <v>79</v>
      </c>
      <c r="O257" s="1" t="s">
        <v>74</v>
      </c>
      <c r="P257" s="1" t="s">
        <v>74</v>
      </c>
      <c r="Q257" s="1" t="s">
        <v>74</v>
      </c>
      <c r="R257" s="1" t="s">
        <v>74</v>
      </c>
      <c r="S257" s="1" t="s">
        <v>74</v>
      </c>
      <c r="T257" s="1" t="s">
        <v>4709</v>
      </c>
      <c r="U257" s="1" t="s">
        <v>4710</v>
      </c>
      <c r="V257" s="1" t="s">
        <v>4711</v>
      </c>
      <c r="W257" s="1" t="s">
        <v>4712</v>
      </c>
      <c r="X257" s="1" t="s">
        <v>3862</v>
      </c>
      <c r="Y257" s="1" t="s">
        <v>4713</v>
      </c>
      <c r="Z257" s="1" t="s">
        <v>3864</v>
      </c>
      <c r="AA257" s="1" t="s">
        <v>74</v>
      </c>
      <c r="AB257" s="1" t="s">
        <v>74</v>
      </c>
      <c r="AC257" s="1" t="s">
        <v>4714</v>
      </c>
      <c r="AD257" s="1" t="s">
        <v>4715</v>
      </c>
      <c r="AE257" s="1" t="s">
        <v>4716</v>
      </c>
      <c r="AF257" s="1" t="s">
        <v>74</v>
      </c>
      <c r="AG257" s="1">
        <v>68</v>
      </c>
      <c r="AH257" s="1">
        <v>2</v>
      </c>
      <c r="AI257" s="1">
        <v>2</v>
      </c>
      <c r="AJ257" s="1">
        <v>4</v>
      </c>
      <c r="AK257" s="1">
        <v>24</v>
      </c>
      <c r="AL257" s="1" t="s">
        <v>650</v>
      </c>
      <c r="AM257" s="1" t="s">
        <v>651</v>
      </c>
      <c r="AN257" s="1" t="s">
        <v>652</v>
      </c>
      <c r="AO257" s="1" t="s">
        <v>3868</v>
      </c>
      <c r="AP257" s="1" t="s">
        <v>3869</v>
      </c>
      <c r="AQ257" s="1" t="s">
        <v>74</v>
      </c>
      <c r="AR257" s="1" t="s">
        <v>3857</v>
      </c>
      <c r="AS257" s="1" t="s">
        <v>3870</v>
      </c>
      <c r="AT257" s="1" t="s">
        <v>1965</v>
      </c>
      <c r="AU257" s="1">
        <v>2022</v>
      </c>
      <c r="AV257" s="1">
        <v>845</v>
      </c>
      <c r="AW257" s="1" t="s">
        <v>74</v>
      </c>
      <c r="AX257" s="1" t="s">
        <v>74</v>
      </c>
      <c r="AY257" s="1" t="s">
        <v>74</v>
      </c>
      <c r="AZ257" s="1" t="s">
        <v>74</v>
      </c>
      <c r="BA257" s="1" t="s">
        <v>74</v>
      </c>
      <c r="BB257" s="1" t="s">
        <v>74</v>
      </c>
      <c r="BC257" s="1" t="s">
        <v>74</v>
      </c>
      <c r="BD257" s="1">
        <v>146865</v>
      </c>
      <c r="BE257" s="1" t="s">
        <v>4717</v>
      </c>
      <c r="BF257" s="1" t="str">
        <f>HYPERLINK("http://dx.doi.org/10.1016/j.gene.2022.146865","http://dx.doi.org/10.1016/j.gene.2022.146865")</f>
        <v>http://dx.doi.org/10.1016/j.gene.2022.146865</v>
      </c>
      <c r="BG257" s="1" t="s">
        <v>74</v>
      </c>
      <c r="BH257" s="1" t="s">
        <v>4632</v>
      </c>
      <c r="BI257" s="1">
        <v>10</v>
      </c>
      <c r="BJ257" s="1" t="s">
        <v>3873</v>
      </c>
      <c r="BK257" s="1" t="s">
        <v>96</v>
      </c>
      <c r="BL257" s="1" t="s">
        <v>3873</v>
      </c>
      <c r="BM257" s="1" t="s">
        <v>4718</v>
      </c>
      <c r="BN257" s="1">
        <v>36067865</v>
      </c>
      <c r="BO257" s="1" t="s">
        <v>74</v>
      </c>
      <c r="BP257" s="1" t="s">
        <v>74</v>
      </c>
      <c r="BQ257" s="1" t="s">
        <v>74</v>
      </c>
      <c r="BR257" s="1" t="s">
        <v>98</v>
      </c>
      <c r="BS257" s="1" t="s">
        <v>4719</v>
      </c>
      <c r="BT257" s="1" t="str">
        <f>HYPERLINK("https%3A%2F%2Fwww.webofscience.com%2Fwos%2Fwoscc%2Ffull-record%2FWOS:000855551000001","View Full Record in Web of Science")</f>
        <v>View Full Record in Web of Science</v>
      </c>
    </row>
    <row r="258" spans="1:72">
      <c r="A258" s="1" t="s">
        <v>72</v>
      </c>
      <c r="B258" s="1" t="s">
        <v>4720</v>
      </c>
      <c r="C258" s="1" t="s">
        <v>74</v>
      </c>
      <c r="D258" s="1" t="s">
        <v>74</v>
      </c>
      <c r="E258" s="1" t="s">
        <v>74</v>
      </c>
      <c r="F258" s="1" t="s">
        <v>4720</v>
      </c>
      <c r="G258" s="1" t="s">
        <v>74</v>
      </c>
      <c r="H258" s="1" t="s">
        <v>74</v>
      </c>
      <c r="I258" s="1" t="s">
        <v>4721</v>
      </c>
      <c r="J258" s="1" t="s">
        <v>1097</v>
      </c>
      <c r="K258" s="1" t="s">
        <v>74</v>
      </c>
      <c r="L258" s="1" t="s">
        <v>74</v>
      </c>
      <c r="M258" s="1" t="s">
        <v>78</v>
      </c>
      <c r="N258" s="1" t="s">
        <v>79</v>
      </c>
      <c r="O258" s="1" t="s">
        <v>74</v>
      </c>
      <c r="P258" s="1" t="s">
        <v>74</v>
      </c>
      <c r="Q258" s="1" t="s">
        <v>74</v>
      </c>
      <c r="R258" s="1" t="s">
        <v>74</v>
      </c>
      <c r="S258" s="1" t="s">
        <v>74</v>
      </c>
      <c r="T258" s="1" t="s">
        <v>74</v>
      </c>
      <c r="U258" s="1" t="s">
        <v>74</v>
      </c>
      <c r="V258" s="1" t="s">
        <v>4722</v>
      </c>
      <c r="W258" s="1" t="s">
        <v>4723</v>
      </c>
      <c r="X258" s="1" t="s">
        <v>1800</v>
      </c>
      <c r="Y258" s="1" t="s">
        <v>74</v>
      </c>
      <c r="Z258" s="1" t="s">
        <v>74</v>
      </c>
      <c r="AA258" s="1" t="s">
        <v>74</v>
      </c>
      <c r="AB258" s="1" t="s">
        <v>74</v>
      </c>
      <c r="AC258" s="1" t="s">
        <v>74</v>
      </c>
      <c r="AD258" s="1" t="s">
        <v>74</v>
      </c>
      <c r="AE258" s="1" t="s">
        <v>74</v>
      </c>
      <c r="AF258" s="1" t="s">
        <v>74</v>
      </c>
      <c r="AG258" s="1">
        <v>30</v>
      </c>
      <c r="AH258" s="1">
        <v>412</v>
      </c>
      <c r="AI258" s="1">
        <v>437</v>
      </c>
      <c r="AJ258" s="1">
        <v>0</v>
      </c>
      <c r="AK258" s="1">
        <v>43</v>
      </c>
      <c r="AL258" s="1" t="s">
        <v>217</v>
      </c>
      <c r="AM258" s="1" t="s">
        <v>218</v>
      </c>
      <c r="AN258" s="1" t="s">
        <v>219</v>
      </c>
      <c r="AO258" s="1" t="s">
        <v>1100</v>
      </c>
      <c r="AP258" s="1" t="s">
        <v>1101</v>
      </c>
      <c r="AQ258" s="1" t="s">
        <v>74</v>
      </c>
      <c r="AR258" s="1" t="s">
        <v>1102</v>
      </c>
      <c r="AS258" s="1" t="s">
        <v>1103</v>
      </c>
      <c r="AT258" s="1" t="s">
        <v>74</v>
      </c>
      <c r="AU258" s="1">
        <v>1976</v>
      </c>
      <c r="AV258" s="1">
        <v>38</v>
      </c>
      <c r="AW258" s="1">
        <v>1</v>
      </c>
      <c r="AX258" s="1" t="s">
        <v>74</v>
      </c>
      <c r="AY258" s="1" t="s">
        <v>74</v>
      </c>
      <c r="AZ258" s="1" t="s">
        <v>74</v>
      </c>
      <c r="BA258" s="1" t="s">
        <v>74</v>
      </c>
      <c r="BB258" s="1">
        <v>59</v>
      </c>
      <c r="BC258" s="1">
        <v>69</v>
      </c>
      <c r="BD258" s="1" t="s">
        <v>74</v>
      </c>
      <c r="BE258" s="1" t="s">
        <v>4724</v>
      </c>
      <c r="BF258" s="1" t="str">
        <f>HYPERLINK("http://dx.doi.org/10.1007/BF00391486","http://dx.doi.org/10.1007/BF00391486")</f>
        <v>http://dx.doi.org/10.1007/BF00391486</v>
      </c>
      <c r="BG258" s="1" t="s">
        <v>74</v>
      </c>
      <c r="BH258" s="1" t="s">
        <v>74</v>
      </c>
      <c r="BI258" s="1">
        <v>11</v>
      </c>
      <c r="BJ258" s="1" t="s">
        <v>680</v>
      </c>
      <c r="BK258" s="1" t="s">
        <v>96</v>
      </c>
      <c r="BL258" s="1" t="s">
        <v>680</v>
      </c>
      <c r="BM258" s="1" t="s">
        <v>4725</v>
      </c>
      <c r="BN258" s="1" t="s">
        <v>74</v>
      </c>
      <c r="BO258" s="1" t="s">
        <v>74</v>
      </c>
      <c r="BP258" s="1" t="s">
        <v>74</v>
      </c>
      <c r="BQ258" s="1" t="s">
        <v>74</v>
      </c>
      <c r="BR258" s="1" t="s">
        <v>98</v>
      </c>
      <c r="BS258" s="1" t="s">
        <v>4726</v>
      </c>
      <c r="BT258" s="1" t="str">
        <f>HYPERLINK("https%3A%2F%2Fwww.webofscience.com%2Fwos%2Fwoscc%2Ffull-record%2FWOS:A1976CK09900007","View Full Record in Web of Science")</f>
        <v>View Full Record in Web of Science</v>
      </c>
    </row>
    <row r="259" spans="1:72">
      <c r="A259" s="1" t="s">
        <v>72</v>
      </c>
      <c r="B259" s="1" t="s">
        <v>4727</v>
      </c>
      <c r="C259" s="1" t="s">
        <v>74</v>
      </c>
      <c r="D259" s="1" t="s">
        <v>74</v>
      </c>
      <c r="E259" s="1" t="s">
        <v>74</v>
      </c>
      <c r="F259" s="1" t="s">
        <v>4728</v>
      </c>
      <c r="G259" s="1" t="s">
        <v>74</v>
      </c>
      <c r="H259" s="1" t="s">
        <v>74</v>
      </c>
      <c r="I259" s="1" t="s">
        <v>4729</v>
      </c>
      <c r="J259" s="1" t="s">
        <v>232</v>
      </c>
      <c r="K259" s="1" t="s">
        <v>74</v>
      </c>
      <c r="L259" s="1" t="s">
        <v>74</v>
      </c>
      <c r="M259" s="1" t="s">
        <v>78</v>
      </c>
      <c r="N259" s="1" t="s">
        <v>79</v>
      </c>
      <c r="O259" s="1" t="s">
        <v>74</v>
      </c>
      <c r="P259" s="1" t="s">
        <v>74</v>
      </c>
      <c r="Q259" s="1" t="s">
        <v>74</v>
      </c>
      <c r="R259" s="1" t="s">
        <v>74</v>
      </c>
      <c r="S259" s="1" t="s">
        <v>74</v>
      </c>
      <c r="T259" s="1" t="s">
        <v>4730</v>
      </c>
      <c r="U259" s="1" t="s">
        <v>4731</v>
      </c>
      <c r="V259" s="1" t="s">
        <v>4732</v>
      </c>
      <c r="W259" s="1" t="s">
        <v>4733</v>
      </c>
      <c r="X259" s="1" t="s">
        <v>4734</v>
      </c>
      <c r="Y259" s="1" t="s">
        <v>4735</v>
      </c>
      <c r="Z259" s="1" t="s">
        <v>4736</v>
      </c>
      <c r="AA259" s="1" t="s">
        <v>74</v>
      </c>
      <c r="AB259" s="1" t="s">
        <v>4737</v>
      </c>
      <c r="AC259" s="1" t="s">
        <v>4738</v>
      </c>
      <c r="AD259" s="1" t="s">
        <v>4739</v>
      </c>
      <c r="AE259" s="1" t="s">
        <v>4740</v>
      </c>
      <c r="AF259" s="1" t="s">
        <v>74</v>
      </c>
      <c r="AG259" s="1">
        <v>10</v>
      </c>
      <c r="AH259" s="1">
        <v>11</v>
      </c>
      <c r="AI259" s="1">
        <v>18</v>
      </c>
      <c r="AJ259" s="1">
        <v>1</v>
      </c>
      <c r="AK259" s="1">
        <v>10</v>
      </c>
      <c r="AL259" s="1" t="s">
        <v>136</v>
      </c>
      <c r="AM259" s="1" t="s">
        <v>137</v>
      </c>
      <c r="AN259" s="1" t="s">
        <v>138</v>
      </c>
      <c r="AO259" s="1" t="s">
        <v>240</v>
      </c>
      <c r="AP259" s="1" t="s">
        <v>241</v>
      </c>
      <c r="AQ259" s="1" t="s">
        <v>74</v>
      </c>
      <c r="AR259" s="1" t="s">
        <v>242</v>
      </c>
      <c r="AS259" s="1" t="s">
        <v>243</v>
      </c>
      <c r="AT259" s="1" t="s">
        <v>119</v>
      </c>
      <c r="AU259" s="1">
        <v>2009</v>
      </c>
      <c r="AV259" s="1">
        <v>58</v>
      </c>
      <c r="AW259" s="1">
        <v>8</v>
      </c>
      <c r="AX259" s="1" t="s">
        <v>74</v>
      </c>
      <c r="AY259" s="1" t="s">
        <v>74</v>
      </c>
      <c r="AZ259" s="1" t="s">
        <v>74</v>
      </c>
      <c r="BA259" s="1" t="s">
        <v>74</v>
      </c>
      <c r="BB259" s="1">
        <v>1137</v>
      </c>
      <c r="BC259" s="1">
        <v>1143</v>
      </c>
      <c r="BD259" s="1" t="s">
        <v>74</v>
      </c>
      <c r="BE259" s="1" t="s">
        <v>4741</v>
      </c>
      <c r="BF259" s="1" t="str">
        <f>HYPERLINK("http://dx.doi.org/10.1016/j.marpolbul.2009.04.006","http://dx.doi.org/10.1016/j.marpolbul.2009.04.006")</f>
        <v>http://dx.doi.org/10.1016/j.marpolbul.2009.04.006</v>
      </c>
      <c r="BG259" s="1" t="s">
        <v>74</v>
      </c>
      <c r="BH259" s="1" t="s">
        <v>74</v>
      </c>
      <c r="BI259" s="1">
        <v>7</v>
      </c>
      <c r="BJ259" s="1" t="s">
        <v>247</v>
      </c>
      <c r="BK259" s="1" t="s">
        <v>96</v>
      </c>
      <c r="BL259" s="1" t="s">
        <v>248</v>
      </c>
      <c r="BM259" s="1" t="s">
        <v>4742</v>
      </c>
      <c r="BN259" s="1">
        <v>19406438</v>
      </c>
      <c r="BO259" s="1" t="s">
        <v>74</v>
      </c>
      <c r="BP259" s="1" t="s">
        <v>74</v>
      </c>
      <c r="BQ259" s="1" t="s">
        <v>74</v>
      </c>
      <c r="BR259" s="1" t="s">
        <v>98</v>
      </c>
      <c r="BS259" s="1" t="s">
        <v>4743</v>
      </c>
      <c r="BT259" s="1" t="str">
        <f>HYPERLINK("https%3A%2F%2Fwww.webofscience.com%2Fwos%2Fwoscc%2Ffull-record%2FWOS:000269142000016","View Full Record in Web of Science")</f>
        <v>View Full Record in Web of Science</v>
      </c>
    </row>
    <row r="260" spans="1:72">
      <c r="A260" s="1" t="s">
        <v>72</v>
      </c>
      <c r="B260" s="1" t="s">
        <v>4744</v>
      </c>
      <c r="C260" s="1" t="s">
        <v>74</v>
      </c>
      <c r="D260" s="1" t="s">
        <v>74</v>
      </c>
      <c r="E260" s="1" t="s">
        <v>74</v>
      </c>
      <c r="F260" s="1" t="s">
        <v>4745</v>
      </c>
      <c r="G260" s="1" t="s">
        <v>74</v>
      </c>
      <c r="H260" s="1" t="s">
        <v>74</v>
      </c>
      <c r="I260" s="1" t="s">
        <v>4746</v>
      </c>
      <c r="J260" s="1" t="s">
        <v>4747</v>
      </c>
      <c r="K260" s="1" t="s">
        <v>74</v>
      </c>
      <c r="L260" s="1" t="s">
        <v>74</v>
      </c>
      <c r="M260" s="1" t="s">
        <v>78</v>
      </c>
      <c r="N260" s="1" t="s">
        <v>79</v>
      </c>
      <c r="O260" s="1" t="s">
        <v>74</v>
      </c>
      <c r="P260" s="1" t="s">
        <v>74</v>
      </c>
      <c r="Q260" s="1" t="s">
        <v>74</v>
      </c>
      <c r="R260" s="1" t="s">
        <v>74</v>
      </c>
      <c r="S260" s="1" t="s">
        <v>74</v>
      </c>
      <c r="T260" s="1" t="s">
        <v>4748</v>
      </c>
      <c r="U260" s="1" t="s">
        <v>4749</v>
      </c>
      <c r="V260" s="1" t="s">
        <v>4750</v>
      </c>
      <c r="W260" s="1" t="s">
        <v>4751</v>
      </c>
      <c r="X260" s="1" t="s">
        <v>2290</v>
      </c>
      <c r="Y260" s="1" t="s">
        <v>4752</v>
      </c>
      <c r="Z260" s="1" t="s">
        <v>4753</v>
      </c>
      <c r="AA260" s="1" t="s">
        <v>4754</v>
      </c>
      <c r="AB260" s="1" t="s">
        <v>4755</v>
      </c>
      <c r="AC260" s="1" t="s">
        <v>4756</v>
      </c>
      <c r="AD260" s="1" t="s">
        <v>3488</v>
      </c>
      <c r="AE260" s="1" t="s">
        <v>4757</v>
      </c>
      <c r="AF260" s="1" t="s">
        <v>74</v>
      </c>
      <c r="AG260" s="1">
        <v>39</v>
      </c>
      <c r="AH260" s="1">
        <v>42</v>
      </c>
      <c r="AI260" s="1">
        <v>47</v>
      </c>
      <c r="AJ260" s="1">
        <v>0</v>
      </c>
      <c r="AK260" s="1">
        <v>90</v>
      </c>
      <c r="AL260" s="1" t="s">
        <v>919</v>
      </c>
      <c r="AM260" s="1" t="s">
        <v>651</v>
      </c>
      <c r="AN260" s="1" t="s">
        <v>920</v>
      </c>
      <c r="AO260" s="1" t="s">
        <v>4758</v>
      </c>
      <c r="AP260" s="1" t="s">
        <v>74</v>
      </c>
      <c r="AQ260" s="1" t="s">
        <v>74</v>
      </c>
      <c r="AR260" s="1" t="s">
        <v>4759</v>
      </c>
      <c r="AS260" s="1" t="s">
        <v>4760</v>
      </c>
      <c r="AT260" s="1" t="s">
        <v>4761</v>
      </c>
      <c r="AU260" s="1">
        <v>2013</v>
      </c>
      <c r="AV260" s="1">
        <v>248</v>
      </c>
      <c r="AW260" s="1" t="s">
        <v>74</v>
      </c>
      <c r="AX260" s="1" t="s">
        <v>74</v>
      </c>
      <c r="AY260" s="1" t="s">
        <v>74</v>
      </c>
      <c r="AZ260" s="1" t="s">
        <v>74</v>
      </c>
      <c r="BA260" s="1" t="s">
        <v>74</v>
      </c>
      <c r="BB260" s="1">
        <v>122</v>
      </c>
      <c r="BC260" s="1">
        <v>130</v>
      </c>
      <c r="BD260" s="1" t="s">
        <v>74</v>
      </c>
      <c r="BE260" s="1" t="s">
        <v>4762</v>
      </c>
      <c r="BF260" s="1" t="str">
        <f>HYPERLINK("http://dx.doi.org/10.1016/j.jhazmat.2012.12.045","http://dx.doi.org/10.1016/j.jhazmat.2012.12.045")</f>
        <v>http://dx.doi.org/10.1016/j.jhazmat.2012.12.045</v>
      </c>
      <c r="BG260" s="1" t="s">
        <v>74</v>
      </c>
      <c r="BH260" s="1" t="s">
        <v>74</v>
      </c>
      <c r="BI260" s="1">
        <v>9</v>
      </c>
      <c r="BJ260" s="1" t="s">
        <v>415</v>
      </c>
      <c r="BK260" s="1" t="s">
        <v>96</v>
      </c>
      <c r="BL260" s="1" t="s">
        <v>416</v>
      </c>
      <c r="BM260" s="1" t="s">
        <v>4763</v>
      </c>
      <c r="BN260" s="1">
        <v>23353933</v>
      </c>
      <c r="BO260" s="1" t="s">
        <v>74</v>
      </c>
      <c r="BP260" s="1" t="s">
        <v>74</v>
      </c>
      <c r="BQ260" s="1" t="s">
        <v>74</v>
      </c>
      <c r="BR260" s="1" t="s">
        <v>98</v>
      </c>
      <c r="BS260" s="1" t="s">
        <v>4764</v>
      </c>
      <c r="BT260" s="1" t="str">
        <f>HYPERLINK("https%3A%2F%2Fwww.webofscience.com%2Fwos%2Fwoscc%2Ffull-record%2FWOS:000317443800013","View Full Record in Web of Science")</f>
        <v>View Full Record in Web of Science</v>
      </c>
    </row>
    <row r="261" spans="1:72">
      <c r="A261" s="1" t="s">
        <v>72</v>
      </c>
      <c r="B261" s="1" t="s">
        <v>3138</v>
      </c>
      <c r="C261" s="1" t="s">
        <v>74</v>
      </c>
      <c r="D261" s="1" t="s">
        <v>74</v>
      </c>
      <c r="E261" s="1" t="s">
        <v>74</v>
      </c>
      <c r="F261" s="1" t="s">
        <v>3138</v>
      </c>
      <c r="G261" s="1" t="s">
        <v>74</v>
      </c>
      <c r="H261" s="1" t="s">
        <v>74</v>
      </c>
      <c r="I261" s="1" t="s">
        <v>4765</v>
      </c>
      <c r="J261" s="1" t="s">
        <v>3098</v>
      </c>
      <c r="K261" s="1" t="s">
        <v>74</v>
      </c>
      <c r="L261" s="1" t="s">
        <v>74</v>
      </c>
      <c r="M261" s="1" t="s">
        <v>78</v>
      </c>
      <c r="N261" s="1" t="s">
        <v>79</v>
      </c>
      <c r="O261" s="1" t="s">
        <v>74</v>
      </c>
      <c r="P261" s="1" t="s">
        <v>74</v>
      </c>
      <c r="Q261" s="1" t="s">
        <v>74</v>
      </c>
      <c r="R261" s="1" t="s">
        <v>74</v>
      </c>
      <c r="S261" s="1" t="s">
        <v>74</v>
      </c>
      <c r="T261" s="1" t="s">
        <v>74</v>
      </c>
      <c r="U261" s="1" t="s">
        <v>4766</v>
      </c>
      <c r="V261" s="1" t="s">
        <v>4767</v>
      </c>
      <c r="W261" s="1" t="s">
        <v>3143</v>
      </c>
      <c r="X261" s="1" t="s">
        <v>3144</v>
      </c>
      <c r="Y261" s="1" t="s">
        <v>3145</v>
      </c>
      <c r="Z261" s="1" t="s">
        <v>74</v>
      </c>
      <c r="AA261" s="1" t="s">
        <v>3146</v>
      </c>
      <c r="AB261" s="1" t="s">
        <v>3147</v>
      </c>
      <c r="AC261" s="1" t="s">
        <v>74</v>
      </c>
      <c r="AD261" s="1" t="s">
        <v>74</v>
      </c>
      <c r="AE261" s="1" t="s">
        <v>74</v>
      </c>
      <c r="AF261" s="1" t="s">
        <v>74</v>
      </c>
      <c r="AG261" s="1">
        <v>35</v>
      </c>
      <c r="AH261" s="1">
        <v>78</v>
      </c>
      <c r="AI261" s="1">
        <v>86</v>
      </c>
      <c r="AJ261" s="1">
        <v>0</v>
      </c>
      <c r="AK261" s="1">
        <v>35</v>
      </c>
      <c r="AL261" s="1" t="s">
        <v>4768</v>
      </c>
      <c r="AM261" s="1" t="s">
        <v>4769</v>
      </c>
      <c r="AN261" s="1" t="s">
        <v>4770</v>
      </c>
      <c r="AO261" s="1" t="s">
        <v>3111</v>
      </c>
      <c r="AP261" s="1" t="s">
        <v>74</v>
      </c>
      <c r="AQ261" s="1" t="s">
        <v>74</v>
      </c>
      <c r="AR261" s="1" t="s">
        <v>3113</v>
      </c>
      <c r="AS261" s="1" t="s">
        <v>3114</v>
      </c>
      <c r="AT261" s="1" t="s">
        <v>74</v>
      </c>
      <c r="AU261" s="1">
        <v>1998</v>
      </c>
      <c r="AV261" s="1">
        <v>49</v>
      </c>
      <c r="AW261" s="1">
        <v>6</v>
      </c>
      <c r="AX261" s="1" t="s">
        <v>74</v>
      </c>
      <c r="AY261" s="1" t="s">
        <v>74</v>
      </c>
      <c r="AZ261" s="1" t="s">
        <v>74</v>
      </c>
      <c r="BA261" s="1" t="s">
        <v>74</v>
      </c>
      <c r="BB261" s="1">
        <v>533</v>
      </c>
      <c r="BC261" s="1">
        <v>540</v>
      </c>
      <c r="BD261" s="1" t="s">
        <v>74</v>
      </c>
      <c r="BE261" s="1" t="s">
        <v>4771</v>
      </c>
      <c r="BF261" s="1" t="str">
        <f>HYPERLINK("http://dx.doi.org/10.1071/MF97188","http://dx.doi.org/10.1071/MF97188")</f>
        <v>http://dx.doi.org/10.1071/MF97188</v>
      </c>
      <c r="BG261" s="1" t="s">
        <v>74</v>
      </c>
      <c r="BH261" s="1" t="s">
        <v>74</v>
      </c>
      <c r="BI261" s="1">
        <v>8</v>
      </c>
      <c r="BJ261" s="1" t="s">
        <v>3116</v>
      </c>
      <c r="BK261" s="1" t="s">
        <v>96</v>
      </c>
      <c r="BL261" s="1" t="s">
        <v>3117</v>
      </c>
      <c r="BM261" s="1" t="s">
        <v>4772</v>
      </c>
      <c r="BN261" s="1" t="s">
        <v>74</v>
      </c>
      <c r="BO261" s="1" t="s">
        <v>74</v>
      </c>
      <c r="BP261" s="1" t="s">
        <v>74</v>
      </c>
      <c r="BQ261" s="1" t="s">
        <v>74</v>
      </c>
      <c r="BR261" s="1" t="s">
        <v>98</v>
      </c>
      <c r="BS261" s="1" t="s">
        <v>4773</v>
      </c>
      <c r="BT261" s="1" t="str">
        <f>HYPERLINK("https%3A%2F%2Fwww.webofscience.com%2Fwos%2Fwoscc%2Ffull-record%2FWOS:000078710100010","View Full Record in Web of Science")</f>
        <v>View Full Record in Web of Science</v>
      </c>
    </row>
    <row r="262" spans="1:72">
      <c r="A262" s="1" t="s">
        <v>72</v>
      </c>
      <c r="B262" s="1" t="s">
        <v>4774</v>
      </c>
      <c r="C262" s="1" t="s">
        <v>74</v>
      </c>
      <c r="D262" s="1" t="s">
        <v>74</v>
      </c>
      <c r="E262" s="1" t="s">
        <v>74</v>
      </c>
      <c r="F262" s="1" t="s">
        <v>4774</v>
      </c>
      <c r="G262" s="1" t="s">
        <v>74</v>
      </c>
      <c r="H262" s="1" t="s">
        <v>74</v>
      </c>
      <c r="I262" s="1" t="s">
        <v>4775</v>
      </c>
      <c r="J262" s="1" t="s">
        <v>1756</v>
      </c>
      <c r="K262" s="1" t="s">
        <v>74</v>
      </c>
      <c r="L262" s="1" t="s">
        <v>74</v>
      </c>
      <c r="M262" s="1" t="s">
        <v>78</v>
      </c>
      <c r="N262" s="1" t="s">
        <v>151</v>
      </c>
      <c r="O262" s="1" t="s">
        <v>4776</v>
      </c>
      <c r="P262" s="1">
        <v>1997</v>
      </c>
      <c r="Q262" s="1" t="s">
        <v>4777</v>
      </c>
      <c r="R262" s="1" t="s">
        <v>74</v>
      </c>
      <c r="S262" s="1" t="s">
        <v>74</v>
      </c>
      <c r="T262" s="1" t="s">
        <v>4778</v>
      </c>
      <c r="U262" s="1" t="s">
        <v>4779</v>
      </c>
      <c r="V262" s="1" t="s">
        <v>4780</v>
      </c>
      <c r="W262" s="1" t="s">
        <v>4781</v>
      </c>
      <c r="X262" s="1" t="s">
        <v>4782</v>
      </c>
      <c r="Y262" s="1" t="s">
        <v>4783</v>
      </c>
      <c r="Z262" s="1" t="s">
        <v>4784</v>
      </c>
      <c r="AA262" s="1" t="s">
        <v>4785</v>
      </c>
      <c r="AB262" s="1" t="s">
        <v>4786</v>
      </c>
      <c r="AC262" s="1" t="s">
        <v>74</v>
      </c>
      <c r="AD262" s="1" t="s">
        <v>74</v>
      </c>
      <c r="AE262" s="1" t="s">
        <v>74</v>
      </c>
      <c r="AF262" s="1" t="s">
        <v>74</v>
      </c>
      <c r="AG262" s="1">
        <v>28</v>
      </c>
      <c r="AH262" s="1">
        <v>19</v>
      </c>
      <c r="AI262" s="1">
        <v>20</v>
      </c>
      <c r="AJ262" s="1">
        <v>2</v>
      </c>
      <c r="AK262" s="1">
        <v>7</v>
      </c>
      <c r="AL262" s="1" t="s">
        <v>86</v>
      </c>
      <c r="AM262" s="1" t="s">
        <v>87</v>
      </c>
      <c r="AN262" s="1" t="s">
        <v>88</v>
      </c>
      <c r="AO262" s="1" t="s">
        <v>1764</v>
      </c>
      <c r="AP262" s="1" t="s">
        <v>1765</v>
      </c>
      <c r="AQ262" s="1" t="s">
        <v>74</v>
      </c>
      <c r="AR262" s="1" t="s">
        <v>1766</v>
      </c>
      <c r="AS262" s="1" t="s">
        <v>1767</v>
      </c>
      <c r="AT262" s="1" t="s">
        <v>119</v>
      </c>
      <c r="AU262" s="1">
        <v>1999</v>
      </c>
      <c r="AV262" s="1">
        <v>18</v>
      </c>
      <c r="AW262" s="1">
        <v>8</v>
      </c>
      <c r="AX262" s="1" t="s">
        <v>74</v>
      </c>
      <c r="AY262" s="1" t="s">
        <v>74</v>
      </c>
      <c r="AZ262" s="1" t="s">
        <v>74</v>
      </c>
      <c r="BA262" s="1" t="s">
        <v>74</v>
      </c>
      <c r="BB262" s="1">
        <v>1801</v>
      </c>
      <c r="BC262" s="1">
        <v>1805</v>
      </c>
      <c r="BD262" s="1" t="s">
        <v>74</v>
      </c>
      <c r="BE262" s="1" t="s">
        <v>4787</v>
      </c>
      <c r="BF262" s="1" t="str">
        <f>HYPERLINK("http://dx.doi.org/10.1002/etc.5620180828","http://dx.doi.org/10.1002/etc.5620180828")</f>
        <v>http://dx.doi.org/10.1002/etc.5620180828</v>
      </c>
      <c r="BG262" s="1" t="s">
        <v>74</v>
      </c>
      <c r="BH262" s="1" t="s">
        <v>74</v>
      </c>
      <c r="BI262" s="1">
        <v>5</v>
      </c>
      <c r="BJ262" s="1" t="s">
        <v>121</v>
      </c>
      <c r="BK262" s="1" t="s">
        <v>172</v>
      </c>
      <c r="BL262" s="1" t="s">
        <v>122</v>
      </c>
      <c r="BM262" s="1" t="s">
        <v>4788</v>
      </c>
      <c r="BN262" s="1" t="s">
        <v>74</v>
      </c>
      <c r="BO262" s="1" t="s">
        <v>74</v>
      </c>
      <c r="BP262" s="1" t="s">
        <v>74</v>
      </c>
      <c r="BQ262" s="1" t="s">
        <v>74</v>
      </c>
      <c r="BR262" s="1" t="s">
        <v>98</v>
      </c>
      <c r="BS262" s="1" t="s">
        <v>4789</v>
      </c>
      <c r="BT262" s="1" t="str">
        <f>HYPERLINK("https%3A%2F%2Fwww.webofscience.com%2Fwos%2Fwoscc%2Ffull-record%2FWOS:000081709900028","View Full Record in Web of Science")</f>
        <v>View Full Record in Web of Science</v>
      </c>
    </row>
    <row r="263" spans="1:72">
      <c r="A263" s="1" t="s">
        <v>72</v>
      </c>
      <c r="B263" s="1" t="s">
        <v>4790</v>
      </c>
      <c r="C263" s="1" t="s">
        <v>74</v>
      </c>
      <c r="D263" s="1" t="s">
        <v>74</v>
      </c>
      <c r="E263" s="1" t="s">
        <v>74</v>
      </c>
      <c r="F263" s="1" t="s">
        <v>4791</v>
      </c>
      <c r="G263" s="1" t="s">
        <v>74</v>
      </c>
      <c r="H263" s="1" t="s">
        <v>74</v>
      </c>
      <c r="I263" s="1" t="s">
        <v>4792</v>
      </c>
      <c r="J263" s="1" t="s">
        <v>232</v>
      </c>
      <c r="K263" s="1" t="s">
        <v>74</v>
      </c>
      <c r="L263" s="1" t="s">
        <v>74</v>
      </c>
      <c r="M263" s="1" t="s">
        <v>78</v>
      </c>
      <c r="N263" s="1" t="s">
        <v>79</v>
      </c>
      <c r="O263" s="1" t="s">
        <v>74</v>
      </c>
      <c r="P263" s="1" t="s">
        <v>74</v>
      </c>
      <c r="Q263" s="1" t="s">
        <v>74</v>
      </c>
      <c r="R263" s="1" t="s">
        <v>74</v>
      </c>
      <c r="S263" s="1" t="s">
        <v>74</v>
      </c>
      <c r="T263" s="1" t="s">
        <v>4793</v>
      </c>
      <c r="U263" s="1" t="s">
        <v>4794</v>
      </c>
      <c r="V263" s="1" t="s">
        <v>4795</v>
      </c>
      <c r="W263" s="1" t="s">
        <v>4796</v>
      </c>
      <c r="X263" s="1" t="s">
        <v>4797</v>
      </c>
      <c r="Y263" s="1" t="s">
        <v>4798</v>
      </c>
      <c r="Z263" s="1" t="s">
        <v>74</v>
      </c>
      <c r="AA263" s="1" t="s">
        <v>4799</v>
      </c>
      <c r="AB263" s="1" t="s">
        <v>4800</v>
      </c>
      <c r="AC263" s="1" t="s">
        <v>4801</v>
      </c>
      <c r="AD263" s="1" t="s">
        <v>4802</v>
      </c>
      <c r="AE263" s="1" t="s">
        <v>4803</v>
      </c>
      <c r="AF263" s="1" t="s">
        <v>74</v>
      </c>
      <c r="AG263" s="1">
        <v>21</v>
      </c>
      <c r="AH263" s="1">
        <v>34</v>
      </c>
      <c r="AI263" s="1">
        <v>34</v>
      </c>
      <c r="AJ263" s="1">
        <v>1</v>
      </c>
      <c r="AK263" s="1">
        <v>47</v>
      </c>
      <c r="AL263" s="1" t="s">
        <v>136</v>
      </c>
      <c r="AM263" s="1" t="s">
        <v>137</v>
      </c>
      <c r="AN263" s="1" t="s">
        <v>138</v>
      </c>
      <c r="AO263" s="1" t="s">
        <v>240</v>
      </c>
      <c r="AP263" s="1" t="s">
        <v>241</v>
      </c>
      <c r="AQ263" s="1" t="s">
        <v>74</v>
      </c>
      <c r="AR263" s="1" t="s">
        <v>242</v>
      </c>
      <c r="AS263" s="1" t="s">
        <v>243</v>
      </c>
      <c r="AT263" s="1" t="s">
        <v>4804</v>
      </c>
      <c r="AU263" s="1">
        <v>2017</v>
      </c>
      <c r="AV263" s="1">
        <v>114</v>
      </c>
      <c r="AW263" s="1">
        <v>2</v>
      </c>
      <c r="AX263" s="1" t="s">
        <v>74</v>
      </c>
      <c r="AY263" s="1" t="s">
        <v>74</v>
      </c>
      <c r="AZ263" s="1" t="s">
        <v>74</v>
      </c>
      <c r="BA263" s="1" t="s">
        <v>74</v>
      </c>
      <c r="BB263" s="1">
        <v>1096</v>
      </c>
      <c r="BC263" s="1">
        <v>1102</v>
      </c>
      <c r="BD263" s="1" t="s">
        <v>74</v>
      </c>
      <c r="BE263" s="1" t="s">
        <v>4805</v>
      </c>
      <c r="BF263" s="1" t="str">
        <f>HYPERLINK("http://dx.doi.org/10.1016/j.marpolbul.2016.10.018","http://dx.doi.org/10.1016/j.marpolbul.2016.10.018")</f>
        <v>http://dx.doi.org/10.1016/j.marpolbul.2016.10.018</v>
      </c>
      <c r="BG263" s="1" t="s">
        <v>74</v>
      </c>
      <c r="BH263" s="1" t="s">
        <v>74</v>
      </c>
      <c r="BI263" s="1">
        <v>7</v>
      </c>
      <c r="BJ263" s="1" t="s">
        <v>247</v>
      </c>
      <c r="BK263" s="1" t="s">
        <v>96</v>
      </c>
      <c r="BL263" s="1" t="s">
        <v>248</v>
      </c>
      <c r="BM263" s="1" t="s">
        <v>4806</v>
      </c>
      <c r="BN263" s="1">
        <v>27745976</v>
      </c>
      <c r="BO263" s="1" t="s">
        <v>1752</v>
      </c>
      <c r="BP263" s="1" t="s">
        <v>74</v>
      </c>
      <c r="BQ263" s="1" t="s">
        <v>74</v>
      </c>
      <c r="BR263" s="1" t="s">
        <v>98</v>
      </c>
      <c r="BS263" s="1" t="s">
        <v>4807</v>
      </c>
      <c r="BT263" s="1" t="str">
        <f>HYPERLINK("https%3A%2F%2Fwww.webofscience.com%2Fwos%2Fwoscc%2Ffull-record%2FWOS:000393931700054","View Full Record in Web of Science")</f>
        <v>View Full Record in Web of Science</v>
      </c>
    </row>
    <row r="264" spans="1:72">
      <c r="A264" s="1" t="s">
        <v>72</v>
      </c>
      <c r="B264" s="1" t="s">
        <v>4808</v>
      </c>
      <c r="C264" s="1" t="s">
        <v>74</v>
      </c>
      <c r="D264" s="1" t="s">
        <v>74</v>
      </c>
      <c r="E264" s="1" t="s">
        <v>74</v>
      </c>
      <c r="F264" s="1" t="s">
        <v>4808</v>
      </c>
      <c r="G264" s="1" t="s">
        <v>74</v>
      </c>
      <c r="H264" s="1" t="s">
        <v>74</v>
      </c>
      <c r="I264" s="1" t="s">
        <v>4809</v>
      </c>
      <c r="J264" s="1" t="s">
        <v>909</v>
      </c>
      <c r="K264" s="1" t="s">
        <v>74</v>
      </c>
      <c r="L264" s="1" t="s">
        <v>74</v>
      </c>
      <c r="M264" s="1" t="s">
        <v>78</v>
      </c>
      <c r="N264" s="1" t="s">
        <v>79</v>
      </c>
      <c r="O264" s="1" t="s">
        <v>74</v>
      </c>
      <c r="P264" s="1" t="s">
        <v>74</v>
      </c>
      <c r="Q264" s="1" t="s">
        <v>74</v>
      </c>
      <c r="R264" s="1" t="s">
        <v>74</v>
      </c>
      <c r="S264" s="1" t="s">
        <v>74</v>
      </c>
      <c r="T264" s="1" t="s">
        <v>4810</v>
      </c>
      <c r="U264" s="1" t="s">
        <v>4811</v>
      </c>
      <c r="V264" s="1" t="s">
        <v>4812</v>
      </c>
      <c r="W264" s="1" t="s">
        <v>4813</v>
      </c>
      <c r="X264" s="1" t="s">
        <v>2843</v>
      </c>
      <c r="Y264" s="1" t="s">
        <v>4814</v>
      </c>
      <c r="Z264" s="1" t="s">
        <v>74</v>
      </c>
      <c r="AA264" s="1" t="s">
        <v>74</v>
      </c>
      <c r="AB264" s="1" t="s">
        <v>74</v>
      </c>
      <c r="AC264" s="1" t="s">
        <v>74</v>
      </c>
      <c r="AD264" s="1" t="s">
        <v>74</v>
      </c>
      <c r="AE264" s="1" t="s">
        <v>74</v>
      </c>
      <c r="AF264" s="1" t="s">
        <v>74</v>
      </c>
      <c r="AG264" s="1">
        <v>32</v>
      </c>
      <c r="AH264" s="1">
        <v>17</v>
      </c>
      <c r="AI264" s="1">
        <v>19</v>
      </c>
      <c r="AJ264" s="1">
        <v>0</v>
      </c>
      <c r="AK264" s="1">
        <v>6</v>
      </c>
      <c r="AL264" s="1" t="s">
        <v>919</v>
      </c>
      <c r="AM264" s="1" t="s">
        <v>651</v>
      </c>
      <c r="AN264" s="1" t="s">
        <v>920</v>
      </c>
      <c r="AO264" s="1" t="s">
        <v>921</v>
      </c>
      <c r="AP264" s="1" t="s">
        <v>74</v>
      </c>
      <c r="AQ264" s="1" t="s">
        <v>74</v>
      </c>
      <c r="AR264" s="1" t="s">
        <v>923</v>
      </c>
      <c r="AS264" s="1" t="s">
        <v>924</v>
      </c>
      <c r="AT264" s="1" t="s">
        <v>4815</v>
      </c>
      <c r="AU264" s="1">
        <v>1998</v>
      </c>
      <c r="AV264" s="1">
        <v>224</v>
      </c>
      <c r="AW264" s="1" t="s">
        <v>2847</v>
      </c>
      <c r="AX264" s="1" t="s">
        <v>74</v>
      </c>
      <c r="AY264" s="1" t="s">
        <v>74</v>
      </c>
      <c r="AZ264" s="1" t="s">
        <v>74</v>
      </c>
      <c r="BA264" s="1" t="s">
        <v>74</v>
      </c>
      <c r="BB264" s="1">
        <v>181</v>
      </c>
      <c r="BC264" s="1">
        <v>188</v>
      </c>
      <c r="BD264" s="1" t="s">
        <v>74</v>
      </c>
      <c r="BE264" s="1" t="s">
        <v>4816</v>
      </c>
      <c r="BF264" s="1" t="str">
        <f>HYPERLINK("http://dx.doi.org/10.1016/S0048-9697(98)00355-6","http://dx.doi.org/10.1016/S0048-9697(98)00355-6")</f>
        <v>http://dx.doi.org/10.1016/S0048-9697(98)00355-6</v>
      </c>
      <c r="BG264" s="1" t="s">
        <v>74</v>
      </c>
      <c r="BH264" s="1" t="s">
        <v>74</v>
      </c>
      <c r="BI264" s="1">
        <v>8</v>
      </c>
      <c r="BJ264" s="1" t="s">
        <v>144</v>
      </c>
      <c r="BK264" s="1" t="s">
        <v>96</v>
      </c>
      <c r="BL264" s="1" t="s">
        <v>145</v>
      </c>
      <c r="BM264" s="1" t="s">
        <v>4817</v>
      </c>
      <c r="BN264" s="1">
        <v>9926434</v>
      </c>
      <c r="BO264" s="1" t="s">
        <v>74</v>
      </c>
      <c r="BP264" s="1" t="s">
        <v>74</v>
      </c>
      <c r="BQ264" s="1" t="s">
        <v>74</v>
      </c>
      <c r="BR264" s="1" t="s">
        <v>98</v>
      </c>
      <c r="BS264" s="1" t="s">
        <v>4818</v>
      </c>
      <c r="BT264" s="1" t="str">
        <f>HYPERLINK("https%3A%2F%2Fwww.webofscience.com%2Fwos%2Fwoscc%2Ffull-record%2FWOS:000078234000019","View Full Record in Web of Science")</f>
        <v>View Full Record in Web of Science</v>
      </c>
    </row>
    <row r="265" spans="1:72">
      <c r="A265" s="1" t="s">
        <v>72</v>
      </c>
      <c r="B265" s="1" t="s">
        <v>4819</v>
      </c>
      <c r="C265" s="1" t="s">
        <v>74</v>
      </c>
      <c r="D265" s="1" t="s">
        <v>74</v>
      </c>
      <c r="E265" s="1" t="s">
        <v>74</v>
      </c>
      <c r="F265" s="1" t="s">
        <v>4819</v>
      </c>
      <c r="G265" s="1" t="s">
        <v>74</v>
      </c>
      <c r="H265" s="1" t="s">
        <v>74</v>
      </c>
      <c r="I265" s="1" t="s">
        <v>4820</v>
      </c>
      <c r="J265" s="1" t="s">
        <v>127</v>
      </c>
      <c r="K265" s="1" t="s">
        <v>74</v>
      </c>
      <c r="L265" s="1" t="s">
        <v>74</v>
      </c>
      <c r="M265" s="1" t="s">
        <v>78</v>
      </c>
      <c r="N265" s="1" t="s">
        <v>79</v>
      </c>
      <c r="O265" s="1" t="s">
        <v>74</v>
      </c>
      <c r="P265" s="1" t="s">
        <v>74</v>
      </c>
      <c r="Q265" s="1" t="s">
        <v>74</v>
      </c>
      <c r="R265" s="1" t="s">
        <v>74</v>
      </c>
      <c r="S265" s="1" t="s">
        <v>74</v>
      </c>
      <c r="T265" s="1" t="s">
        <v>4821</v>
      </c>
      <c r="U265" s="1" t="s">
        <v>4822</v>
      </c>
      <c r="V265" s="1" t="s">
        <v>4823</v>
      </c>
      <c r="W265" s="1" t="s">
        <v>4824</v>
      </c>
      <c r="X265" s="1" t="s">
        <v>4825</v>
      </c>
      <c r="Y265" s="1" t="s">
        <v>4826</v>
      </c>
      <c r="Z265" s="1" t="s">
        <v>4827</v>
      </c>
      <c r="AA265" s="1" t="s">
        <v>74</v>
      </c>
      <c r="AB265" s="1" t="s">
        <v>74</v>
      </c>
      <c r="AC265" s="1" t="s">
        <v>74</v>
      </c>
      <c r="AD265" s="1" t="s">
        <v>74</v>
      </c>
      <c r="AE265" s="1" t="s">
        <v>74</v>
      </c>
      <c r="AF265" s="1" t="s">
        <v>74</v>
      </c>
      <c r="AG265" s="1">
        <v>47</v>
      </c>
      <c r="AH265" s="1">
        <v>11</v>
      </c>
      <c r="AI265" s="1">
        <v>13</v>
      </c>
      <c r="AJ265" s="1">
        <v>0</v>
      </c>
      <c r="AK265" s="1">
        <v>11</v>
      </c>
      <c r="AL265" s="1" t="s">
        <v>136</v>
      </c>
      <c r="AM265" s="1" t="s">
        <v>137</v>
      </c>
      <c r="AN265" s="1" t="s">
        <v>138</v>
      </c>
      <c r="AO265" s="1" t="s">
        <v>139</v>
      </c>
      <c r="AP265" s="1" t="s">
        <v>140</v>
      </c>
      <c r="AQ265" s="1" t="s">
        <v>74</v>
      </c>
      <c r="AR265" s="1" t="s">
        <v>127</v>
      </c>
      <c r="AS265" s="1" t="s">
        <v>141</v>
      </c>
      <c r="AT265" s="1" t="s">
        <v>765</v>
      </c>
      <c r="AU265" s="1">
        <v>2003</v>
      </c>
      <c r="AV265" s="1">
        <v>52</v>
      </c>
      <c r="AW265" s="1">
        <v>1</v>
      </c>
      <c r="AX265" s="1" t="s">
        <v>74</v>
      </c>
      <c r="AY265" s="1" t="s">
        <v>74</v>
      </c>
      <c r="AZ265" s="1" t="s">
        <v>74</v>
      </c>
      <c r="BA265" s="1" t="s">
        <v>74</v>
      </c>
      <c r="BB265" s="1">
        <v>161</v>
      </c>
      <c r="BC265" s="1">
        <v>173</v>
      </c>
      <c r="BD265" s="1" t="s">
        <v>74</v>
      </c>
      <c r="BE265" s="1" t="s">
        <v>4828</v>
      </c>
      <c r="BF265" s="1" t="str">
        <f>HYPERLINK("http://dx.doi.org/10.1016/S0045-6535(03)00052-3","http://dx.doi.org/10.1016/S0045-6535(03)00052-3")</f>
        <v>http://dx.doi.org/10.1016/S0045-6535(03)00052-3</v>
      </c>
      <c r="BG265" s="1" t="s">
        <v>74</v>
      </c>
      <c r="BH265" s="1" t="s">
        <v>74</v>
      </c>
      <c r="BI265" s="1">
        <v>13</v>
      </c>
      <c r="BJ265" s="1" t="s">
        <v>144</v>
      </c>
      <c r="BK265" s="1" t="s">
        <v>96</v>
      </c>
      <c r="BL265" s="1" t="s">
        <v>145</v>
      </c>
      <c r="BM265" s="1" t="s">
        <v>4829</v>
      </c>
      <c r="BN265" s="1">
        <v>12729699</v>
      </c>
      <c r="BO265" s="1" t="s">
        <v>74</v>
      </c>
      <c r="BP265" s="1" t="s">
        <v>74</v>
      </c>
      <c r="BQ265" s="1" t="s">
        <v>74</v>
      </c>
      <c r="BR265" s="1" t="s">
        <v>98</v>
      </c>
      <c r="BS265" s="1" t="s">
        <v>4830</v>
      </c>
      <c r="BT265" s="1" t="str">
        <f>HYPERLINK("https%3A%2F%2Fwww.webofscience.com%2Fwos%2Fwoscc%2Ffull-record%2FWOS:000182897100017","View Full Record in Web of Science")</f>
        <v>View Full Record in Web of Science</v>
      </c>
    </row>
    <row r="266" spans="1:72">
      <c r="A266" s="1" t="s">
        <v>72</v>
      </c>
      <c r="B266" s="1" t="s">
        <v>4831</v>
      </c>
      <c r="C266" s="1" t="s">
        <v>74</v>
      </c>
      <c r="D266" s="1" t="s">
        <v>74</v>
      </c>
      <c r="E266" s="1" t="s">
        <v>74</v>
      </c>
      <c r="F266" s="1" t="s">
        <v>4832</v>
      </c>
      <c r="G266" s="1" t="s">
        <v>74</v>
      </c>
      <c r="H266" s="1" t="s">
        <v>74</v>
      </c>
      <c r="I266" s="1" t="s">
        <v>4833</v>
      </c>
      <c r="J266" s="1" t="s">
        <v>894</v>
      </c>
      <c r="K266" s="1" t="s">
        <v>74</v>
      </c>
      <c r="L266" s="1" t="s">
        <v>74</v>
      </c>
      <c r="M266" s="1" t="s">
        <v>78</v>
      </c>
      <c r="N266" s="1" t="s">
        <v>79</v>
      </c>
      <c r="O266" s="1" t="s">
        <v>74</v>
      </c>
      <c r="P266" s="1" t="s">
        <v>74</v>
      </c>
      <c r="Q266" s="1" t="s">
        <v>74</v>
      </c>
      <c r="R266" s="1" t="s">
        <v>74</v>
      </c>
      <c r="S266" s="1" t="s">
        <v>74</v>
      </c>
      <c r="T266" s="1" t="s">
        <v>4834</v>
      </c>
      <c r="U266" s="1" t="s">
        <v>4835</v>
      </c>
      <c r="V266" s="1" t="s">
        <v>4836</v>
      </c>
      <c r="W266" s="1" t="s">
        <v>4837</v>
      </c>
      <c r="X266" s="1" t="s">
        <v>4838</v>
      </c>
      <c r="Y266" s="1" t="s">
        <v>4839</v>
      </c>
      <c r="Z266" s="1" t="s">
        <v>4840</v>
      </c>
      <c r="AA266" s="1" t="s">
        <v>4841</v>
      </c>
      <c r="AB266" s="1" t="s">
        <v>4842</v>
      </c>
      <c r="AC266" s="1" t="s">
        <v>74</v>
      </c>
      <c r="AD266" s="1" t="s">
        <v>74</v>
      </c>
      <c r="AE266" s="1" t="s">
        <v>74</v>
      </c>
      <c r="AF266" s="1" t="s">
        <v>74</v>
      </c>
      <c r="AG266" s="1">
        <v>29</v>
      </c>
      <c r="AH266" s="1">
        <v>36</v>
      </c>
      <c r="AI266" s="1">
        <v>40</v>
      </c>
      <c r="AJ266" s="1">
        <v>0</v>
      </c>
      <c r="AK266" s="1">
        <v>15</v>
      </c>
      <c r="AL266" s="1" t="s">
        <v>898</v>
      </c>
      <c r="AM266" s="1" t="s">
        <v>899</v>
      </c>
      <c r="AN266" s="1" t="s">
        <v>900</v>
      </c>
      <c r="AO266" s="1" t="s">
        <v>901</v>
      </c>
      <c r="AP266" s="1" t="s">
        <v>74</v>
      </c>
      <c r="AQ266" s="1" t="s">
        <v>74</v>
      </c>
      <c r="AR266" s="1" t="s">
        <v>902</v>
      </c>
      <c r="AS266" s="1" t="s">
        <v>903</v>
      </c>
      <c r="AT266" s="1" t="s">
        <v>765</v>
      </c>
      <c r="AU266" s="1">
        <v>2007</v>
      </c>
      <c r="AV266" s="1">
        <v>28</v>
      </c>
      <c r="AW266" s="1">
        <v>3</v>
      </c>
      <c r="AX266" s="1" t="s">
        <v>74</v>
      </c>
      <c r="AY266" s="1" t="s">
        <v>74</v>
      </c>
      <c r="AZ266" s="1" t="s">
        <v>74</v>
      </c>
      <c r="BA266" s="1" t="s">
        <v>74</v>
      </c>
      <c r="BB266" s="1">
        <v>637</v>
      </c>
      <c r="BC266" s="1">
        <v>643</v>
      </c>
      <c r="BD266" s="1" t="s">
        <v>74</v>
      </c>
      <c r="BE266" s="1" t="s">
        <v>74</v>
      </c>
      <c r="BF266" s="1" t="s">
        <v>74</v>
      </c>
      <c r="BG266" s="1" t="s">
        <v>74</v>
      </c>
      <c r="BH266" s="1" t="s">
        <v>74</v>
      </c>
      <c r="BI266" s="1">
        <v>7</v>
      </c>
      <c r="BJ266" s="1" t="s">
        <v>144</v>
      </c>
      <c r="BK266" s="1" t="s">
        <v>96</v>
      </c>
      <c r="BL266" s="1" t="s">
        <v>145</v>
      </c>
      <c r="BM266" s="1" t="s">
        <v>4843</v>
      </c>
      <c r="BN266" s="1">
        <v>18380088</v>
      </c>
      <c r="BO266" s="1" t="s">
        <v>74</v>
      </c>
      <c r="BP266" s="1" t="s">
        <v>74</v>
      </c>
      <c r="BQ266" s="1" t="s">
        <v>74</v>
      </c>
      <c r="BR266" s="1" t="s">
        <v>98</v>
      </c>
      <c r="BS266" s="1" t="s">
        <v>4844</v>
      </c>
      <c r="BT266" s="1" t="str">
        <f>HYPERLINK("https%3A%2F%2Fwww.webofscience.com%2Fwos%2Fwoscc%2Ffull-record%2FWOS:000248400000020","View Full Record in Web of Science")</f>
        <v>View Full Record in Web of Science</v>
      </c>
    </row>
    <row r="267" spans="1:72">
      <c r="A267" s="1" t="s">
        <v>72</v>
      </c>
      <c r="B267" s="1" t="s">
        <v>4845</v>
      </c>
      <c r="C267" s="1" t="s">
        <v>74</v>
      </c>
      <c r="D267" s="1" t="s">
        <v>74</v>
      </c>
      <c r="E267" s="1" t="s">
        <v>74</v>
      </c>
      <c r="F267" s="1" t="s">
        <v>4846</v>
      </c>
      <c r="G267" s="1" t="s">
        <v>74</v>
      </c>
      <c r="H267" s="1" t="s">
        <v>74</v>
      </c>
      <c r="I267" s="1" t="s">
        <v>4847</v>
      </c>
      <c r="J267" s="1" t="s">
        <v>1756</v>
      </c>
      <c r="K267" s="1" t="s">
        <v>74</v>
      </c>
      <c r="L267" s="1" t="s">
        <v>74</v>
      </c>
      <c r="M267" s="1" t="s">
        <v>78</v>
      </c>
      <c r="N267" s="1" t="s">
        <v>79</v>
      </c>
      <c r="O267" s="1" t="s">
        <v>74</v>
      </c>
      <c r="P267" s="1" t="s">
        <v>74</v>
      </c>
      <c r="Q267" s="1" t="s">
        <v>74</v>
      </c>
      <c r="R267" s="1" t="s">
        <v>74</v>
      </c>
      <c r="S267" s="1" t="s">
        <v>74</v>
      </c>
      <c r="T267" s="1" t="s">
        <v>4848</v>
      </c>
      <c r="U267" s="1" t="s">
        <v>4849</v>
      </c>
      <c r="V267" s="1" t="s">
        <v>4850</v>
      </c>
      <c r="W267" s="1" t="s">
        <v>4851</v>
      </c>
      <c r="X267" s="1" t="s">
        <v>4852</v>
      </c>
      <c r="Y267" s="1" t="s">
        <v>4853</v>
      </c>
      <c r="Z267" s="1" t="s">
        <v>4854</v>
      </c>
      <c r="AA267" s="1" t="s">
        <v>4855</v>
      </c>
      <c r="AB267" s="1" t="s">
        <v>4856</v>
      </c>
      <c r="AC267" s="1" t="s">
        <v>4857</v>
      </c>
      <c r="AD267" s="1" t="s">
        <v>4858</v>
      </c>
      <c r="AE267" s="1" t="s">
        <v>4859</v>
      </c>
      <c r="AF267" s="1" t="s">
        <v>74</v>
      </c>
      <c r="AG267" s="1">
        <v>31</v>
      </c>
      <c r="AH267" s="1">
        <v>6</v>
      </c>
      <c r="AI267" s="1">
        <v>9</v>
      </c>
      <c r="AJ267" s="1">
        <v>0</v>
      </c>
      <c r="AK267" s="1">
        <v>65</v>
      </c>
      <c r="AL267" s="1" t="s">
        <v>4153</v>
      </c>
      <c r="AM267" s="1" t="s">
        <v>87</v>
      </c>
      <c r="AN267" s="1" t="s">
        <v>88</v>
      </c>
      <c r="AO267" s="1" t="s">
        <v>1764</v>
      </c>
      <c r="AP267" s="1" t="s">
        <v>74</v>
      </c>
      <c r="AQ267" s="1" t="s">
        <v>74</v>
      </c>
      <c r="AR267" s="1" t="s">
        <v>1766</v>
      </c>
      <c r="AS267" s="1" t="s">
        <v>1767</v>
      </c>
      <c r="AT267" s="1" t="s">
        <v>1223</v>
      </c>
      <c r="AU267" s="1">
        <v>2013</v>
      </c>
      <c r="AV267" s="1">
        <v>32</v>
      </c>
      <c r="AW267" s="1">
        <v>3</v>
      </c>
      <c r="AX267" s="1" t="s">
        <v>74</v>
      </c>
      <c r="AY267" s="1" t="s">
        <v>74</v>
      </c>
      <c r="AZ267" s="1" t="s">
        <v>74</v>
      </c>
      <c r="BA267" s="1" t="s">
        <v>74</v>
      </c>
      <c r="BB267" s="1">
        <v>638</v>
      </c>
      <c r="BC267" s="1">
        <v>643</v>
      </c>
      <c r="BD267" s="1" t="s">
        <v>74</v>
      </c>
      <c r="BE267" s="1" t="s">
        <v>4860</v>
      </c>
      <c r="BF267" s="1" t="str">
        <f>HYPERLINK("http://dx.doi.org/10.1002/etc.2100","http://dx.doi.org/10.1002/etc.2100")</f>
        <v>http://dx.doi.org/10.1002/etc.2100</v>
      </c>
      <c r="BG267" s="1" t="s">
        <v>74</v>
      </c>
      <c r="BH267" s="1" t="s">
        <v>74</v>
      </c>
      <c r="BI267" s="1">
        <v>6</v>
      </c>
      <c r="BJ267" s="1" t="s">
        <v>121</v>
      </c>
      <c r="BK267" s="1" t="s">
        <v>96</v>
      </c>
      <c r="BL267" s="1" t="s">
        <v>122</v>
      </c>
      <c r="BM267" s="1" t="s">
        <v>4861</v>
      </c>
      <c r="BN267" s="1">
        <v>23280672</v>
      </c>
      <c r="BO267" s="1" t="s">
        <v>370</v>
      </c>
      <c r="BP267" s="1" t="s">
        <v>74</v>
      </c>
      <c r="BQ267" s="1" t="s">
        <v>74</v>
      </c>
      <c r="BR267" s="1" t="s">
        <v>98</v>
      </c>
      <c r="BS267" s="1" t="s">
        <v>4862</v>
      </c>
      <c r="BT267" s="1" t="str">
        <f>HYPERLINK("https%3A%2F%2Fwww.webofscience.com%2Fwos%2Fwoscc%2Ffull-record%2FWOS:000315119000020","View Full Record in Web of Science")</f>
        <v>View Full Record in Web of Science</v>
      </c>
    </row>
    <row r="268" spans="1:72">
      <c r="A268" s="1" t="s">
        <v>72</v>
      </c>
      <c r="B268" s="1" t="s">
        <v>4863</v>
      </c>
      <c r="C268" s="1" t="s">
        <v>74</v>
      </c>
      <c r="D268" s="1" t="s">
        <v>74</v>
      </c>
      <c r="E268" s="1" t="s">
        <v>74</v>
      </c>
      <c r="F268" s="1" t="s">
        <v>4863</v>
      </c>
      <c r="G268" s="1" t="s">
        <v>74</v>
      </c>
      <c r="H268" s="1" t="s">
        <v>74</v>
      </c>
      <c r="I268" s="1" t="s">
        <v>4864</v>
      </c>
      <c r="J268" s="1" t="s">
        <v>1426</v>
      </c>
      <c r="K268" s="1" t="s">
        <v>74</v>
      </c>
      <c r="L268" s="1" t="s">
        <v>74</v>
      </c>
      <c r="M268" s="1" t="s">
        <v>78</v>
      </c>
      <c r="N268" s="1" t="s">
        <v>79</v>
      </c>
      <c r="O268" s="1" t="s">
        <v>74</v>
      </c>
      <c r="P268" s="1" t="s">
        <v>74</v>
      </c>
      <c r="Q268" s="1" t="s">
        <v>74</v>
      </c>
      <c r="R268" s="1" t="s">
        <v>74</v>
      </c>
      <c r="S268" s="1" t="s">
        <v>74</v>
      </c>
      <c r="T268" s="1" t="s">
        <v>74</v>
      </c>
      <c r="U268" s="1" t="s">
        <v>4865</v>
      </c>
      <c r="V268" s="1" t="s">
        <v>4866</v>
      </c>
      <c r="W268" s="1" t="s">
        <v>4867</v>
      </c>
      <c r="X268" s="1" t="s">
        <v>4868</v>
      </c>
      <c r="Y268" s="1" t="s">
        <v>4869</v>
      </c>
      <c r="Z268" s="1" t="s">
        <v>74</v>
      </c>
      <c r="AA268" s="1" t="s">
        <v>74</v>
      </c>
      <c r="AB268" s="1" t="s">
        <v>74</v>
      </c>
      <c r="AC268" s="1" t="s">
        <v>74</v>
      </c>
      <c r="AD268" s="1" t="s">
        <v>74</v>
      </c>
      <c r="AE268" s="1" t="s">
        <v>74</v>
      </c>
      <c r="AF268" s="1" t="s">
        <v>74</v>
      </c>
      <c r="AG268" s="1">
        <v>15</v>
      </c>
      <c r="AH268" s="1">
        <v>4</v>
      </c>
      <c r="AI268" s="1">
        <v>5</v>
      </c>
      <c r="AJ268" s="1">
        <v>0</v>
      </c>
      <c r="AK268" s="1">
        <v>0</v>
      </c>
      <c r="AL268" s="1" t="s">
        <v>4870</v>
      </c>
      <c r="AM268" s="1" t="s">
        <v>1434</v>
      </c>
      <c r="AN268" s="1" t="s">
        <v>4871</v>
      </c>
      <c r="AO268" s="1" t="s">
        <v>1436</v>
      </c>
      <c r="AP268" s="1" t="s">
        <v>74</v>
      </c>
      <c r="AQ268" s="1" t="s">
        <v>74</v>
      </c>
      <c r="AR268" s="1" t="s">
        <v>1437</v>
      </c>
      <c r="AS268" s="1" t="s">
        <v>1438</v>
      </c>
      <c r="AT268" s="1" t="s">
        <v>4872</v>
      </c>
      <c r="AU268" s="1">
        <v>1998</v>
      </c>
      <c r="AV268" s="1">
        <v>27</v>
      </c>
      <c r="AW268" s="1" t="s">
        <v>1070</v>
      </c>
      <c r="AX268" s="1" t="s">
        <v>74</v>
      </c>
      <c r="AY268" s="1" t="s">
        <v>74</v>
      </c>
      <c r="AZ268" s="1" t="s">
        <v>74</v>
      </c>
      <c r="BA268" s="1" t="s">
        <v>74</v>
      </c>
      <c r="BB268" s="1">
        <v>416</v>
      </c>
      <c r="BC268" s="1">
        <v>420</v>
      </c>
      <c r="BD268" s="1" t="s">
        <v>74</v>
      </c>
      <c r="BE268" s="1" t="s">
        <v>74</v>
      </c>
      <c r="BF268" s="1" t="s">
        <v>74</v>
      </c>
      <c r="BG268" s="1" t="s">
        <v>74</v>
      </c>
      <c r="BH268" s="1" t="s">
        <v>74</v>
      </c>
      <c r="BI268" s="1">
        <v>5</v>
      </c>
      <c r="BJ268" s="1" t="s">
        <v>1439</v>
      </c>
      <c r="BK268" s="1" t="s">
        <v>96</v>
      </c>
      <c r="BL268" s="1" t="s">
        <v>1439</v>
      </c>
      <c r="BM268" s="1" t="s">
        <v>4873</v>
      </c>
      <c r="BN268" s="1" t="s">
        <v>74</v>
      </c>
      <c r="BO268" s="1" t="s">
        <v>74</v>
      </c>
      <c r="BP268" s="1" t="s">
        <v>74</v>
      </c>
      <c r="BQ268" s="1" t="s">
        <v>74</v>
      </c>
      <c r="BR268" s="1" t="s">
        <v>98</v>
      </c>
      <c r="BS268" s="1" t="s">
        <v>4874</v>
      </c>
      <c r="BT268" s="1" t="str">
        <f>HYPERLINK("https%3A%2F%2Fwww.webofscience.com%2Fwos%2Fwoscc%2Ffull-record%2FWOS:000079132500027","View Full Record in Web of Science")</f>
        <v>View Full Record in Web of Science</v>
      </c>
    </row>
    <row r="269" spans="1:72">
      <c r="A269" s="1" t="s">
        <v>72</v>
      </c>
      <c r="B269" s="1" t="s">
        <v>4875</v>
      </c>
      <c r="C269" s="1" t="s">
        <v>74</v>
      </c>
      <c r="D269" s="1" t="s">
        <v>74</v>
      </c>
      <c r="E269" s="1" t="s">
        <v>74</v>
      </c>
      <c r="F269" s="1" t="s">
        <v>4876</v>
      </c>
      <c r="G269" s="1" t="s">
        <v>74</v>
      </c>
      <c r="H269" s="1" t="s">
        <v>74</v>
      </c>
      <c r="I269" s="1" t="s">
        <v>4877</v>
      </c>
      <c r="J269" s="1" t="s">
        <v>495</v>
      </c>
      <c r="K269" s="1" t="s">
        <v>74</v>
      </c>
      <c r="L269" s="1" t="s">
        <v>74</v>
      </c>
      <c r="M269" s="1" t="s">
        <v>78</v>
      </c>
      <c r="N269" s="1" t="s">
        <v>79</v>
      </c>
      <c r="O269" s="1" t="s">
        <v>74</v>
      </c>
      <c r="P269" s="1" t="s">
        <v>74</v>
      </c>
      <c r="Q269" s="1" t="s">
        <v>74</v>
      </c>
      <c r="R269" s="1" t="s">
        <v>74</v>
      </c>
      <c r="S269" s="1" t="s">
        <v>74</v>
      </c>
      <c r="T269" s="1" t="s">
        <v>4878</v>
      </c>
      <c r="U269" s="1" t="s">
        <v>4879</v>
      </c>
      <c r="V269" s="1" t="s">
        <v>4880</v>
      </c>
      <c r="W269" s="1" t="s">
        <v>4881</v>
      </c>
      <c r="X269" s="1" t="s">
        <v>4882</v>
      </c>
      <c r="Y269" s="1" t="s">
        <v>4883</v>
      </c>
      <c r="Z269" s="1" t="s">
        <v>4884</v>
      </c>
      <c r="AA269" s="1" t="s">
        <v>74</v>
      </c>
      <c r="AB269" s="1" t="s">
        <v>74</v>
      </c>
      <c r="AC269" s="1" t="s">
        <v>4885</v>
      </c>
      <c r="AD269" s="1" t="s">
        <v>4886</v>
      </c>
      <c r="AE269" s="1" t="s">
        <v>4887</v>
      </c>
      <c r="AF269" s="1" t="s">
        <v>74</v>
      </c>
      <c r="AG269" s="1">
        <v>33</v>
      </c>
      <c r="AH269" s="1">
        <v>3</v>
      </c>
      <c r="AI269" s="1">
        <v>4</v>
      </c>
      <c r="AJ269" s="1">
        <v>0</v>
      </c>
      <c r="AK269" s="1">
        <v>16</v>
      </c>
      <c r="AL269" s="1" t="s">
        <v>1030</v>
      </c>
      <c r="AM269" s="1" t="s">
        <v>1031</v>
      </c>
      <c r="AN269" s="1" t="s">
        <v>1032</v>
      </c>
      <c r="AO269" s="1" t="s">
        <v>507</v>
      </c>
      <c r="AP269" s="1" t="s">
        <v>1033</v>
      </c>
      <c r="AQ269" s="1" t="s">
        <v>74</v>
      </c>
      <c r="AR269" s="1" t="s">
        <v>508</v>
      </c>
      <c r="AS269" s="1" t="s">
        <v>509</v>
      </c>
      <c r="AT269" s="1" t="s">
        <v>74</v>
      </c>
      <c r="AU269" s="1">
        <v>2013</v>
      </c>
      <c r="AV269" s="1">
        <v>22</v>
      </c>
      <c r="AW269" s="1">
        <v>7</v>
      </c>
      <c r="AX269" s="1" t="s">
        <v>74</v>
      </c>
      <c r="AY269" s="1" t="s">
        <v>74</v>
      </c>
      <c r="AZ269" s="1" t="s">
        <v>74</v>
      </c>
      <c r="BA269" s="1" t="s">
        <v>74</v>
      </c>
      <c r="BB269" s="1">
        <v>1831</v>
      </c>
      <c r="BC269" s="1">
        <v>1836</v>
      </c>
      <c r="BD269" s="1" t="s">
        <v>74</v>
      </c>
      <c r="BE269" s="1" t="s">
        <v>74</v>
      </c>
      <c r="BF269" s="1" t="s">
        <v>74</v>
      </c>
      <c r="BG269" s="1" t="s">
        <v>74</v>
      </c>
      <c r="BH269" s="1" t="s">
        <v>74</v>
      </c>
      <c r="BI269" s="1">
        <v>6</v>
      </c>
      <c r="BJ269" s="1" t="s">
        <v>144</v>
      </c>
      <c r="BK269" s="1" t="s">
        <v>96</v>
      </c>
      <c r="BL269" s="1" t="s">
        <v>145</v>
      </c>
      <c r="BM269" s="1" t="s">
        <v>4888</v>
      </c>
      <c r="BN269" s="1" t="s">
        <v>74</v>
      </c>
      <c r="BO269" s="1" t="s">
        <v>74</v>
      </c>
      <c r="BP269" s="1" t="s">
        <v>74</v>
      </c>
      <c r="BQ269" s="1" t="s">
        <v>74</v>
      </c>
      <c r="BR269" s="1" t="s">
        <v>98</v>
      </c>
      <c r="BS269" s="1" t="s">
        <v>4889</v>
      </c>
      <c r="BT269" s="1" t="str">
        <f>HYPERLINK("https%3A%2F%2Fwww.webofscience.com%2Fwos%2Fwoscc%2Ffull-record%2FWOS:000327563100005","View Full Record in Web of Science")</f>
        <v>View Full Record in Web of Science</v>
      </c>
    </row>
    <row r="270" spans="1:72">
      <c r="A270" s="1" t="s">
        <v>72</v>
      </c>
      <c r="B270" s="1" t="s">
        <v>4890</v>
      </c>
      <c r="C270" s="1" t="s">
        <v>74</v>
      </c>
      <c r="D270" s="1" t="s">
        <v>74</v>
      </c>
      <c r="E270" s="1" t="s">
        <v>74</v>
      </c>
      <c r="F270" s="1" t="s">
        <v>4891</v>
      </c>
      <c r="G270" s="1" t="s">
        <v>74</v>
      </c>
      <c r="H270" s="1" t="s">
        <v>74</v>
      </c>
      <c r="I270" s="1" t="s">
        <v>4892</v>
      </c>
      <c r="J270" s="1" t="s">
        <v>1202</v>
      </c>
      <c r="K270" s="1" t="s">
        <v>74</v>
      </c>
      <c r="L270" s="1" t="s">
        <v>74</v>
      </c>
      <c r="M270" s="1" t="s">
        <v>78</v>
      </c>
      <c r="N270" s="1" t="s">
        <v>79</v>
      </c>
      <c r="O270" s="1" t="s">
        <v>74</v>
      </c>
      <c r="P270" s="1" t="s">
        <v>74</v>
      </c>
      <c r="Q270" s="1" t="s">
        <v>74</v>
      </c>
      <c r="R270" s="1" t="s">
        <v>74</v>
      </c>
      <c r="S270" s="1" t="s">
        <v>74</v>
      </c>
      <c r="T270" s="1" t="s">
        <v>4893</v>
      </c>
      <c r="U270" s="1" t="s">
        <v>4894</v>
      </c>
      <c r="V270" s="1" t="s">
        <v>4895</v>
      </c>
      <c r="W270" s="1" t="s">
        <v>4896</v>
      </c>
      <c r="X270" s="1" t="s">
        <v>4897</v>
      </c>
      <c r="Y270" s="1" t="s">
        <v>4898</v>
      </c>
      <c r="Z270" s="1" t="s">
        <v>4899</v>
      </c>
      <c r="AA270" s="1" t="s">
        <v>4900</v>
      </c>
      <c r="AB270" s="1" t="s">
        <v>4901</v>
      </c>
      <c r="AC270" s="1" t="s">
        <v>74</v>
      </c>
      <c r="AD270" s="1" t="s">
        <v>74</v>
      </c>
      <c r="AE270" s="1" t="s">
        <v>74</v>
      </c>
      <c r="AF270" s="1" t="s">
        <v>74</v>
      </c>
      <c r="AG270" s="1">
        <v>93</v>
      </c>
      <c r="AH270" s="1">
        <v>16</v>
      </c>
      <c r="AI270" s="1">
        <v>17</v>
      </c>
      <c r="AJ270" s="1">
        <v>0</v>
      </c>
      <c r="AK270" s="1">
        <v>54</v>
      </c>
      <c r="AL270" s="1" t="s">
        <v>112</v>
      </c>
      <c r="AM270" s="1" t="s">
        <v>191</v>
      </c>
      <c r="AN270" s="1" t="s">
        <v>192</v>
      </c>
      <c r="AO270" s="1" t="s">
        <v>1207</v>
      </c>
      <c r="AP270" s="1" t="s">
        <v>4902</v>
      </c>
      <c r="AQ270" s="1" t="s">
        <v>74</v>
      </c>
      <c r="AR270" s="1" t="s">
        <v>1202</v>
      </c>
      <c r="AS270" s="1" t="s">
        <v>1208</v>
      </c>
      <c r="AT270" s="1" t="s">
        <v>305</v>
      </c>
      <c r="AU270" s="1">
        <v>2015</v>
      </c>
      <c r="AV270" s="1">
        <v>757</v>
      </c>
      <c r="AW270" s="1">
        <v>1</v>
      </c>
      <c r="AX270" s="1" t="s">
        <v>74</v>
      </c>
      <c r="AY270" s="1" t="s">
        <v>74</v>
      </c>
      <c r="AZ270" s="1" t="s">
        <v>74</v>
      </c>
      <c r="BA270" s="1" t="s">
        <v>74</v>
      </c>
      <c r="BB270" s="1">
        <v>235</v>
      </c>
      <c r="BC270" s="1">
        <v>249</v>
      </c>
      <c r="BD270" s="1" t="s">
        <v>74</v>
      </c>
      <c r="BE270" s="1" t="s">
        <v>4903</v>
      </c>
      <c r="BF270" s="1" t="str">
        <f>HYPERLINK("http://dx.doi.org/10.1007/s10750-015-2255-8","http://dx.doi.org/10.1007/s10750-015-2255-8")</f>
        <v>http://dx.doi.org/10.1007/s10750-015-2255-8</v>
      </c>
      <c r="BG270" s="1" t="s">
        <v>74</v>
      </c>
      <c r="BH270" s="1" t="s">
        <v>74</v>
      </c>
      <c r="BI270" s="1">
        <v>15</v>
      </c>
      <c r="BJ270" s="1" t="s">
        <v>680</v>
      </c>
      <c r="BK270" s="1" t="s">
        <v>96</v>
      </c>
      <c r="BL270" s="1" t="s">
        <v>680</v>
      </c>
      <c r="BM270" s="1" t="s">
        <v>4904</v>
      </c>
      <c r="BN270" s="1" t="s">
        <v>74</v>
      </c>
      <c r="BO270" s="1" t="s">
        <v>74</v>
      </c>
      <c r="BP270" s="1" t="s">
        <v>74</v>
      </c>
      <c r="BQ270" s="1" t="s">
        <v>74</v>
      </c>
      <c r="BR270" s="1" t="s">
        <v>98</v>
      </c>
      <c r="BS270" s="1" t="s">
        <v>4905</v>
      </c>
      <c r="BT270" s="1" t="str">
        <f>HYPERLINK("https%3A%2F%2Fwww.webofscience.com%2Fwos%2Fwoscc%2Ffull-record%2FWOS:000358653700019","View Full Record in Web of Science")</f>
        <v>View Full Record in Web of Science</v>
      </c>
    </row>
    <row r="271" spans="1:72">
      <c r="A271" s="1" t="s">
        <v>72</v>
      </c>
      <c r="B271" s="1" t="s">
        <v>4906</v>
      </c>
      <c r="C271" s="1" t="s">
        <v>74</v>
      </c>
      <c r="D271" s="1" t="s">
        <v>74</v>
      </c>
      <c r="E271" s="1" t="s">
        <v>74</v>
      </c>
      <c r="F271" s="1" t="s">
        <v>4907</v>
      </c>
      <c r="G271" s="1" t="s">
        <v>74</v>
      </c>
      <c r="H271" s="1" t="s">
        <v>74</v>
      </c>
      <c r="I271" s="1" t="s">
        <v>4908</v>
      </c>
      <c r="J271" s="1" t="s">
        <v>4909</v>
      </c>
      <c r="K271" s="1" t="s">
        <v>74</v>
      </c>
      <c r="L271" s="1" t="s">
        <v>74</v>
      </c>
      <c r="M271" s="1" t="s">
        <v>78</v>
      </c>
      <c r="N271" s="1" t="s">
        <v>79</v>
      </c>
      <c r="O271" s="1" t="s">
        <v>74</v>
      </c>
      <c r="P271" s="1" t="s">
        <v>74</v>
      </c>
      <c r="Q271" s="1" t="s">
        <v>74</v>
      </c>
      <c r="R271" s="1" t="s">
        <v>74</v>
      </c>
      <c r="S271" s="1" t="s">
        <v>74</v>
      </c>
      <c r="T271" s="1" t="s">
        <v>4910</v>
      </c>
      <c r="U271" s="1" t="s">
        <v>4911</v>
      </c>
      <c r="V271" s="1" t="s">
        <v>4912</v>
      </c>
      <c r="W271" s="1" t="s">
        <v>4913</v>
      </c>
      <c r="X271" s="1" t="s">
        <v>4914</v>
      </c>
      <c r="Y271" s="1" t="s">
        <v>4915</v>
      </c>
      <c r="Z271" s="1" t="s">
        <v>4916</v>
      </c>
      <c r="AA271" s="1" t="s">
        <v>74</v>
      </c>
      <c r="AB271" s="1" t="s">
        <v>74</v>
      </c>
      <c r="AC271" s="1" t="s">
        <v>74</v>
      </c>
      <c r="AD271" s="1" t="s">
        <v>74</v>
      </c>
      <c r="AE271" s="1" t="s">
        <v>74</v>
      </c>
      <c r="AF271" s="1" t="s">
        <v>74</v>
      </c>
      <c r="AG271" s="1">
        <v>54</v>
      </c>
      <c r="AH271" s="1">
        <v>26</v>
      </c>
      <c r="AI271" s="1">
        <v>30</v>
      </c>
      <c r="AJ271" s="1">
        <v>3</v>
      </c>
      <c r="AK271" s="1">
        <v>25</v>
      </c>
      <c r="AL271" s="1" t="s">
        <v>408</v>
      </c>
      <c r="AM271" s="1" t="s">
        <v>409</v>
      </c>
      <c r="AN271" s="1" t="s">
        <v>1188</v>
      </c>
      <c r="AO271" s="1" t="s">
        <v>4917</v>
      </c>
      <c r="AP271" s="1" t="s">
        <v>4918</v>
      </c>
      <c r="AQ271" s="1" t="s">
        <v>74</v>
      </c>
      <c r="AR271" s="1" t="s">
        <v>4919</v>
      </c>
      <c r="AS271" s="1" t="s">
        <v>4920</v>
      </c>
      <c r="AT271" s="1" t="s">
        <v>4921</v>
      </c>
      <c r="AU271" s="1">
        <v>2007</v>
      </c>
      <c r="AV271" s="1">
        <v>13</v>
      </c>
      <c r="AW271" s="1">
        <v>2</v>
      </c>
      <c r="AX271" s="1" t="s">
        <v>74</v>
      </c>
      <c r="AY271" s="1" t="s">
        <v>74</v>
      </c>
      <c r="AZ271" s="1" t="s">
        <v>74</v>
      </c>
      <c r="BA271" s="1" t="s">
        <v>74</v>
      </c>
      <c r="BB271" s="1">
        <v>370</v>
      </c>
      <c r="BC271" s="1">
        <v>382</v>
      </c>
      <c r="BD271" s="1" t="s">
        <v>74</v>
      </c>
      <c r="BE271" s="1" t="s">
        <v>4922</v>
      </c>
      <c r="BF271" s="1" t="str">
        <f>HYPERLINK("http://dx.doi.org/10.1080/10807030701226301","http://dx.doi.org/10.1080/10807030701226301")</f>
        <v>http://dx.doi.org/10.1080/10807030701226301</v>
      </c>
      <c r="BG271" s="1" t="s">
        <v>74</v>
      </c>
      <c r="BH271" s="1" t="s">
        <v>74</v>
      </c>
      <c r="BI271" s="1">
        <v>13</v>
      </c>
      <c r="BJ271" s="1" t="s">
        <v>4923</v>
      </c>
      <c r="BK271" s="1" t="s">
        <v>96</v>
      </c>
      <c r="BL271" s="1" t="s">
        <v>4924</v>
      </c>
      <c r="BM271" s="1" t="s">
        <v>4925</v>
      </c>
      <c r="BN271" s="1" t="s">
        <v>74</v>
      </c>
      <c r="BO271" s="1" t="s">
        <v>74</v>
      </c>
      <c r="BP271" s="1" t="s">
        <v>74</v>
      </c>
      <c r="BQ271" s="1" t="s">
        <v>74</v>
      </c>
      <c r="BR271" s="1" t="s">
        <v>98</v>
      </c>
      <c r="BS271" s="1" t="s">
        <v>4926</v>
      </c>
      <c r="BT271" s="1" t="str">
        <f>HYPERLINK("https%3A%2F%2Fwww.webofscience.com%2Fwos%2Fwoscc%2Ffull-record%2FWOS:000246961600011","View Full Record in Web of Science")</f>
        <v>View Full Record in Web of Science</v>
      </c>
    </row>
    <row r="272" spans="1:72">
      <c r="A272" s="1" t="s">
        <v>72</v>
      </c>
      <c r="B272" s="1" t="s">
        <v>4927</v>
      </c>
      <c r="C272" s="1" t="s">
        <v>74</v>
      </c>
      <c r="D272" s="1" t="s">
        <v>74</v>
      </c>
      <c r="E272" s="1" t="s">
        <v>74</v>
      </c>
      <c r="F272" s="1" t="s">
        <v>4928</v>
      </c>
      <c r="G272" s="1" t="s">
        <v>74</v>
      </c>
      <c r="H272" s="1" t="s">
        <v>74</v>
      </c>
      <c r="I272" s="1" t="s">
        <v>4929</v>
      </c>
      <c r="J272" s="1" t="s">
        <v>204</v>
      </c>
      <c r="K272" s="1" t="s">
        <v>74</v>
      </c>
      <c r="L272" s="1" t="s">
        <v>74</v>
      </c>
      <c r="M272" s="1" t="s">
        <v>78</v>
      </c>
      <c r="N272" s="1" t="s">
        <v>79</v>
      </c>
      <c r="O272" s="1" t="s">
        <v>74</v>
      </c>
      <c r="P272" s="1" t="s">
        <v>74</v>
      </c>
      <c r="Q272" s="1" t="s">
        <v>74</v>
      </c>
      <c r="R272" s="1" t="s">
        <v>74</v>
      </c>
      <c r="S272" s="1" t="s">
        <v>74</v>
      </c>
      <c r="T272" s="1" t="s">
        <v>4930</v>
      </c>
      <c r="U272" s="1" t="s">
        <v>4931</v>
      </c>
      <c r="V272" s="1" t="s">
        <v>4932</v>
      </c>
      <c r="W272" s="1" t="s">
        <v>4933</v>
      </c>
      <c r="X272" s="1" t="s">
        <v>4934</v>
      </c>
      <c r="Y272" s="1" t="s">
        <v>4935</v>
      </c>
      <c r="Z272" s="1" t="s">
        <v>4936</v>
      </c>
      <c r="AA272" s="1" t="s">
        <v>4937</v>
      </c>
      <c r="AB272" s="1" t="s">
        <v>4938</v>
      </c>
      <c r="AC272" s="1" t="s">
        <v>74</v>
      </c>
      <c r="AD272" s="1" t="s">
        <v>74</v>
      </c>
      <c r="AE272" s="1" t="s">
        <v>74</v>
      </c>
      <c r="AF272" s="1" t="s">
        <v>74</v>
      </c>
      <c r="AG272" s="1">
        <v>44</v>
      </c>
      <c r="AH272" s="1">
        <v>6</v>
      </c>
      <c r="AI272" s="1">
        <v>6</v>
      </c>
      <c r="AJ272" s="1">
        <v>1</v>
      </c>
      <c r="AK272" s="1">
        <v>20</v>
      </c>
      <c r="AL272" s="1" t="s">
        <v>217</v>
      </c>
      <c r="AM272" s="1" t="s">
        <v>218</v>
      </c>
      <c r="AN272" s="1" t="s">
        <v>219</v>
      </c>
      <c r="AO272" s="1" t="s">
        <v>220</v>
      </c>
      <c r="AP272" s="1" t="s">
        <v>221</v>
      </c>
      <c r="AQ272" s="1" t="s">
        <v>74</v>
      </c>
      <c r="AR272" s="1" t="s">
        <v>222</v>
      </c>
      <c r="AS272" s="1" t="s">
        <v>223</v>
      </c>
      <c r="AT272" s="1" t="s">
        <v>267</v>
      </c>
      <c r="AU272" s="1">
        <v>2021</v>
      </c>
      <c r="AV272" s="1">
        <v>28</v>
      </c>
      <c r="AW272" s="1">
        <v>39</v>
      </c>
      <c r="AX272" s="1" t="s">
        <v>74</v>
      </c>
      <c r="AY272" s="1" t="s">
        <v>74</v>
      </c>
      <c r="AZ272" s="1" t="s">
        <v>74</v>
      </c>
      <c r="BA272" s="1" t="s">
        <v>74</v>
      </c>
      <c r="BB272" s="1">
        <v>54960</v>
      </c>
      <c r="BC272" s="1">
        <v>54971</v>
      </c>
      <c r="BD272" s="1" t="s">
        <v>74</v>
      </c>
      <c r="BE272" s="1" t="s">
        <v>4939</v>
      </c>
      <c r="BF272" s="1" t="str">
        <f>HYPERLINK("http://dx.doi.org/10.1007/s11356-021-14808-3","http://dx.doi.org/10.1007/s11356-021-14808-3")</f>
        <v>http://dx.doi.org/10.1007/s11356-021-14808-3</v>
      </c>
      <c r="BG272" s="1" t="s">
        <v>74</v>
      </c>
      <c r="BH272" s="1" t="s">
        <v>4940</v>
      </c>
      <c r="BI272" s="1">
        <v>12</v>
      </c>
      <c r="BJ272" s="1" t="s">
        <v>144</v>
      </c>
      <c r="BK272" s="1" t="s">
        <v>96</v>
      </c>
      <c r="BL272" s="1" t="s">
        <v>145</v>
      </c>
      <c r="BM272" s="1" t="s">
        <v>4941</v>
      </c>
      <c r="BN272" s="1">
        <v>34120286</v>
      </c>
      <c r="BO272" s="1" t="s">
        <v>74</v>
      </c>
      <c r="BP272" s="1" t="s">
        <v>74</v>
      </c>
      <c r="BQ272" s="1" t="s">
        <v>74</v>
      </c>
      <c r="BR272" s="1" t="s">
        <v>98</v>
      </c>
      <c r="BS272" s="1" t="s">
        <v>4942</v>
      </c>
      <c r="BT272" s="1" t="str">
        <f>HYPERLINK("https%3A%2F%2Fwww.webofscience.com%2Fwos%2Fwoscc%2Ffull-record%2FWOS:000660841600003","View Full Record in Web of Science")</f>
        <v>View Full Record in Web of Science</v>
      </c>
    </row>
    <row r="273" spans="1:72">
      <c r="A273" s="1" t="s">
        <v>72</v>
      </c>
      <c r="B273" s="1" t="s">
        <v>4943</v>
      </c>
      <c r="C273" s="1" t="s">
        <v>74</v>
      </c>
      <c r="D273" s="1" t="s">
        <v>74</v>
      </c>
      <c r="E273" s="1" t="s">
        <v>74</v>
      </c>
      <c r="F273" s="1" t="s">
        <v>4944</v>
      </c>
      <c r="G273" s="1" t="s">
        <v>74</v>
      </c>
      <c r="H273" s="1" t="s">
        <v>74</v>
      </c>
      <c r="I273" s="1" t="s">
        <v>4945</v>
      </c>
      <c r="J273" s="1" t="s">
        <v>204</v>
      </c>
      <c r="K273" s="1" t="s">
        <v>74</v>
      </c>
      <c r="L273" s="1" t="s">
        <v>74</v>
      </c>
      <c r="M273" s="1" t="s">
        <v>78</v>
      </c>
      <c r="N273" s="1" t="s">
        <v>79</v>
      </c>
      <c r="O273" s="1" t="s">
        <v>74</v>
      </c>
      <c r="P273" s="1" t="s">
        <v>74</v>
      </c>
      <c r="Q273" s="1" t="s">
        <v>74</v>
      </c>
      <c r="R273" s="1" t="s">
        <v>74</v>
      </c>
      <c r="S273" s="1" t="s">
        <v>74</v>
      </c>
      <c r="T273" s="1" t="s">
        <v>4946</v>
      </c>
      <c r="U273" s="1" t="s">
        <v>4947</v>
      </c>
      <c r="V273" s="1" t="s">
        <v>4948</v>
      </c>
      <c r="W273" s="1" t="s">
        <v>4949</v>
      </c>
      <c r="X273" s="1" t="s">
        <v>4950</v>
      </c>
      <c r="Y273" s="1" t="s">
        <v>4951</v>
      </c>
      <c r="Z273" s="1" t="s">
        <v>4952</v>
      </c>
      <c r="AA273" s="1" t="s">
        <v>4953</v>
      </c>
      <c r="AB273" s="1" t="s">
        <v>4954</v>
      </c>
      <c r="AC273" s="1" t="s">
        <v>4955</v>
      </c>
      <c r="AD273" s="1" t="s">
        <v>4955</v>
      </c>
      <c r="AE273" s="1" t="s">
        <v>4956</v>
      </c>
      <c r="AF273" s="1" t="s">
        <v>74</v>
      </c>
      <c r="AG273" s="1">
        <v>64</v>
      </c>
      <c r="AH273" s="1">
        <v>12</v>
      </c>
      <c r="AI273" s="1">
        <v>13</v>
      </c>
      <c r="AJ273" s="1">
        <v>3</v>
      </c>
      <c r="AK273" s="1">
        <v>18</v>
      </c>
      <c r="AL273" s="1" t="s">
        <v>217</v>
      </c>
      <c r="AM273" s="1" t="s">
        <v>218</v>
      </c>
      <c r="AN273" s="1" t="s">
        <v>219</v>
      </c>
      <c r="AO273" s="1" t="s">
        <v>220</v>
      </c>
      <c r="AP273" s="1" t="s">
        <v>221</v>
      </c>
      <c r="AQ273" s="1" t="s">
        <v>74</v>
      </c>
      <c r="AR273" s="1" t="s">
        <v>222</v>
      </c>
      <c r="AS273" s="1" t="s">
        <v>223</v>
      </c>
      <c r="AT273" s="1" t="s">
        <v>197</v>
      </c>
      <c r="AU273" s="1">
        <v>2017</v>
      </c>
      <c r="AV273" s="1">
        <v>24</v>
      </c>
      <c r="AW273" s="1">
        <v>35</v>
      </c>
      <c r="AX273" s="1" t="s">
        <v>74</v>
      </c>
      <c r="AY273" s="1" t="s">
        <v>74</v>
      </c>
      <c r="AZ273" s="1" t="s">
        <v>74</v>
      </c>
      <c r="BA273" s="1" t="s">
        <v>74</v>
      </c>
      <c r="BB273" s="1">
        <v>27326</v>
      </c>
      <c r="BC273" s="1">
        <v>27333</v>
      </c>
      <c r="BD273" s="1" t="s">
        <v>74</v>
      </c>
      <c r="BE273" s="1" t="s">
        <v>4957</v>
      </c>
      <c r="BF273" s="1" t="str">
        <f>HYPERLINK("http://dx.doi.org/10.1007/s11356-017-0349-8","http://dx.doi.org/10.1007/s11356-017-0349-8")</f>
        <v>http://dx.doi.org/10.1007/s11356-017-0349-8</v>
      </c>
      <c r="BG273" s="1" t="s">
        <v>74</v>
      </c>
      <c r="BH273" s="1" t="s">
        <v>74</v>
      </c>
      <c r="BI273" s="1">
        <v>8</v>
      </c>
      <c r="BJ273" s="1" t="s">
        <v>144</v>
      </c>
      <c r="BK273" s="1" t="s">
        <v>96</v>
      </c>
      <c r="BL273" s="1" t="s">
        <v>145</v>
      </c>
      <c r="BM273" s="1" t="s">
        <v>4958</v>
      </c>
      <c r="BN273" s="1">
        <v>28971261</v>
      </c>
      <c r="BO273" s="1" t="s">
        <v>74</v>
      </c>
      <c r="BP273" s="1" t="s">
        <v>74</v>
      </c>
      <c r="BQ273" s="1" t="s">
        <v>74</v>
      </c>
      <c r="BR273" s="1" t="s">
        <v>98</v>
      </c>
      <c r="BS273" s="1" t="s">
        <v>4959</v>
      </c>
      <c r="BT273" s="1" t="str">
        <f>HYPERLINK("https%3A%2F%2Fwww.webofscience.com%2Fwos%2Fwoscc%2Ffull-record%2FWOS:000417545800037","View Full Record in Web of Science")</f>
        <v>View Full Record in Web of Science</v>
      </c>
    </row>
    <row r="274" spans="1:72">
      <c r="A274" s="1" t="s">
        <v>72</v>
      </c>
      <c r="B274" s="1" t="s">
        <v>4960</v>
      </c>
      <c r="C274" s="1" t="s">
        <v>74</v>
      </c>
      <c r="D274" s="1" t="s">
        <v>74</v>
      </c>
      <c r="E274" s="1" t="s">
        <v>74</v>
      </c>
      <c r="F274" s="1" t="s">
        <v>4961</v>
      </c>
      <c r="G274" s="1" t="s">
        <v>74</v>
      </c>
      <c r="H274" s="1" t="s">
        <v>74</v>
      </c>
      <c r="I274" s="1" t="s">
        <v>4962</v>
      </c>
      <c r="J274" s="1" t="s">
        <v>4963</v>
      </c>
      <c r="K274" s="1" t="s">
        <v>74</v>
      </c>
      <c r="L274" s="1" t="s">
        <v>74</v>
      </c>
      <c r="M274" s="1" t="s">
        <v>78</v>
      </c>
      <c r="N274" s="1" t="s">
        <v>79</v>
      </c>
      <c r="O274" s="1" t="s">
        <v>74</v>
      </c>
      <c r="P274" s="1" t="s">
        <v>74</v>
      </c>
      <c r="Q274" s="1" t="s">
        <v>74</v>
      </c>
      <c r="R274" s="1" t="s">
        <v>74</v>
      </c>
      <c r="S274" s="1" t="s">
        <v>74</v>
      </c>
      <c r="T274" s="1" t="s">
        <v>4964</v>
      </c>
      <c r="U274" s="1" t="s">
        <v>4965</v>
      </c>
      <c r="V274" s="1" t="s">
        <v>4966</v>
      </c>
      <c r="W274" s="1" t="s">
        <v>4967</v>
      </c>
      <c r="X274" s="1" t="s">
        <v>4968</v>
      </c>
      <c r="Y274" s="1" t="s">
        <v>4969</v>
      </c>
      <c r="Z274" s="1" t="s">
        <v>4970</v>
      </c>
      <c r="AA274" s="1" t="s">
        <v>4971</v>
      </c>
      <c r="AB274" s="1" t="s">
        <v>4972</v>
      </c>
      <c r="AC274" s="1" t="s">
        <v>4973</v>
      </c>
      <c r="AD274" s="1" t="s">
        <v>4974</v>
      </c>
      <c r="AE274" s="1" t="s">
        <v>4975</v>
      </c>
      <c r="AF274" s="1" t="s">
        <v>74</v>
      </c>
      <c r="AG274" s="1">
        <v>44</v>
      </c>
      <c r="AH274" s="1">
        <v>4</v>
      </c>
      <c r="AI274" s="1">
        <v>4</v>
      </c>
      <c r="AJ274" s="1">
        <v>3</v>
      </c>
      <c r="AK274" s="1">
        <v>17</v>
      </c>
      <c r="AL274" s="1" t="s">
        <v>2074</v>
      </c>
      <c r="AM274" s="1" t="s">
        <v>2075</v>
      </c>
      <c r="AN274" s="1" t="s">
        <v>2076</v>
      </c>
      <c r="AO274" s="1" t="s">
        <v>4976</v>
      </c>
      <c r="AP274" s="1" t="s">
        <v>4977</v>
      </c>
      <c r="AQ274" s="1" t="s">
        <v>74</v>
      </c>
      <c r="AR274" s="1" t="s">
        <v>4978</v>
      </c>
      <c r="AS274" s="1" t="s">
        <v>4979</v>
      </c>
      <c r="AT274" s="1" t="s">
        <v>4980</v>
      </c>
      <c r="AU274" s="1">
        <v>2023</v>
      </c>
      <c r="AV274" s="1">
        <v>44</v>
      </c>
      <c r="AW274" s="1">
        <v>3</v>
      </c>
      <c r="AX274" s="1" t="s">
        <v>74</v>
      </c>
      <c r="AY274" s="1" t="s">
        <v>74</v>
      </c>
      <c r="AZ274" s="1" t="s">
        <v>74</v>
      </c>
      <c r="BA274" s="1" t="s">
        <v>74</v>
      </c>
      <c r="BB274" s="1">
        <v>354</v>
      </c>
      <c r="BC274" s="1">
        <v>370</v>
      </c>
      <c r="BD274" s="1" t="s">
        <v>74</v>
      </c>
      <c r="BE274" s="1" t="s">
        <v>4981</v>
      </c>
      <c r="BF274" s="1" t="str">
        <f>HYPERLINK("http://dx.doi.org/10.1080/09593330.2021.1971776","http://dx.doi.org/10.1080/09593330.2021.1971776")</f>
        <v>http://dx.doi.org/10.1080/09593330.2021.1971776</v>
      </c>
      <c r="BG274" s="1" t="s">
        <v>74</v>
      </c>
      <c r="BH274" s="1" t="s">
        <v>2955</v>
      </c>
      <c r="BI274" s="1">
        <v>17</v>
      </c>
      <c r="BJ274" s="1" t="s">
        <v>144</v>
      </c>
      <c r="BK274" s="1" t="s">
        <v>96</v>
      </c>
      <c r="BL274" s="1" t="s">
        <v>145</v>
      </c>
      <c r="BM274" s="1" t="s">
        <v>4982</v>
      </c>
      <c r="BN274" s="1">
        <v>34420478</v>
      </c>
      <c r="BO274" s="1" t="s">
        <v>74</v>
      </c>
      <c r="BP274" s="1" t="s">
        <v>74</v>
      </c>
      <c r="BQ274" s="1" t="s">
        <v>74</v>
      </c>
      <c r="BR274" s="1" t="s">
        <v>98</v>
      </c>
      <c r="BS274" s="1" t="s">
        <v>4983</v>
      </c>
      <c r="BT274" s="1" t="str">
        <f>HYPERLINK("https%3A%2F%2Fwww.webofscience.com%2Fwos%2Fwoscc%2Ffull-record%2FWOS:000694754100001","View Full Record in Web of Science")</f>
        <v>View Full Record in Web of Science</v>
      </c>
    </row>
    <row r="275" spans="1:72">
      <c r="A275" s="1" t="s">
        <v>72</v>
      </c>
      <c r="B275" s="1" t="s">
        <v>4984</v>
      </c>
      <c r="C275" s="1" t="s">
        <v>74</v>
      </c>
      <c r="D275" s="1" t="s">
        <v>74</v>
      </c>
      <c r="E275" s="1" t="s">
        <v>74</v>
      </c>
      <c r="F275" s="1" t="s">
        <v>4985</v>
      </c>
      <c r="G275" s="1" t="s">
        <v>74</v>
      </c>
      <c r="H275" s="1" t="s">
        <v>74</v>
      </c>
      <c r="I275" s="1" t="s">
        <v>4986</v>
      </c>
      <c r="J275" s="1" t="s">
        <v>3349</v>
      </c>
      <c r="K275" s="1" t="s">
        <v>74</v>
      </c>
      <c r="L275" s="1" t="s">
        <v>74</v>
      </c>
      <c r="M275" s="1" t="s">
        <v>78</v>
      </c>
      <c r="N275" s="1" t="s">
        <v>79</v>
      </c>
      <c r="O275" s="1" t="s">
        <v>74</v>
      </c>
      <c r="P275" s="1" t="s">
        <v>74</v>
      </c>
      <c r="Q275" s="1" t="s">
        <v>74</v>
      </c>
      <c r="R275" s="1" t="s">
        <v>74</v>
      </c>
      <c r="S275" s="1" t="s">
        <v>74</v>
      </c>
      <c r="T275" s="1" t="s">
        <v>4987</v>
      </c>
      <c r="U275" s="1" t="s">
        <v>4988</v>
      </c>
      <c r="V275" s="1" t="s">
        <v>4989</v>
      </c>
      <c r="W275" s="1" t="s">
        <v>4990</v>
      </c>
      <c r="X275" s="1" t="s">
        <v>4991</v>
      </c>
      <c r="Y275" s="1" t="s">
        <v>4992</v>
      </c>
      <c r="Z275" s="1" t="s">
        <v>4993</v>
      </c>
      <c r="AA275" s="1" t="s">
        <v>74</v>
      </c>
      <c r="AB275" s="1" t="s">
        <v>4994</v>
      </c>
      <c r="AC275" s="1" t="s">
        <v>4995</v>
      </c>
      <c r="AD275" s="1" t="s">
        <v>4996</v>
      </c>
      <c r="AE275" s="1" t="s">
        <v>4997</v>
      </c>
      <c r="AF275" s="1" t="s">
        <v>74</v>
      </c>
      <c r="AG275" s="1">
        <v>75</v>
      </c>
      <c r="AH275" s="1">
        <v>23</v>
      </c>
      <c r="AI275" s="1">
        <v>24</v>
      </c>
      <c r="AJ275" s="1">
        <v>1</v>
      </c>
      <c r="AK275" s="1">
        <v>19</v>
      </c>
      <c r="AL275" s="1" t="s">
        <v>3362</v>
      </c>
      <c r="AM275" s="1" t="s">
        <v>3363</v>
      </c>
      <c r="AN275" s="1" t="s">
        <v>3364</v>
      </c>
      <c r="AO275" s="1" t="s">
        <v>3365</v>
      </c>
      <c r="AP275" s="1" t="s">
        <v>3366</v>
      </c>
      <c r="AQ275" s="1" t="s">
        <v>74</v>
      </c>
      <c r="AR275" s="1" t="s">
        <v>3367</v>
      </c>
      <c r="AS275" s="1" t="s">
        <v>3368</v>
      </c>
      <c r="AT275" s="1" t="s">
        <v>1091</v>
      </c>
      <c r="AU275" s="1">
        <v>2020</v>
      </c>
      <c r="AV275" s="1">
        <v>196</v>
      </c>
      <c r="AW275" s="1" t="s">
        <v>74</v>
      </c>
      <c r="AX275" s="1" t="s">
        <v>74</v>
      </c>
      <c r="AY275" s="1" t="s">
        <v>74</v>
      </c>
      <c r="AZ275" s="1" t="s">
        <v>74</v>
      </c>
      <c r="BA275" s="1" t="s">
        <v>74</v>
      </c>
      <c r="BB275" s="1" t="s">
        <v>74</v>
      </c>
      <c r="BC275" s="1" t="s">
        <v>74</v>
      </c>
      <c r="BD275" s="1">
        <v>110562</v>
      </c>
      <c r="BE275" s="1" t="s">
        <v>4998</v>
      </c>
      <c r="BF275" s="1" t="str">
        <f>HYPERLINK("http://dx.doi.org/10.1016/j.ecoenv.2020.110562","http://dx.doi.org/10.1016/j.ecoenv.2020.110562")</f>
        <v>http://dx.doi.org/10.1016/j.ecoenv.2020.110562</v>
      </c>
      <c r="BG275" s="1" t="s">
        <v>74</v>
      </c>
      <c r="BH275" s="1" t="s">
        <v>74</v>
      </c>
      <c r="BI275" s="1">
        <v>10</v>
      </c>
      <c r="BJ275" s="1" t="s">
        <v>121</v>
      </c>
      <c r="BK275" s="1" t="s">
        <v>96</v>
      </c>
      <c r="BL275" s="1" t="s">
        <v>122</v>
      </c>
      <c r="BM275" s="1" t="s">
        <v>4999</v>
      </c>
      <c r="BN275" s="1">
        <v>32276164</v>
      </c>
      <c r="BO275" s="1" t="s">
        <v>74</v>
      </c>
      <c r="BP275" s="1" t="s">
        <v>74</v>
      </c>
      <c r="BQ275" s="1" t="s">
        <v>74</v>
      </c>
      <c r="BR275" s="1" t="s">
        <v>98</v>
      </c>
      <c r="BS275" s="1" t="s">
        <v>5000</v>
      </c>
      <c r="BT275" s="1" t="str">
        <f>HYPERLINK("https%3A%2F%2Fwww.webofscience.com%2Fwos%2Fwoscc%2Ffull-record%2FWOS:000525763800054","View Full Record in Web of Science")</f>
        <v>View Full Record in Web of Science</v>
      </c>
    </row>
    <row r="276" spans="1:72">
      <c r="A276" s="1" t="s">
        <v>72</v>
      </c>
      <c r="B276" s="1" t="s">
        <v>5001</v>
      </c>
      <c r="C276" s="1" t="s">
        <v>74</v>
      </c>
      <c r="D276" s="1" t="s">
        <v>74</v>
      </c>
      <c r="E276" s="1" t="s">
        <v>74</v>
      </c>
      <c r="F276" s="1" t="s">
        <v>5002</v>
      </c>
      <c r="G276" s="1" t="s">
        <v>74</v>
      </c>
      <c r="H276" s="1" t="s">
        <v>74</v>
      </c>
      <c r="I276" s="1" t="s">
        <v>5003</v>
      </c>
      <c r="J276" s="1" t="s">
        <v>421</v>
      </c>
      <c r="K276" s="1" t="s">
        <v>74</v>
      </c>
      <c r="L276" s="1" t="s">
        <v>74</v>
      </c>
      <c r="M276" s="1" t="s">
        <v>78</v>
      </c>
      <c r="N276" s="1" t="s">
        <v>79</v>
      </c>
      <c r="O276" s="1" t="s">
        <v>74</v>
      </c>
      <c r="P276" s="1" t="s">
        <v>74</v>
      </c>
      <c r="Q276" s="1" t="s">
        <v>74</v>
      </c>
      <c r="R276" s="1" t="s">
        <v>74</v>
      </c>
      <c r="S276" s="1" t="s">
        <v>74</v>
      </c>
      <c r="T276" s="1" t="s">
        <v>5004</v>
      </c>
      <c r="U276" s="1" t="s">
        <v>5005</v>
      </c>
      <c r="V276" s="1" t="s">
        <v>5006</v>
      </c>
      <c r="W276" s="1" t="s">
        <v>5007</v>
      </c>
      <c r="X276" s="1" t="s">
        <v>5008</v>
      </c>
      <c r="Y276" s="1" t="s">
        <v>5009</v>
      </c>
      <c r="Z276" s="1" t="s">
        <v>4168</v>
      </c>
      <c r="AA276" s="1" t="s">
        <v>5010</v>
      </c>
      <c r="AB276" s="1" t="s">
        <v>5011</v>
      </c>
      <c r="AC276" s="1" t="s">
        <v>5012</v>
      </c>
      <c r="AD276" s="1" t="s">
        <v>5013</v>
      </c>
      <c r="AE276" s="1" t="s">
        <v>5014</v>
      </c>
      <c r="AF276" s="1" t="s">
        <v>74</v>
      </c>
      <c r="AG276" s="1">
        <v>56</v>
      </c>
      <c r="AH276" s="1">
        <v>15</v>
      </c>
      <c r="AI276" s="1">
        <v>16</v>
      </c>
      <c r="AJ276" s="1">
        <v>5</v>
      </c>
      <c r="AK276" s="1">
        <v>71</v>
      </c>
      <c r="AL276" s="1" t="s">
        <v>430</v>
      </c>
      <c r="AM276" s="1" t="s">
        <v>137</v>
      </c>
      <c r="AN276" s="1" t="s">
        <v>431</v>
      </c>
      <c r="AO276" s="1" t="s">
        <v>432</v>
      </c>
      <c r="AP276" s="1" t="s">
        <v>1394</v>
      </c>
      <c r="AQ276" s="1" t="s">
        <v>74</v>
      </c>
      <c r="AR276" s="1" t="s">
        <v>433</v>
      </c>
      <c r="AS276" s="1" t="s">
        <v>434</v>
      </c>
      <c r="AT276" s="1" t="s">
        <v>170</v>
      </c>
      <c r="AU276" s="1">
        <v>2016</v>
      </c>
      <c r="AV276" s="1">
        <v>212</v>
      </c>
      <c r="AW276" s="1" t="s">
        <v>74</v>
      </c>
      <c r="AX276" s="1" t="s">
        <v>74</v>
      </c>
      <c r="AY276" s="1" t="s">
        <v>74</v>
      </c>
      <c r="AZ276" s="1" t="s">
        <v>74</v>
      </c>
      <c r="BA276" s="1" t="s">
        <v>74</v>
      </c>
      <c r="BB276" s="1">
        <v>550</v>
      </c>
      <c r="BC276" s="1">
        <v>558</v>
      </c>
      <c r="BD276" s="1" t="s">
        <v>74</v>
      </c>
      <c r="BE276" s="1" t="s">
        <v>5015</v>
      </c>
      <c r="BF276" s="1" t="str">
        <f>HYPERLINK("http://dx.doi.org/10.1016/j.envpol.2016.01.091","http://dx.doi.org/10.1016/j.envpol.2016.01.091")</f>
        <v>http://dx.doi.org/10.1016/j.envpol.2016.01.091</v>
      </c>
      <c r="BG276" s="1" t="s">
        <v>74</v>
      </c>
      <c r="BH276" s="1" t="s">
        <v>74</v>
      </c>
      <c r="BI276" s="1">
        <v>9</v>
      </c>
      <c r="BJ276" s="1" t="s">
        <v>144</v>
      </c>
      <c r="BK276" s="1" t="s">
        <v>96</v>
      </c>
      <c r="BL276" s="1" t="s">
        <v>145</v>
      </c>
      <c r="BM276" s="1" t="s">
        <v>5016</v>
      </c>
      <c r="BN276" s="1">
        <v>26975005</v>
      </c>
      <c r="BO276" s="1" t="s">
        <v>74</v>
      </c>
      <c r="BP276" s="1" t="s">
        <v>74</v>
      </c>
      <c r="BQ276" s="1" t="s">
        <v>74</v>
      </c>
      <c r="BR276" s="1" t="s">
        <v>98</v>
      </c>
      <c r="BS276" s="1" t="s">
        <v>5017</v>
      </c>
      <c r="BT276" s="1" t="str">
        <f>HYPERLINK("https%3A%2F%2Fwww.webofscience.com%2Fwos%2Fwoscc%2Ffull-record%2FWOS:000376800000064","View Full Record in Web of Science")</f>
        <v>View Full Record in Web of Science</v>
      </c>
    </row>
    <row r="277" spans="1:72">
      <c r="A277" s="1" t="s">
        <v>72</v>
      </c>
      <c r="B277" s="1" t="s">
        <v>5018</v>
      </c>
      <c r="C277" s="1" t="s">
        <v>74</v>
      </c>
      <c r="D277" s="1" t="s">
        <v>74</v>
      </c>
      <c r="E277" s="1" t="s">
        <v>74</v>
      </c>
      <c r="F277" s="1" t="s">
        <v>5019</v>
      </c>
      <c r="G277" s="1" t="s">
        <v>74</v>
      </c>
      <c r="H277" s="1" t="s">
        <v>74</v>
      </c>
      <c r="I277" s="1" t="s">
        <v>5020</v>
      </c>
      <c r="J277" s="1" t="s">
        <v>5021</v>
      </c>
      <c r="K277" s="1" t="s">
        <v>74</v>
      </c>
      <c r="L277" s="1" t="s">
        <v>74</v>
      </c>
      <c r="M277" s="1" t="s">
        <v>78</v>
      </c>
      <c r="N277" s="1" t="s">
        <v>79</v>
      </c>
      <c r="O277" s="1" t="s">
        <v>74</v>
      </c>
      <c r="P277" s="1" t="s">
        <v>74</v>
      </c>
      <c r="Q277" s="1" t="s">
        <v>74</v>
      </c>
      <c r="R277" s="1" t="s">
        <v>74</v>
      </c>
      <c r="S277" s="1" t="s">
        <v>74</v>
      </c>
      <c r="T277" s="1" t="s">
        <v>5022</v>
      </c>
      <c r="U277" s="1" t="s">
        <v>5023</v>
      </c>
      <c r="V277" s="1" t="s">
        <v>5024</v>
      </c>
      <c r="W277" s="1" t="s">
        <v>5025</v>
      </c>
      <c r="X277" s="1" t="s">
        <v>5026</v>
      </c>
      <c r="Y277" s="1" t="s">
        <v>5027</v>
      </c>
      <c r="Z277" s="1" t="s">
        <v>5028</v>
      </c>
      <c r="AA277" s="1" t="s">
        <v>5029</v>
      </c>
      <c r="AB277" s="1" t="s">
        <v>74</v>
      </c>
      <c r="AC277" s="1" t="s">
        <v>5030</v>
      </c>
      <c r="AD277" s="1" t="s">
        <v>5031</v>
      </c>
      <c r="AE277" s="1" t="s">
        <v>5032</v>
      </c>
      <c r="AF277" s="1" t="s">
        <v>74</v>
      </c>
      <c r="AG277" s="1">
        <v>34</v>
      </c>
      <c r="AH277" s="1">
        <v>4</v>
      </c>
      <c r="AI277" s="1">
        <v>5</v>
      </c>
      <c r="AJ277" s="1">
        <v>3</v>
      </c>
      <c r="AK277" s="1">
        <v>23</v>
      </c>
      <c r="AL277" s="1" t="s">
        <v>650</v>
      </c>
      <c r="AM277" s="1" t="s">
        <v>651</v>
      </c>
      <c r="AN277" s="1" t="s">
        <v>652</v>
      </c>
      <c r="AO277" s="1" t="s">
        <v>5033</v>
      </c>
      <c r="AP277" s="1" t="s">
        <v>5034</v>
      </c>
      <c r="AQ277" s="1" t="s">
        <v>74</v>
      </c>
      <c r="AR277" s="1" t="s">
        <v>5035</v>
      </c>
      <c r="AS277" s="1" t="s">
        <v>5036</v>
      </c>
      <c r="AT277" s="1" t="s">
        <v>765</v>
      </c>
      <c r="AU277" s="1">
        <v>2022</v>
      </c>
      <c r="AV277" s="1">
        <v>178</v>
      </c>
      <c r="AW277" s="1" t="s">
        <v>74</v>
      </c>
      <c r="AX277" s="1" t="s">
        <v>74</v>
      </c>
      <c r="AY277" s="1" t="s">
        <v>74</v>
      </c>
      <c r="AZ277" s="1" t="s">
        <v>74</v>
      </c>
      <c r="BA277" s="1" t="s">
        <v>74</v>
      </c>
      <c r="BB277" s="1" t="s">
        <v>74</v>
      </c>
      <c r="BC277" s="1" t="s">
        <v>74</v>
      </c>
      <c r="BD277" s="1">
        <v>107394</v>
      </c>
      <c r="BE277" s="1" t="s">
        <v>5037</v>
      </c>
      <c r="BF277" s="1" t="str">
        <f>HYPERLINK("http://dx.doi.org/10.1016/j.microc.2022.107394","http://dx.doi.org/10.1016/j.microc.2022.107394")</f>
        <v>http://dx.doi.org/10.1016/j.microc.2022.107394</v>
      </c>
      <c r="BG277" s="1" t="s">
        <v>74</v>
      </c>
      <c r="BH277" s="1" t="s">
        <v>5038</v>
      </c>
      <c r="BI277" s="1">
        <v>8</v>
      </c>
      <c r="BJ277" s="1" t="s">
        <v>1196</v>
      </c>
      <c r="BK277" s="1" t="s">
        <v>96</v>
      </c>
      <c r="BL277" s="1" t="s">
        <v>1197</v>
      </c>
      <c r="BM277" s="1" t="s">
        <v>5039</v>
      </c>
      <c r="BN277" s="1" t="s">
        <v>74</v>
      </c>
      <c r="BO277" s="1" t="s">
        <v>74</v>
      </c>
      <c r="BP277" s="1" t="s">
        <v>74</v>
      </c>
      <c r="BQ277" s="1" t="s">
        <v>74</v>
      </c>
      <c r="BR277" s="1" t="s">
        <v>98</v>
      </c>
      <c r="BS277" s="1" t="s">
        <v>5040</v>
      </c>
      <c r="BT277" s="1" t="str">
        <f>HYPERLINK("https%3A%2F%2Fwww.webofscience.com%2Fwos%2Fwoscc%2Ffull-record%2FWOS:000793741700010","View Full Record in Web of Science")</f>
        <v>View Full Record in Web of Science</v>
      </c>
    </row>
    <row r="278" spans="1:72">
      <c r="A278" s="1" t="s">
        <v>72</v>
      </c>
      <c r="B278" s="1" t="s">
        <v>5041</v>
      </c>
      <c r="C278" s="1" t="s">
        <v>74</v>
      </c>
      <c r="D278" s="1" t="s">
        <v>74</v>
      </c>
      <c r="E278" s="1" t="s">
        <v>74</v>
      </c>
      <c r="F278" s="1" t="s">
        <v>5042</v>
      </c>
      <c r="G278" s="1" t="s">
        <v>74</v>
      </c>
      <c r="H278" s="1" t="s">
        <v>74</v>
      </c>
      <c r="I278" s="1" t="s">
        <v>5043</v>
      </c>
      <c r="J278" s="1" t="s">
        <v>5044</v>
      </c>
      <c r="K278" s="1" t="s">
        <v>74</v>
      </c>
      <c r="L278" s="1" t="s">
        <v>74</v>
      </c>
      <c r="M278" s="1" t="s">
        <v>78</v>
      </c>
      <c r="N278" s="1" t="s">
        <v>79</v>
      </c>
      <c r="O278" s="1" t="s">
        <v>74</v>
      </c>
      <c r="P278" s="1" t="s">
        <v>74</v>
      </c>
      <c r="Q278" s="1" t="s">
        <v>74</v>
      </c>
      <c r="R278" s="1" t="s">
        <v>74</v>
      </c>
      <c r="S278" s="1" t="s">
        <v>74</v>
      </c>
      <c r="T278" s="1" t="s">
        <v>5045</v>
      </c>
      <c r="U278" s="1" t="s">
        <v>5046</v>
      </c>
      <c r="V278" s="1" t="s">
        <v>5047</v>
      </c>
      <c r="W278" s="1" t="s">
        <v>5048</v>
      </c>
      <c r="X278" s="1" t="s">
        <v>5049</v>
      </c>
      <c r="Y278" s="1" t="s">
        <v>5050</v>
      </c>
      <c r="Z278" s="1" t="s">
        <v>5051</v>
      </c>
      <c r="AA278" s="1" t="s">
        <v>5052</v>
      </c>
      <c r="AB278" s="1" t="s">
        <v>5053</v>
      </c>
      <c r="AC278" s="1" t="s">
        <v>74</v>
      </c>
      <c r="AD278" s="1" t="s">
        <v>74</v>
      </c>
      <c r="AE278" s="1" t="s">
        <v>74</v>
      </c>
      <c r="AF278" s="1" t="s">
        <v>74</v>
      </c>
      <c r="AG278" s="1">
        <v>17</v>
      </c>
      <c r="AH278" s="1">
        <v>21</v>
      </c>
      <c r="AI278" s="1">
        <v>21</v>
      </c>
      <c r="AJ278" s="1">
        <v>0</v>
      </c>
      <c r="AK278" s="1">
        <v>13</v>
      </c>
      <c r="AL278" s="1" t="s">
        <v>5054</v>
      </c>
      <c r="AM278" s="1" t="s">
        <v>5055</v>
      </c>
      <c r="AN278" s="1" t="s">
        <v>5056</v>
      </c>
      <c r="AO278" s="1" t="s">
        <v>5057</v>
      </c>
      <c r="AP278" s="1" t="s">
        <v>5058</v>
      </c>
      <c r="AQ278" s="1" t="s">
        <v>74</v>
      </c>
      <c r="AR278" s="1" t="s">
        <v>5044</v>
      </c>
      <c r="AS278" s="1" t="s">
        <v>5059</v>
      </c>
      <c r="AT278" s="1" t="s">
        <v>510</v>
      </c>
      <c r="AU278" s="1">
        <v>2018</v>
      </c>
      <c r="AV278" s="1">
        <v>66</v>
      </c>
      <c r="AW278" s="1">
        <v>6</v>
      </c>
      <c r="AX278" s="1" t="s">
        <v>74</v>
      </c>
      <c r="AY278" s="1" t="s">
        <v>74</v>
      </c>
      <c r="AZ278" s="1" t="s">
        <v>74</v>
      </c>
      <c r="BA278" s="1" t="s">
        <v>74</v>
      </c>
      <c r="BB278" s="1">
        <v>1059</v>
      </c>
      <c r="BC278" s="1">
        <v>1063</v>
      </c>
      <c r="BD278" s="1" t="s">
        <v>74</v>
      </c>
      <c r="BE278" s="1" t="s">
        <v>5060</v>
      </c>
      <c r="BF278" s="1" t="str">
        <f>HYPERLINK("http://dx.doi.org/10.31925/FARMACIA.2018.6.20","http://dx.doi.org/10.31925/FARMACIA.2018.6.20")</f>
        <v>http://dx.doi.org/10.31925/FARMACIA.2018.6.20</v>
      </c>
      <c r="BG278" s="1" t="s">
        <v>74</v>
      </c>
      <c r="BH278" s="1" t="s">
        <v>74</v>
      </c>
      <c r="BI278" s="1">
        <v>5</v>
      </c>
      <c r="BJ278" s="1" t="s">
        <v>5061</v>
      </c>
      <c r="BK278" s="1" t="s">
        <v>96</v>
      </c>
      <c r="BL278" s="1" t="s">
        <v>5061</v>
      </c>
      <c r="BM278" s="1" t="s">
        <v>5062</v>
      </c>
      <c r="BN278" s="1" t="s">
        <v>74</v>
      </c>
      <c r="BO278" s="1" t="s">
        <v>370</v>
      </c>
      <c r="BP278" s="1" t="s">
        <v>74</v>
      </c>
      <c r="BQ278" s="1" t="s">
        <v>74</v>
      </c>
      <c r="BR278" s="1" t="s">
        <v>98</v>
      </c>
      <c r="BS278" s="1" t="s">
        <v>5063</v>
      </c>
      <c r="BT278" s="1" t="str">
        <f>HYPERLINK("https%3A%2F%2Fwww.webofscience.com%2Fwos%2Fwoscc%2Ffull-record%2FWOS:000454158800021","View Full Record in Web of Science")</f>
        <v>View Full Record in Web of Science</v>
      </c>
    </row>
    <row r="279" spans="1:72">
      <c r="A279" s="1" t="s">
        <v>72</v>
      </c>
      <c r="B279" s="1" t="s">
        <v>5064</v>
      </c>
      <c r="C279" s="1" t="s">
        <v>74</v>
      </c>
      <c r="D279" s="1" t="s">
        <v>74</v>
      </c>
      <c r="E279" s="1" t="s">
        <v>74</v>
      </c>
      <c r="F279" s="1" t="s">
        <v>5065</v>
      </c>
      <c r="G279" s="1" t="s">
        <v>74</v>
      </c>
      <c r="H279" s="1" t="s">
        <v>74</v>
      </c>
      <c r="I279" s="1" t="s">
        <v>5066</v>
      </c>
      <c r="J279" s="1" t="s">
        <v>5067</v>
      </c>
      <c r="K279" s="1" t="s">
        <v>74</v>
      </c>
      <c r="L279" s="1" t="s">
        <v>74</v>
      </c>
      <c r="M279" s="1" t="s">
        <v>78</v>
      </c>
      <c r="N279" s="1" t="s">
        <v>79</v>
      </c>
      <c r="O279" s="1" t="s">
        <v>74</v>
      </c>
      <c r="P279" s="1" t="s">
        <v>74</v>
      </c>
      <c r="Q279" s="1" t="s">
        <v>74</v>
      </c>
      <c r="R279" s="1" t="s">
        <v>74</v>
      </c>
      <c r="S279" s="1" t="s">
        <v>74</v>
      </c>
      <c r="T279" s="1" t="s">
        <v>5068</v>
      </c>
      <c r="U279" s="1" t="s">
        <v>5069</v>
      </c>
      <c r="V279" s="1" t="s">
        <v>5070</v>
      </c>
      <c r="W279" s="1" t="s">
        <v>5071</v>
      </c>
      <c r="X279" s="1" t="s">
        <v>5072</v>
      </c>
      <c r="Y279" s="1" t="s">
        <v>5073</v>
      </c>
      <c r="Z279" s="1" t="s">
        <v>5074</v>
      </c>
      <c r="AA279" s="1" t="s">
        <v>5075</v>
      </c>
      <c r="AB279" s="1" t="s">
        <v>5076</v>
      </c>
      <c r="AC279" s="1" t="s">
        <v>74</v>
      </c>
      <c r="AD279" s="1" t="s">
        <v>74</v>
      </c>
      <c r="AE279" s="1" t="s">
        <v>74</v>
      </c>
      <c r="AF279" s="1" t="s">
        <v>74</v>
      </c>
      <c r="AG279" s="1">
        <v>28</v>
      </c>
      <c r="AH279" s="1">
        <v>1</v>
      </c>
      <c r="AI279" s="1">
        <v>1</v>
      </c>
      <c r="AJ279" s="1">
        <v>0</v>
      </c>
      <c r="AK279" s="1">
        <v>5</v>
      </c>
      <c r="AL279" s="1" t="s">
        <v>5077</v>
      </c>
      <c r="AM279" s="1" t="s">
        <v>5078</v>
      </c>
      <c r="AN279" s="1" t="s">
        <v>5079</v>
      </c>
      <c r="AO279" s="1" t="s">
        <v>5080</v>
      </c>
      <c r="AP279" s="1" t="s">
        <v>5081</v>
      </c>
      <c r="AQ279" s="1" t="s">
        <v>74</v>
      </c>
      <c r="AR279" s="1" t="s">
        <v>5082</v>
      </c>
      <c r="AS279" s="1" t="s">
        <v>5083</v>
      </c>
      <c r="AT279" s="1" t="s">
        <v>305</v>
      </c>
      <c r="AU279" s="1">
        <v>2011</v>
      </c>
      <c r="AV279" s="1">
        <v>6</v>
      </c>
      <c r="AW279" s="1">
        <v>2</v>
      </c>
      <c r="AX279" s="1" t="s">
        <v>74</v>
      </c>
      <c r="AY279" s="1" t="s">
        <v>74</v>
      </c>
      <c r="AZ279" s="1" t="s">
        <v>74</v>
      </c>
      <c r="BA279" s="1" t="s">
        <v>74</v>
      </c>
      <c r="BB279" s="1">
        <v>209</v>
      </c>
      <c r="BC279" s="1">
        <v>214</v>
      </c>
      <c r="BD279" s="1" t="s">
        <v>74</v>
      </c>
      <c r="BE279" s="1" t="s">
        <v>74</v>
      </c>
      <c r="BF279" s="1" t="s">
        <v>74</v>
      </c>
      <c r="BG279" s="1" t="s">
        <v>74</v>
      </c>
      <c r="BH279" s="1" t="s">
        <v>74</v>
      </c>
      <c r="BI279" s="1">
        <v>6</v>
      </c>
      <c r="BJ279" s="1" t="s">
        <v>144</v>
      </c>
      <c r="BK279" s="1" t="s">
        <v>96</v>
      </c>
      <c r="BL279" s="1" t="s">
        <v>145</v>
      </c>
      <c r="BM279" s="1" t="s">
        <v>5084</v>
      </c>
      <c r="BN279" s="1" t="s">
        <v>74</v>
      </c>
      <c r="BO279" s="1" t="s">
        <v>74</v>
      </c>
      <c r="BP279" s="1" t="s">
        <v>74</v>
      </c>
      <c r="BQ279" s="1" t="s">
        <v>74</v>
      </c>
      <c r="BR279" s="1" t="s">
        <v>98</v>
      </c>
      <c r="BS279" s="1" t="s">
        <v>5085</v>
      </c>
      <c r="BT279" s="1" t="str">
        <f>HYPERLINK("https%3A%2F%2Fwww.webofscience.com%2Fwos%2Fwoscc%2Ffull-record%2FWOS:000295907300021","View Full Record in Web of Science")</f>
        <v>View Full Record in Web of Science</v>
      </c>
    </row>
    <row r="280" spans="1:72">
      <c r="A280" s="1" t="s">
        <v>72</v>
      </c>
      <c r="B280" s="1" t="s">
        <v>5086</v>
      </c>
      <c r="C280" s="1" t="s">
        <v>74</v>
      </c>
      <c r="D280" s="1" t="s">
        <v>74</v>
      </c>
      <c r="E280" s="1" t="s">
        <v>74</v>
      </c>
      <c r="F280" s="1" t="s">
        <v>5087</v>
      </c>
      <c r="G280" s="1" t="s">
        <v>74</v>
      </c>
      <c r="H280" s="1" t="s">
        <v>74</v>
      </c>
      <c r="I280" s="1" t="s">
        <v>5088</v>
      </c>
      <c r="J280" s="1" t="s">
        <v>704</v>
      </c>
      <c r="K280" s="1" t="s">
        <v>74</v>
      </c>
      <c r="L280" s="1" t="s">
        <v>74</v>
      </c>
      <c r="M280" s="1" t="s">
        <v>78</v>
      </c>
      <c r="N280" s="1" t="s">
        <v>79</v>
      </c>
      <c r="O280" s="1" t="s">
        <v>74</v>
      </c>
      <c r="P280" s="1" t="s">
        <v>74</v>
      </c>
      <c r="Q280" s="1" t="s">
        <v>74</v>
      </c>
      <c r="R280" s="1" t="s">
        <v>74</v>
      </c>
      <c r="S280" s="1" t="s">
        <v>74</v>
      </c>
      <c r="T280" s="1" t="s">
        <v>5089</v>
      </c>
      <c r="U280" s="1" t="s">
        <v>5090</v>
      </c>
      <c r="V280" s="1" t="s">
        <v>5091</v>
      </c>
      <c r="W280" s="1" t="s">
        <v>5092</v>
      </c>
      <c r="X280" s="1" t="s">
        <v>5093</v>
      </c>
      <c r="Y280" s="1" t="s">
        <v>5094</v>
      </c>
      <c r="Z280" s="1" t="s">
        <v>5095</v>
      </c>
      <c r="AA280" s="1" t="s">
        <v>5096</v>
      </c>
      <c r="AB280" s="1" t="s">
        <v>5097</v>
      </c>
      <c r="AC280" s="1" t="s">
        <v>5098</v>
      </c>
      <c r="AD280" s="1" t="s">
        <v>5099</v>
      </c>
      <c r="AE280" s="1" t="s">
        <v>5100</v>
      </c>
      <c r="AF280" s="1" t="s">
        <v>74</v>
      </c>
      <c r="AG280" s="1">
        <v>32</v>
      </c>
      <c r="AH280" s="1">
        <v>16</v>
      </c>
      <c r="AI280" s="1">
        <v>16</v>
      </c>
      <c r="AJ280" s="1">
        <v>1</v>
      </c>
      <c r="AK280" s="1">
        <v>15</v>
      </c>
      <c r="AL280" s="1" t="s">
        <v>4010</v>
      </c>
      <c r="AM280" s="1" t="s">
        <v>1167</v>
      </c>
      <c r="AN280" s="1" t="s">
        <v>1168</v>
      </c>
      <c r="AO280" s="1" t="s">
        <v>718</v>
      </c>
      <c r="AP280" s="1" t="s">
        <v>1169</v>
      </c>
      <c r="AQ280" s="1" t="s">
        <v>74</v>
      </c>
      <c r="AR280" s="1" t="s">
        <v>719</v>
      </c>
      <c r="AS280" s="1" t="s">
        <v>720</v>
      </c>
      <c r="AT280" s="1" t="s">
        <v>5101</v>
      </c>
      <c r="AU280" s="1">
        <v>2020</v>
      </c>
      <c r="AV280" s="1">
        <v>231</v>
      </c>
      <c r="AW280" s="1">
        <v>3</v>
      </c>
      <c r="AX280" s="1" t="s">
        <v>74</v>
      </c>
      <c r="AY280" s="1" t="s">
        <v>74</v>
      </c>
      <c r="AZ280" s="1" t="s">
        <v>74</v>
      </c>
      <c r="BA280" s="1" t="s">
        <v>74</v>
      </c>
      <c r="BB280" s="1" t="s">
        <v>74</v>
      </c>
      <c r="BC280" s="1" t="s">
        <v>74</v>
      </c>
      <c r="BD280" s="1">
        <v>97</v>
      </c>
      <c r="BE280" s="1" t="s">
        <v>5102</v>
      </c>
      <c r="BF280" s="1" t="str">
        <f>HYPERLINK("http://dx.doi.org/10.1007/s11270-020-4434-0","http://dx.doi.org/10.1007/s11270-020-4434-0")</f>
        <v>http://dx.doi.org/10.1007/s11270-020-4434-0</v>
      </c>
      <c r="BG280" s="1" t="s">
        <v>74</v>
      </c>
      <c r="BH280" s="1" t="s">
        <v>74</v>
      </c>
      <c r="BI280" s="1">
        <v>8</v>
      </c>
      <c r="BJ280" s="1" t="s">
        <v>722</v>
      </c>
      <c r="BK280" s="1" t="s">
        <v>96</v>
      </c>
      <c r="BL280" s="1" t="s">
        <v>723</v>
      </c>
      <c r="BM280" s="1" t="s">
        <v>5103</v>
      </c>
      <c r="BN280" s="1" t="s">
        <v>74</v>
      </c>
      <c r="BO280" s="1" t="s">
        <v>476</v>
      </c>
      <c r="BP280" s="1" t="s">
        <v>74</v>
      </c>
      <c r="BQ280" s="1" t="s">
        <v>74</v>
      </c>
      <c r="BR280" s="1" t="s">
        <v>98</v>
      </c>
      <c r="BS280" s="1" t="s">
        <v>5104</v>
      </c>
      <c r="BT280" s="1" t="str">
        <f>HYPERLINK("https%3A%2F%2Fwww.webofscience.com%2Fwos%2Fwoscc%2Ffull-record%2FWOS:000517162900003","View Full Record in Web of Science")</f>
        <v>View Full Record in Web of Science</v>
      </c>
    </row>
    <row r="281" spans="1:72">
      <c r="A281" s="1" t="s">
        <v>72</v>
      </c>
      <c r="B281" s="1" t="s">
        <v>5105</v>
      </c>
      <c r="C281" s="1" t="s">
        <v>74</v>
      </c>
      <c r="D281" s="1" t="s">
        <v>74</v>
      </c>
      <c r="E281" s="1" t="s">
        <v>74</v>
      </c>
      <c r="F281" s="1" t="s">
        <v>5105</v>
      </c>
      <c r="G281" s="1" t="s">
        <v>74</v>
      </c>
      <c r="H281" s="1" t="s">
        <v>74</v>
      </c>
      <c r="I281" s="1" t="s">
        <v>5106</v>
      </c>
      <c r="J281" s="1" t="s">
        <v>232</v>
      </c>
      <c r="K281" s="1" t="s">
        <v>74</v>
      </c>
      <c r="L281" s="1" t="s">
        <v>74</v>
      </c>
      <c r="M281" s="1" t="s">
        <v>78</v>
      </c>
      <c r="N281" s="1" t="s">
        <v>79</v>
      </c>
      <c r="O281" s="1" t="s">
        <v>74</v>
      </c>
      <c r="P281" s="1" t="s">
        <v>74</v>
      </c>
      <c r="Q281" s="1" t="s">
        <v>74</v>
      </c>
      <c r="R281" s="1" t="s">
        <v>74</v>
      </c>
      <c r="S281" s="1" t="s">
        <v>74</v>
      </c>
      <c r="T281" s="1" t="s">
        <v>5107</v>
      </c>
      <c r="U281" s="1" t="s">
        <v>5108</v>
      </c>
      <c r="V281" s="1" t="s">
        <v>5109</v>
      </c>
      <c r="W281" s="1" t="s">
        <v>5110</v>
      </c>
      <c r="X281" s="1" t="s">
        <v>74</v>
      </c>
      <c r="Y281" s="1" t="s">
        <v>5111</v>
      </c>
      <c r="Z281" s="1" t="s">
        <v>5112</v>
      </c>
      <c r="AA281" s="1" t="s">
        <v>74</v>
      </c>
      <c r="AB281" s="1" t="s">
        <v>74</v>
      </c>
      <c r="AC281" s="1" t="s">
        <v>74</v>
      </c>
      <c r="AD281" s="1" t="s">
        <v>74</v>
      </c>
      <c r="AE281" s="1" t="s">
        <v>74</v>
      </c>
      <c r="AF281" s="1" t="s">
        <v>74</v>
      </c>
      <c r="AG281" s="1">
        <v>27</v>
      </c>
      <c r="AH281" s="1">
        <v>38</v>
      </c>
      <c r="AI281" s="1">
        <v>41</v>
      </c>
      <c r="AJ281" s="1">
        <v>0</v>
      </c>
      <c r="AK281" s="1">
        <v>18</v>
      </c>
      <c r="AL281" s="1" t="s">
        <v>136</v>
      </c>
      <c r="AM281" s="1" t="s">
        <v>137</v>
      </c>
      <c r="AN281" s="1" t="s">
        <v>138</v>
      </c>
      <c r="AO281" s="1" t="s">
        <v>240</v>
      </c>
      <c r="AP281" s="1" t="s">
        <v>241</v>
      </c>
      <c r="AQ281" s="1" t="s">
        <v>74</v>
      </c>
      <c r="AR281" s="1" t="s">
        <v>242</v>
      </c>
      <c r="AS281" s="1" t="s">
        <v>243</v>
      </c>
      <c r="AT281" s="1" t="s">
        <v>5113</v>
      </c>
      <c r="AU281" s="1">
        <v>2000</v>
      </c>
      <c r="AV281" s="1">
        <v>41</v>
      </c>
      <c r="AW281" s="1" t="s">
        <v>5114</v>
      </c>
      <c r="AX281" s="1" t="s">
        <v>74</v>
      </c>
      <c r="AY281" s="1" t="s">
        <v>74</v>
      </c>
      <c r="AZ281" s="1" t="s">
        <v>74</v>
      </c>
      <c r="BA281" s="1" t="s">
        <v>74</v>
      </c>
      <c r="BB281" s="1">
        <v>353</v>
      </c>
      <c r="BC281" s="1">
        <v>358</v>
      </c>
      <c r="BD281" s="1" t="s">
        <v>74</v>
      </c>
      <c r="BE281" s="1" t="s">
        <v>5115</v>
      </c>
      <c r="BF281" s="1" t="str">
        <f>HYPERLINK("http://dx.doi.org/10.1016/S0025-326X(00)00128-4","http://dx.doi.org/10.1016/S0025-326X(00)00128-4")</f>
        <v>http://dx.doi.org/10.1016/S0025-326X(00)00128-4</v>
      </c>
      <c r="BG281" s="1" t="s">
        <v>74</v>
      </c>
      <c r="BH281" s="1" t="s">
        <v>74</v>
      </c>
      <c r="BI281" s="1">
        <v>6</v>
      </c>
      <c r="BJ281" s="1" t="s">
        <v>247</v>
      </c>
      <c r="BK281" s="1" t="s">
        <v>96</v>
      </c>
      <c r="BL281" s="1" t="s">
        <v>248</v>
      </c>
      <c r="BM281" s="1" t="s">
        <v>5116</v>
      </c>
      <c r="BN281" s="1" t="s">
        <v>74</v>
      </c>
      <c r="BO281" s="1" t="s">
        <v>74</v>
      </c>
      <c r="BP281" s="1" t="s">
        <v>74</v>
      </c>
      <c r="BQ281" s="1" t="s">
        <v>74</v>
      </c>
      <c r="BR281" s="1" t="s">
        <v>98</v>
      </c>
      <c r="BS281" s="1" t="s">
        <v>5117</v>
      </c>
      <c r="BT281" s="1" t="str">
        <f>HYPERLINK("https%3A%2F%2Fwww.webofscience.com%2Fwos%2Fwoscc%2Ffull-record%2FWOS:000166052900012","View Full Record in Web of Science")</f>
        <v>View Full Record in Web of Science</v>
      </c>
    </row>
    <row r="282" spans="1:72">
      <c r="A282" s="1" t="s">
        <v>72</v>
      </c>
      <c r="B282" s="1" t="s">
        <v>5118</v>
      </c>
      <c r="C282" s="1" t="s">
        <v>74</v>
      </c>
      <c r="D282" s="1" t="s">
        <v>74</v>
      </c>
      <c r="E282" s="1" t="s">
        <v>74</v>
      </c>
      <c r="F282" s="1" t="s">
        <v>5119</v>
      </c>
      <c r="G282" s="1" t="s">
        <v>74</v>
      </c>
      <c r="H282" s="1" t="s">
        <v>74</v>
      </c>
      <c r="I282" s="1" t="s">
        <v>5120</v>
      </c>
      <c r="J282" s="1" t="s">
        <v>5121</v>
      </c>
      <c r="K282" s="1" t="s">
        <v>74</v>
      </c>
      <c r="L282" s="1" t="s">
        <v>74</v>
      </c>
      <c r="M282" s="1" t="s">
        <v>78</v>
      </c>
      <c r="N282" s="1" t="s">
        <v>79</v>
      </c>
      <c r="O282" s="1" t="s">
        <v>74</v>
      </c>
      <c r="P282" s="1" t="s">
        <v>74</v>
      </c>
      <c r="Q282" s="1" t="s">
        <v>74</v>
      </c>
      <c r="R282" s="1" t="s">
        <v>74</v>
      </c>
      <c r="S282" s="1" t="s">
        <v>74</v>
      </c>
      <c r="T282" s="1" t="s">
        <v>5122</v>
      </c>
      <c r="U282" s="1" t="s">
        <v>5123</v>
      </c>
      <c r="V282" s="1" t="s">
        <v>5124</v>
      </c>
      <c r="W282" s="1" t="s">
        <v>5125</v>
      </c>
      <c r="X282" s="1" t="s">
        <v>5126</v>
      </c>
      <c r="Y282" s="1" t="s">
        <v>5127</v>
      </c>
      <c r="Z282" s="1" t="s">
        <v>5128</v>
      </c>
      <c r="AA282" s="1" t="s">
        <v>74</v>
      </c>
      <c r="AB282" s="1" t="s">
        <v>74</v>
      </c>
      <c r="AC282" s="1" t="s">
        <v>5129</v>
      </c>
      <c r="AD282" s="1" t="s">
        <v>5129</v>
      </c>
      <c r="AE282" s="1" t="s">
        <v>5130</v>
      </c>
      <c r="AF282" s="1" t="s">
        <v>74</v>
      </c>
      <c r="AG282" s="1">
        <v>51</v>
      </c>
      <c r="AH282" s="1">
        <v>8</v>
      </c>
      <c r="AI282" s="1">
        <v>11</v>
      </c>
      <c r="AJ282" s="1">
        <v>3</v>
      </c>
      <c r="AK282" s="1">
        <v>44</v>
      </c>
      <c r="AL282" s="1" t="s">
        <v>2297</v>
      </c>
      <c r="AM282" s="1" t="s">
        <v>1786</v>
      </c>
      <c r="AN282" s="1" t="s">
        <v>2298</v>
      </c>
      <c r="AO282" s="1" t="s">
        <v>5131</v>
      </c>
      <c r="AP282" s="1" t="s">
        <v>5132</v>
      </c>
      <c r="AQ282" s="1" t="s">
        <v>74</v>
      </c>
      <c r="AR282" s="1" t="s">
        <v>5121</v>
      </c>
      <c r="AS282" s="1" t="s">
        <v>5133</v>
      </c>
      <c r="AT282" s="1" t="s">
        <v>197</v>
      </c>
      <c r="AU282" s="1">
        <v>2018</v>
      </c>
      <c r="AV282" s="1">
        <v>28</v>
      </c>
      <c r="AW282" s="1">
        <v>6</v>
      </c>
      <c r="AX282" s="1" t="s">
        <v>74</v>
      </c>
      <c r="AY282" s="1" t="s">
        <v>74</v>
      </c>
      <c r="AZ282" s="1" t="s">
        <v>74</v>
      </c>
      <c r="BA282" s="1" t="s">
        <v>74</v>
      </c>
      <c r="BB282" s="1">
        <v>848</v>
      </c>
      <c r="BC282" s="1">
        <v>855</v>
      </c>
      <c r="BD282" s="1" t="s">
        <v>74</v>
      </c>
      <c r="BE282" s="1" t="s">
        <v>5134</v>
      </c>
      <c r="BF282" s="1" t="str">
        <f>HYPERLINK("http://dx.doi.org/10.1016/S1002-0160(18)60047-5","http://dx.doi.org/10.1016/S1002-0160(18)60047-5")</f>
        <v>http://dx.doi.org/10.1016/S1002-0160(18)60047-5</v>
      </c>
      <c r="BG282" s="1" t="s">
        <v>74</v>
      </c>
      <c r="BH282" s="1" t="s">
        <v>74</v>
      </c>
      <c r="BI282" s="1">
        <v>8</v>
      </c>
      <c r="BJ282" s="1" t="s">
        <v>5135</v>
      </c>
      <c r="BK282" s="1" t="s">
        <v>96</v>
      </c>
      <c r="BL282" s="1" t="s">
        <v>4121</v>
      </c>
      <c r="BM282" s="1" t="s">
        <v>5136</v>
      </c>
      <c r="BN282" s="1" t="s">
        <v>74</v>
      </c>
      <c r="BO282" s="1" t="s">
        <v>74</v>
      </c>
      <c r="BP282" s="1" t="s">
        <v>74</v>
      </c>
      <c r="BQ282" s="1" t="s">
        <v>74</v>
      </c>
      <c r="BR282" s="1" t="s">
        <v>98</v>
      </c>
      <c r="BS282" s="1" t="s">
        <v>5137</v>
      </c>
      <c r="BT282" s="1" t="str">
        <f>HYPERLINK("https%3A%2F%2Fwww.webofscience.com%2Fwos%2Fwoscc%2Ffull-record%2FWOS:000456949800002","View Full Record in Web of Science")</f>
        <v>View Full Record in Web of Science</v>
      </c>
    </row>
    <row r="283" spans="1:72">
      <c r="A283" s="1" t="s">
        <v>72</v>
      </c>
      <c r="B283" s="1" t="s">
        <v>5138</v>
      </c>
      <c r="C283" s="1" t="s">
        <v>74</v>
      </c>
      <c r="D283" s="1" t="s">
        <v>74</v>
      </c>
      <c r="E283" s="1" t="s">
        <v>74</v>
      </c>
      <c r="F283" s="1" t="s">
        <v>5139</v>
      </c>
      <c r="G283" s="1" t="s">
        <v>74</v>
      </c>
      <c r="H283" s="1" t="s">
        <v>74</v>
      </c>
      <c r="I283" s="1" t="s">
        <v>5140</v>
      </c>
      <c r="J283" s="1" t="s">
        <v>5141</v>
      </c>
      <c r="K283" s="1" t="s">
        <v>74</v>
      </c>
      <c r="L283" s="1" t="s">
        <v>74</v>
      </c>
      <c r="M283" s="1" t="s">
        <v>78</v>
      </c>
      <c r="N283" s="1" t="s">
        <v>79</v>
      </c>
      <c r="O283" s="1" t="s">
        <v>74</v>
      </c>
      <c r="P283" s="1" t="s">
        <v>74</v>
      </c>
      <c r="Q283" s="1" t="s">
        <v>74</v>
      </c>
      <c r="R283" s="1" t="s">
        <v>74</v>
      </c>
      <c r="S283" s="1" t="s">
        <v>74</v>
      </c>
      <c r="T283" s="1" t="s">
        <v>5142</v>
      </c>
      <c r="U283" s="1" t="s">
        <v>5143</v>
      </c>
      <c r="V283" s="1" t="s">
        <v>5144</v>
      </c>
      <c r="W283" s="1" t="s">
        <v>5145</v>
      </c>
      <c r="X283" s="1" t="s">
        <v>5146</v>
      </c>
      <c r="Y283" s="1" t="s">
        <v>5147</v>
      </c>
      <c r="Z283" s="1" t="s">
        <v>5148</v>
      </c>
      <c r="AA283" s="1" t="s">
        <v>5149</v>
      </c>
      <c r="AB283" s="1" t="s">
        <v>5150</v>
      </c>
      <c r="AC283" s="1" t="s">
        <v>5151</v>
      </c>
      <c r="AD283" s="1" t="s">
        <v>5152</v>
      </c>
      <c r="AE283" s="1" t="s">
        <v>5153</v>
      </c>
      <c r="AF283" s="1" t="s">
        <v>74</v>
      </c>
      <c r="AG283" s="1">
        <v>56</v>
      </c>
      <c r="AH283" s="1">
        <v>76</v>
      </c>
      <c r="AI283" s="1">
        <v>81</v>
      </c>
      <c r="AJ283" s="1">
        <v>0</v>
      </c>
      <c r="AK283" s="1">
        <v>20</v>
      </c>
      <c r="AL283" s="1" t="s">
        <v>5154</v>
      </c>
      <c r="AM283" s="1" t="s">
        <v>5155</v>
      </c>
      <c r="AN283" s="1" t="s">
        <v>5156</v>
      </c>
      <c r="AO283" s="1" t="s">
        <v>5157</v>
      </c>
      <c r="AP283" s="1" t="s">
        <v>5158</v>
      </c>
      <c r="AQ283" s="1" t="s">
        <v>74</v>
      </c>
      <c r="AR283" s="1" t="s">
        <v>5159</v>
      </c>
      <c r="AS283" s="1" t="s">
        <v>5160</v>
      </c>
      <c r="AT283" s="1" t="s">
        <v>1223</v>
      </c>
      <c r="AU283" s="1">
        <v>2010</v>
      </c>
      <c r="AV283" s="1">
        <v>118</v>
      </c>
      <c r="AW283" s="1">
        <v>3</v>
      </c>
      <c r="AX283" s="1" t="s">
        <v>74</v>
      </c>
      <c r="AY283" s="1" t="s">
        <v>74</v>
      </c>
      <c r="AZ283" s="1" t="s">
        <v>74</v>
      </c>
      <c r="BA283" s="1" t="s">
        <v>74</v>
      </c>
      <c r="BB283" s="1">
        <v>331</v>
      </c>
      <c r="BC283" s="1">
        <v>337</v>
      </c>
      <c r="BD283" s="1" t="s">
        <v>74</v>
      </c>
      <c r="BE283" s="1" t="s">
        <v>5161</v>
      </c>
      <c r="BF283" s="1" t="str">
        <f>HYPERLINK("http://dx.doi.org/10.1289/ehp.0900975","http://dx.doi.org/10.1289/ehp.0900975")</f>
        <v>http://dx.doi.org/10.1289/ehp.0900975</v>
      </c>
      <c r="BG283" s="1" t="s">
        <v>74</v>
      </c>
      <c r="BH283" s="1" t="s">
        <v>74</v>
      </c>
      <c r="BI283" s="1">
        <v>7</v>
      </c>
      <c r="BJ283" s="1" t="s">
        <v>5162</v>
      </c>
      <c r="BK283" s="1" t="s">
        <v>96</v>
      </c>
      <c r="BL283" s="1" t="s">
        <v>5163</v>
      </c>
      <c r="BM283" s="1" t="s">
        <v>5164</v>
      </c>
      <c r="BN283" s="1">
        <v>20064782</v>
      </c>
      <c r="BO283" s="1" t="s">
        <v>5165</v>
      </c>
      <c r="BP283" s="1" t="s">
        <v>74</v>
      </c>
      <c r="BQ283" s="1" t="s">
        <v>74</v>
      </c>
      <c r="BR283" s="1" t="s">
        <v>98</v>
      </c>
      <c r="BS283" s="1" t="s">
        <v>5166</v>
      </c>
      <c r="BT283" s="1" t="str">
        <f>HYPERLINK("https%3A%2F%2Fwww.webofscience.com%2Fwos%2Fwoscc%2Ffull-record%2FWOS:000275449500022","View Full Record in Web of Science")</f>
        <v>View Full Record in Web of Science</v>
      </c>
    </row>
    <row r="284" spans="1:72">
      <c r="A284" s="1" t="s">
        <v>72</v>
      </c>
      <c r="B284" s="1" t="s">
        <v>5167</v>
      </c>
      <c r="C284" s="1" t="s">
        <v>74</v>
      </c>
      <c r="D284" s="1" t="s">
        <v>74</v>
      </c>
      <c r="E284" s="1" t="s">
        <v>74</v>
      </c>
      <c r="F284" s="1" t="s">
        <v>5168</v>
      </c>
      <c r="G284" s="1" t="s">
        <v>74</v>
      </c>
      <c r="H284" s="1" t="s">
        <v>74</v>
      </c>
      <c r="I284" s="1" t="s">
        <v>5169</v>
      </c>
      <c r="J284" s="1" t="s">
        <v>5170</v>
      </c>
      <c r="K284" s="1" t="s">
        <v>74</v>
      </c>
      <c r="L284" s="1" t="s">
        <v>74</v>
      </c>
      <c r="M284" s="1" t="s">
        <v>78</v>
      </c>
      <c r="N284" s="1" t="s">
        <v>79</v>
      </c>
      <c r="O284" s="1" t="s">
        <v>74</v>
      </c>
      <c r="P284" s="1" t="s">
        <v>74</v>
      </c>
      <c r="Q284" s="1" t="s">
        <v>74</v>
      </c>
      <c r="R284" s="1" t="s">
        <v>74</v>
      </c>
      <c r="S284" s="1" t="s">
        <v>74</v>
      </c>
      <c r="T284" s="1" t="s">
        <v>5171</v>
      </c>
      <c r="U284" s="1" t="s">
        <v>5172</v>
      </c>
      <c r="V284" s="1" t="s">
        <v>5173</v>
      </c>
      <c r="W284" s="1" t="s">
        <v>5174</v>
      </c>
      <c r="X284" s="1" t="s">
        <v>1417</v>
      </c>
      <c r="Y284" s="1" t="s">
        <v>5175</v>
      </c>
      <c r="Z284" s="1" t="s">
        <v>5176</v>
      </c>
      <c r="AA284" s="1" t="s">
        <v>4408</v>
      </c>
      <c r="AB284" s="1" t="s">
        <v>5177</v>
      </c>
      <c r="AC284" s="1" t="s">
        <v>74</v>
      </c>
      <c r="AD284" s="1" t="s">
        <v>74</v>
      </c>
      <c r="AE284" s="1" t="s">
        <v>74</v>
      </c>
      <c r="AF284" s="1" t="s">
        <v>74</v>
      </c>
      <c r="AG284" s="1">
        <v>55</v>
      </c>
      <c r="AH284" s="1">
        <v>75</v>
      </c>
      <c r="AI284" s="1">
        <v>80</v>
      </c>
      <c r="AJ284" s="1">
        <v>0</v>
      </c>
      <c r="AK284" s="1">
        <v>43</v>
      </c>
      <c r="AL284" s="1" t="s">
        <v>4368</v>
      </c>
      <c r="AM284" s="1" t="s">
        <v>4369</v>
      </c>
      <c r="AN284" s="1" t="s">
        <v>4370</v>
      </c>
      <c r="AO284" s="1" t="s">
        <v>5178</v>
      </c>
      <c r="AP284" s="1" t="s">
        <v>5179</v>
      </c>
      <c r="AQ284" s="1" t="s">
        <v>74</v>
      </c>
      <c r="AR284" s="1" t="s">
        <v>5170</v>
      </c>
      <c r="AS284" s="1" t="s">
        <v>5180</v>
      </c>
      <c r="AT284" s="1" t="s">
        <v>951</v>
      </c>
      <c r="AU284" s="1">
        <v>2006</v>
      </c>
      <c r="AV284" s="1">
        <v>88</v>
      </c>
      <c r="AW284" s="1">
        <v>11</v>
      </c>
      <c r="AX284" s="1" t="s">
        <v>74</v>
      </c>
      <c r="AY284" s="1" t="s">
        <v>74</v>
      </c>
      <c r="AZ284" s="1" t="s">
        <v>74</v>
      </c>
      <c r="BA284" s="1" t="s">
        <v>74</v>
      </c>
      <c r="BB284" s="1">
        <v>1787</v>
      </c>
      <c r="BC284" s="1">
        <v>1792</v>
      </c>
      <c r="BD284" s="1" t="s">
        <v>74</v>
      </c>
      <c r="BE284" s="1" t="s">
        <v>5181</v>
      </c>
      <c r="BF284" s="1" t="str">
        <f>HYPERLINK("http://dx.doi.org/10.1016/j.biochi.2006.07.021","http://dx.doi.org/10.1016/j.biochi.2006.07.021")</f>
        <v>http://dx.doi.org/10.1016/j.biochi.2006.07.021</v>
      </c>
      <c r="BG284" s="1" t="s">
        <v>74</v>
      </c>
      <c r="BH284" s="1" t="s">
        <v>74</v>
      </c>
      <c r="BI284" s="1">
        <v>6</v>
      </c>
      <c r="BJ284" s="1" t="s">
        <v>3805</v>
      </c>
      <c r="BK284" s="1" t="s">
        <v>96</v>
      </c>
      <c r="BL284" s="1" t="s">
        <v>3805</v>
      </c>
      <c r="BM284" s="1" t="s">
        <v>5182</v>
      </c>
      <c r="BN284" s="1">
        <v>16935407</v>
      </c>
      <c r="BO284" s="1" t="s">
        <v>74</v>
      </c>
      <c r="BP284" s="1" t="s">
        <v>74</v>
      </c>
      <c r="BQ284" s="1" t="s">
        <v>74</v>
      </c>
      <c r="BR284" s="1" t="s">
        <v>98</v>
      </c>
      <c r="BS284" s="1" t="s">
        <v>5183</v>
      </c>
      <c r="BT284" s="1" t="str">
        <f>HYPERLINK("https%3A%2F%2Fwww.webofscience.com%2Fwos%2Fwoscc%2Ffull-record%2FWOS:000242961300025","View Full Record in Web of Science")</f>
        <v>View Full Record in Web of Science</v>
      </c>
    </row>
    <row r="285" spans="1:72">
      <c r="A285" s="1" t="s">
        <v>72</v>
      </c>
      <c r="B285" s="1" t="s">
        <v>5184</v>
      </c>
      <c r="C285" s="1" t="s">
        <v>74</v>
      </c>
      <c r="D285" s="1" t="s">
        <v>74</v>
      </c>
      <c r="E285" s="1" t="s">
        <v>74</v>
      </c>
      <c r="F285" s="1" t="s">
        <v>5185</v>
      </c>
      <c r="G285" s="1" t="s">
        <v>74</v>
      </c>
      <c r="H285" s="1" t="s">
        <v>74</v>
      </c>
      <c r="I285" s="1" t="s">
        <v>5186</v>
      </c>
      <c r="J285" s="1" t="s">
        <v>4223</v>
      </c>
      <c r="K285" s="1" t="s">
        <v>74</v>
      </c>
      <c r="L285" s="1" t="s">
        <v>74</v>
      </c>
      <c r="M285" s="1" t="s">
        <v>78</v>
      </c>
      <c r="N285" s="1" t="s">
        <v>79</v>
      </c>
      <c r="O285" s="1" t="s">
        <v>74</v>
      </c>
      <c r="P285" s="1" t="s">
        <v>74</v>
      </c>
      <c r="Q285" s="1" t="s">
        <v>74</v>
      </c>
      <c r="R285" s="1" t="s">
        <v>74</v>
      </c>
      <c r="S285" s="1" t="s">
        <v>74</v>
      </c>
      <c r="T285" s="1" t="s">
        <v>5187</v>
      </c>
      <c r="U285" s="1" t="s">
        <v>5188</v>
      </c>
      <c r="V285" s="1" t="s">
        <v>5189</v>
      </c>
      <c r="W285" s="1" t="s">
        <v>5190</v>
      </c>
      <c r="X285" s="1" t="s">
        <v>5191</v>
      </c>
      <c r="Y285" s="1" t="s">
        <v>2660</v>
      </c>
      <c r="Z285" s="1" t="s">
        <v>3709</v>
      </c>
      <c r="AA285" s="1" t="s">
        <v>5192</v>
      </c>
      <c r="AB285" s="1" t="s">
        <v>604</v>
      </c>
      <c r="AC285" s="1" t="s">
        <v>5193</v>
      </c>
      <c r="AD285" s="1" t="s">
        <v>5194</v>
      </c>
      <c r="AE285" s="1" t="s">
        <v>5195</v>
      </c>
      <c r="AF285" s="1" t="s">
        <v>74</v>
      </c>
      <c r="AG285" s="1">
        <v>44</v>
      </c>
      <c r="AH285" s="1">
        <v>6</v>
      </c>
      <c r="AI285" s="1">
        <v>7</v>
      </c>
      <c r="AJ285" s="1">
        <v>1</v>
      </c>
      <c r="AK285" s="1">
        <v>23</v>
      </c>
      <c r="AL285" s="1" t="s">
        <v>2297</v>
      </c>
      <c r="AM285" s="1" t="s">
        <v>1786</v>
      </c>
      <c r="AN285" s="1" t="s">
        <v>4234</v>
      </c>
      <c r="AO285" s="1" t="s">
        <v>4235</v>
      </c>
      <c r="AP285" s="1" t="s">
        <v>4236</v>
      </c>
      <c r="AQ285" s="1" t="s">
        <v>74</v>
      </c>
      <c r="AR285" s="1" t="s">
        <v>4237</v>
      </c>
      <c r="AS285" s="1" t="s">
        <v>4238</v>
      </c>
      <c r="AT285" s="1" t="s">
        <v>305</v>
      </c>
      <c r="AU285" s="1">
        <v>2013</v>
      </c>
      <c r="AV285" s="1">
        <v>31</v>
      </c>
      <c r="AW285" s="1">
        <v>5</v>
      </c>
      <c r="AX285" s="1" t="s">
        <v>74</v>
      </c>
      <c r="AY285" s="1" t="s">
        <v>74</v>
      </c>
      <c r="AZ285" s="1" t="s">
        <v>74</v>
      </c>
      <c r="BA285" s="1" t="s">
        <v>74</v>
      </c>
      <c r="BB285" s="1">
        <v>1002</v>
      </c>
      <c r="BC285" s="1">
        <v>1009</v>
      </c>
      <c r="BD285" s="1" t="s">
        <v>74</v>
      </c>
      <c r="BE285" s="1" t="s">
        <v>5196</v>
      </c>
      <c r="BF285" s="1" t="str">
        <f>HYPERLINK("http://dx.doi.org/10.1007/s00343-013-2280-2","http://dx.doi.org/10.1007/s00343-013-2280-2")</f>
        <v>http://dx.doi.org/10.1007/s00343-013-2280-2</v>
      </c>
      <c r="BG285" s="1" t="s">
        <v>74</v>
      </c>
      <c r="BH285" s="1" t="s">
        <v>74</v>
      </c>
      <c r="BI285" s="1">
        <v>8</v>
      </c>
      <c r="BJ285" s="1" t="s">
        <v>4240</v>
      </c>
      <c r="BK285" s="1" t="s">
        <v>96</v>
      </c>
      <c r="BL285" s="1" t="s">
        <v>4241</v>
      </c>
      <c r="BM285" s="1" t="s">
        <v>5197</v>
      </c>
      <c r="BN285" s="1" t="s">
        <v>74</v>
      </c>
      <c r="BO285" s="1" t="s">
        <v>74</v>
      </c>
      <c r="BP285" s="1" t="s">
        <v>74</v>
      </c>
      <c r="BQ285" s="1" t="s">
        <v>74</v>
      </c>
      <c r="BR285" s="1" t="s">
        <v>98</v>
      </c>
      <c r="BS285" s="1" t="s">
        <v>5198</v>
      </c>
      <c r="BT285" s="1" t="str">
        <f>HYPERLINK("https%3A%2F%2Fwww.webofscience.com%2Fwos%2Fwoscc%2Ffull-record%2FWOS:000324111300008","View Full Record in Web of Science")</f>
        <v>View Full Record in Web of Science</v>
      </c>
    </row>
    <row r="286" spans="1:72">
      <c r="A286" s="1" t="s">
        <v>72</v>
      </c>
      <c r="B286" s="1" t="s">
        <v>5199</v>
      </c>
      <c r="C286" s="1" t="s">
        <v>74</v>
      </c>
      <c r="D286" s="1" t="s">
        <v>74</v>
      </c>
      <c r="E286" s="1" t="s">
        <v>74</v>
      </c>
      <c r="F286" s="1" t="s">
        <v>5200</v>
      </c>
      <c r="G286" s="1" t="s">
        <v>74</v>
      </c>
      <c r="H286" s="1" t="s">
        <v>74</v>
      </c>
      <c r="I286" s="1" t="s">
        <v>5201</v>
      </c>
      <c r="J286" s="1" t="s">
        <v>421</v>
      </c>
      <c r="K286" s="1" t="s">
        <v>74</v>
      </c>
      <c r="L286" s="1" t="s">
        <v>74</v>
      </c>
      <c r="M286" s="1" t="s">
        <v>78</v>
      </c>
      <c r="N286" s="1" t="s">
        <v>79</v>
      </c>
      <c r="O286" s="1" t="s">
        <v>74</v>
      </c>
      <c r="P286" s="1" t="s">
        <v>74</v>
      </c>
      <c r="Q286" s="1" t="s">
        <v>74</v>
      </c>
      <c r="R286" s="1" t="s">
        <v>74</v>
      </c>
      <c r="S286" s="1" t="s">
        <v>74</v>
      </c>
      <c r="T286" s="1" t="s">
        <v>5202</v>
      </c>
      <c r="U286" s="1" t="s">
        <v>5203</v>
      </c>
      <c r="V286" s="1" t="s">
        <v>5204</v>
      </c>
      <c r="W286" s="1" t="s">
        <v>5205</v>
      </c>
      <c r="X286" s="1" t="s">
        <v>5206</v>
      </c>
      <c r="Y286" s="1" t="s">
        <v>5207</v>
      </c>
      <c r="Z286" s="1" t="s">
        <v>5208</v>
      </c>
      <c r="AA286" s="1" t="s">
        <v>5209</v>
      </c>
      <c r="AB286" s="1" t="s">
        <v>5210</v>
      </c>
      <c r="AC286" s="1" t="s">
        <v>5211</v>
      </c>
      <c r="AD286" s="1" t="s">
        <v>5212</v>
      </c>
      <c r="AE286" s="1" t="s">
        <v>5213</v>
      </c>
      <c r="AF286" s="1" t="s">
        <v>74</v>
      </c>
      <c r="AG286" s="1">
        <v>69</v>
      </c>
      <c r="AH286" s="1">
        <v>29</v>
      </c>
      <c r="AI286" s="1">
        <v>29</v>
      </c>
      <c r="AJ286" s="1">
        <v>0</v>
      </c>
      <c r="AK286" s="1">
        <v>76</v>
      </c>
      <c r="AL286" s="1" t="s">
        <v>430</v>
      </c>
      <c r="AM286" s="1" t="s">
        <v>137</v>
      </c>
      <c r="AN286" s="1" t="s">
        <v>431</v>
      </c>
      <c r="AO286" s="1" t="s">
        <v>432</v>
      </c>
      <c r="AP286" s="1" t="s">
        <v>1394</v>
      </c>
      <c r="AQ286" s="1" t="s">
        <v>74</v>
      </c>
      <c r="AR286" s="1" t="s">
        <v>433</v>
      </c>
      <c r="AS286" s="1" t="s">
        <v>434</v>
      </c>
      <c r="AT286" s="1" t="s">
        <v>197</v>
      </c>
      <c r="AU286" s="1">
        <v>2018</v>
      </c>
      <c r="AV286" s="1">
        <v>243</v>
      </c>
      <c r="AW286" s="1" t="s">
        <v>74</v>
      </c>
      <c r="AX286" s="1" t="s">
        <v>489</v>
      </c>
      <c r="AY286" s="1" t="s">
        <v>74</v>
      </c>
      <c r="AZ286" s="1" t="s">
        <v>74</v>
      </c>
      <c r="BA286" s="1" t="s">
        <v>74</v>
      </c>
      <c r="BB286" s="1">
        <v>601</v>
      </c>
      <c r="BC286" s="1">
        <v>609</v>
      </c>
      <c r="BD286" s="1" t="s">
        <v>74</v>
      </c>
      <c r="BE286" s="1" t="s">
        <v>5214</v>
      </c>
      <c r="BF286" s="1" t="str">
        <f>HYPERLINK("http://dx.doi.org/10.1016/j.envpol.2018.09.006","http://dx.doi.org/10.1016/j.envpol.2018.09.006")</f>
        <v>http://dx.doi.org/10.1016/j.envpol.2018.09.006</v>
      </c>
      <c r="BG286" s="1" t="s">
        <v>74</v>
      </c>
      <c r="BH286" s="1" t="s">
        <v>74</v>
      </c>
      <c r="BI286" s="1">
        <v>9</v>
      </c>
      <c r="BJ286" s="1" t="s">
        <v>144</v>
      </c>
      <c r="BK286" s="1" t="s">
        <v>96</v>
      </c>
      <c r="BL286" s="1" t="s">
        <v>145</v>
      </c>
      <c r="BM286" s="1" t="s">
        <v>5215</v>
      </c>
      <c r="BN286" s="1">
        <v>30218870</v>
      </c>
      <c r="BO286" s="1" t="s">
        <v>74</v>
      </c>
      <c r="BP286" s="1" t="s">
        <v>74</v>
      </c>
      <c r="BQ286" s="1" t="s">
        <v>74</v>
      </c>
      <c r="BR286" s="1" t="s">
        <v>98</v>
      </c>
      <c r="BS286" s="1" t="s">
        <v>5216</v>
      </c>
      <c r="BT286" s="1" t="str">
        <f>HYPERLINK("https%3A%2F%2Fwww.webofscience.com%2Fwos%2Fwoscc%2Ffull-record%2FWOS:000449891800065","View Full Record in Web of Science")</f>
        <v>View Full Record in Web of Science</v>
      </c>
    </row>
    <row r="287" spans="1:72">
      <c r="A287" s="1" t="s">
        <v>72</v>
      </c>
      <c r="B287" s="1" t="s">
        <v>5217</v>
      </c>
      <c r="C287" s="1" t="s">
        <v>74</v>
      </c>
      <c r="D287" s="1" t="s">
        <v>74</v>
      </c>
      <c r="E287" s="1" t="s">
        <v>74</v>
      </c>
      <c r="F287" s="1" t="s">
        <v>5218</v>
      </c>
      <c r="G287" s="1" t="s">
        <v>74</v>
      </c>
      <c r="H287" s="1" t="s">
        <v>74</v>
      </c>
      <c r="I287" s="1" t="s">
        <v>5219</v>
      </c>
      <c r="J287" s="1" t="s">
        <v>5220</v>
      </c>
      <c r="K287" s="1" t="s">
        <v>74</v>
      </c>
      <c r="L287" s="1" t="s">
        <v>74</v>
      </c>
      <c r="M287" s="1" t="s">
        <v>78</v>
      </c>
      <c r="N287" s="1" t="s">
        <v>79</v>
      </c>
      <c r="O287" s="1" t="s">
        <v>74</v>
      </c>
      <c r="P287" s="1" t="s">
        <v>74</v>
      </c>
      <c r="Q287" s="1" t="s">
        <v>74</v>
      </c>
      <c r="R287" s="1" t="s">
        <v>74</v>
      </c>
      <c r="S287" s="1" t="s">
        <v>74</v>
      </c>
      <c r="T287" s="1" t="s">
        <v>5221</v>
      </c>
      <c r="U287" s="1" t="s">
        <v>5222</v>
      </c>
      <c r="V287" s="1" t="s">
        <v>5223</v>
      </c>
      <c r="W287" s="1" t="s">
        <v>5224</v>
      </c>
      <c r="X287" s="1" t="s">
        <v>5225</v>
      </c>
      <c r="Y287" s="1" t="s">
        <v>5226</v>
      </c>
      <c r="Z287" s="1" t="s">
        <v>5227</v>
      </c>
      <c r="AA287" s="1" t="s">
        <v>5228</v>
      </c>
      <c r="AB287" s="1" t="s">
        <v>5229</v>
      </c>
      <c r="AC287" s="1" t="s">
        <v>5230</v>
      </c>
      <c r="AD287" s="1" t="s">
        <v>5230</v>
      </c>
      <c r="AE287" s="1" t="s">
        <v>5231</v>
      </c>
      <c r="AF287" s="1" t="s">
        <v>74</v>
      </c>
      <c r="AG287" s="1">
        <v>33</v>
      </c>
      <c r="AH287" s="1">
        <v>12</v>
      </c>
      <c r="AI287" s="1">
        <v>13</v>
      </c>
      <c r="AJ287" s="1">
        <v>0</v>
      </c>
      <c r="AK287" s="1">
        <v>45</v>
      </c>
      <c r="AL287" s="1" t="s">
        <v>5232</v>
      </c>
      <c r="AM287" s="1" t="s">
        <v>286</v>
      </c>
      <c r="AN287" s="1" t="s">
        <v>5233</v>
      </c>
      <c r="AO287" s="1" t="s">
        <v>5234</v>
      </c>
      <c r="AP287" s="1" t="s">
        <v>74</v>
      </c>
      <c r="AQ287" s="1" t="s">
        <v>74</v>
      </c>
      <c r="AR287" s="1" t="s">
        <v>5235</v>
      </c>
      <c r="AS287" s="1" t="s">
        <v>5236</v>
      </c>
      <c r="AT287" s="1" t="s">
        <v>5237</v>
      </c>
      <c r="AU287" s="1">
        <v>2016</v>
      </c>
      <c r="AV287" s="1">
        <v>14</v>
      </c>
      <c r="AW287" s="1" t="s">
        <v>74</v>
      </c>
      <c r="AX287" s="1" t="s">
        <v>74</v>
      </c>
      <c r="AY287" s="1" t="s">
        <v>74</v>
      </c>
      <c r="AZ287" s="1" t="s">
        <v>74</v>
      </c>
      <c r="BA287" s="1" t="s">
        <v>74</v>
      </c>
      <c r="BB287" s="1" t="s">
        <v>74</v>
      </c>
      <c r="BC287" s="1" t="s">
        <v>74</v>
      </c>
      <c r="BD287" s="1">
        <v>5</v>
      </c>
      <c r="BE287" s="1" t="s">
        <v>5238</v>
      </c>
      <c r="BF287" s="1" t="str">
        <f>HYPERLINK("http://dx.doi.org/10.1186/s40201-016-0246-y","http://dx.doi.org/10.1186/s40201-016-0246-y")</f>
        <v>http://dx.doi.org/10.1186/s40201-016-0246-y</v>
      </c>
      <c r="BG287" s="1" t="s">
        <v>74</v>
      </c>
      <c r="BH287" s="1" t="s">
        <v>74</v>
      </c>
      <c r="BI287" s="1">
        <v>8</v>
      </c>
      <c r="BJ287" s="1" t="s">
        <v>415</v>
      </c>
      <c r="BK287" s="1" t="s">
        <v>96</v>
      </c>
      <c r="BL287" s="1" t="s">
        <v>416</v>
      </c>
      <c r="BM287" s="1" t="s">
        <v>5239</v>
      </c>
      <c r="BN287" s="1">
        <v>26900479</v>
      </c>
      <c r="BO287" s="1" t="s">
        <v>2744</v>
      </c>
      <c r="BP287" s="1" t="s">
        <v>74</v>
      </c>
      <c r="BQ287" s="1" t="s">
        <v>74</v>
      </c>
      <c r="BR287" s="1" t="s">
        <v>98</v>
      </c>
      <c r="BS287" s="1" t="s">
        <v>5240</v>
      </c>
      <c r="BT287" s="1" t="str">
        <f>HYPERLINK("https%3A%2F%2Fwww.webofscience.com%2Fwos%2Fwoscc%2Ffull-record%2FWOS:000370486000001","View Full Record in Web of Science")</f>
        <v>View Full Record in Web of Science</v>
      </c>
    </row>
    <row r="288" spans="1:72">
      <c r="A288" s="1" t="s">
        <v>72</v>
      </c>
      <c r="B288" s="1" t="s">
        <v>5241</v>
      </c>
      <c r="C288" s="1" t="s">
        <v>74</v>
      </c>
      <c r="D288" s="1" t="s">
        <v>74</v>
      </c>
      <c r="E288" s="1" t="s">
        <v>74</v>
      </c>
      <c r="F288" s="1" t="s">
        <v>5242</v>
      </c>
      <c r="G288" s="1" t="s">
        <v>74</v>
      </c>
      <c r="H288" s="1" t="s">
        <v>74</v>
      </c>
      <c r="I288" s="1" t="s">
        <v>5243</v>
      </c>
      <c r="J288" s="1" t="s">
        <v>641</v>
      </c>
      <c r="K288" s="1" t="s">
        <v>74</v>
      </c>
      <c r="L288" s="1" t="s">
        <v>74</v>
      </c>
      <c r="M288" s="1" t="s">
        <v>78</v>
      </c>
      <c r="N288" s="1" t="s">
        <v>79</v>
      </c>
      <c r="O288" s="1" t="s">
        <v>74</v>
      </c>
      <c r="P288" s="1" t="s">
        <v>74</v>
      </c>
      <c r="Q288" s="1" t="s">
        <v>74</v>
      </c>
      <c r="R288" s="1" t="s">
        <v>74</v>
      </c>
      <c r="S288" s="1" t="s">
        <v>74</v>
      </c>
      <c r="T288" s="1" t="s">
        <v>5244</v>
      </c>
      <c r="U288" s="1" t="s">
        <v>5245</v>
      </c>
      <c r="V288" s="1" t="s">
        <v>5246</v>
      </c>
      <c r="W288" s="1" t="s">
        <v>5247</v>
      </c>
      <c r="X288" s="1" t="s">
        <v>5248</v>
      </c>
      <c r="Y288" s="1" t="s">
        <v>5249</v>
      </c>
      <c r="Z288" s="1" t="s">
        <v>1162</v>
      </c>
      <c r="AA288" s="1" t="s">
        <v>5250</v>
      </c>
      <c r="AB288" s="1" t="s">
        <v>5251</v>
      </c>
      <c r="AC288" s="1" t="s">
        <v>5252</v>
      </c>
      <c r="AD288" s="1" t="s">
        <v>5253</v>
      </c>
      <c r="AE288" s="1" t="s">
        <v>5254</v>
      </c>
      <c r="AF288" s="1" t="s">
        <v>74</v>
      </c>
      <c r="AG288" s="1">
        <v>69</v>
      </c>
      <c r="AH288" s="1">
        <v>12</v>
      </c>
      <c r="AI288" s="1">
        <v>12</v>
      </c>
      <c r="AJ288" s="1">
        <v>1</v>
      </c>
      <c r="AK288" s="1">
        <v>21</v>
      </c>
      <c r="AL288" s="1" t="s">
        <v>650</v>
      </c>
      <c r="AM288" s="1" t="s">
        <v>651</v>
      </c>
      <c r="AN288" s="1" t="s">
        <v>652</v>
      </c>
      <c r="AO288" s="1" t="s">
        <v>653</v>
      </c>
      <c r="AP288" s="1" t="s">
        <v>654</v>
      </c>
      <c r="AQ288" s="1" t="s">
        <v>74</v>
      </c>
      <c r="AR288" s="1" t="s">
        <v>655</v>
      </c>
      <c r="AS288" s="1" t="s">
        <v>656</v>
      </c>
      <c r="AT288" s="1" t="s">
        <v>197</v>
      </c>
      <c r="AU288" s="1">
        <v>2019</v>
      </c>
      <c r="AV288" s="1">
        <v>217</v>
      </c>
      <c r="AW288" s="1" t="s">
        <v>74</v>
      </c>
      <c r="AX288" s="1" t="s">
        <v>74</v>
      </c>
      <c r="AY288" s="1" t="s">
        <v>74</v>
      </c>
      <c r="AZ288" s="1" t="s">
        <v>74</v>
      </c>
      <c r="BA288" s="1" t="s">
        <v>74</v>
      </c>
      <c r="BB288" s="1" t="s">
        <v>74</v>
      </c>
      <c r="BC288" s="1" t="s">
        <v>74</v>
      </c>
      <c r="BD288" s="1">
        <v>105330</v>
      </c>
      <c r="BE288" s="1" t="s">
        <v>5255</v>
      </c>
      <c r="BF288" s="1" t="str">
        <f>HYPERLINK("http://dx.doi.org/10.1016/j.aquatox.2019.105330","http://dx.doi.org/10.1016/j.aquatox.2019.105330")</f>
        <v>http://dx.doi.org/10.1016/j.aquatox.2019.105330</v>
      </c>
      <c r="BG288" s="1" t="s">
        <v>74</v>
      </c>
      <c r="BH288" s="1" t="s">
        <v>74</v>
      </c>
      <c r="BI288" s="1">
        <v>8</v>
      </c>
      <c r="BJ288" s="1" t="s">
        <v>659</v>
      </c>
      <c r="BK288" s="1" t="s">
        <v>96</v>
      </c>
      <c r="BL288" s="1" t="s">
        <v>659</v>
      </c>
      <c r="BM288" s="1" t="s">
        <v>5256</v>
      </c>
      <c r="BN288" s="1">
        <v>31704581</v>
      </c>
      <c r="BO288" s="1" t="s">
        <v>74</v>
      </c>
      <c r="BP288" s="1" t="s">
        <v>74</v>
      </c>
      <c r="BQ288" s="1" t="s">
        <v>74</v>
      </c>
      <c r="BR288" s="1" t="s">
        <v>98</v>
      </c>
      <c r="BS288" s="1" t="s">
        <v>5257</v>
      </c>
      <c r="BT288" s="1" t="str">
        <f>HYPERLINK("https%3A%2F%2Fwww.webofscience.com%2Fwos%2Fwoscc%2Ffull-record%2FWOS:000501413700004","View Full Record in Web of Science")</f>
        <v>View Full Record in Web of Science</v>
      </c>
    </row>
    <row r="289" spans="1:72">
      <c r="A289" s="1" t="s">
        <v>72</v>
      </c>
      <c r="B289" s="1" t="s">
        <v>5258</v>
      </c>
      <c r="C289" s="1" t="s">
        <v>74</v>
      </c>
      <c r="D289" s="1" t="s">
        <v>74</v>
      </c>
      <c r="E289" s="1" t="s">
        <v>74</v>
      </c>
      <c r="F289" s="1" t="s">
        <v>5258</v>
      </c>
      <c r="G289" s="1" t="s">
        <v>74</v>
      </c>
      <c r="H289" s="1" t="s">
        <v>74</v>
      </c>
      <c r="I289" s="1" t="s">
        <v>5259</v>
      </c>
      <c r="J289" s="1" t="s">
        <v>232</v>
      </c>
      <c r="K289" s="1" t="s">
        <v>74</v>
      </c>
      <c r="L289" s="1" t="s">
        <v>74</v>
      </c>
      <c r="M289" s="1" t="s">
        <v>78</v>
      </c>
      <c r="N289" s="1" t="s">
        <v>79</v>
      </c>
      <c r="O289" s="1" t="s">
        <v>74</v>
      </c>
      <c r="P289" s="1" t="s">
        <v>74</v>
      </c>
      <c r="Q289" s="1" t="s">
        <v>74</v>
      </c>
      <c r="R289" s="1" t="s">
        <v>74</v>
      </c>
      <c r="S289" s="1" t="s">
        <v>74</v>
      </c>
      <c r="T289" s="1" t="s">
        <v>74</v>
      </c>
      <c r="U289" s="1" t="s">
        <v>5260</v>
      </c>
      <c r="V289" s="1" t="s">
        <v>5261</v>
      </c>
      <c r="W289" s="1" t="s">
        <v>5262</v>
      </c>
      <c r="X289" s="1" t="s">
        <v>5263</v>
      </c>
      <c r="Y289" s="1" t="s">
        <v>5264</v>
      </c>
      <c r="Z289" s="1" t="s">
        <v>74</v>
      </c>
      <c r="AA289" s="1" t="s">
        <v>5265</v>
      </c>
      <c r="AB289" s="1" t="s">
        <v>74</v>
      </c>
      <c r="AC289" s="1" t="s">
        <v>74</v>
      </c>
      <c r="AD289" s="1" t="s">
        <v>74</v>
      </c>
      <c r="AE289" s="1" t="s">
        <v>74</v>
      </c>
      <c r="AF289" s="1" t="s">
        <v>74</v>
      </c>
      <c r="AG289" s="1">
        <v>20</v>
      </c>
      <c r="AH289" s="1">
        <v>40</v>
      </c>
      <c r="AI289" s="1">
        <v>41</v>
      </c>
      <c r="AJ289" s="1">
        <v>0</v>
      </c>
      <c r="AK289" s="1">
        <v>4</v>
      </c>
      <c r="AL289" s="1" t="s">
        <v>136</v>
      </c>
      <c r="AM289" s="1" t="s">
        <v>137</v>
      </c>
      <c r="AN289" s="1" t="s">
        <v>138</v>
      </c>
      <c r="AO289" s="1" t="s">
        <v>240</v>
      </c>
      <c r="AP289" s="1" t="s">
        <v>241</v>
      </c>
      <c r="AQ289" s="1" t="s">
        <v>74</v>
      </c>
      <c r="AR289" s="1" t="s">
        <v>242</v>
      </c>
      <c r="AS289" s="1" t="s">
        <v>243</v>
      </c>
      <c r="AT289" s="1" t="s">
        <v>1223</v>
      </c>
      <c r="AU289" s="1">
        <v>1994</v>
      </c>
      <c r="AV289" s="1">
        <v>28</v>
      </c>
      <c r="AW289" s="1">
        <v>3</v>
      </c>
      <c r="AX289" s="1" t="s">
        <v>74</v>
      </c>
      <c r="AY289" s="1" t="s">
        <v>74</v>
      </c>
      <c r="AZ289" s="1" t="s">
        <v>74</v>
      </c>
      <c r="BA289" s="1" t="s">
        <v>74</v>
      </c>
      <c r="BB289" s="1">
        <v>148</v>
      </c>
      <c r="BC289" s="1">
        <v>153</v>
      </c>
      <c r="BD289" s="1" t="s">
        <v>74</v>
      </c>
      <c r="BE289" s="1" t="s">
        <v>5266</v>
      </c>
      <c r="BF289" s="1" t="str">
        <f>HYPERLINK("http://dx.doi.org/10.1016/0025-326X(94)90390-5","http://dx.doi.org/10.1016/0025-326X(94)90390-5")</f>
        <v>http://dx.doi.org/10.1016/0025-326X(94)90390-5</v>
      </c>
      <c r="BG289" s="1" t="s">
        <v>74</v>
      </c>
      <c r="BH289" s="1" t="s">
        <v>74</v>
      </c>
      <c r="BI289" s="1">
        <v>6</v>
      </c>
      <c r="BJ289" s="1" t="s">
        <v>247</v>
      </c>
      <c r="BK289" s="1" t="s">
        <v>96</v>
      </c>
      <c r="BL289" s="1" t="s">
        <v>248</v>
      </c>
      <c r="BM289" s="1" t="s">
        <v>5267</v>
      </c>
      <c r="BN289" s="1" t="s">
        <v>74</v>
      </c>
      <c r="BO289" s="1" t="s">
        <v>74</v>
      </c>
      <c r="BP289" s="1" t="s">
        <v>74</v>
      </c>
      <c r="BQ289" s="1" t="s">
        <v>74</v>
      </c>
      <c r="BR289" s="1" t="s">
        <v>98</v>
      </c>
      <c r="BS289" s="1" t="s">
        <v>5268</v>
      </c>
      <c r="BT289" s="1" t="str">
        <f>HYPERLINK("https%3A%2F%2Fwww.webofscience.com%2Fwos%2Fwoscc%2Ffull-record%2FWOS:A1994NC45000008","View Full Record in Web of Science")</f>
        <v>View Full Record in Web of Science</v>
      </c>
    </row>
    <row r="290" spans="1:72">
      <c r="A290" s="1" t="s">
        <v>72</v>
      </c>
      <c r="B290" s="1" t="s">
        <v>5269</v>
      </c>
      <c r="C290" s="1" t="s">
        <v>74</v>
      </c>
      <c r="D290" s="1" t="s">
        <v>74</v>
      </c>
      <c r="E290" s="1" t="s">
        <v>74</v>
      </c>
      <c r="F290" s="1" t="s">
        <v>5270</v>
      </c>
      <c r="G290" s="1" t="s">
        <v>74</v>
      </c>
      <c r="H290" s="1" t="s">
        <v>74</v>
      </c>
      <c r="I290" s="1" t="s">
        <v>5271</v>
      </c>
      <c r="J290" s="1" t="s">
        <v>5272</v>
      </c>
      <c r="K290" s="1" t="s">
        <v>74</v>
      </c>
      <c r="L290" s="1" t="s">
        <v>74</v>
      </c>
      <c r="M290" s="1" t="s">
        <v>78</v>
      </c>
      <c r="N290" s="1" t="s">
        <v>79</v>
      </c>
      <c r="O290" s="1" t="s">
        <v>74</v>
      </c>
      <c r="P290" s="1" t="s">
        <v>74</v>
      </c>
      <c r="Q290" s="1" t="s">
        <v>74</v>
      </c>
      <c r="R290" s="1" t="s">
        <v>74</v>
      </c>
      <c r="S290" s="1" t="s">
        <v>74</v>
      </c>
      <c r="T290" s="1" t="s">
        <v>5273</v>
      </c>
      <c r="U290" s="1" t="s">
        <v>5274</v>
      </c>
      <c r="V290" s="1" t="s">
        <v>5275</v>
      </c>
      <c r="W290" s="1" t="s">
        <v>5276</v>
      </c>
      <c r="X290" s="1" t="s">
        <v>5277</v>
      </c>
      <c r="Y290" s="1" t="s">
        <v>5278</v>
      </c>
      <c r="Z290" s="1" t="s">
        <v>5279</v>
      </c>
      <c r="AA290" s="1" t="s">
        <v>74</v>
      </c>
      <c r="AB290" s="1" t="s">
        <v>74</v>
      </c>
      <c r="AC290" s="1" t="s">
        <v>5280</v>
      </c>
      <c r="AD290" s="1" t="s">
        <v>5280</v>
      </c>
      <c r="AE290" s="1" t="s">
        <v>5281</v>
      </c>
      <c r="AF290" s="1" t="s">
        <v>74</v>
      </c>
      <c r="AG290" s="1">
        <v>43</v>
      </c>
      <c r="AH290" s="1">
        <v>1</v>
      </c>
      <c r="AI290" s="1">
        <v>1</v>
      </c>
      <c r="AJ290" s="1">
        <v>8</v>
      </c>
      <c r="AK290" s="1">
        <v>10</v>
      </c>
      <c r="AL290" s="1" t="s">
        <v>86</v>
      </c>
      <c r="AM290" s="1" t="s">
        <v>87</v>
      </c>
      <c r="AN290" s="1" t="s">
        <v>88</v>
      </c>
      <c r="AO290" s="1" t="s">
        <v>5282</v>
      </c>
      <c r="AP290" s="1" t="s">
        <v>5283</v>
      </c>
      <c r="AQ290" s="1" t="s">
        <v>74</v>
      </c>
      <c r="AR290" s="1" t="s">
        <v>5284</v>
      </c>
      <c r="AS290" s="1" t="s">
        <v>5285</v>
      </c>
      <c r="AT290" s="1" t="s">
        <v>1223</v>
      </c>
      <c r="AU290" s="1">
        <v>2024</v>
      </c>
      <c r="AV290" s="1">
        <v>36</v>
      </c>
      <c r="AW290" s="1">
        <v>1</v>
      </c>
      <c r="AX290" s="1" t="s">
        <v>74</v>
      </c>
      <c r="AY290" s="1" t="s">
        <v>74</v>
      </c>
      <c r="AZ290" s="1" t="s">
        <v>74</v>
      </c>
      <c r="BA290" s="1" t="s">
        <v>74</v>
      </c>
      <c r="BB290" s="1" t="s">
        <v>74</v>
      </c>
      <c r="BC290" s="1" t="s">
        <v>74</v>
      </c>
      <c r="BD290" s="1" t="s">
        <v>74</v>
      </c>
      <c r="BE290" s="1" t="s">
        <v>5286</v>
      </c>
      <c r="BF290" s="1" t="str">
        <f>HYPERLINK("http://dx.doi.org/10.1002/aah.10200","http://dx.doi.org/10.1002/aah.10200")</f>
        <v>http://dx.doi.org/10.1002/aah.10200</v>
      </c>
      <c r="BG290" s="1" t="s">
        <v>74</v>
      </c>
      <c r="BH290" s="1" t="s">
        <v>5287</v>
      </c>
      <c r="BI290" s="1">
        <v>13</v>
      </c>
      <c r="BJ290" s="1" t="s">
        <v>368</v>
      </c>
      <c r="BK290" s="1" t="s">
        <v>96</v>
      </c>
      <c r="BL290" s="1" t="s">
        <v>368</v>
      </c>
      <c r="BM290" s="1" t="s">
        <v>5288</v>
      </c>
      <c r="BN290" s="1">
        <v>37753853</v>
      </c>
      <c r="BO290" s="1" t="s">
        <v>74</v>
      </c>
      <c r="BP290" s="1" t="s">
        <v>74</v>
      </c>
      <c r="BQ290" s="1" t="s">
        <v>74</v>
      </c>
      <c r="BR290" s="1" t="s">
        <v>98</v>
      </c>
      <c r="BS290" s="1" t="s">
        <v>5289</v>
      </c>
      <c r="BT290" s="1" t="str">
        <f>HYPERLINK("https%3A%2F%2Fwww.webofscience.com%2Fwos%2Fwoscc%2Ffull-record%2FWOS:001140243700001","View Full Record in Web of Science")</f>
        <v>View Full Record in Web of Science</v>
      </c>
    </row>
    <row r="291" spans="1:72">
      <c r="A291" s="1" t="s">
        <v>72</v>
      </c>
      <c r="B291" s="1" t="s">
        <v>5290</v>
      </c>
      <c r="C291" s="1" t="s">
        <v>74</v>
      </c>
      <c r="D291" s="1" t="s">
        <v>74</v>
      </c>
      <c r="E291" s="1" t="s">
        <v>74</v>
      </c>
      <c r="F291" s="1" t="s">
        <v>5291</v>
      </c>
      <c r="G291" s="1" t="s">
        <v>74</v>
      </c>
      <c r="H291" s="1" t="s">
        <v>74</v>
      </c>
      <c r="I291" s="1" t="s">
        <v>5292</v>
      </c>
      <c r="J291" s="1" t="s">
        <v>2137</v>
      </c>
      <c r="K291" s="1" t="s">
        <v>74</v>
      </c>
      <c r="L291" s="1" t="s">
        <v>74</v>
      </c>
      <c r="M291" s="1" t="s">
        <v>78</v>
      </c>
      <c r="N291" s="1" t="s">
        <v>79</v>
      </c>
      <c r="O291" s="1" t="s">
        <v>74</v>
      </c>
      <c r="P291" s="1" t="s">
        <v>74</v>
      </c>
      <c r="Q291" s="1" t="s">
        <v>74</v>
      </c>
      <c r="R291" s="1" t="s">
        <v>74</v>
      </c>
      <c r="S291" s="1" t="s">
        <v>74</v>
      </c>
      <c r="T291" s="1" t="s">
        <v>5293</v>
      </c>
      <c r="U291" s="1" t="s">
        <v>5294</v>
      </c>
      <c r="V291" s="1" t="s">
        <v>5295</v>
      </c>
      <c r="W291" s="1" t="s">
        <v>5296</v>
      </c>
      <c r="X291" s="1" t="s">
        <v>5297</v>
      </c>
      <c r="Y291" s="1" t="s">
        <v>5298</v>
      </c>
      <c r="Z291" s="1" t="s">
        <v>5299</v>
      </c>
      <c r="AA291" s="1" t="s">
        <v>5300</v>
      </c>
      <c r="AB291" s="1" t="s">
        <v>5301</v>
      </c>
      <c r="AC291" s="1" t="s">
        <v>5302</v>
      </c>
      <c r="AD291" s="1" t="s">
        <v>5302</v>
      </c>
      <c r="AE291" s="1" t="s">
        <v>5303</v>
      </c>
      <c r="AF291" s="1" t="s">
        <v>74</v>
      </c>
      <c r="AG291" s="1">
        <v>73</v>
      </c>
      <c r="AH291" s="1">
        <v>32</v>
      </c>
      <c r="AI291" s="1">
        <v>36</v>
      </c>
      <c r="AJ291" s="1">
        <v>2</v>
      </c>
      <c r="AK291" s="1">
        <v>38</v>
      </c>
      <c r="AL291" s="1" t="s">
        <v>1566</v>
      </c>
      <c r="AM291" s="1" t="s">
        <v>1567</v>
      </c>
      <c r="AN291" s="1" t="s">
        <v>1568</v>
      </c>
      <c r="AO291" s="1" t="s">
        <v>74</v>
      </c>
      <c r="AP291" s="1" t="s">
        <v>2148</v>
      </c>
      <c r="AQ291" s="1" t="s">
        <v>74</v>
      </c>
      <c r="AR291" s="1" t="s">
        <v>2149</v>
      </c>
      <c r="AS291" s="1" t="s">
        <v>2150</v>
      </c>
      <c r="AT291" s="1" t="s">
        <v>1223</v>
      </c>
      <c r="AU291" s="1">
        <v>2016</v>
      </c>
      <c r="AV291" s="1">
        <v>17</v>
      </c>
      <c r="AW291" s="1">
        <v>3</v>
      </c>
      <c r="AX291" s="1" t="s">
        <v>74</v>
      </c>
      <c r="AY291" s="1" t="s">
        <v>74</v>
      </c>
      <c r="AZ291" s="1" t="s">
        <v>74</v>
      </c>
      <c r="BA291" s="1" t="s">
        <v>74</v>
      </c>
      <c r="BB291" s="1" t="s">
        <v>74</v>
      </c>
      <c r="BC291" s="1" t="s">
        <v>74</v>
      </c>
      <c r="BD291" s="1">
        <v>361</v>
      </c>
      <c r="BE291" s="1" t="s">
        <v>5304</v>
      </c>
      <c r="BF291" s="1" t="str">
        <f>HYPERLINK("http://dx.doi.org/10.3390/ijms17030361","http://dx.doi.org/10.3390/ijms17030361")</f>
        <v>http://dx.doi.org/10.3390/ijms17030361</v>
      </c>
      <c r="BG291" s="1" t="s">
        <v>74</v>
      </c>
      <c r="BH291" s="1" t="s">
        <v>74</v>
      </c>
      <c r="BI291" s="1">
        <v>16</v>
      </c>
      <c r="BJ291" s="1" t="s">
        <v>2152</v>
      </c>
      <c r="BK291" s="1" t="s">
        <v>96</v>
      </c>
      <c r="BL291" s="1" t="s">
        <v>2153</v>
      </c>
      <c r="BM291" s="1" t="s">
        <v>5305</v>
      </c>
      <c r="BN291" s="1">
        <v>26978352</v>
      </c>
      <c r="BO291" s="1" t="s">
        <v>5306</v>
      </c>
      <c r="BP291" s="1" t="s">
        <v>74</v>
      </c>
      <c r="BQ291" s="1" t="s">
        <v>74</v>
      </c>
      <c r="BR291" s="1" t="s">
        <v>98</v>
      </c>
      <c r="BS291" s="1" t="s">
        <v>5307</v>
      </c>
      <c r="BT291" s="1" t="str">
        <f>HYPERLINK("https%3A%2F%2Fwww.webofscience.com%2Fwos%2Fwoscc%2Ffull-record%2FWOS:000373712800151","View Full Record in Web of Science")</f>
        <v>View Full Record in Web of Science</v>
      </c>
    </row>
    <row r="292" spans="1:72">
      <c r="A292" s="1" t="s">
        <v>72</v>
      </c>
      <c r="B292" s="1" t="s">
        <v>5308</v>
      </c>
      <c r="C292" s="1" t="s">
        <v>74</v>
      </c>
      <c r="D292" s="1" t="s">
        <v>74</v>
      </c>
      <c r="E292" s="1" t="s">
        <v>74</v>
      </c>
      <c r="F292" s="1" t="s">
        <v>5308</v>
      </c>
      <c r="G292" s="1" t="s">
        <v>74</v>
      </c>
      <c r="H292" s="1" t="s">
        <v>74</v>
      </c>
      <c r="I292" s="1" t="s">
        <v>5309</v>
      </c>
      <c r="J292" s="1" t="s">
        <v>5310</v>
      </c>
      <c r="K292" s="1" t="s">
        <v>74</v>
      </c>
      <c r="L292" s="1" t="s">
        <v>74</v>
      </c>
      <c r="M292" s="1" t="s">
        <v>78</v>
      </c>
      <c r="N292" s="1" t="s">
        <v>79</v>
      </c>
      <c r="O292" s="1" t="s">
        <v>74</v>
      </c>
      <c r="P292" s="1" t="s">
        <v>74</v>
      </c>
      <c r="Q292" s="1" t="s">
        <v>74</v>
      </c>
      <c r="R292" s="1" t="s">
        <v>74</v>
      </c>
      <c r="S292" s="1" t="s">
        <v>74</v>
      </c>
      <c r="T292" s="1" t="s">
        <v>5311</v>
      </c>
      <c r="U292" s="1" t="s">
        <v>5312</v>
      </c>
      <c r="V292" s="1" t="s">
        <v>5313</v>
      </c>
      <c r="W292" s="1" t="s">
        <v>5314</v>
      </c>
      <c r="X292" s="1" t="s">
        <v>5315</v>
      </c>
      <c r="Y292" s="1" t="s">
        <v>5316</v>
      </c>
      <c r="Z292" s="1" t="s">
        <v>74</v>
      </c>
      <c r="AA292" s="1" t="s">
        <v>74</v>
      </c>
      <c r="AB292" s="1" t="s">
        <v>74</v>
      </c>
      <c r="AC292" s="1" t="s">
        <v>74</v>
      </c>
      <c r="AD292" s="1" t="s">
        <v>74</v>
      </c>
      <c r="AE292" s="1" t="s">
        <v>74</v>
      </c>
      <c r="AF292" s="1" t="s">
        <v>74</v>
      </c>
      <c r="AG292" s="1">
        <v>40</v>
      </c>
      <c r="AH292" s="1">
        <v>17</v>
      </c>
      <c r="AI292" s="1">
        <v>20</v>
      </c>
      <c r="AJ292" s="1">
        <v>0</v>
      </c>
      <c r="AK292" s="1">
        <v>2</v>
      </c>
      <c r="AL292" s="1" t="s">
        <v>564</v>
      </c>
      <c r="AM292" s="1" t="s">
        <v>113</v>
      </c>
      <c r="AN292" s="1" t="s">
        <v>5317</v>
      </c>
      <c r="AO292" s="1" t="s">
        <v>5318</v>
      </c>
      <c r="AP292" s="1" t="s">
        <v>74</v>
      </c>
      <c r="AQ292" s="1" t="s">
        <v>74</v>
      </c>
      <c r="AR292" s="1" t="s">
        <v>5319</v>
      </c>
      <c r="AS292" s="1" t="s">
        <v>5320</v>
      </c>
      <c r="AT292" s="1" t="s">
        <v>267</v>
      </c>
      <c r="AU292" s="1">
        <v>1998</v>
      </c>
      <c r="AV292" s="1">
        <v>121</v>
      </c>
      <c r="AW292" s="1">
        <v>2</v>
      </c>
      <c r="AX292" s="1" t="s">
        <v>74</v>
      </c>
      <c r="AY292" s="1" t="s">
        <v>74</v>
      </c>
      <c r="AZ292" s="1" t="s">
        <v>74</v>
      </c>
      <c r="BA292" s="1" t="s">
        <v>74</v>
      </c>
      <c r="BB292" s="1">
        <v>175</v>
      </c>
      <c r="BC292" s="1">
        <v>180</v>
      </c>
      <c r="BD292" s="1" t="s">
        <v>74</v>
      </c>
      <c r="BE292" s="1" t="s">
        <v>5321</v>
      </c>
      <c r="BF292" s="1" t="str">
        <f>HYPERLINK("http://dx.doi.org/10.1016/S1095-6433(98)10119-8","http://dx.doi.org/10.1016/S1095-6433(98)10119-8")</f>
        <v>http://dx.doi.org/10.1016/S1095-6433(98)10119-8</v>
      </c>
      <c r="BG292" s="1" t="s">
        <v>74</v>
      </c>
      <c r="BH292" s="1" t="s">
        <v>74</v>
      </c>
      <c r="BI292" s="1">
        <v>6</v>
      </c>
      <c r="BJ292" s="1" t="s">
        <v>5322</v>
      </c>
      <c r="BK292" s="1" t="s">
        <v>96</v>
      </c>
      <c r="BL292" s="1" t="s">
        <v>5322</v>
      </c>
      <c r="BM292" s="1" t="s">
        <v>5323</v>
      </c>
      <c r="BN292" s="1" t="s">
        <v>74</v>
      </c>
      <c r="BO292" s="1" t="s">
        <v>74</v>
      </c>
      <c r="BP292" s="1" t="s">
        <v>74</v>
      </c>
      <c r="BQ292" s="1" t="s">
        <v>74</v>
      </c>
      <c r="BR292" s="1" t="s">
        <v>98</v>
      </c>
      <c r="BS292" s="1" t="s">
        <v>5324</v>
      </c>
      <c r="BT292" s="1" t="str">
        <f>HYPERLINK("https%3A%2F%2Fwww.webofscience.com%2Fwos%2Fwoscc%2Ffull-record%2FWOS:000077246200010","View Full Record in Web of Science")</f>
        <v>View Full Record in Web of Science</v>
      </c>
    </row>
    <row r="293" spans="1:72">
      <c r="A293" s="1" t="s">
        <v>72</v>
      </c>
      <c r="B293" s="1" t="s">
        <v>5325</v>
      </c>
      <c r="C293" s="1" t="s">
        <v>74</v>
      </c>
      <c r="D293" s="1" t="s">
        <v>74</v>
      </c>
      <c r="E293" s="1" t="s">
        <v>74</v>
      </c>
      <c r="F293" s="1" t="s">
        <v>5326</v>
      </c>
      <c r="G293" s="1" t="s">
        <v>74</v>
      </c>
      <c r="H293" s="1" t="s">
        <v>74</v>
      </c>
      <c r="I293" s="1" t="s">
        <v>5327</v>
      </c>
      <c r="J293" s="1" t="s">
        <v>3792</v>
      </c>
      <c r="K293" s="1" t="s">
        <v>74</v>
      </c>
      <c r="L293" s="1" t="s">
        <v>74</v>
      </c>
      <c r="M293" s="1" t="s">
        <v>78</v>
      </c>
      <c r="N293" s="1" t="s">
        <v>79</v>
      </c>
      <c r="O293" s="1" t="s">
        <v>74</v>
      </c>
      <c r="P293" s="1" t="s">
        <v>74</v>
      </c>
      <c r="Q293" s="1" t="s">
        <v>74</v>
      </c>
      <c r="R293" s="1" t="s">
        <v>74</v>
      </c>
      <c r="S293" s="1" t="s">
        <v>74</v>
      </c>
      <c r="T293" s="1" t="s">
        <v>5328</v>
      </c>
      <c r="U293" s="1" t="s">
        <v>5329</v>
      </c>
      <c r="V293" s="1" t="s">
        <v>5330</v>
      </c>
      <c r="W293" s="1" t="s">
        <v>5331</v>
      </c>
      <c r="X293" s="1" t="s">
        <v>5332</v>
      </c>
      <c r="Y293" s="1" t="s">
        <v>5333</v>
      </c>
      <c r="Z293" s="1" t="s">
        <v>3799</v>
      </c>
      <c r="AA293" s="1" t="s">
        <v>5334</v>
      </c>
      <c r="AB293" s="1" t="s">
        <v>5335</v>
      </c>
      <c r="AC293" s="1" t="s">
        <v>74</v>
      </c>
      <c r="AD293" s="1" t="s">
        <v>74</v>
      </c>
      <c r="AE293" s="1" t="s">
        <v>74</v>
      </c>
      <c r="AF293" s="1" t="s">
        <v>74</v>
      </c>
      <c r="AG293" s="1">
        <v>60</v>
      </c>
      <c r="AH293" s="1">
        <v>4</v>
      </c>
      <c r="AI293" s="1">
        <v>4</v>
      </c>
      <c r="AJ293" s="1">
        <v>2</v>
      </c>
      <c r="AK293" s="1">
        <v>5</v>
      </c>
      <c r="AL293" s="1" t="s">
        <v>1566</v>
      </c>
      <c r="AM293" s="1" t="s">
        <v>1567</v>
      </c>
      <c r="AN293" s="1" t="s">
        <v>1568</v>
      </c>
      <c r="AO293" s="1" t="s">
        <v>74</v>
      </c>
      <c r="AP293" s="1" t="s">
        <v>3802</v>
      </c>
      <c r="AQ293" s="1" t="s">
        <v>74</v>
      </c>
      <c r="AR293" s="1" t="s">
        <v>3792</v>
      </c>
      <c r="AS293" s="1" t="s">
        <v>3803</v>
      </c>
      <c r="AT293" s="1" t="s">
        <v>197</v>
      </c>
      <c r="AU293" s="1">
        <v>2023</v>
      </c>
      <c r="AV293" s="1">
        <v>13</v>
      </c>
      <c r="AW293" s="1">
        <v>12</v>
      </c>
      <c r="AX293" s="1" t="s">
        <v>74</v>
      </c>
      <c r="AY293" s="1" t="s">
        <v>74</v>
      </c>
      <c r="AZ293" s="1" t="s">
        <v>74</v>
      </c>
      <c r="BA293" s="1" t="s">
        <v>74</v>
      </c>
      <c r="BB293" s="1" t="s">
        <v>74</v>
      </c>
      <c r="BC293" s="1" t="s">
        <v>74</v>
      </c>
      <c r="BD293" s="1">
        <v>1168</v>
      </c>
      <c r="BE293" s="1" t="s">
        <v>5336</v>
      </c>
      <c r="BF293" s="1" t="str">
        <f>HYPERLINK("http://dx.doi.org/10.3390/metabo13121168","http://dx.doi.org/10.3390/metabo13121168")</f>
        <v>http://dx.doi.org/10.3390/metabo13121168</v>
      </c>
      <c r="BG293" s="1" t="s">
        <v>74</v>
      </c>
      <c r="BH293" s="1" t="s">
        <v>74</v>
      </c>
      <c r="BI293" s="1">
        <v>13</v>
      </c>
      <c r="BJ293" s="1" t="s">
        <v>3805</v>
      </c>
      <c r="BK293" s="1" t="s">
        <v>96</v>
      </c>
      <c r="BL293" s="1" t="s">
        <v>3805</v>
      </c>
      <c r="BM293" s="1" t="s">
        <v>5337</v>
      </c>
      <c r="BN293" s="1">
        <v>38132850</v>
      </c>
      <c r="BO293" s="1" t="s">
        <v>550</v>
      </c>
      <c r="BP293" s="1" t="s">
        <v>74</v>
      </c>
      <c r="BQ293" s="1" t="s">
        <v>74</v>
      </c>
      <c r="BR293" s="1" t="s">
        <v>98</v>
      </c>
      <c r="BS293" s="1" t="s">
        <v>5338</v>
      </c>
      <c r="BT293" s="1" t="str">
        <f>HYPERLINK("https%3A%2F%2Fwww.webofscience.com%2Fwos%2Fwoscc%2Ffull-record%2FWOS:001132426500001","View Full Record in Web of Science")</f>
        <v>View Full Record in Web of Science</v>
      </c>
    </row>
    <row r="294" spans="1:72">
      <c r="A294" s="1" t="s">
        <v>72</v>
      </c>
      <c r="B294" s="1" t="s">
        <v>5339</v>
      </c>
      <c r="C294" s="1" t="s">
        <v>74</v>
      </c>
      <c r="D294" s="1" t="s">
        <v>74</v>
      </c>
      <c r="E294" s="1" t="s">
        <v>74</v>
      </c>
      <c r="F294" s="1" t="s">
        <v>5340</v>
      </c>
      <c r="G294" s="1" t="s">
        <v>74</v>
      </c>
      <c r="H294" s="1" t="s">
        <v>74</v>
      </c>
      <c r="I294" s="1" t="s">
        <v>5341</v>
      </c>
      <c r="J294" s="1" t="s">
        <v>641</v>
      </c>
      <c r="K294" s="1" t="s">
        <v>74</v>
      </c>
      <c r="L294" s="1" t="s">
        <v>74</v>
      </c>
      <c r="M294" s="1" t="s">
        <v>78</v>
      </c>
      <c r="N294" s="1" t="s">
        <v>79</v>
      </c>
      <c r="O294" s="1" t="s">
        <v>74</v>
      </c>
      <c r="P294" s="1" t="s">
        <v>74</v>
      </c>
      <c r="Q294" s="1" t="s">
        <v>74</v>
      </c>
      <c r="R294" s="1" t="s">
        <v>74</v>
      </c>
      <c r="S294" s="1" t="s">
        <v>74</v>
      </c>
      <c r="T294" s="1" t="s">
        <v>5342</v>
      </c>
      <c r="U294" s="1" t="s">
        <v>5343</v>
      </c>
      <c r="V294" s="1" t="s">
        <v>5344</v>
      </c>
      <c r="W294" s="1" t="s">
        <v>5345</v>
      </c>
      <c r="X294" s="1" t="s">
        <v>5346</v>
      </c>
      <c r="Y294" s="1" t="s">
        <v>5347</v>
      </c>
      <c r="Z294" s="1" t="s">
        <v>5348</v>
      </c>
      <c r="AA294" s="1" t="s">
        <v>5349</v>
      </c>
      <c r="AB294" s="1" t="s">
        <v>5350</v>
      </c>
      <c r="AC294" s="1" t="s">
        <v>74</v>
      </c>
      <c r="AD294" s="1" t="s">
        <v>74</v>
      </c>
      <c r="AE294" s="1" t="s">
        <v>74</v>
      </c>
      <c r="AF294" s="1" t="s">
        <v>74</v>
      </c>
      <c r="AG294" s="1">
        <v>51</v>
      </c>
      <c r="AH294" s="1">
        <v>36</v>
      </c>
      <c r="AI294" s="1">
        <v>40</v>
      </c>
      <c r="AJ294" s="1">
        <v>3</v>
      </c>
      <c r="AK294" s="1">
        <v>22</v>
      </c>
      <c r="AL294" s="1" t="s">
        <v>919</v>
      </c>
      <c r="AM294" s="1" t="s">
        <v>651</v>
      </c>
      <c r="AN294" s="1" t="s">
        <v>920</v>
      </c>
      <c r="AO294" s="1" t="s">
        <v>653</v>
      </c>
      <c r="AP294" s="1" t="s">
        <v>654</v>
      </c>
      <c r="AQ294" s="1" t="s">
        <v>74</v>
      </c>
      <c r="AR294" s="1" t="s">
        <v>655</v>
      </c>
      <c r="AS294" s="1" t="s">
        <v>656</v>
      </c>
      <c r="AT294" s="1" t="s">
        <v>1091</v>
      </c>
      <c r="AU294" s="1">
        <v>2006</v>
      </c>
      <c r="AV294" s="1">
        <v>78</v>
      </c>
      <c r="AW294" s="1">
        <v>2</v>
      </c>
      <c r="AX294" s="1" t="s">
        <v>74</v>
      </c>
      <c r="AY294" s="1" t="s">
        <v>74</v>
      </c>
      <c r="AZ294" s="1" t="s">
        <v>74</v>
      </c>
      <c r="BA294" s="1" t="s">
        <v>74</v>
      </c>
      <c r="BB294" s="1">
        <v>149</v>
      </c>
      <c r="BC294" s="1">
        <v>156</v>
      </c>
      <c r="BD294" s="1" t="s">
        <v>74</v>
      </c>
      <c r="BE294" s="1" t="s">
        <v>5351</v>
      </c>
      <c r="BF294" s="1" t="str">
        <f>HYPERLINK("http://dx.doi.org/10.1016/j.aquatox.2006.02.028","http://dx.doi.org/10.1016/j.aquatox.2006.02.028")</f>
        <v>http://dx.doi.org/10.1016/j.aquatox.2006.02.028</v>
      </c>
      <c r="BG294" s="1" t="s">
        <v>74</v>
      </c>
      <c r="BH294" s="1" t="s">
        <v>74</v>
      </c>
      <c r="BI294" s="1">
        <v>8</v>
      </c>
      <c r="BJ294" s="1" t="s">
        <v>659</v>
      </c>
      <c r="BK294" s="1" t="s">
        <v>96</v>
      </c>
      <c r="BL294" s="1" t="s">
        <v>659</v>
      </c>
      <c r="BM294" s="1" t="s">
        <v>5352</v>
      </c>
      <c r="BN294" s="1">
        <v>16616788</v>
      </c>
      <c r="BO294" s="1" t="s">
        <v>1752</v>
      </c>
      <c r="BP294" s="1" t="s">
        <v>74</v>
      </c>
      <c r="BQ294" s="1" t="s">
        <v>74</v>
      </c>
      <c r="BR294" s="1" t="s">
        <v>98</v>
      </c>
      <c r="BS294" s="1" t="s">
        <v>5353</v>
      </c>
      <c r="BT294" s="1" t="str">
        <f>HYPERLINK("https%3A%2F%2Fwww.webofscience.com%2Fwos%2Fwoscc%2Ffull-record%2FWOS:000238110100005","View Full Record in Web of Science")</f>
        <v>View Full Record in Web of Science</v>
      </c>
    </row>
    <row r="295" spans="1:72">
      <c r="A295" s="1" t="s">
        <v>72</v>
      </c>
      <c r="B295" s="1" t="s">
        <v>5354</v>
      </c>
      <c r="C295" s="1" t="s">
        <v>74</v>
      </c>
      <c r="D295" s="1" t="s">
        <v>74</v>
      </c>
      <c r="E295" s="1" t="s">
        <v>74</v>
      </c>
      <c r="F295" s="1" t="s">
        <v>5355</v>
      </c>
      <c r="G295" s="1" t="s">
        <v>74</v>
      </c>
      <c r="H295" s="1" t="s">
        <v>74</v>
      </c>
      <c r="I295" s="1" t="s">
        <v>5356</v>
      </c>
      <c r="J295" s="1" t="s">
        <v>2063</v>
      </c>
      <c r="K295" s="1" t="s">
        <v>74</v>
      </c>
      <c r="L295" s="1" t="s">
        <v>74</v>
      </c>
      <c r="M295" s="1" t="s">
        <v>78</v>
      </c>
      <c r="N295" s="1" t="s">
        <v>79</v>
      </c>
      <c r="O295" s="1" t="s">
        <v>74</v>
      </c>
      <c r="P295" s="1" t="s">
        <v>74</v>
      </c>
      <c r="Q295" s="1" t="s">
        <v>74</v>
      </c>
      <c r="R295" s="1" t="s">
        <v>74</v>
      </c>
      <c r="S295" s="1" t="s">
        <v>74</v>
      </c>
      <c r="T295" s="1" t="s">
        <v>5357</v>
      </c>
      <c r="U295" s="1" t="s">
        <v>5358</v>
      </c>
      <c r="V295" s="1" t="s">
        <v>5359</v>
      </c>
      <c r="W295" s="1" t="s">
        <v>5360</v>
      </c>
      <c r="X295" s="1" t="s">
        <v>5361</v>
      </c>
      <c r="Y295" s="1" t="s">
        <v>5362</v>
      </c>
      <c r="Z295" s="1" t="s">
        <v>5363</v>
      </c>
      <c r="AA295" s="1" t="s">
        <v>5364</v>
      </c>
      <c r="AB295" s="1" t="s">
        <v>74</v>
      </c>
      <c r="AC295" s="1" t="s">
        <v>74</v>
      </c>
      <c r="AD295" s="1" t="s">
        <v>74</v>
      </c>
      <c r="AE295" s="1" t="s">
        <v>74</v>
      </c>
      <c r="AF295" s="1" t="s">
        <v>74</v>
      </c>
      <c r="AG295" s="1">
        <v>50</v>
      </c>
      <c r="AH295" s="1">
        <v>6</v>
      </c>
      <c r="AI295" s="1">
        <v>6</v>
      </c>
      <c r="AJ295" s="1">
        <v>1</v>
      </c>
      <c r="AK295" s="1">
        <v>18</v>
      </c>
      <c r="AL295" s="1" t="s">
        <v>2074</v>
      </c>
      <c r="AM295" s="1" t="s">
        <v>2075</v>
      </c>
      <c r="AN295" s="1" t="s">
        <v>5365</v>
      </c>
      <c r="AO295" s="1" t="s">
        <v>2077</v>
      </c>
      <c r="AP295" s="1" t="s">
        <v>74</v>
      </c>
      <c r="AQ295" s="1" t="s">
        <v>74</v>
      </c>
      <c r="AR295" s="1" t="s">
        <v>2079</v>
      </c>
      <c r="AS295" s="1" t="s">
        <v>2080</v>
      </c>
      <c r="AT295" s="1" t="s">
        <v>74</v>
      </c>
      <c r="AU295" s="1">
        <v>2008</v>
      </c>
      <c r="AV295" s="1">
        <v>24</v>
      </c>
      <c r="AW295" s="1">
        <v>1</v>
      </c>
      <c r="AX295" s="1" t="s">
        <v>74</v>
      </c>
      <c r="AY295" s="1" t="s">
        <v>74</v>
      </c>
      <c r="AZ295" s="1" t="s">
        <v>74</v>
      </c>
      <c r="BA295" s="1" t="s">
        <v>74</v>
      </c>
      <c r="BB295" s="1">
        <v>61</v>
      </c>
      <c r="BC295" s="1">
        <v>74</v>
      </c>
      <c r="BD295" s="1" t="s">
        <v>74</v>
      </c>
      <c r="BE295" s="1" t="s">
        <v>5366</v>
      </c>
      <c r="BF295" s="1" t="str">
        <f>HYPERLINK("http://dx.doi.org/10.1080/02757540701814945","http://dx.doi.org/10.1080/02757540701814945")</f>
        <v>http://dx.doi.org/10.1080/02757540701814945</v>
      </c>
      <c r="BG295" s="1" t="s">
        <v>74</v>
      </c>
      <c r="BH295" s="1" t="s">
        <v>74</v>
      </c>
      <c r="BI295" s="1">
        <v>14</v>
      </c>
      <c r="BJ295" s="1" t="s">
        <v>2083</v>
      </c>
      <c r="BK295" s="1" t="s">
        <v>96</v>
      </c>
      <c r="BL295" s="1" t="s">
        <v>2084</v>
      </c>
      <c r="BM295" s="1" t="s">
        <v>5367</v>
      </c>
      <c r="BN295" s="1" t="s">
        <v>74</v>
      </c>
      <c r="BO295" s="1" t="s">
        <v>74</v>
      </c>
      <c r="BP295" s="1" t="s">
        <v>74</v>
      </c>
      <c r="BQ295" s="1" t="s">
        <v>74</v>
      </c>
      <c r="BR295" s="1" t="s">
        <v>98</v>
      </c>
      <c r="BS295" s="1" t="s">
        <v>5368</v>
      </c>
      <c r="BT295" s="1" t="str">
        <f>HYPERLINK("https%3A%2F%2Fwww.webofscience.com%2Fwos%2Fwoscc%2Ffull-record%2FWOS:000253335500006","View Full Record in Web of Science")</f>
        <v>View Full Record in Web of Science</v>
      </c>
    </row>
    <row r="296" spans="1:72">
      <c r="A296" s="1" t="s">
        <v>72</v>
      </c>
      <c r="B296" s="1" t="s">
        <v>5369</v>
      </c>
      <c r="C296" s="1" t="s">
        <v>74</v>
      </c>
      <c r="D296" s="1" t="s">
        <v>74</v>
      </c>
      <c r="E296" s="1" t="s">
        <v>74</v>
      </c>
      <c r="F296" s="1" t="s">
        <v>5369</v>
      </c>
      <c r="G296" s="1" t="s">
        <v>74</v>
      </c>
      <c r="H296" s="1" t="s">
        <v>74</v>
      </c>
      <c r="I296" s="1" t="s">
        <v>5370</v>
      </c>
      <c r="J296" s="1" t="s">
        <v>421</v>
      </c>
      <c r="K296" s="1" t="s">
        <v>74</v>
      </c>
      <c r="L296" s="1" t="s">
        <v>74</v>
      </c>
      <c r="M296" s="1" t="s">
        <v>78</v>
      </c>
      <c r="N296" s="1" t="s">
        <v>79</v>
      </c>
      <c r="O296" s="1" t="s">
        <v>74</v>
      </c>
      <c r="P296" s="1" t="s">
        <v>74</v>
      </c>
      <c r="Q296" s="1" t="s">
        <v>74</v>
      </c>
      <c r="R296" s="1" t="s">
        <v>74</v>
      </c>
      <c r="S296" s="1" t="s">
        <v>74</v>
      </c>
      <c r="T296" s="1" t="s">
        <v>5371</v>
      </c>
      <c r="U296" s="1" t="s">
        <v>5372</v>
      </c>
      <c r="V296" s="1" t="s">
        <v>5373</v>
      </c>
      <c r="W296" s="1" t="s">
        <v>1699</v>
      </c>
      <c r="X296" s="1" t="s">
        <v>1481</v>
      </c>
      <c r="Y296" s="1" t="s">
        <v>303</v>
      </c>
      <c r="Z296" s="1" t="s">
        <v>1483</v>
      </c>
      <c r="AA296" s="1" t="s">
        <v>5374</v>
      </c>
      <c r="AB296" s="1" t="s">
        <v>5375</v>
      </c>
      <c r="AC296" s="1" t="s">
        <v>74</v>
      </c>
      <c r="AD296" s="1" t="s">
        <v>74</v>
      </c>
      <c r="AE296" s="1" t="s">
        <v>74</v>
      </c>
      <c r="AF296" s="1" t="s">
        <v>74</v>
      </c>
      <c r="AG296" s="1">
        <v>36</v>
      </c>
      <c r="AH296" s="1">
        <v>45</v>
      </c>
      <c r="AI296" s="1">
        <v>51</v>
      </c>
      <c r="AJ296" s="1">
        <v>2</v>
      </c>
      <c r="AK296" s="1">
        <v>40</v>
      </c>
      <c r="AL296" s="1" t="s">
        <v>430</v>
      </c>
      <c r="AM296" s="1" t="s">
        <v>137</v>
      </c>
      <c r="AN296" s="1" t="s">
        <v>431</v>
      </c>
      <c r="AO296" s="1" t="s">
        <v>432</v>
      </c>
      <c r="AP296" s="1" t="s">
        <v>1394</v>
      </c>
      <c r="AQ296" s="1" t="s">
        <v>74</v>
      </c>
      <c r="AR296" s="1" t="s">
        <v>433</v>
      </c>
      <c r="AS296" s="1" t="s">
        <v>434</v>
      </c>
      <c r="AT296" s="1" t="s">
        <v>951</v>
      </c>
      <c r="AU296" s="1">
        <v>2004</v>
      </c>
      <c r="AV296" s="1">
        <v>132</v>
      </c>
      <c r="AW296" s="1">
        <v>2</v>
      </c>
      <c r="AX296" s="1" t="s">
        <v>74</v>
      </c>
      <c r="AY296" s="1" t="s">
        <v>74</v>
      </c>
      <c r="AZ296" s="1" t="s">
        <v>74</v>
      </c>
      <c r="BA296" s="1" t="s">
        <v>74</v>
      </c>
      <c r="BB296" s="1">
        <v>265</v>
      </c>
      <c r="BC296" s="1">
        <v>277</v>
      </c>
      <c r="BD296" s="1" t="s">
        <v>74</v>
      </c>
      <c r="BE296" s="1" t="s">
        <v>5376</v>
      </c>
      <c r="BF296" s="1" t="str">
        <f>HYPERLINK("http://dx.doi.org/10.1016/j.envpol.2004.04.023","http://dx.doi.org/10.1016/j.envpol.2004.04.023")</f>
        <v>http://dx.doi.org/10.1016/j.envpol.2004.04.023</v>
      </c>
      <c r="BG296" s="1" t="s">
        <v>74</v>
      </c>
      <c r="BH296" s="1" t="s">
        <v>74</v>
      </c>
      <c r="BI296" s="1">
        <v>13</v>
      </c>
      <c r="BJ296" s="1" t="s">
        <v>144</v>
      </c>
      <c r="BK296" s="1" t="s">
        <v>96</v>
      </c>
      <c r="BL296" s="1" t="s">
        <v>145</v>
      </c>
      <c r="BM296" s="1" t="s">
        <v>5377</v>
      </c>
      <c r="BN296" s="1">
        <v>15312939</v>
      </c>
      <c r="BO296" s="1" t="s">
        <v>74</v>
      </c>
      <c r="BP296" s="1" t="s">
        <v>74</v>
      </c>
      <c r="BQ296" s="1" t="s">
        <v>74</v>
      </c>
      <c r="BR296" s="1" t="s">
        <v>98</v>
      </c>
      <c r="BS296" s="1" t="s">
        <v>5378</v>
      </c>
      <c r="BT296" s="1" t="str">
        <f>HYPERLINK("https%3A%2F%2Fwww.webofscience.com%2Fwos%2Fwoscc%2Ffull-record%2FWOS:000223757900007","View Full Record in Web of Science")</f>
        <v>View Full Record in Web of Science</v>
      </c>
    </row>
    <row r="297" spans="1:72">
      <c r="A297" s="1" t="s">
        <v>72</v>
      </c>
      <c r="B297" s="1" t="s">
        <v>4720</v>
      </c>
      <c r="C297" s="1" t="s">
        <v>74</v>
      </c>
      <c r="D297" s="1" t="s">
        <v>74</v>
      </c>
      <c r="E297" s="1" t="s">
        <v>74</v>
      </c>
      <c r="F297" s="1" t="s">
        <v>4720</v>
      </c>
      <c r="G297" s="1" t="s">
        <v>74</v>
      </c>
      <c r="H297" s="1" t="s">
        <v>74</v>
      </c>
      <c r="I297" s="1" t="s">
        <v>5379</v>
      </c>
      <c r="J297" s="1" t="s">
        <v>1097</v>
      </c>
      <c r="K297" s="1" t="s">
        <v>74</v>
      </c>
      <c r="L297" s="1" t="s">
        <v>74</v>
      </c>
      <c r="M297" s="1" t="s">
        <v>78</v>
      </c>
      <c r="N297" s="1" t="s">
        <v>79</v>
      </c>
      <c r="O297" s="1" t="s">
        <v>74</v>
      </c>
      <c r="P297" s="1" t="s">
        <v>74</v>
      </c>
      <c r="Q297" s="1" t="s">
        <v>74</v>
      </c>
      <c r="R297" s="1" t="s">
        <v>74</v>
      </c>
      <c r="S297" s="1" t="s">
        <v>74</v>
      </c>
      <c r="T297" s="1" t="s">
        <v>74</v>
      </c>
      <c r="U297" s="1" t="s">
        <v>74</v>
      </c>
      <c r="V297" s="1" t="s">
        <v>5380</v>
      </c>
      <c r="W297" s="1" t="s">
        <v>4723</v>
      </c>
      <c r="X297" s="1" t="s">
        <v>1800</v>
      </c>
      <c r="Y297" s="1" t="s">
        <v>74</v>
      </c>
      <c r="Z297" s="1" t="s">
        <v>74</v>
      </c>
      <c r="AA297" s="1" t="s">
        <v>74</v>
      </c>
      <c r="AB297" s="1" t="s">
        <v>74</v>
      </c>
      <c r="AC297" s="1" t="s">
        <v>74</v>
      </c>
      <c r="AD297" s="1" t="s">
        <v>74</v>
      </c>
      <c r="AE297" s="1" t="s">
        <v>74</v>
      </c>
      <c r="AF297" s="1" t="s">
        <v>74</v>
      </c>
      <c r="AG297" s="1">
        <v>23</v>
      </c>
      <c r="AH297" s="1">
        <v>189</v>
      </c>
      <c r="AI297" s="1">
        <v>203</v>
      </c>
      <c r="AJ297" s="1">
        <v>0</v>
      </c>
      <c r="AK297" s="1">
        <v>11</v>
      </c>
      <c r="AL297" s="1" t="s">
        <v>217</v>
      </c>
      <c r="AM297" s="1" t="s">
        <v>218</v>
      </c>
      <c r="AN297" s="1" t="s">
        <v>219</v>
      </c>
      <c r="AO297" s="1" t="s">
        <v>1100</v>
      </c>
      <c r="AP297" s="1" t="s">
        <v>1101</v>
      </c>
      <c r="AQ297" s="1" t="s">
        <v>74</v>
      </c>
      <c r="AR297" s="1" t="s">
        <v>1102</v>
      </c>
      <c r="AS297" s="1" t="s">
        <v>1103</v>
      </c>
      <c r="AT297" s="1" t="s">
        <v>74</v>
      </c>
      <c r="AU297" s="1">
        <v>1976</v>
      </c>
      <c r="AV297" s="1">
        <v>38</v>
      </c>
      <c r="AW297" s="1">
        <v>1</v>
      </c>
      <c r="AX297" s="1" t="s">
        <v>74</v>
      </c>
      <c r="AY297" s="1" t="s">
        <v>74</v>
      </c>
      <c r="AZ297" s="1" t="s">
        <v>74</v>
      </c>
      <c r="BA297" s="1" t="s">
        <v>74</v>
      </c>
      <c r="BB297" s="1">
        <v>71</v>
      </c>
      <c r="BC297" s="1">
        <v>80</v>
      </c>
      <c r="BD297" s="1" t="s">
        <v>74</v>
      </c>
      <c r="BE297" s="1" t="s">
        <v>5381</v>
      </c>
      <c r="BF297" s="1" t="str">
        <f>HYPERLINK("http://dx.doi.org/10.1007/BF00391487","http://dx.doi.org/10.1007/BF00391487")</f>
        <v>http://dx.doi.org/10.1007/BF00391487</v>
      </c>
      <c r="BG297" s="1" t="s">
        <v>74</v>
      </c>
      <c r="BH297" s="1" t="s">
        <v>74</v>
      </c>
      <c r="BI297" s="1">
        <v>10</v>
      </c>
      <c r="BJ297" s="1" t="s">
        <v>680</v>
      </c>
      <c r="BK297" s="1" t="s">
        <v>96</v>
      </c>
      <c r="BL297" s="1" t="s">
        <v>680</v>
      </c>
      <c r="BM297" s="1" t="s">
        <v>4725</v>
      </c>
      <c r="BN297" s="1" t="s">
        <v>74</v>
      </c>
      <c r="BO297" s="1" t="s">
        <v>74</v>
      </c>
      <c r="BP297" s="1" t="s">
        <v>74</v>
      </c>
      <c r="BQ297" s="1" t="s">
        <v>74</v>
      </c>
      <c r="BR297" s="1" t="s">
        <v>98</v>
      </c>
      <c r="BS297" s="1" t="s">
        <v>5382</v>
      </c>
      <c r="BT297" s="1" t="str">
        <f>HYPERLINK("https%3A%2F%2Fwww.webofscience.com%2Fwos%2Fwoscc%2Ffull-record%2FWOS:A1976CK09900008","View Full Record in Web of Science")</f>
        <v>View Full Record in Web of Science</v>
      </c>
    </row>
    <row r="298" spans="1:72">
      <c r="A298" s="1" t="s">
        <v>72</v>
      </c>
      <c r="B298" s="1" t="s">
        <v>5383</v>
      </c>
      <c r="C298" s="1" t="s">
        <v>74</v>
      </c>
      <c r="D298" s="1" t="s">
        <v>74</v>
      </c>
      <c r="E298" s="1" t="s">
        <v>74</v>
      </c>
      <c r="F298" s="1" t="s">
        <v>5383</v>
      </c>
      <c r="G298" s="1" t="s">
        <v>74</v>
      </c>
      <c r="H298" s="1" t="s">
        <v>74</v>
      </c>
      <c r="I298" s="1" t="s">
        <v>5384</v>
      </c>
      <c r="J298" s="1" t="s">
        <v>641</v>
      </c>
      <c r="K298" s="1" t="s">
        <v>74</v>
      </c>
      <c r="L298" s="1" t="s">
        <v>74</v>
      </c>
      <c r="M298" s="1" t="s">
        <v>78</v>
      </c>
      <c r="N298" s="1" t="s">
        <v>79</v>
      </c>
      <c r="O298" s="1" t="s">
        <v>74</v>
      </c>
      <c r="P298" s="1" t="s">
        <v>74</v>
      </c>
      <c r="Q298" s="1" t="s">
        <v>74</v>
      </c>
      <c r="R298" s="1" t="s">
        <v>74</v>
      </c>
      <c r="S298" s="1" t="s">
        <v>74</v>
      </c>
      <c r="T298" s="1" t="s">
        <v>5385</v>
      </c>
      <c r="U298" s="1" t="s">
        <v>5386</v>
      </c>
      <c r="V298" s="1" t="s">
        <v>5387</v>
      </c>
      <c r="W298" s="1" t="s">
        <v>5388</v>
      </c>
      <c r="X298" s="1" t="s">
        <v>5389</v>
      </c>
      <c r="Y298" s="1" t="s">
        <v>5390</v>
      </c>
      <c r="Z298" s="1" t="s">
        <v>74</v>
      </c>
      <c r="AA298" s="1" t="s">
        <v>5391</v>
      </c>
      <c r="AB298" s="1" t="s">
        <v>5392</v>
      </c>
      <c r="AC298" s="1" t="s">
        <v>74</v>
      </c>
      <c r="AD298" s="1" t="s">
        <v>74</v>
      </c>
      <c r="AE298" s="1" t="s">
        <v>74</v>
      </c>
      <c r="AF298" s="1" t="s">
        <v>74</v>
      </c>
      <c r="AG298" s="1">
        <v>39</v>
      </c>
      <c r="AH298" s="1">
        <v>40</v>
      </c>
      <c r="AI298" s="1">
        <v>42</v>
      </c>
      <c r="AJ298" s="1">
        <v>0</v>
      </c>
      <c r="AK298" s="1">
        <v>6</v>
      </c>
      <c r="AL298" s="1" t="s">
        <v>919</v>
      </c>
      <c r="AM298" s="1" t="s">
        <v>651</v>
      </c>
      <c r="AN298" s="1" t="s">
        <v>920</v>
      </c>
      <c r="AO298" s="1" t="s">
        <v>653</v>
      </c>
      <c r="AP298" s="1" t="s">
        <v>654</v>
      </c>
      <c r="AQ298" s="1" t="s">
        <v>74</v>
      </c>
      <c r="AR298" s="1" t="s">
        <v>655</v>
      </c>
      <c r="AS298" s="1" t="s">
        <v>656</v>
      </c>
      <c r="AT298" s="1" t="s">
        <v>170</v>
      </c>
      <c r="AU298" s="1">
        <v>1997</v>
      </c>
      <c r="AV298" s="1">
        <v>38</v>
      </c>
      <c r="AW298" s="1" t="s">
        <v>2847</v>
      </c>
      <c r="AX298" s="1" t="s">
        <v>74</v>
      </c>
      <c r="AY298" s="1" t="s">
        <v>74</v>
      </c>
      <c r="AZ298" s="1" t="s">
        <v>74</v>
      </c>
      <c r="BA298" s="1" t="s">
        <v>74</v>
      </c>
      <c r="BB298" s="1">
        <v>165</v>
      </c>
      <c r="BC298" s="1">
        <v>181</v>
      </c>
      <c r="BD298" s="1" t="s">
        <v>74</v>
      </c>
      <c r="BE298" s="1" t="s">
        <v>5393</v>
      </c>
      <c r="BF298" s="1" t="str">
        <f>HYPERLINK("http://dx.doi.org/10.1016/S0166-445X(96)00832-6","http://dx.doi.org/10.1016/S0166-445X(96)00832-6")</f>
        <v>http://dx.doi.org/10.1016/S0166-445X(96)00832-6</v>
      </c>
      <c r="BG298" s="1" t="s">
        <v>74</v>
      </c>
      <c r="BH298" s="1" t="s">
        <v>74</v>
      </c>
      <c r="BI298" s="1">
        <v>17</v>
      </c>
      <c r="BJ298" s="1" t="s">
        <v>659</v>
      </c>
      <c r="BK298" s="1" t="s">
        <v>96</v>
      </c>
      <c r="BL298" s="1" t="s">
        <v>659</v>
      </c>
      <c r="BM298" s="1" t="s">
        <v>5394</v>
      </c>
      <c r="BN298" s="1" t="s">
        <v>74</v>
      </c>
      <c r="BO298" s="1" t="s">
        <v>74</v>
      </c>
      <c r="BP298" s="1" t="s">
        <v>74</v>
      </c>
      <c r="BQ298" s="1" t="s">
        <v>74</v>
      </c>
      <c r="BR298" s="1" t="s">
        <v>98</v>
      </c>
      <c r="BS298" s="1" t="s">
        <v>5395</v>
      </c>
      <c r="BT298" s="1" t="str">
        <f>HYPERLINK("https%3A%2F%2Fwww.webofscience.com%2Fwos%2Fwoscc%2Ffull-record%2FWOS:A1997XF58400010","View Full Record in Web of Science")</f>
        <v>View Full Record in Web of Science</v>
      </c>
    </row>
    <row r="299" spans="1:72">
      <c r="A299" s="1" t="s">
        <v>72</v>
      </c>
      <c r="B299" s="1" t="s">
        <v>5396</v>
      </c>
      <c r="C299" s="1" t="s">
        <v>74</v>
      </c>
      <c r="D299" s="1" t="s">
        <v>74</v>
      </c>
      <c r="E299" s="1" t="s">
        <v>74</v>
      </c>
      <c r="F299" s="1" t="s">
        <v>5396</v>
      </c>
      <c r="G299" s="1" t="s">
        <v>74</v>
      </c>
      <c r="H299" s="1" t="s">
        <v>74</v>
      </c>
      <c r="I299" s="1" t="s">
        <v>5397</v>
      </c>
      <c r="J299" s="1" t="s">
        <v>2894</v>
      </c>
      <c r="K299" s="1" t="s">
        <v>74</v>
      </c>
      <c r="L299" s="1" t="s">
        <v>74</v>
      </c>
      <c r="M299" s="1" t="s">
        <v>78</v>
      </c>
      <c r="N299" s="1" t="s">
        <v>79</v>
      </c>
      <c r="O299" s="1" t="s">
        <v>74</v>
      </c>
      <c r="P299" s="1" t="s">
        <v>74</v>
      </c>
      <c r="Q299" s="1" t="s">
        <v>74</v>
      </c>
      <c r="R299" s="1" t="s">
        <v>74</v>
      </c>
      <c r="S299" s="1" t="s">
        <v>74</v>
      </c>
      <c r="T299" s="1" t="s">
        <v>5398</v>
      </c>
      <c r="U299" s="1" t="s">
        <v>5399</v>
      </c>
      <c r="V299" s="1" t="s">
        <v>5400</v>
      </c>
      <c r="W299" s="1" t="s">
        <v>5401</v>
      </c>
      <c r="X299" s="1" t="s">
        <v>5402</v>
      </c>
      <c r="Y299" s="1" t="s">
        <v>5403</v>
      </c>
      <c r="Z299" s="1" t="s">
        <v>74</v>
      </c>
      <c r="AA299" s="1" t="s">
        <v>5404</v>
      </c>
      <c r="AB299" s="1" t="s">
        <v>5405</v>
      </c>
      <c r="AC299" s="1" t="s">
        <v>74</v>
      </c>
      <c r="AD299" s="1" t="s">
        <v>74</v>
      </c>
      <c r="AE299" s="1" t="s">
        <v>74</v>
      </c>
      <c r="AF299" s="1" t="s">
        <v>74</v>
      </c>
      <c r="AG299" s="1">
        <v>57</v>
      </c>
      <c r="AH299" s="1">
        <v>69</v>
      </c>
      <c r="AI299" s="1">
        <v>79</v>
      </c>
      <c r="AJ299" s="1">
        <v>2</v>
      </c>
      <c r="AK299" s="1">
        <v>15</v>
      </c>
      <c r="AL299" s="1" t="s">
        <v>2904</v>
      </c>
      <c r="AM299" s="1" t="s">
        <v>2905</v>
      </c>
      <c r="AN299" s="1" t="s">
        <v>2906</v>
      </c>
      <c r="AO299" s="1" t="s">
        <v>2907</v>
      </c>
      <c r="AP299" s="1" t="s">
        <v>5406</v>
      </c>
      <c r="AQ299" s="1" t="s">
        <v>74</v>
      </c>
      <c r="AR299" s="1" t="s">
        <v>2908</v>
      </c>
      <c r="AS299" s="1" t="s">
        <v>2909</v>
      </c>
      <c r="AT299" s="1" t="s">
        <v>267</v>
      </c>
      <c r="AU299" s="1">
        <v>1994</v>
      </c>
      <c r="AV299" s="1">
        <v>113</v>
      </c>
      <c r="AW299" s="1" t="s">
        <v>326</v>
      </c>
      <c r="AX299" s="1" t="s">
        <v>74</v>
      </c>
      <c r="AY299" s="1" t="s">
        <v>74</v>
      </c>
      <c r="AZ299" s="1" t="s">
        <v>74</v>
      </c>
      <c r="BA299" s="1" t="s">
        <v>74</v>
      </c>
      <c r="BB299" s="1">
        <v>95</v>
      </c>
      <c r="BC299" s="1">
        <v>103</v>
      </c>
      <c r="BD299" s="1" t="s">
        <v>74</v>
      </c>
      <c r="BE299" s="1" t="s">
        <v>5407</v>
      </c>
      <c r="BF299" s="1" t="str">
        <f>HYPERLINK("http://dx.doi.org/10.3354/meps113095","http://dx.doi.org/10.3354/meps113095")</f>
        <v>http://dx.doi.org/10.3354/meps113095</v>
      </c>
      <c r="BG299" s="1" t="s">
        <v>74</v>
      </c>
      <c r="BH299" s="1" t="s">
        <v>74</v>
      </c>
      <c r="BI299" s="1">
        <v>9</v>
      </c>
      <c r="BJ299" s="1" t="s">
        <v>2911</v>
      </c>
      <c r="BK299" s="1" t="s">
        <v>96</v>
      </c>
      <c r="BL299" s="1" t="s">
        <v>2912</v>
      </c>
      <c r="BM299" s="1" t="s">
        <v>5408</v>
      </c>
      <c r="BN299" s="1" t="s">
        <v>74</v>
      </c>
      <c r="BO299" s="1" t="s">
        <v>2914</v>
      </c>
      <c r="BP299" s="1" t="s">
        <v>74</v>
      </c>
      <c r="BQ299" s="1" t="s">
        <v>74</v>
      </c>
      <c r="BR299" s="1" t="s">
        <v>98</v>
      </c>
      <c r="BS299" s="1" t="s">
        <v>5409</v>
      </c>
      <c r="BT299" s="1" t="str">
        <f>HYPERLINK("https%3A%2F%2Fwww.webofscience.com%2Fwos%2Fwoscc%2Ffull-record%2FWOS:A1994PP38900008","View Full Record in Web of Science")</f>
        <v>View Full Record in Web of Science</v>
      </c>
    </row>
    <row r="300" spans="1:72">
      <c r="A300" s="1" t="s">
        <v>72</v>
      </c>
      <c r="B300" s="1" t="s">
        <v>5410</v>
      </c>
      <c r="C300" s="1" t="s">
        <v>74</v>
      </c>
      <c r="D300" s="1" t="s">
        <v>74</v>
      </c>
      <c r="E300" s="1" t="s">
        <v>74</v>
      </c>
      <c r="F300" s="1" t="s">
        <v>5411</v>
      </c>
      <c r="G300" s="1" t="s">
        <v>74</v>
      </c>
      <c r="H300" s="1" t="s">
        <v>74</v>
      </c>
      <c r="I300" s="1" t="s">
        <v>5412</v>
      </c>
      <c r="J300" s="1" t="s">
        <v>5413</v>
      </c>
      <c r="K300" s="1" t="s">
        <v>74</v>
      </c>
      <c r="L300" s="1" t="s">
        <v>74</v>
      </c>
      <c r="M300" s="1" t="s">
        <v>78</v>
      </c>
      <c r="N300" s="1" t="s">
        <v>79</v>
      </c>
      <c r="O300" s="1" t="s">
        <v>74</v>
      </c>
      <c r="P300" s="1" t="s">
        <v>74</v>
      </c>
      <c r="Q300" s="1" t="s">
        <v>74</v>
      </c>
      <c r="R300" s="1" t="s">
        <v>74</v>
      </c>
      <c r="S300" s="1" t="s">
        <v>74</v>
      </c>
      <c r="T300" s="1" t="s">
        <v>5414</v>
      </c>
      <c r="U300" s="1" t="s">
        <v>5415</v>
      </c>
      <c r="V300" s="1" t="s">
        <v>5416</v>
      </c>
      <c r="W300" s="1" t="s">
        <v>5417</v>
      </c>
      <c r="X300" s="1" t="s">
        <v>5418</v>
      </c>
      <c r="Y300" s="1" t="s">
        <v>5419</v>
      </c>
      <c r="Z300" s="1" t="s">
        <v>5420</v>
      </c>
      <c r="AA300" s="1" t="s">
        <v>5421</v>
      </c>
      <c r="AB300" s="1" t="s">
        <v>5422</v>
      </c>
      <c r="AC300" s="1" t="s">
        <v>5423</v>
      </c>
      <c r="AD300" s="1" t="s">
        <v>5424</v>
      </c>
      <c r="AE300" s="1" t="s">
        <v>5425</v>
      </c>
      <c r="AF300" s="1" t="s">
        <v>74</v>
      </c>
      <c r="AG300" s="1">
        <v>50</v>
      </c>
      <c r="AH300" s="1">
        <v>10</v>
      </c>
      <c r="AI300" s="1">
        <v>12</v>
      </c>
      <c r="AJ300" s="1">
        <v>5</v>
      </c>
      <c r="AK300" s="1">
        <v>40</v>
      </c>
      <c r="AL300" s="1" t="s">
        <v>919</v>
      </c>
      <c r="AM300" s="1" t="s">
        <v>651</v>
      </c>
      <c r="AN300" s="1" t="s">
        <v>920</v>
      </c>
      <c r="AO300" s="1" t="s">
        <v>5426</v>
      </c>
      <c r="AP300" s="1" t="s">
        <v>5427</v>
      </c>
      <c r="AQ300" s="1" t="s">
        <v>74</v>
      </c>
      <c r="AR300" s="1" t="s">
        <v>5428</v>
      </c>
      <c r="AS300" s="1" t="s">
        <v>5429</v>
      </c>
      <c r="AT300" s="1" t="s">
        <v>1470</v>
      </c>
      <c r="AU300" s="1">
        <v>2019</v>
      </c>
      <c r="AV300" s="1">
        <v>65</v>
      </c>
      <c r="AW300" s="1" t="s">
        <v>74</v>
      </c>
      <c r="AX300" s="1" t="s">
        <v>74</v>
      </c>
      <c r="AY300" s="1" t="s">
        <v>74</v>
      </c>
      <c r="AZ300" s="1" t="s">
        <v>74</v>
      </c>
      <c r="BA300" s="1" t="s">
        <v>74</v>
      </c>
      <c r="BB300" s="1">
        <v>66</v>
      </c>
      <c r="BC300" s="1">
        <v>72</v>
      </c>
      <c r="BD300" s="1" t="s">
        <v>74</v>
      </c>
      <c r="BE300" s="1" t="s">
        <v>5430</v>
      </c>
      <c r="BF300" s="1" t="str">
        <f>HYPERLINK("http://dx.doi.org/10.1016/j.etap.2018.12.002","http://dx.doi.org/10.1016/j.etap.2018.12.002")</f>
        <v>http://dx.doi.org/10.1016/j.etap.2018.12.002</v>
      </c>
      <c r="BG300" s="1" t="s">
        <v>74</v>
      </c>
      <c r="BH300" s="1" t="s">
        <v>74</v>
      </c>
      <c r="BI300" s="1">
        <v>7</v>
      </c>
      <c r="BJ300" s="1" t="s">
        <v>5431</v>
      </c>
      <c r="BK300" s="1" t="s">
        <v>96</v>
      </c>
      <c r="BL300" s="1" t="s">
        <v>5432</v>
      </c>
      <c r="BM300" s="1" t="s">
        <v>5433</v>
      </c>
      <c r="BN300" s="1">
        <v>30562664</v>
      </c>
      <c r="BO300" s="1" t="s">
        <v>1752</v>
      </c>
      <c r="BP300" s="1" t="s">
        <v>74</v>
      </c>
      <c r="BQ300" s="1" t="s">
        <v>74</v>
      </c>
      <c r="BR300" s="1" t="s">
        <v>98</v>
      </c>
      <c r="BS300" s="1" t="s">
        <v>5434</v>
      </c>
      <c r="BT300" s="1" t="str">
        <f>HYPERLINK("https%3A%2F%2Fwww.webofscience.com%2Fwos%2Fwoscc%2Ffull-record%2FWOS:000457814500011","View Full Record in Web of Science")</f>
        <v>View Full Record in Web of Science</v>
      </c>
    </row>
    <row r="301" spans="1:72">
      <c r="A301" s="1" t="s">
        <v>72</v>
      </c>
      <c r="B301" s="1" t="s">
        <v>5435</v>
      </c>
      <c r="C301" s="1" t="s">
        <v>74</v>
      </c>
      <c r="D301" s="1" t="s">
        <v>74</v>
      </c>
      <c r="E301" s="1" t="s">
        <v>74</v>
      </c>
      <c r="F301" s="1" t="s">
        <v>5435</v>
      </c>
      <c r="G301" s="1" t="s">
        <v>74</v>
      </c>
      <c r="H301" s="1" t="s">
        <v>74</v>
      </c>
      <c r="I301" s="1" t="s">
        <v>5436</v>
      </c>
      <c r="J301" s="1" t="s">
        <v>4596</v>
      </c>
      <c r="K301" s="1" t="s">
        <v>74</v>
      </c>
      <c r="L301" s="1" t="s">
        <v>74</v>
      </c>
      <c r="M301" s="1" t="s">
        <v>78</v>
      </c>
      <c r="N301" s="1" t="s">
        <v>79</v>
      </c>
      <c r="O301" s="1" t="s">
        <v>74</v>
      </c>
      <c r="P301" s="1" t="s">
        <v>74</v>
      </c>
      <c r="Q301" s="1" t="s">
        <v>74</v>
      </c>
      <c r="R301" s="1" t="s">
        <v>74</v>
      </c>
      <c r="S301" s="1" t="s">
        <v>74</v>
      </c>
      <c r="T301" s="1" t="s">
        <v>5437</v>
      </c>
      <c r="U301" s="1" t="s">
        <v>5438</v>
      </c>
      <c r="V301" s="1" t="s">
        <v>5439</v>
      </c>
      <c r="W301" s="1" t="s">
        <v>5440</v>
      </c>
      <c r="X301" s="1" t="s">
        <v>5441</v>
      </c>
      <c r="Y301" s="1" t="s">
        <v>4783</v>
      </c>
      <c r="Z301" s="1" t="s">
        <v>4784</v>
      </c>
      <c r="AA301" s="1" t="s">
        <v>5442</v>
      </c>
      <c r="AB301" s="1" t="s">
        <v>5443</v>
      </c>
      <c r="AC301" s="1" t="s">
        <v>74</v>
      </c>
      <c r="AD301" s="1" t="s">
        <v>74</v>
      </c>
      <c r="AE301" s="1" t="s">
        <v>74</v>
      </c>
      <c r="AF301" s="1" t="s">
        <v>74</v>
      </c>
      <c r="AG301" s="1">
        <v>36</v>
      </c>
      <c r="AH301" s="1">
        <v>60</v>
      </c>
      <c r="AI301" s="1">
        <v>61</v>
      </c>
      <c r="AJ301" s="1">
        <v>0</v>
      </c>
      <c r="AK301" s="1">
        <v>31</v>
      </c>
      <c r="AL301" s="1" t="s">
        <v>136</v>
      </c>
      <c r="AM301" s="1" t="s">
        <v>137</v>
      </c>
      <c r="AN301" s="1" t="s">
        <v>138</v>
      </c>
      <c r="AO301" s="1" t="s">
        <v>4608</v>
      </c>
      <c r="AP301" s="1" t="s">
        <v>4609</v>
      </c>
      <c r="AQ301" s="1" t="s">
        <v>74</v>
      </c>
      <c r="AR301" s="1" t="s">
        <v>4610</v>
      </c>
      <c r="AS301" s="1" t="s">
        <v>4611</v>
      </c>
      <c r="AT301" s="1" t="s">
        <v>510</v>
      </c>
      <c r="AU301" s="1">
        <v>2003</v>
      </c>
      <c r="AV301" s="1">
        <v>23</v>
      </c>
      <c r="AW301" s="1" t="s">
        <v>5444</v>
      </c>
      <c r="AX301" s="1" t="s">
        <v>74</v>
      </c>
      <c r="AY301" s="1" t="s">
        <v>74</v>
      </c>
      <c r="AZ301" s="1" t="s">
        <v>74</v>
      </c>
      <c r="BA301" s="1" t="s">
        <v>74</v>
      </c>
      <c r="BB301" s="1">
        <v>1821</v>
      </c>
      <c r="BC301" s="1">
        <v>1831</v>
      </c>
      <c r="BD301" s="1" t="s">
        <v>74</v>
      </c>
      <c r="BE301" s="1" t="s">
        <v>5445</v>
      </c>
      <c r="BF301" s="1" t="str">
        <f>HYPERLINK("http://dx.doi.org/10.1016/j.csr.2003.06.010","http://dx.doi.org/10.1016/j.csr.2003.06.010")</f>
        <v>http://dx.doi.org/10.1016/j.csr.2003.06.010</v>
      </c>
      <c r="BG301" s="1" t="s">
        <v>74</v>
      </c>
      <c r="BH301" s="1" t="s">
        <v>74</v>
      </c>
      <c r="BI301" s="1">
        <v>11</v>
      </c>
      <c r="BJ301" s="1" t="s">
        <v>1439</v>
      </c>
      <c r="BK301" s="1" t="s">
        <v>96</v>
      </c>
      <c r="BL301" s="1" t="s">
        <v>1439</v>
      </c>
      <c r="BM301" s="1" t="s">
        <v>5446</v>
      </c>
      <c r="BN301" s="1" t="s">
        <v>74</v>
      </c>
      <c r="BO301" s="1" t="s">
        <v>74</v>
      </c>
      <c r="BP301" s="1" t="s">
        <v>74</v>
      </c>
      <c r="BQ301" s="1" t="s">
        <v>74</v>
      </c>
      <c r="BR301" s="1" t="s">
        <v>98</v>
      </c>
      <c r="BS301" s="1" t="s">
        <v>5447</v>
      </c>
      <c r="BT301" s="1" t="str">
        <f>HYPERLINK("https%3A%2F%2Fwww.webofscience.com%2Fwos%2Fwoscc%2Ffull-record%2FWOS:000187365500012","View Full Record in Web of Science")</f>
        <v>View Full Record in Web of Science</v>
      </c>
    </row>
    <row r="302" spans="1:72">
      <c r="A302" s="1" t="s">
        <v>72</v>
      </c>
      <c r="B302" s="1" t="s">
        <v>5448</v>
      </c>
      <c r="C302" s="1" t="s">
        <v>74</v>
      </c>
      <c r="D302" s="1" t="s">
        <v>74</v>
      </c>
      <c r="E302" s="1" t="s">
        <v>74</v>
      </c>
      <c r="F302" s="1" t="s">
        <v>5448</v>
      </c>
      <c r="G302" s="1" t="s">
        <v>74</v>
      </c>
      <c r="H302" s="1" t="s">
        <v>74</v>
      </c>
      <c r="I302" s="1" t="s">
        <v>5449</v>
      </c>
      <c r="J302" s="1" t="s">
        <v>1254</v>
      </c>
      <c r="K302" s="1" t="s">
        <v>74</v>
      </c>
      <c r="L302" s="1" t="s">
        <v>74</v>
      </c>
      <c r="M302" s="1" t="s">
        <v>78</v>
      </c>
      <c r="N302" s="1" t="s">
        <v>79</v>
      </c>
      <c r="O302" s="1" t="s">
        <v>74</v>
      </c>
      <c r="P302" s="1" t="s">
        <v>74</v>
      </c>
      <c r="Q302" s="1" t="s">
        <v>74</v>
      </c>
      <c r="R302" s="1" t="s">
        <v>74</v>
      </c>
      <c r="S302" s="1" t="s">
        <v>74</v>
      </c>
      <c r="T302" s="1" t="s">
        <v>5450</v>
      </c>
      <c r="U302" s="1" t="s">
        <v>5451</v>
      </c>
      <c r="V302" s="1" t="s">
        <v>5452</v>
      </c>
      <c r="W302" s="1" t="s">
        <v>5453</v>
      </c>
      <c r="X302" s="1" t="s">
        <v>5454</v>
      </c>
      <c r="Y302" s="1" t="s">
        <v>5455</v>
      </c>
      <c r="Z302" s="1" t="s">
        <v>5456</v>
      </c>
      <c r="AA302" s="1" t="s">
        <v>74</v>
      </c>
      <c r="AB302" s="1" t="s">
        <v>74</v>
      </c>
      <c r="AC302" s="1" t="s">
        <v>74</v>
      </c>
      <c r="AD302" s="1" t="s">
        <v>74</v>
      </c>
      <c r="AE302" s="1" t="s">
        <v>74</v>
      </c>
      <c r="AF302" s="1" t="s">
        <v>74</v>
      </c>
      <c r="AG302" s="1">
        <v>52</v>
      </c>
      <c r="AH302" s="1">
        <v>82</v>
      </c>
      <c r="AI302" s="1">
        <v>90</v>
      </c>
      <c r="AJ302" s="1">
        <v>1</v>
      </c>
      <c r="AK302" s="1">
        <v>39</v>
      </c>
      <c r="AL302" s="1" t="s">
        <v>136</v>
      </c>
      <c r="AM302" s="1" t="s">
        <v>137</v>
      </c>
      <c r="AN302" s="1" t="s">
        <v>138</v>
      </c>
      <c r="AO302" s="1" t="s">
        <v>1264</v>
      </c>
      <c r="AP302" s="1" t="s">
        <v>1265</v>
      </c>
      <c r="AQ302" s="1" t="s">
        <v>74</v>
      </c>
      <c r="AR302" s="1" t="s">
        <v>1266</v>
      </c>
      <c r="AS302" s="1" t="s">
        <v>1267</v>
      </c>
      <c r="AT302" s="1" t="s">
        <v>224</v>
      </c>
      <c r="AU302" s="1">
        <v>2006</v>
      </c>
      <c r="AV302" s="1">
        <v>32</v>
      </c>
      <c r="AW302" s="1">
        <v>2</v>
      </c>
      <c r="AX302" s="1" t="s">
        <v>74</v>
      </c>
      <c r="AY302" s="1" t="s">
        <v>74</v>
      </c>
      <c r="AZ302" s="1" t="s">
        <v>74</v>
      </c>
      <c r="BA302" s="1" t="s">
        <v>74</v>
      </c>
      <c r="BB302" s="1">
        <v>203</v>
      </c>
      <c r="BC302" s="1">
        <v>207</v>
      </c>
      <c r="BD302" s="1" t="s">
        <v>74</v>
      </c>
      <c r="BE302" s="1" t="s">
        <v>5457</v>
      </c>
      <c r="BF302" s="1" t="str">
        <f>HYPERLINK("http://dx.doi.org/10.1016/j.envint.2005.08.012","http://dx.doi.org/10.1016/j.envint.2005.08.012")</f>
        <v>http://dx.doi.org/10.1016/j.envint.2005.08.012</v>
      </c>
      <c r="BG302" s="1" t="s">
        <v>74</v>
      </c>
      <c r="BH302" s="1" t="s">
        <v>74</v>
      </c>
      <c r="BI302" s="1">
        <v>5</v>
      </c>
      <c r="BJ302" s="1" t="s">
        <v>144</v>
      </c>
      <c r="BK302" s="1" t="s">
        <v>96</v>
      </c>
      <c r="BL302" s="1" t="s">
        <v>145</v>
      </c>
      <c r="BM302" s="1" t="s">
        <v>5458</v>
      </c>
      <c r="BN302" s="1">
        <v>16213017</v>
      </c>
      <c r="BO302" s="1" t="s">
        <v>74</v>
      </c>
      <c r="BP302" s="1" t="s">
        <v>74</v>
      </c>
      <c r="BQ302" s="1" t="s">
        <v>74</v>
      </c>
      <c r="BR302" s="1" t="s">
        <v>98</v>
      </c>
      <c r="BS302" s="1" t="s">
        <v>5459</v>
      </c>
      <c r="BT302" s="1" t="str">
        <f>HYPERLINK("https%3A%2F%2Fwww.webofscience.com%2Fwos%2Fwoscc%2Ffull-record%2FWOS:000234793400010","View Full Record in Web of Science")</f>
        <v>View Full Record in Web of Science</v>
      </c>
    </row>
    <row r="303" spans="1:72">
      <c r="A303" s="1" t="s">
        <v>72</v>
      </c>
      <c r="B303" s="1" t="s">
        <v>5460</v>
      </c>
      <c r="C303" s="1" t="s">
        <v>74</v>
      </c>
      <c r="D303" s="1" t="s">
        <v>74</v>
      </c>
      <c r="E303" s="1" t="s">
        <v>74</v>
      </c>
      <c r="F303" s="1" t="s">
        <v>5461</v>
      </c>
      <c r="G303" s="1" t="s">
        <v>74</v>
      </c>
      <c r="H303" s="1" t="s">
        <v>74</v>
      </c>
      <c r="I303" s="1" t="s">
        <v>5462</v>
      </c>
      <c r="J303" s="1" t="s">
        <v>5463</v>
      </c>
      <c r="K303" s="1" t="s">
        <v>74</v>
      </c>
      <c r="L303" s="1" t="s">
        <v>74</v>
      </c>
      <c r="M303" s="1" t="s">
        <v>78</v>
      </c>
      <c r="N303" s="1" t="s">
        <v>79</v>
      </c>
      <c r="O303" s="1" t="s">
        <v>74</v>
      </c>
      <c r="P303" s="1" t="s">
        <v>74</v>
      </c>
      <c r="Q303" s="1" t="s">
        <v>74</v>
      </c>
      <c r="R303" s="1" t="s">
        <v>74</v>
      </c>
      <c r="S303" s="1" t="s">
        <v>74</v>
      </c>
      <c r="T303" s="1" t="s">
        <v>5464</v>
      </c>
      <c r="U303" s="1" t="s">
        <v>5465</v>
      </c>
      <c r="V303" s="1" t="s">
        <v>5466</v>
      </c>
      <c r="W303" s="1" t="s">
        <v>5467</v>
      </c>
      <c r="X303" s="1" t="s">
        <v>5468</v>
      </c>
      <c r="Y303" s="1" t="s">
        <v>5469</v>
      </c>
      <c r="Z303" s="1" t="s">
        <v>74</v>
      </c>
      <c r="AA303" s="1" t="s">
        <v>5470</v>
      </c>
      <c r="AB303" s="1" t="s">
        <v>74</v>
      </c>
      <c r="AC303" s="1" t="s">
        <v>74</v>
      </c>
      <c r="AD303" s="1" t="s">
        <v>74</v>
      </c>
      <c r="AE303" s="1" t="s">
        <v>74</v>
      </c>
      <c r="AF303" s="1" t="s">
        <v>74</v>
      </c>
      <c r="AG303" s="1">
        <v>47</v>
      </c>
      <c r="AH303" s="1">
        <v>2</v>
      </c>
      <c r="AI303" s="1">
        <v>4</v>
      </c>
      <c r="AJ303" s="1">
        <v>2</v>
      </c>
      <c r="AK303" s="1">
        <v>8</v>
      </c>
      <c r="AL303" s="1" t="s">
        <v>5471</v>
      </c>
      <c r="AM303" s="1" t="s">
        <v>5472</v>
      </c>
      <c r="AN303" s="1" t="s">
        <v>5473</v>
      </c>
      <c r="AO303" s="1" t="s">
        <v>5474</v>
      </c>
      <c r="AP303" s="1" t="s">
        <v>5475</v>
      </c>
      <c r="AQ303" s="1" t="s">
        <v>74</v>
      </c>
      <c r="AR303" s="1" t="s">
        <v>5476</v>
      </c>
      <c r="AS303" s="1" t="s">
        <v>5477</v>
      </c>
      <c r="AT303" s="1" t="s">
        <v>74</v>
      </c>
      <c r="AU303" s="1">
        <v>2013</v>
      </c>
      <c r="AV303" s="1">
        <v>12</v>
      </c>
      <c r="AW303" s="1">
        <v>1</v>
      </c>
      <c r="AX303" s="1" t="s">
        <v>74</v>
      </c>
      <c r="AY303" s="1" t="s">
        <v>74</v>
      </c>
      <c r="AZ303" s="1" t="s">
        <v>74</v>
      </c>
      <c r="BA303" s="1" t="s">
        <v>74</v>
      </c>
      <c r="BB303" s="1">
        <v>10</v>
      </c>
      <c r="BC303" s="1">
        <v>16</v>
      </c>
      <c r="BD303" s="1" t="s">
        <v>74</v>
      </c>
      <c r="BE303" s="1" t="s">
        <v>74</v>
      </c>
      <c r="BF303" s="1" t="s">
        <v>74</v>
      </c>
      <c r="BG303" s="1" t="s">
        <v>74</v>
      </c>
      <c r="BH303" s="1" t="s">
        <v>74</v>
      </c>
      <c r="BI303" s="1">
        <v>7</v>
      </c>
      <c r="BJ303" s="1" t="s">
        <v>1057</v>
      </c>
      <c r="BK303" s="1" t="s">
        <v>96</v>
      </c>
      <c r="BL303" s="1" t="s">
        <v>1057</v>
      </c>
      <c r="BM303" s="1" t="s">
        <v>5478</v>
      </c>
      <c r="BN303" s="1" t="s">
        <v>74</v>
      </c>
      <c r="BO303" s="1" t="s">
        <v>74</v>
      </c>
      <c r="BP303" s="1" t="s">
        <v>74</v>
      </c>
      <c r="BQ303" s="1" t="s">
        <v>74</v>
      </c>
      <c r="BR303" s="1" t="s">
        <v>98</v>
      </c>
      <c r="BS303" s="1" t="s">
        <v>5479</v>
      </c>
      <c r="BT303" s="1" t="str">
        <f>HYPERLINK("https%3A%2F%2Fwww.webofscience.com%2Fwos%2Fwoscc%2Ffull-record%2FWOS:000321389100003","View Full Record in Web of Science")</f>
        <v>View Full Record in Web of Science</v>
      </c>
    </row>
    <row r="304" spans="1:72">
      <c r="A304" s="1" t="s">
        <v>72</v>
      </c>
      <c r="B304" s="1" t="s">
        <v>5480</v>
      </c>
      <c r="C304" s="1" t="s">
        <v>74</v>
      </c>
      <c r="D304" s="1" t="s">
        <v>74</v>
      </c>
      <c r="E304" s="1" t="s">
        <v>74</v>
      </c>
      <c r="F304" s="1" t="s">
        <v>5481</v>
      </c>
      <c r="G304" s="1" t="s">
        <v>74</v>
      </c>
      <c r="H304" s="1" t="s">
        <v>74</v>
      </c>
      <c r="I304" s="1" t="s">
        <v>5482</v>
      </c>
      <c r="J304" s="1" t="s">
        <v>641</v>
      </c>
      <c r="K304" s="1" t="s">
        <v>74</v>
      </c>
      <c r="L304" s="1" t="s">
        <v>74</v>
      </c>
      <c r="M304" s="1" t="s">
        <v>78</v>
      </c>
      <c r="N304" s="1" t="s">
        <v>79</v>
      </c>
      <c r="O304" s="1" t="s">
        <v>74</v>
      </c>
      <c r="P304" s="1" t="s">
        <v>74</v>
      </c>
      <c r="Q304" s="1" t="s">
        <v>74</v>
      </c>
      <c r="R304" s="1" t="s">
        <v>74</v>
      </c>
      <c r="S304" s="1" t="s">
        <v>74</v>
      </c>
      <c r="T304" s="1" t="s">
        <v>5483</v>
      </c>
      <c r="U304" s="1" t="s">
        <v>5484</v>
      </c>
      <c r="V304" s="1" t="s">
        <v>5485</v>
      </c>
      <c r="W304" s="1" t="s">
        <v>5486</v>
      </c>
      <c r="X304" s="1" t="s">
        <v>5487</v>
      </c>
      <c r="Y304" s="1" t="s">
        <v>5488</v>
      </c>
      <c r="Z304" s="1" t="s">
        <v>5489</v>
      </c>
      <c r="AA304" s="1" t="s">
        <v>5490</v>
      </c>
      <c r="AB304" s="1" t="s">
        <v>5491</v>
      </c>
      <c r="AC304" s="1" t="s">
        <v>5492</v>
      </c>
      <c r="AD304" s="1" t="s">
        <v>5493</v>
      </c>
      <c r="AE304" s="1" t="s">
        <v>5494</v>
      </c>
      <c r="AF304" s="1" t="s">
        <v>74</v>
      </c>
      <c r="AG304" s="1">
        <v>97</v>
      </c>
      <c r="AH304" s="1">
        <v>42</v>
      </c>
      <c r="AI304" s="1">
        <v>46</v>
      </c>
      <c r="AJ304" s="1">
        <v>0</v>
      </c>
      <c r="AK304" s="1">
        <v>72</v>
      </c>
      <c r="AL304" s="1" t="s">
        <v>919</v>
      </c>
      <c r="AM304" s="1" t="s">
        <v>651</v>
      </c>
      <c r="AN304" s="1" t="s">
        <v>920</v>
      </c>
      <c r="AO304" s="1" t="s">
        <v>653</v>
      </c>
      <c r="AP304" s="1" t="s">
        <v>654</v>
      </c>
      <c r="AQ304" s="1" t="s">
        <v>74</v>
      </c>
      <c r="AR304" s="1" t="s">
        <v>655</v>
      </c>
      <c r="AS304" s="1" t="s">
        <v>656</v>
      </c>
      <c r="AT304" s="1" t="s">
        <v>3506</v>
      </c>
      <c r="AU304" s="1">
        <v>2013</v>
      </c>
      <c r="AV304" s="1">
        <v>140</v>
      </c>
      <c r="AW304" s="1" t="s">
        <v>74</v>
      </c>
      <c r="AX304" s="1" t="s">
        <v>74</v>
      </c>
      <c r="AY304" s="1" t="s">
        <v>74</v>
      </c>
      <c r="AZ304" s="1" t="s">
        <v>74</v>
      </c>
      <c r="BA304" s="1" t="s">
        <v>74</v>
      </c>
      <c r="BB304" s="1">
        <v>123</v>
      </c>
      <c r="BC304" s="1">
        <v>133</v>
      </c>
      <c r="BD304" s="1" t="s">
        <v>74</v>
      </c>
      <c r="BE304" s="1" t="s">
        <v>5495</v>
      </c>
      <c r="BF304" s="1" t="str">
        <f>HYPERLINK("http://dx.doi.org/10.1016/j.aquatox.2013.05.019","http://dx.doi.org/10.1016/j.aquatox.2013.05.019")</f>
        <v>http://dx.doi.org/10.1016/j.aquatox.2013.05.019</v>
      </c>
      <c r="BG304" s="1" t="s">
        <v>74</v>
      </c>
      <c r="BH304" s="1" t="s">
        <v>74</v>
      </c>
      <c r="BI304" s="1">
        <v>11</v>
      </c>
      <c r="BJ304" s="1" t="s">
        <v>659</v>
      </c>
      <c r="BK304" s="1" t="s">
        <v>96</v>
      </c>
      <c r="BL304" s="1" t="s">
        <v>659</v>
      </c>
      <c r="BM304" s="1" t="s">
        <v>5496</v>
      </c>
      <c r="BN304" s="1">
        <v>23796537</v>
      </c>
      <c r="BO304" s="1" t="s">
        <v>74</v>
      </c>
      <c r="BP304" s="1" t="s">
        <v>74</v>
      </c>
      <c r="BQ304" s="1" t="s">
        <v>74</v>
      </c>
      <c r="BR304" s="1" t="s">
        <v>98</v>
      </c>
      <c r="BS304" s="1" t="s">
        <v>5497</v>
      </c>
      <c r="BT304" s="1" t="str">
        <f>HYPERLINK("https%3A%2F%2Fwww.webofscience.com%2Fwos%2Fwoscc%2Ffull-record%2FWOS:000324900800014","View Full Record in Web of Science")</f>
        <v>View Full Record in Web of Science</v>
      </c>
    </row>
    <row r="305" spans="1:72">
      <c r="A305" s="1" t="s">
        <v>72</v>
      </c>
      <c r="B305" s="1" t="s">
        <v>5498</v>
      </c>
      <c r="C305" s="1" t="s">
        <v>74</v>
      </c>
      <c r="D305" s="1" t="s">
        <v>74</v>
      </c>
      <c r="E305" s="1" t="s">
        <v>74</v>
      </c>
      <c r="F305" s="1" t="s">
        <v>5499</v>
      </c>
      <c r="G305" s="1" t="s">
        <v>74</v>
      </c>
      <c r="H305" s="1" t="s">
        <v>74</v>
      </c>
      <c r="I305" s="1" t="s">
        <v>5500</v>
      </c>
      <c r="J305" s="1" t="s">
        <v>232</v>
      </c>
      <c r="K305" s="1" t="s">
        <v>74</v>
      </c>
      <c r="L305" s="1" t="s">
        <v>74</v>
      </c>
      <c r="M305" s="1" t="s">
        <v>78</v>
      </c>
      <c r="N305" s="1" t="s">
        <v>79</v>
      </c>
      <c r="O305" s="1" t="s">
        <v>74</v>
      </c>
      <c r="P305" s="1" t="s">
        <v>74</v>
      </c>
      <c r="Q305" s="1" t="s">
        <v>74</v>
      </c>
      <c r="R305" s="1" t="s">
        <v>74</v>
      </c>
      <c r="S305" s="1" t="s">
        <v>74</v>
      </c>
      <c r="T305" s="1" t="s">
        <v>5501</v>
      </c>
      <c r="U305" s="1" t="s">
        <v>5502</v>
      </c>
      <c r="V305" s="1" t="s">
        <v>5503</v>
      </c>
      <c r="W305" s="1" t="s">
        <v>5504</v>
      </c>
      <c r="X305" s="1" t="s">
        <v>5505</v>
      </c>
      <c r="Y305" s="1" t="s">
        <v>5506</v>
      </c>
      <c r="Z305" s="1" t="s">
        <v>5507</v>
      </c>
      <c r="AA305" s="1" t="s">
        <v>5508</v>
      </c>
      <c r="AB305" s="1" t="s">
        <v>5509</v>
      </c>
      <c r="AC305" s="1" t="s">
        <v>5510</v>
      </c>
      <c r="AD305" s="1" t="s">
        <v>5510</v>
      </c>
      <c r="AE305" s="1" t="s">
        <v>5511</v>
      </c>
      <c r="AF305" s="1" t="s">
        <v>74</v>
      </c>
      <c r="AG305" s="1">
        <v>64</v>
      </c>
      <c r="AH305" s="1">
        <v>30</v>
      </c>
      <c r="AI305" s="1">
        <v>30</v>
      </c>
      <c r="AJ305" s="1">
        <v>0</v>
      </c>
      <c r="AK305" s="1">
        <v>39</v>
      </c>
      <c r="AL305" s="1" t="s">
        <v>136</v>
      </c>
      <c r="AM305" s="1" t="s">
        <v>137</v>
      </c>
      <c r="AN305" s="1" t="s">
        <v>138</v>
      </c>
      <c r="AO305" s="1" t="s">
        <v>240</v>
      </c>
      <c r="AP305" s="1" t="s">
        <v>241</v>
      </c>
      <c r="AQ305" s="1" t="s">
        <v>74</v>
      </c>
      <c r="AR305" s="1" t="s">
        <v>242</v>
      </c>
      <c r="AS305" s="1" t="s">
        <v>243</v>
      </c>
      <c r="AT305" s="1" t="s">
        <v>3891</v>
      </c>
      <c r="AU305" s="1">
        <v>2016</v>
      </c>
      <c r="AV305" s="1">
        <v>102</v>
      </c>
      <c r="AW305" s="1">
        <v>1</v>
      </c>
      <c r="AX305" s="1" t="s">
        <v>74</v>
      </c>
      <c r="AY305" s="1" t="s">
        <v>74</v>
      </c>
      <c r="AZ305" s="1" t="s">
        <v>74</v>
      </c>
      <c r="BA305" s="1" t="s">
        <v>74</v>
      </c>
      <c r="BB305" s="1">
        <v>30</v>
      </c>
      <c r="BC305" s="1">
        <v>35</v>
      </c>
      <c r="BD305" s="1" t="s">
        <v>74</v>
      </c>
      <c r="BE305" s="1" t="s">
        <v>5512</v>
      </c>
      <c r="BF305" s="1" t="str">
        <f>HYPERLINK("http://dx.doi.org/10.1016/j.marpolbul.2015.12.010","http://dx.doi.org/10.1016/j.marpolbul.2015.12.010")</f>
        <v>http://dx.doi.org/10.1016/j.marpolbul.2015.12.010</v>
      </c>
      <c r="BG305" s="1" t="s">
        <v>74</v>
      </c>
      <c r="BH305" s="1" t="s">
        <v>74</v>
      </c>
      <c r="BI305" s="1">
        <v>6</v>
      </c>
      <c r="BJ305" s="1" t="s">
        <v>247</v>
      </c>
      <c r="BK305" s="1" t="s">
        <v>96</v>
      </c>
      <c r="BL305" s="1" t="s">
        <v>248</v>
      </c>
      <c r="BM305" s="1" t="s">
        <v>5513</v>
      </c>
      <c r="BN305" s="1">
        <v>26705576</v>
      </c>
      <c r="BO305" s="1" t="s">
        <v>74</v>
      </c>
      <c r="BP305" s="1" t="s">
        <v>74</v>
      </c>
      <c r="BQ305" s="1" t="s">
        <v>74</v>
      </c>
      <c r="BR305" s="1" t="s">
        <v>98</v>
      </c>
      <c r="BS305" s="1" t="s">
        <v>5514</v>
      </c>
      <c r="BT305" s="1" t="str">
        <f>HYPERLINK("https%3A%2F%2Fwww.webofscience.com%2Fwos%2Fwoscc%2Ffull-record%2FWOS:000370109500015","View Full Record in Web of Science")</f>
        <v>View Full Record in Web of Science</v>
      </c>
    </row>
    <row r="306" spans="1:72">
      <c r="A306" s="1" t="s">
        <v>72</v>
      </c>
      <c r="B306" s="1" t="s">
        <v>5515</v>
      </c>
      <c r="C306" s="1" t="s">
        <v>74</v>
      </c>
      <c r="D306" s="1" t="s">
        <v>74</v>
      </c>
      <c r="E306" s="1" t="s">
        <v>74</v>
      </c>
      <c r="F306" s="1" t="s">
        <v>5516</v>
      </c>
      <c r="G306" s="1" t="s">
        <v>74</v>
      </c>
      <c r="H306" s="1" t="s">
        <v>74</v>
      </c>
      <c r="I306" s="1" t="s">
        <v>5517</v>
      </c>
      <c r="J306" s="1" t="s">
        <v>179</v>
      </c>
      <c r="K306" s="1" t="s">
        <v>74</v>
      </c>
      <c r="L306" s="1" t="s">
        <v>74</v>
      </c>
      <c r="M306" s="1" t="s">
        <v>78</v>
      </c>
      <c r="N306" s="1" t="s">
        <v>79</v>
      </c>
      <c r="O306" s="1" t="s">
        <v>74</v>
      </c>
      <c r="P306" s="1" t="s">
        <v>74</v>
      </c>
      <c r="Q306" s="1" t="s">
        <v>74</v>
      </c>
      <c r="R306" s="1" t="s">
        <v>74</v>
      </c>
      <c r="S306" s="1" t="s">
        <v>74</v>
      </c>
      <c r="T306" s="1" t="s">
        <v>5518</v>
      </c>
      <c r="U306" s="1" t="s">
        <v>5519</v>
      </c>
      <c r="V306" s="1" t="s">
        <v>5520</v>
      </c>
      <c r="W306" s="1" t="s">
        <v>5521</v>
      </c>
      <c r="X306" s="1" t="s">
        <v>5522</v>
      </c>
      <c r="Y306" s="1" t="s">
        <v>5523</v>
      </c>
      <c r="Z306" s="1" t="s">
        <v>5524</v>
      </c>
      <c r="AA306" s="1" t="s">
        <v>74</v>
      </c>
      <c r="AB306" s="1" t="s">
        <v>74</v>
      </c>
      <c r="AC306" s="1" t="s">
        <v>74</v>
      </c>
      <c r="AD306" s="1" t="s">
        <v>74</v>
      </c>
      <c r="AE306" s="1" t="s">
        <v>74</v>
      </c>
      <c r="AF306" s="1" t="s">
        <v>74</v>
      </c>
      <c r="AG306" s="1">
        <v>23</v>
      </c>
      <c r="AH306" s="1">
        <v>17</v>
      </c>
      <c r="AI306" s="1">
        <v>19</v>
      </c>
      <c r="AJ306" s="1">
        <v>1</v>
      </c>
      <c r="AK306" s="1">
        <v>11</v>
      </c>
      <c r="AL306" s="1" t="s">
        <v>112</v>
      </c>
      <c r="AM306" s="1" t="s">
        <v>191</v>
      </c>
      <c r="AN306" s="1" t="s">
        <v>192</v>
      </c>
      <c r="AO306" s="1" t="s">
        <v>193</v>
      </c>
      <c r="AP306" s="1" t="s">
        <v>194</v>
      </c>
      <c r="AQ306" s="1" t="s">
        <v>74</v>
      </c>
      <c r="AR306" s="1" t="s">
        <v>195</v>
      </c>
      <c r="AS306" s="1" t="s">
        <v>196</v>
      </c>
      <c r="AT306" s="1" t="s">
        <v>142</v>
      </c>
      <c r="AU306" s="1">
        <v>2009</v>
      </c>
      <c r="AV306" s="1">
        <v>153</v>
      </c>
      <c r="AW306" s="1" t="s">
        <v>721</v>
      </c>
      <c r="AX306" s="1" t="s">
        <v>74</v>
      </c>
      <c r="AY306" s="1" t="s">
        <v>74</v>
      </c>
      <c r="AZ306" s="1" t="s">
        <v>74</v>
      </c>
      <c r="BA306" s="1" t="s">
        <v>74</v>
      </c>
      <c r="BB306" s="1">
        <v>103</v>
      </c>
      <c r="BC306" s="1">
        <v>109</v>
      </c>
      <c r="BD306" s="1" t="s">
        <v>74</v>
      </c>
      <c r="BE306" s="1" t="s">
        <v>5525</v>
      </c>
      <c r="BF306" s="1" t="str">
        <f>HYPERLINK("http://dx.doi.org/10.1007/s10661-008-0340-4","http://dx.doi.org/10.1007/s10661-008-0340-4")</f>
        <v>http://dx.doi.org/10.1007/s10661-008-0340-4</v>
      </c>
      <c r="BG306" s="1" t="s">
        <v>74</v>
      </c>
      <c r="BH306" s="1" t="s">
        <v>74</v>
      </c>
      <c r="BI306" s="1">
        <v>7</v>
      </c>
      <c r="BJ306" s="1" t="s">
        <v>144</v>
      </c>
      <c r="BK306" s="1" t="s">
        <v>96</v>
      </c>
      <c r="BL306" s="1" t="s">
        <v>145</v>
      </c>
      <c r="BM306" s="1" t="s">
        <v>5526</v>
      </c>
      <c r="BN306" s="1">
        <v>18600467</v>
      </c>
      <c r="BO306" s="1" t="s">
        <v>74</v>
      </c>
      <c r="BP306" s="1" t="s">
        <v>74</v>
      </c>
      <c r="BQ306" s="1" t="s">
        <v>74</v>
      </c>
      <c r="BR306" s="1" t="s">
        <v>98</v>
      </c>
      <c r="BS306" s="1" t="s">
        <v>5527</v>
      </c>
      <c r="BT306" s="1" t="str">
        <f>HYPERLINK("https%3A%2F%2Fwww.webofscience.com%2Fwos%2Fwoscc%2Ffull-record%2FWOS:000265917200009","View Full Record in Web of Science")</f>
        <v>View Full Record in Web of Science</v>
      </c>
    </row>
    <row r="307" spans="1:72">
      <c r="A307" s="1" t="s">
        <v>72</v>
      </c>
      <c r="B307" s="1" t="s">
        <v>5528</v>
      </c>
      <c r="C307" s="1" t="s">
        <v>74</v>
      </c>
      <c r="D307" s="1" t="s">
        <v>74</v>
      </c>
      <c r="E307" s="1" t="s">
        <v>74</v>
      </c>
      <c r="F307" s="1" t="s">
        <v>5529</v>
      </c>
      <c r="G307" s="1" t="s">
        <v>74</v>
      </c>
      <c r="H307" s="1" t="s">
        <v>74</v>
      </c>
      <c r="I307" s="1" t="s">
        <v>5530</v>
      </c>
      <c r="J307" s="1" t="s">
        <v>909</v>
      </c>
      <c r="K307" s="1" t="s">
        <v>74</v>
      </c>
      <c r="L307" s="1" t="s">
        <v>74</v>
      </c>
      <c r="M307" s="1" t="s">
        <v>78</v>
      </c>
      <c r="N307" s="1" t="s">
        <v>79</v>
      </c>
      <c r="O307" s="1" t="s">
        <v>74</v>
      </c>
      <c r="P307" s="1" t="s">
        <v>74</v>
      </c>
      <c r="Q307" s="1" t="s">
        <v>74</v>
      </c>
      <c r="R307" s="1" t="s">
        <v>74</v>
      </c>
      <c r="S307" s="1" t="s">
        <v>74</v>
      </c>
      <c r="T307" s="1" t="s">
        <v>5531</v>
      </c>
      <c r="U307" s="1" t="s">
        <v>5532</v>
      </c>
      <c r="V307" s="1" t="s">
        <v>5533</v>
      </c>
      <c r="W307" s="1" t="s">
        <v>5534</v>
      </c>
      <c r="X307" s="1" t="s">
        <v>5535</v>
      </c>
      <c r="Y307" s="1" t="s">
        <v>5536</v>
      </c>
      <c r="Z307" s="1" t="s">
        <v>5537</v>
      </c>
      <c r="AA307" s="1" t="s">
        <v>5538</v>
      </c>
      <c r="AB307" s="1" t="s">
        <v>5539</v>
      </c>
      <c r="AC307" s="1" t="s">
        <v>5540</v>
      </c>
      <c r="AD307" s="1" t="s">
        <v>5540</v>
      </c>
      <c r="AE307" s="1" t="s">
        <v>5541</v>
      </c>
      <c r="AF307" s="1" t="s">
        <v>74</v>
      </c>
      <c r="AG307" s="1">
        <v>32</v>
      </c>
      <c r="AH307" s="1">
        <v>11</v>
      </c>
      <c r="AI307" s="1">
        <v>11</v>
      </c>
      <c r="AJ307" s="1">
        <v>1</v>
      </c>
      <c r="AK307" s="1">
        <v>48</v>
      </c>
      <c r="AL307" s="1" t="s">
        <v>919</v>
      </c>
      <c r="AM307" s="1" t="s">
        <v>651</v>
      </c>
      <c r="AN307" s="1" t="s">
        <v>920</v>
      </c>
      <c r="AO307" s="1" t="s">
        <v>921</v>
      </c>
      <c r="AP307" s="1" t="s">
        <v>922</v>
      </c>
      <c r="AQ307" s="1" t="s">
        <v>74</v>
      </c>
      <c r="AR307" s="1" t="s">
        <v>923</v>
      </c>
      <c r="AS307" s="1" t="s">
        <v>924</v>
      </c>
      <c r="AT307" s="1" t="s">
        <v>5542</v>
      </c>
      <c r="AU307" s="1">
        <v>2013</v>
      </c>
      <c r="AV307" s="1">
        <v>454</v>
      </c>
      <c r="AW307" s="1" t="s">
        <v>74</v>
      </c>
      <c r="AX307" s="1" t="s">
        <v>74</v>
      </c>
      <c r="AY307" s="1" t="s">
        <v>74</v>
      </c>
      <c r="AZ307" s="1" t="s">
        <v>74</v>
      </c>
      <c r="BA307" s="1" t="s">
        <v>74</v>
      </c>
      <c r="BB307" s="1">
        <v>500</v>
      </c>
      <c r="BC307" s="1">
        <v>509</v>
      </c>
      <c r="BD307" s="1" t="s">
        <v>74</v>
      </c>
      <c r="BE307" s="1" t="s">
        <v>5543</v>
      </c>
      <c r="BF307" s="1" t="str">
        <f>HYPERLINK("http://dx.doi.org/10.1016/j.scitotenv.2013.03.042","http://dx.doi.org/10.1016/j.scitotenv.2013.03.042")</f>
        <v>http://dx.doi.org/10.1016/j.scitotenv.2013.03.042</v>
      </c>
      <c r="BG307" s="1" t="s">
        <v>74</v>
      </c>
      <c r="BH307" s="1" t="s">
        <v>74</v>
      </c>
      <c r="BI307" s="1">
        <v>10</v>
      </c>
      <c r="BJ307" s="1" t="s">
        <v>144</v>
      </c>
      <c r="BK307" s="1" t="s">
        <v>96</v>
      </c>
      <c r="BL307" s="1" t="s">
        <v>145</v>
      </c>
      <c r="BM307" s="1" t="s">
        <v>5544</v>
      </c>
      <c r="BN307" s="1">
        <v>23567170</v>
      </c>
      <c r="BO307" s="1" t="s">
        <v>74</v>
      </c>
      <c r="BP307" s="1" t="s">
        <v>74</v>
      </c>
      <c r="BQ307" s="1" t="s">
        <v>74</v>
      </c>
      <c r="BR307" s="1" t="s">
        <v>98</v>
      </c>
      <c r="BS307" s="1" t="s">
        <v>5545</v>
      </c>
      <c r="BT307" s="1" t="str">
        <f>HYPERLINK("https%3A%2F%2Fwww.webofscience.com%2Fwos%2Fwoscc%2Ffull-record%2FWOS:000319180000053","View Full Record in Web of Science")</f>
        <v>View Full Record in Web of Science</v>
      </c>
    </row>
    <row r="308" spans="1:72">
      <c r="A308" s="1" t="s">
        <v>72</v>
      </c>
      <c r="B308" s="1" t="s">
        <v>5546</v>
      </c>
      <c r="C308" s="1" t="s">
        <v>74</v>
      </c>
      <c r="D308" s="1" t="s">
        <v>74</v>
      </c>
      <c r="E308" s="1" t="s">
        <v>74</v>
      </c>
      <c r="F308" s="1" t="s">
        <v>5547</v>
      </c>
      <c r="G308" s="1" t="s">
        <v>74</v>
      </c>
      <c r="H308" s="1" t="s">
        <v>74</v>
      </c>
      <c r="I308" s="1" t="s">
        <v>5548</v>
      </c>
      <c r="J308" s="1" t="s">
        <v>127</v>
      </c>
      <c r="K308" s="1" t="s">
        <v>74</v>
      </c>
      <c r="L308" s="1" t="s">
        <v>74</v>
      </c>
      <c r="M308" s="1" t="s">
        <v>78</v>
      </c>
      <c r="N308" s="1" t="s">
        <v>79</v>
      </c>
      <c r="O308" s="1" t="s">
        <v>74</v>
      </c>
      <c r="P308" s="1" t="s">
        <v>74</v>
      </c>
      <c r="Q308" s="1" t="s">
        <v>74</v>
      </c>
      <c r="R308" s="1" t="s">
        <v>74</v>
      </c>
      <c r="S308" s="1" t="s">
        <v>74</v>
      </c>
      <c r="T308" s="1" t="s">
        <v>5549</v>
      </c>
      <c r="U308" s="1" t="s">
        <v>5550</v>
      </c>
      <c r="V308" s="1" t="s">
        <v>5551</v>
      </c>
      <c r="W308" s="1" t="s">
        <v>5552</v>
      </c>
      <c r="X308" s="1" t="s">
        <v>5553</v>
      </c>
      <c r="Y308" s="1" t="s">
        <v>5554</v>
      </c>
      <c r="Z308" s="1" t="s">
        <v>5555</v>
      </c>
      <c r="AA308" s="1" t="s">
        <v>74</v>
      </c>
      <c r="AB308" s="1" t="s">
        <v>74</v>
      </c>
      <c r="AC308" s="1" t="s">
        <v>74</v>
      </c>
      <c r="AD308" s="1" t="s">
        <v>74</v>
      </c>
      <c r="AE308" s="1" t="s">
        <v>74</v>
      </c>
      <c r="AF308" s="1" t="s">
        <v>74</v>
      </c>
      <c r="AG308" s="1">
        <v>68</v>
      </c>
      <c r="AH308" s="1">
        <v>28</v>
      </c>
      <c r="AI308" s="1">
        <v>29</v>
      </c>
      <c r="AJ308" s="1">
        <v>2</v>
      </c>
      <c r="AK308" s="1">
        <v>55</v>
      </c>
      <c r="AL308" s="1" t="s">
        <v>136</v>
      </c>
      <c r="AM308" s="1" t="s">
        <v>137</v>
      </c>
      <c r="AN308" s="1" t="s">
        <v>138</v>
      </c>
      <c r="AO308" s="1" t="s">
        <v>139</v>
      </c>
      <c r="AP308" s="1" t="s">
        <v>140</v>
      </c>
      <c r="AQ308" s="1" t="s">
        <v>74</v>
      </c>
      <c r="AR308" s="1" t="s">
        <v>127</v>
      </c>
      <c r="AS308" s="1" t="s">
        <v>141</v>
      </c>
      <c r="AT308" s="1" t="s">
        <v>267</v>
      </c>
      <c r="AU308" s="1">
        <v>2012</v>
      </c>
      <c r="AV308" s="1">
        <v>89</v>
      </c>
      <c r="AW308" s="1">
        <v>5</v>
      </c>
      <c r="AX308" s="1" t="s">
        <v>74</v>
      </c>
      <c r="AY308" s="1" t="s">
        <v>74</v>
      </c>
      <c r="AZ308" s="1" t="s">
        <v>74</v>
      </c>
      <c r="BA308" s="1" t="s">
        <v>74</v>
      </c>
      <c r="BB308" s="1">
        <v>585</v>
      </c>
      <c r="BC308" s="1">
        <v>591</v>
      </c>
      <c r="BD308" s="1" t="s">
        <v>74</v>
      </c>
      <c r="BE308" s="1" t="s">
        <v>5556</v>
      </c>
      <c r="BF308" s="1" t="str">
        <f>HYPERLINK("http://dx.doi.org/10.1016/j.chemosphere.2012.05.057","http://dx.doi.org/10.1016/j.chemosphere.2012.05.057")</f>
        <v>http://dx.doi.org/10.1016/j.chemosphere.2012.05.057</v>
      </c>
      <c r="BG308" s="1" t="s">
        <v>74</v>
      </c>
      <c r="BH308" s="1" t="s">
        <v>74</v>
      </c>
      <c r="BI308" s="1">
        <v>7</v>
      </c>
      <c r="BJ308" s="1" t="s">
        <v>144</v>
      </c>
      <c r="BK308" s="1" t="s">
        <v>96</v>
      </c>
      <c r="BL308" s="1" t="s">
        <v>145</v>
      </c>
      <c r="BM308" s="1" t="s">
        <v>5557</v>
      </c>
      <c r="BN308" s="1">
        <v>22704208</v>
      </c>
      <c r="BO308" s="1" t="s">
        <v>74</v>
      </c>
      <c r="BP308" s="1" t="s">
        <v>74</v>
      </c>
      <c r="BQ308" s="1" t="s">
        <v>74</v>
      </c>
      <c r="BR308" s="1" t="s">
        <v>98</v>
      </c>
      <c r="BS308" s="1" t="s">
        <v>5558</v>
      </c>
      <c r="BT308" s="1" t="str">
        <f>HYPERLINK("https%3A%2F%2Fwww.webofscience.com%2Fwos%2Fwoscc%2Ffull-record%2FWOS:000308055900015","View Full Record in Web of Science")</f>
        <v>View Full Record in Web of Science</v>
      </c>
    </row>
    <row r="309" spans="1:72">
      <c r="A309" s="1" t="s">
        <v>72</v>
      </c>
      <c r="B309" s="1" t="s">
        <v>5559</v>
      </c>
      <c r="C309" s="1" t="s">
        <v>74</v>
      </c>
      <c r="D309" s="1" t="s">
        <v>74</v>
      </c>
      <c r="E309" s="1" t="s">
        <v>74</v>
      </c>
      <c r="F309" s="1" t="s">
        <v>5560</v>
      </c>
      <c r="G309" s="1" t="s">
        <v>74</v>
      </c>
      <c r="H309" s="1" t="s">
        <v>74</v>
      </c>
      <c r="I309" s="1" t="s">
        <v>5561</v>
      </c>
      <c r="J309" s="1" t="s">
        <v>2350</v>
      </c>
      <c r="K309" s="1" t="s">
        <v>74</v>
      </c>
      <c r="L309" s="1" t="s">
        <v>74</v>
      </c>
      <c r="M309" s="1" t="s">
        <v>78</v>
      </c>
      <c r="N309" s="1" t="s">
        <v>79</v>
      </c>
      <c r="O309" s="1" t="s">
        <v>74</v>
      </c>
      <c r="P309" s="1" t="s">
        <v>74</v>
      </c>
      <c r="Q309" s="1" t="s">
        <v>74</v>
      </c>
      <c r="R309" s="1" t="s">
        <v>74</v>
      </c>
      <c r="S309" s="1" t="s">
        <v>74</v>
      </c>
      <c r="T309" s="1" t="s">
        <v>5562</v>
      </c>
      <c r="U309" s="1" t="s">
        <v>5563</v>
      </c>
      <c r="V309" s="1" t="s">
        <v>5564</v>
      </c>
      <c r="W309" s="1" t="s">
        <v>5565</v>
      </c>
      <c r="X309" s="1" t="s">
        <v>5566</v>
      </c>
      <c r="Y309" s="1" t="s">
        <v>5567</v>
      </c>
      <c r="Z309" s="1" t="s">
        <v>5568</v>
      </c>
      <c r="AA309" s="1" t="s">
        <v>5569</v>
      </c>
      <c r="AB309" s="1" t="s">
        <v>5570</v>
      </c>
      <c r="AC309" s="1" t="s">
        <v>74</v>
      </c>
      <c r="AD309" s="1" t="s">
        <v>74</v>
      </c>
      <c r="AE309" s="1" t="s">
        <v>74</v>
      </c>
      <c r="AF309" s="1" t="s">
        <v>74</v>
      </c>
      <c r="AG309" s="1">
        <v>31</v>
      </c>
      <c r="AH309" s="1">
        <v>1</v>
      </c>
      <c r="AI309" s="1">
        <v>1</v>
      </c>
      <c r="AJ309" s="1">
        <v>0</v>
      </c>
      <c r="AK309" s="1">
        <v>5</v>
      </c>
      <c r="AL309" s="1" t="s">
        <v>2360</v>
      </c>
      <c r="AM309" s="1" t="s">
        <v>2361</v>
      </c>
      <c r="AN309" s="1" t="s">
        <v>2362</v>
      </c>
      <c r="AO309" s="1" t="s">
        <v>2363</v>
      </c>
      <c r="AP309" s="1" t="s">
        <v>74</v>
      </c>
      <c r="AQ309" s="1" t="s">
        <v>74</v>
      </c>
      <c r="AR309" s="1" t="s">
        <v>2364</v>
      </c>
      <c r="AS309" s="1" t="s">
        <v>2365</v>
      </c>
      <c r="AT309" s="1" t="s">
        <v>74</v>
      </c>
      <c r="AU309" s="1">
        <v>2021</v>
      </c>
      <c r="AV309" s="1">
        <v>20</v>
      </c>
      <c r="AW309" s="1">
        <v>1</v>
      </c>
      <c r="AX309" s="1" t="s">
        <v>74</v>
      </c>
      <c r="AY309" s="1" t="s">
        <v>74</v>
      </c>
      <c r="AZ309" s="1" t="s">
        <v>74</v>
      </c>
      <c r="BA309" s="1" t="s">
        <v>74</v>
      </c>
      <c r="BB309" s="1">
        <v>264</v>
      </c>
      <c r="BC309" s="1">
        <v>275</v>
      </c>
      <c r="BD309" s="1" t="s">
        <v>74</v>
      </c>
      <c r="BE309" s="1" t="s">
        <v>5571</v>
      </c>
      <c r="BF309" s="1" t="str">
        <f>HYPERLINK("http://dx.doi.org/10.22092/ijfs.2021.123562","http://dx.doi.org/10.22092/ijfs.2021.123562")</f>
        <v>http://dx.doi.org/10.22092/ijfs.2021.123562</v>
      </c>
      <c r="BG309" s="1" t="s">
        <v>74</v>
      </c>
      <c r="BH309" s="1" t="s">
        <v>74</v>
      </c>
      <c r="BI309" s="1">
        <v>12</v>
      </c>
      <c r="BJ309" s="1" t="s">
        <v>746</v>
      </c>
      <c r="BK309" s="1" t="s">
        <v>96</v>
      </c>
      <c r="BL309" s="1" t="s">
        <v>746</v>
      </c>
      <c r="BM309" s="1" t="s">
        <v>5572</v>
      </c>
      <c r="BN309" s="1" t="s">
        <v>74</v>
      </c>
      <c r="BO309" s="1" t="s">
        <v>74</v>
      </c>
      <c r="BP309" s="1" t="s">
        <v>74</v>
      </c>
      <c r="BQ309" s="1" t="s">
        <v>74</v>
      </c>
      <c r="BR309" s="1" t="s">
        <v>98</v>
      </c>
      <c r="BS309" s="1" t="s">
        <v>5573</v>
      </c>
      <c r="BT309" s="1" t="str">
        <f>HYPERLINK("https%3A%2F%2Fwww.webofscience.com%2Fwos%2Fwoscc%2Ffull-record%2FWOS:000627425300005","View Full Record in Web of Science")</f>
        <v>View Full Record in Web of Science</v>
      </c>
    </row>
    <row r="310" spans="1:72">
      <c r="A310" s="1" t="s">
        <v>72</v>
      </c>
      <c r="B310" s="1" t="s">
        <v>5574</v>
      </c>
      <c r="C310" s="1" t="s">
        <v>74</v>
      </c>
      <c r="D310" s="1" t="s">
        <v>74</v>
      </c>
      <c r="E310" s="1" t="s">
        <v>74</v>
      </c>
      <c r="F310" s="1" t="s">
        <v>5575</v>
      </c>
      <c r="G310" s="1" t="s">
        <v>74</v>
      </c>
      <c r="H310" s="1" t="s">
        <v>74</v>
      </c>
      <c r="I310" s="1" t="s">
        <v>5576</v>
      </c>
      <c r="J310" s="1" t="s">
        <v>1756</v>
      </c>
      <c r="K310" s="1" t="s">
        <v>74</v>
      </c>
      <c r="L310" s="1" t="s">
        <v>74</v>
      </c>
      <c r="M310" s="1" t="s">
        <v>78</v>
      </c>
      <c r="N310" s="1" t="s">
        <v>79</v>
      </c>
      <c r="O310" s="1" t="s">
        <v>74</v>
      </c>
      <c r="P310" s="1" t="s">
        <v>74</v>
      </c>
      <c r="Q310" s="1" t="s">
        <v>74</v>
      </c>
      <c r="R310" s="1" t="s">
        <v>74</v>
      </c>
      <c r="S310" s="1" t="s">
        <v>74</v>
      </c>
      <c r="T310" s="1" t="s">
        <v>5577</v>
      </c>
      <c r="U310" s="1" t="s">
        <v>5578</v>
      </c>
      <c r="V310" s="1" t="s">
        <v>5579</v>
      </c>
      <c r="W310" s="1" t="s">
        <v>5580</v>
      </c>
      <c r="X310" s="1" t="s">
        <v>5581</v>
      </c>
      <c r="Y310" s="1" t="s">
        <v>5582</v>
      </c>
      <c r="Z310" s="1" t="s">
        <v>5583</v>
      </c>
      <c r="AA310" s="1" t="s">
        <v>5584</v>
      </c>
      <c r="AB310" s="1" t="s">
        <v>5585</v>
      </c>
      <c r="AC310" s="1" t="s">
        <v>74</v>
      </c>
      <c r="AD310" s="1" t="s">
        <v>74</v>
      </c>
      <c r="AE310" s="1" t="s">
        <v>74</v>
      </c>
      <c r="AF310" s="1" t="s">
        <v>74</v>
      </c>
      <c r="AG310" s="1">
        <v>55</v>
      </c>
      <c r="AH310" s="1">
        <v>32</v>
      </c>
      <c r="AI310" s="1">
        <v>42</v>
      </c>
      <c r="AJ310" s="1">
        <v>0</v>
      </c>
      <c r="AK310" s="1">
        <v>41</v>
      </c>
      <c r="AL310" s="1" t="s">
        <v>86</v>
      </c>
      <c r="AM310" s="1" t="s">
        <v>87</v>
      </c>
      <c r="AN310" s="1" t="s">
        <v>88</v>
      </c>
      <c r="AO310" s="1" t="s">
        <v>1764</v>
      </c>
      <c r="AP310" s="1" t="s">
        <v>1765</v>
      </c>
      <c r="AQ310" s="1" t="s">
        <v>74</v>
      </c>
      <c r="AR310" s="1" t="s">
        <v>1766</v>
      </c>
      <c r="AS310" s="1" t="s">
        <v>1767</v>
      </c>
      <c r="AT310" s="1" t="s">
        <v>1470</v>
      </c>
      <c r="AU310" s="1">
        <v>2007</v>
      </c>
      <c r="AV310" s="1">
        <v>26</v>
      </c>
      <c r="AW310" s="1">
        <v>1</v>
      </c>
      <c r="AX310" s="1" t="s">
        <v>74</v>
      </c>
      <c r="AY310" s="1" t="s">
        <v>74</v>
      </c>
      <c r="AZ310" s="1" t="s">
        <v>74</v>
      </c>
      <c r="BA310" s="1" t="s">
        <v>74</v>
      </c>
      <c r="BB310" s="1">
        <v>118</v>
      </c>
      <c r="BC310" s="1">
        <v>125</v>
      </c>
      <c r="BD310" s="1" t="s">
        <v>74</v>
      </c>
      <c r="BE310" s="1" t="s">
        <v>5586</v>
      </c>
      <c r="BF310" s="1" t="str">
        <f>HYPERLINK("http://dx.doi.org/10.1897/07-035R.1","http://dx.doi.org/10.1897/07-035R.1")</f>
        <v>http://dx.doi.org/10.1897/07-035R.1</v>
      </c>
      <c r="BG310" s="1" t="s">
        <v>74</v>
      </c>
      <c r="BH310" s="1" t="s">
        <v>74</v>
      </c>
      <c r="BI310" s="1">
        <v>8</v>
      </c>
      <c r="BJ310" s="1" t="s">
        <v>121</v>
      </c>
      <c r="BK310" s="1" t="s">
        <v>96</v>
      </c>
      <c r="BL310" s="1" t="s">
        <v>122</v>
      </c>
      <c r="BM310" s="1" t="s">
        <v>5587</v>
      </c>
      <c r="BN310" s="1">
        <v>17269468</v>
      </c>
      <c r="BO310" s="1" t="s">
        <v>74</v>
      </c>
      <c r="BP310" s="1" t="s">
        <v>74</v>
      </c>
      <c r="BQ310" s="1" t="s">
        <v>74</v>
      </c>
      <c r="BR310" s="1" t="s">
        <v>98</v>
      </c>
      <c r="BS310" s="1" t="s">
        <v>5588</v>
      </c>
      <c r="BT310" s="1" t="str">
        <f>HYPERLINK("https%3A%2F%2Fwww.webofscience.com%2Fwos%2Fwoscc%2Ffull-record%2FWOS:000243293800015","View Full Record in Web of Science")</f>
        <v>View Full Record in Web of Science</v>
      </c>
    </row>
    <row r="311" spans="1:72">
      <c r="A311" s="1" t="s">
        <v>72</v>
      </c>
      <c r="B311" s="1" t="s">
        <v>5589</v>
      </c>
      <c r="C311" s="1" t="s">
        <v>74</v>
      </c>
      <c r="D311" s="1" t="s">
        <v>74</v>
      </c>
      <c r="E311" s="1" t="s">
        <v>74</v>
      </c>
      <c r="F311" s="1" t="s">
        <v>5590</v>
      </c>
      <c r="G311" s="1" t="s">
        <v>74</v>
      </c>
      <c r="H311" s="1" t="s">
        <v>74</v>
      </c>
      <c r="I311" s="1" t="s">
        <v>5591</v>
      </c>
      <c r="J311" s="1" t="s">
        <v>5592</v>
      </c>
      <c r="K311" s="1" t="s">
        <v>74</v>
      </c>
      <c r="L311" s="1" t="s">
        <v>74</v>
      </c>
      <c r="M311" s="1" t="s">
        <v>78</v>
      </c>
      <c r="N311" s="1" t="s">
        <v>79</v>
      </c>
      <c r="O311" s="1" t="s">
        <v>74</v>
      </c>
      <c r="P311" s="1" t="s">
        <v>74</v>
      </c>
      <c r="Q311" s="1" t="s">
        <v>74</v>
      </c>
      <c r="R311" s="1" t="s">
        <v>74</v>
      </c>
      <c r="S311" s="1" t="s">
        <v>74</v>
      </c>
      <c r="T311" s="1" t="s">
        <v>5593</v>
      </c>
      <c r="U311" s="1" t="s">
        <v>5594</v>
      </c>
      <c r="V311" s="1" t="s">
        <v>5595</v>
      </c>
      <c r="W311" s="1" t="s">
        <v>5596</v>
      </c>
      <c r="X311" s="1" t="s">
        <v>5597</v>
      </c>
      <c r="Y311" s="1" t="s">
        <v>5598</v>
      </c>
      <c r="Z311" s="1" t="s">
        <v>5599</v>
      </c>
      <c r="AA311" s="1" t="s">
        <v>5600</v>
      </c>
      <c r="AB311" s="1" t="s">
        <v>5601</v>
      </c>
      <c r="AC311" s="1" t="s">
        <v>5602</v>
      </c>
      <c r="AD311" s="1" t="s">
        <v>5603</v>
      </c>
      <c r="AE311" s="1" t="s">
        <v>5604</v>
      </c>
      <c r="AF311" s="1" t="s">
        <v>74</v>
      </c>
      <c r="AG311" s="1">
        <v>78</v>
      </c>
      <c r="AH311" s="1">
        <v>32</v>
      </c>
      <c r="AI311" s="1">
        <v>36</v>
      </c>
      <c r="AJ311" s="1">
        <v>0</v>
      </c>
      <c r="AK311" s="1">
        <v>42</v>
      </c>
      <c r="AL311" s="1" t="s">
        <v>285</v>
      </c>
      <c r="AM311" s="1" t="s">
        <v>286</v>
      </c>
      <c r="AN311" s="1" t="s">
        <v>287</v>
      </c>
      <c r="AO311" s="1" t="s">
        <v>5605</v>
      </c>
      <c r="AP311" s="1" t="s">
        <v>5606</v>
      </c>
      <c r="AQ311" s="1" t="s">
        <v>74</v>
      </c>
      <c r="AR311" s="1" t="s">
        <v>5607</v>
      </c>
      <c r="AS311" s="1" t="s">
        <v>5608</v>
      </c>
      <c r="AT311" s="1" t="s">
        <v>5609</v>
      </c>
      <c r="AU311" s="1">
        <v>2015</v>
      </c>
      <c r="AV311" s="1">
        <v>167</v>
      </c>
      <c r="AW311" s="1" t="s">
        <v>74</v>
      </c>
      <c r="AX311" s="1" t="s">
        <v>489</v>
      </c>
      <c r="AY311" s="1" t="s">
        <v>74</v>
      </c>
      <c r="AZ311" s="1" t="s">
        <v>225</v>
      </c>
      <c r="BA311" s="1" t="s">
        <v>74</v>
      </c>
      <c r="BB311" s="1">
        <v>191</v>
      </c>
      <c r="BC311" s="1">
        <v>198</v>
      </c>
      <c r="BD311" s="1" t="s">
        <v>74</v>
      </c>
      <c r="BE311" s="1" t="s">
        <v>5610</v>
      </c>
      <c r="BF311" s="1" t="str">
        <f>HYPERLINK("http://dx.doi.org/10.1016/j.ecss.2015.06.014","http://dx.doi.org/10.1016/j.ecss.2015.06.014")</f>
        <v>http://dx.doi.org/10.1016/j.ecss.2015.06.014</v>
      </c>
      <c r="BG311" s="1" t="s">
        <v>74</v>
      </c>
      <c r="BH311" s="1" t="s">
        <v>74</v>
      </c>
      <c r="BI311" s="1">
        <v>8</v>
      </c>
      <c r="BJ311" s="1" t="s">
        <v>4241</v>
      </c>
      <c r="BK311" s="1" t="s">
        <v>96</v>
      </c>
      <c r="BL311" s="1" t="s">
        <v>4241</v>
      </c>
      <c r="BM311" s="1" t="s">
        <v>5611</v>
      </c>
      <c r="BN311" s="1" t="s">
        <v>74</v>
      </c>
      <c r="BO311" s="1" t="s">
        <v>74</v>
      </c>
      <c r="BP311" s="1" t="s">
        <v>74</v>
      </c>
      <c r="BQ311" s="1" t="s">
        <v>74</v>
      </c>
      <c r="BR311" s="1" t="s">
        <v>98</v>
      </c>
      <c r="BS311" s="1" t="s">
        <v>5612</v>
      </c>
      <c r="BT311" s="1" t="str">
        <f>HYPERLINK("https%3A%2F%2Fwww.webofscience.com%2Fwos%2Fwoscc%2Ffull-record%2FWOS:000367630300020","View Full Record in Web of Science")</f>
        <v>View Full Record in Web of Science</v>
      </c>
    </row>
    <row r="312" spans="1:72">
      <c r="A312" s="1" t="s">
        <v>72</v>
      </c>
      <c r="B312" s="1" t="s">
        <v>5613</v>
      </c>
      <c r="C312" s="1" t="s">
        <v>74</v>
      </c>
      <c r="D312" s="1" t="s">
        <v>74</v>
      </c>
      <c r="E312" s="1" t="s">
        <v>74</v>
      </c>
      <c r="F312" s="1" t="s">
        <v>5614</v>
      </c>
      <c r="G312" s="1" t="s">
        <v>74</v>
      </c>
      <c r="H312" s="1" t="s">
        <v>74</v>
      </c>
      <c r="I312" s="1" t="s">
        <v>5615</v>
      </c>
      <c r="J312" s="1" t="s">
        <v>5616</v>
      </c>
      <c r="K312" s="1" t="s">
        <v>74</v>
      </c>
      <c r="L312" s="1" t="s">
        <v>74</v>
      </c>
      <c r="M312" s="1" t="s">
        <v>78</v>
      </c>
      <c r="N312" s="1" t="s">
        <v>79</v>
      </c>
      <c r="O312" s="1" t="s">
        <v>74</v>
      </c>
      <c r="P312" s="1" t="s">
        <v>74</v>
      </c>
      <c r="Q312" s="1" t="s">
        <v>74</v>
      </c>
      <c r="R312" s="1" t="s">
        <v>74</v>
      </c>
      <c r="S312" s="1" t="s">
        <v>74</v>
      </c>
      <c r="T312" s="1" t="s">
        <v>5617</v>
      </c>
      <c r="U312" s="1" t="s">
        <v>5618</v>
      </c>
      <c r="V312" s="1" t="s">
        <v>5619</v>
      </c>
      <c r="W312" s="1" t="s">
        <v>5620</v>
      </c>
      <c r="X312" s="1" t="s">
        <v>5621</v>
      </c>
      <c r="Y312" s="1" t="s">
        <v>5622</v>
      </c>
      <c r="Z312" s="1" t="s">
        <v>5623</v>
      </c>
      <c r="AA312" s="1" t="s">
        <v>5624</v>
      </c>
      <c r="AB312" s="1" t="s">
        <v>5625</v>
      </c>
      <c r="AC312" s="1" t="s">
        <v>5626</v>
      </c>
      <c r="AD312" s="1" t="s">
        <v>5627</v>
      </c>
      <c r="AE312" s="1" t="s">
        <v>5628</v>
      </c>
      <c r="AF312" s="1" t="s">
        <v>74</v>
      </c>
      <c r="AG312" s="1">
        <v>68</v>
      </c>
      <c r="AH312" s="1">
        <v>18</v>
      </c>
      <c r="AI312" s="1">
        <v>19</v>
      </c>
      <c r="AJ312" s="1">
        <v>2</v>
      </c>
      <c r="AK312" s="1">
        <v>13</v>
      </c>
      <c r="AL312" s="1" t="s">
        <v>1566</v>
      </c>
      <c r="AM312" s="1" t="s">
        <v>1567</v>
      </c>
      <c r="AN312" s="1" t="s">
        <v>1568</v>
      </c>
      <c r="AO312" s="1" t="s">
        <v>74</v>
      </c>
      <c r="AP312" s="1" t="s">
        <v>5629</v>
      </c>
      <c r="AQ312" s="1" t="s">
        <v>74</v>
      </c>
      <c r="AR312" s="1" t="s">
        <v>5630</v>
      </c>
      <c r="AS312" s="1" t="s">
        <v>5631</v>
      </c>
      <c r="AT312" s="1" t="s">
        <v>305</v>
      </c>
      <c r="AU312" s="1">
        <v>2020</v>
      </c>
      <c r="AV312" s="1">
        <v>10</v>
      </c>
      <c r="AW312" s="1">
        <v>9</v>
      </c>
      <c r="AX312" s="1" t="s">
        <v>74</v>
      </c>
      <c r="AY312" s="1" t="s">
        <v>74</v>
      </c>
      <c r="AZ312" s="1" t="s">
        <v>74</v>
      </c>
      <c r="BA312" s="1" t="s">
        <v>74</v>
      </c>
      <c r="BB312" s="1" t="s">
        <v>74</v>
      </c>
      <c r="BC312" s="1" t="s">
        <v>74</v>
      </c>
      <c r="BD312" s="1">
        <v>1837</v>
      </c>
      <c r="BE312" s="1" t="s">
        <v>5632</v>
      </c>
      <c r="BF312" s="1" t="str">
        <f>HYPERLINK("http://dx.doi.org/10.3390/nano10091837","http://dx.doi.org/10.3390/nano10091837")</f>
        <v>http://dx.doi.org/10.3390/nano10091837</v>
      </c>
      <c r="BG312" s="1" t="s">
        <v>74</v>
      </c>
      <c r="BH312" s="1" t="s">
        <v>74</v>
      </c>
      <c r="BI312" s="1">
        <v>16</v>
      </c>
      <c r="BJ312" s="1" t="s">
        <v>5633</v>
      </c>
      <c r="BK312" s="1" t="s">
        <v>96</v>
      </c>
      <c r="BL312" s="1" t="s">
        <v>5634</v>
      </c>
      <c r="BM312" s="1" t="s">
        <v>5635</v>
      </c>
      <c r="BN312" s="1">
        <v>32938003</v>
      </c>
      <c r="BO312" s="1" t="s">
        <v>550</v>
      </c>
      <c r="BP312" s="1" t="s">
        <v>74</v>
      </c>
      <c r="BQ312" s="1" t="s">
        <v>74</v>
      </c>
      <c r="BR312" s="1" t="s">
        <v>98</v>
      </c>
      <c r="BS312" s="1" t="s">
        <v>5636</v>
      </c>
      <c r="BT312" s="1" t="str">
        <f>HYPERLINK("https%3A%2F%2Fwww.webofscience.com%2Fwos%2Fwoscc%2Ffull-record%2FWOS:000581286500001","View Full Record in Web of Science")</f>
        <v>View Full Record in Web of Science</v>
      </c>
    </row>
    <row r="313" spans="1:72">
      <c r="A313" s="1" t="s">
        <v>72</v>
      </c>
      <c r="B313" s="1" t="s">
        <v>5637</v>
      </c>
      <c r="C313" s="1" t="s">
        <v>74</v>
      </c>
      <c r="D313" s="1" t="s">
        <v>74</v>
      </c>
      <c r="E313" s="1" t="s">
        <v>74</v>
      </c>
      <c r="F313" s="1" t="s">
        <v>5637</v>
      </c>
      <c r="G313" s="1" t="s">
        <v>74</v>
      </c>
      <c r="H313" s="1" t="s">
        <v>74</v>
      </c>
      <c r="I313" s="1" t="s">
        <v>5638</v>
      </c>
      <c r="J313" s="1" t="s">
        <v>5639</v>
      </c>
      <c r="K313" s="1" t="s">
        <v>74</v>
      </c>
      <c r="L313" s="1" t="s">
        <v>74</v>
      </c>
      <c r="M313" s="1" t="s">
        <v>78</v>
      </c>
      <c r="N313" s="1" t="s">
        <v>79</v>
      </c>
      <c r="O313" s="1" t="s">
        <v>74</v>
      </c>
      <c r="P313" s="1" t="s">
        <v>74</v>
      </c>
      <c r="Q313" s="1" t="s">
        <v>74</v>
      </c>
      <c r="R313" s="1" t="s">
        <v>74</v>
      </c>
      <c r="S313" s="1" t="s">
        <v>74</v>
      </c>
      <c r="T313" s="1" t="s">
        <v>74</v>
      </c>
      <c r="U313" s="1" t="s">
        <v>74</v>
      </c>
      <c r="V313" s="1" t="s">
        <v>5640</v>
      </c>
      <c r="W313" s="1" t="s">
        <v>74</v>
      </c>
      <c r="X313" s="1" t="s">
        <v>74</v>
      </c>
      <c r="Y313" s="1" t="s">
        <v>5641</v>
      </c>
      <c r="Z313" s="1" t="s">
        <v>74</v>
      </c>
      <c r="AA313" s="1" t="s">
        <v>5642</v>
      </c>
      <c r="AB313" s="1" t="s">
        <v>5643</v>
      </c>
      <c r="AC313" s="1" t="s">
        <v>74</v>
      </c>
      <c r="AD313" s="1" t="s">
        <v>74</v>
      </c>
      <c r="AE313" s="1" t="s">
        <v>74</v>
      </c>
      <c r="AF313" s="1" t="s">
        <v>74</v>
      </c>
      <c r="AG313" s="1">
        <v>0</v>
      </c>
      <c r="AH313" s="1">
        <v>36</v>
      </c>
      <c r="AI313" s="1">
        <v>36</v>
      </c>
      <c r="AJ313" s="1">
        <v>0</v>
      </c>
      <c r="AK313" s="1">
        <v>2</v>
      </c>
      <c r="AL313" s="1" t="s">
        <v>5644</v>
      </c>
      <c r="AM313" s="1" t="s">
        <v>5645</v>
      </c>
      <c r="AN313" s="1" t="s">
        <v>5646</v>
      </c>
      <c r="AO313" s="1" t="s">
        <v>5647</v>
      </c>
      <c r="AP313" s="1" t="s">
        <v>5648</v>
      </c>
      <c r="AQ313" s="1" t="s">
        <v>74</v>
      </c>
      <c r="AR313" s="1" t="s">
        <v>5649</v>
      </c>
      <c r="AS313" s="1" t="s">
        <v>5650</v>
      </c>
      <c r="AT313" s="1" t="s">
        <v>5651</v>
      </c>
      <c r="AU313" s="1">
        <v>1988</v>
      </c>
      <c r="AV313" s="1">
        <v>4</v>
      </c>
      <c r="AW313" s="1">
        <v>1</v>
      </c>
      <c r="AX313" s="1" t="s">
        <v>74</v>
      </c>
      <c r="AY313" s="1" t="s">
        <v>74</v>
      </c>
      <c r="AZ313" s="1" t="s">
        <v>74</v>
      </c>
      <c r="BA313" s="1" t="s">
        <v>74</v>
      </c>
      <c r="BB313" s="1">
        <v>37</v>
      </c>
      <c r="BC313" s="1">
        <v>58</v>
      </c>
      <c r="BD313" s="1" t="s">
        <v>74</v>
      </c>
      <c r="BE313" s="1" t="s">
        <v>74</v>
      </c>
      <c r="BF313" s="1" t="s">
        <v>74</v>
      </c>
      <c r="BG313" s="1" t="s">
        <v>74</v>
      </c>
      <c r="BH313" s="1" t="s">
        <v>74</v>
      </c>
      <c r="BI313" s="1">
        <v>22</v>
      </c>
      <c r="BJ313" s="1" t="s">
        <v>5652</v>
      </c>
      <c r="BK313" s="1" t="s">
        <v>96</v>
      </c>
      <c r="BL313" s="1" t="s">
        <v>5653</v>
      </c>
      <c r="BM313" s="1" t="s">
        <v>5654</v>
      </c>
      <c r="BN313" s="1" t="s">
        <v>74</v>
      </c>
      <c r="BO313" s="1" t="s">
        <v>74</v>
      </c>
      <c r="BP313" s="1" t="s">
        <v>74</v>
      </c>
      <c r="BQ313" s="1" t="s">
        <v>74</v>
      </c>
      <c r="BR313" s="1" t="s">
        <v>98</v>
      </c>
      <c r="BS313" s="1" t="s">
        <v>5655</v>
      </c>
      <c r="BT313" s="1" t="str">
        <f>HYPERLINK("https%3A%2F%2Fwww.webofscience.com%2Fwos%2Fwoscc%2Ffull-record%2FWOS:A1988M107400005","View Full Record in Web of Science")</f>
        <v>View Full Record in Web of Science</v>
      </c>
    </row>
    <row r="314" spans="1:72">
      <c r="A314" s="1" t="s">
        <v>72</v>
      </c>
      <c r="B314" s="1" t="s">
        <v>5656</v>
      </c>
      <c r="C314" s="1" t="s">
        <v>74</v>
      </c>
      <c r="D314" s="1" t="s">
        <v>74</v>
      </c>
      <c r="E314" s="1" t="s">
        <v>74</v>
      </c>
      <c r="F314" s="1" t="s">
        <v>5656</v>
      </c>
      <c r="G314" s="1" t="s">
        <v>74</v>
      </c>
      <c r="H314" s="1" t="s">
        <v>74</v>
      </c>
      <c r="I314" s="1" t="s">
        <v>5657</v>
      </c>
      <c r="J314" s="1" t="s">
        <v>752</v>
      </c>
      <c r="K314" s="1" t="s">
        <v>74</v>
      </c>
      <c r="L314" s="1" t="s">
        <v>74</v>
      </c>
      <c r="M314" s="1" t="s">
        <v>78</v>
      </c>
      <c r="N314" s="1" t="s">
        <v>151</v>
      </c>
      <c r="O314" s="1" t="s">
        <v>5658</v>
      </c>
      <c r="P314" s="1">
        <v>1993</v>
      </c>
      <c r="Q314" s="1" t="s">
        <v>5659</v>
      </c>
      <c r="R314" s="1" t="s">
        <v>74</v>
      </c>
      <c r="S314" s="1" t="s">
        <v>74</v>
      </c>
      <c r="T314" s="1" t="s">
        <v>74</v>
      </c>
      <c r="U314" s="1" t="s">
        <v>5660</v>
      </c>
      <c r="V314" s="1" t="s">
        <v>5661</v>
      </c>
      <c r="W314" s="1" t="s">
        <v>5662</v>
      </c>
      <c r="X314" s="1" t="s">
        <v>5663</v>
      </c>
      <c r="Y314" s="1" t="s">
        <v>5664</v>
      </c>
      <c r="Z314" s="1" t="s">
        <v>74</v>
      </c>
      <c r="AA314" s="1" t="s">
        <v>74</v>
      </c>
      <c r="AB314" s="1" t="s">
        <v>74</v>
      </c>
      <c r="AC314" s="1" t="s">
        <v>74</v>
      </c>
      <c r="AD314" s="1" t="s">
        <v>74</v>
      </c>
      <c r="AE314" s="1" t="s">
        <v>74</v>
      </c>
      <c r="AF314" s="1" t="s">
        <v>74</v>
      </c>
      <c r="AG314" s="1">
        <v>10</v>
      </c>
      <c r="AH314" s="1">
        <v>26</v>
      </c>
      <c r="AI314" s="1">
        <v>26</v>
      </c>
      <c r="AJ314" s="1">
        <v>0</v>
      </c>
      <c r="AK314" s="1">
        <v>6</v>
      </c>
      <c r="AL314" s="1" t="s">
        <v>430</v>
      </c>
      <c r="AM314" s="1" t="s">
        <v>137</v>
      </c>
      <c r="AN314" s="1" t="s">
        <v>1600</v>
      </c>
      <c r="AO314" s="1" t="s">
        <v>761</v>
      </c>
      <c r="AP314" s="1" t="s">
        <v>74</v>
      </c>
      <c r="AQ314" s="1" t="s">
        <v>74</v>
      </c>
      <c r="AR314" s="1" t="s">
        <v>763</v>
      </c>
      <c r="AS314" s="1" t="s">
        <v>764</v>
      </c>
      <c r="AT314" s="1" t="s">
        <v>74</v>
      </c>
      <c r="AU314" s="1">
        <v>1995</v>
      </c>
      <c r="AV314" s="1">
        <v>39</v>
      </c>
      <c r="AW314" s="1" t="s">
        <v>721</v>
      </c>
      <c r="AX314" s="1" t="s">
        <v>74</v>
      </c>
      <c r="AY314" s="1" t="s">
        <v>74</v>
      </c>
      <c r="AZ314" s="1" t="s">
        <v>74</v>
      </c>
      <c r="BA314" s="1" t="s">
        <v>74</v>
      </c>
      <c r="BB314" s="1">
        <v>325</v>
      </c>
      <c r="BC314" s="1">
        <v>328</v>
      </c>
      <c r="BD314" s="1" t="s">
        <v>74</v>
      </c>
      <c r="BE314" s="1" t="s">
        <v>5665</v>
      </c>
      <c r="BF314" s="1" t="str">
        <f>HYPERLINK("http://dx.doi.org/10.1016/0141-1136(94)00033-L","http://dx.doi.org/10.1016/0141-1136(94)00033-L")</f>
        <v>http://dx.doi.org/10.1016/0141-1136(94)00033-L</v>
      </c>
      <c r="BG314" s="1" t="s">
        <v>74</v>
      </c>
      <c r="BH314" s="1" t="s">
        <v>74</v>
      </c>
      <c r="BI314" s="1">
        <v>4</v>
      </c>
      <c r="BJ314" s="1" t="s">
        <v>768</v>
      </c>
      <c r="BK314" s="1" t="s">
        <v>588</v>
      </c>
      <c r="BL314" s="1" t="s">
        <v>769</v>
      </c>
      <c r="BM314" s="1" t="s">
        <v>5666</v>
      </c>
      <c r="BN314" s="1" t="s">
        <v>74</v>
      </c>
      <c r="BO314" s="1" t="s">
        <v>74</v>
      </c>
      <c r="BP314" s="1" t="s">
        <v>74</v>
      </c>
      <c r="BQ314" s="1" t="s">
        <v>74</v>
      </c>
      <c r="BR314" s="1" t="s">
        <v>98</v>
      </c>
      <c r="BS314" s="1" t="s">
        <v>5667</v>
      </c>
      <c r="BT314" s="1" t="str">
        <f>HYPERLINK("https%3A%2F%2Fwww.webofscience.com%2Fwos%2Fwoscc%2Ffull-record%2FWOS:A1995QR26100067","View Full Record in Web of Science")</f>
        <v>View Full Record in Web of Science</v>
      </c>
    </row>
    <row r="315" spans="1:72">
      <c r="A315" s="1" t="s">
        <v>72</v>
      </c>
      <c r="B315" s="1" t="s">
        <v>5668</v>
      </c>
      <c r="C315" s="1" t="s">
        <v>74</v>
      </c>
      <c r="D315" s="1" t="s">
        <v>74</v>
      </c>
      <c r="E315" s="1" t="s">
        <v>74</v>
      </c>
      <c r="F315" s="1" t="s">
        <v>5668</v>
      </c>
      <c r="G315" s="1" t="s">
        <v>74</v>
      </c>
      <c r="H315" s="1" t="s">
        <v>74</v>
      </c>
      <c r="I315" s="1" t="s">
        <v>5669</v>
      </c>
      <c r="J315" s="1" t="s">
        <v>421</v>
      </c>
      <c r="K315" s="1" t="s">
        <v>74</v>
      </c>
      <c r="L315" s="1" t="s">
        <v>74</v>
      </c>
      <c r="M315" s="1" t="s">
        <v>78</v>
      </c>
      <c r="N315" s="1" t="s">
        <v>79</v>
      </c>
      <c r="O315" s="1" t="s">
        <v>74</v>
      </c>
      <c r="P315" s="1" t="s">
        <v>74</v>
      </c>
      <c r="Q315" s="1" t="s">
        <v>74</v>
      </c>
      <c r="R315" s="1" t="s">
        <v>74</v>
      </c>
      <c r="S315" s="1" t="s">
        <v>74</v>
      </c>
      <c r="T315" s="1" t="s">
        <v>5670</v>
      </c>
      <c r="U315" s="1" t="s">
        <v>5671</v>
      </c>
      <c r="V315" s="1" t="s">
        <v>5672</v>
      </c>
      <c r="W315" s="1" t="s">
        <v>5673</v>
      </c>
      <c r="X315" s="1" t="s">
        <v>5674</v>
      </c>
      <c r="Y315" s="1" t="s">
        <v>5675</v>
      </c>
      <c r="Z315" s="1" t="s">
        <v>3249</v>
      </c>
      <c r="AA315" s="1" t="s">
        <v>74</v>
      </c>
      <c r="AB315" s="1" t="s">
        <v>74</v>
      </c>
      <c r="AC315" s="1" t="s">
        <v>74</v>
      </c>
      <c r="AD315" s="1" t="s">
        <v>74</v>
      </c>
      <c r="AE315" s="1" t="s">
        <v>74</v>
      </c>
      <c r="AF315" s="1" t="s">
        <v>74</v>
      </c>
      <c r="AG315" s="1">
        <v>46</v>
      </c>
      <c r="AH315" s="1">
        <v>55</v>
      </c>
      <c r="AI315" s="1">
        <v>77</v>
      </c>
      <c r="AJ315" s="1">
        <v>0</v>
      </c>
      <c r="AK315" s="1">
        <v>32</v>
      </c>
      <c r="AL315" s="1" t="s">
        <v>430</v>
      </c>
      <c r="AM315" s="1" t="s">
        <v>137</v>
      </c>
      <c r="AN315" s="1" t="s">
        <v>431</v>
      </c>
      <c r="AO315" s="1" t="s">
        <v>432</v>
      </c>
      <c r="AP315" s="1" t="s">
        <v>1394</v>
      </c>
      <c r="AQ315" s="1" t="s">
        <v>74</v>
      </c>
      <c r="AR315" s="1" t="s">
        <v>433</v>
      </c>
      <c r="AS315" s="1" t="s">
        <v>434</v>
      </c>
      <c r="AT315" s="1" t="s">
        <v>93</v>
      </c>
      <c r="AU315" s="1">
        <v>2006</v>
      </c>
      <c r="AV315" s="1">
        <v>140</v>
      </c>
      <c r="AW315" s="1">
        <v>3</v>
      </c>
      <c r="AX315" s="1" t="s">
        <v>74</v>
      </c>
      <c r="AY315" s="1" t="s">
        <v>74</v>
      </c>
      <c r="AZ315" s="1" t="s">
        <v>74</v>
      </c>
      <c r="BA315" s="1" t="s">
        <v>74</v>
      </c>
      <c r="BB315" s="1">
        <v>492</v>
      </c>
      <c r="BC315" s="1">
        <v>499</v>
      </c>
      <c r="BD315" s="1" t="s">
        <v>74</v>
      </c>
      <c r="BE315" s="1" t="s">
        <v>5676</v>
      </c>
      <c r="BF315" s="1" t="str">
        <f>HYPERLINK("http://dx.doi.org/10.1016/j.envpol.2005.08.006","http://dx.doi.org/10.1016/j.envpol.2005.08.006")</f>
        <v>http://dx.doi.org/10.1016/j.envpol.2005.08.006</v>
      </c>
      <c r="BG315" s="1" t="s">
        <v>74</v>
      </c>
      <c r="BH315" s="1" t="s">
        <v>74</v>
      </c>
      <c r="BI315" s="1">
        <v>8</v>
      </c>
      <c r="BJ315" s="1" t="s">
        <v>144</v>
      </c>
      <c r="BK315" s="1" t="s">
        <v>96</v>
      </c>
      <c r="BL315" s="1" t="s">
        <v>145</v>
      </c>
      <c r="BM315" s="1" t="s">
        <v>5677</v>
      </c>
      <c r="BN315" s="1">
        <v>16214278</v>
      </c>
      <c r="BO315" s="1" t="s">
        <v>1752</v>
      </c>
      <c r="BP315" s="1" t="s">
        <v>74</v>
      </c>
      <c r="BQ315" s="1" t="s">
        <v>74</v>
      </c>
      <c r="BR315" s="1" t="s">
        <v>98</v>
      </c>
      <c r="BS315" s="1" t="s">
        <v>5678</v>
      </c>
      <c r="BT315" s="1" t="str">
        <f>HYPERLINK("https%3A%2F%2Fwww.webofscience.com%2Fwos%2Fwoscc%2Ffull-record%2FWOS:000236410800013","View Full Record in Web of Science")</f>
        <v>View Full Record in Web of Science</v>
      </c>
    </row>
    <row r="316" spans="1:72">
      <c r="A316" s="1" t="s">
        <v>72</v>
      </c>
      <c r="B316" s="1" t="s">
        <v>5679</v>
      </c>
      <c r="C316" s="1" t="s">
        <v>74</v>
      </c>
      <c r="D316" s="1" t="s">
        <v>74</v>
      </c>
      <c r="E316" s="1" t="s">
        <v>74</v>
      </c>
      <c r="F316" s="1" t="s">
        <v>5680</v>
      </c>
      <c r="G316" s="1" t="s">
        <v>74</v>
      </c>
      <c r="H316" s="1" t="s">
        <v>74</v>
      </c>
      <c r="I316" s="1" t="s">
        <v>5681</v>
      </c>
      <c r="J316" s="1" t="s">
        <v>275</v>
      </c>
      <c r="K316" s="1" t="s">
        <v>74</v>
      </c>
      <c r="L316" s="1" t="s">
        <v>74</v>
      </c>
      <c r="M316" s="1" t="s">
        <v>78</v>
      </c>
      <c r="N316" s="1" t="s">
        <v>79</v>
      </c>
      <c r="O316" s="1" t="s">
        <v>74</v>
      </c>
      <c r="P316" s="1" t="s">
        <v>74</v>
      </c>
      <c r="Q316" s="1" t="s">
        <v>74</v>
      </c>
      <c r="R316" s="1" t="s">
        <v>74</v>
      </c>
      <c r="S316" s="1" t="s">
        <v>74</v>
      </c>
      <c r="T316" s="1" t="s">
        <v>5682</v>
      </c>
      <c r="U316" s="1" t="s">
        <v>5683</v>
      </c>
      <c r="V316" s="1" t="s">
        <v>5684</v>
      </c>
      <c r="W316" s="1" t="s">
        <v>5685</v>
      </c>
      <c r="X316" s="1" t="s">
        <v>5686</v>
      </c>
      <c r="Y316" s="1" t="s">
        <v>5687</v>
      </c>
      <c r="Z316" s="1" t="s">
        <v>5688</v>
      </c>
      <c r="AA316" s="1" t="s">
        <v>5689</v>
      </c>
      <c r="AB316" s="1" t="s">
        <v>5690</v>
      </c>
      <c r="AC316" s="1" t="s">
        <v>5691</v>
      </c>
      <c r="AD316" s="1" t="s">
        <v>5692</v>
      </c>
      <c r="AE316" s="1" t="s">
        <v>5693</v>
      </c>
      <c r="AF316" s="1" t="s">
        <v>74</v>
      </c>
      <c r="AG316" s="1">
        <v>32</v>
      </c>
      <c r="AH316" s="1">
        <v>29</v>
      </c>
      <c r="AI316" s="1">
        <v>34</v>
      </c>
      <c r="AJ316" s="1">
        <v>2</v>
      </c>
      <c r="AK316" s="1">
        <v>68</v>
      </c>
      <c r="AL316" s="1" t="s">
        <v>285</v>
      </c>
      <c r="AM316" s="1" t="s">
        <v>286</v>
      </c>
      <c r="AN316" s="1" t="s">
        <v>287</v>
      </c>
      <c r="AO316" s="1" t="s">
        <v>288</v>
      </c>
      <c r="AP316" s="1" t="s">
        <v>289</v>
      </c>
      <c r="AQ316" s="1" t="s">
        <v>74</v>
      </c>
      <c r="AR316" s="1" t="s">
        <v>290</v>
      </c>
      <c r="AS316" s="1" t="s">
        <v>291</v>
      </c>
      <c r="AT316" s="1" t="s">
        <v>142</v>
      </c>
      <c r="AU316" s="1">
        <v>2014</v>
      </c>
      <c r="AV316" s="1">
        <v>38</v>
      </c>
      <c r="AW316" s="1">
        <v>2</v>
      </c>
      <c r="AX316" s="1" t="s">
        <v>74</v>
      </c>
      <c r="AY316" s="1" t="s">
        <v>74</v>
      </c>
      <c r="AZ316" s="1" t="s">
        <v>74</v>
      </c>
      <c r="BA316" s="1" t="s">
        <v>74</v>
      </c>
      <c r="BB316" s="1">
        <v>287</v>
      </c>
      <c r="BC316" s="1">
        <v>293</v>
      </c>
      <c r="BD316" s="1" t="s">
        <v>74</v>
      </c>
      <c r="BE316" s="1" t="s">
        <v>5694</v>
      </c>
      <c r="BF316" s="1" t="str">
        <f>HYPERLINK("http://dx.doi.org/10.1016/j.fsi.2014.03.009","http://dx.doi.org/10.1016/j.fsi.2014.03.009")</f>
        <v>http://dx.doi.org/10.1016/j.fsi.2014.03.009</v>
      </c>
      <c r="BG316" s="1" t="s">
        <v>74</v>
      </c>
      <c r="BH316" s="1" t="s">
        <v>74</v>
      </c>
      <c r="BI316" s="1">
        <v>7</v>
      </c>
      <c r="BJ316" s="1" t="s">
        <v>293</v>
      </c>
      <c r="BK316" s="1" t="s">
        <v>96</v>
      </c>
      <c r="BL316" s="1" t="s">
        <v>293</v>
      </c>
      <c r="BM316" s="1" t="s">
        <v>3387</v>
      </c>
      <c r="BN316" s="1">
        <v>24650576</v>
      </c>
      <c r="BO316" s="1" t="s">
        <v>74</v>
      </c>
      <c r="BP316" s="1" t="s">
        <v>74</v>
      </c>
      <c r="BQ316" s="1" t="s">
        <v>74</v>
      </c>
      <c r="BR316" s="1" t="s">
        <v>98</v>
      </c>
      <c r="BS316" s="1" t="s">
        <v>5695</v>
      </c>
      <c r="BT316" s="1" t="str">
        <f>HYPERLINK("https%3A%2F%2Fwww.webofscience.com%2Fwos%2Fwoscc%2Ffull-record%2FWOS:000337014700003","View Full Record in Web of Science")</f>
        <v>View Full Record in Web of Science</v>
      </c>
    </row>
    <row r="317" spans="1:72">
      <c r="A317" s="1" t="s">
        <v>72</v>
      </c>
      <c r="B317" s="1" t="s">
        <v>5696</v>
      </c>
      <c r="C317" s="1" t="s">
        <v>74</v>
      </c>
      <c r="D317" s="1" t="s">
        <v>74</v>
      </c>
      <c r="E317" s="1" t="s">
        <v>74</v>
      </c>
      <c r="F317" s="1" t="s">
        <v>5697</v>
      </c>
      <c r="G317" s="1" t="s">
        <v>74</v>
      </c>
      <c r="H317" s="1" t="s">
        <v>74</v>
      </c>
      <c r="I317" s="1" t="s">
        <v>5698</v>
      </c>
      <c r="J317" s="1" t="s">
        <v>495</v>
      </c>
      <c r="K317" s="1" t="s">
        <v>74</v>
      </c>
      <c r="L317" s="1" t="s">
        <v>74</v>
      </c>
      <c r="M317" s="1" t="s">
        <v>78</v>
      </c>
      <c r="N317" s="1" t="s">
        <v>151</v>
      </c>
      <c r="O317" s="1" t="s">
        <v>5699</v>
      </c>
      <c r="P317" s="1" t="s">
        <v>5700</v>
      </c>
      <c r="Q317" s="1" t="s">
        <v>5701</v>
      </c>
      <c r="R317" s="1" t="s">
        <v>74</v>
      </c>
      <c r="S317" s="1" t="s">
        <v>5702</v>
      </c>
      <c r="T317" s="1" t="s">
        <v>5703</v>
      </c>
      <c r="U317" s="1" t="s">
        <v>5704</v>
      </c>
      <c r="V317" s="1" t="s">
        <v>5705</v>
      </c>
      <c r="W317" s="1" t="s">
        <v>5706</v>
      </c>
      <c r="X317" s="1" t="s">
        <v>5707</v>
      </c>
      <c r="Y317" s="1" t="s">
        <v>5708</v>
      </c>
      <c r="Z317" s="1" t="s">
        <v>5709</v>
      </c>
      <c r="AA317" s="1" t="s">
        <v>5710</v>
      </c>
      <c r="AB317" s="1" t="s">
        <v>5711</v>
      </c>
      <c r="AC317" s="1" t="s">
        <v>74</v>
      </c>
      <c r="AD317" s="1" t="s">
        <v>74</v>
      </c>
      <c r="AE317" s="1" t="s">
        <v>74</v>
      </c>
      <c r="AF317" s="1" t="s">
        <v>74</v>
      </c>
      <c r="AG317" s="1">
        <v>40</v>
      </c>
      <c r="AH317" s="1">
        <v>6</v>
      </c>
      <c r="AI317" s="1">
        <v>6</v>
      </c>
      <c r="AJ317" s="1">
        <v>0</v>
      </c>
      <c r="AK317" s="1">
        <v>6</v>
      </c>
      <c r="AL317" s="1" t="s">
        <v>1030</v>
      </c>
      <c r="AM317" s="1" t="s">
        <v>1031</v>
      </c>
      <c r="AN317" s="1" t="s">
        <v>1032</v>
      </c>
      <c r="AO317" s="1" t="s">
        <v>507</v>
      </c>
      <c r="AP317" s="1" t="s">
        <v>1033</v>
      </c>
      <c r="AQ317" s="1" t="s">
        <v>74</v>
      </c>
      <c r="AR317" s="1" t="s">
        <v>508</v>
      </c>
      <c r="AS317" s="1" t="s">
        <v>509</v>
      </c>
      <c r="AT317" s="1" t="s">
        <v>74</v>
      </c>
      <c r="AU317" s="1">
        <v>2019</v>
      </c>
      <c r="AV317" s="1">
        <v>28</v>
      </c>
      <c r="AW317" s="1">
        <v>2</v>
      </c>
      <c r="AX317" s="1" t="s">
        <v>74</v>
      </c>
      <c r="AY317" s="1" t="s">
        <v>74</v>
      </c>
      <c r="AZ317" s="1" t="s">
        <v>74</v>
      </c>
      <c r="BA317" s="1" t="s">
        <v>74</v>
      </c>
      <c r="BB317" s="1">
        <v>879</v>
      </c>
      <c r="BC317" s="1">
        <v>884</v>
      </c>
      <c r="BD317" s="1" t="s">
        <v>74</v>
      </c>
      <c r="BE317" s="1" t="s">
        <v>74</v>
      </c>
      <c r="BF317" s="1" t="s">
        <v>74</v>
      </c>
      <c r="BG317" s="1" t="s">
        <v>74</v>
      </c>
      <c r="BH317" s="1" t="s">
        <v>74</v>
      </c>
      <c r="BI317" s="1">
        <v>6</v>
      </c>
      <c r="BJ317" s="1" t="s">
        <v>144</v>
      </c>
      <c r="BK317" s="1" t="s">
        <v>172</v>
      </c>
      <c r="BL317" s="1" t="s">
        <v>145</v>
      </c>
      <c r="BM317" s="1" t="s">
        <v>5712</v>
      </c>
      <c r="BN317" s="1" t="s">
        <v>74</v>
      </c>
      <c r="BO317" s="1" t="s">
        <v>74</v>
      </c>
      <c r="BP317" s="1" t="s">
        <v>74</v>
      </c>
      <c r="BQ317" s="1" t="s">
        <v>74</v>
      </c>
      <c r="BR317" s="1" t="s">
        <v>98</v>
      </c>
      <c r="BS317" s="1" t="s">
        <v>5713</v>
      </c>
      <c r="BT317" s="1" t="str">
        <f>HYPERLINK("https%3A%2F%2Fwww.webofscience.com%2Fwos%2Fwoscc%2Ffull-record%2FWOS:000461270700036","View Full Record in Web of Science")</f>
        <v>View Full Record in Web of Science</v>
      </c>
    </row>
    <row r="318" spans="1:72">
      <c r="A318" s="1" t="s">
        <v>72</v>
      </c>
      <c r="B318" s="1" t="s">
        <v>5714</v>
      </c>
      <c r="C318" s="1" t="s">
        <v>74</v>
      </c>
      <c r="D318" s="1" t="s">
        <v>74</v>
      </c>
      <c r="E318" s="1" t="s">
        <v>74</v>
      </c>
      <c r="F318" s="1" t="s">
        <v>5715</v>
      </c>
      <c r="G318" s="1" t="s">
        <v>74</v>
      </c>
      <c r="H318" s="1" t="s">
        <v>74</v>
      </c>
      <c r="I318" s="1" t="s">
        <v>5716</v>
      </c>
      <c r="J318" s="1" t="s">
        <v>4909</v>
      </c>
      <c r="K318" s="1" t="s">
        <v>74</v>
      </c>
      <c r="L318" s="1" t="s">
        <v>74</v>
      </c>
      <c r="M318" s="1" t="s">
        <v>78</v>
      </c>
      <c r="N318" s="1" t="s">
        <v>79</v>
      </c>
      <c r="O318" s="1" t="s">
        <v>74</v>
      </c>
      <c r="P318" s="1" t="s">
        <v>74</v>
      </c>
      <c r="Q318" s="1" t="s">
        <v>74</v>
      </c>
      <c r="R318" s="1" t="s">
        <v>74</v>
      </c>
      <c r="S318" s="1" t="s">
        <v>74</v>
      </c>
      <c r="T318" s="1" t="s">
        <v>5717</v>
      </c>
      <c r="U318" s="1" t="s">
        <v>5718</v>
      </c>
      <c r="V318" s="1" t="s">
        <v>5719</v>
      </c>
      <c r="W318" s="1" t="s">
        <v>5720</v>
      </c>
      <c r="X318" s="1" t="s">
        <v>4950</v>
      </c>
      <c r="Y318" s="1" t="s">
        <v>5721</v>
      </c>
      <c r="Z318" s="1" t="s">
        <v>5722</v>
      </c>
      <c r="AA318" s="1" t="s">
        <v>5723</v>
      </c>
      <c r="AB318" s="1" t="s">
        <v>5724</v>
      </c>
      <c r="AC318" s="1" t="s">
        <v>74</v>
      </c>
      <c r="AD318" s="1" t="s">
        <v>74</v>
      </c>
      <c r="AE318" s="1" t="s">
        <v>74</v>
      </c>
      <c r="AF318" s="1" t="s">
        <v>74</v>
      </c>
      <c r="AG318" s="1">
        <v>36</v>
      </c>
      <c r="AH318" s="1">
        <v>7</v>
      </c>
      <c r="AI318" s="1">
        <v>8</v>
      </c>
      <c r="AJ318" s="1">
        <v>1</v>
      </c>
      <c r="AK318" s="1">
        <v>25</v>
      </c>
      <c r="AL318" s="1" t="s">
        <v>408</v>
      </c>
      <c r="AM318" s="1" t="s">
        <v>409</v>
      </c>
      <c r="AN318" s="1" t="s">
        <v>1188</v>
      </c>
      <c r="AO318" s="1" t="s">
        <v>4917</v>
      </c>
      <c r="AP318" s="1" t="s">
        <v>4918</v>
      </c>
      <c r="AQ318" s="1" t="s">
        <v>74</v>
      </c>
      <c r="AR318" s="1" t="s">
        <v>4919</v>
      </c>
      <c r="AS318" s="1" t="s">
        <v>4920</v>
      </c>
      <c r="AT318" s="1" t="s">
        <v>4761</v>
      </c>
      <c r="AU318" s="1">
        <v>2020</v>
      </c>
      <c r="AV318" s="1">
        <v>26</v>
      </c>
      <c r="AW318" s="1">
        <v>3</v>
      </c>
      <c r="AX318" s="1" t="s">
        <v>74</v>
      </c>
      <c r="AY318" s="1" t="s">
        <v>74</v>
      </c>
      <c r="AZ318" s="1" t="s">
        <v>74</v>
      </c>
      <c r="BA318" s="1" t="s">
        <v>74</v>
      </c>
      <c r="BB318" s="1">
        <v>713</v>
      </c>
      <c r="BC318" s="1">
        <v>725</v>
      </c>
      <c r="BD318" s="1" t="s">
        <v>74</v>
      </c>
      <c r="BE318" s="1" t="s">
        <v>5725</v>
      </c>
      <c r="BF318" s="1" t="str">
        <f>HYPERLINK("http://dx.doi.org/10.1080/10807039.2018.1530588","http://dx.doi.org/10.1080/10807039.2018.1530588")</f>
        <v>http://dx.doi.org/10.1080/10807039.2018.1530588</v>
      </c>
      <c r="BG318" s="1" t="s">
        <v>74</v>
      </c>
      <c r="BH318" s="1" t="s">
        <v>74</v>
      </c>
      <c r="BI318" s="1">
        <v>13</v>
      </c>
      <c r="BJ318" s="1" t="s">
        <v>4923</v>
      </c>
      <c r="BK318" s="1" t="s">
        <v>96</v>
      </c>
      <c r="BL318" s="1" t="s">
        <v>4924</v>
      </c>
      <c r="BM318" s="1" t="s">
        <v>5726</v>
      </c>
      <c r="BN318" s="1" t="s">
        <v>74</v>
      </c>
      <c r="BO318" s="1" t="s">
        <v>74</v>
      </c>
      <c r="BP318" s="1" t="s">
        <v>74</v>
      </c>
      <c r="BQ318" s="1" t="s">
        <v>74</v>
      </c>
      <c r="BR318" s="1" t="s">
        <v>98</v>
      </c>
      <c r="BS318" s="1" t="s">
        <v>5727</v>
      </c>
      <c r="BT318" s="1" t="str">
        <f>HYPERLINK("https%3A%2F%2Fwww.webofscience.com%2Fwos%2Fwoscc%2Ffull-record%2FWOS:000518864500009","View Full Record in Web of Science")</f>
        <v>View Full Record in Web of Science</v>
      </c>
    </row>
    <row r="319" spans="1:72">
      <c r="A319" s="1" t="s">
        <v>72</v>
      </c>
      <c r="B319" s="1" t="s">
        <v>5728</v>
      </c>
      <c r="C319" s="1" t="s">
        <v>74</v>
      </c>
      <c r="D319" s="1" t="s">
        <v>74</v>
      </c>
      <c r="E319" s="1" t="s">
        <v>74</v>
      </c>
      <c r="F319" s="1" t="s">
        <v>5729</v>
      </c>
      <c r="G319" s="1" t="s">
        <v>74</v>
      </c>
      <c r="H319" s="1" t="s">
        <v>74</v>
      </c>
      <c r="I319" s="1" t="s">
        <v>5730</v>
      </c>
      <c r="J319" s="1" t="s">
        <v>704</v>
      </c>
      <c r="K319" s="1" t="s">
        <v>74</v>
      </c>
      <c r="L319" s="1" t="s">
        <v>74</v>
      </c>
      <c r="M319" s="1" t="s">
        <v>78</v>
      </c>
      <c r="N319" s="1" t="s">
        <v>79</v>
      </c>
      <c r="O319" s="1" t="s">
        <v>74</v>
      </c>
      <c r="P319" s="1" t="s">
        <v>74</v>
      </c>
      <c r="Q319" s="1" t="s">
        <v>74</v>
      </c>
      <c r="R319" s="1" t="s">
        <v>74</v>
      </c>
      <c r="S319" s="1" t="s">
        <v>74</v>
      </c>
      <c r="T319" s="1" t="s">
        <v>5731</v>
      </c>
      <c r="U319" s="1" t="s">
        <v>5732</v>
      </c>
      <c r="V319" s="1" t="s">
        <v>5733</v>
      </c>
      <c r="W319" s="1" t="s">
        <v>5734</v>
      </c>
      <c r="X319" s="1" t="s">
        <v>5735</v>
      </c>
      <c r="Y319" s="1" t="s">
        <v>5736</v>
      </c>
      <c r="Z319" s="1" t="s">
        <v>5737</v>
      </c>
      <c r="AA319" s="1" t="s">
        <v>5738</v>
      </c>
      <c r="AB319" s="1" t="s">
        <v>5739</v>
      </c>
      <c r="AC319" s="1" t="s">
        <v>5740</v>
      </c>
      <c r="AD319" s="1" t="s">
        <v>5741</v>
      </c>
      <c r="AE319" s="1" t="s">
        <v>5742</v>
      </c>
      <c r="AF319" s="1" t="s">
        <v>74</v>
      </c>
      <c r="AG319" s="1">
        <v>21</v>
      </c>
      <c r="AH319" s="1">
        <v>9</v>
      </c>
      <c r="AI319" s="1">
        <v>13</v>
      </c>
      <c r="AJ319" s="1">
        <v>3</v>
      </c>
      <c r="AK319" s="1">
        <v>34</v>
      </c>
      <c r="AL319" s="1" t="s">
        <v>4010</v>
      </c>
      <c r="AM319" s="1" t="s">
        <v>1167</v>
      </c>
      <c r="AN319" s="1" t="s">
        <v>1168</v>
      </c>
      <c r="AO319" s="1" t="s">
        <v>718</v>
      </c>
      <c r="AP319" s="1" t="s">
        <v>1169</v>
      </c>
      <c r="AQ319" s="1" t="s">
        <v>74</v>
      </c>
      <c r="AR319" s="1" t="s">
        <v>719</v>
      </c>
      <c r="AS319" s="1" t="s">
        <v>720</v>
      </c>
      <c r="AT319" s="1" t="s">
        <v>1470</v>
      </c>
      <c r="AU319" s="1">
        <v>2012</v>
      </c>
      <c r="AV319" s="1">
        <v>223</v>
      </c>
      <c r="AW319" s="1">
        <v>1</v>
      </c>
      <c r="AX319" s="1" t="s">
        <v>74</v>
      </c>
      <c r="AY319" s="1" t="s">
        <v>74</v>
      </c>
      <c r="AZ319" s="1" t="s">
        <v>74</v>
      </c>
      <c r="BA319" s="1" t="s">
        <v>74</v>
      </c>
      <c r="BB319" s="1">
        <v>421</v>
      </c>
      <c r="BC319" s="1">
        <v>428</v>
      </c>
      <c r="BD319" s="1" t="s">
        <v>74</v>
      </c>
      <c r="BE319" s="1" t="s">
        <v>5743</v>
      </c>
      <c r="BF319" s="1" t="str">
        <f>HYPERLINK("http://dx.doi.org/10.1007/s11270-011-0870-1","http://dx.doi.org/10.1007/s11270-011-0870-1")</f>
        <v>http://dx.doi.org/10.1007/s11270-011-0870-1</v>
      </c>
      <c r="BG319" s="1" t="s">
        <v>74</v>
      </c>
      <c r="BH319" s="1" t="s">
        <v>74</v>
      </c>
      <c r="BI319" s="1">
        <v>8</v>
      </c>
      <c r="BJ319" s="1" t="s">
        <v>722</v>
      </c>
      <c r="BK319" s="1" t="s">
        <v>96</v>
      </c>
      <c r="BL319" s="1" t="s">
        <v>723</v>
      </c>
      <c r="BM319" s="1" t="s">
        <v>5744</v>
      </c>
      <c r="BN319" s="1" t="s">
        <v>74</v>
      </c>
      <c r="BO319" s="1" t="s">
        <v>74</v>
      </c>
      <c r="BP319" s="1" t="s">
        <v>74</v>
      </c>
      <c r="BQ319" s="1" t="s">
        <v>74</v>
      </c>
      <c r="BR319" s="1" t="s">
        <v>98</v>
      </c>
      <c r="BS319" s="1" t="s">
        <v>5745</v>
      </c>
      <c r="BT319" s="1" t="str">
        <f>HYPERLINK("https%3A%2F%2Fwww.webofscience.com%2Fwos%2Fwoscc%2Ffull-record%2FWOS:000297836600035","View Full Record in Web of Science")</f>
        <v>View Full Record in Web of Science</v>
      </c>
    </row>
    <row r="320" spans="1:72">
      <c r="A320" s="1" t="s">
        <v>72</v>
      </c>
      <c r="B320" s="1" t="s">
        <v>5746</v>
      </c>
      <c r="C320" s="1" t="s">
        <v>74</v>
      </c>
      <c r="D320" s="1" t="s">
        <v>74</v>
      </c>
      <c r="E320" s="1" t="s">
        <v>74</v>
      </c>
      <c r="F320" s="1" t="s">
        <v>5747</v>
      </c>
      <c r="G320" s="1" t="s">
        <v>74</v>
      </c>
      <c r="H320" s="1" t="s">
        <v>74</v>
      </c>
      <c r="I320" s="1" t="s">
        <v>5748</v>
      </c>
      <c r="J320" s="1" t="s">
        <v>752</v>
      </c>
      <c r="K320" s="1" t="s">
        <v>74</v>
      </c>
      <c r="L320" s="1" t="s">
        <v>74</v>
      </c>
      <c r="M320" s="1" t="s">
        <v>78</v>
      </c>
      <c r="N320" s="1" t="s">
        <v>151</v>
      </c>
      <c r="O320" s="1" t="s">
        <v>5749</v>
      </c>
      <c r="P320" s="1" t="s">
        <v>5750</v>
      </c>
      <c r="Q320" s="1" t="s">
        <v>5751</v>
      </c>
      <c r="R320" s="1" t="s">
        <v>74</v>
      </c>
      <c r="S320" s="1" t="s">
        <v>74</v>
      </c>
      <c r="T320" s="1" t="s">
        <v>5752</v>
      </c>
      <c r="U320" s="1" t="s">
        <v>5753</v>
      </c>
      <c r="V320" s="1" t="s">
        <v>5754</v>
      </c>
      <c r="W320" s="1" t="s">
        <v>5755</v>
      </c>
      <c r="X320" s="1" t="s">
        <v>3724</v>
      </c>
      <c r="Y320" s="1" t="s">
        <v>5488</v>
      </c>
      <c r="Z320" s="1" t="s">
        <v>3726</v>
      </c>
      <c r="AA320" s="1" t="s">
        <v>5756</v>
      </c>
      <c r="AB320" s="1" t="s">
        <v>5757</v>
      </c>
      <c r="AC320" s="1" t="s">
        <v>74</v>
      </c>
      <c r="AD320" s="1" t="s">
        <v>74</v>
      </c>
      <c r="AE320" s="1" t="s">
        <v>74</v>
      </c>
      <c r="AF320" s="1" t="s">
        <v>74</v>
      </c>
      <c r="AG320" s="1">
        <v>10</v>
      </c>
      <c r="AH320" s="1">
        <v>45</v>
      </c>
      <c r="AI320" s="1">
        <v>52</v>
      </c>
      <c r="AJ320" s="1">
        <v>0</v>
      </c>
      <c r="AK320" s="1">
        <v>25</v>
      </c>
      <c r="AL320" s="1" t="s">
        <v>430</v>
      </c>
      <c r="AM320" s="1" t="s">
        <v>137</v>
      </c>
      <c r="AN320" s="1" t="s">
        <v>431</v>
      </c>
      <c r="AO320" s="1" t="s">
        <v>761</v>
      </c>
      <c r="AP320" s="1" t="s">
        <v>762</v>
      </c>
      <c r="AQ320" s="1" t="s">
        <v>74</v>
      </c>
      <c r="AR320" s="1" t="s">
        <v>763</v>
      </c>
      <c r="AS320" s="1" t="s">
        <v>764</v>
      </c>
      <c r="AT320" s="1" t="s">
        <v>74</v>
      </c>
      <c r="AU320" s="1">
        <v>2006</v>
      </c>
      <c r="AV320" s="1">
        <v>62</v>
      </c>
      <c r="AW320" s="1" t="s">
        <v>74</v>
      </c>
      <c r="AX320" s="1" t="s">
        <v>74</v>
      </c>
      <c r="AY320" s="1" t="s">
        <v>2341</v>
      </c>
      <c r="AZ320" s="1" t="s">
        <v>74</v>
      </c>
      <c r="BA320" s="1" t="s">
        <v>74</v>
      </c>
      <c r="BB320" s="1" t="s">
        <v>5758</v>
      </c>
      <c r="BC320" s="1" t="s">
        <v>5759</v>
      </c>
      <c r="BD320" s="1" t="s">
        <v>74</v>
      </c>
      <c r="BE320" s="1" t="s">
        <v>5760</v>
      </c>
      <c r="BF320" s="1" t="str">
        <f>HYPERLINK("http://dx.doi.org/10.1016/j.marenvres.2006.04.010","http://dx.doi.org/10.1016/j.marenvres.2006.04.010")</f>
        <v>http://dx.doi.org/10.1016/j.marenvres.2006.04.010</v>
      </c>
      <c r="BG320" s="1" t="s">
        <v>74</v>
      </c>
      <c r="BH320" s="1" t="s">
        <v>74</v>
      </c>
      <c r="BI320" s="1">
        <v>4</v>
      </c>
      <c r="BJ320" s="1" t="s">
        <v>768</v>
      </c>
      <c r="BK320" s="1" t="s">
        <v>172</v>
      </c>
      <c r="BL320" s="1" t="s">
        <v>769</v>
      </c>
      <c r="BM320" s="1" t="s">
        <v>5761</v>
      </c>
      <c r="BN320" s="1">
        <v>16690114</v>
      </c>
      <c r="BO320" s="1" t="s">
        <v>74</v>
      </c>
      <c r="BP320" s="1" t="s">
        <v>74</v>
      </c>
      <c r="BQ320" s="1" t="s">
        <v>74</v>
      </c>
      <c r="BR320" s="1" t="s">
        <v>98</v>
      </c>
      <c r="BS320" s="1" t="s">
        <v>5762</v>
      </c>
      <c r="BT320" s="1" t="str">
        <f>HYPERLINK("https%3A%2F%2Fwww.webofscience.com%2Fwos%2Fwoscc%2Ffull-record%2FWOS:000238957800068","View Full Record in Web of Science")</f>
        <v>View Full Record in Web of Science</v>
      </c>
    </row>
    <row r="321" spans="1:72">
      <c r="A321" s="1" t="s">
        <v>72</v>
      </c>
      <c r="B321" s="1" t="s">
        <v>5763</v>
      </c>
      <c r="C321" s="1" t="s">
        <v>74</v>
      </c>
      <c r="D321" s="1" t="s">
        <v>74</v>
      </c>
      <c r="E321" s="1" t="s">
        <v>74</v>
      </c>
      <c r="F321" s="1" t="s">
        <v>5764</v>
      </c>
      <c r="G321" s="1" t="s">
        <v>74</v>
      </c>
      <c r="H321" s="1" t="s">
        <v>74</v>
      </c>
      <c r="I321" s="1" t="s">
        <v>5765</v>
      </c>
      <c r="J321" s="1" t="s">
        <v>909</v>
      </c>
      <c r="K321" s="1" t="s">
        <v>74</v>
      </c>
      <c r="L321" s="1" t="s">
        <v>74</v>
      </c>
      <c r="M321" s="1" t="s">
        <v>78</v>
      </c>
      <c r="N321" s="1" t="s">
        <v>79</v>
      </c>
      <c r="O321" s="1" t="s">
        <v>74</v>
      </c>
      <c r="P321" s="1" t="s">
        <v>74</v>
      </c>
      <c r="Q321" s="1" t="s">
        <v>74</v>
      </c>
      <c r="R321" s="1" t="s">
        <v>74</v>
      </c>
      <c r="S321" s="1" t="s">
        <v>74</v>
      </c>
      <c r="T321" s="1" t="s">
        <v>5766</v>
      </c>
      <c r="U321" s="1" t="s">
        <v>5767</v>
      </c>
      <c r="V321" s="1" t="s">
        <v>5768</v>
      </c>
      <c r="W321" s="1" t="s">
        <v>5769</v>
      </c>
      <c r="X321" s="1" t="s">
        <v>5770</v>
      </c>
      <c r="Y321" s="1" t="s">
        <v>5771</v>
      </c>
      <c r="Z321" s="1" t="s">
        <v>5772</v>
      </c>
      <c r="AA321" s="1" t="s">
        <v>74</v>
      </c>
      <c r="AB321" s="1" t="s">
        <v>74</v>
      </c>
      <c r="AC321" s="1" t="s">
        <v>74</v>
      </c>
      <c r="AD321" s="1" t="s">
        <v>74</v>
      </c>
      <c r="AE321" s="1" t="s">
        <v>74</v>
      </c>
      <c r="AF321" s="1" t="s">
        <v>74</v>
      </c>
      <c r="AG321" s="1">
        <v>54</v>
      </c>
      <c r="AH321" s="1">
        <v>49</v>
      </c>
      <c r="AI321" s="1">
        <v>53</v>
      </c>
      <c r="AJ321" s="1">
        <v>0</v>
      </c>
      <c r="AK321" s="1">
        <v>10</v>
      </c>
      <c r="AL321" s="1" t="s">
        <v>650</v>
      </c>
      <c r="AM321" s="1" t="s">
        <v>651</v>
      </c>
      <c r="AN321" s="1" t="s">
        <v>652</v>
      </c>
      <c r="AO321" s="1" t="s">
        <v>921</v>
      </c>
      <c r="AP321" s="1" t="s">
        <v>922</v>
      </c>
      <c r="AQ321" s="1" t="s">
        <v>74</v>
      </c>
      <c r="AR321" s="1" t="s">
        <v>923</v>
      </c>
      <c r="AS321" s="1" t="s">
        <v>924</v>
      </c>
      <c r="AT321" s="1" t="s">
        <v>3506</v>
      </c>
      <c r="AU321" s="1">
        <v>2010</v>
      </c>
      <c r="AV321" s="1">
        <v>408</v>
      </c>
      <c r="AW321" s="1">
        <v>20</v>
      </c>
      <c r="AX321" s="1" t="s">
        <v>74</v>
      </c>
      <c r="AY321" s="1" t="s">
        <v>74</v>
      </c>
      <c r="AZ321" s="1" t="s">
        <v>74</v>
      </c>
      <c r="BA321" s="1" t="s">
        <v>74</v>
      </c>
      <c r="BB321" s="1">
        <v>4841</v>
      </c>
      <c r="BC321" s="1">
        <v>4847</v>
      </c>
      <c r="BD321" s="1" t="s">
        <v>74</v>
      </c>
      <c r="BE321" s="1" t="s">
        <v>5773</v>
      </c>
      <c r="BF321" s="1" t="str">
        <f>HYPERLINK("http://dx.doi.org/10.1016/j.scitotenv.2010.06.026","http://dx.doi.org/10.1016/j.scitotenv.2010.06.026")</f>
        <v>http://dx.doi.org/10.1016/j.scitotenv.2010.06.026</v>
      </c>
      <c r="BG321" s="1" t="s">
        <v>74</v>
      </c>
      <c r="BH321" s="1" t="s">
        <v>74</v>
      </c>
      <c r="BI321" s="1">
        <v>7</v>
      </c>
      <c r="BJ321" s="1" t="s">
        <v>144</v>
      </c>
      <c r="BK321" s="1" t="s">
        <v>96</v>
      </c>
      <c r="BL321" s="1" t="s">
        <v>145</v>
      </c>
      <c r="BM321" s="1" t="s">
        <v>5774</v>
      </c>
      <c r="BN321" s="1">
        <v>20619878</v>
      </c>
      <c r="BO321" s="1" t="s">
        <v>74</v>
      </c>
      <c r="BP321" s="1" t="s">
        <v>74</v>
      </c>
      <c r="BQ321" s="1" t="s">
        <v>74</v>
      </c>
      <c r="BR321" s="1" t="s">
        <v>98</v>
      </c>
      <c r="BS321" s="1" t="s">
        <v>5775</v>
      </c>
      <c r="BT321" s="1" t="str">
        <f>HYPERLINK("https%3A%2F%2Fwww.webofscience.com%2Fwos%2Fwoscc%2Ffull-record%2FWOS:000281931500065","View Full Record in Web of Science")</f>
        <v>View Full Record in Web of Science</v>
      </c>
    </row>
    <row r="322" spans="1:72">
      <c r="A322" s="1" t="s">
        <v>72</v>
      </c>
      <c r="B322" s="1" t="s">
        <v>5776</v>
      </c>
      <c r="C322" s="1" t="s">
        <v>74</v>
      </c>
      <c r="D322" s="1" t="s">
        <v>74</v>
      </c>
      <c r="E322" s="1" t="s">
        <v>74</v>
      </c>
      <c r="F322" s="1" t="s">
        <v>5776</v>
      </c>
      <c r="G322" s="1" t="s">
        <v>74</v>
      </c>
      <c r="H322" s="1" t="s">
        <v>74</v>
      </c>
      <c r="I322" s="1" t="s">
        <v>5777</v>
      </c>
      <c r="J322" s="1" t="s">
        <v>704</v>
      </c>
      <c r="K322" s="1" t="s">
        <v>74</v>
      </c>
      <c r="L322" s="1" t="s">
        <v>74</v>
      </c>
      <c r="M322" s="1" t="s">
        <v>78</v>
      </c>
      <c r="N322" s="1" t="s">
        <v>79</v>
      </c>
      <c r="O322" s="1" t="s">
        <v>74</v>
      </c>
      <c r="P322" s="1" t="s">
        <v>74</v>
      </c>
      <c r="Q322" s="1" t="s">
        <v>74</v>
      </c>
      <c r="R322" s="1" t="s">
        <v>74</v>
      </c>
      <c r="S322" s="1" t="s">
        <v>74</v>
      </c>
      <c r="T322" s="1" t="s">
        <v>74</v>
      </c>
      <c r="U322" s="1" t="s">
        <v>5778</v>
      </c>
      <c r="V322" s="1" t="s">
        <v>5779</v>
      </c>
      <c r="W322" s="1" t="s">
        <v>74</v>
      </c>
      <c r="X322" s="1" t="s">
        <v>74</v>
      </c>
      <c r="Y322" s="1" t="s">
        <v>5780</v>
      </c>
      <c r="Z322" s="1" t="s">
        <v>74</v>
      </c>
      <c r="AA322" s="1" t="s">
        <v>74</v>
      </c>
      <c r="AB322" s="1" t="s">
        <v>74</v>
      </c>
      <c r="AC322" s="1" t="s">
        <v>74</v>
      </c>
      <c r="AD322" s="1" t="s">
        <v>74</v>
      </c>
      <c r="AE322" s="1" t="s">
        <v>74</v>
      </c>
      <c r="AF322" s="1" t="s">
        <v>74</v>
      </c>
      <c r="AG322" s="1">
        <v>28</v>
      </c>
      <c r="AH322" s="1">
        <v>7</v>
      </c>
      <c r="AI322" s="1">
        <v>9</v>
      </c>
      <c r="AJ322" s="1">
        <v>0</v>
      </c>
      <c r="AK322" s="1">
        <v>9</v>
      </c>
      <c r="AL322" s="1" t="s">
        <v>716</v>
      </c>
      <c r="AM322" s="1" t="s">
        <v>191</v>
      </c>
      <c r="AN322" s="1" t="s">
        <v>717</v>
      </c>
      <c r="AO322" s="1" t="s">
        <v>718</v>
      </c>
      <c r="AP322" s="1" t="s">
        <v>74</v>
      </c>
      <c r="AQ322" s="1" t="s">
        <v>74</v>
      </c>
      <c r="AR322" s="1" t="s">
        <v>719</v>
      </c>
      <c r="AS322" s="1" t="s">
        <v>720</v>
      </c>
      <c r="AT322" s="1" t="s">
        <v>93</v>
      </c>
      <c r="AU322" s="1">
        <v>1995</v>
      </c>
      <c r="AV322" s="1">
        <v>81</v>
      </c>
      <c r="AW322" s="1" t="s">
        <v>1070</v>
      </c>
      <c r="AX322" s="1" t="s">
        <v>74</v>
      </c>
      <c r="AY322" s="1" t="s">
        <v>74</v>
      </c>
      <c r="AZ322" s="1" t="s">
        <v>74</v>
      </c>
      <c r="BA322" s="1" t="s">
        <v>74</v>
      </c>
      <c r="BB322" s="1">
        <v>295</v>
      </c>
      <c r="BC322" s="1">
        <v>304</v>
      </c>
      <c r="BD322" s="1" t="s">
        <v>74</v>
      </c>
      <c r="BE322" s="1" t="s">
        <v>5781</v>
      </c>
      <c r="BF322" s="1" t="str">
        <f>HYPERLINK("http://dx.doi.org/10.1007/BF01104016","http://dx.doi.org/10.1007/BF01104016")</f>
        <v>http://dx.doi.org/10.1007/BF01104016</v>
      </c>
      <c r="BG322" s="1" t="s">
        <v>74</v>
      </c>
      <c r="BH322" s="1" t="s">
        <v>74</v>
      </c>
      <c r="BI322" s="1">
        <v>10</v>
      </c>
      <c r="BJ322" s="1" t="s">
        <v>722</v>
      </c>
      <c r="BK322" s="1" t="s">
        <v>96</v>
      </c>
      <c r="BL322" s="1" t="s">
        <v>723</v>
      </c>
      <c r="BM322" s="1" t="s">
        <v>5782</v>
      </c>
      <c r="BN322" s="1" t="s">
        <v>74</v>
      </c>
      <c r="BO322" s="1" t="s">
        <v>74</v>
      </c>
      <c r="BP322" s="1" t="s">
        <v>74</v>
      </c>
      <c r="BQ322" s="1" t="s">
        <v>74</v>
      </c>
      <c r="BR322" s="1" t="s">
        <v>98</v>
      </c>
      <c r="BS322" s="1" t="s">
        <v>5783</v>
      </c>
      <c r="BT322" s="1" t="str">
        <f>HYPERLINK("https%3A%2F%2Fwww.webofscience.com%2Fwos%2Fwoscc%2Ffull-record%2FWOS:A1995RM44500006","View Full Record in Web of Science")</f>
        <v>View Full Record in Web of Science</v>
      </c>
    </row>
    <row r="323" spans="1:72">
      <c r="A323" s="1" t="s">
        <v>72</v>
      </c>
      <c r="B323" s="1" t="s">
        <v>5784</v>
      </c>
      <c r="C323" s="1" t="s">
        <v>74</v>
      </c>
      <c r="D323" s="1" t="s">
        <v>74</v>
      </c>
      <c r="E323" s="1" t="s">
        <v>74</v>
      </c>
      <c r="F323" s="1" t="s">
        <v>5785</v>
      </c>
      <c r="G323" s="1" t="s">
        <v>74</v>
      </c>
      <c r="H323" s="1" t="s">
        <v>74</v>
      </c>
      <c r="I323" s="1" t="s">
        <v>5786</v>
      </c>
      <c r="J323" s="1" t="s">
        <v>4524</v>
      </c>
      <c r="K323" s="1" t="s">
        <v>74</v>
      </c>
      <c r="L323" s="1" t="s">
        <v>74</v>
      </c>
      <c r="M323" s="1" t="s">
        <v>78</v>
      </c>
      <c r="N323" s="1" t="s">
        <v>79</v>
      </c>
      <c r="O323" s="1" t="s">
        <v>74</v>
      </c>
      <c r="P323" s="1" t="s">
        <v>74</v>
      </c>
      <c r="Q323" s="1" t="s">
        <v>74</v>
      </c>
      <c r="R323" s="1" t="s">
        <v>74</v>
      </c>
      <c r="S323" s="1" t="s">
        <v>74</v>
      </c>
      <c r="T323" s="1" t="s">
        <v>5787</v>
      </c>
      <c r="U323" s="1" t="s">
        <v>5788</v>
      </c>
      <c r="V323" s="1" t="s">
        <v>5789</v>
      </c>
      <c r="W323" s="1" t="s">
        <v>5790</v>
      </c>
      <c r="X323" s="1" t="s">
        <v>5791</v>
      </c>
      <c r="Y323" s="1" t="s">
        <v>5792</v>
      </c>
      <c r="Z323" s="1" t="s">
        <v>5793</v>
      </c>
      <c r="AA323" s="1" t="s">
        <v>5794</v>
      </c>
      <c r="AB323" s="1" t="s">
        <v>74</v>
      </c>
      <c r="AC323" s="1" t="s">
        <v>5791</v>
      </c>
      <c r="AD323" s="1" t="s">
        <v>5795</v>
      </c>
      <c r="AE323" s="1" t="s">
        <v>5796</v>
      </c>
      <c r="AF323" s="1" t="s">
        <v>74</v>
      </c>
      <c r="AG323" s="1">
        <v>67</v>
      </c>
      <c r="AH323" s="1">
        <v>8</v>
      </c>
      <c r="AI323" s="1">
        <v>8</v>
      </c>
      <c r="AJ323" s="1">
        <v>0</v>
      </c>
      <c r="AK323" s="1">
        <v>4</v>
      </c>
      <c r="AL323" s="1" t="s">
        <v>4537</v>
      </c>
      <c r="AM323" s="1" t="s">
        <v>4538</v>
      </c>
      <c r="AN323" s="1" t="s">
        <v>4539</v>
      </c>
      <c r="AO323" s="1" t="s">
        <v>4540</v>
      </c>
      <c r="AP323" s="1" t="s">
        <v>74</v>
      </c>
      <c r="AQ323" s="1" t="s">
        <v>74</v>
      </c>
      <c r="AR323" s="1" t="s">
        <v>4541</v>
      </c>
      <c r="AS323" s="1" t="s">
        <v>4542</v>
      </c>
      <c r="AT323" s="1" t="s">
        <v>74</v>
      </c>
      <c r="AU323" s="1">
        <v>2018</v>
      </c>
      <c r="AV323" s="1">
        <v>15</v>
      </c>
      <c r="AW323" s="1" t="s">
        <v>74</v>
      </c>
      <c r="AX323" s="1" t="s">
        <v>74</v>
      </c>
      <c r="AY323" s="1" t="s">
        <v>74</v>
      </c>
      <c r="AZ323" s="1" t="s">
        <v>74</v>
      </c>
      <c r="BA323" s="1" t="s">
        <v>74</v>
      </c>
      <c r="BB323" s="1">
        <v>158</v>
      </c>
      <c r="BC323" s="1">
        <v>168</v>
      </c>
      <c r="BD323" s="1" t="s">
        <v>74</v>
      </c>
      <c r="BE323" s="1" t="s">
        <v>74</v>
      </c>
      <c r="BF323" s="1" t="s">
        <v>74</v>
      </c>
      <c r="BG323" s="1" t="s">
        <v>74</v>
      </c>
      <c r="BH323" s="1" t="s">
        <v>74</v>
      </c>
      <c r="BI323" s="1">
        <v>11</v>
      </c>
      <c r="BJ323" s="1" t="s">
        <v>4543</v>
      </c>
      <c r="BK323" s="1" t="s">
        <v>96</v>
      </c>
      <c r="BL323" s="1" t="s">
        <v>4543</v>
      </c>
      <c r="BM323" s="1" t="s">
        <v>5797</v>
      </c>
      <c r="BN323" s="1" t="s">
        <v>74</v>
      </c>
      <c r="BO323" s="1" t="s">
        <v>74</v>
      </c>
      <c r="BP323" s="1" t="s">
        <v>74</v>
      </c>
      <c r="BQ323" s="1" t="s">
        <v>74</v>
      </c>
      <c r="BR323" s="1" t="s">
        <v>98</v>
      </c>
      <c r="BS323" s="1" t="s">
        <v>5798</v>
      </c>
      <c r="BT323" s="1" t="str">
        <f>HYPERLINK("https%3A%2F%2Fwww.webofscience.com%2Fwos%2Fwoscc%2Ffull-record%2FWOS:000431082500001","View Full Record in Web of Science")</f>
        <v>View Full Record in Web of Science</v>
      </c>
    </row>
    <row r="324" spans="1:72">
      <c r="A324" s="1" t="s">
        <v>72</v>
      </c>
      <c r="B324" s="1" t="s">
        <v>5799</v>
      </c>
      <c r="C324" s="1" t="s">
        <v>74</v>
      </c>
      <c r="D324" s="1" t="s">
        <v>74</v>
      </c>
      <c r="E324" s="1" t="s">
        <v>74</v>
      </c>
      <c r="F324" s="1" t="s">
        <v>5800</v>
      </c>
      <c r="G324" s="1" t="s">
        <v>74</v>
      </c>
      <c r="H324" s="1" t="s">
        <v>74</v>
      </c>
      <c r="I324" s="1" t="s">
        <v>5801</v>
      </c>
      <c r="J324" s="1" t="s">
        <v>554</v>
      </c>
      <c r="K324" s="1" t="s">
        <v>74</v>
      </c>
      <c r="L324" s="1" t="s">
        <v>74</v>
      </c>
      <c r="M324" s="1" t="s">
        <v>78</v>
      </c>
      <c r="N324" s="1" t="s">
        <v>79</v>
      </c>
      <c r="O324" s="1" t="s">
        <v>74</v>
      </c>
      <c r="P324" s="1" t="s">
        <v>74</v>
      </c>
      <c r="Q324" s="1" t="s">
        <v>74</v>
      </c>
      <c r="R324" s="1" t="s">
        <v>74</v>
      </c>
      <c r="S324" s="1" t="s">
        <v>74</v>
      </c>
      <c r="T324" s="1" t="s">
        <v>5802</v>
      </c>
      <c r="U324" s="1" t="s">
        <v>5803</v>
      </c>
      <c r="V324" s="1" t="s">
        <v>5804</v>
      </c>
      <c r="W324" s="1" t="s">
        <v>5805</v>
      </c>
      <c r="X324" s="1" t="s">
        <v>5806</v>
      </c>
      <c r="Y324" s="1" t="s">
        <v>5807</v>
      </c>
      <c r="Z324" s="1" t="s">
        <v>5808</v>
      </c>
      <c r="AA324" s="1" t="s">
        <v>5809</v>
      </c>
      <c r="AB324" s="1" t="s">
        <v>74</v>
      </c>
      <c r="AC324" s="1" t="s">
        <v>74</v>
      </c>
      <c r="AD324" s="1" t="s">
        <v>74</v>
      </c>
      <c r="AE324" s="1" t="s">
        <v>74</v>
      </c>
      <c r="AF324" s="1" t="s">
        <v>74</v>
      </c>
      <c r="AG324" s="1">
        <v>35</v>
      </c>
      <c r="AH324" s="1">
        <v>86</v>
      </c>
      <c r="AI324" s="1">
        <v>102</v>
      </c>
      <c r="AJ324" s="1">
        <v>0</v>
      </c>
      <c r="AK324" s="1">
        <v>35</v>
      </c>
      <c r="AL324" s="1" t="s">
        <v>564</v>
      </c>
      <c r="AM324" s="1" t="s">
        <v>113</v>
      </c>
      <c r="AN324" s="1" t="s">
        <v>807</v>
      </c>
      <c r="AO324" s="1" t="s">
        <v>566</v>
      </c>
      <c r="AP324" s="1" t="s">
        <v>567</v>
      </c>
      <c r="AQ324" s="1" t="s">
        <v>74</v>
      </c>
      <c r="AR324" s="1" t="s">
        <v>568</v>
      </c>
      <c r="AS324" s="1" t="s">
        <v>569</v>
      </c>
      <c r="AT324" s="1" t="s">
        <v>267</v>
      </c>
      <c r="AU324" s="1">
        <v>2006</v>
      </c>
      <c r="AV324" s="1">
        <v>144</v>
      </c>
      <c r="AW324" s="1">
        <v>2</v>
      </c>
      <c r="AX324" s="1" t="s">
        <v>74</v>
      </c>
      <c r="AY324" s="1" t="s">
        <v>74</v>
      </c>
      <c r="AZ324" s="1" t="s">
        <v>74</v>
      </c>
      <c r="BA324" s="1" t="s">
        <v>74</v>
      </c>
      <c r="BB324" s="1">
        <v>184</v>
      </c>
      <c r="BC324" s="1">
        <v>190</v>
      </c>
      <c r="BD324" s="1" t="s">
        <v>74</v>
      </c>
      <c r="BE324" s="1" t="s">
        <v>5810</v>
      </c>
      <c r="BF324" s="1" t="str">
        <f>HYPERLINK("http://dx.doi.org/10.1016/j.cbpc.2006.08.005","http://dx.doi.org/10.1016/j.cbpc.2006.08.005")</f>
        <v>http://dx.doi.org/10.1016/j.cbpc.2006.08.005</v>
      </c>
      <c r="BG324" s="1" t="s">
        <v>74</v>
      </c>
      <c r="BH324" s="1" t="s">
        <v>74</v>
      </c>
      <c r="BI324" s="1">
        <v>7</v>
      </c>
      <c r="BJ324" s="1" t="s">
        <v>571</v>
      </c>
      <c r="BK324" s="1" t="s">
        <v>96</v>
      </c>
      <c r="BL324" s="1" t="s">
        <v>571</v>
      </c>
      <c r="BM324" s="1" t="s">
        <v>5811</v>
      </c>
      <c r="BN324" s="1">
        <v>17020821</v>
      </c>
      <c r="BO324" s="1" t="s">
        <v>74</v>
      </c>
      <c r="BP324" s="1" t="s">
        <v>74</v>
      </c>
      <c r="BQ324" s="1" t="s">
        <v>74</v>
      </c>
      <c r="BR324" s="1" t="s">
        <v>98</v>
      </c>
      <c r="BS324" s="1" t="s">
        <v>5812</v>
      </c>
      <c r="BT324" s="1" t="str">
        <f>HYPERLINK("https%3A%2F%2Fwww.webofscience.com%2Fwos%2Fwoscc%2Ffull-record%2FWOS:000242518800009","View Full Record in Web of Science")</f>
        <v>View Full Record in Web of Science</v>
      </c>
    </row>
    <row r="325" spans="1:72">
      <c r="A325" s="1" t="s">
        <v>72</v>
      </c>
      <c r="B325" s="1" t="s">
        <v>5813</v>
      </c>
      <c r="C325" s="1" t="s">
        <v>74</v>
      </c>
      <c r="D325" s="1" t="s">
        <v>74</v>
      </c>
      <c r="E325" s="1" t="s">
        <v>74</v>
      </c>
      <c r="F325" s="1" t="s">
        <v>5814</v>
      </c>
      <c r="G325" s="1" t="s">
        <v>74</v>
      </c>
      <c r="H325" s="1" t="s">
        <v>74</v>
      </c>
      <c r="I325" s="1" t="s">
        <v>5815</v>
      </c>
      <c r="J325" s="1" t="s">
        <v>179</v>
      </c>
      <c r="K325" s="1" t="s">
        <v>74</v>
      </c>
      <c r="L325" s="1" t="s">
        <v>74</v>
      </c>
      <c r="M325" s="1" t="s">
        <v>78</v>
      </c>
      <c r="N325" s="1" t="s">
        <v>79</v>
      </c>
      <c r="O325" s="1" t="s">
        <v>74</v>
      </c>
      <c r="P325" s="1" t="s">
        <v>74</v>
      </c>
      <c r="Q325" s="1" t="s">
        <v>74</v>
      </c>
      <c r="R325" s="1" t="s">
        <v>74</v>
      </c>
      <c r="S325" s="1" t="s">
        <v>74</v>
      </c>
      <c r="T325" s="1" t="s">
        <v>5816</v>
      </c>
      <c r="U325" s="1" t="s">
        <v>5817</v>
      </c>
      <c r="V325" s="1" t="s">
        <v>5818</v>
      </c>
      <c r="W325" s="1" t="s">
        <v>5819</v>
      </c>
      <c r="X325" s="1" t="s">
        <v>5820</v>
      </c>
      <c r="Y325" s="1" t="s">
        <v>5821</v>
      </c>
      <c r="Z325" s="1" t="s">
        <v>5822</v>
      </c>
      <c r="AA325" s="1" t="s">
        <v>5823</v>
      </c>
      <c r="AB325" s="1" t="s">
        <v>5824</v>
      </c>
      <c r="AC325" s="1" t="s">
        <v>74</v>
      </c>
      <c r="AD325" s="1" t="s">
        <v>74</v>
      </c>
      <c r="AE325" s="1" t="s">
        <v>74</v>
      </c>
      <c r="AF325" s="1" t="s">
        <v>74</v>
      </c>
      <c r="AG325" s="1">
        <v>84</v>
      </c>
      <c r="AH325" s="1">
        <v>2</v>
      </c>
      <c r="AI325" s="1">
        <v>2</v>
      </c>
      <c r="AJ325" s="1">
        <v>2</v>
      </c>
      <c r="AK325" s="1">
        <v>6</v>
      </c>
      <c r="AL325" s="1" t="s">
        <v>112</v>
      </c>
      <c r="AM325" s="1" t="s">
        <v>191</v>
      </c>
      <c r="AN325" s="1" t="s">
        <v>192</v>
      </c>
      <c r="AO325" s="1" t="s">
        <v>193</v>
      </c>
      <c r="AP325" s="1" t="s">
        <v>194</v>
      </c>
      <c r="AQ325" s="1" t="s">
        <v>74</v>
      </c>
      <c r="AR325" s="1" t="s">
        <v>195</v>
      </c>
      <c r="AS325" s="1" t="s">
        <v>196</v>
      </c>
      <c r="AT325" s="1" t="s">
        <v>170</v>
      </c>
      <c r="AU325" s="1">
        <v>2023</v>
      </c>
      <c r="AV325" s="1">
        <v>195</v>
      </c>
      <c r="AW325" s="1">
        <v>5</v>
      </c>
      <c r="AX325" s="1" t="s">
        <v>74</v>
      </c>
      <c r="AY325" s="1" t="s">
        <v>74</v>
      </c>
      <c r="AZ325" s="1" t="s">
        <v>74</v>
      </c>
      <c r="BA325" s="1" t="s">
        <v>74</v>
      </c>
      <c r="BB325" s="1" t="s">
        <v>74</v>
      </c>
      <c r="BC325" s="1" t="s">
        <v>74</v>
      </c>
      <c r="BD325" s="1">
        <v>608</v>
      </c>
      <c r="BE325" s="1" t="s">
        <v>5825</v>
      </c>
      <c r="BF325" s="1" t="str">
        <f>HYPERLINK("http://dx.doi.org/10.1007/s10661-023-11130-y","http://dx.doi.org/10.1007/s10661-023-11130-y")</f>
        <v>http://dx.doi.org/10.1007/s10661-023-11130-y</v>
      </c>
      <c r="BG325" s="1" t="s">
        <v>74</v>
      </c>
      <c r="BH325" s="1" t="s">
        <v>74</v>
      </c>
      <c r="BI325" s="1">
        <v>14</v>
      </c>
      <c r="BJ325" s="1" t="s">
        <v>144</v>
      </c>
      <c r="BK325" s="1" t="s">
        <v>96</v>
      </c>
      <c r="BL325" s="1" t="s">
        <v>145</v>
      </c>
      <c r="BM325" s="1" t="s">
        <v>5826</v>
      </c>
      <c r="BN325" s="1">
        <v>37095291</v>
      </c>
      <c r="BO325" s="1" t="s">
        <v>74</v>
      </c>
      <c r="BP325" s="1" t="s">
        <v>74</v>
      </c>
      <c r="BQ325" s="1" t="s">
        <v>74</v>
      </c>
      <c r="BR325" s="1" t="s">
        <v>98</v>
      </c>
      <c r="BS325" s="1" t="s">
        <v>5827</v>
      </c>
      <c r="BT325" s="1" t="str">
        <f>HYPERLINK("https%3A%2F%2Fwww.webofscience.com%2Fwos%2Fwoscc%2Ffull-record%2FWOS:000983758000003","View Full Record in Web of Science")</f>
        <v>View Full Record in Web of Science</v>
      </c>
    </row>
    <row r="326" spans="1:72">
      <c r="A326" s="1" t="s">
        <v>72</v>
      </c>
      <c r="B326" s="1" t="s">
        <v>5828</v>
      </c>
      <c r="C326" s="1" t="s">
        <v>74</v>
      </c>
      <c r="D326" s="1" t="s">
        <v>74</v>
      </c>
      <c r="E326" s="1" t="s">
        <v>74</v>
      </c>
      <c r="F326" s="1" t="s">
        <v>5828</v>
      </c>
      <c r="G326" s="1" t="s">
        <v>74</v>
      </c>
      <c r="H326" s="1" t="s">
        <v>74</v>
      </c>
      <c r="I326" s="1" t="s">
        <v>5829</v>
      </c>
      <c r="J326" s="1" t="s">
        <v>5830</v>
      </c>
      <c r="K326" s="1" t="s">
        <v>74</v>
      </c>
      <c r="L326" s="1" t="s">
        <v>74</v>
      </c>
      <c r="M326" s="1" t="s">
        <v>78</v>
      </c>
      <c r="N326" s="1" t="s">
        <v>79</v>
      </c>
      <c r="O326" s="1" t="s">
        <v>74</v>
      </c>
      <c r="P326" s="1" t="s">
        <v>74</v>
      </c>
      <c r="Q326" s="1" t="s">
        <v>74</v>
      </c>
      <c r="R326" s="1" t="s">
        <v>74</v>
      </c>
      <c r="S326" s="1" t="s">
        <v>74</v>
      </c>
      <c r="T326" s="1" t="s">
        <v>5831</v>
      </c>
      <c r="U326" s="1" t="s">
        <v>5832</v>
      </c>
      <c r="V326" s="1" t="s">
        <v>5833</v>
      </c>
      <c r="W326" s="1" t="s">
        <v>5834</v>
      </c>
      <c r="X326" s="1" t="s">
        <v>5835</v>
      </c>
      <c r="Y326" s="1" t="s">
        <v>5836</v>
      </c>
      <c r="Z326" s="1" t="s">
        <v>74</v>
      </c>
      <c r="AA326" s="1" t="s">
        <v>5837</v>
      </c>
      <c r="AB326" s="1" t="s">
        <v>5838</v>
      </c>
      <c r="AC326" s="1" t="s">
        <v>74</v>
      </c>
      <c r="AD326" s="1" t="s">
        <v>74</v>
      </c>
      <c r="AE326" s="1" t="s">
        <v>74</v>
      </c>
      <c r="AF326" s="1" t="s">
        <v>74</v>
      </c>
      <c r="AG326" s="1">
        <v>39</v>
      </c>
      <c r="AH326" s="1">
        <v>148</v>
      </c>
      <c r="AI326" s="1">
        <v>161</v>
      </c>
      <c r="AJ326" s="1">
        <v>0</v>
      </c>
      <c r="AK326" s="1">
        <v>31</v>
      </c>
      <c r="AL326" s="1" t="s">
        <v>5839</v>
      </c>
      <c r="AM326" s="1" t="s">
        <v>113</v>
      </c>
      <c r="AN326" s="1" t="s">
        <v>5840</v>
      </c>
      <c r="AO326" s="1" t="s">
        <v>5841</v>
      </c>
      <c r="AP326" s="1" t="s">
        <v>74</v>
      </c>
      <c r="AQ326" s="1" t="s">
        <v>74</v>
      </c>
      <c r="AR326" s="1" t="s">
        <v>5842</v>
      </c>
      <c r="AS326" s="1" t="s">
        <v>5843</v>
      </c>
      <c r="AT326" s="1" t="s">
        <v>74</v>
      </c>
      <c r="AU326" s="1">
        <v>1999</v>
      </c>
      <c r="AV326" s="1">
        <v>33</v>
      </c>
      <c r="AW326" s="1">
        <v>4</v>
      </c>
      <c r="AX326" s="1" t="s">
        <v>74</v>
      </c>
      <c r="AY326" s="1" t="s">
        <v>74</v>
      </c>
      <c r="AZ326" s="1" t="s">
        <v>74</v>
      </c>
      <c r="BA326" s="1" t="s">
        <v>74</v>
      </c>
      <c r="BB326" s="1">
        <v>287</v>
      </c>
      <c r="BC326" s="1">
        <v>292</v>
      </c>
      <c r="BD326" s="1" t="s">
        <v>74</v>
      </c>
      <c r="BE326" s="1" t="s">
        <v>5844</v>
      </c>
      <c r="BF326" s="1" t="str">
        <f>HYPERLINK("http://dx.doi.org/10.1002/(SICI)1098-2280(1999)33:4&lt;287::AID-EM5&gt;3.3.CO;2-7","http://dx.doi.org/10.1002/(SICI)1098-2280(1999)33:4&lt;287::AID-EM5&gt;3.3.CO;2-7")</f>
        <v>http://dx.doi.org/10.1002/(SICI)1098-2280(1999)33:4&lt;287::AID-EM5&gt;3.3.CO;2-7</v>
      </c>
      <c r="BG326" s="1" t="s">
        <v>74</v>
      </c>
      <c r="BH326" s="1" t="s">
        <v>74</v>
      </c>
      <c r="BI326" s="1">
        <v>6</v>
      </c>
      <c r="BJ326" s="1" t="s">
        <v>5845</v>
      </c>
      <c r="BK326" s="1" t="s">
        <v>96</v>
      </c>
      <c r="BL326" s="1" t="s">
        <v>5846</v>
      </c>
      <c r="BM326" s="1" t="s">
        <v>5847</v>
      </c>
      <c r="BN326" s="1">
        <v>10398376</v>
      </c>
      <c r="BO326" s="1" t="s">
        <v>74</v>
      </c>
      <c r="BP326" s="1" t="s">
        <v>74</v>
      </c>
      <c r="BQ326" s="1" t="s">
        <v>74</v>
      </c>
      <c r="BR326" s="1" t="s">
        <v>98</v>
      </c>
      <c r="BS326" s="1" t="s">
        <v>5848</v>
      </c>
      <c r="BT326" s="1" t="str">
        <f>HYPERLINK("https%3A%2F%2Fwww.webofscience.com%2Fwos%2Fwoscc%2Ffull-record%2FWOS:000081248200005","View Full Record in Web of Science")</f>
        <v>View Full Record in Web of Science</v>
      </c>
    </row>
    <row r="327" spans="1:72">
      <c r="A327" s="1" t="s">
        <v>72</v>
      </c>
      <c r="B327" s="1" t="s">
        <v>5849</v>
      </c>
      <c r="C327" s="1" t="s">
        <v>74</v>
      </c>
      <c r="D327" s="1" t="s">
        <v>74</v>
      </c>
      <c r="E327" s="1" t="s">
        <v>74</v>
      </c>
      <c r="F327" s="1" t="s">
        <v>5849</v>
      </c>
      <c r="G327" s="1" t="s">
        <v>74</v>
      </c>
      <c r="H327" s="1" t="s">
        <v>74</v>
      </c>
      <c r="I327" s="1" t="s">
        <v>5850</v>
      </c>
      <c r="J327" s="1" t="s">
        <v>421</v>
      </c>
      <c r="K327" s="1" t="s">
        <v>74</v>
      </c>
      <c r="L327" s="1" t="s">
        <v>74</v>
      </c>
      <c r="M327" s="1" t="s">
        <v>78</v>
      </c>
      <c r="N327" s="1" t="s">
        <v>79</v>
      </c>
      <c r="O327" s="1" t="s">
        <v>74</v>
      </c>
      <c r="P327" s="1" t="s">
        <v>74</v>
      </c>
      <c r="Q327" s="1" t="s">
        <v>74</v>
      </c>
      <c r="R327" s="1" t="s">
        <v>74</v>
      </c>
      <c r="S327" s="1" t="s">
        <v>74</v>
      </c>
      <c r="T327" s="1" t="s">
        <v>5851</v>
      </c>
      <c r="U327" s="1" t="s">
        <v>5852</v>
      </c>
      <c r="V327" s="1" t="s">
        <v>5853</v>
      </c>
      <c r="W327" s="1" t="s">
        <v>5854</v>
      </c>
      <c r="X327" s="1" t="s">
        <v>5855</v>
      </c>
      <c r="Y327" s="1" t="s">
        <v>5856</v>
      </c>
      <c r="Z327" s="1" t="s">
        <v>5857</v>
      </c>
      <c r="AA327" s="1" t="s">
        <v>5858</v>
      </c>
      <c r="AB327" s="1" t="s">
        <v>5859</v>
      </c>
      <c r="AC327" s="1" t="s">
        <v>74</v>
      </c>
      <c r="AD327" s="1" t="s">
        <v>74</v>
      </c>
      <c r="AE327" s="1" t="s">
        <v>74</v>
      </c>
      <c r="AF327" s="1" t="s">
        <v>74</v>
      </c>
      <c r="AG327" s="1">
        <v>54</v>
      </c>
      <c r="AH327" s="1">
        <v>109</v>
      </c>
      <c r="AI327" s="1">
        <v>113</v>
      </c>
      <c r="AJ327" s="1">
        <v>0</v>
      </c>
      <c r="AK327" s="1">
        <v>24</v>
      </c>
      <c r="AL327" s="1" t="s">
        <v>430</v>
      </c>
      <c r="AM327" s="1" t="s">
        <v>137</v>
      </c>
      <c r="AN327" s="1" t="s">
        <v>431</v>
      </c>
      <c r="AO327" s="1" t="s">
        <v>432</v>
      </c>
      <c r="AP327" s="1" t="s">
        <v>1394</v>
      </c>
      <c r="AQ327" s="1" t="s">
        <v>74</v>
      </c>
      <c r="AR327" s="1" t="s">
        <v>433</v>
      </c>
      <c r="AS327" s="1" t="s">
        <v>434</v>
      </c>
      <c r="AT327" s="1" t="s">
        <v>74</v>
      </c>
      <c r="AU327" s="1">
        <v>2003</v>
      </c>
      <c r="AV327" s="1">
        <v>122</v>
      </c>
      <c r="AW327" s="1">
        <v>2</v>
      </c>
      <c r="AX327" s="1" t="s">
        <v>74</v>
      </c>
      <c r="AY327" s="1" t="s">
        <v>74</v>
      </c>
      <c r="AZ327" s="1" t="s">
        <v>74</v>
      </c>
      <c r="BA327" s="1" t="s">
        <v>74</v>
      </c>
      <c r="BB327" s="1">
        <v>261</v>
      </c>
      <c r="BC327" s="1">
        <v>271</v>
      </c>
      <c r="BD327" s="1" t="s">
        <v>5860</v>
      </c>
      <c r="BE327" s="1" t="s">
        <v>5861</v>
      </c>
      <c r="BF327" s="1" t="str">
        <f>HYPERLINK("http://dx.doi.org/10.1016/S0269-7491(02)00290-7","http://dx.doi.org/10.1016/S0269-7491(02)00290-7")</f>
        <v>http://dx.doi.org/10.1016/S0269-7491(02)00290-7</v>
      </c>
      <c r="BG327" s="1" t="s">
        <v>74</v>
      </c>
      <c r="BH327" s="1" t="s">
        <v>74</v>
      </c>
      <c r="BI327" s="1">
        <v>11</v>
      </c>
      <c r="BJ327" s="1" t="s">
        <v>144</v>
      </c>
      <c r="BK327" s="1" t="s">
        <v>96</v>
      </c>
      <c r="BL327" s="1" t="s">
        <v>145</v>
      </c>
      <c r="BM327" s="1" t="s">
        <v>5862</v>
      </c>
      <c r="BN327" s="1">
        <v>12531315</v>
      </c>
      <c r="BO327" s="1" t="s">
        <v>74</v>
      </c>
      <c r="BP327" s="1" t="s">
        <v>74</v>
      </c>
      <c r="BQ327" s="1" t="s">
        <v>74</v>
      </c>
      <c r="BR327" s="1" t="s">
        <v>98</v>
      </c>
      <c r="BS327" s="1" t="s">
        <v>5863</v>
      </c>
      <c r="BT327" s="1" t="str">
        <f>HYPERLINK("https%3A%2F%2Fwww.webofscience.com%2Fwos%2Fwoscc%2Ffull-record%2FWOS:000181173600013","View Full Record in Web of Science")</f>
        <v>View Full Record in Web of Science</v>
      </c>
    </row>
    <row r="328" spans="1:72">
      <c r="A328" s="1" t="s">
        <v>72</v>
      </c>
      <c r="B328" s="1" t="s">
        <v>5864</v>
      </c>
      <c r="C328" s="1" t="s">
        <v>74</v>
      </c>
      <c r="D328" s="1" t="s">
        <v>74</v>
      </c>
      <c r="E328" s="1" t="s">
        <v>74</v>
      </c>
      <c r="F328" s="1" t="s">
        <v>5865</v>
      </c>
      <c r="G328" s="1" t="s">
        <v>74</v>
      </c>
      <c r="H328" s="1" t="s">
        <v>74</v>
      </c>
      <c r="I328" s="1" t="s">
        <v>5866</v>
      </c>
      <c r="J328" s="1" t="s">
        <v>204</v>
      </c>
      <c r="K328" s="1" t="s">
        <v>74</v>
      </c>
      <c r="L328" s="1" t="s">
        <v>74</v>
      </c>
      <c r="M328" s="1" t="s">
        <v>78</v>
      </c>
      <c r="N328" s="1" t="s">
        <v>79</v>
      </c>
      <c r="O328" s="1" t="s">
        <v>74</v>
      </c>
      <c r="P328" s="1" t="s">
        <v>74</v>
      </c>
      <c r="Q328" s="1" t="s">
        <v>74</v>
      </c>
      <c r="R328" s="1" t="s">
        <v>74</v>
      </c>
      <c r="S328" s="1" t="s">
        <v>74</v>
      </c>
      <c r="T328" s="1" t="s">
        <v>5867</v>
      </c>
      <c r="U328" s="1" t="s">
        <v>5868</v>
      </c>
      <c r="V328" s="1" t="s">
        <v>5869</v>
      </c>
      <c r="W328" s="1" t="s">
        <v>5870</v>
      </c>
      <c r="X328" s="1" t="s">
        <v>5871</v>
      </c>
      <c r="Y328" s="1" t="s">
        <v>5872</v>
      </c>
      <c r="Z328" s="1" t="s">
        <v>5873</v>
      </c>
      <c r="AA328" s="1" t="s">
        <v>74</v>
      </c>
      <c r="AB328" s="1" t="s">
        <v>74</v>
      </c>
      <c r="AC328" s="1" t="s">
        <v>5874</v>
      </c>
      <c r="AD328" s="1" t="s">
        <v>5875</v>
      </c>
      <c r="AE328" s="1" t="s">
        <v>5876</v>
      </c>
      <c r="AF328" s="1" t="s">
        <v>74</v>
      </c>
      <c r="AG328" s="1">
        <v>47</v>
      </c>
      <c r="AH328" s="1">
        <v>2</v>
      </c>
      <c r="AI328" s="1">
        <v>3</v>
      </c>
      <c r="AJ328" s="1">
        <v>10</v>
      </c>
      <c r="AK328" s="1">
        <v>30</v>
      </c>
      <c r="AL328" s="1" t="s">
        <v>217</v>
      </c>
      <c r="AM328" s="1" t="s">
        <v>218</v>
      </c>
      <c r="AN328" s="1" t="s">
        <v>219</v>
      </c>
      <c r="AO328" s="1" t="s">
        <v>220</v>
      </c>
      <c r="AP328" s="1" t="s">
        <v>221</v>
      </c>
      <c r="AQ328" s="1" t="s">
        <v>74</v>
      </c>
      <c r="AR328" s="1" t="s">
        <v>222</v>
      </c>
      <c r="AS328" s="1" t="s">
        <v>223</v>
      </c>
      <c r="AT328" s="1" t="s">
        <v>305</v>
      </c>
      <c r="AU328" s="1">
        <v>2023</v>
      </c>
      <c r="AV328" s="1">
        <v>30</v>
      </c>
      <c r="AW328" s="1">
        <v>41</v>
      </c>
      <c r="AX328" s="1" t="s">
        <v>74</v>
      </c>
      <c r="AY328" s="1" t="s">
        <v>74</v>
      </c>
      <c r="AZ328" s="1" t="s">
        <v>74</v>
      </c>
      <c r="BA328" s="1" t="s">
        <v>74</v>
      </c>
      <c r="BB328" s="1">
        <v>93519</v>
      </c>
      <c r="BC328" s="1">
        <v>93530</v>
      </c>
      <c r="BD328" s="1" t="s">
        <v>74</v>
      </c>
      <c r="BE328" s="1" t="s">
        <v>5877</v>
      </c>
      <c r="BF328" s="1" t="str">
        <f>HYPERLINK("http://dx.doi.org/10.1007/s11356-023-28629-z","http://dx.doi.org/10.1007/s11356-023-28629-z")</f>
        <v>http://dx.doi.org/10.1007/s11356-023-28629-z</v>
      </c>
      <c r="BG328" s="1" t="s">
        <v>74</v>
      </c>
      <c r="BH328" s="1" t="s">
        <v>1121</v>
      </c>
      <c r="BI328" s="1">
        <v>12</v>
      </c>
      <c r="BJ328" s="1" t="s">
        <v>144</v>
      </c>
      <c r="BK328" s="1" t="s">
        <v>96</v>
      </c>
      <c r="BL328" s="1" t="s">
        <v>145</v>
      </c>
      <c r="BM328" s="1" t="s">
        <v>5878</v>
      </c>
      <c r="BN328" s="1">
        <v>37505384</v>
      </c>
      <c r="BO328" s="1" t="s">
        <v>74</v>
      </c>
      <c r="BP328" s="1" t="s">
        <v>74</v>
      </c>
      <c r="BQ328" s="1" t="s">
        <v>74</v>
      </c>
      <c r="BR328" s="1" t="s">
        <v>98</v>
      </c>
      <c r="BS328" s="1" t="s">
        <v>5879</v>
      </c>
      <c r="BT328" s="1" t="str">
        <f>HYPERLINK("https%3A%2F%2Fwww.webofscience.com%2Fwos%2Fwoscc%2Ffull-record%2FWOS:001040558700002","View Full Record in Web of Science")</f>
        <v>View Full Record in Web of Science</v>
      </c>
    </row>
    <row r="329" spans="1:72">
      <c r="A329" s="1" t="s">
        <v>72</v>
      </c>
      <c r="B329" s="1" t="s">
        <v>5880</v>
      </c>
      <c r="C329" s="1" t="s">
        <v>74</v>
      </c>
      <c r="D329" s="1" t="s">
        <v>74</v>
      </c>
      <c r="E329" s="1" t="s">
        <v>74</v>
      </c>
      <c r="F329" s="1" t="s">
        <v>5881</v>
      </c>
      <c r="G329" s="1" t="s">
        <v>74</v>
      </c>
      <c r="H329" s="1" t="s">
        <v>74</v>
      </c>
      <c r="I329" s="1" t="s">
        <v>5882</v>
      </c>
      <c r="J329" s="1" t="s">
        <v>495</v>
      </c>
      <c r="K329" s="1" t="s">
        <v>74</v>
      </c>
      <c r="L329" s="1" t="s">
        <v>74</v>
      </c>
      <c r="M329" s="1" t="s">
        <v>78</v>
      </c>
      <c r="N329" s="1" t="s">
        <v>79</v>
      </c>
      <c r="O329" s="1" t="s">
        <v>74</v>
      </c>
      <c r="P329" s="1" t="s">
        <v>74</v>
      </c>
      <c r="Q329" s="1" t="s">
        <v>74</v>
      </c>
      <c r="R329" s="1" t="s">
        <v>74</v>
      </c>
      <c r="S329" s="1" t="s">
        <v>74</v>
      </c>
      <c r="T329" s="1" t="s">
        <v>5883</v>
      </c>
      <c r="U329" s="1" t="s">
        <v>5884</v>
      </c>
      <c r="V329" s="1" t="s">
        <v>5885</v>
      </c>
      <c r="W329" s="1" t="s">
        <v>5886</v>
      </c>
      <c r="X329" s="1" t="s">
        <v>3772</v>
      </c>
      <c r="Y329" s="1" t="s">
        <v>5887</v>
      </c>
      <c r="Z329" s="1" t="s">
        <v>5888</v>
      </c>
      <c r="AA329" s="1" t="s">
        <v>74</v>
      </c>
      <c r="AB329" s="1" t="s">
        <v>74</v>
      </c>
      <c r="AC329" s="1" t="s">
        <v>5889</v>
      </c>
      <c r="AD329" s="1" t="s">
        <v>5890</v>
      </c>
      <c r="AE329" s="1" t="s">
        <v>5891</v>
      </c>
      <c r="AF329" s="1" t="s">
        <v>74</v>
      </c>
      <c r="AG329" s="1">
        <v>27</v>
      </c>
      <c r="AH329" s="1">
        <v>3</v>
      </c>
      <c r="AI329" s="1">
        <v>3</v>
      </c>
      <c r="AJ329" s="1">
        <v>1</v>
      </c>
      <c r="AK329" s="1">
        <v>10</v>
      </c>
      <c r="AL329" s="1" t="s">
        <v>1030</v>
      </c>
      <c r="AM329" s="1" t="s">
        <v>1031</v>
      </c>
      <c r="AN329" s="1" t="s">
        <v>1032</v>
      </c>
      <c r="AO329" s="1" t="s">
        <v>507</v>
      </c>
      <c r="AP329" s="1" t="s">
        <v>1033</v>
      </c>
      <c r="AQ329" s="1" t="s">
        <v>74</v>
      </c>
      <c r="AR329" s="1" t="s">
        <v>508</v>
      </c>
      <c r="AS329" s="1" t="s">
        <v>509</v>
      </c>
      <c r="AT329" s="1" t="s">
        <v>74</v>
      </c>
      <c r="AU329" s="1">
        <v>2015</v>
      </c>
      <c r="AV329" s="1">
        <v>24</v>
      </c>
      <c r="AW329" s="1">
        <v>9</v>
      </c>
      <c r="AX329" s="1" t="s">
        <v>74</v>
      </c>
      <c r="AY329" s="1" t="s">
        <v>74</v>
      </c>
      <c r="AZ329" s="1" t="s">
        <v>74</v>
      </c>
      <c r="BA329" s="1" t="s">
        <v>74</v>
      </c>
      <c r="BB329" s="1">
        <v>2725</v>
      </c>
      <c r="BC329" s="1">
        <v>2731</v>
      </c>
      <c r="BD329" s="1" t="s">
        <v>74</v>
      </c>
      <c r="BE329" s="1" t="s">
        <v>74</v>
      </c>
      <c r="BF329" s="1" t="s">
        <v>74</v>
      </c>
      <c r="BG329" s="1" t="s">
        <v>74</v>
      </c>
      <c r="BH329" s="1" t="s">
        <v>74</v>
      </c>
      <c r="BI329" s="1">
        <v>7</v>
      </c>
      <c r="BJ329" s="1" t="s">
        <v>144</v>
      </c>
      <c r="BK329" s="1" t="s">
        <v>96</v>
      </c>
      <c r="BL329" s="1" t="s">
        <v>145</v>
      </c>
      <c r="BM329" s="1" t="s">
        <v>5892</v>
      </c>
      <c r="BN329" s="1" t="s">
        <v>74</v>
      </c>
      <c r="BO329" s="1" t="s">
        <v>74</v>
      </c>
      <c r="BP329" s="1" t="s">
        <v>74</v>
      </c>
      <c r="BQ329" s="1" t="s">
        <v>74</v>
      </c>
      <c r="BR329" s="1" t="s">
        <v>98</v>
      </c>
      <c r="BS329" s="1" t="s">
        <v>5893</v>
      </c>
      <c r="BT329" s="1" t="str">
        <f>HYPERLINK("https%3A%2F%2Fwww.webofscience.com%2Fwos%2Fwoscc%2Ffull-record%2FWOS:000363072200004","View Full Record in Web of Science")</f>
        <v>View Full Record in Web of Science</v>
      </c>
    </row>
    <row r="330" spans="1:72">
      <c r="A330" s="1" t="s">
        <v>72</v>
      </c>
      <c r="B330" s="1" t="s">
        <v>5894</v>
      </c>
      <c r="C330" s="1" t="s">
        <v>74</v>
      </c>
      <c r="D330" s="1" t="s">
        <v>74</v>
      </c>
      <c r="E330" s="1" t="s">
        <v>74</v>
      </c>
      <c r="F330" s="1" t="s">
        <v>5895</v>
      </c>
      <c r="G330" s="1" t="s">
        <v>74</v>
      </c>
      <c r="H330" s="1" t="s">
        <v>74</v>
      </c>
      <c r="I330" s="1" t="s">
        <v>5896</v>
      </c>
      <c r="J330" s="1" t="s">
        <v>5897</v>
      </c>
      <c r="K330" s="1" t="s">
        <v>74</v>
      </c>
      <c r="L330" s="1" t="s">
        <v>74</v>
      </c>
      <c r="M330" s="1" t="s">
        <v>78</v>
      </c>
      <c r="N330" s="1" t="s">
        <v>79</v>
      </c>
      <c r="O330" s="1" t="s">
        <v>74</v>
      </c>
      <c r="P330" s="1" t="s">
        <v>74</v>
      </c>
      <c r="Q330" s="1" t="s">
        <v>74</v>
      </c>
      <c r="R330" s="1" t="s">
        <v>74</v>
      </c>
      <c r="S330" s="1" t="s">
        <v>74</v>
      </c>
      <c r="T330" s="1" t="s">
        <v>5898</v>
      </c>
      <c r="U330" s="1" t="s">
        <v>5899</v>
      </c>
      <c r="V330" s="1" t="s">
        <v>5900</v>
      </c>
      <c r="W330" s="1" t="s">
        <v>5901</v>
      </c>
      <c r="X330" s="1" t="s">
        <v>5902</v>
      </c>
      <c r="Y330" s="1" t="s">
        <v>5903</v>
      </c>
      <c r="Z330" s="1" t="s">
        <v>5904</v>
      </c>
      <c r="AA330" s="1" t="s">
        <v>5905</v>
      </c>
      <c r="AB330" s="1" t="s">
        <v>5906</v>
      </c>
      <c r="AC330" s="1" t="s">
        <v>74</v>
      </c>
      <c r="AD330" s="1" t="s">
        <v>74</v>
      </c>
      <c r="AE330" s="1" t="s">
        <v>74</v>
      </c>
      <c r="AF330" s="1" t="s">
        <v>74</v>
      </c>
      <c r="AG330" s="1">
        <v>67</v>
      </c>
      <c r="AH330" s="1">
        <v>25</v>
      </c>
      <c r="AI330" s="1">
        <v>26</v>
      </c>
      <c r="AJ330" s="1">
        <v>2</v>
      </c>
      <c r="AK330" s="1">
        <v>47</v>
      </c>
      <c r="AL330" s="1" t="s">
        <v>4153</v>
      </c>
      <c r="AM330" s="1" t="s">
        <v>87</v>
      </c>
      <c r="AN330" s="1" t="s">
        <v>88</v>
      </c>
      <c r="AO330" s="1" t="s">
        <v>5907</v>
      </c>
      <c r="AP330" s="1" t="s">
        <v>74</v>
      </c>
      <c r="AQ330" s="1" t="s">
        <v>74</v>
      </c>
      <c r="AR330" s="1" t="s">
        <v>5908</v>
      </c>
      <c r="AS330" s="1" t="s">
        <v>5909</v>
      </c>
      <c r="AT330" s="1" t="s">
        <v>142</v>
      </c>
      <c r="AU330" s="1">
        <v>2011</v>
      </c>
      <c r="AV330" s="1">
        <v>32</v>
      </c>
      <c r="AW330" s="1">
        <v>2</v>
      </c>
      <c r="AX330" s="1" t="s">
        <v>74</v>
      </c>
      <c r="AY330" s="1" t="s">
        <v>74</v>
      </c>
      <c r="AZ330" s="1" t="s">
        <v>74</v>
      </c>
      <c r="BA330" s="1" t="s">
        <v>74</v>
      </c>
      <c r="BB330" s="1">
        <v>222</v>
      </c>
      <c r="BC330" s="1">
        <v>231</v>
      </c>
      <c r="BD330" s="1" t="s">
        <v>74</v>
      </c>
      <c r="BE330" s="1" t="s">
        <v>5910</v>
      </c>
      <c r="BF330" s="1" t="str">
        <f>HYPERLINK("http://dx.doi.org/10.1111/j.1439-0485.2011.00433.x","http://dx.doi.org/10.1111/j.1439-0485.2011.00433.x")</f>
        <v>http://dx.doi.org/10.1111/j.1439-0485.2011.00433.x</v>
      </c>
      <c r="BG330" s="1" t="s">
        <v>74</v>
      </c>
      <c r="BH330" s="1" t="s">
        <v>74</v>
      </c>
      <c r="BI330" s="1">
        <v>10</v>
      </c>
      <c r="BJ330" s="1" t="s">
        <v>680</v>
      </c>
      <c r="BK330" s="1" t="s">
        <v>96</v>
      </c>
      <c r="BL330" s="1" t="s">
        <v>680</v>
      </c>
      <c r="BM330" s="1" t="s">
        <v>5911</v>
      </c>
      <c r="BN330" s="1" t="s">
        <v>74</v>
      </c>
      <c r="BO330" s="1" t="s">
        <v>74</v>
      </c>
      <c r="BP330" s="1" t="s">
        <v>74</v>
      </c>
      <c r="BQ330" s="1" t="s">
        <v>74</v>
      </c>
      <c r="BR330" s="1" t="s">
        <v>98</v>
      </c>
      <c r="BS330" s="1" t="s">
        <v>5912</v>
      </c>
      <c r="BT330" s="1" t="str">
        <f>HYPERLINK("https%3A%2F%2Fwww.webofscience.com%2Fwos%2Fwoscc%2Ffull-record%2FWOS:000289728800009","View Full Record in Web of Science")</f>
        <v>View Full Record in Web of Science</v>
      </c>
    </row>
    <row r="331" spans="1:72">
      <c r="A331" s="1" t="s">
        <v>72</v>
      </c>
      <c r="B331" s="1" t="s">
        <v>5913</v>
      </c>
      <c r="C331" s="1" t="s">
        <v>74</v>
      </c>
      <c r="D331" s="1" t="s">
        <v>74</v>
      </c>
      <c r="E331" s="1" t="s">
        <v>74</v>
      </c>
      <c r="F331" s="1" t="s">
        <v>5914</v>
      </c>
      <c r="G331" s="1" t="s">
        <v>74</v>
      </c>
      <c r="H331" s="1" t="s">
        <v>74</v>
      </c>
      <c r="I331" s="1" t="s">
        <v>5915</v>
      </c>
      <c r="J331" s="1" t="s">
        <v>3349</v>
      </c>
      <c r="K331" s="1" t="s">
        <v>74</v>
      </c>
      <c r="L331" s="1" t="s">
        <v>74</v>
      </c>
      <c r="M331" s="1" t="s">
        <v>78</v>
      </c>
      <c r="N331" s="1" t="s">
        <v>79</v>
      </c>
      <c r="O331" s="1" t="s">
        <v>74</v>
      </c>
      <c r="P331" s="1" t="s">
        <v>74</v>
      </c>
      <c r="Q331" s="1" t="s">
        <v>74</v>
      </c>
      <c r="R331" s="1" t="s">
        <v>74</v>
      </c>
      <c r="S331" s="1" t="s">
        <v>74</v>
      </c>
      <c r="T331" s="1" t="s">
        <v>5916</v>
      </c>
      <c r="U331" s="1" t="s">
        <v>5917</v>
      </c>
      <c r="V331" s="1" t="s">
        <v>5918</v>
      </c>
      <c r="W331" s="1" t="s">
        <v>5919</v>
      </c>
      <c r="X331" s="1" t="s">
        <v>5920</v>
      </c>
      <c r="Y331" s="1" t="s">
        <v>5921</v>
      </c>
      <c r="Z331" s="1" t="s">
        <v>5922</v>
      </c>
      <c r="AA331" s="1" t="s">
        <v>5923</v>
      </c>
      <c r="AB331" s="1" t="s">
        <v>5924</v>
      </c>
      <c r="AC331" s="1" t="s">
        <v>5925</v>
      </c>
      <c r="AD331" s="1" t="s">
        <v>5926</v>
      </c>
      <c r="AE331" s="1" t="s">
        <v>5927</v>
      </c>
      <c r="AF331" s="1" t="s">
        <v>74</v>
      </c>
      <c r="AG331" s="1">
        <v>86</v>
      </c>
      <c r="AH331" s="1">
        <v>27</v>
      </c>
      <c r="AI331" s="1">
        <v>29</v>
      </c>
      <c r="AJ331" s="1">
        <v>7</v>
      </c>
      <c r="AK331" s="1">
        <v>61</v>
      </c>
      <c r="AL331" s="1" t="s">
        <v>3362</v>
      </c>
      <c r="AM331" s="1" t="s">
        <v>3363</v>
      </c>
      <c r="AN331" s="1" t="s">
        <v>3364</v>
      </c>
      <c r="AO331" s="1" t="s">
        <v>3365</v>
      </c>
      <c r="AP331" s="1" t="s">
        <v>3366</v>
      </c>
      <c r="AQ331" s="1" t="s">
        <v>74</v>
      </c>
      <c r="AR331" s="1" t="s">
        <v>3367</v>
      </c>
      <c r="AS331" s="1" t="s">
        <v>3368</v>
      </c>
      <c r="AT331" s="1" t="s">
        <v>3891</v>
      </c>
      <c r="AU331" s="1">
        <v>2021</v>
      </c>
      <c r="AV331" s="1">
        <v>208</v>
      </c>
      <c r="AW331" s="1" t="s">
        <v>74</v>
      </c>
      <c r="AX331" s="1" t="s">
        <v>74</v>
      </c>
      <c r="AY331" s="1" t="s">
        <v>74</v>
      </c>
      <c r="AZ331" s="1" t="s">
        <v>74</v>
      </c>
      <c r="BA331" s="1" t="s">
        <v>74</v>
      </c>
      <c r="BB331" s="1" t="s">
        <v>74</v>
      </c>
      <c r="BC331" s="1" t="s">
        <v>74</v>
      </c>
      <c r="BD331" s="1">
        <v>111612</v>
      </c>
      <c r="BE331" s="1" t="s">
        <v>5928</v>
      </c>
      <c r="BF331" s="1" t="str">
        <f>HYPERLINK("http://dx.doi.org/10.1016/j.ecoenv.2020.111612","http://dx.doi.org/10.1016/j.ecoenv.2020.111612")</f>
        <v>http://dx.doi.org/10.1016/j.ecoenv.2020.111612</v>
      </c>
      <c r="BG331" s="1" t="s">
        <v>74</v>
      </c>
      <c r="BH331" s="1" t="s">
        <v>74</v>
      </c>
      <c r="BI331" s="1">
        <v>14</v>
      </c>
      <c r="BJ331" s="1" t="s">
        <v>121</v>
      </c>
      <c r="BK331" s="1" t="s">
        <v>96</v>
      </c>
      <c r="BL331" s="1" t="s">
        <v>122</v>
      </c>
      <c r="BM331" s="1" t="s">
        <v>5929</v>
      </c>
      <c r="BN331" s="1">
        <v>33396132</v>
      </c>
      <c r="BO331" s="1" t="s">
        <v>873</v>
      </c>
      <c r="BP331" s="1" t="s">
        <v>74</v>
      </c>
      <c r="BQ331" s="1" t="s">
        <v>74</v>
      </c>
      <c r="BR331" s="1" t="s">
        <v>98</v>
      </c>
      <c r="BS331" s="1" t="s">
        <v>5930</v>
      </c>
      <c r="BT331" s="1" t="str">
        <f>HYPERLINK("https%3A%2F%2Fwww.webofscience.com%2Fwos%2Fwoscc%2Ffull-record%2FWOS:000605479900008","View Full Record in Web of Science")</f>
        <v>View Full Record in Web of Science</v>
      </c>
    </row>
    <row r="332" spans="1:72">
      <c r="A332" s="1" t="s">
        <v>72</v>
      </c>
      <c r="B332" s="1" t="s">
        <v>5931</v>
      </c>
      <c r="C332" s="1" t="s">
        <v>74</v>
      </c>
      <c r="D332" s="1" t="s">
        <v>74</v>
      </c>
      <c r="E332" s="1" t="s">
        <v>74</v>
      </c>
      <c r="F332" s="1" t="s">
        <v>5932</v>
      </c>
      <c r="G332" s="1" t="s">
        <v>74</v>
      </c>
      <c r="H332" s="1" t="s">
        <v>74</v>
      </c>
      <c r="I332" s="1" t="s">
        <v>5933</v>
      </c>
      <c r="J332" s="1" t="s">
        <v>275</v>
      </c>
      <c r="K332" s="1" t="s">
        <v>74</v>
      </c>
      <c r="L332" s="1" t="s">
        <v>74</v>
      </c>
      <c r="M332" s="1" t="s">
        <v>78</v>
      </c>
      <c r="N332" s="1" t="s">
        <v>79</v>
      </c>
      <c r="O332" s="1" t="s">
        <v>74</v>
      </c>
      <c r="P332" s="1" t="s">
        <v>74</v>
      </c>
      <c r="Q332" s="1" t="s">
        <v>74</v>
      </c>
      <c r="R332" s="1" t="s">
        <v>74</v>
      </c>
      <c r="S332" s="1" t="s">
        <v>74</v>
      </c>
      <c r="T332" s="1" t="s">
        <v>5934</v>
      </c>
      <c r="U332" s="1" t="s">
        <v>5935</v>
      </c>
      <c r="V332" s="1" t="s">
        <v>5936</v>
      </c>
      <c r="W332" s="1" t="s">
        <v>5937</v>
      </c>
      <c r="X332" s="1" t="s">
        <v>4529</v>
      </c>
      <c r="Y332" s="1" t="s">
        <v>5938</v>
      </c>
      <c r="Z332" s="1" t="s">
        <v>5939</v>
      </c>
      <c r="AA332" s="1" t="s">
        <v>5940</v>
      </c>
      <c r="AB332" s="1" t="s">
        <v>74</v>
      </c>
      <c r="AC332" s="1" t="s">
        <v>5941</v>
      </c>
      <c r="AD332" s="1" t="s">
        <v>5942</v>
      </c>
      <c r="AE332" s="1" t="s">
        <v>5943</v>
      </c>
      <c r="AF332" s="1" t="s">
        <v>74</v>
      </c>
      <c r="AG332" s="1">
        <v>45</v>
      </c>
      <c r="AH332" s="1">
        <v>39</v>
      </c>
      <c r="AI332" s="1">
        <v>45</v>
      </c>
      <c r="AJ332" s="1">
        <v>5</v>
      </c>
      <c r="AK332" s="1">
        <v>91</v>
      </c>
      <c r="AL332" s="1" t="s">
        <v>285</v>
      </c>
      <c r="AM332" s="1" t="s">
        <v>286</v>
      </c>
      <c r="AN332" s="1" t="s">
        <v>287</v>
      </c>
      <c r="AO332" s="1" t="s">
        <v>288</v>
      </c>
      <c r="AP332" s="1" t="s">
        <v>289</v>
      </c>
      <c r="AQ332" s="1" t="s">
        <v>74</v>
      </c>
      <c r="AR332" s="1" t="s">
        <v>290</v>
      </c>
      <c r="AS332" s="1" t="s">
        <v>291</v>
      </c>
      <c r="AT332" s="1" t="s">
        <v>267</v>
      </c>
      <c r="AU332" s="1">
        <v>2018</v>
      </c>
      <c r="AV332" s="1">
        <v>81</v>
      </c>
      <c r="AW332" s="1" t="s">
        <v>74</v>
      </c>
      <c r="AX332" s="1" t="s">
        <v>74</v>
      </c>
      <c r="AY332" s="1" t="s">
        <v>74</v>
      </c>
      <c r="AZ332" s="1" t="s">
        <v>74</v>
      </c>
      <c r="BA332" s="1" t="s">
        <v>74</v>
      </c>
      <c r="BB332" s="1">
        <v>456</v>
      </c>
      <c r="BC332" s="1">
        <v>462</v>
      </c>
      <c r="BD332" s="1" t="s">
        <v>74</v>
      </c>
      <c r="BE332" s="1" t="s">
        <v>5944</v>
      </c>
      <c r="BF332" s="1" t="str">
        <f>HYPERLINK("http://dx.doi.org/10.1016/j.fsi.2018.07.055","http://dx.doi.org/10.1016/j.fsi.2018.07.055")</f>
        <v>http://dx.doi.org/10.1016/j.fsi.2018.07.055</v>
      </c>
      <c r="BG332" s="1" t="s">
        <v>74</v>
      </c>
      <c r="BH332" s="1" t="s">
        <v>74</v>
      </c>
      <c r="BI332" s="1">
        <v>7</v>
      </c>
      <c r="BJ332" s="1" t="s">
        <v>293</v>
      </c>
      <c r="BK332" s="1" t="s">
        <v>96</v>
      </c>
      <c r="BL332" s="1" t="s">
        <v>293</v>
      </c>
      <c r="BM332" s="1" t="s">
        <v>5945</v>
      </c>
      <c r="BN332" s="1">
        <v>30064018</v>
      </c>
      <c r="BO332" s="1" t="s">
        <v>74</v>
      </c>
      <c r="BP332" s="1" t="s">
        <v>74</v>
      </c>
      <c r="BQ332" s="1" t="s">
        <v>74</v>
      </c>
      <c r="BR332" s="1" t="s">
        <v>98</v>
      </c>
      <c r="BS332" s="1" t="s">
        <v>5946</v>
      </c>
      <c r="BT332" s="1" t="str">
        <f>HYPERLINK("https%3A%2F%2Fwww.webofscience.com%2Fwos%2Fwoscc%2Ffull-record%2FWOS:000443665900054","View Full Record in Web of Science")</f>
        <v>View Full Record in Web of Science</v>
      </c>
    </row>
    <row r="333" spans="1:72">
      <c r="A333" s="1" t="s">
        <v>72</v>
      </c>
      <c r="B333" s="1" t="s">
        <v>5947</v>
      </c>
      <c r="C333" s="1" t="s">
        <v>74</v>
      </c>
      <c r="D333" s="1" t="s">
        <v>74</v>
      </c>
      <c r="E333" s="1" t="s">
        <v>74</v>
      </c>
      <c r="F333" s="1" t="s">
        <v>5948</v>
      </c>
      <c r="G333" s="1" t="s">
        <v>74</v>
      </c>
      <c r="H333" s="1" t="s">
        <v>74</v>
      </c>
      <c r="I333" s="1" t="s">
        <v>5949</v>
      </c>
      <c r="J333" s="1" t="s">
        <v>232</v>
      </c>
      <c r="K333" s="1" t="s">
        <v>74</v>
      </c>
      <c r="L333" s="1" t="s">
        <v>74</v>
      </c>
      <c r="M333" s="1" t="s">
        <v>78</v>
      </c>
      <c r="N333" s="1" t="s">
        <v>79</v>
      </c>
      <c r="O333" s="1" t="s">
        <v>74</v>
      </c>
      <c r="P333" s="1" t="s">
        <v>74</v>
      </c>
      <c r="Q333" s="1" t="s">
        <v>74</v>
      </c>
      <c r="R333" s="1" t="s">
        <v>74</v>
      </c>
      <c r="S333" s="1" t="s">
        <v>74</v>
      </c>
      <c r="T333" s="1" t="s">
        <v>5950</v>
      </c>
      <c r="U333" s="1" t="s">
        <v>5951</v>
      </c>
      <c r="V333" s="1" t="s">
        <v>5952</v>
      </c>
      <c r="W333" s="1" t="s">
        <v>5953</v>
      </c>
      <c r="X333" s="1" t="s">
        <v>5954</v>
      </c>
      <c r="Y333" s="1" t="s">
        <v>5955</v>
      </c>
      <c r="Z333" s="1" t="s">
        <v>5956</v>
      </c>
      <c r="AA333" s="1" t="s">
        <v>5957</v>
      </c>
      <c r="AB333" s="1" t="s">
        <v>5958</v>
      </c>
      <c r="AC333" s="1" t="s">
        <v>5959</v>
      </c>
      <c r="AD333" s="1" t="s">
        <v>5959</v>
      </c>
      <c r="AE333" s="1" t="s">
        <v>5960</v>
      </c>
      <c r="AF333" s="1" t="s">
        <v>74</v>
      </c>
      <c r="AG333" s="1">
        <v>96</v>
      </c>
      <c r="AH333" s="1">
        <v>0</v>
      </c>
      <c r="AI333" s="1">
        <v>0</v>
      </c>
      <c r="AJ333" s="1">
        <v>0</v>
      </c>
      <c r="AK333" s="1">
        <v>0</v>
      </c>
      <c r="AL333" s="1" t="s">
        <v>136</v>
      </c>
      <c r="AM333" s="1" t="s">
        <v>137</v>
      </c>
      <c r="AN333" s="1" t="s">
        <v>138</v>
      </c>
      <c r="AO333" s="1" t="s">
        <v>240</v>
      </c>
      <c r="AP333" s="1" t="s">
        <v>241</v>
      </c>
      <c r="AQ333" s="1" t="s">
        <v>74</v>
      </c>
      <c r="AR333" s="1" t="s">
        <v>242</v>
      </c>
      <c r="AS333" s="1" t="s">
        <v>243</v>
      </c>
      <c r="AT333" s="1" t="s">
        <v>305</v>
      </c>
      <c r="AU333" s="1">
        <v>2024</v>
      </c>
      <c r="AV333" s="1">
        <v>206</v>
      </c>
      <c r="AW333" s="1" t="s">
        <v>74</v>
      </c>
      <c r="AX333" s="1" t="s">
        <v>74</v>
      </c>
      <c r="AY333" s="1" t="s">
        <v>74</v>
      </c>
      <c r="AZ333" s="1" t="s">
        <v>74</v>
      </c>
      <c r="BA333" s="1" t="s">
        <v>74</v>
      </c>
      <c r="BB333" s="1" t="s">
        <v>74</v>
      </c>
      <c r="BC333" s="1" t="s">
        <v>74</v>
      </c>
      <c r="BD333" s="1">
        <v>116783</v>
      </c>
      <c r="BE333" s="1" t="s">
        <v>5961</v>
      </c>
      <c r="BF333" s="1" t="str">
        <f>HYPERLINK("http://dx.doi.org/10.1016/j.marpolbul.2024.116783","http://dx.doi.org/10.1016/j.marpolbul.2024.116783")</f>
        <v>http://dx.doi.org/10.1016/j.marpolbul.2024.116783</v>
      </c>
      <c r="BG333" s="1" t="s">
        <v>74</v>
      </c>
      <c r="BH333" s="1" t="s">
        <v>5962</v>
      </c>
      <c r="BI333" s="1">
        <v>14</v>
      </c>
      <c r="BJ333" s="1" t="s">
        <v>247</v>
      </c>
      <c r="BK333" s="1" t="s">
        <v>96</v>
      </c>
      <c r="BL333" s="1" t="s">
        <v>248</v>
      </c>
      <c r="BM333" s="1" t="s">
        <v>5963</v>
      </c>
      <c r="BN333" s="1">
        <v>39089206</v>
      </c>
      <c r="BO333" s="1" t="s">
        <v>74</v>
      </c>
      <c r="BP333" s="1" t="s">
        <v>74</v>
      </c>
      <c r="BQ333" s="1" t="s">
        <v>74</v>
      </c>
      <c r="BR333" s="1" t="s">
        <v>98</v>
      </c>
      <c r="BS333" s="1" t="s">
        <v>5964</v>
      </c>
      <c r="BT333" s="1" t="str">
        <f>HYPERLINK("https%3A%2F%2Fwww.webofscience.com%2Fwos%2Fwoscc%2Ffull-record%2FWOS:001286421600001","View Full Record in Web of Science")</f>
        <v>View Full Record in Web of Science</v>
      </c>
    </row>
    <row r="334" spans="1:72">
      <c r="A334" s="1" t="s">
        <v>72</v>
      </c>
      <c r="B334" s="1" t="s">
        <v>5965</v>
      </c>
      <c r="C334" s="1" t="s">
        <v>74</v>
      </c>
      <c r="D334" s="1" t="s">
        <v>74</v>
      </c>
      <c r="E334" s="1" t="s">
        <v>74</v>
      </c>
      <c r="F334" s="1" t="s">
        <v>5966</v>
      </c>
      <c r="G334" s="1" t="s">
        <v>74</v>
      </c>
      <c r="H334" s="1" t="s">
        <v>74</v>
      </c>
      <c r="I334" s="1" t="s">
        <v>5967</v>
      </c>
      <c r="J334" s="1" t="s">
        <v>595</v>
      </c>
      <c r="K334" s="1" t="s">
        <v>74</v>
      </c>
      <c r="L334" s="1" t="s">
        <v>74</v>
      </c>
      <c r="M334" s="1" t="s">
        <v>78</v>
      </c>
      <c r="N334" s="1" t="s">
        <v>79</v>
      </c>
      <c r="O334" s="1" t="s">
        <v>74</v>
      </c>
      <c r="P334" s="1" t="s">
        <v>74</v>
      </c>
      <c r="Q334" s="1" t="s">
        <v>74</v>
      </c>
      <c r="R334" s="1" t="s">
        <v>74</v>
      </c>
      <c r="S334" s="1" t="s">
        <v>74</v>
      </c>
      <c r="T334" s="1" t="s">
        <v>5968</v>
      </c>
      <c r="U334" s="1" t="s">
        <v>5969</v>
      </c>
      <c r="V334" s="1" t="s">
        <v>5970</v>
      </c>
      <c r="W334" s="1" t="s">
        <v>5971</v>
      </c>
      <c r="X334" s="1" t="s">
        <v>5972</v>
      </c>
      <c r="Y334" s="1" t="s">
        <v>5973</v>
      </c>
      <c r="Z334" s="1" t="s">
        <v>5974</v>
      </c>
      <c r="AA334" s="1" t="s">
        <v>74</v>
      </c>
      <c r="AB334" s="1" t="s">
        <v>5975</v>
      </c>
      <c r="AC334" s="1" t="s">
        <v>5976</v>
      </c>
      <c r="AD334" s="1" t="s">
        <v>5977</v>
      </c>
      <c r="AE334" s="1" t="s">
        <v>5978</v>
      </c>
      <c r="AF334" s="1" t="s">
        <v>74</v>
      </c>
      <c r="AG334" s="1">
        <v>56</v>
      </c>
      <c r="AH334" s="1">
        <v>16</v>
      </c>
      <c r="AI334" s="1">
        <v>21</v>
      </c>
      <c r="AJ334" s="1">
        <v>1</v>
      </c>
      <c r="AK334" s="1">
        <v>31</v>
      </c>
      <c r="AL334" s="1" t="s">
        <v>112</v>
      </c>
      <c r="AM334" s="1" t="s">
        <v>191</v>
      </c>
      <c r="AN334" s="1" t="s">
        <v>192</v>
      </c>
      <c r="AO334" s="1" t="s">
        <v>608</v>
      </c>
      <c r="AP334" s="1" t="s">
        <v>609</v>
      </c>
      <c r="AQ334" s="1" t="s">
        <v>74</v>
      </c>
      <c r="AR334" s="1" t="s">
        <v>595</v>
      </c>
      <c r="AS334" s="1" t="s">
        <v>610</v>
      </c>
      <c r="AT334" s="1" t="s">
        <v>119</v>
      </c>
      <c r="AU334" s="1">
        <v>2012</v>
      </c>
      <c r="AV334" s="1">
        <v>21</v>
      </c>
      <c r="AW334" s="1">
        <v>6</v>
      </c>
      <c r="AX334" s="1" t="s">
        <v>74</v>
      </c>
      <c r="AY334" s="1" t="s">
        <v>74</v>
      </c>
      <c r="AZ334" s="1" t="s">
        <v>225</v>
      </c>
      <c r="BA334" s="1" t="s">
        <v>74</v>
      </c>
      <c r="BB334" s="1">
        <v>1593</v>
      </c>
      <c r="BC334" s="1">
        <v>1602</v>
      </c>
      <c r="BD334" s="1" t="s">
        <v>74</v>
      </c>
      <c r="BE334" s="1" t="s">
        <v>5979</v>
      </c>
      <c r="BF334" s="1" t="str">
        <f>HYPERLINK("http://dx.doi.org/10.1007/s10646-012-0938-8","http://dx.doi.org/10.1007/s10646-012-0938-8")</f>
        <v>http://dx.doi.org/10.1007/s10646-012-0938-8</v>
      </c>
      <c r="BG334" s="1" t="s">
        <v>74</v>
      </c>
      <c r="BH334" s="1" t="s">
        <v>74</v>
      </c>
      <c r="BI334" s="1">
        <v>10</v>
      </c>
      <c r="BJ334" s="1" t="s">
        <v>612</v>
      </c>
      <c r="BK334" s="1" t="s">
        <v>96</v>
      </c>
      <c r="BL334" s="1" t="s">
        <v>122</v>
      </c>
      <c r="BM334" s="1" t="s">
        <v>5980</v>
      </c>
      <c r="BN334" s="1">
        <v>22678552</v>
      </c>
      <c r="BO334" s="1" t="s">
        <v>74</v>
      </c>
      <c r="BP334" s="1" t="s">
        <v>74</v>
      </c>
      <c r="BQ334" s="1" t="s">
        <v>74</v>
      </c>
      <c r="BR334" s="1" t="s">
        <v>98</v>
      </c>
      <c r="BS334" s="1" t="s">
        <v>5981</v>
      </c>
      <c r="BT334" s="1" t="str">
        <f>HYPERLINK("https%3A%2F%2Fwww.webofscience.com%2Fwos%2Fwoscc%2Ffull-record%2FWOS:000306592100003","View Full Record in Web of Science")</f>
        <v>View Full Record in Web of Science</v>
      </c>
    </row>
    <row r="335" spans="1:72">
      <c r="A335" s="1" t="s">
        <v>72</v>
      </c>
      <c r="B335" s="1" t="s">
        <v>5982</v>
      </c>
      <c r="C335" s="1" t="s">
        <v>74</v>
      </c>
      <c r="D335" s="1" t="s">
        <v>74</v>
      </c>
      <c r="E335" s="1" t="s">
        <v>74</v>
      </c>
      <c r="F335" s="1" t="s">
        <v>5983</v>
      </c>
      <c r="G335" s="1" t="s">
        <v>74</v>
      </c>
      <c r="H335" s="1" t="s">
        <v>74</v>
      </c>
      <c r="I335" s="1" t="s">
        <v>5984</v>
      </c>
      <c r="J335" s="1" t="s">
        <v>998</v>
      </c>
      <c r="K335" s="1" t="s">
        <v>74</v>
      </c>
      <c r="L335" s="1" t="s">
        <v>74</v>
      </c>
      <c r="M335" s="1" t="s">
        <v>78</v>
      </c>
      <c r="N335" s="1" t="s">
        <v>79</v>
      </c>
      <c r="O335" s="1" t="s">
        <v>74</v>
      </c>
      <c r="P335" s="1" t="s">
        <v>74</v>
      </c>
      <c r="Q335" s="1" t="s">
        <v>74</v>
      </c>
      <c r="R335" s="1" t="s">
        <v>74</v>
      </c>
      <c r="S335" s="1" t="s">
        <v>74</v>
      </c>
      <c r="T335" s="1" t="s">
        <v>74</v>
      </c>
      <c r="U335" s="1" t="s">
        <v>5985</v>
      </c>
      <c r="V335" s="1" t="s">
        <v>5986</v>
      </c>
      <c r="W335" s="1" t="s">
        <v>5987</v>
      </c>
      <c r="X335" s="1" t="s">
        <v>5988</v>
      </c>
      <c r="Y335" s="1" t="s">
        <v>5989</v>
      </c>
      <c r="Z335" s="1" t="s">
        <v>5990</v>
      </c>
      <c r="AA335" s="1" t="s">
        <v>5991</v>
      </c>
      <c r="AB335" s="1" t="s">
        <v>5992</v>
      </c>
      <c r="AC335" s="1" t="s">
        <v>5993</v>
      </c>
      <c r="AD335" s="1" t="s">
        <v>5994</v>
      </c>
      <c r="AE335" s="1" t="s">
        <v>5995</v>
      </c>
      <c r="AF335" s="1" t="s">
        <v>74</v>
      </c>
      <c r="AG335" s="1">
        <v>37</v>
      </c>
      <c r="AH335" s="1">
        <v>27</v>
      </c>
      <c r="AI335" s="1">
        <v>30</v>
      </c>
      <c r="AJ335" s="1">
        <v>0</v>
      </c>
      <c r="AK335" s="1">
        <v>19</v>
      </c>
      <c r="AL335" s="1" t="s">
        <v>112</v>
      </c>
      <c r="AM335" s="1" t="s">
        <v>113</v>
      </c>
      <c r="AN335" s="1" t="s">
        <v>469</v>
      </c>
      <c r="AO335" s="1" t="s">
        <v>1009</v>
      </c>
      <c r="AP335" s="1" t="s">
        <v>5996</v>
      </c>
      <c r="AQ335" s="1" t="s">
        <v>74</v>
      </c>
      <c r="AR335" s="1" t="s">
        <v>1010</v>
      </c>
      <c r="AS335" s="1" t="s">
        <v>1011</v>
      </c>
      <c r="AT335" s="1" t="s">
        <v>1470</v>
      </c>
      <c r="AU335" s="1">
        <v>2009</v>
      </c>
      <c r="AV335" s="1">
        <v>56</v>
      </c>
      <c r="AW335" s="1">
        <v>1</v>
      </c>
      <c r="AX335" s="1" t="s">
        <v>74</v>
      </c>
      <c r="AY335" s="1" t="s">
        <v>74</v>
      </c>
      <c r="AZ335" s="1" t="s">
        <v>74</v>
      </c>
      <c r="BA335" s="1" t="s">
        <v>74</v>
      </c>
      <c r="BB335" s="1">
        <v>60</v>
      </c>
      <c r="BC335" s="1">
        <v>66</v>
      </c>
      <c r="BD335" s="1" t="s">
        <v>74</v>
      </c>
      <c r="BE335" s="1" t="s">
        <v>5997</v>
      </c>
      <c r="BF335" s="1" t="str">
        <f>HYPERLINK("http://dx.doi.org/10.1007/s00244-008-9156-z","http://dx.doi.org/10.1007/s00244-008-9156-z")</f>
        <v>http://dx.doi.org/10.1007/s00244-008-9156-z</v>
      </c>
      <c r="BG335" s="1" t="s">
        <v>74</v>
      </c>
      <c r="BH335" s="1" t="s">
        <v>74</v>
      </c>
      <c r="BI335" s="1">
        <v>7</v>
      </c>
      <c r="BJ335" s="1" t="s">
        <v>121</v>
      </c>
      <c r="BK335" s="1" t="s">
        <v>96</v>
      </c>
      <c r="BL335" s="1" t="s">
        <v>122</v>
      </c>
      <c r="BM335" s="1" t="s">
        <v>5998</v>
      </c>
      <c r="BN335" s="1">
        <v>18363029</v>
      </c>
      <c r="BO335" s="1" t="s">
        <v>74</v>
      </c>
      <c r="BP335" s="1" t="s">
        <v>74</v>
      </c>
      <c r="BQ335" s="1" t="s">
        <v>74</v>
      </c>
      <c r="BR335" s="1" t="s">
        <v>98</v>
      </c>
      <c r="BS335" s="1" t="s">
        <v>5999</v>
      </c>
      <c r="BT335" s="1" t="str">
        <f>HYPERLINK("https%3A%2F%2Fwww.webofscience.com%2Fwos%2Fwoscc%2Ffull-record%2FWOS:000261938500007","View Full Record in Web of Science")</f>
        <v>View Full Record in Web of Science</v>
      </c>
    </row>
    <row r="336" spans="1:72">
      <c r="A336" s="1" t="s">
        <v>72</v>
      </c>
      <c r="B336" s="1" t="s">
        <v>6000</v>
      </c>
      <c r="C336" s="1" t="s">
        <v>74</v>
      </c>
      <c r="D336" s="1" t="s">
        <v>74</v>
      </c>
      <c r="E336" s="1" t="s">
        <v>74</v>
      </c>
      <c r="F336" s="1" t="s">
        <v>6001</v>
      </c>
      <c r="G336" s="1" t="s">
        <v>74</v>
      </c>
      <c r="H336" s="1" t="s">
        <v>74</v>
      </c>
      <c r="I336" s="1" t="s">
        <v>6002</v>
      </c>
      <c r="J336" s="1" t="s">
        <v>232</v>
      </c>
      <c r="K336" s="1" t="s">
        <v>74</v>
      </c>
      <c r="L336" s="1" t="s">
        <v>74</v>
      </c>
      <c r="M336" s="1" t="s">
        <v>78</v>
      </c>
      <c r="N336" s="1" t="s">
        <v>79</v>
      </c>
      <c r="O336" s="1" t="s">
        <v>74</v>
      </c>
      <c r="P336" s="1" t="s">
        <v>74</v>
      </c>
      <c r="Q336" s="1" t="s">
        <v>74</v>
      </c>
      <c r="R336" s="1" t="s">
        <v>74</v>
      </c>
      <c r="S336" s="1" t="s">
        <v>74</v>
      </c>
      <c r="T336" s="1" t="s">
        <v>6003</v>
      </c>
      <c r="U336" s="1" t="s">
        <v>6004</v>
      </c>
      <c r="V336" s="1" t="s">
        <v>6005</v>
      </c>
      <c r="W336" s="1" t="s">
        <v>6006</v>
      </c>
      <c r="X336" s="1" t="s">
        <v>6007</v>
      </c>
      <c r="Y336" s="1" t="s">
        <v>6008</v>
      </c>
      <c r="Z336" s="1" t="s">
        <v>6009</v>
      </c>
      <c r="AA336" s="1" t="s">
        <v>74</v>
      </c>
      <c r="AB336" s="1" t="s">
        <v>74</v>
      </c>
      <c r="AC336" s="1" t="s">
        <v>6010</v>
      </c>
      <c r="AD336" s="1" t="s">
        <v>6011</v>
      </c>
      <c r="AE336" s="1" t="s">
        <v>6012</v>
      </c>
      <c r="AF336" s="1" t="s">
        <v>74</v>
      </c>
      <c r="AG336" s="1">
        <v>37</v>
      </c>
      <c r="AH336" s="1">
        <v>28</v>
      </c>
      <c r="AI336" s="1">
        <v>31</v>
      </c>
      <c r="AJ336" s="1">
        <v>1</v>
      </c>
      <c r="AK336" s="1">
        <v>54</v>
      </c>
      <c r="AL336" s="1" t="s">
        <v>136</v>
      </c>
      <c r="AM336" s="1" t="s">
        <v>137</v>
      </c>
      <c r="AN336" s="1" t="s">
        <v>138</v>
      </c>
      <c r="AO336" s="1" t="s">
        <v>240</v>
      </c>
      <c r="AP336" s="1" t="s">
        <v>241</v>
      </c>
      <c r="AQ336" s="1" t="s">
        <v>74</v>
      </c>
      <c r="AR336" s="1" t="s">
        <v>242</v>
      </c>
      <c r="AS336" s="1" t="s">
        <v>243</v>
      </c>
      <c r="AT336" s="1" t="s">
        <v>765</v>
      </c>
      <c r="AU336" s="1">
        <v>2020</v>
      </c>
      <c r="AV336" s="1">
        <v>156</v>
      </c>
      <c r="AW336" s="1" t="s">
        <v>74</v>
      </c>
      <c r="AX336" s="1" t="s">
        <v>74</v>
      </c>
      <c r="AY336" s="1" t="s">
        <v>74</v>
      </c>
      <c r="AZ336" s="1" t="s">
        <v>74</v>
      </c>
      <c r="BA336" s="1" t="s">
        <v>74</v>
      </c>
      <c r="BB336" s="1" t="s">
        <v>74</v>
      </c>
      <c r="BC336" s="1" t="s">
        <v>74</v>
      </c>
      <c r="BD336" s="1">
        <v>111246</v>
      </c>
      <c r="BE336" s="1" t="s">
        <v>6013</v>
      </c>
      <c r="BF336" s="1" t="str">
        <f>HYPERLINK("http://dx.doi.org/10.1016/j.marpolbul.2020.111246","http://dx.doi.org/10.1016/j.marpolbul.2020.111246")</f>
        <v>http://dx.doi.org/10.1016/j.marpolbul.2020.111246</v>
      </c>
      <c r="BG336" s="1" t="s">
        <v>74</v>
      </c>
      <c r="BH336" s="1" t="s">
        <v>74</v>
      </c>
      <c r="BI336" s="1">
        <v>7</v>
      </c>
      <c r="BJ336" s="1" t="s">
        <v>247</v>
      </c>
      <c r="BK336" s="1" t="s">
        <v>96</v>
      </c>
      <c r="BL336" s="1" t="s">
        <v>248</v>
      </c>
      <c r="BM336" s="1" t="s">
        <v>6014</v>
      </c>
      <c r="BN336" s="1">
        <v>32510388</v>
      </c>
      <c r="BO336" s="1" t="s">
        <v>74</v>
      </c>
      <c r="BP336" s="1" t="s">
        <v>74</v>
      </c>
      <c r="BQ336" s="1" t="s">
        <v>74</v>
      </c>
      <c r="BR336" s="1" t="s">
        <v>98</v>
      </c>
      <c r="BS336" s="1" t="s">
        <v>6015</v>
      </c>
      <c r="BT336" s="1" t="str">
        <f>HYPERLINK("https%3A%2F%2Fwww.webofscience.com%2Fwos%2Fwoscc%2Ffull-record%2FWOS:000539160000027","View Full Record in Web of Science")</f>
        <v>View Full Record in Web of Science</v>
      </c>
    </row>
    <row r="337" spans="1:72">
      <c r="A337" s="1" t="s">
        <v>72</v>
      </c>
      <c r="B337" s="1" t="s">
        <v>6016</v>
      </c>
      <c r="C337" s="1" t="s">
        <v>74</v>
      </c>
      <c r="D337" s="1" t="s">
        <v>74</v>
      </c>
      <c r="E337" s="1" t="s">
        <v>74</v>
      </c>
      <c r="F337" s="1" t="s">
        <v>6017</v>
      </c>
      <c r="G337" s="1" t="s">
        <v>74</v>
      </c>
      <c r="H337" s="1" t="s">
        <v>74</v>
      </c>
      <c r="I337" s="1" t="s">
        <v>6018</v>
      </c>
      <c r="J337" s="1" t="s">
        <v>641</v>
      </c>
      <c r="K337" s="1" t="s">
        <v>74</v>
      </c>
      <c r="L337" s="1" t="s">
        <v>74</v>
      </c>
      <c r="M337" s="1" t="s">
        <v>78</v>
      </c>
      <c r="N337" s="1" t="s">
        <v>79</v>
      </c>
      <c r="O337" s="1" t="s">
        <v>74</v>
      </c>
      <c r="P337" s="1" t="s">
        <v>74</v>
      </c>
      <c r="Q337" s="1" t="s">
        <v>74</v>
      </c>
      <c r="R337" s="1" t="s">
        <v>74</v>
      </c>
      <c r="S337" s="1" t="s">
        <v>74</v>
      </c>
      <c r="T337" s="1" t="s">
        <v>6019</v>
      </c>
      <c r="U337" s="1" t="s">
        <v>6020</v>
      </c>
      <c r="V337" s="1" t="s">
        <v>6021</v>
      </c>
      <c r="W337" s="1" t="s">
        <v>6022</v>
      </c>
      <c r="X337" s="1" t="s">
        <v>6023</v>
      </c>
      <c r="Y337" s="1" t="s">
        <v>6024</v>
      </c>
      <c r="Z337" s="1" t="s">
        <v>6025</v>
      </c>
      <c r="AA337" s="1" t="s">
        <v>6026</v>
      </c>
      <c r="AB337" s="1" t="s">
        <v>6027</v>
      </c>
      <c r="AC337" s="1" t="s">
        <v>6028</v>
      </c>
      <c r="AD337" s="1" t="s">
        <v>6029</v>
      </c>
      <c r="AE337" s="1" t="s">
        <v>6030</v>
      </c>
      <c r="AF337" s="1" t="s">
        <v>74</v>
      </c>
      <c r="AG337" s="1">
        <v>99</v>
      </c>
      <c r="AH337" s="1">
        <v>29</v>
      </c>
      <c r="AI337" s="1">
        <v>29</v>
      </c>
      <c r="AJ337" s="1">
        <v>8</v>
      </c>
      <c r="AK337" s="1">
        <v>65</v>
      </c>
      <c r="AL337" s="1" t="s">
        <v>650</v>
      </c>
      <c r="AM337" s="1" t="s">
        <v>651</v>
      </c>
      <c r="AN337" s="1" t="s">
        <v>652</v>
      </c>
      <c r="AO337" s="1" t="s">
        <v>653</v>
      </c>
      <c r="AP337" s="1" t="s">
        <v>654</v>
      </c>
      <c r="AQ337" s="1" t="s">
        <v>74</v>
      </c>
      <c r="AR337" s="1" t="s">
        <v>655</v>
      </c>
      <c r="AS337" s="1" t="s">
        <v>656</v>
      </c>
      <c r="AT337" s="1" t="s">
        <v>765</v>
      </c>
      <c r="AU337" s="1">
        <v>2021</v>
      </c>
      <c r="AV337" s="1">
        <v>236</v>
      </c>
      <c r="AW337" s="1" t="s">
        <v>74</v>
      </c>
      <c r="AX337" s="1" t="s">
        <v>74</v>
      </c>
      <c r="AY337" s="1" t="s">
        <v>74</v>
      </c>
      <c r="AZ337" s="1" t="s">
        <v>74</v>
      </c>
      <c r="BA337" s="1" t="s">
        <v>74</v>
      </c>
      <c r="BB337" s="1" t="s">
        <v>74</v>
      </c>
      <c r="BC337" s="1" t="s">
        <v>74</v>
      </c>
      <c r="BD337" s="1">
        <v>105845</v>
      </c>
      <c r="BE337" s="1" t="s">
        <v>6031</v>
      </c>
      <c r="BF337" s="1" t="str">
        <f>HYPERLINK("http://dx.doi.org/10.1016/j.aquatox.2021.105845","http://dx.doi.org/10.1016/j.aquatox.2021.105845")</f>
        <v>http://dx.doi.org/10.1016/j.aquatox.2021.105845</v>
      </c>
      <c r="BG337" s="1" t="s">
        <v>74</v>
      </c>
      <c r="BH337" s="1" t="s">
        <v>3508</v>
      </c>
      <c r="BI337" s="1">
        <v>11</v>
      </c>
      <c r="BJ337" s="1" t="s">
        <v>659</v>
      </c>
      <c r="BK337" s="1" t="s">
        <v>96</v>
      </c>
      <c r="BL337" s="1" t="s">
        <v>659</v>
      </c>
      <c r="BM337" s="1" t="s">
        <v>6032</v>
      </c>
      <c r="BN337" s="1">
        <v>33984608</v>
      </c>
      <c r="BO337" s="1" t="s">
        <v>74</v>
      </c>
      <c r="BP337" s="1" t="s">
        <v>74</v>
      </c>
      <c r="BQ337" s="1" t="s">
        <v>74</v>
      </c>
      <c r="BR337" s="1" t="s">
        <v>98</v>
      </c>
      <c r="BS337" s="1" t="s">
        <v>6033</v>
      </c>
      <c r="BT337" s="1" t="str">
        <f>HYPERLINK("https%3A%2F%2Fwww.webofscience.com%2Fwos%2Fwoscc%2Ffull-record%2FWOS:000663678600011","View Full Record in Web of Science")</f>
        <v>View Full Record in Web of Science</v>
      </c>
    </row>
    <row r="338" spans="1:72">
      <c r="A338" s="1" t="s">
        <v>72</v>
      </c>
      <c r="B338" s="1" t="s">
        <v>6034</v>
      </c>
      <c r="C338" s="1" t="s">
        <v>74</v>
      </c>
      <c r="D338" s="1" t="s">
        <v>74</v>
      </c>
      <c r="E338" s="1" t="s">
        <v>74</v>
      </c>
      <c r="F338" s="1" t="s">
        <v>6035</v>
      </c>
      <c r="G338" s="1" t="s">
        <v>74</v>
      </c>
      <c r="H338" s="1" t="s">
        <v>74</v>
      </c>
      <c r="I338" s="1" t="s">
        <v>6036</v>
      </c>
      <c r="J338" s="1" t="s">
        <v>6037</v>
      </c>
      <c r="K338" s="1" t="s">
        <v>74</v>
      </c>
      <c r="L338" s="1" t="s">
        <v>74</v>
      </c>
      <c r="M338" s="1" t="s">
        <v>78</v>
      </c>
      <c r="N338" s="1" t="s">
        <v>79</v>
      </c>
      <c r="O338" s="1" t="s">
        <v>74</v>
      </c>
      <c r="P338" s="1" t="s">
        <v>74</v>
      </c>
      <c r="Q338" s="1" t="s">
        <v>74</v>
      </c>
      <c r="R338" s="1" t="s">
        <v>74</v>
      </c>
      <c r="S338" s="1" t="s">
        <v>74</v>
      </c>
      <c r="T338" s="1" t="s">
        <v>6038</v>
      </c>
      <c r="U338" s="1" t="s">
        <v>6039</v>
      </c>
      <c r="V338" s="1" t="s">
        <v>6040</v>
      </c>
      <c r="W338" s="1" t="s">
        <v>6041</v>
      </c>
      <c r="X338" s="1" t="s">
        <v>4950</v>
      </c>
      <c r="Y338" s="1" t="s">
        <v>6042</v>
      </c>
      <c r="Z338" s="1" t="s">
        <v>6043</v>
      </c>
      <c r="AA338" s="1" t="s">
        <v>74</v>
      </c>
      <c r="AB338" s="1" t="s">
        <v>6044</v>
      </c>
      <c r="AC338" s="1" t="s">
        <v>6045</v>
      </c>
      <c r="AD338" s="1" t="s">
        <v>6046</v>
      </c>
      <c r="AE338" s="1" t="s">
        <v>6047</v>
      </c>
      <c r="AF338" s="1" t="s">
        <v>74</v>
      </c>
      <c r="AG338" s="1">
        <v>43</v>
      </c>
      <c r="AH338" s="1">
        <v>7</v>
      </c>
      <c r="AI338" s="1">
        <v>7</v>
      </c>
      <c r="AJ338" s="1">
        <v>1</v>
      </c>
      <c r="AK338" s="1">
        <v>17</v>
      </c>
      <c r="AL338" s="1" t="s">
        <v>650</v>
      </c>
      <c r="AM338" s="1" t="s">
        <v>651</v>
      </c>
      <c r="AN338" s="1" t="s">
        <v>652</v>
      </c>
      <c r="AO338" s="1" t="s">
        <v>6048</v>
      </c>
      <c r="AP338" s="1" t="s">
        <v>6049</v>
      </c>
      <c r="AQ338" s="1" t="s">
        <v>74</v>
      </c>
      <c r="AR338" s="1" t="s">
        <v>6050</v>
      </c>
      <c r="AS338" s="1" t="s">
        <v>6051</v>
      </c>
      <c r="AT338" s="1" t="s">
        <v>6052</v>
      </c>
      <c r="AU338" s="1">
        <v>2020</v>
      </c>
      <c r="AV338" s="1">
        <v>419</v>
      </c>
      <c r="AW338" s="1" t="s">
        <v>74</v>
      </c>
      <c r="AX338" s="1" t="s">
        <v>74</v>
      </c>
      <c r="AY338" s="1" t="s">
        <v>74</v>
      </c>
      <c r="AZ338" s="1" t="s">
        <v>74</v>
      </c>
      <c r="BA338" s="1" t="s">
        <v>74</v>
      </c>
      <c r="BB338" s="1" t="s">
        <v>74</v>
      </c>
      <c r="BC338" s="1" t="s">
        <v>74</v>
      </c>
      <c r="BD338" s="1">
        <v>108957</v>
      </c>
      <c r="BE338" s="1" t="s">
        <v>6053</v>
      </c>
      <c r="BF338" s="1" t="str">
        <f>HYPERLINK("http://dx.doi.org/10.1016/j.ecolmodel.2020.108957","http://dx.doi.org/10.1016/j.ecolmodel.2020.108957")</f>
        <v>http://dx.doi.org/10.1016/j.ecolmodel.2020.108957</v>
      </c>
      <c r="BG338" s="1" t="s">
        <v>74</v>
      </c>
      <c r="BH338" s="1" t="s">
        <v>74</v>
      </c>
      <c r="BI338" s="1">
        <v>7</v>
      </c>
      <c r="BJ338" s="1" t="s">
        <v>6054</v>
      </c>
      <c r="BK338" s="1" t="s">
        <v>96</v>
      </c>
      <c r="BL338" s="1" t="s">
        <v>145</v>
      </c>
      <c r="BM338" s="1" t="s">
        <v>6055</v>
      </c>
      <c r="BN338" s="1" t="s">
        <v>74</v>
      </c>
      <c r="BO338" s="1" t="s">
        <v>74</v>
      </c>
      <c r="BP338" s="1" t="s">
        <v>74</v>
      </c>
      <c r="BQ338" s="1" t="s">
        <v>74</v>
      </c>
      <c r="BR338" s="1" t="s">
        <v>98</v>
      </c>
      <c r="BS338" s="1" t="s">
        <v>6056</v>
      </c>
      <c r="BT338" s="1" t="str">
        <f>HYPERLINK("https%3A%2F%2Fwww.webofscience.com%2Fwos%2Fwoscc%2Ffull-record%2FWOS:000518669200002","View Full Record in Web of Science")</f>
        <v>View Full Record in Web of Science</v>
      </c>
    </row>
    <row r="339" spans="1:72">
      <c r="A339" s="1" t="s">
        <v>72</v>
      </c>
      <c r="B339" s="1" t="s">
        <v>6057</v>
      </c>
      <c r="C339" s="1" t="s">
        <v>74</v>
      </c>
      <c r="D339" s="1" t="s">
        <v>74</v>
      </c>
      <c r="E339" s="1" t="s">
        <v>74</v>
      </c>
      <c r="F339" s="1" t="s">
        <v>6058</v>
      </c>
      <c r="G339" s="1" t="s">
        <v>74</v>
      </c>
      <c r="H339" s="1" t="s">
        <v>74</v>
      </c>
      <c r="I339" s="1" t="s">
        <v>6059</v>
      </c>
      <c r="J339" s="1" t="s">
        <v>421</v>
      </c>
      <c r="K339" s="1" t="s">
        <v>74</v>
      </c>
      <c r="L339" s="1" t="s">
        <v>74</v>
      </c>
      <c r="M339" s="1" t="s">
        <v>78</v>
      </c>
      <c r="N339" s="1" t="s">
        <v>79</v>
      </c>
      <c r="O339" s="1" t="s">
        <v>74</v>
      </c>
      <c r="P339" s="1" t="s">
        <v>74</v>
      </c>
      <c r="Q339" s="1" t="s">
        <v>74</v>
      </c>
      <c r="R339" s="1" t="s">
        <v>74</v>
      </c>
      <c r="S339" s="1" t="s">
        <v>74</v>
      </c>
      <c r="T339" s="1" t="s">
        <v>6060</v>
      </c>
      <c r="U339" s="1" t="s">
        <v>6061</v>
      </c>
      <c r="V339" s="1" t="s">
        <v>6062</v>
      </c>
      <c r="W339" s="1" t="s">
        <v>6063</v>
      </c>
      <c r="X339" s="1" t="s">
        <v>3500</v>
      </c>
      <c r="Y339" s="1" t="s">
        <v>3501</v>
      </c>
      <c r="Z339" s="1" t="s">
        <v>3502</v>
      </c>
      <c r="AA339" s="1" t="s">
        <v>3503</v>
      </c>
      <c r="AB339" s="1" t="s">
        <v>3504</v>
      </c>
      <c r="AC339" s="1" t="s">
        <v>6064</v>
      </c>
      <c r="AD339" s="1" t="s">
        <v>6065</v>
      </c>
      <c r="AE339" s="1" t="s">
        <v>6066</v>
      </c>
      <c r="AF339" s="1" t="s">
        <v>74</v>
      </c>
      <c r="AG339" s="1">
        <v>54</v>
      </c>
      <c r="AH339" s="1">
        <v>7</v>
      </c>
      <c r="AI339" s="1">
        <v>7</v>
      </c>
      <c r="AJ339" s="1">
        <v>1</v>
      </c>
      <c r="AK339" s="1">
        <v>12</v>
      </c>
      <c r="AL339" s="1" t="s">
        <v>430</v>
      </c>
      <c r="AM339" s="1" t="s">
        <v>137</v>
      </c>
      <c r="AN339" s="1" t="s">
        <v>431</v>
      </c>
      <c r="AO339" s="1" t="s">
        <v>432</v>
      </c>
      <c r="AP339" s="1" t="s">
        <v>1394</v>
      </c>
      <c r="AQ339" s="1" t="s">
        <v>74</v>
      </c>
      <c r="AR339" s="1" t="s">
        <v>433</v>
      </c>
      <c r="AS339" s="1" t="s">
        <v>434</v>
      </c>
      <c r="AT339" s="1" t="s">
        <v>170</v>
      </c>
      <c r="AU339" s="1">
        <v>2020</v>
      </c>
      <c r="AV339" s="1">
        <v>260</v>
      </c>
      <c r="AW339" s="1" t="s">
        <v>74</v>
      </c>
      <c r="AX339" s="1" t="s">
        <v>74</v>
      </c>
      <c r="AY339" s="1" t="s">
        <v>74</v>
      </c>
      <c r="AZ339" s="1" t="s">
        <v>74</v>
      </c>
      <c r="BA339" s="1" t="s">
        <v>74</v>
      </c>
      <c r="BB339" s="1" t="s">
        <v>74</v>
      </c>
      <c r="BC339" s="1" t="s">
        <v>74</v>
      </c>
      <c r="BD339" s="1">
        <v>113985</v>
      </c>
      <c r="BE339" s="1" t="s">
        <v>6067</v>
      </c>
      <c r="BF339" s="1" t="str">
        <f>HYPERLINK("http://dx.doi.org/10.1016/j.envpol.2020.113985","http://dx.doi.org/10.1016/j.envpol.2020.113985")</f>
        <v>http://dx.doi.org/10.1016/j.envpol.2020.113985</v>
      </c>
      <c r="BG339" s="1" t="s">
        <v>74</v>
      </c>
      <c r="BH339" s="1" t="s">
        <v>74</v>
      </c>
      <c r="BI339" s="1">
        <v>8</v>
      </c>
      <c r="BJ339" s="1" t="s">
        <v>144</v>
      </c>
      <c r="BK339" s="1" t="s">
        <v>96</v>
      </c>
      <c r="BL339" s="1" t="s">
        <v>145</v>
      </c>
      <c r="BM339" s="1" t="s">
        <v>6068</v>
      </c>
      <c r="BN339" s="1">
        <v>31995774</v>
      </c>
      <c r="BO339" s="1" t="s">
        <v>810</v>
      </c>
      <c r="BP339" s="1" t="s">
        <v>74</v>
      </c>
      <c r="BQ339" s="1" t="s">
        <v>74</v>
      </c>
      <c r="BR339" s="1" t="s">
        <v>98</v>
      </c>
      <c r="BS339" s="1" t="s">
        <v>6069</v>
      </c>
      <c r="BT339" s="1" t="str">
        <f>HYPERLINK("https%3A%2F%2Fwww.webofscience.com%2Fwos%2Fwoscc%2Ffull-record%2FWOS:000528537600076","View Full Record in Web of Science")</f>
        <v>View Full Record in Web of Science</v>
      </c>
    </row>
    <row r="340" spans="1:72">
      <c r="A340" s="1" t="s">
        <v>72</v>
      </c>
      <c r="B340" s="1" t="s">
        <v>6070</v>
      </c>
      <c r="C340" s="1" t="s">
        <v>74</v>
      </c>
      <c r="D340" s="1" t="s">
        <v>74</v>
      </c>
      <c r="E340" s="1" t="s">
        <v>74</v>
      </c>
      <c r="F340" s="1" t="s">
        <v>6070</v>
      </c>
      <c r="G340" s="1" t="s">
        <v>74</v>
      </c>
      <c r="H340" s="1" t="s">
        <v>74</v>
      </c>
      <c r="I340" s="1" t="s">
        <v>6071</v>
      </c>
      <c r="J340" s="1" t="s">
        <v>421</v>
      </c>
      <c r="K340" s="1" t="s">
        <v>74</v>
      </c>
      <c r="L340" s="1" t="s">
        <v>74</v>
      </c>
      <c r="M340" s="1" t="s">
        <v>78</v>
      </c>
      <c r="N340" s="1" t="s">
        <v>79</v>
      </c>
      <c r="O340" s="1" t="s">
        <v>74</v>
      </c>
      <c r="P340" s="1" t="s">
        <v>74</v>
      </c>
      <c r="Q340" s="1" t="s">
        <v>74</v>
      </c>
      <c r="R340" s="1" t="s">
        <v>74</v>
      </c>
      <c r="S340" s="1" t="s">
        <v>74</v>
      </c>
      <c r="T340" s="1" t="s">
        <v>6072</v>
      </c>
      <c r="U340" s="1" t="s">
        <v>6073</v>
      </c>
      <c r="V340" s="1" t="s">
        <v>6074</v>
      </c>
      <c r="W340" s="1" t="s">
        <v>6075</v>
      </c>
      <c r="X340" s="1" t="s">
        <v>6076</v>
      </c>
      <c r="Y340" s="1" t="s">
        <v>6077</v>
      </c>
      <c r="Z340" s="1" t="s">
        <v>74</v>
      </c>
      <c r="AA340" s="1" t="s">
        <v>1836</v>
      </c>
      <c r="AB340" s="1" t="s">
        <v>1837</v>
      </c>
      <c r="AC340" s="1" t="s">
        <v>74</v>
      </c>
      <c r="AD340" s="1" t="s">
        <v>74</v>
      </c>
      <c r="AE340" s="1" t="s">
        <v>74</v>
      </c>
      <c r="AF340" s="1" t="s">
        <v>74</v>
      </c>
      <c r="AG340" s="1">
        <v>26</v>
      </c>
      <c r="AH340" s="1">
        <v>38</v>
      </c>
      <c r="AI340" s="1">
        <v>39</v>
      </c>
      <c r="AJ340" s="1">
        <v>0</v>
      </c>
      <c r="AK340" s="1">
        <v>16</v>
      </c>
      <c r="AL340" s="1" t="s">
        <v>430</v>
      </c>
      <c r="AM340" s="1" t="s">
        <v>137</v>
      </c>
      <c r="AN340" s="1" t="s">
        <v>431</v>
      </c>
      <c r="AO340" s="1" t="s">
        <v>432</v>
      </c>
      <c r="AP340" s="1" t="s">
        <v>1394</v>
      </c>
      <c r="AQ340" s="1" t="s">
        <v>74</v>
      </c>
      <c r="AR340" s="1" t="s">
        <v>433</v>
      </c>
      <c r="AS340" s="1" t="s">
        <v>434</v>
      </c>
      <c r="AT340" s="1" t="s">
        <v>74</v>
      </c>
      <c r="AU340" s="1">
        <v>1996</v>
      </c>
      <c r="AV340" s="1">
        <v>91</v>
      </c>
      <c r="AW340" s="1">
        <v>1</v>
      </c>
      <c r="AX340" s="1" t="s">
        <v>74</v>
      </c>
      <c r="AY340" s="1" t="s">
        <v>74</v>
      </c>
      <c r="AZ340" s="1" t="s">
        <v>74</v>
      </c>
      <c r="BA340" s="1" t="s">
        <v>74</v>
      </c>
      <c r="BB340" s="1">
        <v>35</v>
      </c>
      <c r="BC340" s="1">
        <v>39</v>
      </c>
      <c r="BD340" s="1" t="s">
        <v>74</v>
      </c>
      <c r="BE340" s="1" t="s">
        <v>6078</v>
      </c>
      <c r="BF340" s="1" t="str">
        <f>HYPERLINK("http://dx.doi.org/10.1016/0269-7491(95)00031-L","http://dx.doi.org/10.1016/0269-7491(95)00031-L")</f>
        <v>http://dx.doi.org/10.1016/0269-7491(95)00031-L</v>
      </c>
      <c r="BG340" s="1" t="s">
        <v>74</v>
      </c>
      <c r="BH340" s="1" t="s">
        <v>74</v>
      </c>
      <c r="BI340" s="1">
        <v>5</v>
      </c>
      <c r="BJ340" s="1" t="s">
        <v>144</v>
      </c>
      <c r="BK340" s="1" t="s">
        <v>96</v>
      </c>
      <c r="BL340" s="1" t="s">
        <v>145</v>
      </c>
      <c r="BM340" s="1" t="s">
        <v>6079</v>
      </c>
      <c r="BN340" s="1">
        <v>15091451</v>
      </c>
      <c r="BO340" s="1" t="s">
        <v>1752</v>
      </c>
      <c r="BP340" s="1" t="s">
        <v>74</v>
      </c>
      <c r="BQ340" s="1" t="s">
        <v>74</v>
      </c>
      <c r="BR340" s="1" t="s">
        <v>98</v>
      </c>
      <c r="BS340" s="1" t="s">
        <v>6080</v>
      </c>
      <c r="BT340" s="1" t="str">
        <f>HYPERLINK("https%3A%2F%2Fwww.webofscience.com%2Fwos%2Fwoscc%2Ffull-record%2FWOS:A1996TK46100004","View Full Record in Web of Science")</f>
        <v>View Full Record in Web of Science</v>
      </c>
    </row>
    <row r="341" spans="1:72">
      <c r="A341" s="1" t="s">
        <v>72</v>
      </c>
      <c r="B341" s="1" t="s">
        <v>6081</v>
      </c>
      <c r="C341" s="1" t="s">
        <v>74</v>
      </c>
      <c r="D341" s="1" t="s">
        <v>74</v>
      </c>
      <c r="E341" s="1" t="s">
        <v>74</v>
      </c>
      <c r="F341" s="1" t="s">
        <v>6082</v>
      </c>
      <c r="G341" s="1" t="s">
        <v>74</v>
      </c>
      <c r="H341" s="1" t="s">
        <v>74</v>
      </c>
      <c r="I341" s="1" t="s">
        <v>6083</v>
      </c>
      <c r="J341" s="1" t="s">
        <v>395</v>
      </c>
      <c r="K341" s="1" t="s">
        <v>74</v>
      </c>
      <c r="L341" s="1" t="s">
        <v>74</v>
      </c>
      <c r="M341" s="1" t="s">
        <v>78</v>
      </c>
      <c r="N341" s="1" t="s">
        <v>79</v>
      </c>
      <c r="O341" s="1" t="s">
        <v>74</v>
      </c>
      <c r="P341" s="1" t="s">
        <v>74</v>
      </c>
      <c r="Q341" s="1" t="s">
        <v>74</v>
      </c>
      <c r="R341" s="1" t="s">
        <v>74</v>
      </c>
      <c r="S341" s="1" t="s">
        <v>74</v>
      </c>
      <c r="T341" s="1" t="s">
        <v>6084</v>
      </c>
      <c r="U341" s="1" t="s">
        <v>6085</v>
      </c>
      <c r="V341" s="1" t="s">
        <v>6086</v>
      </c>
      <c r="W341" s="1" t="s">
        <v>6087</v>
      </c>
      <c r="X341" s="1" t="s">
        <v>6088</v>
      </c>
      <c r="Y341" s="1" t="s">
        <v>6089</v>
      </c>
      <c r="Z341" s="1" t="s">
        <v>6090</v>
      </c>
      <c r="AA341" s="1" t="s">
        <v>6091</v>
      </c>
      <c r="AB341" s="1" t="s">
        <v>6092</v>
      </c>
      <c r="AC341" s="1" t="s">
        <v>74</v>
      </c>
      <c r="AD341" s="1" t="s">
        <v>74</v>
      </c>
      <c r="AE341" s="1" t="s">
        <v>74</v>
      </c>
      <c r="AF341" s="1" t="s">
        <v>74</v>
      </c>
      <c r="AG341" s="1">
        <v>38</v>
      </c>
      <c r="AH341" s="1">
        <v>30</v>
      </c>
      <c r="AI341" s="1">
        <v>32</v>
      </c>
      <c r="AJ341" s="1">
        <v>1</v>
      </c>
      <c r="AK341" s="1">
        <v>30</v>
      </c>
      <c r="AL341" s="1" t="s">
        <v>408</v>
      </c>
      <c r="AM341" s="1" t="s">
        <v>409</v>
      </c>
      <c r="AN341" s="1" t="s">
        <v>1188</v>
      </c>
      <c r="AO341" s="1" t="s">
        <v>411</v>
      </c>
      <c r="AP341" s="1" t="s">
        <v>6093</v>
      </c>
      <c r="AQ341" s="1" t="s">
        <v>74</v>
      </c>
      <c r="AR341" s="1" t="s">
        <v>412</v>
      </c>
      <c r="AS341" s="1" t="s">
        <v>413</v>
      </c>
      <c r="AT341" s="1" t="s">
        <v>74</v>
      </c>
      <c r="AU341" s="1">
        <v>2008</v>
      </c>
      <c r="AV341" s="1">
        <v>43</v>
      </c>
      <c r="AW341" s="1">
        <v>9</v>
      </c>
      <c r="AX341" s="1" t="s">
        <v>74</v>
      </c>
      <c r="AY341" s="1" t="s">
        <v>74</v>
      </c>
      <c r="AZ341" s="1" t="s">
        <v>74</v>
      </c>
      <c r="BA341" s="1" t="s">
        <v>74</v>
      </c>
      <c r="BB341" s="1">
        <v>995</v>
      </c>
      <c r="BC341" s="1">
        <v>1005</v>
      </c>
      <c r="BD341" s="1" t="s">
        <v>74</v>
      </c>
      <c r="BE341" s="1" t="s">
        <v>6094</v>
      </c>
      <c r="BF341" s="1" t="str">
        <f>HYPERLINK("http://dx.doi.org/10.1080/10934520802059797","http://dx.doi.org/10.1080/10934520802059797")</f>
        <v>http://dx.doi.org/10.1080/10934520802059797</v>
      </c>
      <c r="BG341" s="1" t="s">
        <v>74</v>
      </c>
      <c r="BH341" s="1" t="s">
        <v>74</v>
      </c>
      <c r="BI341" s="1">
        <v>11</v>
      </c>
      <c r="BJ341" s="1" t="s">
        <v>415</v>
      </c>
      <c r="BK341" s="1" t="s">
        <v>96</v>
      </c>
      <c r="BL341" s="1" t="s">
        <v>416</v>
      </c>
      <c r="BM341" s="1" t="s">
        <v>6095</v>
      </c>
      <c r="BN341" s="1">
        <v>18569313</v>
      </c>
      <c r="BO341" s="1" t="s">
        <v>74</v>
      </c>
      <c r="BP341" s="1" t="s">
        <v>74</v>
      </c>
      <c r="BQ341" s="1" t="s">
        <v>74</v>
      </c>
      <c r="BR341" s="1" t="s">
        <v>98</v>
      </c>
      <c r="BS341" s="1" t="s">
        <v>6096</v>
      </c>
      <c r="BT341" s="1" t="str">
        <f>HYPERLINK("https%3A%2F%2Fwww.webofscience.com%2Fwos%2Fwoscc%2Ffull-record%2FWOS:000257051900001","View Full Record in Web of Science")</f>
        <v>View Full Record in Web of Science</v>
      </c>
    </row>
    <row r="342" spans="1:72">
      <c r="A342" s="1" t="s">
        <v>72</v>
      </c>
      <c r="B342" s="1" t="s">
        <v>6097</v>
      </c>
      <c r="C342" s="1" t="s">
        <v>74</v>
      </c>
      <c r="D342" s="1" t="s">
        <v>74</v>
      </c>
      <c r="E342" s="1" t="s">
        <v>74</v>
      </c>
      <c r="F342" s="1" t="s">
        <v>6097</v>
      </c>
      <c r="G342" s="1" t="s">
        <v>74</v>
      </c>
      <c r="H342" s="1" t="s">
        <v>74</v>
      </c>
      <c r="I342" s="1" t="s">
        <v>6098</v>
      </c>
      <c r="J342" s="1" t="s">
        <v>395</v>
      </c>
      <c r="K342" s="1" t="s">
        <v>74</v>
      </c>
      <c r="L342" s="1" t="s">
        <v>74</v>
      </c>
      <c r="M342" s="1" t="s">
        <v>78</v>
      </c>
      <c r="N342" s="1" t="s">
        <v>79</v>
      </c>
      <c r="O342" s="1" t="s">
        <v>74</v>
      </c>
      <c r="P342" s="1" t="s">
        <v>74</v>
      </c>
      <c r="Q342" s="1" t="s">
        <v>74</v>
      </c>
      <c r="R342" s="1" t="s">
        <v>74</v>
      </c>
      <c r="S342" s="1" t="s">
        <v>74</v>
      </c>
      <c r="T342" s="1" t="s">
        <v>6099</v>
      </c>
      <c r="U342" s="1" t="s">
        <v>6100</v>
      </c>
      <c r="V342" s="1" t="s">
        <v>6101</v>
      </c>
      <c r="W342" s="1" t="s">
        <v>6102</v>
      </c>
      <c r="X342" s="1" t="s">
        <v>3435</v>
      </c>
      <c r="Y342" s="1" t="s">
        <v>6103</v>
      </c>
      <c r="Z342" s="1" t="s">
        <v>74</v>
      </c>
      <c r="AA342" s="1" t="s">
        <v>6104</v>
      </c>
      <c r="AB342" s="1" t="s">
        <v>6105</v>
      </c>
      <c r="AC342" s="1" t="s">
        <v>74</v>
      </c>
      <c r="AD342" s="1" t="s">
        <v>74</v>
      </c>
      <c r="AE342" s="1" t="s">
        <v>74</v>
      </c>
      <c r="AF342" s="1" t="s">
        <v>74</v>
      </c>
      <c r="AG342" s="1">
        <v>24</v>
      </c>
      <c r="AH342" s="1">
        <v>41</v>
      </c>
      <c r="AI342" s="1">
        <v>45</v>
      </c>
      <c r="AJ342" s="1">
        <v>1</v>
      </c>
      <c r="AK342" s="1">
        <v>16</v>
      </c>
      <c r="AL342" s="1" t="s">
        <v>6106</v>
      </c>
      <c r="AM342" s="1" t="s">
        <v>113</v>
      </c>
      <c r="AN342" s="1" t="s">
        <v>6107</v>
      </c>
      <c r="AO342" s="1" t="s">
        <v>411</v>
      </c>
      <c r="AP342" s="1" t="s">
        <v>74</v>
      </c>
      <c r="AQ342" s="1" t="s">
        <v>74</v>
      </c>
      <c r="AR342" s="1" t="s">
        <v>412</v>
      </c>
      <c r="AS342" s="1" t="s">
        <v>413</v>
      </c>
      <c r="AT342" s="1" t="s">
        <v>74</v>
      </c>
      <c r="AU342" s="1">
        <v>2003</v>
      </c>
      <c r="AV342" s="1">
        <v>38</v>
      </c>
      <c r="AW342" s="1">
        <v>12</v>
      </c>
      <c r="AX342" s="1" t="s">
        <v>74</v>
      </c>
      <c r="AY342" s="1" t="s">
        <v>74</v>
      </c>
      <c r="AZ342" s="1" t="s">
        <v>74</v>
      </c>
      <c r="BA342" s="1" t="s">
        <v>74</v>
      </c>
      <c r="BB342" s="1">
        <v>2845</v>
      </c>
      <c r="BC342" s="1">
        <v>2856</v>
      </c>
      <c r="BD342" s="1" t="s">
        <v>74</v>
      </c>
      <c r="BE342" s="1" t="s">
        <v>6108</v>
      </c>
      <c r="BF342" s="1" t="str">
        <f>HYPERLINK("http://dx.doi.org/10.1081/ESE-120025835","http://dx.doi.org/10.1081/ESE-120025835")</f>
        <v>http://dx.doi.org/10.1081/ESE-120025835</v>
      </c>
      <c r="BG342" s="1" t="s">
        <v>74</v>
      </c>
      <c r="BH342" s="1" t="s">
        <v>74</v>
      </c>
      <c r="BI342" s="1">
        <v>12</v>
      </c>
      <c r="BJ342" s="1" t="s">
        <v>415</v>
      </c>
      <c r="BK342" s="1" t="s">
        <v>96</v>
      </c>
      <c r="BL342" s="1" t="s">
        <v>416</v>
      </c>
      <c r="BM342" s="1" t="s">
        <v>6109</v>
      </c>
      <c r="BN342" s="1">
        <v>14672319</v>
      </c>
      <c r="BO342" s="1" t="s">
        <v>74</v>
      </c>
      <c r="BP342" s="1" t="s">
        <v>74</v>
      </c>
      <c r="BQ342" s="1" t="s">
        <v>74</v>
      </c>
      <c r="BR342" s="1" t="s">
        <v>98</v>
      </c>
      <c r="BS342" s="1" t="s">
        <v>6110</v>
      </c>
      <c r="BT342" s="1" t="str">
        <f>HYPERLINK("https%3A%2F%2Fwww.webofscience.com%2Fwos%2Fwoscc%2Ffull-record%2FWOS:000187063300008","View Full Record in Web of Science")</f>
        <v>View Full Record in Web of Science</v>
      </c>
    </row>
    <row r="343" spans="1:72">
      <c r="A343" s="1" t="s">
        <v>72</v>
      </c>
      <c r="B343" s="1" t="s">
        <v>6111</v>
      </c>
      <c r="C343" s="1" t="s">
        <v>74</v>
      </c>
      <c r="D343" s="1" t="s">
        <v>74</v>
      </c>
      <c r="E343" s="1" t="s">
        <v>74</v>
      </c>
      <c r="F343" s="1" t="s">
        <v>6111</v>
      </c>
      <c r="G343" s="1" t="s">
        <v>74</v>
      </c>
      <c r="H343" s="1" t="s">
        <v>74</v>
      </c>
      <c r="I343" s="1" t="s">
        <v>6112</v>
      </c>
      <c r="J343" s="1" t="s">
        <v>775</v>
      </c>
      <c r="K343" s="1" t="s">
        <v>74</v>
      </c>
      <c r="L343" s="1" t="s">
        <v>74</v>
      </c>
      <c r="M343" s="1" t="s">
        <v>78</v>
      </c>
      <c r="N343" s="1" t="s">
        <v>79</v>
      </c>
      <c r="O343" s="1" t="s">
        <v>74</v>
      </c>
      <c r="P343" s="1" t="s">
        <v>74</v>
      </c>
      <c r="Q343" s="1" t="s">
        <v>74</v>
      </c>
      <c r="R343" s="1" t="s">
        <v>74</v>
      </c>
      <c r="S343" s="1" t="s">
        <v>74</v>
      </c>
      <c r="T343" s="1" t="s">
        <v>6113</v>
      </c>
      <c r="U343" s="1" t="s">
        <v>6114</v>
      </c>
      <c r="V343" s="1" t="s">
        <v>6115</v>
      </c>
      <c r="W343" s="1" t="s">
        <v>6116</v>
      </c>
      <c r="X343" s="1" t="s">
        <v>6117</v>
      </c>
      <c r="Y343" s="1" t="s">
        <v>6118</v>
      </c>
      <c r="Z343" s="1" t="s">
        <v>74</v>
      </c>
      <c r="AA343" s="1" t="s">
        <v>6119</v>
      </c>
      <c r="AB343" s="1" t="s">
        <v>6120</v>
      </c>
      <c r="AC343" s="1" t="s">
        <v>74</v>
      </c>
      <c r="AD343" s="1" t="s">
        <v>74</v>
      </c>
      <c r="AE343" s="1" t="s">
        <v>74</v>
      </c>
      <c r="AF343" s="1" t="s">
        <v>74</v>
      </c>
      <c r="AG343" s="1">
        <v>22</v>
      </c>
      <c r="AH343" s="1">
        <v>25</v>
      </c>
      <c r="AI343" s="1">
        <v>27</v>
      </c>
      <c r="AJ343" s="1">
        <v>0</v>
      </c>
      <c r="AK343" s="1">
        <v>16</v>
      </c>
      <c r="AL343" s="1" t="s">
        <v>788</v>
      </c>
      <c r="AM343" s="1" t="s">
        <v>789</v>
      </c>
      <c r="AN343" s="1" t="s">
        <v>790</v>
      </c>
      <c r="AO343" s="1" t="s">
        <v>791</v>
      </c>
      <c r="AP343" s="1" t="s">
        <v>74</v>
      </c>
      <c r="AQ343" s="1" t="s">
        <v>74</v>
      </c>
      <c r="AR343" s="1" t="s">
        <v>792</v>
      </c>
      <c r="AS343" s="1" t="s">
        <v>793</v>
      </c>
      <c r="AT343" s="1" t="s">
        <v>5651</v>
      </c>
      <c r="AU343" s="1">
        <v>2004</v>
      </c>
      <c r="AV343" s="1">
        <v>102</v>
      </c>
      <c r="AW343" s="1" t="s">
        <v>2847</v>
      </c>
      <c r="AX343" s="1" t="s">
        <v>74</v>
      </c>
      <c r="AY343" s="1" t="s">
        <v>74</v>
      </c>
      <c r="AZ343" s="1" t="s">
        <v>74</v>
      </c>
      <c r="BA343" s="1" t="s">
        <v>74</v>
      </c>
      <c r="BB343" s="1">
        <v>245</v>
      </c>
      <c r="BC343" s="1">
        <v>263</v>
      </c>
      <c r="BD343" s="1" t="s">
        <v>74</v>
      </c>
      <c r="BE343" s="1" t="s">
        <v>6121</v>
      </c>
      <c r="BF343" s="1" t="str">
        <f>HYPERLINK("http://dx.doi.org/10.1385/BTER:102:1-3:245","http://dx.doi.org/10.1385/BTER:102:1-3:245")</f>
        <v>http://dx.doi.org/10.1385/BTER:102:1-3:245</v>
      </c>
      <c r="BG343" s="1" t="s">
        <v>74</v>
      </c>
      <c r="BH343" s="1" t="s">
        <v>74</v>
      </c>
      <c r="BI343" s="1">
        <v>19</v>
      </c>
      <c r="BJ343" s="1" t="s">
        <v>795</v>
      </c>
      <c r="BK343" s="1" t="s">
        <v>96</v>
      </c>
      <c r="BL343" s="1" t="s">
        <v>795</v>
      </c>
      <c r="BM343" s="1" t="s">
        <v>6122</v>
      </c>
      <c r="BN343" s="1">
        <v>15621942</v>
      </c>
      <c r="BO343" s="1" t="s">
        <v>74</v>
      </c>
      <c r="BP343" s="1" t="s">
        <v>74</v>
      </c>
      <c r="BQ343" s="1" t="s">
        <v>74</v>
      </c>
      <c r="BR343" s="1" t="s">
        <v>98</v>
      </c>
      <c r="BS343" s="1" t="s">
        <v>6123</v>
      </c>
      <c r="BT343" s="1" t="str">
        <f>HYPERLINK("https%3A%2F%2Fwww.webofscience.com%2Fwos%2Fwoscc%2Ffull-record%2FWOS:000226085500021","View Full Record in Web of Science")</f>
        <v>View Full Record in Web of Science</v>
      </c>
    </row>
    <row r="344" spans="1:72">
      <c r="A344" s="1" t="s">
        <v>72</v>
      </c>
      <c r="B344" s="1" t="s">
        <v>6124</v>
      </c>
      <c r="C344" s="1" t="s">
        <v>74</v>
      </c>
      <c r="D344" s="1" t="s">
        <v>74</v>
      </c>
      <c r="E344" s="1" t="s">
        <v>74</v>
      </c>
      <c r="F344" s="1" t="s">
        <v>6125</v>
      </c>
      <c r="G344" s="1" t="s">
        <v>74</v>
      </c>
      <c r="H344" s="1" t="s">
        <v>74</v>
      </c>
      <c r="I344" s="1" t="s">
        <v>6126</v>
      </c>
      <c r="J344" s="1" t="s">
        <v>204</v>
      </c>
      <c r="K344" s="1" t="s">
        <v>74</v>
      </c>
      <c r="L344" s="1" t="s">
        <v>74</v>
      </c>
      <c r="M344" s="1" t="s">
        <v>78</v>
      </c>
      <c r="N344" s="1" t="s">
        <v>151</v>
      </c>
      <c r="O344" s="1" t="s">
        <v>6127</v>
      </c>
      <c r="P344" s="1" t="s">
        <v>6128</v>
      </c>
      <c r="Q344" s="1" t="s">
        <v>6129</v>
      </c>
      <c r="R344" s="1" t="s">
        <v>74</v>
      </c>
      <c r="S344" s="1" t="s">
        <v>74</v>
      </c>
      <c r="T344" s="1" t="s">
        <v>6130</v>
      </c>
      <c r="U344" s="1" t="s">
        <v>6131</v>
      </c>
      <c r="V344" s="1" t="s">
        <v>6132</v>
      </c>
      <c r="W344" s="1" t="s">
        <v>6133</v>
      </c>
      <c r="X344" s="1" t="s">
        <v>6134</v>
      </c>
      <c r="Y344" s="1" t="s">
        <v>6135</v>
      </c>
      <c r="Z344" s="1" t="s">
        <v>6136</v>
      </c>
      <c r="AA344" s="1" t="s">
        <v>6137</v>
      </c>
      <c r="AB344" s="1" t="s">
        <v>6138</v>
      </c>
      <c r="AC344" s="1" t="s">
        <v>6139</v>
      </c>
      <c r="AD344" s="1" t="s">
        <v>6140</v>
      </c>
      <c r="AE344" s="1" t="s">
        <v>6141</v>
      </c>
      <c r="AF344" s="1" t="s">
        <v>74</v>
      </c>
      <c r="AG344" s="1">
        <v>58</v>
      </c>
      <c r="AH344" s="1">
        <v>409</v>
      </c>
      <c r="AI344" s="1">
        <v>466</v>
      </c>
      <c r="AJ344" s="1">
        <v>37</v>
      </c>
      <c r="AK344" s="1">
        <v>787</v>
      </c>
      <c r="AL344" s="1" t="s">
        <v>217</v>
      </c>
      <c r="AM344" s="1" t="s">
        <v>218</v>
      </c>
      <c r="AN344" s="1" t="s">
        <v>219</v>
      </c>
      <c r="AO344" s="1" t="s">
        <v>220</v>
      </c>
      <c r="AP344" s="1" t="s">
        <v>221</v>
      </c>
      <c r="AQ344" s="1" t="s">
        <v>74</v>
      </c>
      <c r="AR344" s="1" t="s">
        <v>222</v>
      </c>
      <c r="AS344" s="1" t="s">
        <v>223</v>
      </c>
      <c r="AT344" s="1" t="s">
        <v>1470</v>
      </c>
      <c r="AU344" s="1">
        <v>2016</v>
      </c>
      <c r="AV344" s="1">
        <v>23</v>
      </c>
      <c r="AW344" s="1">
        <v>2</v>
      </c>
      <c r="AX344" s="1" t="s">
        <v>74</v>
      </c>
      <c r="AY344" s="1" t="s">
        <v>74</v>
      </c>
      <c r="AZ344" s="1" t="s">
        <v>74</v>
      </c>
      <c r="BA344" s="1" t="s">
        <v>74</v>
      </c>
      <c r="BB344" s="1">
        <v>974</v>
      </c>
      <c r="BC344" s="1">
        <v>984</v>
      </c>
      <c r="BD344" s="1" t="s">
        <v>74</v>
      </c>
      <c r="BE344" s="1" t="s">
        <v>6142</v>
      </c>
      <c r="BF344" s="1" t="str">
        <f>HYPERLINK("http://dx.doi.org/10.1007/s11356-015-4233-0","http://dx.doi.org/10.1007/s11356-015-4233-0")</f>
        <v>http://dx.doi.org/10.1007/s11356-015-4233-0</v>
      </c>
      <c r="BG344" s="1" t="s">
        <v>74</v>
      </c>
      <c r="BH344" s="1" t="s">
        <v>74</v>
      </c>
      <c r="BI344" s="1">
        <v>11</v>
      </c>
      <c r="BJ344" s="1" t="s">
        <v>144</v>
      </c>
      <c r="BK344" s="1" t="s">
        <v>172</v>
      </c>
      <c r="BL344" s="1" t="s">
        <v>145</v>
      </c>
      <c r="BM344" s="1" t="s">
        <v>6143</v>
      </c>
      <c r="BN344" s="1">
        <v>25772863</v>
      </c>
      <c r="BO344" s="1" t="s">
        <v>74</v>
      </c>
      <c r="BP344" s="1" t="s">
        <v>74</v>
      </c>
      <c r="BQ344" s="1" t="s">
        <v>74</v>
      </c>
      <c r="BR344" s="1" t="s">
        <v>98</v>
      </c>
      <c r="BS344" s="1" t="s">
        <v>6144</v>
      </c>
      <c r="BT344" s="1" t="str">
        <f>HYPERLINK("https%3A%2F%2Fwww.webofscience.com%2Fwos%2Fwoscc%2Ffull-record%2FWOS:000368200200004","View Full Record in Web of Science")</f>
        <v>View Full Record in Web of Science</v>
      </c>
    </row>
    <row r="345" spans="1:72">
      <c r="A345" s="1" t="s">
        <v>72</v>
      </c>
      <c r="B345" s="1" t="s">
        <v>6145</v>
      </c>
      <c r="C345" s="1" t="s">
        <v>74</v>
      </c>
      <c r="D345" s="1" t="s">
        <v>74</v>
      </c>
      <c r="E345" s="1" t="s">
        <v>74</v>
      </c>
      <c r="F345" s="1" t="s">
        <v>6146</v>
      </c>
      <c r="G345" s="1" t="s">
        <v>74</v>
      </c>
      <c r="H345" s="1" t="s">
        <v>74</v>
      </c>
      <c r="I345" s="1" t="s">
        <v>6147</v>
      </c>
      <c r="J345" s="1" t="s">
        <v>3349</v>
      </c>
      <c r="K345" s="1" t="s">
        <v>74</v>
      </c>
      <c r="L345" s="1" t="s">
        <v>74</v>
      </c>
      <c r="M345" s="1" t="s">
        <v>78</v>
      </c>
      <c r="N345" s="1" t="s">
        <v>79</v>
      </c>
      <c r="O345" s="1" t="s">
        <v>74</v>
      </c>
      <c r="P345" s="1" t="s">
        <v>74</v>
      </c>
      <c r="Q345" s="1" t="s">
        <v>74</v>
      </c>
      <c r="R345" s="1" t="s">
        <v>74</v>
      </c>
      <c r="S345" s="1" t="s">
        <v>74</v>
      </c>
      <c r="T345" s="1" t="s">
        <v>6148</v>
      </c>
      <c r="U345" s="1" t="s">
        <v>6149</v>
      </c>
      <c r="V345" s="1" t="s">
        <v>6150</v>
      </c>
      <c r="W345" s="1" t="s">
        <v>6151</v>
      </c>
      <c r="X345" s="1" t="s">
        <v>6152</v>
      </c>
      <c r="Y345" s="1" t="s">
        <v>6153</v>
      </c>
      <c r="Z345" s="1" t="s">
        <v>6154</v>
      </c>
      <c r="AA345" s="1" t="s">
        <v>6155</v>
      </c>
      <c r="AB345" s="1" t="s">
        <v>6156</v>
      </c>
      <c r="AC345" s="1" t="s">
        <v>6157</v>
      </c>
      <c r="AD345" s="1" t="s">
        <v>6158</v>
      </c>
      <c r="AE345" s="1" t="s">
        <v>6159</v>
      </c>
      <c r="AF345" s="1" t="s">
        <v>74</v>
      </c>
      <c r="AG345" s="1">
        <v>54</v>
      </c>
      <c r="AH345" s="1">
        <v>9</v>
      </c>
      <c r="AI345" s="1">
        <v>11</v>
      </c>
      <c r="AJ345" s="1">
        <v>1</v>
      </c>
      <c r="AK345" s="1">
        <v>24</v>
      </c>
      <c r="AL345" s="1" t="s">
        <v>3362</v>
      </c>
      <c r="AM345" s="1" t="s">
        <v>3363</v>
      </c>
      <c r="AN345" s="1" t="s">
        <v>3364</v>
      </c>
      <c r="AO345" s="1" t="s">
        <v>3365</v>
      </c>
      <c r="AP345" s="1" t="s">
        <v>3366</v>
      </c>
      <c r="AQ345" s="1" t="s">
        <v>74</v>
      </c>
      <c r="AR345" s="1" t="s">
        <v>3367</v>
      </c>
      <c r="AS345" s="1" t="s">
        <v>3368</v>
      </c>
      <c r="AT345" s="1" t="s">
        <v>267</v>
      </c>
      <c r="AU345" s="1">
        <v>2016</v>
      </c>
      <c r="AV345" s="1">
        <v>132</v>
      </c>
      <c r="AW345" s="1" t="s">
        <v>74</v>
      </c>
      <c r="AX345" s="1" t="s">
        <v>74</v>
      </c>
      <c r="AY345" s="1" t="s">
        <v>74</v>
      </c>
      <c r="AZ345" s="1" t="s">
        <v>74</v>
      </c>
      <c r="BA345" s="1" t="s">
        <v>74</v>
      </c>
      <c r="BB345" s="1">
        <v>59</v>
      </c>
      <c r="BC345" s="1">
        <v>67</v>
      </c>
      <c r="BD345" s="1" t="s">
        <v>74</v>
      </c>
      <c r="BE345" s="1" t="s">
        <v>6160</v>
      </c>
      <c r="BF345" s="1" t="str">
        <f>HYPERLINK("http://dx.doi.org/10.1016/j.ecoenv.2016.05.023","http://dx.doi.org/10.1016/j.ecoenv.2016.05.023")</f>
        <v>http://dx.doi.org/10.1016/j.ecoenv.2016.05.023</v>
      </c>
      <c r="BG345" s="1" t="s">
        <v>74</v>
      </c>
      <c r="BH345" s="1" t="s">
        <v>74</v>
      </c>
      <c r="BI345" s="1">
        <v>9</v>
      </c>
      <c r="BJ345" s="1" t="s">
        <v>121</v>
      </c>
      <c r="BK345" s="1" t="s">
        <v>96</v>
      </c>
      <c r="BL345" s="1" t="s">
        <v>122</v>
      </c>
      <c r="BM345" s="1" t="s">
        <v>6161</v>
      </c>
      <c r="BN345" s="1">
        <v>27262215</v>
      </c>
      <c r="BO345" s="1" t="s">
        <v>74</v>
      </c>
      <c r="BP345" s="1" t="s">
        <v>74</v>
      </c>
      <c r="BQ345" s="1" t="s">
        <v>74</v>
      </c>
      <c r="BR345" s="1" t="s">
        <v>98</v>
      </c>
      <c r="BS345" s="1" t="s">
        <v>6162</v>
      </c>
      <c r="BT345" s="1" t="str">
        <f>HYPERLINK("https%3A%2F%2Fwww.webofscience.com%2Fwos%2Fwoscc%2Ffull-record%2FWOS:000380867200008","View Full Record in Web of Science")</f>
        <v>View Full Record in Web of Science</v>
      </c>
    </row>
    <row r="346" spans="1:72">
      <c r="A346" s="1" t="s">
        <v>72</v>
      </c>
      <c r="B346" s="1" t="s">
        <v>6163</v>
      </c>
      <c r="C346" s="1" t="s">
        <v>74</v>
      </c>
      <c r="D346" s="1" t="s">
        <v>74</v>
      </c>
      <c r="E346" s="1" t="s">
        <v>74</v>
      </c>
      <c r="F346" s="1" t="s">
        <v>6164</v>
      </c>
      <c r="G346" s="1" t="s">
        <v>74</v>
      </c>
      <c r="H346" s="1" t="s">
        <v>74</v>
      </c>
      <c r="I346" s="1" t="s">
        <v>6165</v>
      </c>
      <c r="J346" s="1" t="s">
        <v>909</v>
      </c>
      <c r="K346" s="1" t="s">
        <v>74</v>
      </c>
      <c r="L346" s="1" t="s">
        <v>74</v>
      </c>
      <c r="M346" s="1" t="s">
        <v>78</v>
      </c>
      <c r="N346" s="1" t="s">
        <v>79</v>
      </c>
      <c r="O346" s="1" t="s">
        <v>74</v>
      </c>
      <c r="P346" s="1" t="s">
        <v>74</v>
      </c>
      <c r="Q346" s="1" t="s">
        <v>74</v>
      </c>
      <c r="R346" s="1" t="s">
        <v>74</v>
      </c>
      <c r="S346" s="1" t="s">
        <v>74</v>
      </c>
      <c r="T346" s="1" t="s">
        <v>6166</v>
      </c>
      <c r="U346" s="1" t="s">
        <v>6167</v>
      </c>
      <c r="V346" s="1" t="s">
        <v>6168</v>
      </c>
      <c r="W346" s="1" t="s">
        <v>6169</v>
      </c>
      <c r="X346" s="1" t="s">
        <v>6170</v>
      </c>
      <c r="Y346" s="1" t="s">
        <v>6171</v>
      </c>
      <c r="Z346" s="1" t="s">
        <v>6172</v>
      </c>
      <c r="AA346" s="1" t="s">
        <v>74</v>
      </c>
      <c r="AB346" s="1" t="s">
        <v>6173</v>
      </c>
      <c r="AC346" s="1" t="s">
        <v>6174</v>
      </c>
      <c r="AD346" s="1" t="s">
        <v>6175</v>
      </c>
      <c r="AE346" s="1" t="s">
        <v>6176</v>
      </c>
      <c r="AF346" s="1" t="s">
        <v>74</v>
      </c>
      <c r="AG346" s="1">
        <v>81</v>
      </c>
      <c r="AH346" s="1">
        <v>16</v>
      </c>
      <c r="AI346" s="1">
        <v>16</v>
      </c>
      <c r="AJ346" s="1">
        <v>8</v>
      </c>
      <c r="AK346" s="1">
        <v>45</v>
      </c>
      <c r="AL346" s="1" t="s">
        <v>650</v>
      </c>
      <c r="AM346" s="1" t="s">
        <v>651</v>
      </c>
      <c r="AN346" s="1" t="s">
        <v>652</v>
      </c>
      <c r="AO346" s="1" t="s">
        <v>921</v>
      </c>
      <c r="AP346" s="1" t="s">
        <v>922</v>
      </c>
      <c r="AQ346" s="1" t="s">
        <v>74</v>
      </c>
      <c r="AR346" s="1" t="s">
        <v>923</v>
      </c>
      <c r="AS346" s="1" t="s">
        <v>924</v>
      </c>
      <c r="AT346" s="1" t="s">
        <v>6177</v>
      </c>
      <c r="AU346" s="1">
        <v>2020</v>
      </c>
      <c r="AV346" s="1">
        <v>714</v>
      </c>
      <c r="AW346" s="1" t="s">
        <v>74</v>
      </c>
      <c r="AX346" s="1" t="s">
        <v>74</v>
      </c>
      <c r="AY346" s="1" t="s">
        <v>74</v>
      </c>
      <c r="AZ346" s="1" t="s">
        <v>74</v>
      </c>
      <c r="BA346" s="1" t="s">
        <v>74</v>
      </c>
      <c r="BB346" s="1" t="s">
        <v>74</v>
      </c>
      <c r="BC346" s="1" t="s">
        <v>74</v>
      </c>
      <c r="BD346" s="1">
        <v>136711</v>
      </c>
      <c r="BE346" s="1" t="s">
        <v>6178</v>
      </c>
      <c r="BF346" s="1" t="str">
        <f>HYPERLINK("http://dx.doi.org/10.1016/j.scitotenv.2020.136711","http://dx.doi.org/10.1016/j.scitotenv.2020.136711")</f>
        <v>http://dx.doi.org/10.1016/j.scitotenv.2020.136711</v>
      </c>
      <c r="BG346" s="1" t="s">
        <v>74</v>
      </c>
      <c r="BH346" s="1" t="s">
        <v>74</v>
      </c>
      <c r="BI346" s="1">
        <v>10</v>
      </c>
      <c r="BJ346" s="1" t="s">
        <v>144</v>
      </c>
      <c r="BK346" s="1" t="s">
        <v>96</v>
      </c>
      <c r="BL346" s="1" t="s">
        <v>145</v>
      </c>
      <c r="BM346" s="1" t="s">
        <v>6179</v>
      </c>
      <c r="BN346" s="1">
        <v>31981872</v>
      </c>
      <c r="BO346" s="1" t="s">
        <v>74</v>
      </c>
      <c r="BP346" s="1" t="s">
        <v>74</v>
      </c>
      <c r="BQ346" s="1" t="s">
        <v>74</v>
      </c>
      <c r="BR346" s="1" t="s">
        <v>98</v>
      </c>
      <c r="BS346" s="1" t="s">
        <v>6180</v>
      </c>
      <c r="BT346" s="1" t="str">
        <f>HYPERLINK("https%3A%2F%2Fwww.webofscience.com%2Fwos%2Fwoscc%2Ffull-record%2FWOS:000517760200087","View Full Record in Web of Science")</f>
        <v>View Full Record in Web of Science</v>
      </c>
    </row>
    <row r="347" spans="1:72">
      <c r="A347" s="1" t="s">
        <v>72</v>
      </c>
      <c r="B347" s="1" t="s">
        <v>6181</v>
      </c>
      <c r="C347" s="1" t="s">
        <v>74</v>
      </c>
      <c r="D347" s="1" t="s">
        <v>74</v>
      </c>
      <c r="E347" s="1" t="s">
        <v>74</v>
      </c>
      <c r="F347" s="1" t="s">
        <v>6182</v>
      </c>
      <c r="G347" s="1" t="s">
        <v>74</v>
      </c>
      <c r="H347" s="1" t="s">
        <v>74</v>
      </c>
      <c r="I347" s="1" t="s">
        <v>6183</v>
      </c>
      <c r="J347" s="1" t="s">
        <v>127</v>
      </c>
      <c r="K347" s="1" t="s">
        <v>74</v>
      </c>
      <c r="L347" s="1" t="s">
        <v>74</v>
      </c>
      <c r="M347" s="1" t="s">
        <v>78</v>
      </c>
      <c r="N347" s="1" t="s">
        <v>79</v>
      </c>
      <c r="O347" s="1" t="s">
        <v>74</v>
      </c>
      <c r="P347" s="1" t="s">
        <v>74</v>
      </c>
      <c r="Q347" s="1" t="s">
        <v>74</v>
      </c>
      <c r="R347" s="1" t="s">
        <v>74</v>
      </c>
      <c r="S347" s="1" t="s">
        <v>74</v>
      </c>
      <c r="T347" s="1" t="s">
        <v>6184</v>
      </c>
      <c r="U347" s="1" t="s">
        <v>6185</v>
      </c>
      <c r="V347" s="1" t="s">
        <v>6186</v>
      </c>
      <c r="W347" s="1" t="s">
        <v>6187</v>
      </c>
      <c r="X347" s="1" t="s">
        <v>74</v>
      </c>
      <c r="Y347" s="1" t="s">
        <v>6188</v>
      </c>
      <c r="Z347" s="1" t="s">
        <v>6189</v>
      </c>
      <c r="AA347" s="1" t="s">
        <v>74</v>
      </c>
      <c r="AB347" s="1" t="s">
        <v>74</v>
      </c>
      <c r="AC347" s="1" t="s">
        <v>74</v>
      </c>
      <c r="AD347" s="1" t="s">
        <v>74</v>
      </c>
      <c r="AE347" s="1" t="s">
        <v>74</v>
      </c>
      <c r="AF347" s="1" t="s">
        <v>74</v>
      </c>
      <c r="AG347" s="1">
        <v>43</v>
      </c>
      <c r="AH347" s="1">
        <v>28</v>
      </c>
      <c r="AI347" s="1">
        <v>31</v>
      </c>
      <c r="AJ347" s="1">
        <v>2</v>
      </c>
      <c r="AK347" s="1">
        <v>64</v>
      </c>
      <c r="AL347" s="1" t="s">
        <v>136</v>
      </c>
      <c r="AM347" s="1" t="s">
        <v>137</v>
      </c>
      <c r="AN347" s="1" t="s">
        <v>138</v>
      </c>
      <c r="AO347" s="1" t="s">
        <v>139</v>
      </c>
      <c r="AP347" s="1" t="s">
        <v>140</v>
      </c>
      <c r="AQ347" s="1" t="s">
        <v>74</v>
      </c>
      <c r="AR347" s="1" t="s">
        <v>127</v>
      </c>
      <c r="AS347" s="1" t="s">
        <v>141</v>
      </c>
      <c r="AT347" s="1" t="s">
        <v>1470</v>
      </c>
      <c r="AU347" s="1">
        <v>2012</v>
      </c>
      <c r="AV347" s="1">
        <v>86</v>
      </c>
      <c r="AW347" s="1">
        <v>2</v>
      </c>
      <c r="AX347" s="1" t="s">
        <v>74</v>
      </c>
      <c r="AY347" s="1" t="s">
        <v>74</v>
      </c>
      <c r="AZ347" s="1" t="s">
        <v>74</v>
      </c>
      <c r="BA347" s="1" t="s">
        <v>74</v>
      </c>
      <c r="BB347" s="1">
        <v>202</v>
      </c>
      <c r="BC347" s="1">
        <v>211</v>
      </c>
      <c r="BD347" s="1" t="s">
        <v>74</v>
      </c>
      <c r="BE347" s="1" t="s">
        <v>6190</v>
      </c>
      <c r="BF347" s="1" t="str">
        <f>HYPERLINK("http://dx.doi.org/10.1016/j.chemosphere.2011.10.021","http://dx.doi.org/10.1016/j.chemosphere.2011.10.021")</f>
        <v>http://dx.doi.org/10.1016/j.chemosphere.2011.10.021</v>
      </c>
      <c r="BG347" s="1" t="s">
        <v>74</v>
      </c>
      <c r="BH347" s="1" t="s">
        <v>74</v>
      </c>
      <c r="BI347" s="1">
        <v>10</v>
      </c>
      <c r="BJ347" s="1" t="s">
        <v>144</v>
      </c>
      <c r="BK347" s="1" t="s">
        <v>96</v>
      </c>
      <c r="BL347" s="1" t="s">
        <v>145</v>
      </c>
      <c r="BM347" s="1" t="s">
        <v>6191</v>
      </c>
      <c r="BN347" s="1">
        <v>22071369</v>
      </c>
      <c r="BO347" s="1" t="s">
        <v>74</v>
      </c>
      <c r="BP347" s="1" t="s">
        <v>74</v>
      </c>
      <c r="BQ347" s="1" t="s">
        <v>74</v>
      </c>
      <c r="BR347" s="1" t="s">
        <v>98</v>
      </c>
      <c r="BS347" s="1" t="s">
        <v>6192</v>
      </c>
      <c r="BT347" s="1" t="str">
        <f>HYPERLINK("https%3A%2F%2Fwww.webofscience.com%2Fwos%2Fwoscc%2Ffull-record%2FWOS:000300595900014","View Full Record in Web of Science")</f>
        <v>View Full Record in Web of Science</v>
      </c>
    </row>
    <row r="348" spans="1:72">
      <c r="A348" s="1" t="s">
        <v>72</v>
      </c>
      <c r="B348" s="1" t="s">
        <v>6193</v>
      </c>
      <c r="C348" s="1" t="s">
        <v>74</v>
      </c>
      <c r="D348" s="1" t="s">
        <v>74</v>
      </c>
      <c r="E348" s="1" t="s">
        <v>74</v>
      </c>
      <c r="F348" s="1" t="s">
        <v>6194</v>
      </c>
      <c r="G348" s="1" t="s">
        <v>74</v>
      </c>
      <c r="H348" s="1" t="s">
        <v>74</v>
      </c>
      <c r="I348" s="1" t="s">
        <v>6195</v>
      </c>
      <c r="J348" s="1" t="s">
        <v>729</v>
      </c>
      <c r="K348" s="1" t="s">
        <v>74</v>
      </c>
      <c r="L348" s="1" t="s">
        <v>74</v>
      </c>
      <c r="M348" s="1" t="s">
        <v>78</v>
      </c>
      <c r="N348" s="1" t="s">
        <v>79</v>
      </c>
      <c r="O348" s="1" t="s">
        <v>74</v>
      </c>
      <c r="P348" s="1" t="s">
        <v>74</v>
      </c>
      <c r="Q348" s="1" t="s">
        <v>74</v>
      </c>
      <c r="R348" s="1" t="s">
        <v>74</v>
      </c>
      <c r="S348" s="1" t="s">
        <v>74</v>
      </c>
      <c r="T348" s="1" t="s">
        <v>6196</v>
      </c>
      <c r="U348" s="1" t="s">
        <v>6197</v>
      </c>
      <c r="V348" s="1" t="s">
        <v>6198</v>
      </c>
      <c r="W348" s="1" t="s">
        <v>6199</v>
      </c>
      <c r="X348" s="1" t="s">
        <v>2947</v>
      </c>
      <c r="Y348" s="1" t="s">
        <v>6200</v>
      </c>
      <c r="Z348" s="1" t="s">
        <v>6201</v>
      </c>
      <c r="AA348" s="1" t="s">
        <v>6202</v>
      </c>
      <c r="AB348" s="1" t="s">
        <v>74</v>
      </c>
      <c r="AC348" s="1" t="s">
        <v>6203</v>
      </c>
      <c r="AD348" s="1" t="s">
        <v>6203</v>
      </c>
      <c r="AE348" s="1" t="s">
        <v>6204</v>
      </c>
      <c r="AF348" s="1" t="s">
        <v>74</v>
      </c>
      <c r="AG348" s="1">
        <v>20</v>
      </c>
      <c r="AH348" s="1">
        <v>6</v>
      </c>
      <c r="AI348" s="1">
        <v>6</v>
      </c>
      <c r="AJ348" s="1">
        <v>2</v>
      </c>
      <c r="AK348" s="1">
        <v>32</v>
      </c>
      <c r="AL348" s="1" t="s">
        <v>4153</v>
      </c>
      <c r="AM348" s="1" t="s">
        <v>87</v>
      </c>
      <c r="AN348" s="1" t="s">
        <v>88</v>
      </c>
      <c r="AO348" s="1" t="s">
        <v>741</v>
      </c>
      <c r="AP348" s="1" t="s">
        <v>742</v>
      </c>
      <c r="AQ348" s="1" t="s">
        <v>74</v>
      </c>
      <c r="AR348" s="1" t="s">
        <v>743</v>
      </c>
      <c r="AS348" s="1" t="s">
        <v>744</v>
      </c>
      <c r="AT348" s="1" t="s">
        <v>142</v>
      </c>
      <c r="AU348" s="1">
        <v>2015</v>
      </c>
      <c r="AV348" s="1">
        <v>46</v>
      </c>
      <c r="AW348" s="1">
        <v>6</v>
      </c>
      <c r="AX348" s="1" t="s">
        <v>74</v>
      </c>
      <c r="AY348" s="1" t="s">
        <v>74</v>
      </c>
      <c r="AZ348" s="1" t="s">
        <v>74</v>
      </c>
      <c r="BA348" s="1" t="s">
        <v>74</v>
      </c>
      <c r="BB348" s="1">
        <v>1426</v>
      </c>
      <c r="BC348" s="1">
        <v>1435</v>
      </c>
      <c r="BD348" s="1" t="s">
        <v>74</v>
      </c>
      <c r="BE348" s="1" t="s">
        <v>6205</v>
      </c>
      <c r="BF348" s="1" t="str">
        <f>HYPERLINK("http://dx.doi.org/10.1111/are.12296","http://dx.doi.org/10.1111/are.12296")</f>
        <v>http://dx.doi.org/10.1111/are.12296</v>
      </c>
      <c r="BG348" s="1" t="s">
        <v>74</v>
      </c>
      <c r="BH348" s="1" t="s">
        <v>74</v>
      </c>
      <c r="BI348" s="1">
        <v>10</v>
      </c>
      <c r="BJ348" s="1" t="s">
        <v>746</v>
      </c>
      <c r="BK348" s="1" t="s">
        <v>96</v>
      </c>
      <c r="BL348" s="1" t="s">
        <v>746</v>
      </c>
      <c r="BM348" s="1" t="s">
        <v>6206</v>
      </c>
      <c r="BN348" s="1" t="s">
        <v>74</v>
      </c>
      <c r="BO348" s="1" t="s">
        <v>873</v>
      </c>
      <c r="BP348" s="1" t="s">
        <v>74</v>
      </c>
      <c r="BQ348" s="1" t="s">
        <v>74</v>
      </c>
      <c r="BR348" s="1" t="s">
        <v>98</v>
      </c>
      <c r="BS348" s="1" t="s">
        <v>6207</v>
      </c>
      <c r="BT348" s="1" t="str">
        <f>HYPERLINK("https%3A%2F%2Fwww.webofscience.com%2Fwos%2Fwoscc%2Ffull-record%2FWOS:000353970800014","View Full Record in Web of Science")</f>
        <v>View Full Record in Web of Science</v>
      </c>
    </row>
    <row r="349" spans="1:72">
      <c r="A349" s="1" t="s">
        <v>72</v>
      </c>
      <c r="B349" s="1" t="s">
        <v>6208</v>
      </c>
      <c r="C349" s="1" t="s">
        <v>74</v>
      </c>
      <c r="D349" s="1" t="s">
        <v>74</v>
      </c>
      <c r="E349" s="1" t="s">
        <v>74</v>
      </c>
      <c r="F349" s="1" t="s">
        <v>6209</v>
      </c>
      <c r="G349" s="1" t="s">
        <v>74</v>
      </c>
      <c r="H349" s="1" t="s">
        <v>74</v>
      </c>
      <c r="I349" s="1" t="s">
        <v>6210</v>
      </c>
      <c r="J349" s="1" t="s">
        <v>6211</v>
      </c>
      <c r="K349" s="1" t="s">
        <v>74</v>
      </c>
      <c r="L349" s="1" t="s">
        <v>74</v>
      </c>
      <c r="M349" s="1" t="s">
        <v>78</v>
      </c>
      <c r="N349" s="1" t="s">
        <v>79</v>
      </c>
      <c r="O349" s="1" t="s">
        <v>74</v>
      </c>
      <c r="P349" s="1" t="s">
        <v>74</v>
      </c>
      <c r="Q349" s="1" t="s">
        <v>74</v>
      </c>
      <c r="R349" s="1" t="s">
        <v>74</v>
      </c>
      <c r="S349" s="1" t="s">
        <v>74</v>
      </c>
      <c r="T349" s="1" t="s">
        <v>74</v>
      </c>
      <c r="U349" s="1" t="s">
        <v>6212</v>
      </c>
      <c r="V349" s="1" t="s">
        <v>6213</v>
      </c>
      <c r="W349" s="1" t="s">
        <v>6214</v>
      </c>
      <c r="X349" s="1" t="s">
        <v>6215</v>
      </c>
      <c r="Y349" s="1" t="s">
        <v>6216</v>
      </c>
      <c r="Z349" s="1" t="s">
        <v>6217</v>
      </c>
      <c r="AA349" s="1" t="s">
        <v>6218</v>
      </c>
      <c r="AB349" s="1" t="s">
        <v>74</v>
      </c>
      <c r="AC349" s="1" t="s">
        <v>74</v>
      </c>
      <c r="AD349" s="1" t="s">
        <v>74</v>
      </c>
      <c r="AE349" s="1" t="s">
        <v>74</v>
      </c>
      <c r="AF349" s="1" t="s">
        <v>74</v>
      </c>
      <c r="AG349" s="1">
        <v>46</v>
      </c>
      <c r="AH349" s="1">
        <v>32</v>
      </c>
      <c r="AI349" s="1">
        <v>36</v>
      </c>
      <c r="AJ349" s="1">
        <v>0</v>
      </c>
      <c r="AK349" s="1">
        <v>38</v>
      </c>
      <c r="AL349" s="1" t="s">
        <v>112</v>
      </c>
      <c r="AM349" s="1" t="s">
        <v>191</v>
      </c>
      <c r="AN349" s="1" t="s">
        <v>192</v>
      </c>
      <c r="AO349" s="1" t="s">
        <v>6219</v>
      </c>
      <c r="AP349" s="1" t="s">
        <v>6220</v>
      </c>
      <c r="AQ349" s="1" t="s">
        <v>74</v>
      </c>
      <c r="AR349" s="1" t="s">
        <v>6211</v>
      </c>
      <c r="AS349" s="1" t="s">
        <v>6221</v>
      </c>
      <c r="AT349" s="1" t="s">
        <v>951</v>
      </c>
      <c r="AU349" s="1">
        <v>2007</v>
      </c>
      <c r="AV349" s="1">
        <v>36</v>
      </c>
      <c r="AW349" s="1">
        <v>7</v>
      </c>
      <c r="AX349" s="1" t="s">
        <v>74</v>
      </c>
      <c r="AY349" s="1" t="s">
        <v>74</v>
      </c>
      <c r="AZ349" s="1" t="s">
        <v>74</v>
      </c>
      <c r="BA349" s="1" t="s">
        <v>74</v>
      </c>
      <c r="BB349" s="1">
        <v>571</v>
      </c>
      <c r="BC349" s="1">
        <v>574</v>
      </c>
      <c r="BD349" s="1" t="s">
        <v>74</v>
      </c>
      <c r="BE349" s="1" t="s">
        <v>74</v>
      </c>
      <c r="BF349" s="1" t="s">
        <v>74</v>
      </c>
      <c r="BG349" s="1" t="s">
        <v>74</v>
      </c>
      <c r="BH349" s="1" t="s">
        <v>74</v>
      </c>
      <c r="BI349" s="1">
        <v>4</v>
      </c>
      <c r="BJ349" s="1" t="s">
        <v>415</v>
      </c>
      <c r="BK349" s="1" t="s">
        <v>96</v>
      </c>
      <c r="BL349" s="1" t="s">
        <v>416</v>
      </c>
      <c r="BM349" s="1" t="s">
        <v>6222</v>
      </c>
      <c r="BN349" s="1">
        <v>18074894</v>
      </c>
      <c r="BO349" s="1" t="s">
        <v>74</v>
      </c>
      <c r="BP349" s="1" t="s">
        <v>74</v>
      </c>
      <c r="BQ349" s="1" t="s">
        <v>74</v>
      </c>
      <c r="BR349" s="1" t="s">
        <v>98</v>
      </c>
      <c r="BS349" s="1" t="s">
        <v>6223</v>
      </c>
      <c r="BT349" s="1" t="str">
        <f>HYPERLINK("https%3A%2F%2Fwww.webofscience.com%2Fwos%2Fwoscc%2Ffull-record%2FWOS:000250963000010","View Full Record in Web of Science")</f>
        <v>View Full Record in Web of Science</v>
      </c>
    </row>
    <row r="350" spans="1:72">
      <c r="A350" s="1" t="s">
        <v>72</v>
      </c>
      <c r="B350" s="1" t="s">
        <v>6224</v>
      </c>
      <c r="C350" s="1" t="s">
        <v>74</v>
      </c>
      <c r="D350" s="1" t="s">
        <v>74</v>
      </c>
      <c r="E350" s="1" t="s">
        <v>74</v>
      </c>
      <c r="F350" s="1" t="s">
        <v>6225</v>
      </c>
      <c r="G350" s="1" t="s">
        <v>74</v>
      </c>
      <c r="H350" s="1" t="s">
        <v>74</v>
      </c>
      <c r="I350" s="1" t="s">
        <v>6226</v>
      </c>
      <c r="J350" s="1" t="s">
        <v>204</v>
      </c>
      <c r="K350" s="1" t="s">
        <v>74</v>
      </c>
      <c r="L350" s="1" t="s">
        <v>74</v>
      </c>
      <c r="M350" s="1" t="s">
        <v>78</v>
      </c>
      <c r="N350" s="1" t="s">
        <v>79</v>
      </c>
      <c r="O350" s="1" t="s">
        <v>74</v>
      </c>
      <c r="P350" s="1" t="s">
        <v>74</v>
      </c>
      <c r="Q350" s="1" t="s">
        <v>74</v>
      </c>
      <c r="R350" s="1" t="s">
        <v>74</v>
      </c>
      <c r="S350" s="1" t="s">
        <v>74</v>
      </c>
      <c r="T350" s="1" t="s">
        <v>6227</v>
      </c>
      <c r="U350" s="1" t="s">
        <v>6228</v>
      </c>
      <c r="V350" s="1" t="s">
        <v>6229</v>
      </c>
      <c r="W350" s="1" t="s">
        <v>6230</v>
      </c>
      <c r="X350" s="1" t="s">
        <v>6231</v>
      </c>
      <c r="Y350" s="1" t="s">
        <v>6232</v>
      </c>
      <c r="Z350" s="1" t="s">
        <v>6233</v>
      </c>
      <c r="AA350" s="1" t="s">
        <v>6234</v>
      </c>
      <c r="AB350" s="1" t="s">
        <v>74</v>
      </c>
      <c r="AC350" s="1" t="s">
        <v>74</v>
      </c>
      <c r="AD350" s="1" t="s">
        <v>74</v>
      </c>
      <c r="AE350" s="1" t="s">
        <v>74</v>
      </c>
      <c r="AF350" s="1" t="s">
        <v>74</v>
      </c>
      <c r="AG350" s="1">
        <v>69</v>
      </c>
      <c r="AH350" s="1">
        <v>31</v>
      </c>
      <c r="AI350" s="1">
        <v>32</v>
      </c>
      <c r="AJ350" s="1">
        <v>1</v>
      </c>
      <c r="AK350" s="1">
        <v>52</v>
      </c>
      <c r="AL350" s="1" t="s">
        <v>217</v>
      </c>
      <c r="AM350" s="1" t="s">
        <v>218</v>
      </c>
      <c r="AN350" s="1" t="s">
        <v>219</v>
      </c>
      <c r="AO350" s="1" t="s">
        <v>220</v>
      </c>
      <c r="AP350" s="1" t="s">
        <v>221</v>
      </c>
      <c r="AQ350" s="1" t="s">
        <v>74</v>
      </c>
      <c r="AR350" s="1" t="s">
        <v>222</v>
      </c>
      <c r="AS350" s="1" t="s">
        <v>223</v>
      </c>
      <c r="AT350" s="1" t="s">
        <v>765</v>
      </c>
      <c r="AU350" s="1">
        <v>2017</v>
      </c>
      <c r="AV350" s="1">
        <v>24</v>
      </c>
      <c r="AW350" s="1">
        <v>19</v>
      </c>
      <c r="AX350" s="1" t="s">
        <v>74</v>
      </c>
      <c r="AY350" s="1" t="s">
        <v>74</v>
      </c>
      <c r="AZ350" s="1" t="s">
        <v>225</v>
      </c>
      <c r="BA350" s="1" t="s">
        <v>74</v>
      </c>
      <c r="BB350" s="1">
        <v>16137</v>
      </c>
      <c r="BC350" s="1">
        <v>16147</v>
      </c>
      <c r="BD350" s="1" t="s">
        <v>74</v>
      </c>
      <c r="BE350" s="1" t="s">
        <v>6235</v>
      </c>
      <c r="BF350" s="1" t="str">
        <f>HYPERLINK("http://dx.doi.org/10.1007/s11356-017-9266-0","http://dx.doi.org/10.1007/s11356-017-9266-0")</f>
        <v>http://dx.doi.org/10.1007/s11356-017-9266-0</v>
      </c>
      <c r="BG350" s="1" t="s">
        <v>74</v>
      </c>
      <c r="BH350" s="1" t="s">
        <v>74</v>
      </c>
      <c r="BI350" s="1">
        <v>11</v>
      </c>
      <c r="BJ350" s="1" t="s">
        <v>144</v>
      </c>
      <c r="BK350" s="1" t="s">
        <v>96</v>
      </c>
      <c r="BL350" s="1" t="s">
        <v>145</v>
      </c>
      <c r="BM350" s="1" t="s">
        <v>6236</v>
      </c>
      <c r="BN350" s="1">
        <v>28537033</v>
      </c>
      <c r="BO350" s="1" t="s">
        <v>74</v>
      </c>
      <c r="BP350" s="1" t="s">
        <v>74</v>
      </c>
      <c r="BQ350" s="1" t="s">
        <v>74</v>
      </c>
      <c r="BR350" s="1" t="s">
        <v>98</v>
      </c>
      <c r="BS350" s="1" t="s">
        <v>6237</v>
      </c>
      <c r="BT350" s="1" t="str">
        <f>HYPERLINK("https%3A%2F%2Fwww.webofscience.com%2Fwos%2Fwoscc%2Ffull-record%2FWOS:000405561200023","View Full Record in Web of Science")</f>
        <v>View Full Record in Web of Science</v>
      </c>
    </row>
    <row r="351" spans="1:72">
      <c r="A351" s="1" t="s">
        <v>72</v>
      </c>
      <c r="B351" s="1" t="s">
        <v>6238</v>
      </c>
      <c r="C351" s="1" t="s">
        <v>74</v>
      </c>
      <c r="D351" s="1" t="s">
        <v>74</v>
      </c>
      <c r="E351" s="1" t="s">
        <v>74</v>
      </c>
      <c r="F351" s="1" t="s">
        <v>6239</v>
      </c>
      <c r="G351" s="1" t="s">
        <v>74</v>
      </c>
      <c r="H351" s="1" t="s">
        <v>74</v>
      </c>
      <c r="I351" s="1" t="s">
        <v>6240</v>
      </c>
      <c r="J351" s="1" t="s">
        <v>495</v>
      </c>
      <c r="K351" s="1" t="s">
        <v>74</v>
      </c>
      <c r="L351" s="1" t="s">
        <v>74</v>
      </c>
      <c r="M351" s="1" t="s">
        <v>78</v>
      </c>
      <c r="N351" s="1" t="s">
        <v>79</v>
      </c>
      <c r="O351" s="1" t="s">
        <v>74</v>
      </c>
      <c r="P351" s="1" t="s">
        <v>74</v>
      </c>
      <c r="Q351" s="1" t="s">
        <v>74</v>
      </c>
      <c r="R351" s="1" t="s">
        <v>74</v>
      </c>
      <c r="S351" s="1" t="s">
        <v>74</v>
      </c>
      <c r="T351" s="1" t="s">
        <v>6241</v>
      </c>
      <c r="U351" s="1" t="s">
        <v>6242</v>
      </c>
      <c r="V351" s="1" t="s">
        <v>6243</v>
      </c>
      <c r="W351" s="1" t="s">
        <v>6244</v>
      </c>
      <c r="X351" s="1" t="s">
        <v>4668</v>
      </c>
      <c r="Y351" s="1" t="s">
        <v>6245</v>
      </c>
      <c r="Z351" s="1" t="s">
        <v>6246</v>
      </c>
      <c r="AA351" s="1" t="s">
        <v>4671</v>
      </c>
      <c r="AB351" s="1" t="s">
        <v>74</v>
      </c>
      <c r="AC351" s="1" t="s">
        <v>4673</v>
      </c>
      <c r="AD351" s="1" t="s">
        <v>4673</v>
      </c>
      <c r="AE351" s="1" t="s">
        <v>6247</v>
      </c>
      <c r="AF351" s="1" t="s">
        <v>74</v>
      </c>
      <c r="AG351" s="1">
        <v>29</v>
      </c>
      <c r="AH351" s="1">
        <v>2</v>
      </c>
      <c r="AI351" s="1">
        <v>2</v>
      </c>
      <c r="AJ351" s="1">
        <v>0</v>
      </c>
      <c r="AK351" s="1">
        <v>9</v>
      </c>
      <c r="AL351" s="1" t="s">
        <v>1030</v>
      </c>
      <c r="AM351" s="1" t="s">
        <v>1031</v>
      </c>
      <c r="AN351" s="1" t="s">
        <v>1032</v>
      </c>
      <c r="AO351" s="1" t="s">
        <v>507</v>
      </c>
      <c r="AP351" s="1" t="s">
        <v>1033</v>
      </c>
      <c r="AQ351" s="1" t="s">
        <v>74</v>
      </c>
      <c r="AR351" s="1" t="s">
        <v>508</v>
      </c>
      <c r="AS351" s="1" t="s">
        <v>509</v>
      </c>
      <c r="AT351" s="1" t="s">
        <v>74</v>
      </c>
      <c r="AU351" s="1">
        <v>2017</v>
      </c>
      <c r="AV351" s="1">
        <v>26</v>
      </c>
      <c r="AW351" s="1">
        <v>6</v>
      </c>
      <c r="AX351" s="1" t="s">
        <v>74</v>
      </c>
      <c r="AY351" s="1" t="s">
        <v>74</v>
      </c>
      <c r="AZ351" s="1" t="s">
        <v>74</v>
      </c>
      <c r="BA351" s="1" t="s">
        <v>74</v>
      </c>
      <c r="BB351" s="1">
        <v>3756</v>
      </c>
      <c r="BC351" s="1">
        <v>3763</v>
      </c>
      <c r="BD351" s="1" t="s">
        <v>74</v>
      </c>
      <c r="BE351" s="1" t="s">
        <v>74</v>
      </c>
      <c r="BF351" s="1" t="s">
        <v>74</v>
      </c>
      <c r="BG351" s="1" t="s">
        <v>74</v>
      </c>
      <c r="BH351" s="1" t="s">
        <v>74</v>
      </c>
      <c r="BI351" s="1">
        <v>8</v>
      </c>
      <c r="BJ351" s="1" t="s">
        <v>144</v>
      </c>
      <c r="BK351" s="1" t="s">
        <v>96</v>
      </c>
      <c r="BL351" s="1" t="s">
        <v>145</v>
      </c>
      <c r="BM351" s="1" t="s">
        <v>6248</v>
      </c>
      <c r="BN351" s="1" t="s">
        <v>74</v>
      </c>
      <c r="BO351" s="1" t="s">
        <v>74</v>
      </c>
      <c r="BP351" s="1" t="s">
        <v>74</v>
      </c>
      <c r="BQ351" s="1" t="s">
        <v>74</v>
      </c>
      <c r="BR351" s="1" t="s">
        <v>98</v>
      </c>
      <c r="BS351" s="1" t="s">
        <v>6249</v>
      </c>
      <c r="BT351" s="1" t="str">
        <f>HYPERLINK("https%3A%2F%2Fwww.webofscience.com%2Fwos%2Fwoscc%2Ffull-record%2FWOS:000405360700004","View Full Record in Web of Science")</f>
        <v>View Full Record in Web of Science</v>
      </c>
    </row>
    <row r="352" spans="1:72">
      <c r="A352" s="1" t="s">
        <v>72</v>
      </c>
      <c r="B352" s="1" t="s">
        <v>6250</v>
      </c>
      <c r="C352" s="1" t="s">
        <v>74</v>
      </c>
      <c r="D352" s="1" t="s">
        <v>74</v>
      </c>
      <c r="E352" s="1" t="s">
        <v>74</v>
      </c>
      <c r="F352" s="1" t="s">
        <v>6251</v>
      </c>
      <c r="G352" s="1" t="s">
        <v>74</v>
      </c>
      <c r="H352" s="1" t="s">
        <v>74</v>
      </c>
      <c r="I352" s="1" t="s">
        <v>6252</v>
      </c>
      <c r="J352" s="1" t="s">
        <v>2323</v>
      </c>
      <c r="K352" s="1" t="s">
        <v>74</v>
      </c>
      <c r="L352" s="1" t="s">
        <v>74</v>
      </c>
      <c r="M352" s="1" t="s">
        <v>78</v>
      </c>
      <c r="N352" s="1" t="s">
        <v>79</v>
      </c>
      <c r="O352" s="1" t="s">
        <v>74</v>
      </c>
      <c r="P352" s="1" t="s">
        <v>74</v>
      </c>
      <c r="Q352" s="1" t="s">
        <v>74</v>
      </c>
      <c r="R352" s="1" t="s">
        <v>74</v>
      </c>
      <c r="S352" s="1" t="s">
        <v>74</v>
      </c>
      <c r="T352" s="1" t="s">
        <v>6253</v>
      </c>
      <c r="U352" s="1" t="s">
        <v>6254</v>
      </c>
      <c r="V352" s="1" t="s">
        <v>6255</v>
      </c>
      <c r="W352" s="1" t="s">
        <v>6256</v>
      </c>
      <c r="X352" s="1" t="s">
        <v>6257</v>
      </c>
      <c r="Y352" s="1" t="s">
        <v>6258</v>
      </c>
      <c r="Z352" s="1" t="s">
        <v>6259</v>
      </c>
      <c r="AA352" s="1" t="s">
        <v>74</v>
      </c>
      <c r="AB352" s="1" t="s">
        <v>649</v>
      </c>
      <c r="AC352" s="1" t="s">
        <v>74</v>
      </c>
      <c r="AD352" s="1" t="s">
        <v>74</v>
      </c>
      <c r="AE352" s="1" t="s">
        <v>74</v>
      </c>
      <c r="AF352" s="1" t="s">
        <v>74</v>
      </c>
      <c r="AG352" s="1">
        <v>51</v>
      </c>
      <c r="AH352" s="1">
        <v>39</v>
      </c>
      <c r="AI352" s="1">
        <v>41</v>
      </c>
      <c r="AJ352" s="1">
        <v>1</v>
      </c>
      <c r="AK352" s="1">
        <v>22</v>
      </c>
      <c r="AL352" s="1" t="s">
        <v>2336</v>
      </c>
      <c r="AM352" s="1" t="s">
        <v>113</v>
      </c>
      <c r="AN352" s="1" t="s">
        <v>2337</v>
      </c>
      <c r="AO352" s="1" t="s">
        <v>2338</v>
      </c>
      <c r="AP352" s="1" t="s">
        <v>2339</v>
      </c>
      <c r="AQ352" s="1" t="s">
        <v>74</v>
      </c>
      <c r="AR352" s="1" t="s">
        <v>2323</v>
      </c>
      <c r="AS352" s="1" t="s">
        <v>2340</v>
      </c>
      <c r="AT352" s="1" t="s">
        <v>224</v>
      </c>
      <c r="AU352" s="1">
        <v>2007</v>
      </c>
      <c r="AV352" s="1">
        <v>134</v>
      </c>
      <c r="AW352" s="1" t="s">
        <v>74</v>
      </c>
      <c r="AX352" s="1">
        <v>2</v>
      </c>
      <c r="AY352" s="1" t="s">
        <v>74</v>
      </c>
      <c r="AZ352" s="1" t="s">
        <v>74</v>
      </c>
      <c r="BA352" s="1" t="s">
        <v>74</v>
      </c>
      <c r="BB352" s="1">
        <v>237</v>
      </c>
      <c r="BC352" s="1">
        <v>245</v>
      </c>
      <c r="BD352" s="1" t="s">
        <v>74</v>
      </c>
      <c r="BE352" s="1" t="s">
        <v>6260</v>
      </c>
      <c r="BF352" s="1" t="str">
        <f>HYPERLINK("http://dx.doi.org/10.1017/S0031182006001375","http://dx.doi.org/10.1017/S0031182006001375")</f>
        <v>http://dx.doi.org/10.1017/S0031182006001375</v>
      </c>
      <c r="BG352" s="1" t="s">
        <v>74</v>
      </c>
      <c r="BH352" s="1" t="s">
        <v>74</v>
      </c>
      <c r="BI352" s="1">
        <v>9</v>
      </c>
      <c r="BJ352" s="1" t="s">
        <v>2340</v>
      </c>
      <c r="BK352" s="1" t="s">
        <v>96</v>
      </c>
      <c r="BL352" s="1" t="s">
        <v>2340</v>
      </c>
      <c r="BM352" s="1" t="s">
        <v>6261</v>
      </c>
      <c r="BN352" s="1">
        <v>17032474</v>
      </c>
      <c r="BO352" s="1" t="s">
        <v>74</v>
      </c>
      <c r="BP352" s="1" t="s">
        <v>74</v>
      </c>
      <c r="BQ352" s="1" t="s">
        <v>74</v>
      </c>
      <c r="BR352" s="1" t="s">
        <v>98</v>
      </c>
      <c r="BS352" s="1" t="s">
        <v>6262</v>
      </c>
      <c r="BT352" s="1" t="str">
        <f>HYPERLINK("https%3A%2F%2Fwww.webofscience.com%2Fwos%2Fwoscc%2Ffull-record%2FWOS:000243958800009","View Full Record in Web of Science")</f>
        <v>View Full Record in Web of Science</v>
      </c>
    </row>
    <row r="353" spans="1:72">
      <c r="A353" s="1" t="s">
        <v>72</v>
      </c>
      <c r="B353" s="1" t="s">
        <v>6263</v>
      </c>
      <c r="C353" s="1" t="s">
        <v>74</v>
      </c>
      <c r="D353" s="1" t="s">
        <v>74</v>
      </c>
      <c r="E353" s="1" t="s">
        <v>74</v>
      </c>
      <c r="F353" s="1" t="s">
        <v>6264</v>
      </c>
      <c r="G353" s="1" t="s">
        <v>74</v>
      </c>
      <c r="H353" s="1" t="s">
        <v>74</v>
      </c>
      <c r="I353" s="1" t="s">
        <v>6265</v>
      </c>
      <c r="J353" s="1" t="s">
        <v>5413</v>
      </c>
      <c r="K353" s="1" t="s">
        <v>74</v>
      </c>
      <c r="L353" s="1" t="s">
        <v>74</v>
      </c>
      <c r="M353" s="1" t="s">
        <v>78</v>
      </c>
      <c r="N353" s="1" t="s">
        <v>79</v>
      </c>
      <c r="O353" s="1" t="s">
        <v>74</v>
      </c>
      <c r="P353" s="1" t="s">
        <v>74</v>
      </c>
      <c r="Q353" s="1" t="s">
        <v>74</v>
      </c>
      <c r="R353" s="1" t="s">
        <v>74</v>
      </c>
      <c r="S353" s="1" t="s">
        <v>74</v>
      </c>
      <c r="T353" s="1" t="s">
        <v>6266</v>
      </c>
      <c r="U353" s="1" t="s">
        <v>6267</v>
      </c>
      <c r="V353" s="1" t="s">
        <v>6268</v>
      </c>
      <c r="W353" s="1" t="s">
        <v>6269</v>
      </c>
      <c r="X353" s="1" t="s">
        <v>4489</v>
      </c>
      <c r="Y353" s="1" t="s">
        <v>6270</v>
      </c>
      <c r="Z353" s="1" t="s">
        <v>3709</v>
      </c>
      <c r="AA353" s="1" t="s">
        <v>6271</v>
      </c>
      <c r="AB353" s="1" t="s">
        <v>6272</v>
      </c>
      <c r="AC353" s="1" t="s">
        <v>6273</v>
      </c>
      <c r="AD353" s="1" t="s">
        <v>6274</v>
      </c>
      <c r="AE353" s="1" t="s">
        <v>6275</v>
      </c>
      <c r="AF353" s="1" t="s">
        <v>74</v>
      </c>
      <c r="AG353" s="1">
        <v>40</v>
      </c>
      <c r="AH353" s="1">
        <v>70</v>
      </c>
      <c r="AI353" s="1">
        <v>76</v>
      </c>
      <c r="AJ353" s="1">
        <v>3</v>
      </c>
      <c r="AK353" s="1">
        <v>55</v>
      </c>
      <c r="AL353" s="1" t="s">
        <v>650</v>
      </c>
      <c r="AM353" s="1" t="s">
        <v>651</v>
      </c>
      <c r="AN353" s="1" t="s">
        <v>652</v>
      </c>
      <c r="AO353" s="1" t="s">
        <v>5426</v>
      </c>
      <c r="AP353" s="1" t="s">
        <v>5427</v>
      </c>
      <c r="AQ353" s="1" t="s">
        <v>74</v>
      </c>
      <c r="AR353" s="1" t="s">
        <v>5428</v>
      </c>
      <c r="AS353" s="1" t="s">
        <v>5429</v>
      </c>
      <c r="AT353" s="1" t="s">
        <v>1223</v>
      </c>
      <c r="AU353" s="1">
        <v>2011</v>
      </c>
      <c r="AV353" s="1">
        <v>31</v>
      </c>
      <c r="AW353" s="1">
        <v>2</v>
      </c>
      <c r="AX353" s="1" t="s">
        <v>74</v>
      </c>
      <c r="AY353" s="1" t="s">
        <v>74</v>
      </c>
      <c r="AZ353" s="1" t="s">
        <v>74</v>
      </c>
      <c r="BA353" s="1" t="s">
        <v>74</v>
      </c>
      <c r="BB353" s="1">
        <v>323</v>
      </c>
      <c r="BC353" s="1">
        <v>332</v>
      </c>
      <c r="BD353" s="1" t="s">
        <v>74</v>
      </c>
      <c r="BE353" s="1" t="s">
        <v>6276</v>
      </c>
      <c r="BF353" s="1" t="str">
        <f>HYPERLINK("http://dx.doi.org/10.1016/j.etap.2010.12.003","http://dx.doi.org/10.1016/j.etap.2010.12.003")</f>
        <v>http://dx.doi.org/10.1016/j.etap.2010.12.003</v>
      </c>
      <c r="BG353" s="1" t="s">
        <v>74</v>
      </c>
      <c r="BH353" s="1" t="s">
        <v>74</v>
      </c>
      <c r="BI353" s="1">
        <v>10</v>
      </c>
      <c r="BJ353" s="1" t="s">
        <v>5431</v>
      </c>
      <c r="BK353" s="1" t="s">
        <v>96</v>
      </c>
      <c r="BL353" s="1" t="s">
        <v>5432</v>
      </c>
      <c r="BM353" s="1" t="s">
        <v>6277</v>
      </c>
      <c r="BN353" s="1">
        <v>21787701</v>
      </c>
      <c r="BO353" s="1" t="s">
        <v>74</v>
      </c>
      <c r="BP353" s="1" t="s">
        <v>74</v>
      </c>
      <c r="BQ353" s="1" t="s">
        <v>74</v>
      </c>
      <c r="BR353" s="1" t="s">
        <v>98</v>
      </c>
      <c r="BS353" s="1" t="s">
        <v>6278</v>
      </c>
      <c r="BT353" s="1" t="str">
        <f>HYPERLINK("https%3A%2F%2Fwww.webofscience.com%2Fwos%2Fwoscc%2Ffull-record%2FWOS:000288636200008","View Full Record in Web of Science")</f>
        <v>View Full Record in Web of Science</v>
      </c>
    </row>
    <row r="354" spans="1:72">
      <c r="A354" s="1" t="s">
        <v>72</v>
      </c>
      <c r="B354" s="1" t="s">
        <v>6279</v>
      </c>
      <c r="C354" s="1" t="s">
        <v>74</v>
      </c>
      <c r="D354" s="1" t="s">
        <v>74</v>
      </c>
      <c r="E354" s="1" t="s">
        <v>74</v>
      </c>
      <c r="F354" s="1" t="s">
        <v>6280</v>
      </c>
      <c r="G354" s="1" t="s">
        <v>74</v>
      </c>
      <c r="H354" s="1" t="s">
        <v>74</v>
      </c>
      <c r="I354" s="1" t="s">
        <v>6281</v>
      </c>
      <c r="J354" s="1" t="s">
        <v>1337</v>
      </c>
      <c r="K354" s="1" t="s">
        <v>74</v>
      </c>
      <c r="L354" s="1" t="s">
        <v>74</v>
      </c>
      <c r="M354" s="1" t="s">
        <v>78</v>
      </c>
      <c r="N354" s="1" t="s">
        <v>79</v>
      </c>
      <c r="O354" s="1" t="s">
        <v>74</v>
      </c>
      <c r="P354" s="1" t="s">
        <v>74</v>
      </c>
      <c r="Q354" s="1" t="s">
        <v>74</v>
      </c>
      <c r="R354" s="1" t="s">
        <v>74</v>
      </c>
      <c r="S354" s="1" t="s">
        <v>74</v>
      </c>
      <c r="T354" s="1" t="s">
        <v>6282</v>
      </c>
      <c r="U354" s="1" t="s">
        <v>6283</v>
      </c>
      <c r="V354" s="1" t="s">
        <v>6284</v>
      </c>
      <c r="W354" s="1" t="s">
        <v>6285</v>
      </c>
      <c r="X354" s="1" t="s">
        <v>6286</v>
      </c>
      <c r="Y354" s="1" t="s">
        <v>6287</v>
      </c>
      <c r="Z354" s="1" t="s">
        <v>6288</v>
      </c>
      <c r="AA354" s="1" t="s">
        <v>74</v>
      </c>
      <c r="AB354" s="1" t="s">
        <v>74</v>
      </c>
      <c r="AC354" s="1" t="s">
        <v>6289</v>
      </c>
      <c r="AD354" s="1" t="s">
        <v>525</v>
      </c>
      <c r="AE354" s="1" t="s">
        <v>6290</v>
      </c>
      <c r="AF354" s="1" t="s">
        <v>74</v>
      </c>
      <c r="AG354" s="1">
        <v>75</v>
      </c>
      <c r="AH354" s="1">
        <v>6</v>
      </c>
      <c r="AI354" s="1">
        <v>6</v>
      </c>
      <c r="AJ354" s="1">
        <v>3</v>
      </c>
      <c r="AK354" s="1">
        <v>20</v>
      </c>
      <c r="AL354" s="1" t="s">
        <v>1350</v>
      </c>
      <c r="AM354" s="1" t="s">
        <v>1351</v>
      </c>
      <c r="AN354" s="1" t="s">
        <v>1352</v>
      </c>
      <c r="AO354" s="1" t="s">
        <v>74</v>
      </c>
      <c r="AP354" s="1" t="s">
        <v>1353</v>
      </c>
      <c r="AQ354" s="1" t="s">
        <v>74</v>
      </c>
      <c r="AR354" s="1" t="s">
        <v>1354</v>
      </c>
      <c r="AS354" s="1" t="s">
        <v>1355</v>
      </c>
      <c r="AT354" s="1" t="s">
        <v>6291</v>
      </c>
      <c r="AU354" s="1">
        <v>2019</v>
      </c>
      <c r="AV354" s="1">
        <v>6</v>
      </c>
      <c r="AW354" s="1" t="s">
        <v>74</v>
      </c>
      <c r="AX354" s="1" t="s">
        <v>74</v>
      </c>
      <c r="AY354" s="1" t="s">
        <v>74</v>
      </c>
      <c r="AZ354" s="1" t="s">
        <v>74</v>
      </c>
      <c r="BA354" s="1" t="s">
        <v>74</v>
      </c>
      <c r="BB354" s="1" t="s">
        <v>74</v>
      </c>
      <c r="BC354" s="1" t="s">
        <v>74</v>
      </c>
      <c r="BD354" s="1">
        <v>547</v>
      </c>
      <c r="BE354" s="1" t="s">
        <v>6292</v>
      </c>
      <c r="BF354" s="1" t="str">
        <f>HYPERLINK("http://dx.doi.org/10.3389/fmars.2019.00547","http://dx.doi.org/10.3389/fmars.2019.00547")</f>
        <v>http://dx.doi.org/10.3389/fmars.2019.00547</v>
      </c>
      <c r="BG354" s="1" t="s">
        <v>74</v>
      </c>
      <c r="BH354" s="1" t="s">
        <v>74</v>
      </c>
      <c r="BI354" s="1">
        <v>11</v>
      </c>
      <c r="BJ354" s="1" t="s">
        <v>247</v>
      </c>
      <c r="BK354" s="1" t="s">
        <v>96</v>
      </c>
      <c r="BL354" s="1" t="s">
        <v>248</v>
      </c>
      <c r="BM354" s="1" t="s">
        <v>6293</v>
      </c>
      <c r="BN354" s="1" t="s">
        <v>74</v>
      </c>
      <c r="BO354" s="1" t="s">
        <v>873</v>
      </c>
      <c r="BP354" s="1" t="s">
        <v>74</v>
      </c>
      <c r="BQ354" s="1" t="s">
        <v>74</v>
      </c>
      <c r="BR354" s="1" t="s">
        <v>98</v>
      </c>
      <c r="BS354" s="1" t="s">
        <v>6294</v>
      </c>
      <c r="BT354" s="1" t="str">
        <f>HYPERLINK("https%3A%2F%2Fwww.webofscience.com%2Fwos%2Fwoscc%2Ffull-record%2FWOS:000483601500001","View Full Record in Web of Science")</f>
        <v>View Full Record in Web of Science</v>
      </c>
    </row>
    <row r="355" spans="1:72">
      <c r="A355" s="1" t="s">
        <v>72</v>
      </c>
      <c r="B355" s="1" t="s">
        <v>6295</v>
      </c>
      <c r="C355" s="1" t="s">
        <v>74</v>
      </c>
      <c r="D355" s="1" t="s">
        <v>74</v>
      </c>
      <c r="E355" s="1" t="s">
        <v>74</v>
      </c>
      <c r="F355" s="1" t="s">
        <v>6295</v>
      </c>
      <c r="G355" s="1" t="s">
        <v>74</v>
      </c>
      <c r="H355" s="1" t="s">
        <v>74</v>
      </c>
      <c r="I355" s="1" t="s">
        <v>6296</v>
      </c>
      <c r="J355" s="1" t="s">
        <v>998</v>
      </c>
      <c r="K355" s="1" t="s">
        <v>74</v>
      </c>
      <c r="L355" s="1" t="s">
        <v>74</v>
      </c>
      <c r="M355" s="1" t="s">
        <v>78</v>
      </c>
      <c r="N355" s="1" t="s">
        <v>79</v>
      </c>
      <c r="O355" s="1" t="s">
        <v>74</v>
      </c>
      <c r="P355" s="1" t="s">
        <v>74</v>
      </c>
      <c r="Q355" s="1" t="s">
        <v>74</v>
      </c>
      <c r="R355" s="1" t="s">
        <v>74</v>
      </c>
      <c r="S355" s="1" t="s">
        <v>74</v>
      </c>
      <c r="T355" s="1" t="s">
        <v>74</v>
      </c>
      <c r="U355" s="1" t="s">
        <v>6297</v>
      </c>
      <c r="V355" s="1" t="s">
        <v>6298</v>
      </c>
      <c r="W355" s="1" t="s">
        <v>6299</v>
      </c>
      <c r="X355" s="1" t="s">
        <v>6300</v>
      </c>
      <c r="Y355" s="1" t="s">
        <v>6301</v>
      </c>
      <c r="Z355" s="1" t="s">
        <v>6302</v>
      </c>
      <c r="AA355" s="1" t="s">
        <v>6303</v>
      </c>
      <c r="AB355" s="1" t="s">
        <v>6304</v>
      </c>
      <c r="AC355" s="1" t="s">
        <v>74</v>
      </c>
      <c r="AD355" s="1" t="s">
        <v>74</v>
      </c>
      <c r="AE355" s="1" t="s">
        <v>74</v>
      </c>
      <c r="AF355" s="1" t="s">
        <v>74</v>
      </c>
      <c r="AG355" s="1">
        <v>43</v>
      </c>
      <c r="AH355" s="1">
        <v>61</v>
      </c>
      <c r="AI355" s="1">
        <v>65</v>
      </c>
      <c r="AJ355" s="1">
        <v>0</v>
      </c>
      <c r="AK355" s="1">
        <v>14</v>
      </c>
      <c r="AL355" s="1" t="s">
        <v>112</v>
      </c>
      <c r="AM355" s="1" t="s">
        <v>113</v>
      </c>
      <c r="AN355" s="1" t="s">
        <v>469</v>
      </c>
      <c r="AO355" s="1" t="s">
        <v>1009</v>
      </c>
      <c r="AP355" s="1" t="s">
        <v>5996</v>
      </c>
      <c r="AQ355" s="1" t="s">
        <v>74</v>
      </c>
      <c r="AR355" s="1" t="s">
        <v>1010</v>
      </c>
      <c r="AS355" s="1" t="s">
        <v>1011</v>
      </c>
      <c r="AT355" s="1" t="s">
        <v>170</v>
      </c>
      <c r="AU355" s="1">
        <v>2003</v>
      </c>
      <c r="AV355" s="1">
        <v>44</v>
      </c>
      <c r="AW355" s="1">
        <v>4</v>
      </c>
      <c r="AX355" s="1" t="s">
        <v>74</v>
      </c>
      <c r="AY355" s="1" t="s">
        <v>74</v>
      </c>
      <c r="AZ355" s="1" t="s">
        <v>74</v>
      </c>
      <c r="BA355" s="1" t="s">
        <v>74</v>
      </c>
      <c r="BB355" s="1">
        <v>476</v>
      </c>
      <c r="BC355" s="1">
        <v>484</v>
      </c>
      <c r="BD355" s="1" t="s">
        <v>74</v>
      </c>
      <c r="BE355" s="1" t="s">
        <v>6305</v>
      </c>
      <c r="BF355" s="1" t="str">
        <f>HYPERLINK("http://dx.doi.org/10.1007/s00244-002-1262-8","http://dx.doi.org/10.1007/s00244-002-1262-8")</f>
        <v>http://dx.doi.org/10.1007/s00244-002-1262-8</v>
      </c>
      <c r="BG355" s="1" t="s">
        <v>74</v>
      </c>
      <c r="BH355" s="1" t="s">
        <v>74</v>
      </c>
      <c r="BI355" s="1">
        <v>9</v>
      </c>
      <c r="BJ355" s="1" t="s">
        <v>121</v>
      </c>
      <c r="BK355" s="1" t="s">
        <v>96</v>
      </c>
      <c r="BL355" s="1" t="s">
        <v>122</v>
      </c>
      <c r="BM355" s="1" t="s">
        <v>6306</v>
      </c>
      <c r="BN355" s="1">
        <v>12712278</v>
      </c>
      <c r="BO355" s="1" t="s">
        <v>74</v>
      </c>
      <c r="BP355" s="1" t="s">
        <v>74</v>
      </c>
      <c r="BQ355" s="1" t="s">
        <v>74</v>
      </c>
      <c r="BR355" s="1" t="s">
        <v>98</v>
      </c>
      <c r="BS355" s="1" t="s">
        <v>6307</v>
      </c>
      <c r="BT355" s="1" t="str">
        <f>HYPERLINK("https%3A%2F%2Fwww.webofscience.com%2Fwos%2Fwoscc%2Ffull-record%2FWOS:000182102400008","View Full Record in Web of Science")</f>
        <v>View Full Record in Web of Science</v>
      </c>
    </row>
    <row r="356" spans="1:72">
      <c r="A356" s="1" t="s">
        <v>72</v>
      </c>
      <c r="B356" s="1" t="s">
        <v>6308</v>
      </c>
      <c r="C356" s="1" t="s">
        <v>74</v>
      </c>
      <c r="D356" s="1" t="s">
        <v>74</v>
      </c>
      <c r="E356" s="1" t="s">
        <v>74</v>
      </c>
      <c r="F356" s="1" t="s">
        <v>6309</v>
      </c>
      <c r="G356" s="1" t="s">
        <v>74</v>
      </c>
      <c r="H356" s="1" t="s">
        <v>74</v>
      </c>
      <c r="I356" s="1" t="s">
        <v>6310</v>
      </c>
      <c r="J356" s="1" t="s">
        <v>1554</v>
      </c>
      <c r="K356" s="1" t="s">
        <v>74</v>
      </c>
      <c r="L356" s="1" t="s">
        <v>74</v>
      </c>
      <c r="M356" s="1" t="s">
        <v>78</v>
      </c>
      <c r="N356" s="1" t="s">
        <v>79</v>
      </c>
      <c r="O356" s="1" t="s">
        <v>74</v>
      </c>
      <c r="P356" s="1" t="s">
        <v>74</v>
      </c>
      <c r="Q356" s="1" t="s">
        <v>74</v>
      </c>
      <c r="R356" s="1" t="s">
        <v>74</v>
      </c>
      <c r="S356" s="1" t="s">
        <v>74</v>
      </c>
      <c r="T356" s="1" t="s">
        <v>6311</v>
      </c>
      <c r="U356" s="1" t="s">
        <v>6312</v>
      </c>
      <c r="V356" s="1" t="s">
        <v>6313</v>
      </c>
      <c r="W356" s="1" t="s">
        <v>6314</v>
      </c>
      <c r="X356" s="1" t="s">
        <v>6315</v>
      </c>
      <c r="Y356" s="1" t="s">
        <v>6316</v>
      </c>
      <c r="Z356" s="1" t="s">
        <v>6317</v>
      </c>
      <c r="AA356" s="1" t="s">
        <v>74</v>
      </c>
      <c r="AB356" s="1" t="s">
        <v>74</v>
      </c>
      <c r="AC356" s="1" t="s">
        <v>6318</v>
      </c>
      <c r="AD356" s="1" t="s">
        <v>6318</v>
      </c>
      <c r="AE356" s="1" t="s">
        <v>6319</v>
      </c>
      <c r="AF356" s="1" t="s">
        <v>74</v>
      </c>
      <c r="AG356" s="1">
        <v>97</v>
      </c>
      <c r="AH356" s="1">
        <v>1</v>
      </c>
      <c r="AI356" s="1">
        <v>1</v>
      </c>
      <c r="AJ356" s="1">
        <v>1</v>
      </c>
      <c r="AK356" s="1">
        <v>4</v>
      </c>
      <c r="AL356" s="1" t="s">
        <v>1566</v>
      </c>
      <c r="AM356" s="1" t="s">
        <v>1567</v>
      </c>
      <c r="AN356" s="1" t="s">
        <v>1568</v>
      </c>
      <c r="AO356" s="1" t="s">
        <v>74</v>
      </c>
      <c r="AP356" s="1" t="s">
        <v>1569</v>
      </c>
      <c r="AQ356" s="1" t="s">
        <v>74</v>
      </c>
      <c r="AR356" s="1" t="s">
        <v>1570</v>
      </c>
      <c r="AS356" s="1" t="s">
        <v>1571</v>
      </c>
      <c r="AT356" s="1" t="s">
        <v>142</v>
      </c>
      <c r="AU356" s="1">
        <v>2023</v>
      </c>
      <c r="AV356" s="1">
        <v>13</v>
      </c>
      <c r="AW356" s="1">
        <v>12</v>
      </c>
      <c r="AX356" s="1" t="s">
        <v>74</v>
      </c>
      <c r="AY356" s="1" t="s">
        <v>74</v>
      </c>
      <c r="AZ356" s="1" t="s">
        <v>74</v>
      </c>
      <c r="BA356" s="1" t="s">
        <v>74</v>
      </c>
      <c r="BB356" s="1" t="s">
        <v>74</v>
      </c>
      <c r="BC356" s="1" t="s">
        <v>74</v>
      </c>
      <c r="BD356" s="1">
        <v>7197</v>
      </c>
      <c r="BE356" s="1" t="s">
        <v>6320</v>
      </c>
      <c r="BF356" s="1" t="str">
        <f>HYPERLINK("http://dx.doi.org/10.3390/app13127197","http://dx.doi.org/10.3390/app13127197")</f>
        <v>http://dx.doi.org/10.3390/app13127197</v>
      </c>
      <c r="BG356" s="1" t="s">
        <v>74</v>
      </c>
      <c r="BH356" s="1" t="s">
        <v>74</v>
      </c>
      <c r="BI356" s="1">
        <v>19</v>
      </c>
      <c r="BJ356" s="1" t="s">
        <v>1573</v>
      </c>
      <c r="BK356" s="1" t="s">
        <v>96</v>
      </c>
      <c r="BL356" s="1" t="s">
        <v>1574</v>
      </c>
      <c r="BM356" s="1" t="s">
        <v>6321</v>
      </c>
      <c r="BN356" s="1" t="s">
        <v>74</v>
      </c>
      <c r="BO356" s="1" t="s">
        <v>873</v>
      </c>
      <c r="BP356" s="1" t="s">
        <v>74</v>
      </c>
      <c r="BQ356" s="1" t="s">
        <v>74</v>
      </c>
      <c r="BR356" s="1" t="s">
        <v>98</v>
      </c>
      <c r="BS356" s="1" t="s">
        <v>6322</v>
      </c>
      <c r="BT356" s="1" t="str">
        <f>HYPERLINK("https%3A%2F%2Fwww.webofscience.com%2Fwos%2Fwoscc%2Ffull-record%2FWOS:001016940600001","View Full Record in Web of Science")</f>
        <v>View Full Record in Web of Science</v>
      </c>
    </row>
    <row r="357" spans="1:72">
      <c r="A357" s="1" t="s">
        <v>72</v>
      </c>
      <c r="B357" s="1" t="s">
        <v>6323</v>
      </c>
      <c r="C357" s="1" t="s">
        <v>74</v>
      </c>
      <c r="D357" s="1" t="s">
        <v>74</v>
      </c>
      <c r="E357" s="1" t="s">
        <v>74</v>
      </c>
      <c r="F357" s="1" t="s">
        <v>6323</v>
      </c>
      <c r="G357" s="1" t="s">
        <v>74</v>
      </c>
      <c r="H357" s="1" t="s">
        <v>74</v>
      </c>
      <c r="I357" s="1" t="s">
        <v>6324</v>
      </c>
      <c r="J357" s="1" t="s">
        <v>6325</v>
      </c>
      <c r="K357" s="1" t="s">
        <v>74</v>
      </c>
      <c r="L357" s="1" t="s">
        <v>74</v>
      </c>
      <c r="M357" s="1" t="s">
        <v>78</v>
      </c>
      <c r="N357" s="1" t="s">
        <v>79</v>
      </c>
      <c r="O357" s="1" t="s">
        <v>74</v>
      </c>
      <c r="P357" s="1" t="s">
        <v>74</v>
      </c>
      <c r="Q357" s="1" t="s">
        <v>74</v>
      </c>
      <c r="R357" s="1" t="s">
        <v>74</v>
      </c>
      <c r="S357" s="1" t="s">
        <v>74</v>
      </c>
      <c r="T357" s="1" t="s">
        <v>6326</v>
      </c>
      <c r="U357" s="1" t="s">
        <v>6327</v>
      </c>
      <c r="V357" s="1" t="s">
        <v>6328</v>
      </c>
      <c r="W357" s="1" t="s">
        <v>6329</v>
      </c>
      <c r="X357" s="1" t="s">
        <v>6330</v>
      </c>
      <c r="Y357" s="1" t="s">
        <v>6331</v>
      </c>
      <c r="Z357" s="1" t="s">
        <v>74</v>
      </c>
      <c r="AA357" s="1" t="s">
        <v>6332</v>
      </c>
      <c r="AB357" s="1" t="s">
        <v>6333</v>
      </c>
      <c r="AC357" s="1" t="s">
        <v>74</v>
      </c>
      <c r="AD357" s="1" t="s">
        <v>74</v>
      </c>
      <c r="AE357" s="1" t="s">
        <v>74</v>
      </c>
      <c r="AF357" s="1" t="s">
        <v>74</v>
      </c>
      <c r="AG357" s="1">
        <v>11</v>
      </c>
      <c r="AH357" s="1">
        <v>43</v>
      </c>
      <c r="AI357" s="1">
        <v>44</v>
      </c>
      <c r="AJ357" s="1">
        <v>2</v>
      </c>
      <c r="AK357" s="1">
        <v>69</v>
      </c>
      <c r="AL357" s="1" t="s">
        <v>4471</v>
      </c>
      <c r="AM357" s="1" t="s">
        <v>4472</v>
      </c>
      <c r="AN357" s="1" t="s">
        <v>4473</v>
      </c>
      <c r="AO357" s="1" t="s">
        <v>6334</v>
      </c>
      <c r="AP357" s="1" t="s">
        <v>74</v>
      </c>
      <c r="AQ357" s="1" t="s">
        <v>74</v>
      </c>
      <c r="AR357" s="1" t="s">
        <v>6335</v>
      </c>
      <c r="AS357" s="1" t="s">
        <v>6336</v>
      </c>
      <c r="AT357" s="1" t="s">
        <v>6337</v>
      </c>
      <c r="AU357" s="1">
        <v>2003</v>
      </c>
      <c r="AV357" s="1">
        <v>51</v>
      </c>
      <c r="AW357" s="1">
        <v>25</v>
      </c>
      <c r="AX357" s="1" t="s">
        <v>74</v>
      </c>
      <c r="AY357" s="1" t="s">
        <v>74</v>
      </c>
      <c r="AZ357" s="1" t="s">
        <v>74</v>
      </c>
      <c r="BA357" s="1" t="s">
        <v>74</v>
      </c>
      <c r="BB357" s="1">
        <v>7373</v>
      </c>
      <c r="BC357" s="1">
        <v>7378</v>
      </c>
      <c r="BD357" s="1" t="s">
        <v>74</v>
      </c>
      <c r="BE357" s="1" t="s">
        <v>6338</v>
      </c>
      <c r="BF357" s="1" t="str">
        <f>HYPERLINK("http://dx.doi.org/10.1021/jf034199l","http://dx.doi.org/10.1021/jf034199l")</f>
        <v>http://dx.doi.org/10.1021/jf034199l</v>
      </c>
      <c r="BG357" s="1" t="s">
        <v>74</v>
      </c>
      <c r="BH357" s="1" t="s">
        <v>74</v>
      </c>
      <c r="BI357" s="1">
        <v>6</v>
      </c>
      <c r="BJ357" s="1" t="s">
        <v>6339</v>
      </c>
      <c r="BK357" s="1" t="s">
        <v>96</v>
      </c>
      <c r="BL357" s="1" t="s">
        <v>6340</v>
      </c>
      <c r="BM357" s="1" t="s">
        <v>6341</v>
      </c>
      <c r="BN357" s="1">
        <v>14640586</v>
      </c>
      <c r="BO357" s="1" t="s">
        <v>74</v>
      </c>
      <c r="BP357" s="1" t="s">
        <v>74</v>
      </c>
      <c r="BQ357" s="1" t="s">
        <v>74</v>
      </c>
      <c r="BR357" s="1" t="s">
        <v>98</v>
      </c>
      <c r="BS357" s="1" t="s">
        <v>6342</v>
      </c>
      <c r="BT357" s="1" t="str">
        <f>HYPERLINK("https%3A%2F%2Fwww.webofscience.com%2Fwos%2Fwoscc%2Ffull-record%2FWOS:000186880800025","View Full Record in Web of Science")</f>
        <v>View Full Record in Web of Science</v>
      </c>
    </row>
    <row r="358" spans="1:72">
      <c r="A358" s="1" t="s">
        <v>72</v>
      </c>
      <c r="B358" s="1" t="s">
        <v>6343</v>
      </c>
      <c r="C358" s="1" t="s">
        <v>74</v>
      </c>
      <c r="D358" s="1" t="s">
        <v>74</v>
      </c>
      <c r="E358" s="1" t="s">
        <v>74</v>
      </c>
      <c r="F358" s="1" t="s">
        <v>6343</v>
      </c>
      <c r="G358" s="1" t="s">
        <v>74</v>
      </c>
      <c r="H358" s="1" t="s">
        <v>74</v>
      </c>
      <c r="I358" s="1" t="s">
        <v>6344</v>
      </c>
      <c r="J358" s="1" t="s">
        <v>1202</v>
      </c>
      <c r="K358" s="1" t="s">
        <v>74</v>
      </c>
      <c r="L358" s="1" t="s">
        <v>74</v>
      </c>
      <c r="M358" s="1" t="s">
        <v>78</v>
      </c>
      <c r="N358" s="1" t="s">
        <v>151</v>
      </c>
      <c r="O358" s="1" t="s">
        <v>6345</v>
      </c>
      <c r="P358" s="1" t="s">
        <v>6346</v>
      </c>
      <c r="Q358" s="1" t="s">
        <v>6347</v>
      </c>
      <c r="R358" s="1" t="s">
        <v>74</v>
      </c>
      <c r="S358" s="1" t="s">
        <v>74</v>
      </c>
      <c r="T358" s="1" t="s">
        <v>6348</v>
      </c>
      <c r="U358" s="1" t="s">
        <v>6349</v>
      </c>
      <c r="V358" s="1" t="s">
        <v>6350</v>
      </c>
      <c r="W358" s="1" t="s">
        <v>6351</v>
      </c>
      <c r="X358" s="1" t="s">
        <v>6352</v>
      </c>
      <c r="Y358" s="1" t="s">
        <v>6353</v>
      </c>
      <c r="Z358" s="1" t="s">
        <v>6354</v>
      </c>
      <c r="AA358" s="1" t="s">
        <v>6355</v>
      </c>
      <c r="AB358" s="1" t="s">
        <v>6356</v>
      </c>
      <c r="AC358" s="1" t="s">
        <v>74</v>
      </c>
      <c r="AD358" s="1" t="s">
        <v>74</v>
      </c>
      <c r="AE358" s="1" t="s">
        <v>74</v>
      </c>
      <c r="AF358" s="1" t="s">
        <v>74</v>
      </c>
      <c r="AG358" s="1">
        <v>33</v>
      </c>
      <c r="AH358" s="1">
        <v>44</v>
      </c>
      <c r="AI358" s="1">
        <v>47</v>
      </c>
      <c r="AJ358" s="1">
        <v>1</v>
      </c>
      <c r="AK358" s="1">
        <v>25</v>
      </c>
      <c r="AL358" s="1" t="s">
        <v>112</v>
      </c>
      <c r="AM358" s="1" t="s">
        <v>191</v>
      </c>
      <c r="AN358" s="1" t="s">
        <v>192</v>
      </c>
      <c r="AO358" s="1" t="s">
        <v>1207</v>
      </c>
      <c r="AP358" s="1" t="s">
        <v>4902</v>
      </c>
      <c r="AQ358" s="1" t="s">
        <v>74</v>
      </c>
      <c r="AR358" s="1" t="s">
        <v>1202</v>
      </c>
      <c r="AS358" s="1" t="s">
        <v>1208</v>
      </c>
      <c r="AT358" s="1" t="s">
        <v>74</v>
      </c>
      <c r="AU358" s="1">
        <v>1999</v>
      </c>
      <c r="AV358" s="1">
        <v>393</v>
      </c>
      <c r="AW358" s="1" t="s">
        <v>74</v>
      </c>
      <c r="AX358" s="1" t="s">
        <v>74</v>
      </c>
      <c r="AY358" s="1" t="s">
        <v>74</v>
      </c>
      <c r="AZ358" s="1" t="s">
        <v>74</v>
      </c>
      <c r="BA358" s="1" t="s">
        <v>74</v>
      </c>
      <c r="BB358" s="1">
        <v>261</v>
      </c>
      <c r="BC358" s="1">
        <v>269</v>
      </c>
      <c r="BD358" s="1" t="s">
        <v>74</v>
      </c>
      <c r="BE358" s="1" t="s">
        <v>6357</v>
      </c>
      <c r="BF358" s="1" t="str">
        <f>HYPERLINK("http://dx.doi.org/10.1023/A:1003583509218","http://dx.doi.org/10.1023/A:1003583509218")</f>
        <v>http://dx.doi.org/10.1023/A:1003583509218</v>
      </c>
      <c r="BG358" s="1" t="s">
        <v>74</v>
      </c>
      <c r="BH358" s="1" t="s">
        <v>74</v>
      </c>
      <c r="BI358" s="1">
        <v>9</v>
      </c>
      <c r="BJ358" s="1" t="s">
        <v>680</v>
      </c>
      <c r="BK358" s="1" t="s">
        <v>172</v>
      </c>
      <c r="BL358" s="1" t="s">
        <v>680</v>
      </c>
      <c r="BM358" s="1" t="s">
        <v>6358</v>
      </c>
      <c r="BN358" s="1" t="s">
        <v>74</v>
      </c>
      <c r="BO358" s="1" t="s">
        <v>74</v>
      </c>
      <c r="BP358" s="1" t="s">
        <v>74</v>
      </c>
      <c r="BQ358" s="1" t="s">
        <v>74</v>
      </c>
      <c r="BR358" s="1" t="s">
        <v>98</v>
      </c>
      <c r="BS358" s="1" t="s">
        <v>6359</v>
      </c>
      <c r="BT358" s="1" t="str">
        <f>HYPERLINK("https%3A%2F%2Fwww.webofscience.com%2Fwos%2Fwoscc%2Ffull-record%2FWOS:000081924600028","View Full Record in Web of Science")</f>
        <v>View Full Record in Web of Science</v>
      </c>
    </row>
    <row r="359" spans="1:72">
      <c r="A359" s="1" t="s">
        <v>72</v>
      </c>
      <c r="B359" s="1" t="s">
        <v>6360</v>
      </c>
      <c r="C359" s="1" t="s">
        <v>74</v>
      </c>
      <c r="D359" s="1" t="s">
        <v>74</v>
      </c>
      <c r="E359" s="1" t="s">
        <v>74</v>
      </c>
      <c r="F359" s="1" t="s">
        <v>6361</v>
      </c>
      <c r="G359" s="1" t="s">
        <v>74</v>
      </c>
      <c r="H359" s="1" t="s">
        <v>74</v>
      </c>
      <c r="I359" s="1" t="s">
        <v>6362</v>
      </c>
      <c r="J359" s="1" t="s">
        <v>232</v>
      </c>
      <c r="K359" s="1" t="s">
        <v>74</v>
      </c>
      <c r="L359" s="1" t="s">
        <v>74</v>
      </c>
      <c r="M359" s="1" t="s">
        <v>78</v>
      </c>
      <c r="N359" s="1" t="s">
        <v>79</v>
      </c>
      <c r="O359" s="1" t="s">
        <v>74</v>
      </c>
      <c r="P359" s="1" t="s">
        <v>74</v>
      </c>
      <c r="Q359" s="1" t="s">
        <v>74</v>
      </c>
      <c r="R359" s="1" t="s">
        <v>74</v>
      </c>
      <c r="S359" s="1" t="s">
        <v>74</v>
      </c>
      <c r="T359" s="1" t="s">
        <v>6363</v>
      </c>
      <c r="U359" s="1" t="s">
        <v>6364</v>
      </c>
      <c r="V359" s="1" t="s">
        <v>6365</v>
      </c>
      <c r="W359" s="1" t="s">
        <v>6366</v>
      </c>
      <c r="X359" s="1" t="s">
        <v>6367</v>
      </c>
      <c r="Y359" s="1" t="s">
        <v>6368</v>
      </c>
      <c r="Z359" s="1" t="s">
        <v>6369</v>
      </c>
      <c r="AA359" s="1" t="s">
        <v>6370</v>
      </c>
      <c r="AB359" s="1" t="s">
        <v>6371</v>
      </c>
      <c r="AC359" s="1" t="s">
        <v>6372</v>
      </c>
      <c r="AD359" s="1" t="s">
        <v>6373</v>
      </c>
      <c r="AE359" s="1" t="s">
        <v>6374</v>
      </c>
      <c r="AF359" s="1" t="s">
        <v>74</v>
      </c>
      <c r="AG359" s="1">
        <v>121</v>
      </c>
      <c r="AH359" s="1">
        <v>2</v>
      </c>
      <c r="AI359" s="1">
        <v>2</v>
      </c>
      <c r="AJ359" s="1">
        <v>4</v>
      </c>
      <c r="AK359" s="1">
        <v>7</v>
      </c>
      <c r="AL359" s="1" t="s">
        <v>136</v>
      </c>
      <c r="AM359" s="1" t="s">
        <v>137</v>
      </c>
      <c r="AN359" s="1" t="s">
        <v>138</v>
      </c>
      <c r="AO359" s="1" t="s">
        <v>240</v>
      </c>
      <c r="AP359" s="1" t="s">
        <v>241</v>
      </c>
      <c r="AQ359" s="1" t="s">
        <v>74</v>
      </c>
      <c r="AR359" s="1" t="s">
        <v>242</v>
      </c>
      <c r="AS359" s="1" t="s">
        <v>243</v>
      </c>
      <c r="AT359" s="1" t="s">
        <v>1470</v>
      </c>
      <c r="AU359" s="1">
        <v>2024</v>
      </c>
      <c r="AV359" s="1">
        <v>198</v>
      </c>
      <c r="AW359" s="1" t="s">
        <v>74</v>
      </c>
      <c r="AX359" s="1" t="s">
        <v>74</v>
      </c>
      <c r="AY359" s="1" t="s">
        <v>74</v>
      </c>
      <c r="AZ359" s="1" t="s">
        <v>74</v>
      </c>
      <c r="BA359" s="1" t="s">
        <v>74</v>
      </c>
      <c r="BB359" s="1" t="s">
        <v>74</v>
      </c>
      <c r="BC359" s="1" t="s">
        <v>74</v>
      </c>
      <c r="BD359" s="1">
        <v>115831</v>
      </c>
      <c r="BE359" s="1" t="s">
        <v>6375</v>
      </c>
      <c r="BF359" s="1" t="str">
        <f>HYPERLINK("http://dx.doi.org/10.1016/j.marpolbul.2023.115831","http://dx.doi.org/10.1016/j.marpolbul.2023.115831")</f>
        <v>http://dx.doi.org/10.1016/j.marpolbul.2023.115831</v>
      </c>
      <c r="BG359" s="1" t="s">
        <v>74</v>
      </c>
      <c r="BH359" s="1" t="s">
        <v>3832</v>
      </c>
      <c r="BI359" s="1">
        <v>14</v>
      </c>
      <c r="BJ359" s="1" t="s">
        <v>247</v>
      </c>
      <c r="BK359" s="1" t="s">
        <v>96</v>
      </c>
      <c r="BL359" s="1" t="s">
        <v>248</v>
      </c>
      <c r="BM359" s="1" t="s">
        <v>6376</v>
      </c>
      <c r="BN359" s="1">
        <v>38056287</v>
      </c>
      <c r="BO359" s="1" t="s">
        <v>370</v>
      </c>
      <c r="BP359" s="1" t="s">
        <v>74</v>
      </c>
      <c r="BQ359" s="1" t="s">
        <v>74</v>
      </c>
      <c r="BR359" s="1" t="s">
        <v>98</v>
      </c>
      <c r="BS359" s="1" t="s">
        <v>6377</v>
      </c>
      <c r="BT359" s="1" t="str">
        <f>HYPERLINK("https%3A%2F%2Fwww.webofscience.com%2Fwos%2Fwoscc%2Ffull-record%2FWOS:001134872600001","View Full Record in Web of Science")</f>
        <v>View Full Record in Web of Science</v>
      </c>
    </row>
    <row r="360" spans="1:72">
      <c r="A360" s="1" t="s">
        <v>72</v>
      </c>
      <c r="B360" s="1" t="s">
        <v>6378</v>
      </c>
      <c r="C360" s="1" t="s">
        <v>74</v>
      </c>
      <c r="D360" s="1" t="s">
        <v>74</v>
      </c>
      <c r="E360" s="1" t="s">
        <v>74</v>
      </c>
      <c r="F360" s="1" t="s">
        <v>6379</v>
      </c>
      <c r="G360" s="1" t="s">
        <v>74</v>
      </c>
      <c r="H360" s="1" t="s">
        <v>74</v>
      </c>
      <c r="I360" s="1" t="s">
        <v>6380</v>
      </c>
      <c r="J360" s="1" t="s">
        <v>127</v>
      </c>
      <c r="K360" s="1" t="s">
        <v>74</v>
      </c>
      <c r="L360" s="1" t="s">
        <v>74</v>
      </c>
      <c r="M360" s="1" t="s">
        <v>78</v>
      </c>
      <c r="N360" s="1" t="s">
        <v>79</v>
      </c>
      <c r="O360" s="1" t="s">
        <v>74</v>
      </c>
      <c r="P360" s="1" t="s">
        <v>74</v>
      </c>
      <c r="Q360" s="1" t="s">
        <v>74</v>
      </c>
      <c r="R360" s="1" t="s">
        <v>74</v>
      </c>
      <c r="S360" s="1" t="s">
        <v>74</v>
      </c>
      <c r="T360" s="1" t="s">
        <v>6381</v>
      </c>
      <c r="U360" s="1" t="s">
        <v>6382</v>
      </c>
      <c r="V360" s="1" t="s">
        <v>6383</v>
      </c>
      <c r="W360" s="1" t="s">
        <v>6384</v>
      </c>
      <c r="X360" s="1" t="s">
        <v>6385</v>
      </c>
      <c r="Y360" s="1" t="s">
        <v>6386</v>
      </c>
      <c r="Z360" s="1" t="s">
        <v>74</v>
      </c>
      <c r="AA360" s="1" t="s">
        <v>6387</v>
      </c>
      <c r="AB360" s="1" t="s">
        <v>6388</v>
      </c>
      <c r="AC360" s="1" t="s">
        <v>6389</v>
      </c>
      <c r="AD360" s="1" t="s">
        <v>6390</v>
      </c>
      <c r="AE360" s="1" t="s">
        <v>6391</v>
      </c>
      <c r="AF360" s="1" t="s">
        <v>74</v>
      </c>
      <c r="AG360" s="1">
        <v>47</v>
      </c>
      <c r="AH360" s="1">
        <v>21</v>
      </c>
      <c r="AI360" s="1">
        <v>24</v>
      </c>
      <c r="AJ360" s="1">
        <v>0</v>
      </c>
      <c r="AK360" s="1">
        <v>18</v>
      </c>
      <c r="AL360" s="1" t="s">
        <v>136</v>
      </c>
      <c r="AM360" s="1" t="s">
        <v>137</v>
      </c>
      <c r="AN360" s="1" t="s">
        <v>138</v>
      </c>
      <c r="AO360" s="1" t="s">
        <v>139</v>
      </c>
      <c r="AP360" s="1" t="s">
        <v>140</v>
      </c>
      <c r="AQ360" s="1" t="s">
        <v>74</v>
      </c>
      <c r="AR360" s="1" t="s">
        <v>127</v>
      </c>
      <c r="AS360" s="1" t="s">
        <v>141</v>
      </c>
      <c r="AT360" s="1" t="s">
        <v>951</v>
      </c>
      <c r="AU360" s="1">
        <v>2010</v>
      </c>
      <c r="AV360" s="1">
        <v>81</v>
      </c>
      <c r="AW360" s="1">
        <v>10</v>
      </c>
      <c r="AX360" s="1" t="s">
        <v>74</v>
      </c>
      <c r="AY360" s="1" t="s">
        <v>74</v>
      </c>
      <c r="AZ360" s="1" t="s">
        <v>74</v>
      </c>
      <c r="BA360" s="1" t="s">
        <v>74</v>
      </c>
      <c r="BB360" s="1">
        <v>1218</v>
      </c>
      <c r="BC360" s="1">
        <v>1226</v>
      </c>
      <c r="BD360" s="1" t="s">
        <v>74</v>
      </c>
      <c r="BE360" s="1" t="s">
        <v>6392</v>
      </c>
      <c r="BF360" s="1" t="str">
        <f>HYPERLINK("http://dx.doi.org/10.1016/j.chemosphere.2010.09.037","http://dx.doi.org/10.1016/j.chemosphere.2010.09.037")</f>
        <v>http://dx.doi.org/10.1016/j.chemosphere.2010.09.037</v>
      </c>
      <c r="BG360" s="1" t="s">
        <v>74</v>
      </c>
      <c r="BH360" s="1" t="s">
        <v>74</v>
      </c>
      <c r="BI360" s="1">
        <v>9</v>
      </c>
      <c r="BJ360" s="1" t="s">
        <v>144</v>
      </c>
      <c r="BK360" s="1" t="s">
        <v>96</v>
      </c>
      <c r="BL360" s="1" t="s">
        <v>145</v>
      </c>
      <c r="BM360" s="1" t="s">
        <v>6393</v>
      </c>
      <c r="BN360" s="1">
        <v>20952043</v>
      </c>
      <c r="BO360" s="1" t="s">
        <v>74</v>
      </c>
      <c r="BP360" s="1" t="s">
        <v>74</v>
      </c>
      <c r="BQ360" s="1" t="s">
        <v>74</v>
      </c>
      <c r="BR360" s="1" t="s">
        <v>98</v>
      </c>
      <c r="BS360" s="1" t="s">
        <v>6394</v>
      </c>
      <c r="BT360" s="1" t="str">
        <f>HYPERLINK("https%3A%2F%2Fwww.webofscience.com%2Fwos%2Fwoscc%2Ffull-record%2FWOS:000284670900007","View Full Record in Web of Science")</f>
        <v>View Full Record in Web of Science</v>
      </c>
    </row>
    <row r="361" spans="1:72">
      <c r="A361" s="1" t="s">
        <v>72</v>
      </c>
      <c r="B361" s="1" t="s">
        <v>6395</v>
      </c>
      <c r="C361" s="1" t="s">
        <v>74</v>
      </c>
      <c r="D361" s="1" t="s">
        <v>74</v>
      </c>
      <c r="E361" s="1" t="s">
        <v>74</v>
      </c>
      <c r="F361" s="1" t="s">
        <v>6396</v>
      </c>
      <c r="G361" s="1" t="s">
        <v>74</v>
      </c>
      <c r="H361" s="1" t="s">
        <v>74</v>
      </c>
      <c r="I361" s="1" t="s">
        <v>6397</v>
      </c>
      <c r="J361" s="1" t="s">
        <v>232</v>
      </c>
      <c r="K361" s="1" t="s">
        <v>74</v>
      </c>
      <c r="L361" s="1" t="s">
        <v>74</v>
      </c>
      <c r="M361" s="1" t="s">
        <v>78</v>
      </c>
      <c r="N361" s="1" t="s">
        <v>79</v>
      </c>
      <c r="O361" s="1" t="s">
        <v>74</v>
      </c>
      <c r="P361" s="1" t="s">
        <v>74</v>
      </c>
      <c r="Q361" s="1" t="s">
        <v>74</v>
      </c>
      <c r="R361" s="1" t="s">
        <v>74</v>
      </c>
      <c r="S361" s="1" t="s">
        <v>74</v>
      </c>
      <c r="T361" s="1" t="s">
        <v>6398</v>
      </c>
      <c r="U361" s="1" t="s">
        <v>6399</v>
      </c>
      <c r="V361" s="1" t="s">
        <v>6400</v>
      </c>
      <c r="W361" s="1" t="s">
        <v>6401</v>
      </c>
      <c r="X361" s="1" t="s">
        <v>6402</v>
      </c>
      <c r="Y361" s="1" t="s">
        <v>6403</v>
      </c>
      <c r="Z361" s="1" t="s">
        <v>6404</v>
      </c>
      <c r="AA361" s="1" t="s">
        <v>6405</v>
      </c>
      <c r="AB361" s="1" t="s">
        <v>6406</v>
      </c>
      <c r="AC361" s="1" t="s">
        <v>6407</v>
      </c>
      <c r="AD361" s="1" t="s">
        <v>6408</v>
      </c>
      <c r="AE361" s="1" t="s">
        <v>6409</v>
      </c>
      <c r="AF361" s="1" t="s">
        <v>74</v>
      </c>
      <c r="AG361" s="1">
        <v>61</v>
      </c>
      <c r="AH361" s="1">
        <v>1</v>
      </c>
      <c r="AI361" s="1">
        <v>1</v>
      </c>
      <c r="AJ361" s="1">
        <v>15</v>
      </c>
      <c r="AK361" s="1">
        <v>21</v>
      </c>
      <c r="AL361" s="1" t="s">
        <v>136</v>
      </c>
      <c r="AM361" s="1" t="s">
        <v>137</v>
      </c>
      <c r="AN361" s="1" t="s">
        <v>138</v>
      </c>
      <c r="AO361" s="1" t="s">
        <v>240</v>
      </c>
      <c r="AP361" s="1" t="s">
        <v>241</v>
      </c>
      <c r="AQ361" s="1" t="s">
        <v>74</v>
      </c>
      <c r="AR361" s="1" t="s">
        <v>242</v>
      </c>
      <c r="AS361" s="1" t="s">
        <v>243</v>
      </c>
      <c r="AT361" s="1" t="s">
        <v>267</v>
      </c>
      <c r="AU361" s="1">
        <v>2023</v>
      </c>
      <c r="AV361" s="1">
        <v>195</v>
      </c>
      <c r="AW361" s="1" t="s">
        <v>74</v>
      </c>
      <c r="AX361" s="1" t="s">
        <v>74</v>
      </c>
      <c r="AY361" s="1" t="s">
        <v>74</v>
      </c>
      <c r="AZ361" s="1" t="s">
        <v>74</v>
      </c>
      <c r="BA361" s="1" t="s">
        <v>74</v>
      </c>
      <c r="BB361" s="1" t="s">
        <v>74</v>
      </c>
      <c r="BC361" s="1" t="s">
        <v>74</v>
      </c>
      <c r="BD361" s="1">
        <v>115457</v>
      </c>
      <c r="BE361" s="1" t="s">
        <v>6410</v>
      </c>
      <c r="BF361" s="1" t="str">
        <f>HYPERLINK("http://dx.doi.org/10.1016/j.marpolbul.2023.115457","http://dx.doi.org/10.1016/j.marpolbul.2023.115457")</f>
        <v>http://dx.doi.org/10.1016/j.marpolbul.2023.115457</v>
      </c>
      <c r="BG361" s="1" t="s">
        <v>74</v>
      </c>
      <c r="BH361" s="1" t="s">
        <v>6411</v>
      </c>
      <c r="BI361" s="1">
        <v>7</v>
      </c>
      <c r="BJ361" s="1" t="s">
        <v>247</v>
      </c>
      <c r="BK361" s="1" t="s">
        <v>96</v>
      </c>
      <c r="BL361" s="1" t="s">
        <v>248</v>
      </c>
      <c r="BM361" s="1" t="s">
        <v>6412</v>
      </c>
      <c r="BN361" s="1">
        <v>37659390</v>
      </c>
      <c r="BO361" s="1" t="s">
        <v>74</v>
      </c>
      <c r="BP361" s="1" t="s">
        <v>74</v>
      </c>
      <c r="BQ361" s="1" t="s">
        <v>74</v>
      </c>
      <c r="BR361" s="1" t="s">
        <v>98</v>
      </c>
      <c r="BS361" s="1" t="s">
        <v>6413</v>
      </c>
      <c r="BT361" s="1" t="str">
        <f>HYPERLINK("https%3A%2F%2Fwww.webofscience.com%2Fwos%2Fwoscc%2Ffull-record%2FWOS:001090512800001","View Full Record in Web of Science")</f>
        <v>View Full Record in Web of Science</v>
      </c>
    </row>
    <row r="362" spans="1:72">
      <c r="A362" s="1" t="s">
        <v>72</v>
      </c>
      <c r="B362" s="1" t="s">
        <v>6414</v>
      </c>
      <c r="C362" s="1" t="s">
        <v>74</v>
      </c>
      <c r="D362" s="1" t="s">
        <v>74</v>
      </c>
      <c r="E362" s="1" t="s">
        <v>74</v>
      </c>
      <c r="F362" s="1" t="s">
        <v>6415</v>
      </c>
      <c r="G362" s="1" t="s">
        <v>74</v>
      </c>
      <c r="H362" s="1" t="s">
        <v>74</v>
      </c>
      <c r="I362" s="1" t="s">
        <v>6416</v>
      </c>
      <c r="J362" s="1" t="s">
        <v>232</v>
      </c>
      <c r="K362" s="1" t="s">
        <v>74</v>
      </c>
      <c r="L362" s="1" t="s">
        <v>74</v>
      </c>
      <c r="M362" s="1" t="s">
        <v>78</v>
      </c>
      <c r="N362" s="1" t="s">
        <v>79</v>
      </c>
      <c r="O362" s="1" t="s">
        <v>74</v>
      </c>
      <c r="P362" s="1" t="s">
        <v>74</v>
      </c>
      <c r="Q362" s="1" t="s">
        <v>74</v>
      </c>
      <c r="R362" s="1" t="s">
        <v>74</v>
      </c>
      <c r="S362" s="1" t="s">
        <v>74</v>
      </c>
      <c r="T362" s="1" t="s">
        <v>6417</v>
      </c>
      <c r="U362" s="1" t="s">
        <v>6418</v>
      </c>
      <c r="V362" s="1" t="s">
        <v>6419</v>
      </c>
      <c r="W362" s="1" t="s">
        <v>6420</v>
      </c>
      <c r="X362" s="1" t="s">
        <v>6421</v>
      </c>
      <c r="Y362" s="1" t="s">
        <v>6422</v>
      </c>
      <c r="Z362" s="1" t="s">
        <v>6423</v>
      </c>
      <c r="AA362" s="1" t="s">
        <v>6424</v>
      </c>
      <c r="AB362" s="1" t="s">
        <v>6425</v>
      </c>
      <c r="AC362" s="1" t="s">
        <v>6426</v>
      </c>
      <c r="AD362" s="1" t="s">
        <v>6427</v>
      </c>
      <c r="AE362" s="1" t="s">
        <v>6428</v>
      </c>
      <c r="AF362" s="1" t="s">
        <v>74</v>
      </c>
      <c r="AG362" s="1">
        <v>100</v>
      </c>
      <c r="AH362" s="1">
        <v>54</v>
      </c>
      <c r="AI362" s="1">
        <v>55</v>
      </c>
      <c r="AJ362" s="1">
        <v>18</v>
      </c>
      <c r="AK362" s="1">
        <v>157</v>
      </c>
      <c r="AL362" s="1" t="s">
        <v>136</v>
      </c>
      <c r="AM362" s="1" t="s">
        <v>137</v>
      </c>
      <c r="AN362" s="1" t="s">
        <v>138</v>
      </c>
      <c r="AO362" s="1" t="s">
        <v>240</v>
      </c>
      <c r="AP362" s="1" t="s">
        <v>241</v>
      </c>
      <c r="AQ362" s="1" t="s">
        <v>74</v>
      </c>
      <c r="AR362" s="1" t="s">
        <v>242</v>
      </c>
      <c r="AS362" s="1" t="s">
        <v>243</v>
      </c>
      <c r="AT362" s="1" t="s">
        <v>170</v>
      </c>
      <c r="AU362" s="1">
        <v>2021</v>
      </c>
      <c r="AV362" s="1">
        <v>166</v>
      </c>
      <c r="AW362" s="1" t="s">
        <v>74</v>
      </c>
      <c r="AX362" s="1" t="s">
        <v>74</v>
      </c>
      <c r="AY362" s="1" t="s">
        <v>74</v>
      </c>
      <c r="AZ362" s="1" t="s">
        <v>74</v>
      </c>
      <c r="BA362" s="1" t="s">
        <v>74</v>
      </c>
      <c r="BB362" s="1" t="s">
        <v>74</v>
      </c>
      <c r="BC362" s="1" t="s">
        <v>74</v>
      </c>
      <c r="BD362" s="1">
        <v>112225</v>
      </c>
      <c r="BE362" s="1" t="s">
        <v>6429</v>
      </c>
      <c r="BF362" s="1" t="str">
        <f>HYPERLINK("http://dx.doi.org/10.1016/j.marpolbul.2021.112225","http://dx.doi.org/10.1016/j.marpolbul.2021.112225")</f>
        <v>http://dx.doi.org/10.1016/j.marpolbul.2021.112225</v>
      </c>
      <c r="BG362" s="1" t="s">
        <v>74</v>
      </c>
      <c r="BH362" s="1" t="s">
        <v>992</v>
      </c>
      <c r="BI362" s="1">
        <v>10</v>
      </c>
      <c r="BJ362" s="1" t="s">
        <v>247</v>
      </c>
      <c r="BK362" s="1" t="s">
        <v>96</v>
      </c>
      <c r="BL362" s="1" t="s">
        <v>248</v>
      </c>
      <c r="BM362" s="1" t="s">
        <v>6430</v>
      </c>
      <c r="BN362" s="1">
        <v>33677332</v>
      </c>
      <c r="BO362" s="1" t="s">
        <v>74</v>
      </c>
      <c r="BP362" s="1" t="s">
        <v>74</v>
      </c>
      <c r="BQ362" s="1" t="s">
        <v>74</v>
      </c>
      <c r="BR362" s="1" t="s">
        <v>98</v>
      </c>
      <c r="BS362" s="1" t="s">
        <v>6431</v>
      </c>
      <c r="BT362" s="1" t="str">
        <f>HYPERLINK("https%3A%2F%2Fwww.webofscience.com%2Fwos%2Fwoscc%2Ffull-record%2FWOS:000648435800002","View Full Record in Web of Science")</f>
        <v>View Full Record in Web of Science</v>
      </c>
    </row>
    <row r="363" spans="1:72">
      <c r="A363" s="1" t="s">
        <v>72</v>
      </c>
      <c r="B363" s="1" t="s">
        <v>6432</v>
      </c>
      <c r="C363" s="1" t="s">
        <v>74</v>
      </c>
      <c r="D363" s="1" t="s">
        <v>74</v>
      </c>
      <c r="E363" s="1" t="s">
        <v>74</v>
      </c>
      <c r="F363" s="1" t="s">
        <v>6433</v>
      </c>
      <c r="G363" s="1" t="s">
        <v>74</v>
      </c>
      <c r="H363" s="1" t="s">
        <v>74</v>
      </c>
      <c r="I363" s="1" t="s">
        <v>6434</v>
      </c>
      <c r="J363" s="1" t="s">
        <v>179</v>
      </c>
      <c r="K363" s="1" t="s">
        <v>74</v>
      </c>
      <c r="L363" s="1" t="s">
        <v>74</v>
      </c>
      <c r="M363" s="1" t="s">
        <v>78</v>
      </c>
      <c r="N363" s="1" t="s">
        <v>79</v>
      </c>
      <c r="O363" s="1" t="s">
        <v>74</v>
      </c>
      <c r="P363" s="1" t="s">
        <v>74</v>
      </c>
      <c r="Q363" s="1" t="s">
        <v>74</v>
      </c>
      <c r="R363" s="1" t="s">
        <v>74</v>
      </c>
      <c r="S363" s="1" t="s">
        <v>74</v>
      </c>
      <c r="T363" s="1" t="s">
        <v>6435</v>
      </c>
      <c r="U363" s="1" t="s">
        <v>6436</v>
      </c>
      <c r="V363" s="1" t="s">
        <v>6437</v>
      </c>
      <c r="W363" s="1" t="s">
        <v>6438</v>
      </c>
      <c r="X363" s="1" t="s">
        <v>6439</v>
      </c>
      <c r="Y363" s="1" t="s">
        <v>6440</v>
      </c>
      <c r="Z363" s="1" t="s">
        <v>6441</v>
      </c>
      <c r="AA363" s="1" t="s">
        <v>6442</v>
      </c>
      <c r="AB363" s="1" t="s">
        <v>6443</v>
      </c>
      <c r="AC363" s="1" t="s">
        <v>74</v>
      </c>
      <c r="AD363" s="1" t="s">
        <v>74</v>
      </c>
      <c r="AE363" s="1" t="s">
        <v>74</v>
      </c>
      <c r="AF363" s="1" t="s">
        <v>74</v>
      </c>
      <c r="AG363" s="1">
        <v>11</v>
      </c>
      <c r="AH363" s="1">
        <v>57</v>
      </c>
      <c r="AI363" s="1">
        <v>65</v>
      </c>
      <c r="AJ363" s="1">
        <v>1</v>
      </c>
      <c r="AK363" s="1">
        <v>56</v>
      </c>
      <c r="AL363" s="1" t="s">
        <v>112</v>
      </c>
      <c r="AM363" s="1" t="s">
        <v>191</v>
      </c>
      <c r="AN363" s="1" t="s">
        <v>192</v>
      </c>
      <c r="AO363" s="1" t="s">
        <v>193</v>
      </c>
      <c r="AP363" s="1" t="s">
        <v>74</v>
      </c>
      <c r="AQ363" s="1" t="s">
        <v>74</v>
      </c>
      <c r="AR363" s="1" t="s">
        <v>195</v>
      </c>
      <c r="AS363" s="1" t="s">
        <v>196</v>
      </c>
      <c r="AT363" s="1" t="s">
        <v>142</v>
      </c>
      <c r="AU363" s="1">
        <v>2007</v>
      </c>
      <c r="AV363" s="1">
        <v>129</v>
      </c>
      <c r="AW363" s="1" t="s">
        <v>2847</v>
      </c>
      <c r="AX363" s="1" t="s">
        <v>74</v>
      </c>
      <c r="AY363" s="1" t="s">
        <v>74</v>
      </c>
      <c r="AZ363" s="1" t="s">
        <v>74</v>
      </c>
      <c r="BA363" s="1" t="s">
        <v>74</v>
      </c>
      <c r="BB363" s="1">
        <v>315</v>
      </c>
      <c r="BC363" s="1">
        <v>320</v>
      </c>
      <c r="BD363" s="1" t="s">
        <v>74</v>
      </c>
      <c r="BE363" s="1" t="s">
        <v>6444</v>
      </c>
      <c r="BF363" s="1" t="str">
        <f>HYPERLINK("http://dx.doi.org/10.1007/s10661-006-9364-9","http://dx.doi.org/10.1007/s10661-006-9364-9")</f>
        <v>http://dx.doi.org/10.1007/s10661-006-9364-9</v>
      </c>
      <c r="BG363" s="1" t="s">
        <v>74</v>
      </c>
      <c r="BH363" s="1" t="s">
        <v>74</v>
      </c>
      <c r="BI363" s="1">
        <v>6</v>
      </c>
      <c r="BJ363" s="1" t="s">
        <v>144</v>
      </c>
      <c r="BK363" s="1" t="s">
        <v>96</v>
      </c>
      <c r="BL363" s="1" t="s">
        <v>145</v>
      </c>
      <c r="BM363" s="1" t="s">
        <v>6445</v>
      </c>
      <c r="BN363" s="1">
        <v>17057972</v>
      </c>
      <c r="BO363" s="1" t="s">
        <v>74</v>
      </c>
      <c r="BP363" s="1" t="s">
        <v>74</v>
      </c>
      <c r="BQ363" s="1" t="s">
        <v>74</v>
      </c>
      <c r="BR363" s="1" t="s">
        <v>98</v>
      </c>
      <c r="BS363" s="1" t="s">
        <v>6446</v>
      </c>
      <c r="BT363" s="1" t="str">
        <f>HYPERLINK("https%3A%2F%2Fwww.webofscience.com%2Fwos%2Fwoscc%2Ffull-record%2FWOS:000247095200032","View Full Record in Web of Science")</f>
        <v>View Full Record in Web of Science</v>
      </c>
    </row>
    <row r="364" spans="1:72">
      <c r="A364" s="1" t="s">
        <v>72</v>
      </c>
      <c r="B364" s="1" t="s">
        <v>6447</v>
      </c>
      <c r="C364" s="1" t="s">
        <v>74</v>
      </c>
      <c r="D364" s="1" t="s">
        <v>74</v>
      </c>
      <c r="E364" s="1" t="s">
        <v>74</v>
      </c>
      <c r="F364" s="1" t="s">
        <v>6448</v>
      </c>
      <c r="G364" s="1" t="s">
        <v>74</v>
      </c>
      <c r="H364" s="1" t="s">
        <v>74</v>
      </c>
      <c r="I364" s="1" t="s">
        <v>6449</v>
      </c>
      <c r="J364" s="1" t="s">
        <v>232</v>
      </c>
      <c r="K364" s="1" t="s">
        <v>74</v>
      </c>
      <c r="L364" s="1" t="s">
        <v>74</v>
      </c>
      <c r="M364" s="1" t="s">
        <v>78</v>
      </c>
      <c r="N364" s="1" t="s">
        <v>79</v>
      </c>
      <c r="O364" s="1" t="s">
        <v>74</v>
      </c>
      <c r="P364" s="1" t="s">
        <v>74</v>
      </c>
      <c r="Q364" s="1" t="s">
        <v>74</v>
      </c>
      <c r="R364" s="1" t="s">
        <v>74</v>
      </c>
      <c r="S364" s="1" t="s">
        <v>74</v>
      </c>
      <c r="T364" s="1" t="s">
        <v>6450</v>
      </c>
      <c r="U364" s="1" t="s">
        <v>6451</v>
      </c>
      <c r="V364" s="1" t="s">
        <v>6452</v>
      </c>
      <c r="W364" s="1" t="s">
        <v>6453</v>
      </c>
      <c r="X364" s="1" t="s">
        <v>6454</v>
      </c>
      <c r="Y364" s="1" t="s">
        <v>6455</v>
      </c>
      <c r="Z364" s="1" t="s">
        <v>6456</v>
      </c>
      <c r="AA364" s="1" t="s">
        <v>74</v>
      </c>
      <c r="AB364" s="1" t="s">
        <v>74</v>
      </c>
      <c r="AC364" s="1" t="s">
        <v>6457</v>
      </c>
      <c r="AD364" s="1" t="s">
        <v>6457</v>
      </c>
      <c r="AE364" s="1" t="s">
        <v>6458</v>
      </c>
      <c r="AF364" s="1" t="s">
        <v>74</v>
      </c>
      <c r="AG364" s="1">
        <v>61</v>
      </c>
      <c r="AH364" s="1">
        <v>12</v>
      </c>
      <c r="AI364" s="1">
        <v>13</v>
      </c>
      <c r="AJ364" s="1">
        <v>3</v>
      </c>
      <c r="AK364" s="1">
        <v>29</v>
      </c>
      <c r="AL364" s="1" t="s">
        <v>136</v>
      </c>
      <c r="AM364" s="1" t="s">
        <v>137</v>
      </c>
      <c r="AN364" s="1" t="s">
        <v>138</v>
      </c>
      <c r="AO364" s="1" t="s">
        <v>240</v>
      </c>
      <c r="AP364" s="1" t="s">
        <v>241</v>
      </c>
      <c r="AQ364" s="1" t="s">
        <v>74</v>
      </c>
      <c r="AR364" s="1" t="s">
        <v>242</v>
      </c>
      <c r="AS364" s="1" t="s">
        <v>243</v>
      </c>
      <c r="AT364" s="1" t="s">
        <v>3506</v>
      </c>
      <c r="AU364" s="1">
        <v>2014</v>
      </c>
      <c r="AV364" s="1">
        <v>86</v>
      </c>
      <c r="AW364" s="1" t="s">
        <v>326</v>
      </c>
      <c r="AX364" s="1" t="s">
        <v>74</v>
      </c>
      <c r="AY364" s="1" t="s">
        <v>74</v>
      </c>
      <c r="AZ364" s="1" t="s">
        <v>74</v>
      </c>
      <c r="BA364" s="1" t="s">
        <v>74</v>
      </c>
      <c r="BB364" s="1">
        <v>229</v>
      </c>
      <c r="BC364" s="1">
        <v>237</v>
      </c>
      <c r="BD364" s="1" t="s">
        <v>74</v>
      </c>
      <c r="BE364" s="1" t="s">
        <v>6459</v>
      </c>
      <c r="BF364" s="1" t="str">
        <f>HYPERLINK("http://dx.doi.org/10.1016/j.marpolbul.2014.07.015","http://dx.doi.org/10.1016/j.marpolbul.2014.07.015")</f>
        <v>http://dx.doi.org/10.1016/j.marpolbul.2014.07.015</v>
      </c>
      <c r="BG364" s="1" t="s">
        <v>74</v>
      </c>
      <c r="BH364" s="1" t="s">
        <v>74</v>
      </c>
      <c r="BI364" s="1">
        <v>9</v>
      </c>
      <c r="BJ364" s="1" t="s">
        <v>247</v>
      </c>
      <c r="BK364" s="1" t="s">
        <v>96</v>
      </c>
      <c r="BL364" s="1" t="s">
        <v>248</v>
      </c>
      <c r="BM364" s="1" t="s">
        <v>6460</v>
      </c>
      <c r="BN364" s="1">
        <v>25066457</v>
      </c>
      <c r="BO364" s="1" t="s">
        <v>74</v>
      </c>
      <c r="BP364" s="1" t="s">
        <v>74</v>
      </c>
      <c r="BQ364" s="1" t="s">
        <v>74</v>
      </c>
      <c r="BR364" s="1" t="s">
        <v>98</v>
      </c>
      <c r="BS364" s="1" t="s">
        <v>6461</v>
      </c>
      <c r="BT364" s="1" t="str">
        <f>HYPERLINK("https%3A%2F%2Fwww.webofscience.com%2Fwos%2Fwoscc%2Ffull-record%2FWOS:000342860100037","View Full Record in Web of Science")</f>
        <v>View Full Record in Web of Science</v>
      </c>
    </row>
    <row r="365" spans="1:72">
      <c r="A365" s="1" t="s">
        <v>72</v>
      </c>
      <c r="B365" s="1" t="s">
        <v>6462</v>
      </c>
      <c r="C365" s="1" t="s">
        <v>74</v>
      </c>
      <c r="D365" s="1" t="s">
        <v>74</v>
      </c>
      <c r="E365" s="1" t="s">
        <v>74</v>
      </c>
      <c r="F365" s="1" t="s">
        <v>6462</v>
      </c>
      <c r="G365" s="1" t="s">
        <v>74</v>
      </c>
      <c r="H365" s="1" t="s">
        <v>74</v>
      </c>
      <c r="I365" s="1" t="s">
        <v>6463</v>
      </c>
      <c r="J365" s="1" t="s">
        <v>421</v>
      </c>
      <c r="K365" s="1" t="s">
        <v>74</v>
      </c>
      <c r="L365" s="1" t="s">
        <v>74</v>
      </c>
      <c r="M365" s="1" t="s">
        <v>78</v>
      </c>
      <c r="N365" s="1" t="s">
        <v>79</v>
      </c>
      <c r="O365" s="1" t="s">
        <v>74</v>
      </c>
      <c r="P365" s="1" t="s">
        <v>74</v>
      </c>
      <c r="Q365" s="1" t="s">
        <v>74</v>
      </c>
      <c r="R365" s="1" t="s">
        <v>74</v>
      </c>
      <c r="S365" s="1" t="s">
        <v>74</v>
      </c>
      <c r="T365" s="1" t="s">
        <v>6464</v>
      </c>
      <c r="U365" s="1" t="s">
        <v>6465</v>
      </c>
      <c r="V365" s="1" t="s">
        <v>6466</v>
      </c>
      <c r="W365" s="1" t="s">
        <v>6467</v>
      </c>
      <c r="X365" s="1" t="s">
        <v>6468</v>
      </c>
      <c r="Y365" s="1" t="s">
        <v>6469</v>
      </c>
      <c r="Z365" s="1" t="s">
        <v>6470</v>
      </c>
      <c r="AA365" s="1" t="s">
        <v>74</v>
      </c>
      <c r="AB365" s="1" t="s">
        <v>6471</v>
      </c>
      <c r="AC365" s="1" t="s">
        <v>74</v>
      </c>
      <c r="AD365" s="1" t="s">
        <v>74</v>
      </c>
      <c r="AE365" s="1" t="s">
        <v>74</v>
      </c>
      <c r="AF365" s="1" t="s">
        <v>74</v>
      </c>
      <c r="AG365" s="1">
        <v>32</v>
      </c>
      <c r="AH365" s="1">
        <v>7</v>
      </c>
      <c r="AI365" s="1">
        <v>7</v>
      </c>
      <c r="AJ365" s="1">
        <v>0</v>
      </c>
      <c r="AK365" s="1">
        <v>11</v>
      </c>
      <c r="AL365" s="1" t="s">
        <v>430</v>
      </c>
      <c r="AM365" s="1" t="s">
        <v>137</v>
      </c>
      <c r="AN365" s="1" t="s">
        <v>431</v>
      </c>
      <c r="AO365" s="1" t="s">
        <v>432</v>
      </c>
      <c r="AP365" s="1" t="s">
        <v>1394</v>
      </c>
      <c r="AQ365" s="1" t="s">
        <v>74</v>
      </c>
      <c r="AR365" s="1" t="s">
        <v>433</v>
      </c>
      <c r="AS365" s="1" t="s">
        <v>434</v>
      </c>
      <c r="AT365" s="1" t="s">
        <v>1470</v>
      </c>
      <c r="AU365" s="1">
        <v>2006</v>
      </c>
      <c r="AV365" s="1">
        <v>139</v>
      </c>
      <c r="AW365" s="1">
        <v>1</v>
      </c>
      <c r="AX365" s="1" t="s">
        <v>74</v>
      </c>
      <c r="AY365" s="1" t="s">
        <v>74</v>
      </c>
      <c r="AZ365" s="1" t="s">
        <v>74</v>
      </c>
      <c r="BA365" s="1" t="s">
        <v>74</v>
      </c>
      <c r="BB365" s="1">
        <v>79</v>
      </c>
      <c r="BC365" s="1">
        <v>85</v>
      </c>
      <c r="BD365" s="1" t="s">
        <v>74</v>
      </c>
      <c r="BE365" s="1" t="s">
        <v>6472</v>
      </c>
      <c r="BF365" s="1" t="str">
        <f>HYPERLINK("http://dx.doi.org/10.1016/j.envpol.2005.04.029","http://dx.doi.org/10.1016/j.envpol.2005.04.029")</f>
        <v>http://dx.doi.org/10.1016/j.envpol.2005.04.029</v>
      </c>
      <c r="BG365" s="1" t="s">
        <v>74</v>
      </c>
      <c r="BH365" s="1" t="s">
        <v>74</v>
      </c>
      <c r="BI365" s="1">
        <v>7</v>
      </c>
      <c r="BJ365" s="1" t="s">
        <v>144</v>
      </c>
      <c r="BK365" s="1" t="s">
        <v>96</v>
      </c>
      <c r="BL365" s="1" t="s">
        <v>145</v>
      </c>
      <c r="BM365" s="1" t="s">
        <v>6473</v>
      </c>
      <c r="BN365" s="1">
        <v>15993526</v>
      </c>
      <c r="BO365" s="1" t="s">
        <v>74</v>
      </c>
      <c r="BP365" s="1" t="s">
        <v>74</v>
      </c>
      <c r="BQ365" s="1" t="s">
        <v>74</v>
      </c>
      <c r="BR365" s="1" t="s">
        <v>98</v>
      </c>
      <c r="BS365" s="1" t="s">
        <v>6474</v>
      </c>
      <c r="BT365" s="1" t="str">
        <f>HYPERLINK("https%3A%2F%2Fwww.webofscience.com%2Fwos%2Fwoscc%2Ffull-record%2FWOS:000234069100009","View Full Record in Web of Science")</f>
        <v>View Full Record in Web of Science</v>
      </c>
    </row>
    <row r="366" spans="1:72">
      <c r="A366" s="1" t="s">
        <v>72</v>
      </c>
      <c r="B366" s="1" t="s">
        <v>6475</v>
      </c>
      <c r="C366" s="1" t="s">
        <v>74</v>
      </c>
      <c r="D366" s="1" t="s">
        <v>74</v>
      </c>
      <c r="E366" s="1" t="s">
        <v>74</v>
      </c>
      <c r="F366" s="1" t="s">
        <v>6476</v>
      </c>
      <c r="G366" s="1" t="s">
        <v>74</v>
      </c>
      <c r="H366" s="1" t="s">
        <v>74</v>
      </c>
      <c r="I366" s="1" t="s">
        <v>6477</v>
      </c>
      <c r="J366" s="1" t="s">
        <v>421</v>
      </c>
      <c r="K366" s="1" t="s">
        <v>74</v>
      </c>
      <c r="L366" s="1" t="s">
        <v>74</v>
      </c>
      <c r="M366" s="1" t="s">
        <v>78</v>
      </c>
      <c r="N366" s="1" t="s">
        <v>79</v>
      </c>
      <c r="O366" s="1" t="s">
        <v>74</v>
      </c>
      <c r="P366" s="1" t="s">
        <v>74</v>
      </c>
      <c r="Q366" s="1" t="s">
        <v>74</v>
      </c>
      <c r="R366" s="1" t="s">
        <v>74</v>
      </c>
      <c r="S366" s="1" t="s">
        <v>74</v>
      </c>
      <c r="T366" s="1" t="s">
        <v>6478</v>
      </c>
      <c r="U366" s="1" t="s">
        <v>6479</v>
      </c>
      <c r="V366" s="1" t="s">
        <v>6480</v>
      </c>
      <c r="W366" s="1" t="s">
        <v>6481</v>
      </c>
      <c r="X366" s="1" t="s">
        <v>6482</v>
      </c>
      <c r="Y366" s="1" t="s">
        <v>6483</v>
      </c>
      <c r="Z366" s="1" t="s">
        <v>1483</v>
      </c>
      <c r="AA366" s="1" t="s">
        <v>6484</v>
      </c>
      <c r="AB366" s="1" t="s">
        <v>6485</v>
      </c>
      <c r="AC366" s="1" t="s">
        <v>6486</v>
      </c>
      <c r="AD366" s="1" t="s">
        <v>6487</v>
      </c>
      <c r="AE366" s="1" t="s">
        <v>6488</v>
      </c>
      <c r="AF366" s="1" t="s">
        <v>74</v>
      </c>
      <c r="AG366" s="1">
        <v>55</v>
      </c>
      <c r="AH366" s="1">
        <v>88</v>
      </c>
      <c r="AI366" s="1">
        <v>94</v>
      </c>
      <c r="AJ366" s="1">
        <v>0</v>
      </c>
      <c r="AK366" s="1">
        <v>125</v>
      </c>
      <c r="AL366" s="1" t="s">
        <v>430</v>
      </c>
      <c r="AM366" s="1" t="s">
        <v>137</v>
      </c>
      <c r="AN366" s="1" t="s">
        <v>431</v>
      </c>
      <c r="AO366" s="1" t="s">
        <v>432</v>
      </c>
      <c r="AP366" s="1" t="s">
        <v>1394</v>
      </c>
      <c r="AQ366" s="1" t="s">
        <v>74</v>
      </c>
      <c r="AR366" s="1" t="s">
        <v>433</v>
      </c>
      <c r="AS366" s="1" t="s">
        <v>434</v>
      </c>
      <c r="AT366" s="1" t="s">
        <v>170</v>
      </c>
      <c r="AU366" s="1">
        <v>2017</v>
      </c>
      <c r="AV366" s="1">
        <v>224</v>
      </c>
      <c r="AW366" s="1" t="s">
        <v>74</v>
      </c>
      <c r="AX366" s="1" t="s">
        <v>74</v>
      </c>
      <c r="AY366" s="1" t="s">
        <v>74</v>
      </c>
      <c r="AZ366" s="1" t="s">
        <v>74</v>
      </c>
      <c r="BA366" s="1" t="s">
        <v>74</v>
      </c>
      <c r="BB366" s="1">
        <v>658</v>
      </c>
      <c r="BC366" s="1">
        <v>669</v>
      </c>
      <c r="BD366" s="1" t="s">
        <v>74</v>
      </c>
      <c r="BE366" s="1" t="s">
        <v>6489</v>
      </c>
      <c r="BF366" s="1" t="str">
        <f>HYPERLINK("http://dx.doi.org/10.1016/j.envpol.2017.02.049","http://dx.doi.org/10.1016/j.envpol.2017.02.049")</f>
        <v>http://dx.doi.org/10.1016/j.envpol.2017.02.049</v>
      </c>
      <c r="BG366" s="1" t="s">
        <v>74</v>
      </c>
      <c r="BH366" s="1" t="s">
        <v>74</v>
      </c>
      <c r="BI366" s="1">
        <v>12</v>
      </c>
      <c r="BJ366" s="1" t="s">
        <v>144</v>
      </c>
      <c r="BK366" s="1" t="s">
        <v>96</v>
      </c>
      <c r="BL366" s="1" t="s">
        <v>145</v>
      </c>
      <c r="BM366" s="1" t="s">
        <v>6490</v>
      </c>
      <c r="BN366" s="1">
        <v>28262379</v>
      </c>
      <c r="BO366" s="1" t="s">
        <v>74</v>
      </c>
      <c r="BP366" s="1" t="s">
        <v>74</v>
      </c>
      <c r="BQ366" s="1" t="s">
        <v>74</v>
      </c>
      <c r="BR366" s="1" t="s">
        <v>98</v>
      </c>
      <c r="BS366" s="1" t="s">
        <v>6491</v>
      </c>
      <c r="BT366" s="1" t="str">
        <f>HYPERLINK("https%3A%2F%2Fwww.webofscience.com%2Fwos%2Fwoscc%2Ffull-record%2FWOS:000399261400068","View Full Record in Web of Science")</f>
        <v>View Full Record in Web of Science</v>
      </c>
    </row>
    <row r="367" spans="1:72">
      <c r="A367" s="1" t="s">
        <v>72</v>
      </c>
      <c r="B367" s="1" t="s">
        <v>6492</v>
      </c>
      <c r="C367" s="1" t="s">
        <v>74</v>
      </c>
      <c r="D367" s="1" t="s">
        <v>74</v>
      </c>
      <c r="E367" s="1" t="s">
        <v>74</v>
      </c>
      <c r="F367" s="1" t="s">
        <v>6493</v>
      </c>
      <c r="G367" s="1" t="s">
        <v>74</v>
      </c>
      <c r="H367" s="1" t="s">
        <v>74</v>
      </c>
      <c r="I367" s="1" t="s">
        <v>6494</v>
      </c>
      <c r="J367" s="1" t="s">
        <v>554</v>
      </c>
      <c r="K367" s="1" t="s">
        <v>74</v>
      </c>
      <c r="L367" s="1" t="s">
        <v>74</v>
      </c>
      <c r="M367" s="1" t="s">
        <v>78</v>
      </c>
      <c r="N367" s="1" t="s">
        <v>79</v>
      </c>
      <c r="O367" s="1" t="s">
        <v>74</v>
      </c>
      <c r="P367" s="1" t="s">
        <v>74</v>
      </c>
      <c r="Q367" s="1" t="s">
        <v>74</v>
      </c>
      <c r="R367" s="1" t="s">
        <v>74</v>
      </c>
      <c r="S367" s="1" t="s">
        <v>74</v>
      </c>
      <c r="T367" s="1" t="s">
        <v>6495</v>
      </c>
      <c r="U367" s="1" t="s">
        <v>6496</v>
      </c>
      <c r="V367" s="1" t="s">
        <v>6497</v>
      </c>
      <c r="W367" s="1" t="s">
        <v>6498</v>
      </c>
      <c r="X367" s="1" t="s">
        <v>74</v>
      </c>
      <c r="Y367" s="1" t="s">
        <v>6499</v>
      </c>
      <c r="Z367" s="1" t="s">
        <v>6500</v>
      </c>
      <c r="AA367" s="1" t="s">
        <v>6501</v>
      </c>
      <c r="AB367" s="1" t="s">
        <v>74</v>
      </c>
      <c r="AC367" s="1" t="s">
        <v>6502</v>
      </c>
      <c r="AD367" s="1" t="s">
        <v>6503</v>
      </c>
      <c r="AE367" s="1" t="s">
        <v>6504</v>
      </c>
      <c r="AF367" s="1" t="s">
        <v>74</v>
      </c>
      <c r="AG367" s="1">
        <v>61</v>
      </c>
      <c r="AH367" s="1">
        <v>1</v>
      </c>
      <c r="AI367" s="1">
        <v>1</v>
      </c>
      <c r="AJ367" s="1">
        <v>9</v>
      </c>
      <c r="AK367" s="1">
        <v>9</v>
      </c>
      <c r="AL367" s="1" t="s">
        <v>564</v>
      </c>
      <c r="AM367" s="1" t="s">
        <v>113</v>
      </c>
      <c r="AN367" s="1" t="s">
        <v>807</v>
      </c>
      <c r="AO367" s="1" t="s">
        <v>566</v>
      </c>
      <c r="AP367" s="1" t="s">
        <v>567</v>
      </c>
      <c r="AQ367" s="1" t="s">
        <v>74</v>
      </c>
      <c r="AR367" s="1" t="s">
        <v>568</v>
      </c>
      <c r="AS367" s="1" t="s">
        <v>569</v>
      </c>
      <c r="AT367" s="1" t="s">
        <v>170</v>
      </c>
      <c r="AU367" s="1">
        <v>2024</v>
      </c>
      <c r="AV367" s="1">
        <v>279</v>
      </c>
      <c r="AW367" s="1" t="s">
        <v>74</v>
      </c>
      <c r="AX367" s="1" t="s">
        <v>74</v>
      </c>
      <c r="AY367" s="1" t="s">
        <v>74</v>
      </c>
      <c r="AZ367" s="1" t="s">
        <v>74</v>
      </c>
      <c r="BA367" s="1" t="s">
        <v>74</v>
      </c>
      <c r="BB367" s="1" t="s">
        <v>74</v>
      </c>
      <c r="BC367" s="1" t="s">
        <v>74</v>
      </c>
      <c r="BD367" s="1">
        <v>109863</v>
      </c>
      <c r="BE367" s="1" t="s">
        <v>6505</v>
      </c>
      <c r="BF367" s="1" t="str">
        <f>HYPERLINK("http://dx.doi.org/10.1016/j.cbpc.2024.109863","http://dx.doi.org/10.1016/j.cbpc.2024.109863")</f>
        <v>http://dx.doi.org/10.1016/j.cbpc.2024.109863</v>
      </c>
      <c r="BG367" s="1" t="s">
        <v>74</v>
      </c>
      <c r="BH367" s="1" t="s">
        <v>2782</v>
      </c>
      <c r="BI367" s="1">
        <v>10</v>
      </c>
      <c r="BJ367" s="1" t="s">
        <v>571</v>
      </c>
      <c r="BK367" s="1" t="s">
        <v>96</v>
      </c>
      <c r="BL367" s="1" t="s">
        <v>571</v>
      </c>
      <c r="BM367" s="1" t="s">
        <v>6506</v>
      </c>
      <c r="BN367" s="1">
        <v>38387688</v>
      </c>
      <c r="BO367" s="1" t="s">
        <v>74</v>
      </c>
      <c r="BP367" s="1" t="s">
        <v>74</v>
      </c>
      <c r="BQ367" s="1" t="s">
        <v>74</v>
      </c>
      <c r="BR367" s="1" t="s">
        <v>98</v>
      </c>
      <c r="BS367" s="1" t="s">
        <v>6507</v>
      </c>
      <c r="BT367" s="1" t="str">
        <f>HYPERLINK("https%3A%2F%2Fwww.webofscience.com%2Fwos%2Fwoscc%2Ffull-record%2FWOS:001210089200001","View Full Record in Web of Science")</f>
        <v>View Full Record in Web of Science</v>
      </c>
    </row>
    <row r="368" spans="1:72">
      <c r="A368" s="1" t="s">
        <v>72</v>
      </c>
      <c r="B368" s="1" t="s">
        <v>6508</v>
      </c>
      <c r="C368" s="1" t="s">
        <v>74</v>
      </c>
      <c r="D368" s="1" t="s">
        <v>74</v>
      </c>
      <c r="E368" s="1" t="s">
        <v>74</v>
      </c>
      <c r="F368" s="1" t="s">
        <v>6509</v>
      </c>
      <c r="G368" s="1" t="s">
        <v>74</v>
      </c>
      <c r="H368" s="1" t="s">
        <v>74</v>
      </c>
      <c r="I368" s="1" t="s">
        <v>6510</v>
      </c>
      <c r="J368" s="1" t="s">
        <v>595</v>
      </c>
      <c r="K368" s="1" t="s">
        <v>74</v>
      </c>
      <c r="L368" s="1" t="s">
        <v>74</v>
      </c>
      <c r="M368" s="1" t="s">
        <v>78</v>
      </c>
      <c r="N368" s="1" t="s">
        <v>79</v>
      </c>
      <c r="O368" s="1" t="s">
        <v>74</v>
      </c>
      <c r="P368" s="1" t="s">
        <v>74</v>
      </c>
      <c r="Q368" s="1" t="s">
        <v>74</v>
      </c>
      <c r="R368" s="1" t="s">
        <v>74</v>
      </c>
      <c r="S368" s="1" t="s">
        <v>74</v>
      </c>
      <c r="T368" s="1" t="s">
        <v>6511</v>
      </c>
      <c r="U368" s="1" t="s">
        <v>6512</v>
      </c>
      <c r="V368" s="1" t="s">
        <v>6513</v>
      </c>
      <c r="W368" s="1" t="s">
        <v>6514</v>
      </c>
      <c r="X368" s="1" t="s">
        <v>4489</v>
      </c>
      <c r="Y368" s="1" t="s">
        <v>6515</v>
      </c>
      <c r="Z368" s="1" t="s">
        <v>3709</v>
      </c>
      <c r="AA368" s="1" t="s">
        <v>6516</v>
      </c>
      <c r="AB368" s="1" t="s">
        <v>6517</v>
      </c>
      <c r="AC368" s="1" t="s">
        <v>6518</v>
      </c>
      <c r="AD368" s="1" t="s">
        <v>6519</v>
      </c>
      <c r="AE368" s="1" t="s">
        <v>6520</v>
      </c>
      <c r="AF368" s="1" t="s">
        <v>74</v>
      </c>
      <c r="AG368" s="1">
        <v>41</v>
      </c>
      <c r="AH368" s="1">
        <v>90</v>
      </c>
      <c r="AI368" s="1">
        <v>95</v>
      </c>
      <c r="AJ368" s="1">
        <v>5</v>
      </c>
      <c r="AK368" s="1">
        <v>59</v>
      </c>
      <c r="AL368" s="1" t="s">
        <v>112</v>
      </c>
      <c r="AM368" s="1" t="s">
        <v>191</v>
      </c>
      <c r="AN368" s="1" t="s">
        <v>192</v>
      </c>
      <c r="AO368" s="1" t="s">
        <v>608</v>
      </c>
      <c r="AP368" s="1" t="s">
        <v>74</v>
      </c>
      <c r="AQ368" s="1" t="s">
        <v>74</v>
      </c>
      <c r="AR368" s="1" t="s">
        <v>595</v>
      </c>
      <c r="AS368" s="1" t="s">
        <v>610</v>
      </c>
      <c r="AT368" s="1" t="s">
        <v>1470</v>
      </c>
      <c r="AU368" s="1">
        <v>2011</v>
      </c>
      <c r="AV368" s="1">
        <v>20</v>
      </c>
      <c r="AW368" s="1">
        <v>1</v>
      </c>
      <c r="AX368" s="1" t="s">
        <v>74</v>
      </c>
      <c r="AY368" s="1" t="s">
        <v>74</v>
      </c>
      <c r="AZ368" s="1" t="s">
        <v>74</v>
      </c>
      <c r="BA368" s="1" t="s">
        <v>74</v>
      </c>
      <c r="BB368" s="1">
        <v>177</v>
      </c>
      <c r="BC368" s="1">
        <v>186</v>
      </c>
      <c r="BD368" s="1" t="s">
        <v>74</v>
      </c>
      <c r="BE368" s="1" t="s">
        <v>6521</v>
      </c>
      <c r="BF368" s="1" t="str">
        <f>HYPERLINK("http://dx.doi.org/10.1007/s10646-010-0569-x","http://dx.doi.org/10.1007/s10646-010-0569-x")</f>
        <v>http://dx.doi.org/10.1007/s10646-010-0569-x</v>
      </c>
      <c r="BG368" s="1" t="s">
        <v>74</v>
      </c>
      <c r="BH368" s="1" t="s">
        <v>74</v>
      </c>
      <c r="BI368" s="1">
        <v>10</v>
      </c>
      <c r="BJ368" s="1" t="s">
        <v>612</v>
      </c>
      <c r="BK368" s="1" t="s">
        <v>96</v>
      </c>
      <c r="BL368" s="1" t="s">
        <v>122</v>
      </c>
      <c r="BM368" s="1" t="s">
        <v>6522</v>
      </c>
      <c r="BN368" s="1">
        <v>21080220</v>
      </c>
      <c r="BO368" s="1" t="s">
        <v>74</v>
      </c>
      <c r="BP368" s="1" t="s">
        <v>74</v>
      </c>
      <c r="BQ368" s="1" t="s">
        <v>74</v>
      </c>
      <c r="BR368" s="1" t="s">
        <v>98</v>
      </c>
      <c r="BS368" s="1" t="s">
        <v>6523</v>
      </c>
      <c r="BT368" s="1" t="str">
        <f>HYPERLINK("https%3A%2F%2Fwww.webofscience.com%2Fwos%2Fwoscc%2Ffull-record%2FWOS:000286003700019","View Full Record in Web of Science")</f>
        <v>View Full Record in Web of Science</v>
      </c>
    </row>
    <row r="369" spans="1:72">
      <c r="A369" s="1" t="s">
        <v>72</v>
      </c>
      <c r="B369" s="1" t="s">
        <v>6524</v>
      </c>
      <c r="C369" s="1" t="s">
        <v>74</v>
      </c>
      <c r="D369" s="1" t="s">
        <v>74</v>
      </c>
      <c r="E369" s="1" t="s">
        <v>74</v>
      </c>
      <c r="F369" s="1" t="s">
        <v>6525</v>
      </c>
      <c r="G369" s="1" t="s">
        <v>74</v>
      </c>
      <c r="H369" s="1" t="s">
        <v>74</v>
      </c>
      <c r="I369" s="1" t="s">
        <v>6526</v>
      </c>
      <c r="J369" s="1" t="s">
        <v>232</v>
      </c>
      <c r="K369" s="1" t="s">
        <v>74</v>
      </c>
      <c r="L369" s="1" t="s">
        <v>74</v>
      </c>
      <c r="M369" s="1" t="s">
        <v>78</v>
      </c>
      <c r="N369" s="1" t="s">
        <v>79</v>
      </c>
      <c r="O369" s="1" t="s">
        <v>74</v>
      </c>
      <c r="P369" s="1" t="s">
        <v>74</v>
      </c>
      <c r="Q369" s="1" t="s">
        <v>74</v>
      </c>
      <c r="R369" s="1" t="s">
        <v>74</v>
      </c>
      <c r="S369" s="1" t="s">
        <v>74</v>
      </c>
      <c r="T369" s="1" t="s">
        <v>6527</v>
      </c>
      <c r="U369" s="1" t="s">
        <v>6528</v>
      </c>
      <c r="V369" s="1" t="s">
        <v>6529</v>
      </c>
      <c r="W369" s="1" t="s">
        <v>6530</v>
      </c>
      <c r="X369" s="1" t="s">
        <v>6531</v>
      </c>
      <c r="Y369" s="1" t="s">
        <v>6532</v>
      </c>
      <c r="Z369" s="1" t="s">
        <v>6533</v>
      </c>
      <c r="AA369" s="1" t="s">
        <v>6534</v>
      </c>
      <c r="AB369" s="1" t="s">
        <v>74</v>
      </c>
      <c r="AC369" s="1" t="s">
        <v>74</v>
      </c>
      <c r="AD369" s="1" t="s">
        <v>74</v>
      </c>
      <c r="AE369" s="1" t="s">
        <v>74</v>
      </c>
      <c r="AF369" s="1" t="s">
        <v>74</v>
      </c>
      <c r="AG369" s="1">
        <v>45</v>
      </c>
      <c r="AH369" s="1">
        <v>12</v>
      </c>
      <c r="AI369" s="1">
        <v>12</v>
      </c>
      <c r="AJ369" s="1">
        <v>11</v>
      </c>
      <c r="AK369" s="1">
        <v>33</v>
      </c>
      <c r="AL369" s="1" t="s">
        <v>136</v>
      </c>
      <c r="AM369" s="1" t="s">
        <v>137</v>
      </c>
      <c r="AN369" s="1" t="s">
        <v>138</v>
      </c>
      <c r="AO369" s="1" t="s">
        <v>240</v>
      </c>
      <c r="AP369" s="1" t="s">
        <v>241</v>
      </c>
      <c r="AQ369" s="1" t="s">
        <v>74</v>
      </c>
      <c r="AR369" s="1" t="s">
        <v>242</v>
      </c>
      <c r="AS369" s="1" t="s">
        <v>243</v>
      </c>
      <c r="AT369" s="1" t="s">
        <v>93</v>
      </c>
      <c r="AU369" s="1">
        <v>2023</v>
      </c>
      <c r="AV369" s="1">
        <v>189</v>
      </c>
      <c r="AW369" s="1" t="s">
        <v>74</v>
      </c>
      <c r="AX369" s="1" t="s">
        <v>74</v>
      </c>
      <c r="AY369" s="1" t="s">
        <v>74</v>
      </c>
      <c r="AZ369" s="1" t="s">
        <v>74</v>
      </c>
      <c r="BA369" s="1" t="s">
        <v>74</v>
      </c>
      <c r="BB369" s="1" t="s">
        <v>74</v>
      </c>
      <c r="BC369" s="1" t="s">
        <v>74</v>
      </c>
      <c r="BD369" s="1">
        <v>114808</v>
      </c>
      <c r="BE369" s="1" t="s">
        <v>6535</v>
      </c>
      <c r="BF369" s="1" t="str">
        <f>HYPERLINK("http://dx.doi.org/10.1016/j.marpolbul.2023.114808","http://dx.doi.org/10.1016/j.marpolbul.2023.114808")</f>
        <v>http://dx.doi.org/10.1016/j.marpolbul.2023.114808</v>
      </c>
      <c r="BG369" s="1" t="s">
        <v>74</v>
      </c>
      <c r="BH369" s="1" t="s">
        <v>6536</v>
      </c>
      <c r="BI369" s="1">
        <v>7</v>
      </c>
      <c r="BJ369" s="1" t="s">
        <v>247</v>
      </c>
      <c r="BK369" s="1" t="s">
        <v>96</v>
      </c>
      <c r="BL369" s="1" t="s">
        <v>248</v>
      </c>
      <c r="BM369" s="1" t="s">
        <v>6537</v>
      </c>
      <c r="BN369" s="1">
        <v>36907167</v>
      </c>
      <c r="BO369" s="1" t="s">
        <v>74</v>
      </c>
      <c r="BP369" s="1" t="s">
        <v>74</v>
      </c>
      <c r="BQ369" s="1" t="s">
        <v>74</v>
      </c>
      <c r="BR369" s="1" t="s">
        <v>98</v>
      </c>
      <c r="BS369" s="1" t="s">
        <v>6538</v>
      </c>
      <c r="BT369" s="1" t="str">
        <f>HYPERLINK("https%3A%2F%2Fwww.webofscience.com%2Fwos%2Fwoscc%2Ffull-record%2FWOS:000951810300001","View Full Record in Web of Science")</f>
        <v>View Full Record in Web of Science</v>
      </c>
    </row>
    <row r="370" spans="1:72">
      <c r="A370" s="1" t="s">
        <v>72</v>
      </c>
      <c r="B370" s="1" t="s">
        <v>6539</v>
      </c>
      <c r="C370" s="1" t="s">
        <v>74</v>
      </c>
      <c r="D370" s="1" t="s">
        <v>74</v>
      </c>
      <c r="E370" s="1" t="s">
        <v>74</v>
      </c>
      <c r="F370" s="1" t="s">
        <v>6540</v>
      </c>
      <c r="G370" s="1" t="s">
        <v>74</v>
      </c>
      <c r="H370" s="1" t="s">
        <v>74</v>
      </c>
      <c r="I370" s="1" t="s">
        <v>6541</v>
      </c>
      <c r="J370" s="1" t="s">
        <v>6542</v>
      </c>
      <c r="K370" s="1" t="s">
        <v>74</v>
      </c>
      <c r="L370" s="1" t="s">
        <v>74</v>
      </c>
      <c r="M370" s="1" t="s">
        <v>78</v>
      </c>
      <c r="N370" s="1" t="s">
        <v>79</v>
      </c>
      <c r="O370" s="1" t="s">
        <v>74</v>
      </c>
      <c r="P370" s="1" t="s">
        <v>74</v>
      </c>
      <c r="Q370" s="1" t="s">
        <v>74</v>
      </c>
      <c r="R370" s="1" t="s">
        <v>74</v>
      </c>
      <c r="S370" s="1" t="s">
        <v>74</v>
      </c>
      <c r="T370" s="1" t="s">
        <v>74</v>
      </c>
      <c r="U370" s="1" t="s">
        <v>6543</v>
      </c>
      <c r="V370" s="1" t="s">
        <v>6544</v>
      </c>
      <c r="W370" s="1" t="s">
        <v>6545</v>
      </c>
      <c r="X370" s="1" t="s">
        <v>6546</v>
      </c>
      <c r="Y370" s="1" t="s">
        <v>6547</v>
      </c>
      <c r="Z370" s="1" t="s">
        <v>6548</v>
      </c>
      <c r="AA370" s="1" t="s">
        <v>6549</v>
      </c>
      <c r="AB370" s="1" t="s">
        <v>6550</v>
      </c>
      <c r="AC370" s="1" t="s">
        <v>6551</v>
      </c>
      <c r="AD370" s="1" t="s">
        <v>6552</v>
      </c>
      <c r="AE370" s="1" t="s">
        <v>6553</v>
      </c>
      <c r="AF370" s="1" t="s">
        <v>74</v>
      </c>
      <c r="AG370" s="1">
        <v>70</v>
      </c>
      <c r="AH370" s="1">
        <v>12</v>
      </c>
      <c r="AI370" s="1">
        <v>15</v>
      </c>
      <c r="AJ370" s="1">
        <v>2</v>
      </c>
      <c r="AK370" s="1">
        <v>13</v>
      </c>
      <c r="AL370" s="1" t="s">
        <v>6554</v>
      </c>
      <c r="AM370" s="1" t="s">
        <v>113</v>
      </c>
      <c r="AN370" s="1" t="s">
        <v>6555</v>
      </c>
      <c r="AO370" s="1" t="s">
        <v>6556</v>
      </c>
      <c r="AP370" s="1" t="s">
        <v>6557</v>
      </c>
      <c r="AQ370" s="1" t="s">
        <v>74</v>
      </c>
      <c r="AR370" s="1" t="s">
        <v>6558</v>
      </c>
      <c r="AS370" s="1" t="s">
        <v>6559</v>
      </c>
      <c r="AT370" s="1" t="s">
        <v>267</v>
      </c>
      <c r="AU370" s="1">
        <v>2011</v>
      </c>
      <c r="AV370" s="1">
        <v>51</v>
      </c>
      <c r="AW370" s="1">
        <v>5</v>
      </c>
      <c r="AX370" s="1" t="s">
        <v>74</v>
      </c>
      <c r="AY370" s="1" t="s">
        <v>74</v>
      </c>
      <c r="AZ370" s="1" t="s">
        <v>74</v>
      </c>
      <c r="BA370" s="1" t="s">
        <v>74</v>
      </c>
      <c r="BB370" s="1">
        <v>804</v>
      </c>
      <c r="BC370" s="1">
        <v>813</v>
      </c>
      <c r="BD370" s="1" t="s">
        <v>74</v>
      </c>
      <c r="BE370" s="1" t="s">
        <v>6560</v>
      </c>
      <c r="BF370" s="1" t="str">
        <f>HYPERLINK("http://dx.doi.org/10.1134/S0001437011050092","http://dx.doi.org/10.1134/S0001437011050092")</f>
        <v>http://dx.doi.org/10.1134/S0001437011050092</v>
      </c>
      <c r="BG370" s="1" t="s">
        <v>74</v>
      </c>
      <c r="BH370" s="1" t="s">
        <v>74</v>
      </c>
      <c r="BI370" s="1">
        <v>10</v>
      </c>
      <c r="BJ370" s="1" t="s">
        <v>1439</v>
      </c>
      <c r="BK370" s="1" t="s">
        <v>96</v>
      </c>
      <c r="BL370" s="1" t="s">
        <v>1439</v>
      </c>
      <c r="BM370" s="1" t="s">
        <v>6561</v>
      </c>
      <c r="BN370" s="1" t="s">
        <v>74</v>
      </c>
      <c r="BO370" s="1" t="s">
        <v>74</v>
      </c>
      <c r="BP370" s="1" t="s">
        <v>74</v>
      </c>
      <c r="BQ370" s="1" t="s">
        <v>74</v>
      </c>
      <c r="BR370" s="1" t="s">
        <v>98</v>
      </c>
      <c r="BS370" s="1" t="s">
        <v>6562</v>
      </c>
      <c r="BT370" s="1" t="str">
        <f>HYPERLINK("https%3A%2F%2Fwww.webofscience.com%2Fwos%2Fwoscc%2Ffull-record%2FWOS:000298563800009","View Full Record in Web of Science")</f>
        <v>View Full Record in Web of Science</v>
      </c>
    </row>
    <row r="371" spans="1:72">
      <c r="A371" s="1" t="s">
        <v>72</v>
      </c>
      <c r="B371" s="1" t="s">
        <v>6563</v>
      </c>
      <c r="C371" s="1" t="s">
        <v>74</v>
      </c>
      <c r="D371" s="1" t="s">
        <v>74</v>
      </c>
      <c r="E371" s="1" t="s">
        <v>74</v>
      </c>
      <c r="F371" s="1" t="s">
        <v>6563</v>
      </c>
      <c r="G371" s="1" t="s">
        <v>74</v>
      </c>
      <c r="H371" s="1" t="s">
        <v>74</v>
      </c>
      <c r="I371" s="1" t="s">
        <v>6564</v>
      </c>
      <c r="J371" s="1" t="s">
        <v>1756</v>
      </c>
      <c r="K371" s="1" t="s">
        <v>74</v>
      </c>
      <c r="L371" s="1" t="s">
        <v>74</v>
      </c>
      <c r="M371" s="1" t="s">
        <v>78</v>
      </c>
      <c r="N371" s="1" t="s">
        <v>79</v>
      </c>
      <c r="O371" s="1" t="s">
        <v>74</v>
      </c>
      <c r="P371" s="1" t="s">
        <v>74</v>
      </c>
      <c r="Q371" s="1" t="s">
        <v>74</v>
      </c>
      <c r="R371" s="1" t="s">
        <v>74</v>
      </c>
      <c r="S371" s="1" t="s">
        <v>74</v>
      </c>
      <c r="T371" s="1" t="s">
        <v>6565</v>
      </c>
      <c r="U371" s="1" t="s">
        <v>6566</v>
      </c>
      <c r="V371" s="1" t="s">
        <v>6567</v>
      </c>
      <c r="W371" s="1" t="s">
        <v>6568</v>
      </c>
      <c r="X371" s="1" t="s">
        <v>6569</v>
      </c>
      <c r="Y371" s="1" t="s">
        <v>6570</v>
      </c>
      <c r="Z371" s="1" t="s">
        <v>6571</v>
      </c>
      <c r="AA371" s="1" t="s">
        <v>6572</v>
      </c>
      <c r="AB371" s="1" t="s">
        <v>6573</v>
      </c>
      <c r="AC371" s="1" t="s">
        <v>74</v>
      </c>
      <c r="AD371" s="1" t="s">
        <v>74</v>
      </c>
      <c r="AE371" s="1" t="s">
        <v>74</v>
      </c>
      <c r="AF371" s="1" t="s">
        <v>74</v>
      </c>
      <c r="AG371" s="1">
        <v>23</v>
      </c>
      <c r="AH371" s="1">
        <v>115</v>
      </c>
      <c r="AI371" s="1">
        <v>117</v>
      </c>
      <c r="AJ371" s="1">
        <v>0</v>
      </c>
      <c r="AK371" s="1">
        <v>31</v>
      </c>
      <c r="AL371" s="1" t="s">
        <v>86</v>
      </c>
      <c r="AM371" s="1" t="s">
        <v>87</v>
      </c>
      <c r="AN371" s="1" t="s">
        <v>88</v>
      </c>
      <c r="AO371" s="1" t="s">
        <v>1764</v>
      </c>
      <c r="AP371" s="1" t="s">
        <v>1765</v>
      </c>
      <c r="AQ371" s="1" t="s">
        <v>74</v>
      </c>
      <c r="AR371" s="1" t="s">
        <v>1766</v>
      </c>
      <c r="AS371" s="1" t="s">
        <v>1767</v>
      </c>
      <c r="AT371" s="1" t="s">
        <v>93</v>
      </c>
      <c r="AU371" s="1">
        <v>2003</v>
      </c>
      <c r="AV371" s="1">
        <v>22</v>
      </c>
      <c r="AW371" s="1">
        <v>4</v>
      </c>
      <c r="AX371" s="1" t="s">
        <v>74</v>
      </c>
      <c r="AY371" s="1" t="s">
        <v>74</v>
      </c>
      <c r="AZ371" s="1" t="s">
        <v>74</v>
      </c>
      <c r="BA371" s="1" t="s">
        <v>74</v>
      </c>
      <c r="BB371" s="1">
        <v>914</v>
      </c>
      <c r="BC371" s="1">
        <v>920</v>
      </c>
      <c r="BD371" s="1" t="s">
        <v>74</v>
      </c>
      <c r="BE371" s="1" t="s">
        <v>6574</v>
      </c>
      <c r="BF371" s="1" t="str">
        <f>HYPERLINK("http://dx.doi.org/10.1002/etc.5620220432","http://dx.doi.org/10.1002/etc.5620220432")</f>
        <v>http://dx.doi.org/10.1002/etc.5620220432</v>
      </c>
      <c r="BG371" s="1" t="s">
        <v>74</v>
      </c>
      <c r="BH371" s="1" t="s">
        <v>74</v>
      </c>
      <c r="BI371" s="1">
        <v>7</v>
      </c>
      <c r="BJ371" s="1" t="s">
        <v>121</v>
      </c>
      <c r="BK371" s="1" t="s">
        <v>96</v>
      </c>
      <c r="BL371" s="1" t="s">
        <v>122</v>
      </c>
      <c r="BM371" s="1" t="s">
        <v>6575</v>
      </c>
      <c r="BN371" s="1">
        <v>12685729</v>
      </c>
      <c r="BO371" s="1" t="s">
        <v>74</v>
      </c>
      <c r="BP371" s="1" t="s">
        <v>74</v>
      </c>
      <c r="BQ371" s="1" t="s">
        <v>74</v>
      </c>
      <c r="BR371" s="1" t="s">
        <v>98</v>
      </c>
      <c r="BS371" s="1" t="s">
        <v>6576</v>
      </c>
      <c r="BT371" s="1" t="str">
        <f>HYPERLINK("https%3A%2F%2Fwww.webofscience.com%2Fwos%2Fwoscc%2Ffull-record%2FWOS:000185326200032","View Full Record in Web of Science")</f>
        <v>View Full Record in Web of Science</v>
      </c>
    </row>
    <row r="372" spans="1:72">
      <c r="A372" s="1" t="s">
        <v>72</v>
      </c>
      <c r="B372" s="1" t="s">
        <v>6577</v>
      </c>
      <c r="C372" s="1" t="s">
        <v>74</v>
      </c>
      <c r="D372" s="1" t="s">
        <v>74</v>
      </c>
      <c r="E372" s="1" t="s">
        <v>74</v>
      </c>
      <c r="F372" s="1" t="s">
        <v>6577</v>
      </c>
      <c r="G372" s="1" t="s">
        <v>74</v>
      </c>
      <c r="H372" s="1" t="s">
        <v>74</v>
      </c>
      <c r="I372" s="1" t="s">
        <v>6578</v>
      </c>
      <c r="J372" s="1" t="s">
        <v>998</v>
      </c>
      <c r="K372" s="1" t="s">
        <v>74</v>
      </c>
      <c r="L372" s="1" t="s">
        <v>74</v>
      </c>
      <c r="M372" s="1" t="s">
        <v>78</v>
      </c>
      <c r="N372" s="1" t="s">
        <v>79</v>
      </c>
      <c r="O372" s="1" t="s">
        <v>74</v>
      </c>
      <c r="P372" s="1" t="s">
        <v>74</v>
      </c>
      <c r="Q372" s="1" t="s">
        <v>74</v>
      </c>
      <c r="R372" s="1" t="s">
        <v>74</v>
      </c>
      <c r="S372" s="1" t="s">
        <v>74</v>
      </c>
      <c r="T372" s="1" t="s">
        <v>74</v>
      </c>
      <c r="U372" s="1" t="s">
        <v>6579</v>
      </c>
      <c r="V372" s="1" t="s">
        <v>6580</v>
      </c>
      <c r="W372" s="1" t="s">
        <v>6581</v>
      </c>
      <c r="X372" s="1" t="s">
        <v>6582</v>
      </c>
      <c r="Y372" s="1" t="s">
        <v>6583</v>
      </c>
      <c r="Z372" s="1" t="s">
        <v>74</v>
      </c>
      <c r="AA372" s="1" t="s">
        <v>74</v>
      </c>
      <c r="AB372" s="1" t="s">
        <v>74</v>
      </c>
      <c r="AC372" s="1" t="s">
        <v>74</v>
      </c>
      <c r="AD372" s="1" t="s">
        <v>74</v>
      </c>
      <c r="AE372" s="1" t="s">
        <v>74</v>
      </c>
      <c r="AF372" s="1" t="s">
        <v>74</v>
      </c>
      <c r="AG372" s="1">
        <v>19</v>
      </c>
      <c r="AH372" s="1">
        <v>20</v>
      </c>
      <c r="AI372" s="1">
        <v>20</v>
      </c>
      <c r="AJ372" s="1">
        <v>0</v>
      </c>
      <c r="AK372" s="1">
        <v>8</v>
      </c>
      <c r="AL372" s="1" t="s">
        <v>6584</v>
      </c>
      <c r="AM372" s="1" t="s">
        <v>113</v>
      </c>
      <c r="AN372" s="1" t="s">
        <v>6585</v>
      </c>
      <c r="AO372" s="1" t="s">
        <v>1009</v>
      </c>
      <c r="AP372" s="1" t="s">
        <v>74</v>
      </c>
      <c r="AQ372" s="1" t="s">
        <v>74</v>
      </c>
      <c r="AR372" s="1" t="s">
        <v>1010</v>
      </c>
      <c r="AS372" s="1" t="s">
        <v>1011</v>
      </c>
      <c r="AT372" s="1" t="s">
        <v>119</v>
      </c>
      <c r="AU372" s="1">
        <v>1991</v>
      </c>
      <c r="AV372" s="1">
        <v>21</v>
      </c>
      <c r="AW372" s="1">
        <v>2</v>
      </c>
      <c r="AX372" s="1" t="s">
        <v>74</v>
      </c>
      <c r="AY372" s="1" t="s">
        <v>74</v>
      </c>
      <c r="AZ372" s="1" t="s">
        <v>74</v>
      </c>
      <c r="BA372" s="1" t="s">
        <v>74</v>
      </c>
      <c r="BB372" s="1">
        <v>303</v>
      </c>
      <c r="BC372" s="1">
        <v>310</v>
      </c>
      <c r="BD372" s="1" t="s">
        <v>74</v>
      </c>
      <c r="BE372" s="1" t="s">
        <v>6586</v>
      </c>
      <c r="BF372" s="1" t="str">
        <f>HYPERLINK("http://dx.doi.org/10.1007/BF01055350","http://dx.doi.org/10.1007/BF01055350")</f>
        <v>http://dx.doi.org/10.1007/BF01055350</v>
      </c>
      <c r="BG372" s="1" t="s">
        <v>74</v>
      </c>
      <c r="BH372" s="1" t="s">
        <v>74</v>
      </c>
      <c r="BI372" s="1">
        <v>8</v>
      </c>
      <c r="BJ372" s="1" t="s">
        <v>121</v>
      </c>
      <c r="BK372" s="1" t="s">
        <v>96</v>
      </c>
      <c r="BL372" s="1" t="s">
        <v>122</v>
      </c>
      <c r="BM372" s="1" t="s">
        <v>6587</v>
      </c>
      <c r="BN372" s="1">
        <v>1958082</v>
      </c>
      <c r="BO372" s="1" t="s">
        <v>74</v>
      </c>
      <c r="BP372" s="1" t="s">
        <v>74</v>
      </c>
      <c r="BQ372" s="1" t="s">
        <v>74</v>
      </c>
      <c r="BR372" s="1" t="s">
        <v>98</v>
      </c>
      <c r="BS372" s="1" t="s">
        <v>6588</v>
      </c>
      <c r="BT372" s="1" t="str">
        <f>HYPERLINK("https%3A%2F%2Fwww.webofscience.com%2Fwos%2Fwoscc%2Ffull-record%2FWOS:A1991FW79400019","View Full Record in Web of Science")</f>
        <v>View Full Record in Web of Science</v>
      </c>
    </row>
    <row r="373" spans="1:72">
      <c r="A373" s="1" t="s">
        <v>72</v>
      </c>
      <c r="B373" s="1" t="s">
        <v>6589</v>
      </c>
      <c r="C373" s="1" t="s">
        <v>74</v>
      </c>
      <c r="D373" s="1" t="s">
        <v>74</v>
      </c>
      <c r="E373" s="1" t="s">
        <v>74</v>
      </c>
      <c r="F373" s="1" t="s">
        <v>6590</v>
      </c>
      <c r="G373" s="1" t="s">
        <v>74</v>
      </c>
      <c r="H373" s="1" t="s">
        <v>74</v>
      </c>
      <c r="I373" s="1" t="s">
        <v>6591</v>
      </c>
      <c r="J373" s="1" t="s">
        <v>232</v>
      </c>
      <c r="K373" s="1" t="s">
        <v>74</v>
      </c>
      <c r="L373" s="1" t="s">
        <v>74</v>
      </c>
      <c r="M373" s="1" t="s">
        <v>78</v>
      </c>
      <c r="N373" s="1" t="s">
        <v>79</v>
      </c>
      <c r="O373" s="1" t="s">
        <v>74</v>
      </c>
      <c r="P373" s="1" t="s">
        <v>74</v>
      </c>
      <c r="Q373" s="1" t="s">
        <v>74</v>
      </c>
      <c r="R373" s="1" t="s">
        <v>74</v>
      </c>
      <c r="S373" s="1" t="s">
        <v>74</v>
      </c>
      <c r="T373" s="1" t="s">
        <v>6592</v>
      </c>
      <c r="U373" s="1" t="s">
        <v>6593</v>
      </c>
      <c r="V373" s="1" t="s">
        <v>6594</v>
      </c>
      <c r="W373" s="1" t="s">
        <v>6595</v>
      </c>
      <c r="X373" s="1" t="s">
        <v>6596</v>
      </c>
      <c r="Y373" s="1" t="s">
        <v>6597</v>
      </c>
      <c r="Z373" s="1" t="s">
        <v>6598</v>
      </c>
      <c r="AA373" s="1" t="s">
        <v>74</v>
      </c>
      <c r="AB373" s="1" t="s">
        <v>6599</v>
      </c>
      <c r="AC373" s="1" t="s">
        <v>6600</v>
      </c>
      <c r="AD373" s="1" t="s">
        <v>6600</v>
      </c>
      <c r="AE373" s="1" t="s">
        <v>6601</v>
      </c>
      <c r="AF373" s="1" t="s">
        <v>74</v>
      </c>
      <c r="AG373" s="1">
        <v>29</v>
      </c>
      <c r="AH373" s="1">
        <v>29</v>
      </c>
      <c r="AI373" s="1">
        <v>31</v>
      </c>
      <c r="AJ373" s="1">
        <v>0</v>
      </c>
      <c r="AK373" s="1">
        <v>30</v>
      </c>
      <c r="AL373" s="1" t="s">
        <v>136</v>
      </c>
      <c r="AM373" s="1" t="s">
        <v>137</v>
      </c>
      <c r="AN373" s="1" t="s">
        <v>138</v>
      </c>
      <c r="AO373" s="1" t="s">
        <v>240</v>
      </c>
      <c r="AP373" s="1" t="s">
        <v>241</v>
      </c>
      <c r="AQ373" s="1" t="s">
        <v>74</v>
      </c>
      <c r="AR373" s="1" t="s">
        <v>242</v>
      </c>
      <c r="AS373" s="1" t="s">
        <v>243</v>
      </c>
      <c r="AT373" s="1" t="s">
        <v>1856</v>
      </c>
      <c r="AU373" s="1">
        <v>2013</v>
      </c>
      <c r="AV373" s="1">
        <v>73</v>
      </c>
      <c r="AW373" s="1">
        <v>1</v>
      </c>
      <c r="AX373" s="1" t="s">
        <v>74</v>
      </c>
      <c r="AY373" s="1" t="s">
        <v>74</v>
      </c>
      <c r="AZ373" s="1" t="s">
        <v>74</v>
      </c>
      <c r="BA373" s="1" t="s">
        <v>74</v>
      </c>
      <c r="BB373" s="1">
        <v>394</v>
      </c>
      <c r="BC373" s="1">
        <v>398</v>
      </c>
      <c r="BD373" s="1" t="s">
        <v>74</v>
      </c>
      <c r="BE373" s="1" t="s">
        <v>6602</v>
      </c>
      <c r="BF373" s="1" t="str">
        <f>HYPERLINK("http://dx.doi.org/10.1016/j.marpolbul.2013.05.010","http://dx.doi.org/10.1016/j.marpolbul.2013.05.010")</f>
        <v>http://dx.doi.org/10.1016/j.marpolbul.2013.05.010</v>
      </c>
      <c r="BG373" s="1" t="s">
        <v>74</v>
      </c>
      <c r="BH373" s="1" t="s">
        <v>74</v>
      </c>
      <c r="BI373" s="1">
        <v>5</v>
      </c>
      <c r="BJ373" s="1" t="s">
        <v>247</v>
      </c>
      <c r="BK373" s="1" t="s">
        <v>96</v>
      </c>
      <c r="BL373" s="1" t="s">
        <v>248</v>
      </c>
      <c r="BM373" s="1" t="s">
        <v>6603</v>
      </c>
      <c r="BN373" s="1">
        <v>23746942</v>
      </c>
      <c r="BO373" s="1" t="s">
        <v>74</v>
      </c>
      <c r="BP373" s="1" t="s">
        <v>74</v>
      </c>
      <c r="BQ373" s="1" t="s">
        <v>74</v>
      </c>
      <c r="BR373" s="1" t="s">
        <v>98</v>
      </c>
      <c r="BS373" s="1" t="s">
        <v>6604</v>
      </c>
      <c r="BT373" s="1" t="str">
        <f>HYPERLINK("https%3A%2F%2Fwww.webofscience.com%2Fwos%2Fwoscc%2Ffull-record%2FWOS:000323586900060","View Full Record in Web of Science")</f>
        <v>View Full Record in Web of Science</v>
      </c>
    </row>
    <row r="374" spans="1:72">
      <c r="A374" s="1" t="s">
        <v>72</v>
      </c>
      <c r="B374" s="1" t="s">
        <v>6605</v>
      </c>
      <c r="C374" s="1" t="s">
        <v>74</v>
      </c>
      <c r="D374" s="1" t="s">
        <v>74</v>
      </c>
      <c r="E374" s="1" t="s">
        <v>74</v>
      </c>
      <c r="F374" s="1" t="s">
        <v>6606</v>
      </c>
      <c r="G374" s="1" t="s">
        <v>74</v>
      </c>
      <c r="H374" s="1" t="s">
        <v>74</v>
      </c>
      <c r="I374" s="1" t="s">
        <v>6607</v>
      </c>
      <c r="J374" s="1" t="s">
        <v>6608</v>
      </c>
      <c r="K374" s="1" t="s">
        <v>74</v>
      </c>
      <c r="L374" s="1" t="s">
        <v>74</v>
      </c>
      <c r="M374" s="1" t="s">
        <v>78</v>
      </c>
      <c r="N374" s="1" t="s">
        <v>79</v>
      </c>
      <c r="O374" s="1" t="s">
        <v>74</v>
      </c>
      <c r="P374" s="1" t="s">
        <v>74</v>
      </c>
      <c r="Q374" s="1" t="s">
        <v>74</v>
      </c>
      <c r="R374" s="1" t="s">
        <v>74</v>
      </c>
      <c r="S374" s="1" t="s">
        <v>74</v>
      </c>
      <c r="T374" s="1" t="s">
        <v>6609</v>
      </c>
      <c r="U374" s="1" t="s">
        <v>6610</v>
      </c>
      <c r="V374" s="1" t="s">
        <v>6611</v>
      </c>
      <c r="W374" s="1" t="s">
        <v>6612</v>
      </c>
      <c r="X374" s="1" t="s">
        <v>3483</v>
      </c>
      <c r="Y374" s="1" t="s">
        <v>6613</v>
      </c>
      <c r="Z374" s="1" t="s">
        <v>6614</v>
      </c>
      <c r="AA374" s="1" t="s">
        <v>2292</v>
      </c>
      <c r="AB374" s="1" t="s">
        <v>6615</v>
      </c>
      <c r="AC374" s="1" t="s">
        <v>6616</v>
      </c>
      <c r="AD374" s="1" t="s">
        <v>6617</v>
      </c>
      <c r="AE374" s="1" t="s">
        <v>6618</v>
      </c>
      <c r="AF374" s="1" t="s">
        <v>74</v>
      </c>
      <c r="AG374" s="1">
        <v>90</v>
      </c>
      <c r="AH374" s="1">
        <v>8</v>
      </c>
      <c r="AI374" s="1">
        <v>8</v>
      </c>
      <c r="AJ374" s="1">
        <v>0</v>
      </c>
      <c r="AK374" s="1">
        <v>10</v>
      </c>
      <c r="AL374" s="1" t="s">
        <v>1566</v>
      </c>
      <c r="AM374" s="1" t="s">
        <v>1567</v>
      </c>
      <c r="AN374" s="1" t="s">
        <v>1568</v>
      </c>
      <c r="AO374" s="1" t="s">
        <v>6619</v>
      </c>
      <c r="AP374" s="1" t="s">
        <v>74</v>
      </c>
      <c r="AQ374" s="1" t="s">
        <v>74</v>
      </c>
      <c r="AR374" s="1" t="s">
        <v>6620</v>
      </c>
      <c r="AS374" s="1" t="s">
        <v>6621</v>
      </c>
      <c r="AT374" s="1" t="s">
        <v>951</v>
      </c>
      <c r="AU374" s="1">
        <v>2017</v>
      </c>
      <c r="AV374" s="1">
        <v>9</v>
      </c>
      <c r="AW374" s="1">
        <v>11</v>
      </c>
      <c r="AX374" s="1" t="s">
        <v>74</v>
      </c>
      <c r="AY374" s="1" t="s">
        <v>74</v>
      </c>
      <c r="AZ374" s="1" t="s">
        <v>74</v>
      </c>
      <c r="BA374" s="1" t="s">
        <v>74</v>
      </c>
      <c r="BB374" s="1" t="s">
        <v>74</v>
      </c>
      <c r="BC374" s="1" t="s">
        <v>74</v>
      </c>
      <c r="BD374" s="1">
        <v>886</v>
      </c>
      <c r="BE374" s="1" t="s">
        <v>6622</v>
      </c>
      <c r="BF374" s="1" t="str">
        <f>HYPERLINK("http://dx.doi.org/10.3390/w9110886","http://dx.doi.org/10.3390/w9110886")</f>
        <v>http://dx.doi.org/10.3390/w9110886</v>
      </c>
      <c r="BG374" s="1" t="s">
        <v>74</v>
      </c>
      <c r="BH374" s="1" t="s">
        <v>74</v>
      </c>
      <c r="BI374" s="1">
        <v>17</v>
      </c>
      <c r="BJ374" s="1" t="s">
        <v>6623</v>
      </c>
      <c r="BK374" s="1" t="s">
        <v>96</v>
      </c>
      <c r="BL374" s="1" t="s">
        <v>6624</v>
      </c>
      <c r="BM374" s="1" t="s">
        <v>6625</v>
      </c>
      <c r="BN374" s="1" t="s">
        <v>74</v>
      </c>
      <c r="BO374" s="1" t="s">
        <v>550</v>
      </c>
      <c r="BP374" s="1" t="s">
        <v>74</v>
      </c>
      <c r="BQ374" s="1" t="s">
        <v>74</v>
      </c>
      <c r="BR374" s="1" t="s">
        <v>98</v>
      </c>
      <c r="BS374" s="1" t="s">
        <v>6626</v>
      </c>
      <c r="BT374" s="1" t="str">
        <f>HYPERLINK("https%3A%2F%2Fwww.webofscience.com%2Fwos%2Fwoscc%2Ffull-record%2FWOS:000416798300072","View Full Record in Web of Science")</f>
        <v>View Full Record in Web of Science</v>
      </c>
    </row>
    <row r="375" spans="1:72">
      <c r="A375" s="1" t="s">
        <v>72</v>
      </c>
      <c r="B375" s="1" t="s">
        <v>6627</v>
      </c>
      <c r="C375" s="1" t="s">
        <v>74</v>
      </c>
      <c r="D375" s="1" t="s">
        <v>74</v>
      </c>
      <c r="E375" s="1" t="s">
        <v>74</v>
      </c>
      <c r="F375" s="1" t="s">
        <v>6628</v>
      </c>
      <c r="G375" s="1" t="s">
        <v>74</v>
      </c>
      <c r="H375" s="1" t="s">
        <v>74</v>
      </c>
      <c r="I375" s="1" t="s">
        <v>6629</v>
      </c>
      <c r="J375" s="1" t="s">
        <v>6630</v>
      </c>
      <c r="K375" s="1" t="s">
        <v>74</v>
      </c>
      <c r="L375" s="1" t="s">
        <v>74</v>
      </c>
      <c r="M375" s="1" t="s">
        <v>78</v>
      </c>
      <c r="N375" s="1" t="s">
        <v>79</v>
      </c>
      <c r="O375" s="1" t="s">
        <v>74</v>
      </c>
      <c r="P375" s="1" t="s">
        <v>74</v>
      </c>
      <c r="Q375" s="1" t="s">
        <v>74</v>
      </c>
      <c r="R375" s="1" t="s">
        <v>74</v>
      </c>
      <c r="S375" s="1" t="s">
        <v>74</v>
      </c>
      <c r="T375" s="1" t="s">
        <v>74</v>
      </c>
      <c r="U375" s="1" t="s">
        <v>6631</v>
      </c>
      <c r="V375" s="1" t="s">
        <v>6632</v>
      </c>
      <c r="W375" s="1" t="s">
        <v>6633</v>
      </c>
      <c r="X375" s="1" t="s">
        <v>6634</v>
      </c>
      <c r="Y375" s="1" t="s">
        <v>6635</v>
      </c>
      <c r="Z375" s="1" t="s">
        <v>6636</v>
      </c>
      <c r="AA375" s="1" t="s">
        <v>6637</v>
      </c>
      <c r="AB375" s="1" t="s">
        <v>6638</v>
      </c>
      <c r="AC375" s="1" t="s">
        <v>6639</v>
      </c>
      <c r="AD375" s="1" t="s">
        <v>6640</v>
      </c>
      <c r="AE375" s="1" t="s">
        <v>6641</v>
      </c>
      <c r="AF375" s="1" t="s">
        <v>74</v>
      </c>
      <c r="AG375" s="1">
        <v>20</v>
      </c>
      <c r="AH375" s="1">
        <v>12</v>
      </c>
      <c r="AI375" s="1">
        <v>13</v>
      </c>
      <c r="AJ375" s="1">
        <v>0</v>
      </c>
      <c r="AK375" s="1">
        <v>22</v>
      </c>
      <c r="AL375" s="1" t="s">
        <v>408</v>
      </c>
      <c r="AM375" s="1" t="s">
        <v>409</v>
      </c>
      <c r="AN375" s="1" t="s">
        <v>1188</v>
      </c>
      <c r="AO375" s="1" t="s">
        <v>6642</v>
      </c>
      <c r="AP375" s="1" t="s">
        <v>6643</v>
      </c>
      <c r="AQ375" s="1" t="s">
        <v>74</v>
      </c>
      <c r="AR375" s="1" t="s">
        <v>6644</v>
      </c>
      <c r="AS375" s="1" t="s">
        <v>6645</v>
      </c>
      <c r="AT375" s="1" t="s">
        <v>74</v>
      </c>
      <c r="AU375" s="1">
        <v>2014</v>
      </c>
      <c r="AV375" s="1">
        <v>77</v>
      </c>
      <c r="AW375" s="1">
        <v>20</v>
      </c>
      <c r="AX375" s="1" t="s">
        <v>74</v>
      </c>
      <c r="AY375" s="1" t="s">
        <v>74</v>
      </c>
      <c r="AZ375" s="1" t="s">
        <v>74</v>
      </c>
      <c r="BA375" s="1" t="s">
        <v>74</v>
      </c>
      <c r="BB375" s="1">
        <v>1222</v>
      </c>
      <c r="BC375" s="1">
        <v>1228</v>
      </c>
      <c r="BD375" s="1" t="s">
        <v>74</v>
      </c>
      <c r="BE375" s="1" t="s">
        <v>6646</v>
      </c>
      <c r="BF375" s="1" t="str">
        <f>HYPERLINK("http://dx.doi.org/10.1080/15287394.2014.922452","http://dx.doi.org/10.1080/15287394.2014.922452")</f>
        <v>http://dx.doi.org/10.1080/15287394.2014.922452</v>
      </c>
      <c r="BG375" s="1" t="s">
        <v>74</v>
      </c>
      <c r="BH375" s="1" t="s">
        <v>74</v>
      </c>
      <c r="BI375" s="1">
        <v>7</v>
      </c>
      <c r="BJ375" s="1" t="s">
        <v>5162</v>
      </c>
      <c r="BK375" s="1" t="s">
        <v>96</v>
      </c>
      <c r="BL375" s="1" t="s">
        <v>5163</v>
      </c>
      <c r="BM375" s="1" t="s">
        <v>6647</v>
      </c>
      <c r="BN375" s="1">
        <v>25208662</v>
      </c>
      <c r="BO375" s="1" t="s">
        <v>74</v>
      </c>
      <c r="BP375" s="1" t="s">
        <v>74</v>
      </c>
      <c r="BQ375" s="1" t="s">
        <v>74</v>
      </c>
      <c r="BR375" s="1" t="s">
        <v>98</v>
      </c>
      <c r="BS375" s="1" t="s">
        <v>6648</v>
      </c>
      <c r="BT375" s="1" t="str">
        <f>HYPERLINK("https%3A%2F%2Fwww.webofscience.com%2Fwos%2Fwoscc%2Ffull-record%2FWOS:000342135900003","View Full Record in Web of Science")</f>
        <v>View Full Record in Web of Science</v>
      </c>
    </row>
    <row r="376" spans="1:72">
      <c r="A376" s="1" t="s">
        <v>72</v>
      </c>
      <c r="B376" s="1" t="s">
        <v>6649</v>
      </c>
      <c r="C376" s="1" t="s">
        <v>74</v>
      </c>
      <c r="D376" s="1" t="s">
        <v>74</v>
      </c>
      <c r="E376" s="1" t="s">
        <v>74</v>
      </c>
      <c r="F376" s="1" t="s">
        <v>6650</v>
      </c>
      <c r="G376" s="1" t="s">
        <v>74</v>
      </c>
      <c r="H376" s="1" t="s">
        <v>74</v>
      </c>
      <c r="I376" s="1" t="s">
        <v>6651</v>
      </c>
      <c r="J376" s="1" t="s">
        <v>232</v>
      </c>
      <c r="K376" s="1" t="s">
        <v>74</v>
      </c>
      <c r="L376" s="1" t="s">
        <v>74</v>
      </c>
      <c r="M376" s="1" t="s">
        <v>78</v>
      </c>
      <c r="N376" s="1" t="s">
        <v>79</v>
      </c>
      <c r="O376" s="1" t="s">
        <v>74</v>
      </c>
      <c r="P376" s="1" t="s">
        <v>74</v>
      </c>
      <c r="Q376" s="1" t="s">
        <v>74</v>
      </c>
      <c r="R376" s="1" t="s">
        <v>74</v>
      </c>
      <c r="S376" s="1" t="s">
        <v>74</v>
      </c>
      <c r="T376" s="1" t="s">
        <v>6652</v>
      </c>
      <c r="U376" s="1" t="s">
        <v>6653</v>
      </c>
      <c r="V376" s="1" t="s">
        <v>6654</v>
      </c>
      <c r="W376" s="1" t="s">
        <v>6655</v>
      </c>
      <c r="X376" s="1" t="s">
        <v>6656</v>
      </c>
      <c r="Y376" s="1" t="s">
        <v>6657</v>
      </c>
      <c r="Z376" s="1" t="s">
        <v>6658</v>
      </c>
      <c r="AA376" s="1" t="s">
        <v>74</v>
      </c>
      <c r="AB376" s="1" t="s">
        <v>74</v>
      </c>
      <c r="AC376" s="1" t="s">
        <v>6659</v>
      </c>
      <c r="AD376" s="1" t="s">
        <v>6659</v>
      </c>
      <c r="AE376" s="1" t="s">
        <v>6660</v>
      </c>
      <c r="AF376" s="1" t="s">
        <v>74</v>
      </c>
      <c r="AG376" s="1">
        <v>31</v>
      </c>
      <c r="AH376" s="1">
        <v>6</v>
      </c>
      <c r="AI376" s="1">
        <v>9</v>
      </c>
      <c r="AJ376" s="1">
        <v>0</v>
      </c>
      <c r="AK376" s="1">
        <v>23</v>
      </c>
      <c r="AL376" s="1" t="s">
        <v>136</v>
      </c>
      <c r="AM376" s="1" t="s">
        <v>137</v>
      </c>
      <c r="AN376" s="1" t="s">
        <v>138</v>
      </c>
      <c r="AO376" s="1" t="s">
        <v>240</v>
      </c>
      <c r="AP376" s="1" t="s">
        <v>241</v>
      </c>
      <c r="AQ376" s="1" t="s">
        <v>74</v>
      </c>
      <c r="AR376" s="1" t="s">
        <v>242</v>
      </c>
      <c r="AS376" s="1" t="s">
        <v>243</v>
      </c>
      <c r="AT376" s="1" t="s">
        <v>765</v>
      </c>
      <c r="AU376" s="1">
        <v>2012</v>
      </c>
      <c r="AV376" s="1">
        <v>64</v>
      </c>
      <c r="AW376" s="1">
        <v>7</v>
      </c>
      <c r="AX376" s="1" t="s">
        <v>74</v>
      </c>
      <c r="AY376" s="1" t="s">
        <v>74</v>
      </c>
      <c r="AZ376" s="1" t="s">
        <v>74</v>
      </c>
      <c r="BA376" s="1" t="s">
        <v>74</v>
      </c>
      <c r="BB376" s="1">
        <v>1330</v>
      </c>
      <c r="BC376" s="1">
        <v>1338</v>
      </c>
      <c r="BD376" s="1" t="s">
        <v>74</v>
      </c>
      <c r="BE376" s="1" t="s">
        <v>6661</v>
      </c>
      <c r="BF376" s="1" t="str">
        <f>HYPERLINK("http://dx.doi.org/10.1016/j.marpolbul.2012.05.003","http://dx.doi.org/10.1016/j.marpolbul.2012.05.003")</f>
        <v>http://dx.doi.org/10.1016/j.marpolbul.2012.05.003</v>
      </c>
      <c r="BG376" s="1" t="s">
        <v>74</v>
      </c>
      <c r="BH376" s="1" t="s">
        <v>74</v>
      </c>
      <c r="BI376" s="1">
        <v>9</v>
      </c>
      <c r="BJ376" s="1" t="s">
        <v>247</v>
      </c>
      <c r="BK376" s="1" t="s">
        <v>96</v>
      </c>
      <c r="BL376" s="1" t="s">
        <v>248</v>
      </c>
      <c r="BM376" s="1" t="s">
        <v>6662</v>
      </c>
      <c r="BN376" s="1">
        <v>22658912</v>
      </c>
      <c r="BO376" s="1" t="s">
        <v>74</v>
      </c>
      <c r="BP376" s="1" t="s">
        <v>74</v>
      </c>
      <c r="BQ376" s="1" t="s">
        <v>74</v>
      </c>
      <c r="BR376" s="1" t="s">
        <v>98</v>
      </c>
      <c r="BS376" s="1" t="s">
        <v>6663</v>
      </c>
      <c r="BT376" s="1" t="str">
        <f>HYPERLINK("https%3A%2F%2Fwww.webofscience.com%2Fwos%2Fwoscc%2Ffull-record%2FWOS:000307143000022","View Full Record in Web of Science")</f>
        <v>View Full Record in Web of Science</v>
      </c>
    </row>
    <row r="377" spans="1:72">
      <c r="A377" s="1" t="s">
        <v>72</v>
      </c>
      <c r="B377" s="1" t="s">
        <v>6664</v>
      </c>
      <c r="C377" s="1" t="s">
        <v>74</v>
      </c>
      <c r="D377" s="1" t="s">
        <v>74</v>
      </c>
      <c r="E377" s="1" t="s">
        <v>74</v>
      </c>
      <c r="F377" s="1" t="s">
        <v>6665</v>
      </c>
      <c r="G377" s="1" t="s">
        <v>74</v>
      </c>
      <c r="H377" s="1" t="s">
        <v>74</v>
      </c>
      <c r="I377" s="1" t="s">
        <v>6666</v>
      </c>
      <c r="J377" s="1" t="s">
        <v>179</v>
      </c>
      <c r="K377" s="1" t="s">
        <v>74</v>
      </c>
      <c r="L377" s="1" t="s">
        <v>74</v>
      </c>
      <c r="M377" s="1" t="s">
        <v>78</v>
      </c>
      <c r="N377" s="1" t="s">
        <v>79</v>
      </c>
      <c r="O377" s="1" t="s">
        <v>74</v>
      </c>
      <c r="P377" s="1" t="s">
        <v>74</v>
      </c>
      <c r="Q377" s="1" t="s">
        <v>74</v>
      </c>
      <c r="R377" s="1" t="s">
        <v>74</v>
      </c>
      <c r="S377" s="1" t="s">
        <v>74</v>
      </c>
      <c r="T377" s="1" t="s">
        <v>6667</v>
      </c>
      <c r="U377" s="1" t="s">
        <v>6668</v>
      </c>
      <c r="V377" s="1" t="s">
        <v>6669</v>
      </c>
      <c r="W377" s="1" t="s">
        <v>6670</v>
      </c>
      <c r="X377" s="1" t="s">
        <v>6671</v>
      </c>
      <c r="Y377" s="1" t="s">
        <v>6672</v>
      </c>
      <c r="Z377" s="1" t="s">
        <v>6673</v>
      </c>
      <c r="AA377" s="1" t="s">
        <v>6674</v>
      </c>
      <c r="AB377" s="1" t="s">
        <v>74</v>
      </c>
      <c r="AC377" s="1" t="s">
        <v>74</v>
      </c>
      <c r="AD377" s="1" t="s">
        <v>74</v>
      </c>
      <c r="AE377" s="1" t="s">
        <v>74</v>
      </c>
      <c r="AF377" s="1" t="s">
        <v>74</v>
      </c>
      <c r="AG377" s="1">
        <v>37</v>
      </c>
      <c r="AH377" s="1">
        <v>9</v>
      </c>
      <c r="AI377" s="1">
        <v>9</v>
      </c>
      <c r="AJ377" s="1">
        <v>0</v>
      </c>
      <c r="AK377" s="1">
        <v>13</v>
      </c>
      <c r="AL377" s="1" t="s">
        <v>112</v>
      </c>
      <c r="AM377" s="1" t="s">
        <v>191</v>
      </c>
      <c r="AN377" s="1" t="s">
        <v>192</v>
      </c>
      <c r="AO377" s="1" t="s">
        <v>193</v>
      </c>
      <c r="AP377" s="1" t="s">
        <v>194</v>
      </c>
      <c r="AQ377" s="1" t="s">
        <v>74</v>
      </c>
      <c r="AR377" s="1" t="s">
        <v>195</v>
      </c>
      <c r="AS377" s="1" t="s">
        <v>196</v>
      </c>
      <c r="AT377" s="1" t="s">
        <v>119</v>
      </c>
      <c r="AU377" s="1">
        <v>2017</v>
      </c>
      <c r="AV377" s="1">
        <v>189</v>
      </c>
      <c r="AW377" s="1">
        <v>8</v>
      </c>
      <c r="AX377" s="1" t="s">
        <v>74</v>
      </c>
      <c r="AY377" s="1" t="s">
        <v>74</v>
      </c>
      <c r="AZ377" s="1" t="s">
        <v>74</v>
      </c>
      <c r="BA377" s="1" t="s">
        <v>74</v>
      </c>
      <c r="BB377" s="1" t="s">
        <v>74</v>
      </c>
      <c r="BC377" s="1" t="s">
        <v>74</v>
      </c>
      <c r="BD377" s="1">
        <v>396</v>
      </c>
      <c r="BE377" s="1" t="s">
        <v>6675</v>
      </c>
      <c r="BF377" s="1" t="str">
        <f>HYPERLINK("http://dx.doi.org/10.1007/s10661-017-6077-1","http://dx.doi.org/10.1007/s10661-017-6077-1")</f>
        <v>http://dx.doi.org/10.1007/s10661-017-6077-1</v>
      </c>
      <c r="BG377" s="1" t="s">
        <v>74</v>
      </c>
      <c r="BH377" s="1" t="s">
        <v>74</v>
      </c>
      <c r="BI377" s="1">
        <v>21</v>
      </c>
      <c r="BJ377" s="1" t="s">
        <v>144</v>
      </c>
      <c r="BK377" s="1" t="s">
        <v>96</v>
      </c>
      <c r="BL377" s="1" t="s">
        <v>145</v>
      </c>
      <c r="BM377" s="1" t="s">
        <v>6676</v>
      </c>
      <c r="BN377" s="1">
        <v>28710690</v>
      </c>
      <c r="BO377" s="1" t="s">
        <v>74</v>
      </c>
      <c r="BP377" s="1" t="s">
        <v>74</v>
      </c>
      <c r="BQ377" s="1" t="s">
        <v>74</v>
      </c>
      <c r="BR377" s="1" t="s">
        <v>98</v>
      </c>
      <c r="BS377" s="1" t="s">
        <v>6677</v>
      </c>
      <c r="BT377" s="1" t="str">
        <f>HYPERLINK("https%3A%2F%2Fwww.webofscience.com%2Fwos%2Fwoscc%2Ffull-record%2FWOS:000408739300001","View Full Record in Web of Science")</f>
        <v>View Full Record in Web of Science</v>
      </c>
    </row>
    <row r="378" spans="1:72">
      <c r="A378" s="1" t="s">
        <v>72</v>
      </c>
      <c r="B378" s="1" t="s">
        <v>6678</v>
      </c>
      <c r="C378" s="1" t="s">
        <v>74</v>
      </c>
      <c r="D378" s="1" t="s">
        <v>74</v>
      </c>
      <c r="E378" s="1" t="s">
        <v>74</v>
      </c>
      <c r="F378" s="1" t="s">
        <v>6678</v>
      </c>
      <c r="G378" s="1" t="s">
        <v>74</v>
      </c>
      <c r="H378" s="1" t="s">
        <v>74</v>
      </c>
      <c r="I378" s="1" t="s">
        <v>6679</v>
      </c>
      <c r="J378" s="1" t="s">
        <v>6680</v>
      </c>
      <c r="K378" s="1" t="s">
        <v>74</v>
      </c>
      <c r="L378" s="1" t="s">
        <v>74</v>
      </c>
      <c r="M378" s="1" t="s">
        <v>78</v>
      </c>
      <c r="N378" s="1" t="s">
        <v>79</v>
      </c>
      <c r="O378" s="1" t="s">
        <v>74</v>
      </c>
      <c r="P378" s="1" t="s">
        <v>74</v>
      </c>
      <c r="Q378" s="1" t="s">
        <v>74</v>
      </c>
      <c r="R378" s="1" t="s">
        <v>74</v>
      </c>
      <c r="S378" s="1" t="s">
        <v>74</v>
      </c>
      <c r="T378" s="1" t="s">
        <v>74</v>
      </c>
      <c r="U378" s="1" t="s">
        <v>6681</v>
      </c>
      <c r="V378" s="1" t="s">
        <v>6682</v>
      </c>
      <c r="W378" s="1" t="s">
        <v>6683</v>
      </c>
      <c r="X378" s="1" t="s">
        <v>6684</v>
      </c>
      <c r="Y378" s="1" t="s">
        <v>6685</v>
      </c>
      <c r="Z378" s="1" t="s">
        <v>74</v>
      </c>
      <c r="AA378" s="1" t="s">
        <v>74</v>
      </c>
      <c r="AB378" s="1" t="s">
        <v>74</v>
      </c>
      <c r="AC378" s="1" t="s">
        <v>74</v>
      </c>
      <c r="AD378" s="1" t="s">
        <v>74</v>
      </c>
      <c r="AE378" s="1" t="s">
        <v>74</v>
      </c>
      <c r="AF378" s="1" t="s">
        <v>74</v>
      </c>
      <c r="AG378" s="1">
        <v>10</v>
      </c>
      <c r="AH378" s="1">
        <v>9</v>
      </c>
      <c r="AI378" s="1">
        <v>9</v>
      </c>
      <c r="AJ378" s="1">
        <v>0</v>
      </c>
      <c r="AK378" s="1">
        <v>10</v>
      </c>
      <c r="AL378" s="1" t="s">
        <v>6686</v>
      </c>
      <c r="AM378" s="1" t="s">
        <v>6687</v>
      </c>
      <c r="AN378" s="1" t="s">
        <v>6688</v>
      </c>
      <c r="AO378" s="1" t="s">
        <v>6689</v>
      </c>
      <c r="AP378" s="1" t="s">
        <v>74</v>
      </c>
      <c r="AQ378" s="1" t="s">
        <v>74</v>
      </c>
      <c r="AR378" s="1" t="s">
        <v>6690</v>
      </c>
      <c r="AS378" s="1" t="s">
        <v>6691</v>
      </c>
      <c r="AT378" s="1" t="s">
        <v>6692</v>
      </c>
      <c r="AU378" s="1">
        <v>1997</v>
      </c>
      <c r="AV378" s="1">
        <v>87</v>
      </c>
      <c r="AW378" s="1" t="s">
        <v>6693</v>
      </c>
      <c r="AX378" s="1" t="s">
        <v>74</v>
      </c>
      <c r="AY378" s="1" t="s">
        <v>74</v>
      </c>
      <c r="AZ378" s="1" t="s">
        <v>74</v>
      </c>
      <c r="BA378" s="1" t="s">
        <v>74</v>
      </c>
      <c r="BB378" s="1">
        <v>535</v>
      </c>
      <c r="BC378" s="1">
        <v>538</v>
      </c>
      <c r="BD378" s="1" t="s">
        <v>74</v>
      </c>
      <c r="BE378" s="1" t="s">
        <v>74</v>
      </c>
      <c r="BF378" s="1" t="s">
        <v>74</v>
      </c>
      <c r="BG378" s="1" t="s">
        <v>74</v>
      </c>
      <c r="BH378" s="1" t="s">
        <v>74</v>
      </c>
      <c r="BI378" s="1">
        <v>4</v>
      </c>
      <c r="BJ378" s="1" t="s">
        <v>269</v>
      </c>
      <c r="BK378" s="1" t="s">
        <v>96</v>
      </c>
      <c r="BL378" s="1" t="s">
        <v>270</v>
      </c>
      <c r="BM378" s="1" t="s">
        <v>6694</v>
      </c>
      <c r="BN378" s="1" t="s">
        <v>74</v>
      </c>
      <c r="BO378" s="1" t="s">
        <v>74</v>
      </c>
      <c r="BP378" s="1" t="s">
        <v>74</v>
      </c>
      <c r="BQ378" s="1" t="s">
        <v>74</v>
      </c>
      <c r="BR378" s="1" t="s">
        <v>98</v>
      </c>
      <c r="BS378" s="1" t="s">
        <v>6695</v>
      </c>
      <c r="BT378" s="1" t="str">
        <f>HYPERLINK("https%3A%2F%2Fwww.webofscience.com%2Fwos%2Fwoscc%2Ffull-record%2FWOS:A1997XV46600011","View Full Record in Web of Science")</f>
        <v>View Full Record in Web of Science</v>
      </c>
    </row>
    <row r="379" spans="1:72">
      <c r="A379" s="1" t="s">
        <v>72</v>
      </c>
      <c r="B379" s="1" t="s">
        <v>6696</v>
      </c>
      <c r="C379" s="1" t="s">
        <v>74</v>
      </c>
      <c r="D379" s="1" t="s">
        <v>74</v>
      </c>
      <c r="E379" s="1" t="s">
        <v>74</v>
      </c>
      <c r="F379" s="1" t="s">
        <v>6697</v>
      </c>
      <c r="G379" s="1" t="s">
        <v>74</v>
      </c>
      <c r="H379" s="1" t="s">
        <v>74</v>
      </c>
      <c r="I379" s="1" t="s">
        <v>6698</v>
      </c>
      <c r="J379" s="1" t="s">
        <v>4549</v>
      </c>
      <c r="K379" s="1" t="s">
        <v>74</v>
      </c>
      <c r="L379" s="1" t="s">
        <v>74</v>
      </c>
      <c r="M379" s="1" t="s">
        <v>78</v>
      </c>
      <c r="N379" s="1" t="s">
        <v>79</v>
      </c>
      <c r="O379" s="1" t="s">
        <v>74</v>
      </c>
      <c r="P379" s="1" t="s">
        <v>74</v>
      </c>
      <c r="Q379" s="1" t="s">
        <v>74</v>
      </c>
      <c r="R379" s="1" t="s">
        <v>74</v>
      </c>
      <c r="S379" s="1" t="s">
        <v>74</v>
      </c>
      <c r="T379" s="1" t="s">
        <v>6699</v>
      </c>
      <c r="U379" s="1" t="s">
        <v>6700</v>
      </c>
      <c r="V379" s="1" t="s">
        <v>6701</v>
      </c>
      <c r="W379" s="1" t="s">
        <v>6702</v>
      </c>
      <c r="X379" s="1" t="s">
        <v>6703</v>
      </c>
      <c r="Y379" s="1" t="s">
        <v>6704</v>
      </c>
      <c r="Z379" s="1" t="s">
        <v>6705</v>
      </c>
      <c r="AA379" s="1" t="s">
        <v>6706</v>
      </c>
      <c r="AB379" s="1" t="s">
        <v>6707</v>
      </c>
      <c r="AC379" s="1" t="s">
        <v>6708</v>
      </c>
      <c r="AD379" s="1" t="s">
        <v>6709</v>
      </c>
      <c r="AE379" s="1" t="s">
        <v>6710</v>
      </c>
      <c r="AF379" s="1" t="s">
        <v>74</v>
      </c>
      <c r="AG379" s="1">
        <v>38</v>
      </c>
      <c r="AH379" s="1">
        <v>6</v>
      </c>
      <c r="AI379" s="1">
        <v>6</v>
      </c>
      <c r="AJ379" s="1">
        <v>2</v>
      </c>
      <c r="AK379" s="1">
        <v>27</v>
      </c>
      <c r="AL379" s="1" t="s">
        <v>136</v>
      </c>
      <c r="AM379" s="1" t="s">
        <v>137</v>
      </c>
      <c r="AN379" s="1" t="s">
        <v>138</v>
      </c>
      <c r="AO379" s="1" t="s">
        <v>4559</v>
      </c>
      <c r="AP379" s="1" t="s">
        <v>4560</v>
      </c>
      <c r="AQ379" s="1" t="s">
        <v>74</v>
      </c>
      <c r="AR379" s="1" t="s">
        <v>4561</v>
      </c>
      <c r="AS379" s="1" t="s">
        <v>4562</v>
      </c>
      <c r="AT379" s="1" t="s">
        <v>142</v>
      </c>
      <c r="AU379" s="1">
        <v>2017</v>
      </c>
      <c r="AV379" s="1">
        <v>104</v>
      </c>
      <c r="AW379" s="1" t="s">
        <v>74</v>
      </c>
      <c r="AX379" s="1" t="s">
        <v>74</v>
      </c>
      <c r="AY379" s="1" t="s">
        <v>74</v>
      </c>
      <c r="AZ379" s="1" t="s">
        <v>74</v>
      </c>
      <c r="BA379" s="1" t="s">
        <v>74</v>
      </c>
      <c r="BB379" s="1">
        <v>95</v>
      </c>
      <c r="BC379" s="1">
        <v>108</v>
      </c>
      <c r="BD379" s="1" t="s">
        <v>74</v>
      </c>
      <c r="BE379" s="1" t="s">
        <v>6711</v>
      </c>
      <c r="BF379" s="1" t="str">
        <f>HYPERLINK("http://dx.doi.org/10.1016/j.fct.2017.01.030","http://dx.doi.org/10.1016/j.fct.2017.01.030")</f>
        <v>http://dx.doi.org/10.1016/j.fct.2017.01.030</v>
      </c>
      <c r="BG379" s="1" t="s">
        <v>74</v>
      </c>
      <c r="BH379" s="1" t="s">
        <v>74</v>
      </c>
      <c r="BI379" s="1">
        <v>14</v>
      </c>
      <c r="BJ379" s="1" t="s">
        <v>4564</v>
      </c>
      <c r="BK379" s="1" t="s">
        <v>96</v>
      </c>
      <c r="BL379" s="1" t="s">
        <v>4564</v>
      </c>
      <c r="BM379" s="1" t="s">
        <v>6712</v>
      </c>
      <c r="BN379" s="1">
        <v>28161465</v>
      </c>
      <c r="BO379" s="1" t="s">
        <v>74</v>
      </c>
      <c r="BP379" s="1" t="s">
        <v>74</v>
      </c>
      <c r="BQ379" s="1" t="s">
        <v>74</v>
      </c>
      <c r="BR379" s="1" t="s">
        <v>98</v>
      </c>
      <c r="BS379" s="1" t="s">
        <v>6713</v>
      </c>
      <c r="BT379" s="1" t="str">
        <f>HYPERLINK("https%3A%2F%2Fwww.webofscience.com%2Fwos%2Fwoscc%2Ffull-record%2FWOS:000401595800011","View Full Record in Web of Science")</f>
        <v>View Full Record in Web of Science</v>
      </c>
    </row>
    <row r="380" spans="1:72">
      <c r="A380" s="1" t="s">
        <v>72</v>
      </c>
      <c r="B380" s="1" t="s">
        <v>6714</v>
      </c>
      <c r="C380" s="1" t="s">
        <v>74</v>
      </c>
      <c r="D380" s="1" t="s">
        <v>74</v>
      </c>
      <c r="E380" s="1" t="s">
        <v>74</v>
      </c>
      <c r="F380" s="1" t="s">
        <v>6714</v>
      </c>
      <c r="G380" s="1" t="s">
        <v>74</v>
      </c>
      <c r="H380" s="1" t="s">
        <v>74</v>
      </c>
      <c r="I380" s="1" t="s">
        <v>6715</v>
      </c>
      <c r="J380" s="1" t="s">
        <v>421</v>
      </c>
      <c r="K380" s="1" t="s">
        <v>74</v>
      </c>
      <c r="L380" s="1" t="s">
        <v>74</v>
      </c>
      <c r="M380" s="1" t="s">
        <v>78</v>
      </c>
      <c r="N380" s="1" t="s">
        <v>79</v>
      </c>
      <c r="O380" s="1" t="s">
        <v>74</v>
      </c>
      <c r="P380" s="1" t="s">
        <v>74</v>
      </c>
      <c r="Q380" s="1" t="s">
        <v>74</v>
      </c>
      <c r="R380" s="1" t="s">
        <v>74</v>
      </c>
      <c r="S380" s="1" t="s">
        <v>74</v>
      </c>
      <c r="T380" s="1" t="s">
        <v>6716</v>
      </c>
      <c r="U380" s="1" t="s">
        <v>6717</v>
      </c>
      <c r="V380" s="1" t="s">
        <v>6718</v>
      </c>
      <c r="W380" s="1" t="s">
        <v>1699</v>
      </c>
      <c r="X380" s="1" t="s">
        <v>1481</v>
      </c>
      <c r="Y380" s="1" t="s">
        <v>303</v>
      </c>
      <c r="Z380" s="1" t="s">
        <v>1483</v>
      </c>
      <c r="AA380" s="1" t="s">
        <v>2900</v>
      </c>
      <c r="AB380" s="1" t="s">
        <v>2183</v>
      </c>
      <c r="AC380" s="1" t="s">
        <v>74</v>
      </c>
      <c r="AD380" s="1" t="s">
        <v>74</v>
      </c>
      <c r="AE380" s="1" t="s">
        <v>74</v>
      </c>
      <c r="AF380" s="1" t="s">
        <v>74</v>
      </c>
      <c r="AG380" s="1">
        <v>58</v>
      </c>
      <c r="AH380" s="1">
        <v>113</v>
      </c>
      <c r="AI380" s="1">
        <v>122</v>
      </c>
      <c r="AJ380" s="1">
        <v>0</v>
      </c>
      <c r="AK380" s="1">
        <v>31</v>
      </c>
      <c r="AL380" s="1" t="s">
        <v>430</v>
      </c>
      <c r="AM380" s="1" t="s">
        <v>137</v>
      </c>
      <c r="AN380" s="1" t="s">
        <v>431</v>
      </c>
      <c r="AO380" s="1" t="s">
        <v>432</v>
      </c>
      <c r="AP380" s="1" t="s">
        <v>1394</v>
      </c>
      <c r="AQ380" s="1" t="s">
        <v>74</v>
      </c>
      <c r="AR380" s="1" t="s">
        <v>433</v>
      </c>
      <c r="AS380" s="1" t="s">
        <v>434</v>
      </c>
      <c r="AT380" s="1" t="s">
        <v>74</v>
      </c>
      <c r="AU380" s="1">
        <v>2001</v>
      </c>
      <c r="AV380" s="1">
        <v>115</v>
      </c>
      <c r="AW380" s="1">
        <v>1</v>
      </c>
      <c r="AX380" s="1" t="s">
        <v>74</v>
      </c>
      <c r="AY380" s="1" t="s">
        <v>74</v>
      </c>
      <c r="AZ380" s="1" t="s">
        <v>74</v>
      </c>
      <c r="BA380" s="1" t="s">
        <v>74</v>
      </c>
      <c r="BB380" s="1">
        <v>107</v>
      </c>
      <c r="BC380" s="1">
        <v>121</v>
      </c>
      <c r="BD380" s="1" t="s">
        <v>74</v>
      </c>
      <c r="BE380" s="1" t="s">
        <v>6719</v>
      </c>
      <c r="BF380" s="1" t="str">
        <f>HYPERLINK("http://dx.doi.org/10.1016/S0269-7491(01)00087-2","http://dx.doi.org/10.1016/S0269-7491(01)00087-2")</f>
        <v>http://dx.doi.org/10.1016/S0269-7491(01)00087-2</v>
      </c>
      <c r="BG380" s="1" t="s">
        <v>74</v>
      </c>
      <c r="BH380" s="1" t="s">
        <v>74</v>
      </c>
      <c r="BI380" s="1">
        <v>15</v>
      </c>
      <c r="BJ380" s="1" t="s">
        <v>144</v>
      </c>
      <c r="BK380" s="1" t="s">
        <v>96</v>
      </c>
      <c r="BL380" s="1" t="s">
        <v>145</v>
      </c>
      <c r="BM380" s="1" t="s">
        <v>6720</v>
      </c>
      <c r="BN380" s="1">
        <v>11586766</v>
      </c>
      <c r="BO380" s="1" t="s">
        <v>74</v>
      </c>
      <c r="BP380" s="1" t="s">
        <v>74</v>
      </c>
      <c r="BQ380" s="1" t="s">
        <v>74</v>
      </c>
      <c r="BR380" s="1" t="s">
        <v>98</v>
      </c>
      <c r="BS380" s="1" t="s">
        <v>6721</v>
      </c>
      <c r="BT380" s="1" t="str">
        <f>HYPERLINK("https%3A%2F%2Fwww.webofscience.com%2Fwos%2Fwoscc%2Ffull-record%2FWOS:000171238500012","View Full Record in Web of Science")</f>
        <v>View Full Record in Web of Science</v>
      </c>
    </row>
    <row r="381" spans="1:72">
      <c r="A381" s="1" t="s">
        <v>72</v>
      </c>
      <c r="B381" s="1" t="s">
        <v>6722</v>
      </c>
      <c r="C381" s="1" t="s">
        <v>74</v>
      </c>
      <c r="D381" s="1" t="s">
        <v>74</v>
      </c>
      <c r="E381" s="1" t="s">
        <v>74</v>
      </c>
      <c r="F381" s="1" t="s">
        <v>6723</v>
      </c>
      <c r="G381" s="1" t="s">
        <v>74</v>
      </c>
      <c r="H381" s="1" t="s">
        <v>74</v>
      </c>
      <c r="I381" s="1" t="s">
        <v>6724</v>
      </c>
      <c r="J381" s="1" t="s">
        <v>232</v>
      </c>
      <c r="K381" s="1" t="s">
        <v>74</v>
      </c>
      <c r="L381" s="1" t="s">
        <v>74</v>
      </c>
      <c r="M381" s="1" t="s">
        <v>78</v>
      </c>
      <c r="N381" s="1" t="s">
        <v>79</v>
      </c>
      <c r="O381" s="1" t="s">
        <v>74</v>
      </c>
      <c r="P381" s="1" t="s">
        <v>74</v>
      </c>
      <c r="Q381" s="1" t="s">
        <v>74</v>
      </c>
      <c r="R381" s="1" t="s">
        <v>74</v>
      </c>
      <c r="S381" s="1" t="s">
        <v>74</v>
      </c>
      <c r="T381" s="1" t="s">
        <v>6725</v>
      </c>
      <c r="U381" s="1" t="s">
        <v>6726</v>
      </c>
      <c r="V381" s="1" t="s">
        <v>6727</v>
      </c>
      <c r="W381" s="1" t="s">
        <v>6728</v>
      </c>
      <c r="X381" s="1" t="s">
        <v>6729</v>
      </c>
      <c r="Y381" s="1" t="s">
        <v>6730</v>
      </c>
      <c r="Z381" s="1" t="s">
        <v>6731</v>
      </c>
      <c r="AA381" s="1" t="s">
        <v>74</v>
      </c>
      <c r="AB381" s="1" t="s">
        <v>74</v>
      </c>
      <c r="AC381" s="1" t="s">
        <v>74</v>
      </c>
      <c r="AD381" s="1" t="s">
        <v>74</v>
      </c>
      <c r="AE381" s="1" t="s">
        <v>74</v>
      </c>
      <c r="AF381" s="1" t="s">
        <v>74</v>
      </c>
      <c r="AG381" s="1">
        <v>54</v>
      </c>
      <c r="AH381" s="1">
        <v>32</v>
      </c>
      <c r="AI381" s="1">
        <v>36</v>
      </c>
      <c r="AJ381" s="1">
        <v>0</v>
      </c>
      <c r="AK381" s="1">
        <v>17</v>
      </c>
      <c r="AL381" s="1" t="s">
        <v>136</v>
      </c>
      <c r="AM381" s="1" t="s">
        <v>137</v>
      </c>
      <c r="AN381" s="1" t="s">
        <v>138</v>
      </c>
      <c r="AO381" s="1" t="s">
        <v>240</v>
      </c>
      <c r="AP381" s="1" t="s">
        <v>241</v>
      </c>
      <c r="AQ381" s="1" t="s">
        <v>74</v>
      </c>
      <c r="AR381" s="1" t="s">
        <v>242</v>
      </c>
      <c r="AS381" s="1" t="s">
        <v>243</v>
      </c>
      <c r="AT381" s="1" t="s">
        <v>765</v>
      </c>
      <c r="AU381" s="1">
        <v>2009</v>
      </c>
      <c r="AV381" s="1">
        <v>58</v>
      </c>
      <c r="AW381" s="1">
        <v>7</v>
      </c>
      <c r="AX381" s="1" t="s">
        <v>74</v>
      </c>
      <c r="AY381" s="1" t="s">
        <v>74</v>
      </c>
      <c r="AZ381" s="1" t="s">
        <v>74</v>
      </c>
      <c r="BA381" s="1" t="s">
        <v>74</v>
      </c>
      <c r="BB381" s="1">
        <v>1016</v>
      </c>
      <c r="BC381" s="1">
        <v>1024</v>
      </c>
      <c r="BD381" s="1" t="s">
        <v>74</v>
      </c>
      <c r="BE381" s="1" t="s">
        <v>6732</v>
      </c>
      <c r="BF381" s="1" t="str">
        <f>HYPERLINK("http://dx.doi.org/10.1016/j.marpolbul.2009.02.013","http://dx.doi.org/10.1016/j.marpolbul.2009.02.013")</f>
        <v>http://dx.doi.org/10.1016/j.marpolbul.2009.02.013</v>
      </c>
      <c r="BG381" s="1" t="s">
        <v>74</v>
      </c>
      <c r="BH381" s="1" t="s">
        <v>74</v>
      </c>
      <c r="BI381" s="1">
        <v>9</v>
      </c>
      <c r="BJ381" s="1" t="s">
        <v>247</v>
      </c>
      <c r="BK381" s="1" t="s">
        <v>96</v>
      </c>
      <c r="BL381" s="1" t="s">
        <v>248</v>
      </c>
      <c r="BM381" s="1" t="s">
        <v>1644</v>
      </c>
      <c r="BN381" s="1">
        <v>19342067</v>
      </c>
      <c r="BO381" s="1" t="s">
        <v>74</v>
      </c>
      <c r="BP381" s="1" t="s">
        <v>74</v>
      </c>
      <c r="BQ381" s="1" t="s">
        <v>74</v>
      </c>
      <c r="BR381" s="1" t="s">
        <v>98</v>
      </c>
      <c r="BS381" s="1" t="s">
        <v>6733</v>
      </c>
      <c r="BT381" s="1" t="str">
        <f>HYPERLINK("https%3A%2F%2Fwww.webofscience.com%2Fwos%2Fwoscc%2Ffull-record%2FWOS:000268422500019","View Full Record in Web of Science")</f>
        <v>View Full Record in Web of Science</v>
      </c>
    </row>
    <row r="382" spans="1:72">
      <c r="A382" s="1" t="s">
        <v>72</v>
      </c>
      <c r="B382" s="1" t="s">
        <v>6734</v>
      </c>
      <c r="C382" s="1" t="s">
        <v>74</v>
      </c>
      <c r="D382" s="1" t="s">
        <v>74</v>
      </c>
      <c r="E382" s="1" t="s">
        <v>74</v>
      </c>
      <c r="F382" s="1" t="s">
        <v>6735</v>
      </c>
      <c r="G382" s="1" t="s">
        <v>74</v>
      </c>
      <c r="H382" s="1" t="s">
        <v>74</v>
      </c>
      <c r="I382" s="1" t="s">
        <v>6736</v>
      </c>
      <c r="J382" s="1" t="s">
        <v>3349</v>
      </c>
      <c r="K382" s="1" t="s">
        <v>74</v>
      </c>
      <c r="L382" s="1" t="s">
        <v>74</v>
      </c>
      <c r="M382" s="1" t="s">
        <v>78</v>
      </c>
      <c r="N382" s="1" t="s">
        <v>79</v>
      </c>
      <c r="O382" s="1" t="s">
        <v>74</v>
      </c>
      <c r="P382" s="1" t="s">
        <v>74</v>
      </c>
      <c r="Q382" s="1" t="s">
        <v>74</v>
      </c>
      <c r="R382" s="1" t="s">
        <v>74</v>
      </c>
      <c r="S382" s="1" t="s">
        <v>74</v>
      </c>
      <c r="T382" s="1" t="s">
        <v>6737</v>
      </c>
      <c r="U382" s="1" t="s">
        <v>6738</v>
      </c>
      <c r="V382" s="1" t="s">
        <v>6739</v>
      </c>
      <c r="W382" s="1" t="s">
        <v>6740</v>
      </c>
      <c r="X382" s="1" t="s">
        <v>6741</v>
      </c>
      <c r="Y382" s="1" t="s">
        <v>6742</v>
      </c>
      <c r="Z382" s="1" t="s">
        <v>6743</v>
      </c>
      <c r="AA382" s="1" t="s">
        <v>74</v>
      </c>
      <c r="AB382" s="1" t="s">
        <v>6744</v>
      </c>
      <c r="AC382" s="1" t="s">
        <v>6745</v>
      </c>
      <c r="AD382" s="1" t="s">
        <v>6745</v>
      </c>
      <c r="AE382" s="1" t="s">
        <v>6746</v>
      </c>
      <c r="AF382" s="1" t="s">
        <v>74</v>
      </c>
      <c r="AG382" s="1">
        <v>41</v>
      </c>
      <c r="AH382" s="1">
        <v>31</v>
      </c>
      <c r="AI382" s="1">
        <v>35</v>
      </c>
      <c r="AJ382" s="1">
        <v>0</v>
      </c>
      <c r="AK382" s="1">
        <v>24</v>
      </c>
      <c r="AL382" s="1" t="s">
        <v>3362</v>
      </c>
      <c r="AM382" s="1" t="s">
        <v>3363</v>
      </c>
      <c r="AN382" s="1" t="s">
        <v>3364</v>
      </c>
      <c r="AO382" s="1" t="s">
        <v>3365</v>
      </c>
      <c r="AP382" s="1" t="s">
        <v>3366</v>
      </c>
      <c r="AQ382" s="1" t="s">
        <v>74</v>
      </c>
      <c r="AR382" s="1" t="s">
        <v>3367</v>
      </c>
      <c r="AS382" s="1" t="s">
        <v>3368</v>
      </c>
      <c r="AT382" s="1" t="s">
        <v>267</v>
      </c>
      <c r="AU382" s="1">
        <v>2010</v>
      </c>
      <c r="AV382" s="1">
        <v>73</v>
      </c>
      <c r="AW382" s="1">
        <v>7</v>
      </c>
      <c r="AX382" s="1" t="s">
        <v>74</v>
      </c>
      <c r="AY382" s="1" t="s">
        <v>74</v>
      </c>
      <c r="AZ382" s="1" t="s">
        <v>74</v>
      </c>
      <c r="BA382" s="1" t="s">
        <v>74</v>
      </c>
      <c r="BB382" s="1">
        <v>1728</v>
      </c>
      <c r="BC382" s="1">
        <v>1732</v>
      </c>
      <c r="BD382" s="1" t="s">
        <v>74</v>
      </c>
      <c r="BE382" s="1" t="s">
        <v>6747</v>
      </c>
      <c r="BF382" s="1" t="str">
        <f>HYPERLINK("http://dx.doi.org/10.1016/j.ecoenv.2010.08.001","http://dx.doi.org/10.1016/j.ecoenv.2010.08.001")</f>
        <v>http://dx.doi.org/10.1016/j.ecoenv.2010.08.001</v>
      </c>
      <c r="BG382" s="1" t="s">
        <v>74</v>
      </c>
      <c r="BH382" s="1" t="s">
        <v>74</v>
      </c>
      <c r="BI382" s="1">
        <v>5</v>
      </c>
      <c r="BJ382" s="1" t="s">
        <v>121</v>
      </c>
      <c r="BK382" s="1" t="s">
        <v>96</v>
      </c>
      <c r="BL382" s="1" t="s">
        <v>122</v>
      </c>
      <c r="BM382" s="1" t="s">
        <v>6748</v>
      </c>
      <c r="BN382" s="1">
        <v>20813407</v>
      </c>
      <c r="BO382" s="1" t="s">
        <v>74</v>
      </c>
      <c r="BP382" s="1" t="s">
        <v>74</v>
      </c>
      <c r="BQ382" s="1" t="s">
        <v>74</v>
      </c>
      <c r="BR382" s="1" t="s">
        <v>98</v>
      </c>
      <c r="BS382" s="1" t="s">
        <v>6749</v>
      </c>
      <c r="BT382" s="1" t="str">
        <f>HYPERLINK("https%3A%2F%2Fwww.webofscience.com%2Fwos%2Fwoscc%2Ffull-record%2FWOS:000282792300034","View Full Record in Web of Science")</f>
        <v>View Full Record in Web of Science</v>
      </c>
    </row>
    <row r="383" spans="1:72">
      <c r="A383" s="1" t="s">
        <v>72</v>
      </c>
      <c r="B383" s="1" t="s">
        <v>6750</v>
      </c>
      <c r="C383" s="1" t="s">
        <v>74</v>
      </c>
      <c r="D383" s="1" t="s">
        <v>74</v>
      </c>
      <c r="E383" s="1" t="s">
        <v>74</v>
      </c>
      <c r="F383" s="1" t="s">
        <v>6751</v>
      </c>
      <c r="G383" s="1" t="s">
        <v>74</v>
      </c>
      <c r="H383" s="1" t="s">
        <v>74</v>
      </c>
      <c r="I383" s="1" t="s">
        <v>6752</v>
      </c>
      <c r="J383" s="1" t="s">
        <v>6753</v>
      </c>
      <c r="K383" s="1" t="s">
        <v>74</v>
      </c>
      <c r="L383" s="1" t="s">
        <v>74</v>
      </c>
      <c r="M383" s="1" t="s">
        <v>78</v>
      </c>
      <c r="N383" s="1" t="s">
        <v>79</v>
      </c>
      <c r="O383" s="1" t="s">
        <v>74</v>
      </c>
      <c r="P383" s="1" t="s">
        <v>74</v>
      </c>
      <c r="Q383" s="1" t="s">
        <v>74</v>
      </c>
      <c r="R383" s="1" t="s">
        <v>74</v>
      </c>
      <c r="S383" s="1" t="s">
        <v>74</v>
      </c>
      <c r="T383" s="1" t="s">
        <v>6754</v>
      </c>
      <c r="U383" s="1" t="s">
        <v>6755</v>
      </c>
      <c r="V383" s="1" t="s">
        <v>6756</v>
      </c>
      <c r="W383" s="1" t="s">
        <v>6757</v>
      </c>
      <c r="X383" s="1" t="s">
        <v>6758</v>
      </c>
      <c r="Y383" s="1" t="s">
        <v>6759</v>
      </c>
      <c r="Z383" s="1" t="s">
        <v>2474</v>
      </c>
      <c r="AA383" s="1" t="s">
        <v>74</v>
      </c>
      <c r="AB383" s="1" t="s">
        <v>74</v>
      </c>
      <c r="AC383" s="1" t="s">
        <v>6760</v>
      </c>
      <c r="AD383" s="1" t="s">
        <v>6761</v>
      </c>
      <c r="AE383" s="1" t="s">
        <v>6762</v>
      </c>
      <c r="AF383" s="1" t="s">
        <v>74</v>
      </c>
      <c r="AG383" s="1">
        <v>39</v>
      </c>
      <c r="AH383" s="1">
        <v>5</v>
      </c>
      <c r="AI383" s="1">
        <v>5</v>
      </c>
      <c r="AJ383" s="1">
        <v>0</v>
      </c>
      <c r="AK383" s="1">
        <v>30</v>
      </c>
      <c r="AL383" s="1" t="s">
        <v>6763</v>
      </c>
      <c r="AM383" s="1" t="s">
        <v>6764</v>
      </c>
      <c r="AN383" s="1" t="s">
        <v>6765</v>
      </c>
      <c r="AO383" s="1" t="s">
        <v>6766</v>
      </c>
      <c r="AP383" s="1" t="s">
        <v>6767</v>
      </c>
      <c r="AQ383" s="1" t="s">
        <v>74</v>
      </c>
      <c r="AR383" s="1" t="s">
        <v>6768</v>
      </c>
      <c r="AS383" s="1" t="s">
        <v>6769</v>
      </c>
      <c r="AT383" s="1" t="s">
        <v>765</v>
      </c>
      <c r="AU383" s="1">
        <v>2018</v>
      </c>
      <c r="AV383" s="1">
        <v>18</v>
      </c>
      <c r="AW383" s="1">
        <v>7</v>
      </c>
      <c r="AX383" s="1" t="s">
        <v>74</v>
      </c>
      <c r="AY383" s="1" t="s">
        <v>74</v>
      </c>
      <c r="AZ383" s="1" t="s">
        <v>74</v>
      </c>
      <c r="BA383" s="1" t="s">
        <v>74</v>
      </c>
      <c r="BB383" s="1">
        <v>853</v>
      </c>
      <c r="BC383" s="1">
        <v>858</v>
      </c>
      <c r="BD383" s="1" t="s">
        <v>74</v>
      </c>
      <c r="BE383" s="1" t="s">
        <v>6770</v>
      </c>
      <c r="BF383" s="1" t="str">
        <f>HYPERLINK("http://dx.doi.org/10.4194/1303-2712-v18_7_03","http://dx.doi.org/10.4194/1303-2712-v18_7_03")</f>
        <v>http://dx.doi.org/10.4194/1303-2712-v18_7_03</v>
      </c>
      <c r="BG383" s="1" t="s">
        <v>74</v>
      </c>
      <c r="BH383" s="1" t="s">
        <v>74</v>
      </c>
      <c r="BI383" s="1">
        <v>6</v>
      </c>
      <c r="BJ383" s="1" t="s">
        <v>2391</v>
      </c>
      <c r="BK383" s="1" t="s">
        <v>96</v>
      </c>
      <c r="BL383" s="1" t="s">
        <v>2391</v>
      </c>
      <c r="BM383" s="1" t="s">
        <v>6771</v>
      </c>
      <c r="BN383" s="1" t="s">
        <v>74</v>
      </c>
      <c r="BO383" s="1" t="s">
        <v>370</v>
      </c>
      <c r="BP383" s="1" t="s">
        <v>74</v>
      </c>
      <c r="BQ383" s="1" t="s">
        <v>74</v>
      </c>
      <c r="BR383" s="1" t="s">
        <v>98</v>
      </c>
      <c r="BS383" s="1" t="s">
        <v>6772</v>
      </c>
      <c r="BT383" s="1" t="str">
        <f>HYPERLINK("https%3A%2F%2Fwww.webofscience.com%2Fwos%2Fwoscc%2Ffull-record%2FWOS:000425351100003","View Full Record in Web of Science")</f>
        <v>View Full Record in Web of Science</v>
      </c>
    </row>
    <row r="384" spans="1:72">
      <c r="A384" s="1" t="s">
        <v>72</v>
      </c>
      <c r="B384" s="1" t="s">
        <v>6773</v>
      </c>
      <c r="C384" s="1" t="s">
        <v>74</v>
      </c>
      <c r="D384" s="1" t="s">
        <v>74</v>
      </c>
      <c r="E384" s="1" t="s">
        <v>74</v>
      </c>
      <c r="F384" s="1" t="s">
        <v>6774</v>
      </c>
      <c r="G384" s="1" t="s">
        <v>74</v>
      </c>
      <c r="H384" s="1" t="s">
        <v>74</v>
      </c>
      <c r="I384" s="1" t="s">
        <v>6775</v>
      </c>
      <c r="J384" s="1" t="s">
        <v>421</v>
      </c>
      <c r="K384" s="1" t="s">
        <v>74</v>
      </c>
      <c r="L384" s="1" t="s">
        <v>74</v>
      </c>
      <c r="M384" s="1" t="s">
        <v>78</v>
      </c>
      <c r="N384" s="1" t="s">
        <v>79</v>
      </c>
      <c r="O384" s="1" t="s">
        <v>74</v>
      </c>
      <c r="P384" s="1" t="s">
        <v>74</v>
      </c>
      <c r="Q384" s="1" t="s">
        <v>74</v>
      </c>
      <c r="R384" s="1" t="s">
        <v>74</v>
      </c>
      <c r="S384" s="1" t="s">
        <v>74</v>
      </c>
      <c r="T384" s="1" t="s">
        <v>6776</v>
      </c>
      <c r="U384" s="1" t="s">
        <v>6777</v>
      </c>
      <c r="V384" s="1" t="s">
        <v>6778</v>
      </c>
      <c r="W384" s="1" t="s">
        <v>6779</v>
      </c>
      <c r="X384" s="1" t="s">
        <v>6780</v>
      </c>
      <c r="Y384" s="1" t="s">
        <v>6781</v>
      </c>
      <c r="Z384" s="1" t="s">
        <v>6782</v>
      </c>
      <c r="AA384" s="1" t="s">
        <v>74</v>
      </c>
      <c r="AB384" s="1" t="s">
        <v>6783</v>
      </c>
      <c r="AC384" s="1" t="s">
        <v>74</v>
      </c>
      <c r="AD384" s="1" t="s">
        <v>74</v>
      </c>
      <c r="AE384" s="1" t="s">
        <v>74</v>
      </c>
      <c r="AF384" s="1" t="s">
        <v>74</v>
      </c>
      <c r="AG384" s="1">
        <v>43</v>
      </c>
      <c r="AH384" s="1">
        <v>36</v>
      </c>
      <c r="AI384" s="1">
        <v>41</v>
      </c>
      <c r="AJ384" s="1">
        <v>0</v>
      </c>
      <c r="AK384" s="1">
        <v>24</v>
      </c>
      <c r="AL384" s="1" t="s">
        <v>430</v>
      </c>
      <c r="AM384" s="1" t="s">
        <v>137</v>
      </c>
      <c r="AN384" s="1" t="s">
        <v>431</v>
      </c>
      <c r="AO384" s="1" t="s">
        <v>432</v>
      </c>
      <c r="AP384" s="1" t="s">
        <v>1394</v>
      </c>
      <c r="AQ384" s="1" t="s">
        <v>74</v>
      </c>
      <c r="AR384" s="1" t="s">
        <v>433</v>
      </c>
      <c r="AS384" s="1" t="s">
        <v>434</v>
      </c>
      <c r="AT384" s="1" t="s">
        <v>170</v>
      </c>
      <c r="AU384" s="1">
        <v>2008</v>
      </c>
      <c r="AV384" s="1">
        <v>153</v>
      </c>
      <c r="AW384" s="1">
        <v>2</v>
      </c>
      <c r="AX384" s="1" t="s">
        <v>74</v>
      </c>
      <c r="AY384" s="1" t="s">
        <v>74</v>
      </c>
      <c r="AZ384" s="1" t="s">
        <v>74</v>
      </c>
      <c r="BA384" s="1" t="s">
        <v>74</v>
      </c>
      <c r="BB384" s="1">
        <v>416</v>
      </c>
      <c r="BC384" s="1">
        <v>423</v>
      </c>
      <c r="BD384" s="1" t="s">
        <v>74</v>
      </c>
      <c r="BE384" s="1" t="s">
        <v>6784</v>
      </c>
      <c r="BF384" s="1" t="str">
        <f>HYPERLINK("http://dx.doi.org/10.1016/j.envpol.2007.08.015","http://dx.doi.org/10.1016/j.envpol.2007.08.015")</f>
        <v>http://dx.doi.org/10.1016/j.envpol.2007.08.015</v>
      </c>
      <c r="BG384" s="1" t="s">
        <v>74</v>
      </c>
      <c r="BH384" s="1" t="s">
        <v>74</v>
      </c>
      <c r="BI384" s="1">
        <v>8</v>
      </c>
      <c r="BJ384" s="1" t="s">
        <v>144</v>
      </c>
      <c r="BK384" s="1" t="s">
        <v>96</v>
      </c>
      <c r="BL384" s="1" t="s">
        <v>145</v>
      </c>
      <c r="BM384" s="1" t="s">
        <v>6785</v>
      </c>
      <c r="BN384" s="1">
        <v>17905492</v>
      </c>
      <c r="BO384" s="1" t="s">
        <v>74</v>
      </c>
      <c r="BP384" s="1" t="s">
        <v>74</v>
      </c>
      <c r="BQ384" s="1" t="s">
        <v>74</v>
      </c>
      <c r="BR384" s="1" t="s">
        <v>98</v>
      </c>
      <c r="BS384" s="1" t="s">
        <v>6786</v>
      </c>
      <c r="BT384" s="1" t="str">
        <f>HYPERLINK("https%3A%2F%2Fwww.webofscience.com%2Fwos%2Fwoscc%2Ffull-record%2FWOS:000255931000019","View Full Record in Web of Science")</f>
        <v>View Full Record in Web of Science</v>
      </c>
    </row>
    <row r="385" spans="1:72">
      <c r="A385" s="1" t="s">
        <v>72</v>
      </c>
      <c r="B385" s="1" t="s">
        <v>6787</v>
      </c>
      <c r="C385" s="1" t="s">
        <v>74</v>
      </c>
      <c r="D385" s="1" t="s">
        <v>74</v>
      </c>
      <c r="E385" s="1" t="s">
        <v>74</v>
      </c>
      <c r="F385" s="1" t="s">
        <v>6788</v>
      </c>
      <c r="G385" s="1" t="s">
        <v>74</v>
      </c>
      <c r="H385" s="1" t="s">
        <v>74</v>
      </c>
      <c r="I385" s="1" t="s">
        <v>6789</v>
      </c>
      <c r="J385" s="1" t="s">
        <v>6790</v>
      </c>
      <c r="K385" s="1" t="s">
        <v>74</v>
      </c>
      <c r="L385" s="1" t="s">
        <v>74</v>
      </c>
      <c r="M385" s="1" t="s">
        <v>78</v>
      </c>
      <c r="N385" s="1" t="s">
        <v>79</v>
      </c>
      <c r="O385" s="1" t="s">
        <v>74</v>
      </c>
      <c r="P385" s="1" t="s">
        <v>74</v>
      </c>
      <c r="Q385" s="1" t="s">
        <v>74</v>
      </c>
      <c r="R385" s="1" t="s">
        <v>74</v>
      </c>
      <c r="S385" s="1" t="s">
        <v>74</v>
      </c>
      <c r="T385" s="1" t="s">
        <v>6791</v>
      </c>
      <c r="U385" s="1" t="s">
        <v>6792</v>
      </c>
      <c r="V385" s="1" t="s">
        <v>6793</v>
      </c>
      <c r="W385" s="1" t="s">
        <v>6794</v>
      </c>
      <c r="X385" s="1" t="s">
        <v>6795</v>
      </c>
      <c r="Y385" s="1" t="s">
        <v>6796</v>
      </c>
      <c r="Z385" s="1" t="s">
        <v>6797</v>
      </c>
      <c r="AA385" s="1" t="s">
        <v>6798</v>
      </c>
      <c r="AB385" s="1" t="s">
        <v>74</v>
      </c>
      <c r="AC385" s="1" t="s">
        <v>6799</v>
      </c>
      <c r="AD385" s="1" t="s">
        <v>6799</v>
      </c>
      <c r="AE385" s="1" t="s">
        <v>6800</v>
      </c>
      <c r="AF385" s="1" t="s">
        <v>74</v>
      </c>
      <c r="AG385" s="1">
        <v>37</v>
      </c>
      <c r="AH385" s="1">
        <v>2</v>
      </c>
      <c r="AI385" s="1">
        <v>2</v>
      </c>
      <c r="AJ385" s="1">
        <v>0</v>
      </c>
      <c r="AK385" s="1">
        <v>8</v>
      </c>
      <c r="AL385" s="1" t="s">
        <v>2074</v>
      </c>
      <c r="AM385" s="1" t="s">
        <v>2075</v>
      </c>
      <c r="AN385" s="1" t="s">
        <v>2076</v>
      </c>
      <c r="AO385" s="1" t="s">
        <v>6801</v>
      </c>
      <c r="AP385" s="1" t="s">
        <v>6802</v>
      </c>
      <c r="AQ385" s="1" t="s">
        <v>74</v>
      </c>
      <c r="AR385" s="1" t="s">
        <v>6803</v>
      </c>
      <c r="AS385" s="1" t="s">
        <v>6804</v>
      </c>
      <c r="AT385" s="1" t="s">
        <v>6805</v>
      </c>
      <c r="AU385" s="1">
        <v>2019</v>
      </c>
      <c r="AV385" s="1">
        <v>50</v>
      </c>
      <c r="AW385" s="1">
        <v>4</v>
      </c>
      <c r="AX385" s="1" t="s">
        <v>74</v>
      </c>
      <c r="AY385" s="1" t="s">
        <v>74</v>
      </c>
      <c r="AZ385" s="1" t="s">
        <v>74</v>
      </c>
      <c r="BA385" s="1" t="s">
        <v>74</v>
      </c>
      <c r="BB385" s="1">
        <v>603</v>
      </c>
      <c r="BC385" s="1">
        <v>615</v>
      </c>
      <c r="BD385" s="1" t="s">
        <v>74</v>
      </c>
      <c r="BE385" s="1" t="s">
        <v>6806</v>
      </c>
      <c r="BF385" s="1" t="str">
        <f>HYPERLINK("http://dx.doi.org/10.1080/09291016.2018.1478627","http://dx.doi.org/10.1080/09291016.2018.1478627")</f>
        <v>http://dx.doi.org/10.1080/09291016.2018.1478627</v>
      </c>
      <c r="BG385" s="1" t="s">
        <v>74</v>
      </c>
      <c r="BH385" s="1" t="s">
        <v>74</v>
      </c>
      <c r="BI385" s="1">
        <v>13</v>
      </c>
      <c r="BJ385" s="1" t="s">
        <v>6807</v>
      </c>
      <c r="BK385" s="1" t="s">
        <v>96</v>
      </c>
      <c r="BL385" s="1" t="s">
        <v>6808</v>
      </c>
      <c r="BM385" s="1" t="s">
        <v>6809</v>
      </c>
      <c r="BN385" s="1" t="s">
        <v>74</v>
      </c>
      <c r="BO385" s="1" t="s">
        <v>74</v>
      </c>
      <c r="BP385" s="1" t="s">
        <v>74</v>
      </c>
      <c r="BQ385" s="1" t="s">
        <v>74</v>
      </c>
      <c r="BR385" s="1" t="s">
        <v>98</v>
      </c>
      <c r="BS385" s="1" t="s">
        <v>6810</v>
      </c>
      <c r="BT385" s="1" t="str">
        <f>HYPERLINK("https%3A%2F%2Fwww.webofscience.com%2Fwos%2Fwoscc%2Ffull-record%2FWOS:000472640000011","View Full Record in Web of Science")</f>
        <v>View Full Record in Web of Science</v>
      </c>
    </row>
    <row r="386" spans="1:72">
      <c r="A386" s="1" t="s">
        <v>72</v>
      </c>
      <c r="B386" s="1" t="s">
        <v>6811</v>
      </c>
      <c r="C386" s="1" t="s">
        <v>74</v>
      </c>
      <c r="D386" s="1" t="s">
        <v>74</v>
      </c>
      <c r="E386" s="1" t="s">
        <v>74</v>
      </c>
      <c r="F386" s="1" t="s">
        <v>6812</v>
      </c>
      <c r="G386" s="1" t="s">
        <v>74</v>
      </c>
      <c r="H386" s="1" t="s">
        <v>74</v>
      </c>
      <c r="I386" s="1" t="s">
        <v>6813</v>
      </c>
      <c r="J386" s="1" t="s">
        <v>6814</v>
      </c>
      <c r="K386" s="1" t="s">
        <v>74</v>
      </c>
      <c r="L386" s="1" t="s">
        <v>74</v>
      </c>
      <c r="M386" s="1" t="s">
        <v>78</v>
      </c>
      <c r="N386" s="1" t="s">
        <v>79</v>
      </c>
      <c r="O386" s="1" t="s">
        <v>74</v>
      </c>
      <c r="P386" s="1" t="s">
        <v>74</v>
      </c>
      <c r="Q386" s="1" t="s">
        <v>74</v>
      </c>
      <c r="R386" s="1" t="s">
        <v>74</v>
      </c>
      <c r="S386" s="1" t="s">
        <v>74</v>
      </c>
      <c r="T386" s="1" t="s">
        <v>6815</v>
      </c>
      <c r="U386" s="1" t="s">
        <v>6816</v>
      </c>
      <c r="V386" s="1" t="s">
        <v>6817</v>
      </c>
      <c r="W386" s="1" t="s">
        <v>6818</v>
      </c>
      <c r="X386" s="1" t="s">
        <v>6819</v>
      </c>
      <c r="Y386" s="1" t="s">
        <v>6820</v>
      </c>
      <c r="Z386" s="1" t="s">
        <v>6821</v>
      </c>
      <c r="AA386" s="1" t="s">
        <v>6822</v>
      </c>
      <c r="AB386" s="1" t="s">
        <v>6823</v>
      </c>
      <c r="AC386" s="1" t="s">
        <v>6824</v>
      </c>
      <c r="AD386" s="1" t="s">
        <v>6825</v>
      </c>
      <c r="AE386" s="1" t="s">
        <v>6826</v>
      </c>
      <c r="AF386" s="1" t="s">
        <v>74</v>
      </c>
      <c r="AG386" s="1">
        <v>39</v>
      </c>
      <c r="AH386" s="1">
        <v>5</v>
      </c>
      <c r="AI386" s="1">
        <v>6</v>
      </c>
      <c r="AJ386" s="1">
        <v>0</v>
      </c>
      <c r="AK386" s="1">
        <v>30</v>
      </c>
      <c r="AL386" s="1" t="s">
        <v>564</v>
      </c>
      <c r="AM386" s="1" t="s">
        <v>113</v>
      </c>
      <c r="AN386" s="1" t="s">
        <v>807</v>
      </c>
      <c r="AO386" s="1" t="s">
        <v>5318</v>
      </c>
      <c r="AP386" s="1" t="s">
        <v>6827</v>
      </c>
      <c r="AQ386" s="1" t="s">
        <v>74</v>
      </c>
      <c r="AR386" s="1" t="s">
        <v>5319</v>
      </c>
      <c r="AS386" s="1" t="s">
        <v>5320</v>
      </c>
      <c r="AT386" s="1" t="s">
        <v>1223</v>
      </c>
      <c r="AU386" s="1">
        <v>2010</v>
      </c>
      <c r="AV386" s="1">
        <v>155</v>
      </c>
      <c r="AW386" s="1">
        <v>3</v>
      </c>
      <c r="AX386" s="1" t="s">
        <v>74</v>
      </c>
      <c r="AY386" s="1" t="s">
        <v>74</v>
      </c>
      <c r="AZ386" s="1" t="s">
        <v>74</v>
      </c>
      <c r="BA386" s="1" t="s">
        <v>74</v>
      </c>
      <c r="BB386" s="1">
        <v>341</v>
      </c>
      <c r="BC386" s="1">
        <v>349</v>
      </c>
      <c r="BD386" s="1" t="s">
        <v>74</v>
      </c>
      <c r="BE386" s="1" t="s">
        <v>6828</v>
      </c>
      <c r="BF386" s="1" t="str">
        <f>HYPERLINK("http://dx.doi.org/10.1016/j.cbpa.2009.11.019","http://dx.doi.org/10.1016/j.cbpa.2009.11.019")</f>
        <v>http://dx.doi.org/10.1016/j.cbpa.2009.11.019</v>
      </c>
      <c r="BG386" s="1" t="s">
        <v>74</v>
      </c>
      <c r="BH386" s="1" t="s">
        <v>74</v>
      </c>
      <c r="BI386" s="1">
        <v>9</v>
      </c>
      <c r="BJ386" s="1" t="s">
        <v>5322</v>
      </c>
      <c r="BK386" s="1" t="s">
        <v>96</v>
      </c>
      <c r="BL386" s="1" t="s">
        <v>5322</v>
      </c>
      <c r="BM386" s="1" t="s">
        <v>6829</v>
      </c>
      <c r="BN386" s="1">
        <v>19958840</v>
      </c>
      <c r="BO386" s="1" t="s">
        <v>6830</v>
      </c>
      <c r="BP386" s="1" t="s">
        <v>74</v>
      </c>
      <c r="BQ386" s="1" t="s">
        <v>74</v>
      </c>
      <c r="BR386" s="1" t="s">
        <v>98</v>
      </c>
      <c r="BS386" s="1" t="s">
        <v>6831</v>
      </c>
      <c r="BT386" s="1" t="str">
        <f>HYPERLINK("https%3A%2F%2Fwww.webofscience.com%2Fwos%2Fwoscc%2Ffull-record%2FWOS:000274752600009","View Full Record in Web of Science")</f>
        <v>View Full Record in Web of Science</v>
      </c>
    </row>
    <row r="387" spans="1:72">
      <c r="A387" s="1" t="s">
        <v>72</v>
      </c>
      <c r="B387" s="1" t="s">
        <v>6832</v>
      </c>
      <c r="C387" s="1" t="s">
        <v>74</v>
      </c>
      <c r="D387" s="1" t="s">
        <v>74</v>
      </c>
      <c r="E387" s="1" t="s">
        <v>74</v>
      </c>
      <c r="F387" s="1" t="s">
        <v>6832</v>
      </c>
      <c r="G387" s="1" t="s">
        <v>74</v>
      </c>
      <c r="H387" s="1" t="s">
        <v>74</v>
      </c>
      <c r="I387" s="1" t="s">
        <v>6833</v>
      </c>
      <c r="J387" s="1" t="s">
        <v>232</v>
      </c>
      <c r="K387" s="1" t="s">
        <v>74</v>
      </c>
      <c r="L387" s="1" t="s">
        <v>74</v>
      </c>
      <c r="M387" s="1" t="s">
        <v>78</v>
      </c>
      <c r="N387" s="1" t="s">
        <v>79</v>
      </c>
      <c r="O387" s="1" t="s">
        <v>74</v>
      </c>
      <c r="P387" s="1" t="s">
        <v>74</v>
      </c>
      <c r="Q387" s="1" t="s">
        <v>74</v>
      </c>
      <c r="R387" s="1" t="s">
        <v>74</v>
      </c>
      <c r="S387" s="1" t="s">
        <v>74</v>
      </c>
      <c r="T387" s="1" t="s">
        <v>6834</v>
      </c>
      <c r="U387" s="1" t="s">
        <v>6835</v>
      </c>
      <c r="V387" s="1" t="s">
        <v>6836</v>
      </c>
      <c r="W387" s="1" t="s">
        <v>6837</v>
      </c>
      <c r="X387" s="1" t="s">
        <v>6838</v>
      </c>
      <c r="Y387" s="1" t="s">
        <v>6839</v>
      </c>
      <c r="Z387" s="1" t="s">
        <v>6840</v>
      </c>
      <c r="AA387" s="1" t="s">
        <v>74</v>
      </c>
      <c r="AB387" s="1" t="s">
        <v>6841</v>
      </c>
      <c r="AC387" s="1" t="s">
        <v>74</v>
      </c>
      <c r="AD387" s="1" t="s">
        <v>74</v>
      </c>
      <c r="AE387" s="1" t="s">
        <v>74</v>
      </c>
      <c r="AF387" s="1" t="s">
        <v>74</v>
      </c>
      <c r="AG387" s="1">
        <v>36</v>
      </c>
      <c r="AH387" s="1">
        <v>25</v>
      </c>
      <c r="AI387" s="1">
        <v>27</v>
      </c>
      <c r="AJ387" s="1">
        <v>0</v>
      </c>
      <c r="AK387" s="1">
        <v>26</v>
      </c>
      <c r="AL387" s="1" t="s">
        <v>136</v>
      </c>
      <c r="AM387" s="1" t="s">
        <v>137</v>
      </c>
      <c r="AN387" s="1" t="s">
        <v>138</v>
      </c>
      <c r="AO387" s="1" t="s">
        <v>240</v>
      </c>
      <c r="AP387" s="1" t="s">
        <v>241</v>
      </c>
      <c r="AQ387" s="1" t="s">
        <v>74</v>
      </c>
      <c r="AR387" s="1" t="s">
        <v>242</v>
      </c>
      <c r="AS387" s="1" t="s">
        <v>243</v>
      </c>
      <c r="AT387" s="1" t="s">
        <v>5113</v>
      </c>
      <c r="AU387" s="1">
        <v>2000</v>
      </c>
      <c r="AV387" s="1">
        <v>41</v>
      </c>
      <c r="AW387" s="1" t="s">
        <v>5114</v>
      </c>
      <c r="AX387" s="1" t="s">
        <v>74</v>
      </c>
      <c r="AY387" s="1" t="s">
        <v>74</v>
      </c>
      <c r="AZ387" s="1" t="s">
        <v>74</v>
      </c>
      <c r="BA387" s="1" t="s">
        <v>74</v>
      </c>
      <c r="BB387" s="1">
        <v>345</v>
      </c>
      <c r="BC387" s="1">
        <v>352</v>
      </c>
      <c r="BD387" s="1" t="s">
        <v>74</v>
      </c>
      <c r="BE387" s="1" t="s">
        <v>6842</v>
      </c>
      <c r="BF387" s="1" t="str">
        <f>HYPERLINK("http://dx.doi.org/10.1016/S0025-326X(00)00132-6","http://dx.doi.org/10.1016/S0025-326X(00)00132-6")</f>
        <v>http://dx.doi.org/10.1016/S0025-326X(00)00132-6</v>
      </c>
      <c r="BG387" s="1" t="s">
        <v>74</v>
      </c>
      <c r="BH387" s="1" t="s">
        <v>74</v>
      </c>
      <c r="BI387" s="1">
        <v>8</v>
      </c>
      <c r="BJ387" s="1" t="s">
        <v>247</v>
      </c>
      <c r="BK387" s="1" t="s">
        <v>96</v>
      </c>
      <c r="BL387" s="1" t="s">
        <v>248</v>
      </c>
      <c r="BM387" s="1" t="s">
        <v>5116</v>
      </c>
      <c r="BN387" s="1" t="s">
        <v>74</v>
      </c>
      <c r="BO387" s="1" t="s">
        <v>74</v>
      </c>
      <c r="BP387" s="1" t="s">
        <v>74</v>
      </c>
      <c r="BQ387" s="1" t="s">
        <v>74</v>
      </c>
      <c r="BR387" s="1" t="s">
        <v>98</v>
      </c>
      <c r="BS387" s="1" t="s">
        <v>6843</v>
      </c>
      <c r="BT387" s="1" t="str">
        <f>HYPERLINK("https%3A%2F%2Fwww.webofscience.com%2Fwos%2Fwoscc%2Ffull-record%2FWOS:000166052900011","View Full Record in Web of Science")</f>
        <v>View Full Record in Web of Science</v>
      </c>
    </row>
    <row r="388" spans="1:72">
      <c r="A388" s="1" t="s">
        <v>72</v>
      </c>
      <c r="B388" s="1" t="s">
        <v>6844</v>
      </c>
      <c r="C388" s="1" t="s">
        <v>74</v>
      </c>
      <c r="D388" s="1" t="s">
        <v>74</v>
      </c>
      <c r="E388" s="1" t="s">
        <v>74</v>
      </c>
      <c r="F388" s="1" t="s">
        <v>6845</v>
      </c>
      <c r="G388" s="1" t="s">
        <v>74</v>
      </c>
      <c r="H388" s="1" t="s">
        <v>74</v>
      </c>
      <c r="I388" s="1" t="s">
        <v>6846</v>
      </c>
      <c r="J388" s="1" t="s">
        <v>5639</v>
      </c>
      <c r="K388" s="1" t="s">
        <v>74</v>
      </c>
      <c r="L388" s="1" t="s">
        <v>74</v>
      </c>
      <c r="M388" s="1" t="s">
        <v>78</v>
      </c>
      <c r="N388" s="1" t="s">
        <v>79</v>
      </c>
      <c r="O388" s="1" t="s">
        <v>74</v>
      </c>
      <c r="P388" s="1" t="s">
        <v>74</v>
      </c>
      <c r="Q388" s="1" t="s">
        <v>74</v>
      </c>
      <c r="R388" s="1" t="s">
        <v>74</v>
      </c>
      <c r="S388" s="1" t="s">
        <v>74</v>
      </c>
      <c r="T388" s="1" t="s">
        <v>6847</v>
      </c>
      <c r="U388" s="1" t="s">
        <v>6848</v>
      </c>
      <c r="V388" s="1" t="s">
        <v>6849</v>
      </c>
      <c r="W388" s="1" t="s">
        <v>6850</v>
      </c>
      <c r="X388" s="1" t="s">
        <v>6851</v>
      </c>
      <c r="Y388" s="1" t="s">
        <v>6852</v>
      </c>
      <c r="Z388" s="1" t="s">
        <v>6853</v>
      </c>
      <c r="AA388" s="1" t="s">
        <v>74</v>
      </c>
      <c r="AB388" s="1" t="s">
        <v>74</v>
      </c>
      <c r="AC388" s="1" t="s">
        <v>6854</v>
      </c>
      <c r="AD388" s="1" t="s">
        <v>6854</v>
      </c>
      <c r="AE388" s="1" t="s">
        <v>6855</v>
      </c>
      <c r="AF388" s="1" t="s">
        <v>74</v>
      </c>
      <c r="AG388" s="1">
        <v>42</v>
      </c>
      <c r="AH388" s="1">
        <v>8</v>
      </c>
      <c r="AI388" s="1">
        <v>10</v>
      </c>
      <c r="AJ388" s="1">
        <v>2</v>
      </c>
      <c r="AK388" s="1">
        <v>25</v>
      </c>
      <c r="AL388" s="1" t="s">
        <v>5644</v>
      </c>
      <c r="AM388" s="1" t="s">
        <v>6856</v>
      </c>
      <c r="AN388" s="1" t="s">
        <v>6857</v>
      </c>
      <c r="AO388" s="1" t="s">
        <v>5647</v>
      </c>
      <c r="AP388" s="1" t="s">
        <v>5648</v>
      </c>
      <c r="AQ388" s="1" t="s">
        <v>74</v>
      </c>
      <c r="AR388" s="1" t="s">
        <v>5649</v>
      </c>
      <c r="AS388" s="1" t="s">
        <v>5650</v>
      </c>
      <c r="AT388" s="1" t="s">
        <v>305</v>
      </c>
      <c r="AU388" s="1">
        <v>2014</v>
      </c>
      <c r="AV388" s="1">
        <v>30</v>
      </c>
      <c r="AW388" s="1">
        <v>5</v>
      </c>
      <c r="AX388" s="1" t="s">
        <v>74</v>
      </c>
      <c r="AY388" s="1" t="s">
        <v>74</v>
      </c>
      <c r="AZ388" s="1" t="s">
        <v>74</v>
      </c>
      <c r="BA388" s="1" t="s">
        <v>74</v>
      </c>
      <c r="BB388" s="1">
        <v>1074</v>
      </c>
      <c r="BC388" s="1">
        <v>1080</v>
      </c>
      <c r="BD388" s="1" t="s">
        <v>74</v>
      </c>
      <c r="BE388" s="1" t="s">
        <v>6858</v>
      </c>
      <c r="BF388" s="1" t="str">
        <f>HYPERLINK("http://dx.doi.org/10.2112/JCOASTRES-D-12-00187.1","http://dx.doi.org/10.2112/JCOASTRES-D-12-00187.1")</f>
        <v>http://dx.doi.org/10.2112/JCOASTRES-D-12-00187.1</v>
      </c>
      <c r="BG388" s="1" t="s">
        <v>74</v>
      </c>
      <c r="BH388" s="1" t="s">
        <v>74</v>
      </c>
      <c r="BI388" s="1">
        <v>7</v>
      </c>
      <c r="BJ388" s="1" t="s">
        <v>5652</v>
      </c>
      <c r="BK388" s="1" t="s">
        <v>96</v>
      </c>
      <c r="BL388" s="1" t="s">
        <v>5653</v>
      </c>
      <c r="BM388" s="1" t="s">
        <v>6859</v>
      </c>
      <c r="BN388" s="1" t="s">
        <v>74</v>
      </c>
      <c r="BO388" s="1" t="s">
        <v>74</v>
      </c>
      <c r="BP388" s="1" t="s">
        <v>74</v>
      </c>
      <c r="BQ388" s="1" t="s">
        <v>74</v>
      </c>
      <c r="BR388" s="1" t="s">
        <v>98</v>
      </c>
      <c r="BS388" s="1" t="s">
        <v>6860</v>
      </c>
      <c r="BT388" s="1" t="str">
        <f>HYPERLINK("https%3A%2F%2Fwww.webofscience.com%2Fwos%2Fwoscc%2Ffull-record%2FWOS:000342967700018","View Full Record in Web of Science")</f>
        <v>View Full Record in Web of Science</v>
      </c>
    </row>
    <row r="389" spans="1:72">
      <c r="A389" s="1" t="s">
        <v>72</v>
      </c>
      <c r="B389" s="1" t="s">
        <v>6861</v>
      </c>
      <c r="C389" s="1" t="s">
        <v>74</v>
      </c>
      <c r="D389" s="1" t="s">
        <v>74</v>
      </c>
      <c r="E389" s="1" t="s">
        <v>74</v>
      </c>
      <c r="F389" s="1" t="s">
        <v>6862</v>
      </c>
      <c r="G389" s="1" t="s">
        <v>74</v>
      </c>
      <c r="H389" s="1" t="s">
        <v>74</v>
      </c>
      <c r="I389" s="1" t="s">
        <v>6863</v>
      </c>
      <c r="J389" s="1" t="s">
        <v>6864</v>
      </c>
      <c r="K389" s="1" t="s">
        <v>74</v>
      </c>
      <c r="L389" s="1" t="s">
        <v>74</v>
      </c>
      <c r="M389" s="1" t="s">
        <v>78</v>
      </c>
      <c r="N389" s="1" t="s">
        <v>151</v>
      </c>
      <c r="O389" s="1" t="s">
        <v>6865</v>
      </c>
      <c r="P389" s="1" t="s">
        <v>6866</v>
      </c>
      <c r="Q389" s="1" t="s">
        <v>6867</v>
      </c>
      <c r="R389" s="1" t="s">
        <v>74</v>
      </c>
      <c r="S389" s="1" t="s">
        <v>74</v>
      </c>
      <c r="T389" s="1" t="s">
        <v>6868</v>
      </c>
      <c r="U389" s="1" t="s">
        <v>6869</v>
      </c>
      <c r="V389" s="1" t="s">
        <v>6870</v>
      </c>
      <c r="W389" s="1" t="s">
        <v>6871</v>
      </c>
      <c r="X389" s="1" t="s">
        <v>6872</v>
      </c>
      <c r="Y389" s="1" t="s">
        <v>6873</v>
      </c>
      <c r="Z389" s="1" t="s">
        <v>5709</v>
      </c>
      <c r="AA389" s="1" t="s">
        <v>6874</v>
      </c>
      <c r="AB389" s="1" t="s">
        <v>5711</v>
      </c>
      <c r="AC389" s="1" t="s">
        <v>6875</v>
      </c>
      <c r="AD389" s="1" t="s">
        <v>6876</v>
      </c>
      <c r="AE389" s="1" t="s">
        <v>6877</v>
      </c>
      <c r="AF389" s="1" t="s">
        <v>74</v>
      </c>
      <c r="AG389" s="1">
        <v>59</v>
      </c>
      <c r="AH389" s="1">
        <v>14</v>
      </c>
      <c r="AI389" s="1">
        <v>15</v>
      </c>
      <c r="AJ389" s="1">
        <v>1</v>
      </c>
      <c r="AK389" s="1">
        <v>12</v>
      </c>
      <c r="AL389" s="1" t="s">
        <v>6878</v>
      </c>
      <c r="AM389" s="1" t="s">
        <v>6879</v>
      </c>
      <c r="AN389" s="1" t="s">
        <v>6880</v>
      </c>
      <c r="AO389" s="1" t="s">
        <v>6881</v>
      </c>
      <c r="AP389" s="1" t="s">
        <v>74</v>
      </c>
      <c r="AQ389" s="1" t="s">
        <v>74</v>
      </c>
      <c r="AR389" s="1" t="s">
        <v>6882</v>
      </c>
      <c r="AS389" s="1" t="s">
        <v>6883</v>
      </c>
      <c r="AT389" s="1" t="s">
        <v>74</v>
      </c>
      <c r="AU389" s="1">
        <v>2018</v>
      </c>
      <c r="AV389" s="1">
        <v>50</v>
      </c>
      <c r="AW389" s="1" t="s">
        <v>74</v>
      </c>
      <c r="AX389" s="1" t="s">
        <v>74</v>
      </c>
      <c r="AY389" s="1" t="s">
        <v>74</v>
      </c>
      <c r="AZ389" s="1" t="s">
        <v>74</v>
      </c>
      <c r="BA389" s="1" t="s">
        <v>74</v>
      </c>
      <c r="BB389" s="1">
        <v>601</v>
      </c>
      <c r="BC389" s="1">
        <v>608</v>
      </c>
      <c r="BD389" s="1" t="s">
        <v>74</v>
      </c>
      <c r="BE389" s="1" t="s">
        <v>6884</v>
      </c>
      <c r="BF389" s="1" t="str">
        <f>HYPERLINK("http://dx.doi.org/10.1016/j.jtemb.2018.04.017","http://dx.doi.org/10.1016/j.jtemb.2018.04.017")</f>
        <v>http://dx.doi.org/10.1016/j.jtemb.2018.04.017</v>
      </c>
      <c r="BG389" s="1" t="s">
        <v>74</v>
      </c>
      <c r="BH389" s="1" t="s">
        <v>74</v>
      </c>
      <c r="BI389" s="1">
        <v>8</v>
      </c>
      <c r="BJ389" s="1" t="s">
        <v>795</v>
      </c>
      <c r="BK389" s="1" t="s">
        <v>172</v>
      </c>
      <c r="BL389" s="1" t="s">
        <v>795</v>
      </c>
      <c r="BM389" s="1" t="s">
        <v>6885</v>
      </c>
      <c r="BN389" s="1">
        <v>29691118</v>
      </c>
      <c r="BO389" s="1" t="s">
        <v>74</v>
      </c>
      <c r="BP389" s="1" t="s">
        <v>74</v>
      </c>
      <c r="BQ389" s="1" t="s">
        <v>74</v>
      </c>
      <c r="BR389" s="1" t="s">
        <v>98</v>
      </c>
      <c r="BS389" s="1" t="s">
        <v>6886</v>
      </c>
      <c r="BT389" s="1" t="str">
        <f>HYPERLINK("https%3A%2F%2Fwww.webofscience.com%2Fwos%2Fwoscc%2Ffull-record%2FWOS:000448633900081","View Full Record in Web of Science")</f>
        <v>View Full Record in Web of Science</v>
      </c>
    </row>
    <row r="390" spans="1:72">
      <c r="A390" s="1" t="s">
        <v>72</v>
      </c>
      <c r="B390" s="1" t="s">
        <v>6887</v>
      </c>
      <c r="C390" s="1" t="s">
        <v>74</v>
      </c>
      <c r="D390" s="1" t="s">
        <v>74</v>
      </c>
      <c r="E390" s="1" t="s">
        <v>74</v>
      </c>
      <c r="F390" s="1" t="s">
        <v>6887</v>
      </c>
      <c r="G390" s="1" t="s">
        <v>74</v>
      </c>
      <c r="H390" s="1" t="s">
        <v>74</v>
      </c>
      <c r="I390" s="1" t="s">
        <v>6888</v>
      </c>
      <c r="J390" s="1" t="s">
        <v>6889</v>
      </c>
      <c r="K390" s="1" t="s">
        <v>74</v>
      </c>
      <c r="L390" s="1" t="s">
        <v>74</v>
      </c>
      <c r="M390" s="1" t="s">
        <v>78</v>
      </c>
      <c r="N390" s="1" t="s">
        <v>151</v>
      </c>
      <c r="O390" s="1" t="s">
        <v>6890</v>
      </c>
      <c r="P390" s="1" t="s">
        <v>6891</v>
      </c>
      <c r="Q390" s="1" t="s">
        <v>6892</v>
      </c>
      <c r="R390" s="1" t="s">
        <v>74</v>
      </c>
      <c r="S390" s="1" t="s">
        <v>74</v>
      </c>
      <c r="T390" s="1" t="s">
        <v>6893</v>
      </c>
      <c r="U390" s="1" t="s">
        <v>6894</v>
      </c>
      <c r="V390" s="1" t="s">
        <v>6895</v>
      </c>
      <c r="W390" s="1" t="s">
        <v>6896</v>
      </c>
      <c r="X390" s="1" t="s">
        <v>6897</v>
      </c>
      <c r="Y390" s="1" t="s">
        <v>6898</v>
      </c>
      <c r="Z390" s="1" t="s">
        <v>6899</v>
      </c>
      <c r="AA390" s="1" t="s">
        <v>74</v>
      </c>
      <c r="AB390" s="1" t="s">
        <v>74</v>
      </c>
      <c r="AC390" s="1" t="s">
        <v>6900</v>
      </c>
      <c r="AD390" s="1" t="s">
        <v>6901</v>
      </c>
      <c r="AE390" s="1" t="s">
        <v>74</v>
      </c>
      <c r="AF390" s="1" t="s">
        <v>74</v>
      </c>
      <c r="AG390" s="1">
        <v>16</v>
      </c>
      <c r="AH390" s="1">
        <v>7</v>
      </c>
      <c r="AI390" s="1">
        <v>12</v>
      </c>
      <c r="AJ390" s="1">
        <v>0</v>
      </c>
      <c r="AK390" s="1">
        <v>1</v>
      </c>
      <c r="AL390" s="1" t="s">
        <v>6902</v>
      </c>
      <c r="AM390" s="1" t="s">
        <v>4215</v>
      </c>
      <c r="AN390" s="1" t="s">
        <v>6903</v>
      </c>
      <c r="AO390" s="1" t="s">
        <v>6904</v>
      </c>
      <c r="AP390" s="1" t="s">
        <v>6905</v>
      </c>
      <c r="AQ390" s="1" t="s">
        <v>74</v>
      </c>
      <c r="AR390" s="1" t="s">
        <v>6906</v>
      </c>
      <c r="AS390" s="1" t="s">
        <v>6907</v>
      </c>
      <c r="AT390" s="1" t="s">
        <v>74</v>
      </c>
      <c r="AU390" s="1">
        <v>2000</v>
      </c>
      <c r="AV390" s="1">
        <v>51</v>
      </c>
      <c r="AW390" s="1" t="s">
        <v>6908</v>
      </c>
      <c r="AX390" s="1" t="s">
        <v>74</v>
      </c>
      <c r="AY390" s="1" t="s">
        <v>74</v>
      </c>
      <c r="AZ390" s="1" t="s">
        <v>74</v>
      </c>
      <c r="BA390" s="1" t="s">
        <v>74</v>
      </c>
      <c r="BB390" s="1">
        <v>325</v>
      </c>
      <c r="BC390" s="1">
        <v>329</v>
      </c>
      <c r="BD390" s="1" t="s">
        <v>74</v>
      </c>
      <c r="BE390" s="1" t="s">
        <v>74</v>
      </c>
      <c r="BF390" s="1" t="s">
        <v>74</v>
      </c>
      <c r="BG390" s="1" t="s">
        <v>74</v>
      </c>
      <c r="BH390" s="1" t="s">
        <v>74</v>
      </c>
      <c r="BI390" s="1">
        <v>5</v>
      </c>
      <c r="BJ390" s="1" t="s">
        <v>171</v>
      </c>
      <c r="BK390" s="1" t="s">
        <v>172</v>
      </c>
      <c r="BL390" s="1" t="s">
        <v>173</v>
      </c>
      <c r="BM390" s="1" t="s">
        <v>6909</v>
      </c>
      <c r="BN390" s="1">
        <v>11034156</v>
      </c>
      <c r="BO390" s="1" t="s">
        <v>74</v>
      </c>
      <c r="BP390" s="1" t="s">
        <v>74</v>
      </c>
      <c r="BQ390" s="1" t="s">
        <v>74</v>
      </c>
      <c r="BR390" s="1" t="s">
        <v>98</v>
      </c>
      <c r="BS390" s="1" t="s">
        <v>6910</v>
      </c>
      <c r="BT390" s="1" t="str">
        <f>HYPERLINK("https%3A%2F%2Fwww.webofscience.com%2Fwos%2Fwoscc%2Ffull-record%2FWOS:000089279100021","View Full Record in Web of Science")</f>
        <v>View Full Record in Web of Science</v>
      </c>
    </row>
    <row r="391" spans="1:72">
      <c r="A391" s="1" t="s">
        <v>72</v>
      </c>
      <c r="B391" s="1" t="s">
        <v>6911</v>
      </c>
      <c r="C391" s="1" t="s">
        <v>74</v>
      </c>
      <c r="D391" s="1" t="s">
        <v>74</v>
      </c>
      <c r="E391" s="1" t="s">
        <v>74</v>
      </c>
      <c r="F391" s="1" t="s">
        <v>6911</v>
      </c>
      <c r="G391" s="1" t="s">
        <v>74</v>
      </c>
      <c r="H391" s="1" t="s">
        <v>74</v>
      </c>
      <c r="I391" s="1" t="s">
        <v>6912</v>
      </c>
      <c r="J391" s="1" t="s">
        <v>421</v>
      </c>
      <c r="K391" s="1" t="s">
        <v>74</v>
      </c>
      <c r="L391" s="1" t="s">
        <v>74</v>
      </c>
      <c r="M391" s="1" t="s">
        <v>78</v>
      </c>
      <c r="N391" s="1" t="s">
        <v>79</v>
      </c>
      <c r="O391" s="1" t="s">
        <v>74</v>
      </c>
      <c r="P391" s="1" t="s">
        <v>74</v>
      </c>
      <c r="Q391" s="1" t="s">
        <v>74</v>
      </c>
      <c r="R391" s="1" t="s">
        <v>74</v>
      </c>
      <c r="S391" s="1" t="s">
        <v>74</v>
      </c>
      <c r="T391" s="1" t="s">
        <v>6913</v>
      </c>
      <c r="U391" s="1" t="s">
        <v>6914</v>
      </c>
      <c r="V391" s="1" t="s">
        <v>6915</v>
      </c>
      <c r="W391" s="1" t="s">
        <v>6916</v>
      </c>
      <c r="X391" s="1" t="s">
        <v>6917</v>
      </c>
      <c r="Y391" s="1" t="s">
        <v>6918</v>
      </c>
      <c r="Z391" s="1" t="s">
        <v>6919</v>
      </c>
      <c r="AA391" s="1" t="s">
        <v>74</v>
      </c>
      <c r="AB391" s="1" t="s">
        <v>74</v>
      </c>
      <c r="AC391" s="1" t="s">
        <v>74</v>
      </c>
      <c r="AD391" s="1" t="s">
        <v>74</v>
      </c>
      <c r="AE391" s="1" t="s">
        <v>74</v>
      </c>
      <c r="AF391" s="1" t="s">
        <v>74</v>
      </c>
      <c r="AG391" s="1">
        <v>32</v>
      </c>
      <c r="AH391" s="1">
        <v>27</v>
      </c>
      <c r="AI391" s="1">
        <v>33</v>
      </c>
      <c r="AJ391" s="1">
        <v>1</v>
      </c>
      <c r="AK391" s="1">
        <v>19</v>
      </c>
      <c r="AL391" s="1" t="s">
        <v>430</v>
      </c>
      <c r="AM391" s="1" t="s">
        <v>137</v>
      </c>
      <c r="AN391" s="1" t="s">
        <v>431</v>
      </c>
      <c r="AO391" s="1" t="s">
        <v>432</v>
      </c>
      <c r="AP391" s="1" t="s">
        <v>1394</v>
      </c>
      <c r="AQ391" s="1" t="s">
        <v>74</v>
      </c>
      <c r="AR391" s="1" t="s">
        <v>433</v>
      </c>
      <c r="AS391" s="1" t="s">
        <v>434</v>
      </c>
      <c r="AT391" s="1" t="s">
        <v>170</v>
      </c>
      <c r="AU391" s="1">
        <v>2005</v>
      </c>
      <c r="AV391" s="1">
        <v>135</v>
      </c>
      <c r="AW391" s="1">
        <v>1</v>
      </c>
      <c r="AX391" s="1" t="s">
        <v>74</v>
      </c>
      <c r="AY391" s="1" t="s">
        <v>74</v>
      </c>
      <c r="AZ391" s="1" t="s">
        <v>74</v>
      </c>
      <c r="BA391" s="1" t="s">
        <v>74</v>
      </c>
      <c r="BB391" s="1">
        <v>41</v>
      </c>
      <c r="BC391" s="1">
        <v>52</v>
      </c>
      <c r="BD391" s="1" t="s">
        <v>74</v>
      </c>
      <c r="BE391" s="1" t="s">
        <v>6920</v>
      </c>
      <c r="BF391" s="1" t="str">
        <f>HYPERLINK("http://dx.doi.org/10.1016/j.envpol.2004.10.015","http://dx.doi.org/10.1016/j.envpol.2004.10.015")</f>
        <v>http://dx.doi.org/10.1016/j.envpol.2004.10.015</v>
      </c>
      <c r="BG391" s="1" t="s">
        <v>74</v>
      </c>
      <c r="BH391" s="1" t="s">
        <v>74</v>
      </c>
      <c r="BI391" s="1">
        <v>12</v>
      </c>
      <c r="BJ391" s="1" t="s">
        <v>144</v>
      </c>
      <c r="BK391" s="1" t="s">
        <v>96</v>
      </c>
      <c r="BL391" s="1" t="s">
        <v>145</v>
      </c>
      <c r="BM391" s="1" t="s">
        <v>6921</v>
      </c>
      <c r="BN391" s="1">
        <v>15701391</v>
      </c>
      <c r="BO391" s="1" t="s">
        <v>1752</v>
      </c>
      <c r="BP391" s="1" t="s">
        <v>74</v>
      </c>
      <c r="BQ391" s="1" t="s">
        <v>74</v>
      </c>
      <c r="BR391" s="1" t="s">
        <v>98</v>
      </c>
      <c r="BS391" s="1" t="s">
        <v>6922</v>
      </c>
      <c r="BT391" s="1" t="str">
        <f>HYPERLINK("https%3A%2F%2Fwww.webofscience.com%2Fwos%2Fwoscc%2Ffull-record%2FWOS:000227488300005","View Full Record in Web of Science")</f>
        <v>View Full Record in Web of Science</v>
      </c>
    </row>
    <row r="392" spans="1:72">
      <c r="A392" s="1" t="s">
        <v>72</v>
      </c>
      <c r="B392" s="1" t="s">
        <v>6923</v>
      </c>
      <c r="C392" s="1" t="s">
        <v>74</v>
      </c>
      <c r="D392" s="1" t="s">
        <v>74</v>
      </c>
      <c r="E392" s="1" t="s">
        <v>74</v>
      </c>
      <c r="F392" s="1" t="s">
        <v>6924</v>
      </c>
      <c r="G392" s="1" t="s">
        <v>74</v>
      </c>
      <c r="H392" s="1" t="s">
        <v>74</v>
      </c>
      <c r="I392" s="1" t="s">
        <v>6925</v>
      </c>
      <c r="J392" s="1" t="s">
        <v>103</v>
      </c>
      <c r="K392" s="1" t="s">
        <v>74</v>
      </c>
      <c r="L392" s="1" t="s">
        <v>74</v>
      </c>
      <c r="M392" s="1" t="s">
        <v>78</v>
      </c>
      <c r="N392" s="1" t="s">
        <v>79</v>
      </c>
      <c r="O392" s="1" t="s">
        <v>74</v>
      </c>
      <c r="P392" s="1" t="s">
        <v>74</v>
      </c>
      <c r="Q392" s="1" t="s">
        <v>74</v>
      </c>
      <c r="R392" s="1" t="s">
        <v>74</v>
      </c>
      <c r="S392" s="1" t="s">
        <v>74</v>
      </c>
      <c r="T392" s="1" t="s">
        <v>6926</v>
      </c>
      <c r="U392" s="1" t="s">
        <v>6927</v>
      </c>
      <c r="V392" s="1" t="s">
        <v>6928</v>
      </c>
      <c r="W392" s="1" t="s">
        <v>6929</v>
      </c>
      <c r="X392" s="1" t="s">
        <v>6930</v>
      </c>
      <c r="Y392" s="1" t="s">
        <v>6931</v>
      </c>
      <c r="Z392" s="1" t="s">
        <v>6932</v>
      </c>
      <c r="AA392" s="1" t="s">
        <v>6933</v>
      </c>
      <c r="AB392" s="1" t="s">
        <v>6934</v>
      </c>
      <c r="AC392" s="1" t="s">
        <v>74</v>
      </c>
      <c r="AD392" s="1" t="s">
        <v>74</v>
      </c>
      <c r="AE392" s="1" t="s">
        <v>74</v>
      </c>
      <c r="AF392" s="1" t="s">
        <v>74</v>
      </c>
      <c r="AG392" s="1">
        <v>41</v>
      </c>
      <c r="AH392" s="1">
        <v>25</v>
      </c>
      <c r="AI392" s="1">
        <v>27</v>
      </c>
      <c r="AJ392" s="1">
        <v>2</v>
      </c>
      <c r="AK392" s="1">
        <v>36</v>
      </c>
      <c r="AL392" s="1" t="s">
        <v>112</v>
      </c>
      <c r="AM392" s="1" t="s">
        <v>113</v>
      </c>
      <c r="AN392" s="1" t="s">
        <v>469</v>
      </c>
      <c r="AO392" s="1" t="s">
        <v>115</v>
      </c>
      <c r="AP392" s="1" t="s">
        <v>116</v>
      </c>
      <c r="AQ392" s="1" t="s">
        <v>74</v>
      </c>
      <c r="AR392" s="1" t="s">
        <v>117</v>
      </c>
      <c r="AS392" s="1" t="s">
        <v>118</v>
      </c>
      <c r="AT392" s="1" t="s">
        <v>1470</v>
      </c>
      <c r="AU392" s="1">
        <v>2019</v>
      </c>
      <c r="AV392" s="1">
        <v>102</v>
      </c>
      <c r="AW392" s="1">
        <v>1</v>
      </c>
      <c r="AX392" s="1" t="s">
        <v>74</v>
      </c>
      <c r="AY392" s="1" t="s">
        <v>74</v>
      </c>
      <c r="AZ392" s="1" t="s">
        <v>74</v>
      </c>
      <c r="BA392" s="1" t="s">
        <v>74</v>
      </c>
      <c r="BB392" s="1">
        <v>52</v>
      </c>
      <c r="BC392" s="1">
        <v>58</v>
      </c>
      <c r="BD392" s="1" t="s">
        <v>74</v>
      </c>
      <c r="BE392" s="1" t="s">
        <v>6935</v>
      </c>
      <c r="BF392" s="1" t="str">
        <f>HYPERLINK("http://dx.doi.org/10.1007/s00128-018-2492-4","http://dx.doi.org/10.1007/s00128-018-2492-4")</f>
        <v>http://dx.doi.org/10.1007/s00128-018-2492-4</v>
      </c>
      <c r="BG392" s="1" t="s">
        <v>74</v>
      </c>
      <c r="BH392" s="1" t="s">
        <v>74</v>
      </c>
      <c r="BI392" s="1">
        <v>7</v>
      </c>
      <c r="BJ392" s="1" t="s">
        <v>121</v>
      </c>
      <c r="BK392" s="1" t="s">
        <v>96</v>
      </c>
      <c r="BL392" s="1" t="s">
        <v>122</v>
      </c>
      <c r="BM392" s="1" t="s">
        <v>6936</v>
      </c>
      <c r="BN392" s="1">
        <v>30443659</v>
      </c>
      <c r="BO392" s="1" t="s">
        <v>74</v>
      </c>
      <c r="BP392" s="1" t="s">
        <v>74</v>
      </c>
      <c r="BQ392" s="1" t="s">
        <v>74</v>
      </c>
      <c r="BR392" s="1" t="s">
        <v>98</v>
      </c>
      <c r="BS392" s="1" t="s">
        <v>6937</v>
      </c>
      <c r="BT392" s="1" t="str">
        <f>HYPERLINK("https%3A%2F%2Fwww.webofscience.com%2Fwos%2Fwoscc%2Ffull-record%2FWOS:000455525200009","View Full Record in Web of Science")</f>
        <v>View Full Record in Web of Science</v>
      </c>
    </row>
    <row r="393" spans="1:72">
      <c r="A393" s="1" t="s">
        <v>72</v>
      </c>
      <c r="B393" s="1" t="s">
        <v>6938</v>
      </c>
      <c r="C393" s="1" t="s">
        <v>74</v>
      </c>
      <c r="D393" s="1" t="s">
        <v>74</v>
      </c>
      <c r="E393" s="1" t="s">
        <v>74</v>
      </c>
      <c r="F393" s="1" t="s">
        <v>6939</v>
      </c>
      <c r="G393" s="1" t="s">
        <v>74</v>
      </c>
      <c r="H393" s="1" t="s">
        <v>74</v>
      </c>
      <c r="I393" s="1" t="s">
        <v>6940</v>
      </c>
      <c r="J393" s="1" t="s">
        <v>421</v>
      </c>
      <c r="K393" s="1" t="s">
        <v>74</v>
      </c>
      <c r="L393" s="1" t="s">
        <v>74</v>
      </c>
      <c r="M393" s="1" t="s">
        <v>78</v>
      </c>
      <c r="N393" s="1" t="s">
        <v>79</v>
      </c>
      <c r="O393" s="1" t="s">
        <v>74</v>
      </c>
      <c r="P393" s="1" t="s">
        <v>74</v>
      </c>
      <c r="Q393" s="1" t="s">
        <v>74</v>
      </c>
      <c r="R393" s="1" t="s">
        <v>74</v>
      </c>
      <c r="S393" s="1" t="s">
        <v>74</v>
      </c>
      <c r="T393" s="1" t="s">
        <v>6941</v>
      </c>
      <c r="U393" s="1" t="s">
        <v>6942</v>
      </c>
      <c r="V393" s="1" t="s">
        <v>6943</v>
      </c>
      <c r="W393" s="1" t="s">
        <v>6944</v>
      </c>
      <c r="X393" s="1" t="s">
        <v>6945</v>
      </c>
      <c r="Y393" s="1" t="s">
        <v>6946</v>
      </c>
      <c r="Z393" s="1" t="s">
        <v>6947</v>
      </c>
      <c r="AA393" s="1" t="s">
        <v>6948</v>
      </c>
      <c r="AB393" s="1" t="s">
        <v>6949</v>
      </c>
      <c r="AC393" s="1" t="s">
        <v>6950</v>
      </c>
      <c r="AD393" s="1" t="s">
        <v>6951</v>
      </c>
      <c r="AE393" s="1" t="s">
        <v>6952</v>
      </c>
      <c r="AF393" s="1" t="s">
        <v>74</v>
      </c>
      <c r="AG393" s="1">
        <v>29</v>
      </c>
      <c r="AH393" s="1">
        <v>30</v>
      </c>
      <c r="AI393" s="1">
        <v>31</v>
      </c>
      <c r="AJ393" s="1">
        <v>1</v>
      </c>
      <c r="AK393" s="1">
        <v>32</v>
      </c>
      <c r="AL393" s="1" t="s">
        <v>430</v>
      </c>
      <c r="AM393" s="1" t="s">
        <v>137</v>
      </c>
      <c r="AN393" s="1" t="s">
        <v>431</v>
      </c>
      <c r="AO393" s="1" t="s">
        <v>432</v>
      </c>
      <c r="AP393" s="1" t="s">
        <v>1394</v>
      </c>
      <c r="AQ393" s="1" t="s">
        <v>74</v>
      </c>
      <c r="AR393" s="1" t="s">
        <v>433</v>
      </c>
      <c r="AS393" s="1" t="s">
        <v>434</v>
      </c>
      <c r="AT393" s="1" t="s">
        <v>765</v>
      </c>
      <c r="AU393" s="1">
        <v>2017</v>
      </c>
      <c r="AV393" s="1">
        <v>226</v>
      </c>
      <c r="AW393" s="1" t="s">
        <v>74</v>
      </c>
      <c r="AX393" s="1" t="s">
        <v>74</v>
      </c>
      <c r="AY393" s="1" t="s">
        <v>74</v>
      </c>
      <c r="AZ393" s="1" t="s">
        <v>74</v>
      </c>
      <c r="BA393" s="1" t="s">
        <v>74</v>
      </c>
      <c r="BB393" s="1">
        <v>41</v>
      </c>
      <c r="BC393" s="1">
        <v>47</v>
      </c>
      <c r="BD393" s="1" t="s">
        <v>74</v>
      </c>
      <c r="BE393" s="1" t="s">
        <v>6953</v>
      </c>
      <c r="BF393" s="1" t="str">
        <f>HYPERLINK("http://dx.doi.org/10.1016/j.envpol.2017.04.011","http://dx.doi.org/10.1016/j.envpol.2017.04.011")</f>
        <v>http://dx.doi.org/10.1016/j.envpol.2017.04.011</v>
      </c>
      <c r="BG393" s="1" t="s">
        <v>74</v>
      </c>
      <c r="BH393" s="1" t="s">
        <v>74</v>
      </c>
      <c r="BI393" s="1">
        <v>7</v>
      </c>
      <c r="BJ393" s="1" t="s">
        <v>144</v>
      </c>
      <c r="BK393" s="1" t="s">
        <v>96</v>
      </c>
      <c r="BL393" s="1" t="s">
        <v>145</v>
      </c>
      <c r="BM393" s="1" t="s">
        <v>6954</v>
      </c>
      <c r="BN393" s="1">
        <v>28402837</v>
      </c>
      <c r="BO393" s="1" t="s">
        <v>74</v>
      </c>
      <c r="BP393" s="1" t="s">
        <v>74</v>
      </c>
      <c r="BQ393" s="1" t="s">
        <v>74</v>
      </c>
      <c r="BR393" s="1" t="s">
        <v>98</v>
      </c>
      <c r="BS393" s="1" t="s">
        <v>6955</v>
      </c>
      <c r="BT393" s="1" t="str">
        <f>HYPERLINK("https%3A%2F%2Fwww.webofscience.com%2Fwos%2Fwoscc%2Ffull-record%2FWOS:000405881800005","View Full Record in Web of Science")</f>
        <v>View Full Record in Web of Science</v>
      </c>
    </row>
    <row r="394" spans="1:72">
      <c r="A394" s="1" t="s">
        <v>72</v>
      </c>
      <c r="B394" s="1" t="s">
        <v>6956</v>
      </c>
      <c r="C394" s="1" t="s">
        <v>74</v>
      </c>
      <c r="D394" s="1" t="s">
        <v>74</v>
      </c>
      <c r="E394" s="1" t="s">
        <v>74</v>
      </c>
      <c r="F394" s="1" t="s">
        <v>6957</v>
      </c>
      <c r="G394" s="1" t="s">
        <v>74</v>
      </c>
      <c r="H394" s="1" t="s">
        <v>74</v>
      </c>
      <c r="I394" s="1" t="s">
        <v>6958</v>
      </c>
      <c r="J394" s="1" t="s">
        <v>204</v>
      </c>
      <c r="K394" s="1" t="s">
        <v>74</v>
      </c>
      <c r="L394" s="1" t="s">
        <v>74</v>
      </c>
      <c r="M394" s="1" t="s">
        <v>78</v>
      </c>
      <c r="N394" s="1" t="s">
        <v>79</v>
      </c>
      <c r="O394" s="1" t="s">
        <v>74</v>
      </c>
      <c r="P394" s="1" t="s">
        <v>74</v>
      </c>
      <c r="Q394" s="1" t="s">
        <v>74</v>
      </c>
      <c r="R394" s="1" t="s">
        <v>74</v>
      </c>
      <c r="S394" s="1" t="s">
        <v>74</v>
      </c>
      <c r="T394" s="1" t="s">
        <v>6959</v>
      </c>
      <c r="U394" s="1" t="s">
        <v>6960</v>
      </c>
      <c r="V394" s="1" t="s">
        <v>6961</v>
      </c>
      <c r="W394" s="1" t="s">
        <v>6962</v>
      </c>
      <c r="X394" s="1" t="s">
        <v>3483</v>
      </c>
      <c r="Y394" s="1" t="s">
        <v>6963</v>
      </c>
      <c r="Z394" s="1" t="s">
        <v>1955</v>
      </c>
      <c r="AA394" s="1" t="s">
        <v>6964</v>
      </c>
      <c r="AB394" s="1" t="s">
        <v>6965</v>
      </c>
      <c r="AC394" s="1" t="s">
        <v>3488</v>
      </c>
      <c r="AD394" s="1" t="s">
        <v>3488</v>
      </c>
      <c r="AE394" s="1" t="s">
        <v>6966</v>
      </c>
      <c r="AF394" s="1" t="s">
        <v>74</v>
      </c>
      <c r="AG394" s="1">
        <v>42</v>
      </c>
      <c r="AH394" s="1">
        <v>53</v>
      </c>
      <c r="AI394" s="1">
        <v>53</v>
      </c>
      <c r="AJ394" s="1">
        <v>1</v>
      </c>
      <c r="AK394" s="1">
        <v>69</v>
      </c>
      <c r="AL394" s="1" t="s">
        <v>217</v>
      </c>
      <c r="AM394" s="1" t="s">
        <v>218</v>
      </c>
      <c r="AN394" s="1" t="s">
        <v>219</v>
      </c>
      <c r="AO394" s="1" t="s">
        <v>220</v>
      </c>
      <c r="AP394" s="1" t="s">
        <v>221</v>
      </c>
      <c r="AQ394" s="1" t="s">
        <v>74</v>
      </c>
      <c r="AR394" s="1" t="s">
        <v>222</v>
      </c>
      <c r="AS394" s="1" t="s">
        <v>223</v>
      </c>
      <c r="AT394" s="1" t="s">
        <v>93</v>
      </c>
      <c r="AU394" s="1">
        <v>2013</v>
      </c>
      <c r="AV394" s="1">
        <v>20</v>
      </c>
      <c r="AW394" s="1">
        <v>4</v>
      </c>
      <c r="AX394" s="1" t="s">
        <v>74</v>
      </c>
      <c r="AY394" s="1" t="s">
        <v>74</v>
      </c>
      <c r="AZ394" s="1" t="s">
        <v>74</v>
      </c>
      <c r="BA394" s="1" t="s">
        <v>74</v>
      </c>
      <c r="BB394" s="1">
        <v>2670</v>
      </c>
      <c r="BC394" s="1">
        <v>2678</v>
      </c>
      <c r="BD394" s="1" t="s">
        <v>74</v>
      </c>
      <c r="BE394" s="1" t="s">
        <v>6967</v>
      </c>
      <c r="BF394" s="1" t="str">
        <f>HYPERLINK("http://dx.doi.org/10.1007/s11356-012-1192-6","http://dx.doi.org/10.1007/s11356-012-1192-6")</f>
        <v>http://dx.doi.org/10.1007/s11356-012-1192-6</v>
      </c>
      <c r="BG394" s="1" t="s">
        <v>74</v>
      </c>
      <c r="BH394" s="1" t="s">
        <v>74</v>
      </c>
      <c r="BI394" s="1">
        <v>9</v>
      </c>
      <c r="BJ394" s="1" t="s">
        <v>144</v>
      </c>
      <c r="BK394" s="1" t="s">
        <v>96</v>
      </c>
      <c r="BL394" s="1" t="s">
        <v>145</v>
      </c>
      <c r="BM394" s="1" t="s">
        <v>6968</v>
      </c>
      <c r="BN394" s="1">
        <v>22990579</v>
      </c>
      <c r="BO394" s="1" t="s">
        <v>74</v>
      </c>
      <c r="BP394" s="1" t="s">
        <v>74</v>
      </c>
      <c r="BQ394" s="1" t="s">
        <v>74</v>
      </c>
      <c r="BR394" s="1" t="s">
        <v>98</v>
      </c>
      <c r="BS394" s="1" t="s">
        <v>6969</v>
      </c>
      <c r="BT394" s="1" t="str">
        <f>HYPERLINK("https%3A%2F%2Fwww.webofscience.com%2Fwos%2Fwoscc%2Ffull-record%2FWOS:000316817000069","View Full Record in Web of Science")</f>
        <v>View Full Record in Web of Science</v>
      </c>
    </row>
    <row r="395" spans="1:72">
      <c r="A395" s="1" t="s">
        <v>72</v>
      </c>
      <c r="B395" s="1" t="s">
        <v>6970</v>
      </c>
      <c r="C395" s="1" t="s">
        <v>74</v>
      </c>
      <c r="D395" s="1" t="s">
        <v>74</v>
      </c>
      <c r="E395" s="1" t="s">
        <v>74</v>
      </c>
      <c r="F395" s="1" t="s">
        <v>6971</v>
      </c>
      <c r="G395" s="1" t="s">
        <v>74</v>
      </c>
      <c r="H395" s="1" t="s">
        <v>74</v>
      </c>
      <c r="I395" s="1" t="s">
        <v>6972</v>
      </c>
      <c r="J395" s="1" t="s">
        <v>752</v>
      </c>
      <c r="K395" s="1" t="s">
        <v>74</v>
      </c>
      <c r="L395" s="1" t="s">
        <v>74</v>
      </c>
      <c r="M395" s="1" t="s">
        <v>78</v>
      </c>
      <c r="N395" s="1" t="s">
        <v>79</v>
      </c>
      <c r="O395" s="1" t="s">
        <v>74</v>
      </c>
      <c r="P395" s="1" t="s">
        <v>74</v>
      </c>
      <c r="Q395" s="1" t="s">
        <v>74</v>
      </c>
      <c r="R395" s="1" t="s">
        <v>74</v>
      </c>
      <c r="S395" s="1" t="s">
        <v>74</v>
      </c>
      <c r="T395" s="1" t="s">
        <v>6973</v>
      </c>
      <c r="U395" s="1" t="s">
        <v>6974</v>
      </c>
      <c r="V395" s="1" t="s">
        <v>6975</v>
      </c>
      <c r="W395" s="1" t="s">
        <v>6976</v>
      </c>
      <c r="X395" s="1" t="s">
        <v>6977</v>
      </c>
      <c r="Y395" s="1" t="s">
        <v>6978</v>
      </c>
      <c r="Z395" s="1" t="s">
        <v>5737</v>
      </c>
      <c r="AA395" s="1" t="s">
        <v>6979</v>
      </c>
      <c r="AB395" s="1" t="s">
        <v>6980</v>
      </c>
      <c r="AC395" s="1" t="s">
        <v>6981</v>
      </c>
      <c r="AD395" s="1" t="s">
        <v>6982</v>
      </c>
      <c r="AE395" s="1" t="s">
        <v>6983</v>
      </c>
      <c r="AF395" s="1" t="s">
        <v>74</v>
      </c>
      <c r="AG395" s="1">
        <v>24</v>
      </c>
      <c r="AH395" s="1">
        <v>26</v>
      </c>
      <c r="AI395" s="1">
        <v>35</v>
      </c>
      <c r="AJ395" s="1">
        <v>1</v>
      </c>
      <c r="AK395" s="1">
        <v>29</v>
      </c>
      <c r="AL395" s="1" t="s">
        <v>430</v>
      </c>
      <c r="AM395" s="1" t="s">
        <v>137</v>
      </c>
      <c r="AN395" s="1" t="s">
        <v>431</v>
      </c>
      <c r="AO395" s="1" t="s">
        <v>761</v>
      </c>
      <c r="AP395" s="1" t="s">
        <v>762</v>
      </c>
      <c r="AQ395" s="1" t="s">
        <v>74</v>
      </c>
      <c r="AR395" s="1" t="s">
        <v>763</v>
      </c>
      <c r="AS395" s="1" t="s">
        <v>764</v>
      </c>
      <c r="AT395" s="1" t="s">
        <v>765</v>
      </c>
      <c r="AU395" s="1">
        <v>2009</v>
      </c>
      <c r="AV395" s="1">
        <v>68</v>
      </c>
      <c r="AW395" s="1">
        <v>1</v>
      </c>
      <c r="AX395" s="1" t="s">
        <v>74</v>
      </c>
      <c r="AY395" s="1" t="s">
        <v>74</v>
      </c>
      <c r="AZ395" s="1" t="s">
        <v>74</v>
      </c>
      <c r="BA395" s="1" t="s">
        <v>74</v>
      </c>
      <c r="BB395" s="1">
        <v>12</v>
      </c>
      <c r="BC395" s="1">
        <v>18</v>
      </c>
      <c r="BD395" s="1" t="s">
        <v>74</v>
      </c>
      <c r="BE395" s="1" t="s">
        <v>6984</v>
      </c>
      <c r="BF395" s="1" t="str">
        <f>HYPERLINK("http://dx.doi.org/10.1016/j.marenvres.2009.03.006","http://dx.doi.org/10.1016/j.marenvres.2009.03.006")</f>
        <v>http://dx.doi.org/10.1016/j.marenvres.2009.03.006</v>
      </c>
      <c r="BG395" s="1" t="s">
        <v>74</v>
      </c>
      <c r="BH395" s="1" t="s">
        <v>74</v>
      </c>
      <c r="BI395" s="1">
        <v>7</v>
      </c>
      <c r="BJ395" s="1" t="s">
        <v>768</v>
      </c>
      <c r="BK395" s="1" t="s">
        <v>96</v>
      </c>
      <c r="BL395" s="1" t="s">
        <v>769</v>
      </c>
      <c r="BM395" s="1" t="s">
        <v>6985</v>
      </c>
      <c r="BN395" s="1">
        <v>19395081</v>
      </c>
      <c r="BO395" s="1" t="s">
        <v>810</v>
      </c>
      <c r="BP395" s="1" t="s">
        <v>74</v>
      </c>
      <c r="BQ395" s="1" t="s">
        <v>74</v>
      </c>
      <c r="BR395" s="1" t="s">
        <v>98</v>
      </c>
      <c r="BS395" s="1" t="s">
        <v>6986</v>
      </c>
      <c r="BT395" s="1" t="str">
        <f>HYPERLINK("https%3A%2F%2Fwww.webofscience.com%2Fwos%2Fwoscc%2Ffull-record%2FWOS:000267576400002","View Full Record in Web of Science")</f>
        <v>View Full Record in Web of Science</v>
      </c>
    </row>
    <row r="396" spans="1:72">
      <c r="A396" s="1" t="s">
        <v>72</v>
      </c>
      <c r="B396" s="1" t="s">
        <v>6987</v>
      </c>
      <c r="C396" s="1" t="s">
        <v>74</v>
      </c>
      <c r="D396" s="1" t="s">
        <v>74</v>
      </c>
      <c r="E396" s="1" t="s">
        <v>74</v>
      </c>
      <c r="F396" s="1" t="s">
        <v>6988</v>
      </c>
      <c r="G396" s="1" t="s">
        <v>74</v>
      </c>
      <c r="H396" s="1" t="s">
        <v>74</v>
      </c>
      <c r="I396" s="1" t="s">
        <v>6989</v>
      </c>
      <c r="J396" s="1" t="s">
        <v>204</v>
      </c>
      <c r="K396" s="1" t="s">
        <v>74</v>
      </c>
      <c r="L396" s="1" t="s">
        <v>74</v>
      </c>
      <c r="M396" s="1" t="s">
        <v>78</v>
      </c>
      <c r="N396" s="1" t="s">
        <v>79</v>
      </c>
      <c r="O396" s="1" t="s">
        <v>74</v>
      </c>
      <c r="P396" s="1" t="s">
        <v>74</v>
      </c>
      <c r="Q396" s="1" t="s">
        <v>74</v>
      </c>
      <c r="R396" s="1" t="s">
        <v>74</v>
      </c>
      <c r="S396" s="1" t="s">
        <v>74</v>
      </c>
      <c r="T396" s="1" t="s">
        <v>6990</v>
      </c>
      <c r="U396" s="1" t="s">
        <v>6991</v>
      </c>
      <c r="V396" s="1" t="s">
        <v>6992</v>
      </c>
      <c r="W396" s="1" t="s">
        <v>6993</v>
      </c>
      <c r="X396" s="1" t="s">
        <v>6994</v>
      </c>
      <c r="Y396" s="1" t="s">
        <v>6995</v>
      </c>
      <c r="Z396" s="1" t="s">
        <v>6996</v>
      </c>
      <c r="AA396" s="1" t="s">
        <v>74</v>
      </c>
      <c r="AB396" s="1" t="s">
        <v>74</v>
      </c>
      <c r="AC396" s="1" t="s">
        <v>6997</v>
      </c>
      <c r="AD396" s="1" t="s">
        <v>6998</v>
      </c>
      <c r="AE396" s="1" t="s">
        <v>6999</v>
      </c>
      <c r="AF396" s="1" t="s">
        <v>74</v>
      </c>
      <c r="AG396" s="1">
        <v>51</v>
      </c>
      <c r="AH396" s="1">
        <v>27</v>
      </c>
      <c r="AI396" s="1">
        <v>31</v>
      </c>
      <c r="AJ396" s="1">
        <v>0</v>
      </c>
      <c r="AK396" s="1">
        <v>39</v>
      </c>
      <c r="AL396" s="1" t="s">
        <v>217</v>
      </c>
      <c r="AM396" s="1" t="s">
        <v>218</v>
      </c>
      <c r="AN396" s="1" t="s">
        <v>219</v>
      </c>
      <c r="AO396" s="1" t="s">
        <v>220</v>
      </c>
      <c r="AP396" s="1" t="s">
        <v>221</v>
      </c>
      <c r="AQ396" s="1" t="s">
        <v>74</v>
      </c>
      <c r="AR396" s="1" t="s">
        <v>222</v>
      </c>
      <c r="AS396" s="1" t="s">
        <v>223</v>
      </c>
      <c r="AT396" s="1" t="s">
        <v>170</v>
      </c>
      <c r="AU396" s="1">
        <v>2013</v>
      </c>
      <c r="AV396" s="1">
        <v>20</v>
      </c>
      <c r="AW396" s="1">
        <v>5</v>
      </c>
      <c r="AX396" s="1" t="s">
        <v>74</v>
      </c>
      <c r="AY396" s="1" t="s">
        <v>74</v>
      </c>
      <c r="AZ396" s="1" t="s">
        <v>74</v>
      </c>
      <c r="BA396" s="1" t="s">
        <v>74</v>
      </c>
      <c r="BB396" s="1">
        <v>2984</v>
      </c>
      <c r="BC396" s="1">
        <v>2992</v>
      </c>
      <c r="BD396" s="1" t="s">
        <v>74</v>
      </c>
      <c r="BE396" s="1" t="s">
        <v>7000</v>
      </c>
      <c r="BF396" s="1" t="str">
        <f>HYPERLINK("http://dx.doi.org/10.1007/s11356-012-1211-7","http://dx.doi.org/10.1007/s11356-012-1211-7")</f>
        <v>http://dx.doi.org/10.1007/s11356-012-1211-7</v>
      </c>
      <c r="BG396" s="1" t="s">
        <v>74</v>
      </c>
      <c r="BH396" s="1" t="s">
        <v>74</v>
      </c>
      <c r="BI396" s="1">
        <v>9</v>
      </c>
      <c r="BJ396" s="1" t="s">
        <v>144</v>
      </c>
      <c r="BK396" s="1" t="s">
        <v>96</v>
      </c>
      <c r="BL396" s="1" t="s">
        <v>145</v>
      </c>
      <c r="BM396" s="1" t="s">
        <v>7001</v>
      </c>
      <c r="BN396" s="1">
        <v>23054777</v>
      </c>
      <c r="BO396" s="1" t="s">
        <v>74</v>
      </c>
      <c r="BP396" s="1" t="s">
        <v>74</v>
      </c>
      <c r="BQ396" s="1" t="s">
        <v>74</v>
      </c>
      <c r="BR396" s="1" t="s">
        <v>98</v>
      </c>
      <c r="BS396" s="1" t="s">
        <v>7002</v>
      </c>
      <c r="BT396" s="1" t="str">
        <f>HYPERLINK("https%3A%2F%2Fwww.webofscience.com%2Fwos%2Fwoscc%2Ffull-record%2FWOS:000318175400026","View Full Record in Web of Science")</f>
        <v>View Full Record in Web of Science</v>
      </c>
    </row>
    <row r="397" spans="1:72">
      <c r="A397" s="1" t="s">
        <v>72</v>
      </c>
      <c r="B397" s="1" t="s">
        <v>7003</v>
      </c>
      <c r="C397" s="1" t="s">
        <v>74</v>
      </c>
      <c r="D397" s="1" t="s">
        <v>74</v>
      </c>
      <c r="E397" s="1" t="s">
        <v>74</v>
      </c>
      <c r="F397" s="1" t="s">
        <v>7003</v>
      </c>
      <c r="G397" s="1" t="s">
        <v>74</v>
      </c>
      <c r="H397" s="1" t="s">
        <v>74</v>
      </c>
      <c r="I397" s="1" t="s">
        <v>7004</v>
      </c>
      <c r="J397" s="1" t="s">
        <v>3719</v>
      </c>
      <c r="K397" s="1" t="s">
        <v>74</v>
      </c>
      <c r="L397" s="1" t="s">
        <v>74</v>
      </c>
      <c r="M397" s="1" t="s">
        <v>78</v>
      </c>
      <c r="N397" s="1" t="s">
        <v>79</v>
      </c>
      <c r="O397" s="1" t="s">
        <v>74</v>
      </c>
      <c r="P397" s="1" t="s">
        <v>74</v>
      </c>
      <c r="Q397" s="1" t="s">
        <v>74</v>
      </c>
      <c r="R397" s="1" t="s">
        <v>74</v>
      </c>
      <c r="S397" s="1" t="s">
        <v>74</v>
      </c>
      <c r="T397" s="1" t="s">
        <v>7005</v>
      </c>
      <c r="U397" s="1" t="s">
        <v>7006</v>
      </c>
      <c r="V397" s="1" t="s">
        <v>7007</v>
      </c>
      <c r="W397" s="1" t="s">
        <v>5755</v>
      </c>
      <c r="X397" s="1" t="s">
        <v>3724</v>
      </c>
      <c r="Y397" s="1" t="s">
        <v>3725</v>
      </c>
      <c r="Z397" s="1" t="s">
        <v>3726</v>
      </c>
      <c r="AA397" s="1" t="s">
        <v>5490</v>
      </c>
      <c r="AB397" s="1" t="s">
        <v>5491</v>
      </c>
      <c r="AC397" s="1" t="s">
        <v>74</v>
      </c>
      <c r="AD397" s="1" t="s">
        <v>74</v>
      </c>
      <c r="AE397" s="1" t="s">
        <v>74</v>
      </c>
      <c r="AF397" s="1" t="s">
        <v>74</v>
      </c>
      <c r="AG397" s="1">
        <v>61</v>
      </c>
      <c r="AH397" s="1">
        <v>142</v>
      </c>
      <c r="AI397" s="1">
        <v>161</v>
      </c>
      <c r="AJ397" s="1">
        <v>4</v>
      </c>
      <c r="AK397" s="1">
        <v>54</v>
      </c>
      <c r="AL397" s="1" t="s">
        <v>3731</v>
      </c>
      <c r="AM397" s="1" t="s">
        <v>262</v>
      </c>
      <c r="AN397" s="1" t="s">
        <v>3732</v>
      </c>
      <c r="AO397" s="1" t="s">
        <v>3733</v>
      </c>
      <c r="AP397" s="1" t="s">
        <v>3734</v>
      </c>
      <c r="AQ397" s="1" t="s">
        <v>74</v>
      </c>
      <c r="AR397" s="1" t="s">
        <v>3735</v>
      </c>
      <c r="AS397" s="1" t="s">
        <v>3736</v>
      </c>
      <c r="AT397" s="1" t="s">
        <v>765</v>
      </c>
      <c r="AU397" s="1">
        <v>2004</v>
      </c>
      <c r="AV397" s="1">
        <v>207</v>
      </c>
      <c r="AW397" s="1">
        <v>15</v>
      </c>
      <c r="AX397" s="1" t="s">
        <v>74</v>
      </c>
      <c r="AY397" s="1" t="s">
        <v>74</v>
      </c>
      <c r="AZ397" s="1" t="s">
        <v>74</v>
      </c>
      <c r="BA397" s="1" t="s">
        <v>74</v>
      </c>
      <c r="BB397" s="1">
        <v>2639</v>
      </c>
      <c r="BC397" s="1">
        <v>2648</v>
      </c>
      <c r="BD397" s="1" t="s">
        <v>74</v>
      </c>
      <c r="BE397" s="1" t="s">
        <v>7008</v>
      </c>
      <c r="BF397" s="1" t="str">
        <f>HYPERLINK("http://dx.doi.org/10.1242/jeb.01054","http://dx.doi.org/10.1242/jeb.01054")</f>
        <v>http://dx.doi.org/10.1242/jeb.01054</v>
      </c>
      <c r="BG397" s="1" t="s">
        <v>74</v>
      </c>
      <c r="BH397" s="1" t="s">
        <v>74</v>
      </c>
      <c r="BI397" s="1">
        <v>10</v>
      </c>
      <c r="BJ397" s="1" t="s">
        <v>3738</v>
      </c>
      <c r="BK397" s="1" t="s">
        <v>96</v>
      </c>
      <c r="BL397" s="1" t="s">
        <v>3739</v>
      </c>
      <c r="BM397" s="1" t="s">
        <v>7009</v>
      </c>
      <c r="BN397" s="1">
        <v>15201296</v>
      </c>
      <c r="BO397" s="1" t="s">
        <v>74</v>
      </c>
      <c r="BP397" s="1" t="s">
        <v>74</v>
      </c>
      <c r="BQ397" s="1" t="s">
        <v>74</v>
      </c>
      <c r="BR397" s="1" t="s">
        <v>98</v>
      </c>
      <c r="BS397" s="1" t="s">
        <v>7010</v>
      </c>
      <c r="BT397" s="1" t="str">
        <f>HYPERLINK("https%3A%2F%2Fwww.webofscience.com%2Fwos%2Fwoscc%2Ffull-record%2FWOS:000223090300020","View Full Record in Web of Science")</f>
        <v>View Full Record in Web of Science</v>
      </c>
    </row>
    <row r="398" spans="1:72">
      <c r="A398" s="1" t="s">
        <v>72</v>
      </c>
      <c r="B398" s="1" t="s">
        <v>7011</v>
      </c>
      <c r="C398" s="1" t="s">
        <v>74</v>
      </c>
      <c r="D398" s="1" t="s">
        <v>74</v>
      </c>
      <c r="E398" s="1" t="s">
        <v>74</v>
      </c>
      <c r="F398" s="1" t="s">
        <v>7012</v>
      </c>
      <c r="G398" s="1" t="s">
        <v>74</v>
      </c>
      <c r="H398" s="1" t="s">
        <v>74</v>
      </c>
      <c r="I398" s="1" t="s">
        <v>7013</v>
      </c>
      <c r="J398" s="1" t="s">
        <v>998</v>
      </c>
      <c r="K398" s="1" t="s">
        <v>74</v>
      </c>
      <c r="L398" s="1" t="s">
        <v>74</v>
      </c>
      <c r="M398" s="1" t="s">
        <v>78</v>
      </c>
      <c r="N398" s="1" t="s">
        <v>79</v>
      </c>
      <c r="O398" s="1" t="s">
        <v>74</v>
      </c>
      <c r="P398" s="1" t="s">
        <v>74</v>
      </c>
      <c r="Q398" s="1" t="s">
        <v>74</v>
      </c>
      <c r="R398" s="1" t="s">
        <v>74</v>
      </c>
      <c r="S398" s="1" t="s">
        <v>74</v>
      </c>
      <c r="T398" s="1" t="s">
        <v>74</v>
      </c>
      <c r="U398" s="1" t="s">
        <v>7014</v>
      </c>
      <c r="V398" s="1" t="s">
        <v>7015</v>
      </c>
      <c r="W398" s="1" t="s">
        <v>7016</v>
      </c>
      <c r="X398" s="1" t="s">
        <v>7017</v>
      </c>
      <c r="Y398" s="1" t="s">
        <v>7018</v>
      </c>
      <c r="Z398" s="1" t="s">
        <v>7019</v>
      </c>
      <c r="AA398" s="1" t="s">
        <v>74</v>
      </c>
      <c r="AB398" s="1" t="s">
        <v>7020</v>
      </c>
      <c r="AC398" s="1" t="s">
        <v>7021</v>
      </c>
      <c r="AD398" s="1" t="s">
        <v>7022</v>
      </c>
      <c r="AE398" s="1" t="s">
        <v>7023</v>
      </c>
      <c r="AF398" s="1" t="s">
        <v>74</v>
      </c>
      <c r="AG398" s="1">
        <v>52</v>
      </c>
      <c r="AH398" s="1">
        <v>26</v>
      </c>
      <c r="AI398" s="1">
        <v>28</v>
      </c>
      <c r="AJ398" s="1">
        <v>1</v>
      </c>
      <c r="AK398" s="1">
        <v>27</v>
      </c>
      <c r="AL398" s="1" t="s">
        <v>112</v>
      </c>
      <c r="AM398" s="1" t="s">
        <v>113</v>
      </c>
      <c r="AN398" s="1" t="s">
        <v>114</v>
      </c>
      <c r="AO398" s="1" t="s">
        <v>1009</v>
      </c>
      <c r="AP398" s="1" t="s">
        <v>5996</v>
      </c>
      <c r="AQ398" s="1" t="s">
        <v>74</v>
      </c>
      <c r="AR398" s="1" t="s">
        <v>1010</v>
      </c>
      <c r="AS398" s="1" t="s">
        <v>1011</v>
      </c>
      <c r="AT398" s="1" t="s">
        <v>951</v>
      </c>
      <c r="AU398" s="1">
        <v>2010</v>
      </c>
      <c r="AV398" s="1">
        <v>59</v>
      </c>
      <c r="AW398" s="1">
        <v>4</v>
      </c>
      <c r="AX398" s="1" t="s">
        <v>74</v>
      </c>
      <c r="AY398" s="1" t="s">
        <v>74</v>
      </c>
      <c r="AZ398" s="1" t="s">
        <v>74</v>
      </c>
      <c r="BA398" s="1" t="s">
        <v>74</v>
      </c>
      <c r="BB398" s="1">
        <v>582</v>
      </c>
      <c r="BC398" s="1">
        <v>592</v>
      </c>
      <c r="BD398" s="1" t="s">
        <v>74</v>
      </c>
      <c r="BE398" s="1" t="s">
        <v>7024</v>
      </c>
      <c r="BF398" s="1" t="str">
        <f>HYPERLINK("http://dx.doi.org/10.1007/s00244-010-9509-2","http://dx.doi.org/10.1007/s00244-010-9509-2")</f>
        <v>http://dx.doi.org/10.1007/s00244-010-9509-2</v>
      </c>
      <c r="BG398" s="1" t="s">
        <v>74</v>
      </c>
      <c r="BH398" s="1" t="s">
        <v>74</v>
      </c>
      <c r="BI398" s="1">
        <v>11</v>
      </c>
      <c r="BJ398" s="1" t="s">
        <v>121</v>
      </c>
      <c r="BK398" s="1" t="s">
        <v>96</v>
      </c>
      <c r="BL398" s="1" t="s">
        <v>122</v>
      </c>
      <c r="BM398" s="1" t="s">
        <v>7025</v>
      </c>
      <c r="BN398" s="1">
        <v>20379707</v>
      </c>
      <c r="BO398" s="1" t="s">
        <v>74</v>
      </c>
      <c r="BP398" s="1" t="s">
        <v>74</v>
      </c>
      <c r="BQ398" s="1" t="s">
        <v>74</v>
      </c>
      <c r="BR398" s="1" t="s">
        <v>98</v>
      </c>
      <c r="BS398" s="1" t="s">
        <v>7026</v>
      </c>
      <c r="BT398" s="1" t="str">
        <f>HYPERLINK("https%3A%2F%2Fwww.webofscience.com%2Fwos%2Fwoscc%2Ffull-record%2FWOS:000283098800007","View Full Record in Web of Science")</f>
        <v>View Full Record in Web of Science</v>
      </c>
    </row>
    <row r="399" spans="1:72">
      <c r="A399" s="1" t="s">
        <v>72</v>
      </c>
      <c r="B399" s="1" t="s">
        <v>7027</v>
      </c>
      <c r="C399" s="1" t="s">
        <v>74</v>
      </c>
      <c r="D399" s="1" t="s">
        <v>74</v>
      </c>
      <c r="E399" s="1" t="s">
        <v>74</v>
      </c>
      <c r="F399" s="1" t="s">
        <v>7028</v>
      </c>
      <c r="G399" s="1" t="s">
        <v>74</v>
      </c>
      <c r="H399" s="1" t="s">
        <v>74</v>
      </c>
      <c r="I399" s="1" t="s">
        <v>7029</v>
      </c>
      <c r="J399" s="1" t="s">
        <v>232</v>
      </c>
      <c r="K399" s="1" t="s">
        <v>74</v>
      </c>
      <c r="L399" s="1" t="s">
        <v>74</v>
      </c>
      <c r="M399" s="1" t="s">
        <v>78</v>
      </c>
      <c r="N399" s="1" t="s">
        <v>79</v>
      </c>
      <c r="O399" s="1" t="s">
        <v>74</v>
      </c>
      <c r="P399" s="1" t="s">
        <v>74</v>
      </c>
      <c r="Q399" s="1" t="s">
        <v>74</v>
      </c>
      <c r="R399" s="1" t="s">
        <v>74</v>
      </c>
      <c r="S399" s="1" t="s">
        <v>74</v>
      </c>
      <c r="T399" s="1" t="s">
        <v>7030</v>
      </c>
      <c r="U399" s="1" t="s">
        <v>7031</v>
      </c>
      <c r="V399" s="1" t="s">
        <v>7032</v>
      </c>
      <c r="W399" s="1" t="s">
        <v>7033</v>
      </c>
      <c r="X399" s="1" t="s">
        <v>7034</v>
      </c>
      <c r="Y399" s="1" t="s">
        <v>7035</v>
      </c>
      <c r="Z399" s="1" t="s">
        <v>7036</v>
      </c>
      <c r="AA399" s="1" t="s">
        <v>7037</v>
      </c>
      <c r="AB399" s="1" t="s">
        <v>7038</v>
      </c>
      <c r="AC399" s="1" t="s">
        <v>7039</v>
      </c>
      <c r="AD399" s="1" t="s">
        <v>7039</v>
      </c>
      <c r="AE399" s="1" t="s">
        <v>7040</v>
      </c>
      <c r="AF399" s="1" t="s">
        <v>74</v>
      </c>
      <c r="AG399" s="1">
        <v>99</v>
      </c>
      <c r="AH399" s="1">
        <v>47</v>
      </c>
      <c r="AI399" s="1">
        <v>48</v>
      </c>
      <c r="AJ399" s="1">
        <v>1</v>
      </c>
      <c r="AK399" s="1">
        <v>54</v>
      </c>
      <c r="AL399" s="1" t="s">
        <v>136</v>
      </c>
      <c r="AM399" s="1" t="s">
        <v>137</v>
      </c>
      <c r="AN399" s="1" t="s">
        <v>138</v>
      </c>
      <c r="AO399" s="1" t="s">
        <v>240</v>
      </c>
      <c r="AP399" s="1" t="s">
        <v>241</v>
      </c>
      <c r="AQ399" s="1" t="s">
        <v>74</v>
      </c>
      <c r="AR399" s="1" t="s">
        <v>242</v>
      </c>
      <c r="AS399" s="1" t="s">
        <v>243</v>
      </c>
      <c r="AT399" s="1" t="s">
        <v>7041</v>
      </c>
      <c r="AU399" s="1">
        <v>2017</v>
      </c>
      <c r="AV399" s="1">
        <v>115</v>
      </c>
      <c r="AW399" s="1" t="s">
        <v>326</v>
      </c>
      <c r="AX399" s="1" t="s">
        <v>74</v>
      </c>
      <c r="AY399" s="1" t="s">
        <v>74</v>
      </c>
      <c r="AZ399" s="1" t="s">
        <v>74</v>
      </c>
      <c r="BA399" s="1" t="s">
        <v>74</v>
      </c>
      <c r="BB399" s="1">
        <v>539</v>
      </c>
      <c r="BC399" s="1">
        <v>550</v>
      </c>
      <c r="BD399" s="1" t="s">
        <v>74</v>
      </c>
      <c r="BE399" s="1" t="s">
        <v>7042</v>
      </c>
      <c r="BF399" s="1" t="str">
        <f>HYPERLINK("http://dx.doi.org/10.1016/j.marpolbul.2016.12.028","http://dx.doi.org/10.1016/j.marpolbul.2016.12.028")</f>
        <v>http://dx.doi.org/10.1016/j.marpolbul.2016.12.028</v>
      </c>
      <c r="BG399" s="1" t="s">
        <v>74</v>
      </c>
      <c r="BH399" s="1" t="s">
        <v>74</v>
      </c>
      <c r="BI399" s="1">
        <v>12</v>
      </c>
      <c r="BJ399" s="1" t="s">
        <v>247</v>
      </c>
      <c r="BK399" s="1" t="s">
        <v>96</v>
      </c>
      <c r="BL399" s="1" t="s">
        <v>248</v>
      </c>
      <c r="BM399" s="1" t="s">
        <v>7043</v>
      </c>
      <c r="BN399" s="1">
        <v>28012736</v>
      </c>
      <c r="BO399" s="1" t="s">
        <v>74</v>
      </c>
      <c r="BP399" s="1" t="s">
        <v>74</v>
      </c>
      <c r="BQ399" s="1" t="s">
        <v>74</v>
      </c>
      <c r="BR399" s="1" t="s">
        <v>98</v>
      </c>
      <c r="BS399" s="1" t="s">
        <v>7044</v>
      </c>
      <c r="BT399" s="1" t="str">
        <f>HYPERLINK("https%3A%2F%2Fwww.webofscience.com%2Fwos%2Fwoscc%2Ffull-record%2FWOS:000394399800078","View Full Record in Web of Science")</f>
        <v>View Full Record in Web of Science</v>
      </c>
    </row>
    <row r="400" spans="1:72">
      <c r="A400" s="1" t="s">
        <v>72</v>
      </c>
      <c r="B400" s="1" t="s">
        <v>7045</v>
      </c>
      <c r="C400" s="1" t="s">
        <v>74</v>
      </c>
      <c r="D400" s="1" t="s">
        <v>74</v>
      </c>
      <c r="E400" s="1" t="s">
        <v>74</v>
      </c>
      <c r="F400" s="1" t="s">
        <v>7046</v>
      </c>
      <c r="G400" s="1" t="s">
        <v>74</v>
      </c>
      <c r="H400" s="1" t="s">
        <v>74</v>
      </c>
      <c r="I400" s="1" t="s">
        <v>7047</v>
      </c>
      <c r="J400" s="1" t="s">
        <v>179</v>
      </c>
      <c r="K400" s="1" t="s">
        <v>74</v>
      </c>
      <c r="L400" s="1" t="s">
        <v>74</v>
      </c>
      <c r="M400" s="1" t="s">
        <v>78</v>
      </c>
      <c r="N400" s="1" t="s">
        <v>79</v>
      </c>
      <c r="O400" s="1" t="s">
        <v>74</v>
      </c>
      <c r="P400" s="1" t="s">
        <v>74</v>
      </c>
      <c r="Q400" s="1" t="s">
        <v>74</v>
      </c>
      <c r="R400" s="1" t="s">
        <v>74</v>
      </c>
      <c r="S400" s="1" t="s">
        <v>74</v>
      </c>
      <c r="T400" s="1" t="s">
        <v>7048</v>
      </c>
      <c r="U400" s="1" t="s">
        <v>7049</v>
      </c>
      <c r="V400" s="1" t="s">
        <v>7050</v>
      </c>
      <c r="W400" s="1" t="s">
        <v>7051</v>
      </c>
      <c r="X400" s="1" t="s">
        <v>7052</v>
      </c>
      <c r="Y400" s="1" t="s">
        <v>7053</v>
      </c>
      <c r="Z400" s="1" t="s">
        <v>7054</v>
      </c>
      <c r="AA400" s="1" t="s">
        <v>7055</v>
      </c>
      <c r="AB400" s="1" t="s">
        <v>7056</v>
      </c>
      <c r="AC400" s="1" t="s">
        <v>7057</v>
      </c>
      <c r="AD400" s="1" t="s">
        <v>7058</v>
      </c>
      <c r="AE400" s="1" t="s">
        <v>7059</v>
      </c>
      <c r="AF400" s="1" t="s">
        <v>74</v>
      </c>
      <c r="AG400" s="1">
        <v>37</v>
      </c>
      <c r="AH400" s="1">
        <v>66</v>
      </c>
      <c r="AI400" s="1">
        <v>71</v>
      </c>
      <c r="AJ400" s="1">
        <v>1</v>
      </c>
      <c r="AK400" s="1">
        <v>25</v>
      </c>
      <c r="AL400" s="1" t="s">
        <v>112</v>
      </c>
      <c r="AM400" s="1" t="s">
        <v>191</v>
      </c>
      <c r="AN400" s="1" t="s">
        <v>192</v>
      </c>
      <c r="AO400" s="1" t="s">
        <v>193</v>
      </c>
      <c r="AP400" s="1" t="s">
        <v>74</v>
      </c>
      <c r="AQ400" s="1" t="s">
        <v>74</v>
      </c>
      <c r="AR400" s="1" t="s">
        <v>195</v>
      </c>
      <c r="AS400" s="1" t="s">
        <v>196</v>
      </c>
      <c r="AT400" s="1" t="s">
        <v>305</v>
      </c>
      <c r="AU400" s="1">
        <v>2008</v>
      </c>
      <c r="AV400" s="1">
        <v>144</v>
      </c>
      <c r="AW400" s="1" t="s">
        <v>2847</v>
      </c>
      <c r="AX400" s="1" t="s">
        <v>74</v>
      </c>
      <c r="AY400" s="1" t="s">
        <v>74</v>
      </c>
      <c r="AZ400" s="1" t="s">
        <v>74</v>
      </c>
      <c r="BA400" s="1" t="s">
        <v>74</v>
      </c>
      <c r="BB400" s="1">
        <v>169</v>
      </c>
      <c r="BC400" s="1">
        <v>178</v>
      </c>
      <c r="BD400" s="1" t="s">
        <v>74</v>
      </c>
      <c r="BE400" s="1" t="s">
        <v>7060</v>
      </c>
      <c r="BF400" s="1" t="str">
        <f>HYPERLINK("http://dx.doi.org/10.1007/s10661-007-9986-6","http://dx.doi.org/10.1007/s10661-007-9986-6")</f>
        <v>http://dx.doi.org/10.1007/s10661-007-9986-6</v>
      </c>
      <c r="BG400" s="1" t="s">
        <v>74</v>
      </c>
      <c r="BH400" s="1" t="s">
        <v>74</v>
      </c>
      <c r="BI400" s="1">
        <v>10</v>
      </c>
      <c r="BJ400" s="1" t="s">
        <v>144</v>
      </c>
      <c r="BK400" s="1" t="s">
        <v>96</v>
      </c>
      <c r="BL400" s="1" t="s">
        <v>145</v>
      </c>
      <c r="BM400" s="1" t="s">
        <v>7061</v>
      </c>
      <c r="BN400" s="1">
        <v>17899411</v>
      </c>
      <c r="BO400" s="1" t="s">
        <v>74</v>
      </c>
      <c r="BP400" s="1" t="s">
        <v>74</v>
      </c>
      <c r="BQ400" s="1" t="s">
        <v>74</v>
      </c>
      <c r="BR400" s="1" t="s">
        <v>98</v>
      </c>
      <c r="BS400" s="1" t="s">
        <v>7062</v>
      </c>
      <c r="BT400" s="1" t="str">
        <f>HYPERLINK("https%3A%2F%2Fwww.webofscience.com%2Fwos%2Fwoscc%2Ffull-record%2FWOS:000258781700016","View Full Record in Web of Science")</f>
        <v>View Full Record in Web of Science</v>
      </c>
    </row>
    <row r="401" spans="1:72">
      <c r="A401" s="1" t="s">
        <v>72</v>
      </c>
      <c r="B401" s="1" t="s">
        <v>7063</v>
      </c>
      <c r="C401" s="1" t="s">
        <v>74</v>
      </c>
      <c r="D401" s="1" t="s">
        <v>74</v>
      </c>
      <c r="E401" s="1" t="s">
        <v>74</v>
      </c>
      <c r="F401" s="1" t="s">
        <v>7063</v>
      </c>
      <c r="G401" s="1" t="s">
        <v>74</v>
      </c>
      <c r="H401" s="1" t="s">
        <v>74</v>
      </c>
      <c r="I401" s="1" t="s">
        <v>7064</v>
      </c>
      <c r="J401" s="1" t="s">
        <v>998</v>
      </c>
      <c r="K401" s="1" t="s">
        <v>74</v>
      </c>
      <c r="L401" s="1" t="s">
        <v>74</v>
      </c>
      <c r="M401" s="1" t="s">
        <v>78</v>
      </c>
      <c r="N401" s="1" t="s">
        <v>79</v>
      </c>
      <c r="O401" s="1" t="s">
        <v>74</v>
      </c>
      <c r="P401" s="1" t="s">
        <v>74</v>
      </c>
      <c r="Q401" s="1" t="s">
        <v>74</v>
      </c>
      <c r="R401" s="1" t="s">
        <v>74</v>
      </c>
      <c r="S401" s="1" t="s">
        <v>74</v>
      </c>
      <c r="T401" s="1" t="s">
        <v>74</v>
      </c>
      <c r="U401" s="1" t="s">
        <v>7065</v>
      </c>
      <c r="V401" s="1" t="s">
        <v>7066</v>
      </c>
      <c r="W401" s="1" t="s">
        <v>74</v>
      </c>
      <c r="X401" s="1" t="s">
        <v>74</v>
      </c>
      <c r="Y401" s="1" t="s">
        <v>7067</v>
      </c>
      <c r="Z401" s="1" t="s">
        <v>74</v>
      </c>
      <c r="AA401" s="1" t="s">
        <v>74</v>
      </c>
      <c r="AB401" s="1" t="s">
        <v>74</v>
      </c>
      <c r="AC401" s="1" t="s">
        <v>74</v>
      </c>
      <c r="AD401" s="1" t="s">
        <v>74</v>
      </c>
      <c r="AE401" s="1" t="s">
        <v>74</v>
      </c>
      <c r="AF401" s="1" t="s">
        <v>74</v>
      </c>
      <c r="AG401" s="1">
        <v>22</v>
      </c>
      <c r="AH401" s="1">
        <v>21</v>
      </c>
      <c r="AI401" s="1">
        <v>21</v>
      </c>
      <c r="AJ401" s="1">
        <v>1</v>
      </c>
      <c r="AK401" s="1">
        <v>8</v>
      </c>
      <c r="AL401" s="1" t="s">
        <v>6584</v>
      </c>
      <c r="AM401" s="1" t="s">
        <v>113</v>
      </c>
      <c r="AN401" s="1" t="s">
        <v>6585</v>
      </c>
      <c r="AO401" s="1" t="s">
        <v>1009</v>
      </c>
      <c r="AP401" s="1" t="s">
        <v>74</v>
      </c>
      <c r="AQ401" s="1" t="s">
        <v>74</v>
      </c>
      <c r="AR401" s="1" t="s">
        <v>1010</v>
      </c>
      <c r="AS401" s="1" t="s">
        <v>1011</v>
      </c>
      <c r="AT401" s="1" t="s">
        <v>1470</v>
      </c>
      <c r="AU401" s="1">
        <v>1993</v>
      </c>
      <c r="AV401" s="1">
        <v>24</v>
      </c>
      <c r="AW401" s="1">
        <v>1</v>
      </c>
      <c r="AX401" s="1" t="s">
        <v>74</v>
      </c>
      <c r="AY401" s="1" t="s">
        <v>74</v>
      </c>
      <c r="AZ401" s="1" t="s">
        <v>74</v>
      </c>
      <c r="BA401" s="1" t="s">
        <v>74</v>
      </c>
      <c r="BB401" s="1">
        <v>28</v>
      </c>
      <c r="BC401" s="1">
        <v>34</v>
      </c>
      <c r="BD401" s="1" t="s">
        <v>74</v>
      </c>
      <c r="BE401" s="1" t="s">
        <v>7068</v>
      </c>
      <c r="BF401" s="1" t="str">
        <f>HYPERLINK("http://dx.doi.org/10.1007/BF01061086","http://dx.doi.org/10.1007/BF01061086")</f>
        <v>http://dx.doi.org/10.1007/BF01061086</v>
      </c>
      <c r="BG401" s="1" t="s">
        <v>74</v>
      </c>
      <c r="BH401" s="1" t="s">
        <v>74</v>
      </c>
      <c r="BI401" s="1">
        <v>7</v>
      </c>
      <c r="BJ401" s="1" t="s">
        <v>121</v>
      </c>
      <c r="BK401" s="1" t="s">
        <v>96</v>
      </c>
      <c r="BL401" s="1" t="s">
        <v>122</v>
      </c>
      <c r="BM401" s="1" t="s">
        <v>7069</v>
      </c>
      <c r="BN401" s="1" t="s">
        <v>74</v>
      </c>
      <c r="BO401" s="1" t="s">
        <v>74</v>
      </c>
      <c r="BP401" s="1" t="s">
        <v>74</v>
      </c>
      <c r="BQ401" s="1" t="s">
        <v>74</v>
      </c>
      <c r="BR401" s="1" t="s">
        <v>98</v>
      </c>
      <c r="BS401" s="1" t="s">
        <v>7070</v>
      </c>
      <c r="BT401" s="1" t="str">
        <f>HYPERLINK("https%3A%2F%2Fwww.webofscience.com%2Fwos%2Fwoscc%2Ffull-record%2FWOS:A1993KF37100005","View Full Record in Web of Science")</f>
        <v>View Full Record in Web of Science</v>
      </c>
    </row>
    <row r="402" spans="1:72">
      <c r="A402" s="1" t="s">
        <v>72</v>
      </c>
      <c r="B402" s="1" t="s">
        <v>7071</v>
      </c>
      <c r="C402" s="1" t="s">
        <v>74</v>
      </c>
      <c r="D402" s="1" t="s">
        <v>74</v>
      </c>
      <c r="E402" s="1" t="s">
        <v>74</v>
      </c>
      <c r="F402" s="1" t="s">
        <v>7071</v>
      </c>
      <c r="G402" s="1" t="s">
        <v>74</v>
      </c>
      <c r="H402" s="1" t="s">
        <v>74</v>
      </c>
      <c r="I402" s="1" t="s">
        <v>7072</v>
      </c>
      <c r="J402" s="1" t="s">
        <v>7073</v>
      </c>
      <c r="K402" s="1" t="s">
        <v>74</v>
      </c>
      <c r="L402" s="1" t="s">
        <v>74</v>
      </c>
      <c r="M402" s="1" t="s">
        <v>78</v>
      </c>
      <c r="N402" s="1" t="s">
        <v>151</v>
      </c>
      <c r="O402" s="1" t="s">
        <v>7074</v>
      </c>
      <c r="P402" s="1" t="s">
        <v>7075</v>
      </c>
      <c r="Q402" s="1" t="s">
        <v>7076</v>
      </c>
      <c r="R402" s="1" t="s">
        <v>74</v>
      </c>
      <c r="S402" s="1" t="s">
        <v>74</v>
      </c>
      <c r="T402" s="1" t="s">
        <v>74</v>
      </c>
      <c r="U402" s="1" t="s">
        <v>7077</v>
      </c>
      <c r="V402" s="1" t="s">
        <v>7078</v>
      </c>
      <c r="W402" s="1" t="s">
        <v>7079</v>
      </c>
      <c r="X402" s="1" t="s">
        <v>7080</v>
      </c>
      <c r="Y402" s="1" t="s">
        <v>7081</v>
      </c>
      <c r="Z402" s="1" t="s">
        <v>74</v>
      </c>
      <c r="AA402" s="1" t="s">
        <v>1689</v>
      </c>
      <c r="AB402" s="1" t="s">
        <v>7082</v>
      </c>
      <c r="AC402" s="1" t="s">
        <v>74</v>
      </c>
      <c r="AD402" s="1" t="s">
        <v>74</v>
      </c>
      <c r="AE402" s="1" t="s">
        <v>74</v>
      </c>
      <c r="AF402" s="1" t="s">
        <v>74</v>
      </c>
      <c r="AG402" s="1">
        <v>3</v>
      </c>
      <c r="AH402" s="1">
        <v>1</v>
      </c>
      <c r="AI402" s="1">
        <v>1</v>
      </c>
      <c r="AJ402" s="1">
        <v>0</v>
      </c>
      <c r="AK402" s="1">
        <v>9</v>
      </c>
      <c r="AL402" s="1" t="s">
        <v>7083</v>
      </c>
      <c r="AM402" s="1" t="s">
        <v>7084</v>
      </c>
      <c r="AN402" s="1" t="s">
        <v>7085</v>
      </c>
      <c r="AO402" s="1" t="s">
        <v>7086</v>
      </c>
      <c r="AP402" s="1" t="s">
        <v>74</v>
      </c>
      <c r="AQ402" s="1" t="s">
        <v>74</v>
      </c>
      <c r="AR402" s="1" t="s">
        <v>7087</v>
      </c>
      <c r="AS402" s="1" t="s">
        <v>7088</v>
      </c>
      <c r="AT402" s="1" t="s">
        <v>170</v>
      </c>
      <c r="AU402" s="1">
        <v>2003</v>
      </c>
      <c r="AV402" s="1">
        <v>107</v>
      </c>
      <c r="AW402" s="1" t="s">
        <v>74</v>
      </c>
      <c r="AX402" s="1">
        <v>1</v>
      </c>
      <c r="AY402" s="1" t="s">
        <v>74</v>
      </c>
      <c r="AZ402" s="1" t="s">
        <v>74</v>
      </c>
      <c r="BA402" s="1" t="s">
        <v>74</v>
      </c>
      <c r="BB402" s="1">
        <v>135</v>
      </c>
      <c r="BC402" s="1">
        <v>138</v>
      </c>
      <c r="BD402" s="1" t="s">
        <v>74</v>
      </c>
      <c r="BE402" s="1" t="s">
        <v>7089</v>
      </c>
      <c r="BF402" s="1" t="str">
        <f>HYPERLINK("http://dx.doi.org/10.1051/jp4:20030261","http://dx.doi.org/10.1051/jp4:20030261")</f>
        <v>http://dx.doi.org/10.1051/jp4:20030261</v>
      </c>
      <c r="BG402" s="1" t="s">
        <v>74</v>
      </c>
      <c r="BH402" s="1" t="s">
        <v>74</v>
      </c>
      <c r="BI402" s="1">
        <v>4</v>
      </c>
      <c r="BJ402" s="1" t="s">
        <v>7090</v>
      </c>
      <c r="BK402" s="1" t="s">
        <v>588</v>
      </c>
      <c r="BL402" s="1" t="s">
        <v>7091</v>
      </c>
      <c r="BM402" s="1" t="s">
        <v>7092</v>
      </c>
      <c r="BN402" s="1" t="s">
        <v>74</v>
      </c>
      <c r="BO402" s="1" t="s">
        <v>74</v>
      </c>
      <c r="BP402" s="1" t="s">
        <v>74</v>
      </c>
      <c r="BQ402" s="1" t="s">
        <v>74</v>
      </c>
      <c r="BR402" s="1" t="s">
        <v>98</v>
      </c>
      <c r="BS402" s="1" t="s">
        <v>7093</v>
      </c>
      <c r="BT402" s="1" t="str">
        <f>HYPERLINK("https%3A%2F%2Fwww.webofscience.com%2Fwos%2Fwoscc%2Ffull-record%2FWOS:000183782300034","View Full Record in Web of Science")</f>
        <v>View Full Record in Web of Science</v>
      </c>
    </row>
    <row r="403" spans="1:72">
      <c r="A403" s="1" t="s">
        <v>72</v>
      </c>
      <c r="B403" s="1" t="s">
        <v>7094</v>
      </c>
      <c r="C403" s="1" t="s">
        <v>74</v>
      </c>
      <c r="D403" s="1" t="s">
        <v>74</v>
      </c>
      <c r="E403" s="1" t="s">
        <v>74</v>
      </c>
      <c r="F403" s="1" t="s">
        <v>7095</v>
      </c>
      <c r="G403" s="1" t="s">
        <v>74</v>
      </c>
      <c r="H403" s="1" t="s">
        <v>74</v>
      </c>
      <c r="I403" s="1" t="s">
        <v>7096</v>
      </c>
      <c r="J403" s="1" t="s">
        <v>7097</v>
      </c>
      <c r="K403" s="1" t="s">
        <v>74</v>
      </c>
      <c r="L403" s="1" t="s">
        <v>74</v>
      </c>
      <c r="M403" s="1" t="s">
        <v>78</v>
      </c>
      <c r="N403" s="1" t="s">
        <v>79</v>
      </c>
      <c r="O403" s="1" t="s">
        <v>74</v>
      </c>
      <c r="P403" s="1" t="s">
        <v>74</v>
      </c>
      <c r="Q403" s="1" t="s">
        <v>74</v>
      </c>
      <c r="R403" s="1" t="s">
        <v>74</v>
      </c>
      <c r="S403" s="1" t="s">
        <v>74</v>
      </c>
      <c r="T403" s="1" t="s">
        <v>7098</v>
      </c>
      <c r="U403" s="1" t="s">
        <v>7099</v>
      </c>
      <c r="V403" s="1" t="s">
        <v>7100</v>
      </c>
      <c r="W403" s="1" t="s">
        <v>7101</v>
      </c>
      <c r="X403" s="1" t="s">
        <v>7102</v>
      </c>
      <c r="Y403" s="1" t="s">
        <v>7103</v>
      </c>
      <c r="Z403" s="1" t="s">
        <v>7104</v>
      </c>
      <c r="AA403" s="1" t="s">
        <v>7105</v>
      </c>
      <c r="AB403" s="1" t="s">
        <v>7106</v>
      </c>
      <c r="AC403" s="1" t="s">
        <v>7107</v>
      </c>
      <c r="AD403" s="1" t="s">
        <v>7108</v>
      </c>
      <c r="AE403" s="1" t="s">
        <v>7109</v>
      </c>
      <c r="AF403" s="1" t="s">
        <v>74</v>
      </c>
      <c r="AG403" s="1">
        <v>39</v>
      </c>
      <c r="AH403" s="1">
        <v>25</v>
      </c>
      <c r="AI403" s="1">
        <v>33</v>
      </c>
      <c r="AJ403" s="1">
        <v>0</v>
      </c>
      <c r="AK403" s="1">
        <v>43</v>
      </c>
      <c r="AL403" s="1" t="s">
        <v>919</v>
      </c>
      <c r="AM403" s="1" t="s">
        <v>651</v>
      </c>
      <c r="AN403" s="1" t="s">
        <v>920</v>
      </c>
      <c r="AO403" s="1" t="s">
        <v>7110</v>
      </c>
      <c r="AP403" s="1" t="s">
        <v>7111</v>
      </c>
      <c r="AQ403" s="1" t="s">
        <v>74</v>
      </c>
      <c r="AR403" s="1" t="s">
        <v>7112</v>
      </c>
      <c r="AS403" s="1" t="s">
        <v>7113</v>
      </c>
      <c r="AT403" s="1" t="s">
        <v>951</v>
      </c>
      <c r="AU403" s="1">
        <v>2014</v>
      </c>
      <c r="AV403" s="1">
        <v>46</v>
      </c>
      <c r="AW403" s="1" t="s">
        <v>74</v>
      </c>
      <c r="AX403" s="1" t="s">
        <v>74</v>
      </c>
      <c r="AY403" s="1" t="s">
        <v>74</v>
      </c>
      <c r="AZ403" s="1" t="s">
        <v>74</v>
      </c>
      <c r="BA403" s="1" t="s">
        <v>74</v>
      </c>
      <c r="BB403" s="1">
        <v>447</v>
      </c>
      <c r="BC403" s="1">
        <v>453</v>
      </c>
      <c r="BD403" s="1" t="s">
        <v>74</v>
      </c>
      <c r="BE403" s="1" t="s">
        <v>7114</v>
      </c>
      <c r="BF403" s="1" t="str">
        <f>HYPERLINK("http://dx.doi.org/10.1016/j.ecolind.2014.07.015","http://dx.doi.org/10.1016/j.ecolind.2014.07.015")</f>
        <v>http://dx.doi.org/10.1016/j.ecolind.2014.07.015</v>
      </c>
      <c r="BG403" s="1" t="s">
        <v>74</v>
      </c>
      <c r="BH403" s="1" t="s">
        <v>74</v>
      </c>
      <c r="BI403" s="1">
        <v>7</v>
      </c>
      <c r="BJ403" s="1" t="s">
        <v>4923</v>
      </c>
      <c r="BK403" s="1" t="s">
        <v>96</v>
      </c>
      <c r="BL403" s="1" t="s">
        <v>4924</v>
      </c>
      <c r="BM403" s="1" t="s">
        <v>7115</v>
      </c>
      <c r="BN403" s="1" t="s">
        <v>74</v>
      </c>
      <c r="BO403" s="1" t="s">
        <v>74</v>
      </c>
      <c r="BP403" s="1" t="s">
        <v>74</v>
      </c>
      <c r="BQ403" s="1" t="s">
        <v>74</v>
      </c>
      <c r="BR403" s="1" t="s">
        <v>98</v>
      </c>
      <c r="BS403" s="1" t="s">
        <v>7116</v>
      </c>
      <c r="BT403" s="1" t="str">
        <f>HYPERLINK("https%3A%2F%2Fwww.webofscience.com%2Fwos%2Fwoscc%2Ffull-record%2FWOS:000342656100047","View Full Record in Web of Science")</f>
        <v>View Full Record in Web of Science</v>
      </c>
    </row>
    <row r="404" spans="1:72">
      <c r="A404" s="1" t="s">
        <v>72</v>
      </c>
      <c r="B404" s="1" t="s">
        <v>7117</v>
      </c>
      <c r="C404" s="1" t="s">
        <v>74</v>
      </c>
      <c r="D404" s="1" t="s">
        <v>74</v>
      </c>
      <c r="E404" s="1" t="s">
        <v>74</v>
      </c>
      <c r="F404" s="1" t="s">
        <v>7118</v>
      </c>
      <c r="G404" s="1" t="s">
        <v>74</v>
      </c>
      <c r="H404" s="1" t="s">
        <v>74</v>
      </c>
      <c r="I404" s="1" t="s">
        <v>7119</v>
      </c>
      <c r="J404" s="1" t="s">
        <v>232</v>
      </c>
      <c r="K404" s="1" t="s">
        <v>74</v>
      </c>
      <c r="L404" s="1" t="s">
        <v>74</v>
      </c>
      <c r="M404" s="1" t="s">
        <v>78</v>
      </c>
      <c r="N404" s="1" t="s">
        <v>79</v>
      </c>
      <c r="O404" s="1" t="s">
        <v>74</v>
      </c>
      <c r="P404" s="1" t="s">
        <v>74</v>
      </c>
      <c r="Q404" s="1" t="s">
        <v>74</v>
      </c>
      <c r="R404" s="1" t="s">
        <v>74</v>
      </c>
      <c r="S404" s="1" t="s">
        <v>74</v>
      </c>
      <c r="T404" s="1" t="s">
        <v>7120</v>
      </c>
      <c r="U404" s="1" t="s">
        <v>7121</v>
      </c>
      <c r="V404" s="1" t="s">
        <v>7122</v>
      </c>
      <c r="W404" s="1" t="s">
        <v>7123</v>
      </c>
      <c r="X404" s="1" t="s">
        <v>7124</v>
      </c>
      <c r="Y404" s="1" t="s">
        <v>7125</v>
      </c>
      <c r="Z404" s="1" t="s">
        <v>7126</v>
      </c>
      <c r="AA404" s="1" t="s">
        <v>7127</v>
      </c>
      <c r="AB404" s="1" t="s">
        <v>7128</v>
      </c>
      <c r="AC404" s="1" t="s">
        <v>7129</v>
      </c>
      <c r="AD404" s="1" t="s">
        <v>7130</v>
      </c>
      <c r="AE404" s="1" t="s">
        <v>7131</v>
      </c>
      <c r="AF404" s="1" t="s">
        <v>74</v>
      </c>
      <c r="AG404" s="1">
        <v>32</v>
      </c>
      <c r="AH404" s="1">
        <v>66</v>
      </c>
      <c r="AI404" s="1">
        <v>70</v>
      </c>
      <c r="AJ404" s="1">
        <v>1</v>
      </c>
      <c r="AK404" s="1">
        <v>87</v>
      </c>
      <c r="AL404" s="1" t="s">
        <v>136</v>
      </c>
      <c r="AM404" s="1" t="s">
        <v>137</v>
      </c>
      <c r="AN404" s="1" t="s">
        <v>138</v>
      </c>
      <c r="AO404" s="1" t="s">
        <v>240</v>
      </c>
      <c r="AP404" s="1" t="s">
        <v>241</v>
      </c>
      <c r="AQ404" s="1" t="s">
        <v>74</v>
      </c>
      <c r="AR404" s="1" t="s">
        <v>242</v>
      </c>
      <c r="AS404" s="1" t="s">
        <v>243</v>
      </c>
      <c r="AT404" s="1" t="s">
        <v>305</v>
      </c>
      <c r="AU404" s="1">
        <v>2012</v>
      </c>
      <c r="AV404" s="1">
        <v>64</v>
      </c>
      <c r="AW404" s="1">
        <v>9</v>
      </c>
      <c r="AX404" s="1" t="s">
        <v>74</v>
      </c>
      <c r="AY404" s="1" t="s">
        <v>74</v>
      </c>
      <c r="AZ404" s="1" t="s">
        <v>74</v>
      </c>
      <c r="BA404" s="1" t="s">
        <v>74</v>
      </c>
      <c r="BB404" s="1">
        <v>1874</v>
      </c>
      <c r="BC404" s="1">
        <v>1879</v>
      </c>
      <c r="BD404" s="1" t="s">
        <v>74</v>
      </c>
      <c r="BE404" s="1" t="s">
        <v>7132</v>
      </c>
      <c r="BF404" s="1" t="str">
        <f>HYPERLINK("http://dx.doi.org/10.1016/j.marpolbul.2012.06.012","http://dx.doi.org/10.1016/j.marpolbul.2012.06.012")</f>
        <v>http://dx.doi.org/10.1016/j.marpolbul.2012.06.012</v>
      </c>
      <c r="BG404" s="1" t="s">
        <v>74</v>
      </c>
      <c r="BH404" s="1" t="s">
        <v>74</v>
      </c>
      <c r="BI404" s="1">
        <v>6</v>
      </c>
      <c r="BJ404" s="1" t="s">
        <v>247</v>
      </c>
      <c r="BK404" s="1" t="s">
        <v>96</v>
      </c>
      <c r="BL404" s="1" t="s">
        <v>248</v>
      </c>
      <c r="BM404" s="1" t="s">
        <v>7133</v>
      </c>
      <c r="BN404" s="1">
        <v>22770532</v>
      </c>
      <c r="BO404" s="1" t="s">
        <v>74</v>
      </c>
      <c r="BP404" s="1" t="s">
        <v>74</v>
      </c>
      <c r="BQ404" s="1" t="s">
        <v>74</v>
      </c>
      <c r="BR404" s="1" t="s">
        <v>98</v>
      </c>
      <c r="BS404" s="1" t="s">
        <v>7134</v>
      </c>
      <c r="BT404" s="1" t="str">
        <f>HYPERLINK("https%3A%2F%2Fwww.webofscience.com%2Fwos%2Fwoscc%2Ffull-record%2FWOS:000308851400027","View Full Record in Web of Science")</f>
        <v>View Full Record in Web of Science</v>
      </c>
    </row>
    <row r="405" spans="1:72">
      <c r="A405" s="1" t="s">
        <v>72</v>
      </c>
      <c r="B405" s="1" t="s">
        <v>7135</v>
      </c>
      <c r="C405" s="1" t="s">
        <v>74</v>
      </c>
      <c r="D405" s="1" t="s">
        <v>74</v>
      </c>
      <c r="E405" s="1" t="s">
        <v>74</v>
      </c>
      <c r="F405" s="1" t="s">
        <v>7136</v>
      </c>
      <c r="G405" s="1" t="s">
        <v>74</v>
      </c>
      <c r="H405" s="1" t="s">
        <v>74</v>
      </c>
      <c r="I405" s="1" t="s">
        <v>7137</v>
      </c>
      <c r="J405" s="1" t="s">
        <v>232</v>
      </c>
      <c r="K405" s="1" t="s">
        <v>74</v>
      </c>
      <c r="L405" s="1" t="s">
        <v>74</v>
      </c>
      <c r="M405" s="1" t="s">
        <v>78</v>
      </c>
      <c r="N405" s="1" t="s">
        <v>79</v>
      </c>
      <c r="O405" s="1" t="s">
        <v>74</v>
      </c>
      <c r="P405" s="1" t="s">
        <v>74</v>
      </c>
      <c r="Q405" s="1" t="s">
        <v>74</v>
      </c>
      <c r="R405" s="1" t="s">
        <v>74</v>
      </c>
      <c r="S405" s="1" t="s">
        <v>74</v>
      </c>
      <c r="T405" s="1" t="s">
        <v>7138</v>
      </c>
      <c r="U405" s="1" t="s">
        <v>7139</v>
      </c>
      <c r="V405" s="1" t="s">
        <v>7140</v>
      </c>
      <c r="W405" s="1" t="s">
        <v>7141</v>
      </c>
      <c r="X405" s="1" t="s">
        <v>7142</v>
      </c>
      <c r="Y405" s="1" t="s">
        <v>7143</v>
      </c>
      <c r="Z405" s="1" t="s">
        <v>7144</v>
      </c>
      <c r="AA405" s="1" t="s">
        <v>7145</v>
      </c>
      <c r="AB405" s="1" t="s">
        <v>74</v>
      </c>
      <c r="AC405" s="1" t="s">
        <v>7146</v>
      </c>
      <c r="AD405" s="1" t="s">
        <v>7147</v>
      </c>
      <c r="AE405" s="1" t="s">
        <v>7148</v>
      </c>
      <c r="AF405" s="1" t="s">
        <v>74</v>
      </c>
      <c r="AG405" s="1">
        <v>73</v>
      </c>
      <c r="AH405" s="1">
        <v>3</v>
      </c>
      <c r="AI405" s="1">
        <v>3</v>
      </c>
      <c r="AJ405" s="1">
        <v>2</v>
      </c>
      <c r="AK405" s="1">
        <v>16</v>
      </c>
      <c r="AL405" s="1" t="s">
        <v>136</v>
      </c>
      <c r="AM405" s="1" t="s">
        <v>137</v>
      </c>
      <c r="AN405" s="1" t="s">
        <v>138</v>
      </c>
      <c r="AO405" s="1" t="s">
        <v>240</v>
      </c>
      <c r="AP405" s="1" t="s">
        <v>241</v>
      </c>
      <c r="AQ405" s="1" t="s">
        <v>74</v>
      </c>
      <c r="AR405" s="1" t="s">
        <v>242</v>
      </c>
      <c r="AS405" s="1" t="s">
        <v>243</v>
      </c>
      <c r="AT405" s="1" t="s">
        <v>197</v>
      </c>
      <c r="AU405" s="1">
        <v>2022</v>
      </c>
      <c r="AV405" s="1">
        <v>185</v>
      </c>
      <c r="AW405" s="1" t="s">
        <v>74</v>
      </c>
      <c r="AX405" s="1" t="s">
        <v>489</v>
      </c>
      <c r="AY405" s="1" t="s">
        <v>74</v>
      </c>
      <c r="AZ405" s="1" t="s">
        <v>74</v>
      </c>
      <c r="BA405" s="1" t="s">
        <v>74</v>
      </c>
      <c r="BB405" s="1" t="s">
        <v>74</v>
      </c>
      <c r="BC405" s="1" t="s">
        <v>74</v>
      </c>
      <c r="BD405" s="1">
        <v>114323</v>
      </c>
      <c r="BE405" s="1" t="s">
        <v>7149</v>
      </c>
      <c r="BF405" s="1" t="str">
        <f>HYPERLINK("http://dx.doi.org/10.1016/j.marpolbul.2022.114323","http://dx.doi.org/10.1016/j.marpolbul.2022.114323")</f>
        <v>http://dx.doi.org/10.1016/j.marpolbul.2022.114323</v>
      </c>
      <c r="BG405" s="1" t="s">
        <v>74</v>
      </c>
      <c r="BH405" s="1" t="s">
        <v>699</v>
      </c>
      <c r="BI405" s="1">
        <v>7</v>
      </c>
      <c r="BJ405" s="1" t="s">
        <v>247</v>
      </c>
      <c r="BK405" s="1" t="s">
        <v>96</v>
      </c>
      <c r="BL405" s="1" t="s">
        <v>248</v>
      </c>
      <c r="BM405" s="1" t="s">
        <v>7150</v>
      </c>
      <c r="BN405" s="1">
        <v>36347192</v>
      </c>
      <c r="BO405" s="1" t="s">
        <v>74</v>
      </c>
      <c r="BP405" s="1" t="s">
        <v>74</v>
      </c>
      <c r="BQ405" s="1" t="s">
        <v>74</v>
      </c>
      <c r="BR405" s="1" t="s">
        <v>98</v>
      </c>
      <c r="BS405" s="1" t="s">
        <v>7151</v>
      </c>
      <c r="BT405" s="1" t="str">
        <f>HYPERLINK("https%3A%2F%2Fwww.webofscience.com%2Fwos%2Fwoscc%2Ffull-record%2FWOS:000891759700013","View Full Record in Web of Science")</f>
        <v>View Full Record in Web of Science</v>
      </c>
    </row>
    <row r="406" spans="1:72">
      <c r="A406" s="1" t="s">
        <v>72</v>
      </c>
      <c r="B406" s="1" t="s">
        <v>7152</v>
      </c>
      <c r="C406" s="1" t="s">
        <v>74</v>
      </c>
      <c r="D406" s="1" t="s">
        <v>74</v>
      </c>
      <c r="E406" s="1" t="s">
        <v>74</v>
      </c>
      <c r="F406" s="1" t="s">
        <v>7153</v>
      </c>
      <c r="G406" s="1" t="s">
        <v>74</v>
      </c>
      <c r="H406" s="1" t="s">
        <v>74</v>
      </c>
      <c r="I406" s="1" t="s">
        <v>7154</v>
      </c>
      <c r="J406" s="1" t="s">
        <v>7155</v>
      </c>
      <c r="K406" s="1" t="s">
        <v>74</v>
      </c>
      <c r="L406" s="1" t="s">
        <v>74</v>
      </c>
      <c r="M406" s="1" t="s">
        <v>78</v>
      </c>
      <c r="N406" s="1" t="s">
        <v>79</v>
      </c>
      <c r="O406" s="1" t="s">
        <v>74</v>
      </c>
      <c r="P406" s="1" t="s">
        <v>74</v>
      </c>
      <c r="Q406" s="1" t="s">
        <v>74</v>
      </c>
      <c r="R406" s="1" t="s">
        <v>74</v>
      </c>
      <c r="S406" s="1" t="s">
        <v>74</v>
      </c>
      <c r="T406" s="1" t="s">
        <v>7156</v>
      </c>
      <c r="U406" s="1" t="s">
        <v>7157</v>
      </c>
      <c r="V406" s="1" t="s">
        <v>7158</v>
      </c>
      <c r="W406" s="1" t="s">
        <v>7159</v>
      </c>
      <c r="X406" s="1" t="s">
        <v>7160</v>
      </c>
      <c r="Y406" s="1" t="s">
        <v>7161</v>
      </c>
      <c r="Z406" s="1" t="s">
        <v>7162</v>
      </c>
      <c r="AA406" s="1" t="s">
        <v>74</v>
      </c>
      <c r="AB406" s="1" t="s">
        <v>74</v>
      </c>
      <c r="AC406" s="1" t="s">
        <v>7163</v>
      </c>
      <c r="AD406" s="1" t="s">
        <v>7164</v>
      </c>
      <c r="AE406" s="1" t="s">
        <v>7165</v>
      </c>
      <c r="AF406" s="1" t="s">
        <v>74</v>
      </c>
      <c r="AG406" s="1">
        <v>32</v>
      </c>
      <c r="AH406" s="1">
        <v>5</v>
      </c>
      <c r="AI406" s="1">
        <v>5</v>
      </c>
      <c r="AJ406" s="1">
        <v>1</v>
      </c>
      <c r="AK406" s="1">
        <v>18</v>
      </c>
      <c r="AL406" s="1" t="s">
        <v>7166</v>
      </c>
      <c r="AM406" s="1" t="s">
        <v>7167</v>
      </c>
      <c r="AN406" s="1" t="s">
        <v>7168</v>
      </c>
      <c r="AO406" s="1" t="s">
        <v>7169</v>
      </c>
      <c r="AP406" s="1" t="s">
        <v>7170</v>
      </c>
      <c r="AQ406" s="1" t="s">
        <v>74</v>
      </c>
      <c r="AR406" s="1" t="s">
        <v>7155</v>
      </c>
      <c r="AS406" s="1" t="s">
        <v>7171</v>
      </c>
      <c r="AT406" s="1" t="s">
        <v>93</v>
      </c>
      <c r="AU406" s="1">
        <v>2017</v>
      </c>
      <c r="AV406" s="1">
        <v>52</v>
      </c>
      <c r="AW406" s="1">
        <v>4</v>
      </c>
      <c r="AX406" s="1" t="s">
        <v>74</v>
      </c>
      <c r="AY406" s="1" t="s">
        <v>74</v>
      </c>
      <c r="AZ406" s="1" t="s">
        <v>74</v>
      </c>
      <c r="BA406" s="1" t="s">
        <v>74</v>
      </c>
      <c r="BB406" s="1">
        <v>667</v>
      </c>
      <c r="BC406" s="1">
        <v>671</v>
      </c>
      <c r="BD406" s="1" t="s">
        <v>74</v>
      </c>
      <c r="BE406" s="1" t="s">
        <v>7172</v>
      </c>
      <c r="BF406" s="1" t="str">
        <f>HYPERLINK("http://dx.doi.org/10.21273/HORTSCI10880-16","http://dx.doi.org/10.21273/HORTSCI10880-16")</f>
        <v>http://dx.doi.org/10.21273/HORTSCI10880-16</v>
      </c>
      <c r="BG406" s="1" t="s">
        <v>74</v>
      </c>
      <c r="BH406" s="1" t="s">
        <v>74</v>
      </c>
      <c r="BI406" s="1">
        <v>5</v>
      </c>
      <c r="BJ406" s="1" t="s">
        <v>7173</v>
      </c>
      <c r="BK406" s="1" t="s">
        <v>96</v>
      </c>
      <c r="BL406" s="1" t="s">
        <v>4121</v>
      </c>
      <c r="BM406" s="1" t="s">
        <v>7174</v>
      </c>
      <c r="BN406" s="1" t="s">
        <v>74</v>
      </c>
      <c r="BO406" s="1" t="s">
        <v>873</v>
      </c>
      <c r="BP406" s="1" t="s">
        <v>74</v>
      </c>
      <c r="BQ406" s="1" t="s">
        <v>74</v>
      </c>
      <c r="BR406" s="1" t="s">
        <v>98</v>
      </c>
      <c r="BS406" s="1" t="s">
        <v>7175</v>
      </c>
      <c r="BT406" s="1" t="str">
        <f>HYPERLINK("https%3A%2F%2Fwww.webofscience.com%2Fwos%2Fwoscc%2Ffull-record%2FWOS:000401247200028","View Full Record in Web of Science")</f>
        <v>View Full Record in Web of Science</v>
      </c>
    </row>
    <row r="407" spans="1:72">
      <c r="A407" s="1" t="s">
        <v>72</v>
      </c>
      <c r="B407" s="1" t="s">
        <v>7176</v>
      </c>
      <c r="C407" s="1" t="s">
        <v>74</v>
      </c>
      <c r="D407" s="1" t="s">
        <v>74</v>
      </c>
      <c r="E407" s="1" t="s">
        <v>74</v>
      </c>
      <c r="F407" s="1" t="s">
        <v>7176</v>
      </c>
      <c r="G407" s="1" t="s">
        <v>74</v>
      </c>
      <c r="H407" s="1" t="s">
        <v>74</v>
      </c>
      <c r="I407" s="1" t="s">
        <v>7177</v>
      </c>
      <c r="J407" s="1" t="s">
        <v>232</v>
      </c>
      <c r="K407" s="1" t="s">
        <v>74</v>
      </c>
      <c r="L407" s="1" t="s">
        <v>74</v>
      </c>
      <c r="M407" s="1" t="s">
        <v>78</v>
      </c>
      <c r="N407" s="1" t="s">
        <v>79</v>
      </c>
      <c r="O407" s="1" t="s">
        <v>74</v>
      </c>
      <c r="P407" s="1" t="s">
        <v>74</v>
      </c>
      <c r="Q407" s="1" t="s">
        <v>74</v>
      </c>
      <c r="R407" s="1" t="s">
        <v>74</v>
      </c>
      <c r="S407" s="1" t="s">
        <v>74</v>
      </c>
      <c r="T407" s="1" t="s">
        <v>7178</v>
      </c>
      <c r="U407" s="1" t="s">
        <v>7179</v>
      </c>
      <c r="V407" s="1" t="s">
        <v>7180</v>
      </c>
      <c r="W407" s="1" t="s">
        <v>7181</v>
      </c>
      <c r="X407" s="1" t="s">
        <v>74</v>
      </c>
      <c r="Y407" s="1" t="s">
        <v>7182</v>
      </c>
      <c r="Z407" s="1" t="s">
        <v>7183</v>
      </c>
      <c r="AA407" s="1" t="s">
        <v>7184</v>
      </c>
      <c r="AB407" s="1" t="s">
        <v>74</v>
      </c>
      <c r="AC407" s="1" t="s">
        <v>74</v>
      </c>
      <c r="AD407" s="1" t="s">
        <v>74</v>
      </c>
      <c r="AE407" s="1" t="s">
        <v>74</v>
      </c>
      <c r="AF407" s="1" t="s">
        <v>74</v>
      </c>
      <c r="AG407" s="1">
        <v>58</v>
      </c>
      <c r="AH407" s="1">
        <v>277</v>
      </c>
      <c r="AI407" s="1">
        <v>309</v>
      </c>
      <c r="AJ407" s="1">
        <v>3</v>
      </c>
      <c r="AK407" s="1">
        <v>80</v>
      </c>
      <c r="AL407" s="1" t="s">
        <v>136</v>
      </c>
      <c r="AM407" s="1" t="s">
        <v>137</v>
      </c>
      <c r="AN407" s="1" t="s">
        <v>138</v>
      </c>
      <c r="AO407" s="1" t="s">
        <v>240</v>
      </c>
      <c r="AP407" s="1" t="s">
        <v>241</v>
      </c>
      <c r="AQ407" s="1" t="s">
        <v>74</v>
      </c>
      <c r="AR407" s="1" t="s">
        <v>242</v>
      </c>
      <c r="AS407" s="1" t="s">
        <v>243</v>
      </c>
      <c r="AT407" s="1" t="s">
        <v>305</v>
      </c>
      <c r="AU407" s="1">
        <v>2004</v>
      </c>
      <c r="AV407" s="1">
        <v>49</v>
      </c>
      <c r="AW407" s="1" t="s">
        <v>2706</v>
      </c>
      <c r="AX407" s="1" t="s">
        <v>74</v>
      </c>
      <c r="AY407" s="1" t="s">
        <v>74</v>
      </c>
      <c r="AZ407" s="1" t="s">
        <v>74</v>
      </c>
      <c r="BA407" s="1" t="s">
        <v>74</v>
      </c>
      <c r="BB407" s="1">
        <v>410</v>
      </c>
      <c r="BC407" s="1">
        <v>424</v>
      </c>
      <c r="BD407" s="1" t="s">
        <v>74</v>
      </c>
      <c r="BE407" s="1" t="s">
        <v>7185</v>
      </c>
      <c r="BF407" s="1" t="str">
        <f>HYPERLINK("http://dx.doi.org/10.1016/j.marpolbul.2004.02.029","http://dx.doi.org/10.1016/j.marpolbul.2004.02.029")</f>
        <v>http://dx.doi.org/10.1016/j.marpolbul.2004.02.029</v>
      </c>
      <c r="BG407" s="1" t="s">
        <v>74</v>
      </c>
      <c r="BH407" s="1" t="s">
        <v>74</v>
      </c>
      <c r="BI407" s="1">
        <v>15</v>
      </c>
      <c r="BJ407" s="1" t="s">
        <v>247</v>
      </c>
      <c r="BK407" s="1" t="s">
        <v>96</v>
      </c>
      <c r="BL407" s="1" t="s">
        <v>248</v>
      </c>
      <c r="BM407" s="1" t="s">
        <v>7186</v>
      </c>
      <c r="BN407" s="1">
        <v>15325209</v>
      </c>
      <c r="BO407" s="1" t="s">
        <v>74</v>
      </c>
      <c r="BP407" s="1" t="s">
        <v>74</v>
      </c>
      <c r="BQ407" s="1" t="s">
        <v>74</v>
      </c>
      <c r="BR407" s="1" t="s">
        <v>98</v>
      </c>
      <c r="BS407" s="1" t="s">
        <v>7187</v>
      </c>
      <c r="BT407" s="1" t="str">
        <f>HYPERLINK("https%3A%2F%2Fwww.webofscience.com%2Fwos%2Fwoscc%2Ffull-record%2FWOS:000223817200019","View Full Record in Web of Science")</f>
        <v>View Full Record in Web of Science</v>
      </c>
    </row>
    <row r="408" spans="1:72">
      <c r="A408" s="1" t="s">
        <v>72</v>
      </c>
      <c r="B408" s="1" t="s">
        <v>7188</v>
      </c>
      <c r="C408" s="1" t="s">
        <v>74</v>
      </c>
      <c r="D408" s="1" t="s">
        <v>74</v>
      </c>
      <c r="E408" s="1" t="s">
        <v>74</v>
      </c>
      <c r="F408" s="1" t="s">
        <v>7188</v>
      </c>
      <c r="G408" s="1" t="s">
        <v>74</v>
      </c>
      <c r="H408" s="1" t="s">
        <v>74</v>
      </c>
      <c r="I408" s="1" t="s">
        <v>7189</v>
      </c>
      <c r="J408" s="1" t="s">
        <v>232</v>
      </c>
      <c r="K408" s="1" t="s">
        <v>74</v>
      </c>
      <c r="L408" s="1" t="s">
        <v>74</v>
      </c>
      <c r="M408" s="1" t="s">
        <v>78</v>
      </c>
      <c r="N408" s="1" t="s">
        <v>79</v>
      </c>
      <c r="O408" s="1" t="s">
        <v>74</v>
      </c>
      <c r="P408" s="1" t="s">
        <v>74</v>
      </c>
      <c r="Q408" s="1" t="s">
        <v>74</v>
      </c>
      <c r="R408" s="1" t="s">
        <v>74</v>
      </c>
      <c r="S408" s="1" t="s">
        <v>74</v>
      </c>
      <c r="T408" s="1" t="s">
        <v>74</v>
      </c>
      <c r="U408" s="1" t="s">
        <v>7190</v>
      </c>
      <c r="V408" s="1" t="s">
        <v>7191</v>
      </c>
      <c r="W408" s="1" t="s">
        <v>7192</v>
      </c>
      <c r="X408" s="1" t="s">
        <v>257</v>
      </c>
      <c r="Y408" s="1" t="s">
        <v>7193</v>
      </c>
      <c r="Z408" s="1" t="s">
        <v>74</v>
      </c>
      <c r="AA408" s="1" t="s">
        <v>74</v>
      </c>
      <c r="AB408" s="1" t="s">
        <v>74</v>
      </c>
      <c r="AC408" s="1" t="s">
        <v>74</v>
      </c>
      <c r="AD408" s="1" t="s">
        <v>74</v>
      </c>
      <c r="AE408" s="1" t="s">
        <v>74</v>
      </c>
      <c r="AF408" s="1" t="s">
        <v>74</v>
      </c>
      <c r="AG408" s="1">
        <v>21</v>
      </c>
      <c r="AH408" s="1">
        <v>36</v>
      </c>
      <c r="AI408" s="1">
        <v>38</v>
      </c>
      <c r="AJ408" s="1">
        <v>0</v>
      </c>
      <c r="AK408" s="1">
        <v>20</v>
      </c>
      <c r="AL408" s="1" t="s">
        <v>136</v>
      </c>
      <c r="AM408" s="1" t="s">
        <v>137</v>
      </c>
      <c r="AN408" s="1" t="s">
        <v>138</v>
      </c>
      <c r="AO408" s="1" t="s">
        <v>240</v>
      </c>
      <c r="AP408" s="1" t="s">
        <v>241</v>
      </c>
      <c r="AQ408" s="1" t="s">
        <v>74</v>
      </c>
      <c r="AR408" s="1" t="s">
        <v>242</v>
      </c>
      <c r="AS408" s="1" t="s">
        <v>243</v>
      </c>
      <c r="AT408" s="1" t="s">
        <v>765</v>
      </c>
      <c r="AU408" s="1">
        <v>1996</v>
      </c>
      <c r="AV408" s="1">
        <v>32</v>
      </c>
      <c r="AW408" s="1">
        <v>7</v>
      </c>
      <c r="AX408" s="1" t="s">
        <v>74</v>
      </c>
      <c r="AY408" s="1" t="s">
        <v>74</v>
      </c>
      <c r="AZ408" s="1" t="s">
        <v>74</v>
      </c>
      <c r="BA408" s="1" t="s">
        <v>74</v>
      </c>
      <c r="BB408" s="1">
        <v>564</v>
      </c>
      <c r="BC408" s="1">
        <v>571</v>
      </c>
      <c r="BD408" s="1" t="s">
        <v>74</v>
      </c>
      <c r="BE408" s="1" t="s">
        <v>7194</v>
      </c>
      <c r="BF408" s="1" t="str">
        <f>HYPERLINK("http://dx.doi.org/10.1016/0025-326X(96)84577-2","http://dx.doi.org/10.1016/0025-326X(96)84577-2")</f>
        <v>http://dx.doi.org/10.1016/0025-326X(96)84577-2</v>
      </c>
      <c r="BG408" s="1" t="s">
        <v>74</v>
      </c>
      <c r="BH408" s="1" t="s">
        <v>74</v>
      </c>
      <c r="BI408" s="1">
        <v>8</v>
      </c>
      <c r="BJ408" s="1" t="s">
        <v>247</v>
      </c>
      <c r="BK408" s="1" t="s">
        <v>96</v>
      </c>
      <c r="BL408" s="1" t="s">
        <v>248</v>
      </c>
      <c r="BM408" s="1" t="s">
        <v>7195</v>
      </c>
      <c r="BN408" s="1" t="s">
        <v>74</v>
      </c>
      <c r="BO408" s="1" t="s">
        <v>74</v>
      </c>
      <c r="BP408" s="1" t="s">
        <v>74</v>
      </c>
      <c r="BQ408" s="1" t="s">
        <v>74</v>
      </c>
      <c r="BR408" s="1" t="s">
        <v>98</v>
      </c>
      <c r="BS408" s="1" t="s">
        <v>7196</v>
      </c>
      <c r="BT408" s="1" t="str">
        <f>HYPERLINK("https%3A%2F%2Fwww.webofscience.com%2Fwos%2Fwoscc%2Ffull-record%2FWOS:A1996VK87200017","View Full Record in Web of Science")</f>
        <v>View Full Record in Web of Science</v>
      </c>
    </row>
    <row r="409" spans="1:72">
      <c r="A409" s="1" t="s">
        <v>72</v>
      </c>
      <c r="B409" s="1" t="s">
        <v>7197</v>
      </c>
      <c r="C409" s="1" t="s">
        <v>74</v>
      </c>
      <c r="D409" s="1" t="s">
        <v>74</v>
      </c>
      <c r="E409" s="1" t="s">
        <v>74</v>
      </c>
      <c r="F409" s="1" t="s">
        <v>7198</v>
      </c>
      <c r="G409" s="1" t="s">
        <v>74</v>
      </c>
      <c r="H409" s="1" t="s">
        <v>74</v>
      </c>
      <c r="I409" s="1" t="s">
        <v>7199</v>
      </c>
      <c r="J409" s="1" t="s">
        <v>894</v>
      </c>
      <c r="K409" s="1" t="s">
        <v>74</v>
      </c>
      <c r="L409" s="1" t="s">
        <v>74</v>
      </c>
      <c r="M409" s="1" t="s">
        <v>78</v>
      </c>
      <c r="N409" s="1" t="s">
        <v>79</v>
      </c>
      <c r="O409" s="1" t="s">
        <v>74</v>
      </c>
      <c r="P409" s="1" t="s">
        <v>74</v>
      </c>
      <c r="Q409" s="1" t="s">
        <v>74</v>
      </c>
      <c r="R409" s="1" t="s">
        <v>74</v>
      </c>
      <c r="S409" s="1" t="s">
        <v>74</v>
      </c>
      <c r="T409" s="1" t="s">
        <v>7200</v>
      </c>
      <c r="U409" s="1" t="s">
        <v>7201</v>
      </c>
      <c r="V409" s="1" t="s">
        <v>7202</v>
      </c>
      <c r="W409" s="1" t="s">
        <v>7203</v>
      </c>
      <c r="X409" s="1" t="s">
        <v>7204</v>
      </c>
      <c r="Y409" s="1" t="s">
        <v>7205</v>
      </c>
      <c r="Z409" s="1" t="s">
        <v>7206</v>
      </c>
      <c r="AA409" s="1" t="s">
        <v>74</v>
      </c>
      <c r="AB409" s="1" t="s">
        <v>7207</v>
      </c>
      <c r="AC409" s="1" t="s">
        <v>7208</v>
      </c>
      <c r="AD409" s="1" t="s">
        <v>7208</v>
      </c>
      <c r="AE409" s="1" t="s">
        <v>7209</v>
      </c>
      <c r="AF409" s="1" t="s">
        <v>74</v>
      </c>
      <c r="AG409" s="1">
        <v>36</v>
      </c>
      <c r="AH409" s="1">
        <v>8</v>
      </c>
      <c r="AI409" s="1">
        <v>8</v>
      </c>
      <c r="AJ409" s="1">
        <v>0</v>
      </c>
      <c r="AK409" s="1">
        <v>15</v>
      </c>
      <c r="AL409" s="1" t="s">
        <v>898</v>
      </c>
      <c r="AM409" s="1" t="s">
        <v>899</v>
      </c>
      <c r="AN409" s="1" t="s">
        <v>900</v>
      </c>
      <c r="AO409" s="1" t="s">
        <v>901</v>
      </c>
      <c r="AP409" s="1" t="s">
        <v>74</v>
      </c>
      <c r="AQ409" s="1" t="s">
        <v>74</v>
      </c>
      <c r="AR409" s="1" t="s">
        <v>902</v>
      </c>
      <c r="AS409" s="1" t="s">
        <v>903</v>
      </c>
      <c r="AT409" s="1" t="s">
        <v>1470</v>
      </c>
      <c r="AU409" s="1">
        <v>2014</v>
      </c>
      <c r="AV409" s="1">
        <v>35</v>
      </c>
      <c r="AW409" s="1">
        <v>1</v>
      </c>
      <c r="AX409" s="1" t="s">
        <v>74</v>
      </c>
      <c r="AY409" s="1" t="s">
        <v>74</v>
      </c>
      <c r="AZ409" s="1" t="s">
        <v>225</v>
      </c>
      <c r="BA409" s="1" t="s">
        <v>74</v>
      </c>
      <c r="BB409" s="1">
        <v>1</v>
      </c>
      <c r="BC409" s="1">
        <v>8</v>
      </c>
      <c r="BD409" s="1" t="s">
        <v>74</v>
      </c>
      <c r="BE409" s="1" t="s">
        <v>74</v>
      </c>
      <c r="BF409" s="1" t="s">
        <v>74</v>
      </c>
      <c r="BG409" s="1" t="s">
        <v>74</v>
      </c>
      <c r="BH409" s="1" t="s">
        <v>74</v>
      </c>
      <c r="BI409" s="1">
        <v>8</v>
      </c>
      <c r="BJ409" s="1" t="s">
        <v>144</v>
      </c>
      <c r="BK409" s="1" t="s">
        <v>96</v>
      </c>
      <c r="BL409" s="1" t="s">
        <v>145</v>
      </c>
      <c r="BM409" s="1" t="s">
        <v>7210</v>
      </c>
      <c r="BN409" s="1">
        <v>24579515</v>
      </c>
      <c r="BO409" s="1" t="s">
        <v>74</v>
      </c>
      <c r="BP409" s="1" t="s">
        <v>74</v>
      </c>
      <c r="BQ409" s="1" t="s">
        <v>74</v>
      </c>
      <c r="BR409" s="1" t="s">
        <v>98</v>
      </c>
      <c r="BS409" s="1" t="s">
        <v>7211</v>
      </c>
      <c r="BT409" s="1" t="str">
        <f>HYPERLINK("https%3A%2F%2Fwww.webofscience.com%2Fwos%2Fwoscc%2Ffull-record%2FWOS:000329258400002","View Full Record in Web of Science")</f>
        <v>View Full Record in Web of Science</v>
      </c>
    </row>
    <row r="410" spans="1:72">
      <c r="A410" s="1" t="s">
        <v>72</v>
      </c>
      <c r="B410" s="1" t="s">
        <v>7212</v>
      </c>
      <c r="C410" s="1" t="s">
        <v>74</v>
      </c>
      <c r="D410" s="1" t="s">
        <v>74</v>
      </c>
      <c r="E410" s="1" t="s">
        <v>74</v>
      </c>
      <c r="F410" s="1" t="s">
        <v>7213</v>
      </c>
      <c r="G410" s="1" t="s">
        <v>74</v>
      </c>
      <c r="H410" s="1" t="s">
        <v>74</v>
      </c>
      <c r="I410" s="1" t="s">
        <v>7214</v>
      </c>
      <c r="J410" s="1" t="s">
        <v>232</v>
      </c>
      <c r="K410" s="1" t="s">
        <v>74</v>
      </c>
      <c r="L410" s="1" t="s">
        <v>74</v>
      </c>
      <c r="M410" s="1" t="s">
        <v>78</v>
      </c>
      <c r="N410" s="1" t="s">
        <v>79</v>
      </c>
      <c r="O410" s="1" t="s">
        <v>74</v>
      </c>
      <c r="P410" s="1" t="s">
        <v>74</v>
      </c>
      <c r="Q410" s="1" t="s">
        <v>74</v>
      </c>
      <c r="R410" s="1" t="s">
        <v>74</v>
      </c>
      <c r="S410" s="1" t="s">
        <v>74</v>
      </c>
      <c r="T410" s="1" t="s">
        <v>7215</v>
      </c>
      <c r="U410" s="1" t="s">
        <v>7216</v>
      </c>
      <c r="V410" s="1" t="s">
        <v>7217</v>
      </c>
      <c r="W410" s="1" t="s">
        <v>7218</v>
      </c>
      <c r="X410" s="1" t="s">
        <v>7219</v>
      </c>
      <c r="Y410" s="1" t="s">
        <v>7220</v>
      </c>
      <c r="Z410" s="1" t="s">
        <v>7221</v>
      </c>
      <c r="AA410" s="1" t="s">
        <v>7222</v>
      </c>
      <c r="AB410" s="1" t="s">
        <v>74</v>
      </c>
      <c r="AC410" s="1" t="s">
        <v>7223</v>
      </c>
      <c r="AD410" s="1" t="s">
        <v>7224</v>
      </c>
      <c r="AE410" s="1" t="s">
        <v>7225</v>
      </c>
      <c r="AF410" s="1" t="s">
        <v>74</v>
      </c>
      <c r="AG410" s="1">
        <v>61</v>
      </c>
      <c r="AH410" s="1">
        <v>0</v>
      </c>
      <c r="AI410" s="1">
        <v>0</v>
      </c>
      <c r="AJ410" s="1">
        <v>5</v>
      </c>
      <c r="AK410" s="1">
        <v>5</v>
      </c>
      <c r="AL410" s="1" t="s">
        <v>136</v>
      </c>
      <c r="AM410" s="1" t="s">
        <v>137</v>
      </c>
      <c r="AN410" s="1" t="s">
        <v>138</v>
      </c>
      <c r="AO410" s="1" t="s">
        <v>240</v>
      </c>
      <c r="AP410" s="1" t="s">
        <v>241</v>
      </c>
      <c r="AQ410" s="1" t="s">
        <v>74</v>
      </c>
      <c r="AR410" s="1" t="s">
        <v>242</v>
      </c>
      <c r="AS410" s="1" t="s">
        <v>243</v>
      </c>
      <c r="AT410" s="1" t="s">
        <v>267</v>
      </c>
      <c r="AU410" s="1">
        <v>2023</v>
      </c>
      <c r="AV410" s="1">
        <v>195</v>
      </c>
      <c r="AW410" s="1" t="s">
        <v>74</v>
      </c>
      <c r="AX410" s="1" t="s">
        <v>74</v>
      </c>
      <c r="AY410" s="1" t="s">
        <v>74</v>
      </c>
      <c r="AZ410" s="1" t="s">
        <v>74</v>
      </c>
      <c r="BA410" s="1" t="s">
        <v>74</v>
      </c>
      <c r="BB410" s="1" t="s">
        <v>74</v>
      </c>
      <c r="BC410" s="1" t="s">
        <v>74</v>
      </c>
      <c r="BD410" s="1">
        <v>115544</v>
      </c>
      <c r="BE410" s="1" t="s">
        <v>7226</v>
      </c>
      <c r="BF410" s="1" t="str">
        <f>HYPERLINK("http://dx.doi.org/10.1016/j.marpolbul.2023.115544","http://dx.doi.org/10.1016/j.marpolbul.2023.115544")</f>
        <v>http://dx.doi.org/10.1016/j.marpolbul.2023.115544</v>
      </c>
      <c r="BG410" s="1" t="s">
        <v>74</v>
      </c>
      <c r="BH410" s="1" t="s">
        <v>2000</v>
      </c>
      <c r="BI410" s="1">
        <v>8</v>
      </c>
      <c r="BJ410" s="1" t="s">
        <v>247</v>
      </c>
      <c r="BK410" s="1" t="s">
        <v>96</v>
      </c>
      <c r="BL410" s="1" t="s">
        <v>248</v>
      </c>
      <c r="BM410" s="1" t="s">
        <v>7227</v>
      </c>
      <c r="BN410" s="1">
        <v>37717494</v>
      </c>
      <c r="BO410" s="1" t="s">
        <v>74</v>
      </c>
      <c r="BP410" s="1" t="s">
        <v>74</v>
      </c>
      <c r="BQ410" s="1" t="s">
        <v>74</v>
      </c>
      <c r="BR410" s="1" t="s">
        <v>98</v>
      </c>
      <c r="BS410" s="1" t="s">
        <v>7228</v>
      </c>
      <c r="BT410" s="1" t="str">
        <f>HYPERLINK("https%3A%2F%2Fwww.webofscience.com%2Fwos%2Fwoscc%2Ffull-record%2FWOS:001081523800001","View Full Record in Web of Science")</f>
        <v>View Full Record in Web of Science</v>
      </c>
    </row>
    <row r="411" spans="1:72">
      <c r="A411" s="1" t="s">
        <v>72</v>
      </c>
      <c r="B411" s="1" t="s">
        <v>7229</v>
      </c>
      <c r="C411" s="1" t="s">
        <v>74</v>
      </c>
      <c r="D411" s="1" t="s">
        <v>74</v>
      </c>
      <c r="E411" s="1" t="s">
        <v>74</v>
      </c>
      <c r="F411" s="1" t="s">
        <v>7230</v>
      </c>
      <c r="G411" s="1" t="s">
        <v>74</v>
      </c>
      <c r="H411" s="1" t="s">
        <v>74</v>
      </c>
      <c r="I411" s="1" t="s">
        <v>7231</v>
      </c>
      <c r="J411" s="1" t="s">
        <v>1275</v>
      </c>
      <c r="K411" s="1" t="s">
        <v>74</v>
      </c>
      <c r="L411" s="1" t="s">
        <v>74</v>
      </c>
      <c r="M411" s="1" t="s">
        <v>78</v>
      </c>
      <c r="N411" s="1" t="s">
        <v>79</v>
      </c>
      <c r="O411" s="1" t="s">
        <v>74</v>
      </c>
      <c r="P411" s="1" t="s">
        <v>74</v>
      </c>
      <c r="Q411" s="1" t="s">
        <v>74</v>
      </c>
      <c r="R411" s="1" t="s">
        <v>74</v>
      </c>
      <c r="S411" s="1" t="s">
        <v>74</v>
      </c>
      <c r="T411" s="1" t="s">
        <v>7232</v>
      </c>
      <c r="U411" s="1" t="s">
        <v>7233</v>
      </c>
      <c r="V411" s="1" t="s">
        <v>7234</v>
      </c>
      <c r="W411" s="1" t="s">
        <v>7235</v>
      </c>
      <c r="X411" s="1" t="s">
        <v>1880</v>
      </c>
      <c r="Y411" s="1" t="s">
        <v>7236</v>
      </c>
      <c r="Z411" s="1" t="s">
        <v>7237</v>
      </c>
      <c r="AA411" s="1" t="s">
        <v>7238</v>
      </c>
      <c r="AB411" s="1" t="s">
        <v>7239</v>
      </c>
      <c r="AC411" s="1" t="s">
        <v>74</v>
      </c>
      <c r="AD411" s="1" t="s">
        <v>74</v>
      </c>
      <c r="AE411" s="1" t="s">
        <v>74</v>
      </c>
      <c r="AF411" s="1" t="s">
        <v>74</v>
      </c>
      <c r="AG411" s="1">
        <v>63</v>
      </c>
      <c r="AH411" s="1">
        <v>18</v>
      </c>
      <c r="AI411" s="1">
        <v>18</v>
      </c>
      <c r="AJ411" s="1">
        <v>1</v>
      </c>
      <c r="AK411" s="1">
        <v>20</v>
      </c>
      <c r="AL411" s="1" t="s">
        <v>650</v>
      </c>
      <c r="AM411" s="1" t="s">
        <v>651</v>
      </c>
      <c r="AN411" s="1" t="s">
        <v>652</v>
      </c>
      <c r="AO411" s="1" t="s">
        <v>1287</v>
      </c>
      <c r="AP411" s="1" t="s">
        <v>74</v>
      </c>
      <c r="AQ411" s="1" t="s">
        <v>74</v>
      </c>
      <c r="AR411" s="1" t="s">
        <v>1288</v>
      </c>
      <c r="AS411" s="1" t="s">
        <v>1289</v>
      </c>
      <c r="AT411" s="1" t="s">
        <v>951</v>
      </c>
      <c r="AU411" s="1">
        <v>2020</v>
      </c>
      <c r="AV411" s="1">
        <v>40</v>
      </c>
      <c r="AW411" s="1" t="s">
        <v>74</v>
      </c>
      <c r="AX411" s="1" t="s">
        <v>74</v>
      </c>
      <c r="AY411" s="1" t="s">
        <v>74</v>
      </c>
      <c r="AZ411" s="1" t="s">
        <v>74</v>
      </c>
      <c r="BA411" s="1" t="s">
        <v>74</v>
      </c>
      <c r="BB411" s="1" t="s">
        <v>74</v>
      </c>
      <c r="BC411" s="1" t="s">
        <v>74</v>
      </c>
      <c r="BD411" s="1">
        <v>101497</v>
      </c>
      <c r="BE411" s="1" t="s">
        <v>7240</v>
      </c>
      <c r="BF411" s="1" t="str">
        <f>HYPERLINK("http://dx.doi.org/10.1016/j.rsma.2020.101497","http://dx.doi.org/10.1016/j.rsma.2020.101497")</f>
        <v>http://dx.doi.org/10.1016/j.rsma.2020.101497</v>
      </c>
      <c r="BG411" s="1" t="s">
        <v>74</v>
      </c>
      <c r="BH411" s="1" t="s">
        <v>74</v>
      </c>
      <c r="BI411" s="1">
        <v>8</v>
      </c>
      <c r="BJ411" s="1" t="s">
        <v>1292</v>
      </c>
      <c r="BK411" s="1" t="s">
        <v>96</v>
      </c>
      <c r="BL411" s="1" t="s">
        <v>248</v>
      </c>
      <c r="BM411" s="1" t="s">
        <v>7241</v>
      </c>
      <c r="BN411" s="1" t="s">
        <v>74</v>
      </c>
      <c r="BO411" s="1" t="s">
        <v>74</v>
      </c>
      <c r="BP411" s="1" t="s">
        <v>74</v>
      </c>
      <c r="BQ411" s="1" t="s">
        <v>74</v>
      </c>
      <c r="BR411" s="1" t="s">
        <v>98</v>
      </c>
      <c r="BS411" s="1" t="s">
        <v>7242</v>
      </c>
      <c r="BT411" s="1" t="str">
        <f>HYPERLINK("https%3A%2F%2Fwww.webofscience.com%2Fwos%2Fwoscc%2Ffull-record%2FWOS:000596638300013","View Full Record in Web of Science")</f>
        <v>View Full Record in Web of Science</v>
      </c>
    </row>
    <row r="412" spans="1:72">
      <c r="A412" s="1" t="s">
        <v>72</v>
      </c>
      <c r="B412" s="1" t="s">
        <v>7243</v>
      </c>
      <c r="C412" s="1" t="s">
        <v>74</v>
      </c>
      <c r="D412" s="1" t="s">
        <v>74</v>
      </c>
      <c r="E412" s="1" t="s">
        <v>74</v>
      </c>
      <c r="F412" s="1" t="s">
        <v>7244</v>
      </c>
      <c r="G412" s="1" t="s">
        <v>74</v>
      </c>
      <c r="H412" s="1" t="s">
        <v>74</v>
      </c>
      <c r="I412" s="1" t="s">
        <v>7245</v>
      </c>
      <c r="J412" s="1" t="s">
        <v>7246</v>
      </c>
      <c r="K412" s="1" t="s">
        <v>74</v>
      </c>
      <c r="L412" s="1" t="s">
        <v>74</v>
      </c>
      <c r="M412" s="1" t="s">
        <v>78</v>
      </c>
      <c r="N412" s="1" t="s">
        <v>79</v>
      </c>
      <c r="O412" s="1" t="s">
        <v>74</v>
      </c>
      <c r="P412" s="1" t="s">
        <v>74</v>
      </c>
      <c r="Q412" s="1" t="s">
        <v>74</v>
      </c>
      <c r="R412" s="1" t="s">
        <v>74</v>
      </c>
      <c r="S412" s="1" t="s">
        <v>74</v>
      </c>
      <c r="T412" s="1" t="s">
        <v>7247</v>
      </c>
      <c r="U412" s="1" t="s">
        <v>7248</v>
      </c>
      <c r="V412" s="1" t="s">
        <v>7249</v>
      </c>
      <c r="W412" s="1" t="s">
        <v>7250</v>
      </c>
      <c r="X412" s="1" t="s">
        <v>7251</v>
      </c>
      <c r="Y412" s="1" t="s">
        <v>7252</v>
      </c>
      <c r="Z412" s="1" t="s">
        <v>7253</v>
      </c>
      <c r="AA412" s="1" t="s">
        <v>7254</v>
      </c>
      <c r="AB412" s="1" t="s">
        <v>74</v>
      </c>
      <c r="AC412" s="1" t="s">
        <v>7255</v>
      </c>
      <c r="AD412" s="1" t="s">
        <v>7256</v>
      </c>
      <c r="AE412" s="1" t="s">
        <v>7257</v>
      </c>
      <c r="AF412" s="1" t="s">
        <v>74</v>
      </c>
      <c r="AG412" s="1">
        <v>50</v>
      </c>
      <c r="AH412" s="1">
        <v>1</v>
      </c>
      <c r="AI412" s="1">
        <v>1</v>
      </c>
      <c r="AJ412" s="1">
        <v>1</v>
      </c>
      <c r="AK412" s="1">
        <v>9</v>
      </c>
      <c r="AL412" s="1" t="s">
        <v>1566</v>
      </c>
      <c r="AM412" s="1" t="s">
        <v>1567</v>
      </c>
      <c r="AN412" s="1" t="s">
        <v>1568</v>
      </c>
      <c r="AO412" s="1" t="s">
        <v>74</v>
      </c>
      <c r="AP412" s="1" t="s">
        <v>7258</v>
      </c>
      <c r="AQ412" s="1" t="s">
        <v>74</v>
      </c>
      <c r="AR412" s="1" t="s">
        <v>7259</v>
      </c>
      <c r="AS412" s="1" t="s">
        <v>7260</v>
      </c>
      <c r="AT412" s="1" t="s">
        <v>951</v>
      </c>
      <c r="AU412" s="1">
        <v>2022</v>
      </c>
      <c r="AV412" s="1">
        <v>10</v>
      </c>
      <c r="AW412" s="1">
        <v>11</v>
      </c>
      <c r="AX412" s="1" t="s">
        <v>74</v>
      </c>
      <c r="AY412" s="1" t="s">
        <v>74</v>
      </c>
      <c r="AZ412" s="1" t="s">
        <v>74</v>
      </c>
      <c r="BA412" s="1" t="s">
        <v>74</v>
      </c>
      <c r="BB412" s="1" t="s">
        <v>74</v>
      </c>
      <c r="BC412" s="1" t="s">
        <v>74</v>
      </c>
      <c r="BD412" s="1">
        <v>1570</v>
      </c>
      <c r="BE412" s="1" t="s">
        <v>7261</v>
      </c>
      <c r="BF412" s="1" t="str">
        <f>HYPERLINK("http://dx.doi.org/10.3390/jmse10111570","http://dx.doi.org/10.3390/jmse10111570")</f>
        <v>http://dx.doi.org/10.3390/jmse10111570</v>
      </c>
      <c r="BG412" s="1" t="s">
        <v>74</v>
      </c>
      <c r="BH412" s="1" t="s">
        <v>74</v>
      </c>
      <c r="BI412" s="1">
        <v>11</v>
      </c>
      <c r="BJ412" s="1" t="s">
        <v>7262</v>
      </c>
      <c r="BK412" s="1" t="s">
        <v>96</v>
      </c>
      <c r="BL412" s="1" t="s">
        <v>7263</v>
      </c>
      <c r="BM412" s="1" t="s">
        <v>7264</v>
      </c>
      <c r="BN412" s="1" t="s">
        <v>74</v>
      </c>
      <c r="BO412" s="1" t="s">
        <v>873</v>
      </c>
      <c r="BP412" s="1" t="s">
        <v>74</v>
      </c>
      <c r="BQ412" s="1" t="s">
        <v>74</v>
      </c>
      <c r="BR412" s="1" t="s">
        <v>98</v>
      </c>
      <c r="BS412" s="1" t="s">
        <v>7265</v>
      </c>
      <c r="BT412" s="1" t="str">
        <f>HYPERLINK("https%3A%2F%2Fwww.webofscience.com%2Fwos%2Fwoscc%2Ffull-record%2FWOS:000881223400001","View Full Record in Web of Science")</f>
        <v>View Full Record in Web of Science</v>
      </c>
    </row>
    <row r="413" spans="1:72">
      <c r="A413" s="1" t="s">
        <v>72</v>
      </c>
      <c r="B413" s="1" t="s">
        <v>7266</v>
      </c>
      <c r="C413" s="1" t="s">
        <v>74</v>
      </c>
      <c r="D413" s="1" t="s">
        <v>74</v>
      </c>
      <c r="E413" s="1" t="s">
        <v>74</v>
      </c>
      <c r="F413" s="1" t="s">
        <v>7267</v>
      </c>
      <c r="G413" s="1" t="s">
        <v>74</v>
      </c>
      <c r="H413" s="1" t="s">
        <v>74</v>
      </c>
      <c r="I413" s="1" t="s">
        <v>7268</v>
      </c>
      <c r="J413" s="1" t="s">
        <v>7269</v>
      </c>
      <c r="K413" s="1" t="s">
        <v>74</v>
      </c>
      <c r="L413" s="1" t="s">
        <v>74</v>
      </c>
      <c r="M413" s="1" t="s">
        <v>78</v>
      </c>
      <c r="N413" s="1" t="s">
        <v>79</v>
      </c>
      <c r="O413" s="1" t="s">
        <v>74</v>
      </c>
      <c r="P413" s="1" t="s">
        <v>74</v>
      </c>
      <c r="Q413" s="1" t="s">
        <v>74</v>
      </c>
      <c r="R413" s="1" t="s">
        <v>74</v>
      </c>
      <c r="S413" s="1" t="s">
        <v>74</v>
      </c>
      <c r="T413" s="1" t="s">
        <v>7270</v>
      </c>
      <c r="U413" s="1" t="s">
        <v>7271</v>
      </c>
      <c r="V413" s="1" t="s">
        <v>7272</v>
      </c>
      <c r="W413" s="1" t="s">
        <v>7273</v>
      </c>
      <c r="X413" s="1" t="s">
        <v>7274</v>
      </c>
      <c r="Y413" s="1" t="s">
        <v>7275</v>
      </c>
      <c r="Z413" s="1" t="s">
        <v>7276</v>
      </c>
      <c r="AA413" s="1" t="s">
        <v>7277</v>
      </c>
      <c r="AB413" s="1" t="s">
        <v>7278</v>
      </c>
      <c r="AC413" s="1" t="s">
        <v>7279</v>
      </c>
      <c r="AD413" s="1" t="s">
        <v>7280</v>
      </c>
      <c r="AE413" s="1" t="s">
        <v>7281</v>
      </c>
      <c r="AF413" s="1" t="s">
        <v>74</v>
      </c>
      <c r="AG413" s="1">
        <v>34</v>
      </c>
      <c r="AH413" s="1">
        <v>48</v>
      </c>
      <c r="AI413" s="1">
        <v>51</v>
      </c>
      <c r="AJ413" s="1">
        <v>0</v>
      </c>
      <c r="AK413" s="1">
        <v>215</v>
      </c>
      <c r="AL413" s="1" t="s">
        <v>919</v>
      </c>
      <c r="AM413" s="1" t="s">
        <v>651</v>
      </c>
      <c r="AN413" s="1" t="s">
        <v>920</v>
      </c>
      <c r="AO413" s="1" t="s">
        <v>7282</v>
      </c>
      <c r="AP413" s="1" t="s">
        <v>7283</v>
      </c>
      <c r="AQ413" s="1" t="s">
        <v>74</v>
      </c>
      <c r="AR413" s="1" t="s">
        <v>7284</v>
      </c>
      <c r="AS413" s="1" t="s">
        <v>7285</v>
      </c>
      <c r="AT413" s="1" t="s">
        <v>4761</v>
      </c>
      <c r="AU413" s="1">
        <v>2018</v>
      </c>
      <c r="AV413" s="1">
        <v>434</v>
      </c>
      <c r="AW413" s="1" t="s">
        <v>74</v>
      </c>
      <c r="AX413" s="1" t="s">
        <v>74</v>
      </c>
      <c r="AY413" s="1" t="s">
        <v>74</v>
      </c>
      <c r="AZ413" s="1" t="s">
        <v>74</v>
      </c>
      <c r="BA413" s="1" t="s">
        <v>74</v>
      </c>
      <c r="BB413" s="1">
        <v>57</v>
      </c>
      <c r="BC413" s="1">
        <v>62</v>
      </c>
      <c r="BD413" s="1" t="s">
        <v>74</v>
      </c>
      <c r="BE413" s="1" t="s">
        <v>7286</v>
      </c>
      <c r="BF413" s="1" t="str">
        <f>HYPERLINK("http://dx.doi.org/10.1016/j.apsusc.2017.09.230","http://dx.doi.org/10.1016/j.apsusc.2017.09.230")</f>
        <v>http://dx.doi.org/10.1016/j.apsusc.2017.09.230</v>
      </c>
      <c r="BG413" s="1" t="s">
        <v>74</v>
      </c>
      <c r="BH413" s="1" t="s">
        <v>74</v>
      </c>
      <c r="BI413" s="1">
        <v>6</v>
      </c>
      <c r="BJ413" s="1" t="s">
        <v>7287</v>
      </c>
      <c r="BK413" s="1" t="s">
        <v>96</v>
      </c>
      <c r="BL413" s="1" t="s">
        <v>7288</v>
      </c>
      <c r="BM413" s="1" t="s">
        <v>7289</v>
      </c>
      <c r="BN413" s="1" t="s">
        <v>74</v>
      </c>
      <c r="BO413" s="1" t="s">
        <v>74</v>
      </c>
      <c r="BP413" s="1" t="s">
        <v>74</v>
      </c>
      <c r="BQ413" s="1" t="s">
        <v>74</v>
      </c>
      <c r="BR413" s="1" t="s">
        <v>98</v>
      </c>
      <c r="BS413" s="1" t="s">
        <v>7290</v>
      </c>
      <c r="BT413" s="1" t="str">
        <f>HYPERLINK("https%3A%2F%2Fwww.webofscience.com%2Fwos%2Fwoscc%2Ffull-record%2FWOS:000419116600008","View Full Record in Web of Science")</f>
        <v>View Full Record in Web of Science</v>
      </c>
    </row>
    <row r="414" spans="1:72">
      <c r="A414" s="1" t="s">
        <v>72</v>
      </c>
      <c r="B414" s="1" t="s">
        <v>7291</v>
      </c>
      <c r="C414" s="1" t="s">
        <v>74</v>
      </c>
      <c r="D414" s="1" t="s">
        <v>74</v>
      </c>
      <c r="E414" s="1" t="s">
        <v>74</v>
      </c>
      <c r="F414" s="1" t="s">
        <v>7292</v>
      </c>
      <c r="G414" s="1" t="s">
        <v>74</v>
      </c>
      <c r="H414" s="1" t="s">
        <v>74</v>
      </c>
      <c r="I414" s="1" t="s">
        <v>7293</v>
      </c>
      <c r="J414" s="1" t="s">
        <v>179</v>
      </c>
      <c r="K414" s="1" t="s">
        <v>74</v>
      </c>
      <c r="L414" s="1" t="s">
        <v>74</v>
      </c>
      <c r="M414" s="1" t="s">
        <v>78</v>
      </c>
      <c r="N414" s="1" t="s">
        <v>79</v>
      </c>
      <c r="O414" s="1" t="s">
        <v>74</v>
      </c>
      <c r="P414" s="1" t="s">
        <v>74</v>
      </c>
      <c r="Q414" s="1" t="s">
        <v>74</v>
      </c>
      <c r="R414" s="1" t="s">
        <v>74</v>
      </c>
      <c r="S414" s="1" t="s">
        <v>74</v>
      </c>
      <c r="T414" s="1" t="s">
        <v>7294</v>
      </c>
      <c r="U414" s="1" t="s">
        <v>7295</v>
      </c>
      <c r="V414" s="1" t="s">
        <v>7296</v>
      </c>
      <c r="W414" s="1" t="s">
        <v>7297</v>
      </c>
      <c r="X414" s="1" t="s">
        <v>7102</v>
      </c>
      <c r="Y414" s="1" t="s">
        <v>7298</v>
      </c>
      <c r="Z414" s="1" t="s">
        <v>7299</v>
      </c>
      <c r="AA414" s="1" t="s">
        <v>7300</v>
      </c>
      <c r="AB414" s="1" t="s">
        <v>7301</v>
      </c>
      <c r="AC414" s="1" t="s">
        <v>7302</v>
      </c>
      <c r="AD414" s="1" t="s">
        <v>7303</v>
      </c>
      <c r="AE414" s="1" t="s">
        <v>7304</v>
      </c>
      <c r="AF414" s="1" t="s">
        <v>74</v>
      </c>
      <c r="AG414" s="1">
        <v>32</v>
      </c>
      <c r="AH414" s="1">
        <v>119</v>
      </c>
      <c r="AI414" s="1">
        <v>150</v>
      </c>
      <c r="AJ414" s="1">
        <v>0</v>
      </c>
      <c r="AK414" s="1">
        <v>56</v>
      </c>
      <c r="AL414" s="1" t="s">
        <v>112</v>
      </c>
      <c r="AM414" s="1" t="s">
        <v>191</v>
      </c>
      <c r="AN414" s="1" t="s">
        <v>192</v>
      </c>
      <c r="AO414" s="1" t="s">
        <v>193</v>
      </c>
      <c r="AP414" s="1" t="s">
        <v>194</v>
      </c>
      <c r="AQ414" s="1" t="s">
        <v>74</v>
      </c>
      <c r="AR414" s="1" t="s">
        <v>195</v>
      </c>
      <c r="AS414" s="1" t="s">
        <v>196</v>
      </c>
      <c r="AT414" s="1" t="s">
        <v>119</v>
      </c>
      <c r="AU414" s="1">
        <v>2009</v>
      </c>
      <c r="AV414" s="1">
        <v>155</v>
      </c>
      <c r="AW414" s="1" t="s">
        <v>721</v>
      </c>
      <c r="AX414" s="1" t="s">
        <v>74</v>
      </c>
      <c r="AY414" s="1" t="s">
        <v>74</v>
      </c>
      <c r="AZ414" s="1" t="s">
        <v>74</v>
      </c>
      <c r="BA414" s="1" t="s">
        <v>74</v>
      </c>
      <c r="BB414" s="1">
        <v>39</v>
      </c>
      <c r="BC414" s="1">
        <v>49</v>
      </c>
      <c r="BD414" s="1" t="s">
        <v>74</v>
      </c>
      <c r="BE414" s="1" t="s">
        <v>7305</v>
      </c>
      <c r="BF414" s="1" t="str">
        <f>HYPERLINK("http://dx.doi.org/10.1007/s10661-008-0416-1","http://dx.doi.org/10.1007/s10661-008-0416-1")</f>
        <v>http://dx.doi.org/10.1007/s10661-008-0416-1</v>
      </c>
      <c r="BG414" s="1" t="s">
        <v>74</v>
      </c>
      <c r="BH414" s="1" t="s">
        <v>74</v>
      </c>
      <c r="BI414" s="1">
        <v>11</v>
      </c>
      <c r="BJ414" s="1" t="s">
        <v>144</v>
      </c>
      <c r="BK414" s="1" t="s">
        <v>96</v>
      </c>
      <c r="BL414" s="1" t="s">
        <v>145</v>
      </c>
      <c r="BM414" s="1" t="s">
        <v>7306</v>
      </c>
      <c r="BN414" s="1">
        <v>18592386</v>
      </c>
      <c r="BO414" s="1" t="s">
        <v>74</v>
      </c>
      <c r="BP414" s="1" t="s">
        <v>74</v>
      </c>
      <c r="BQ414" s="1" t="s">
        <v>74</v>
      </c>
      <c r="BR414" s="1" t="s">
        <v>98</v>
      </c>
      <c r="BS414" s="1" t="s">
        <v>7307</v>
      </c>
      <c r="BT414" s="1" t="str">
        <f>HYPERLINK("https%3A%2F%2Fwww.webofscience.com%2Fwos%2Fwoscc%2Ffull-record%2FWOS:000267887000004","View Full Record in Web of Science")</f>
        <v>View Full Record in Web of Science</v>
      </c>
    </row>
    <row r="415" spans="1:72">
      <c r="A415" s="1" t="s">
        <v>72</v>
      </c>
      <c r="B415" s="1" t="s">
        <v>7308</v>
      </c>
      <c r="C415" s="1" t="s">
        <v>74</v>
      </c>
      <c r="D415" s="1" t="s">
        <v>74</v>
      </c>
      <c r="E415" s="1" t="s">
        <v>74</v>
      </c>
      <c r="F415" s="1" t="s">
        <v>7309</v>
      </c>
      <c r="G415" s="1" t="s">
        <v>74</v>
      </c>
      <c r="H415" s="1" t="s">
        <v>74</v>
      </c>
      <c r="I415" s="1" t="s">
        <v>7310</v>
      </c>
      <c r="J415" s="1" t="s">
        <v>1756</v>
      </c>
      <c r="K415" s="1" t="s">
        <v>74</v>
      </c>
      <c r="L415" s="1" t="s">
        <v>74</v>
      </c>
      <c r="M415" s="1" t="s">
        <v>78</v>
      </c>
      <c r="N415" s="1" t="s">
        <v>79</v>
      </c>
      <c r="O415" s="1" t="s">
        <v>74</v>
      </c>
      <c r="P415" s="1" t="s">
        <v>74</v>
      </c>
      <c r="Q415" s="1" t="s">
        <v>74</v>
      </c>
      <c r="R415" s="1" t="s">
        <v>74</v>
      </c>
      <c r="S415" s="1" t="s">
        <v>74</v>
      </c>
      <c r="T415" s="1" t="s">
        <v>7311</v>
      </c>
      <c r="U415" s="1" t="s">
        <v>7312</v>
      </c>
      <c r="V415" s="1" t="s">
        <v>7313</v>
      </c>
      <c r="W415" s="1" t="s">
        <v>7314</v>
      </c>
      <c r="X415" s="1" t="s">
        <v>7315</v>
      </c>
      <c r="Y415" s="1" t="s">
        <v>7316</v>
      </c>
      <c r="Z415" s="1" t="s">
        <v>7317</v>
      </c>
      <c r="AA415" s="1" t="s">
        <v>7318</v>
      </c>
      <c r="AB415" s="1" t="s">
        <v>7319</v>
      </c>
      <c r="AC415" s="1" t="s">
        <v>7320</v>
      </c>
      <c r="AD415" s="1" t="s">
        <v>7321</v>
      </c>
      <c r="AE415" s="1" t="s">
        <v>7322</v>
      </c>
      <c r="AF415" s="1" t="s">
        <v>74</v>
      </c>
      <c r="AG415" s="1">
        <v>40</v>
      </c>
      <c r="AH415" s="1">
        <v>38</v>
      </c>
      <c r="AI415" s="1">
        <v>48</v>
      </c>
      <c r="AJ415" s="1">
        <v>0</v>
      </c>
      <c r="AK415" s="1">
        <v>102</v>
      </c>
      <c r="AL415" s="1" t="s">
        <v>86</v>
      </c>
      <c r="AM415" s="1" t="s">
        <v>87</v>
      </c>
      <c r="AN415" s="1" t="s">
        <v>88</v>
      </c>
      <c r="AO415" s="1" t="s">
        <v>1764</v>
      </c>
      <c r="AP415" s="1" t="s">
        <v>1765</v>
      </c>
      <c r="AQ415" s="1" t="s">
        <v>74</v>
      </c>
      <c r="AR415" s="1" t="s">
        <v>1766</v>
      </c>
      <c r="AS415" s="1" t="s">
        <v>1767</v>
      </c>
      <c r="AT415" s="1" t="s">
        <v>119</v>
      </c>
      <c r="AU415" s="1">
        <v>2012</v>
      </c>
      <c r="AV415" s="1">
        <v>31</v>
      </c>
      <c r="AW415" s="1">
        <v>8</v>
      </c>
      <c r="AX415" s="1" t="s">
        <v>74</v>
      </c>
      <c r="AY415" s="1" t="s">
        <v>74</v>
      </c>
      <c r="AZ415" s="1" t="s">
        <v>74</v>
      </c>
      <c r="BA415" s="1" t="s">
        <v>74</v>
      </c>
      <c r="BB415" s="1">
        <v>1754</v>
      </c>
      <c r="BC415" s="1">
        <v>1764</v>
      </c>
      <c r="BD415" s="1" t="s">
        <v>74</v>
      </c>
      <c r="BE415" s="1" t="s">
        <v>7323</v>
      </c>
      <c r="BF415" s="1" t="str">
        <f>HYPERLINK("http://dx.doi.org/10.1002/etc.1868","http://dx.doi.org/10.1002/etc.1868")</f>
        <v>http://dx.doi.org/10.1002/etc.1868</v>
      </c>
      <c r="BG415" s="1" t="s">
        <v>74</v>
      </c>
      <c r="BH415" s="1" t="s">
        <v>74</v>
      </c>
      <c r="BI415" s="1">
        <v>11</v>
      </c>
      <c r="BJ415" s="1" t="s">
        <v>121</v>
      </c>
      <c r="BK415" s="1" t="s">
        <v>96</v>
      </c>
      <c r="BL415" s="1" t="s">
        <v>122</v>
      </c>
      <c r="BM415" s="1" t="s">
        <v>7324</v>
      </c>
      <c r="BN415" s="1">
        <v>22553143</v>
      </c>
      <c r="BO415" s="1" t="s">
        <v>74</v>
      </c>
      <c r="BP415" s="1" t="s">
        <v>74</v>
      </c>
      <c r="BQ415" s="1" t="s">
        <v>74</v>
      </c>
      <c r="BR415" s="1" t="s">
        <v>98</v>
      </c>
      <c r="BS415" s="1" t="s">
        <v>7325</v>
      </c>
      <c r="BT415" s="1" t="str">
        <f>HYPERLINK("https%3A%2F%2Fwww.webofscience.com%2Fwos%2Fwoscc%2Ffull-record%2FWOS:000306476100010","View Full Record in Web of Science")</f>
        <v>View Full Record in Web of Science</v>
      </c>
    </row>
    <row r="416" spans="1:72">
      <c r="A416" s="1" t="s">
        <v>72</v>
      </c>
      <c r="B416" s="1" t="s">
        <v>7326</v>
      </c>
      <c r="C416" s="1" t="s">
        <v>74</v>
      </c>
      <c r="D416" s="1" t="s">
        <v>74</v>
      </c>
      <c r="E416" s="1" t="s">
        <v>74</v>
      </c>
      <c r="F416" s="1" t="s">
        <v>7327</v>
      </c>
      <c r="G416" s="1" t="s">
        <v>74</v>
      </c>
      <c r="H416" s="1" t="s">
        <v>74</v>
      </c>
      <c r="I416" s="1" t="s">
        <v>7328</v>
      </c>
      <c r="J416" s="1" t="s">
        <v>7329</v>
      </c>
      <c r="K416" s="1" t="s">
        <v>74</v>
      </c>
      <c r="L416" s="1" t="s">
        <v>74</v>
      </c>
      <c r="M416" s="1" t="s">
        <v>78</v>
      </c>
      <c r="N416" s="1" t="s">
        <v>79</v>
      </c>
      <c r="O416" s="1" t="s">
        <v>74</v>
      </c>
      <c r="P416" s="1" t="s">
        <v>74</v>
      </c>
      <c r="Q416" s="1" t="s">
        <v>74</v>
      </c>
      <c r="R416" s="1" t="s">
        <v>74</v>
      </c>
      <c r="S416" s="1" t="s">
        <v>74</v>
      </c>
      <c r="T416" s="1" t="s">
        <v>7330</v>
      </c>
      <c r="U416" s="1" t="s">
        <v>7331</v>
      </c>
      <c r="V416" s="1" t="s">
        <v>7332</v>
      </c>
      <c r="W416" s="1" t="s">
        <v>7333</v>
      </c>
      <c r="X416" s="1" t="s">
        <v>734</v>
      </c>
      <c r="Y416" s="1" t="s">
        <v>7334</v>
      </c>
      <c r="Z416" s="1" t="s">
        <v>7335</v>
      </c>
      <c r="AA416" s="1" t="s">
        <v>7336</v>
      </c>
      <c r="AB416" s="1" t="s">
        <v>7337</v>
      </c>
      <c r="AC416" s="1" t="s">
        <v>74</v>
      </c>
      <c r="AD416" s="1" t="s">
        <v>74</v>
      </c>
      <c r="AE416" s="1" t="s">
        <v>74</v>
      </c>
      <c r="AF416" s="1" t="s">
        <v>74</v>
      </c>
      <c r="AG416" s="1">
        <v>63</v>
      </c>
      <c r="AH416" s="1">
        <v>23</v>
      </c>
      <c r="AI416" s="1">
        <v>23</v>
      </c>
      <c r="AJ416" s="1">
        <v>1</v>
      </c>
      <c r="AK416" s="1">
        <v>4</v>
      </c>
      <c r="AL416" s="1" t="s">
        <v>86</v>
      </c>
      <c r="AM416" s="1" t="s">
        <v>87</v>
      </c>
      <c r="AN416" s="1" t="s">
        <v>88</v>
      </c>
      <c r="AO416" s="1" t="s">
        <v>7338</v>
      </c>
      <c r="AP416" s="1" t="s">
        <v>7339</v>
      </c>
      <c r="AQ416" s="1" t="s">
        <v>74</v>
      </c>
      <c r="AR416" s="1" t="s">
        <v>7340</v>
      </c>
      <c r="AS416" s="1" t="s">
        <v>7341</v>
      </c>
      <c r="AT416" s="1" t="s">
        <v>267</v>
      </c>
      <c r="AU416" s="1">
        <v>2019</v>
      </c>
      <c r="AV416" s="1">
        <v>86</v>
      </c>
      <c r="AW416" s="1">
        <v>10</v>
      </c>
      <c r="AX416" s="1" t="s">
        <v>74</v>
      </c>
      <c r="AY416" s="1" t="s">
        <v>74</v>
      </c>
      <c r="AZ416" s="1" t="s">
        <v>225</v>
      </c>
      <c r="BA416" s="1" t="s">
        <v>74</v>
      </c>
      <c r="BB416" s="1">
        <v>1418</v>
      </c>
      <c r="BC416" s="1">
        <v>1429</v>
      </c>
      <c r="BD416" s="1" t="s">
        <v>74</v>
      </c>
      <c r="BE416" s="1" t="s">
        <v>7342</v>
      </c>
      <c r="BF416" s="1" t="str">
        <f>HYPERLINK("http://dx.doi.org/10.1002/mrd.23240","http://dx.doi.org/10.1002/mrd.23240")</f>
        <v>http://dx.doi.org/10.1002/mrd.23240</v>
      </c>
      <c r="BG416" s="1" t="s">
        <v>74</v>
      </c>
      <c r="BH416" s="1" t="s">
        <v>7343</v>
      </c>
      <c r="BI416" s="1">
        <v>12</v>
      </c>
      <c r="BJ416" s="1" t="s">
        <v>7344</v>
      </c>
      <c r="BK416" s="1" t="s">
        <v>96</v>
      </c>
      <c r="BL416" s="1" t="s">
        <v>7344</v>
      </c>
      <c r="BM416" s="1" t="s">
        <v>7345</v>
      </c>
      <c r="BN416" s="1">
        <v>31317589</v>
      </c>
      <c r="BO416" s="1" t="s">
        <v>74</v>
      </c>
      <c r="BP416" s="1" t="s">
        <v>74</v>
      </c>
      <c r="BQ416" s="1" t="s">
        <v>74</v>
      </c>
      <c r="BR416" s="1" t="s">
        <v>98</v>
      </c>
      <c r="BS416" s="1" t="s">
        <v>7346</v>
      </c>
      <c r="BT416" s="1" t="str">
        <f>HYPERLINK("https%3A%2F%2Fwww.webofscience.com%2Fwos%2Fwoscc%2Ffull-record%2FWOS:000478218100001","View Full Record in Web of Science")</f>
        <v>View Full Record in Web of Science</v>
      </c>
    </row>
    <row r="417" spans="1:72">
      <c r="A417" s="1" t="s">
        <v>72</v>
      </c>
      <c r="B417" s="1" t="s">
        <v>7347</v>
      </c>
      <c r="C417" s="1" t="s">
        <v>74</v>
      </c>
      <c r="D417" s="1" t="s">
        <v>74</v>
      </c>
      <c r="E417" s="1" t="s">
        <v>74</v>
      </c>
      <c r="F417" s="1" t="s">
        <v>7348</v>
      </c>
      <c r="G417" s="1" t="s">
        <v>74</v>
      </c>
      <c r="H417" s="1" t="s">
        <v>74</v>
      </c>
      <c r="I417" s="1" t="s">
        <v>7349</v>
      </c>
      <c r="J417" s="1" t="s">
        <v>752</v>
      </c>
      <c r="K417" s="1" t="s">
        <v>74</v>
      </c>
      <c r="L417" s="1" t="s">
        <v>74</v>
      </c>
      <c r="M417" s="1" t="s">
        <v>78</v>
      </c>
      <c r="N417" s="1" t="s">
        <v>79</v>
      </c>
      <c r="O417" s="1" t="s">
        <v>74</v>
      </c>
      <c r="P417" s="1" t="s">
        <v>74</v>
      </c>
      <c r="Q417" s="1" t="s">
        <v>74</v>
      </c>
      <c r="R417" s="1" t="s">
        <v>74</v>
      </c>
      <c r="S417" s="1" t="s">
        <v>74</v>
      </c>
      <c r="T417" s="1" t="s">
        <v>7350</v>
      </c>
      <c r="U417" s="1" t="s">
        <v>7351</v>
      </c>
      <c r="V417" s="1" t="s">
        <v>7352</v>
      </c>
      <c r="W417" s="1" t="s">
        <v>7353</v>
      </c>
      <c r="X417" s="1" t="s">
        <v>7354</v>
      </c>
      <c r="Y417" s="1" t="s">
        <v>7355</v>
      </c>
      <c r="Z417" s="1" t="s">
        <v>7356</v>
      </c>
      <c r="AA417" s="1" t="s">
        <v>7357</v>
      </c>
      <c r="AB417" s="1" t="s">
        <v>74</v>
      </c>
      <c r="AC417" s="1" t="s">
        <v>7358</v>
      </c>
      <c r="AD417" s="1" t="s">
        <v>7359</v>
      </c>
      <c r="AE417" s="1" t="s">
        <v>7360</v>
      </c>
      <c r="AF417" s="1" t="s">
        <v>74</v>
      </c>
      <c r="AG417" s="1">
        <v>43</v>
      </c>
      <c r="AH417" s="1">
        <v>1</v>
      </c>
      <c r="AI417" s="1">
        <v>1</v>
      </c>
      <c r="AJ417" s="1">
        <v>15</v>
      </c>
      <c r="AK417" s="1">
        <v>17</v>
      </c>
      <c r="AL417" s="1" t="s">
        <v>430</v>
      </c>
      <c r="AM417" s="1" t="s">
        <v>7361</v>
      </c>
      <c r="AN417" s="1" t="s">
        <v>7362</v>
      </c>
      <c r="AO417" s="1" t="s">
        <v>761</v>
      </c>
      <c r="AP417" s="1" t="s">
        <v>762</v>
      </c>
      <c r="AQ417" s="1" t="s">
        <v>74</v>
      </c>
      <c r="AR417" s="1" t="s">
        <v>763</v>
      </c>
      <c r="AS417" s="1" t="s">
        <v>764</v>
      </c>
      <c r="AT417" s="1" t="s">
        <v>1223</v>
      </c>
      <c r="AU417" s="1">
        <v>2024</v>
      </c>
      <c r="AV417" s="1">
        <v>195</v>
      </c>
      <c r="AW417" s="1" t="s">
        <v>74</v>
      </c>
      <c r="AX417" s="1" t="s">
        <v>74</v>
      </c>
      <c r="AY417" s="1" t="s">
        <v>74</v>
      </c>
      <c r="AZ417" s="1" t="s">
        <v>74</v>
      </c>
      <c r="BA417" s="1" t="s">
        <v>74</v>
      </c>
      <c r="BB417" s="1" t="s">
        <v>74</v>
      </c>
      <c r="BC417" s="1" t="s">
        <v>74</v>
      </c>
      <c r="BD417" s="1">
        <v>106375</v>
      </c>
      <c r="BE417" s="1" t="s">
        <v>7363</v>
      </c>
      <c r="BF417" s="1" t="str">
        <f>HYPERLINK("http://dx.doi.org/10.1016/j.marenvres.2024.106375","http://dx.doi.org/10.1016/j.marenvres.2024.106375")</f>
        <v>http://dx.doi.org/10.1016/j.marenvres.2024.106375</v>
      </c>
      <c r="BG417" s="1" t="s">
        <v>74</v>
      </c>
      <c r="BH417" s="1" t="s">
        <v>5287</v>
      </c>
      <c r="BI417" s="1">
        <v>8</v>
      </c>
      <c r="BJ417" s="1" t="s">
        <v>768</v>
      </c>
      <c r="BK417" s="1" t="s">
        <v>96</v>
      </c>
      <c r="BL417" s="1" t="s">
        <v>769</v>
      </c>
      <c r="BM417" s="1" t="s">
        <v>7364</v>
      </c>
      <c r="BN417" s="1">
        <v>38266548</v>
      </c>
      <c r="BO417" s="1" t="s">
        <v>74</v>
      </c>
      <c r="BP417" s="1" t="s">
        <v>74</v>
      </c>
      <c r="BQ417" s="1" t="s">
        <v>74</v>
      </c>
      <c r="BR417" s="1" t="s">
        <v>98</v>
      </c>
      <c r="BS417" s="1" t="s">
        <v>7365</v>
      </c>
      <c r="BT417" s="1" t="str">
        <f>HYPERLINK("https%3A%2F%2Fwww.webofscience.com%2Fwos%2Fwoscc%2Ffull-record%2FWOS:001176893800001","View Full Record in Web of Science")</f>
        <v>View Full Record in Web of Science</v>
      </c>
    </row>
    <row r="418" spans="1:72">
      <c r="A418" s="1" t="s">
        <v>72</v>
      </c>
      <c r="B418" s="1" t="s">
        <v>7366</v>
      </c>
      <c r="C418" s="1" t="s">
        <v>74</v>
      </c>
      <c r="D418" s="1" t="s">
        <v>74</v>
      </c>
      <c r="E418" s="1" t="s">
        <v>74</v>
      </c>
      <c r="F418" s="1" t="s">
        <v>7367</v>
      </c>
      <c r="G418" s="1" t="s">
        <v>74</v>
      </c>
      <c r="H418" s="1" t="s">
        <v>74</v>
      </c>
      <c r="I418" s="1" t="s">
        <v>7368</v>
      </c>
      <c r="J418" s="1" t="s">
        <v>7369</v>
      </c>
      <c r="K418" s="1" t="s">
        <v>74</v>
      </c>
      <c r="L418" s="1" t="s">
        <v>74</v>
      </c>
      <c r="M418" s="1" t="s">
        <v>78</v>
      </c>
      <c r="N418" s="1" t="s">
        <v>79</v>
      </c>
      <c r="O418" s="1" t="s">
        <v>74</v>
      </c>
      <c r="P418" s="1" t="s">
        <v>74</v>
      </c>
      <c r="Q418" s="1" t="s">
        <v>74</v>
      </c>
      <c r="R418" s="1" t="s">
        <v>74</v>
      </c>
      <c r="S418" s="1" t="s">
        <v>74</v>
      </c>
      <c r="T418" s="1" t="s">
        <v>7370</v>
      </c>
      <c r="U418" s="1" t="s">
        <v>7371</v>
      </c>
      <c r="V418" s="1" t="s">
        <v>7372</v>
      </c>
      <c r="W418" s="1" t="s">
        <v>7373</v>
      </c>
      <c r="X418" s="1" t="s">
        <v>7374</v>
      </c>
      <c r="Y418" s="1" t="s">
        <v>7375</v>
      </c>
      <c r="Z418" s="1" t="s">
        <v>1261</v>
      </c>
      <c r="AA418" s="1" t="s">
        <v>7376</v>
      </c>
      <c r="AB418" s="1" t="s">
        <v>7377</v>
      </c>
      <c r="AC418" s="1" t="s">
        <v>74</v>
      </c>
      <c r="AD418" s="1" t="s">
        <v>74</v>
      </c>
      <c r="AE418" s="1" t="s">
        <v>74</v>
      </c>
      <c r="AF418" s="1" t="s">
        <v>74</v>
      </c>
      <c r="AG418" s="1">
        <v>111</v>
      </c>
      <c r="AH418" s="1">
        <v>1</v>
      </c>
      <c r="AI418" s="1">
        <v>1</v>
      </c>
      <c r="AJ418" s="1">
        <v>1</v>
      </c>
      <c r="AK418" s="1">
        <v>6</v>
      </c>
      <c r="AL418" s="1" t="s">
        <v>1566</v>
      </c>
      <c r="AM418" s="1" t="s">
        <v>1567</v>
      </c>
      <c r="AN418" s="1" t="s">
        <v>1568</v>
      </c>
      <c r="AO418" s="1" t="s">
        <v>74</v>
      </c>
      <c r="AP418" s="1" t="s">
        <v>7378</v>
      </c>
      <c r="AQ418" s="1" t="s">
        <v>74</v>
      </c>
      <c r="AR418" s="1" t="s">
        <v>7369</v>
      </c>
      <c r="AS418" s="1" t="s">
        <v>7379</v>
      </c>
      <c r="AT418" s="1" t="s">
        <v>93</v>
      </c>
      <c r="AU418" s="1">
        <v>2023</v>
      </c>
      <c r="AV418" s="1">
        <v>12</v>
      </c>
      <c r="AW418" s="1">
        <v>4</v>
      </c>
      <c r="AX418" s="1" t="s">
        <v>74</v>
      </c>
      <c r="AY418" s="1" t="s">
        <v>74</v>
      </c>
      <c r="AZ418" s="1" t="s">
        <v>74</v>
      </c>
      <c r="BA418" s="1" t="s">
        <v>74</v>
      </c>
      <c r="BB418" s="1" t="s">
        <v>74</v>
      </c>
      <c r="BC418" s="1" t="s">
        <v>74</v>
      </c>
      <c r="BD418" s="1">
        <v>523</v>
      </c>
      <c r="BE418" s="1" t="s">
        <v>7380</v>
      </c>
      <c r="BF418" s="1" t="str">
        <f>HYPERLINK("http://dx.doi.org/10.3390/biology12040523","http://dx.doi.org/10.3390/biology12040523")</f>
        <v>http://dx.doi.org/10.3390/biology12040523</v>
      </c>
      <c r="BG418" s="1" t="s">
        <v>74</v>
      </c>
      <c r="BH418" s="1" t="s">
        <v>74</v>
      </c>
      <c r="BI418" s="1">
        <v>23</v>
      </c>
      <c r="BJ418" s="1" t="s">
        <v>171</v>
      </c>
      <c r="BK418" s="1" t="s">
        <v>96</v>
      </c>
      <c r="BL418" s="1" t="s">
        <v>173</v>
      </c>
      <c r="BM418" s="1" t="s">
        <v>7381</v>
      </c>
      <c r="BN418" s="1">
        <v>37106725</v>
      </c>
      <c r="BO418" s="1" t="s">
        <v>2155</v>
      </c>
      <c r="BP418" s="1" t="s">
        <v>74</v>
      </c>
      <c r="BQ418" s="1" t="s">
        <v>74</v>
      </c>
      <c r="BR418" s="1" t="s">
        <v>98</v>
      </c>
      <c r="BS418" s="1" t="s">
        <v>7382</v>
      </c>
      <c r="BT418" s="1" t="str">
        <f>HYPERLINK("https%3A%2F%2Fwww.webofscience.com%2Fwos%2Fwoscc%2Ffull-record%2FWOS:000977035800001","View Full Record in Web of Science")</f>
        <v>View Full Record in Web of Science</v>
      </c>
    </row>
    <row r="419" spans="1:72">
      <c r="A419" s="1" t="s">
        <v>72</v>
      </c>
      <c r="B419" s="1" t="s">
        <v>7383</v>
      </c>
      <c r="C419" s="1" t="s">
        <v>74</v>
      </c>
      <c r="D419" s="1" t="s">
        <v>74</v>
      </c>
      <c r="E419" s="1" t="s">
        <v>74</v>
      </c>
      <c r="F419" s="1" t="s">
        <v>7384</v>
      </c>
      <c r="G419" s="1" t="s">
        <v>74</v>
      </c>
      <c r="H419" s="1" t="s">
        <v>74</v>
      </c>
      <c r="I419" s="1" t="s">
        <v>7385</v>
      </c>
      <c r="J419" s="1" t="s">
        <v>1337</v>
      </c>
      <c r="K419" s="1" t="s">
        <v>74</v>
      </c>
      <c r="L419" s="1" t="s">
        <v>74</v>
      </c>
      <c r="M419" s="1" t="s">
        <v>78</v>
      </c>
      <c r="N419" s="1" t="s">
        <v>79</v>
      </c>
      <c r="O419" s="1" t="s">
        <v>74</v>
      </c>
      <c r="P419" s="1" t="s">
        <v>74</v>
      </c>
      <c r="Q419" s="1" t="s">
        <v>74</v>
      </c>
      <c r="R419" s="1" t="s">
        <v>74</v>
      </c>
      <c r="S419" s="1" t="s">
        <v>74</v>
      </c>
      <c r="T419" s="1" t="s">
        <v>7386</v>
      </c>
      <c r="U419" s="1" t="s">
        <v>7387</v>
      </c>
      <c r="V419" s="1" t="s">
        <v>7388</v>
      </c>
      <c r="W419" s="1" t="s">
        <v>7389</v>
      </c>
      <c r="X419" s="1" t="s">
        <v>7390</v>
      </c>
      <c r="Y419" s="1" t="s">
        <v>7391</v>
      </c>
      <c r="Z419" s="1" t="s">
        <v>7392</v>
      </c>
      <c r="AA419" s="1" t="s">
        <v>7393</v>
      </c>
      <c r="AB419" s="1" t="s">
        <v>74</v>
      </c>
      <c r="AC419" s="1" t="s">
        <v>74</v>
      </c>
      <c r="AD419" s="1" t="s">
        <v>74</v>
      </c>
      <c r="AE419" s="1" t="s">
        <v>74</v>
      </c>
      <c r="AF419" s="1" t="s">
        <v>74</v>
      </c>
      <c r="AG419" s="1">
        <v>98</v>
      </c>
      <c r="AH419" s="1">
        <v>30</v>
      </c>
      <c r="AI419" s="1">
        <v>30</v>
      </c>
      <c r="AJ419" s="1">
        <v>11</v>
      </c>
      <c r="AK419" s="1">
        <v>64</v>
      </c>
      <c r="AL419" s="1" t="s">
        <v>1350</v>
      </c>
      <c r="AM419" s="1" t="s">
        <v>1351</v>
      </c>
      <c r="AN419" s="1" t="s">
        <v>1352</v>
      </c>
      <c r="AO419" s="1" t="s">
        <v>74</v>
      </c>
      <c r="AP419" s="1" t="s">
        <v>1353</v>
      </c>
      <c r="AQ419" s="1" t="s">
        <v>74</v>
      </c>
      <c r="AR419" s="1" t="s">
        <v>1354</v>
      </c>
      <c r="AS419" s="1" t="s">
        <v>1355</v>
      </c>
      <c r="AT419" s="1" t="s">
        <v>2081</v>
      </c>
      <c r="AU419" s="1">
        <v>2022</v>
      </c>
      <c r="AV419" s="1">
        <v>8</v>
      </c>
      <c r="AW419" s="1" t="s">
        <v>74</v>
      </c>
      <c r="AX419" s="1" t="s">
        <v>74</v>
      </c>
      <c r="AY419" s="1" t="s">
        <v>74</v>
      </c>
      <c r="AZ419" s="1" t="s">
        <v>74</v>
      </c>
      <c r="BA419" s="1" t="s">
        <v>74</v>
      </c>
      <c r="BB419" s="1" t="s">
        <v>74</v>
      </c>
      <c r="BC419" s="1" t="s">
        <v>74</v>
      </c>
      <c r="BD419" s="1">
        <v>770805</v>
      </c>
      <c r="BE419" s="1" t="s">
        <v>7394</v>
      </c>
      <c r="BF419" s="1" t="str">
        <f>HYPERLINK("http://dx.doi.org/10.3389/fmars.2021.770805","http://dx.doi.org/10.3389/fmars.2021.770805")</f>
        <v>http://dx.doi.org/10.3389/fmars.2021.770805</v>
      </c>
      <c r="BG419" s="1" t="s">
        <v>74</v>
      </c>
      <c r="BH419" s="1" t="s">
        <v>74</v>
      </c>
      <c r="BI419" s="1">
        <v>13</v>
      </c>
      <c r="BJ419" s="1" t="s">
        <v>247</v>
      </c>
      <c r="BK419" s="1" t="s">
        <v>96</v>
      </c>
      <c r="BL419" s="1" t="s">
        <v>248</v>
      </c>
      <c r="BM419" s="1" t="s">
        <v>7395</v>
      </c>
      <c r="BN419" s="1" t="s">
        <v>74</v>
      </c>
      <c r="BO419" s="1" t="s">
        <v>873</v>
      </c>
      <c r="BP419" s="1" t="s">
        <v>74</v>
      </c>
      <c r="BQ419" s="1" t="s">
        <v>74</v>
      </c>
      <c r="BR419" s="1" t="s">
        <v>98</v>
      </c>
      <c r="BS419" s="1" t="s">
        <v>7396</v>
      </c>
      <c r="BT419" s="1" t="str">
        <f>HYPERLINK("https%3A%2F%2Fwww.webofscience.com%2Fwos%2Fwoscc%2Ffull-record%2FWOS:000760666000001","View Full Record in Web of Science")</f>
        <v>View Full Record in Web of Science</v>
      </c>
    </row>
    <row r="420" spans="1:72">
      <c r="A420" s="1" t="s">
        <v>72</v>
      </c>
      <c r="B420" s="1" t="s">
        <v>7397</v>
      </c>
      <c r="C420" s="1" t="s">
        <v>74</v>
      </c>
      <c r="D420" s="1" t="s">
        <v>74</v>
      </c>
      <c r="E420" s="1" t="s">
        <v>74</v>
      </c>
      <c r="F420" s="1" t="s">
        <v>7397</v>
      </c>
      <c r="G420" s="1" t="s">
        <v>74</v>
      </c>
      <c r="H420" s="1" t="s">
        <v>74</v>
      </c>
      <c r="I420" s="1" t="s">
        <v>7398</v>
      </c>
      <c r="J420" s="1" t="s">
        <v>232</v>
      </c>
      <c r="K420" s="1" t="s">
        <v>74</v>
      </c>
      <c r="L420" s="1" t="s">
        <v>74</v>
      </c>
      <c r="M420" s="1" t="s">
        <v>78</v>
      </c>
      <c r="N420" s="1" t="s">
        <v>79</v>
      </c>
      <c r="O420" s="1" t="s">
        <v>74</v>
      </c>
      <c r="P420" s="1" t="s">
        <v>74</v>
      </c>
      <c r="Q420" s="1" t="s">
        <v>74</v>
      </c>
      <c r="R420" s="1" t="s">
        <v>74</v>
      </c>
      <c r="S420" s="1" t="s">
        <v>74</v>
      </c>
      <c r="T420" s="1" t="s">
        <v>7399</v>
      </c>
      <c r="U420" s="1" t="s">
        <v>7400</v>
      </c>
      <c r="V420" s="1" t="s">
        <v>7401</v>
      </c>
      <c r="W420" s="1" t="s">
        <v>7402</v>
      </c>
      <c r="X420" s="1" t="s">
        <v>7403</v>
      </c>
      <c r="Y420" s="1" t="s">
        <v>7404</v>
      </c>
      <c r="Z420" s="1" t="s">
        <v>7405</v>
      </c>
      <c r="AA420" s="1" t="s">
        <v>74</v>
      </c>
      <c r="AB420" s="1" t="s">
        <v>7406</v>
      </c>
      <c r="AC420" s="1" t="s">
        <v>74</v>
      </c>
      <c r="AD420" s="1" t="s">
        <v>74</v>
      </c>
      <c r="AE420" s="1" t="s">
        <v>74</v>
      </c>
      <c r="AF420" s="1" t="s">
        <v>74</v>
      </c>
      <c r="AG420" s="1">
        <v>72</v>
      </c>
      <c r="AH420" s="1">
        <v>15</v>
      </c>
      <c r="AI420" s="1">
        <v>15</v>
      </c>
      <c r="AJ420" s="1">
        <v>0</v>
      </c>
      <c r="AK420" s="1">
        <v>5</v>
      </c>
      <c r="AL420" s="1" t="s">
        <v>136</v>
      </c>
      <c r="AM420" s="1" t="s">
        <v>137</v>
      </c>
      <c r="AN420" s="1" t="s">
        <v>138</v>
      </c>
      <c r="AO420" s="1" t="s">
        <v>240</v>
      </c>
      <c r="AP420" s="1" t="s">
        <v>241</v>
      </c>
      <c r="AQ420" s="1" t="s">
        <v>74</v>
      </c>
      <c r="AR420" s="1" t="s">
        <v>242</v>
      </c>
      <c r="AS420" s="1" t="s">
        <v>243</v>
      </c>
      <c r="AT420" s="1" t="s">
        <v>1223</v>
      </c>
      <c r="AU420" s="1">
        <v>2006</v>
      </c>
      <c r="AV420" s="1">
        <v>52</v>
      </c>
      <c r="AW420" s="1">
        <v>3</v>
      </c>
      <c r="AX420" s="1" t="s">
        <v>74</v>
      </c>
      <c r="AY420" s="1" t="s">
        <v>74</v>
      </c>
      <c r="AZ420" s="1" t="s">
        <v>74</v>
      </c>
      <c r="BA420" s="1" t="s">
        <v>74</v>
      </c>
      <c r="BB420" s="1">
        <v>293</v>
      </c>
      <c r="BC420" s="1">
        <v>300</v>
      </c>
      <c r="BD420" s="1" t="s">
        <v>74</v>
      </c>
      <c r="BE420" s="1" t="s">
        <v>7407</v>
      </c>
      <c r="BF420" s="1" t="str">
        <f>HYPERLINK("http://dx.doi.org/10.1016/j.marpolbul.2005.08.022","http://dx.doi.org/10.1016/j.marpolbul.2005.08.022")</f>
        <v>http://dx.doi.org/10.1016/j.marpolbul.2005.08.022</v>
      </c>
      <c r="BG420" s="1" t="s">
        <v>74</v>
      </c>
      <c r="BH420" s="1" t="s">
        <v>74</v>
      </c>
      <c r="BI420" s="1">
        <v>8</v>
      </c>
      <c r="BJ420" s="1" t="s">
        <v>247</v>
      </c>
      <c r="BK420" s="1" t="s">
        <v>96</v>
      </c>
      <c r="BL420" s="1" t="s">
        <v>248</v>
      </c>
      <c r="BM420" s="1" t="s">
        <v>7408</v>
      </c>
      <c r="BN420" s="1">
        <v>16226280</v>
      </c>
      <c r="BO420" s="1" t="s">
        <v>74</v>
      </c>
      <c r="BP420" s="1" t="s">
        <v>74</v>
      </c>
      <c r="BQ420" s="1" t="s">
        <v>74</v>
      </c>
      <c r="BR420" s="1" t="s">
        <v>98</v>
      </c>
      <c r="BS420" s="1" t="s">
        <v>7409</v>
      </c>
      <c r="BT420" s="1" t="str">
        <f>HYPERLINK("https%3A%2F%2Fwww.webofscience.com%2Fwos%2Fwoscc%2Ffull-record%2FWOS:000236441800018","View Full Record in Web of Science")</f>
        <v>View Full Record in Web of Science</v>
      </c>
    </row>
    <row r="421" spans="1:72">
      <c r="A421" s="1" t="s">
        <v>72</v>
      </c>
      <c r="B421" s="1" t="s">
        <v>7410</v>
      </c>
      <c r="C421" s="1" t="s">
        <v>74</v>
      </c>
      <c r="D421" s="1" t="s">
        <v>74</v>
      </c>
      <c r="E421" s="1" t="s">
        <v>74</v>
      </c>
      <c r="F421" s="1" t="s">
        <v>7410</v>
      </c>
      <c r="G421" s="1" t="s">
        <v>74</v>
      </c>
      <c r="H421" s="1" t="s">
        <v>74</v>
      </c>
      <c r="I421" s="1" t="s">
        <v>7411</v>
      </c>
      <c r="J421" s="1" t="s">
        <v>1756</v>
      </c>
      <c r="K421" s="1" t="s">
        <v>74</v>
      </c>
      <c r="L421" s="1" t="s">
        <v>74</v>
      </c>
      <c r="M421" s="1" t="s">
        <v>78</v>
      </c>
      <c r="N421" s="1" t="s">
        <v>79</v>
      </c>
      <c r="O421" s="1" t="s">
        <v>74</v>
      </c>
      <c r="P421" s="1" t="s">
        <v>74</v>
      </c>
      <c r="Q421" s="1" t="s">
        <v>74</v>
      </c>
      <c r="R421" s="1" t="s">
        <v>74</v>
      </c>
      <c r="S421" s="1" t="s">
        <v>74</v>
      </c>
      <c r="T421" s="1" t="s">
        <v>7412</v>
      </c>
      <c r="U421" s="1" t="s">
        <v>74</v>
      </c>
      <c r="V421" s="1" t="s">
        <v>7413</v>
      </c>
      <c r="W421" s="1" t="s">
        <v>1833</v>
      </c>
      <c r="X421" s="1" t="s">
        <v>1834</v>
      </c>
      <c r="Y421" s="1" t="s">
        <v>7414</v>
      </c>
      <c r="Z421" s="1" t="s">
        <v>74</v>
      </c>
      <c r="AA421" s="1" t="s">
        <v>1836</v>
      </c>
      <c r="AB421" s="1" t="s">
        <v>1837</v>
      </c>
      <c r="AC421" s="1" t="s">
        <v>74</v>
      </c>
      <c r="AD421" s="1" t="s">
        <v>74</v>
      </c>
      <c r="AE421" s="1" t="s">
        <v>74</v>
      </c>
      <c r="AF421" s="1" t="s">
        <v>74</v>
      </c>
      <c r="AG421" s="1">
        <v>17</v>
      </c>
      <c r="AH421" s="1">
        <v>31</v>
      </c>
      <c r="AI421" s="1">
        <v>34</v>
      </c>
      <c r="AJ421" s="1">
        <v>0</v>
      </c>
      <c r="AK421" s="1">
        <v>9</v>
      </c>
      <c r="AL421" s="1" t="s">
        <v>86</v>
      </c>
      <c r="AM421" s="1" t="s">
        <v>87</v>
      </c>
      <c r="AN421" s="1" t="s">
        <v>88</v>
      </c>
      <c r="AO421" s="1" t="s">
        <v>1764</v>
      </c>
      <c r="AP421" s="1" t="s">
        <v>1765</v>
      </c>
      <c r="AQ421" s="1" t="s">
        <v>74</v>
      </c>
      <c r="AR421" s="1" t="s">
        <v>1766</v>
      </c>
      <c r="AS421" s="1" t="s">
        <v>1767</v>
      </c>
      <c r="AT421" s="1" t="s">
        <v>170</v>
      </c>
      <c r="AU421" s="1">
        <v>1994</v>
      </c>
      <c r="AV421" s="1">
        <v>13</v>
      </c>
      <c r="AW421" s="1">
        <v>5</v>
      </c>
      <c r="AX421" s="1" t="s">
        <v>74</v>
      </c>
      <c r="AY421" s="1" t="s">
        <v>74</v>
      </c>
      <c r="AZ421" s="1" t="s">
        <v>74</v>
      </c>
      <c r="BA421" s="1" t="s">
        <v>74</v>
      </c>
      <c r="BB421" s="1">
        <v>775</v>
      </c>
      <c r="BC421" s="1">
        <v>780</v>
      </c>
      <c r="BD421" s="1" t="s">
        <v>74</v>
      </c>
      <c r="BE421" s="1" t="s">
        <v>7415</v>
      </c>
      <c r="BF421" s="1" t="str">
        <f>HYPERLINK("http://dx.doi.org/10.1002/etc.5620130512","http://dx.doi.org/10.1002/etc.5620130512")</f>
        <v>http://dx.doi.org/10.1002/etc.5620130512</v>
      </c>
      <c r="BG421" s="1" t="s">
        <v>74</v>
      </c>
      <c r="BH421" s="1" t="s">
        <v>74</v>
      </c>
      <c r="BI421" s="1">
        <v>6</v>
      </c>
      <c r="BJ421" s="1" t="s">
        <v>121</v>
      </c>
      <c r="BK421" s="1" t="s">
        <v>96</v>
      </c>
      <c r="BL421" s="1" t="s">
        <v>122</v>
      </c>
      <c r="BM421" s="1" t="s">
        <v>7416</v>
      </c>
      <c r="BN421" s="1" t="s">
        <v>74</v>
      </c>
      <c r="BO421" s="1" t="s">
        <v>74</v>
      </c>
      <c r="BP421" s="1" t="s">
        <v>74</v>
      </c>
      <c r="BQ421" s="1" t="s">
        <v>74</v>
      </c>
      <c r="BR421" s="1" t="s">
        <v>98</v>
      </c>
      <c r="BS421" s="1" t="s">
        <v>7417</v>
      </c>
      <c r="BT421" s="1" t="str">
        <f>HYPERLINK("https%3A%2F%2Fwww.webofscience.com%2Fwos%2Fwoscc%2Ffull-record%2FWOS:A1994NH59100012","View Full Record in Web of Science")</f>
        <v>View Full Record in Web of Science</v>
      </c>
    </row>
    <row r="422" spans="1:72">
      <c r="A422" s="1" t="s">
        <v>72</v>
      </c>
      <c r="B422" s="1" t="s">
        <v>7418</v>
      </c>
      <c r="C422" s="1" t="s">
        <v>74</v>
      </c>
      <c r="D422" s="1" t="s">
        <v>74</v>
      </c>
      <c r="E422" s="1" t="s">
        <v>74</v>
      </c>
      <c r="F422" s="1" t="s">
        <v>7419</v>
      </c>
      <c r="G422" s="1" t="s">
        <v>74</v>
      </c>
      <c r="H422" s="1" t="s">
        <v>74</v>
      </c>
      <c r="I422" s="1" t="s">
        <v>7420</v>
      </c>
      <c r="J422" s="1" t="s">
        <v>3349</v>
      </c>
      <c r="K422" s="1" t="s">
        <v>74</v>
      </c>
      <c r="L422" s="1" t="s">
        <v>74</v>
      </c>
      <c r="M422" s="1" t="s">
        <v>78</v>
      </c>
      <c r="N422" s="1" t="s">
        <v>79</v>
      </c>
      <c r="O422" s="1" t="s">
        <v>74</v>
      </c>
      <c r="P422" s="1" t="s">
        <v>74</v>
      </c>
      <c r="Q422" s="1" t="s">
        <v>74</v>
      </c>
      <c r="R422" s="1" t="s">
        <v>74</v>
      </c>
      <c r="S422" s="1" t="s">
        <v>74</v>
      </c>
      <c r="T422" s="1" t="s">
        <v>7421</v>
      </c>
      <c r="U422" s="1" t="s">
        <v>7422</v>
      </c>
      <c r="V422" s="1" t="s">
        <v>7423</v>
      </c>
      <c r="W422" s="1" t="s">
        <v>7424</v>
      </c>
      <c r="X422" s="1" t="s">
        <v>7425</v>
      </c>
      <c r="Y422" s="1" t="s">
        <v>7426</v>
      </c>
      <c r="Z422" s="1" t="s">
        <v>7427</v>
      </c>
      <c r="AA422" s="1" t="s">
        <v>7428</v>
      </c>
      <c r="AB422" s="1" t="s">
        <v>74</v>
      </c>
      <c r="AC422" s="1" t="s">
        <v>7429</v>
      </c>
      <c r="AD422" s="1" t="s">
        <v>7430</v>
      </c>
      <c r="AE422" s="1" t="s">
        <v>7431</v>
      </c>
      <c r="AF422" s="1" t="s">
        <v>74</v>
      </c>
      <c r="AG422" s="1">
        <v>68</v>
      </c>
      <c r="AH422" s="1">
        <v>49</v>
      </c>
      <c r="AI422" s="1">
        <v>52</v>
      </c>
      <c r="AJ422" s="1">
        <v>6</v>
      </c>
      <c r="AK422" s="1">
        <v>55</v>
      </c>
      <c r="AL422" s="1" t="s">
        <v>3362</v>
      </c>
      <c r="AM422" s="1" t="s">
        <v>3363</v>
      </c>
      <c r="AN422" s="1" t="s">
        <v>3364</v>
      </c>
      <c r="AO422" s="1" t="s">
        <v>3365</v>
      </c>
      <c r="AP422" s="1" t="s">
        <v>3366</v>
      </c>
      <c r="AQ422" s="1" t="s">
        <v>74</v>
      </c>
      <c r="AR422" s="1" t="s">
        <v>3367</v>
      </c>
      <c r="AS422" s="1" t="s">
        <v>3368</v>
      </c>
      <c r="AT422" s="1" t="s">
        <v>765</v>
      </c>
      <c r="AU422" s="1">
        <v>2016</v>
      </c>
      <c r="AV422" s="1">
        <v>129</v>
      </c>
      <c r="AW422" s="1" t="s">
        <v>74</v>
      </c>
      <c r="AX422" s="1" t="s">
        <v>74</v>
      </c>
      <c r="AY422" s="1" t="s">
        <v>74</v>
      </c>
      <c r="AZ422" s="1" t="s">
        <v>74</v>
      </c>
      <c r="BA422" s="1" t="s">
        <v>74</v>
      </c>
      <c r="BB422" s="1">
        <v>235</v>
      </c>
      <c r="BC422" s="1">
        <v>241</v>
      </c>
      <c r="BD422" s="1" t="s">
        <v>74</v>
      </c>
      <c r="BE422" s="1" t="s">
        <v>7432</v>
      </c>
      <c r="BF422" s="1" t="str">
        <f>HYPERLINK("http://dx.doi.org/10.1016/j.ecoenv.2016.03.040","http://dx.doi.org/10.1016/j.ecoenv.2016.03.040")</f>
        <v>http://dx.doi.org/10.1016/j.ecoenv.2016.03.040</v>
      </c>
      <c r="BG422" s="1" t="s">
        <v>74</v>
      </c>
      <c r="BH422" s="1" t="s">
        <v>74</v>
      </c>
      <c r="BI422" s="1">
        <v>7</v>
      </c>
      <c r="BJ422" s="1" t="s">
        <v>121</v>
      </c>
      <c r="BK422" s="1" t="s">
        <v>96</v>
      </c>
      <c r="BL422" s="1" t="s">
        <v>122</v>
      </c>
      <c r="BM422" s="1" t="s">
        <v>7433</v>
      </c>
      <c r="BN422" s="1">
        <v>27057991</v>
      </c>
      <c r="BO422" s="1" t="s">
        <v>74</v>
      </c>
      <c r="BP422" s="1" t="s">
        <v>74</v>
      </c>
      <c r="BQ422" s="1" t="s">
        <v>74</v>
      </c>
      <c r="BR422" s="1" t="s">
        <v>98</v>
      </c>
      <c r="BS422" s="1" t="s">
        <v>7434</v>
      </c>
      <c r="BT422" s="1" t="str">
        <f>HYPERLINK("https%3A%2F%2Fwww.webofscience.com%2Fwos%2Fwoscc%2Ffull-record%2FWOS:000375166800027","View Full Record in Web of Science")</f>
        <v>View Full Record in Web of Science</v>
      </c>
    </row>
    <row r="423" spans="1:72">
      <c r="A423" s="1" t="s">
        <v>72</v>
      </c>
      <c r="B423" s="1" t="s">
        <v>7435</v>
      </c>
      <c r="C423" s="1" t="s">
        <v>74</v>
      </c>
      <c r="D423" s="1" t="s">
        <v>74</v>
      </c>
      <c r="E423" s="1" t="s">
        <v>74</v>
      </c>
      <c r="F423" s="1" t="s">
        <v>7436</v>
      </c>
      <c r="G423" s="1" t="s">
        <v>74</v>
      </c>
      <c r="H423" s="1" t="s">
        <v>74</v>
      </c>
      <c r="I423" s="1" t="s">
        <v>7437</v>
      </c>
      <c r="J423" s="1" t="s">
        <v>7438</v>
      </c>
      <c r="K423" s="1" t="s">
        <v>74</v>
      </c>
      <c r="L423" s="1" t="s">
        <v>74</v>
      </c>
      <c r="M423" s="1" t="s">
        <v>78</v>
      </c>
      <c r="N423" s="1" t="s">
        <v>79</v>
      </c>
      <c r="O423" s="1" t="s">
        <v>74</v>
      </c>
      <c r="P423" s="1" t="s">
        <v>74</v>
      </c>
      <c r="Q423" s="1" t="s">
        <v>74</v>
      </c>
      <c r="R423" s="1" t="s">
        <v>74</v>
      </c>
      <c r="S423" s="1" t="s">
        <v>74</v>
      </c>
      <c r="T423" s="1" t="s">
        <v>7439</v>
      </c>
      <c r="U423" s="1" t="s">
        <v>7440</v>
      </c>
      <c r="V423" s="1" t="s">
        <v>7441</v>
      </c>
      <c r="W423" s="1" t="s">
        <v>7442</v>
      </c>
      <c r="X423" s="1" t="s">
        <v>7443</v>
      </c>
      <c r="Y423" s="1" t="s">
        <v>7444</v>
      </c>
      <c r="Z423" s="1" t="s">
        <v>7445</v>
      </c>
      <c r="AA423" s="1" t="s">
        <v>7446</v>
      </c>
      <c r="AB423" s="1" t="s">
        <v>74</v>
      </c>
      <c r="AC423" s="1" t="s">
        <v>7447</v>
      </c>
      <c r="AD423" s="1" t="s">
        <v>7448</v>
      </c>
      <c r="AE423" s="1" t="s">
        <v>7449</v>
      </c>
      <c r="AF423" s="1" t="s">
        <v>74</v>
      </c>
      <c r="AG423" s="1">
        <v>25</v>
      </c>
      <c r="AH423" s="1">
        <v>18</v>
      </c>
      <c r="AI423" s="1">
        <v>19</v>
      </c>
      <c r="AJ423" s="1">
        <v>4</v>
      </c>
      <c r="AK423" s="1">
        <v>101</v>
      </c>
      <c r="AL423" s="1" t="s">
        <v>408</v>
      </c>
      <c r="AM423" s="1" t="s">
        <v>409</v>
      </c>
      <c r="AN423" s="1" t="s">
        <v>1188</v>
      </c>
      <c r="AO423" s="1" t="s">
        <v>7450</v>
      </c>
      <c r="AP423" s="1" t="s">
        <v>7451</v>
      </c>
      <c r="AQ423" s="1" t="s">
        <v>74</v>
      </c>
      <c r="AR423" s="1" t="s">
        <v>7452</v>
      </c>
      <c r="AS423" s="1" t="s">
        <v>7453</v>
      </c>
      <c r="AT423" s="1" t="s">
        <v>2763</v>
      </c>
      <c r="AU423" s="1">
        <v>2014</v>
      </c>
      <c r="AV423" s="1">
        <v>44</v>
      </c>
      <c r="AW423" s="1">
        <v>1</v>
      </c>
      <c r="AX423" s="1" t="s">
        <v>74</v>
      </c>
      <c r="AY423" s="1" t="s">
        <v>74</v>
      </c>
      <c r="AZ423" s="1" t="s">
        <v>74</v>
      </c>
      <c r="BA423" s="1" t="s">
        <v>74</v>
      </c>
      <c r="BB423" s="1">
        <v>133</v>
      </c>
      <c r="BC423" s="1">
        <v>139</v>
      </c>
      <c r="BD423" s="1" t="s">
        <v>74</v>
      </c>
      <c r="BE423" s="1" t="s">
        <v>7454</v>
      </c>
      <c r="BF423" s="1" t="str">
        <f>HYPERLINK("http://dx.doi.org/10.1080/15533174.2013.770753","http://dx.doi.org/10.1080/15533174.2013.770753")</f>
        <v>http://dx.doi.org/10.1080/15533174.2013.770753</v>
      </c>
      <c r="BG423" s="1" t="s">
        <v>74</v>
      </c>
      <c r="BH423" s="1" t="s">
        <v>74</v>
      </c>
      <c r="BI423" s="1">
        <v>7</v>
      </c>
      <c r="BJ423" s="1" t="s">
        <v>7455</v>
      </c>
      <c r="BK423" s="1" t="s">
        <v>96</v>
      </c>
      <c r="BL423" s="1" t="s">
        <v>7456</v>
      </c>
      <c r="BM423" s="1" t="s">
        <v>7457</v>
      </c>
      <c r="BN423" s="1" t="s">
        <v>74</v>
      </c>
      <c r="BO423" s="1" t="s">
        <v>74</v>
      </c>
      <c r="BP423" s="1" t="s">
        <v>74</v>
      </c>
      <c r="BQ423" s="1" t="s">
        <v>74</v>
      </c>
      <c r="BR423" s="1" t="s">
        <v>98</v>
      </c>
      <c r="BS423" s="1" t="s">
        <v>7458</v>
      </c>
      <c r="BT423" s="1" t="str">
        <f>HYPERLINK("https%3A%2F%2Fwww.webofscience.com%2Fwos%2Fwoscc%2Ffull-record%2FWOS:000327868100024","View Full Record in Web of Science")</f>
        <v>View Full Record in Web of Science</v>
      </c>
    </row>
    <row r="424" spans="1:72">
      <c r="A424" s="1" t="s">
        <v>72</v>
      </c>
      <c r="B424" s="1" t="s">
        <v>7459</v>
      </c>
      <c r="C424" s="1" t="s">
        <v>74</v>
      </c>
      <c r="D424" s="1" t="s">
        <v>74</v>
      </c>
      <c r="E424" s="1" t="s">
        <v>74</v>
      </c>
      <c r="F424" s="1" t="s">
        <v>7459</v>
      </c>
      <c r="G424" s="1" t="s">
        <v>74</v>
      </c>
      <c r="H424" s="1" t="s">
        <v>74</v>
      </c>
      <c r="I424" s="1" t="s">
        <v>7460</v>
      </c>
      <c r="J424" s="1" t="s">
        <v>7461</v>
      </c>
      <c r="K424" s="1" t="s">
        <v>74</v>
      </c>
      <c r="L424" s="1" t="s">
        <v>74</v>
      </c>
      <c r="M424" s="1" t="s">
        <v>78</v>
      </c>
      <c r="N424" s="1" t="s">
        <v>79</v>
      </c>
      <c r="O424" s="1" t="s">
        <v>74</v>
      </c>
      <c r="P424" s="1" t="s">
        <v>74</v>
      </c>
      <c r="Q424" s="1" t="s">
        <v>74</v>
      </c>
      <c r="R424" s="1" t="s">
        <v>74</v>
      </c>
      <c r="S424" s="1" t="s">
        <v>74</v>
      </c>
      <c r="T424" s="1" t="s">
        <v>74</v>
      </c>
      <c r="U424" s="1" t="s">
        <v>7462</v>
      </c>
      <c r="V424" s="1" t="s">
        <v>7463</v>
      </c>
      <c r="W424" s="1" t="s">
        <v>7464</v>
      </c>
      <c r="X424" s="1" t="s">
        <v>7465</v>
      </c>
      <c r="Y424" s="1" t="s">
        <v>7466</v>
      </c>
      <c r="Z424" s="1" t="s">
        <v>74</v>
      </c>
      <c r="AA424" s="1" t="s">
        <v>7467</v>
      </c>
      <c r="AB424" s="1" t="s">
        <v>7468</v>
      </c>
      <c r="AC424" s="1" t="s">
        <v>74</v>
      </c>
      <c r="AD424" s="1" t="s">
        <v>74</v>
      </c>
      <c r="AE424" s="1" t="s">
        <v>74</v>
      </c>
      <c r="AF424" s="1" t="s">
        <v>74</v>
      </c>
      <c r="AG424" s="1">
        <v>30</v>
      </c>
      <c r="AH424" s="1">
        <v>15</v>
      </c>
      <c r="AI424" s="1">
        <v>18</v>
      </c>
      <c r="AJ424" s="1">
        <v>0</v>
      </c>
      <c r="AK424" s="1">
        <v>3</v>
      </c>
      <c r="AL424" s="1" t="s">
        <v>136</v>
      </c>
      <c r="AM424" s="1" t="s">
        <v>137</v>
      </c>
      <c r="AN424" s="1" t="s">
        <v>583</v>
      </c>
      <c r="AO424" s="1" t="s">
        <v>7469</v>
      </c>
      <c r="AP424" s="1" t="s">
        <v>74</v>
      </c>
      <c r="AQ424" s="1" t="s">
        <v>74</v>
      </c>
      <c r="AR424" s="1" t="s">
        <v>568</v>
      </c>
      <c r="AS424" s="1" t="s">
        <v>7470</v>
      </c>
      <c r="AT424" s="1" t="s">
        <v>267</v>
      </c>
      <c r="AU424" s="1">
        <v>1992</v>
      </c>
      <c r="AV424" s="1">
        <v>103</v>
      </c>
      <c r="AW424" s="1">
        <v>2</v>
      </c>
      <c r="AX424" s="1" t="s">
        <v>74</v>
      </c>
      <c r="AY424" s="1" t="s">
        <v>74</v>
      </c>
      <c r="AZ424" s="1" t="s">
        <v>74</v>
      </c>
      <c r="BA424" s="1" t="s">
        <v>74</v>
      </c>
      <c r="BB424" s="1">
        <v>419</v>
      </c>
      <c r="BC424" s="1">
        <v>422</v>
      </c>
      <c r="BD424" s="1" t="s">
        <v>74</v>
      </c>
      <c r="BE424" s="1" t="s">
        <v>7471</v>
      </c>
      <c r="BF424" s="1" t="str">
        <f>HYPERLINK("http://dx.doi.org/10.1016/0742-8413(92)90031-2","http://dx.doi.org/10.1016/0742-8413(92)90031-2")</f>
        <v>http://dx.doi.org/10.1016/0742-8413(92)90031-2</v>
      </c>
      <c r="BG424" s="1" t="s">
        <v>74</v>
      </c>
      <c r="BH424" s="1" t="s">
        <v>74</v>
      </c>
      <c r="BI424" s="1">
        <v>4</v>
      </c>
      <c r="BJ424" s="1" t="s">
        <v>571</v>
      </c>
      <c r="BK424" s="1" t="s">
        <v>96</v>
      </c>
      <c r="BL424" s="1" t="s">
        <v>571</v>
      </c>
      <c r="BM424" s="1" t="s">
        <v>7472</v>
      </c>
      <c r="BN424" s="1" t="s">
        <v>74</v>
      </c>
      <c r="BO424" s="1" t="s">
        <v>74</v>
      </c>
      <c r="BP424" s="1" t="s">
        <v>74</v>
      </c>
      <c r="BQ424" s="1" t="s">
        <v>74</v>
      </c>
      <c r="BR424" s="1" t="s">
        <v>98</v>
      </c>
      <c r="BS424" s="1" t="s">
        <v>7473</v>
      </c>
      <c r="BT424" s="1" t="str">
        <f>HYPERLINK("https%3A%2F%2Fwww.webofscience.com%2Fwos%2Fwoscc%2Ffull-record%2FWOS:A1992KA11700030","View Full Record in Web of Science")</f>
        <v>View Full Record in Web of Science</v>
      </c>
    </row>
    <row r="425" spans="1:72">
      <c r="A425" s="1" t="s">
        <v>72</v>
      </c>
      <c r="B425" s="1" t="s">
        <v>7474</v>
      </c>
      <c r="C425" s="1" t="s">
        <v>74</v>
      </c>
      <c r="D425" s="1" t="s">
        <v>74</v>
      </c>
      <c r="E425" s="1" t="s">
        <v>74</v>
      </c>
      <c r="F425" s="1" t="s">
        <v>7475</v>
      </c>
      <c r="G425" s="1" t="s">
        <v>74</v>
      </c>
      <c r="H425" s="1" t="s">
        <v>74</v>
      </c>
      <c r="I425" s="1" t="s">
        <v>7476</v>
      </c>
      <c r="J425" s="1" t="s">
        <v>7477</v>
      </c>
      <c r="K425" s="1" t="s">
        <v>74</v>
      </c>
      <c r="L425" s="1" t="s">
        <v>74</v>
      </c>
      <c r="M425" s="1" t="s">
        <v>78</v>
      </c>
      <c r="N425" s="1" t="s">
        <v>79</v>
      </c>
      <c r="O425" s="1" t="s">
        <v>74</v>
      </c>
      <c r="P425" s="1" t="s">
        <v>74</v>
      </c>
      <c r="Q425" s="1" t="s">
        <v>74</v>
      </c>
      <c r="R425" s="1" t="s">
        <v>74</v>
      </c>
      <c r="S425" s="1" t="s">
        <v>74</v>
      </c>
      <c r="T425" s="1" t="s">
        <v>7478</v>
      </c>
      <c r="U425" s="1" t="s">
        <v>7479</v>
      </c>
      <c r="V425" s="1" t="s">
        <v>7480</v>
      </c>
      <c r="W425" s="1" t="s">
        <v>7481</v>
      </c>
      <c r="X425" s="1" t="s">
        <v>7482</v>
      </c>
      <c r="Y425" s="1" t="s">
        <v>7483</v>
      </c>
      <c r="Z425" s="1" t="s">
        <v>7484</v>
      </c>
      <c r="AA425" s="1" t="s">
        <v>7485</v>
      </c>
      <c r="AB425" s="1" t="s">
        <v>7486</v>
      </c>
      <c r="AC425" s="1" t="s">
        <v>74</v>
      </c>
      <c r="AD425" s="1" t="s">
        <v>74</v>
      </c>
      <c r="AE425" s="1" t="s">
        <v>74</v>
      </c>
      <c r="AF425" s="1" t="s">
        <v>74</v>
      </c>
      <c r="AG425" s="1">
        <v>31</v>
      </c>
      <c r="AH425" s="1">
        <v>1</v>
      </c>
      <c r="AI425" s="1">
        <v>1</v>
      </c>
      <c r="AJ425" s="1">
        <v>1</v>
      </c>
      <c r="AK425" s="1">
        <v>7</v>
      </c>
      <c r="AL425" s="1" t="s">
        <v>6554</v>
      </c>
      <c r="AM425" s="1" t="s">
        <v>113</v>
      </c>
      <c r="AN425" s="1" t="s">
        <v>6555</v>
      </c>
      <c r="AO425" s="1" t="s">
        <v>7487</v>
      </c>
      <c r="AP425" s="1" t="s">
        <v>7488</v>
      </c>
      <c r="AQ425" s="1" t="s">
        <v>74</v>
      </c>
      <c r="AR425" s="1" t="s">
        <v>7489</v>
      </c>
      <c r="AS425" s="1" t="s">
        <v>7490</v>
      </c>
      <c r="AT425" s="1" t="s">
        <v>93</v>
      </c>
      <c r="AU425" s="1">
        <v>2023</v>
      </c>
      <c r="AV425" s="1">
        <v>49</v>
      </c>
      <c r="AW425" s="1">
        <v>2</v>
      </c>
      <c r="AX425" s="1" t="s">
        <v>74</v>
      </c>
      <c r="AY425" s="1" t="s">
        <v>74</v>
      </c>
      <c r="AZ425" s="1" t="s">
        <v>74</v>
      </c>
      <c r="BA425" s="1" t="s">
        <v>74</v>
      </c>
      <c r="BB425" s="1">
        <v>97</v>
      </c>
      <c r="BC425" s="1">
        <v>105</v>
      </c>
      <c r="BD425" s="1" t="s">
        <v>74</v>
      </c>
      <c r="BE425" s="1" t="s">
        <v>7491</v>
      </c>
      <c r="BF425" s="1" t="str">
        <f>HYPERLINK("http://dx.doi.org/10.1134/S1063074023020074","http://dx.doi.org/10.1134/S1063074023020074")</f>
        <v>http://dx.doi.org/10.1134/S1063074023020074</v>
      </c>
      <c r="BG425" s="1" t="s">
        <v>74</v>
      </c>
      <c r="BH425" s="1" t="s">
        <v>74</v>
      </c>
      <c r="BI425" s="1">
        <v>9</v>
      </c>
      <c r="BJ425" s="1" t="s">
        <v>680</v>
      </c>
      <c r="BK425" s="1" t="s">
        <v>96</v>
      </c>
      <c r="BL425" s="1" t="s">
        <v>680</v>
      </c>
      <c r="BM425" s="1" t="s">
        <v>7492</v>
      </c>
      <c r="BN425" s="1" t="s">
        <v>74</v>
      </c>
      <c r="BO425" s="1" t="s">
        <v>74</v>
      </c>
      <c r="BP425" s="1" t="s">
        <v>74</v>
      </c>
      <c r="BQ425" s="1" t="s">
        <v>74</v>
      </c>
      <c r="BR425" s="1" t="s">
        <v>98</v>
      </c>
      <c r="BS425" s="1" t="s">
        <v>7493</v>
      </c>
      <c r="BT425" s="1" t="str">
        <f>HYPERLINK("https%3A%2F%2Fwww.webofscience.com%2Fwos%2Fwoscc%2Ffull-record%2FWOS:000990727800004","View Full Record in Web of Science")</f>
        <v>View Full Record in Web of Science</v>
      </c>
    </row>
    <row r="426" spans="1:72">
      <c r="A426" s="1" t="s">
        <v>72</v>
      </c>
      <c r="B426" s="1" t="s">
        <v>7494</v>
      </c>
      <c r="C426" s="1" t="s">
        <v>74</v>
      </c>
      <c r="D426" s="1" t="s">
        <v>74</v>
      </c>
      <c r="E426" s="1" t="s">
        <v>74</v>
      </c>
      <c r="F426" s="1" t="s">
        <v>7495</v>
      </c>
      <c r="G426" s="1" t="s">
        <v>74</v>
      </c>
      <c r="H426" s="1" t="s">
        <v>74</v>
      </c>
      <c r="I426" s="1" t="s">
        <v>7496</v>
      </c>
      <c r="J426" s="1" t="s">
        <v>998</v>
      </c>
      <c r="K426" s="1" t="s">
        <v>74</v>
      </c>
      <c r="L426" s="1" t="s">
        <v>74</v>
      </c>
      <c r="M426" s="1" t="s">
        <v>78</v>
      </c>
      <c r="N426" s="1" t="s">
        <v>79</v>
      </c>
      <c r="O426" s="1" t="s">
        <v>74</v>
      </c>
      <c r="P426" s="1" t="s">
        <v>74</v>
      </c>
      <c r="Q426" s="1" t="s">
        <v>74</v>
      </c>
      <c r="R426" s="1" t="s">
        <v>74</v>
      </c>
      <c r="S426" s="1" t="s">
        <v>74</v>
      </c>
      <c r="T426" s="1" t="s">
        <v>74</v>
      </c>
      <c r="U426" s="1" t="s">
        <v>7497</v>
      </c>
      <c r="V426" s="1" t="s">
        <v>7498</v>
      </c>
      <c r="W426" s="1" t="s">
        <v>7499</v>
      </c>
      <c r="X426" s="1" t="s">
        <v>7500</v>
      </c>
      <c r="Y426" s="1" t="s">
        <v>7501</v>
      </c>
      <c r="Z426" s="1" t="s">
        <v>7502</v>
      </c>
      <c r="AA426" s="1" t="s">
        <v>7503</v>
      </c>
      <c r="AB426" s="1" t="s">
        <v>7504</v>
      </c>
      <c r="AC426" s="1" t="s">
        <v>74</v>
      </c>
      <c r="AD426" s="1" t="s">
        <v>74</v>
      </c>
      <c r="AE426" s="1" t="s">
        <v>74</v>
      </c>
      <c r="AF426" s="1" t="s">
        <v>74</v>
      </c>
      <c r="AG426" s="1">
        <v>57</v>
      </c>
      <c r="AH426" s="1">
        <v>9</v>
      </c>
      <c r="AI426" s="1">
        <v>11</v>
      </c>
      <c r="AJ426" s="1">
        <v>1</v>
      </c>
      <c r="AK426" s="1">
        <v>48</v>
      </c>
      <c r="AL426" s="1" t="s">
        <v>112</v>
      </c>
      <c r="AM426" s="1" t="s">
        <v>113</v>
      </c>
      <c r="AN426" s="1" t="s">
        <v>469</v>
      </c>
      <c r="AO426" s="1" t="s">
        <v>1009</v>
      </c>
      <c r="AP426" s="1" t="s">
        <v>5996</v>
      </c>
      <c r="AQ426" s="1" t="s">
        <v>74</v>
      </c>
      <c r="AR426" s="1" t="s">
        <v>1010</v>
      </c>
      <c r="AS426" s="1" t="s">
        <v>1011</v>
      </c>
      <c r="AT426" s="1" t="s">
        <v>765</v>
      </c>
      <c r="AU426" s="1">
        <v>2013</v>
      </c>
      <c r="AV426" s="1">
        <v>65</v>
      </c>
      <c r="AW426" s="1">
        <v>1</v>
      </c>
      <c r="AX426" s="1" t="s">
        <v>74</v>
      </c>
      <c r="AY426" s="1" t="s">
        <v>74</v>
      </c>
      <c r="AZ426" s="1" t="s">
        <v>74</v>
      </c>
      <c r="BA426" s="1" t="s">
        <v>74</v>
      </c>
      <c r="BB426" s="1">
        <v>89</v>
      </c>
      <c r="BC426" s="1">
        <v>97</v>
      </c>
      <c r="BD426" s="1" t="s">
        <v>74</v>
      </c>
      <c r="BE426" s="1" t="s">
        <v>7505</v>
      </c>
      <c r="BF426" s="1" t="str">
        <f>HYPERLINK("http://dx.doi.org/10.1007/s00244-013-9874-8","http://dx.doi.org/10.1007/s00244-013-9874-8")</f>
        <v>http://dx.doi.org/10.1007/s00244-013-9874-8</v>
      </c>
      <c r="BG426" s="1" t="s">
        <v>74</v>
      </c>
      <c r="BH426" s="1" t="s">
        <v>74</v>
      </c>
      <c r="BI426" s="1">
        <v>9</v>
      </c>
      <c r="BJ426" s="1" t="s">
        <v>121</v>
      </c>
      <c r="BK426" s="1" t="s">
        <v>96</v>
      </c>
      <c r="BL426" s="1" t="s">
        <v>122</v>
      </c>
      <c r="BM426" s="1" t="s">
        <v>7506</v>
      </c>
      <c r="BN426" s="1">
        <v>23392587</v>
      </c>
      <c r="BO426" s="1" t="s">
        <v>74</v>
      </c>
      <c r="BP426" s="1" t="s">
        <v>74</v>
      </c>
      <c r="BQ426" s="1" t="s">
        <v>74</v>
      </c>
      <c r="BR426" s="1" t="s">
        <v>98</v>
      </c>
      <c r="BS426" s="1" t="s">
        <v>7507</v>
      </c>
      <c r="BT426" s="1" t="str">
        <f>HYPERLINK("https%3A%2F%2Fwww.webofscience.com%2Fwos%2Fwoscc%2Ffull-record%2FWOS:000321785100009","View Full Record in Web of Science")</f>
        <v>View Full Record in Web of Science</v>
      </c>
    </row>
    <row r="427" spans="1:72">
      <c r="A427" s="1" t="s">
        <v>72</v>
      </c>
      <c r="B427" s="1" t="s">
        <v>7508</v>
      </c>
      <c r="C427" s="1" t="s">
        <v>74</v>
      </c>
      <c r="D427" s="1" t="s">
        <v>74</v>
      </c>
      <c r="E427" s="1" t="s">
        <v>74</v>
      </c>
      <c r="F427" s="1" t="s">
        <v>7509</v>
      </c>
      <c r="G427" s="1" t="s">
        <v>74</v>
      </c>
      <c r="H427" s="1" t="s">
        <v>74</v>
      </c>
      <c r="I427" s="1" t="s">
        <v>7510</v>
      </c>
      <c r="J427" s="1" t="s">
        <v>127</v>
      </c>
      <c r="K427" s="1" t="s">
        <v>74</v>
      </c>
      <c r="L427" s="1" t="s">
        <v>74</v>
      </c>
      <c r="M427" s="1" t="s">
        <v>78</v>
      </c>
      <c r="N427" s="1" t="s">
        <v>79</v>
      </c>
      <c r="O427" s="1" t="s">
        <v>74</v>
      </c>
      <c r="P427" s="1" t="s">
        <v>74</v>
      </c>
      <c r="Q427" s="1" t="s">
        <v>74</v>
      </c>
      <c r="R427" s="1" t="s">
        <v>74</v>
      </c>
      <c r="S427" s="1" t="s">
        <v>74</v>
      </c>
      <c r="T427" s="1" t="s">
        <v>7511</v>
      </c>
      <c r="U427" s="1" t="s">
        <v>7512</v>
      </c>
      <c r="V427" s="1" t="s">
        <v>7513</v>
      </c>
      <c r="W427" s="1" t="s">
        <v>7514</v>
      </c>
      <c r="X427" s="1" t="s">
        <v>7515</v>
      </c>
      <c r="Y427" s="1" t="s">
        <v>7516</v>
      </c>
      <c r="Z427" s="1" t="s">
        <v>7517</v>
      </c>
      <c r="AA427" s="1" t="s">
        <v>7518</v>
      </c>
      <c r="AB427" s="1" t="s">
        <v>7519</v>
      </c>
      <c r="AC427" s="1" t="s">
        <v>7520</v>
      </c>
      <c r="AD427" s="1" t="s">
        <v>7520</v>
      </c>
      <c r="AE427" s="1" t="s">
        <v>7521</v>
      </c>
      <c r="AF427" s="1" t="s">
        <v>74</v>
      </c>
      <c r="AG427" s="1">
        <v>52</v>
      </c>
      <c r="AH427" s="1">
        <v>34</v>
      </c>
      <c r="AI427" s="1">
        <v>35</v>
      </c>
      <c r="AJ427" s="1">
        <v>1</v>
      </c>
      <c r="AK427" s="1">
        <v>62</v>
      </c>
      <c r="AL427" s="1" t="s">
        <v>136</v>
      </c>
      <c r="AM427" s="1" t="s">
        <v>137</v>
      </c>
      <c r="AN427" s="1" t="s">
        <v>138</v>
      </c>
      <c r="AO427" s="1" t="s">
        <v>139</v>
      </c>
      <c r="AP427" s="1" t="s">
        <v>140</v>
      </c>
      <c r="AQ427" s="1" t="s">
        <v>74</v>
      </c>
      <c r="AR427" s="1" t="s">
        <v>127</v>
      </c>
      <c r="AS427" s="1" t="s">
        <v>141</v>
      </c>
      <c r="AT427" s="1" t="s">
        <v>765</v>
      </c>
      <c r="AU427" s="1">
        <v>2014</v>
      </c>
      <c r="AV427" s="1">
        <v>107</v>
      </c>
      <c r="AW427" s="1" t="s">
        <v>74</v>
      </c>
      <c r="AX427" s="1" t="s">
        <v>74</v>
      </c>
      <c r="AY427" s="1" t="s">
        <v>74</v>
      </c>
      <c r="AZ427" s="1" t="s">
        <v>74</v>
      </c>
      <c r="BA427" s="1" t="s">
        <v>74</v>
      </c>
      <c r="BB427" s="1">
        <v>319</v>
      </c>
      <c r="BC427" s="1">
        <v>323</v>
      </c>
      <c r="BD427" s="1" t="s">
        <v>74</v>
      </c>
      <c r="BE427" s="1" t="s">
        <v>7522</v>
      </c>
      <c r="BF427" s="1" t="str">
        <f>HYPERLINK("http://dx.doi.org/10.1016/j.chemosphere.2013.12.076","http://dx.doi.org/10.1016/j.chemosphere.2013.12.076")</f>
        <v>http://dx.doi.org/10.1016/j.chemosphere.2013.12.076</v>
      </c>
      <c r="BG427" s="1" t="s">
        <v>74</v>
      </c>
      <c r="BH427" s="1" t="s">
        <v>74</v>
      </c>
      <c r="BI427" s="1">
        <v>5</v>
      </c>
      <c r="BJ427" s="1" t="s">
        <v>144</v>
      </c>
      <c r="BK427" s="1" t="s">
        <v>96</v>
      </c>
      <c r="BL427" s="1" t="s">
        <v>145</v>
      </c>
      <c r="BM427" s="1" t="s">
        <v>7523</v>
      </c>
      <c r="BN427" s="1">
        <v>24461428</v>
      </c>
      <c r="BO427" s="1" t="s">
        <v>74</v>
      </c>
      <c r="BP427" s="1" t="s">
        <v>74</v>
      </c>
      <c r="BQ427" s="1" t="s">
        <v>74</v>
      </c>
      <c r="BR427" s="1" t="s">
        <v>98</v>
      </c>
      <c r="BS427" s="1" t="s">
        <v>7524</v>
      </c>
      <c r="BT427" s="1" t="str">
        <f>HYPERLINK("https%3A%2F%2Fwww.webofscience.com%2Fwos%2Fwoscc%2Ffull-record%2FWOS:000337929600040","View Full Record in Web of Science")</f>
        <v>View Full Record in Web of Science</v>
      </c>
    </row>
    <row r="428" spans="1:72">
      <c r="A428" s="1" t="s">
        <v>72</v>
      </c>
      <c r="B428" s="1" t="s">
        <v>7525</v>
      </c>
      <c r="C428" s="1" t="s">
        <v>74</v>
      </c>
      <c r="D428" s="1" t="s">
        <v>74</v>
      </c>
      <c r="E428" s="1" t="s">
        <v>74</v>
      </c>
      <c r="F428" s="1" t="s">
        <v>7526</v>
      </c>
      <c r="G428" s="1" t="s">
        <v>74</v>
      </c>
      <c r="H428" s="1" t="s">
        <v>74</v>
      </c>
      <c r="I428" s="1" t="s">
        <v>7527</v>
      </c>
      <c r="J428" s="1" t="s">
        <v>7528</v>
      </c>
      <c r="K428" s="1" t="s">
        <v>74</v>
      </c>
      <c r="L428" s="1" t="s">
        <v>74</v>
      </c>
      <c r="M428" s="1" t="s">
        <v>78</v>
      </c>
      <c r="N428" s="1" t="s">
        <v>79</v>
      </c>
      <c r="O428" s="1" t="s">
        <v>74</v>
      </c>
      <c r="P428" s="1" t="s">
        <v>74</v>
      </c>
      <c r="Q428" s="1" t="s">
        <v>74</v>
      </c>
      <c r="R428" s="1" t="s">
        <v>74</v>
      </c>
      <c r="S428" s="1" t="s">
        <v>74</v>
      </c>
      <c r="T428" s="1" t="s">
        <v>7529</v>
      </c>
      <c r="U428" s="1" t="s">
        <v>7530</v>
      </c>
      <c r="V428" s="1" t="s">
        <v>7531</v>
      </c>
      <c r="W428" s="1" t="s">
        <v>7532</v>
      </c>
      <c r="X428" s="1" t="s">
        <v>7533</v>
      </c>
      <c r="Y428" s="1" t="s">
        <v>5488</v>
      </c>
      <c r="Z428" s="1" t="s">
        <v>5489</v>
      </c>
      <c r="AA428" s="1" t="s">
        <v>7534</v>
      </c>
      <c r="AB428" s="1" t="s">
        <v>7535</v>
      </c>
      <c r="AC428" s="1" t="s">
        <v>7536</v>
      </c>
      <c r="AD428" s="1" t="s">
        <v>7537</v>
      </c>
      <c r="AE428" s="1" t="s">
        <v>7538</v>
      </c>
      <c r="AF428" s="1" t="s">
        <v>74</v>
      </c>
      <c r="AG428" s="1">
        <v>71</v>
      </c>
      <c r="AH428" s="1">
        <v>61</v>
      </c>
      <c r="AI428" s="1">
        <v>64</v>
      </c>
      <c r="AJ428" s="1">
        <v>2</v>
      </c>
      <c r="AK428" s="1">
        <v>24</v>
      </c>
      <c r="AL428" s="1" t="s">
        <v>7539</v>
      </c>
      <c r="AM428" s="1" t="s">
        <v>7540</v>
      </c>
      <c r="AN428" s="1" t="s">
        <v>7541</v>
      </c>
      <c r="AO428" s="1" t="s">
        <v>7542</v>
      </c>
      <c r="AP428" s="1" t="s">
        <v>74</v>
      </c>
      <c r="AQ428" s="1" t="s">
        <v>74</v>
      </c>
      <c r="AR428" s="1" t="s">
        <v>7543</v>
      </c>
      <c r="AS428" s="1" t="s">
        <v>7544</v>
      </c>
      <c r="AT428" s="1" t="s">
        <v>1470</v>
      </c>
      <c r="AU428" s="1">
        <v>2011</v>
      </c>
      <c r="AV428" s="1">
        <v>300</v>
      </c>
      <c r="AW428" s="1">
        <v>1</v>
      </c>
      <c r="AX428" s="1" t="s">
        <v>74</v>
      </c>
      <c r="AY428" s="1" t="s">
        <v>74</v>
      </c>
      <c r="AZ428" s="1" t="s">
        <v>74</v>
      </c>
      <c r="BA428" s="1" t="s">
        <v>74</v>
      </c>
      <c r="BB428" s="1" t="s">
        <v>7545</v>
      </c>
      <c r="BC428" s="1" t="s">
        <v>7546</v>
      </c>
      <c r="BD428" s="1" t="s">
        <v>74</v>
      </c>
      <c r="BE428" s="1" t="s">
        <v>7547</v>
      </c>
      <c r="BF428" s="1" t="str">
        <f>HYPERLINK("http://dx.doi.org/10.1152/ajpregu.00279.2010","http://dx.doi.org/10.1152/ajpregu.00279.2010")</f>
        <v>http://dx.doi.org/10.1152/ajpregu.00279.2010</v>
      </c>
      <c r="BG428" s="1" t="s">
        <v>74</v>
      </c>
      <c r="BH428" s="1" t="s">
        <v>74</v>
      </c>
      <c r="BI428" s="1">
        <v>11</v>
      </c>
      <c r="BJ428" s="1" t="s">
        <v>7548</v>
      </c>
      <c r="BK428" s="1" t="s">
        <v>96</v>
      </c>
      <c r="BL428" s="1" t="s">
        <v>7548</v>
      </c>
      <c r="BM428" s="1" t="s">
        <v>7549</v>
      </c>
      <c r="BN428" s="1">
        <v>20844261</v>
      </c>
      <c r="BO428" s="1" t="s">
        <v>74</v>
      </c>
      <c r="BP428" s="1" t="s">
        <v>74</v>
      </c>
      <c r="BQ428" s="1" t="s">
        <v>74</v>
      </c>
      <c r="BR428" s="1" t="s">
        <v>98</v>
      </c>
      <c r="BS428" s="1" t="s">
        <v>7550</v>
      </c>
      <c r="BT428" s="1" t="str">
        <f>HYPERLINK("https%3A%2F%2Fwww.webofscience.com%2Fwos%2Fwoscc%2Ffull-record%2FWOS:000285584100004","View Full Record in Web of Science")</f>
        <v>View Full Record in Web of Science</v>
      </c>
    </row>
    <row r="429" spans="1:72">
      <c r="A429" s="1" t="s">
        <v>72</v>
      </c>
      <c r="B429" s="1" t="s">
        <v>7551</v>
      </c>
      <c r="C429" s="1" t="s">
        <v>74</v>
      </c>
      <c r="D429" s="1" t="s">
        <v>74</v>
      </c>
      <c r="E429" s="1" t="s">
        <v>74</v>
      </c>
      <c r="F429" s="1" t="s">
        <v>7552</v>
      </c>
      <c r="G429" s="1" t="s">
        <v>74</v>
      </c>
      <c r="H429" s="1" t="s">
        <v>74</v>
      </c>
      <c r="I429" s="1" t="s">
        <v>7553</v>
      </c>
      <c r="J429" s="1" t="s">
        <v>7554</v>
      </c>
      <c r="K429" s="1" t="s">
        <v>74</v>
      </c>
      <c r="L429" s="1" t="s">
        <v>74</v>
      </c>
      <c r="M429" s="1" t="s">
        <v>78</v>
      </c>
      <c r="N429" s="1" t="s">
        <v>79</v>
      </c>
      <c r="O429" s="1" t="s">
        <v>74</v>
      </c>
      <c r="P429" s="1" t="s">
        <v>74</v>
      </c>
      <c r="Q429" s="1" t="s">
        <v>74</v>
      </c>
      <c r="R429" s="1" t="s">
        <v>74</v>
      </c>
      <c r="S429" s="1" t="s">
        <v>74</v>
      </c>
      <c r="T429" s="1" t="s">
        <v>7555</v>
      </c>
      <c r="U429" s="1" t="s">
        <v>7556</v>
      </c>
      <c r="V429" s="1" t="s">
        <v>7557</v>
      </c>
      <c r="W429" s="1" t="s">
        <v>7558</v>
      </c>
      <c r="X429" s="1" t="s">
        <v>7559</v>
      </c>
      <c r="Y429" s="1" t="s">
        <v>7560</v>
      </c>
      <c r="Z429" s="1" t="s">
        <v>74</v>
      </c>
      <c r="AA429" s="1" t="s">
        <v>7561</v>
      </c>
      <c r="AB429" s="1" t="s">
        <v>7562</v>
      </c>
      <c r="AC429" s="1" t="s">
        <v>74</v>
      </c>
      <c r="AD429" s="1" t="s">
        <v>74</v>
      </c>
      <c r="AE429" s="1" t="s">
        <v>74</v>
      </c>
      <c r="AF429" s="1" t="s">
        <v>74</v>
      </c>
      <c r="AG429" s="1">
        <v>39</v>
      </c>
      <c r="AH429" s="1">
        <v>3</v>
      </c>
      <c r="AI429" s="1">
        <v>6</v>
      </c>
      <c r="AJ429" s="1">
        <v>0</v>
      </c>
      <c r="AK429" s="1">
        <v>3</v>
      </c>
      <c r="AL429" s="1" t="s">
        <v>5471</v>
      </c>
      <c r="AM429" s="1" t="s">
        <v>5472</v>
      </c>
      <c r="AN429" s="1" t="s">
        <v>5473</v>
      </c>
      <c r="AO429" s="1" t="s">
        <v>5474</v>
      </c>
      <c r="AP429" s="1" t="s">
        <v>74</v>
      </c>
      <c r="AQ429" s="1" t="s">
        <v>74</v>
      </c>
      <c r="AR429" s="1" t="s">
        <v>5476</v>
      </c>
      <c r="AS429" s="1" t="s">
        <v>5477</v>
      </c>
      <c r="AT429" s="1" t="s">
        <v>197</v>
      </c>
      <c r="AU429" s="1">
        <v>2008</v>
      </c>
      <c r="AV429" s="1">
        <v>7</v>
      </c>
      <c r="AW429" s="1">
        <v>12</v>
      </c>
      <c r="AX429" s="1" t="s">
        <v>74</v>
      </c>
      <c r="AY429" s="1" t="s">
        <v>74</v>
      </c>
      <c r="AZ429" s="1" t="s">
        <v>74</v>
      </c>
      <c r="BA429" s="1" t="s">
        <v>74</v>
      </c>
      <c r="BB429" s="1">
        <v>1618</v>
      </c>
      <c r="BC429" s="1">
        <v>1623</v>
      </c>
      <c r="BD429" s="1" t="s">
        <v>74</v>
      </c>
      <c r="BE429" s="1" t="s">
        <v>74</v>
      </c>
      <c r="BF429" s="1" t="s">
        <v>74</v>
      </c>
      <c r="BG429" s="1" t="s">
        <v>74</v>
      </c>
      <c r="BH429" s="1" t="s">
        <v>74</v>
      </c>
      <c r="BI429" s="1">
        <v>6</v>
      </c>
      <c r="BJ429" s="1" t="s">
        <v>1057</v>
      </c>
      <c r="BK429" s="1" t="s">
        <v>96</v>
      </c>
      <c r="BL429" s="1" t="s">
        <v>1057</v>
      </c>
      <c r="BM429" s="1" t="s">
        <v>7563</v>
      </c>
      <c r="BN429" s="1" t="s">
        <v>74</v>
      </c>
      <c r="BO429" s="1" t="s">
        <v>74</v>
      </c>
      <c r="BP429" s="1" t="s">
        <v>74</v>
      </c>
      <c r="BQ429" s="1" t="s">
        <v>74</v>
      </c>
      <c r="BR429" s="1" t="s">
        <v>98</v>
      </c>
      <c r="BS429" s="1" t="s">
        <v>7564</v>
      </c>
      <c r="BT429" s="1" t="str">
        <f>HYPERLINK("https%3A%2F%2Fwww.webofscience.com%2Fwos%2Fwoscc%2Ffull-record%2FWOS:000262562300020","View Full Record in Web of Science")</f>
        <v>View Full Record in Web of Science</v>
      </c>
    </row>
    <row r="430" spans="1:72">
      <c r="A430" s="1" t="s">
        <v>72</v>
      </c>
      <c r="B430" s="1" t="s">
        <v>7565</v>
      </c>
      <c r="C430" s="1" t="s">
        <v>74</v>
      </c>
      <c r="D430" s="1" t="s">
        <v>74</v>
      </c>
      <c r="E430" s="1" t="s">
        <v>74</v>
      </c>
      <c r="F430" s="1" t="s">
        <v>7566</v>
      </c>
      <c r="G430" s="1" t="s">
        <v>74</v>
      </c>
      <c r="H430" s="1" t="s">
        <v>74</v>
      </c>
      <c r="I430" s="1" t="s">
        <v>7567</v>
      </c>
      <c r="J430" s="1" t="s">
        <v>232</v>
      </c>
      <c r="K430" s="1" t="s">
        <v>74</v>
      </c>
      <c r="L430" s="1" t="s">
        <v>74</v>
      </c>
      <c r="M430" s="1" t="s">
        <v>78</v>
      </c>
      <c r="N430" s="1" t="s">
        <v>79</v>
      </c>
      <c r="O430" s="1" t="s">
        <v>74</v>
      </c>
      <c r="P430" s="1" t="s">
        <v>74</v>
      </c>
      <c r="Q430" s="1" t="s">
        <v>74</v>
      </c>
      <c r="R430" s="1" t="s">
        <v>74</v>
      </c>
      <c r="S430" s="1" t="s">
        <v>74</v>
      </c>
      <c r="T430" s="1" t="s">
        <v>7568</v>
      </c>
      <c r="U430" s="1" t="s">
        <v>7569</v>
      </c>
      <c r="V430" s="1" t="s">
        <v>7570</v>
      </c>
      <c r="W430" s="1" t="s">
        <v>7571</v>
      </c>
      <c r="X430" s="1" t="s">
        <v>7572</v>
      </c>
      <c r="Y430" s="1" t="s">
        <v>7573</v>
      </c>
      <c r="Z430" s="1" t="s">
        <v>74</v>
      </c>
      <c r="AA430" s="1" t="s">
        <v>7574</v>
      </c>
      <c r="AB430" s="1" t="s">
        <v>7575</v>
      </c>
      <c r="AC430" s="1" t="s">
        <v>7576</v>
      </c>
      <c r="AD430" s="1" t="s">
        <v>7577</v>
      </c>
      <c r="AE430" s="1" t="s">
        <v>7578</v>
      </c>
      <c r="AF430" s="1" t="s">
        <v>74</v>
      </c>
      <c r="AG430" s="1">
        <v>32</v>
      </c>
      <c r="AH430" s="1">
        <v>6</v>
      </c>
      <c r="AI430" s="1">
        <v>7</v>
      </c>
      <c r="AJ430" s="1">
        <v>0</v>
      </c>
      <c r="AK430" s="1">
        <v>12</v>
      </c>
      <c r="AL430" s="1" t="s">
        <v>136</v>
      </c>
      <c r="AM430" s="1" t="s">
        <v>137</v>
      </c>
      <c r="AN430" s="1" t="s">
        <v>138</v>
      </c>
      <c r="AO430" s="1" t="s">
        <v>240</v>
      </c>
      <c r="AP430" s="1" t="s">
        <v>241</v>
      </c>
      <c r="AQ430" s="1" t="s">
        <v>74</v>
      </c>
      <c r="AR430" s="1" t="s">
        <v>242</v>
      </c>
      <c r="AS430" s="1" t="s">
        <v>243</v>
      </c>
      <c r="AT430" s="1" t="s">
        <v>325</v>
      </c>
      <c r="AU430" s="1">
        <v>2016</v>
      </c>
      <c r="AV430" s="1">
        <v>111</v>
      </c>
      <c r="AW430" s="1" t="s">
        <v>326</v>
      </c>
      <c r="AX430" s="1" t="s">
        <v>74</v>
      </c>
      <c r="AY430" s="1" t="s">
        <v>74</v>
      </c>
      <c r="AZ430" s="1" t="s">
        <v>74</v>
      </c>
      <c r="BA430" s="1" t="s">
        <v>74</v>
      </c>
      <c r="BB430" s="1">
        <v>488</v>
      </c>
      <c r="BC430" s="1">
        <v>492</v>
      </c>
      <c r="BD430" s="1" t="s">
        <v>74</v>
      </c>
      <c r="BE430" s="1" t="s">
        <v>7579</v>
      </c>
      <c r="BF430" s="1" t="str">
        <f>HYPERLINK("http://dx.doi.org/10.1016/j.marpolbul.2016.06.053","http://dx.doi.org/10.1016/j.marpolbul.2016.06.053")</f>
        <v>http://dx.doi.org/10.1016/j.marpolbul.2016.06.053</v>
      </c>
      <c r="BG430" s="1" t="s">
        <v>74</v>
      </c>
      <c r="BH430" s="1" t="s">
        <v>74</v>
      </c>
      <c r="BI430" s="1">
        <v>5</v>
      </c>
      <c r="BJ430" s="1" t="s">
        <v>247</v>
      </c>
      <c r="BK430" s="1" t="s">
        <v>96</v>
      </c>
      <c r="BL430" s="1" t="s">
        <v>248</v>
      </c>
      <c r="BM430" s="1" t="s">
        <v>7580</v>
      </c>
      <c r="BN430" s="1">
        <v>27321804</v>
      </c>
      <c r="BO430" s="1" t="s">
        <v>74</v>
      </c>
      <c r="BP430" s="1" t="s">
        <v>74</v>
      </c>
      <c r="BQ430" s="1" t="s">
        <v>74</v>
      </c>
      <c r="BR430" s="1" t="s">
        <v>98</v>
      </c>
      <c r="BS430" s="1" t="s">
        <v>7581</v>
      </c>
      <c r="BT430" s="1" t="str">
        <f>HYPERLINK("https%3A%2F%2Fwww.webofscience.com%2Fwos%2Fwoscc%2Ffull-record%2FWOS:000384854100066","View Full Record in Web of Science")</f>
        <v>View Full Record in Web of Science</v>
      </c>
    </row>
    <row r="431" spans="1:72">
      <c r="A431" s="1" t="s">
        <v>72</v>
      </c>
      <c r="B431" s="1" t="s">
        <v>7582</v>
      </c>
      <c r="C431" s="1" t="s">
        <v>74</v>
      </c>
      <c r="D431" s="1" t="s">
        <v>74</v>
      </c>
      <c r="E431" s="1" t="s">
        <v>74</v>
      </c>
      <c r="F431" s="1" t="s">
        <v>7582</v>
      </c>
      <c r="G431" s="1" t="s">
        <v>74</v>
      </c>
      <c r="H431" s="1" t="s">
        <v>74</v>
      </c>
      <c r="I431" s="1" t="s">
        <v>7583</v>
      </c>
      <c r="J431" s="1" t="s">
        <v>7584</v>
      </c>
      <c r="K431" s="1" t="s">
        <v>74</v>
      </c>
      <c r="L431" s="1" t="s">
        <v>74</v>
      </c>
      <c r="M431" s="1" t="s">
        <v>78</v>
      </c>
      <c r="N431" s="1" t="s">
        <v>79</v>
      </c>
      <c r="O431" s="1" t="s">
        <v>74</v>
      </c>
      <c r="P431" s="1" t="s">
        <v>74</v>
      </c>
      <c r="Q431" s="1" t="s">
        <v>74</v>
      </c>
      <c r="R431" s="1" t="s">
        <v>74</v>
      </c>
      <c r="S431" s="1" t="s">
        <v>74</v>
      </c>
      <c r="T431" s="1" t="s">
        <v>74</v>
      </c>
      <c r="U431" s="1" t="s">
        <v>74</v>
      </c>
      <c r="V431" s="1" t="s">
        <v>7585</v>
      </c>
      <c r="W431" s="1" t="s">
        <v>7586</v>
      </c>
      <c r="X431" s="1" t="s">
        <v>7587</v>
      </c>
      <c r="Y431" s="1" t="s">
        <v>7588</v>
      </c>
      <c r="Z431" s="1" t="s">
        <v>74</v>
      </c>
      <c r="AA431" s="1" t="s">
        <v>74</v>
      </c>
      <c r="AB431" s="1" t="s">
        <v>74</v>
      </c>
      <c r="AC431" s="1" t="s">
        <v>74</v>
      </c>
      <c r="AD431" s="1" t="s">
        <v>74</v>
      </c>
      <c r="AE431" s="1" t="s">
        <v>74</v>
      </c>
      <c r="AF431" s="1" t="s">
        <v>74</v>
      </c>
      <c r="AG431" s="1">
        <v>31</v>
      </c>
      <c r="AH431" s="1">
        <v>51</v>
      </c>
      <c r="AI431" s="1">
        <v>59</v>
      </c>
      <c r="AJ431" s="1">
        <v>0</v>
      </c>
      <c r="AK431" s="1">
        <v>10</v>
      </c>
      <c r="AL431" s="1" t="s">
        <v>136</v>
      </c>
      <c r="AM431" s="1" t="s">
        <v>137</v>
      </c>
      <c r="AN431" s="1" t="s">
        <v>138</v>
      </c>
      <c r="AO431" s="1" t="s">
        <v>7589</v>
      </c>
      <c r="AP431" s="1" t="s">
        <v>7590</v>
      </c>
      <c r="AQ431" s="1" t="s">
        <v>74</v>
      </c>
      <c r="AR431" s="1" t="s">
        <v>7591</v>
      </c>
      <c r="AS431" s="1" t="s">
        <v>7592</v>
      </c>
      <c r="AT431" s="1" t="s">
        <v>74</v>
      </c>
      <c r="AU431" s="1">
        <v>1985</v>
      </c>
      <c r="AV431" s="1">
        <v>19</v>
      </c>
      <c r="AW431" s="1">
        <v>11</v>
      </c>
      <c r="AX431" s="1" t="s">
        <v>74</v>
      </c>
      <c r="AY431" s="1" t="s">
        <v>74</v>
      </c>
      <c r="AZ431" s="1" t="s">
        <v>74</v>
      </c>
      <c r="BA431" s="1" t="s">
        <v>74</v>
      </c>
      <c r="BB431" s="1">
        <v>1387</v>
      </c>
      <c r="BC431" s="1">
        <v>1392</v>
      </c>
      <c r="BD431" s="1" t="s">
        <v>74</v>
      </c>
      <c r="BE431" s="1" t="s">
        <v>7593</v>
      </c>
      <c r="BF431" s="1" t="str">
        <f>HYPERLINK("http://dx.doi.org/10.1016/0043-1354(85)90305-7","http://dx.doi.org/10.1016/0043-1354(85)90305-7")</f>
        <v>http://dx.doi.org/10.1016/0043-1354(85)90305-7</v>
      </c>
      <c r="BG431" s="1" t="s">
        <v>74</v>
      </c>
      <c r="BH431" s="1" t="s">
        <v>74</v>
      </c>
      <c r="BI431" s="1">
        <v>6</v>
      </c>
      <c r="BJ431" s="1" t="s">
        <v>587</v>
      </c>
      <c r="BK431" s="1" t="s">
        <v>96</v>
      </c>
      <c r="BL431" s="1" t="s">
        <v>589</v>
      </c>
      <c r="BM431" s="1" t="s">
        <v>7594</v>
      </c>
      <c r="BN431" s="1" t="s">
        <v>74</v>
      </c>
      <c r="BO431" s="1" t="s">
        <v>74</v>
      </c>
      <c r="BP431" s="1" t="s">
        <v>74</v>
      </c>
      <c r="BQ431" s="1" t="s">
        <v>74</v>
      </c>
      <c r="BR431" s="1" t="s">
        <v>98</v>
      </c>
      <c r="BS431" s="1" t="s">
        <v>7595</v>
      </c>
      <c r="BT431" s="1" t="str">
        <f>HYPERLINK("https%3A%2F%2Fwww.webofscience.com%2Fwos%2Fwoscc%2Ffull-record%2FWOS:A1985ATB0800009","View Full Record in Web of Science")</f>
        <v>View Full Record in Web of Science</v>
      </c>
    </row>
    <row r="432" spans="1:72">
      <c r="A432" s="1" t="s">
        <v>72</v>
      </c>
      <c r="B432" s="1" t="s">
        <v>7596</v>
      </c>
      <c r="C432" s="1" t="s">
        <v>74</v>
      </c>
      <c r="D432" s="1" t="s">
        <v>74</v>
      </c>
      <c r="E432" s="1" t="s">
        <v>74</v>
      </c>
      <c r="F432" s="1" t="s">
        <v>7596</v>
      </c>
      <c r="G432" s="1" t="s">
        <v>74</v>
      </c>
      <c r="H432" s="1" t="s">
        <v>74</v>
      </c>
      <c r="I432" s="1" t="s">
        <v>7597</v>
      </c>
      <c r="J432" s="1" t="s">
        <v>232</v>
      </c>
      <c r="K432" s="1" t="s">
        <v>74</v>
      </c>
      <c r="L432" s="1" t="s">
        <v>74</v>
      </c>
      <c r="M432" s="1" t="s">
        <v>78</v>
      </c>
      <c r="N432" s="1" t="s">
        <v>79</v>
      </c>
      <c r="O432" s="1" t="s">
        <v>74</v>
      </c>
      <c r="P432" s="1" t="s">
        <v>74</v>
      </c>
      <c r="Q432" s="1" t="s">
        <v>74</v>
      </c>
      <c r="R432" s="1" t="s">
        <v>74</v>
      </c>
      <c r="S432" s="1" t="s">
        <v>74</v>
      </c>
      <c r="T432" s="1" t="s">
        <v>7598</v>
      </c>
      <c r="U432" s="1" t="s">
        <v>7599</v>
      </c>
      <c r="V432" s="1" t="s">
        <v>7600</v>
      </c>
      <c r="W432" s="1" t="s">
        <v>7601</v>
      </c>
      <c r="X432" s="1" t="s">
        <v>7602</v>
      </c>
      <c r="Y432" s="1" t="s">
        <v>7603</v>
      </c>
      <c r="Z432" s="1" t="s">
        <v>7604</v>
      </c>
      <c r="AA432" s="1" t="s">
        <v>74</v>
      </c>
      <c r="AB432" s="1" t="s">
        <v>7605</v>
      </c>
      <c r="AC432" s="1" t="s">
        <v>74</v>
      </c>
      <c r="AD432" s="1" t="s">
        <v>74</v>
      </c>
      <c r="AE432" s="1" t="s">
        <v>74</v>
      </c>
      <c r="AF432" s="1" t="s">
        <v>74</v>
      </c>
      <c r="AG432" s="1">
        <v>39</v>
      </c>
      <c r="AH432" s="1">
        <v>17</v>
      </c>
      <c r="AI432" s="1">
        <v>20</v>
      </c>
      <c r="AJ432" s="1">
        <v>1</v>
      </c>
      <c r="AK432" s="1">
        <v>19</v>
      </c>
      <c r="AL432" s="1" t="s">
        <v>136</v>
      </c>
      <c r="AM432" s="1" t="s">
        <v>137</v>
      </c>
      <c r="AN432" s="1" t="s">
        <v>138</v>
      </c>
      <c r="AO432" s="1" t="s">
        <v>240</v>
      </c>
      <c r="AP432" s="1" t="s">
        <v>241</v>
      </c>
      <c r="AQ432" s="1" t="s">
        <v>74</v>
      </c>
      <c r="AR432" s="1" t="s">
        <v>242</v>
      </c>
      <c r="AS432" s="1" t="s">
        <v>243</v>
      </c>
      <c r="AT432" s="1" t="s">
        <v>224</v>
      </c>
      <c r="AU432" s="1">
        <v>2004</v>
      </c>
      <c r="AV432" s="1">
        <v>48</v>
      </c>
      <c r="AW432" s="1" t="s">
        <v>1070</v>
      </c>
      <c r="AX432" s="1" t="s">
        <v>74</v>
      </c>
      <c r="AY432" s="1" t="s">
        <v>74</v>
      </c>
      <c r="AZ432" s="1" t="s">
        <v>74</v>
      </c>
      <c r="BA432" s="1" t="s">
        <v>74</v>
      </c>
      <c r="BB432" s="1">
        <v>254</v>
      </c>
      <c r="BC432" s="1">
        <v>262</v>
      </c>
      <c r="BD432" s="1" t="s">
        <v>74</v>
      </c>
      <c r="BE432" s="1" t="s">
        <v>7606</v>
      </c>
      <c r="BF432" s="1" t="str">
        <f>HYPERLINK("http://dx.doi.org/10.1016/S0025-326X(03)00397-7","http://dx.doi.org/10.1016/S0025-326X(03)00397-7")</f>
        <v>http://dx.doi.org/10.1016/S0025-326X(03)00397-7</v>
      </c>
      <c r="BG432" s="1" t="s">
        <v>74</v>
      </c>
      <c r="BH432" s="1" t="s">
        <v>74</v>
      </c>
      <c r="BI432" s="1">
        <v>9</v>
      </c>
      <c r="BJ432" s="1" t="s">
        <v>247</v>
      </c>
      <c r="BK432" s="1" t="s">
        <v>96</v>
      </c>
      <c r="BL432" s="1" t="s">
        <v>248</v>
      </c>
      <c r="BM432" s="1" t="s">
        <v>7607</v>
      </c>
      <c r="BN432" s="1">
        <v>14972577</v>
      </c>
      <c r="BO432" s="1" t="s">
        <v>74</v>
      </c>
      <c r="BP432" s="1" t="s">
        <v>74</v>
      </c>
      <c r="BQ432" s="1" t="s">
        <v>74</v>
      </c>
      <c r="BR432" s="1" t="s">
        <v>98</v>
      </c>
      <c r="BS432" s="1" t="s">
        <v>7608</v>
      </c>
      <c r="BT432" s="1" t="str">
        <f>HYPERLINK("https%3A%2F%2Fwww.webofscience.com%2Fwos%2Fwoscc%2Ffull-record%2FWOS:000220102500018","View Full Record in Web of Science")</f>
        <v>View Full Record in Web of Science</v>
      </c>
    </row>
    <row r="433" spans="1:72">
      <c r="A433" s="1" t="s">
        <v>72</v>
      </c>
      <c r="B433" s="1" t="s">
        <v>7609</v>
      </c>
      <c r="C433" s="1" t="s">
        <v>74</v>
      </c>
      <c r="D433" s="1" t="s">
        <v>74</v>
      </c>
      <c r="E433" s="1" t="s">
        <v>74</v>
      </c>
      <c r="F433" s="1" t="s">
        <v>7610</v>
      </c>
      <c r="G433" s="1" t="s">
        <v>74</v>
      </c>
      <c r="H433" s="1" t="s">
        <v>74</v>
      </c>
      <c r="I433" s="1" t="s">
        <v>7611</v>
      </c>
      <c r="J433" s="1" t="s">
        <v>5413</v>
      </c>
      <c r="K433" s="1" t="s">
        <v>74</v>
      </c>
      <c r="L433" s="1" t="s">
        <v>74</v>
      </c>
      <c r="M433" s="1" t="s">
        <v>78</v>
      </c>
      <c r="N433" s="1" t="s">
        <v>79</v>
      </c>
      <c r="O433" s="1" t="s">
        <v>74</v>
      </c>
      <c r="P433" s="1" t="s">
        <v>74</v>
      </c>
      <c r="Q433" s="1" t="s">
        <v>74</v>
      </c>
      <c r="R433" s="1" t="s">
        <v>74</v>
      </c>
      <c r="S433" s="1" t="s">
        <v>74</v>
      </c>
      <c r="T433" s="1" t="s">
        <v>7612</v>
      </c>
      <c r="U433" s="1" t="s">
        <v>7613</v>
      </c>
      <c r="V433" s="1" t="s">
        <v>7614</v>
      </c>
      <c r="W433" s="1" t="s">
        <v>7615</v>
      </c>
      <c r="X433" s="1" t="s">
        <v>7616</v>
      </c>
      <c r="Y433" s="1" t="s">
        <v>7617</v>
      </c>
      <c r="Z433" s="1" t="s">
        <v>7618</v>
      </c>
      <c r="AA433" s="1" t="s">
        <v>603</v>
      </c>
      <c r="AB433" s="1" t="s">
        <v>7619</v>
      </c>
      <c r="AC433" s="1" t="s">
        <v>7620</v>
      </c>
      <c r="AD433" s="1" t="s">
        <v>7621</v>
      </c>
      <c r="AE433" s="1" t="s">
        <v>7622</v>
      </c>
      <c r="AF433" s="1" t="s">
        <v>74</v>
      </c>
      <c r="AG433" s="1">
        <v>32</v>
      </c>
      <c r="AH433" s="1">
        <v>23</v>
      </c>
      <c r="AI433" s="1">
        <v>24</v>
      </c>
      <c r="AJ433" s="1">
        <v>2</v>
      </c>
      <c r="AK433" s="1">
        <v>33</v>
      </c>
      <c r="AL433" s="1" t="s">
        <v>919</v>
      </c>
      <c r="AM433" s="1" t="s">
        <v>651</v>
      </c>
      <c r="AN433" s="1" t="s">
        <v>920</v>
      </c>
      <c r="AO433" s="1" t="s">
        <v>5426</v>
      </c>
      <c r="AP433" s="1" t="s">
        <v>74</v>
      </c>
      <c r="AQ433" s="1" t="s">
        <v>74</v>
      </c>
      <c r="AR433" s="1" t="s">
        <v>5428</v>
      </c>
      <c r="AS433" s="1" t="s">
        <v>5429</v>
      </c>
      <c r="AT433" s="1" t="s">
        <v>1470</v>
      </c>
      <c r="AU433" s="1">
        <v>2012</v>
      </c>
      <c r="AV433" s="1">
        <v>33</v>
      </c>
      <c r="AW433" s="1">
        <v>1</v>
      </c>
      <c r="AX433" s="1" t="s">
        <v>74</v>
      </c>
      <c r="AY433" s="1" t="s">
        <v>74</v>
      </c>
      <c r="AZ433" s="1" t="s">
        <v>74</v>
      </c>
      <c r="BA433" s="1" t="s">
        <v>74</v>
      </c>
      <c r="BB433" s="1">
        <v>85</v>
      </c>
      <c r="BC433" s="1">
        <v>91</v>
      </c>
      <c r="BD433" s="1" t="s">
        <v>74</v>
      </c>
      <c r="BE433" s="1" t="s">
        <v>7623</v>
      </c>
      <c r="BF433" s="1" t="str">
        <f>HYPERLINK("http://dx.doi.org/10.1016/j.etap.2011.08.015","http://dx.doi.org/10.1016/j.etap.2011.08.015")</f>
        <v>http://dx.doi.org/10.1016/j.etap.2011.08.015</v>
      </c>
      <c r="BG433" s="1" t="s">
        <v>74</v>
      </c>
      <c r="BH433" s="1" t="s">
        <v>74</v>
      </c>
      <c r="BI433" s="1">
        <v>7</v>
      </c>
      <c r="BJ433" s="1" t="s">
        <v>5431</v>
      </c>
      <c r="BK433" s="1" t="s">
        <v>96</v>
      </c>
      <c r="BL433" s="1" t="s">
        <v>5432</v>
      </c>
      <c r="BM433" s="1" t="s">
        <v>7624</v>
      </c>
      <c r="BN433" s="1">
        <v>22196047</v>
      </c>
      <c r="BO433" s="1" t="s">
        <v>74</v>
      </c>
      <c r="BP433" s="1" t="s">
        <v>74</v>
      </c>
      <c r="BQ433" s="1" t="s">
        <v>74</v>
      </c>
      <c r="BR433" s="1" t="s">
        <v>98</v>
      </c>
      <c r="BS433" s="1" t="s">
        <v>7625</v>
      </c>
      <c r="BT433" s="1" t="str">
        <f>HYPERLINK("https%3A%2F%2Fwww.webofscience.com%2Fwos%2Fwoscc%2Ffull-record%2FWOS:000301876600011","View Full Record in Web of Science")</f>
        <v>View Full Record in Web of Science</v>
      </c>
    </row>
    <row r="434" spans="1:72">
      <c r="A434" s="1" t="s">
        <v>72</v>
      </c>
      <c r="B434" s="1" t="s">
        <v>7626</v>
      </c>
      <c r="C434" s="1" t="s">
        <v>74</v>
      </c>
      <c r="D434" s="1" t="s">
        <v>74</v>
      </c>
      <c r="E434" s="1" t="s">
        <v>74</v>
      </c>
      <c r="F434" s="1" t="s">
        <v>7627</v>
      </c>
      <c r="G434" s="1" t="s">
        <v>74</v>
      </c>
      <c r="H434" s="1" t="s">
        <v>74</v>
      </c>
      <c r="I434" s="1" t="s">
        <v>7628</v>
      </c>
      <c r="J434" s="1" t="s">
        <v>127</v>
      </c>
      <c r="K434" s="1" t="s">
        <v>74</v>
      </c>
      <c r="L434" s="1" t="s">
        <v>74</v>
      </c>
      <c r="M434" s="1" t="s">
        <v>78</v>
      </c>
      <c r="N434" s="1" t="s">
        <v>79</v>
      </c>
      <c r="O434" s="1" t="s">
        <v>74</v>
      </c>
      <c r="P434" s="1" t="s">
        <v>74</v>
      </c>
      <c r="Q434" s="1" t="s">
        <v>74</v>
      </c>
      <c r="R434" s="1" t="s">
        <v>74</v>
      </c>
      <c r="S434" s="1" t="s">
        <v>74</v>
      </c>
      <c r="T434" s="1" t="s">
        <v>7629</v>
      </c>
      <c r="U434" s="1" t="s">
        <v>7630</v>
      </c>
      <c r="V434" s="1" t="s">
        <v>7631</v>
      </c>
      <c r="W434" s="1" t="s">
        <v>7632</v>
      </c>
      <c r="X434" s="1" t="s">
        <v>7633</v>
      </c>
      <c r="Y434" s="1" t="s">
        <v>7634</v>
      </c>
      <c r="Z434" s="1" t="s">
        <v>7635</v>
      </c>
      <c r="AA434" s="1" t="s">
        <v>74</v>
      </c>
      <c r="AB434" s="1" t="s">
        <v>7636</v>
      </c>
      <c r="AC434" s="1" t="s">
        <v>7637</v>
      </c>
      <c r="AD434" s="1" t="s">
        <v>7638</v>
      </c>
      <c r="AE434" s="1" t="s">
        <v>7639</v>
      </c>
      <c r="AF434" s="1" t="s">
        <v>74</v>
      </c>
      <c r="AG434" s="1">
        <v>133</v>
      </c>
      <c r="AH434" s="1">
        <v>7</v>
      </c>
      <c r="AI434" s="1">
        <v>7</v>
      </c>
      <c r="AJ434" s="1">
        <v>1</v>
      </c>
      <c r="AK434" s="1">
        <v>48</v>
      </c>
      <c r="AL434" s="1" t="s">
        <v>136</v>
      </c>
      <c r="AM434" s="1" t="s">
        <v>137</v>
      </c>
      <c r="AN434" s="1" t="s">
        <v>138</v>
      </c>
      <c r="AO434" s="1" t="s">
        <v>139</v>
      </c>
      <c r="AP434" s="1" t="s">
        <v>140</v>
      </c>
      <c r="AQ434" s="1" t="s">
        <v>74</v>
      </c>
      <c r="AR434" s="1" t="s">
        <v>127</v>
      </c>
      <c r="AS434" s="1" t="s">
        <v>141</v>
      </c>
      <c r="AT434" s="1" t="s">
        <v>951</v>
      </c>
      <c r="AU434" s="1">
        <v>2020</v>
      </c>
      <c r="AV434" s="1">
        <v>259</v>
      </c>
      <c r="AW434" s="1" t="s">
        <v>74</v>
      </c>
      <c r="AX434" s="1" t="s">
        <v>74</v>
      </c>
      <c r="AY434" s="1" t="s">
        <v>74</v>
      </c>
      <c r="AZ434" s="1" t="s">
        <v>74</v>
      </c>
      <c r="BA434" s="1" t="s">
        <v>74</v>
      </c>
      <c r="BB434" s="1" t="s">
        <v>74</v>
      </c>
      <c r="BC434" s="1" t="s">
        <v>74</v>
      </c>
      <c r="BD434" s="1">
        <v>127484</v>
      </c>
      <c r="BE434" s="1" t="s">
        <v>7640</v>
      </c>
      <c r="BF434" s="1" t="str">
        <f>HYPERLINK("http://dx.doi.org/10.1016/j.chemosphere.2020.127484","http://dx.doi.org/10.1016/j.chemosphere.2020.127484")</f>
        <v>http://dx.doi.org/10.1016/j.chemosphere.2020.127484</v>
      </c>
      <c r="BG434" s="1" t="s">
        <v>74</v>
      </c>
      <c r="BH434" s="1" t="s">
        <v>74</v>
      </c>
      <c r="BI434" s="1">
        <v>14</v>
      </c>
      <c r="BJ434" s="1" t="s">
        <v>144</v>
      </c>
      <c r="BK434" s="1" t="s">
        <v>96</v>
      </c>
      <c r="BL434" s="1" t="s">
        <v>145</v>
      </c>
      <c r="BM434" s="1" t="s">
        <v>7641</v>
      </c>
      <c r="BN434" s="1" t="s">
        <v>74</v>
      </c>
      <c r="BO434" s="1" t="s">
        <v>370</v>
      </c>
      <c r="BP434" s="1" t="s">
        <v>74</v>
      </c>
      <c r="BQ434" s="1" t="s">
        <v>74</v>
      </c>
      <c r="BR434" s="1" t="s">
        <v>98</v>
      </c>
      <c r="BS434" s="1" t="s">
        <v>7642</v>
      </c>
      <c r="BT434" s="1" t="str">
        <f>HYPERLINK("https%3A%2F%2Fwww.webofscience.com%2Fwos%2Fwoscc%2Ffull-record%2FWOS:000566573600088","View Full Record in Web of Science")</f>
        <v>View Full Record in Web of Science</v>
      </c>
    </row>
    <row r="435" spans="1:72">
      <c r="A435" s="1" t="s">
        <v>72</v>
      </c>
      <c r="B435" s="1" t="s">
        <v>7643</v>
      </c>
      <c r="C435" s="1" t="s">
        <v>74</v>
      </c>
      <c r="D435" s="1" t="s">
        <v>74</v>
      </c>
      <c r="E435" s="1" t="s">
        <v>74</v>
      </c>
      <c r="F435" s="1" t="s">
        <v>7644</v>
      </c>
      <c r="G435" s="1" t="s">
        <v>74</v>
      </c>
      <c r="H435" s="1" t="s">
        <v>74</v>
      </c>
      <c r="I435" s="1" t="s">
        <v>7645</v>
      </c>
      <c r="J435" s="1" t="s">
        <v>4484</v>
      </c>
      <c r="K435" s="1" t="s">
        <v>74</v>
      </c>
      <c r="L435" s="1" t="s">
        <v>74</v>
      </c>
      <c r="M435" s="1" t="s">
        <v>78</v>
      </c>
      <c r="N435" s="1" t="s">
        <v>79</v>
      </c>
      <c r="O435" s="1" t="s">
        <v>74</v>
      </c>
      <c r="P435" s="1" t="s">
        <v>74</v>
      </c>
      <c r="Q435" s="1" t="s">
        <v>74</v>
      </c>
      <c r="R435" s="1" t="s">
        <v>74</v>
      </c>
      <c r="S435" s="1" t="s">
        <v>74</v>
      </c>
      <c r="T435" s="1" t="s">
        <v>7646</v>
      </c>
      <c r="U435" s="1" t="s">
        <v>7647</v>
      </c>
      <c r="V435" s="1" t="s">
        <v>7648</v>
      </c>
      <c r="W435" s="1" t="s">
        <v>7649</v>
      </c>
      <c r="X435" s="1" t="s">
        <v>7650</v>
      </c>
      <c r="Y435" s="1" t="s">
        <v>7651</v>
      </c>
      <c r="Z435" s="1" t="s">
        <v>7652</v>
      </c>
      <c r="AA435" s="1" t="s">
        <v>7653</v>
      </c>
      <c r="AB435" s="1" t="s">
        <v>7654</v>
      </c>
      <c r="AC435" s="1" t="s">
        <v>74</v>
      </c>
      <c r="AD435" s="1" t="s">
        <v>74</v>
      </c>
      <c r="AE435" s="1" t="s">
        <v>74</v>
      </c>
      <c r="AF435" s="1" t="s">
        <v>74</v>
      </c>
      <c r="AG435" s="1">
        <v>60</v>
      </c>
      <c r="AH435" s="1">
        <v>55</v>
      </c>
      <c r="AI435" s="1">
        <v>60</v>
      </c>
      <c r="AJ435" s="1">
        <v>1</v>
      </c>
      <c r="AK435" s="1">
        <v>32</v>
      </c>
      <c r="AL435" s="1" t="s">
        <v>86</v>
      </c>
      <c r="AM435" s="1" t="s">
        <v>87</v>
      </c>
      <c r="AN435" s="1" t="s">
        <v>88</v>
      </c>
      <c r="AO435" s="1" t="s">
        <v>4495</v>
      </c>
      <c r="AP435" s="1" t="s">
        <v>4496</v>
      </c>
      <c r="AQ435" s="1" t="s">
        <v>74</v>
      </c>
      <c r="AR435" s="1" t="s">
        <v>4484</v>
      </c>
      <c r="AS435" s="1" t="s">
        <v>4497</v>
      </c>
      <c r="AT435" s="1" t="s">
        <v>224</v>
      </c>
      <c r="AU435" s="1">
        <v>2008</v>
      </c>
      <c r="AV435" s="1">
        <v>36</v>
      </c>
      <c r="AW435" s="1">
        <v>2</v>
      </c>
      <c r="AX435" s="1" t="s">
        <v>74</v>
      </c>
      <c r="AY435" s="1" t="s">
        <v>74</v>
      </c>
      <c r="AZ435" s="1" t="s">
        <v>74</v>
      </c>
      <c r="BA435" s="1" t="s">
        <v>74</v>
      </c>
      <c r="BB435" s="1">
        <v>187</v>
      </c>
      <c r="BC435" s="1">
        <v>194</v>
      </c>
      <c r="BD435" s="1" t="s">
        <v>74</v>
      </c>
      <c r="BE435" s="1" t="s">
        <v>7655</v>
      </c>
      <c r="BF435" s="1" t="str">
        <f>HYPERLINK("http://dx.doi.org/10.1002/clen.200700027","http://dx.doi.org/10.1002/clen.200700027")</f>
        <v>http://dx.doi.org/10.1002/clen.200700027</v>
      </c>
      <c r="BG435" s="1" t="s">
        <v>74</v>
      </c>
      <c r="BH435" s="1" t="s">
        <v>74</v>
      </c>
      <c r="BI435" s="1">
        <v>8</v>
      </c>
      <c r="BJ435" s="1" t="s">
        <v>4499</v>
      </c>
      <c r="BK435" s="1" t="s">
        <v>96</v>
      </c>
      <c r="BL435" s="1" t="s">
        <v>4500</v>
      </c>
      <c r="BM435" s="1" t="s">
        <v>7656</v>
      </c>
      <c r="BN435" s="1" t="s">
        <v>74</v>
      </c>
      <c r="BO435" s="1" t="s">
        <v>74</v>
      </c>
      <c r="BP435" s="1" t="s">
        <v>74</v>
      </c>
      <c r="BQ435" s="1" t="s">
        <v>74</v>
      </c>
      <c r="BR435" s="1" t="s">
        <v>98</v>
      </c>
      <c r="BS435" s="1" t="s">
        <v>7657</v>
      </c>
      <c r="BT435" s="1" t="str">
        <f>HYPERLINK("https%3A%2F%2Fwww.webofscience.com%2Fwos%2Fwoscc%2Ffull-record%2FWOS:000253748500014","View Full Record in Web of Science")</f>
        <v>View Full Record in Web of Science</v>
      </c>
    </row>
    <row r="436" spans="1:72">
      <c r="A436" s="1" t="s">
        <v>72</v>
      </c>
      <c r="B436" s="1" t="s">
        <v>7658</v>
      </c>
      <c r="C436" s="1" t="s">
        <v>74</v>
      </c>
      <c r="D436" s="1" t="s">
        <v>74</v>
      </c>
      <c r="E436" s="1" t="s">
        <v>74</v>
      </c>
      <c r="F436" s="1" t="s">
        <v>7658</v>
      </c>
      <c r="G436" s="1" t="s">
        <v>74</v>
      </c>
      <c r="H436" s="1" t="s">
        <v>74</v>
      </c>
      <c r="I436" s="1" t="s">
        <v>7659</v>
      </c>
      <c r="J436" s="1" t="s">
        <v>7660</v>
      </c>
      <c r="K436" s="1" t="s">
        <v>74</v>
      </c>
      <c r="L436" s="1" t="s">
        <v>74</v>
      </c>
      <c r="M436" s="1" t="s">
        <v>78</v>
      </c>
      <c r="N436" s="1" t="s">
        <v>79</v>
      </c>
      <c r="O436" s="1" t="s">
        <v>74</v>
      </c>
      <c r="P436" s="1" t="s">
        <v>74</v>
      </c>
      <c r="Q436" s="1" t="s">
        <v>74</v>
      </c>
      <c r="R436" s="1" t="s">
        <v>74</v>
      </c>
      <c r="S436" s="1" t="s">
        <v>74</v>
      </c>
      <c r="T436" s="1" t="s">
        <v>7661</v>
      </c>
      <c r="U436" s="1" t="s">
        <v>7662</v>
      </c>
      <c r="V436" s="1" t="s">
        <v>7663</v>
      </c>
      <c r="W436" s="1" t="s">
        <v>7664</v>
      </c>
      <c r="X436" s="1" t="s">
        <v>7665</v>
      </c>
      <c r="Y436" s="1" t="s">
        <v>7666</v>
      </c>
      <c r="Z436" s="1" t="s">
        <v>74</v>
      </c>
      <c r="AA436" s="1" t="s">
        <v>74</v>
      </c>
      <c r="AB436" s="1" t="s">
        <v>74</v>
      </c>
      <c r="AC436" s="1" t="s">
        <v>74</v>
      </c>
      <c r="AD436" s="1" t="s">
        <v>74</v>
      </c>
      <c r="AE436" s="1" t="s">
        <v>74</v>
      </c>
      <c r="AF436" s="1" t="s">
        <v>74</v>
      </c>
      <c r="AG436" s="1">
        <v>44</v>
      </c>
      <c r="AH436" s="1">
        <v>1</v>
      </c>
      <c r="AI436" s="1">
        <v>1</v>
      </c>
      <c r="AJ436" s="1">
        <v>0</v>
      </c>
      <c r="AK436" s="1">
        <v>0</v>
      </c>
      <c r="AL436" s="1" t="s">
        <v>7667</v>
      </c>
      <c r="AM436" s="1" t="s">
        <v>286</v>
      </c>
      <c r="AN436" s="1" t="s">
        <v>7668</v>
      </c>
      <c r="AO436" s="1" t="s">
        <v>7669</v>
      </c>
      <c r="AP436" s="1" t="s">
        <v>74</v>
      </c>
      <c r="AQ436" s="1" t="s">
        <v>74</v>
      </c>
      <c r="AR436" s="1" t="s">
        <v>7660</v>
      </c>
      <c r="AS436" s="1" t="s">
        <v>7670</v>
      </c>
      <c r="AT436" s="1" t="s">
        <v>765</v>
      </c>
      <c r="AU436" s="1">
        <v>1995</v>
      </c>
      <c r="AV436" s="1">
        <v>8</v>
      </c>
      <c r="AW436" s="1">
        <v>3</v>
      </c>
      <c r="AX436" s="1" t="s">
        <v>74</v>
      </c>
      <c r="AY436" s="1" t="s">
        <v>74</v>
      </c>
      <c r="AZ436" s="1" t="s">
        <v>74</v>
      </c>
      <c r="BA436" s="1" t="s">
        <v>74</v>
      </c>
      <c r="BB436" s="1">
        <v>246</v>
      </c>
      <c r="BC436" s="1">
        <v>256</v>
      </c>
      <c r="BD436" s="1" t="s">
        <v>74</v>
      </c>
      <c r="BE436" s="1" t="s">
        <v>74</v>
      </c>
      <c r="BF436" s="1" t="s">
        <v>74</v>
      </c>
      <c r="BG436" s="1" t="s">
        <v>74</v>
      </c>
      <c r="BH436" s="1" t="s">
        <v>74</v>
      </c>
      <c r="BI436" s="1">
        <v>11</v>
      </c>
      <c r="BJ436" s="1" t="s">
        <v>3805</v>
      </c>
      <c r="BK436" s="1" t="s">
        <v>96</v>
      </c>
      <c r="BL436" s="1" t="s">
        <v>3805</v>
      </c>
      <c r="BM436" s="1" t="s">
        <v>7671</v>
      </c>
      <c r="BN436" s="1" t="s">
        <v>74</v>
      </c>
      <c r="BO436" s="1" t="s">
        <v>74</v>
      </c>
      <c r="BP436" s="1" t="s">
        <v>74</v>
      </c>
      <c r="BQ436" s="1" t="s">
        <v>74</v>
      </c>
      <c r="BR436" s="1" t="s">
        <v>98</v>
      </c>
      <c r="BS436" s="1" t="s">
        <v>7672</v>
      </c>
      <c r="BT436" s="1" t="str">
        <f>HYPERLINK("https%3A%2F%2Fwww.webofscience.com%2Fwos%2Fwoscc%2Ffull-record%2FWOS:A1995RG95200012","View Full Record in Web of Science")</f>
        <v>View Full Record in Web of Science</v>
      </c>
    </row>
    <row r="437" spans="1:72">
      <c r="A437" s="1" t="s">
        <v>72</v>
      </c>
      <c r="B437" s="1" t="s">
        <v>7673</v>
      </c>
      <c r="C437" s="1" t="s">
        <v>74</v>
      </c>
      <c r="D437" s="1" t="s">
        <v>74</v>
      </c>
      <c r="E437" s="1" t="s">
        <v>74</v>
      </c>
      <c r="F437" s="1" t="s">
        <v>7673</v>
      </c>
      <c r="G437" s="1" t="s">
        <v>74</v>
      </c>
      <c r="H437" s="1" t="s">
        <v>74</v>
      </c>
      <c r="I437" s="1" t="s">
        <v>7674</v>
      </c>
      <c r="J437" s="1" t="s">
        <v>2894</v>
      </c>
      <c r="K437" s="1" t="s">
        <v>74</v>
      </c>
      <c r="L437" s="1" t="s">
        <v>74</v>
      </c>
      <c r="M437" s="1" t="s">
        <v>78</v>
      </c>
      <c r="N437" s="1" t="s">
        <v>79</v>
      </c>
      <c r="O437" s="1" t="s">
        <v>74</v>
      </c>
      <c r="P437" s="1" t="s">
        <v>74</v>
      </c>
      <c r="Q437" s="1" t="s">
        <v>74</v>
      </c>
      <c r="R437" s="1" t="s">
        <v>74</v>
      </c>
      <c r="S437" s="1" t="s">
        <v>74</v>
      </c>
      <c r="T437" s="1" t="s">
        <v>7675</v>
      </c>
      <c r="U437" s="1" t="s">
        <v>7676</v>
      </c>
      <c r="V437" s="1" t="s">
        <v>7677</v>
      </c>
      <c r="W437" s="1" t="s">
        <v>7678</v>
      </c>
      <c r="X437" s="1" t="s">
        <v>7679</v>
      </c>
      <c r="Y437" s="1" t="s">
        <v>7680</v>
      </c>
      <c r="Z437" s="1" t="s">
        <v>7681</v>
      </c>
      <c r="AA437" s="1" t="s">
        <v>7682</v>
      </c>
      <c r="AB437" s="1" t="s">
        <v>7683</v>
      </c>
      <c r="AC437" s="1" t="s">
        <v>74</v>
      </c>
      <c r="AD437" s="1" t="s">
        <v>74</v>
      </c>
      <c r="AE437" s="1" t="s">
        <v>74</v>
      </c>
      <c r="AF437" s="1" t="s">
        <v>74</v>
      </c>
      <c r="AG437" s="1">
        <v>57</v>
      </c>
      <c r="AH437" s="1">
        <v>27</v>
      </c>
      <c r="AI437" s="1">
        <v>31</v>
      </c>
      <c r="AJ437" s="1">
        <v>1</v>
      </c>
      <c r="AK437" s="1">
        <v>4</v>
      </c>
      <c r="AL437" s="1" t="s">
        <v>2904</v>
      </c>
      <c r="AM437" s="1" t="s">
        <v>2905</v>
      </c>
      <c r="AN437" s="1" t="s">
        <v>2906</v>
      </c>
      <c r="AO437" s="1" t="s">
        <v>2907</v>
      </c>
      <c r="AP437" s="1" t="s">
        <v>5406</v>
      </c>
      <c r="AQ437" s="1" t="s">
        <v>74</v>
      </c>
      <c r="AR437" s="1" t="s">
        <v>2908</v>
      </c>
      <c r="AS437" s="1" t="s">
        <v>2909</v>
      </c>
      <c r="AT437" s="1" t="s">
        <v>74</v>
      </c>
      <c r="AU437" s="1">
        <v>2006</v>
      </c>
      <c r="AV437" s="1">
        <v>307</v>
      </c>
      <c r="AW437" s="1" t="s">
        <v>74</v>
      </c>
      <c r="AX437" s="1" t="s">
        <v>74</v>
      </c>
      <c r="AY437" s="1" t="s">
        <v>74</v>
      </c>
      <c r="AZ437" s="1" t="s">
        <v>74</v>
      </c>
      <c r="BA437" s="1" t="s">
        <v>74</v>
      </c>
      <c r="BB437" s="1">
        <v>101</v>
      </c>
      <c r="BC437" s="1">
        <v>114</v>
      </c>
      <c r="BD437" s="1" t="s">
        <v>74</v>
      </c>
      <c r="BE437" s="1" t="s">
        <v>7684</v>
      </c>
      <c r="BF437" s="1" t="str">
        <f>HYPERLINK("http://dx.doi.org/10.3354/meps307101","http://dx.doi.org/10.3354/meps307101")</f>
        <v>http://dx.doi.org/10.3354/meps307101</v>
      </c>
      <c r="BG437" s="1" t="s">
        <v>74</v>
      </c>
      <c r="BH437" s="1" t="s">
        <v>74</v>
      </c>
      <c r="BI437" s="1">
        <v>14</v>
      </c>
      <c r="BJ437" s="1" t="s">
        <v>2911</v>
      </c>
      <c r="BK437" s="1" t="s">
        <v>96</v>
      </c>
      <c r="BL437" s="1" t="s">
        <v>2912</v>
      </c>
      <c r="BM437" s="1" t="s">
        <v>7685</v>
      </c>
      <c r="BN437" s="1" t="s">
        <v>74</v>
      </c>
      <c r="BO437" s="1" t="s">
        <v>2914</v>
      </c>
      <c r="BP437" s="1" t="s">
        <v>74</v>
      </c>
      <c r="BQ437" s="1" t="s">
        <v>74</v>
      </c>
      <c r="BR437" s="1" t="s">
        <v>98</v>
      </c>
      <c r="BS437" s="1" t="s">
        <v>7686</v>
      </c>
      <c r="BT437" s="1" t="str">
        <f>HYPERLINK("https%3A%2F%2Fwww.webofscience.com%2Fwos%2Fwoscc%2Ffull-record%2FWOS:000235775700008","View Full Record in Web of Science")</f>
        <v>View Full Record in Web of Science</v>
      </c>
    </row>
    <row r="438" spans="1:72">
      <c r="A438" s="1" t="s">
        <v>72</v>
      </c>
      <c r="B438" s="1" t="s">
        <v>7687</v>
      </c>
      <c r="C438" s="1" t="s">
        <v>74</v>
      </c>
      <c r="D438" s="1" t="s">
        <v>74</v>
      </c>
      <c r="E438" s="1" t="s">
        <v>74</v>
      </c>
      <c r="F438" s="1" t="s">
        <v>7687</v>
      </c>
      <c r="G438" s="1" t="s">
        <v>74</v>
      </c>
      <c r="H438" s="1" t="s">
        <v>74</v>
      </c>
      <c r="I438" s="1" t="s">
        <v>7688</v>
      </c>
      <c r="J438" s="1" t="s">
        <v>179</v>
      </c>
      <c r="K438" s="1" t="s">
        <v>74</v>
      </c>
      <c r="L438" s="1" t="s">
        <v>74</v>
      </c>
      <c r="M438" s="1" t="s">
        <v>78</v>
      </c>
      <c r="N438" s="1" t="s">
        <v>79</v>
      </c>
      <c r="O438" s="1" t="s">
        <v>74</v>
      </c>
      <c r="P438" s="1" t="s">
        <v>74</v>
      </c>
      <c r="Q438" s="1" t="s">
        <v>74</v>
      </c>
      <c r="R438" s="1" t="s">
        <v>74</v>
      </c>
      <c r="S438" s="1" t="s">
        <v>74</v>
      </c>
      <c r="T438" s="1" t="s">
        <v>7689</v>
      </c>
      <c r="U438" s="1" t="s">
        <v>7690</v>
      </c>
      <c r="V438" s="1" t="s">
        <v>7691</v>
      </c>
      <c r="W438" s="1" t="s">
        <v>7692</v>
      </c>
      <c r="X438" s="1" t="s">
        <v>7693</v>
      </c>
      <c r="Y438" s="1" t="s">
        <v>7694</v>
      </c>
      <c r="Z438" s="1" t="s">
        <v>7695</v>
      </c>
      <c r="AA438" s="1" t="s">
        <v>7696</v>
      </c>
      <c r="AB438" s="1" t="s">
        <v>7697</v>
      </c>
      <c r="AC438" s="1" t="s">
        <v>74</v>
      </c>
      <c r="AD438" s="1" t="s">
        <v>74</v>
      </c>
      <c r="AE438" s="1" t="s">
        <v>74</v>
      </c>
      <c r="AF438" s="1" t="s">
        <v>74</v>
      </c>
      <c r="AG438" s="1">
        <v>55</v>
      </c>
      <c r="AH438" s="1">
        <v>50</v>
      </c>
      <c r="AI438" s="1">
        <v>56</v>
      </c>
      <c r="AJ438" s="1">
        <v>1</v>
      </c>
      <c r="AK438" s="1">
        <v>15</v>
      </c>
      <c r="AL438" s="1" t="s">
        <v>112</v>
      </c>
      <c r="AM438" s="1" t="s">
        <v>191</v>
      </c>
      <c r="AN438" s="1" t="s">
        <v>192</v>
      </c>
      <c r="AO438" s="1" t="s">
        <v>193</v>
      </c>
      <c r="AP438" s="1" t="s">
        <v>194</v>
      </c>
      <c r="AQ438" s="1" t="s">
        <v>74</v>
      </c>
      <c r="AR438" s="1" t="s">
        <v>195</v>
      </c>
      <c r="AS438" s="1" t="s">
        <v>196</v>
      </c>
      <c r="AT438" s="1" t="s">
        <v>951</v>
      </c>
      <c r="AU438" s="1">
        <v>2004</v>
      </c>
      <c r="AV438" s="1">
        <v>98</v>
      </c>
      <c r="AW438" s="1" t="s">
        <v>2847</v>
      </c>
      <c r="AX438" s="1" t="s">
        <v>74</v>
      </c>
      <c r="AY438" s="1" t="s">
        <v>74</v>
      </c>
      <c r="AZ438" s="1" t="s">
        <v>74</v>
      </c>
      <c r="BA438" s="1" t="s">
        <v>74</v>
      </c>
      <c r="BB438" s="1">
        <v>41</v>
      </c>
      <c r="BC438" s="1">
        <v>58</v>
      </c>
      <c r="BD438" s="1" t="s">
        <v>74</v>
      </c>
      <c r="BE438" s="1" t="s">
        <v>7698</v>
      </c>
      <c r="BF438" s="1" t="str">
        <f>HYPERLINK("http://dx.doi.org/10.1023/B:EMAS.0000038178.98985.5d","http://dx.doi.org/10.1023/B:EMAS.0000038178.98985.5d")</f>
        <v>http://dx.doi.org/10.1023/B:EMAS.0000038178.98985.5d</v>
      </c>
      <c r="BG438" s="1" t="s">
        <v>74</v>
      </c>
      <c r="BH438" s="1" t="s">
        <v>74</v>
      </c>
      <c r="BI438" s="1">
        <v>18</v>
      </c>
      <c r="BJ438" s="1" t="s">
        <v>144</v>
      </c>
      <c r="BK438" s="1" t="s">
        <v>96</v>
      </c>
      <c r="BL438" s="1" t="s">
        <v>145</v>
      </c>
      <c r="BM438" s="1" t="s">
        <v>7699</v>
      </c>
      <c r="BN438" s="1">
        <v>15473528</v>
      </c>
      <c r="BO438" s="1" t="s">
        <v>74</v>
      </c>
      <c r="BP438" s="1" t="s">
        <v>74</v>
      </c>
      <c r="BQ438" s="1" t="s">
        <v>74</v>
      </c>
      <c r="BR438" s="1" t="s">
        <v>98</v>
      </c>
      <c r="BS438" s="1" t="s">
        <v>7700</v>
      </c>
      <c r="BT438" s="1" t="str">
        <f>HYPERLINK("https%3A%2F%2Fwww.webofscience.com%2Fwos%2Fwoscc%2Ffull-record%2FWOS:000223361000003","View Full Record in Web of Science")</f>
        <v>View Full Record in Web of Science</v>
      </c>
    </row>
    <row r="439" spans="1:72">
      <c r="A439" s="1" t="s">
        <v>72</v>
      </c>
      <c r="B439" s="1" t="s">
        <v>7701</v>
      </c>
      <c r="C439" s="1" t="s">
        <v>74</v>
      </c>
      <c r="D439" s="1" t="s">
        <v>74</v>
      </c>
      <c r="E439" s="1" t="s">
        <v>74</v>
      </c>
      <c r="F439" s="1" t="s">
        <v>7702</v>
      </c>
      <c r="G439" s="1" t="s">
        <v>74</v>
      </c>
      <c r="H439" s="1" t="s">
        <v>74</v>
      </c>
      <c r="I439" s="1" t="s">
        <v>7703</v>
      </c>
      <c r="J439" s="1" t="s">
        <v>7704</v>
      </c>
      <c r="K439" s="1" t="s">
        <v>74</v>
      </c>
      <c r="L439" s="1" t="s">
        <v>74</v>
      </c>
      <c r="M439" s="1" t="s">
        <v>78</v>
      </c>
      <c r="N439" s="1" t="s">
        <v>79</v>
      </c>
      <c r="O439" s="1" t="s">
        <v>74</v>
      </c>
      <c r="P439" s="1" t="s">
        <v>74</v>
      </c>
      <c r="Q439" s="1" t="s">
        <v>74</v>
      </c>
      <c r="R439" s="1" t="s">
        <v>74</v>
      </c>
      <c r="S439" s="1" t="s">
        <v>74</v>
      </c>
      <c r="T439" s="1" t="s">
        <v>7705</v>
      </c>
      <c r="U439" s="1" t="s">
        <v>7706</v>
      </c>
      <c r="V439" s="1" t="s">
        <v>7707</v>
      </c>
      <c r="W439" s="1" t="s">
        <v>7708</v>
      </c>
      <c r="X439" s="1" t="s">
        <v>7709</v>
      </c>
      <c r="Y439" s="1" t="s">
        <v>7710</v>
      </c>
      <c r="Z439" s="1" t="s">
        <v>7711</v>
      </c>
      <c r="AA439" s="1" t="s">
        <v>7712</v>
      </c>
      <c r="AB439" s="1" t="s">
        <v>7713</v>
      </c>
      <c r="AC439" s="1" t="s">
        <v>7714</v>
      </c>
      <c r="AD439" s="1" t="s">
        <v>7715</v>
      </c>
      <c r="AE439" s="1" t="s">
        <v>7716</v>
      </c>
      <c r="AF439" s="1" t="s">
        <v>74</v>
      </c>
      <c r="AG439" s="1">
        <v>73</v>
      </c>
      <c r="AH439" s="1">
        <v>12</v>
      </c>
      <c r="AI439" s="1">
        <v>12</v>
      </c>
      <c r="AJ439" s="1">
        <v>5</v>
      </c>
      <c r="AK439" s="1">
        <v>26</v>
      </c>
      <c r="AL439" s="1" t="s">
        <v>430</v>
      </c>
      <c r="AM439" s="1" t="s">
        <v>137</v>
      </c>
      <c r="AN439" s="1" t="s">
        <v>431</v>
      </c>
      <c r="AO439" s="1" t="s">
        <v>7717</v>
      </c>
      <c r="AP439" s="1" t="s">
        <v>74</v>
      </c>
      <c r="AQ439" s="1" t="s">
        <v>74</v>
      </c>
      <c r="AR439" s="1" t="s">
        <v>7704</v>
      </c>
      <c r="AS439" s="1" t="s">
        <v>7718</v>
      </c>
      <c r="AT439" s="1" t="s">
        <v>1223</v>
      </c>
      <c r="AU439" s="1">
        <v>2020</v>
      </c>
      <c r="AV439" s="1">
        <v>29</v>
      </c>
      <c r="AW439" s="1" t="s">
        <v>74</v>
      </c>
      <c r="AX439" s="1" t="s">
        <v>74</v>
      </c>
      <c r="AY439" s="1" t="s">
        <v>74</v>
      </c>
      <c r="AZ439" s="1" t="s">
        <v>74</v>
      </c>
      <c r="BA439" s="1" t="s">
        <v>74</v>
      </c>
      <c r="BB439" s="1" t="s">
        <v>74</v>
      </c>
      <c r="BC439" s="1" t="s">
        <v>74</v>
      </c>
      <c r="BD439" s="1">
        <v>100234</v>
      </c>
      <c r="BE439" s="1" t="s">
        <v>7719</v>
      </c>
      <c r="BF439" s="1" t="str">
        <f>HYPERLINK("http://dx.doi.org/10.1016/j.ancene.2019.100234","http://dx.doi.org/10.1016/j.ancene.2019.100234")</f>
        <v>http://dx.doi.org/10.1016/j.ancene.2019.100234</v>
      </c>
      <c r="BG439" s="1" t="s">
        <v>74</v>
      </c>
      <c r="BH439" s="1" t="s">
        <v>74</v>
      </c>
      <c r="BI439" s="1">
        <v>9</v>
      </c>
      <c r="BJ439" s="1" t="s">
        <v>5652</v>
      </c>
      <c r="BK439" s="1" t="s">
        <v>96</v>
      </c>
      <c r="BL439" s="1" t="s">
        <v>5653</v>
      </c>
      <c r="BM439" s="1" t="s">
        <v>7720</v>
      </c>
      <c r="BN439" s="1" t="s">
        <v>74</v>
      </c>
      <c r="BO439" s="1" t="s">
        <v>74</v>
      </c>
      <c r="BP439" s="1" t="s">
        <v>74</v>
      </c>
      <c r="BQ439" s="1" t="s">
        <v>74</v>
      </c>
      <c r="BR439" s="1" t="s">
        <v>98</v>
      </c>
      <c r="BS439" s="1" t="s">
        <v>7721</v>
      </c>
      <c r="BT439" s="1" t="str">
        <f>HYPERLINK("https%3A%2F%2Fwww.webofscience.com%2Fwos%2Fwoscc%2Ffull-record%2FWOS:000519573000001","View Full Record in Web of Science")</f>
        <v>View Full Record in Web of Science</v>
      </c>
    </row>
    <row r="440" spans="1:72">
      <c r="A440" s="1" t="s">
        <v>72</v>
      </c>
      <c r="B440" s="1" t="s">
        <v>7722</v>
      </c>
      <c r="C440" s="1" t="s">
        <v>74</v>
      </c>
      <c r="D440" s="1" t="s">
        <v>74</v>
      </c>
      <c r="E440" s="1" t="s">
        <v>74</v>
      </c>
      <c r="F440" s="1" t="s">
        <v>7723</v>
      </c>
      <c r="G440" s="1" t="s">
        <v>74</v>
      </c>
      <c r="H440" s="1" t="s">
        <v>74</v>
      </c>
      <c r="I440" s="1" t="s">
        <v>7724</v>
      </c>
      <c r="J440" s="1" t="s">
        <v>7725</v>
      </c>
      <c r="K440" s="1" t="s">
        <v>74</v>
      </c>
      <c r="L440" s="1" t="s">
        <v>74</v>
      </c>
      <c r="M440" s="1" t="s">
        <v>78</v>
      </c>
      <c r="N440" s="1" t="s">
        <v>79</v>
      </c>
      <c r="O440" s="1" t="s">
        <v>74</v>
      </c>
      <c r="P440" s="1" t="s">
        <v>74</v>
      </c>
      <c r="Q440" s="1" t="s">
        <v>74</v>
      </c>
      <c r="R440" s="1" t="s">
        <v>74</v>
      </c>
      <c r="S440" s="1" t="s">
        <v>74</v>
      </c>
      <c r="T440" s="1" t="s">
        <v>7726</v>
      </c>
      <c r="U440" s="1" t="s">
        <v>7727</v>
      </c>
      <c r="V440" s="1" t="s">
        <v>7728</v>
      </c>
      <c r="W440" s="1" t="s">
        <v>7729</v>
      </c>
      <c r="X440" s="1" t="s">
        <v>7730</v>
      </c>
      <c r="Y440" s="1" t="s">
        <v>7731</v>
      </c>
      <c r="Z440" s="1" t="s">
        <v>7732</v>
      </c>
      <c r="AA440" s="1" t="s">
        <v>7733</v>
      </c>
      <c r="AB440" s="1" t="s">
        <v>7734</v>
      </c>
      <c r="AC440" s="1" t="s">
        <v>74</v>
      </c>
      <c r="AD440" s="1" t="s">
        <v>74</v>
      </c>
      <c r="AE440" s="1" t="s">
        <v>74</v>
      </c>
      <c r="AF440" s="1" t="s">
        <v>74</v>
      </c>
      <c r="AG440" s="1">
        <v>37</v>
      </c>
      <c r="AH440" s="1">
        <v>41</v>
      </c>
      <c r="AI440" s="1">
        <v>41</v>
      </c>
      <c r="AJ440" s="1">
        <v>0</v>
      </c>
      <c r="AK440" s="1">
        <v>20</v>
      </c>
      <c r="AL440" s="1" t="s">
        <v>7725</v>
      </c>
      <c r="AM440" s="1" t="s">
        <v>7735</v>
      </c>
      <c r="AN440" s="1" t="s">
        <v>7736</v>
      </c>
      <c r="AO440" s="1" t="s">
        <v>7737</v>
      </c>
      <c r="AP440" s="1" t="s">
        <v>74</v>
      </c>
      <c r="AQ440" s="1" t="s">
        <v>74</v>
      </c>
      <c r="AR440" s="1" t="s">
        <v>7725</v>
      </c>
      <c r="AS440" s="1" t="s">
        <v>7738</v>
      </c>
      <c r="AT440" s="1" t="s">
        <v>142</v>
      </c>
      <c r="AU440" s="1">
        <v>2013</v>
      </c>
      <c r="AV440" s="1">
        <v>38</v>
      </c>
      <c r="AW440" s="1">
        <v>1</v>
      </c>
      <c r="AX440" s="1" t="s">
        <v>74</v>
      </c>
      <c r="AY440" s="1" t="s">
        <v>74</v>
      </c>
      <c r="AZ440" s="1" t="s">
        <v>74</v>
      </c>
      <c r="BA440" s="1" t="s">
        <v>74</v>
      </c>
      <c r="BB440" s="1">
        <v>1</v>
      </c>
      <c r="BC440" s="1">
        <v>14</v>
      </c>
      <c r="BD440" s="1" t="s">
        <v>74</v>
      </c>
      <c r="BE440" s="1" t="s">
        <v>74</v>
      </c>
      <c r="BF440" s="1" t="s">
        <v>74</v>
      </c>
      <c r="BG440" s="1" t="s">
        <v>74</v>
      </c>
      <c r="BH440" s="1" t="s">
        <v>74</v>
      </c>
      <c r="BI440" s="1">
        <v>14</v>
      </c>
      <c r="BJ440" s="1" t="s">
        <v>7739</v>
      </c>
      <c r="BK440" s="1" t="s">
        <v>96</v>
      </c>
      <c r="BL440" s="1" t="s">
        <v>7739</v>
      </c>
      <c r="BM440" s="1" t="s">
        <v>7740</v>
      </c>
      <c r="BN440" s="1" t="s">
        <v>74</v>
      </c>
      <c r="BO440" s="1" t="s">
        <v>74</v>
      </c>
      <c r="BP440" s="1" t="s">
        <v>74</v>
      </c>
      <c r="BQ440" s="1" t="s">
        <v>74</v>
      </c>
      <c r="BR440" s="1" t="s">
        <v>98</v>
      </c>
      <c r="BS440" s="1" t="s">
        <v>7741</v>
      </c>
      <c r="BT440" s="1" t="str">
        <f>HYPERLINK("https%3A%2F%2Fwww.webofscience.com%2Fwos%2Fwoscc%2Ffull-record%2FWOS:000321467400002","View Full Record in Web of Science")</f>
        <v>View Full Record in Web of Science</v>
      </c>
    </row>
    <row r="441" spans="1:72">
      <c r="A441" s="1" t="s">
        <v>72</v>
      </c>
      <c r="B441" s="1" t="s">
        <v>955</v>
      </c>
      <c r="C441" s="1" t="s">
        <v>74</v>
      </c>
      <c r="D441" s="1" t="s">
        <v>74</v>
      </c>
      <c r="E441" s="1" t="s">
        <v>74</v>
      </c>
      <c r="F441" s="1" t="s">
        <v>956</v>
      </c>
      <c r="G441" s="1" t="s">
        <v>74</v>
      </c>
      <c r="H441" s="1" t="s">
        <v>74</v>
      </c>
      <c r="I441" s="1" t="s">
        <v>7742</v>
      </c>
      <c r="J441" s="1" t="s">
        <v>421</v>
      </c>
      <c r="K441" s="1" t="s">
        <v>74</v>
      </c>
      <c r="L441" s="1" t="s">
        <v>74</v>
      </c>
      <c r="M441" s="1" t="s">
        <v>78</v>
      </c>
      <c r="N441" s="1" t="s">
        <v>79</v>
      </c>
      <c r="O441" s="1" t="s">
        <v>74</v>
      </c>
      <c r="P441" s="1" t="s">
        <v>74</v>
      </c>
      <c r="Q441" s="1" t="s">
        <v>74</v>
      </c>
      <c r="R441" s="1" t="s">
        <v>74</v>
      </c>
      <c r="S441" s="1" t="s">
        <v>74</v>
      </c>
      <c r="T441" s="1" t="s">
        <v>7743</v>
      </c>
      <c r="U441" s="1" t="s">
        <v>7744</v>
      </c>
      <c r="V441" s="1" t="s">
        <v>7745</v>
      </c>
      <c r="W441" s="1" t="s">
        <v>7746</v>
      </c>
      <c r="X441" s="1" t="s">
        <v>962</v>
      </c>
      <c r="Y441" s="1" t="s">
        <v>7747</v>
      </c>
      <c r="Z441" s="1" t="s">
        <v>7748</v>
      </c>
      <c r="AA441" s="1" t="s">
        <v>965</v>
      </c>
      <c r="AB441" s="1" t="s">
        <v>966</v>
      </c>
      <c r="AC441" s="1" t="s">
        <v>74</v>
      </c>
      <c r="AD441" s="1" t="s">
        <v>74</v>
      </c>
      <c r="AE441" s="1" t="s">
        <v>74</v>
      </c>
      <c r="AF441" s="1" t="s">
        <v>74</v>
      </c>
      <c r="AG441" s="1">
        <v>32</v>
      </c>
      <c r="AH441" s="1">
        <v>148</v>
      </c>
      <c r="AI441" s="1">
        <v>165</v>
      </c>
      <c r="AJ441" s="1">
        <v>0</v>
      </c>
      <c r="AK441" s="1">
        <v>42</v>
      </c>
      <c r="AL441" s="1" t="s">
        <v>430</v>
      </c>
      <c r="AM441" s="1" t="s">
        <v>137</v>
      </c>
      <c r="AN441" s="1" t="s">
        <v>431</v>
      </c>
      <c r="AO441" s="1" t="s">
        <v>432</v>
      </c>
      <c r="AP441" s="1" t="s">
        <v>74</v>
      </c>
      <c r="AQ441" s="1" t="s">
        <v>74</v>
      </c>
      <c r="AR441" s="1" t="s">
        <v>433</v>
      </c>
      <c r="AS441" s="1" t="s">
        <v>434</v>
      </c>
      <c r="AT441" s="1" t="s">
        <v>170</v>
      </c>
      <c r="AU441" s="1">
        <v>2008</v>
      </c>
      <c r="AV441" s="1">
        <v>153</v>
      </c>
      <c r="AW441" s="1">
        <v>1</v>
      </c>
      <c r="AX441" s="1" t="s">
        <v>74</v>
      </c>
      <c r="AY441" s="1" t="s">
        <v>74</v>
      </c>
      <c r="AZ441" s="1" t="s">
        <v>74</v>
      </c>
      <c r="BA441" s="1" t="s">
        <v>74</v>
      </c>
      <c r="BB441" s="1">
        <v>176</v>
      </c>
      <c r="BC441" s="1">
        <v>183</v>
      </c>
      <c r="BD441" s="1" t="s">
        <v>74</v>
      </c>
      <c r="BE441" s="1" t="s">
        <v>7749</v>
      </c>
      <c r="BF441" s="1" t="str">
        <f>HYPERLINK("http://dx.doi.org/10.1016/j.envpol.2007.07.024","http://dx.doi.org/10.1016/j.envpol.2007.07.024")</f>
        <v>http://dx.doi.org/10.1016/j.envpol.2007.07.024</v>
      </c>
      <c r="BG441" s="1" t="s">
        <v>74</v>
      </c>
      <c r="BH441" s="1" t="s">
        <v>74</v>
      </c>
      <c r="BI441" s="1">
        <v>8</v>
      </c>
      <c r="BJ441" s="1" t="s">
        <v>144</v>
      </c>
      <c r="BK441" s="1" t="s">
        <v>96</v>
      </c>
      <c r="BL441" s="1" t="s">
        <v>145</v>
      </c>
      <c r="BM441" s="1" t="s">
        <v>7750</v>
      </c>
      <c r="BN441" s="1">
        <v>17822817</v>
      </c>
      <c r="BO441" s="1" t="s">
        <v>74</v>
      </c>
      <c r="BP441" s="1" t="s">
        <v>74</v>
      </c>
      <c r="BQ441" s="1" t="s">
        <v>74</v>
      </c>
      <c r="BR441" s="1" t="s">
        <v>98</v>
      </c>
      <c r="BS441" s="1" t="s">
        <v>7751</v>
      </c>
      <c r="BT441" s="1" t="str">
        <f>HYPERLINK("https%3A%2F%2Fwww.webofscience.com%2Fwos%2Fwoscc%2Ffull-record%2FWOS:000255819300021","View Full Record in Web of Science")</f>
        <v>View Full Record in Web of Science</v>
      </c>
    </row>
    <row r="442" spans="1:72">
      <c r="A442" s="1" t="s">
        <v>72</v>
      </c>
      <c r="B442" s="1" t="s">
        <v>7752</v>
      </c>
      <c r="C442" s="1" t="s">
        <v>74</v>
      </c>
      <c r="D442" s="1" t="s">
        <v>74</v>
      </c>
      <c r="E442" s="1" t="s">
        <v>74</v>
      </c>
      <c r="F442" s="1" t="s">
        <v>7753</v>
      </c>
      <c r="G442" s="1" t="s">
        <v>74</v>
      </c>
      <c r="H442" s="1" t="s">
        <v>74</v>
      </c>
      <c r="I442" s="1" t="s">
        <v>7754</v>
      </c>
      <c r="J442" s="1" t="s">
        <v>7755</v>
      </c>
      <c r="K442" s="1" t="s">
        <v>74</v>
      </c>
      <c r="L442" s="1" t="s">
        <v>74</v>
      </c>
      <c r="M442" s="1" t="s">
        <v>78</v>
      </c>
      <c r="N442" s="1" t="s">
        <v>79</v>
      </c>
      <c r="O442" s="1" t="s">
        <v>74</v>
      </c>
      <c r="P442" s="1" t="s">
        <v>74</v>
      </c>
      <c r="Q442" s="1" t="s">
        <v>74</v>
      </c>
      <c r="R442" s="1" t="s">
        <v>74</v>
      </c>
      <c r="S442" s="1" t="s">
        <v>74</v>
      </c>
      <c r="T442" s="1" t="s">
        <v>7756</v>
      </c>
      <c r="U442" s="1" t="s">
        <v>7757</v>
      </c>
      <c r="V442" s="1" t="s">
        <v>7758</v>
      </c>
      <c r="W442" s="1" t="s">
        <v>7759</v>
      </c>
      <c r="X442" s="1" t="s">
        <v>7760</v>
      </c>
      <c r="Y442" s="1" t="s">
        <v>7761</v>
      </c>
      <c r="Z442" s="1" t="s">
        <v>7762</v>
      </c>
      <c r="AA442" s="1" t="s">
        <v>74</v>
      </c>
      <c r="AB442" s="1" t="s">
        <v>7763</v>
      </c>
      <c r="AC442" s="1" t="s">
        <v>7764</v>
      </c>
      <c r="AD442" s="1" t="s">
        <v>7765</v>
      </c>
      <c r="AE442" s="1" t="s">
        <v>7766</v>
      </c>
      <c r="AF442" s="1" t="s">
        <v>74</v>
      </c>
      <c r="AG442" s="1">
        <v>72</v>
      </c>
      <c r="AH442" s="1">
        <v>46</v>
      </c>
      <c r="AI442" s="1">
        <v>53</v>
      </c>
      <c r="AJ442" s="1">
        <v>0</v>
      </c>
      <c r="AK442" s="1">
        <v>32</v>
      </c>
      <c r="AL442" s="1" t="s">
        <v>86</v>
      </c>
      <c r="AM442" s="1" t="s">
        <v>87</v>
      </c>
      <c r="AN442" s="1" t="s">
        <v>88</v>
      </c>
      <c r="AO442" s="1" t="s">
        <v>7767</v>
      </c>
      <c r="AP442" s="1" t="s">
        <v>7768</v>
      </c>
      <c r="AQ442" s="1" t="s">
        <v>74</v>
      </c>
      <c r="AR442" s="1" t="s">
        <v>7755</v>
      </c>
      <c r="AS442" s="1" t="s">
        <v>7769</v>
      </c>
      <c r="AT442" s="1" t="s">
        <v>1223</v>
      </c>
      <c r="AU442" s="1">
        <v>2012</v>
      </c>
      <c r="AV442" s="1">
        <v>12</v>
      </c>
      <c r="AW442" s="1">
        <v>6</v>
      </c>
      <c r="AX442" s="1" t="s">
        <v>74</v>
      </c>
      <c r="AY442" s="1" t="s">
        <v>74</v>
      </c>
      <c r="AZ442" s="1" t="s">
        <v>74</v>
      </c>
      <c r="BA442" s="1" t="s">
        <v>74</v>
      </c>
      <c r="BB442" s="1">
        <v>906</v>
      </c>
      <c r="BC442" s="1">
        <v>921</v>
      </c>
      <c r="BD442" s="1" t="s">
        <v>74</v>
      </c>
      <c r="BE442" s="1" t="s">
        <v>7770</v>
      </c>
      <c r="BF442" s="1" t="str">
        <f>HYPERLINK("http://dx.doi.org/10.1002/pmic.201100417","http://dx.doi.org/10.1002/pmic.201100417")</f>
        <v>http://dx.doi.org/10.1002/pmic.201100417</v>
      </c>
      <c r="BG442" s="1" t="s">
        <v>74</v>
      </c>
      <c r="BH442" s="1" t="s">
        <v>74</v>
      </c>
      <c r="BI442" s="1">
        <v>16</v>
      </c>
      <c r="BJ442" s="1" t="s">
        <v>7771</v>
      </c>
      <c r="BK442" s="1" t="s">
        <v>96</v>
      </c>
      <c r="BL442" s="1" t="s">
        <v>3805</v>
      </c>
      <c r="BM442" s="1" t="s">
        <v>7772</v>
      </c>
      <c r="BN442" s="1">
        <v>22539440</v>
      </c>
      <c r="BO442" s="1" t="s">
        <v>74</v>
      </c>
      <c r="BP442" s="1" t="s">
        <v>74</v>
      </c>
      <c r="BQ442" s="1" t="s">
        <v>74</v>
      </c>
      <c r="BR442" s="1" t="s">
        <v>98</v>
      </c>
      <c r="BS442" s="1" t="s">
        <v>7773</v>
      </c>
      <c r="BT442" s="1" t="str">
        <f>HYPERLINK("https%3A%2F%2Fwww.webofscience.com%2Fwos%2Fwoscc%2Ffull-record%2FWOS:000303232800016","View Full Record in Web of Science")</f>
        <v>View Full Record in Web of Science</v>
      </c>
    </row>
    <row r="443" spans="1:72">
      <c r="A443" s="1" t="s">
        <v>72</v>
      </c>
      <c r="B443" s="1" t="s">
        <v>7774</v>
      </c>
      <c r="C443" s="1" t="s">
        <v>74</v>
      </c>
      <c r="D443" s="1" t="s">
        <v>74</v>
      </c>
      <c r="E443" s="1" t="s">
        <v>74</v>
      </c>
      <c r="F443" s="1" t="s">
        <v>7775</v>
      </c>
      <c r="G443" s="1" t="s">
        <v>74</v>
      </c>
      <c r="H443" s="1" t="s">
        <v>74</v>
      </c>
      <c r="I443" s="1" t="s">
        <v>7776</v>
      </c>
      <c r="J443" s="1" t="s">
        <v>232</v>
      </c>
      <c r="K443" s="1" t="s">
        <v>74</v>
      </c>
      <c r="L443" s="1" t="s">
        <v>74</v>
      </c>
      <c r="M443" s="1" t="s">
        <v>78</v>
      </c>
      <c r="N443" s="1" t="s">
        <v>79</v>
      </c>
      <c r="O443" s="1" t="s">
        <v>74</v>
      </c>
      <c r="P443" s="1" t="s">
        <v>74</v>
      </c>
      <c r="Q443" s="1" t="s">
        <v>74</v>
      </c>
      <c r="R443" s="1" t="s">
        <v>74</v>
      </c>
      <c r="S443" s="1" t="s">
        <v>74</v>
      </c>
      <c r="T443" s="1" t="s">
        <v>7777</v>
      </c>
      <c r="U443" s="1" t="s">
        <v>7778</v>
      </c>
      <c r="V443" s="1" t="s">
        <v>7779</v>
      </c>
      <c r="W443" s="1" t="s">
        <v>7780</v>
      </c>
      <c r="X443" s="1" t="s">
        <v>7781</v>
      </c>
      <c r="Y443" s="1" t="s">
        <v>7782</v>
      </c>
      <c r="Z443" s="1" t="s">
        <v>7783</v>
      </c>
      <c r="AA443" s="1" t="s">
        <v>74</v>
      </c>
      <c r="AB443" s="1" t="s">
        <v>74</v>
      </c>
      <c r="AC443" s="1" t="s">
        <v>74</v>
      </c>
      <c r="AD443" s="1" t="s">
        <v>74</v>
      </c>
      <c r="AE443" s="1" t="s">
        <v>74</v>
      </c>
      <c r="AF443" s="1" t="s">
        <v>74</v>
      </c>
      <c r="AG443" s="1">
        <v>85</v>
      </c>
      <c r="AH443" s="1">
        <v>75</v>
      </c>
      <c r="AI443" s="1">
        <v>79</v>
      </c>
      <c r="AJ443" s="1">
        <v>0</v>
      </c>
      <c r="AK443" s="1">
        <v>25</v>
      </c>
      <c r="AL443" s="1" t="s">
        <v>136</v>
      </c>
      <c r="AM443" s="1" t="s">
        <v>137</v>
      </c>
      <c r="AN443" s="1" t="s">
        <v>138</v>
      </c>
      <c r="AO443" s="1" t="s">
        <v>240</v>
      </c>
      <c r="AP443" s="1" t="s">
        <v>241</v>
      </c>
      <c r="AQ443" s="1" t="s">
        <v>74</v>
      </c>
      <c r="AR443" s="1" t="s">
        <v>242</v>
      </c>
      <c r="AS443" s="1" t="s">
        <v>243</v>
      </c>
      <c r="AT443" s="1" t="s">
        <v>3506</v>
      </c>
      <c r="AU443" s="1">
        <v>2013</v>
      </c>
      <c r="AV443" s="1">
        <v>74</v>
      </c>
      <c r="AW443" s="1">
        <v>1</v>
      </c>
      <c r="AX443" s="1" t="s">
        <v>74</v>
      </c>
      <c r="AY443" s="1" t="s">
        <v>74</v>
      </c>
      <c r="AZ443" s="1" t="s">
        <v>74</v>
      </c>
      <c r="BA443" s="1" t="s">
        <v>74</v>
      </c>
      <c r="BB443" s="1">
        <v>477</v>
      </c>
      <c r="BC443" s="1">
        <v>489</v>
      </c>
      <c r="BD443" s="1" t="s">
        <v>74</v>
      </c>
      <c r="BE443" s="1" t="s">
        <v>7784</v>
      </c>
      <c r="BF443" s="1" t="str">
        <f>HYPERLINK("http://dx.doi.org/10.1016/j.marpolbul.2013.06.004","http://dx.doi.org/10.1016/j.marpolbul.2013.06.004")</f>
        <v>http://dx.doi.org/10.1016/j.marpolbul.2013.06.004</v>
      </c>
      <c r="BG443" s="1" t="s">
        <v>74</v>
      </c>
      <c r="BH443" s="1" t="s">
        <v>74</v>
      </c>
      <c r="BI443" s="1">
        <v>13</v>
      </c>
      <c r="BJ443" s="1" t="s">
        <v>247</v>
      </c>
      <c r="BK443" s="1" t="s">
        <v>96</v>
      </c>
      <c r="BL443" s="1" t="s">
        <v>248</v>
      </c>
      <c r="BM443" s="1" t="s">
        <v>7785</v>
      </c>
      <c r="BN443" s="1">
        <v>23809331</v>
      </c>
      <c r="BO443" s="1" t="s">
        <v>74</v>
      </c>
      <c r="BP443" s="1" t="s">
        <v>74</v>
      </c>
      <c r="BQ443" s="1" t="s">
        <v>74</v>
      </c>
      <c r="BR443" s="1" t="s">
        <v>98</v>
      </c>
      <c r="BS443" s="1" t="s">
        <v>7786</v>
      </c>
      <c r="BT443" s="1" t="str">
        <f>HYPERLINK("https%3A%2F%2Fwww.webofscience.com%2Fwos%2Fwoscc%2Ffull-record%2FWOS:000326211600072","View Full Record in Web of Science")</f>
        <v>View Full Record in Web of Science</v>
      </c>
    </row>
    <row r="444" spans="1:72">
      <c r="A444" s="1" t="s">
        <v>72</v>
      </c>
      <c r="B444" s="1" t="s">
        <v>7787</v>
      </c>
      <c r="C444" s="1" t="s">
        <v>74</v>
      </c>
      <c r="D444" s="1" t="s">
        <v>74</v>
      </c>
      <c r="E444" s="1" t="s">
        <v>74</v>
      </c>
      <c r="F444" s="1" t="s">
        <v>7788</v>
      </c>
      <c r="G444" s="1" t="s">
        <v>74</v>
      </c>
      <c r="H444" s="1" t="s">
        <v>74</v>
      </c>
      <c r="I444" s="1" t="s">
        <v>7789</v>
      </c>
      <c r="J444" s="1" t="s">
        <v>204</v>
      </c>
      <c r="K444" s="1" t="s">
        <v>74</v>
      </c>
      <c r="L444" s="1" t="s">
        <v>74</v>
      </c>
      <c r="M444" s="1" t="s">
        <v>78</v>
      </c>
      <c r="N444" s="1" t="s">
        <v>79</v>
      </c>
      <c r="O444" s="1" t="s">
        <v>74</v>
      </c>
      <c r="P444" s="1" t="s">
        <v>74</v>
      </c>
      <c r="Q444" s="1" t="s">
        <v>74</v>
      </c>
      <c r="R444" s="1" t="s">
        <v>74</v>
      </c>
      <c r="S444" s="1" t="s">
        <v>74</v>
      </c>
      <c r="T444" s="1" t="s">
        <v>7790</v>
      </c>
      <c r="U444" s="1" t="s">
        <v>7791</v>
      </c>
      <c r="V444" s="1" t="s">
        <v>7792</v>
      </c>
      <c r="W444" s="1" t="s">
        <v>7793</v>
      </c>
      <c r="X444" s="1" t="s">
        <v>7794</v>
      </c>
      <c r="Y444" s="1" t="s">
        <v>7795</v>
      </c>
      <c r="Z444" s="1" t="s">
        <v>7796</v>
      </c>
      <c r="AA444" s="1" t="s">
        <v>74</v>
      </c>
      <c r="AB444" s="1" t="s">
        <v>7797</v>
      </c>
      <c r="AC444" s="1" t="s">
        <v>7798</v>
      </c>
      <c r="AD444" s="1" t="s">
        <v>7799</v>
      </c>
      <c r="AE444" s="1" t="s">
        <v>7800</v>
      </c>
      <c r="AF444" s="1" t="s">
        <v>74</v>
      </c>
      <c r="AG444" s="1">
        <v>51</v>
      </c>
      <c r="AH444" s="1">
        <v>9</v>
      </c>
      <c r="AI444" s="1">
        <v>10</v>
      </c>
      <c r="AJ444" s="1">
        <v>2</v>
      </c>
      <c r="AK444" s="1">
        <v>15</v>
      </c>
      <c r="AL444" s="1" t="s">
        <v>217</v>
      </c>
      <c r="AM444" s="1" t="s">
        <v>218</v>
      </c>
      <c r="AN444" s="1" t="s">
        <v>219</v>
      </c>
      <c r="AO444" s="1" t="s">
        <v>220</v>
      </c>
      <c r="AP444" s="1" t="s">
        <v>221</v>
      </c>
      <c r="AQ444" s="1" t="s">
        <v>74</v>
      </c>
      <c r="AR444" s="1" t="s">
        <v>222</v>
      </c>
      <c r="AS444" s="1" t="s">
        <v>223</v>
      </c>
      <c r="AT444" s="1" t="s">
        <v>951</v>
      </c>
      <c r="AU444" s="1">
        <v>2015</v>
      </c>
      <c r="AV444" s="1">
        <v>22</v>
      </c>
      <c r="AW444" s="1">
        <v>22</v>
      </c>
      <c r="AX444" s="1" t="s">
        <v>74</v>
      </c>
      <c r="AY444" s="1" t="s">
        <v>74</v>
      </c>
      <c r="AZ444" s="1" t="s">
        <v>74</v>
      </c>
      <c r="BA444" s="1" t="s">
        <v>74</v>
      </c>
      <c r="BB444" s="1">
        <v>17343</v>
      </c>
      <c r="BC444" s="1">
        <v>17349</v>
      </c>
      <c r="BD444" s="1" t="s">
        <v>74</v>
      </c>
      <c r="BE444" s="1" t="s">
        <v>7801</v>
      </c>
      <c r="BF444" s="1" t="str">
        <f>HYPERLINK("http://dx.doi.org/10.1007/s11356-014-3387-5","http://dx.doi.org/10.1007/s11356-014-3387-5")</f>
        <v>http://dx.doi.org/10.1007/s11356-014-3387-5</v>
      </c>
      <c r="BG444" s="1" t="s">
        <v>74</v>
      </c>
      <c r="BH444" s="1" t="s">
        <v>74</v>
      </c>
      <c r="BI444" s="1">
        <v>7</v>
      </c>
      <c r="BJ444" s="1" t="s">
        <v>144</v>
      </c>
      <c r="BK444" s="1" t="s">
        <v>96</v>
      </c>
      <c r="BL444" s="1" t="s">
        <v>145</v>
      </c>
      <c r="BM444" s="1" t="s">
        <v>7802</v>
      </c>
      <c r="BN444" s="1">
        <v>25131679</v>
      </c>
      <c r="BO444" s="1" t="s">
        <v>74</v>
      </c>
      <c r="BP444" s="1" t="s">
        <v>74</v>
      </c>
      <c r="BQ444" s="1" t="s">
        <v>74</v>
      </c>
      <c r="BR444" s="1" t="s">
        <v>98</v>
      </c>
      <c r="BS444" s="1" t="s">
        <v>7803</v>
      </c>
      <c r="BT444" s="1" t="str">
        <f>HYPERLINK("https%3A%2F%2Fwww.webofscience.com%2Fwos%2Fwoscc%2Ffull-record%2FWOS:000365423100008","View Full Record in Web of Science")</f>
        <v>View Full Record in Web of Science</v>
      </c>
    </row>
    <row r="445" spans="1:72">
      <c r="A445" s="1" t="s">
        <v>72</v>
      </c>
      <c r="B445" s="1" t="s">
        <v>7804</v>
      </c>
      <c r="C445" s="1" t="s">
        <v>74</v>
      </c>
      <c r="D445" s="1" t="s">
        <v>74</v>
      </c>
      <c r="E445" s="1" t="s">
        <v>74</v>
      </c>
      <c r="F445" s="1" t="s">
        <v>7804</v>
      </c>
      <c r="G445" s="1" t="s">
        <v>74</v>
      </c>
      <c r="H445" s="1" t="s">
        <v>74</v>
      </c>
      <c r="I445" s="1" t="s">
        <v>7805</v>
      </c>
      <c r="J445" s="1" t="s">
        <v>2894</v>
      </c>
      <c r="K445" s="1" t="s">
        <v>74</v>
      </c>
      <c r="L445" s="1" t="s">
        <v>74</v>
      </c>
      <c r="M445" s="1" t="s">
        <v>78</v>
      </c>
      <c r="N445" s="1" t="s">
        <v>79</v>
      </c>
      <c r="O445" s="1" t="s">
        <v>74</v>
      </c>
      <c r="P445" s="1" t="s">
        <v>74</v>
      </c>
      <c r="Q445" s="1" t="s">
        <v>74</v>
      </c>
      <c r="R445" s="1" t="s">
        <v>74</v>
      </c>
      <c r="S445" s="1" t="s">
        <v>74</v>
      </c>
      <c r="T445" s="1" t="s">
        <v>7806</v>
      </c>
      <c r="U445" s="1" t="s">
        <v>7807</v>
      </c>
      <c r="V445" s="1" t="s">
        <v>7808</v>
      </c>
      <c r="W445" s="1" t="s">
        <v>7809</v>
      </c>
      <c r="X445" s="1" t="s">
        <v>74</v>
      </c>
      <c r="Y445" s="1" t="s">
        <v>74</v>
      </c>
      <c r="Z445" s="1" t="s">
        <v>74</v>
      </c>
      <c r="AA445" s="1" t="s">
        <v>74</v>
      </c>
      <c r="AB445" s="1" t="s">
        <v>74</v>
      </c>
      <c r="AC445" s="1" t="s">
        <v>74</v>
      </c>
      <c r="AD445" s="1" t="s">
        <v>74</v>
      </c>
      <c r="AE445" s="1" t="s">
        <v>74</v>
      </c>
      <c r="AF445" s="1" t="s">
        <v>74</v>
      </c>
      <c r="AG445" s="1">
        <v>42</v>
      </c>
      <c r="AH445" s="1">
        <v>32</v>
      </c>
      <c r="AI445" s="1">
        <v>38</v>
      </c>
      <c r="AJ445" s="1">
        <v>0</v>
      </c>
      <c r="AK445" s="1">
        <v>12</v>
      </c>
      <c r="AL445" s="1" t="s">
        <v>2904</v>
      </c>
      <c r="AM445" s="1" t="s">
        <v>2905</v>
      </c>
      <c r="AN445" s="1" t="s">
        <v>2906</v>
      </c>
      <c r="AO445" s="1" t="s">
        <v>2907</v>
      </c>
      <c r="AP445" s="1" t="s">
        <v>74</v>
      </c>
      <c r="AQ445" s="1" t="s">
        <v>74</v>
      </c>
      <c r="AR445" s="1" t="s">
        <v>2908</v>
      </c>
      <c r="AS445" s="1" t="s">
        <v>2909</v>
      </c>
      <c r="AT445" s="1" t="s">
        <v>93</v>
      </c>
      <c r="AU445" s="1">
        <v>1995</v>
      </c>
      <c r="AV445" s="1">
        <v>120</v>
      </c>
      <c r="AW445" s="1" t="s">
        <v>2847</v>
      </c>
      <c r="AX445" s="1" t="s">
        <v>74</v>
      </c>
      <c r="AY445" s="1" t="s">
        <v>74</v>
      </c>
      <c r="AZ445" s="1" t="s">
        <v>74</v>
      </c>
      <c r="BA445" s="1" t="s">
        <v>74</v>
      </c>
      <c r="BB445" s="1">
        <v>155</v>
      </c>
      <c r="BC445" s="1">
        <v>161</v>
      </c>
      <c r="BD445" s="1" t="s">
        <v>74</v>
      </c>
      <c r="BE445" s="1" t="s">
        <v>7810</v>
      </c>
      <c r="BF445" s="1" t="str">
        <f>HYPERLINK("http://dx.doi.org/10.3354/meps120155","http://dx.doi.org/10.3354/meps120155")</f>
        <v>http://dx.doi.org/10.3354/meps120155</v>
      </c>
      <c r="BG445" s="1" t="s">
        <v>74</v>
      </c>
      <c r="BH445" s="1" t="s">
        <v>74</v>
      </c>
      <c r="BI445" s="1">
        <v>7</v>
      </c>
      <c r="BJ445" s="1" t="s">
        <v>2911</v>
      </c>
      <c r="BK445" s="1" t="s">
        <v>96</v>
      </c>
      <c r="BL445" s="1" t="s">
        <v>2912</v>
      </c>
      <c r="BM445" s="1" t="s">
        <v>7811</v>
      </c>
      <c r="BN445" s="1" t="s">
        <v>74</v>
      </c>
      <c r="BO445" s="1" t="s">
        <v>370</v>
      </c>
      <c r="BP445" s="1" t="s">
        <v>74</v>
      </c>
      <c r="BQ445" s="1" t="s">
        <v>74</v>
      </c>
      <c r="BR445" s="1" t="s">
        <v>98</v>
      </c>
      <c r="BS445" s="1" t="s">
        <v>7812</v>
      </c>
      <c r="BT445" s="1" t="str">
        <f>HYPERLINK("https%3A%2F%2Fwww.webofscience.com%2Fwos%2Fwoscc%2Ffull-record%2FWOS:A1995QY53700014","View Full Record in Web of Science")</f>
        <v>View Full Record in Web of Science</v>
      </c>
    </row>
    <row r="446" spans="1:72">
      <c r="A446" s="1" t="s">
        <v>72</v>
      </c>
      <c r="B446" s="1" t="s">
        <v>7813</v>
      </c>
      <c r="C446" s="1" t="s">
        <v>74</v>
      </c>
      <c r="D446" s="1" t="s">
        <v>74</v>
      </c>
      <c r="E446" s="1" t="s">
        <v>74</v>
      </c>
      <c r="F446" s="1" t="s">
        <v>7814</v>
      </c>
      <c r="G446" s="1" t="s">
        <v>74</v>
      </c>
      <c r="H446" s="1" t="s">
        <v>74</v>
      </c>
      <c r="I446" s="1" t="s">
        <v>7815</v>
      </c>
      <c r="J446" s="1" t="s">
        <v>1891</v>
      </c>
      <c r="K446" s="1" t="s">
        <v>74</v>
      </c>
      <c r="L446" s="1" t="s">
        <v>74</v>
      </c>
      <c r="M446" s="1" t="s">
        <v>78</v>
      </c>
      <c r="N446" s="1" t="s">
        <v>79</v>
      </c>
      <c r="O446" s="1" t="s">
        <v>74</v>
      </c>
      <c r="P446" s="1" t="s">
        <v>74</v>
      </c>
      <c r="Q446" s="1" t="s">
        <v>74</v>
      </c>
      <c r="R446" s="1" t="s">
        <v>74</v>
      </c>
      <c r="S446" s="1" t="s">
        <v>74</v>
      </c>
      <c r="T446" s="1" t="s">
        <v>7816</v>
      </c>
      <c r="U446" s="1" t="s">
        <v>7817</v>
      </c>
      <c r="V446" s="1" t="s">
        <v>7818</v>
      </c>
      <c r="W446" s="1" t="s">
        <v>7819</v>
      </c>
      <c r="X446" s="1" t="s">
        <v>7820</v>
      </c>
      <c r="Y446" s="1" t="s">
        <v>7821</v>
      </c>
      <c r="Z446" s="1" t="s">
        <v>7822</v>
      </c>
      <c r="AA446" s="1" t="s">
        <v>7823</v>
      </c>
      <c r="AB446" s="1" t="s">
        <v>3327</v>
      </c>
      <c r="AC446" s="1" t="s">
        <v>74</v>
      </c>
      <c r="AD446" s="1" t="s">
        <v>74</v>
      </c>
      <c r="AE446" s="1" t="s">
        <v>74</v>
      </c>
      <c r="AF446" s="1" t="s">
        <v>74</v>
      </c>
      <c r="AG446" s="1">
        <v>48</v>
      </c>
      <c r="AH446" s="1">
        <v>0</v>
      </c>
      <c r="AI446" s="1">
        <v>0</v>
      </c>
      <c r="AJ446" s="1">
        <v>8</v>
      </c>
      <c r="AK446" s="1">
        <v>25</v>
      </c>
      <c r="AL446" s="1" t="s">
        <v>1901</v>
      </c>
      <c r="AM446" s="1" t="s">
        <v>1902</v>
      </c>
      <c r="AN446" s="1" t="s">
        <v>1903</v>
      </c>
      <c r="AO446" s="1" t="s">
        <v>1904</v>
      </c>
      <c r="AP446" s="1" t="s">
        <v>1905</v>
      </c>
      <c r="AQ446" s="1" t="s">
        <v>74</v>
      </c>
      <c r="AR446" s="1" t="s">
        <v>1906</v>
      </c>
      <c r="AS446" s="1" t="s">
        <v>1907</v>
      </c>
      <c r="AT446" s="1" t="s">
        <v>224</v>
      </c>
      <c r="AU446" s="1">
        <v>2023</v>
      </c>
      <c r="AV446" s="1">
        <v>22</v>
      </c>
      <c r="AW446" s="1">
        <v>2</v>
      </c>
      <c r="AX446" s="1" t="s">
        <v>74</v>
      </c>
      <c r="AY446" s="1" t="s">
        <v>74</v>
      </c>
      <c r="AZ446" s="1" t="s">
        <v>74</v>
      </c>
      <c r="BA446" s="1" t="s">
        <v>74</v>
      </c>
      <c r="BB446" s="1">
        <v>363</v>
      </c>
      <c r="BC446" s="1">
        <v>374</v>
      </c>
      <c r="BD446" s="1" t="s">
        <v>74</v>
      </c>
      <c r="BE446" s="1" t="s">
        <v>7824</v>
      </c>
      <c r="BF446" s="1" t="str">
        <f>HYPERLINK("http://dx.doi.org/10.30638/eemj.2023.028","http://dx.doi.org/10.30638/eemj.2023.028")</f>
        <v>http://dx.doi.org/10.30638/eemj.2023.028</v>
      </c>
      <c r="BG446" s="1" t="s">
        <v>74</v>
      </c>
      <c r="BH446" s="1" t="s">
        <v>74</v>
      </c>
      <c r="BI446" s="1">
        <v>12</v>
      </c>
      <c r="BJ446" s="1" t="s">
        <v>144</v>
      </c>
      <c r="BK446" s="1" t="s">
        <v>96</v>
      </c>
      <c r="BL446" s="1" t="s">
        <v>145</v>
      </c>
      <c r="BM446" s="1" t="s">
        <v>7825</v>
      </c>
      <c r="BN446" s="1" t="s">
        <v>74</v>
      </c>
      <c r="BO446" s="1" t="s">
        <v>74</v>
      </c>
      <c r="BP446" s="1" t="s">
        <v>74</v>
      </c>
      <c r="BQ446" s="1" t="s">
        <v>74</v>
      </c>
      <c r="BR446" s="1" t="s">
        <v>98</v>
      </c>
      <c r="BS446" s="1" t="s">
        <v>7826</v>
      </c>
      <c r="BT446" s="1" t="str">
        <f>HYPERLINK("https%3A%2F%2Fwww.webofscience.com%2Fwos%2Fwoscc%2Ffull-record%2FWOS:001004192800013","View Full Record in Web of Science")</f>
        <v>View Full Record in Web of Science</v>
      </c>
    </row>
    <row r="447" spans="1:72">
      <c r="A447" s="1" t="s">
        <v>72</v>
      </c>
      <c r="B447" s="1" t="s">
        <v>7827</v>
      </c>
      <c r="C447" s="1" t="s">
        <v>74</v>
      </c>
      <c r="D447" s="1" t="s">
        <v>74</v>
      </c>
      <c r="E447" s="1" t="s">
        <v>74</v>
      </c>
      <c r="F447" s="1" t="s">
        <v>7828</v>
      </c>
      <c r="G447" s="1" t="s">
        <v>74</v>
      </c>
      <c r="H447" s="1" t="s">
        <v>74</v>
      </c>
      <c r="I447" s="1" t="s">
        <v>7829</v>
      </c>
      <c r="J447" s="1" t="s">
        <v>7830</v>
      </c>
      <c r="K447" s="1" t="s">
        <v>74</v>
      </c>
      <c r="L447" s="1" t="s">
        <v>74</v>
      </c>
      <c r="M447" s="1" t="s">
        <v>78</v>
      </c>
      <c r="N447" s="1" t="s">
        <v>79</v>
      </c>
      <c r="O447" s="1" t="s">
        <v>74</v>
      </c>
      <c r="P447" s="1" t="s">
        <v>74</v>
      </c>
      <c r="Q447" s="1" t="s">
        <v>74</v>
      </c>
      <c r="R447" s="1" t="s">
        <v>74</v>
      </c>
      <c r="S447" s="1" t="s">
        <v>74</v>
      </c>
      <c r="T447" s="1" t="s">
        <v>7831</v>
      </c>
      <c r="U447" s="1" t="s">
        <v>7832</v>
      </c>
      <c r="V447" s="1" t="s">
        <v>7833</v>
      </c>
      <c r="W447" s="1" t="s">
        <v>7834</v>
      </c>
      <c r="X447" s="1" t="s">
        <v>7835</v>
      </c>
      <c r="Y447" s="1" t="s">
        <v>7836</v>
      </c>
      <c r="Z447" s="1" t="s">
        <v>7837</v>
      </c>
      <c r="AA447" s="1" t="s">
        <v>7838</v>
      </c>
      <c r="AB447" s="1" t="s">
        <v>7839</v>
      </c>
      <c r="AC447" s="1" t="s">
        <v>7840</v>
      </c>
      <c r="AD447" s="1" t="s">
        <v>7840</v>
      </c>
      <c r="AE447" s="1" t="s">
        <v>7841</v>
      </c>
      <c r="AF447" s="1" t="s">
        <v>74</v>
      </c>
      <c r="AG447" s="1">
        <v>48</v>
      </c>
      <c r="AH447" s="1">
        <v>24</v>
      </c>
      <c r="AI447" s="1">
        <v>24</v>
      </c>
      <c r="AJ447" s="1">
        <v>0</v>
      </c>
      <c r="AK447" s="1">
        <v>16</v>
      </c>
      <c r="AL447" s="1" t="s">
        <v>7842</v>
      </c>
      <c r="AM447" s="1" t="s">
        <v>7843</v>
      </c>
      <c r="AN447" s="1" t="s">
        <v>7844</v>
      </c>
      <c r="AO447" s="1" t="s">
        <v>7845</v>
      </c>
      <c r="AP447" s="1" t="s">
        <v>7846</v>
      </c>
      <c r="AQ447" s="1" t="s">
        <v>74</v>
      </c>
      <c r="AR447" s="1" t="s">
        <v>7847</v>
      </c>
      <c r="AS447" s="1" t="s">
        <v>7848</v>
      </c>
      <c r="AT447" s="1" t="s">
        <v>142</v>
      </c>
      <c r="AU447" s="1">
        <v>2012</v>
      </c>
      <c r="AV447" s="1">
        <v>53</v>
      </c>
      <c r="AW447" s="1">
        <v>1</v>
      </c>
      <c r="AX447" s="1" t="s">
        <v>74</v>
      </c>
      <c r="AY447" s="1" t="s">
        <v>74</v>
      </c>
      <c r="AZ447" s="1" t="s">
        <v>74</v>
      </c>
      <c r="BA447" s="1" t="s">
        <v>74</v>
      </c>
      <c r="BB447" s="1">
        <v>71</v>
      </c>
      <c r="BC447" s="1">
        <v>85</v>
      </c>
      <c r="BD447" s="1" t="s">
        <v>74</v>
      </c>
      <c r="BE447" s="1" t="s">
        <v>74</v>
      </c>
      <c r="BF447" s="1" t="s">
        <v>74</v>
      </c>
      <c r="BG447" s="1" t="s">
        <v>74</v>
      </c>
      <c r="BH447" s="1" t="s">
        <v>74</v>
      </c>
      <c r="BI447" s="1">
        <v>15</v>
      </c>
      <c r="BJ447" s="1" t="s">
        <v>4241</v>
      </c>
      <c r="BK447" s="1" t="s">
        <v>96</v>
      </c>
      <c r="BL447" s="1" t="s">
        <v>4241</v>
      </c>
      <c r="BM447" s="1" t="s">
        <v>7849</v>
      </c>
      <c r="BN447" s="1" t="s">
        <v>74</v>
      </c>
      <c r="BO447" s="1" t="s">
        <v>74</v>
      </c>
      <c r="BP447" s="1" t="s">
        <v>74</v>
      </c>
      <c r="BQ447" s="1" t="s">
        <v>74</v>
      </c>
      <c r="BR447" s="1" t="s">
        <v>98</v>
      </c>
      <c r="BS447" s="1" t="s">
        <v>7850</v>
      </c>
      <c r="BT447" s="1" t="str">
        <f>HYPERLINK("https%3A%2F%2Fwww.webofscience.com%2Fwos%2Fwoscc%2Ffull-record%2FWOS:000308008600005","View Full Record in Web of Science")</f>
        <v>View Full Record in Web of Science</v>
      </c>
    </row>
    <row r="448" spans="1:72">
      <c r="A448" s="1" t="s">
        <v>72</v>
      </c>
      <c r="B448" s="1" t="s">
        <v>7851</v>
      </c>
      <c r="C448" s="1" t="s">
        <v>74</v>
      </c>
      <c r="D448" s="1" t="s">
        <v>74</v>
      </c>
      <c r="E448" s="1" t="s">
        <v>74</v>
      </c>
      <c r="F448" s="1" t="s">
        <v>7852</v>
      </c>
      <c r="G448" s="1" t="s">
        <v>74</v>
      </c>
      <c r="H448" s="1" t="s">
        <v>74</v>
      </c>
      <c r="I448" s="1" t="s">
        <v>7853</v>
      </c>
      <c r="J448" s="1" t="s">
        <v>7854</v>
      </c>
      <c r="K448" s="1" t="s">
        <v>74</v>
      </c>
      <c r="L448" s="1" t="s">
        <v>74</v>
      </c>
      <c r="M448" s="1" t="s">
        <v>78</v>
      </c>
      <c r="N448" s="1" t="s">
        <v>79</v>
      </c>
      <c r="O448" s="1" t="s">
        <v>74</v>
      </c>
      <c r="P448" s="1" t="s">
        <v>74</v>
      </c>
      <c r="Q448" s="1" t="s">
        <v>74</v>
      </c>
      <c r="R448" s="1" t="s">
        <v>74</v>
      </c>
      <c r="S448" s="1" t="s">
        <v>74</v>
      </c>
      <c r="T448" s="1" t="s">
        <v>7855</v>
      </c>
      <c r="U448" s="1" t="s">
        <v>7856</v>
      </c>
      <c r="V448" s="1" t="s">
        <v>7857</v>
      </c>
      <c r="W448" s="1" t="s">
        <v>7858</v>
      </c>
      <c r="X448" s="1" t="s">
        <v>7859</v>
      </c>
      <c r="Y448" s="1" t="s">
        <v>7860</v>
      </c>
      <c r="Z448" s="1" t="s">
        <v>7861</v>
      </c>
      <c r="AA448" s="1" t="s">
        <v>7862</v>
      </c>
      <c r="AB448" s="1" t="s">
        <v>7863</v>
      </c>
      <c r="AC448" s="1" t="s">
        <v>7864</v>
      </c>
      <c r="AD448" s="1" t="s">
        <v>7865</v>
      </c>
      <c r="AE448" s="1" t="s">
        <v>7866</v>
      </c>
      <c r="AF448" s="1" t="s">
        <v>74</v>
      </c>
      <c r="AG448" s="1">
        <v>98</v>
      </c>
      <c r="AH448" s="1">
        <v>26</v>
      </c>
      <c r="AI448" s="1">
        <v>27</v>
      </c>
      <c r="AJ448" s="1">
        <v>2</v>
      </c>
      <c r="AK448" s="1">
        <v>38</v>
      </c>
      <c r="AL448" s="1" t="s">
        <v>112</v>
      </c>
      <c r="AM448" s="1" t="s">
        <v>113</v>
      </c>
      <c r="AN448" s="1" t="s">
        <v>114</v>
      </c>
      <c r="AO448" s="1" t="s">
        <v>7867</v>
      </c>
      <c r="AP448" s="1" t="s">
        <v>7868</v>
      </c>
      <c r="AQ448" s="1" t="s">
        <v>74</v>
      </c>
      <c r="AR448" s="1" t="s">
        <v>7869</v>
      </c>
      <c r="AS448" s="1" t="s">
        <v>7870</v>
      </c>
      <c r="AT448" s="1" t="s">
        <v>93</v>
      </c>
      <c r="AU448" s="1">
        <v>2018</v>
      </c>
      <c r="AV448" s="1">
        <v>77</v>
      </c>
      <c r="AW448" s="1">
        <v>8</v>
      </c>
      <c r="AX448" s="1" t="s">
        <v>74</v>
      </c>
      <c r="AY448" s="1" t="s">
        <v>74</v>
      </c>
      <c r="AZ448" s="1" t="s">
        <v>74</v>
      </c>
      <c r="BA448" s="1" t="s">
        <v>74</v>
      </c>
      <c r="BB448" s="1" t="s">
        <v>74</v>
      </c>
      <c r="BC448" s="1" t="s">
        <v>74</v>
      </c>
      <c r="BD448" s="1">
        <v>321</v>
      </c>
      <c r="BE448" s="1" t="s">
        <v>7871</v>
      </c>
      <c r="BF448" s="1" t="str">
        <f>HYPERLINK("http://dx.doi.org/10.1007/s12665-018-7496-1","http://dx.doi.org/10.1007/s12665-018-7496-1")</f>
        <v>http://dx.doi.org/10.1007/s12665-018-7496-1</v>
      </c>
      <c r="BG448" s="1" t="s">
        <v>74</v>
      </c>
      <c r="BH448" s="1" t="s">
        <v>74</v>
      </c>
      <c r="BI448" s="1">
        <v>13</v>
      </c>
      <c r="BJ448" s="1" t="s">
        <v>7872</v>
      </c>
      <c r="BK448" s="1" t="s">
        <v>96</v>
      </c>
      <c r="BL448" s="1" t="s">
        <v>7873</v>
      </c>
      <c r="BM448" s="1" t="s">
        <v>7874</v>
      </c>
      <c r="BN448" s="1" t="s">
        <v>74</v>
      </c>
      <c r="BO448" s="1" t="s">
        <v>74</v>
      </c>
      <c r="BP448" s="1" t="s">
        <v>74</v>
      </c>
      <c r="BQ448" s="1" t="s">
        <v>74</v>
      </c>
      <c r="BR448" s="1" t="s">
        <v>98</v>
      </c>
      <c r="BS448" s="1" t="s">
        <v>7875</v>
      </c>
      <c r="BT448" s="1" t="str">
        <f>HYPERLINK("https%3A%2F%2Fwww.webofscience.com%2Fwos%2Fwoscc%2Ffull-record%2FWOS:000431107000022","View Full Record in Web of Science")</f>
        <v>View Full Record in Web of Science</v>
      </c>
    </row>
    <row r="449" spans="1:72">
      <c r="A449" s="1" t="s">
        <v>72</v>
      </c>
      <c r="B449" s="1" t="s">
        <v>7876</v>
      </c>
      <c r="C449" s="1" t="s">
        <v>74</v>
      </c>
      <c r="D449" s="1" t="s">
        <v>74</v>
      </c>
      <c r="E449" s="1" t="s">
        <v>74</v>
      </c>
      <c r="F449" s="1" t="s">
        <v>7877</v>
      </c>
      <c r="G449" s="1" t="s">
        <v>74</v>
      </c>
      <c r="H449" s="1" t="s">
        <v>74</v>
      </c>
      <c r="I449" s="1" t="s">
        <v>7878</v>
      </c>
      <c r="J449" s="1" t="s">
        <v>232</v>
      </c>
      <c r="K449" s="1" t="s">
        <v>74</v>
      </c>
      <c r="L449" s="1" t="s">
        <v>74</v>
      </c>
      <c r="M449" s="1" t="s">
        <v>78</v>
      </c>
      <c r="N449" s="1" t="s">
        <v>79</v>
      </c>
      <c r="O449" s="1" t="s">
        <v>74</v>
      </c>
      <c r="P449" s="1" t="s">
        <v>74</v>
      </c>
      <c r="Q449" s="1" t="s">
        <v>74</v>
      </c>
      <c r="R449" s="1" t="s">
        <v>74</v>
      </c>
      <c r="S449" s="1" t="s">
        <v>74</v>
      </c>
      <c r="T449" s="1" t="s">
        <v>7879</v>
      </c>
      <c r="U449" s="1" t="s">
        <v>7880</v>
      </c>
      <c r="V449" s="1" t="s">
        <v>7881</v>
      </c>
      <c r="W449" s="1" t="s">
        <v>7882</v>
      </c>
      <c r="X449" s="1" t="s">
        <v>7883</v>
      </c>
      <c r="Y449" s="1" t="s">
        <v>7884</v>
      </c>
      <c r="Z449" s="1" t="s">
        <v>74</v>
      </c>
      <c r="AA449" s="1" t="s">
        <v>7885</v>
      </c>
      <c r="AB449" s="1" t="s">
        <v>7886</v>
      </c>
      <c r="AC449" s="1" t="s">
        <v>7887</v>
      </c>
      <c r="AD449" s="1" t="s">
        <v>7887</v>
      </c>
      <c r="AE449" s="1" t="s">
        <v>7888</v>
      </c>
      <c r="AF449" s="1" t="s">
        <v>74</v>
      </c>
      <c r="AG449" s="1">
        <v>52</v>
      </c>
      <c r="AH449" s="1">
        <v>4</v>
      </c>
      <c r="AI449" s="1">
        <v>4</v>
      </c>
      <c r="AJ449" s="1">
        <v>0</v>
      </c>
      <c r="AK449" s="1">
        <v>18</v>
      </c>
      <c r="AL449" s="1" t="s">
        <v>136</v>
      </c>
      <c r="AM449" s="1" t="s">
        <v>137</v>
      </c>
      <c r="AN449" s="1" t="s">
        <v>138</v>
      </c>
      <c r="AO449" s="1" t="s">
        <v>240</v>
      </c>
      <c r="AP449" s="1" t="s">
        <v>241</v>
      </c>
      <c r="AQ449" s="1" t="s">
        <v>74</v>
      </c>
      <c r="AR449" s="1" t="s">
        <v>242</v>
      </c>
      <c r="AS449" s="1" t="s">
        <v>243</v>
      </c>
      <c r="AT449" s="1" t="s">
        <v>546</v>
      </c>
      <c r="AU449" s="1">
        <v>2014</v>
      </c>
      <c r="AV449" s="1">
        <v>88</v>
      </c>
      <c r="AW449" s="1" t="s">
        <v>326</v>
      </c>
      <c r="AX449" s="1" t="s">
        <v>74</v>
      </c>
      <c r="AY449" s="1" t="s">
        <v>74</v>
      </c>
      <c r="AZ449" s="1" t="s">
        <v>74</v>
      </c>
      <c r="BA449" s="1" t="s">
        <v>74</v>
      </c>
      <c r="BB449" s="1">
        <v>180</v>
      </c>
      <c r="BC449" s="1">
        <v>187</v>
      </c>
      <c r="BD449" s="1" t="s">
        <v>74</v>
      </c>
      <c r="BE449" s="1" t="s">
        <v>7889</v>
      </c>
      <c r="BF449" s="1" t="str">
        <f>HYPERLINK("http://dx.doi.org/10.1016/j.marpolbul.2014.09.008","http://dx.doi.org/10.1016/j.marpolbul.2014.09.008")</f>
        <v>http://dx.doi.org/10.1016/j.marpolbul.2014.09.008</v>
      </c>
      <c r="BG449" s="1" t="s">
        <v>74</v>
      </c>
      <c r="BH449" s="1" t="s">
        <v>74</v>
      </c>
      <c r="BI449" s="1">
        <v>8</v>
      </c>
      <c r="BJ449" s="1" t="s">
        <v>247</v>
      </c>
      <c r="BK449" s="1" t="s">
        <v>96</v>
      </c>
      <c r="BL449" s="1" t="s">
        <v>248</v>
      </c>
      <c r="BM449" s="1" t="s">
        <v>7890</v>
      </c>
      <c r="BN449" s="1">
        <v>25249255</v>
      </c>
      <c r="BO449" s="1" t="s">
        <v>74</v>
      </c>
      <c r="BP449" s="1" t="s">
        <v>74</v>
      </c>
      <c r="BQ449" s="1" t="s">
        <v>74</v>
      </c>
      <c r="BR449" s="1" t="s">
        <v>98</v>
      </c>
      <c r="BS449" s="1" t="s">
        <v>7891</v>
      </c>
      <c r="BT449" s="1" t="str">
        <f>HYPERLINK("https%3A%2F%2Fwww.webofscience.com%2Fwos%2Fwoscc%2Ffull-record%2FWOS:000345489800033","View Full Record in Web of Science")</f>
        <v>View Full Record in Web of Science</v>
      </c>
    </row>
    <row r="450" spans="1:72">
      <c r="A450" s="1" t="s">
        <v>72</v>
      </c>
      <c r="B450" s="1" t="s">
        <v>7892</v>
      </c>
      <c r="C450" s="1" t="s">
        <v>74</v>
      </c>
      <c r="D450" s="1" t="s">
        <v>74</v>
      </c>
      <c r="E450" s="1" t="s">
        <v>74</v>
      </c>
      <c r="F450" s="1" t="s">
        <v>7893</v>
      </c>
      <c r="G450" s="1" t="s">
        <v>74</v>
      </c>
      <c r="H450" s="1" t="s">
        <v>74</v>
      </c>
      <c r="I450" s="1" t="s">
        <v>7894</v>
      </c>
      <c r="J450" s="1" t="s">
        <v>7895</v>
      </c>
      <c r="K450" s="1" t="s">
        <v>74</v>
      </c>
      <c r="L450" s="1" t="s">
        <v>74</v>
      </c>
      <c r="M450" s="1" t="s">
        <v>78</v>
      </c>
      <c r="N450" s="1" t="s">
        <v>79</v>
      </c>
      <c r="O450" s="1" t="s">
        <v>74</v>
      </c>
      <c r="P450" s="1" t="s">
        <v>74</v>
      </c>
      <c r="Q450" s="1" t="s">
        <v>74</v>
      </c>
      <c r="R450" s="1" t="s">
        <v>74</v>
      </c>
      <c r="S450" s="1" t="s">
        <v>74</v>
      </c>
      <c r="T450" s="1" t="s">
        <v>7896</v>
      </c>
      <c r="U450" s="1" t="s">
        <v>7897</v>
      </c>
      <c r="V450" s="1" t="s">
        <v>7898</v>
      </c>
      <c r="W450" s="1" t="s">
        <v>7899</v>
      </c>
      <c r="X450" s="1" t="s">
        <v>7900</v>
      </c>
      <c r="Y450" s="1" t="s">
        <v>7901</v>
      </c>
      <c r="Z450" s="1" t="s">
        <v>7902</v>
      </c>
      <c r="AA450" s="1" t="s">
        <v>74</v>
      </c>
      <c r="AB450" s="1" t="s">
        <v>7903</v>
      </c>
      <c r="AC450" s="1" t="s">
        <v>7904</v>
      </c>
      <c r="AD450" s="1" t="s">
        <v>7905</v>
      </c>
      <c r="AE450" s="1" t="s">
        <v>7906</v>
      </c>
      <c r="AF450" s="1" t="s">
        <v>74</v>
      </c>
      <c r="AG450" s="1">
        <v>67</v>
      </c>
      <c r="AH450" s="1">
        <v>0</v>
      </c>
      <c r="AI450" s="1">
        <v>0</v>
      </c>
      <c r="AJ450" s="1">
        <v>2</v>
      </c>
      <c r="AK450" s="1">
        <v>2</v>
      </c>
      <c r="AL450" s="1" t="s">
        <v>650</v>
      </c>
      <c r="AM450" s="1" t="s">
        <v>651</v>
      </c>
      <c r="AN450" s="1" t="s">
        <v>652</v>
      </c>
      <c r="AO450" s="1" t="s">
        <v>7907</v>
      </c>
      <c r="AP450" s="1" t="s">
        <v>7908</v>
      </c>
      <c r="AQ450" s="1" t="s">
        <v>74</v>
      </c>
      <c r="AR450" s="1" t="s">
        <v>7909</v>
      </c>
      <c r="AS450" s="1" t="s">
        <v>7910</v>
      </c>
      <c r="AT450" s="1" t="s">
        <v>305</v>
      </c>
      <c r="AU450" s="1">
        <v>2024</v>
      </c>
      <c r="AV450" s="1">
        <v>17</v>
      </c>
      <c r="AW450" s="1">
        <v>9</v>
      </c>
      <c r="AX450" s="1" t="s">
        <v>74</v>
      </c>
      <c r="AY450" s="1" t="s">
        <v>74</v>
      </c>
      <c r="AZ450" s="1" t="s">
        <v>74</v>
      </c>
      <c r="BA450" s="1" t="s">
        <v>74</v>
      </c>
      <c r="BB450" s="1" t="s">
        <v>74</v>
      </c>
      <c r="BC450" s="1" t="s">
        <v>74</v>
      </c>
      <c r="BD450" s="1">
        <v>105868</v>
      </c>
      <c r="BE450" s="1" t="s">
        <v>7911</v>
      </c>
      <c r="BF450" s="1" t="str">
        <f>HYPERLINK("http://dx.doi.org/10.1016/j.arabjc.2024.105868","http://dx.doi.org/10.1016/j.arabjc.2024.105868")</f>
        <v>http://dx.doi.org/10.1016/j.arabjc.2024.105868</v>
      </c>
      <c r="BG450" s="1" t="s">
        <v>74</v>
      </c>
      <c r="BH450" s="1" t="s">
        <v>7912</v>
      </c>
      <c r="BI450" s="1">
        <v>9</v>
      </c>
      <c r="BJ450" s="1" t="s">
        <v>3919</v>
      </c>
      <c r="BK450" s="1" t="s">
        <v>96</v>
      </c>
      <c r="BL450" s="1" t="s">
        <v>1197</v>
      </c>
      <c r="BM450" s="1" t="s">
        <v>7913</v>
      </c>
      <c r="BN450" s="1" t="s">
        <v>74</v>
      </c>
      <c r="BO450" s="1" t="s">
        <v>476</v>
      </c>
      <c r="BP450" s="1" t="s">
        <v>74</v>
      </c>
      <c r="BQ450" s="1" t="s">
        <v>74</v>
      </c>
      <c r="BR450" s="1" t="s">
        <v>98</v>
      </c>
      <c r="BS450" s="1" t="s">
        <v>7914</v>
      </c>
      <c r="BT450" s="1" t="str">
        <f>HYPERLINK("https%3A%2F%2Fwww.webofscience.com%2Fwos%2Fwoscc%2Ffull-record%2FWOS:001260533200001","View Full Record in Web of Science")</f>
        <v>View Full Record in Web of Science</v>
      </c>
    </row>
    <row r="451" spans="1:72">
      <c r="A451" s="1" t="s">
        <v>72</v>
      </c>
      <c r="B451" s="1" t="s">
        <v>7915</v>
      </c>
      <c r="C451" s="1" t="s">
        <v>74</v>
      </c>
      <c r="D451" s="1" t="s">
        <v>74</v>
      </c>
      <c r="E451" s="1" t="s">
        <v>74</v>
      </c>
      <c r="F451" s="1" t="s">
        <v>7915</v>
      </c>
      <c r="G451" s="1" t="s">
        <v>74</v>
      </c>
      <c r="H451" s="1" t="s">
        <v>74</v>
      </c>
      <c r="I451" s="1" t="s">
        <v>7916</v>
      </c>
      <c r="J451" s="1" t="s">
        <v>6542</v>
      </c>
      <c r="K451" s="1" t="s">
        <v>74</v>
      </c>
      <c r="L451" s="1" t="s">
        <v>74</v>
      </c>
      <c r="M451" s="1" t="s">
        <v>78</v>
      </c>
      <c r="N451" s="1" t="s">
        <v>79</v>
      </c>
      <c r="O451" s="1" t="s">
        <v>74</v>
      </c>
      <c r="P451" s="1" t="s">
        <v>74</v>
      </c>
      <c r="Q451" s="1" t="s">
        <v>74</v>
      </c>
      <c r="R451" s="1" t="s">
        <v>74</v>
      </c>
      <c r="S451" s="1" t="s">
        <v>74</v>
      </c>
      <c r="T451" s="1" t="s">
        <v>74</v>
      </c>
      <c r="U451" s="1" t="s">
        <v>7917</v>
      </c>
      <c r="V451" s="1" t="s">
        <v>7918</v>
      </c>
      <c r="W451" s="1" t="s">
        <v>7919</v>
      </c>
      <c r="X451" s="1" t="s">
        <v>7482</v>
      </c>
      <c r="Y451" s="1" t="s">
        <v>7920</v>
      </c>
      <c r="Z451" s="1" t="s">
        <v>74</v>
      </c>
      <c r="AA451" s="1" t="s">
        <v>7921</v>
      </c>
      <c r="AB451" s="1" t="s">
        <v>7922</v>
      </c>
      <c r="AC451" s="1" t="s">
        <v>74</v>
      </c>
      <c r="AD451" s="1" t="s">
        <v>74</v>
      </c>
      <c r="AE451" s="1" t="s">
        <v>74</v>
      </c>
      <c r="AF451" s="1" t="s">
        <v>74</v>
      </c>
      <c r="AG451" s="1">
        <v>36</v>
      </c>
      <c r="AH451" s="1">
        <v>5</v>
      </c>
      <c r="AI451" s="1">
        <v>5</v>
      </c>
      <c r="AJ451" s="1">
        <v>0</v>
      </c>
      <c r="AK451" s="1">
        <v>3</v>
      </c>
      <c r="AL451" s="1" t="s">
        <v>7923</v>
      </c>
      <c r="AM451" s="1" t="s">
        <v>113</v>
      </c>
      <c r="AN451" s="1" t="s">
        <v>7924</v>
      </c>
      <c r="AO451" s="1" t="s">
        <v>6556</v>
      </c>
      <c r="AP451" s="1" t="s">
        <v>6557</v>
      </c>
      <c r="AQ451" s="1" t="s">
        <v>74</v>
      </c>
      <c r="AR451" s="1" t="s">
        <v>6558</v>
      </c>
      <c r="AS451" s="1" t="s">
        <v>6559</v>
      </c>
      <c r="AT451" s="1" t="s">
        <v>6692</v>
      </c>
      <c r="AU451" s="1">
        <v>2002</v>
      </c>
      <c r="AV451" s="1">
        <v>42</v>
      </c>
      <c r="AW451" s="1">
        <v>4</v>
      </c>
      <c r="AX451" s="1" t="s">
        <v>74</v>
      </c>
      <c r="AY451" s="1" t="s">
        <v>74</v>
      </c>
      <c r="AZ451" s="1" t="s">
        <v>74</v>
      </c>
      <c r="BA451" s="1" t="s">
        <v>74</v>
      </c>
      <c r="BB451" s="1">
        <v>530</v>
      </c>
      <c r="BC451" s="1">
        <v>535</v>
      </c>
      <c r="BD451" s="1" t="s">
        <v>74</v>
      </c>
      <c r="BE451" s="1" t="s">
        <v>74</v>
      </c>
      <c r="BF451" s="1" t="s">
        <v>74</v>
      </c>
      <c r="BG451" s="1" t="s">
        <v>74</v>
      </c>
      <c r="BH451" s="1" t="s">
        <v>74</v>
      </c>
      <c r="BI451" s="1">
        <v>6</v>
      </c>
      <c r="BJ451" s="1" t="s">
        <v>1439</v>
      </c>
      <c r="BK451" s="1" t="s">
        <v>96</v>
      </c>
      <c r="BL451" s="1" t="s">
        <v>1439</v>
      </c>
      <c r="BM451" s="1" t="s">
        <v>7925</v>
      </c>
      <c r="BN451" s="1" t="s">
        <v>74</v>
      </c>
      <c r="BO451" s="1" t="s">
        <v>74</v>
      </c>
      <c r="BP451" s="1" t="s">
        <v>74</v>
      </c>
      <c r="BQ451" s="1" t="s">
        <v>74</v>
      </c>
      <c r="BR451" s="1" t="s">
        <v>98</v>
      </c>
      <c r="BS451" s="1" t="s">
        <v>7926</v>
      </c>
      <c r="BT451" s="1" t="str">
        <f>HYPERLINK("https%3A%2F%2Fwww.webofscience.com%2Fwos%2Fwoscc%2Ffull-record%2FWOS:000177945000010","View Full Record in Web of Science")</f>
        <v>View Full Record in Web of Science</v>
      </c>
    </row>
    <row r="452" spans="1:72">
      <c r="A452" s="1" t="s">
        <v>72</v>
      </c>
      <c r="B452" s="1" t="s">
        <v>7927</v>
      </c>
      <c r="C452" s="1" t="s">
        <v>74</v>
      </c>
      <c r="D452" s="1" t="s">
        <v>74</v>
      </c>
      <c r="E452" s="1" t="s">
        <v>74</v>
      </c>
      <c r="F452" s="1" t="s">
        <v>7928</v>
      </c>
      <c r="G452" s="1" t="s">
        <v>74</v>
      </c>
      <c r="H452" s="1" t="s">
        <v>74</v>
      </c>
      <c r="I452" s="1" t="s">
        <v>7929</v>
      </c>
      <c r="J452" s="1" t="s">
        <v>641</v>
      </c>
      <c r="K452" s="1" t="s">
        <v>74</v>
      </c>
      <c r="L452" s="1" t="s">
        <v>74</v>
      </c>
      <c r="M452" s="1" t="s">
        <v>78</v>
      </c>
      <c r="N452" s="1" t="s">
        <v>79</v>
      </c>
      <c r="O452" s="1" t="s">
        <v>74</v>
      </c>
      <c r="P452" s="1" t="s">
        <v>74</v>
      </c>
      <c r="Q452" s="1" t="s">
        <v>74</v>
      </c>
      <c r="R452" s="1" t="s">
        <v>74</v>
      </c>
      <c r="S452" s="1" t="s">
        <v>74</v>
      </c>
      <c r="T452" s="1" t="s">
        <v>7930</v>
      </c>
      <c r="U452" s="1" t="s">
        <v>7931</v>
      </c>
      <c r="V452" s="1" t="s">
        <v>7932</v>
      </c>
      <c r="W452" s="1" t="s">
        <v>7933</v>
      </c>
      <c r="X452" s="1" t="s">
        <v>7934</v>
      </c>
      <c r="Y452" s="1" t="s">
        <v>7935</v>
      </c>
      <c r="Z452" s="1" t="s">
        <v>7936</v>
      </c>
      <c r="AA452" s="1" t="s">
        <v>7937</v>
      </c>
      <c r="AB452" s="1" t="s">
        <v>5975</v>
      </c>
      <c r="AC452" s="1" t="s">
        <v>5976</v>
      </c>
      <c r="AD452" s="1" t="s">
        <v>5977</v>
      </c>
      <c r="AE452" s="1" t="s">
        <v>7938</v>
      </c>
      <c r="AF452" s="1" t="s">
        <v>74</v>
      </c>
      <c r="AG452" s="1">
        <v>54</v>
      </c>
      <c r="AH452" s="1">
        <v>25</v>
      </c>
      <c r="AI452" s="1">
        <v>34</v>
      </c>
      <c r="AJ452" s="1">
        <v>2</v>
      </c>
      <c r="AK452" s="1">
        <v>41</v>
      </c>
      <c r="AL452" s="1" t="s">
        <v>650</v>
      </c>
      <c r="AM452" s="1" t="s">
        <v>651</v>
      </c>
      <c r="AN452" s="1" t="s">
        <v>652</v>
      </c>
      <c r="AO452" s="1" t="s">
        <v>653</v>
      </c>
      <c r="AP452" s="1" t="s">
        <v>654</v>
      </c>
      <c r="AQ452" s="1" t="s">
        <v>74</v>
      </c>
      <c r="AR452" s="1" t="s">
        <v>655</v>
      </c>
      <c r="AS452" s="1" t="s">
        <v>656</v>
      </c>
      <c r="AT452" s="1" t="s">
        <v>546</v>
      </c>
      <c r="AU452" s="1">
        <v>2010</v>
      </c>
      <c r="AV452" s="1">
        <v>100</v>
      </c>
      <c r="AW452" s="1">
        <v>4</v>
      </c>
      <c r="AX452" s="1" t="s">
        <v>74</v>
      </c>
      <c r="AY452" s="1" t="s">
        <v>74</v>
      </c>
      <c r="AZ452" s="1" t="s">
        <v>74</v>
      </c>
      <c r="BA452" s="1" t="s">
        <v>74</v>
      </c>
      <c r="BB452" s="1">
        <v>321</v>
      </c>
      <c r="BC452" s="1">
        <v>328</v>
      </c>
      <c r="BD452" s="1" t="s">
        <v>74</v>
      </c>
      <c r="BE452" s="1" t="s">
        <v>7939</v>
      </c>
      <c r="BF452" s="1" t="str">
        <f>HYPERLINK("http://dx.doi.org/10.1016/j.aquatox.2010.08.012","http://dx.doi.org/10.1016/j.aquatox.2010.08.012")</f>
        <v>http://dx.doi.org/10.1016/j.aquatox.2010.08.012</v>
      </c>
      <c r="BG452" s="1" t="s">
        <v>74</v>
      </c>
      <c r="BH452" s="1" t="s">
        <v>74</v>
      </c>
      <c r="BI452" s="1">
        <v>8</v>
      </c>
      <c r="BJ452" s="1" t="s">
        <v>659</v>
      </c>
      <c r="BK452" s="1" t="s">
        <v>96</v>
      </c>
      <c r="BL452" s="1" t="s">
        <v>659</v>
      </c>
      <c r="BM452" s="1" t="s">
        <v>1490</v>
      </c>
      <c r="BN452" s="1">
        <v>20869127</v>
      </c>
      <c r="BO452" s="1" t="s">
        <v>74</v>
      </c>
      <c r="BP452" s="1" t="s">
        <v>74</v>
      </c>
      <c r="BQ452" s="1" t="s">
        <v>74</v>
      </c>
      <c r="BR452" s="1" t="s">
        <v>98</v>
      </c>
      <c r="BS452" s="1" t="s">
        <v>7940</v>
      </c>
      <c r="BT452" s="1" t="str">
        <f>HYPERLINK("https%3A%2F%2Fwww.webofscience.com%2Fwos%2Fwoscc%2Ffull-record%2FWOS:000284787200003","View Full Record in Web of Science")</f>
        <v>View Full Record in Web of Science</v>
      </c>
    </row>
    <row r="453" spans="1:72">
      <c r="A453" s="1" t="s">
        <v>72</v>
      </c>
      <c r="B453" s="1" t="s">
        <v>7941</v>
      </c>
      <c r="C453" s="1" t="s">
        <v>74</v>
      </c>
      <c r="D453" s="1" t="s">
        <v>74</v>
      </c>
      <c r="E453" s="1" t="s">
        <v>74</v>
      </c>
      <c r="F453" s="1" t="s">
        <v>7941</v>
      </c>
      <c r="G453" s="1" t="s">
        <v>74</v>
      </c>
      <c r="H453" s="1" t="s">
        <v>74</v>
      </c>
      <c r="I453" s="1" t="s">
        <v>7942</v>
      </c>
      <c r="J453" s="1" t="s">
        <v>7943</v>
      </c>
      <c r="K453" s="1" t="s">
        <v>74</v>
      </c>
      <c r="L453" s="1" t="s">
        <v>74</v>
      </c>
      <c r="M453" s="1" t="s">
        <v>78</v>
      </c>
      <c r="N453" s="1" t="s">
        <v>79</v>
      </c>
      <c r="O453" s="1" t="s">
        <v>74</v>
      </c>
      <c r="P453" s="1" t="s">
        <v>74</v>
      </c>
      <c r="Q453" s="1" t="s">
        <v>74</v>
      </c>
      <c r="R453" s="1" t="s">
        <v>74</v>
      </c>
      <c r="S453" s="1" t="s">
        <v>74</v>
      </c>
      <c r="T453" s="1" t="s">
        <v>74</v>
      </c>
      <c r="U453" s="1" t="s">
        <v>7944</v>
      </c>
      <c r="V453" s="1" t="s">
        <v>7945</v>
      </c>
      <c r="W453" s="1" t="s">
        <v>7946</v>
      </c>
      <c r="X453" s="1" t="s">
        <v>7947</v>
      </c>
      <c r="Y453" s="1" t="s">
        <v>74</v>
      </c>
      <c r="Z453" s="1" t="s">
        <v>74</v>
      </c>
      <c r="AA453" s="1" t="s">
        <v>7948</v>
      </c>
      <c r="AB453" s="1" t="s">
        <v>74</v>
      </c>
      <c r="AC453" s="1" t="s">
        <v>74</v>
      </c>
      <c r="AD453" s="1" t="s">
        <v>74</v>
      </c>
      <c r="AE453" s="1" t="s">
        <v>74</v>
      </c>
      <c r="AF453" s="1" t="s">
        <v>74</v>
      </c>
      <c r="AG453" s="1">
        <v>84</v>
      </c>
      <c r="AH453" s="1">
        <v>38</v>
      </c>
      <c r="AI453" s="1">
        <v>40</v>
      </c>
      <c r="AJ453" s="1">
        <v>0</v>
      </c>
      <c r="AK453" s="1">
        <v>9</v>
      </c>
      <c r="AL453" s="1" t="s">
        <v>7949</v>
      </c>
      <c r="AM453" s="1" t="s">
        <v>7950</v>
      </c>
      <c r="AN453" s="1" t="s">
        <v>7951</v>
      </c>
      <c r="AO453" s="1" t="s">
        <v>7952</v>
      </c>
      <c r="AP453" s="1" t="s">
        <v>74</v>
      </c>
      <c r="AQ453" s="1" t="s">
        <v>74</v>
      </c>
      <c r="AR453" s="1" t="s">
        <v>7953</v>
      </c>
      <c r="AS453" s="1" t="s">
        <v>7954</v>
      </c>
      <c r="AT453" s="1" t="s">
        <v>74</v>
      </c>
      <c r="AU453" s="1">
        <v>1992</v>
      </c>
      <c r="AV453" s="1">
        <v>46</v>
      </c>
      <c r="AW453" s="1">
        <v>2</v>
      </c>
      <c r="AX453" s="1" t="s">
        <v>74</v>
      </c>
      <c r="AY453" s="1" t="s">
        <v>74</v>
      </c>
      <c r="AZ453" s="1" t="s">
        <v>74</v>
      </c>
      <c r="BA453" s="1" t="s">
        <v>74</v>
      </c>
      <c r="BB453" s="1">
        <v>201</v>
      </c>
      <c r="BC453" s="1">
        <v>235</v>
      </c>
      <c r="BD453" s="1" t="s">
        <v>74</v>
      </c>
      <c r="BE453" s="1" t="s">
        <v>7955</v>
      </c>
      <c r="BF453" s="1" t="str">
        <f>HYPERLINK("http://dx.doi.org/10.1007/BF02366055","http://dx.doi.org/10.1007/BF02366055")</f>
        <v>http://dx.doi.org/10.1007/BF02366055</v>
      </c>
      <c r="BG453" s="1" t="s">
        <v>74</v>
      </c>
      <c r="BH453" s="1" t="s">
        <v>74</v>
      </c>
      <c r="BI453" s="1">
        <v>35</v>
      </c>
      <c r="BJ453" s="1" t="s">
        <v>4241</v>
      </c>
      <c r="BK453" s="1" t="s">
        <v>96</v>
      </c>
      <c r="BL453" s="1" t="s">
        <v>4241</v>
      </c>
      <c r="BM453" s="1" t="s">
        <v>7956</v>
      </c>
      <c r="BN453" s="1" t="s">
        <v>74</v>
      </c>
      <c r="BO453" s="1" t="s">
        <v>370</v>
      </c>
      <c r="BP453" s="1" t="s">
        <v>74</v>
      </c>
      <c r="BQ453" s="1" t="s">
        <v>74</v>
      </c>
      <c r="BR453" s="1" t="s">
        <v>98</v>
      </c>
      <c r="BS453" s="1" t="s">
        <v>7957</v>
      </c>
      <c r="BT453" s="1" t="str">
        <f>HYPERLINK("https%3A%2F%2Fwww.webofscience.com%2Fwos%2Fwoscc%2Ffull-record%2FWOS:A1992JT10700006","View Full Record in Web of Science")</f>
        <v>View Full Record in Web of Science</v>
      </c>
    </row>
    <row r="454" spans="1:72">
      <c r="A454" s="1" t="s">
        <v>72</v>
      </c>
      <c r="B454" s="1" t="s">
        <v>7958</v>
      </c>
      <c r="C454" s="1" t="s">
        <v>74</v>
      </c>
      <c r="D454" s="1" t="s">
        <v>74</v>
      </c>
      <c r="E454" s="1" t="s">
        <v>74</v>
      </c>
      <c r="F454" s="1" t="s">
        <v>7959</v>
      </c>
      <c r="G454" s="1" t="s">
        <v>74</v>
      </c>
      <c r="H454" s="1" t="s">
        <v>74</v>
      </c>
      <c r="I454" s="1" t="s">
        <v>7960</v>
      </c>
      <c r="J454" s="1" t="s">
        <v>618</v>
      </c>
      <c r="K454" s="1" t="s">
        <v>74</v>
      </c>
      <c r="L454" s="1" t="s">
        <v>74</v>
      </c>
      <c r="M454" s="1" t="s">
        <v>78</v>
      </c>
      <c r="N454" s="1" t="s">
        <v>79</v>
      </c>
      <c r="O454" s="1" t="s">
        <v>74</v>
      </c>
      <c r="P454" s="1" t="s">
        <v>74</v>
      </c>
      <c r="Q454" s="1" t="s">
        <v>74</v>
      </c>
      <c r="R454" s="1" t="s">
        <v>74</v>
      </c>
      <c r="S454" s="1" t="s">
        <v>74</v>
      </c>
      <c r="T454" s="1" t="s">
        <v>7961</v>
      </c>
      <c r="U454" s="1" t="s">
        <v>7962</v>
      </c>
      <c r="V454" s="1" t="s">
        <v>7963</v>
      </c>
      <c r="W454" s="1" t="s">
        <v>7964</v>
      </c>
      <c r="X454" s="1" t="s">
        <v>7965</v>
      </c>
      <c r="Y454" s="1" t="s">
        <v>7966</v>
      </c>
      <c r="Z454" s="1" t="s">
        <v>7967</v>
      </c>
      <c r="AA454" s="1" t="s">
        <v>7968</v>
      </c>
      <c r="AB454" s="1" t="s">
        <v>7969</v>
      </c>
      <c r="AC454" s="1" t="s">
        <v>74</v>
      </c>
      <c r="AD454" s="1" t="s">
        <v>74</v>
      </c>
      <c r="AE454" s="1" t="s">
        <v>74</v>
      </c>
      <c r="AF454" s="1" t="s">
        <v>74</v>
      </c>
      <c r="AG454" s="1">
        <v>56</v>
      </c>
      <c r="AH454" s="1">
        <v>92</v>
      </c>
      <c r="AI454" s="1">
        <v>95</v>
      </c>
      <c r="AJ454" s="1">
        <v>0</v>
      </c>
      <c r="AK454" s="1">
        <v>20</v>
      </c>
      <c r="AL454" s="1" t="s">
        <v>627</v>
      </c>
      <c r="AM454" s="1" t="s">
        <v>628</v>
      </c>
      <c r="AN454" s="1" t="s">
        <v>629</v>
      </c>
      <c r="AO454" s="1" t="s">
        <v>630</v>
      </c>
      <c r="AP454" s="1" t="s">
        <v>74</v>
      </c>
      <c r="AQ454" s="1" t="s">
        <v>74</v>
      </c>
      <c r="AR454" s="1" t="s">
        <v>631</v>
      </c>
      <c r="AS454" s="1" t="s">
        <v>632</v>
      </c>
      <c r="AT454" s="1" t="s">
        <v>74</v>
      </c>
      <c r="AU454" s="1">
        <v>2014</v>
      </c>
      <c r="AV454" s="1">
        <v>15</v>
      </c>
      <c r="AW454" s="1">
        <v>1</v>
      </c>
      <c r="AX454" s="1" t="s">
        <v>74</v>
      </c>
      <c r="AY454" s="1" t="s">
        <v>74</v>
      </c>
      <c r="AZ454" s="1" t="s">
        <v>74</v>
      </c>
      <c r="BA454" s="1" t="s">
        <v>74</v>
      </c>
      <c r="BB454" s="1">
        <v>45</v>
      </c>
      <c r="BC454" s="1">
        <v>58</v>
      </c>
      <c r="BD454" s="1" t="s">
        <v>74</v>
      </c>
      <c r="BE454" s="1" t="s">
        <v>74</v>
      </c>
      <c r="BF454" s="1" t="s">
        <v>74</v>
      </c>
      <c r="BG454" s="1" t="s">
        <v>74</v>
      </c>
      <c r="BH454" s="1" t="s">
        <v>74</v>
      </c>
      <c r="BI454" s="1">
        <v>14</v>
      </c>
      <c r="BJ454" s="1" t="s">
        <v>634</v>
      </c>
      <c r="BK454" s="1" t="s">
        <v>96</v>
      </c>
      <c r="BL454" s="1" t="s">
        <v>635</v>
      </c>
      <c r="BM454" s="1" t="s">
        <v>7970</v>
      </c>
      <c r="BN454" s="1" t="s">
        <v>74</v>
      </c>
      <c r="BO454" s="1" t="s">
        <v>74</v>
      </c>
      <c r="BP454" s="1" t="s">
        <v>74</v>
      </c>
      <c r="BQ454" s="1" t="s">
        <v>74</v>
      </c>
      <c r="BR454" s="1" t="s">
        <v>98</v>
      </c>
      <c r="BS454" s="1" t="s">
        <v>7971</v>
      </c>
      <c r="BT454" s="1" t="str">
        <f>HYPERLINK("https%3A%2F%2Fwww.webofscience.com%2Fwos%2Fwoscc%2Ffull-record%2FWOS:000334163000005","View Full Record in Web of Science")</f>
        <v>View Full Record in Web of Science</v>
      </c>
    </row>
    <row r="455" spans="1:72">
      <c r="A455" s="1" t="s">
        <v>72</v>
      </c>
      <c r="B455" s="1" t="s">
        <v>7972</v>
      </c>
      <c r="C455" s="1" t="s">
        <v>74</v>
      </c>
      <c r="D455" s="1" t="s">
        <v>74</v>
      </c>
      <c r="E455" s="1" t="s">
        <v>74</v>
      </c>
      <c r="F455" s="1" t="s">
        <v>7973</v>
      </c>
      <c r="G455" s="1" t="s">
        <v>74</v>
      </c>
      <c r="H455" s="1" t="s">
        <v>74</v>
      </c>
      <c r="I455" s="1" t="s">
        <v>7974</v>
      </c>
      <c r="J455" s="1" t="s">
        <v>7975</v>
      </c>
      <c r="K455" s="1" t="s">
        <v>74</v>
      </c>
      <c r="L455" s="1" t="s">
        <v>74</v>
      </c>
      <c r="M455" s="1" t="s">
        <v>78</v>
      </c>
      <c r="N455" s="1" t="s">
        <v>79</v>
      </c>
      <c r="O455" s="1" t="s">
        <v>74</v>
      </c>
      <c r="P455" s="1" t="s">
        <v>74</v>
      </c>
      <c r="Q455" s="1" t="s">
        <v>74</v>
      </c>
      <c r="R455" s="1" t="s">
        <v>74</v>
      </c>
      <c r="S455" s="1" t="s">
        <v>74</v>
      </c>
      <c r="T455" s="1" t="s">
        <v>7976</v>
      </c>
      <c r="U455" s="1" t="s">
        <v>7977</v>
      </c>
      <c r="V455" s="1" t="s">
        <v>7978</v>
      </c>
      <c r="W455" s="1" t="s">
        <v>7979</v>
      </c>
      <c r="X455" s="1" t="s">
        <v>7980</v>
      </c>
      <c r="Y455" s="1" t="s">
        <v>7981</v>
      </c>
      <c r="Z455" s="1" t="s">
        <v>7982</v>
      </c>
      <c r="AA455" s="1" t="s">
        <v>7983</v>
      </c>
      <c r="AB455" s="1" t="s">
        <v>7984</v>
      </c>
      <c r="AC455" s="1" t="s">
        <v>7985</v>
      </c>
      <c r="AD455" s="1" t="s">
        <v>7985</v>
      </c>
      <c r="AE455" s="1" t="s">
        <v>7986</v>
      </c>
      <c r="AF455" s="1" t="s">
        <v>74</v>
      </c>
      <c r="AG455" s="1">
        <v>106</v>
      </c>
      <c r="AH455" s="1">
        <v>0</v>
      </c>
      <c r="AI455" s="1">
        <v>0</v>
      </c>
      <c r="AJ455" s="1">
        <v>1</v>
      </c>
      <c r="AK455" s="1">
        <v>4</v>
      </c>
      <c r="AL455" s="1" t="s">
        <v>2074</v>
      </c>
      <c r="AM455" s="1" t="s">
        <v>2075</v>
      </c>
      <c r="AN455" s="1" t="s">
        <v>2076</v>
      </c>
      <c r="AO455" s="1" t="s">
        <v>7987</v>
      </c>
      <c r="AP455" s="1" t="s">
        <v>7988</v>
      </c>
      <c r="AQ455" s="1" t="s">
        <v>74</v>
      </c>
      <c r="AR455" s="1" t="s">
        <v>7989</v>
      </c>
      <c r="AS455" s="1" t="s">
        <v>7990</v>
      </c>
      <c r="AT455" s="1" t="s">
        <v>2763</v>
      </c>
      <c r="AU455" s="1">
        <v>2024</v>
      </c>
      <c r="AV455" s="1">
        <v>44</v>
      </c>
      <c r="AW455" s="1">
        <v>1</v>
      </c>
      <c r="AX455" s="1" t="s">
        <v>74</v>
      </c>
      <c r="AY455" s="1" t="s">
        <v>74</v>
      </c>
      <c r="AZ455" s="1" t="s">
        <v>74</v>
      </c>
      <c r="BA455" s="1" t="s">
        <v>74</v>
      </c>
      <c r="BB455" s="1">
        <v>11</v>
      </c>
      <c r="BC455" s="1">
        <v>21</v>
      </c>
      <c r="BD455" s="1" t="s">
        <v>74</v>
      </c>
      <c r="BE455" s="1" t="s">
        <v>7991</v>
      </c>
      <c r="BF455" s="1" t="str">
        <f>HYPERLINK("http://dx.doi.org/10.1080/13235818.2023.2277834","http://dx.doi.org/10.1080/13235818.2023.2277834")</f>
        <v>http://dx.doi.org/10.1080/13235818.2023.2277834</v>
      </c>
      <c r="BG455" s="1" t="s">
        <v>74</v>
      </c>
      <c r="BH455" s="1" t="s">
        <v>7992</v>
      </c>
      <c r="BI455" s="1">
        <v>11</v>
      </c>
      <c r="BJ455" s="1" t="s">
        <v>7993</v>
      </c>
      <c r="BK455" s="1" t="s">
        <v>96</v>
      </c>
      <c r="BL455" s="1" t="s">
        <v>7993</v>
      </c>
      <c r="BM455" s="1" t="s">
        <v>7994</v>
      </c>
      <c r="BN455" s="1" t="s">
        <v>74</v>
      </c>
      <c r="BO455" s="1" t="s">
        <v>74</v>
      </c>
      <c r="BP455" s="1" t="s">
        <v>74</v>
      </c>
      <c r="BQ455" s="1" t="s">
        <v>74</v>
      </c>
      <c r="BR455" s="1" t="s">
        <v>98</v>
      </c>
      <c r="BS455" s="1" t="s">
        <v>7995</v>
      </c>
      <c r="BT455" s="1" t="str">
        <f>HYPERLINK("https%3A%2F%2Fwww.webofscience.com%2Fwos%2Fwoscc%2Ffull-record%2FWOS:001103504400001","View Full Record in Web of Science")</f>
        <v>View Full Record in Web of Science</v>
      </c>
    </row>
    <row r="456" spans="1:72">
      <c r="A456" s="1" t="s">
        <v>72</v>
      </c>
      <c r="B456" s="1" t="s">
        <v>7996</v>
      </c>
      <c r="C456" s="1" t="s">
        <v>74</v>
      </c>
      <c r="D456" s="1" t="s">
        <v>74</v>
      </c>
      <c r="E456" s="1" t="s">
        <v>74</v>
      </c>
      <c r="F456" s="1" t="s">
        <v>7996</v>
      </c>
      <c r="G456" s="1" t="s">
        <v>74</v>
      </c>
      <c r="H456" s="1" t="s">
        <v>74</v>
      </c>
      <c r="I456" s="1" t="s">
        <v>7997</v>
      </c>
      <c r="J456" s="1" t="s">
        <v>1756</v>
      </c>
      <c r="K456" s="1" t="s">
        <v>74</v>
      </c>
      <c r="L456" s="1" t="s">
        <v>74</v>
      </c>
      <c r="M456" s="1" t="s">
        <v>78</v>
      </c>
      <c r="N456" s="1" t="s">
        <v>79</v>
      </c>
      <c r="O456" s="1" t="s">
        <v>74</v>
      </c>
      <c r="P456" s="1" t="s">
        <v>74</v>
      </c>
      <c r="Q456" s="1" t="s">
        <v>74</v>
      </c>
      <c r="R456" s="1" t="s">
        <v>74</v>
      </c>
      <c r="S456" s="1" t="s">
        <v>74</v>
      </c>
      <c r="T456" s="1" t="s">
        <v>7998</v>
      </c>
      <c r="U456" s="1" t="s">
        <v>7999</v>
      </c>
      <c r="V456" s="1" t="s">
        <v>8000</v>
      </c>
      <c r="W456" s="1" t="s">
        <v>8001</v>
      </c>
      <c r="X456" s="1" t="s">
        <v>8002</v>
      </c>
      <c r="Y456" s="1" t="s">
        <v>74</v>
      </c>
      <c r="Z456" s="1" t="s">
        <v>74</v>
      </c>
      <c r="AA456" s="1" t="s">
        <v>74</v>
      </c>
      <c r="AB456" s="1" t="s">
        <v>74</v>
      </c>
      <c r="AC456" s="1" t="s">
        <v>74</v>
      </c>
      <c r="AD456" s="1" t="s">
        <v>74</v>
      </c>
      <c r="AE456" s="1" t="s">
        <v>74</v>
      </c>
      <c r="AF456" s="1" t="s">
        <v>74</v>
      </c>
      <c r="AG456" s="1">
        <v>48</v>
      </c>
      <c r="AH456" s="1">
        <v>48</v>
      </c>
      <c r="AI456" s="1">
        <v>53</v>
      </c>
      <c r="AJ456" s="1">
        <v>0</v>
      </c>
      <c r="AK456" s="1">
        <v>28</v>
      </c>
      <c r="AL456" s="1" t="s">
        <v>86</v>
      </c>
      <c r="AM456" s="1" t="s">
        <v>87</v>
      </c>
      <c r="AN456" s="1" t="s">
        <v>88</v>
      </c>
      <c r="AO456" s="1" t="s">
        <v>1764</v>
      </c>
      <c r="AP456" s="1" t="s">
        <v>1765</v>
      </c>
      <c r="AQ456" s="1" t="s">
        <v>74</v>
      </c>
      <c r="AR456" s="1" t="s">
        <v>1766</v>
      </c>
      <c r="AS456" s="1" t="s">
        <v>1767</v>
      </c>
      <c r="AT456" s="1" t="s">
        <v>142</v>
      </c>
      <c r="AU456" s="1">
        <v>1996</v>
      </c>
      <c r="AV456" s="1">
        <v>15</v>
      </c>
      <c r="AW456" s="1">
        <v>6</v>
      </c>
      <c r="AX456" s="1" t="s">
        <v>74</v>
      </c>
      <c r="AY456" s="1" t="s">
        <v>74</v>
      </c>
      <c r="AZ456" s="1" t="s">
        <v>74</v>
      </c>
      <c r="BA456" s="1" t="s">
        <v>74</v>
      </c>
      <c r="BB456" s="1">
        <v>886</v>
      </c>
      <c r="BC456" s="1">
        <v>893</v>
      </c>
      <c r="BD456" s="1" t="s">
        <v>74</v>
      </c>
      <c r="BE456" s="1" t="s">
        <v>8003</v>
      </c>
      <c r="BF456" s="1" t="str">
        <f>HYPERLINK("http://dx.doi.org/10.1002/etc.5620150610","http://dx.doi.org/10.1002/etc.5620150610")</f>
        <v>http://dx.doi.org/10.1002/etc.5620150610</v>
      </c>
      <c r="BG456" s="1" t="s">
        <v>74</v>
      </c>
      <c r="BH456" s="1" t="s">
        <v>74</v>
      </c>
      <c r="BI456" s="1">
        <v>8</v>
      </c>
      <c r="BJ456" s="1" t="s">
        <v>121</v>
      </c>
      <c r="BK456" s="1" t="s">
        <v>96</v>
      </c>
      <c r="BL456" s="1" t="s">
        <v>122</v>
      </c>
      <c r="BM456" s="1" t="s">
        <v>8004</v>
      </c>
      <c r="BN456" s="1" t="s">
        <v>74</v>
      </c>
      <c r="BO456" s="1" t="s">
        <v>74</v>
      </c>
      <c r="BP456" s="1" t="s">
        <v>74</v>
      </c>
      <c r="BQ456" s="1" t="s">
        <v>74</v>
      </c>
      <c r="BR456" s="1" t="s">
        <v>98</v>
      </c>
      <c r="BS456" s="1" t="s">
        <v>8005</v>
      </c>
      <c r="BT456" s="1" t="str">
        <f>HYPERLINK("https%3A%2F%2Fwww.webofscience.com%2Fwos%2Fwoscc%2Ffull-record%2FWOS:A1996UP25100010","View Full Record in Web of Science")</f>
        <v>View Full Record in Web of Science</v>
      </c>
    </row>
    <row r="457" spans="1:72">
      <c r="A457" s="1" t="s">
        <v>72</v>
      </c>
      <c r="B457" s="1" t="s">
        <v>8006</v>
      </c>
      <c r="C457" s="1" t="s">
        <v>74</v>
      </c>
      <c r="D457" s="1" t="s">
        <v>74</v>
      </c>
      <c r="E457" s="1" t="s">
        <v>74</v>
      </c>
      <c r="F457" s="1" t="s">
        <v>8007</v>
      </c>
      <c r="G457" s="1" t="s">
        <v>74</v>
      </c>
      <c r="H457" s="1" t="s">
        <v>74</v>
      </c>
      <c r="I457" s="1" t="s">
        <v>8008</v>
      </c>
      <c r="J457" s="1" t="s">
        <v>275</v>
      </c>
      <c r="K457" s="1" t="s">
        <v>74</v>
      </c>
      <c r="L457" s="1" t="s">
        <v>74</v>
      </c>
      <c r="M457" s="1" t="s">
        <v>78</v>
      </c>
      <c r="N457" s="1" t="s">
        <v>79</v>
      </c>
      <c r="O457" s="1" t="s">
        <v>74</v>
      </c>
      <c r="P457" s="1" t="s">
        <v>74</v>
      </c>
      <c r="Q457" s="1" t="s">
        <v>74</v>
      </c>
      <c r="R457" s="1" t="s">
        <v>74</v>
      </c>
      <c r="S457" s="1" t="s">
        <v>74</v>
      </c>
      <c r="T457" s="1" t="s">
        <v>8009</v>
      </c>
      <c r="U457" s="1" t="s">
        <v>8010</v>
      </c>
      <c r="V457" s="1" t="s">
        <v>8011</v>
      </c>
      <c r="W457" s="1" t="s">
        <v>8012</v>
      </c>
      <c r="X457" s="1" t="s">
        <v>8013</v>
      </c>
      <c r="Y457" s="1" t="s">
        <v>8014</v>
      </c>
      <c r="Z457" s="1" t="s">
        <v>8015</v>
      </c>
      <c r="AA457" s="1" t="s">
        <v>8016</v>
      </c>
      <c r="AB457" s="1" t="s">
        <v>74</v>
      </c>
      <c r="AC457" s="1" t="s">
        <v>8017</v>
      </c>
      <c r="AD457" s="1" t="s">
        <v>8018</v>
      </c>
      <c r="AE457" s="1" t="s">
        <v>8019</v>
      </c>
      <c r="AF457" s="1" t="s">
        <v>74</v>
      </c>
      <c r="AG457" s="1">
        <v>55</v>
      </c>
      <c r="AH457" s="1">
        <v>17</v>
      </c>
      <c r="AI457" s="1">
        <v>18</v>
      </c>
      <c r="AJ457" s="1">
        <v>6</v>
      </c>
      <c r="AK457" s="1">
        <v>80</v>
      </c>
      <c r="AL457" s="1" t="s">
        <v>285</v>
      </c>
      <c r="AM457" s="1" t="s">
        <v>286</v>
      </c>
      <c r="AN457" s="1" t="s">
        <v>287</v>
      </c>
      <c r="AO457" s="1" t="s">
        <v>288</v>
      </c>
      <c r="AP457" s="1" t="s">
        <v>289</v>
      </c>
      <c r="AQ457" s="1" t="s">
        <v>74</v>
      </c>
      <c r="AR457" s="1" t="s">
        <v>290</v>
      </c>
      <c r="AS457" s="1" t="s">
        <v>291</v>
      </c>
      <c r="AT457" s="1" t="s">
        <v>1223</v>
      </c>
      <c r="AU457" s="1">
        <v>2020</v>
      </c>
      <c r="AV457" s="1">
        <v>98</v>
      </c>
      <c r="AW457" s="1" t="s">
        <v>74</v>
      </c>
      <c r="AX457" s="1" t="s">
        <v>74</v>
      </c>
      <c r="AY457" s="1" t="s">
        <v>74</v>
      </c>
      <c r="AZ457" s="1" t="s">
        <v>74</v>
      </c>
      <c r="BA457" s="1" t="s">
        <v>74</v>
      </c>
      <c r="BB457" s="1">
        <v>138</v>
      </c>
      <c r="BC457" s="1">
        <v>146</v>
      </c>
      <c r="BD457" s="1" t="s">
        <v>74</v>
      </c>
      <c r="BE457" s="1" t="s">
        <v>8020</v>
      </c>
      <c r="BF457" s="1" t="str">
        <f>HYPERLINK("http://dx.doi.org/10.1016/j.fsi.2019.12.083","http://dx.doi.org/10.1016/j.fsi.2019.12.083")</f>
        <v>http://dx.doi.org/10.1016/j.fsi.2019.12.083</v>
      </c>
      <c r="BG457" s="1" t="s">
        <v>74</v>
      </c>
      <c r="BH457" s="1" t="s">
        <v>74</v>
      </c>
      <c r="BI457" s="1">
        <v>9</v>
      </c>
      <c r="BJ457" s="1" t="s">
        <v>293</v>
      </c>
      <c r="BK457" s="1" t="s">
        <v>96</v>
      </c>
      <c r="BL457" s="1" t="s">
        <v>293</v>
      </c>
      <c r="BM457" s="1" t="s">
        <v>8021</v>
      </c>
      <c r="BN457" s="1">
        <v>31891811</v>
      </c>
      <c r="BO457" s="1" t="s">
        <v>74</v>
      </c>
      <c r="BP457" s="1" t="s">
        <v>74</v>
      </c>
      <c r="BQ457" s="1" t="s">
        <v>74</v>
      </c>
      <c r="BR457" s="1" t="s">
        <v>98</v>
      </c>
      <c r="BS457" s="1" t="s">
        <v>8022</v>
      </c>
      <c r="BT457" s="1" t="str">
        <f>HYPERLINK("https%3A%2F%2Fwww.webofscience.com%2Fwos%2Fwoscc%2Ffull-record%2FWOS:000516880900016","View Full Record in Web of Science")</f>
        <v>View Full Record in Web of Science</v>
      </c>
    </row>
    <row r="458" spans="1:72">
      <c r="A458" s="1" t="s">
        <v>72</v>
      </c>
      <c r="B458" s="1" t="s">
        <v>8023</v>
      </c>
      <c r="C458" s="1" t="s">
        <v>74</v>
      </c>
      <c r="D458" s="1" t="s">
        <v>74</v>
      </c>
      <c r="E458" s="1" t="s">
        <v>74</v>
      </c>
      <c r="F458" s="1" t="s">
        <v>8023</v>
      </c>
      <c r="G458" s="1" t="s">
        <v>74</v>
      </c>
      <c r="H458" s="1" t="s">
        <v>74</v>
      </c>
      <c r="I458" s="1" t="s">
        <v>8024</v>
      </c>
      <c r="J458" s="1" t="s">
        <v>909</v>
      </c>
      <c r="K458" s="1" t="s">
        <v>74</v>
      </c>
      <c r="L458" s="1" t="s">
        <v>74</v>
      </c>
      <c r="M458" s="1" t="s">
        <v>78</v>
      </c>
      <c r="N458" s="1" t="s">
        <v>79</v>
      </c>
      <c r="O458" s="1" t="s">
        <v>74</v>
      </c>
      <c r="P458" s="1" t="s">
        <v>74</v>
      </c>
      <c r="Q458" s="1" t="s">
        <v>74</v>
      </c>
      <c r="R458" s="1" t="s">
        <v>74</v>
      </c>
      <c r="S458" s="1" t="s">
        <v>74</v>
      </c>
      <c r="T458" s="1" t="s">
        <v>74</v>
      </c>
      <c r="U458" s="1" t="s">
        <v>8025</v>
      </c>
      <c r="V458" s="1" t="s">
        <v>8026</v>
      </c>
      <c r="W458" s="1" t="s">
        <v>74</v>
      </c>
      <c r="X458" s="1" t="s">
        <v>74</v>
      </c>
      <c r="Y458" s="1" t="s">
        <v>8027</v>
      </c>
      <c r="Z458" s="1" t="s">
        <v>74</v>
      </c>
      <c r="AA458" s="1" t="s">
        <v>8028</v>
      </c>
      <c r="AB458" s="1" t="s">
        <v>8029</v>
      </c>
      <c r="AC458" s="1" t="s">
        <v>74</v>
      </c>
      <c r="AD458" s="1" t="s">
        <v>74</v>
      </c>
      <c r="AE458" s="1" t="s">
        <v>74</v>
      </c>
      <c r="AF458" s="1" t="s">
        <v>74</v>
      </c>
      <c r="AG458" s="1">
        <v>41</v>
      </c>
      <c r="AH458" s="1">
        <v>56</v>
      </c>
      <c r="AI458" s="1">
        <v>61</v>
      </c>
      <c r="AJ458" s="1">
        <v>0</v>
      </c>
      <c r="AK458" s="1">
        <v>9</v>
      </c>
      <c r="AL458" s="1" t="s">
        <v>919</v>
      </c>
      <c r="AM458" s="1" t="s">
        <v>651</v>
      </c>
      <c r="AN458" s="1" t="s">
        <v>920</v>
      </c>
      <c r="AO458" s="1" t="s">
        <v>921</v>
      </c>
      <c r="AP458" s="1" t="s">
        <v>74</v>
      </c>
      <c r="AQ458" s="1" t="s">
        <v>74</v>
      </c>
      <c r="AR458" s="1" t="s">
        <v>923</v>
      </c>
      <c r="AS458" s="1" t="s">
        <v>924</v>
      </c>
      <c r="AT458" s="1" t="s">
        <v>8030</v>
      </c>
      <c r="AU458" s="1">
        <v>1996</v>
      </c>
      <c r="AV458" s="1">
        <v>183</v>
      </c>
      <c r="AW458" s="1">
        <v>3</v>
      </c>
      <c r="AX458" s="1" t="s">
        <v>74</v>
      </c>
      <c r="AY458" s="1" t="s">
        <v>74</v>
      </c>
      <c r="AZ458" s="1" t="s">
        <v>74</v>
      </c>
      <c r="BA458" s="1" t="s">
        <v>74</v>
      </c>
      <c r="BB458" s="1">
        <v>205</v>
      </c>
      <c r="BC458" s="1">
        <v>211</v>
      </c>
      <c r="BD458" s="1" t="s">
        <v>74</v>
      </c>
      <c r="BE458" s="1" t="s">
        <v>8031</v>
      </c>
      <c r="BF458" s="1" t="str">
        <f>HYPERLINK("http://dx.doi.org/10.1016/0048-9697(96)05066-8","http://dx.doi.org/10.1016/0048-9697(96)05066-8")</f>
        <v>http://dx.doi.org/10.1016/0048-9697(96)05066-8</v>
      </c>
      <c r="BG458" s="1" t="s">
        <v>74</v>
      </c>
      <c r="BH458" s="1" t="s">
        <v>74</v>
      </c>
      <c r="BI458" s="1">
        <v>7</v>
      </c>
      <c r="BJ458" s="1" t="s">
        <v>144</v>
      </c>
      <c r="BK458" s="1" t="s">
        <v>96</v>
      </c>
      <c r="BL458" s="1" t="s">
        <v>145</v>
      </c>
      <c r="BM458" s="1" t="s">
        <v>8032</v>
      </c>
      <c r="BN458" s="1" t="s">
        <v>74</v>
      </c>
      <c r="BO458" s="1" t="s">
        <v>74</v>
      </c>
      <c r="BP458" s="1" t="s">
        <v>74</v>
      </c>
      <c r="BQ458" s="1" t="s">
        <v>74</v>
      </c>
      <c r="BR458" s="1" t="s">
        <v>98</v>
      </c>
      <c r="BS458" s="1" t="s">
        <v>8033</v>
      </c>
      <c r="BT458" s="1" t="str">
        <f>HYPERLINK("https%3A%2F%2Fwww.webofscience.com%2Fwos%2Fwoscc%2Ffull-record%2FWOS:A1996UK99700003","View Full Record in Web of Science")</f>
        <v>View Full Record in Web of Science</v>
      </c>
    </row>
    <row r="459" spans="1:72">
      <c r="A459" s="1" t="s">
        <v>72</v>
      </c>
      <c r="B459" s="1" t="s">
        <v>8034</v>
      </c>
      <c r="C459" s="1" t="s">
        <v>74</v>
      </c>
      <c r="D459" s="1" t="s">
        <v>74</v>
      </c>
      <c r="E459" s="1" t="s">
        <v>74</v>
      </c>
      <c r="F459" s="1" t="s">
        <v>8035</v>
      </c>
      <c r="G459" s="1" t="s">
        <v>74</v>
      </c>
      <c r="H459" s="1" t="s">
        <v>74</v>
      </c>
      <c r="I459" s="1" t="s">
        <v>8036</v>
      </c>
      <c r="J459" s="1" t="s">
        <v>752</v>
      </c>
      <c r="K459" s="1" t="s">
        <v>74</v>
      </c>
      <c r="L459" s="1" t="s">
        <v>74</v>
      </c>
      <c r="M459" s="1" t="s">
        <v>78</v>
      </c>
      <c r="N459" s="1" t="s">
        <v>79</v>
      </c>
      <c r="O459" s="1" t="s">
        <v>74</v>
      </c>
      <c r="P459" s="1" t="s">
        <v>74</v>
      </c>
      <c r="Q459" s="1" t="s">
        <v>74</v>
      </c>
      <c r="R459" s="1" t="s">
        <v>74</v>
      </c>
      <c r="S459" s="1" t="s">
        <v>74</v>
      </c>
      <c r="T459" s="1" t="s">
        <v>8037</v>
      </c>
      <c r="U459" s="1" t="s">
        <v>8038</v>
      </c>
      <c r="V459" s="1" t="s">
        <v>8039</v>
      </c>
      <c r="W459" s="1" t="s">
        <v>8040</v>
      </c>
      <c r="X459" s="1" t="s">
        <v>8041</v>
      </c>
      <c r="Y459" s="1" t="s">
        <v>8042</v>
      </c>
      <c r="Z459" s="1" t="s">
        <v>8043</v>
      </c>
      <c r="AA459" s="1" t="s">
        <v>8044</v>
      </c>
      <c r="AB459" s="1" t="s">
        <v>8045</v>
      </c>
      <c r="AC459" s="1" t="s">
        <v>74</v>
      </c>
      <c r="AD459" s="1" t="s">
        <v>74</v>
      </c>
      <c r="AE459" s="1" t="s">
        <v>74</v>
      </c>
      <c r="AF459" s="1" t="s">
        <v>74</v>
      </c>
      <c r="AG459" s="1">
        <v>44</v>
      </c>
      <c r="AH459" s="1">
        <v>25</v>
      </c>
      <c r="AI459" s="1">
        <v>29</v>
      </c>
      <c r="AJ459" s="1">
        <v>0</v>
      </c>
      <c r="AK459" s="1">
        <v>18</v>
      </c>
      <c r="AL459" s="1" t="s">
        <v>430</v>
      </c>
      <c r="AM459" s="1" t="s">
        <v>137</v>
      </c>
      <c r="AN459" s="1" t="s">
        <v>431</v>
      </c>
      <c r="AO459" s="1" t="s">
        <v>761</v>
      </c>
      <c r="AP459" s="1" t="s">
        <v>762</v>
      </c>
      <c r="AQ459" s="1" t="s">
        <v>74</v>
      </c>
      <c r="AR459" s="1" t="s">
        <v>763</v>
      </c>
      <c r="AS459" s="1" t="s">
        <v>764</v>
      </c>
      <c r="AT459" s="1" t="s">
        <v>170</v>
      </c>
      <c r="AU459" s="1">
        <v>2006</v>
      </c>
      <c r="AV459" s="1">
        <v>61</v>
      </c>
      <c r="AW459" s="1">
        <v>4</v>
      </c>
      <c r="AX459" s="1" t="s">
        <v>74</v>
      </c>
      <c r="AY459" s="1" t="s">
        <v>74</v>
      </c>
      <c r="AZ459" s="1" t="s">
        <v>74</v>
      </c>
      <c r="BA459" s="1" t="s">
        <v>74</v>
      </c>
      <c r="BB459" s="1">
        <v>396</v>
      </c>
      <c r="BC459" s="1">
        <v>409</v>
      </c>
      <c r="BD459" s="1" t="s">
        <v>74</v>
      </c>
      <c r="BE459" s="1" t="s">
        <v>8046</v>
      </c>
      <c r="BF459" s="1" t="str">
        <f>HYPERLINK("http://dx.doi.org/10.1016/j.marenvres.2005.12.001","http://dx.doi.org/10.1016/j.marenvres.2005.12.001")</f>
        <v>http://dx.doi.org/10.1016/j.marenvres.2005.12.001</v>
      </c>
      <c r="BG459" s="1" t="s">
        <v>74</v>
      </c>
      <c r="BH459" s="1" t="s">
        <v>74</v>
      </c>
      <c r="BI459" s="1">
        <v>14</v>
      </c>
      <c r="BJ459" s="1" t="s">
        <v>768</v>
      </c>
      <c r="BK459" s="1" t="s">
        <v>96</v>
      </c>
      <c r="BL459" s="1" t="s">
        <v>769</v>
      </c>
      <c r="BM459" s="1" t="s">
        <v>8047</v>
      </c>
      <c r="BN459" s="1">
        <v>16426675</v>
      </c>
      <c r="BO459" s="1" t="s">
        <v>74</v>
      </c>
      <c r="BP459" s="1" t="s">
        <v>74</v>
      </c>
      <c r="BQ459" s="1" t="s">
        <v>74</v>
      </c>
      <c r="BR459" s="1" t="s">
        <v>98</v>
      </c>
      <c r="BS459" s="1" t="s">
        <v>8048</v>
      </c>
      <c r="BT459" s="1" t="str">
        <f>HYPERLINK("https%3A%2F%2Fwww.webofscience.com%2Fwos%2Fwoscc%2Ffull-record%2FWOS:000237670700002","View Full Record in Web of Science")</f>
        <v>View Full Record in Web of Science</v>
      </c>
    </row>
    <row r="460" spans="1:72">
      <c r="A460" s="1" t="s">
        <v>72</v>
      </c>
      <c r="B460" s="1" t="s">
        <v>8049</v>
      </c>
      <c r="C460" s="1" t="s">
        <v>74</v>
      </c>
      <c r="D460" s="1" t="s">
        <v>74</v>
      </c>
      <c r="E460" s="1" t="s">
        <v>74</v>
      </c>
      <c r="F460" s="1" t="s">
        <v>8050</v>
      </c>
      <c r="G460" s="1" t="s">
        <v>74</v>
      </c>
      <c r="H460" s="1" t="s">
        <v>74</v>
      </c>
      <c r="I460" s="1" t="s">
        <v>8051</v>
      </c>
      <c r="J460" s="1" t="s">
        <v>421</v>
      </c>
      <c r="K460" s="1" t="s">
        <v>74</v>
      </c>
      <c r="L460" s="1" t="s">
        <v>74</v>
      </c>
      <c r="M460" s="1" t="s">
        <v>78</v>
      </c>
      <c r="N460" s="1" t="s">
        <v>79</v>
      </c>
      <c r="O460" s="1" t="s">
        <v>74</v>
      </c>
      <c r="P460" s="1" t="s">
        <v>74</v>
      </c>
      <c r="Q460" s="1" t="s">
        <v>74</v>
      </c>
      <c r="R460" s="1" t="s">
        <v>74</v>
      </c>
      <c r="S460" s="1" t="s">
        <v>74</v>
      </c>
      <c r="T460" s="1" t="s">
        <v>8052</v>
      </c>
      <c r="U460" s="1" t="s">
        <v>8053</v>
      </c>
      <c r="V460" s="1" t="s">
        <v>8054</v>
      </c>
      <c r="W460" s="1" t="s">
        <v>8055</v>
      </c>
      <c r="X460" s="1" t="s">
        <v>8056</v>
      </c>
      <c r="Y460" s="1" t="s">
        <v>8057</v>
      </c>
      <c r="Z460" s="1" t="s">
        <v>8058</v>
      </c>
      <c r="AA460" s="1" t="s">
        <v>8059</v>
      </c>
      <c r="AB460" s="1" t="s">
        <v>8060</v>
      </c>
      <c r="AC460" s="1" t="s">
        <v>74</v>
      </c>
      <c r="AD460" s="1" t="s">
        <v>74</v>
      </c>
      <c r="AE460" s="1" t="s">
        <v>74</v>
      </c>
      <c r="AF460" s="1" t="s">
        <v>74</v>
      </c>
      <c r="AG460" s="1">
        <v>41</v>
      </c>
      <c r="AH460" s="1">
        <v>35</v>
      </c>
      <c r="AI460" s="1">
        <v>41</v>
      </c>
      <c r="AJ460" s="1">
        <v>0</v>
      </c>
      <c r="AK460" s="1">
        <v>15</v>
      </c>
      <c r="AL460" s="1" t="s">
        <v>430</v>
      </c>
      <c r="AM460" s="1" t="s">
        <v>137</v>
      </c>
      <c r="AN460" s="1" t="s">
        <v>431</v>
      </c>
      <c r="AO460" s="1" t="s">
        <v>432</v>
      </c>
      <c r="AP460" s="1" t="s">
        <v>74</v>
      </c>
      <c r="AQ460" s="1" t="s">
        <v>74</v>
      </c>
      <c r="AR460" s="1" t="s">
        <v>433</v>
      </c>
      <c r="AS460" s="1" t="s">
        <v>434</v>
      </c>
      <c r="AT460" s="1" t="s">
        <v>93</v>
      </c>
      <c r="AU460" s="1">
        <v>2008</v>
      </c>
      <c r="AV460" s="1">
        <v>152</v>
      </c>
      <c r="AW460" s="1">
        <v>3</v>
      </c>
      <c r="AX460" s="1" t="s">
        <v>74</v>
      </c>
      <c r="AY460" s="1" t="s">
        <v>74</v>
      </c>
      <c r="AZ460" s="1" t="s">
        <v>74</v>
      </c>
      <c r="BA460" s="1" t="s">
        <v>74</v>
      </c>
      <c r="BB460" s="1">
        <v>505</v>
      </c>
      <c r="BC460" s="1">
        <v>521</v>
      </c>
      <c r="BD460" s="1" t="s">
        <v>74</v>
      </c>
      <c r="BE460" s="1" t="s">
        <v>8061</v>
      </c>
      <c r="BF460" s="1" t="str">
        <f>HYPERLINK("http://dx.doi.org/10.1016/j.envpol.2007.07.016","http://dx.doi.org/10.1016/j.envpol.2007.07.016")</f>
        <v>http://dx.doi.org/10.1016/j.envpol.2007.07.016</v>
      </c>
      <c r="BG460" s="1" t="s">
        <v>74</v>
      </c>
      <c r="BH460" s="1" t="s">
        <v>74</v>
      </c>
      <c r="BI460" s="1">
        <v>17</v>
      </c>
      <c r="BJ460" s="1" t="s">
        <v>144</v>
      </c>
      <c r="BK460" s="1" t="s">
        <v>96</v>
      </c>
      <c r="BL460" s="1" t="s">
        <v>145</v>
      </c>
      <c r="BM460" s="1" t="s">
        <v>8062</v>
      </c>
      <c r="BN460" s="1">
        <v>17804129</v>
      </c>
      <c r="BO460" s="1" t="s">
        <v>74</v>
      </c>
      <c r="BP460" s="1" t="s">
        <v>74</v>
      </c>
      <c r="BQ460" s="1" t="s">
        <v>74</v>
      </c>
      <c r="BR460" s="1" t="s">
        <v>98</v>
      </c>
      <c r="BS460" s="1" t="s">
        <v>8063</v>
      </c>
      <c r="BT460" s="1" t="str">
        <f>HYPERLINK("https%3A%2F%2Fwww.webofscience.com%2Fwos%2Fwoscc%2Ffull-record%2FWOS:000255432400001","View Full Record in Web of Science")</f>
        <v>View Full Record in Web of Science</v>
      </c>
    </row>
    <row r="461" spans="1:72">
      <c r="A461" s="1" t="s">
        <v>72</v>
      </c>
      <c r="B461" s="1" t="s">
        <v>8064</v>
      </c>
      <c r="C461" s="1" t="s">
        <v>74</v>
      </c>
      <c r="D461" s="1" t="s">
        <v>74</v>
      </c>
      <c r="E461" s="1" t="s">
        <v>74</v>
      </c>
      <c r="F461" s="1" t="s">
        <v>8065</v>
      </c>
      <c r="G461" s="1" t="s">
        <v>74</v>
      </c>
      <c r="H461" s="1" t="s">
        <v>74</v>
      </c>
      <c r="I461" s="1" t="s">
        <v>8066</v>
      </c>
      <c r="J461" s="1" t="s">
        <v>232</v>
      </c>
      <c r="K461" s="1" t="s">
        <v>74</v>
      </c>
      <c r="L461" s="1" t="s">
        <v>74</v>
      </c>
      <c r="M461" s="1" t="s">
        <v>78</v>
      </c>
      <c r="N461" s="1" t="s">
        <v>79</v>
      </c>
      <c r="O461" s="1" t="s">
        <v>74</v>
      </c>
      <c r="P461" s="1" t="s">
        <v>74</v>
      </c>
      <c r="Q461" s="1" t="s">
        <v>74</v>
      </c>
      <c r="R461" s="1" t="s">
        <v>74</v>
      </c>
      <c r="S461" s="1" t="s">
        <v>74</v>
      </c>
      <c r="T461" s="1" t="s">
        <v>8067</v>
      </c>
      <c r="U461" s="1" t="s">
        <v>8068</v>
      </c>
      <c r="V461" s="1" t="s">
        <v>8069</v>
      </c>
      <c r="W461" s="1" t="s">
        <v>8070</v>
      </c>
      <c r="X461" s="1" t="s">
        <v>74</v>
      </c>
      <c r="Y461" s="1" t="s">
        <v>8071</v>
      </c>
      <c r="Z461" s="1" t="s">
        <v>8072</v>
      </c>
      <c r="AA461" s="1" t="s">
        <v>74</v>
      </c>
      <c r="AB461" s="1" t="s">
        <v>8073</v>
      </c>
      <c r="AC461" s="1" t="s">
        <v>8074</v>
      </c>
      <c r="AD461" s="1" t="s">
        <v>8074</v>
      </c>
      <c r="AE461" s="1" t="s">
        <v>8075</v>
      </c>
      <c r="AF461" s="1" t="s">
        <v>74</v>
      </c>
      <c r="AG461" s="1">
        <v>41</v>
      </c>
      <c r="AH461" s="1">
        <v>5</v>
      </c>
      <c r="AI461" s="1">
        <v>5</v>
      </c>
      <c r="AJ461" s="1">
        <v>4</v>
      </c>
      <c r="AK461" s="1">
        <v>16</v>
      </c>
      <c r="AL461" s="1" t="s">
        <v>136</v>
      </c>
      <c r="AM461" s="1" t="s">
        <v>137</v>
      </c>
      <c r="AN461" s="1" t="s">
        <v>138</v>
      </c>
      <c r="AO461" s="1" t="s">
        <v>240</v>
      </c>
      <c r="AP461" s="1" t="s">
        <v>241</v>
      </c>
      <c r="AQ461" s="1" t="s">
        <v>74</v>
      </c>
      <c r="AR461" s="1" t="s">
        <v>242</v>
      </c>
      <c r="AS461" s="1" t="s">
        <v>243</v>
      </c>
      <c r="AT461" s="1" t="s">
        <v>224</v>
      </c>
      <c r="AU461" s="1">
        <v>2022</v>
      </c>
      <c r="AV461" s="1">
        <v>175</v>
      </c>
      <c r="AW461" s="1" t="s">
        <v>74</v>
      </c>
      <c r="AX461" s="1" t="s">
        <v>74</v>
      </c>
      <c r="AY461" s="1" t="s">
        <v>74</v>
      </c>
      <c r="AZ461" s="1" t="s">
        <v>74</v>
      </c>
      <c r="BA461" s="1" t="s">
        <v>74</v>
      </c>
      <c r="BB461" s="1" t="s">
        <v>74</v>
      </c>
      <c r="BC461" s="1" t="s">
        <v>74</v>
      </c>
      <c r="BD461" s="1">
        <v>113308</v>
      </c>
      <c r="BE461" s="1" t="s">
        <v>8076</v>
      </c>
      <c r="BF461" s="1" t="str">
        <f>HYPERLINK("http://dx.doi.org/10.1016/j.marpolbul.2021.113308","http://dx.doi.org/10.1016/j.marpolbul.2021.113308")</f>
        <v>http://dx.doi.org/10.1016/j.marpolbul.2021.113308</v>
      </c>
      <c r="BG461" s="1" t="s">
        <v>74</v>
      </c>
      <c r="BH461" s="1" t="s">
        <v>227</v>
      </c>
      <c r="BI461" s="1">
        <v>6</v>
      </c>
      <c r="BJ461" s="1" t="s">
        <v>247</v>
      </c>
      <c r="BK461" s="1" t="s">
        <v>96</v>
      </c>
      <c r="BL461" s="1" t="s">
        <v>248</v>
      </c>
      <c r="BM461" s="1" t="s">
        <v>8077</v>
      </c>
      <c r="BN461" s="1">
        <v>35051847</v>
      </c>
      <c r="BO461" s="1" t="s">
        <v>74</v>
      </c>
      <c r="BP461" s="1" t="s">
        <v>74</v>
      </c>
      <c r="BQ461" s="1" t="s">
        <v>74</v>
      </c>
      <c r="BR461" s="1" t="s">
        <v>98</v>
      </c>
      <c r="BS461" s="1" t="s">
        <v>8078</v>
      </c>
      <c r="BT461" s="1" t="str">
        <f>HYPERLINK("https%3A%2F%2Fwww.webofscience.com%2Fwos%2Fwoscc%2Ffull-record%2FWOS:000745062800002","View Full Record in Web of Science")</f>
        <v>View Full Record in Web of Science</v>
      </c>
    </row>
    <row r="462" spans="1:72">
      <c r="A462" s="1" t="s">
        <v>72</v>
      </c>
      <c r="B462" s="1" t="s">
        <v>8079</v>
      </c>
      <c r="C462" s="1" t="s">
        <v>74</v>
      </c>
      <c r="D462" s="1" t="s">
        <v>74</v>
      </c>
      <c r="E462" s="1" t="s">
        <v>74</v>
      </c>
      <c r="F462" s="1" t="s">
        <v>8079</v>
      </c>
      <c r="G462" s="1" t="s">
        <v>74</v>
      </c>
      <c r="H462" s="1" t="s">
        <v>74</v>
      </c>
      <c r="I462" s="1" t="s">
        <v>8080</v>
      </c>
      <c r="J462" s="1" t="s">
        <v>1756</v>
      </c>
      <c r="K462" s="1" t="s">
        <v>74</v>
      </c>
      <c r="L462" s="1" t="s">
        <v>74</v>
      </c>
      <c r="M462" s="1" t="s">
        <v>78</v>
      </c>
      <c r="N462" s="1" t="s">
        <v>79</v>
      </c>
      <c r="O462" s="1" t="s">
        <v>74</v>
      </c>
      <c r="P462" s="1" t="s">
        <v>74</v>
      </c>
      <c r="Q462" s="1" t="s">
        <v>74</v>
      </c>
      <c r="R462" s="1" t="s">
        <v>74</v>
      </c>
      <c r="S462" s="1" t="s">
        <v>74</v>
      </c>
      <c r="T462" s="1" t="s">
        <v>8081</v>
      </c>
      <c r="U462" s="1" t="s">
        <v>8082</v>
      </c>
      <c r="V462" s="1" t="s">
        <v>8083</v>
      </c>
      <c r="W462" s="1" t="s">
        <v>8084</v>
      </c>
      <c r="X462" s="1" t="s">
        <v>8085</v>
      </c>
      <c r="Y462" s="1" t="s">
        <v>8086</v>
      </c>
      <c r="Z462" s="1" t="s">
        <v>8087</v>
      </c>
      <c r="AA462" s="1" t="s">
        <v>74</v>
      </c>
      <c r="AB462" s="1" t="s">
        <v>74</v>
      </c>
      <c r="AC462" s="1" t="s">
        <v>74</v>
      </c>
      <c r="AD462" s="1" t="s">
        <v>74</v>
      </c>
      <c r="AE462" s="1" t="s">
        <v>74</v>
      </c>
      <c r="AF462" s="1" t="s">
        <v>74</v>
      </c>
      <c r="AG462" s="1">
        <v>29</v>
      </c>
      <c r="AH462" s="1">
        <v>24</v>
      </c>
      <c r="AI462" s="1">
        <v>30</v>
      </c>
      <c r="AJ462" s="1">
        <v>1</v>
      </c>
      <c r="AK462" s="1">
        <v>26</v>
      </c>
      <c r="AL462" s="1" t="s">
        <v>86</v>
      </c>
      <c r="AM462" s="1" t="s">
        <v>87</v>
      </c>
      <c r="AN462" s="1" t="s">
        <v>88</v>
      </c>
      <c r="AO462" s="1" t="s">
        <v>1764</v>
      </c>
      <c r="AP462" s="1" t="s">
        <v>1765</v>
      </c>
      <c r="AQ462" s="1" t="s">
        <v>74</v>
      </c>
      <c r="AR462" s="1" t="s">
        <v>1766</v>
      </c>
      <c r="AS462" s="1" t="s">
        <v>1767</v>
      </c>
      <c r="AT462" s="1" t="s">
        <v>170</v>
      </c>
      <c r="AU462" s="1">
        <v>2005</v>
      </c>
      <c r="AV462" s="1">
        <v>24</v>
      </c>
      <c r="AW462" s="1">
        <v>5</v>
      </c>
      <c r="AX462" s="1" t="s">
        <v>74</v>
      </c>
      <c r="AY462" s="1" t="s">
        <v>74</v>
      </c>
      <c r="AZ462" s="1" t="s">
        <v>74</v>
      </c>
      <c r="BA462" s="1" t="s">
        <v>74</v>
      </c>
      <c r="BB462" s="1">
        <v>1242</v>
      </c>
      <c r="BC462" s="1">
        <v>1246</v>
      </c>
      <c r="BD462" s="1" t="s">
        <v>74</v>
      </c>
      <c r="BE462" s="1" t="s">
        <v>8088</v>
      </c>
      <c r="BF462" s="1" t="str">
        <f>HYPERLINK("http://dx.doi.org/10.1897/04-261R.1","http://dx.doi.org/10.1897/04-261R.1")</f>
        <v>http://dx.doi.org/10.1897/04-261R.1</v>
      </c>
      <c r="BG462" s="1" t="s">
        <v>74</v>
      </c>
      <c r="BH462" s="1" t="s">
        <v>74</v>
      </c>
      <c r="BI462" s="1">
        <v>5</v>
      </c>
      <c r="BJ462" s="1" t="s">
        <v>121</v>
      </c>
      <c r="BK462" s="1" t="s">
        <v>96</v>
      </c>
      <c r="BL462" s="1" t="s">
        <v>122</v>
      </c>
      <c r="BM462" s="1" t="s">
        <v>8089</v>
      </c>
      <c r="BN462" s="1">
        <v>16111006</v>
      </c>
      <c r="BO462" s="1" t="s">
        <v>74</v>
      </c>
      <c r="BP462" s="1" t="s">
        <v>74</v>
      </c>
      <c r="BQ462" s="1" t="s">
        <v>74</v>
      </c>
      <c r="BR462" s="1" t="s">
        <v>98</v>
      </c>
      <c r="BS462" s="1" t="s">
        <v>8090</v>
      </c>
      <c r="BT462" s="1" t="str">
        <f>HYPERLINK("https%3A%2F%2Fwww.webofscience.com%2Fwos%2Fwoscc%2Ffull-record%2FWOS:000228627100031","View Full Record in Web of Science")</f>
        <v>View Full Record in Web of Science</v>
      </c>
    </row>
    <row r="463" spans="1:72">
      <c r="A463" s="1" t="s">
        <v>72</v>
      </c>
      <c r="B463" s="1" t="s">
        <v>8091</v>
      </c>
      <c r="C463" s="1" t="s">
        <v>74</v>
      </c>
      <c r="D463" s="1" t="s">
        <v>74</v>
      </c>
      <c r="E463" s="1" t="s">
        <v>74</v>
      </c>
      <c r="F463" s="1" t="s">
        <v>8092</v>
      </c>
      <c r="G463" s="1" t="s">
        <v>74</v>
      </c>
      <c r="H463" s="1" t="s">
        <v>74</v>
      </c>
      <c r="I463" s="1" t="s">
        <v>8093</v>
      </c>
      <c r="J463" s="1" t="s">
        <v>232</v>
      </c>
      <c r="K463" s="1" t="s">
        <v>74</v>
      </c>
      <c r="L463" s="1" t="s">
        <v>74</v>
      </c>
      <c r="M463" s="1" t="s">
        <v>78</v>
      </c>
      <c r="N463" s="1" t="s">
        <v>79</v>
      </c>
      <c r="O463" s="1" t="s">
        <v>74</v>
      </c>
      <c r="P463" s="1" t="s">
        <v>74</v>
      </c>
      <c r="Q463" s="1" t="s">
        <v>74</v>
      </c>
      <c r="R463" s="1" t="s">
        <v>74</v>
      </c>
      <c r="S463" s="1" t="s">
        <v>74</v>
      </c>
      <c r="T463" s="1" t="s">
        <v>8094</v>
      </c>
      <c r="U463" s="1" t="s">
        <v>8095</v>
      </c>
      <c r="V463" s="1" t="s">
        <v>8096</v>
      </c>
      <c r="W463" s="1" t="s">
        <v>8097</v>
      </c>
      <c r="X463" s="1" t="s">
        <v>8098</v>
      </c>
      <c r="Y463" s="1" t="s">
        <v>8099</v>
      </c>
      <c r="Z463" s="1" t="s">
        <v>8100</v>
      </c>
      <c r="AA463" s="1" t="s">
        <v>8101</v>
      </c>
      <c r="AB463" s="1" t="s">
        <v>8102</v>
      </c>
      <c r="AC463" s="1" t="s">
        <v>8103</v>
      </c>
      <c r="AD463" s="1" t="s">
        <v>8104</v>
      </c>
      <c r="AE463" s="1" t="s">
        <v>8105</v>
      </c>
      <c r="AF463" s="1" t="s">
        <v>74</v>
      </c>
      <c r="AG463" s="1">
        <v>73</v>
      </c>
      <c r="AH463" s="1">
        <v>4</v>
      </c>
      <c r="AI463" s="1">
        <v>4</v>
      </c>
      <c r="AJ463" s="1">
        <v>0</v>
      </c>
      <c r="AK463" s="1">
        <v>12</v>
      </c>
      <c r="AL463" s="1" t="s">
        <v>136</v>
      </c>
      <c r="AM463" s="1" t="s">
        <v>137</v>
      </c>
      <c r="AN463" s="1" t="s">
        <v>138</v>
      </c>
      <c r="AO463" s="1" t="s">
        <v>240</v>
      </c>
      <c r="AP463" s="1" t="s">
        <v>241</v>
      </c>
      <c r="AQ463" s="1" t="s">
        <v>74</v>
      </c>
      <c r="AR463" s="1" t="s">
        <v>242</v>
      </c>
      <c r="AS463" s="1" t="s">
        <v>243</v>
      </c>
      <c r="AT463" s="1" t="s">
        <v>951</v>
      </c>
      <c r="AU463" s="1">
        <v>2022</v>
      </c>
      <c r="AV463" s="1">
        <v>184</v>
      </c>
      <c r="AW463" s="1" t="s">
        <v>74</v>
      </c>
      <c r="AX463" s="1" t="s">
        <v>74</v>
      </c>
      <c r="AY463" s="1" t="s">
        <v>74</v>
      </c>
      <c r="AZ463" s="1" t="s">
        <v>74</v>
      </c>
      <c r="BA463" s="1" t="s">
        <v>74</v>
      </c>
      <c r="BB463" s="1" t="s">
        <v>74</v>
      </c>
      <c r="BC463" s="1" t="s">
        <v>74</v>
      </c>
      <c r="BD463" s="1">
        <v>114142</v>
      </c>
      <c r="BE463" s="1" t="s">
        <v>8106</v>
      </c>
      <c r="BF463" s="1" t="str">
        <f>HYPERLINK("http://dx.doi.org/10.1016/j.marpolbul.2022.114142","http://dx.doi.org/10.1016/j.marpolbul.2022.114142")</f>
        <v>http://dx.doi.org/10.1016/j.marpolbul.2022.114142</v>
      </c>
      <c r="BG463" s="1" t="s">
        <v>74</v>
      </c>
      <c r="BH463" s="1" t="s">
        <v>4632</v>
      </c>
      <c r="BI463" s="1">
        <v>10</v>
      </c>
      <c r="BJ463" s="1" t="s">
        <v>247</v>
      </c>
      <c r="BK463" s="1" t="s">
        <v>96</v>
      </c>
      <c r="BL463" s="1" t="s">
        <v>248</v>
      </c>
      <c r="BM463" s="1" t="s">
        <v>8107</v>
      </c>
      <c r="BN463" s="1">
        <v>36182787</v>
      </c>
      <c r="BO463" s="1" t="s">
        <v>74</v>
      </c>
      <c r="BP463" s="1" t="s">
        <v>74</v>
      </c>
      <c r="BQ463" s="1" t="s">
        <v>74</v>
      </c>
      <c r="BR463" s="1" t="s">
        <v>98</v>
      </c>
      <c r="BS463" s="1" t="s">
        <v>8108</v>
      </c>
      <c r="BT463" s="1" t="str">
        <f>HYPERLINK("https%3A%2F%2Fwww.webofscience.com%2Fwos%2Fwoscc%2Ffull-record%2FWOS:000876813900004","View Full Record in Web of Science")</f>
        <v>View Full Record in Web of Science</v>
      </c>
    </row>
    <row r="464" spans="1:72">
      <c r="A464" s="1" t="s">
        <v>72</v>
      </c>
      <c r="B464" s="1" t="s">
        <v>8109</v>
      </c>
      <c r="C464" s="1" t="s">
        <v>74</v>
      </c>
      <c r="D464" s="1" t="s">
        <v>74</v>
      </c>
      <c r="E464" s="1" t="s">
        <v>74</v>
      </c>
      <c r="F464" s="1" t="s">
        <v>8110</v>
      </c>
      <c r="G464" s="1" t="s">
        <v>74</v>
      </c>
      <c r="H464" s="1" t="s">
        <v>74</v>
      </c>
      <c r="I464" s="1" t="s">
        <v>8111</v>
      </c>
      <c r="J464" s="1" t="s">
        <v>4909</v>
      </c>
      <c r="K464" s="1" t="s">
        <v>74</v>
      </c>
      <c r="L464" s="1" t="s">
        <v>74</v>
      </c>
      <c r="M464" s="1" t="s">
        <v>78</v>
      </c>
      <c r="N464" s="1" t="s">
        <v>79</v>
      </c>
      <c r="O464" s="1" t="s">
        <v>74</v>
      </c>
      <c r="P464" s="1" t="s">
        <v>74</v>
      </c>
      <c r="Q464" s="1" t="s">
        <v>74</v>
      </c>
      <c r="R464" s="1" t="s">
        <v>74</v>
      </c>
      <c r="S464" s="1" t="s">
        <v>74</v>
      </c>
      <c r="T464" s="1" t="s">
        <v>8112</v>
      </c>
      <c r="U464" s="1" t="s">
        <v>8113</v>
      </c>
      <c r="V464" s="1" t="s">
        <v>8114</v>
      </c>
      <c r="W464" s="1" t="s">
        <v>8115</v>
      </c>
      <c r="X464" s="1" t="s">
        <v>8116</v>
      </c>
      <c r="Y464" s="1" t="s">
        <v>8117</v>
      </c>
      <c r="Z464" s="1" t="s">
        <v>8118</v>
      </c>
      <c r="AA464" s="1" t="s">
        <v>8119</v>
      </c>
      <c r="AB464" s="1" t="s">
        <v>74</v>
      </c>
      <c r="AC464" s="1" t="s">
        <v>74</v>
      </c>
      <c r="AD464" s="1" t="s">
        <v>74</v>
      </c>
      <c r="AE464" s="1" t="s">
        <v>74</v>
      </c>
      <c r="AF464" s="1" t="s">
        <v>74</v>
      </c>
      <c r="AG464" s="1">
        <v>37</v>
      </c>
      <c r="AH464" s="1">
        <v>8</v>
      </c>
      <c r="AI464" s="1">
        <v>9</v>
      </c>
      <c r="AJ464" s="1">
        <v>7</v>
      </c>
      <c r="AK464" s="1">
        <v>84</v>
      </c>
      <c r="AL464" s="1" t="s">
        <v>408</v>
      </c>
      <c r="AM464" s="1" t="s">
        <v>409</v>
      </c>
      <c r="AN464" s="1" t="s">
        <v>1188</v>
      </c>
      <c r="AO464" s="1" t="s">
        <v>4917</v>
      </c>
      <c r="AP464" s="1" t="s">
        <v>4918</v>
      </c>
      <c r="AQ464" s="1" t="s">
        <v>74</v>
      </c>
      <c r="AR464" s="1" t="s">
        <v>4919</v>
      </c>
      <c r="AS464" s="1" t="s">
        <v>4920</v>
      </c>
      <c r="AT464" s="1" t="s">
        <v>4761</v>
      </c>
      <c r="AU464" s="1">
        <v>2020</v>
      </c>
      <c r="AV464" s="1">
        <v>26</v>
      </c>
      <c r="AW464" s="1">
        <v>3</v>
      </c>
      <c r="AX464" s="1" t="s">
        <v>74</v>
      </c>
      <c r="AY464" s="1" t="s">
        <v>74</v>
      </c>
      <c r="AZ464" s="1" t="s">
        <v>74</v>
      </c>
      <c r="BA464" s="1" t="s">
        <v>74</v>
      </c>
      <c r="BB464" s="1">
        <v>621</v>
      </c>
      <c r="BC464" s="1">
        <v>635</v>
      </c>
      <c r="BD464" s="1" t="s">
        <v>74</v>
      </c>
      <c r="BE464" s="1" t="s">
        <v>8120</v>
      </c>
      <c r="BF464" s="1" t="str">
        <f>HYPERLINK("http://dx.doi.org/10.1080/10807039.2018.1528438","http://dx.doi.org/10.1080/10807039.2018.1528438")</f>
        <v>http://dx.doi.org/10.1080/10807039.2018.1528438</v>
      </c>
      <c r="BG464" s="1" t="s">
        <v>74</v>
      </c>
      <c r="BH464" s="1" t="s">
        <v>74</v>
      </c>
      <c r="BI464" s="1">
        <v>15</v>
      </c>
      <c r="BJ464" s="1" t="s">
        <v>4923</v>
      </c>
      <c r="BK464" s="1" t="s">
        <v>96</v>
      </c>
      <c r="BL464" s="1" t="s">
        <v>4924</v>
      </c>
      <c r="BM464" s="1" t="s">
        <v>5726</v>
      </c>
      <c r="BN464" s="1" t="s">
        <v>74</v>
      </c>
      <c r="BO464" s="1" t="s">
        <v>74</v>
      </c>
      <c r="BP464" s="1" t="s">
        <v>74</v>
      </c>
      <c r="BQ464" s="1" t="s">
        <v>74</v>
      </c>
      <c r="BR464" s="1" t="s">
        <v>98</v>
      </c>
      <c r="BS464" s="1" t="s">
        <v>8121</v>
      </c>
      <c r="BT464" s="1" t="str">
        <f>HYPERLINK("https%3A%2F%2Fwww.webofscience.com%2Fwos%2Fwoscc%2Ffull-record%2FWOS:000518864500004","View Full Record in Web of Science")</f>
        <v>View Full Record in Web of Science</v>
      </c>
    </row>
    <row r="465" spans="1:72">
      <c r="A465" s="1" t="s">
        <v>72</v>
      </c>
      <c r="B465" s="1" t="s">
        <v>8122</v>
      </c>
      <c r="C465" s="1" t="s">
        <v>74</v>
      </c>
      <c r="D465" s="1" t="s">
        <v>74</v>
      </c>
      <c r="E465" s="1" t="s">
        <v>74</v>
      </c>
      <c r="F465" s="1" t="s">
        <v>8123</v>
      </c>
      <c r="G465" s="1" t="s">
        <v>74</v>
      </c>
      <c r="H465" s="1" t="s">
        <v>74</v>
      </c>
      <c r="I465" s="1" t="s">
        <v>8124</v>
      </c>
      <c r="J465" s="1" t="s">
        <v>8125</v>
      </c>
      <c r="K465" s="1" t="s">
        <v>74</v>
      </c>
      <c r="L465" s="1" t="s">
        <v>74</v>
      </c>
      <c r="M465" s="1" t="s">
        <v>78</v>
      </c>
      <c r="N465" s="1" t="s">
        <v>79</v>
      </c>
      <c r="O465" s="1" t="s">
        <v>74</v>
      </c>
      <c r="P465" s="1" t="s">
        <v>74</v>
      </c>
      <c r="Q465" s="1" t="s">
        <v>74</v>
      </c>
      <c r="R465" s="1" t="s">
        <v>74</v>
      </c>
      <c r="S465" s="1" t="s">
        <v>74</v>
      </c>
      <c r="T465" s="1" t="s">
        <v>8126</v>
      </c>
      <c r="U465" s="1" t="s">
        <v>8127</v>
      </c>
      <c r="V465" s="1" t="s">
        <v>8128</v>
      </c>
      <c r="W465" s="1" t="s">
        <v>8129</v>
      </c>
      <c r="X465" s="1" t="s">
        <v>8130</v>
      </c>
      <c r="Y465" s="1" t="s">
        <v>8131</v>
      </c>
      <c r="Z465" s="1" t="s">
        <v>8132</v>
      </c>
      <c r="AA465" s="1" t="s">
        <v>8133</v>
      </c>
      <c r="AB465" s="1" t="s">
        <v>8134</v>
      </c>
      <c r="AC465" s="1" t="s">
        <v>8135</v>
      </c>
      <c r="AD465" s="1" t="s">
        <v>8136</v>
      </c>
      <c r="AE465" s="1" t="s">
        <v>8137</v>
      </c>
      <c r="AF465" s="1" t="s">
        <v>74</v>
      </c>
      <c r="AG465" s="1">
        <v>43</v>
      </c>
      <c r="AH465" s="1">
        <v>44</v>
      </c>
      <c r="AI465" s="1">
        <v>47</v>
      </c>
      <c r="AJ465" s="1">
        <v>0</v>
      </c>
      <c r="AK465" s="1">
        <v>38</v>
      </c>
      <c r="AL465" s="1" t="s">
        <v>8138</v>
      </c>
      <c r="AM465" s="1" t="s">
        <v>8139</v>
      </c>
      <c r="AN465" s="1" t="s">
        <v>8140</v>
      </c>
      <c r="AO465" s="1" t="s">
        <v>8141</v>
      </c>
      <c r="AP465" s="1" t="s">
        <v>74</v>
      </c>
      <c r="AQ465" s="1" t="s">
        <v>74</v>
      </c>
      <c r="AR465" s="1" t="s">
        <v>8142</v>
      </c>
      <c r="AS465" s="1" t="s">
        <v>8143</v>
      </c>
      <c r="AT465" s="1" t="s">
        <v>74</v>
      </c>
      <c r="AU465" s="1">
        <v>2011</v>
      </c>
      <c r="AV465" s="1">
        <v>76</v>
      </c>
      <c r="AW465" s="1">
        <v>12</v>
      </c>
      <c r="AX465" s="1" t="s">
        <v>74</v>
      </c>
      <c r="AY465" s="1" t="s">
        <v>74</v>
      </c>
      <c r="AZ465" s="1" t="s">
        <v>74</v>
      </c>
      <c r="BA465" s="1" t="s">
        <v>74</v>
      </c>
      <c r="BB465" s="1">
        <v>1725</v>
      </c>
      <c r="BC465" s="1">
        <v>1737</v>
      </c>
      <c r="BD465" s="1" t="s">
        <v>74</v>
      </c>
      <c r="BE465" s="1" t="s">
        <v>8144</v>
      </c>
      <c r="BF465" s="1" t="str">
        <f>HYPERLINK("http://dx.doi.org/10.2298/JSC110420095S","http://dx.doi.org/10.2298/JSC110420095S")</f>
        <v>http://dx.doi.org/10.2298/JSC110420095S</v>
      </c>
      <c r="BG465" s="1" t="s">
        <v>74</v>
      </c>
      <c r="BH465" s="1" t="s">
        <v>74</v>
      </c>
      <c r="BI465" s="1">
        <v>13</v>
      </c>
      <c r="BJ465" s="1" t="s">
        <v>3919</v>
      </c>
      <c r="BK465" s="1" t="s">
        <v>96</v>
      </c>
      <c r="BL465" s="1" t="s">
        <v>1197</v>
      </c>
      <c r="BM465" s="1" t="s">
        <v>8145</v>
      </c>
      <c r="BN465" s="1" t="s">
        <v>74</v>
      </c>
      <c r="BO465" s="1" t="s">
        <v>637</v>
      </c>
      <c r="BP465" s="1" t="s">
        <v>74</v>
      </c>
      <c r="BQ465" s="1" t="s">
        <v>74</v>
      </c>
      <c r="BR465" s="1" t="s">
        <v>98</v>
      </c>
      <c r="BS465" s="1" t="s">
        <v>8146</v>
      </c>
      <c r="BT465" s="1" t="str">
        <f>HYPERLINK("https%3A%2F%2Fwww.webofscience.com%2Fwos%2Fwoscc%2Ffull-record%2FWOS:000298777900011","View Full Record in Web of Science")</f>
        <v>View Full Record in Web of Science</v>
      </c>
    </row>
    <row r="466" spans="1:72">
      <c r="A466" s="1" t="s">
        <v>72</v>
      </c>
      <c r="B466" s="1" t="s">
        <v>8147</v>
      </c>
      <c r="C466" s="1" t="s">
        <v>74</v>
      </c>
      <c r="D466" s="1" t="s">
        <v>74</v>
      </c>
      <c r="E466" s="1" t="s">
        <v>74</v>
      </c>
      <c r="F466" s="1" t="s">
        <v>8148</v>
      </c>
      <c r="G466" s="1" t="s">
        <v>74</v>
      </c>
      <c r="H466" s="1" t="s">
        <v>74</v>
      </c>
      <c r="I466" s="1" t="s">
        <v>8149</v>
      </c>
      <c r="J466" s="1" t="s">
        <v>3349</v>
      </c>
      <c r="K466" s="1" t="s">
        <v>74</v>
      </c>
      <c r="L466" s="1" t="s">
        <v>74</v>
      </c>
      <c r="M466" s="1" t="s">
        <v>78</v>
      </c>
      <c r="N466" s="1" t="s">
        <v>79</v>
      </c>
      <c r="O466" s="1" t="s">
        <v>74</v>
      </c>
      <c r="P466" s="1" t="s">
        <v>74</v>
      </c>
      <c r="Q466" s="1" t="s">
        <v>74</v>
      </c>
      <c r="R466" s="1" t="s">
        <v>74</v>
      </c>
      <c r="S466" s="1" t="s">
        <v>74</v>
      </c>
      <c r="T466" s="1" t="s">
        <v>8150</v>
      </c>
      <c r="U466" s="1" t="s">
        <v>8151</v>
      </c>
      <c r="V466" s="1" t="s">
        <v>8152</v>
      </c>
      <c r="W466" s="1" t="s">
        <v>8153</v>
      </c>
      <c r="X466" s="1" t="s">
        <v>8154</v>
      </c>
      <c r="Y466" s="1" t="s">
        <v>8155</v>
      </c>
      <c r="Z466" s="1" t="s">
        <v>8156</v>
      </c>
      <c r="AA466" s="1" t="s">
        <v>74</v>
      </c>
      <c r="AB466" s="1" t="s">
        <v>8157</v>
      </c>
      <c r="AC466" s="1" t="s">
        <v>8158</v>
      </c>
      <c r="AD466" s="1" t="s">
        <v>8159</v>
      </c>
      <c r="AE466" s="1" t="s">
        <v>8160</v>
      </c>
      <c r="AF466" s="1" t="s">
        <v>74</v>
      </c>
      <c r="AG466" s="1">
        <v>66</v>
      </c>
      <c r="AH466" s="1">
        <v>40</v>
      </c>
      <c r="AI466" s="1">
        <v>45</v>
      </c>
      <c r="AJ466" s="1">
        <v>1</v>
      </c>
      <c r="AK466" s="1">
        <v>21</v>
      </c>
      <c r="AL466" s="1" t="s">
        <v>3362</v>
      </c>
      <c r="AM466" s="1" t="s">
        <v>3363</v>
      </c>
      <c r="AN466" s="1" t="s">
        <v>3364</v>
      </c>
      <c r="AO466" s="1" t="s">
        <v>3365</v>
      </c>
      <c r="AP466" s="1" t="s">
        <v>74</v>
      </c>
      <c r="AQ466" s="1" t="s">
        <v>74</v>
      </c>
      <c r="AR466" s="1" t="s">
        <v>3367</v>
      </c>
      <c r="AS466" s="1" t="s">
        <v>3368</v>
      </c>
      <c r="AT466" s="1" t="s">
        <v>305</v>
      </c>
      <c r="AU466" s="1">
        <v>2010</v>
      </c>
      <c r="AV466" s="1">
        <v>73</v>
      </c>
      <c r="AW466" s="1">
        <v>6</v>
      </c>
      <c r="AX466" s="1" t="s">
        <v>74</v>
      </c>
      <c r="AY466" s="1" t="s">
        <v>74</v>
      </c>
      <c r="AZ466" s="1" t="s">
        <v>74</v>
      </c>
      <c r="BA466" s="1" t="s">
        <v>74</v>
      </c>
      <c r="BB466" s="1">
        <v>1378</v>
      </c>
      <c r="BC466" s="1">
        <v>1384</v>
      </c>
      <c r="BD466" s="1" t="s">
        <v>74</v>
      </c>
      <c r="BE466" s="1" t="s">
        <v>8161</v>
      </c>
      <c r="BF466" s="1" t="str">
        <f>HYPERLINK("http://dx.doi.org/10.1016/j.ecoenv.2010.06.023","http://dx.doi.org/10.1016/j.ecoenv.2010.06.023")</f>
        <v>http://dx.doi.org/10.1016/j.ecoenv.2010.06.023</v>
      </c>
      <c r="BG466" s="1" t="s">
        <v>74</v>
      </c>
      <c r="BH466" s="1" t="s">
        <v>74</v>
      </c>
      <c r="BI466" s="1">
        <v>7</v>
      </c>
      <c r="BJ466" s="1" t="s">
        <v>121</v>
      </c>
      <c r="BK466" s="1" t="s">
        <v>96</v>
      </c>
      <c r="BL466" s="1" t="s">
        <v>122</v>
      </c>
      <c r="BM466" s="1" t="s">
        <v>8162</v>
      </c>
      <c r="BN466" s="1">
        <v>20638724</v>
      </c>
      <c r="BO466" s="1" t="s">
        <v>74</v>
      </c>
      <c r="BP466" s="1" t="s">
        <v>74</v>
      </c>
      <c r="BQ466" s="1" t="s">
        <v>74</v>
      </c>
      <c r="BR466" s="1" t="s">
        <v>98</v>
      </c>
      <c r="BS466" s="1" t="s">
        <v>8163</v>
      </c>
      <c r="BT466" s="1" t="str">
        <f>HYPERLINK("https%3A%2F%2Fwww.webofscience.com%2Fwos%2Fwoscc%2Ffull-record%2FWOS:000281822200038","View Full Record in Web of Science")</f>
        <v>View Full Record in Web of Science</v>
      </c>
    </row>
    <row r="467" spans="1:72">
      <c r="A467" s="1" t="s">
        <v>72</v>
      </c>
      <c r="B467" s="1" t="s">
        <v>8164</v>
      </c>
      <c r="C467" s="1" t="s">
        <v>74</v>
      </c>
      <c r="D467" s="1" t="s">
        <v>74</v>
      </c>
      <c r="E467" s="1" t="s">
        <v>74</v>
      </c>
      <c r="F467" s="1" t="s">
        <v>8165</v>
      </c>
      <c r="G467" s="1" t="s">
        <v>74</v>
      </c>
      <c r="H467" s="1" t="s">
        <v>74</v>
      </c>
      <c r="I467" s="1" t="s">
        <v>8166</v>
      </c>
      <c r="J467" s="1" t="s">
        <v>204</v>
      </c>
      <c r="K467" s="1" t="s">
        <v>74</v>
      </c>
      <c r="L467" s="1" t="s">
        <v>74</v>
      </c>
      <c r="M467" s="1" t="s">
        <v>78</v>
      </c>
      <c r="N467" s="1" t="s">
        <v>79</v>
      </c>
      <c r="O467" s="1" t="s">
        <v>74</v>
      </c>
      <c r="P467" s="1" t="s">
        <v>74</v>
      </c>
      <c r="Q467" s="1" t="s">
        <v>74</v>
      </c>
      <c r="R467" s="1" t="s">
        <v>74</v>
      </c>
      <c r="S467" s="1" t="s">
        <v>74</v>
      </c>
      <c r="T467" s="1" t="s">
        <v>8167</v>
      </c>
      <c r="U467" s="1" t="s">
        <v>8168</v>
      </c>
      <c r="V467" s="1" t="s">
        <v>8169</v>
      </c>
      <c r="W467" s="1" t="s">
        <v>8170</v>
      </c>
      <c r="X467" s="1" t="s">
        <v>8171</v>
      </c>
      <c r="Y467" s="1" t="s">
        <v>8172</v>
      </c>
      <c r="Z467" s="1" t="s">
        <v>8173</v>
      </c>
      <c r="AA467" s="1" t="s">
        <v>74</v>
      </c>
      <c r="AB467" s="1" t="s">
        <v>8174</v>
      </c>
      <c r="AC467" s="1" t="s">
        <v>8175</v>
      </c>
      <c r="AD467" s="1" t="s">
        <v>8176</v>
      </c>
      <c r="AE467" s="1" t="s">
        <v>8177</v>
      </c>
      <c r="AF467" s="1" t="s">
        <v>74</v>
      </c>
      <c r="AG467" s="1">
        <v>72</v>
      </c>
      <c r="AH467" s="1">
        <v>9</v>
      </c>
      <c r="AI467" s="1">
        <v>9</v>
      </c>
      <c r="AJ467" s="1">
        <v>1</v>
      </c>
      <c r="AK467" s="1">
        <v>34</v>
      </c>
      <c r="AL467" s="1" t="s">
        <v>217</v>
      </c>
      <c r="AM467" s="1" t="s">
        <v>218</v>
      </c>
      <c r="AN467" s="1" t="s">
        <v>219</v>
      </c>
      <c r="AO467" s="1" t="s">
        <v>220</v>
      </c>
      <c r="AP467" s="1" t="s">
        <v>221</v>
      </c>
      <c r="AQ467" s="1" t="s">
        <v>74</v>
      </c>
      <c r="AR467" s="1" t="s">
        <v>222</v>
      </c>
      <c r="AS467" s="1" t="s">
        <v>223</v>
      </c>
      <c r="AT467" s="1" t="s">
        <v>305</v>
      </c>
      <c r="AU467" s="1">
        <v>2019</v>
      </c>
      <c r="AV467" s="1">
        <v>26</v>
      </c>
      <c r="AW467" s="1">
        <v>25</v>
      </c>
      <c r="AX467" s="1" t="s">
        <v>74</v>
      </c>
      <c r="AY467" s="1" t="s">
        <v>74</v>
      </c>
      <c r="AZ467" s="1" t="s">
        <v>74</v>
      </c>
      <c r="BA467" s="1" t="s">
        <v>74</v>
      </c>
      <c r="BB467" s="1">
        <v>25958</v>
      </c>
      <c r="BC467" s="1">
        <v>25968</v>
      </c>
      <c r="BD467" s="1" t="s">
        <v>74</v>
      </c>
      <c r="BE467" s="1" t="s">
        <v>8178</v>
      </c>
      <c r="BF467" s="1" t="str">
        <f>HYPERLINK("http://dx.doi.org/10.1007/s11356-019-05860-1","http://dx.doi.org/10.1007/s11356-019-05860-1")</f>
        <v>http://dx.doi.org/10.1007/s11356-019-05860-1</v>
      </c>
      <c r="BG467" s="1" t="s">
        <v>74</v>
      </c>
      <c r="BH467" s="1" t="s">
        <v>74</v>
      </c>
      <c r="BI467" s="1">
        <v>11</v>
      </c>
      <c r="BJ467" s="1" t="s">
        <v>144</v>
      </c>
      <c r="BK467" s="1" t="s">
        <v>96</v>
      </c>
      <c r="BL467" s="1" t="s">
        <v>145</v>
      </c>
      <c r="BM467" s="1" t="s">
        <v>8179</v>
      </c>
      <c r="BN467" s="1">
        <v>31273655</v>
      </c>
      <c r="BO467" s="1" t="s">
        <v>74</v>
      </c>
      <c r="BP467" s="1" t="s">
        <v>74</v>
      </c>
      <c r="BQ467" s="1" t="s">
        <v>74</v>
      </c>
      <c r="BR467" s="1" t="s">
        <v>98</v>
      </c>
      <c r="BS467" s="1" t="s">
        <v>8180</v>
      </c>
      <c r="BT467" s="1" t="str">
        <f>HYPERLINK("https%3A%2F%2Fwww.webofscience.com%2Fwos%2Fwoscc%2Ffull-record%2FWOS:000483698500047","View Full Record in Web of Science")</f>
        <v>View Full Record in Web of Science</v>
      </c>
    </row>
    <row r="468" spans="1:72">
      <c r="A468" s="1" t="s">
        <v>72</v>
      </c>
      <c r="B468" s="1" t="s">
        <v>8181</v>
      </c>
      <c r="C468" s="1" t="s">
        <v>74</v>
      </c>
      <c r="D468" s="1" t="s">
        <v>74</v>
      </c>
      <c r="E468" s="1" t="s">
        <v>74</v>
      </c>
      <c r="F468" s="1" t="s">
        <v>8181</v>
      </c>
      <c r="G468" s="1" t="s">
        <v>74</v>
      </c>
      <c r="H468" s="1" t="s">
        <v>74</v>
      </c>
      <c r="I468" s="1" t="s">
        <v>8182</v>
      </c>
      <c r="J468" s="1" t="s">
        <v>704</v>
      </c>
      <c r="K468" s="1" t="s">
        <v>74</v>
      </c>
      <c r="L468" s="1" t="s">
        <v>74</v>
      </c>
      <c r="M468" s="1" t="s">
        <v>78</v>
      </c>
      <c r="N468" s="1" t="s">
        <v>79</v>
      </c>
      <c r="O468" s="1" t="s">
        <v>74</v>
      </c>
      <c r="P468" s="1" t="s">
        <v>74</v>
      </c>
      <c r="Q468" s="1" t="s">
        <v>74</v>
      </c>
      <c r="R468" s="1" t="s">
        <v>74</v>
      </c>
      <c r="S468" s="1" t="s">
        <v>74</v>
      </c>
      <c r="T468" s="1" t="s">
        <v>8183</v>
      </c>
      <c r="U468" s="1" t="s">
        <v>8184</v>
      </c>
      <c r="V468" s="1" t="s">
        <v>8185</v>
      </c>
      <c r="W468" s="1" t="s">
        <v>8186</v>
      </c>
      <c r="X468" s="1" t="s">
        <v>8187</v>
      </c>
      <c r="Y468" s="1" t="s">
        <v>8188</v>
      </c>
      <c r="Z468" s="1" t="s">
        <v>8189</v>
      </c>
      <c r="AA468" s="1" t="s">
        <v>8190</v>
      </c>
      <c r="AB468" s="1" t="s">
        <v>8191</v>
      </c>
      <c r="AC468" s="1" t="s">
        <v>74</v>
      </c>
      <c r="AD468" s="1" t="s">
        <v>74</v>
      </c>
      <c r="AE468" s="1" t="s">
        <v>74</v>
      </c>
      <c r="AF468" s="1" t="s">
        <v>74</v>
      </c>
      <c r="AG468" s="1">
        <v>28</v>
      </c>
      <c r="AH468" s="1">
        <v>41</v>
      </c>
      <c r="AI468" s="1">
        <v>44</v>
      </c>
      <c r="AJ468" s="1">
        <v>0</v>
      </c>
      <c r="AK468" s="1">
        <v>23</v>
      </c>
      <c r="AL468" s="1" t="s">
        <v>1166</v>
      </c>
      <c r="AM468" s="1" t="s">
        <v>1167</v>
      </c>
      <c r="AN468" s="1" t="s">
        <v>1168</v>
      </c>
      <c r="AO468" s="1" t="s">
        <v>718</v>
      </c>
      <c r="AP468" s="1" t="s">
        <v>1169</v>
      </c>
      <c r="AQ468" s="1" t="s">
        <v>74</v>
      </c>
      <c r="AR468" s="1" t="s">
        <v>719</v>
      </c>
      <c r="AS468" s="1" t="s">
        <v>720</v>
      </c>
      <c r="AT468" s="1" t="s">
        <v>142</v>
      </c>
      <c r="AU468" s="1">
        <v>2004</v>
      </c>
      <c r="AV468" s="1">
        <v>155</v>
      </c>
      <c r="AW468" s="1" t="s">
        <v>721</v>
      </c>
      <c r="AX468" s="1" t="s">
        <v>74</v>
      </c>
      <c r="AY468" s="1" t="s">
        <v>74</v>
      </c>
      <c r="AZ468" s="1" t="s">
        <v>74</v>
      </c>
      <c r="BA468" s="1" t="s">
        <v>74</v>
      </c>
      <c r="BB468" s="1">
        <v>103</v>
      </c>
      <c r="BC468" s="1">
        <v>116</v>
      </c>
      <c r="BD468" s="1" t="s">
        <v>74</v>
      </c>
      <c r="BE468" s="1" t="s">
        <v>8192</v>
      </c>
      <c r="BF468" s="1" t="str">
        <f>HYPERLINK("http://dx.doi.org/10.1023/B:WATE.0000026524.99553.55","http://dx.doi.org/10.1023/B:WATE.0000026524.99553.55")</f>
        <v>http://dx.doi.org/10.1023/B:WATE.0000026524.99553.55</v>
      </c>
      <c r="BG468" s="1" t="s">
        <v>74</v>
      </c>
      <c r="BH468" s="1" t="s">
        <v>74</v>
      </c>
      <c r="BI468" s="1">
        <v>14</v>
      </c>
      <c r="BJ468" s="1" t="s">
        <v>722</v>
      </c>
      <c r="BK468" s="1" t="s">
        <v>96</v>
      </c>
      <c r="BL468" s="1" t="s">
        <v>723</v>
      </c>
      <c r="BM468" s="1" t="s">
        <v>8193</v>
      </c>
      <c r="BN468" s="1" t="s">
        <v>74</v>
      </c>
      <c r="BO468" s="1" t="s">
        <v>74</v>
      </c>
      <c r="BP468" s="1" t="s">
        <v>74</v>
      </c>
      <c r="BQ468" s="1" t="s">
        <v>74</v>
      </c>
      <c r="BR468" s="1" t="s">
        <v>98</v>
      </c>
      <c r="BS468" s="1" t="s">
        <v>8194</v>
      </c>
      <c r="BT468" s="1" t="str">
        <f>HYPERLINK("https%3A%2F%2Fwww.webofscience.com%2Fwos%2Fwoscc%2Ffull-record%2FWOS:000221209100008","View Full Record in Web of Science")</f>
        <v>View Full Record in Web of Science</v>
      </c>
    </row>
    <row r="469" spans="1:72">
      <c r="A469" s="1" t="s">
        <v>72</v>
      </c>
      <c r="B469" s="1" t="s">
        <v>8195</v>
      </c>
      <c r="C469" s="1" t="s">
        <v>74</v>
      </c>
      <c r="D469" s="1" t="s">
        <v>74</v>
      </c>
      <c r="E469" s="1" t="s">
        <v>74</v>
      </c>
      <c r="F469" s="1" t="s">
        <v>8196</v>
      </c>
      <c r="G469" s="1" t="s">
        <v>74</v>
      </c>
      <c r="H469" s="1" t="s">
        <v>74</v>
      </c>
      <c r="I469" s="1" t="s">
        <v>8197</v>
      </c>
      <c r="J469" s="1" t="s">
        <v>641</v>
      </c>
      <c r="K469" s="1" t="s">
        <v>74</v>
      </c>
      <c r="L469" s="1" t="s">
        <v>74</v>
      </c>
      <c r="M469" s="1" t="s">
        <v>78</v>
      </c>
      <c r="N469" s="1" t="s">
        <v>151</v>
      </c>
      <c r="O469" s="1" t="s">
        <v>8198</v>
      </c>
      <c r="P469" s="1" t="s">
        <v>8199</v>
      </c>
      <c r="Q469" s="1" t="s">
        <v>8200</v>
      </c>
      <c r="R469" s="1" t="s">
        <v>74</v>
      </c>
      <c r="S469" s="1" t="s">
        <v>8201</v>
      </c>
      <c r="T469" s="1" t="s">
        <v>8202</v>
      </c>
      <c r="U469" s="1" t="s">
        <v>8203</v>
      </c>
      <c r="V469" s="1" t="s">
        <v>8204</v>
      </c>
      <c r="W469" s="1" t="s">
        <v>8205</v>
      </c>
      <c r="X469" s="1" t="s">
        <v>8206</v>
      </c>
      <c r="Y469" s="1" t="s">
        <v>8207</v>
      </c>
      <c r="Z469" s="1" t="s">
        <v>8208</v>
      </c>
      <c r="AA469" s="1" t="s">
        <v>8209</v>
      </c>
      <c r="AB469" s="1" t="s">
        <v>8210</v>
      </c>
      <c r="AC469" s="1" t="s">
        <v>74</v>
      </c>
      <c r="AD469" s="1" t="s">
        <v>74</v>
      </c>
      <c r="AE469" s="1" t="s">
        <v>74</v>
      </c>
      <c r="AF469" s="1" t="s">
        <v>74</v>
      </c>
      <c r="AG469" s="1">
        <v>75</v>
      </c>
      <c r="AH469" s="1">
        <v>75</v>
      </c>
      <c r="AI469" s="1">
        <v>83</v>
      </c>
      <c r="AJ469" s="1">
        <v>3</v>
      </c>
      <c r="AK469" s="1">
        <v>82</v>
      </c>
      <c r="AL469" s="1" t="s">
        <v>650</v>
      </c>
      <c r="AM469" s="1" t="s">
        <v>651</v>
      </c>
      <c r="AN469" s="1" t="s">
        <v>652</v>
      </c>
      <c r="AO469" s="1" t="s">
        <v>653</v>
      </c>
      <c r="AP469" s="1" t="s">
        <v>654</v>
      </c>
      <c r="AQ469" s="1" t="s">
        <v>74</v>
      </c>
      <c r="AR469" s="1" t="s">
        <v>655</v>
      </c>
      <c r="AS469" s="1" t="s">
        <v>656</v>
      </c>
      <c r="AT469" s="1" t="s">
        <v>119</v>
      </c>
      <c r="AU469" s="1">
        <v>2014</v>
      </c>
      <c r="AV469" s="1">
        <v>153</v>
      </c>
      <c r="AW469" s="1" t="s">
        <v>74</v>
      </c>
      <c r="AX469" s="1" t="s">
        <v>74</v>
      </c>
      <c r="AY469" s="1" t="s">
        <v>74</v>
      </c>
      <c r="AZ469" s="1" t="s">
        <v>225</v>
      </c>
      <c r="BA469" s="1" t="s">
        <v>74</v>
      </c>
      <c r="BB469" s="1">
        <v>27</v>
      </c>
      <c r="BC469" s="1">
        <v>38</v>
      </c>
      <c r="BD469" s="1" t="s">
        <v>74</v>
      </c>
      <c r="BE469" s="1" t="s">
        <v>8211</v>
      </c>
      <c r="BF469" s="1" t="str">
        <f>HYPERLINK("http://dx.doi.org/10.1016/j.aquatox.2014.03.018","http://dx.doi.org/10.1016/j.aquatox.2014.03.018")</f>
        <v>http://dx.doi.org/10.1016/j.aquatox.2014.03.018</v>
      </c>
      <c r="BG469" s="1" t="s">
        <v>74</v>
      </c>
      <c r="BH469" s="1" t="s">
        <v>74</v>
      </c>
      <c r="BI469" s="1">
        <v>12</v>
      </c>
      <c r="BJ469" s="1" t="s">
        <v>659</v>
      </c>
      <c r="BK469" s="1" t="s">
        <v>172</v>
      </c>
      <c r="BL469" s="1" t="s">
        <v>659</v>
      </c>
      <c r="BM469" s="1" t="s">
        <v>8212</v>
      </c>
      <c r="BN469" s="1">
        <v>24745718</v>
      </c>
      <c r="BO469" s="1" t="s">
        <v>810</v>
      </c>
      <c r="BP469" s="1" t="s">
        <v>74</v>
      </c>
      <c r="BQ469" s="1" t="s">
        <v>74</v>
      </c>
      <c r="BR469" s="1" t="s">
        <v>98</v>
      </c>
      <c r="BS469" s="1" t="s">
        <v>8213</v>
      </c>
      <c r="BT469" s="1" t="str">
        <f>HYPERLINK("https%3A%2F%2Fwww.webofscience.com%2Fwos%2Fwoscc%2Ffull-record%2FWOS:000339149200004","View Full Record in Web of Science")</f>
        <v>View Full Record in Web of Science</v>
      </c>
    </row>
    <row r="470" spans="1:72">
      <c r="A470" s="1" t="s">
        <v>72</v>
      </c>
      <c r="B470" s="1" t="s">
        <v>8214</v>
      </c>
      <c r="C470" s="1" t="s">
        <v>74</v>
      </c>
      <c r="D470" s="1" t="s">
        <v>74</v>
      </c>
      <c r="E470" s="1" t="s">
        <v>74</v>
      </c>
      <c r="F470" s="1" t="s">
        <v>8215</v>
      </c>
      <c r="G470" s="1" t="s">
        <v>74</v>
      </c>
      <c r="H470" s="1" t="s">
        <v>74</v>
      </c>
      <c r="I470" s="1" t="s">
        <v>8216</v>
      </c>
      <c r="J470" s="1" t="s">
        <v>275</v>
      </c>
      <c r="K470" s="1" t="s">
        <v>74</v>
      </c>
      <c r="L470" s="1" t="s">
        <v>74</v>
      </c>
      <c r="M470" s="1" t="s">
        <v>78</v>
      </c>
      <c r="N470" s="1" t="s">
        <v>79</v>
      </c>
      <c r="O470" s="1" t="s">
        <v>74</v>
      </c>
      <c r="P470" s="1" t="s">
        <v>74</v>
      </c>
      <c r="Q470" s="1" t="s">
        <v>74</v>
      </c>
      <c r="R470" s="1" t="s">
        <v>74</v>
      </c>
      <c r="S470" s="1" t="s">
        <v>74</v>
      </c>
      <c r="T470" s="1" t="s">
        <v>8217</v>
      </c>
      <c r="U470" s="1" t="s">
        <v>8218</v>
      </c>
      <c r="V470" s="1" t="s">
        <v>8219</v>
      </c>
      <c r="W470" s="1" t="s">
        <v>8220</v>
      </c>
      <c r="X470" s="1" t="s">
        <v>8221</v>
      </c>
      <c r="Y470" s="1" t="s">
        <v>8222</v>
      </c>
      <c r="Z470" s="1" t="s">
        <v>8223</v>
      </c>
      <c r="AA470" s="1" t="s">
        <v>74</v>
      </c>
      <c r="AB470" s="1" t="s">
        <v>74</v>
      </c>
      <c r="AC470" s="1" t="s">
        <v>8224</v>
      </c>
      <c r="AD470" s="1" t="s">
        <v>8225</v>
      </c>
      <c r="AE470" s="1" t="s">
        <v>8226</v>
      </c>
      <c r="AF470" s="1" t="s">
        <v>74</v>
      </c>
      <c r="AG470" s="1">
        <v>65</v>
      </c>
      <c r="AH470" s="1">
        <v>56</v>
      </c>
      <c r="AI470" s="1">
        <v>61</v>
      </c>
      <c r="AJ470" s="1">
        <v>0</v>
      </c>
      <c r="AK470" s="1">
        <v>33</v>
      </c>
      <c r="AL470" s="1" t="s">
        <v>285</v>
      </c>
      <c r="AM470" s="1" t="s">
        <v>286</v>
      </c>
      <c r="AN470" s="1" t="s">
        <v>287</v>
      </c>
      <c r="AO470" s="1" t="s">
        <v>288</v>
      </c>
      <c r="AP470" s="1" t="s">
        <v>289</v>
      </c>
      <c r="AQ470" s="1" t="s">
        <v>74</v>
      </c>
      <c r="AR470" s="1" t="s">
        <v>290</v>
      </c>
      <c r="AS470" s="1" t="s">
        <v>291</v>
      </c>
      <c r="AT470" s="1" t="s">
        <v>951</v>
      </c>
      <c r="AU470" s="1">
        <v>2010</v>
      </c>
      <c r="AV470" s="1">
        <v>29</v>
      </c>
      <c r="AW470" s="1">
        <v>5</v>
      </c>
      <c r="AX470" s="1" t="s">
        <v>74</v>
      </c>
      <c r="AY470" s="1" t="s">
        <v>74</v>
      </c>
      <c r="AZ470" s="1" t="s">
        <v>74</v>
      </c>
      <c r="BA470" s="1" t="s">
        <v>74</v>
      </c>
      <c r="BB470" s="1">
        <v>846</v>
      </c>
      <c r="BC470" s="1">
        <v>853</v>
      </c>
      <c r="BD470" s="1" t="s">
        <v>74</v>
      </c>
      <c r="BE470" s="1" t="s">
        <v>8227</v>
      </c>
      <c r="BF470" s="1" t="str">
        <f>HYPERLINK("http://dx.doi.org/10.1016/j.fsi.2010.07.022","http://dx.doi.org/10.1016/j.fsi.2010.07.022")</f>
        <v>http://dx.doi.org/10.1016/j.fsi.2010.07.022</v>
      </c>
      <c r="BG470" s="1" t="s">
        <v>74</v>
      </c>
      <c r="BH470" s="1" t="s">
        <v>74</v>
      </c>
      <c r="BI470" s="1">
        <v>8</v>
      </c>
      <c r="BJ470" s="1" t="s">
        <v>293</v>
      </c>
      <c r="BK470" s="1" t="s">
        <v>96</v>
      </c>
      <c r="BL470" s="1" t="s">
        <v>293</v>
      </c>
      <c r="BM470" s="1" t="s">
        <v>8228</v>
      </c>
      <c r="BN470" s="1">
        <v>20659566</v>
      </c>
      <c r="BO470" s="1" t="s">
        <v>74</v>
      </c>
      <c r="BP470" s="1" t="s">
        <v>74</v>
      </c>
      <c r="BQ470" s="1" t="s">
        <v>74</v>
      </c>
      <c r="BR470" s="1" t="s">
        <v>98</v>
      </c>
      <c r="BS470" s="1" t="s">
        <v>8229</v>
      </c>
      <c r="BT470" s="1" t="str">
        <f>HYPERLINK("https%3A%2F%2Fwww.webofscience.com%2Fwos%2Fwoscc%2Ffull-record%2FWOS:000282470400020","View Full Record in Web of Science")</f>
        <v>View Full Record in Web of Science</v>
      </c>
    </row>
    <row r="471" spans="1:72">
      <c r="A471" s="1" t="s">
        <v>72</v>
      </c>
      <c r="B471" s="1" t="s">
        <v>8230</v>
      </c>
      <c r="C471" s="1" t="s">
        <v>74</v>
      </c>
      <c r="D471" s="1" t="s">
        <v>74</v>
      </c>
      <c r="E471" s="1" t="s">
        <v>74</v>
      </c>
      <c r="F471" s="1" t="s">
        <v>8231</v>
      </c>
      <c r="G471" s="1" t="s">
        <v>74</v>
      </c>
      <c r="H471" s="1" t="s">
        <v>74</v>
      </c>
      <c r="I471" s="1" t="s">
        <v>8232</v>
      </c>
      <c r="J471" s="1" t="s">
        <v>232</v>
      </c>
      <c r="K471" s="1" t="s">
        <v>74</v>
      </c>
      <c r="L471" s="1" t="s">
        <v>74</v>
      </c>
      <c r="M471" s="1" t="s">
        <v>78</v>
      </c>
      <c r="N471" s="1" t="s">
        <v>79</v>
      </c>
      <c r="O471" s="1" t="s">
        <v>74</v>
      </c>
      <c r="P471" s="1" t="s">
        <v>74</v>
      </c>
      <c r="Q471" s="1" t="s">
        <v>74</v>
      </c>
      <c r="R471" s="1" t="s">
        <v>74</v>
      </c>
      <c r="S471" s="1" t="s">
        <v>74</v>
      </c>
      <c r="T471" s="1" t="s">
        <v>8233</v>
      </c>
      <c r="U471" s="1" t="s">
        <v>8234</v>
      </c>
      <c r="V471" s="1" t="s">
        <v>8235</v>
      </c>
      <c r="W471" s="1" t="s">
        <v>8236</v>
      </c>
      <c r="X471" s="1" t="s">
        <v>8237</v>
      </c>
      <c r="Y471" s="1" t="s">
        <v>8238</v>
      </c>
      <c r="Z471" s="1" t="s">
        <v>8239</v>
      </c>
      <c r="AA471" s="1" t="s">
        <v>74</v>
      </c>
      <c r="AB471" s="1" t="s">
        <v>8240</v>
      </c>
      <c r="AC471" s="1" t="s">
        <v>8241</v>
      </c>
      <c r="AD471" s="1" t="s">
        <v>8241</v>
      </c>
      <c r="AE471" s="1" t="s">
        <v>8242</v>
      </c>
      <c r="AF471" s="1" t="s">
        <v>74</v>
      </c>
      <c r="AG471" s="1">
        <v>111</v>
      </c>
      <c r="AH471" s="1">
        <v>5</v>
      </c>
      <c r="AI471" s="1">
        <v>5</v>
      </c>
      <c r="AJ471" s="1">
        <v>1</v>
      </c>
      <c r="AK471" s="1">
        <v>20</v>
      </c>
      <c r="AL471" s="1" t="s">
        <v>136</v>
      </c>
      <c r="AM471" s="1" t="s">
        <v>137</v>
      </c>
      <c r="AN471" s="1" t="s">
        <v>138</v>
      </c>
      <c r="AO471" s="1" t="s">
        <v>240</v>
      </c>
      <c r="AP471" s="1" t="s">
        <v>241</v>
      </c>
      <c r="AQ471" s="1" t="s">
        <v>74</v>
      </c>
      <c r="AR471" s="1" t="s">
        <v>242</v>
      </c>
      <c r="AS471" s="1" t="s">
        <v>243</v>
      </c>
      <c r="AT471" s="1" t="s">
        <v>1091</v>
      </c>
      <c r="AU471" s="1">
        <v>2016</v>
      </c>
      <c r="AV471" s="1">
        <v>107</v>
      </c>
      <c r="AW471" s="1">
        <v>1</v>
      </c>
      <c r="AX471" s="1" t="s">
        <v>74</v>
      </c>
      <c r="AY471" s="1" t="s">
        <v>74</v>
      </c>
      <c r="AZ471" s="1" t="s">
        <v>74</v>
      </c>
      <c r="BA471" s="1" t="s">
        <v>74</v>
      </c>
      <c r="BB471" s="1">
        <v>22</v>
      </c>
      <c r="BC471" s="1">
        <v>35</v>
      </c>
      <c r="BD471" s="1" t="s">
        <v>74</v>
      </c>
      <c r="BE471" s="1" t="s">
        <v>8243</v>
      </c>
      <c r="BF471" s="1" t="str">
        <f>HYPERLINK("http://dx.doi.org/10.1016/j.marpolbul.2016.04.027","http://dx.doi.org/10.1016/j.marpolbul.2016.04.027")</f>
        <v>http://dx.doi.org/10.1016/j.marpolbul.2016.04.027</v>
      </c>
      <c r="BG471" s="1" t="s">
        <v>74</v>
      </c>
      <c r="BH471" s="1" t="s">
        <v>74</v>
      </c>
      <c r="BI471" s="1">
        <v>14</v>
      </c>
      <c r="BJ471" s="1" t="s">
        <v>247</v>
      </c>
      <c r="BK471" s="1" t="s">
        <v>96</v>
      </c>
      <c r="BL471" s="1" t="s">
        <v>248</v>
      </c>
      <c r="BM471" s="1" t="s">
        <v>1093</v>
      </c>
      <c r="BN471" s="1">
        <v>27158049</v>
      </c>
      <c r="BO471" s="1" t="s">
        <v>370</v>
      </c>
      <c r="BP471" s="1" t="s">
        <v>74</v>
      </c>
      <c r="BQ471" s="1" t="s">
        <v>74</v>
      </c>
      <c r="BR471" s="1" t="s">
        <v>98</v>
      </c>
      <c r="BS471" s="1" t="s">
        <v>8244</v>
      </c>
      <c r="BT471" s="1" t="str">
        <f>HYPERLINK("https%3A%2F%2Fwww.webofscience.com%2Fwos%2Fwoscc%2Ffull-record%2FWOS:000377726700016","View Full Record in Web of Science")</f>
        <v>View Full Record in Web of Science</v>
      </c>
    </row>
    <row r="472" spans="1:72">
      <c r="A472" s="1" t="s">
        <v>72</v>
      </c>
      <c r="B472" s="1" t="s">
        <v>8245</v>
      </c>
      <c r="C472" s="1" t="s">
        <v>74</v>
      </c>
      <c r="D472" s="1" t="s">
        <v>74</v>
      </c>
      <c r="E472" s="1" t="s">
        <v>74</v>
      </c>
      <c r="F472" s="1" t="s">
        <v>8246</v>
      </c>
      <c r="G472" s="1" t="s">
        <v>74</v>
      </c>
      <c r="H472" s="1" t="s">
        <v>74</v>
      </c>
      <c r="I472" s="1" t="s">
        <v>8247</v>
      </c>
      <c r="J472" s="1" t="s">
        <v>909</v>
      </c>
      <c r="K472" s="1" t="s">
        <v>74</v>
      </c>
      <c r="L472" s="1" t="s">
        <v>74</v>
      </c>
      <c r="M472" s="1" t="s">
        <v>78</v>
      </c>
      <c r="N472" s="1" t="s">
        <v>79</v>
      </c>
      <c r="O472" s="1" t="s">
        <v>74</v>
      </c>
      <c r="P472" s="1" t="s">
        <v>74</v>
      </c>
      <c r="Q472" s="1" t="s">
        <v>74</v>
      </c>
      <c r="R472" s="1" t="s">
        <v>74</v>
      </c>
      <c r="S472" s="1" t="s">
        <v>74</v>
      </c>
      <c r="T472" s="1" t="s">
        <v>8248</v>
      </c>
      <c r="U472" s="1" t="s">
        <v>8249</v>
      </c>
      <c r="V472" s="1" t="s">
        <v>8250</v>
      </c>
      <c r="W472" s="1" t="s">
        <v>8251</v>
      </c>
      <c r="X472" s="1" t="s">
        <v>8252</v>
      </c>
      <c r="Y472" s="1" t="s">
        <v>8253</v>
      </c>
      <c r="Z472" s="1" t="s">
        <v>8254</v>
      </c>
      <c r="AA472" s="1" t="s">
        <v>8255</v>
      </c>
      <c r="AB472" s="1" t="s">
        <v>8256</v>
      </c>
      <c r="AC472" s="1" t="s">
        <v>8257</v>
      </c>
      <c r="AD472" s="1" t="s">
        <v>8258</v>
      </c>
      <c r="AE472" s="1" t="s">
        <v>8259</v>
      </c>
      <c r="AF472" s="1" t="s">
        <v>74</v>
      </c>
      <c r="AG472" s="1">
        <v>79</v>
      </c>
      <c r="AH472" s="1">
        <v>53</v>
      </c>
      <c r="AI472" s="1">
        <v>54</v>
      </c>
      <c r="AJ472" s="1">
        <v>2</v>
      </c>
      <c r="AK472" s="1">
        <v>90</v>
      </c>
      <c r="AL472" s="1" t="s">
        <v>919</v>
      </c>
      <c r="AM472" s="1" t="s">
        <v>651</v>
      </c>
      <c r="AN472" s="1" t="s">
        <v>920</v>
      </c>
      <c r="AO472" s="1" t="s">
        <v>921</v>
      </c>
      <c r="AP472" s="1" t="s">
        <v>922</v>
      </c>
      <c r="AQ472" s="1" t="s">
        <v>74</v>
      </c>
      <c r="AR472" s="1" t="s">
        <v>923</v>
      </c>
      <c r="AS472" s="1" t="s">
        <v>924</v>
      </c>
      <c r="AT472" s="1" t="s">
        <v>4761</v>
      </c>
      <c r="AU472" s="1">
        <v>2018</v>
      </c>
      <c r="AV472" s="1">
        <v>618</v>
      </c>
      <c r="AW472" s="1" t="s">
        <v>74</v>
      </c>
      <c r="AX472" s="1" t="s">
        <v>74</v>
      </c>
      <c r="AY472" s="1" t="s">
        <v>74</v>
      </c>
      <c r="AZ472" s="1" t="s">
        <v>74</v>
      </c>
      <c r="BA472" s="1" t="s">
        <v>74</v>
      </c>
      <c r="BB472" s="1">
        <v>1363</v>
      </c>
      <c r="BC472" s="1">
        <v>1370</v>
      </c>
      <c r="BD472" s="1" t="s">
        <v>74</v>
      </c>
      <c r="BE472" s="1" t="s">
        <v>8260</v>
      </c>
      <c r="BF472" s="1" t="str">
        <f>HYPERLINK("http://dx.doi.org/10.1016/j.scitotenv.2017.09.264","http://dx.doi.org/10.1016/j.scitotenv.2017.09.264")</f>
        <v>http://dx.doi.org/10.1016/j.scitotenv.2017.09.264</v>
      </c>
      <c r="BG472" s="1" t="s">
        <v>74</v>
      </c>
      <c r="BH472" s="1" t="s">
        <v>74</v>
      </c>
      <c r="BI472" s="1">
        <v>8</v>
      </c>
      <c r="BJ472" s="1" t="s">
        <v>144</v>
      </c>
      <c r="BK472" s="1" t="s">
        <v>96</v>
      </c>
      <c r="BL472" s="1" t="s">
        <v>145</v>
      </c>
      <c r="BM472" s="1" t="s">
        <v>8261</v>
      </c>
      <c r="BN472" s="1">
        <v>29042086</v>
      </c>
      <c r="BO472" s="1" t="s">
        <v>74</v>
      </c>
      <c r="BP472" s="1" t="s">
        <v>74</v>
      </c>
      <c r="BQ472" s="1" t="s">
        <v>74</v>
      </c>
      <c r="BR472" s="1" t="s">
        <v>98</v>
      </c>
      <c r="BS472" s="1" t="s">
        <v>8262</v>
      </c>
      <c r="BT472" s="1" t="str">
        <f>HYPERLINK("https%3A%2F%2Fwww.webofscience.com%2Fwos%2Fwoscc%2Ffull-record%2FWOS:000424130500136","View Full Record in Web of Science")</f>
        <v>View Full Record in Web of Science</v>
      </c>
    </row>
    <row r="473" spans="1:72">
      <c r="A473" s="1" t="s">
        <v>72</v>
      </c>
      <c r="B473" s="1" t="s">
        <v>8263</v>
      </c>
      <c r="C473" s="1" t="s">
        <v>74</v>
      </c>
      <c r="D473" s="1" t="s">
        <v>74</v>
      </c>
      <c r="E473" s="1" t="s">
        <v>74</v>
      </c>
      <c r="F473" s="1" t="s">
        <v>8263</v>
      </c>
      <c r="G473" s="1" t="s">
        <v>74</v>
      </c>
      <c r="H473" s="1" t="s">
        <v>74</v>
      </c>
      <c r="I473" s="1" t="s">
        <v>8264</v>
      </c>
      <c r="J473" s="1" t="s">
        <v>8265</v>
      </c>
      <c r="K473" s="1" t="s">
        <v>74</v>
      </c>
      <c r="L473" s="1" t="s">
        <v>74</v>
      </c>
      <c r="M473" s="1" t="s">
        <v>78</v>
      </c>
      <c r="N473" s="1" t="s">
        <v>79</v>
      </c>
      <c r="O473" s="1" t="s">
        <v>74</v>
      </c>
      <c r="P473" s="1" t="s">
        <v>74</v>
      </c>
      <c r="Q473" s="1" t="s">
        <v>74</v>
      </c>
      <c r="R473" s="1" t="s">
        <v>74</v>
      </c>
      <c r="S473" s="1" t="s">
        <v>74</v>
      </c>
      <c r="T473" s="1" t="s">
        <v>8266</v>
      </c>
      <c r="U473" s="1" t="s">
        <v>8267</v>
      </c>
      <c r="V473" s="1" t="s">
        <v>8268</v>
      </c>
      <c r="W473" s="1" t="s">
        <v>8269</v>
      </c>
      <c r="X473" s="1" t="s">
        <v>8270</v>
      </c>
      <c r="Y473" s="1" t="s">
        <v>8271</v>
      </c>
      <c r="Z473" s="1" t="s">
        <v>8272</v>
      </c>
      <c r="AA473" s="1" t="s">
        <v>8273</v>
      </c>
      <c r="AB473" s="1" t="s">
        <v>74</v>
      </c>
      <c r="AC473" s="1" t="s">
        <v>74</v>
      </c>
      <c r="AD473" s="1" t="s">
        <v>74</v>
      </c>
      <c r="AE473" s="1" t="s">
        <v>74</v>
      </c>
      <c r="AF473" s="1" t="s">
        <v>74</v>
      </c>
      <c r="AG473" s="1">
        <v>20</v>
      </c>
      <c r="AH473" s="1">
        <v>55</v>
      </c>
      <c r="AI473" s="1">
        <v>64</v>
      </c>
      <c r="AJ473" s="1">
        <v>0</v>
      </c>
      <c r="AK473" s="1">
        <v>22</v>
      </c>
      <c r="AL473" s="1" t="s">
        <v>650</v>
      </c>
      <c r="AM473" s="1" t="s">
        <v>651</v>
      </c>
      <c r="AN473" s="1" t="s">
        <v>652</v>
      </c>
      <c r="AO473" s="1" t="s">
        <v>8274</v>
      </c>
      <c r="AP473" s="1" t="s">
        <v>8275</v>
      </c>
      <c r="AQ473" s="1" t="s">
        <v>74</v>
      </c>
      <c r="AR473" s="1" t="s">
        <v>8276</v>
      </c>
      <c r="AS473" s="1" t="s">
        <v>8277</v>
      </c>
      <c r="AT473" s="1" t="s">
        <v>93</v>
      </c>
      <c r="AU473" s="1">
        <v>2006</v>
      </c>
      <c r="AV473" s="1">
        <v>245</v>
      </c>
      <c r="AW473" s="1">
        <v>2</v>
      </c>
      <c r="AX473" s="1" t="s">
        <v>74</v>
      </c>
      <c r="AY473" s="1" t="s">
        <v>74</v>
      </c>
      <c r="AZ473" s="1" t="s">
        <v>74</v>
      </c>
      <c r="BA473" s="1" t="s">
        <v>74</v>
      </c>
      <c r="BB473" s="1">
        <v>495</v>
      </c>
      <c r="BC473" s="1">
        <v>500</v>
      </c>
      <c r="BD473" s="1" t="s">
        <v>74</v>
      </c>
      <c r="BE473" s="1" t="s">
        <v>8278</v>
      </c>
      <c r="BF473" s="1" t="str">
        <f>HYPERLINK("http://dx.doi.org/10.1016/j.nimb.2005.11.050","http://dx.doi.org/10.1016/j.nimb.2005.11.050")</f>
        <v>http://dx.doi.org/10.1016/j.nimb.2005.11.050</v>
      </c>
      <c r="BG473" s="1" t="s">
        <v>74</v>
      </c>
      <c r="BH473" s="1" t="s">
        <v>74</v>
      </c>
      <c r="BI473" s="1">
        <v>6</v>
      </c>
      <c r="BJ473" s="1" t="s">
        <v>8279</v>
      </c>
      <c r="BK473" s="1" t="s">
        <v>96</v>
      </c>
      <c r="BL473" s="1" t="s">
        <v>8280</v>
      </c>
      <c r="BM473" s="1" t="s">
        <v>8281</v>
      </c>
      <c r="BN473" s="1" t="s">
        <v>74</v>
      </c>
      <c r="BO473" s="1" t="s">
        <v>74</v>
      </c>
      <c r="BP473" s="1" t="s">
        <v>74</v>
      </c>
      <c r="BQ473" s="1" t="s">
        <v>74</v>
      </c>
      <c r="BR473" s="1" t="s">
        <v>98</v>
      </c>
      <c r="BS473" s="1" t="s">
        <v>8282</v>
      </c>
      <c r="BT473" s="1" t="str">
        <f>HYPERLINK("https%3A%2F%2Fwww.webofscience.com%2Fwos%2Fwoscc%2Ffull-record%2FWOS:000236500500022","View Full Record in Web of Science")</f>
        <v>View Full Record in Web of Science</v>
      </c>
    </row>
    <row r="474" spans="1:72">
      <c r="A474" s="1" t="s">
        <v>72</v>
      </c>
      <c r="B474" s="1" t="s">
        <v>8283</v>
      </c>
      <c r="C474" s="1" t="s">
        <v>74</v>
      </c>
      <c r="D474" s="1" t="s">
        <v>74</v>
      </c>
      <c r="E474" s="1" t="s">
        <v>74</v>
      </c>
      <c r="F474" s="1" t="s">
        <v>8284</v>
      </c>
      <c r="G474" s="1" t="s">
        <v>74</v>
      </c>
      <c r="H474" s="1" t="s">
        <v>74</v>
      </c>
      <c r="I474" s="1" t="s">
        <v>8285</v>
      </c>
      <c r="J474" s="1" t="s">
        <v>421</v>
      </c>
      <c r="K474" s="1" t="s">
        <v>74</v>
      </c>
      <c r="L474" s="1" t="s">
        <v>74</v>
      </c>
      <c r="M474" s="1" t="s">
        <v>78</v>
      </c>
      <c r="N474" s="1" t="s">
        <v>79</v>
      </c>
      <c r="O474" s="1" t="s">
        <v>74</v>
      </c>
      <c r="P474" s="1" t="s">
        <v>74</v>
      </c>
      <c r="Q474" s="1" t="s">
        <v>74</v>
      </c>
      <c r="R474" s="1" t="s">
        <v>74</v>
      </c>
      <c r="S474" s="1" t="s">
        <v>74</v>
      </c>
      <c r="T474" s="1" t="s">
        <v>8286</v>
      </c>
      <c r="U474" s="1" t="s">
        <v>8287</v>
      </c>
      <c r="V474" s="1" t="s">
        <v>8288</v>
      </c>
      <c r="W474" s="1" t="s">
        <v>8289</v>
      </c>
      <c r="X474" s="1" t="s">
        <v>8290</v>
      </c>
      <c r="Y474" s="1" t="s">
        <v>8291</v>
      </c>
      <c r="Z474" s="1" t="s">
        <v>8292</v>
      </c>
      <c r="AA474" s="1" t="s">
        <v>74</v>
      </c>
      <c r="AB474" s="1" t="s">
        <v>8293</v>
      </c>
      <c r="AC474" s="1" t="s">
        <v>8294</v>
      </c>
      <c r="AD474" s="1" t="s">
        <v>8295</v>
      </c>
      <c r="AE474" s="1" t="s">
        <v>8296</v>
      </c>
      <c r="AF474" s="1" t="s">
        <v>74</v>
      </c>
      <c r="AG474" s="1">
        <v>71</v>
      </c>
      <c r="AH474" s="1">
        <v>1</v>
      </c>
      <c r="AI474" s="1">
        <v>1</v>
      </c>
      <c r="AJ474" s="1">
        <v>2</v>
      </c>
      <c r="AK474" s="1">
        <v>12</v>
      </c>
      <c r="AL474" s="1" t="s">
        <v>430</v>
      </c>
      <c r="AM474" s="1" t="s">
        <v>137</v>
      </c>
      <c r="AN474" s="1" t="s">
        <v>431</v>
      </c>
      <c r="AO474" s="1" t="s">
        <v>432</v>
      </c>
      <c r="AP474" s="1" t="s">
        <v>1394</v>
      </c>
      <c r="AQ474" s="1" t="s">
        <v>74</v>
      </c>
      <c r="AR474" s="1" t="s">
        <v>433</v>
      </c>
      <c r="AS474" s="1" t="s">
        <v>434</v>
      </c>
      <c r="AT474" s="1" t="s">
        <v>546</v>
      </c>
      <c r="AU474" s="1">
        <v>2023</v>
      </c>
      <c r="AV474" s="1">
        <v>337</v>
      </c>
      <c r="AW474" s="1" t="s">
        <v>74</v>
      </c>
      <c r="AX474" s="1" t="s">
        <v>74</v>
      </c>
      <c r="AY474" s="1" t="s">
        <v>74</v>
      </c>
      <c r="AZ474" s="1" t="s">
        <v>74</v>
      </c>
      <c r="BA474" s="1" t="s">
        <v>74</v>
      </c>
      <c r="BB474" s="1" t="s">
        <v>74</v>
      </c>
      <c r="BC474" s="1" t="s">
        <v>74</v>
      </c>
      <c r="BD474" s="1">
        <v>122554</v>
      </c>
      <c r="BE474" s="1" t="s">
        <v>8297</v>
      </c>
      <c r="BF474" s="1" t="str">
        <f>HYPERLINK("http://dx.doi.org/10.1016/j.envpol.2023.122554","http://dx.doi.org/10.1016/j.envpol.2023.122554")</f>
        <v>http://dx.doi.org/10.1016/j.envpol.2023.122554</v>
      </c>
      <c r="BG474" s="1" t="s">
        <v>74</v>
      </c>
      <c r="BH474" s="1" t="s">
        <v>2000</v>
      </c>
      <c r="BI474" s="1">
        <v>13</v>
      </c>
      <c r="BJ474" s="1" t="s">
        <v>144</v>
      </c>
      <c r="BK474" s="1" t="s">
        <v>96</v>
      </c>
      <c r="BL474" s="1" t="s">
        <v>145</v>
      </c>
      <c r="BM474" s="1" t="s">
        <v>8298</v>
      </c>
      <c r="BN474" s="1">
        <v>37717895</v>
      </c>
      <c r="BO474" s="1" t="s">
        <v>476</v>
      </c>
      <c r="BP474" s="1" t="s">
        <v>74</v>
      </c>
      <c r="BQ474" s="1" t="s">
        <v>74</v>
      </c>
      <c r="BR474" s="1" t="s">
        <v>98</v>
      </c>
      <c r="BS474" s="1" t="s">
        <v>8299</v>
      </c>
      <c r="BT474" s="1" t="str">
        <f>HYPERLINK("https%3A%2F%2Fwww.webofscience.com%2Fwos%2Fwoscc%2Ffull-record%2FWOS:001082199800001","View Full Record in Web of Science")</f>
        <v>View Full Record in Web of Science</v>
      </c>
    </row>
    <row r="475" spans="1:72">
      <c r="A475" s="1" t="s">
        <v>72</v>
      </c>
      <c r="B475" s="1" t="s">
        <v>8300</v>
      </c>
      <c r="C475" s="1" t="s">
        <v>74</v>
      </c>
      <c r="D475" s="1" t="s">
        <v>74</v>
      </c>
      <c r="E475" s="1" t="s">
        <v>74</v>
      </c>
      <c r="F475" s="1" t="s">
        <v>8301</v>
      </c>
      <c r="G475" s="1" t="s">
        <v>74</v>
      </c>
      <c r="H475" s="1" t="s">
        <v>74</v>
      </c>
      <c r="I475" s="1" t="s">
        <v>8302</v>
      </c>
      <c r="J475" s="1" t="s">
        <v>421</v>
      </c>
      <c r="K475" s="1" t="s">
        <v>74</v>
      </c>
      <c r="L475" s="1" t="s">
        <v>74</v>
      </c>
      <c r="M475" s="1" t="s">
        <v>78</v>
      </c>
      <c r="N475" s="1" t="s">
        <v>79</v>
      </c>
      <c r="O475" s="1" t="s">
        <v>74</v>
      </c>
      <c r="P475" s="1" t="s">
        <v>74</v>
      </c>
      <c r="Q475" s="1" t="s">
        <v>74</v>
      </c>
      <c r="R475" s="1" t="s">
        <v>74</v>
      </c>
      <c r="S475" s="1" t="s">
        <v>74</v>
      </c>
      <c r="T475" s="1" t="s">
        <v>8303</v>
      </c>
      <c r="U475" s="1" t="s">
        <v>8304</v>
      </c>
      <c r="V475" s="1" t="s">
        <v>8305</v>
      </c>
      <c r="W475" s="1" t="s">
        <v>8306</v>
      </c>
      <c r="X475" s="1" t="s">
        <v>8307</v>
      </c>
      <c r="Y475" s="1" t="s">
        <v>8308</v>
      </c>
      <c r="Z475" s="1" t="s">
        <v>8309</v>
      </c>
      <c r="AA475" s="1" t="s">
        <v>8310</v>
      </c>
      <c r="AB475" s="1" t="s">
        <v>8311</v>
      </c>
      <c r="AC475" s="1" t="s">
        <v>8312</v>
      </c>
      <c r="AD475" s="1" t="s">
        <v>8312</v>
      </c>
      <c r="AE475" s="1" t="s">
        <v>8313</v>
      </c>
      <c r="AF475" s="1" t="s">
        <v>74</v>
      </c>
      <c r="AG475" s="1">
        <v>56</v>
      </c>
      <c r="AH475" s="1">
        <v>13</v>
      </c>
      <c r="AI475" s="1">
        <v>13</v>
      </c>
      <c r="AJ475" s="1">
        <v>1</v>
      </c>
      <c r="AK475" s="1">
        <v>49</v>
      </c>
      <c r="AL475" s="1" t="s">
        <v>430</v>
      </c>
      <c r="AM475" s="1" t="s">
        <v>137</v>
      </c>
      <c r="AN475" s="1" t="s">
        <v>431</v>
      </c>
      <c r="AO475" s="1" t="s">
        <v>432</v>
      </c>
      <c r="AP475" s="1" t="s">
        <v>1394</v>
      </c>
      <c r="AQ475" s="1" t="s">
        <v>74</v>
      </c>
      <c r="AR475" s="1" t="s">
        <v>433</v>
      </c>
      <c r="AS475" s="1" t="s">
        <v>434</v>
      </c>
      <c r="AT475" s="1" t="s">
        <v>224</v>
      </c>
      <c r="AU475" s="1">
        <v>2020</v>
      </c>
      <c r="AV475" s="1">
        <v>257</v>
      </c>
      <c r="AW475" s="1" t="s">
        <v>74</v>
      </c>
      <c r="AX475" s="1" t="s">
        <v>74</v>
      </c>
      <c r="AY475" s="1" t="s">
        <v>74</v>
      </c>
      <c r="AZ475" s="1" t="s">
        <v>74</v>
      </c>
      <c r="BA475" s="1" t="s">
        <v>74</v>
      </c>
      <c r="BB475" s="1" t="s">
        <v>74</v>
      </c>
      <c r="BC475" s="1" t="s">
        <v>74</v>
      </c>
      <c r="BD475" s="1">
        <v>113503</v>
      </c>
      <c r="BE475" s="1" t="s">
        <v>8314</v>
      </c>
      <c r="BF475" s="1" t="str">
        <f>HYPERLINK("http://dx.doi.org/10.1016/j.envpol.2019.113503","http://dx.doi.org/10.1016/j.envpol.2019.113503")</f>
        <v>http://dx.doi.org/10.1016/j.envpol.2019.113503</v>
      </c>
      <c r="BG475" s="1" t="s">
        <v>74</v>
      </c>
      <c r="BH475" s="1" t="s">
        <v>74</v>
      </c>
      <c r="BI475" s="1">
        <v>6</v>
      </c>
      <c r="BJ475" s="1" t="s">
        <v>144</v>
      </c>
      <c r="BK475" s="1" t="s">
        <v>96</v>
      </c>
      <c r="BL475" s="1" t="s">
        <v>145</v>
      </c>
      <c r="BM475" s="1" t="s">
        <v>8315</v>
      </c>
      <c r="BN475" s="1">
        <v>31761584</v>
      </c>
      <c r="BO475" s="1" t="s">
        <v>810</v>
      </c>
      <c r="BP475" s="1" t="s">
        <v>74</v>
      </c>
      <c r="BQ475" s="1" t="s">
        <v>74</v>
      </c>
      <c r="BR475" s="1" t="s">
        <v>98</v>
      </c>
      <c r="BS475" s="1" t="s">
        <v>8316</v>
      </c>
      <c r="BT475" s="1" t="str">
        <f>HYPERLINK("https%3A%2F%2Fwww.webofscience.com%2Fwos%2Fwoscc%2Ffull-record%2FWOS:000514746800042","View Full Record in Web of Science")</f>
        <v>View Full Record in Web of Science</v>
      </c>
    </row>
    <row r="476" spans="1:72">
      <c r="A476" s="1" t="s">
        <v>72</v>
      </c>
      <c r="B476" s="1" t="s">
        <v>8317</v>
      </c>
      <c r="C476" s="1" t="s">
        <v>74</v>
      </c>
      <c r="D476" s="1" t="s">
        <v>74</v>
      </c>
      <c r="E476" s="1" t="s">
        <v>74</v>
      </c>
      <c r="F476" s="1" t="s">
        <v>8318</v>
      </c>
      <c r="G476" s="1" t="s">
        <v>74</v>
      </c>
      <c r="H476" s="1" t="s">
        <v>74</v>
      </c>
      <c r="I476" s="1" t="s">
        <v>8319</v>
      </c>
      <c r="J476" s="1" t="s">
        <v>5592</v>
      </c>
      <c r="K476" s="1" t="s">
        <v>74</v>
      </c>
      <c r="L476" s="1" t="s">
        <v>74</v>
      </c>
      <c r="M476" s="1" t="s">
        <v>78</v>
      </c>
      <c r="N476" s="1" t="s">
        <v>79</v>
      </c>
      <c r="O476" s="1" t="s">
        <v>74</v>
      </c>
      <c r="P476" s="1" t="s">
        <v>74</v>
      </c>
      <c r="Q476" s="1" t="s">
        <v>74</v>
      </c>
      <c r="R476" s="1" t="s">
        <v>74</v>
      </c>
      <c r="S476" s="1" t="s">
        <v>74</v>
      </c>
      <c r="T476" s="1" t="s">
        <v>8320</v>
      </c>
      <c r="U476" s="1" t="s">
        <v>8321</v>
      </c>
      <c r="V476" s="1" t="s">
        <v>8322</v>
      </c>
      <c r="W476" s="1" t="s">
        <v>8323</v>
      </c>
      <c r="X476" s="1" t="s">
        <v>8324</v>
      </c>
      <c r="Y476" s="1" t="s">
        <v>8325</v>
      </c>
      <c r="Z476" s="1" t="s">
        <v>8326</v>
      </c>
      <c r="AA476" s="1" t="s">
        <v>74</v>
      </c>
      <c r="AB476" s="1" t="s">
        <v>74</v>
      </c>
      <c r="AC476" s="1" t="s">
        <v>8327</v>
      </c>
      <c r="AD476" s="1" t="s">
        <v>8327</v>
      </c>
      <c r="AE476" s="1" t="s">
        <v>8328</v>
      </c>
      <c r="AF476" s="1" t="s">
        <v>74</v>
      </c>
      <c r="AG476" s="1">
        <v>47</v>
      </c>
      <c r="AH476" s="1">
        <v>19</v>
      </c>
      <c r="AI476" s="1">
        <v>22</v>
      </c>
      <c r="AJ476" s="1">
        <v>1</v>
      </c>
      <c r="AK476" s="1">
        <v>62</v>
      </c>
      <c r="AL476" s="1" t="s">
        <v>285</v>
      </c>
      <c r="AM476" s="1" t="s">
        <v>286</v>
      </c>
      <c r="AN476" s="1" t="s">
        <v>287</v>
      </c>
      <c r="AO476" s="1" t="s">
        <v>5605</v>
      </c>
      <c r="AP476" s="1" t="s">
        <v>5606</v>
      </c>
      <c r="AQ476" s="1" t="s">
        <v>74</v>
      </c>
      <c r="AR476" s="1" t="s">
        <v>5607</v>
      </c>
      <c r="AS476" s="1" t="s">
        <v>5608</v>
      </c>
      <c r="AT476" s="1" t="s">
        <v>8329</v>
      </c>
      <c r="AU476" s="1">
        <v>2012</v>
      </c>
      <c r="AV476" s="1">
        <v>113</v>
      </c>
      <c r="AW476" s="1" t="s">
        <v>74</v>
      </c>
      <c r="AX476" s="1" t="s">
        <v>74</v>
      </c>
      <c r="AY476" s="1" t="s">
        <v>74</v>
      </c>
      <c r="AZ476" s="1" t="s">
        <v>225</v>
      </c>
      <c r="BA476" s="1" t="s">
        <v>74</v>
      </c>
      <c r="BB476" s="1">
        <v>105</v>
      </c>
      <c r="BC476" s="1">
        <v>115</v>
      </c>
      <c r="BD476" s="1" t="s">
        <v>74</v>
      </c>
      <c r="BE476" s="1" t="s">
        <v>8330</v>
      </c>
      <c r="BF476" s="1" t="str">
        <f>HYPERLINK("http://dx.doi.org/10.1016/j.ecss.2012.02.008","http://dx.doi.org/10.1016/j.ecss.2012.02.008")</f>
        <v>http://dx.doi.org/10.1016/j.ecss.2012.02.008</v>
      </c>
      <c r="BG476" s="1" t="s">
        <v>74</v>
      </c>
      <c r="BH476" s="1" t="s">
        <v>74</v>
      </c>
      <c r="BI476" s="1">
        <v>11</v>
      </c>
      <c r="BJ476" s="1" t="s">
        <v>4241</v>
      </c>
      <c r="BK476" s="1" t="s">
        <v>96</v>
      </c>
      <c r="BL476" s="1" t="s">
        <v>4241</v>
      </c>
      <c r="BM476" s="1" t="s">
        <v>8331</v>
      </c>
      <c r="BN476" s="1" t="s">
        <v>74</v>
      </c>
      <c r="BO476" s="1" t="s">
        <v>74</v>
      </c>
      <c r="BP476" s="1" t="s">
        <v>74</v>
      </c>
      <c r="BQ476" s="1" t="s">
        <v>74</v>
      </c>
      <c r="BR476" s="1" t="s">
        <v>98</v>
      </c>
      <c r="BS476" s="1" t="s">
        <v>8332</v>
      </c>
      <c r="BT476" s="1" t="str">
        <f>HYPERLINK("https%3A%2F%2Fwww.webofscience.com%2Fwos%2Fwoscc%2Ffull-record%2FWOS:000311066800010","View Full Record in Web of Science")</f>
        <v>View Full Record in Web of Science</v>
      </c>
    </row>
    <row r="477" spans="1:72">
      <c r="A477" s="1" t="s">
        <v>72</v>
      </c>
      <c r="B477" s="1" t="s">
        <v>8333</v>
      </c>
      <c r="C477" s="1" t="s">
        <v>74</v>
      </c>
      <c r="D477" s="1" t="s">
        <v>74</v>
      </c>
      <c r="E477" s="1" t="s">
        <v>74</v>
      </c>
      <c r="F477" s="1" t="s">
        <v>8334</v>
      </c>
      <c r="G477" s="1" t="s">
        <v>74</v>
      </c>
      <c r="H477" s="1" t="s">
        <v>74</v>
      </c>
      <c r="I477" s="1" t="s">
        <v>8335</v>
      </c>
      <c r="J477" s="1" t="s">
        <v>7097</v>
      </c>
      <c r="K477" s="1" t="s">
        <v>74</v>
      </c>
      <c r="L477" s="1" t="s">
        <v>74</v>
      </c>
      <c r="M477" s="1" t="s">
        <v>78</v>
      </c>
      <c r="N477" s="1" t="s">
        <v>79</v>
      </c>
      <c r="O477" s="1" t="s">
        <v>74</v>
      </c>
      <c r="P477" s="1" t="s">
        <v>74</v>
      </c>
      <c r="Q477" s="1" t="s">
        <v>74</v>
      </c>
      <c r="R477" s="1" t="s">
        <v>74</v>
      </c>
      <c r="S477" s="1" t="s">
        <v>74</v>
      </c>
      <c r="T477" s="1" t="s">
        <v>8336</v>
      </c>
      <c r="U477" s="1" t="s">
        <v>8337</v>
      </c>
      <c r="V477" s="1" t="s">
        <v>8338</v>
      </c>
      <c r="W477" s="1" t="s">
        <v>8339</v>
      </c>
      <c r="X477" s="1" t="s">
        <v>8340</v>
      </c>
      <c r="Y477" s="1" t="s">
        <v>8341</v>
      </c>
      <c r="Z477" s="1" t="s">
        <v>8342</v>
      </c>
      <c r="AA477" s="1" t="s">
        <v>8343</v>
      </c>
      <c r="AB477" s="1" t="s">
        <v>8344</v>
      </c>
      <c r="AC477" s="1" t="s">
        <v>8345</v>
      </c>
      <c r="AD477" s="1" t="s">
        <v>8346</v>
      </c>
      <c r="AE477" s="1" t="s">
        <v>8347</v>
      </c>
      <c r="AF477" s="1" t="s">
        <v>74</v>
      </c>
      <c r="AG477" s="1">
        <v>69</v>
      </c>
      <c r="AH477" s="1">
        <v>17</v>
      </c>
      <c r="AI477" s="1">
        <v>17</v>
      </c>
      <c r="AJ477" s="1">
        <v>1</v>
      </c>
      <c r="AK477" s="1">
        <v>17</v>
      </c>
      <c r="AL477" s="1" t="s">
        <v>650</v>
      </c>
      <c r="AM477" s="1" t="s">
        <v>651</v>
      </c>
      <c r="AN477" s="1" t="s">
        <v>652</v>
      </c>
      <c r="AO477" s="1" t="s">
        <v>7110</v>
      </c>
      <c r="AP477" s="1" t="s">
        <v>7111</v>
      </c>
      <c r="AQ477" s="1" t="s">
        <v>74</v>
      </c>
      <c r="AR477" s="1" t="s">
        <v>7112</v>
      </c>
      <c r="AS477" s="1" t="s">
        <v>7113</v>
      </c>
      <c r="AT477" s="1" t="s">
        <v>170</v>
      </c>
      <c r="AU477" s="1">
        <v>2020</v>
      </c>
      <c r="AV477" s="1">
        <v>112</v>
      </c>
      <c r="AW477" s="1" t="s">
        <v>74</v>
      </c>
      <c r="AX477" s="1" t="s">
        <v>74</v>
      </c>
      <c r="AY477" s="1" t="s">
        <v>74</v>
      </c>
      <c r="AZ477" s="1" t="s">
        <v>74</v>
      </c>
      <c r="BA477" s="1" t="s">
        <v>74</v>
      </c>
      <c r="BB477" s="1" t="s">
        <v>74</v>
      </c>
      <c r="BC477" s="1" t="s">
        <v>74</v>
      </c>
      <c r="BD477" s="1">
        <v>106136</v>
      </c>
      <c r="BE477" s="1" t="s">
        <v>8348</v>
      </c>
      <c r="BF477" s="1" t="str">
        <f>HYPERLINK("http://dx.doi.org/10.1016/j.ecolind.2020.106136","http://dx.doi.org/10.1016/j.ecolind.2020.106136")</f>
        <v>http://dx.doi.org/10.1016/j.ecolind.2020.106136</v>
      </c>
      <c r="BG477" s="1" t="s">
        <v>74</v>
      </c>
      <c r="BH477" s="1" t="s">
        <v>74</v>
      </c>
      <c r="BI477" s="1">
        <v>8</v>
      </c>
      <c r="BJ477" s="1" t="s">
        <v>4923</v>
      </c>
      <c r="BK477" s="1" t="s">
        <v>96</v>
      </c>
      <c r="BL477" s="1" t="s">
        <v>4924</v>
      </c>
      <c r="BM477" s="1" t="s">
        <v>8349</v>
      </c>
      <c r="BN477" s="1" t="s">
        <v>74</v>
      </c>
      <c r="BO477" s="1" t="s">
        <v>476</v>
      </c>
      <c r="BP477" s="1" t="s">
        <v>74</v>
      </c>
      <c r="BQ477" s="1" t="s">
        <v>74</v>
      </c>
      <c r="BR477" s="1" t="s">
        <v>98</v>
      </c>
      <c r="BS477" s="1" t="s">
        <v>8350</v>
      </c>
      <c r="BT477" s="1" t="str">
        <f>HYPERLINK("https%3A%2F%2Fwww.webofscience.com%2Fwos%2Fwoscc%2Ffull-record%2FWOS:000518385800066","View Full Record in Web of Science")</f>
        <v>View Full Record in Web of Science</v>
      </c>
    </row>
    <row r="478" spans="1:72">
      <c r="A478" s="1" t="s">
        <v>72</v>
      </c>
      <c r="B478" s="1" t="s">
        <v>8351</v>
      </c>
      <c r="C478" s="1" t="s">
        <v>74</v>
      </c>
      <c r="D478" s="1" t="s">
        <v>74</v>
      </c>
      <c r="E478" s="1" t="s">
        <v>74</v>
      </c>
      <c r="F478" s="1" t="s">
        <v>8351</v>
      </c>
      <c r="G478" s="1" t="s">
        <v>74</v>
      </c>
      <c r="H478" s="1" t="s">
        <v>74</v>
      </c>
      <c r="I478" s="1" t="s">
        <v>8352</v>
      </c>
      <c r="J478" s="1" t="s">
        <v>641</v>
      </c>
      <c r="K478" s="1" t="s">
        <v>74</v>
      </c>
      <c r="L478" s="1" t="s">
        <v>74</v>
      </c>
      <c r="M478" s="1" t="s">
        <v>78</v>
      </c>
      <c r="N478" s="1" t="s">
        <v>79</v>
      </c>
      <c r="O478" s="1" t="s">
        <v>74</v>
      </c>
      <c r="P478" s="1" t="s">
        <v>74</v>
      </c>
      <c r="Q478" s="1" t="s">
        <v>74</v>
      </c>
      <c r="R478" s="1" t="s">
        <v>74</v>
      </c>
      <c r="S478" s="1" t="s">
        <v>74</v>
      </c>
      <c r="T478" s="1" t="s">
        <v>8353</v>
      </c>
      <c r="U478" s="1" t="s">
        <v>8354</v>
      </c>
      <c r="V478" s="1" t="s">
        <v>8355</v>
      </c>
      <c r="W478" s="1" t="s">
        <v>8356</v>
      </c>
      <c r="X478" s="1" t="s">
        <v>8357</v>
      </c>
      <c r="Y478" s="1" t="s">
        <v>8358</v>
      </c>
      <c r="Z478" s="1" t="s">
        <v>74</v>
      </c>
      <c r="AA478" s="1" t="s">
        <v>74</v>
      </c>
      <c r="AB478" s="1" t="s">
        <v>74</v>
      </c>
      <c r="AC478" s="1" t="s">
        <v>74</v>
      </c>
      <c r="AD478" s="1" t="s">
        <v>74</v>
      </c>
      <c r="AE478" s="1" t="s">
        <v>74</v>
      </c>
      <c r="AF478" s="1" t="s">
        <v>74</v>
      </c>
      <c r="AG478" s="1">
        <v>60</v>
      </c>
      <c r="AH478" s="1">
        <v>199</v>
      </c>
      <c r="AI478" s="1">
        <v>221</v>
      </c>
      <c r="AJ478" s="1">
        <v>0</v>
      </c>
      <c r="AK478" s="1">
        <v>40</v>
      </c>
      <c r="AL478" s="1" t="s">
        <v>919</v>
      </c>
      <c r="AM478" s="1" t="s">
        <v>651</v>
      </c>
      <c r="AN478" s="1" t="s">
        <v>920</v>
      </c>
      <c r="AO478" s="1" t="s">
        <v>653</v>
      </c>
      <c r="AP478" s="1" t="s">
        <v>74</v>
      </c>
      <c r="AQ478" s="1" t="s">
        <v>74</v>
      </c>
      <c r="AR478" s="1" t="s">
        <v>655</v>
      </c>
      <c r="AS478" s="1" t="s">
        <v>656</v>
      </c>
      <c r="AT478" s="1" t="s">
        <v>142</v>
      </c>
      <c r="AU478" s="1">
        <v>1999</v>
      </c>
      <c r="AV478" s="1">
        <v>46</v>
      </c>
      <c r="AW478" s="1">
        <v>1</v>
      </c>
      <c r="AX478" s="1" t="s">
        <v>74</v>
      </c>
      <c r="AY478" s="1" t="s">
        <v>74</v>
      </c>
      <c r="AZ478" s="1" t="s">
        <v>74</v>
      </c>
      <c r="BA478" s="1" t="s">
        <v>74</v>
      </c>
      <c r="BB478" s="1">
        <v>43</v>
      </c>
      <c r="BC478" s="1">
        <v>54</v>
      </c>
      <c r="BD478" s="1" t="s">
        <v>74</v>
      </c>
      <c r="BE478" s="1" t="s">
        <v>8359</v>
      </c>
      <c r="BF478" s="1" t="str">
        <f>HYPERLINK("http://dx.doi.org/10.1016/S0166-445X(98)00114-3","http://dx.doi.org/10.1016/S0166-445X(98)00114-3")</f>
        <v>http://dx.doi.org/10.1016/S0166-445X(98)00114-3</v>
      </c>
      <c r="BG478" s="1" t="s">
        <v>74</v>
      </c>
      <c r="BH478" s="1" t="s">
        <v>74</v>
      </c>
      <c r="BI478" s="1">
        <v>12</v>
      </c>
      <c r="BJ478" s="1" t="s">
        <v>659</v>
      </c>
      <c r="BK478" s="1" t="s">
        <v>96</v>
      </c>
      <c r="BL478" s="1" t="s">
        <v>659</v>
      </c>
      <c r="BM478" s="1" t="s">
        <v>8360</v>
      </c>
      <c r="BN478" s="1" t="s">
        <v>74</v>
      </c>
      <c r="BO478" s="1" t="s">
        <v>74</v>
      </c>
      <c r="BP478" s="1" t="s">
        <v>74</v>
      </c>
      <c r="BQ478" s="1" t="s">
        <v>74</v>
      </c>
      <c r="BR478" s="1" t="s">
        <v>98</v>
      </c>
      <c r="BS478" s="1" t="s">
        <v>8361</v>
      </c>
      <c r="BT478" s="1" t="str">
        <f>HYPERLINK("https%3A%2F%2Fwww.webofscience.com%2Fwos%2Fwoscc%2Ffull-record%2FWOS:000080201500005","View Full Record in Web of Science")</f>
        <v>View Full Record in Web of Science</v>
      </c>
    </row>
    <row r="479" spans="1:72">
      <c r="A479" s="1" t="s">
        <v>72</v>
      </c>
      <c r="B479" s="1" t="s">
        <v>8362</v>
      </c>
      <c r="C479" s="1" t="s">
        <v>74</v>
      </c>
      <c r="D479" s="1" t="s">
        <v>74</v>
      </c>
      <c r="E479" s="1" t="s">
        <v>74</v>
      </c>
      <c r="F479" s="1" t="s">
        <v>8363</v>
      </c>
      <c r="G479" s="1" t="s">
        <v>74</v>
      </c>
      <c r="H479" s="1" t="s">
        <v>74</v>
      </c>
      <c r="I479" s="1" t="s">
        <v>8364</v>
      </c>
      <c r="J479" s="1" t="s">
        <v>127</v>
      </c>
      <c r="K479" s="1" t="s">
        <v>74</v>
      </c>
      <c r="L479" s="1" t="s">
        <v>74</v>
      </c>
      <c r="M479" s="1" t="s">
        <v>78</v>
      </c>
      <c r="N479" s="1" t="s">
        <v>79</v>
      </c>
      <c r="O479" s="1" t="s">
        <v>74</v>
      </c>
      <c r="P479" s="1" t="s">
        <v>74</v>
      </c>
      <c r="Q479" s="1" t="s">
        <v>74</v>
      </c>
      <c r="R479" s="1" t="s">
        <v>74</v>
      </c>
      <c r="S479" s="1" t="s">
        <v>74</v>
      </c>
      <c r="T479" s="1" t="s">
        <v>8365</v>
      </c>
      <c r="U479" s="1" t="s">
        <v>8366</v>
      </c>
      <c r="V479" s="1" t="s">
        <v>8367</v>
      </c>
      <c r="W479" s="1" t="s">
        <v>8368</v>
      </c>
      <c r="X479" s="1" t="s">
        <v>8369</v>
      </c>
      <c r="Y479" s="1" t="s">
        <v>8370</v>
      </c>
      <c r="Z479" s="1" t="s">
        <v>8371</v>
      </c>
      <c r="AA479" s="1" t="s">
        <v>8372</v>
      </c>
      <c r="AB479" s="1" t="s">
        <v>8373</v>
      </c>
      <c r="AC479" s="1" t="s">
        <v>8374</v>
      </c>
      <c r="AD479" s="1" t="s">
        <v>8375</v>
      </c>
      <c r="AE479" s="1" t="s">
        <v>8376</v>
      </c>
      <c r="AF479" s="1" t="s">
        <v>74</v>
      </c>
      <c r="AG479" s="1">
        <v>47</v>
      </c>
      <c r="AH479" s="1">
        <v>44</v>
      </c>
      <c r="AI479" s="1">
        <v>44</v>
      </c>
      <c r="AJ479" s="1">
        <v>1</v>
      </c>
      <c r="AK479" s="1">
        <v>89</v>
      </c>
      <c r="AL479" s="1" t="s">
        <v>136</v>
      </c>
      <c r="AM479" s="1" t="s">
        <v>137</v>
      </c>
      <c r="AN479" s="1" t="s">
        <v>138</v>
      </c>
      <c r="AO479" s="1" t="s">
        <v>139</v>
      </c>
      <c r="AP479" s="1" t="s">
        <v>140</v>
      </c>
      <c r="AQ479" s="1" t="s">
        <v>74</v>
      </c>
      <c r="AR479" s="1" t="s">
        <v>127</v>
      </c>
      <c r="AS479" s="1" t="s">
        <v>141</v>
      </c>
      <c r="AT479" s="1" t="s">
        <v>951</v>
      </c>
      <c r="AU479" s="1">
        <v>2013</v>
      </c>
      <c r="AV479" s="1">
        <v>93</v>
      </c>
      <c r="AW479" s="1">
        <v>8</v>
      </c>
      <c r="AX479" s="1" t="s">
        <v>74</v>
      </c>
      <c r="AY479" s="1" t="s">
        <v>74</v>
      </c>
      <c r="AZ479" s="1" t="s">
        <v>74</v>
      </c>
      <c r="BA479" s="1" t="s">
        <v>74</v>
      </c>
      <c r="BB479" s="1">
        <v>1511</v>
      </c>
      <c r="BC479" s="1">
        <v>1518</v>
      </c>
      <c r="BD479" s="1" t="s">
        <v>74</v>
      </c>
      <c r="BE479" s="1" t="s">
        <v>8377</v>
      </c>
      <c r="BF479" s="1" t="str">
        <f>HYPERLINK("http://dx.doi.org/10.1016/j.chemosphere.2013.07.058","http://dx.doi.org/10.1016/j.chemosphere.2013.07.058")</f>
        <v>http://dx.doi.org/10.1016/j.chemosphere.2013.07.058</v>
      </c>
      <c r="BG479" s="1" t="s">
        <v>74</v>
      </c>
      <c r="BH479" s="1" t="s">
        <v>74</v>
      </c>
      <c r="BI479" s="1">
        <v>8</v>
      </c>
      <c r="BJ479" s="1" t="s">
        <v>144</v>
      </c>
      <c r="BK479" s="1" t="s">
        <v>96</v>
      </c>
      <c r="BL479" s="1" t="s">
        <v>145</v>
      </c>
      <c r="BM479" s="1" t="s">
        <v>8378</v>
      </c>
      <c r="BN479" s="1">
        <v>23972908</v>
      </c>
      <c r="BO479" s="1" t="s">
        <v>74</v>
      </c>
      <c r="BP479" s="1" t="s">
        <v>74</v>
      </c>
      <c r="BQ479" s="1" t="s">
        <v>74</v>
      </c>
      <c r="BR479" s="1" t="s">
        <v>98</v>
      </c>
      <c r="BS479" s="1" t="s">
        <v>8379</v>
      </c>
      <c r="BT479" s="1" t="str">
        <f>HYPERLINK("https%3A%2F%2Fwww.webofscience.com%2Fwos%2Fwoscc%2Ffull-record%2FWOS:000327003100009","View Full Record in Web of Science")</f>
        <v>View Full Record in Web of Science</v>
      </c>
    </row>
    <row r="480" spans="1:72">
      <c r="A480" s="1" t="s">
        <v>72</v>
      </c>
      <c r="B480" s="1" t="s">
        <v>8380</v>
      </c>
      <c r="C480" s="1" t="s">
        <v>74</v>
      </c>
      <c r="D480" s="1" t="s">
        <v>74</v>
      </c>
      <c r="E480" s="1" t="s">
        <v>74</v>
      </c>
      <c r="F480" s="1" t="s">
        <v>8381</v>
      </c>
      <c r="G480" s="1" t="s">
        <v>74</v>
      </c>
      <c r="H480" s="1" t="s">
        <v>74</v>
      </c>
      <c r="I480" s="1" t="s">
        <v>8382</v>
      </c>
      <c r="J480" s="1" t="s">
        <v>554</v>
      </c>
      <c r="K480" s="1" t="s">
        <v>74</v>
      </c>
      <c r="L480" s="1" t="s">
        <v>74</v>
      </c>
      <c r="M480" s="1" t="s">
        <v>78</v>
      </c>
      <c r="N480" s="1" t="s">
        <v>79</v>
      </c>
      <c r="O480" s="1" t="s">
        <v>74</v>
      </c>
      <c r="P480" s="1" t="s">
        <v>74</v>
      </c>
      <c r="Q480" s="1" t="s">
        <v>74</v>
      </c>
      <c r="R480" s="1" t="s">
        <v>74</v>
      </c>
      <c r="S480" s="1" t="s">
        <v>74</v>
      </c>
      <c r="T480" s="1" t="s">
        <v>8383</v>
      </c>
      <c r="U480" s="1" t="s">
        <v>8384</v>
      </c>
      <c r="V480" s="1" t="s">
        <v>8385</v>
      </c>
      <c r="W480" s="1" t="s">
        <v>8386</v>
      </c>
      <c r="X480" s="1" t="s">
        <v>8387</v>
      </c>
      <c r="Y480" s="1" t="s">
        <v>8388</v>
      </c>
      <c r="Z480" s="1" t="s">
        <v>8389</v>
      </c>
      <c r="AA480" s="1" t="s">
        <v>8390</v>
      </c>
      <c r="AB480" s="1" t="s">
        <v>8391</v>
      </c>
      <c r="AC480" s="1" t="s">
        <v>74</v>
      </c>
      <c r="AD480" s="1" t="s">
        <v>74</v>
      </c>
      <c r="AE480" s="1" t="s">
        <v>74</v>
      </c>
      <c r="AF480" s="1" t="s">
        <v>74</v>
      </c>
      <c r="AG480" s="1">
        <v>92</v>
      </c>
      <c r="AH480" s="1">
        <v>83</v>
      </c>
      <c r="AI480" s="1">
        <v>87</v>
      </c>
      <c r="AJ480" s="1">
        <v>5</v>
      </c>
      <c r="AK480" s="1">
        <v>36</v>
      </c>
      <c r="AL480" s="1" t="s">
        <v>564</v>
      </c>
      <c r="AM480" s="1" t="s">
        <v>113</v>
      </c>
      <c r="AN480" s="1" t="s">
        <v>565</v>
      </c>
      <c r="AO480" s="1" t="s">
        <v>566</v>
      </c>
      <c r="AP480" s="1" t="s">
        <v>567</v>
      </c>
      <c r="AQ480" s="1" t="s">
        <v>74</v>
      </c>
      <c r="AR480" s="1" t="s">
        <v>568</v>
      </c>
      <c r="AS480" s="1" t="s">
        <v>569</v>
      </c>
      <c r="AT480" s="1" t="s">
        <v>170</v>
      </c>
      <c r="AU480" s="1">
        <v>2009</v>
      </c>
      <c r="AV480" s="1">
        <v>149</v>
      </c>
      <c r="AW480" s="1">
        <v>4</v>
      </c>
      <c r="AX480" s="1" t="s">
        <v>74</v>
      </c>
      <c r="AY480" s="1" t="s">
        <v>74</v>
      </c>
      <c r="AZ480" s="1" t="s">
        <v>74</v>
      </c>
      <c r="BA480" s="1" t="s">
        <v>74</v>
      </c>
      <c r="BB480" s="1">
        <v>631</v>
      </c>
      <c r="BC480" s="1">
        <v>639</v>
      </c>
      <c r="BD480" s="1" t="s">
        <v>74</v>
      </c>
      <c r="BE480" s="1" t="s">
        <v>8392</v>
      </c>
      <c r="BF480" s="1" t="str">
        <f>HYPERLINK("http://dx.doi.org/10.1016/j.cbpc.2009.01.006","http://dx.doi.org/10.1016/j.cbpc.2009.01.006")</f>
        <v>http://dx.doi.org/10.1016/j.cbpc.2009.01.006</v>
      </c>
      <c r="BG480" s="1" t="s">
        <v>74</v>
      </c>
      <c r="BH480" s="1" t="s">
        <v>74</v>
      </c>
      <c r="BI480" s="1">
        <v>9</v>
      </c>
      <c r="BJ480" s="1" t="s">
        <v>571</v>
      </c>
      <c r="BK480" s="1" t="s">
        <v>96</v>
      </c>
      <c r="BL480" s="1" t="s">
        <v>571</v>
      </c>
      <c r="BM480" s="1" t="s">
        <v>8393</v>
      </c>
      <c r="BN480" s="1">
        <v>19358338</v>
      </c>
      <c r="BO480" s="1" t="s">
        <v>74</v>
      </c>
      <c r="BP480" s="1" t="s">
        <v>74</v>
      </c>
      <c r="BQ480" s="1" t="s">
        <v>74</v>
      </c>
      <c r="BR480" s="1" t="s">
        <v>98</v>
      </c>
      <c r="BS480" s="1" t="s">
        <v>8394</v>
      </c>
      <c r="BT480" s="1" t="str">
        <f>HYPERLINK("https%3A%2F%2Fwww.webofscience.com%2Fwos%2Fwoscc%2Ffull-record%2FWOS:000265776500025","View Full Record in Web of Science")</f>
        <v>View Full Record in Web of Science</v>
      </c>
    </row>
    <row r="481" spans="1:72">
      <c r="A481" s="1" t="s">
        <v>72</v>
      </c>
      <c r="B481" s="1" t="s">
        <v>8395</v>
      </c>
      <c r="C481" s="1" t="s">
        <v>74</v>
      </c>
      <c r="D481" s="1" t="s">
        <v>74</v>
      </c>
      <c r="E481" s="1" t="s">
        <v>74</v>
      </c>
      <c r="F481" s="1" t="s">
        <v>8396</v>
      </c>
      <c r="G481" s="1" t="s">
        <v>74</v>
      </c>
      <c r="H481" s="1" t="s">
        <v>74</v>
      </c>
      <c r="I481" s="1" t="s">
        <v>8397</v>
      </c>
      <c r="J481" s="1" t="s">
        <v>8398</v>
      </c>
      <c r="K481" s="1" t="s">
        <v>74</v>
      </c>
      <c r="L481" s="1" t="s">
        <v>74</v>
      </c>
      <c r="M481" s="1" t="s">
        <v>78</v>
      </c>
      <c r="N481" s="1" t="s">
        <v>79</v>
      </c>
      <c r="O481" s="1" t="s">
        <v>74</v>
      </c>
      <c r="P481" s="1" t="s">
        <v>74</v>
      </c>
      <c r="Q481" s="1" t="s">
        <v>74</v>
      </c>
      <c r="R481" s="1" t="s">
        <v>74</v>
      </c>
      <c r="S481" s="1" t="s">
        <v>74</v>
      </c>
      <c r="T481" s="1" t="s">
        <v>8399</v>
      </c>
      <c r="U481" s="1" t="s">
        <v>8400</v>
      </c>
      <c r="V481" s="1" t="s">
        <v>8401</v>
      </c>
      <c r="W481" s="1" t="s">
        <v>8402</v>
      </c>
      <c r="X481" s="1" t="s">
        <v>8403</v>
      </c>
      <c r="Y481" s="1" t="s">
        <v>8404</v>
      </c>
      <c r="Z481" s="1" t="s">
        <v>8405</v>
      </c>
      <c r="AA481" s="1" t="s">
        <v>8406</v>
      </c>
      <c r="AB481" s="1" t="s">
        <v>8407</v>
      </c>
      <c r="AC481" s="1" t="s">
        <v>8408</v>
      </c>
      <c r="AD481" s="1" t="s">
        <v>8409</v>
      </c>
      <c r="AE481" s="1" t="s">
        <v>8410</v>
      </c>
      <c r="AF481" s="1" t="s">
        <v>74</v>
      </c>
      <c r="AG481" s="1">
        <v>52</v>
      </c>
      <c r="AH481" s="1">
        <v>1</v>
      </c>
      <c r="AI481" s="1">
        <v>1</v>
      </c>
      <c r="AJ481" s="1">
        <v>2</v>
      </c>
      <c r="AK481" s="1">
        <v>7</v>
      </c>
      <c r="AL481" s="1" t="s">
        <v>1566</v>
      </c>
      <c r="AM481" s="1" t="s">
        <v>1567</v>
      </c>
      <c r="AN481" s="1" t="s">
        <v>1568</v>
      </c>
      <c r="AO481" s="1" t="s">
        <v>74</v>
      </c>
      <c r="AP481" s="1" t="s">
        <v>8411</v>
      </c>
      <c r="AQ481" s="1" t="s">
        <v>74</v>
      </c>
      <c r="AR481" s="1" t="s">
        <v>8412</v>
      </c>
      <c r="AS481" s="1" t="s">
        <v>8413</v>
      </c>
      <c r="AT481" s="1" t="s">
        <v>267</v>
      </c>
      <c r="AU481" s="1">
        <v>2022</v>
      </c>
      <c r="AV481" s="1">
        <v>7</v>
      </c>
      <c r="AW481" s="1">
        <v>5</v>
      </c>
      <c r="AX481" s="1" t="s">
        <v>74</v>
      </c>
      <c r="AY481" s="1" t="s">
        <v>74</v>
      </c>
      <c r="AZ481" s="1" t="s">
        <v>74</v>
      </c>
      <c r="BA481" s="1" t="s">
        <v>74</v>
      </c>
      <c r="BB481" s="1" t="s">
        <v>74</v>
      </c>
      <c r="BC481" s="1" t="s">
        <v>74</v>
      </c>
      <c r="BD481" s="1">
        <v>290</v>
      </c>
      <c r="BE481" s="1" t="s">
        <v>8414</v>
      </c>
      <c r="BF481" s="1" t="str">
        <f>HYPERLINK("http://dx.doi.org/10.3390/fishes7050290","http://dx.doi.org/10.3390/fishes7050290")</f>
        <v>http://dx.doi.org/10.3390/fishes7050290</v>
      </c>
      <c r="BG481" s="1" t="s">
        <v>74</v>
      </c>
      <c r="BH481" s="1" t="s">
        <v>74</v>
      </c>
      <c r="BI481" s="1">
        <v>17</v>
      </c>
      <c r="BJ481" s="1" t="s">
        <v>2391</v>
      </c>
      <c r="BK481" s="1" t="s">
        <v>96</v>
      </c>
      <c r="BL481" s="1" t="s">
        <v>2391</v>
      </c>
      <c r="BM481" s="1" t="s">
        <v>8415</v>
      </c>
      <c r="BN481" s="1" t="s">
        <v>74</v>
      </c>
      <c r="BO481" s="1" t="s">
        <v>873</v>
      </c>
      <c r="BP481" s="1" t="s">
        <v>74</v>
      </c>
      <c r="BQ481" s="1" t="s">
        <v>74</v>
      </c>
      <c r="BR481" s="1" t="s">
        <v>98</v>
      </c>
      <c r="BS481" s="1" t="s">
        <v>8416</v>
      </c>
      <c r="BT481" s="1" t="str">
        <f>HYPERLINK("https%3A%2F%2Fwww.webofscience.com%2Fwos%2Fwoscc%2Ffull-record%2FWOS:000872738200001","View Full Record in Web of Science")</f>
        <v>View Full Record in Web of Science</v>
      </c>
    </row>
    <row r="482" spans="1:72">
      <c r="A482" s="1" t="s">
        <v>72</v>
      </c>
      <c r="B482" s="1" t="s">
        <v>8417</v>
      </c>
      <c r="C482" s="1" t="s">
        <v>74</v>
      </c>
      <c r="D482" s="1" t="s">
        <v>74</v>
      </c>
      <c r="E482" s="1" t="s">
        <v>74</v>
      </c>
      <c r="F482" s="1" t="s">
        <v>8417</v>
      </c>
      <c r="G482" s="1" t="s">
        <v>74</v>
      </c>
      <c r="H482" s="1" t="s">
        <v>74</v>
      </c>
      <c r="I482" s="1" t="s">
        <v>8418</v>
      </c>
      <c r="J482" s="1" t="s">
        <v>232</v>
      </c>
      <c r="K482" s="1" t="s">
        <v>74</v>
      </c>
      <c r="L482" s="1" t="s">
        <v>74</v>
      </c>
      <c r="M482" s="1" t="s">
        <v>78</v>
      </c>
      <c r="N482" s="1" t="s">
        <v>79</v>
      </c>
      <c r="O482" s="1" t="s">
        <v>74</v>
      </c>
      <c r="P482" s="1" t="s">
        <v>74</v>
      </c>
      <c r="Q482" s="1" t="s">
        <v>74</v>
      </c>
      <c r="R482" s="1" t="s">
        <v>74</v>
      </c>
      <c r="S482" s="1" t="s">
        <v>74</v>
      </c>
      <c r="T482" s="1" t="s">
        <v>74</v>
      </c>
      <c r="U482" s="1" t="s">
        <v>8419</v>
      </c>
      <c r="V482" s="1" t="s">
        <v>8420</v>
      </c>
      <c r="W482" s="1" t="s">
        <v>8421</v>
      </c>
      <c r="X482" s="1" t="s">
        <v>8422</v>
      </c>
      <c r="Y482" s="1" t="s">
        <v>74</v>
      </c>
      <c r="Z482" s="1" t="s">
        <v>74</v>
      </c>
      <c r="AA482" s="1" t="s">
        <v>8423</v>
      </c>
      <c r="AB482" s="1" t="s">
        <v>8424</v>
      </c>
      <c r="AC482" s="1" t="s">
        <v>74</v>
      </c>
      <c r="AD482" s="1" t="s">
        <v>74</v>
      </c>
      <c r="AE482" s="1" t="s">
        <v>74</v>
      </c>
      <c r="AF482" s="1" t="s">
        <v>74</v>
      </c>
      <c r="AG482" s="1">
        <v>63</v>
      </c>
      <c r="AH482" s="1">
        <v>32</v>
      </c>
      <c r="AI482" s="1">
        <v>37</v>
      </c>
      <c r="AJ482" s="1">
        <v>0</v>
      </c>
      <c r="AK482" s="1">
        <v>12</v>
      </c>
      <c r="AL482" s="1" t="s">
        <v>136</v>
      </c>
      <c r="AM482" s="1" t="s">
        <v>137</v>
      </c>
      <c r="AN482" s="1" t="s">
        <v>138</v>
      </c>
      <c r="AO482" s="1" t="s">
        <v>240</v>
      </c>
      <c r="AP482" s="1" t="s">
        <v>241</v>
      </c>
      <c r="AQ482" s="1" t="s">
        <v>74</v>
      </c>
      <c r="AR482" s="1" t="s">
        <v>242</v>
      </c>
      <c r="AS482" s="1" t="s">
        <v>243</v>
      </c>
      <c r="AT482" s="1" t="s">
        <v>267</v>
      </c>
      <c r="AU482" s="1">
        <v>1995</v>
      </c>
      <c r="AV482" s="1">
        <v>30</v>
      </c>
      <c r="AW482" s="1">
        <v>10</v>
      </c>
      <c r="AX482" s="1" t="s">
        <v>74</v>
      </c>
      <c r="AY482" s="1" t="s">
        <v>74</v>
      </c>
      <c r="AZ482" s="1" t="s">
        <v>74</v>
      </c>
      <c r="BA482" s="1" t="s">
        <v>74</v>
      </c>
      <c r="BB482" s="1">
        <v>646</v>
      </c>
      <c r="BC482" s="1">
        <v>654</v>
      </c>
      <c r="BD482" s="1" t="s">
        <v>74</v>
      </c>
      <c r="BE482" s="1" t="s">
        <v>8425</v>
      </c>
      <c r="BF482" s="1" t="str">
        <f>HYPERLINK("http://dx.doi.org/10.1016/0025-326X(95)00039-P","http://dx.doi.org/10.1016/0025-326X(95)00039-P")</f>
        <v>http://dx.doi.org/10.1016/0025-326X(95)00039-P</v>
      </c>
      <c r="BG482" s="1" t="s">
        <v>74</v>
      </c>
      <c r="BH482" s="1" t="s">
        <v>74</v>
      </c>
      <c r="BI482" s="1">
        <v>9</v>
      </c>
      <c r="BJ482" s="1" t="s">
        <v>247</v>
      </c>
      <c r="BK482" s="1" t="s">
        <v>96</v>
      </c>
      <c r="BL482" s="1" t="s">
        <v>248</v>
      </c>
      <c r="BM482" s="1" t="s">
        <v>8426</v>
      </c>
      <c r="BN482" s="1" t="s">
        <v>74</v>
      </c>
      <c r="BO482" s="1" t="s">
        <v>74</v>
      </c>
      <c r="BP482" s="1" t="s">
        <v>74</v>
      </c>
      <c r="BQ482" s="1" t="s">
        <v>74</v>
      </c>
      <c r="BR482" s="1" t="s">
        <v>98</v>
      </c>
      <c r="BS482" s="1" t="s">
        <v>8427</v>
      </c>
      <c r="BT482" s="1" t="str">
        <f>HYPERLINK("https%3A%2F%2Fwww.webofscience.com%2Fwos%2Fwoscc%2Ffull-record%2FWOS:A1995TB45800010","View Full Record in Web of Science")</f>
        <v>View Full Record in Web of Science</v>
      </c>
    </row>
    <row r="483" spans="1:72">
      <c r="A483" s="1" t="s">
        <v>72</v>
      </c>
      <c r="B483" s="1" t="s">
        <v>8428</v>
      </c>
      <c r="C483" s="1" t="s">
        <v>74</v>
      </c>
      <c r="D483" s="1" t="s">
        <v>74</v>
      </c>
      <c r="E483" s="1" t="s">
        <v>74</v>
      </c>
      <c r="F483" s="1" t="s">
        <v>8429</v>
      </c>
      <c r="G483" s="1" t="s">
        <v>74</v>
      </c>
      <c r="H483" s="1" t="s">
        <v>74</v>
      </c>
      <c r="I483" s="1" t="s">
        <v>8430</v>
      </c>
      <c r="J483" s="1" t="s">
        <v>8431</v>
      </c>
      <c r="K483" s="1" t="s">
        <v>74</v>
      </c>
      <c r="L483" s="1" t="s">
        <v>74</v>
      </c>
      <c r="M483" s="1" t="s">
        <v>78</v>
      </c>
      <c r="N483" s="1" t="s">
        <v>79</v>
      </c>
      <c r="O483" s="1" t="s">
        <v>74</v>
      </c>
      <c r="P483" s="1" t="s">
        <v>74</v>
      </c>
      <c r="Q483" s="1" t="s">
        <v>74</v>
      </c>
      <c r="R483" s="1" t="s">
        <v>74</v>
      </c>
      <c r="S483" s="1" t="s">
        <v>74</v>
      </c>
      <c r="T483" s="1" t="s">
        <v>74</v>
      </c>
      <c r="U483" s="1" t="s">
        <v>8432</v>
      </c>
      <c r="V483" s="1" t="s">
        <v>8433</v>
      </c>
      <c r="W483" s="1" t="s">
        <v>8434</v>
      </c>
      <c r="X483" s="1" t="s">
        <v>8435</v>
      </c>
      <c r="Y483" s="1" t="s">
        <v>8436</v>
      </c>
      <c r="Z483" s="1" t="s">
        <v>8437</v>
      </c>
      <c r="AA483" s="1" t="s">
        <v>8438</v>
      </c>
      <c r="AB483" s="1" t="s">
        <v>8439</v>
      </c>
      <c r="AC483" s="1" t="s">
        <v>74</v>
      </c>
      <c r="AD483" s="1" t="s">
        <v>74</v>
      </c>
      <c r="AE483" s="1" t="s">
        <v>74</v>
      </c>
      <c r="AF483" s="1" t="s">
        <v>74</v>
      </c>
      <c r="AG483" s="1">
        <v>34</v>
      </c>
      <c r="AH483" s="1">
        <v>9</v>
      </c>
      <c r="AI483" s="1">
        <v>11</v>
      </c>
      <c r="AJ483" s="1">
        <v>0</v>
      </c>
      <c r="AK483" s="1">
        <v>11</v>
      </c>
      <c r="AL483" s="1" t="s">
        <v>8440</v>
      </c>
      <c r="AM483" s="1" t="s">
        <v>8441</v>
      </c>
      <c r="AN483" s="1" t="s">
        <v>8442</v>
      </c>
      <c r="AO483" s="1" t="s">
        <v>8443</v>
      </c>
      <c r="AP483" s="1" t="s">
        <v>8444</v>
      </c>
      <c r="AQ483" s="1" t="s">
        <v>74</v>
      </c>
      <c r="AR483" s="1" t="s">
        <v>8445</v>
      </c>
      <c r="AS483" s="1" t="s">
        <v>8446</v>
      </c>
      <c r="AT483" s="1" t="s">
        <v>305</v>
      </c>
      <c r="AU483" s="1">
        <v>2006</v>
      </c>
      <c r="AV483" s="1">
        <v>69</v>
      </c>
      <c r="AW483" s="1">
        <v>9</v>
      </c>
      <c r="AX483" s="1" t="s">
        <v>74</v>
      </c>
      <c r="AY483" s="1" t="s">
        <v>74</v>
      </c>
      <c r="AZ483" s="1" t="s">
        <v>74</v>
      </c>
      <c r="BA483" s="1" t="s">
        <v>74</v>
      </c>
      <c r="BB483" s="1">
        <v>2237</v>
      </c>
      <c r="BC483" s="1">
        <v>2240</v>
      </c>
      <c r="BD483" s="1" t="s">
        <v>74</v>
      </c>
      <c r="BE483" s="1" t="s">
        <v>8447</v>
      </c>
      <c r="BF483" s="1" t="str">
        <f>HYPERLINK("http://dx.doi.org/10.4315/0362-028X-69.9.2237","http://dx.doi.org/10.4315/0362-028X-69.9.2237")</f>
        <v>http://dx.doi.org/10.4315/0362-028X-69.9.2237</v>
      </c>
      <c r="BG483" s="1" t="s">
        <v>74</v>
      </c>
      <c r="BH483" s="1" t="s">
        <v>74</v>
      </c>
      <c r="BI483" s="1">
        <v>4</v>
      </c>
      <c r="BJ483" s="1" t="s">
        <v>8448</v>
      </c>
      <c r="BK483" s="1" t="s">
        <v>96</v>
      </c>
      <c r="BL483" s="1" t="s">
        <v>8448</v>
      </c>
      <c r="BM483" s="1" t="s">
        <v>8449</v>
      </c>
      <c r="BN483" s="1">
        <v>16995530</v>
      </c>
      <c r="BO483" s="1" t="s">
        <v>370</v>
      </c>
      <c r="BP483" s="1" t="s">
        <v>74</v>
      </c>
      <c r="BQ483" s="1" t="s">
        <v>74</v>
      </c>
      <c r="BR483" s="1" t="s">
        <v>98</v>
      </c>
      <c r="BS483" s="1" t="s">
        <v>8450</v>
      </c>
      <c r="BT483" s="1" t="str">
        <f>HYPERLINK("https%3A%2F%2Fwww.webofscience.com%2Fwos%2Fwoscc%2Ffull-record%2FWOS:000240583000026","View Full Record in Web of Science")</f>
        <v>View Full Record in Web of Science</v>
      </c>
    </row>
    <row r="484" spans="1:72">
      <c r="A484" s="1" t="s">
        <v>72</v>
      </c>
      <c r="B484" s="1" t="s">
        <v>8451</v>
      </c>
      <c r="C484" s="1" t="s">
        <v>74</v>
      </c>
      <c r="D484" s="1" t="s">
        <v>74</v>
      </c>
      <c r="E484" s="1" t="s">
        <v>74</v>
      </c>
      <c r="F484" s="1" t="s">
        <v>8451</v>
      </c>
      <c r="G484" s="1" t="s">
        <v>74</v>
      </c>
      <c r="H484" s="1" t="s">
        <v>74</v>
      </c>
      <c r="I484" s="1" t="s">
        <v>8452</v>
      </c>
      <c r="J484" s="1" t="s">
        <v>8453</v>
      </c>
      <c r="K484" s="1" t="s">
        <v>74</v>
      </c>
      <c r="L484" s="1" t="s">
        <v>74</v>
      </c>
      <c r="M484" s="1" t="s">
        <v>78</v>
      </c>
      <c r="N484" s="1" t="s">
        <v>79</v>
      </c>
      <c r="O484" s="1" t="s">
        <v>74</v>
      </c>
      <c r="P484" s="1" t="s">
        <v>74</v>
      </c>
      <c r="Q484" s="1" t="s">
        <v>74</v>
      </c>
      <c r="R484" s="1" t="s">
        <v>74</v>
      </c>
      <c r="S484" s="1" t="s">
        <v>74</v>
      </c>
      <c r="T484" s="1" t="s">
        <v>8454</v>
      </c>
      <c r="U484" s="1" t="s">
        <v>8455</v>
      </c>
      <c r="V484" s="1" t="s">
        <v>8456</v>
      </c>
      <c r="W484" s="1" t="s">
        <v>8457</v>
      </c>
      <c r="X484" s="1" t="s">
        <v>8458</v>
      </c>
      <c r="Y484" s="1" t="s">
        <v>8459</v>
      </c>
      <c r="Z484" s="1" t="s">
        <v>74</v>
      </c>
      <c r="AA484" s="1" t="s">
        <v>74</v>
      </c>
      <c r="AB484" s="1" t="s">
        <v>8460</v>
      </c>
      <c r="AC484" s="1" t="s">
        <v>74</v>
      </c>
      <c r="AD484" s="1" t="s">
        <v>74</v>
      </c>
      <c r="AE484" s="1" t="s">
        <v>74</v>
      </c>
      <c r="AF484" s="1" t="s">
        <v>74</v>
      </c>
      <c r="AG484" s="1">
        <v>48</v>
      </c>
      <c r="AH484" s="1">
        <v>33</v>
      </c>
      <c r="AI484" s="1">
        <v>36</v>
      </c>
      <c r="AJ484" s="1">
        <v>0</v>
      </c>
      <c r="AK484" s="1">
        <v>7</v>
      </c>
      <c r="AL484" s="1" t="s">
        <v>136</v>
      </c>
      <c r="AM484" s="1" t="s">
        <v>137</v>
      </c>
      <c r="AN484" s="1" t="s">
        <v>138</v>
      </c>
      <c r="AO484" s="1" t="s">
        <v>8461</v>
      </c>
      <c r="AP484" s="1" t="s">
        <v>74</v>
      </c>
      <c r="AQ484" s="1" t="s">
        <v>74</v>
      </c>
      <c r="AR484" s="1" t="s">
        <v>8462</v>
      </c>
      <c r="AS484" s="1" t="s">
        <v>8463</v>
      </c>
      <c r="AT484" s="1" t="s">
        <v>2493</v>
      </c>
      <c r="AU484" s="1">
        <v>2003</v>
      </c>
      <c r="AV484" s="1">
        <v>25</v>
      </c>
      <c r="AW484" s="1">
        <v>3</v>
      </c>
      <c r="AX484" s="1" t="s">
        <v>74</v>
      </c>
      <c r="AY484" s="1" t="s">
        <v>74</v>
      </c>
      <c r="AZ484" s="1" t="s">
        <v>74</v>
      </c>
      <c r="BA484" s="1" t="s">
        <v>74</v>
      </c>
      <c r="BB484" s="1">
        <v>349</v>
      </c>
      <c r="BC484" s="1">
        <v>359</v>
      </c>
      <c r="BD484" s="1" t="s">
        <v>74</v>
      </c>
      <c r="BE484" s="1" t="s">
        <v>8464</v>
      </c>
      <c r="BF484" s="1" t="str">
        <f>HYPERLINK("http://dx.doi.org/10.1016/S0892-0362(03)00008-4","http://dx.doi.org/10.1016/S0892-0362(03)00008-4")</f>
        <v>http://dx.doi.org/10.1016/S0892-0362(03)00008-4</v>
      </c>
      <c r="BG484" s="1" t="s">
        <v>74</v>
      </c>
      <c r="BH484" s="1" t="s">
        <v>74</v>
      </c>
      <c r="BI484" s="1">
        <v>11</v>
      </c>
      <c r="BJ484" s="1" t="s">
        <v>8465</v>
      </c>
      <c r="BK484" s="1" t="s">
        <v>96</v>
      </c>
      <c r="BL484" s="1" t="s">
        <v>8466</v>
      </c>
      <c r="BM484" s="1" t="s">
        <v>8467</v>
      </c>
      <c r="BN484" s="1">
        <v>12757831</v>
      </c>
      <c r="BO484" s="1" t="s">
        <v>1752</v>
      </c>
      <c r="BP484" s="1" t="s">
        <v>74</v>
      </c>
      <c r="BQ484" s="1" t="s">
        <v>74</v>
      </c>
      <c r="BR484" s="1" t="s">
        <v>98</v>
      </c>
      <c r="BS484" s="1" t="s">
        <v>8468</v>
      </c>
      <c r="BT484" s="1" t="str">
        <f>HYPERLINK("https%3A%2F%2Fwww.webofscience.com%2Fwos%2Fwoscc%2Ffull-record%2FWOS:000183235700006","View Full Record in Web of Science")</f>
        <v>View Full Record in Web of Science</v>
      </c>
    </row>
    <row r="485" spans="1:72">
      <c r="A485" s="1" t="s">
        <v>72</v>
      </c>
      <c r="B485" s="1" t="s">
        <v>8469</v>
      </c>
      <c r="C485" s="1" t="s">
        <v>74</v>
      </c>
      <c r="D485" s="1" t="s">
        <v>74</v>
      </c>
      <c r="E485" s="1" t="s">
        <v>74</v>
      </c>
      <c r="F485" s="1" t="s">
        <v>8470</v>
      </c>
      <c r="G485" s="1" t="s">
        <v>74</v>
      </c>
      <c r="H485" s="1" t="s">
        <v>74</v>
      </c>
      <c r="I485" s="1" t="s">
        <v>8471</v>
      </c>
      <c r="J485" s="1" t="s">
        <v>204</v>
      </c>
      <c r="K485" s="1" t="s">
        <v>74</v>
      </c>
      <c r="L485" s="1" t="s">
        <v>74</v>
      </c>
      <c r="M485" s="1" t="s">
        <v>78</v>
      </c>
      <c r="N485" s="1" t="s">
        <v>79</v>
      </c>
      <c r="O485" s="1" t="s">
        <v>74</v>
      </c>
      <c r="P485" s="1" t="s">
        <v>74</v>
      </c>
      <c r="Q485" s="1" t="s">
        <v>74</v>
      </c>
      <c r="R485" s="1" t="s">
        <v>74</v>
      </c>
      <c r="S485" s="1" t="s">
        <v>74</v>
      </c>
      <c r="T485" s="1" t="s">
        <v>8472</v>
      </c>
      <c r="U485" s="1" t="s">
        <v>8473</v>
      </c>
      <c r="V485" s="1" t="s">
        <v>8474</v>
      </c>
      <c r="W485" s="1" t="s">
        <v>8475</v>
      </c>
      <c r="X485" s="1" t="s">
        <v>8476</v>
      </c>
      <c r="Y485" s="1" t="s">
        <v>8477</v>
      </c>
      <c r="Z485" s="1" t="s">
        <v>8478</v>
      </c>
      <c r="AA485" s="1" t="s">
        <v>8479</v>
      </c>
      <c r="AB485" s="1" t="s">
        <v>8480</v>
      </c>
      <c r="AC485" s="1" t="s">
        <v>8481</v>
      </c>
      <c r="AD485" s="1" t="s">
        <v>8482</v>
      </c>
      <c r="AE485" s="1" t="s">
        <v>8483</v>
      </c>
      <c r="AF485" s="1" t="s">
        <v>74</v>
      </c>
      <c r="AG485" s="1">
        <v>96</v>
      </c>
      <c r="AH485" s="1">
        <v>12</v>
      </c>
      <c r="AI485" s="1">
        <v>12</v>
      </c>
      <c r="AJ485" s="1">
        <v>0</v>
      </c>
      <c r="AK485" s="1">
        <v>12</v>
      </c>
      <c r="AL485" s="1" t="s">
        <v>217</v>
      </c>
      <c r="AM485" s="1" t="s">
        <v>218</v>
      </c>
      <c r="AN485" s="1" t="s">
        <v>219</v>
      </c>
      <c r="AO485" s="1" t="s">
        <v>220</v>
      </c>
      <c r="AP485" s="1" t="s">
        <v>221</v>
      </c>
      <c r="AQ485" s="1" t="s">
        <v>74</v>
      </c>
      <c r="AR485" s="1" t="s">
        <v>222</v>
      </c>
      <c r="AS485" s="1" t="s">
        <v>223</v>
      </c>
      <c r="AT485" s="1" t="s">
        <v>170</v>
      </c>
      <c r="AU485" s="1">
        <v>2021</v>
      </c>
      <c r="AV485" s="1">
        <v>28</v>
      </c>
      <c r="AW485" s="1">
        <v>20</v>
      </c>
      <c r="AX485" s="1" t="s">
        <v>74</v>
      </c>
      <c r="AY485" s="1" t="s">
        <v>74</v>
      </c>
      <c r="AZ485" s="1" t="s">
        <v>74</v>
      </c>
      <c r="BA485" s="1" t="s">
        <v>74</v>
      </c>
      <c r="BB485" s="1">
        <v>25770</v>
      </c>
      <c r="BC485" s="1">
        <v>25781</v>
      </c>
      <c r="BD485" s="1" t="s">
        <v>74</v>
      </c>
      <c r="BE485" s="1" t="s">
        <v>8484</v>
      </c>
      <c r="BF485" s="1" t="str">
        <f>HYPERLINK("http://dx.doi.org/10.1007/s11356-021-12380-4","http://dx.doi.org/10.1007/s11356-021-12380-4")</f>
        <v>http://dx.doi.org/10.1007/s11356-021-12380-4</v>
      </c>
      <c r="BG485" s="1" t="s">
        <v>74</v>
      </c>
      <c r="BH485" s="1" t="s">
        <v>2597</v>
      </c>
      <c r="BI485" s="1">
        <v>12</v>
      </c>
      <c r="BJ485" s="1" t="s">
        <v>144</v>
      </c>
      <c r="BK485" s="1" t="s">
        <v>96</v>
      </c>
      <c r="BL485" s="1" t="s">
        <v>145</v>
      </c>
      <c r="BM485" s="1" t="s">
        <v>8485</v>
      </c>
      <c r="BN485" s="1">
        <v>33471307</v>
      </c>
      <c r="BO485" s="1" t="s">
        <v>74</v>
      </c>
      <c r="BP485" s="1" t="s">
        <v>74</v>
      </c>
      <c r="BQ485" s="1" t="s">
        <v>74</v>
      </c>
      <c r="BR485" s="1" t="s">
        <v>98</v>
      </c>
      <c r="BS485" s="1" t="s">
        <v>8486</v>
      </c>
      <c r="BT485" s="1" t="str">
        <f>HYPERLINK("https%3A%2F%2Fwww.webofscience.com%2Fwos%2Fwoscc%2Ffull-record%2FWOS:000609067300001","View Full Record in Web of Science")</f>
        <v>View Full Record in Web of Science</v>
      </c>
    </row>
    <row r="486" spans="1:72">
      <c r="A486" s="1" t="s">
        <v>72</v>
      </c>
      <c r="B486" s="1" t="s">
        <v>8487</v>
      </c>
      <c r="C486" s="1" t="s">
        <v>74</v>
      </c>
      <c r="D486" s="1" t="s">
        <v>74</v>
      </c>
      <c r="E486" s="1" t="s">
        <v>74</v>
      </c>
      <c r="F486" s="1" t="s">
        <v>8488</v>
      </c>
      <c r="G486" s="1" t="s">
        <v>74</v>
      </c>
      <c r="H486" s="1" t="s">
        <v>74</v>
      </c>
      <c r="I486" s="1" t="s">
        <v>8489</v>
      </c>
      <c r="J486" s="1" t="s">
        <v>704</v>
      </c>
      <c r="K486" s="1" t="s">
        <v>74</v>
      </c>
      <c r="L486" s="1" t="s">
        <v>74</v>
      </c>
      <c r="M486" s="1" t="s">
        <v>78</v>
      </c>
      <c r="N486" s="1" t="s">
        <v>79</v>
      </c>
      <c r="O486" s="1" t="s">
        <v>74</v>
      </c>
      <c r="P486" s="1" t="s">
        <v>74</v>
      </c>
      <c r="Q486" s="1" t="s">
        <v>74</v>
      </c>
      <c r="R486" s="1" t="s">
        <v>74</v>
      </c>
      <c r="S486" s="1" t="s">
        <v>74</v>
      </c>
      <c r="T486" s="1" t="s">
        <v>8490</v>
      </c>
      <c r="U486" s="1" t="s">
        <v>8491</v>
      </c>
      <c r="V486" s="1" t="s">
        <v>8492</v>
      </c>
      <c r="W486" s="1" t="s">
        <v>8493</v>
      </c>
      <c r="X486" s="1" t="s">
        <v>8494</v>
      </c>
      <c r="Y486" s="1" t="s">
        <v>8495</v>
      </c>
      <c r="Z486" s="1" t="s">
        <v>8496</v>
      </c>
      <c r="AA486" s="1" t="s">
        <v>320</v>
      </c>
      <c r="AB486" s="1" t="s">
        <v>74</v>
      </c>
      <c r="AC486" s="1" t="s">
        <v>8497</v>
      </c>
      <c r="AD486" s="1" t="s">
        <v>8498</v>
      </c>
      <c r="AE486" s="1" t="s">
        <v>8499</v>
      </c>
      <c r="AF486" s="1" t="s">
        <v>74</v>
      </c>
      <c r="AG486" s="1">
        <v>43</v>
      </c>
      <c r="AH486" s="1">
        <v>2</v>
      </c>
      <c r="AI486" s="1">
        <v>2</v>
      </c>
      <c r="AJ486" s="1">
        <v>2</v>
      </c>
      <c r="AK486" s="1">
        <v>19</v>
      </c>
      <c r="AL486" s="1" t="s">
        <v>4010</v>
      </c>
      <c r="AM486" s="1" t="s">
        <v>1167</v>
      </c>
      <c r="AN486" s="1" t="s">
        <v>1168</v>
      </c>
      <c r="AO486" s="1" t="s">
        <v>718</v>
      </c>
      <c r="AP486" s="1" t="s">
        <v>1169</v>
      </c>
      <c r="AQ486" s="1" t="s">
        <v>74</v>
      </c>
      <c r="AR486" s="1" t="s">
        <v>719</v>
      </c>
      <c r="AS486" s="1" t="s">
        <v>720</v>
      </c>
      <c r="AT486" s="1" t="s">
        <v>8500</v>
      </c>
      <c r="AU486" s="1">
        <v>2020</v>
      </c>
      <c r="AV486" s="1">
        <v>231</v>
      </c>
      <c r="AW486" s="1">
        <v>5</v>
      </c>
      <c r="AX486" s="1" t="s">
        <v>74</v>
      </c>
      <c r="AY486" s="1" t="s">
        <v>74</v>
      </c>
      <c r="AZ486" s="1" t="s">
        <v>74</v>
      </c>
      <c r="BA486" s="1" t="s">
        <v>74</v>
      </c>
      <c r="BB486" s="1" t="s">
        <v>74</v>
      </c>
      <c r="BC486" s="1" t="s">
        <v>74</v>
      </c>
      <c r="BD486" s="1">
        <v>197</v>
      </c>
      <c r="BE486" s="1" t="s">
        <v>8501</v>
      </c>
      <c r="BF486" s="1" t="str">
        <f>HYPERLINK("http://dx.doi.org/10.1007/s11270-020-04570-6","http://dx.doi.org/10.1007/s11270-020-04570-6")</f>
        <v>http://dx.doi.org/10.1007/s11270-020-04570-6</v>
      </c>
      <c r="BG486" s="1" t="s">
        <v>74</v>
      </c>
      <c r="BH486" s="1" t="s">
        <v>74</v>
      </c>
      <c r="BI486" s="1">
        <v>12</v>
      </c>
      <c r="BJ486" s="1" t="s">
        <v>722</v>
      </c>
      <c r="BK486" s="1" t="s">
        <v>96</v>
      </c>
      <c r="BL486" s="1" t="s">
        <v>723</v>
      </c>
      <c r="BM486" s="1" t="s">
        <v>8502</v>
      </c>
      <c r="BN486" s="1" t="s">
        <v>74</v>
      </c>
      <c r="BO486" s="1" t="s">
        <v>74</v>
      </c>
      <c r="BP486" s="1" t="s">
        <v>74</v>
      </c>
      <c r="BQ486" s="1" t="s">
        <v>74</v>
      </c>
      <c r="BR486" s="1" t="s">
        <v>98</v>
      </c>
      <c r="BS486" s="1" t="s">
        <v>8503</v>
      </c>
      <c r="BT486" s="1" t="str">
        <f>HYPERLINK("https%3A%2F%2Fwww.webofscience.com%2Fwos%2Fwoscc%2Ffull-record%2FWOS:000529291300003","View Full Record in Web of Science")</f>
        <v>View Full Record in Web of Science</v>
      </c>
    </row>
    <row r="487" spans="1:72">
      <c r="A487" s="1" t="s">
        <v>72</v>
      </c>
      <c r="B487" s="1" t="s">
        <v>8504</v>
      </c>
      <c r="C487" s="1" t="s">
        <v>74</v>
      </c>
      <c r="D487" s="1" t="s">
        <v>74</v>
      </c>
      <c r="E487" s="1" t="s">
        <v>74</v>
      </c>
      <c r="F487" s="1" t="s">
        <v>8505</v>
      </c>
      <c r="G487" s="1" t="s">
        <v>74</v>
      </c>
      <c r="H487" s="1" t="s">
        <v>74</v>
      </c>
      <c r="I487" s="1" t="s">
        <v>8506</v>
      </c>
      <c r="J487" s="1" t="s">
        <v>641</v>
      </c>
      <c r="K487" s="1" t="s">
        <v>74</v>
      </c>
      <c r="L487" s="1" t="s">
        <v>74</v>
      </c>
      <c r="M487" s="1" t="s">
        <v>78</v>
      </c>
      <c r="N487" s="1" t="s">
        <v>79</v>
      </c>
      <c r="O487" s="1" t="s">
        <v>74</v>
      </c>
      <c r="P487" s="1" t="s">
        <v>74</v>
      </c>
      <c r="Q487" s="1" t="s">
        <v>74</v>
      </c>
      <c r="R487" s="1" t="s">
        <v>74</v>
      </c>
      <c r="S487" s="1" t="s">
        <v>74</v>
      </c>
      <c r="T487" s="1" t="s">
        <v>8507</v>
      </c>
      <c r="U487" s="1" t="s">
        <v>8508</v>
      </c>
      <c r="V487" s="1" t="s">
        <v>8509</v>
      </c>
      <c r="W487" s="1" t="s">
        <v>8510</v>
      </c>
      <c r="X487" s="1" t="s">
        <v>8511</v>
      </c>
      <c r="Y487" s="1" t="s">
        <v>5488</v>
      </c>
      <c r="Z487" s="1" t="s">
        <v>5489</v>
      </c>
      <c r="AA487" s="1" t="s">
        <v>5490</v>
      </c>
      <c r="AB487" s="1" t="s">
        <v>5491</v>
      </c>
      <c r="AC487" s="1" t="s">
        <v>8512</v>
      </c>
      <c r="AD487" s="1" t="s">
        <v>8513</v>
      </c>
      <c r="AE487" s="1" t="s">
        <v>8514</v>
      </c>
      <c r="AF487" s="1" t="s">
        <v>74</v>
      </c>
      <c r="AG487" s="1">
        <v>54</v>
      </c>
      <c r="AH487" s="1">
        <v>47</v>
      </c>
      <c r="AI487" s="1">
        <v>51</v>
      </c>
      <c r="AJ487" s="1">
        <v>1</v>
      </c>
      <c r="AK487" s="1">
        <v>56</v>
      </c>
      <c r="AL487" s="1" t="s">
        <v>650</v>
      </c>
      <c r="AM487" s="1" t="s">
        <v>651</v>
      </c>
      <c r="AN487" s="1" t="s">
        <v>652</v>
      </c>
      <c r="AO487" s="1" t="s">
        <v>653</v>
      </c>
      <c r="AP487" s="1" t="s">
        <v>654</v>
      </c>
      <c r="AQ487" s="1" t="s">
        <v>74</v>
      </c>
      <c r="AR487" s="1" t="s">
        <v>655</v>
      </c>
      <c r="AS487" s="1" t="s">
        <v>656</v>
      </c>
      <c r="AT487" s="1" t="s">
        <v>4612</v>
      </c>
      <c r="AU487" s="1">
        <v>2010</v>
      </c>
      <c r="AV487" s="1">
        <v>97</v>
      </c>
      <c r="AW487" s="1">
        <v>1</v>
      </c>
      <c r="AX487" s="1" t="s">
        <v>74</v>
      </c>
      <c r="AY487" s="1" t="s">
        <v>74</v>
      </c>
      <c r="AZ487" s="1" t="s">
        <v>74</v>
      </c>
      <c r="BA487" s="1" t="s">
        <v>74</v>
      </c>
      <c r="BB487" s="1">
        <v>68</v>
      </c>
      <c r="BC487" s="1">
        <v>78</v>
      </c>
      <c r="BD487" s="1" t="s">
        <v>74</v>
      </c>
      <c r="BE487" s="1" t="s">
        <v>8515</v>
      </c>
      <c r="BF487" s="1" t="str">
        <f>HYPERLINK("http://dx.doi.org/10.1016/j.aquatox.2009.12.004","http://dx.doi.org/10.1016/j.aquatox.2009.12.004")</f>
        <v>http://dx.doi.org/10.1016/j.aquatox.2009.12.004</v>
      </c>
      <c r="BG487" s="1" t="s">
        <v>74</v>
      </c>
      <c r="BH487" s="1" t="s">
        <v>74</v>
      </c>
      <c r="BI487" s="1">
        <v>11</v>
      </c>
      <c r="BJ487" s="1" t="s">
        <v>659</v>
      </c>
      <c r="BK487" s="1" t="s">
        <v>96</v>
      </c>
      <c r="BL487" s="1" t="s">
        <v>659</v>
      </c>
      <c r="BM487" s="1" t="s">
        <v>8516</v>
      </c>
      <c r="BN487" s="1">
        <v>20047766</v>
      </c>
      <c r="BO487" s="1" t="s">
        <v>74</v>
      </c>
      <c r="BP487" s="1" t="s">
        <v>74</v>
      </c>
      <c r="BQ487" s="1" t="s">
        <v>74</v>
      </c>
      <c r="BR487" s="1" t="s">
        <v>98</v>
      </c>
      <c r="BS487" s="1" t="s">
        <v>8517</v>
      </c>
      <c r="BT487" s="1" t="str">
        <f>HYPERLINK("https%3A%2F%2Fwww.webofscience.com%2Fwos%2Fwoscc%2Ffull-record%2FWOS:000276124600009","View Full Record in Web of Science")</f>
        <v>View Full Record in Web of Science</v>
      </c>
    </row>
    <row r="488" spans="1:72">
      <c r="A488" s="1" t="s">
        <v>72</v>
      </c>
      <c r="B488" s="1" t="s">
        <v>8518</v>
      </c>
      <c r="C488" s="1" t="s">
        <v>74</v>
      </c>
      <c r="D488" s="1" t="s">
        <v>74</v>
      </c>
      <c r="E488" s="1" t="s">
        <v>74</v>
      </c>
      <c r="F488" s="1" t="s">
        <v>8519</v>
      </c>
      <c r="G488" s="1" t="s">
        <v>74</v>
      </c>
      <c r="H488" s="1" t="s">
        <v>74</v>
      </c>
      <c r="I488" s="1" t="s">
        <v>8520</v>
      </c>
      <c r="J488" s="1" t="s">
        <v>641</v>
      </c>
      <c r="K488" s="1" t="s">
        <v>74</v>
      </c>
      <c r="L488" s="1" t="s">
        <v>74</v>
      </c>
      <c r="M488" s="1" t="s">
        <v>78</v>
      </c>
      <c r="N488" s="1" t="s">
        <v>79</v>
      </c>
      <c r="O488" s="1" t="s">
        <v>74</v>
      </c>
      <c r="P488" s="1" t="s">
        <v>74</v>
      </c>
      <c r="Q488" s="1" t="s">
        <v>74</v>
      </c>
      <c r="R488" s="1" t="s">
        <v>74</v>
      </c>
      <c r="S488" s="1" t="s">
        <v>74</v>
      </c>
      <c r="T488" s="1" t="s">
        <v>8521</v>
      </c>
      <c r="U488" s="1" t="s">
        <v>8522</v>
      </c>
      <c r="V488" s="1" t="s">
        <v>8523</v>
      </c>
      <c r="W488" s="1" t="s">
        <v>8524</v>
      </c>
      <c r="X488" s="1" t="s">
        <v>8525</v>
      </c>
      <c r="Y488" s="1" t="s">
        <v>8526</v>
      </c>
      <c r="Z488" s="1" t="s">
        <v>8527</v>
      </c>
      <c r="AA488" s="1" t="s">
        <v>8528</v>
      </c>
      <c r="AB488" s="1" t="s">
        <v>8529</v>
      </c>
      <c r="AC488" s="1" t="s">
        <v>8530</v>
      </c>
      <c r="AD488" s="1" t="s">
        <v>8531</v>
      </c>
      <c r="AE488" s="1" t="s">
        <v>8532</v>
      </c>
      <c r="AF488" s="1" t="s">
        <v>74</v>
      </c>
      <c r="AG488" s="1">
        <v>70</v>
      </c>
      <c r="AH488" s="1">
        <v>48</v>
      </c>
      <c r="AI488" s="1">
        <v>56</v>
      </c>
      <c r="AJ488" s="1">
        <v>1</v>
      </c>
      <c r="AK488" s="1">
        <v>39</v>
      </c>
      <c r="AL488" s="1" t="s">
        <v>919</v>
      </c>
      <c r="AM488" s="1" t="s">
        <v>651</v>
      </c>
      <c r="AN488" s="1" t="s">
        <v>920</v>
      </c>
      <c r="AO488" s="1" t="s">
        <v>653</v>
      </c>
      <c r="AP488" s="1" t="s">
        <v>654</v>
      </c>
      <c r="AQ488" s="1" t="s">
        <v>74</v>
      </c>
      <c r="AR488" s="1" t="s">
        <v>655</v>
      </c>
      <c r="AS488" s="1" t="s">
        <v>656</v>
      </c>
      <c r="AT488" s="1" t="s">
        <v>305</v>
      </c>
      <c r="AU488" s="1">
        <v>2011</v>
      </c>
      <c r="AV488" s="1">
        <v>105</v>
      </c>
      <c r="AW488" s="1" t="s">
        <v>326</v>
      </c>
      <c r="AX488" s="1" t="s">
        <v>74</v>
      </c>
      <c r="AY488" s="1" t="s">
        <v>74</v>
      </c>
      <c r="AZ488" s="1" t="s">
        <v>74</v>
      </c>
      <c r="BA488" s="1" t="s">
        <v>74</v>
      </c>
      <c r="BB488" s="1">
        <v>49</v>
      </c>
      <c r="BC488" s="1">
        <v>61</v>
      </c>
      <c r="BD488" s="1" t="s">
        <v>74</v>
      </c>
      <c r="BE488" s="1" t="s">
        <v>8533</v>
      </c>
      <c r="BF488" s="1" t="str">
        <f>HYPERLINK("http://dx.doi.org/10.1016/j.aquatox.2011.05.010","http://dx.doi.org/10.1016/j.aquatox.2011.05.010")</f>
        <v>http://dx.doi.org/10.1016/j.aquatox.2011.05.010</v>
      </c>
      <c r="BG488" s="1" t="s">
        <v>74</v>
      </c>
      <c r="BH488" s="1" t="s">
        <v>74</v>
      </c>
      <c r="BI488" s="1">
        <v>13</v>
      </c>
      <c r="BJ488" s="1" t="s">
        <v>659</v>
      </c>
      <c r="BK488" s="1" t="s">
        <v>96</v>
      </c>
      <c r="BL488" s="1" t="s">
        <v>659</v>
      </c>
      <c r="BM488" s="1" t="s">
        <v>8534</v>
      </c>
      <c r="BN488" s="1">
        <v>21684241</v>
      </c>
      <c r="BO488" s="1" t="s">
        <v>74</v>
      </c>
      <c r="BP488" s="1" t="s">
        <v>74</v>
      </c>
      <c r="BQ488" s="1" t="s">
        <v>74</v>
      </c>
      <c r="BR488" s="1" t="s">
        <v>98</v>
      </c>
      <c r="BS488" s="1" t="s">
        <v>8535</v>
      </c>
      <c r="BT488" s="1" t="str">
        <f>HYPERLINK("https%3A%2F%2Fwww.webofscience.com%2Fwos%2Fwoscc%2Ffull-record%2FWOS:000294317500006","View Full Record in Web of Science")</f>
        <v>View Full Record in Web of Science</v>
      </c>
    </row>
    <row r="489" spans="1:72">
      <c r="A489" s="1" t="s">
        <v>72</v>
      </c>
      <c r="B489" s="1" t="s">
        <v>8536</v>
      </c>
      <c r="C489" s="1" t="s">
        <v>74</v>
      </c>
      <c r="D489" s="1" t="s">
        <v>74</v>
      </c>
      <c r="E489" s="1" t="s">
        <v>74</v>
      </c>
      <c r="F489" s="1" t="s">
        <v>8537</v>
      </c>
      <c r="G489" s="1" t="s">
        <v>74</v>
      </c>
      <c r="H489" s="1" t="s">
        <v>74</v>
      </c>
      <c r="I489" s="1" t="s">
        <v>8538</v>
      </c>
      <c r="J489" s="1" t="s">
        <v>6753</v>
      </c>
      <c r="K489" s="1" t="s">
        <v>74</v>
      </c>
      <c r="L489" s="1" t="s">
        <v>74</v>
      </c>
      <c r="M489" s="1" t="s">
        <v>78</v>
      </c>
      <c r="N489" s="1" t="s">
        <v>79</v>
      </c>
      <c r="O489" s="1" t="s">
        <v>74</v>
      </c>
      <c r="P489" s="1" t="s">
        <v>74</v>
      </c>
      <c r="Q489" s="1" t="s">
        <v>74</v>
      </c>
      <c r="R489" s="1" t="s">
        <v>74</v>
      </c>
      <c r="S489" s="1" t="s">
        <v>74</v>
      </c>
      <c r="T489" s="1" t="s">
        <v>8539</v>
      </c>
      <c r="U489" s="1" t="s">
        <v>8540</v>
      </c>
      <c r="V489" s="1" t="s">
        <v>8541</v>
      </c>
      <c r="W489" s="1" t="s">
        <v>8542</v>
      </c>
      <c r="X489" s="1" t="s">
        <v>8543</v>
      </c>
      <c r="Y489" s="1" t="s">
        <v>8544</v>
      </c>
      <c r="Z489" s="1" t="s">
        <v>8545</v>
      </c>
      <c r="AA489" s="1" t="s">
        <v>74</v>
      </c>
      <c r="AB489" s="1" t="s">
        <v>74</v>
      </c>
      <c r="AC489" s="1" t="s">
        <v>8546</v>
      </c>
      <c r="AD489" s="1" t="s">
        <v>8547</v>
      </c>
      <c r="AE489" s="1" t="s">
        <v>8548</v>
      </c>
      <c r="AF489" s="1" t="s">
        <v>74</v>
      </c>
      <c r="AG489" s="1">
        <v>33</v>
      </c>
      <c r="AH489" s="1">
        <v>1</v>
      </c>
      <c r="AI489" s="1">
        <v>1</v>
      </c>
      <c r="AJ489" s="1">
        <v>0</v>
      </c>
      <c r="AK489" s="1">
        <v>15</v>
      </c>
      <c r="AL489" s="1" t="s">
        <v>6763</v>
      </c>
      <c r="AM489" s="1" t="s">
        <v>6764</v>
      </c>
      <c r="AN489" s="1" t="s">
        <v>6765</v>
      </c>
      <c r="AO489" s="1" t="s">
        <v>6766</v>
      </c>
      <c r="AP489" s="1" t="s">
        <v>74</v>
      </c>
      <c r="AQ489" s="1" t="s">
        <v>74</v>
      </c>
      <c r="AR489" s="1" t="s">
        <v>6768</v>
      </c>
      <c r="AS489" s="1" t="s">
        <v>6769</v>
      </c>
      <c r="AT489" s="1" t="s">
        <v>305</v>
      </c>
      <c r="AU489" s="1">
        <v>2016</v>
      </c>
      <c r="AV489" s="1">
        <v>16</v>
      </c>
      <c r="AW489" s="1">
        <v>3</v>
      </c>
      <c r="AX489" s="1" t="s">
        <v>74</v>
      </c>
      <c r="AY489" s="1" t="s">
        <v>74</v>
      </c>
      <c r="AZ489" s="1" t="s">
        <v>74</v>
      </c>
      <c r="BA489" s="1" t="s">
        <v>74</v>
      </c>
      <c r="BB489" s="1">
        <v>499</v>
      </c>
      <c r="BC489" s="1">
        <v>505</v>
      </c>
      <c r="BD489" s="1" t="s">
        <v>74</v>
      </c>
      <c r="BE489" s="1" t="s">
        <v>8549</v>
      </c>
      <c r="BF489" s="1" t="str">
        <f>HYPERLINK("http://dx.doi.org/10.4194/1303-2712-v16_3_02","http://dx.doi.org/10.4194/1303-2712-v16_3_02")</f>
        <v>http://dx.doi.org/10.4194/1303-2712-v16_3_02</v>
      </c>
      <c r="BG489" s="1" t="s">
        <v>74</v>
      </c>
      <c r="BH489" s="1" t="s">
        <v>74</v>
      </c>
      <c r="BI489" s="1">
        <v>7</v>
      </c>
      <c r="BJ489" s="1" t="s">
        <v>2391</v>
      </c>
      <c r="BK489" s="1" t="s">
        <v>96</v>
      </c>
      <c r="BL489" s="1" t="s">
        <v>2391</v>
      </c>
      <c r="BM489" s="1" t="s">
        <v>8550</v>
      </c>
      <c r="BN489" s="1" t="s">
        <v>74</v>
      </c>
      <c r="BO489" s="1" t="s">
        <v>370</v>
      </c>
      <c r="BP489" s="1" t="s">
        <v>74</v>
      </c>
      <c r="BQ489" s="1" t="s">
        <v>74</v>
      </c>
      <c r="BR489" s="1" t="s">
        <v>98</v>
      </c>
      <c r="BS489" s="1" t="s">
        <v>8551</v>
      </c>
      <c r="BT489" s="1" t="str">
        <f>HYPERLINK("https%3A%2F%2Fwww.webofscience.com%2Fwos%2Fwoscc%2Ffull-record%2FWOS:000388308900002","View Full Record in Web of Science")</f>
        <v>View Full Record in Web of Science</v>
      </c>
    </row>
    <row r="490" spans="1:72">
      <c r="A490" s="1" t="s">
        <v>72</v>
      </c>
      <c r="B490" s="1" t="s">
        <v>8552</v>
      </c>
      <c r="C490" s="1" t="s">
        <v>74</v>
      </c>
      <c r="D490" s="1" t="s">
        <v>74</v>
      </c>
      <c r="E490" s="1" t="s">
        <v>74</v>
      </c>
      <c r="F490" s="1" t="s">
        <v>8552</v>
      </c>
      <c r="G490" s="1" t="s">
        <v>74</v>
      </c>
      <c r="H490" s="1" t="s">
        <v>74</v>
      </c>
      <c r="I490" s="1" t="s">
        <v>8553</v>
      </c>
      <c r="J490" s="1" t="s">
        <v>8554</v>
      </c>
      <c r="K490" s="1" t="s">
        <v>74</v>
      </c>
      <c r="L490" s="1" t="s">
        <v>74</v>
      </c>
      <c r="M490" s="1" t="s">
        <v>78</v>
      </c>
      <c r="N490" s="1" t="s">
        <v>79</v>
      </c>
      <c r="O490" s="1" t="s">
        <v>74</v>
      </c>
      <c r="P490" s="1" t="s">
        <v>74</v>
      </c>
      <c r="Q490" s="1" t="s">
        <v>74</v>
      </c>
      <c r="R490" s="1" t="s">
        <v>74</v>
      </c>
      <c r="S490" s="1" t="s">
        <v>74</v>
      </c>
      <c r="T490" s="1" t="s">
        <v>74</v>
      </c>
      <c r="U490" s="1" t="s">
        <v>8555</v>
      </c>
      <c r="V490" s="1" t="s">
        <v>8556</v>
      </c>
      <c r="W490" s="1" t="s">
        <v>8557</v>
      </c>
      <c r="X490" s="1" t="s">
        <v>1417</v>
      </c>
      <c r="Y490" s="1" t="s">
        <v>8558</v>
      </c>
      <c r="Z490" s="1" t="s">
        <v>8559</v>
      </c>
      <c r="AA490" s="1" t="s">
        <v>1689</v>
      </c>
      <c r="AB490" s="1" t="s">
        <v>74</v>
      </c>
      <c r="AC490" s="1" t="s">
        <v>74</v>
      </c>
      <c r="AD490" s="1" t="s">
        <v>74</v>
      </c>
      <c r="AE490" s="1" t="s">
        <v>74</v>
      </c>
      <c r="AF490" s="1" t="s">
        <v>74</v>
      </c>
      <c r="AG490" s="1">
        <v>39</v>
      </c>
      <c r="AH490" s="1">
        <v>86</v>
      </c>
      <c r="AI490" s="1">
        <v>91</v>
      </c>
      <c r="AJ490" s="1">
        <v>2</v>
      </c>
      <c r="AK490" s="1">
        <v>49</v>
      </c>
      <c r="AL490" s="1" t="s">
        <v>8560</v>
      </c>
      <c r="AM490" s="1" t="s">
        <v>8561</v>
      </c>
      <c r="AN490" s="1" t="s">
        <v>8562</v>
      </c>
      <c r="AO490" s="1" t="s">
        <v>8563</v>
      </c>
      <c r="AP490" s="1" t="s">
        <v>74</v>
      </c>
      <c r="AQ490" s="1" t="s">
        <v>74</v>
      </c>
      <c r="AR490" s="1" t="s">
        <v>8554</v>
      </c>
      <c r="AS490" s="1" t="s">
        <v>8564</v>
      </c>
      <c r="AT490" s="1" t="s">
        <v>119</v>
      </c>
      <c r="AU490" s="1">
        <v>2005</v>
      </c>
      <c r="AV490" s="1">
        <v>28</v>
      </c>
      <c r="AW490" s="1">
        <v>4</v>
      </c>
      <c r="AX490" s="1" t="s">
        <v>74</v>
      </c>
      <c r="AY490" s="1" t="s">
        <v>74</v>
      </c>
      <c r="AZ490" s="1" t="s">
        <v>74</v>
      </c>
      <c r="BA490" s="1" t="s">
        <v>74</v>
      </c>
      <c r="BB490" s="1">
        <v>581</v>
      </c>
      <c r="BC490" s="1">
        <v>591</v>
      </c>
      <c r="BD490" s="1" t="s">
        <v>74</v>
      </c>
      <c r="BE490" s="1" t="s">
        <v>8565</v>
      </c>
      <c r="BF490" s="1" t="str">
        <f>HYPERLINK("http://dx.doi.org/10.1007/BF02696069","http://dx.doi.org/10.1007/BF02696069")</f>
        <v>http://dx.doi.org/10.1007/BF02696069</v>
      </c>
      <c r="BG490" s="1" t="s">
        <v>74</v>
      </c>
      <c r="BH490" s="1" t="s">
        <v>74</v>
      </c>
      <c r="BI490" s="1">
        <v>11</v>
      </c>
      <c r="BJ490" s="1" t="s">
        <v>247</v>
      </c>
      <c r="BK490" s="1" t="s">
        <v>96</v>
      </c>
      <c r="BL490" s="1" t="s">
        <v>248</v>
      </c>
      <c r="BM490" s="1" t="s">
        <v>8566</v>
      </c>
      <c r="BN490" s="1" t="s">
        <v>74</v>
      </c>
      <c r="BO490" s="1" t="s">
        <v>74</v>
      </c>
      <c r="BP490" s="1" t="s">
        <v>74</v>
      </c>
      <c r="BQ490" s="1" t="s">
        <v>74</v>
      </c>
      <c r="BR490" s="1" t="s">
        <v>98</v>
      </c>
      <c r="BS490" s="1" t="s">
        <v>8567</v>
      </c>
      <c r="BT490" s="1" t="str">
        <f>HYPERLINK("https%3A%2F%2Fwww.webofscience.com%2Fwos%2Fwoscc%2Ffull-record%2FWOS:000231964400010","View Full Record in Web of Science")</f>
        <v>View Full Record in Web of Science</v>
      </c>
    </row>
    <row r="491" spans="1:72">
      <c r="A491" s="1" t="s">
        <v>72</v>
      </c>
      <c r="B491" s="1" t="s">
        <v>8568</v>
      </c>
      <c r="C491" s="1" t="s">
        <v>74</v>
      </c>
      <c r="D491" s="1" t="s">
        <v>74</v>
      </c>
      <c r="E491" s="1" t="s">
        <v>74</v>
      </c>
      <c r="F491" s="1" t="s">
        <v>8569</v>
      </c>
      <c r="G491" s="1" t="s">
        <v>74</v>
      </c>
      <c r="H491" s="1" t="s">
        <v>74</v>
      </c>
      <c r="I491" s="1" t="s">
        <v>8570</v>
      </c>
      <c r="J491" s="1" t="s">
        <v>4663</v>
      </c>
      <c r="K491" s="1" t="s">
        <v>74</v>
      </c>
      <c r="L491" s="1" t="s">
        <v>74</v>
      </c>
      <c r="M491" s="1" t="s">
        <v>78</v>
      </c>
      <c r="N491" s="1" t="s">
        <v>79</v>
      </c>
      <c r="O491" s="1" t="s">
        <v>74</v>
      </c>
      <c r="P491" s="1" t="s">
        <v>74</v>
      </c>
      <c r="Q491" s="1" t="s">
        <v>74</v>
      </c>
      <c r="R491" s="1" t="s">
        <v>74</v>
      </c>
      <c r="S491" s="1" t="s">
        <v>74</v>
      </c>
      <c r="T491" s="1" t="s">
        <v>8571</v>
      </c>
      <c r="U491" s="1" t="s">
        <v>8572</v>
      </c>
      <c r="V491" s="1" t="s">
        <v>8573</v>
      </c>
      <c r="W491" s="1" t="s">
        <v>8574</v>
      </c>
      <c r="X491" s="1" t="s">
        <v>8575</v>
      </c>
      <c r="Y491" s="1" t="s">
        <v>8576</v>
      </c>
      <c r="Z491" s="1" t="s">
        <v>8577</v>
      </c>
      <c r="AA491" s="1" t="s">
        <v>8578</v>
      </c>
      <c r="AB491" s="1" t="s">
        <v>8579</v>
      </c>
      <c r="AC491" s="1" t="s">
        <v>8580</v>
      </c>
      <c r="AD491" s="1" t="s">
        <v>8581</v>
      </c>
      <c r="AE491" s="1" t="s">
        <v>8582</v>
      </c>
      <c r="AF491" s="1" t="s">
        <v>74</v>
      </c>
      <c r="AG491" s="1">
        <v>34</v>
      </c>
      <c r="AH491" s="1">
        <v>10</v>
      </c>
      <c r="AI491" s="1">
        <v>10</v>
      </c>
      <c r="AJ491" s="1">
        <v>0</v>
      </c>
      <c r="AK491" s="1">
        <v>45</v>
      </c>
      <c r="AL491" s="1" t="s">
        <v>2074</v>
      </c>
      <c r="AM491" s="1" t="s">
        <v>2075</v>
      </c>
      <c r="AN491" s="1" t="s">
        <v>2076</v>
      </c>
      <c r="AO491" s="1" t="s">
        <v>4675</v>
      </c>
      <c r="AP491" s="1" t="s">
        <v>4676</v>
      </c>
      <c r="AQ491" s="1" t="s">
        <v>74</v>
      </c>
      <c r="AR491" s="1" t="s">
        <v>4677</v>
      </c>
      <c r="AS491" s="1" t="s">
        <v>4678</v>
      </c>
      <c r="AT491" s="1" t="s">
        <v>74</v>
      </c>
      <c r="AU491" s="1">
        <v>2011</v>
      </c>
      <c r="AV491" s="1">
        <v>91</v>
      </c>
      <c r="AW491" s="1">
        <v>11</v>
      </c>
      <c r="AX491" s="1" t="s">
        <v>74</v>
      </c>
      <c r="AY491" s="1" t="s">
        <v>74</v>
      </c>
      <c r="AZ491" s="1" t="s">
        <v>74</v>
      </c>
      <c r="BA491" s="1" t="s">
        <v>74</v>
      </c>
      <c r="BB491" s="1">
        <v>1100</v>
      </c>
      <c r="BC491" s="1">
        <v>1116</v>
      </c>
      <c r="BD491" s="1" t="s">
        <v>74</v>
      </c>
      <c r="BE491" s="1" t="s">
        <v>8583</v>
      </c>
      <c r="BF491" s="1" t="str">
        <f>HYPERLINK("http://dx.doi.org/10.1080/03067310903199534","http://dx.doi.org/10.1080/03067310903199534")</f>
        <v>http://dx.doi.org/10.1080/03067310903199534</v>
      </c>
      <c r="BG491" s="1" t="s">
        <v>74</v>
      </c>
      <c r="BH491" s="1" t="s">
        <v>74</v>
      </c>
      <c r="BI491" s="1">
        <v>17</v>
      </c>
      <c r="BJ491" s="1" t="s">
        <v>269</v>
      </c>
      <c r="BK491" s="1" t="s">
        <v>96</v>
      </c>
      <c r="BL491" s="1" t="s">
        <v>270</v>
      </c>
      <c r="BM491" s="1" t="s">
        <v>8584</v>
      </c>
      <c r="BN491" s="1" t="s">
        <v>74</v>
      </c>
      <c r="BO491" s="1" t="s">
        <v>74</v>
      </c>
      <c r="BP491" s="1" t="s">
        <v>74</v>
      </c>
      <c r="BQ491" s="1" t="s">
        <v>74</v>
      </c>
      <c r="BR491" s="1" t="s">
        <v>98</v>
      </c>
      <c r="BS491" s="1" t="s">
        <v>8585</v>
      </c>
      <c r="BT491" s="1" t="str">
        <f>HYPERLINK("https%3A%2F%2Fwww.webofscience.com%2Fwos%2Fwoscc%2Ffull-record%2FWOS:000297260200008","View Full Record in Web of Science")</f>
        <v>View Full Record in Web of Science</v>
      </c>
    </row>
    <row r="492" spans="1:72">
      <c r="A492" s="1" t="s">
        <v>72</v>
      </c>
      <c r="B492" s="1" t="s">
        <v>8586</v>
      </c>
      <c r="C492" s="1" t="s">
        <v>74</v>
      </c>
      <c r="D492" s="1" t="s">
        <v>74</v>
      </c>
      <c r="E492" s="1" t="s">
        <v>74</v>
      </c>
      <c r="F492" s="1" t="s">
        <v>8587</v>
      </c>
      <c r="G492" s="1" t="s">
        <v>74</v>
      </c>
      <c r="H492" s="1" t="s">
        <v>74</v>
      </c>
      <c r="I492" s="1" t="s">
        <v>8588</v>
      </c>
      <c r="J492" s="1" t="s">
        <v>1337</v>
      </c>
      <c r="K492" s="1" t="s">
        <v>74</v>
      </c>
      <c r="L492" s="1" t="s">
        <v>74</v>
      </c>
      <c r="M492" s="1" t="s">
        <v>78</v>
      </c>
      <c r="N492" s="1" t="s">
        <v>79</v>
      </c>
      <c r="O492" s="1" t="s">
        <v>74</v>
      </c>
      <c r="P492" s="1" t="s">
        <v>74</v>
      </c>
      <c r="Q492" s="1" t="s">
        <v>74</v>
      </c>
      <c r="R492" s="1" t="s">
        <v>74</v>
      </c>
      <c r="S492" s="1" t="s">
        <v>74</v>
      </c>
      <c r="T492" s="1" t="s">
        <v>8589</v>
      </c>
      <c r="U492" s="1" t="s">
        <v>8590</v>
      </c>
      <c r="V492" s="1" t="s">
        <v>8591</v>
      </c>
      <c r="W492" s="1" t="s">
        <v>8592</v>
      </c>
      <c r="X492" s="1" t="s">
        <v>8593</v>
      </c>
      <c r="Y492" s="1" t="s">
        <v>8594</v>
      </c>
      <c r="Z492" s="1" t="s">
        <v>8595</v>
      </c>
      <c r="AA492" s="1" t="s">
        <v>8596</v>
      </c>
      <c r="AB492" s="1" t="s">
        <v>8597</v>
      </c>
      <c r="AC492" s="1" t="s">
        <v>74</v>
      </c>
      <c r="AD492" s="1" t="s">
        <v>74</v>
      </c>
      <c r="AE492" s="1" t="s">
        <v>74</v>
      </c>
      <c r="AF492" s="1" t="s">
        <v>74</v>
      </c>
      <c r="AG492" s="1">
        <v>65</v>
      </c>
      <c r="AH492" s="1">
        <v>7</v>
      </c>
      <c r="AI492" s="1">
        <v>7</v>
      </c>
      <c r="AJ492" s="1">
        <v>1</v>
      </c>
      <c r="AK492" s="1">
        <v>20</v>
      </c>
      <c r="AL492" s="1" t="s">
        <v>1350</v>
      </c>
      <c r="AM492" s="1" t="s">
        <v>1351</v>
      </c>
      <c r="AN492" s="1" t="s">
        <v>1352</v>
      </c>
      <c r="AO492" s="1" t="s">
        <v>74</v>
      </c>
      <c r="AP492" s="1" t="s">
        <v>1353</v>
      </c>
      <c r="AQ492" s="1" t="s">
        <v>74</v>
      </c>
      <c r="AR492" s="1" t="s">
        <v>1354</v>
      </c>
      <c r="AS492" s="1" t="s">
        <v>1355</v>
      </c>
      <c r="AT492" s="1" t="s">
        <v>8598</v>
      </c>
      <c r="AU492" s="1">
        <v>2021</v>
      </c>
      <c r="AV492" s="1">
        <v>8</v>
      </c>
      <c r="AW492" s="1" t="s">
        <v>74</v>
      </c>
      <c r="AX492" s="1" t="s">
        <v>74</v>
      </c>
      <c r="AY492" s="1" t="s">
        <v>74</v>
      </c>
      <c r="AZ492" s="1" t="s">
        <v>74</v>
      </c>
      <c r="BA492" s="1" t="s">
        <v>74</v>
      </c>
      <c r="BB492" s="1" t="s">
        <v>74</v>
      </c>
      <c r="BC492" s="1" t="s">
        <v>74</v>
      </c>
      <c r="BD492" s="1">
        <v>751983</v>
      </c>
      <c r="BE492" s="1" t="s">
        <v>8599</v>
      </c>
      <c r="BF492" s="1" t="str">
        <f>HYPERLINK("http://dx.doi.org/10.3389/fmars.2021.751983","http://dx.doi.org/10.3389/fmars.2021.751983")</f>
        <v>http://dx.doi.org/10.3389/fmars.2021.751983</v>
      </c>
      <c r="BG492" s="1" t="s">
        <v>74</v>
      </c>
      <c r="BH492" s="1" t="s">
        <v>74</v>
      </c>
      <c r="BI492" s="1">
        <v>11</v>
      </c>
      <c r="BJ492" s="1" t="s">
        <v>247</v>
      </c>
      <c r="BK492" s="1" t="s">
        <v>96</v>
      </c>
      <c r="BL492" s="1" t="s">
        <v>248</v>
      </c>
      <c r="BM492" s="1" t="s">
        <v>8600</v>
      </c>
      <c r="BN492" s="1" t="s">
        <v>74</v>
      </c>
      <c r="BO492" s="1" t="s">
        <v>873</v>
      </c>
      <c r="BP492" s="1" t="s">
        <v>74</v>
      </c>
      <c r="BQ492" s="1" t="s">
        <v>74</v>
      </c>
      <c r="BR492" s="1" t="s">
        <v>98</v>
      </c>
      <c r="BS492" s="1" t="s">
        <v>8601</v>
      </c>
      <c r="BT492" s="1" t="str">
        <f>HYPERLINK("https%3A%2F%2Fwww.webofscience.com%2Fwos%2Fwoscc%2Ffull-record%2FWOS:000705988400001","View Full Record in Web of Science")</f>
        <v>View Full Record in Web of Science</v>
      </c>
    </row>
    <row r="493" spans="1:72">
      <c r="A493" s="1" t="s">
        <v>72</v>
      </c>
      <c r="B493" s="1" t="s">
        <v>8602</v>
      </c>
      <c r="C493" s="1" t="s">
        <v>74</v>
      </c>
      <c r="D493" s="1" t="s">
        <v>74</v>
      </c>
      <c r="E493" s="1" t="s">
        <v>74</v>
      </c>
      <c r="F493" s="1" t="s">
        <v>8603</v>
      </c>
      <c r="G493" s="1" t="s">
        <v>74</v>
      </c>
      <c r="H493" s="1" t="s">
        <v>74</v>
      </c>
      <c r="I493" s="1" t="s">
        <v>8604</v>
      </c>
      <c r="J493" s="1" t="s">
        <v>204</v>
      </c>
      <c r="K493" s="1" t="s">
        <v>74</v>
      </c>
      <c r="L493" s="1" t="s">
        <v>74</v>
      </c>
      <c r="M493" s="1" t="s">
        <v>78</v>
      </c>
      <c r="N493" s="1" t="s">
        <v>79</v>
      </c>
      <c r="O493" s="1" t="s">
        <v>74</v>
      </c>
      <c r="P493" s="1" t="s">
        <v>74</v>
      </c>
      <c r="Q493" s="1" t="s">
        <v>74</v>
      </c>
      <c r="R493" s="1" t="s">
        <v>74</v>
      </c>
      <c r="S493" s="1" t="s">
        <v>74</v>
      </c>
      <c r="T493" s="1" t="s">
        <v>8605</v>
      </c>
      <c r="U493" s="1" t="s">
        <v>8606</v>
      </c>
      <c r="V493" s="1" t="s">
        <v>8607</v>
      </c>
      <c r="W493" s="1" t="s">
        <v>8608</v>
      </c>
      <c r="X493" s="1" t="s">
        <v>8609</v>
      </c>
      <c r="Y493" s="1" t="s">
        <v>8610</v>
      </c>
      <c r="Z493" s="1" t="s">
        <v>8611</v>
      </c>
      <c r="AA493" s="1" t="s">
        <v>8612</v>
      </c>
      <c r="AB493" s="1" t="s">
        <v>8613</v>
      </c>
      <c r="AC493" s="1" t="s">
        <v>8614</v>
      </c>
      <c r="AD493" s="1" t="s">
        <v>8614</v>
      </c>
      <c r="AE493" s="1" t="s">
        <v>8615</v>
      </c>
      <c r="AF493" s="1" t="s">
        <v>74</v>
      </c>
      <c r="AG493" s="1">
        <v>58</v>
      </c>
      <c r="AH493" s="1">
        <v>20</v>
      </c>
      <c r="AI493" s="1">
        <v>20</v>
      </c>
      <c r="AJ493" s="1">
        <v>0</v>
      </c>
      <c r="AK493" s="1">
        <v>47</v>
      </c>
      <c r="AL493" s="1" t="s">
        <v>217</v>
      </c>
      <c r="AM493" s="1" t="s">
        <v>218</v>
      </c>
      <c r="AN493" s="1" t="s">
        <v>219</v>
      </c>
      <c r="AO493" s="1" t="s">
        <v>220</v>
      </c>
      <c r="AP493" s="1" t="s">
        <v>221</v>
      </c>
      <c r="AQ493" s="1" t="s">
        <v>74</v>
      </c>
      <c r="AR493" s="1" t="s">
        <v>222</v>
      </c>
      <c r="AS493" s="1" t="s">
        <v>223</v>
      </c>
      <c r="AT493" s="1" t="s">
        <v>142</v>
      </c>
      <c r="AU493" s="1">
        <v>2016</v>
      </c>
      <c r="AV493" s="1">
        <v>23</v>
      </c>
      <c r="AW493" s="1">
        <v>12</v>
      </c>
      <c r="AX493" s="1" t="s">
        <v>74</v>
      </c>
      <c r="AY493" s="1" t="s">
        <v>74</v>
      </c>
      <c r="AZ493" s="1" t="s">
        <v>74</v>
      </c>
      <c r="BA493" s="1" t="s">
        <v>74</v>
      </c>
      <c r="BB493" s="1">
        <v>11975</v>
      </c>
      <c r="BC493" s="1">
        <v>11984</v>
      </c>
      <c r="BD493" s="1" t="s">
        <v>74</v>
      </c>
      <c r="BE493" s="1" t="s">
        <v>8616</v>
      </c>
      <c r="BF493" s="1" t="str">
        <f>HYPERLINK("http://dx.doi.org/10.1007/s11356-016-6386-x","http://dx.doi.org/10.1007/s11356-016-6386-x")</f>
        <v>http://dx.doi.org/10.1007/s11356-016-6386-x</v>
      </c>
      <c r="BG493" s="1" t="s">
        <v>74</v>
      </c>
      <c r="BH493" s="1" t="s">
        <v>74</v>
      </c>
      <c r="BI493" s="1">
        <v>10</v>
      </c>
      <c r="BJ493" s="1" t="s">
        <v>144</v>
      </c>
      <c r="BK493" s="1" t="s">
        <v>96</v>
      </c>
      <c r="BL493" s="1" t="s">
        <v>145</v>
      </c>
      <c r="BM493" s="1" t="s">
        <v>8617</v>
      </c>
      <c r="BN493" s="1">
        <v>26961529</v>
      </c>
      <c r="BO493" s="1" t="s">
        <v>74</v>
      </c>
      <c r="BP493" s="1" t="s">
        <v>74</v>
      </c>
      <c r="BQ493" s="1" t="s">
        <v>74</v>
      </c>
      <c r="BR493" s="1" t="s">
        <v>98</v>
      </c>
      <c r="BS493" s="1" t="s">
        <v>8618</v>
      </c>
      <c r="BT493" s="1" t="str">
        <f>HYPERLINK("https%3A%2F%2Fwww.webofscience.com%2Fwos%2Fwoscc%2Ffull-record%2FWOS:000377476700051","View Full Record in Web of Science")</f>
        <v>View Full Record in Web of Science</v>
      </c>
    </row>
    <row r="494" spans="1:72">
      <c r="A494" s="1" t="s">
        <v>72</v>
      </c>
      <c r="B494" s="1" t="s">
        <v>8619</v>
      </c>
      <c r="C494" s="1" t="s">
        <v>74</v>
      </c>
      <c r="D494" s="1" t="s">
        <v>74</v>
      </c>
      <c r="E494" s="1" t="s">
        <v>74</v>
      </c>
      <c r="F494" s="1" t="s">
        <v>8620</v>
      </c>
      <c r="G494" s="1" t="s">
        <v>74</v>
      </c>
      <c r="H494" s="1" t="s">
        <v>74</v>
      </c>
      <c r="I494" s="1" t="s">
        <v>8621</v>
      </c>
      <c r="J494" s="1" t="s">
        <v>554</v>
      </c>
      <c r="K494" s="1" t="s">
        <v>74</v>
      </c>
      <c r="L494" s="1" t="s">
        <v>74</v>
      </c>
      <c r="M494" s="1" t="s">
        <v>78</v>
      </c>
      <c r="N494" s="1" t="s">
        <v>79</v>
      </c>
      <c r="O494" s="1" t="s">
        <v>74</v>
      </c>
      <c r="P494" s="1" t="s">
        <v>74</v>
      </c>
      <c r="Q494" s="1" t="s">
        <v>74</v>
      </c>
      <c r="R494" s="1" t="s">
        <v>74</v>
      </c>
      <c r="S494" s="1" t="s">
        <v>74</v>
      </c>
      <c r="T494" s="1" t="s">
        <v>8622</v>
      </c>
      <c r="U494" s="1" t="s">
        <v>8623</v>
      </c>
      <c r="V494" s="1" t="s">
        <v>8624</v>
      </c>
      <c r="W494" s="1" t="s">
        <v>8625</v>
      </c>
      <c r="X494" s="1" t="s">
        <v>8626</v>
      </c>
      <c r="Y494" s="1" t="s">
        <v>8627</v>
      </c>
      <c r="Z494" s="1" t="s">
        <v>8628</v>
      </c>
      <c r="AA494" s="1" t="s">
        <v>8629</v>
      </c>
      <c r="AB494" s="1" t="s">
        <v>74</v>
      </c>
      <c r="AC494" s="1" t="s">
        <v>8630</v>
      </c>
      <c r="AD494" s="1" t="s">
        <v>8631</v>
      </c>
      <c r="AE494" s="1" t="s">
        <v>8632</v>
      </c>
      <c r="AF494" s="1" t="s">
        <v>74</v>
      </c>
      <c r="AG494" s="1">
        <v>56</v>
      </c>
      <c r="AH494" s="1">
        <v>22</v>
      </c>
      <c r="AI494" s="1">
        <v>24</v>
      </c>
      <c r="AJ494" s="1">
        <v>2</v>
      </c>
      <c r="AK494" s="1">
        <v>31</v>
      </c>
      <c r="AL494" s="1" t="s">
        <v>564</v>
      </c>
      <c r="AM494" s="1" t="s">
        <v>113</v>
      </c>
      <c r="AN494" s="1" t="s">
        <v>807</v>
      </c>
      <c r="AO494" s="1" t="s">
        <v>566</v>
      </c>
      <c r="AP494" s="1" t="s">
        <v>567</v>
      </c>
      <c r="AQ494" s="1" t="s">
        <v>74</v>
      </c>
      <c r="AR494" s="1" t="s">
        <v>568</v>
      </c>
      <c r="AS494" s="1" t="s">
        <v>569</v>
      </c>
      <c r="AT494" s="1" t="s">
        <v>142</v>
      </c>
      <c r="AU494" s="1">
        <v>2019</v>
      </c>
      <c r="AV494" s="1">
        <v>220</v>
      </c>
      <c r="AW494" s="1" t="s">
        <v>74</v>
      </c>
      <c r="AX494" s="1" t="s">
        <v>74</v>
      </c>
      <c r="AY494" s="1" t="s">
        <v>74</v>
      </c>
      <c r="AZ494" s="1" t="s">
        <v>74</v>
      </c>
      <c r="BA494" s="1" t="s">
        <v>74</v>
      </c>
      <c r="BB494" s="1">
        <v>1</v>
      </c>
      <c r="BC494" s="1">
        <v>8</v>
      </c>
      <c r="BD494" s="1" t="s">
        <v>74</v>
      </c>
      <c r="BE494" s="1" t="s">
        <v>8633</v>
      </c>
      <c r="BF494" s="1" t="str">
        <f>HYPERLINK("http://dx.doi.org/10.1016/j.cbpc.2019.02.010","http://dx.doi.org/10.1016/j.cbpc.2019.02.010")</f>
        <v>http://dx.doi.org/10.1016/j.cbpc.2019.02.010</v>
      </c>
      <c r="BG494" s="1" t="s">
        <v>74</v>
      </c>
      <c r="BH494" s="1" t="s">
        <v>74</v>
      </c>
      <c r="BI494" s="1">
        <v>8</v>
      </c>
      <c r="BJ494" s="1" t="s">
        <v>571</v>
      </c>
      <c r="BK494" s="1" t="s">
        <v>96</v>
      </c>
      <c r="BL494" s="1" t="s">
        <v>571</v>
      </c>
      <c r="BM494" s="1" t="s">
        <v>8634</v>
      </c>
      <c r="BN494" s="1">
        <v>30802620</v>
      </c>
      <c r="BO494" s="1" t="s">
        <v>74</v>
      </c>
      <c r="BP494" s="1" t="s">
        <v>74</v>
      </c>
      <c r="BQ494" s="1" t="s">
        <v>74</v>
      </c>
      <c r="BR494" s="1" t="s">
        <v>98</v>
      </c>
      <c r="BS494" s="1" t="s">
        <v>8635</v>
      </c>
      <c r="BT494" s="1" t="str">
        <f>HYPERLINK("https%3A%2F%2Fwww.webofscience.com%2Fwos%2Fwoscc%2Ffull-record%2FWOS:000469306000001","View Full Record in Web of Science")</f>
        <v>View Full Record in Web of Science</v>
      </c>
    </row>
    <row r="495" spans="1:72">
      <c r="A495" s="1" t="s">
        <v>72</v>
      </c>
      <c r="B495" s="1" t="s">
        <v>8636</v>
      </c>
      <c r="C495" s="1" t="s">
        <v>74</v>
      </c>
      <c r="D495" s="1" t="s">
        <v>74</v>
      </c>
      <c r="E495" s="1" t="s">
        <v>74</v>
      </c>
      <c r="F495" s="1" t="s">
        <v>8637</v>
      </c>
      <c r="G495" s="1" t="s">
        <v>74</v>
      </c>
      <c r="H495" s="1" t="s">
        <v>74</v>
      </c>
      <c r="I495" s="1" t="s">
        <v>8638</v>
      </c>
      <c r="J495" s="1" t="s">
        <v>8639</v>
      </c>
      <c r="K495" s="1" t="s">
        <v>74</v>
      </c>
      <c r="L495" s="1" t="s">
        <v>74</v>
      </c>
      <c r="M495" s="1" t="s">
        <v>78</v>
      </c>
      <c r="N495" s="1" t="s">
        <v>79</v>
      </c>
      <c r="O495" s="1" t="s">
        <v>74</v>
      </c>
      <c r="P495" s="1" t="s">
        <v>74</v>
      </c>
      <c r="Q495" s="1" t="s">
        <v>74</v>
      </c>
      <c r="R495" s="1" t="s">
        <v>74</v>
      </c>
      <c r="S495" s="1" t="s">
        <v>74</v>
      </c>
      <c r="T495" s="1" t="s">
        <v>8640</v>
      </c>
      <c r="U495" s="1" t="s">
        <v>8641</v>
      </c>
      <c r="V495" s="1" t="s">
        <v>8642</v>
      </c>
      <c r="W495" s="1" t="s">
        <v>8643</v>
      </c>
      <c r="X495" s="1" t="s">
        <v>8644</v>
      </c>
      <c r="Y495" s="1" t="s">
        <v>8645</v>
      </c>
      <c r="Z495" s="1" t="s">
        <v>8646</v>
      </c>
      <c r="AA495" s="1" t="s">
        <v>8647</v>
      </c>
      <c r="AB495" s="1" t="s">
        <v>8648</v>
      </c>
      <c r="AC495" s="1" t="s">
        <v>74</v>
      </c>
      <c r="AD495" s="1" t="s">
        <v>74</v>
      </c>
      <c r="AE495" s="1" t="s">
        <v>74</v>
      </c>
      <c r="AF495" s="1" t="s">
        <v>74</v>
      </c>
      <c r="AG495" s="1">
        <v>90</v>
      </c>
      <c r="AH495" s="1">
        <v>7</v>
      </c>
      <c r="AI495" s="1">
        <v>7</v>
      </c>
      <c r="AJ495" s="1">
        <v>1</v>
      </c>
      <c r="AK495" s="1">
        <v>20</v>
      </c>
      <c r="AL495" s="1" t="s">
        <v>650</v>
      </c>
      <c r="AM495" s="1" t="s">
        <v>651</v>
      </c>
      <c r="AN495" s="1" t="s">
        <v>652</v>
      </c>
      <c r="AO495" s="1" t="s">
        <v>8649</v>
      </c>
      <c r="AP495" s="1" t="s">
        <v>8650</v>
      </c>
      <c r="AQ495" s="1" t="s">
        <v>74</v>
      </c>
      <c r="AR495" s="1" t="s">
        <v>8651</v>
      </c>
      <c r="AS495" s="1" t="s">
        <v>8652</v>
      </c>
      <c r="AT495" s="1" t="s">
        <v>3542</v>
      </c>
      <c r="AU495" s="1">
        <v>2022</v>
      </c>
      <c r="AV495" s="1">
        <v>363</v>
      </c>
      <c r="AW495" s="1" t="s">
        <v>74</v>
      </c>
      <c r="AX495" s="1" t="s">
        <v>74</v>
      </c>
      <c r="AY495" s="1" t="s">
        <v>74</v>
      </c>
      <c r="AZ495" s="1" t="s">
        <v>74</v>
      </c>
      <c r="BA495" s="1" t="s">
        <v>74</v>
      </c>
      <c r="BB495" s="1" t="s">
        <v>74</v>
      </c>
      <c r="BC495" s="1" t="s">
        <v>74</v>
      </c>
      <c r="BD495" s="1">
        <v>119799</v>
      </c>
      <c r="BE495" s="1" t="s">
        <v>8653</v>
      </c>
      <c r="BF495" s="1" t="str">
        <f>HYPERLINK("http://dx.doi.org/10.1016/j.molliq.2022.119799","http://dx.doi.org/10.1016/j.molliq.2022.119799")</f>
        <v>http://dx.doi.org/10.1016/j.molliq.2022.119799</v>
      </c>
      <c r="BG495" s="1" t="s">
        <v>74</v>
      </c>
      <c r="BH495" s="1" t="s">
        <v>8654</v>
      </c>
      <c r="BI495" s="1">
        <v>15</v>
      </c>
      <c r="BJ495" s="1" t="s">
        <v>8655</v>
      </c>
      <c r="BK495" s="1" t="s">
        <v>96</v>
      </c>
      <c r="BL495" s="1" t="s">
        <v>8656</v>
      </c>
      <c r="BM495" s="1" t="s">
        <v>8657</v>
      </c>
      <c r="BN495" s="1" t="s">
        <v>74</v>
      </c>
      <c r="BO495" s="1" t="s">
        <v>74</v>
      </c>
      <c r="BP495" s="1" t="s">
        <v>74</v>
      </c>
      <c r="BQ495" s="1" t="s">
        <v>74</v>
      </c>
      <c r="BR495" s="1" t="s">
        <v>98</v>
      </c>
      <c r="BS495" s="1" t="s">
        <v>8658</v>
      </c>
      <c r="BT495" s="1" t="str">
        <f>HYPERLINK("https%3A%2F%2Fwww.webofscience.com%2Fwos%2Fwoscc%2Ffull-record%2FWOS:000831709000001","View Full Record in Web of Science")</f>
        <v>View Full Record in Web of Science</v>
      </c>
    </row>
    <row r="496" spans="1:72">
      <c r="A496" s="1" t="s">
        <v>72</v>
      </c>
      <c r="B496" s="1" t="s">
        <v>8659</v>
      </c>
      <c r="C496" s="1" t="s">
        <v>74</v>
      </c>
      <c r="D496" s="1" t="s">
        <v>74</v>
      </c>
      <c r="E496" s="1" t="s">
        <v>74</v>
      </c>
      <c r="F496" s="1" t="s">
        <v>8659</v>
      </c>
      <c r="G496" s="1" t="s">
        <v>74</v>
      </c>
      <c r="H496" s="1" t="s">
        <v>74</v>
      </c>
      <c r="I496" s="1" t="s">
        <v>8660</v>
      </c>
      <c r="J496" s="1" t="s">
        <v>421</v>
      </c>
      <c r="K496" s="1" t="s">
        <v>74</v>
      </c>
      <c r="L496" s="1" t="s">
        <v>74</v>
      </c>
      <c r="M496" s="1" t="s">
        <v>78</v>
      </c>
      <c r="N496" s="1" t="s">
        <v>79</v>
      </c>
      <c r="O496" s="1" t="s">
        <v>74</v>
      </c>
      <c r="P496" s="1" t="s">
        <v>74</v>
      </c>
      <c r="Q496" s="1" t="s">
        <v>74</v>
      </c>
      <c r="R496" s="1" t="s">
        <v>74</v>
      </c>
      <c r="S496" s="1" t="s">
        <v>74</v>
      </c>
      <c r="T496" s="1" t="s">
        <v>74</v>
      </c>
      <c r="U496" s="1" t="s">
        <v>8661</v>
      </c>
      <c r="V496" s="1" t="s">
        <v>8662</v>
      </c>
      <c r="W496" s="1" t="s">
        <v>8663</v>
      </c>
      <c r="X496" s="1" t="s">
        <v>8664</v>
      </c>
      <c r="Y496" s="1" t="s">
        <v>8665</v>
      </c>
      <c r="Z496" s="1" t="s">
        <v>74</v>
      </c>
      <c r="AA496" s="1" t="s">
        <v>74</v>
      </c>
      <c r="AB496" s="1" t="s">
        <v>74</v>
      </c>
      <c r="AC496" s="1" t="s">
        <v>74</v>
      </c>
      <c r="AD496" s="1" t="s">
        <v>74</v>
      </c>
      <c r="AE496" s="1" t="s">
        <v>74</v>
      </c>
      <c r="AF496" s="1" t="s">
        <v>74</v>
      </c>
      <c r="AG496" s="1">
        <v>41</v>
      </c>
      <c r="AH496" s="1">
        <v>29</v>
      </c>
      <c r="AI496" s="1">
        <v>30</v>
      </c>
      <c r="AJ496" s="1">
        <v>0</v>
      </c>
      <c r="AK496" s="1">
        <v>11</v>
      </c>
      <c r="AL496" s="1" t="s">
        <v>430</v>
      </c>
      <c r="AM496" s="1" t="s">
        <v>137</v>
      </c>
      <c r="AN496" s="1" t="s">
        <v>1600</v>
      </c>
      <c r="AO496" s="1" t="s">
        <v>432</v>
      </c>
      <c r="AP496" s="1" t="s">
        <v>74</v>
      </c>
      <c r="AQ496" s="1" t="s">
        <v>74</v>
      </c>
      <c r="AR496" s="1" t="s">
        <v>433</v>
      </c>
      <c r="AS496" s="1" t="s">
        <v>434</v>
      </c>
      <c r="AT496" s="1" t="s">
        <v>74</v>
      </c>
      <c r="AU496" s="1">
        <v>1991</v>
      </c>
      <c r="AV496" s="1">
        <v>74</v>
      </c>
      <c r="AW496" s="1">
        <v>3</v>
      </c>
      <c r="AX496" s="1" t="s">
        <v>74</v>
      </c>
      <c r="AY496" s="1" t="s">
        <v>74</v>
      </c>
      <c r="AZ496" s="1" t="s">
        <v>74</v>
      </c>
      <c r="BA496" s="1" t="s">
        <v>74</v>
      </c>
      <c r="BB496" s="1">
        <v>227</v>
      </c>
      <c r="BC496" s="1">
        <v>244</v>
      </c>
      <c r="BD496" s="1" t="s">
        <v>74</v>
      </c>
      <c r="BE496" s="1" t="s">
        <v>8666</v>
      </c>
      <c r="BF496" s="1" t="str">
        <f>HYPERLINK("http://dx.doi.org/10.1016/0269-7491(91)90072-5","http://dx.doi.org/10.1016/0269-7491(91)90072-5")</f>
        <v>http://dx.doi.org/10.1016/0269-7491(91)90072-5</v>
      </c>
      <c r="BG496" s="1" t="s">
        <v>74</v>
      </c>
      <c r="BH496" s="1" t="s">
        <v>74</v>
      </c>
      <c r="BI496" s="1">
        <v>18</v>
      </c>
      <c r="BJ496" s="1" t="s">
        <v>144</v>
      </c>
      <c r="BK496" s="1" t="s">
        <v>96</v>
      </c>
      <c r="BL496" s="1" t="s">
        <v>145</v>
      </c>
      <c r="BM496" s="1" t="s">
        <v>8667</v>
      </c>
      <c r="BN496" s="1">
        <v>15092063</v>
      </c>
      <c r="BO496" s="1" t="s">
        <v>74</v>
      </c>
      <c r="BP496" s="1" t="s">
        <v>74</v>
      </c>
      <c r="BQ496" s="1" t="s">
        <v>74</v>
      </c>
      <c r="BR496" s="1" t="s">
        <v>98</v>
      </c>
      <c r="BS496" s="1" t="s">
        <v>8668</v>
      </c>
      <c r="BT496" s="1" t="str">
        <f>HYPERLINK("https%3A%2F%2Fwww.webofscience.com%2Fwos%2Fwoscc%2Ffull-record%2FWOS:A1991GL09600004","View Full Record in Web of Science")</f>
        <v>View Full Record in Web of Science</v>
      </c>
    </row>
    <row r="497" spans="1:72">
      <c r="A497" s="1" t="s">
        <v>72</v>
      </c>
      <c r="B497" s="1" t="s">
        <v>8669</v>
      </c>
      <c r="C497" s="1" t="s">
        <v>74</v>
      </c>
      <c r="D497" s="1" t="s">
        <v>74</v>
      </c>
      <c r="E497" s="1" t="s">
        <v>74</v>
      </c>
      <c r="F497" s="1" t="s">
        <v>8669</v>
      </c>
      <c r="G497" s="1" t="s">
        <v>74</v>
      </c>
      <c r="H497" s="1" t="s">
        <v>74</v>
      </c>
      <c r="I497" s="1" t="s">
        <v>8670</v>
      </c>
      <c r="J497" s="1" t="s">
        <v>179</v>
      </c>
      <c r="K497" s="1" t="s">
        <v>74</v>
      </c>
      <c r="L497" s="1" t="s">
        <v>74</v>
      </c>
      <c r="M497" s="1" t="s">
        <v>78</v>
      </c>
      <c r="N497" s="1" t="s">
        <v>79</v>
      </c>
      <c r="O497" s="1" t="s">
        <v>74</v>
      </c>
      <c r="P497" s="1" t="s">
        <v>74</v>
      </c>
      <c r="Q497" s="1" t="s">
        <v>74</v>
      </c>
      <c r="R497" s="1" t="s">
        <v>74</v>
      </c>
      <c r="S497" s="1" t="s">
        <v>74</v>
      </c>
      <c r="T497" s="1" t="s">
        <v>8671</v>
      </c>
      <c r="U497" s="1" t="s">
        <v>8672</v>
      </c>
      <c r="V497" s="1" t="s">
        <v>8673</v>
      </c>
      <c r="W497" s="1" t="s">
        <v>8674</v>
      </c>
      <c r="X497" s="1" t="s">
        <v>74</v>
      </c>
      <c r="Y497" s="1" t="s">
        <v>8675</v>
      </c>
      <c r="Z497" s="1" t="s">
        <v>74</v>
      </c>
      <c r="AA497" s="1" t="s">
        <v>74</v>
      </c>
      <c r="AB497" s="1" t="s">
        <v>74</v>
      </c>
      <c r="AC497" s="1" t="s">
        <v>74</v>
      </c>
      <c r="AD497" s="1" t="s">
        <v>74</v>
      </c>
      <c r="AE497" s="1" t="s">
        <v>74</v>
      </c>
      <c r="AF497" s="1" t="s">
        <v>74</v>
      </c>
      <c r="AG497" s="1">
        <v>56</v>
      </c>
      <c r="AH497" s="1">
        <v>172</v>
      </c>
      <c r="AI497" s="1">
        <v>201</v>
      </c>
      <c r="AJ497" s="1">
        <v>4</v>
      </c>
      <c r="AK497" s="1">
        <v>95</v>
      </c>
      <c r="AL497" s="1" t="s">
        <v>716</v>
      </c>
      <c r="AM497" s="1" t="s">
        <v>191</v>
      </c>
      <c r="AN497" s="1" t="s">
        <v>717</v>
      </c>
      <c r="AO497" s="1" t="s">
        <v>193</v>
      </c>
      <c r="AP497" s="1" t="s">
        <v>74</v>
      </c>
      <c r="AQ497" s="1" t="s">
        <v>74</v>
      </c>
      <c r="AR497" s="1" t="s">
        <v>195</v>
      </c>
      <c r="AS497" s="1" t="s">
        <v>196</v>
      </c>
      <c r="AT497" s="1" t="s">
        <v>93</v>
      </c>
      <c r="AU497" s="1">
        <v>1999</v>
      </c>
      <c r="AV497" s="1">
        <v>55</v>
      </c>
      <c r="AW497" s="1">
        <v>3</v>
      </c>
      <c r="AX497" s="1" t="s">
        <v>74</v>
      </c>
      <c r="AY497" s="1" t="s">
        <v>74</v>
      </c>
      <c r="AZ497" s="1" t="s">
        <v>74</v>
      </c>
      <c r="BA497" s="1" t="s">
        <v>74</v>
      </c>
      <c r="BB497" s="1">
        <v>459</v>
      </c>
      <c r="BC497" s="1">
        <v>470</v>
      </c>
      <c r="BD497" s="1" t="s">
        <v>74</v>
      </c>
      <c r="BE497" s="1" t="s">
        <v>8676</v>
      </c>
      <c r="BF497" s="1" t="str">
        <f>HYPERLINK("http://dx.doi.org/10.1023/A:1005995217901","http://dx.doi.org/10.1023/A:1005995217901")</f>
        <v>http://dx.doi.org/10.1023/A:1005995217901</v>
      </c>
      <c r="BG497" s="1" t="s">
        <v>74</v>
      </c>
      <c r="BH497" s="1" t="s">
        <v>74</v>
      </c>
      <c r="BI497" s="1">
        <v>12</v>
      </c>
      <c r="BJ497" s="1" t="s">
        <v>144</v>
      </c>
      <c r="BK497" s="1" t="s">
        <v>96</v>
      </c>
      <c r="BL497" s="1" t="s">
        <v>145</v>
      </c>
      <c r="BM497" s="1" t="s">
        <v>8677</v>
      </c>
      <c r="BN497" s="1" t="s">
        <v>74</v>
      </c>
      <c r="BO497" s="1" t="s">
        <v>74</v>
      </c>
      <c r="BP497" s="1" t="s">
        <v>74</v>
      </c>
      <c r="BQ497" s="1" t="s">
        <v>74</v>
      </c>
      <c r="BR497" s="1" t="s">
        <v>98</v>
      </c>
      <c r="BS497" s="1" t="s">
        <v>8678</v>
      </c>
      <c r="BT497" s="1" t="str">
        <f>HYPERLINK("https%3A%2F%2Fwww.webofscience.com%2Fwos%2Fwoscc%2Ffull-record%2FWOS:000080258800009","View Full Record in Web of Science")</f>
        <v>View Full Record in Web of Science</v>
      </c>
    </row>
    <row r="498" spans="1:72">
      <c r="A498" s="1" t="s">
        <v>72</v>
      </c>
      <c r="B498" s="1" t="s">
        <v>8679</v>
      </c>
      <c r="C498" s="1" t="s">
        <v>74</v>
      </c>
      <c r="D498" s="1" t="s">
        <v>74</v>
      </c>
      <c r="E498" s="1" t="s">
        <v>74</v>
      </c>
      <c r="F498" s="1" t="s">
        <v>8680</v>
      </c>
      <c r="G498" s="1" t="s">
        <v>74</v>
      </c>
      <c r="H498" s="1" t="s">
        <v>74</v>
      </c>
      <c r="I498" s="1" t="s">
        <v>8681</v>
      </c>
      <c r="J498" s="1" t="s">
        <v>2919</v>
      </c>
      <c r="K498" s="1" t="s">
        <v>74</v>
      </c>
      <c r="L498" s="1" t="s">
        <v>74</v>
      </c>
      <c r="M498" s="1" t="s">
        <v>78</v>
      </c>
      <c r="N498" s="1" t="s">
        <v>79</v>
      </c>
      <c r="O498" s="1" t="s">
        <v>74</v>
      </c>
      <c r="P498" s="1" t="s">
        <v>74</v>
      </c>
      <c r="Q498" s="1" t="s">
        <v>74</v>
      </c>
      <c r="R498" s="1" t="s">
        <v>74</v>
      </c>
      <c r="S498" s="1" t="s">
        <v>74</v>
      </c>
      <c r="T498" s="1" t="s">
        <v>8682</v>
      </c>
      <c r="U498" s="1" t="s">
        <v>8683</v>
      </c>
      <c r="V498" s="1" t="s">
        <v>8684</v>
      </c>
      <c r="W498" s="1" t="s">
        <v>8685</v>
      </c>
      <c r="X498" s="1" t="s">
        <v>8686</v>
      </c>
      <c r="Y498" s="1" t="s">
        <v>8687</v>
      </c>
      <c r="Z498" s="1" t="s">
        <v>8688</v>
      </c>
      <c r="AA498" s="1" t="s">
        <v>8689</v>
      </c>
      <c r="AB498" s="1" t="s">
        <v>8690</v>
      </c>
      <c r="AC498" s="1" t="s">
        <v>74</v>
      </c>
      <c r="AD498" s="1" t="s">
        <v>74</v>
      </c>
      <c r="AE498" s="1" t="s">
        <v>74</v>
      </c>
      <c r="AF498" s="1" t="s">
        <v>74</v>
      </c>
      <c r="AG498" s="1">
        <v>36</v>
      </c>
      <c r="AH498" s="1">
        <v>18</v>
      </c>
      <c r="AI498" s="1">
        <v>19</v>
      </c>
      <c r="AJ498" s="1">
        <v>2</v>
      </c>
      <c r="AK498" s="1">
        <v>36</v>
      </c>
      <c r="AL498" s="1" t="s">
        <v>2929</v>
      </c>
      <c r="AM498" s="1" t="s">
        <v>2930</v>
      </c>
      <c r="AN498" s="1" t="s">
        <v>2931</v>
      </c>
      <c r="AO498" s="1" t="s">
        <v>2932</v>
      </c>
      <c r="AP498" s="1" t="s">
        <v>74</v>
      </c>
      <c r="AQ498" s="1" t="s">
        <v>74</v>
      </c>
      <c r="AR498" s="1" t="s">
        <v>2933</v>
      </c>
      <c r="AS498" s="1" t="s">
        <v>2934</v>
      </c>
      <c r="AT498" s="1" t="s">
        <v>4410</v>
      </c>
      <c r="AU498" s="1">
        <v>2018</v>
      </c>
      <c r="AV498" s="1">
        <v>69</v>
      </c>
      <c r="AW498" s="1">
        <v>1</v>
      </c>
      <c r="AX498" s="1" t="s">
        <v>74</v>
      </c>
      <c r="AY498" s="1" t="s">
        <v>74</v>
      </c>
      <c r="AZ498" s="1" t="s">
        <v>74</v>
      </c>
      <c r="BA498" s="1" t="s">
        <v>74</v>
      </c>
      <c r="BB498" s="1">
        <v>749</v>
      </c>
      <c r="BC498" s="1">
        <v>758</v>
      </c>
      <c r="BD498" s="1" t="s">
        <v>74</v>
      </c>
      <c r="BE498" s="1" t="s">
        <v>74</v>
      </c>
      <c r="BF498" s="1" t="s">
        <v>74</v>
      </c>
      <c r="BG498" s="1" t="s">
        <v>74</v>
      </c>
      <c r="BH498" s="1" t="s">
        <v>74</v>
      </c>
      <c r="BI498" s="1">
        <v>10</v>
      </c>
      <c r="BJ498" s="1" t="s">
        <v>1057</v>
      </c>
      <c r="BK498" s="1" t="s">
        <v>96</v>
      </c>
      <c r="BL498" s="1" t="s">
        <v>1057</v>
      </c>
      <c r="BM498" s="1" t="s">
        <v>8691</v>
      </c>
      <c r="BN498" s="1" t="s">
        <v>74</v>
      </c>
      <c r="BO498" s="1" t="s">
        <v>8692</v>
      </c>
      <c r="BP498" s="1" t="s">
        <v>74</v>
      </c>
      <c r="BQ498" s="1" t="s">
        <v>74</v>
      </c>
      <c r="BR498" s="1" t="s">
        <v>98</v>
      </c>
      <c r="BS498" s="1" t="s">
        <v>8693</v>
      </c>
      <c r="BT498" s="1" t="str">
        <f>HYPERLINK("https%3A%2F%2Fwww.webofscience.com%2Fwos%2Fwoscc%2Ffull-record%2FWOS:000432327500006","View Full Record in Web of Science")</f>
        <v>View Full Record in Web of Science</v>
      </c>
    </row>
    <row r="499" spans="1:72">
      <c r="A499" s="1" t="s">
        <v>72</v>
      </c>
      <c r="B499" s="1" t="s">
        <v>8694</v>
      </c>
      <c r="C499" s="1" t="s">
        <v>74</v>
      </c>
      <c r="D499" s="1" t="s">
        <v>74</v>
      </c>
      <c r="E499" s="1" t="s">
        <v>74</v>
      </c>
      <c r="F499" s="1" t="s">
        <v>8694</v>
      </c>
      <c r="G499" s="1" t="s">
        <v>74</v>
      </c>
      <c r="H499" s="1" t="s">
        <v>74</v>
      </c>
      <c r="I499" s="1" t="s">
        <v>8695</v>
      </c>
      <c r="J499" s="1" t="s">
        <v>8696</v>
      </c>
      <c r="K499" s="1" t="s">
        <v>74</v>
      </c>
      <c r="L499" s="1" t="s">
        <v>74</v>
      </c>
      <c r="M499" s="1" t="s">
        <v>78</v>
      </c>
      <c r="N499" s="1" t="s">
        <v>79</v>
      </c>
      <c r="O499" s="1" t="s">
        <v>74</v>
      </c>
      <c r="P499" s="1" t="s">
        <v>74</v>
      </c>
      <c r="Q499" s="1" t="s">
        <v>74</v>
      </c>
      <c r="R499" s="1" t="s">
        <v>74</v>
      </c>
      <c r="S499" s="1" t="s">
        <v>74</v>
      </c>
      <c r="T499" s="1" t="s">
        <v>74</v>
      </c>
      <c r="U499" s="1" t="s">
        <v>8697</v>
      </c>
      <c r="V499" s="1" t="s">
        <v>8698</v>
      </c>
      <c r="W499" s="1" t="s">
        <v>8699</v>
      </c>
      <c r="X499" s="1" t="s">
        <v>8700</v>
      </c>
      <c r="Y499" s="1" t="s">
        <v>8701</v>
      </c>
      <c r="Z499" s="1" t="s">
        <v>74</v>
      </c>
      <c r="AA499" s="1" t="s">
        <v>8702</v>
      </c>
      <c r="AB499" s="1" t="s">
        <v>74</v>
      </c>
      <c r="AC499" s="1" t="s">
        <v>74</v>
      </c>
      <c r="AD499" s="1" t="s">
        <v>74</v>
      </c>
      <c r="AE499" s="1" t="s">
        <v>74</v>
      </c>
      <c r="AF499" s="1" t="s">
        <v>74</v>
      </c>
      <c r="AG499" s="1">
        <v>13</v>
      </c>
      <c r="AH499" s="1">
        <v>2</v>
      </c>
      <c r="AI499" s="1">
        <v>2</v>
      </c>
      <c r="AJ499" s="1">
        <v>0</v>
      </c>
      <c r="AK499" s="1">
        <v>3</v>
      </c>
      <c r="AL499" s="1" t="s">
        <v>8703</v>
      </c>
      <c r="AM499" s="1" t="s">
        <v>8704</v>
      </c>
      <c r="AN499" s="1" t="s">
        <v>8705</v>
      </c>
      <c r="AO499" s="1" t="s">
        <v>8706</v>
      </c>
      <c r="AP499" s="1" t="s">
        <v>74</v>
      </c>
      <c r="AQ499" s="1" t="s">
        <v>74</v>
      </c>
      <c r="AR499" s="1" t="s">
        <v>8707</v>
      </c>
      <c r="AS499" s="1" t="s">
        <v>8708</v>
      </c>
      <c r="AT499" s="1" t="s">
        <v>951</v>
      </c>
      <c r="AU499" s="1">
        <v>1996</v>
      </c>
      <c r="AV499" s="1">
        <v>48</v>
      </c>
      <c r="AW499" s="1">
        <v>4</v>
      </c>
      <c r="AX499" s="1" t="s">
        <v>74</v>
      </c>
      <c r="AY499" s="1" t="s">
        <v>74</v>
      </c>
      <c r="AZ499" s="1" t="s">
        <v>74</v>
      </c>
      <c r="BA499" s="1" t="s">
        <v>74</v>
      </c>
      <c r="BB499" s="1">
        <v>261</v>
      </c>
      <c r="BC499" s="1">
        <v>266</v>
      </c>
      <c r="BD499" s="1" t="s">
        <v>74</v>
      </c>
      <c r="BE499" s="1" t="s">
        <v>74</v>
      </c>
      <c r="BF499" s="1" t="s">
        <v>74</v>
      </c>
      <c r="BG499" s="1" t="s">
        <v>74</v>
      </c>
      <c r="BH499" s="1" t="s">
        <v>74</v>
      </c>
      <c r="BI499" s="1">
        <v>6</v>
      </c>
      <c r="BJ499" s="1" t="s">
        <v>8709</v>
      </c>
      <c r="BK499" s="1" t="s">
        <v>96</v>
      </c>
      <c r="BL499" s="1" t="s">
        <v>8710</v>
      </c>
      <c r="BM499" s="1" t="s">
        <v>8711</v>
      </c>
      <c r="BN499" s="1" t="s">
        <v>74</v>
      </c>
      <c r="BO499" s="1" t="s">
        <v>74</v>
      </c>
      <c r="BP499" s="1" t="s">
        <v>74</v>
      </c>
      <c r="BQ499" s="1" t="s">
        <v>74</v>
      </c>
      <c r="BR499" s="1" t="s">
        <v>98</v>
      </c>
      <c r="BS499" s="1" t="s">
        <v>8712</v>
      </c>
      <c r="BT499" s="1" t="str">
        <f>HYPERLINK("https%3A%2F%2Fwww.webofscience.com%2Fwos%2Fwoscc%2Ffull-record%2FWOS:A1996VY50000002","View Full Record in Web of Science")</f>
        <v>View Full Record in Web of Science</v>
      </c>
    </row>
    <row r="500" spans="1:72">
      <c r="A500" s="1" t="s">
        <v>72</v>
      </c>
      <c r="B500" s="1" t="s">
        <v>8713</v>
      </c>
      <c r="C500" s="1" t="s">
        <v>74</v>
      </c>
      <c r="D500" s="1" t="s">
        <v>74</v>
      </c>
      <c r="E500" s="1" t="s">
        <v>74</v>
      </c>
      <c r="F500" s="1" t="s">
        <v>8714</v>
      </c>
      <c r="G500" s="1" t="s">
        <v>74</v>
      </c>
      <c r="H500" s="1" t="s">
        <v>74</v>
      </c>
      <c r="I500" s="1" t="s">
        <v>8715</v>
      </c>
      <c r="J500" s="1" t="s">
        <v>8716</v>
      </c>
      <c r="K500" s="1" t="s">
        <v>74</v>
      </c>
      <c r="L500" s="1" t="s">
        <v>74</v>
      </c>
      <c r="M500" s="1" t="s">
        <v>78</v>
      </c>
      <c r="N500" s="1" t="s">
        <v>79</v>
      </c>
      <c r="O500" s="1" t="s">
        <v>74</v>
      </c>
      <c r="P500" s="1" t="s">
        <v>74</v>
      </c>
      <c r="Q500" s="1" t="s">
        <v>74</v>
      </c>
      <c r="R500" s="1" t="s">
        <v>74</v>
      </c>
      <c r="S500" s="1" t="s">
        <v>74</v>
      </c>
      <c r="T500" s="1" t="s">
        <v>8717</v>
      </c>
      <c r="U500" s="1" t="s">
        <v>8718</v>
      </c>
      <c r="V500" s="1" t="s">
        <v>8719</v>
      </c>
      <c r="W500" s="1" t="s">
        <v>8720</v>
      </c>
      <c r="X500" s="1" t="s">
        <v>8721</v>
      </c>
      <c r="Y500" s="1" t="s">
        <v>8722</v>
      </c>
      <c r="Z500" s="1" t="s">
        <v>8723</v>
      </c>
      <c r="AA500" s="1" t="s">
        <v>74</v>
      </c>
      <c r="AB500" s="1" t="s">
        <v>74</v>
      </c>
      <c r="AC500" s="1" t="s">
        <v>74</v>
      </c>
      <c r="AD500" s="1" t="s">
        <v>74</v>
      </c>
      <c r="AE500" s="1" t="s">
        <v>74</v>
      </c>
      <c r="AF500" s="1" t="s">
        <v>74</v>
      </c>
      <c r="AG500" s="1">
        <v>51</v>
      </c>
      <c r="AH500" s="1">
        <v>0</v>
      </c>
      <c r="AI500" s="1">
        <v>0</v>
      </c>
      <c r="AJ500" s="1">
        <v>2</v>
      </c>
      <c r="AK500" s="1">
        <v>4</v>
      </c>
      <c r="AL500" s="1" t="s">
        <v>8724</v>
      </c>
      <c r="AM500" s="1" t="s">
        <v>8725</v>
      </c>
      <c r="AN500" s="1" t="s">
        <v>8726</v>
      </c>
      <c r="AO500" s="1" t="s">
        <v>8727</v>
      </c>
      <c r="AP500" s="1" t="s">
        <v>74</v>
      </c>
      <c r="AQ500" s="1" t="s">
        <v>74</v>
      </c>
      <c r="AR500" s="1" t="s">
        <v>8728</v>
      </c>
      <c r="AS500" s="1" t="s">
        <v>8729</v>
      </c>
      <c r="AT500" s="1" t="s">
        <v>74</v>
      </c>
      <c r="AU500" s="1">
        <v>2022</v>
      </c>
      <c r="AV500" s="1">
        <v>25</v>
      </c>
      <c r="AW500" s="1">
        <v>2</v>
      </c>
      <c r="AX500" s="1" t="s">
        <v>74</v>
      </c>
      <c r="AY500" s="1" t="s">
        <v>74</v>
      </c>
      <c r="AZ500" s="1" t="s">
        <v>74</v>
      </c>
      <c r="BA500" s="1" t="s">
        <v>74</v>
      </c>
      <c r="BB500" s="1">
        <v>20</v>
      </c>
      <c r="BC500" s="1">
        <v>27</v>
      </c>
      <c r="BD500" s="1" t="s">
        <v>74</v>
      </c>
      <c r="BE500" s="1" t="s">
        <v>74</v>
      </c>
      <c r="BF500" s="1" t="s">
        <v>74</v>
      </c>
      <c r="BG500" s="1" t="s">
        <v>74</v>
      </c>
      <c r="BH500" s="1" t="s">
        <v>74</v>
      </c>
      <c r="BI500" s="1">
        <v>8</v>
      </c>
      <c r="BJ500" s="1" t="s">
        <v>144</v>
      </c>
      <c r="BK500" s="1" t="s">
        <v>96</v>
      </c>
      <c r="BL500" s="1" t="s">
        <v>145</v>
      </c>
      <c r="BM500" s="1" t="s">
        <v>8730</v>
      </c>
      <c r="BN500" s="1" t="s">
        <v>74</v>
      </c>
      <c r="BO500" s="1" t="s">
        <v>74</v>
      </c>
      <c r="BP500" s="1" t="s">
        <v>74</v>
      </c>
      <c r="BQ500" s="1" t="s">
        <v>74</v>
      </c>
      <c r="BR500" s="1" t="s">
        <v>98</v>
      </c>
      <c r="BS500" s="1" t="s">
        <v>8731</v>
      </c>
      <c r="BT500" s="1" t="str">
        <f>HYPERLINK("https%3A%2F%2Fwww.webofscience.com%2Fwos%2Fwoscc%2Ffull-record%2FWOS:000910926000003","View Full Record in Web of Science")</f>
        <v>View Full Record in Web of Science</v>
      </c>
    </row>
    <row r="501" spans="1:72">
      <c r="A501" s="1" t="s">
        <v>72</v>
      </c>
      <c r="B501" s="1" t="s">
        <v>8732</v>
      </c>
      <c r="C501" s="1" t="s">
        <v>74</v>
      </c>
      <c r="D501" s="1" t="s">
        <v>74</v>
      </c>
      <c r="E501" s="1" t="s">
        <v>74</v>
      </c>
      <c r="F501" s="1" t="s">
        <v>8733</v>
      </c>
      <c r="G501" s="1" t="s">
        <v>74</v>
      </c>
      <c r="H501" s="1" t="s">
        <v>74</v>
      </c>
      <c r="I501" s="1" t="s">
        <v>8734</v>
      </c>
      <c r="J501" s="1" t="s">
        <v>204</v>
      </c>
      <c r="K501" s="1" t="s">
        <v>74</v>
      </c>
      <c r="L501" s="1" t="s">
        <v>74</v>
      </c>
      <c r="M501" s="1" t="s">
        <v>78</v>
      </c>
      <c r="N501" s="1" t="s">
        <v>79</v>
      </c>
      <c r="O501" s="1" t="s">
        <v>74</v>
      </c>
      <c r="P501" s="1" t="s">
        <v>74</v>
      </c>
      <c r="Q501" s="1" t="s">
        <v>74</v>
      </c>
      <c r="R501" s="1" t="s">
        <v>74</v>
      </c>
      <c r="S501" s="1" t="s">
        <v>74</v>
      </c>
      <c r="T501" s="1" t="s">
        <v>8735</v>
      </c>
      <c r="U501" s="1" t="s">
        <v>8736</v>
      </c>
      <c r="V501" s="1" t="s">
        <v>8737</v>
      </c>
      <c r="W501" s="1" t="s">
        <v>8738</v>
      </c>
      <c r="X501" s="1" t="s">
        <v>8739</v>
      </c>
      <c r="Y501" s="1" t="s">
        <v>8740</v>
      </c>
      <c r="Z501" s="1" t="s">
        <v>8741</v>
      </c>
      <c r="AA501" s="1" t="s">
        <v>74</v>
      </c>
      <c r="AB501" s="1" t="s">
        <v>8742</v>
      </c>
      <c r="AC501" s="1" t="s">
        <v>74</v>
      </c>
      <c r="AD501" s="1" t="s">
        <v>74</v>
      </c>
      <c r="AE501" s="1" t="s">
        <v>74</v>
      </c>
      <c r="AF501" s="1" t="s">
        <v>74</v>
      </c>
      <c r="AG501" s="1">
        <v>53</v>
      </c>
      <c r="AH501" s="1">
        <v>4</v>
      </c>
      <c r="AI501" s="1">
        <v>4</v>
      </c>
      <c r="AJ501" s="1">
        <v>1</v>
      </c>
      <c r="AK501" s="1">
        <v>10</v>
      </c>
      <c r="AL501" s="1" t="s">
        <v>217</v>
      </c>
      <c r="AM501" s="1" t="s">
        <v>218</v>
      </c>
      <c r="AN501" s="1" t="s">
        <v>219</v>
      </c>
      <c r="AO501" s="1" t="s">
        <v>220</v>
      </c>
      <c r="AP501" s="1" t="s">
        <v>221</v>
      </c>
      <c r="AQ501" s="1" t="s">
        <v>74</v>
      </c>
      <c r="AR501" s="1" t="s">
        <v>222</v>
      </c>
      <c r="AS501" s="1" t="s">
        <v>223</v>
      </c>
      <c r="AT501" s="1" t="s">
        <v>1223</v>
      </c>
      <c r="AU501" s="1">
        <v>2022</v>
      </c>
      <c r="AV501" s="1">
        <v>29</v>
      </c>
      <c r="AW501" s="1">
        <v>11</v>
      </c>
      <c r="AX501" s="1" t="s">
        <v>74</v>
      </c>
      <c r="AY501" s="1" t="s">
        <v>74</v>
      </c>
      <c r="AZ501" s="1" t="s">
        <v>74</v>
      </c>
      <c r="BA501" s="1" t="s">
        <v>74</v>
      </c>
      <c r="BB501" s="1">
        <v>16103</v>
      </c>
      <c r="BC501" s="1">
        <v>16112</v>
      </c>
      <c r="BD501" s="1" t="s">
        <v>74</v>
      </c>
      <c r="BE501" s="1" t="s">
        <v>8743</v>
      </c>
      <c r="BF501" s="1" t="str">
        <f>HYPERLINK("http://dx.doi.org/10.1007/s11356-021-16893-w","http://dx.doi.org/10.1007/s11356-021-16893-w")</f>
        <v>http://dx.doi.org/10.1007/s11356-021-16893-w</v>
      </c>
      <c r="BG501" s="1" t="s">
        <v>74</v>
      </c>
      <c r="BH501" s="1" t="s">
        <v>2170</v>
      </c>
      <c r="BI501" s="1">
        <v>10</v>
      </c>
      <c r="BJ501" s="1" t="s">
        <v>144</v>
      </c>
      <c r="BK501" s="1" t="s">
        <v>96</v>
      </c>
      <c r="BL501" s="1" t="s">
        <v>145</v>
      </c>
      <c r="BM501" s="1" t="s">
        <v>8744</v>
      </c>
      <c r="BN501" s="1">
        <v>34642888</v>
      </c>
      <c r="BO501" s="1" t="s">
        <v>74</v>
      </c>
      <c r="BP501" s="1" t="s">
        <v>74</v>
      </c>
      <c r="BQ501" s="1" t="s">
        <v>74</v>
      </c>
      <c r="BR501" s="1" t="s">
        <v>98</v>
      </c>
      <c r="BS501" s="1" t="s">
        <v>8745</v>
      </c>
      <c r="BT501" s="1" t="str">
        <f>HYPERLINK("https%3A%2F%2Fwww.webofscience.com%2Fwos%2Fwoscc%2Ffull-record%2FWOS:000706631300001","View Full Record in Web of Science")</f>
        <v>View Full Record in Web of Science</v>
      </c>
    </row>
    <row r="502" spans="1:72">
      <c r="A502" s="1" t="s">
        <v>72</v>
      </c>
      <c r="B502" s="1" t="s">
        <v>8746</v>
      </c>
      <c r="C502" s="1" t="s">
        <v>74</v>
      </c>
      <c r="D502" s="1" t="s">
        <v>74</v>
      </c>
      <c r="E502" s="1" t="s">
        <v>74</v>
      </c>
      <c r="F502" s="1" t="s">
        <v>8747</v>
      </c>
      <c r="G502" s="1" t="s">
        <v>74</v>
      </c>
      <c r="H502" s="1" t="s">
        <v>74</v>
      </c>
      <c r="I502" s="1" t="s">
        <v>8748</v>
      </c>
      <c r="J502" s="1" t="s">
        <v>909</v>
      </c>
      <c r="K502" s="1" t="s">
        <v>74</v>
      </c>
      <c r="L502" s="1" t="s">
        <v>74</v>
      </c>
      <c r="M502" s="1" t="s">
        <v>78</v>
      </c>
      <c r="N502" s="1" t="s">
        <v>79</v>
      </c>
      <c r="O502" s="1" t="s">
        <v>74</v>
      </c>
      <c r="P502" s="1" t="s">
        <v>74</v>
      </c>
      <c r="Q502" s="1" t="s">
        <v>74</v>
      </c>
      <c r="R502" s="1" t="s">
        <v>74</v>
      </c>
      <c r="S502" s="1" t="s">
        <v>74</v>
      </c>
      <c r="T502" s="1" t="s">
        <v>8749</v>
      </c>
      <c r="U502" s="1" t="s">
        <v>8750</v>
      </c>
      <c r="V502" s="1" t="s">
        <v>8751</v>
      </c>
      <c r="W502" s="1" t="s">
        <v>8752</v>
      </c>
      <c r="X502" s="1" t="s">
        <v>8753</v>
      </c>
      <c r="Y502" s="1" t="s">
        <v>8754</v>
      </c>
      <c r="Z502" s="1" t="s">
        <v>8755</v>
      </c>
      <c r="AA502" s="1" t="s">
        <v>8756</v>
      </c>
      <c r="AB502" s="1" t="s">
        <v>8757</v>
      </c>
      <c r="AC502" s="1" t="s">
        <v>8758</v>
      </c>
      <c r="AD502" s="1" t="s">
        <v>8759</v>
      </c>
      <c r="AE502" s="1" t="s">
        <v>8760</v>
      </c>
      <c r="AF502" s="1" t="s">
        <v>74</v>
      </c>
      <c r="AG502" s="1">
        <v>51</v>
      </c>
      <c r="AH502" s="1">
        <v>70</v>
      </c>
      <c r="AI502" s="1">
        <v>72</v>
      </c>
      <c r="AJ502" s="1">
        <v>8</v>
      </c>
      <c r="AK502" s="1">
        <v>144</v>
      </c>
      <c r="AL502" s="1" t="s">
        <v>650</v>
      </c>
      <c r="AM502" s="1" t="s">
        <v>651</v>
      </c>
      <c r="AN502" s="1" t="s">
        <v>652</v>
      </c>
      <c r="AO502" s="1" t="s">
        <v>921</v>
      </c>
      <c r="AP502" s="1" t="s">
        <v>922</v>
      </c>
      <c r="AQ502" s="1" t="s">
        <v>74</v>
      </c>
      <c r="AR502" s="1" t="s">
        <v>923</v>
      </c>
      <c r="AS502" s="1" t="s">
        <v>924</v>
      </c>
      <c r="AT502" s="1" t="s">
        <v>8761</v>
      </c>
      <c r="AU502" s="1">
        <v>2020</v>
      </c>
      <c r="AV502" s="1">
        <v>744</v>
      </c>
      <c r="AW502" s="1" t="s">
        <v>74</v>
      </c>
      <c r="AX502" s="1" t="s">
        <v>74</v>
      </c>
      <c r="AY502" s="1" t="s">
        <v>74</v>
      </c>
      <c r="AZ502" s="1" t="s">
        <v>74</v>
      </c>
      <c r="BA502" s="1" t="s">
        <v>74</v>
      </c>
      <c r="BB502" s="1" t="s">
        <v>74</v>
      </c>
      <c r="BC502" s="1" t="s">
        <v>74</v>
      </c>
      <c r="BD502" s="1">
        <v>140979</v>
      </c>
      <c r="BE502" s="1" t="s">
        <v>8762</v>
      </c>
      <c r="BF502" s="1" t="str">
        <f>HYPERLINK("http://dx.doi.org/10.1016/j.scitotenv.2020.140979","http://dx.doi.org/10.1016/j.scitotenv.2020.140979")</f>
        <v>http://dx.doi.org/10.1016/j.scitotenv.2020.140979</v>
      </c>
      <c r="BG502" s="1" t="s">
        <v>74</v>
      </c>
      <c r="BH502" s="1" t="s">
        <v>74</v>
      </c>
      <c r="BI502" s="1">
        <v>8</v>
      </c>
      <c r="BJ502" s="1" t="s">
        <v>144</v>
      </c>
      <c r="BK502" s="1" t="s">
        <v>96</v>
      </c>
      <c r="BL502" s="1" t="s">
        <v>145</v>
      </c>
      <c r="BM502" s="1" t="s">
        <v>8763</v>
      </c>
      <c r="BN502" s="1">
        <v>32721682</v>
      </c>
      <c r="BO502" s="1" t="s">
        <v>1270</v>
      </c>
      <c r="BP502" s="1" t="s">
        <v>74</v>
      </c>
      <c r="BQ502" s="1" t="s">
        <v>74</v>
      </c>
      <c r="BR502" s="1" t="s">
        <v>98</v>
      </c>
      <c r="BS502" s="1" t="s">
        <v>8764</v>
      </c>
      <c r="BT502" s="1" t="str">
        <f>HYPERLINK("https%3A%2F%2Fwww.webofscience.com%2Fwos%2Fwoscc%2Ffull-record%2FWOS:000578951100017","View Full Record in Web of Science")</f>
        <v>View Full Record in Web of Science</v>
      </c>
    </row>
    <row r="503" spans="1:72">
      <c r="A503" s="1" t="s">
        <v>72</v>
      </c>
      <c r="B503" s="1" t="s">
        <v>8765</v>
      </c>
      <c r="C503" s="1" t="s">
        <v>74</v>
      </c>
      <c r="D503" s="1" t="s">
        <v>74</v>
      </c>
      <c r="E503" s="1" t="s">
        <v>74</v>
      </c>
      <c r="F503" s="1" t="s">
        <v>8765</v>
      </c>
      <c r="G503" s="1" t="s">
        <v>74</v>
      </c>
      <c r="H503" s="1" t="s">
        <v>74</v>
      </c>
      <c r="I503" s="1" t="s">
        <v>8766</v>
      </c>
      <c r="J503" s="1" t="s">
        <v>752</v>
      </c>
      <c r="K503" s="1" t="s">
        <v>74</v>
      </c>
      <c r="L503" s="1" t="s">
        <v>74</v>
      </c>
      <c r="M503" s="1" t="s">
        <v>78</v>
      </c>
      <c r="N503" s="1" t="s">
        <v>151</v>
      </c>
      <c r="O503" s="1" t="s">
        <v>8767</v>
      </c>
      <c r="P503" s="1" t="s">
        <v>8768</v>
      </c>
      <c r="Q503" s="1" t="s">
        <v>8769</v>
      </c>
      <c r="R503" s="1" t="s">
        <v>74</v>
      </c>
      <c r="S503" s="1" t="s">
        <v>74</v>
      </c>
      <c r="T503" s="1" t="s">
        <v>8770</v>
      </c>
      <c r="U503" s="1" t="s">
        <v>74</v>
      </c>
      <c r="V503" s="1" t="s">
        <v>8771</v>
      </c>
      <c r="W503" s="1" t="s">
        <v>8772</v>
      </c>
      <c r="X503" s="1" t="s">
        <v>8773</v>
      </c>
      <c r="Y503" s="1" t="s">
        <v>8774</v>
      </c>
      <c r="Z503" s="1" t="s">
        <v>74</v>
      </c>
      <c r="AA503" s="1" t="s">
        <v>74</v>
      </c>
      <c r="AB503" s="1" t="s">
        <v>74</v>
      </c>
      <c r="AC503" s="1" t="s">
        <v>74</v>
      </c>
      <c r="AD503" s="1" t="s">
        <v>74</v>
      </c>
      <c r="AE503" s="1" t="s">
        <v>74</v>
      </c>
      <c r="AF503" s="1" t="s">
        <v>74</v>
      </c>
      <c r="AG503" s="1">
        <v>7</v>
      </c>
      <c r="AH503" s="1">
        <v>59</v>
      </c>
      <c r="AI503" s="1">
        <v>63</v>
      </c>
      <c r="AJ503" s="1">
        <v>0</v>
      </c>
      <c r="AK503" s="1">
        <v>15</v>
      </c>
      <c r="AL503" s="1" t="s">
        <v>430</v>
      </c>
      <c r="AM503" s="1" t="s">
        <v>137</v>
      </c>
      <c r="AN503" s="1" t="s">
        <v>431</v>
      </c>
      <c r="AO503" s="1" t="s">
        <v>761</v>
      </c>
      <c r="AP503" s="1" t="s">
        <v>74</v>
      </c>
      <c r="AQ503" s="1" t="s">
        <v>74</v>
      </c>
      <c r="AR503" s="1" t="s">
        <v>763</v>
      </c>
      <c r="AS503" s="1" t="s">
        <v>764</v>
      </c>
      <c r="AT503" s="1" t="s">
        <v>4872</v>
      </c>
      <c r="AU503" s="1">
        <v>2002</v>
      </c>
      <c r="AV503" s="1">
        <v>54</v>
      </c>
      <c r="AW503" s="1" t="s">
        <v>8775</v>
      </c>
      <c r="AX503" s="1" t="s">
        <v>74</v>
      </c>
      <c r="AY503" s="1" t="s">
        <v>74</v>
      </c>
      <c r="AZ503" s="1" t="s">
        <v>225</v>
      </c>
      <c r="BA503" s="1" t="s">
        <v>74</v>
      </c>
      <c r="BB503" s="1">
        <v>585</v>
      </c>
      <c r="BC503" s="1">
        <v>589</v>
      </c>
      <c r="BD503" s="1" t="s">
        <v>8776</v>
      </c>
      <c r="BE503" s="1" t="s">
        <v>8777</v>
      </c>
      <c r="BF503" s="1" t="str">
        <f>HYPERLINK("http://dx.doi.org/10.1016/S0141-1136(02)00120-4","http://dx.doi.org/10.1016/S0141-1136(02)00120-4")</f>
        <v>http://dx.doi.org/10.1016/S0141-1136(02)00120-4</v>
      </c>
      <c r="BG503" s="1" t="s">
        <v>74</v>
      </c>
      <c r="BH503" s="1" t="s">
        <v>74</v>
      </c>
      <c r="BI503" s="1">
        <v>5</v>
      </c>
      <c r="BJ503" s="1" t="s">
        <v>768</v>
      </c>
      <c r="BK503" s="1" t="s">
        <v>588</v>
      </c>
      <c r="BL503" s="1" t="s">
        <v>769</v>
      </c>
      <c r="BM503" s="1" t="s">
        <v>8778</v>
      </c>
      <c r="BN503" s="1">
        <v>12408622</v>
      </c>
      <c r="BO503" s="1" t="s">
        <v>74</v>
      </c>
      <c r="BP503" s="1" t="s">
        <v>74</v>
      </c>
      <c r="BQ503" s="1" t="s">
        <v>74</v>
      </c>
      <c r="BR503" s="1" t="s">
        <v>98</v>
      </c>
      <c r="BS503" s="1" t="s">
        <v>8779</v>
      </c>
      <c r="BT503" s="1" t="str">
        <f>HYPERLINK("https%3A%2F%2Fwww.webofscience.com%2Fwos%2Fwoscc%2Ffull-record%2FWOS:000178360100068","View Full Record in Web of Science")</f>
        <v>View Full Record in Web of Science</v>
      </c>
    </row>
    <row r="504" spans="1:72">
      <c r="A504" s="1" t="s">
        <v>72</v>
      </c>
      <c r="B504" s="1" t="s">
        <v>8780</v>
      </c>
      <c r="C504" s="1" t="s">
        <v>74</v>
      </c>
      <c r="D504" s="1" t="s">
        <v>74</v>
      </c>
      <c r="E504" s="1" t="s">
        <v>74</v>
      </c>
      <c r="F504" s="1" t="s">
        <v>8781</v>
      </c>
      <c r="G504" s="1" t="s">
        <v>74</v>
      </c>
      <c r="H504" s="1" t="s">
        <v>74</v>
      </c>
      <c r="I504" s="1" t="s">
        <v>8782</v>
      </c>
      <c r="J504" s="1" t="s">
        <v>232</v>
      </c>
      <c r="K504" s="1" t="s">
        <v>74</v>
      </c>
      <c r="L504" s="1" t="s">
        <v>74</v>
      </c>
      <c r="M504" s="1" t="s">
        <v>78</v>
      </c>
      <c r="N504" s="1" t="s">
        <v>79</v>
      </c>
      <c r="O504" s="1" t="s">
        <v>74</v>
      </c>
      <c r="P504" s="1" t="s">
        <v>74</v>
      </c>
      <c r="Q504" s="1" t="s">
        <v>74</v>
      </c>
      <c r="R504" s="1" t="s">
        <v>74</v>
      </c>
      <c r="S504" s="1" t="s">
        <v>74</v>
      </c>
      <c r="T504" s="1" t="s">
        <v>8783</v>
      </c>
      <c r="U504" s="1" t="s">
        <v>8784</v>
      </c>
      <c r="V504" s="1" t="s">
        <v>8785</v>
      </c>
      <c r="W504" s="1" t="s">
        <v>8786</v>
      </c>
      <c r="X504" s="1" t="s">
        <v>8787</v>
      </c>
      <c r="Y504" s="1" t="s">
        <v>8788</v>
      </c>
      <c r="Z504" s="1" t="s">
        <v>8789</v>
      </c>
      <c r="AA504" s="1" t="s">
        <v>8790</v>
      </c>
      <c r="AB504" s="1" t="s">
        <v>8791</v>
      </c>
      <c r="AC504" s="1" t="s">
        <v>8792</v>
      </c>
      <c r="AD504" s="1" t="s">
        <v>8793</v>
      </c>
      <c r="AE504" s="1" t="s">
        <v>8794</v>
      </c>
      <c r="AF504" s="1" t="s">
        <v>74</v>
      </c>
      <c r="AG504" s="1">
        <v>46</v>
      </c>
      <c r="AH504" s="1">
        <v>78</v>
      </c>
      <c r="AI504" s="1">
        <v>85</v>
      </c>
      <c r="AJ504" s="1">
        <v>27</v>
      </c>
      <c r="AK504" s="1">
        <v>244</v>
      </c>
      <c r="AL504" s="1" t="s">
        <v>136</v>
      </c>
      <c r="AM504" s="1" t="s">
        <v>137</v>
      </c>
      <c r="AN504" s="1" t="s">
        <v>138</v>
      </c>
      <c r="AO504" s="1" t="s">
        <v>240</v>
      </c>
      <c r="AP504" s="1" t="s">
        <v>241</v>
      </c>
      <c r="AQ504" s="1" t="s">
        <v>74</v>
      </c>
      <c r="AR504" s="1" t="s">
        <v>242</v>
      </c>
      <c r="AS504" s="1" t="s">
        <v>243</v>
      </c>
      <c r="AT504" s="1" t="s">
        <v>93</v>
      </c>
      <c r="AU504" s="1">
        <v>2020</v>
      </c>
      <c r="AV504" s="1">
        <v>153</v>
      </c>
      <c r="AW504" s="1" t="s">
        <v>74</v>
      </c>
      <c r="AX504" s="1" t="s">
        <v>74</v>
      </c>
      <c r="AY504" s="1" t="s">
        <v>74</v>
      </c>
      <c r="AZ504" s="1" t="s">
        <v>74</v>
      </c>
      <c r="BA504" s="1" t="s">
        <v>74</v>
      </c>
      <c r="BB504" s="1" t="s">
        <v>74</v>
      </c>
      <c r="BC504" s="1" t="s">
        <v>74</v>
      </c>
      <c r="BD504" s="1">
        <v>110977</v>
      </c>
      <c r="BE504" s="1" t="s">
        <v>8795</v>
      </c>
      <c r="BF504" s="1" t="str">
        <f>HYPERLINK("http://dx.doi.org/10.1016/j.marpolbul.2020.110977","http://dx.doi.org/10.1016/j.marpolbul.2020.110977")</f>
        <v>http://dx.doi.org/10.1016/j.marpolbul.2020.110977</v>
      </c>
      <c r="BG504" s="1" t="s">
        <v>74</v>
      </c>
      <c r="BH504" s="1" t="s">
        <v>74</v>
      </c>
      <c r="BI504" s="1">
        <v>7</v>
      </c>
      <c r="BJ504" s="1" t="s">
        <v>247</v>
      </c>
      <c r="BK504" s="1" t="s">
        <v>96</v>
      </c>
      <c r="BL504" s="1" t="s">
        <v>248</v>
      </c>
      <c r="BM504" s="1" t="s">
        <v>8796</v>
      </c>
      <c r="BN504" s="1">
        <v>32275534</v>
      </c>
      <c r="BO504" s="1" t="s">
        <v>74</v>
      </c>
      <c r="BP504" s="1" t="s">
        <v>74</v>
      </c>
      <c r="BQ504" s="1" t="s">
        <v>74</v>
      </c>
      <c r="BR504" s="1" t="s">
        <v>98</v>
      </c>
      <c r="BS504" s="1" t="s">
        <v>8797</v>
      </c>
      <c r="BT504" s="1" t="str">
        <f>HYPERLINK("https%3A%2F%2Fwww.webofscience.com%2Fwos%2Fwoscc%2Ffull-record%2FWOS:000523640200030","View Full Record in Web of Science")</f>
        <v>View Full Record in Web of Science</v>
      </c>
    </row>
    <row r="505" spans="1:72">
      <c r="A505" s="1" t="s">
        <v>72</v>
      </c>
      <c r="B505" s="1" t="s">
        <v>8798</v>
      </c>
      <c r="C505" s="1" t="s">
        <v>74</v>
      </c>
      <c r="D505" s="1" t="s">
        <v>74</v>
      </c>
      <c r="E505" s="1" t="s">
        <v>74</v>
      </c>
      <c r="F505" s="1" t="s">
        <v>8799</v>
      </c>
      <c r="G505" s="1" t="s">
        <v>74</v>
      </c>
      <c r="H505" s="1" t="s">
        <v>74</v>
      </c>
      <c r="I505" s="1" t="s">
        <v>8800</v>
      </c>
      <c r="J505" s="1" t="s">
        <v>2408</v>
      </c>
      <c r="K505" s="1" t="s">
        <v>74</v>
      </c>
      <c r="L505" s="1" t="s">
        <v>74</v>
      </c>
      <c r="M505" s="1" t="s">
        <v>78</v>
      </c>
      <c r="N505" s="1" t="s">
        <v>79</v>
      </c>
      <c r="O505" s="1" t="s">
        <v>74</v>
      </c>
      <c r="P505" s="1" t="s">
        <v>74</v>
      </c>
      <c r="Q505" s="1" t="s">
        <v>74</v>
      </c>
      <c r="R505" s="1" t="s">
        <v>74</v>
      </c>
      <c r="S505" s="1" t="s">
        <v>74</v>
      </c>
      <c r="T505" s="1" t="s">
        <v>8801</v>
      </c>
      <c r="U505" s="1" t="s">
        <v>8802</v>
      </c>
      <c r="V505" s="1" t="s">
        <v>8803</v>
      </c>
      <c r="W505" s="1" t="s">
        <v>8804</v>
      </c>
      <c r="X505" s="1" t="s">
        <v>8805</v>
      </c>
      <c r="Y505" s="1" t="s">
        <v>8806</v>
      </c>
      <c r="Z505" s="1" t="s">
        <v>8807</v>
      </c>
      <c r="AA505" s="1" t="s">
        <v>8808</v>
      </c>
      <c r="AB505" s="1" t="s">
        <v>74</v>
      </c>
      <c r="AC505" s="1" t="s">
        <v>8809</v>
      </c>
      <c r="AD505" s="1" t="s">
        <v>8810</v>
      </c>
      <c r="AE505" s="1" t="s">
        <v>8811</v>
      </c>
      <c r="AF505" s="1" t="s">
        <v>74</v>
      </c>
      <c r="AG505" s="1">
        <v>45</v>
      </c>
      <c r="AH505" s="1">
        <v>6</v>
      </c>
      <c r="AI505" s="1">
        <v>7</v>
      </c>
      <c r="AJ505" s="1">
        <v>1</v>
      </c>
      <c r="AK505" s="1">
        <v>28</v>
      </c>
      <c r="AL505" s="1" t="s">
        <v>2421</v>
      </c>
      <c r="AM505" s="1" t="s">
        <v>2422</v>
      </c>
      <c r="AN505" s="1" t="s">
        <v>2423</v>
      </c>
      <c r="AO505" s="1" t="s">
        <v>2424</v>
      </c>
      <c r="AP505" s="1" t="s">
        <v>2425</v>
      </c>
      <c r="AQ505" s="1" t="s">
        <v>74</v>
      </c>
      <c r="AR505" s="1" t="s">
        <v>2426</v>
      </c>
      <c r="AS505" s="1" t="s">
        <v>2427</v>
      </c>
      <c r="AT505" s="1" t="s">
        <v>119</v>
      </c>
      <c r="AU505" s="1">
        <v>2015</v>
      </c>
      <c r="AV505" s="1">
        <v>34</v>
      </c>
      <c r="AW505" s="1">
        <v>2</v>
      </c>
      <c r="AX505" s="1" t="s">
        <v>74</v>
      </c>
      <c r="AY505" s="1" t="s">
        <v>74</v>
      </c>
      <c r="AZ505" s="1" t="s">
        <v>74</v>
      </c>
      <c r="BA505" s="1" t="s">
        <v>74</v>
      </c>
      <c r="BB505" s="1">
        <v>311</v>
      </c>
      <c r="BC505" s="1">
        <v>318</v>
      </c>
      <c r="BD505" s="1" t="s">
        <v>74</v>
      </c>
      <c r="BE505" s="1" t="s">
        <v>8812</v>
      </c>
      <c r="BF505" s="1" t="str">
        <f>HYPERLINK("http://dx.doi.org/10.2983/035.034.0213","http://dx.doi.org/10.2983/035.034.0213")</f>
        <v>http://dx.doi.org/10.2983/035.034.0213</v>
      </c>
      <c r="BG505" s="1" t="s">
        <v>74</v>
      </c>
      <c r="BH505" s="1" t="s">
        <v>74</v>
      </c>
      <c r="BI505" s="1">
        <v>8</v>
      </c>
      <c r="BJ505" s="1" t="s">
        <v>2391</v>
      </c>
      <c r="BK505" s="1" t="s">
        <v>96</v>
      </c>
      <c r="BL505" s="1" t="s">
        <v>2391</v>
      </c>
      <c r="BM505" s="1" t="s">
        <v>8813</v>
      </c>
      <c r="BN505" s="1" t="s">
        <v>74</v>
      </c>
      <c r="BO505" s="1" t="s">
        <v>74</v>
      </c>
      <c r="BP505" s="1" t="s">
        <v>74</v>
      </c>
      <c r="BQ505" s="1" t="s">
        <v>74</v>
      </c>
      <c r="BR505" s="1" t="s">
        <v>98</v>
      </c>
      <c r="BS505" s="1" t="s">
        <v>8814</v>
      </c>
      <c r="BT505" s="1" t="str">
        <f>HYPERLINK("https%3A%2F%2Fwww.webofscience.com%2Fwos%2Fwoscc%2Ffull-record%2FWOS:000360410500013","View Full Record in Web of Science")</f>
        <v>View Full Record in Web of Science</v>
      </c>
    </row>
    <row r="506" spans="1:72">
      <c r="A506" s="1" t="s">
        <v>72</v>
      </c>
      <c r="B506" s="1" t="s">
        <v>8815</v>
      </c>
      <c r="C506" s="1" t="s">
        <v>74</v>
      </c>
      <c r="D506" s="1" t="s">
        <v>74</v>
      </c>
      <c r="E506" s="1" t="s">
        <v>74</v>
      </c>
      <c r="F506" s="1" t="s">
        <v>8816</v>
      </c>
      <c r="G506" s="1" t="s">
        <v>74</v>
      </c>
      <c r="H506" s="1" t="s">
        <v>74</v>
      </c>
      <c r="I506" s="1" t="s">
        <v>8817</v>
      </c>
      <c r="J506" s="1" t="s">
        <v>275</v>
      </c>
      <c r="K506" s="1" t="s">
        <v>74</v>
      </c>
      <c r="L506" s="1" t="s">
        <v>74</v>
      </c>
      <c r="M506" s="1" t="s">
        <v>78</v>
      </c>
      <c r="N506" s="1" t="s">
        <v>79</v>
      </c>
      <c r="O506" s="1" t="s">
        <v>74</v>
      </c>
      <c r="P506" s="1" t="s">
        <v>74</v>
      </c>
      <c r="Q506" s="1" t="s">
        <v>74</v>
      </c>
      <c r="R506" s="1" t="s">
        <v>74</v>
      </c>
      <c r="S506" s="1" t="s">
        <v>74</v>
      </c>
      <c r="T506" s="1" t="s">
        <v>8818</v>
      </c>
      <c r="U506" s="1" t="s">
        <v>8819</v>
      </c>
      <c r="V506" s="1" t="s">
        <v>8820</v>
      </c>
      <c r="W506" s="1" t="s">
        <v>8821</v>
      </c>
      <c r="X506" s="1" t="s">
        <v>8822</v>
      </c>
      <c r="Y506" s="1" t="s">
        <v>8823</v>
      </c>
      <c r="Z506" s="1" t="s">
        <v>5489</v>
      </c>
      <c r="AA506" s="1" t="s">
        <v>3727</v>
      </c>
      <c r="AB506" s="1" t="s">
        <v>8824</v>
      </c>
      <c r="AC506" s="1" t="s">
        <v>8825</v>
      </c>
      <c r="AD506" s="1" t="s">
        <v>8826</v>
      </c>
      <c r="AE506" s="1" t="s">
        <v>8827</v>
      </c>
      <c r="AF506" s="1" t="s">
        <v>74</v>
      </c>
      <c r="AG506" s="1">
        <v>67</v>
      </c>
      <c r="AH506" s="1">
        <v>31</v>
      </c>
      <c r="AI506" s="1">
        <v>33</v>
      </c>
      <c r="AJ506" s="1">
        <v>1</v>
      </c>
      <c r="AK506" s="1">
        <v>46</v>
      </c>
      <c r="AL506" s="1" t="s">
        <v>285</v>
      </c>
      <c r="AM506" s="1" t="s">
        <v>286</v>
      </c>
      <c r="AN506" s="1" t="s">
        <v>287</v>
      </c>
      <c r="AO506" s="1" t="s">
        <v>288</v>
      </c>
      <c r="AP506" s="1" t="s">
        <v>289</v>
      </c>
      <c r="AQ506" s="1" t="s">
        <v>74</v>
      </c>
      <c r="AR506" s="1" t="s">
        <v>290</v>
      </c>
      <c r="AS506" s="1" t="s">
        <v>291</v>
      </c>
      <c r="AT506" s="1" t="s">
        <v>119</v>
      </c>
      <c r="AU506" s="1">
        <v>2011</v>
      </c>
      <c r="AV506" s="1">
        <v>31</v>
      </c>
      <c r="AW506" s="1">
        <v>2</v>
      </c>
      <c r="AX506" s="1" t="s">
        <v>74</v>
      </c>
      <c r="AY506" s="1" t="s">
        <v>74</v>
      </c>
      <c r="AZ506" s="1" t="s">
        <v>74</v>
      </c>
      <c r="BA506" s="1" t="s">
        <v>74</v>
      </c>
      <c r="BB506" s="1">
        <v>341</v>
      </c>
      <c r="BC506" s="1">
        <v>349</v>
      </c>
      <c r="BD506" s="1" t="s">
        <v>74</v>
      </c>
      <c r="BE506" s="1" t="s">
        <v>8828</v>
      </c>
      <c r="BF506" s="1" t="str">
        <f>HYPERLINK("http://dx.doi.org/10.1016/j.fsi.2011.05.024","http://dx.doi.org/10.1016/j.fsi.2011.05.024")</f>
        <v>http://dx.doi.org/10.1016/j.fsi.2011.05.024</v>
      </c>
      <c r="BG506" s="1" t="s">
        <v>74</v>
      </c>
      <c r="BH506" s="1" t="s">
        <v>74</v>
      </c>
      <c r="BI506" s="1">
        <v>9</v>
      </c>
      <c r="BJ506" s="1" t="s">
        <v>293</v>
      </c>
      <c r="BK506" s="1" t="s">
        <v>96</v>
      </c>
      <c r="BL506" s="1" t="s">
        <v>293</v>
      </c>
      <c r="BM506" s="1" t="s">
        <v>8829</v>
      </c>
      <c r="BN506" s="1">
        <v>21658453</v>
      </c>
      <c r="BO506" s="1" t="s">
        <v>74</v>
      </c>
      <c r="BP506" s="1" t="s">
        <v>74</v>
      </c>
      <c r="BQ506" s="1" t="s">
        <v>74</v>
      </c>
      <c r="BR506" s="1" t="s">
        <v>98</v>
      </c>
      <c r="BS506" s="1" t="s">
        <v>8830</v>
      </c>
      <c r="BT506" s="1" t="str">
        <f>HYPERLINK("https%3A%2F%2Fwww.webofscience.com%2Fwos%2Fwoscc%2Ffull-record%2FWOS:000293204500022","View Full Record in Web of Science")</f>
        <v>View Full Record in Web of Science</v>
      </c>
    </row>
    <row r="507" spans="1:72">
      <c r="A507" s="1" t="s">
        <v>72</v>
      </c>
      <c r="B507" s="1" t="s">
        <v>8831</v>
      </c>
      <c r="C507" s="1" t="s">
        <v>74</v>
      </c>
      <c r="D507" s="1" t="s">
        <v>74</v>
      </c>
      <c r="E507" s="1" t="s">
        <v>74</v>
      </c>
      <c r="F507" s="1" t="s">
        <v>8832</v>
      </c>
      <c r="G507" s="1" t="s">
        <v>74</v>
      </c>
      <c r="H507" s="1" t="s">
        <v>74</v>
      </c>
      <c r="I507" s="1" t="s">
        <v>8833</v>
      </c>
      <c r="J507" s="1" t="s">
        <v>641</v>
      </c>
      <c r="K507" s="1" t="s">
        <v>74</v>
      </c>
      <c r="L507" s="1" t="s">
        <v>74</v>
      </c>
      <c r="M507" s="1" t="s">
        <v>78</v>
      </c>
      <c r="N507" s="1" t="s">
        <v>79</v>
      </c>
      <c r="O507" s="1" t="s">
        <v>74</v>
      </c>
      <c r="P507" s="1" t="s">
        <v>74</v>
      </c>
      <c r="Q507" s="1" t="s">
        <v>74</v>
      </c>
      <c r="R507" s="1" t="s">
        <v>74</v>
      </c>
      <c r="S507" s="1" t="s">
        <v>74</v>
      </c>
      <c r="T507" s="1" t="s">
        <v>8834</v>
      </c>
      <c r="U507" s="1" t="s">
        <v>8835</v>
      </c>
      <c r="V507" s="1" t="s">
        <v>8836</v>
      </c>
      <c r="W507" s="1" t="s">
        <v>8837</v>
      </c>
      <c r="X507" s="1" t="s">
        <v>8838</v>
      </c>
      <c r="Y507" s="1" t="s">
        <v>8839</v>
      </c>
      <c r="Z507" s="1" t="s">
        <v>8840</v>
      </c>
      <c r="AA507" s="1" t="s">
        <v>2443</v>
      </c>
      <c r="AB507" s="1" t="s">
        <v>8841</v>
      </c>
      <c r="AC507" s="1" t="s">
        <v>8842</v>
      </c>
      <c r="AD507" s="1" t="s">
        <v>8843</v>
      </c>
      <c r="AE507" s="1" t="s">
        <v>8844</v>
      </c>
      <c r="AF507" s="1" t="s">
        <v>74</v>
      </c>
      <c r="AG507" s="1">
        <v>57</v>
      </c>
      <c r="AH507" s="1">
        <v>80</v>
      </c>
      <c r="AI507" s="1">
        <v>90</v>
      </c>
      <c r="AJ507" s="1">
        <v>3</v>
      </c>
      <c r="AK507" s="1">
        <v>35</v>
      </c>
      <c r="AL507" s="1" t="s">
        <v>650</v>
      </c>
      <c r="AM507" s="1" t="s">
        <v>651</v>
      </c>
      <c r="AN507" s="1" t="s">
        <v>652</v>
      </c>
      <c r="AO507" s="1" t="s">
        <v>653</v>
      </c>
      <c r="AP507" s="1" t="s">
        <v>654</v>
      </c>
      <c r="AQ507" s="1" t="s">
        <v>74</v>
      </c>
      <c r="AR507" s="1" t="s">
        <v>655</v>
      </c>
      <c r="AS507" s="1" t="s">
        <v>656</v>
      </c>
      <c r="AT507" s="1" t="s">
        <v>8845</v>
      </c>
      <c r="AU507" s="1">
        <v>2009</v>
      </c>
      <c r="AV507" s="1">
        <v>94</v>
      </c>
      <c r="AW507" s="1">
        <v>4</v>
      </c>
      <c r="AX507" s="1" t="s">
        <v>74</v>
      </c>
      <c r="AY507" s="1" t="s">
        <v>74</v>
      </c>
      <c r="AZ507" s="1" t="s">
        <v>74</v>
      </c>
      <c r="BA507" s="1" t="s">
        <v>74</v>
      </c>
      <c r="BB507" s="1">
        <v>300</v>
      </c>
      <c r="BC507" s="1">
        <v>308</v>
      </c>
      <c r="BD507" s="1" t="s">
        <v>74</v>
      </c>
      <c r="BE507" s="1" t="s">
        <v>8846</v>
      </c>
      <c r="BF507" s="1" t="str">
        <f>HYPERLINK("http://dx.doi.org/10.1016/j.aquatox.2009.07.014","http://dx.doi.org/10.1016/j.aquatox.2009.07.014")</f>
        <v>http://dx.doi.org/10.1016/j.aquatox.2009.07.014</v>
      </c>
      <c r="BG507" s="1" t="s">
        <v>74</v>
      </c>
      <c r="BH507" s="1" t="s">
        <v>74</v>
      </c>
      <c r="BI507" s="1">
        <v>9</v>
      </c>
      <c r="BJ507" s="1" t="s">
        <v>659</v>
      </c>
      <c r="BK507" s="1" t="s">
        <v>96</v>
      </c>
      <c r="BL507" s="1" t="s">
        <v>659</v>
      </c>
      <c r="BM507" s="1" t="s">
        <v>8847</v>
      </c>
      <c r="BN507" s="1">
        <v>19716188</v>
      </c>
      <c r="BO507" s="1" t="s">
        <v>74</v>
      </c>
      <c r="BP507" s="1" t="s">
        <v>74</v>
      </c>
      <c r="BQ507" s="1" t="s">
        <v>74</v>
      </c>
      <c r="BR507" s="1" t="s">
        <v>98</v>
      </c>
      <c r="BS507" s="1" t="s">
        <v>8848</v>
      </c>
      <c r="BT507" s="1" t="str">
        <f>HYPERLINK("https%3A%2F%2Fwww.webofscience.com%2Fwos%2Fwoscc%2Ffull-record%2FWOS:000273386200007","View Full Record in Web of Science")</f>
        <v>View Full Record in Web of Science</v>
      </c>
    </row>
    <row r="508" spans="1:72">
      <c r="A508" s="1" t="s">
        <v>72</v>
      </c>
      <c r="B508" s="1" t="s">
        <v>8849</v>
      </c>
      <c r="C508" s="1" t="s">
        <v>74</v>
      </c>
      <c r="D508" s="1" t="s">
        <v>74</v>
      </c>
      <c r="E508" s="1" t="s">
        <v>74</v>
      </c>
      <c r="F508" s="1" t="s">
        <v>8850</v>
      </c>
      <c r="G508" s="1" t="s">
        <v>74</v>
      </c>
      <c r="H508" s="1" t="s">
        <v>74</v>
      </c>
      <c r="I508" s="1" t="s">
        <v>8851</v>
      </c>
      <c r="J508" s="1" t="s">
        <v>421</v>
      </c>
      <c r="K508" s="1" t="s">
        <v>74</v>
      </c>
      <c r="L508" s="1" t="s">
        <v>74</v>
      </c>
      <c r="M508" s="1" t="s">
        <v>78</v>
      </c>
      <c r="N508" s="1" t="s">
        <v>79</v>
      </c>
      <c r="O508" s="1" t="s">
        <v>74</v>
      </c>
      <c r="P508" s="1" t="s">
        <v>74</v>
      </c>
      <c r="Q508" s="1" t="s">
        <v>74</v>
      </c>
      <c r="R508" s="1" t="s">
        <v>74</v>
      </c>
      <c r="S508" s="1" t="s">
        <v>74</v>
      </c>
      <c r="T508" s="1" t="s">
        <v>8852</v>
      </c>
      <c r="U508" s="1" t="s">
        <v>8853</v>
      </c>
      <c r="V508" s="1" t="s">
        <v>8854</v>
      </c>
      <c r="W508" s="1" t="s">
        <v>8855</v>
      </c>
      <c r="X508" s="1" t="s">
        <v>8856</v>
      </c>
      <c r="Y508" s="1" t="s">
        <v>8857</v>
      </c>
      <c r="Z508" s="1" t="s">
        <v>8858</v>
      </c>
      <c r="AA508" s="1" t="s">
        <v>8859</v>
      </c>
      <c r="AB508" s="1" t="s">
        <v>74</v>
      </c>
      <c r="AC508" s="1" t="s">
        <v>8860</v>
      </c>
      <c r="AD508" s="1" t="s">
        <v>8861</v>
      </c>
      <c r="AE508" s="1" t="s">
        <v>8862</v>
      </c>
      <c r="AF508" s="1" t="s">
        <v>74</v>
      </c>
      <c r="AG508" s="1">
        <v>39</v>
      </c>
      <c r="AH508" s="1">
        <v>6</v>
      </c>
      <c r="AI508" s="1">
        <v>7</v>
      </c>
      <c r="AJ508" s="1">
        <v>0</v>
      </c>
      <c r="AK508" s="1">
        <v>30</v>
      </c>
      <c r="AL508" s="1" t="s">
        <v>430</v>
      </c>
      <c r="AM508" s="1" t="s">
        <v>137</v>
      </c>
      <c r="AN508" s="1" t="s">
        <v>431</v>
      </c>
      <c r="AO508" s="1" t="s">
        <v>432</v>
      </c>
      <c r="AP508" s="1" t="s">
        <v>1394</v>
      </c>
      <c r="AQ508" s="1" t="s">
        <v>74</v>
      </c>
      <c r="AR508" s="1" t="s">
        <v>433</v>
      </c>
      <c r="AS508" s="1" t="s">
        <v>434</v>
      </c>
      <c r="AT508" s="1" t="s">
        <v>142</v>
      </c>
      <c r="AU508" s="1">
        <v>2020</v>
      </c>
      <c r="AV508" s="1">
        <v>261</v>
      </c>
      <c r="AW508" s="1" t="s">
        <v>74</v>
      </c>
      <c r="AX508" s="1" t="s">
        <v>74</v>
      </c>
      <c r="AY508" s="1" t="s">
        <v>74</v>
      </c>
      <c r="AZ508" s="1" t="s">
        <v>74</v>
      </c>
      <c r="BA508" s="1" t="s">
        <v>74</v>
      </c>
      <c r="BB508" s="1" t="s">
        <v>74</v>
      </c>
      <c r="BC508" s="1" t="s">
        <v>74</v>
      </c>
      <c r="BD508" s="1">
        <v>114192</v>
      </c>
      <c r="BE508" s="1" t="s">
        <v>8863</v>
      </c>
      <c r="BF508" s="1" t="str">
        <f>HYPERLINK("http://dx.doi.org/10.1016/j.envpol.2020.114192","http://dx.doi.org/10.1016/j.envpol.2020.114192")</f>
        <v>http://dx.doi.org/10.1016/j.envpol.2020.114192</v>
      </c>
      <c r="BG508" s="1" t="s">
        <v>74</v>
      </c>
      <c r="BH508" s="1" t="s">
        <v>74</v>
      </c>
      <c r="BI508" s="1">
        <v>8</v>
      </c>
      <c r="BJ508" s="1" t="s">
        <v>144</v>
      </c>
      <c r="BK508" s="1" t="s">
        <v>96</v>
      </c>
      <c r="BL508" s="1" t="s">
        <v>145</v>
      </c>
      <c r="BM508" s="1" t="s">
        <v>8864</v>
      </c>
      <c r="BN508" s="1">
        <v>32220749</v>
      </c>
      <c r="BO508" s="1" t="s">
        <v>74</v>
      </c>
      <c r="BP508" s="1" t="s">
        <v>74</v>
      </c>
      <c r="BQ508" s="1" t="s">
        <v>74</v>
      </c>
      <c r="BR508" s="1" t="s">
        <v>98</v>
      </c>
      <c r="BS508" s="1" t="s">
        <v>8865</v>
      </c>
      <c r="BT508" s="1" t="str">
        <f>HYPERLINK("https%3A%2F%2Fwww.webofscience.com%2Fwos%2Fwoscc%2Ffull-record%2FWOS:000531106500112","View Full Record in Web of Science")</f>
        <v>View Full Record in Web of Science</v>
      </c>
    </row>
    <row r="509" spans="1:72">
      <c r="A509" s="1" t="s">
        <v>72</v>
      </c>
      <c r="B509" s="1" t="s">
        <v>8866</v>
      </c>
      <c r="C509" s="1" t="s">
        <v>74</v>
      </c>
      <c r="D509" s="1" t="s">
        <v>74</v>
      </c>
      <c r="E509" s="1" t="s">
        <v>74</v>
      </c>
      <c r="F509" s="1" t="s">
        <v>8867</v>
      </c>
      <c r="G509" s="1" t="s">
        <v>74</v>
      </c>
      <c r="H509" s="1" t="s">
        <v>74</v>
      </c>
      <c r="I509" s="1" t="s">
        <v>8868</v>
      </c>
      <c r="J509" s="1" t="s">
        <v>232</v>
      </c>
      <c r="K509" s="1" t="s">
        <v>74</v>
      </c>
      <c r="L509" s="1" t="s">
        <v>74</v>
      </c>
      <c r="M509" s="1" t="s">
        <v>78</v>
      </c>
      <c r="N509" s="1" t="s">
        <v>79</v>
      </c>
      <c r="O509" s="1" t="s">
        <v>74</v>
      </c>
      <c r="P509" s="1" t="s">
        <v>74</v>
      </c>
      <c r="Q509" s="1" t="s">
        <v>74</v>
      </c>
      <c r="R509" s="1" t="s">
        <v>74</v>
      </c>
      <c r="S509" s="1" t="s">
        <v>74</v>
      </c>
      <c r="T509" s="1" t="s">
        <v>8869</v>
      </c>
      <c r="U509" s="1" t="s">
        <v>8870</v>
      </c>
      <c r="V509" s="1" t="s">
        <v>8871</v>
      </c>
      <c r="W509" s="1" t="s">
        <v>8872</v>
      </c>
      <c r="X509" s="1" t="s">
        <v>8873</v>
      </c>
      <c r="Y509" s="1" t="s">
        <v>8874</v>
      </c>
      <c r="Z509" s="1" t="s">
        <v>8875</v>
      </c>
      <c r="AA509" s="1" t="s">
        <v>74</v>
      </c>
      <c r="AB509" s="1" t="s">
        <v>74</v>
      </c>
      <c r="AC509" s="1" t="s">
        <v>74</v>
      </c>
      <c r="AD509" s="1" t="s">
        <v>74</v>
      </c>
      <c r="AE509" s="1" t="s">
        <v>74</v>
      </c>
      <c r="AF509" s="1" t="s">
        <v>74</v>
      </c>
      <c r="AG509" s="1">
        <v>40</v>
      </c>
      <c r="AH509" s="1">
        <v>18</v>
      </c>
      <c r="AI509" s="1">
        <v>19</v>
      </c>
      <c r="AJ509" s="1">
        <v>5</v>
      </c>
      <c r="AK509" s="1">
        <v>26</v>
      </c>
      <c r="AL509" s="1" t="s">
        <v>136</v>
      </c>
      <c r="AM509" s="1" t="s">
        <v>137</v>
      </c>
      <c r="AN509" s="1" t="s">
        <v>138</v>
      </c>
      <c r="AO509" s="1" t="s">
        <v>240</v>
      </c>
      <c r="AP509" s="1" t="s">
        <v>241</v>
      </c>
      <c r="AQ509" s="1" t="s">
        <v>74</v>
      </c>
      <c r="AR509" s="1" t="s">
        <v>242</v>
      </c>
      <c r="AS509" s="1" t="s">
        <v>243</v>
      </c>
      <c r="AT509" s="1" t="s">
        <v>1470</v>
      </c>
      <c r="AU509" s="1">
        <v>2018</v>
      </c>
      <c r="AV509" s="1">
        <v>126</v>
      </c>
      <c r="AW509" s="1" t="s">
        <v>74</v>
      </c>
      <c r="AX509" s="1" t="s">
        <v>74</v>
      </c>
      <c r="AY509" s="1" t="s">
        <v>74</v>
      </c>
      <c r="AZ509" s="1" t="s">
        <v>74</v>
      </c>
      <c r="BA509" s="1" t="s">
        <v>74</v>
      </c>
      <c r="BB509" s="1">
        <v>323</v>
      </c>
      <c r="BC509" s="1">
        <v>329</v>
      </c>
      <c r="BD509" s="1" t="s">
        <v>74</v>
      </c>
      <c r="BE509" s="1" t="s">
        <v>8876</v>
      </c>
      <c r="BF509" s="1" t="str">
        <f>HYPERLINK("http://dx.doi.org/10.1016/j.marpolbul.2017.11.012","http://dx.doi.org/10.1016/j.marpolbul.2017.11.012")</f>
        <v>http://dx.doi.org/10.1016/j.marpolbul.2017.11.012</v>
      </c>
      <c r="BG509" s="1" t="s">
        <v>74</v>
      </c>
      <c r="BH509" s="1" t="s">
        <v>74</v>
      </c>
      <c r="BI509" s="1">
        <v>7</v>
      </c>
      <c r="BJ509" s="1" t="s">
        <v>247</v>
      </c>
      <c r="BK509" s="1" t="s">
        <v>96</v>
      </c>
      <c r="BL509" s="1" t="s">
        <v>248</v>
      </c>
      <c r="BM509" s="1" t="s">
        <v>8877</v>
      </c>
      <c r="BN509" s="1">
        <v>29421106</v>
      </c>
      <c r="BO509" s="1" t="s">
        <v>74</v>
      </c>
      <c r="BP509" s="1" t="s">
        <v>74</v>
      </c>
      <c r="BQ509" s="1" t="s">
        <v>74</v>
      </c>
      <c r="BR509" s="1" t="s">
        <v>98</v>
      </c>
      <c r="BS509" s="1" t="s">
        <v>8878</v>
      </c>
      <c r="BT509" s="1" t="str">
        <f>HYPERLINK("https%3A%2F%2Fwww.webofscience.com%2Fwos%2Fwoscc%2Ffull-record%2FWOS:000425569400040","View Full Record in Web of Science")</f>
        <v>View Full Record in Web of Science</v>
      </c>
    </row>
    <row r="510" spans="1:72">
      <c r="A510" s="1" t="s">
        <v>72</v>
      </c>
      <c r="B510" s="1" t="s">
        <v>8879</v>
      </c>
      <c r="C510" s="1" t="s">
        <v>74</v>
      </c>
      <c r="D510" s="1" t="s">
        <v>74</v>
      </c>
      <c r="E510" s="1" t="s">
        <v>74</v>
      </c>
      <c r="F510" s="1" t="s">
        <v>8879</v>
      </c>
      <c r="G510" s="1" t="s">
        <v>74</v>
      </c>
      <c r="H510" s="1" t="s">
        <v>74</v>
      </c>
      <c r="I510" s="1" t="s">
        <v>8880</v>
      </c>
      <c r="J510" s="1" t="s">
        <v>421</v>
      </c>
      <c r="K510" s="1" t="s">
        <v>74</v>
      </c>
      <c r="L510" s="1" t="s">
        <v>74</v>
      </c>
      <c r="M510" s="1" t="s">
        <v>78</v>
      </c>
      <c r="N510" s="1" t="s">
        <v>79</v>
      </c>
      <c r="O510" s="1" t="s">
        <v>74</v>
      </c>
      <c r="P510" s="1" t="s">
        <v>74</v>
      </c>
      <c r="Q510" s="1" t="s">
        <v>74</v>
      </c>
      <c r="R510" s="1" t="s">
        <v>74</v>
      </c>
      <c r="S510" s="1" t="s">
        <v>74</v>
      </c>
      <c r="T510" s="1" t="s">
        <v>74</v>
      </c>
      <c r="U510" s="1" t="s">
        <v>8881</v>
      </c>
      <c r="V510" s="1" t="s">
        <v>8882</v>
      </c>
      <c r="W510" s="1" t="s">
        <v>74</v>
      </c>
      <c r="X510" s="1" t="s">
        <v>74</v>
      </c>
      <c r="Y510" s="1" t="s">
        <v>8883</v>
      </c>
      <c r="Z510" s="1" t="s">
        <v>74</v>
      </c>
      <c r="AA510" s="1" t="s">
        <v>74</v>
      </c>
      <c r="AB510" s="1" t="s">
        <v>74</v>
      </c>
      <c r="AC510" s="1" t="s">
        <v>74</v>
      </c>
      <c r="AD510" s="1" t="s">
        <v>74</v>
      </c>
      <c r="AE510" s="1" t="s">
        <v>74</v>
      </c>
      <c r="AF510" s="1" t="s">
        <v>74</v>
      </c>
      <c r="AG510" s="1">
        <v>40</v>
      </c>
      <c r="AH510" s="1">
        <v>22</v>
      </c>
      <c r="AI510" s="1">
        <v>30</v>
      </c>
      <c r="AJ510" s="1">
        <v>0</v>
      </c>
      <c r="AK510" s="1">
        <v>13</v>
      </c>
      <c r="AL510" s="1" t="s">
        <v>430</v>
      </c>
      <c r="AM510" s="1" t="s">
        <v>137</v>
      </c>
      <c r="AN510" s="1" t="s">
        <v>1600</v>
      </c>
      <c r="AO510" s="1" t="s">
        <v>432</v>
      </c>
      <c r="AP510" s="1" t="s">
        <v>74</v>
      </c>
      <c r="AQ510" s="1" t="s">
        <v>74</v>
      </c>
      <c r="AR510" s="1" t="s">
        <v>433</v>
      </c>
      <c r="AS510" s="1" t="s">
        <v>434</v>
      </c>
      <c r="AT510" s="1" t="s">
        <v>74</v>
      </c>
      <c r="AU510" s="1">
        <v>1994</v>
      </c>
      <c r="AV510" s="1">
        <v>85</v>
      </c>
      <c r="AW510" s="1">
        <v>3</v>
      </c>
      <c r="AX510" s="1" t="s">
        <v>74</v>
      </c>
      <c r="AY510" s="1" t="s">
        <v>74</v>
      </c>
      <c r="AZ510" s="1" t="s">
        <v>74</v>
      </c>
      <c r="BA510" s="1" t="s">
        <v>74</v>
      </c>
      <c r="BB510" s="1">
        <v>271</v>
      </c>
      <c r="BC510" s="1">
        <v>282</v>
      </c>
      <c r="BD510" s="1" t="s">
        <v>74</v>
      </c>
      <c r="BE510" s="1" t="s">
        <v>8884</v>
      </c>
      <c r="BF510" s="1" t="str">
        <f>HYPERLINK("http://dx.doi.org/10.1016/0269-7491(94)90048-5","http://dx.doi.org/10.1016/0269-7491(94)90048-5")</f>
        <v>http://dx.doi.org/10.1016/0269-7491(94)90048-5</v>
      </c>
      <c r="BG510" s="1" t="s">
        <v>74</v>
      </c>
      <c r="BH510" s="1" t="s">
        <v>74</v>
      </c>
      <c r="BI510" s="1">
        <v>12</v>
      </c>
      <c r="BJ510" s="1" t="s">
        <v>144</v>
      </c>
      <c r="BK510" s="1" t="s">
        <v>96</v>
      </c>
      <c r="BL510" s="1" t="s">
        <v>145</v>
      </c>
      <c r="BM510" s="1" t="s">
        <v>8885</v>
      </c>
      <c r="BN510" s="1">
        <v>15091657</v>
      </c>
      <c r="BO510" s="1" t="s">
        <v>74</v>
      </c>
      <c r="BP510" s="1" t="s">
        <v>74</v>
      </c>
      <c r="BQ510" s="1" t="s">
        <v>74</v>
      </c>
      <c r="BR510" s="1" t="s">
        <v>98</v>
      </c>
      <c r="BS510" s="1" t="s">
        <v>8886</v>
      </c>
      <c r="BT510" s="1" t="str">
        <f>HYPERLINK("https%3A%2F%2Fwww.webofscience.com%2Fwos%2Fwoscc%2Ffull-record%2FWOS:A1994NN65900005","View Full Record in Web of Science")</f>
        <v>View Full Record in Web of Science</v>
      </c>
    </row>
    <row r="511" spans="1:72">
      <c r="A511" s="1" t="s">
        <v>72</v>
      </c>
      <c r="B511" s="1" t="s">
        <v>8887</v>
      </c>
      <c r="C511" s="1" t="s">
        <v>74</v>
      </c>
      <c r="D511" s="1" t="s">
        <v>74</v>
      </c>
      <c r="E511" s="1" t="s">
        <v>74</v>
      </c>
      <c r="F511" s="1" t="s">
        <v>8887</v>
      </c>
      <c r="G511" s="1" t="s">
        <v>74</v>
      </c>
      <c r="H511" s="1" t="s">
        <v>74</v>
      </c>
      <c r="I511" s="1" t="s">
        <v>8888</v>
      </c>
      <c r="J511" s="1" t="s">
        <v>8889</v>
      </c>
      <c r="K511" s="1" t="s">
        <v>74</v>
      </c>
      <c r="L511" s="1" t="s">
        <v>74</v>
      </c>
      <c r="M511" s="1" t="s">
        <v>78</v>
      </c>
      <c r="N511" s="1" t="s">
        <v>79</v>
      </c>
      <c r="O511" s="1" t="s">
        <v>74</v>
      </c>
      <c r="P511" s="1" t="s">
        <v>74</v>
      </c>
      <c r="Q511" s="1" t="s">
        <v>74</v>
      </c>
      <c r="R511" s="1" t="s">
        <v>74</v>
      </c>
      <c r="S511" s="1" t="s">
        <v>74</v>
      </c>
      <c r="T511" s="1" t="s">
        <v>8890</v>
      </c>
      <c r="U511" s="1" t="s">
        <v>8891</v>
      </c>
      <c r="V511" s="1" t="s">
        <v>8892</v>
      </c>
      <c r="W511" s="1" t="s">
        <v>8893</v>
      </c>
      <c r="X511" s="1" t="s">
        <v>8894</v>
      </c>
      <c r="Y511" s="1" t="s">
        <v>74</v>
      </c>
      <c r="Z511" s="1" t="s">
        <v>8895</v>
      </c>
      <c r="AA511" s="1" t="s">
        <v>8896</v>
      </c>
      <c r="AB511" s="1" t="s">
        <v>74</v>
      </c>
      <c r="AC511" s="1" t="s">
        <v>74</v>
      </c>
      <c r="AD511" s="1" t="s">
        <v>74</v>
      </c>
      <c r="AE511" s="1" t="s">
        <v>74</v>
      </c>
      <c r="AF511" s="1" t="s">
        <v>74</v>
      </c>
      <c r="AG511" s="1">
        <v>41</v>
      </c>
      <c r="AH511" s="1">
        <v>22</v>
      </c>
      <c r="AI511" s="1">
        <v>23</v>
      </c>
      <c r="AJ511" s="1">
        <v>0</v>
      </c>
      <c r="AK511" s="1">
        <v>5</v>
      </c>
      <c r="AL511" s="1" t="s">
        <v>8897</v>
      </c>
      <c r="AM511" s="1" t="s">
        <v>8898</v>
      </c>
      <c r="AN511" s="1" t="s">
        <v>8899</v>
      </c>
      <c r="AO511" s="1" t="s">
        <v>8900</v>
      </c>
      <c r="AP511" s="1" t="s">
        <v>74</v>
      </c>
      <c r="AQ511" s="1" t="s">
        <v>74</v>
      </c>
      <c r="AR511" s="1" t="s">
        <v>8901</v>
      </c>
      <c r="AS511" s="1" t="s">
        <v>8902</v>
      </c>
      <c r="AT511" s="1" t="s">
        <v>1223</v>
      </c>
      <c r="AU511" s="1">
        <v>2003</v>
      </c>
      <c r="AV511" s="1">
        <v>11</v>
      </c>
      <c r="AW511" s="1">
        <v>1</v>
      </c>
      <c r="AX511" s="1" t="s">
        <v>74</v>
      </c>
      <c r="AY511" s="1" t="s">
        <v>74</v>
      </c>
      <c r="AZ511" s="1" t="s">
        <v>74</v>
      </c>
      <c r="BA511" s="1" t="s">
        <v>74</v>
      </c>
      <c r="BB511" s="1">
        <v>32</v>
      </c>
      <c r="BC511" s="1">
        <v>38</v>
      </c>
      <c r="BD511" s="1" t="s">
        <v>74</v>
      </c>
      <c r="BE511" s="1" t="s">
        <v>74</v>
      </c>
      <c r="BF511" s="1" t="s">
        <v>74</v>
      </c>
      <c r="BG511" s="1" t="s">
        <v>74</v>
      </c>
      <c r="BH511" s="1" t="s">
        <v>74</v>
      </c>
      <c r="BI511" s="1">
        <v>7</v>
      </c>
      <c r="BJ511" s="1" t="s">
        <v>8903</v>
      </c>
      <c r="BK511" s="1" t="s">
        <v>96</v>
      </c>
      <c r="BL511" s="1" t="s">
        <v>8903</v>
      </c>
      <c r="BM511" s="1" t="s">
        <v>8904</v>
      </c>
      <c r="BN511" s="1" t="s">
        <v>74</v>
      </c>
      <c r="BO511" s="1" t="s">
        <v>74</v>
      </c>
      <c r="BP511" s="1" t="s">
        <v>74</v>
      </c>
      <c r="BQ511" s="1" t="s">
        <v>74</v>
      </c>
      <c r="BR511" s="1" t="s">
        <v>98</v>
      </c>
      <c r="BS511" s="1" t="s">
        <v>8905</v>
      </c>
      <c r="BT511" s="1" t="str">
        <f>HYPERLINK("https%3A%2F%2Fwww.webofscience.com%2Fwos%2Fwoscc%2Ffull-record%2FWOS:000181954100007","View Full Record in Web of Science")</f>
        <v>View Full Record in Web of Science</v>
      </c>
    </row>
    <row r="512" spans="1:72">
      <c r="A512" s="1" t="s">
        <v>72</v>
      </c>
      <c r="B512" s="1" t="s">
        <v>8906</v>
      </c>
      <c r="C512" s="1" t="s">
        <v>74</v>
      </c>
      <c r="D512" s="1" t="s">
        <v>74</v>
      </c>
      <c r="E512" s="1" t="s">
        <v>74</v>
      </c>
      <c r="F512" s="1" t="s">
        <v>8907</v>
      </c>
      <c r="G512" s="1" t="s">
        <v>74</v>
      </c>
      <c r="H512" s="1" t="s">
        <v>74</v>
      </c>
      <c r="I512" s="1" t="s">
        <v>8908</v>
      </c>
      <c r="J512" s="1" t="s">
        <v>909</v>
      </c>
      <c r="K512" s="1" t="s">
        <v>74</v>
      </c>
      <c r="L512" s="1" t="s">
        <v>74</v>
      </c>
      <c r="M512" s="1" t="s">
        <v>78</v>
      </c>
      <c r="N512" s="1" t="s">
        <v>79</v>
      </c>
      <c r="O512" s="1" t="s">
        <v>74</v>
      </c>
      <c r="P512" s="1" t="s">
        <v>74</v>
      </c>
      <c r="Q512" s="1" t="s">
        <v>74</v>
      </c>
      <c r="R512" s="1" t="s">
        <v>74</v>
      </c>
      <c r="S512" s="1" t="s">
        <v>74</v>
      </c>
      <c r="T512" s="1" t="s">
        <v>8909</v>
      </c>
      <c r="U512" s="1" t="s">
        <v>8910</v>
      </c>
      <c r="V512" s="1" t="s">
        <v>8911</v>
      </c>
      <c r="W512" s="1" t="s">
        <v>8912</v>
      </c>
      <c r="X512" s="1" t="s">
        <v>8913</v>
      </c>
      <c r="Y512" s="1" t="s">
        <v>8914</v>
      </c>
      <c r="Z512" s="1" t="s">
        <v>8840</v>
      </c>
      <c r="AA512" s="1" t="s">
        <v>8915</v>
      </c>
      <c r="AB512" s="1" t="s">
        <v>8916</v>
      </c>
      <c r="AC512" s="1" t="s">
        <v>8917</v>
      </c>
      <c r="AD512" s="1" t="s">
        <v>8918</v>
      </c>
      <c r="AE512" s="1" t="s">
        <v>8919</v>
      </c>
      <c r="AF512" s="1" t="s">
        <v>74</v>
      </c>
      <c r="AG512" s="1">
        <v>56</v>
      </c>
      <c r="AH512" s="1">
        <v>42</v>
      </c>
      <c r="AI512" s="1">
        <v>43</v>
      </c>
      <c r="AJ512" s="1">
        <v>1</v>
      </c>
      <c r="AK512" s="1">
        <v>39</v>
      </c>
      <c r="AL512" s="1" t="s">
        <v>650</v>
      </c>
      <c r="AM512" s="1" t="s">
        <v>651</v>
      </c>
      <c r="AN512" s="1" t="s">
        <v>652</v>
      </c>
      <c r="AO512" s="1" t="s">
        <v>921</v>
      </c>
      <c r="AP512" s="1" t="s">
        <v>922</v>
      </c>
      <c r="AQ512" s="1" t="s">
        <v>74</v>
      </c>
      <c r="AR512" s="1" t="s">
        <v>923</v>
      </c>
      <c r="AS512" s="1" t="s">
        <v>924</v>
      </c>
      <c r="AT512" s="1" t="s">
        <v>8920</v>
      </c>
      <c r="AU512" s="1">
        <v>2008</v>
      </c>
      <c r="AV512" s="1">
        <v>405</v>
      </c>
      <c r="AW512" s="1" t="s">
        <v>2847</v>
      </c>
      <c r="AX512" s="1" t="s">
        <v>74</v>
      </c>
      <c r="AY512" s="1" t="s">
        <v>74</v>
      </c>
      <c r="AZ512" s="1" t="s">
        <v>74</v>
      </c>
      <c r="BA512" s="1" t="s">
        <v>74</v>
      </c>
      <c r="BB512" s="1">
        <v>109</v>
      </c>
      <c r="BC512" s="1">
        <v>119</v>
      </c>
      <c r="BD512" s="1" t="s">
        <v>74</v>
      </c>
      <c r="BE512" s="1" t="s">
        <v>8921</v>
      </c>
      <c r="BF512" s="1" t="str">
        <f>HYPERLINK("http://dx.doi.org/10.1016/j.scitotenv.2008.07.016","http://dx.doi.org/10.1016/j.scitotenv.2008.07.016")</f>
        <v>http://dx.doi.org/10.1016/j.scitotenv.2008.07.016</v>
      </c>
      <c r="BG512" s="1" t="s">
        <v>74</v>
      </c>
      <c r="BH512" s="1" t="s">
        <v>74</v>
      </c>
      <c r="BI512" s="1">
        <v>11</v>
      </c>
      <c r="BJ512" s="1" t="s">
        <v>144</v>
      </c>
      <c r="BK512" s="1" t="s">
        <v>96</v>
      </c>
      <c r="BL512" s="1" t="s">
        <v>145</v>
      </c>
      <c r="BM512" s="1" t="s">
        <v>8922</v>
      </c>
      <c r="BN512" s="1">
        <v>18722647</v>
      </c>
      <c r="BO512" s="1" t="s">
        <v>74</v>
      </c>
      <c r="BP512" s="1" t="s">
        <v>74</v>
      </c>
      <c r="BQ512" s="1" t="s">
        <v>74</v>
      </c>
      <c r="BR512" s="1" t="s">
        <v>98</v>
      </c>
      <c r="BS512" s="1" t="s">
        <v>8923</v>
      </c>
      <c r="BT512" s="1" t="str">
        <f>HYPERLINK("https%3A%2F%2Fwww.webofscience.com%2Fwos%2Fwoscc%2Ffull-record%2FWOS:000260941300012","View Full Record in Web of Science")</f>
        <v>View Full Record in Web of Science</v>
      </c>
    </row>
    <row r="513" spans="1:72">
      <c r="A513" s="1" t="s">
        <v>72</v>
      </c>
      <c r="B513" s="1" t="s">
        <v>8924</v>
      </c>
      <c r="C513" s="1" t="s">
        <v>74</v>
      </c>
      <c r="D513" s="1" t="s">
        <v>74</v>
      </c>
      <c r="E513" s="1" t="s">
        <v>74</v>
      </c>
      <c r="F513" s="1" t="s">
        <v>8925</v>
      </c>
      <c r="G513" s="1" t="s">
        <v>74</v>
      </c>
      <c r="H513" s="1" t="s">
        <v>74</v>
      </c>
      <c r="I513" s="1" t="s">
        <v>8926</v>
      </c>
      <c r="J513" s="1" t="s">
        <v>3567</v>
      </c>
      <c r="K513" s="1" t="s">
        <v>74</v>
      </c>
      <c r="L513" s="1" t="s">
        <v>74</v>
      </c>
      <c r="M513" s="1" t="s">
        <v>78</v>
      </c>
      <c r="N513" s="1" t="s">
        <v>79</v>
      </c>
      <c r="O513" s="1" t="s">
        <v>74</v>
      </c>
      <c r="P513" s="1" t="s">
        <v>74</v>
      </c>
      <c r="Q513" s="1" t="s">
        <v>74</v>
      </c>
      <c r="R513" s="1" t="s">
        <v>74</v>
      </c>
      <c r="S513" s="1" t="s">
        <v>74</v>
      </c>
      <c r="T513" s="1" t="s">
        <v>8927</v>
      </c>
      <c r="U513" s="1" t="s">
        <v>8928</v>
      </c>
      <c r="V513" s="1" t="s">
        <v>8929</v>
      </c>
      <c r="W513" s="1" t="s">
        <v>8930</v>
      </c>
      <c r="X513" s="1" t="s">
        <v>3572</v>
      </c>
      <c r="Y513" s="1" t="s">
        <v>8931</v>
      </c>
      <c r="Z513" s="1" t="s">
        <v>3574</v>
      </c>
      <c r="AA513" s="1" t="s">
        <v>8932</v>
      </c>
      <c r="AB513" s="1" t="s">
        <v>74</v>
      </c>
      <c r="AC513" s="1" t="s">
        <v>8933</v>
      </c>
      <c r="AD513" s="1" t="s">
        <v>3578</v>
      </c>
      <c r="AE513" s="1" t="s">
        <v>8934</v>
      </c>
      <c r="AF513" s="1" t="s">
        <v>74</v>
      </c>
      <c r="AG513" s="1">
        <v>26</v>
      </c>
      <c r="AH513" s="1">
        <v>3</v>
      </c>
      <c r="AI513" s="1">
        <v>3</v>
      </c>
      <c r="AJ513" s="1">
        <v>0</v>
      </c>
      <c r="AK513" s="1">
        <v>6</v>
      </c>
      <c r="AL513" s="1" t="s">
        <v>3580</v>
      </c>
      <c r="AM513" s="1" t="s">
        <v>1312</v>
      </c>
      <c r="AN513" s="1" t="s">
        <v>3581</v>
      </c>
      <c r="AO513" s="1" t="s">
        <v>3582</v>
      </c>
      <c r="AP513" s="1" t="s">
        <v>74</v>
      </c>
      <c r="AQ513" s="1" t="s">
        <v>74</v>
      </c>
      <c r="AR513" s="1" t="s">
        <v>3583</v>
      </c>
      <c r="AS513" s="1" t="s">
        <v>3584</v>
      </c>
      <c r="AT513" s="1" t="s">
        <v>93</v>
      </c>
      <c r="AU513" s="1">
        <v>2016</v>
      </c>
      <c r="AV513" s="1">
        <v>48</v>
      </c>
      <c r="AW513" s="1">
        <v>2</v>
      </c>
      <c r="AX513" s="1" t="s">
        <v>74</v>
      </c>
      <c r="AY513" s="1" t="s">
        <v>74</v>
      </c>
      <c r="AZ513" s="1" t="s">
        <v>74</v>
      </c>
      <c r="BA513" s="1" t="s">
        <v>74</v>
      </c>
      <c r="BB513" s="1">
        <v>597</v>
      </c>
      <c r="BC513" s="1">
        <v>600</v>
      </c>
      <c r="BD513" s="1" t="s">
        <v>74</v>
      </c>
      <c r="BE513" s="1" t="s">
        <v>74</v>
      </c>
      <c r="BF513" s="1" t="s">
        <v>74</v>
      </c>
      <c r="BG513" s="1" t="s">
        <v>74</v>
      </c>
      <c r="BH513" s="1" t="s">
        <v>74</v>
      </c>
      <c r="BI513" s="1">
        <v>4</v>
      </c>
      <c r="BJ513" s="1" t="s">
        <v>2210</v>
      </c>
      <c r="BK513" s="1" t="s">
        <v>96</v>
      </c>
      <c r="BL513" s="1" t="s">
        <v>2210</v>
      </c>
      <c r="BM513" s="1" t="s">
        <v>3585</v>
      </c>
      <c r="BN513" s="1" t="s">
        <v>74</v>
      </c>
      <c r="BO513" s="1" t="s">
        <v>74</v>
      </c>
      <c r="BP513" s="1" t="s">
        <v>74</v>
      </c>
      <c r="BQ513" s="1" t="s">
        <v>74</v>
      </c>
      <c r="BR513" s="1" t="s">
        <v>98</v>
      </c>
      <c r="BS513" s="1" t="s">
        <v>8935</v>
      </c>
      <c r="BT513" s="1" t="str">
        <f>HYPERLINK("https%3A%2F%2Fwww.webofscience.com%2Fwos%2Fwoscc%2Ffull-record%2FWOS:000374719000041","View Full Record in Web of Science")</f>
        <v>View Full Record in Web of Science</v>
      </c>
    </row>
    <row r="514" spans="1:72">
      <c r="A514" s="1" t="s">
        <v>72</v>
      </c>
      <c r="B514" s="1" t="s">
        <v>8936</v>
      </c>
      <c r="C514" s="1" t="s">
        <v>74</v>
      </c>
      <c r="D514" s="1" t="s">
        <v>74</v>
      </c>
      <c r="E514" s="1" t="s">
        <v>74</v>
      </c>
      <c r="F514" s="1" t="s">
        <v>8937</v>
      </c>
      <c r="G514" s="1" t="s">
        <v>74</v>
      </c>
      <c r="H514" s="1" t="s">
        <v>74</v>
      </c>
      <c r="I514" s="1" t="s">
        <v>8938</v>
      </c>
      <c r="J514" s="1" t="s">
        <v>495</v>
      </c>
      <c r="K514" s="1" t="s">
        <v>74</v>
      </c>
      <c r="L514" s="1" t="s">
        <v>74</v>
      </c>
      <c r="M514" s="1" t="s">
        <v>78</v>
      </c>
      <c r="N514" s="1" t="s">
        <v>79</v>
      </c>
      <c r="O514" s="1" t="s">
        <v>74</v>
      </c>
      <c r="P514" s="1" t="s">
        <v>74</v>
      </c>
      <c r="Q514" s="1" t="s">
        <v>74</v>
      </c>
      <c r="R514" s="1" t="s">
        <v>74</v>
      </c>
      <c r="S514" s="1" t="s">
        <v>74</v>
      </c>
      <c r="T514" s="1" t="s">
        <v>8939</v>
      </c>
      <c r="U514" s="1" t="s">
        <v>8940</v>
      </c>
      <c r="V514" s="1" t="s">
        <v>8941</v>
      </c>
      <c r="W514" s="1" t="s">
        <v>8942</v>
      </c>
      <c r="X514" s="1" t="s">
        <v>74</v>
      </c>
      <c r="Y514" s="1" t="s">
        <v>8943</v>
      </c>
      <c r="Z514" s="1" t="s">
        <v>8944</v>
      </c>
      <c r="AA514" s="1" t="s">
        <v>8945</v>
      </c>
      <c r="AB514" s="1" t="s">
        <v>74</v>
      </c>
      <c r="AC514" s="1" t="s">
        <v>8946</v>
      </c>
      <c r="AD514" s="1" t="s">
        <v>8946</v>
      </c>
      <c r="AE514" s="1" t="s">
        <v>8947</v>
      </c>
      <c r="AF514" s="1" t="s">
        <v>74</v>
      </c>
      <c r="AG514" s="1">
        <v>38</v>
      </c>
      <c r="AH514" s="1">
        <v>14</v>
      </c>
      <c r="AI514" s="1">
        <v>15</v>
      </c>
      <c r="AJ514" s="1">
        <v>0</v>
      </c>
      <c r="AK514" s="1">
        <v>9</v>
      </c>
      <c r="AL514" s="1" t="s">
        <v>1030</v>
      </c>
      <c r="AM514" s="1" t="s">
        <v>1031</v>
      </c>
      <c r="AN514" s="1" t="s">
        <v>1032</v>
      </c>
      <c r="AO514" s="1" t="s">
        <v>507</v>
      </c>
      <c r="AP514" s="1" t="s">
        <v>1033</v>
      </c>
      <c r="AQ514" s="1" t="s">
        <v>74</v>
      </c>
      <c r="AR514" s="1" t="s">
        <v>508</v>
      </c>
      <c r="AS514" s="1" t="s">
        <v>509</v>
      </c>
      <c r="AT514" s="1" t="s">
        <v>74</v>
      </c>
      <c r="AU514" s="1">
        <v>2012</v>
      </c>
      <c r="AV514" s="1">
        <v>21</v>
      </c>
      <c r="AW514" s="1" t="s">
        <v>1885</v>
      </c>
      <c r="AX514" s="1" t="s">
        <v>74</v>
      </c>
      <c r="AY514" s="1" t="s">
        <v>74</v>
      </c>
      <c r="AZ514" s="1" t="s">
        <v>225</v>
      </c>
      <c r="BA514" s="1" t="s">
        <v>74</v>
      </c>
      <c r="BB514" s="1">
        <v>3042</v>
      </c>
      <c r="BC514" s="1">
        <v>3051</v>
      </c>
      <c r="BD514" s="1" t="s">
        <v>74</v>
      </c>
      <c r="BE514" s="1" t="s">
        <v>74</v>
      </c>
      <c r="BF514" s="1" t="s">
        <v>74</v>
      </c>
      <c r="BG514" s="1" t="s">
        <v>74</v>
      </c>
      <c r="BH514" s="1" t="s">
        <v>74</v>
      </c>
      <c r="BI514" s="1">
        <v>10</v>
      </c>
      <c r="BJ514" s="1" t="s">
        <v>144</v>
      </c>
      <c r="BK514" s="1" t="s">
        <v>96</v>
      </c>
      <c r="BL514" s="1" t="s">
        <v>145</v>
      </c>
      <c r="BM514" s="1" t="s">
        <v>8948</v>
      </c>
      <c r="BN514" s="1" t="s">
        <v>74</v>
      </c>
      <c r="BO514" s="1" t="s">
        <v>74</v>
      </c>
      <c r="BP514" s="1" t="s">
        <v>74</v>
      </c>
      <c r="BQ514" s="1" t="s">
        <v>74</v>
      </c>
      <c r="BR514" s="1" t="s">
        <v>98</v>
      </c>
      <c r="BS514" s="1" t="s">
        <v>8949</v>
      </c>
      <c r="BT514" s="1" t="str">
        <f>HYPERLINK("https%3A%2F%2Fwww.webofscience.com%2Fwos%2Fwoscc%2Ffull-record%2FWOS:000312412700007","View Full Record in Web of Science")</f>
        <v>View Full Record in Web of Science</v>
      </c>
    </row>
    <row r="515" spans="1:72">
      <c r="A515" s="1" t="s">
        <v>72</v>
      </c>
      <c r="B515" s="1" t="s">
        <v>8950</v>
      </c>
      <c r="C515" s="1" t="s">
        <v>74</v>
      </c>
      <c r="D515" s="1" t="s">
        <v>74</v>
      </c>
      <c r="E515" s="1" t="s">
        <v>74</v>
      </c>
      <c r="F515" s="1" t="s">
        <v>8950</v>
      </c>
      <c r="G515" s="1" t="s">
        <v>74</v>
      </c>
      <c r="H515" s="1" t="s">
        <v>74</v>
      </c>
      <c r="I515" s="1" t="s">
        <v>8951</v>
      </c>
      <c r="J515" s="1" t="s">
        <v>8952</v>
      </c>
      <c r="K515" s="1" t="s">
        <v>74</v>
      </c>
      <c r="L515" s="1" t="s">
        <v>74</v>
      </c>
      <c r="M515" s="1" t="s">
        <v>78</v>
      </c>
      <c r="N515" s="1" t="s">
        <v>79</v>
      </c>
      <c r="O515" s="1" t="s">
        <v>74</v>
      </c>
      <c r="P515" s="1" t="s">
        <v>74</v>
      </c>
      <c r="Q515" s="1" t="s">
        <v>74</v>
      </c>
      <c r="R515" s="1" t="s">
        <v>74</v>
      </c>
      <c r="S515" s="1" t="s">
        <v>74</v>
      </c>
      <c r="T515" s="1" t="s">
        <v>74</v>
      </c>
      <c r="U515" s="1" t="s">
        <v>74</v>
      </c>
      <c r="V515" s="1" t="s">
        <v>8953</v>
      </c>
      <c r="W515" s="1" t="s">
        <v>74</v>
      </c>
      <c r="X515" s="1" t="s">
        <v>74</v>
      </c>
      <c r="Y515" s="1" t="s">
        <v>8954</v>
      </c>
      <c r="Z515" s="1" t="s">
        <v>74</v>
      </c>
      <c r="AA515" s="1" t="s">
        <v>74</v>
      </c>
      <c r="AB515" s="1" t="s">
        <v>74</v>
      </c>
      <c r="AC515" s="1" t="s">
        <v>74</v>
      </c>
      <c r="AD515" s="1" t="s">
        <v>74</v>
      </c>
      <c r="AE515" s="1" t="s">
        <v>74</v>
      </c>
      <c r="AF515" s="1" t="s">
        <v>74</v>
      </c>
      <c r="AG515" s="1">
        <v>12</v>
      </c>
      <c r="AH515" s="1">
        <v>50</v>
      </c>
      <c r="AI515" s="1">
        <v>57</v>
      </c>
      <c r="AJ515" s="1">
        <v>0</v>
      </c>
      <c r="AK515" s="1">
        <v>8</v>
      </c>
      <c r="AL515" s="1" t="s">
        <v>3362</v>
      </c>
      <c r="AM515" s="1" t="s">
        <v>3363</v>
      </c>
      <c r="AN515" s="1" t="s">
        <v>3364</v>
      </c>
      <c r="AO515" s="1" t="s">
        <v>8955</v>
      </c>
      <c r="AP515" s="1" t="s">
        <v>8956</v>
      </c>
      <c r="AQ515" s="1" t="s">
        <v>74</v>
      </c>
      <c r="AR515" s="1" t="s">
        <v>8957</v>
      </c>
      <c r="AS515" s="1" t="s">
        <v>8958</v>
      </c>
      <c r="AT515" s="1" t="s">
        <v>765</v>
      </c>
      <c r="AU515" s="1">
        <v>1988</v>
      </c>
      <c r="AV515" s="1">
        <v>52</v>
      </c>
      <c r="AW515" s="1">
        <v>1</v>
      </c>
      <c r="AX515" s="1" t="s">
        <v>74</v>
      </c>
      <c r="AY515" s="1" t="s">
        <v>74</v>
      </c>
      <c r="AZ515" s="1" t="s">
        <v>74</v>
      </c>
      <c r="BA515" s="1" t="s">
        <v>74</v>
      </c>
      <c r="BB515" s="1">
        <v>137</v>
      </c>
      <c r="BC515" s="1">
        <v>141</v>
      </c>
      <c r="BD515" s="1" t="s">
        <v>74</v>
      </c>
      <c r="BE515" s="1" t="s">
        <v>8959</v>
      </c>
      <c r="BF515" s="1" t="str">
        <f>HYPERLINK("http://dx.doi.org/10.1016/0022-2011(88)90112-7","http://dx.doi.org/10.1016/0022-2011(88)90112-7")</f>
        <v>http://dx.doi.org/10.1016/0022-2011(88)90112-7</v>
      </c>
      <c r="BG515" s="1" t="s">
        <v>74</v>
      </c>
      <c r="BH515" s="1" t="s">
        <v>74</v>
      </c>
      <c r="BI515" s="1">
        <v>5</v>
      </c>
      <c r="BJ515" s="1" t="s">
        <v>2210</v>
      </c>
      <c r="BK515" s="1" t="s">
        <v>96</v>
      </c>
      <c r="BL515" s="1" t="s">
        <v>2210</v>
      </c>
      <c r="BM515" s="1" t="s">
        <v>8960</v>
      </c>
      <c r="BN515" s="1" t="s">
        <v>74</v>
      </c>
      <c r="BO515" s="1" t="s">
        <v>74</v>
      </c>
      <c r="BP515" s="1" t="s">
        <v>74</v>
      </c>
      <c r="BQ515" s="1" t="s">
        <v>74</v>
      </c>
      <c r="BR515" s="1" t="s">
        <v>98</v>
      </c>
      <c r="BS515" s="1" t="s">
        <v>8961</v>
      </c>
      <c r="BT515" s="1" t="str">
        <f>HYPERLINK("https%3A%2F%2Fwww.webofscience.com%2Fwos%2Fwoscc%2Ffull-record%2FWOS:A1988N952400018","View Full Record in Web of Science")</f>
        <v>View Full Record in Web of Science</v>
      </c>
    </row>
    <row r="516" spans="1:72">
      <c r="A516" s="1" t="s">
        <v>72</v>
      </c>
      <c r="B516" s="1" t="s">
        <v>8962</v>
      </c>
      <c r="C516" s="1" t="s">
        <v>74</v>
      </c>
      <c r="D516" s="1" t="s">
        <v>74</v>
      </c>
      <c r="E516" s="1" t="s">
        <v>74</v>
      </c>
      <c r="F516" s="1" t="s">
        <v>8963</v>
      </c>
      <c r="G516" s="1" t="s">
        <v>74</v>
      </c>
      <c r="H516" s="1" t="s">
        <v>74</v>
      </c>
      <c r="I516" s="1" t="s">
        <v>8964</v>
      </c>
      <c r="J516" s="1" t="s">
        <v>4687</v>
      </c>
      <c r="K516" s="1" t="s">
        <v>74</v>
      </c>
      <c r="L516" s="1" t="s">
        <v>74</v>
      </c>
      <c r="M516" s="1" t="s">
        <v>78</v>
      </c>
      <c r="N516" s="1" t="s">
        <v>79</v>
      </c>
      <c r="O516" s="1" t="s">
        <v>74</v>
      </c>
      <c r="P516" s="1" t="s">
        <v>74</v>
      </c>
      <c r="Q516" s="1" t="s">
        <v>74</v>
      </c>
      <c r="R516" s="1" t="s">
        <v>74</v>
      </c>
      <c r="S516" s="1" t="s">
        <v>74</v>
      </c>
      <c r="T516" s="1" t="s">
        <v>8965</v>
      </c>
      <c r="U516" s="1" t="s">
        <v>8966</v>
      </c>
      <c r="V516" s="1" t="s">
        <v>8967</v>
      </c>
      <c r="W516" s="1" t="s">
        <v>8968</v>
      </c>
      <c r="X516" s="1" t="s">
        <v>8969</v>
      </c>
      <c r="Y516" s="1" t="s">
        <v>8970</v>
      </c>
      <c r="Z516" s="1" t="s">
        <v>8971</v>
      </c>
      <c r="AA516" s="1" t="s">
        <v>74</v>
      </c>
      <c r="AB516" s="1" t="s">
        <v>8972</v>
      </c>
      <c r="AC516" s="1" t="s">
        <v>8973</v>
      </c>
      <c r="AD516" s="1" t="s">
        <v>8973</v>
      </c>
      <c r="AE516" s="1" t="s">
        <v>8974</v>
      </c>
      <c r="AF516" s="1" t="s">
        <v>74</v>
      </c>
      <c r="AG516" s="1">
        <v>32</v>
      </c>
      <c r="AH516" s="1">
        <v>3</v>
      </c>
      <c r="AI516" s="1">
        <v>4</v>
      </c>
      <c r="AJ516" s="1">
        <v>0</v>
      </c>
      <c r="AK516" s="1">
        <v>7</v>
      </c>
      <c r="AL516" s="1" t="s">
        <v>650</v>
      </c>
      <c r="AM516" s="1" t="s">
        <v>651</v>
      </c>
      <c r="AN516" s="1" t="s">
        <v>652</v>
      </c>
      <c r="AO516" s="1" t="s">
        <v>4697</v>
      </c>
      <c r="AP516" s="1" t="s">
        <v>74</v>
      </c>
      <c r="AQ516" s="1" t="s">
        <v>74</v>
      </c>
      <c r="AR516" s="1" t="s">
        <v>4698</v>
      </c>
      <c r="AS516" s="1" t="s">
        <v>4699</v>
      </c>
      <c r="AT516" s="1" t="s">
        <v>170</v>
      </c>
      <c r="AU516" s="1">
        <v>2021</v>
      </c>
      <c r="AV516" s="1">
        <v>22</v>
      </c>
      <c r="AW516" s="1" t="s">
        <v>74</v>
      </c>
      <c r="AX516" s="1" t="s">
        <v>74</v>
      </c>
      <c r="AY516" s="1" t="s">
        <v>74</v>
      </c>
      <c r="AZ516" s="1" t="s">
        <v>74</v>
      </c>
      <c r="BA516" s="1" t="s">
        <v>74</v>
      </c>
      <c r="BB516" s="1" t="s">
        <v>74</v>
      </c>
      <c r="BC516" s="1" t="s">
        <v>74</v>
      </c>
      <c r="BD516" s="1">
        <v>101472</v>
      </c>
      <c r="BE516" s="1" t="s">
        <v>8975</v>
      </c>
      <c r="BF516" s="1" t="str">
        <f>HYPERLINK("http://dx.doi.org/10.1016/j.eti.2021.101472","http://dx.doi.org/10.1016/j.eti.2021.101472")</f>
        <v>http://dx.doi.org/10.1016/j.eti.2021.101472</v>
      </c>
      <c r="BG516" s="1" t="s">
        <v>74</v>
      </c>
      <c r="BH516" s="1" t="s">
        <v>992</v>
      </c>
      <c r="BI516" s="1">
        <v>10</v>
      </c>
      <c r="BJ516" s="1" t="s">
        <v>4702</v>
      </c>
      <c r="BK516" s="1" t="s">
        <v>96</v>
      </c>
      <c r="BL516" s="1" t="s">
        <v>4703</v>
      </c>
      <c r="BM516" s="1" t="s">
        <v>8976</v>
      </c>
      <c r="BN516" s="1" t="s">
        <v>74</v>
      </c>
      <c r="BO516" s="1" t="s">
        <v>810</v>
      </c>
      <c r="BP516" s="1" t="s">
        <v>74</v>
      </c>
      <c r="BQ516" s="1" t="s">
        <v>74</v>
      </c>
      <c r="BR516" s="1" t="s">
        <v>98</v>
      </c>
      <c r="BS516" s="1" t="s">
        <v>8977</v>
      </c>
      <c r="BT516" s="1" t="str">
        <f>HYPERLINK("https%3A%2F%2Fwww.webofscience.com%2Fwos%2Fwoscc%2Ffull-record%2FWOS:000645667000013","View Full Record in Web of Science")</f>
        <v>View Full Record in Web of Science</v>
      </c>
    </row>
    <row r="517" spans="1:72">
      <c r="A517" s="1" t="s">
        <v>72</v>
      </c>
      <c r="B517" s="1" t="s">
        <v>8978</v>
      </c>
      <c r="C517" s="1" t="s">
        <v>74</v>
      </c>
      <c r="D517" s="1" t="s">
        <v>74</v>
      </c>
      <c r="E517" s="1" t="s">
        <v>74</v>
      </c>
      <c r="F517" s="1" t="s">
        <v>8978</v>
      </c>
      <c r="G517" s="1" t="s">
        <v>74</v>
      </c>
      <c r="H517" s="1" t="s">
        <v>74</v>
      </c>
      <c r="I517" s="1" t="s">
        <v>8979</v>
      </c>
      <c r="J517" s="1" t="s">
        <v>421</v>
      </c>
      <c r="K517" s="1" t="s">
        <v>74</v>
      </c>
      <c r="L517" s="1" t="s">
        <v>74</v>
      </c>
      <c r="M517" s="1" t="s">
        <v>78</v>
      </c>
      <c r="N517" s="1" t="s">
        <v>79</v>
      </c>
      <c r="O517" s="1" t="s">
        <v>74</v>
      </c>
      <c r="P517" s="1" t="s">
        <v>74</v>
      </c>
      <c r="Q517" s="1" t="s">
        <v>74</v>
      </c>
      <c r="R517" s="1" t="s">
        <v>74</v>
      </c>
      <c r="S517" s="1" t="s">
        <v>74</v>
      </c>
      <c r="T517" s="1" t="s">
        <v>8980</v>
      </c>
      <c r="U517" s="1" t="s">
        <v>8981</v>
      </c>
      <c r="V517" s="1" t="s">
        <v>8982</v>
      </c>
      <c r="W517" s="1" t="s">
        <v>8983</v>
      </c>
      <c r="X517" s="1" t="s">
        <v>8984</v>
      </c>
      <c r="Y517" s="1" t="s">
        <v>8985</v>
      </c>
      <c r="Z517" s="1" t="s">
        <v>8986</v>
      </c>
      <c r="AA517" s="1" t="s">
        <v>8987</v>
      </c>
      <c r="AB517" s="1" t="s">
        <v>8988</v>
      </c>
      <c r="AC517" s="1" t="s">
        <v>74</v>
      </c>
      <c r="AD517" s="1" t="s">
        <v>74</v>
      </c>
      <c r="AE517" s="1" t="s">
        <v>74</v>
      </c>
      <c r="AF517" s="1" t="s">
        <v>74</v>
      </c>
      <c r="AG517" s="1">
        <v>45</v>
      </c>
      <c r="AH517" s="1">
        <v>95</v>
      </c>
      <c r="AI517" s="1">
        <v>105</v>
      </c>
      <c r="AJ517" s="1">
        <v>0</v>
      </c>
      <c r="AK517" s="1">
        <v>34</v>
      </c>
      <c r="AL517" s="1" t="s">
        <v>430</v>
      </c>
      <c r="AM517" s="1" t="s">
        <v>137</v>
      </c>
      <c r="AN517" s="1" t="s">
        <v>431</v>
      </c>
      <c r="AO517" s="1" t="s">
        <v>432</v>
      </c>
      <c r="AP517" s="1" t="s">
        <v>1394</v>
      </c>
      <c r="AQ517" s="1" t="s">
        <v>74</v>
      </c>
      <c r="AR517" s="1" t="s">
        <v>433</v>
      </c>
      <c r="AS517" s="1" t="s">
        <v>434</v>
      </c>
      <c r="AT517" s="1" t="s">
        <v>1223</v>
      </c>
      <c r="AU517" s="1">
        <v>2005</v>
      </c>
      <c r="AV517" s="1">
        <v>134</v>
      </c>
      <c r="AW517" s="1">
        <v>1</v>
      </c>
      <c r="AX517" s="1" t="s">
        <v>74</v>
      </c>
      <c r="AY517" s="1" t="s">
        <v>74</v>
      </c>
      <c r="AZ517" s="1" t="s">
        <v>74</v>
      </c>
      <c r="BA517" s="1" t="s">
        <v>74</v>
      </c>
      <c r="BB517" s="1">
        <v>79</v>
      </c>
      <c r="BC517" s="1">
        <v>86</v>
      </c>
      <c r="BD517" s="1" t="s">
        <v>74</v>
      </c>
      <c r="BE517" s="1" t="s">
        <v>8989</v>
      </c>
      <c r="BF517" s="1" t="str">
        <f>HYPERLINK("http://dx.doi.org/10.1016/j.envpol.2004.07.015","http://dx.doi.org/10.1016/j.envpol.2004.07.015")</f>
        <v>http://dx.doi.org/10.1016/j.envpol.2004.07.015</v>
      </c>
      <c r="BG517" s="1" t="s">
        <v>74</v>
      </c>
      <c r="BH517" s="1" t="s">
        <v>74</v>
      </c>
      <c r="BI517" s="1">
        <v>8</v>
      </c>
      <c r="BJ517" s="1" t="s">
        <v>144</v>
      </c>
      <c r="BK517" s="1" t="s">
        <v>96</v>
      </c>
      <c r="BL517" s="1" t="s">
        <v>145</v>
      </c>
      <c r="BM517" s="1" t="s">
        <v>8990</v>
      </c>
      <c r="BN517" s="1">
        <v>15572226</v>
      </c>
      <c r="BO517" s="1" t="s">
        <v>74</v>
      </c>
      <c r="BP517" s="1" t="s">
        <v>74</v>
      </c>
      <c r="BQ517" s="1" t="s">
        <v>74</v>
      </c>
      <c r="BR517" s="1" t="s">
        <v>98</v>
      </c>
      <c r="BS517" s="1" t="s">
        <v>8991</v>
      </c>
      <c r="BT517" s="1" t="str">
        <f>HYPERLINK("https%3A%2F%2Fwww.webofscience.com%2Fwos%2Fwoscc%2Ffull-record%2FWOS:000226351300009","View Full Record in Web of Science")</f>
        <v>View Full Record in Web of Science</v>
      </c>
    </row>
    <row r="518" spans="1:72">
      <c r="A518" s="1" t="s">
        <v>72</v>
      </c>
      <c r="B518" s="1" t="s">
        <v>615</v>
      </c>
      <c r="C518" s="1" t="s">
        <v>74</v>
      </c>
      <c r="D518" s="1" t="s">
        <v>74</v>
      </c>
      <c r="E518" s="1" t="s">
        <v>74</v>
      </c>
      <c r="F518" s="1" t="s">
        <v>8992</v>
      </c>
      <c r="G518" s="1" t="s">
        <v>74</v>
      </c>
      <c r="H518" s="1" t="s">
        <v>74</v>
      </c>
      <c r="I518" s="1" t="s">
        <v>8993</v>
      </c>
      <c r="J518" s="1" t="s">
        <v>8994</v>
      </c>
      <c r="K518" s="1" t="s">
        <v>74</v>
      </c>
      <c r="L518" s="1" t="s">
        <v>74</v>
      </c>
      <c r="M518" s="1" t="s">
        <v>78</v>
      </c>
      <c r="N518" s="1" t="s">
        <v>79</v>
      </c>
      <c r="O518" s="1" t="s">
        <v>74</v>
      </c>
      <c r="P518" s="1" t="s">
        <v>74</v>
      </c>
      <c r="Q518" s="1" t="s">
        <v>74</v>
      </c>
      <c r="R518" s="1" t="s">
        <v>74</v>
      </c>
      <c r="S518" s="1" t="s">
        <v>74</v>
      </c>
      <c r="T518" s="1" t="s">
        <v>8995</v>
      </c>
      <c r="U518" s="1" t="s">
        <v>8996</v>
      </c>
      <c r="V518" s="1" t="s">
        <v>8997</v>
      </c>
      <c r="W518" s="1" t="s">
        <v>8998</v>
      </c>
      <c r="X518" s="1" t="s">
        <v>8999</v>
      </c>
      <c r="Y518" s="1" t="s">
        <v>9000</v>
      </c>
      <c r="Z518" s="1" t="s">
        <v>624</v>
      </c>
      <c r="AA518" s="1" t="s">
        <v>625</v>
      </c>
      <c r="AB518" s="1" t="s">
        <v>626</v>
      </c>
      <c r="AC518" s="1" t="s">
        <v>74</v>
      </c>
      <c r="AD518" s="1" t="s">
        <v>74</v>
      </c>
      <c r="AE518" s="1" t="s">
        <v>74</v>
      </c>
      <c r="AF518" s="1" t="s">
        <v>74</v>
      </c>
      <c r="AG518" s="1">
        <v>41</v>
      </c>
      <c r="AH518" s="1">
        <v>62</v>
      </c>
      <c r="AI518" s="1">
        <v>63</v>
      </c>
      <c r="AJ518" s="1">
        <v>20</v>
      </c>
      <c r="AK518" s="1">
        <v>76</v>
      </c>
      <c r="AL518" s="1" t="s">
        <v>6878</v>
      </c>
      <c r="AM518" s="1" t="s">
        <v>6879</v>
      </c>
      <c r="AN518" s="1" t="s">
        <v>6880</v>
      </c>
      <c r="AO518" s="1" t="s">
        <v>9001</v>
      </c>
      <c r="AP518" s="1" t="s">
        <v>9002</v>
      </c>
      <c r="AQ518" s="1" t="s">
        <v>74</v>
      </c>
      <c r="AR518" s="1" t="s">
        <v>9003</v>
      </c>
      <c r="AS518" s="1" t="s">
        <v>9004</v>
      </c>
      <c r="AT518" s="1" t="s">
        <v>93</v>
      </c>
      <c r="AU518" s="1">
        <v>2012</v>
      </c>
      <c r="AV518" s="1">
        <v>215</v>
      </c>
      <c r="AW518" s="1">
        <v>3</v>
      </c>
      <c r="AX518" s="1" t="s">
        <v>74</v>
      </c>
      <c r="AY518" s="1" t="s">
        <v>74</v>
      </c>
      <c r="AZ518" s="1" t="s">
        <v>74</v>
      </c>
      <c r="BA518" s="1" t="s">
        <v>74</v>
      </c>
      <c r="BB518" s="1">
        <v>418</v>
      </c>
      <c r="BC518" s="1">
        <v>426</v>
      </c>
      <c r="BD518" s="1" t="s">
        <v>74</v>
      </c>
      <c r="BE518" s="1" t="s">
        <v>9005</v>
      </c>
      <c r="BF518" s="1" t="str">
        <f>HYPERLINK("http://dx.doi.org/10.1016/j.ijheh.2011.09.003","http://dx.doi.org/10.1016/j.ijheh.2011.09.003")</f>
        <v>http://dx.doi.org/10.1016/j.ijheh.2011.09.003</v>
      </c>
      <c r="BG518" s="1" t="s">
        <v>74</v>
      </c>
      <c r="BH518" s="1" t="s">
        <v>74</v>
      </c>
      <c r="BI518" s="1">
        <v>9</v>
      </c>
      <c r="BJ518" s="1" t="s">
        <v>9006</v>
      </c>
      <c r="BK518" s="1" t="s">
        <v>96</v>
      </c>
      <c r="BL518" s="1" t="s">
        <v>9006</v>
      </c>
      <c r="BM518" s="1" t="s">
        <v>9007</v>
      </c>
      <c r="BN518" s="1">
        <v>21968333</v>
      </c>
      <c r="BO518" s="1" t="s">
        <v>74</v>
      </c>
      <c r="BP518" s="1" t="s">
        <v>74</v>
      </c>
      <c r="BQ518" s="1" t="s">
        <v>74</v>
      </c>
      <c r="BR518" s="1" t="s">
        <v>98</v>
      </c>
      <c r="BS518" s="1" t="s">
        <v>9008</v>
      </c>
      <c r="BT518" s="1" t="str">
        <f>HYPERLINK("https%3A%2F%2Fwww.webofscience.com%2Fwos%2Fwoscc%2Ffull-record%2FWOS:000303960900022","View Full Record in Web of Science")</f>
        <v>View Full Record in Web of Science</v>
      </c>
    </row>
    <row r="519" spans="1:72">
      <c r="A519" s="1" t="s">
        <v>72</v>
      </c>
      <c r="B519" s="1" t="s">
        <v>9009</v>
      </c>
      <c r="C519" s="1" t="s">
        <v>74</v>
      </c>
      <c r="D519" s="1" t="s">
        <v>74</v>
      </c>
      <c r="E519" s="1" t="s">
        <v>74</v>
      </c>
      <c r="F519" s="1" t="s">
        <v>9010</v>
      </c>
      <c r="G519" s="1" t="s">
        <v>74</v>
      </c>
      <c r="H519" s="1" t="s">
        <v>74</v>
      </c>
      <c r="I519" s="1" t="s">
        <v>9011</v>
      </c>
      <c r="J519" s="1" t="s">
        <v>3183</v>
      </c>
      <c r="K519" s="1" t="s">
        <v>74</v>
      </c>
      <c r="L519" s="1" t="s">
        <v>74</v>
      </c>
      <c r="M519" s="1" t="s">
        <v>78</v>
      </c>
      <c r="N519" s="1" t="s">
        <v>79</v>
      </c>
      <c r="O519" s="1" t="s">
        <v>74</v>
      </c>
      <c r="P519" s="1" t="s">
        <v>74</v>
      </c>
      <c r="Q519" s="1" t="s">
        <v>74</v>
      </c>
      <c r="R519" s="1" t="s">
        <v>74</v>
      </c>
      <c r="S519" s="1" t="s">
        <v>74</v>
      </c>
      <c r="T519" s="1" t="s">
        <v>9012</v>
      </c>
      <c r="U519" s="1" t="s">
        <v>9013</v>
      </c>
      <c r="V519" s="1" t="s">
        <v>9014</v>
      </c>
      <c r="W519" s="1" t="s">
        <v>9015</v>
      </c>
      <c r="X519" s="1" t="s">
        <v>9016</v>
      </c>
      <c r="Y519" s="1" t="s">
        <v>9017</v>
      </c>
      <c r="Z519" s="1" t="s">
        <v>9018</v>
      </c>
      <c r="AA519" s="1" t="s">
        <v>9019</v>
      </c>
      <c r="AB519" s="1" t="s">
        <v>9020</v>
      </c>
      <c r="AC519" s="1" t="s">
        <v>9021</v>
      </c>
      <c r="AD519" s="1" t="s">
        <v>9022</v>
      </c>
      <c r="AE519" s="1" t="s">
        <v>9023</v>
      </c>
      <c r="AF519" s="1" t="s">
        <v>74</v>
      </c>
      <c r="AG519" s="1">
        <v>48</v>
      </c>
      <c r="AH519" s="1">
        <v>7</v>
      </c>
      <c r="AI519" s="1">
        <v>7</v>
      </c>
      <c r="AJ519" s="1">
        <v>7</v>
      </c>
      <c r="AK519" s="1">
        <v>30</v>
      </c>
      <c r="AL519" s="1" t="s">
        <v>430</v>
      </c>
      <c r="AM519" s="1" t="s">
        <v>137</v>
      </c>
      <c r="AN519" s="1" t="s">
        <v>431</v>
      </c>
      <c r="AO519" s="1" t="s">
        <v>74</v>
      </c>
      <c r="AP519" s="1" t="s">
        <v>3198</v>
      </c>
      <c r="AQ519" s="1" t="s">
        <v>74</v>
      </c>
      <c r="AR519" s="1" t="s">
        <v>3183</v>
      </c>
      <c r="AS519" s="1" t="s">
        <v>3199</v>
      </c>
      <c r="AT519" s="1" t="s">
        <v>197</v>
      </c>
      <c r="AU519" s="1">
        <v>2022</v>
      </c>
      <c r="AV519" s="1">
        <v>8</v>
      </c>
      <c r="AW519" s="1">
        <v>12</v>
      </c>
      <c r="AX519" s="1" t="s">
        <v>74</v>
      </c>
      <c r="AY519" s="1" t="s">
        <v>74</v>
      </c>
      <c r="AZ519" s="1" t="s">
        <v>74</v>
      </c>
      <c r="BA519" s="1" t="s">
        <v>74</v>
      </c>
      <c r="BB519" s="1" t="s">
        <v>74</v>
      </c>
      <c r="BC519" s="1" t="s">
        <v>74</v>
      </c>
      <c r="BD519" s="1" t="s">
        <v>9024</v>
      </c>
      <c r="BE519" s="1" t="s">
        <v>9025</v>
      </c>
      <c r="BF519" s="1" t="str">
        <f>HYPERLINK("http://dx.doi.org/10.1016/j.heliyon.2022.e11938","http://dx.doi.org/10.1016/j.heliyon.2022.e11938")</f>
        <v>http://dx.doi.org/10.1016/j.heliyon.2022.e11938</v>
      </c>
      <c r="BG519" s="1" t="s">
        <v>74</v>
      </c>
      <c r="BH519" s="1" t="s">
        <v>4283</v>
      </c>
      <c r="BI519" s="1">
        <v>12</v>
      </c>
      <c r="BJ519" s="1" t="s">
        <v>3202</v>
      </c>
      <c r="BK519" s="1" t="s">
        <v>96</v>
      </c>
      <c r="BL519" s="1" t="s">
        <v>3203</v>
      </c>
      <c r="BM519" s="1" t="s">
        <v>9026</v>
      </c>
      <c r="BN519" s="1">
        <v>36478822</v>
      </c>
      <c r="BO519" s="1" t="s">
        <v>2155</v>
      </c>
      <c r="BP519" s="1" t="s">
        <v>74</v>
      </c>
      <c r="BQ519" s="1" t="s">
        <v>74</v>
      </c>
      <c r="BR519" s="1" t="s">
        <v>98</v>
      </c>
      <c r="BS519" s="1" t="s">
        <v>9027</v>
      </c>
      <c r="BT519" s="1" t="str">
        <f>HYPERLINK("https%3A%2F%2Fwww.webofscience.com%2Fwos%2Fwoscc%2Ffull-record%2FWOS:000907586000016","View Full Record in Web of Science")</f>
        <v>View Full Record in Web of Science</v>
      </c>
    </row>
    <row r="520" spans="1:72">
      <c r="A520" s="1" t="s">
        <v>72</v>
      </c>
      <c r="B520" s="1" t="s">
        <v>9028</v>
      </c>
      <c r="C520" s="1" t="s">
        <v>74</v>
      </c>
      <c r="D520" s="1" t="s">
        <v>74</v>
      </c>
      <c r="E520" s="1" t="s">
        <v>74</v>
      </c>
      <c r="F520" s="1" t="s">
        <v>9029</v>
      </c>
      <c r="G520" s="1" t="s">
        <v>74</v>
      </c>
      <c r="H520" s="1" t="s">
        <v>74</v>
      </c>
      <c r="I520" s="1" t="s">
        <v>9030</v>
      </c>
      <c r="J520" s="1" t="s">
        <v>9031</v>
      </c>
      <c r="K520" s="1" t="s">
        <v>74</v>
      </c>
      <c r="L520" s="1" t="s">
        <v>74</v>
      </c>
      <c r="M520" s="1" t="s">
        <v>78</v>
      </c>
      <c r="N520" s="1" t="s">
        <v>79</v>
      </c>
      <c r="O520" s="1" t="s">
        <v>74</v>
      </c>
      <c r="P520" s="1" t="s">
        <v>74</v>
      </c>
      <c r="Q520" s="1" t="s">
        <v>74</v>
      </c>
      <c r="R520" s="1" t="s">
        <v>74</v>
      </c>
      <c r="S520" s="1" t="s">
        <v>74</v>
      </c>
      <c r="T520" s="1" t="s">
        <v>9032</v>
      </c>
      <c r="U520" s="1" t="s">
        <v>9033</v>
      </c>
      <c r="V520" s="1" t="s">
        <v>9034</v>
      </c>
      <c r="W520" s="1" t="s">
        <v>9035</v>
      </c>
      <c r="X520" s="1" t="s">
        <v>9036</v>
      </c>
      <c r="Y520" s="1" t="s">
        <v>9037</v>
      </c>
      <c r="Z520" s="1" t="s">
        <v>7796</v>
      </c>
      <c r="AA520" s="1" t="s">
        <v>74</v>
      </c>
      <c r="AB520" s="1" t="s">
        <v>7797</v>
      </c>
      <c r="AC520" s="1" t="s">
        <v>9038</v>
      </c>
      <c r="AD520" s="1" t="s">
        <v>9039</v>
      </c>
      <c r="AE520" s="1" t="s">
        <v>9040</v>
      </c>
      <c r="AF520" s="1" t="s">
        <v>74</v>
      </c>
      <c r="AG520" s="1">
        <v>53</v>
      </c>
      <c r="AH520" s="1">
        <v>2</v>
      </c>
      <c r="AI520" s="1">
        <v>2</v>
      </c>
      <c r="AJ520" s="1">
        <v>1</v>
      </c>
      <c r="AK520" s="1">
        <v>12</v>
      </c>
      <c r="AL520" s="1" t="s">
        <v>112</v>
      </c>
      <c r="AM520" s="1" t="s">
        <v>191</v>
      </c>
      <c r="AN520" s="1" t="s">
        <v>192</v>
      </c>
      <c r="AO520" s="1" t="s">
        <v>9041</v>
      </c>
      <c r="AP520" s="1" t="s">
        <v>9042</v>
      </c>
      <c r="AQ520" s="1" t="s">
        <v>74</v>
      </c>
      <c r="AR520" s="1" t="s">
        <v>9031</v>
      </c>
      <c r="AS520" s="1" t="s">
        <v>9043</v>
      </c>
      <c r="AT520" s="1" t="s">
        <v>93</v>
      </c>
      <c r="AU520" s="1">
        <v>2017</v>
      </c>
      <c r="AV520" s="1">
        <v>69</v>
      </c>
      <c r="AW520" s="1">
        <v>2</v>
      </c>
      <c r="AX520" s="1" t="s">
        <v>74</v>
      </c>
      <c r="AY520" s="1" t="s">
        <v>74</v>
      </c>
      <c r="AZ520" s="1" t="s">
        <v>74</v>
      </c>
      <c r="BA520" s="1" t="s">
        <v>74</v>
      </c>
      <c r="BB520" s="1">
        <v>191</v>
      </c>
      <c r="BC520" s="1">
        <v>200</v>
      </c>
      <c r="BD520" s="1" t="s">
        <v>74</v>
      </c>
      <c r="BE520" s="1" t="s">
        <v>9044</v>
      </c>
      <c r="BF520" s="1" t="str">
        <f>HYPERLINK("http://dx.doi.org/10.1007/s10616-016-0050-7","http://dx.doi.org/10.1007/s10616-016-0050-7")</f>
        <v>http://dx.doi.org/10.1007/s10616-016-0050-7</v>
      </c>
      <c r="BG520" s="1" t="s">
        <v>74</v>
      </c>
      <c r="BH520" s="1" t="s">
        <v>74</v>
      </c>
      <c r="BI520" s="1">
        <v>10</v>
      </c>
      <c r="BJ520" s="1" t="s">
        <v>9045</v>
      </c>
      <c r="BK520" s="1" t="s">
        <v>96</v>
      </c>
      <c r="BL520" s="1" t="s">
        <v>9045</v>
      </c>
      <c r="BM520" s="1" t="s">
        <v>9046</v>
      </c>
      <c r="BN520" s="1">
        <v>27957649</v>
      </c>
      <c r="BO520" s="1" t="s">
        <v>1752</v>
      </c>
      <c r="BP520" s="1" t="s">
        <v>74</v>
      </c>
      <c r="BQ520" s="1" t="s">
        <v>74</v>
      </c>
      <c r="BR520" s="1" t="s">
        <v>98</v>
      </c>
      <c r="BS520" s="1" t="s">
        <v>9047</v>
      </c>
      <c r="BT520" s="1" t="str">
        <f>HYPERLINK("https%3A%2F%2Fwww.webofscience.com%2Fwos%2Fwoscc%2Ffull-record%2FWOS:000398104900001","View Full Record in Web of Science")</f>
        <v>View Full Record in Web of Science</v>
      </c>
    </row>
    <row r="521" spans="1:72">
      <c r="A521" s="1" t="s">
        <v>72</v>
      </c>
      <c r="B521" s="1" t="s">
        <v>9048</v>
      </c>
      <c r="C521" s="1" t="s">
        <v>74</v>
      </c>
      <c r="D521" s="1" t="s">
        <v>74</v>
      </c>
      <c r="E521" s="1" t="s">
        <v>74</v>
      </c>
      <c r="F521" s="1" t="s">
        <v>9049</v>
      </c>
      <c r="G521" s="1" t="s">
        <v>74</v>
      </c>
      <c r="H521" s="1" t="s">
        <v>74</v>
      </c>
      <c r="I521" s="1" t="s">
        <v>9050</v>
      </c>
      <c r="J521" s="1" t="s">
        <v>204</v>
      </c>
      <c r="K521" s="1" t="s">
        <v>74</v>
      </c>
      <c r="L521" s="1" t="s">
        <v>74</v>
      </c>
      <c r="M521" s="1" t="s">
        <v>78</v>
      </c>
      <c r="N521" s="1" t="s">
        <v>79</v>
      </c>
      <c r="O521" s="1" t="s">
        <v>74</v>
      </c>
      <c r="P521" s="1" t="s">
        <v>74</v>
      </c>
      <c r="Q521" s="1" t="s">
        <v>74</v>
      </c>
      <c r="R521" s="1" t="s">
        <v>74</v>
      </c>
      <c r="S521" s="1" t="s">
        <v>74</v>
      </c>
      <c r="T521" s="1" t="s">
        <v>9051</v>
      </c>
      <c r="U521" s="1" t="s">
        <v>9052</v>
      </c>
      <c r="V521" s="1" t="s">
        <v>9053</v>
      </c>
      <c r="W521" s="1" t="s">
        <v>9054</v>
      </c>
      <c r="X521" s="1" t="s">
        <v>9055</v>
      </c>
      <c r="Y521" s="1" t="s">
        <v>9056</v>
      </c>
      <c r="Z521" s="1" t="s">
        <v>9057</v>
      </c>
      <c r="AA521" s="1" t="s">
        <v>74</v>
      </c>
      <c r="AB521" s="1" t="s">
        <v>9058</v>
      </c>
      <c r="AC521" s="1" t="s">
        <v>9059</v>
      </c>
      <c r="AD521" s="1" t="s">
        <v>9059</v>
      </c>
      <c r="AE521" s="1" t="s">
        <v>9060</v>
      </c>
      <c r="AF521" s="1" t="s">
        <v>74</v>
      </c>
      <c r="AG521" s="1">
        <v>63</v>
      </c>
      <c r="AH521" s="1">
        <v>13</v>
      </c>
      <c r="AI521" s="1">
        <v>14</v>
      </c>
      <c r="AJ521" s="1">
        <v>0</v>
      </c>
      <c r="AK521" s="1">
        <v>70</v>
      </c>
      <c r="AL521" s="1" t="s">
        <v>217</v>
      </c>
      <c r="AM521" s="1" t="s">
        <v>218</v>
      </c>
      <c r="AN521" s="1" t="s">
        <v>219</v>
      </c>
      <c r="AO521" s="1" t="s">
        <v>220</v>
      </c>
      <c r="AP521" s="1" t="s">
        <v>221</v>
      </c>
      <c r="AQ521" s="1" t="s">
        <v>74</v>
      </c>
      <c r="AR521" s="1" t="s">
        <v>222</v>
      </c>
      <c r="AS521" s="1" t="s">
        <v>223</v>
      </c>
      <c r="AT521" s="1" t="s">
        <v>93</v>
      </c>
      <c r="AU521" s="1">
        <v>2014</v>
      </c>
      <c r="AV521" s="1">
        <v>21</v>
      </c>
      <c r="AW521" s="1">
        <v>8</v>
      </c>
      <c r="AX521" s="1" t="s">
        <v>74</v>
      </c>
      <c r="AY521" s="1" t="s">
        <v>74</v>
      </c>
      <c r="AZ521" s="1" t="s">
        <v>74</v>
      </c>
      <c r="BA521" s="1" t="s">
        <v>74</v>
      </c>
      <c r="BB521" s="1">
        <v>5521</v>
      </c>
      <c r="BC521" s="1">
        <v>5536</v>
      </c>
      <c r="BD521" s="1" t="s">
        <v>74</v>
      </c>
      <c r="BE521" s="1" t="s">
        <v>9061</v>
      </c>
      <c r="BF521" s="1" t="str">
        <f>HYPERLINK("http://dx.doi.org/10.1007/s11356-013-2487-y","http://dx.doi.org/10.1007/s11356-013-2487-y")</f>
        <v>http://dx.doi.org/10.1007/s11356-013-2487-y</v>
      </c>
      <c r="BG521" s="1" t="s">
        <v>74</v>
      </c>
      <c r="BH521" s="1" t="s">
        <v>74</v>
      </c>
      <c r="BI521" s="1">
        <v>16</v>
      </c>
      <c r="BJ521" s="1" t="s">
        <v>144</v>
      </c>
      <c r="BK521" s="1" t="s">
        <v>96</v>
      </c>
      <c r="BL521" s="1" t="s">
        <v>145</v>
      </c>
      <c r="BM521" s="1" t="s">
        <v>9062</v>
      </c>
      <c r="BN521" s="1">
        <v>24407788</v>
      </c>
      <c r="BO521" s="1" t="s">
        <v>74</v>
      </c>
      <c r="BP521" s="1" t="s">
        <v>74</v>
      </c>
      <c r="BQ521" s="1" t="s">
        <v>74</v>
      </c>
      <c r="BR521" s="1" t="s">
        <v>98</v>
      </c>
      <c r="BS521" s="1" t="s">
        <v>9063</v>
      </c>
      <c r="BT521" s="1" t="str">
        <f>HYPERLINK("https%3A%2F%2Fwww.webofscience.com%2Fwos%2Fwoscc%2Ffull-record%2FWOS:000334443600023","View Full Record in Web of Science")</f>
        <v>View Full Record in Web of Science</v>
      </c>
    </row>
    <row r="522" spans="1:72">
      <c r="A522" s="1" t="s">
        <v>72</v>
      </c>
      <c r="B522" s="1" t="s">
        <v>9064</v>
      </c>
      <c r="C522" s="1" t="s">
        <v>74</v>
      </c>
      <c r="D522" s="1" t="s">
        <v>74</v>
      </c>
      <c r="E522" s="1" t="s">
        <v>74</v>
      </c>
      <c r="F522" s="1" t="s">
        <v>9064</v>
      </c>
      <c r="G522" s="1" t="s">
        <v>74</v>
      </c>
      <c r="H522" s="1" t="s">
        <v>74</v>
      </c>
      <c r="I522" s="1" t="s">
        <v>9065</v>
      </c>
      <c r="J522" s="1" t="s">
        <v>232</v>
      </c>
      <c r="K522" s="1" t="s">
        <v>74</v>
      </c>
      <c r="L522" s="1" t="s">
        <v>74</v>
      </c>
      <c r="M522" s="1" t="s">
        <v>78</v>
      </c>
      <c r="N522" s="1" t="s">
        <v>79</v>
      </c>
      <c r="O522" s="1" t="s">
        <v>74</v>
      </c>
      <c r="P522" s="1" t="s">
        <v>74</v>
      </c>
      <c r="Q522" s="1" t="s">
        <v>74</v>
      </c>
      <c r="R522" s="1" t="s">
        <v>74</v>
      </c>
      <c r="S522" s="1" t="s">
        <v>74</v>
      </c>
      <c r="T522" s="1" t="s">
        <v>9066</v>
      </c>
      <c r="U522" s="1" t="s">
        <v>9067</v>
      </c>
      <c r="V522" s="1" t="s">
        <v>9068</v>
      </c>
      <c r="W522" s="1" t="s">
        <v>9069</v>
      </c>
      <c r="X522" s="1" t="s">
        <v>74</v>
      </c>
      <c r="Y522" s="1" t="s">
        <v>9070</v>
      </c>
      <c r="Z522" s="1" t="s">
        <v>9071</v>
      </c>
      <c r="AA522" s="1" t="s">
        <v>74</v>
      </c>
      <c r="AB522" s="1" t="s">
        <v>74</v>
      </c>
      <c r="AC522" s="1" t="s">
        <v>74</v>
      </c>
      <c r="AD522" s="1" t="s">
        <v>74</v>
      </c>
      <c r="AE522" s="1" t="s">
        <v>74</v>
      </c>
      <c r="AF522" s="1" t="s">
        <v>74</v>
      </c>
      <c r="AG522" s="1">
        <v>36</v>
      </c>
      <c r="AH522" s="1">
        <v>36</v>
      </c>
      <c r="AI522" s="1">
        <v>41</v>
      </c>
      <c r="AJ522" s="1">
        <v>0</v>
      </c>
      <c r="AK522" s="1">
        <v>15</v>
      </c>
      <c r="AL522" s="1" t="s">
        <v>136</v>
      </c>
      <c r="AM522" s="1" t="s">
        <v>137</v>
      </c>
      <c r="AN522" s="1" t="s">
        <v>138</v>
      </c>
      <c r="AO522" s="1" t="s">
        <v>240</v>
      </c>
      <c r="AP522" s="1" t="s">
        <v>241</v>
      </c>
      <c r="AQ522" s="1" t="s">
        <v>74</v>
      </c>
      <c r="AR522" s="1" t="s">
        <v>242</v>
      </c>
      <c r="AS522" s="1" t="s">
        <v>243</v>
      </c>
      <c r="AT522" s="1" t="s">
        <v>119</v>
      </c>
      <c r="AU522" s="1">
        <v>2002</v>
      </c>
      <c r="AV522" s="1">
        <v>44</v>
      </c>
      <c r="AW522" s="1">
        <v>8</v>
      </c>
      <c r="AX522" s="1" t="s">
        <v>74</v>
      </c>
      <c r="AY522" s="1" t="s">
        <v>74</v>
      </c>
      <c r="AZ522" s="1" t="s">
        <v>74</v>
      </c>
      <c r="BA522" s="1" t="s">
        <v>74</v>
      </c>
      <c r="BB522" s="1">
        <v>807</v>
      </c>
      <c r="BC522" s="1">
        <v>815</v>
      </c>
      <c r="BD522" s="1" t="s">
        <v>9072</v>
      </c>
      <c r="BE522" s="1" t="s">
        <v>9073</v>
      </c>
      <c r="BF522" s="1" t="str">
        <f>HYPERLINK("http://dx.doi.org/10.1016/S0025-326X(02)00064-4","http://dx.doi.org/10.1016/S0025-326X(02)00064-4")</f>
        <v>http://dx.doi.org/10.1016/S0025-326X(02)00064-4</v>
      </c>
      <c r="BG522" s="1" t="s">
        <v>74</v>
      </c>
      <c r="BH522" s="1" t="s">
        <v>74</v>
      </c>
      <c r="BI522" s="1">
        <v>9</v>
      </c>
      <c r="BJ522" s="1" t="s">
        <v>247</v>
      </c>
      <c r="BK522" s="1" t="s">
        <v>96</v>
      </c>
      <c r="BL522" s="1" t="s">
        <v>248</v>
      </c>
      <c r="BM522" s="1" t="s">
        <v>9074</v>
      </c>
      <c r="BN522" s="1">
        <v>12269483</v>
      </c>
      <c r="BO522" s="1" t="s">
        <v>74</v>
      </c>
      <c r="BP522" s="1" t="s">
        <v>74</v>
      </c>
      <c r="BQ522" s="1" t="s">
        <v>74</v>
      </c>
      <c r="BR522" s="1" t="s">
        <v>98</v>
      </c>
      <c r="BS522" s="1" t="s">
        <v>9075</v>
      </c>
      <c r="BT522" s="1" t="str">
        <f>HYPERLINK("https%3A%2F%2Fwww.webofscience.com%2Fwos%2Fwoscc%2Ffull-record%2FWOS:000177930500021","View Full Record in Web of Science")</f>
        <v>View Full Record in Web of Science</v>
      </c>
    </row>
    <row r="523" spans="1:72">
      <c r="A523" s="1" t="s">
        <v>72</v>
      </c>
      <c r="B523" s="1" t="s">
        <v>9076</v>
      </c>
      <c r="C523" s="1" t="s">
        <v>74</v>
      </c>
      <c r="D523" s="1" t="s">
        <v>74</v>
      </c>
      <c r="E523" s="1" t="s">
        <v>74</v>
      </c>
      <c r="F523" s="1" t="s">
        <v>9077</v>
      </c>
      <c r="G523" s="1" t="s">
        <v>74</v>
      </c>
      <c r="H523" s="1" t="s">
        <v>74</v>
      </c>
      <c r="I523" s="1" t="s">
        <v>9078</v>
      </c>
      <c r="J523" s="1" t="s">
        <v>9079</v>
      </c>
      <c r="K523" s="1" t="s">
        <v>74</v>
      </c>
      <c r="L523" s="1" t="s">
        <v>74</v>
      </c>
      <c r="M523" s="1" t="s">
        <v>78</v>
      </c>
      <c r="N523" s="1" t="s">
        <v>79</v>
      </c>
      <c r="O523" s="1" t="s">
        <v>74</v>
      </c>
      <c r="P523" s="1" t="s">
        <v>74</v>
      </c>
      <c r="Q523" s="1" t="s">
        <v>74</v>
      </c>
      <c r="R523" s="1" t="s">
        <v>74</v>
      </c>
      <c r="S523" s="1" t="s">
        <v>74</v>
      </c>
      <c r="T523" s="1" t="s">
        <v>9080</v>
      </c>
      <c r="U523" s="1" t="s">
        <v>9081</v>
      </c>
      <c r="V523" s="1" t="s">
        <v>9082</v>
      </c>
      <c r="W523" s="1" t="s">
        <v>9083</v>
      </c>
      <c r="X523" s="1" t="s">
        <v>74</v>
      </c>
      <c r="Y523" s="1" t="s">
        <v>9084</v>
      </c>
      <c r="Z523" s="1" t="s">
        <v>74</v>
      </c>
      <c r="AA523" s="1" t="s">
        <v>74</v>
      </c>
      <c r="AB523" s="1" t="s">
        <v>5958</v>
      </c>
      <c r="AC523" s="1" t="s">
        <v>74</v>
      </c>
      <c r="AD523" s="1" t="s">
        <v>74</v>
      </c>
      <c r="AE523" s="1" t="s">
        <v>74</v>
      </c>
      <c r="AF523" s="1" t="s">
        <v>74</v>
      </c>
      <c r="AG523" s="1">
        <v>56</v>
      </c>
      <c r="AH523" s="1">
        <v>3</v>
      </c>
      <c r="AI523" s="1">
        <v>3</v>
      </c>
      <c r="AJ523" s="1">
        <v>0</v>
      </c>
      <c r="AK523" s="1">
        <v>12</v>
      </c>
      <c r="AL523" s="1" t="s">
        <v>9085</v>
      </c>
      <c r="AM523" s="1" t="s">
        <v>9086</v>
      </c>
      <c r="AN523" s="1" t="s">
        <v>9087</v>
      </c>
      <c r="AO523" s="1" t="s">
        <v>9088</v>
      </c>
      <c r="AP523" s="1" t="s">
        <v>74</v>
      </c>
      <c r="AQ523" s="1" t="s">
        <v>74</v>
      </c>
      <c r="AR523" s="1" t="s">
        <v>9089</v>
      </c>
      <c r="AS523" s="1" t="s">
        <v>9090</v>
      </c>
      <c r="AT523" s="1" t="s">
        <v>170</v>
      </c>
      <c r="AU523" s="1">
        <v>2011</v>
      </c>
      <c r="AV523" s="1">
        <v>135</v>
      </c>
      <c r="AW523" s="1" t="s">
        <v>74</v>
      </c>
      <c r="AX523" s="1">
        <v>1</v>
      </c>
      <c r="AY523" s="1" t="s">
        <v>74</v>
      </c>
      <c r="AZ523" s="1" t="s">
        <v>74</v>
      </c>
      <c r="BA523" s="1" t="s">
        <v>74</v>
      </c>
      <c r="BB523" s="1">
        <v>39</v>
      </c>
      <c r="BC523" s="1">
        <v>54</v>
      </c>
      <c r="BD523" s="1" t="s">
        <v>74</v>
      </c>
      <c r="BE523" s="1" t="s">
        <v>9091</v>
      </c>
      <c r="BF523" s="1" t="str">
        <f>HYPERLINK("http://dx.doi.org/10.1080/03721426.2011.10887149","http://dx.doi.org/10.1080/03721426.2011.10887149")</f>
        <v>http://dx.doi.org/10.1080/03721426.2011.10887149</v>
      </c>
      <c r="BG523" s="1" t="s">
        <v>74</v>
      </c>
      <c r="BH523" s="1" t="s">
        <v>74</v>
      </c>
      <c r="BI523" s="1">
        <v>16</v>
      </c>
      <c r="BJ523" s="1" t="s">
        <v>3202</v>
      </c>
      <c r="BK523" s="1" t="s">
        <v>96</v>
      </c>
      <c r="BL523" s="1" t="s">
        <v>3203</v>
      </c>
      <c r="BM523" s="1" t="s">
        <v>9092</v>
      </c>
      <c r="BN523" s="1" t="s">
        <v>74</v>
      </c>
      <c r="BO523" s="1" t="s">
        <v>74</v>
      </c>
      <c r="BP523" s="1" t="s">
        <v>74</v>
      </c>
      <c r="BQ523" s="1" t="s">
        <v>74</v>
      </c>
      <c r="BR523" s="1" t="s">
        <v>98</v>
      </c>
      <c r="BS523" s="1" t="s">
        <v>9093</v>
      </c>
      <c r="BT523" s="1" t="str">
        <f>HYPERLINK("https%3A%2F%2Fwww.webofscience.com%2Fwos%2Fwoscc%2Ffull-record%2FWOS:000303706500004","View Full Record in Web of Science")</f>
        <v>View Full Record in Web of Science</v>
      </c>
    </row>
    <row r="524" spans="1:72">
      <c r="A524" s="1" t="s">
        <v>72</v>
      </c>
      <c r="B524" s="1" t="s">
        <v>9094</v>
      </c>
      <c r="C524" s="1" t="s">
        <v>74</v>
      </c>
      <c r="D524" s="1" t="s">
        <v>74</v>
      </c>
      <c r="E524" s="1" t="s">
        <v>74</v>
      </c>
      <c r="F524" s="1" t="s">
        <v>9095</v>
      </c>
      <c r="G524" s="1" t="s">
        <v>74</v>
      </c>
      <c r="H524" s="1" t="s">
        <v>74</v>
      </c>
      <c r="I524" s="1" t="s">
        <v>9096</v>
      </c>
      <c r="J524" s="1" t="s">
        <v>998</v>
      </c>
      <c r="K524" s="1" t="s">
        <v>74</v>
      </c>
      <c r="L524" s="1" t="s">
        <v>74</v>
      </c>
      <c r="M524" s="1" t="s">
        <v>78</v>
      </c>
      <c r="N524" s="1" t="s">
        <v>79</v>
      </c>
      <c r="O524" s="1" t="s">
        <v>74</v>
      </c>
      <c r="P524" s="1" t="s">
        <v>74</v>
      </c>
      <c r="Q524" s="1" t="s">
        <v>74</v>
      </c>
      <c r="R524" s="1" t="s">
        <v>74</v>
      </c>
      <c r="S524" s="1" t="s">
        <v>74</v>
      </c>
      <c r="T524" s="1" t="s">
        <v>74</v>
      </c>
      <c r="U524" s="1" t="s">
        <v>9097</v>
      </c>
      <c r="V524" s="1" t="s">
        <v>9098</v>
      </c>
      <c r="W524" s="1" t="s">
        <v>9099</v>
      </c>
      <c r="X524" s="1" t="s">
        <v>5972</v>
      </c>
      <c r="Y524" s="1" t="s">
        <v>9100</v>
      </c>
      <c r="Z524" s="1" t="s">
        <v>9101</v>
      </c>
      <c r="AA524" s="1" t="s">
        <v>74</v>
      </c>
      <c r="AB524" s="1" t="s">
        <v>9102</v>
      </c>
      <c r="AC524" s="1" t="s">
        <v>9103</v>
      </c>
      <c r="AD524" s="1" t="s">
        <v>9104</v>
      </c>
      <c r="AE524" s="1" t="s">
        <v>9105</v>
      </c>
      <c r="AF524" s="1" t="s">
        <v>74</v>
      </c>
      <c r="AG524" s="1">
        <v>52</v>
      </c>
      <c r="AH524" s="1">
        <v>18</v>
      </c>
      <c r="AI524" s="1">
        <v>23</v>
      </c>
      <c r="AJ524" s="1">
        <v>3</v>
      </c>
      <c r="AK524" s="1">
        <v>63</v>
      </c>
      <c r="AL524" s="1" t="s">
        <v>112</v>
      </c>
      <c r="AM524" s="1" t="s">
        <v>113</v>
      </c>
      <c r="AN524" s="1" t="s">
        <v>114</v>
      </c>
      <c r="AO524" s="1" t="s">
        <v>1009</v>
      </c>
      <c r="AP524" s="1" t="s">
        <v>5996</v>
      </c>
      <c r="AQ524" s="1" t="s">
        <v>74</v>
      </c>
      <c r="AR524" s="1" t="s">
        <v>1010</v>
      </c>
      <c r="AS524" s="1" t="s">
        <v>1011</v>
      </c>
      <c r="AT524" s="1" t="s">
        <v>765</v>
      </c>
      <c r="AU524" s="1">
        <v>2010</v>
      </c>
      <c r="AV524" s="1">
        <v>59</v>
      </c>
      <c r="AW524" s="1">
        <v>1</v>
      </c>
      <c r="AX524" s="1" t="s">
        <v>74</v>
      </c>
      <c r="AY524" s="1" t="s">
        <v>74</v>
      </c>
      <c r="AZ524" s="1" t="s">
        <v>74</v>
      </c>
      <c r="BA524" s="1" t="s">
        <v>74</v>
      </c>
      <c r="BB524" s="1">
        <v>120</v>
      </c>
      <c r="BC524" s="1">
        <v>128</v>
      </c>
      <c r="BD524" s="1" t="s">
        <v>74</v>
      </c>
      <c r="BE524" s="1" t="s">
        <v>9106</v>
      </c>
      <c r="BF524" s="1" t="str">
        <f>HYPERLINK("http://dx.doi.org/10.1007/s00244-009-9461-1","http://dx.doi.org/10.1007/s00244-009-9461-1")</f>
        <v>http://dx.doi.org/10.1007/s00244-009-9461-1</v>
      </c>
      <c r="BG524" s="1" t="s">
        <v>74</v>
      </c>
      <c r="BH524" s="1" t="s">
        <v>74</v>
      </c>
      <c r="BI524" s="1">
        <v>9</v>
      </c>
      <c r="BJ524" s="1" t="s">
        <v>121</v>
      </c>
      <c r="BK524" s="1" t="s">
        <v>96</v>
      </c>
      <c r="BL524" s="1" t="s">
        <v>122</v>
      </c>
      <c r="BM524" s="1" t="s">
        <v>9107</v>
      </c>
      <c r="BN524" s="1">
        <v>20069420</v>
      </c>
      <c r="BO524" s="1" t="s">
        <v>74</v>
      </c>
      <c r="BP524" s="1" t="s">
        <v>74</v>
      </c>
      <c r="BQ524" s="1" t="s">
        <v>74</v>
      </c>
      <c r="BR524" s="1" t="s">
        <v>98</v>
      </c>
      <c r="BS524" s="1" t="s">
        <v>9108</v>
      </c>
      <c r="BT524" s="1" t="str">
        <f>HYPERLINK("https%3A%2F%2Fwww.webofscience.com%2Fwos%2Fwoscc%2Ffull-record%2FWOS:000279581100013","View Full Record in Web of Science")</f>
        <v>View Full Record in Web of Science</v>
      </c>
    </row>
    <row r="525" spans="1:72">
      <c r="A525" s="1" t="s">
        <v>72</v>
      </c>
      <c r="B525" s="1" t="s">
        <v>9109</v>
      </c>
      <c r="C525" s="1" t="s">
        <v>74</v>
      </c>
      <c r="D525" s="1" t="s">
        <v>74</v>
      </c>
      <c r="E525" s="1" t="s">
        <v>74</v>
      </c>
      <c r="F525" s="1" t="s">
        <v>9110</v>
      </c>
      <c r="G525" s="1" t="s">
        <v>74</v>
      </c>
      <c r="H525" s="1" t="s">
        <v>74</v>
      </c>
      <c r="I525" s="1" t="s">
        <v>9111</v>
      </c>
      <c r="J525" s="1" t="s">
        <v>9112</v>
      </c>
      <c r="K525" s="1" t="s">
        <v>74</v>
      </c>
      <c r="L525" s="1" t="s">
        <v>74</v>
      </c>
      <c r="M525" s="1" t="s">
        <v>78</v>
      </c>
      <c r="N525" s="1" t="s">
        <v>151</v>
      </c>
      <c r="O525" s="1" t="s">
        <v>9113</v>
      </c>
      <c r="P525" s="1" t="s">
        <v>9114</v>
      </c>
      <c r="Q525" s="1" t="s">
        <v>9115</v>
      </c>
      <c r="R525" s="1" t="s">
        <v>74</v>
      </c>
      <c r="S525" s="1" t="s">
        <v>74</v>
      </c>
      <c r="T525" s="1" t="s">
        <v>9116</v>
      </c>
      <c r="U525" s="1" t="s">
        <v>9117</v>
      </c>
      <c r="V525" s="1" t="s">
        <v>9118</v>
      </c>
      <c r="W525" s="1" t="s">
        <v>9119</v>
      </c>
      <c r="X525" s="1" t="s">
        <v>9120</v>
      </c>
      <c r="Y525" s="1" t="s">
        <v>9121</v>
      </c>
      <c r="Z525" s="1" t="s">
        <v>9122</v>
      </c>
      <c r="AA525" s="1" t="s">
        <v>74</v>
      </c>
      <c r="AB525" s="1" t="s">
        <v>9123</v>
      </c>
      <c r="AC525" s="1" t="s">
        <v>74</v>
      </c>
      <c r="AD525" s="1" t="s">
        <v>74</v>
      </c>
      <c r="AE525" s="1" t="s">
        <v>74</v>
      </c>
      <c r="AF525" s="1" t="s">
        <v>74</v>
      </c>
      <c r="AG525" s="1">
        <v>52</v>
      </c>
      <c r="AH525" s="1">
        <v>6</v>
      </c>
      <c r="AI525" s="1">
        <v>7</v>
      </c>
      <c r="AJ525" s="1">
        <v>0</v>
      </c>
      <c r="AK525" s="1">
        <v>5</v>
      </c>
      <c r="AL525" s="1" t="s">
        <v>9124</v>
      </c>
      <c r="AM525" s="1" t="s">
        <v>9125</v>
      </c>
      <c r="AN525" s="1" t="s">
        <v>9126</v>
      </c>
      <c r="AO525" s="1" t="s">
        <v>9127</v>
      </c>
      <c r="AP525" s="1" t="s">
        <v>9128</v>
      </c>
      <c r="AQ525" s="1" t="s">
        <v>74</v>
      </c>
      <c r="AR525" s="1" t="s">
        <v>9129</v>
      </c>
      <c r="AS525" s="1" t="s">
        <v>9130</v>
      </c>
      <c r="AT525" s="1" t="s">
        <v>74</v>
      </c>
      <c r="AU525" s="1">
        <v>2007</v>
      </c>
      <c r="AV525" s="1">
        <v>30</v>
      </c>
      <c r="AW525" s="1" t="s">
        <v>1070</v>
      </c>
      <c r="AX525" s="1" t="s">
        <v>74</v>
      </c>
      <c r="AY525" s="1" t="s">
        <v>74</v>
      </c>
      <c r="AZ525" s="1" t="s">
        <v>74</v>
      </c>
      <c r="BA525" s="1" t="s">
        <v>74</v>
      </c>
      <c r="BB525" s="1">
        <v>593</v>
      </c>
      <c r="BC525" s="1">
        <v>605</v>
      </c>
      <c r="BD525" s="1" t="s">
        <v>74</v>
      </c>
      <c r="BE525" s="1" t="s">
        <v>9131</v>
      </c>
      <c r="BF525" s="1" t="str">
        <f>HYPERLINK("http://dx.doi.org/10.1504/IJEP.2007.014831","http://dx.doi.org/10.1504/IJEP.2007.014831")</f>
        <v>http://dx.doi.org/10.1504/IJEP.2007.014831</v>
      </c>
      <c r="BG525" s="1" t="s">
        <v>74</v>
      </c>
      <c r="BH525" s="1" t="s">
        <v>74</v>
      </c>
      <c r="BI525" s="1">
        <v>13</v>
      </c>
      <c r="BJ525" s="1" t="s">
        <v>144</v>
      </c>
      <c r="BK525" s="1" t="s">
        <v>172</v>
      </c>
      <c r="BL525" s="1" t="s">
        <v>145</v>
      </c>
      <c r="BM525" s="1" t="s">
        <v>9132</v>
      </c>
      <c r="BN525" s="1" t="s">
        <v>74</v>
      </c>
      <c r="BO525" s="1" t="s">
        <v>74</v>
      </c>
      <c r="BP525" s="1" t="s">
        <v>74</v>
      </c>
      <c r="BQ525" s="1" t="s">
        <v>74</v>
      </c>
      <c r="BR525" s="1" t="s">
        <v>98</v>
      </c>
      <c r="BS525" s="1" t="s">
        <v>9133</v>
      </c>
      <c r="BT525" s="1" t="str">
        <f>HYPERLINK("https%3A%2F%2Fwww.webofscience.com%2Fwos%2Fwoscc%2Ffull-record%2FWOS:000249611400017","View Full Record in Web of Science")</f>
        <v>View Full Record in Web of Science</v>
      </c>
    </row>
    <row r="526" spans="1:72">
      <c r="A526" s="1" t="s">
        <v>72</v>
      </c>
      <c r="B526" s="1" t="s">
        <v>9134</v>
      </c>
      <c r="C526" s="1" t="s">
        <v>74</v>
      </c>
      <c r="D526" s="1" t="s">
        <v>74</v>
      </c>
      <c r="E526" s="1" t="s">
        <v>74</v>
      </c>
      <c r="F526" s="1" t="s">
        <v>9135</v>
      </c>
      <c r="G526" s="1" t="s">
        <v>74</v>
      </c>
      <c r="H526" s="1" t="s">
        <v>74</v>
      </c>
      <c r="I526" s="1" t="s">
        <v>9136</v>
      </c>
      <c r="J526" s="1" t="s">
        <v>595</v>
      </c>
      <c r="K526" s="1" t="s">
        <v>74</v>
      </c>
      <c r="L526" s="1" t="s">
        <v>74</v>
      </c>
      <c r="M526" s="1" t="s">
        <v>78</v>
      </c>
      <c r="N526" s="1" t="s">
        <v>79</v>
      </c>
      <c r="O526" s="1" t="s">
        <v>74</v>
      </c>
      <c r="P526" s="1" t="s">
        <v>74</v>
      </c>
      <c r="Q526" s="1" t="s">
        <v>74</v>
      </c>
      <c r="R526" s="1" t="s">
        <v>74</v>
      </c>
      <c r="S526" s="1" t="s">
        <v>74</v>
      </c>
      <c r="T526" s="1" t="s">
        <v>9137</v>
      </c>
      <c r="U526" s="1" t="s">
        <v>9138</v>
      </c>
      <c r="V526" s="1" t="s">
        <v>9139</v>
      </c>
      <c r="W526" s="1" t="s">
        <v>9140</v>
      </c>
      <c r="X526" s="1" t="s">
        <v>4489</v>
      </c>
      <c r="Y526" s="1" t="s">
        <v>9141</v>
      </c>
      <c r="Z526" s="1" t="s">
        <v>3709</v>
      </c>
      <c r="AA526" s="1" t="s">
        <v>3710</v>
      </c>
      <c r="AB526" s="1" t="s">
        <v>74</v>
      </c>
      <c r="AC526" s="1" t="s">
        <v>9142</v>
      </c>
      <c r="AD526" s="1" t="s">
        <v>9143</v>
      </c>
      <c r="AE526" s="1" t="s">
        <v>9144</v>
      </c>
      <c r="AF526" s="1" t="s">
        <v>74</v>
      </c>
      <c r="AG526" s="1">
        <v>23</v>
      </c>
      <c r="AH526" s="1">
        <v>24</v>
      </c>
      <c r="AI526" s="1">
        <v>29</v>
      </c>
      <c r="AJ526" s="1">
        <v>4</v>
      </c>
      <c r="AK526" s="1">
        <v>45</v>
      </c>
      <c r="AL526" s="1" t="s">
        <v>112</v>
      </c>
      <c r="AM526" s="1" t="s">
        <v>191</v>
      </c>
      <c r="AN526" s="1" t="s">
        <v>192</v>
      </c>
      <c r="AO526" s="1" t="s">
        <v>608</v>
      </c>
      <c r="AP526" s="1" t="s">
        <v>609</v>
      </c>
      <c r="AQ526" s="1" t="s">
        <v>74</v>
      </c>
      <c r="AR526" s="1" t="s">
        <v>595</v>
      </c>
      <c r="AS526" s="1" t="s">
        <v>610</v>
      </c>
      <c r="AT526" s="1" t="s">
        <v>1470</v>
      </c>
      <c r="AU526" s="1">
        <v>2017</v>
      </c>
      <c r="AV526" s="1">
        <v>26</v>
      </c>
      <c r="AW526" s="1">
        <v>1</v>
      </c>
      <c r="AX526" s="1" t="s">
        <v>74</v>
      </c>
      <c r="AY526" s="1" t="s">
        <v>74</v>
      </c>
      <c r="AZ526" s="1" t="s">
        <v>74</v>
      </c>
      <c r="BA526" s="1" t="s">
        <v>74</v>
      </c>
      <c r="BB526" s="1">
        <v>74</v>
      </c>
      <c r="BC526" s="1">
        <v>80</v>
      </c>
      <c r="BD526" s="1" t="s">
        <v>74</v>
      </c>
      <c r="BE526" s="1" t="s">
        <v>9145</v>
      </c>
      <c r="BF526" s="1" t="str">
        <f>HYPERLINK("http://dx.doi.org/10.1007/s10646-016-1741-8","http://dx.doi.org/10.1007/s10646-016-1741-8")</f>
        <v>http://dx.doi.org/10.1007/s10646-016-1741-8</v>
      </c>
      <c r="BG526" s="1" t="s">
        <v>74</v>
      </c>
      <c r="BH526" s="1" t="s">
        <v>74</v>
      </c>
      <c r="BI526" s="1">
        <v>7</v>
      </c>
      <c r="BJ526" s="1" t="s">
        <v>612</v>
      </c>
      <c r="BK526" s="1" t="s">
        <v>96</v>
      </c>
      <c r="BL526" s="1" t="s">
        <v>122</v>
      </c>
      <c r="BM526" s="1" t="s">
        <v>9146</v>
      </c>
      <c r="BN526" s="1">
        <v>27796687</v>
      </c>
      <c r="BO526" s="1" t="s">
        <v>74</v>
      </c>
      <c r="BP526" s="1" t="s">
        <v>74</v>
      </c>
      <c r="BQ526" s="1" t="s">
        <v>74</v>
      </c>
      <c r="BR526" s="1" t="s">
        <v>98</v>
      </c>
      <c r="BS526" s="1" t="s">
        <v>9147</v>
      </c>
      <c r="BT526" s="1" t="str">
        <f>HYPERLINK("https%3A%2F%2Fwww.webofscience.com%2Fwos%2Fwoscc%2Ffull-record%2FWOS:000393028400007","View Full Record in Web of Science")</f>
        <v>View Full Record in Web of Science</v>
      </c>
    </row>
    <row r="527" spans="1:72">
      <c r="A527" s="1" t="s">
        <v>72</v>
      </c>
      <c r="B527" s="1" t="s">
        <v>9148</v>
      </c>
      <c r="C527" s="1" t="s">
        <v>74</v>
      </c>
      <c r="D527" s="1" t="s">
        <v>74</v>
      </c>
      <c r="E527" s="1" t="s">
        <v>74</v>
      </c>
      <c r="F527" s="1" t="s">
        <v>9148</v>
      </c>
      <c r="G527" s="1" t="s">
        <v>74</v>
      </c>
      <c r="H527" s="1" t="s">
        <v>74</v>
      </c>
      <c r="I527" s="1" t="s">
        <v>9149</v>
      </c>
      <c r="J527" s="1" t="s">
        <v>232</v>
      </c>
      <c r="K527" s="1" t="s">
        <v>74</v>
      </c>
      <c r="L527" s="1" t="s">
        <v>74</v>
      </c>
      <c r="M527" s="1" t="s">
        <v>78</v>
      </c>
      <c r="N527" s="1" t="s">
        <v>79</v>
      </c>
      <c r="O527" s="1" t="s">
        <v>74</v>
      </c>
      <c r="P527" s="1" t="s">
        <v>74</v>
      </c>
      <c r="Q527" s="1" t="s">
        <v>74</v>
      </c>
      <c r="R527" s="1" t="s">
        <v>74</v>
      </c>
      <c r="S527" s="1" t="s">
        <v>74</v>
      </c>
      <c r="T527" s="1" t="s">
        <v>9150</v>
      </c>
      <c r="U527" s="1" t="s">
        <v>9151</v>
      </c>
      <c r="V527" s="1" t="s">
        <v>9152</v>
      </c>
      <c r="W527" s="1" t="s">
        <v>9153</v>
      </c>
      <c r="X527" s="1" t="s">
        <v>74</v>
      </c>
      <c r="Y527" s="1" t="s">
        <v>9154</v>
      </c>
      <c r="Z527" s="1" t="s">
        <v>9155</v>
      </c>
      <c r="AA527" s="1" t="s">
        <v>74</v>
      </c>
      <c r="AB527" s="1" t="s">
        <v>74</v>
      </c>
      <c r="AC527" s="1" t="s">
        <v>74</v>
      </c>
      <c r="AD527" s="1" t="s">
        <v>74</v>
      </c>
      <c r="AE527" s="1" t="s">
        <v>74</v>
      </c>
      <c r="AF527" s="1" t="s">
        <v>74</v>
      </c>
      <c r="AG527" s="1">
        <v>18</v>
      </c>
      <c r="AH527" s="1">
        <v>61</v>
      </c>
      <c r="AI527" s="1">
        <v>75</v>
      </c>
      <c r="AJ527" s="1">
        <v>4</v>
      </c>
      <c r="AK527" s="1">
        <v>44</v>
      </c>
      <c r="AL527" s="1" t="s">
        <v>136</v>
      </c>
      <c r="AM527" s="1" t="s">
        <v>137</v>
      </c>
      <c r="AN527" s="1" t="s">
        <v>138</v>
      </c>
      <c r="AO527" s="1" t="s">
        <v>240</v>
      </c>
      <c r="AP527" s="1" t="s">
        <v>241</v>
      </c>
      <c r="AQ527" s="1" t="s">
        <v>74</v>
      </c>
      <c r="AR527" s="1" t="s">
        <v>242</v>
      </c>
      <c r="AS527" s="1" t="s">
        <v>243</v>
      </c>
      <c r="AT527" s="1" t="s">
        <v>197</v>
      </c>
      <c r="AU527" s="1">
        <v>2005</v>
      </c>
      <c r="AV527" s="1">
        <v>50</v>
      </c>
      <c r="AW527" s="1">
        <v>12</v>
      </c>
      <c r="AX527" s="1" t="s">
        <v>74</v>
      </c>
      <c r="AY527" s="1" t="s">
        <v>74</v>
      </c>
      <c r="AZ527" s="1" t="s">
        <v>74</v>
      </c>
      <c r="BA527" s="1" t="s">
        <v>74</v>
      </c>
      <c r="BB527" s="1">
        <v>1634</v>
      </c>
      <c r="BC527" s="1">
        <v>1640</v>
      </c>
      <c r="BD527" s="1" t="s">
        <v>74</v>
      </c>
      <c r="BE527" s="1" t="s">
        <v>9156</v>
      </c>
      <c r="BF527" s="1" t="str">
        <f>HYPERLINK("http://dx.doi.org/10.1016/j.marpolbul.2005.06.035","http://dx.doi.org/10.1016/j.marpolbul.2005.06.035")</f>
        <v>http://dx.doi.org/10.1016/j.marpolbul.2005.06.035</v>
      </c>
      <c r="BG527" s="1" t="s">
        <v>74</v>
      </c>
      <c r="BH527" s="1" t="s">
        <v>74</v>
      </c>
      <c r="BI527" s="1">
        <v>7</v>
      </c>
      <c r="BJ527" s="1" t="s">
        <v>247</v>
      </c>
      <c r="BK527" s="1" t="s">
        <v>96</v>
      </c>
      <c r="BL527" s="1" t="s">
        <v>248</v>
      </c>
      <c r="BM527" s="1" t="s">
        <v>9157</v>
      </c>
      <c r="BN527" s="1">
        <v>16040053</v>
      </c>
      <c r="BO527" s="1" t="s">
        <v>74</v>
      </c>
      <c r="BP527" s="1" t="s">
        <v>74</v>
      </c>
      <c r="BQ527" s="1" t="s">
        <v>74</v>
      </c>
      <c r="BR527" s="1" t="s">
        <v>98</v>
      </c>
      <c r="BS527" s="1" t="s">
        <v>9158</v>
      </c>
      <c r="BT527" s="1" t="str">
        <f>HYPERLINK("https%3A%2F%2Fwww.webofscience.com%2Fwos%2Fwoscc%2Ffull-record%2FWOS:000234236600028","View Full Record in Web of Science")</f>
        <v>View Full Record in Web of Science</v>
      </c>
    </row>
    <row r="528" spans="1:72">
      <c r="A528" s="1" t="s">
        <v>72</v>
      </c>
      <c r="B528" s="1" t="s">
        <v>9159</v>
      </c>
      <c r="C528" s="1" t="s">
        <v>74</v>
      </c>
      <c r="D528" s="1" t="s">
        <v>74</v>
      </c>
      <c r="E528" s="1" t="s">
        <v>74</v>
      </c>
      <c r="F528" s="1" t="s">
        <v>9160</v>
      </c>
      <c r="G528" s="1" t="s">
        <v>74</v>
      </c>
      <c r="H528" s="1" t="s">
        <v>74</v>
      </c>
      <c r="I528" s="1" t="s">
        <v>9161</v>
      </c>
      <c r="J528" s="1" t="s">
        <v>421</v>
      </c>
      <c r="K528" s="1" t="s">
        <v>74</v>
      </c>
      <c r="L528" s="1" t="s">
        <v>74</v>
      </c>
      <c r="M528" s="1" t="s">
        <v>78</v>
      </c>
      <c r="N528" s="1" t="s">
        <v>79</v>
      </c>
      <c r="O528" s="1" t="s">
        <v>74</v>
      </c>
      <c r="P528" s="1" t="s">
        <v>74</v>
      </c>
      <c r="Q528" s="1" t="s">
        <v>74</v>
      </c>
      <c r="R528" s="1" t="s">
        <v>74</v>
      </c>
      <c r="S528" s="1" t="s">
        <v>74</v>
      </c>
      <c r="T528" s="1" t="s">
        <v>9162</v>
      </c>
      <c r="U528" s="1" t="s">
        <v>9163</v>
      </c>
      <c r="V528" s="1" t="s">
        <v>9164</v>
      </c>
      <c r="W528" s="1" t="s">
        <v>9165</v>
      </c>
      <c r="X528" s="1" t="s">
        <v>9166</v>
      </c>
      <c r="Y528" s="1" t="s">
        <v>9167</v>
      </c>
      <c r="Z528" s="1" t="s">
        <v>9168</v>
      </c>
      <c r="AA528" s="1" t="s">
        <v>9169</v>
      </c>
      <c r="AB528" s="1" t="s">
        <v>9170</v>
      </c>
      <c r="AC528" s="1" t="s">
        <v>9171</v>
      </c>
      <c r="AD528" s="1" t="s">
        <v>9172</v>
      </c>
      <c r="AE528" s="1" t="s">
        <v>9173</v>
      </c>
      <c r="AF528" s="1" t="s">
        <v>74</v>
      </c>
      <c r="AG528" s="1">
        <v>76</v>
      </c>
      <c r="AH528" s="1">
        <v>65</v>
      </c>
      <c r="AI528" s="1">
        <v>75</v>
      </c>
      <c r="AJ528" s="1">
        <v>4</v>
      </c>
      <c r="AK528" s="1">
        <v>62</v>
      </c>
      <c r="AL528" s="1" t="s">
        <v>430</v>
      </c>
      <c r="AM528" s="1" t="s">
        <v>137</v>
      </c>
      <c r="AN528" s="1" t="s">
        <v>431</v>
      </c>
      <c r="AO528" s="1" t="s">
        <v>432</v>
      </c>
      <c r="AP528" s="1" t="s">
        <v>1394</v>
      </c>
      <c r="AQ528" s="1" t="s">
        <v>74</v>
      </c>
      <c r="AR528" s="1" t="s">
        <v>433</v>
      </c>
      <c r="AS528" s="1" t="s">
        <v>434</v>
      </c>
      <c r="AT528" s="1" t="s">
        <v>119</v>
      </c>
      <c r="AU528" s="1">
        <v>2016</v>
      </c>
      <c r="AV528" s="1">
        <v>215</v>
      </c>
      <c r="AW528" s="1" t="s">
        <v>74</v>
      </c>
      <c r="AX528" s="1" t="s">
        <v>74</v>
      </c>
      <c r="AY528" s="1" t="s">
        <v>74</v>
      </c>
      <c r="AZ528" s="1" t="s">
        <v>74</v>
      </c>
      <c r="BA528" s="1" t="s">
        <v>74</v>
      </c>
      <c r="BB528" s="1">
        <v>203</v>
      </c>
      <c r="BC528" s="1">
        <v>212</v>
      </c>
      <c r="BD528" s="1" t="s">
        <v>74</v>
      </c>
      <c r="BE528" s="1" t="s">
        <v>9174</v>
      </c>
      <c r="BF528" s="1" t="str">
        <f>HYPERLINK("http://dx.doi.org/10.1016/j.envpol.2016.05.010","http://dx.doi.org/10.1016/j.envpol.2016.05.010")</f>
        <v>http://dx.doi.org/10.1016/j.envpol.2016.05.010</v>
      </c>
      <c r="BG528" s="1" t="s">
        <v>74</v>
      </c>
      <c r="BH528" s="1" t="s">
        <v>74</v>
      </c>
      <c r="BI528" s="1">
        <v>10</v>
      </c>
      <c r="BJ528" s="1" t="s">
        <v>144</v>
      </c>
      <c r="BK528" s="1" t="s">
        <v>96</v>
      </c>
      <c r="BL528" s="1" t="s">
        <v>145</v>
      </c>
      <c r="BM528" s="1" t="s">
        <v>9175</v>
      </c>
      <c r="BN528" s="1">
        <v>27203468</v>
      </c>
      <c r="BO528" s="1" t="s">
        <v>74</v>
      </c>
      <c r="BP528" s="1" t="s">
        <v>74</v>
      </c>
      <c r="BQ528" s="1" t="s">
        <v>74</v>
      </c>
      <c r="BR528" s="1" t="s">
        <v>98</v>
      </c>
      <c r="BS528" s="1" t="s">
        <v>9176</v>
      </c>
      <c r="BT528" s="1" t="str">
        <f>HYPERLINK("https%3A%2F%2Fwww.webofscience.com%2Fwos%2Fwoscc%2Ffull-record%2FWOS:000378961000023","View Full Record in Web of Science")</f>
        <v>View Full Record in Web of Science</v>
      </c>
    </row>
    <row r="529" spans="1:72">
      <c r="A529" s="1" t="s">
        <v>72</v>
      </c>
      <c r="B529" s="1" t="s">
        <v>9177</v>
      </c>
      <c r="C529" s="1" t="s">
        <v>74</v>
      </c>
      <c r="D529" s="1" t="s">
        <v>74</v>
      </c>
      <c r="E529" s="1" t="s">
        <v>74</v>
      </c>
      <c r="F529" s="1" t="s">
        <v>9178</v>
      </c>
      <c r="G529" s="1" t="s">
        <v>74</v>
      </c>
      <c r="H529" s="1" t="s">
        <v>74</v>
      </c>
      <c r="I529" s="1" t="s">
        <v>9179</v>
      </c>
      <c r="J529" s="1" t="s">
        <v>9180</v>
      </c>
      <c r="K529" s="1" t="s">
        <v>74</v>
      </c>
      <c r="L529" s="1" t="s">
        <v>74</v>
      </c>
      <c r="M529" s="1" t="s">
        <v>78</v>
      </c>
      <c r="N529" s="1" t="s">
        <v>79</v>
      </c>
      <c r="O529" s="1" t="s">
        <v>74</v>
      </c>
      <c r="P529" s="1" t="s">
        <v>74</v>
      </c>
      <c r="Q529" s="1" t="s">
        <v>74</v>
      </c>
      <c r="R529" s="1" t="s">
        <v>74</v>
      </c>
      <c r="S529" s="1" t="s">
        <v>74</v>
      </c>
      <c r="T529" s="1" t="s">
        <v>9181</v>
      </c>
      <c r="U529" s="1" t="s">
        <v>9182</v>
      </c>
      <c r="V529" s="1" t="s">
        <v>9183</v>
      </c>
      <c r="W529" s="1" t="s">
        <v>9184</v>
      </c>
      <c r="X529" s="1" t="s">
        <v>9185</v>
      </c>
      <c r="Y529" s="1" t="s">
        <v>9186</v>
      </c>
      <c r="Z529" s="1" t="s">
        <v>9187</v>
      </c>
      <c r="AA529" s="1" t="s">
        <v>9188</v>
      </c>
      <c r="AB529" s="1" t="s">
        <v>9189</v>
      </c>
      <c r="AC529" s="1" t="s">
        <v>74</v>
      </c>
      <c r="AD529" s="1" t="s">
        <v>74</v>
      </c>
      <c r="AE529" s="1" t="s">
        <v>74</v>
      </c>
      <c r="AF529" s="1" t="s">
        <v>74</v>
      </c>
      <c r="AG529" s="1">
        <v>57</v>
      </c>
      <c r="AH529" s="1">
        <v>112</v>
      </c>
      <c r="AI529" s="1">
        <v>116</v>
      </c>
      <c r="AJ529" s="1">
        <v>1</v>
      </c>
      <c r="AK529" s="1">
        <v>23</v>
      </c>
      <c r="AL529" s="1" t="s">
        <v>3910</v>
      </c>
      <c r="AM529" s="1" t="s">
        <v>3911</v>
      </c>
      <c r="AN529" s="1" t="s">
        <v>3912</v>
      </c>
      <c r="AO529" s="1" t="s">
        <v>9190</v>
      </c>
      <c r="AP529" s="1" t="s">
        <v>9191</v>
      </c>
      <c r="AQ529" s="1" t="s">
        <v>74</v>
      </c>
      <c r="AR529" s="1" t="s">
        <v>9192</v>
      </c>
      <c r="AS529" s="1" t="s">
        <v>9193</v>
      </c>
      <c r="AT529" s="1" t="s">
        <v>170</v>
      </c>
      <c r="AU529" s="1">
        <v>2018</v>
      </c>
      <c r="AV529" s="1">
        <v>15</v>
      </c>
      <c r="AW529" s="1">
        <v>5</v>
      </c>
      <c r="AX529" s="1" t="s">
        <v>74</v>
      </c>
      <c r="AY529" s="1" t="s">
        <v>74</v>
      </c>
      <c r="AZ529" s="1" t="s">
        <v>74</v>
      </c>
      <c r="BA529" s="1" t="s">
        <v>74</v>
      </c>
      <c r="BB529" s="1" t="s">
        <v>74</v>
      </c>
      <c r="BC529" s="1" t="s">
        <v>74</v>
      </c>
      <c r="BD529" s="1">
        <v>1800044</v>
      </c>
      <c r="BE529" s="1" t="s">
        <v>9194</v>
      </c>
      <c r="BF529" s="1" t="str">
        <f>HYPERLINK("http://dx.doi.org/10.1002/cbdv.201800044","http://dx.doi.org/10.1002/cbdv.201800044")</f>
        <v>http://dx.doi.org/10.1002/cbdv.201800044</v>
      </c>
      <c r="BG529" s="1" t="s">
        <v>74</v>
      </c>
      <c r="BH529" s="1" t="s">
        <v>74</v>
      </c>
      <c r="BI529" s="1">
        <v>10</v>
      </c>
      <c r="BJ529" s="1" t="s">
        <v>2152</v>
      </c>
      <c r="BK529" s="1" t="s">
        <v>96</v>
      </c>
      <c r="BL529" s="1" t="s">
        <v>2153</v>
      </c>
      <c r="BM529" s="1" t="s">
        <v>9195</v>
      </c>
      <c r="BN529" s="1">
        <v>29520986</v>
      </c>
      <c r="BO529" s="1" t="s">
        <v>370</v>
      </c>
      <c r="BP529" s="1" t="s">
        <v>74</v>
      </c>
      <c r="BQ529" s="1" t="s">
        <v>74</v>
      </c>
      <c r="BR529" s="1" t="s">
        <v>98</v>
      </c>
      <c r="BS529" s="1" t="s">
        <v>9196</v>
      </c>
      <c r="BT529" s="1" t="str">
        <f>HYPERLINK("https%3A%2F%2Fwww.webofscience.com%2Fwos%2Fwoscc%2Ffull-record%2FWOS:000434072600009","View Full Record in Web of Science")</f>
        <v>View Full Record in Web of Science</v>
      </c>
    </row>
    <row r="530" spans="1:72">
      <c r="A530" s="1" t="s">
        <v>72</v>
      </c>
      <c r="B530" s="1" t="s">
        <v>9197</v>
      </c>
      <c r="C530" s="1" t="s">
        <v>74</v>
      </c>
      <c r="D530" s="1" t="s">
        <v>74</v>
      </c>
      <c r="E530" s="1" t="s">
        <v>74</v>
      </c>
      <c r="F530" s="1" t="s">
        <v>9198</v>
      </c>
      <c r="G530" s="1" t="s">
        <v>74</v>
      </c>
      <c r="H530" s="1" t="s">
        <v>74</v>
      </c>
      <c r="I530" s="1" t="s">
        <v>9199</v>
      </c>
      <c r="J530" s="1" t="s">
        <v>909</v>
      </c>
      <c r="K530" s="1" t="s">
        <v>74</v>
      </c>
      <c r="L530" s="1" t="s">
        <v>74</v>
      </c>
      <c r="M530" s="1" t="s">
        <v>78</v>
      </c>
      <c r="N530" s="1" t="s">
        <v>79</v>
      </c>
      <c r="O530" s="1" t="s">
        <v>74</v>
      </c>
      <c r="P530" s="1" t="s">
        <v>74</v>
      </c>
      <c r="Q530" s="1" t="s">
        <v>74</v>
      </c>
      <c r="R530" s="1" t="s">
        <v>74</v>
      </c>
      <c r="S530" s="1" t="s">
        <v>74</v>
      </c>
      <c r="T530" s="1" t="s">
        <v>9200</v>
      </c>
      <c r="U530" s="1" t="s">
        <v>9201</v>
      </c>
      <c r="V530" s="1" t="s">
        <v>9202</v>
      </c>
      <c r="W530" s="1" t="s">
        <v>9203</v>
      </c>
      <c r="X530" s="1" t="s">
        <v>9204</v>
      </c>
      <c r="Y530" s="1" t="s">
        <v>9205</v>
      </c>
      <c r="Z530" s="1" t="s">
        <v>9206</v>
      </c>
      <c r="AA530" s="1" t="s">
        <v>9207</v>
      </c>
      <c r="AB530" s="1" t="s">
        <v>9208</v>
      </c>
      <c r="AC530" s="1" t="s">
        <v>9209</v>
      </c>
      <c r="AD530" s="1" t="s">
        <v>9210</v>
      </c>
      <c r="AE530" s="1" t="s">
        <v>9211</v>
      </c>
      <c r="AF530" s="1" t="s">
        <v>74</v>
      </c>
      <c r="AG530" s="1">
        <v>91</v>
      </c>
      <c r="AH530" s="1">
        <v>5</v>
      </c>
      <c r="AI530" s="1">
        <v>5</v>
      </c>
      <c r="AJ530" s="1">
        <v>14</v>
      </c>
      <c r="AK530" s="1">
        <v>42</v>
      </c>
      <c r="AL530" s="1" t="s">
        <v>650</v>
      </c>
      <c r="AM530" s="1" t="s">
        <v>651</v>
      </c>
      <c r="AN530" s="1" t="s">
        <v>652</v>
      </c>
      <c r="AO530" s="1" t="s">
        <v>921</v>
      </c>
      <c r="AP530" s="1" t="s">
        <v>922</v>
      </c>
      <c r="AQ530" s="1" t="s">
        <v>74</v>
      </c>
      <c r="AR530" s="1" t="s">
        <v>923</v>
      </c>
      <c r="AS530" s="1" t="s">
        <v>924</v>
      </c>
      <c r="AT530" s="1" t="s">
        <v>546</v>
      </c>
      <c r="AU530" s="1">
        <v>2023</v>
      </c>
      <c r="AV530" s="1">
        <v>899</v>
      </c>
      <c r="AW530" s="1" t="s">
        <v>74</v>
      </c>
      <c r="AX530" s="1" t="s">
        <v>74</v>
      </c>
      <c r="AY530" s="1" t="s">
        <v>74</v>
      </c>
      <c r="AZ530" s="1" t="s">
        <v>74</v>
      </c>
      <c r="BA530" s="1" t="s">
        <v>74</v>
      </c>
      <c r="BB530" s="1" t="s">
        <v>74</v>
      </c>
      <c r="BC530" s="1" t="s">
        <v>74</v>
      </c>
      <c r="BD530" s="1">
        <v>165655</v>
      </c>
      <c r="BE530" s="1" t="s">
        <v>9212</v>
      </c>
      <c r="BF530" s="1" t="str">
        <f>HYPERLINK("http://dx.doi.org/10.1016/j.scitotenv.2023.165655","http://dx.doi.org/10.1016/j.scitotenv.2023.165655")</f>
        <v>http://dx.doi.org/10.1016/j.scitotenv.2023.165655</v>
      </c>
      <c r="BG530" s="1" t="s">
        <v>74</v>
      </c>
      <c r="BH530" s="1" t="s">
        <v>1121</v>
      </c>
      <c r="BI530" s="1">
        <v>13</v>
      </c>
      <c r="BJ530" s="1" t="s">
        <v>144</v>
      </c>
      <c r="BK530" s="1" t="s">
        <v>96</v>
      </c>
      <c r="BL530" s="1" t="s">
        <v>145</v>
      </c>
      <c r="BM530" s="1" t="s">
        <v>9213</v>
      </c>
      <c r="BN530" s="1">
        <v>37478931</v>
      </c>
      <c r="BO530" s="1" t="s">
        <v>74</v>
      </c>
      <c r="BP530" s="1" t="s">
        <v>74</v>
      </c>
      <c r="BQ530" s="1" t="s">
        <v>74</v>
      </c>
      <c r="BR530" s="1" t="s">
        <v>98</v>
      </c>
      <c r="BS530" s="1" t="s">
        <v>9214</v>
      </c>
      <c r="BT530" s="1" t="str">
        <f>HYPERLINK("https%3A%2F%2Fwww.webofscience.com%2Fwos%2Fwoscc%2Ffull-record%2FWOS:001058004500001","View Full Record in Web of Science")</f>
        <v>View Full Record in Web of Science</v>
      </c>
    </row>
    <row r="531" spans="1:72">
      <c r="A531" s="1" t="s">
        <v>72</v>
      </c>
      <c r="B531" s="1" t="s">
        <v>9215</v>
      </c>
      <c r="C531" s="1" t="s">
        <v>74</v>
      </c>
      <c r="D531" s="1" t="s">
        <v>74</v>
      </c>
      <c r="E531" s="1" t="s">
        <v>74</v>
      </c>
      <c r="F531" s="1" t="s">
        <v>9216</v>
      </c>
      <c r="G531" s="1" t="s">
        <v>74</v>
      </c>
      <c r="H531" s="1" t="s">
        <v>74</v>
      </c>
      <c r="I531" s="1" t="s">
        <v>9217</v>
      </c>
      <c r="J531" s="1" t="s">
        <v>6753</v>
      </c>
      <c r="K531" s="1" t="s">
        <v>74</v>
      </c>
      <c r="L531" s="1" t="s">
        <v>74</v>
      </c>
      <c r="M531" s="1" t="s">
        <v>78</v>
      </c>
      <c r="N531" s="1" t="s">
        <v>79</v>
      </c>
      <c r="O531" s="1" t="s">
        <v>74</v>
      </c>
      <c r="P531" s="1" t="s">
        <v>74</v>
      </c>
      <c r="Q531" s="1" t="s">
        <v>74</v>
      </c>
      <c r="R531" s="1" t="s">
        <v>74</v>
      </c>
      <c r="S531" s="1" t="s">
        <v>74</v>
      </c>
      <c r="T531" s="1" t="s">
        <v>9218</v>
      </c>
      <c r="U531" s="1" t="s">
        <v>9219</v>
      </c>
      <c r="V531" s="1" t="s">
        <v>9220</v>
      </c>
      <c r="W531" s="1" t="s">
        <v>9221</v>
      </c>
      <c r="X531" s="1" t="s">
        <v>9222</v>
      </c>
      <c r="Y531" s="1" t="s">
        <v>9223</v>
      </c>
      <c r="Z531" s="1" t="s">
        <v>9224</v>
      </c>
      <c r="AA531" s="1" t="s">
        <v>9225</v>
      </c>
      <c r="AB531" s="1" t="s">
        <v>74</v>
      </c>
      <c r="AC531" s="1" t="s">
        <v>9226</v>
      </c>
      <c r="AD531" s="1" t="s">
        <v>9226</v>
      </c>
      <c r="AE531" s="1" t="s">
        <v>9227</v>
      </c>
      <c r="AF531" s="1" t="s">
        <v>74</v>
      </c>
      <c r="AG531" s="1">
        <v>45</v>
      </c>
      <c r="AH531" s="1">
        <v>15</v>
      </c>
      <c r="AI531" s="1">
        <v>17</v>
      </c>
      <c r="AJ531" s="1">
        <v>0</v>
      </c>
      <c r="AK531" s="1">
        <v>40</v>
      </c>
      <c r="AL531" s="1" t="s">
        <v>6763</v>
      </c>
      <c r="AM531" s="1" t="s">
        <v>6764</v>
      </c>
      <c r="AN531" s="1" t="s">
        <v>6765</v>
      </c>
      <c r="AO531" s="1" t="s">
        <v>6766</v>
      </c>
      <c r="AP531" s="1" t="s">
        <v>6767</v>
      </c>
      <c r="AQ531" s="1" t="s">
        <v>74</v>
      </c>
      <c r="AR531" s="1" t="s">
        <v>6768</v>
      </c>
      <c r="AS531" s="1" t="s">
        <v>6769</v>
      </c>
      <c r="AT531" s="1" t="s">
        <v>197</v>
      </c>
      <c r="AU531" s="1">
        <v>2012</v>
      </c>
      <c r="AV531" s="1">
        <v>12</v>
      </c>
      <c r="AW531" s="1">
        <v>4</v>
      </c>
      <c r="AX531" s="1" t="s">
        <v>74</v>
      </c>
      <c r="AY531" s="1" t="s">
        <v>74</v>
      </c>
      <c r="AZ531" s="1" t="s">
        <v>74</v>
      </c>
      <c r="BA531" s="1" t="s">
        <v>74</v>
      </c>
      <c r="BB531" s="1">
        <v>751</v>
      </c>
      <c r="BC531" s="1">
        <v>760</v>
      </c>
      <c r="BD531" s="1" t="s">
        <v>74</v>
      </c>
      <c r="BE531" s="1" t="s">
        <v>9228</v>
      </c>
      <c r="BF531" s="1" t="str">
        <f>HYPERLINK("http://dx.doi.org/10.4194/1303-2712-v12_4_03","http://dx.doi.org/10.4194/1303-2712-v12_4_03")</f>
        <v>http://dx.doi.org/10.4194/1303-2712-v12_4_03</v>
      </c>
      <c r="BG531" s="1" t="s">
        <v>74</v>
      </c>
      <c r="BH531" s="1" t="s">
        <v>74</v>
      </c>
      <c r="BI531" s="1">
        <v>10</v>
      </c>
      <c r="BJ531" s="1" t="s">
        <v>2391</v>
      </c>
      <c r="BK531" s="1" t="s">
        <v>96</v>
      </c>
      <c r="BL531" s="1" t="s">
        <v>2391</v>
      </c>
      <c r="BM531" s="1" t="s">
        <v>9229</v>
      </c>
      <c r="BN531" s="1" t="s">
        <v>74</v>
      </c>
      <c r="BO531" s="1" t="s">
        <v>370</v>
      </c>
      <c r="BP531" s="1" t="s">
        <v>74</v>
      </c>
      <c r="BQ531" s="1" t="s">
        <v>74</v>
      </c>
      <c r="BR531" s="1" t="s">
        <v>98</v>
      </c>
      <c r="BS531" s="1" t="s">
        <v>9230</v>
      </c>
      <c r="BT531" s="1" t="str">
        <f>HYPERLINK("https%3A%2F%2Fwww.webofscience.com%2Fwos%2Fwoscc%2Ffull-record%2FWOS:000318052100003","View Full Record in Web of Science")</f>
        <v>View Full Record in Web of Science</v>
      </c>
    </row>
    <row r="532" spans="1:72">
      <c r="A532" s="1" t="s">
        <v>72</v>
      </c>
      <c r="B532" s="1" t="s">
        <v>9231</v>
      </c>
      <c r="C532" s="1" t="s">
        <v>74</v>
      </c>
      <c r="D532" s="1" t="s">
        <v>74</v>
      </c>
      <c r="E532" s="1" t="s">
        <v>74</v>
      </c>
      <c r="F532" s="1" t="s">
        <v>9231</v>
      </c>
      <c r="G532" s="1" t="s">
        <v>74</v>
      </c>
      <c r="H532" s="1" t="s">
        <v>74</v>
      </c>
      <c r="I532" s="1" t="s">
        <v>9232</v>
      </c>
      <c r="J532" s="1" t="s">
        <v>6889</v>
      </c>
      <c r="K532" s="1" t="s">
        <v>74</v>
      </c>
      <c r="L532" s="1" t="s">
        <v>74</v>
      </c>
      <c r="M532" s="1" t="s">
        <v>78</v>
      </c>
      <c r="N532" s="1" t="s">
        <v>79</v>
      </c>
      <c r="O532" s="1" t="s">
        <v>74</v>
      </c>
      <c r="P532" s="1" t="s">
        <v>74</v>
      </c>
      <c r="Q532" s="1" t="s">
        <v>74</v>
      </c>
      <c r="R532" s="1" t="s">
        <v>74</v>
      </c>
      <c r="S532" s="1" t="s">
        <v>74</v>
      </c>
      <c r="T532" s="1" t="s">
        <v>9233</v>
      </c>
      <c r="U532" s="1" t="s">
        <v>9234</v>
      </c>
      <c r="V532" s="1" t="s">
        <v>9235</v>
      </c>
      <c r="W532" s="1" t="s">
        <v>9236</v>
      </c>
      <c r="X532" s="1" t="s">
        <v>9237</v>
      </c>
      <c r="Y532" s="1" t="s">
        <v>9238</v>
      </c>
      <c r="Z532" s="1" t="s">
        <v>9239</v>
      </c>
      <c r="AA532" s="1" t="s">
        <v>9240</v>
      </c>
      <c r="AB532" s="1" t="s">
        <v>74</v>
      </c>
      <c r="AC532" s="1" t="s">
        <v>74</v>
      </c>
      <c r="AD532" s="1" t="s">
        <v>74</v>
      </c>
      <c r="AE532" s="1" t="s">
        <v>74</v>
      </c>
      <c r="AF532" s="1" t="s">
        <v>74</v>
      </c>
      <c r="AG532" s="1">
        <v>37</v>
      </c>
      <c r="AH532" s="1">
        <v>4</v>
      </c>
      <c r="AI532" s="1">
        <v>5</v>
      </c>
      <c r="AJ532" s="1">
        <v>2</v>
      </c>
      <c r="AK532" s="1">
        <v>11</v>
      </c>
      <c r="AL532" s="1" t="s">
        <v>9241</v>
      </c>
      <c r="AM532" s="1" t="s">
        <v>4215</v>
      </c>
      <c r="AN532" s="1" t="s">
        <v>9242</v>
      </c>
      <c r="AO532" s="1" t="s">
        <v>6904</v>
      </c>
      <c r="AP532" s="1" t="s">
        <v>6905</v>
      </c>
      <c r="AQ532" s="1" t="s">
        <v>74</v>
      </c>
      <c r="AR532" s="1" t="s">
        <v>6906</v>
      </c>
      <c r="AS532" s="1" t="s">
        <v>6907</v>
      </c>
      <c r="AT532" s="1" t="s">
        <v>74</v>
      </c>
      <c r="AU532" s="1">
        <v>2002</v>
      </c>
      <c r="AV532" s="1">
        <v>53</v>
      </c>
      <c r="AW532" s="1" t="s">
        <v>326</v>
      </c>
      <c r="AX532" s="1" t="s">
        <v>74</v>
      </c>
      <c r="AY532" s="1" t="s">
        <v>74</v>
      </c>
      <c r="AZ532" s="1" t="s">
        <v>74</v>
      </c>
      <c r="BA532" s="1" t="s">
        <v>74</v>
      </c>
      <c r="BB532" s="1">
        <v>105</v>
      </c>
      <c r="BC532" s="1">
        <v>123</v>
      </c>
      <c r="BD532" s="1" t="s">
        <v>74</v>
      </c>
      <c r="BE532" s="1" t="s">
        <v>9243</v>
      </c>
      <c r="BF532" s="1" t="str">
        <f>HYPERLINK("http://dx.doi.org/10.1556/ABiol.53.2002.1-2.12","http://dx.doi.org/10.1556/ABiol.53.2002.1-2.12")</f>
        <v>http://dx.doi.org/10.1556/ABiol.53.2002.1-2.12</v>
      </c>
      <c r="BG532" s="1" t="s">
        <v>74</v>
      </c>
      <c r="BH532" s="1" t="s">
        <v>74</v>
      </c>
      <c r="BI532" s="1">
        <v>19</v>
      </c>
      <c r="BJ532" s="1" t="s">
        <v>171</v>
      </c>
      <c r="BK532" s="1" t="s">
        <v>96</v>
      </c>
      <c r="BL532" s="1" t="s">
        <v>173</v>
      </c>
      <c r="BM532" s="1" t="s">
        <v>9244</v>
      </c>
      <c r="BN532" s="1">
        <v>12064765</v>
      </c>
      <c r="BO532" s="1" t="s">
        <v>74</v>
      </c>
      <c r="BP532" s="1" t="s">
        <v>74</v>
      </c>
      <c r="BQ532" s="1" t="s">
        <v>74</v>
      </c>
      <c r="BR532" s="1" t="s">
        <v>98</v>
      </c>
      <c r="BS532" s="1" t="s">
        <v>9245</v>
      </c>
      <c r="BT532" s="1" t="str">
        <f>HYPERLINK("https%3A%2F%2Fwww.webofscience.com%2Fwos%2Fwoscc%2Ffull-record%2FWOS:000175277400012","View Full Record in Web of Science")</f>
        <v>View Full Record in Web of Science</v>
      </c>
    </row>
    <row r="533" spans="1:72">
      <c r="A533" s="1" t="s">
        <v>72</v>
      </c>
      <c r="B533" s="1" t="s">
        <v>9246</v>
      </c>
      <c r="C533" s="1" t="s">
        <v>74</v>
      </c>
      <c r="D533" s="1" t="s">
        <v>74</v>
      </c>
      <c r="E533" s="1" t="s">
        <v>74</v>
      </c>
      <c r="F533" s="1" t="s">
        <v>9247</v>
      </c>
      <c r="G533" s="1" t="s">
        <v>74</v>
      </c>
      <c r="H533" s="1" t="s">
        <v>74</v>
      </c>
      <c r="I533" s="1" t="s">
        <v>9248</v>
      </c>
      <c r="J533" s="1" t="s">
        <v>232</v>
      </c>
      <c r="K533" s="1" t="s">
        <v>74</v>
      </c>
      <c r="L533" s="1" t="s">
        <v>74</v>
      </c>
      <c r="M533" s="1" t="s">
        <v>78</v>
      </c>
      <c r="N533" s="1" t="s">
        <v>79</v>
      </c>
      <c r="O533" s="1" t="s">
        <v>74</v>
      </c>
      <c r="P533" s="1" t="s">
        <v>74</v>
      </c>
      <c r="Q533" s="1" t="s">
        <v>74</v>
      </c>
      <c r="R533" s="1" t="s">
        <v>74</v>
      </c>
      <c r="S533" s="1" t="s">
        <v>74</v>
      </c>
      <c r="T533" s="1" t="s">
        <v>9249</v>
      </c>
      <c r="U533" s="1" t="s">
        <v>9250</v>
      </c>
      <c r="V533" s="1" t="s">
        <v>9251</v>
      </c>
      <c r="W533" s="1" t="s">
        <v>9252</v>
      </c>
      <c r="X533" s="1" t="s">
        <v>9253</v>
      </c>
      <c r="Y533" s="1" t="s">
        <v>9254</v>
      </c>
      <c r="Z533" s="1" t="s">
        <v>9255</v>
      </c>
      <c r="AA533" s="1" t="s">
        <v>9256</v>
      </c>
      <c r="AB533" s="1" t="s">
        <v>9257</v>
      </c>
      <c r="AC533" s="1" t="s">
        <v>9258</v>
      </c>
      <c r="AD533" s="1" t="s">
        <v>9259</v>
      </c>
      <c r="AE533" s="1" t="s">
        <v>9260</v>
      </c>
      <c r="AF533" s="1" t="s">
        <v>74</v>
      </c>
      <c r="AG533" s="1">
        <v>46</v>
      </c>
      <c r="AH533" s="1">
        <v>34</v>
      </c>
      <c r="AI533" s="1">
        <v>36</v>
      </c>
      <c r="AJ533" s="1">
        <v>0</v>
      </c>
      <c r="AK533" s="1">
        <v>29</v>
      </c>
      <c r="AL533" s="1" t="s">
        <v>136</v>
      </c>
      <c r="AM533" s="1" t="s">
        <v>137</v>
      </c>
      <c r="AN533" s="1" t="s">
        <v>138</v>
      </c>
      <c r="AO533" s="1" t="s">
        <v>240</v>
      </c>
      <c r="AP533" s="1" t="s">
        <v>241</v>
      </c>
      <c r="AQ533" s="1" t="s">
        <v>74</v>
      </c>
      <c r="AR533" s="1" t="s">
        <v>242</v>
      </c>
      <c r="AS533" s="1" t="s">
        <v>243</v>
      </c>
      <c r="AT533" s="1" t="s">
        <v>224</v>
      </c>
      <c r="AU533" s="1">
        <v>2012</v>
      </c>
      <c r="AV533" s="1">
        <v>64</v>
      </c>
      <c r="AW533" s="1">
        <v>2</v>
      </c>
      <c r="AX533" s="1" t="s">
        <v>74</v>
      </c>
      <c r="AY533" s="1" t="s">
        <v>74</v>
      </c>
      <c r="AZ533" s="1" t="s">
        <v>74</v>
      </c>
      <c r="BA533" s="1" t="s">
        <v>74</v>
      </c>
      <c r="BB533" s="1">
        <v>233</v>
      </c>
      <c r="BC533" s="1">
        <v>240</v>
      </c>
      <c r="BD533" s="1" t="s">
        <v>74</v>
      </c>
      <c r="BE533" s="1" t="s">
        <v>9261</v>
      </c>
      <c r="BF533" s="1" t="str">
        <f>HYPERLINK("http://dx.doi.org/10.1016/j.marpolbul.2011.11.028","http://dx.doi.org/10.1016/j.marpolbul.2011.11.028")</f>
        <v>http://dx.doi.org/10.1016/j.marpolbul.2011.11.028</v>
      </c>
      <c r="BG533" s="1" t="s">
        <v>74</v>
      </c>
      <c r="BH533" s="1" t="s">
        <v>74</v>
      </c>
      <c r="BI533" s="1">
        <v>8</v>
      </c>
      <c r="BJ533" s="1" t="s">
        <v>247</v>
      </c>
      <c r="BK533" s="1" t="s">
        <v>96</v>
      </c>
      <c r="BL533" s="1" t="s">
        <v>248</v>
      </c>
      <c r="BM533" s="1" t="s">
        <v>9262</v>
      </c>
      <c r="BN533" s="1">
        <v>22226081</v>
      </c>
      <c r="BO533" s="1" t="s">
        <v>1752</v>
      </c>
      <c r="BP533" s="1" t="s">
        <v>74</v>
      </c>
      <c r="BQ533" s="1" t="s">
        <v>74</v>
      </c>
      <c r="BR533" s="1" t="s">
        <v>98</v>
      </c>
      <c r="BS533" s="1" t="s">
        <v>9263</v>
      </c>
      <c r="BT533" s="1" t="str">
        <f>HYPERLINK("https%3A%2F%2Fwww.webofscience.com%2Fwos%2Fwoscc%2Ffull-record%2FWOS:000300864800021","View Full Record in Web of Science")</f>
        <v>View Full Record in Web of Science</v>
      </c>
    </row>
    <row r="534" spans="1:72">
      <c r="A534" s="1" t="s">
        <v>72</v>
      </c>
      <c r="B534" s="1" t="s">
        <v>9264</v>
      </c>
      <c r="C534" s="1" t="s">
        <v>74</v>
      </c>
      <c r="D534" s="1" t="s">
        <v>74</v>
      </c>
      <c r="E534" s="1" t="s">
        <v>74</v>
      </c>
      <c r="F534" s="1" t="s">
        <v>9264</v>
      </c>
      <c r="G534" s="1" t="s">
        <v>74</v>
      </c>
      <c r="H534" s="1" t="s">
        <v>74</v>
      </c>
      <c r="I534" s="1" t="s">
        <v>9265</v>
      </c>
      <c r="J534" s="1" t="s">
        <v>232</v>
      </c>
      <c r="K534" s="1" t="s">
        <v>74</v>
      </c>
      <c r="L534" s="1" t="s">
        <v>74</v>
      </c>
      <c r="M534" s="1" t="s">
        <v>78</v>
      </c>
      <c r="N534" s="1" t="s">
        <v>151</v>
      </c>
      <c r="O534" s="1" t="s">
        <v>9266</v>
      </c>
      <c r="P534" s="1" t="s">
        <v>9267</v>
      </c>
      <c r="Q534" s="1" t="s">
        <v>9268</v>
      </c>
      <c r="R534" s="1" t="s">
        <v>74</v>
      </c>
      <c r="S534" s="1" t="s">
        <v>74</v>
      </c>
      <c r="T534" s="1" t="s">
        <v>9269</v>
      </c>
      <c r="U534" s="1" t="s">
        <v>9270</v>
      </c>
      <c r="V534" s="1" t="s">
        <v>9271</v>
      </c>
      <c r="W534" s="1" t="s">
        <v>9272</v>
      </c>
      <c r="X534" s="1" t="s">
        <v>257</v>
      </c>
      <c r="Y534" s="1" t="s">
        <v>9273</v>
      </c>
      <c r="Z534" s="1" t="s">
        <v>9274</v>
      </c>
      <c r="AA534" s="1" t="s">
        <v>74</v>
      </c>
      <c r="AB534" s="1" t="s">
        <v>74</v>
      </c>
      <c r="AC534" s="1" t="s">
        <v>74</v>
      </c>
      <c r="AD534" s="1" t="s">
        <v>74</v>
      </c>
      <c r="AE534" s="1" t="s">
        <v>74</v>
      </c>
      <c r="AF534" s="1" t="s">
        <v>74</v>
      </c>
      <c r="AG534" s="1">
        <v>16</v>
      </c>
      <c r="AH534" s="1">
        <v>29</v>
      </c>
      <c r="AI534" s="1">
        <v>30</v>
      </c>
      <c r="AJ534" s="1">
        <v>0</v>
      </c>
      <c r="AK534" s="1">
        <v>15</v>
      </c>
      <c r="AL534" s="1" t="s">
        <v>136</v>
      </c>
      <c r="AM534" s="1" t="s">
        <v>137</v>
      </c>
      <c r="AN534" s="1" t="s">
        <v>138</v>
      </c>
      <c r="AO534" s="1" t="s">
        <v>240</v>
      </c>
      <c r="AP534" s="1" t="s">
        <v>241</v>
      </c>
      <c r="AQ534" s="1" t="s">
        <v>74</v>
      </c>
      <c r="AR534" s="1" t="s">
        <v>242</v>
      </c>
      <c r="AS534" s="1" t="s">
        <v>243</v>
      </c>
      <c r="AT534" s="1" t="s">
        <v>74</v>
      </c>
      <c r="AU534" s="1">
        <v>2002</v>
      </c>
      <c r="AV534" s="1">
        <v>45</v>
      </c>
      <c r="AW534" s="1" t="s">
        <v>9275</v>
      </c>
      <c r="AX534" s="1" t="s">
        <v>74</v>
      </c>
      <c r="AY534" s="1" t="s">
        <v>74</v>
      </c>
      <c r="AZ534" s="1" t="s">
        <v>225</v>
      </c>
      <c r="BA534" s="1" t="s">
        <v>74</v>
      </c>
      <c r="BB534" s="1">
        <v>126</v>
      </c>
      <c r="BC534" s="1">
        <v>132</v>
      </c>
      <c r="BD534" s="1" t="s">
        <v>9276</v>
      </c>
      <c r="BE534" s="1" t="s">
        <v>74</v>
      </c>
      <c r="BF534" s="1" t="s">
        <v>74</v>
      </c>
      <c r="BG534" s="1" t="s">
        <v>74</v>
      </c>
      <c r="BH534" s="1" t="s">
        <v>74</v>
      </c>
      <c r="BI534" s="1">
        <v>7</v>
      </c>
      <c r="BJ534" s="1" t="s">
        <v>247</v>
      </c>
      <c r="BK534" s="1" t="s">
        <v>172</v>
      </c>
      <c r="BL534" s="1" t="s">
        <v>248</v>
      </c>
      <c r="BM534" s="1" t="s">
        <v>9277</v>
      </c>
      <c r="BN534" s="1">
        <v>12398376</v>
      </c>
      <c r="BO534" s="1" t="s">
        <v>74</v>
      </c>
      <c r="BP534" s="1" t="s">
        <v>74</v>
      </c>
      <c r="BQ534" s="1" t="s">
        <v>74</v>
      </c>
      <c r="BR534" s="1" t="s">
        <v>98</v>
      </c>
      <c r="BS534" s="1" t="s">
        <v>9278</v>
      </c>
      <c r="BT534" s="1" t="str">
        <f>HYPERLINK("https%3A%2F%2Fwww.webofscience.com%2Fwos%2Fwoscc%2Ffull-record%2FWOS:000178336300016","View Full Record in Web of Science")</f>
        <v>View Full Record in Web of Science</v>
      </c>
    </row>
    <row r="535" spans="1:72">
      <c r="A535" s="1" t="s">
        <v>72</v>
      </c>
      <c r="B535" s="1" t="s">
        <v>9279</v>
      </c>
      <c r="C535" s="1" t="s">
        <v>74</v>
      </c>
      <c r="D535" s="1" t="s">
        <v>74</v>
      </c>
      <c r="E535" s="1" t="s">
        <v>74</v>
      </c>
      <c r="F535" s="1" t="s">
        <v>9280</v>
      </c>
      <c r="G535" s="1" t="s">
        <v>74</v>
      </c>
      <c r="H535" s="1" t="s">
        <v>74</v>
      </c>
      <c r="I535" s="1" t="s">
        <v>9281</v>
      </c>
      <c r="J535" s="1" t="s">
        <v>5616</v>
      </c>
      <c r="K535" s="1" t="s">
        <v>74</v>
      </c>
      <c r="L535" s="1" t="s">
        <v>74</v>
      </c>
      <c r="M535" s="1" t="s">
        <v>78</v>
      </c>
      <c r="N535" s="1" t="s">
        <v>79</v>
      </c>
      <c r="O535" s="1" t="s">
        <v>74</v>
      </c>
      <c r="P535" s="1" t="s">
        <v>74</v>
      </c>
      <c r="Q535" s="1" t="s">
        <v>74</v>
      </c>
      <c r="R535" s="1" t="s">
        <v>74</v>
      </c>
      <c r="S535" s="1" t="s">
        <v>74</v>
      </c>
      <c r="T535" s="1" t="s">
        <v>9282</v>
      </c>
      <c r="U535" s="1" t="s">
        <v>9283</v>
      </c>
      <c r="V535" s="1" t="s">
        <v>9284</v>
      </c>
      <c r="W535" s="1" t="s">
        <v>9285</v>
      </c>
      <c r="X535" s="1" t="s">
        <v>9286</v>
      </c>
      <c r="Y535" s="1" t="s">
        <v>9287</v>
      </c>
      <c r="Z535" s="1" t="s">
        <v>9288</v>
      </c>
      <c r="AA535" s="1" t="s">
        <v>9289</v>
      </c>
      <c r="AB535" s="1" t="s">
        <v>9290</v>
      </c>
      <c r="AC535" s="1" t="s">
        <v>9291</v>
      </c>
      <c r="AD535" s="1" t="s">
        <v>9292</v>
      </c>
      <c r="AE535" s="1" t="s">
        <v>9293</v>
      </c>
      <c r="AF535" s="1" t="s">
        <v>74</v>
      </c>
      <c r="AG535" s="1">
        <v>81</v>
      </c>
      <c r="AH535" s="1">
        <v>4</v>
      </c>
      <c r="AI535" s="1">
        <v>4</v>
      </c>
      <c r="AJ535" s="1">
        <v>3</v>
      </c>
      <c r="AK535" s="1">
        <v>9</v>
      </c>
      <c r="AL535" s="1" t="s">
        <v>1566</v>
      </c>
      <c r="AM535" s="1" t="s">
        <v>1567</v>
      </c>
      <c r="AN535" s="1" t="s">
        <v>1568</v>
      </c>
      <c r="AO535" s="1" t="s">
        <v>74</v>
      </c>
      <c r="AP535" s="1" t="s">
        <v>5629</v>
      </c>
      <c r="AQ535" s="1" t="s">
        <v>74</v>
      </c>
      <c r="AR535" s="1" t="s">
        <v>5630</v>
      </c>
      <c r="AS535" s="1" t="s">
        <v>5631</v>
      </c>
      <c r="AT535" s="1" t="s">
        <v>224</v>
      </c>
      <c r="AU535" s="1">
        <v>2023</v>
      </c>
      <c r="AV535" s="1">
        <v>13</v>
      </c>
      <c r="AW535" s="1">
        <v>4</v>
      </c>
      <c r="AX535" s="1" t="s">
        <v>74</v>
      </c>
      <c r="AY535" s="1" t="s">
        <v>74</v>
      </c>
      <c r="AZ535" s="1" t="s">
        <v>74</v>
      </c>
      <c r="BA535" s="1" t="s">
        <v>74</v>
      </c>
      <c r="BB535" s="1" t="s">
        <v>74</v>
      </c>
      <c r="BC535" s="1" t="s">
        <v>74</v>
      </c>
      <c r="BD535" s="1">
        <v>690</v>
      </c>
      <c r="BE535" s="1" t="s">
        <v>9294</v>
      </c>
      <c r="BF535" s="1" t="str">
        <f>HYPERLINK("http://dx.doi.org/10.3390/nano13040690","http://dx.doi.org/10.3390/nano13040690")</f>
        <v>http://dx.doi.org/10.3390/nano13040690</v>
      </c>
      <c r="BG535" s="1" t="s">
        <v>74</v>
      </c>
      <c r="BH535" s="1" t="s">
        <v>74</v>
      </c>
      <c r="BI535" s="1">
        <v>16</v>
      </c>
      <c r="BJ535" s="1" t="s">
        <v>5633</v>
      </c>
      <c r="BK535" s="1" t="s">
        <v>96</v>
      </c>
      <c r="BL535" s="1" t="s">
        <v>5634</v>
      </c>
      <c r="BM535" s="1" t="s">
        <v>9295</v>
      </c>
      <c r="BN535" s="1">
        <v>36839058</v>
      </c>
      <c r="BO535" s="1" t="s">
        <v>550</v>
      </c>
      <c r="BP535" s="1" t="s">
        <v>74</v>
      </c>
      <c r="BQ535" s="1" t="s">
        <v>74</v>
      </c>
      <c r="BR535" s="1" t="s">
        <v>98</v>
      </c>
      <c r="BS535" s="1" t="s">
        <v>9296</v>
      </c>
      <c r="BT535" s="1" t="str">
        <f>HYPERLINK("https%3A%2F%2Fwww.webofscience.com%2Fwos%2Fwoscc%2Ffull-record%2FWOS:000941770900001","View Full Record in Web of Science")</f>
        <v>View Full Record in Web of Science</v>
      </c>
    </row>
    <row r="536" spans="1:72">
      <c r="A536" s="1" t="s">
        <v>72</v>
      </c>
      <c r="B536" s="1" t="s">
        <v>9297</v>
      </c>
      <c r="C536" s="1" t="s">
        <v>74</v>
      </c>
      <c r="D536" s="1" t="s">
        <v>74</v>
      </c>
      <c r="E536" s="1" t="s">
        <v>74</v>
      </c>
      <c r="F536" s="1" t="s">
        <v>9298</v>
      </c>
      <c r="G536" s="1" t="s">
        <v>74</v>
      </c>
      <c r="H536" s="1" t="s">
        <v>74</v>
      </c>
      <c r="I536" s="1" t="s">
        <v>9299</v>
      </c>
      <c r="J536" s="1" t="s">
        <v>909</v>
      </c>
      <c r="K536" s="1" t="s">
        <v>74</v>
      </c>
      <c r="L536" s="1" t="s">
        <v>74</v>
      </c>
      <c r="M536" s="1" t="s">
        <v>78</v>
      </c>
      <c r="N536" s="1" t="s">
        <v>79</v>
      </c>
      <c r="O536" s="1" t="s">
        <v>74</v>
      </c>
      <c r="P536" s="1" t="s">
        <v>74</v>
      </c>
      <c r="Q536" s="1" t="s">
        <v>74</v>
      </c>
      <c r="R536" s="1" t="s">
        <v>74</v>
      </c>
      <c r="S536" s="1" t="s">
        <v>74</v>
      </c>
      <c r="T536" s="1" t="s">
        <v>9300</v>
      </c>
      <c r="U536" s="1" t="s">
        <v>9301</v>
      </c>
      <c r="V536" s="1" t="s">
        <v>9302</v>
      </c>
      <c r="W536" s="1" t="s">
        <v>9303</v>
      </c>
      <c r="X536" s="1" t="s">
        <v>9304</v>
      </c>
      <c r="Y536" s="1" t="s">
        <v>9305</v>
      </c>
      <c r="Z536" s="1" t="s">
        <v>9306</v>
      </c>
      <c r="AA536" s="1" t="s">
        <v>9307</v>
      </c>
      <c r="AB536" s="1" t="s">
        <v>9308</v>
      </c>
      <c r="AC536" s="1" t="s">
        <v>74</v>
      </c>
      <c r="AD536" s="1" t="s">
        <v>74</v>
      </c>
      <c r="AE536" s="1" t="s">
        <v>74</v>
      </c>
      <c r="AF536" s="1" t="s">
        <v>74</v>
      </c>
      <c r="AG536" s="1">
        <v>40</v>
      </c>
      <c r="AH536" s="1">
        <v>54</v>
      </c>
      <c r="AI536" s="1">
        <v>66</v>
      </c>
      <c r="AJ536" s="1">
        <v>2</v>
      </c>
      <c r="AK536" s="1">
        <v>28</v>
      </c>
      <c r="AL536" s="1" t="s">
        <v>650</v>
      </c>
      <c r="AM536" s="1" t="s">
        <v>651</v>
      </c>
      <c r="AN536" s="1" t="s">
        <v>652</v>
      </c>
      <c r="AO536" s="1" t="s">
        <v>921</v>
      </c>
      <c r="AP536" s="1" t="s">
        <v>922</v>
      </c>
      <c r="AQ536" s="1" t="s">
        <v>74</v>
      </c>
      <c r="AR536" s="1" t="s">
        <v>923</v>
      </c>
      <c r="AS536" s="1" t="s">
        <v>924</v>
      </c>
      <c r="AT536" s="1" t="s">
        <v>8920</v>
      </c>
      <c r="AU536" s="1">
        <v>2008</v>
      </c>
      <c r="AV536" s="1">
        <v>405</v>
      </c>
      <c r="AW536" s="1" t="s">
        <v>2847</v>
      </c>
      <c r="AX536" s="1" t="s">
        <v>74</v>
      </c>
      <c r="AY536" s="1" t="s">
        <v>74</v>
      </c>
      <c r="AZ536" s="1" t="s">
        <v>74</v>
      </c>
      <c r="BA536" s="1" t="s">
        <v>74</v>
      </c>
      <c r="BB536" s="1">
        <v>186</v>
      </c>
      <c r="BC536" s="1">
        <v>194</v>
      </c>
      <c r="BD536" s="1" t="s">
        <v>74</v>
      </c>
      <c r="BE536" s="1" t="s">
        <v>9309</v>
      </c>
      <c r="BF536" s="1" t="str">
        <f>HYPERLINK("http://dx.doi.org/10.1016/j.scitotenv.2008.07.009","http://dx.doi.org/10.1016/j.scitotenv.2008.07.009")</f>
        <v>http://dx.doi.org/10.1016/j.scitotenv.2008.07.009</v>
      </c>
      <c r="BG536" s="1" t="s">
        <v>74</v>
      </c>
      <c r="BH536" s="1" t="s">
        <v>74</v>
      </c>
      <c r="BI536" s="1">
        <v>9</v>
      </c>
      <c r="BJ536" s="1" t="s">
        <v>144</v>
      </c>
      <c r="BK536" s="1" t="s">
        <v>96</v>
      </c>
      <c r="BL536" s="1" t="s">
        <v>145</v>
      </c>
      <c r="BM536" s="1" t="s">
        <v>8922</v>
      </c>
      <c r="BN536" s="1">
        <v>18765161</v>
      </c>
      <c r="BO536" s="1" t="s">
        <v>74</v>
      </c>
      <c r="BP536" s="1" t="s">
        <v>74</v>
      </c>
      <c r="BQ536" s="1" t="s">
        <v>74</v>
      </c>
      <c r="BR536" s="1" t="s">
        <v>98</v>
      </c>
      <c r="BS536" s="1" t="s">
        <v>9310</v>
      </c>
      <c r="BT536" s="1" t="str">
        <f>HYPERLINK("https%3A%2F%2Fwww.webofscience.com%2Fwos%2Fwoscc%2Ffull-record%2FWOS:000260941300020","View Full Record in Web of Science")</f>
        <v>View Full Record in Web of Science</v>
      </c>
    </row>
    <row r="537" spans="1:72">
      <c r="A537" s="1" t="s">
        <v>72</v>
      </c>
      <c r="B537" s="1" t="s">
        <v>9311</v>
      </c>
      <c r="C537" s="1" t="s">
        <v>74</v>
      </c>
      <c r="D537" s="1" t="s">
        <v>74</v>
      </c>
      <c r="E537" s="1" t="s">
        <v>74</v>
      </c>
      <c r="F537" s="1" t="s">
        <v>9312</v>
      </c>
      <c r="G537" s="1" t="s">
        <v>74</v>
      </c>
      <c r="H537" s="1" t="s">
        <v>74</v>
      </c>
      <c r="I537" s="1" t="s">
        <v>9313</v>
      </c>
      <c r="J537" s="1" t="s">
        <v>204</v>
      </c>
      <c r="K537" s="1" t="s">
        <v>74</v>
      </c>
      <c r="L537" s="1" t="s">
        <v>74</v>
      </c>
      <c r="M537" s="1" t="s">
        <v>78</v>
      </c>
      <c r="N537" s="1" t="s">
        <v>79</v>
      </c>
      <c r="O537" s="1" t="s">
        <v>74</v>
      </c>
      <c r="P537" s="1" t="s">
        <v>74</v>
      </c>
      <c r="Q537" s="1" t="s">
        <v>74</v>
      </c>
      <c r="R537" s="1" t="s">
        <v>74</v>
      </c>
      <c r="S537" s="1" t="s">
        <v>74</v>
      </c>
      <c r="T537" s="1" t="s">
        <v>9314</v>
      </c>
      <c r="U537" s="1" t="s">
        <v>9315</v>
      </c>
      <c r="V537" s="1" t="s">
        <v>9316</v>
      </c>
      <c r="W537" s="1" t="s">
        <v>9317</v>
      </c>
      <c r="X537" s="1" t="s">
        <v>2827</v>
      </c>
      <c r="Y537" s="1" t="s">
        <v>9318</v>
      </c>
      <c r="Z537" s="1" t="s">
        <v>9319</v>
      </c>
      <c r="AA537" s="1" t="s">
        <v>9320</v>
      </c>
      <c r="AB537" s="1" t="s">
        <v>9321</v>
      </c>
      <c r="AC537" s="1" t="s">
        <v>74</v>
      </c>
      <c r="AD537" s="1" t="s">
        <v>74</v>
      </c>
      <c r="AE537" s="1" t="s">
        <v>74</v>
      </c>
      <c r="AF537" s="1" t="s">
        <v>74</v>
      </c>
      <c r="AG537" s="1">
        <v>59</v>
      </c>
      <c r="AH537" s="1">
        <v>21</v>
      </c>
      <c r="AI537" s="1">
        <v>23</v>
      </c>
      <c r="AJ537" s="1">
        <v>4</v>
      </c>
      <c r="AK537" s="1">
        <v>56</v>
      </c>
      <c r="AL537" s="1" t="s">
        <v>217</v>
      </c>
      <c r="AM537" s="1" t="s">
        <v>218</v>
      </c>
      <c r="AN537" s="1" t="s">
        <v>219</v>
      </c>
      <c r="AO537" s="1" t="s">
        <v>220</v>
      </c>
      <c r="AP537" s="1" t="s">
        <v>221</v>
      </c>
      <c r="AQ537" s="1" t="s">
        <v>74</v>
      </c>
      <c r="AR537" s="1" t="s">
        <v>222</v>
      </c>
      <c r="AS537" s="1" t="s">
        <v>223</v>
      </c>
      <c r="AT537" s="1" t="s">
        <v>142</v>
      </c>
      <c r="AU537" s="1">
        <v>2017</v>
      </c>
      <c r="AV537" s="1">
        <v>24</v>
      </c>
      <c r="AW537" s="1">
        <v>17</v>
      </c>
      <c r="AX537" s="1" t="s">
        <v>74</v>
      </c>
      <c r="AY537" s="1" t="s">
        <v>74</v>
      </c>
      <c r="AZ537" s="1" t="s">
        <v>74</v>
      </c>
      <c r="BA537" s="1" t="s">
        <v>74</v>
      </c>
      <c r="BB537" s="1">
        <v>14605</v>
      </c>
      <c r="BC537" s="1">
        <v>14615</v>
      </c>
      <c r="BD537" s="1" t="s">
        <v>74</v>
      </c>
      <c r="BE537" s="1" t="s">
        <v>9322</v>
      </c>
      <c r="BF537" s="1" t="str">
        <f>HYPERLINK("http://dx.doi.org/10.1007/s11356-017-9014-5","http://dx.doi.org/10.1007/s11356-017-9014-5")</f>
        <v>http://dx.doi.org/10.1007/s11356-017-9014-5</v>
      </c>
      <c r="BG537" s="1" t="s">
        <v>74</v>
      </c>
      <c r="BH537" s="1" t="s">
        <v>74</v>
      </c>
      <c r="BI537" s="1">
        <v>11</v>
      </c>
      <c r="BJ537" s="1" t="s">
        <v>144</v>
      </c>
      <c r="BK537" s="1" t="s">
        <v>96</v>
      </c>
      <c r="BL537" s="1" t="s">
        <v>145</v>
      </c>
      <c r="BM537" s="1" t="s">
        <v>9323</v>
      </c>
      <c r="BN537" s="1">
        <v>28452031</v>
      </c>
      <c r="BO537" s="1" t="s">
        <v>74</v>
      </c>
      <c r="BP537" s="1" t="s">
        <v>74</v>
      </c>
      <c r="BQ537" s="1" t="s">
        <v>74</v>
      </c>
      <c r="BR537" s="1" t="s">
        <v>98</v>
      </c>
      <c r="BS537" s="1" t="s">
        <v>9324</v>
      </c>
      <c r="BT537" s="1" t="str">
        <f>HYPERLINK("https%3A%2F%2Fwww.webofscience.com%2Fwos%2Fwoscc%2Ffull-record%2FWOS:000402997700006","View Full Record in Web of Science")</f>
        <v>View Full Record in Web of Science</v>
      </c>
    </row>
    <row r="538" spans="1:72">
      <c r="A538" s="1" t="s">
        <v>72</v>
      </c>
      <c r="B538" s="1" t="s">
        <v>9325</v>
      </c>
      <c r="C538" s="1" t="s">
        <v>74</v>
      </c>
      <c r="D538" s="1" t="s">
        <v>74</v>
      </c>
      <c r="E538" s="1" t="s">
        <v>74</v>
      </c>
      <c r="F538" s="1" t="s">
        <v>9326</v>
      </c>
      <c r="G538" s="1" t="s">
        <v>74</v>
      </c>
      <c r="H538" s="1" t="s">
        <v>74</v>
      </c>
      <c r="I538" s="1" t="s">
        <v>9327</v>
      </c>
      <c r="J538" s="1" t="s">
        <v>998</v>
      </c>
      <c r="K538" s="1" t="s">
        <v>74</v>
      </c>
      <c r="L538" s="1" t="s">
        <v>74</v>
      </c>
      <c r="M538" s="1" t="s">
        <v>78</v>
      </c>
      <c r="N538" s="1" t="s">
        <v>79</v>
      </c>
      <c r="O538" s="1" t="s">
        <v>74</v>
      </c>
      <c r="P538" s="1" t="s">
        <v>74</v>
      </c>
      <c r="Q538" s="1" t="s">
        <v>74</v>
      </c>
      <c r="R538" s="1" t="s">
        <v>74</v>
      </c>
      <c r="S538" s="1" t="s">
        <v>74</v>
      </c>
      <c r="T538" s="1" t="s">
        <v>74</v>
      </c>
      <c r="U538" s="1" t="s">
        <v>9328</v>
      </c>
      <c r="V538" s="1" t="s">
        <v>9329</v>
      </c>
      <c r="W538" s="1" t="s">
        <v>9330</v>
      </c>
      <c r="X538" s="1" t="s">
        <v>9331</v>
      </c>
      <c r="Y538" s="1" t="s">
        <v>9332</v>
      </c>
      <c r="Z538" s="1" t="s">
        <v>9333</v>
      </c>
      <c r="AA538" s="1" t="s">
        <v>9334</v>
      </c>
      <c r="AB538" s="1" t="s">
        <v>9335</v>
      </c>
      <c r="AC538" s="1" t="s">
        <v>9336</v>
      </c>
      <c r="AD538" s="1" t="s">
        <v>9337</v>
      </c>
      <c r="AE538" s="1" t="s">
        <v>9338</v>
      </c>
      <c r="AF538" s="1" t="s">
        <v>74</v>
      </c>
      <c r="AG538" s="1">
        <v>49</v>
      </c>
      <c r="AH538" s="1">
        <v>15</v>
      </c>
      <c r="AI538" s="1">
        <v>16</v>
      </c>
      <c r="AJ538" s="1">
        <v>1</v>
      </c>
      <c r="AK538" s="1">
        <v>90</v>
      </c>
      <c r="AL538" s="1" t="s">
        <v>112</v>
      </c>
      <c r="AM538" s="1" t="s">
        <v>113</v>
      </c>
      <c r="AN538" s="1" t="s">
        <v>469</v>
      </c>
      <c r="AO538" s="1" t="s">
        <v>1009</v>
      </c>
      <c r="AP538" s="1" t="s">
        <v>5996</v>
      </c>
      <c r="AQ538" s="1" t="s">
        <v>74</v>
      </c>
      <c r="AR538" s="1" t="s">
        <v>1010</v>
      </c>
      <c r="AS538" s="1" t="s">
        <v>1011</v>
      </c>
      <c r="AT538" s="1" t="s">
        <v>765</v>
      </c>
      <c r="AU538" s="1">
        <v>2016</v>
      </c>
      <c r="AV538" s="1">
        <v>71</v>
      </c>
      <c r="AW538" s="1">
        <v>1</v>
      </c>
      <c r="AX538" s="1" t="s">
        <v>74</v>
      </c>
      <c r="AY538" s="1" t="s">
        <v>74</v>
      </c>
      <c r="AZ538" s="1" t="s">
        <v>74</v>
      </c>
      <c r="BA538" s="1" t="s">
        <v>74</v>
      </c>
      <c r="BB538" s="1">
        <v>87</v>
      </c>
      <c r="BC538" s="1">
        <v>96</v>
      </c>
      <c r="BD538" s="1" t="s">
        <v>74</v>
      </c>
      <c r="BE538" s="1" t="s">
        <v>9339</v>
      </c>
      <c r="BF538" s="1" t="str">
        <f>HYPERLINK("http://dx.doi.org/10.1007/s00244-016-0274-8","http://dx.doi.org/10.1007/s00244-016-0274-8")</f>
        <v>http://dx.doi.org/10.1007/s00244-016-0274-8</v>
      </c>
      <c r="BG538" s="1" t="s">
        <v>74</v>
      </c>
      <c r="BH538" s="1" t="s">
        <v>74</v>
      </c>
      <c r="BI538" s="1">
        <v>10</v>
      </c>
      <c r="BJ538" s="1" t="s">
        <v>121</v>
      </c>
      <c r="BK538" s="1" t="s">
        <v>96</v>
      </c>
      <c r="BL538" s="1" t="s">
        <v>122</v>
      </c>
      <c r="BM538" s="1" t="s">
        <v>9340</v>
      </c>
      <c r="BN538" s="1">
        <v>26979742</v>
      </c>
      <c r="BO538" s="1" t="s">
        <v>74</v>
      </c>
      <c r="BP538" s="1" t="s">
        <v>74</v>
      </c>
      <c r="BQ538" s="1" t="s">
        <v>74</v>
      </c>
      <c r="BR538" s="1" t="s">
        <v>98</v>
      </c>
      <c r="BS538" s="1" t="s">
        <v>9341</v>
      </c>
      <c r="BT538" s="1" t="str">
        <f>HYPERLINK("https%3A%2F%2Fwww.webofscience.com%2Fwos%2Fwoscc%2Ffull-record%2FWOS:000378000900010","View Full Record in Web of Science")</f>
        <v>View Full Record in Web of Science</v>
      </c>
    </row>
    <row r="539" spans="1:72">
      <c r="A539" s="1" t="s">
        <v>72</v>
      </c>
      <c r="B539" s="1" t="s">
        <v>9342</v>
      </c>
      <c r="C539" s="1" t="s">
        <v>74</v>
      </c>
      <c r="D539" s="1" t="s">
        <v>74</v>
      </c>
      <c r="E539" s="1" t="s">
        <v>74</v>
      </c>
      <c r="F539" s="1" t="s">
        <v>9343</v>
      </c>
      <c r="G539" s="1" t="s">
        <v>74</v>
      </c>
      <c r="H539" s="1" t="s">
        <v>74</v>
      </c>
      <c r="I539" s="1" t="s">
        <v>9344</v>
      </c>
      <c r="J539" s="1" t="s">
        <v>421</v>
      </c>
      <c r="K539" s="1" t="s">
        <v>74</v>
      </c>
      <c r="L539" s="1" t="s">
        <v>74</v>
      </c>
      <c r="M539" s="1" t="s">
        <v>78</v>
      </c>
      <c r="N539" s="1" t="s">
        <v>79</v>
      </c>
      <c r="O539" s="1" t="s">
        <v>74</v>
      </c>
      <c r="P539" s="1" t="s">
        <v>74</v>
      </c>
      <c r="Q539" s="1" t="s">
        <v>74</v>
      </c>
      <c r="R539" s="1" t="s">
        <v>74</v>
      </c>
      <c r="S539" s="1" t="s">
        <v>74</v>
      </c>
      <c r="T539" s="1" t="s">
        <v>9345</v>
      </c>
      <c r="U539" s="1" t="s">
        <v>9346</v>
      </c>
      <c r="V539" s="1" t="s">
        <v>9347</v>
      </c>
      <c r="W539" s="1" t="s">
        <v>9348</v>
      </c>
      <c r="X539" s="1" t="s">
        <v>9349</v>
      </c>
      <c r="Y539" s="1" t="s">
        <v>9350</v>
      </c>
      <c r="Z539" s="1" t="s">
        <v>3709</v>
      </c>
      <c r="AA539" s="1" t="s">
        <v>3710</v>
      </c>
      <c r="AB539" s="1" t="s">
        <v>74</v>
      </c>
      <c r="AC539" s="1" t="s">
        <v>9351</v>
      </c>
      <c r="AD539" s="1" t="s">
        <v>9352</v>
      </c>
      <c r="AE539" s="1" t="s">
        <v>9353</v>
      </c>
      <c r="AF539" s="1" t="s">
        <v>74</v>
      </c>
      <c r="AG539" s="1">
        <v>55</v>
      </c>
      <c r="AH539" s="1">
        <v>10</v>
      </c>
      <c r="AI539" s="1">
        <v>10</v>
      </c>
      <c r="AJ539" s="1">
        <v>7</v>
      </c>
      <c r="AK539" s="1">
        <v>62</v>
      </c>
      <c r="AL539" s="1" t="s">
        <v>430</v>
      </c>
      <c r="AM539" s="1" t="s">
        <v>137</v>
      </c>
      <c r="AN539" s="1" t="s">
        <v>431</v>
      </c>
      <c r="AO539" s="1" t="s">
        <v>432</v>
      </c>
      <c r="AP539" s="1" t="s">
        <v>1394</v>
      </c>
      <c r="AQ539" s="1" t="s">
        <v>74</v>
      </c>
      <c r="AR539" s="1" t="s">
        <v>433</v>
      </c>
      <c r="AS539" s="1" t="s">
        <v>434</v>
      </c>
      <c r="AT539" s="1" t="s">
        <v>4761</v>
      </c>
      <c r="AU539" s="1">
        <v>2021</v>
      </c>
      <c r="AV539" s="1">
        <v>273</v>
      </c>
      <c r="AW539" s="1" t="s">
        <v>74</v>
      </c>
      <c r="AX539" s="1" t="s">
        <v>74</v>
      </c>
      <c r="AY539" s="1" t="s">
        <v>74</v>
      </c>
      <c r="AZ539" s="1" t="s">
        <v>74</v>
      </c>
      <c r="BA539" s="1" t="s">
        <v>74</v>
      </c>
      <c r="BB539" s="1" t="s">
        <v>74</v>
      </c>
      <c r="BC539" s="1" t="s">
        <v>74</v>
      </c>
      <c r="BD539" s="1">
        <v>116443</v>
      </c>
      <c r="BE539" s="1" t="s">
        <v>9354</v>
      </c>
      <c r="BF539" s="1" t="str">
        <f>HYPERLINK("http://dx.doi.org/10.1016/j.envpol.2021.116443","http://dx.doi.org/10.1016/j.envpol.2021.116443")</f>
        <v>http://dx.doi.org/10.1016/j.envpol.2021.116443</v>
      </c>
      <c r="BG539" s="1" t="s">
        <v>74</v>
      </c>
      <c r="BH539" s="1" t="s">
        <v>2597</v>
      </c>
      <c r="BI539" s="1">
        <v>9</v>
      </c>
      <c r="BJ539" s="1" t="s">
        <v>144</v>
      </c>
      <c r="BK539" s="1" t="s">
        <v>96</v>
      </c>
      <c r="BL539" s="1" t="s">
        <v>145</v>
      </c>
      <c r="BM539" s="1" t="s">
        <v>9355</v>
      </c>
      <c r="BN539" s="1">
        <v>33486241</v>
      </c>
      <c r="BO539" s="1" t="s">
        <v>1752</v>
      </c>
      <c r="BP539" s="1" t="s">
        <v>74</v>
      </c>
      <c r="BQ539" s="1" t="s">
        <v>74</v>
      </c>
      <c r="BR539" s="1" t="s">
        <v>98</v>
      </c>
      <c r="BS539" s="1" t="s">
        <v>9356</v>
      </c>
      <c r="BT539" s="1" t="str">
        <f>HYPERLINK("https%3A%2F%2Fwww.webofscience.com%2Fwos%2Fwoscc%2Ffull-record%2FWOS:000625376600033","View Full Record in Web of Science")</f>
        <v>View Full Record in Web of Science</v>
      </c>
    </row>
    <row r="540" spans="1:72">
      <c r="A540" s="1" t="s">
        <v>72</v>
      </c>
      <c r="B540" s="1" t="s">
        <v>9357</v>
      </c>
      <c r="C540" s="1" t="s">
        <v>74</v>
      </c>
      <c r="D540" s="1" t="s">
        <v>74</v>
      </c>
      <c r="E540" s="1" t="s">
        <v>74</v>
      </c>
      <c r="F540" s="1" t="s">
        <v>9358</v>
      </c>
      <c r="G540" s="1" t="s">
        <v>74</v>
      </c>
      <c r="H540" s="1" t="s">
        <v>74</v>
      </c>
      <c r="I540" s="1" t="s">
        <v>9359</v>
      </c>
      <c r="J540" s="1" t="s">
        <v>9360</v>
      </c>
      <c r="K540" s="1" t="s">
        <v>74</v>
      </c>
      <c r="L540" s="1" t="s">
        <v>74</v>
      </c>
      <c r="M540" s="1" t="s">
        <v>78</v>
      </c>
      <c r="N540" s="1" t="s">
        <v>79</v>
      </c>
      <c r="O540" s="1" t="s">
        <v>74</v>
      </c>
      <c r="P540" s="1" t="s">
        <v>74</v>
      </c>
      <c r="Q540" s="1" t="s">
        <v>74</v>
      </c>
      <c r="R540" s="1" t="s">
        <v>74</v>
      </c>
      <c r="S540" s="1" t="s">
        <v>74</v>
      </c>
      <c r="T540" s="1" t="s">
        <v>9361</v>
      </c>
      <c r="U540" s="1" t="s">
        <v>9362</v>
      </c>
      <c r="V540" s="1" t="s">
        <v>9363</v>
      </c>
      <c r="W540" s="1" t="s">
        <v>9364</v>
      </c>
      <c r="X540" s="1" t="s">
        <v>9365</v>
      </c>
      <c r="Y540" s="1" t="s">
        <v>9366</v>
      </c>
      <c r="Z540" s="1" t="s">
        <v>9367</v>
      </c>
      <c r="AA540" s="1" t="s">
        <v>9368</v>
      </c>
      <c r="AB540" s="1" t="s">
        <v>9369</v>
      </c>
      <c r="AC540" s="1" t="s">
        <v>9370</v>
      </c>
      <c r="AD540" s="1" t="s">
        <v>9371</v>
      </c>
      <c r="AE540" s="1" t="s">
        <v>9372</v>
      </c>
      <c r="AF540" s="1" t="s">
        <v>74</v>
      </c>
      <c r="AG540" s="1">
        <v>51</v>
      </c>
      <c r="AH540" s="1">
        <v>25</v>
      </c>
      <c r="AI540" s="1">
        <v>28</v>
      </c>
      <c r="AJ540" s="1">
        <v>3</v>
      </c>
      <c r="AK540" s="1">
        <v>22</v>
      </c>
      <c r="AL540" s="1" t="s">
        <v>112</v>
      </c>
      <c r="AM540" s="1" t="s">
        <v>191</v>
      </c>
      <c r="AN540" s="1" t="s">
        <v>192</v>
      </c>
      <c r="AO540" s="1" t="s">
        <v>9373</v>
      </c>
      <c r="AP540" s="1" t="s">
        <v>9374</v>
      </c>
      <c r="AQ540" s="1" t="s">
        <v>74</v>
      </c>
      <c r="AR540" s="1" t="s">
        <v>9375</v>
      </c>
      <c r="AS540" s="1" t="s">
        <v>9376</v>
      </c>
      <c r="AT540" s="1" t="s">
        <v>93</v>
      </c>
      <c r="AU540" s="1">
        <v>2010</v>
      </c>
      <c r="AV540" s="1">
        <v>37</v>
      </c>
      <c r="AW540" s="1">
        <v>4</v>
      </c>
      <c r="AX540" s="1" t="s">
        <v>74</v>
      </c>
      <c r="AY540" s="1" t="s">
        <v>74</v>
      </c>
      <c r="AZ540" s="1" t="s">
        <v>74</v>
      </c>
      <c r="BA540" s="1" t="s">
        <v>74</v>
      </c>
      <c r="BB540" s="1">
        <v>1763</v>
      </c>
      <c r="BC540" s="1">
        <v>1771</v>
      </c>
      <c r="BD540" s="1" t="s">
        <v>74</v>
      </c>
      <c r="BE540" s="1" t="s">
        <v>9377</v>
      </c>
      <c r="BF540" s="1" t="str">
        <f>HYPERLINK("http://dx.doi.org/10.1007/s11033-009-9603-6","http://dx.doi.org/10.1007/s11033-009-9603-6")</f>
        <v>http://dx.doi.org/10.1007/s11033-009-9603-6</v>
      </c>
      <c r="BG540" s="1" t="s">
        <v>74</v>
      </c>
      <c r="BH540" s="1" t="s">
        <v>74</v>
      </c>
      <c r="BI540" s="1">
        <v>9</v>
      </c>
      <c r="BJ540" s="1" t="s">
        <v>3805</v>
      </c>
      <c r="BK540" s="1" t="s">
        <v>96</v>
      </c>
      <c r="BL540" s="1" t="s">
        <v>3805</v>
      </c>
      <c r="BM540" s="1" t="s">
        <v>9378</v>
      </c>
      <c r="BN540" s="1">
        <v>19585273</v>
      </c>
      <c r="BO540" s="1" t="s">
        <v>74</v>
      </c>
      <c r="BP540" s="1" t="s">
        <v>74</v>
      </c>
      <c r="BQ540" s="1" t="s">
        <v>74</v>
      </c>
      <c r="BR540" s="1" t="s">
        <v>98</v>
      </c>
      <c r="BS540" s="1" t="s">
        <v>9379</v>
      </c>
      <c r="BT540" s="1" t="str">
        <f>HYPERLINK("https%3A%2F%2Fwww.webofscience.com%2Fwos%2Fwoscc%2Ffull-record%2FWOS:000275161700012","View Full Record in Web of Science")</f>
        <v>View Full Record in Web of Science</v>
      </c>
    </row>
    <row r="541" spans="1:72">
      <c r="A541" s="1" t="s">
        <v>72</v>
      </c>
      <c r="B541" s="1" t="s">
        <v>9380</v>
      </c>
      <c r="C541" s="1" t="s">
        <v>74</v>
      </c>
      <c r="D541" s="1" t="s">
        <v>74</v>
      </c>
      <c r="E541" s="1" t="s">
        <v>74</v>
      </c>
      <c r="F541" s="1" t="s">
        <v>9381</v>
      </c>
      <c r="G541" s="1" t="s">
        <v>74</v>
      </c>
      <c r="H541" s="1" t="s">
        <v>74</v>
      </c>
      <c r="I541" s="1" t="s">
        <v>9382</v>
      </c>
      <c r="J541" s="1" t="s">
        <v>9383</v>
      </c>
      <c r="K541" s="1" t="s">
        <v>74</v>
      </c>
      <c r="L541" s="1" t="s">
        <v>74</v>
      </c>
      <c r="M541" s="1" t="s">
        <v>78</v>
      </c>
      <c r="N541" s="1" t="s">
        <v>79</v>
      </c>
      <c r="O541" s="1" t="s">
        <v>74</v>
      </c>
      <c r="P541" s="1" t="s">
        <v>74</v>
      </c>
      <c r="Q541" s="1" t="s">
        <v>74</v>
      </c>
      <c r="R541" s="1" t="s">
        <v>74</v>
      </c>
      <c r="S541" s="1" t="s">
        <v>74</v>
      </c>
      <c r="T541" s="1" t="s">
        <v>9384</v>
      </c>
      <c r="U541" s="1" t="s">
        <v>9385</v>
      </c>
      <c r="V541" s="1" t="s">
        <v>9386</v>
      </c>
      <c r="W541" s="1" t="s">
        <v>9387</v>
      </c>
      <c r="X541" s="1" t="s">
        <v>9388</v>
      </c>
      <c r="Y541" s="1" t="s">
        <v>9389</v>
      </c>
      <c r="Z541" s="1" t="s">
        <v>9390</v>
      </c>
      <c r="AA541" s="1" t="s">
        <v>74</v>
      </c>
      <c r="AB541" s="1" t="s">
        <v>74</v>
      </c>
      <c r="AC541" s="1" t="s">
        <v>9391</v>
      </c>
      <c r="AD541" s="1" t="s">
        <v>9392</v>
      </c>
      <c r="AE541" s="1" t="s">
        <v>9393</v>
      </c>
      <c r="AF541" s="1" t="s">
        <v>74</v>
      </c>
      <c r="AG541" s="1">
        <v>69</v>
      </c>
      <c r="AH541" s="1">
        <v>0</v>
      </c>
      <c r="AI541" s="1">
        <v>0</v>
      </c>
      <c r="AJ541" s="1">
        <v>3</v>
      </c>
      <c r="AK541" s="1">
        <v>3</v>
      </c>
      <c r="AL541" s="1" t="s">
        <v>9394</v>
      </c>
      <c r="AM541" s="1" t="s">
        <v>9395</v>
      </c>
      <c r="AN541" s="1" t="s">
        <v>9396</v>
      </c>
      <c r="AO541" s="1" t="s">
        <v>9397</v>
      </c>
      <c r="AP541" s="1" t="s">
        <v>74</v>
      </c>
      <c r="AQ541" s="1" t="s">
        <v>74</v>
      </c>
      <c r="AR541" s="1" t="s">
        <v>9398</v>
      </c>
      <c r="AS541" s="1" t="s">
        <v>9399</v>
      </c>
      <c r="AT541" s="1" t="s">
        <v>9400</v>
      </c>
      <c r="AU541" s="1">
        <v>2024</v>
      </c>
      <c r="AV541" s="1">
        <v>14</v>
      </c>
      <c r="AW541" s="1">
        <v>1</v>
      </c>
      <c r="AX541" s="1" t="s">
        <v>74</v>
      </c>
      <c r="AY541" s="1" t="s">
        <v>74</v>
      </c>
      <c r="AZ541" s="1" t="s">
        <v>74</v>
      </c>
      <c r="BA541" s="1" t="s">
        <v>74</v>
      </c>
      <c r="BB541" s="1" t="s">
        <v>74</v>
      </c>
      <c r="BC541" s="1" t="s">
        <v>74</v>
      </c>
      <c r="BD541" s="1">
        <v>19549</v>
      </c>
      <c r="BE541" s="1" t="s">
        <v>9401</v>
      </c>
      <c r="BF541" s="1" t="str">
        <f>HYPERLINK("http://dx.doi.org/10.1038/s41598-024-70409-3","http://dx.doi.org/10.1038/s41598-024-70409-3")</f>
        <v>http://dx.doi.org/10.1038/s41598-024-70409-3</v>
      </c>
      <c r="BG541" s="1" t="s">
        <v>74</v>
      </c>
      <c r="BH541" s="1" t="s">
        <v>74</v>
      </c>
      <c r="BI541" s="1">
        <v>11</v>
      </c>
      <c r="BJ541" s="1" t="s">
        <v>3202</v>
      </c>
      <c r="BK541" s="1" t="s">
        <v>96</v>
      </c>
      <c r="BL541" s="1" t="s">
        <v>3203</v>
      </c>
      <c r="BM541" s="1" t="s">
        <v>9402</v>
      </c>
      <c r="BN541" s="1">
        <v>39174616</v>
      </c>
      <c r="BO541" s="1" t="s">
        <v>873</v>
      </c>
      <c r="BP541" s="1" t="s">
        <v>74</v>
      </c>
      <c r="BQ541" s="1" t="s">
        <v>74</v>
      </c>
      <c r="BR541" s="1" t="s">
        <v>98</v>
      </c>
      <c r="BS541" s="1" t="s">
        <v>9403</v>
      </c>
      <c r="BT541" s="1" t="str">
        <f>HYPERLINK("https%3A%2F%2Fwww.webofscience.com%2Fwos%2Fwoscc%2Ffull-record%2FWOS:001304514000003","View Full Record in Web of Science")</f>
        <v>View Full Record in Web of Science</v>
      </c>
    </row>
    <row r="542" spans="1:72">
      <c r="A542" s="1" t="s">
        <v>72</v>
      </c>
      <c r="B542" s="1" t="s">
        <v>9404</v>
      </c>
      <c r="C542" s="1" t="s">
        <v>74</v>
      </c>
      <c r="D542" s="1" t="s">
        <v>74</v>
      </c>
      <c r="E542" s="1" t="s">
        <v>74</v>
      </c>
      <c r="F542" s="1" t="s">
        <v>9405</v>
      </c>
      <c r="G542" s="1" t="s">
        <v>74</v>
      </c>
      <c r="H542" s="1" t="s">
        <v>74</v>
      </c>
      <c r="I542" s="1" t="s">
        <v>9406</v>
      </c>
      <c r="J542" s="1" t="s">
        <v>909</v>
      </c>
      <c r="K542" s="1" t="s">
        <v>74</v>
      </c>
      <c r="L542" s="1" t="s">
        <v>74</v>
      </c>
      <c r="M542" s="1" t="s">
        <v>78</v>
      </c>
      <c r="N542" s="1" t="s">
        <v>79</v>
      </c>
      <c r="O542" s="1" t="s">
        <v>74</v>
      </c>
      <c r="P542" s="1" t="s">
        <v>74</v>
      </c>
      <c r="Q542" s="1" t="s">
        <v>74</v>
      </c>
      <c r="R542" s="1" t="s">
        <v>74</v>
      </c>
      <c r="S542" s="1" t="s">
        <v>74</v>
      </c>
      <c r="T542" s="1" t="s">
        <v>9407</v>
      </c>
      <c r="U542" s="1" t="s">
        <v>9408</v>
      </c>
      <c r="V542" s="1" t="s">
        <v>9409</v>
      </c>
      <c r="W542" s="1" t="s">
        <v>9410</v>
      </c>
      <c r="X542" s="1" t="s">
        <v>9411</v>
      </c>
      <c r="Y542" s="1" t="s">
        <v>9412</v>
      </c>
      <c r="Z542" s="1" t="s">
        <v>9413</v>
      </c>
      <c r="AA542" s="1" t="s">
        <v>9414</v>
      </c>
      <c r="AB542" s="1" t="s">
        <v>9415</v>
      </c>
      <c r="AC542" s="1" t="s">
        <v>9416</v>
      </c>
      <c r="AD542" s="1" t="s">
        <v>9417</v>
      </c>
      <c r="AE542" s="1" t="s">
        <v>9418</v>
      </c>
      <c r="AF542" s="1" t="s">
        <v>74</v>
      </c>
      <c r="AG542" s="1">
        <v>58</v>
      </c>
      <c r="AH542" s="1">
        <v>73</v>
      </c>
      <c r="AI542" s="1">
        <v>75</v>
      </c>
      <c r="AJ542" s="1">
        <v>3</v>
      </c>
      <c r="AK542" s="1">
        <v>33</v>
      </c>
      <c r="AL542" s="1" t="s">
        <v>919</v>
      </c>
      <c r="AM542" s="1" t="s">
        <v>651</v>
      </c>
      <c r="AN542" s="1" t="s">
        <v>920</v>
      </c>
      <c r="AO542" s="1" t="s">
        <v>921</v>
      </c>
      <c r="AP542" s="1" t="s">
        <v>922</v>
      </c>
      <c r="AQ542" s="1" t="s">
        <v>74</v>
      </c>
      <c r="AR542" s="1" t="s">
        <v>923</v>
      </c>
      <c r="AS542" s="1" t="s">
        <v>924</v>
      </c>
      <c r="AT542" s="1" t="s">
        <v>1965</v>
      </c>
      <c r="AU542" s="1">
        <v>2008</v>
      </c>
      <c r="AV542" s="1">
        <v>407</v>
      </c>
      <c r="AW542" s="1">
        <v>1</v>
      </c>
      <c r="AX542" s="1" t="s">
        <v>74</v>
      </c>
      <c r="AY542" s="1" t="s">
        <v>74</v>
      </c>
      <c r="AZ542" s="1" t="s">
        <v>74</v>
      </c>
      <c r="BA542" s="1" t="s">
        <v>74</v>
      </c>
      <c r="BB542" s="1">
        <v>178</v>
      </c>
      <c r="BC542" s="1">
        <v>184</v>
      </c>
      <c r="BD542" s="1" t="s">
        <v>74</v>
      </c>
      <c r="BE542" s="1" t="s">
        <v>9419</v>
      </c>
      <c r="BF542" s="1" t="str">
        <f>HYPERLINK("http://dx.doi.org/10.1016/j.scitotenv.2008.07.031","http://dx.doi.org/10.1016/j.scitotenv.2008.07.031")</f>
        <v>http://dx.doi.org/10.1016/j.scitotenv.2008.07.031</v>
      </c>
      <c r="BG542" s="1" t="s">
        <v>74</v>
      </c>
      <c r="BH542" s="1" t="s">
        <v>74</v>
      </c>
      <c r="BI542" s="1">
        <v>7</v>
      </c>
      <c r="BJ542" s="1" t="s">
        <v>144</v>
      </c>
      <c r="BK542" s="1" t="s">
        <v>96</v>
      </c>
      <c r="BL542" s="1" t="s">
        <v>145</v>
      </c>
      <c r="BM542" s="1" t="s">
        <v>9420</v>
      </c>
      <c r="BN542" s="1">
        <v>18805569</v>
      </c>
      <c r="BO542" s="1" t="s">
        <v>74</v>
      </c>
      <c r="BP542" s="1" t="s">
        <v>74</v>
      </c>
      <c r="BQ542" s="1" t="s">
        <v>74</v>
      </c>
      <c r="BR542" s="1" t="s">
        <v>98</v>
      </c>
      <c r="BS542" s="1" t="s">
        <v>9421</v>
      </c>
      <c r="BT542" s="1" t="str">
        <f>HYPERLINK("https%3A%2F%2Fwww.webofscience.com%2Fwos%2Fwoscc%2Ffull-record%2FWOS:000261877900017","View Full Record in Web of Science")</f>
        <v>View Full Record in Web of Science</v>
      </c>
    </row>
    <row r="543" spans="1:72">
      <c r="A543" s="1" t="s">
        <v>72</v>
      </c>
      <c r="B543" s="1" t="s">
        <v>9422</v>
      </c>
      <c r="C543" s="1" t="s">
        <v>74</v>
      </c>
      <c r="D543" s="1" t="s">
        <v>74</v>
      </c>
      <c r="E543" s="1" t="s">
        <v>74</v>
      </c>
      <c r="F543" s="1" t="s">
        <v>9423</v>
      </c>
      <c r="G543" s="1" t="s">
        <v>74</v>
      </c>
      <c r="H543" s="1" t="s">
        <v>74</v>
      </c>
      <c r="I543" s="1" t="s">
        <v>9424</v>
      </c>
      <c r="J543" s="1" t="s">
        <v>232</v>
      </c>
      <c r="K543" s="1" t="s">
        <v>74</v>
      </c>
      <c r="L543" s="1" t="s">
        <v>74</v>
      </c>
      <c r="M543" s="1" t="s">
        <v>78</v>
      </c>
      <c r="N543" s="1" t="s">
        <v>79</v>
      </c>
      <c r="O543" s="1" t="s">
        <v>74</v>
      </c>
      <c r="P543" s="1" t="s">
        <v>74</v>
      </c>
      <c r="Q543" s="1" t="s">
        <v>74</v>
      </c>
      <c r="R543" s="1" t="s">
        <v>74</v>
      </c>
      <c r="S543" s="1" t="s">
        <v>74</v>
      </c>
      <c r="T543" s="1" t="s">
        <v>9425</v>
      </c>
      <c r="U543" s="1" t="s">
        <v>9426</v>
      </c>
      <c r="V543" s="1" t="s">
        <v>9427</v>
      </c>
      <c r="W543" s="1" t="s">
        <v>9428</v>
      </c>
      <c r="X543" s="1" t="s">
        <v>4868</v>
      </c>
      <c r="Y543" s="1" t="s">
        <v>9429</v>
      </c>
      <c r="Z543" s="1" t="s">
        <v>9430</v>
      </c>
      <c r="AA543" s="1" t="s">
        <v>74</v>
      </c>
      <c r="AB543" s="1" t="s">
        <v>74</v>
      </c>
      <c r="AC543" s="1" t="s">
        <v>9431</v>
      </c>
      <c r="AD543" s="1" t="s">
        <v>9431</v>
      </c>
      <c r="AE543" s="1" t="s">
        <v>9432</v>
      </c>
      <c r="AF543" s="1" t="s">
        <v>74</v>
      </c>
      <c r="AG543" s="1">
        <v>78</v>
      </c>
      <c r="AH543" s="1">
        <v>1</v>
      </c>
      <c r="AI543" s="1">
        <v>1</v>
      </c>
      <c r="AJ543" s="1">
        <v>15</v>
      </c>
      <c r="AK543" s="1">
        <v>15</v>
      </c>
      <c r="AL543" s="1" t="s">
        <v>136</v>
      </c>
      <c r="AM543" s="1" t="s">
        <v>137</v>
      </c>
      <c r="AN543" s="1" t="s">
        <v>138</v>
      </c>
      <c r="AO543" s="1" t="s">
        <v>240</v>
      </c>
      <c r="AP543" s="1" t="s">
        <v>241</v>
      </c>
      <c r="AQ543" s="1" t="s">
        <v>74</v>
      </c>
      <c r="AR543" s="1" t="s">
        <v>242</v>
      </c>
      <c r="AS543" s="1" t="s">
        <v>243</v>
      </c>
      <c r="AT543" s="1" t="s">
        <v>170</v>
      </c>
      <c r="AU543" s="1">
        <v>2024</v>
      </c>
      <c r="AV543" s="1">
        <v>202</v>
      </c>
      <c r="AW543" s="1" t="s">
        <v>74</v>
      </c>
      <c r="AX543" s="1" t="s">
        <v>74</v>
      </c>
      <c r="AY543" s="1" t="s">
        <v>74</v>
      </c>
      <c r="AZ543" s="1" t="s">
        <v>74</v>
      </c>
      <c r="BA543" s="1" t="s">
        <v>74</v>
      </c>
      <c r="BB543" s="1" t="s">
        <v>74</v>
      </c>
      <c r="BC543" s="1" t="s">
        <v>74</v>
      </c>
      <c r="BD543" s="1">
        <v>116374</v>
      </c>
      <c r="BE543" s="1" t="s">
        <v>9433</v>
      </c>
      <c r="BF543" s="1" t="str">
        <f>HYPERLINK("http://dx.doi.org/10.1016/j.marpolbul.2024.116374","http://dx.doi.org/10.1016/j.marpolbul.2024.116374")</f>
        <v>http://dx.doi.org/10.1016/j.marpolbul.2024.116374</v>
      </c>
      <c r="BG543" s="1" t="s">
        <v>74</v>
      </c>
      <c r="BH543" s="1" t="s">
        <v>9434</v>
      </c>
      <c r="BI543" s="1">
        <v>10</v>
      </c>
      <c r="BJ543" s="1" t="s">
        <v>247</v>
      </c>
      <c r="BK543" s="1" t="s">
        <v>96</v>
      </c>
      <c r="BL543" s="1" t="s">
        <v>248</v>
      </c>
      <c r="BM543" s="1" t="s">
        <v>9435</v>
      </c>
      <c r="BN543" s="1">
        <v>38663344</v>
      </c>
      <c r="BO543" s="1" t="s">
        <v>74</v>
      </c>
      <c r="BP543" s="1" t="s">
        <v>74</v>
      </c>
      <c r="BQ543" s="1" t="s">
        <v>74</v>
      </c>
      <c r="BR543" s="1" t="s">
        <v>98</v>
      </c>
      <c r="BS543" s="1" t="s">
        <v>9436</v>
      </c>
      <c r="BT543" s="1" t="str">
        <f>HYPERLINK("https%3A%2F%2Fwww.webofscience.com%2Fwos%2Fwoscc%2Ffull-record%2FWOS:001217836500001","View Full Record in Web of Science")</f>
        <v>View Full Record in Web of Science</v>
      </c>
    </row>
    <row r="544" spans="1:72">
      <c r="A544" s="1" t="s">
        <v>72</v>
      </c>
      <c r="B544" s="1" t="s">
        <v>9437</v>
      </c>
      <c r="C544" s="1" t="s">
        <v>74</v>
      </c>
      <c r="D544" s="1" t="s">
        <v>74</v>
      </c>
      <c r="E544" s="1" t="s">
        <v>74</v>
      </c>
      <c r="F544" s="1" t="s">
        <v>9438</v>
      </c>
      <c r="G544" s="1" t="s">
        <v>74</v>
      </c>
      <c r="H544" s="1" t="s">
        <v>74</v>
      </c>
      <c r="I544" s="1" t="s">
        <v>9439</v>
      </c>
      <c r="J544" s="1" t="s">
        <v>421</v>
      </c>
      <c r="K544" s="1" t="s">
        <v>74</v>
      </c>
      <c r="L544" s="1" t="s">
        <v>74</v>
      </c>
      <c r="M544" s="1" t="s">
        <v>78</v>
      </c>
      <c r="N544" s="1" t="s">
        <v>79</v>
      </c>
      <c r="O544" s="1" t="s">
        <v>74</v>
      </c>
      <c r="P544" s="1" t="s">
        <v>74</v>
      </c>
      <c r="Q544" s="1" t="s">
        <v>74</v>
      </c>
      <c r="R544" s="1" t="s">
        <v>74</v>
      </c>
      <c r="S544" s="1" t="s">
        <v>74</v>
      </c>
      <c r="T544" s="1" t="s">
        <v>9440</v>
      </c>
      <c r="U544" s="1" t="s">
        <v>9441</v>
      </c>
      <c r="V544" s="1" t="s">
        <v>9442</v>
      </c>
      <c r="W544" s="1" t="s">
        <v>9443</v>
      </c>
      <c r="X544" s="1" t="s">
        <v>9444</v>
      </c>
      <c r="Y544" s="1" t="s">
        <v>9445</v>
      </c>
      <c r="Z544" s="1" t="s">
        <v>9446</v>
      </c>
      <c r="AA544" s="1" t="s">
        <v>74</v>
      </c>
      <c r="AB544" s="1" t="s">
        <v>9447</v>
      </c>
      <c r="AC544" s="1" t="s">
        <v>9448</v>
      </c>
      <c r="AD544" s="1" t="s">
        <v>9448</v>
      </c>
      <c r="AE544" s="1" t="s">
        <v>9449</v>
      </c>
      <c r="AF544" s="1" t="s">
        <v>74</v>
      </c>
      <c r="AG544" s="1">
        <v>61</v>
      </c>
      <c r="AH544" s="1">
        <v>46</v>
      </c>
      <c r="AI544" s="1">
        <v>49</v>
      </c>
      <c r="AJ544" s="1">
        <v>3</v>
      </c>
      <c r="AK544" s="1">
        <v>61</v>
      </c>
      <c r="AL544" s="1" t="s">
        <v>430</v>
      </c>
      <c r="AM544" s="1" t="s">
        <v>137</v>
      </c>
      <c r="AN544" s="1" t="s">
        <v>431</v>
      </c>
      <c r="AO544" s="1" t="s">
        <v>432</v>
      </c>
      <c r="AP544" s="1" t="s">
        <v>1394</v>
      </c>
      <c r="AQ544" s="1" t="s">
        <v>74</v>
      </c>
      <c r="AR544" s="1" t="s">
        <v>433</v>
      </c>
      <c r="AS544" s="1" t="s">
        <v>434</v>
      </c>
      <c r="AT544" s="1" t="s">
        <v>765</v>
      </c>
      <c r="AU544" s="1">
        <v>2013</v>
      </c>
      <c r="AV544" s="1">
        <v>178</v>
      </c>
      <c r="AW544" s="1" t="s">
        <v>74</v>
      </c>
      <c r="AX544" s="1" t="s">
        <v>74</v>
      </c>
      <c r="AY544" s="1" t="s">
        <v>74</v>
      </c>
      <c r="AZ544" s="1" t="s">
        <v>74</v>
      </c>
      <c r="BA544" s="1" t="s">
        <v>74</v>
      </c>
      <c r="BB544" s="1">
        <v>65</v>
      </c>
      <c r="BC544" s="1">
        <v>71</v>
      </c>
      <c r="BD544" s="1" t="s">
        <v>74</v>
      </c>
      <c r="BE544" s="1" t="s">
        <v>9450</v>
      </c>
      <c r="BF544" s="1" t="str">
        <f>HYPERLINK("http://dx.doi.org/10.1016/j.envpol.2013.02.027","http://dx.doi.org/10.1016/j.envpol.2013.02.027")</f>
        <v>http://dx.doi.org/10.1016/j.envpol.2013.02.027</v>
      </c>
      <c r="BG544" s="1" t="s">
        <v>74</v>
      </c>
      <c r="BH544" s="1" t="s">
        <v>74</v>
      </c>
      <c r="BI544" s="1">
        <v>7</v>
      </c>
      <c r="BJ544" s="1" t="s">
        <v>144</v>
      </c>
      <c r="BK544" s="1" t="s">
        <v>96</v>
      </c>
      <c r="BL544" s="1" t="s">
        <v>145</v>
      </c>
      <c r="BM544" s="1" t="s">
        <v>9451</v>
      </c>
      <c r="BN544" s="1">
        <v>23545341</v>
      </c>
      <c r="BO544" s="1" t="s">
        <v>74</v>
      </c>
      <c r="BP544" s="1" t="s">
        <v>74</v>
      </c>
      <c r="BQ544" s="1" t="s">
        <v>74</v>
      </c>
      <c r="BR544" s="1" t="s">
        <v>98</v>
      </c>
      <c r="BS544" s="1" t="s">
        <v>9452</v>
      </c>
      <c r="BT544" s="1" t="str">
        <f>HYPERLINK("https%3A%2F%2Fwww.webofscience.com%2Fwos%2Fwoscc%2Ffull-record%2FWOS:000320487700009","View Full Record in Web of Science")</f>
        <v>View Full Record in Web of Science</v>
      </c>
    </row>
    <row r="545" spans="1:72">
      <c r="A545" s="1" t="s">
        <v>72</v>
      </c>
      <c r="B545" s="1" t="s">
        <v>9453</v>
      </c>
      <c r="C545" s="1" t="s">
        <v>74</v>
      </c>
      <c r="D545" s="1" t="s">
        <v>74</v>
      </c>
      <c r="E545" s="1" t="s">
        <v>74</v>
      </c>
      <c r="F545" s="1" t="s">
        <v>9454</v>
      </c>
      <c r="G545" s="1" t="s">
        <v>74</v>
      </c>
      <c r="H545" s="1" t="s">
        <v>74</v>
      </c>
      <c r="I545" s="1" t="s">
        <v>9455</v>
      </c>
      <c r="J545" s="1" t="s">
        <v>6814</v>
      </c>
      <c r="K545" s="1" t="s">
        <v>74</v>
      </c>
      <c r="L545" s="1" t="s">
        <v>74</v>
      </c>
      <c r="M545" s="1" t="s">
        <v>78</v>
      </c>
      <c r="N545" s="1" t="s">
        <v>151</v>
      </c>
      <c r="O545" s="1" t="s">
        <v>9456</v>
      </c>
      <c r="P545" s="1" t="s">
        <v>9457</v>
      </c>
      <c r="Q545" s="1" t="s">
        <v>9458</v>
      </c>
      <c r="R545" s="1" t="s">
        <v>74</v>
      </c>
      <c r="S545" s="1" t="s">
        <v>9459</v>
      </c>
      <c r="T545" s="1" t="s">
        <v>9460</v>
      </c>
      <c r="U545" s="1" t="s">
        <v>9461</v>
      </c>
      <c r="V545" s="1" t="s">
        <v>9462</v>
      </c>
      <c r="W545" s="1" t="s">
        <v>9463</v>
      </c>
      <c r="X545" s="1" t="s">
        <v>9464</v>
      </c>
      <c r="Y545" s="1" t="s">
        <v>9465</v>
      </c>
      <c r="Z545" s="1" t="s">
        <v>9466</v>
      </c>
      <c r="AA545" s="1" t="s">
        <v>74</v>
      </c>
      <c r="AB545" s="1" t="s">
        <v>9467</v>
      </c>
      <c r="AC545" s="1" t="s">
        <v>74</v>
      </c>
      <c r="AD545" s="1" t="s">
        <v>74</v>
      </c>
      <c r="AE545" s="1" t="s">
        <v>74</v>
      </c>
      <c r="AF545" s="1" t="s">
        <v>74</v>
      </c>
      <c r="AG545" s="1">
        <v>92</v>
      </c>
      <c r="AH545" s="1">
        <v>2</v>
      </c>
      <c r="AI545" s="1">
        <v>3</v>
      </c>
      <c r="AJ545" s="1">
        <v>1</v>
      </c>
      <c r="AK545" s="1">
        <v>41</v>
      </c>
      <c r="AL545" s="1" t="s">
        <v>564</v>
      </c>
      <c r="AM545" s="1" t="s">
        <v>113</v>
      </c>
      <c r="AN545" s="1" t="s">
        <v>565</v>
      </c>
      <c r="AO545" s="1" t="s">
        <v>5318</v>
      </c>
      <c r="AP545" s="1" t="s">
        <v>6827</v>
      </c>
      <c r="AQ545" s="1" t="s">
        <v>74</v>
      </c>
      <c r="AR545" s="1" t="s">
        <v>5319</v>
      </c>
      <c r="AS545" s="1" t="s">
        <v>5320</v>
      </c>
      <c r="AT545" s="1" t="s">
        <v>267</v>
      </c>
      <c r="AU545" s="1">
        <v>2016</v>
      </c>
      <c r="AV545" s="1">
        <v>200</v>
      </c>
      <c r="AW545" s="1" t="s">
        <v>74</v>
      </c>
      <c r="AX545" s="1" t="s">
        <v>74</v>
      </c>
      <c r="AY545" s="1" t="s">
        <v>74</v>
      </c>
      <c r="AZ545" s="1" t="s">
        <v>74</v>
      </c>
      <c r="BA545" s="1" t="s">
        <v>74</v>
      </c>
      <c r="BB545" s="1">
        <v>21</v>
      </c>
      <c r="BC545" s="1">
        <v>34</v>
      </c>
      <c r="BD545" s="1" t="s">
        <v>74</v>
      </c>
      <c r="BE545" s="1" t="s">
        <v>9468</v>
      </c>
      <c r="BF545" s="1" t="str">
        <f>HYPERLINK("http://dx.doi.org/10.1016/j.cbpa.2016.04.012","http://dx.doi.org/10.1016/j.cbpa.2016.04.012")</f>
        <v>http://dx.doi.org/10.1016/j.cbpa.2016.04.012</v>
      </c>
      <c r="BG545" s="1" t="s">
        <v>74</v>
      </c>
      <c r="BH545" s="1" t="s">
        <v>74</v>
      </c>
      <c r="BI545" s="1">
        <v>14</v>
      </c>
      <c r="BJ545" s="1" t="s">
        <v>5322</v>
      </c>
      <c r="BK545" s="1" t="s">
        <v>172</v>
      </c>
      <c r="BL545" s="1" t="s">
        <v>5322</v>
      </c>
      <c r="BM545" s="1" t="s">
        <v>9469</v>
      </c>
      <c r="BN545" s="1">
        <v>27085374</v>
      </c>
      <c r="BO545" s="1" t="s">
        <v>74</v>
      </c>
      <c r="BP545" s="1" t="s">
        <v>74</v>
      </c>
      <c r="BQ545" s="1" t="s">
        <v>74</v>
      </c>
      <c r="BR545" s="1" t="s">
        <v>98</v>
      </c>
      <c r="BS545" s="1" t="s">
        <v>9470</v>
      </c>
      <c r="BT545" s="1" t="str">
        <f>HYPERLINK("https%3A%2F%2Fwww.webofscience.com%2Fwos%2Fwoscc%2Ffull-record%2FWOS:000383936700004","View Full Record in Web of Science")</f>
        <v>View Full Record in Web of Science</v>
      </c>
    </row>
    <row r="546" spans="1:72">
      <c r="A546" s="1" t="s">
        <v>72</v>
      </c>
      <c r="B546" s="1" t="s">
        <v>9471</v>
      </c>
      <c r="C546" s="1" t="s">
        <v>74</v>
      </c>
      <c r="D546" s="1" t="s">
        <v>74</v>
      </c>
      <c r="E546" s="1" t="s">
        <v>74</v>
      </c>
      <c r="F546" s="1" t="s">
        <v>9472</v>
      </c>
      <c r="G546" s="1" t="s">
        <v>74</v>
      </c>
      <c r="H546" s="1" t="s">
        <v>74</v>
      </c>
      <c r="I546" s="1" t="s">
        <v>9473</v>
      </c>
      <c r="J546" s="1" t="s">
        <v>232</v>
      </c>
      <c r="K546" s="1" t="s">
        <v>74</v>
      </c>
      <c r="L546" s="1" t="s">
        <v>74</v>
      </c>
      <c r="M546" s="1" t="s">
        <v>78</v>
      </c>
      <c r="N546" s="1" t="s">
        <v>79</v>
      </c>
      <c r="O546" s="1" t="s">
        <v>74</v>
      </c>
      <c r="P546" s="1" t="s">
        <v>74</v>
      </c>
      <c r="Q546" s="1" t="s">
        <v>74</v>
      </c>
      <c r="R546" s="1" t="s">
        <v>74</v>
      </c>
      <c r="S546" s="1" t="s">
        <v>74</v>
      </c>
      <c r="T546" s="1" t="s">
        <v>9474</v>
      </c>
      <c r="U546" s="1" t="s">
        <v>9475</v>
      </c>
      <c r="V546" s="1" t="s">
        <v>9476</v>
      </c>
      <c r="W546" s="1" t="s">
        <v>9477</v>
      </c>
      <c r="X546" s="1" t="s">
        <v>9478</v>
      </c>
      <c r="Y546" s="1" t="s">
        <v>9479</v>
      </c>
      <c r="Z546" s="1" t="s">
        <v>9480</v>
      </c>
      <c r="AA546" s="1" t="s">
        <v>74</v>
      </c>
      <c r="AB546" s="1" t="s">
        <v>74</v>
      </c>
      <c r="AC546" s="1" t="s">
        <v>9481</v>
      </c>
      <c r="AD546" s="1" t="s">
        <v>9482</v>
      </c>
      <c r="AE546" s="1" t="s">
        <v>9483</v>
      </c>
      <c r="AF546" s="1" t="s">
        <v>74</v>
      </c>
      <c r="AG546" s="1">
        <v>48</v>
      </c>
      <c r="AH546" s="1">
        <v>104</v>
      </c>
      <c r="AI546" s="1">
        <v>109</v>
      </c>
      <c r="AJ546" s="1">
        <v>3</v>
      </c>
      <c r="AK546" s="1">
        <v>111</v>
      </c>
      <c r="AL546" s="1" t="s">
        <v>136</v>
      </c>
      <c r="AM546" s="1" t="s">
        <v>137</v>
      </c>
      <c r="AN546" s="1" t="s">
        <v>138</v>
      </c>
      <c r="AO546" s="1" t="s">
        <v>240</v>
      </c>
      <c r="AP546" s="1" t="s">
        <v>241</v>
      </c>
      <c r="AQ546" s="1" t="s">
        <v>74</v>
      </c>
      <c r="AR546" s="1" t="s">
        <v>242</v>
      </c>
      <c r="AS546" s="1" t="s">
        <v>243</v>
      </c>
      <c r="AT546" s="1" t="s">
        <v>1507</v>
      </c>
      <c r="AU546" s="1">
        <v>2017</v>
      </c>
      <c r="AV546" s="1">
        <v>117</v>
      </c>
      <c r="AW546" s="1" t="s">
        <v>326</v>
      </c>
      <c r="AX546" s="1" t="s">
        <v>74</v>
      </c>
      <c r="AY546" s="1" t="s">
        <v>74</v>
      </c>
      <c r="AZ546" s="1" t="s">
        <v>74</v>
      </c>
      <c r="BA546" s="1" t="s">
        <v>74</v>
      </c>
      <c r="BB546" s="1">
        <v>98</v>
      </c>
      <c r="BC546" s="1">
        <v>110</v>
      </c>
      <c r="BD546" s="1" t="s">
        <v>74</v>
      </c>
      <c r="BE546" s="1" t="s">
        <v>9484</v>
      </c>
      <c r="BF546" s="1" t="str">
        <f>HYPERLINK("http://dx.doi.org/10.1016/j.marpolbul.2017.01.062","http://dx.doi.org/10.1016/j.marpolbul.2017.01.062")</f>
        <v>http://dx.doi.org/10.1016/j.marpolbul.2017.01.062</v>
      </c>
      <c r="BG546" s="1" t="s">
        <v>74</v>
      </c>
      <c r="BH546" s="1" t="s">
        <v>74</v>
      </c>
      <c r="BI546" s="1">
        <v>13</v>
      </c>
      <c r="BJ546" s="1" t="s">
        <v>247</v>
      </c>
      <c r="BK546" s="1" t="s">
        <v>96</v>
      </c>
      <c r="BL546" s="1" t="s">
        <v>248</v>
      </c>
      <c r="BM546" s="1" t="s">
        <v>9485</v>
      </c>
      <c r="BN546" s="1">
        <v>28159333</v>
      </c>
      <c r="BO546" s="1" t="s">
        <v>74</v>
      </c>
      <c r="BP546" s="1" t="s">
        <v>74</v>
      </c>
      <c r="BQ546" s="1" t="s">
        <v>74</v>
      </c>
      <c r="BR546" s="1" t="s">
        <v>98</v>
      </c>
      <c r="BS546" s="1" t="s">
        <v>9486</v>
      </c>
      <c r="BT546" s="1" t="str">
        <f>HYPERLINK("https%3A%2F%2Fwww.webofscience.com%2Fwos%2Fwoscc%2Ffull-record%2FWOS:000399258600024","View Full Record in Web of Science")</f>
        <v>View Full Record in Web of Science</v>
      </c>
    </row>
    <row r="547" spans="1:72">
      <c r="A547" s="1" t="s">
        <v>72</v>
      </c>
      <c r="B547" s="1" t="s">
        <v>9487</v>
      </c>
      <c r="C547" s="1" t="s">
        <v>74</v>
      </c>
      <c r="D547" s="1" t="s">
        <v>74</v>
      </c>
      <c r="E547" s="1" t="s">
        <v>74</v>
      </c>
      <c r="F547" s="1" t="s">
        <v>9487</v>
      </c>
      <c r="G547" s="1" t="s">
        <v>74</v>
      </c>
      <c r="H547" s="1" t="s">
        <v>74</v>
      </c>
      <c r="I547" s="1" t="s">
        <v>9488</v>
      </c>
      <c r="J547" s="1" t="s">
        <v>752</v>
      </c>
      <c r="K547" s="1" t="s">
        <v>74</v>
      </c>
      <c r="L547" s="1" t="s">
        <v>74</v>
      </c>
      <c r="M547" s="1" t="s">
        <v>78</v>
      </c>
      <c r="N547" s="1" t="s">
        <v>151</v>
      </c>
      <c r="O547" s="1" t="s">
        <v>2433</v>
      </c>
      <c r="P547" s="1" t="s">
        <v>2434</v>
      </c>
      <c r="Q547" s="1" t="s">
        <v>2435</v>
      </c>
      <c r="R547" s="1" t="s">
        <v>74</v>
      </c>
      <c r="S547" s="1" t="s">
        <v>74</v>
      </c>
      <c r="T547" s="1" t="s">
        <v>9489</v>
      </c>
      <c r="U547" s="1" t="s">
        <v>9490</v>
      </c>
      <c r="V547" s="1" t="s">
        <v>9491</v>
      </c>
      <c r="W547" s="1" t="s">
        <v>9492</v>
      </c>
      <c r="X547" s="1" t="s">
        <v>9493</v>
      </c>
      <c r="Y547" s="1" t="s">
        <v>9494</v>
      </c>
      <c r="Z547" s="1" t="s">
        <v>9495</v>
      </c>
      <c r="AA547" s="1" t="s">
        <v>9496</v>
      </c>
      <c r="AB547" s="1" t="s">
        <v>9497</v>
      </c>
      <c r="AC547" s="1" t="s">
        <v>74</v>
      </c>
      <c r="AD547" s="1" t="s">
        <v>74</v>
      </c>
      <c r="AE547" s="1" t="s">
        <v>74</v>
      </c>
      <c r="AF547" s="1" t="s">
        <v>74</v>
      </c>
      <c r="AG547" s="1">
        <v>8</v>
      </c>
      <c r="AH547" s="1">
        <v>6</v>
      </c>
      <c r="AI547" s="1">
        <v>8</v>
      </c>
      <c r="AJ547" s="1">
        <v>3</v>
      </c>
      <c r="AK547" s="1">
        <v>5</v>
      </c>
      <c r="AL547" s="1" t="s">
        <v>430</v>
      </c>
      <c r="AM547" s="1" t="s">
        <v>137</v>
      </c>
      <c r="AN547" s="1" t="s">
        <v>431</v>
      </c>
      <c r="AO547" s="1" t="s">
        <v>761</v>
      </c>
      <c r="AP547" s="1" t="s">
        <v>762</v>
      </c>
      <c r="AQ547" s="1" t="s">
        <v>74</v>
      </c>
      <c r="AR547" s="1" t="s">
        <v>763</v>
      </c>
      <c r="AS547" s="1" t="s">
        <v>764</v>
      </c>
      <c r="AT547" s="1" t="s">
        <v>2445</v>
      </c>
      <c r="AU547" s="1">
        <v>2004</v>
      </c>
      <c r="AV547" s="1">
        <v>58</v>
      </c>
      <c r="AW547" s="1" t="s">
        <v>2446</v>
      </c>
      <c r="AX547" s="1" t="s">
        <v>74</v>
      </c>
      <c r="AY547" s="1" t="s">
        <v>74</v>
      </c>
      <c r="AZ547" s="1" t="s">
        <v>74</v>
      </c>
      <c r="BA547" s="1" t="s">
        <v>74</v>
      </c>
      <c r="BB547" s="1">
        <v>671</v>
      </c>
      <c r="BC547" s="1">
        <v>674</v>
      </c>
      <c r="BD547" s="1" t="s">
        <v>74</v>
      </c>
      <c r="BE547" s="1" t="s">
        <v>9498</v>
      </c>
      <c r="BF547" s="1" t="str">
        <f>HYPERLINK("http://dx.doi.org/10.1016/j.marenvres.2004.03.060","http://dx.doi.org/10.1016/j.marenvres.2004.03.060")</f>
        <v>http://dx.doi.org/10.1016/j.marenvres.2004.03.060</v>
      </c>
      <c r="BG547" s="1" t="s">
        <v>74</v>
      </c>
      <c r="BH547" s="1" t="s">
        <v>74</v>
      </c>
      <c r="BI547" s="1">
        <v>4</v>
      </c>
      <c r="BJ547" s="1" t="s">
        <v>768</v>
      </c>
      <c r="BK547" s="1" t="s">
        <v>172</v>
      </c>
      <c r="BL547" s="1" t="s">
        <v>769</v>
      </c>
      <c r="BM547" s="1" t="s">
        <v>2448</v>
      </c>
      <c r="BN547" s="1">
        <v>15178097</v>
      </c>
      <c r="BO547" s="1" t="s">
        <v>74</v>
      </c>
      <c r="BP547" s="1" t="s">
        <v>74</v>
      </c>
      <c r="BQ547" s="1" t="s">
        <v>74</v>
      </c>
      <c r="BR547" s="1" t="s">
        <v>98</v>
      </c>
      <c r="BS547" s="1" t="s">
        <v>9499</v>
      </c>
      <c r="BT547" s="1" t="str">
        <f>HYPERLINK("https%3A%2F%2Fwww.webofscience.com%2Fwos%2Fwoscc%2Ffull-record%2FWOS:000222199100081","View Full Record in Web of Science")</f>
        <v>View Full Record in Web of Science</v>
      </c>
    </row>
    <row r="548" spans="1:72">
      <c r="A548" s="1" t="s">
        <v>72</v>
      </c>
      <c r="B548" s="1" t="s">
        <v>9500</v>
      </c>
      <c r="C548" s="1" t="s">
        <v>74</v>
      </c>
      <c r="D548" s="1" t="s">
        <v>74</v>
      </c>
      <c r="E548" s="1" t="s">
        <v>74</v>
      </c>
      <c r="F548" s="1" t="s">
        <v>9500</v>
      </c>
      <c r="G548" s="1" t="s">
        <v>74</v>
      </c>
      <c r="H548" s="1" t="s">
        <v>74</v>
      </c>
      <c r="I548" s="1" t="s">
        <v>9501</v>
      </c>
      <c r="J548" s="1" t="s">
        <v>9502</v>
      </c>
      <c r="K548" s="1" t="s">
        <v>74</v>
      </c>
      <c r="L548" s="1" t="s">
        <v>74</v>
      </c>
      <c r="M548" s="1" t="s">
        <v>78</v>
      </c>
      <c r="N548" s="1" t="s">
        <v>79</v>
      </c>
      <c r="O548" s="1" t="s">
        <v>74</v>
      </c>
      <c r="P548" s="1" t="s">
        <v>74</v>
      </c>
      <c r="Q548" s="1" t="s">
        <v>74</v>
      </c>
      <c r="R548" s="1" t="s">
        <v>74</v>
      </c>
      <c r="S548" s="1" t="s">
        <v>74</v>
      </c>
      <c r="T548" s="1" t="s">
        <v>9503</v>
      </c>
      <c r="U548" s="1" t="s">
        <v>9504</v>
      </c>
      <c r="V548" s="1" t="s">
        <v>9505</v>
      </c>
      <c r="W548" s="1" t="s">
        <v>9506</v>
      </c>
      <c r="X548" s="1" t="s">
        <v>9507</v>
      </c>
      <c r="Y548" s="1" t="s">
        <v>9508</v>
      </c>
      <c r="Z548" s="1" t="s">
        <v>74</v>
      </c>
      <c r="AA548" s="1" t="s">
        <v>74</v>
      </c>
      <c r="AB548" s="1" t="s">
        <v>74</v>
      </c>
      <c r="AC548" s="1" t="s">
        <v>74</v>
      </c>
      <c r="AD548" s="1" t="s">
        <v>74</v>
      </c>
      <c r="AE548" s="1" t="s">
        <v>74</v>
      </c>
      <c r="AF548" s="1" t="s">
        <v>74</v>
      </c>
      <c r="AG548" s="1">
        <v>37</v>
      </c>
      <c r="AH548" s="1">
        <v>22</v>
      </c>
      <c r="AI548" s="1">
        <v>22</v>
      </c>
      <c r="AJ548" s="1">
        <v>1</v>
      </c>
      <c r="AK548" s="1">
        <v>11</v>
      </c>
      <c r="AL548" s="1" t="s">
        <v>6584</v>
      </c>
      <c r="AM548" s="1" t="s">
        <v>113</v>
      </c>
      <c r="AN548" s="1" t="s">
        <v>2719</v>
      </c>
      <c r="AO548" s="1" t="s">
        <v>9509</v>
      </c>
      <c r="AP548" s="1" t="s">
        <v>74</v>
      </c>
      <c r="AQ548" s="1" t="s">
        <v>74</v>
      </c>
      <c r="AR548" s="1" t="s">
        <v>9510</v>
      </c>
      <c r="AS548" s="1" t="s">
        <v>9511</v>
      </c>
      <c r="AT548" s="1" t="s">
        <v>119</v>
      </c>
      <c r="AU548" s="1">
        <v>1999</v>
      </c>
      <c r="AV548" s="1">
        <v>73</v>
      </c>
      <c r="AW548" s="1">
        <v>6</v>
      </c>
      <c r="AX548" s="1" t="s">
        <v>74</v>
      </c>
      <c r="AY548" s="1" t="s">
        <v>74</v>
      </c>
      <c r="AZ548" s="1" t="s">
        <v>74</v>
      </c>
      <c r="BA548" s="1" t="s">
        <v>74</v>
      </c>
      <c r="BB548" s="1">
        <v>289</v>
      </c>
      <c r="BC548" s="1">
        <v>295</v>
      </c>
      <c r="BD548" s="1" t="s">
        <v>74</v>
      </c>
      <c r="BE548" s="1" t="s">
        <v>9512</v>
      </c>
      <c r="BF548" s="1" t="str">
        <f>HYPERLINK("http://dx.doi.org/10.1007/s002040050620","http://dx.doi.org/10.1007/s002040050620")</f>
        <v>http://dx.doi.org/10.1007/s002040050620</v>
      </c>
      <c r="BG548" s="1" t="s">
        <v>74</v>
      </c>
      <c r="BH548" s="1" t="s">
        <v>74</v>
      </c>
      <c r="BI548" s="1">
        <v>7</v>
      </c>
      <c r="BJ548" s="1" t="s">
        <v>95</v>
      </c>
      <c r="BK548" s="1" t="s">
        <v>96</v>
      </c>
      <c r="BL548" s="1" t="s">
        <v>95</v>
      </c>
      <c r="BM548" s="1" t="s">
        <v>9513</v>
      </c>
      <c r="BN548" s="1">
        <v>10447554</v>
      </c>
      <c r="BO548" s="1" t="s">
        <v>74</v>
      </c>
      <c r="BP548" s="1" t="s">
        <v>74</v>
      </c>
      <c r="BQ548" s="1" t="s">
        <v>74</v>
      </c>
      <c r="BR548" s="1" t="s">
        <v>98</v>
      </c>
      <c r="BS548" s="1" t="s">
        <v>9514</v>
      </c>
      <c r="BT548" s="1" t="str">
        <f>HYPERLINK("https%3A%2F%2Fwww.webofscience.com%2Fwos%2Fwoscc%2Ffull-record%2FWOS:000082294200001","View Full Record in Web of Science")</f>
        <v>View Full Record in Web of Science</v>
      </c>
    </row>
    <row r="549" spans="1:72">
      <c r="A549" s="1" t="s">
        <v>72</v>
      </c>
      <c r="B549" s="1" t="s">
        <v>9515</v>
      </c>
      <c r="C549" s="1" t="s">
        <v>74</v>
      </c>
      <c r="D549" s="1" t="s">
        <v>74</v>
      </c>
      <c r="E549" s="1" t="s">
        <v>74</v>
      </c>
      <c r="F549" s="1" t="s">
        <v>9516</v>
      </c>
      <c r="G549" s="1" t="s">
        <v>74</v>
      </c>
      <c r="H549" s="1" t="s">
        <v>74</v>
      </c>
      <c r="I549" s="1" t="s">
        <v>9517</v>
      </c>
      <c r="J549" s="1" t="s">
        <v>421</v>
      </c>
      <c r="K549" s="1" t="s">
        <v>74</v>
      </c>
      <c r="L549" s="1" t="s">
        <v>74</v>
      </c>
      <c r="M549" s="1" t="s">
        <v>78</v>
      </c>
      <c r="N549" s="1" t="s">
        <v>79</v>
      </c>
      <c r="O549" s="1" t="s">
        <v>74</v>
      </c>
      <c r="P549" s="1" t="s">
        <v>74</v>
      </c>
      <c r="Q549" s="1" t="s">
        <v>74</v>
      </c>
      <c r="R549" s="1" t="s">
        <v>74</v>
      </c>
      <c r="S549" s="1" t="s">
        <v>74</v>
      </c>
      <c r="T549" s="1" t="s">
        <v>9518</v>
      </c>
      <c r="U549" s="1" t="s">
        <v>74</v>
      </c>
      <c r="V549" s="1" t="s">
        <v>9519</v>
      </c>
      <c r="W549" s="1" t="s">
        <v>9520</v>
      </c>
      <c r="X549" s="1" t="s">
        <v>9521</v>
      </c>
      <c r="Y549" s="1" t="s">
        <v>9522</v>
      </c>
      <c r="Z549" s="1" t="s">
        <v>9523</v>
      </c>
      <c r="AA549" s="1" t="s">
        <v>9524</v>
      </c>
      <c r="AB549" s="1" t="s">
        <v>74</v>
      </c>
      <c r="AC549" s="1" t="s">
        <v>9525</v>
      </c>
      <c r="AD549" s="1" t="s">
        <v>9526</v>
      </c>
      <c r="AE549" s="1" t="s">
        <v>9527</v>
      </c>
      <c r="AF549" s="1" t="s">
        <v>74</v>
      </c>
      <c r="AG549" s="1">
        <v>49</v>
      </c>
      <c r="AH549" s="1">
        <v>26</v>
      </c>
      <c r="AI549" s="1">
        <v>27</v>
      </c>
      <c r="AJ549" s="1">
        <v>10</v>
      </c>
      <c r="AK549" s="1">
        <v>133</v>
      </c>
      <c r="AL549" s="1" t="s">
        <v>430</v>
      </c>
      <c r="AM549" s="1" t="s">
        <v>137</v>
      </c>
      <c r="AN549" s="1" t="s">
        <v>431</v>
      </c>
      <c r="AO549" s="1" t="s">
        <v>432</v>
      </c>
      <c r="AP549" s="1" t="s">
        <v>1394</v>
      </c>
      <c r="AQ549" s="1" t="s">
        <v>74</v>
      </c>
      <c r="AR549" s="1" t="s">
        <v>433</v>
      </c>
      <c r="AS549" s="1" t="s">
        <v>434</v>
      </c>
      <c r="AT549" s="1" t="s">
        <v>1507</v>
      </c>
      <c r="AU549" s="1">
        <v>2021</v>
      </c>
      <c r="AV549" s="1">
        <v>275</v>
      </c>
      <c r="AW549" s="1" t="s">
        <v>74</v>
      </c>
      <c r="AX549" s="1" t="s">
        <v>74</v>
      </c>
      <c r="AY549" s="1" t="s">
        <v>74</v>
      </c>
      <c r="AZ549" s="1" t="s">
        <v>74</v>
      </c>
      <c r="BA549" s="1" t="s">
        <v>74</v>
      </c>
      <c r="BB549" s="1" t="s">
        <v>74</v>
      </c>
      <c r="BC549" s="1" t="s">
        <v>74</v>
      </c>
      <c r="BD549" s="1">
        <v>116564</v>
      </c>
      <c r="BE549" s="1" t="s">
        <v>9528</v>
      </c>
      <c r="BF549" s="1" t="str">
        <f>HYPERLINK("http://dx.doi.org/10.1016/j.envpol.2021.116564","http://dx.doi.org/10.1016/j.envpol.2021.116564")</f>
        <v>http://dx.doi.org/10.1016/j.envpol.2021.116564</v>
      </c>
      <c r="BG549" s="1" t="s">
        <v>74</v>
      </c>
      <c r="BH549" s="1" t="s">
        <v>4518</v>
      </c>
      <c r="BI549" s="1">
        <v>9</v>
      </c>
      <c r="BJ549" s="1" t="s">
        <v>144</v>
      </c>
      <c r="BK549" s="1" t="s">
        <v>96</v>
      </c>
      <c r="BL549" s="1" t="s">
        <v>145</v>
      </c>
      <c r="BM549" s="1" t="s">
        <v>9529</v>
      </c>
      <c r="BN549" s="1">
        <v>33581637</v>
      </c>
      <c r="BO549" s="1" t="s">
        <v>74</v>
      </c>
      <c r="BP549" s="1" t="s">
        <v>74</v>
      </c>
      <c r="BQ549" s="1" t="s">
        <v>74</v>
      </c>
      <c r="BR549" s="1" t="s">
        <v>98</v>
      </c>
      <c r="BS549" s="1" t="s">
        <v>9530</v>
      </c>
      <c r="BT549" s="1" t="str">
        <f>HYPERLINK("https%3A%2F%2Fwww.webofscience.com%2Fwos%2Fwoscc%2Ffull-record%2FWOS:000625380600016","View Full Record in Web of Science")</f>
        <v>View Full Record in Web of Science</v>
      </c>
    </row>
    <row r="550" spans="1:72">
      <c r="A550" s="1" t="s">
        <v>72</v>
      </c>
      <c r="B550" s="1" t="s">
        <v>9531</v>
      </c>
      <c r="C550" s="1" t="s">
        <v>74</v>
      </c>
      <c r="D550" s="1" t="s">
        <v>74</v>
      </c>
      <c r="E550" s="1" t="s">
        <v>74</v>
      </c>
      <c r="F550" s="1" t="s">
        <v>9532</v>
      </c>
      <c r="G550" s="1" t="s">
        <v>74</v>
      </c>
      <c r="H550" s="1" t="s">
        <v>74</v>
      </c>
      <c r="I550" s="1" t="s">
        <v>9533</v>
      </c>
      <c r="J550" s="1" t="s">
        <v>752</v>
      </c>
      <c r="K550" s="1" t="s">
        <v>74</v>
      </c>
      <c r="L550" s="1" t="s">
        <v>74</v>
      </c>
      <c r="M550" s="1" t="s">
        <v>78</v>
      </c>
      <c r="N550" s="1" t="s">
        <v>79</v>
      </c>
      <c r="O550" s="1" t="s">
        <v>74</v>
      </c>
      <c r="P550" s="1" t="s">
        <v>74</v>
      </c>
      <c r="Q550" s="1" t="s">
        <v>74</v>
      </c>
      <c r="R550" s="1" t="s">
        <v>74</v>
      </c>
      <c r="S550" s="1" t="s">
        <v>74</v>
      </c>
      <c r="T550" s="1" t="s">
        <v>9534</v>
      </c>
      <c r="U550" s="1" t="s">
        <v>9535</v>
      </c>
      <c r="V550" s="1" t="s">
        <v>9536</v>
      </c>
      <c r="W550" s="1" t="s">
        <v>9537</v>
      </c>
      <c r="X550" s="1" t="s">
        <v>9538</v>
      </c>
      <c r="Y550" s="1" t="s">
        <v>9539</v>
      </c>
      <c r="Z550" s="1" t="s">
        <v>3709</v>
      </c>
      <c r="AA550" s="1" t="s">
        <v>9540</v>
      </c>
      <c r="AB550" s="1" t="s">
        <v>74</v>
      </c>
      <c r="AC550" s="1" t="s">
        <v>9541</v>
      </c>
      <c r="AD550" s="1" t="s">
        <v>9352</v>
      </c>
      <c r="AE550" s="1" t="s">
        <v>9542</v>
      </c>
      <c r="AF550" s="1" t="s">
        <v>74</v>
      </c>
      <c r="AG550" s="1">
        <v>79</v>
      </c>
      <c r="AH550" s="1">
        <v>8</v>
      </c>
      <c r="AI550" s="1">
        <v>8</v>
      </c>
      <c r="AJ550" s="1">
        <v>9</v>
      </c>
      <c r="AK550" s="1">
        <v>28</v>
      </c>
      <c r="AL550" s="1" t="s">
        <v>430</v>
      </c>
      <c r="AM550" s="1" t="s">
        <v>137</v>
      </c>
      <c r="AN550" s="1" t="s">
        <v>431</v>
      </c>
      <c r="AO550" s="1" t="s">
        <v>761</v>
      </c>
      <c r="AP550" s="1" t="s">
        <v>762</v>
      </c>
      <c r="AQ550" s="1" t="s">
        <v>74</v>
      </c>
      <c r="AR550" s="1" t="s">
        <v>763</v>
      </c>
      <c r="AS550" s="1" t="s">
        <v>764</v>
      </c>
      <c r="AT550" s="1" t="s">
        <v>224</v>
      </c>
      <c r="AU550" s="1">
        <v>2023</v>
      </c>
      <c r="AV550" s="1">
        <v>184</v>
      </c>
      <c r="AW550" s="1" t="s">
        <v>74</v>
      </c>
      <c r="AX550" s="1" t="s">
        <v>74</v>
      </c>
      <c r="AY550" s="1" t="s">
        <v>74</v>
      </c>
      <c r="AZ550" s="1" t="s">
        <v>74</v>
      </c>
      <c r="BA550" s="1" t="s">
        <v>74</v>
      </c>
      <c r="BB550" s="1" t="s">
        <v>74</v>
      </c>
      <c r="BC550" s="1" t="s">
        <v>74</v>
      </c>
      <c r="BD550" s="1">
        <v>105872</v>
      </c>
      <c r="BE550" s="1" t="s">
        <v>9543</v>
      </c>
      <c r="BF550" s="1" t="str">
        <f>HYPERLINK("http://dx.doi.org/10.1016/j.marenvres.2022.105872","http://dx.doi.org/10.1016/j.marenvres.2022.105872")</f>
        <v>http://dx.doi.org/10.1016/j.marenvres.2022.105872</v>
      </c>
      <c r="BG550" s="1" t="s">
        <v>74</v>
      </c>
      <c r="BH550" s="1" t="s">
        <v>2057</v>
      </c>
      <c r="BI550" s="1">
        <v>11</v>
      </c>
      <c r="BJ550" s="1" t="s">
        <v>768</v>
      </c>
      <c r="BK550" s="1" t="s">
        <v>96</v>
      </c>
      <c r="BL550" s="1" t="s">
        <v>769</v>
      </c>
      <c r="BM550" s="1" t="s">
        <v>9544</v>
      </c>
      <c r="BN550" s="1">
        <v>36621131</v>
      </c>
      <c r="BO550" s="1" t="s">
        <v>74</v>
      </c>
      <c r="BP550" s="1" t="s">
        <v>74</v>
      </c>
      <c r="BQ550" s="1" t="s">
        <v>74</v>
      </c>
      <c r="BR550" s="1" t="s">
        <v>98</v>
      </c>
      <c r="BS550" s="1" t="s">
        <v>9545</v>
      </c>
      <c r="BT550" s="1" t="str">
        <f>HYPERLINK("https%3A%2F%2Fwww.webofscience.com%2Fwos%2Fwoscc%2Ffull-record%2FWOS:000923651600001","View Full Record in Web of Science")</f>
        <v>View Full Record in Web of Science</v>
      </c>
    </row>
    <row r="551" spans="1:72">
      <c r="A551" s="1" t="s">
        <v>72</v>
      </c>
      <c r="B551" s="1" t="s">
        <v>9546</v>
      </c>
      <c r="C551" s="1" t="s">
        <v>74</v>
      </c>
      <c r="D551" s="1" t="s">
        <v>74</v>
      </c>
      <c r="E551" s="1" t="s">
        <v>74</v>
      </c>
      <c r="F551" s="1" t="s">
        <v>9546</v>
      </c>
      <c r="G551" s="1" t="s">
        <v>74</v>
      </c>
      <c r="H551" s="1" t="s">
        <v>74</v>
      </c>
      <c r="I551" s="1" t="s">
        <v>9547</v>
      </c>
      <c r="J551" s="1" t="s">
        <v>752</v>
      </c>
      <c r="K551" s="1" t="s">
        <v>74</v>
      </c>
      <c r="L551" s="1" t="s">
        <v>74</v>
      </c>
      <c r="M551" s="1" t="s">
        <v>78</v>
      </c>
      <c r="N551" s="1" t="s">
        <v>151</v>
      </c>
      <c r="O551" s="1" t="s">
        <v>9548</v>
      </c>
      <c r="P551" s="1" t="s">
        <v>9549</v>
      </c>
      <c r="Q551" s="1" t="s">
        <v>9550</v>
      </c>
      <c r="R551" s="1" t="s">
        <v>74</v>
      </c>
      <c r="S551" s="1" t="s">
        <v>9551</v>
      </c>
      <c r="T551" s="1" t="s">
        <v>9552</v>
      </c>
      <c r="U551" s="1" t="s">
        <v>9553</v>
      </c>
      <c r="V551" s="1" t="s">
        <v>9554</v>
      </c>
      <c r="W551" s="1" t="s">
        <v>9555</v>
      </c>
      <c r="X551" s="1" t="s">
        <v>9556</v>
      </c>
      <c r="Y551" s="1" t="s">
        <v>9557</v>
      </c>
      <c r="Z551" s="1" t="s">
        <v>74</v>
      </c>
      <c r="AA551" s="1" t="s">
        <v>74</v>
      </c>
      <c r="AB551" s="1" t="s">
        <v>74</v>
      </c>
      <c r="AC551" s="1" t="s">
        <v>74</v>
      </c>
      <c r="AD551" s="1" t="s">
        <v>74</v>
      </c>
      <c r="AE551" s="1" t="s">
        <v>74</v>
      </c>
      <c r="AF551" s="1" t="s">
        <v>74</v>
      </c>
      <c r="AG551" s="1">
        <v>9</v>
      </c>
      <c r="AH551" s="1">
        <v>8</v>
      </c>
      <c r="AI551" s="1">
        <v>9</v>
      </c>
      <c r="AJ551" s="1">
        <v>1</v>
      </c>
      <c r="AK551" s="1">
        <v>9</v>
      </c>
      <c r="AL551" s="1" t="s">
        <v>430</v>
      </c>
      <c r="AM551" s="1" t="s">
        <v>137</v>
      </c>
      <c r="AN551" s="1" t="s">
        <v>431</v>
      </c>
      <c r="AO551" s="1" t="s">
        <v>761</v>
      </c>
      <c r="AP551" s="1" t="s">
        <v>74</v>
      </c>
      <c r="AQ551" s="1" t="s">
        <v>74</v>
      </c>
      <c r="AR551" s="1" t="s">
        <v>763</v>
      </c>
      <c r="AS551" s="1" t="s">
        <v>764</v>
      </c>
      <c r="AT551" s="1" t="s">
        <v>5113</v>
      </c>
      <c r="AU551" s="1">
        <v>2000</v>
      </c>
      <c r="AV551" s="1">
        <v>50</v>
      </c>
      <c r="AW551" s="1" t="s">
        <v>9558</v>
      </c>
      <c r="AX551" s="1" t="s">
        <v>74</v>
      </c>
      <c r="AY551" s="1" t="s">
        <v>74</v>
      </c>
      <c r="AZ551" s="1" t="s">
        <v>74</v>
      </c>
      <c r="BA551" s="1" t="s">
        <v>74</v>
      </c>
      <c r="BB551" s="1">
        <v>99</v>
      </c>
      <c r="BC551" s="1">
        <v>102</v>
      </c>
      <c r="BD551" s="1" t="s">
        <v>74</v>
      </c>
      <c r="BE551" s="1" t="s">
        <v>9559</v>
      </c>
      <c r="BF551" s="1" t="str">
        <f>HYPERLINK("http://dx.doi.org/10.1016/S0141-1136(00)00097-0","http://dx.doi.org/10.1016/S0141-1136(00)00097-0")</f>
        <v>http://dx.doi.org/10.1016/S0141-1136(00)00097-0</v>
      </c>
      <c r="BG551" s="1" t="s">
        <v>74</v>
      </c>
      <c r="BH551" s="1" t="s">
        <v>74</v>
      </c>
      <c r="BI551" s="1">
        <v>4</v>
      </c>
      <c r="BJ551" s="1" t="s">
        <v>768</v>
      </c>
      <c r="BK551" s="1" t="s">
        <v>588</v>
      </c>
      <c r="BL551" s="1" t="s">
        <v>769</v>
      </c>
      <c r="BM551" s="1" t="s">
        <v>9560</v>
      </c>
      <c r="BN551" s="1">
        <v>11460758</v>
      </c>
      <c r="BO551" s="1" t="s">
        <v>74</v>
      </c>
      <c r="BP551" s="1" t="s">
        <v>74</v>
      </c>
      <c r="BQ551" s="1" t="s">
        <v>74</v>
      </c>
      <c r="BR551" s="1" t="s">
        <v>98</v>
      </c>
      <c r="BS551" s="1" t="s">
        <v>9561</v>
      </c>
      <c r="BT551" s="1" t="str">
        <f>HYPERLINK("https%3A%2F%2Fwww.webofscience.com%2Fwos%2Fwoscc%2Ffull-record%2FWOS:000165486700018","View Full Record in Web of Science")</f>
        <v>View Full Record in Web of Science</v>
      </c>
    </row>
    <row r="552" spans="1:72">
      <c r="A552" s="1" t="s">
        <v>72</v>
      </c>
      <c r="B552" s="1" t="s">
        <v>9562</v>
      </c>
      <c r="C552" s="1" t="s">
        <v>74</v>
      </c>
      <c r="D552" s="1" t="s">
        <v>74</v>
      </c>
      <c r="E552" s="1" t="s">
        <v>74</v>
      </c>
      <c r="F552" s="1" t="s">
        <v>9563</v>
      </c>
      <c r="G552" s="1" t="s">
        <v>74</v>
      </c>
      <c r="H552" s="1" t="s">
        <v>74</v>
      </c>
      <c r="I552" s="1" t="s">
        <v>9564</v>
      </c>
      <c r="J552" s="1" t="s">
        <v>9565</v>
      </c>
      <c r="K552" s="1" t="s">
        <v>74</v>
      </c>
      <c r="L552" s="1" t="s">
        <v>74</v>
      </c>
      <c r="M552" s="1" t="s">
        <v>78</v>
      </c>
      <c r="N552" s="1" t="s">
        <v>79</v>
      </c>
      <c r="O552" s="1" t="s">
        <v>74</v>
      </c>
      <c r="P552" s="1" t="s">
        <v>74</v>
      </c>
      <c r="Q552" s="1" t="s">
        <v>74</v>
      </c>
      <c r="R552" s="1" t="s">
        <v>74</v>
      </c>
      <c r="S552" s="1" t="s">
        <v>74</v>
      </c>
      <c r="T552" s="1" t="s">
        <v>9566</v>
      </c>
      <c r="U552" s="1" t="s">
        <v>74</v>
      </c>
      <c r="V552" s="1" t="s">
        <v>9567</v>
      </c>
      <c r="W552" s="1" t="s">
        <v>9568</v>
      </c>
      <c r="X552" s="1" t="s">
        <v>9569</v>
      </c>
      <c r="Y552" s="1" t="s">
        <v>9570</v>
      </c>
      <c r="Z552" s="1" t="s">
        <v>9571</v>
      </c>
      <c r="AA552" s="1" t="s">
        <v>9572</v>
      </c>
      <c r="AB552" s="1" t="s">
        <v>9573</v>
      </c>
      <c r="AC552" s="1" t="s">
        <v>9574</v>
      </c>
      <c r="AD552" s="1" t="s">
        <v>9574</v>
      </c>
      <c r="AE552" s="1" t="s">
        <v>9575</v>
      </c>
      <c r="AF552" s="1" t="s">
        <v>74</v>
      </c>
      <c r="AG552" s="1">
        <v>61</v>
      </c>
      <c r="AH552" s="1">
        <v>5</v>
      </c>
      <c r="AI552" s="1">
        <v>5</v>
      </c>
      <c r="AJ552" s="1">
        <v>1</v>
      </c>
      <c r="AK552" s="1">
        <v>7</v>
      </c>
      <c r="AL552" s="1" t="s">
        <v>564</v>
      </c>
      <c r="AM552" s="1" t="s">
        <v>113</v>
      </c>
      <c r="AN552" s="1" t="s">
        <v>807</v>
      </c>
      <c r="AO552" s="1" t="s">
        <v>9576</v>
      </c>
      <c r="AP552" s="1" t="s">
        <v>9577</v>
      </c>
      <c r="AQ552" s="1" t="s">
        <v>74</v>
      </c>
      <c r="AR552" s="1" t="s">
        <v>9578</v>
      </c>
      <c r="AS552" s="1" t="s">
        <v>9579</v>
      </c>
      <c r="AT552" s="1" t="s">
        <v>1223</v>
      </c>
      <c r="AU552" s="1">
        <v>2021</v>
      </c>
      <c r="AV552" s="1">
        <v>37</v>
      </c>
      <c r="AW552" s="1" t="s">
        <v>74</v>
      </c>
      <c r="AX552" s="1" t="s">
        <v>74</v>
      </c>
      <c r="AY552" s="1" t="s">
        <v>74</v>
      </c>
      <c r="AZ552" s="1" t="s">
        <v>74</v>
      </c>
      <c r="BA552" s="1" t="s">
        <v>74</v>
      </c>
      <c r="BB552" s="1" t="s">
        <v>74</v>
      </c>
      <c r="BC552" s="1" t="s">
        <v>74</v>
      </c>
      <c r="BD552" s="1">
        <v>100779</v>
      </c>
      <c r="BE552" s="1" t="s">
        <v>9580</v>
      </c>
      <c r="BF552" s="1" t="str">
        <f>HYPERLINK("http://dx.doi.org/10.1016/j.cbd.2020.100779","http://dx.doi.org/10.1016/j.cbd.2020.100779")</f>
        <v>http://dx.doi.org/10.1016/j.cbd.2020.100779</v>
      </c>
      <c r="BG552" s="1" t="s">
        <v>74</v>
      </c>
      <c r="BH552" s="1" t="s">
        <v>74</v>
      </c>
      <c r="BI552" s="1">
        <v>9</v>
      </c>
      <c r="BJ552" s="1" t="s">
        <v>9581</v>
      </c>
      <c r="BK552" s="1" t="s">
        <v>96</v>
      </c>
      <c r="BL552" s="1" t="s">
        <v>9581</v>
      </c>
      <c r="BM552" s="1" t="s">
        <v>9582</v>
      </c>
      <c r="BN552" s="1">
        <v>33360397</v>
      </c>
      <c r="BO552" s="1" t="s">
        <v>9583</v>
      </c>
      <c r="BP552" s="1" t="s">
        <v>74</v>
      </c>
      <c r="BQ552" s="1" t="s">
        <v>74</v>
      </c>
      <c r="BR552" s="1" t="s">
        <v>98</v>
      </c>
      <c r="BS552" s="1" t="s">
        <v>9584</v>
      </c>
      <c r="BT552" s="1" t="str">
        <f>HYPERLINK("https%3A%2F%2Fwww.webofscience.com%2Fwos%2Fwoscc%2Ffull-record%2FWOS:000624341400004","View Full Record in Web of Science")</f>
        <v>View Full Record in Web of Science</v>
      </c>
    </row>
    <row r="553" spans="1:72">
      <c r="A553" s="1" t="s">
        <v>72</v>
      </c>
      <c r="B553" s="1" t="s">
        <v>9585</v>
      </c>
      <c r="C553" s="1" t="s">
        <v>74</v>
      </c>
      <c r="D553" s="1" t="s">
        <v>74</v>
      </c>
      <c r="E553" s="1" t="s">
        <v>74</v>
      </c>
      <c r="F553" s="1" t="s">
        <v>9585</v>
      </c>
      <c r="G553" s="1" t="s">
        <v>74</v>
      </c>
      <c r="H553" s="1" t="s">
        <v>74</v>
      </c>
      <c r="I553" s="1" t="s">
        <v>9586</v>
      </c>
      <c r="J553" s="1" t="s">
        <v>909</v>
      </c>
      <c r="K553" s="1" t="s">
        <v>74</v>
      </c>
      <c r="L553" s="1" t="s">
        <v>74</v>
      </c>
      <c r="M553" s="1" t="s">
        <v>78</v>
      </c>
      <c r="N553" s="1" t="s">
        <v>79</v>
      </c>
      <c r="O553" s="1" t="s">
        <v>74</v>
      </c>
      <c r="P553" s="1" t="s">
        <v>74</v>
      </c>
      <c r="Q553" s="1" t="s">
        <v>74</v>
      </c>
      <c r="R553" s="1" t="s">
        <v>74</v>
      </c>
      <c r="S553" s="1" t="s">
        <v>74</v>
      </c>
      <c r="T553" s="1" t="s">
        <v>9587</v>
      </c>
      <c r="U553" s="1" t="s">
        <v>9588</v>
      </c>
      <c r="V553" s="1" t="s">
        <v>9589</v>
      </c>
      <c r="W553" s="1" t="s">
        <v>74</v>
      </c>
      <c r="X553" s="1" t="s">
        <v>74</v>
      </c>
      <c r="Y553" s="1" t="s">
        <v>9590</v>
      </c>
      <c r="Z553" s="1" t="s">
        <v>74</v>
      </c>
      <c r="AA553" s="1" t="s">
        <v>74</v>
      </c>
      <c r="AB553" s="1" t="s">
        <v>74</v>
      </c>
      <c r="AC553" s="1" t="s">
        <v>74</v>
      </c>
      <c r="AD553" s="1" t="s">
        <v>74</v>
      </c>
      <c r="AE553" s="1" t="s">
        <v>74</v>
      </c>
      <c r="AF553" s="1" t="s">
        <v>74</v>
      </c>
      <c r="AG553" s="1">
        <v>49</v>
      </c>
      <c r="AH553" s="1">
        <v>245</v>
      </c>
      <c r="AI553" s="1">
        <v>279</v>
      </c>
      <c r="AJ553" s="1">
        <v>2</v>
      </c>
      <c r="AK553" s="1">
        <v>50</v>
      </c>
      <c r="AL553" s="1" t="s">
        <v>919</v>
      </c>
      <c r="AM553" s="1" t="s">
        <v>651</v>
      </c>
      <c r="AN553" s="1" t="s">
        <v>920</v>
      </c>
      <c r="AO553" s="1" t="s">
        <v>921</v>
      </c>
      <c r="AP553" s="1" t="s">
        <v>74</v>
      </c>
      <c r="AQ553" s="1" t="s">
        <v>74</v>
      </c>
      <c r="AR553" s="1" t="s">
        <v>923</v>
      </c>
      <c r="AS553" s="1" t="s">
        <v>924</v>
      </c>
      <c r="AT553" s="1" t="s">
        <v>1856</v>
      </c>
      <c r="AU553" s="1">
        <v>1996</v>
      </c>
      <c r="AV553" s="1">
        <v>187</v>
      </c>
      <c r="AW553" s="1">
        <v>1</v>
      </c>
      <c r="AX553" s="1" t="s">
        <v>74</v>
      </c>
      <c r="AY553" s="1" t="s">
        <v>74</v>
      </c>
      <c r="AZ553" s="1" t="s">
        <v>74</v>
      </c>
      <c r="BA553" s="1" t="s">
        <v>74</v>
      </c>
      <c r="BB553" s="1">
        <v>19</v>
      </c>
      <c r="BC553" s="1">
        <v>56</v>
      </c>
      <c r="BD553" s="1" t="s">
        <v>74</v>
      </c>
      <c r="BE553" s="1" t="s">
        <v>9591</v>
      </c>
      <c r="BF553" s="1" t="str">
        <f>HYPERLINK("http://dx.doi.org/10.1016/0048-9697(96)05128-5","http://dx.doi.org/10.1016/0048-9697(96)05128-5")</f>
        <v>http://dx.doi.org/10.1016/0048-9697(96)05128-5</v>
      </c>
      <c r="BG553" s="1" t="s">
        <v>74</v>
      </c>
      <c r="BH553" s="1" t="s">
        <v>74</v>
      </c>
      <c r="BI553" s="1">
        <v>38</v>
      </c>
      <c r="BJ553" s="1" t="s">
        <v>144</v>
      </c>
      <c r="BK553" s="1" t="s">
        <v>96</v>
      </c>
      <c r="BL553" s="1" t="s">
        <v>145</v>
      </c>
      <c r="BM553" s="1" t="s">
        <v>9592</v>
      </c>
      <c r="BN553" s="1" t="s">
        <v>74</v>
      </c>
      <c r="BO553" s="1" t="s">
        <v>74</v>
      </c>
      <c r="BP553" s="1" t="s">
        <v>74</v>
      </c>
      <c r="BQ553" s="1" t="s">
        <v>74</v>
      </c>
      <c r="BR553" s="1" t="s">
        <v>98</v>
      </c>
      <c r="BS553" s="1" t="s">
        <v>9593</v>
      </c>
      <c r="BT553" s="1" t="str">
        <f>HYPERLINK("https%3A%2F%2Fwww.webofscience.com%2Fwos%2Fwoscc%2Ffull-record%2FWOS:A1996UV65800003","View Full Record in Web of Science")</f>
        <v>View Full Record in Web of Science</v>
      </c>
    </row>
    <row r="554" spans="1:72">
      <c r="A554" s="1" t="s">
        <v>72</v>
      </c>
      <c r="B554" s="1" t="s">
        <v>9594</v>
      </c>
      <c r="C554" s="1" t="s">
        <v>74</v>
      </c>
      <c r="D554" s="1" t="s">
        <v>74</v>
      </c>
      <c r="E554" s="1" t="s">
        <v>74</v>
      </c>
      <c r="F554" s="1" t="s">
        <v>9595</v>
      </c>
      <c r="G554" s="1" t="s">
        <v>74</v>
      </c>
      <c r="H554" s="1" t="s">
        <v>74</v>
      </c>
      <c r="I554" s="1" t="s">
        <v>9596</v>
      </c>
      <c r="J554" s="1" t="s">
        <v>232</v>
      </c>
      <c r="K554" s="1" t="s">
        <v>74</v>
      </c>
      <c r="L554" s="1" t="s">
        <v>74</v>
      </c>
      <c r="M554" s="1" t="s">
        <v>78</v>
      </c>
      <c r="N554" s="1" t="s">
        <v>79</v>
      </c>
      <c r="O554" s="1" t="s">
        <v>74</v>
      </c>
      <c r="P554" s="1" t="s">
        <v>74</v>
      </c>
      <c r="Q554" s="1" t="s">
        <v>74</v>
      </c>
      <c r="R554" s="1" t="s">
        <v>74</v>
      </c>
      <c r="S554" s="1" t="s">
        <v>74</v>
      </c>
      <c r="T554" s="1" t="s">
        <v>9597</v>
      </c>
      <c r="U554" s="1" t="s">
        <v>9598</v>
      </c>
      <c r="V554" s="1" t="s">
        <v>9599</v>
      </c>
      <c r="W554" s="1" t="s">
        <v>9600</v>
      </c>
      <c r="X554" s="1" t="s">
        <v>4868</v>
      </c>
      <c r="Y554" s="1" t="s">
        <v>9601</v>
      </c>
      <c r="Z554" s="1" t="s">
        <v>9602</v>
      </c>
      <c r="AA554" s="1" t="s">
        <v>74</v>
      </c>
      <c r="AB554" s="1" t="s">
        <v>74</v>
      </c>
      <c r="AC554" s="1" t="s">
        <v>9603</v>
      </c>
      <c r="AD554" s="1" t="s">
        <v>9604</v>
      </c>
      <c r="AE554" s="1" t="s">
        <v>9605</v>
      </c>
      <c r="AF554" s="1" t="s">
        <v>74</v>
      </c>
      <c r="AG554" s="1">
        <v>91</v>
      </c>
      <c r="AH554" s="1">
        <v>42</v>
      </c>
      <c r="AI554" s="1">
        <v>42</v>
      </c>
      <c r="AJ554" s="1">
        <v>1</v>
      </c>
      <c r="AK554" s="1">
        <v>18</v>
      </c>
      <c r="AL554" s="1" t="s">
        <v>136</v>
      </c>
      <c r="AM554" s="1" t="s">
        <v>137</v>
      </c>
      <c r="AN554" s="1" t="s">
        <v>138</v>
      </c>
      <c r="AO554" s="1" t="s">
        <v>240</v>
      </c>
      <c r="AP554" s="1" t="s">
        <v>241</v>
      </c>
      <c r="AQ554" s="1" t="s">
        <v>74</v>
      </c>
      <c r="AR554" s="1" t="s">
        <v>242</v>
      </c>
      <c r="AS554" s="1" t="s">
        <v>243</v>
      </c>
      <c r="AT554" s="1" t="s">
        <v>387</v>
      </c>
      <c r="AU554" s="1">
        <v>2017</v>
      </c>
      <c r="AV554" s="1">
        <v>118</v>
      </c>
      <c r="AW554" s="1" t="s">
        <v>326</v>
      </c>
      <c r="AX554" s="1" t="s">
        <v>74</v>
      </c>
      <c r="AY554" s="1" t="s">
        <v>74</v>
      </c>
      <c r="AZ554" s="1" t="s">
        <v>74</v>
      </c>
      <c r="BA554" s="1" t="s">
        <v>74</v>
      </c>
      <c r="BB554" s="1">
        <v>452</v>
      </c>
      <c r="BC554" s="1">
        <v>458</v>
      </c>
      <c r="BD554" s="1" t="s">
        <v>74</v>
      </c>
      <c r="BE554" s="1" t="s">
        <v>9606</v>
      </c>
      <c r="BF554" s="1" t="str">
        <f>HYPERLINK("http://dx.doi.org/10.1016/j.marpolbul.2017.03.029","http://dx.doi.org/10.1016/j.marpolbul.2017.03.029")</f>
        <v>http://dx.doi.org/10.1016/j.marpolbul.2017.03.029</v>
      </c>
      <c r="BG554" s="1" t="s">
        <v>74</v>
      </c>
      <c r="BH554" s="1" t="s">
        <v>74</v>
      </c>
      <c r="BI554" s="1">
        <v>7</v>
      </c>
      <c r="BJ554" s="1" t="s">
        <v>247</v>
      </c>
      <c r="BK554" s="1" t="s">
        <v>96</v>
      </c>
      <c r="BL554" s="1" t="s">
        <v>248</v>
      </c>
      <c r="BM554" s="1" t="s">
        <v>389</v>
      </c>
      <c r="BN554" s="1">
        <v>28336207</v>
      </c>
      <c r="BO554" s="1" t="s">
        <v>74</v>
      </c>
      <c r="BP554" s="1" t="s">
        <v>74</v>
      </c>
      <c r="BQ554" s="1" t="s">
        <v>74</v>
      </c>
      <c r="BR554" s="1" t="s">
        <v>98</v>
      </c>
      <c r="BS554" s="1" t="s">
        <v>9607</v>
      </c>
      <c r="BT554" s="1" t="str">
        <f>HYPERLINK("https%3A%2F%2Fwww.webofscience.com%2Fwos%2Fwoscc%2Ffull-record%2FWOS:000402217300068","View Full Record in Web of Science")</f>
        <v>View Full Record in Web of Science</v>
      </c>
    </row>
    <row r="555" spans="1:72">
      <c r="A555" s="1" t="s">
        <v>72</v>
      </c>
      <c r="B555" s="1" t="s">
        <v>9608</v>
      </c>
      <c r="C555" s="1" t="s">
        <v>74</v>
      </c>
      <c r="D555" s="1" t="s">
        <v>74</v>
      </c>
      <c r="E555" s="1" t="s">
        <v>74</v>
      </c>
      <c r="F555" s="1" t="s">
        <v>9608</v>
      </c>
      <c r="G555" s="1" t="s">
        <v>74</v>
      </c>
      <c r="H555" s="1" t="s">
        <v>74</v>
      </c>
      <c r="I555" s="1" t="s">
        <v>9609</v>
      </c>
      <c r="J555" s="1" t="s">
        <v>2323</v>
      </c>
      <c r="K555" s="1" t="s">
        <v>74</v>
      </c>
      <c r="L555" s="1" t="s">
        <v>74</v>
      </c>
      <c r="M555" s="1" t="s">
        <v>78</v>
      </c>
      <c r="N555" s="1" t="s">
        <v>79</v>
      </c>
      <c r="O555" s="1" t="s">
        <v>74</v>
      </c>
      <c r="P555" s="1" t="s">
        <v>74</v>
      </c>
      <c r="Q555" s="1" t="s">
        <v>74</v>
      </c>
      <c r="R555" s="1" t="s">
        <v>74</v>
      </c>
      <c r="S555" s="1" t="s">
        <v>74</v>
      </c>
      <c r="T555" s="1" t="s">
        <v>9610</v>
      </c>
      <c r="U555" s="1" t="s">
        <v>9611</v>
      </c>
      <c r="V555" s="1" t="s">
        <v>9612</v>
      </c>
      <c r="W555" s="1" t="s">
        <v>9613</v>
      </c>
      <c r="X555" s="1" t="s">
        <v>9614</v>
      </c>
      <c r="Y555" s="1" t="s">
        <v>9615</v>
      </c>
      <c r="Z555" s="1" t="s">
        <v>74</v>
      </c>
      <c r="AA555" s="1" t="s">
        <v>2334</v>
      </c>
      <c r="AB555" s="1" t="s">
        <v>9616</v>
      </c>
      <c r="AC555" s="1" t="s">
        <v>74</v>
      </c>
      <c r="AD555" s="1" t="s">
        <v>74</v>
      </c>
      <c r="AE555" s="1" t="s">
        <v>74</v>
      </c>
      <c r="AF555" s="1" t="s">
        <v>74</v>
      </c>
      <c r="AG555" s="1">
        <v>26</v>
      </c>
      <c r="AH555" s="1">
        <v>31</v>
      </c>
      <c r="AI555" s="1">
        <v>33</v>
      </c>
      <c r="AJ555" s="1">
        <v>0</v>
      </c>
      <c r="AK555" s="1">
        <v>17</v>
      </c>
      <c r="AL555" s="1" t="s">
        <v>2336</v>
      </c>
      <c r="AM555" s="1" t="s">
        <v>113</v>
      </c>
      <c r="AN555" s="1" t="s">
        <v>9617</v>
      </c>
      <c r="AO555" s="1" t="s">
        <v>2338</v>
      </c>
      <c r="AP555" s="1" t="s">
        <v>74</v>
      </c>
      <c r="AQ555" s="1" t="s">
        <v>74</v>
      </c>
      <c r="AR555" s="1" t="s">
        <v>2323</v>
      </c>
      <c r="AS555" s="1" t="s">
        <v>2340</v>
      </c>
      <c r="AT555" s="1" t="s">
        <v>267</v>
      </c>
      <c r="AU555" s="1">
        <v>2000</v>
      </c>
      <c r="AV555" s="1">
        <v>121</v>
      </c>
      <c r="AW555" s="1" t="s">
        <v>74</v>
      </c>
      <c r="AX555" s="1">
        <v>4</v>
      </c>
      <c r="AY555" s="1" t="s">
        <v>74</v>
      </c>
      <c r="AZ555" s="1" t="s">
        <v>74</v>
      </c>
      <c r="BA555" s="1" t="s">
        <v>74</v>
      </c>
      <c r="BB555" s="1">
        <v>427</v>
      </c>
      <c r="BC555" s="1">
        <v>433</v>
      </c>
      <c r="BD555" s="1" t="s">
        <v>74</v>
      </c>
      <c r="BE555" s="1" t="s">
        <v>9618</v>
      </c>
      <c r="BF555" s="1" t="str">
        <f>HYPERLINK("http://dx.doi.org/10.1017/S003118209900654X","http://dx.doi.org/10.1017/S003118209900654X")</f>
        <v>http://dx.doi.org/10.1017/S003118209900654X</v>
      </c>
      <c r="BG555" s="1" t="s">
        <v>74</v>
      </c>
      <c r="BH555" s="1" t="s">
        <v>74</v>
      </c>
      <c r="BI555" s="1">
        <v>7</v>
      </c>
      <c r="BJ555" s="1" t="s">
        <v>2340</v>
      </c>
      <c r="BK555" s="1" t="s">
        <v>96</v>
      </c>
      <c r="BL555" s="1" t="s">
        <v>2340</v>
      </c>
      <c r="BM555" s="1" t="s">
        <v>9619</v>
      </c>
      <c r="BN555" s="1">
        <v>11072906</v>
      </c>
      <c r="BO555" s="1" t="s">
        <v>74</v>
      </c>
      <c r="BP555" s="1" t="s">
        <v>74</v>
      </c>
      <c r="BQ555" s="1" t="s">
        <v>74</v>
      </c>
      <c r="BR555" s="1" t="s">
        <v>98</v>
      </c>
      <c r="BS555" s="1" t="s">
        <v>9620</v>
      </c>
      <c r="BT555" s="1" t="str">
        <f>HYPERLINK("https%3A%2F%2Fwww.webofscience.com%2Fwos%2Fwoscc%2Ffull-record%2FWOS:000090071900011","View Full Record in Web of Science")</f>
        <v>View Full Record in Web of Science</v>
      </c>
    </row>
    <row r="556" spans="1:72">
      <c r="A556" s="1" t="s">
        <v>72</v>
      </c>
      <c r="B556" s="1" t="s">
        <v>9621</v>
      </c>
      <c r="C556" s="1" t="s">
        <v>74</v>
      </c>
      <c r="D556" s="1" t="s">
        <v>74</v>
      </c>
      <c r="E556" s="1" t="s">
        <v>74</v>
      </c>
      <c r="F556" s="1" t="s">
        <v>9622</v>
      </c>
      <c r="G556" s="1" t="s">
        <v>74</v>
      </c>
      <c r="H556" s="1" t="s">
        <v>74</v>
      </c>
      <c r="I556" s="1" t="s">
        <v>9623</v>
      </c>
      <c r="J556" s="1" t="s">
        <v>127</v>
      </c>
      <c r="K556" s="1" t="s">
        <v>74</v>
      </c>
      <c r="L556" s="1" t="s">
        <v>74</v>
      </c>
      <c r="M556" s="1" t="s">
        <v>78</v>
      </c>
      <c r="N556" s="1" t="s">
        <v>79</v>
      </c>
      <c r="O556" s="1" t="s">
        <v>74</v>
      </c>
      <c r="P556" s="1" t="s">
        <v>74</v>
      </c>
      <c r="Q556" s="1" t="s">
        <v>74</v>
      </c>
      <c r="R556" s="1" t="s">
        <v>74</v>
      </c>
      <c r="S556" s="1" t="s">
        <v>74</v>
      </c>
      <c r="T556" s="1" t="s">
        <v>9624</v>
      </c>
      <c r="U556" s="1" t="s">
        <v>9625</v>
      </c>
      <c r="V556" s="1" t="s">
        <v>9626</v>
      </c>
      <c r="W556" s="1" t="s">
        <v>9627</v>
      </c>
      <c r="X556" s="1" t="s">
        <v>9628</v>
      </c>
      <c r="Y556" s="1" t="s">
        <v>9629</v>
      </c>
      <c r="Z556" s="1" t="s">
        <v>9630</v>
      </c>
      <c r="AA556" s="1" t="s">
        <v>9631</v>
      </c>
      <c r="AB556" s="1" t="s">
        <v>74</v>
      </c>
      <c r="AC556" s="1" t="s">
        <v>9632</v>
      </c>
      <c r="AD556" s="1" t="s">
        <v>9633</v>
      </c>
      <c r="AE556" s="1" t="s">
        <v>9634</v>
      </c>
      <c r="AF556" s="1" t="s">
        <v>74</v>
      </c>
      <c r="AG556" s="1">
        <v>130</v>
      </c>
      <c r="AH556" s="1">
        <v>274</v>
      </c>
      <c r="AI556" s="1">
        <v>292</v>
      </c>
      <c r="AJ556" s="1">
        <v>21</v>
      </c>
      <c r="AK556" s="1">
        <v>491</v>
      </c>
      <c r="AL556" s="1" t="s">
        <v>136</v>
      </c>
      <c r="AM556" s="1" t="s">
        <v>137</v>
      </c>
      <c r="AN556" s="1" t="s">
        <v>138</v>
      </c>
      <c r="AO556" s="1" t="s">
        <v>139</v>
      </c>
      <c r="AP556" s="1" t="s">
        <v>140</v>
      </c>
      <c r="AQ556" s="1" t="s">
        <v>74</v>
      </c>
      <c r="AR556" s="1" t="s">
        <v>127</v>
      </c>
      <c r="AS556" s="1" t="s">
        <v>141</v>
      </c>
      <c r="AT556" s="1" t="s">
        <v>1470</v>
      </c>
      <c r="AU556" s="1">
        <v>2018</v>
      </c>
      <c r="AV556" s="1">
        <v>191</v>
      </c>
      <c r="AW556" s="1" t="s">
        <v>74</v>
      </c>
      <c r="AX556" s="1" t="s">
        <v>74</v>
      </c>
      <c r="AY556" s="1" t="s">
        <v>74</v>
      </c>
      <c r="AZ556" s="1" t="s">
        <v>74</v>
      </c>
      <c r="BA556" s="1" t="s">
        <v>74</v>
      </c>
      <c r="BB556" s="1">
        <v>626</v>
      </c>
      <c r="BC556" s="1">
        <v>638</v>
      </c>
      <c r="BD556" s="1" t="s">
        <v>74</v>
      </c>
      <c r="BE556" s="1" t="s">
        <v>9635</v>
      </c>
      <c r="BF556" s="1" t="str">
        <f>HYPERLINK("http://dx.doi.org/10.1016/j.chemosphere.2017.10.078","http://dx.doi.org/10.1016/j.chemosphere.2017.10.078")</f>
        <v>http://dx.doi.org/10.1016/j.chemosphere.2017.10.078</v>
      </c>
      <c r="BG556" s="1" t="s">
        <v>74</v>
      </c>
      <c r="BH556" s="1" t="s">
        <v>74</v>
      </c>
      <c r="BI556" s="1">
        <v>13</v>
      </c>
      <c r="BJ556" s="1" t="s">
        <v>144</v>
      </c>
      <c r="BK556" s="1" t="s">
        <v>96</v>
      </c>
      <c r="BL556" s="1" t="s">
        <v>145</v>
      </c>
      <c r="BM556" s="1" t="s">
        <v>9636</v>
      </c>
      <c r="BN556" s="1">
        <v>29078187</v>
      </c>
      <c r="BO556" s="1" t="s">
        <v>74</v>
      </c>
      <c r="BP556" s="1" t="s">
        <v>74</v>
      </c>
      <c r="BQ556" s="1" t="s">
        <v>74</v>
      </c>
      <c r="BR556" s="1" t="s">
        <v>98</v>
      </c>
      <c r="BS556" s="1" t="s">
        <v>9637</v>
      </c>
      <c r="BT556" s="1" t="str">
        <f>HYPERLINK("https%3A%2F%2Fwww.webofscience.com%2Fwos%2Fwoscc%2Ffull-record%2FWOS:000418208000072","View Full Record in Web of Science")</f>
        <v>View Full Record in Web of Science</v>
      </c>
    </row>
    <row r="557" spans="1:72">
      <c r="A557" s="1" t="s">
        <v>72</v>
      </c>
      <c r="B557" s="1" t="s">
        <v>9638</v>
      </c>
      <c r="C557" s="1" t="s">
        <v>74</v>
      </c>
      <c r="D557" s="1" t="s">
        <v>74</v>
      </c>
      <c r="E557" s="1" t="s">
        <v>74</v>
      </c>
      <c r="F557" s="1" t="s">
        <v>9638</v>
      </c>
      <c r="G557" s="1" t="s">
        <v>74</v>
      </c>
      <c r="H557" s="1" t="s">
        <v>74</v>
      </c>
      <c r="I557" s="1" t="s">
        <v>9639</v>
      </c>
      <c r="J557" s="1" t="s">
        <v>9112</v>
      </c>
      <c r="K557" s="1" t="s">
        <v>74</v>
      </c>
      <c r="L557" s="1" t="s">
        <v>74</v>
      </c>
      <c r="M557" s="1" t="s">
        <v>78</v>
      </c>
      <c r="N557" s="1" t="s">
        <v>79</v>
      </c>
      <c r="O557" s="1" t="s">
        <v>74</v>
      </c>
      <c r="P557" s="1" t="s">
        <v>74</v>
      </c>
      <c r="Q557" s="1" t="s">
        <v>74</v>
      </c>
      <c r="R557" s="1" t="s">
        <v>74</v>
      </c>
      <c r="S557" s="1" t="s">
        <v>74</v>
      </c>
      <c r="T557" s="1" t="s">
        <v>9640</v>
      </c>
      <c r="U557" s="1" t="s">
        <v>9641</v>
      </c>
      <c r="V557" s="1" t="s">
        <v>9642</v>
      </c>
      <c r="W557" s="1" t="s">
        <v>9643</v>
      </c>
      <c r="X557" s="1" t="s">
        <v>9644</v>
      </c>
      <c r="Y557" s="1" t="s">
        <v>9645</v>
      </c>
      <c r="Z557" s="1" t="s">
        <v>74</v>
      </c>
      <c r="AA557" s="1" t="s">
        <v>74</v>
      </c>
      <c r="AB557" s="1" t="s">
        <v>7636</v>
      </c>
      <c r="AC557" s="1" t="s">
        <v>74</v>
      </c>
      <c r="AD557" s="1" t="s">
        <v>74</v>
      </c>
      <c r="AE557" s="1" t="s">
        <v>74</v>
      </c>
      <c r="AF557" s="1" t="s">
        <v>74</v>
      </c>
      <c r="AG557" s="1">
        <v>61</v>
      </c>
      <c r="AH557" s="1">
        <v>17</v>
      </c>
      <c r="AI557" s="1">
        <v>18</v>
      </c>
      <c r="AJ557" s="1">
        <v>3</v>
      </c>
      <c r="AK557" s="1">
        <v>26</v>
      </c>
      <c r="AL557" s="1" t="s">
        <v>9124</v>
      </c>
      <c r="AM557" s="1" t="s">
        <v>9646</v>
      </c>
      <c r="AN557" s="1" t="s">
        <v>9647</v>
      </c>
      <c r="AO557" s="1" t="s">
        <v>9127</v>
      </c>
      <c r="AP557" s="1" t="s">
        <v>74</v>
      </c>
      <c r="AQ557" s="1" t="s">
        <v>74</v>
      </c>
      <c r="AR557" s="1" t="s">
        <v>9129</v>
      </c>
      <c r="AS557" s="1" t="s">
        <v>9130</v>
      </c>
      <c r="AT557" s="1" t="s">
        <v>74</v>
      </c>
      <c r="AU557" s="1">
        <v>2000</v>
      </c>
      <c r="AV557" s="1">
        <v>13</v>
      </c>
      <c r="AW557" s="1" t="s">
        <v>9648</v>
      </c>
      <c r="AX557" s="1" t="s">
        <v>74</v>
      </c>
      <c r="AY557" s="1" t="s">
        <v>74</v>
      </c>
      <c r="AZ557" s="1" t="s">
        <v>74</v>
      </c>
      <c r="BA557" s="1" t="s">
        <v>74</v>
      </c>
      <c r="BB557" s="1">
        <v>226</v>
      </c>
      <c r="BC557" s="1">
        <v>248</v>
      </c>
      <c r="BD557" s="1" t="s">
        <v>74</v>
      </c>
      <c r="BE557" s="1" t="s">
        <v>9649</v>
      </c>
      <c r="BF557" s="1" t="str">
        <f>HYPERLINK("http://dx.doi.org/10.1504/IJEP.2000.002317","http://dx.doi.org/10.1504/IJEP.2000.002317")</f>
        <v>http://dx.doi.org/10.1504/IJEP.2000.002317</v>
      </c>
      <c r="BG557" s="1" t="s">
        <v>74</v>
      </c>
      <c r="BH557" s="1" t="s">
        <v>74</v>
      </c>
      <c r="BI557" s="1">
        <v>23</v>
      </c>
      <c r="BJ557" s="1" t="s">
        <v>144</v>
      </c>
      <c r="BK557" s="1" t="s">
        <v>96</v>
      </c>
      <c r="BL557" s="1" t="s">
        <v>145</v>
      </c>
      <c r="BM557" s="1" t="s">
        <v>9650</v>
      </c>
      <c r="BN557" s="1" t="s">
        <v>74</v>
      </c>
      <c r="BO557" s="1" t="s">
        <v>74</v>
      </c>
      <c r="BP557" s="1" t="s">
        <v>74</v>
      </c>
      <c r="BQ557" s="1" t="s">
        <v>74</v>
      </c>
      <c r="BR557" s="1" t="s">
        <v>98</v>
      </c>
      <c r="BS557" s="1" t="s">
        <v>9651</v>
      </c>
      <c r="BT557" s="1" t="str">
        <f>HYPERLINK("https%3A%2F%2Fwww.webofscience.com%2Fwos%2Fwoscc%2Ffull-record%2FWOS:000088280100012","View Full Record in Web of Science")</f>
        <v>View Full Record in Web of Science</v>
      </c>
    </row>
    <row r="558" spans="1:72">
      <c r="A558" s="1" t="s">
        <v>72</v>
      </c>
      <c r="B558" s="1" t="s">
        <v>9652</v>
      </c>
      <c r="C558" s="1" t="s">
        <v>74</v>
      </c>
      <c r="D558" s="1" t="s">
        <v>74</v>
      </c>
      <c r="E558" s="1" t="s">
        <v>74</v>
      </c>
      <c r="F558" s="1" t="s">
        <v>9653</v>
      </c>
      <c r="G558" s="1" t="s">
        <v>74</v>
      </c>
      <c r="H558" s="1" t="s">
        <v>74</v>
      </c>
      <c r="I558" s="1" t="s">
        <v>9654</v>
      </c>
      <c r="J558" s="1" t="s">
        <v>232</v>
      </c>
      <c r="K558" s="1" t="s">
        <v>74</v>
      </c>
      <c r="L558" s="1" t="s">
        <v>74</v>
      </c>
      <c r="M558" s="1" t="s">
        <v>78</v>
      </c>
      <c r="N558" s="1" t="s">
        <v>79</v>
      </c>
      <c r="O558" s="1" t="s">
        <v>74</v>
      </c>
      <c r="P558" s="1" t="s">
        <v>74</v>
      </c>
      <c r="Q558" s="1" t="s">
        <v>74</v>
      </c>
      <c r="R558" s="1" t="s">
        <v>74</v>
      </c>
      <c r="S558" s="1" t="s">
        <v>74</v>
      </c>
      <c r="T558" s="1" t="s">
        <v>9655</v>
      </c>
      <c r="U558" s="1" t="s">
        <v>9656</v>
      </c>
      <c r="V558" s="1" t="s">
        <v>9657</v>
      </c>
      <c r="W558" s="1" t="s">
        <v>9658</v>
      </c>
      <c r="X558" s="1" t="s">
        <v>9659</v>
      </c>
      <c r="Y558" s="1" t="s">
        <v>9660</v>
      </c>
      <c r="Z558" s="1" t="s">
        <v>9661</v>
      </c>
      <c r="AA558" s="1" t="s">
        <v>9662</v>
      </c>
      <c r="AB558" s="1" t="s">
        <v>9663</v>
      </c>
      <c r="AC558" s="1" t="s">
        <v>9664</v>
      </c>
      <c r="AD558" s="1" t="s">
        <v>9665</v>
      </c>
      <c r="AE558" s="1" t="s">
        <v>9666</v>
      </c>
      <c r="AF558" s="1" t="s">
        <v>74</v>
      </c>
      <c r="AG558" s="1">
        <v>40</v>
      </c>
      <c r="AH558" s="1">
        <v>8</v>
      </c>
      <c r="AI558" s="1">
        <v>10</v>
      </c>
      <c r="AJ558" s="1">
        <v>0</v>
      </c>
      <c r="AK558" s="1">
        <v>17</v>
      </c>
      <c r="AL558" s="1" t="s">
        <v>136</v>
      </c>
      <c r="AM558" s="1" t="s">
        <v>137</v>
      </c>
      <c r="AN558" s="1" t="s">
        <v>138</v>
      </c>
      <c r="AO558" s="1" t="s">
        <v>240</v>
      </c>
      <c r="AP558" s="1" t="s">
        <v>241</v>
      </c>
      <c r="AQ558" s="1" t="s">
        <v>74</v>
      </c>
      <c r="AR558" s="1" t="s">
        <v>242</v>
      </c>
      <c r="AS558" s="1" t="s">
        <v>243</v>
      </c>
      <c r="AT558" s="1" t="s">
        <v>546</v>
      </c>
      <c r="AU558" s="1">
        <v>2017</v>
      </c>
      <c r="AV558" s="1">
        <v>124</v>
      </c>
      <c r="AW558" s="1">
        <v>1</v>
      </c>
      <c r="AX558" s="1" t="s">
        <v>74</v>
      </c>
      <c r="AY558" s="1" t="s">
        <v>74</v>
      </c>
      <c r="AZ558" s="1" t="s">
        <v>74</v>
      </c>
      <c r="BA558" s="1" t="s">
        <v>74</v>
      </c>
      <c r="BB558" s="1">
        <v>321</v>
      </c>
      <c r="BC558" s="1">
        <v>330</v>
      </c>
      <c r="BD558" s="1" t="s">
        <v>74</v>
      </c>
      <c r="BE558" s="1" t="s">
        <v>9667</v>
      </c>
      <c r="BF558" s="1" t="str">
        <f>HYPERLINK("http://dx.doi.org/10.1016/j.marpolbul.2017.07.052","http://dx.doi.org/10.1016/j.marpolbul.2017.07.052")</f>
        <v>http://dx.doi.org/10.1016/j.marpolbul.2017.07.052</v>
      </c>
      <c r="BG558" s="1" t="s">
        <v>74</v>
      </c>
      <c r="BH558" s="1" t="s">
        <v>74</v>
      </c>
      <c r="BI558" s="1">
        <v>10</v>
      </c>
      <c r="BJ558" s="1" t="s">
        <v>247</v>
      </c>
      <c r="BK558" s="1" t="s">
        <v>96</v>
      </c>
      <c r="BL558" s="1" t="s">
        <v>248</v>
      </c>
      <c r="BM558" s="1" t="s">
        <v>9668</v>
      </c>
      <c r="BN558" s="1">
        <v>28751028</v>
      </c>
      <c r="BO558" s="1" t="s">
        <v>74</v>
      </c>
      <c r="BP558" s="1" t="s">
        <v>74</v>
      </c>
      <c r="BQ558" s="1" t="s">
        <v>74</v>
      </c>
      <c r="BR558" s="1" t="s">
        <v>98</v>
      </c>
      <c r="BS558" s="1" t="s">
        <v>9669</v>
      </c>
      <c r="BT558" s="1" t="str">
        <f>HYPERLINK("https%3A%2F%2Fwww.webofscience.com%2Fwos%2Fwoscc%2Ffull-record%2FWOS:000415391200049","View Full Record in Web of Science")</f>
        <v>View Full Record in Web of Science</v>
      </c>
    </row>
    <row r="559" spans="1:72">
      <c r="A559" s="1" t="s">
        <v>72</v>
      </c>
      <c r="B559" s="1" t="s">
        <v>9670</v>
      </c>
      <c r="C559" s="1" t="s">
        <v>74</v>
      </c>
      <c r="D559" s="1" t="s">
        <v>74</v>
      </c>
      <c r="E559" s="1" t="s">
        <v>74</v>
      </c>
      <c r="F559" s="1" t="s">
        <v>9671</v>
      </c>
      <c r="G559" s="1" t="s">
        <v>74</v>
      </c>
      <c r="H559" s="1" t="s">
        <v>74</v>
      </c>
      <c r="I559" s="1" t="s">
        <v>9672</v>
      </c>
      <c r="J559" s="1" t="s">
        <v>232</v>
      </c>
      <c r="K559" s="1" t="s">
        <v>74</v>
      </c>
      <c r="L559" s="1" t="s">
        <v>74</v>
      </c>
      <c r="M559" s="1" t="s">
        <v>78</v>
      </c>
      <c r="N559" s="1" t="s">
        <v>79</v>
      </c>
      <c r="O559" s="1" t="s">
        <v>74</v>
      </c>
      <c r="P559" s="1" t="s">
        <v>74</v>
      </c>
      <c r="Q559" s="1" t="s">
        <v>74</v>
      </c>
      <c r="R559" s="1" t="s">
        <v>74</v>
      </c>
      <c r="S559" s="1" t="s">
        <v>74</v>
      </c>
      <c r="T559" s="1" t="s">
        <v>9673</v>
      </c>
      <c r="U559" s="1" t="s">
        <v>9674</v>
      </c>
      <c r="V559" s="1" t="s">
        <v>9675</v>
      </c>
      <c r="W559" s="1" t="s">
        <v>9676</v>
      </c>
      <c r="X559" s="1" t="s">
        <v>9677</v>
      </c>
      <c r="Y559" s="1" t="s">
        <v>9678</v>
      </c>
      <c r="Z559" s="1" t="s">
        <v>9679</v>
      </c>
      <c r="AA559" s="1" t="s">
        <v>9680</v>
      </c>
      <c r="AB559" s="1" t="s">
        <v>9681</v>
      </c>
      <c r="AC559" s="1" t="s">
        <v>9682</v>
      </c>
      <c r="AD559" s="1" t="s">
        <v>9683</v>
      </c>
      <c r="AE559" s="1" t="s">
        <v>9684</v>
      </c>
      <c r="AF559" s="1" t="s">
        <v>74</v>
      </c>
      <c r="AG559" s="1">
        <v>35</v>
      </c>
      <c r="AH559" s="1">
        <v>2</v>
      </c>
      <c r="AI559" s="1">
        <v>2</v>
      </c>
      <c r="AJ559" s="1">
        <v>1</v>
      </c>
      <c r="AK559" s="1">
        <v>10</v>
      </c>
      <c r="AL559" s="1" t="s">
        <v>136</v>
      </c>
      <c r="AM559" s="1" t="s">
        <v>137</v>
      </c>
      <c r="AN559" s="1" t="s">
        <v>138</v>
      </c>
      <c r="AO559" s="1" t="s">
        <v>240</v>
      </c>
      <c r="AP559" s="1" t="s">
        <v>241</v>
      </c>
      <c r="AQ559" s="1" t="s">
        <v>74</v>
      </c>
      <c r="AR559" s="1" t="s">
        <v>242</v>
      </c>
      <c r="AS559" s="1" t="s">
        <v>243</v>
      </c>
      <c r="AT559" s="1" t="s">
        <v>170</v>
      </c>
      <c r="AU559" s="1">
        <v>2021</v>
      </c>
      <c r="AV559" s="1">
        <v>166</v>
      </c>
      <c r="AW559" s="1" t="s">
        <v>74</v>
      </c>
      <c r="AX559" s="1" t="s">
        <v>74</v>
      </c>
      <c r="AY559" s="1" t="s">
        <v>74</v>
      </c>
      <c r="AZ559" s="1" t="s">
        <v>74</v>
      </c>
      <c r="BA559" s="1" t="s">
        <v>74</v>
      </c>
      <c r="BB559" s="1" t="s">
        <v>74</v>
      </c>
      <c r="BC559" s="1" t="s">
        <v>74</v>
      </c>
      <c r="BD559" s="1">
        <v>112180</v>
      </c>
      <c r="BE559" s="1" t="s">
        <v>9685</v>
      </c>
      <c r="BF559" s="1" t="str">
        <f>HYPERLINK("http://dx.doi.org/10.1016/j.marpolbul.2021.112180","http://dx.doi.org/10.1016/j.marpolbul.2021.112180")</f>
        <v>http://dx.doi.org/10.1016/j.marpolbul.2021.112180</v>
      </c>
      <c r="BG559" s="1" t="s">
        <v>74</v>
      </c>
      <c r="BH559" s="1" t="s">
        <v>992</v>
      </c>
      <c r="BI559" s="1">
        <v>5</v>
      </c>
      <c r="BJ559" s="1" t="s">
        <v>247</v>
      </c>
      <c r="BK559" s="1" t="s">
        <v>96</v>
      </c>
      <c r="BL559" s="1" t="s">
        <v>248</v>
      </c>
      <c r="BM559" s="1" t="s">
        <v>9686</v>
      </c>
      <c r="BN559" s="1">
        <v>33714038</v>
      </c>
      <c r="BO559" s="1" t="s">
        <v>74</v>
      </c>
      <c r="BP559" s="1" t="s">
        <v>74</v>
      </c>
      <c r="BQ559" s="1" t="s">
        <v>74</v>
      </c>
      <c r="BR559" s="1" t="s">
        <v>98</v>
      </c>
      <c r="BS559" s="1" t="s">
        <v>9687</v>
      </c>
      <c r="BT559" s="1" t="str">
        <f>HYPERLINK("https%3A%2F%2Fwww.webofscience.com%2Fwos%2Fwoscc%2Ffull-record%2FWOS:000648437500011","View Full Record in Web of Science")</f>
        <v>View Full Record in Web of Science</v>
      </c>
    </row>
    <row r="560" spans="1:72">
      <c r="A560" s="1" t="s">
        <v>72</v>
      </c>
      <c r="B560" s="1" t="s">
        <v>9688</v>
      </c>
      <c r="C560" s="1" t="s">
        <v>74</v>
      </c>
      <c r="D560" s="1" t="s">
        <v>74</v>
      </c>
      <c r="E560" s="1" t="s">
        <v>74</v>
      </c>
      <c r="F560" s="1" t="s">
        <v>9689</v>
      </c>
      <c r="G560" s="1" t="s">
        <v>74</v>
      </c>
      <c r="H560" s="1" t="s">
        <v>74</v>
      </c>
      <c r="I560" s="1" t="s">
        <v>9690</v>
      </c>
      <c r="J560" s="1" t="s">
        <v>232</v>
      </c>
      <c r="K560" s="1" t="s">
        <v>74</v>
      </c>
      <c r="L560" s="1" t="s">
        <v>74</v>
      </c>
      <c r="M560" s="1" t="s">
        <v>78</v>
      </c>
      <c r="N560" s="1" t="s">
        <v>79</v>
      </c>
      <c r="O560" s="1" t="s">
        <v>74</v>
      </c>
      <c r="P560" s="1" t="s">
        <v>74</v>
      </c>
      <c r="Q560" s="1" t="s">
        <v>74</v>
      </c>
      <c r="R560" s="1" t="s">
        <v>74</v>
      </c>
      <c r="S560" s="1" t="s">
        <v>74</v>
      </c>
      <c r="T560" s="1" t="s">
        <v>9691</v>
      </c>
      <c r="U560" s="1" t="s">
        <v>9692</v>
      </c>
      <c r="V560" s="1" t="s">
        <v>9693</v>
      </c>
      <c r="W560" s="1" t="s">
        <v>9694</v>
      </c>
      <c r="X560" s="1" t="s">
        <v>9695</v>
      </c>
      <c r="Y560" s="1" t="s">
        <v>9696</v>
      </c>
      <c r="Z560" s="1" t="s">
        <v>9697</v>
      </c>
      <c r="AA560" s="1" t="s">
        <v>74</v>
      </c>
      <c r="AB560" s="1" t="s">
        <v>74</v>
      </c>
      <c r="AC560" s="1" t="s">
        <v>74</v>
      </c>
      <c r="AD560" s="1" t="s">
        <v>74</v>
      </c>
      <c r="AE560" s="1" t="s">
        <v>74</v>
      </c>
      <c r="AF560" s="1" t="s">
        <v>74</v>
      </c>
      <c r="AG560" s="1">
        <v>58</v>
      </c>
      <c r="AH560" s="1">
        <v>10</v>
      </c>
      <c r="AI560" s="1">
        <v>11</v>
      </c>
      <c r="AJ560" s="1">
        <v>0</v>
      </c>
      <c r="AK560" s="1">
        <v>16</v>
      </c>
      <c r="AL560" s="1" t="s">
        <v>136</v>
      </c>
      <c r="AM560" s="1" t="s">
        <v>137</v>
      </c>
      <c r="AN560" s="1" t="s">
        <v>138</v>
      </c>
      <c r="AO560" s="1" t="s">
        <v>240</v>
      </c>
      <c r="AP560" s="1" t="s">
        <v>241</v>
      </c>
      <c r="AQ560" s="1" t="s">
        <v>74</v>
      </c>
      <c r="AR560" s="1" t="s">
        <v>242</v>
      </c>
      <c r="AS560" s="1" t="s">
        <v>243</v>
      </c>
      <c r="AT560" s="1" t="s">
        <v>1507</v>
      </c>
      <c r="AU560" s="1">
        <v>2017</v>
      </c>
      <c r="AV560" s="1">
        <v>117</v>
      </c>
      <c r="AW560" s="1" t="s">
        <v>326</v>
      </c>
      <c r="AX560" s="1" t="s">
        <v>74</v>
      </c>
      <c r="AY560" s="1" t="s">
        <v>74</v>
      </c>
      <c r="AZ560" s="1" t="s">
        <v>74</v>
      </c>
      <c r="BA560" s="1" t="s">
        <v>74</v>
      </c>
      <c r="BB560" s="1">
        <v>178</v>
      </c>
      <c r="BC560" s="1">
        <v>183</v>
      </c>
      <c r="BD560" s="1" t="s">
        <v>74</v>
      </c>
      <c r="BE560" s="1" t="s">
        <v>9698</v>
      </c>
      <c r="BF560" s="1" t="str">
        <f>HYPERLINK("http://dx.doi.org/10.1016/j.marpolbul.2017.01.084","http://dx.doi.org/10.1016/j.marpolbul.2017.01.084")</f>
        <v>http://dx.doi.org/10.1016/j.marpolbul.2017.01.084</v>
      </c>
      <c r="BG560" s="1" t="s">
        <v>74</v>
      </c>
      <c r="BH560" s="1" t="s">
        <v>74</v>
      </c>
      <c r="BI560" s="1">
        <v>6</v>
      </c>
      <c r="BJ560" s="1" t="s">
        <v>247</v>
      </c>
      <c r="BK560" s="1" t="s">
        <v>96</v>
      </c>
      <c r="BL560" s="1" t="s">
        <v>248</v>
      </c>
      <c r="BM560" s="1" t="s">
        <v>9485</v>
      </c>
      <c r="BN560" s="1">
        <v>28162252</v>
      </c>
      <c r="BO560" s="1" t="s">
        <v>74</v>
      </c>
      <c r="BP560" s="1" t="s">
        <v>74</v>
      </c>
      <c r="BQ560" s="1" t="s">
        <v>74</v>
      </c>
      <c r="BR560" s="1" t="s">
        <v>98</v>
      </c>
      <c r="BS560" s="1" t="s">
        <v>9699</v>
      </c>
      <c r="BT560" s="1" t="str">
        <f>HYPERLINK("https%3A%2F%2Fwww.webofscience.com%2Fwos%2Fwoscc%2Ffull-record%2FWOS:000399258600034","View Full Record in Web of Science")</f>
        <v>View Full Record in Web of Science</v>
      </c>
    </row>
    <row r="561" spans="1:72">
      <c r="A561" s="1" t="s">
        <v>72</v>
      </c>
      <c r="B561" s="1" t="s">
        <v>9700</v>
      </c>
      <c r="C561" s="1" t="s">
        <v>74</v>
      </c>
      <c r="D561" s="1" t="s">
        <v>74</v>
      </c>
      <c r="E561" s="1" t="s">
        <v>74</v>
      </c>
      <c r="F561" s="1" t="s">
        <v>9700</v>
      </c>
      <c r="G561" s="1" t="s">
        <v>74</v>
      </c>
      <c r="H561" s="1" t="s">
        <v>74</v>
      </c>
      <c r="I561" s="1" t="s">
        <v>9701</v>
      </c>
      <c r="J561" s="1" t="s">
        <v>4963</v>
      </c>
      <c r="K561" s="1" t="s">
        <v>74</v>
      </c>
      <c r="L561" s="1" t="s">
        <v>74</v>
      </c>
      <c r="M561" s="1" t="s">
        <v>78</v>
      </c>
      <c r="N561" s="1" t="s">
        <v>79</v>
      </c>
      <c r="O561" s="1" t="s">
        <v>74</v>
      </c>
      <c r="P561" s="1" t="s">
        <v>74</v>
      </c>
      <c r="Q561" s="1" t="s">
        <v>74</v>
      </c>
      <c r="R561" s="1" t="s">
        <v>74</v>
      </c>
      <c r="S561" s="1" t="s">
        <v>74</v>
      </c>
      <c r="T561" s="1" t="s">
        <v>9702</v>
      </c>
      <c r="U561" s="1" t="s">
        <v>9703</v>
      </c>
      <c r="V561" s="1" t="s">
        <v>9704</v>
      </c>
      <c r="W561" s="1" t="s">
        <v>9705</v>
      </c>
      <c r="X561" s="1" t="s">
        <v>9706</v>
      </c>
      <c r="Y561" s="1" t="s">
        <v>74</v>
      </c>
      <c r="Z561" s="1" t="s">
        <v>74</v>
      </c>
      <c r="AA561" s="1" t="s">
        <v>74</v>
      </c>
      <c r="AB561" s="1" t="s">
        <v>74</v>
      </c>
      <c r="AC561" s="1" t="s">
        <v>74</v>
      </c>
      <c r="AD561" s="1" t="s">
        <v>74</v>
      </c>
      <c r="AE561" s="1" t="s">
        <v>74</v>
      </c>
      <c r="AF561" s="1" t="s">
        <v>74</v>
      </c>
      <c r="AG561" s="1">
        <v>26</v>
      </c>
      <c r="AH561" s="1">
        <v>3</v>
      </c>
      <c r="AI561" s="1">
        <v>3</v>
      </c>
      <c r="AJ561" s="1">
        <v>0</v>
      </c>
      <c r="AK561" s="1">
        <v>0</v>
      </c>
      <c r="AL561" s="1" t="s">
        <v>9707</v>
      </c>
      <c r="AM561" s="1" t="s">
        <v>286</v>
      </c>
      <c r="AN561" s="1" t="s">
        <v>9708</v>
      </c>
      <c r="AO561" s="1" t="s">
        <v>4976</v>
      </c>
      <c r="AP561" s="1" t="s">
        <v>74</v>
      </c>
      <c r="AQ561" s="1" t="s">
        <v>74</v>
      </c>
      <c r="AR561" s="1" t="s">
        <v>4978</v>
      </c>
      <c r="AS561" s="1" t="s">
        <v>4979</v>
      </c>
      <c r="AT561" s="1" t="s">
        <v>93</v>
      </c>
      <c r="AU561" s="1">
        <v>1996</v>
      </c>
      <c r="AV561" s="1">
        <v>17</v>
      </c>
      <c r="AW561" s="1">
        <v>4</v>
      </c>
      <c r="AX561" s="1" t="s">
        <v>74</v>
      </c>
      <c r="AY561" s="1" t="s">
        <v>74</v>
      </c>
      <c r="AZ561" s="1" t="s">
        <v>74</v>
      </c>
      <c r="BA561" s="1" t="s">
        <v>74</v>
      </c>
      <c r="BB561" s="1">
        <v>391</v>
      </c>
      <c r="BC561" s="1">
        <v>398</v>
      </c>
      <c r="BD561" s="1" t="s">
        <v>74</v>
      </c>
      <c r="BE561" s="1" t="s">
        <v>9709</v>
      </c>
      <c r="BF561" s="1" t="str">
        <f>HYPERLINK("http://dx.doi.org/10.1080/09593331708616398","http://dx.doi.org/10.1080/09593331708616398")</f>
        <v>http://dx.doi.org/10.1080/09593331708616398</v>
      </c>
      <c r="BG561" s="1" t="s">
        <v>74</v>
      </c>
      <c r="BH561" s="1" t="s">
        <v>74</v>
      </c>
      <c r="BI561" s="1">
        <v>8</v>
      </c>
      <c r="BJ561" s="1" t="s">
        <v>144</v>
      </c>
      <c r="BK561" s="1" t="s">
        <v>96</v>
      </c>
      <c r="BL561" s="1" t="s">
        <v>145</v>
      </c>
      <c r="BM561" s="1" t="s">
        <v>9710</v>
      </c>
      <c r="BN561" s="1" t="s">
        <v>74</v>
      </c>
      <c r="BO561" s="1" t="s">
        <v>74</v>
      </c>
      <c r="BP561" s="1" t="s">
        <v>74</v>
      </c>
      <c r="BQ561" s="1" t="s">
        <v>74</v>
      </c>
      <c r="BR561" s="1" t="s">
        <v>98</v>
      </c>
      <c r="BS561" s="1" t="s">
        <v>9711</v>
      </c>
      <c r="BT561" s="1" t="str">
        <f>HYPERLINK("https%3A%2F%2Fwww.webofscience.com%2Fwos%2Fwoscc%2Ffull-record%2FWOS:A1996UG95100006","View Full Record in Web of Science")</f>
        <v>View Full Record in Web of Science</v>
      </c>
    </row>
    <row r="562" spans="1:72">
      <c r="A562" s="1" t="s">
        <v>72</v>
      </c>
      <c r="B562" s="1" t="s">
        <v>9712</v>
      </c>
      <c r="C562" s="1" t="s">
        <v>74</v>
      </c>
      <c r="D562" s="1" t="s">
        <v>74</v>
      </c>
      <c r="E562" s="1" t="s">
        <v>74</v>
      </c>
      <c r="F562" s="1" t="s">
        <v>9713</v>
      </c>
      <c r="G562" s="1" t="s">
        <v>74</v>
      </c>
      <c r="H562" s="1" t="s">
        <v>74</v>
      </c>
      <c r="I562" s="1" t="s">
        <v>9714</v>
      </c>
      <c r="J562" s="1" t="s">
        <v>127</v>
      </c>
      <c r="K562" s="1" t="s">
        <v>74</v>
      </c>
      <c r="L562" s="1" t="s">
        <v>74</v>
      </c>
      <c r="M562" s="1" t="s">
        <v>78</v>
      </c>
      <c r="N562" s="1" t="s">
        <v>79</v>
      </c>
      <c r="O562" s="1" t="s">
        <v>74</v>
      </c>
      <c r="P562" s="1" t="s">
        <v>74</v>
      </c>
      <c r="Q562" s="1" t="s">
        <v>74</v>
      </c>
      <c r="R562" s="1" t="s">
        <v>74</v>
      </c>
      <c r="S562" s="1" t="s">
        <v>74</v>
      </c>
      <c r="T562" s="1" t="s">
        <v>9715</v>
      </c>
      <c r="U562" s="1" t="s">
        <v>9716</v>
      </c>
      <c r="V562" s="1" t="s">
        <v>9717</v>
      </c>
      <c r="W562" s="1" t="s">
        <v>9718</v>
      </c>
      <c r="X562" s="1" t="s">
        <v>9719</v>
      </c>
      <c r="Y562" s="1" t="s">
        <v>9720</v>
      </c>
      <c r="Z562" s="1" t="s">
        <v>9721</v>
      </c>
      <c r="AA562" s="1" t="s">
        <v>74</v>
      </c>
      <c r="AB562" s="1" t="s">
        <v>74</v>
      </c>
      <c r="AC562" s="1" t="s">
        <v>74</v>
      </c>
      <c r="AD562" s="1" t="s">
        <v>74</v>
      </c>
      <c r="AE562" s="1" t="s">
        <v>74</v>
      </c>
      <c r="AF562" s="1" t="s">
        <v>74</v>
      </c>
      <c r="AG562" s="1">
        <v>47</v>
      </c>
      <c r="AH562" s="1">
        <v>48</v>
      </c>
      <c r="AI562" s="1">
        <v>52</v>
      </c>
      <c r="AJ562" s="1">
        <v>1</v>
      </c>
      <c r="AK562" s="1">
        <v>34</v>
      </c>
      <c r="AL562" s="1" t="s">
        <v>136</v>
      </c>
      <c r="AM562" s="1" t="s">
        <v>137</v>
      </c>
      <c r="AN562" s="1" t="s">
        <v>138</v>
      </c>
      <c r="AO562" s="1" t="s">
        <v>139</v>
      </c>
      <c r="AP562" s="1" t="s">
        <v>140</v>
      </c>
      <c r="AQ562" s="1" t="s">
        <v>74</v>
      </c>
      <c r="AR562" s="1" t="s">
        <v>127</v>
      </c>
      <c r="AS562" s="1" t="s">
        <v>141</v>
      </c>
      <c r="AT562" s="1" t="s">
        <v>267</v>
      </c>
      <c r="AU562" s="1">
        <v>2013</v>
      </c>
      <c r="AV562" s="1">
        <v>93</v>
      </c>
      <c r="AW562" s="1">
        <v>6</v>
      </c>
      <c r="AX562" s="1" t="s">
        <v>74</v>
      </c>
      <c r="AY562" s="1" t="s">
        <v>74</v>
      </c>
      <c r="AZ562" s="1" t="s">
        <v>74</v>
      </c>
      <c r="BA562" s="1" t="s">
        <v>74</v>
      </c>
      <c r="BB562" s="1">
        <v>1131</v>
      </c>
      <c r="BC562" s="1">
        <v>1138</v>
      </c>
      <c r="BD562" s="1" t="s">
        <v>74</v>
      </c>
      <c r="BE562" s="1" t="s">
        <v>9722</v>
      </c>
      <c r="BF562" s="1" t="str">
        <f>HYPERLINK("http://dx.doi.org/10.1016/j.chemosphere.2013.06.042","http://dx.doi.org/10.1016/j.chemosphere.2013.06.042")</f>
        <v>http://dx.doi.org/10.1016/j.chemosphere.2013.06.042</v>
      </c>
      <c r="BG562" s="1" t="s">
        <v>74</v>
      </c>
      <c r="BH562" s="1" t="s">
        <v>74</v>
      </c>
      <c r="BI562" s="1">
        <v>8</v>
      </c>
      <c r="BJ562" s="1" t="s">
        <v>144</v>
      </c>
      <c r="BK562" s="1" t="s">
        <v>96</v>
      </c>
      <c r="BL562" s="1" t="s">
        <v>145</v>
      </c>
      <c r="BM562" s="1" t="s">
        <v>9723</v>
      </c>
      <c r="BN562" s="1">
        <v>23987578</v>
      </c>
      <c r="BO562" s="1" t="s">
        <v>74</v>
      </c>
      <c r="BP562" s="1" t="s">
        <v>74</v>
      </c>
      <c r="BQ562" s="1" t="s">
        <v>74</v>
      </c>
      <c r="BR562" s="1" t="s">
        <v>98</v>
      </c>
      <c r="BS562" s="1" t="s">
        <v>9724</v>
      </c>
      <c r="BT562" s="1" t="str">
        <f>HYPERLINK("https%3A%2F%2Fwww.webofscience.com%2Fwos%2Fwoscc%2Ffull-record%2FWOS:000326857900040","View Full Record in Web of Science")</f>
        <v>View Full Record in Web of Science</v>
      </c>
    </row>
    <row r="563" spans="1:72">
      <c r="A563" s="1" t="s">
        <v>72</v>
      </c>
      <c r="B563" s="1" t="s">
        <v>9725</v>
      </c>
      <c r="C563" s="1" t="s">
        <v>74</v>
      </c>
      <c r="D563" s="1" t="s">
        <v>74</v>
      </c>
      <c r="E563" s="1" t="s">
        <v>74</v>
      </c>
      <c r="F563" s="1" t="s">
        <v>9726</v>
      </c>
      <c r="G563" s="1" t="s">
        <v>74</v>
      </c>
      <c r="H563" s="1" t="s">
        <v>74</v>
      </c>
      <c r="I563" s="1" t="s">
        <v>9727</v>
      </c>
      <c r="J563" s="1" t="s">
        <v>232</v>
      </c>
      <c r="K563" s="1" t="s">
        <v>74</v>
      </c>
      <c r="L563" s="1" t="s">
        <v>74</v>
      </c>
      <c r="M563" s="1" t="s">
        <v>78</v>
      </c>
      <c r="N563" s="1" t="s">
        <v>79</v>
      </c>
      <c r="O563" s="1" t="s">
        <v>74</v>
      </c>
      <c r="P563" s="1" t="s">
        <v>74</v>
      </c>
      <c r="Q563" s="1" t="s">
        <v>74</v>
      </c>
      <c r="R563" s="1" t="s">
        <v>74</v>
      </c>
      <c r="S563" s="1" t="s">
        <v>74</v>
      </c>
      <c r="T563" s="1" t="s">
        <v>9728</v>
      </c>
      <c r="U563" s="1" t="s">
        <v>9729</v>
      </c>
      <c r="V563" s="1" t="s">
        <v>9730</v>
      </c>
      <c r="W563" s="1" t="s">
        <v>9731</v>
      </c>
      <c r="X563" s="1" t="s">
        <v>9732</v>
      </c>
      <c r="Y563" s="1" t="s">
        <v>9733</v>
      </c>
      <c r="Z563" s="1" t="s">
        <v>9734</v>
      </c>
      <c r="AA563" s="1" t="s">
        <v>9735</v>
      </c>
      <c r="AB563" s="1" t="s">
        <v>9736</v>
      </c>
      <c r="AC563" s="1" t="s">
        <v>74</v>
      </c>
      <c r="AD563" s="1" t="s">
        <v>74</v>
      </c>
      <c r="AE563" s="1" t="s">
        <v>74</v>
      </c>
      <c r="AF563" s="1" t="s">
        <v>74</v>
      </c>
      <c r="AG563" s="1">
        <v>40</v>
      </c>
      <c r="AH563" s="1">
        <v>23</v>
      </c>
      <c r="AI563" s="1">
        <v>23</v>
      </c>
      <c r="AJ563" s="1">
        <v>1</v>
      </c>
      <c r="AK563" s="1">
        <v>32</v>
      </c>
      <c r="AL563" s="1" t="s">
        <v>136</v>
      </c>
      <c r="AM563" s="1" t="s">
        <v>137</v>
      </c>
      <c r="AN563" s="1" t="s">
        <v>138</v>
      </c>
      <c r="AO563" s="1" t="s">
        <v>240</v>
      </c>
      <c r="AP563" s="1" t="s">
        <v>241</v>
      </c>
      <c r="AQ563" s="1" t="s">
        <v>74</v>
      </c>
      <c r="AR563" s="1" t="s">
        <v>242</v>
      </c>
      <c r="AS563" s="1" t="s">
        <v>243</v>
      </c>
      <c r="AT563" s="1" t="s">
        <v>1091</v>
      </c>
      <c r="AU563" s="1">
        <v>2016</v>
      </c>
      <c r="AV563" s="1">
        <v>107</v>
      </c>
      <c r="AW563" s="1">
        <v>1</v>
      </c>
      <c r="AX563" s="1" t="s">
        <v>74</v>
      </c>
      <c r="AY563" s="1" t="s">
        <v>74</v>
      </c>
      <c r="AZ563" s="1" t="s">
        <v>74</v>
      </c>
      <c r="BA563" s="1" t="s">
        <v>74</v>
      </c>
      <c r="BB563" s="1">
        <v>398</v>
      </c>
      <c r="BC563" s="1">
        <v>401</v>
      </c>
      <c r="BD563" s="1" t="s">
        <v>74</v>
      </c>
      <c r="BE563" s="1" t="s">
        <v>9737</v>
      </c>
      <c r="BF563" s="1" t="str">
        <f>HYPERLINK("http://dx.doi.org/10.1016/j.marpolbul.2016.03.033","http://dx.doi.org/10.1016/j.marpolbul.2016.03.033")</f>
        <v>http://dx.doi.org/10.1016/j.marpolbul.2016.03.033</v>
      </c>
      <c r="BG563" s="1" t="s">
        <v>74</v>
      </c>
      <c r="BH563" s="1" t="s">
        <v>74</v>
      </c>
      <c r="BI563" s="1">
        <v>4</v>
      </c>
      <c r="BJ563" s="1" t="s">
        <v>247</v>
      </c>
      <c r="BK563" s="1" t="s">
        <v>96</v>
      </c>
      <c r="BL563" s="1" t="s">
        <v>248</v>
      </c>
      <c r="BM563" s="1" t="s">
        <v>1093</v>
      </c>
      <c r="BN563" s="1">
        <v>27016328</v>
      </c>
      <c r="BO563" s="1" t="s">
        <v>74</v>
      </c>
      <c r="BP563" s="1" t="s">
        <v>74</v>
      </c>
      <c r="BQ563" s="1" t="s">
        <v>74</v>
      </c>
      <c r="BR563" s="1" t="s">
        <v>98</v>
      </c>
      <c r="BS563" s="1" t="s">
        <v>9738</v>
      </c>
      <c r="BT563" s="1" t="str">
        <f>HYPERLINK("https%3A%2F%2Fwww.webofscience.com%2Fwos%2Fwoscc%2Ffull-record%2FWOS:000377726700063","View Full Record in Web of Science")</f>
        <v>View Full Record in Web of Science</v>
      </c>
    </row>
    <row r="564" spans="1:72">
      <c r="A564" s="1" t="s">
        <v>72</v>
      </c>
      <c r="B564" s="1" t="s">
        <v>9739</v>
      </c>
      <c r="C564" s="1" t="s">
        <v>74</v>
      </c>
      <c r="D564" s="1" t="s">
        <v>74</v>
      </c>
      <c r="E564" s="1" t="s">
        <v>74</v>
      </c>
      <c r="F564" s="1" t="s">
        <v>9740</v>
      </c>
      <c r="G564" s="1" t="s">
        <v>74</v>
      </c>
      <c r="H564" s="1" t="s">
        <v>74</v>
      </c>
      <c r="I564" s="1" t="s">
        <v>9741</v>
      </c>
      <c r="J564" s="1" t="s">
        <v>103</v>
      </c>
      <c r="K564" s="1" t="s">
        <v>74</v>
      </c>
      <c r="L564" s="1" t="s">
        <v>74</v>
      </c>
      <c r="M564" s="1" t="s">
        <v>78</v>
      </c>
      <c r="N564" s="1" t="s">
        <v>79</v>
      </c>
      <c r="O564" s="1" t="s">
        <v>74</v>
      </c>
      <c r="P564" s="1" t="s">
        <v>74</v>
      </c>
      <c r="Q564" s="1" t="s">
        <v>74</v>
      </c>
      <c r="R564" s="1" t="s">
        <v>74</v>
      </c>
      <c r="S564" s="1" t="s">
        <v>74</v>
      </c>
      <c r="T564" s="1" t="s">
        <v>9742</v>
      </c>
      <c r="U564" s="1" t="s">
        <v>9743</v>
      </c>
      <c r="V564" s="1" t="s">
        <v>9744</v>
      </c>
      <c r="W564" s="1" t="s">
        <v>9745</v>
      </c>
      <c r="X564" s="1" t="s">
        <v>9746</v>
      </c>
      <c r="Y564" s="1" t="s">
        <v>4132</v>
      </c>
      <c r="Z564" s="1" t="s">
        <v>4133</v>
      </c>
      <c r="AA564" s="1" t="s">
        <v>9747</v>
      </c>
      <c r="AB564" s="1" t="s">
        <v>9748</v>
      </c>
      <c r="AC564" s="1" t="s">
        <v>9749</v>
      </c>
      <c r="AD564" s="1" t="s">
        <v>4137</v>
      </c>
      <c r="AE564" s="1" t="s">
        <v>9750</v>
      </c>
      <c r="AF564" s="1" t="s">
        <v>74</v>
      </c>
      <c r="AG564" s="1">
        <v>28</v>
      </c>
      <c r="AH564" s="1">
        <v>15</v>
      </c>
      <c r="AI564" s="1">
        <v>15</v>
      </c>
      <c r="AJ564" s="1">
        <v>0</v>
      </c>
      <c r="AK564" s="1">
        <v>64</v>
      </c>
      <c r="AL564" s="1" t="s">
        <v>112</v>
      </c>
      <c r="AM564" s="1" t="s">
        <v>113</v>
      </c>
      <c r="AN564" s="1" t="s">
        <v>469</v>
      </c>
      <c r="AO564" s="1" t="s">
        <v>115</v>
      </c>
      <c r="AP564" s="1" t="s">
        <v>74</v>
      </c>
      <c r="AQ564" s="1" t="s">
        <v>74</v>
      </c>
      <c r="AR564" s="1" t="s">
        <v>117</v>
      </c>
      <c r="AS564" s="1" t="s">
        <v>118</v>
      </c>
      <c r="AT564" s="1" t="s">
        <v>267</v>
      </c>
      <c r="AU564" s="1">
        <v>2013</v>
      </c>
      <c r="AV564" s="1">
        <v>91</v>
      </c>
      <c r="AW564" s="1">
        <v>4</v>
      </c>
      <c r="AX564" s="1" t="s">
        <v>74</v>
      </c>
      <c r="AY564" s="1" t="s">
        <v>74</v>
      </c>
      <c r="AZ564" s="1" t="s">
        <v>74</v>
      </c>
      <c r="BA564" s="1" t="s">
        <v>74</v>
      </c>
      <c r="BB564" s="1">
        <v>402</v>
      </c>
      <c r="BC564" s="1">
        <v>408</v>
      </c>
      <c r="BD564" s="1" t="s">
        <v>74</v>
      </c>
      <c r="BE564" s="1" t="s">
        <v>9751</v>
      </c>
      <c r="BF564" s="1" t="str">
        <f>HYPERLINK("http://dx.doi.org/10.1007/s00128-013-1077-5","http://dx.doi.org/10.1007/s00128-013-1077-5")</f>
        <v>http://dx.doi.org/10.1007/s00128-013-1077-5</v>
      </c>
      <c r="BG564" s="1" t="s">
        <v>74</v>
      </c>
      <c r="BH564" s="1" t="s">
        <v>74</v>
      </c>
      <c r="BI564" s="1">
        <v>7</v>
      </c>
      <c r="BJ564" s="1" t="s">
        <v>121</v>
      </c>
      <c r="BK564" s="1" t="s">
        <v>96</v>
      </c>
      <c r="BL564" s="1" t="s">
        <v>122</v>
      </c>
      <c r="BM564" s="1" t="s">
        <v>9752</v>
      </c>
      <c r="BN564" s="1">
        <v>23928883</v>
      </c>
      <c r="BO564" s="1" t="s">
        <v>74</v>
      </c>
      <c r="BP564" s="1" t="s">
        <v>74</v>
      </c>
      <c r="BQ564" s="1" t="s">
        <v>74</v>
      </c>
      <c r="BR564" s="1" t="s">
        <v>98</v>
      </c>
      <c r="BS564" s="1" t="s">
        <v>9753</v>
      </c>
      <c r="BT564" s="1" t="str">
        <f>HYPERLINK("https%3A%2F%2Fwww.webofscience.com%2Fwos%2Fwoscc%2Ffull-record%2FWOS:000324878500008","View Full Record in Web of Science")</f>
        <v>View Full Record in Web of Science</v>
      </c>
    </row>
    <row r="565" spans="1:72">
      <c r="A565" s="1" t="s">
        <v>72</v>
      </c>
      <c r="B565" s="1" t="s">
        <v>9754</v>
      </c>
      <c r="C565" s="1" t="s">
        <v>74</v>
      </c>
      <c r="D565" s="1" t="s">
        <v>74</v>
      </c>
      <c r="E565" s="1" t="s">
        <v>74</v>
      </c>
      <c r="F565" s="1" t="s">
        <v>9755</v>
      </c>
      <c r="G565" s="1" t="s">
        <v>74</v>
      </c>
      <c r="H565" s="1" t="s">
        <v>74</v>
      </c>
      <c r="I565" s="1" t="s">
        <v>9756</v>
      </c>
      <c r="J565" s="1" t="s">
        <v>9757</v>
      </c>
      <c r="K565" s="1" t="s">
        <v>74</v>
      </c>
      <c r="L565" s="1" t="s">
        <v>74</v>
      </c>
      <c r="M565" s="1" t="s">
        <v>78</v>
      </c>
      <c r="N565" s="1" t="s">
        <v>79</v>
      </c>
      <c r="O565" s="1" t="s">
        <v>74</v>
      </c>
      <c r="P565" s="1" t="s">
        <v>74</v>
      </c>
      <c r="Q565" s="1" t="s">
        <v>74</v>
      </c>
      <c r="R565" s="1" t="s">
        <v>74</v>
      </c>
      <c r="S565" s="1" t="s">
        <v>74</v>
      </c>
      <c r="T565" s="1" t="s">
        <v>9758</v>
      </c>
      <c r="U565" s="1" t="s">
        <v>9759</v>
      </c>
      <c r="V565" s="1" t="s">
        <v>9760</v>
      </c>
      <c r="W565" s="1" t="s">
        <v>9761</v>
      </c>
      <c r="X565" s="1" t="s">
        <v>3483</v>
      </c>
      <c r="Y565" s="1" t="s">
        <v>1954</v>
      </c>
      <c r="Z565" s="1" t="s">
        <v>9762</v>
      </c>
      <c r="AA565" s="1" t="s">
        <v>9763</v>
      </c>
      <c r="AB565" s="1" t="s">
        <v>9764</v>
      </c>
      <c r="AC565" s="1" t="s">
        <v>9765</v>
      </c>
      <c r="AD565" s="1" t="s">
        <v>9766</v>
      </c>
      <c r="AE565" s="1" t="s">
        <v>9767</v>
      </c>
      <c r="AF565" s="1" t="s">
        <v>74</v>
      </c>
      <c r="AG565" s="1">
        <v>60</v>
      </c>
      <c r="AH565" s="1">
        <v>10</v>
      </c>
      <c r="AI565" s="1">
        <v>10</v>
      </c>
      <c r="AJ565" s="1">
        <v>1</v>
      </c>
      <c r="AK565" s="1">
        <v>17</v>
      </c>
      <c r="AL565" s="1" t="s">
        <v>1566</v>
      </c>
      <c r="AM565" s="1" t="s">
        <v>1567</v>
      </c>
      <c r="AN565" s="1" t="s">
        <v>1568</v>
      </c>
      <c r="AO565" s="1" t="s">
        <v>74</v>
      </c>
      <c r="AP565" s="1" t="s">
        <v>9768</v>
      </c>
      <c r="AQ565" s="1" t="s">
        <v>74</v>
      </c>
      <c r="AR565" s="1" t="s">
        <v>9757</v>
      </c>
      <c r="AS565" s="1" t="s">
        <v>9769</v>
      </c>
      <c r="AT565" s="1" t="s">
        <v>267</v>
      </c>
      <c r="AU565" s="1">
        <v>2019</v>
      </c>
      <c r="AV565" s="1">
        <v>7</v>
      </c>
      <c r="AW565" s="1">
        <v>10</v>
      </c>
      <c r="AX565" s="1" t="s">
        <v>74</v>
      </c>
      <c r="AY565" s="1" t="s">
        <v>74</v>
      </c>
      <c r="AZ565" s="1" t="s">
        <v>74</v>
      </c>
      <c r="BA565" s="1" t="s">
        <v>74</v>
      </c>
      <c r="BB565" s="1" t="s">
        <v>74</v>
      </c>
      <c r="BC565" s="1" t="s">
        <v>74</v>
      </c>
      <c r="BD565" s="1">
        <v>748</v>
      </c>
      <c r="BE565" s="1" t="s">
        <v>9770</v>
      </c>
      <c r="BF565" s="1" t="str">
        <f>HYPERLINK("http://dx.doi.org/10.3390/pr7100748","http://dx.doi.org/10.3390/pr7100748")</f>
        <v>http://dx.doi.org/10.3390/pr7100748</v>
      </c>
      <c r="BG565" s="1" t="s">
        <v>74</v>
      </c>
      <c r="BH565" s="1" t="s">
        <v>74</v>
      </c>
      <c r="BI565" s="1">
        <v>13</v>
      </c>
      <c r="BJ565" s="1" t="s">
        <v>9771</v>
      </c>
      <c r="BK565" s="1" t="s">
        <v>96</v>
      </c>
      <c r="BL565" s="1" t="s">
        <v>3992</v>
      </c>
      <c r="BM565" s="1" t="s">
        <v>9772</v>
      </c>
      <c r="BN565" s="1" t="s">
        <v>74</v>
      </c>
      <c r="BO565" s="1" t="s">
        <v>2155</v>
      </c>
      <c r="BP565" s="1" t="s">
        <v>74</v>
      </c>
      <c r="BQ565" s="1" t="s">
        <v>74</v>
      </c>
      <c r="BR565" s="1" t="s">
        <v>98</v>
      </c>
      <c r="BS565" s="1" t="s">
        <v>9773</v>
      </c>
      <c r="BT565" s="1" t="str">
        <f>HYPERLINK("https%3A%2F%2Fwww.webofscience.com%2Fwos%2Fwoscc%2Ffull-record%2FWOS:000495436200110","View Full Record in Web of Science")</f>
        <v>View Full Record in Web of Science</v>
      </c>
    </row>
    <row r="566" spans="1:72">
      <c r="A566" s="1" t="s">
        <v>72</v>
      </c>
      <c r="B566" s="1" t="s">
        <v>9774</v>
      </c>
      <c r="C566" s="1" t="s">
        <v>74</v>
      </c>
      <c r="D566" s="1" t="s">
        <v>74</v>
      </c>
      <c r="E566" s="1" t="s">
        <v>74</v>
      </c>
      <c r="F566" s="1" t="s">
        <v>9774</v>
      </c>
      <c r="G566" s="1" t="s">
        <v>74</v>
      </c>
      <c r="H566" s="1" t="s">
        <v>74</v>
      </c>
      <c r="I566" s="1" t="s">
        <v>9775</v>
      </c>
      <c r="J566" s="1" t="s">
        <v>232</v>
      </c>
      <c r="K566" s="1" t="s">
        <v>74</v>
      </c>
      <c r="L566" s="1" t="s">
        <v>74</v>
      </c>
      <c r="M566" s="1" t="s">
        <v>78</v>
      </c>
      <c r="N566" s="1" t="s">
        <v>79</v>
      </c>
      <c r="O566" s="1" t="s">
        <v>74</v>
      </c>
      <c r="P566" s="1" t="s">
        <v>74</v>
      </c>
      <c r="Q566" s="1" t="s">
        <v>74</v>
      </c>
      <c r="R566" s="1" t="s">
        <v>74</v>
      </c>
      <c r="S566" s="1" t="s">
        <v>74</v>
      </c>
      <c r="T566" s="1" t="s">
        <v>9776</v>
      </c>
      <c r="U566" s="1" t="s">
        <v>9777</v>
      </c>
      <c r="V566" s="1" t="s">
        <v>9778</v>
      </c>
      <c r="W566" s="1" t="s">
        <v>9779</v>
      </c>
      <c r="X566" s="1" t="s">
        <v>9780</v>
      </c>
      <c r="Y566" s="1" t="s">
        <v>9781</v>
      </c>
      <c r="Z566" s="1" t="s">
        <v>9782</v>
      </c>
      <c r="AA566" s="1" t="s">
        <v>9783</v>
      </c>
      <c r="AB566" s="1" t="s">
        <v>9784</v>
      </c>
      <c r="AC566" s="1" t="s">
        <v>74</v>
      </c>
      <c r="AD566" s="1" t="s">
        <v>74</v>
      </c>
      <c r="AE566" s="1" t="s">
        <v>74</v>
      </c>
      <c r="AF566" s="1" t="s">
        <v>74</v>
      </c>
      <c r="AG566" s="1">
        <v>28</v>
      </c>
      <c r="AH566" s="1">
        <v>139</v>
      </c>
      <c r="AI566" s="1">
        <v>151</v>
      </c>
      <c r="AJ566" s="1">
        <v>0</v>
      </c>
      <c r="AK566" s="1">
        <v>20</v>
      </c>
      <c r="AL566" s="1" t="s">
        <v>136</v>
      </c>
      <c r="AM566" s="1" t="s">
        <v>137</v>
      </c>
      <c r="AN566" s="1" t="s">
        <v>138</v>
      </c>
      <c r="AO566" s="1" t="s">
        <v>240</v>
      </c>
      <c r="AP566" s="1" t="s">
        <v>241</v>
      </c>
      <c r="AQ566" s="1" t="s">
        <v>74</v>
      </c>
      <c r="AR566" s="1" t="s">
        <v>242</v>
      </c>
      <c r="AS566" s="1" t="s">
        <v>243</v>
      </c>
      <c r="AT566" s="1" t="s">
        <v>305</v>
      </c>
      <c r="AU566" s="1">
        <v>2004</v>
      </c>
      <c r="AV566" s="1">
        <v>49</v>
      </c>
      <c r="AW566" s="1" t="s">
        <v>2706</v>
      </c>
      <c r="AX566" s="1" t="s">
        <v>74</v>
      </c>
      <c r="AY566" s="1" t="s">
        <v>74</v>
      </c>
      <c r="AZ566" s="1" t="s">
        <v>74</v>
      </c>
      <c r="BA566" s="1" t="s">
        <v>74</v>
      </c>
      <c r="BB566" s="1">
        <v>386</v>
      </c>
      <c r="BC566" s="1">
        <v>392</v>
      </c>
      <c r="BD566" s="1" t="s">
        <v>74</v>
      </c>
      <c r="BE566" s="1" t="s">
        <v>9785</v>
      </c>
      <c r="BF566" s="1" t="str">
        <f>HYPERLINK("http://dx.doi.org/10.1016/j.marpolbul.2004.02.020","http://dx.doi.org/10.1016/j.marpolbul.2004.02.020")</f>
        <v>http://dx.doi.org/10.1016/j.marpolbul.2004.02.020</v>
      </c>
      <c r="BG566" s="1" t="s">
        <v>74</v>
      </c>
      <c r="BH566" s="1" t="s">
        <v>74</v>
      </c>
      <c r="BI566" s="1">
        <v>7</v>
      </c>
      <c r="BJ566" s="1" t="s">
        <v>247</v>
      </c>
      <c r="BK566" s="1" t="s">
        <v>96</v>
      </c>
      <c r="BL566" s="1" t="s">
        <v>248</v>
      </c>
      <c r="BM566" s="1" t="s">
        <v>7186</v>
      </c>
      <c r="BN566" s="1">
        <v>15325206</v>
      </c>
      <c r="BO566" s="1" t="s">
        <v>74</v>
      </c>
      <c r="BP566" s="1" t="s">
        <v>74</v>
      </c>
      <c r="BQ566" s="1" t="s">
        <v>74</v>
      </c>
      <c r="BR566" s="1" t="s">
        <v>98</v>
      </c>
      <c r="BS566" s="1" t="s">
        <v>9786</v>
      </c>
      <c r="BT566" s="1" t="str">
        <f>HYPERLINK("https%3A%2F%2Fwww.webofscience.com%2Fwos%2Fwoscc%2Ffull-record%2FWOS:000223817200016","View Full Record in Web of Science")</f>
        <v>View Full Record in Web of Science</v>
      </c>
    </row>
    <row r="567" spans="1:72">
      <c r="A567" s="1" t="s">
        <v>72</v>
      </c>
      <c r="B567" s="1" t="s">
        <v>9787</v>
      </c>
      <c r="C567" s="1" t="s">
        <v>74</v>
      </c>
      <c r="D567" s="1" t="s">
        <v>74</v>
      </c>
      <c r="E567" s="1" t="s">
        <v>74</v>
      </c>
      <c r="F567" s="1" t="s">
        <v>9788</v>
      </c>
      <c r="G567" s="1" t="s">
        <v>74</v>
      </c>
      <c r="H567" s="1" t="s">
        <v>74</v>
      </c>
      <c r="I567" s="1" t="s">
        <v>9789</v>
      </c>
      <c r="J567" s="1" t="s">
        <v>641</v>
      </c>
      <c r="K567" s="1" t="s">
        <v>74</v>
      </c>
      <c r="L567" s="1" t="s">
        <v>74</v>
      </c>
      <c r="M567" s="1" t="s">
        <v>78</v>
      </c>
      <c r="N567" s="1" t="s">
        <v>79</v>
      </c>
      <c r="O567" s="1" t="s">
        <v>74</v>
      </c>
      <c r="P567" s="1" t="s">
        <v>74</v>
      </c>
      <c r="Q567" s="1" t="s">
        <v>74</v>
      </c>
      <c r="R567" s="1" t="s">
        <v>74</v>
      </c>
      <c r="S567" s="1" t="s">
        <v>74</v>
      </c>
      <c r="T567" s="1" t="s">
        <v>9790</v>
      </c>
      <c r="U567" s="1" t="s">
        <v>9791</v>
      </c>
      <c r="V567" s="1" t="s">
        <v>9792</v>
      </c>
      <c r="W567" s="1" t="s">
        <v>9793</v>
      </c>
      <c r="X567" s="1" t="s">
        <v>9794</v>
      </c>
      <c r="Y567" s="1" t="s">
        <v>9795</v>
      </c>
      <c r="Z567" s="1" t="s">
        <v>9796</v>
      </c>
      <c r="AA567" s="1" t="s">
        <v>9797</v>
      </c>
      <c r="AB567" s="1" t="s">
        <v>9798</v>
      </c>
      <c r="AC567" s="1" t="s">
        <v>9799</v>
      </c>
      <c r="AD567" s="1" t="s">
        <v>9800</v>
      </c>
      <c r="AE567" s="1" t="s">
        <v>9801</v>
      </c>
      <c r="AF567" s="1" t="s">
        <v>74</v>
      </c>
      <c r="AG567" s="1">
        <v>54</v>
      </c>
      <c r="AH567" s="1">
        <v>21</v>
      </c>
      <c r="AI567" s="1">
        <v>23</v>
      </c>
      <c r="AJ567" s="1">
        <v>3</v>
      </c>
      <c r="AK567" s="1">
        <v>80</v>
      </c>
      <c r="AL567" s="1" t="s">
        <v>919</v>
      </c>
      <c r="AM567" s="1" t="s">
        <v>651</v>
      </c>
      <c r="AN567" s="1" t="s">
        <v>920</v>
      </c>
      <c r="AO567" s="1" t="s">
        <v>653</v>
      </c>
      <c r="AP567" s="1" t="s">
        <v>654</v>
      </c>
      <c r="AQ567" s="1" t="s">
        <v>74</v>
      </c>
      <c r="AR567" s="1" t="s">
        <v>655</v>
      </c>
      <c r="AS567" s="1" t="s">
        <v>656</v>
      </c>
      <c r="AT567" s="1" t="s">
        <v>267</v>
      </c>
      <c r="AU567" s="1">
        <v>2018</v>
      </c>
      <c r="AV567" s="1">
        <v>203</v>
      </c>
      <c r="AW567" s="1" t="s">
        <v>74</v>
      </c>
      <c r="AX567" s="1" t="s">
        <v>74</v>
      </c>
      <c r="AY567" s="1" t="s">
        <v>74</v>
      </c>
      <c r="AZ567" s="1" t="s">
        <v>74</v>
      </c>
      <c r="BA567" s="1" t="s">
        <v>74</v>
      </c>
      <c r="BB567" s="1">
        <v>61</v>
      </c>
      <c r="BC567" s="1">
        <v>68</v>
      </c>
      <c r="BD567" s="1" t="s">
        <v>74</v>
      </c>
      <c r="BE567" s="1" t="s">
        <v>9802</v>
      </c>
      <c r="BF567" s="1" t="str">
        <f>HYPERLINK("http://dx.doi.org/10.1016/j.aquatox.2018.08.003","http://dx.doi.org/10.1016/j.aquatox.2018.08.003")</f>
        <v>http://dx.doi.org/10.1016/j.aquatox.2018.08.003</v>
      </c>
      <c r="BG567" s="1" t="s">
        <v>74</v>
      </c>
      <c r="BH567" s="1" t="s">
        <v>74</v>
      </c>
      <c r="BI567" s="1">
        <v>8</v>
      </c>
      <c r="BJ567" s="1" t="s">
        <v>659</v>
      </c>
      <c r="BK567" s="1" t="s">
        <v>96</v>
      </c>
      <c r="BL567" s="1" t="s">
        <v>659</v>
      </c>
      <c r="BM567" s="1" t="s">
        <v>9803</v>
      </c>
      <c r="BN567" s="1">
        <v>30096478</v>
      </c>
      <c r="BO567" s="1" t="s">
        <v>74</v>
      </c>
      <c r="BP567" s="1" t="s">
        <v>74</v>
      </c>
      <c r="BQ567" s="1" t="s">
        <v>74</v>
      </c>
      <c r="BR567" s="1" t="s">
        <v>98</v>
      </c>
      <c r="BS567" s="1" t="s">
        <v>9804</v>
      </c>
      <c r="BT567" s="1" t="str">
        <f>HYPERLINK("https%3A%2F%2Fwww.webofscience.com%2Fwos%2Fwoscc%2Ffull-record%2FWOS:000446147500007","View Full Record in Web of Science")</f>
        <v>View Full Record in Web of Science</v>
      </c>
    </row>
    <row r="568" spans="1:72">
      <c r="A568" s="1" t="s">
        <v>72</v>
      </c>
      <c r="B568" s="1" t="s">
        <v>9805</v>
      </c>
      <c r="C568" s="1" t="s">
        <v>74</v>
      </c>
      <c r="D568" s="1" t="s">
        <v>74</v>
      </c>
      <c r="E568" s="1" t="s">
        <v>74</v>
      </c>
      <c r="F568" s="1" t="s">
        <v>9805</v>
      </c>
      <c r="G568" s="1" t="s">
        <v>74</v>
      </c>
      <c r="H568" s="1" t="s">
        <v>74</v>
      </c>
      <c r="I568" s="1" t="s">
        <v>9806</v>
      </c>
      <c r="J568" s="1" t="s">
        <v>909</v>
      </c>
      <c r="K568" s="1" t="s">
        <v>74</v>
      </c>
      <c r="L568" s="1" t="s">
        <v>74</v>
      </c>
      <c r="M568" s="1" t="s">
        <v>78</v>
      </c>
      <c r="N568" s="1" t="s">
        <v>151</v>
      </c>
      <c r="O568" s="1" t="s">
        <v>3302</v>
      </c>
      <c r="P568" s="1" t="s">
        <v>3303</v>
      </c>
      <c r="Q568" s="1" t="s">
        <v>3304</v>
      </c>
      <c r="R568" s="1" t="s">
        <v>74</v>
      </c>
      <c r="S568" s="1" t="s">
        <v>74</v>
      </c>
      <c r="T568" s="1" t="s">
        <v>9807</v>
      </c>
      <c r="U568" s="1" t="s">
        <v>9808</v>
      </c>
      <c r="V568" s="1" t="s">
        <v>9809</v>
      </c>
      <c r="W568" s="1" t="s">
        <v>9810</v>
      </c>
      <c r="X568" s="1" t="s">
        <v>9811</v>
      </c>
      <c r="Y568" s="1" t="s">
        <v>9812</v>
      </c>
      <c r="Z568" s="1" t="s">
        <v>9813</v>
      </c>
      <c r="AA568" s="1" t="s">
        <v>74</v>
      </c>
      <c r="AB568" s="1" t="s">
        <v>74</v>
      </c>
      <c r="AC568" s="1" t="s">
        <v>74</v>
      </c>
      <c r="AD568" s="1" t="s">
        <v>74</v>
      </c>
      <c r="AE568" s="1" t="s">
        <v>74</v>
      </c>
      <c r="AF568" s="1" t="s">
        <v>74</v>
      </c>
      <c r="AG568" s="1">
        <v>34</v>
      </c>
      <c r="AH568" s="1">
        <v>16</v>
      </c>
      <c r="AI568" s="1">
        <v>18</v>
      </c>
      <c r="AJ568" s="1">
        <v>1</v>
      </c>
      <c r="AK568" s="1">
        <v>8</v>
      </c>
      <c r="AL568" s="1" t="s">
        <v>919</v>
      </c>
      <c r="AM568" s="1" t="s">
        <v>651</v>
      </c>
      <c r="AN568" s="1" t="s">
        <v>920</v>
      </c>
      <c r="AO568" s="1" t="s">
        <v>921</v>
      </c>
      <c r="AP568" s="1" t="s">
        <v>922</v>
      </c>
      <c r="AQ568" s="1" t="s">
        <v>74</v>
      </c>
      <c r="AR568" s="1" t="s">
        <v>923</v>
      </c>
      <c r="AS568" s="1" t="s">
        <v>924</v>
      </c>
      <c r="AT568" s="1" t="s">
        <v>3312</v>
      </c>
      <c r="AU568" s="1">
        <v>2000</v>
      </c>
      <c r="AV568" s="1">
        <v>261</v>
      </c>
      <c r="AW568" s="1" t="s">
        <v>2847</v>
      </c>
      <c r="AX568" s="1" t="s">
        <v>74</v>
      </c>
      <c r="AY568" s="1" t="s">
        <v>74</v>
      </c>
      <c r="AZ568" s="1" t="s">
        <v>74</v>
      </c>
      <c r="BA568" s="1" t="s">
        <v>74</v>
      </c>
      <c r="BB568" s="1">
        <v>75</v>
      </c>
      <c r="BC568" s="1">
        <v>89</v>
      </c>
      <c r="BD568" s="1" t="s">
        <v>74</v>
      </c>
      <c r="BE568" s="1" t="s">
        <v>9814</v>
      </c>
      <c r="BF568" s="1" t="str">
        <f>HYPERLINK("http://dx.doi.org/10.1016/S0048-9697(00)00626-4","http://dx.doi.org/10.1016/S0048-9697(00)00626-4")</f>
        <v>http://dx.doi.org/10.1016/S0048-9697(00)00626-4</v>
      </c>
      <c r="BG568" s="1" t="s">
        <v>74</v>
      </c>
      <c r="BH568" s="1" t="s">
        <v>74</v>
      </c>
      <c r="BI568" s="1">
        <v>15</v>
      </c>
      <c r="BJ568" s="1" t="s">
        <v>144</v>
      </c>
      <c r="BK568" s="1" t="s">
        <v>172</v>
      </c>
      <c r="BL568" s="1" t="s">
        <v>145</v>
      </c>
      <c r="BM568" s="1" t="s">
        <v>3314</v>
      </c>
      <c r="BN568" s="1">
        <v>11036979</v>
      </c>
      <c r="BO568" s="1" t="s">
        <v>74</v>
      </c>
      <c r="BP568" s="1" t="s">
        <v>74</v>
      </c>
      <c r="BQ568" s="1" t="s">
        <v>74</v>
      </c>
      <c r="BR568" s="1" t="s">
        <v>98</v>
      </c>
      <c r="BS568" s="1" t="s">
        <v>9815</v>
      </c>
      <c r="BT568" s="1" t="str">
        <f>HYPERLINK("https%3A%2F%2Fwww.webofscience.com%2Fwos%2Fwoscc%2Ffull-record%2FWOS:000089587200008","View Full Record in Web of Science")</f>
        <v>View Full Record in Web of Science</v>
      </c>
    </row>
    <row r="569" spans="1:72">
      <c r="A569" s="1" t="s">
        <v>72</v>
      </c>
      <c r="B569" s="1" t="s">
        <v>9816</v>
      </c>
      <c r="C569" s="1" t="s">
        <v>74</v>
      </c>
      <c r="D569" s="1" t="s">
        <v>74</v>
      </c>
      <c r="E569" s="1" t="s">
        <v>74</v>
      </c>
      <c r="F569" s="1" t="s">
        <v>9816</v>
      </c>
      <c r="G569" s="1" t="s">
        <v>74</v>
      </c>
      <c r="H569" s="1" t="s">
        <v>74</v>
      </c>
      <c r="I569" s="1" t="s">
        <v>9817</v>
      </c>
      <c r="J569" s="1" t="s">
        <v>704</v>
      </c>
      <c r="K569" s="1" t="s">
        <v>74</v>
      </c>
      <c r="L569" s="1" t="s">
        <v>74</v>
      </c>
      <c r="M569" s="1" t="s">
        <v>78</v>
      </c>
      <c r="N569" s="1" t="s">
        <v>79</v>
      </c>
      <c r="O569" s="1" t="s">
        <v>74</v>
      </c>
      <c r="P569" s="1" t="s">
        <v>74</v>
      </c>
      <c r="Q569" s="1" t="s">
        <v>74</v>
      </c>
      <c r="R569" s="1" t="s">
        <v>74</v>
      </c>
      <c r="S569" s="1" t="s">
        <v>74</v>
      </c>
      <c r="T569" s="1" t="s">
        <v>9818</v>
      </c>
      <c r="U569" s="1" t="s">
        <v>9819</v>
      </c>
      <c r="V569" s="1" t="s">
        <v>9820</v>
      </c>
      <c r="W569" s="1" t="s">
        <v>9821</v>
      </c>
      <c r="X569" s="1" t="s">
        <v>9822</v>
      </c>
      <c r="Y569" s="1" t="s">
        <v>9823</v>
      </c>
      <c r="Z569" s="1" t="s">
        <v>74</v>
      </c>
      <c r="AA569" s="1" t="s">
        <v>9824</v>
      </c>
      <c r="AB569" s="1" t="s">
        <v>74</v>
      </c>
      <c r="AC569" s="1" t="s">
        <v>74</v>
      </c>
      <c r="AD569" s="1" t="s">
        <v>74</v>
      </c>
      <c r="AE569" s="1" t="s">
        <v>74</v>
      </c>
      <c r="AF569" s="1" t="s">
        <v>74</v>
      </c>
      <c r="AG569" s="1">
        <v>32</v>
      </c>
      <c r="AH569" s="1">
        <v>67</v>
      </c>
      <c r="AI569" s="1">
        <v>80</v>
      </c>
      <c r="AJ569" s="1">
        <v>0</v>
      </c>
      <c r="AK569" s="1">
        <v>24</v>
      </c>
      <c r="AL569" s="1" t="s">
        <v>716</v>
      </c>
      <c r="AM569" s="1" t="s">
        <v>191</v>
      </c>
      <c r="AN569" s="1" t="s">
        <v>192</v>
      </c>
      <c r="AO569" s="1" t="s">
        <v>718</v>
      </c>
      <c r="AP569" s="1" t="s">
        <v>74</v>
      </c>
      <c r="AQ569" s="1" t="s">
        <v>74</v>
      </c>
      <c r="AR569" s="1" t="s">
        <v>719</v>
      </c>
      <c r="AS569" s="1" t="s">
        <v>720</v>
      </c>
      <c r="AT569" s="1" t="s">
        <v>1223</v>
      </c>
      <c r="AU569" s="1">
        <v>2002</v>
      </c>
      <c r="AV569" s="1">
        <v>135</v>
      </c>
      <c r="AW569" s="1" t="s">
        <v>721</v>
      </c>
      <c r="AX569" s="1" t="s">
        <v>74</v>
      </c>
      <c r="AY569" s="1" t="s">
        <v>74</v>
      </c>
      <c r="AZ569" s="1" t="s">
        <v>74</v>
      </c>
      <c r="BA569" s="1" t="s">
        <v>74</v>
      </c>
      <c r="BB569" s="1">
        <v>355</v>
      </c>
      <c r="BC569" s="1">
        <v>370</v>
      </c>
      <c r="BD569" s="1" t="s">
        <v>74</v>
      </c>
      <c r="BE569" s="1" t="s">
        <v>9825</v>
      </c>
      <c r="BF569" s="1" t="str">
        <f>HYPERLINK("http://dx.doi.org/10.1023/A:1014798012212","http://dx.doi.org/10.1023/A:1014798012212")</f>
        <v>http://dx.doi.org/10.1023/A:1014798012212</v>
      </c>
      <c r="BG569" s="1" t="s">
        <v>74</v>
      </c>
      <c r="BH569" s="1" t="s">
        <v>74</v>
      </c>
      <c r="BI569" s="1">
        <v>16</v>
      </c>
      <c r="BJ569" s="1" t="s">
        <v>722</v>
      </c>
      <c r="BK569" s="1" t="s">
        <v>96</v>
      </c>
      <c r="BL569" s="1" t="s">
        <v>723</v>
      </c>
      <c r="BM569" s="1" t="s">
        <v>9826</v>
      </c>
      <c r="BN569" s="1" t="s">
        <v>74</v>
      </c>
      <c r="BO569" s="1" t="s">
        <v>74</v>
      </c>
      <c r="BP569" s="1" t="s">
        <v>74</v>
      </c>
      <c r="BQ569" s="1" t="s">
        <v>74</v>
      </c>
      <c r="BR569" s="1" t="s">
        <v>98</v>
      </c>
      <c r="BS569" s="1" t="s">
        <v>9827</v>
      </c>
      <c r="BT569" s="1" t="str">
        <f>HYPERLINK("https%3A%2F%2Fwww.webofscience.com%2Fwos%2Fwoscc%2Ffull-record%2FWOS:000174493100023","View Full Record in Web of Science")</f>
        <v>View Full Record in Web of Science</v>
      </c>
    </row>
    <row r="570" spans="1:72">
      <c r="A570" s="1" t="s">
        <v>72</v>
      </c>
      <c r="B570" s="1" t="s">
        <v>9828</v>
      </c>
      <c r="C570" s="1" t="s">
        <v>74</v>
      </c>
      <c r="D570" s="1" t="s">
        <v>74</v>
      </c>
      <c r="E570" s="1" t="s">
        <v>74</v>
      </c>
      <c r="F570" s="1" t="s">
        <v>9829</v>
      </c>
      <c r="G570" s="1" t="s">
        <v>74</v>
      </c>
      <c r="H570" s="1" t="s">
        <v>74</v>
      </c>
      <c r="I570" s="1" t="s">
        <v>9830</v>
      </c>
      <c r="J570" s="1" t="s">
        <v>232</v>
      </c>
      <c r="K570" s="1" t="s">
        <v>74</v>
      </c>
      <c r="L570" s="1" t="s">
        <v>74</v>
      </c>
      <c r="M570" s="1" t="s">
        <v>78</v>
      </c>
      <c r="N570" s="1" t="s">
        <v>79</v>
      </c>
      <c r="O570" s="1" t="s">
        <v>74</v>
      </c>
      <c r="P570" s="1" t="s">
        <v>74</v>
      </c>
      <c r="Q570" s="1" t="s">
        <v>74</v>
      </c>
      <c r="R570" s="1" t="s">
        <v>74</v>
      </c>
      <c r="S570" s="1" t="s">
        <v>74</v>
      </c>
      <c r="T570" s="1" t="s">
        <v>9831</v>
      </c>
      <c r="U570" s="1" t="s">
        <v>9832</v>
      </c>
      <c r="V570" s="1" t="s">
        <v>9833</v>
      </c>
      <c r="W570" s="1" t="s">
        <v>9834</v>
      </c>
      <c r="X570" s="1" t="s">
        <v>9835</v>
      </c>
      <c r="Y570" s="1" t="s">
        <v>6008</v>
      </c>
      <c r="Z570" s="1" t="s">
        <v>6009</v>
      </c>
      <c r="AA570" s="1" t="s">
        <v>74</v>
      </c>
      <c r="AB570" s="1" t="s">
        <v>9836</v>
      </c>
      <c r="AC570" s="1" t="s">
        <v>9837</v>
      </c>
      <c r="AD570" s="1" t="s">
        <v>9838</v>
      </c>
      <c r="AE570" s="1" t="s">
        <v>9839</v>
      </c>
      <c r="AF570" s="1" t="s">
        <v>74</v>
      </c>
      <c r="AG570" s="1">
        <v>40</v>
      </c>
      <c r="AH570" s="1">
        <v>26</v>
      </c>
      <c r="AI570" s="1">
        <v>29</v>
      </c>
      <c r="AJ570" s="1">
        <v>1</v>
      </c>
      <c r="AK570" s="1">
        <v>23</v>
      </c>
      <c r="AL570" s="1" t="s">
        <v>136</v>
      </c>
      <c r="AM570" s="1" t="s">
        <v>137</v>
      </c>
      <c r="AN570" s="1" t="s">
        <v>138</v>
      </c>
      <c r="AO570" s="1" t="s">
        <v>240</v>
      </c>
      <c r="AP570" s="1" t="s">
        <v>241</v>
      </c>
      <c r="AQ570" s="1" t="s">
        <v>74</v>
      </c>
      <c r="AR570" s="1" t="s">
        <v>242</v>
      </c>
      <c r="AS570" s="1" t="s">
        <v>243</v>
      </c>
      <c r="AT570" s="1" t="s">
        <v>267</v>
      </c>
      <c r="AU570" s="1">
        <v>2018</v>
      </c>
      <c r="AV570" s="1">
        <v>135</v>
      </c>
      <c r="AW570" s="1" t="s">
        <v>74</v>
      </c>
      <c r="AX570" s="1" t="s">
        <v>74</v>
      </c>
      <c r="AY570" s="1" t="s">
        <v>74</v>
      </c>
      <c r="AZ570" s="1" t="s">
        <v>74</v>
      </c>
      <c r="BA570" s="1" t="s">
        <v>74</v>
      </c>
      <c r="BB570" s="1">
        <v>69</v>
      </c>
      <c r="BC570" s="1">
        <v>74</v>
      </c>
      <c r="BD570" s="1" t="s">
        <v>74</v>
      </c>
      <c r="BE570" s="1" t="s">
        <v>9840</v>
      </c>
      <c r="BF570" s="1" t="str">
        <f>HYPERLINK("http://dx.doi.org/10.1016/j.marpolbul.2018.07.007","http://dx.doi.org/10.1016/j.marpolbul.2018.07.007")</f>
        <v>http://dx.doi.org/10.1016/j.marpolbul.2018.07.007</v>
      </c>
      <c r="BG570" s="1" t="s">
        <v>74</v>
      </c>
      <c r="BH570" s="1" t="s">
        <v>74</v>
      </c>
      <c r="BI570" s="1">
        <v>6</v>
      </c>
      <c r="BJ570" s="1" t="s">
        <v>247</v>
      </c>
      <c r="BK570" s="1" t="s">
        <v>96</v>
      </c>
      <c r="BL570" s="1" t="s">
        <v>248</v>
      </c>
      <c r="BM570" s="1" t="s">
        <v>9841</v>
      </c>
      <c r="BN570" s="1">
        <v>30301087</v>
      </c>
      <c r="BO570" s="1" t="s">
        <v>74</v>
      </c>
      <c r="BP570" s="1" t="s">
        <v>74</v>
      </c>
      <c r="BQ570" s="1" t="s">
        <v>74</v>
      </c>
      <c r="BR570" s="1" t="s">
        <v>98</v>
      </c>
      <c r="BS570" s="1" t="s">
        <v>9842</v>
      </c>
      <c r="BT570" s="1" t="str">
        <f>HYPERLINK("https%3A%2F%2Fwww.webofscience.com%2Fwos%2Fwoscc%2Ffull-record%2FWOS:000448094200009","View Full Record in Web of Science")</f>
        <v>View Full Record in Web of Science</v>
      </c>
    </row>
    <row r="571" spans="1:72">
      <c r="A571" s="1" t="s">
        <v>72</v>
      </c>
      <c r="B571" s="1" t="s">
        <v>9843</v>
      </c>
      <c r="C571" s="1" t="s">
        <v>74</v>
      </c>
      <c r="D571" s="1" t="s">
        <v>74</v>
      </c>
      <c r="E571" s="1" t="s">
        <v>74</v>
      </c>
      <c r="F571" s="1" t="s">
        <v>9844</v>
      </c>
      <c r="G571" s="1" t="s">
        <v>74</v>
      </c>
      <c r="H571" s="1" t="s">
        <v>74</v>
      </c>
      <c r="I571" s="1" t="s">
        <v>9845</v>
      </c>
      <c r="J571" s="1" t="s">
        <v>9846</v>
      </c>
      <c r="K571" s="1" t="s">
        <v>74</v>
      </c>
      <c r="L571" s="1" t="s">
        <v>74</v>
      </c>
      <c r="M571" s="1" t="s">
        <v>78</v>
      </c>
      <c r="N571" s="1" t="s">
        <v>79</v>
      </c>
      <c r="O571" s="1" t="s">
        <v>74</v>
      </c>
      <c r="P571" s="1" t="s">
        <v>74</v>
      </c>
      <c r="Q571" s="1" t="s">
        <v>74</v>
      </c>
      <c r="R571" s="1" t="s">
        <v>74</v>
      </c>
      <c r="S571" s="1" t="s">
        <v>74</v>
      </c>
      <c r="T571" s="1" t="s">
        <v>9847</v>
      </c>
      <c r="U571" s="1" t="s">
        <v>9848</v>
      </c>
      <c r="V571" s="1" t="s">
        <v>9849</v>
      </c>
      <c r="W571" s="1" t="s">
        <v>9850</v>
      </c>
      <c r="X571" s="1" t="s">
        <v>9851</v>
      </c>
      <c r="Y571" s="1" t="s">
        <v>9852</v>
      </c>
      <c r="Z571" s="1" t="s">
        <v>9853</v>
      </c>
      <c r="AA571" s="1" t="s">
        <v>9854</v>
      </c>
      <c r="AB571" s="1" t="s">
        <v>74</v>
      </c>
      <c r="AC571" s="1" t="s">
        <v>9855</v>
      </c>
      <c r="AD571" s="1" t="s">
        <v>9856</v>
      </c>
      <c r="AE571" s="1" t="s">
        <v>9857</v>
      </c>
      <c r="AF571" s="1" t="s">
        <v>74</v>
      </c>
      <c r="AG571" s="1">
        <v>38</v>
      </c>
      <c r="AH571" s="1">
        <v>0</v>
      </c>
      <c r="AI571" s="1">
        <v>0</v>
      </c>
      <c r="AJ571" s="1">
        <v>1</v>
      </c>
      <c r="AK571" s="1">
        <v>6</v>
      </c>
      <c r="AL571" s="1" t="s">
        <v>1166</v>
      </c>
      <c r="AM571" s="1" t="s">
        <v>1167</v>
      </c>
      <c r="AN571" s="1" t="s">
        <v>1168</v>
      </c>
      <c r="AO571" s="1" t="s">
        <v>9858</v>
      </c>
      <c r="AP571" s="1" t="s">
        <v>9859</v>
      </c>
      <c r="AQ571" s="1" t="s">
        <v>74</v>
      </c>
      <c r="AR571" s="1" t="s">
        <v>9860</v>
      </c>
      <c r="AS571" s="1" t="s">
        <v>9861</v>
      </c>
      <c r="AT571" s="1" t="s">
        <v>119</v>
      </c>
      <c r="AU571" s="1">
        <v>2024</v>
      </c>
      <c r="AV571" s="1">
        <v>72</v>
      </c>
      <c r="AW571" s="1">
        <v>4</v>
      </c>
      <c r="AX571" s="1" t="s">
        <v>74</v>
      </c>
      <c r="AY571" s="1" t="s">
        <v>74</v>
      </c>
      <c r="AZ571" s="1" t="s">
        <v>74</v>
      </c>
      <c r="BA571" s="1" t="s">
        <v>74</v>
      </c>
      <c r="BB571" s="1">
        <v>2653</v>
      </c>
      <c r="BC571" s="1">
        <v>2662</v>
      </c>
      <c r="BD571" s="1" t="s">
        <v>74</v>
      </c>
      <c r="BE571" s="1" t="s">
        <v>9862</v>
      </c>
      <c r="BF571" s="1" t="str">
        <f>HYPERLINK("http://dx.doi.org/10.1007/s11600-023-01120-6","http://dx.doi.org/10.1007/s11600-023-01120-6")</f>
        <v>http://dx.doi.org/10.1007/s11600-023-01120-6</v>
      </c>
      <c r="BG571" s="1" t="s">
        <v>74</v>
      </c>
      <c r="BH571" s="1" t="s">
        <v>1121</v>
      </c>
      <c r="BI571" s="1">
        <v>10</v>
      </c>
      <c r="BJ571" s="1" t="s">
        <v>9863</v>
      </c>
      <c r="BK571" s="1" t="s">
        <v>96</v>
      </c>
      <c r="BL571" s="1" t="s">
        <v>9863</v>
      </c>
      <c r="BM571" s="1" t="s">
        <v>9864</v>
      </c>
      <c r="BN571" s="1" t="s">
        <v>74</v>
      </c>
      <c r="BO571" s="1" t="s">
        <v>74</v>
      </c>
      <c r="BP571" s="1" t="s">
        <v>74</v>
      </c>
      <c r="BQ571" s="1" t="s">
        <v>74</v>
      </c>
      <c r="BR571" s="1" t="s">
        <v>98</v>
      </c>
      <c r="BS571" s="1" t="s">
        <v>9865</v>
      </c>
      <c r="BT571" s="1" t="str">
        <f>HYPERLINK("https%3A%2F%2Fwww.webofscience.com%2Fwos%2Fwoscc%2Ffull-record%2FWOS:001033664000001","View Full Record in Web of Science")</f>
        <v>View Full Record in Web of Science</v>
      </c>
    </row>
    <row r="572" spans="1:72">
      <c r="A572" s="1" t="s">
        <v>72</v>
      </c>
      <c r="B572" s="1" t="s">
        <v>9866</v>
      </c>
      <c r="C572" s="1" t="s">
        <v>74</v>
      </c>
      <c r="D572" s="1" t="s">
        <v>74</v>
      </c>
      <c r="E572" s="1" t="s">
        <v>74</v>
      </c>
      <c r="F572" s="1" t="s">
        <v>9867</v>
      </c>
      <c r="G572" s="1" t="s">
        <v>74</v>
      </c>
      <c r="H572" s="1" t="s">
        <v>74</v>
      </c>
      <c r="I572" s="1" t="s">
        <v>9868</v>
      </c>
      <c r="J572" s="1" t="s">
        <v>232</v>
      </c>
      <c r="K572" s="1" t="s">
        <v>74</v>
      </c>
      <c r="L572" s="1" t="s">
        <v>74</v>
      </c>
      <c r="M572" s="1" t="s">
        <v>78</v>
      </c>
      <c r="N572" s="1" t="s">
        <v>79</v>
      </c>
      <c r="O572" s="1" t="s">
        <v>74</v>
      </c>
      <c r="P572" s="1" t="s">
        <v>74</v>
      </c>
      <c r="Q572" s="1" t="s">
        <v>74</v>
      </c>
      <c r="R572" s="1" t="s">
        <v>74</v>
      </c>
      <c r="S572" s="1" t="s">
        <v>74</v>
      </c>
      <c r="T572" s="1" t="s">
        <v>9869</v>
      </c>
      <c r="U572" s="1" t="s">
        <v>9870</v>
      </c>
      <c r="V572" s="1" t="s">
        <v>9871</v>
      </c>
      <c r="W572" s="1" t="s">
        <v>9872</v>
      </c>
      <c r="X572" s="1" t="s">
        <v>9873</v>
      </c>
      <c r="Y572" s="1" t="s">
        <v>9874</v>
      </c>
      <c r="Z572" s="1" t="s">
        <v>9875</v>
      </c>
      <c r="AA572" s="1" t="s">
        <v>9876</v>
      </c>
      <c r="AB572" s="1" t="s">
        <v>9877</v>
      </c>
      <c r="AC572" s="1" t="s">
        <v>9878</v>
      </c>
      <c r="AD572" s="1" t="s">
        <v>9879</v>
      </c>
      <c r="AE572" s="1" t="s">
        <v>9880</v>
      </c>
      <c r="AF572" s="1" t="s">
        <v>74</v>
      </c>
      <c r="AG572" s="1">
        <v>51</v>
      </c>
      <c r="AH572" s="1">
        <v>25</v>
      </c>
      <c r="AI572" s="1">
        <v>32</v>
      </c>
      <c r="AJ572" s="1">
        <v>1</v>
      </c>
      <c r="AK572" s="1">
        <v>11</v>
      </c>
      <c r="AL572" s="1" t="s">
        <v>136</v>
      </c>
      <c r="AM572" s="1" t="s">
        <v>137</v>
      </c>
      <c r="AN572" s="1" t="s">
        <v>138</v>
      </c>
      <c r="AO572" s="1" t="s">
        <v>240</v>
      </c>
      <c r="AP572" s="1" t="s">
        <v>241</v>
      </c>
      <c r="AQ572" s="1" t="s">
        <v>74</v>
      </c>
      <c r="AR572" s="1" t="s">
        <v>242</v>
      </c>
      <c r="AS572" s="1" t="s">
        <v>243</v>
      </c>
      <c r="AT572" s="1" t="s">
        <v>74</v>
      </c>
      <c r="AU572" s="1">
        <v>2011</v>
      </c>
      <c r="AV572" s="1">
        <v>63</v>
      </c>
      <c r="AW572" s="1" t="s">
        <v>9881</v>
      </c>
      <c r="AX572" s="1" t="s">
        <v>74</v>
      </c>
      <c r="AY572" s="1" t="s">
        <v>74</v>
      </c>
      <c r="AZ572" s="1" t="s">
        <v>225</v>
      </c>
      <c r="BA572" s="1" t="s">
        <v>74</v>
      </c>
      <c r="BB572" s="1">
        <v>277</v>
      </c>
      <c r="BC572" s="1">
        <v>286</v>
      </c>
      <c r="BD572" s="1" t="s">
        <v>74</v>
      </c>
      <c r="BE572" s="1" t="s">
        <v>9882</v>
      </c>
      <c r="BF572" s="1" t="str">
        <f>HYPERLINK("http://dx.doi.org/10.1016/j.marpolbul.2011.04.023","http://dx.doi.org/10.1016/j.marpolbul.2011.04.023")</f>
        <v>http://dx.doi.org/10.1016/j.marpolbul.2011.04.023</v>
      </c>
      <c r="BG572" s="1" t="s">
        <v>74</v>
      </c>
      <c r="BH572" s="1" t="s">
        <v>74</v>
      </c>
      <c r="BI572" s="1">
        <v>10</v>
      </c>
      <c r="BJ572" s="1" t="s">
        <v>247</v>
      </c>
      <c r="BK572" s="1" t="s">
        <v>96</v>
      </c>
      <c r="BL572" s="1" t="s">
        <v>248</v>
      </c>
      <c r="BM572" s="1" t="s">
        <v>9883</v>
      </c>
      <c r="BN572" s="1">
        <v>21565362</v>
      </c>
      <c r="BO572" s="1" t="s">
        <v>74</v>
      </c>
      <c r="BP572" s="1" t="s">
        <v>74</v>
      </c>
      <c r="BQ572" s="1" t="s">
        <v>74</v>
      </c>
      <c r="BR572" s="1" t="s">
        <v>98</v>
      </c>
      <c r="BS572" s="1" t="s">
        <v>9884</v>
      </c>
      <c r="BT572" s="1" t="str">
        <f>HYPERLINK("https%3A%2F%2Fwww.webofscience.com%2Fwos%2Fwoscc%2Ffull-record%2FWOS:000294092700032","View Full Record in Web of Science")</f>
        <v>View Full Record in Web of Science</v>
      </c>
    </row>
    <row r="573" spans="1:72">
      <c r="A573" s="1" t="s">
        <v>72</v>
      </c>
      <c r="B573" s="1" t="s">
        <v>9885</v>
      </c>
      <c r="C573" s="1" t="s">
        <v>74</v>
      </c>
      <c r="D573" s="1" t="s">
        <v>74</v>
      </c>
      <c r="E573" s="1" t="s">
        <v>74</v>
      </c>
      <c r="F573" s="1" t="s">
        <v>9885</v>
      </c>
      <c r="G573" s="1" t="s">
        <v>74</v>
      </c>
      <c r="H573" s="1" t="s">
        <v>74</v>
      </c>
      <c r="I573" s="1" t="s">
        <v>9886</v>
      </c>
      <c r="J573" s="1" t="s">
        <v>9887</v>
      </c>
      <c r="K573" s="1" t="s">
        <v>74</v>
      </c>
      <c r="L573" s="1" t="s">
        <v>74</v>
      </c>
      <c r="M573" s="1" t="s">
        <v>78</v>
      </c>
      <c r="N573" s="1" t="s">
        <v>79</v>
      </c>
      <c r="O573" s="1" t="s">
        <v>74</v>
      </c>
      <c r="P573" s="1" t="s">
        <v>74</v>
      </c>
      <c r="Q573" s="1" t="s">
        <v>74</v>
      </c>
      <c r="R573" s="1" t="s">
        <v>74</v>
      </c>
      <c r="S573" s="1" t="s">
        <v>74</v>
      </c>
      <c r="T573" s="1" t="s">
        <v>74</v>
      </c>
      <c r="U573" s="1" t="s">
        <v>74</v>
      </c>
      <c r="V573" s="1" t="s">
        <v>9888</v>
      </c>
      <c r="W573" s="1" t="s">
        <v>74</v>
      </c>
      <c r="X573" s="1" t="s">
        <v>74</v>
      </c>
      <c r="Y573" s="1" t="s">
        <v>9889</v>
      </c>
      <c r="Z573" s="1" t="s">
        <v>74</v>
      </c>
      <c r="AA573" s="1" t="s">
        <v>9890</v>
      </c>
      <c r="AB573" s="1" t="s">
        <v>74</v>
      </c>
      <c r="AC573" s="1" t="s">
        <v>74</v>
      </c>
      <c r="AD573" s="1" t="s">
        <v>74</v>
      </c>
      <c r="AE573" s="1" t="s">
        <v>74</v>
      </c>
      <c r="AF573" s="1" t="s">
        <v>74</v>
      </c>
      <c r="AG573" s="1">
        <v>0</v>
      </c>
      <c r="AH573" s="1">
        <v>1</v>
      </c>
      <c r="AI573" s="1">
        <v>1</v>
      </c>
      <c r="AJ573" s="1">
        <v>0</v>
      </c>
      <c r="AK573" s="1">
        <v>1</v>
      </c>
      <c r="AL573" s="1" t="s">
        <v>6554</v>
      </c>
      <c r="AM573" s="1" t="s">
        <v>113</v>
      </c>
      <c r="AN573" s="1" t="s">
        <v>6555</v>
      </c>
      <c r="AO573" s="1" t="s">
        <v>9891</v>
      </c>
      <c r="AP573" s="1" t="s">
        <v>74</v>
      </c>
      <c r="AQ573" s="1" t="s">
        <v>74</v>
      </c>
      <c r="AR573" s="1" t="s">
        <v>9892</v>
      </c>
      <c r="AS573" s="1" t="s">
        <v>9893</v>
      </c>
      <c r="AT573" s="1" t="s">
        <v>510</v>
      </c>
      <c r="AU573" s="1">
        <v>1994</v>
      </c>
      <c r="AV573" s="1">
        <v>25</v>
      </c>
      <c r="AW573" s="1">
        <v>6</v>
      </c>
      <c r="AX573" s="1" t="s">
        <v>74</v>
      </c>
      <c r="AY573" s="1" t="s">
        <v>74</v>
      </c>
      <c r="AZ573" s="1" t="s">
        <v>74</v>
      </c>
      <c r="BA573" s="1" t="s">
        <v>74</v>
      </c>
      <c r="BB573" s="1">
        <v>435</v>
      </c>
      <c r="BC573" s="1">
        <v>439</v>
      </c>
      <c r="BD573" s="1" t="s">
        <v>74</v>
      </c>
      <c r="BE573" s="1" t="s">
        <v>74</v>
      </c>
      <c r="BF573" s="1" t="s">
        <v>74</v>
      </c>
      <c r="BG573" s="1" t="s">
        <v>74</v>
      </c>
      <c r="BH573" s="1" t="s">
        <v>74</v>
      </c>
      <c r="BI573" s="1">
        <v>5</v>
      </c>
      <c r="BJ573" s="1" t="s">
        <v>6054</v>
      </c>
      <c r="BK573" s="1" t="s">
        <v>96</v>
      </c>
      <c r="BL573" s="1" t="s">
        <v>145</v>
      </c>
      <c r="BM573" s="1" t="s">
        <v>9894</v>
      </c>
      <c r="BN573" s="1" t="s">
        <v>74</v>
      </c>
      <c r="BO573" s="1" t="s">
        <v>74</v>
      </c>
      <c r="BP573" s="1" t="s">
        <v>74</v>
      </c>
      <c r="BQ573" s="1" t="s">
        <v>74</v>
      </c>
      <c r="BR573" s="1" t="s">
        <v>98</v>
      </c>
      <c r="BS573" s="1" t="s">
        <v>9895</v>
      </c>
      <c r="BT573" s="1" t="str">
        <f>HYPERLINK("https%3A%2F%2Fwww.webofscience.com%2Fwos%2Fwoscc%2Ffull-record%2FWOS:A1994TB23200007","View Full Record in Web of Science")</f>
        <v>View Full Record in Web of Science</v>
      </c>
    </row>
    <row r="574" spans="1:72">
      <c r="A574" s="1" t="s">
        <v>72</v>
      </c>
      <c r="B574" s="1" t="s">
        <v>9896</v>
      </c>
      <c r="C574" s="1" t="s">
        <v>74</v>
      </c>
      <c r="D574" s="1" t="s">
        <v>74</v>
      </c>
      <c r="E574" s="1" t="s">
        <v>74</v>
      </c>
      <c r="F574" s="1" t="s">
        <v>9897</v>
      </c>
      <c r="G574" s="1" t="s">
        <v>74</v>
      </c>
      <c r="H574" s="1" t="s">
        <v>74</v>
      </c>
      <c r="I574" s="1" t="s">
        <v>9898</v>
      </c>
      <c r="J574" s="1" t="s">
        <v>421</v>
      </c>
      <c r="K574" s="1" t="s">
        <v>74</v>
      </c>
      <c r="L574" s="1" t="s">
        <v>74</v>
      </c>
      <c r="M574" s="1" t="s">
        <v>78</v>
      </c>
      <c r="N574" s="1" t="s">
        <v>79</v>
      </c>
      <c r="O574" s="1" t="s">
        <v>74</v>
      </c>
      <c r="P574" s="1" t="s">
        <v>74</v>
      </c>
      <c r="Q574" s="1" t="s">
        <v>74</v>
      </c>
      <c r="R574" s="1" t="s">
        <v>74</v>
      </c>
      <c r="S574" s="1" t="s">
        <v>74</v>
      </c>
      <c r="T574" s="1" t="s">
        <v>9899</v>
      </c>
      <c r="U574" s="1" t="s">
        <v>9900</v>
      </c>
      <c r="V574" s="1" t="s">
        <v>9901</v>
      </c>
      <c r="W574" s="1" t="s">
        <v>9902</v>
      </c>
      <c r="X574" s="1" t="s">
        <v>4166</v>
      </c>
      <c r="Y574" s="1" t="s">
        <v>9903</v>
      </c>
      <c r="Z574" s="1" t="s">
        <v>4168</v>
      </c>
      <c r="AA574" s="1" t="s">
        <v>9904</v>
      </c>
      <c r="AB574" s="1" t="s">
        <v>9905</v>
      </c>
      <c r="AC574" s="1" t="s">
        <v>9906</v>
      </c>
      <c r="AD574" s="1" t="s">
        <v>9907</v>
      </c>
      <c r="AE574" s="1" t="s">
        <v>9908</v>
      </c>
      <c r="AF574" s="1" t="s">
        <v>74</v>
      </c>
      <c r="AG574" s="1">
        <v>59</v>
      </c>
      <c r="AH574" s="1">
        <v>39</v>
      </c>
      <c r="AI574" s="1">
        <v>41</v>
      </c>
      <c r="AJ574" s="1">
        <v>7</v>
      </c>
      <c r="AK574" s="1">
        <v>202</v>
      </c>
      <c r="AL574" s="1" t="s">
        <v>430</v>
      </c>
      <c r="AM574" s="1" t="s">
        <v>137</v>
      </c>
      <c r="AN574" s="1" t="s">
        <v>431</v>
      </c>
      <c r="AO574" s="1" t="s">
        <v>432</v>
      </c>
      <c r="AP574" s="1" t="s">
        <v>1394</v>
      </c>
      <c r="AQ574" s="1" t="s">
        <v>74</v>
      </c>
      <c r="AR574" s="1" t="s">
        <v>433</v>
      </c>
      <c r="AS574" s="1" t="s">
        <v>434</v>
      </c>
      <c r="AT574" s="1" t="s">
        <v>197</v>
      </c>
      <c r="AU574" s="1">
        <v>2018</v>
      </c>
      <c r="AV574" s="1">
        <v>243</v>
      </c>
      <c r="AW574" s="1" t="s">
        <v>74</v>
      </c>
      <c r="AX574" s="1" t="s">
        <v>489</v>
      </c>
      <c r="AY574" s="1" t="s">
        <v>74</v>
      </c>
      <c r="AZ574" s="1" t="s">
        <v>74</v>
      </c>
      <c r="BA574" s="1" t="s">
        <v>74</v>
      </c>
      <c r="BB574" s="1">
        <v>645</v>
      </c>
      <c r="BC574" s="1">
        <v>653</v>
      </c>
      <c r="BD574" s="1" t="s">
        <v>74</v>
      </c>
      <c r="BE574" s="1" t="s">
        <v>9909</v>
      </c>
      <c r="BF574" s="1" t="str">
        <f>HYPERLINK("http://dx.doi.org/10.1016/j.envpol.2018.08.076","http://dx.doi.org/10.1016/j.envpol.2018.08.076")</f>
        <v>http://dx.doi.org/10.1016/j.envpol.2018.08.076</v>
      </c>
      <c r="BG574" s="1" t="s">
        <v>74</v>
      </c>
      <c r="BH574" s="1" t="s">
        <v>74</v>
      </c>
      <c r="BI574" s="1">
        <v>9</v>
      </c>
      <c r="BJ574" s="1" t="s">
        <v>144</v>
      </c>
      <c r="BK574" s="1" t="s">
        <v>96</v>
      </c>
      <c r="BL574" s="1" t="s">
        <v>145</v>
      </c>
      <c r="BM574" s="1" t="s">
        <v>5215</v>
      </c>
      <c r="BN574" s="1">
        <v>30219590</v>
      </c>
      <c r="BO574" s="1" t="s">
        <v>74</v>
      </c>
      <c r="BP574" s="1" t="s">
        <v>74</v>
      </c>
      <c r="BQ574" s="1" t="s">
        <v>74</v>
      </c>
      <c r="BR574" s="1" t="s">
        <v>98</v>
      </c>
      <c r="BS574" s="1" t="s">
        <v>9910</v>
      </c>
      <c r="BT574" s="1" t="str">
        <f>HYPERLINK("https%3A%2F%2Fwww.webofscience.com%2Fwos%2Fwoscc%2Ffull-record%2FWOS:000449891800070","View Full Record in Web of Science")</f>
        <v>View Full Record in Web of Science</v>
      </c>
    </row>
    <row r="575" spans="1:72">
      <c r="A575" s="1" t="s">
        <v>72</v>
      </c>
      <c r="B575" s="1" t="s">
        <v>9911</v>
      </c>
      <c r="C575" s="1" t="s">
        <v>74</v>
      </c>
      <c r="D575" s="1" t="s">
        <v>74</v>
      </c>
      <c r="E575" s="1" t="s">
        <v>74</v>
      </c>
      <c r="F575" s="1" t="s">
        <v>9912</v>
      </c>
      <c r="G575" s="1" t="s">
        <v>74</v>
      </c>
      <c r="H575" s="1" t="s">
        <v>74</v>
      </c>
      <c r="I575" s="1" t="s">
        <v>9913</v>
      </c>
      <c r="J575" s="1" t="s">
        <v>9914</v>
      </c>
      <c r="K575" s="1" t="s">
        <v>74</v>
      </c>
      <c r="L575" s="1" t="s">
        <v>74</v>
      </c>
      <c r="M575" s="1" t="s">
        <v>78</v>
      </c>
      <c r="N575" s="1" t="s">
        <v>79</v>
      </c>
      <c r="O575" s="1" t="s">
        <v>74</v>
      </c>
      <c r="P575" s="1" t="s">
        <v>74</v>
      </c>
      <c r="Q575" s="1" t="s">
        <v>74</v>
      </c>
      <c r="R575" s="1" t="s">
        <v>74</v>
      </c>
      <c r="S575" s="1" t="s">
        <v>74</v>
      </c>
      <c r="T575" s="1" t="s">
        <v>9915</v>
      </c>
      <c r="U575" s="1" t="s">
        <v>9916</v>
      </c>
      <c r="V575" s="1" t="s">
        <v>9917</v>
      </c>
      <c r="W575" s="1" t="s">
        <v>9918</v>
      </c>
      <c r="X575" s="1" t="s">
        <v>9919</v>
      </c>
      <c r="Y575" s="1" t="s">
        <v>9920</v>
      </c>
      <c r="Z575" s="1" t="s">
        <v>6947</v>
      </c>
      <c r="AA575" s="1" t="s">
        <v>9921</v>
      </c>
      <c r="AB575" s="1" t="s">
        <v>9922</v>
      </c>
      <c r="AC575" s="1" t="s">
        <v>9923</v>
      </c>
      <c r="AD575" s="1" t="s">
        <v>9923</v>
      </c>
      <c r="AE575" s="1" t="s">
        <v>9924</v>
      </c>
      <c r="AF575" s="1" t="s">
        <v>74</v>
      </c>
      <c r="AG575" s="1">
        <v>89</v>
      </c>
      <c r="AH575" s="1">
        <v>39</v>
      </c>
      <c r="AI575" s="1">
        <v>39</v>
      </c>
      <c r="AJ575" s="1">
        <v>1</v>
      </c>
      <c r="AK575" s="1">
        <v>33</v>
      </c>
      <c r="AL575" s="1" t="s">
        <v>136</v>
      </c>
      <c r="AM575" s="1" t="s">
        <v>137</v>
      </c>
      <c r="AN575" s="1" t="s">
        <v>138</v>
      </c>
      <c r="AO575" s="1" t="s">
        <v>9925</v>
      </c>
      <c r="AP575" s="1" t="s">
        <v>74</v>
      </c>
      <c r="AQ575" s="1" t="s">
        <v>74</v>
      </c>
      <c r="AR575" s="1" t="s">
        <v>9926</v>
      </c>
      <c r="AS575" s="1" t="s">
        <v>9927</v>
      </c>
      <c r="AT575" s="1" t="s">
        <v>197</v>
      </c>
      <c r="AU575" s="1">
        <v>2019</v>
      </c>
      <c r="AV575" s="1">
        <v>111</v>
      </c>
      <c r="AW575" s="1" t="s">
        <v>74</v>
      </c>
      <c r="AX575" s="1" t="s">
        <v>74</v>
      </c>
      <c r="AY575" s="1" t="s">
        <v>74</v>
      </c>
      <c r="AZ575" s="1" t="s">
        <v>74</v>
      </c>
      <c r="BA575" s="1" t="s">
        <v>74</v>
      </c>
      <c r="BB575" s="1" t="s">
        <v>74</v>
      </c>
      <c r="BC575" s="1" t="s">
        <v>74</v>
      </c>
      <c r="BD575" s="1">
        <v>104440</v>
      </c>
      <c r="BE575" s="1" t="s">
        <v>9928</v>
      </c>
      <c r="BF575" s="1" t="str">
        <f>HYPERLINK("http://dx.doi.org/10.1016/j.apgeochem.2019.104440","http://dx.doi.org/10.1016/j.apgeochem.2019.104440")</f>
        <v>http://dx.doi.org/10.1016/j.apgeochem.2019.104440</v>
      </c>
      <c r="BG575" s="1" t="s">
        <v>74</v>
      </c>
      <c r="BH575" s="1" t="s">
        <v>74</v>
      </c>
      <c r="BI575" s="1">
        <v>11</v>
      </c>
      <c r="BJ575" s="1" t="s">
        <v>9863</v>
      </c>
      <c r="BK575" s="1" t="s">
        <v>96</v>
      </c>
      <c r="BL575" s="1" t="s">
        <v>9863</v>
      </c>
      <c r="BM575" s="1" t="s">
        <v>9929</v>
      </c>
      <c r="BN575" s="1" t="s">
        <v>74</v>
      </c>
      <c r="BO575" s="1" t="s">
        <v>9930</v>
      </c>
      <c r="BP575" s="1" t="s">
        <v>74</v>
      </c>
      <c r="BQ575" s="1" t="s">
        <v>74</v>
      </c>
      <c r="BR575" s="1" t="s">
        <v>98</v>
      </c>
      <c r="BS575" s="1" t="s">
        <v>9931</v>
      </c>
      <c r="BT575" s="1" t="str">
        <f>HYPERLINK("https%3A%2F%2Fwww.webofscience.com%2Fwos%2Fwoscc%2Ffull-record%2FWOS:000501016300001","View Full Record in Web of Science")</f>
        <v>View Full Record in Web of Science</v>
      </c>
    </row>
    <row r="576" spans="1:72">
      <c r="A576" s="1" t="s">
        <v>72</v>
      </c>
      <c r="B576" s="1" t="s">
        <v>9932</v>
      </c>
      <c r="C576" s="1" t="s">
        <v>74</v>
      </c>
      <c r="D576" s="1" t="s">
        <v>74</v>
      </c>
      <c r="E576" s="1" t="s">
        <v>74</v>
      </c>
      <c r="F576" s="1" t="s">
        <v>9932</v>
      </c>
      <c r="G576" s="1" t="s">
        <v>74</v>
      </c>
      <c r="H576" s="1" t="s">
        <v>74</v>
      </c>
      <c r="I576" s="1" t="s">
        <v>9933</v>
      </c>
      <c r="J576" s="1" t="s">
        <v>7584</v>
      </c>
      <c r="K576" s="1" t="s">
        <v>74</v>
      </c>
      <c r="L576" s="1" t="s">
        <v>74</v>
      </c>
      <c r="M576" s="1" t="s">
        <v>78</v>
      </c>
      <c r="N576" s="1" t="s">
        <v>79</v>
      </c>
      <c r="O576" s="1" t="s">
        <v>74</v>
      </c>
      <c r="P576" s="1" t="s">
        <v>74</v>
      </c>
      <c r="Q576" s="1" t="s">
        <v>74</v>
      </c>
      <c r="R576" s="1" t="s">
        <v>74</v>
      </c>
      <c r="S576" s="1" t="s">
        <v>74</v>
      </c>
      <c r="T576" s="1" t="s">
        <v>9934</v>
      </c>
      <c r="U576" s="1" t="s">
        <v>9935</v>
      </c>
      <c r="V576" s="1" t="s">
        <v>9936</v>
      </c>
      <c r="W576" s="1" t="s">
        <v>9937</v>
      </c>
      <c r="X576" s="1" t="s">
        <v>5402</v>
      </c>
      <c r="Y576" s="1" t="s">
        <v>9938</v>
      </c>
      <c r="Z576" s="1" t="s">
        <v>9939</v>
      </c>
      <c r="AA576" s="1" t="s">
        <v>74</v>
      </c>
      <c r="AB576" s="1" t="s">
        <v>9940</v>
      </c>
      <c r="AC576" s="1" t="s">
        <v>74</v>
      </c>
      <c r="AD576" s="1" t="s">
        <v>74</v>
      </c>
      <c r="AE576" s="1" t="s">
        <v>74</v>
      </c>
      <c r="AF576" s="1" t="s">
        <v>74</v>
      </c>
      <c r="AG576" s="1">
        <v>52</v>
      </c>
      <c r="AH576" s="1">
        <v>110</v>
      </c>
      <c r="AI576" s="1">
        <v>120</v>
      </c>
      <c r="AJ576" s="1">
        <v>1</v>
      </c>
      <c r="AK576" s="1">
        <v>33</v>
      </c>
      <c r="AL576" s="1" t="s">
        <v>136</v>
      </c>
      <c r="AM576" s="1" t="s">
        <v>137</v>
      </c>
      <c r="AN576" s="1" t="s">
        <v>138</v>
      </c>
      <c r="AO576" s="1" t="s">
        <v>7589</v>
      </c>
      <c r="AP576" s="1" t="s">
        <v>7590</v>
      </c>
      <c r="AQ576" s="1" t="s">
        <v>74</v>
      </c>
      <c r="AR576" s="1" t="s">
        <v>7591</v>
      </c>
      <c r="AS576" s="1" t="s">
        <v>7592</v>
      </c>
      <c r="AT576" s="1" t="s">
        <v>170</v>
      </c>
      <c r="AU576" s="1">
        <v>1999</v>
      </c>
      <c r="AV576" s="1">
        <v>33</v>
      </c>
      <c r="AW576" s="1">
        <v>7</v>
      </c>
      <c r="AX576" s="1" t="s">
        <v>74</v>
      </c>
      <c r="AY576" s="1" t="s">
        <v>74</v>
      </c>
      <c r="AZ576" s="1" t="s">
        <v>74</v>
      </c>
      <c r="BA576" s="1" t="s">
        <v>74</v>
      </c>
      <c r="BB576" s="1">
        <v>1706</v>
      </c>
      <c r="BC576" s="1">
        <v>1718</v>
      </c>
      <c r="BD576" s="1" t="s">
        <v>74</v>
      </c>
      <c r="BE576" s="1" t="s">
        <v>9941</v>
      </c>
      <c r="BF576" s="1" t="str">
        <f>HYPERLINK("http://dx.doi.org/10.1016/S0043-1354(98)00381-9","http://dx.doi.org/10.1016/S0043-1354(98)00381-9")</f>
        <v>http://dx.doi.org/10.1016/S0043-1354(98)00381-9</v>
      </c>
      <c r="BG576" s="1" t="s">
        <v>74</v>
      </c>
      <c r="BH576" s="1" t="s">
        <v>74</v>
      </c>
      <c r="BI576" s="1">
        <v>13</v>
      </c>
      <c r="BJ576" s="1" t="s">
        <v>587</v>
      </c>
      <c r="BK576" s="1" t="s">
        <v>96</v>
      </c>
      <c r="BL576" s="1" t="s">
        <v>589</v>
      </c>
      <c r="BM576" s="1" t="s">
        <v>9942</v>
      </c>
      <c r="BN576" s="1" t="s">
        <v>74</v>
      </c>
      <c r="BO576" s="1" t="s">
        <v>74</v>
      </c>
      <c r="BP576" s="1" t="s">
        <v>74</v>
      </c>
      <c r="BQ576" s="1" t="s">
        <v>74</v>
      </c>
      <c r="BR576" s="1" t="s">
        <v>98</v>
      </c>
      <c r="BS576" s="1" t="s">
        <v>9943</v>
      </c>
      <c r="BT576" s="1" t="str">
        <f>HYPERLINK("https%3A%2F%2Fwww.webofscience.com%2Fwos%2Fwoscc%2Ffull-record%2FWOS:000079569600016","View Full Record in Web of Science")</f>
        <v>View Full Record in Web of Science</v>
      </c>
    </row>
    <row r="577" spans="1:72">
      <c r="A577" s="1" t="s">
        <v>72</v>
      </c>
      <c r="B577" s="1" t="s">
        <v>9944</v>
      </c>
      <c r="C577" s="1" t="s">
        <v>74</v>
      </c>
      <c r="D577" s="1" t="s">
        <v>74</v>
      </c>
      <c r="E577" s="1" t="s">
        <v>74</v>
      </c>
      <c r="F577" s="1" t="s">
        <v>9945</v>
      </c>
      <c r="G577" s="1" t="s">
        <v>74</v>
      </c>
      <c r="H577" s="1" t="s">
        <v>74</v>
      </c>
      <c r="I577" s="1" t="s">
        <v>9946</v>
      </c>
      <c r="J577" s="1" t="s">
        <v>9947</v>
      </c>
      <c r="K577" s="1" t="s">
        <v>74</v>
      </c>
      <c r="L577" s="1" t="s">
        <v>74</v>
      </c>
      <c r="M577" s="1" t="s">
        <v>78</v>
      </c>
      <c r="N577" s="1" t="s">
        <v>79</v>
      </c>
      <c r="O577" s="1" t="s">
        <v>74</v>
      </c>
      <c r="P577" s="1" t="s">
        <v>74</v>
      </c>
      <c r="Q577" s="1" t="s">
        <v>74</v>
      </c>
      <c r="R577" s="1" t="s">
        <v>74</v>
      </c>
      <c r="S577" s="1" t="s">
        <v>74</v>
      </c>
      <c r="T577" s="1" t="s">
        <v>9948</v>
      </c>
      <c r="U577" s="1" t="s">
        <v>9949</v>
      </c>
      <c r="V577" s="1" t="s">
        <v>9950</v>
      </c>
      <c r="W577" s="1" t="s">
        <v>9951</v>
      </c>
      <c r="X577" s="1" t="s">
        <v>9952</v>
      </c>
      <c r="Y577" s="1" t="s">
        <v>9953</v>
      </c>
      <c r="Z577" s="1" t="s">
        <v>9954</v>
      </c>
      <c r="AA577" s="1" t="s">
        <v>9955</v>
      </c>
      <c r="AB577" s="1" t="s">
        <v>74</v>
      </c>
      <c r="AC577" s="1" t="s">
        <v>9956</v>
      </c>
      <c r="AD577" s="1" t="s">
        <v>9957</v>
      </c>
      <c r="AE577" s="1" t="s">
        <v>9958</v>
      </c>
      <c r="AF577" s="1" t="s">
        <v>74</v>
      </c>
      <c r="AG577" s="1">
        <v>32</v>
      </c>
      <c r="AH577" s="1">
        <v>4</v>
      </c>
      <c r="AI577" s="1">
        <v>5</v>
      </c>
      <c r="AJ577" s="1">
        <v>1</v>
      </c>
      <c r="AK577" s="1">
        <v>28</v>
      </c>
      <c r="AL577" s="1" t="s">
        <v>9959</v>
      </c>
      <c r="AM577" s="1" t="s">
        <v>9960</v>
      </c>
      <c r="AN577" s="1" t="s">
        <v>9961</v>
      </c>
      <c r="AO577" s="1" t="s">
        <v>9962</v>
      </c>
      <c r="AP577" s="1" t="s">
        <v>9963</v>
      </c>
      <c r="AQ577" s="1" t="s">
        <v>74</v>
      </c>
      <c r="AR577" s="1" t="s">
        <v>9964</v>
      </c>
      <c r="AS577" s="1" t="s">
        <v>9965</v>
      </c>
      <c r="AT577" s="1" t="s">
        <v>267</v>
      </c>
      <c r="AU577" s="1">
        <v>2019</v>
      </c>
      <c r="AV577" s="1">
        <v>18</v>
      </c>
      <c r="AW577" s="1">
        <v>4</v>
      </c>
      <c r="AX577" s="1" t="s">
        <v>74</v>
      </c>
      <c r="AY577" s="1" t="s">
        <v>74</v>
      </c>
      <c r="AZ577" s="1" t="s">
        <v>74</v>
      </c>
      <c r="BA577" s="1" t="s">
        <v>74</v>
      </c>
      <c r="BB577" s="1">
        <v>883</v>
      </c>
      <c r="BC577" s="1">
        <v>888</v>
      </c>
      <c r="BD577" s="1" t="s">
        <v>74</v>
      </c>
      <c r="BE577" s="1" t="s">
        <v>9966</v>
      </c>
      <c r="BF577" s="1" t="str">
        <f>HYPERLINK("http://dx.doi.org/10.1007/s11802-019-3898-2","http://dx.doi.org/10.1007/s11802-019-3898-2")</f>
        <v>http://dx.doi.org/10.1007/s11802-019-3898-2</v>
      </c>
      <c r="BG577" s="1" t="s">
        <v>74</v>
      </c>
      <c r="BH577" s="1" t="s">
        <v>74</v>
      </c>
      <c r="BI577" s="1">
        <v>6</v>
      </c>
      <c r="BJ577" s="1" t="s">
        <v>1439</v>
      </c>
      <c r="BK577" s="1" t="s">
        <v>96</v>
      </c>
      <c r="BL577" s="1" t="s">
        <v>1439</v>
      </c>
      <c r="BM577" s="1" t="s">
        <v>9967</v>
      </c>
      <c r="BN577" s="1" t="s">
        <v>74</v>
      </c>
      <c r="BO577" s="1" t="s">
        <v>74</v>
      </c>
      <c r="BP577" s="1" t="s">
        <v>74</v>
      </c>
      <c r="BQ577" s="1" t="s">
        <v>74</v>
      </c>
      <c r="BR577" s="1" t="s">
        <v>98</v>
      </c>
      <c r="BS577" s="1" t="s">
        <v>9968</v>
      </c>
      <c r="BT577" s="1" t="str">
        <f>HYPERLINK("https%3A%2F%2Fwww.webofscience.com%2Fwos%2Fwoscc%2Ffull-record%2FWOS:000474451500013","View Full Record in Web of Science")</f>
        <v>View Full Record in Web of Science</v>
      </c>
    </row>
    <row r="578" spans="1:72">
      <c r="A578" s="1" t="s">
        <v>72</v>
      </c>
      <c r="B578" s="1" t="s">
        <v>9969</v>
      </c>
      <c r="C578" s="1" t="s">
        <v>74</v>
      </c>
      <c r="D578" s="1" t="s">
        <v>74</v>
      </c>
      <c r="E578" s="1" t="s">
        <v>74</v>
      </c>
      <c r="F578" s="1" t="s">
        <v>9970</v>
      </c>
      <c r="G578" s="1" t="s">
        <v>74</v>
      </c>
      <c r="H578" s="1" t="s">
        <v>74</v>
      </c>
      <c r="I578" s="1" t="s">
        <v>9971</v>
      </c>
      <c r="J578" s="1" t="s">
        <v>232</v>
      </c>
      <c r="K578" s="1" t="s">
        <v>74</v>
      </c>
      <c r="L578" s="1" t="s">
        <v>74</v>
      </c>
      <c r="M578" s="1" t="s">
        <v>78</v>
      </c>
      <c r="N578" s="1" t="s">
        <v>79</v>
      </c>
      <c r="O578" s="1" t="s">
        <v>74</v>
      </c>
      <c r="P578" s="1" t="s">
        <v>74</v>
      </c>
      <c r="Q578" s="1" t="s">
        <v>74</v>
      </c>
      <c r="R578" s="1" t="s">
        <v>74</v>
      </c>
      <c r="S578" s="1" t="s">
        <v>74</v>
      </c>
      <c r="T578" s="1" t="s">
        <v>9972</v>
      </c>
      <c r="U578" s="1" t="s">
        <v>9973</v>
      </c>
      <c r="V578" s="1" t="s">
        <v>9974</v>
      </c>
      <c r="W578" s="1" t="s">
        <v>9975</v>
      </c>
      <c r="X578" s="1" t="s">
        <v>9976</v>
      </c>
      <c r="Y578" s="1" t="s">
        <v>9977</v>
      </c>
      <c r="Z578" s="1" t="s">
        <v>9978</v>
      </c>
      <c r="AA578" s="1" t="s">
        <v>9979</v>
      </c>
      <c r="AB578" s="1" t="s">
        <v>9980</v>
      </c>
      <c r="AC578" s="1" t="s">
        <v>9981</v>
      </c>
      <c r="AD578" s="1" t="s">
        <v>9982</v>
      </c>
      <c r="AE578" s="1" t="s">
        <v>9983</v>
      </c>
      <c r="AF578" s="1" t="s">
        <v>74</v>
      </c>
      <c r="AG578" s="1">
        <v>66</v>
      </c>
      <c r="AH578" s="1">
        <v>78</v>
      </c>
      <c r="AI578" s="1">
        <v>82</v>
      </c>
      <c r="AJ578" s="1">
        <v>10</v>
      </c>
      <c r="AK578" s="1">
        <v>114</v>
      </c>
      <c r="AL578" s="1" t="s">
        <v>136</v>
      </c>
      <c r="AM578" s="1" t="s">
        <v>137</v>
      </c>
      <c r="AN578" s="1" t="s">
        <v>138</v>
      </c>
      <c r="AO578" s="1" t="s">
        <v>240</v>
      </c>
      <c r="AP578" s="1" t="s">
        <v>241</v>
      </c>
      <c r="AQ578" s="1" t="s">
        <v>74</v>
      </c>
      <c r="AR578" s="1" t="s">
        <v>242</v>
      </c>
      <c r="AS578" s="1" t="s">
        <v>243</v>
      </c>
      <c r="AT578" s="1" t="s">
        <v>93</v>
      </c>
      <c r="AU578" s="1">
        <v>2019</v>
      </c>
      <c r="AV578" s="1">
        <v>141</v>
      </c>
      <c r="AW578" s="1" t="s">
        <v>74</v>
      </c>
      <c r="AX578" s="1" t="s">
        <v>74</v>
      </c>
      <c r="AY578" s="1" t="s">
        <v>74</v>
      </c>
      <c r="AZ578" s="1" t="s">
        <v>74</v>
      </c>
      <c r="BA578" s="1" t="s">
        <v>74</v>
      </c>
      <c r="BB578" s="1">
        <v>215</v>
      </c>
      <c r="BC578" s="1">
        <v>226</v>
      </c>
      <c r="BD578" s="1" t="s">
        <v>74</v>
      </c>
      <c r="BE578" s="1" t="s">
        <v>9984</v>
      </c>
      <c r="BF578" s="1" t="str">
        <f>HYPERLINK("http://dx.doi.org/10.1016/j.marpolbul.2019.02.058","http://dx.doi.org/10.1016/j.marpolbul.2019.02.058")</f>
        <v>http://dx.doi.org/10.1016/j.marpolbul.2019.02.058</v>
      </c>
      <c r="BG578" s="1" t="s">
        <v>74</v>
      </c>
      <c r="BH578" s="1" t="s">
        <v>74</v>
      </c>
      <c r="BI578" s="1">
        <v>12</v>
      </c>
      <c r="BJ578" s="1" t="s">
        <v>247</v>
      </c>
      <c r="BK578" s="1" t="s">
        <v>96</v>
      </c>
      <c r="BL578" s="1" t="s">
        <v>248</v>
      </c>
      <c r="BM578" s="1" t="s">
        <v>9985</v>
      </c>
      <c r="BN578" s="1">
        <v>30955728</v>
      </c>
      <c r="BO578" s="1" t="s">
        <v>74</v>
      </c>
      <c r="BP578" s="1" t="s">
        <v>74</v>
      </c>
      <c r="BQ578" s="1" t="s">
        <v>74</v>
      </c>
      <c r="BR578" s="1" t="s">
        <v>98</v>
      </c>
      <c r="BS578" s="1" t="s">
        <v>9986</v>
      </c>
      <c r="BT578" s="1" t="str">
        <f>HYPERLINK("https%3A%2F%2Fwww.webofscience.com%2Fwos%2Fwoscc%2Ffull-record%2FWOS:000465509700026","View Full Record in Web of Science")</f>
        <v>View Full Record in Web of Science</v>
      </c>
    </row>
    <row r="579" spans="1:72">
      <c r="A579" s="1" t="s">
        <v>72</v>
      </c>
      <c r="B579" s="1" t="s">
        <v>9987</v>
      </c>
      <c r="C579" s="1" t="s">
        <v>74</v>
      </c>
      <c r="D579" s="1" t="s">
        <v>74</v>
      </c>
      <c r="E579" s="1" t="s">
        <v>74</v>
      </c>
      <c r="F579" s="1" t="s">
        <v>9988</v>
      </c>
      <c r="G579" s="1" t="s">
        <v>74</v>
      </c>
      <c r="H579" s="1" t="s">
        <v>74</v>
      </c>
      <c r="I579" s="1" t="s">
        <v>9989</v>
      </c>
      <c r="J579" s="1" t="s">
        <v>2137</v>
      </c>
      <c r="K579" s="1" t="s">
        <v>74</v>
      </c>
      <c r="L579" s="1" t="s">
        <v>74</v>
      </c>
      <c r="M579" s="1" t="s">
        <v>78</v>
      </c>
      <c r="N579" s="1" t="s">
        <v>79</v>
      </c>
      <c r="O579" s="1" t="s">
        <v>74</v>
      </c>
      <c r="P579" s="1" t="s">
        <v>74</v>
      </c>
      <c r="Q579" s="1" t="s">
        <v>74</v>
      </c>
      <c r="R579" s="1" t="s">
        <v>74</v>
      </c>
      <c r="S579" s="1" t="s">
        <v>74</v>
      </c>
      <c r="T579" s="1" t="s">
        <v>9990</v>
      </c>
      <c r="U579" s="1" t="s">
        <v>74</v>
      </c>
      <c r="V579" s="1" t="s">
        <v>9991</v>
      </c>
      <c r="W579" s="1" t="s">
        <v>9992</v>
      </c>
      <c r="X579" s="1" t="s">
        <v>9993</v>
      </c>
      <c r="Y579" s="1" t="s">
        <v>9994</v>
      </c>
      <c r="Z579" s="1" t="s">
        <v>9995</v>
      </c>
      <c r="AA579" s="1" t="s">
        <v>9996</v>
      </c>
      <c r="AB579" s="1" t="s">
        <v>9997</v>
      </c>
      <c r="AC579" s="1" t="s">
        <v>74</v>
      </c>
      <c r="AD579" s="1" t="s">
        <v>74</v>
      </c>
      <c r="AE579" s="1" t="s">
        <v>74</v>
      </c>
      <c r="AF579" s="1" t="s">
        <v>74</v>
      </c>
      <c r="AG579" s="1">
        <v>54</v>
      </c>
      <c r="AH579" s="1">
        <v>19</v>
      </c>
      <c r="AI579" s="1">
        <v>20</v>
      </c>
      <c r="AJ579" s="1">
        <v>0</v>
      </c>
      <c r="AK579" s="1">
        <v>8</v>
      </c>
      <c r="AL579" s="1" t="s">
        <v>1566</v>
      </c>
      <c r="AM579" s="1" t="s">
        <v>1567</v>
      </c>
      <c r="AN579" s="1" t="s">
        <v>1568</v>
      </c>
      <c r="AO579" s="1" t="s">
        <v>74</v>
      </c>
      <c r="AP579" s="1" t="s">
        <v>2148</v>
      </c>
      <c r="AQ579" s="1" t="s">
        <v>74</v>
      </c>
      <c r="AR579" s="1" t="s">
        <v>2149</v>
      </c>
      <c r="AS579" s="1" t="s">
        <v>2150</v>
      </c>
      <c r="AT579" s="1" t="s">
        <v>224</v>
      </c>
      <c r="AU579" s="1">
        <v>2021</v>
      </c>
      <c r="AV579" s="1">
        <v>22</v>
      </c>
      <c r="AW579" s="1">
        <v>4</v>
      </c>
      <c r="AX579" s="1" t="s">
        <v>74</v>
      </c>
      <c r="AY579" s="1" t="s">
        <v>74</v>
      </c>
      <c r="AZ579" s="1" t="s">
        <v>74</v>
      </c>
      <c r="BA579" s="1" t="s">
        <v>74</v>
      </c>
      <c r="BB579" s="1" t="s">
        <v>74</v>
      </c>
      <c r="BC579" s="1" t="s">
        <v>74</v>
      </c>
      <c r="BD579" s="1">
        <v>1618</v>
      </c>
      <c r="BE579" s="1" t="s">
        <v>9998</v>
      </c>
      <c r="BF579" s="1" t="str">
        <f>HYPERLINK("http://dx.doi.org/10.3390/ijms22041618","http://dx.doi.org/10.3390/ijms22041618")</f>
        <v>http://dx.doi.org/10.3390/ijms22041618</v>
      </c>
      <c r="BG579" s="1" t="s">
        <v>74</v>
      </c>
      <c r="BH579" s="1" t="s">
        <v>74</v>
      </c>
      <c r="BI579" s="1">
        <v>13</v>
      </c>
      <c r="BJ579" s="1" t="s">
        <v>2152</v>
      </c>
      <c r="BK579" s="1" t="s">
        <v>96</v>
      </c>
      <c r="BL579" s="1" t="s">
        <v>2153</v>
      </c>
      <c r="BM579" s="1" t="s">
        <v>9999</v>
      </c>
      <c r="BN579" s="1">
        <v>33562685</v>
      </c>
      <c r="BO579" s="1" t="s">
        <v>550</v>
      </c>
      <c r="BP579" s="1" t="s">
        <v>74</v>
      </c>
      <c r="BQ579" s="1" t="s">
        <v>74</v>
      </c>
      <c r="BR579" s="1" t="s">
        <v>98</v>
      </c>
      <c r="BS579" s="1" t="s">
        <v>10000</v>
      </c>
      <c r="BT579" s="1" t="str">
        <f>HYPERLINK("https%3A%2F%2Fwww.webofscience.com%2Fwos%2Fwoscc%2Ffull-record%2FWOS:000623764900001","View Full Record in Web of Science")</f>
        <v>View Full Record in Web of Science</v>
      </c>
    </row>
    <row r="580" spans="1:72">
      <c r="A580" s="1" t="s">
        <v>72</v>
      </c>
      <c r="B580" s="1" t="s">
        <v>10001</v>
      </c>
      <c r="C580" s="1" t="s">
        <v>74</v>
      </c>
      <c r="D580" s="1" t="s">
        <v>74</v>
      </c>
      <c r="E580" s="1" t="s">
        <v>74</v>
      </c>
      <c r="F580" s="1" t="s">
        <v>10002</v>
      </c>
      <c r="G580" s="1" t="s">
        <v>74</v>
      </c>
      <c r="H580" s="1" t="s">
        <v>74</v>
      </c>
      <c r="I580" s="1" t="s">
        <v>10003</v>
      </c>
      <c r="J580" s="1" t="s">
        <v>10004</v>
      </c>
      <c r="K580" s="1" t="s">
        <v>74</v>
      </c>
      <c r="L580" s="1" t="s">
        <v>74</v>
      </c>
      <c r="M580" s="1" t="s">
        <v>78</v>
      </c>
      <c r="N580" s="1" t="s">
        <v>151</v>
      </c>
      <c r="O580" s="1" t="s">
        <v>10005</v>
      </c>
      <c r="P580" s="1" t="s">
        <v>10006</v>
      </c>
      <c r="Q580" s="1" t="s">
        <v>10007</v>
      </c>
      <c r="R580" s="1" t="s">
        <v>74</v>
      </c>
      <c r="S580" s="1" t="s">
        <v>10008</v>
      </c>
      <c r="T580" s="1" t="s">
        <v>10009</v>
      </c>
      <c r="U580" s="1" t="s">
        <v>74</v>
      </c>
      <c r="V580" s="1" t="s">
        <v>10010</v>
      </c>
      <c r="W580" s="1" t="s">
        <v>10011</v>
      </c>
      <c r="X580" s="1" t="s">
        <v>10012</v>
      </c>
      <c r="Y580" s="1" t="s">
        <v>10013</v>
      </c>
      <c r="Z580" s="1" t="s">
        <v>10014</v>
      </c>
      <c r="AA580" s="1" t="s">
        <v>10015</v>
      </c>
      <c r="AB580" s="1" t="s">
        <v>10016</v>
      </c>
      <c r="AC580" s="1" t="s">
        <v>74</v>
      </c>
      <c r="AD580" s="1" t="s">
        <v>74</v>
      </c>
      <c r="AE580" s="1" t="s">
        <v>74</v>
      </c>
      <c r="AF580" s="1" t="s">
        <v>74</v>
      </c>
      <c r="AG580" s="1">
        <v>6</v>
      </c>
      <c r="AH580" s="1">
        <v>4</v>
      </c>
      <c r="AI580" s="1">
        <v>4</v>
      </c>
      <c r="AJ580" s="1">
        <v>0</v>
      </c>
      <c r="AK580" s="1">
        <v>12</v>
      </c>
      <c r="AL580" s="1" t="s">
        <v>112</v>
      </c>
      <c r="AM580" s="1" t="s">
        <v>113</v>
      </c>
      <c r="AN580" s="1" t="s">
        <v>114</v>
      </c>
      <c r="AO580" s="1" t="s">
        <v>10017</v>
      </c>
      <c r="AP580" s="1" t="s">
        <v>10018</v>
      </c>
      <c r="AQ580" s="1" t="s">
        <v>74</v>
      </c>
      <c r="AR580" s="1" t="s">
        <v>10019</v>
      </c>
      <c r="AS580" s="1" t="s">
        <v>10020</v>
      </c>
      <c r="AT580" s="1" t="s">
        <v>119</v>
      </c>
      <c r="AU580" s="1">
        <v>2011</v>
      </c>
      <c r="AV580" s="1">
        <v>16</v>
      </c>
      <c r="AW580" s="1" t="s">
        <v>10021</v>
      </c>
      <c r="AX580" s="1" t="s">
        <v>74</v>
      </c>
      <c r="AY580" s="1" t="s">
        <v>74</v>
      </c>
      <c r="AZ580" s="1" t="s">
        <v>74</v>
      </c>
      <c r="BA580" s="1" t="s">
        <v>74</v>
      </c>
      <c r="BB580" s="1">
        <v>439</v>
      </c>
      <c r="BC580" s="1">
        <v>447</v>
      </c>
      <c r="BD580" s="1" t="s">
        <v>74</v>
      </c>
      <c r="BE580" s="1" t="s">
        <v>10022</v>
      </c>
      <c r="BF580" s="1" t="str">
        <f>HYPERLINK("http://dx.doi.org/10.1007/s00769-011-0793-y","http://dx.doi.org/10.1007/s00769-011-0793-y")</f>
        <v>http://dx.doi.org/10.1007/s00769-011-0793-y</v>
      </c>
      <c r="BG580" s="1" t="s">
        <v>74</v>
      </c>
      <c r="BH580" s="1" t="s">
        <v>74</v>
      </c>
      <c r="BI580" s="1">
        <v>9</v>
      </c>
      <c r="BJ580" s="1" t="s">
        <v>10023</v>
      </c>
      <c r="BK580" s="1" t="s">
        <v>172</v>
      </c>
      <c r="BL580" s="1" t="s">
        <v>10024</v>
      </c>
      <c r="BM580" s="1" t="s">
        <v>10025</v>
      </c>
      <c r="BN580" s="1" t="s">
        <v>74</v>
      </c>
      <c r="BO580" s="1" t="s">
        <v>810</v>
      </c>
      <c r="BP580" s="1" t="s">
        <v>74</v>
      </c>
      <c r="BQ580" s="1" t="s">
        <v>74</v>
      </c>
      <c r="BR580" s="1" t="s">
        <v>98</v>
      </c>
      <c r="BS580" s="1" t="s">
        <v>10026</v>
      </c>
      <c r="BT580" s="1" t="str">
        <f>HYPERLINK("https%3A%2F%2Fwww.webofscience.com%2Fwos%2Fwoscc%2Ffull-record%2FWOS:000293288100008","View Full Record in Web of Science")</f>
        <v>View Full Record in Web of Science</v>
      </c>
    </row>
    <row r="581" spans="1:72">
      <c r="A581" s="1" t="s">
        <v>72</v>
      </c>
      <c r="B581" s="1" t="s">
        <v>10027</v>
      </c>
      <c r="C581" s="1" t="s">
        <v>74</v>
      </c>
      <c r="D581" s="1" t="s">
        <v>74</v>
      </c>
      <c r="E581" s="1" t="s">
        <v>74</v>
      </c>
      <c r="F581" s="1" t="s">
        <v>10028</v>
      </c>
      <c r="G581" s="1" t="s">
        <v>74</v>
      </c>
      <c r="H581" s="1" t="s">
        <v>74</v>
      </c>
      <c r="I581" s="1" t="s">
        <v>10029</v>
      </c>
      <c r="J581" s="1" t="s">
        <v>909</v>
      </c>
      <c r="K581" s="1" t="s">
        <v>74</v>
      </c>
      <c r="L581" s="1" t="s">
        <v>74</v>
      </c>
      <c r="M581" s="1" t="s">
        <v>78</v>
      </c>
      <c r="N581" s="1" t="s">
        <v>79</v>
      </c>
      <c r="O581" s="1" t="s">
        <v>74</v>
      </c>
      <c r="P581" s="1" t="s">
        <v>74</v>
      </c>
      <c r="Q581" s="1" t="s">
        <v>74</v>
      </c>
      <c r="R581" s="1" t="s">
        <v>74</v>
      </c>
      <c r="S581" s="1" t="s">
        <v>74</v>
      </c>
      <c r="T581" s="1" t="s">
        <v>10030</v>
      </c>
      <c r="U581" s="1" t="s">
        <v>10031</v>
      </c>
      <c r="V581" s="1" t="s">
        <v>10032</v>
      </c>
      <c r="W581" s="1" t="s">
        <v>10033</v>
      </c>
      <c r="X581" s="1" t="s">
        <v>74</v>
      </c>
      <c r="Y581" s="1" t="s">
        <v>10034</v>
      </c>
      <c r="Z581" s="1" t="s">
        <v>10035</v>
      </c>
      <c r="AA581" s="1" t="s">
        <v>10036</v>
      </c>
      <c r="AB581" s="1" t="s">
        <v>10037</v>
      </c>
      <c r="AC581" s="1" t="s">
        <v>10038</v>
      </c>
      <c r="AD581" s="1" t="s">
        <v>10039</v>
      </c>
      <c r="AE581" s="1" t="s">
        <v>10040</v>
      </c>
      <c r="AF581" s="1" t="s">
        <v>74</v>
      </c>
      <c r="AG581" s="1">
        <v>101</v>
      </c>
      <c r="AH581" s="1">
        <v>49</v>
      </c>
      <c r="AI581" s="1">
        <v>51</v>
      </c>
      <c r="AJ581" s="1">
        <v>5</v>
      </c>
      <c r="AK581" s="1">
        <v>154</v>
      </c>
      <c r="AL581" s="1" t="s">
        <v>650</v>
      </c>
      <c r="AM581" s="1" t="s">
        <v>651</v>
      </c>
      <c r="AN581" s="1" t="s">
        <v>652</v>
      </c>
      <c r="AO581" s="1" t="s">
        <v>921</v>
      </c>
      <c r="AP581" s="1" t="s">
        <v>922</v>
      </c>
      <c r="AQ581" s="1" t="s">
        <v>74</v>
      </c>
      <c r="AR581" s="1" t="s">
        <v>923</v>
      </c>
      <c r="AS581" s="1" t="s">
        <v>924</v>
      </c>
      <c r="AT581" s="1" t="s">
        <v>344</v>
      </c>
      <c r="AU581" s="1">
        <v>2019</v>
      </c>
      <c r="AV581" s="1">
        <v>674</v>
      </c>
      <c r="AW581" s="1" t="s">
        <v>74</v>
      </c>
      <c r="AX581" s="1" t="s">
        <v>74</v>
      </c>
      <c r="AY581" s="1" t="s">
        <v>74</v>
      </c>
      <c r="AZ581" s="1" t="s">
        <v>74</v>
      </c>
      <c r="BA581" s="1" t="s">
        <v>74</v>
      </c>
      <c r="BB581" s="1">
        <v>412</v>
      </c>
      <c r="BC581" s="1">
        <v>423</v>
      </c>
      <c r="BD581" s="1" t="s">
        <v>74</v>
      </c>
      <c r="BE581" s="1" t="s">
        <v>10041</v>
      </c>
      <c r="BF581" s="1" t="str">
        <f>HYPERLINK("http://dx.doi.org/10.1016/j.scitotenv.2019.04.175","http://dx.doi.org/10.1016/j.scitotenv.2019.04.175")</f>
        <v>http://dx.doi.org/10.1016/j.scitotenv.2019.04.175</v>
      </c>
      <c r="BG581" s="1" t="s">
        <v>74</v>
      </c>
      <c r="BH581" s="1" t="s">
        <v>74</v>
      </c>
      <c r="BI581" s="1">
        <v>12</v>
      </c>
      <c r="BJ581" s="1" t="s">
        <v>144</v>
      </c>
      <c r="BK581" s="1" t="s">
        <v>96</v>
      </c>
      <c r="BL581" s="1" t="s">
        <v>145</v>
      </c>
      <c r="BM581" s="1" t="s">
        <v>10042</v>
      </c>
      <c r="BN581" s="1">
        <v>31005843</v>
      </c>
      <c r="BO581" s="1" t="s">
        <v>74</v>
      </c>
      <c r="BP581" s="1" t="s">
        <v>74</v>
      </c>
      <c r="BQ581" s="1" t="s">
        <v>74</v>
      </c>
      <c r="BR581" s="1" t="s">
        <v>98</v>
      </c>
      <c r="BS581" s="1" t="s">
        <v>10043</v>
      </c>
      <c r="BT581" s="1" t="str">
        <f>HYPERLINK("https%3A%2F%2Fwww.webofscience.com%2Fwos%2Fwoscc%2Ffull-record%2FWOS:000466465800043","View Full Record in Web of Science")</f>
        <v>View Full Record in Web of Science</v>
      </c>
    </row>
    <row r="582" spans="1:72">
      <c r="A582" s="1" t="s">
        <v>72</v>
      </c>
      <c r="B582" s="1" t="s">
        <v>10044</v>
      </c>
      <c r="C582" s="1" t="s">
        <v>74</v>
      </c>
      <c r="D582" s="1" t="s">
        <v>74</v>
      </c>
      <c r="E582" s="1" t="s">
        <v>74</v>
      </c>
      <c r="F582" s="1" t="s">
        <v>10045</v>
      </c>
      <c r="G582" s="1" t="s">
        <v>74</v>
      </c>
      <c r="H582" s="1" t="s">
        <v>74</v>
      </c>
      <c r="I582" s="1" t="s">
        <v>10046</v>
      </c>
      <c r="J582" s="1" t="s">
        <v>421</v>
      </c>
      <c r="K582" s="1" t="s">
        <v>74</v>
      </c>
      <c r="L582" s="1" t="s">
        <v>74</v>
      </c>
      <c r="M582" s="1" t="s">
        <v>78</v>
      </c>
      <c r="N582" s="1" t="s">
        <v>79</v>
      </c>
      <c r="O582" s="1" t="s">
        <v>74</v>
      </c>
      <c r="P582" s="1" t="s">
        <v>74</v>
      </c>
      <c r="Q582" s="1" t="s">
        <v>74</v>
      </c>
      <c r="R582" s="1" t="s">
        <v>74</v>
      </c>
      <c r="S582" s="1" t="s">
        <v>74</v>
      </c>
      <c r="T582" s="1" t="s">
        <v>10047</v>
      </c>
      <c r="U582" s="1" t="s">
        <v>10048</v>
      </c>
      <c r="V582" s="1" t="s">
        <v>10049</v>
      </c>
      <c r="W582" s="1" t="s">
        <v>10050</v>
      </c>
      <c r="X582" s="1" t="s">
        <v>3144</v>
      </c>
      <c r="Y582" s="1" t="s">
        <v>10051</v>
      </c>
      <c r="Z582" s="1" t="s">
        <v>10052</v>
      </c>
      <c r="AA582" s="1" t="s">
        <v>74</v>
      </c>
      <c r="AB582" s="1" t="s">
        <v>74</v>
      </c>
      <c r="AC582" s="1" t="s">
        <v>74</v>
      </c>
      <c r="AD582" s="1" t="s">
        <v>74</v>
      </c>
      <c r="AE582" s="1" t="s">
        <v>74</v>
      </c>
      <c r="AF582" s="1" t="s">
        <v>74</v>
      </c>
      <c r="AG582" s="1">
        <v>53</v>
      </c>
      <c r="AH582" s="1">
        <v>31</v>
      </c>
      <c r="AI582" s="1">
        <v>33</v>
      </c>
      <c r="AJ582" s="1">
        <v>0</v>
      </c>
      <c r="AK582" s="1">
        <v>24</v>
      </c>
      <c r="AL582" s="1" t="s">
        <v>430</v>
      </c>
      <c r="AM582" s="1" t="s">
        <v>137</v>
      </c>
      <c r="AN582" s="1" t="s">
        <v>431</v>
      </c>
      <c r="AO582" s="1" t="s">
        <v>432</v>
      </c>
      <c r="AP582" s="1" t="s">
        <v>1394</v>
      </c>
      <c r="AQ582" s="1" t="s">
        <v>74</v>
      </c>
      <c r="AR582" s="1" t="s">
        <v>433</v>
      </c>
      <c r="AS582" s="1" t="s">
        <v>434</v>
      </c>
      <c r="AT582" s="1" t="s">
        <v>1470</v>
      </c>
      <c r="AU582" s="1">
        <v>2011</v>
      </c>
      <c r="AV582" s="1">
        <v>159</v>
      </c>
      <c r="AW582" s="1">
        <v>1</v>
      </c>
      <c r="AX582" s="1" t="s">
        <v>74</v>
      </c>
      <c r="AY582" s="1" t="s">
        <v>74</v>
      </c>
      <c r="AZ582" s="1" t="s">
        <v>74</v>
      </c>
      <c r="BA582" s="1" t="s">
        <v>74</v>
      </c>
      <c r="BB582" s="1">
        <v>108</v>
      </c>
      <c r="BC582" s="1">
        <v>115</v>
      </c>
      <c r="BD582" s="1" t="s">
        <v>74</v>
      </c>
      <c r="BE582" s="1" t="s">
        <v>10053</v>
      </c>
      <c r="BF582" s="1" t="str">
        <f>HYPERLINK("http://dx.doi.org/10.1016/j.envpol.2010.09.015","http://dx.doi.org/10.1016/j.envpol.2010.09.015")</f>
        <v>http://dx.doi.org/10.1016/j.envpol.2010.09.015</v>
      </c>
      <c r="BG582" s="1" t="s">
        <v>74</v>
      </c>
      <c r="BH582" s="1" t="s">
        <v>74</v>
      </c>
      <c r="BI582" s="1">
        <v>8</v>
      </c>
      <c r="BJ582" s="1" t="s">
        <v>144</v>
      </c>
      <c r="BK582" s="1" t="s">
        <v>96</v>
      </c>
      <c r="BL582" s="1" t="s">
        <v>145</v>
      </c>
      <c r="BM582" s="1" t="s">
        <v>1925</v>
      </c>
      <c r="BN582" s="1">
        <v>20951483</v>
      </c>
      <c r="BO582" s="1" t="s">
        <v>74</v>
      </c>
      <c r="BP582" s="1" t="s">
        <v>74</v>
      </c>
      <c r="BQ582" s="1" t="s">
        <v>74</v>
      </c>
      <c r="BR582" s="1" t="s">
        <v>98</v>
      </c>
      <c r="BS582" s="1" t="s">
        <v>10054</v>
      </c>
      <c r="BT582" s="1" t="str">
        <f>HYPERLINK("https%3A%2F%2Fwww.webofscience.com%2Fwos%2Fwoscc%2Ffull-record%2FWOS:000285129600015","View Full Record in Web of Science")</f>
        <v>View Full Record in Web of Science</v>
      </c>
    </row>
    <row r="583" spans="1:72">
      <c r="A583" s="1" t="s">
        <v>72</v>
      </c>
      <c r="B583" s="1" t="s">
        <v>10055</v>
      </c>
      <c r="C583" s="1" t="s">
        <v>74</v>
      </c>
      <c r="D583" s="1" t="s">
        <v>74</v>
      </c>
      <c r="E583" s="1" t="s">
        <v>74</v>
      </c>
      <c r="F583" s="1" t="s">
        <v>10056</v>
      </c>
      <c r="G583" s="1" t="s">
        <v>74</v>
      </c>
      <c r="H583" s="1" t="s">
        <v>74</v>
      </c>
      <c r="I583" s="1" t="s">
        <v>10057</v>
      </c>
      <c r="J583" s="1" t="s">
        <v>909</v>
      </c>
      <c r="K583" s="1" t="s">
        <v>74</v>
      </c>
      <c r="L583" s="1" t="s">
        <v>74</v>
      </c>
      <c r="M583" s="1" t="s">
        <v>78</v>
      </c>
      <c r="N583" s="1" t="s">
        <v>79</v>
      </c>
      <c r="O583" s="1" t="s">
        <v>74</v>
      </c>
      <c r="P583" s="1" t="s">
        <v>74</v>
      </c>
      <c r="Q583" s="1" t="s">
        <v>74</v>
      </c>
      <c r="R583" s="1" t="s">
        <v>74</v>
      </c>
      <c r="S583" s="1" t="s">
        <v>74</v>
      </c>
      <c r="T583" s="1" t="s">
        <v>10058</v>
      </c>
      <c r="U583" s="1" t="s">
        <v>10059</v>
      </c>
      <c r="V583" s="1" t="s">
        <v>10060</v>
      </c>
      <c r="W583" s="1" t="s">
        <v>10061</v>
      </c>
      <c r="X583" s="1" t="s">
        <v>10062</v>
      </c>
      <c r="Y583" s="1" t="s">
        <v>10063</v>
      </c>
      <c r="Z583" s="1" t="s">
        <v>10064</v>
      </c>
      <c r="AA583" s="1" t="s">
        <v>10065</v>
      </c>
      <c r="AB583" s="1" t="s">
        <v>10066</v>
      </c>
      <c r="AC583" s="1" t="s">
        <v>10067</v>
      </c>
      <c r="AD583" s="1" t="s">
        <v>10068</v>
      </c>
      <c r="AE583" s="1" t="s">
        <v>10069</v>
      </c>
      <c r="AF583" s="1" t="s">
        <v>74</v>
      </c>
      <c r="AG583" s="1">
        <v>48</v>
      </c>
      <c r="AH583" s="1">
        <v>3</v>
      </c>
      <c r="AI583" s="1">
        <v>3</v>
      </c>
      <c r="AJ583" s="1">
        <v>4</v>
      </c>
      <c r="AK583" s="1">
        <v>17</v>
      </c>
      <c r="AL583" s="1" t="s">
        <v>650</v>
      </c>
      <c r="AM583" s="1" t="s">
        <v>651</v>
      </c>
      <c r="AN583" s="1" t="s">
        <v>652</v>
      </c>
      <c r="AO583" s="1" t="s">
        <v>921</v>
      </c>
      <c r="AP583" s="1" t="s">
        <v>922</v>
      </c>
      <c r="AQ583" s="1" t="s">
        <v>74</v>
      </c>
      <c r="AR583" s="1" t="s">
        <v>923</v>
      </c>
      <c r="AS583" s="1" t="s">
        <v>924</v>
      </c>
      <c r="AT583" s="1" t="s">
        <v>3237</v>
      </c>
      <c r="AU583" s="1">
        <v>2023</v>
      </c>
      <c r="AV583" s="1">
        <v>889</v>
      </c>
      <c r="AW583" s="1" t="s">
        <v>74</v>
      </c>
      <c r="AX583" s="1" t="s">
        <v>74</v>
      </c>
      <c r="AY583" s="1" t="s">
        <v>74</v>
      </c>
      <c r="AZ583" s="1" t="s">
        <v>74</v>
      </c>
      <c r="BA583" s="1" t="s">
        <v>74</v>
      </c>
      <c r="BB583" s="1" t="s">
        <v>74</v>
      </c>
      <c r="BC583" s="1" t="s">
        <v>74</v>
      </c>
      <c r="BD583" s="1">
        <v>164254</v>
      </c>
      <c r="BE583" s="1" t="s">
        <v>10070</v>
      </c>
      <c r="BF583" s="1" t="str">
        <f>HYPERLINK("http://dx.doi.org/10.1016/j.scitotenv.2023.164254","http://dx.doi.org/10.1016/j.scitotenv.2023.164254")</f>
        <v>http://dx.doi.org/10.1016/j.scitotenv.2023.164254</v>
      </c>
      <c r="BG583" s="1" t="s">
        <v>74</v>
      </c>
      <c r="BH583" s="1" t="s">
        <v>2259</v>
      </c>
      <c r="BI583" s="1">
        <v>9</v>
      </c>
      <c r="BJ583" s="1" t="s">
        <v>144</v>
      </c>
      <c r="BK583" s="1" t="s">
        <v>96</v>
      </c>
      <c r="BL583" s="1" t="s">
        <v>145</v>
      </c>
      <c r="BM583" s="1" t="s">
        <v>10071</v>
      </c>
      <c r="BN583" s="1">
        <v>37209726</v>
      </c>
      <c r="BO583" s="1" t="s">
        <v>74</v>
      </c>
      <c r="BP583" s="1" t="s">
        <v>74</v>
      </c>
      <c r="BQ583" s="1" t="s">
        <v>74</v>
      </c>
      <c r="BR583" s="1" t="s">
        <v>98</v>
      </c>
      <c r="BS583" s="1" t="s">
        <v>10072</v>
      </c>
      <c r="BT583" s="1" t="str">
        <f>HYPERLINK("https%3A%2F%2Fwww.webofscience.com%2Fwos%2Fwoscc%2Ffull-record%2FWOS:001010359600001","View Full Record in Web of Science")</f>
        <v>View Full Record in Web of Science</v>
      </c>
    </row>
    <row r="584" spans="1:72">
      <c r="A584" s="1" t="s">
        <v>72</v>
      </c>
      <c r="B584" s="1" t="s">
        <v>10073</v>
      </c>
      <c r="C584" s="1" t="s">
        <v>74</v>
      </c>
      <c r="D584" s="1" t="s">
        <v>74</v>
      </c>
      <c r="E584" s="1" t="s">
        <v>74</v>
      </c>
      <c r="F584" s="1" t="s">
        <v>10074</v>
      </c>
      <c r="G584" s="1" t="s">
        <v>74</v>
      </c>
      <c r="H584" s="1" t="s">
        <v>74</v>
      </c>
      <c r="I584" s="1" t="s">
        <v>10075</v>
      </c>
      <c r="J584" s="1" t="s">
        <v>204</v>
      </c>
      <c r="K584" s="1" t="s">
        <v>74</v>
      </c>
      <c r="L584" s="1" t="s">
        <v>74</v>
      </c>
      <c r="M584" s="1" t="s">
        <v>78</v>
      </c>
      <c r="N584" s="1" t="s">
        <v>79</v>
      </c>
      <c r="O584" s="1" t="s">
        <v>74</v>
      </c>
      <c r="P584" s="1" t="s">
        <v>74</v>
      </c>
      <c r="Q584" s="1" t="s">
        <v>74</v>
      </c>
      <c r="R584" s="1" t="s">
        <v>74</v>
      </c>
      <c r="S584" s="1" t="s">
        <v>74</v>
      </c>
      <c r="T584" s="1" t="s">
        <v>10076</v>
      </c>
      <c r="U584" s="1" t="s">
        <v>10077</v>
      </c>
      <c r="V584" s="1" t="s">
        <v>10078</v>
      </c>
      <c r="W584" s="1" t="s">
        <v>10079</v>
      </c>
      <c r="X584" s="1" t="s">
        <v>10080</v>
      </c>
      <c r="Y584" s="1" t="s">
        <v>10081</v>
      </c>
      <c r="Z584" s="1" t="s">
        <v>10082</v>
      </c>
      <c r="AA584" s="1" t="s">
        <v>74</v>
      </c>
      <c r="AB584" s="1" t="s">
        <v>74</v>
      </c>
      <c r="AC584" s="1" t="s">
        <v>10083</v>
      </c>
      <c r="AD584" s="1" t="s">
        <v>10084</v>
      </c>
      <c r="AE584" s="1" t="s">
        <v>10085</v>
      </c>
      <c r="AF584" s="1" t="s">
        <v>74</v>
      </c>
      <c r="AG584" s="1">
        <v>67</v>
      </c>
      <c r="AH584" s="1">
        <v>3</v>
      </c>
      <c r="AI584" s="1">
        <v>3</v>
      </c>
      <c r="AJ584" s="1">
        <v>10</v>
      </c>
      <c r="AK584" s="1">
        <v>28</v>
      </c>
      <c r="AL584" s="1" t="s">
        <v>217</v>
      </c>
      <c r="AM584" s="1" t="s">
        <v>218</v>
      </c>
      <c r="AN584" s="1" t="s">
        <v>219</v>
      </c>
      <c r="AO584" s="1" t="s">
        <v>220</v>
      </c>
      <c r="AP584" s="1" t="s">
        <v>221</v>
      </c>
      <c r="AQ584" s="1" t="s">
        <v>74</v>
      </c>
      <c r="AR584" s="1" t="s">
        <v>222</v>
      </c>
      <c r="AS584" s="1" t="s">
        <v>223</v>
      </c>
      <c r="AT584" s="1" t="s">
        <v>142</v>
      </c>
      <c r="AU584" s="1">
        <v>2023</v>
      </c>
      <c r="AV584" s="1">
        <v>30</v>
      </c>
      <c r="AW584" s="1">
        <v>26</v>
      </c>
      <c r="AX584" s="1" t="s">
        <v>74</v>
      </c>
      <c r="AY584" s="1" t="s">
        <v>74</v>
      </c>
      <c r="AZ584" s="1" t="s">
        <v>74</v>
      </c>
      <c r="BA584" s="1" t="s">
        <v>74</v>
      </c>
      <c r="BB584" s="1">
        <v>68373</v>
      </c>
      <c r="BC584" s="1">
        <v>68386</v>
      </c>
      <c r="BD584" s="1" t="s">
        <v>74</v>
      </c>
      <c r="BE584" s="1" t="s">
        <v>10086</v>
      </c>
      <c r="BF584" s="1" t="str">
        <f>HYPERLINK("http://dx.doi.org/10.1007/s11356-023-27208-6","http://dx.doi.org/10.1007/s11356-023-27208-6")</f>
        <v>http://dx.doi.org/10.1007/s11356-023-27208-6</v>
      </c>
      <c r="BG584" s="1" t="s">
        <v>74</v>
      </c>
      <c r="BH584" s="1" t="s">
        <v>2540</v>
      </c>
      <c r="BI584" s="1">
        <v>14</v>
      </c>
      <c r="BJ584" s="1" t="s">
        <v>144</v>
      </c>
      <c r="BK584" s="1" t="s">
        <v>96</v>
      </c>
      <c r="BL584" s="1" t="s">
        <v>145</v>
      </c>
      <c r="BM584" s="1" t="s">
        <v>10087</v>
      </c>
      <c r="BN584" s="1">
        <v>37120503</v>
      </c>
      <c r="BO584" s="1" t="s">
        <v>810</v>
      </c>
      <c r="BP584" s="1" t="s">
        <v>74</v>
      </c>
      <c r="BQ584" s="1" t="s">
        <v>74</v>
      </c>
      <c r="BR584" s="1" t="s">
        <v>98</v>
      </c>
      <c r="BS584" s="1" t="s">
        <v>10088</v>
      </c>
      <c r="BT584" s="1" t="str">
        <f>HYPERLINK("https%3A%2F%2Fwww.webofscience.com%2Fwos%2Fwoscc%2Ffull-record%2FWOS:000983703400001","View Full Record in Web of Science")</f>
        <v>View Full Record in Web of Science</v>
      </c>
    </row>
    <row r="585" spans="1:72">
      <c r="A585" s="1" t="s">
        <v>72</v>
      </c>
      <c r="B585" s="1" t="s">
        <v>10089</v>
      </c>
      <c r="C585" s="1" t="s">
        <v>74</v>
      </c>
      <c r="D585" s="1" t="s">
        <v>74</v>
      </c>
      <c r="E585" s="1" t="s">
        <v>74</v>
      </c>
      <c r="F585" s="1" t="s">
        <v>10090</v>
      </c>
      <c r="G585" s="1" t="s">
        <v>74</v>
      </c>
      <c r="H585" s="1" t="s">
        <v>74</v>
      </c>
      <c r="I585" s="1" t="s">
        <v>10091</v>
      </c>
      <c r="J585" s="1" t="s">
        <v>1337</v>
      </c>
      <c r="K585" s="1" t="s">
        <v>74</v>
      </c>
      <c r="L585" s="1" t="s">
        <v>74</v>
      </c>
      <c r="M585" s="1" t="s">
        <v>78</v>
      </c>
      <c r="N585" s="1" t="s">
        <v>79</v>
      </c>
      <c r="O585" s="1" t="s">
        <v>74</v>
      </c>
      <c r="P585" s="1" t="s">
        <v>74</v>
      </c>
      <c r="Q585" s="1" t="s">
        <v>74</v>
      </c>
      <c r="R585" s="1" t="s">
        <v>74</v>
      </c>
      <c r="S585" s="1" t="s">
        <v>74</v>
      </c>
      <c r="T585" s="1" t="s">
        <v>10092</v>
      </c>
      <c r="U585" s="1" t="s">
        <v>10093</v>
      </c>
      <c r="V585" s="1" t="s">
        <v>10094</v>
      </c>
      <c r="W585" s="1" t="s">
        <v>10095</v>
      </c>
      <c r="X585" s="1" t="s">
        <v>10096</v>
      </c>
      <c r="Y585" s="1" t="s">
        <v>10097</v>
      </c>
      <c r="Z585" s="1" t="s">
        <v>10098</v>
      </c>
      <c r="AA585" s="1" t="s">
        <v>10099</v>
      </c>
      <c r="AB585" s="1" t="s">
        <v>10100</v>
      </c>
      <c r="AC585" s="1" t="s">
        <v>10101</v>
      </c>
      <c r="AD585" s="1" t="s">
        <v>10102</v>
      </c>
      <c r="AE585" s="1" t="s">
        <v>10103</v>
      </c>
      <c r="AF585" s="1" t="s">
        <v>74</v>
      </c>
      <c r="AG585" s="1">
        <v>111</v>
      </c>
      <c r="AH585" s="1">
        <v>10</v>
      </c>
      <c r="AI585" s="1">
        <v>11</v>
      </c>
      <c r="AJ585" s="1">
        <v>2</v>
      </c>
      <c r="AK585" s="1">
        <v>20</v>
      </c>
      <c r="AL585" s="1" t="s">
        <v>1350</v>
      </c>
      <c r="AM585" s="1" t="s">
        <v>1351</v>
      </c>
      <c r="AN585" s="1" t="s">
        <v>1352</v>
      </c>
      <c r="AO585" s="1" t="s">
        <v>74</v>
      </c>
      <c r="AP585" s="1" t="s">
        <v>1353</v>
      </c>
      <c r="AQ585" s="1" t="s">
        <v>74</v>
      </c>
      <c r="AR585" s="1" t="s">
        <v>1354</v>
      </c>
      <c r="AS585" s="1" t="s">
        <v>1355</v>
      </c>
      <c r="AT585" s="1" t="s">
        <v>10104</v>
      </c>
      <c r="AU585" s="1">
        <v>2021</v>
      </c>
      <c r="AV585" s="1">
        <v>8</v>
      </c>
      <c r="AW585" s="1" t="s">
        <v>74</v>
      </c>
      <c r="AX585" s="1" t="s">
        <v>74</v>
      </c>
      <c r="AY585" s="1" t="s">
        <v>74</v>
      </c>
      <c r="AZ585" s="1" t="s">
        <v>74</v>
      </c>
      <c r="BA585" s="1" t="s">
        <v>74</v>
      </c>
      <c r="BB585" s="1" t="s">
        <v>74</v>
      </c>
      <c r="BC585" s="1" t="s">
        <v>74</v>
      </c>
      <c r="BD585" s="1">
        <v>669329</v>
      </c>
      <c r="BE585" s="1" t="s">
        <v>10105</v>
      </c>
      <c r="BF585" s="1" t="str">
        <f>HYPERLINK("http://dx.doi.org/10.3389/fmars.2021.669329","http://dx.doi.org/10.3389/fmars.2021.669329")</f>
        <v>http://dx.doi.org/10.3389/fmars.2021.669329</v>
      </c>
      <c r="BG585" s="1" t="s">
        <v>74</v>
      </c>
      <c r="BH585" s="1" t="s">
        <v>74</v>
      </c>
      <c r="BI585" s="1">
        <v>16</v>
      </c>
      <c r="BJ585" s="1" t="s">
        <v>247</v>
      </c>
      <c r="BK585" s="1" t="s">
        <v>96</v>
      </c>
      <c r="BL585" s="1" t="s">
        <v>248</v>
      </c>
      <c r="BM585" s="1" t="s">
        <v>10106</v>
      </c>
      <c r="BN585" s="1" t="s">
        <v>74</v>
      </c>
      <c r="BO585" s="1" t="s">
        <v>873</v>
      </c>
      <c r="BP585" s="1" t="s">
        <v>74</v>
      </c>
      <c r="BQ585" s="1" t="s">
        <v>74</v>
      </c>
      <c r="BR585" s="1" t="s">
        <v>98</v>
      </c>
      <c r="BS585" s="1" t="s">
        <v>10107</v>
      </c>
      <c r="BT585" s="1" t="str">
        <f>HYPERLINK("https%3A%2F%2Fwww.webofscience.com%2Fwos%2Fwoscc%2Ffull-record%2FWOS:000671808300001","View Full Record in Web of Science")</f>
        <v>View Full Record in Web of Science</v>
      </c>
    </row>
    <row r="586" spans="1:72">
      <c r="A586" s="1" t="s">
        <v>72</v>
      </c>
      <c r="B586" s="1" t="s">
        <v>10108</v>
      </c>
      <c r="C586" s="1" t="s">
        <v>74</v>
      </c>
      <c r="D586" s="1" t="s">
        <v>74</v>
      </c>
      <c r="E586" s="1" t="s">
        <v>74</v>
      </c>
      <c r="F586" s="1" t="s">
        <v>10109</v>
      </c>
      <c r="G586" s="1" t="s">
        <v>74</v>
      </c>
      <c r="H586" s="1" t="s">
        <v>74</v>
      </c>
      <c r="I586" s="1" t="s">
        <v>10110</v>
      </c>
      <c r="J586" s="1" t="s">
        <v>179</v>
      </c>
      <c r="K586" s="1" t="s">
        <v>74</v>
      </c>
      <c r="L586" s="1" t="s">
        <v>74</v>
      </c>
      <c r="M586" s="1" t="s">
        <v>78</v>
      </c>
      <c r="N586" s="1" t="s">
        <v>79</v>
      </c>
      <c r="O586" s="1" t="s">
        <v>74</v>
      </c>
      <c r="P586" s="1" t="s">
        <v>74</v>
      </c>
      <c r="Q586" s="1" t="s">
        <v>74</v>
      </c>
      <c r="R586" s="1" t="s">
        <v>74</v>
      </c>
      <c r="S586" s="1" t="s">
        <v>74</v>
      </c>
      <c r="T586" s="1" t="s">
        <v>10111</v>
      </c>
      <c r="U586" s="1" t="s">
        <v>10112</v>
      </c>
      <c r="V586" s="1" t="s">
        <v>10113</v>
      </c>
      <c r="W586" s="1" t="s">
        <v>10114</v>
      </c>
      <c r="X586" s="1" t="s">
        <v>10115</v>
      </c>
      <c r="Y586" s="1" t="s">
        <v>10116</v>
      </c>
      <c r="Z586" s="1" t="s">
        <v>10117</v>
      </c>
      <c r="AA586" s="1" t="s">
        <v>10118</v>
      </c>
      <c r="AB586" s="1" t="s">
        <v>10119</v>
      </c>
      <c r="AC586" s="1" t="s">
        <v>10120</v>
      </c>
      <c r="AD586" s="1" t="s">
        <v>10121</v>
      </c>
      <c r="AE586" s="1" t="s">
        <v>10122</v>
      </c>
      <c r="AF586" s="1" t="s">
        <v>74</v>
      </c>
      <c r="AG586" s="1">
        <v>57</v>
      </c>
      <c r="AH586" s="1">
        <v>19</v>
      </c>
      <c r="AI586" s="1">
        <v>23</v>
      </c>
      <c r="AJ586" s="1">
        <v>1</v>
      </c>
      <c r="AK586" s="1">
        <v>72</v>
      </c>
      <c r="AL586" s="1" t="s">
        <v>112</v>
      </c>
      <c r="AM586" s="1" t="s">
        <v>191</v>
      </c>
      <c r="AN586" s="1" t="s">
        <v>192</v>
      </c>
      <c r="AO586" s="1" t="s">
        <v>193</v>
      </c>
      <c r="AP586" s="1" t="s">
        <v>74</v>
      </c>
      <c r="AQ586" s="1" t="s">
        <v>74</v>
      </c>
      <c r="AR586" s="1" t="s">
        <v>195</v>
      </c>
      <c r="AS586" s="1" t="s">
        <v>196</v>
      </c>
      <c r="AT586" s="1" t="s">
        <v>119</v>
      </c>
      <c r="AU586" s="1">
        <v>2013</v>
      </c>
      <c r="AV586" s="1">
        <v>185</v>
      </c>
      <c r="AW586" s="1">
        <v>8</v>
      </c>
      <c r="AX586" s="1" t="s">
        <v>74</v>
      </c>
      <c r="AY586" s="1" t="s">
        <v>74</v>
      </c>
      <c r="AZ586" s="1" t="s">
        <v>74</v>
      </c>
      <c r="BA586" s="1" t="s">
        <v>74</v>
      </c>
      <c r="BB586" s="1">
        <v>6783</v>
      </c>
      <c r="BC586" s="1">
        <v>6792</v>
      </c>
      <c r="BD586" s="1" t="s">
        <v>74</v>
      </c>
      <c r="BE586" s="1" t="s">
        <v>10123</v>
      </c>
      <c r="BF586" s="1" t="str">
        <f>HYPERLINK("http://dx.doi.org/10.1007/s10661-013-3064-z","http://dx.doi.org/10.1007/s10661-013-3064-z")</f>
        <v>http://dx.doi.org/10.1007/s10661-013-3064-z</v>
      </c>
      <c r="BG586" s="1" t="s">
        <v>74</v>
      </c>
      <c r="BH586" s="1" t="s">
        <v>74</v>
      </c>
      <c r="BI586" s="1">
        <v>10</v>
      </c>
      <c r="BJ586" s="1" t="s">
        <v>144</v>
      </c>
      <c r="BK586" s="1" t="s">
        <v>96</v>
      </c>
      <c r="BL586" s="1" t="s">
        <v>145</v>
      </c>
      <c r="BM586" s="1" t="s">
        <v>10124</v>
      </c>
      <c r="BN586" s="1">
        <v>23325313</v>
      </c>
      <c r="BO586" s="1" t="s">
        <v>74</v>
      </c>
      <c r="BP586" s="1" t="s">
        <v>74</v>
      </c>
      <c r="BQ586" s="1" t="s">
        <v>74</v>
      </c>
      <c r="BR586" s="1" t="s">
        <v>98</v>
      </c>
      <c r="BS586" s="1" t="s">
        <v>10125</v>
      </c>
      <c r="BT586" s="1" t="str">
        <f>HYPERLINK("https%3A%2F%2Fwww.webofscience.com%2Fwos%2Fwoscc%2Ffull-record%2FWOS:000321123800045","View Full Record in Web of Science")</f>
        <v>View Full Record in Web of Science</v>
      </c>
    </row>
    <row r="587" spans="1:72">
      <c r="A587" s="1" t="s">
        <v>72</v>
      </c>
      <c r="B587" s="1" t="s">
        <v>10126</v>
      </c>
      <c r="C587" s="1" t="s">
        <v>74</v>
      </c>
      <c r="D587" s="1" t="s">
        <v>74</v>
      </c>
      <c r="E587" s="1" t="s">
        <v>74</v>
      </c>
      <c r="F587" s="1" t="s">
        <v>10127</v>
      </c>
      <c r="G587" s="1" t="s">
        <v>74</v>
      </c>
      <c r="H587" s="1" t="s">
        <v>74</v>
      </c>
      <c r="I587" s="1" t="s">
        <v>10128</v>
      </c>
      <c r="J587" s="1" t="s">
        <v>10129</v>
      </c>
      <c r="K587" s="1" t="s">
        <v>74</v>
      </c>
      <c r="L587" s="1" t="s">
        <v>74</v>
      </c>
      <c r="M587" s="1" t="s">
        <v>78</v>
      </c>
      <c r="N587" s="1" t="s">
        <v>79</v>
      </c>
      <c r="O587" s="1" t="s">
        <v>74</v>
      </c>
      <c r="P587" s="1" t="s">
        <v>74</v>
      </c>
      <c r="Q587" s="1" t="s">
        <v>74</v>
      </c>
      <c r="R587" s="1" t="s">
        <v>74</v>
      </c>
      <c r="S587" s="1" t="s">
        <v>74</v>
      </c>
      <c r="T587" s="1" t="s">
        <v>10130</v>
      </c>
      <c r="U587" s="1" t="s">
        <v>10131</v>
      </c>
      <c r="V587" s="1" t="s">
        <v>10132</v>
      </c>
      <c r="W587" s="1" t="s">
        <v>10133</v>
      </c>
      <c r="X587" s="1" t="s">
        <v>10134</v>
      </c>
      <c r="Y587" s="1" t="s">
        <v>10135</v>
      </c>
      <c r="Z587" s="1" t="s">
        <v>10136</v>
      </c>
      <c r="AA587" s="1" t="s">
        <v>74</v>
      </c>
      <c r="AB587" s="1" t="s">
        <v>74</v>
      </c>
      <c r="AC587" s="1" t="s">
        <v>74</v>
      </c>
      <c r="AD587" s="1" t="s">
        <v>74</v>
      </c>
      <c r="AE587" s="1" t="s">
        <v>74</v>
      </c>
      <c r="AF587" s="1" t="s">
        <v>74</v>
      </c>
      <c r="AG587" s="1">
        <v>41</v>
      </c>
      <c r="AH587" s="1">
        <v>28</v>
      </c>
      <c r="AI587" s="1">
        <v>35</v>
      </c>
      <c r="AJ587" s="1">
        <v>0</v>
      </c>
      <c r="AK587" s="1">
        <v>16</v>
      </c>
      <c r="AL587" s="1" t="s">
        <v>3362</v>
      </c>
      <c r="AM587" s="1" t="s">
        <v>3363</v>
      </c>
      <c r="AN587" s="1" t="s">
        <v>3364</v>
      </c>
      <c r="AO587" s="1" t="s">
        <v>10137</v>
      </c>
      <c r="AP587" s="1" t="s">
        <v>10138</v>
      </c>
      <c r="AQ587" s="1" t="s">
        <v>74</v>
      </c>
      <c r="AR587" s="1" t="s">
        <v>10139</v>
      </c>
      <c r="AS587" s="1" t="s">
        <v>10140</v>
      </c>
      <c r="AT587" s="1" t="s">
        <v>142</v>
      </c>
      <c r="AU587" s="1">
        <v>2008</v>
      </c>
      <c r="AV587" s="1">
        <v>107</v>
      </c>
      <c r="AW587" s="1">
        <v>2</v>
      </c>
      <c r="AX587" s="1" t="s">
        <v>74</v>
      </c>
      <c r="AY587" s="1" t="s">
        <v>74</v>
      </c>
      <c r="AZ587" s="1" t="s">
        <v>74</v>
      </c>
      <c r="BA587" s="1" t="s">
        <v>74</v>
      </c>
      <c r="BB587" s="1">
        <v>160</v>
      </c>
      <c r="BC587" s="1">
        <v>169</v>
      </c>
      <c r="BD587" s="1" t="s">
        <v>74</v>
      </c>
      <c r="BE587" s="1" t="s">
        <v>10141</v>
      </c>
      <c r="BF587" s="1" t="str">
        <f>HYPERLINK("http://dx.doi.org/10.1016/j.envres.2008.01.014","http://dx.doi.org/10.1016/j.envres.2008.01.014")</f>
        <v>http://dx.doi.org/10.1016/j.envres.2008.01.014</v>
      </c>
      <c r="BG587" s="1" t="s">
        <v>74</v>
      </c>
      <c r="BH587" s="1" t="s">
        <v>74</v>
      </c>
      <c r="BI587" s="1">
        <v>10</v>
      </c>
      <c r="BJ587" s="1" t="s">
        <v>10142</v>
      </c>
      <c r="BK587" s="1" t="s">
        <v>96</v>
      </c>
      <c r="BL587" s="1" t="s">
        <v>10143</v>
      </c>
      <c r="BM587" s="1" t="s">
        <v>10144</v>
      </c>
      <c r="BN587" s="1">
        <v>18358470</v>
      </c>
      <c r="BO587" s="1" t="s">
        <v>74</v>
      </c>
      <c r="BP587" s="1" t="s">
        <v>74</v>
      </c>
      <c r="BQ587" s="1" t="s">
        <v>74</v>
      </c>
      <c r="BR587" s="1" t="s">
        <v>98</v>
      </c>
      <c r="BS587" s="1" t="s">
        <v>10145</v>
      </c>
      <c r="BT587" s="1" t="str">
        <f>HYPERLINK("https%3A%2F%2Fwww.webofscience.com%2Fwos%2Fwoscc%2Ffull-record%2FWOS:000256331200004","View Full Record in Web of Science")</f>
        <v>View Full Record in Web of Science</v>
      </c>
    </row>
    <row r="588" spans="1:72">
      <c r="A588" s="1" t="s">
        <v>72</v>
      </c>
      <c r="B588" s="1" t="s">
        <v>10146</v>
      </c>
      <c r="C588" s="1" t="s">
        <v>74</v>
      </c>
      <c r="D588" s="1" t="s">
        <v>74</v>
      </c>
      <c r="E588" s="1" t="s">
        <v>74</v>
      </c>
      <c r="F588" s="1" t="s">
        <v>10147</v>
      </c>
      <c r="G588" s="1" t="s">
        <v>74</v>
      </c>
      <c r="H588" s="1" t="s">
        <v>74</v>
      </c>
      <c r="I588" s="1" t="s">
        <v>10148</v>
      </c>
      <c r="J588" s="1" t="s">
        <v>10149</v>
      </c>
      <c r="K588" s="1" t="s">
        <v>74</v>
      </c>
      <c r="L588" s="1" t="s">
        <v>74</v>
      </c>
      <c r="M588" s="1" t="s">
        <v>78</v>
      </c>
      <c r="N588" s="1" t="s">
        <v>79</v>
      </c>
      <c r="O588" s="1" t="s">
        <v>74</v>
      </c>
      <c r="P588" s="1" t="s">
        <v>74</v>
      </c>
      <c r="Q588" s="1" t="s">
        <v>74</v>
      </c>
      <c r="R588" s="1" t="s">
        <v>74</v>
      </c>
      <c r="S588" s="1" t="s">
        <v>74</v>
      </c>
      <c r="T588" s="1" t="s">
        <v>10150</v>
      </c>
      <c r="U588" s="1" t="s">
        <v>10151</v>
      </c>
      <c r="V588" s="1" t="s">
        <v>10152</v>
      </c>
      <c r="W588" s="1" t="s">
        <v>10153</v>
      </c>
      <c r="X588" s="1" t="s">
        <v>10154</v>
      </c>
      <c r="Y588" s="1" t="s">
        <v>10155</v>
      </c>
      <c r="Z588" s="1" t="s">
        <v>74</v>
      </c>
      <c r="AA588" s="1" t="s">
        <v>10156</v>
      </c>
      <c r="AB588" s="1" t="s">
        <v>10157</v>
      </c>
      <c r="AC588" s="1" t="s">
        <v>10158</v>
      </c>
      <c r="AD588" s="1" t="s">
        <v>10159</v>
      </c>
      <c r="AE588" s="1" t="s">
        <v>10160</v>
      </c>
      <c r="AF588" s="1" t="s">
        <v>74</v>
      </c>
      <c r="AG588" s="1">
        <v>65</v>
      </c>
      <c r="AH588" s="1">
        <v>0</v>
      </c>
      <c r="AI588" s="1">
        <v>0</v>
      </c>
      <c r="AJ588" s="1">
        <v>1</v>
      </c>
      <c r="AK588" s="1">
        <v>1</v>
      </c>
      <c r="AL588" s="1" t="s">
        <v>650</v>
      </c>
      <c r="AM588" s="1" t="s">
        <v>651</v>
      </c>
      <c r="AN588" s="1" t="s">
        <v>652</v>
      </c>
      <c r="AO588" s="1" t="s">
        <v>10161</v>
      </c>
      <c r="AP588" s="1" t="s">
        <v>10162</v>
      </c>
      <c r="AQ588" s="1" t="s">
        <v>74</v>
      </c>
      <c r="AR588" s="1" t="s">
        <v>10163</v>
      </c>
      <c r="AS588" s="1" t="s">
        <v>10164</v>
      </c>
      <c r="AT588" s="1" t="s">
        <v>142</v>
      </c>
      <c r="AU588" s="1">
        <v>2024</v>
      </c>
      <c r="AV588" s="1">
        <v>75</v>
      </c>
      <c r="AW588" s="1" t="s">
        <v>74</v>
      </c>
      <c r="AX588" s="1" t="s">
        <v>74</v>
      </c>
      <c r="AY588" s="1" t="s">
        <v>74</v>
      </c>
      <c r="AZ588" s="1" t="s">
        <v>74</v>
      </c>
      <c r="BA588" s="1" t="s">
        <v>74</v>
      </c>
      <c r="BB588" s="1" t="s">
        <v>74</v>
      </c>
      <c r="BC588" s="1" t="s">
        <v>74</v>
      </c>
      <c r="BD588" s="1">
        <v>101109</v>
      </c>
      <c r="BE588" s="1" t="s">
        <v>10165</v>
      </c>
      <c r="BF588" s="1" t="str">
        <f>HYPERLINK("http://dx.doi.org/10.1016/j.margen.2024.101109","http://dx.doi.org/10.1016/j.margen.2024.101109")</f>
        <v>http://dx.doi.org/10.1016/j.margen.2024.101109</v>
      </c>
      <c r="BG588" s="1" t="s">
        <v>74</v>
      </c>
      <c r="BH588" s="1" t="s">
        <v>9434</v>
      </c>
      <c r="BI588" s="1">
        <v>13</v>
      </c>
      <c r="BJ588" s="1" t="s">
        <v>10166</v>
      </c>
      <c r="BK588" s="1" t="s">
        <v>96</v>
      </c>
      <c r="BL588" s="1" t="s">
        <v>10166</v>
      </c>
      <c r="BM588" s="1" t="s">
        <v>10167</v>
      </c>
      <c r="BN588" s="1">
        <v>38603950</v>
      </c>
      <c r="BO588" s="1" t="s">
        <v>74</v>
      </c>
      <c r="BP588" s="1" t="s">
        <v>74</v>
      </c>
      <c r="BQ588" s="1" t="s">
        <v>74</v>
      </c>
      <c r="BR588" s="1" t="s">
        <v>98</v>
      </c>
      <c r="BS588" s="1" t="s">
        <v>10168</v>
      </c>
      <c r="BT588" s="1" t="str">
        <f>HYPERLINK("https%3A%2F%2Fwww.webofscience.com%2Fwos%2Fwoscc%2Ffull-record%2FWOS:001225363200001","View Full Record in Web of Science")</f>
        <v>View Full Record in Web of Science</v>
      </c>
    </row>
    <row r="589" spans="1:72">
      <c r="A589" s="1" t="s">
        <v>72</v>
      </c>
      <c r="B589" s="1" t="s">
        <v>10169</v>
      </c>
      <c r="C589" s="1" t="s">
        <v>74</v>
      </c>
      <c r="D589" s="1" t="s">
        <v>74</v>
      </c>
      <c r="E589" s="1" t="s">
        <v>74</v>
      </c>
      <c r="F589" s="1" t="s">
        <v>10170</v>
      </c>
      <c r="G589" s="1" t="s">
        <v>74</v>
      </c>
      <c r="H589" s="1" t="s">
        <v>74</v>
      </c>
      <c r="I589" s="1" t="s">
        <v>10171</v>
      </c>
      <c r="J589" s="1" t="s">
        <v>127</v>
      </c>
      <c r="K589" s="1" t="s">
        <v>74</v>
      </c>
      <c r="L589" s="1" t="s">
        <v>74</v>
      </c>
      <c r="M589" s="1" t="s">
        <v>78</v>
      </c>
      <c r="N589" s="1" t="s">
        <v>79</v>
      </c>
      <c r="O589" s="1" t="s">
        <v>74</v>
      </c>
      <c r="P589" s="1" t="s">
        <v>74</v>
      </c>
      <c r="Q589" s="1" t="s">
        <v>74</v>
      </c>
      <c r="R589" s="1" t="s">
        <v>74</v>
      </c>
      <c r="S589" s="1" t="s">
        <v>74</v>
      </c>
      <c r="T589" s="1" t="s">
        <v>10172</v>
      </c>
      <c r="U589" s="1" t="s">
        <v>10173</v>
      </c>
      <c r="V589" s="1" t="s">
        <v>10174</v>
      </c>
      <c r="W589" s="1" t="s">
        <v>10175</v>
      </c>
      <c r="X589" s="1" t="s">
        <v>10176</v>
      </c>
      <c r="Y589" s="1" t="s">
        <v>10177</v>
      </c>
      <c r="Z589" s="1" t="s">
        <v>10178</v>
      </c>
      <c r="AA589" s="1" t="s">
        <v>10179</v>
      </c>
      <c r="AB589" s="1" t="s">
        <v>10180</v>
      </c>
      <c r="AC589" s="1" t="s">
        <v>10181</v>
      </c>
      <c r="AD589" s="1" t="s">
        <v>10182</v>
      </c>
      <c r="AE589" s="1" t="s">
        <v>10183</v>
      </c>
      <c r="AF589" s="1" t="s">
        <v>74</v>
      </c>
      <c r="AG589" s="1">
        <v>47</v>
      </c>
      <c r="AH589" s="1">
        <v>25</v>
      </c>
      <c r="AI589" s="1">
        <v>26</v>
      </c>
      <c r="AJ589" s="1">
        <v>2</v>
      </c>
      <c r="AK589" s="1">
        <v>72</v>
      </c>
      <c r="AL589" s="1" t="s">
        <v>136</v>
      </c>
      <c r="AM589" s="1" t="s">
        <v>137</v>
      </c>
      <c r="AN589" s="1" t="s">
        <v>138</v>
      </c>
      <c r="AO589" s="1" t="s">
        <v>139</v>
      </c>
      <c r="AP589" s="1" t="s">
        <v>140</v>
      </c>
      <c r="AQ589" s="1" t="s">
        <v>74</v>
      </c>
      <c r="AR589" s="1" t="s">
        <v>127</v>
      </c>
      <c r="AS589" s="1" t="s">
        <v>141</v>
      </c>
      <c r="AT589" s="1" t="s">
        <v>305</v>
      </c>
      <c r="AU589" s="1">
        <v>2018</v>
      </c>
      <c r="AV589" s="1">
        <v>207</v>
      </c>
      <c r="AW589" s="1" t="s">
        <v>74</v>
      </c>
      <c r="AX589" s="1" t="s">
        <v>74</v>
      </c>
      <c r="AY589" s="1" t="s">
        <v>74</v>
      </c>
      <c r="AZ589" s="1" t="s">
        <v>74</v>
      </c>
      <c r="BA589" s="1" t="s">
        <v>74</v>
      </c>
      <c r="BB589" s="1">
        <v>192</v>
      </c>
      <c r="BC589" s="1">
        <v>202</v>
      </c>
      <c r="BD589" s="1" t="s">
        <v>74</v>
      </c>
      <c r="BE589" s="1" t="s">
        <v>10184</v>
      </c>
      <c r="BF589" s="1" t="str">
        <f>HYPERLINK("http://dx.doi.org/10.1016/j.chemosphere.2018.05.079","http://dx.doi.org/10.1016/j.chemosphere.2018.05.079")</f>
        <v>http://dx.doi.org/10.1016/j.chemosphere.2018.05.079</v>
      </c>
      <c r="BG589" s="1" t="s">
        <v>74</v>
      </c>
      <c r="BH589" s="1" t="s">
        <v>74</v>
      </c>
      <c r="BI589" s="1">
        <v>11</v>
      </c>
      <c r="BJ589" s="1" t="s">
        <v>144</v>
      </c>
      <c r="BK589" s="1" t="s">
        <v>96</v>
      </c>
      <c r="BL589" s="1" t="s">
        <v>145</v>
      </c>
      <c r="BM589" s="1" t="s">
        <v>10185</v>
      </c>
      <c r="BN589" s="1">
        <v>29800819</v>
      </c>
      <c r="BO589" s="1" t="s">
        <v>74</v>
      </c>
      <c r="BP589" s="1" t="s">
        <v>74</v>
      </c>
      <c r="BQ589" s="1" t="s">
        <v>74</v>
      </c>
      <c r="BR589" s="1" t="s">
        <v>98</v>
      </c>
      <c r="BS589" s="1" t="s">
        <v>10186</v>
      </c>
      <c r="BT589" s="1" t="str">
        <f>HYPERLINK("https%3A%2F%2Fwww.webofscience.com%2Fwos%2Fwoscc%2Ffull-record%2FWOS:000436916500023","View Full Record in Web of Science")</f>
        <v>View Full Record in Web of Science</v>
      </c>
    </row>
    <row r="590" spans="1:72">
      <c r="A590" s="1" t="s">
        <v>72</v>
      </c>
      <c r="B590" s="1" t="s">
        <v>10187</v>
      </c>
      <c r="C590" s="1" t="s">
        <v>74</v>
      </c>
      <c r="D590" s="1" t="s">
        <v>74</v>
      </c>
      <c r="E590" s="1" t="s">
        <v>74</v>
      </c>
      <c r="F590" s="1" t="s">
        <v>10188</v>
      </c>
      <c r="G590" s="1" t="s">
        <v>74</v>
      </c>
      <c r="H590" s="1" t="s">
        <v>74</v>
      </c>
      <c r="I590" s="1" t="s">
        <v>10189</v>
      </c>
      <c r="J590" s="1" t="s">
        <v>10129</v>
      </c>
      <c r="K590" s="1" t="s">
        <v>74</v>
      </c>
      <c r="L590" s="1" t="s">
        <v>74</v>
      </c>
      <c r="M590" s="1" t="s">
        <v>78</v>
      </c>
      <c r="N590" s="1" t="s">
        <v>79</v>
      </c>
      <c r="O590" s="1" t="s">
        <v>74</v>
      </c>
      <c r="P590" s="1" t="s">
        <v>74</v>
      </c>
      <c r="Q590" s="1" t="s">
        <v>74</v>
      </c>
      <c r="R590" s="1" t="s">
        <v>74</v>
      </c>
      <c r="S590" s="1" t="s">
        <v>74</v>
      </c>
      <c r="T590" s="1" t="s">
        <v>10190</v>
      </c>
      <c r="U590" s="1" t="s">
        <v>10191</v>
      </c>
      <c r="V590" s="1" t="s">
        <v>10192</v>
      </c>
      <c r="W590" s="1" t="s">
        <v>10193</v>
      </c>
      <c r="X590" s="1" t="s">
        <v>74</v>
      </c>
      <c r="Y590" s="1" t="s">
        <v>10194</v>
      </c>
      <c r="Z590" s="1" t="s">
        <v>10195</v>
      </c>
      <c r="AA590" s="1" t="s">
        <v>10196</v>
      </c>
      <c r="AB590" s="1" t="s">
        <v>10197</v>
      </c>
      <c r="AC590" s="1" t="s">
        <v>10198</v>
      </c>
      <c r="AD590" s="1" t="s">
        <v>10199</v>
      </c>
      <c r="AE590" s="1" t="s">
        <v>10200</v>
      </c>
      <c r="AF590" s="1" t="s">
        <v>74</v>
      </c>
      <c r="AG590" s="1">
        <v>108</v>
      </c>
      <c r="AH590" s="1">
        <v>16</v>
      </c>
      <c r="AI590" s="1">
        <v>16</v>
      </c>
      <c r="AJ590" s="1">
        <v>0</v>
      </c>
      <c r="AK590" s="1">
        <v>40</v>
      </c>
      <c r="AL590" s="1" t="s">
        <v>3362</v>
      </c>
      <c r="AM590" s="1" t="s">
        <v>3363</v>
      </c>
      <c r="AN590" s="1" t="s">
        <v>3364</v>
      </c>
      <c r="AO590" s="1" t="s">
        <v>10137</v>
      </c>
      <c r="AP590" s="1" t="s">
        <v>10138</v>
      </c>
      <c r="AQ590" s="1" t="s">
        <v>74</v>
      </c>
      <c r="AR590" s="1" t="s">
        <v>10139</v>
      </c>
      <c r="AS590" s="1" t="s">
        <v>10140</v>
      </c>
      <c r="AT590" s="1" t="s">
        <v>197</v>
      </c>
      <c r="AU590" s="1">
        <v>2019</v>
      </c>
      <c r="AV590" s="1">
        <v>179</v>
      </c>
      <c r="AW590" s="1" t="s">
        <v>74</v>
      </c>
      <c r="AX590" s="1" t="s">
        <v>74</v>
      </c>
      <c r="AY590" s="1" t="s">
        <v>74</v>
      </c>
      <c r="AZ590" s="1" t="s">
        <v>74</v>
      </c>
      <c r="BA590" s="1" t="s">
        <v>74</v>
      </c>
      <c r="BB590" s="1" t="s">
        <v>74</v>
      </c>
      <c r="BC590" s="1" t="s">
        <v>74</v>
      </c>
      <c r="BD590" s="1">
        <v>108755</v>
      </c>
      <c r="BE590" s="1" t="s">
        <v>10201</v>
      </c>
      <c r="BF590" s="1" t="str">
        <f>HYPERLINK("http://dx.doi.org/10.1016/j.envres.2019.108755","http://dx.doi.org/10.1016/j.envres.2019.108755")</f>
        <v>http://dx.doi.org/10.1016/j.envres.2019.108755</v>
      </c>
      <c r="BG590" s="1" t="s">
        <v>74</v>
      </c>
      <c r="BH590" s="1" t="s">
        <v>74</v>
      </c>
      <c r="BI590" s="1">
        <v>13</v>
      </c>
      <c r="BJ590" s="1" t="s">
        <v>10142</v>
      </c>
      <c r="BK590" s="1" t="s">
        <v>96</v>
      </c>
      <c r="BL590" s="1" t="s">
        <v>10143</v>
      </c>
      <c r="BM590" s="1" t="s">
        <v>10202</v>
      </c>
      <c r="BN590" s="1">
        <v>31627029</v>
      </c>
      <c r="BO590" s="1" t="s">
        <v>74</v>
      </c>
      <c r="BP590" s="1" t="s">
        <v>74</v>
      </c>
      <c r="BQ590" s="1" t="s">
        <v>74</v>
      </c>
      <c r="BR590" s="1" t="s">
        <v>98</v>
      </c>
      <c r="BS590" s="1" t="s">
        <v>10203</v>
      </c>
      <c r="BT590" s="1" t="str">
        <f>HYPERLINK("https%3A%2F%2Fwww.webofscience.com%2Fwos%2Fwoscc%2Ffull-record%2FWOS:000497259100034","View Full Record in Web of Science")</f>
        <v>View Full Record in Web of Science</v>
      </c>
    </row>
    <row r="591" spans="1:72">
      <c r="A591" s="1" t="s">
        <v>72</v>
      </c>
      <c r="B591" s="1" t="s">
        <v>10204</v>
      </c>
      <c r="C591" s="1" t="s">
        <v>74</v>
      </c>
      <c r="D591" s="1" t="s">
        <v>74</v>
      </c>
      <c r="E591" s="1" t="s">
        <v>74</v>
      </c>
      <c r="F591" s="1" t="s">
        <v>10205</v>
      </c>
      <c r="G591" s="1" t="s">
        <v>74</v>
      </c>
      <c r="H591" s="1" t="s">
        <v>74</v>
      </c>
      <c r="I591" s="1" t="s">
        <v>10206</v>
      </c>
      <c r="J591" s="1" t="s">
        <v>10207</v>
      </c>
      <c r="K591" s="1" t="s">
        <v>74</v>
      </c>
      <c r="L591" s="1" t="s">
        <v>74</v>
      </c>
      <c r="M591" s="1" t="s">
        <v>78</v>
      </c>
      <c r="N591" s="1" t="s">
        <v>79</v>
      </c>
      <c r="O591" s="1" t="s">
        <v>74</v>
      </c>
      <c r="P591" s="1" t="s">
        <v>74</v>
      </c>
      <c r="Q591" s="1" t="s">
        <v>74</v>
      </c>
      <c r="R591" s="1" t="s">
        <v>74</v>
      </c>
      <c r="S591" s="1" t="s">
        <v>74</v>
      </c>
      <c r="T591" s="1" t="s">
        <v>10208</v>
      </c>
      <c r="U591" s="1" t="s">
        <v>10209</v>
      </c>
      <c r="V591" s="1" t="s">
        <v>10210</v>
      </c>
      <c r="W591" s="1" t="s">
        <v>10211</v>
      </c>
      <c r="X591" s="1" t="s">
        <v>10212</v>
      </c>
      <c r="Y591" s="1" t="s">
        <v>10213</v>
      </c>
      <c r="Z591" s="1" t="s">
        <v>10214</v>
      </c>
      <c r="AA591" s="1" t="s">
        <v>10215</v>
      </c>
      <c r="AB591" s="1" t="s">
        <v>10216</v>
      </c>
      <c r="AC591" s="1" t="s">
        <v>10217</v>
      </c>
      <c r="AD591" s="1" t="s">
        <v>10218</v>
      </c>
      <c r="AE591" s="1" t="s">
        <v>10219</v>
      </c>
      <c r="AF591" s="1" t="s">
        <v>74</v>
      </c>
      <c r="AG591" s="1">
        <v>16</v>
      </c>
      <c r="AH591" s="1">
        <v>8</v>
      </c>
      <c r="AI591" s="1">
        <v>8</v>
      </c>
      <c r="AJ591" s="1">
        <v>1</v>
      </c>
      <c r="AK591" s="1">
        <v>24</v>
      </c>
      <c r="AL591" s="1" t="s">
        <v>2074</v>
      </c>
      <c r="AM591" s="1" t="s">
        <v>2075</v>
      </c>
      <c r="AN591" s="1" t="s">
        <v>5365</v>
      </c>
      <c r="AO591" s="1" t="s">
        <v>10220</v>
      </c>
      <c r="AP591" s="1" t="s">
        <v>74</v>
      </c>
      <c r="AQ591" s="1" t="s">
        <v>74</v>
      </c>
      <c r="AR591" s="1" t="s">
        <v>10221</v>
      </c>
      <c r="AS591" s="1" t="s">
        <v>10222</v>
      </c>
      <c r="AT591" s="1" t="s">
        <v>74</v>
      </c>
      <c r="AU591" s="1">
        <v>2011</v>
      </c>
      <c r="AV591" s="1">
        <v>4</v>
      </c>
      <c r="AW591" s="1">
        <v>3</v>
      </c>
      <c r="AX591" s="1" t="s">
        <v>74</v>
      </c>
      <c r="AY591" s="1" t="s">
        <v>74</v>
      </c>
      <c r="AZ591" s="1" t="s">
        <v>74</v>
      </c>
      <c r="BA591" s="1" t="s">
        <v>74</v>
      </c>
      <c r="BB591" s="1">
        <v>261</v>
      </c>
      <c r="BC591" s="1">
        <v>267</v>
      </c>
      <c r="BD591" s="1" t="s">
        <v>74</v>
      </c>
      <c r="BE591" s="1" t="s">
        <v>10223</v>
      </c>
      <c r="BF591" s="1" t="str">
        <f>HYPERLINK("http://dx.doi.org/10.1080/17518253.2010.528050","http://dx.doi.org/10.1080/17518253.2010.528050")</f>
        <v>http://dx.doi.org/10.1080/17518253.2010.528050</v>
      </c>
      <c r="BG591" s="1" t="s">
        <v>74</v>
      </c>
      <c r="BH591" s="1" t="s">
        <v>74</v>
      </c>
      <c r="BI591" s="1">
        <v>7</v>
      </c>
      <c r="BJ591" s="1" t="s">
        <v>10224</v>
      </c>
      <c r="BK591" s="1" t="s">
        <v>96</v>
      </c>
      <c r="BL591" s="1" t="s">
        <v>7456</v>
      </c>
      <c r="BM591" s="1" t="s">
        <v>10225</v>
      </c>
      <c r="BN591" s="1" t="s">
        <v>74</v>
      </c>
      <c r="BO591" s="1" t="s">
        <v>370</v>
      </c>
      <c r="BP591" s="1" t="s">
        <v>74</v>
      </c>
      <c r="BQ591" s="1" t="s">
        <v>74</v>
      </c>
      <c r="BR591" s="1" t="s">
        <v>98</v>
      </c>
      <c r="BS591" s="1" t="s">
        <v>10226</v>
      </c>
      <c r="BT591" s="1" t="str">
        <f>HYPERLINK("https%3A%2F%2Fwww.webofscience.com%2Fwos%2Fwoscc%2Ffull-record%2FWOS:000293066500011","View Full Record in Web of Science")</f>
        <v>View Full Record in Web of Science</v>
      </c>
    </row>
    <row r="592" spans="1:72">
      <c r="A592" s="1" t="s">
        <v>72</v>
      </c>
      <c r="B592" s="1" t="s">
        <v>10227</v>
      </c>
      <c r="C592" s="1" t="s">
        <v>74</v>
      </c>
      <c r="D592" s="1" t="s">
        <v>74</v>
      </c>
      <c r="E592" s="1" t="s">
        <v>74</v>
      </c>
      <c r="F592" s="1" t="s">
        <v>10227</v>
      </c>
      <c r="G592" s="1" t="s">
        <v>74</v>
      </c>
      <c r="H592" s="1" t="s">
        <v>74</v>
      </c>
      <c r="I592" s="1" t="s">
        <v>10228</v>
      </c>
      <c r="J592" s="1" t="s">
        <v>752</v>
      </c>
      <c r="K592" s="1" t="s">
        <v>74</v>
      </c>
      <c r="L592" s="1" t="s">
        <v>74</v>
      </c>
      <c r="M592" s="1" t="s">
        <v>78</v>
      </c>
      <c r="N592" s="1" t="s">
        <v>151</v>
      </c>
      <c r="O592" s="1" t="s">
        <v>8767</v>
      </c>
      <c r="P592" s="1" t="s">
        <v>8768</v>
      </c>
      <c r="Q592" s="1" t="s">
        <v>8769</v>
      </c>
      <c r="R592" s="1" t="s">
        <v>74</v>
      </c>
      <c r="S592" s="1" t="s">
        <v>74</v>
      </c>
      <c r="T592" s="1" t="s">
        <v>10229</v>
      </c>
      <c r="U592" s="1" t="s">
        <v>74</v>
      </c>
      <c r="V592" s="1" t="s">
        <v>10230</v>
      </c>
      <c r="W592" s="1" t="s">
        <v>10231</v>
      </c>
      <c r="X592" s="1" t="s">
        <v>10232</v>
      </c>
      <c r="Y592" s="1" t="s">
        <v>10233</v>
      </c>
      <c r="Z592" s="1" t="s">
        <v>10234</v>
      </c>
      <c r="AA592" s="1" t="s">
        <v>74</v>
      </c>
      <c r="AB592" s="1" t="s">
        <v>10235</v>
      </c>
      <c r="AC592" s="1" t="s">
        <v>74</v>
      </c>
      <c r="AD592" s="1" t="s">
        <v>74</v>
      </c>
      <c r="AE592" s="1" t="s">
        <v>74</v>
      </c>
      <c r="AF592" s="1" t="s">
        <v>74</v>
      </c>
      <c r="AG592" s="1">
        <v>10</v>
      </c>
      <c r="AH592" s="1">
        <v>17</v>
      </c>
      <c r="AI592" s="1">
        <v>18</v>
      </c>
      <c r="AJ592" s="1">
        <v>0</v>
      </c>
      <c r="AK592" s="1">
        <v>7</v>
      </c>
      <c r="AL592" s="1" t="s">
        <v>430</v>
      </c>
      <c r="AM592" s="1" t="s">
        <v>137</v>
      </c>
      <c r="AN592" s="1" t="s">
        <v>431</v>
      </c>
      <c r="AO592" s="1" t="s">
        <v>761</v>
      </c>
      <c r="AP592" s="1" t="s">
        <v>762</v>
      </c>
      <c r="AQ592" s="1" t="s">
        <v>74</v>
      </c>
      <c r="AR592" s="1" t="s">
        <v>763</v>
      </c>
      <c r="AS592" s="1" t="s">
        <v>764</v>
      </c>
      <c r="AT592" s="1" t="s">
        <v>4872</v>
      </c>
      <c r="AU592" s="1">
        <v>2002</v>
      </c>
      <c r="AV592" s="1">
        <v>54</v>
      </c>
      <c r="AW592" s="1" t="s">
        <v>8775</v>
      </c>
      <c r="AX592" s="1" t="s">
        <v>74</v>
      </c>
      <c r="AY592" s="1" t="s">
        <v>74</v>
      </c>
      <c r="AZ592" s="1" t="s">
        <v>225</v>
      </c>
      <c r="BA592" s="1" t="s">
        <v>74</v>
      </c>
      <c r="BB592" s="1">
        <v>401</v>
      </c>
      <c r="BC592" s="1">
        <v>404</v>
      </c>
      <c r="BD592" s="1" t="s">
        <v>10236</v>
      </c>
      <c r="BE592" s="1" t="s">
        <v>10237</v>
      </c>
      <c r="BF592" s="1" t="str">
        <f>HYPERLINK("http://dx.doi.org/10.1016/S0141-1136(02)00165-4","http://dx.doi.org/10.1016/S0141-1136(02)00165-4")</f>
        <v>http://dx.doi.org/10.1016/S0141-1136(02)00165-4</v>
      </c>
      <c r="BG592" s="1" t="s">
        <v>74</v>
      </c>
      <c r="BH592" s="1" t="s">
        <v>74</v>
      </c>
      <c r="BI592" s="1">
        <v>4</v>
      </c>
      <c r="BJ592" s="1" t="s">
        <v>768</v>
      </c>
      <c r="BK592" s="1" t="s">
        <v>172</v>
      </c>
      <c r="BL592" s="1" t="s">
        <v>769</v>
      </c>
      <c r="BM592" s="1" t="s">
        <v>8778</v>
      </c>
      <c r="BN592" s="1">
        <v>12408594</v>
      </c>
      <c r="BO592" s="1" t="s">
        <v>74</v>
      </c>
      <c r="BP592" s="1" t="s">
        <v>74</v>
      </c>
      <c r="BQ592" s="1" t="s">
        <v>74</v>
      </c>
      <c r="BR592" s="1" t="s">
        <v>98</v>
      </c>
      <c r="BS592" s="1" t="s">
        <v>10238</v>
      </c>
      <c r="BT592" s="1" t="str">
        <f>HYPERLINK("https%3A%2F%2Fwww.webofscience.com%2Fwos%2Fwoscc%2Ffull-record%2FWOS:000178360100036","View Full Record in Web of Science")</f>
        <v>View Full Record in Web of Science</v>
      </c>
    </row>
    <row r="593" spans="1:72">
      <c r="A593" s="1" t="s">
        <v>72</v>
      </c>
      <c r="B593" s="1" t="s">
        <v>10239</v>
      </c>
      <c r="C593" s="1" t="s">
        <v>74</v>
      </c>
      <c r="D593" s="1" t="s">
        <v>74</v>
      </c>
      <c r="E593" s="1" t="s">
        <v>74</v>
      </c>
      <c r="F593" s="1" t="s">
        <v>10240</v>
      </c>
      <c r="G593" s="1" t="s">
        <v>74</v>
      </c>
      <c r="H593" s="1" t="s">
        <v>74</v>
      </c>
      <c r="I593" s="1" t="s">
        <v>10241</v>
      </c>
      <c r="J593" s="1" t="s">
        <v>10242</v>
      </c>
      <c r="K593" s="1" t="s">
        <v>74</v>
      </c>
      <c r="L593" s="1" t="s">
        <v>74</v>
      </c>
      <c r="M593" s="1" t="s">
        <v>78</v>
      </c>
      <c r="N593" s="1" t="s">
        <v>79</v>
      </c>
      <c r="O593" s="1" t="s">
        <v>74</v>
      </c>
      <c r="P593" s="1" t="s">
        <v>74</v>
      </c>
      <c r="Q593" s="1" t="s">
        <v>74</v>
      </c>
      <c r="R593" s="1" t="s">
        <v>74</v>
      </c>
      <c r="S593" s="1" t="s">
        <v>74</v>
      </c>
      <c r="T593" s="1" t="s">
        <v>10243</v>
      </c>
      <c r="U593" s="1" t="s">
        <v>10244</v>
      </c>
      <c r="V593" s="1" t="s">
        <v>10245</v>
      </c>
      <c r="W593" s="1" t="s">
        <v>10246</v>
      </c>
      <c r="X593" s="1" t="s">
        <v>10247</v>
      </c>
      <c r="Y593" s="1" t="s">
        <v>10248</v>
      </c>
      <c r="Z593" s="1" t="s">
        <v>10249</v>
      </c>
      <c r="AA593" s="1" t="s">
        <v>10250</v>
      </c>
      <c r="AB593" s="1" t="s">
        <v>10251</v>
      </c>
      <c r="AC593" s="1" t="s">
        <v>10252</v>
      </c>
      <c r="AD593" s="1" t="s">
        <v>10253</v>
      </c>
      <c r="AE593" s="1" t="s">
        <v>10254</v>
      </c>
      <c r="AF593" s="1" t="s">
        <v>74</v>
      </c>
      <c r="AG593" s="1">
        <v>70</v>
      </c>
      <c r="AH593" s="1">
        <v>2</v>
      </c>
      <c r="AI593" s="1">
        <v>2</v>
      </c>
      <c r="AJ593" s="1">
        <v>1</v>
      </c>
      <c r="AK593" s="1">
        <v>8</v>
      </c>
      <c r="AL593" s="1" t="s">
        <v>6554</v>
      </c>
      <c r="AM593" s="1" t="s">
        <v>113</v>
      </c>
      <c r="AN593" s="1" t="s">
        <v>6555</v>
      </c>
      <c r="AO593" s="1" t="s">
        <v>10255</v>
      </c>
      <c r="AP593" s="1" t="s">
        <v>10256</v>
      </c>
      <c r="AQ593" s="1" t="s">
        <v>74</v>
      </c>
      <c r="AR593" s="1" t="s">
        <v>10257</v>
      </c>
      <c r="AS593" s="1" t="s">
        <v>10258</v>
      </c>
      <c r="AT593" s="1" t="s">
        <v>142</v>
      </c>
      <c r="AU593" s="1">
        <v>2022</v>
      </c>
      <c r="AV593" s="1">
        <v>15</v>
      </c>
      <c r="AW593" s="1">
        <v>3</v>
      </c>
      <c r="AX593" s="1" t="s">
        <v>74</v>
      </c>
      <c r="AY593" s="1" t="s">
        <v>74</v>
      </c>
      <c r="AZ593" s="1" t="s">
        <v>74</v>
      </c>
      <c r="BA593" s="1" t="s">
        <v>74</v>
      </c>
      <c r="BB593" s="1">
        <v>301</v>
      </c>
      <c r="BC593" s="1">
        <v>313</v>
      </c>
      <c r="BD593" s="1" t="s">
        <v>74</v>
      </c>
      <c r="BE593" s="1" t="s">
        <v>10259</v>
      </c>
      <c r="BF593" s="1" t="str">
        <f>HYPERLINK("http://dx.doi.org/10.1134/S1995425522030027","http://dx.doi.org/10.1134/S1995425522030027")</f>
        <v>http://dx.doi.org/10.1134/S1995425522030027</v>
      </c>
      <c r="BG593" s="1" t="s">
        <v>74</v>
      </c>
      <c r="BH593" s="1" t="s">
        <v>74</v>
      </c>
      <c r="BI593" s="1">
        <v>13</v>
      </c>
      <c r="BJ593" s="1" t="s">
        <v>6054</v>
      </c>
      <c r="BK593" s="1" t="s">
        <v>96</v>
      </c>
      <c r="BL593" s="1" t="s">
        <v>145</v>
      </c>
      <c r="BM593" s="1" t="s">
        <v>10260</v>
      </c>
      <c r="BN593" s="1" t="s">
        <v>74</v>
      </c>
      <c r="BO593" s="1" t="s">
        <v>74</v>
      </c>
      <c r="BP593" s="1" t="s">
        <v>74</v>
      </c>
      <c r="BQ593" s="1" t="s">
        <v>74</v>
      </c>
      <c r="BR593" s="1" t="s">
        <v>98</v>
      </c>
      <c r="BS593" s="1" t="s">
        <v>10261</v>
      </c>
      <c r="BT593" s="1" t="str">
        <f>HYPERLINK("https%3A%2F%2Fwww.webofscience.com%2Fwos%2Fwoscc%2Ffull-record%2FWOS:000809844900011","View Full Record in Web of Science")</f>
        <v>View Full Record in Web of Science</v>
      </c>
    </row>
    <row r="594" spans="1:72">
      <c r="A594" s="1" t="s">
        <v>72</v>
      </c>
      <c r="B594" s="1" t="s">
        <v>10262</v>
      </c>
      <c r="C594" s="1" t="s">
        <v>74</v>
      </c>
      <c r="D594" s="1" t="s">
        <v>74</v>
      </c>
      <c r="E594" s="1" t="s">
        <v>74</v>
      </c>
      <c r="F594" s="1" t="s">
        <v>10263</v>
      </c>
      <c r="G594" s="1" t="s">
        <v>74</v>
      </c>
      <c r="H594" s="1" t="s">
        <v>74</v>
      </c>
      <c r="I594" s="1" t="s">
        <v>10264</v>
      </c>
      <c r="J594" s="1" t="s">
        <v>909</v>
      </c>
      <c r="K594" s="1" t="s">
        <v>74</v>
      </c>
      <c r="L594" s="1" t="s">
        <v>74</v>
      </c>
      <c r="M594" s="1" t="s">
        <v>78</v>
      </c>
      <c r="N594" s="1" t="s">
        <v>79</v>
      </c>
      <c r="O594" s="1" t="s">
        <v>74</v>
      </c>
      <c r="P594" s="1" t="s">
        <v>74</v>
      </c>
      <c r="Q594" s="1" t="s">
        <v>74</v>
      </c>
      <c r="R594" s="1" t="s">
        <v>74</v>
      </c>
      <c r="S594" s="1" t="s">
        <v>74</v>
      </c>
      <c r="T594" s="1" t="s">
        <v>10265</v>
      </c>
      <c r="U594" s="1" t="s">
        <v>10266</v>
      </c>
      <c r="V594" s="1" t="s">
        <v>10267</v>
      </c>
      <c r="W594" s="1" t="s">
        <v>10268</v>
      </c>
      <c r="X594" s="1" t="s">
        <v>10269</v>
      </c>
      <c r="Y594" s="1" t="s">
        <v>10270</v>
      </c>
      <c r="Z594" s="1" t="s">
        <v>10271</v>
      </c>
      <c r="AA594" s="1" t="s">
        <v>10272</v>
      </c>
      <c r="AB594" s="1" t="s">
        <v>10273</v>
      </c>
      <c r="AC594" s="1" t="s">
        <v>10274</v>
      </c>
      <c r="AD594" s="1" t="s">
        <v>10275</v>
      </c>
      <c r="AE594" s="1" t="s">
        <v>10276</v>
      </c>
      <c r="AF594" s="1" t="s">
        <v>74</v>
      </c>
      <c r="AG594" s="1">
        <v>75</v>
      </c>
      <c r="AH594" s="1">
        <v>50</v>
      </c>
      <c r="AI594" s="1">
        <v>57</v>
      </c>
      <c r="AJ594" s="1">
        <v>0</v>
      </c>
      <c r="AK594" s="1">
        <v>55</v>
      </c>
      <c r="AL594" s="1" t="s">
        <v>650</v>
      </c>
      <c r="AM594" s="1" t="s">
        <v>651</v>
      </c>
      <c r="AN594" s="1" t="s">
        <v>652</v>
      </c>
      <c r="AO594" s="1" t="s">
        <v>921</v>
      </c>
      <c r="AP594" s="1" t="s">
        <v>922</v>
      </c>
      <c r="AQ594" s="1" t="s">
        <v>74</v>
      </c>
      <c r="AR594" s="1" t="s">
        <v>923</v>
      </c>
      <c r="AS594" s="1" t="s">
        <v>924</v>
      </c>
      <c r="AT594" s="1" t="s">
        <v>387</v>
      </c>
      <c r="AU594" s="1">
        <v>2017</v>
      </c>
      <c r="AV594" s="1">
        <v>586</v>
      </c>
      <c r="AW594" s="1" t="s">
        <v>74</v>
      </c>
      <c r="AX594" s="1" t="s">
        <v>74</v>
      </c>
      <c r="AY594" s="1" t="s">
        <v>74</v>
      </c>
      <c r="AZ594" s="1" t="s">
        <v>74</v>
      </c>
      <c r="BA594" s="1" t="s">
        <v>74</v>
      </c>
      <c r="BB594" s="1">
        <v>542</v>
      </c>
      <c r="BC594" s="1">
        <v>550</v>
      </c>
      <c r="BD594" s="1" t="s">
        <v>74</v>
      </c>
      <c r="BE594" s="1" t="s">
        <v>10277</v>
      </c>
      <c r="BF594" s="1" t="str">
        <f>HYPERLINK("http://dx.doi.org/10.1016/j.scitotenv.2017.02.015","http://dx.doi.org/10.1016/j.scitotenv.2017.02.015")</f>
        <v>http://dx.doi.org/10.1016/j.scitotenv.2017.02.015</v>
      </c>
      <c r="BG594" s="1" t="s">
        <v>74</v>
      </c>
      <c r="BH594" s="1" t="s">
        <v>74</v>
      </c>
      <c r="BI594" s="1">
        <v>9</v>
      </c>
      <c r="BJ594" s="1" t="s">
        <v>144</v>
      </c>
      <c r="BK594" s="1" t="s">
        <v>96</v>
      </c>
      <c r="BL594" s="1" t="s">
        <v>145</v>
      </c>
      <c r="BM594" s="1" t="s">
        <v>10278</v>
      </c>
      <c r="BN594" s="1">
        <v>28202240</v>
      </c>
      <c r="BO594" s="1" t="s">
        <v>74</v>
      </c>
      <c r="BP594" s="1" t="s">
        <v>74</v>
      </c>
      <c r="BQ594" s="1" t="s">
        <v>74</v>
      </c>
      <c r="BR594" s="1" t="s">
        <v>98</v>
      </c>
      <c r="BS594" s="1" t="s">
        <v>10279</v>
      </c>
      <c r="BT594" s="1" t="str">
        <f>HYPERLINK("https%3A%2F%2Fwww.webofscience.com%2Fwos%2Fwoscc%2Ffull-record%2FWOS:000398758800054","View Full Record in Web of Science")</f>
        <v>View Full Record in Web of Science</v>
      </c>
    </row>
    <row r="595" spans="1:72">
      <c r="A595" s="1" t="s">
        <v>72</v>
      </c>
      <c r="B595" s="1" t="s">
        <v>10280</v>
      </c>
      <c r="C595" s="1" t="s">
        <v>74</v>
      </c>
      <c r="D595" s="1" t="s">
        <v>74</v>
      </c>
      <c r="E595" s="1" t="s">
        <v>74</v>
      </c>
      <c r="F595" s="1" t="s">
        <v>10281</v>
      </c>
      <c r="G595" s="1" t="s">
        <v>74</v>
      </c>
      <c r="H595" s="1" t="s">
        <v>74</v>
      </c>
      <c r="I595" s="1" t="s">
        <v>10282</v>
      </c>
      <c r="J595" s="1" t="s">
        <v>232</v>
      </c>
      <c r="K595" s="1" t="s">
        <v>74</v>
      </c>
      <c r="L595" s="1" t="s">
        <v>74</v>
      </c>
      <c r="M595" s="1" t="s">
        <v>78</v>
      </c>
      <c r="N595" s="1" t="s">
        <v>79</v>
      </c>
      <c r="O595" s="1" t="s">
        <v>74</v>
      </c>
      <c r="P595" s="1" t="s">
        <v>74</v>
      </c>
      <c r="Q595" s="1" t="s">
        <v>74</v>
      </c>
      <c r="R595" s="1" t="s">
        <v>74</v>
      </c>
      <c r="S595" s="1" t="s">
        <v>74</v>
      </c>
      <c r="T595" s="1" t="s">
        <v>10283</v>
      </c>
      <c r="U595" s="1" t="s">
        <v>10284</v>
      </c>
      <c r="V595" s="1" t="s">
        <v>10285</v>
      </c>
      <c r="W595" s="1" t="s">
        <v>10286</v>
      </c>
      <c r="X595" s="1" t="s">
        <v>10287</v>
      </c>
      <c r="Y595" s="1" t="s">
        <v>10288</v>
      </c>
      <c r="Z595" s="1" t="s">
        <v>5737</v>
      </c>
      <c r="AA595" s="1" t="s">
        <v>10289</v>
      </c>
      <c r="AB595" s="1" t="s">
        <v>10290</v>
      </c>
      <c r="AC595" s="1" t="s">
        <v>10291</v>
      </c>
      <c r="AD595" s="1" t="s">
        <v>10292</v>
      </c>
      <c r="AE595" s="1" t="s">
        <v>10293</v>
      </c>
      <c r="AF595" s="1" t="s">
        <v>74</v>
      </c>
      <c r="AG595" s="1">
        <v>53</v>
      </c>
      <c r="AH595" s="1">
        <v>30</v>
      </c>
      <c r="AI595" s="1">
        <v>37</v>
      </c>
      <c r="AJ595" s="1">
        <v>1</v>
      </c>
      <c r="AK595" s="1">
        <v>69</v>
      </c>
      <c r="AL595" s="1" t="s">
        <v>136</v>
      </c>
      <c r="AM595" s="1" t="s">
        <v>137</v>
      </c>
      <c r="AN595" s="1" t="s">
        <v>138</v>
      </c>
      <c r="AO595" s="1" t="s">
        <v>240</v>
      </c>
      <c r="AP595" s="1" t="s">
        <v>241</v>
      </c>
      <c r="AQ595" s="1" t="s">
        <v>74</v>
      </c>
      <c r="AR595" s="1" t="s">
        <v>242</v>
      </c>
      <c r="AS595" s="1" t="s">
        <v>243</v>
      </c>
      <c r="AT595" s="1" t="s">
        <v>325</v>
      </c>
      <c r="AU595" s="1">
        <v>2014</v>
      </c>
      <c r="AV595" s="1">
        <v>87</v>
      </c>
      <c r="AW595" s="1" t="s">
        <v>326</v>
      </c>
      <c r="AX595" s="1" t="s">
        <v>74</v>
      </c>
      <c r="AY595" s="1" t="s">
        <v>74</v>
      </c>
      <c r="AZ595" s="1" t="s">
        <v>74</v>
      </c>
      <c r="BA595" s="1" t="s">
        <v>74</v>
      </c>
      <c r="BB595" s="1">
        <v>39</v>
      </c>
      <c r="BC595" s="1">
        <v>47</v>
      </c>
      <c r="BD595" s="1" t="s">
        <v>74</v>
      </c>
      <c r="BE595" s="1" t="s">
        <v>10294</v>
      </c>
      <c r="BF595" s="1" t="str">
        <f>HYPERLINK("http://dx.doi.org/10.1016/j.marpolbul.2014.08.013","http://dx.doi.org/10.1016/j.marpolbul.2014.08.013")</f>
        <v>http://dx.doi.org/10.1016/j.marpolbul.2014.08.013</v>
      </c>
      <c r="BG595" s="1" t="s">
        <v>74</v>
      </c>
      <c r="BH595" s="1" t="s">
        <v>74</v>
      </c>
      <c r="BI595" s="1">
        <v>9</v>
      </c>
      <c r="BJ595" s="1" t="s">
        <v>247</v>
      </c>
      <c r="BK595" s="1" t="s">
        <v>96</v>
      </c>
      <c r="BL595" s="1" t="s">
        <v>248</v>
      </c>
      <c r="BM595" s="1" t="s">
        <v>10295</v>
      </c>
      <c r="BN595" s="1">
        <v>25172612</v>
      </c>
      <c r="BO595" s="1" t="s">
        <v>74</v>
      </c>
      <c r="BP595" s="1" t="s">
        <v>74</v>
      </c>
      <c r="BQ595" s="1" t="s">
        <v>74</v>
      </c>
      <c r="BR595" s="1" t="s">
        <v>98</v>
      </c>
      <c r="BS595" s="1" t="s">
        <v>10296</v>
      </c>
      <c r="BT595" s="1" t="str">
        <f>HYPERLINK("https%3A%2F%2Fwww.webofscience.com%2Fwos%2Fwoscc%2Ffull-record%2FWOS:000343951800021","View Full Record in Web of Science")</f>
        <v>View Full Record in Web of Science</v>
      </c>
    </row>
    <row r="596" spans="1:72">
      <c r="A596" s="1" t="s">
        <v>72</v>
      </c>
      <c r="B596" s="1" t="s">
        <v>10297</v>
      </c>
      <c r="C596" s="1" t="s">
        <v>74</v>
      </c>
      <c r="D596" s="1" t="s">
        <v>74</v>
      </c>
      <c r="E596" s="1" t="s">
        <v>74</v>
      </c>
      <c r="F596" s="1" t="s">
        <v>10298</v>
      </c>
      <c r="G596" s="1" t="s">
        <v>74</v>
      </c>
      <c r="H596" s="1" t="s">
        <v>74</v>
      </c>
      <c r="I596" s="1" t="s">
        <v>10299</v>
      </c>
      <c r="J596" s="1" t="s">
        <v>10300</v>
      </c>
      <c r="K596" s="1" t="s">
        <v>74</v>
      </c>
      <c r="L596" s="1" t="s">
        <v>74</v>
      </c>
      <c r="M596" s="1" t="s">
        <v>78</v>
      </c>
      <c r="N596" s="1" t="s">
        <v>79</v>
      </c>
      <c r="O596" s="1" t="s">
        <v>74</v>
      </c>
      <c r="P596" s="1" t="s">
        <v>74</v>
      </c>
      <c r="Q596" s="1" t="s">
        <v>74</v>
      </c>
      <c r="R596" s="1" t="s">
        <v>74</v>
      </c>
      <c r="S596" s="1" t="s">
        <v>74</v>
      </c>
      <c r="T596" s="1" t="s">
        <v>10301</v>
      </c>
      <c r="U596" s="1" t="s">
        <v>10302</v>
      </c>
      <c r="V596" s="1" t="s">
        <v>10303</v>
      </c>
      <c r="W596" s="1" t="s">
        <v>10304</v>
      </c>
      <c r="X596" s="1" t="s">
        <v>10305</v>
      </c>
      <c r="Y596" s="1" t="s">
        <v>10306</v>
      </c>
      <c r="Z596" s="1" t="s">
        <v>10307</v>
      </c>
      <c r="AA596" s="1" t="s">
        <v>10308</v>
      </c>
      <c r="AB596" s="1" t="s">
        <v>10309</v>
      </c>
      <c r="AC596" s="1" t="s">
        <v>10310</v>
      </c>
      <c r="AD596" s="1" t="s">
        <v>10305</v>
      </c>
      <c r="AE596" s="1" t="s">
        <v>10311</v>
      </c>
      <c r="AF596" s="1" t="s">
        <v>74</v>
      </c>
      <c r="AG596" s="1">
        <v>67</v>
      </c>
      <c r="AH596" s="1">
        <v>14</v>
      </c>
      <c r="AI596" s="1">
        <v>14</v>
      </c>
      <c r="AJ596" s="1">
        <v>1</v>
      </c>
      <c r="AK596" s="1">
        <v>39</v>
      </c>
      <c r="AL596" s="1" t="s">
        <v>408</v>
      </c>
      <c r="AM596" s="1" t="s">
        <v>409</v>
      </c>
      <c r="AN596" s="1" t="s">
        <v>1188</v>
      </c>
      <c r="AO596" s="1" t="s">
        <v>10312</v>
      </c>
      <c r="AP596" s="1" t="s">
        <v>10313</v>
      </c>
      <c r="AQ596" s="1" t="s">
        <v>74</v>
      </c>
      <c r="AR596" s="1" t="s">
        <v>10314</v>
      </c>
      <c r="AS596" s="1" t="s">
        <v>10315</v>
      </c>
      <c r="AT596" s="1" t="s">
        <v>74</v>
      </c>
      <c r="AU596" s="1">
        <v>2017</v>
      </c>
      <c r="AV596" s="1">
        <v>26</v>
      </c>
      <c r="AW596" s="1">
        <v>6</v>
      </c>
      <c r="AX596" s="1" t="s">
        <v>74</v>
      </c>
      <c r="AY596" s="1" t="s">
        <v>74</v>
      </c>
      <c r="AZ596" s="1" t="s">
        <v>74</v>
      </c>
      <c r="BA596" s="1" t="s">
        <v>74</v>
      </c>
      <c r="BB596" s="1">
        <v>584</v>
      </c>
      <c r="BC596" s="1">
        <v>604</v>
      </c>
      <c r="BD596" s="1" t="s">
        <v>74</v>
      </c>
      <c r="BE596" s="1" t="s">
        <v>10316</v>
      </c>
      <c r="BF596" s="1" t="str">
        <f>HYPERLINK("http://dx.doi.org/10.1080/15320383.2017.1364222","http://dx.doi.org/10.1080/15320383.2017.1364222")</f>
        <v>http://dx.doi.org/10.1080/15320383.2017.1364222</v>
      </c>
      <c r="BG596" s="1" t="s">
        <v>74</v>
      </c>
      <c r="BH596" s="1" t="s">
        <v>74</v>
      </c>
      <c r="BI596" s="1">
        <v>21</v>
      </c>
      <c r="BJ596" s="1" t="s">
        <v>144</v>
      </c>
      <c r="BK596" s="1" t="s">
        <v>96</v>
      </c>
      <c r="BL596" s="1" t="s">
        <v>145</v>
      </c>
      <c r="BM596" s="1" t="s">
        <v>10317</v>
      </c>
      <c r="BN596" s="1" t="s">
        <v>74</v>
      </c>
      <c r="BO596" s="1" t="s">
        <v>74</v>
      </c>
      <c r="BP596" s="1" t="s">
        <v>74</v>
      </c>
      <c r="BQ596" s="1" t="s">
        <v>74</v>
      </c>
      <c r="BR596" s="1" t="s">
        <v>98</v>
      </c>
      <c r="BS596" s="1" t="s">
        <v>10318</v>
      </c>
      <c r="BT596" s="1" t="str">
        <f>HYPERLINK("https%3A%2F%2Fwww.webofscience.com%2Fwos%2Fwoscc%2Ffull-record%2FWOS:000417597900002","View Full Record in Web of Science")</f>
        <v>View Full Record in Web of Science</v>
      </c>
    </row>
    <row r="597" spans="1:72">
      <c r="A597" s="1" t="s">
        <v>72</v>
      </c>
      <c r="B597" s="1" t="s">
        <v>10319</v>
      </c>
      <c r="C597" s="1" t="s">
        <v>74</v>
      </c>
      <c r="D597" s="1" t="s">
        <v>74</v>
      </c>
      <c r="E597" s="1" t="s">
        <v>74</v>
      </c>
      <c r="F597" s="1" t="s">
        <v>10320</v>
      </c>
      <c r="G597" s="1" t="s">
        <v>74</v>
      </c>
      <c r="H597" s="1" t="s">
        <v>74</v>
      </c>
      <c r="I597" s="1" t="s">
        <v>10321</v>
      </c>
      <c r="J597" s="1" t="s">
        <v>3349</v>
      </c>
      <c r="K597" s="1" t="s">
        <v>74</v>
      </c>
      <c r="L597" s="1" t="s">
        <v>74</v>
      </c>
      <c r="M597" s="1" t="s">
        <v>78</v>
      </c>
      <c r="N597" s="1" t="s">
        <v>79</v>
      </c>
      <c r="O597" s="1" t="s">
        <v>74</v>
      </c>
      <c r="P597" s="1" t="s">
        <v>74</v>
      </c>
      <c r="Q597" s="1" t="s">
        <v>74</v>
      </c>
      <c r="R597" s="1" t="s">
        <v>74</v>
      </c>
      <c r="S597" s="1" t="s">
        <v>74</v>
      </c>
      <c r="T597" s="1" t="s">
        <v>10322</v>
      </c>
      <c r="U597" s="1" t="s">
        <v>10323</v>
      </c>
      <c r="V597" s="1" t="s">
        <v>10324</v>
      </c>
      <c r="W597" s="1" t="s">
        <v>10325</v>
      </c>
      <c r="X597" s="1" t="s">
        <v>10326</v>
      </c>
      <c r="Y597" s="1" t="s">
        <v>10327</v>
      </c>
      <c r="Z597" s="1" t="s">
        <v>10328</v>
      </c>
      <c r="AA597" s="1" t="s">
        <v>10329</v>
      </c>
      <c r="AB597" s="1" t="s">
        <v>10330</v>
      </c>
      <c r="AC597" s="1" t="s">
        <v>10331</v>
      </c>
      <c r="AD597" s="1" t="s">
        <v>10332</v>
      </c>
      <c r="AE597" s="1" t="s">
        <v>10333</v>
      </c>
      <c r="AF597" s="1" t="s">
        <v>74</v>
      </c>
      <c r="AG597" s="1">
        <v>48</v>
      </c>
      <c r="AH597" s="1">
        <v>11</v>
      </c>
      <c r="AI597" s="1">
        <v>13</v>
      </c>
      <c r="AJ597" s="1">
        <v>3</v>
      </c>
      <c r="AK597" s="1">
        <v>101</v>
      </c>
      <c r="AL597" s="1" t="s">
        <v>3362</v>
      </c>
      <c r="AM597" s="1" t="s">
        <v>3363</v>
      </c>
      <c r="AN597" s="1" t="s">
        <v>3364</v>
      </c>
      <c r="AO597" s="1" t="s">
        <v>3365</v>
      </c>
      <c r="AP597" s="1" t="s">
        <v>3366</v>
      </c>
      <c r="AQ597" s="1" t="s">
        <v>74</v>
      </c>
      <c r="AR597" s="1" t="s">
        <v>3367</v>
      </c>
      <c r="AS597" s="1" t="s">
        <v>3368</v>
      </c>
      <c r="AT597" s="1" t="s">
        <v>10334</v>
      </c>
      <c r="AU597" s="1">
        <v>2022</v>
      </c>
      <c r="AV597" s="1">
        <v>236</v>
      </c>
      <c r="AW597" s="1" t="s">
        <v>74</v>
      </c>
      <c r="AX597" s="1" t="s">
        <v>74</v>
      </c>
      <c r="AY597" s="1" t="s">
        <v>74</v>
      </c>
      <c r="AZ597" s="1" t="s">
        <v>74</v>
      </c>
      <c r="BA597" s="1" t="s">
        <v>74</v>
      </c>
      <c r="BB597" s="1" t="s">
        <v>74</v>
      </c>
      <c r="BC597" s="1" t="s">
        <v>74</v>
      </c>
      <c r="BD597" s="1">
        <v>113443</v>
      </c>
      <c r="BE597" s="1" t="s">
        <v>10335</v>
      </c>
      <c r="BF597" s="1" t="str">
        <f>HYPERLINK("http://dx.doi.org/10.1016/j.ecoenv.2022.113443","http://dx.doi.org/10.1016/j.ecoenv.2022.113443")</f>
        <v>http://dx.doi.org/10.1016/j.ecoenv.2022.113443</v>
      </c>
      <c r="BG597" s="1" t="s">
        <v>74</v>
      </c>
      <c r="BH597" s="1" t="s">
        <v>5038</v>
      </c>
      <c r="BI597" s="1">
        <v>9</v>
      </c>
      <c r="BJ597" s="1" t="s">
        <v>121</v>
      </c>
      <c r="BK597" s="1" t="s">
        <v>96</v>
      </c>
      <c r="BL597" s="1" t="s">
        <v>122</v>
      </c>
      <c r="BM597" s="1" t="s">
        <v>10336</v>
      </c>
      <c r="BN597" s="1">
        <v>35364504</v>
      </c>
      <c r="BO597" s="1" t="s">
        <v>873</v>
      </c>
      <c r="BP597" s="1" t="s">
        <v>74</v>
      </c>
      <c r="BQ597" s="1" t="s">
        <v>74</v>
      </c>
      <c r="BR597" s="1" t="s">
        <v>98</v>
      </c>
      <c r="BS597" s="1" t="s">
        <v>10337</v>
      </c>
      <c r="BT597" s="1" t="str">
        <f>HYPERLINK("https%3A%2F%2Fwww.webofscience.com%2Fwos%2Fwoscc%2Ffull-record%2FWOS:000792763000004","View Full Record in Web of Science")</f>
        <v>View Full Record in Web of Science</v>
      </c>
    </row>
    <row r="598" spans="1:72">
      <c r="A598" s="1" t="s">
        <v>72</v>
      </c>
      <c r="B598" s="1" t="s">
        <v>10338</v>
      </c>
      <c r="C598" s="1" t="s">
        <v>74</v>
      </c>
      <c r="D598" s="1" t="s">
        <v>74</v>
      </c>
      <c r="E598" s="1" t="s">
        <v>74</v>
      </c>
      <c r="F598" s="1" t="s">
        <v>10339</v>
      </c>
      <c r="G598" s="1" t="s">
        <v>74</v>
      </c>
      <c r="H598" s="1" t="s">
        <v>74</v>
      </c>
      <c r="I598" s="1" t="s">
        <v>10340</v>
      </c>
      <c r="J598" s="1" t="s">
        <v>232</v>
      </c>
      <c r="K598" s="1" t="s">
        <v>74</v>
      </c>
      <c r="L598" s="1" t="s">
        <v>74</v>
      </c>
      <c r="M598" s="1" t="s">
        <v>78</v>
      </c>
      <c r="N598" s="1" t="s">
        <v>79</v>
      </c>
      <c r="O598" s="1" t="s">
        <v>74</v>
      </c>
      <c r="P598" s="1" t="s">
        <v>74</v>
      </c>
      <c r="Q598" s="1" t="s">
        <v>74</v>
      </c>
      <c r="R598" s="1" t="s">
        <v>74</v>
      </c>
      <c r="S598" s="1" t="s">
        <v>74</v>
      </c>
      <c r="T598" s="1" t="s">
        <v>10341</v>
      </c>
      <c r="U598" s="1" t="s">
        <v>10342</v>
      </c>
      <c r="V598" s="1" t="s">
        <v>10343</v>
      </c>
      <c r="W598" s="1" t="s">
        <v>10344</v>
      </c>
      <c r="X598" s="1" t="s">
        <v>10345</v>
      </c>
      <c r="Y598" s="1" t="s">
        <v>10346</v>
      </c>
      <c r="Z598" s="1" t="s">
        <v>10347</v>
      </c>
      <c r="AA598" s="1" t="s">
        <v>74</v>
      </c>
      <c r="AB598" s="1" t="s">
        <v>74</v>
      </c>
      <c r="AC598" s="1" t="s">
        <v>10348</v>
      </c>
      <c r="AD598" s="1" t="s">
        <v>10348</v>
      </c>
      <c r="AE598" s="1" t="s">
        <v>10349</v>
      </c>
      <c r="AF598" s="1" t="s">
        <v>74</v>
      </c>
      <c r="AG598" s="1">
        <v>76</v>
      </c>
      <c r="AH598" s="1">
        <v>10</v>
      </c>
      <c r="AI598" s="1">
        <v>10</v>
      </c>
      <c r="AJ598" s="1">
        <v>7</v>
      </c>
      <c r="AK598" s="1">
        <v>36</v>
      </c>
      <c r="AL598" s="1" t="s">
        <v>136</v>
      </c>
      <c r="AM598" s="1" t="s">
        <v>137</v>
      </c>
      <c r="AN598" s="1" t="s">
        <v>138</v>
      </c>
      <c r="AO598" s="1" t="s">
        <v>240</v>
      </c>
      <c r="AP598" s="1" t="s">
        <v>241</v>
      </c>
      <c r="AQ598" s="1" t="s">
        <v>74</v>
      </c>
      <c r="AR598" s="1" t="s">
        <v>242</v>
      </c>
      <c r="AS598" s="1" t="s">
        <v>243</v>
      </c>
      <c r="AT598" s="1" t="s">
        <v>1470</v>
      </c>
      <c r="AU598" s="1">
        <v>2023</v>
      </c>
      <c r="AV598" s="1">
        <v>186</v>
      </c>
      <c r="AW598" s="1" t="s">
        <v>74</v>
      </c>
      <c r="AX598" s="1" t="s">
        <v>74</v>
      </c>
      <c r="AY598" s="1" t="s">
        <v>74</v>
      </c>
      <c r="AZ598" s="1" t="s">
        <v>74</v>
      </c>
      <c r="BA598" s="1" t="s">
        <v>74</v>
      </c>
      <c r="BB598" s="1" t="s">
        <v>74</v>
      </c>
      <c r="BC598" s="1" t="s">
        <v>74</v>
      </c>
      <c r="BD598" s="1">
        <v>114404</v>
      </c>
      <c r="BE598" s="1" t="s">
        <v>10350</v>
      </c>
      <c r="BF598" s="1" t="str">
        <f>HYPERLINK("http://dx.doi.org/10.1016/j.marpolbul.2022.114404","http://dx.doi.org/10.1016/j.marpolbul.2022.114404")</f>
        <v>http://dx.doi.org/10.1016/j.marpolbul.2022.114404</v>
      </c>
      <c r="BG598" s="1" t="s">
        <v>74</v>
      </c>
      <c r="BH598" s="1" t="s">
        <v>4283</v>
      </c>
      <c r="BI598" s="1">
        <v>11</v>
      </c>
      <c r="BJ598" s="1" t="s">
        <v>247</v>
      </c>
      <c r="BK598" s="1" t="s">
        <v>96</v>
      </c>
      <c r="BL598" s="1" t="s">
        <v>248</v>
      </c>
      <c r="BM598" s="1" t="s">
        <v>10351</v>
      </c>
      <c r="BN598" s="1">
        <v>36463718</v>
      </c>
      <c r="BO598" s="1" t="s">
        <v>74</v>
      </c>
      <c r="BP598" s="1" t="s">
        <v>74</v>
      </c>
      <c r="BQ598" s="1" t="s">
        <v>74</v>
      </c>
      <c r="BR598" s="1" t="s">
        <v>98</v>
      </c>
      <c r="BS598" s="1" t="s">
        <v>10352</v>
      </c>
      <c r="BT598" s="1" t="str">
        <f>HYPERLINK("https%3A%2F%2Fwww.webofscience.com%2Fwos%2Fwoscc%2Ffull-record%2FWOS:000912044600003","View Full Record in Web of Science")</f>
        <v>View Full Record in Web of Science</v>
      </c>
    </row>
    <row r="599" spans="1:72">
      <c r="A599" s="1" t="s">
        <v>72</v>
      </c>
      <c r="B599" s="1" t="s">
        <v>10353</v>
      </c>
      <c r="C599" s="1" t="s">
        <v>74</v>
      </c>
      <c r="D599" s="1" t="s">
        <v>74</v>
      </c>
      <c r="E599" s="1" t="s">
        <v>74</v>
      </c>
      <c r="F599" s="1" t="s">
        <v>10354</v>
      </c>
      <c r="G599" s="1" t="s">
        <v>74</v>
      </c>
      <c r="H599" s="1" t="s">
        <v>74</v>
      </c>
      <c r="I599" s="1" t="s">
        <v>10355</v>
      </c>
      <c r="J599" s="1" t="s">
        <v>10356</v>
      </c>
      <c r="K599" s="1" t="s">
        <v>74</v>
      </c>
      <c r="L599" s="1" t="s">
        <v>74</v>
      </c>
      <c r="M599" s="1" t="s">
        <v>78</v>
      </c>
      <c r="N599" s="1" t="s">
        <v>79</v>
      </c>
      <c r="O599" s="1" t="s">
        <v>74</v>
      </c>
      <c r="P599" s="1" t="s">
        <v>74</v>
      </c>
      <c r="Q599" s="1" t="s">
        <v>74</v>
      </c>
      <c r="R599" s="1" t="s">
        <v>74</v>
      </c>
      <c r="S599" s="1" t="s">
        <v>74</v>
      </c>
      <c r="T599" s="1" t="s">
        <v>10357</v>
      </c>
      <c r="U599" s="1" t="s">
        <v>10358</v>
      </c>
      <c r="V599" s="1" t="s">
        <v>10359</v>
      </c>
      <c r="W599" s="1" t="s">
        <v>10360</v>
      </c>
      <c r="X599" s="1" t="s">
        <v>10361</v>
      </c>
      <c r="Y599" s="1" t="s">
        <v>10362</v>
      </c>
      <c r="Z599" s="1" t="s">
        <v>10363</v>
      </c>
      <c r="AA599" s="1" t="s">
        <v>10364</v>
      </c>
      <c r="AB599" s="1" t="s">
        <v>10365</v>
      </c>
      <c r="AC599" s="1" t="s">
        <v>74</v>
      </c>
      <c r="AD599" s="1" t="s">
        <v>74</v>
      </c>
      <c r="AE599" s="1" t="s">
        <v>74</v>
      </c>
      <c r="AF599" s="1" t="s">
        <v>74</v>
      </c>
      <c r="AG599" s="1">
        <v>41</v>
      </c>
      <c r="AH599" s="1">
        <v>5</v>
      </c>
      <c r="AI599" s="1">
        <v>5</v>
      </c>
      <c r="AJ599" s="1">
        <v>1</v>
      </c>
      <c r="AK599" s="1">
        <v>22</v>
      </c>
      <c r="AL599" s="1" t="s">
        <v>10366</v>
      </c>
      <c r="AM599" s="1" t="s">
        <v>10367</v>
      </c>
      <c r="AN599" s="1" t="s">
        <v>10368</v>
      </c>
      <c r="AO599" s="1" t="s">
        <v>10369</v>
      </c>
      <c r="AP599" s="1" t="s">
        <v>74</v>
      </c>
      <c r="AQ599" s="1" t="s">
        <v>74</v>
      </c>
      <c r="AR599" s="1" t="s">
        <v>10370</v>
      </c>
      <c r="AS599" s="1" t="s">
        <v>10371</v>
      </c>
      <c r="AT599" s="1" t="s">
        <v>74</v>
      </c>
      <c r="AU599" s="1">
        <v>2018</v>
      </c>
      <c r="AV599" s="1">
        <v>55</v>
      </c>
      <c r="AW599" s="1">
        <v>2</v>
      </c>
      <c r="AX599" s="1" t="s">
        <v>74</v>
      </c>
      <c r="AY599" s="1" t="s">
        <v>74</v>
      </c>
      <c r="AZ599" s="1" t="s">
        <v>74</v>
      </c>
      <c r="BA599" s="1" t="s">
        <v>74</v>
      </c>
      <c r="BB599" s="1">
        <v>101</v>
      </c>
      <c r="BC599" s="1">
        <v>113</v>
      </c>
      <c r="BD599" s="1" t="s">
        <v>74</v>
      </c>
      <c r="BE599" s="1" t="s">
        <v>10372</v>
      </c>
      <c r="BF599" s="1" t="str">
        <f>HYPERLINK("http://dx.doi.org/10.26873/SVR-453-2017","http://dx.doi.org/10.26873/SVR-453-2017")</f>
        <v>http://dx.doi.org/10.26873/SVR-453-2017</v>
      </c>
      <c r="BG599" s="1" t="s">
        <v>74</v>
      </c>
      <c r="BH599" s="1" t="s">
        <v>74</v>
      </c>
      <c r="BI599" s="1">
        <v>13</v>
      </c>
      <c r="BJ599" s="1" t="s">
        <v>1057</v>
      </c>
      <c r="BK599" s="1" t="s">
        <v>96</v>
      </c>
      <c r="BL599" s="1" t="s">
        <v>1057</v>
      </c>
      <c r="BM599" s="1" t="s">
        <v>10373</v>
      </c>
      <c r="BN599" s="1" t="s">
        <v>74</v>
      </c>
      <c r="BO599" s="1" t="s">
        <v>873</v>
      </c>
      <c r="BP599" s="1" t="s">
        <v>74</v>
      </c>
      <c r="BQ599" s="1" t="s">
        <v>74</v>
      </c>
      <c r="BR599" s="1" t="s">
        <v>98</v>
      </c>
      <c r="BS599" s="1" t="s">
        <v>10374</v>
      </c>
      <c r="BT599" s="1" t="str">
        <f>HYPERLINK("https%3A%2F%2Fwww.webofscience.com%2Fwos%2Fwoscc%2Ffull-record%2FWOS:000439481400005","View Full Record in Web of Science")</f>
        <v>View Full Record in Web of Science</v>
      </c>
    </row>
    <row r="600" spans="1:72">
      <c r="A600" s="1" t="s">
        <v>72</v>
      </c>
      <c r="B600" s="1" t="s">
        <v>10375</v>
      </c>
      <c r="C600" s="1" t="s">
        <v>74</v>
      </c>
      <c r="D600" s="1" t="s">
        <v>74</v>
      </c>
      <c r="E600" s="1" t="s">
        <v>74</v>
      </c>
      <c r="F600" s="1" t="s">
        <v>10376</v>
      </c>
      <c r="G600" s="1" t="s">
        <v>74</v>
      </c>
      <c r="H600" s="1" t="s">
        <v>74</v>
      </c>
      <c r="I600" s="1" t="s">
        <v>10377</v>
      </c>
      <c r="J600" s="1" t="s">
        <v>179</v>
      </c>
      <c r="K600" s="1" t="s">
        <v>74</v>
      </c>
      <c r="L600" s="1" t="s">
        <v>74</v>
      </c>
      <c r="M600" s="1" t="s">
        <v>78</v>
      </c>
      <c r="N600" s="1" t="s">
        <v>79</v>
      </c>
      <c r="O600" s="1" t="s">
        <v>74</v>
      </c>
      <c r="P600" s="1" t="s">
        <v>74</v>
      </c>
      <c r="Q600" s="1" t="s">
        <v>74</v>
      </c>
      <c r="R600" s="1" t="s">
        <v>74</v>
      </c>
      <c r="S600" s="1" t="s">
        <v>74</v>
      </c>
      <c r="T600" s="1" t="s">
        <v>10378</v>
      </c>
      <c r="U600" s="1" t="s">
        <v>10379</v>
      </c>
      <c r="V600" s="1" t="s">
        <v>10380</v>
      </c>
      <c r="W600" s="1" t="s">
        <v>10381</v>
      </c>
      <c r="X600" s="1" t="s">
        <v>10382</v>
      </c>
      <c r="Y600" s="1" t="s">
        <v>10383</v>
      </c>
      <c r="Z600" s="1" t="s">
        <v>10384</v>
      </c>
      <c r="AA600" s="1" t="s">
        <v>10385</v>
      </c>
      <c r="AB600" s="1" t="s">
        <v>3251</v>
      </c>
      <c r="AC600" s="1" t="s">
        <v>74</v>
      </c>
      <c r="AD600" s="1" t="s">
        <v>74</v>
      </c>
      <c r="AE600" s="1" t="s">
        <v>74</v>
      </c>
      <c r="AF600" s="1" t="s">
        <v>74</v>
      </c>
      <c r="AG600" s="1">
        <v>66</v>
      </c>
      <c r="AH600" s="1">
        <v>13</v>
      </c>
      <c r="AI600" s="1">
        <v>15</v>
      </c>
      <c r="AJ600" s="1">
        <v>0</v>
      </c>
      <c r="AK600" s="1">
        <v>23</v>
      </c>
      <c r="AL600" s="1" t="s">
        <v>112</v>
      </c>
      <c r="AM600" s="1" t="s">
        <v>191</v>
      </c>
      <c r="AN600" s="1" t="s">
        <v>192</v>
      </c>
      <c r="AO600" s="1" t="s">
        <v>193</v>
      </c>
      <c r="AP600" s="1" t="s">
        <v>194</v>
      </c>
      <c r="AQ600" s="1" t="s">
        <v>74</v>
      </c>
      <c r="AR600" s="1" t="s">
        <v>195</v>
      </c>
      <c r="AS600" s="1" t="s">
        <v>196</v>
      </c>
      <c r="AT600" s="1" t="s">
        <v>267</v>
      </c>
      <c r="AU600" s="1">
        <v>2012</v>
      </c>
      <c r="AV600" s="1">
        <v>184</v>
      </c>
      <c r="AW600" s="1">
        <v>10</v>
      </c>
      <c r="AX600" s="1" t="s">
        <v>74</v>
      </c>
      <c r="AY600" s="1" t="s">
        <v>74</v>
      </c>
      <c r="AZ600" s="1" t="s">
        <v>74</v>
      </c>
      <c r="BA600" s="1" t="s">
        <v>74</v>
      </c>
      <c r="BB600" s="1">
        <v>5851</v>
      </c>
      <c r="BC600" s="1">
        <v>5861</v>
      </c>
      <c r="BD600" s="1" t="s">
        <v>74</v>
      </c>
      <c r="BE600" s="1" t="s">
        <v>10386</v>
      </c>
      <c r="BF600" s="1" t="str">
        <f>HYPERLINK("http://dx.doi.org/10.1007/s10661-011-2385-z","http://dx.doi.org/10.1007/s10661-011-2385-z")</f>
        <v>http://dx.doi.org/10.1007/s10661-011-2385-z</v>
      </c>
      <c r="BG600" s="1" t="s">
        <v>74</v>
      </c>
      <c r="BH600" s="1" t="s">
        <v>74</v>
      </c>
      <c r="BI600" s="1">
        <v>11</v>
      </c>
      <c r="BJ600" s="1" t="s">
        <v>144</v>
      </c>
      <c r="BK600" s="1" t="s">
        <v>96</v>
      </c>
      <c r="BL600" s="1" t="s">
        <v>145</v>
      </c>
      <c r="BM600" s="1" t="s">
        <v>10387</v>
      </c>
      <c r="BN600" s="1">
        <v>22006263</v>
      </c>
      <c r="BO600" s="1" t="s">
        <v>74</v>
      </c>
      <c r="BP600" s="1" t="s">
        <v>74</v>
      </c>
      <c r="BQ600" s="1" t="s">
        <v>74</v>
      </c>
      <c r="BR600" s="1" t="s">
        <v>98</v>
      </c>
      <c r="BS600" s="1" t="s">
        <v>10388</v>
      </c>
      <c r="BT600" s="1" t="str">
        <f>HYPERLINK("https%3A%2F%2Fwww.webofscience.com%2Fwos%2Fwoscc%2Ffull-record%2FWOS:000308439900002","View Full Record in Web of Science")</f>
        <v>View Full Record in Web of Science</v>
      </c>
    </row>
    <row r="601" spans="1:72">
      <c r="A601" s="1" t="s">
        <v>72</v>
      </c>
      <c r="B601" s="1" t="s">
        <v>10389</v>
      </c>
      <c r="C601" s="1" t="s">
        <v>74</v>
      </c>
      <c r="D601" s="1" t="s">
        <v>74</v>
      </c>
      <c r="E601" s="1" t="s">
        <v>74</v>
      </c>
      <c r="F601" s="1" t="s">
        <v>10390</v>
      </c>
      <c r="G601" s="1" t="s">
        <v>74</v>
      </c>
      <c r="H601" s="1" t="s">
        <v>74</v>
      </c>
      <c r="I601" s="1" t="s">
        <v>10391</v>
      </c>
      <c r="J601" s="1" t="s">
        <v>10392</v>
      </c>
      <c r="K601" s="1" t="s">
        <v>74</v>
      </c>
      <c r="L601" s="1" t="s">
        <v>74</v>
      </c>
      <c r="M601" s="1" t="s">
        <v>78</v>
      </c>
      <c r="N601" s="1" t="s">
        <v>79</v>
      </c>
      <c r="O601" s="1" t="s">
        <v>74</v>
      </c>
      <c r="P601" s="1" t="s">
        <v>74</v>
      </c>
      <c r="Q601" s="1" t="s">
        <v>74</v>
      </c>
      <c r="R601" s="1" t="s">
        <v>74</v>
      </c>
      <c r="S601" s="1" t="s">
        <v>74</v>
      </c>
      <c r="T601" s="1" t="s">
        <v>10393</v>
      </c>
      <c r="U601" s="1" t="s">
        <v>10394</v>
      </c>
      <c r="V601" s="1" t="s">
        <v>10395</v>
      </c>
      <c r="W601" s="1" t="s">
        <v>10396</v>
      </c>
      <c r="X601" s="1" t="s">
        <v>10397</v>
      </c>
      <c r="Y601" s="1" t="s">
        <v>10398</v>
      </c>
      <c r="Z601" s="1" t="s">
        <v>10399</v>
      </c>
      <c r="AA601" s="1" t="s">
        <v>74</v>
      </c>
      <c r="AB601" s="1" t="s">
        <v>74</v>
      </c>
      <c r="AC601" s="1" t="s">
        <v>74</v>
      </c>
      <c r="AD601" s="1" t="s">
        <v>74</v>
      </c>
      <c r="AE601" s="1" t="s">
        <v>74</v>
      </c>
      <c r="AF601" s="1" t="s">
        <v>74</v>
      </c>
      <c r="AG601" s="1">
        <v>20</v>
      </c>
      <c r="AH601" s="1">
        <v>32</v>
      </c>
      <c r="AI601" s="1">
        <v>35</v>
      </c>
      <c r="AJ601" s="1">
        <v>0</v>
      </c>
      <c r="AK601" s="1">
        <v>12</v>
      </c>
      <c r="AL601" s="1" t="s">
        <v>4010</v>
      </c>
      <c r="AM601" s="1" t="s">
        <v>1167</v>
      </c>
      <c r="AN601" s="1" t="s">
        <v>1168</v>
      </c>
      <c r="AO601" s="1" t="s">
        <v>10400</v>
      </c>
      <c r="AP601" s="1" t="s">
        <v>10401</v>
      </c>
      <c r="AQ601" s="1" t="s">
        <v>74</v>
      </c>
      <c r="AR601" s="1" t="s">
        <v>10392</v>
      </c>
      <c r="AS601" s="1" t="s">
        <v>10402</v>
      </c>
      <c r="AT601" s="1" t="s">
        <v>142</v>
      </c>
      <c r="AU601" s="1">
        <v>2013</v>
      </c>
      <c r="AV601" s="1">
        <v>29</v>
      </c>
      <c r="AW601" s="1">
        <v>2</v>
      </c>
      <c r="AX601" s="1" t="s">
        <v>74</v>
      </c>
      <c r="AY601" s="1" t="s">
        <v>74</v>
      </c>
      <c r="AZ601" s="1" t="s">
        <v>74</v>
      </c>
      <c r="BA601" s="1" t="s">
        <v>74</v>
      </c>
      <c r="BB601" s="1">
        <v>15</v>
      </c>
      <c r="BC601" s="1">
        <v>21</v>
      </c>
      <c r="BD601" s="1" t="s">
        <v>74</v>
      </c>
      <c r="BE601" s="1" t="s">
        <v>74</v>
      </c>
      <c r="BF601" s="1" t="s">
        <v>74</v>
      </c>
      <c r="BG601" s="1" t="s">
        <v>74</v>
      </c>
      <c r="BH601" s="1" t="s">
        <v>74</v>
      </c>
      <c r="BI601" s="1">
        <v>7</v>
      </c>
      <c r="BJ601" s="1" t="s">
        <v>4241</v>
      </c>
      <c r="BK601" s="1" t="s">
        <v>96</v>
      </c>
      <c r="BL601" s="1" t="s">
        <v>4241</v>
      </c>
      <c r="BM601" s="1" t="s">
        <v>10403</v>
      </c>
      <c r="BN601" s="1" t="s">
        <v>74</v>
      </c>
      <c r="BO601" s="1" t="s">
        <v>74</v>
      </c>
      <c r="BP601" s="1" t="s">
        <v>74</v>
      </c>
      <c r="BQ601" s="1" t="s">
        <v>74</v>
      </c>
      <c r="BR601" s="1" t="s">
        <v>98</v>
      </c>
      <c r="BS601" s="1" t="s">
        <v>10404</v>
      </c>
      <c r="BT601" s="1" t="str">
        <f>HYPERLINK("https%3A%2F%2Fwww.webofscience.com%2Fwos%2Fwoscc%2Ffull-record%2FWOS:000319531600002","View Full Record in Web of Science")</f>
        <v>View Full Record in Web of Science</v>
      </c>
    </row>
    <row r="602" spans="1:72">
      <c r="A602" s="1" t="s">
        <v>72</v>
      </c>
      <c r="B602" s="1" t="s">
        <v>10405</v>
      </c>
      <c r="C602" s="1" t="s">
        <v>74</v>
      </c>
      <c r="D602" s="1" t="s">
        <v>74</v>
      </c>
      <c r="E602" s="1" t="s">
        <v>74</v>
      </c>
      <c r="F602" s="1" t="s">
        <v>10406</v>
      </c>
      <c r="G602" s="1" t="s">
        <v>74</v>
      </c>
      <c r="H602" s="1" t="s">
        <v>74</v>
      </c>
      <c r="I602" s="1" t="s">
        <v>10407</v>
      </c>
      <c r="J602" s="1" t="s">
        <v>641</v>
      </c>
      <c r="K602" s="1" t="s">
        <v>74</v>
      </c>
      <c r="L602" s="1" t="s">
        <v>74</v>
      </c>
      <c r="M602" s="1" t="s">
        <v>78</v>
      </c>
      <c r="N602" s="1" t="s">
        <v>79</v>
      </c>
      <c r="O602" s="1" t="s">
        <v>74</v>
      </c>
      <c r="P602" s="1" t="s">
        <v>74</v>
      </c>
      <c r="Q602" s="1" t="s">
        <v>74</v>
      </c>
      <c r="R602" s="1" t="s">
        <v>74</v>
      </c>
      <c r="S602" s="1" t="s">
        <v>74</v>
      </c>
      <c r="T602" s="1" t="s">
        <v>10408</v>
      </c>
      <c r="U602" s="1" t="s">
        <v>10409</v>
      </c>
      <c r="V602" s="1" t="s">
        <v>10410</v>
      </c>
      <c r="W602" s="1" t="s">
        <v>10411</v>
      </c>
      <c r="X602" s="1" t="s">
        <v>10412</v>
      </c>
      <c r="Y602" s="1" t="s">
        <v>10413</v>
      </c>
      <c r="Z602" s="1" t="s">
        <v>10414</v>
      </c>
      <c r="AA602" s="1" t="s">
        <v>74</v>
      </c>
      <c r="AB602" s="1" t="s">
        <v>10415</v>
      </c>
      <c r="AC602" s="1" t="s">
        <v>10416</v>
      </c>
      <c r="AD602" s="1" t="s">
        <v>10416</v>
      </c>
      <c r="AE602" s="1" t="s">
        <v>10417</v>
      </c>
      <c r="AF602" s="1" t="s">
        <v>74</v>
      </c>
      <c r="AG602" s="1">
        <v>47</v>
      </c>
      <c r="AH602" s="1">
        <v>52</v>
      </c>
      <c r="AI602" s="1">
        <v>57</v>
      </c>
      <c r="AJ602" s="1">
        <v>0</v>
      </c>
      <c r="AK602" s="1">
        <v>94</v>
      </c>
      <c r="AL602" s="1" t="s">
        <v>919</v>
      </c>
      <c r="AM602" s="1" t="s">
        <v>651</v>
      </c>
      <c r="AN602" s="1" t="s">
        <v>920</v>
      </c>
      <c r="AO602" s="1" t="s">
        <v>653</v>
      </c>
      <c r="AP602" s="1" t="s">
        <v>654</v>
      </c>
      <c r="AQ602" s="1" t="s">
        <v>74</v>
      </c>
      <c r="AR602" s="1" t="s">
        <v>655</v>
      </c>
      <c r="AS602" s="1" t="s">
        <v>656</v>
      </c>
      <c r="AT602" s="1" t="s">
        <v>546</v>
      </c>
      <c r="AU602" s="1">
        <v>2012</v>
      </c>
      <c r="AV602" s="1">
        <v>124</v>
      </c>
      <c r="AW602" s="1" t="s">
        <v>74</v>
      </c>
      <c r="AX602" s="1" t="s">
        <v>74</v>
      </c>
      <c r="AY602" s="1" t="s">
        <v>74</v>
      </c>
      <c r="AZ602" s="1" t="s">
        <v>74</v>
      </c>
      <c r="BA602" s="1" t="s">
        <v>74</v>
      </c>
      <c r="BB602" s="1">
        <v>114</v>
      </c>
      <c r="BC602" s="1">
        <v>124</v>
      </c>
      <c r="BD602" s="1" t="s">
        <v>74</v>
      </c>
      <c r="BE602" s="1" t="s">
        <v>10418</v>
      </c>
      <c r="BF602" s="1" t="str">
        <f>HYPERLINK("http://dx.doi.org/10.1016/j.aquatox.2012.07.013","http://dx.doi.org/10.1016/j.aquatox.2012.07.013")</f>
        <v>http://dx.doi.org/10.1016/j.aquatox.2012.07.013</v>
      </c>
      <c r="BG602" s="1" t="s">
        <v>74</v>
      </c>
      <c r="BH602" s="1" t="s">
        <v>74</v>
      </c>
      <c r="BI602" s="1">
        <v>11</v>
      </c>
      <c r="BJ602" s="1" t="s">
        <v>659</v>
      </c>
      <c r="BK602" s="1" t="s">
        <v>96</v>
      </c>
      <c r="BL602" s="1" t="s">
        <v>659</v>
      </c>
      <c r="BM602" s="1" t="s">
        <v>10419</v>
      </c>
      <c r="BN602" s="1">
        <v>22940606</v>
      </c>
      <c r="BO602" s="1" t="s">
        <v>74</v>
      </c>
      <c r="BP602" s="1" t="s">
        <v>74</v>
      </c>
      <c r="BQ602" s="1" t="s">
        <v>74</v>
      </c>
      <c r="BR602" s="1" t="s">
        <v>98</v>
      </c>
      <c r="BS602" s="1" t="s">
        <v>10420</v>
      </c>
      <c r="BT602" s="1" t="str">
        <f>HYPERLINK("https%3A%2F%2Fwww.webofscience.com%2Fwos%2Fwoscc%2Ffull-record%2FWOS:000311059800015","View Full Record in Web of Science")</f>
        <v>View Full Record in Web of Science</v>
      </c>
    </row>
    <row r="603" spans="1:72">
      <c r="A603" s="1" t="s">
        <v>72</v>
      </c>
      <c r="B603" s="1" t="s">
        <v>10421</v>
      </c>
      <c r="C603" s="1" t="s">
        <v>74</v>
      </c>
      <c r="D603" s="1" t="s">
        <v>74</v>
      </c>
      <c r="E603" s="1" t="s">
        <v>74</v>
      </c>
      <c r="F603" s="1" t="s">
        <v>10421</v>
      </c>
      <c r="G603" s="1" t="s">
        <v>74</v>
      </c>
      <c r="H603" s="1" t="s">
        <v>74</v>
      </c>
      <c r="I603" s="1" t="s">
        <v>10422</v>
      </c>
      <c r="J603" s="1" t="s">
        <v>275</v>
      </c>
      <c r="K603" s="1" t="s">
        <v>74</v>
      </c>
      <c r="L603" s="1" t="s">
        <v>74</v>
      </c>
      <c r="M603" s="1" t="s">
        <v>78</v>
      </c>
      <c r="N603" s="1" t="s">
        <v>151</v>
      </c>
      <c r="O603" s="1" t="s">
        <v>10423</v>
      </c>
      <c r="P603" s="1" t="s">
        <v>10424</v>
      </c>
      <c r="Q603" s="1" t="s">
        <v>10425</v>
      </c>
      <c r="R603" s="1" t="s">
        <v>74</v>
      </c>
      <c r="S603" s="1" t="s">
        <v>74</v>
      </c>
      <c r="T603" s="1" t="s">
        <v>10426</v>
      </c>
      <c r="U603" s="1" t="s">
        <v>74</v>
      </c>
      <c r="V603" s="1" t="s">
        <v>10427</v>
      </c>
      <c r="W603" s="1" t="s">
        <v>74</v>
      </c>
      <c r="X603" s="1" t="s">
        <v>74</v>
      </c>
      <c r="Y603" s="1" t="s">
        <v>10428</v>
      </c>
      <c r="Z603" s="1" t="s">
        <v>74</v>
      </c>
      <c r="AA603" s="1" t="s">
        <v>74</v>
      </c>
      <c r="AB603" s="1" t="s">
        <v>74</v>
      </c>
      <c r="AC603" s="1" t="s">
        <v>74</v>
      </c>
      <c r="AD603" s="1" t="s">
        <v>74</v>
      </c>
      <c r="AE603" s="1" t="s">
        <v>74</v>
      </c>
      <c r="AF603" s="1" t="s">
        <v>74</v>
      </c>
      <c r="AG603" s="1">
        <v>0</v>
      </c>
      <c r="AH603" s="1">
        <v>320</v>
      </c>
      <c r="AI603" s="1">
        <v>357</v>
      </c>
      <c r="AJ603" s="1">
        <v>1</v>
      </c>
      <c r="AK603" s="1">
        <v>59</v>
      </c>
      <c r="AL603" s="1" t="s">
        <v>10429</v>
      </c>
      <c r="AM603" s="1" t="s">
        <v>286</v>
      </c>
      <c r="AN603" s="1" t="s">
        <v>10430</v>
      </c>
      <c r="AO603" s="1" t="s">
        <v>288</v>
      </c>
      <c r="AP603" s="1" t="s">
        <v>74</v>
      </c>
      <c r="AQ603" s="1" t="s">
        <v>74</v>
      </c>
      <c r="AR603" s="1" t="s">
        <v>290</v>
      </c>
      <c r="AS603" s="1" t="s">
        <v>291</v>
      </c>
      <c r="AT603" s="1" t="s">
        <v>951</v>
      </c>
      <c r="AU603" s="1">
        <v>1995</v>
      </c>
      <c r="AV603" s="1">
        <v>5</v>
      </c>
      <c r="AW603" s="1">
        <v>8</v>
      </c>
      <c r="AX603" s="1" t="s">
        <v>74</v>
      </c>
      <c r="AY603" s="1" t="s">
        <v>74</v>
      </c>
      <c r="AZ603" s="1" t="s">
        <v>74</v>
      </c>
      <c r="BA603" s="1" t="s">
        <v>74</v>
      </c>
      <c r="BB603" s="1">
        <v>581</v>
      </c>
      <c r="BC603" s="1">
        <v>595</v>
      </c>
      <c r="BD603" s="1" t="s">
        <v>74</v>
      </c>
      <c r="BE603" s="1" t="s">
        <v>10431</v>
      </c>
      <c r="BF603" s="1" t="str">
        <f>HYPERLINK("http://dx.doi.org/10.1016/S1050-4648(95)80043-3","http://dx.doi.org/10.1016/S1050-4648(95)80043-3")</f>
        <v>http://dx.doi.org/10.1016/S1050-4648(95)80043-3</v>
      </c>
      <c r="BG603" s="1" t="s">
        <v>74</v>
      </c>
      <c r="BH603" s="1" t="s">
        <v>74</v>
      </c>
      <c r="BI603" s="1">
        <v>15</v>
      </c>
      <c r="BJ603" s="1" t="s">
        <v>293</v>
      </c>
      <c r="BK603" s="1" t="s">
        <v>588</v>
      </c>
      <c r="BL603" s="1" t="s">
        <v>293</v>
      </c>
      <c r="BM603" s="1" t="s">
        <v>10432</v>
      </c>
      <c r="BN603" s="1" t="s">
        <v>74</v>
      </c>
      <c r="BO603" s="1" t="s">
        <v>74</v>
      </c>
      <c r="BP603" s="1" t="s">
        <v>74</v>
      </c>
      <c r="BQ603" s="1" t="s">
        <v>74</v>
      </c>
      <c r="BR603" s="1" t="s">
        <v>98</v>
      </c>
      <c r="BS603" s="1" t="s">
        <v>10433</v>
      </c>
      <c r="BT603" s="1" t="str">
        <f>HYPERLINK("https%3A%2F%2Fwww.webofscience.com%2Fwos%2Fwoscc%2Ffull-record%2FWOS:A1995TJ98900005","View Full Record in Web of Science")</f>
        <v>View Full Record in Web of Science</v>
      </c>
    </row>
    <row r="604" spans="1:72">
      <c r="A604" s="1" t="s">
        <v>72</v>
      </c>
      <c r="B604" s="1" t="s">
        <v>10434</v>
      </c>
      <c r="C604" s="1" t="s">
        <v>74</v>
      </c>
      <c r="D604" s="1" t="s">
        <v>74</v>
      </c>
      <c r="E604" s="1" t="s">
        <v>74</v>
      </c>
      <c r="F604" s="1" t="s">
        <v>10435</v>
      </c>
      <c r="G604" s="1" t="s">
        <v>74</v>
      </c>
      <c r="H604" s="1" t="s">
        <v>74</v>
      </c>
      <c r="I604" s="1" t="s">
        <v>10436</v>
      </c>
      <c r="J604" s="1" t="s">
        <v>103</v>
      </c>
      <c r="K604" s="1" t="s">
        <v>74</v>
      </c>
      <c r="L604" s="1" t="s">
        <v>74</v>
      </c>
      <c r="M604" s="1" t="s">
        <v>78</v>
      </c>
      <c r="N604" s="1" t="s">
        <v>79</v>
      </c>
      <c r="O604" s="1" t="s">
        <v>74</v>
      </c>
      <c r="P604" s="1" t="s">
        <v>74</v>
      </c>
      <c r="Q604" s="1" t="s">
        <v>74</v>
      </c>
      <c r="R604" s="1" t="s">
        <v>74</v>
      </c>
      <c r="S604" s="1" t="s">
        <v>74</v>
      </c>
      <c r="T604" s="1" t="s">
        <v>10437</v>
      </c>
      <c r="U604" s="1" t="s">
        <v>10438</v>
      </c>
      <c r="V604" s="1" t="s">
        <v>10439</v>
      </c>
      <c r="W604" s="1" t="s">
        <v>10440</v>
      </c>
      <c r="X604" s="1" t="s">
        <v>10441</v>
      </c>
      <c r="Y604" s="1" t="s">
        <v>10442</v>
      </c>
      <c r="Z604" s="1" t="s">
        <v>10443</v>
      </c>
      <c r="AA604" s="1" t="s">
        <v>10444</v>
      </c>
      <c r="AB604" s="1" t="s">
        <v>10445</v>
      </c>
      <c r="AC604" s="1" t="s">
        <v>74</v>
      </c>
      <c r="AD604" s="1" t="s">
        <v>74</v>
      </c>
      <c r="AE604" s="1" t="s">
        <v>74</v>
      </c>
      <c r="AF604" s="1" t="s">
        <v>74</v>
      </c>
      <c r="AG604" s="1">
        <v>35</v>
      </c>
      <c r="AH604" s="1">
        <v>18</v>
      </c>
      <c r="AI604" s="1">
        <v>20</v>
      </c>
      <c r="AJ604" s="1">
        <v>0</v>
      </c>
      <c r="AK604" s="1">
        <v>23</v>
      </c>
      <c r="AL604" s="1" t="s">
        <v>112</v>
      </c>
      <c r="AM604" s="1" t="s">
        <v>113</v>
      </c>
      <c r="AN604" s="1" t="s">
        <v>114</v>
      </c>
      <c r="AO604" s="1" t="s">
        <v>115</v>
      </c>
      <c r="AP604" s="1" t="s">
        <v>116</v>
      </c>
      <c r="AQ604" s="1" t="s">
        <v>74</v>
      </c>
      <c r="AR604" s="1" t="s">
        <v>117</v>
      </c>
      <c r="AS604" s="1" t="s">
        <v>118</v>
      </c>
      <c r="AT604" s="1" t="s">
        <v>267</v>
      </c>
      <c r="AU604" s="1">
        <v>2015</v>
      </c>
      <c r="AV604" s="1">
        <v>95</v>
      </c>
      <c r="AW604" s="1">
        <v>4</v>
      </c>
      <c r="AX604" s="1" t="s">
        <v>74</v>
      </c>
      <c r="AY604" s="1" t="s">
        <v>74</v>
      </c>
      <c r="AZ604" s="1" t="s">
        <v>74</v>
      </c>
      <c r="BA604" s="1" t="s">
        <v>74</v>
      </c>
      <c r="BB604" s="1">
        <v>481</v>
      </c>
      <c r="BC604" s="1">
        <v>487</v>
      </c>
      <c r="BD604" s="1" t="s">
        <v>74</v>
      </c>
      <c r="BE604" s="1" t="s">
        <v>10446</v>
      </c>
      <c r="BF604" s="1" t="str">
        <f>HYPERLINK("http://dx.doi.org/10.1007/s00128-015-1624-3","http://dx.doi.org/10.1007/s00128-015-1624-3")</f>
        <v>http://dx.doi.org/10.1007/s00128-015-1624-3</v>
      </c>
      <c r="BG604" s="1" t="s">
        <v>74</v>
      </c>
      <c r="BH604" s="1" t="s">
        <v>74</v>
      </c>
      <c r="BI604" s="1">
        <v>7</v>
      </c>
      <c r="BJ604" s="1" t="s">
        <v>121</v>
      </c>
      <c r="BK604" s="1" t="s">
        <v>96</v>
      </c>
      <c r="BL604" s="1" t="s">
        <v>122</v>
      </c>
      <c r="BM604" s="1" t="s">
        <v>10447</v>
      </c>
      <c r="BN604" s="1">
        <v>26271612</v>
      </c>
      <c r="BO604" s="1" t="s">
        <v>74</v>
      </c>
      <c r="BP604" s="1" t="s">
        <v>74</v>
      </c>
      <c r="BQ604" s="1" t="s">
        <v>74</v>
      </c>
      <c r="BR604" s="1" t="s">
        <v>98</v>
      </c>
      <c r="BS604" s="1" t="s">
        <v>10448</v>
      </c>
      <c r="BT604" s="1" t="str">
        <f>HYPERLINK("https%3A%2F%2Fwww.webofscience.com%2Fwos%2Fwoscc%2Ffull-record%2FWOS:000361604900011","View Full Record in Web of Science")</f>
        <v>View Full Record in Web of Science</v>
      </c>
    </row>
    <row r="605" spans="1:72">
      <c r="A605" s="1" t="s">
        <v>72</v>
      </c>
      <c r="B605" s="1" t="s">
        <v>10449</v>
      </c>
      <c r="C605" s="1" t="s">
        <v>74</v>
      </c>
      <c r="D605" s="1" t="s">
        <v>74</v>
      </c>
      <c r="E605" s="1" t="s">
        <v>74</v>
      </c>
      <c r="F605" s="1" t="s">
        <v>10450</v>
      </c>
      <c r="G605" s="1" t="s">
        <v>74</v>
      </c>
      <c r="H605" s="1" t="s">
        <v>74</v>
      </c>
      <c r="I605" s="1" t="s">
        <v>10451</v>
      </c>
      <c r="J605" s="1" t="s">
        <v>641</v>
      </c>
      <c r="K605" s="1" t="s">
        <v>74</v>
      </c>
      <c r="L605" s="1" t="s">
        <v>74</v>
      </c>
      <c r="M605" s="1" t="s">
        <v>78</v>
      </c>
      <c r="N605" s="1" t="s">
        <v>79</v>
      </c>
      <c r="O605" s="1" t="s">
        <v>74</v>
      </c>
      <c r="P605" s="1" t="s">
        <v>74</v>
      </c>
      <c r="Q605" s="1" t="s">
        <v>74</v>
      </c>
      <c r="R605" s="1" t="s">
        <v>74</v>
      </c>
      <c r="S605" s="1" t="s">
        <v>74</v>
      </c>
      <c r="T605" s="1" t="s">
        <v>10452</v>
      </c>
      <c r="U605" s="1" t="s">
        <v>10453</v>
      </c>
      <c r="V605" s="1" t="s">
        <v>10454</v>
      </c>
      <c r="W605" s="1" t="s">
        <v>10455</v>
      </c>
      <c r="X605" s="1" t="s">
        <v>10456</v>
      </c>
      <c r="Y605" s="1" t="s">
        <v>10457</v>
      </c>
      <c r="Z605" s="1" t="s">
        <v>10458</v>
      </c>
      <c r="AA605" s="1" t="s">
        <v>10459</v>
      </c>
      <c r="AB605" s="1" t="s">
        <v>10460</v>
      </c>
      <c r="AC605" s="1" t="s">
        <v>10461</v>
      </c>
      <c r="AD605" s="1" t="s">
        <v>10462</v>
      </c>
      <c r="AE605" s="1" t="s">
        <v>10463</v>
      </c>
      <c r="AF605" s="1" t="s">
        <v>74</v>
      </c>
      <c r="AG605" s="1">
        <v>86</v>
      </c>
      <c r="AH605" s="1">
        <v>13</v>
      </c>
      <c r="AI605" s="1">
        <v>16</v>
      </c>
      <c r="AJ605" s="1">
        <v>1</v>
      </c>
      <c r="AK605" s="1">
        <v>25</v>
      </c>
      <c r="AL605" s="1" t="s">
        <v>650</v>
      </c>
      <c r="AM605" s="1" t="s">
        <v>651</v>
      </c>
      <c r="AN605" s="1" t="s">
        <v>652</v>
      </c>
      <c r="AO605" s="1" t="s">
        <v>653</v>
      </c>
      <c r="AP605" s="1" t="s">
        <v>654</v>
      </c>
      <c r="AQ605" s="1" t="s">
        <v>74</v>
      </c>
      <c r="AR605" s="1" t="s">
        <v>655</v>
      </c>
      <c r="AS605" s="1" t="s">
        <v>656</v>
      </c>
      <c r="AT605" s="1" t="s">
        <v>305</v>
      </c>
      <c r="AU605" s="1">
        <v>2019</v>
      </c>
      <c r="AV605" s="1">
        <v>214</v>
      </c>
      <c r="AW605" s="1" t="s">
        <v>74</v>
      </c>
      <c r="AX605" s="1" t="s">
        <v>74</v>
      </c>
      <c r="AY605" s="1" t="s">
        <v>74</v>
      </c>
      <c r="AZ605" s="1" t="s">
        <v>74</v>
      </c>
      <c r="BA605" s="1" t="s">
        <v>74</v>
      </c>
      <c r="BB605" s="1" t="s">
        <v>74</v>
      </c>
      <c r="BC605" s="1" t="s">
        <v>74</v>
      </c>
      <c r="BD605" s="1">
        <v>105239</v>
      </c>
      <c r="BE605" s="1" t="s">
        <v>10464</v>
      </c>
      <c r="BF605" s="1" t="str">
        <f>HYPERLINK("http://dx.doi.org/10.1016/j.aquatox.2019.105239","http://dx.doi.org/10.1016/j.aquatox.2019.105239")</f>
        <v>http://dx.doi.org/10.1016/j.aquatox.2019.105239</v>
      </c>
      <c r="BG605" s="1" t="s">
        <v>74</v>
      </c>
      <c r="BH605" s="1" t="s">
        <v>74</v>
      </c>
      <c r="BI605" s="1">
        <v>9</v>
      </c>
      <c r="BJ605" s="1" t="s">
        <v>659</v>
      </c>
      <c r="BK605" s="1" t="s">
        <v>96</v>
      </c>
      <c r="BL605" s="1" t="s">
        <v>659</v>
      </c>
      <c r="BM605" s="1" t="s">
        <v>10465</v>
      </c>
      <c r="BN605" s="1">
        <v>31280135</v>
      </c>
      <c r="BO605" s="1" t="s">
        <v>74</v>
      </c>
      <c r="BP605" s="1" t="s">
        <v>74</v>
      </c>
      <c r="BQ605" s="1" t="s">
        <v>74</v>
      </c>
      <c r="BR605" s="1" t="s">
        <v>98</v>
      </c>
      <c r="BS605" s="1" t="s">
        <v>10466</v>
      </c>
      <c r="BT605" s="1" t="str">
        <f>HYPERLINK("https%3A%2F%2Fwww.webofscience.com%2Fwos%2Fwoscc%2Ffull-record%2FWOS:000486357100006","View Full Record in Web of Science")</f>
        <v>View Full Record in Web of Science</v>
      </c>
    </row>
    <row r="606" spans="1:72">
      <c r="A606" s="1" t="s">
        <v>72</v>
      </c>
      <c r="B606" s="1" t="s">
        <v>10467</v>
      </c>
      <c r="C606" s="1" t="s">
        <v>74</v>
      </c>
      <c r="D606" s="1" t="s">
        <v>74</v>
      </c>
      <c r="E606" s="1" t="s">
        <v>74</v>
      </c>
      <c r="F606" s="1" t="s">
        <v>10467</v>
      </c>
      <c r="G606" s="1" t="s">
        <v>74</v>
      </c>
      <c r="H606" s="1" t="s">
        <v>74</v>
      </c>
      <c r="I606" s="1" t="s">
        <v>10468</v>
      </c>
      <c r="J606" s="1" t="s">
        <v>1254</v>
      </c>
      <c r="K606" s="1" t="s">
        <v>74</v>
      </c>
      <c r="L606" s="1" t="s">
        <v>74</v>
      </c>
      <c r="M606" s="1" t="s">
        <v>78</v>
      </c>
      <c r="N606" s="1" t="s">
        <v>79</v>
      </c>
      <c r="O606" s="1" t="s">
        <v>74</v>
      </c>
      <c r="P606" s="1" t="s">
        <v>74</v>
      </c>
      <c r="Q606" s="1" t="s">
        <v>74</v>
      </c>
      <c r="R606" s="1" t="s">
        <v>74</v>
      </c>
      <c r="S606" s="1" t="s">
        <v>74</v>
      </c>
      <c r="T606" s="1" t="s">
        <v>10469</v>
      </c>
      <c r="U606" s="1" t="s">
        <v>10470</v>
      </c>
      <c r="V606" s="1" t="s">
        <v>10471</v>
      </c>
      <c r="W606" s="1" t="s">
        <v>10472</v>
      </c>
      <c r="X606" s="1" t="s">
        <v>10473</v>
      </c>
      <c r="Y606" s="1" t="s">
        <v>10474</v>
      </c>
      <c r="Z606" s="1" t="s">
        <v>74</v>
      </c>
      <c r="AA606" s="1" t="s">
        <v>10475</v>
      </c>
      <c r="AB606" s="1" t="s">
        <v>74</v>
      </c>
      <c r="AC606" s="1" t="s">
        <v>74</v>
      </c>
      <c r="AD606" s="1" t="s">
        <v>74</v>
      </c>
      <c r="AE606" s="1" t="s">
        <v>74</v>
      </c>
      <c r="AF606" s="1" t="s">
        <v>74</v>
      </c>
      <c r="AG606" s="1">
        <v>54</v>
      </c>
      <c r="AH606" s="1">
        <v>162</v>
      </c>
      <c r="AI606" s="1">
        <v>180</v>
      </c>
      <c r="AJ606" s="1">
        <v>2</v>
      </c>
      <c r="AK606" s="1">
        <v>85</v>
      </c>
      <c r="AL606" s="1" t="s">
        <v>136</v>
      </c>
      <c r="AM606" s="1" t="s">
        <v>137</v>
      </c>
      <c r="AN606" s="1" t="s">
        <v>138</v>
      </c>
      <c r="AO606" s="1" t="s">
        <v>1264</v>
      </c>
      <c r="AP606" s="1" t="s">
        <v>74</v>
      </c>
      <c r="AQ606" s="1" t="s">
        <v>74</v>
      </c>
      <c r="AR606" s="1" t="s">
        <v>1266</v>
      </c>
      <c r="AS606" s="1" t="s">
        <v>1267</v>
      </c>
      <c r="AT606" s="1" t="s">
        <v>1470</v>
      </c>
      <c r="AU606" s="1">
        <v>2004</v>
      </c>
      <c r="AV606" s="1">
        <v>29</v>
      </c>
      <c r="AW606" s="1">
        <v>7</v>
      </c>
      <c r="AX606" s="1" t="s">
        <v>74</v>
      </c>
      <c r="AY606" s="1" t="s">
        <v>74</v>
      </c>
      <c r="AZ606" s="1" t="s">
        <v>74</v>
      </c>
      <c r="BA606" s="1" t="s">
        <v>74</v>
      </c>
      <c r="BB606" s="1">
        <v>1001</v>
      </c>
      <c r="BC606" s="1">
        <v>1008</v>
      </c>
      <c r="BD606" s="1" t="s">
        <v>74</v>
      </c>
      <c r="BE606" s="1" t="s">
        <v>10476</v>
      </c>
      <c r="BF606" s="1" t="str">
        <f>HYPERLINK("http://dx.doi.org/10.1016/S0160-4120(03)00094-1","http://dx.doi.org/10.1016/S0160-4120(03)00094-1")</f>
        <v>http://dx.doi.org/10.1016/S0160-4120(03)00094-1</v>
      </c>
      <c r="BG606" s="1" t="s">
        <v>74</v>
      </c>
      <c r="BH606" s="1" t="s">
        <v>74</v>
      </c>
      <c r="BI606" s="1">
        <v>8</v>
      </c>
      <c r="BJ606" s="1" t="s">
        <v>144</v>
      </c>
      <c r="BK606" s="1" t="s">
        <v>96</v>
      </c>
      <c r="BL606" s="1" t="s">
        <v>145</v>
      </c>
      <c r="BM606" s="1" t="s">
        <v>10477</v>
      </c>
      <c r="BN606" s="1">
        <v>14592578</v>
      </c>
      <c r="BO606" s="1" t="s">
        <v>74</v>
      </c>
      <c r="BP606" s="1" t="s">
        <v>74</v>
      </c>
      <c r="BQ606" s="1" t="s">
        <v>74</v>
      </c>
      <c r="BR606" s="1" t="s">
        <v>98</v>
      </c>
      <c r="BS606" s="1" t="s">
        <v>10478</v>
      </c>
      <c r="BT606" s="1" t="str">
        <f>HYPERLINK("https%3A%2F%2Fwww.webofscience.com%2Fwos%2Fwoscc%2Ffull-record%2FWOS:000187674900014","View Full Record in Web of Science")</f>
        <v>View Full Record in Web of Science</v>
      </c>
    </row>
    <row r="607" spans="1:72">
      <c r="A607" s="1" t="s">
        <v>72</v>
      </c>
      <c r="B607" s="1" t="s">
        <v>10479</v>
      </c>
      <c r="C607" s="1" t="s">
        <v>74</v>
      </c>
      <c r="D607" s="1" t="s">
        <v>74</v>
      </c>
      <c r="E607" s="1" t="s">
        <v>74</v>
      </c>
      <c r="F607" s="1" t="s">
        <v>10480</v>
      </c>
      <c r="G607" s="1" t="s">
        <v>74</v>
      </c>
      <c r="H607" s="1" t="s">
        <v>74</v>
      </c>
      <c r="I607" s="1" t="s">
        <v>10481</v>
      </c>
      <c r="J607" s="1" t="s">
        <v>421</v>
      </c>
      <c r="K607" s="1" t="s">
        <v>74</v>
      </c>
      <c r="L607" s="1" t="s">
        <v>74</v>
      </c>
      <c r="M607" s="1" t="s">
        <v>78</v>
      </c>
      <c r="N607" s="1" t="s">
        <v>79</v>
      </c>
      <c r="O607" s="1" t="s">
        <v>74</v>
      </c>
      <c r="P607" s="1" t="s">
        <v>74</v>
      </c>
      <c r="Q607" s="1" t="s">
        <v>74</v>
      </c>
      <c r="R607" s="1" t="s">
        <v>74</v>
      </c>
      <c r="S607" s="1" t="s">
        <v>74</v>
      </c>
      <c r="T607" s="1" t="s">
        <v>10482</v>
      </c>
      <c r="U607" s="1" t="s">
        <v>10483</v>
      </c>
      <c r="V607" s="1" t="s">
        <v>10484</v>
      </c>
      <c r="W607" s="1" t="s">
        <v>10485</v>
      </c>
      <c r="X607" s="1" t="s">
        <v>10486</v>
      </c>
      <c r="Y607" s="1" t="s">
        <v>8495</v>
      </c>
      <c r="Z607" s="1" t="s">
        <v>8496</v>
      </c>
      <c r="AA607" s="1" t="s">
        <v>320</v>
      </c>
      <c r="AB607" s="1" t="s">
        <v>10487</v>
      </c>
      <c r="AC607" s="1" t="s">
        <v>74</v>
      </c>
      <c r="AD607" s="1" t="s">
        <v>74</v>
      </c>
      <c r="AE607" s="1" t="s">
        <v>74</v>
      </c>
      <c r="AF607" s="1" t="s">
        <v>74</v>
      </c>
      <c r="AG607" s="1">
        <v>56</v>
      </c>
      <c r="AH607" s="1">
        <v>10</v>
      </c>
      <c r="AI607" s="1">
        <v>14</v>
      </c>
      <c r="AJ607" s="1">
        <v>0</v>
      </c>
      <c r="AK607" s="1">
        <v>14</v>
      </c>
      <c r="AL607" s="1" t="s">
        <v>430</v>
      </c>
      <c r="AM607" s="1" t="s">
        <v>137</v>
      </c>
      <c r="AN607" s="1" t="s">
        <v>431</v>
      </c>
      <c r="AO607" s="1" t="s">
        <v>432</v>
      </c>
      <c r="AP607" s="1" t="s">
        <v>1394</v>
      </c>
      <c r="AQ607" s="1" t="s">
        <v>74</v>
      </c>
      <c r="AR607" s="1" t="s">
        <v>433</v>
      </c>
      <c r="AS607" s="1" t="s">
        <v>434</v>
      </c>
      <c r="AT607" s="1" t="s">
        <v>305</v>
      </c>
      <c r="AU607" s="1">
        <v>2006</v>
      </c>
      <c r="AV607" s="1">
        <v>143</v>
      </c>
      <c r="AW607" s="1">
        <v>1</v>
      </c>
      <c r="AX607" s="1" t="s">
        <v>74</v>
      </c>
      <c r="AY607" s="1" t="s">
        <v>74</v>
      </c>
      <c r="AZ607" s="1" t="s">
        <v>74</v>
      </c>
      <c r="BA607" s="1" t="s">
        <v>74</v>
      </c>
      <c r="BB607" s="1">
        <v>166</v>
      </c>
      <c r="BC607" s="1">
        <v>173</v>
      </c>
      <c r="BD607" s="1" t="s">
        <v>74</v>
      </c>
      <c r="BE607" s="1" t="s">
        <v>10488</v>
      </c>
      <c r="BF607" s="1" t="str">
        <f>HYPERLINK("http://dx.doi.org/10.1016/j.envpol.2005.10.042","http://dx.doi.org/10.1016/j.envpol.2005.10.042")</f>
        <v>http://dx.doi.org/10.1016/j.envpol.2005.10.042</v>
      </c>
      <c r="BG607" s="1" t="s">
        <v>74</v>
      </c>
      <c r="BH607" s="1" t="s">
        <v>74</v>
      </c>
      <c r="BI607" s="1">
        <v>8</v>
      </c>
      <c r="BJ607" s="1" t="s">
        <v>144</v>
      </c>
      <c r="BK607" s="1" t="s">
        <v>96</v>
      </c>
      <c r="BL607" s="1" t="s">
        <v>145</v>
      </c>
      <c r="BM607" s="1" t="s">
        <v>10489</v>
      </c>
      <c r="BN607" s="1">
        <v>16368177</v>
      </c>
      <c r="BO607" s="1" t="s">
        <v>74</v>
      </c>
      <c r="BP607" s="1" t="s">
        <v>74</v>
      </c>
      <c r="BQ607" s="1" t="s">
        <v>74</v>
      </c>
      <c r="BR607" s="1" t="s">
        <v>98</v>
      </c>
      <c r="BS607" s="1" t="s">
        <v>10490</v>
      </c>
      <c r="BT607" s="1" t="str">
        <f>HYPERLINK("https%3A%2F%2Fwww.webofscience.com%2Fwos%2Fwoscc%2Ffull-record%2FWOS:000238181400021","View Full Record in Web of Science")</f>
        <v>View Full Record in Web of Science</v>
      </c>
    </row>
    <row r="608" spans="1:72">
      <c r="A608" s="1" t="s">
        <v>72</v>
      </c>
      <c r="B608" s="1" t="s">
        <v>10491</v>
      </c>
      <c r="C608" s="1" t="s">
        <v>74</v>
      </c>
      <c r="D608" s="1" t="s">
        <v>74</v>
      </c>
      <c r="E608" s="1" t="s">
        <v>74</v>
      </c>
      <c r="F608" s="1" t="s">
        <v>10491</v>
      </c>
      <c r="G608" s="1" t="s">
        <v>74</v>
      </c>
      <c r="H608" s="1" t="s">
        <v>74</v>
      </c>
      <c r="I608" s="1" t="s">
        <v>10492</v>
      </c>
      <c r="J608" s="1" t="s">
        <v>909</v>
      </c>
      <c r="K608" s="1" t="s">
        <v>74</v>
      </c>
      <c r="L608" s="1" t="s">
        <v>74</v>
      </c>
      <c r="M608" s="1" t="s">
        <v>78</v>
      </c>
      <c r="N608" s="1" t="s">
        <v>151</v>
      </c>
      <c r="O608" s="1" t="s">
        <v>10493</v>
      </c>
      <c r="P608" s="1" t="s">
        <v>10494</v>
      </c>
      <c r="Q608" s="1" t="s">
        <v>10495</v>
      </c>
      <c r="R608" s="1" t="s">
        <v>74</v>
      </c>
      <c r="S608" s="1" t="s">
        <v>10496</v>
      </c>
      <c r="T608" s="1" t="s">
        <v>10497</v>
      </c>
      <c r="U608" s="1" t="s">
        <v>74</v>
      </c>
      <c r="V608" s="1" t="s">
        <v>10498</v>
      </c>
      <c r="W608" s="1" t="s">
        <v>10499</v>
      </c>
      <c r="X608" s="1" t="s">
        <v>10500</v>
      </c>
      <c r="Y608" s="1" t="s">
        <v>10501</v>
      </c>
      <c r="Z608" s="1" t="s">
        <v>74</v>
      </c>
      <c r="AA608" s="1" t="s">
        <v>1836</v>
      </c>
      <c r="AB608" s="1" t="s">
        <v>1837</v>
      </c>
      <c r="AC608" s="1" t="s">
        <v>74</v>
      </c>
      <c r="AD608" s="1" t="s">
        <v>74</v>
      </c>
      <c r="AE608" s="1" t="s">
        <v>74</v>
      </c>
      <c r="AF608" s="1" t="s">
        <v>74</v>
      </c>
      <c r="AG608" s="1">
        <v>13</v>
      </c>
      <c r="AH608" s="1">
        <v>7</v>
      </c>
      <c r="AI608" s="1">
        <v>7</v>
      </c>
      <c r="AJ608" s="1">
        <v>0</v>
      </c>
      <c r="AK608" s="1">
        <v>3</v>
      </c>
      <c r="AL608" s="1" t="s">
        <v>919</v>
      </c>
      <c r="AM608" s="1" t="s">
        <v>651</v>
      </c>
      <c r="AN608" s="1" t="s">
        <v>920</v>
      </c>
      <c r="AO608" s="1" t="s">
        <v>921</v>
      </c>
      <c r="AP608" s="1" t="s">
        <v>74</v>
      </c>
      <c r="AQ608" s="1" t="s">
        <v>74</v>
      </c>
      <c r="AR608" s="1" t="s">
        <v>923</v>
      </c>
      <c r="AS608" s="1" t="s">
        <v>924</v>
      </c>
      <c r="AT608" s="1" t="s">
        <v>10502</v>
      </c>
      <c r="AU608" s="1">
        <v>1992</v>
      </c>
      <c r="AV608" s="1">
        <v>125</v>
      </c>
      <c r="AW608" s="1" t="s">
        <v>74</v>
      </c>
      <c r="AX608" s="1" t="s">
        <v>74</v>
      </c>
      <c r="AY608" s="1" t="s">
        <v>74</v>
      </c>
      <c r="AZ608" s="1" t="s">
        <v>74</v>
      </c>
      <c r="BA608" s="1" t="s">
        <v>74</v>
      </c>
      <c r="BB608" s="1">
        <v>359</v>
      </c>
      <c r="BC608" s="1">
        <v>372</v>
      </c>
      <c r="BD608" s="1" t="s">
        <v>74</v>
      </c>
      <c r="BE608" s="1" t="s">
        <v>10503</v>
      </c>
      <c r="BF608" s="1" t="str">
        <f>HYPERLINK("http://dx.doi.org/10.1016/0048-9697(92)90401-D","http://dx.doi.org/10.1016/0048-9697(92)90401-D")</f>
        <v>http://dx.doi.org/10.1016/0048-9697(92)90401-D</v>
      </c>
      <c r="BG608" s="1" t="s">
        <v>74</v>
      </c>
      <c r="BH608" s="1" t="s">
        <v>74</v>
      </c>
      <c r="BI608" s="1">
        <v>14</v>
      </c>
      <c r="BJ608" s="1" t="s">
        <v>144</v>
      </c>
      <c r="BK608" s="1" t="s">
        <v>588</v>
      </c>
      <c r="BL608" s="1" t="s">
        <v>145</v>
      </c>
      <c r="BM608" s="1" t="s">
        <v>10504</v>
      </c>
      <c r="BN608" s="1" t="s">
        <v>74</v>
      </c>
      <c r="BO608" s="1" t="s">
        <v>74</v>
      </c>
      <c r="BP608" s="1" t="s">
        <v>74</v>
      </c>
      <c r="BQ608" s="1" t="s">
        <v>74</v>
      </c>
      <c r="BR608" s="1" t="s">
        <v>98</v>
      </c>
      <c r="BS608" s="1" t="s">
        <v>10505</v>
      </c>
      <c r="BT608" s="1" t="str">
        <f>HYPERLINK("https%3A%2F%2Fwww.webofscience.com%2Fwos%2Fwoscc%2Ffull-record%2FWOS:A1992JR72300026","View Full Record in Web of Science")</f>
        <v>View Full Record in Web of Science</v>
      </c>
    </row>
    <row r="609" spans="1:72">
      <c r="A609" s="1" t="s">
        <v>72</v>
      </c>
      <c r="B609" s="1" t="s">
        <v>10506</v>
      </c>
      <c r="C609" s="1" t="s">
        <v>74</v>
      </c>
      <c r="D609" s="1" t="s">
        <v>74</v>
      </c>
      <c r="E609" s="1" t="s">
        <v>74</v>
      </c>
      <c r="F609" s="1" t="s">
        <v>10506</v>
      </c>
      <c r="G609" s="1" t="s">
        <v>74</v>
      </c>
      <c r="H609" s="1" t="s">
        <v>74</v>
      </c>
      <c r="I609" s="1" t="s">
        <v>10507</v>
      </c>
      <c r="J609" s="1" t="s">
        <v>3349</v>
      </c>
      <c r="K609" s="1" t="s">
        <v>74</v>
      </c>
      <c r="L609" s="1" t="s">
        <v>74</v>
      </c>
      <c r="M609" s="1" t="s">
        <v>78</v>
      </c>
      <c r="N609" s="1" t="s">
        <v>79</v>
      </c>
      <c r="O609" s="1" t="s">
        <v>74</v>
      </c>
      <c r="P609" s="1" t="s">
        <v>74</v>
      </c>
      <c r="Q609" s="1" t="s">
        <v>74</v>
      </c>
      <c r="R609" s="1" t="s">
        <v>74</v>
      </c>
      <c r="S609" s="1" t="s">
        <v>74</v>
      </c>
      <c r="T609" s="1" t="s">
        <v>10508</v>
      </c>
      <c r="U609" s="1" t="s">
        <v>10509</v>
      </c>
      <c r="V609" s="1" t="s">
        <v>10510</v>
      </c>
      <c r="W609" s="1" t="s">
        <v>10511</v>
      </c>
      <c r="X609" s="1" t="s">
        <v>10512</v>
      </c>
      <c r="Y609" s="1" t="s">
        <v>10513</v>
      </c>
      <c r="Z609" s="1" t="s">
        <v>10514</v>
      </c>
      <c r="AA609" s="1" t="s">
        <v>74</v>
      </c>
      <c r="AB609" s="1" t="s">
        <v>74</v>
      </c>
      <c r="AC609" s="1" t="s">
        <v>74</v>
      </c>
      <c r="AD609" s="1" t="s">
        <v>74</v>
      </c>
      <c r="AE609" s="1" t="s">
        <v>74</v>
      </c>
      <c r="AF609" s="1" t="s">
        <v>74</v>
      </c>
      <c r="AG609" s="1">
        <v>29</v>
      </c>
      <c r="AH609" s="1">
        <v>15</v>
      </c>
      <c r="AI609" s="1">
        <v>15</v>
      </c>
      <c r="AJ609" s="1">
        <v>1</v>
      </c>
      <c r="AK609" s="1">
        <v>13</v>
      </c>
      <c r="AL609" s="1" t="s">
        <v>3362</v>
      </c>
      <c r="AM609" s="1" t="s">
        <v>3363</v>
      </c>
      <c r="AN609" s="1" t="s">
        <v>3364</v>
      </c>
      <c r="AO609" s="1" t="s">
        <v>3365</v>
      </c>
      <c r="AP609" s="1" t="s">
        <v>3366</v>
      </c>
      <c r="AQ609" s="1" t="s">
        <v>74</v>
      </c>
      <c r="AR609" s="1" t="s">
        <v>3367</v>
      </c>
      <c r="AS609" s="1" t="s">
        <v>3368</v>
      </c>
      <c r="AT609" s="1" t="s">
        <v>142</v>
      </c>
      <c r="AU609" s="1">
        <v>2005</v>
      </c>
      <c r="AV609" s="1">
        <v>61</v>
      </c>
      <c r="AW609" s="1">
        <v>2</v>
      </c>
      <c r="AX609" s="1" t="s">
        <v>74</v>
      </c>
      <c r="AY609" s="1" t="s">
        <v>74</v>
      </c>
      <c r="AZ609" s="1" t="s">
        <v>74</v>
      </c>
      <c r="BA609" s="1" t="s">
        <v>74</v>
      </c>
      <c r="BB609" s="1">
        <v>280</v>
      </c>
      <c r="BC609" s="1">
        <v>285</v>
      </c>
      <c r="BD609" s="1" t="s">
        <v>74</v>
      </c>
      <c r="BE609" s="1" t="s">
        <v>10515</v>
      </c>
      <c r="BF609" s="1" t="str">
        <f>HYPERLINK("http://dx.doi.org/10.1016/j.ecoenv.2004.09.005","http://dx.doi.org/10.1016/j.ecoenv.2004.09.005")</f>
        <v>http://dx.doi.org/10.1016/j.ecoenv.2004.09.005</v>
      </c>
      <c r="BG609" s="1" t="s">
        <v>74</v>
      </c>
      <c r="BH609" s="1" t="s">
        <v>74</v>
      </c>
      <c r="BI609" s="1">
        <v>6</v>
      </c>
      <c r="BJ609" s="1" t="s">
        <v>121</v>
      </c>
      <c r="BK609" s="1" t="s">
        <v>96</v>
      </c>
      <c r="BL609" s="1" t="s">
        <v>122</v>
      </c>
      <c r="BM609" s="1" t="s">
        <v>10516</v>
      </c>
      <c r="BN609" s="1">
        <v>15883100</v>
      </c>
      <c r="BO609" s="1" t="s">
        <v>74</v>
      </c>
      <c r="BP609" s="1" t="s">
        <v>74</v>
      </c>
      <c r="BQ609" s="1" t="s">
        <v>74</v>
      </c>
      <c r="BR609" s="1" t="s">
        <v>98</v>
      </c>
      <c r="BS609" s="1" t="s">
        <v>10517</v>
      </c>
      <c r="BT609" s="1" t="str">
        <f>HYPERLINK("https%3A%2F%2Fwww.webofscience.com%2Fwos%2Fwoscc%2Ffull-record%2FWOS:000229385800014","View Full Record in Web of Science")</f>
        <v>View Full Record in Web of Science</v>
      </c>
    </row>
    <row r="610" spans="1:72">
      <c r="A610" s="1" t="s">
        <v>72</v>
      </c>
      <c r="B610" s="1" t="s">
        <v>10518</v>
      </c>
      <c r="C610" s="1" t="s">
        <v>74</v>
      </c>
      <c r="D610" s="1" t="s">
        <v>74</v>
      </c>
      <c r="E610" s="1" t="s">
        <v>74</v>
      </c>
      <c r="F610" s="1" t="s">
        <v>10519</v>
      </c>
      <c r="G610" s="1" t="s">
        <v>74</v>
      </c>
      <c r="H610" s="1" t="s">
        <v>74</v>
      </c>
      <c r="I610" s="1" t="s">
        <v>10520</v>
      </c>
      <c r="J610" s="1" t="s">
        <v>232</v>
      </c>
      <c r="K610" s="1" t="s">
        <v>74</v>
      </c>
      <c r="L610" s="1" t="s">
        <v>74</v>
      </c>
      <c r="M610" s="1" t="s">
        <v>78</v>
      </c>
      <c r="N610" s="1" t="s">
        <v>79</v>
      </c>
      <c r="O610" s="1" t="s">
        <v>74</v>
      </c>
      <c r="P610" s="1" t="s">
        <v>74</v>
      </c>
      <c r="Q610" s="1" t="s">
        <v>74</v>
      </c>
      <c r="R610" s="1" t="s">
        <v>74</v>
      </c>
      <c r="S610" s="1" t="s">
        <v>74</v>
      </c>
      <c r="T610" s="1" t="s">
        <v>10521</v>
      </c>
      <c r="U610" s="1" t="s">
        <v>10522</v>
      </c>
      <c r="V610" s="1" t="s">
        <v>10523</v>
      </c>
      <c r="W610" s="1" t="s">
        <v>10524</v>
      </c>
      <c r="X610" s="1" t="s">
        <v>10525</v>
      </c>
      <c r="Y610" s="1" t="s">
        <v>10526</v>
      </c>
      <c r="Z610" s="1" t="s">
        <v>10527</v>
      </c>
      <c r="AA610" s="1" t="s">
        <v>10528</v>
      </c>
      <c r="AB610" s="1" t="s">
        <v>10529</v>
      </c>
      <c r="AC610" s="1" t="s">
        <v>74</v>
      </c>
      <c r="AD610" s="1" t="s">
        <v>74</v>
      </c>
      <c r="AE610" s="1" t="s">
        <v>74</v>
      </c>
      <c r="AF610" s="1" t="s">
        <v>74</v>
      </c>
      <c r="AG610" s="1">
        <v>82</v>
      </c>
      <c r="AH610" s="1">
        <v>45</v>
      </c>
      <c r="AI610" s="1">
        <v>48</v>
      </c>
      <c r="AJ610" s="1">
        <v>2</v>
      </c>
      <c r="AK610" s="1">
        <v>21</v>
      </c>
      <c r="AL610" s="1" t="s">
        <v>136</v>
      </c>
      <c r="AM610" s="1" t="s">
        <v>137</v>
      </c>
      <c r="AN610" s="1" t="s">
        <v>138</v>
      </c>
      <c r="AO610" s="1" t="s">
        <v>240</v>
      </c>
      <c r="AP610" s="1" t="s">
        <v>241</v>
      </c>
      <c r="AQ610" s="1" t="s">
        <v>74</v>
      </c>
      <c r="AR610" s="1" t="s">
        <v>242</v>
      </c>
      <c r="AS610" s="1" t="s">
        <v>243</v>
      </c>
      <c r="AT610" s="1" t="s">
        <v>197</v>
      </c>
      <c r="AU610" s="1">
        <v>2018</v>
      </c>
      <c r="AV610" s="1">
        <v>137</v>
      </c>
      <c r="AW610" s="1" t="s">
        <v>74</v>
      </c>
      <c r="AX610" s="1" t="s">
        <v>74</v>
      </c>
      <c r="AY610" s="1" t="s">
        <v>74</v>
      </c>
      <c r="AZ610" s="1" t="s">
        <v>74</v>
      </c>
      <c r="BA610" s="1" t="s">
        <v>74</v>
      </c>
      <c r="BB610" s="1">
        <v>688</v>
      </c>
      <c r="BC610" s="1">
        <v>694</v>
      </c>
      <c r="BD610" s="1" t="s">
        <v>74</v>
      </c>
      <c r="BE610" s="1" t="s">
        <v>10530</v>
      </c>
      <c r="BF610" s="1" t="str">
        <f>HYPERLINK("http://dx.doi.org/10.1016/j.marpolbul.2018.06.052","http://dx.doi.org/10.1016/j.marpolbul.2018.06.052")</f>
        <v>http://dx.doi.org/10.1016/j.marpolbul.2018.06.052</v>
      </c>
      <c r="BG610" s="1" t="s">
        <v>74</v>
      </c>
      <c r="BH610" s="1" t="s">
        <v>74</v>
      </c>
      <c r="BI610" s="1">
        <v>7</v>
      </c>
      <c r="BJ610" s="1" t="s">
        <v>247</v>
      </c>
      <c r="BK610" s="1" t="s">
        <v>96</v>
      </c>
      <c r="BL610" s="1" t="s">
        <v>248</v>
      </c>
      <c r="BM610" s="1" t="s">
        <v>10531</v>
      </c>
      <c r="BN610" s="1">
        <v>30503484</v>
      </c>
      <c r="BO610" s="1" t="s">
        <v>74</v>
      </c>
      <c r="BP610" s="1" t="s">
        <v>74</v>
      </c>
      <c r="BQ610" s="1" t="s">
        <v>74</v>
      </c>
      <c r="BR610" s="1" t="s">
        <v>98</v>
      </c>
      <c r="BS610" s="1" t="s">
        <v>10532</v>
      </c>
      <c r="BT610" s="1" t="str">
        <f>HYPERLINK("https%3A%2F%2Fwww.webofscience.com%2Fwos%2Fwoscc%2Ffull-record%2FWOS:000453490300077","View Full Record in Web of Science")</f>
        <v>View Full Record in Web of Science</v>
      </c>
    </row>
    <row r="611" spans="1:72">
      <c r="A611" s="1" t="s">
        <v>72</v>
      </c>
      <c r="B611" s="1" t="s">
        <v>10533</v>
      </c>
      <c r="C611" s="1" t="s">
        <v>74</v>
      </c>
      <c r="D611" s="1" t="s">
        <v>74</v>
      </c>
      <c r="E611" s="1" t="s">
        <v>74</v>
      </c>
      <c r="F611" s="1" t="s">
        <v>10533</v>
      </c>
      <c r="G611" s="1" t="s">
        <v>74</v>
      </c>
      <c r="H611" s="1" t="s">
        <v>74</v>
      </c>
      <c r="I611" s="1" t="s">
        <v>10534</v>
      </c>
      <c r="J611" s="1" t="s">
        <v>1097</v>
      </c>
      <c r="K611" s="1" t="s">
        <v>74</v>
      </c>
      <c r="L611" s="1" t="s">
        <v>74</v>
      </c>
      <c r="M611" s="1" t="s">
        <v>78</v>
      </c>
      <c r="N611" s="1" t="s">
        <v>79</v>
      </c>
      <c r="O611" s="1" t="s">
        <v>74</v>
      </c>
      <c r="P611" s="1" t="s">
        <v>74</v>
      </c>
      <c r="Q611" s="1" t="s">
        <v>74</v>
      </c>
      <c r="R611" s="1" t="s">
        <v>74</v>
      </c>
      <c r="S611" s="1" t="s">
        <v>74</v>
      </c>
      <c r="T611" s="1" t="s">
        <v>74</v>
      </c>
      <c r="U611" s="1" t="s">
        <v>10535</v>
      </c>
      <c r="V611" s="1" t="s">
        <v>10536</v>
      </c>
      <c r="W611" s="1" t="s">
        <v>10537</v>
      </c>
      <c r="X611" s="1" t="s">
        <v>10538</v>
      </c>
      <c r="Y611" s="1" t="s">
        <v>10539</v>
      </c>
      <c r="Z611" s="1" t="s">
        <v>74</v>
      </c>
      <c r="AA611" s="1" t="s">
        <v>10540</v>
      </c>
      <c r="AB611" s="1" t="s">
        <v>10541</v>
      </c>
      <c r="AC611" s="1" t="s">
        <v>74</v>
      </c>
      <c r="AD611" s="1" t="s">
        <v>74</v>
      </c>
      <c r="AE611" s="1" t="s">
        <v>74</v>
      </c>
      <c r="AF611" s="1" t="s">
        <v>74</v>
      </c>
      <c r="AG611" s="1">
        <v>51</v>
      </c>
      <c r="AH611" s="1">
        <v>25</v>
      </c>
      <c r="AI611" s="1">
        <v>26</v>
      </c>
      <c r="AJ611" s="1">
        <v>0</v>
      </c>
      <c r="AK611" s="1">
        <v>15</v>
      </c>
      <c r="AL611" s="1" t="s">
        <v>112</v>
      </c>
      <c r="AM611" s="1" t="s">
        <v>113</v>
      </c>
      <c r="AN611" s="1" t="s">
        <v>469</v>
      </c>
      <c r="AO611" s="1" t="s">
        <v>1100</v>
      </c>
      <c r="AP611" s="1" t="s">
        <v>74</v>
      </c>
      <c r="AQ611" s="1" t="s">
        <v>74</v>
      </c>
      <c r="AR611" s="1" t="s">
        <v>1102</v>
      </c>
      <c r="AS611" s="1" t="s">
        <v>1103</v>
      </c>
      <c r="AT611" s="1" t="s">
        <v>93</v>
      </c>
      <c r="AU611" s="1">
        <v>1998</v>
      </c>
      <c r="AV611" s="1">
        <v>131</v>
      </c>
      <c r="AW611" s="1">
        <v>1</v>
      </c>
      <c r="AX611" s="1" t="s">
        <v>74</v>
      </c>
      <c r="AY611" s="1" t="s">
        <v>74</v>
      </c>
      <c r="AZ611" s="1" t="s">
        <v>74</v>
      </c>
      <c r="BA611" s="1" t="s">
        <v>74</v>
      </c>
      <c r="BB611" s="1">
        <v>113</v>
      </c>
      <c r="BC611" s="1">
        <v>121</v>
      </c>
      <c r="BD611" s="1" t="s">
        <v>74</v>
      </c>
      <c r="BE611" s="1" t="s">
        <v>10542</v>
      </c>
      <c r="BF611" s="1" t="str">
        <f>HYPERLINK("http://dx.doi.org/10.1007/s002270050302","http://dx.doi.org/10.1007/s002270050302")</f>
        <v>http://dx.doi.org/10.1007/s002270050302</v>
      </c>
      <c r="BG611" s="1" t="s">
        <v>74</v>
      </c>
      <c r="BH611" s="1" t="s">
        <v>74</v>
      </c>
      <c r="BI611" s="1">
        <v>9</v>
      </c>
      <c r="BJ611" s="1" t="s">
        <v>680</v>
      </c>
      <c r="BK611" s="1" t="s">
        <v>96</v>
      </c>
      <c r="BL611" s="1" t="s">
        <v>680</v>
      </c>
      <c r="BM611" s="1" t="s">
        <v>10543</v>
      </c>
      <c r="BN611" s="1" t="s">
        <v>74</v>
      </c>
      <c r="BO611" s="1" t="s">
        <v>74</v>
      </c>
      <c r="BP611" s="1" t="s">
        <v>74</v>
      </c>
      <c r="BQ611" s="1" t="s">
        <v>74</v>
      </c>
      <c r="BR611" s="1" t="s">
        <v>98</v>
      </c>
      <c r="BS611" s="1" t="s">
        <v>10544</v>
      </c>
      <c r="BT611" s="1" t="str">
        <f>HYPERLINK("https%3A%2F%2Fwww.webofscience.com%2Fwos%2Fwoscc%2Ffull-record%2FWOS:000073613500013","View Full Record in Web of Science")</f>
        <v>View Full Record in Web of Science</v>
      </c>
    </row>
    <row r="612" spans="1:72">
      <c r="A612" s="1" t="s">
        <v>72</v>
      </c>
      <c r="B612" s="1" t="s">
        <v>10545</v>
      </c>
      <c r="C612" s="1" t="s">
        <v>74</v>
      </c>
      <c r="D612" s="1" t="s">
        <v>74</v>
      </c>
      <c r="E612" s="1" t="s">
        <v>74</v>
      </c>
      <c r="F612" s="1" t="s">
        <v>10546</v>
      </c>
      <c r="G612" s="1" t="s">
        <v>74</v>
      </c>
      <c r="H612" s="1" t="s">
        <v>74</v>
      </c>
      <c r="I612" s="1" t="s">
        <v>10547</v>
      </c>
      <c r="J612" s="1" t="s">
        <v>204</v>
      </c>
      <c r="K612" s="1" t="s">
        <v>74</v>
      </c>
      <c r="L612" s="1" t="s">
        <v>74</v>
      </c>
      <c r="M612" s="1" t="s">
        <v>78</v>
      </c>
      <c r="N612" s="1" t="s">
        <v>79</v>
      </c>
      <c r="O612" s="1" t="s">
        <v>74</v>
      </c>
      <c r="P612" s="1" t="s">
        <v>74</v>
      </c>
      <c r="Q612" s="1" t="s">
        <v>74</v>
      </c>
      <c r="R612" s="1" t="s">
        <v>74</v>
      </c>
      <c r="S612" s="1" t="s">
        <v>74</v>
      </c>
      <c r="T612" s="1" t="s">
        <v>10548</v>
      </c>
      <c r="U612" s="1" t="s">
        <v>10549</v>
      </c>
      <c r="V612" s="1" t="s">
        <v>10550</v>
      </c>
      <c r="W612" s="1" t="s">
        <v>10551</v>
      </c>
      <c r="X612" s="1" t="s">
        <v>10552</v>
      </c>
      <c r="Y612" s="1" t="s">
        <v>10553</v>
      </c>
      <c r="Z612" s="1" t="s">
        <v>10554</v>
      </c>
      <c r="AA612" s="1" t="s">
        <v>10555</v>
      </c>
      <c r="AB612" s="1" t="s">
        <v>74</v>
      </c>
      <c r="AC612" s="1" t="s">
        <v>10556</v>
      </c>
      <c r="AD612" s="1" t="s">
        <v>10557</v>
      </c>
      <c r="AE612" s="1" t="s">
        <v>10558</v>
      </c>
      <c r="AF612" s="1" t="s">
        <v>74</v>
      </c>
      <c r="AG612" s="1">
        <v>68</v>
      </c>
      <c r="AH612" s="1">
        <v>8</v>
      </c>
      <c r="AI612" s="1">
        <v>8</v>
      </c>
      <c r="AJ612" s="1">
        <v>11</v>
      </c>
      <c r="AK612" s="1">
        <v>50</v>
      </c>
      <c r="AL612" s="1" t="s">
        <v>217</v>
      </c>
      <c r="AM612" s="1" t="s">
        <v>218</v>
      </c>
      <c r="AN612" s="1" t="s">
        <v>219</v>
      </c>
      <c r="AO612" s="1" t="s">
        <v>220</v>
      </c>
      <c r="AP612" s="1" t="s">
        <v>221</v>
      </c>
      <c r="AQ612" s="1" t="s">
        <v>74</v>
      </c>
      <c r="AR612" s="1" t="s">
        <v>222</v>
      </c>
      <c r="AS612" s="1" t="s">
        <v>223</v>
      </c>
      <c r="AT612" s="1" t="s">
        <v>1223</v>
      </c>
      <c r="AU612" s="1">
        <v>2023</v>
      </c>
      <c r="AV612" s="1">
        <v>30</v>
      </c>
      <c r="AW612" s="1">
        <v>14</v>
      </c>
      <c r="AX612" s="1" t="s">
        <v>74</v>
      </c>
      <c r="AY612" s="1" t="s">
        <v>74</v>
      </c>
      <c r="AZ612" s="1" t="s">
        <v>74</v>
      </c>
      <c r="BA612" s="1" t="s">
        <v>74</v>
      </c>
      <c r="BB612" s="1">
        <v>40846</v>
      </c>
      <c r="BC612" s="1">
        <v>40859</v>
      </c>
      <c r="BD612" s="1" t="s">
        <v>74</v>
      </c>
      <c r="BE612" s="1" t="s">
        <v>10559</v>
      </c>
      <c r="BF612" s="1" t="str">
        <f>HYPERLINK("http://dx.doi.org/10.1007/s11356-022-25094-y","http://dx.doi.org/10.1007/s11356-022-25094-y")</f>
        <v>http://dx.doi.org/10.1007/s11356-022-25094-y</v>
      </c>
      <c r="BG612" s="1" t="s">
        <v>74</v>
      </c>
      <c r="BH612" s="1" t="s">
        <v>2057</v>
      </c>
      <c r="BI612" s="1">
        <v>14</v>
      </c>
      <c r="BJ612" s="1" t="s">
        <v>144</v>
      </c>
      <c r="BK612" s="1" t="s">
        <v>96</v>
      </c>
      <c r="BL612" s="1" t="s">
        <v>145</v>
      </c>
      <c r="BM612" s="1" t="s">
        <v>10560</v>
      </c>
      <c r="BN612" s="1">
        <v>36622594</v>
      </c>
      <c r="BO612" s="1" t="s">
        <v>74</v>
      </c>
      <c r="BP612" s="1" t="s">
        <v>74</v>
      </c>
      <c r="BQ612" s="1" t="s">
        <v>74</v>
      </c>
      <c r="BR612" s="1" t="s">
        <v>98</v>
      </c>
      <c r="BS612" s="1" t="s">
        <v>10561</v>
      </c>
      <c r="BT612" s="1" t="str">
        <f>HYPERLINK("https%3A%2F%2Fwww.webofscience.com%2Fwos%2Fwoscc%2Ffull-record%2FWOS:000933550100022","View Full Record in Web of Science")</f>
        <v>View Full Record in Web of Science</v>
      </c>
    </row>
    <row r="613" spans="1:72">
      <c r="A613" s="1" t="s">
        <v>72</v>
      </c>
      <c r="B613" s="1" t="s">
        <v>10562</v>
      </c>
      <c r="C613" s="1" t="s">
        <v>74</v>
      </c>
      <c r="D613" s="1" t="s">
        <v>74</v>
      </c>
      <c r="E613" s="1" t="s">
        <v>74</v>
      </c>
      <c r="F613" s="1" t="s">
        <v>10563</v>
      </c>
      <c r="G613" s="1" t="s">
        <v>74</v>
      </c>
      <c r="H613" s="1" t="s">
        <v>74</v>
      </c>
      <c r="I613" s="1" t="s">
        <v>10564</v>
      </c>
      <c r="J613" s="1" t="s">
        <v>10565</v>
      </c>
      <c r="K613" s="1" t="s">
        <v>74</v>
      </c>
      <c r="L613" s="1" t="s">
        <v>74</v>
      </c>
      <c r="M613" s="1" t="s">
        <v>78</v>
      </c>
      <c r="N613" s="1" t="s">
        <v>79</v>
      </c>
      <c r="O613" s="1" t="s">
        <v>74</v>
      </c>
      <c r="P613" s="1" t="s">
        <v>74</v>
      </c>
      <c r="Q613" s="1" t="s">
        <v>74</v>
      </c>
      <c r="R613" s="1" t="s">
        <v>74</v>
      </c>
      <c r="S613" s="1" t="s">
        <v>74</v>
      </c>
      <c r="T613" s="1" t="s">
        <v>10566</v>
      </c>
      <c r="U613" s="1" t="s">
        <v>10567</v>
      </c>
      <c r="V613" s="1" t="s">
        <v>10568</v>
      </c>
      <c r="W613" s="1" t="s">
        <v>10569</v>
      </c>
      <c r="X613" s="1" t="s">
        <v>10570</v>
      </c>
      <c r="Y613" s="1" t="s">
        <v>10571</v>
      </c>
      <c r="Z613" s="1" t="s">
        <v>10572</v>
      </c>
      <c r="AA613" s="1" t="s">
        <v>10573</v>
      </c>
      <c r="AB613" s="1" t="s">
        <v>10574</v>
      </c>
      <c r="AC613" s="1" t="s">
        <v>10575</v>
      </c>
      <c r="AD613" s="1" t="s">
        <v>989</v>
      </c>
      <c r="AE613" s="1" t="s">
        <v>10576</v>
      </c>
      <c r="AF613" s="1" t="s">
        <v>74</v>
      </c>
      <c r="AG613" s="1">
        <v>53</v>
      </c>
      <c r="AH613" s="1">
        <v>29</v>
      </c>
      <c r="AI613" s="1">
        <v>30</v>
      </c>
      <c r="AJ613" s="1">
        <v>0</v>
      </c>
      <c r="AK613" s="1">
        <v>21</v>
      </c>
      <c r="AL613" s="1" t="s">
        <v>136</v>
      </c>
      <c r="AM613" s="1" t="s">
        <v>137</v>
      </c>
      <c r="AN613" s="1" t="s">
        <v>138</v>
      </c>
      <c r="AO613" s="1" t="s">
        <v>10577</v>
      </c>
      <c r="AP613" s="1" t="s">
        <v>10578</v>
      </c>
      <c r="AQ613" s="1" t="s">
        <v>74</v>
      </c>
      <c r="AR613" s="1" t="s">
        <v>10579</v>
      </c>
      <c r="AS613" s="1" t="s">
        <v>10580</v>
      </c>
      <c r="AT613" s="1" t="s">
        <v>951</v>
      </c>
      <c r="AU613" s="1">
        <v>2015</v>
      </c>
      <c r="AV613" s="1">
        <v>111</v>
      </c>
      <c r="AW613" s="1" t="s">
        <v>74</v>
      </c>
      <c r="AX613" s="1" t="s">
        <v>74</v>
      </c>
      <c r="AY613" s="1" t="s">
        <v>74</v>
      </c>
      <c r="AZ613" s="1" t="s">
        <v>74</v>
      </c>
      <c r="BA613" s="1" t="s">
        <v>74</v>
      </c>
      <c r="BB613" s="1">
        <v>41</v>
      </c>
      <c r="BC613" s="1">
        <v>53</v>
      </c>
      <c r="BD613" s="1" t="s">
        <v>74</v>
      </c>
      <c r="BE613" s="1" t="s">
        <v>10581</v>
      </c>
      <c r="BF613" s="1" t="str">
        <f>HYPERLINK("http://dx.doi.org/10.1016/j.jafrearsci.2015.07.012","http://dx.doi.org/10.1016/j.jafrearsci.2015.07.012")</f>
        <v>http://dx.doi.org/10.1016/j.jafrearsci.2015.07.012</v>
      </c>
      <c r="BG613" s="1" t="s">
        <v>74</v>
      </c>
      <c r="BH613" s="1" t="s">
        <v>74</v>
      </c>
      <c r="BI613" s="1">
        <v>13</v>
      </c>
      <c r="BJ613" s="1" t="s">
        <v>10582</v>
      </c>
      <c r="BK613" s="1" t="s">
        <v>96</v>
      </c>
      <c r="BL613" s="1" t="s">
        <v>7739</v>
      </c>
      <c r="BM613" s="1" t="s">
        <v>10583</v>
      </c>
      <c r="BN613" s="1" t="s">
        <v>74</v>
      </c>
      <c r="BO613" s="1" t="s">
        <v>74</v>
      </c>
      <c r="BP613" s="1" t="s">
        <v>74</v>
      </c>
      <c r="BQ613" s="1" t="s">
        <v>74</v>
      </c>
      <c r="BR613" s="1" t="s">
        <v>98</v>
      </c>
      <c r="BS613" s="1" t="s">
        <v>10584</v>
      </c>
      <c r="BT613" s="1" t="str">
        <f>HYPERLINK("https%3A%2F%2Fwww.webofscience.com%2Fwos%2Fwoscc%2Ffull-record%2FWOS:000363823900004","View Full Record in Web of Science")</f>
        <v>View Full Record in Web of Science</v>
      </c>
    </row>
    <row r="614" spans="1:72">
      <c r="A614" s="1" t="s">
        <v>72</v>
      </c>
      <c r="B614" s="1" t="s">
        <v>10585</v>
      </c>
      <c r="C614" s="1" t="s">
        <v>74</v>
      </c>
      <c r="D614" s="1" t="s">
        <v>74</v>
      </c>
      <c r="E614" s="1" t="s">
        <v>74</v>
      </c>
      <c r="F614" s="1" t="s">
        <v>10586</v>
      </c>
      <c r="G614" s="1" t="s">
        <v>74</v>
      </c>
      <c r="H614" s="1" t="s">
        <v>74</v>
      </c>
      <c r="I614" s="1" t="s">
        <v>10587</v>
      </c>
      <c r="J614" s="1" t="s">
        <v>641</v>
      </c>
      <c r="K614" s="1" t="s">
        <v>74</v>
      </c>
      <c r="L614" s="1" t="s">
        <v>74</v>
      </c>
      <c r="M614" s="1" t="s">
        <v>78</v>
      </c>
      <c r="N614" s="1" t="s">
        <v>79</v>
      </c>
      <c r="O614" s="1" t="s">
        <v>74</v>
      </c>
      <c r="P614" s="1" t="s">
        <v>74</v>
      </c>
      <c r="Q614" s="1" t="s">
        <v>74</v>
      </c>
      <c r="R614" s="1" t="s">
        <v>74</v>
      </c>
      <c r="S614" s="1" t="s">
        <v>74</v>
      </c>
      <c r="T614" s="1" t="s">
        <v>10588</v>
      </c>
      <c r="U614" s="1" t="s">
        <v>10589</v>
      </c>
      <c r="V614" s="1" t="s">
        <v>10590</v>
      </c>
      <c r="W614" s="1" t="s">
        <v>10591</v>
      </c>
      <c r="X614" s="1" t="s">
        <v>10592</v>
      </c>
      <c r="Y614" s="1" t="s">
        <v>10593</v>
      </c>
      <c r="Z614" s="1" t="s">
        <v>10594</v>
      </c>
      <c r="AA614" s="1" t="s">
        <v>10595</v>
      </c>
      <c r="AB614" s="1" t="s">
        <v>10596</v>
      </c>
      <c r="AC614" s="1" t="s">
        <v>10597</v>
      </c>
      <c r="AD614" s="1" t="s">
        <v>10598</v>
      </c>
      <c r="AE614" s="1" t="s">
        <v>10599</v>
      </c>
      <c r="AF614" s="1" t="s">
        <v>74</v>
      </c>
      <c r="AG614" s="1">
        <v>73</v>
      </c>
      <c r="AH614" s="1">
        <v>0</v>
      </c>
      <c r="AI614" s="1">
        <v>0</v>
      </c>
      <c r="AJ614" s="1">
        <v>7</v>
      </c>
      <c r="AK614" s="1">
        <v>7</v>
      </c>
      <c r="AL614" s="1" t="s">
        <v>650</v>
      </c>
      <c r="AM614" s="1" t="s">
        <v>651</v>
      </c>
      <c r="AN614" s="1" t="s">
        <v>652</v>
      </c>
      <c r="AO614" s="1" t="s">
        <v>653</v>
      </c>
      <c r="AP614" s="1" t="s">
        <v>654</v>
      </c>
      <c r="AQ614" s="1" t="s">
        <v>74</v>
      </c>
      <c r="AR614" s="1" t="s">
        <v>655</v>
      </c>
      <c r="AS614" s="1" t="s">
        <v>656</v>
      </c>
      <c r="AT614" s="1" t="s">
        <v>170</v>
      </c>
      <c r="AU614" s="1">
        <v>2024</v>
      </c>
      <c r="AV614" s="1">
        <v>270</v>
      </c>
      <c r="AW614" s="1" t="s">
        <v>74</v>
      </c>
      <c r="AX614" s="1" t="s">
        <v>74</v>
      </c>
      <c r="AY614" s="1" t="s">
        <v>74</v>
      </c>
      <c r="AZ614" s="1" t="s">
        <v>74</v>
      </c>
      <c r="BA614" s="1" t="s">
        <v>74</v>
      </c>
      <c r="BB614" s="1" t="s">
        <v>74</v>
      </c>
      <c r="BC614" s="1" t="s">
        <v>74</v>
      </c>
      <c r="BD614" s="1">
        <v>106896</v>
      </c>
      <c r="BE614" s="1" t="s">
        <v>10600</v>
      </c>
      <c r="BF614" s="1" t="str">
        <f>HYPERLINK("http://dx.doi.org/10.1016/j.aquatox.2024.106896","http://dx.doi.org/10.1016/j.aquatox.2024.106896")</f>
        <v>http://dx.doi.org/10.1016/j.aquatox.2024.106896</v>
      </c>
      <c r="BG614" s="1" t="s">
        <v>74</v>
      </c>
      <c r="BH614" s="1" t="s">
        <v>2888</v>
      </c>
      <c r="BI614" s="1">
        <v>8</v>
      </c>
      <c r="BJ614" s="1" t="s">
        <v>659</v>
      </c>
      <c r="BK614" s="1" t="s">
        <v>96</v>
      </c>
      <c r="BL614" s="1" t="s">
        <v>659</v>
      </c>
      <c r="BM614" s="1" t="s">
        <v>10601</v>
      </c>
      <c r="BN614" s="1">
        <v>38490093</v>
      </c>
      <c r="BO614" s="1" t="s">
        <v>74</v>
      </c>
      <c r="BP614" s="1" t="s">
        <v>74</v>
      </c>
      <c r="BQ614" s="1" t="s">
        <v>74</v>
      </c>
      <c r="BR614" s="1" t="s">
        <v>98</v>
      </c>
      <c r="BS614" s="1" t="s">
        <v>10602</v>
      </c>
      <c r="BT614" s="1" t="str">
        <f>HYPERLINK("https%3A%2F%2Fwww.webofscience.com%2Fwos%2Fwoscc%2Ffull-record%2FWOS:001216961300001","View Full Record in Web of Science")</f>
        <v>View Full Record in Web of Science</v>
      </c>
    </row>
    <row r="615" spans="1:72">
      <c r="A615" s="1" t="s">
        <v>72</v>
      </c>
      <c r="B615" s="1" t="s">
        <v>10603</v>
      </c>
      <c r="C615" s="1" t="s">
        <v>74</v>
      </c>
      <c r="D615" s="1" t="s">
        <v>74</v>
      </c>
      <c r="E615" s="1" t="s">
        <v>74</v>
      </c>
      <c r="F615" s="1" t="s">
        <v>10604</v>
      </c>
      <c r="G615" s="1" t="s">
        <v>74</v>
      </c>
      <c r="H615" s="1" t="s">
        <v>74</v>
      </c>
      <c r="I615" s="1" t="s">
        <v>10605</v>
      </c>
      <c r="J615" s="1" t="s">
        <v>204</v>
      </c>
      <c r="K615" s="1" t="s">
        <v>74</v>
      </c>
      <c r="L615" s="1" t="s">
        <v>74</v>
      </c>
      <c r="M615" s="1" t="s">
        <v>78</v>
      </c>
      <c r="N615" s="1" t="s">
        <v>151</v>
      </c>
      <c r="O615" s="1" t="s">
        <v>10606</v>
      </c>
      <c r="P615" s="1" t="s">
        <v>10607</v>
      </c>
      <c r="Q615" s="1" t="s">
        <v>10608</v>
      </c>
      <c r="R615" s="1" t="s">
        <v>74</v>
      </c>
      <c r="S615" s="1" t="s">
        <v>10609</v>
      </c>
      <c r="T615" s="1" t="s">
        <v>10610</v>
      </c>
      <c r="U615" s="1" t="s">
        <v>10611</v>
      </c>
      <c r="V615" s="1" t="s">
        <v>10612</v>
      </c>
      <c r="W615" s="1" t="s">
        <v>10613</v>
      </c>
      <c r="X615" s="1" t="s">
        <v>1417</v>
      </c>
      <c r="Y615" s="1" t="s">
        <v>10614</v>
      </c>
      <c r="Z615" s="1" t="s">
        <v>10615</v>
      </c>
      <c r="AA615" s="1" t="s">
        <v>4408</v>
      </c>
      <c r="AB615" s="1" t="s">
        <v>10616</v>
      </c>
      <c r="AC615" s="1" t="s">
        <v>74</v>
      </c>
      <c r="AD615" s="1" t="s">
        <v>74</v>
      </c>
      <c r="AE615" s="1" t="s">
        <v>74</v>
      </c>
      <c r="AF615" s="1" t="s">
        <v>74</v>
      </c>
      <c r="AG615" s="1">
        <v>58</v>
      </c>
      <c r="AH615" s="1">
        <v>8</v>
      </c>
      <c r="AI615" s="1">
        <v>10</v>
      </c>
      <c r="AJ615" s="1">
        <v>2</v>
      </c>
      <c r="AK615" s="1">
        <v>24</v>
      </c>
      <c r="AL615" s="1" t="s">
        <v>217</v>
      </c>
      <c r="AM615" s="1" t="s">
        <v>218</v>
      </c>
      <c r="AN615" s="1" t="s">
        <v>219</v>
      </c>
      <c r="AO615" s="1" t="s">
        <v>220</v>
      </c>
      <c r="AP615" s="1" t="s">
        <v>221</v>
      </c>
      <c r="AQ615" s="1" t="s">
        <v>74</v>
      </c>
      <c r="AR615" s="1" t="s">
        <v>222</v>
      </c>
      <c r="AS615" s="1" t="s">
        <v>223</v>
      </c>
      <c r="AT615" s="1" t="s">
        <v>224</v>
      </c>
      <c r="AU615" s="1">
        <v>2020</v>
      </c>
      <c r="AV615" s="1">
        <v>27</v>
      </c>
      <c r="AW615" s="1">
        <v>4</v>
      </c>
      <c r="AX615" s="1" t="s">
        <v>74</v>
      </c>
      <c r="AY615" s="1" t="s">
        <v>74</v>
      </c>
      <c r="AZ615" s="1" t="s">
        <v>74</v>
      </c>
      <c r="BA615" s="1" t="s">
        <v>74</v>
      </c>
      <c r="BB615" s="1">
        <v>3715</v>
      </c>
      <c r="BC615" s="1">
        <v>3725</v>
      </c>
      <c r="BD615" s="1" t="s">
        <v>74</v>
      </c>
      <c r="BE615" s="1" t="s">
        <v>10617</v>
      </c>
      <c r="BF615" s="1" t="str">
        <f>HYPERLINK("http://dx.doi.org/10.1007/s11356-019-05025-0","http://dx.doi.org/10.1007/s11356-019-05025-0")</f>
        <v>http://dx.doi.org/10.1007/s11356-019-05025-0</v>
      </c>
      <c r="BG615" s="1" t="s">
        <v>74</v>
      </c>
      <c r="BH615" s="1" t="s">
        <v>74</v>
      </c>
      <c r="BI615" s="1">
        <v>11</v>
      </c>
      <c r="BJ615" s="1" t="s">
        <v>144</v>
      </c>
      <c r="BK615" s="1" t="s">
        <v>172</v>
      </c>
      <c r="BL615" s="1" t="s">
        <v>145</v>
      </c>
      <c r="BM615" s="1" t="s">
        <v>10618</v>
      </c>
      <c r="BN615" s="1">
        <v>30949944</v>
      </c>
      <c r="BO615" s="1" t="s">
        <v>74</v>
      </c>
      <c r="BP615" s="1" t="s">
        <v>74</v>
      </c>
      <c r="BQ615" s="1" t="s">
        <v>74</v>
      </c>
      <c r="BR615" s="1" t="s">
        <v>98</v>
      </c>
      <c r="BS615" s="1" t="s">
        <v>10619</v>
      </c>
      <c r="BT615" s="1" t="str">
        <f>HYPERLINK("https%3A%2F%2Fwww.webofscience.com%2Fwos%2Fwoscc%2Ffull-record%2FWOS:000519703100017","View Full Record in Web of Science")</f>
        <v>View Full Record in Web of Science</v>
      </c>
    </row>
    <row r="616" spans="1:72">
      <c r="A616" s="1" t="s">
        <v>72</v>
      </c>
      <c r="B616" s="1" t="s">
        <v>10620</v>
      </c>
      <c r="C616" s="1" t="s">
        <v>74</v>
      </c>
      <c r="D616" s="1" t="s">
        <v>74</v>
      </c>
      <c r="E616" s="1" t="s">
        <v>74</v>
      </c>
      <c r="F616" s="1" t="s">
        <v>10620</v>
      </c>
      <c r="G616" s="1" t="s">
        <v>74</v>
      </c>
      <c r="H616" s="1" t="s">
        <v>74</v>
      </c>
      <c r="I616" s="1" t="s">
        <v>10621</v>
      </c>
      <c r="J616" s="1" t="s">
        <v>127</v>
      </c>
      <c r="K616" s="1" t="s">
        <v>74</v>
      </c>
      <c r="L616" s="1" t="s">
        <v>74</v>
      </c>
      <c r="M616" s="1" t="s">
        <v>78</v>
      </c>
      <c r="N616" s="1" t="s">
        <v>79</v>
      </c>
      <c r="O616" s="1" t="s">
        <v>74</v>
      </c>
      <c r="P616" s="1" t="s">
        <v>74</v>
      </c>
      <c r="Q616" s="1" t="s">
        <v>74</v>
      </c>
      <c r="R616" s="1" t="s">
        <v>74</v>
      </c>
      <c r="S616" s="1" t="s">
        <v>74</v>
      </c>
      <c r="T616" s="1" t="s">
        <v>10622</v>
      </c>
      <c r="U616" s="1" t="s">
        <v>10623</v>
      </c>
      <c r="V616" s="1" t="s">
        <v>10624</v>
      </c>
      <c r="W616" s="1" t="s">
        <v>10625</v>
      </c>
      <c r="X616" s="1" t="s">
        <v>10626</v>
      </c>
      <c r="Y616" s="1" t="s">
        <v>10627</v>
      </c>
      <c r="Z616" s="1" t="s">
        <v>10628</v>
      </c>
      <c r="AA616" s="1" t="s">
        <v>74</v>
      </c>
      <c r="AB616" s="1" t="s">
        <v>10629</v>
      </c>
      <c r="AC616" s="1" t="s">
        <v>74</v>
      </c>
      <c r="AD616" s="1" t="s">
        <v>74</v>
      </c>
      <c r="AE616" s="1" t="s">
        <v>74</v>
      </c>
      <c r="AF616" s="1" t="s">
        <v>74</v>
      </c>
      <c r="AG616" s="1">
        <v>49</v>
      </c>
      <c r="AH616" s="1">
        <v>23</v>
      </c>
      <c r="AI616" s="1">
        <v>24</v>
      </c>
      <c r="AJ616" s="1">
        <v>0</v>
      </c>
      <c r="AK616" s="1">
        <v>13</v>
      </c>
      <c r="AL616" s="1" t="s">
        <v>136</v>
      </c>
      <c r="AM616" s="1" t="s">
        <v>137</v>
      </c>
      <c r="AN616" s="1" t="s">
        <v>138</v>
      </c>
      <c r="AO616" s="1" t="s">
        <v>139</v>
      </c>
      <c r="AP616" s="1" t="s">
        <v>140</v>
      </c>
      <c r="AQ616" s="1" t="s">
        <v>74</v>
      </c>
      <c r="AR616" s="1" t="s">
        <v>127</v>
      </c>
      <c r="AS616" s="1" t="s">
        <v>141</v>
      </c>
      <c r="AT616" s="1" t="s">
        <v>197</v>
      </c>
      <c r="AU616" s="1">
        <v>2005</v>
      </c>
      <c r="AV616" s="1">
        <v>61</v>
      </c>
      <c r="AW616" s="1">
        <v>11</v>
      </c>
      <c r="AX616" s="1" t="s">
        <v>74</v>
      </c>
      <c r="AY616" s="1" t="s">
        <v>74</v>
      </c>
      <c r="AZ616" s="1" t="s">
        <v>74</v>
      </c>
      <c r="BA616" s="1" t="s">
        <v>74</v>
      </c>
      <c r="BB616" s="1">
        <v>1651</v>
      </c>
      <c r="BC616" s="1">
        <v>1664</v>
      </c>
      <c r="BD616" s="1" t="s">
        <v>74</v>
      </c>
      <c r="BE616" s="1" t="s">
        <v>10630</v>
      </c>
      <c r="BF616" s="1" t="str">
        <f>HYPERLINK("http://dx.doi.org/10.1016/j.chemosphere.2005.04.038","http://dx.doi.org/10.1016/j.chemosphere.2005.04.038")</f>
        <v>http://dx.doi.org/10.1016/j.chemosphere.2005.04.038</v>
      </c>
      <c r="BG616" s="1" t="s">
        <v>74</v>
      </c>
      <c r="BH616" s="1" t="s">
        <v>74</v>
      </c>
      <c r="BI616" s="1">
        <v>14</v>
      </c>
      <c r="BJ616" s="1" t="s">
        <v>144</v>
      </c>
      <c r="BK616" s="1" t="s">
        <v>96</v>
      </c>
      <c r="BL616" s="1" t="s">
        <v>145</v>
      </c>
      <c r="BM616" s="1" t="s">
        <v>10631</v>
      </c>
      <c r="BN616" s="1">
        <v>15946726</v>
      </c>
      <c r="BO616" s="1" t="s">
        <v>810</v>
      </c>
      <c r="BP616" s="1" t="s">
        <v>74</v>
      </c>
      <c r="BQ616" s="1" t="s">
        <v>74</v>
      </c>
      <c r="BR616" s="1" t="s">
        <v>98</v>
      </c>
      <c r="BS616" s="1" t="s">
        <v>10632</v>
      </c>
      <c r="BT616" s="1" t="str">
        <f>HYPERLINK("https%3A%2F%2Fwww.webofscience.com%2Fwos%2Fwoscc%2Ffull-record%2FWOS:000234193100012","View Full Record in Web of Science")</f>
        <v>View Full Record in Web of Science</v>
      </c>
    </row>
    <row r="617" spans="1:72">
      <c r="A617" s="1" t="s">
        <v>72</v>
      </c>
      <c r="B617" s="1" t="s">
        <v>10633</v>
      </c>
      <c r="C617" s="1" t="s">
        <v>74</v>
      </c>
      <c r="D617" s="1" t="s">
        <v>74</v>
      </c>
      <c r="E617" s="1" t="s">
        <v>74</v>
      </c>
      <c r="F617" s="1" t="s">
        <v>10634</v>
      </c>
      <c r="G617" s="1" t="s">
        <v>74</v>
      </c>
      <c r="H617" s="1" t="s">
        <v>74</v>
      </c>
      <c r="I617" s="1" t="s">
        <v>10635</v>
      </c>
      <c r="J617" s="1" t="s">
        <v>1337</v>
      </c>
      <c r="K617" s="1" t="s">
        <v>74</v>
      </c>
      <c r="L617" s="1" t="s">
        <v>74</v>
      </c>
      <c r="M617" s="1" t="s">
        <v>78</v>
      </c>
      <c r="N617" s="1" t="s">
        <v>79</v>
      </c>
      <c r="O617" s="1" t="s">
        <v>74</v>
      </c>
      <c r="P617" s="1" t="s">
        <v>74</v>
      </c>
      <c r="Q617" s="1" t="s">
        <v>74</v>
      </c>
      <c r="R617" s="1" t="s">
        <v>74</v>
      </c>
      <c r="S617" s="1" t="s">
        <v>74</v>
      </c>
      <c r="T617" s="1" t="s">
        <v>10636</v>
      </c>
      <c r="U617" s="1" t="s">
        <v>10637</v>
      </c>
      <c r="V617" s="1" t="s">
        <v>10638</v>
      </c>
      <c r="W617" s="1" t="s">
        <v>10639</v>
      </c>
      <c r="X617" s="1" t="s">
        <v>10640</v>
      </c>
      <c r="Y617" s="1" t="s">
        <v>10641</v>
      </c>
      <c r="Z617" s="1" t="s">
        <v>10642</v>
      </c>
      <c r="AA617" s="1" t="s">
        <v>74</v>
      </c>
      <c r="AB617" s="1" t="s">
        <v>74</v>
      </c>
      <c r="AC617" s="1" t="s">
        <v>10643</v>
      </c>
      <c r="AD617" s="1" t="s">
        <v>10644</v>
      </c>
      <c r="AE617" s="1" t="s">
        <v>10645</v>
      </c>
      <c r="AF617" s="1" t="s">
        <v>74</v>
      </c>
      <c r="AG617" s="1">
        <v>54</v>
      </c>
      <c r="AH617" s="1">
        <v>0</v>
      </c>
      <c r="AI617" s="1">
        <v>0</v>
      </c>
      <c r="AJ617" s="1">
        <v>0</v>
      </c>
      <c r="AK617" s="1">
        <v>0</v>
      </c>
      <c r="AL617" s="1" t="s">
        <v>1350</v>
      </c>
      <c r="AM617" s="1" t="s">
        <v>1351</v>
      </c>
      <c r="AN617" s="1" t="s">
        <v>1352</v>
      </c>
      <c r="AO617" s="1" t="s">
        <v>74</v>
      </c>
      <c r="AP617" s="1" t="s">
        <v>1353</v>
      </c>
      <c r="AQ617" s="1" t="s">
        <v>74</v>
      </c>
      <c r="AR617" s="1" t="s">
        <v>1354</v>
      </c>
      <c r="AS617" s="1" t="s">
        <v>1355</v>
      </c>
      <c r="AT617" s="1" t="s">
        <v>9400</v>
      </c>
      <c r="AU617" s="1">
        <v>2024</v>
      </c>
      <c r="AV617" s="1">
        <v>11</v>
      </c>
      <c r="AW617" s="1" t="s">
        <v>74</v>
      </c>
      <c r="AX617" s="1" t="s">
        <v>74</v>
      </c>
      <c r="AY617" s="1" t="s">
        <v>74</v>
      </c>
      <c r="AZ617" s="1" t="s">
        <v>74</v>
      </c>
      <c r="BA617" s="1" t="s">
        <v>74</v>
      </c>
      <c r="BB617" s="1" t="s">
        <v>74</v>
      </c>
      <c r="BC617" s="1" t="s">
        <v>74</v>
      </c>
      <c r="BD617" s="1">
        <v>1444061</v>
      </c>
      <c r="BE617" s="1" t="s">
        <v>10646</v>
      </c>
      <c r="BF617" s="1" t="str">
        <f>HYPERLINK("http://dx.doi.org/10.3389/fmars.2024.1444061","http://dx.doi.org/10.3389/fmars.2024.1444061")</f>
        <v>http://dx.doi.org/10.3389/fmars.2024.1444061</v>
      </c>
      <c r="BG617" s="1" t="s">
        <v>74</v>
      </c>
      <c r="BH617" s="1" t="s">
        <v>74</v>
      </c>
      <c r="BI617" s="1">
        <v>14</v>
      </c>
      <c r="BJ617" s="1" t="s">
        <v>247</v>
      </c>
      <c r="BK617" s="1" t="s">
        <v>96</v>
      </c>
      <c r="BL617" s="1" t="s">
        <v>248</v>
      </c>
      <c r="BM617" s="1" t="s">
        <v>10647</v>
      </c>
      <c r="BN617" s="1" t="s">
        <v>74</v>
      </c>
      <c r="BO617" s="1" t="s">
        <v>873</v>
      </c>
      <c r="BP617" s="1" t="s">
        <v>74</v>
      </c>
      <c r="BQ617" s="1" t="s">
        <v>74</v>
      </c>
      <c r="BR617" s="1" t="s">
        <v>98</v>
      </c>
      <c r="BS617" s="1" t="s">
        <v>10648</v>
      </c>
      <c r="BT617" s="1" t="str">
        <f>HYPERLINK("https%3A%2F%2Fwww.webofscience.com%2Fwos%2Fwoscc%2Ffull-record%2FWOS:001306838000001","View Full Record in Web of Science")</f>
        <v>View Full Record in Web of Science</v>
      </c>
    </row>
    <row r="618" spans="1:72">
      <c r="A618" s="1" t="s">
        <v>72</v>
      </c>
      <c r="B618" s="1" t="s">
        <v>10649</v>
      </c>
      <c r="C618" s="1" t="s">
        <v>74</v>
      </c>
      <c r="D618" s="1" t="s">
        <v>74</v>
      </c>
      <c r="E618" s="1" t="s">
        <v>74</v>
      </c>
      <c r="F618" s="1" t="s">
        <v>10650</v>
      </c>
      <c r="G618" s="1" t="s">
        <v>74</v>
      </c>
      <c r="H618" s="1" t="s">
        <v>74</v>
      </c>
      <c r="I618" s="1" t="s">
        <v>10651</v>
      </c>
      <c r="J618" s="1" t="s">
        <v>232</v>
      </c>
      <c r="K618" s="1" t="s">
        <v>74</v>
      </c>
      <c r="L618" s="1" t="s">
        <v>74</v>
      </c>
      <c r="M618" s="1" t="s">
        <v>78</v>
      </c>
      <c r="N618" s="1" t="s">
        <v>79</v>
      </c>
      <c r="O618" s="1" t="s">
        <v>74</v>
      </c>
      <c r="P618" s="1" t="s">
        <v>74</v>
      </c>
      <c r="Q618" s="1" t="s">
        <v>74</v>
      </c>
      <c r="R618" s="1" t="s">
        <v>74</v>
      </c>
      <c r="S618" s="1" t="s">
        <v>74</v>
      </c>
      <c r="T618" s="1" t="s">
        <v>10652</v>
      </c>
      <c r="U618" s="1" t="s">
        <v>10653</v>
      </c>
      <c r="V618" s="1" t="s">
        <v>10654</v>
      </c>
      <c r="W618" s="1" t="s">
        <v>10655</v>
      </c>
      <c r="X618" s="1" t="s">
        <v>10656</v>
      </c>
      <c r="Y618" s="1" t="s">
        <v>10657</v>
      </c>
      <c r="Z618" s="1" t="s">
        <v>10658</v>
      </c>
      <c r="AA618" s="1" t="s">
        <v>10659</v>
      </c>
      <c r="AB618" s="1" t="s">
        <v>10660</v>
      </c>
      <c r="AC618" s="1" t="s">
        <v>10661</v>
      </c>
      <c r="AD618" s="1" t="s">
        <v>10662</v>
      </c>
      <c r="AE618" s="1" t="s">
        <v>10663</v>
      </c>
      <c r="AF618" s="1" t="s">
        <v>74</v>
      </c>
      <c r="AG618" s="1">
        <v>100</v>
      </c>
      <c r="AH618" s="1">
        <v>8</v>
      </c>
      <c r="AI618" s="1">
        <v>8</v>
      </c>
      <c r="AJ618" s="1">
        <v>1</v>
      </c>
      <c r="AK618" s="1">
        <v>9</v>
      </c>
      <c r="AL618" s="1" t="s">
        <v>136</v>
      </c>
      <c r="AM618" s="1" t="s">
        <v>137</v>
      </c>
      <c r="AN618" s="1" t="s">
        <v>138</v>
      </c>
      <c r="AO618" s="1" t="s">
        <v>240</v>
      </c>
      <c r="AP618" s="1" t="s">
        <v>241</v>
      </c>
      <c r="AQ618" s="1" t="s">
        <v>74</v>
      </c>
      <c r="AR618" s="1" t="s">
        <v>242</v>
      </c>
      <c r="AS618" s="1" t="s">
        <v>243</v>
      </c>
      <c r="AT618" s="1" t="s">
        <v>305</v>
      </c>
      <c r="AU618" s="1">
        <v>2021</v>
      </c>
      <c r="AV618" s="1">
        <v>170</v>
      </c>
      <c r="AW618" s="1" t="s">
        <v>74</v>
      </c>
      <c r="AX618" s="1" t="s">
        <v>74</v>
      </c>
      <c r="AY618" s="1" t="s">
        <v>74</v>
      </c>
      <c r="AZ618" s="1" t="s">
        <v>74</v>
      </c>
      <c r="BA618" s="1" t="s">
        <v>74</v>
      </c>
      <c r="BB618" s="1" t="s">
        <v>74</v>
      </c>
      <c r="BC618" s="1" t="s">
        <v>74</v>
      </c>
      <c r="BD618" s="1">
        <v>112585</v>
      </c>
      <c r="BE618" s="1" t="s">
        <v>10664</v>
      </c>
      <c r="BF618" s="1" t="str">
        <f>HYPERLINK("http://dx.doi.org/10.1016/j.marpolbul.2021.112585","http://dx.doi.org/10.1016/j.marpolbul.2021.112585")</f>
        <v>http://dx.doi.org/10.1016/j.marpolbul.2021.112585</v>
      </c>
      <c r="BG618" s="1" t="s">
        <v>74</v>
      </c>
      <c r="BH618" s="1" t="s">
        <v>4940</v>
      </c>
      <c r="BI618" s="1">
        <v>10</v>
      </c>
      <c r="BJ618" s="1" t="s">
        <v>247</v>
      </c>
      <c r="BK618" s="1" t="s">
        <v>96</v>
      </c>
      <c r="BL618" s="1" t="s">
        <v>248</v>
      </c>
      <c r="BM618" s="1" t="s">
        <v>10665</v>
      </c>
      <c r="BN618" s="1">
        <v>34167029</v>
      </c>
      <c r="BO618" s="1" t="s">
        <v>74</v>
      </c>
      <c r="BP618" s="1" t="s">
        <v>74</v>
      </c>
      <c r="BQ618" s="1" t="s">
        <v>74</v>
      </c>
      <c r="BR618" s="1" t="s">
        <v>98</v>
      </c>
      <c r="BS618" s="1" t="s">
        <v>10666</v>
      </c>
      <c r="BT618" s="1" t="str">
        <f>HYPERLINK("https%3A%2F%2Fwww.webofscience.com%2Fwos%2Fwoscc%2Ffull-record%2FWOS:000685490700006","View Full Record in Web of Science")</f>
        <v>View Full Record in Web of Science</v>
      </c>
    </row>
    <row r="619" spans="1:72">
      <c r="A619" s="1" t="s">
        <v>72</v>
      </c>
      <c r="B619" s="1" t="s">
        <v>10667</v>
      </c>
      <c r="C619" s="1" t="s">
        <v>74</v>
      </c>
      <c r="D619" s="1" t="s">
        <v>74</v>
      </c>
      <c r="E619" s="1" t="s">
        <v>74</v>
      </c>
      <c r="F619" s="1" t="s">
        <v>10668</v>
      </c>
      <c r="G619" s="1" t="s">
        <v>74</v>
      </c>
      <c r="H619" s="1" t="s">
        <v>74</v>
      </c>
      <c r="I619" s="1" t="s">
        <v>10669</v>
      </c>
      <c r="J619" s="1" t="s">
        <v>2371</v>
      </c>
      <c r="K619" s="1" t="s">
        <v>74</v>
      </c>
      <c r="L619" s="1" t="s">
        <v>74</v>
      </c>
      <c r="M619" s="1" t="s">
        <v>78</v>
      </c>
      <c r="N619" s="1" t="s">
        <v>79</v>
      </c>
      <c r="O619" s="1" t="s">
        <v>74</v>
      </c>
      <c r="P619" s="1" t="s">
        <v>74</v>
      </c>
      <c r="Q619" s="1" t="s">
        <v>74</v>
      </c>
      <c r="R619" s="1" t="s">
        <v>74</v>
      </c>
      <c r="S619" s="1" t="s">
        <v>74</v>
      </c>
      <c r="T619" s="1" t="s">
        <v>10670</v>
      </c>
      <c r="U619" s="1" t="s">
        <v>10671</v>
      </c>
      <c r="V619" s="1" t="s">
        <v>10672</v>
      </c>
      <c r="W619" s="1" t="s">
        <v>10673</v>
      </c>
      <c r="X619" s="1" t="s">
        <v>10674</v>
      </c>
      <c r="Y619" s="1" t="s">
        <v>10675</v>
      </c>
      <c r="Z619" s="1" t="s">
        <v>10676</v>
      </c>
      <c r="AA619" s="1" t="s">
        <v>10677</v>
      </c>
      <c r="AB619" s="1" t="s">
        <v>10678</v>
      </c>
      <c r="AC619" s="1" t="s">
        <v>74</v>
      </c>
      <c r="AD619" s="1" t="s">
        <v>74</v>
      </c>
      <c r="AE619" s="1" t="s">
        <v>74</v>
      </c>
      <c r="AF619" s="1" t="s">
        <v>74</v>
      </c>
      <c r="AG619" s="1">
        <v>21</v>
      </c>
      <c r="AH619" s="1">
        <v>16</v>
      </c>
      <c r="AI619" s="1">
        <v>16</v>
      </c>
      <c r="AJ619" s="1">
        <v>0</v>
      </c>
      <c r="AK619" s="1">
        <v>7</v>
      </c>
      <c r="AL619" s="1" t="s">
        <v>2383</v>
      </c>
      <c r="AM619" s="1" t="s">
        <v>2384</v>
      </c>
      <c r="AN619" s="1" t="s">
        <v>2385</v>
      </c>
      <c r="AO619" s="1" t="s">
        <v>2386</v>
      </c>
      <c r="AP619" s="1" t="s">
        <v>74</v>
      </c>
      <c r="AQ619" s="1" t="s">
        <v>74</v>
      </c>
      <c r="AR619" s="1" t="s">
        <v>2388</v>
      </c>
      <c r="AS619" s="1" t="s">
        <v>2389</v>
      </c>
      <c r="AT619" s="1" t="s">
        <v>4410</v>
      </c>
      <c r="AU619" s="1">
        <v>2008</v>
      </c>
      <c r="AV619" s="1">
        <v>21</v>
      </c>
      <c r="AW619" s="1">
        <v>1</v>
      </c>
      <c r="AX619" s="1" t="s">
        <v>74</v>
      </c>
      <c r="AY619" s="1" t="s">
        <v>74</v>
      </c>
      <c r="AZ619" s="1" t="s">
        <v>74</v>
      </c>
      <c r="BA619" s="1" t="s">
        <v>74</v>
      </c>
      <c r="BB619" s="1">
        <v>57</v>
      </c>
      <c r="BC619" s="1">
        <v>61</v>
      </c>
      <c r="BD619" s="1" t="s">
        <v>74</v>
      </c>
      <c r="BE619" s="1" t="s">
        <v>10679</v>
      </c>
      <c r="BF619" s="1" t="str">
        <f>HYPERLINK("http://dx.doi.org/10.1051/alr:2008012","http://dx.doi.org/10.1051/alr:2008012")</f>
        <v>http://dx.doi.org/10.1051/alr:2008012</v>
      </c>
      <c r="BG619" s="1" t="s">
        <v>74</v>
      </c>
      <c r="BH619" s="1" t="s">
        <v>74</v>
      </c>
      <c r="BI619" s="1">
        <v>5</v>
      </c>
      <c r="BJ619" s="1" t="s">
        <v>2391</v>
      </c>
      <c r="BK619" s="1" t="s">
        <v>96</v>
      </c>
      <c r="BL619" s="1" t="s">
        <v>2391</v>
      </c>
      <c r="BM619" s="1" t="s">
        <v>10680</v>
      </c>
      <c r="BN619" s="1" t="s">
        <v>74</v>
      </c>
      <c r="BO619" s="1" t="s">
        <v>370</v>
      </c>
      <c r="BP619" s="1" t="s">
        <v>74</v>
      </c>
      <c r="BQ619" s="1" t="s">
        <v>74</v>
      </c>
      <c r="BR619" s="1" t="s">
        <v>98</v>
      </c>
      <c r="BS619" s="1" t="s">
        <v>10681</v>
      </c>
      <c r="BT619" s="1" t="str">
        <f>HYPERLINK("https%3A%2F%2Fwww.webofscience.com%2Fwos%2Fwoscc%2Ffull-record%2FWOS:000254672000007","View Full Record in Web of Science")</f>
        <v>View Full Record in Web of Science</v>
      </c>
    </row>
    <row r="620" spans="1:72">
      <c r="A620" s="1" t="s">
        <v>72</v>
      </c>
      <c r="B620" s="1" t="s">
        <v>10682</v>
      </c>
      <c r="C620" s="1" t="s">
        <v>74</v>
      </c>
      <c r="D620" s="1" t="s">
        <v>74</v>
      </c>
      <c r="E620" s="1" t="s">
        <v>74</v>
      </c>
      <c r="F620" s="1" t="s">
        <v>10683</v>
      </c>
      <c r="G620" s="1" t="s">
        <v>74</v>
      </c>
      <c r="H620" s="1" t="s">
        <v>74</v>
      </c>
      <c r="I620" s="1" t="s">
        <v>10684</v>
      </c>
      <c r="J620" s="1" t="s">
        <v>204</v>
      </c>
      <c r="K620" s="1" t="s">
        <v>74</v>
      </c>
      <c r="L620" s="1" t="s">
        <v>74</v>
      </c>
      <c r="M620" s="1" t="s">
        <v>78</v>
      </c>
      <c r="N620" s="1" t="s">
        <v>79</v>
      </c>
      <c r="O620" s="1" t="s">
        <v>74</v>
      </c>
      <c r="P620" s="1" t="s">
        <v>74</v>
      </c>
      <c r="Q620" s="1" t="s">
        <v>74</v>
      </c>
      <c r="R620" s="1" t="s">
        <v>74</v>
      </c>
      <c r="S620" s="1" t="s">
        <v>74</v>
      </c>
      <c r="T620" s="1" t="s">
        <v>10685</v>
      </c>
      <c r="U620" s="1" t="s">
        <v>10686</v>
      </c>
      <c r="V620" s="1" t="s">
        <v>10687</v>
      </c>
      <c r="W620" s="1" t="s">
        <v>10688</v>
      </c>
      <c r="X620" s="1" t="s">
        <v>10689</v>
      </c>
      <c r="Y620" s="1" t="s">
        <v>10690</v>
      </c>
      <c r="Z620" s="1" t="s">
        <v>1261</v>
      </c>
      <c r="AA620" s="1" t="s">
        <v>10691</v>
      </c>
      <c r="AB620" s="1" t="s">
        <v>10692</v>
      </c>
      <c r="AC620" s="1" t="s">
        <v>10693</v>
      </c>
      <c r="AD620" s="1" t="s">
        <v>10693</v>
      </c>
      <c r="AE620" s="1" t="s">
        <v>10694</v>
      </c>
      <c r="AF620" s="1" t="s">
        <v>74</v>
      </c>
      <c r="AG620" s="1">
        <v>96</v>
      </c>
      <c r="AH620" s="1">
        <v>35</v>
      </c>
      <c r="AI620" s="1">
        <v>35</v>
      </c>
      <c r="AJ620" s="1">
        <v>2</v>
      </c>
      <c r="AK620" s="1">
        <v>40</v>
      </c>
      <c r="AL620" s="1" t="s">
        <v>217</v>
      </c>
      <c r="AM620" s="1" t="s">
        <v>218</v>
      </c>
      <c r="AN620" s="1" t="s">
        <v>219</v>
      </c>
      <c r="AO620" s="1" t="s">
        <v>220</v>
      </c>
      <c r="AP620" s="1" t="s">
        <v>221</v>
      </c>
      <c r="AQ620" s="1" t="s">
        <v>74</v>
      </c>
      <c r="AR620" s="1" t="s">
        <v>222</v>
      </c>
      <c r="AS620" s="1" t="s">
        <v>223</v>
      </c>
      <c r="AT620" s="1" t="s">
        <v>1470</v>
      </c>
      <c r="AU620" s="1">
        <v>2017</v>
      </c>
      <c r="AV620" s="1">
        <v>24</v>
      </c>
      <c r="AW620" s="1">
        <v>1</v>
      </c>
      <c r="AX620" s="1" t="s">
        <v>74</v>
      </c>
      <c r="AY620" s="1" t="s">
        <v>74</v>
      </c>
      <c r="AZ620" s="1" t="s">
        <v>74</v>
      </c>
      <c r="BA620" s="1" t="s">
        <v>74</v>
      </c>
      <c r="BB620" s="1">
        <v>116</v>
      </c>
      <c r="BC620" s="1">
        <v>134</v>
      </c>
      <c r="BD620" s="1" t="s">
        <v>74</v>
      </c>
      <c r="BE620" s="1" t="s">
        <v>10695</v>
      </c>
      <c r="BF620" s="1" t="str">
        <f>HYPERLINK("http://dx.doi.org/10.1007/s11356-016-7951-z","http://dx.doi.org/10.1007/s11356-016-7951-z")</f>
        <v>http://dx.doi.org/10.1007/s11356-016-7951-z</v>
      </c>
      <c r="BG620" s="1" t="s">
        <v>74</v>
      </c>
      <c r="BH620" s="1" t="s">
        <v>74</v>
      </c>
      <c r="BI620" s="1">
        <v>19</v>
      </c>
      <c r="BJ620" s="1" t="s">
        <v>144</v>
      </c>
      <c r="BK620" s="1" t="s">
        <v>96</v>
      </c>
      <c r="BL620" s="1" t="s">
        <v>145</v>
      </c>
      <c r="BM620" s="1" t="s">
        <v>10696</v>
      </c>
      <c r="BN620" s="1">
        <v>27822691</v>
      </c>
      <c r="BO620" s="1" t="s">
        <v>74</v>
      </c>
      <c r="BP620" s="1" t="s">
        <v>74</v>
      </c>
      <c r="BQ620" s="1" t="s">
        <v>74</v>
      </c>
      <c r="BR620" s="1" t="s">
        <v>98</v>
      </c>
      <c r="BS620" s="1" t="s">
        <v>10697</v>
      </c>
      <c r="BT620" s="1" t="str">
        <f>HYPERLINK("https%3A%2F%2Fwww.webofscience.com%2Fwos%2Fwoscc%2Ffull-record%2FWOS:000392105700012","View Full Record in Web of Science")</f>
        <v>View Full Record in Web of Science</v>
      </c>
    </row>
    <row r="621" spans="1:72">
      <c r="A621" s="1" t="s">
        <v>72</v>
      </c>
      <c r="B621" s="1" t="s">
        <v>10698</v>
      </c>
      <c r="C621" s="1" t="s">
        <v>74</v>
      </c>
      <c r="D621" s="1" t="s">
        <v>74</v>
      </c>
      <c r="E621" s="1" t="s">
        <v>74</v>
      </c>
      <c r="F621" s="1" t="s">
        <v>10699</v>
      </c>
      <c r="G621" s="1" t="s">
        <v>74</v>
      </c>
      <c r="H621" s="1" t="s">
        <v>74</v>
      </c>
      <c r="I621" s="1" t="s">
        <v>10700</v>
      </c>
      <c r="J621" s="1" t="s">
        <v>232</v>
      </c>
      <c r="K621" s="1" t="s">
        <v>74</v>
      </c>
      <c r="L621" s="1" t="s">
        <v>74</v>
      </c>
      <c r="M621" s="1" t="s">
        <v>78</v>
      </c>
      <c r="N621" s="1" t="s">
        <v>79</v>
      </c>
      <c r="O621" s="1" t="s">
        <v>74</v>
      </c>
      <c r="P621" s="1" t="s">
        <v>74</v>
      </c>
      <c r="Q621" s="1" t="s">
        <v>74</v>
      </c>
      <c r="R621" s="1" t="s">
        <v>74</v>
      </c>
      <c r="S621" s="1" t="s">
        <v>74</v>
      </c>
      <c r="T621" s="1" t="s">
        <v>10701</v>
      </c>
      <c r="U621" s="1" t="s">
        <v>10702</v>
      </c>
      <c r="V621" s="1" t="s">
        <v>10703</v>
      </c>
      <c r="W621" s="1" t="s">
        <v>10704</v>
      </c>
      <c r="X621" s="1" t="s">
        <v>10705</v>
      </c>
      <c r="Y621" s="1" t="s">
        <v>10706</v>
      </c>
      <c r="Z621" s="1" t="s">
        <v>10707</v>
      </c>
      <c r="AA621" s="1" t="s">
        <v>74</v>
      </c>
      <c r="AB621" s="1" t="s">
        <v>8157</v>
      </c>
      <c r="AC621" s="1" t="s">
        <v>10708</v>
      </c>
      <c r="AD621" s="1" t="s">
        <v>10709</v>
      </c>
      <c r="AE621" s="1" t="s">
        <v>10710</v>
      </c>
      <c r="AF621" s="1" t="s">
        <v>74</v>
      </c>
      <c r="AG621" s="1">
        <v>71</v>
      </c>
      <c r="AH621" s="1">
        <v>58</v>
      </c>
      <c r="AI621" s="1">
        <v>63</v>
      </c>
      <c r="AJ621" s="1">
        <v>0</v>
      </c>
      <c r="AK621" s="1">
        <v>18</v>
      </c>
      <c r="AL621" s="1" t="s">
        <v>136</v>
      </c>
      <c r="AM621" s="1" t="s">
        <v>137</v>
      </c>
      <c r="AN621" s="1" t="s">
        <v>138</v>
      </c>
      <c r="AO621" s="1" t="s">
        <v>240</v>
      </c>
      <c r="AP621" s="1" t="s">
        <v>241</v>
      </c>
      <c r="AQ621" s="1" t="s">
        <v>74</v>
      </c>
      <c r="AR621" s="1" t="s">
        <v>242</v>
      </c>
      <c r="AS621" s="1" t="s">
        <v>243</v>
      </c>
      <c r="AT621" s="1" t="s">
        <v>119</v>
      </c>
      <c r="AU621" s="1">
        <v>2011</v>
      </c>
      <c r="AV621" s="1">
        <v>62</v>
      </c>
      <c r="AW621" s="1">
        <v>8</v>
      </c>
      <c r="AX621" s="1" t="s">
        <v>74</v>
      </c>
      <c r="AY621" s="1" t="s">
        <v>74</v>
      </c>
      <c r="AZ621" s="1" t="s">
        <v>74</v>
      </c>
      <c r="BA621" s="1" t="s">
        <v>74</v>
      </c>
      <c r="BB621" s="1">
        <v>1895</v>
      </c>
      <c r="BC621" s="1">
        <v>1904</v>
      </c>
      <c r="BD621" s="1" t="s">
        <v>74</v>
      </c>
      <c r="BE621" s="1" t="s">
        <v>10711</v>
      </c>
      <c r="BF621" s="1" t="str">
        <f>HYPERLINK("http://dx.doi.org/10.1016/j.marpolbul.2011.05.031","http://dx.doi.org/10.1016/j.marpolbul.2011.05.031")</f>
        <v>http://dx.doi.org/10.1016/j.marpolbul.2011.05.031</v>
      </c>
      <c r="BG621" s="1" t="s">
        <v>74</v>
      </c>
      <c r="BH621" s="1" t="s">
        <v>74</v>
      </c>
      <c r="BI621" s="1">
        <v>10</v>
      </c>
      <c r="BJ621" s="1" t="s">
        <v>247</v>
      </c>
      <c r="BK621" s="1" t="s">
        <v>96</v>
      </c>
      <c r="BL621" s="1" t="s">
        <v>248</v>
      </c>
      <c r="BM621" s="1" t="s">
        <v>10712</v>
      </c>
      <c r="BN621" s="1">
        <v>21704346</v>
      </c>
      <c r="BO621" s="1" t="s">
        <v>1752</v>
      </c>
      <c r="BP621" s="1" t="s">
        <v>74</v>
      </c>
      <c r="BQ621" s="1" t="s">
        <v>74</v>
      </c>
      <c r="BR621" s="1" t="s">
        <v>98</v>
      </c>
      <c r="BS621" s="1" t="s">
        <v>10713</v>
      </c>
      <c r="BT621" s="1" t="str">
        <f>HYPERLINK("https%3A%2F%2Fwww.webofscience.com%2Fwos%2Fwoscc%2Ffull-record%2FWOS:000294039000051","View Full Record in Web of Science")</f>
        <v>View Full Record in Web of Science</v>
      </c>
    </row>
    <row r="622" spans="1:72">
      <c r="A622" s="1" t="s">
        <v>72</v>
      </c>
      <c r="B622" s="1" t="s">
        <v>10714</v>
      </c>
      <c r="C622" s="1" t="s">
        <v>74</v>
      </c>
      <c r="D622" s="1" t="s">
        <v>74</v>
      </c>
      <c r="E622" s="1" t="s">
        <v>74</v>
      </c>
      <c r="F622" s="1" t="s">
        <v>10715</v>
      </c>
      <c r="G622" s="1" t="s">
        <v>74</v>
      </c>
      <c r="H622" s="1" t="s">
        <v>74</v>
      </c>
      <c r="I622" s="1" t="s">
        <v>10716</v>
      </c>
      <c r="J622" s="1" t="s">
        <v>1730</v>
      </c>
      <c r="K622" s="1" t="s">
        <v>74</v>
      </c>
      <c r="L622" s="1" t="s">
        <v>74</v>
      </c>
      <c r="M622" s="1" t="s">
        <v>78</v>
      </c>
      <c r="N622" s="1" t="s">
        <v>79</v>
      </c>
      <c r="O622" s="1" t="s">
        <v>74</v>
      </c>
      <c r="P622" s="1" t="s">
        <v>74</v>
      </c>
      <c r="Q622" s="1" t="s">
        <v>74</v>
      </c>
      <c r="R622" s="1" t="s">
        <v>74</v>
      </c>
      <c r="S622" s="1" t="s">
        <v>74</v>
      </c>
      <c r="T622" s="1" t="s">
        <v>10717</v>
      </c>
      <c r="U622" s="1" t="s">
        <v>10718</v>
      </c>
      <c r="V622" s="1" t="s">
        <v>10719</v>
      </c>
      <c r="W622" s="1" t="s">
        <v>10720</v>
      </c>
      <c r="X622" s="1" t="s">
        <v>10721</v>
      </c>
      <c r="Y622" s="1" t="s">
        <v>10722</v>
      </c>
      <c r="Z622" s="1" t="s">
        <v>7796</v>
      </c>
      <c r="AA622" s="1" t="s">
        <v>74</v>
      </c>
      <c r="AB622" s="1" t="s">
        <v>9123</v>
      </c>
      <c r="AC622" s="1" t="s">
        <v>74</v>
      </c>
      <c r="AD622" s="1" t="s">
        <v>74</v>
      </c>
      <c r="AE622" s="1" t="s">
        <v>74</v>
      </c>
      <c r="AF622" s="1" t="s">
        <v>74</v>
      </c>
      <c r="AG622" s="1">
        <v>43</v>
      </c>
      <c r="AH622" s="1">
        <v>7</v>
      </c>
      <c r="AI622" s="1">
        <v>7</v>
      </c>
      <c r="AJ622" s="1">
        <v>0</v>
      </c>
      <c r="AK622" s="1">
        <v>6</v>
      </c>
      <c r="AL622" s="1" t="s">
        <v>1743</v>
      </c>
      <c r="AM622" s="1" t="s">
        <v>1744</v>
      </c>
      <c r="AN622" s="1" t="s">
        <v>1745</v>
      </c>
      <c r="AO622" s="1" t="s">
        <v>1746</v>
      </c>
      <c r="AP622" s="1" t="s">
        <v>1747</v>
      </c>
      <c r="AQ622" s="1" t="s">
        <v>74</v>
      </c>
      <c r="AR622" s="1" t="s">
        <v>1748</v>
      </c>
      <c r="AS622" s="1" t="s">
        <v>1749</v>
      </c>
      <c r="AT622" s="1" t="s">
        <v>74</v>
      </c>
      <c r="AU622" s="1">
        <v>2009</v>
      </c>
      <c r="AV622" s="1">
        <v>5</v>
      </c>
      <c r="AW622" s="1">
        <v>5</v>
      </c>
      <c r="AX622" s="1" t="s">
        <v>74</v>
      </c>
      <c r="AY622" s="1" t="s">
        <v>74</v>
      </c>
      <c r="AZ622" s="1" t="s">
        <v>74</v>
      </c>
      <c r="BA622" s="1" t="s">
        <v>74</v>
      </c>
      <c r="BB622" s="1">
        <v>478</v>
      </c>
      <c r="BC622" s="1">
        <v>486</v>
      </c>
      <c r="BD622" s="1" t="s">
        <v>74</v>
      </c>
      <c r="BE622" s="1" t="s">
        <v>10723</v>
      </c>
      <c r="BF622" s="1" t="str">
        <f>HYPERLINK("http://dx.doi.org/10.1080/17451000802683985","http://dx.doi.org/10.1080/17451000802683985")</f>
        <v>http://dx.doi.org/10.1080/17451000802683985</v>
      </c>
      <c r="BG622" s="1" t="s">
        <v>74</v>
      </c>
      <c r="BH622" s="1" t="s">
        <v>74</v>
      </c>
      <c r="BI622" s="1">
        <v>9</v>
      </c>
      <c r="BJ622" s="1" t="s">
        <v>1292</v>
      </c>
      <c r="BK622" s="1" t="s">
        <v>96</v>
      </c>
      <c r="BL622" s="1" t="s">
        <v>248</v>
      </c>
      <c r="BM622" s="1" t="s">
        <v>10724</v>
      </c>
      <c r="BN622" s="1" t="s">
        <v>74</v>
      </c>
      <c r="BO622" s="1" t="s">
        <v>74</v>
      </c>
      <c r="BP622" s="1" t="s">
        <v>74</v>
      </c>
      <c r="BQ622" s="1" t="s">
        <v>74</v>
      </c>
      <c r="BR622" s="1" t="s">
        <v>98</v>
      </c>
      <c r="BS622" s="1" t="s">
        <v>10725</v>
      </c>
      <c r="BT622" s="1" t="str">
        <f>HYPERLINK("https%3A%2F%2Fwww.webofscience.com%2Fwos%2Fwoscc%2Ffull-record%2FWOS:000269785900007","View Full Record in Web of Science")</f>
        <v>View Full Record in Web of Science</v>
      </c>
    </row>
    <row r="623" spans="1:72">
      <c r="A623" s="1" t="s">
        <v>72</v>
      </c>
      <c r="B623" s="1" t="s">
        <v>10726</v>
      </c>
      <c r="C623" s="1" t="s">
        <v>74</v>
      </c>
      <c r="D623" s="1" t="s">
        <v>74</v>
      </c>
      <c r="E623" s="1" t="s">
        <v>74</v>
      </c>
      <c r="F623" s="1" t="s">
        <v>10727</v>
      </c>
      <c r="G623" s="1" t="s">
        <v>74</v>
      </c>
      <c r="H623" s="1" t="s">
        <v>74</v>
      </c>
      <c r="I623" s="1" t="s">
        <v>10728</v>
      </c>
      <c r="J623" s="1" t="s">
        <v>595</v>
      </c>
      <c r="K623" s="1" t="s">
        <v>74</v>
      </c>
      <c r="L623" s="1" t="s">
        <v>74</v>
      </c>
      <c r="M623" s="1" t="s">
        <v>78</v>
      </c>
      <c r="N623" s="1" t="s">
        <v>79</v>
      </c>
      <c r="O623" s="1" t="s">
        <v>74</v>
      </c>
      <c r="P623" s="1" t="s">
        <v>74</v>
      </c>
      <c r="Q623" s="1" t="s">
        <v>74</v>
      </c>
      <c r="R623" s="1" t="s">
        <v>74</v>
      </c>
      <c r="S623" s="1" t="s">
        <v>74</v>
      </c>
      <c r="T623" s="1" t="s">
        <v>10729</v>
      </c>
      <c r="U623" s="1" t="s">
        <v>10730</v>
      </c>
      <c r="V623" s="1" t="s">
        <v>10731</v>
      </c>
      <c r="W623" s="1" t="s">
        <v>10732</v>
      </c>
      <c r="X623" s="1" t="s">
        <v>10721</v>
      </c>
      <c r="Y623" s="1" t="s">
        <v>10733</v>
      </c>
      <c r="Z623" s="1" t="s">
        <v>10734</v>
      </c>
      <c r="AA623" s="1" t="s">
        <v>74</v>
      </c>
      <c r="AB623" s="1" t="s">
        <v>2507</v>
      </c>
      <c r="AC623" s="1" t="s">
        <v>74</v>
      </c>
      <c r="AD623" s="1" t="s">
        <v>74</v>
      </c>
      <c r="AE623" s="1" t="s">
        <v>74</v>
      </c>
      <c r="AF623" s="1" t="s">
        <v>74</v>
      </c>
      <c r="AG623" s="1">
        <v>56</v>
      </c>
      <c r="AH623" s="1">
        <v>37</v>
      </c>
      <c r="AI623" s="1">
        <v>44</v>
      </c>
      <c r="AJ623" s="1">
        <v>0</v>
      </c>
      <c r="AK623" s="1">
        <v>6</v>
      </c>
      <c r="AL623" s="1" t="s">
        <v>112</v>
      </c>
      <c r="AM623" s="1" t="s">
        <v>191</v>
      </c>
      <c r="AN623" s="1" t="s">
        <v>192</v>
      </c>
      <c r="AO623" s="1" t="s">
        <v>608</v>
      </c>
      <c r="AP623" s="1" t="s">
        <v>609</v>
      </c>
      <c r="AQ623" s="1" t="s">
        <v>74</v>
      </c>
      <c r="AR623" s="1" t="s">
        <v>595</v>
      </c>
      <c r="AS623" s="1" t="s">
        <v>610</v>
      </c>
      <c r="AT623" s="1" t="s">
        <v>1470</v>
      </c>
      <c r="AU623" s="1">
        <v>2008</v>
      </c>
      <c r="AV623" s="1">
        <v>17</v>
      </c>
      <c r="AW623" s="1">
        <v>1</v>
      </c>
      <c r="AX623" s="1" t="s">
        <v>74</v>
      </c>
      <c r="AY623" s="1" t="s">
        <v>74</v>
      </c>
      <c r="AZ623" s="1" t="s">
        <v>74</v>
      </c>
      <c r="BA623" s="1" t="s">
        <v>74</v>
      </c>
      <c r="BB623" s="1">
        <v>1</v>
      </c>
      <c r="BC623" s="1">
        <v>11</v>
      </c>
      <c r="BD623" s="1" t="s">
        <v>74</v>
      </c>
      <c r="BE623" s="1" t="s">
        <v>10735</v>
      </c>
      <c r="BF623" s="1" t="str">
        <f>HYPERLINK("http://dx.doi.org/10.1007/s10646-007-0166-9","http://dx.doi.org/10.1007/s10646-007-0166-9")</f>
        <v>http://dx.doi.org/10.1007/s10646-007-0166-9</v>
      </c>
      <c r="BG623" s="1" t="s">
        <v>74</v>
      </c>
      <c r="BH623" s="1" t="s">
        <v>74</v>
      </c>
      <c r="BI623" s="1">
        <v>11</v>
      </c>
      <c r="BJ623" s="1" t="s">
        <v>612</v>
      </c>
      <c r="BK623" s="1" t="s">
        <v>96</v>
      </c>
      <c r="BL623" s="1" t="s">
        <v>122</v>
      </c>
      <c r="BM623" s="1" t="s">
        <v>10736</v>
      </c>
      <c r="BN623" s="1">
        <v>18060580</v>
      </c>
      <c r="BO623" s="1" t="s">
        <v>74</v>
      </c>
      <c r="BP623" s="1" t="s">
        <v>74</v>
      </c>
      <c r="BQ623" s="1" t="s">
        <v>74</v>
      </c>
      <c r="BR623" s="1" t="s">
        <v>98</v>
      </c>
      <c r="BS623" s="1" t="s">
        <v>10737</v>
      </c>
      <c r="BT623" s="1" t="str">
        <f>HYPERLINK("https%3A%2F%2Fwww.webofscience.com%2Fwos%2Fwoscc%2Ffull-record%2FWOS:000251970100001","View Full Record in Web of Science")</f>
        <v>View Full Record in Web of Science</v>
      </c>
    </row>
    <row r="624" spans="1:72">
      <c r="A624" s="1" t="s">
        <v>72</v>
      </c>
      <c r="B624" s="1" t="s">
        <v>10738</v>
      </c>
      <c r="C624" s="1" t="s">
        <v>74</v>
      </c>
      <c r="D624" s="1" t="s">
        <v>74</v>
      </c>
      <c r="E624" s="1" t="s">
        <v>74</v>
      </c>
      <c r="F624" s="1" t="s">
        <v>10739</v>
      </c>
      <c r="G624" s="1" t="s">
        <v>74</v>
      </c>
      <c r="H624" s="1" t="s">
        <v>74</v>
      </c>
      <c r="I624" s="1" t="s">
        <v>10740</v>
      </c>
      <c r="J624" s="1" t="s">
        <v>7660</v>
      </c>
      <c r="K624" s="1" t="s">
        <v>74</v>
      </c>
      <c r="L624" s="1" t="s">
        <v>74</v>
      </c>
      <c r="M624" s="1" t="s">
        <v>78</v>
      </c>
      <c r="N624" s="1" t="s">
        <v>79</v>
      </c>
      <c r="O624" s="1" t="s">
        <v>74</v>
      </c>
      <c r="P624" s="1" t="s">
        <v>74</v>
      </c>
      <c r="Q624" s="1" t="s">
        <v>74</v>
      </c>
      <c r="R624" s="1" t="s">
        <v>74</v>
      </c>
      <c r="S624" s="1" t="s">
        <v>74</v>
      </c>
      <c r="T624" s="1" t="s">
        <v>10741</v>
      </c>
      <c r="U624" s="1" t="s">
        <v>10742</v>
      </c>
      <c r="V624" s="1" t="s">
        <v>10743</v>
      </c>
      <c r="W624" s="1" t="s">
        <v>10744</v>
      </c>
      <c r="X624" s="1" t="s">
        <v>10745</v>
      </c>
      <c r="Y624" s="1" t="s">
        <v>10746</v>
      </c>
      <c r="Z624" s="1" t="s">
        <v>10747</v>
      </c>
      <c r="AA624" s="1" t="s">
        <v>74</v>
      </c>
      <c r="AB624" s="1" t="s">
        <v>10748</v>
      </c>
      <c r="AC624" s="1" t="s">
        <v>74</v>
      </c>
      <c r="AD624" s="1" t="s">
        <v>74</v>
      </c>
      <c r="AE624" s="1" t="s">
        <v>74</v>
      </c>
      <c r="AF624" s="1" t="s">
        <v>74</v>
      </c>
      <c r="AG624" s="1">
        <v>46</v>
      </c>
      <c r="AH624" s="1">
        <v>24</v>
      </c>
      <c r="AI624" s="1">
        <v>31</v>
      </c>
      <c r="AJ624" s="1">
        <v>0</v>
      </c>
      <c r="AK624" s="1">
        <v>12</v>
      </c>
      <c r="AL624" s="1" t="s">
        <v>112</v>
      </c>
      <c r="AM624" s="1" t="s">
        <v>191</v>
      </c>
      <c r="AN624" s="1" t="s">
        <v>192</v>
      </c>
      <c r="AO624" s="1" t="s">
        <v>7669</v>
      </c>
      <c r="AP624" s="1" t="s">
        <v>10749</v>
      </c>
      <c r="AQ624" s="1" t="s">
        <v>74</v>
      </c>
      <c r="AR624" s="1" t="s">
        <v>7660</v>
      </c>
      <c r="AS624" s="1" t="s">
        <v>7670</v>
      </c>
      <c r="AT624" s="1" t="s">
        <v>197</v>
      </c>
      <c r="AU624" s="1">
        <v>2006</v>
      </c>
      <c r="AV624" s="1">
        <v>19</v>
      </c>
      <c r="AW624" s="1">
        <v>6</v>
      </c>
      <c r="AX624" s="1" t="s">
        <v>74</v>
      </c>
      <c r="AY624" s="1" t="s">
        <v>74</v>
      </c>
      <c r="AZ624" s="1" t="s">
        <v>74</v>
      </c>
      <c r="BA624" s="1" t="s">
        <v>74</v>
      </c>
      <c r="BB624" s="1">
        <v>659</v>
      </c>
      <c r="BC624" s="1">
        <v>673</v>
      </c>
      <c r="BD624" s="1" t="s">
        <v>74</v>
      </c>
      <c r="BE624" s="1" t="s">
        <v>10750</v>
      </c>
      <c r="BF624" s="1" t="str">
        <f>HYPERLINK("http://dx.doi.org/10.1007/s10534-006-9003-5","http://dx.doi.org/10.1007/s10534-006-9003-5")</f>
        <v>http://dx.doi.org/10.1007/s10534-006-9003-5</v>
      </c>
      <c r="BG624" s="1" t="s">
        <v>74</v>
      </c>
      <c r="BH624" s="1" t="s">
        <v>74</v>
      </c>
      <c r="BI624" s="1">
        <v>15</v>
      </c>
      <c r="BJ624" s="1" t="s">
        <v>3805</v>
      </c>
      <c r="BK624" s="1" t="s">
        <v>96</v>
      </c>
      <c r="BL624" s="1" t="s">
        <v>3805</v>
      </c>
      <c r="BM624" s="1" t="s">
        <v>10751</v>
      </c>
      <c r="BN624" s="1">
        <v>17043754</v>
      </c>
      <c r="BO624" s="1" t="s">
        <v>74</v>
      </c>
      <c r="BP624" s="1" t="s">
        <v>74</v>
      </c>
      <c r="BQ624" s="1" t="s">
        <v>74</v>
      </c>
      <c r="BR624" s="1" t="s">
        <v>98</v>
      </c>
      <c r="BS624" s="1" t="s">
        <v>10752</v>
      </c>
      <c r="BT624" s="1" t="str">
        <f>HYPERLINK("https%3A%2F%2Fwww.webofscience.com%2Fwos%2Fwoscc%2Ffull-record%2FWOS:000241791300007","View Full Record in Web of Science")</f>
        <v>View Full Record in Web of Science</v>
      </c>
    </row>
    <row r="625" spans="1:72">
      <c r="A625" s="1" t="s">
        <v>72</v>
      </c>
      <c r="B625" s="1" t="s">
        <v>10753</v>
      </c>
      <c r="C625" s="1" t="s">
        <v>74</v>
      </c>
      <c r="D625" s="1" t="s">
        <v>74</v>
      </c>
      <c r="E625" s="1" t="s">
        <v>74</v>
      </c>
      <c r="F625" s="1" t="s">
        <v>10754</v>
      </c>
      <c r="G625" s="1" t="s">
        <v>74</v>
      </c>
      <c r="H625" s="1" t="s">
        <v>74</v>
      </c>
      <c r="I625" s="1" t="s">
        <v>10755</v>
      </c>
      <c r="J625" s="1" t="s">
        <v>103</v>
      </c>
      <c r="K625" s="1" t="s">
        <v>74</v>
      </c>
      <c r="L625" s="1" t="s">
        <v>74</v>
      </c>
      <c r="M625" s="1" t="s">
        <v>78</v>
      </c>
      <c r="N625" s="1" t="s">
        <v>79</v>
      </c>
      <c r="O625" s="1" t="s">
        <v>74</v>
      </c>
      <c r="P625" s="1" t="s">
        <v>74</v>
      </c>
      <c r="Q625" s="1" t="s">
        <v>74</v>
      </c>
      <c r="R625" s="1" t="s">
        <v>74</v>
      </c>
      <c r="S625" s="1" t="s">
        <v>74</v>
      </c>
      <c r="T625" s="1" t="s">
        <v>10756</v>
      </c>
      <c r="U625" s="1" t="s">
        <v>10757</v>
      </c>
      <c r="V625" s="1" t="s">
        <v>10758</v>
      </c>
      <c r="W625" s="1" t="s">
        <v>10759</v>
      </c>
      <c r="X625" s="1" t="s">
        <v>10760</v>
      </c>
      <c r="Y625" s="1" t="s">
        <v>10761</v>
      </c>
      <c r="Z625" s="1" t="s">
        <v>10762</v>
      </c>
      <c r="AA625" s="1" t="s">
        <v>10763</v>
      </c>
      <c r="AB625" s="1" t="s">
        <v>10764</v>
      </c>
      <c r="AC625" s="1" t="s">
        <v>10765</v>
      </c>
      <c r="AD625" s="1" t="s">
        <v>10766</v>
      </c>
      <c r="AE625" s="1" t="s">
        <v>10767</v>
      </c>
      <c r="AF625" s="1" t="s">
        <v>74</v>
      </c>
      <c r="AG625" s="1">
        <v>28</v>
      </c>
      <c r="AH625" s="1">
        <v>54</v>
      </c>
      <c r="AI625" s="1">
        <v>67</v>
      </c>
      <c r="AJ625" s="1">
        <v>2</v>
      </c>
      <c r="AK625" s="1">
        <v>83</v>
      </c>
      <c r="AL625" s="1" t="s">
        <v>112</v>
      </c>
      <c r="AM625" s="1" t="s">
        <v>113</v>
      </c>
      <c r="AN625" s="1" t="s">
        <v>469</v>
      </c>
      <c r="AO625" s="1" t="s">
        <v>115</v>
      </c>
      <c r="AP625" s="1" t="s">
        <v>116</v>
      </c>
      <c r="AQ625" s="1" t="s">
        <v>74</v>
      </c>
      <c r="AR625" s="1" t="s">
        <v>117</v>
      </c>
      <c r="AS625" s="1" t="s">
        <v>118</v>
      </c>
      <c r="AT625" s="1" t="s">
        <v>93</v>
      </c>
      <c r="AU625" s="1">
        <v>2010</v>
      </c>
      <c r="AV625" s="1">
        <v>84</v>
      </c>
      <c r="AW625" s="1">
        <v>4</v>
      </c>
      <c r="AX625" s="1" t="s">
        <v>74</v>
      </c>
      <c r="AY625" s="1" t="s">
        <v>74</v>
      </c>
      <c r="AZ625" s="1" t="s">
        <v>74</v>
      </c>
      <c r="BA625" s="1" t="s">
        <v>74</v>
      </c>
      <c r="BB625" s="1">
        <v>482</v>
      </c>
      <c r="BC625" s="1">
        <v>487</v>
      </c>
      <c r="BD625" s="1" t="s">
        <v>74</v>
      </c>
      <c r="BE625" s="1" t="s">
        <v>10768</v>
      </c>
      <c r="BF625" s="1" t="str">
        <f>HYPERLINK("http://dx.doi.org/10.1007/s00128-010-9971-6","http://dx.doi.org/10.1007/s00128-010-9971-6")</f>
        <v>http://dx.doi.org/10.1007/s00128-010-9971-6</v>
      </c>
      <c r="BG625" s="1" t="s">
        <v>74</v>
      </c>
      <c r="BH625" s="1" t="s">
        <v>74</v>
      </c>
      <c r="BI625" s="1">
        <v>6</v>
      </c>
      <c r="BJ625" s="1" t="s">
        <v>121</v>
      </c>
      <c r="BK625" s="1" t="s">
        <v>96</v>
      </c>
      <c r="BL625" s="1" t="s">
        <v>122</v>
      </c>
      <c r="BM625" s="1" t="s">
        <v>10769</v>
      </c>
      <c r="BN625" s="1">
        <v>20306170</v>
      </c>
      <c r="BO625" s="1" t="s">
        <v>74</v>
      </c>
      <c r="BP625" s="1" t="s">
        <v>74</v>
      </c>
      <c r="BQ625" s="1" t="s">
        <v>74</v>
      </c>
      <c r="BR625" s="1" t="s">
        <v>98</v>
      </c>
      <c r="BS625" s="1" t="s">
        <v>10770</v>
      </c>
      <c r="BT625" s="1" t="str">
        <f>HYPERLINK("https%3A%2F%2Fwww.webofscience.com%2Fwos%2Fwoscc%2Ffull-record%2FWOS:000276740000024","View Full Record in Web of Science")</f>
        <v>View Full Record in Web of Science</v>
      </c>
    </row>
    <row r="626" spans="1:72">
      <c r="A626" s="1" t="s">
        <v>72</v>
      </c>
      <c r="B626" s="1" t="s">
        <v>10771</v>
      </c>
      <c r="C626" s="1" t="s">
        <v>74</v>
      </c>
      <c r="D626" s="1" t="s">
        <v>74</v>
      </c>
      <c r="E626" s="1" t="s">
        <v>74</v>
      </c>
      <c r="F626" s="1" t="s">
        <v>10772</v>
      </c>
      <c r="G626" s="1" t="s">
        <v>74</v>
      </c>
      <c r="H626" s="1" t="s">
        <v>74</v>
      </c>
      <c r="I626" s="1" t="s">
        <v>10773</v>
      </c>
      <c r="J626" s="1" t="s">
        <v>204</v>
      </c>
      <c r="K626" s="1" t="s">
        <v>74</v>
      </c>
      <c r="L626" s="1" t="s">
        <v>74</v>
      </c>
      <c r="M626" s="1" t="s">
        <v>78</v>
      </c>
      <c r="N626" s="1" t="s">
        <v>79</v>
      </c>
      <c r="O626" s="1" t="s">
        <v>74</v>
      </c>
      <c r="P626" s="1" t="s">
        <v>74</v>
      </c>
      <c r="Q626" s="1" t="s">
        <v>74</v>
      </c>
      <c r="R626" s="1" t="s">
        <v>74</v>
      </c>
      <c r="S626" s="1" t="s">
        <v>74</v>
      </c>
      <c r="T626" s="1" t="s">
        <v>10774</v>
      </c>
      <c r="U626" s="1" t="s">
        <v>10775</v>
      </c>
      <c r="V626" s="1" t="s">
        <v>10776</v>
      </c>
      <c r="W626" s="1" t="s">
        <v>10777</v>
      </c>
      <c r="X626" s="1" t="s">
        <v>10778</v>
      </c>
      <c r="Y626" s="1" t="s">
        <v>10779</v>
      </c>
      <c r="Z626" s="1" t="s">
        <v>10780</v>
      </c>
      <c r="AA626" s="1" t="s">
        <v>10781</v>
      </c>
      <c r="AB626" s="1" t="s">
        <v>10782</v>
      </c>
      <c r="AC626" s="1" t="s">
        <v>10783</v>
      </c>
      <c r="AD626" s="1" t="s">
        <v>10783</v>
      </c>
      <c r="AE626" s="1" t="s">
        <v>10784</v>
      </c>
      <c r="AF626" s="1" t="s">
        <v>74</v>
      </c>
      <c r="AG626" s="1">
        <v>34</v>
      </c>
      <c r="AH626" s="1">
        <v>33</v>
      </c>
      <c r="AI626" s="1">
        <v>38</v>
      </c>
      <c r="AJ626" s="1">
        <v>0</v>
      </c>
      <c r="AK626" s="1">
        <v>68</v>
      </c>
      <c r="AL626" s="1" t="s">
        <v>217</v>
      </c>
      <c r="AM626" s="1" t="s">
        <v>218</v>
      </c>
      <c r="AN626" s="1" t="s">
        <v>219</v>
      </c>
      <c r="AO626" s="1" t="s">
        <v>220</v>
      </c>
      <c r="AP626" s="1" t="s">
        <v>221</v>
      </c>
      <c r="AQ626" s="1" t="s">
        <v>74</v>
      </c>
      <c r="AR626" s="1" t="s">
        <v>222</v>
      </c>
      <c r="AS626" s="1" t="s">
        <v>223</v>
      </c>
      <c r="AT626" s="1" t="s">
        <v>1223</v>
      </c>
      <c r="AU626" s="1">
        <v>2017</v>
      </c>
      <c r="AV626" s="1">
        <v>24</v>
      </c>
      <c r="AW626" s="1">
        <v>8</v>
      </c>
      <c r="AX626" s="1" t="s">
        <v>74</v>
      </c>
      <c r="AY626" s="1" t="s">
        <v>74</v>
      </c>
      <c r="AZ626" s="1" t="s">
        <v>74</v>
      </c>
      <c r="BA626" s="1" t="s">
        <v>74</v>
      </c>
      <c r="BB626" s="1">
        <v>7177</v>
      </c>
      <c r="BC626" s="1">
        <v>7183</v>
      </c>
      <c r="BD626" s="1" t="s">
        <v>74</v>
      </c>
      <c r="BE626" s="1" t="s">
        <v>10785</v>
      </c>
      <c r="BF626" s="1" t="str">
        <f>HYPERLINK("http://dx.doi.org/10.1007/s11356-016-8330-5","http://dx.doi.org/10.1007/s11356-016-8330-5")</f>
        <v>http://dx.doi.org/10.1007/s11356-016-8330-5</v>
      </c>
      <c r="BG626" s="1" t="s">
        <v>74</v>
      </c>
      <c r="BH626" s="1" t="s">
        <v>74</v>
      </c>
      <c r="BI626" s="1">
        <v>7</v>
      </c>
      <c r="BJ626" s="1" t="s">
        <v>144</v>
      </c>
      <c r="BK626" s="1" t="s">
        <v>96</v>
      </c>
      <c r="BL626" s="1" t="s">
        <v>145</v>
      </c>
      <c r="BM626" s="1" t="s">
        <v>10786</v>
      </c>
      <c r="BN626" s="1">
        <v>28097482</v>
      </c>
      <c r="BO626" s="1" t="s">
        <v>74</v>
      </c>
      <c r="BP626" s="1" t="s">
        <v>74</v>
      </c>
      <c r="BQ626" s="1" t="s">
        <v>74</v>
      </c>
      <c r="BR626" s="1" t="s">
        <v>98</v>
      </c>
      <c r="BS626" s="1" t="s">
        <v>10787</v>
      </c>
      <c r="BT626" s="1" t="str">
        <f>HYPERLINK("https%3A%2F%2Fwww.webofscience.com%2Fwos%2Fwoscc%2Ffull-record%2FWOS:000399164600026","View Full Record in Web of Science")</f>
        <v>View Full Record in Web of Science</v>
      </c>
    </row>
    <row r="627" spans="1:72">
      <c r="A627" s="1" t="s">
        <v>72</v>
      </c>
      <c r="B627" s="1" t="s">
        <v>10788</v>
      </c>
      <c r="C627" s="1" t="s">
        <v>74</v>
      </c>
      <c r="D627" s="1" t="s">
        <v>74</v>
      </c>
      <c r="E627" s="1" t="s">
        <v>74</v>
      </c>
      <c r="F627" s="1" t="s">
        <v>10789</v>
      </c>
      <c r="G627" s="1" t="s">
        <v>74</v>
      </c>
      <c r="H627" s="1" t="s">
        <v>74</v>
      </c>
      <c r="I627" s="1" t="s">
        <v>10790</v>
      </c>
      <c r="J627" s="1" t="s">
        <v>103</v>
      </c>
      <c r="K627" s="1" t="s">
        <v>74</v>
      </c>
      <c r="L627" s="1" t="s">
        <v>74</v>
      </c>
      <c r="M627" s="1" t="s">
        <v>78</v>
      </c>
      <c r="N627" s="1" t="s">
        <v>79</v>
      </c>
      <c r="O627" s="1" t="s">
        <v>74</v>
      </c>
      <c r="P627" s="1" t="s">
        <v>74</v>
      </c>
      <c r="Q627" s="1" t="s">
        <v>74</v>
      </c>
      <c r="R627" s="1" t="s">
        <v>74</v>
      </c>
      <c r="S627" s="1" t="s">
        <v>74</v>
      </c>
      <c r="T627" s="1" t="s">
        <v>10791</v>
      </c>
      <c r="U627" s="1" t="s">
        <v>10792</v>
      </c>
      <c r="V627" s="1" t="s">
        <v>10793</v>
      </c>
      <c r="W627" s="1" t="s">
        <v>10794</v>
      </c>
      <c r="X627" s="1" t="s">
        <v>10795</v>
      </c>
      <c r="Y627" s="1" t="s">
        <v>10796</v>
      </c>
      <c r="Z627" s="1" t="s">
        <v>3174</v>
      </c>
      <c r="AA627" s="1" t="s">
        <v>74</v>
      </c>
      <c r="AB627" s="1" t="s">
        <v>74</v>
      </c>
      <c r="AC627" s="1" t="s">
        <v>10797</v>
      </c>
      <c r="AD627" s="1" t="s">
        <v>10798</v>
      </c>
      <c r="AE627" s="1" t="s">
        <v>10799</v>
      </c>
      <c r="AF627" s="1" t="s">
        <v>74</v>
      </c>
      <c r="AG627" s="1">
        <v>42</v>
      </c>
      <c r="AH627" s="1">
        <v>0</v>
      </c>
      <c r="AI627" s="1">
        <v>0</v>
      </c>
      <c r="AJ627" s="1">
        <v>4</v>
      </c>
      <c r="AK627" s="1">
        <v>5</v>
      </c>
      <c r="AL627" s="1" t="s">
        <v>112</v>
      </c>
      <c r="AM627" s="1" t="s">
        <v>113</v>
      </c>
      <c r="AN627" s="1" t="s">
        <v>114</v>
      </c>
      <c r="AO627" s="1" t="s">
        <v>115</v>
      </c>
      <c r="AP627" s="1" t="s">
        <v>116</v>
      </c>
      <c r="AQ627" s="1" t="s">
        <v>74</v>
      </c>
      <c r="AR627" s="1" t="s">
        <v>117</v>
      </c>
      <c r="AS627" s="1" t="s">
        <v>118</v>
      </c>
      <c r="AT627" s="1" t="s">
        <v>1223</v>
      </c>
      <c r="AU627" s="1">
        <v>2024</v>
      </c>
      <c r="AV627" s="1">
        <v>112</v>
      </c>
      <c r="AW627" s="1">
        <v>3</v>
      </c>
      <c r="AX627" s="1" t="s">
        <v>74</v>
      </c>
      <c r="AY627" s="1" t="s">
        <v>74</v>
      </c>
      <c r="AZ627" s="1" t="s">
        <v>74</v>
      </c>
      <c r="BA627" s="1" t="s">
        <v>74</v>
      </c>
      <c r="BB627" s="1" t="s">
        <v>74</v>
      </c>
      <c r="BC627" s="1" t="s">
        <v>74</v>
      </c>
      <c r="BD627" s="1">
        <v>43</v>
      </c>
      <c r="BE627" s="1" t="s">
        <v>10800</v>
      </c>
      <c r="BF627" s="1" t="str">
        <f>HYPERLINK("http://dx.doi.org/10.1007/s00128-024-03869-y","http://dx.doi.org/10.1007/s00128-024-03869-y")</f>
        <v>http://dx.doi.org/10.1007/s00128-024-03869-y</v>
      </c>
      <c r="BG627" s="1" t="s">
        <v>74</v>
      </c>
      <c r="BH627" s="1" t="s">
        <v>74</v>
      </c>
      <c r="BI627" s="1">
        <v>7</v>
      </c>
      <c r="BJ627" s="1" t="s">
        <v>121</v>
      </c>
      <c r="BK627" s="1" t="s">
        <v>96</v>
      </c>
      <c r="BL627" s="1" t="s">
        <v>122</v>
      </c>
      <c r="BM627" s="1" t="s">
        <v>10801</v>
      </c>
      <c r="BN627" s="1">
        <v>38409431</v>
      </c>
      <c r="BO627" s="1" t="s">
        <v>74</v>
      </c>
      <c r="BP627" s="1" t="s">
        <v>74</v>
      </c>
      <c r="BQ627" s="1" t="s">
        <v>74</v>
      </c>
      <c r="BR627" s="1" t="s">
        <v>98</v>
      </c>
      <c r="BS627" s="1" t="s">
        <v>10802</v>
      </c>
      <c r="BT627" s="1" t="str">
        <f>HYPERLINK("https%3A%2F%2Fwww.webofscience.com%2Fwos%2Fwoscc%2Ffull-record%2FWOS:001171843100001","View Full Record in Web of Science")</f>
        <v>View Full Record in Web of Science</v>
      </c>
    </row>
    <row r="628" spans="1:72">
      <c r="A628" s="1" t="s">
        <v>72</v>
      </c>
      <c r="B628" s="1" t="s">
        <v>10803</v>
      </c>
      <c r="C628" s="1" t="s">
        <v>74</v>
      </c>
      <c r="D628" s="1" t="s">
        <v>74</v>
      </c>
      <c r="E628" s="1" t="s">
        <v>74</v>
      </c>
      <c r="F628" s="1" t="s">
        <v>10803</v>
      </c>
      <c r="G628" s="1" t="s">
        <v>74</v>
      </c>
      <c r="H628" s="1" t="s">
        <v>74</v>
      </c>
      <c r="I628" s="1" t="s">
        <v>10804</v>
      </c>
      <c r="J628" s="1" t="s">
        <v>232</v>
      </c>
      <c r="K628" s="1" t="s">
        <v>74</v>
      </c>
      <c r="L628" s="1" t="s">
        <v>74</v>
      </c>
      <c r="M628" s="1" t="s">
        <v>78</v>
      </c>
      <c r="N628" s="1" t="s">
        <v>79</v>
      </c>
      <c r="O628" s="1" t="s">
        <v>74</v>
      </c>
      <c r="P628" s="1" t="s">
        <v>74</v>
      </c>
      <c r="Q628" s="1" t="s">
        <v>74</v>
      </c>
      <c r="R628" s="1" t="s">
        <v>74</v>
      </c>
      <c r="S628" s="1" t="s">
        <v>74</v>
      </c>
      <c r="T628" s="1" t="s">
        <v>10805</v>
      </c>
      <c r="U628" s="1" t="s">
        <v>10806</v>
      </c>
      <c r="V628" s="1" t="s">
        <v>10807</v>
      </c>
      <c r="W628" s="1" t="s">
        <v>10808</v>
      </c>
      <c r="X628" s="1" t="s">
        <v>10809</v>
      </c>
      <c r="Y628" s="1" t="s">
        <v>10810</v>
      </c>
      <c r="Z628" s="1" t="s">
        <v>10811</v>
      </c>
      <c r="AA628" s="1" t="s">
        <v>74</v>
      </c>
      <c r="AB628" s="1" t="s">
        <v>74</v>
      </c>
      <c r="AC628" s="1" t="s">
        <v>74</v>
      </c>
      <c r="AD628" s="1" t="s">
        <v>74</v>
      </c>
      <c r="AE628" s="1" t="s">
        <v>74</v>
      </c>
      <c r="AF628" s="1" t="s">
        <v>74</v>
      </c>
      <c r="AG628" s="1">
        <v>26</v>
      </c>
      <c r="AH628" s="1">
        <v>101</v>
      </c>
      <c r="AI628" s="1">
        <v>108</v>
      </c>
      <c r="AJ628" s="1">
        <v>0</v>
      </c>
      <c r="AK628" s="1">
        <v>24</v>
      </c>
      <c r="AL628" s="1" t="s">
        <v>136</v>
      </c>
      <c r="AM628" s="1" t="s">
        <v>137</v>
      </c>
      <c r="AN628" s="1" t="s">
        <v>138</v>
      </c>
      <c r="AO628" s="1" t="s">
        <v>240</v>
      </c>
      <c r="AP628" s="1" t="s">
        <v>241</v>
      </c>
      <c r="AQ628" s="1" t="s">
        <v>74</v>
      </c>
      <c r="AR628" s="1" t="s">
        <v>242</v>
      </c>
      <c r="AS628" s="1" t="s">
        <v>243</v>
      </c>
      <c r="AT628" s="1" t="s">
        <v>74</v>
      </c>
      <c r="AU628" s="1">
        <v>1998</v>
      </c>
      <c r="AV628" s="1">
        <v>37</v>
      </c>
      <c r="AW628" s="1" t="s">
        <v>326</v>
      </c>
      <c r="AX628" s="1" t="s">
        <v>74</v>
      </c>
      <c r="AY628" s="1" t="s">
        <v>74</v>
      </c>
      <c r="AZ628" s="1" t="s">
        <v>74</v>
      </c>
      <c r="BA628" s="1" t="s">
        <v>74</v>
      </c>
      <c r="BB628" s="1">
        <v>14</v>
      </c>
      <c r="BC628" s="1">
        <v>19</v>
      </c>
      <c r="BD628" s="1" t="s">
        <v>74</v>
      </c>
      <c r="BE628" s="1" t="s">
        <v>10812</v>
      </c>
      <c r="BF628" s="1" t="str">
        <f>HYPERLINK("http://dx.doi.org/10.1016/S0025-326X(98)00126-X","http://dx.doi.org/10.1016/S0025-326X(98)00126-X")</f>
        <v>http://dx.doi.org/10.1016/S0025-326X(98)00126-X</v>
      </c>
      <c r="BG628" s="1" t="s">
        <v>74</v>
      </c>
      <c r="BH628" s="1" t="s">
        <v>74</v>
      </c>
      <c r="BI628" s="1">
        <v>6</v>
      </c>
      <c r="BJ628" s="1" t="s">
        <v>247</v>
      </c>
      <c r="BK628" s="1" t="s">
        <v>96</v>
      </c>
      <c r="BL628" s="1" t="s">
        <v>248</v>
      </c>
      <c r="BM628" s="1" t="s">
        <v>10813</v>
      </c>
      <c r="BN628" s="1" t="s">
        <v>74</v>
      </c>
      <c r="BO628" s="1" t="s">
        <v>74</v>
      </c>
      <c r="BP628" s="1" t="s">
        <v>74</v>
      </c>
      <c r="BQ628" s="1" t="s">
        <v>74</v>
      </c>
      <c r="BR628" s="1" t="s">
        <v>98</v>
      </c>
      <c r="BS628" s="1" t="s">
        <v>10814</v>
      </c>
      <c r="BT628" s="1" t="str">
        <f>HYPERLINK("https%3A%2F%2Fwww.webofscience.com%2Fwos%2Fwoscc%2Ffull-record%2FWOS:000078710700004","View Full Record in Web of Science")</f>
        <v>View Full Record in Web of Science</v>
      </c>
    </row>
    <row r="629" spans="1:72">
      <c r="A629" s="1" t="s">
        <v>72</v>
      </c>
      <c r="B629" s="1" t="s">
        <v>10815</v>
      </c>
      <c r="C629" s="1" t="s">
        <v>74</v>
      </c>
      <c r="D629" s="1" t="s">
        <v>74</v>
      </c>
      <c r="E629" s="1" t="s">
        <v>74</v>
      </c>
      <c r="F629" s="1" t="s">
        <v>10816</v>
      </c>
      <c r="G629" s="1" t="s">
        <v>74</v>
      </c>
      <c r="H629" s="1" t="s">
        <v>74</v>
      </c>
      <c r="I629" s="1" t="s">
        <v>10817</v>
      </c>
      <c r="J629" s="1" t="s">
        <v>5413</v>
      </c>
      <c r="K629" s="1" t="s">
        <v>74</v>
      </c>
      <c r="L629" s="1" t="s">
        <v>74</v>
      </c>
      <c r="M629" s="1" t="s">
        <v>78</v>
      </c>
      <c r="N629" s="1" t="s">
        <v>79</v>
      </c>
      <c r="O629" s="1" t="s">
        <v>74</v>
      </c>
      <c r="P629" s="1" t="s">
        <v>74</v>
      </c>
      <c r="Q629" s="1" t="s">
        <v>74</v>
      </c>
      <c r="R629" s="1" t="s">
        <v>74</v>
      </c>
      <c r="S629" s="1" t="s">
        <v>74</v>
      </c>
      <c r="T629" s="1" t="s">
        <v>10818</v>
      </c>
      <c r="U629" s="1" t="s">
        <v>10819</v>
      </c>
      <c r="V629" s="1" t="s">
        <v>10820</v>
      </c>
      <c r="W629" s="1" t="s">
        <v>10821</v>
      </c>
      <c r="X629" s="1" t="s">
        <v>4489</v>
      </c>
      <c r="Y629" s="1" t="s">
        <v>10822</v>
      </c>
      <c r="Z629" s="1" t="s">
        <v>10823</v>
      </c>
      <c r="AA629" s="1" t="s">
        <v>3710</v>
      </c>
      <c r="AB629" s="1" t="s">
        <v>4533</v>
      </c>
      <c r="AC629" s="1" t="s">
        <v>10824</v>
      </c>
      <c r="AD629" s="1" t="s">
        <v>10825</v>
      </c>
      <c r="AE629" s="1" t="s">
        <v>10826</v>
      </c>
      <c r="AF629" s="1" t="s">
        <v>74</v>
      </c>
      <c r="AG629" s="1">
        <v>53</v>
      </c>
      <c r="AH629" s="1">
        <v>31</v>
      </c>
      <c r="AI629" s="1">
        <v>36</v>
      </c>
      <c r="AJ629" s="1">
        <v>2</v>
      </c>
      <c r="AK629" s="1">
        <v>49</v>
      </c>
      <c r="AL629" s="1" t="s">
        <v>919</v>
      </c>
      <c r="AM629" s="1" t="s">
        <v>651</v>
      </c>
      <c r="AN629" s="1" t="s">
        <v>920</v>
      </c>
      <c r="AO629" s="1" t="s">
        <v>5426</v>
      </c>
      <c r="AP629" s="1" t="s">
        <v>5427</v>
      </c>
      <c r="AQ629" s="1" t="s">
        <v>74</v>
      </c>
      <c r="AR629" s="1" t="s">
        <v>5428</v>
      </c>
      <c r="AS629" s="1" t="s">
        <v>5429</v>
      </c>
      <c r="AT629" s="1" t="s">
        <v>1223</v>
      </c>
      <c r="AU629" s="1">
        <v>2015</v>
      </c>
      <c r="AV629" s="1">
        <v>39</v>
      </c>
      <c r="AW629" s="1">
        <v>2</v>
      </c>
      <c r="AX629" s="1" t="s">
        <v>74</v>
      </c>
      <c r="AY629" s="1" t="s">
        <v>74</v>
      </c>
      <c r="AZ629" s="1" t="s">
        <v>74</v>
      </c>
      <c r="BA629" s="1" t="s">
        <v>74</v>
      </c>
      <c r="BB629" s="1">
        <v>545</v>
      </c>
      <c r="BC629" s="1">
        <v>554</v>
      </c>
      <c r="BD629" s="1" t="s">
        <v>74</v>
      </c>
      <c r="BE629" s="1" t="s">
        <v>10827</v>
      </c>
      <c r="BF629" s="1" t="str">
        <f>HYPERLINK("http://dx.doi.org/10.1016/j.etap.2015.01.004","http://dx.doi.org/10.1016/j.etap.2015.01.004")</f>
        <v>http://dx.doi.org/10.1016/j.etap.2015.01.004</v>
      </c>
      <c r="BG629" s="1" t="s">
        <v>74</v>
      </c>
      <c r="BH629" s="1" t="s">
        <v>74</v>
      </c>
      <c r="BI629" s="1">
        <v>10</v>
      </c>
      <c r="BJ629" s="1" t="s">
        <v>5431</v>
      </c>
      <c r="BK629" s="1" t="s">
        <v>96</v>
      </c>
      <c r="BL629" s="1" t="s">
        <v>5432</v>
      </c>
      <c r="BM629" s="1" t="s">
        <v>10828</v>
      </c>
      <c r="BN629" s="1">
        <v>25681705</v>
      </c>
      <c r="BO629" s="1" t="s">
        <v>74</v>
      </c>
      <c r="BP629" s="1" t="s">
        <v>74</v>
      </c>
      <c r="BQ629" s="1" t="s">
        <v>74</v>
      </c>
      <c r="BR629" s="1" t="s">
        <v>98</v>
      </c>
      <c r="BS629" s="1" t="s">
        <v>10829</v>
      </c>
      <c r="BT629" s="1" t="str">
        <f>HYPERLINK("https%3A%2F%2Fwww.webofscience.com%2Fwos%2Fwoscc%2Ffull-record%2FWOS:000353929900008","View Full Record in Web of Science")</f>
        <v>View Full Record in Web of Science</v>
      </c>
    </row>
    <row r="630" spans="1:72">
      <c r="A630" s="1" t="s">
        <v>72</v>
      </c>
      <c r="B630" s="1" t="s">
        <v>10830</v>
      </c>
      <c r="C630" s="1" t="s">
        <v>74</v>
      </c>
      <c r="D630" s="1" t="s">
        <v>74</v>
      </c>
      <c r="E630" s="1" t="s">
        <v>74</v>
      </c>
      <c r="F630" s="1" t="s">
        <v>10831</v>
      </c>
      <c r="G630" s="1" t="s">
        <v>74</v>
      </c>
      <c r="H630" s="1" t="s">
        <v>74</v>
      </c>
      <c r="I630" s="1" t="s">
        <v>10832</v>
      </c>
      <c r="J630" s="1" t="s">
        <v>232</v>
      </c>
      <c r="K630" s="1" t="s">
        <v>74</v>
      </c>
      <c r="L630" s="1" t="s">
        <v>74</v>
      </c>
      <c r="M630" s="1" t="s">
        <v>78</v>
      </c>
      <c r="N630" s="1" t="s">
        <v>79</v>
      </c>
      <c r="O630" s="1" t="s">
        <v>74</v>
      </c>
      <c r="P630" s="1" t="s">
        <v>74</v>
      </c>
      <c r="Q630" s="1" t="s">
        <v>74</v>
      </c>
      <c r="R630" s="1" t="s">
        <v>74</v>
      </c>
      <c r="S630" s="1" t="s">
        <v>74</v>
      </c>
      <c r="T630" s="1" t="s">
        <v>10833</v>
      </c>
      <c r="U630" s="1" t="s">
        <v>10834</v>
      </c>
      <c r="V630" s="1" t="s">
        <v>10835</v>
      </c>
      <c r="W630" s="1" t="s">
        <v>10836</v>
      </c>
      <c r="X630" s="1" t="s">
        <v>10837</v>
      </c>
      <c r="Y630" s="1" t="s">
        <v>10838</v>
      </c>
      <c r="Z630" s="1" t="s">
        <v>10839</v>
      </c>
      <c r="AA630" s="1" t="s">
        <v>10840</v>
      </c>
      <c r="AB630" s="1" t="s">
        <v>10841</v>
      </c>
      <c r="AC630" s="1" t="s">
        <v>10842</v>
      </c>
      <c r="AD630" s="1" t="s">
        <v>10843</v>
      </c>
      <c r="AE630" s="1" t="s">
        <v>10844</v>
      </c>
      <c r="AF630" s="1" t="s">
        <v>74</v>
      </c>
      <c r="AG630" s="1">
        <v>105</v>
      </c>
      <c r="AH630" s="1">
        <v>1</v>
      </c>
      <c r="AI630" s="1">
        <v>1</v>
      </c>
      <c r="AJ630" s="1">
        <v>0</v>
      </c>
      <c r="AK630" s="1">
        <v>6</v>
      </c>
      <c r="AL630" s="1" t="s">
        <v>136</v>
      </c>
      <c r="AM630" s="1" t="s">
        <v>137</v>
      </c>
      <c r="AN630" s="1" t="s">
        <v>138</v>
      </c>
      <c r="AO630" s="1" t="s">
        <v>240</v>
      </c>
      <c r="AP630" s="1" t="s">
        <v>241</v>
      </c>
      <c r="AQ630" s="1" t="s">
        <v>74</v>
      </c>
      <c r="AR630" s="1" t="s">
        <v>242</v>
      </c>
      <c r="AS630" s="1" t="s">
        <v>243</v>
      </c>
      <c r="AT630" s="1" t="s">
        <v>93</v>
      </c>
      <c r="AU630" s="1">
        <v>2023</v>
      </c>
      <c r="AV630" s="1">
        <v>189</v>
      </c>
      <c r="AW630" s="1" t="s">
        <v>74</v>
      </c>
      <c r="AX630" s="1" t="s">
        <v>74</v>
      </c>
      <c r="AY630" s="1" t="s">
        <v>74</v>
      </c>
      <c r="AZ630" s="1" t="s">
        <v>74</v>
      </c>
      <c r="BA630" s="1" t="s">
        <v>74</v>
      </c>
      <c r="BB630" s="1" t="s">
        <v>74</v>
      </c>
      <c r="BC630" s="1" t="s">
        <v>74</v>
      </c>
      <c r="BD630" s="1">
        <v>114750</v>
      </c>
      <c r="BE630" s="1" t="s">
        <v>10845</v>
      </c>
      <c r="BF630" s="1" t="str">
        <f>HYPERLINK("http://dx.doi.org/10.1016/j.marpolbul.2023.114750","http://dx.doi.org/10.1016/j.marpolbul.2023.114750")</f>
        <v>http://dx.doi.org/10.1016/j.marpolbul.2023.114750</v>
      </c>
      <c r="BG630" s="1" t="s">
        <v>74</v>
      </c>
      <c r="BH630" s="1" t="s">
        <v>10846</v>
      </c>
      <c r="BI630" s="1">
        <v>14</v>
      </c>
      <c r="BJ630" s="1" t="s">
        <v>247</v>
      </c>
      <c r="BK630" s="1" t="s">
        <v>96</v>
      </c>
      <c r="BL630" s="1" t="s">
        <v>248</v>
      </c>
      <c r="BM630" s="1" t="s">
        <v>10847</v>
      </c>
      <c r="BN630" s="1">
        <v>36857994</v>
      </c>
      <c r="BO630" s="1" t="s">
        <v>370</v>
      </c>
      <c r="BP630" s="1" t="s">
        <v>74</v>
      </c>
      <c r="BQ630" s="1" t="s">
        <v>74</v>
      </c>
      <c r="BR630" s="1" t="s">
        <v>98</v>
      </c>
      <c r="BS630" s="1" t="s">
        <v>10848</v>
      </c>
      <c r="BT630" s="1" t="str">
        <f>HYPERLINK("https%3A%2F%2Fwww.webofscience.com%2Fwos%2Fwoscc%2Ffull-record%2FWOS:000949857100001","View Full Record in Web of Science")</f>
        <v>View Full Record in Web of Science</v>
      </c>
    </row>
    <row r="631" spans="1:72">
      <c r="A631" s="1" t="s">
        <v>72</v>
      </c>
      <c r="B631" s="1" t="s">
        <v>10849</v>
      </c>
      <c r="C631" s="1" t="s">
        <v>74</v>
      </c>
      <c r="D631" s="1" t="s">
        <v>74</v>
      </c>
      <c r="E631" s="1" t="s">
        <v>74</v>
      </c>
      <c r="F631" s="1" t="s">
        <v>10850</v>
      </c>
      <c r="G631" s="1" t="s">
        <v>74</v>
      </c>
      <c r="H631" s="1" t="s">
        <v>74</v>
      </c>
      <c r="I631" s="1" t="s">
        <v>10851</v>
      </c>
      <c r="J631" s="1" t="s">
        <v>232</v>
      </c>
      <c r="K631" s="1" t="s">
        <v>74</v>
      </c>
      <c r="L631" s="1" t="s">
        <v>74</v>
      </c>
      <c r="M631" s="1" t="s">
        <v>78</v>
      </c>
      <c r="N631" s="1" t="s">
        <v>79</v>
      </c>
      <c r="O631" s="1" t="s">
        <v>74</v>
      </c>
      <c r="P631" s="1" t="s">
        <v>74</v>
      </c>
      <c r="Q631" s="1" t="s">
        <v>74</v>
      </c>
      <c r="R631" s="1" t="s">
        <v>74</v>
      </c>
      <c r="S631" s="1" t="s">
        <v>74</v>
      </c>
      <c r="T631" s="1" t="s">
        <v>10852</v>
      </c>
      <c r="U631" s="1" t="s">
        <v>10853</v>
      </c>
      <c r="V631" s="1" t="s">
        <v>10854</v>
      </c>
      <c r="W631" s="1" t="s">
        <v>10855</v>
      </c>
      <c r="X631" s="1" t="s">
        <v>10856</v>
      </c>
      <c r="Y631" s="1" t="s">
        <v>10857</v>
      </c>
      <c r="Z631" s="1" t="s">
        <v>10858</v>
      </c>
      <c r="AA631" s="1" t="s">
        <v>74</v>
      </c>
      <c r="AB631" s="1" t="s">
        <v>74</v>
      </c>
      <c r="AC631" s="1" t="s">
        <v>10859</v>
      </c>
      <c r="AD631" s="1" t="s">
        <v>10859</v>
      </c>
      <c r="AE631" s="1" t="s">
        <v>10860</v>
      </c>
      <c r="AF631" s="1" t="s">
        <v>74</v>
      </c>
      <c r="AG631" s="1">
        <v>90</v>
      </c>
      <c r="AH631" s="1">
        <v>0</v>
      </c>
      <c r="AI631" s="1">
        <v>0</v>
      </c>
      <c r="AJ631" s="1">
        <v>5</v>
      </c>
      <c r="AK631" s="1">
        <v>5</v>
      </c>
      <c r="AL631" s="1" t="s">
        <v>136</v>
      </c>
      <c r="AM631" s="1" t="s">
        <v>137</v>
      </c>
      <c r="AN631" s="1" t="s">
        <v>138</v>
      </c>
      <c r="AO631" s="1" t="s">
        <v>240</v>
      </c>
      <c r="AP631" s="1" t="s">
        <v>241</v>
      </c>
      <c r="AQ631" s="1" t="s">
        <v>74</v>
      </c>
      <c r="AR631" s="1" t="s">
        <v>242</v>
      </c>
      <c r="AS631" s="1" t="s">
        <v>243</v>
      </c>
      <c r="AT631" s="1" t="s">
        <v>119</v>
      </c>
      <c r="AU631" s="1">
        <v>2024</v>
      </c>
      <c r="AV631" s="1">
        <v>205</v>
      </c>
      <c r="AW631" s="1" t="s">
        <v>74</v>
      </c>
      <c r="AX631" s="1" t="s">
        <v>74</v>
      </c>
      <c r="AY631" s="1" t="s">
        <v>74</v>
      </c>
      <c r="AZ631" s="1" t="s">
        <v>74</v>
      </c>
      <c r="BA631" s="1" t="s">
        <v>74</v>
      </c>
      <c r="BB631" s="1" t="s">
        <v>74</v>
      </c>
      <c r="BC631" s="1" t="s">
        <v>74</v>
      </c>
      <c r="BD631" s="1">
        <v>116604</v>
      </c>
      <c r="BE631" s="1" t="s">
        <v>10861</v>
      </c>
      <c r="BF631" s="1" t="str">
        <f>HYPERLINK("http://dx.doi.org/10.1016/j.marpolbul.2024.116604","http://dx.doi.org/10.1016/j.marpolbul.2024.116604")</f>
        <v>http://dx.doi.org/10.1016/j.marpolbul.2024.116604</v>
      </c>
      <c r="BG631" s="1" t="s">
        <v>74</v>
      </c>
      <c r="BH631" s="1" t="s">
        <v>7912</v>
      </c>
      <c r="BI631" s="1">
        <v>15</v>
      </c>
      <c r="BJ631" s="1" t="s">
        <v>247</v>
      </c>
      <c r="BK631" s="1" t="s">
        <v>96</v>
      </c>
      <c r="BL631" s="1" t="s">
        <v>248</v>
      </c>
      <c r="BM631" s="1" t="s">
        <v>10862</v>
      </c>
      <c r="BN631" s="1">
        <v>38936002</v>
      </c>
      <c r="BO631" s="1" t="s">
        <v>74</v>
      </c>
      <c r="BP631" s="1" t="s">
        <v>74</v>
      </c>
      <c r="BQ631" s="1" t="s">
        <v>74</v>
      </c>
      <c r="BR631" s="1" t="s">
        <v>98</v>
      </c>
      <c r="BS631" s="1" t="s">
        <v>10863</v>
      </c>
      <c r="BT631" s="1" t="str">
        <f>HYPERLINK("https%3A%2F%2Fwww.webofscience.com%2Fwos%2Fwoscc%2Ffull-record%2FWOS:001262527800001","View Full Record in Web of Science")</f>
        <v>View Full Record in Web of Science</v>
      </c>
    </row>
    <row r="632" spans="1:72">
      <c r="A632" s="1" t="s">
        <v>72</v>
      </c>
      <c r="B632" s="1" t="s">
        <v>10864</v>
      </c>
      <c r="C632" s="1" t="s">
        <v>74</v>
      </c>
      <c r="D632" s="1" t="s">
        <v>74</v>
      </c>
      <c r="E632" s="1" t="s">
        <v>74</v>
      </c>
      <c r="F632" s="1" t="s">
        <v>10865</v>
      </c>
      <c r="G632" s="1" t="s">
        <v>74</v>
      </c>
      <c r="H632" s="1" t="s">
        <v>74</v>
      </c>
      <c r="I632" s="1" t="s">
        <v>10866</v>
      </c>
      <c r="J632" s="1" t="s">
        <v>1756</v>
      </c>
      <c r="K632" s="1" t="s">
        <v>74</v>
      </c>
      <c r="L632" s="1" t="s">
        <v>74</v>
      </c>
      <c r="M632" s="1" t="s">
        <v>78</v>
      </c>
      <c r="N632" s="1" t="s">
        <v>79</v>
      </c>
      <c r="O632" s="1" t="s">
        <v>74</v>
      </c>
      <c r="P632" s="1" t="s">
        <v>74</v>
      </c>
      <c r="Q632" s="1" t="s">
        <v>74</v>
      </c>
      <c r="R632" s="1" t="s">
        <v>74</v>
      </c>
      <c r="S632" s="1" t="s">
        <v>74</v>
      </c>
      <c r="T632" s="1" t="s">
        <v>10867</v>
      </c>
      <c r="U632" s="1" t="s">
        <v>10868</v>
      </c>
      <c r="V632" s="1" t="s">
        <v>10869</v>
      </c>
      <c r="W632" s="1" t="s">
        <v>10870</v>
      </c>
      <c r="X632" s="1" t="s">
        <v>10871</v>
      </c>
      <c r="Y632" s="1" t="s">
        <v>10872</v>
      </c>
      <c r="Z632" s="1" t="s">
        <v>10873</v>
      </c>
      <c r="AA632" s="1" t="s">
        <v>10874</v>
      </c>
      <c r="AB632" s="1" t="s">
        <v>10875</v>
      </c>
      <c r="AC632" s="1" t="s">
        <v>10876</v>
      </c>
      <c r="AD632" s="1" t="s">
        <v>10877</v>
      </c>
      <c r="AE632" s="1" t="s">
        <v>10878</v>
      </c>
      <c r="AF632" s="1" t="s">
        <v>74</v>
      </c>
      <c r="AG632" s="1">
        <v>25</v>
      </c>
      <c r="AH632" s="1">
        <v>4</v>
      </c>
      <c r="AI632" s="1">
        <v>4</v>
      </c>
      <c r="AJ632" s="1">
        <v>1</v>
      </c>
      <c r="AK632" s="1">
        <v>13</v>
      </c>
      <c r="AL632" s="1" t="s">
        <v>86</v>
      </c>
      <c r="AM632" s="1" t="s">
        <v>87</v>
      </c>
      <c r="AN632" s="1" t="s">
        <v>88</v>
      </c>
      <c r="AO632" s="1" t="s">
        <v>1764</v>
      </c>
      <c r="AP632" s="1" t="s">
        <v>1765</v>
      </c>
      <c r="AQ632" s="1" t="s">
        <v>74</v>
      </c>
      <c r="AR632" s="1" t="s">
        <v>1766</v>
      </c>
      <c r="AS632" s="1" t="s">
        <v>1767</v>
      </c>
      <c r="AT632" s="1" t="s">
        <v>197</v>
      </c>
      <c r="AU632" s="1">
        <v>2021</v>
      </c>
      <c r="AV632" s="1">
        <v>40</v>
      </c>
      <c r="AW632" s="1">
        <v>12</v>
      </c>
      <c r="AX632" s="1" t="s">
        <v>74</v>
      </c>
      <c r="AY632" s="1" t="s">
        <v>74</v>
      </c>
      <c r="AZ632" s="1" t="s">
        <v>74</v>
      </c>
      <c r="BA632" s="1" t="s">
        <v>74</v>
      </c>
      <c r="BB632" s="1">
        <v>3434</v>
      </c>
      <c r="BC632" s="1">
        <v>3440</v>
      </c>
      <c r="BD632" s="1" t="s">
        <v>74</v>
      </c>
      <c r="BE632" s="1" t="s">
        <v>10879</v>
      </c>
      <c r="BF632" s="1" t="str">
        <f>HYPERLINK("http://dx.doi.org/10.1002/etc.5228","http://dx.doi.org/10.1002/etc.5228")</f>
        <v>http://dx.doi.org/10.1002/etc.5228</v>
      </c>
      <c r="BG632" s="1" t="s">
        <v>74</v>
      </c>
      <c r="BH632" s="1" t="s">
        <v>10880</v>
      </c>
      <c r="BI632" s="1">
        <v>7</v>
      </c>
      <c r="BJ632" s="1" t="s">
        <v>121</v>
      </c>
      <c r="BK632" s="1" t="s">
        <v>96</v>
      </c>
      <c r="BL632" s="1" t="s">
        <v>122</v>
      </c>
      <c r="BM632" s="1" t="s">
        <v>10881</v>
      </c>
      <c r="BN632" s="1">
        <v>34606656</v>
      </c>
      <c r="BO632" s="1" t="s">
        <v>1752</v>
      </c>
      <c r="BP632" s="1" t="s">
        <v>74</v>
      </c>
      <c r="BQ632" s="1" t="s">
        <v>74</v>
      </c>
      <c r="BR632" s="1" t="s">
        <v>98</v>
      </c>
      <c r="BS632" s="1" t="s">
        <v>10882</v>
      </c>
      <c r="BT632" s="1" t="str">
        <f>HYPERLINK("https%3A%2F%2Fwww.webofscience.com%2Fwos%2Fwoscc%2Ffull-record%2FWOS:000715440800001","View Full Record in Web of Science")</f>
        <v>View Full Record in Web of Science</v>
      </c>
    </row>
    <row r="633" spans="1:72">
      <c r="A633" s="1" t="s">
        <v>72</v>
      </c>
      <c r="B633" s="1" t="s">
        <v>10883</v>
      </c>
      <c r="C633" s="1" t="s">
        <v>74</v>
      </c>
      <c r="D633" s="1" t="s">
        <v>74</v>
      </c>
      <c r="E633" s="1" t="s">
        <v>74</v>
      </c>
      <c r="F633" s="1" t="s">
        <v>10884</v>
      </c>
      <c r="G633" s="1" t="s">
        <v>74</v>
      </c>
      <c r="H633" s="1" t="s">
        <v>74</v>
      </c>
      <c r="I633" s="1" t="s">
        <v>10885</v>
      </c>
      <c r="J633" s="1" t="s">
        <v>1275</v>
      </c>
      <c r="K633" s="1" t="s">
        <v>74</v>
      </c>
      <c r="L633" s="1" t="s">
        <v>74</v>
      </c>
      <c r="M633" s="1" t="s">
        <v>78</v>
      </c>
      <c r="N633" s="1" t="s">
        <v>79</v>
      </c>
      <c r="O633" s="1" t="s">
        <v>74</v>
      </c>
      <c r="P633" s="1" t="s">
        <v>74</v>
      </c>
      <c r="Q633" s="1" t="s">
        <v>74</v>
      </c>
      <c r="R633" s="1" t="s">
        <v>74</v>
      </c>
      <c r="S633" s="1" t="s">
        <v>74</v>
      </c>
      <c r="T633" s="1" t="s">
        <v>10886</v>
      </c>
      <c r="U633" s="1" t="s">
        <v>10887</v>
      </c>
      <c r="V633" s="1" t="s">
        <v>10888</v>
      </c>
      <c r="W633" s="1" t="s">
        <v>10889</v>
      </c>
      <c r="X633" s="1" t="s">
        <v>10890</v>
      </c>
      <c r="Y633" s="1" t="s">
        <v>10891</v>
      </c>
      <c r="Z633" s="1" t="s">
        <v>10892</v>
      </c>
      <c r="AA633" s="1" t="s">
        <v>74</v>
      </c>
      <c r="AB633" s="1" t="s">
        <v>74</v>
      </c>
      <c r="AC633" s="1" t="s">
        <v>74</v>
      </c>
      <c r="AD633" s="1" t="s">
        <v>74</v>
      </c>
      <c r="AE633" s="1" t="s">
        <v>74</v>
      </c>
      <c r="AF633" s="1" t="s">
        <v>74</v>
      </c>
      <c r="AG633" s="1">
        <v>43</v>
      </c>
      <c r="AH633" s="1">
        <v>0</v>
      </c>
      <c r="AI633" s="1">
        <v>0</v>
      </c>
      <c r="AJ633" s="1">
        <v>1</v>
      </c>
      <c r="AK633" s="1">
        <v>1</v>
      </c>
      <c r="AL633" s="1" t="s">
        <v>650</v>
      </c>
      <c r="AM633" s="1" t="s">
        <v>651</v>
      </c>
      <c r="AN633" s="1" t="s">
        <v>652</v>
      </c>
      <c r="AO633" s="1" t="s">
        <v>1287</v>
      </c>
      <c r="AP633" s="1" t="s">
        <v>74</v>
      </c>
      <c r="AQ633" s="1" t="s">
        <v>74</v>
      </c>
      <c r="AR633" s="1" t="s">
        <v>1288</v>
      </c>
      <c r="AS633" s="1" t="s">
        <v>1289</v>
      </c>
      <c r="AT633" s="1" t="s">
        <v>305</v>
      </c>
      <c r="AU633" s="1">
        <v>2024</v>
      </c>
      <c r="AV633" s="1">
        <v>74</v>
      </c>
      <c r="AW633" s="1" t="s">
        <v>74</v>
      </c>
      <c r="AX633" s="1" t="s">
        <v>74</v>
      </c>
      <c r="AY633" s="1" t="s">
        <v>74</v>
      </c>
      <c r="AZ633" s="1" t="s">
        <v>74</v>
      </c>
      <c r="BA633" s="1" t="s">
        <v>74</v>
      </c>
      <c r="BB633" s="1" t="s">
        <v>74</v>
      </c>
      <c r="BC633" s="1" t="s">
        <v>74</v>
      </c>
      <c r="BD633" s="1">
        <v>103512</v>
      </c>
      <c r="BE633" s="1" t="s">
        <v>10893</v>
      </c>
      <c r="BF633" s="1" t="str">
        <f>HYPERLINK("http://dx.doi.org/10.1016/j.rsma.2024.103512","http://dx.doi.org/10.1016/j.rsma.2024.103512")</f>
        <v>http://dx.doi.org/10.1016/j.rsma.2024.103512</v>
      </c>
      <c r="BG633" s="1" t="s">
        <v>74</v>
      </c>
      <c r="BH633" s="1" t="s">
        <v>9434</v>
      </c>
      <c r="BI633" s="1">
        <v>6</v>
      </c>
      <c r="BJ633" s="1" t="s">
        <v>1292</v>
      </c>
      <c r="BK633" s="1" t="s">
        <v>96</v>
      </c>
      <c r="BL633" s="1" t="s">
        <v>248</v>
      </c>
      <c r="BM633" s="1" t="s">
        <v>10894</v>
      </c>
      <c r="BN633" s="1" t="s">
        <v>74</v>
      </c>
      <c r="BO633" s="1" t="s">
        <v>74</v>
      </c>
      <c r="BP633" s="1" t="s">
        <v>74</v>
      </c>
      <c r="BQ633" s="1" t="s">
        <v>74</v>
      </c>
      <c r="BR633" s="1" t="s">
        <v>98</v>
      </c>
      <c r="BS633" s="1" t="s">
        <v>10895</v>
      </c>
      <c r="BT633" s="1" t="str">
        <f>HYPERLINK("https%3A%2F%2Fwww.webofscience.com%2Fwos%2Fwoscc%2Ffull-record%2FWOS:001232352300001","View Full Record in Web of Science")</f>
        <v>View Full Record in Web of Science</v>
      </c>
    </row>
    <row r="634" spans="1:72">
      <c r="A634" s="1" t="s">
        <v>72</v>
      </c>
      <c r="B634" s="1" t="s">
        <v>10896</v>
      </c>
      <c r="C634" s="1" t="s">
        <v>74</v>
      </c>
      <c r="D634" s="1" t="s">
        <v>74</v>
      </c>
      <c r="E634" s="1" t="s">
        <v>74</v>
      </c>
      <c r="F634" s="1" t="s">
        <v>10897</v>
      </c>
      <c r="G634" s="1" t="s">
        <v>74</v>
      </c>
      <c r="H634" s="1" t="s">
        <v>74</v>
      </c>
      <c r="I634" s="1" t="s">
        <v>10898</v>
      </c>
      <c r="J634" s="1" t="s">
        <v>232</v>
      </c>
      <c r="K634" s="1" t="s">
        <v>74</v>
      </c>
      <c r="L634" s="1" t="s">
        <v>74</v>
      </c>
      <c r="M634" s="1" t="s">
        <v>78</v>
      </c>
      <c r="N634" s="1" t="s">
        <v>79</v>
      </c>
      <c r="O634" s="1" t="s">
        <v>74</v>
      </c>
      <c r="P634" s="1" t="s">
        <v>74</v>
      </c>
      <c r="Q634" s="1" t="s">
        <v>74</v>
      </c>
      <c r="R634" s="1" t="s">
        <v>74</v>
      </c>
      <c r="S634" s="1" t="s">
        <v>74</v>
      </c>
      <c r="T634" s="1" t="s">
        <v>10899</v>
      </c>
      <c r="U634" s="1" t="s">
        <v>10900</v>
      </c>
      <c r="V634" s="1" t="s">
        <v>10901</v>
      </c>
      <c r="W634" s="1" t="s">
        <v>10902</v>
      </c>
      <c r="X634" s="1" t="s">
        <v>10903</v>
      </c>
      <c r="Y634" s="1" t="s">
        <v>10904</v>
      </c>
      <c r="Z634" s="1" t="s">
        <v>10905</v>
      </c>
      <c r="AA634" s="1" t="s">
        <v>10906</v>
      </c>
      <c r="AB634" s="1" t="s">
        <v>10907</v>
      </c>
      <c r="AC634" s="1" t="s">
        <v>74</v>
      </c>
      <c r="AD634" s="1" t="s">
        <v>74</v>
      </c>
      <c r="AE634" s="1" t="s">
        <v>74</v>
      </c>
      <c r="AF634" s="1" t="s">
        <v>74</v>
      </c>
      <c r="AG634" s="1">
        <v>84</v>
      </c>
      <c r="AH634" s="1">
        <v>7</v>
      </c>
      <c r="AI634" s="1">
        <v>7</v>
      </c>
      <c r="AJ634" s="1">
        <v>5</v>
      </c>
      <c r="AK634" s="1">
        <v>20</v>
      </c>
      <c r="AL634" s="1" t="s">
        <v>136</v>
      </c>
      <c r="AM634" s="1" t="s">
        <v>137</v>
      </c>
      <c r="AN634" s="1" t="s">
        <v>138</v>
      </c>
      <c r="AO634" s="1" t="s">
        <v>240</v>
      </c>
      <c r="AP634" s="1" t="s">
        <v>241</v>
      </c>
      <c r="AQ634" s="1" t="s">
        <v>74</v>
      </c>
      <c r="AR634" s="1" t="s">
        <v>242</v>
      </c>
      <c r="AS634" s="1" t="s">
        <v>243</v>
      </c>
      <c r="AT634" s="1" t="s">
        <v>170</v>
      </c>
      <c r="AU634" s="1">
        <v>2023</v>
      </c>
      <c r="AV634" s="1">
        <v>190</v>
      </c>
      <c r="AW634" s="1" t="s">
        <v>74</v>
      </c>
      <c r="AX634" s="1" t="s">
        <v>74</v>
      </c>
      <c r="AY634" s="1" t="s">
        <v>74</v>
      </c>
      <c r="AZ634" s="1" t="s">
        <v>74</v>
      </c>
      <c r="BA634" s="1" t="s">
        <v>74</v>
      </c>
      <c r="BB634" s="1" t="s">
        <v>74</v>
      </c>
      <c r="BC634" s="1" t="s">
        <v>74</v>
      </c>
      <c r="BD634" s="1">
        <v>114848</v>
      </c>
      <c r="BE634" s="1" t="s">
        <v>10908</v>
      </c>
      <c r="BF634" s="1" t="str">
        <f>HYPERLINK("http://dx.doi.org/10.1016/j.marpolbul.2023.114848","http://dx.doi.org/10.1016/j.marpolbul.2023.114848")</f>
        <v>http://dx.doi.org/10.1016/j.marpolbul.2023.114848</v>
      </c>
      <c r="BG634" s="1" t="s">
        <v>74</v>
      </c>
      <c r="BH634" s="1" t="s">
        <v>2540</v>
      </c>
      <c r="BI634" s="1">
        <v>9</v>
      </c>
      <c r="BJ634" s="1" t="s">
        <v>247</v>
      </c>
      <c r="BK634" s="1" t="s">
        <v>96</v>
      </c>
      <c r="BL634" s="1" t="s">
        <v>248</v>
      </c>
      <c r="BM634" s="1" t="s">
        <v>10909</v>
      </c>
      <c r="BN634" s="1">
        <v>37027955</v>
      </c>
      <c r="BO634" s="1" t="s">
        <v>2914</v>
      </c>
      <c r="BP634" s="1" t="s">
        <v>74</v>
      </c>
      <c r="BQ634" s="1" t="s">
        <v>74</v>
      </c>
      <c r="BR634" s="1" t="s">
        <v>98</v>
      </c>
      <c r="BS634" s="1" t="s">
        <v>10910</v>
      </c>
      <c r="BT634" s="1" t="str">
        <f>HYPERLINK("https%3A%2F%2Fwww.webofscience.com%2Fwos%2Fwoscc%2Ffull-record%2FWOS:000975641700001","View Full Record in Web of Science")</f>
        <v>View Full Record in Web of Science</v>
      </c>
    </row>
    <row r="635" spans="1:72">
      <c r="A635" s="1" t="s">
        <v>72</v>
      </c>
      <c r="B635" s="1" t="s">
        <v>10911</v>
      </c>
      <c r="C635" s="1" t="s">
        <v>74</v>
      </c>
      <c r="D635" s="1" t="s">
        <v>74</v>
      </c>
      <c r="E635" s="1" t="s">
        <v>74</v>
      </c>
      <c r="F635" s="1" t="s">
        <v>10911</v>
      </c>
      <c r="G635" s="1" t="s">
        <v>74</v>
      </c>
      <c r="H635" s="1" t="s">
        <v>74</v>
      </c>
      <c r="I635" s="1" t="s">
        <v>10912</v>
      </c>
      <c r="J635" s="1" t="s">
        <v>641</v>
      </c>
      <c r="K635" s="1" t="s">
        <v>74</v>
      </c>
      <c r="L635" s="1" t="s">
        <v>74</v>
      </c>
      <c r="M635" s="1" t="s">
        <v>78</v>
      </c>
      <c r="N635" s="1" t="s">
        <v>79</v>
      </c>
      <c r="O635" s="1" t="s">
        <v>74</v>
      </c>
      <c r="P635" s="1" t="s">
        <v>74</v>
      </c>
      <c r="Q635" s="1" t="s">
        <v>74</v>
      </c>
      <c r="R635" s="1" t="s">
        <v>74</v>
      </c>
      <c r="S635" s="1" t="s">
        <v>74</v>
      </c>
      <c r="T635" s="1" t="s">
        <v>10913</v>
      </c>
      <c r="U635" s="1" t="s">
        <v>10914</v>
      </c>
      <c r="V635" s="1" t="s">
        <v>10915</v>
      </c>
      <c r="W635" s="1" t="s">
        <v>10916</v>
      </c>
      <c r="X635" s="1" t="s">
        <v>9614</v>
      </c>
      <c r="Y635" s="1" t="s">
        <v>10917</v>
      </c>
      <c r="Z635" s="1" t="s">
        <v>10918</v>
      </c>
      <c r="AA635" s="1" t="s">
        <v>2334</v>
      </c>
      <c r="AB635" s="1" t="s">
        <v>9616</v>
      </c>
      <c r="AC635" s="1" t="s">
        <v>74</v>
      </c>
      <c r="AD635" s="1" t="s">
        <v>74</v>
      </c>
      <c r="AE635" s="1" t="s">
        <v>74</v>
      </c>
      <c r="AF635" s="1" t="s">
        <v>74</v>
      </c>
      <c r="AG635" s="1">
        <v>45</v>
      </c>
      <c r="AH635" s="1">
        <v>70</v>
      </c>
      <c r="AI635" s="1">
        <v>88</v>
      </c>
      <c r="AJ635" s="1">
        <v>0</v>
      </c>
      <c r="AK635" s="1">
        <v>28</v>
      </c>
      <c r="AL635" s="1" t="s">
        <v>650</v>
      </c>
      <c r="AM635" s="1" t="s">
        <v>651</v>
      </c>
      <c r="AN635" s="1" t="s">
        <v>652</v>
      </c>
      <c r="AO635" s="1" t="s">
        <v>653</v>
      </c>
      <c r="AP635" s="1" t="s">
        <v>654</v>
      </c>
      <c r="AQ635" s="1" t="s">
        <v>74</v>
      </c>
      <c r="AR635" s="1" t="s">
        <v>655</v>
      </c>
      <c r="AS635" s="1" t="s">
        <v>656</v>
      </c>
      <c r="AT635" s="1" t="s">
        <v>4391</v>
      </c>
      <c r="AU635" s="1">
        <v>2005</v>
      </c>
      <c r="AV635" s="1">
        <v>75</v>
      </c>
      <c r="AW635" s="1">
        <v>1</v>
      </c>
      <c r="AX635" s="1" t="s">
        <v>74</v>
      </c>
      <c r="AY635" s="1" t="s">
        <v>74</v>
      </c>
      <c r="AZ635" s="1" t="s">
        <v>74</v>
      </c>
      <c r="BA635" s="1" t="s">
        <v>74</v>
      </c>
      <c r="BB635" s="1">
        <v>65</v>
      </c>
      <c r="BC635" s="1">
        <v>75</v>
      </c>
      <c r="BD635" s="1" t="s">
        <v>74</v>
      </c>
      <c r="BE635" s="1" t="s">
        <v>10919</v>
      </c>
      <c r="BF635" s="1" t="str">
        <f>HYPERLINK("http://dx.doi.org/10.1016/j.aquatox.2005.07.004","http://dx.doi.org/10.1016/j.aquatox.2005.07.004")</f>
        <v>http://dx.doi.org/10.1016/j.aquatox.2005.07.004</v>
      </c>
      <c r="BG635" s="1" t="s">
        <v>74</v>
      </c>
      <c r="BH635" s="1" t="s">
        <v>74</v>
      </c>
      <c r="BI635" s="1">
        <v>11</v>
      </c>
      <c r="BJ635" s="1" t="s">
        <v>659</v>
      </c>
      <c r="BK635" s="1" t="s">
        <v>96</v>
      </c>
      <c r="BL635" s="1" t="s">
        <v>659</v>
      </c>
      <c r="BM635" s="1" t="s">
        <v>4393</v>
      </c>
      <c r="BN635" s="1">
        <v>16111776</v>
      </c>
      <c r="BO635" s="1" t="s">
        <v>74</v>
      </c>
      <c r="BP635" s="1" t="s">
        <v>74</v>
      </c>
      <c r="BQ635" s="1" t="s">
        <v>74</v>
      </c>
      <c r="BR635" s="1" t="s">
        <v>98</v>
      </c>
      <c r="BS635" s="1" t="s">
        <v>10920</v>
      </c>
      <c r="BT635" s="1" t="str">
        <f>HYPERLINK("https%3A%2F%2Fwww.webofscience.com%2Fwos%2Fwoscc%2Ffull-record%2FWOS:000232434300006","View Full Record in Web of Science")</f>
        <v>View Full Record in Web of Science</v>
      </c>
    </row>
    <row r="636" spans="1:72">
      <c r="A636" s="1" t="s">
        <v>72</v>
      </c>
      <c r="B636" s="1" t="s">
        <v>10921</v>
      </c>
      <c r="C636" s="1" t="s">
        <v>74</v>
      </c>
      <c r="D636" s="1" t="s">
        <v>74</v>
      </c>
      <c r="E636" s="1" t="s">
        <v>74</v>
      </c>
      <c r="F636" s="1" t="s">
        <v>10922</v>
      </c>
      <c r="G636" s="1" t="s">
        <v>74</v>
      </c>
      <c r="H636" s="1" t="s">
        <v>74</v>
      </c>
      <c r="I636" s="1" t="s">
        <v>10923</v>
      </c>
      <c r="J636" s="1" t="s">
        <v>421</v>
      </c>
      <c r="K636" s="1" t="s">
        <v>74</v>
      </c>
      <c r="L636" s="1" t="s">
        <v>74</v>
      </c>
      <c r="M636" s="1" t="s">
        <v>78</v>
      </c>
      <c r="N636" s="1" t="s">
        <v>79</v>
      </c>
      <c r="O636" s="1" t="s">
        <v>74</v>
      </c>
      <c r="P636" s="1" t="s">
        <v>74</v>
      </c>
      <c r="Q636" s="1" t="s">
        <v>74</v>
      </c>
      <c r="R636" s="1" t="s">
        <v>74</v>
      </c>
      <c r="S636" s="1" t="s">
        <v>74</v>
      </c>
      <c r="T636" s="1" t="s">
        <v>10924</v>
      </c>
      <c r="U636" s="1" t="s">
        <v>10925</v>
      </c>
      <c r="V636" s="1" t="s">
        <v>10926</v>
      </c>
      <c r="W636" s="1" t="s">
        <v>10927</v>
      </c>
      <c r="X636" s="1" t="s">
        <v>10928</v>
      </c>
      <c r="Y636" s="1" t="s">
        <v>10929</v>
      </c>
      <c r="Z636" s="1" t="s">
        <v>3709</v>
      </c>
      <c r="AA636" s="1" t="s">
        <v>10930</v>
      </c>
      <c r="AB636" s="1" t="s">
        <v>10931</v>
      </c>
      <c r="AC636" s="1" t="s">
        <v>10932</v>
      </c>
      <c r="AD636" s="1" t="s">
        <v>10933</v>
      </c>
      <c r="AE636" s="1" t="s">
        <v>10934</v>
      </c>
      <c r="AF636" s="1" t="s">
        <v>74</v>
      </c>
      <c r="AG636" s="1">
        <v>72</v>
      </c>
      <c r="AH636" s="1">
        <v>32</v>
      </c>
      <c r="AI636" s="1">
        <v>34</v>
      </c>
      <c r="AJ636" s="1">
        <v>6</v>
      </c>
      <c r="AK636" s="1">
        <v>79</v>
      </c>
      <c r="AL636" s="1" t="s">
        <v>430</v>
      </c>
      <c r="AM636" s="1" t="s">
        <v>137</v>
      </c>
      <c r="AN636" s="1" t="s">
        <v>431</v>
      </c>
      <c r="AO636" s="1" t="s">
        <v>432</v>
      </c>
      <c r="AP636" s="1" t="s">
        <v>1394</v>
      </c>
      <c r="AQ636" s="1" t="s">
        <v>74</v>
      </c>
      <c r="AR636" s="1" t="s">
        <v>433</v>
      </c>
      <c r="AS636" s="1" t="s">
        <v>434</v>
      </c>
      <c r="AT636" s="1" t="s">
        <v>119</v>
      </c>
      <c r="AU636" s="1">
        <v>2019</v>
      </c>
      <c r="AV636" s="1">
        <v>251</v>
      </c>
      <c r="AW636" s="1" t="s">
        <v>74</v>
      </c>
      <c r="AX636" s="1" t="s">
        <v>74</v>
      </c>
      <c r="AY636" s="1" t="s">
        <v>74</v>
      </c>
      <c r="AZ636" s="1" t="s">
        <v>74</v>
      </c>
      <c r="BA636" s="1" t="s">
        <v>74</v>
      </c>
      <c r="BB636" s="1">
        <v>802</v>
      </c>
      <c r="BC636" s="1">
        <v>810</v>
      </c>
      <c r="BD636" s="1" t="s">
        <v>74</v>
      </c>
      <c r="BE636" s="1" t="s">
        <v>10935</v>
      </c>
      <c r="BF636" s="1" t="str">
        <f>HYPERLINK("http://dx.doi.org/10.1016/j.envpol.2019.05.046","http://dx.doi.org/10.1016/j.envpol.2019.05.046")</f>
        <v>http://dx.doi.org/10.1016/j.envpol.2019.05.046</v>
      </c>
      <c r="BG636" s="1" t="s">
        <v>74</v>
      </c>
      <c r="BH636" s="1" t="s">
        <v>74</v>
      </c>
      <c r="BI636" s="1">
        <v>9</v>
      </c>
      <c r="BJ636" s="1" t="s">
        <v>144</v>
      </c>
      <c r="BK636" s="1" t="s">
        <v>96</v>
      </c>
      <c r="BL636" s="1" t="s">
        <v>145</v>
      </c>
      <c r="BM636" s="1" t="s">
        <v>10936</v>
      </c>
      <c r="BN636" s="1">
        <v>31125810</v>
      </c>
      <c r="BO636" s="1" t="s">
        <v>1752</v>
      </c>
      <c r="BP636" s="1" t="s">
        <v>74</v>
      </c>
      <c r="BQ636" s="1" t="s">
        <v>74</v>
      </c>
      <c r="BR636" s="1" t="s">
        <v>98</v>
      </c>
      <c r="BS636" s="1" t="s">
        <v>10937</v>
      </c>
      <c r="BT636" s="1" t="str">
        <f>HYPERLINK("https%3A%2F%2Fwww.webofscience.com%2Fwos%2Fwoscc%2Ffull-record%2FWOS:000474329700088","View Full Record in Web of Science")</f>
        <v>View Full Record in Web of Science</v>
      </c>
    </row>
    <row r="637" spans="1:72">
      <c r="A637" s="1" t="s">
        <v>72</v>
      </c>
      <c r="B637" s="1" t="s">
        <v>10938</v>
      </c>
      <c r="C637" s="1" t="s">
        <v>74</v>
      </c>
      <c r="D637" s="1" t="s">
        <v>74</v>
      </c>
      <c r="E637" s="1" t="s">
        <v>74</v>
      </c>
      <c r="F637" s="1" t="s">
        <v>10939</v>
      </c>
      <c r="G637" s="1" t="s">
        <v>74</v>
      </c>
      <c r="H637" s="1" t="s">
        <v>74</v>
      </c>
      <c r="I637" s="1" t="s">
        <v>10940</v>
      </c>
      <c r="J637" s="1" t="s">
        <v>103</v>
      </c>
      <c r="K637" s="1" t="s">
        <v>74</v>
      </c>
      <c r="L637" s="1" t="s">
        <v>74</v>
      </c>
      <c r="M637" s="1" t="s">
        <v>78</v>
      </c>
      <c r="N637" s="1" t="s">
        <v>79</v>
      </c>
      <c r="O637" s="1" t="s">
        <v>74</v>
      </c>
      <c r="P637" s="1" t="s">
        <v>74</v>
      </c>
      <c r="Q637" s="1" t="s">
        <v>74</v>
      </c>
      <c r="R637" s="1" t="s">
        <v>74</v>
      </c>
      <c r="S637" s="1" t="s">
        <v>74</v>
      </c>
      <c r="T637" s="1" t="s">
        <v>10941</v>
      </c>
      <c r="U637" s="1" t="s">
        <v>10942</v>
      </c>
      <c r="V637" s="1" t="s">
        <v>10943</v>
      </c>
      <c r="W637" s="1" t="s">
        <v>10944</v>
      </c>
      <c r="X637" s="1" t="s">
        <v>10945</v>
      </c>
      <c r="Y637" s="1" t="s">
        <v>10946</v>
      </c>
      <c r="Z637" s="1" t="s">
        <v>10947</v>
      </c>
      <c r="AA637" s="1" t="s">
        <v>10948</v>
      </c>
      <c r="AB637" s="1" t="s">
        <v>10949</v>
      </c>
      <c r="AC637" s="1" t="s">
        <v>10950</v>
      </c>
      <c r="AD637" s="1" t="s">
        <v>10951</v>
      </c>
      <c r="AE637" s="1" t="s">
        <v>10952</v>
      </c>
      <c r="AF637" s="1" t="s">
        <v>74</v>
      </c>
      <c r="AG637" s="1">
        <v>32</v>
      </c>
      <c r="AH637" s="1">
        <v>22</v>
      </c>
      <c r="AI637" s="1">
        <v>25</v>
      </c>
      <c r="AJ637" s="1">
        <v>10</v>
      </c>
      <c r="AK637" s="1">
        <v>85</v>
      </c>
      <c r="AL637" s="1" t="s">
        <v>112</v>
      </c>
      <c r="AM637" s="1" t="s">
        <v>113</v>
      </c>
      <c r="AN637" s="1" t="s">
        <v>114</v>
      </c>
      <c r="AO637" s="1" t="s">
        <v>115</v>
      </c>
      <c r="AP637" s="1" t="s">
        <v>116</v>
      </c>
      <c r="AQ637" s="1" t="s">
        <v>74</v>
      </c>
      <c r="AR637" s="1" t="s">
        <v>117</v>
      </c>
      <c r="AS637" s="1" t="s">
        <v>118</v>
      </c>
      <c r="AT637" s="1" t="s">
        <v>119</v>
      </c>
      <c r="AU637" s="1">
        <v>2020</v>
      </c>
      <c r="AV637" s="1">
        <v>105</v>
      </c>
      <c r="AW637" s="1">
        <v>2</v>
      </c>
      <c r="AX637" s="1" t="s">
        <v>74</v>
      </c>
      <c r="AY637" s="1" t="s">
        <v>74</v>
      </c>
      <c r="AZ637" s="1" t="s">
        <v>74</v>
      </c>
      <c r="BA637" s="1" t="s">
        <v>74</v>
      </c>
      <c r="BB637" s="1">
        <v>277</v>
      </c>
      <c r="BC637" s="1">
        <v>282</v>
      </c>
      <c r="BD637" s="1" t="s">
        <v>74</v>
      </c>
      <c r="BE637" s="1" t="s">
        <v>10953</v>
      </c>
      <c r="BF637" s="1" t="str">
        <f>HYPERLINK("http://dx.doi.org/10.1007/s00128-020-02906-w","http://dx.doi.org/10.1007/s00128-020-02906-w")</f>
        <v>http://dx.doi.org/10.1007/s00128-020-02906-w</v>
      </c>
      <c r="BG637" s="1" t="s">
        <v>74</v>
      </c>
      <c r="BH637" s="1" t="s">
        <v>10954</v>
      </c>
      <c r="BI637" s="1">
        <v>6</v>
      </c>
      <c r="BJ637" s="1" t="s">
        <v>121</v>
      </c>
      <c r="BK637" s="1" t="s">
        <v>96</v>
      </c>
      <c r="BL637" s="1" t="s">
        <v>122</v>
      </c>
      <c r="BM637" s="1" t="s">
        <v>10955</v>
      </c>
      <c r="BN637" s="1">
        <v>32556688</v>
      </c>
      <c r="BO637" s="1" t="s">
        <v>1752</v>
      </c>
      <c r="BP637" s="1" t="s">
        <v>74</v>
      </c>
      <c r="BQ637" s="1" t="s">
        <v>74</v>
      </c>
      <c r="BR637" s="1" t="s">
        <v>98</v>
      </c>
      <c r="BS637" s="1" t="s">
        <v>10956</v>
      </c>
      <c r="BT637" s="1" t="str">
        <f>HYPERLINK("https%3A%2F%2Fwww.webofscience.com%2Fwos%2Fwoscc%2Ffull-record%2FWOS:000542848100002","View Full Record in Web of Science")</f>
        <v>View Full Record in Web of Science</v>
      </c>
    </row>
    <row r="638" spans="1:72">
      <c r="A638" s="1" t="s">
        <v>72</v>
      </c>
      <c r="B638" s="1" t="s">
        <v>10957</v>
      </c>
      <c r="C638" s="1" t="s">
        <v>74</v>
      </c>
      <c r="D638" s="1" t="s">
        <v>74</v>
      </c>
      <c r="E638" s="1" t="s">
        <v>74</v>
      </c>
      <c r="F638" s="1" t="s">
        <v>10958</v>
      </c>
      <c r="G638" s="1" t="s">
        <v>74</v>
      </c>
      <c r="H638" s="1" t="s">
        <v>74</v>
      </c>
      <c r="I638" s="1" t="s">
        <v>10959</v>
      </c>
      <c r="J638" s="1" t="s">
        <v>204</v>
      </c>
      <c r="K638" s="1" t="s">
        <v>74</v>
      </c>
      <c r="L638" s="1" t="s">
        <v>74</v>
      </c>
      <c r="M638" s="1" t="s">
        <v>78</v>
      </c>
      <c r="N638" s="1" t="s">
        <v>79</v>
      </c>
      <c r="O638" s="1" t="s">
        <v>74</v>
      </c>
      <c r="P638" s="1" t="s">
        <v>74</v>
      </c>
      <c r="Q638" s="1" t="s">
        <v>74</v>
      </c>
      <c r="R638" s="1" t="s">
        <v>74</v>
      </c>
      <c r="S638" s="1" t="s">
        <v>74</v>
      </c>
      <c r="T638" s="1" t="s">
        <v>10960</v>
      </c>
      <c r="U638" s="1" t="s">
        <v>10961</v>
      </c>
      <c r="V638" s="1" t="s">
        <v>10962</v>
      </c>
      <c r="W638" s="1" t="s">
        <v>10963</v>
      </c>
      <c r="X638" s="1" t="s">
        <v>8116</v>
      </c>
      <c r="Y638" s="1" t="s">
        <v>10964</v>
      </c>
      <c r="Z638" s="1" t="s">
        <v>8118</v>
      </c>
      <c r="AA638" s="1" t="s">
        <v>74</v>
      </c>
      <c r="AB638" s="1" t="s">
        <v>74</v>
      </c>
      <c r="AC638" s="1" t="s">
        <v>10965</v>
      </c>
      <c r="AD638" s="1" t="s">
        <v>10966</v>
      </c>
      <c r="AE638" s="1" t="s">
        <v>10967</v>
      </c>
      <c r="AF638" s="1" t="s">
        <v>74</v>
      </c>
      <c r="AG638" s="1">
        <v>48</v>
      </c>
      <c r="AH638" s="1">
        <v>139</v>
      </c>
      <c r="AI638" s="1">
        <v>158</v>
      </c>
      <c r="AJ638" s="1">
        <v>1</v>
      </c>
      <c r="AK638" s="1">
        <v>95</v>
      </c>
      <c r="AL638" s="1" t="s">
        <v>217</v>
      </c>
      <c r="AM638" s="1" t="s">
        <v>218</v>
      </c>
      <c r="AN638" s="1" t="s">
        <v>219</v>
      </c>
      <c r="AO638" s="1" t="s">
        <v>220</v>
      </c>
      <c r="AP638" s="1" t="s">
        <v>221</v>
      </c>
      <c r="AQ638" s="1" t="s">
        <v>74</v>
      </c>
      <c r="AR638" s="1" t="s">
        <v>222</v>
      </c>
      <c r="AS638" s="1" t="s">
        <v>223</v>
      </c>
      <c r="AT638" s="1" t="s">
        <v>170</v>
      </c>
      <c r="AU638" s="1">
        <v>2013</v>
      </c>
      <c r="AV638" s="1">
        <v>20</v>
      </c>
      <c r="AW638" s="1">
        <v>5</v>
      </c>
      <c r="AX638" s="1" t="s">
        <v>74</v>
      </c>
      <c r="AY638" s="1" t="s">
        <v>74</v>
      </c>
      <c r="AZ638" s="1" t="s">
        <v>74</v>
      </c>
      <c r="BA638" s="1" t="s">
        <v>74</v>
      </c>
      <c r="BB638" s="1">
        <v>2937</v>
      </c>
      <c r="BC638" s="1">
        <v>2947</v>
      </c>
      <c r="BD638" s="1" t="s">
        <v>74</v>
      </c>
      <c r="BE638" s="1" t="s">
        <v>10968</v>
      </c>
      <c r="BF638" s="1" t="str">
        <f>HYPERLINK("http://dx.doi.org/10.1007/s11356-012-1207-3","http://dx.doi.org/10.1007/s11356-012-1207-3")</f>
        <v>http://dx.doi.org/10.1007/s11356-012-1207-3</v>
      </c>
      <c r="BG638" s="1" t="s">
        <v>74</v>
      </c>
      <c r="BH638" s="1" t="s">
        <v>74</v>
      </c>
      <c r="BI638" s="1">
        <v>11</v>
      </c>
      <c r="BJ638" s="1" t="s">
        <v>144</v>
      </c>
      <c r="BK638" s="1" t="s">
        <v>96</v>
      </c>
      <c r="BL638" s="1" t="s">
        <v>145</v>
      </c>
      <c r="BM638" s="1" t="s">
        <v>7001</v>
      </c>
      <c r="BN638" s="1">
        <v>23054773</v>
      </c>
      <c r="BO638" s="1" t="s">
        <v>74</v>
      </c>
      <c r="BP638" s="1" t="s">
        <v>74</v>
      </c>
      <c r="BQ638" s="1" t="s">
        <v>74</v>
      </c>
      <c r="BR638" s="1" t="s">
        <v>98</v>
      </c>
      <c r="BS638" s="1" t="s">
        <v>10969</v>
      </c>
      <c r="BT638" s="1" t="str">
        <f>HYPERLINK("https%3A%2F%2Fwww.webofscience.com%2Fwos%2Fwoscc%2Ffull-record%2FWOS:000318175400022","View Full Record in Web of Science")</f>
        <v>View Full Record in Web of Science</v>
      </c>
    </row>
    <row r="639" spans="1:72">
      <c r="A639" s="1" t="s">
        <v>72</v>
      </c>
      <c r="B639" s="1" t="s">
        <v>10970</v>
      </c>
      <c r="C639" s="1" t="s">
        <v>74</v>
      </c>
      <c r="D639" s="1" t="s">
        <v>74</v>
      </c>
      <c r="E639" s="1" t="s">
        <v>74</v>
      </c>
      <c r="F639" s="1" t="s">
        <v>10971</v>
      </c>
      <c r="G639" s="1" t="s">
        <v>74</v>
      </c>
      <c r="H639" s="1" t="s">
        <v>74</v>
      </c>
      <c r="I639" s="1" t="s">
        <v>10972</v>
      </c>
      <c r="J639" s="1" t="s">
        <v>395</v>
      </c>
      <c r="K639" s="1" t="s">
        <v>74</v>
      </c>
      <c r="L639" s="1" t="s">
        <v>74</v>
      </c>
      <c r="M639" s="1" t="s">
        <v>78</v>
      </c>
      <c r="N639" s="1" t="s">
        <v>79</v>
      </c>
      <c r="O639" s="1" t="s">
        <v>74</v>
      </c>
      <c r="P639" s="1" t="s">
        <v>74</v>
      </c>
      <c r="Q639" s="1" t="s">
        <v>74</v>
      </c>
      <c r="R639" s="1" t="s">
        <v>74</v>
      </c>
      <c r="S639" s="1" t="s">
        <v>74</v>
      </c>
      <c r="T639" s="1" t="s">
        <v>10973</v>
      </c>
      <c r="U639" s="1" t="s">
        <v>10974</v>
      </c>
      <c r="V639" s="1" t="s">
        <v>10975</v>
      </c>
      <c r="W639" s="1" t="s">
        <v>10976</v>
      </c>
      <c r="X639" s="1" t="s">
        <v>10977</v>
      </c>
      <c r="Y639" s="1" t="s">
        <v>10978</v>
      </c>
      <c r="Z639" s="1" t="s">
        <v>3537</v>
      </c>
      <c r="AA639" s="1" t="s">
        <v>10979</v>
      </c>
      <c r="AB639" s="1" t="s">
        <v>10980</v>
      </c>
      <c r="AC639" s="1" t="s">
        <v>10981</v>
      </c>
      <c r="AD639" s="1" t="s">
        <v>10982</v>
      </c>
      <c r="AE639" s="1" t="s">
        <v>10983</v>
      </c>
      <c r="AF639" s="1" t="s">
        <v>74</v>
      </c>
      <c r="AG639" s="1">
        <v>94</v>
      </c>
      <c r="AH639" s="1">
        <v>35</v>
      </c>
      <c r="AI639" s="1">
        <v>38</v>
      </c>
      <c r="AJ639" s="1">
        <v>1</v>
      </c>
      <c r="AK639" s="1">
        <v>36</v>
      </c>
      <c r="AL639" s="1" t="s">
        <v>408</v>
      </c>
      <c r="AM639" s="1" t="s">
        <v>409</v>
      </c>
      <c r="AN639" s="1" t="s">
        <v>1188</v>
      </c>
      <c r="AO639" s="1" t="s">
        <v>411</v>
      </c>
      <c r="AP639" s="1" t="s">
        <v>6093</v>
      </c>
      <c r="AQ639" s="1" t="s">
        <v>74</v>
      </c>
      <c r="AR639" s="1" t="s">
        <v>412</v>
      </c>
      <c r="AS639" s="1" t="s">
        <v>413</v>
      </c>
      <c r="AT639" s="1" t="s">
        <v>74</v>
      </c>
      <c r="AU639" s="1">
        <v>2014</v>
      </c>
      <c r="AV639" s="1">
        <v>49</v>
      </c>
      <c r="AW639" s="1">
        <v>13</v>
      </c>
      <c r="AX639" s="1" t="s">
        <v>74</v>
      </c>
      <c r="AY639" s="1" t="s">
        <v>74</v>
      </c>
      <c r="AZ639" s="1" t="s">
        <v>74</v>
      </c>
      <c r="BA639" s="1" t="s">
        <v>74</v>
      </c>
      <c r="BB639" s="1">
        <v>1564</v>
      </c>
      <c r="BC639" s="1">
        <v>1577</v>
      </c>
      <c r="BD639" s="1" t="s">
        <v>74</v>
      </c>
      <c r="BE639" s="1" t="s">
        <v>10984</v>
      </c>
      <c r="BF639" s="1" t="str">
        <f>HYPERLINK("http://dx.doi.org/10.1080/10934529.2014.938534","http://dx.doi.org/10.1080/10934529.2014.938534")</f>
        <v>http://dx.doi.org/10.1080/10934529.2014.938534</v>
      </c>
      <c r="BG639" s="1" t="s">
        <v>74</v>
      </c>
      <c r="BH639" s="1" t="s">
        <v>74</v>
      </c>
      <c r="BI639" s="1">
        <v>14</v>
      </c>
      <c r="BJ639" s="1" t="s">
        <v>415</v>
      </c>
      <c r="BK639" s="1" t="s">
        <v>96</v>
      </c>
      <c r="BL639" s="1" t="s">
        <v>416</v>
      </c>
      <c r="BM639" s="1" t="s">
        <v>10985</v>
      </c>
      <c r="BN639" s="1">
        <v>25137544</v>
      </c>
      <c r="BO639" s="1" t="s">
        <v>74</v>
      </c>
      <c r="BP639" s="1" t="s">
        <v>74</v>
      </c>
      <c r="BQ639" s="1" t="s">
        <v>74</v>
      </c>
      <c r="BR639" s="1" t="s">
        <v>98</v>
      </c>
      <c r="BS639" s="1" t="s">
        <v>10986</v>
      </c>
      <c r="BT639" s="1" t="str">
        <f>HYPERLINK("https%3A%2F%2Fwww.webofscience.com%2Fwos%2Fwoscc%2Ffull-record%2FWOS:000341136200012","View Full Record in Web of Science")</f>
        <v>View Full Record in Web of Science</v>
      </c>
    </row>
    <row r="640" spans="1:72">
      <c r="A640" s="1" t="s">
        <v>72</v>
      </c>
      <c r="B640" s="1" t="s">
        <v>10987</v>
      </c>
      <c r="C640" s="1" t="s">
        <v>74</v>
      </c>
      <c r="D640" s="1" t="s">
        <v>74</v>
      </c>
      <c r="E640" s="1" t="s">
        <v>74</v>
      </c>
      <c r="F640" s="1" t="s">
        <v>10988</v>
      </c>
      <c r="G640" s="1" t="s">
        <v>74</v>
      </c>
      <c r="H640" s="1" t="s">
        <v>74</v>
      </c>
      <c r="I640" s="1" t="s">
        <v>10989</v>
      </c>
      <c r="J640" s="1" t="s">
        <v>4549</v>
      </c>
      <c r="K640" s="1" t="s">
        <v>74</v>
      </c>
      <c r="L640" s="1" t="s">
        <v>74</v>
      </c>
      <c r="M640" s="1" t="s">
        <v>78</v>
      </c>
      <c r="N640" s="1" t="s">
        <v>79</v>
      </c>
      <c r="O640" s="1" t="s">
        <v>74</v>
      </c>
      <c r="P640" s="1" t="s">
        <v>74</v>
      </c>
      <c r="Q640" s="1" t="s">
        <v>74</v>
      </c>
      <c r="R640" s="1" t="s">
        <v>74</v>
      </c>
      <c r="S640" s="1" t="s">
        <v>74</v>
      </c>
      <c r="T640" s="1" t="s">
        <v>10990</v>
      </c>
      <c r="U640" s="1" t="s">
        <v>10991</v>
      </c>
      <c r="V640" s="1" t="s">
        <v>10992</v>
      </c>
      <c r="W640" s="1" t="s">
        <v>10993</v>
      </c>
      <c r="X640" s="1" t="s">
        <v>10994</v>
      </c>
      <c r="Y640" s="1" t="s">
        <v>10995</v>
      </c>
      <c r="Z640" s="1" t="s">
        <v>10996</v>
      </c>
      <c r="AA640" s="1" t="s">
        <v>74</v>
      </c>
      <c r="AB640" s="1" t="s">
        <v>10997</v>
      </c>
      <c r="AC640" s="1" t="s">
        <v>74</v>
      </c>
      <c r="AD640" s="1" t="s">
        <v>74</v>
      </c>
      <c r="AE640" s="1" t="s">
        <v>74</v>
      </c>
      <c r="AF640" s="1" t="s">
        <v>74</v>
      </c>
      <c r="AG640" s="1">
        <v>96</v>
      </c>
      <c r="AH640" s="1">
        <v>0</v>
      </c>
      <c r="AI640" s="1">
        <v>0</v>
      </c>
      <c r="AJ640" s="1">
        <v>0</v>
      </c>
      <c r="AK640" s="1">
        <v>0</v>
      </c>
      <c r="AL640" s="1" t="s">
        <v>136</v>
      </c>
      <c r="AM640" s="1" t="s">
        <v>137</v>
      </c>
      <c r="AN640" s="1" t="s">
        <v>138</v>
      </c>
      <c r="AO640" s="1" t="s">
        <v>4559</v>
      </c>
      <c r="AP640" s="1" t="s">
        <v>4560</v>
      </c>
      <c r="AQ640" s="1" t="s">
        <v>74</v>
      </c>
      <c r="AR640" s="1" t="s">
        <v>4561</v>
      </c>
      <c r="AS640" s="1" t="s">
        <v>4562</v>
      </c>
      <c r="AT640" s="1" t="s">
        <v>267</v>
      </c>
      <c r="AU640" s="1">
        <v>2024</v>
      </c>
      <c r="AV640" s="1">
        <v>192</v>
      </c>
      <c r="AW640" s="1" t="s">
        <v>74</v>
      </c>
      <c r="AX640" s="1" t="s">
        <v>74</v>
      </c>
      <c r="AY640" s="1" t="s">
        <v>74</v>
      </c>
      <c r="AZ640" s="1" t="s">
        <v>74</v>
      </c>
      <c r="BA640" s="1" t="s">
        <v>74</v>
      </c>
      <c r="BB640" s="1" t="s">
        <v>74</v>
      </c>
      <c r="BC640" s="1" t="s">
        <v>74</v>
      </c>
      <c r="BD640" s="1">
        <v>114925</v>
      </c>
      <c r="BE640" s="1" t="s">
        <v>10998</v>
      </c>
      <c r="BF640" s="1" t="str">
        <f>HYPERLINK("http://dx.doi.org/10.1016/j.fct.2024.114925","http://dx.doi.org/10.1016/j.fct.2024.114925")</f>
        <v>http://dx.doi.org/10.1016/j.fct.2024.114925</v>
      </c>
      <c r="BG640" s="1" t="s">
        <v>74</v>
      </c>
      <c r="BH640" s="1" t="s">
        <v>10999</v>
      </c>
      <c r="BI640" s="1">
        <v>15</v>
      </c>
      <c r="BJ640" s="1" t="s">
        <v>4564</v>
      </c>
      <c r="BK640" s="1" t="s">
        <v>96</v>
      </c>
      <c r="BL640" s="1" t="s">
        <v>4564</v>
      </c>
      <c r="BM640" s="1" t="s">
        <v>11000</v>
      </c>
      <c r="BN640" s="1">
        <v>39142552</v>
      </c>
      <c r="BO640" s="1" t="s">
        <v>74</v>
      </c>
      <c r="BP640" s="1" t="s">
        <v>74</v>
      </c>
      <c r="BQ640" s="1" t="s">
        <v>74</v>
      </c>
      <c r="BR640" s="1" t="s">
        <v>98</v>
      </c>
      <c r="BS640" s="1" t="s">
        <v>11001</v>
      </c>
      <c r="BT640" s="1" t="str">
        <f>HYPERLINK("https%3A%2F%2Fwww.webofscience.com%2Fwos%2Fwoscc%2Ffull-record%2FWOS:001297738400001","View Full Record in Web of Science")</f>
        <v>View Full Record in Web of Science</v>
      </c>
    </row>
    <row r="641" spans="1:72">
      <c r="A641" s="1" t="s">
        <v>72</v>
      </c>
      <c r="B641" s="1" t="s">
        <v>11002</v>
      </c>
      <c r="C641" s="1" t="s">
        <v>74</v>
      </c>
      <c r="D641" s="1" t="s">
        <v>74</v>
      </c>
      <c r="E641" s="1" t="s">
        <v>74</v>
      </c>
      <c r="F641" s="1" t="s">
        <v>11003</v>
      </c>
      <c r="G641" s="1" t="s">
        <v>74</v>
      </c>
      <c r="H641" s="1" t="s">
        <v>74</v>
      </c>
      <c r="I641" s="1" t="s">
        <v>11004</v>
      </c>
      <c r="J641" s="1" t="s">
        <v>664</v>
      </c>
      <c r="K641" s="1" t="s">
        <v>74</v>
      </c>
      <c r="L641" s="1" t="s">
        <v>74</v>
      </c>
      <c r="M641" s="1" t="s">
        <v>78</v>
      </c>
      <c r="N641" s="1" t="s">
        <v>79</v>
      </c>
      <c r="O641" s="1" t="s">
        <v>74</v>
      </c>
      <c r="P641" s="1" t="s">
        <v>74</v>
      </c>
      <c r="Q641" s="1" t="s">
        <v>74</v>
      </c>
      <c r="R641" s="1" t="s">
        <v>74</v>
      </c>
      <c r="S641" s="1" t="s">
        <v>74</v>
      </c>
      <c r="T641" s="1" t="s">
        <v>11005</v>
      </c>
      <c r="U641" s="1" t="s">
        <v>11006</v>
      </c>
      <c r="V641" s="1" t="s">
        <v>11007</v>
      </c>
      <c r="W641" s="1" t="s">
        <v>11008</v>
      </c>
      <c r="X641" s="1" t="s">
        <v>74</v>
      </c>
      <c r="Y641" s="1" t="s">
        <v>11009</v>
      </c>
      <c r="Z641" s="1" t="s">
        <v>11010</v>
      </c>
      <c r="AA641" s="1" t="s">
        <v>11011</v>
      </c>
      <c r="AB641" s="1" t="s">
        <v>11012</v>
      </c>
      <c r="AC641" s="1" t="s">
        <v>74</v>
      </c>
      <c r="AD641" s="1" t="s">
        <v>74</v>
      </c>
      <c r="AE641" s="1" t="s">
        <v>74</v>
      </c>
      <c r="AF641" s="1" t="s">
        <v>74</v>
      </c>
      <c r="AG641" s="1">
        <v>45</v>
      </c>
      <c r="AH641" s="1">
        <v>5</v>
      </c>
      <c r="AI641" s="1">
        <v>5</v>
      </c>
      <c r="AJ641" s="1">
        <v>1</v>
      </c>
      <c r="AK641" s="1">
        <v>12</v>
      </c>
      <c r="AL641" s="1" t="s">
        <v>673</v>
      </c>
      <c r="AM641" s="1" t="s">
        <v>674</v>
      </c>
      <c r="AN641" s="1" t="s">
        <v>675</v>
      </c>
      <c r="AO641" s="1" t="s">
        <v>676</v>
      </c>
      <c r="AP641" s="1" t="s">
        <v>74</v>
      </c>
      <c r="AQ641" s="1" t="s">
        <v>74</v>
      </c>
      <c r="AR641" s="1" t="s">
        <v>677</v>
      </c>
      <c r="AS641" s="1" t="s">
        <v>678</v>
      </c>
      <c r="AT641" s="1" t="s">
        <v>305</v>
      </c>
      <c r="AU641" s="1">
        <v>2012</v>
      </c>
      <c r="AV641" s="1">
        <v>38</v>
      </c>
      <c r="AW641" s="1">
        <v>3</v>
      </c>
      <c r="AX641" s="1" t="s">
        <v>74</v>
      </c>
      <c r="AY641" s="1" t="s">
        <v>74</v>
      </c>
      <c r="AZ641" s="1" t="s">
        <v>74</v>
      </c>
      <c r="BA641" s="1" t="s">
        <v>74</v>
      </c>
      <c r="BB641" s="1">
        <v>517</v>
      </c>
      <c r="BC641" s="1">
        <v>528</v>
      </c>
      <c r="BD641" s="1" t="s">
        <v>74</v>
      </c>
      <c r="BE641" s="1" t="s">
        <v>11013</v>
      </c>
      <c r="BF641" s="1" t="str">
        <f>HYPERLINK("http://dx.doi.org/10.7773/cm.v38i3.2046","http://dx.doi.org/10.7773/cm.v38i3.2046")</f>
        <v>http://dx.doi.org/10.7773/cm.v38i3.2046</v>
      </c>
      <c r="BG641" s="1" t="s">
        <v>74</v>
      </c>
      <c r="BH641" s="1" t="s">
        <v>74</v>
      </c>
      <c r="BI641" s="1">
        <v>12</v>
      </c>
      <c r="BJ641" s="1" t="s">
        <v>680</v>
      </c>
      <c r="BK641" s="1" t="s">
        <v>96</v>
      </c>
      <c r="BL641" s="1" t="s">
        <v>680</v>
      </c>
      <c r="BM641" s="1" t="s">
        <v>11014</v>
      </c>
      <c r="BN641" s="1" t="s">
        <v>74</v>
      </c>
      <c r="BO641" s="1" t="s">
        <v>637</v>
      </c>
      <c r="BP641" s="1" t="s">
        <v>74</v>
      </c>
      <c r="BQ641" s="1" t="s">
        <v>74</v>
      </c>
      <c r="BR641" s="1" t="s">
        <v>98</v>
      </c>
      <c r="BS641" s="1" t="s">
        <v>11015</v>
      </c>
      <c r="BT641" s="1" t="str">
        <f>HYPERLINK("https%3A%2F%2Fwww.webofscience.com%2Fwos%2Fwoscc%2Ffull-record%2FWOS:000309309500004","View Full Record in Web of Science")</f>
        <v>View Full Record in Web of Science</v>
      </c>
    </row>
    <row r="642" spans="1:72">
      <c r="A642" s="1" t="s">
        <v>72</v>
      </c>
      <c r="B642" s="1" t="s">
        <v>11016</v>
      </c>
      <c r="C642" s="1" t="s">
        <v>74</v>
      </c>
      <c r="D642" s="1" t="s">
        <v>74</v>
      </c>
      <c r="E642" s="1" t="s">
        <v>74</v>
      </c>
      <c r="F642" s="1" t="s">
        <v>11017</v>
      </c>
      <c r="G642" s="1" t="s">
        <v>74</v>
      </c>
      <c r="H642" s="1" t="s">
        <v>74</v>
      </c>
      <c r="I642" s="1" t="s">
        <v>11018</v>
      </c>
      <c r="J642" s="1" t="s">
        <v>641</v>
      </c>
      <c r="K642" s="1" t="s">
        <v>74</v>
      </c>
      <c r="L642" s="1" t="s">
        <v>74</v>
      </c>
      <c r="M642" s="1" t="s">
        <v>78</v>
      </c>
      <c r="N642" s="1" t="s">
        <v>79</v>
      </c>
      <c r="O642" s="1" t="s">
        <v>74</v>
      </c>
      <c r="P642" s="1" t="s">
        <v>74</v>
      </c>
      <c r="Q642" s="1" t="s">
        <v>74</v>
      </c>
      <c r="R642" s="1" t="s">
        <v>74</v>
      </c>
      <c r="S642" s="1" t="s">
        <v>74</v>
      </c>
      <c r="T642" s="1" t="s">
        <v>11019</v>
      </c>
      <c r="U642" s="1" t="s">
        <v>11020</v>
      </c>
      <c r="V642" s="1" t="s">
        <v>11021</v>
      </c>
      <c r="W642" s="1" t="s">
        <v>11022</v>
      </c>
      <c r="X642" s="1" t="s">
        <v>3724</v>
      </c>
      <c r="Y642" s="1" t="s">
        <v>11023</v>
      </c>
      <c r="Z642" s="1" t="s">
        <v>5489</v>
      </c>
      <c r="AA642" s="1" t="s">
        <v>5490</v>
      </c>
      <c r="AB642" s="1" t="s">
        <v>5491</v>
      </c>
      <c r="AC642" s="1" t="s">
        <v>74</v>
      </c>
      <c r="AD642" s="1" t="s">
        <v>74</v>
      </c>
      <c r="AE642" s="1" t="s">
        <v>74</v>
      </c>
      <c r="AF642" s="1" t="s">
        <v>74</v>
      </c>
      <c r="AG642" s="1">
        <v>68</v>
      </c>
      <c r="AH642" s="1">
        <v>54</v>
      </c>
      <c r="AI642" s="1">
        <v>63</v>
      </c>
      <c r="AJ642" s="1">
        <v>1</v>
      </c>
      <c r="AK642" s="1">
        <v>31</v>
      </c>
      <c r="AL642" s="1" t="s">
        <v>650</v>
      </c>
      <c r="AM642" s="1" t="s">
        <v>651</v>
      </c>
      <c r="AN642" s="1" t="s">
        <v>652</v>
      </c>
      <c r="AO642" s="1" t="s">
        <v>653</v>
      </c>
      <c r="AP642" s="1" t="s">
        <v>654</v>
      </c>
      <c r="AQ642" s="1" t="s">
        <v>74</v>
      </c>
      <c r="AR642" s="1" t="s">
        <v>655</v>
      </c>
      <c r="AS642" s="1" t="s">
        <v>656</v>
      </c>
      <c r="AT642" s="1" t="s">
        <v>11024</v>
      </c>
      <c r="AU642" s="1">
        <v>2008</v>
      </c>
      <c r="AV642" s="1">
        <v>88</v>
      </c>
      <c r="AW642" s="1">
        <v>1</v>
      </c>
      <c r="AX642" s="1" t="s">
        <v>74</v>
      </c>
      <c r="AY642" s="1" t="s">
        <v>74</v>
      </c>
      <c r="AZ642" s="1" t="s">
        <v>74</v>
      </c>
      <c r="BA642" s="1" t="s">
        <v>74</v>
      </c>
      <c r="BB642" s="1">
        <v>19</v>
      </c>
      <c r="BC642" s="1">
        <v>28</v>
      </c>
      <c r="BD642" s="1" t="s">
        <v>74</v>
      </c>
      <c r="BE642" s="1" t="s">
        <v>11025</v>
      </c>
      <c r="BF642" s="1" t="str">
        <f>HYPERLINK("http://dx.doi.org/10.1016/j.aquatox.2008.02.014","http://dx.doi.org/10.1016/j.aquatox.2008.02.014")</f>
        <v>http://dx.doi.org/10.1016/j.aquatox.2008.02.014</v>
      </c>
      <c r="BG642" s="1" t="s">
        <v>74</v>
      </c>
      <c r="BH642" s="1" t="s">
        <v>74</v>
      </c>
      <c r="BI642" s="1">
        <v>10</v>
      </c>
      <c r="BJ642" s="1" t="s">
        <v>659</v>
      </c>
      <c r="BK642" s="1" t="s">
        <v>96</v>
      </c>
      <c r="BL642" s="1" t="s">
        <v>659</v>
      </c>
      <c r="BM642" s="1" t="s">
        <v>11026</v>
      </c>
      <c r="BN642" s="1">
        <v>18453012</v>
      </c>
      <c r="BO642" s="1" t="s">
        <v>74</v>
      </c>
      <c r="BP642" s="1" t="s">
        <v>74</v>
      </c>
      <c r="BQ642" s="1" t="s">
        <v>74</v>
      </c>
      <c r="BR642" s="1" t="s">
        <v>98</v>
      </c>
      <c r="BS642" s="1" t="s">
        <v>11027</v>
      </c>
      <c r="BT642" s="1" t="str">
        <f>HYPERLINK("https%3A%2F%2Fwww.webofscience.com%2Fwos%2Fwoscc%2Ffull-record%2FWOS:000257005700003","View Full Record in Web of Science")</f>
        <v>View Full Record in Web of Science</v>
      </c>
    </row>
    <row r="643" spans="1:72">
      <c r="A643" s="1" t="s">
        <v>72</v>
      </c>
      <c r="B643" s="1" t="s">
        <v>11028</v>
      </c>
      <c r="C643" s="1" t="s">
        <v>74</v>
      </c>
      <c r="D643" s="1" t="s">
        <v>74</v>
      </c>
      <c r="E643" s="1" t="s">
        <v>74</v>
      </c>
      <c r="F643" s="1" t="s">
        <v>11029</v>
      </c>
      <c r="G643" s="1" t="s">
        <v>74</v>
      </c>
      <c r="H643" s="1" t="s">
        <v>74</v>
      </c>
      <c r="I643" s="1" t="s">
        <v>11030</v>
      </c>
      <c r="J643" s="1" t="s">
        <v>5067</v>
      </c>
      <c r="K643" s="1" t="s">
        <v>74</v>
      </c>
      <c r="L643" s="1" t="s">
        <v>74</v>
      </c>
      <c r="M643" s="1" t="s">
        <v>78</v>
      </c>
      <c r="N643" s="1" t="s">
        <v>79</v>
      </c>
      <c r="O643" s="1" t="s">
        <v>74</v>
      </c>
      <c r="P643" s="1" t="s">
        <v>74</v>
      </c>
      <c r="Q643" s="1" t="s">
        <v>74</v>
      </c>
      <c r="R643" s="1" t="s">
        <v>74</v>
      </c>
      <c r="S643" s="1" t="s">
        <v>74</v>
      </c>
      <c r="T643" s="1" t="s">
        <v>11031</v>
      </c>
      <c r="U643" s="1" t="s">
        <v>11032</v>
      </c>
      <c r="V643" s="1" t="s">
        <v>11033</v>
      </c>
      <c r="W643" s="1" t="s">
        <v>11034</v>
      </c>
      <c r="X643" s="1" t="s">
        <v>11035</v>
      </c>
      <c r="Y643" s="1" t="s">
        <v>11036</v>
      </c>
      <c r="Z643" s="1" t="s">
        <v>10399</v>
      </c>
      <c r="AA643" s="1" t="s">
        <v>11037</v>
      </c>
      <c r="AB643" s="1" t="s">
        <v>74</v>
      </c>
      <c r="AC643" s="1" t="s">
        <v>11038</v>
      </c>
      <c r="AD643" s="1" t="s">
        <v>11038</v>
      </c>
      <c r="AE643" s="1" t="s">
        <v>11039</v>
      </c>
      <c r="AF643" s="1" t="s">
        <v>74</v>
      </c>
      <c r="AG643" s="1">
        <v>27</v>
      </c>
      <c r="AH643" s="1">
        <v>7</v>
      </c>
      <c r="AI643" s="1">
        <v>8</v>
      </c>
      <c r="AJ643" s="1">
        <v>0</v>
      </c>
      <c r="AK643" s="1">
        <v>10</v>
      </c>
      <c r="AL643" s="1" t="s">
        <v>5077</v>
      </c>
      <c r="AM643" s="1" t="s">
        <v>5078</v>
      </c>
      <c r="AN643" s="1" t="s">
        <v>5079</v>
      </c>
      <c r="AO643" s="1" t="s">
        <v>5080</v>
      </c>
      <c r="AP643" s="1" t="s">
        <v>5081</v>
      </c>
      <c r="AQ643" s="1" t="s">
        <v>74</v>
      </c>
      <c r="AR643" s="1" t="s">
        <v>5082</v>
      </c>
      <c r="AS643" s="1" t="s">
        <v>5083</v>
      </c>
      <c r="AT643" s="1" t="s">
        <v>267</v>
      </c>
      <c r="AU643" s="1">
        <v>2010</v>
      </c>
      <c r="AV643" s="1">
        <v>5</v>
      </c>
      <c r="AW643" s="1">
        <v>2</v>
      </c>
      <c r="AX643" s="1" t="s">
        <v>74</v>
      </c>
      <c r="AY643" s="1" t="s">
        <v>74</v>
      </c>
      <c r="AZ643" s="1" t="s">
        <v>74</v>
      </c>
      <c r="BA643" s="1" t="s">
        <v>74</v>
      </c>
      <c r="BB643" s="1">
        <v>39</v>
      </c>
      <c r="BC643" s="1">
        <v>48</v>
      </c>
      <c r="BD643" s="1" t="s">
        <v>74</v>
      </c>
      <c r="BE643" s="1" t="s">
        <v>74</v>
      </c>
      <c r="BF643" s="1" t="s">
        <v>74</v>
      </c>
      <c r="BG643" s="1" t="s">
        <v>74</v>
      </c>
      <c r="BH643" s="1" t="s">
        <v>74</v>
      </c>
      <c r="BI643" s="1">
        <v>10</v>
      </c>
      <c r="BJ643" s="1" t="s">
        <v>144</v>
      </c>
      <c r="BK643" s="1" t="s">
        <v>96</v>
      </c>
      <c r="BL643" s="1" t="s">
        <v>145</v>
      </c>
      <c r="BM643" s="1" t="s">
        <v>11040</v>
      </c>
      <c r="BN643" s="1" t="s">
        <v>74</v>
      </c>
      <c r="BO643" s="1" t="s">
        <v>74</v>
      </c>
      <c r="BP643" s="1" t="s">
        <v>74</v>
      </c>
      <c r="BQ643" s="1" t="s">
        <v>74</v>
      </c>
      <c r="BR643" s="1" t="s">
        <v>98</v>
      </c>
      <c r="BS643" s="1" t="s">
        <v>11041</v>
      </c>
      <c r="BT643" s="1" t="str">
        <f>HYPERLINK("https%3A%2F%2Fwww.webofscience.com%2Fwos%2Fwoscc%2Ffull-record%2FWOS:000283618800005","View Full Record in Web of Science")</f>
        <v>View Full Record in Web of Science</v>
      </c>
    </row>
    <row r="644" spans="1:72">
      <c r="A644" s="1" t="s">
        <v>72</v>
      </c>
      <c r="B644" s="1" t="s">
        <v>11042</v>
      </c>
      <c r="C644" s="1" t="s">
        <v>74</v>
      </c>
      <c r="D644" s="1" t="s">
        <v>74</v>
      </c>
      <c r="E644" s="1" t="s">
        <v>74</v>
      </c>
      <c r="F644" s="1" t="s">
        <v>11043</v>
      </c>
      <c r="G644" s="1" t="s">
        <v>74</v>
      </c>
      <c r="H644" s="1" t="s">
        <v>74</v>
      </c>
      <c r="I644" s="1" t="s">
        <v>11044</v>
      </c>
      <c r="J644" s="1" t="s">
        <v>11045</v>
      </c>
      <c r="K644" s="1" t="s">
        <v>74</v>
      </c>
      <c r="L644" s="1" t="s">
        <v>74</v>
      </c>
      <c r="M644" s="1" t="s">
        <v>78</v>
      </c>
      <c r="N644" s="1" t="s">
        <v>79</v>
      </c>
      <c r="O644" s="1" t="s">
        <v>74</v>
      </c>
      <c r="P644" s="1" t="s">
        <v>74</v>
      </c>
      <c r="Q644" s="1" t="s">
        <v>74</v>
      </c>
      <c r="R644" s="1" t="s">
        <v>74</v>
      </c>
      <c r="S644" s="1" t="s">
        <v>74</v>
      </c>
      <c r="T644" s="1" t="s">
        <v>74</v>
      </c>
      <c r="U644" s="1" t="s">
        <v>11046</v>
      </c>
      <c r="V644" s="1" t="s">
        <v>11047</v>
      </c>
      <c r="W644" s="1" t="s">
        <v>11048</v>
      </c>
      <c r="X644" s="1" t="s">
        <v>11049</v>
      </c>
      <c r="Y644" s="1" t="s">
        <v>11050</v>
      </c>
      <c r="Z644" s="1" t="s">
        <v>11051</v>
      </c>
      <c r="AA644" s="1" t="s">
        <v>11052</v>
      </c>
      <c r="AB644" s="1" t="s">
        <v>74</v>
      </c>
      <c r="AC644" s="1" t="s">
        <v>11053</v>
      </c>
      <c r="AD644" s="1" t="s">
        <v>11054</v>
      </c>
      <c r="AE644" s="1" t="s">
        <v>11055</v>
      </c>
      <c r="AF644" s="1" t="s">
        <v>74</v>
      </c>
      <c r="AG644" s="1">
        <v>68</v>
      </c>
      <c r="AH644" s="1">
        <v>45</v>
      </c>
      <c r="AI644" s="1">
        <v>47</v>
      </c>
      <c r="AJ644" s="1">
        <v>0</v>
      </c>
      <c r="AK644" s="1">
        <v>78</v>
      </c>
      <c r="AL644" s="1" t="s">
        <v>11056</v>
      </c>
      <c r="AM644" s="1" t="s">
        <v>11057</v>
      </c>
      <c r="AN644" s="1" t="s">
        <v>11058</v>
      </c>
      <c r="AO644" s="1" t="s">
        <v>11059</v>
      </c>
      <c r="AP644" s="1" t="s">
        <v>74</v>
      </c>
      <c r="AQ644" s="1" t="s">
        <v>74</v>
      </c>
      <c r="AR644" s="1" t="s">
        <v>11045</v>
      </c>
      <c r="AS644" s="1" t="s">
        <v>11060</v>
      </c>
      <c r="AT644" s="1" t="s">
        <v>11061</v>
      </c>
      <c r="AU644" s="1">
        <v>2013</v>
      </c>
      <c r="AV644" s="1">
        <v>8</v>
      </c>
      <c r="AW644" s="1">
        <v>5</v>
      </c>
      <c r="AX644" s="1" t="s">
        <v>74</v>
      </c>
      <c r="AY644" s="1" t="s">
        <v>74</v>
      </c>
      <c r="AZ644" s="1" t="s">
        <v>74</v>
      </c>
      <c r="BA644" s="1" t="s">
        <v>74</v>
      </c>
      <c r="BB644" s="1" t="s">
        <v>74</v>
      </c>
      <c r="BC644" s="1" t="s">
        <v>74</v>
      </c>
      <c r="BD644" s="1" t="s">
        <v>11062</v>
      </c>
      <c r="BE644" s="1" t="s">
        <v>11063</v>
      </c>
      <c r="BF644" s="1" t="str">
        <f>HYPERLINK("http://dx.doi.org/10.1371/journal.pone.0064485","http://dx.doi.org/10.1371/journal.pone.0064485")</f>
        <v>http://dx.doi.org/10.1371/journal.pone.0064485</v>
      </c>
      <c r="BG644" s="1" t="s">
        <v>74</v>
      </c>
      <c r="BH644" s="1" t="s">
        <v>74</v>
      </c>
      <c r="BI644" s="1">
        <v>10</v>
      </c>
      <c r="BJ644" s="1" t="s">
        <v>3202</v>
      </c>
      <c r="BK644" s="1" t="s">
        <v>96</v>
      </c>
      <c r="BL644" s="1" t="s">
        <v>3203</v>
      </c>
      <c r="BM644" s="1" t="s">
        <v>11064</v>
      </c>
      <c r="BN644" s="1">
        <v>23741332</v>
      </c>
      <c r="BO644" s="1" t="s">
        <v>11065</v>
      </c>
      <c r="BP644" s="1" t="s">
        <v>74</v>
      </c>
      <c r="BQ644" s="1" t="s">
        <v>74</v>
      </c>
      <c r="BR644" s="1" t="s">
        <v>98</v>
      </c>
      <c r="BS644" s="1" t="s">
        <v>11066</v>
      </c>
      <c r="BT644" s="1" t="str">
        <f>HYPERLINK("https%3A%2F%2Fwww.webofscience.com%2Fwos%2Fwoscc%2Ffull-record%2FWOS:000319799900044","View Full Record in Web of Science")</f>
        <v>View Full Record in Web of Science</v>
      </c>
    </row>
    <row r="645" spans="1:72">
      <c r="A645" s="1" t="s">
        <v>72</v>
      </c>
      <c r="B645" s="1" t="s">
        <v>11067</v>
      </c>
      <c r="C645" s="1" t="s">
        <v>74</v>
      </c>
      <c r="D645" s="1" t="s">
        <v>74</v>
      </c>
      <c r="E645" s="1" t="s">
        <v>74</v>
      </c>
      <c r="F645" s="1" t="s">
        <v>11067</v>
      </c>
      <c r="G645" s="1" t="s">
        <v>74</v>
      </c>
      <c r="H645" s="1" t="s">
        <v>74</v>
      </c>
      <c r="I645" s="1" t="s">
        <v>11068</v>
      </c>
      <c r="J645" s="1" t="s">
        <v>232</v>
      </c>
      <c r="K645" s="1" t="s">
        <v>74</v>
      </c>
      <c r="L645" s="1" t="s">
        <v>74</v>
      </c>
      <c r="M645" s="1" t="s">
        <v>78</v>
      </c>
      <c r="N645" s="1" t="s">
        <v>79</v>
      </c>
      <c r="O645" s="1" t="s">
        <v>74</v>
      </c>
      <c r="P645" s="1" t="s">
        <v>74</v>
      </c>
      <c r="Q645" s="1" t="s">
        <v>74</v>
      </c>
      <c r="R645" s="1" t="s">
        <v>74</v>
      </c>
      <c r="S645" s="1" t="s">
        <v>74</v>
      </c>
      <c r="T645" s="1" t="s">
        <v>11069</v>
      </c>
      <c r="U645" s="1" t="s">
        <v>1364</v>
      </c>
      <c r="V645" s="1" t="s">
        <v>11070</v>
      </c>
      <c r="W645" s="1" t="s">
        <v>11071</v>
      </c>
      <c r="X645" s="1" t="s">
        <v>74</v>
      </c>
      <c r="Y645" s="1" t="s">
        <v>11072</v>
      </c>
      <c r="Z645" s="1" t="s">
        <v>74</v>
      </c>
      <c r="AA645" s="1" t="s">
        <v>74</v>
      </c>
      <c r="AB645" s="1" t="s">
        <v>74</v>
      </c>
      <c r="AC645" s="1" t="s">
        <v>74</v>
      </c>
      <c r="AD645" s="1" t="s">
        <v>74</v>
      </c>
      <c r="AE645" s="1" t="s">
        <v>74</v>
      </c>
      <c r="AF645" s="1" t="s">
        <v>74</v>
      </c>
      <c r="AG645" s="1">
        <v>8</v>
      </c>
      <c r="AH645" s="1">
        <v>13</v>
      </c>
      <c r="AI645" s="1">
        <v>16</v>
      </c>
      <c r="AJ645" s="1">
        <v>0</v>
      </c>
      <c r="AK645" s="1">
        <v>4</v>
      </c>
      <c r="AL645" s="1" t="s">
        <v>136</v>
      </c>
      <c r="AM645" s="1" t="s">
        <v>137</v>
      </c>
      <c r="AN645" s="1" t="s">
        <v>138</v>
      </c>
      <c r="AO645" s="1" t="s">
        <v>240</v>
      </c>
      <c r="AP645" s="1" t="s">
        <v>241</v>
      </c>
      <c r="AQ645" s="1" t="s">
        <v>74</v>
      </c>
      <c r="AR645" s="1" t="s">
        <v>242</v>
      </c>
      <c r="AS645" s="1" t="s">
        <v>243</v>
      </c>
      <c r="AT645" s="1" t="s">
        <v>93</v>
      </c>
      <c r="AU645" s="1">
        <v>1998</v>
      </c>
      <c r="AV645" s="1">
        <v>36</v>
      </c>
      <c r="AW645" s="1">
        <v>4</v>
      </c>
      <c r="AX645" s="1" t="s">
        <v>74</v>
      </c>
      <c r="AY645" s="1" t="s">
        <v>74</v>
      </c>
      <c r="AZ645" s="1" t="s">
        <v>74</v>
      </c>
      <c r="BA645" s="1" t="s">
        <v>74</v>
      </c>
      <c r="BB645" s="1">
        <v>256</v>
      </c>
      <c r="BC645" s="1">
        <v>266</v>
      </c>
      <c r="BD645" s="1" t="s">
        <v>74</v>
      </c>
      <c r="BE645" s="1" t="s">
        <v>11073</v>
      </c>
      <c r="BF645" s="1" t="str">
        <f>HYPERLINK("http://dx.doi.org/10.1016/S0025-326X(98)80009-X","http://dx.doi.org/10.1016/S0025-326X(98)80009-X")</f>
        <v>http://dx.doi.org/10.1016/S0025-326X(98)80009-X</v>
      </c>
      <c r="BG645" s="1" t="s">
        <v>74</v>
      </c>
      <c r="BH645" s="1" t="s">
        <v>74</v>
      </c>
      <c r="BI645" s="1">
        <v>11</v>
      </c>
      <c r="BJ645" s="1" t="s">
        <v>247</v>
      </c>
      <c r="BK645" s="1" t="s">
        <v>96</v>
      </c>
      <c r="BL645" s="1" t="s">
        <v>248</v>
      </c>
      <c r="BM645" s="1" t="s">
        <v>11074</v>
      </c>
      <c r="BN645" s="1" t="s">
        <v>74</v>
      </c>
      <c r="BO645" s="1" t="s">
        <v>74</v>
      </c>
      <c r="BP645" s="1" t="s">
        <v>74</v>
      </c>
      <c r="BQ645" s="1" t="s">
        <v>74</v>
      </c>
      <c r="BR645" s="1" t="s">
        <v>98</v>
      </c>
      <c r="BS645" s="1" t="s">
        <v>11075</v>
      </c>
      <c r="BT645" s="1" t="str">
        <f>HYPERLINK("https%3A%2F%2Fwww.webofscience.com%2Fwos%2Fwoscc%2Ffull-record%2FWOS:000074217900010","View Full Record in Web of Science")</f>
        <v>View Full Record in Web of Science</v>
      </c>
    </row>
    <row r="646" spans="1:72">
      <c r="A646" s="1" t="s">
        <v>72</v>
      </c>
      <c r="B646" s="1" t="s">
        <v>11076</v>
      </c>
      <c r="C646" s="1" t="s">
        <v>74</v>
      </c>
      <c r="D646" s="1" t="s">
        <v>74</v>
      </c>
      <c r="E646" s="1" t="s">
        <v>74</v>
      </c>
      <c r="F646" s="1" t="s">
        <v>11076</v>
      </c>
      <c r="G646" s="1" t="s">
        <v>74</v>
      </c>
      <c r="H646" s="1" t="s">
        <v>74</v>
      </c>
      <c r="I646" s="1" t="s">
        <v>11077</v>
      </c>
      <c r="J646" s="1" t="s">
        <v>421</v>
      </c>
      <c r="K646" s="1" t="s">
        <v>74</v>
      </c>
      <c r="L646" s="1" t="s">
        <v>74</v>
      </c>
      <c r="M646" s="1" t="s">
        <v>78</v>
      </c>
      <c r="N646" s="1" t="s">
        <v>79</v>
      </c>
      <c r="O646" s="1" t="s">
        <v>74</v>
      </c>
      <c r="P646" s="1" t="s">
        <v>74</v>
      </c>
      <c r="Q646" s="1" t="s">
        <v>74</v>
      </c>
      <c r="R646" s="1" t="s">
        <v>74</v>
      </c>
      <c r="S646" s="1" t="s">
        <v>74</v>
      </c>
      <c r="T646" s="1" t="s">
        <v>11078</v>
      </c>
      <c r="U646" s="1" t="s">
        <v>11079</v>
      </c>
      <c r="V646" s="1" t="s">
        <v>11080</v>
      </c>
      <c r="W646" s="1" t="s">
        <v>11081</v>
      </c>
      <c r="X646" s="1" t="s">
        <v>8002</v>
      </c>
      <c r="Y646" s="1" t="s">
        <v>11082</v>
      </c>
      <c r="Z646" s="1" t="s">
        <v>11083</v>
      </c>
      <c r="AA646" s="1" t="s">
        <v>74</v>
      </c>
      <c r="AB646" s="1" t="s">
        <v>74</v>
      </c>
      <c r="AC646" s="1" t="s">
        <v>74</v>
      </c>
      <c r="AD646" s="1" t="s">
        <v>74</v>
      </c>
      <c r="AE646" s="1" t="s">
        <v>74</v>
      </c>
      <c r="AF646" s="1" t="s">
        <v>74</v>
      </c>
      <c r="AG646" s="1">
        <v>91</v>
      </c>
      <c r="AH646" s="1">
        <v>30</v>
      </c>
      <c r="AI646" s="1">
        <v>31</v>
      </c>
      <c r="AJ646" s="1">
        <v>0</v>
      </c>
      <c r="AK646" s="1">
        <v>35</v>
      </c>
      <c r="AL646" s="1" t="s">
        <v>430</v>
      </c>
      <c r="AM646" s="1" t="s">
        <v>137</v>
      </c>
      <c r="AN646" s="1" t="s">
        <v>431</v>
      </c>
      <c r="AO646" s="1" t="s">
        <v>432</v>
      </c>
      <c r="AP646" s="1" t="s">
        <v>74</v>
      </c>
      <c r="AQ646" s="1" t="s">
        <v>74</v>
      </c>
      <c r="AR646" s="1" t="s">
        <v>433</v>
      </c>
      <c r="AS646" s="1" t="s">
        <v>434</v>
      </c>
      <c r="AT646" s="1" t="s">
        <v>1470</v>
      </c>
      <c r="AU646" s="1">
        <v>2005</v>
      </c>
      <c r="AV646" s="1">
        <v>133</v>
      </c>
      <c r="AW646" s="1">
        <v>1</v>
      </c>
      <c r="AX646" s="1" t="s">
        <v>74</v>
      </c>
      <c r="AY646" s="1" t="s">
        <v>74</v>
      </c>
      <c r="AZ646" s="1" t="s">
        <v>74</v>
      </c>
      <c r="BA646" s="1" t="s">
        <v>74</v>
      </c>
      <c r="BB646" s="1">
        <v>169</v>
      </c>
      <c r="BC646" s="1">
        <v>182</v>
      </c>
      <c r="BD646" s="1" t="s">
        <v>74</v>
      </c>
      <c r="BE646" s="1" t="s">
        <v>11084</v>
      </c>
      <c r="BF646" s="1" t="str">
        <f>HYPERLINK("http://dx.doi.org/10.1016/j.envpol.2004.03.002","http://dx.doi.org/10.1016/j.envpol.2004.03.002")</f>
        <v>http://dx.doi.org/10.1016/j.envpol.2004.03.002</v>
      </c>
      <c r="BG646" s="1" t="s">
        <v>74</v>
      </c>
      <c r="BH646" s="1" t="s">
        <v>74</v>
      </c>
      <c r="BI646" s="1">
        <v>14</v>
      </c>
      <c r="BJ646" s="1" t="s">
        <v>144</v>
      </c>
      <c r="BK646" s="1" t="s">
        <v>96</v>
      </c>
      <c r="BL646" s="1" t="s">
        <v>145</v>
      </c>
      <c r="BM646" s="1" t="s">
        <v>11085</v>
      </c>
      <c r="BN646" s="1">
        <v>15327867</v>
      </c>
      <c r="BO646" s="1" t="s">
        <v>74</v>
      </c>
      <c r="BP646" s="1" t="s">
        <v>74</v>
      </c>
      <c r="BQ646" s="1" t="s">
        <v>74</v>
      </c>
      <c r="BR646" s="1" t="s">
        <v>98</v>
      </c>
      <c r="BS646" s="1" t="s">
        <v>11086</v>
      </c>
      <c r="BT646" s="1" t="str">
        <f>HYPERLINK("https%3A%2F%2Fwww.webofscience.com%2Fwos%2Fwoscc%2Ffull-record%2FWOS:000224022000020","View Full Record in Web of Science")</f>
        <v>View Full Record in Web of Science</v>
      </c>
    </row>
    <row r="647" spans="1:72">
      <c r="A647" s="1" t="s">
        <v>72</v>
      </c>
      <c r="B647" s="1" t="s">
        <v>11087</v>
      </c>
      <c r="C647" s="1" t="s">
        <v>74</v>
      </c>
      <c r="D647" s="1" t="s">
        <v>74</v>
      </c>
      <c r="E647" s="1" t="s">
        <v>74</v>
      </c>
      <c r="F647" s="1" t="s">
        <v>11088</v>
      </c>
      <c r="G647" s="1" t="s">
        <v>74</v>
      </c>
      <c r="H647" s="1" t="s">
        <v>74</v>
      </c>
      <c r="I647" s="1" t="s">
        <v>11089</v>
      </c>
      <c r="J647" s="1" t="s">
        <v>421</v>
      </c>
      <c r="K647" s="1" t="s">
        <v>74</v>
      </c>
      <c r="L647" s="1" t="s">
        <v>74</v>
      </c>
      <c r="M647" s="1" t="s">
        <v>78</v>
      </c>
      <c r="N647" s="1" t="s">
        <v>79</v>
      </c>
      <c r="O647" s="1" t="s">
        <v>74</v>
      </c>
      <c r="P647" s="1" t="s">
        <v>74</v>
      </c>
      <c r="Q647" s="1" t="s">
        <v>74</v>
      </c>
      <c r="R647" s="1" t="s">
        <v>74</v>
      </c>
      <c r="S647" s="1" t="s">
        <v>74</v>
      </c>
      <c r="T647" s="1" t="s">
        <v>11090</v>
      </c>
      <c r="U647" s="1" t="s">
        <v>11091</v>
      </c>
      <c r="V647" s="1" t="s">
        <v>11092</v>
      </c>
      <c r="W647" s="1" t="s">
        <v>11093</v>
      </c>
      <c r="X647" s="1" t="s">
        <v>11094</v>
      </c>
      <c r="Y647" s="1" t="s">
        <v>11095</v>
      </c>
      <c r="Z647" s="1" t="s">
        <v>11096</v>
      </c>
      <c r="AA647" s="1" t="s">
        <v>11097</v>
      </c>
      <c r="AB647" s="1" t="s">
        <v>11098</v>
      </c>
      <c r="AC647" s="1" t="s">
        <v>11099</v>
      </c>
      <c r="AD647" s="1" t="s">
        <v>11100</v>
      </c>
      <c r="AE647" s="1" t="s">
        <v>11101</v>
      </c>
      <c r="AF647" s="1" t="s">
        <v>74</v>
      </c>
      <c r="AG647" s="1">
        <v>64</v>
      </c>
      <c r="AH647" s="1">
        <v>1</v>
      </c>
      <c r="AI647" s="1">
        <v>1</v>
      </c>
      <c r="AJ647" s="1">
        <v>9</v>
      </c>
      <c r="AK647" s="1">
        <v>18</v>
      </c>
      <c r="AL647" s="1" t="s">
        <v>430</v>
      </c>
      <c r="AM647" s="1" t="s">
        <v>137</v>
      </c>
      <c r="AN647" s="1" t="s">
        <v>431</v>
      </c>
      <c r="AO647" s="1" t="s">
        <v>432</v>
      </c>
      <c r="AP647" s="1" t="s">
        <v>1394</v>
      </c>
      <c r="AQ647" s="1" t="s">
        <v>74</v>
      </c>
      <c r="AR647" s="1" t="s">
        <v>433</v>
      </c>
      <c r="AS647" s="1" t="s">
        <v>434</v>
      </c>
      <c r="AT647" s="1" t="s">
        <v>8920</v>
      </c>
      <c r="AU647" s="1">
        <v>2023</v>
      </c>
      <c r="AV647" s="1">
        <v>336</v>
      </c>
      <c r="AW647" s="1" t="s">
        <v>74</v>
      </c>
      <c r="AX647" s="1" t="s">
        <v>74</v>
      </c>
      <c r="AY647" s="1" t="s">
        <v>74</v>
      </c>
      <c r="AZ647" s="1" t="s">
        <v>74</v>
      </c>
      <c r="BA647" s="1" t="s">
        <v>74</v>
      </c>
      <c r="BB647" s="1" t="s">
        <v>74</v>
      </c>
      <c r="BC647" s="1" t="s">
        <v>74</v>
      </c>
      <c r="BD647" s="1">
        <v>122410</v>
      </c>
      <c r="BE647" s="1" t="s">
        <v>11102</v>
      </c>
      <c r="BF647" s="1" t="str">
        <f>HYPERLINK("http://dx.doi.org/10.1016/j.envpol.2023.122410","http://dx.doi.org/10.1016/j.envpol.2023.122410")</f>
        <v>http://dx.doi.org/10.1016/j.envpol.2023.122410</v>
      </c>
      <c r="BG647" s="1" t="s">
        <v>74</v>
      </c>
      <c r="BH647" s="1" t="s">
        <v>2000</v>
      </c>
      <c r="BI647" s="1">
        <v>10</v>
      </c>
      <c r="BJ647" s="1" t="s">
        <v>144</v>
      </c>
      <c r="BK647" s="1" t="s">
        <v>96</v>
      </c>
      <c r="BL647" s="1" t="s">
        <v>145</v>
      </c>
      <c r="BM647" s="1" t="s">
        <v>11103</v>
      </c>
      <c r="BN647" s="1">
        <v>37598937</v>
      </c>
      <c r="BO647" s="1" t="s">
        <v>2744</v>
      </c>
      <c r="BP647" s="1" t="s">
        <v>74</v>
      </c>
      <c r="BQ647" s="1" t="s">
        <v>74</v>
      </c>
      <c r="BR647" s="1" t="s">
        <v>98</v>
      </c>
      <c r="BS647" s="1" t="s">
        <v>11104</v>
      </c>
      <c r="BT647" s="1" t="str">
        <f>HYPERLINK("https%3A%2F%2Fwww.webofscience.com%2Fwos%2Fwoscc%2Ffull-record%2FWOS:001082069200001","View Full Record in Web of Science")</f>
        <v>View Full Record in Web of Science</v>
      </c>
    </row>
    <row r="648" spans="1:72">
      <c r="A648" s="1" t="s">
        <v>72</v>
      </c>
      <c r="B648" s="1" t="s">
        <v>11105</v>
      </c>
      <c r="C648" s="1" t="s">
        <v>74</v>
      </c>
      <c r="D648" s="1" t="s">
        <v>74</v>
      </c>
      <c r="E648" s="1" t="s">
        <v>74</v>
      </c>
      <c r="F648" s="1" t="s">
        <v>11106</v>
      </c>
      <c r="G648" s="1" t="s">
        <v>74</v>
      </c>
      <c r="H648" s="1" t="s">
        <v>74</v>
      </c>
      <c r="I648" s="1" t="s">
        <v>11107</v>
      </c>
      <c r="J648" s="1" t="s">
        <v>11108</v>
      </c>
      <c r="K648" s="1" t="s">
        <v>74</v>
      </c>
      <c r="L648" s="1" t="s">
        <v>74</v>
      </c>
      <c r="M648" s="1" t="s">
        <v>78</v>
      </c>
      <c r="N648" s="1" t="s">
        <v>79</v>
      </c>
      <c r="O648" s="1" t="s">
        <v>74</v>
      </c>
      <c r="P648" s="1" t="s">
        <v>74</v>
      </c>
      <c r="Q648" s="1" t="s">
        <v>74</v>
      </c>
      <c r="R648" s="1" t="s">
        <v>74</v>
      </c>
      <c r="S648" s="1" t="s">
        <v>74</v>
      </c>
      <c r="T648" s="1" t="s">
        <v>11109</v>
      </c>
      <c r="U648" s="1" t="s">
        <v>11110</v>
      </c>
      <c r="V648" s="1" t="s">
        <v>11111</v>
      </c>
      <c r="W648" s="1" t="s">
        <v>11112</v>
      </c>
      <c r="X648" s="1" t="s">
        <v>11113</v>
      </c>
      <c r="Y648" s="1" t="s">
        <v>11114</v>
      </c>
      <c r="Z648" s="1" t="s">
        <v>4254</v>
      </c>
      <c r="AA648" s="1" t="s">
        <v>11115</v>
      </c>
      <c r="AB648" s="1" t="s">
        <v>11116</v>
      </c>
      <c r="AC648" s="1" t="s">
        <v>74</v>
      </c>
      <c r="AD648" s="1" t="s">
        <v>74</v>
      </c>
      <c r="AE648" s="1" t="s">
        <v>74</v>
      </c>
      <c r="AF648" s="1" t="s">
        <v>74</v>
      </c>
      <c r="AG648" s="1">
        <v>43</v>
      </c>
      <c r="AH648" s="1">
        <v>0</v>
      </c>
      <c r="AI648" s="1">
        <v>0</v>
      </c>
      <c r="AJ648" s="1">
        <v>0</v>
      </c>
      <c r="AK648" s="1">
        <v>8</v>
      </c>
      <c r="AL648" s="1" t="s">
        <v>2074</v>
      </c>
      <c r="AM648" s="1" t="s">
        <v>2075</v>
      </c>
      <c r="AN648" s="1" t="s">
        <v>2076</v>
      </c>
      <c r="AO648" s="1" t="s">
        <v>11117</v>
      </c>
      <c r="AP648" s="1" t="s">
        <v>11118</v>
      </c>
      <c r="AQ648" s="1" t="s">
        <v>74</v>
      </c>
      <c r="AR648" s="1" t="s">
        <v>11119</v>
      </c>
      <c r="AS648" s="1" t="s">
        <v>11120</v>
      </c>
      <c r="AT648" s="1" t="s">
        <v>305</v>
      </c>
      <c r="AU648" s="1">
        <v>2006</v>
      </c>
      <c r="AV648" s="1">
        <v>39</v>
      </c>
      <c r="AW648" s="1">
        <v>3</v>
      </c>
      <c r="AX648" s="1" t="s">
        <v>74</v>
      </c>
      <c r="AY648" s="1" t="s">
        <v>74</v>
      </c>
      <c r="AZ648" s="1" t="s">
        <v>74</v>
      </c>
      <c r="BA648" s="1" t="s">
        <v>74</v>
      </c>
      <c r="BB648" s="1">
        <v>235</v>
      </c>
      <c r="BC648" s="1">
        <v>243</v>
      </c>
      <c r="BD648" s="1" t="s">
        <v>74</v>
      </c>
      <c r="BE648" s="1" t="s">
        <v>11121</v>
      </c>
      <c r="BF648" s="1" t="str">
        <f>HYPERLINK("http://dx.doi.org/10.1080/10236240600842691","http://dx.doi.org/10.1080/10236240600842691")</f>
        <v>http://dx.doi.org/10.1080/10236240600842691</v>
      </c>
      <c r="BG648" s="1" t="s">
        <v>74</v>
      </c>
      <c r="BH648" s="1" t="s">
        <v>74</v>
      </c>
      <c r="BI648" s="1">
        <v>9</v>
      </c>
      <c r="BJ648" s="1" t="s">
        <v>680</v>
      </c>
      <c r="BK648" s="1" t="s">
        <v>96</v>
      </c>
      <c r="BL648" s="1" t="s">
        <v>680</v>
      </c>
      <c r="BM648" s="1" t="s">
        <v>11122</v>
      </c>
      <c r="BN648" s="1" t="s">
        <v>74</v>
      </c>
      <c r="BO648" s="1" t="s">
        <v>74</v>
      </c>
      <c r="BP648" s="1" t="s">
        <v>74</v>
      </c>
      <c r="BQ648" s="1" t="s">
        <v>74</v>
      </c>
      <c r="BR648" s="1" t="s">
        <v>98</v>
      </c>
      <c r="BS648" s="1" t="s">
        <v>11123</v>
      </c>
      <c r="BT648" s="1" t="str">
        <f>HYPERLINK("https%3A%2F%2Fwww.webofscience.com%2Fwos%2Fwoscc%2Ffull-record%2FWOS:000239841300005","View Full Record in Web of Science")</f>
        <v>View Full Record in Web of Science</v>
      </c>
    </row>
    <row r="649" spans="1:72">
      <c r="A649" s="1" t="s">
        <v>72</v>
      </c>
      <c r="B649" s="1" t="s">
        <v>11124</v>
      </c>
      <c r="C649" s="1" t="s">
        <v>74</v>
      </c>
      <c r="D649" s="1" t="s">
        <v>74</v>
      </c>
      <c r="E649" s="1" t="s">
        <v>74</v>
      </c>
      <c r="F649" s="1" t="s">
        <v>11125</v>
      </c>
      <c r="G649" s="1" t="s">
        <v>74</v>
      </c>
      <c r="H649" s="1" t="s">
        <v>74</v>
      </c>
      <c r="I649" s="1" t="s">
        <v>11126</v>
      </c>
      <c r="J649" s="1" t="s">
        <v>4747</v>
      </c>
      <c r="K649" s="1" t="s">
        <v>74</v>
      </c>
      <c r="L649" s="1" t="s">
        <v>74</v>
      </c>
      <c r="M649" s="1" t="s">
        <v>78</v>
      </c>
      <c r="N649" s="1" t="s">
        <v>79</v>
      </c>
      <c r="O649" s="1" t="s">
        <v>74</v>
      </c>
      <c r="P649" s="1" t="s">
        <v>74</v>
      </c>
      <c r="Q649" s="1" t="s">
        <v>74</v>
      </c>
      <c r="R649" s="1" t="s">
        <v>74</v>
      </c>
      <c r="S649" s="1" t="s">
        <v>74</v>
      </c>
      <c r="T649" s="1" t="s">
        <v>11127</v>
      </c>
      <c r="U649" s="1" t="s">
        <v>11128</v>
      </c>
      <c r="V649" s="1" t="s">
        <v>11129</v>
      </c>
      <c r="W649" s="1" t="s">
        <v>11130</v>
      </c>
      <c r="X649" s="1" t="s">
        <v>11131</v>
      </c>
      <c r="Y649" s="1" t="s">
        <v>11132</v>
      </c>
      <c r="Z649" s="1" t="s">
        <v>11133</v>
      </c>
      <c r="AA649" s="1" t="s">
        <v>11134</v>
      </c>
      <c r="AB649" s="1" t="s">
        <v>11135</v>
      </c>
      <c r="AC649" s="1" t="s">
        <v>11136</v>
      </c>
      <c r="AD649" s="1" t="s">
        <v>11137</v>
      </c>
      <c r="AE649" s="1" t="s">
        <v>11138</v>
      </c>
      <c r="AF649" s="1" t="s">
        <v>74</v>
      </c>
      <c r="AG649" s="1">
        <v>55</v>
      </c>
      <c r="AH649" s="1">
        <v>270</v>
      </c>
      <c r="AI649" s="1">
        <v>276</v>
      </c>
      <c r="AJ649" s="1">
        <v>38</v>
      </c>
      <c r="AK649" s="1">
        <v>661</v>
      </c>
      <c r="AL649" s="1" t="s">
        <v>650</v>
      </c>
      <c r="AM649" s="1" t="s">
        <v>651</v>
      </c>
      <c r="AN649" s="1" t="s">
        <v>652</v>
      </c>
      <c r="AO649" s="1" t="s">
        <v>4758</v>
      </c>
      <c r="AP649" s="1" t="s">
        <v>11139</v>
      </c>
      <c r="AQ649" s="1" t="s">
        <v>74</v>
      </c>
      <c r="AR649" s="1" t="s">
        <v>4759</v>
      </c>
      <c r="AS649" s="1" t="s">
        <v>4760</v>
      </c>
      <c r="AT649" s="1" t="s">
        <v>3891</v>
      </c>
      <c r="AU649" s="1">
        <v>2020</v>
      </c>
      <c r="AV649" s="1">
        <v>382</v>
      </c>
      <c r="AW649" s="1" t="s">
        <v>74</v>
      </c>
      <c r="AX649" s="1" t="s">
        <v>74</v>
      </c>
      <c r="AY649" s="1" t="s">
        <v>74</v>
      </c>
      <c r="AZ649" s="1" t="s">
        <v>74</v>
      </c>
      <c r="BA649" s="1" t="s">
        <v>74</v>
      </c>
      <c r="BB649" s="1" t="s">
        <v>74</v>
      </c>
      <c r="BC649" s="1" t="s">
        <v>74</v>
      </c>
      <c r="BD649" s="1">
        <v>121040</v>
      </c>
      <c r="BE649" s="1" t="s">
        <v>11140</v>
      </c>
      <c r="BF649" s="1" t="str">
        <f>HYPERLINK("http://dx.doi.org/10.1016/j.jhazmat.2019.121040","http://dx.doi.org/10.1016/j.jhazmat.2019.121040")</f>
        <v>http://dx.doi.org/10.1016/j.jhazmat.2019.121040</v>
      </c>
      <c r="BG649" s="1" t="s">
        <v>74</v>
      </c>
      <c r="BH649" s="1" t="s">
        <v>74</v>
      </c>
      <c r="BI649" s="1">
        <v>13</v>
      </c>
      <c r="BJ649" s="1" t="s">
        <v>415</v>
      </c>
      <c r="BK649" s="1" t="s">
        <v>96</v>
      </c>
      <c r="BL649" s="1" t="s">
        <v>416</v>
      </c>
      <c r="BM649" s="1" t="s">
        <v>11141</v>
      </c>
      <c r="BN649" s="1">
        <v>31470294</v>
      </c>
      <c r="BO649" s="1" t="s">
        <v>74</v>
      </c>
      <c r="BP649" s="1" t="s">
        <v>74</v>
      </c>
      <c r="BQ649" s="1" t="s">
        <v>74</v>
      </c>
      <c r="BR649" s="1" t="s">
        <v>98</v>
      </c>
      <c r="BS649" s="1" t="s">
        <v>11142</v>
      </c>
      <c r="BT649" s="1" t="str">
        <f>HYPERLINK("https%3A%2F%2Fwww.webofscience.com%2Fwos%2Fwoscc%2Ffull-record%2FWOS:000501387100047","View Full Record in Web of Science")</f>
        <v>View Full Record in Web of Science</v>
      </c>
    </row>
    <row r="650" spans="1:72">
      <c r="A650" s="1" t="s">
        <v>72</v>
      </c>
      <c r="B650" s="1" t="s">
        <v>11143</v>
      </c>
      <c r="C650" s="1" t="s">
        <v>74</v>
      </c>
      <c r="D650" s="1" t="s">
        <v>74</v>
      </c>
      <c r="E650" s="1" t="s">
        <v>74</v>
      </c>
      <c r="F650" s="1" t="s">
        <v>11144</v>
      </c>
      <c r="G650" s="1" t="s">
        <v>74</v>
      </c>
      <c r="H650" s="1" t="s">
        <v>74</v>
      </c>
      <c r="I650" s="1" t="s">
        <v>11145</v>
      </c>
      <c r="J650" s="1" t="s">
        <v>421</v>
      </c>
      <c r="K650" s="1" t="s">
        <v>74</v>
      </c>
      <c r="L650" s="1" t="s">
        <v>74</v>
      </c>
      <c r="M650" s="1" t="s">
        <v>78</v>
      </c>
      <c r="N650" s="1" t="s">
        <v>79</v>
      </c>
      <c r="O650" s="1" t="s">
        <v>74</v>
      </c>
      <c r="P650" s="1" t="s">
        <v>74</v>
      </c>
      <c r="Q650" s="1" t="s">
        <v>74</v>
      </c>
      <c r="R650" s="1" t="s">
        <v>74</v>
      </c>
      <c r="S650" s="1" t="s">
        <v>74</v>
      </c>
      <c r="T650" s="1" t="s">
        <v>11146</v>
      </c>
      <c r="U650" s="1" t="s">
        <v>11147</v>
      </c>
      <c r="V650" s="1" t="s">
        <v>11148</v>
      </c>
      <c r="W650" s="1" t="s">
        <v>11149</v>
      </c>
      <c r="X650" s="1" t="s">
        <v>11150</v>
      </c>
      <c r="Y650" s="1" t="s">
        <v>11151</v>
      </c>
      <c r="Z650" s="1" t="s">
        <v>11152</v>
      </c>
      <c r="AA650" s="1" t="s">
        <v>74</v>
      </c>
      <c r="AB650" s="1" t="s">
        <v>74</v>
      </c>
      <c r="AC650" s="1" t="s">
        <v>11153</v>
      </c>
      <c r="AD650" s="1" t="s">
        <v>11154</v>
      </c>
      <c r="AE650" s="1" t="s">
        <v>11155</v>
      </c>
      <c r="AF650" s="1" t="s">
        <v>74</v>
      </c>
      <c r="AG650" s="1">
        <v>51</v>
      </c>
      <c r="AH650" s="1">
        <v>21</v>
      </c>
      <c r="AI650" s="1">
        <v>22</v>
      </c>
      <c r="AJ650" s="1">
        <v>8</v>
      </c>
      <c r="AK650" s="1">
        <v>75</v>
      </c>
      <c r="AL650" s="1" t="s">
        <v>430</v>
      </c>
      <c r="AM650" s="1" t="s">
        <v>137</v>
      </c>
      <c r="AN650" s="1" t="s">
        <v>431</v>
      </c>
      <c r="AO650" s="1" t="s">
        <v>432</v>
      </c>
      <c r="AP650" s="1" t="s">
        <v>1394</v>
      </c>
      <c r="AQ650" s="1" t="s">
        <v>74</v>
      </c>
      <c r="AR650" s="1" t="s">
        <v>433</v>
      </c>
      <c r="AS650" s="1" t="s">
        <v>434</v>
      </c>
      <c r="AT650" s="1" t="s">
        <v>4761</v>
      </c>
      <c r="AU650" s="1">
        <v>2022</v>
      </c>
      <c r="AV650" s="1">
        <v>297</v>
      </c>
      <c r="AW650" s="1" t="s">
        <v>74</v>
      </c>
      <c r="AX650" s="1" t="s">
        <v>74</v>
      </c>
      <c r="AY650" s="1" t="s">
        <v>74</v>
      </c>
      <c r="AZ650" s="1" t="s">
        <v>74</v>
      </c>
      <c r="BA650" s="1" t="s">
        <v>74</v>
      </c>
      <c r="BB650" s="1" t="s">
        <v>74</v>
      </c>
      <c r="BC650" s="1" t="s">
        <v>74</v>
      </c>
      <c r="BD650" s="1">
        <v>118649</v>
      </c>
      <c r="BE650" s="1" t="s">
        <v>11156</v>
      </c>
      <c r="BF650" s="1" t="str">
        <f>HYPERLINK("http://dx.doi.org/10.1016/j.envpol.2021.118649","http://dx.doi.org/10.1016/j.envpol.2021.118649")</f>
        <v>http://dx.doi.org/10.1016/j.envpol.2021.118649</v>
      </c>
      <c r="BG650" s="1" t="s">
        <v>74</v>
      </c>
      <c r="BH650" s="1" t="s">
        <v>227</v>
      </c>
      <c r="BI650" s="1">
        <v>9</v>
      </c>
      <c r="BJ650" s="1" t="s">
        <v>144</v>
      </c>
      <c r="BK650" s="1" t="s">
        <v>96</v>
      </c>
      <c r="BL650" s="1" t="s">
        <v>145</v>
      </c>
      <c r="BM650" s="1" t="s">
        <v>11157</v>
      </c>
      <c r="BN650" s="1">
        <v>34902527</v>
      </c>
      <c r="BO650" s="1" t="s">
        <v>74</v>
      </c>
      <c r="BP650" s="1" t="s">
        <v>74</v>
      </c>
      <c r="BQ650" s="1" t="s">
        <v>74</v>
      </c>
      <c r="BR650" s="1" t="s">
        <v>98</v>
      </c>
      <c r="BS650" s="1" t="s">
        <v>11158</v>
      </c>
      <c r="BT650" s="1" t="str">
        <f>HYPERLINK("https%3A%2F%2Fwww.webofscience.com%2Fwos%2Fwoscc%2Ffull-record%2FWOS:000760091100003","View Full Record in Web of Science")</f>
        <v>View Full Record in Web of Science</v>
      </c>
    </row>
    <row r="651" spans="1:72">
      <c r="A651" s="1" t="s">
        <v>72</v>
      </c>
      <c r="B651" s="1" t="s">
        <v>11159</v>
      </c>
      <c r="C651" s="1" t="s">
        <v>74</v>
      </c>
      <c r="D651" s="1" t="s">
        <v>74</v>
      </c>
      <c r="E651" s="1" t="s">
        <v>74</v>
      </c>
      <c r="F651" s="1" t="s">
        <v>11160</v>
      </c>
      <c r="G651" s="1" t="s">
        <v>74</v>
      </c>
      <c r="H651" s="1" t="s">
        <v>74</v>
      </c>
      <c r="I651" s="1" t="s">
        <v>11161</v>
      </c>
      <c r="J651" s="1" t="s">
        <v>103</v>
      </c>
      <c r="K651" s="1" t="s">
        <v>74</v>
      </c>
      <c r="L651" s="1" t="s">
        <v>74</v>
      </c>
      <c r="M651" s="1" t="s">
        <v>78</v>
      </c>
      <c r="N651" s="1" t="s">
        <v>79</v>
      </c>
      <c r="O651" s="1" t="s">
        <v>74</v>
      </c>
      <c r="P651" s="1" t="s">
        <v>74</v>
      </c>
      <c r="Q651" s="1" t="s">
        <v>74</v>
      </c>
      <c r="R651" s="1" t="s">
        <v>74</v>
      </c>
      <c r="S651" s="1" t="s">
        <v>74</v>
      </c>
      <c r="T651" s="1" t="s">
        <v>11162</v>
      </c>
      <c r="U651" s="1" t="s">
        <v>11163</v>
      </c>
      <c r="V651" s="1" t="s">
        <v>11164</v>
      </c>
      <c r="W651" s="1" t="s">
        <v>11165</v>
      </c>
      <c r="X651" s="1" t="s">
        <v>10778</v>
      </c>
      <c r="Y651" s="1" t="s">
        <v>11166</v>
      </c>
      <c r="Z651" s="1" t="s">
        <v>10780</v>
      </c>
      <c r="AA651" s="1" t="s">
        <v>10781</v>
      </c>
      <c r="AB651" s="1" t="s">
        <v>11167</v>
      </c>
      <c r="AC651" s="1" t="s">
        <v>11168</v>
      </c>
      <c r="AD651" s="1" t="s">
        <v>11169</v>
      </c>
      <c r="AE651" s="1" t="s">
        <v>11170</v>
      </c>
      <c r="AF651" s="1" t="s">
        <v>74</v>
      </c>
      <c r="AG651" s="1">
        <v>34</v>
      </c>
      <c r="AH651" s="1">
        <v>33</v>
      </c>
      <c r="AI651" s="1">
        <v>36</v>
      </c>
      <c r="AJ651" s="1">
        <v>1</v>
      </c>
      <c r="AK651" s="1">
        <v>49</v>
      </c>
      <c r="AL651" s="1" t="s">
        <v>112</v>
      </c>
      <c r="AM651" s="1" t="s">
        <v>113</v>
      </c>
      <c r="AN651" s="1" t="s">
        <v>469</v>
      </c>
      <c r="AO651" s="1" t="s">
        <v>115</v>
      </c>
      <c r="AP651" s="1" t="s">
        <v>116</v>
      </c>
      <c r="AQ651" s="1" t="s">
        <v>74</v>
      </c>
      <c r="AR651" s="1" t="s">
        <v>117</v>
      </c>
      <c r="AS651" s="1" t="s">
        <v>118</v>
      </c>
      <c r="AT651" s="1" t="s">
        <v>224</v>
      </c>
      <c r="AU651" s="1">
        <v>2016</v>
      </c>
      <c r="AV651" s="1">
        <v>96</v>
      </c>
      <c r="AW651" s="1">
        <v>2</v>
      </c>
      <c r="AX651" s="1" t="s">
        <v>74</v>
      </c>
      <c r="AY651" s="1" t="s">
        <v>74</v>
      </c>
      <c r="AZ651" s="1" t="s">
        <v>74</v>
      </c>
      <c r="BA651" s="1" t="s">
        <v>74</v>
      </c>
      <c r="BB651" s="1">
        <v>179</v>
      </c>
      <c r="BC651" s="1">
        <v>185</v>
      </c>
      <c r="BD651" s="1" t="s">
        <v>74</v>
      </c>
      <c r="BE651" s="1" t="s">
        <v>11171</v>
      </c>
      <c r="BF651" s="1" t="str">
        <f>HYPERLINK("http://dx.doi.org/10.1007/s00128-015-1689-z","http://dx.doi.org/10.1007/s00128-015-1689-z")</f>
        <v>http://dx.doi.org/10.1007/s00128-015-1689-z</v>
      </c>
      <c r="BG651" s="1" t="s">
        <v>74</v>
      </c>
      <c r="BH651" s="1" t="s">
        <v>74</v>
      </c>
      <c r="BI651" s="1">
        <v>7</v>
      </c>
      <c r="BJ651" s="1" t="s">
        <v>121</v>
      </c>
      <c r="BK651" s="1" t="s">
        <v>96</v>
      </c>
      <c r="BL651" s="1" t="s">
        <v>122</v>
      </c>
      <c r="BM651" s="1" t="s">
        <v>11172</v>
      </c>
      <c r="BN651" s="1">
        <v>26546228</v>
      </c>
      <c r="BO651" s="1" t="s">
        <v>74</v>
      </c>
      <c r="BP651" s="1" t="s">
        <v>74</v>
      </c>
      <c r="BQ651" s="1" t="s">
        <v>74</v>
      </c>
      <c r="BR651" s="1" t="s">
        <v>98</v>
      </c>
      <c r="BS651" s="1" t="s">
        <v>11173</v>
      </c>
      <c r="BT651" s="1" t="str">
        <f>HYPERLINK("https%3A%2F%2Fwww.webofscience.com%2Fwos%2Fwoscc%2Ffull-record%2FWOS:000368716700009","View Full Record in Web of Science")</f>
        <v>View Full Record in Web of Science</v>
      </c>
    </row>
    <row r="652" spans="1:72">
      <c r="A652" s="1" t="s">
        <v>72</v>
      </c>
      <c r="B652" s="1" t="s">
        <v>11174</v>
      </c>
      <c r="C652" s="1" t="s">
        <v>74</v>
      </c>
      <c r="D652" s="1" t="s">
        <v>74</v>
      </c>
      <c r="E652" s="1" t="s">
        <v>74</v>
      </c>
      <c r="F652" s="1" t="s">
        <v>11175</v>
      </c>
      <c r="G652" s="1" t="s">
        <v>74</v>
      </c>
      <c r="H652" s="1" t="s">
        <v>74</v>
      </c>
      <c r="I652" s="1" t="s">
        <v>11176</v>
      </c>
      <c r="J652" s="1" t="s">
        <v>11177</v>
      </c>
      <c r="K652" s="1" t="s">
        <v>74</v>
      </c>
      <c r="L652" s="1" t="s">
        <v>74</v>
      </c>
      <c r="M652" s="1" t="s">
        <v>78</v>
      </c>
      <c r="N652" s="1" t="s">
        <v>79</v>
      </c>
      <c r="O652" s="1" t="s">
        <v>74</v>
      </c>
      <c r="P652" s="1" t="s">
        <v>74</v>
      </c>
      <c r="Q652" s="1" t="s">
        <v>74</v>
      </c>
      <c r="R652" s="1" t="s">
        <v>74</v>
      </c>
      <c r="S652" s="1" t="s">
        <v>74</v>
      </c>
      <c r="T652" s="1" t="s">
        <v>11178</v>
      </c>
      <c r="U652" s="1" t="s">
        <v>11179</v>
      </c>
      <c r="V652" s="1" t="s">
        <v>11180</v>
      </c>
      <c r="W652" s="1" t="s">
        <v>11181</v>
      </c>
      <c r="X652" s="1" t="s">
        <v>11182</v>
      </c>
      <c r="Y652" s="1" t="s">
        <v>11183</v>
      </c>
      <c r="Z652" s="1" t="s">
        <v>11184</v>
      </c>
      <c r="AA652" s="1" t="s">
        <v>11185</v>
      </c>
      <c r="AB652" s="1" t="s">
        <v>11186</v>
      </c>
      <c r="AC652" s="1" t="s">
        <v>74</v>
      </c>
      <c r="AD652" s="1" t="s">
        <v>74</v>
      </c>
      <c r="AE652" s="1" t="s">
        <v>74</v>
      </c>
      <c r="AF652" s="1" t="s">
        <v>74</v>
      </c>
      <c r="AG652" s="1">
        <v>91</v>
      </c>
      <c r="AH652" s="1">
        <v>4</v>
      </c>
      <c r="AI652" s="1">
        <v>4</v>
      </c>
      <c r="AJ652" s="1">
        <v>0</v>
      </c>
      <c r="AK652" s="1">
        <v>8</v>
      </c>
      <c r="AL652" s="1" t="s">
        <v>430</v>
      </c>
      <c r="AM652" s="1" t="s">
        <v>137</v>
      </c>
      <c r="AN652" s="1" t="s">
        <v>431</v>
      </c>
      <c r="AO652" s="1" t="s">
        <v>11187</v>
      </c>
      <c r="AP652" s="1" t="s">
        <v>11188</v>
      </c>
      <c r="AQ652" s="1" t="s">
        <v>74</v>
      </c>
      <c r="AR652" s="1" t="s">
        <v>11189</v>
      </c>
      <c r="AS652" s="1" t="s">
        <v>11190</v>
      </c>
      <c r="AT652" s="1" t="s">
        <v>224</v>
      </c>
      <c r="AU652" s="1">
        <v>2022</v>
      </c>
      <c r="AV652" s="1">
        <v>10</v>
      </c>
      <c r="AW652" s="1">
        <v>1</v>
      </c>
      <c r="AX652" s="1" t="s">
        <v>74</v>
      </c>
      <c r="AY652" s="1" t="s">
        <v>74</v>
      </c>
      <c r="AZ652" s="1" t="s">
        <v>74</v>
      </c>
      <c r="BA652" s="1" t="s">
        <v>74</v>
      </c>
      <c r="BB652" s="1" t="s">
        <v>74</v>
      </c>
      <c r="BC652" s="1" t="s">
        <v>74</v>
      </c>
      <c r="BD652" s="1">
        <v>106825</v>
      </c>
      <c r="BE652" s="1" t="s">
        <v>11191</v>
      </c>
      <c r="BF652" s="1" t="str">
        <f>HYPERLINK("http://dx.doi.org/10.1016/j.jece.2021.106825","http://dx.doi.org/10.1016/j.jece.2021.106825")</f>
        <v>http://dx.doi.org/10.1016/j.jece.2021.106825</v>
      </c>
      <c r="BG652" s="1" t="s">
        <v>74</v>
      </c>
      <c r="BH652" s="1" t="s">
        <v>4701</v>
      </c>
      <c r="BI652" s="1">
        <v>13</v>
      </c>
      <c r="BJ652" s="1" t="s">
        <v>3991</v>
      </c>
      <c r="BK652" s="1" t="s">
        <v>96</v>
      </c>
      <c r="BL652" s="1" t="s">
        <v>3992</v>
      </c>
      <c r="BM652" s="1" t="s">
        <v>11192</v>
      </c>
      <c r="BN652" s="1" t="s">
        <v>74</v>
      </c>
      <c r="BO652" s="1" t="s">
        <v>74</v>
      </c>
      <c r="BP652" s="1" t="s">
        <v>74</v>
      </c>
      <c r="BQ652" s="1" t="s">
        <v>74</v>
      </c>
      <c r="BR652" s="1" t="s">
        <v>98</v>
      </c>
      <c r="BS652" s="1" t="s">
        <v>11193</v>
      </c>
      <c r="BT652" s="1" t="str">
        <f>HYPERLINK("https%3A%2F%2Fwww.webofscience.com%2Fwos%2Fwoscc%2Ffull-record%2FWOS:000730992700007","View Full Record in Web of Science")</f>
        <v>View Full Record in Web of Science</v>
      </c>
    </row>
    <row r="653" spans="1:72">
      <c r="A653" s="1" t="s">
        <v>72</v>
      </c>
      <c r="B653" s="1" t="s">
        <v>11194</v>
      </c>
      <c r="C653" s="1" t="s">
        <v>74</v>
      </c>
      <c r="D653" s="1" t="s">
        <v>74</v>
      </c>
      <c r="E653" s="1" t="s">
        <v>74</v>
      </c>
      <c r="F653" s="1" t="s">
        <v>11195</v>
      </c>
      <c r="G653" s="1" t="s">
        <v>74</v>
      </c>
      <c r="H653" s="1" t="s">
        <v>74</v>
      </c>
      <c r="I653" s="1" t="s">
        <v>11196</v>
      </c>
      <c r="J653" s="1" t="s">
        <v>232</v>
      </c>
      <c r="K653" s="1" t="s">
        <v>74</v>
      </c>
      <c r="L653" s="1" t="s">
        <v>74</v>
      </c>
      <c r="M653" s="1" t="s">
        <v>78</v>
      </c>
      <c r="N653" s="1" t="s">
        <v>79</v>
      </c>
      <c r="O653" s="1" t="s">
        <v>74</v>
      </c>
      <c r="P653" s="1" t="s">
        <v>74</v>
      </c>
      <c r="Q653" s="1" t="s">
        <v>74</v>
      </c>
      <c r="R653" s="1" t="s">
        <v>74</v>
      </c>
      <c r="S653" s="1" t="s">
        <v>74</v>
      </c>
      <c r="T653" s="1" t="s">
        <v>11197</v>
      </c>
      <c r="U653" s="1" t="s">
        <v>11198</v>
      </c>
      <c r="V653" s="1" t="s">
        <v>11199</v>
      </c>
      <c r="W653" s="1" t="s">
        <v>11200</v>
      </c>
      <c r="X653" s="1" t="s">
        <v>11201</v>
      </c>
      <c r="Y653" s="1" t="s">
        <v>11202</v>
      </c>
      <c r="Z653" s="1" t="s">
        <v>7221</v>
      </c>
      <c r="AA653" s="1" t="s">
        <v>7222</v>
      </c>
      <c r="AB653" s="1" t="s">
        <v>74</v>
      </c>
      <c r="AC653" s="1" t="s">
        <v>11203</v>
      </c>
      <c r="AD653" s="1" t="s">
        <v>11204</v>
      </c>
      <c r="AE653" s="1" t="s">
        <v>11205</v>
      </c>
      <c r="AF653" s="1" t="s">
        <v>74</v>
      </c>
      <c r="AG653" s="1">
        <v>30</v>
      </c>
      <c r="AH653" s="1">
        <v>9</v>
      </c>
      <c r="AI653" s="1">
        <v>9</v>
      </c>
      <c r="AJ653" s="1">
        <v>1</v>
      </c>
      <c r="AK653" s="1">
        <v>14</v>
      </c>
      <c r="AL653" s="1" t="s">
        <v>136</v>
      </c>
      <c r="AM653" s="1" t="s">
        <v>137</v>
      </c>
      <c r="AN653" s="1" t="s">
        <v>138</v>
      </c>
      <c r="AO653" s="1" t="s">
        <v>240</v>
      </c>
      <c r="AP653" s="1" t="s">
        <v>241</v>
      </c>
      <c r="AQ653" s="1" t="s">
        <v>74</v>
      </c>
      <c r="AR653" s="1" t="s">
        <v>242</v>
      </c>
      <c r="AS653" s="1" t="s">
        <v>243</v>
      </c>
      <c r="AT653" s="1" t="s">
        <v>93</v>
      </c>
      <c r="AU653" s="1">
        <v>2018</v>
      </c>
      <c r="AV653" s="1">
        <v>129</v>
      </c>
      <c r="AW653" s="1">
        <v>2</v>
      </c>
      <c r="AX653" s="1" t="s">
        <v>74</v>
      </c>
      <c r="AY653" s="1" t="s">
        <v>74</v>
      </c>
      <c r="AZ653" s="1" t="s">
        <v>74</v>
      </c>
      <c r="BA653" s="1" t="s">
        <v>74</v>
      </c>
      <c r="BB653" s="1">
        <v>913</v>
      </c>
      <c r="BC653" s="1">
        <v>917</v>
      </c>
      <c r="BD653" s="1" t="s">
        <v>74</v>
      </c>
      <c r="BE653" s="1" t="s">
        <v>11206</v>
      </c>
      <c r="BF653" s="1" t="str">
        <f>HYPERLINK("http://dx.doi.org/10.1016/j.marpolbul.2017.10.048","http://dx.doi.org/10.1016/j.marpolbul.2017.10.048")</f>
        <v>http://dx.doi.org/10.1016/j.marpolbul.2017.10.048</v>
      </c>
      <c r="BG653" s="1" t="s">
        <v>74</v>
      </c>
      <c r="BH653" s="1" t="s">
        <v>74</v>
      </c>
      <c r="BI653" s="1">
        <v>5</v>
      </c>
      <c r="BJ653" s="1" t="s">
        <v>247</v>
      </c>
      <c r="BK653" s="1" t="s">
        <v>96</v>
      </c>
      <c r="BL653" s="1" t="s">
        <v>248</v>
      </c>
      <c r="BM653" s="1" t="s">
        <v>11207</v>
      </c>
      <c r="BN653" s="1">
        <v>29110894</v>
      </c>
      <c r="BO653" s="1" t="s">
        <v>74</v>
      </c>
      <c r="BP653" s="1" t="s">
        <v>74</v>
      </c>
      <c r="BQ653" s="1" t="s">
        <v>74</v>
      </c>
      <c r="BR653" s="1" t="s">
        <v>98</v>
      </c>
      <c r="BS653" s="1" t="s">
        <v>11208</v>
      </c>
      <c r="BT653" s="1" t="str">
        <f>HYPERLINK("https%3A%2F%2Fwww.webofscience.com%2Fwos%2Fwoscc%2Ffull-record%2FWOS:000432510800052","View Full Record in Web of Science")</f>
        <v>View Full Record in Web of Science</v>
      </c>
    </row>
    <row r="654" spans="1:72">
      <c r="A654" s="1" t="s">
        <v>72</v>
      </c>
      <c r="B654" s="1" t="s">
        <v>11209</v>
      </c>
      <c r="C654" s="1" t="s">
        <v>74</v>
      </c>
      <c r="D654" s="1" t="s">
        <v>74</v>
      </c>
      <c r="E654" s="1" t="s">
        <v>74</v>
      </c>
      <c r="F654" s="1" t="s">
        <v>11210</v>
      </c>
      <c r="G654" s="1" t="s">
        <v>74</v>
      </c>
      <c r="H654" s="1" t="s">
        <v>74</v>
      </c>
      <c r="I654" s="1" t="s">
        <v>11211</v>
      </c>
      <c r="J654" s="1" t="s">
        <v>11212</v>
      </c>
      <c r="K654" s="1" t="s">
        <v>74</v>
      </c>
      <c r="L654" s="1" t="s">
        <v>74</v>
      </c>
      <c r="M654" s="1" t="s">
        <v>78</v>
      </c>
      <c r="N654" s="1" t="s">
        <v>79</v>
      </c>
      <c r="O654" s="1" t="s">
        <v>74</v>
      </c>
      <c r="P654" s="1" t="s">
        <v>74</v>
      </c>
      <c r="Q654" s="1" t="s">
        <v>74</v>
      </c>
      <c r="R654" s="1" t="s">
        <v>74</v>
      </c>
      <c r="S654" s="1" t="s">
        <v>74</v>
      </c>
      <c r="T654" s="1" t="s">
        <v>11213</v>
      </c>
      <c r="U654" s="1" t="s">
        <v>11214</v>
      </c>
      <c r="V654" s="1" t="s">
        <v>11215</v>
      </c>
      <c r="W654" s="1" t="s">
        <v>11216</v>
      </c>
      <c r="X654" s="1" t="s">
        <v>11217</v>
      </c>
      <c r="Y654" s="1" t="s">
        <v>11218</v>
      </c>
      <c r="Z654" s="1" t="s">
        <v>11219</v>
      </c>
      <c r="AA654" s="1" t="s">
        <v>11220</v>
      </c>
      <c r="AB654" s="1" t="s">
        <v>11221</v>
      </c>
      <c r="AC654" s="1" t="s">
        <v>11222</v>
      </c>
      <c r="AD654" s="1" t="s">
        <v>11223</v>
      </c>
      <c r="AE654" s="1" t="s">
        <v>11224</v>
      </c>
      <c r="AF654" s="1" t="s">
        <v>74</v>
      </c>
      <c r="AG654" s="1">
        <v>88</v>
      </c>
      <c r="AH654" s="1">
        <v>16</v>
      </c>
      <c r="AI654" s="1">
        <v>18</v>
      </c>
      <c r="AJ654" s="1">
        <v>0</v>
      </c>
      <c r="AK654" s="1">
        <v>22</v>
      </c>
      <c r="AL654" s="1" t="s">
        <v>217</v>
      </c>
      <c r="AM654" s="1" t="s">
        <v>218</v>
      </c>
      <c r="AN654" s="1" t="s">
        <v>219</v>
      </c>
      <c r="AO654" s="1" t="s">
        <v>11225</v>
      </c>
      <c r="AP654" s="1" t="s">
        <v>11226</v>
      </c>
      <c r="AQ654" s="1" t="s">
        <v>74</v>
      </c>
      <c r="AR654" s="1" t="s">
        <v>11227</v>
      </c>
      <c r="AS654" s="1" t="s">
        <v>11228</v>
      </c>
      <c r="AT654" s="1" t="s">
        <v>1470</v>
      </c>
      <c r="AU654" s="1">
        <v>2021</v>
      </c>
      <c r="AV654" s="1">
        <v>191</v>
      </c>
      <c r="AW654" s="1">
        <v>1</v>
      </c>
      <c r="AX654" s="1" t="s">
        <v>74</v>
      </c>
      <c r="AY654" s="1" t="s">
        <v>74</v>
      </c>
      <c r="AZ654" s="1" t="s">
        <v>74</v>
      </c>
      <c r="BA654" s="1" t="s">
        <v>74</v>
      </c>
      <c r="BB654" s="1">
        <v>143</v>
      </c>
      <c r="BC654" s="1">
        <v>158</v>
      </c>
      <c r="BD654" s="1" t="s">
        <v>74</v>
      </c>
      <c r="BE654" s="1" t="s">
        <v>11229</v>
      </c>
      <c r="BF654" s="1" t="str">
        <f>HYPERLINK("http://dx.doi.org/10.1007/s00360-020-01306-0","http://dx.doi.org/10.1007/s00360-020-01306-0")</f>
        <v>http://dx.doi.org/10.1007/s00360-020-01306-0</v>
      </c>
      <c r="BG654" s="1" t="s">
        <v>74</v>
      </c>
      <c r="BH654" s="1" t="s">
        <v>11230</v>
      </c>
      <c r="BI654" s="1">
        <v>16</v>
      </c>
      <c r="BJ654" s="1" t="s">
        <v>11231</v>
      </c>
      <c r="BK654" s="1" t="s">
        <v>96</v>
      </c>
      <c r="BL654" s="1" t="s">
        <v>11231</v>
      </c>
      <c r="BM654" s="1" t="s">
        <v>11232</v>
      </c>
      <c r="BN654" s="1">
        <v>32979067</v>
      </c>
      <c r="BO654" s="1" t="s">
        <v>2784</v>
      </c>
      <c r="BP654" s="1" t="s">
        <v>74</v>
      </c>
      <c r="BQ654" s="1" t="s">
        <v>74</v>
      </c>
      <c r="BR654" s="1" t="s">
        <v>98</v>
      </c>
      <c r="BS654" s="1" t="s">
        <v>11233</v>
      </c>
      <c r="BT654" s="1" t="str">
        <f>HYPERLINK("https%3A%2F%2Fwww.webofscience.com%2Fwos%2Fwoscc%2Ffull-record%2FWOS:000572956900002","View Full Record in Web of Science")</f>
        <v>View Full Record in Web of Science</v>
      </c>
    </row>
    <row r="655" spans="1:72">
      <c r="A655" s="1" t="s">
        <v>72</v>
      </c>
      <c r="B655" s="1" t="s">
        <v>11234</v>
      </c>
      <c r="C655" s="1" t="s">
        <v>74</v>
      </c>
      <c r="D655" s="1" t="s">
        <v>74</v>
      </c>
      <c r="E655" s="1" t="s">
        <v>74</v>
      </c>
      <c r="F655" s="1" t="s">
        <v>11235</v>
      </c>
      <c r="G655" s="1" t="s">
        <v>74</v>
      </c>
      <c r="H655" s="1" t="s">
        <v>74</v>
      </c>
      <c r="I655" s="1" t="s">
        <v>11236</v>
      </c>
      <c r="J655" s="1" t="s">
        <v>204</v>
      </c>
      <c r="K655" s="1" t="s">
        <v>74</v>
      </c>
      <c r="L655" s="1" t="s">
        <v>74</v>
      </c>
      <c r="M655" s="1" t="s">
        <v>78</v>
      </c>
      <c r="N655" s="1" t="s">
        <v>79</v>
      </c>
      <c r="O655" s="1" t="s">
        <v>74</v>
      </c>
      <c r="P655" s="1" t="s">
        <v>74</v>
      </c>
      <c r="Q655" s="1" t="s">
        <v>74</v>
      </c>
      <c r="R655" s="1" t="s">
        <v>74</v>
      </c>
      <c r="S655" s="1" t="s">
        <v>74</v>
      </c>
      <c r="T655" s="1" t="s">
        <v>11237</v>
      </c>
      <c r="U655" s="1" t="s">
        <v>11238</v>
      </c>
      <c r="V655" s="1" t="s">
        <v>11239</v>
      </c>
      <c r="W655" s="1" t="s">
        <v>11240</v>
      </c>
      <c r="X655" s="1" t="s">
        <v>11241</v>
      </c>
      <c r="Y655" s="1" t="s">
        <v>11242</v>
      </c>
      <c r="Z655" s="1" t="s">
        <v>5507</v>
      </c>
      <c r="AA655" s="1" t="s">
        <v>11243</v>
      </c>
      <c r="AB655" s="1" t="s">
        <v>11244</v>
      </c>
      <c r="AC655" s="1" t="s">
        <v>74</v>
      </c>
      <c r="AD655" s="1" t="s">
        <v>74</v>
      </c>
      <c r="AE655" s="1" t="s">
        <v>74</v>
      </c>
      <c r="AF655" s="1" t="s">
        <v>74</v>
      </c>
      <c r="AG655" s="1">
        <v>52</v>
      </c>
      <c r="AH655" s="1">
        <v>25</v>
      </c>
      <c r="AI655" s="1">
        <v>26</v>
      </c>
      <c r="AJ655" s="1">
        <v>0</v>
      </c>
      <c r="AK655" s="1">
        <v>25</v>
      </c>
      <c r="AL655" s="1" t="s">
        <v>217</v>
      </c>
      <c r="AM655" s="1" t="s">
        <v>218</v>
      </c>
      <c r="AN655" s="1" t="s">
        <v>219</v>
      </c>
      <c r="AO655" s="1" t="s">
        <v>220</v>
      </c>
      <c r="AP655" s="1" t="s">
        <v>221</v>
      </c>
      <c r="AQ655" s="1" t="s">
        <v>74</v>
      </c>
      <c r="AR655" s="1" t="s">
        <v>222</v>
      </c>
      <c r="AS655" s="1" t="s">
        <v>223</v>
      </c>
      <c r="AT655" s="1" t="s">
        <v>197</v>
      </c>
      <c r="AU655" s="1">
        <v>2016</v>
      </c>
      <c r="AV655" s="1">
        <v>23</v>
      </c>
      <c r="AW655" s="1">
        <v>24</v>
      </c>
      <c r="AX655" s="1" t="s">
        <v>74</v>
      </c>
      <c r="AY655" s="1" t="s">
        <v>74</v>
      </c>
      <c r="AZ655" s="1" t="s">
        <v>74</v>
      </c>
      <c r="BA655" s="1" t="s">
        <v>74</v>
      </c>
      <c r="BB655" s="1">
        <v>25385</v>
      </c>
      <c r="BC655" s="1">
        <v>25392</v>
      </c>
      <c r="BD655" s="1" t="s">
        <v>74</v>
      </c>
      <c r="BE655" s="1" t="s">
        <v>11245</v>
      </c>
      <c r="BF655" s="1" t="str">
        <f>HYPERLINK("http://dx.doi.org/10.1007/s11356-016-7677-y","http://dx.doi.org/10.1007/s11356-016-7677-y")</f>
        <v>http://dx.doi.org/10.1007/s11356-016-7677-y</v>
      </c>
      <c r="BG655" s="1" t="s">
        <v>74</v>
      </c>
      <c r="BH655" s="1" t="s">
        <v>74</v>
      </c>
      <c r="BI655" s="1">
        <v>8</v>
      </c>
      <c r="BJ655" s="1" t="s">
        <v>144</v>
      </c>
      <c r="BK655" s="1" t="s">
        <v>96</v>
      </c>
      <c r="BL655" s="1" t="s">
        <v>145</v>
      </c>
      <c r="BM655" s="1" t="s">
        <v>11246</v>
      </c>
      <c r="BN655" s="1">
        <v>27696195</v>
      </c>
      <c r="BO655" s="1" t="s">
        <v>74</v>
      </c>
      <c r="BP655" s="1" t="s">
        <v>74</v>
      </c>
      <c r="BQ655" s="1" t="s">
        <v>74</v>
      </c>
      <c r="BR655" s="1" t="s">
        <v>98</v>
      </c>
      <c r="BS655" s="1" t="s">
        <v>11247</v>
      </c>
      <c r="BT655" s="1" t="str">
        <f>HYPERLINK("https%3A%2F%2Fwww.webofscience.com%2Fwos%2Fwoscc%2Ffull-record%2FWOS:000389301700079","View Full Record in Web of Science")</f>
        <v>View Full Record in Web of Science</v>
      </c>
    </row>
    <row r="656" spans="1:72">
      <c r="A656" s="1" t="s">
        <v>72</v>
      </c>
      <c r="B656" s="1" t="s">
        <v>11248</v>
      </c>
      <c r="C656" s="1" t="s">
        <v>74</v>
      </c>
      <c r="D656" s="1" t="s">
        <v>74</v>
      </c>
      <c r="E656" s="1" t="s">
        <v>74</v>
      </c>
      <c r="F656" s="1" t="s">
        <v>11248</v>
      </c>
      <c r="G656" s="1" t="s">
        <v>74</v>
      </c>
      <c r="H656" s="1" t="s">
        <v>74</v>
      </c>
      <c r="I656" s="1" t="s">
        <v>11249</v>
      </c>
      <c r="J656" s="1" t="s">
        <v>127</v>
      </c>
      <c r="K656" s="1" t="s">
        <v>74</v>
      </c>
      <c r="L656" s="1" t="s">
        <v>74</v>
      </c>
      <c r="M656" s="1" t="s">
        <v>78</v>
      </c>
      <c r="N656" s="1" t="s">
        <v>79</v>
      </c>
      <c r="O656" s="1" t="s">
        <v>74</v>
      </c>
      <c r="P656" s="1" t="s">
        <v>74</v>
      </c>
      <c r="Q656" s="1" t="s">
        <v>74</v>
      </c>
      <c r="R656" s="1" t="s">
        <v>74</v>
      </c>
      <c r="S656" s="1" t="s">
        <v>74</v>
      </c>
      <c r="T656" s="1" t="s">
        <v>11250</v>
      </c>
      <c r="U656" s="1" t="s">
        <v>11251</v>
      </c>
      <c r="V656" s="1" t="s">
        <v>11252</v>
      </c>
      <c r="W656" s="1" t="s">
        <v>74</v>
      </c>
      <c r="X656" s="1" t="s">
        <v>74</v>
      </c>
      <c r="Y656" s="1" t="s">
        <v>11253</v>
      </c>
      <c r="Z656" s="1" t="s">
        <v>74</v>
      </c>
      <c r="AA656" s="1" t="s">
        <v>74</v>
      </c>
      <c r="AB656" s="1" t="s">
        <v>74</v>
      </c>
      <c r="AC656" s="1" t="s">
        <v>74</v>
      </c>
      <c r="AD656" s="1" t="s">
        <v>74</v>
      </c>
      <c r="AE656" s="1" t="s">
        <v>74</v>
      </c>
      <c r="AF656" s="1" t="s">
        <v>74</v>
      </c>
      <c r="AG656" s="1">
        <v>28</v>
      </c>
      <c r="AH656" s="1">
        <v>19</v>
      </c>
      <c r="AI656" s="1">
        <v>20</v>
      </c>
      <c r="AJ656" s="1">
        <v>0</v>
      </c>
      <c r="AK656" s="1">
        <v>4</v>
      </c>
      <c r="AL656" s="1" t="s">
        <v>136</v>
      </c>
      <c r="AM656" s="1" t="s">
        <v>137</v>
      </c>
      <c r="AN656" s="1" t="s">
        <v>583</v>
      </c>
      <c r="AO656" s="1" t="s">
        <v>139</v>
      </c>
      <c r="AP656" s="1" t="s">
        <v>74</v>
      </c>
      <c r="AQ656" s="1" t="s">
        <v>74</v>
      </c>
      <c r="AR656" s="1" t="s">
        <v>127</v>
      </c>
      <c r="AS656" s="1" t="s">
        <v>141</v>
      </c>
      <c r="AT656" s="1" t="s">
        <v>170</v>
      </c>
      <c r="AU656" s="1">
        <v>1996</v>
      </c>
      <c r="AV656" s="1">
        <v>32</v>
      </c>
      <c r="AW656" s="1">
        <v>10</v>
      </c>
      <c r="AX656" s="1" t="s">
        <v>74</v>
      </c>
      <c r="AY656" s="1" t="s">
        <v>74</v>
      </c>
      <c r="AZ656" s="1" t="s">
        <v>74</v>
      </c>
      <c r="BA656" s="1" t="s">
        <v>74</v>
      </c>
      <c r="BB656" s="1">
        <v>1937</v>
      </c>
      <c r="BC656" s="1">
        <v>1948</v>
      </c>
      <c r="BD656" s="1" t="s">
        <v>74</v>
      </c>
      <c r="BE656" s="1" t="s">
        <v>11254</v>
      </c>
      <c r="BF656" s="1" t="str">
        <f>HYPERLINK("http://dx.doi.org/10.1016/0045-6535(96)00101-4","http://dx.doi.org/10.1016/0045-6535(96)00101-4")</f>
        <v>http://dx.doi.org/10.1016/0045-6535(96)00101-4</v>
      </c>
      <c r="BG656" s="1" t="s">
        <v>74</v>
      </c>
      <c r="BH656" s="1" t="s">
        <v>74</v>
      </c>
      <c r="BI656" s="1">
        <v>12</v>
      </c>
      <c r="BJ656" s="1" t="s">
        <v>144</v>
      </c>
      <c r="BK656" s="1" t="s">
        <v>96</v>
      </c>
      <c r="BL656" s="1" t="s">
        <v>145</v>
      </c>
      <c r="BM656" s="1" t="s">
        <v>11255</v>
      </c>
      <c r="BN656" s="1" t="s">
        <v>74</v>
      </c>
      <c r="BO656" s="1" t="s">
        <v>74</v>
      </c>
      <c r="BP656" s="1" t="s">
        <v>74</v>
      </c>
      <c r="BQ656" s="1" t="s">
        <v>74</v>
      </c>
      <c r="BR656" s="1" t="s">
        <v>98</v>
      </c>
      <c r="BS656" s="1" t="s">
        <v>11256</v>
      </c>
      <c r="BT656" s="1" t="str">
        <f>HYPERLINK("https%3A%2F%2Fwww.webofscience.com%2Fwos%2Fwoscc%2Ffull-record%2FWOS:A1996UN45100006","View Full Record in Web of Science")</f>
        <v>View Full Record in Web of Science</v>
      </c>
    </row>
    <row r="657" spans="1:72">
      <c r="A657" s="1" t="s">
        <v>72</v>
      </c>
      <c r="B657" s="1" t="s">
        <v>11257</v>
      </c>
      <c r="C657" s="1" t="s">
        <v>74</v>
      </c>
      <c r="D657" s="1" t="s">
        <v>74</v>
      </c>
      <c r="E657" s="1" t="s">
        <v>74</v>
      </c>
      <c r="F657" s="1" t="s">
        <v>11258</v>
      </c>
      <c r="G657" s="1" t="s">
        <v>74</v>
      </c>
      <c r="H657" s="1" t="s">
        <v>74</v>
      </c>
      <c r="I657" s="1" t="s">
        <v>11259</v>
      </c>
      <c r="J657" s="1" t="s">
        <v>704</v>
      </c>
      <c r="K657" s="1" t="s">
        <v>74</v>
      </c>
      <c r="L657" s="1" t="s">
        <v>74</v>
      </c>
      <c r="M657" s="1" t="s">
        <v>78</v>
      </c>
      <c r="N657" s="1" t="s">
        <v>79</v>
      </c>
      <c r="O657" s="1" t="s">
        <v>74</v>
      </c>
      <c r="P657" s="1" t="s">
        <v>74</v>
      </c>
      <c r="Q657" s="1" t="s">
        <v>74</v>
      </c>
      <c r="R657" s="1" t="s">
        <v>74</v>
      </c>
      <c r="S657" s="1" t="s">
        <v>74</v>
      </c>
      <c r="T657" s="1" t="s">
        <v>11260</v>
      </c>
      <c r="U657" s="1" t="s">
        <v>11261</v>
      </c>
      <c r="V657" s="1" t="s">
        <v>11262</v>
      </c>
      <c r="W657" s="1" t="s">
        <v>11263</v>
      </c>
      <c r="X657" s="1" t="s">
        <v>11264</v>
      </c>
      <c r="Y657" s="1" t="s">
        <v>11265</v>
      </c>
      <c r="Z657" s="1" t="s">
        <v>11266</v>
      </c>
      <c r="AA657" s="1" t="s">
        <v>1262</v>
      </c>
      <c r="AB657" s="1" t="s">
        <v>11267</v>
      </c>
      <c r="AC657" s="1" t="s">
        <v>11268</v>
      </c>
      <c r="AD657" s="1" t="s">
        <v>11269</v>
      </c>
      <c r="AE657" s="1" t="s">
        <v>11270</v>
      </c>
      <c r="AF657" s="1" t="s">
        <v>74</v>
      </c>
      <c r="AG657" s="1">
        <v>50</v>
      </c>
      <c r="AH657" s="1">
        <v>37</v>
      </c>
      <c r="AI657" s="1">
        <v>38</v>
      </c>
      <c r="AJ657" s="1">
        <v>0</v>
      </c>
      <c r="AK657" s="1">
        <v>30</v>
      </c>
      <c r="AL657" s="1" t="s">
        <v>4010</v>
      </c>
      <c r="AM657" s="1" t="s">
        <v>1167</v>
      </c>
      <c r="AN657" s="1" t="s">
        <v>1168</v>
      </c>
      <c r="AO657" s="1" t="s">
        <v>718</v>
      </c>
      <c r="AP657" s="1" t="s">
        <v>1169</v>
      </c>
      <c r="AQ657" s="1" t="s">
        <v>74</v>
      </c>
      <c r="AR657" s="1" t="s">
        <v>719</v>
      </c>
      <c r="AS657" s="1" t="s">
        <v>720</v>
      </c>
      <c r="AT657" s="1" t="s">
        <v>1470</v>
      </c>
      <c r="AU657" s="1">
        <v>2009</v>
      </c>
      <c r="AV657" s="1">
        <v>196</v>
      </c>
      <c r="AW657" s="1" t="s">
        <v>721</v>
      </c>
      <c r="AX657" s="1" t="s">
        <v>74</v>
      </c>
      <c r="AY657" s="1" t="s">
        <v>74</v>
      </c>
      <c r="AZ657" s="1" t="s">
        <v>74</v>
      </c>
      <c r="BA657" s="1" t="s">
        <v>74</v>
      </c>
      <c r="BB657" s="1">
        <v>297</v>
      </c>
      <c r="BC657" s="1">
        <v>309</v>
      </c>
      <c r="BD657" s="1" t="s">
        <v>74</v>
      </c>
      <c r="BE657" s="1" t="s">
        <v>11271</v>
      </c>
      <c r="BF657" s="1" t="str">
        <f>HYPERLINK("http://dx.doi.org/10.1007/s11270-008-9777-x","http://dx.doi.org/10.1007/s11270-008-9777-x")</f>
        <v>http://dx.doi.org/10.1007/s11270-008-9777-x</v>
      </c>
      <c r="BG657" s="1" t="s">
        <v>74</v>
      </c>
      <c r="BH657" s="1" t="s">
        <v>74</v>
      </c>
      <c r="BI657" s="1">
        <v>13</v>
      </c>
      <c r="BJ657" s="1" t="s">
        <v>722</v>
      </c>
      <c r="BK657" s="1" t="s">
        <v>96</v>
      </c>
      <c r="BL657" s="1" t="s">
        <v>723</v>
      </c>
      <c r="BM657" s="1" t="s">
        <v>11272</v>
      </c>
      <c r="BN657" s="1" t="s">
        <v>74</v>
      </c>
      <c r="BO657" s="1" t="s">
        <v>1270</v>
      </c>
      <c r="BP657" s="1" t="s">
        <v>74</v>
      </c>
      <c r="BQ657" s="1" t="s">
        <v>74</v>
      </c>
      <c r="BR657" s="1" t="s">
        <v>98</v>
      </c>
      <c r="BS657" s="1" t="s">
        <v>11273</v>
      </c>
      <c r="BT657" s="1" t="str">
        <f>HYPERLINK("https%3A%2F%2Fwww.webofscience.com%2Fwos%2Fwoscc%2Ffull-record%2FWOS:000262931300025","View Full Record in Web of Science")</f>
        <v>View Full Record in Web of Science</v>
      </c>
    </row>
    <row r="658" spans="1:72">
      <c r="A658" s="1" t="s">
        <v>72</v>
      </c>
      <c r="B658" s="1" t="s">
        <v>11274</v>
      </c>
      <c r="C658" s="1" t="s">
        <v>74</v>
      </c>
      <c r="D658" s="1" t="s">
        <v>74</v>
      </c>
      <c r="E658" s="1" t="s">
        <v>74</v>
      </c>
      <c r="F658" s="1" t="s">
        <v>11274</v>
      </c>
      <c r="G658" s="1" t="s">
        <v>74</v>
      </c>
      <c r="H658" s="1" t="s">
        <v>74</v>
      </c>
      <c r="I658" s="1" t="s">
        <v>11275</v>
      </c>
      <c r="J658" s="1" t="s">
        <v>11276</v>
      </c>
      <c r="K658" s="1" t="s">
        <v>74</v>
      </c>
      <c r="L658" s="1" t="s">
        <v>74</v>
      </c>
      <c r="M658" s="1" t="s">
        <v>78</v>
      </c>
      <c r="N658" s="1" t="s">
        <v>79</v>
      </c>
      <c r="O658" s="1" t="s">
        <v>74</v>
      </c>
      <c r="P658" s="1" t="s">
        <v>74</v>
      </c>
      <c r="Q658" s="1" t="s">
        <v>74</v>
      </c>
      <c r="R658" s="1" t="s">
        <v>74</v>
      </c>
      <c r="S658" s="1" t="s">
        <v>74</v>
      </c>
      <c r="T658" s="1" t="s">
        <v>11277</v>
      </c>
      <c r="U658" s="1" t="s">
        <v>11278</v>
      </c>
      <c r="V658" s="1" t="s">
        <v>11279</v>
      </c>
      <c r="W658" s="1" t="s">
        <v>11280</v>
      </c>
      <c r="X658" s="1" t="s">
        <v>11281</v>
      </c>
      <c r="Y658" s="1" t="s">
        <v>11282</v>
      </c>
      <c r="Z658" s="1" t="s">
        <v>11283</v>
      </c>
      <c r="AA658" s="1" t="s">
        <v>74</v>
      </c>
      <c r="AB658" s="1" t="s">
        <v>74</v>
      </c>
      <c r="AC658" s="1" t="s">
        <v>74</v>
      </c>
      <c r="AD658" s="1" t="s">
        <v>74</v>
      </c>
      <c r="AE658" s="1" t="s">
        <v>74</v>
      </c>
      <c r="AF658" s="1" t="s">
        <v>74</v>
      </c>
      <c r="AG658" s="1">
        <v>35</v>
      </c>
      <c r="AH658" s="1">
        <v>72</v>
      </c>
      <c r="AI658" s="1">
        <v>78</v>
      </c>
      <c r="AJ658" s="1">
        <v>0</v>
      </c>
      <c r="AK658" s="1">
        <v>25</v>
      </c>
      <c r="AL658" s="1" t="s">
        <v>430</v>
      </c>
      <c r="AM658" s="1" t="s">
        <v>137</v>
      </c>
      <c r="AN658" s="1" t="s">
        <v>431</v>
      </c>
      <c r="AO658" s="1" t="s">
        <v>11284</v>
      </c>
      <c r="AP658" s="1" t="s">
        <v>74</v>
      </c>
      <c r="AQ658" s="1" t="s">
        <v>74</v>
      </c>
      <c r="AR658" s="1" t="s">
        <v>11285</v>
      </c>
      <c r="AS658" s="1" t="s">
        <v>11286</v>
      </c>
      <c r="AT658" s="1" t="s">
        <v>74</v>
      </c>
      <c r="AU658" s="1">
        <v>2006</v>
      </c>
      <c r="AV658" s="1">
        <v>86</v>
      </c>
      <c r="AW658" s="1">
        <v>1</v>
      </c>
      <c r="AX658" s="1" t="s">
        <v>74</v>
      </c>
      <c r="AY658" s="1" t="s">
        <v>74</v>
      </c>
      <c r="AZ658" s="1" t="s">
        <v>74</v>
      </c>
      <c r="BA658" s="1" t="s">
        <v>74</v>
      </c>
      <c r="BB658" s="1">
        <v>31</v>
      </c>
      <c r="BC658" s="1">
        <v>44</v>
      </c>
      <c r="BD658" s="1" t="s">
        <v>74</v>
      </c>
      <c r="BE658" s="1" t="s">
        <v>11287</v>
      </c>
      <c r="BF658" s="1" t="str">
        <f>HYPERLINK("http://dx.doi.org/10.1016/j.jenvrad.2005.07.005","http://dx.doi.org/10.1016/j.jenvrad.2005.07.005")</f>
        <v>http://dx.doi.org/10.1016/j.jenvrad.2005.07.005</v>
      </c>
      <c r="BG658" s="1" t="s">
        <v>74</v>
      </c>
      <c r="BH658" s="1" t="s">
        <v>74</v>
      </c>
      <c r="BI658" s="1">
        <v>14</v>
      </c>
      <c r="BJ658" s="1" t="s">
        <v>144</v>
      </c>
      <c r="BK658" s="1" t="s">
        <v>96</v>
      </c>
      <c r="BL658" s="1" t="s">
        <v>145</v>
      </c>
      <c r="BM658" s="1" t="s">
        <v>11288</v>
      </c>
      <c r="BN658" s="1">
        <v>16126310</v>
      </c>
      <c r="BO658" s="1" t="s">
        <v>74</v>
      </c>
      <c r="BP658" s="1" t="s">
        <v>74</v>
      </c>
      <c r="BQ658" s="1" t="s">
        <v>74</v>
      </c>
      <c r="BR658" s="1" t="s">
        <v>98</v>
      </c>
      <c r="BS658" s="1" t="s">
        <v>11289</v>
      </c>
      <c r="BT658" s="1" t="str">
        <f>HYPERLINK("https%3A%2F%2Fwww.webofscience.com%2Fwos%2Fwoscc%2Ffull-record%2FWOS:000235572700003","View Full Record in Web of Science")</f>
        <v>View Full Record in Web of Science</v>
      </c>
    </row>
    <row r="659" spans="1:72">
      <c r="A659" s="1" t="s">
        <v>72</v>
      </c>
      <c r="B659" s="1" t="s">
        <v>11290</v>
      </c>
      <c r="C659" s="1" t="s">
        <v>74</v>
      </c>
      <c r="D659" s="1" t="s">
        <v>74</v>
      </c>
      <c r="E659" s="1" t="s">
        <v>74</v>
      </c>
      <c r="F659" s="1" t="s">
        <v>11291</v>
      </c>
      <c r="G659" s="1" t="s">
        <v>74</v>
      </c>
      <c r="H659" s="1" t="s">
        <v>74</v>
      </c>
      <c r="I659" s="1" t="s">
        <v>11292</v>
      </c>
      <c r="J659" s="1" t="s">
        <v>11293</v>
      </c>
      <c r="K659" s="1" t="s">
        <v>74</v>
      </c>
      <c r="L659" s="1" t="s">
        <v>74</v>
      </c>
      <c r="M659" s="1" t="s">
        <v>78</v>
      </c>
      <c r="N659" s="1" t="s">
        <v>79</v>
      </c>
      <c r="O659" s="1" t="s">
        <v>74</v>
      </c>
      <c r="P659" s="1" t="s">
        <v>74</v>
      </c>
      <c r="Q659" s="1" t="s">
        <v>74</v>
      </c>
      <c r="R659" s="1" t="s">
        <v>74</v>
      </c>
      <c r="S659" s="1" t="s">
        <v>74</v>
      </c>
      <c r="T659" s="1" t="s">
        <v>11294</v>
      </c>
      <c r="U659" s="1" t="s">
        <v>11295</v>
      </c>
      <c r="V659" s="1" t="s">
        <v>11296</v>
      </c>
      <c r="W659" s="1" t="s">
        <v>11297</v>
      </c>
      <c r="X659" s="1" t="s">
        <v>11298</v>
      </c>
      <c r="Y659" s="1" t="s">
        <v>11299</v>
      </c>
      <c r="Z659" s="1" t="s">
        <v>11300</v>
      </c>
      <c r="AA659" s="1" t="s">
        <v>11301</v>
      </c>
      <c r="AB659" s="1" t="s">
        <v>11302</v>
      </c>
      <c r="AC659" s="1" t="s">
        <v>11303</v>
      </c>
      <c r="AD659" s="1" t="s">
        <v>11303</v>
      </c>
      <c r="AE659" s="1" t="s">
        <v>11304</v>
      </c>
      <c r="AF659" s="1" t="s">
        <v>74</v>
      </c>
      <c r="AG659" s="1">
        <v>48</v>
      </c>
      <c r="AH659" s="1">
        <v>38</v>
      </c>
      <c r="AI659" s="1">
        <v>38</v>
      </c>
      <c r="AJ659" s="1">
        <v>4</v>
      </c>
      <c r="AK659" s="1">
        <v>62</v>
      </c>
      <c r="AL659" s="1" t="s">
        <v>136</v>
      </c>
      <c r="AM659" s="1" t="s">
        <v>137</v>
      </c>
      <c r="AN659" s="1" t="s">
        <v>138</v>
      </c>
      <c r="AO659" s="1" t="s">
        <v>11305</v>
      </c>
      <c r="AP659" s="1" t="s">
        <v>11306</v>
      </c>
      <c r="AQ659" s="1" t="s">
        <v>74</v>
      </c>
      <c r="AR659" s="1" t="s">
        <v>11307</v>
      </c>
      <c r="AS659" s="1" t="s">
        <v>11308</v>
      </c>
      <c r="AT659" s="1" t="s">
        <v>267</v>
      </c>
      <c r="AU659" s="1">
        <v>2019</v>
      </c>
      <c r="AV659" s="1">
        <v>160</v>
      </c>
      <c r="AW659" s="1" t="s">
        <v>74</v>
      </c>
      <c r="AX659" s="1" t="s">
        <v>74</v>
      </c>
      <c r="AY659" s="1" t="s">
        <v>74</v>
      </c>
      <c r="AZ659" s="1" t="s">
        <v>74</v>
      </c>
      <c r="BA659" s="1" t="s">
        <v>74</v>
      </c>
      <c r="BB659" s="1" t="s">
        <v>74</v>
      </c>
      <c r="BC659" s="1" t="s">
        <v>74</v>
      </c>
      <c r="BD659" s="1">
        <v>105685</v>
      </c>
      <c r="BE659" s="1" t="s">
        <v>11309</v>
      </c>
      <c r="BF659" s="1" t="str">
        <f>HYPERLINK("http://dx.doi.org/10.1016/j.sab.2019.105685","http://dx.doi.org/10.1016/j.sab.2019.105685")</f>
        <v>http://dx.doi.org/10.1016/j.sab.2019.105685</v>
      </c>
      <c r="BG659" s="1" t="s">
        <v>74</v>
      </c>
      <c r="BH659" s="1" t="s">
        <v>74</v>
      </c>
      <c r="BI659" s="1">
        <v>9</v>
      </c>
      <c r="BJ659" s="1" t="s">
        <v>11310</v>
      </c>
      <c r="BK659" s="1" t="s">
        <v>96</v>
      </c>
      <c r="BL659" s="1" t="s">
        <v>11310</v>
      </c>
      <c r="BM659" s="1" t="s">
        <v>11311</v>
      </c>
      <c r="BN659" s="1" t="s">
        <v>74</v>
      </c>
      <c r="BO659" s="1" t="s">
        <v>74</v>
      </c>
      <c r="BP659" s="1" t="s">
        <v>74</v>
      </c>
      <c r="BQ659" s="1" t="s">
        <v>74</v>
      </c>
      <c r="BR659" s="1" t="s">
        <v>98</v>
      </c>
      <c r="BS659" s="1" t="s">
        <v>11312</v>
      </c>
      <c r="BT659" s="1" t="str">
        <f>HYPERLINK("https%3A%2F%2Fwww.webofscience.com%2Fwos%2Fwoscc%2Ffull-record%2FWOS:000492183200004","View Full Record in Web of Science")</f>
        <v>View Full Record in Web of Science</v>
      </c>
    </row>
    <row r="660" spans="1:72">
      <c r="A660" s="1" t="s">
        <v>72</v>
      </c>
      <c r="B660" s="1" t="s">
        <v>11313</v>
      </c>
      <c r="C660" s="1" t="s">
        <v>74</v>
      </c>
      <c r="D660" s="1" t="s">
        <v>74</v>
      </c>
      <c r="E660" s="1" t="s">
        <v>74</v>
      </c>
      <c r="F660" s="1" t="s">
        <v>11314</v>
      </c>
      <c r="G660" s="1" t="s">
        <v>74</v>
      </c>
      <c r="H660" s="1" t="s">
        <v>74</v>
      </c>
      <c r="I660" s="1" t="s">
        <v>11315</v>
      </c>
      <c r="J660" s="1" t="s">
        <v>998</v>
      </c>
      <c r="K660" s="1" t="s">
        <v>74</v>
      </c>
      <c r="L660" s="1" t="s">
        <v>74</v>
      </c>
      <c r="M660" s="1" t="s">
        <v>78</v>
      </c>
      <c r="N660" s="1" t="s">
        <v>79</v>
      </c>
      <c r="O660" s="1" t="s">
        <v>74</v>
      </c>
      <c r="P660" s="1" t="s">
        <v>74</v>
      </c>
      <c r="Q660" s="1" t="s">
        <v>74</v>
      </c>
      <c r="R660" s="1" t="s">
        <v>74</v>
      </c>
      <c r="S660" s="1" t="s">
        <v>74</v>
      </c>
      <c r="T660" s="1" t="s">
        <v>74</v>
      </c>
      <c r="U660" s="1" t="s">
        <v>11316</v>
      </c>
      <c r="V660" s="1" t="s">
        <v>11317</v>
      </c>
      <c r="W660" s="1" t="s">
        <v>11318</v>
      </c>
      <c r="X660" s="1" t="s">
        <v>11319</v>
      </c>
      <c r="Y660" s="1" t="s">
        <v>11320</v>
      </c>
      <c r="Z660" s="1" t="s">
        <v>11321</v>
      </c>
      <c r="AA660" s="1" t="s">
        <v>11322</v>
      </c>
      <c r="AB660" s="1" t="s">
        <v>11323</v>
      </c>
      <c r="AC660" s="1" t="s">
        <v>11324</v>
      </c>
      <c r="AD660" s="1" t="s">
        <v>11324</v>
      </c>
      <c r="AE660" s="1" t="s">
        <v>11325</v>
      </c>
      <c r="AF660" s="1" t="s">
        <v>74</v>
      </c>
      <c r="AG660" s="1">
        <v>85</v>
      </c>
      <c r="AH660" s="1">
        <v>0</v>
      </c>
      <c r="AI660" s="1">
        <v>0</v>
      </c>
      <c r="AJ660" s="1">
        <v>4</v>
      </c>
      <c r="AK660" s="1">
        <v>10</v>
      </c>
      <c r="AL660" s="1" t="s">
        <v>112</v>
      </c>
      <c r="AM660" s="1" t="s">
        <v>113</v>
      </c>
      <c r="AN660" s="1" t="s">
        <v>114</v>
      </c>
      <c r="AO660" s="1" t="s">
        <v>1009</v>
      </c>
      <c r="AP660" s="1" t="s">
        <v>5996</v>
      </c>
      <c r="AQ660" s="1" t="s">
        <v>74</v>
      </c>
      <c r="AR660" s="1" t="s">
        <v>1010</v>
      </c>
      <c r="AS660" s="1" t="s">
        <v>1011</v>
      </c>
      <c r="AT660" s="1" t="s">
        <v>93</v>
      </c>
      <c r="AU660" s="1">
        <v>2024</v>
      </c>
      <c r="AV660" s="1">
        <v>86</v>
      </c>
      <c r="AW660" s="1">
        <v>3</v>
      </c>
      <c r="AX660" s="1" t="s">
        <v>74</v>
      </c>
      <c r="AY660" s="1" t="s">
        <v>74</v>
      </c>
      <c r="AZ660" s="1" t="s">
        <v>74</v>
      </c>
      <c r="BA660" s="1" t="s">
        <v>74</v>
      </c>
      <c r="BB660" s="1">
        <v>217</v>
      </c>
      <c r="BC660" s="1">
        <v>233</v>
      </c>
      <c r="BD660" s="1" t="s">
        <v>74</v>
      </c>
      <c r="BE660" s="1" t="s">
        <v>11326</v>
      </c>
      <c r="BF660" s="1" t="str">
        <f>HYPERLINK("http://dx.doi.org/10.1007/s00244-023-01041-x","http://dx.doi.org/10.1007/s00244-023-01041-x")</f>
        <v>http://dx.doi.org/10.1007/s00244-023-01041-x</v>
      </c>
      <c r="BG660" s="1" t="s">
        <v>74</v>
      </c>
      <c r="BH660" s="1" t="s">
        <v>5287</v>
      </c>
      <c r="BI660" s="1">
        <v>17</v>
      </c>
      <c r="BJ660" s="1" t="s">
        <v>121</v>
      </c>
      <c r="BK660" s="1" t="s">
        <v>96</v>
      </c>
      <c r="BL660" s="1" t="s">
        <v>122</v>
      </c>
      <c r="BM660" s="1" t="s">
        <v>11327</v>
      </c>
      <c r="BN660" s="1">
        <v>38245635</v>
      </c>
      <c r="BO660" s="1" t="s">
        <v>2784</v>
      </c>
      <c r="BP660" s="1" t="s">
        <v>74</v>
      </c>
      <c r="BQ660" s="1" t="s">
        <v>74</v>
      </c>
      <c r="BR660" s="1" t="s">
        <v>98</v>
      </c>
      <c r="BS660" s="1" t="s">
        <v>11328</v>
      </c>
      <c r="BT660" s="1" t="str">
        <f>HYPERLINK("https%3A%2F%2Fwww.webofscience.com%2Fwos%2Fwoscc%2Ffull-record%2FWOS:001145761000001","View Full Record in Web of Science")</f>
        <v>View Full Record in Web of Science</v>
      </c>
    </row>
    <row r="661" spans="1:72">
      <c r="A661" s="1" t="s">
        <v>72</v>
      </c>
      <c r="B661" s="1" t="s">
        <v>11329</v>
      </c>
      <c r="C661" s="1" t="s">
        <v>74</v>
      </c>
      <c r="D661" s="1" t="s">
        <v>74</v>
      </c>
      <c r="E661" s="1" t="s">
        <v>74</v>
      </c>
      <c r="F661" s="1" t="s">
        <v>11329</v>
      </c>
      <c r="G661" s="1" t="s">
        <v>74</v>
      </c>
      <c r="H661" s="1" t="s">
        <v>74</v>
      </c>
      <c r="I661" s="1" t="s">
        <v>11330</v>
      </c>
      <c r="J661" s="1" t="s">
        <v>232</v>
      </c>
      <c r="K661" s="1" t="s">
        <v>74</v>
      </c>
      <c r="L661" s="1" t="s">
        <v>74</v>
      </c>
      <c r="M661" s="1" t="s">
        <v>78</v>
      </c>
      <c r="N661" s="1" t="s">
        <v>79</v>
      </c>
      <c r="O661" s="1" t="s">
        <v>74</v>
      </c>
      <c r="P661" s="1" t="s">
        <v>74</v>
      </c>
      <c r="Q661" s="1" t="s">
        <v>74</v>
      </c>
      <c r="R661" s="1" t="s">
        <v>74</v>
      </c>
      <c r="S661" s="1" t="s">
        <v>74</v>
      </c>
      <c r="T661" s="1" t="s">
        <v>11331</v>
      </c>
      <c r="U661" s="1" t="s">
        <v>11332</v>
      </c>
      <c r="V661" s="1" t="s">
        <v>11333</v>
      </c>
      <c r="W661" s="1" t="s">
        <v>11334</v>
      </c>
      <c r="X661" s="1" t="s">
        <v>11335</v>
      </c>
      <c r="Y661" s="1" t="s">
        <v>11336</v>
      </c>
      <c r="Z661" s="1" t="s">
        <v>74</v>
      </c>
      <c r="AA661" s="1" t="s">
        <v>74</v>
      </c>
      <c r="AB661" s="1" t="s">
        <v>74</v>
      </c>
      <c r="AC661" s="1" t="s">
        <v>74</v>
      </c>
      <c r="AD661" s="1" t="s">
        <v>74</v>
      </c>
      <c r="AE661" s="1" t="s">
        <v>74</v>
      </c>
      <c r="AF661" s="1" t="s">
        <v>74</v>
      </c>
      <c r="AG661" s="1">
        <v>33</v>
      </c>
      <c r="AH661" s="1">
        <v>25</v>
      </c>
      <c r="AI661" s="1">
        <v>28</v>
      </c>
      <c r="AJ661" s="1">
        <v>0</v>
      </c>
      <c r="AK661" s="1">
        <v>7</v>
      </c>
      <c r="AL661" s="1" t="s">
        <v>136</v>
      </c>
      <c r="AM661" s="1" t="s">
        <v>137</v>
      </c>
      <c r="AN661" s="1" t="s">
        <v>138</v>
      </c>
      <c r="AO661" s="1" t="s">
        <v>240</v>
      </c>
      <c r="AP661" s="1" t="s">
        <v>241</v>
      </c>
      <c r="AQ661" s="1" t="s">
        <v>74</v>
      </c>
      <c r="AR661" s="1" t="s">
        <v>242</v>
      </c>
      <c r="AS661" s="1" t="s">
        <v>243</v>
      </c>
      <c r="AT661" s="1" t="s">
        <v>197</v>
      </c>
      <c r="AU661" s="1">
        <v>1999</v>
      </c>
      <c r="AV661" s="1">
        <v>38</v>
      </c>
      <c r="AW661" s="1">
        <v>12</v>
      </c>
      <c r="AX661" s="1" t="s">
        <v>74</v>
      </c>
      <c r="AY661" s="1" t="s">
        <v>74</v>
      </c>
      <c r="AZ661" s="1" t="s">
        <v>74</v>
      </c>
      <c r="BA661" s="1" t="s">
        <v>74</v>
      </c>
      <c r="BB661" s="1">
        <v>1157</v>
      </c>
      <c r="BC661" s="1">
        <v>1162</v>
      </c>
      <c r="BD661" s="1" t="s">
        <v>74</v>
      </c>
      <c r="BE661" s="1" t="s">
        <v>11337</v>
      </c>
      <c r="BF661" s="1" t="str">
        <f>HYPERLINK("http://dx.doi.org/10.1016/S0025-326X(99)00148-4","http://dx.doi.org/10.1016/S0025-326X(99)00148-4")</f>
        <v>http://dx.doi.org/10.1016/S0025-326X(99)00148-4</v>
      </c>
      <c r="BG661" s="1" t="s">
        <v>74</v>
      </c>
      <c r="BH661" s="1" t="s">
        <v>74</v>
      </c>
      <c r="BI661" s="1">
        <v>6</v>
      </c>
      <c r="BJ661" s="1" t="s">
        <v>247</v>
      </c>
      <c r="BK661" s="1" t="s">
        <v>96</v>
      </c>
      <c r="BL661" s="1" t="s">
        <v>248</v>
      </c>
      <c r="BM661" s="1" t="s">
        <v>11338</v>
      </c>
      <c r="BN661" s="1" t="s">
        <v>74</v>
      </c>
      <c r="BO661" s="1" t="s">
        <v>74</v>
      </c>
      <c r="BP661" s="1" t="s">
        <v>74</v>
      </c>
      <c r="BQ661" s="1" t="s">
        <v>74</v>
      </c>
      <c r="BR661" s="1" t="s">
        <v>98</v>
      </c>
      <c r="BS661" s="1" t="s">
        <v>11339</v>
      </c>
      <c r="BT661" s="1" t="str">
        <f>HYPERLINK("https%3A%2F%2Fwww.webofscience.com%2Fwos%2Fwoscc%2Ffull-record%2FWOS:000084587100024","View Full Record in Web of Science")</f>
        <v>View Full Record in Web of Science</v>
      </c>
    </row>
    <row r="662" spans="1:72">
      <c r="A662" s="1" t="s">
        <v>72</v>
      </c>
      <c r="B662" s="1" t="s">
        <v>11340</v>
      </c>
      <c r="C662" s="1" t="s">
        <v>74</v>
      </c>
      <c r="D662" s="1" t="s">
        <v>74</v>
      </c>
      <c r="E662" s="1" t="s">
        <v>74</v>
      </c>
      <c r="F662" s="1" t="s">
        <v>11341</v>
      </c>
      <c r="G662" s="1" t="s">
        <v>74</v>
      </c>
      <c r="H662" s="1" t="s">
        <v>74</v>
      </c>
      <c r="I662" s="1" t="s">
        <v>11342</v>
      </c>
      <c r="J662" s="1" t="s">
        <v>2688</v>
      </c>
      <c r="K662" s="1" t="s">
        <v>74</v>
      </c>
      <c r="L662" s="1" t="s">
        <v>74</v>
      </c>
      <c r="M662" s="1" t="s">
        <v>78</v>
      </c>
      <c r="N662" s="1" t="s">
        <v>79</v>
      </c>
      <c r="O662" s="1" t="s">
        <v>74</v>
      </c>
      <c r="P662" s="1" t="s">
        <v>74</v>
      </c>
      <c r="Q662" s="1" t="s">
        <v>74</v>
      </c>
      <c r="R662" s="1" t="s">
        <v>74</v>
      </c>
      <c r="S662" s="1" t="s">
        <v>74</v>
      </c>
      <c r="T662" s="1" t="s">
        <v>11343</v>
      </c>
      <c r="U662" s="1" t="s">
        <v>11344</v>
      </c>
      <c r="V662" s="1" t="s">
        <v>11345</v>
      </c>
      <c r="W662" s="1" t="s">
        <v>11346</v>
      </c>
      <c r="X662" s="1" t="s">
        <v>11347</v>
      </c>
      <c r="Y662" s="1" t="s">
        <v>11348</v>
      </c>
      <c r="Z662" s="1" t="s">
        <v>11349</v>
      </c>
      <c r="AA662" s="1" t="s">
        <v>11350</v>
      </c>
      <c r="AB662" s="1" t="s">
        <v>11351</v>
      </c>
      <c r="AC662" s="1" t="s">
        <v>11352</v>
      </c>
      <c r="AD662" s="1" t="s">
        <v>11353</v>
      </c>
      <c r="AE662" s="1" t="s">
        <v>11354</v>
      </c>
      <c r="AF662" s="1" t="s">
        <v>74</v>
      </c>
      <c r="AG662" s="1">
        <v>82</v>
      </c>
      <c r="AH662" s="1">
        <v>21</v>
      </c>
      <c r="AI662" s="1">
        <v>23</v>
      </c>
      <c r="AJ662" s="1">
        <v>1</v>
      </c>
      <c r="AK662" s="1">
        <v>40</v>
      </c>
      <c r="AL662" s="1" t="s">
        <v>136</v>
      </c>
      <c r="AM662" s="1" t="s">
        <v>137</v>
      </c>
      <c r="AN662" s="1" t="s">
        <v>138</v>
      </c>
      <c r="AO662" s="1" t="s">
        <v>2702</v>
      </c>
      <c r="AP662" s="1" t="s">
        <v>74</v>
      </c>
      <c r="AQ662" s="1" t="s">
        <v>74</v>
      </c>
      <c r="AR662" s="1" t="s">
        <v>2703</v>
      </c>
      <c r="AS662" s="1" t="s">
        <v>2704</v>
      </c>
      <c r="AT662" s="1" t="s">
        <v>93</v>
      </c>
      <c r="AU662" s="1">
        <v>2014</v>
      </c>
      <c r="AV662" s="1">
        <v>28</v>
      </c>
      <c r="AW662" s="1">
        <v>3</v>
      </c>
      <c r="AX662" s="1" t="s">
        <v>74</v>
      </c>
      <c r="AY662" s="1" t="s">
        <v>74</v>
      </c>
      <c r="AZ662" s="1" t="s">
        <v>74</v>
      </c>
      <c r="BA662" s="1" t="s">
        <v>74</v>
      </c>
      <c r="BB662" s="1">
        <v>365</v>
      </c>
      <c r="BC662" s="1">
        <v>372</v>
      </c>
      <c r="BD662" s="1" t="s">
        <v>74</v>
      </c>
      <c r="BE662" s="1" t="s">
        <v>11355</v>
      </c>
      <c r="BF662" s="1" t="str">
        <f>HYPERLINK("http://dx.doi.org/10.1016/j.tiv.2013.11.013","http://dx.doi.org/10.1016/j.tiv.2013.11.013")</f>
        <v>http://dx.doi.org/10.1016/j.tiv.2013.11.013</v>
      </c>
      <c r="BG662" s="1" t="s">
        <v>74</v>
      </c>
      <c r="BH662" s="1" t="s">
        <v>74</v>
      </c>
      <c r="BI662" s="1">
        <v>8</v>
      </c>
      <c r="BJ662" s="1" t="s">
        <v>95</v>
      </c>
      <c r="BK662" s="1" t="s">
        <v>96</v>
      </c>
      <c r="BL662" s="1" t="s">
        <v>95</v>
      </c>
      <c r="BM662" s="1" t="s">
        <v>11356</v>
      </c>
      <c r="BN662" s="1">
        <v>24325972</v>
      </c>
      <c r="BO662" s="1" t="s">
        <v>476</v>
      </c>
      <c r="BP662" s="1" t="s">
        <v>74</v>
      </c>
      <c r="BQ662" s="1" t="s">
        <v>74</v>
      </c>
      <c r="BR662" s="1" t="s">
        <v>98</v>
      </c>
      <c r="BS662" s="1" t="s">
        <v>11357</v>
      </c>
      <c r="BT662" s="1" t="str">
        <f>HYPERLINK("https%3A%2F%2Fwww.webofscience.com%2Fwos%2Fwoscc%2Ffull-record%2FWOS:000332053800004","View Full Record in Web of Science")</f>
        <v>View Full Record in Web of Science</v>
      </c>
    </row>
    <row r="663" spans="1:72">
      <c r="A663" s="1" t="s">
        <v>72</v>
      </c>
      <c r="B663" s="1" t="s">
        <v>11358</v>
      </c>
      <c r="C663" s="1" t="s">
        <v>74</v>
      </c>
      <c r="D663" s="1" t="s">
        <v>74</v>
      </c>
      <c r="E663" s="1" t="s">
        <v>74</v>
      </c>
      <c r="F663" s="1" t="s">
        <v>11359</v>
      </c>
      <c r="G663" s="1" t="s">
        <v>74</v>
      </c>
      <c r="H663" s="1" t="s">
        <v>74</v>
      </c>
      <c r="I663" s="1" t="s">
        <v>11360</v>
      </c>
      <c r="J663" s="1" t="s">
        <v>7854</v>
      </c>
      <c r="K663" s="1" t="s">
        <v>74</v>
      </c>
      <c r="L663" s="1" t="s">
        <v>74</v>
      </c>
      <c r="M663" s="1" t="s">
        <v>78</v>
      </c>
      <c r="N663" s="1" t="s">
        <v>79</v>
      </c>
      <c r="O663" s="1" t="s">
        <v>74</v>
      </c>
      <c r="P663" s="1" t="s">
        <v>74</v>
      </c>
      <c r="Q663" s="1" t="s">
        <v>74</v>
      </c>
      <c r="R663" s="1" t="s">
        <v>74</v>
      </c>
      <c r="S663" s="1" t="s">
        <v>74</v>
      </c>
      <c r="T663" s="1" t="s">
        <v>11361</v>
      </c>
      <c r="U663" s="1" t="s">
        <v>11362</v>
      </c>
      <c r="V663" s="1" t="s">
        <v>11363</v>
      </c>
      <c r="W663" s="1" t="s">
        <v>11364</v>
      </c>
      <c r="X663" s="1" t="s">
        <v>11365</v>
      </c>
      <c r="Y663" s="1" t="s">
        <v>11366</v>
      </c>
      <c r="Z663" s="1" t="s">
        <v>11367</v>
      </c>
      <c r="AA663" s="1" t="s">
        <v>11368</v>
      </c>
      <c r="AB663" s="1" t="s">
        <v>11369</v>
      </c>
      <c r="AC663" s="1" t="s">
        <v>11370</v>
      </c>
      <c r="AD663" s="1" t="s">
        <v>989</v>
      </c>
      <c r="AE663" s="1" t="s">
        <v>11371</v>
      </c>
      <c r="AF663" s="1" t="s">
        <v>74</v>
      </c>
      <c r="AG663" s="1">
        <v>53</v>
      </c>
      <c r="AH663" s="1">
        <v>34</v>
      </c>
      <c r="AI663" s="1">
        <v>34</v>
      </c>
      <c r="AJ663" s="1">
        <v>10</v>
      </c>
      <c r="AK663" s="1">
        <v>42</v>
      </c>
      <c r="AL663" s="1" t="s">
        <v>112</v>
      </c>
      <c r="AM663" s="1" t="s">
        <v>113</v>
      </c>
      <c r="AN663" s="1" t="s">
        <v>114</v>
      </c>
      <c r="AO663" s="1" t="s">
        <v>7867</v>
      </c>
      <c r="AP663" s="1" t="s">
        <v>7868</v>
      </c>
      <c r="AQ663" s="1" t="s">
        <v>74</v>
      </c>
      <c r="AR663" s="1" t="s">
        <v>7869</v>
      </c>
      <c r="AS663" s="1" t="s">
        <v>7870</v>
      </c>
      <c r="AT663" s="1" t="s">
        <v>5542</v>
      </c>
      <c r="AU663" s="1">
        <v>2020</v>
      </c>
      <c r="AV663" s="1">
        <v>79</v>
      </c>
      <c r="AW663" s="1">
        <v>11</v>
      </c>
      <c r="AX663" s="1" t="s">
        <v>74</v>
      </c>
      <c r="AY663" s="1" t="s">
        <v>74</v>
      </c>
      <c r="AZ663" s="1" t="s">
        <v>74</v>
      </c>
      <c r="BA663" s="1" t="s">
        <v>74</v>
      </c>
      <c r="BB663" s="1" t="s">
        <v>74</v>
      </c>
      <c r="BC663" s="1" t="s">
        <v>74</v>
      </c>
      <c r="BD663" s="1">
        <v>274</v>
      </c>
      <c r="BE663" s="1" t="s">
        <v>11372</v>
      </c>
      <c r="BF663" s="1" t="str">
        <f>HYPERLINK("http://dx.doi.org/10.1007/s12665-020-08999-0","http://dx.doi.org/10.1007/s12665-020-08999-0")</f>
        <v>http://dx.doi.org/10.1007/s12665-020-08999-0</v>
      </c>
      <c r="BG663" s="1" t="s">
        <v>74</v>
      </c>
      <c r="BH663" s="1" t="s">
        <v>74</v>
      </c>
      <c r="BI663" s="1">
        <v>12</v>
      </c>
      <c r="BJ663" s="1" t="s">
        <v>7872</v>
      </c>
      <c r="BK663" s="1" t="s">
        <v>96</v>
      </c>
      <c r="BL663" s="1" t="s">
        <v>7873</v>
      </c>
      <c r="BM663" s="1" t="s">
        <v>11373</v>
      </c>
      <c r="BN663" s="1" t="s">
        <v>74</v>
      </c>
      <c r="BO663" s="1" t="s">
        <v>74</v>
      </c>
      <c r="BP663" s="1" t="s">
        <v>74</v>
      </c>
      <c r="BQ663" s="1" t="s">
        <v>74</v>
      </c>
      <c r="BR663" s="1" t="s">
        <v>98</v>
      </c>
      <c r="BS663" s="1" t="s">
        <v>11374</v>
      </c>
      <c r="BT663" s="1" t="str">
        <f>HYPERLINK("https%3A%2F%2Fwww.webofscience.com%2Fwos%2Fwoscc%2Ffull-record%2FWOS:000539233200001","View Full Record in Web of Science")</f>
        <v>View Full Record in Web of Science</v>
      </c>
    </row>
    <row r="664" spans="1:72">
      <c r="A664" s="1" t="s">
        <v>72</v>
      </c>
      <c r="B664" s="1" t="s">
        <v>11375</v>
      </c>
      <c r="C664" s="1" t="s">
        <v>74</v>
      </c>
      <c r="D664" s="1" t="s">
        <v>74</v>
      </c>
      <c r="E664" s="1" t="s">
        <v>74</v>
      </c>
      <c r="F664" s="1" t="s">
        <v>11376</v>
      </c>
      <c r="G664" s="1" t="s">
        <v>74</v>
      </c>
      <c r="H664" s="1" t="s">
        <v>74</v>
      </c>
      <c r="I664" s="1" t="s">
        <v>11377</v>
      </c>
      <c r="J664" s="1" t="s">
        <v>11378</v>
      </c>
      <c r="K664" s="1" t="s">
        <v>74</v>
      </c>
      <c r="L664" s="1" t="s">
        <v>74</v>
      </c>
      <c r="M664" s="1" t="s">
        <v>78</v>
      </c>
      <c r="N664" s="1" t="s">
        <v>79</v>
      </c>
      <c r="O664" s="1" t="s">
        <v>74</v>
      </c>
      <c r="P664" s="1" t="s">
        <v>74</v>
      </c>
      <c r="Q664" s="1" t="s">
        <v>74</v>
      </c>
      <c r="R664" s="1" t="s">
        <v>74</v>
      </c>
      <c r="S664" s="1" t="s">
        <v>74</v>
      </c>
      <c r="T664" s="1" t="s">
        <v>11379</v>
      </c>
      <c r="U664" s="1" t="s">
        <v>11380</v>
      </c>
      <c r="V664" s="1" t="s">
        <v>11381</v>
      </c>
      <c r="W664" s="1" t="s">
        <v>11382</v>
      </c>
      <c r="X664" s="1" t="s">
        <v>11383</v>
      </c>
      <c r="Y664" s="1" t="s">
        <v>11384</v>
      </c>
      <c r="Z664" s="1" t="s">
        <v>11385</v>
      </c>
      <c r="AA664" s="1" t="s">
        <v>74</v>
      </c>
      <c r="AB664" s="1" t="s">
        <v>11386</v>
      </c>
      <c r="AC664" s="1" t="s">
        <v>11387</v>
      </c>
      <c r="AD664" s="1" t="s">
        <v>11387</v>
      </c>
      <c r="AE664" s="1" t="s">
        <v>11388</v>
      </c>
      <c r="AF664" s="1" t="s">
        <v>74</v>
      </c>
      <c r="AG664" s="1">
        <v>88</v>
      </c>
      <c r="AH664" s="1">
        <v>12</v>
      </c>
      <c r="AI664" s="1">
        <v>12</v>
      </c>
      <c r="AJ664" s="1">
        <v>4</v>
      </c>
      <c r="AK664" s="1">
        <v>29</v>
      </c>
      <c r="AL664" s="1" t="s">
        <v>1566</v>
      </c>
      <c r="AM664" s="1" t="s">
        <v>1567</v>
      </c>
      <c r="AN664" s="1" t="s">
        <v>1568</v>
      </c>
      <c r="AO664" s="1" t="s">
        <v>74</v>
      </c>
      <c r="AP664" s="1" t="s">
        <v>11389</v>
      </c>
      <c r="AQ664" s="1" t="s">
        <v>74</v>
      </c>
      <c r="AR664" s="1" t="s">
        <v>11378</v>
      </c>
      <c r="AS664" s="1" t="s">
        <v>11390</v>
      </c>
      <c r="AT664" s="1" t="s">
        <v>1470</v>
      </c>
      <c r="AU664" s="1">
        <v>2023</v>
      </c>
      <c r="AV664" s="1">
        <v>11</v>
      </c>
      <c r="AW664" s="1">
        <v>1</v>
      </c>
      <c r="AX664" s="1" t="s">
        <v>74</v>
      </c>
      <c r="AY664" s="1" t="s">
        <v>74</v>
      </c>
      <c r="AZ664" s="1" t="s">
        <v>74</v>
      </c>
      <c r="BA664" s="1" t="s">
        <v>74</v>
      </c>
      <c r="BB664" s="1" t="s">
        <v>74</v>
      </c>
      <c r="BC664" s="1" t="s">
        <v>74</v>
      </c>
      <c r="BD664" s="1">
        <v>18</v>
      </c>
      <c r="BE664" s="1" t="s">
        <v>11391</v>
      </c>
      <c r="BF664" s="1" t="str">
        <f>HYPERLINK("http://dx.doi.org/10.3390/toxics11010018","http://dx.doi.org/10.3390/toxics11010018")</f>
        <v>http://dx.doi.org/10.3390/toxics11010018</v>
      </c>
      <c r="BG664" s="1" t="s">
        <v>74</v>
      </c>
      <c r="BH664" s="1" t="s">
        <v>74</v>
      </c>
      <c r="BI664" s="1">
        <v>18</v>
      </c>
      <c r="BJ664" s="1" t="s">
        <v>121</v>
      </c>
      <c r="BK664" s="1" t="s">
        <v>96</v>
      </c>
      <c r="BL664" s="1" t="s">
        <v>122</v>
      </c>
      <c r="BM664" s="1" t="s">
        <v>11392</v>
      </c>
      <c r="BN664" s="1">
        <v>36668744</v>
      </c>
      <c r="BO664" s="1" t="s">
        <v>550</v>
      </c>
      <c r="BP664" s="1" t="s">
        <v>74</v>
      </c>
      <c r="BQ664" s="1" t="s">
        <v>74</v>
      </c>
      <c r="BR664" s="1" t="s">
        <v>98</v>
      </c>
      <c r="BS664" s="1" t="s">
        <v>11393</v>
      </c>
      <c r="BT664" s="1" t="str">
        <f>HYPERLINK("https%3A%2F%2Fwww.webofscience.com%2Fwos%2Fwoscc%2Ffull-record%2FWOS:000927696700001","View Full Record in Web of Science")</f>
        <v>View Full Record in Web of Science</v>
      </c>
    </row>
    <row r="665" spans="1:72">
      <c r="A665" s="1" t="s">
        <v>72</v>
      </c>
      <c r="B665" s="1" t="s">
        <v>11394</v>
      </c>
      <c r="C665" s="1" t="s">
        <v>74</v>
      </c>
      <c r="D665" s="1" t="s">
        <v>74</v>
      </c>
      <c r="E665" s="1" t="s">
        <v>74</v>
      </c>
      <c r="F665" s="1" t="s">
        <v>11395</v>
      </c>
      <c r="G665" s="1" t="s">
        <v>74</v>
      </c>
      <c r="H665" s="1" t="s">
        <v>74</v>
      </c>
      <c r="I665" s="1" t="s">
        <v>11396</v>
      </c>
      <c r="J665" s="1" t="s">
        <v>204</v>
      </c>
      <c r="K665" s="1" t="s">
        <v>74</v>
      </c>
      <c r="L665" s="1" t="s">
        <v>74</v>
      </c>
      <c r="M665" s="1" t="s">
        <v>78</v>
      </c>
      <c r="N665" s="1" t="s">
        <v>79</v>
      </c>
      <c r="O665" s="1" t="s">
        <v>74</v>
      </c>
      <c r="P665" s="1" t="s">
        <v>74</v>
      </c>
      <c r="Q665" s="1" t="s">
        <v>74</v>
      </c>
      <c r="R665" s="1" t="s">
        <v>74</v>
      </c>
      <c r="S665" s="1" t="s">
        <v>74</v>
      </c>
      <c r="T665" s="1" t="s">
        <v>11397</v>
      </c>
      <c r="U665" s="1" t="s">
        <v>11398</v>
      </c>
      <c r="V665" s="1" t="s">
        <v>11399</v>
      </c>
      <c r="W665" s="1" t="s">
        <v>11400</v>
      </c>
      <c r="X665" s="1" t="s">
        <v>11401</v>
      </c>
      <c r="Y665" s="1" t="s">
        <v>11402</v>
      </c>
      <c r="Z665" s="1" t="s">
        <v>11403</v>
      </c>
      <c r="AA665" s="1" t="s">
        <v>11404</v>
      </c>
      <c r="AB665" s="1" t="s">
        <v>74</v>
      </c>
      <c r="AC665" s="1" t="s">
        <v>11405</v>
      </c>
      <c r="AD665" s="1" t="s">
        <v>11406</v>
      </c>
      <c r="AE665" s="1" t="s">
        <v>11407</v>
      </c>
      <c r="AF665" s="1" t="s">
        <v>74</v>
      </c>
      <c r="AG665" s="1">
        <v>83</v>
      </c>
      <c r="AH665" s="1">
        <v>10</v>
      </c>
      <c r="AI665" s="1">
        <v>10</v>
      </c>
      <c r="AJ665" s="1">
        <v>4</v>
      </c>
      <c r="AK665" s="1">
        <v>28</v>
      </c>
      <c r="AL665" s="1" t="s">
        <v>217</v>
      </c>
      <c r="AM665" s="1" t="s">
        <v>218</v>
      </c>
      <c r="AN665" s="1" t="s">
        <v>219</v>
      </c>
      <c r="AO665" s="1" t="s">
        <v>220</v>
      </c>
      <c r="AP665" s="1" t="s">
        <v>221</v>
      </c>
      <c r="AQ665" s="1" t="s">
        <v>74</v>
      </c>
      <c r="AR665" s="1" t="s">
        <v>222</v>
      </c>
      <c r="AS665" s="1" t="s">
        <v>223</v>
      </c>
      <c r="AT665" s="1" t="s">
        <v>951</v>
      </c>
      <c r="AU665" s="1">
        <v>2021</v>
      </c>
      <c r="AV665" s="1">
        <v>28</v>
      </c>
      <c r="AW665" s="1">
        <v>41</v>
      </c>
      <c r="AX665" s="1" t="s">
        <v>74</v>
      </c>
      <c r="AY665" s="1" t="s">
        <v>74</v>
      </c>
      <c r="AZ665" s="1" t="s">
        <v>74</v>
      </c>
      <c r="BA665" s="1" t="s">
        <v>74</v>
      </c>
      <c r="BB665" s="1">
        <v>58050</v>
      </c>
      <c r="BC665" s="1">
        <v>58067</v>
      </c>
      <c r="BD665" s="1" t="s">
        <v>74</v>
      </c>
      <c r="BE665" s="1" t="s">
        <v>11408</v>
      </c>
      <c r="BF665" s="1" t="str">
        <f>HYPERLINK("http://dx.doi.org/10.1007/s11356-021-14528-8","http://dx.doi.org/10.1007/s11356-021-14528-8")</f>
        <v>http://dx.doi.org/10.1007/s11356-021-14528-8</v>
      </c>
      <c r="BG665" s="1" t="s">
        <v>74</v>
      </c>
      <c r="BH665" s="1" t="s">
        <v>4940</v>
      </c>
      <c r="BI665" s="1">
        <v>18</v>
      </c>
      <c r="BJ665" s="1" t="s">
        <v>144</v>
      </c>
      <c r="BK665" s="1" t="s">
        <v>96</v>
      </c>
      <c r="BL665" s="1" t="s">
        <v>145</v>
      </c>
      <c r="BM665" s="1" t="s">
        <v>11409</v>
      </c>
      <c r="BN665" s="1">
        <v>34101120</v>
      </c>
      <c r="BO665" s="1" t="s">
        <v>74</v>
      </c>
      <c r="BP665" s="1" t="s">
        <v>74</v>
      </c>
      <c r="BQ665" s="1" t="s">
        <v>74</v>
      </c>
      <c r="BR665" s="1" t="s">
        <v>98</v>
      </c>
      <c r="BS665" s="1" t="s">
        <v>11410</v>
      </c>
      <c r="BT665" s="1" t="str">
        <f>HYPERLINK("https%3A%2F%2Fwww.webofscience.com%2Fwos%2Fwoscc%2Ffull-record%2FWOS:000659024900002","View Full Record in Web of Science")</f>
        <v>View Full Record in Web of Science</v>
      </c>
    </row>
    <row r="666" spans="1:72">
      <c r="A666" s="1" t="s">
        <v>72</v>
      </c>
      <c r="B666" s="1" t="s">
        <v>11411</v>
      </c>
      <c r="C666" s="1" t="s">
        <v>74</v>
      </c>
      <c r="D666" s="1" t="s">
        <v>74</v>
      </c>
      <c r="E666" s="1" t="s">
        <v>74</v>
      </c>
      <c r="F666" s="1" t="s">
        <v>11412</v>
      </c>
      <c r="G666" s="1" t="s">
        <v>74</v>
      </c>
      <c r="H666" s="1" t="s">
        <v>74</v>
      </c>
      <c r="I666" s="1" t="s">
        <v>11413</v>
      </c>
      <c r="J666" s="1" t="s">
        <v>909</v>
      </c>
      <c r="K666" s="1" t="s">
        <v>74</v>
      </c>
      <c r="L666" s="1" t="s">
        <v>74</v>
      </c>
      <c r="M666" s="1" t="s">
        <v>78</v>
      </c>
      <c r="N666" s="1" t="s">
        <v>79</v>
      </c>
      <c r="O666" s="1" t="s">
        <v>74</v>
      </c>
      <c r="P666" s="1" t="s">
        <v>74</v>
      </c>
      <c r="Q666" s="1" t="s">
        <v>74</v>
      </c>
      <c r="R666" s="1" t="s">
        <v>74</v>
      </c>
      <c r="S666" s="1" t="s">
        <v>74</v>
      </c>
      <c r="T666" s="1" t="s">
        <v>11414</v>
      </c>
      <c r="U666" s="1" t="s">
        <v>11415</v>
      </c>
      <c r="V666" s="1" t="s">
        <v>11416</v>
      </c>
      <c r="W666" s="1" t="s">
        <v>11417</v>
      </c>
      <c r="X666" s="1" t="s">
        <v>11418</v>
      </c>
      <c r="Y666" s="1" t="s">
        <v>11419</v>
      </c>
      <c r="Z666" s="1" t="s">
        <v>5420</v>
      </c>
      <c r="AA666" s="1" t="s">
        <v>3710</v>
      </c>
      <c r="AB666" s="1" t="s">
        <v>74</v>
      </c>
      <c r="AC666" s="1" t="s">
        <v>11420</v>
      </c>
      <c r="AD666" s="1" t="s">
        <v>11421</v>
      </c>
      <c r="AE666" s="1" t="s">
        <v>11422</v>
      </c>
      <c r="AF666" s="1" t="s">
        <v>74</v>
      </c>
      <c r="AG666" s="1">
        <v>41</v>
      </c>
      <c r="AH666" s="1">
        <v>0</v>
      </c>
      <c r="AI666" s="1">
        <v>0</v>
      </c>
      <c r="AJ666" s="1">
        <v>11</v>
      </c>
      <c r="AK666" s="1">
        <v>11</v>
      </c>
      <c r="AL666" s="1" t="s">
        <v>650</v>
      </c>
      <c r="AM666" s="1" t="s">
        <v>651</v>
      </c>
      <c r="AN666" s="1" t="s">
        <v>652</v>
      </c>
      <c r="AO666" s="1" t="s">
        <v>921</v>
      </c>
      <c r="AP666" s="1" t="s">
        <v>922</v>
      </c>
      <c r="AQ666" s="1" t="s">
        <v>74</v>
      </c>
      <c r="AR666" s="1" t="s">
        <v>923</v>
      </c>
      <c r="AS666" s="1" t="s">
        <v>924</v>
      </c>
      <c r="AT666" s="1" t="s">
        <v>11423</v>
      </c>
      <c r="AU666" s="1">
        <v>2024</v>
      </c>
      <c r="AV666" s="1">
        <v>931</v>
      </c>
      <c r="AW666" s="1" t="s">
        <v>74</v>
      </c>
      <c r="AX666" s="1" t="s">
        <v>74</v>
      </c>
      <c r="AY666" s="1" t="s">
        <v>74</v>
      </c>
      <c r="AZ666" s="1" t="s">
        <v>74</v>
      </c>
      <c r="BA666" s="1" t="s">
        <v>74</v>
      </c>
      <c r="BB666" s="1" t="s">
        <v>74</v>
      </c>
      <c r="BC666" s="1" t="s">
        <v>74</v>
      </c>
      <c r="BD666" s="1">
        <v>172919</v>
      </c>
      <c r="BE666" s="1" t="s">
        <v>11424</v>
      </c>
      <c r="BF666" s="1" t="str">
        <f>HYPERLINK("http://dx.doi.org/10.1016/j.scitotenv.2024.172919","http://dx.doi.org/10.1016/j.scitotenv.2024.172919")</f>
        <v>http://dx.doi.org/10.1016/j.scitotenv.2024.172919</v>
      </c>
      <c r="BG666" s="1" t="s">
        <v>74</v>
      </c>
      <c r="BH666" s="1" t="s">
        <v>11425</v>
      </c>
      <c r="BI666" s="1">
        <v>8</v>
      </c>
      <c r="BJ666" s="1" t="s">
        <v>144</v>
      </c>
      <c r="BK666" s="1" t="s">
        <v>96</v>
      </c>
      <c r="BL666" s="1" t="s">
        <v>145</v>
      </c>
      <c r="BM666" s="1" t="s">
        <v>11426</v>
      </c>
      <c r="BN666" s="1">
        <v>38703857</v>
      </c>
      <c r="BO666" s="1" t="s">
        <v>74</v>
      </c>
      <c r="BP666" s="1" t="s">
        <v>74</v>
      </c>
      <c r="BQ666" s="1" t="s">
        <v>74</v>
      </c>
      <c r="BR666" s="1" t="s">
        <v>98</v>
      </c>
      <c r="BS666" s="1" t="s">
        <v>11427</v>
      </c>
      <c r="BT666" s="1" t="str">
        <f>HYPERLINK("https%3A%2F%2Fwww.webofscience.com%2Fwos%2Fwoscc%2Ffull-record%2FWOS:001239510300001","View Full Record in Web of Science")</f>
        <v>View Full Record in Web of Science</v>
      </c>
    </row>
    <row r="667" spans="1:72">
      <c r="A667" s="1" t="s">
        <v>72</v>
      </c>
      <c r="B667" s="1" t="s">
        <v>11428</v>
      </c>
      <c r="C667" s="1" t="s">
        <v>74</v>
      </c>
      <c r="D667" s="1" t="s">
        <v>74</v>
      </c>
      <c r="E667" s="1" t="s">
        <v>74</v>
      </c>
      <c r="F667" s="1" t="s">
        <v>11429</v>
      </c>
      <c r="G667" s="1" t="s">
        <v>74</v>
      </c>
      <c r="H667" s="1" t="s">
        <v>74</v>
      </c>
      <c r="I667" s="1" t="s">
        <v>11430</v>
      </c>
      <c r="J667" s="1" t="s">
        <v>127</v>
      </c>
      <c r="K667" s="1" t="s">
        <v>74</v>
      </c>
      <c r="L667" s="1" t="s">
        <v>74</v>
      </c>
      <c r="M667" s="1" t="s">
        <v>78</v>
      </c>
      <c r="N667" s="1" t="s">
        <v>79</v>
      </c>
      <c r="O667" s="1" t="s">
        <v>74</v>
      </c>
      <c r="P667" s="1" t="s">
        <v>74</v>
      </c>
      <c r="Q667" s="1" t="s">
        <v>74</v>
      </c>
      <c r="R667" s="1" t="s">
        <v>74</v>
      </c>
      <c r="S667" s="1" t="s">
        <v>74</v>
      </c>
      <c r="T667" s="1" t="s">
        <v>11431</v>
      </c>
      <c r="U667" s="1" t="s">
        <v>11432</v>
      </c>
      <c r="V667" s="1" t="s">
        <v>11433</v>
      </c>
      <c r="W667" s="1" t="s">
        <v>11434</v>
      </c>
      <c r="X667" s="1" t="s">
        <v>11435</v>
      </c>
      <c r="Y667" s="1" t="s">
        <v>11436</v>
      </c>
      <c r="Z667" s="1" t="s">
        <v>11437</v>
      </c>
      <c r="AA667" s="1" t="s">
        <v>11438</v>
      </c>
      <c r="AB667" s="1" t="s">
        <v>11439</v>
      </c>
      <c r="AC667" s="1" t="s">
        <v>11440</v>
      </c>
      <c r="AD667" s="1" t="s">
        <v>11441</v>
      </c>
      <c r="AE667" s="1" t="s">
        <v>11442</v>
      </c>
      <c r="AF667" s="1" t="s">
        <v>74</v>
      </c>
      <c r="AG667" s="1">
        <v>26</v>
      </c>
      <c r="AH667" s="1">
        <v>21</v>
      </c>
      <c r="AI667" s="1">
        <v>24</v>
      </c>
      <c r="AJ667" s="1">
        <v>1</v>
      </c>
      <c r="AK667" s="1">
        <v>15</v>
      </c>
      <c r="AL667" s="1" t="s">
        <v>136</v>
      </c>
      <c r="AM667" s="1" t="s">
        <v>137</v>
      </c>
      <c r="AN667" s="1" t="s">
        <v>138</v>
      </c>
      <c r="AO667" s="1" t="s">
        <v>139</v>
      </c>
      <c r="AP667" s="1" t="s">
        <v>74</v>
      </c>
      <c r="AQ667" s="1" t="s">
        <v>74</v>
      </c>
      <c r="AR667" s="1" t="s">
        <v>127</v>
      </c>
      <c r="AS667" s="1" t="s">
        <v>141</v>
      </c>
      <c r="AT667" s="1" t="s">
        <v>1223</v>
      </c>
      <c r="AU667" s="1">
        <v>2011</v>
      </c>
      <c r="AV667" s="1">
        <v>82</v>
      </c>
      <c r="AW667" s="1">
        <v>11</v>
      </c>
      <c r="AX667" s="1" t="s">
        <v>74</v>
      </c>
      <c r="AY667" s="1" t="s">
        <v>74</v>
      </c>
      <c r="AZ667" s="1" t="s">
        <v>74</v>
      </c>
      <c r="BA667" s="1" t="s">
        <v>74</v>
      </c>
      <c r="BB667" s="1">
        <v>1541</v>
      </c>
      <c r="BC667" s="1">
        <v>1546</v>
      </c>
      <c r="BD667" s="1" t="s">
        <v>74</v>
      </c>
      <c r="BE667" s="1" t="s">
        <v>11443</v>
      </c>
      <c r="BF667" s="1" t="str">
        <f>HYPERLINK("http://dx.doi.org/10.1016/j.chemosphere.2010.11.064","http://dx.doi.org/10.1016/j.chemosphere.2010.11.064")</f>
        <v>http://dx.doi.org/10.1016/j.chemosphere.2010.11.064</v>
      </c>
      <c r="BG667" s="1" t="s">
        <v>74</v>
      </c>
      <c r="BH667" s="1" t="s">
        <v>74</v>
      </c>
      <c r="BI667" s="1">
        <v>6</v>
      </c>
      <c r="BJ667" s="1" t="s">
        <v>144</v>
      </c>
      <c r="BK667" s="1" t="s">
        <v>96</v>
      </c>
      <c r="BL667" s="1" t="s">
        <v>145</v>
      </c>
      <c r="BM667" s="1" t="s">
        <v>11444</v>
      </c>
      <c r="BN667" s="1">
        <v>21176941</v>
      </c>
      <c r="BO667" s="1" t="s">
        <v>74</v>
      </c>
      <c r="BP667" s="1" t="s">
        <v>74</v>
      </c>
      <c r="BQ667" s="1" t="s">
        <v>74</v>
      </c>
      <c r="BR667" s="1" t="s">
        <v>98</v>
      </c>
      <c r="BS667" s="1" t="s">
        <v>11445</v>
      </c>
      <c r="BT667" s="1" t="str">
        <f>HYPERLINK("https%3A%2F%2Fwww.webofscience.com%2Fwos%2Fwoscc%2Ffull-record%2FWOS:000288587900004","View Full Record in Web of Science")</f>
        <v>View Full Record in Web of Science</v>
      </c>
    </row>
    <row r="668" spans="1:72">
      <c r="A668" s="1" t="s">
        <v>72</v>
      </c>
      <c r="B668" s="1" t="s">
        <v>11446</v>
      </c>
      <c r="C668" s="1" t="s">
        <v>74</v>
      </c>
      <c r="D668" s="1" t="s">
        <v>74</v>
      </c>
      <c r="E668" s="1" t="s">
        <v>74</v>
      </c>
      <c r="F668" s="1" t="s">
        <v>11447</v>
      </c>
      <c r="G668" s="1" t="s">
        <v>74</v>
      </c>
      <c r="H668" s="1" t="s">
        <v>74</v>
      </c>
      <c r="I668" s="1" t="s">
        <v>11448</v>
      </c>
      <c r="J668" s="1" t="s">
        <v>459</v>
      </c>
      <c r="K668" s="1" t="s">
        <v>74</v>
      </c>
      <c r="L668" s="1" t="s">
        <v>74</v>
      </c>
      <c r="M668" s="1" t="s">
        <v>78</v>
      </c>
      <c r="N668" s="1" t="s">
        <v>79</v>
      </c>
      <c r="O668" s="1" t="s">
        <v>74</v>
      </c>
      <c r="P668" s="1" t="s">
        <v>74</v>
      </c>
      <c r="Q668" s="1" t="s">
        <v>74</v>
      </c>
      <c r="R668" s="1" t="s">
        <v>74</v>
      </c>
      <c r="S668" s="1" t="s">
        <v>74</v>
      </c>
      <c r="T668" s="1" t="s">
        <v>11449</v>
      </c>
      <c r="U668" s="1" t="s">
        <v>11450</v>
      </c>
      <c r="V668" s="1" t="s">
        <v>11451</v>
      </c>
      <c r="W668" s="1" t="s">
        <v>11452</v>
      </c>
      <c r="X668" s="1" t="s">
        <v>11453</v>
      </c>
      <c r="Y668" s="1" t="s">
        <v>11454</v>
      </c>
      <c r="Z668" s="1" t="s">
        <v>11455</v>
      </c>
      <c r="AA668" s="1" t="s">
        <v>11456</v>
      </c>
      <c r="AB668" s="1" t="s">
        <v>74</v>
      </c>
      <c r="AC668" s="1" t="s">
        <v>11453</v>
      </c>
      <c r="AD668" s="1" t="s">
        <v>11453</v>
      </c>
      <c r="AE668" s="1" t="s">
        <v>11457</v>
      </c>
      <c r="AF668" s="1" t="s">
        <v>74</v>
      </c>
      <c r="AG668" s="1">
        <v>57</v>
      </c>
      <c r="AH668" s="1">
        <v>6</v>
      </c>
      <c r="AI668" s="1">
        <v>6</v>
      </c>
      <c r="AJ668" s="1">
        <v>7</v>
      </c>
      <c r="AK668" s="1">
        <v>17</v>
      </c>
      <c r="AL668" s="1" t="s">
        <v>112</v>
      </c>
      <c r="AM668" s="1" t="s">
        <v>113</v>
      </c>
      <c r="AN668" s="1" t="s">
        <v>114</v>
      </c>
      <c r="AO668" s="1" t="s">
        <v>470</v>
      </c>
      <c r="AP668" s="1" t="s">
        <v>471</v>
      </c>
      <c r="AQ668" s="1" t="s">
        <v>74</v>
      </c>
      <c r="AR668" s="1" t="s">
        <v>472</v>
      </c>
      <c r="AS668" s="1" t="s">
        <v>473</v>
      </c>
      <c r="AT668" s="1" t="s">
        <v>305</v>
      </c>
      <c r="AU668" s="1">
        <v>2022</v>
      </c>
      <c r="AV668" s="1">
        <v>19</v>
      </c>
      <c r="AW668" s="1">
        <v>9</v>
      </c>
      <c r="AX668" s="1" t="s">
        <v>74</v>
      </c>
      <c r="AY668" s="1" t="s">
        <v>74</v>
      </c>
      <c r="AZ668" s="1" t="s">
        <v>74</v>
      </c>
      <c r="BA668" s="1" t="s">
        <v>74</v>
      </c>
      <c r="BB668" s="1">
        <v>8341</v>
      </c>
      <c r="BC668" s="1">
        <v>8350</v>
      </c>
      <c r="BD668" s="1" t="s">
        <v>74</v>
      </c>
      <c r="BE668" s="1" t="s">
        <v>11458</v>
      </c>
      <c r="BF668" s="1" t="str">
        <f>HYPERLINK("http://dx.doi.org/10.1007/s13762-022-04048-4","http://dx.doi.org/10.1007/s13762-022-04048-4")</f>
        <v>http://dx.doi.org/10.1007/s13762-022-04048-4</v>
      </c>
      <c r="BG668" s="1" t="s">
        <v>74</v>
      </c>
      <c r="BH668" s="1" t="s">
        <v>5038</v>
      </c>
      <c r="BI668" s="1">
        <v>10</v>
      </c>
      <c r="BJ668" s="1" t="s">
        <v>144</v>
      </c>
      <c r="BK668" s="1" t="s">
        <v>96</v>
      </c>
      <c r="BL668" s="1" t="s">
        <v>145</v>
      </c>
      <c r="BM668" s="1" t="s">
        <v>11459</v>
      </c>
      <c r="BN668" s="1" t="s">
        <v>74</v>
      </c>
      <c r="BO668" s="1" t="s">
        <v>74</v>
      </c>
      <c r="BP668" s="1" t="s">
        <v>74</v>
      </c>
      <c r="BQ668" s="1" t="s">
        <v>74</v>
      </c>
      <c r="BR668" s="1" t="s">
        <v>98</v>
      </c>
      <c r="BS668" s="1" t="s">
        <v>11460</v>
      </c>
      <c r="BT668" s="1" t="str">
        <f>HYPERLINK("https%3A%2F%2Fwww.webofscience.com%2Fwos%2Fwoscc%2Ffull-record%2FWOS:000765670900004","View Full Record in Web of Science")</f>
        <v>View Full Record in Web of Science</v>
      </c>
    </row>
    <row r="669" spans="1:72">
      <c r="A669" s="1" t="s">
        <v>72</v>
      </c>
      <c r="B669" s="1" t="s">
        <v>11461</v>
      </c>
      <c r="C669" s="1" t="s">
        <v>74</v>
      </c>
      <c r="D669" s="1" t="s">
        <v>74</v>
      </c>
      <c r="E669" s="1" t="s">
        <v>74</v>
      </c>
      <c r="F669" s="1" t="s">
        <v>11462</v>
      </c>
      <c r="G669" s="1" t="s">
        <v>74</v>
      </c>
      <c r="H669" s="1" t="s">
        <v>74</v>
      </c>
      <c r="I669" s="1" t="s">
        <v>11463</v>
      </c>
      <c r="J669" s="1" t="s">
        <v>641</v>
      </c>
      <c r="K669" s="1" t="s">
        <v>74</v>
      </c>
      <c r="L669" s="1" t="s">
        <v>74</v>
      </c>
      <c r="M669" s="1" t="s">
        <v>78</v>
      </c>
      <c r="N669" s="1" t="s">
        <v>79</v>
      </c>
      <c r="O669" s="1" t="s">
        <v>74</v>
      </c>
      <c r="P669" s="1" t="s">
        <v>74</v>
      </c>
      <c r="Q669" s="1" t="s">
        <v>74</v>
      </c>
      <c r="R669" s="1" t="s">
        <v>74</v>
      </c>
      <c r="S669" s="1" t="s">
        <v>74</v>
      </c>
      <c r="T669" s="1" t="s">
        <v>11464</v>
      </c>
      <c r="U669" s="1" t="s">
        <v>11465</v>
      </c>
      <c r="V669" s="1" t="s">
        <v>11466</v>
      </c>
      <c r="W669" s="1" t="s">
        <v>11467</v>
      </c>
      <c r="X669" s="1" t="s">
        <v>1219</v>
      </c>
      <c r="Y669" s="1" t="s">
        <v>11468</v>
      </c>
      <c r="Z669" s="1" t="s">
        <v>11469</v>
      </c>
      <c r="AA669" s="1" t="s">
        <v>11470</v>
      </c>
      <c r="AB669" s="1" t="s">
        <v>11471</v>
      </c>
      <c r="AC669" s="1" t="s">
        <v>11472</v>
      </c>
      <c r="AD669" s="1" t="s">
        <v>11473</v>
      </c>
      <c r="AE669" s="1" t="s">
        <v>11474</v>
      </c>
      <c r="AF669" s="1" t="s">
        <v>74</v>
      </c>
      <c r="AG669" s="1">
        <v>75</v>
      </c>
      <c r="AH669" s="1">
        <v>7</v>
      </c>
      <c r="AI669" s="1">
        <v>8</v>
      </c>
      <c r="AJ669" s="1">
        <v>1</v>
      </c>
      <c r="AK669" s="1">
        <v>23</v>
      </c>
      <c r="AL669" s="1" t="s">
        <v>650</v>
      </c>
      <c r="AM669" s="1" t="s">
        <v>651</v>
      </c>
      <c r="AN669" s="1" t="s">
        <v>652</v>
      </c>
      <c r="AO669" s="1" t="s">
        <v>653</v>
      </c>
      <c r="AP669" s="1" t="s">
        <v>654</v>
      </c>
      <c r="AQ669" s="1" t="s">
        <v>74</v>
      </c>
      <c r="AR669" s="1" t="s">
        <v>655</v>
      </c>
      <c r="AS669" s="1" t="s">
        <v>656</v>
      </c>
      <c r="AT669" s="1" t="s">
        <v>3506</v>
      </c>
      <c r="AU669" s="1">
        <v>2010</v>
      </c>
      <c r="AV669" s="1">
        <v>99</v>
      </c>
      <c r="AW669" s="1">
        <v>4</v>
      </c>
      <c r="AX669" s="1" t="s">
        <v>74</v>
      </c>
      <c r="AY669" s="1" t="s">
        <v>74</v>
      </c>
      <c r="AZ669" s="1" t="s">
        <v>74</v>
      </c>
      <c r="BA669" s="1" t="s">
        <v>74</v>
      </c>
      <c r="BB669" s="1">
        <v>507</v>
      </c>
      <c r="BC669" s="1">
        <v>513</v>
      </c>
      <c r="BD669" s="1" t="s">
        <v>74</v>
      </c>
      <c r="BE669" s="1" t="s">
        <v>11475</v>
      </c>
      <c r="BF669" s="1" t="str">
        <f>HYPERLINK("http://dx.doi.org/10.1016/j.aquatox.2010.07.004","http://dx.doi.org/10.1016/j.aquatox.2010.07.004")</f>
        <v>http://dx.doi.org/10.1016/j.aquatox.2010.07.004</v>
      </c>
      <c r="BG669" s="1" t="s">
        <v>74</v>
      </c>
      <c r="BH669" s="1" t="s">
        <v>74</v>
      </c>
      <c r="BI669" s="1">
        <v>7</v>
      </c>
      <c r="BJ669" s="1" t="s">
        <v>659</v>
      </c>
      <c r="BK669" s="1" t="s">
        <v>96</v>
      </c>
      <c r="BL669" s="1" t="s">
        <v>659</v>
      </c>
      <c r="BM669" s="1" t="s">
        <v>11476</v>
      </c>
      <c r="BN669" s="1">
        <v>20667419</v>
      </c>
      <c r="BO669" s="1" t="s">
        <v>74</v>
      </c>
      <c r="BP669" s="1" t="s">
        <v>74</v>
      </c>
      <c r="BQ669" s="1" t="s">
        <v>74</v>
      </c>
      <c r="BR669" s="1" t="s">
        <v>98</v>
      </c>
      <c r="BS669" s="1" t="s">
        <v>11477</v>
      </c>
      <c r="BT669" s="1" t="str">
        <f>HYPERLINK("https%3A%2F%2Fwww.webofscience.com%2Fwos%2Fwoscc%2Ffull-record%2FWOS:000282621000009","View Full Record in Web of Science")</f>
        <v>View Full Record in Web of Science</v>
      </c>
    </row>
    <row r="670" spans="1:72">
      <c r="A670" s="1" t="s">
        <v>72</v>
      </c>
      <c r="B670" s="1" t="s">
        <v>11478</v>
      </c>
      <c r="C670" s="1" t="s">
        <v>74</v>
      </c>
      <c r="D670" s="1" t="s">
        <v>74</v>
      </c>
      <c r="E670" s="1" t="s">
        <v>74</v>
      </c>
      <c r="F670" s="1" t="s">
        <v>11479</v>
      </c>
      <c r="G670" s="1" t="s">
        <v>74</v>
      </c>
      <c r="H670" s="1" t="s">
        <v>74</v>
      </c>
      <c r="I670" s="1" t="s">
        <v>11480</v>
      </c>
      <c r="J670" s="1" t="s">
        <v>11481</v>
      </c>
      <c r="K670" s="1" t="s">
        <v>74</v>
      </c>
      <c r="L670" s="1" t="s">
        <v>74</v>
      </c>
      <c r="M670" s="1" t="s">
        <v>78</v>
      </c>
      <c r="N670" s="1" t="s">
        <v>79</v>
      </c>
      <c r="O670" s="1" t="s">
        <v>74</v>
      </c>
      <c r="P670" s="1" t="s">
        <v>74</v>
      </c>
      <c r="Q670" s="1" t="s">
        <v>74</v>
      </c>
      <c r="R670" s="1" t="s">
        <v>74</v>
      </c>
      <c r="S670" s="1" t="s">
        <v>74</v>
      </c>
      <c r="T670" s="1" t="s">
        <v>74</v>
      </c>
      <c r="U670" s="1" t="s">
        <v>11482</v>
      </c>
      <c r="V670" s="1" t="s">
        <v>11483</v>
      </c>
      <c r="W670" s="1" t="s">
        <v>11484</v>
      </c>
      <c r="X670" s="1" t="s">
        <v>11485</v>
      </c>
      <c r="Y670" s="1" t="s">
        <v>11486</v>
      </c>
      <c r="Z670" s="1" t="s">
        <v>11487</v>
      </c>
      <c r="AA670" s="1" t="s">
        <v>11488</v>
      </c>
      <c r="AB670" s="1" t="s">
        <v>74</v>
      </c>
      <c r="AC670" s="1" t="s">
        <v>74</v>
      </c>
      <c r="AD670" s="1" t="s">
        <v>74</v>
      </c>
      <c r="AE670" s="1" t="s">
        <v>74</v>
      </c>
      <c r="AF670" s="1" t="s">
        <v>74</v>
      </c>
      <c r="AG670" s="1">
        <v>28</v>
      </c>
      <c r="AH670" s="1">
        <v>10</v>
      </c>
      <c r="AI670" s="1">
        <v>13</v>
      </c>
      <c r="AJ670" s="1">
        <v>0</v>
      </c>
      <c r="AK670" s="1">
        <v>13</v>
      </c>
      <c r="AL670" s="1" t="s">
        <v>86</v>
      </c>
      <c r="AM670" s="1" t="s">
        <v>87</v>
      </c>
      <c r="AN670" s="1" t="s">
        <v>88</v>
      </c>
      <c r="AO670" s="1" t="s">
        <v>11489</v>
      </c>
      <c r="AP670" s="1" t="s">
        <v>11490</v>
      </c>
      <c r="AQ670" s="1" t="s">
        <v>74</v>
      </c>
      <c r="AR670" s="1" t="s">
        <v>11491</v>
      </c>
      <c r="AS670" s="1" t="s">
        <v>11492</v>
      </c>
      <c r="AT670" s="1" t="s">
        <v>2493</v>
      </c>
      <c r="AU670" s="1">
        <v>2010</v>
      </c>
      <c r="AV670" s="1">
        <v>39</v>
      </c>
      <c r="AW670" s="1">
        <v>3</v>
      </c>
      <c r="AX670" s="1" t="s">
        <v>74</v>
      </c>
      <c r="AY670" s="1" t="s">
        <v>74</v>
      </c>
      <c r="AZ670" s="1" t="s">
        <v>74</v>
      </c>
      <c r="BA670" s="1" t="s">
        <v>74</v>
      </c>
      <c r="BB670" s="1">
        <v>202</v>
      </c>
      <c r="BC670" s="1">
        <v>207</v>
      </c>
      <c r="BD670" s="1" t="s">
        <v>74</v>
      </c>
      <c r="BE670" s="1" t="s">
        <v>11493</v>
      </c>
      <c r="BF670" s="1" t="str">
        <f>HYPERLINK("http://dx.doi.org/10.1002/xrs.1250","http://dx.doi.org/10.1002/xrs.1250")</f>
        <v>http://dx.doi.org/10.1002/xrs.1250</v>
      </c>
      <c r="BG670" s="1" t="s">
        <v>74</v>
      </c>
      <c r="BH670" s="1" t="s">
        <v>74</v>
      </c>
      <c r="BI670" s="1">
        <v>6</v>
      </c>
      <c r="BJ670" s="1" t="s">
        <v>11310</v>
      </c>
      <c r="BK670" s="1" t="s">
        <v>96</v>
      </c>
      <c r="BL670" s="1" t="s">
        <v>11310</v>
      </c>
      <c r="BM670" s="1" t="s">
        <v>11494</v>
      </c>
      <c r="BN670" s="1" t="s">
        <v>74</v>
      </c>
      <c r="BO670" s="1" t="s">
        <v>74</v>
      </c>
      <c r="BP670" s="1" t="s">
        <v>74</v>
      </c>
      <c r="BQ670" s="1" t="s">
        <v>74</v>
      </c>
      <c r="BR670" s="1" t="s">
        <v>98</v>
      </c>
      <c r="BS670" s="1" t="s">
        <v>11495</v>
      </c>
      <c r="BT670" s="1" t="str">
        <f>HYPERLINK("https%3A%2F%2Fwww.webofscience.com%2Fwos%2Fwoscc%2Ffull-record%2FWOS:000277637400006","View Full Record in Web of Science")</f>
        <v>View Full Record in Web of Science</v>
      </c>
    </row>
    <row r="671" spans="1:72">
      <c r="A671" s="1" t="s">
        <v>72</v>
      </c>
      <c r="B671" s="1" t="s">
        <v>11496</v>
      </c>
      <c r="C671" s="1" t="s">
        <v>74</v>
      </c>
      <c r="D671" s="1" t="s">
        <v>74</v>
      </c>
      <c r="E671" s="1" t="s">
        <v>74</v>
      </c>
      <c r="F671" s="1" t="s">
        <v>11497</v>
      </c>
      <c r="G671" s="1" t="s">
        <v>74</v>
      </c>
      <c r="H671" s="1" t="s">
        <v>74</v>
      </c>
      <c r="I671" s="1" t="s">
        <v>11498</v>
      </c>
      <c r="J671" s="1" t="s">
        <v>11499</v>
      </c>
      <c r="K671" s="1" t="s">
        <v>74</v>
      </c>
      <c r="L671" s="1" t="s">
        <v>74</v>
      </c>
      <c r="M671" s="1" t="s">
        <v>78</v>
      </c>
      <c r="N671" s="1" t="s">
        <v>79</v>
      </c>
      <c r="O671" s="1" t="s">
        <v>74</v>
      </c>
      <c r="P671" s="1" t="s">
        <v>74</v>
      </c>
      <c r="Q671" s="1" t="s">
        <v>74</v>
      </c>
      <c r="R671" s="1" t="s">
        <v>74</v>
      </c>
      <c r="S671" s="1" t="s">
        <v>74</v>
      </c>
      <c r="T671" s="1" t="s">
        <v>11500</v>
      </c>
      <c r="U671" s="1" t="s">
        <v>11501</v>
      </c>
      <c r="V671" s="1" t="s">
        <v>11502</v>
      </c>
      <c r="W671" s="1" t="s">
        <v>11503</v>
      </c>
      <c r="X671" s="1" t="s">
        <v>11504</v>
      </c>
      <c r="Y671" s="1" t="s">
        <v>11505</v>
      </c>
      <c r="Z671" s="1" t="s">
        <v>11506</v>
      </c>
      <c r="AA671" s="1" t="s">
        <v>11507</v>
      </c>
      <c r="AB671" s="1" t="s">
        <v>11508</v>
      </c>
      <c r="AC671" s="1" t="s">
        <v>11509</v>
      </c>
      <c r="AD671" s="1" t="s">
        <v>11510</v>
      </c>
      <c r="AE671" s="1" t="s">
        <v>11511</v>
      </c>
      <c r="AF671" s="1" t="s">
        <v>74</v>
      </c>
      <c r="AG671" s="1">
        <v>41</v>
      </c>
      <c r="AH671" s="1">
        <v>1</v>
      </c>
      <c r="AI671" s="1">
        <v>1</v>
      </c>
      <c r="AJ671" s="1">
        <v>3</v>
      </c>
      <c r="AK671" s="1">
        <v>15</v>
      </c>
      <c r="AL671" s="1" t="s">
        <v>6554</v>
      </c>
      <c r="AM671" s="1" t="s">
        <v>113</v>
      </c>
      <c r="AN671" s="1" t="s">
        <v>6555</v>
      </c>
      <c r="AO671" s="1" t="s">
        <v>11512</v>
      </c>
      <c r="AP671" s="1" t="s">
        <v>11513</v>
      </c>
      <c r="AQ671" s="1" t="s">
        <v>74</v>
      </c>
      <c r="AR671" s="1" t="s">
        <v>11514</v>
      </c>
      <c r="AS671" s="1" t="s">
        <v>11515</v>
      </c>
      <c r="AT671" s="1" t="s">
        <v>765</v>
      </c>
      <c r="AU671" s="1">
        <v>2022</v>
      </c>
      <c r="AV671" s="1">
        <v>60</v>
      </c>
      <c r="AW671" s="1">
        <v>7</v>
      </c>
      <c r="AX671" s="1" t="s">
        <v>74</v>
      </c>
      <c r="AY671" s="1" t="s">
        <v>74</v>
      </c>
      <c r="AZ671" s="1" t="s">
        <v>74</v>
      </c>
      <c r="BA671" s="1" t="s">
        <v>74</v>
      </c>
      <c r="BB671" s="1">
        <v>702</v>
      </c>
      <c r="BC671" s="1">
        <v>710</v>
      </c>
      <c r="BD671" s="1" t="s">
        <v>74</v>
      </c>
      <c r="BE671" s="1" t="s">
        <v>11516</v>
      </c>
      <c r="BF671" s="1" t="str">
        <f>HYPERLINK("http://dx.doi.org/10.1134/S0016702922060076","http://dx.doi.org/10.1134/S0016702922060076")</f>
        <v>http://dx.doi.org/10.1134/S0016702922060076</v>
      </c>
      <c r="BG671" s="1" t="s">
        <v>74</v>
      </c>
      <c r="BH671" s="1" t="s">
        <v>74</v>
      </c>
      <c r="BI671" s="1">
        <v>9</v>
      </c>
      <c r="BJ671" s="1" t="s">
        <v>9863</v>
      </c>
      <c r="BK671" s="1" t="s">
        <v>96</v>
      </c>
      <c r="BL671" s="1" t="s">
        <v>9863</v>
      </c>
      <c r="BM671" s="1" t="s">
        <v>11517</v>
      </c>
      <c r="BN671" s="1" t="s">
        <v>74</v>
      </c>
      <c r="BO671" s="1" t="s">
        <v>74</v>
      </c>
      <c r="BP671" s="1" t="s">
        <v>74</v>
      </c>
      <c r="BQ671" s="1" t="s">
        <v>74</v>
      </c>
      <c r="BR671" s="1" t="s">
        <v>98</v>
      </c>
      <c r="BS671" s="1" t="s">
        <v>11518</v>
      </c>
      <c r="BT671" s="1" t="str">
        <f>HYPERLINK("https%3A%2F%2Fwww.webofscience.com%2Fwos%2Fwoscc%2Ffull-record%2FWOS:000820652900007","View Full Record in Web of Science")</f>
        <v>View Full Record in Web of Science</v>
      </c>
    </row>
    <row r="672" spans="1:72">
      <c r="A672" s="1" t="s">
        <v>72</v>
      </c>
      <c r="B672" s="1" t="s">
        <v>11519</v>
      </c>
      <c r="C672" s="1" t="s">
        <v>74</v>
      </c>
      <c r="D672" s="1" t="s">
        <v>74</v>
      </c>
      <c r="E672" s="1" t="s">
        <v>74</v>
      </c>
      <c r="F672" s="1" t="s">
        <v>11520</v>
      </c>
      <c r="G672" s="1" t="s">
        <v>74</v>
      </c>
      <c r="H672" s="1" t="s">
        <v>74</v>
      </c>
      <c r="I672" s="1" t="s">
        <v>11521</v>
      </c>
      <c r="J672" s="1" t="s">
        <v>1756</v>
      </c>
      <c r="K672" s="1" t="s">
        <v>74</v>
      </c>
      <c r="L672" s="1" t="s">
        <v>74</v>
      </c>
      <c r="M672" s="1" t="s">
        <v>78</v>
      </c>
      <c r="N672" s="1" t="s">
        <v>79</v>
      </c>
      <c r="O672" s="1" t="s">
        <v>74</v>
      </c>
      <c r="P672" s="1" t="s">
        <v>74</v>
      </c>
      <c r="Q672" s="1" t="s">
        <v>74</v>
      </c>
      <c r="R672" s="1" t="s">
        <v>74</v>
      </c>
      <c r="S672" s="1" t="s">
        <v>74</v>
      </c>
      <c r="T672" s="1" t="s">
        <v>11522</v>
      </c>
      <c r="U672" s="1" t="s">
        <v>11523</v>
      </c>
      <c r="V672" s="1" t="s">
        <v>11524</v>
      </c>
      <c r="W672" s="1" t="s">
        <v>11525</v>
      </c>
      <c r="X672" s="1" t="s">
        <v>11526</v>
      </c>
      <c r="Y672" s="1" t="s">
        <v>11527</v>
      </c>
      <c r="Z672" s="1" t="s">
        <v>11528</v>
      </c>
      <c r="AA672" s="1" t="s">
        <v>74</v>
      </c>
      <c r="AB672" s="1" t="s">
        <v>74</v>
      </c>
      <c r="AC672" s="1" t="s">
        <v>11529</v>
      </c>
      <c r="AD672" s="1" t="s">
        <v>11530</v>
      </c>
      <c r="AE672" s="1" t="s">
        <v>11531</v>
      </c>
      <c r="AF672" s="1" t="s">
        <v>74</v>
      </c>
      <c r="AG672" s="1">
        <v>41</v>
      </c>
      <c r="AH672" s="1">
        <v>9</v>
      </c>
      <c r="AI672" s="1">
        <v>10</v>
      </c>
      <c r="AJ672" s="1">
        <v>0</v>
      </c>
      <c r="AK672" s="1">
        <v>38</v>
      </c>
      <c r="AL672" s="1" t="s">
        <v>86</v>
      </c>
      <c r="AM672" s="1" t="s">
        <v>87</v>
      </c>
      <c r="AN672" s="1" t="s">
        <v>88</v>
      </c>
      <c r="AO672" s="1" t="s">
        <v>1764</v>
      </c>
      <c r="AP672" s="1" t="s">
        <v>1765</v>
      </c>
      <c r="AQ672" s="1" t="s">
        <v>74</v>
      </c>
      <c r="AR672" s="1" t="s">
        <v>1766</v>
      </c>
      <c r="AS672" s="1" t="s">
        <v>1767</v>
      </c>
      <c r="AT672" s="1" t="s">
        <v>197</v>
      </c>
      <c r="AU672" s="1">
        <v>2012</v>
      </c>
      <c r="AV672" s="1">
        <v>31</v>
      </c>
      <c r="AW672" s="1">
        <v>12</v>
      </c>
      <c r="AX672" s="1" t="s">
        <v>74</v>
      </c>
      <c r="AY672" s="1" t="s">
        <v>74</v>
      </c>
      <c r="AZ672" s="1" t="s">
        <v>74</v>
      </c>
      <c r="BA672" s="1" t="s">
        <v>74</v>
      </c>
      <c r="BB672" s="1">
        <v>2841</v>
      </c>
      <c r="BC672" s="1">
        <v>2847</v>
      </c>
      <c r="BD672" s="1" t="s">
        <v>74</v>
      </c>
      <c r="BE672" s="1" t="s">
        <v>11532</v>
      </c>
      <c r="BF672" s="1" t="str">
        <f>HYPERLINK("http://dx.doi.org/10.1002/etc.2012","http://dx.doi.org/10.1002/etc.2012")</f>
        <v>http://dx.doi.org/10.1002/etc.2012</v>
      </c>
      <c r="BG672" s="1" t="s">
        <v>74</v>
      </c>
      <c r="BH672" s="1" t="s">
        <v>74</v>
      </c>
      <c r="BI672" s="1">
        <v>7</v>
      </c>
      <c r="BJ672" s="1" t="s">
        <v>121</v>
      </c>
      <c r="BK672" s="1" t="s">
        <v>96</v>
      </c>
      <c r="BL672" s="1" t="s">
        <v>122</v>
      </c>
      <c r="BM672" s="1" t="s">
        <v>11533</v>
      </c>
      <c r="BN672" s="1">
        <v>22997013</v>
      </c>
      <c r="BO672" s="1" t="s">
        <v>74</v>
      </c>
      <c r="BP672" s="1" t="s">
        <v>74</v>
      </c>
      <c r="BQ672" s="1" t="s">
        <v>74</v>
      </c>
      <c r="BR672" s="1" t="s">
        <v>98</v>
      </c>
      <c r="BS672" s="1" t="s">
        <v>11534</v>
      </c>
      <c r="BT672" s="1" t="str">
        <f>HYPERLINK("https%3A%2F%2Fwww.webofscience.com%2Fwos%2Fwoscc%2Ffull-record%2FWOS:000311291200022","View Full Record in Web of Science")</f>
        <v>View Full Record in Web of Science</v>
      </c>
    </row>
    <row r="673" spans="1:72">
      <c r="A673" s="1" t="s">
        <v>72</v>
      </c>
      <c r="B673" s="1" t="s">
        <v>11535</v>
      </c>
      <c r="C673" s="1" t="s">
        <v>74</v>
      </c>
      <c r="D673" s="1" t="s">
        <v>74</v>
      </c>
      <c r="E673" s="1" t="s">
        <v>74</v>
      </c>
      <c r="F673" s="1" t="s">
        <v>11536</v>
      </c>
      <c r="G673" s="1" t="s">
        <v>74</v>
      </c>
      <c r="H673" s="1" t="s">
        <v>74</v>
      </c>
      <c r="I673" s="1" t="s">
        <v>11537</v>
      </c>
      <c r="J673" s="1" t="s">
        <v>1756</v>
      </c>
      <c r="K673" s="1" t="s">
        <v>74</v>
      </c>
      <c r="L673" s="1" t="s">
        <v>74</v>
      </c>
      <c r="M673" s="1" t="s">
        <v>78</v>
      </c>
      <c r="N673" s="1" t="s">
        <v>79</v>
      </c>
      <c r="O673" s="1" t="s">
        <v>74</v>
      </c>
      <c r="P673" s="1" t="s">
        <v>74</v>
      </c>
      <c r="Q673" s="1" t="s">
        <v>74</v>
      </c>
      <c r="R673" s="1" t="s">
        <v>74</v>
      </c>
      <c r="S673" s="1" t="s">
        <v>74</v>
      </c>
      <c r="T673" s="1" t="s">
        <v>11538</v>
      </c>
      <c r="U673" s="1" t="s">
        <v>11539</v>
      </c>
      <c r="V673" s="1" t="s">
        <v>11540</v>
      </c>
      <c r="W673" s="1" t="s">
        <v>11541</v>
      </c>
      <c r="X673" s="1" t="s">
        <v>11542</v>
      </c>
      <c r="Y673" s="1" t="s">
        <v>11543</v>
      </c>
      <c r="Z673" s="1" t="s">
        <v>1483</v>
      </c>
      <c r="AA673" s="1" t="s">
        <v>11544</v>
      </c>
      <c r="AB673" s="1" t="s">
        <v>11545</v>
      </c>
      <c r="AC673" s="1" t="s">
        <v>11546</v>
      </c>
      <c r="AD673" s="1" t="s">
        <v>11547</v>
      </c>
      <c r="AE673" s="1" t="s">
        <v>11548</v>
      </c>
      <c r="AF673" s="1" t="s">
        <v>74</v>
      </c>
      <c r="AG673" s="1">
        <v>48</v>
      </c>
      <c r="AH673" s="1">
        <v>27</v>
      </c>
      <c r="AI673" s="1">
        <v>28</v>
      </c>
      <c r="AJ673" s="1">
        <v>4</v>
      </c>
      <c r="AK673" s="1">
        <v>65</v>
      </c>
      <c r="AL673" s="1" t="s">
        <v>86</v>
      </c>
      <c r="AM673" s="1" t="s">
        <v>87</v>
      </c>
      <c r="AN673" s="1" t="s">
        <v>88</v>
      </c>
      <c r="AO673" s="1" t="s">
        <v>1764</v>
      </c>
      <c r="AP673" s="1" t="s">
        <v>1765</v>
      </c>
      <c r="AQ673" s="1" t="s">
        <v>74</v>
      </c>
      <c r="AR673" s="1" t="s">
        <v>1766</v>
      </c>
      <c r="AS673" s="1" t="s">
        <v>1767</v>
      </c>
      <c r="AT673" s="1" t="s">
        <v>142</v>
      </c>
      <c r="AU673" s="1">
        <v>2012</v>
      </c>
      <c r="AV673" s="1">
        <v>31</v>
      </c>
      <c r="AW673" s="1">
        <v>6</v>
      </c>
      <c r="AX673" s="1" t="s">
        <v>74</v>
      </c>
      <c r="AY673" s="1" t="s">
        <v>74</v>
      </c>
      <c r="AZ673" s="1" t="s">
        <v>74</v>
      </c>
      <c r="BA673" s="1" t="s">
        <v>74</v>
      </c>
      <c r="BB673" s="1">
        <v>1292</v>
      </c>
      <c r="BC673" s="1">
        <v>1300</v>
      </c>
      <c r="BD673" s="1" t="s">
        <v>74</v>
      </c>
      <c r="BE673" s="1" t="s">
        <v>11549</v>
      </c>
      <c r="BF673" s="1" t="str">
        <f>HYPERLINK("http://dx.doi.org/10.1002/etc.1823","http://dx.doi.org/10.1002/etc.1823")</f>
        <v>http://dx.doi.org/10.1002/etc.1823</v>
      </c>
      <c r="BG673" s="1" t="s">
        <v>74</v>
      </c>
      <c r="BH673" s="1" t="s">
        <v>74</v>
      </c>
      <c r="BI673" s="1">
        <v>9</v>
      </c>
      <c r="BJ673" s="1" t="s">
        <v>121</v>
      </c>
      <c r="BK673" s="1" t="s">
        <v>96</v>
      </c>
      <c r="BL673" s="1" t="s">
        <v>122</v>
      </c>
      <c r="BM673" s="1" t="s">
        <v>11550</v>
      </c>
      <c r="BN673" s="1">
        <v>22488592</v>
      </c>
      <c r="BO673" s="1" t="s">
        <v>74</v>
      </c>
      <c r="BP673" s="1" t="s">
        <v>74</v>
      </c>
      <c r="BQ673" s="1" t="s">
        <v>74</v>
      </c>
      <c r="BR673" s="1" t="s">
        <v>98</v>
      </c>
      <c r="BS673" s="1" t="s">
        <v>11551</v>
      </c>
      <c r="BT673" s="1" t="str">
        <f>HYPERLINK("https%3A%2F%2Fwww.webofscience.com%2Fwos%2Fwoscc%2Ffull-record%2FWOS:000304150700016","View Full Record in Web of Science")</f>
        <v>View Full Record in Web of Science</v>
      </c>
    </row>
    <row r="674" spans="1:72">
      <c r="A674" s="1" t="s">
        <v>72</v>
      </c>
      <c r="B674" s="1" t="s">
        <v>11552</v>
      </c>
      <c r="C674" s="1" t="s">
        <v>74</v>
      </c>
      <c r="D674" s="1" t="s">
        <v>74</v>
      </c>
      <c r="E674" s="1" t="s">
        <v>74</v>
      </c>
      <c r="F674" s="1" t="s">
        <v>11553</v>
      </c>
      <c r="G674" s="1" t="s">
        <v>74</v>
      </c>
      <c r="H674" s="1" t="s">
        <v>74</v>
      </c>
      <c r="I674" s="1" t="s">
        <v>11554</v>
      </c>
      <c r="J674" s="1" t="s">
        <v>495</v>
      </c>
      <c r="K674" s="1" t="s">
        <v>74</v>
      </c>
      <c r="L674" s="1" t="s">
        <v>74</v>
      </c>
      <c r="M674" s="1" t="s">
        <v>78</v>
      </c>
      <c r="N674" s="1" t="s">
        <v>79</v>
      </c>
      <c r="O674" s="1" t="s">
        <v>74</v>
      </c>
      <c r="P674" s="1" t="s">
        <v>74</v>
      </c>
      <c r="Q674" s="1" t="s">
        <v>74</v>
      </c>
      <c r="R674" s="1" t="s">
        <v>74</v>
      </c>
      <c r="S674" s="1" t="s">
        <v>74</v>
      </c>
      <c r="T674" s="1" t="s">
        <v>11555</v>
      </c>
      <c r="U674" s="1" t="s">
        <v>11556</v>
      </c>
      <c r="V674" s="1" t="s">
        <v>11557</v>
      </c>
      <c r="W674" s="1" t="s">
        <v>11558</v>
      </c>
      <c r="X674" s="1" t="s">
        <v>11559</v>
      </c>
      <c r="Y674" s="1" t="s">
        <v>11560</v>
      </c>
      <c r="Z674" s="1" t="s">
        <v>11561</v>
      </c>
      <c r="AA674" s="1" t="s">
        <v>74</v>
      </c>
      <c r="AB674" s="1" t="s">
        <v>11562</v>
      </c>
      <c r="AC674" s="1" t="s">
        <v>74</v>
      </c>
      <c r="AD674" s="1" t="s">
        <v>74</v>
      </c>
      <c r="AE674" s="1" t="s">
        <v>74</v>
      </c>
      <c r="AF674" s="1" t="s">
        <v>74</v>
      </c>
      <c r="AG674" s="1">
        <v>35</v>
      </c>
      <c r="AH674" s="1">
        <v>1</v>
      </c>
      <c r="AI674" s="1">
        <v>1</v>
      </c>
      <c r="AJ674" s="1">
        <v>0</v>
      </c>
      <c r="AK674" s="1">
        <v>11</v>
      </c>
      <c r="AL674" s="1" t="s">
        <v>1030</v>
      </c>
      <c r="AM674" s="1" t="s">
        <v>1031</v>
      </c>
      <c r="AN674" s="1" t="s">
        <v>1032</v>
      </c>
      <c r="AO674" s="1" t="s">
        <v>507</v>
      </c>
      <c r="AP674" s="1" t="s">
        <v>1033</v>
      </c>
      <c r="AQ674" s="1" t="s">
        <v>74</v>
      </c>
      <c r="AR674" s="1" t="s">
        <v>508</v>
      </c>
      <c r="AS674" s="1" t="s">
        <v>509</v>
      </c>
      <c r="AT674" s="1" t="s">
        <v>74</v>
      </c>
      <c r="AU674" s="1">
        <v>2012</v>
      </c>
      <c r="AV674" s="1">
        <v>21</v>
      </c>
      <c r="AW674" s="1">
        <v>8</v>
      </c>
      <c r="AX674" s="1" t="s">
        <v>74</v>
      </c>
      <c r="AY674" s="1" t="s">
        <v>74</v>
      </c>
      <c r="AZ674" s="1" t="s">
        <v>74</v>
      </c>
      <c r="BA674" s="1" t="s">
        <v>74</v>
      </c>
      <c r="BB674" s="1">
        <v>2038</v>
      </c>
      <c r="BC674" s="1">
        <v>2042</v>
      </c>
      <c r="BD674" s="1" t="s">
        <v>74</v>
      </c>
      <c r="BE674" s="1" t="s">
        <v>74</v>
      </c>
      <c r="BF674" s="1" t="s">
        <v>74</v>
      </c>
      <c r="BG674" s="1" t="s">
        <v>74</v>
      </c>
      <c r="BH674" s="1" t="s">
        <v>74</v>
      </c>
      <c r="BI674" s="1">
        <v>5</v>
      </c>
      <c r="BJ674" s="1" t="s">
        <v>144</v>
      </c>
      <c r="BK674" s="1" t="s">
        <v>96</v>
      </c>
      <c r="BL674" s="1" t="s">
        <v>145</v>
      </c>
      <c r="BM674" s="1" t="s">
        <v>11563</v>
      </c>
      <c r="BN674" s="1" t="s">
        <v>74</v>
      </c>
      <c r="BO674" s="1" t="s">
        <v>74</v>
      </c>
      <c r="BP674" s="1" t="s">
        <v>74</v>
      </c>
      <c r="BQ674" s="1" t="s">
        <v>74</v>
      </c>
      <c r="BR674" s="1" t="s">
        <v>98</v>
      </c>
      <c r="BS674" s="1" t="s">
        <v>11564</v>
      </c>
      <c r="BT674" s="1" t="str">
        <f>HYPERLINK("https%3A%2F%2Fwww.webofscience.com%2Fwos%2Fwoscc%2Ffull-record%2FWOS:000309326000005","View Full Record in Web of Science")</f>
        <v>View Full Record in Web of Science</v>
      </c>
    </row>
    <row r="675" spans="1:72">
      <c r="A675" s="1" t="s">
        <v>72</v>
      </c>
      <c r="B675" s="1" t="s">
        <v>11565</v>
      </c>
      <c r="C675" s="1" t="s">
        <v>74</v>
      </c>
      <c r="D675" s="1" t="s">
        <v>74</v>
      </c>
      <c r="E675" s="1" t="s">
        <v>74</v>
      </c>
      <c r="F675" s="1" t="s">
        <v>11565</v>
      </c>
      <c r="G675" s="1" t="s">
        <v>74</v>
      </c>
      <c r="H675" s="1" t="s">
        <v>74</v>
      </c>
      <c r="I675" s="1" t="s">
        <v>11566</v>
      </c>
      <c r="J675" s="1" t="s">
        <v>1756</v>
      </c>
      <c r="K675" s="1" t="s">
        <v>74</v>
      </c>
      <c r="L675" s="1" t="s">
        <v>74</v>
      </c>
      <c r="M675" s="1" t="s">
        <v>78</v>
      </c>
      <c r="N675" s="1" t="s">
        <v>79</v>
      </c>
      <c r="O675" s="1" t="s">
        <v>74</v>
      </c>
      <c r="P675" s="1" t="s">
        <v>74</v>
      </c>
      <c r="Q675" s="1" t="s">
        <v>74</v>
      </c>
      <c r="R675" s="1" t="s">
        <v>74</v>
      </c>
      <c r="S675" s="1" t="s">
        <v>74</v>
      </c>
      <c r="T675" s="1" t="s">
        <v>11567</v>
      </c>
      <c r="U675" s="1" t="s">
        <v>11568</v>
      </c>
      <c r="V675" s="1" t="s">
        <v>11569</v>
      </c>
      <c r="W675" s="1" t="s">
        <v>11570</v>
      </c>
      <c r="X675" s="1" t="s">
        <v>11571</v>
      </c>
      <c r="Y675" s="1" t="s">
        <v>11572</v>
      </c>
      <c r="Z675" s="1" t="s">
        <v>74</v>
      </c>
      <c r="AA675" s="1" t="s">
        <v>74</v>
      </c>
      <c r="AB675" s="1" t="s">
        <v>74</v>
      </c>
      <c r="AC675" s="1" t="s">
        <v>74</v>
      </c>
      <c r="AD675" s="1" t="s">
        <v>74</v>
      </c>
      <c r="AE675" s="1" t="s">
        <v>74</v>
      </c>
      <c r="AF675" s="1" t="s">
        <v>74</v>
      </c>
      <c r="AG675" s="1">
        <v>33</v>
      </c>
      <c r="AH675" s="1">
        <v>26</v>
      </c>
      <c r="AI675" s="1">
        <v>27</v>
      </c>
      <c r="AJ675" s="1">
        <v>0</v>
      </c>
      <c r="AK675" s="1">
        <v>17</v>
      </c>
      <c r="AL675" s="1" t="s">
        <v>86</v>
      </c>
      <c r="AM675" s="1" t="s">
        <v>87</v>
      </c>
      <c r="AN675" s="1" t="s">
        <v>88</v>
      </c>
      <c r="AO675" s="1" t="s">
        <v>1764</v>
      </c>
      <c r="AP675" s="1" t="s">
        <v>1765</v>
      </c>
      <c r="AQ675" s="1" t="s">
        <v>74</v>
      </c>
      <c r="AR675" s="1" t="s">
        <v>1766</v>
      </c>
      <c r="AS675" s="1" t="s">
        <v>1767</v>
      </c>
      <c r="AT675" s="1" t="s">
        <v>1223</v>
      </c>
      <c r="AU675" s="1">
        <v>1995</v>
      </c>
      <c r="AV675" s="1">
        <v>14</v>
      </c>
      <c r="AW675" s="1">
        <v>3</v>
      </c>
      <c r="AX675" s="1" t="s">
        <v>74</v>
      </c>
      <c r="AY675" s="1" t="s">
        <v>74</v>
      </c>
      <c r="AZ675" s="1" t="s">
        <v>74</v>
      </c>
      <c r="BA675" s="1" t="s">
        <v>74</v>
      </c>
      <c r="BB675" s="1">
        <v>513</v>
      </c>
      <c r="BC675" s="1">
        <v>521</v>
      </c>
      <c r="BD675" s="1" t="s">
        <v>74</v>
      </c>
      <c r="BE675" s="1" t="s">
        <v>11573</v>
      </c>
      <c r="BF675" s="1" t="str">
        <f>HYPERLINK("http://dx.doi.org/10.1002/etc.5620140321","http://dx.doi.org/10.1002/etc.5620140321")</f>
        <v>http://dx.doi.org/10.1002/etc.5620140321</v>
      </c>
      <c r="BG675" s="1" t="s">
        <v>74</v>
      </c>
      <c r="BH675" s="1" t="s">
        <v>74</v>
      </c>
      <c r="BI675" s="1">
        <v>9</v>
      </c>
      <c r="BJ675" s="1" t="s">
        <v>121</v>
      </c>
      <c r="BK675" s="1" t="s">
        <v>96</v>
      </c>
      <c r="BL675" s="1" t="s">
        <v>122</v>
      </c>
      <c r="BM675" s="1" t="s">
        <v>11574</v>
      </c>
      <c r="BN675" s="1" t="s">
        <v>74</v>
      </c>
      <c r="BO675" s="1" t="s">
        <v>74</v>
      </c>
      <c r="BP675" s="1" t="s">
        <v>74</v>
      </c>
      <c r="BQ675" s="1" t="s">
        <v>74</v>
      </c>
      <c r="BR675" s="1" t="s">
        <v>98</v>
      </c>
      <c r="BS675" s="1" t="s">
        <v>11575</v>
      </c>
      <c r="BT675" s="1" t="str">
        <f>HYPERLINK("https%3A%2F%2Fwww.webofscience.com%2Fwos%2Fwoscc%2Ffull-record%2FWOS:A1995QH19900021","View Full Record in Web of Science")</f>
        <v>View Full Record in Web of Science</v>
      </c>
    </row>
    <row r="676" spans="1:72">
      <c r="A676" s="1" t="s">
        <v>72</v>
      </c>
      <c r="B676" s="1" t="s">
        <v>11576</v>
      </c>
      <c r="C676" s="1" t="s">
        <v>74</v>
      </c>
      <c r="D676" s="1" t="s">
        <v>74</v>
      </c>
      <c r="E676" s="1" t="s">
        <v>74</v>
      </c>
      <c r="F676" s="1" t="s">
        <v>11577</v>
      </c>
      <c r="G676" s="1" t="s">
        <v>74</v>
      </c>
      <c r="H676" s="1" t="s">
        <v>74</v>
      </c>
      <c r="I676" s="1" t="s">
        <v>11578</v>
      </c>
      <c r="J676" s="1" t="s">
        <v>3349</v>
      </c>
      <c r="K676" s="1" t="s">
        <v>74</v>
      </c>
      <c r="L676" s="1" t="s">
        <v>74</v>
      </c>
      <c r="M676" s="1" t="s">
        <v>78</v>
      </c>
      <c r="N676" s="1" t="s">
        <v>79</v>
      </c>
      <c r="O676" s="1" t="s">
        <v>74</v>
      </c>
      <c r="P676" s="1" t="s">
        <v>74</v>
      </c>
      <c r="Q676" s="1" t="s">
        <v>74</v>
      </c>
      <c r="R676" s="1" t="s">
        <v>74</v>
      </c>
      <c r="S676" s="1" t="s">
        <v>74</v>
      </c>
      <c r="T676" s="1" t="s">
        <v>11579</v>
      </c>
      <c r="U676" s="1" t="s">
        <v>11580</v>
      </c>
      <c r="V676" s="1" t="s">
        <v>11581</v>
      </c>
      <c r="W676" s="1" t="s">
        <v>11582</v>
      </c>
      <c r="X676" s="1" t="s">
        <v>9538</v>
      </c>
      <c r="Y676" s="1" t="s">
        <v>11419</v>
      </c>
      <c r="Z676" s="1" t="s">
        <v>5420</v>
      </c>
      <c r="AA676" s="1" t="s">
        <v>3710</v>
      </c>
      <c r="AB676" s="1" t="s">
        <v>74</v>
      </c>
      <c r="AC676" s="1" t="s">
        <v>11583</v>
      </c>
      <c r="AD676" s="1" t="s">
        <v>11584</v>
      </c>
      <c r="AE676" s="1" t="s">
        <v>11585</v>
      </c>
      <c r="AF676" s="1" t="s">
        <v>74</v>
      </c>
      <c r="AG676" s="1">
        <v>49</v>
      </c>
      <c r="AH676" s="1">
        <v>7</v>
      </c>
      <c r="AI676" s="1">
        <v>8</v>
      </c>
      <c r="AJ676" s="1">
        <v>6</v>
      </c>
      <c r="AK676" s="1">
        <v>48</v>
      </c>
      <c r="AL676" s="1" t="s">
        <v>3362</v>
      </c>
      <c r="AM676" s="1" t="s">
        <v>3363</v>
      </c>
      <c r="AN676" s="1" t="s">
        <v>3364</v>
      </c>
      <c r="AO676" s="1" t="s">
        <v>3365</v>
      </c>
      <c r="AP676" s="1" t="s">
        <v>3366</v>
      </c>
      <c r="AQ676" s="1" t="s">
        <v>74</v>
      </c>
      <c r="AR676" s="1" t="s">
        <v>3367</v>
      </c>
      <c r="AS676" s="1" t="s">
        <v>3368</v>
      </c>
      <c r="AT676" s="1" t="s">
        <v>4612</v>
      </c>
      <c r="AU676" s="1">
        <v>2022</v>
      </c>
      <c r="AV676" s="1">
        <v>234</v>
      </c>
      <c r="AW676" s="1" t="s">
        <v>74</v>
      </c>
      <c r="AX676" s="1" t="s">
        <v>74</v>
      </c>
      <c r="AY676" s="1" t="s">
        <v>74</v>
      </c>
      <c r="AZ676" s="1" t="s">
        <v>74</v>
      </c>
      <c r="BA676" s="1" t="s">
        <v>74</v>
      </c>
      <c r="BB676" s="1" t="s">
        <v>74</v>
      </c>
      <c r="BC676" s="1" t="s">
        <v>74</v>
      </c>
      <c r="BD676" s="1">
        <v>113416</v>
      </c>
      <c r="BE676" s="1" t="s">
        <v>11586</v>
      </c>
      <c r="BF676" s="1" t="str">
        <f>HYPERLINK("http://dx.doi.org/10.1016/j.ecoenv.2022.113416","http://dx.doi.org/10.1016/j.ecoenv.2022.113416")</f>
        <v>http://dx.doi.org/10.1016/j.ecoenv.2022.113416</v>
      </c>
      <c r="BG676" s="1" t="s">
        <v>74</v>
      </c>
      <c r="BH676" s="1" t="s">
        <v>5038</v>
      </c>
      <c r="BI676" s="1">
        <v>8</v>
      </c>
      <c r="BJ676" s="1" t="s">
        <v>121</v>
      </c>
      <c r="BK676" s="1" t="s">
        <v>96</v>
      </c>
      <c r="BL676" s="1" t="s">
        <v>122</v>
      </c>
      <c r="BM676" s="1" t="s">
        <v>11587</v>
      </c>
      <c r="BN676" s="1">
        <v>35298968</v>
      </c>
      <c r="BO676" s="1" t="s">
        <v>873</v>
      </c>
      <c r="BP676" s="1" t="s">
        <v>74</v>
      </c>
      <c r="BQ676" s="1" t="s">
        <v>74</v>
      </c>
      <c r="BR676" s="1" t="s">
        <v>98</v>
      </c>
      <c r="BS676" s="1" t="s">
        <v>11588</v>
      </c>
      <c r="BT676" s="1" t="str">
        <f>HYPERLINK("https%3A%2F%2Fwww.webofscience.com%2Fwos%2Fwoscc%2Ffull-record%2FWOS:000781104700006","View Full Record in Web of Science")</f>
        <v>View Full Record in Web of Science</v>
      </c>
    </row>
    <row r="677" spans="1:72">
      <c r="A677" s="1" t="s">
        <v>72</v>
      </c>
      <c r="B677" s="1" t="s">
        <v>11589</v>
      </c>
      <c r="C677" s="1" t="s">
        <v>74</v>
      </c>
      <c r="D677" s="1" t="s">
        <v>74</v>
      </c>
      <c r="E677" s="1" t="s">
        <v>74</v>
      </c>
      <c r="F677" s="1" t="s">
        <v>11590</v>
      </c>
      <c r="G677" s="1" t="s">
        <v>74</v>
      </c>
      <c r="H677" s="1" t="s">
        <v>74</v>
      </c>
      <c r="I677" s="1" t="s">
        <v>11591</v>
      </c>
      <c r="J677" s="1" t="s">
        <v>421</v>
      </c>
      <c r="K677" s="1" t="s">
        <v>74</v>
      </c>
      <c r="L677" s="1" t="s">
        <v>74</v>
      </c>
      <c r="M677" s="1" t="s">
        <v>78</v>
      </c>
      <c r="N677" s="1" t="s">
        <v>79</v>
      </c>
      <c r="O677" s="1" t="s">
        <v>74</v>
      </c>
      <c r="P677" s="1" t="s">
        <v>74</v>
      </c>
      <c r="Q677" s="1" t="s">
        <v>74</v>
      </c>
      <c r="R677" s="1" t="s">
        <v>74</v>
      </c>
      <c r="S677" s="1" t="s">
        <v>74</v>
      </c>
      <c r="T677" s="1" t="s">
        <v>11592</v>
      </c>
      <c r="U677" s="1" t="s">
        <v>11593</v>
      </c>
      <c r="V677" s="1" t="s">
        <v>11594</v>
      </c>
      <c r="W677" s="1" t="s">
        <v>11595</v>
      </c>
      <c r="X677" s="1" t="s">
        <v>11596</v>
      </c>
      <c r="Y677" s="1" t="s">
        <v>11597</v>
      </c>
      <c r="Z677" s="1" t="s">
        <v>11598</v>
      </c>
      <c r="AA677" s="1" t="s">
        <v>11599</v>
      </c>
      <c r="AB677" s="1" t="s">
        <v>11600</v>
      </c>
      <c r="AC677" s="1" t="s">
        <v>11601</v>
      </c>
      <c r="AD677" s="1" t="s">
        <v>11602</v>
      </c>
      <c r="AE677" s="1" t="s">
        <v>11603</v>
      </c>
      <c r="AF677" s="1" t="s">
        <v>74</v>
      </c>
      <c r="AG677" s="1">
        <v>96</v>
      </c>
      <c r="AH677" s="1">
        <v>20</v>
      </c>
      <c r="AI677" s="1">
        <v>20</v>
      </c>
      <c r="AJ677" s="1">
        <v>12</v>
      </c>
      <c r="AK677" s="1">
        <v>74</v>
      </c>
      <c r="AL677" s="1" t="s">
        <v>430</v>
      </c>
      <c r="AM677" s="1" t="s">
        <v>137</v>
      </c>
      <c r="AN677" s="1" t="s">
        <v>431</v>
      </c>
      <c r="AO677" s="1" t="s">
        <v>432</v>
      </c>
      <c r="AP677" s="1" t="s">
        <v>1394</v>
      </c>
      <c r="AQ677" s="1" t="s">
        <v>74</v>
      </c>
      <c r="AR677" s="1" t="s">
        <v>433</v>
      </c>
      <c r="AS677" s="1" t="s">
        <v>434</v>
      </c>
      <c r="AT677" s="1" t="s">
        <v>3891</v>
      </c>
      <c r="AU677" s="1">
        <v>2022</v>
      </c>
      <c r="AV677" s="1">
        <v>293</v>
      </c>
      <c r="AW677" s="1" t="s">
        <v>74</v>
      </c>
      <c r="AX677" s="1" t="s">
        <v>74</v>
      </c>
      <c r="AY677" s="1" t="s">
        <v>74</v>
      </c>
      <c r="AZ677" s="1" t="s">
        <v>74</v>
      </c>
      <c r="BA677" s="1" t="s">
        <v>74</v>
      </c>
      <c r="BB677" s="1" t="s">
        <v>74</v>
      </c>
      <c r="BC677" s="1" t="s">
        <v>74</v>
      </c>
      <c r="BD677" s="1">
        <v>118525</v>
      </c>
      <c r="BE677" s="1" t="s">
        <v>11604</v>
      </c>
      <c r="BF677" s="1" t="str">
        <f>HYPERLINK("http://dx.doi.org/10.1016/j.envpol.2021.118525","http://dx.doi.org/10.1016/j.envpol.2021.118525")</f>
        <v>http://dx.doi.org/10.1016/j.envpol.2021.118525</v>
      </c>
      <c r="BG677" s="1" t="s">
        <v>74</v>
      </c>
      <c r="BH677" s="1" t="s">
        <v>10880</v>
      </c>
      <c r="BI677" s="1">
        <v>15</v>
      </c>
      <c r="BJ677" s="1" t="s">
        <v>144</v>
      </c>
      <c r="BK677" s="1" t="s">
        <v>96</v>
      </c>
      <c r="BL677" s="1" t="s">
        <v>145</v>
      </c>
      <c r="BM677" s="1" t="s">
        <v>11605</v>
      </c>
      <c r="BN677" s="1">
        <v>34798221</v>
      </c>
      <c r="BO677" s="1" t="s">
        <v>74</v>
      </c>
      <c r="BP677" s="1" t="s">
        <v>74</v>
      </c>
      <c r="BQ677" s="1" t="s">
        <v>74</v>
      </c>
      <c r="BR677" s="1" t="s">
        <v>98</v>
      </c>
      <c r="BS677" s="1" t="s">
        <v>11606</v>
      </c>
      <c r="BT677" s="1" t="str">
        <f>HYPERLINK("https%3A%2F%2Fwww.webofscience.com%2Fwos%2Fwoscc%2Ffull-record%2FWOS:000744240200009","View Full Record in Web of Science")</f>
        <v>View Full Record in Web of Science</v>
      </c>
    </row>
    <row r="678" spans="1:72">
      <c r="A678" s="1" t="s">
        <v>72</v>
      </c>
      <c r="B678" s="1" t="s">
        <v>11607</v>
      </c>
      <c r="C678" s="1" t="s">
        <v>74</v>
      </c>
      <c r="D678" s="1" t="s">
        <v>74</v>
      </c>
      <c r="E678" s="1" t="s">
        <v>74</v>
      </c>
      <c r="F678" s="1" t="s">
        <v>11608</v>
      </c>
      <c r="G678" s="1" t="s">
        <v>74</v>
      </c>
      <c r="H678" s="1" t="s">
        <v>74</v>
      </c>
      <c r="I678" s="1" t="s">
        <v>11609</v>
      </c>
      <c r="J678" s="1" t="s">
        <v>421</v>
      </c>
      <c r="K678" s="1" t="s">
        <v>74</v>
      </c>
      <c r="L678" s="1" t="s">
        <v>74</v>
      </c>
      <c r="M678" s="1" t="s">
        <v>78</v>
      </c>
      <c r="N678" s="1" t="s">
        <v>79</v>
      </c>
      <c r="O678" s="1" t="s">
        <v>74</v>
      </c>
      <c r="P678" s="1" t="s">
        <v>74</v>
      </c>
      <c r="Q678" s="1" t="s">
        <v>74</v>
      </c>
      <c r="R678" s="1" t="s">
        <v>74</v>
      </c>
      <c r="S678" s="1" t="s">
        <v>74</v>
      </c>
      <c r="T678" s="1" t="s">
        <v>11610</v>
      </c>
      <c r="U678" s="1" t="s">
        <v>11611</v>
      </c>
      <c r="V678" s="1" t="s">
        <v>11612</v>
      </c>
      <c r="W678" s="1" t="s">
        <v>11613</v>
      </c>
      <c r="X678" s="1" t="s">
        <v>11614</v>
      </c>
      <c r="Y678" s="1" t="s">
        <v>11615</v>
      </c>
      <c r="Z678" s="1" t="s">
        <v>11616</v>
      </c>
      <c r="AA678" s="1" t="s">
        <v>11617</v>
      </c>
      <c r="AB678" s="1" t="s">
        <v>11618</v>
      </c>
      <c r="AC678" s="1" t="s">
        <v>11619</v>
      </c>
      <c r="AD678" s="1" t="s">
        <v>11620</v>
      </c>
      <c r="AE678" s="1" t="s">
        <v>11621</v>
      </c>
      <c r="AF678" s="1" t="s">
        <v>74</v>
      </c>
      <c r="AG678" s="1">
        <v>50</v>
      </c>
      <c r="AH678" s="1">
        <v>17</v>
      </c>
      <c r="AI678" s="1">
        <v>21</v>
      </c>
      <c r="AJ678" s="1">
        <v>0</v>
      </c>
      <c r="AK678" s="1">
        <v>47</v>
      </c>
      <c r="AL678" s="1" t="s">
        <v>430</v>
      </c>
      <c r="AM678" s="1" t="s">
        <v>137</v>
      </c>
      <c r="AN678" s="1" t="s">
        <v>431</v>
      </c>
      <c r="AO678" s="1" t="s">
        <v>432</v>
      </c>
      <c r="AP678" s="1" t="s">
        <v>74</v>
      </c>
      <c r="AQ678" s="1" t="s">
        <v>74</v>
      </c>
      <c r="AR678" s="1" t="s">
        <v>433</v>
      </c>
      <c r="AS678" s="1" t="s">
        <v>434</v>
      </c>
      <c r="AT678" s="1" t="s">
        <v>142</v>
      </c>
      <c r="AU678" s="1">
        <v>2012</v>
      </c>
      <c r="AV678" s="1">
        <v>165</v>
      </c>
      <c r="AW678" s="1" t="s">
        <v>74</v>
      </c>
      <c r="AX678" s="1" t="s">
        <v>74</v>
      </c>
      <c r="AY678" s="1" t="s">
        <v>74</v>
      </c>
      <c r="AZ678" s="1" t="s">
        <v>74</v>
      </c>
      <c r="BA678" s="1" t="s">
        <v>74</v>
      </c>
      <c r="BB678" s="1">
        <v>133</v>
      </c>
      <c r="BC678" s="1">
        <v>139</v>
      </c>
      <c r="BD678" s="1" t="s">
        <v>74</v>
      </c>
      <c r="BE678" s="1" t="s">
        <v>11622</v>
      </c>
      <c r="BF678" s="1" t="str">
        <f>HYPERLINK("http://dx.doi.org/10.1016/j.envpol.2012.02.023","http://dx.doi.org/10.1016/j.envpol.2012.02.023")</f>
        <v>http://dx.doi.org/10.1016/j.envpol.2012.02.023</v>
      </c>
      <c r="BG678" s="1" t="s">
        <v>74</v>
      </c>
      <c r="BH678" s="1" t="s">
        <v>74</v>
      </c>
      <c r="BI678" s="1">
        <v>7</v>
      </c>
      <c r="BJ678" s="1" t="s">
        <v>144</v>
      </c>
      <c r="BK678" s="1" t="s">
        <v>96</v>
      </c>
      <c r="BL678" s="1" t="s">
        <v>145</v>
      </c>
      <c r="BM678" s="1" t="s">
        <v>11623</v>
      </c>
      <c r="BN678" s="1">
        <v>22445921</v>
      </c>
      <c r="BO678" s="1" t="s">
        <v>74</v>
      </c>
      <c r="BP678" s="1" t="s">
        <v>74</v>
      </c>
      <c r="BQ678" s="1" t="s">
        <v>74</v>
      </c>
      <c r="BR678" s="1" t="s">
        <v>98</v>
      </c>
      <c r="BS678" s="1" t="s">
        <v>11624</v>
      </c>
      <c r="BT678" s="1" t="str">
        <f>HYPERLINK("https%3A%2F%2Fwww.webofscience.com%2Fwos%2Fwoscc%2Ffull-record%2FWOS:000303629000014","View Full Record in Web of Science")</f>
        <v>View Full Record in Web of Science</v>
      </c>
    </row>
    <row r="679" spans="1:72">
      <c r="A679" s="1" t="s">
        <v>72</v>
      </c>
      <c r="B679" s="1" t="s">
        <v>11625</v>
      </c>
      <c r="C679" s="1" t="s">
        <v>74</v>
      </c>
      <c r="D679" s="1" t="s">
        <v>74</v>
      </c>
      <c r="E679" s="1" t="s">
        <v>74</v>
      </c>
      <c r="F679" s="1" t="s">
        <v>11626</v>
      </c>
      <c r="G679" s="1" t="s">
        <v>74</v>
      </c>
      <c r="H679" s="1" t="s">
        <v>74</v>
      </c>
      <c r="I679" s="1" t="s">
        <v>11627</v>
      </c>
      <c r="J679" s="1" t="s">
        <v>204</v>
      </c>
      <c r="K679" s="1" t="s">
        <v>74</v>
      </c>
      <c r="L679" s="1" t="s">
        <v>74</v>
      </c>
      <c r="M679" s="1" t="s">
        <v>78</v>
      </c>
      <c r="N679" s="1" t="s">
        <v>151</v>
      </c>
      <c r="O679" s="1" t="s">
        <v>10606</v>
      </c>
      <c r="P679" s="1" t="s">
        <v>10607</v>
      </c>
      <c r="Q679" s="1" t="s">
        <v>10608</v>
      </c>
      <c r="R679" s="1" t="s">
        <v>74</v>
      </c>
      <c r="S679" s="1" t="s">
        <v>10609</v>
      </c>
      <c r="T679" s="1" t="s">
        <v>11628</v>
      </c>
      <c r="U679" s="1" t="s">
        <v>11629</v>
      </c>
      <c r="V679" s="1" t="s">
        <v>11630</v>
      </c>
      <c r="W679" s="1" t="s">
        <v>11631</v>
      </c>
      <c r="X679" s="1" t="s">
        <v>11632</v>
      </c>
      <c r="Y679" s="1" t="s">
        <v>11633</v>
      </c>
      <c r="Z679" s="1" t="s">
        <v>11634</v>
      </c>
      <c r="AA679" s="1" t="s">
        <v>4408</v>
      </c>
      <c r="AB679" s="1" t="s">
        <v>11635</v>
      </c>
      <c r="AC679" s="1" t="s">
        <v>11636</v>
      </c>
      <c r="AD679" s="1" t="s">
        <v>11637</v>
      </c>
      <c r="AE679" s="1" t="s">
        <v>11638</v>
      </c>
      <c r="AF679" s="1" t="s">
        <v>74</v>
      </c>
      <c r="AG679" s="1">
        <v>78</v>
      </c>
      <c r="AH679" s="1">
        <v>10</v>
      </c>
      <c r="AI679" s="1">
        <v>10</v>
      </c>
      <c r="AJ679" s="1">
        <v>1</v>
      </c>
      <c r="AK679" s="1">
        <v>19</v>
      </c>
      <c r="AL679" s="1" t="s">
        <v>217</v>
      </c>
      <c r="AM679" s="1" t="s">
        <v>218</v>
      </c>
      <c r="AN679" s="1" t="s">
        <v>219</v>
      </c>
      <c r="AO679" s="1" t="s">
        <v>220</v>
      </c>
      <c r="AP679" s="1" t="s">
        <v>221</v>
      </c>
      <c r="AQ679" s="1" t="s">
        <v>74</v>
      </c>
      <c r="AR679" s="1" t="s">
        <v>222</v>
      </c>
      <c r="AS679" s="1" t="s">
        <v>223</v>
      </c>
      <c r="AT679" s="1" t="s">
        <v>224</v>
      </c>
      <c r="AU679" s="1">
        <v>2020</v>
      </c>
      <c r="AV679" s="1">
        <v>27</v>
      </c>
      <c r="AW679" s="1">
        <v>4</v>
      </c>
      <c r="AX679" s="1" t="s">
        <v>74</v>
      </c>
      <c r="AY679" s="1" t="s">
        <v>74</v>
      </c>
      <c r="AZ679" s="1" t="s">
        <v>74</v>
      </c>
      <c r="BA679" s="1" t="s">
        <v>74</v>
      </c>
      <c r="BB679" s="1">
        <v>3600</v>
      </c>
      <c r="BC679" s="1">
        <v>3611</v>
      </c>
      <c r="BD679" s="1" t="s">
        <v>74</v>
      </c>
      <c r="BE679" s="1" t="s">
        <v>11639</v>
      </c>
      <c r="BF679" s="1" t="str">
        <f>HYPERLINK("http://dx.doi.org/10.1007/s11356-018-3586-6","http://dx.doi.org/10.1007/s11356-018-3586-6")</f>
        <v>http://dx.doi.org/10.1007/s11356-018-3586-6</v>
      </c>
      <c r="BG679" s="1" t="s">
        <v>74</v>
      </c>
      <c r="BH679" s="1" t="s">
        <v>74</v>
      </c>
      <c r="BI679" s="1">
        <v>12</v>
      </c>
      <c r="BJ679" s="1" t="s">
        <v>144</v>
      </c>
      <c r="BK679" s="1" t="s">
        <v>172</v>
      </c>
      <c r="BL679" s="1" t="s">
        <v>145</v>
      </c>
      <c r="BM679" s="1" t="s">
        <v>10618</v>
      </c>
      <c r="BN679" s="1">
        <v>30368696</v>
      </c>
      <c r="BO679" s="1" t="s">
        <v>74</v>
      </c>
      <c r="BP679" s="1" t="s">
        <v>74</v>
      </c>
      <c r="BQ679" s="1" t="s">
        <v>74</v>
      </c>
      <c r="BR679" s="1" t="s">
        <v>98</v>
      </c>
      <c r="BS679" s="1" t="s">
        <v>11640</v>
      </c>
      <c r="BT679" s="1" t="str">
        <f>HYPERLINK("https%3A%2F%2Fwww.webofscience.com%2Fwos%2Fwoscc%2Ffull-record%2FWOS:000519703100007","View Full Record in Web of Science")</f>
        <v>View Full Record in Web of Science</v>
      </c>
    </row>
    <row r="680" spans="1:72">
      <c r="A680" s="1" t="s">
        <v>72</v>
      </c>
      <c r="B680" s="1" t="s">
        <v>11641</v>
      </c>
      <c r="C680" s="1" t="s">
        <v>74</v>
      </c>
      <c r="D680" s="1" t="s">
        <v>74</v>
      </c>
      <c r="E680" s="1" t="s">
        <v>74</v>
      </c>
      <c r="F680" s="1" t="s">
        <v>11642</v>
      </c>
      <c r="G680" s="1" t="s">
        <v>74</v>
      </c>
      <c r="H680" s="1" t="s">
        <v>74</v>
      </c>
      <c r="I680" s="1" t="s">
        <v>11643</v>
      </c>
      <c r="J680" s="1" t="s">
        <v>232</v>
      </c>
      <c r="K680" s="1" t="s">
        <v>74</v>
      </c>
      <c r="L680" s="1" t="s">
        <v>74</v>
      </c>
      <c r="M680" s="1" t="s">
        <v>78</v>
      </c>
      <c r="N680" s="1" t="s">
        <v>79</v>
      </c>
      <c r="O680" s="1" t="s">
        <v>74</v>
      </c>
      <c r="P680" s="1" t="s">
        <v>74</v>
      </c>
      <c r="Q680" s="1" t="s">
        <v>74</v>
      </c>
      <c r="R680" s="1" t="s">
        <v>74</v>
      </c>
      <c r="S680" s="1" t="s">
        <v>74</v>
      </c>
      <c r="T680" s="1" t="s">
        <v>11644</v>
      </c>
      <c r="U680" s="1" t="s">
        <v>11645</v>
      </c>
      <c r="V680" s="1" t="s">
        <v>11646</v>
      </c>
      <c r="W680" s="1" t="s">
        <v>11647</v>
      </c>
      <c r="X680" s="1" t="s">
        <v>9952</v>
      </c>
      <c r="Y680" s="1" t="s">
        <v>11648</v>
      </c>
      <c r="Z680" s="1" t="s">
        <v>11649</v>
      </c>
      <c r="AA680" s="1" t="s">
        <v>11650</v>
      </c>
      <c r="AB680" s="1" t="s">
        <v>11651</v>
      </c>
      <c r="AC680" s="1" t="s">
        <v>11652</v>
      </c>
      <c r="AD680" s="1" t="s">
        <v>525</v>
      </c>
      <c r="AE680" s="1" t="s">
        <v>11653</v>
      </c>
      <c r="AF680" s="1" t="s">
        <v>74</v>
      </c>
      <c r="AG680" s="1">
        <v>37</v>
      </c>
      <c r="AH680" s="1">
        <v>3</v>
      </c>
      <c r="AI680" s="1">
        <v>3</v>
      </c>
      <c r="AJ680" s="1">
        <v>0</v>
      </c>
      <c r="AK680" s="1">
        <v>13</v>
      </c>
      <c r="AL680" s="1" t="s">
        <v>136</v>
      </c>
      <c r="AM680" s="1" t="s">
        <v>137</v>
      </c>
      <c r="AN680" s="1" t="s">
        <v>138</v>
      </c>
      <c r="AO680" s="1" t="s">
        <v>240</v>
      </c>
      <c r="AP680" s="1" t="s">
        <v>241</v>
      </c>
      <c r="AQ680" s="1" t="s">
        <v>74</v>
      </c>
      <c r="AR680" s="1" t="s">
        <v>242</v>
      </c>
      <c r="AS680" s="1" t="s">
        <v>243</v>
      </c>
      <c r="AT680" s="1" t="s">
        <v>93</v>
      </c>
      <c r="AU680" s="1">
        <v>2019</v>
      </c>
      <c r="AV680" s="1">
        <v>141</v>
      </c>
      <c r="AW680" s="1" t="s">
        <v>74</v>
      </c>
      <c r="AX680" s="1" t="s">
        <v>74</v>
      </c>
      <c r="AY680" s="1" t="s">
        <v>74</v>
      </c>
      <c r="AZ680" s="1" t="s">
        <v>74</v>
      </c>
      <c r="BA680" s="1" t="s">
        <v>74</v>
      </c>
      <c r="BB680" s="1">
        <v>307</v>
      </c>
      <c r="BC680" s="1">
        <v>312</v>
      </c>
      <c r="BD680" s="1" t="s">
        <v>74</v>
      </c>
      <c r="BE680" s="1" t="s">
        <v>11654</v>
      </c>
      <c r="BF680" s="1" t="str">
        <f>HYPERLINK("http://dx.doi.org/10.1016/j.marpolbul.2019.02.042","http://dx.doi.org/10.1016/j.marpolbul.2019.02.042")</f>
        <v>http://dx.doi.org/10.1016/j.marpolbul.2019.02.042</v>
      </c>
      <c r="BG680" s="1" t="s">
        <v>74</v>
      </c>
      <c r="BH680" s="1" t="s">
        <v>74</v>
      </c>
      <c r="BI680" s="1">
        <v>6</v>
      </c>
      <c r="BJ680" s="1" t="s">
        <v>247</v>
      </c>
      <c r="BK680" s="1" t="s">
        <v>96</v>
      </c>
      <c r="BL680" s="1" t="s">
        <v>248</v>
      </c>
      <c r="BM680" s="1" t="s">
        <v>9985</v>
      </c>
      <c r="BN680" s="1">
        <v>30955738</v>
      </c>
      <c r="BO680" s="1" t="s">
        <v>74</v>
      </c>
      <c r="BP680" s="1" t="s">
        <v>74</v>
      </c>
      <c r="BQ680" s="1" t="s">
        <v>74</v>
      </c>
      <c r="BR680" s="1" t="s">
        <v>98</v>
      </c>
      <c r="BS680" s="1" t="s">
        <v>11655</v>
      </c>
      <c r="BT680" s="1" t="str">
        <f>HYPERLINK("https%3A%2F%2Fwww.webofscience.com%2Fwos%2Fwoscc%2Ffull-record%2FWOS:000465509700035","View Full Record in Web of Science")</f>
        <v>View Full Record in Web of Science</v>
      </c>
    </row>
    <row r="681" spans="1:72">
      <c r="A681" s="1" t="s">
        <v>72</v>
      </c>
      <c r="B681" s="1" t="s">
        <v>11656</v>
      </c>
      <c r="C681" s="1" t="s">
        <v>74</v>
      </c>
      <c r="D681" s="1" t="s">
        <v>74</v>
      </c>
      <c r="E681" s="1" t="s">
        <v>74</v>
      </c>
      <c r="F681" s="1" t="s">
        <v>11657</v>
      </c>
      <c r="G681" s="1" t="s">
        <v>74</v>
      </c>
      <c r="H681" s="1" t="s">
        <v>74</v>
      </c>
      <c r="I681" s="1" t="s">
        <v>11658</v>
      </c>
      <c r="J681" s="1" t="s">
        <v>554</v>
      </c>
      <c r="K681" s="1" t="s">
        <v>74</v>
      </c>
      <c r="L681" s="1" t="s">
        <v>74</v>
      </c>
      <c r="M681" s="1" t="s">
        <v>78</v>
      </c>
      <c r="N681" s="1" t="s">
        <v>79</v>
      </c>
      <c r="O681" s="1" t="s">
        <v>74</v>
      </c>
      <c r="P681" s="1" t="s">
        <v>74</v>
      </c>
      <c r="Q681" s="1" t="s">
        <v>74</v>
      </c>
      <c r="R681" s="1" t="s">
        <v>74</v>
      </c>
      <c r="S681" s="1" t="s">
        <v>74</v>
      </c>
      <c r="T681" s="1" t="s">
        <v>11659</v>
      </c>
      <c r="U681" s="1" t="s">
        <v>11660</v>
      </c>
      <c r="V681" s="1" t="s">
        <v>11661</v>
      </c>
      <c r="W681" s="1" t="s">
        <v>11662</v>
      </c>
      <c r="X681" s="1" t="s">
        <v>5972</v>
      </c>
      <c r="Y681" s="1" t="s">
        <v>11663</v>
      </c>
      <c r="Z681" s="1" t="s">
        <v>11664</v>
      </c>
      <c r="AA681" s="1" t="s">
        <v>11665</v>
      </c>
      <c r="AB681" s="1" t="s">
        <v>11666</v>
      </c>
      <c r="AC681" s="1" t="s">
        <v>5976</v>
      </c>
      <c r="AD681" s="1" t="s">
        <v>5977</v>
      </c>
      <c r="AE681" s="1" t="s">
        <v>5978</v>
      </c>
      <c r="AF681" s="1" t="s">
        <v>74</v>
      </c>
      <c r="AG681" s="1">
        <v>68</v>
      </c>
      <c r="AH681" s="1">
        <v>74</v>
      </c>
      <c r="AI681" s="1">
        <v>84</v>
      </c>
      <c r="AJ681" s="1">
        <v>3</v>
      </c>
      <c r="AK681" s="1">
        <v>44</v>
      </c>
      <c r="AL681" s="1" t="s">
        <v>564</v>
      </c>
      <c r="AM681" s="1" t="s">
        <v>113</v>
      </c>
      <c r="AN681" s="1" t="s">
        <v>807</v>
      </c>
      <c r="AO681" s="1" t="s">
        <v>566</v>
      </c>
      <c r="AP681" s="1" t="s">
        <v>567</v>
      </c>
      <c r="AQ681" s="1" t="s">
        <v>74</v>
      </c>
      <c r="AR681" s="1" t="s">
        <v>568</v>
      </c>
      <c r="AS681" s="1" t="s">
        <v>569</v>
      </c>
      <c r="AT681" s="1" t="s">
        <v>93</v>
      </c>
      <c r="AU681" s="1">
        <v>2010</v>
      </c>
      <c r="AV681" s="1">
        <v>151</v>
      </c>
      <c r="AW681" s="1">
        <v>3</v>
      </c>
      <c r="AX681" s="1" t="s">
        <v>74</v>
      </c>
      <c r="AY681" s="1" t="s">
        <v>74</v>
      </c>
      <c r="AZ681" s="1" t="s">
        <v>74</v>
      </c>
      <c r="BA681" s="1" t="s">
        <v>74</v>
      </c>
      <c r="BB681" s="1">
        <v>325</v>
      </c>
      <c r="BC681" s="1">
        <v>333</v>
      </c>
      <c r="BD681" s="1" t="s">
        <v>74</v>
      </c>
      <c r="BE681" s="1" t="s">
        <v>11667</v>
      </c>
      <c r="BF681" s="1" t="str">
        <f>HYPERLINK("http://dx.doi.org/10.1016/j.cbpc.2009.12.005","http://dx.doi.org/10.1016/j.cbpc.2009.12.005")</f>
        <v>http://dx.doi.org/10.1016/j.cbpc.2009.12.005</v>
      </c>
      <c r="BG681" s="1" t="s">
        <v>74</v>
      </c>
      <c r="BH681" s="1" t="s">
        <v>74</v>
      </c>
      <c r="BI681" s="1">
        <v>9</v>
      </c>
      <c r="BJ681" s="1" t="s">
        <v>571</v>
      </c>
      <c r="BK681" s="1" t="s">
        <v>96</v>
      </c>
      <c r="BL681" s="1" t="s">
        <v>571</v>
      </c>
      <c r="BM681" s="1" t="s">
        <v>11668</v>
      </c>
      <c r="BN681" s="1">
        <v>20044031</v>
      </c>
      <c r="BO681" s="1" t="s">
        <v>74</v>
      </c>
      <c r="BP681" s="1" t="s">
        <v>74</v>
      </c>
      <c r="BQ681" s="1" t="s">
        <v>74</v>
      </c>
      <c r="BR681" s="1" t="s">
        <v>98</v>
      </c>
      <c r="BS681" s="1" t="s">
        <v>11669</v>
      </c>
      <c r="BT681" s="1" t="str">
        <f>HYPERLINK("https%3A%2F%2Fwww.webofscience.com%2Fwos%2Fwoscc%2Ffull-record%2FWOS:000275627400009","View Full Record in Web of Science")</f>
        <v>View Full Record in Web of Science</v>
      </c>
    </row>
    <row r="682" spans="1:72">
      <c r="A682" s="1" t="s">
        <v>72</v>
      </c>
      <c r="B682" s="1" t="s">
        <v>11670</v>
      </c>
      <c r="C682" s="1" t="s">
        <v>74</v>
      </c>
      <c r="D682" s="1" t="s">
        <v>74</v>
      </c>
      <c r="E682" s="1" t="s">
        <v>74</v>
      </c>
      <c r="F682" s="1" t="s">
        <v>11670</v>
      </c>
      <c r="G682" s="1" t="s">
        <v>74</v>
      </c>
      <c r="H682" s="1" t="s">
        <v>74</v>
      </c>
      <c r="I682" s="1" t="s">
        <v>11671</v>
      </c>
      <c r="J682" s="1" t="s">
        <v>232</v>
      </c>
      <c r="K682" s="1" t="s">
        <v>74</v>
      </c>
      <c r="L682" s="1" t="s">
        <v>74</v>
      </c>
      <c r="M682" s="1" t="s">
        <v>78</v>
      </c>
      <c r="N682" s="1" t="s">
        <v>151</v>
      </c>
      <c r="O682" s="1" t="s">
        <v>11672</v>
      </c>
      <c r="P682" s="1" t="s">
        <v>11673</v>
      </c>
      <c r="Q682" s="1" t="s">
        <v>11674</v>
      </c>
      <c r="R682" s="1" t="s">
        <v>74</v>
      </c>
      <c r="S682" s="1" t="s">
        <v>74</v>
      </c>
      <c r="T682" s="1" t="s">
        <v>11675</v>
      </c>
      <c r="U682" s="1" t="s">
        <v>11676</v>
      </c>
      <c r="V682" s="1" t="s">
        <v>11677</v>
      </c>
      <c r="W682" s="1" t="s">
        <v>11678</v>
      </c>
      <c r="X682" s="1" t="s">
        <v>74</v>
      </c>
      <c r="Y682" s="1" t="s">
        <v>11679</v>
      </c>
      <c r="Z682" s="1" t="s">
        <v>11680</v>
      </c>
      <c r="AA682" s="1" t="s">
        <v>74</v>
      </c>
      <c r="AB682" s="1" t="s">
        <v>74</v>
      </c>
      <c r="AC682" s="1" t="s">
        <v>74</v>
      </c>
      <c r="AD682" s="1" t="s">
        <v>74</v>
      </c>
      <c r="AE682" s="1" t="s">
        <v>74</v>
      </c>
      <c r="AF682" s="1" t="s">
        <v>74</v>
      </c>
      <c r="AG682" s="1">
        <v>46</v>
      </c>
      <c r="AH682" s="1">
        <v>61</v>
      </c>
      <c r="AI682" s="1">
        <v>68</v>
      </c>
      <c r="AJ682" s="1">
        <v>1</v>
      </c>
      <c r="AK682" s="1">
        <v>25</v>
      </c>
      <c r="AL682" s="1" t="s">
        <v>136</v>
      </c>
      <c r="AM682" s="1" t="s">
        <v>137</v>
      </c>
      <c r="AN682" s="1" t="s">
        <v>138</v>
      </c>
      <c r="AO682" s="1" t="s">
        <v>240</v>
      </c>
      <c r="AP682" s="1" t="s">
        <v>241</v>
      </c>
      <c r="AQ682" s="1" t="s">
        <v>74</v>
      </c>
      <c r="AR682" s="1" t="s">
        <v>242</v>
      </c>
      <c r="AS682" s="1" t="s">
        <v>243</v>
      </c>
      <c r="AT682" s="1" t="s">
        <v>74</v>
      </c>
      <c r="AU682" s="1">
        <v>2005</v>
      </c>
      <c r="AV682" s="1">
        <v>51</v>
      </c>
      <c r="AW682" s="1" t="s">
        <v>11681</v>
      </c>
      <c r="AX682" s="1" t="s">
        <v>74</v>
      </c>
      <c r="AY682" s="1" t="s">
        <v>74</v>
      </c>
      <c r="AZ682" s="1" t="s">
        <v>74</v>
      </c>
      <c r="BA682" s="1" t="s">
        <v>74</v>
      </c>
      <c r="BB682" s="1">
        <v>857</v>
      </c>
      <c r="BC682" s="1">
        <v>875</v>
      </c>
      <c r="BD682" s="1" t="s">
        <v>74</v>
      </c>
      <c r="BE682" s="1" t="s">
        <v>11682</v>
      </c>
      <c r="BF682" s="1" t="str">
        <f>HYPERLINK("http://dx.doi.org/10.1016/j.marpolbul.2005.04.014","http://dx.doi.org/10.1016/j.marpolbul.2005.04.014")</f>
        <v>http://dx.doi.org/10.1016/j.marpolbul.2005.04.014</v>
      </c>
      <c r="BG682" s="1" t="s">
        <v>74</v>
      </c>
      <c r="BH682" s="1" t="s">
        <v>74</v>
      </c>
      <c r="BI682" s="1">
        <v>19</v>
      </c>
      <c r="BJ682" s="1" t="s">
        <v>247</v>
      </c>
      <c r="BK682" s="1" t="s">
        <v>172</v>
      </c>
      <c r="BL682" s="1" t="s">
        <v>248</v>
      </c>
      <c r="BM682" s="1" t="s">
        <v>11683</v>
      </c>
      <c r="BN682" s="1">
        <v>15907944</v>
      </c>
      <c r="BO682" s="1" t="s">
        <v>74</v>
      </c>
      <c r="BP682" s="1" t="s">
        <v>74</v>
      </c>
      <c r="BQ682" s="1" t="s">
        <v>74</v>
      </c>
      <c r="BR682" s="1" t="s">
        <v>98</v>
      </c>
      <c r="BS682" s="1" t="s">
        <v>11684</v>
      </c>
      <c r="BT682" s="1" t="str">
        <f>HYPERLINK("https%3A%2F%2Fwww.webofscience.com%2Fwos%2Fwoscc%2Ffull-record%2FWOS:000234079700030","View Full Record in Web of Science")</f>
        <v>View Full Record in Web of Science</v>
      </c>
    </row>
    <row r="683" spans="1:72">
      <c r="A683" s="1" t="s">
        <v>72</v>
      </c>
      <c r="B683" s="1" t="s">
        <v>11685</v>
      </c>
      <c r="C683" s="1" t="s">
        <v>74</v>
      </c>
      <c r="D683" s="1" t="s">
        <v>74</v>
      </c>
      <c r="E683" s="1" t="s">
        <v>74</v>
      </c>
      <c r="F683" s="1" t="s">
        <v>11686</v>
      </c>
      <c r="G683" s="1" t="s">
        <v>74</v>
      </c>
      <c r="H683" s="1" t="s">
        <v>74</v>
      </c>
      <c r="I683" s="1" t="s">
        <v>11687</v>
      </c>
      <c r="J683" s="1" t="s">
        <v>11688</v>
      </c>
      <c r="K683" s="1" t="s">
        <v>74</v>
      </c>
      <c r="L683" s="1" t="s">
        <v>74</v>
      </c>
      <c r="M683" s="1" t="s">
        <v>78</v>
      </c>
      <c r="N683" s="1" t="s">
        <v>79</v>
      </c>
      <c r="O683" s="1" t="s">
        <v>74</v>
      </c>
      <c r="P683" s="1" t="s">
        <v>74</v>
      </c>
      <c r="Q683" s="1" t="s">
        <v>74</v>
      </c>
      <c r="R683" s="1" t="s">
        <v>74</v>
      </c>
      <c r="S683" s="1" t="s">
        <v>74</v>
      </c>
      <c r="T683" s="1" t="s">
        <v>11689</v>
      </c>
      <c r="U683" s="1" t="s">
        <v>11690</v>
      </c>
      <c r="V683" s="1" t="s">
        <v>11691</v>
      </c>
      <c r="W683" s="1" t="s">
        <v>11692</v>
      </c>
      <c r="X683" s="1" t="s">
        <v>11693</v>
      </c>
      <c r="Y683" s="1" t="s">
        <v>11694</v>
      </c>
      <c r="Z683" s="1" t="s">
        <v>11695</v>
      </c>
      <c r="AA683" s="1" t="s">
        <v>11696</v>
      </c>
      <c r="AB683" s="1" t="s">
        <v>11697</v>
      </c>
      <c r="AC683" s="1" t="s">
        <v>11698</v>
      </c>
      <c r="AD683" s="1" t="s">
        <v>11699</v>
      </c>
      <c r="AE683" s="1" t="s">
        <v>11700</v>
      </c>
      <c r="AF683" s="1" t="s">
        <v>74</v>
      </c>
      <c r="AG683" s="1">
        <v>17</v>
      </c>
      <c r="AH683" s="1">
        <v>3</v>
      </c>
      <c r="AI683" s="1">
        <v>3</v>
      </c>
      <c r="AJ683" s="1">
        <v>0</v>
      </c>
      <c r="AK683" s="1">
        <v>16</v>
      </c>
      <c r="AL683" s="1" t="s">
        <v>4010</v>
      </c>
      <c r="AM683" s="1" t="s">
        <v>1167</v>
      </c>
      <c r="AN683" s="1" t="s">
        <v>1168</v>
      </c>
      <c r="AO683" s="1" t="s">
        <v>11701</v>
      </c>
      <c r="AP683" s="1" t="s">
        <v>74</v>
      </c>
      <c r="AQ683" s="1" t="s">
        <v>74</v>
      </c>
      <c r="AR683" s="1" t="s">
        <v>11688</v>
      </c>
      <c r="AS683" s="1" t="s">
        <v>11702</v>
      </c>
      <c r="AT683" s="1" t="s">
        <v>11703</v>
      </c>
      <c r="AU683" s="1">
        <v>2015</v>
      </c>
      <c r="AV683" s="1">
        <v>4</v>
      </c>
      <c r="AW683" s="1" t="s">
        <v>74</v>
      </c>
      <c r="AX683" s="1" t="s">
        <v>74</v>
      </c>
      <c r="AY683" s="1" t="s">
        <v>74</v>
      </c>
      <c r="AZ683" s="1" t="s">
        <v>74</v>
      </c>
      <c r="BA683" s="1" t="s">
        <v>74</v>
      </c>
      <c r="BB683" s="1" t="s">
        <v>74</v>
      </c>
      <c r="BC683" s="1" t="s">
        <v>74</v>
      </c>
      <c r="BD683" s="1">
        <v>344</v>
      </c>
      <c r="BE683" s="1" t="s">
        <v>11704</v>
      </c>
      <c r="BF683" s="1" t="str">
        <f>HYPERLINK("http://dx.doi.org/10.1186/s40064-015-1007-6","http://dx.doi.org/10.1186/s40064-015-1007-6")</f>
        <v>http://dx.doi.org/10.1186/s40064-015-1007-6</v>
      </c>
      <c r="BG683" s="1" t="s">
        <v>74</v>
      </c>
      <c r="BH683" s="1" t="s">
        <v>74</v>
      </c>
      <c r="BI683" s="1">
        <v>5</v>
      </c>
      <c r="BJ683" s="1" t="s">
        <v>3202</v>
      </c>
      <c r="BK683" s="1" t="s">
        <v>96</v>
      </c>
      <c r="BL683" s="1" t="s">
        <v>3203</v>
      </c>
      <c r="BM683" s="1" t="s">
        <v>11705</v>
      </c>
      <c r="BN683" s="1">
        <v>26207195</v>
      </c>
      <c r="BO683" s="1" t="s">
        <v>2155</v>
      </c>
      <c r="BP683" s="1" t="s">
        <v>74</v>
      </c>
      <c r="BQ683" s="1" t="s">
        <v>74</v>
      </c>
      <c r="BR683" s="1" t="s">
        <v>98</v>
      </c>
      <c r="BS683" s="1" t="s">
        <v>11706</v>
      </c>
      <c r="BT683" s="1" t="str">
        <f>HYPERLINK("https%3A%2F%2Fwww.webofscience.com%2Fwos%2Fwoscc%2Ffull-record%2FWOS:000359375000002","View Full Record in Web of Science")</f>
        <v>View Full Record in Web of Science</v>
      </c>
    </row>
    <row r="684" spans="1:72">
      <c r="A684" s="1" t="s">
        <v>72</v>
      </c>
      <c r="B684" s="1" t="s">
        <v>11707</v>
      </c>
      <c r="C684" s="1" t="s">
        <v>74</v>
      </c>
      <c r="D684" s="1" t="s">
        <v>74</v>
      </c>
      <c r="E684" s="1" t="s">
        <v>74</v>
      </c>
      <c r="F684" s="1" t="s">
        <v>11708</v>
      </c>
      <c r="G684" s="1" t="s">
        <v>74</v>
      </c>
      <c r="H684" s="1" t="s">
        <v>74</v>
      </c>
      <c r="I684" s="1" t="s">
        <v>11709</v>
      </c>
      <c r="J684" s="1" t="s">
        <v>909</v>
      </c>
      <c r="K684" s="1" t="s">
        <v>74</v>
      </c>
      <c r="L684" s="1" t="s">
        <v>74</v>
      </c>
      <c r="M684" s="1" t="s">
        <v>78</v>
      </c>
      <c r="N684" s="1" t="s">
        <v>79</v>
      </c>
      <c r="O684" s="1" t="s">
        <v>74</v>
      </c>
      <c r="P684" s="1" t="s">
        <v>74</v>
      </c>
      <c r="Q684" s="1" t="s">
        <v>74</v>
      </c>
      <c r="R684" s="1" t="s">
        <v>74</v>
      </c>
      <c r="S684" s="1" t="s">
        <v>74</v>
      </c>
      <c r="T684" s="1" t="s">
        <v>11710</v>
      </c>
      <c r="U684" s="1" t="s">
        <v>11711</v>
      </c>
      <c r="V684" s="1" t="s">
        <v>11712</v>
      </c>
      <c r="W684" s="1" t="s">
        <v>11713</v>
      </c>
      <c r="X684" s="1" t="s">
        <v>11714</v>
      </c>
      <c r="Y684" s="1" t="s">
        <v>11715</v>
      </c>
      <c r="Z684" s="1" t="s">
        <v>11716</v>
      </c>
      <c r="AA684" s="1" t="s">
        <v>11717</v>
      </c>
      <c r="AB684" s="1" t="s">
        <v>11718</v>
      </c>
      <c r="AC684" s="1" t="s">
        <v>11719</v>
      </c>
      <c r="AD684" s="1" t="s">
        <v>11720</v>
      </c>
      <c r="AE684" s="1" t="s">
        <v>11721</v>
      </c>
      <c r="AF684" s="1" t="s">
        <v>74</v>
      </c>
      <c r="AG684" s="1">
        <v>90</v>
      </c>
      <c r="AH684" s="1">
        <v>114</v>
      </c>
      <c r="AI684" s="1">
        <v>129</v>
      </c>
      <c r="AJ684" s="1">
        <v>5</v>
      </c>
      <c r="AK684" s="1">
        <v>288</v>
      </c>
      <c r="AL684" s="1" t="s">
        <v>650</v>
      </c>
      <c r="AM684" s="1" t="s">
        <v>651</v>
      </c>
      <c r="AN684" s="1" t="s">
        <v>652</v>
      </c>
      <c r="AO684" s="1" t="s">
        <v>921</v>
      </c>
      <c r="AP684" s="1" t="s">
        <v>922</v>
      </c>
      <c r="AQ684" s="1" t="s">
        <v>74</v>
      </c>
      <c r="AR684" s="1" t="s">
        <v>923</v>
      </c>
      <c r="AS684" s="1" t="s">
        <v>924</v>
      </c>
      <c r="AT684" s="1" t="s">
        <v>2303</v>
      </c>
      <c r="AU684" s="1">
        <v>2017</v>
      </c>
      <c r="AV684" s="1">
        <v>599</v>
      </c>
      <c r="AW684" s="1" t="s">
        <v>74</v>
      </c>
      <c r="AX684" s="1" t="s">
        <v>74</v>
      </c>
      <c r="AY684" s="1" t="s">
        <v>74</v>
      </c>
      <c r="AZ684" s="1" t="s">
        <v>74</v>
      </c>
      <c r="BA684" s="1" t="s">
        <v>74</v>
      </c>
      <c r="BB684" s="1">
        <v>721</v>
      </c>
      <c r="BC684" s="1">
        <v>731</v>
      </c>
      <c r="BD684" s="1" t="s">
        <v>74</v>
      </c>
      <c r="BE684" s="1" t="s">
        <v>11722</v>
      </c>
      <c r="BF684" s="1" t="str">
        <f>HYPERLINK("http://dx.doi.org/10.1016/j.scitotenv2017.04.232","http://dx.doi.org/10.1016/j.scitotenv2017.04.232")</f>
        <v>http://dx.doi.org/10.1016/j.scitotenv2017.04.232</v>
      </c>
      <c r="BG684" s="1" t="s">
        <v>74</v>
      </c>
      <c r="BH684" s="1" t="s">
        <v>74</v>
      </c>
      <c r="BI684" s="1">
        <v>11</v>
      </c>
      <c r="BJ684" s="1" t="s">
        <v>144</v>
      </c>
      <c r="BK684" s="1" t="s">
        <v>96</v>
      </c>
      <c r="BL684" s="1" t="s">
        <v>145</v>
      </c>
      <c r="BM684" s="1" t="s">
        <v>11723</v>
      </c>
      <c r="BN684" s="1">
        <v>28499221</v>
      </c>
      <c r="BO684" s="1" t="s">
        <v>74</v>
      </c>
      <c r="BP684" s="1" t="s">
        <v>74</v>
      </c>
      <c r="BQ684" s="1" t="s">
        <v>74</v>
      </c>
      <c r="BR684" s="1" t="s">
        <v>98</v>
      </c>
      <c r="BS684" s="1" t="s">
        <v>11724</v>
      </c>
      <c r="BT684" s="1" t="str">
        <f>HYPERLINK("https%3A%2F%2Fwww.webofscience.com%2Fwos%2Fwoscc%2Ffull-record%2FWOS:000405252000075","View Full Record in Web of Science")</f>
        <v>View Full Record in Web of Science</v>
      </c>
    </row>
    <row r="685" spans="1:72">
      <c r="A685" s="1" t="s">
        <v>72</v>
      </c>
      <c r="B685" s="1" t="s">
        <v>11725</v>
      </c>
      <c r="C685" s="1" t="s">
        <v>74</v>
      </c>
      <c r="D685" s="1" t="s">
        <v>74</v>
      </c>
      <c r="E685" s="1" t="s">
        <v>74</v>
      </c>
      <c r="F685" s="1" t="s">
        <v>11725</v>
      </c>
      <c r="G685" s="1" t="s">
        <v>74</v>
      </c>
      <c r="H685" s="1" t="s">
        <v>74</v>
      </c>
      <c r="I685" s="1" t="s">
        <v>11726</v>
      </c>
      <c r="J685" s="1" t="s">
        <v>998</v>
      </c>
      <c r="K685" s="1" t="s">
        <v>74</v>
      </c>
      <c r="L685" s="1" t="s">
        <v>74</v>
      </c>
      <c r="M685" s="1" t="s">
        <v>78</v>
      </c>
      <c r="N685" s="1" t="s">
        <v>79</v>
      </c>
      <c r="O685" s="1" t="s">
        <v>74</v>
      </c>
      <c r="P685" s="1" t="s">
        <v>74</v>
      </c>
      <c r="Q685" s="1" t="s">
        <v>74</v>
      </c>
      <c r="R685" s="1" t="s">
        <v>74</v>
      </c>
      <c r="S685" s="1" t="s">
        <v>74</v>
      </c>
      <c r="T685" s="1" t="s">
        <v>74</v>
      </c>
      <c r="U685" s="1" t="s">
        <v>11727</v>
      </c>
      <c r="V685" s="1" t="s">
        <v>11728</v>
      </c>
      <c r="W685" s="1" t="s">
        <v>74</v>
      </c>
      <c r="X685" s="1" t="s">
        <v>74</v>
      </c>
      <c r="Y685" s="1" t="s">
        <v>11729</v>
      </c>
      <c r="Z685" s="1" t="s">
        <v>74</v>
      </c>
      <c r="AA685" s="1" t="s">
        <v>11730</v>
      </c>
      <c r="AB685" s="1" t="s">
        <v>74</v>
      </c>
      <c r="AC685" s="1" t="s">
        <v>74</v>
      </c>
      <c r="AD685" s="1" t="s">
        <v>74</v>
      </c>
      <c r="AE685" s="1" t="s">
        <v>74</v>
      </c>
      <c r="AF685" s="1" t="s">
        <v>74</v>
      </c>
      <c r="AG685" s="1">
        <v>35</v>
      </c>
      <c r="AH685" s="1">
        <v>59</v>
      </c>
      <c r="AI685" s="1">
        <v>66</v>
      </c>
      <c r="AJ685" s="1">
        <v>0</v>
      </c>
      <c r="AK685" s="1">
        <v>19</v>
      </c>
      <c r="AL685" s="1" t="s">
        <v>112</v>
      </c>
      <c r="AM685" s="1" t="s">
        <v>113</v>
      </c>
      <c r="AN685" s="1" t="s">
        <v>469</v>
      </c>
      <c r="AO685" s="1" t="s">
        <v>1009</v>
      </c>
      <c r="AP685" s="1" t="s">
        <v>5996</v>
      </c>
      <c r="AQ685" s="1" t="s">
        <v>74</v>
      </c>
      <c r="AR685" s="1" t="s">
        <v>1010</v>
      </c>
      <c r="AS685" s="1" t="s">
        <v>1011</v>
      </c>
      <c r="AT685" s="1" t="s">
        <v>267</v>
      </c>
      <c r="AU685" s="1">
        <v>1992</v>
      </c>
      <c r="AV685" s="1">
        <v>23</v>
      </c>
      <c r="AW685" s="1">
        <v>3</v>
      </c>
      <c r="AX685" s="1" t="s">
        <v>74</v>
      </c>
      <c r="AY685" s="1" t="s">
        <v>74</v>
      </c>
      <c r="AZ685" s="1" t="s">
        <v>74</v>
      </c>
      <c r="BA685" s="1" t="s">
        <v>74</v>
      </c>
      <c r="BB685" s="1">
        <v>363</v>
      </c>
      <c r="BC685" s="1">
        <v>369</v>
      </c>
      <c r="BD685" s="1" t="s">
        <v>74</v>
      </c>
      <c r="BE685" s="1" t="s">
        <v>11731</v>
      </c>
      <c r="BF685" s="1" t="str">
        <f>HYPERLINK("http://dx.doi.org/10.1007/BF00216246","http://dx.doi.org/10.1007/BF00216246")</f>
        <v>http://dx.doi.org/10.1007/BF00216246</v>
      </c>
      <c r="BG685" s="1" t="s">
        <v>74</v>
      </c>
      <c r="BH685" s="1" t="s">
        <v>74</v>
      </c>
      <c r="BI685" s="1">
        <v>7</v>
      </c>
      <c r="BJ685" s="1" t="s">
        <v>121</v>
      </c>
      <c r="BK685" s="1" t="s">
        <v>96</v>
      </c>
      <c r="BL685" s="1" t="s">
        <v>122</v>
      </c>
      <c r="BM685" s="1" t="s">
        <v>11732</v>
      </c>
      <c r="BN685" s="1">
        <v>1456782</v>
      </c>
      <c r="BO685" s="1" t="s">
        <v>74</v>
      </c>
      <c r="BP685" s="1" t="s">
        <v>74</v>
      </c>
      <c r="BQ685" s="1" t="s">
        <v>74</v>
      </c>
      <c r="BR685" s="1" t="s">
        <v>98</v>
      </c>
      <c r="BS685" s="1" t="s">
        <v>11733</v>
      </c>
      <c r="BT685" s="1" t="str">
        <f>HYPERLINK("https%3A%2F%2Fwww.webofscience.com%2Fwos%2Fwoscc%2Ffull-record%2FWOS:A1992JM34000014","View Full Record in Web of Science")</f>
        <v>View Full Record in Web of Science</v>
      </c>
    </row>
    <row r="686" spans="1:72">
      <c r="A686" s="1" t="s">
        <v>72</v>
      </c>
      <c r="B686" s="1" t="s">
        <v>11734</v>
      </c>
      <c r="C686" s="1" t="s">
        <v>74</v>
      </c>
      <c r="D686" s="1" t="s">
        <v>74</v>
      </c>
      <c r="E686" s="1" t="s">
        <v>74</v>
      </c>
      <c r="F686" s="1" t="s">
        <v>11735</v>
      </c>
      <c r="G686" s="1" t="s">
        <v>74</v>
      </c>
      <c r="H686" s="1" t="s">
        <v>74</v>
      </c>
      <c r="I686" s="1" t="s">
        <v>11736</v>
      </c>
      <c r="J686" s="1" t="s">
        <v>204</v>
      </c>
      <c r="K686" s="1" t="s">
        <v>74</v>
      </c>
      <c r="L686" s="1" t="s">
        <v>74</v>
      </c>
      <c r="M686" s="1" t="s">
        <v>78</v>
      </c>
      <c r="N686" s="1" t="s">
        <v>79</v>
      </c>
      <c r="O686" s="1" t="s">
        <v>74</v>
      </c>
      <c r="P686" s="1" t="s">
        <v>74</v>
      </c>
      <c r="Q686" s="1" t="s">
        <v>74</v>
      </c>
      <c r="R686" s="1" t="s">
        <v>74</v>
      </c>
      <c r="S686" s="1" t="s">
        <v>74</v>
      </c>
      <c r="T686" s="1" t="s">
        <v>11737</v>
      </c>
      <c r="U686" s="1" t="s">
        <v>11738</v>
      </c>
      <c r="V686" s="1" t="s">
        <v>11739</v>
      </c>
      <c r="W686" s="1" t="s">
        <v>11740</v>
      </c>
      <c r="X686" s="1" t="s">
        <v>11741</v>
      </c>
      <c r="Y686" s="1" t="s">
        <v>11742</v>
      </c>
      <c r="Z686" s="1" t="s">
        <v>11743</v>
      </c>
      <c r="AA686" s="1" t="s">
        <v>11744</v>
      </c>
      <c r="AB686" s="1" t="s">
        <v>74</v>
      </c>
      <c r="AC686" s="1" t="s">
        <v>11745</v>
      </c>
      <c r="AD686" s="1" t="s">
        <v>11745</v>
      </c>
      <c r="AE686" s="1" t="s">
        <v>11746</v>
      </c>
      <c r="AF686" s="1" t="s">
        <v>74</v>
      </c>
      <c r="AG686" s="1">
        <v>103</v>
      </c>
      <c r="AH686" s="1">
        <v>8</v>
      </c>
      <c r="AI686" s="1">
        <v>9</v>
      </c>
      <c r="AJ686" s="1">
        <v>1</v>
      </c>
      <c r="AK686" s="1">
        <v>15</v>
      </c>
      <c r="AL686" s="1" t="s">
        <v>217</v>
      </c>
      <c r="AM686" s="1" t="s">
        <v>218</v>
      </c>
      <c r="AN686" s="1" t="s">
        <v>219</v>
      </c>
      <c r="AO686" s="1" t="s">
        <v>220</v>
      </c>
      <c r="AP686" s="1" t="s">
        <v>221</v>
      </c>
      <c r="AQ686" s="1" t="s">
        <v>74</v>
      </c>
      <c r="AR686" s="1" t="s">
        <v>222</v>
      </c>
      <c r="AS686" s="1" t="s">
        <v>223</v>
      </c>
      <c r="AT686" s="1" t="s">
        <v>170</v>
      </c>
      <c r="AU686" s="1">
        <v>2022</v>
      </c>
      <c r="AV686" s="1">
        <v>29</v>
      </c>
      <c r="AW686" s="1">
        <v>25</v>
      </c>
      <c r="AX686" s="1" t="s">
        <v>74</v>
      </c>
      <c r="AY686" s="1" t="s">
        <v>74</v>
      </c>
      <c r="AZ686" s="1" t="s">
        <v>74</v>
      </c>
      <c r="BA686" s="1" t="s">
        <v>74</v>
      </c>
      <c r="BB686" s="1">
        <v>38567</v>
      </c>
      <c r="BC686" s="1">
        <v>38590</v>
      </c>
      <c r="BD686" s="1" t="s">
        <v>74</v>
      </c>
      <c r="BE686" s="1" t="s">
        <v>11747</v>
      </c>
      <c r="BF686" s="1" t="str">
        <f>HYPERLINK("http://dx.doi.org/10.1007/s11356-021-18394-2","http://dx.doi.org/10.1007/s11356-021-18394-2")</f>
        <v>http://dx.doi.org/10.1007/s11356-021-18394-2</v>
      </c>
      <c r="BG686" s="1" t="s">
        <v>74</v>
      </c>
      <c r="BH686" s="1" t="s">
        <v>227</v>
      </c>
      <c r="BI686" s="1">
        <v>24</v>
      </c>
      <c r="BJ686" s="1" t="s">
        <v>144</v>
      </c>
      <c r="BK686" s="1" t="s">
        <v>96</v>
      </c>
      <c r="BL686" s="1" t="s">
        <v>145</v>
      </c>
      <c r="BM686" s="1" t="s">
        <v>11748</v>
      </c>
      <c r="BN686" s="1">
        <v>35080727</v>
      </c>
      <c r="BO686" s="1" t="s">
        <v>74</v>
      </c>
      <c r="BP686" s="1" t="s">
        <v>74</v>
      </c>
      <c r="BQ686" s="1" t="s">
        <v>74</v>
      </c>
      <c r="BR686" s="1" t="s">
        <v>98</v>
      </c>
      <c r="BS686" s="1" t="s">
        <v>11749</v>
      </c>
      <c r="BT686" s="1" t="str">
        <f>HYPERLINK("https%3A%2F%2Fwww.webofscience.com%2Fwos%2Fwoscc%2Ffull-record%2FWOS:000749091700006","View Full Record in Web of Science")</f>
        <v>View Full Record in Web of Science</v>
      </c>
    </row>
    <row r="687" spans="1:72">
      <c r="A687" s="1" t="s">
        <v>72</v>
      </c>
      <c r="B687" s="1" t="s">
        <v>11750</v>
      </c>
      <c r="C687" s="1" t="s">
        <v>74</v>
      </c>
      <c r="D687" s="1" t="s">
        <v>74</v>
      </c>
      <c r="E687" s="1" t="s">
        <v>74</v>
      </c>
      <c r="F687" s="1" t="s">
        <v>11750</v>
      </c>
      <c r="G687" s="1" t="s">
        <v>74</v>
      </c>
      <c r="H687" s="1" t="s">
        <v>74</v>
      </c>
      <c r="I687" s="1" t="s">
        <v>11751</v>
      </c>
      <c r="J687" s="1" t="s">
        <v>103</v>
      </c>
      <c r="K687" s="1" t="s">
        <v>74</v>
      </c>
      <c r="L687" s="1" t="s">
        <v>74</v>
      </c>
      <c r="M687" s="1" t="s">
        <v>78</v>
      </c>
      <c r="N687" s="1" t="s">
        <v>79</v>
      </c>
      <c r="O687" s="1" t="s">
        <v>74</v>
      </c>
      <c r="P687" s="1" t="s">
        <v>74</v>
      </c>
      <c r="Q687" s="1" t="s">
        <v>74</v>
      </c>
      <c r="R687" s="1" t="s">
        <v>74</v>
      </c>
      <c r="S687" s="1" t="s">
        <v>74</v>
      </c>
      <c r="T687" s="1" t="s">
        <v>74</v>
      </c>
      <c r="U687" s="1" t="s">
        <v>11752</v>
      </c>
      <c r="V687" s="1" t="s">
        <v>11753</v>
      </c>
      <c r="W687" s="1" t="s">
        <v>11754</v>
      </c>
      <c r="X687" s="1" t="s">
        <v>257</v>
      </c>
      <c r="Y687" s="1" t="s">
        <v>74</v>
      </c>
      <c r="Z687" s="1" t="s">
        <v>74</v>
      </c>
      <c r="AA687" s="1" t="s">
        <v>259</v>
      </c>
      <c r="AB687" s="1" t="s">
        <v>260</v>
      </c>
      <c r="AC687" s="1" t="s">
        <v>74</v>
      </c>
      <c r="AD687" s="1" t="s">
        <v>74</v>
      </c>
      <c r="AE687" s="1" t="s">
        <v>74</v>
      </c>
      <c r="AF687" s="1" t="s">
        <v>74</v>
      </c>
      <c r="AG687" s="1">
        <v>21</v>
      </c>
      <c r="AH687" s="1">
        <v>47</v>
      </c>
      <c r="AI687" s="1">
        <v>54</v>
      </c>
      <c r="AJ687" s="1">
        <v>0</v>
      </c>
      <c r="AK687" s="1">
        <v>27</v>
      </c>
      <c r="AL687" s="1" t="s">
        <v>112</v>
      </c>
      <c r="AM687" s="1" t="s">
        <v>113</v>
      </c>
      <c r="AN687" s="1" t="s">
        <v>469</v>
      </c>
      <c r="AO687" s="1" t="s">
        <v>115</v>
      </c>
      <c r="AP687" s="1" t="s">
        <v>116</v>
      </c>
      <c r="AQ687" s="1" t="s">
        <v>74</v>
      </c>
      <c r="AR687" s="1" t="s">
        <v>117</v>
      </c>
      <c r="AS687" s="1" t="s">
        <v>118</v>
      </c>
      <c r="AT687" s="1" t="s">
        <v>267</v>
      </c>
      <c r="AU687" s="1">
        <v>1996</v>
      </c>
      <c r="AV687" s="1">
        <v>57</v>
      </c>
      <c r="AW687" s="1">
        <v>4</v>
      </c>
      <c r="AX687" s="1" t="s">
        <v>74</v>
      </c>
      <c r="AY687" s="1" t="s">
        <v>74</v>
      </c>
      <c r="AZ687" s="1" t="s">
        <v>74</v>
      </c>
      <c r="BA687" s="1" t="s">
        <v>74</v>
      </c>
      <c r="BB687" s="1">
        <v>589</v>
      </c>
      <c r="BC687" s="1">
        <v>596</v>
      </c>
      <c r="BD687" s="1" t="s">
        <v>74</v>
      </c>
      <c r="BE687" s="1" t="s">
        <v>11755</v>
      </c>
      <c r="BF687" s="1" t="str">
        <f>HYPERLINK("http://dx.doi.org/10.1007/s001289900231","http://dx.doi.org/10.1007/s001289900231")</f>
        <v>http://dx.doi.org/10.1007/s001289900231</v>
      </c>
      <c r="BG687" s="1" t="s">
        <v>74</v>
      </c>
      <c r="BH687" s="1" t="s">
        <v>74</v>
      </c>
      <c r="BI687" s="1">
        <v>8</v>
      </c>
      <c r="BJ687" s="1" t="s">
        <v>121</v>
      </c>
      <c r="BK687" s="1" t="s">
        <v>96</v>
      </c>
      <c r="BL687" s="1" t="s">
        <v>122</v>
      </c>
      <c r="BM687" s="1" t="s">
        <v>11756</v>
      </c>
      <c r="BN687" s="1">
        <v>8694877</v>
      </c>
      <c r="BO687" s="1" t="s">
        <v>74</v>
      </c>
      <c r="BP687" s="1" t="s">
        <v>74</v>
      </c>
      <c r="BQ687" s="1" t="s">
        <v>74</v>
      </c>
      <c r="BR687" s="1" t="s">
        <v>98</v>
      </c>
      <c r="BS687" s="1" t="s">
        <v>11757</v>
      </c>
      <c r="BT687" s="1" t="str">
        <f>HYPERLINK("https%3A%2F%2Fwww.webofscience.com%2Fwos%2Fwoscc%2Ffull-record%2FWOS:A1996VC89800013","View Full Record in Web of Science")</f>
        <v>View Full Record in Web of Science</v>
      </c>
    </row>
    <row r="688" spans="1:72">
      <c r="A688" s="1" t="s">
        <v>72</v>
      </c>
      <c r="B688" s="1" t="s">
        <v>11758</v>
      </c>
      <c r="C688" s="1" t="s">
        <v>74</v>
      </c>
      <c r="D688" s="1" t="s">
        <v>74</v>
      </c>
      <c r="E688" s="1" t="s">
        <v>74</v>
      </c>
      <c r="F688" s="1" t="s">
        <v>11759</v>
      </c>
      <c r="G688" s="1" t="s">
        <v>74</v>
      </c>
      <c r="H688" s="1" t="s">
        <v>74</v>
      </c>
      <c r="I688" s="1" t="s">
        <v>11760</v>
      </c>
      <c r="J688" s="1" t="s">
        <v>232</v>
      </c>
      <c r="K688" s="1" t="s">
        <v>74</v>
      </c>
      <c r="L688" s="1" t="s">
        <v>74</v>
      </c>
      <c r="M688" s="1" t="s">
        <v>78</v>
      </c>
      <c r="N688" s="1" t="s">
        <v>79</v>
      </c>
      <c r="O688" s="1" t="s">
        <v>74</v>
      </c>
      <c r="P688" s="1" t="s">
        <v>74</v>
      </c>
      <c r="Q688" s="1" t="s">
        <v>74</v>
      </c>
      <c r="R688" s="1" t="s">
        <v>74</v>
      </c>
      <c r="S688" s="1" t="s">
        <v>74</v>
      </c>
      <c r="T688" s="1" t="s">
        <v>11761</v>
      </c>
      <c r="U688" s="1" t="s">
        <v>11762</v>
      </c>
      <c r="V688" s="1" t="s">
        <v>11763</v>
      </c>
      <c r="W688" s="1" t="s">
        <v>11764</v>
      </c>
      <c r="X688" s="1" t="s">
        <v>11765</v>
      </c>
      <c r="Y688" s="1" t="s">
        <v>11766</v>
      </c>
      <c r="Z688" s="1" t="s">
        <v>11767</v>
      </c>
      <c r="AA688" s="1" t="s">
        <v>11768</v>
      </c>
      <c r="AB688" s="1" t="s">
        <v>11769</v>
      </c>
      <c r="AC688" s="1" t="s">
        <v>11770</v>
      </c>
      <c r="AD688" s="1" t="s">
        <v>11771</v>
      </c>
      <c r="AE688" s="1" t="s">
        <v>11772</v>
      </c>
      <c r="AF688" s="1" t="s">
        <v>74</v>
      </c>
      <c r="AG688" s="1">
        <v>48</v>
      </c>
      <c r="AH688" s="1">
        <v>20</v>
      </c>
      <c r="AI688" s="1">
        <v>23</v>
      </c>
      <c r="AJ688" s="1">
        <v>4</v>
      </c>
      <c r="AK688" s="1">
        <v>65</v>
      </c>
      <c r="AL688" s="1" t="s">
        <v>136</v>
      </c>
      <c r="AM688" s="1" t="s">
        <v>137</v>
      </c>
      <c r="AN688" s="1" t="s">
        <v>138</v>
      </c>
      <c r="AO688" s="1" t="s">
        <v>240</v>
      </c>
      <c r="AP688" s="1" t="s">
        <v>241</v>
      </c>
      <c r="AQ688" s="1" t="s">
        <v>74</v>
      </c>
      <c r="AR688" s="1" t="s">
        <v>242</v>
      </c>
      <c r="AS688" s="1" t="s">
        <v>243</v>
      </c>
      <c r="AT688" s="1" t="s">
        <v>546</v>
      </c>
      <c r="AU688" s="1">
        <v>2016</v>
      </c>
      <c r="AV688" s="1">
        <v>112</v>
      </c>
      <c r="AW688" s="1" t="s">
        <v>326</v>
      </c>
      <c r="AX688" s="1" t="s">
        <v>74</v>
      </c>
      <c r="AY688" s="1" t="s">
        <v>74</v>
      </c>
      <c r="AZ688" s="1" t="s">
        <v>74</v>
      </c>
      <c r="BA688" s="1" t="s">
        <v>74</v>
      </c>
      <c r="BB688" s="1">
        <v>53</v>
      </c>
      <c r="BC688" s="1">
        <v>57</v>
      </c>
      <c r="BD688" s="1" t="s">
        <v>74</v>
      </c>
      <c r="BE688" s="1" t="s">
        <v>11773</v>
      </c>
      <c r="BF688" s="1" t="str">
        <f>HYPERLINK("http://dx.doi.org/10.1016/j.marpolbul.2016.08.043","http://dx.doi.org/10.1016/j.marpolbul.2016.08.043")</f>
        <v>http://dx.doi.org/10.1016/j.marpolbul.2016.08.043</v>
      </c>
      <c r="BG688" s="1" t="s">
        <v>74</v>
      </c>
      <c r="BH688" s="1" t="s">
        <v>74</v>
      </c>
      <c r="BI688" s="1">
        <v>5</v>
      </c>
      <c r="BJ688" s="1" t="s">
        <v>247</v>
      </c>
      <c r="BK688" s="1" t="s">
        <v>96</v>
      </c>
      <c r="BL688" s="1" t="s">
        <v>248</v>
      </c>
      <c r="BM688" s="1" t="s">
        <v>11774</v>
      </c>
      <c r="BN688" s="1">
        <v>27568324</v>
      </c>
      <c r="BO688" s="1" t="s">
        <v>74</v>
      </c>
      <c r="BP688" s="1" t="s">
        <v>74</v>
      </c>
      <c r="BQ688" s="1" t="s">
        <v>74</v>
      </c>
      <c r="BR688" s="1" t="s">
        <v>98</v>
      </c>
      <c r="BS688" s="1" t="s">
        <v>11775</v>
      </c>
      <c r="BT688" s="1" t="str">
        <f>HYPERLINK("https%3A%2F%2Fwww.webofscience.com%2Fwos%2Fwoscc%2Ffull-record%2FWOS:000386188900016","View Full Record in Web of Science")</f>
        <v>View Full Record in Web of Science</v>
      </c>
    </row>
    <row r="689" spans="1:72">
      <c r="A689" s="1" t="s">
        <v>72</v>
      </c>
      <c r="B689" s="1" t="s">
        <v>11776</v>
      </c>
      <c r="C689" s="1" t="s">
        <v>74</v>
      </c>
      <c r="D689" s="1" t="s">
        <v>74</v>
      </c>
      <c r="E689" s="1" t="s">
        <v>74</v>
      </c>
      <c r="F689" s="1" t="s">
        <v>11777</v>
      </c>
      <c r="G689" s="1" t="s">
        <v>74</v>
      </c>
      <c r="H689" s="1" t="s">
        <v>74</v>
      </c>
      <c r="I689" s="1" t="s">
        <v>11778</v>
      </c>
      <c r="J689" s="1" t="s">
        <v>127</v>
      </c>
      <c r="K689" s="1" t="s">
        <v>74</v>
      </c>
      <c r="L689" s="1" t="s">
        <v>74</v>
      </c>
      <c r="M689" s="1" t="s">
        <v>78</v>
      </c>
      <c r="N689" s="1" t="s">
        <v>79</v>
      </c>
      <c r="O689" s="1" t="s">
        <v>74</v>
      </c>
      <c r="P689" s="1" t="s">
        <v>74</v>
      </c>
      <c r="Q689" s="1" t="s">
        <v>74</v>
      </c>
      <c r="R689" s="1" t="s">
        <v>74</v>
      </c>
      <c r="S689" s="1" t="s">
        <v>74</v>
      </c>
      <c r="T689" s="1" t="s">
        <v>11779</v>
      </c>
      <c r="U689" s="1" t="s">
        <v>11780</v>
      </c>
      <c r="V689" s="1" t="s">
        <v>11781</v>
      </c>
      <c r="W689" s="1" t="s">
        <v>11782</v>
      </c>
      <c r="X689" s="1" t="s">
        <v>4148</v>
      </c>
      <c r="Y689" s="1" t="s">
        <v>11783</v>
      </c>
      <c r="Z689" s="1" t="s">
        <v>11784</v>
      </c>
      <c r="AA689" s="1" t="s">
        <v>11785</v>
      </c>
      <c r="AB689" s="1" t="s">
        <v>11786</v>
      </c>
      <c r="AC689" s="1" t="s">
        <v>74</v>
      </c>
      <c r="AD689" s="1" t="s">
        <v>74</v>
      </c>
      <c r="AE689" s="1" t="s">
        <v>74</v>
      </c>
      <c r="AF689" s="1" t="s">
        <v>74</v>
      </c>
      <c r="AG689" s="1">
        <v>25</v>
      </c>
      <c r="AH689" s="1">
        <v>54</v>
      </c>
      <c r="AI689" s="1">
        <v>59</v>
      </c>
      <c r="AJ689" s="1">
        <v>1</v>
      </c>
      <c r="AK689" s="1">
        <v>14</v>
      </c>
      <c r="AL689" s="1" t="s">
        <v>136</v>
      </c>
      <c r="AM689" s="1" t="s">
        <v>137</v>
      </c>
      <c r="AN689" s="1" t="s">
        <v>138</v>
      </c>
      <c r="AO689" s="1" t="s">
        <v>139</v>
      </c>
      <c r="AP689" s="1" t="s">
        <v>140</v>
      </c>
      <c r="AQ689" s="1" t="s">
        <v>74</v>
      </c>
      <c r="AR689" s="1" t="s">
        <v>127</v>
      </c>
      <c r="AS689" s="1" t="s">
        <v>141</v>
      </c>
      <c r="AT689" s="1" t="s">
        <v>119</v>
      </c>
      <c r="AU689" s="1">
        <v>2006</v>
      </c>
      <c r="AV689" s="1">
        <v>64</v>
      </c>
      <c r="AW689" s="1">
        <v>8</v>
      </c>
      <c r="AX689" s="1" t="s">
        <v>74</v>
      </c>
      <c r="AY689" s="1" t="s">
        <v>74</v>
      </c>
      <c r="AZ689" s="1" t="s">
        <v>74</v>
      </c>
      <c r="BA689" s="1" t="s">
        <v>74</v>
      </c>
      <c r="BB689" s="1">
        <v>1334</v>
      </c>
      <c r="BC689" s="1">
        <v>1345</v>
      </c>
      <c r="BD689" s="1" t="s">
        <v>74</v>
      </c>
      <c r="BE689" s="1" t="s">
        <v>11787</v>
      </c>
      <c r="BF689" s="1" t="str">
        <f>HYPERLINK("http://dx.doi.org/10.1016/j.chemosphere.2005.12.033","http://dx.doi.org/10.1016/j.chemosphere.2005.12.033")</f>
        <v>http://dx.doi.org/10.1016/j.chemosphere.2005.12.033</v>
      </c>
      <c r="BG689" s="1" t="s">
        <v>74</v>
      </c>
      <c r="BH689" s="1" t="s">
        <v>74</v>
      </c>
      <c r="BI689" s="1">
        <v>12</v>
      </c>
      <c r="BJ689" s="1" t="s">
        <v>144</v>
      </c>
      <c r="BK689" s="1" t="s">
        <v>96</v>
      </c>
      <c r="BL689" s="1" t="s">
        <v>145</v>
      </c>
      <c r="BM689" s="1" t="s">
        <v>11788</v>
      </c>
      <c r="BN689" s="1">
        <v>16469357</v>
      </c>
      <c r="BO689" s="1" t="s">
        <v>74</v>
      </c>
      <c r="BP689" s="1" t="s">
        <v>74</v>
      </c>
      <c r="BQ689" s="1" t="s">
        <v>74</v>
      </c>
      <c r="BR689" s="1" t="s">
        <v>98</v>
      </c>
      <c r="BS689" s="1" t="s">
        <v>11789</v>
      </c>
      <c r="BT689" s="1" t="str">
        <f>HYPERLINK("https%3A%2F%2Fwww.webofscience.com%2Fwos%2Fwoscc%2Ffull-record%2FWOS:000240581000010","View Full Record in Web of Science")</f>
        <v>View Full Record in Web of Science</v>
      </c>
    </row>
    <row r="690" spans="1:72">
      <c r="A690" s="1" t="s">
        <v>72</v>
      </c>
      <c r="B690" s="1" t="s">
        <v>11790</v>
      </c>
      <c r="C690" s="1" t="s">
        <v>74</v>
      </c>
      <c r="D690" s="1" t="s">
        <v>74</v>
      </c>
      <c r="E690" s="1" t="s">
        <v>74</v>
      </c>
      <c r="F690" s="1" t="s">
        <v>11791</v>
      </c>
      <c r="G690" s="1" t="s">
        <v>74</v>
      </c>
      <c r="H690" s="1" t="s">
        <v>74</v>
      </c>
      <c r="I690" s="1" t="s">
        <v>11792</v>
      </c>
      <c r="J690" s="1" t="s">
        <v>127</v>
      </c>
      <c r="K690" s="1" t="s">
        <v>74</v>
      </c>
      <c r="L690" s="1" t="s">
        <v>74</v>
      </c>
      <c r="M690" s="1" t="s">
        <v>78</v>
      </c>
      <c r="N690" s="1" t="s">
        <v>79</v>
      </c>
      <c r="O690" s="1" t="s">
        <v>74</v>
      </c>
      <c r="P690" s="1" t="s">
        <v>74</v>
      </c>
      <c r="Q690" s="1" t="s">
        <v>74</v>
      </c>
      <c r="R690" s="1" t="s">
        <v>74</v>
      </c>
      <c r="S690" s="1" t="s">
        <v>74</v>
      </c>
      <c r="T690" s="1" t="s">
        <v>11793</v>
      </c>
      <c r="U690" s="1" t="s">
        <v>11794</v>
      </c>
      <c r="V690" s="1" t="s">
        <v>11795</v>
      </c>
      <c r="W690" s="1" t="s">
        <v>11796</v>
      </c>
      <c r="X690" s="1" t="s">
        <v>11797</v>
      </c>
      <c r="Y690" s="1" t="s">
        <v>11798</v>
      </c>
      <c r="Z690" s="1" t="s">
        <v>11799</v>
      </c>
      <c r="AA690" s="1" t="s">
        <v>11800</v>
      </c>
      <c r="AB690" s="1" t="s">
        <v>11801</v>
      </c>
      <c r="AC690" s="1" t="s">
        <v>11802</v>
      </c>
      <c r="AD690" s="1" t="s">
        <v>11803</v>
      </c>
      <c r="AE690" s="1" t="s">
        <v>11804</v>
      </c>
      <c r="AF690" s="1" t="s">
        <v>74</v>
      </c>
      <c r="AG690" s="1">
        <v>47</v>
      </c>
      <c r="AH690" s="1">
        <v>54</v>
      </c>
      <c r="AI690" s="1">
        <v>55</v>
      </c>
      <c r="AJ690" s="1">
        <v>1</v>
      </c>
      <c r="AK690" s="1">
        <v>45</v>
      </c>
      <c r="AL690" s="1" t="s">
        <v>136</v>
      </c>
      <c r="AM690" s="1" t="s">
        <v>137</v>
      </c>
      <c r="AN690" s="1" t="s">
        <v>138</v>
      </c>
      <c r="AO690" s="1" t="s">
        <v>139</v>
      </c>
      <c r="AP690" s="1" t="s">
        <v>74</v>
      </c>
      <c r="AQ690" s="1" t="s">
        <v>74</v>
      </c>
      <c r="AR690" s="1" t="s">
        <v>127</v>
      </c>
      <c r="AS690" s="1" t="s">
        <v>141</v>
      </c>
      <c r="AT690" s="1" t="s">
        <v>951</v>
      </c>
      <c r="AU690" s="1">
        <v>2011</v>
      </c>
      <c r="AV690" s="1">
        <v>85</v>
      </c>
      <c r="AW690" s="1">
        <v>8</v>
      </c>
      <c r="AX690" s="1" t="s">
        <v>74</v>
      </c>
      <c r="AY690" s="1" t="s">
        <v>74</v>
      </c>
      <c r="AZ690" s="1" t="s">
        <v>74</v>
      </c>
      <c r="BA690" s="1" t="s">
        <v>74</v>
      </c>
      <c r="BB690" s="1">
        <v>1299</v>
      </c>
      <c r="BC690" s="1">
        <v>1305</v>
      </c>
      <c r="BD690" s="1" t="s">
        <v>74</v>
      </c>
      <c r="BE690" s="1" t="s">
        <v>11805</v>
      </c>
      <c r="BF690" s="1" t="str">
        <f>HYPERLINK("http://dx.doi.org/10.1016/j.chemosphere.2011.07.036","http://dx.doi.org/10.1016/j.chemosphere.2011.07.036")</f>
        <v>http://dx.doi.org/10.1016/j.chemosphere.2011.07.036</v>
      </c>
      <c r="BG690" s="1" t="s">
        <v>74</v>
      </c>
      <c r="BH690" s="1" t="s">
        <v>74</v>
      </c>
      <c r="BI690" s="1">
        <v>7</v>
      </c>
      <c r="BJ690" s="1" t="s">
        <v>144</v>
      </c>
      <c r="BK690" s="1" t="s">
        <v>96</v>
      </c>
      <c r="BL690" s="1" t="s">
        <v>145</v>
      </c>
      <c r="BM690" s="1" t="s">
        <v>11806</v>
      </c>
      <c r="BN690" s="1">
        <v>21868056</v>
      </c>
      <c r="BO690" s="1" t="s">
        <v>1752</v>
      </c>
      <c r="BP690" s="1" t="s">
        <v>74</v>
      </c>
      <c r="BQ690" s="1" t="s">
        <v>74</v>
      </c>
      <c r="BR690" s="1" t="s">
        <v>98</v>
      </c>
      <c r="BS690" s="1" t="s">
        <v>11807</v>
      </c>
      <c r="BT690" s="1" t="str">
        <f>HYPERLINK("https%3A%2F%2Fwww.webofscience.com%2Fwos%2Fwoscc%2Ffull-record%2FWOS:000298872300013","View Full Record in Web of Science")</f>
        <v>View Full Record in Web of Science</v>
      </c>
    </row>
    <row r="691" spans="1:72">
      <c r="A691" s="1" t="s">
        <v>72</v>
      </c>
      <c r="B691" s="1" t="s">
        <v>11808</v>
      </c>
      <c r="C691" s="1" t="s">
        <v>74</v>
      </c>
      <c r="D691" s="1" t="s">
        <v>74</v>
      </c>
      <c r="E691" s="1" t="s">
        <v>74</v>
      </c>
      <c r="F691" s="1" t="s">
        <v>11809</v>
      </c>
      <c r="G691" s="1" t="s">
        <v>74</v>
      </c>
      <c r="H691" s="1" t="s">
        <v>74</v>
      </c>
      <c r="I691" s="1" t="s">
        <v>11810</v>
      </c>
      <c r="J691" s="1" t="s">
        <v>179</v>
      </c>
      <c r="K691" s="1" t="s">
        <v>74</v>
      </c>
      <c r="L691" s="1" t="s">
        <v>74</v>
      </c>
      <c r="M691" s="1" t="s">
        <v>78</v>
      </c>
      <c r="N691" s="1" t="s">
        <v>79</v>
      </c>
      <c r="O691" s="1" t="s">
        <v>74</v>
      </c>
      <c r="P691" s="1" t="s">
        <v>74</v>
      </c>
      <c r="Q691" s="1" t="s">
        <v>74</v>
      </c>
      <c r="R691" s="1" t="s">
        <v>74</v>
      </c>
      <c r="S691" s="1" t="s">
        <v>74</v>
      </c>
      <c r="T691" s="1" t="s">
        <v>11811</v>
      </c>
      <c r="U691" s="1" t="s">
        <v>11812</v>
      </c>
      <c r="V691" s="1" t="s">
        <v>11813</v>
      </c>
      <c r="W691" s="1" t="s">
        <v>11814</v>
      </c>
      <c r="X691" s="1" t="s">
        <v>11815</v>
      </c>
      <c r="Y691" s="1" t="s">
        <v>11816</v>
      </c>
      <c r="Z691" s="1" t="s">
        <v>11817</v>
      </c>
      <c r="AA691" s="1" t="s">
        <v>11818</v>
      </c>
      <c r="AB691" s="1" t="s">
        <v>11819</v>
      </c>
      <c r="AC691" s="1" t="s">
        <v>74</v>
      </c>
      <c r="AD691" s="1" t="s">
        <v>74</v>
      </c>
      <c r="AE691" s="1" t="s">
        <v>74</v>
      </c>
      <c r="AF691" s="1" t="s">
        <v>74</v>
      </c>
      <c r="AG691" s="1">
        <v>55</v>
      </c>
      <c r="AH691" s="1">
        <v>175</v>
      </c>
      <c r="AI691" s="1">
        <v>198</v>
      </c>
      <c r="AJ691" s="1">
        <v>12</v>
      </c>
      <c r="AK691" s="1">
        <v>71</v>
      </c>
      <c r="AL691" s="1" t="s">
        <v>112</v>
      </c>
      <c r="AM691" s="1" t="s">
        <v>191</v>
      </c>
      <c r="AN691" s="1" t="s">
        <v>192</v>
      </c>
      <c r="AO691" s="1" t="s">
        <v>193</v>
      </c>
      <c r="AP691" s="1" t="s">
        <v>194</v>
      </c>
      <c r="AQ691" s="1" t="s">
        <v>74</v>
      </c>
      <c r="AR691" s="1" t="s">
        <v>195</v>
      </c>
      <c r="AS691" s="1" t="s">
        <v>196</v>
      </c>
      <c r="AT691" s="1" t="s">
        <v>119</v>
      </c>
      <c r="AU691" s="1">
        <v>2007</v>
      </c>
      <c r="AV691" s="1">
        <v>131</v>
      </c>
      <c r="AW691" s="1" t="s">
        <v>2847</v>
      </c>
      <c r="AX691" s="1" t="s">
        <v>74</v>
      </c>
      <c r="AY691" s="1" t="s">
        <v>74</v>
      </c>
      <c r="AZ691" s="1" t="s">
        <v>74</v>
      </c>
      <c r="BA691" s="1" t="s">
        <v>74</v>
      </c>
      <c r="BB691" s="1">
        <v>323</v>
      </c>
      <c r="BC691" s="1">
        <v>337</v>
      </c>
      <c r="BD691" s="1" t="s">
        <v>74</v>
      </c>
      <c r="BE691" s="1" t="s">
        <v>11820</v>
      </c>
      <c r="BF691" s="1" t="str">
        <f>HYPERLINK("http://dx.doi.org/10.1007/s10661-006-9478-0","http://dx.doi.org/10.1007/s10661-006-9478-0")</f>
        <v>http://dx.doi.org/10.1007/s10661-006-9478-0</v>
      </c>
      <c r="BG691" s="1" t="s">
        <v>74</v>
      </c>
      <c r="BH691" s="1" t="s">
        <v>74</v>
      </c>
      <c r="BI691" s="1">
        <v>15</v>
      </c>
      <c r="BJ691" s="1" t="s">
        <v>144</v>
      </c>
      <c r="BK691" s="1" t="s">
        <v>96</v>
      </c>
      <c r="BL691" s="1" t="s">
        <v>145</v>
      </c>
      <c r="BM691" s="1" t="s">
        <v>11821</v>
      </c>
      <c r="BN691" s="1">
        <v>17171266</v>
      </c>
      <c r="BO691" s="1" t="s">
        <v>74</v>
      </c>
      <c r="BP691" s="1" t="s">
        <v>74</v>
      </c>
      <c r="BQ691" s="1" t="s">
        <v>74</v>
      </c>
      <c r="BR691" s="1" t="s">
        <v>98</v>
      </c>
      <c r="BS691" s="1" t="s">
        <v>11822</v>
      </c>
      <c r="BT691" s="1" t="str">
        <f>HYPERLINK("https%3A%2F%2Fwww.webofscience.com%2Fwos%2Fwoscc%2Ffull-record%2FWOS:000247467900027","View Full Record in Web of Science")</f>
        <v>View Full Record in Web of Science</v>
      </c>
    </row>
    <row r="692" spans="1:72">
      <c r="A692" s="1" t="s">
        <v>72</v>
      </c>
      <c r="B692" s="1" t="s">
        <v>11823</v>
      </c>
      <c r="C692" s="1" t="s">
        <v>74</v>
      </c>
      <c r="D692" s="1" t="s">
        <v>74</v>
      </c>
      <c r="E692" s="1" t="s">
        <v>74</v>
      </c>
      <c r="F692" s="1" t="s">
        <v>11824</v>
      </c>
      <c r="G692" s="1" t="s">
        <v>74</v>
      </c>
      <c r="H692" s="1" t="s">
        <v>74</v>
      </c>
      <c r="I692" s="1" t="s">
        <v>11825</v>
      </c>
      <c r="J692" s="1" t="s">
        <v>232</v>
      </c>
      <c r="K692" s="1" t="s">
        <v>74</v>
      </c>
      <c r="L692" s="1" t="s">
        <v>74</v>
      </c>
      <c r="M692" s="1" t="s">
        <v>78</v>
      </c>
      <c r="N692" s="1" t="s">
        <v>79</v>
      </c>
      <c r="O692" s="1" t="s">
        <v>74</v>
      </c>
      <c r="P692" s="1" t="s">
        <v>74</v>
      </c>
      <c r="Q692" s="1" t="s">
        <v>74</v>
      </c>
      <c r="R692" s="1" t="s">
        <v>74</v>
      </c>
      <c r="S692" s="1" t="s">
        <v>74</v>
      </c>
      <c r="T692" s="1" t="s">
        <v>11826</v>
      </c>
      <c r="U692" s="1" t="s">
        <v>11827</v>
      </c>
      <c r="V692" s="1" t="s">
        <v>11828</v>
      </c>
      <c r="W692" s="1" t="s">
        <v>11829</v>
      </c>
      <c r="X692" s="1" t="s">
        <v>11830</v>
      </c>
      <c r="Y692" s="1" t="s">
        <v>11831</v>
      </c>
      <c r="Z692" s="1" t="s">
        <v>11832</v>
      </c>
      <c r="AA692" s="1" t="s">
        <v>11833</v>
      </c>
      <c r="AB692" s="1" t="s">
        <v>11834</v>
      </c>
      <c r="AC692" s="1" t="s">
        <v>74</v>
      </c>
      <c r="AD692" s="1" t="s">
        <v>74</v>
      </c>
      <c r="AE692" s="1" t="s">
        <v>74</v>
      </c>
      <c r="AF692" s="1" t="s">
        <v>74</v>
      </c>
      <c r="AG692" s="1">
        <v>47</v>
      </c>
      <c r="AH692" s="1">
        <v>226</v>
      </c>
      <c r="AI692" s="1">
        <v>254</v>
      </c>
      <c r="AJ692" s="1">
        <v>3</v>
      </c>
      <c r="AK692" s="1">
        <v>56</v>
      </c>
      <c r="AL692" s="1" t="s">
        <v>136</v>
      </c>
      <c r="AM692" s="1" t="s">
        <v>137</v>
      </c>
      <c r="AN692" s="1" t="s">
        <v>138</v>
      </c>
      <c r="AO692" s="1" t="s">
        <v>240</v>
      </c>
      <c r="AP692" s="1" t="s">
        <v>241</v>
      </c>
      <c r="AQ692" s="1" t="s">
        <v>74</v>
      </c>
      <c r="AR692" s="1" t="s">
        <v>242</v>
      </c>
      <c r="AS692" s="1" t="s">
        <v>243</v>
      </c>
      <c r="AT692" s="1" t="s">
        <v>305</v>
      </c>
      <c r="AU692" s="1">
        <v>2007</v>
      </c>
      <c r="AV692" s="1">
        <v>54</v>
      </c>
      <c r="AW692" s="1">
        <v>9</v>
      </c>
      <c r="AX692" s="1" t="s">
        <v>74</v>
      </c>
      <c r="AY692" s="1" t="s">
        <v>74</v>
      </c>
      <c r="AZ692" s="1" t="s">
        <v>74</v>
      </c>
      <c r="BA692" s="1" t="s">
        <v>74</v>
      </c>
      <c r="BB692" s="1">
        <v>1361</v>
      </c>
      <c r="BC692" s="1">
        <v>1371</v>
      </c>
      <c r="BD692" s="1" t="s">
        <v>74</v>
      </c>
      <c r="BE692" s="1" t="s">
        <v>11835</v>
      </c>
      <c r="BF692" s="1" t="str">
        <f>HYPERLINK("http://dx.doi.org/10.1016/j.marpolbul.2007.05.018","http://dx.doi.org/10.1016/j.marpolbul.2007.05.018")</f>
        <v>http://dx.doi.org/10.1016/j.marpolbul.2007.05.018</v>
      </c>
      <c r="BG692" s="1" t="s">
        <v>74</v>
      </c>
      <c r="BH692" s="1" t="s">
        <v>74</v>
      </c>
      <c r="BI692" s="1">
        <v>11</v>
      </c>
      <c r="BJ692" s="1" t="s">
        <v>247</v>
      </c>
      <c r="BK692" s="1" t="s">
        <v>96</v>
      </c>
      <c r="BL692" s="1" t="s">
        <v>248</v>
      </c>
      <c r="BM692" s="1" t="s">
        <v>11836</v>
      </c>
      <c r="BN692" s="1">
        <v>17624376</v>
      </c>
      <c r="BO692" s="1" t="s">
        <v>74</v>
      </c>
      <c r="BP692" s="1" t="s">
        <v>74</v>
      </c>
      <c r="BQ692" s="1" t="s">
        <v>74</v>
      </c>
      <c r="BR692" s="1" t="s">
        <v>98</v>
      </c>
      <c r="BS692" s="1" t="s">
        <v>11837</v>
      </c>
      <c r="BT692" s="1" t="str">
        <f>HYPERLINK("https%3A%2F%2Fwww.webofscience.com%2Fwos%2Fwoscc%2Ffull-record%2FWOS:000250013900018","View Full Record in Web of Science")</f>
        <v>View Full Record in Web of Science</v>
      </c>
    </row>
    <row r="693" spans="1:72">
      <c r="A693" s="1" t="s">
        <v>72</v>
      </c>
      <c r="B693" s="1" t="s">
        <v>11838</v>
      </c>
      <c r="C693" s="1" t="s">
        <v>74</v>
      </c>
      <c r="D693" s="1" t="s">
        <v>74</v>
      </c>
      <c r="E693" s="1" t="s">
        <v>74</v>
      </c>
      <c r="F693" s="1" t="s">
        <v>11839</v>
      </c>
      <c r="G693" s="1" t="s">
        <v>74</v>
      </c>
      <c r="H693" s="1" t="s">
        <v>74</v>
      </c>
      <c r="I693" s="1" t="s">
        <v>11840</v>
      </c>
      <c r="J693" s="1" t="s">
        <v>421</v>
      </c>
      <c r="K693" s="1" t="s">
        <v>74</v>
      </c>
      <c r="L693" s="1" t="s">
        <v>74</v>
      </c>
      <c r="M693" s="1" t="s">
        <v>78</v>
      </c>
      <c r="N693" s="1" t="s">
        <v>79</v>
      </c>
      <c r="O693" s="1" t="s">
        <v>74</v>
      </c>
      <c r="P693" s="1" t="s">
        <v>74</v>
      </c>
      <c r="Q693" s="1" t="s">
        <v>74</v>
      </c>
      <c r="R693" s="1" t="s">
        <v>74</v>
      </c>
      <c r="S693" s="1" t="s">
        <v>74</v>
      </c>
      <c r="T693" s="1" t="s">
        <v>11841</v>
      </c>
      <c r="U693" s="1" t="s">
        <v>11842</v>
      </c>
      <c r="V693" s="1" t="s">
        <v>11843</v>
      </c>
      <c r="W693" s="1" t="s">
        <v>11844</v>
      </c>
      <c r="X693" s="1" t="s">
        <v>11845</v>
      </c>
      <c r="Y693" s="1" t="s">
        <v>11846</v>
      </c>
      <c r="Z693" s="1" t="s">
        <v>11847</v>
      </c>
      <c r="AA693" s="1" t="s">
        <v>11848</v>
      </c>
      <c r="AB693" s="1" t="s">
        <v>11849</v>
      </c>
      <c r="AC693" s="1" t="s">
        <v>11850</v>
      </c>
      <c r="AD693" s="1" t="s">
        <v>11851</v>
      </c>
      <c r="AE693" s="1" t="s">
        <v>11852</v>
      </c>
      <c r="AF693" s="1" t="s">
        <v>74</v>
      </c>
      <c r="AG693" s="1">
        <v>88</v>
      </c>
      <c r="AH693" s="1">
        <v>0</v>
      </c>
      <c r="AI693" s="1">
        <v>0</v>
      </c>
      <c r="AJ693" s="1">
        <v>10</v>
      </c>
      <c r="AK693" s="1">
        <v>10</v>
      </c>
      <c r="AL693" s="1" t="s">
        <v>430</v>
      </c>
      <c r="AM693" s="1" t="s">
        <v>7361</v>
      </c>
      <c r="AN693" s="1" t="s">
        <v>7362</v>
      </c>
      <c r="AO693" s="1" t="s">
        <v>432</v>
      </c>
      <c r="AP693" s="1" t="s">
        <v>1394</v>
      </c>
      <c r="AQ693" s="1" t="s">
        <v>74</v>
      </c>
      <c r="AR693" s="1" t="s">
        <v>433</v>
      </c>
      <c r="AS693" s="1" t="s">
        <v>434</v>
      </c>
      <c r="AT693" s="1" t="s">
        <v>1856</v>
      </c>
      <c r="AU693" s="1">
        <v>2024</v>
      </c>
      <c r="AV693" s="1">
        <v>355</v>
      </c>
      <c r="AW693" s="1" t="s">
        <v>74</v>
      </c>
      <c r="AX693" s="1" t="s">
        <v>74</v>
      </c>
      <c r="AY693" s="1" t="s">
        <v>74</v>
      </c>
      <c r="AZ693" s="1" t="s">
        <v>74</v>
      </c>
      <c r="BA693" s="1" t="s">
        <v>74</v>
      </c>
      <c r="BB693" s="1" t="s">
        <v>74</v>
      </c>
      <c r="BC693" s="1" t="s">
        <v>74</v>
      </c>
      <c r="BD693" s="1">
        <v>124230</v>
      </c>
      <c r="BE693" s="1" t="s">
        <v>11853</v>
      </c>
      <c r="BF693" s="1" t="str">
        <f>HYPERLINK("http://dx.doi.org/10.1016/j.envpol.2024.124230","http://dx.doi.org/10.1016/j.envpol.2024.124230")</f>
        <v>http://dx.doi.org/10.1016/j.envpol.2024.124230</v>
      </c>
      <c r="BG693" s="1" t="s">
        <v>74</v>
      </c>
      <c r="BH693" s="1" t="s">
        <v>11425</v>
      </c>
      <c r="BI693" s="1">
        <v>11</v>
      </c>
      <c r="BJ693" s="1" t="s">
        <v>144</v>
      </c>
      <c r="BK693" s="1" t="s">
        <v>96</v>
      </c>
      <c r="BL693" s="1" t="s">
        <v>145</v>
      </c>
      <c r="BM693" s="1" t="s">
        <v>11854</v>
      </c>
      <c r="BN693" s="1">
        <v>38810679</v>
      </c>
      <c r="BO693" s="1" t="s">
        <v>74</v>
      </c>
      <c r="BP693" s="1" t="s">
        <v>74</v>
      </c>
      <c r="BQ693" s="1" t="s">
        <v>74</v>
      </c>
      <c r="BR693" s="1" t="s">
        <v>98</v>
      </c>
      <c r="BS693" s="1" t="s">
        <v>11855</v>
      </c>
      <c r="BT693" s="1" t="str">
        <f>HYPERLINK("https%3A%2F%2Fwww.webofscience.com%2Fwos%2Fwoscc%2Ffull-record%2FWOS:001249219100001","View Full Record in Web of Science")</f>
        <v>View Full Record in Web of Science</v>
      </c>
    </row>
    <row r="694" spans="1:72">
      <c r="A694" s="1" t="s">
        <v>72</v>
      </c>
      <c r="B694" s="1" t="s">
        <v>11856</v>
      </c>
      <c r="C694" s="1" t="s">
        <v>74</v>
      </c>
      <c r="D694" s="1" t="s">
        <v>74</v>
      </c>
      <c r="E694" s="1" t="s">
        <v>74</v>
      </c>
      <c r="F694" s="1" t="s">
        <v>11857</v>
      </c>
      <c r="G694" s="1" t="s">
        <v>74</v>
      </c>
      <c r="H694" s="1" t="s">
        <v>74</v>
      </c>
      <c r="I694" s="1" t="s">
        <v>11858</v>
      </c>
      <c r="J694" s="1" t="s">
        <v>11859</v>
      </c>
      <c r="K694" s="1" t="s">
        <v>74</v>
      </c>
      <c r="L694" s="1" t="s">
        <v>74</v>
      </c>
      <c r="M694" s="1" t="s">
        <v>78</v>
      </c>
      <c r="N694" s="1" t="s">
        <v>79</v>
      </c>
      <c r="O694" s="1" t="s">
        <v>74</v>
      </c>
      <c r="P694" s="1" t="s">
        <v>74</v>
      </c>
      <c r="Q694" s="1" t="s">
        <v>74</v>
      </c>
      <c r="R694" s="1" t="s">
        <v>74</v>
      </c>
      <c r="S694" s="1" t="s">
        <v>74</v>
      </c>
      <c r="T694" s="1" t="s">
        <v>11860</v>
      </c>
      <c r="U694" s="1" t="s">
        <v>11861</v>
      </c>
      <c r="V694" s="1" t="s">
        <v>11862</v>
      </c>
      <c r="W694" s="1" t="s">
        <v>11863</v>
      </c>
      <c r="X694" s="1" t="s">
        <v>11864</v>
      </c>
      <c r="Y694" s="1" t="s">
        <v>11865</v>
      </c>
      <c r="Z694" s="1" t="s">
        <v>11866</v>
      </c>
      <c r="AA694" s="1" t="s">
        <v>74</v>
      </c>
      <c r="AB694" s="1" t="s">
        <v>74</v>
      </c>
      <c r="AC694" s="1" t="s">
        <v>11867</v>
      </c>
      <c r="AD694" s="1" t="s">
        <v>11868</v>
      </c>
      <c r="AE694" s="1" t="s">
        <v>11869</v>
      </c>
      <c r="AF694" s="1" t="s">
        <v>74</v>
      </c>
      <c r="AG694" s="1">
        <v>59</v>
      </c>
      <c r="AH694" s="1">
        <v>10</v>
      </c>
      <c r="AI694" s="1">
        <v>10</v>
      </c>
      <c r="AJ694" s="1">
        <v>0</v>
      </c>
      <c r="AK694" s="1">
        <v>13</v>
      </c>
      <c r="AL694" s="1" t="s">
        <v>2074</v>
      </c>
      <c r="AM694" s="1" t="s">
        <v>2075</v>
      </c>
      <c r="AN694" s="1" t="s">
        <v>2076</v>
      </c>
      <c r="AO694" s="1" t="s">
        <v>11870</v>
      </c>
      <c r="AP694" s="1" t="s">
        <v>74</v>
      </c>
      <c r="AQ694" s="1" t="s">
        <v>74</v>
      </c>
      <c r="AR694" s="1" t="s">
        <v>11871</v>
      </c>
      <c r="AS694" s="1" t="s">
        <v>11872</v>
      </c>
      <c r="AT694" s="1" t="s">
        <v>11873</v>
      </c>
      <c r="AU694" s="1">
        <v>2020</v>
      </c>
      <c r="AV694" s="1">
        <v>87</v>
      </c>
      <c r="AW694" s="1">
        <v>1</v>
      </c>
      <c r="AX694" s="1" t="s">
        <v>74</v>
      </c>
      <c r="AY694" s="1" t="s">
        <v>74</v>
      </c>
      <c r="AZ694" s="1" t="s">
        <v>74</v>
      </c>
      <c r="BA694" s="1" t="s">
        <v>74</v>
      </c>
      <c r="BB694" s="1">
        <v>325</v>
      </c>
      <c r="BC694" s="1">
        <v>335</v>
      </c>
      <c r="BD694" s="1" t="s">
        <v>74</v>
      </c>
      <c r="BE694" s="1" t="s">
        <v>11874</v>
      </c>
      <c r="BF694" s="1" t="str">
        <f>HYPERLINK("http://dx.doi.org/10.1080/24750263.2020.1775318","http://dx.doi.org/10.1080/24750263.2020.1775318")</f>
        <v>http://dx.doi.org/10.1080/24750263.2020.1775318</v>
      </c>
      <c r="BG694" s="1" t="s">
        <v>74</v>
      </c>
      <c r="BH694" s="1" t="s">
        <v>74</v>
      </c>
      <c r="BI694" s="1">
        <v>11</v>
      </c>
      <c r="BJ694" s="1" t="s">
        <v>2210</v>
      </c>
      <c r="BK694" s="1" t="s">
        <v>96</v>
      </c>
      <c r="BL694" s="1" t="s">
        <v>2210</v>
      </c>
      <c r="BM694" s="1" t="s">
        <v>11875</v>
      </c>
      <c r="BN694" s="1" t="s">
        <v>74</v>
      </c>
      <c r="BO694" s="1" t="s">
        <v>873</v>
      </c>
      <c r="BP694" s="1" t="s">
        <v>74</v>
      </c>
      <c r="BQ694" s="1" t="s">
        <v>74</v>
      </c>
      <c r="BR694" s="1" t="s">
        <v>98</v>
      </c>
      <c r="BS694" s="1" t="s">
        <v>11876</v>
      </c>
      <c r="BT694" s="1" t="str">
        <f>HYPERLINK("https%3A%2F%2Fwww.webofscience.com%2Fwos%2Fwoscc%2Ffull-record%2FWOS:000546762100001","View Full Record in Web of Science")</f>
        <v>View Full Record in Web of Science</v>
      </c>
    </row>
    <row r="695" spans="1:72">
      <c r="A695" s="1" t="s">
        <v>72</v>
      </c>
      <c r="B695" s="1" t="s">
        <v>11877</v>
      </c>
      <c r="C695" s="1" t="s">
        <v>74</v>
      </c>
      <c r="D695" s="1" t="s">
        <v>74</v>
      </c>
      <c r="E695" s="1" t="s">
        <v>74</v>
      </c>
      <c r="F695" s="1" t="s">
        <v>11878</v>
      </c>
      <c r="G695" s="1" t="s">
        <v>74</v>
      </c>
      <c r="H695" s="1" t="s">
        <v>74</v>
      </c>
      <c r="I695" s="1" t="s">
        <v>11879</v>
      </c>
      <c r="J695" s="1" t="s">
        <v>275</v>
      </c>
      <c r="K695" s="1" t="s">
        <v>74</v>
      </c>
      <c r="L695" s="1" t="s">
        <v>74</v>
      </c>
      <c r="M695" s="1" t="s">
        <v>78</v>
      </c>
      <c r="N695" s="1" t="s">
        <v>79</v>
      </c>
      <c r="O695" s="1" t="s">
        <v>74</v>
      </c>
      <c r="P695" s="1" t="s">
        <v>74</v>
      </c>
      <c r="Q695" s="1" t="s">
        <v>74</v>
      </c>
      <c r="R695" s="1" t="s">
        <v>74</v>
      </c>
      <c r="S695" s="1" t="s">
        <v>74</v>
      </c>
      <c r="T695" s="1" t="s">
        <v>11880</v>
      </c>
      <c r="U695" s="1" t="s">
        <v>11881</v>
      </c>
      <c r="V695" s="1" t="s">
        <v>11882</v>
      </c>
      <c r="W695" s="1" t="s">
        <v>11883</v>
      </c>
      <c r="X695" s="1" t="s">
        <v>11884</v>
      </c>
      <c r="Y695" s="1" t="s">
        <v>11885</v>
      </c>
      <c r="Z695" s="1" t="s">
        <v>11886</v>
      </c>
      <c r="AA695" s="1" t="s">
        <v>11887</v>
      </c>
      <c r="AB695" s="1" t="s">
        <v>11888</v>
      </c>
      <c r="AC695" s="1" t="s">
        <v>11889</v>
      </c>
      <c r="AD695" s="1" t="s">
        <v>11890</v>
      </c>
      <c r="AE695" s="1" t="s">
        <v>11891</v>
      </c>
      <c r="AF695" s="1" t="s">
        <v>74</v>
      </c>
      <c r="AG695" s="1">
        <v>23</v>
      </c>
      <c r="AH695" s="1">
        <v>14</v>
      </c>
      <c r="AI695" s="1">
        <v>16</v>
      </c>
      <c r="AJ695" s="1">
        <v>2</v>
      </c>
      <c r="AK695" s="1">
        <v>34</v>
      </c>
      <c r="AL695" s="1" t="s">
        <v>285</v>
      </c>
      <c r="AM695" s="1" t="s">
        <v>286</v>
      </c>
      <c r="AN695" s="1" t="s">
        <v>287</v>
      </c>
      <c r="AO695" s="1" t="s">
        <v>288</v>
      </c>
      <c r="AP695" s="1" t="s">
        <v>289</v>
      </c>
      <c r="AQ695" s="1" t="s">
        <v>74</v>
      </c>
      <c r="AR695" s="1" t="s">
        <v>290</v>
      </c>
      <c r="AS695" s="1" t="s">
        <v>291</v>
      </c>
      <c r="AT695" s="1" t="s">
        <v>142</v>
      </c>
      <c r="AU695" s="1">
        <v>2013</v>
      </c>
      <c r="AV695" s="1">
        <v>34</v>
      </c>
      <c r="AW695" s="1">
        <v>6</v>
      </c>
      <c r="AX695" s="1" t="s">
        <v>74</v>
      </c>
      <c r="AY695" s="1" t="s">
        <v>74</v>
      </c>
      <c r="AZ695" s="1" t="s">
        <v>74</v>
      </c>
      <c r="BA695" s="1" t="s">
        <v>74</v>
      </c>
      <c r="BB695" s="1">
        <v>1605</v>
      </c>
      <c r="BC695" s="1">
        <v>1610</v>
      </c>
      <c r="BD695" s="1" t="s">
        <v>74</v>
      </c>
      <c r="BE695" s="1" t="s">
        <v>11892</v>
      </c>
      <c r="BF695" s="1" t="str">
        <f>HYPERLINK("http://dx.doi.org/10.1016/j.fsi.2013.03.005","http://dx.doi.org/10.1016/j.fsi.2013.03.005")</f>
        <v>http://dx.doi.org/10.1016/j.fsi.2013.03.005</v>
      </c>
      <c r="BG695" s="1" t="s">
        <v>74</v>
      </c>
      <c r="BH695" s="1" t="s">
        <v>74</v>
      </c>
      <c r="BI695" s="1">
        <v>6</v>
      </c>
      <c r="BJ695" s="1" t="s">
        <v>293</v>
      </c>
      <c r="BK695" s="1" t="s">
        <v>96</v>
      </c>
      <c r="BL695" s="1" t="s">
        <v>293</v>
      </c>
      <c r="BM695" s="1" t="s">
        <v>11893</v>
      </c>
      <c r="BN695" s="1">
        <v>23523751</v>
      </c>
      <c r="BO695" s="1" t="s">
        <v>74</v>
      </c>
      <c r="BP695" s="1" t="s">
        <v>74</v>
      </c>
      <c r="BQ695" s="1" t="s">
        <v>74</v>
      </c>
      <c r="BR695" s="1" t="s">
        <v>98</v>
      </c>
      <c r="BS695" s="1" t="s">
        <v>11894</v>
      </c>
      <c r="BT695" s="1" t="str">
        <f>HYPERLINK("https%3A%2F%2Fwww.webofscience.com%2Fwos%2Fwoscc%2Ffull-record%2FWOS:000319646100025","View Full Record in Web of Science")</f>
        <v>View Full Record in Web of Science</v>
      </c>
    </row>
    <row r="696" spans="1:72">
      <c r="A696" s="1" t="s">
        <v>72</v>
      </c>
      <c r="B696" s="1" t="s">
        <v>11895</v>
      </c>
      <c r="C696" s="1" t="s">
        <v>74</v>
      </c>
      <c r="D696" s="1" t="s">
        <v>74</v>
      </c>
      <c r="E696" s="1" t="s">
        <v>74</v>
      </c>
      <c r="F696" s="1" t="s">
        <v>11896</v>
      </c>
      <c r="G696" s="1" t="s">
        <v>74</v>
      </c>
      <c r="H696" s="1" t="s">
        <v>74</v>
      </c>
      <c r="I696" s="1" t="s">
        <v>11897</v>
      </c>
      <c r="J696" s="1" t="s">
        <v>11898</v>
      </c>
      <c r="K696" s="1" t="s">
        <v>74</v>
      </c>
      <c r="L696" s="1" t="s">
        <v>74</v>
      </c>
      <c r="M696" s="1" t="s">
        <v>78</v>
      </c>
      <c r="N696" s="1" t="s">
        <v>79</v>
      </c>
      <c r="O696" s="1" t="s">
        <v>74</v>
      </c>
      <c r="P696" s="1" t="s">
        <v>74</v>
      </c>
      <c r="Q696" s="1" t="s">
        <v>74</v>
      </c>
      <c r="R696" s="1" t="s">
        <v>74</v>
      </c>
      <c r="S696" s="1" t="s">
        <v>74</v>
      </c>
      <c r="T696" s="1" t="s">
        <v>11899</v>
      </c>
      <c r="U696" s="1" t="s">
        <v>11900</v>
      </c>
      <c r="V696" s="1" t="s">
        <v>11901</v>
      </c>
      <c r="W696" s="1" t="s">
        <v>11902</v>
      </c>
      <c r="X696" s="1" t="s">
        <v>11903</v>
      </c>
      <c r="Y696" s="1" t="s">
        <v>11904</v>
      </c>
      <c r="Z696" s="1" t="s">
        <v>11905</v>
      </c>
      <c r="AA696" s="1" t="s">
        <v>11906</v>
      </c>
      <c r="AB696" s="1" t="s">
        <v>11907</v>
      </c>
      <c r="AC696" s="1" t="s">
        <v>11908</v>
      </c>
      <c r="AD696" s="1" t="s">
        <v>11909</v>
      </c>
      <c r="AE696" s="1" t="s">
        <v>11910</v>
      </c>
      <c r="AF696" s="1" t="s">
        <v>74</v>
      </c>
      <c r="AG696" s="1">
        <v>57</v>
      </c>
      <c r="AH696" s="1">
        <v>7</v>
      </c>
      <c r="AI696" s="1">
        <v>7</v>
      </c>
      <c r="AJ696" s="1">
        <v>4</v>
      </c>
      <c r="AK696" s="1">
        <v>36</v>
      </c>
      <c r="AL696" s="1" t="s">
        <v>1566</v>
      </c>
      <c r="AM696" s="1" t="s">
        <v>1567</v>
      </c>
      <c r="AN696" s="1" t="s">
        <v>1568</v>
      </c>
      <c r="AO696" s="1" t="s">
        <v>74</v>
      </c>
      <c r="AP696" s="1" t="s">
        <v>11911</v>
      </c>
      <c r="AQ696" s="1" t="s">
        <v>74</v>
      </c>
      <c r="AR696" s="1" t="s">
        <v>11912</v>
      </c>
      <c r="AS696" s="1" t="s">
        <v>11913</v>
      </c>
      <c r="AT696" s="1" t="s">
        <v>119</v>
      </c>
      <c r="AU696" s="1">
        <v>2022</v>
      </c>
      <c r="AV696" s="1">
        <v>19</v>
      </c>
      <c r="AW696" s="1">
        <v>15</v>
      </c>
      <c r="AX696" s="1" t="s">
        <v>74</v>
      </c>
      <c r="AY696" s="1" t="s">
        <v>74</v>
      </c>
      <c r="AZ696" s="1" t="s">
        <v>74</v>
      </c>
      <c r="BA696" s="1" t="s">
        <v>74</v>
      </c>
      <c r="BB696" s="1" t="s">
        <v>74</v>
      </c>
      <c r="BC696" s="1" t="s">
        <v>74</v>
      </c>
      <c r="BD696" s="1">
        <v>9572</v>
      </c>
      <c r="BE696" s="1" t="s">
        <v>11914</v>
      </c>
      <c r="BF696" s="1" t="str">
        <f>HYPERLINK("http://dx.doi.org/10.3390/ijerph19159572","http://dx.doi.org/10.3390/ijerph19159572")</f>
        <v>http://dx.doi.org/10.3390/ijerph19159572</v>
      </c>
      <c r="BG696" s="1" t="s">
        <v>74</v>
      </c>
      <c r="BH696" s="1" t="s">
        <v>74</v>
      </c>
      <c r="BI696" s="1">
        <v>11</v>
      </c>
      <c r="BJ696" s="1" t="s">
        <v>10142</v>
      </c>
      <c r="BK696" s="1" t="s">
        <v>11915</v>
      </c>
      <c r="BL696" s="1" t="s">
        <v>10143</v>
      </c>
      <c r="BM696" s="1" t="s">
        <v>11916</v>
      </c>
      <c r="BN696" s="1">
        <v>35954928</v>
      </c>
      <c r="BO696" s="1" t="s">
        <v>550</v>
      </c>
      <c r="BP696" s="1" t="s">
        <v>74</v>
      </c>
      <c r="BQ696" s="1" t="s">
        <v>74</v>
      </c>
      <c r="BR696" s="1" t="s">
        <v>98</v>
      </c>
      <c r="BS696" s="1" t="s">
        <v>11917</v>
      </c>
      <c r="BT696" s="1" t="str">
        <f>HYPERLINK("https%3A%2F%2Fwww.webofscience.com%2Fwos%2Fwoscc%2Ffull-record%2FWOS:000839035400001","View Full Record in Web of Science")</f>
        <v>View Full Record in Web of Science</v>
      </c>
    </row>
    <row r="697" spans="1:72">
      <c r="A697" s="1" t="s">
        <v>72</v>
      </c>
      <c r="B697" s="1" t="s">
        <v>11918</v>
      </c>
      <c r="C697" s="1" t="s">
        <v>74</v>
      </c>
      <c r="D697" s="1" t="s">
        <v>74</v>
      </c>
      <c r="E697" s="1" t="s">
        <v>74</v>
      </c>
      <c r="F697" s="1" t="s">
        <v>11919</v>
      </c>
      <c r="G697" s="1" t="s">
        <v>74</v>
      </c>
      <c r="H697" s="1" t="s">
        <v>74</v>
      </c>
      <c r="I697" s="1" t="s">
        <v>11920</v>
      </c>
      <c r="J697" s="1" t="s">
        <v>11921</v>
      </c>
      <c r="K697" s="1" t="s">
        <v>74</v>
      </c>
      <c r="L697" s="1" t="s">
        <v>74</v>
      </c>
      <c r="M697" s="1" t="s">
        <v>78</v>
      </c>
      <c r="N697" s="1" t="s">
        <v>79</v>
      </c>
      <c r="O697" s="1" t="s">
        <v>74</v>
      </c>
      <c r="P697" s="1" t="s">
        <v>74</v>
      </c>
      <c r="Q697" s="1" t="s">
        <v>74</v>
      </c>
      <c r="R697" s="1" t="s">
        <v>74</v>
      </c>
      <c r="S697" s="1" t="s">
        <v>74</v>
      </c>
      <c r="T697" s="1" t="s">
        <v>11922</v>
      </c>
      <c r="U697" s="1" t="s">
        <v>11923</v>
      </c>
      <c r="V697" s="1" t="s">
        <v>11924</v>
      </c>
      <c r="W697" s="1" t="s">
        <v>11925</v>
      </c>
      <c r="X697" s="1" t="s">
        <v>11926</v>
      </c>
      <c r="Y697" s="1" t="s">
        <v>11927</v>
      </c>
      <c r="Z697" s="1" t="s">
        <v>11928</v>
      </c>
      <c r="AA697" s="1" t="s">
        <v>11929</v>
      </c>
      <c r="AB697" s="1" t="s">
        <v>11930</v>
      </c>
      <c r="AC697" s="1" t="s">
        <v>11931</v>
      </c>
      <c r="AD697" s="1" t="s">
        <v>11932</v>
      </c>
      <c r="AE697" s="1" t="s">
        <v>11933</v>
      </c>
      <c r="AF697" s="1" t="s">
        <v>74</v>
      </c>
      <c r="AG697" s="1">
        <v>28</v>
      </c>
      <c r="AH697" s="1">
        <v>4</v>
      </c>
      <c r="AI697" s="1">
        <v>4</v>
      </c>
      <c r="AJ697" s="1">
        <v>0</v>
      </c>
      <c r="AK697" s="1">
        <v>9</v>
      </c>
      <c r="AL697" s="1" t="s">
        <v>11934</v>
      </c>
      <c r="AM697" s="1" t="s">
        <v>5055</v>
      </c>
      <c r="AN697" s="1" t="s">
        <v>11935</v>
      </c>
      <c r="AO697" s="1" t="s">
        <v>11936</v>
      </c>
      <c r="AP697" s="1" t="s">
        <v>74</v>
      </c>
      <c r="AQ697" s="1" t="s">
        <v>74</v>
      </c>
      <c r="AR697" s="1" t="s">
        <v>11937</v>
      </c>
      <c r="AS697" s="1" t="s">
        <v>11938</v>
      </c>
      <c r="AT697" s="1" t="s">
        <v>1470</v>
      </c>
      <c r="AU697" s="1">
        <v>2019</v>
      </c>
      <c r="AV697" s="1">
        <v>70</v>
      </c>
      <c r="AW697" s="1">
        <v>1</v>
      </c>
      <c r="AX697" s="1" t="s">
        <v>74</v>
      </c>
      <c r="AY697" s="1" t="s">
        <v>74</v>
      </c>
      <c r="AZ697" s="1" t="s">
        <v>74</v>
      </c>
      <c r="BA697" s="1" t="s">
        <v>74</v>
      </c>
      <c r="BB697" s="1">
        <v>263</v>
      </c>
      <c r="BC697" s="1">
        <v>268</v>
      </c>
      <c r="BD697" s="1" t="s">
        <v>74</v>
      </c>
      <c r="BE697" s="1" t="s">
        <v>74</v>
      </c>
      <c r="BF697" s="1" t="s">
        <v>74</v>
      </c>
      <c r="BG697" s="1" t="s">
        <v>74</v>
      </c>
      <c r="BH697" s="1" t="s">
        <v>74</v>
      </c>
      <c r="BI697" s="1">
        <v>6</v>
      </c>
      <c r="BJ697" s="1" t="s">
        <v>11939</v>
      </c>
      <c r="BK697" s="1" t="s">
        <v>96</v>
      </c>
      <c r="BL697" s="1" t="s">
        <v>11940</v>
      </c>
      <c r="BM697" s="1" t="s">
        <v>11941</v>
      </c>
      <c r="BN697" s="1" t="s">
        <v>74</v>
      </c>
      <c r="BO697" s="1" t="s">
        <v>74</v>
      </c>
      <c r="BP697" s="1" t="s">
        <v>74</v>
      </c>
      <c r="BQ697" s="1" t="s">
        <v>74</v>
      </c>
      <c r="BR697" s="1" t="s">
        <v>98</v>
      </c>
      <c r="BS697" s="1" t="s">
        <v>11942</v>
      </c>
      <c r="BT697" s="1" t="str">
        <f>HYPERLINK("https%3A%2F%2Fwww.webofscience.com%2Fwos%2Fwoscc%2Ffull-record%2FWOS:000460428100058","View Full Record in Web of Science")</f>
        <v>View Full Record in Web of Science</v>
      </c>
    </row>
    <row r="698" spans="1:72">
      <c r="A698" s="1" t="s">
        <v>72</v>
      </c>
      <c r="B698" s="1" t="s">
        <v>11943</v>
      </c>
      <c r="C698" s="1" t="s">
        <v>74</v>
      </c>
      <c r="D698" s="1" t="s">
        <v>74</v>
      </c>
      <c r="E698" s="1" t="s">
        <v>74</v>
      </c>
      <c r="F698" s="1" t="s">
        <v>11944</v>
      </c>
      <c r="G698" s="1" t="s">
        <v>74</v>
      </c>
      <c r="H698" s="1" t="s">
        <v>74</v>
      </c>
      <c r="I698" s="1" t="s">
        <v>11945</v>
      </c>
      <c r="J698" s="1" t="s">
        <v>11946</v>
      </c>
      <c r="K698" s="1" t="s">
        <v>74</v>
      </c>
      <c r="L698" s="1" t="s">
        <v>74</v>
      </c>
      <c r="M698" s="1" t="s">
        <v>78</v>
      </c>
      <c r="N698" s="1" t="s">
        <v>79</v>
      </c>
      <c r="O698" s="1" t="s">
        <v>74</v>
      </c>
      <c r="P698" s="1" t="s">
        <v>74</v>
      </c>
      <c r="Q698" s="1" t="s">
        <v>74</v>
      </c>
      <c r="R698" s="1" t="s">
        <v>74</v>
      </c>
      <c r="S698" s="1" t="s">
        <v>74</v>
      </c>
      <c r="T698" s="1" t="s">
        <v>74</v>
      </c>
      <c r="U698" s="1" t="s">
        <v>11947</v>
      </c>
      <c r="V698" s="1" t="s">
        <v>11948</v>
      </c>
      <c r="W698" s="1" t="s">
        <v>11949</v>
      </c>
      <c r="X698" s="1" t="s">
        <v>11950</v>
      </c>
      <c r="Y698" s="1" t="s">
        <v>11951</v>
      </c>
      <c r="Z698" s="1" t="s">
        <v>11952</v>
      </c>
      <c r="AA698" s="1" t="s">
        <v>11953</v>
      </c>
      <c r="AB698" s="1" t="s">
        <v>11954</v>
      </c>
      <c r="AC698" s="1" t="s">
        <v>11955</v>
      </c>
      <c r="AD698" s="1" t="s">
        <v>11956</v>
      </c>
      <c r="AE698" s="1" t="s">
        <v>11957</v>
      </c>
      <c r="AF698" s="1" t="s">
        <v>74</v>
      </c>
      <c r="AG698" s="1">
        <v>32</v>
      </c>
      <c r="AH698" s="1">
        <v>2</v>
      </c>
      <c r="AI698" s="1">
        <v>2</v>
      </c>
      <c r="AJ698" s="1">
        <v>48</v>
      </c>
      <c r="AK698" s="1">
        <v>57</v>
      </c>
      <c r="AL698" s="1" t="s">
        <v>11958</v>
      </c>
      <c r="AM698" s="1" t="s">
        <v>11959</v>
      </c>
      <c r="AN698" s="1" t="s">
        <v>11960</v>
      </c>
      <c r="AO698" s="1" t="s">
        <v>11961</v>
      </c>
      <c r="AP698" s="1" t="s">
        <v>74</v>
      </c>
      <c r="AQ698" s="1" t="s">
        <v>74</v>
      </c>
      <c r="AR698" s="1" t="s">
        <v>11962</v>
      </c>
      <c r="AS698" s="1" t="s">
        <v>11963</v>
      </c>
      <c r="AT698" s="1" t="s">
        <v>1470</v>
      </c>
      <c r="AU698" s="1">
        <v>2020</v>
      </c>
      <c r="AV698" s="1">
        <v>115</v>
      </c>
      <c r="AW698" s="1">
        <v>1</v>
      </c>
      <c r="AX698" s="1" t="s">
        <v>74</v>
      </c>
      <c r="AY698" s="1" t="s">
        <v>74</v>
      </c>
      <c r="AZ698" s="1" t="s">
        <v>74</v>
      </c>
      <c r="BA698" s="1" t="s">
        <v>74</v>
      </c>
      <c r="BB698" s="1">
        <v>3</v>
      </c>
      <c r="BC698" s="1">
        <v>9</v>
      </c>
      <c r="BD698" s="1" t="s">
        <v>74</v>
      </c>
      <c r="BE698" s="1" t="s">
        <v>74</v>
      </c>
      <c r="BF698" s="1" t="s">
        <v>74</v>
      </c>
      <c r="BG698" s="1" t="s">
        <v>74</v>
      </c>
      <c r="BH698" s="1" t="s">
        <v>74</v>
      </c>
      <c r="BI698" s="1">
        <v>7</v>
      </c>
      <c r="BJ698" s="1" t="s">
        <v>11964</v>
      </c>
      <c r="BK698" s="1" t="s">
        <v>96</v>
      </c>
      <c r="BL698" s="1" t="s">
        <v>11965</v>
      </c>
      <c r="BM698" s="1" t="s">
        <v>11966</v>
      </c>
      <c r="BN698" s="1" t="s">
        <v>74</v>
      </c>
      <c r="BO698" s="1" t="s">
        <v>74</v>
      </c>
      <c r="BP698" s="1" t="s">
        <v>74</v>
      </c>
      <c r="BQ698" s="1" t="s">
        <v>74</v>
      </c>
      <c r="BR698" s="1" t="s">
        <v>98</v>
      </c>
      <c r="BS698" s="1" t="s">
        <v>11967</v>
      </c>
      <c r="BT698" s="1" t="str">
        <f>HYPERLINK("https%3A%2F%2Fwww.webofscience.com%2Fwos%2Fwoscc%2Ffull-record%2FWOS:000504368400001","View Full Record in Web of Science")</f>
        <v>View Full Record in Web of Science</v>
      </c>
    </row>
    <row r="699" spans="1:72">
      <c r="A699" s="1" t="s">
        <v>72</v>
      </c>
      <c r="B699" s="1" t="s">
        <v>11968</v>
      </c>
      <c r="C699" s="1" t="s">
        <v>74</v>
      </c>
      <c r="D699" s="1" t="s">
        <v>74</v>
      </c>
      <c r="E699" s="1" t="s">
        <v>74</v>
      </c>
      <c r="F699" s="1" t="s">
        <v>11968</v>
      </c>
      <c r="G699" s="1" t="s">
        <v>74</v>
      </c>
      <c r="H699" s="1" t="s">
        <v>74</v>
      </c>
      <c r="I699" s="1" t="s">
        <v>11969</v>
      </c>
      <c r="J699" s="1" t="s">
        <v>421</v>
      </c>
      <c r="K699" s="1" t="s">
        <v>74</v>
      </c>
      <c r="L699" s="1" t="s">
        <v>74</v>
      </c>
      <c r="M699" s="1" t="s">
        <v>78</v>
      </c>
      <c r="N699" s="1" t="s">
        <v>79</v>
      </c>
      <c r="O699" s="1" t="s">
        <v>74</v>
      </c>
      <c r="P699" s="1" t="s">
        <v>74</v>
      </c>
      <c r="Q699" s="1" t="s">
        <v>74</v>
      </c>
      <c r="R699" s="1" t="s">
        <v>74</v>
      </c>
      <c r="S699" s="1" t="s">
        <v>74</v>
      </c>
      <c r="T699" s="1" t="s">
        <v>74</v>
      </c>
      <c r="U699" s="1" t="s">
        <v>74</v>
      </c>
      <c r="V699" s="1" t="s">
        <v>74</v>
      </c>
      <c r="W699" s="1" t="s">
        <v>11970</v>
      </c>
      <c r="X699" s="1" t="s">
        <v>11971</v>
      </c>
      <c r="Y699" s="1" t="s">
        <v>74</v>
      </c>
      <c r="Z699" s="1" t="s">
        <v>74</v>
      </c>
      <c r="AA699" s="1" t="s">
        <v>74</v>
      </c>
      <c r="AB699" s="1" t="s">
        <v>74</v>
      </c>
      <c r="AC699" s="1" t="s">
        <v>74</v>
      </c>
      <c r="AD699" s="1" t="s">
        <v>74</v>
      </c>
      <c r="AE699" s="1" t="s">
        <v>74</v>
      </c>
      <c r="AF699" s="1" t="s">
        <v>74</v>
      </c>
      <c r="AG699" s="1">
        <v>20</v>
      </c>
      <c r="AH699" s="1">
        <v>25</v>
      </c>
      <c r="AI699" s="1">
        <v>25</v>
      </c>
      <c r="AJ699" s="1">
        <v>0</v>
      </c>
      <c r="AK699" s="1">
        <v>3</v>
      </c>
      <c r="AL699" s="1" t="s">
        <v>430</v>
      </c>
      <c r="AM699" s="1" t="s">
        <v>137</v>
      </c>
      <c r="AN699" s="1" t="s">
        <v>1600</v>
      </c>
      <c r="AO699" s="1" t="s">
        <v>432</v>
      </c>
      <c r="AP699" s="1" t="s">
        <v>74</v>
      </c>
      <c r="AQ699" s="1" t="s">
        <v>74</v>
      </c>
      <c r="AR699" s="1" t="s">
        <v>433</v>
      </c>
      <c r="AS699" s="1" t="s">
        <v>434</v>
      </c>
      <c r="AT699" s="1" t="s">
        <v>74</v>
      </c>
      <c r="AU699" s="1">
        <v>1974</v>
      </c>
      <c r="AV699" s="1">
        <v>7</v>
      </c>
      <c r="AW699" s="1">
        <v>2</v>
      </c>
      <c r="AX699" s="1" t="s">
        <v>74</v>
      </c>
      <c r="AY699" s="1" t="s">
        <v>74</v>
      </c>
      <c r="AZ699" s="1" t="s">
        <v>74</v>
      </c>
      <c r="BA699" s="1" t="s">
        <v>74</v>
      </c>
      <c r="BB699" s="1">
        <v>149</v>
      </c>
      <c r="BC699" s="1">
        <v>157</v>
      </c>
      <c r="BD699" s="1" t="s">
        <v>74</v>
      </c>
      <c r="BE699" s="1" t="s">
        <v>11972</v>
      </c>
      <c r="BF699" s="1" t="str">
        <f>HYPERLINK("http://dx.doi.org/10.1016/0013-9327(74)90082-2","http://dx.doi.org/10.1016/0013-9327(74)90082-2")</f>
        <v>http://dx.doi.org/10.1016/0013-9327(74)90082-2</v>
      </c>
      <c r="BG699" s="1" t="s">
        <v>74</v>
      </c>
      <c r="BH699" s="1" t="s">
        <v>74</v>
      </c>
      <c r="BI699" s="1">
        <v>9</v>
      </c>
      <c r="BJ699" s="1" t="s">
        <v>144</v>
      </c>
      <c r="BK699" s="1" t="s">
        <v>96</v>
      </c>
      <c r="BL699" s="1" t="s">
        <v>145</v>
      </c>
      <c r="BM699" s="1" t="s">
        <v>11973</v>
      </c>
      <c r="BN699" s="1" t="s">
        <v>74</v>
      </c>
      <c r="BO699" s="1" t="s">
        <v>74</v>
      </c>
      <c r="BP699" s="1" t="s">
        <v>74</v>
      </c>
      <c r="BQ699" s="1" t="s">
        <v>74</v>
      </c>
      <c r="BR699" s="1" t="s">
        <v>98</v>
      </c>
      <c r="BS699" s="1" t="s">
        <v>11974</v>
      </c>
      <c r="BT699" s="1" t="str">
        <f>HYPERLINK("https%3A%2F%2Fwww.webofscience.com%2Fwos%2Fwoscc%2Ffull-record%2FWOS:A1974U789700008","View Full Record in Web of Science")</f>
        <v>View Full Record in Web of Science</v>
      </c>
    </row>
    <row r="700" spans="1:72">
      <c r="A700" s="1" t="s">
        <v>72</v>
      </c>
      <c r="B700" s="1" t="s">
        <v>11975</v>
      </c>
      <c r="C700" s="1" t="s">
        <v>74</v>
      </c>
      <c r="D700" s="1" t="s">
        <v>74</v>
      </c>
      <c r="E700" s="1" t="s">
        <v>74</v>
      </c>
      <c r="F700" s="1" t="s">
        <v>11976</v>
      </c>
      <c r="G700" s="1" t="s">
        <v>74</v>
      </c>
      <c r="H700" s="1" t="s">
        <v>74</v>
      </c>
      <c r="I700" s="1" t="s">
        <v>11977</v>
      </c>
      <c r="J700" s="1" t="s">
        <v>641</v>
      </c>
      <c r="K700" s="1" t="s">
        <v>74</v>
      </c>
      <c r="L700" s="1" t="s">
        <v>74</v>
      </c>
      <c r="M700" s="1" t="s">
        <v>78</v>
      </c>
      <c r="N700" s="1" t="s">
        <v>79</v>
      </c>
      <c r="O700" s="1" t="s">
        <v>74</v>
      </c>
      <c r="P700" s="1" t="s">
        <v>74</v>
      </c>
      <c r="Q700" s="1" t="s">
        <v>74</v>
      </c>
      <c r="R700" s="1" t="s">
        <v>74</v>
      </c>
      <c r="S700" s="1" t="s">
        <v>74</v>
      </c>
      <c r="T700" s="1" t="s">
        <v>11978</v>
      </c>
      <c r="U700" s="1" t="s">
        <v>11979</v>
      </c>
      <c r="V700" s="1" t="s">
        <v>11980</v>
      </c>
      <c r="W700" s="1" t="s">
        <v>11981</v>
      </c>
      <c r="X700" s="1" t="s">
        <v>11982</v>
      </c>
      <c r="Y700" s="1" t="s">
        <v>11543</v>
      </c>
      <c r="Z700" s="1" t="s">
        <v>1483</v>
      </c>
      <c r="AA700" s="1" t="s">
        <v>2900</v>
      </c>
      <c r="AB700" s="1" t="s">
        <v>2183</v>
      </c>
      <c r="AC700" s="1" t="s">
        <v>11983</v>
      </c>
      <c r="AD700" s="1" t="s">
        <v>11984</v>
      </c>
      <c r="AE700" s="1" t="s">
        <v>11985</v>
      </c>
      <c r="AF700" s="1" t="s">
        <v>74</v>
      </c>
      <c r="AG700" s="1">
        <v>47</v>
      </c>
      <c r="AH700" s="1">
        <v>35</v>
      </c>
      <c r="AI700" s="1">
        <v>41</v>
      </c>
      <c r="AJ700" s="1">
        <v>1</v>
      </c>
      <c r="AK700" s="1">
        <v>61</v>
      </c>
      <c r="AL700" s="1" t="s">
        <v>650</v>
      </c>
      <c r="AM700" s="1" t="s">
        <v>651</v>
      </c>
      <c r="AN700" s="1" t="s">
        <v>652</v>
      </c>
      <c r="AO700" s="1" t="s">
        <v>653</v>
      </c>
      <c r="AP700" s="1" t="s">
        <v>654</v>
      </c>
      <c r="AQ700" s="1" t="s">
        <v>74</v>
      </c>
      <c r="AR700" s="1" t="s">
        <v>655</v>
      </c>
      <c r="AS700" s="1" t="s">
        <v>656</v>
      </c>
      <c r="AT700" s="1" t="s">
        <v>1470</v>
      </c>
      <c r="AU700" s="1">
        <v>2014</v>
      </c>
      <c r="AV700" s="1">
        <v>146</v>
      </c>
      <c r="AW700" s="1" t="s">
        <v>74</v>
      </c>
      <c r="AX700" s="1" t="s">
        <v>74</v>
      </c>
      <c r="AY700" s="1" t="s">
        <v>74</v>
      </c>
      <c r="AZ700" s="1" t="s">
        <v>74</v>
      </c>
      <c r="BA700" s="1" t="s">
        <v>74</v>
      </c>
      <c r="BB700" s="1">
        <v>61</v>
      </c>
      <c r="BC700" s="1">
        <v>69</v>
      </c>
      <c r="BD700" s="1" t="s">
        <v>74</v>
      </c>
      <c r="BE700" s="1" t="s">
        <v>11986</v>
      </c>
      <c r="BF700" s="1" t="str">
        <f>HYPERLINK("http://dx.doi.org/10.1016/j.aquatox.2013.10.036","http://dx.doi.org/10.1016/j.aquatox.2013.10.036")</f>
        <v>http://dx.doi.org/10.1016/j.aquatox.2013.10.036</v>
      </c>
      <c r="BG700" s="1" t="s">
        <v>74</v>
      </c>
      <c r="BH700" s="1" t="s">
        <v>74</v>
      </c>
      <c r="BI700" s="1">
        <v>9</v>
      </c>
      <c r="BJ700" s="1" t="s">
        <v>659</v>
      </c>
      <c r="BK700" s="1" t="s">
        <v>96</v>
      </c>
      <c r="BL700" s="1" t="s">
        <v>659</v>
      </c>
      <c r="BM700" s="1" t="s">
        <v>11987</v>
      </c>
      <c r="BN700" s="1">
        <v>24287138</v>
      </c>
      <c r="BO700" s="1" t="s">
        <v>74</v>
      </c>
      <c r="BP700" s="1" t="s">
        <v>74</v>
      </c>
      <c r="BQ700" s="1" t="s">
        <v>74</v>
      </c>
      <c r="BR700" s="1" t="s">
        <v>98</v>
      </c>
      <c r="BS700" s="1" t="s">
        <v>11988</v>
      </c>
      <c r="BT700" s="1" t="str">
        <f>HYPERLINK("https%3A%2F%2Fwww.webofscience.com%2Fwos%2Fwoscc%2Ffull-record%2FWOS:000331421100008","View Full Record in Web of Science")</f>
        <v>View Full Record in Web of Science</v>
      </c>
    </row>
    <row r="701" spans="1:72">
      <c r="A701" s="1" t="s">
        <v>72</v>
      </c>
      <c r="B701" s="1" t="s">
        <v>11989</v>
      </c>
      <c r="C701" s="1" t="s">
        <v>74</v>
      </c>
      <c r="D701" s="1" t="s">
        <v>74</v>
      </c>
      <c r="E701" s="1" t="s">
        <v>74</v>
      </c>
      <c r="F701" s="1" t="s">
        <v>11990</v>
      </c>
      <c r="G701" s="1" t="s">
        <v>74</v>
      </c>
      <c r="H701" s="1" t="s">
        <v>74</v>
      </c>
      <c r="I701" s="1" t="s">
        <v>11991</v>
      </c>
      <c r="J701" s="1" t="s">
        <v>3349</v>
      </c>
      <c r="K701" s="1" t="s">
        <v>74</v>
      </c>
      <c r="L701" s="1" t="s">
        <v>74</v>
      </c>
      <c r="M701" s="1" t="s">
        <v>78</v>
      </c>
      <c r="N701" s="1" t="s">
        <v>79</v>
      </c>
      <c r="O701" s="1" t="s">
        <v>74</v>
      </c>
      <c r="P701" s="1" t="s">
        <v>74</v>
      </c>
      <c r="Q701" s="1" t="s">
        <v>74</v>
      </c>
      <c r="R701" s="1" t="s">
        <v>74</v>
      </c>
      <c r="S701" s="1" t="s">
        <v>74</v>
      </c>
      <c r="T701" s="1" t="s">
        <v>11992</v>
      </c>
      <c r="U701" s="1" t="s">
        <v>11993</v>
      </c>
      <c r="V701" s="1" t="s">
        <v>11994</v>
      </c>
      <c r="W701" s="1" t="s">
        <v>11995</v>
      </c>
      <c r="X701" s="1" t="s">
        <v>11996</v>
      </c>
      <c r="Y701" s="1" t="s">
        <v>11997</v>
      </c>
      <c r="Z701" s="1" t="s">
        <v>11998</v>
      </c>
      <c r="AA701" s="1" t="s">
        <v>11999</v>
      </c>
      <c r="AB701" s="1" t="s">
        <v>12000</v>
      </c>
      <c r="AC701" s="1" t="s">
        <v>12001</v>
      </c>
      <c r="AD701" s="1" t="s">
        <v>74</v>
      </c>
      <c r="AE701" s="1" t="s">
        <v>12002</v>
      </c>
      <c r="AF701" s="1" t="s">
        <v>74</v>
      </c>
      <c r="AG701" s="1">
        <v>52</v>
      </c>
      <c r="AH701" s="1">
        <v>33</v>
      </c>
      <c r="AI701" s="1">
        <v>33</v>
      </c>
      <c r="AJ701" s="1">
        <v>2</v>
      </c>
      <c r="AK701" s="1">
        <v>11</v>
      </c>
      <c r="AL701" s="1" t="s">
        <v>3362</v>
      </c>
      <c r="AM701" s="1" t="s">
        <v>3363</v>
      </c>
      <c r="AN701" s="1" t="s">
        <v>3364</v>
      </c>
      <c r="AO701" s="1" t="s">
        <v>3365</v>
      </c>
      <c r="AP701" s="1" t="s">
        <v>3366</v>
      </c>
      <c r="AQ701" s="1" t="s">
        <v>74</v>
      </c>
      <c r="AR701" s="1" t="s">
        <v>3367</v>
      </c>
      <c r="AS701" s="1" t="s">
        <v>3368</v>
      </c>
      <c r="AT701" s="1" t="s">
        <v>1223</v>
      </c>
      <c r="AU701" s="1">
        <v>2019</v>
      </c>
      <c r="AV701" s="1">
        <v>169</v>
      </c>
      <c r="AW701" s="1" t="s">
        <v>74</v>
      </c>
      <c r="AX701" s="1" t="s">
        <v>74</v>
      </c>
      <c r="AY701" s="1" t="s">
        <v>74</v>
      </c>
      <c r="AZ701" s="1" t="s">
        <v>74</v>
      </c>
      <c r="BA701" s="1" t="s">
        <v>74</v>
      </c>
      <c r="BB701" s="1">
        <v>600</v>
      </c>
      <c r="BC701" s="1">
        <v>606</v>
      </c>
      <c r="BD701" s="1" t="s">
        <v>74</v>
      </c>
      <c r="BE701" s="1" t="s">
        <v>12003</v>
      </c>
      <c r="BF701" s="1" t="str">
        <f>HYPERLINK("http://dx.doi.org/10.1016/j.ecoenv.2018.11.069","http://dx.doi.org/10.1016/j.ecoenv.2018.11.069")</f>
        <v>http://dx.doi.org/10.1016/j.ecoenv.2018.11.069</v>
      </c>
      <c r="BG701" s="1" t="s">
        <v>74</v>
      </c>
      <c r="BH701" s="1" t="s">
        <v>74</v>
      </c>
      <c r="BI701" s="1">
        <v>7</v>
      </c>
      <c r="BJ701" s="1" t="s">
        <v>121</v>
      </c>
      <c r="BK701" s="1" t="s">
        <v>96</v>
      </c>
      <c r="BL701" s="1" t="s">
        <v>122</v>
      </c>
      <c r="BM701" s="1" t="s">
        <v>12004</v>
      </c>
      <c r="BN701" s="1">
        <v>30496991</v>
      </c>
      <c r="BO701" s="1" t="s">
        <v>74</v>
      </c>
      <c r="BP701" s="1" t="s">
        <v>74</v>
      </c>
      <c r="BQ701" s="1" t="s">
        <v>74</v>
      </c>
      <c r="BR701" s="1" t="s">
        <v>98</v>
      </c>
      <c r="BS701" s="1" t="s">
        <v>12005</v>
      </c>
      <c r="BT701" s="1" t="str">
        <f>HYPERLINK("https%3A%2F%2Fwww.webofscience.com%2Fwos%2Fwoscc%2Ffull-record%2FWOS:000456226600071","View Full Record in Web of Science")</f>
        <v>View Full Record in Web of Science</v>
      </c>
    </row>
    <row r="702" spans="1:72">
      <c r="A702" s="1" t="s">
        <v>72</v>
      </c>
      <c r="B702" s="1" t="s">
        <v>12006</v>
      </c>
      <c r="C702" s="1" t="s">
        <v>74</v>
      </c>
      <c r="D702" s="1" t="s">
        <v>74</v>
      </c>
      <c r="E702" s="1" t="s">
        <v>74</v>
      </c>
      <c r="F702" s="1" t="s">
        <v>12007</v>
      </c>
      <c r="G702" s="1" t="s">
        <v>74</v>
      </c>
      <c r="H702" s="1" t="s">
        <v>74</v>
      </c>
      <c r="I702" s="1" t="s">
        <v>12008</v>
      </c>
      <c r="J702" s="1" t="s">
        <v>232</v>
      </c>
      <c r="K702" s="1" t="s">
        <v>74</v>
      </c>
      <c r="L702" s="1" t="s">
        <v>74</v>
      </c>
      <c r="M702" s="1" t="s">
        <v>78</v>
      </c>
      <c r="N702" s="1" t="s">
        <v>79</v>
      </c>
      <c r="O702" s="1" t="s">
        <v>74</v>
      </c>
      <c r="P702" s="1" t="s">
        <v>74</v>
      </c>
      <c r="Q702" s="1" t="s">
        <v>74</v>
      </c>
      <c r="R702" s="1" t="s">
        <v>74</v>
      </c>
      <c r="S702" s="1" t="s">
        <v>74</v>
      </c>
      <c r="T702" s="1" t="s">
        <v>12009</v>
      </c>
      <c r="U702" s="1" t="s">
        <v>12010</v>
      </c>
      <c r="V702" s="1" t="s">
        <v>12011</v>
      </c>
      <c r="W702" s="1" t="s">
        <v>12012</v>
      </c>
      <c r="X702" s="1" t="s">
        <v>12013</v>
      </c>
      <c r="Y702" s="1" t="s">
        <v>12014</v>
      </c>
      <c r="Z702" s="1" t="s">
        <v>12015</v>
      </c>
      <c r="AA702" s="1" t="s">
        <v>12016</v>
      </c>
      <c r="AB702" s="1" t="s">
        <v>12017</v>
      </c>
      <c r="AC702" s="1" t="s">
        <v>12018</v>
      </c>
      <c r="AD702" s="1" t="s">
        <v>12018</v>
      </c>
      <c r="AE702" s="1" t="s">
        <v>12019</v>
      </c>
      <c r="AF702" s="1" t="s">
        <v>74</v>
      </c>
      <c r="AG702" s="1">
        <v>48</v>
      </c>
      <c r="AH702" s="1">
        <v>17</v>
      </c>
      <c r="AI702" s="1">
        <v>17</v>
      </c>
      <c r="AJ702" s="1">
        <v>1</v>
      </c>
      <c r="AK702" s="1">
        <v>18</v>
      </c>
      <c r="AL702" s="1" t="s">
        <v>136</v>
      </c>
      <c r="AM702" s="1" t="s">
        <v>137</v>
      </c>
      <c r="AN702" s="1" t="s">
        <v>138</v>
      </c>
      <c r="AO702" s="1" t="s">
        <v>240</v>
      </c>
      <c r="AP702" s="1" t="s">
        <v>241</v>
      </c>
      <c r="AQ702" s="1" t="s">
        <v>74</v>
      </c>
      <c r="AR702" s="1" t="s">
        <v>242</v>
      </c>
      <c r="AS702" s="1" t="s">
        <v>243</v>
      </c>
      <c r="AT702" s="1" t="s">
        <v>1965</v>
      </c>
      <c r="AU702" s="1">
        <v>2017</v>
      </c>
      <c r="AV702" s="1">
        <v>125</v>
      </c>
      <c r="AW702" s="1" t="s">
        <v>326</v>
      </c>
      <c r="AX702" s="1" t="s">
        <v>74</v>
      </c>
      <c r="AY702" s="1" t="s">
        <v>74</v>
      </c>
      <c r="AZ702" s="1" t="s">
        <v>74</v>
      </c>
      <c r="BA702" s="1" t="s">
        <v>74</v>
      </c>
      <c r="BB702" s="1">
        <v>19</v>
      </c>
      <c r="BC702" s="1">
        <v>29</v>
      </c>
      <c r="BD702" s="1" t="s">
        <v>74</v>
      </c>
      <c r="BE702" s="1" t="s">
        <v>12020</v>
      </c>
      <c r="BF702" s="1" t="str">
        <f>HYPERLINK("http://dx.doi.org/10.1016/j.marpolbul.2017.07.075","http://dx.doi.org/10.1016/j.marpolbul.2017.07.075")</f>
        <v>http://dx.doi.org/10.1016/j.marpolbul.2017.07.075</v>
      </c>
      <c r="BG702" s="1" t="s">
        <v>74</v>
      </c>
      <c r="BH702" s="1" t="s">
        <v>74</v>
      </c>
      <c r="BI702" s="1">
        <v>11</v>
      </c>
      <c r="BJ702" s="1" t="s">
        <v>247</v>
      </c>
      <c r="BK702" s="1" t="s">
        <v>96</v>
      </c>
      <c r="BL702" s="1" t="s">
        <v>248</v>
      </c>
      <c r="BM702" s="1" t="s">
        <v>12021</v>
      </c>
      <c r="BN702" s="1">
        <v>28781185</v>
      </c>
      <c r="BO702" s="1" t="s">
        <v>74</v>
      </c>
      <c r="BP702" s="1" t="s">
        <v>74</v>
      </c>
      <c r="BQ702" s="1" t="s">
        <v>74</v>
      </c>
      <c r="BR702" s="1" t="s">
        <v>98</v>
      </c>
      <c r="BS702" s="1" t="s">
        <v>12022</v>
      </c>
      <c r="BT702" s="1" t="str">
        <f>HYPERLINK("https%3A%2F%2Fwww.webofscience.com%2Fwos%2Fwoscc%2Ffull-record%2FWOS:000418727000016","View Full Record in Web of Science")</f>
        <v>View Full Record in Web of Science</v>
      </c>
    </row>
    <row r="703" spans="1:72">
      <c r="A703" s="1" t="s">
        <v>72</v>
      </c>
      <c r="B703" s="1" t="s">
        <v>12023</v>
      </c>
      <c r="C703" s="1" t="s">
        <v>74</v>
      </c>
      <c r="D703" s="1" t="s">
        <v>74</v>
      </c>
      <c r="E703" s="1" t="s">
        <v>74</v>
      </c>
      <c r="F703" s="1" t="s">
        <v>12024</v>
      </c>
      <c r="G703" s="1" t="s">
        <v>74</v>
      </c>
      <c r="H703" s="1" t="s">
        <v>74</v>
      </c>
      <c r="I703" s="1" t="s">
        <v>12025</v>
      </c>
      <c r="J703" s="1" t="s">
        <v>179</v>
      </c>
      <c r="K703" s="1" t="s">
        <v>74</v>
      </c>
      <c r="L703" s="1" t="s">
        <v>74</v>
      </c>
      <c r="M703" s="1" t="s">
        <v>78</v>
      </c>
      <c r="N703" s="1" t="s">
        <v>79</v>
      </c>
      <c r="O703" s="1" t="s">
        <v>74</v>
      </c>
      <c r="P703" s="1" t="s">
        <v>74</v>
      </c>
      <c r="Q703" s="1" t="s">
        <v>74</v>
      </c>
      <c r="R703" s="1" t="s">
        <v>74</v>
      </c>
      <c r="S703" s="1" t="s">
        <v>74</v>
      </c>
      <c r="T703" s="1" t="s">
        <v>12026</v>
      </c>
      <c r="U703" s="1" t="s">
        <v>12027</v>
      </c>
      <c r="V703" s="1" t="s">
        <v>12028</v>
      </c>
      <c r="W703" s="1" t="s">
        <v>12029</v>
      </c>
      <c r="X703" s="1" t="s">
        <v>12030</v>
      </c>
      <c r="Y703" s="1" t="s">
        <v>12031</v>
      </c>
      <c r="Z703" s="1" t="s">
        <v>12032</v>
      </c>
      <c r="AA703" s="1" t="s">
        <v>12033</v>
      </c>
      <c r="AB703" s="1" t="s">
        <v>74</v>
      </c>
      <c r="AC703" s="1" t="s">
        <v>12034</v>
      </c>
      <c r="AD703" s="1" t="s">
        <v>12034</v>
      </c>
      <c r="AE703" s="1" t="s">
        <v>12035</v>
      </c>
      <c r="AF703" s="1" t="s">
        <v>74</v>
      </c>
      <c r="AG703" s="1">
        <v>72</v>
      </c>
      <c r="AH703" s="1">
        <v>4</v>
      </c>
      <c r="AI703" s="1">
        <v>4</v>
      </c>
      <c r="AJ703" s="1">
        <v>0</v>
      </c>
      <c r="AK703" s="1">
        <v>28</v>
      </c>
      <c r="AL703" s="1" t="s">
        <v>112</v>
      </c>
      <c r="AM703" s="1" t="s">
        <v>191</v>
      </c>
      <c r="AN703" s="1" t="s">
        <v>192</v>
      </c>
      <c r="AO703" s="1" t="s">
        <v>193</v>
      </c>
      <c r="AP703" s="1" t="s">
        <v>194</v>
      </c>
      <c r="AQ703" s="1" t="s">
        <v>74</v>
      </c>
      <c r="AR703" s="1" t="s">
        <v>195</v>
      </c>
      <c r="AS703" s="1" t="s">
        <v>196</v>
      </c>
      <c r="AT703" s="1" t="s">
        <v>142</v>
      </c>
      <c r="AU703" s="1">
        <v>2017</v>
      </c>
      <c r="AV703" s="1">
        <v>189</v>
      </c>
      <c r="AW703" s="1">
        <v>6</v>
      </c>
      <c r="AX703" s="1" t="s">
        <v>74</v>
      </c>
      <c r="AY703" s="1" t="s">
        <v>74</v>
      </c>
      <c r="AZ703" s="1" t="s">
        <v>74</v>
      </c>
      <c r="BA703" s="1" t="s">
        <v>74</v>
      </c>
      <c r="BB703" s="1" t="s">
        <v>74</v>
      </c>
      <c r="BC703" s="1" t="s">
        <v>74</v>
      </c>
      <c r="BD703" s="1">
        <v>299</v>
      </c>
      <c r="BE703" s="1" t="s">
        <v>12036</v>
      </c>
      <c r="BF703" s="1" t="str">
        <f>HYPERLINK("http://dx.doi.org/10.1007/s10661-017-5995-2","http://dx.doi.org/10.1007/s10661-017-5995-2")</f>
        <v>http://dx.doi.org/10.1007/s10661-017-5995-2</v>
      </c>
      <c r="BG703" s="1" t="s">
        <v>74</v>
      </c>
      <c r="BH703" s="1" t="s">
        <v>74</v>
      </c>
      <c r="BI703" s="1">
        <v>15</v>
      </c>
      <c r="BJ703" s="1" t="s">
        <v>144</v>
      </c>
      <c r="BK703" s="1" t="s">
        <v>96</v>
      </c>
      <c r="BL703" s="1" t="s">
        <v>145</v>
      </c>
      <c r="BM703" s="1" t="s">
        <v>12037</v>
      </c>
      <c r="BN703" s="1" t="s">
        <v>74</v>
      </c>
      <c r="BO703" s="1" t="s">
        <v>74</v>
      </c>
      <c r="BP703" s="1" t="s">
        <v>74</v>
      </c>
      <c r="BQ703" s="1" t="s">
        <v>74</v>
      </c>
      <c r="BR703" s="1" t="s">
        <v>98</v>
      </c>
      <c r="BS703" s="1" t="s">
        <v>12038</v>
      </c>
      <c r="BT703" s="1" t="str">
        <f>HYPERLINK("https%3A%2F%2Fwww.webofscience.com%2Fwos%2Fwoscc%2Ffull-record%2FWOS:000403083300056","View Full Record in Web of Science")</f>
        <v>View Full Record in Web of Science</v>
      </c>
    </row>
    <row r="704" spans="1:72">
      <c r="A704" s="1" t="s">
        <v>72</v>
      </c>
      <c r="B704" s="1" t="s">
        <v>12039</v>
      </c>
      <c r="C704" s="1" t="s">
        <v>74</v>
      </c>
      <c r="D704" s="1" t="s">
        <v>74</v>
      </c>
      <c r="E704" s="1" t="s">
        <v>74</v>
      </c>
      <c r="F704" s="1" t="s">
        <v>12040</v>
      </c>
      <c r="G704" s="1" t="s">
        <v>74</v>
      </c>
      <c r="H704" s="1" t="s">
        <v>74</v>
      </c>
      <c r="I704" s="1" t="s">
        <v>12041</v>
      </c>
      <c r="J704" s="1" t="s">
        <v>2984</v>
      </c>
      <c r="K704" s="1" t="s">
        <v>74</v>
      </c>
      <c r="L704" s="1" t="s">
        <v>74</v>
      </c>
      <c r="M704" s="1" t="s">
        <v>78</v>
      </c>
      <c r="N704" s="1" t="s">
        <v>79</v>
      </c>
      <c r="O704" s="1" t="s">
        <v>74</v>
      </c>
      <c r="P704" s="1" t="s">
        <v>74</v>
      </c>
      <c r="Q704" s="1" t="s">
        <v>74</v>
      </c>
      <c r="R704" s="1" t="s">
        <v>74</v>
      </c>
      <c r="S704" s="1" t="s">
        <v>74</v>
      </c>
      <c r="T704" s="1" t="s">
        <v>12042</v>
      </c>
      <c r="U704" s="1" t="s">
        <v>12043</v>
      </c>
      <c r="V704" s="1" t="s">
        <v>12044</v>
      </c>
      <c r="W704" s="1" t="s">
        <v>12045</v>
      </c>
      <c r="X704" s="1" t="s">
        <v>12046</v>
      </c>
      <c r="Y704" s="1" t="s">
        <v>12047</v>
      </c>
      <c r="Z704" s="1" t="s">
        <v>12048</v>
      </c>
      <c r="AA704" s="1" t="s">
        <v>12049</v>
      </c>
      <c r="AB704" s="1" t="s">
        <v>74</v>
      </c>
      <c r="AC704" s="1" t="s">
        <v>12050</v>
      </c>
      <c r="AD704" s="1" t="s">
        <v>12051</v>
      </c>
      <c r="AE704" s="1" t="s">
        <v>12052</v>
      </c>
      <c r="AF704" s="1" t="s">
        <v>74</v>
      </c>
      <c r="AG704" s="1">
        <v>65</v>
      </c>
      <c r="AH704" s="1">
        <v>5</v>
      </c>
      <c r="AI704" s="1">
        <v>5</v>
      </c>
      <c r="AJ704" s="1">
        <v>6</v>
      </c>
      <c r="AK704" s="1">
        <v>27</v>
      </c>
      <c r="AL704" s="1" t="s">
        <v>112</v>
      </c>
      <c r="AM704" s="1" t="s">
        <v>191</v>
      </c>
      <c r="AN704" s="1" t="s">
        <v>192</v>
      </c>
      <c r="AO704" s="1" t="s">
        <v>2994</v>
      </c>
      <c r="AP704" s="1" t="s">
        <v>2995</v>
      </c>
      <c r="AQ704" s="1" t="s">
        <v>74</v>
      </c>
      <c r="AR704" s="1" t="s">
        <v>2996</v>
      </c>
      <c r="AS704" s="1" t="s">
        <v>2997</v>
      </c>
      <c r="AT704" s="1" t="s">
        <v>197</v>
      </c>
      <c r="AU704" s="1">
        <v>2023</v>
      </c>
      <c r="AV704" s="1">
        <v>45</v>
      </c>
      <c r="AW704" s="1">
        <v>12</v>
      </c>
      <c r="AX704" s="1" t="s">
        <v>74</v>
      </c>
      <c r="AY704" s="1" t="s">
        <v>74</v>
      </c>
      <c r="AZ704" s="1" t="s">
        <v>225</v>
      </c>
      <c r="BA704" s="1" t="s">
        <v>74</v>
      </c>
      <c r="BB704" s="1">
        <v>9599</v>
      </c>
      <c r="BC704" s="1">
        <v>9619</v>
      </c>
      <c r="BD704" s="1" t="s">
        <v>74</v>
      </c>
      <c r="BE704" s="1" t="s">
        <v>12053</v>
      </c>
      <c r="BF704" s="1" t="str">
        <f>HYPERLINK("http://dx.doi.org/10.1007/s10653-023-01756-9","http://dx.doi.org/10.1007/s10653-023-01756-9")</f>
        <v>http://dx.doi.org/10.1007/s10653-023-01756-9</v>
      </c>
      <c r="BG704" s="1" t="s">
        <v>74</v>
      </c>
      <c r="BH704" s="1" t="s">
        <v>2000</v>
      </c>
      <c r="BI704" s="1">
        <v>21</v>
      </c>
      <c r="BJ704" s="1" t="s">
        <v>2999</v>
      </c>
      <c r="BK704" s="1" t="s">
        <v>96</v>
      </c>
      <c r="BL704" s="1" t="s">
        <v>3000</v>
      </c>
      <c r="BM704" s="1" t="s">
        <v>12054</v>
      </c>
      <c r="BN704" s="1">
        <v>37776470</v>
      </c>
      <c r="BO704" s="1" t="s">
        <v>74</v>
      </c>
      <c r="BP704" s="1" t="s">
        <v>74</v>
      </c>
      <c r="BQ704" s="1" t="s">
        <v>74</v>
      </c>
      <c r="BR704" s="1" t="s">
        <v>98</v>
      </c>
      <c r="BS704" s="1" t="s">
        <v>12055</v>
      </c>
      <c r="BT704" s="1" t="str">
        <f>HYPERLINK("https%3A%2F%2Fwww.webofscience.com%2Fwos%2Fwoscc%2Ffull-record%2FWOS:001075429500001","View Full Record in Web of Science")</f>
        <v>View Full Record in Web of Science</v>
      </c>
    </row>
    <row r="705" spans="1:72">
      <c r="A705" s="1" t="s">
        <v>72</v>
      </c>
      <c r="B705" s="1" t="s">
        <v>12056</v>
      </c>
      <c r="C705" s="1" t="s">
        <v>74</v>
      </c>
      <c r="D705" s="1" t="s">
        <v>74</v>
      </c>
      <c r="E705" s="1" t="s">
        <v>74</v>
      </c>
      <c r="F705" s="1" t="s">
        <v>12057</v>
      </c>
      <c r="G705" s="1" t="s">
        <v>74</v>
      </c>
      <c r="H705" s="1" t="s">
        <v>74</v>
      </c>
      <c r="I705" s="1" t="s">
        <v>12058</v>
      </c>
      <c r="J705" s="1" t="s">
        <v>204</v>
      </c>
      <c r="K705" s="1" t="s">
        <v>74</v>
      </c>
      <c r="L705" s="1" t="s">
        <v>74</v>
      </c>
      <c r="M705" s="1" t="s">
        <v>78</v>
      </c>
      <c r="N705" s="1" t="s">
        <v>79</v>
      </c>
      <c r="O705" s="1" t="s">
        <v>74</v>
      </c>
      <c r="P705" s="1" t="s">
        <v>74</v>
      </c>
      <c r="Q705" s="1" t="s">
        <v>74</v>
      </c>
      <c r="R705" s="1" t="s">
        <v>74</v>
      </c>
      <c r="S705" s="1" t="s">
        <v>74</v>
      </c>
      <c r="T705" s="1" t="s">
        <v>12059</v>
      </c>
      <c r="U705" s="1" t="s">
        <v>12060</v>
      </c>
      <c r="V705" s="1" t="s">
        <v>12061</v>
      </c>
      <c r="W705" s="1" t="s">
        <v>12062</v>
      </c>
      <c r="X705" s="1" t="s">
        <v>12063</v>
      </c>
      <c r="Y705" s="1" t="s">
        <v>12064</v>
      </c>
      <c r="Z705" s="1" t="s">
        <v>12065</v>
      </c>
      <c r="AA705" s="1" t="s">
        <v>12066</v>
      </c>
      <c r="AB705" s="1" t="s">
        <v>12067</v>
      </c>
      <c r="AC705" s="1" t="s">
        <v>74</v>
      </c>
      <c r="AD705" s="1" t="s">
        <v>74</v>
      </c>
      <c r="AE705" s="1" t="s">
        <v>74</v>
      </c>
      <c r="AF705" s="1" t="s">
        <v>74</v>
      </c>
      <c r="AG705" s="1">
        <v>97</v>
      </c>
      <c r="AH705" s="1">
        <v>55</v>
      </c>
      <c r="AI705" s="1">
        <v>58</v>
      </c>
      <c r="AJ705" s="1">
        <v>0</v>
      </c>
      <c r="AK705" s="1">
        <v>56</v>
      </c>
      <c r="AL705" s="1" t="s">
        <v>217</v>
      </c>
      <c r="AM705" s="1" t="s">
        <v>218</v>
      </c>
      <c r="AN705" s="1" t="s">
        <v>219</v>
      </c>
      <c r="AO705" s="1" t="s">
        <v>220</v>
      </c>
      <c r="AP705" s="1" t="s">
        <v>221</v>
      </c>
      <c r="AQ705" s="1" t="s">
        <v>74</v>
      </c>
      <c r="AR705" s="1" t="s">
        <v>222</v>
      </c>
      <c r="AS705" s="1" t="s">
        <v>223</v>
      </c>
      <c r="AT705" s="1" t="s">
        <v>119</v>
      </c>
      <c r="AU705" s="1">
        <v>2016</v>
      </c>
      <c r="AV705" s="1">
        <v>23</v>
      </c>
      <c r="AW705" s="1">
        <v>15</v>
      </c>
      <c r="AX705" s="1" t="s">
        <v>74</v>
      </c>
      <c r="AY705" s="1" t="s">
        <v>74</v>
      </c>
      <c r="AZ705" s="1" t="s">
        <v>74</v>
      </c>
      <c r="BA705" s="1" t="s">
        <v>74</v>
      </c>
      <c r="BB705" s="1">
        <v>15275</v>
      </c>
      <c r="BC705" s="1">
        <v>15293</v>
      </c>
      <c r="BD705" s="1" t="s">
        <v>74</v>
      </c>
      <c r="BE705" s="1" t="s">
        <v>12068</v>
      </c>
      <c r="BF705" s="1" t="str">
        <f>HYPERLINK("http://dx.doi.org/10.1007/s11356-016-6690-5","http://dx.doi.org/10.1007/s11356-016-6690-5")</f>
        <v>http://dx.doi.org/10.1007/s11356-016-6690-5</v>
      </c>
      <c r="BG705" s="1" t="s">
        <v>74</v>
      </c>
      <c r="BH705" s="1" t="s">
        <v>74</v>
      </c>
      <c r="BI705" s="1">
        <v>19</v>
      </c>
      <c r="BJ705" s="1" t="s">
        <v>144</v>
      </c>
      <c r="BK705" s="1" t="s">
        <v>96</v>
      </c>
      <c r="BL705" s="1" t="s">
        <v>145</v>
      </c>
      <c r="BM705" s="1" t="s">
        <v>12069</v>
      </c>
      <c r="BN705" s="1">
        <v>27102620</v>
      </c>
      <c r="BO705" s="1" t="s">
        <v>74</v>
      </c>
      <c r="BP705" s="1" t="s">
        <v>74</v>
      </c>
      <c r="BQ705" s="1" t="s">
        <v>74</v>
      </c>
      <c r="BR705" s="1" t="s">
        <v>98</v>
      </c>
      <c r="BS705" s="1" t="s">
        <v>12070</v>
      </c>
      <c r="BT705" s="1" t="str">
        <f>HYPERLINK("https%3A%2F%2Fwww.webofscience.com%2Fwos%2Fwoscc%2Ffull-record%2FWOS:000380369900055","View Full Record in Web of Science")</f>
        <v>View Full Record in Web of Science</v>
      </c>
    </row>
    <row r="706" spans="1:72">
      <c r="A706" s="1" t="s">
        <v>72</v>
      </c>
      <c r="B706" s="1" t="s">
        <v>12071</v>
      </c>
      <c r="C706" s="1" t="s">
        <v>74</v>
      </c>
      <c r="D706" s="1" t="s">
        <v>74</v>
      </c>
      <c r="E706" s="1" t="s">
        <v>74</v>
      </c>
      <c r="F706" s="1" t="s">
        <v>12072</v>
      </c>
      <c r="G706" s="1" t="s">
        <v>74</v>
      </c>
      <c r="H706" s="1" t="s">
        <v>74</v>
      </c>
      <c r="I706" s="1" t="s">
        <v>12073</v>
      </c>
      <c r="J706" s="1" t="s">
        <v>641</v>
      </c>
      <c r="K706" s="1" t="s">
        <v>74</v>
      </c>
      <c r="L706" s="1" t="s">
        <v>74</v>
      </c>
      <c r="M706" s="1" t="s">
        <v>78</v>
      </c>
      <c r="N706" s="1" t="s">
        <v>79</v>
      </c>
      <c r="O706" s="1" t="s">
        <v>74</v>
      </c>
      <c r="P706" s="1" t="s">
        <v>74</v>
      </c>
      <c r="Q706" s="1" t="s">
        <v>74</v>
      </c>
      <c r="R706" s="1" t="s">
        <v>74</v>
      </c>
      <c r="S706" s="1" t="s">
        <v>74</v>
      </c>
      <c r="T706" s="1" t="s">
        <v>12074</v>
      </c>
      <c r="U706" s="1" t="s">
        <v>12075</v>
      </c>
      <c r="V706" s="1" t="s">
        <v>12076</v>
      </c>
      <c r="W706" s="1" t="s">
        <v>12077</v>
      </c>
      <c r="X706" s="1" t="s">
        <v>12078</v>
      </c>
      <c r="Y706" s="1" t="s">
        <v>12079</v>
      </c>
      <c r="Z706" s="1" t="s">
        <v>8223</v>
      </c>
      <c r="AA706" s="1" t="s">
        <v>74</v>
      </c>
      <c r="AB706" s="1" t="s">
        <v>12080</v>
      </c>
      <c r="AC706" s="1" t="s">
        <v>12081</v>
      </c>
      <c r="AD706" s="1" t="s">
        <v>12081</v>
      </c>
      <c r="AE706" s="1" t="s">
        <v>12082</v>
      </c>
      <c r="AF706" s="1" t="s">
        <v>74</v>
      </c>
      <c r="AG706" s="1">
        <v>84</v>
      </c>
      <c r="AH706" s="1">
        <v>28</v>
      </c>
      <c r="AI706" s="1">
        <v>34</v>
      </c>
      <c r="AJ706" s="1">
        <v>0</v>
      </c>
      <c r="AK706" s="1">
        <v>34</v>
      </c>
      <c r="AL706" s="1" t="s">
        <v>650</v>
      </c>
      <c r="AM706" s="1" t="s">
        <v>651</v>
      </c>
      <c r="AN706" s="1" t="s">
        <v>652</v>
      </c>
      <c r="AO706" s="1" t="s">
        <v>653</v>
      </c>
      <c r="AP706" s="1" t="s">
        <v>654</v>
      </c>
      <c r="AQ706" s="1" t="s">
        <v>74</v>
      </c>
      <c r="AR706" s="1" t="s">
        <v>655</v>
      </c>
      <c r="AS706" s="1" t="s">
        <v>656</v>
      </c>
      <c r="AT706" s="1" t="s">
        <v>1223</v>
      </c>
      <c r="AU706" s="1">
        <v>2012</v>
      </c>
      <c r="AV706" s="1">
        <v>109</v>
      </c>
      <c r="AW706" s="1" t="s">
        <v>74</v>
      </c>
      <c r="AX706" s="1" t="s">
        <v>74</v>
      </c>
      <c r="AY706" s="1" t="s">
        <v>74</v>
      </c>
      <c r="AZ706" s="1" t="s">
        <v>74</v>
      </c>
      <c r="BA706" s="1" t="s">
        <v>74</v>
      </c>
      <c r="BB706" s="1">
        <v>213</v>
      </c>
      <c r="BC706" s="1">
        <v>221</v>
      </c>
      <c r="BD706" s="1" t="s">
        <v>74</v>
      </c>
      <c r="BE706" s="1" t="s">
        <v>12083</v>
      </c>
      <c r="BF706" s="1" t="str">
        <f>HYPERLINK("http://dx.doi.org/10.1016/j.aquatox.2011.09.017","http://dx.doi.org/10.1016/j.aquatox.2011.09.017")</f>
        <v>http://dx.doi.org/10.1016/j.aquatox.2011.09.017</v>
      </c>
      <c r="BG706" s="1" t="s">
        <v>74</v>
      </c>
      <c r="BH706" s="1" t="s">
        <v>74</v>
      </c>
      <c r="BI706" s="1">
        <v>9</v>
      </c>
      <c r="BJ706" s="1" t="s">
        <v>659</v>
      </c>
      <c r="BK706" s="1" t="s">
        <v>96</v>
      </c>
      <c r="BL706" s="1" t="s">
        <v>659</v>
      </c>
      <c r="BM706" s="1" t="s">
        <v>12084</v>
      </c>
      <c r="BN706" s="1">
        <v>22018399</v>
      </c>
      <c r="BO706" s="1" t="s">
        <v>74</v>
      </c>
      <c r="BP706" s="1" t="s">
        <v>74</v>
      </c>
      <c r="BQ706" s="1" t="s">
        <v>74</v>
      </c>
      <c r="BR706" s="1" t="s">
        <v>98</v>
      </c>
      <c r="BS706" s="1" t="s">
        <v>12085</v>
      </c>
      <c r="BT706" s="1" t="str">
        <f>HYPERLINK("https%3A%2F%2Fwww.webofscience.com%2Fwos%2Fwoscc%2Ffull-record%2FWOS:000301691000024","View Full Record in Web of Science")</f>
        <v>View Full Record in Web of Science</v>
      </c>
    </row>
    <row r="707" spans="1:72">
      <c r="A707" s="1" t="s">
        <v>72</v>
      </c>
      <c r="B707" s="1" t="s">
        <v>12086</v>
      </c>
      <c r="C707" s="1" t="s">
        <v>74</v>
      </c>
      <c r="D707" s="1" t="s">
        <v>74</v>
      </c>
      <c r="E707" s="1" t="s">
        <v>74</v>
      </c>
      <c r="F707" s="1" t="s">
        <v>12087</v>
      </c>
      <c r="G707" s="1" t="s">
        <v>74</v>
      </c>
      <c r="H707" s="1" t="s">
        <v>74</v>
      </c>
      <c r="I707" s="1" t="s">
        <v>12088</v>
      </c>
      <c r="J707" s="1" t="s">
        <v>232</v>
      </c>
      <c r="K707" s="1" t="s">
        <v>74</v>
      </c>
      <c r="L707" s="1" t="s">
        <v>74</v>
      </c>
      <c r="M707" s="1" t="s">
        <v>78</v>
      </c>
      <c r="N707" s="1" t="s">
        <v>79</v>
      </c>
      <c r="O707" s="1" t="s">
        <v>74</v>
      </c>
      <c r="P707" s="1" t="s">
        <v>74</v>
      </c>
      <c r="Q707" s="1" t="s">
        <v>74</v>
      </c>
      <c r="R707" s="1" t="s">
        <v>74</v>
      </c>
      <c r="S707" s="1" t="s">
        <v>74</v>
      </c>
      <c r="T707" s="1" t="s">
        <v>12089</v>
      </c>
      <c r="U707" s="1" t="s">
        <v>12090</v>
      </c>
      <c r="V707" s="1" t="s">
        <v>12091</v>
      </c>
      <c r="W707" s="1" t="s">
        <v>12092</v>
      </c>
      <c r="X707" s="1" t="s">
        <v>12093</v>
      </c>
      <c r="Y707" s="1" t="s">
        <v>12094</v>
      </c>
      <c r="Z707" s="1" t="s">
        <v>12095</v>
      </c>
      <c r="AA707" s="1" t="s">
        <v>12096</v>
      </c>
      <c r="AB707" s="1" t="s">
        <v>12097</v>
      </c>
      <c r="AC707" s="1" t="s">
        <v>12098</v>
      </c>
      <c r="AD707" s="1" t="s">
        <v>12099</v>
      </c>
      <c r="AE707" s="1" t="s">
        <v>12100</v>
      </c>
      <c r="AF707" s="1" t="s">
        <v>74</v>
      </c>
      <c r="AG707" s="1">
        <v>91</v>
      </c>
      <c r="AH707" s="1">
        <v>29</v>
      </c>
      <c r="AI707" s="1">
        <v>31</v>
      </c>
      <c r="AJ707" s="1">
        <v>4</v>
      </c>
      <c r="AK707" s="1">
        <v>32</v>
      </c>
      <c r="AL707" s="1" t="s">
        <v>136</v>
      </c>
      <c r="AM707" s="1" t="s">
        <v>137</v>
      </c>
      <c r="AN707" s="1" t="s">
        <v>138</v>
      </c>
      <c r="AO707" s="1" t="s">
        <v>240</v>
      </c>
      <c r="AP707" s="1" t="s">
        <v>241</v>
      </c>
      <c r="AQ707" s="1" t="s">
        <v>74</v>
      </c>
      <c r="AR707" s="1" t="s">
        <v>242</v>
      </c>
      <c r="AS707" s="1" t="s">
        <v>243</v>
      </c>
      <c r="AT707" s="1" t="s">
        <v>93</v>
      </c>
      <c r="AU707" s="1">
        <v>2020</v>
      </c>
      <c r="AV707" s="1">
        <v>153</v>
      </c>
      <c r="AW707" s="1" t="s">
        <v>74</v>
      </c>
      <c r="AX707" s="1" t="s">
        <v>74</v>
      </c>
      <c r="AY707" s="1" t="s">
        <v>74</v>
      </c>
      <c r="AZ707" s="1" t="s">
        <v>74</v>
      </c>
      <c r="BA707" s="1" t="s">
        <v>74</v>
      </c>
      <c r="BB707" s="1" t="s">
        <v>74</v>
      </c>
      <c r="BC707" s="1" t="s">
        <v>74</v>
      </c>
      <c r="BD707" s="1">
        <v>110970</v>
      </c>
      <c r="BE707" s="1" t="s">
        <v>12101</v>
      </c>
      <c r="BF707" s="1" t="str">
        <f>HYPERLINK("http://dx.doi.org/10.1016/j.marpolbul.2020.110970","http://dx.doi.org/10.1016/j.marpolbul.2020.110970")</f>
        <v>http://dx.doi.org/10.1016/j.marpolbul.2020.110970</v>
      </c>
      <c r="BG707" s="1" t="s">
        <v>74</v>
      </c>
      <c r="BH707" s="1" t="s">
        <v>74</v>
      </c>
      <c r="BI707" s="1">
        <v>9</v>
      </c>
      <c r="BJ707" s="1" t="s">
        <v>247</v>
      </c>
      <c r="BK707" s="1" t="s">
        <v>96</v>
      </c>
      <c r="BL707" s="1" t="s">
        <v>248</v>
      </c>
      <c r="BM707" s="1" t="s">
        <v>8796</v>
      </c>
      <c r="BN707" s="1">
        <v>32275528</v>
      </c>
      <c r="BO707" s="1" t="s">
        <v>74</v>
      </c>
      <c r="BP707" s="1" t="s">
        <v>74</v>
      </c>
      <c r="BQ707" s="1" t="s">
        <v>74</v>
      </c>
      <c r="BR707" s="1" t="s">
        <v>98</v>
      </c>
      <c r="BS707" s="1" t="s">
        <v>12102</v>
      </c>
      <c r="BT707" s="1" t="str">
        <f>HYPERLINK("https%3A%2F%2Fwww.webofscience.com%2Fwos%2Fwoscc%2Ffull-record%2FWOS:000523640200001","View Full Record in Web of Science")</f>
        <v>View Full Record in Web of Science</v>
      </c>
    </row>
    <row r="708" spans="1:72">
      <c r="A708" s="1" t="s">
        <v>72</v>
      </c>
      <c r="B708" s="1" t="s">
        <v>12103</v>
      </c>
      <c r="C708" s="1" t="s">
        <v>74</v>
      </c>
      <c r="D708" s="1" t="s">
        <v>74</v>
      </c>
      <c r="E708" s="1" t="s">
        <v>74</v>
      </c>
      <c r="F708" s="1" t="s">
        <v>12104</v>
      </c>
      <c r="G708" s="1" t="s">
        <v>74</v>
      </c>
      <c r="H708" s="1" t="s">
        <v>74</v>
      </c>
      <c r="I708" s="1" t="s">
        <v>12105</v>
      </c>
      <c r="J708" s="1" t="s">
        <v>12106</v>
      </c>
      <c r="K708" s="1" t="s">
        <v>74</v>
      </c>
      <c r="L708" s="1" t="s">
        <v>74</v>
      </c>
      <c r="M708" s="1" t="s">
        <v>78</v>
      </c>
      <c r="N708" s="1" t="s">
        <v>79</v>
      </c>
      <c r="O708" s="1" t="s">
        <v>74</v>
      </c>
      <c r="P708" s="1" t="s">
        <v>74</v>
      </c>
      <c r="Q708" s="1" t="s">
        <v>74</v>
      </c>
      <c r="R708" s="1" t="s">
        <v>74</v>
      </c>
      <c r="S708" s="1" t="s">
        <v>74</v>
      </c>
      <c r="T708" s="1" t="s">
        <v>12107</v>
      </c>
      <c r="U708" s="1" t="s">
        <v>12108</v>
      </c>
      <c r="V708" s="1" t="s">
        <v>12109</v>
      </c>
      <c r="W708" s="1" t="s">
        <v>12110</v>
      </c>
      <c r="X708" s="1" t="s">
        <v>12111</v>
      </c>
      <c r="Y708" s="1" t="s">
        <v>12112</v>
      </c>
      <c r="Z708" s="1" t="s">
        <v>12113</v>
      </c>
      <c r="AA708" s="1" t="s">
        <v>12114</v>
      </c>
      <c r="AB708" s="1" t="s">
        <v>12115</v>
      </c>
      <c r="AC708" s="1" t="s">
        <v>12116</v>
      </c>
      <c r="AD708" s="1" t="s">
        <v>12117</v>
      </c>
      <c r="AE708" s="1" t="s">
        <v>12118</v>
      </c>
      <c r="AF708" s="1" t="s">
        <v>74</v>
      </c>
      <c r="AG708" s="1">
        <v>36</v>
      </c>
      <c r="AH708" s="1">
        <v>22</v>
      </c>
      <c r="AI708" s="1">
        <v>22</v>
      </c>
      <c r="AJ708" s="1">
        <v>0</v>
      </c>
      <c r="AK708" s="1">
        <v>8</v>
      </c>
      <c r="AL708" s="1" t="s">
        <v>4010</v>
      </c>
      <c r="AM708" s="1" t="s">
        <v>1167</v>
      </c>
      <c r="AN708" s="1" t="s">
        <v>1168</v>
      </c>
      <c r="AO708" s="1" t="s">
        <v>12119</v>
      </c>
      <c r="AP708" s="1" t="s">
        <v>12120</v>
      </c>
      <c r="AQ708" s="1" t="s">
        <v>74</v>
      </c>
      <c r="AR708" s="1" t="s">
        <v>12121</v>
      </c>
      <c r="AS708" s="1" t="s">
        <v>12122</v>
      </c>
      <c r="AT708" s="1" t="s">
        <v>12123</v>
      </c>
      <c r="AU708" s="1">
        <v>2010</v>
      </c>
      <c r="AV708" s="1">
        <v>4</v>
      </c>
      <c r="AW708" s="1">
        <v>3</v>
      </c>
      <c r="AX708" s="1" t="s">
        <v>74</v>
      </c>
      <c r="AY708" s="1" t="s">
        <v>74</v>
      </c>
      <c r="AZ708" s="1" t="s">
        <v>74</v>
      </c>
      <c r="BA708" s="1" t="s">
        <v>74</v>
      </c>
      <c r="BB708" s="1">
        <v>533</v>
      </c>
      <c r="BC708" s="1">
        <v>540</v>
      </c>
      <c r="BD708" s="1" t="s">
        <v>74</v>
      </c>
      <c r="BE708" s="1" t="s">
        <v>74</v>
      </c>
      <c r="BF708" s="1" t="s">
        <v>74</v>
      </c>
      <c r="BG708" s="1" t="s">
        <v>74</v>
      </c>
      <c r="BH708" s="1" t="s">
        <v>74</v>
      </c>
      <c r="BI708" s="1">
        <v>8</v>
      </c>
      <c r="BJ708" s="1" t="s">
        <v>144</v>
      </c>
      <c r="BK708" s="1" t="s">
        <v>96</v>
      </c>
      <c r="BL708" s="1" t="s">
        <v>145</v>
      </c>
      <c r="BM708" s="1" t="s">
        <v>12124</v>
      </c>
      <c r="BN708" s="1" t="s">
        <v>74</v>
      </c>
      <c r="BO708" s="1" t="s">
        <v>74</v>
      </c>
      <c r="BP708" s="1" t="s">
        <v>74</v>
      </c>
      <c r="BQ708" s="1" t="s">
        <v>74</v>
      </c>
      <c r="BR708" s="1" t="s">
        <v>98</v>
      </c>
      <c r="BS708" s="1" t="s">
        <v>12125</v>
      </c>
      <c r="BT708" s="1" t="str">
        <f>HYPERLINK("https%3A%2F%2Fwww.webofscience.com%2Fwos%2Fwoscc%2Ffull-record%2FWOS:000279971400020","View Full Record in Web of Science")</f>
        <v>View Full Record in Web of Science</v>
      </c>
    </row>
    <row r="709" spans="1:72">
      <c r="A709" s="1" t="s">
        <v>72</v>
      </c>
      <c r="B709" s="1" t="s">
        <v>12126</v>
      </c>
      <c r="C709" s="1" t="s">
        <v>74</v>
      </c>
      <c r="D709" s="1" t="s">
        <v>74</v>
      </c>
      <c r="E709" s="1" t="s">
        <v>74</v>
      </c>
      <c r="F709" s="1" t="s">
        <v>12127</v>
      </c>
      <c r="G709" s="1" t="s">
        <v>74</v>
      </c>
      <c r="H709" s="1" t="s">
        <v>74</v>
      </c>
      <c r="I709" s="1" t="s">
        <v>12128</v>
      </c>
      <c r="J709" s="1" t="s">
        <v>12129</v>
      </c>
      <c r="K709" s="1" t="s">
        <v>74</v>
      </c>
      <c r="L709" s="1" t="s">
        <v>74</v>
      </c>
      <c r="M709" s="1" t="s">
        <v>78</v>
      </c>
      <c r="N709" s="1" t="s">
        <v>79</v>
      </c>
      <c r="O709" s="1" t="s">
        <v>74</v>
      </c>
      <c r="P709" s="1" t="s">
        <v>74</v>
      </c>
      <c r="Q709" s="1" t="s">
        <v>74</v>
      </c>
      <c r="R709" s="1" t="s">
        <v>74</v>
      </c>
      <c r="S709" s="1" t="s">
        <v>74</v>
      </c>
      <c r="T709" s="1" t="s">
        <v>12130</v>
      </c>
      <c r="U709" s="1" t="s">
        <v>12131</v>
      </c>
      <c r="V709" s="1" t="s">
        <v>12132</v>
      </c>
      <c r="W709" s="1" t="s">
        <v>12133</v>
      </c>
      <c r="X709" s="1" t="s">
        <v>12134</v>
      </c>
      <c r="Y709" s="1" t="s">
        <v>12135</v>
      </c>
      <c r="Z709" s="1" t="s">
        <v>12136</v>
      </c>
      <c r="AA709" s="1" t="s">
        <v>12137</v>
      </c>
      <c r="AB709" s="1" t="s">
        <v>74</v>
      </c>
      <c r="AC709" s="1" t="s">
        <v>12138</v>
      </c>
      <c r="AD709" s="1" t="s">
        <v>12139</v>
      </c>
      <c r="AE709" s="1" t="s">
        <v>12140</v>
      </c>
      <c r="AF709" s="1" t="s">
        <v>74</v>
      </c>
      <c r="AG709" s="1">
        <v>45</v>
      </c>
      <c r="AH709" s="1">
        <v>2</v>
      </c>
      <c r="AI709" s="1">
        <v>2</v>
      </c>
      <c r="AJ709" s="1">
        <v>0</v>
      </c>
      <c r="AK709" s="1">
        <v>2</v>
      </c>
      <c r="AL709" s="1" t="s">
        <v>1433</v>
      </c>
      <c r="AM709" s="1" t="s">
        <v>1434</v>
      </c>
      <c r="AN709" s="1" t="s">
        <v>1435</v>
      </c>
      <c r="AO709" s="1" t="s">
        <v>1436</v>
      </c>
      <c r="AP709" s="1" t="s">
        <v>12141</v>
      </c>
      <c r="AQ709" s="1" t="s">
        <v>74</v>
      </c>
      <c r="AR709" s="1" t="s">
        <v>12142</v>
      </c>
      <c r="AS709" s="1" t="s">
        <v>12143</v>
      </c>
      <c r="AT709" s="1" t="s">
        <v>267</v>
      </c>
      <c r="AU709" s="1">
        <v>2020</v>
      </c>
      <c r="AV709" s="1">
        <v>49</v>
      </c>
      <c r="AW709" s="1">
        <v>10</v>
      </c>
      <c r="AX709" s="1" t="s">
        <v>74</v>
      </c>
      <c r="AY709" s="1" t="s">
        <v>74</v>
      </c>
      <c r="AZ709" s="1" t="s">
        <v>74</v>
      </c>
      <c r="BA709" s="1" t="s">
        <v>74</v>
      </c>
      <c r="BB709" s="1">
        <v>1627</v>
      </c>
      <c r="BC709" s="1">
        <v>1635</v>
      </c>
      <c r="BD709" s="1" t="s">
        <v>74</v>
      </c>
      <c r="BE709" s="1" t="s">
        <v>74</v>
      </c>
      <c r="BF709" s="1" t="s">
        <v>74</v>
      </c>
      <c r="BG709" s="1" t="s">
        <v>74</v>
      </c>
      <c r="BH709" s="1" t="s">
        <v>74</v>
      </c>
      <c r="BI709" s="1">
        <v>9</v>
      </c>
      <c r="BJ709" s="1" t="s">
        <v>1439</v>
      </c>
      <c r="BK709" s="1" t="s">
        <v>96</v>
      </c>
      <c r="BL709" s="1" t="s">
        <v>1439</v>
      </c>
      <c r="BM709" s="1" t="s">
        <v>12144</v>
      </c>
      <c r="BN709" s="1" t="s">
        <v>74</v>
      </c>
      <c r="BO709" s="1" t="s">
        <v>74</v>
      </c>
      <c r="BP709" s="1" t="s">
        <v>74</v>
      </c>
      <c r="BQ709" s="1" t="s">
        <v>74</v>
      </c>
      <c r="BR709" s="1" t="s">
        <v>98</v>
      </c>
      <c r="BS709" s="1" t="s">
        <v>12145</v>
      </c>
      <c r="BT709" s="1" t="str">
        <f>HYPERLINK("https%3A%2F%2Fwww.webofscience.com%2Fwos%2Fwoscc%2Ffull-record%2FWOS:000588335100003","View Full Record in Web of Science")</f>
        <v>View Full Record in Web of Science</v>
      </c>
    </row>
    <row r="710" spans="1:72">
      <c r="A710" s="1" t="s">
        <v>72</v>
      </c>
      <c r="B710" s="1" t="s">
        <v>12146</v>
      </c>
      <c r="C710" s="1" t="s">
        <v>74</v>
      </c>
      <c r="D710" s="1" t="s">
        <v>74</v>
      </c>
      <c r="E710" s="1" t="s">
        <v>74</v>
      </c>
      <c r="F710" s="1" t="s">
        <v>12147</v>
      </c>
      <c r="G710" s="1" t="s">
        <v>74</v>
      </c>
      <c r="H710" s="1" t="s">
        <v>74</v>
      </c>
      <c r="I710" s="1" t="s">
        <v>12148</v>
      </c>
      <c r="J710" s="1" t="s">
        <v>7528</v>
      </c>
      <c r="K710" s="1" t="s">
        <v>74</v>
      </c>
      <c r="L710" s="1" t="s">
        <v>74</v>
      </c>
      <c r="M710" s="1" t="s">
        <v>78</v>
      </c>
      <c r="N710" s="1" t="s">
        <v>79</v>
      </c>
      <c r="O710" s="1" t="s">
        <v>74</v>
      </c>
      <c r="P710" s="1" t="s">
        <v>74</v>
      </c>
      <c r="Q710" s="1" t="s">
        <v>74</v>
      </c>
      <c r="R710" s="1" t="s">
        <v>74</v>
      </c>
      <c r="S710" s="1" t="s">
        <v>74</v>
      </c>
      <c r="T710" s="1" t="s">
        <v>12149</v>
      </c>
      <c r="U710" s="1" t="s">
        <v>12150</v>
      </c>
      <c r="V710" s="1" t="s">
        <v>12151</v>
      </c>
      <c r="W710" s="1" t="s">
        <v>12152</v>
      </c>
      <c r="X710" s="1" t="s">
        <v>12153</v>
      </c>
      <c r="Y710" s="1" t="s">
        <v>11023</v>
      </c>
      <c r="Z710" s="1" t="s">
        <v>5489</v>
      </c>
      <c r="AA710" s="1" t="s">
        <v>12154</v>
      </c>
      <c r="AB710" s="1" t="s">
        <v>12155</v>
      </c>
      <c r="AC710" s="1" t="s">
        <v>74</v>
      </c>
      <c r="AD710" s="1" t="s">
        <v>74</v>
      </c>
      <c r="AE710" s="1" t="s">
        <v>74</v>
      </c>
      <c r="AF710" s="1" t="s">
        <v>74</v>
      </c>
      <c r="AG710" s="1">
        <v>57</v>
      </c>
      <c r="AH710" s="1">
        <v>67</v>
      </c>
      <c r="AI710" s="1">
        <v>82</v>
      </c>
      <c r="AJ710" s="1">
        <v>1</v>
      </c>
      <c r="AK710" s="1">
        <v>51</v>
      </c>
      <c r="AL710" s="1" t="s">
        <v>7539</v>
      </c>
      <c r="AM710" s="1" t="s">
        <v>7540</v>
      </c>
      <c r="AN710" s="1" t="s">
        <v>7541</v>
      </c>
      <c r="AO710" s="1" t="s">
        <v>7542</v>
      </c>
      <c r="AP710" s="1" t="s">
        <v>12156</v>
      </c>
      <c r="AQ710" s="1" t="s">
        <v>74</v>
      </c>
      <c r="AR710" s="1" t="s">
        <v>7543</v>
      </c>
      <c r="AS710" s="1" t="s">
        <v>7544</v>
      </c>
      <c r="AT710" s="1" t="s">
        <v>93</v>
      </c>
      <c r="AU710" s="1">
        <v>2008</v>
      </c>
      <c r="AV710" s="1">
        <v>294</v>
      </c>
      <c r="AW710" s="1">
        <v>4</v>
      </c>
      <c r="AX710" s="1" t="s">
        <v>74</v>
      </c>
      <c r="AY710" s="1" t="s">
        <v>74</v>
      </c>
      <c r="AZ710" s="1" t="s">
        <v>74</v>
      </c>
      <c r="BA710" s="1" t="s">
        <v>74</v>
      </c>
      <c r="BB710" s="1" t="s">
        <v>12157</v>
      </c>
      <c r="BC710" s="1" t="s">
        <v>12158</v>
      </c>
      <c r="BD710" s="1" t="s">
        <v>74</v>
      </c>
      <c r="BE710" s="1" t="s">
        <v>12159</v>
      </c>
      <c r="BF710" s="1" t="str">
        <f>HYPERLINK("http://dx.doi.org/10.1152/ajpregu.00793.2007","http://dx.doi.org/10.1152/ajpregu.00793.2007")</f>
        <v>http://dx.doi.org/10.1152/ajpregu.00793.2007</v>
      </c>
      <c r="BG710" s="1" t="s">
        <v>74</v>
      </c>
      <c r="BH710" s="1" t="s">
        <v>74</v>
      </c>
      <c r="BI710" s="1">
        <v>9</v>
      </c>
      <c r="BJ710" s="1" t="s">
        <v>7548</v>
      </c>
      <c r="BK710" s="1" t="s">
        <v>96</v>
      </c>
      <c r="BL710" s="1" t="s">
        <v>7548</v>
      </c>
      <c r="BM710" s="1" t="s">
        <v>12160</v>
      </c>
      <c r="BN710" s="1">
        <v>18272660</v>
      </c>
      <c r="BO710" s="1" t="s">
        <v>74</v>
      </c>
      <c r="BP710" s="1" t="s">
        <v>74</v>
      </c>
      <c r="BQ710" s="1" t="s">
        <v>74</v>
      </c>
      <c r="BR710" s="1" t="s">
        <v>98</v>
      </c>
      <c r="BS710" s="1" t="s">
        <v>12161</v>
      </c>
      <c r="BT710" s="1" t="str">
        <f>HYPERLINK("https%3A%2F%2Fwww.webofscience.com%2Fwos%2Fwoscc%2Ffull-record%2FWOS:000254574600029","View Full Record in Web of Science")</f>
        <v>View Full Record in Web of Science</v>
      </c>
    </row>
    <row r="711" spans="1:72">
      <c r="A711" s="1" t="s">
        <v>72</v>
      </c>
      <c r="B711" s="1" t="s">
        <v>12162</v>
      </c>
      <c r="C711" s="1" t="s">
        <v>74</v>
      </c>
      <c r="D711" s="1" t="s">
        <v>74</v>
      </c>
      <c r="E711" s="1" t="s">
        <v>74</v>
      </c>
      <c r="F711" s="1" t="s">
        <v>12163</v>
      </c>
      <c r="G711" s="1" t="s">
        <v>74</v>
      </c>
      <c r="H711" s="1" t="s">
        <v>74</v>
      </c>
      <c r="I711" s="1" t="s">
        <v>12164</v>
      </c>
      <c r="J711" s="1" t="s">
        <v>4747</v>
      </c>
      <c r="K711" s="1" t="s">
        <v>74</v>
      </c>
      <c r="L711" s="1" t="s">
        <v>74</v>
      </c>
      <c r="M711" s="1" t="s">
        <v>78</v>
      </c>
      <c r="N711" s="1" t="s">
        <v>79</v>
      </c>
      <c r="O711" s="1" t="s">
        <v>74</v>
      </c>
      <c r="P711" s="1" t="s">
        <v>74</v>
      </c>
      <c r="Q711" s="1" t="s">
        <v>74</v>
      </c>
      <c r="R711" s="1" t="s">
        <v>74</v>
      </c>
      <c r="S711" s="1" t="s">
        <v>74</v>
      </c>
      <c r="T711" s="1" t="s">
        <v>12165</v>
      </c>
      <c r="U711" s="1" t="s">
        <v>12166</v>
      </c>
      <c r="V711" s="1" t="s">
        <v>12167</v>
      </c>
      <c r="W711" s="1" t="s">
        <v>12168</v>
      </c>
      <c r="X711" s="1" t="s">
        <v>12169</v>
      </c>
      <c r="Y711" s="1" t="s">
        <v>12170</v>
      </c>
      <c r="Z711" s="1" t="s">
        <v>12171</v>
      </c>
      <c r="AA711" s="1" t="s">
        <v>12172</v>
      </c>
      <c r="AB711" s="1" t="s">
        <v>12173</v>
      </c>
      <c r="AC711" s="1" t="s">
        <v>12174</v>
      </c>
      <c r="AD711" s="1" t="s">
        <v>12175</v>
      </c>
      <c r="AE711" s="1" t="s">
        <v>12176</v>
      </c>
      <c r="AF711" s="1" t="s">
        <v>74</v>
      </c>
      <c r="AG711" s="1">
        <v>45</v>
      </c>
      <c r="AH711" s="1">
        <v>10</v>
      </c>
      <c r="AI711" s="1">
        <v>11</v>
      </c>
      <c r="AJ711" s="1">
        <v>4</v>
      </c>
      <c r="AK711" s="1">
        <v>81</v>
      </c>
      <c r="AL711" s="1" t="s">
        <v>650</v>
      </c>
      <c r="AM711" s="1" t="s">
        <v>651</v>
      </c>
      <c r="AN711" s="1" t="s">
        <v>652</v>
      </c>
      <c r="AO711" s="1" t="s">
        <v>4758</v>
      </c>
      <c r="AP711" s="1" t="s">
        <v>11139</v>
      </c>
      <c r="AQ711" s="1" t="s">
        <v>74</v>
      </c>
      <c r="AR711" s="1" t="s">
        <v>4759</v>
      </c>
      <c r="AS711" s="1" t="s">
        <v>4760</v>
      </c>
      <c r="AT711" s="1" t="s">
        <v>12177</v>
      </c>
      <c r="AU711" s="1">
        <v>2020</v>
      </c>
      <c r="AV711" s="1">
        <v>396</v>
      </c>
      <c r="AW711" s="1" t="s">
        <v>74</v>
      </c>
      <c r="AX711" s="1" t="s">
        <v>74</v>
      </c>
      <c r="AY711" s="1" t="s">
        <v>74</v>
      </c>
      <c r="AZ711" s="1" t="s">
        <v>74</v>
      </c>
      <c r="BA711" s="1" t="s">
        <v>74</v>
      </c>
      <c r="BB711" s="1" t="s">
        <v>74</v>
      </c>
      <c r="BC711" s="1" t="s">
        <v>74</v>
      </c>
      <c r="BD711" s="1">
        <v>122749</v>
      </c>
      <c r="BE711" s="1" t="s">
        <v>12178</v>
      </c>
      <c r="BF711" s="1" t="str">
        <f>HYPERLINK("http://dx.doi.org/10.1016/j.jhazmat.2020.122749","http://dx.doi.org/10.1016/j.jhazmat.2020.122749")</f>
        <v>http://dx.doi.org/10.1016/j.jhazmat.2020.122749</v>
      </c>
      <c r="BG711" s="1" t="s">
        <v>74</v>
      </c>
      <c r="BH711" s="1" t="s">
        <v>74</v>
      </c>
      <c r="BI711" s="1">
        <v>9</v>
      </c>
      <c r="BJ711" s="1" t="s">
        <v>415</v>
      </c>
      <c r="BK711" s="1" t="s">
        <v>96</v>
      </c>
      <c r="BL711" s="1" t="s">
        <v>416</v>
      </c>
      <c r="BM711" s="1" t="s">
        <v>12179</v>
      </c>
      <c r="BN711" s="1">
        <v>32361134</v>
      </c>
      <c r="BO711" s="1" t="s">
        <v>74</v>
      </c>
      <c r="BP711" s="1" t="s">
        <v>74</v>
      </c>
      <c r="BQ711" s="1" t="s">
        <v>74</v>
      </c>
      <c r="BR711" s="1" t="s">
        <v>98</v>
      </c>
      <c r="BS711" s="1" t="s">
        <v>12180</v>
      </c>
      <c r="BT711" s="1" t="str">
        <f>HYPERLINK("https%3A%2F%2Fwww.webofscience.com%2Fwos%2Fwoscc%2Ffull-record%2FWOS:000541924000077","View Full Record in Web of Science")</f>
        <v>View Full Record in Web of Science</v>
      </c>
    </row>
    <row r="712" spans="1:72">
      <c r="A712" s="1" t="s">
        <v>72</v>
      </c>
      <c r="B712" s="1" t="s">
        <v>12181</v>
      </c>
      <c r="C712" s="1" t="s">
        <v>74</v>
      </c>
      <c r="D712" s="1" t="s">
        <v>74</v>
      </c>
      <c r="E712" s="1" t="s">
        <v>74</v>
      </c>
      <c r="F712" s="1" t="s">
        <v>12182</v>
      </c>
      <c r="G712" s="1" t="s">
        <v>74</v>
      </c>
      <c r="H712" s="1" t="s">
        <v>74</v>
      </c>
      <c r="I712" s="1" t="s">
        <v>12183</v>
      </c>
      <c r="J712" s="1" t="s">
        <v>12184</v>
      </c>
      <c r="K712" s="1" t="s">
        <v>74</v>
      </c>
      <c r="L712" s="1" t="s">
        <v>74</v>
      </c>
      <c r="M712" s="1" t="s">
        <v>78</v>
      </c>
      <c r="N712" s="1" t="s">
        <v>79</v>
      </c>
      <c r="O712" s="1" t="s">
        <v>74</v>
      </c>
      <c r="P712" s="1" t="s">
        <v>74</v>
      </c>
      <c r="Q712" s="1" t="s">
        <v>74</v>
      </c>
      <c r="R712" s="1" t="s">
        <v>74</v>
      </c>
      <c r="S712" s="1" t="s">
        <v>74</v>
      </c>
      <c r="T712" s="1" t="s">
        <v>12185</v>
      </c>
      <c r="U712" s="1" t="s">
        <v>12186</v>
      </c>
      <c r="V712" s="1" t="s">
        <v>12187</v>
      </c>
      <c r="W712" s="1" t="s">
        <v>12188</v>
      </c>
      <c r="X712" s="1" t="s">
        <v>12189</v>
      </c>
      <c r="Y712" s="1" t="s">
        <v>12190</v>
      </c>
      <c r="Z712" s="1" t="s">
        <v>12191</v>
      </c>
      <c r="AA712" s="1" t="s">
        <v>12192</v>
      </c>
      <c r="AB712" s="1" t="s">
        <v>12193</v>
      </c>
      <c r="AC712" s="1" t="s">
        <v>12194</v>
      </c>
      <c r="AD712" s="1" t="s">
        <v>12194</v>
      </c>
      <c r="AE712" s="1" t="s">
        <v>12195</v>
      </c>
      <c r="AF712" s="1" t="s">
        <v>74</v>
      </c>
      <c r="AG712" s="1">
        <v>82</v>
      </c>
      <c r="AH712" s="1">
        <v>20</v>
      </c>
      <c r="AI712" s="1">
        <v>21</v>
      </c>
      <c r="AJ712" s="1">
        <v>0</v>
      </c>
      <c r="AK712" s="1">
        <v>25</v>
      </c>
      <c r="AL712" s="1" t="s">
        <v>2074</v>
      </c>
      <c r="AM712" s="1" t="s">
        <v>2075</v>
      </c>
      <c r="AN712" s="1" t="s">
        <v>2076</v>
      </c>
      <c r="AO712" s="1" t="s">
        <v>12196</v>
      </c>
      <c r="AP712" s="1" t="s">
        <v>12197</v>
      </c>
      <c r="AQ712" s="1" t="s">
        <v>74</v>
      </c>
      <c r="AR712" s="1" t="s">
        <v>12198</v>
      </c>
      <c r="AS712" s="1" t="s">
        <v>12199</v>
      </c>
      <c r="AT712" s="1" t="s">
        <v>74</v>
      </c>
      <c r="AU712" s="1">
        <v>2011</v>
      </c>
      <c r="AV712" s="1">
        <v>47</v>
      </c>
      <c r="AW712" s="1">
        <v>1</v>
      </c>
      <c r="AX712" s="1" t="s">
        <v>74</v>
      </c>
      <c r="AY712" s="1" t="s">
        <v>74</v>
      </c>
      <c r="AZ712" s="1" t="s">
        <v>74</v>
      </c>
      <c r="BA712" s="1" t="s">
        <v>74</v>
      </c>
      <c r="BB712" s="1">
        <v>42</v>
      </c>
      <c r="BC712" s="1">
        <v>61</v>
      </c>
      <c r="BD712" s="1" t="s">
        <v>12200</v>
      </c>
      <c r="BE712" s="1" t="s">
        <v>12201</v>
      </c>
      <c r="BF712" s="1" t="str">
        <f>HYPERLINK("http://dx.doi.org/10.1080/10256016.2011.548866","http://dx.doi.org/10.1080/10256016.2011.548866")</f>
        <v>http://dx.doi.org/10.1080/10256016.2011.548866</v>
      </c>
      <c r="BG712" s="1" t="s">
        <v>74</v>
      </c>
      <c r="BH712" s="1" t="s">
        <v>74</v>
      </c>
      <c r="BI712" s="1">
        <v>20</v>
      </c>
      <c r="BJ712" s="1" t="s">
        <v>12202</v>
      </c>
      <c r="BK712" s="1" t="s">
        <v>96</v>
      </c>
      <c r="BL712" s="1" t="s">
        <v>270</v>
      </c>
      <c r="BM712" s="1" t="s">
        <v>12203</v>
      </c>
      <c r="BN712" s="1">
        <v>21271424</v>
      </c>
      <c r="BO712" s="1" t="s">
        <v>74</v>
      </c>
      <c r="BP712" s="1" t="s">
        <v>74</v>
      </c>
      <c r="BQ712" s="1" t="s">
        <v>74</v>
      </c>
      <c r="BR712" s="1" t="s">
        <v>98</v>
      </c>
      <c r="BS712" s="1" t="s">
        <v>12204</v>
      </c>
      <c r="BT712" s="1" t="str">
        <f>HYPERLINK("https%3A%2F%2Fwww.webofscience.com%2Fwos%2Fwoscc%2Ffull-record%2FWOS:000288280000005","View Full Record in Web of Science")</f>
        <v>View Full Record in Web of Science</v>
      </c>
    </row>
    <row r="713" spans="1:72">
      <c r="A713" s="1" t="s">
        <v>72</v>
      </c>
      <c r="B713" s="1" t="s">
        <v>12205</v>
      </c>
      <c r="C713" s="1" t="s">
        <v>74</v>
      </c>
      <c r="D713" s="1" t="s">
        <v>74</v>
      </c>
      <c r="E713" s="1" t="s">
        <v>74</v>
      </c>
      <c r="F713" s="1" t="s">
        <v>12206</v>
      </c>
      <c r="G713" s="1" t="s">
        <v>74</v>
      </c>
      <c r="H713" s="1" t="s">
        <v>74</v>
      </c>
      <c r="I713" s="1" t="s">
        <v>12207</v>
      </c>
      <c r="J713" s="1" t="s">
        <v>641</v>
      </c>
      <c r="K713" s="1" t="s">
        <v>74</v>
      </c>
      <c r="L713" s="1" t="s">
        <v>74</v>
      </c>
      <c r="M713" s="1" t="s">
        <v>78</v>
      </c>
      <c r="N713" s="1" t="s">
        <v>79</v>
      </c>
      <c r="O713" s="1" t="s">
        <v>74</v>
      </c>
      <c r="P713" s="1" t="s">
        <v>74</v>
      </c>
      <c r="Q713" s="1" t="s">
        <v>74</v>
      </c>
      <c r="R713" s="1" t="s">
        <v>74</v>
      </c>
      <c r="S713" s="1" t="s">
        <v>74</v>
      </c>
      <c r="T713" s="1" t="s">
        <v>12208</v>
      </c>
      <c r="U713" s="1" t="s">
        <v>12209</v>
      </c>
      <c r="V713" s="1" t="s">
        <v>12210</v>
      </c>
      <c r="W713" s="1" t="s">
        <v>12211</v>
      </c>
      <c r="X713" s="1" t="s">
        <v>12212</v>
      </c>
      <c r="Y713" s="1" t="s">
        <v>12213</v>
      </c>
      <c r="Z713" s="1" t="s">
        <v>5489</v>
      </c>
      <c r="AA713" s="1" t="s">
        <v>7534</v>
      </c>
      <c r="AB713" s="1" t="s">
        <v>12214</v>
      </c>
      <c r="AC713" s="1" t="s">
        <v>12215</v>
      </c>
      <c r="AD713" s="1" t="s">
        <v>12216</v>
      </c>
      <c r="AE713" s="1" t="s">
        <v>12217</v>
      </c>
      <c r="AF713" s="1" t="s">
        <v>74</v>
      </c>
      <c r="AG713" s="1">
        <v>100</v>
      </c>
      <c r="AH713" s="1">
        <v>79</v>
      </c>
      <c r="AI713" s="1">
        <v>88</v>
      </c>
      <c r="AJ713" s="1">
        <v>5</v>
      </c>
      <c r="AK713" s="1">
        <v>146</v>
      </c>
      <c r="AL713" s="1" t="s">
        <v>919</v>
      </c>
      <c r="AM713" s="1" t="s">
        <v>651</v>
      </c>
      <c r="AN713" s="1" t="s">
        <v>920</v>
      </c>
      <c r="AO713" s="1" t="s">
        <v>653</v>
      </c>
      <c r="AP713" s="1" t="s">
        <v>654</v>
      </c>
      <c r="AQ713" s="1" t="s">
        <v>74</v>
      </c>
      <c r="AR713" s="1" t="s">
        <v>655</v>
      </c>
      <c r="AS713" s="1" t="s">
        <v>656</v>
      </c>
      <c r="AT713" s="1" t="s">
        <v>93</v>
      </c>
      <c r="AU713" s="1">
        <v>2014</v>
      </c>
      <c r="AV713" s="1">
        <v>149</v>
      </c>
      <c r="AW713" s="1" t="s">
        <v>74</v>
      </c>
      <c r="AX713" s="1" t="s">
        <v>74</v>
      </c>
      <c r="AY713" s="1" t="s">
        <v>74</v>
      </c>
      <c r="AZ713" s="1" t="s">
        <v>74</v>
      </c>
      <c r="BA713" s="1" t="s">
        <v>74</v>
      </c>
      <c r="BB713" s="1">
        <v>65</v>
      </c>
      <c r="BC713" s="1">
        <v>82</v>
      </c>
      <c r="BD713" s="1" t="s">
        <v>74</v>
      </c>
      <c r="BE713" s="1" t="s">
        <v>12218</v>
      </c>
      <c r="BF713" s="1" t="str">
        <f>HYPERLINK("http://dx.doi.org/10.1016/j.aquatox.2014.01.027","http://dx.doi.org/10.1016/j.aquatox.2014.01.027")</f>
        <v>http://dx.doi.org/10.1016/j.aquatox.2014.01.027</v>
      </c>
      <c r="BG713" s="1" t="s">
        <v>74</v>
      </c>
      <c r="BH713" s="1" t="s">
        <v>74</v>
      </c>
      <c r="BI713" s="1">
        <v>18</v>
      </c>
      <c r="BJ713" s="1" t="s">
        <v>659</v>
      </c>
      <c r="BK713" s="1" t="s">
        <v>96</v>
      </c>
      <c r="BL713" s="1" t="s">
        <v>659</v>
      </c>
      <c r="BM713" s="1" t="s">
        <v>12219</v>
      </c>
      <c r="BN713" s="1">
        <v>24572072</v>
      </c>
      <c r="BO713" s="1" t="s">
        <v>74</v>
      </c>
      <c r="BP713" s="1" t="s">
        <v>74</v>
      </c>
      <c r="BQ713" s="1" t="s">
        <v>74</v>
      </c>
      <c r="BR713" s="1" t="s">
        <v>98</v>
      </c>
      <c r="BS713" s="1" t="s">
        <v>12220</v>
      </c>
      <c r="BT713" s="1" t="str">
        <f>HYPERLINK("https%3A%2F%2Fwww.webofscience.com%2Fwos%2Fwoscc%2Ffull-record%2FWOS:000334989300009","View Full Record in Web of Science")</f>
        <v>View Full Record in Web of Science</v>
      </c>
    </row>
    <row r="714" spans="1:72">
      <c r="A714" s="1" t="s">
        <v>72</v>
      </c>
      <c r="B714" s="1" t="s">
        <v>12221</v>
      </c>
      <c r="C714" s="1" t="s">
        <v>74</v>
      </c>
      <c r="D714" s="1" t="s">
        <v>74</v>
      </c>
      <c r="E714" s="1" t="s">
        <v>74</v>
      </c>
      <c r="F714" s="1" t="s">
        <v>12221</v>
      </c>
      <c r="G714" s="1" t="s">
        <v>74</v>
      </c>
      <c r="H714" s="1" t="s">
        <v>74</v>
      </c>
      <c r="I714" s="1" t="s">
        <v>12222</v>
      </c>
      <c r="J714" s="1" t="s">
        <v>127</v>
      </c>
      <c r="K714" s="1" t="s">
        <v>74</v>
      </c>
      <c r="L714" s="1" t="s">
        <v>74</v>
      </c>
      <c r="M714" s="1" t="s">
        <v>78</v>
      </c>
      <c r="N714" s="1" t="s">
        <v>79</v>
      </c>
      <c r="O714" s="1" t="s">
        <v>74</v>
      </c>
      <c r="P714" s="1" t="s">
        <v>74</v>
      </c>
      <c r="Q714" s="1" t="s">
        <v>74</v>
      </c>
      <c r="R714" s="1" t="s">
        <v>74</v>
      </c>
      <c r="S714" s="1" t="s">
        <v>74</v>
      </c>
      <c r="T714" s="1" t="s">
        <v>74</v>
      </c>
      <c r="U714" s="1" t="s">
        <v>12223</v>
      </c>
      <c r="V714" s="1" t="s">
        <v>12224</v>
      </c>
      <c r="W714" s="1" t="s">
        <v>12225</v>
      </c>
      <c r="X714" s="1" t="s">
        <v>12226</v>
      </c>
      <c r="Y714" s="1" t="s">
        <v>12227</v>
      </c>
      <c r="Z714" s="1" t="s">
        <v>74</v>
      </c>
      <c r="AA714" s="1" t="s">
        <v>74</v>
      </c>
      <c r="AB714" s="1" t="s">
        <v>74</v>
      </c>
      <c r="AC714" s="1" t="s">
        <v>74</v>
      </c>
      <c r="AD714" s="1" t="s">
        <v>74</v>
      </c>
      <c r="AE714" s="1" t="s">
        <v>74</v>
      </c>
      <c r="AF714" s="1" t="s">
        <v>74</v>
      </c>
      <c r="AG714" s="1">
        <v>38</v>
      </c>
      <c r="AH714" s="1">
        <v>46</v>
      </c>
      <c r="AI714" s="1">
        <v>49</v>
      </c>
      <c r="AJ714" s="1">
        <v>1</v>
      </c>
      <c r="AK714" s="1">
        <v>16</v>
      </c>
      <c r="AL714" s="1" t="s">
        <v>136</v>
      </c>
      <c r="AM714" s="1" t="s">
        <v>137</v>
      </c>
      <c r="AN714" s="1" t="s">
        <v>583</v>
      </c>
      <c r="AO714" s="1" t="s">
        <v>139</v>
      </c>
      <c r="AP714" s="1" t="s">
        <v>74</v>
      </c>
      <c r="AQ714" s="1" t="s">
        <v>74</v>
      </c>
      <c r="AR714" s="1" t="s">
        <v>127</v>
      </c>
      <c r="AS714" s="1" t="s">
        <v>141</v>
      </c>
      <c r="AT714" s="1" t="s">
        <v>267</v>
      </c>
      <c r="AU714" s="1">
        <v>1993</v>
      </c>
      <c r="AV714" s="1">
        <v>27</v>
      </c>
      <c r="AW714" s="1">
        <v>8</v>
      </c>
      <c r="AX714" s="1" t="s">
        <v>74</v>
      </c>
      <c r="AY714" s="1" t="s">
        <v>74</v>
      </c>
      <c r="AZ714" s="1" t="s">
        <v>74</v>
      </c>
      <c r="BA714" s="1" t="s">
        <v>74</v>
      </c>
      <c r="BB714" s="1">
        <v>1475</v>
      </c>
      <c r="BC714" s="1">
        <v>1485</v>
      </c>
      <c r="BD714" s="1" t="s">
        <v>74</v>
      </c>
      <c r="BE714" s="1" t="s">
        <v>12228</v>
      </c>
      <c r="BF714" s="1" t="str">
        <f>HYPERLINK("http://dx.doi.org/10.1016/0045-6535(93)90242-W","http://dx.doi.org/10.1016/0045-6535(93)90242-W")</f>
        <v>http://dx.doi.org/10.1016/0045-6535(93)90242-W</v>
      </c>
      <c r="BG714" s="1" t="s">
        <v>74</v>
      </c>
      <c r="BH714" s="1" t="s">
        <v>74</v>
      </c>
      <c r="BI714" s="1">
        <v>11</v>
      </c>
      <c r="BJ714" s="1" t="s">
        <v>144</v>
      </c>
      <c r="BK714" s="1" t="s">
        <v>96</v>
      </c>
      <c r="BL714" s="1" t="s">
        <v>145</v>
      </c>
      <c r="BM714" s="1" t="s">
        <v>12229</v>
      </c>
      <c r="BN714" s="1" t="s">
        <v>74</v>
      </c>
      <c r="BO714" s="1" t="s">
        <v>74</v>
      </c>
      <c r="BP714" s="1" t="s">
        <v>74</v>
      </c>
      <c r="BQ714" s="1" t="s">
        <v>74</v>
      </c>
      <c r="BR714" s="1" t="s">
        <v>98</v>
      </c>
      <c r="BS714" s="1" t="s">
        <v>12230</v>
      </c>
      <c r="BT714" s="1" t="str">
        <f>HYPERLINK("https%3A%2F%2Fwww.webofscience.com%2Fwos%2Fwoscc%2Ffull-record%2FWOS:A1993MF76000017","View Full Record in Web of Science")</f>
        <v>View Full Record in Web of Science</v>
      </c>
    </row>
    <row r="715" spans="1:72">
      <c r="A715" s="1" t="s">
        <v>72</v>
      </c>
      <c r="B715" s="1" t="s">
        <v>12231</v>
      </c>
      <c r="C715" s="1" t="s">
        <v>74</v>
      </c>
      <c r="D715" s="1" t="s">
        <v>74</v>
      </c>
      <c r="E715" s="1" t="s">
        <v>74</v>
      </c>
      <c r="F715" s="1" t="s">
        <v>12232</v>
      </c>
      <c r="G715" s="1" t="s">
        <v>74</v>
      </c>
      <c r="H715" s="1" t="s">
        <v>74</v>
      </c>
      <c r="I715" s="1" t="s">
        <v>12233</v>
      </c>
      <c r="J715" s="1" t="s">
        <v>12234</v>
      </c>
      <c r="K715" s="1" t="s">
        <v>74</v>
      </c>
      <c r="L715" s="1" t="s">
        <v>74</v>
      </c>
      <c r="M715" s="1" t="s">
        <v>78</v>
      </c>
      <c r="N715" s="1" t="s">
        <v>79</v>
      </c>
      <c r="O715" s="1" t="s">
        <v>74</v>
      </c>
      <c r="P715" s="1" t="s">
        <v>74</v>
      </c>
      <c r="Q715" s="1" t="s">
        <v>74</v>
      </c>
      <c r="R715" s="1" t="s">
        <v>74</v>
      </c>
      <c r="S715" s="1" t="s">
        <v>74</v>
      </c>
      <c r="T715" s="1" t="s">
        <v>12235</v>
      </c>
      <c r="U715" s="1" t="s">
        <v>12236</v>
      </c>
      <c r="V715" s="1" t="s">
        <v>12237</v>
      </c>
      <c r="W715" s="1" t="s">
        <v>12238</v>
      </c>
      <c r="X715" s="1" t="s">
        <v>12239</v>
      </c>
      <c r="Y715" s="1" t="s">
        <v>9994</v>
      </c>
      <c r="Z715" s="1" t="s">
        <v>12240</v>
      </c>
      <c r="AA715" s="1" t="s">
        <v>9996</v>
      </c>
      <c r="AB715" s="1" t="s">
        <v>12241</v>
      </c>
      <c r="AC715" s="1" t="s">
        <v>74</v>
      </c>
      <c r="AD715" s="1" t="s">
        <v>74</v>
      </c>
      <c r="AE715" s="1" t="s">
        <v>74</v>
      </c>
      <c r="AF715" s="1" t="s">
        <v>74</v>
      </c>
      <c r="AG715" s="1">
        <v>73</v>
      </c>
      <c r="AH715" s="1">
        <v>13</v>
      </c>
      <c r="AI715" s="1">
        <v>13</v>
      </c>
      <c r="AJ715" s="1">
        <v>2</v>
      </c>
      <c r="AK715" s="1">
        <v>5</v>
      </c>
      <c r="AL715" s="1" t="s">
        <v>1566</v>
      </c>
      <c r="AM715" s="1" t="s">
        <v>1567</v>
      </c>
      <c r="AN715" s="1" t="s">
        <v>1568</v>
      </c>
      <c r="AO715" s="1" t="s">
        <v>74</v>
      </c>
      <c r="AP715" s="1" t="s">
        <v>12242</v>
      </c>
      <c r="AQ715" s="1" t="s">
        <v>74</v>
      </c>
      <c r="AR715" s="1" t="s">
        <v>12234</v>
      </c>
      <c r="AS715" s="1" t="s">
        <v>12243</v>
      </c>
      <c r="AT715" s="1" t="s">
        <v>1470</v>
      </c>
      <c r="AU715" s="1">
        <v>2022</v>
      </c>
      <c r="AV715" s="1">
        <v>12</v>
      </c>
      <c r="AW715" s="1">
        <v>1</v>
      </c>
      <c r="AX715" s="1" t="s">
        <v>74</v>
      </c>
      <c r="AY715" s="1" t="s">
        <v>74</v>
      </c>
      <c r="AZ715" s="1" t="s">
        <v>74</v>
      </c>
      <c r="BA715" s="1" t="s">
        <v>74</v>
      </c>
      <c r="BB715" s="1" t="s">
        <v>74</v>
      </c>
      <c r="BC715" s="1" t="s">
        <v>74</v>
      </c>
      <c r="BD715" s="1">
        <v>87</v>
      </c>
      <c r="BE715" s="1" t="s">
        <v>12244</v>
      </c>
      <c r="BF715" s="1" t="str">
        <f>HYPERLINK("http://dx.doi.org/10.3390/biom12010087","http://dx.doi.org/10.3390/biom12010087")</f>
        <v>http://dx.doi.org/10.3390/biom12010087</v>
      </c>
      <c r="BG715" s="1" t="s">
        <v>74</v>
      </c>
      <c r="BH715" s="1" t="s">
        <v>74</v>
      </c>
      <c r="BI715" s="1">
        <v>15</v>
      </c>
      <c r="BJ715" s="1" t="s">
        <v>3805</v>
      </c>
      <c r="BK715" s="1" t="s">
        <v>96</v>
      </c>
      <c r="BL715" s="1" t="s">
        <v>3805</v>
      </c>
      <c r="BM715" s="1" t="s">
        <v>12245</v>
      </c>
      <c r="BN715" s="1">
        <v>35053235</v>
      </c>
      <c r="BO715" s="1" t="s">
        <v>550</v>
      </c>
      <c r="BP715" s="1" t="s">
        <v>74</v>
      </c>
      <c r="BQ715" s="1" t="s">
        <v>74</v>
      </c>
      <c r="BR715" s="1" t="s">
        <v>98</v>
      </c>
      <c r="BS715" s="1" t="s">
        <v>12246</v>
      </c>
      <c r="BT715" s="1" t="str">
        <f>HYPERLINK("https%3A%2F%2Fwww.webofscience.com%2Fwos%2Fwoscc%2Ffull-record%2FWOS:000747062100001","View Full Record in Web of Science")</f>
        <v>View Full Record in Web of Science</v>
      </c>
    </row>
    <row r="716" spans="1:72">
      <c r="A716" s="1" t="s">
        <v>72</v>
      </c>
      <c r="B716" s="1" t="s">
        <v>12247</v>
      </c>
      <c r="C716" s="1" t="s">
        <v>74</v>
      </c>
      <c r="D716" s="1" t="s">
        <v>74</v>
      </c>
      <c r="E716" s="1" t="s">
        <v>74</v>
      </c>
      <c r="F716" s="1" t="s">
        <v>12248</v>
      </c>
      <c r="G716" s="1" t="s">
        <v>74</v>
      </c>
      <c r="H716" s="1" t="s">
        <v>74</v>
      </c>
      <c r="I716" s="1" t="s">
        <v>12249</v>
      </c>
      <c r="J716" s="1" t="s">
        <v>6608</v>
      </c>
      <c r="K716" s="1" t="s">
        <v>74</v>
      </c>
      <c r="L716" s="1" t="s">
        <v>74</v>
      </c>
      <c r="M716" s="1" t="s">
        <v>78</v>
      </c>
      <c r="N716" s="1" t="s">
        <v>79</v>
      </c>
      <c r="O716" s="1" t="s">
        <v>74</v>
      </c>
      <c r="P716" s="1" t="s">
        <v>74</v>
      </c>
      <c r="Q716" s="1" t="s">
        <v>74</v>
      </c>
      <c r="R716" s="1" t="s">
        <v>74</v>
      </c>
      <c r="S716" s="1" t="s">
        <v>74</v>
      </c>
      <c r="T716" s="1" t="s">
        <v>12250</v>
      </c>
      <c r="U716" s="1" t="s">
        <v>74</v>
      </c>
      <c r="V716" s="1" t="s">
        <v>12251</v>
      </c>
      <c r="W716" s="1" t="s">
        <v>12252</v>
      </c>
      <c r="X716" s="1" t="s">
        <v>12253</v>
      </c>
      <c r="Y716" s="1" t="s">
        <v>12254</v>
      </c>
      <c r="Z716" s="1" t="s">
        <v>12255</v>
      </c>
      <c r="AA716" s="1" t="s">
        <v>12256</v>
      </c>
      <c r="AB716" s="1" t="s">
        <v>12257</v>
      </c>
      <c r="AC716" s="1" t="s">
        <v>12258</v>
      </c>
      <c r="AD716" s="1" t="s">
        <v>12259</v>
      </c>
      <c r="AE716" s="1" t="s">
        <v>12260</v>
      </c>
      <c r="AF716" s="1" t="s">
        <v>74</v>
      </c>
      <c r="AG716" s="1">
        <v>73</v>
      </c>
      <c r="AH716" s="1">
        <v>36</v>
      </c>
      <c r="AI716" s="1">
        <v>37</v>
      </c>
      <c r="AJ716" s="1">
        <v>14</v>
      </c>
      <c r="AK716" s="1">
        <v>129</v>
      </c>
      <c r="AL716" s="1" t="s">
        <v>1566</v>
      </c>
      <c r="AM716" s="1" t="s">
        <v>1567</v>
      </c>
      <c r="AN716" s="1" t="s">
        <v>1568</v>
      </c>
      <c r="AO716" s="1" t="s">
        <v>74</v>
      </c>
      <c r="AP716" s="1" t="s">
        <v>6619</v>
      </c>
      <c r="AQ716" s="1" t="s">
        <v>74</v>
      </c>
      <c r="AR716" s="1" t="s">
        <v>6620</v>
      </c>
      <c r="AS716" s="1" t="s">
        <v>6621</v>
      </c>
      <c r="AT716" s="1" t="s">
        <v>224</v>
      </c>
      <c r="AU716" s="1">
        <v>2021</v>
      </c>
      <c r="AV716" s="1">
        <v>13</v>
      </c>
      <c r="AW716" s="1">
        <v>4</v>
      </c>
      <c r="AX716" s="1" t="s">
        <v>74</v>
      </c>
      <c r="AY716" s="1" t="s">
        <v>74</v>
      </c>
      <c r="AZ716" s="1" t="s">
        <v>74</v>
      </c>
      <c r="BA716" s="1" t="s">
        <v>74</v>
      </c>
      <c r="BB716" s="1" t="s">
        <v>74</v>
      </c>
      <c r="BC716" s="1" t="s">
        <v>74</v>
      </c>
      <c r="BD716" s="1">
        <v>394</v>
      </c>
      <c r="BE716" s="1" t="s">
        <v>12261</v>
      </c>
      <c r="BF716" s="1" t="str">
        <f>HYPERLINK("http://dx.doi.org/10.3390/w13040394","http://dx.doi.org/10.3390/w13040394")</f>
        <v>http://dx.doi.org/10.3390/w13040394</v>
      </c>
      <c r="BG716" s="1" t="s">
        <v>74</v>
      </c>
      <c r="BH716" s="1" t="s">
        <v>74</v>
      </c>
      <c r="BI716" s="1">
        <v>15</v>
      </c>
      <c r="BJ716" s="1" t="s">
        <v>6623</v>
      </c>
      <c r="BK716" s="1" t="s">
        <v>96</v>
      </c>
      <c r="BL716" s="1" t="s">
        <v>6624</v>
      </c>
      <c r="BM716" s="1" t="s">
        <v>12262</v>
      </c>
      <c r="BN716" s="1" t="s">
        <v>74</v>
      </c>
      <c r="BO716" s="1" t="s">
        <v>873</v>
      </c>
      <c r="BP716" s="1" t="s">
        <v>74</v>
      </c>
      <c r="BQ716" s="1" t="s">
        <v>74</v>
      </c>
      <c r="BR716" s="1" t="s">
        <v>98</v>
      </c>
      <c r="BS716" s="1" t="s">
        <v>12263</v>
      </c>
      <c r="BT716" s="1" t="str">
        <f>HYPERLINK("https%3A%2F%2Fwww.webofscience.com%2Fwos%2Fwoscc%2Ffull-record%2FWOS:000624893000001","View Full Record in Web of Science")</f>
        <v>View Full Record in Web of Science</v>
      </c>
    </row>
    <row r="717" spans="1:72">
      <c r="A717" s="1" t="s">
        <v>72</v>
      </c>
      <c r="B717" s="1" t="s">
        <v>12264</v>
      </c>
      <c r="C717" s="1" t="s">
        <v>74</v>
      </c>
      <c r="D717" s="1" t="s">
        <v>74</v>
      </c>
      <c r="E717" s="1" t="s">
        <v>74</v>
      </c>
      <c r="F717" s="1" t="s">
        <v>12265</v>
      </c>
      <c r="G717" s="1" t="s">
        <v>74</v>
      </c>
      <c r="H717" s="1" t="s">
        <v>74</v>
      </c>
      <c r="I717" s="1" t="s">
        <v>12266</v>
      </c>
      <c r="J717" s="1" t="s">
        <v>232</v>
      </c>
      <c r="K717" s="1" t="s">
        <v>74</v>
      </c>
      <c r="L717" s="1" t="s">
        <v>74</v>
      </c>
      <c r="M717" s="1" t="s">
        <v>78</v>
      </c>
      <c r="N717" s="1" t="s">
        <v>79</v>
      </c>
      <c r="O717" s="1" t="s">
        <v>74</v>
      </c>
      <c r="P717" s="1" t="s">
        <v>74</v>
      </c>
      <c r="Q717" s="1" t="s">
        <v>74</v>
      </c>
      <c r="R717" s="1" t="s">
        <v>74</v>
      </c>
      <c r="S717" s="1" t="s">
        <v>74</v>
      </c>
      <c r="T717" s="1" t="s">
        <v>12267</v>
      </c>
      <c r="U717" s="1" t="s">
        <v>12268</v>
      </c>
      <c r="V717" s="1" t="s">
        <v>12269</v>
      </c>
      <c r="W717" s="1" t="s">
        <v>12270</v>
      </c>
      <c r="X717" s="1" t="s">
        <v>74</v>
      </c>
      <c r="Y717" s="1" t="s">
        <v>12271</v>
      </c>
      <c r="Z717" s="1" t="s">
        <v>12272</v>
      </c>
      <c r="AA717" s="1" t="s">
        <v>74</v>
      </c>
      <c r="AB717" s="1" t="s">
        <v>12273</v>
      </c>
      <c r="AC717" s="1" t="s">
        <v>74</v>
      </c>
      <c r="AD717" s="1" t="s">
        <v>74</v>
      </c>
      <c r="AE717" s="1" t="s">
        <v>74</v>
      </c>
      <c r="AF717" s="1" t="s">
        <v>74</v>
      </c>
      <c r="AG717" s="1">
        <v>52</v>
      </c>
      <c r="AH717" s="1">
        <v>16</v>
      </c>
      <c r="AI717" s="1">
        <v>16</v>
      </c>
      <c r="AJ717" s="1">
        <v>0</v>
      </c>
      <c r="AK717" s="1">
        <v>17</v>
      </c>
      <c r="AL717" s="1" t="s">
        <v>136</v>
      </c>
      <c r="AM717" s="1" t="s">
        <v>137</v>
      </c>
      <c r="AN717" s="1" t="s">
        <v>138</v>
      </c>
      <c r="AO717" s="1" t="s">
        <v>240</v>
      </c>
      <c r="AP717" s="1" t="s">
        <v>241</v>
      </c>
      <c r="AQ717" s="1" t="s">
        <v>74</v>
      </c>
      <c r="AR717" s="1" t="s">
        <v>242</v>
      </c>
      <c r="AS717" s="1" t="s">
        <v>243</v>
      </c>
      <c r="AT717" s="1" t="s">
        <v>12274</v>
      </c>
      <c r="AU717" s="1">
        <v>2015</v>
      </c>
      <c r="AV717" s="1">
        <v>91</v>
      </c>
      <c r="AW717" s="1">
        <v>2</v>
      </c>
      <c r="AX717" s="1" t="s">
        <v>74</v>
      </c>
      <c r="AY717" s="1" t="s">
        <v>74</v>
      </c>
      <c r="AZ717" s="1" t="s">
        <v>74</v>
      </c>
      <c r="BA717" s="1" t="s">
        <v>74</v>
      </c>
      <c r="BB717" s="1">
        <v>418</v>
      </c>
      <c r="BC717" s="1">
        <v>423</v>
      </c>
      <c r="BD717" s="1" t="s">
        <v>74</v>
      </c>
      <c r="BE717" s="1" t="s">
        <v>12275</v>
      </c>
      <c r="BF717" s="1" t="str">
        <f>HYPERLINK("http://dx.doi.org/10.1016/j.marpolbul.2014.09.059","http://dx.doi.org/10.1016/j.marpolbul.2014.09.059")</f>
        <v>http://dx.doi.org/10.1016/j.marpolbul.2014.09.059</v>
      </c>
      <c r="BG717" s="1" t="s">
        <v>74</v>
      </c>
      <c r="BH717" s="1" t="s">
        <v>74</v>
      </c>
      <c r="BI717" s="1">
        <v>6</v>
      </c>
      <c r="BJ717" s="1" t="s">
        <v>247</v>
      </c>
      <c r="BK717" s="1" t="s">
        <v>96</v>
      </c>
      <c r="BL717" s="1" t="s">
        <v>248</v>
      </c>
      <c r="BM717" s="1" t="s">
        <v>12276</v>
      </c>
      <c r="BN717" s="1">
        <v>25444616</v>
      </c>
      <c r="BO717" s="1" t="s">
        <v>74</v>
      </c>
      <c r="BP717" s="1" t="s">
        <v>74</v>
      </c>
      <c r="BQ717" s="1" t="s">
        <v>74</v>
      </c>
      <c r="BR717" s="1" t="s">
        <v>98</v>
      </c>
      <c r="BS717" s="1" t="s">
        <v>12277</v>
      </c>
      <c r="BT717" s="1" t="str">
        <f>HYPERLINK("https%3A%2F%2Fwww.webofscience.com%2Fwos%2Fwoscc%2Ffull-record%2FWOS:000351977100004","View Full Record in Web of Science")</f>
        <v>View Full Record in Web of Science</v>
      </c>
    </row>
    <row r="718" spans="1:72">
      <c r="A718" s="1" t="s">
        <v>72</v>
      </c>
      <c r="B718" s="1" t="s">
        <v>12278</v>
      </c>
      <c r="C718" s="1" t="s">
        <v>74</v>
      </c>
      <c r="D718" s="1" t="s">
        <v>74</v>
      </c>
      <c r="E718" s="1" t="s">
        <v>74</v>
      </c>
      <c r="F718" s="1" t="s">
        <v>12279</v>
      </c>
      <c r="G718" s="1" t="s">
        <v>74</v>
      </c>
      <c r="H718" s="1" t="s">
        <v>74</v>
      </c>
      <c r="I718" s="1" t="s">
        <v>12280</v>
      </c>
      <c r="J718" s="1" t="s">
        <v>641</v>
      </c>
      <c r="K718" s="1" t="s">
        <v>74</v>
      </c>
      <c r="L718" s="1" t="s">
        <v>74</v>
      </c>
      <c r="M718" s="1" t="s">
        <v>78</v>
      </c>
      <c r="N718" s="1" t="s">
        <v>79</v>
      </c>
      <c r="O718" s="1" t="s">
        <v>74</v>
      </c>
      <c r="P718" s="1" t="s">
        <v>74</v>
      </c>
      <c r="Q718" s="1" t="s">
        <v>74</v>
      </c>
      <c r="R718" s="1" t="s">
        <v>74</v>
      </c>
      <c r="S718" s="1" t="s">
        <v>74</v>
      </c>
      <c r="T718" s="1" t="s">
        <v>12281</v>
      </c>
      <c r="U718" s="1" t="s">
        <v>12282</v>
      </c>
      <c r="V718" s="1" t="s">
        <v>12283</v>
      </c>
      <c r="W718" s="1" t="s">
        <v>12284</v>
      </c>
      <c r="X718" s="1" t="s">
        <v>12285</v>
      </c>
      <c r="Y718" s="1" t="s">
        <v>12286</v>
      </c>
      <c r="Z718" s="1" t="s">
        <v>8840</v>
      </c>
      <c r="AA718" s="1" t="s">
        <v>12287</v>
      </c>
      <c r="AB718" s="1" t="s">
        <v>12288</v>
      </c>
      <c r="AC718" s="1" t="s">
        <v>8917</v>
      </c>
      <c r="AD718" s="1" t="s">
        <v>8918</v>
      </c>
      <c r="AE718" s="1" t="s">
        <v>12289</v>
      </c>
      <c r="AF718" s="1" t="s">
        <v>74</v>
      </c>
      <c r="AG718" s="1">
        <v>43</v>
      </c>
      <c r="AH718" s="1">
        <v>21</v>
      </c>
      <c r="AI718" s="1">
        <v>22</v>
      </c>
      <c r="AJ718" s="1">
        <v>0</v>
      </c>
      <c r="AK718" s="1">
        <v>34</v>
      </c>
      <c r="AL718" s="1" t="s">
        <v>650</v>
      </c>
      <c r="AM718" s="1" t="s">
        <v>651</v>
      </c>
      <c r="AN718" s="1" t="s">
        <v>652</v>
      </c>
      <c r="AO718" s="1" t="s">
        <v>653</v>
      </c>
      <c r="AP718" s="1" t="s">
        <v>654</v>
      </c>
      <c r="AQ718" s="1" t="s">
        <v>74</v>
      </c>
      <c r="AR718" s="1" t="s">
        <v>655</v>
      </c>
      <c r="AS718" s="1" t="s">
        <v>656</v>
      </c>
      <c r="AT718" s="1" t="s">
        <v>12290</v>
      </c>
      <c r="AU718" s="1">
        <v>2011</v>
      </c>
      <c r="AV718" s="1">
        <v>101</v>
      </c>
      <c r="AW718" s="1">
        <v>1</v>
      </c>
      <c r="AX718" s="1" t="s">
        <v>74</v>
      </c>
      <c r="AY718" s="1" t="s">
        <v>74</v>
      </c>
      <c r="AZ718" s="1" t="s">
        <v>74</v>
      </c>
      <c r="BA718" s="1" t="s">
        <v>74</v>
      </c>
      <c r="BB718" s="1">
        <v>146</v>
      </c>
      <c r="BC718" s="1">
        <v>154</v>
      </c>
      <c r="BD718" s="1" t="s">
        <v>74</v>
      </c>
      <c r="BE718" s="1" t="s">
        <v>12291</v>
      </c>
      <c r="BF718" s="1" t="str">
        <f>HYPERLINK("http://dx.doi.org/10.1016/j.aquatox.2010.09.012","http://dx.doi.org/10.1016/j.aquatox.2010.09.012")</f>
        <v>http://dx.doi.org/10.1016/j.aquatox.2010.09.012</v>
      </c>
      <c r="BG718" s="1" t="s">
        <v>74</v>
      </c>
      <c r="BH718" s="1" t="s">
        <v>74</v>
      </c>
      <c r="BI718" s="1">
        <v>9</v>
      </c>
      <c r="BJ718" s="1" t="s">
        <v>659</v>
      </c>
      <c r="BK718" s="1" t="s">
        <v>96</v>
      </c>
      <c r="BL718" s="1" t="s">
        <v>659</v>
      </c>
      <c r="BM718" s="1" t="s">
        <v>12292</v>
      </c>
      <c r="BN718" s="1">
        <v>20965582</v>
      </c>
      <c r="BO718" s="1" t="s">
        <v>74</v>
      </c>
      <c r="BP718" s="1" t="s">
        <v>74</v>
      </c>
      <c r="BQ718" s="1" t="s">
        <v>74</v>
      </c>
      <c r="BR718" s="1" t="s">
        <v>98</v>
      </c>
      <c r="BS718" s="1" t="s">
        <v>12293</v>
      </c>
      <c r="BT718" s="1" t="str">
        <f>HYPERLINK("https%3A%2F%2Fwww.webofscience.com%2Fwos%2Fwoscc%2Ffull-record%2FWOS:000286855900016","View Full Record in Web of Science")</f>
        <v>View Full Record in Web of Science</v>
      </c>
    </row>
    <row r="719" spans="1:72">
      <c r="A719" s="1" t="s">
        <v>72</v>
      </c>
      <c r="B719" s="1" t="s">
        <v>3003</v>
      </c>
      <c r="C719" s="1" t="s">
        <v>74</v>
      </c>
      <c r="D719" s="1" t="s">
        <v>74</v>
      </c>
      <c r="E719" s="1" t="s">
        <v>74</v>
      </c>
      <c r="F719" s="1" t="s">
        <v>3003</v>
      </c>
      <c r="G719" s="1" t="s">
        <v>74</v>
      </c>
      <c r="H719" s="1" t="s">
        <v>74</v>
      </c>
      <c r="I719" s="1" t="s">
        <v>12294</v>
      </c>
      <c r="J719" s="1" t="s">
        <v>12295</v>
      </c>
      <c r="K719" s="1" t="s">
        <v>74</v>
      </c>
      <c r="L719" s="1" t="s">
        <v>74</v>
      </c>
      <c r="M719" s="1" t="s">
        <v>78</v>
      </c>
      <c r="N719" s="1" t="s">
        <v>79</v>
      </c>
      <c r="O719" s="1" t="s">
        <v>74</v>
      </c>
      <c r="P719" s="1" t="s">
        <v>74</v>
      </c>
      <c r="Q719" s="1" t="s">
        <v>74</v>
      </c>
      <c r="R719" s="1" t="s">
        <v>74</v>
      </c>
      <c r="S719" s="1" t="s">
        <v>74</v>
      </c>
      <c r="T719" s="1" t="s">
        <v>12296</v>
      </c>
      <c r="U719" s="1" t="s">
        <v>12297</v>
      </c>
      <c r="V719" s="1" t="s">
        <v>12298</v>
      </c>
      <c r="W719" s="1" t="s">
        <v>74</v>
      </c>
      <c r="X719" s="1" t="s">
        <v>74</v>
      </c>
      <c r="Y719" s="1" t="s">
        <v>12299</v>
      </c>
      <c r="Z719" s="1" t="s">
        <v>74</v>
      </c>
      <c r="AA719" s="1" t="s">
        <v>74</v>
      </c>
      <c r="AB719" s="1" t="s">
        <v>74</v>
      </c>
      <c r="AC719" s="1" t="s">
        <v>74</v>
      </c>
      <c r="AD719" s="1" t="s">
        <v>74</v>
      </c>
      <c r="AE719" s="1" t="s">
        <v>74</v>
      </c>
      <c r="AF719" s="1" t="s">
        <v>74</v>
      </c>
      <c r="AG719" s="1">
        <v>43</v>
      </c>
      <c r="AH719" s="1">
        <v>14</v>
      </c>
      <c r="AI719" s="1">
        <v>16</v>
      </c>
      <c r="AJ719" s="1">
        <v>0</v>
      </c>
      <c r="AK719" s="1">
        <v>4</v>
      </c>
      <c r="AL719" s="1" t="s">
        <v>12300</v>
      </c>
      <c r="AM719" s="1" t="s">
        <v>12301</v>
      </c>
      <c r="AN719" s="1" t="s">
        <v>12302</v>
      </c>
      <c r="AO719" s="1" t="s">
        <v>12303</v>
      </c>
      <c r="AP719" s="1" t="s">
        <v>74</v>
      </c>
      <c r="AQ719" s="1" t="s">
        <v>74</v>
      </c>
      <c r="AR719" s="1" t="s">
        <v>12304</v>
      </c>
      <c r="AS719" s="1" t="s">
        <v>12305</v>
      </c>
      <c r="AT719" s="1" t="s">
        <v>74</v>
      </c>
      <c r="AU719" s="1">
        <v>1996</v>
      </c>
      <c r="AV719" s="1">
        <v>86</v>
      </c>
      <c r="AW719" s="1">
        <v>1</v>
      </c>
      <c r="AX719" s="1" t="s">
        <v>74</v>
      </c>
      <c r="AY719" s="1" t="s">
        <v>74</v>
      </c>
      <c r="AZ719" s="1" t="s">
        <v>74</v>
      </c>
      <c r="BA719" s="1" t="s">
        <v>74</v>
      </c>
      <c r="BB719" s="1">
        <v>59</v>
      </c>
      <c r="BC719" s="1">
        <v>65</v>
      </c>
      <c r="BD719" s="1" t="s">
        <v>74</v>
      </c>
      <c r="BE719" s="1" t="s">
        <v>12306</v>
      </c>
      <c r="BF719" s="1" t="str">
        <f>HYPERLINK("http://dx.doi.org/10.1016/0248-4900(96)89525-6","http://dx.doi.org/10.1016/0248-4900(96)89525-6")</f>
        <v>http://dx.doi.org/10.1016/0248-4900(96)89525-6</v>
      </c>
      <c r="BG719" s="1" t="s">
        <v>74</v>
      </c>
      <c r="BH719" s="1" t="s">
        <v>74</v>
      </c>
      <c r="BI719" s="1">
        <v>7</v>
      </c>
      <c r="BJ719" s="1" t="s">
        <v>12307</v>
      </c>
      <c r="BK719" s="1" t="s">
        <v>96</v>
      </c>
      <c r="BL719" s="1" t="s">
        <v>12307</v>
      </c>
      <c r="BM719" s="1" t="s">
        <v>12308</v>
      </c>
      <c r="BN719" s="1">
        <v>8688832</v>
      </c>
      <c r="BO719" s="1" t="s">
        <v>74</v>
      </c>
      <c r="BP719" s="1" t="s">
        <v>74</v>
      </c>
      <c r="BQ719" s="1" t="s">
        <v>74</v>
      </c>
      <c r="BR719" s="1" t="s">
        <v>98</v>
      </c>
      <c r="BS719" s="1" t="s">
        <v>12309</v>
      </c>
      <c r="BT719" s="1" t="str">
        <f>HYPERLINK("https%3A%2F%2Fwww.webofscience.com%2Fwos%2Fwoscc%2Ffull-record%2FWOS:A1996UY39200008","View Full Record in Web of Science")</f>
        <v>View Full Record in Web of Science</v>
      </c>
    </row>
    <row r="720" spans="1:72">
      <c r="A720" s="1" t="s">
        <v>72</v>
      </c>
      <c r="B720" s="1" t="s">
        <v>12310</v>
      </c>
      <c r="C720" s="1" t="s">
        <v>74</v>
      </c>
      <c r="D720" s="1" t="s">
        <v>74</v>
      </c>
      <c r="E720" s="1" t="s">
        <v>74</v>
      </c>
      <c r="F720" s="1" t="s">
        <v>12310</v>
      </c>
      <c r="G720" s="1" t="s">
        <v>74</v>
      </c>
      <c r="H720" s="1" t="s">
        <v>74</v>
      </c>
      <c r="I720" s="1" t="s">
        <v>12311</v>
      </c>
      <c r="J720" s="1" t="s">
        <v>554</v>
      </c>
      <c r="K720" s="1" t="s">
        <v>74</v>
      </c>
      <c r="L720" s="1" t="s">
        <v>74</v>
      </c>
      <c r="M720" s="1" t="s">
        <v>78</v>
      </c>
      <c r="N720" s="1" t="s">
        <v>79</v>
      </c>
      <c r="O720" s="1" t="s">
        <v>74</v>
      </c>
      <c r="P720" s="1" t="s">
        <v>74</v>
      </c>
      <c r="Q720" s="1" t="s">
        <v>74</v>
      </c>
      <c r="R720" s="1" t="s">
        <v>74</v>
      </c>
      <c r="S720" s="1" t="s">
        <v>74</v>
      </c>
      <c r="T720" s="1" t="s">
        <v>74</v>
      </c>
      <c r="U720" s="1" t="s">
        <v>12312</v>
      </c>
      <c r="V720" s="1" t="s">
        <v>12313</v>
      </c>
      <c r="W720" s="1" t="s">
        <v>12314</v>
      </c>
      <c r="X720" s="1" t="s">
        <v>2036</v>
      </c>
      <c r="Y720" s="1" t="s">
        <v>74</v>
      </c>
      <c r="Z720" s="1" t="s">
        <v>74</v>
      </c>
      <c r="AA720" s="1" t="s">
        <v>74</v>
      </c>
      <c r="AB720" s="1" t="s">
        <v>74</v>
      </c>
      <c r="AC720" s="1" t="s">
        <v>74</v>
      </c>
      <c r="AD720" s="1" t="s">
        <v>74</v>
      </c>
      <c r="AE720" s="1" t="s">
        <v>74</v>
      </c>
      <c r="AF720" s="1" t="s">
        <v>74</v>
      </c>
      <c r="AG720" s="1">
        <v>59</v>
      </c>
      <c r="AH720" s="1">
        <v>12</v>
      </c>
      <c r="AI720" s="1">
        <v>12</v>
      </c>
      <c r="AJ720" s="1">
        <v>0</v>
      </c>
      <c r="AK720" s="1">
        <v>5</v>
      </c>
      <c r="AL720" s="1" t="s">
        <v>564</v>
      </c>
      <c r="AM720" s="1" t="s">
        <v>113</v>
      </c>
      <c r="AN720" s="1" t="s">
        <v>565</v>
      </c>
      <c r="AO720" s="1" t="s">
        <v>566</v>
      </c>
      <c r="AP720" s="1" t="s">
        <v>567</v>
      </c>
      <c r="AQ720" s="1" t="s">
        <v>74</v>
      </c>
      <c r="AR720" s="1" t="s">
        <v>568</v>
      </c>
      <c r="AS720" s="1" t="s">
        <v>569</v>
      </c>
      <c r="AT720" s="1" t="s">
        <v>305</v>
      </c>
      <c r="AU720" s="1">
        <v>1993</v>
      </c>
      <c r="AV720" s="1">
        <v>106</v>
      </c>
      <c r="AW720" s="1">
        <v>1</v>
      </c>
      <c r="AX720" s="1" t="s">
        <v>74</v>
      </c>
      <c r="AY720" s="1" t="s">
        <v>74</v>
      </c>
      <c r="AZ720" s="1" t="s">
        <v>74</v>
      </c>
      <c r="BA720" s="1" t="s">
        <v>74</v>
      </c>
      <c r="BB720" s="1">
        <v>131</v>
      </c>
      <c r="BC720" s="1">
        <v>139</v>
      </c>
      <c r="BD720" s="1" t="s">
        <v>74</v>
      </c>
      <c r="BE720" s="1" t="s">
        <v>74</v>
      </c>
      <c r="BF720" s="1" t="s">
        <v>74</v>
      </c>
      <c r="BG720" s="1" t="s">
        <v>74</v>
      </c>
      <c r="BH720" s="1" t="s">
        <v>74</v>
      </c>
      <c r="BI720" s="1">
        <v>9</v>
      </c>
      <c r="BJ720" s="1" t="s">
        <v>571</v>
      </c>
      <c r="BK720" s="1" t="s">
        <v>96</v>
      </c>
      <c r="BL720" s="1" t="s">
        <v>571</v>
      </c>
      <c r="BM720" s="1" t="s">
        <v>12315</v>
      </c>
      <c r="BN720" s="1">
        <v>7903608</v>
      </c>
      <c r="BO720" s="1" t="s">
        <v>74</v>
      </c>
      <c r="BP720" s="1" t="s">
        <v>74</v>
      </c>
      <c r="BQ720" s="1" t="s">
        <v>74</v>
      </c>
      <c r="BR720" s="1" t="s">
        <v>98</v>
      </c>
      <c r="BS720" s="1" t="s">
        <v>12316</v>
      </c>
      <c r="BT720" s="1" t="str">
        <f>HYPERLINK("https%3A%2F%2Fwww.webofscience.com%2Fwos%2Fwoscc%2Ffull-record%2FWOS:A1993MA39200015","View Full Record in Web of Science")</f>
        <v>View Full Record in Web of Science</v>
      </c>
    </row>
    <row r="721" spans="1:72">
      <c r="A721" s="1" t="s">
        <v>72</v>
      </c>
      <c r="B721" s="1" t="s">
        <v>5546</v>
      </c>
      <c r="C721" s="1" t="s">
        <v>74</v>
      </c>
      <c r="D721" s="1" t="s">
        <v>74</v>
      </c>
      <c r="E721" s="1" t="s">
        <v>74</v>
      </c>
      <c r="F721" s="1" t="s">
        <v>5547</v>
      </c>
      <c r="G721" s="1" t="s">
        <v>74</v>
      </c>
      <c r="H721" s="1" t="s">
        <v>74</v>
      </c>
      <c r="I721" s="1" t="s">
        <v>12317</v>
      </c>
      <c r="J721" s="1" t="s">
        <v>6630</v>
      </c>
      <c r="K721" s="1" t="s">
        <v>74</v>
      </c>
      <c r="L721" s="1" t="s">
        <v>74</v>
      </c>
      <c r="M721" s="1" t="s">
        <v>78</v>
      </c>
      <c r="N721" s="1" t="s">
        <v>79</v>
      </c>
      <c r="O721" s="1" t="s">
        <v>74</v>
      </c>
      <c r="P721" s="1" t="s">
        <v>74</v>
      </c>
      <c r="Q721" s="1" t="s">
        <v>74</v>
      </c>
      <c r="R721" s="1" t="s">
        <v>74</v>
      </c>
      <c r="S721" s="1" t="s">
        <v>74</v>
      </c>
      <c r="T721" s="1" t="s">
        <v>74</v>
      </c>
      <c r="U721" s="1" t="s">
        <v>12318</v>
      </c>
      <c r="V721" s="1" t="s">
        <v>12319</v>
      </c>
      <c r="W721" s="1" t="s">
        <v>12320</v>
      </c>
      <c r="X721" s="1" t="s">
        <v>5553</v>
      </c>
      <c r="Y721" s="1" t="s">
        <v>12321</v>
      </c>
      <c r="Z721" s="1" t="s">
        <v>5555</v>
      </c>
      <c r="AA721" s="1" t="s">
        <v>74</v>
      </c>
      <c r="AB721" s="1" t="s">
        <v>74</v>
      </c>
      <c r="AC721" s="1" t="s">
        <v>12322</v>
      </c>
      <c r="AD721" s="1" t="s">
        <v>12322</v>
      </c>
      <c r="AE721" s="1" t="s">
        <v>12323</v>
      </c>
      <c r="AF721" s="1" t="s">
        <v>74</v>
      </c>
      <c r="AG721" s="1">
        <v>22</v>
      </c>
      <c r="AH721" s="1">
        <v>9</v>
      </c>
      <c r="AI721" s="1">
        <v>10</v>
      </c>
      <c r="AJ721" s="1">
        <v>1</v>
      </c>
      <c r="AK721" s="1">
        <v>17</v>
      </c>
      <c r="AL721" s="1" t="s">
        <v>408</v>
      </c>
      <c r="AM721" s="1" t="s">
        <v>409</v>
      </c>
      <c r="AN721" s="1" t="s">
        <v>1188</v>
      </c>
      <c r="AO721" s="1" t="s">
        <v>6642</v>
      </c>
      <c r="AP721" s="1" t="s">
        <v>6643</v>
      </c>
      <c r="AQ721" s="1" t="s">
        <v>74</v>
      </c>
      <c r="AR721" s="1" t="s">
        <v>6644</v>
      </c>
      <c r="AS721" s="1" t="s">
        <v>6645</v>
      </c>
      <c r="AT721" s="1" t="s">
        <v>74</v>
      </c>
      <c r="AU721" s="1">
        <v>2010</v>
      </c>
      <c r="AV721" s="1">
        <v>73</v>
      </c>
      <c r="AW721" s="1" t="s">
        <v>12324</v>
      </c>
      <c r="AX721" s="1" t="s">
        <v>74</v>
      </c>
      <c r="AY721" s="1" t="s">
        <v>74</v>
      </c>
      <c r="AZ721" s="1" t="s">
        <v>74</v>
      </c>
      <c r="BA721" s="1" t="s">
        <v>74</v>
      </c>
      <c r="BB721" s="1">
        <v>1186</v>
      </c>
      <c r="BC721" s="1">
        <v>1193</v>
      </c>
      <c r="BD721" s="1" t="s">
        <v>74</v>
      </c>
      <c r="BE721" s="1" t="s">
        <v>12325</v>
      </c>
      <c r="BF721" s="1" t="str">
        <f>HYPERLINK("http://dx.doi.org/10.1080/15287394.2010.491776","http://dx.doi.org/10.1080/15287394.2010.491776")</f>
        <v>http://dx.doi.org/10.1080/15287394.2010.491776</v>
      </c>
      <c r="BG721" s="1" t="s">
        <v>74</v>
      </c>
      <c r="BH721" s="1" t="s">
        <v>74</v>
      </c>
      <c r="BI721" s="1">
        <v>8</v>
      </c>
      <c r="BJ721" s="1" t="s">
        <v>5162</v>
      </c>
      <c r="BK721" s="1" t="s">
        <v>96</v>
      </c>
      <c r="BL721" s="1" t="s">
        <v>5163</v>
      </c>
      <c r="BM721" s="1" t="s">
        <v>12326</v>
      </c>
      <c r="BN721" s="1">
        <v>20706943</v>
      </c>
      <c r="BO721" s="1" t="s">
        <v>74</v>
      </c>
      <c r="BP721" s="1" t="s">
        <v>74</v>
      </c>
      <c r="BQ721" s="1" t="s">
        <v>74</v>
      </c>
      <c r="BR721" s="1" t="s">
        <v>98</v>
      </c>
      <c r="BS721" s="1" t="s">
        <v>12327</v>
      </c>
      <c r="BT721" s="1" t="str">
        <f>HYPERLINK("https%3A%2F%2Fwww.webofscience.com%2Fwos%2Fwoscc%2Ffull-record%2FWOS:000281078000010","View Full Record in Web of Science")</f>
        <v>View Full Record in Web of Science</v>
      </c>
    </row>
    <row r="722" spans="1:72">
      <c r="A722" s="1" t="s">
        <v>72</v>
      </c>
      <c r="B722" s="1" t="s">
        <v>12328</v>
      </c>
      <c r="C722" s="1" t="s">
        <v>74</v>
      </c>
      <c r="D722" s="1" t="s">
        <v>74</v>
      </c>
      <c r="E722" s="1" t="s">
        <v>74</v>
      </c>
      <c r="F722" s="1" t="s">
        <v>12329</v>
      </c>
      <c r="G722" s="1" t="s">
        <v>74</v>
      </c>
      <c r="H722" s="1" t="s">
        <v>74</v>
      </c>
      <c r="I722" s="1" t="s">
        <v>12330</v>
      </c>
      <c r="J722" s="1" t="s">
        <v>10129</v>
      </c>
      <c r="K722" s="1" t="s">
        <v>74</v>
      </c>
      <c r="L722" s="1" t="s">
        <v>74</v>
      </c>
      <c r="M722" s="1" t="s">
        <v>78</v>
      </c>
      <c r="N722" s="1" t="s">
        <v>79</v>
      </c>
      <c r="O722" s="1" t="s">
        <v>74</v>
      </c>
      <c r="P722" s="1" t="s">
        <v>74</v>
      </c>
      <c r="Q722" s="1" t="s">
        <v>74</v>
      </c>
      <c r="R722" s="1" t="s">
        <v>74</v>
      </c>
      <c r="S722" s="1" t="s">
        <v>74</v>
      </c>
      <c r="T722" s="1" t="s">
        <v>12331</v>
      </c>
      <c r="U722" s="1" t="s">
        <v>12332</v>
      </c>
      <c r="V722" s="1" t="s">
        <v>12333</v>
      </c>
      <c r="W722" s="1" t="s">
        <v>12334</v>
      </c>
      <c r="X722" s="1" t="s">
        <v>12335</v>
      </c>
      <c r="Y722" s="1" t="s">
        <v>12336</v>
      </c>
      <c r="Z722" s="1" t="s">
        <v>1672</v>
      </c>
      <c r="AA722" s="1" t="s">
        <v>12337</v>
      </c>
      <c r="AB722" s="1" t="s">
        <v>12338</v>
      </c>
      <c r="AC722" s="1" t="s">
        <v>12339</v>
      </c>
      <c r="AD722" s="1" t="s">
        <v>12340</v>
      </c>
      <c r="AE722" s="1" t="s">
        <v>12341</v>
      </c>
      <c r="AF722" s="1" t="s">
        <v>74</v>
      </c>
      <c r="AG722" s="1">
        <v>72</v>
      </c>
      <c r="AH722" s="1">
        <v>13</v>
      </c>
      <c r="AI722" s="1">
        <v>13</v>
      </c>
      <c r="AJ722" s="1">
        <v>2</v>
      </c>
      <c r="AK722" s="1">
        <v>23</v>
      </c>
      <c r="AL722" s="1" t="s">
        <v>3362</v>
      </c>
      <c r="AM722" s="1" t="s">
        <v>3363</v>
      </c>
      <c r="AN722" s="1" t="s">
        <v>3364</v>
      </c>
      <c r="AO722" s="1" t="s">
        <v>10137</v>
      </c>
      <c r="AP722" s="1" t="s">
        <v>10138</v>
      </c>
      <c r="AQ722" s="1" t="s">
        <v>74</v>
      </c>
      <c r="AR722" s="1" t="s">
        <v>10139</v>
      </c>
      <c r="AS722" s="1" t="s">
        <v>10140</v>
      </c>
      <c r="AT722" s="1" t="s">
        <v>305</v>
      </c>
      <c r="AU722" s="1">
        <v>2022</v>
      </c>
      <c r="AV722" s="1">
        <v>212</v>
      </c>
      <c r="AW722" s="1" t="s">
        <v>74</v>
      </c>
      <c r="AX722" s="1" t="s">
        <v>12342</v>
      </c>
      <c r="AY722" s="1" t="s">
        <v>74</v>
      </c>
      <c r="AZ722" s="1" t="s">
        <v>74</v>
      </c>
      <c r="BA722" s="1" t="s">
        <v>74</v>
      </c>
      <c r="BB722" s="1" t="s">
        <v>74</v>
      </c>
      <c r="BC722" s="1" t="s">
        <v>74</v>
      </c>
      <c r="BD722" s="1">
        <v>113439</v>
      </c>
      <c r="BE722" s="1" t="s">
        <v>12343</v>
      </c>
      <c r="BF722" s="1" t="str">
        <f>HYPERLINK("http://dx.doi.org/10.1016/j.envres.2022.113439","http://dx.doi.org/10.1016/j.envres.2022.113439")</f>
        <v>http://dx.doi.org/10.1016/j.envres.2022.113439</v>
      </c>
      <c r="BG722" s="1" t="s">
        <v>74</v>
      </c>
      <c r="BH722" s="1" t="s">
        <v>2765</v>
      </c>
      <c r="BI722" s="1">
        <v>12</v>
      </c>
      <c r="BJ722" s="1" t="s">
        <v>10142</v>
      </c>
      <c r="BK722" s="1" t="s">
        <v>96</v>
      </c>
      <c r="BL722" s="1" t="s">
        <v>10143</v>
      </c>
      <c r="BM722" s="1" t="s">
        <v>12344</v>
      </c>
      <c r="BN722" s="1">
        <v>35537496</v>
      </c>
      <c r="BO722" s="1" t="s">
        <v>74</v>
      </c>
      <c r="BP722" s="1" t="s">
        <v>74</v>
      </c>
      <c r="BQ722" s="1" t="s">
        <v>74</v>
      </c>
      <c r="BR722" s="1" t="s">
        <v>98</v>
      </c>
      <c r="BS722" s="1" t="s">
        <v>12345</v>
      </c>
      <c r="BT722" s="1" t="str">
        <f>HYPERLINK("https%3A%2F%2Fwww.webofscience.com%2Fwos%2Fwoscc%2Ffull-record%2FWOS:000799995700001","View Full Record in Web of Science")</f>
        <v>View Full Record in Web of Science</v>
      </c>
    </row>
    <row r="723" spans="1:72">
      <c r="A723" s="1" t="s">
        <v>72</v>
      </c>
      <c r="B723" s="1" t="s">
        <v>12346</v>
      </c>
      <c r="C723" s="1" t="s">
        <v>74</v>
      </c>
      <c r="D723" s="1" t="s">
        <v>74</v>
      </c>
      <c r="E723" s="1" t="s">
        <v>74</v>
      </c>
      <c r="F723" s="1" t="s">
        <v>12347</v>
      </c>
      <c r="G723" s="1" t="s">
        <v>74</v>
      </c>
      <c r="H723" s="1" t="s">
        <v>74</v>
      </c>
      <c r="I723" s="1" t="s">
        <v>12348</v>
      </c>
      <c r="J723" s="1" t="s">
        <v>12349</v>
      </c>
      <c r="K723" s="1" t="s">
        <v>74</v>
      </c>
      <c r="L723" s="1" t="s">
        <v>74</v>
      </c>
      <c r="M723" s="1" t="s">
        <v>78</v>
      </c>
      <c r="N723" s="1" t="s">
        <v>79</v>
      </c>
      <c r="O723" s="1" t="s">
        <v>74</v>
      </c>
      <c r="P723" s="1" t="s">
        <v>74</v>
      </c>
      <c r="Q723" s="1" t="s">
        <v>74</v>
      </c>
      <c r="R723" s="1" t="s">
        <v>74</v>
      </c>
      <c r="S723" s="1" t="s">
        <v>74</v>
      </c>
      <c r="T723" s="1" t="s">
        <v>12350</v>
      </c>
      <c r="U723" s="1" t="s">
        <v>12351</v>
      </c>
      <c r="V723" s="1" t="s">
        <v>12352</v>
      </c>
      <c r="W723" s="1" t="s">
        <v>12353</v>
      </c>
      <c r="X723" s="1" t="s">
        <v>12354</v>
      </c>
      <c r="Y723" s="1" t="s">
        <v>12355</v>
      </c>
      <c r="Z723" s="1" t="s">
        <v>12356</v>
      </c>
      <c r="AA723" s="1" t="s">
        <v>12357</v>
      </c>
      <c r="AB723" s="1" t="s">
        <v>12358</v>
      </c>
      <c r="AC723" s="1" t="s">
        <v>74</v>
      </c>
      <c r="AD723" s="1" t="s">
        <v>74</v>
      </c>
      <c r="AE723" s="1" t="s">
        <v>74</v>
      </c>
      <c r="AF723" s="1" t="s">
        <v>74</v>
      </c>
      <c r="AG723" s="1">
        <v>48</v>
      </c>
      <c r="AH723" s="1">
        <v>12</v>
      </c>
      <c r="AI723" s="1">
        <v>12</v>
      </c>
      <c r="AJ723" s="1">
        <v>12</v>
      </c>
      <c r="AK723" s="1">
        <v>38</v>
      </c>
      <c r="AL723" s="1" t="s">
        <v>12359</v>
      </c>
      <c r="AM723" s="1" t="s">
        <v>9395</v>
      </c>
      <c r="AN723" s="1" t="s">
        <v>12360</v>
      </c>
      <c r="AO723" s="1" t="s">
        <v>12361</v>
      </c>
      <c r="AP723" s="1" t="s">
        <v>12362</v>
      </c>
      <c r="AQ723" s="1" t="s">
        <v>74</v>
      </c>
      <c r="AR723" s="1" t="s">
        <v>12363</v>
      </c>
      <c r="AS723" s="1" t="s">
        <v>12364</v>
      </c>
      <c r="AT723" s="1" t="s">
        <v>74</v>
      </c>
      <c r="AU723" s="1">
        <v>2015</v>
      </c>
      <c r="AV723" s="1">
        <v>40</v>
      </c>
      <c r="AW723" s="1">
        <v>2</v>
      </c>
      <c r="AX723" s="1" t="s">
        <v>74</v>
      </c>
      <c r="AY723" s="1" t="s">
        <v>74</v>
      </c>
      <c r="AZ723" s="1" t="s">
        <v>74</v>
      </c>
      <c r="BA723" s="1" t="s">
        <v>74</v>
      </c>
      <c r="BB723" s="1">
        <v>140</v>
      </c>
      <c r="BC723" s="1">
        <v>148</v>
      </c>
      <c r="BD723" s="1" t="s">
        <v>74</v>
      </c>
      <c r="BE723" s="1" t="s">
        <v>12365</v>
      </c>
      <c r="BF723" s="1" t="str">
        <f>HYPERLINK("http://dx.doi.org/10.5505/tjb.2015.32448","http://dx.doi.org/10.5505/tjb.2015.32448")</f>
        <v>http://dx.doi.org/10.5505/tjb.2015.32448</v>
      </c>
      <c r="BG723" s="1" t="s">
        <v>74</v>
      </c>
      <c r="BH723" s="1" t="s">
        <v>74</v>
      </c>
      <c r="BI723" s="1">
        <v>9</v>
      </c>
      <c r="BJ723" s="1" t="s">
        <v>3805</v>
      </c>
      <c r="BK723" s="1" t="s">
        <v>96</v>
      </c>
      <c r="BL723" s="1" t="s">
        <v>3805</v>
      </c>
      <c r="BM723" s="1" t="s">
        <v>12366</v>
      </c>
      <c r="BN723" s="1" t="s">
        <v>74</v>
      </c>
      <c r="BO723" s="1" t="s">
        <v>873</v>
      </c>
      <c r="BP723" s="1" t="s">
        <v>74</v>
      </c>
      <c r="BQ723" s="1" t="s">
        <v>74</v>
      </c>
      <c r="BR723" s="1" t="s">
        <v>98</v>
      </c>
      <c r="BS723" s="1" t="s">
        <v>12367</v>
      </c>
      <c r="BT723" s="1" t="str">
        <f>HYPERLINK("https%3A%2F%2Fwww.webofscience.com%2Fwos%2Fwoscc%2Ffull-record%2FWOS:000358306200007","View Full Record in Web of Science")</f>
        <v>View Full Record in Web of Science</v>
      </c>
    </row>
    <row r="724" spans="1:72">
      <c r="A724" s="1" t="s">
        <v>72</v>
      </c>
      <c r="B724" s="1" t="s">
        <v>12368</v>
      </c>
      <c r="C724" s="1" t="s">
        <v>74</v>
      </c>
      <c r="D724" s="1" t="s">
        <v>74</v>
      </c>
      <c r="E724" s="1" t="s">
        <v>74</v>
      </c>
      <c r="F724" s="1" t="s">
        <v>12369</v>
      </c>
      <c r="G724" s="1" t="s">
        <v>74</v>
      </c>
      <c r="H724" s="1" t="s">
        <v>74</v>
      </c>
      <c r="I724" s="1" t="s">
        <v>12370</v>
      </c>
      <c r="J724" s="1" t="s">
        <v>11378</v>
      </c>
      <c r="K724" s="1" t="s">
        <v>74</v>
      </c>
      <c r="L724" s="1" t="s">
        <v>74</v>
      </c>
      <c r="M724" s="1" t="s">
        <v>78</v>
      </c>
      <c r="N724" s="1" t="s">
        <v>79</v>
      </c>
      <c r="O724" s="1" t="s">
        <v>74</v>
      </c>
      <c r="P724" s="1" t="s">
        <v>74</v>
      </c>
      <c r="Q724" s="1" t="s">
        <v>74</v>
      </c>
      <c r="R724" s="1" t="s">
        <v>74</v>
      </c>
      <c r="S724" s="1" t="s">
        <v>74</v>
      </c>
      <c r="T724" s="1" t="s">
        <v>12371</v>
      </c>
      <c r="U724" s="1" t="s">
        <v>12372</v>
      </c>
      <c r="V724" s="1" t="s">
        <v>12373</v>
      </c>
      <c r="W724" s="1" t="s">
        <v>12374</v>
      </c>
      <c r="X724" s="1" t="s">
        <v>12375</v>
      </c>
      <c r="Y724" s="1" t="s">
        <v>12376</v>
      </c>
      <c r="Z724" s="1" t="s">
        <v>12377</v>
      </c>
      <c r="AA724" s="1" t="s">
        <v>74</v>
      </c>
      <c r="AB724" s="1" t="s">
        <v>74</v>
      </c>
      <c r="AC724" s="1" t="s">
        <v>12378</v>
      </c>
      <c r="AD724" s="1" t="s">
        <v>525</v>
      </c>
      <c r="AE724" s="1" t="s">
        <v>12379</v>
      </c>
      <c r="AF724" s="1" t="s">
        <v>74</v>
      </c>
      <c r="AG724" s="1">
        <v>35</v>
      </c>
      <c r="AH724" s="1">
        <v>0</v>
      </c>
      <c r="AI724" s="1">
        <v>0</v>
      </c>
      <c r="AJ724" s="1">
        <v>10</v>
      </c>
      <c r="AK724" s="1">
        <v>12</v>
      </c>
      <c r="AL724" s="1" t="s">
        <v>1566</v>
      </c>
      <c r="AM724" s="1" t="s">
        <v>1567</v>
      </c>
      <c r="AN724" s="1" t="s">
        <v>1568</v>
      </c>
      <c r="AO724" s="1" t="s">
        <v>74</v>
      </c>
      <c r="AP724" s="1" t="s">
        <v>11389</v>
      </c>
      <c r="AQ724" s="1" t="s">
        <v>74</v>
      </c>
      <c r="AR724" s="1" t="s">
        <v>11378</v>
      </c>
      <c r="AS724" s="1" t="s">
        <v>11390</v>
      </c>
      <c r="AT724" s="1" t="s">
        <v>1470</v>
      </c>
      <c r="AU724" s="1">
        <v>2024</v>
      </c>
      <c r="AV724" s="1">
        <v>12</v>
      </c>
      <c r="AW724" s="1">
        <v>1</v>
      </c>
      <c r="AX724" s="1" t="s">
        <v>74</v>
      </c>
      <c r="AY724" s="1" t="s">
        <v>74</v>
      </c>
      <c r="AZ724" s="1" t="s">
        <v>74</v>
      </c>
      <c r="BA724" s="1" t="s">
        <v>74</v>
      </c>
      <c r="BB724" s="1" t="s">
        <v>74</v>
      </c>
      <c r="BC724" s="1" t="s">
        <v>74</v>
      </c>
      <c r="BD724" s="1">
        <v>74</v>
      </c>
      <c r="BE724" s="1" t="s">
        <v>12380</v>
      </c>
      <c r="BF724" s="1" t="str">
        <f>HYPERLINK("http://dx.doi.org/10.3390/toxics12010074","http://dx.doi.org/10.3390/toxics12010074")</f>
        <v>http://dx.doi.org/10.3390/toxics12010074</v>
      </c>
      <c r="BG724" s="1" t="s">
        <v>74</v>
      </c>
      <c r="BH724" s="1" t="s">
        <v>74</v>
      </c>
      <c r="BI724" s="1">
        <v>10</v>
      </c>
      <c r="BJ724" s="1" t="s">
        <v>121</v>
      </c>
      <c r="BK724" s="1" t="s">
        <v>96</v>
      </c>
      <c r="BL724" s="1" t="s">
        <v>122</v>
      </c>
      <c r="BM724" s="1" t="s">
        <v>12381</v>
      </c>
      <c r="BN724" s="1">
        <v>38251028</v>
      </c>
      <c r="BO724" s="1" t="s">
        <v>550</v>
      </c>
      <c r="BP724" s="1" t="s">
        <v>74</v>
      </c>
      <c r="BQ724" s="1" t="s">
        <v>74</v>
      </c>
      <c r="BR724" s="1" t="s">
        <v>98</v>
      </c>
      <c r="BS724" s="1" t="s">
        <v>12382</v>
      </c>
      <c r="BT724" s="1" t="str">
        <f>HYPERLINK("https%3A%2F%2Fwww.webofscience.com%2Fwos%2Fwoscc%2Ffull-record%2FWOS:001152829000001","View Full Record in Web of Science")</f>
        <v>View Full Record in Web of Science</v>
      </c>
    </row>
    <row r="725" spans="1:72">
      <c r="A725" s="1" t="s">
        <v>72</v>
      </c>
      <c r="B725" s="1" t="s">
        <v>12383</v>
      </c>
      <c r="C725" s="1" t="s">
        <v>74</v>
      </c>
      <c r="D725" s="1" t="s">
        <v>74</v>
      </c>
      <c r="E725" s="1" t="s">
        <v>74</v>
      </c>
      <c r="F725" s="1" t="s">
        <v>12384</v>
      </c>
      <c r="G725" s="1" t="s">
        <v>74</v>
      </c>
      <c r="H725" s="1" t="s">
        <v>74</v>
      </c>
      <c r="I725" s="1" t="s">
        <v>12385</v>
      </c>
      <c r="J725" s="1" t="s">
        <v>704</v>
      </c>
      <c r="K725" s="1" t="s">
        <v>74</v>
      </c>
      <c r="L725" s="1" t="s">
        <v>74</v>
      </c>
      <c r="M725" s="1" t="s">
        <v>78</v>
      </c>
      <c r="N725" s="1" t="s">
        <v>79</v>
      </c>
      <c r="O725" s="1" t="s">
        <v>74</v>
      </c>
      <c r="P725" s="1" t="s">
        <v>74</v>
      </c>
      <c r="Q725" s="1" t="s">
        <v>74</v>
      </c>
      <c r="R725" s="1" t="s">
        <v>74</v>
      </c>
      <c r="S725" s="1" t="s">
        <v>74</v>
      </c>
      <c r="T725" s="1" t="s">
        <v>12386</v>
      </c>
      <c r="U725" s="1" t="s">
        <v>12387</v>
      </c>
      <c r="V725" s="1" t="s">
        <v>12388</v>
      </c>
      <c r="W725" s="1" t="s">
        <v>12389</v>
      </c>
      <c r="X725" s="1" t="s">
        <v>12390</v>
      </c>
      <c r="Y725" s="1" t="s">
        <v>12391</v>
      </c>
      <c r="Z725" s="1" t="s">
        <v>12392</v>
      </c>
      <c r="AA725" s="1" t="s">
        <v>12393</v>
      </c>
      <c r="AB725" s="1" t="s">
        <v>12394</v>
      </c>
      <c r="AC725" s="1" t="s">
        <v>12395</v>
      </c>
      <c r="AD725" s="1" t="s">
        <v>12396</v>
      </c>
      <c r="AE725" s="1" t="s">
        <v>12397</v>
      </c>
      <c r="AF725" s="1" t="s">
        <v>74</v>
      </c>
      <c r="AG725" s="1">
        <v>37</v>
      </c>
      <c r="AH725" s="1">
        <v>25</v>
      </c>
      <c r="AI725" s="1">
        <v>27</v>
      </c>
      <c r="AJ725" s="1">
        <v>0</v>
      </c>
      <c r="AK725" s="1">
        <v>42</v>
      </c>
      <c r="AL725" s="1" t="s">
        <v>4010</v>
      </c>
      <c r="AM725" s="1" t="s">
        <v>1167</v>
      </c>
      <c r="AN725" s="1" t="s">
        <v>1168</v>
      </c>
      <c r="AO725" s="1" t="s">
        <v>718</v>
      </c>
      <c r="AP725" s="1" t="s">
        <v>1169</v>
      </c>
      <c r="AQ725" s="1" t="s">
        <v>74</v>
      </c>
      <c r="AR725" s="1" t="s">
        <v>719</v>
      </c>
      <c r="AS725" s="1" t="s">
        <v>720</v>
      </c>
      <c r="AT725" s="1" t="s">
        <v>224</v>
      </c>
      <c r="AU725" s="1">
        <v>2009</v>
      </c>
      <c r="AV725" s="1">
        <v>197</v>
      </c>
      <c r="AW725" s="1" t="s">
        <v>721</v>
      </c>
      <c r="AX725" s="1" t="s">
        <v>74</v>
      </c>
      <c r="AY725" s="1" t="s">
        <v>74</v>
      </c>
      <c r="AZ725" s="1" t="s">
        <v>74</v>
      </c>
      <c r="BA725" s="1" t="s">
        <v>74</v>
      </c>
      <c r="BB725" s="1">
        <v>165</v>
      </c>
      <c r="BC725" s="1">
        <v>174</v>
      </c>
      <c r="BD725" s="1" t="s">
        <v>74</v>
      </c>
      <c r="BE725" s="1" t="s">
        <v>12398</v>
      </c>
      <c r="BF725" s="1" t="str">
        <f>HYPERLINK("http://dx.doi.org/10.1007/s11270-008-9799-4","http://dx.doi.org/10.1007/s11270-008-9799-4")</f>
        <v>http://dx.doi.org/10.1007/s11270-008-9799-4</v>
      </c>
      <c r="BG725" s="1" t="s">
        <v>74</v>
      </c>
      <c r="BH725" s="1" t="s">
        <v>74</v>
      </c>
      <c r="BI725" s="1">
        <v>10</v>
      </c>
      <c r="BJ725" s="1" t="s">
        <v>722</v>
      </c>
      <c r="BK725" s="1" t="s">
        <v>96</v>
      </c>
      <c r="BL725" s="1" t="s">
        <v>723</v>
      </c>
      <c r="BM725" s="1" t="s">
        <v>12399</v>
      </c>
      <c r="BN725" s="1" t="s">
        <v>74</v>
      </c>
      <c r="BO725" s="1" t="s">
        <v>74</v>
      </c>
      <c r="BP725" s="1" t="s">
        <v>74</v>
      </c>
      <c r="BQ725" s="1" t="s">
        <v>74</v>
      </c>
      <c r="BR725" s="1" t="s">
        <v>98</v>
      </c>
      <c r="BS725" s="1" t="s">
        <v>12400</v>
      </c>
      <c r="BT725" s="1" t="str">
        <f>HYPERLINK("https%3A%2F%2Fwww.webofscience.com%2Fwos%2Fwoscc%2Ffull-record%2FWOS:000262551000015","View Full Record in Web of Science")</f>
        <v>View Full Record in Web of Science</v>
      </c>
    </row>
    <row r="726" spans="1:72">
      <c r="A726" s="1" t="s">
        <v>72</v>
      </c>
      <c r="B726" s="1" t="s">
        <v>12401</v>
      </c>
      <c r="C726" s="1" t="s">
        <v>74</v>
      </c>
      <c r="D726" s="1" t="s">
        <v>74</v>
      </c>
      <c r="E726" s="1" t="s">
        <v>74</v>
      </c>
      <c r="F726" s="1" t="s">
        <v>12401</v>
      </c>
      <c r="G726" s="1" t="s">
        <v>74</v>
      </c>
      <c r="H726" s="1" t="s">
        <v>74</v>
      </c>
      <c r="I726" s="1" t="s">
        <v>12402</v>
      </c>
      <c r="J726" s="1" t="s">
        <v>1097</v>
      </c>
      <c r="K726" s="1" t="s">
        <v>74</v>
      </c>
      <c r="L726" s="1" t="s">
        <v>74</v>
      </c>
      <c r="M726" s="1" t="s">
        <v>78</v>
      </c>
      <c r="N726" s="1" t="s">
        <v>79</v>
      </c>
      <c r="O726" s="1" t="s">
        <v>74</v>
      </c>
      <c r="P726" s="1" t="s">
        <v>74</v>
      </c>
      <c r="Q726" s="1" t="s">
        <v>74</v>
      </c>
      <c r="R726" s="1" t="s">
        <v>74</v>
      </c>
      <c r="S726" s="1" t="s">
        <v>74</v>
      </c>
      <c r="T726" s="1" t="s">
        <v>74</v>
      </c>
      <c r="U726" s="1" t="s">
        <v>74</v>
      </c>
      <c r="V726" s="1" t="s">
        <v>12403</v>
      </c>
      <c r="W726" s="1" t="s">
        <v>74</v>
      </c>
      <c r="X726" s="1" t="s">
        <v>74</v>
      </c>
      <c r="Y726" s="1" t="s">
        <v>12404</v>
      </c>
      <c r="Z726" s="1" t="s">
        <v>74</v>
      </c>
      <c r="AA726" s="1" t="s">
        <v>74</v>
      </c>
      <c r="AB726" s="1" t="s">
        <v>74</v>
      </c>
      <c r="AC726" s="1" t="s">
        <v>74</v>
      </c>
      <c r="AD726" s="1" t="s">
        <v>74</v>
      </c>
      <c r="AE726" s="1" t="s">
        <v>74</v>
      </c>
      <c r="AF726" s="1" t="s">
        <v>74</v>
      </c>
      <c r="AG726" s="1">
        <v>23</v>
      </c>
      <c r="AH726" s="1">
        <v>15</v>
      </c>
      <c r="AI726" s="1">
        <v>15</v>
      </c>
      <c r="AJ726" s="1">
        <v>0</v>
      </c>
      <c r="AK726" s="1">
        <v>0</v>
      </c>
      <c r="AL726" s="1" t="s">
        <v>217</v>
      </c>
      <c r="AM726" s="1" t="s">
        <v>218</v>
      </c>
      <c r="AN726" s="1" t="s">
        <v>219</v>
      </c>
      <c r="AO726" s="1" t="s">
        <v>1100</v>
      </c>
      <c r="AP726" s="1" t="s">
        <v>1101</v>
      </c>
      <c r="AQ726" s="1" t="s">
        <v>74</v>
      </c>
      <c r="AR726" s="1" t="s">
        <v>1102</v>
      </c>
      <c r="AS726" s="1" t="s">
        <v>1103</v>
      </c>
      <c r="AT726" s="1" t="s">
        <v>74</v>
      </c>
      <c r="AU726" s="1">
        <v>1986</v>
      </c>
      <c r="AV726" s="1">
        <v>92</v>
      </c>
      <c r="AW726" s="1">
        <v>1</v>
      </c>
      <c r="AX726" s="1" t="s">
        <v>74</v>
      </c>
      <c r="AY726" s="1" t="s">
        <v>74</v>
      </c>
      <c r="AZ726" s="1" t="s">
        <v>74</v>
      </c>
      <c r="BA726" s="1" t="s">
        <v>74</v>
      </c>
      <c r="BB726" s="1">
        <v>1</v>
      </c>
      <c r="BC726" s="1">
        <v>5</v>
      </c>
      <c r="BD726" s="1" t="s">
        <v>74</v>
      </c>
      <c r="BE726" s="1" t="s">
        <v>12405</v>
      </c>
      <c r="BF726" s="1" t="str">
        <f>HYPERLINK("http://dx.doi.org/10.1007/BF00392738","http://dx.doi.org/10.1007/BF00392738")</f>
        <v>http://dx.doi.org/10.1007/BF00392738</v>
      </c>
      <c r="BG726" s="1" t="s">
        <v>74</v>
      </c>
      <c r="BH726" s="1" t="s">
        <v>74</v>
      </c>
      <c r="BI726" s="1">
        <v>5</v>
      </c>
      <c r="BJ726" s="1" t="s">
        <v>680</v>
      </c>
      <c r="BK726" s="1" t="s">
        <v>96</v>
      </c>
      <c r="BL726" s="1" t="s">
        <v>680</v>
      </c>
      <c r="BM726" s="1" t="s">
        <v>1105</v>
      </c>
      <c r="BN726" s="1" t="s">
        <v>74</v>
      </c>
      <c r="BO726" s="1" t="s">
        <v>74</v>
      </c>
      <c r="BP726" s="1" t="s">
        <v>74</v>
      </c>
      <c r="BQ726" s="1" t="s">
        <v>74</v>
      </c>
      <c r="BR726" s="1" t="s">
        <v>98</v>
      </c>
      <c r="BS726" s="1" t="s">
        <v>12406</v>
      </c>
      <c r="BT726" s="1" t="str">
        <f>HYPERLINK("https%3A%2F%2Fwww.webofscience.com%2Fwos%2Fwoscc%2Ffull-record%2FWOS:A1986D420500001","View Full Record in Web of Science")</f>
        <v>View Full Record in Web of Science</v>
      </c>
    </row>
    <row r="727" spans="1:72">
      <c r="A727" s="1" t="s">
        <v>72</v>
      </c>
      <c r="B727" s="1" t="s">
        <v>12407</v>
      </c>
      <c r="C727" s="1" t="s">
        <v>74</v>
      </c>
      <c r="D727" s="1" t="s">
        <v>74</v>
      </c>
      <c r="E727" s="1" t="s">
        <v>74</v>
      </c>
      <c r="F727" s="1" t="s">
        <v>12408</v>
      </c>
      <c r="G727" s="1" t="s">
        <v>74</v>
      </c>
      <c r="H727" s="1" t="s">
        <v>74</v>
      </c>
      <c r="I727" s="1" t="s">
        <v>12409</v>
      </c>
      <c r="J727" s="1" t="s">
        <v>421</v>
      </c>
      <c r="K727" s="1" t="s">
        <v>74</v>
      </c>
      <c r="L727" s="1" t="s">
        <v>74</v>
      </c>
      <c r="M727" s="1" t="s">
        <v>78</v>
      </c>
      <c r="N727" s="1" t="s">
        <v>79</v>
      </c>
      <c r="O727" s="1" t="s">
        <v>74</v>
      </c>
      <c r="P727" s="1" t="s">
        <v>74</v>
      </c>
      <c r="Q727" s="1" t="s">
        <v>74</v>
      </c>
      <c r="R727" s="1" t="s">
        <v>74</v>
      </c>
      <c r="S727" s="1" t="s">
        <v>74</v>
      </c>
      <c r="T727" s="1" t="s">
        <v>12410</v>
      </c>
      <c r="U727" s="1" t="s">
        <v>12411</v>
      </c>
      <c r="V727" s="1" t="s">
        <v>12412</v>
      </c>
      <c r="W727" s="1" t="s">
        <v>12413</v>
      </c>
      <c r="X727" s="1" t="s">
        <v>11435</v>
      </c>
      <c r="Y727" s="1" t="s">
        <v>12414</v>
      </c>
      <c r="Z727" s="1" t="s">
        <v>11437</v>
      </c>
      <c r="AA727" s="1" t="s">
        <v>12415</v>
      </c>
      <c r="AB727" s="1" t="s">
        <v>12416</v>
      </c>
      <c r="AC727" s="1" t="s">
        <v>11440</v>
      </c>
      <c r="AD727" s="1" t="s">
        <v>11441</v>
      </c>
      <c r="AE727" s="1" t="s">
        <v>11442</v>
      </c>
      <c r="AF727" s="1" t="s">
        <v>74</v>
      </c>
      <c r="AG727" s="1">
        <v>35</v>
      </c>
      <c r="AH727" s="1">
        <v>17</v>
      </c>
      <c r="AI727" s="1">
        <v>21</v>
      </c>
      <c r="AJ727" s="1">
        <v>0</v>
      </c>
      <c r="AK727" s="1">
        <v>11</v>
      </c>
      <c r="AL727" s="1" t="s">
        <v>430</v>
      </c>
      <c r="AM727" s="1" t="s">
        <v>137</v>
      </c>
      <c r="AN727" s="1" t="s">
        <v>431</v>
      </c>
      <c r="AO727" s="1" t="s">
        <v>432</v>
      </c>
      <c r="AP727" s="1" t="s">
        <v>1394</v>
      </c>
      <c r="AQ727" s="1" t="s">
        <v>74</v>
      </c>
      <c r="AR727" s="1" t="s">
        <v>433</v>
      </c>
      <c r="AS727" s="1" t="s">
        <v>434</v>
      </c>
      <c r="AT727" s="1" t="s">
        <v>93</v>
      </c>
      <c r="AU727" s="1">
        <v>2012</v>
      </c>
      <c r="AV727" s="1">
        <v>163</v>
      </c>
      <c r="AW727" s="1" t="s">
        <v>74</v>
      </c>
      <c r="AX727" s="1" t="s">
        <v>74</v>
      </c>
      <c r="AY727" s="1" t="s">
        <v>74</v>
      </c>
      <c r="AZ727" s="1" t="s">
        <v>74</v>
      </c>
      <c r="BA727" s="1" t="s">
        <v>74</v>
      </c>
      <c r="BB727" s="1">
        <v>218</v>
      </c>
      <c r="BC727" s="1">
        <v>225</v>
      </c>
      <c r="BD727" s="1" t="s">
        <v>74</v>
      </c>
      <c r="BE727" s="1" t="s">
        <v>12417</v>
      </c>
      <c r="BF727" s="1" t="str">
        <f>HYPERLINK("http://dx.doi.org/10.1016/j.envpol.2011.12.023","http://dx.doi.org/10.1016/j.envpol.2011.12.023")</f>
        <v>http://dx.doi.org/10.1016/j.envpol.2011.12.023</v>
      </c>
      <c r="BG727" s="1" t="s">
        <v>74</v>
      </c>
      <c r="BH727" s="1" t="s">
        <v>74</v>
      </c>
      <c r="BI727" s="1">
        <v>8</v>
      </c>
      <c r="BJ727" s="1" t="s">
        <v>144</v>
      </c>
      <c r="BK727" s="1" t="s">
        <v>96</v>
      </c>
      <c r="BL727" s="1" t="s">
        <v>145</v>
      </c>
      <c r="BM727" s="1" t="s">
        <v>12418</v>
      </c>
      <c r="BN727" s="1">
        <v>22265760</v>
      </c>
      <c r="BO727" s="1" t="s">
        <v>74</v>
      </c>
      <c r="BP727" s="1" t="s">
        <v>74</v>
      </c>
      <c r="BQ727" s="1" t="s">
        <v>74</v>
      </c>
      <c r="BR727" s="1" t="s">
        <v>98</v>
      </c>
      <c r="BS727" s="1" t="s">
        <v>12419</v>
      </c>
      <c r="BT727" s="1" t="str">
        <f>HYPERLINK("https%3A%2F%2Fwww.webofscience.com%2Fwos%2Fwoscc%2Ffull-record%2FWOS:000301395400028","View Full Record in Web of Science")</f>
        <v>View Full Record in Web of Science</v>
      </c>
    </row>
    <row r="728" spans="1:72">
      <c r="A728" s="1" t="s">
        <v>72</v>
      </c>
      <c r="B728" s="1" t="s">
        <v>12420</v>
      </c>
      <c r="C728" s="1" t="s">
        <v>74</v>
      </c>
      <c r="D728" s="1" t="s">
        <v>74</v>
      </c>
      <c r="E728" s="1" t="s">
        <v>74</v>
      </c>
      <c r="F728" s="1" t="s">
        <v>12421</v>
      </c>
      <c r="G728" s="1" t="s">
        <v>74</v>
      </c>
      <c r="H728" s="1" t="s">
        <v>74</v>
      </c>
      <c r="I728" s="1" t="s">
        <v>12422</v>
      </c>
      <c r="J728" s="1" t="s">
        <v>641</v>
      </c>
      <c r="K728" s="1" t="s">
        <v>74</v>
      </c>
      <c r="L728" s="1" t="s">
        <v>74</v>
      </c>
      <c r="M728" s="1" t="s">
        <v>78</v>
      </c>
      <c r="N728" s="1" t="s">
        <v>79</v>
      </c>
      <c r="O728" s="1" t="s">
        <v>74</v>
      </c>
      <c r="P728" s="1" t="s">
        <v>74</v>
      </c>
      <c r="Q728" s="1" t="s">
        <v>74</v>
      </c>
      <c r="R728" s="1" t="s">
        <v>74</v>
      </c>
      <c r="S728" s="1" t="s">
        <v>74</v>
      </c>
      <c r="T728" s="1" t="s">
        <v>12423</v>
      </c>
      <c r="U728" s="1" t="s">
        <v>12424</v>
      </c>
      <c r="V728" s="1" t="s">
        <v>12425</v>
      </c>
      <c r="W728" s="1" t="s">
        <v>12426</v>
      </c>
      <c r="X728" s="1" t="s">
        <v>8511</v>
      </c>
      <c r="Y728" s="1" t="s">
        <v>5488</v>
      </c>
      <c r="Z728" s="1" t="s">
        <v>5489</v>
      </c>
      <c r="AA728" s="1" t="s">
        <v>5490</v>
      </c>
      <c r="AB728" s="1" t="s">
        <v>5491</v>
      </c>
      <c r="AC728" s="1" t="s">
        <v>12427</v>
      </c>
      <c r="AD728" s="1" t="s">
        <v>12428</v>
      </c>
      <c r="AE728" s="1" t="s">
        <v>12429</v>
      </c>
      <c r="AF728" s="1" t="s">
        <v>74</v>
      </c>
      <c r="AG728" s="1">
        <v>76</v>
      </c>
      <c r="AH728" s="1">
        <v>128</v>
      </c>
      <c r="AI728" s="1">
        <v>146</v>
      </c>
      <c r="AJ728" s="1">
        <v>2</v>
      </c>
      <c r="AK728" s="1">
        <v>69</v>
      </c>
      <c r="AL728" s="1" t="s">
        <v>650</v>
      </c>
      <c r="AM728" s="1" t="s">
        <v>651</v>
      </c>
      <c r="AN728" s="1" t="s">
        <v>652</v>
      </c>
      <c r="AO728" s="1" t="s">
        <v>653</v>
      </c>
      <c r="AP728" s="1" t="s">
        <v>654</v>
      </c>
      <c r="AQ728" s="1" t="s">
        <v>74</v>
      </c>
      <c r="AR728" s="1" t="s">
        <v>655</v>
      </c>
      <c r="AS728" s="1" t="s">
        <v>656</v>
      </c>
      <c r="AT728" s="1" t="s">
        <v>5101</v>
      </c>
      <c r="AU728" s="1">
        <v>2009</v>
      </c>
      <c r="AV728" s="1">
        <v>91</v>
      </c>
      <c r="AW728" s="1">
        <v>3</v>
      </c>
      <c r="AX728" s="1" t="s">
        <v>74</v>
      </c>
      <c r="AY728" s="1" t="s">
        <v>74</v>
      </c>
      <c r="AZ728" s="1" t="s">
        <v>74</v>
      </c>
      <c r="BA728" s="1" t="s">
        <v>74</v>
      </c>
      <c r="BB728" s="1">
        <v>245</v>
      </c>
      <c r="BC728" s="1">
        <v>254</v>
      </c>
      <c r="BD728" s="1" t="s">
        <v>74</v>
      </c>
      <c r="BE728" s="1" t="s">
        <v>12430</v>
      </c>
      <c r="BF728" s="1" t="str">
        <f>HYPERLINK("http://dx.doi.org/10.1016/j.aquatox.2008.11.016","http://dx.doi.org/10.1016/j.aquatox.2008.11.016")</f>
        <v>http://dx.doi.org/10.1016/j.aquatox.2008.11.016</v>
      </c>
      <c r="BG728" s="1" t="s">
        <v>74</v>
      </c>
      <c r="BH728" s="1" t="s">
        <v>74</v>
      </c>
      <c r="BI728" s="1">
        <v>10</v>
      </c>
      <c r="BJ728" s="1" t="s">
        <v>659</v>
      </c>
      <c r="BK728" s="1" t="s">
        <v>96</v>
      </c>
      <c r="BL728" s="1" t="s">
        <v>659</v>
      </c>
      <c r="BM728" s="1" t="s">
        <v>12431</v>
      </c>
      <c r="BN728" s="1">
        <v>19124164</v>
      </c>
      <c r="BO728" s="1" t="s">
        <v>74</v>
      </c>
      <c r="BP728" s="1" t="s">
        <v>74</v>
      </c>
      <c r="BQ728" s="1" t="s">
        <v>74</v>
      </c>
      <c r="BR728" s="1" t="s">
        <v>98</v>
      </c>
      <c r="BS728" s="1" t="s">
        <v>12432</v>
      </c>
      <c r="BT728" s="1" t="str">
        <f>HYPERLINK("https%3A%2F%2Fwww.webofscience.com%2Fwos%2Fwoscc%2Ffull-record%2FWOS:000263766200007","View Full Record in Web of Science")</f>
        <v>View Full Record in Web of Science</v>
      </c>
    </row>
    <row r="729" spans="1:72">
      <c r="A729" s="1" t="s">
        <v>72</v>
      </c>
      <c r="B729" s="1" t="s">
        <v>12433</v>
      </c>
      <c r="C729" s="1" t="s">
        <v>74</v>
      </c>
      <c r="D729" s="1" t="s">
        <v>74</v>
      </c>
      <c r="E729" s="1" t="s">
        <v>74</v>
      </c>
      <c r="F729" s="1" t="s">
        <v>12433</v>
      </c>
      <c r="G729" s="1" t="s">
        <v>74</v>
      </c>
      <c r="H729" s="1" t="s">
        <v>74</v>
      </c>
      <c r="I729" s="1" t="s">
        <v>12434</v>
      </c>
      <c r="J729" s="1" t="s">
        <v>232</v>
      </c>
      <c r="K729" s="1" t="s">
        <v>74</v>
      </c>
      <c r="L729" s="1" t="s">
        <v>74</v>
      </c>
      <c r="M729" s="1" t="s">
        <v>78</v>
      </c>
      <c r="N729" s="1" t="s">
        <v>79</v>
      </c>
      <c r="O729" s="1" t="s">
        <v>74</v>
      </c>
      <c r="P729" s="1" t="s">
        <v>74</v>
      </c>
      <c r="Q729" s="1" t="s">
        <v>74</v>
      </c>
      <c r="R729" s="1" t="s">
        <v>74</v>
      </c>
      <c r="S729" s="1" t="s">
        <v>74</v>
      </c>
      <c r="T729" s="1" t="s">
        <v>74</v>
      </c>
      <c r="U729" s="1" t="s">
        <v>74</v>
      </c>
      <c r="V729" s="1" t="s">
        <v>12435</v>
      </c>
      <c r="W729" s="1" t="s">
        <v>74</v>
      </c>
      <c r="X729" s="1" t="s">
        <v>74</v>
      </c>
      <c r="Y729" s="1" t="s">
        <v>12436</v>
      </c>
      <c r="Z729" s="1" t="s">
        <v>74</v>
      </c>
      <c r="AA729" s="1" t="s">
        <v>74</v>
      </c>
      <c r="AB729" s="1" t="s">
        <v>74</v>
      </c>
      <c r="AC729" s="1" t="s">
        <v>74</v>
      </c>
      <c r="AD729" s="1" t="s">
        <v>74</v>
      </c>
      <c r="AE729" s="1" t="s">
        <v>74</v>
      </c>
      <c r="AF729" s="1" t="s">
        <v>74</v>
      </c>
      <c r="AG729" s="1">
        <v>24</v>
      </c>
      <c r="AH729" s="1">
        <v>18</v>
      </c>
      <c r="AI729" s="1">
        <v>20</v>
      </c>
      <c r="AJ729" s="1">
        <v>1</v>
      </c>
      <c r="AK729" s="1">
        <v>9</v>
      </c>
      <c r="AL729" s="1" t="s">
        <v>136</v>
      </c>
      <c r="AM729" s="1" t="s">
        <v>137</v>
      </c>
      <c r="AN729" s="1" t="s">
        <v>138</v>
      </c>
      <c r="AO729" s="1" t="s">
        <v>240</v>
      </c>
      <c r="AP729" s="1" t="s">
        <v>241</v>
      </c>
      <c r="AQ729" s="1" t="s">
        <v>74</v>
      </c>
      <c r="AR729" s="1" t="s">
        <v>242</v>
      </c>
      <c r="AS729" s="1" t="s">
        <v>243</v>
      </c>
      <c r="AT729" s="1" t="s">
        <v>305</v>
      </c>
      <c r="AU729" s="1">
        <v>1987</v>
      </c>
      <c r="AV729" s="1">
        <v>18</v>
      </c>
      <c r="AW729" s="1">
        <v>9</v>
      </c>
      <c r="AX729" s="1" t="s">
        <v>74</v>
      </c>
      <c r="AY729" s="1" t="s">
        <v>74</v>
      </c>
      <c r="AZ729" s="1" t="s">
        <v>74</v>
      </c>
      <c r="BA729" s="1" t="s">
        <v>74</v>
      </c>
      <c r="BB729" s="1">
        <v>482</v>
      </c>
      <c r="BC729" s="1">
        <v>485</v>
      </c>
      <c r="BD729" s="1" t="s">
        <v>74</v>
      </c>
      <c r="BE729" s="1" t="s">
        <v>12437</v>
      </c>
      <c r="BF729" s="1" t="str">
        <f>HYPERLINK("http://dx.doi.org/10.1016/0025-326X(87)90358-4","http://dx.doi.org/10.1016/0025-326X(87)90358-4")</f>
        <v>http://dx.doi.org/10.1016/0025-326X(87)90358-4</v>
      </c>
      <c r="BG729" s="1" t="s">
        <v>74</v>
      </c>
      <c r="BH729" s="1" t="s">
        <v>74</v>
      </c>
      <c r="BI729" s="1">
        <v>4</v>
      </c>
      <c r="BJ729" s="1" t="s">
        <v>247</v>
      </c>
      <c r="BK729" s="1" t="s">
        <v>96</v>
      </c>
      <c r="BL729" s="1" t="s">
        <v>248</v>
      </c>
      <c r="BM729" s="1" t="s">
        <v>12438</v>
      </c>
      <c r="BN729" s="1" t="s">
        <v>74</v>
      </c>
      <c r="BO729" s="1" t="s">
        <v>74</v>
      </c>
      <c r="BP729" s="1" t="s">
        <v>74</v>
      </c>
      <c r="BQ729" s="1" t="s">
        <v>74</v>
      </c>
      <c r="BR729" s="1" t="s">
        <v>98</v>
      </c>
      <c r="BS729" s="1" t="s">
        <v>12439</v>
      </c>
      <c r="BT729" s="1" t="str">
        <f>HYPERLINK("https%3A%2F%2Fwww.webofscience.com%2Fwos%2Fwoscc%2Ffull-record%2FWOS:A1987K551000004","View Full Record in Web of Science")</f>
        <v>View Full Record in Web of Science</v>
      </c>
    </row>
    <row r="730" spans="1:72">
      <c r="A730" s="1" t="s">
        <v>72</v>
      </c>
      <c r="B730" s="1" t="s">
        <v>12440</v>
      </c>
      <c r="C730" s="1" t="s">
        <v>74</v>
      </c>
      <c r="D730" s="1" t="s">
        <v>74</v>
      </c>
      <c r="E730" s="1" t="s">
        <v>74</v>
      </c>
      <c r="F730" s="1" t="s">
        <v>12441</v>
      </c>
      <c r="G730" s="1" t="s">
        <v>74</v>
      </c>
      <c r="H730" s="1" t="s">
        <v>74</v>
      </c>
      <c r="I730" s="1" t="s">
        <v>12442</v>
      </c>
      <c r="J730" s="1" t="s">
        <v>4747</v>
      </c>
      <c r="K730" s="1" t="s">
        <v>74</v>
      </c>
      <c r="L730" s="1" t="s">
        <v>74</v>
      </c>
      <c r="M730" s="1" t="s">
        <v>78</v>
      </c>
      <c r="N730" s="1" t="s">
        <v>79</v>
      </c>
      <c r="O730" s="1" t="s">
        <v>74</v>
      </c>
      <c r="P730" s="1" t="s">
        <v>74</v>
      </c>
      <c r="Q730" s="1" t="s">
        <v>74</v>
      </c>
      <c r="R730" s="1" t="s">
        <v>74</v>
      </c>
      <c r="S730" s="1" t="s">
        <v>74</v>
      </c>
      <c r="T730" s="1" t="s">
        <v>12443</v>
      </c>
      <c r="U730" s="1" t="s">
        <v>12444</v>
      </c>
      <c r="V730" s="1" t="s">
        <v>12445</v>
      </c>
      <c r="W730" s="1" t="s">
        <v>12446</v>
      </c>
      <c r="X730" s="1" t="s">
        <v>12447</v>
      </c>
      <c r="Y730" s="1" t="s">
        <v>12448</v>
      </c>
      <c r="Z730" s="1" t="s">
        <v>12449</v>
      </c>
      <c r="AA730" s="1" t="s">
        <v>74</v>
      </c>
      <c r="AB730" s="1" t="s">
        <v>74</v>
      </c>
      <c r="AC730" s="1" t="s">
        <v>12450</v>
      </c>
      <c r="AD730" s="1" t="s">
        <v>12451</v>
      </c>
      <c r="AE730" s="1" t="s">
        <v>12452</v>
      </c>
      <c r="AF730" s="1" t="s">
        <v>74</v>
      </c>
      <c r="AG730" s="1">
        <v>19</v>
      </c>
      <c r="AH730" s="1">
        <v>38</v>
      </c>
      <c r="AI730" s="1">
        <v>42</v>
      </c>
      <c r="AJ730" s="1">
        <v>1</v>
      </c>
      <c r="AK730" s="1">
        <v>27</v>
      </c>
      <c r="AL730" s="1" t="s">
        <v>650</v>
      </c>
      <c r="AM730" s="1" t="s">
        <v>651</v>
      </c>
      <c r="AN730" s="1" t="s">
        <v>652</v>
      </c>
      <c r="AO730" s="1" t="s">
        <v>4758</v>
      </c>
      <c r="AP730" s="1" t="s">
        <v>11139</v>
      </c>
      <c r="AQ730" s="1" t="s">
        <v>74</v>
      </c>
      <c r="AR730" s="1" t="s">
        <v>4759</v>
      </c>
      <c r="AS730" s="1" t="s">
        <v>4760</v>
      </c>
      <c r="AT730" s="1" t="s">
        <v>12453</v>
      </c>
      <c r="AU730" s="1">
        <v>2009</v>
      </c>
      <c r="AV730" s="1">
        <v>168</v>
      </c>
      <c r="AW730" s="1">
        <v>1</v>
      </c>
      <c r="AX730" s="1" t="s">
        <v>74</v>
      </c>
      <c r="AY730" s="1" t="s">
        <v>74</v>
      </c>
      <c r="AZ730" s="1" t="s">
        <v>74</v>
      </c>
      <c r="BA730" s="1" t="s">
        <v>74</v>
      </c>
      <c r="BB730" s="1">
        <v>156</v>
      </c>
      <c r="BC730" s="1">
        <v>162</v>
      </c>
      <c r="BD730" s="1" t="s">
        <v>74</v>
      </c>
      <c r="BE730" s="1" t="s">
        <v>12454</v>
      </c>
      <c r="BF730" s="1" t="str">
        <f>HYPERLINK("http://dx.doi.org/10.1016/j.jhazmat.2009.02.009","http://dx.doi.org/10.1016/j.jhazmat.2009.02.009")</f>
        <v>http://dx.doi.org/10.1016/j.jhazmat.2009.02.009</v>
      </c>
      <c r="BG730" s="1" t="s">
        <v>74</v>
      </c>
      <c r="BH730" s="1" t="s">
        <v>74</v>
      </c>
      <c r="BI730" s="1">
        <v>7</v>
      </c>
      <c r="BJ730" s="1" t="s">
        <v>415</v>
      </c>
      <c r="BK730" s="1" t="s">
        <v>96</v>
      </c>
      <c r="BL730" s="1" t="s">
        <v>416</v>
      </c>
      <c r="BM730" s="1" t="s">
        <v>12455</v>
      </c>
      <c r="BN730" s="1">
        <v>19264396</v>
      </c>
      <c r="BO730" s="1" t="s">
        <v>74</v>
      </c>
      <c r="BP730" s="1" t="s">
        <v>74</v>
      </c>
      <c r="BQ730" s="1" t="s">
        <v>74</v>
      </c>
      <c r="BR730" s="1" t="s">
        <v>98</v>
      </c>
      <c r="BS730" s="1" t="s">
        <v>12456</v>
      </c>
      <c r="BT730" s="1" t="str">
        <f>HYPERLINK("https%3A%2F%2Fwww.webofscience.com%2Fwos%2Fwoscc%2Ffull-record%2FWOS:000267567600022","View Full Record in Web of Science")</f>
        <v>View Full Record in Web of Science</v>
      </c>
    </row>
    <row r="731" spans="1:72">
      <c r="A731" s="1" t="s">
        <v>72</v>
      </c>
      <c r="B731" s="1" t="s">
        <v>12457</v>
      </c>
      <c r="C731" s="1" t="s">
        <v>74</v>
      </c>
      <c r="D731" s="1" t="s">
        <v>74</v>
      </c>
      <c r="E731" s="1" t="s">
        <v>74</v>
      </c>
      <c r="F731" s="1" t="s">
        <v>12458</v>
      </c>
      <c r="G731" s="1" t="s">
        <v>74</v>
      </c>
      <c r="H731" s="1" t="s">
        <v>74</v>
      </c>
      <c r="I731" s="1" t="s">
        <v>12459</v>
      </c>
      <c r="J731" s="1" t="s">
        <v>7097</v>
      </c>
      <c r="K731" s="1" t="s">
        <v>74</v>
      </c>
      <c r="L731" s="1" t="s">
        <v>74</v>
      </c>
      <c r="M731" s="1" t="s">
        <v>78</v>
      </c>
      <c r="N731" s="1" t="s">
        <v>79</v>
      </c>
      <c r="O731" s="1" t="s">
        <v>74</v>
      </c>
      <c r="P731" s="1" t="s">
        <v>74</v>
      </c>
      <c r="Q731" s="1" t="s">
        <v>74</v>
      </c>
      <c r="R731" s="1" t="s">
        <v>74</v>
      </c>
      <c r="S731" s="1" t="s">
        <v>74</v>
      </c>
      <c r="T731" s="1" t="s">
        <v>12460</v>
      </c>
      <c r="U731" s="1" t="s">
        <v>12461</v>
      </c>
      <c r="V731" s="1" t="s">
        <v>12462</v>
      </c>
      <c r="W731" s="1" t="s">
        <v>12463</v>
      </c>
      <c r="X731" s="1" t="s">
        <v>12464</v>
      </c>
      <c r="Y731" s="1" t="s">
        <v>12465</v>
      </c>
      <c r="Z731" s="1" t="s">
        <v>12466</v>
      </c>
      <c r="AA731" s="1" t="s">
        <v>12467</v>
      </c>
      <c r="AB731" s="1" t="s">
        <v>12468</v>
      </c>
      <c r="AC731" s="1" t="s">
        <v>12469</v>
      </c>
      <c r="AD731" s="1" t="s">
        <v>12470</v>
      </c>
      <c r="AE731" s="1" t="s">
        <v>12471</v>
      </c>
      <c r="AF731" s="1" t="s">
        <v>74</v>
      </c>
      <c r="AG731" s="1">
        <v>71</v>
      </c>
      <c r="AH731" s="1">
        <v>22</v>
      </c>
      <c r="AI731" s="1">
        <v>22</v>
      </c>
      <c r="AJ731" s="1">
        <v>1</v>
      </c>
      <c r="AK731" s="1">
        <v>27</v>
      </c>
      <c r="AL731" s="1" t="s">
        <v>919</v>
      </c>
      <c r="AM731" s="1" t="s">
        <v>651</v>
      </c>
      <c r="AN731" s="1" t="s">
        <v>920</v>
      </c>
      <c r="AO731" s="1" t="s">
        <v>7110</v>
      </c>
      <c r="AP731" s="1" t="s">
        <v>7111</v>
      </c>
      <c r="AQ731" s="1" t="s">
        <v>74</v>
      </c>
      <c r="AR731" s="1" t="s">
        <v>7112</v>
      </c>
      <c r="AS731" s="1" t="s">
        <v>7113</v>
      </c>
      <c r="AT731" s="1" t="s">
        <v>197</v>
      </c>
      <c r="AU731" s="1">
        <v>2018</v>
      </c>
      <c r="AV731" s="1">
        <v>95</v>
      </c>
      <c r="AW731" s="1" t="s">
        <v>74</v>
      </c>
      <c r="AX731" s="1">
        <v>2</v>
      </c>
      <c r="AY731" s="1" t="s">
        <v>74</v>
      </c>
      <c r="AZ731" s="1" t="s">
        <v>74</v>
      </c>
      <c r="BA731" s="1" t="s">
        <v>74</v>
      </c>
      <c r="BB731" s="1">
        <v>1001</v>
      </c>
      <c r="BC731" s="1">
        <v>1007</v>
      </c>
      <c r="BD731" s="1" t="s">
        <v>74</v>
      </c>
      <c r="BE731" s="1" t="s">
        <v>12472</v>
      </c>
      <c r="BF731" s="1" t="str">
        <f>HYPERLINK("http://dx.doi.org/10.1016/j.ecolind.2017.12.005","http://dx.doi.org/10.1016/j.ecolind.2017.12.005")</f>
        <v>http://dx.doi.org/10.1016/j.ecolind.2017.12.005</v>
      </c>
      <c r="BG731" s="1" t="s">
        <v>74</v>
      </c>
      <c r="BH731" s="1" t="s">
        <v>74</v>
      </c>
      <c r="BI731" s="1">
        <v>7</v>
      </c>
      <c r="BJ731" s="1" t="s">
        <v>4923</v>
      </c>
      <c r="BK731" s="1" t="s">
        <v>96</v>
      </c>
      <c r="BL731" s="1" t="s">
        <v>4924</v>
      </c>
      <c r="BM731" s="1" t="s">
        <v>12473</v>
      </c>
      <c r="BN731" s="1" t="s">
        <v>74</v>
      </c>
      <c r="BO731" s="1" t="s">
        <v>74</v>
      </c>
      <c r="BP731" s="1" t="s">
        <v>74</v>
      </c>
      <c r="BQ731" s="1" t="s">
        <v>74</v>
      </c>
      <c r="BR731" s="1" t="s">
        <v>98</v>
      </c>
      <c r="BS731" s="1" t="s">
        <v>12474</v>
      </c>
      <c r="BT731" s="1" t="str">
        <f>HYPERLINK("https%3A%2F%2Fwww.webofscience.com%2Fwos%2Fwoscc%2Ffull-record%2FWOS:000456907500005","View Full Record in Web of Science")</f>
        <v>View Full Record in Web of Science</v>
      </c>
    </row>
    <row r="732" spans="1:72">
      <c r="A732" s="1" t="s">
        <v>72</v>
      </c>
      <c r="B732" s="1" t="s">
        <v>12475</v>
      </c>
      <c r="C732" s="1" t="s">
        <v>74</v>
      </c>
      <c r="D732" s="1" t="s">
        <v>74</v>
      </c>
      <c r="E732" s="1" t="s">
        <v>74</v>
      </c>
      <c r="F732" s="1" t="s">
        <v>12476</v>
      </c>
      <c r="G732" s="1" t="s">
        <v>74</v>
      </c>
      <c r="H732" s="1" t="s">
        <v>74</v>
      </c>
      <c r="I732" s="1" t="s">
        <v>12477</v>
      </c>
      <c r="J732" s="1" t="s">
        <v>909</v>
      </c>
      <c r="K732" s="1" t="s">
        <v>74</v>
      </c>
      <c r="L732" s="1" t="s">
        <v>74</v>
      </c>
      <c r="M732" s="1" t="s">
        <v>78</v>
      </c>
      <c r="N732" s="1" t="s">
        <v>79</v>
      </c>
      <c r="O732" s="1" t="s">
        <v>74</v>
      </c>
      <c r="P732" s="1" t="s">
        <v>74</v>
      </c>
      <c r="Q732" s="1" t="s">
        <v>74</v>
      </c>
      <c r="R732" s="1" t="s">
        <v>74</v>
      </c>
      <c r="S732" s="1" t="s">
        <v>74</v>
      </c>
      <c r="T732" s="1" t="s">
        <v>12478</v>
      </c>
      <c r="U732" s="1" t="s">
        <v>12479</v>
      </c>
      <c r="V732" s="1" t="s">
        <v>12480</v>
      </c>
      <c r="W732" s="1" t="s">
        <v>12481</v>
      </c>
      <c r="X732" s="1" t="s">
        <v>12482</v>
      </c>
      <c r="Y732" s="1" t="s">
        <v>12483</v>
      </c>
      <c r="Z732" s="1" t="s">
        <v>12484</v>
      </c>
      <c r="AA732" s="1" t="s">
        <v>9540</v>
      </c>
      <c r="AB732" s="1" t="s">
        <v>74</v>
      </c>
      <c r="AC732" s="1" t="s">
        <v>12485</v>
      </c>
      <c r="AD732" s="1" t="s">
        <v>12486</v>
      </c>
      <c r="AE732" s="1" t="s">
        <v>12487</v>
      </c>
      <c r="AF732" s="1" t="s">
        <v>74</v>
      </c>
      <c r="AG732" s="1">
        <v>102</v>
      </c>
      <c r="AH732" s="1">
        <v>12</v>
      </c>
      <c r="AI732" s="1">
        <v>12</v>
      </c>
      <c r="AJ732" s="1">
        <v>12</v>
      </c>
      <c r="AK732" s="1">
        <v>56</v>
      </c>
      <c r="AL732" s="1" t="s">
        <v>650</v>
      </c>
      <c r="AM732" s="1" t="s">
        <v>651</v>
      </c>
      <c r="AN732" s="1" t="s">
        <v>652</v>
      </c>
      <c r="AO732" s="1" t="s">
        <v>921</v>
      </c>
      <c r="AP732" s="1" t="s">
        <v>922</v>
      </c>
      <c r="AQ732" s="1" t="s">
        <v>74</v>
      </c>
      <c r="AR732" s="1" t="s">
        <v>923</v>
      </c>
      <c r="AS732" s="1" t="s">
        <v>924</v>
      </c>
      <c r="AT732" s="1" t="s">
        <v>3752</v>
      </c>
      <c r="AU732" s="1">
        <v>2023</v>
      </c>
      <c r="AV732" s="1">
        <v>859</v>
      </c>
      <c r="AW732" s="1" t="s">
        <v>74</v>
      </c>
      <c r="AX732" s="1">
        <v>2</v>
      </c>
      <c r="AY732" s="1" t="s">
        <v>74</v>
      </c>
      <c r="AZ732" s="1" t="s">
        <v>74</v>
      </c>
      <c r="BA732" s="1" t="s">
        <v>74</v>
      </c>
      <c r="BB732" s="1" t="s">
        <v>74</v>
      </c>
      <c r="BC732" s="1" t="s">
        <v>74</v>
      </c>
      <c r="BD732" s="1">
        <v>160164</v>
      </c>
      <c r="BE732" s="1" t="s">
        <v>12488</v>
      </c>
      <c r="BF732" s="1" t="str">
        <f>HYPERLINK("http://dx.doi.org/10.1016/j.scitotenv.2022.160164","http://dx.doi.org/10.1016/j.scitotenv.2022.160164")</f>
        <v>http://dx.doi.org/10.1016/j.scitotenv.2022.160164</v>
      </c>
      <c r="BG732" s="1" t="s">
        <v>74</v>
      </c>
      <c r="BH732" s="1" t="s">
        <v>699</v>
      </c>
      <c r="BI732" s="1">
        <v>10</v>
      </c>
      <c r="BJ732" s="1" t="s">
        <v>144</v>
      </c>
      <c r="BK732" s="1" t="s">
        <v>96</v>
      </c>
      <c r="BL732" s="1" t="s">
        <v>145</v>
      </c>
      <c r="BM732" s="1" t="s">
        <v>12489</v>
      </c>
      <c r="BN732" s="1">
        <v>36395852</v>
      </c>
      <c r="BO732" s="1" t="s">
        <v>74</v>
      </c>
      <c r="BP732" s="1" t="s">
        <v>74</v>
      </c>
      <c r="BQ732" s="1" t="s">
        <v>74</v>
      </c>
      <c r="BR732" s="1" t="s">
        <v>98</v>
      </c>
      <c r="BS732" s="1" t="s">
        <v>12490</v>
      </c>
      <c r="BT732" s="1" t="str">
        <f>HYPERLINK("https%3A%2F%2Fwww.webofscience.com%2Fwos%2Fwoscc%2Ffull-record%2FWOS:000898837900005","View Full Record in Web of Science")</f>
        <v>View Full Record in Web of Science</v>
      </c>
    </row>
    <row r="733" spans="1:72">
      <c r="A733" s="1" t="s">
        <v>72</v>
      </c>
      <c r="B733" s="1" t="s">
        <v>12491</v>
      </c>
      <c r="C733" s="1" t="s">
        <v>74</v>
      </c>
      <c r="D733" s="1" t="s">
        <v>74</v>
      </c>
      <c r="E733" s="1" t="s">
        <v>74</v>
      </c>
      <c r="F733" s="1" t="s">
        <v>12492</v>
      </c>
      <c r="G733" s="1" t="s">
        <v>74</v>
      </c>
      <c r="H733" s="1" t="s">
        <v>74</v>
      </c>
      <c r="I733" s="1" t="s">
        <v>12493</v>
      </c>
      <c r="J733" s="1" t="s">
        <v>752</v>
      </c>
      <c r="K733" s="1" t="s">
        <v>74</v>
      </c>
      <c r="L733" s="1" t="s">
        <v>74</v>
      </c>
      <c r="M733" s="1" t="s">
        <v>78</v>
      </c>
      <c r="N733" s="1" t="s">
        <v>79</v>
      </c>
      <c r="O733" s="1" t="s">
        <v>74</v>
      </c>
      <c r="P733" s="1" t="s">
        <v>74</v>
      </c>
      <c r="Q733" s="1" t="s">
        <v>74</v>
      </c>
      <c r="R733" s="1" t="s">
        <v>74</v>
      </c>
      <c r="S733" s="1" t="s">
        <v>74</v>
      </c>
      <c r="T733" s="1" t="s">
        <v>12494</v>
      </c>
      <c r="U733" s="1" t="s">
        <v>12495</v>
      </c>
      <c r="V733" s="1" t="s">
        <v>12496</v>
      </c>
      <c r="W733" s="1" t="s">
        <v>12497</v>
      </c>
      <c r="X733" s="1" t="s">
        <v>12498</v>
      </c>
      <c r="Y733" s="1" t="s">
        <v>12499</v>
      </c>
      <c r="Z733" s="1" t="s">
        <v>12500</v>
      </c>
      <c r="AA733" s="1" t="s">
        <v>12501</v>
      </c>
      <c r="AB733" s="1" t="s">
        <v>12502</v>
      </c>
      <c r="AC733" s="1" t="s">
        <v>74</v>
      </c>
      <c r="AD733" s="1" t="s">
        <v>74</v>
      </c>
      <c r="AE733" s="1" t="s">
        <v>74</v>
      </c>
      <c r="AF733" s="1" t="s">
        <v>74</v>
      </c>
      <c r="AG733" s="1">
        <v>32</v>
      </c>
      <c r="AH733" s="1">
        <v>7</v>
      </c>
      <c r="AI733" s="1">
        <v>7</v>
      </c>
      <c r="AJ733" s="1">
        <v>1</v>
      </c>
      <c r="AK733" s="1">
        <v>23</v>
      </c>
      <c r="AL733" s="1" t="s">
        <v>430</v>
      </c>
      <c r="AM733" s="1" t="s">
        <v>137</v>
      </c>
      <c r="AN733" s="1" t="s">
        <v>431</v>
      </c>
      <c r="AO733" s="1" t="s">
        <v>761</v>
      </c>
      <c r="AP733" s="1" t="s">
        <v>762</v>
      </c>
      <c r="AQ733" s="1" t="s">
        <v>74</v>
      </c>
      <c r="AR733" s="1" t="s">
        <v>763</v>
      </c>
      <c r="AS733" s="1" t="s">
        <v>764</v>
      </c>
      <c r="AT733" s="1" t="s">
        <v>305</v>
      </c>
      <c r="AU733" s="1">
        <v>2007</v>
      </c>
      <c r="AV733" s="1">
        <v>64</v>
      </c>
      <c r="AW733" s="1">
        <v>3</v>
      </c>
      <c r="AX733" s="1" t="s">
        <v>74</v>
      </c>
      <c r="AY733" s="1" t="s">
        <v>74</v>
      </c>
      <c r="AZ733" s="1" t="s">
        <v>74</v>
      </c>
      <c r="BA733" s="1" t="s">
        <v>74</v>
      </c>
      <c r="BB733" s="1">
        <v>336</v>
      </c>
      <c r="BC733" s="1">
        <v>346</v>
      </c>
      <c r="BD733" s="1" t="s">
        <v>74</v>
      </c>
      <c r="BE733" s="1" t="s">
        <v>12503</v>
      </c>
      <c r="BF733" s="1" t="str">
        <f>HYPERLINK("http://dx.doi.org/10.1016/j.marenvres.2007.02.004","http://dx.doi.org/10.1016/j.marenvres.2007.02.004")</f>
        <v>http://dx.doi.org/10.1016/j.marenvres.2007.02.004</v>
      </c>
      <c r="BG733" s="1" t="s">
        <v>74</v>
      </c>
      <c r="BH733" s="1" t="s">
        <v>74</v>
      </c>
      <c r="BI733" s="1">
        <v>11</v>
      </c>
      <c r="BJ733" s="1" t="s">
        <v>768</v>
      </c>
      <c r="BK733" s="1" t="s">
        <v>96</v>
      </c>
      <c r="BL733" s="1" t="s">
        <v>769</v>
      </c>
      <c r="BM733" s="1" t="s">
        <v>12504</v>
      </c>
      <c r="BN733" s="1">
        <v>17418890</v>
      </c>
      <c r="BO733" s="1" t="s">
        <v>810</v>
      </c>
      <c r="BP733" s="1" t="s">
        <v>74</v>
      </c>
      <c r="BQ733" s="1" t="s">
        <v>74</v>
      </c>
      <c r="BR733" s="1" t="s">
        <v>98</v>
      </c>
      <c r="BS733" s="1" t="s">
        <v>12505</v>
      </c>
      <c r="BT733" s="1" t="str">
        <f>HYPERLINK("https%3A%2F%2Fwww.webofscience.com%2Fwos%2Fwoscc%2Ffull-record%2FWOS:000249147000006","View Full Record in Web of Science")</f>
        <v>View Full Record in Web of Science</v>
      </c>
    </row>
    <row r="734" spans="1:72">
      <c r="A734" s="1" t="s">
        <v>72</v>
      </c>
      <c r="B734" s="1" t="s">
        <v>12506</v>
      </c>
      <c r="C734" s="1" t="s">
        <v>74</v>
      </c>
      <c r="D734" s="1" t="s">
        <v>74</v>
      </c>
      <c r="E734" s="1" t="s">
        <v>74</v>
      </c>
      <c r="F734" s="1" t="s">
        <v>12507</v>
      </c>
      <c r="G734" s="1" t="s">
        <v>74</v>
      </c>
      <c r="H734" s="1" t="s">
        <v>74</v>
      </c>
      <c r="I734" s="1" t="s">
        <v>12508</v>
      </c>
      <c r="J734" s="1" t="s">
        <v>641</v>
      </c>
      <c r="K734" s="1" t="s">
        <v>74</v>
      </c>
      <c r="L734" s="1" t="s">
        <v>74</v>
      </c>
      <c r="M734" s="1" t="s">
        <v>78</v>
      </c>
      <c r="N734" s="1" t="s">
        <v>79</v>
      </c>
      <c r="O734" s="1" t="s">
        <v>74</v>
      </c>
      <c r="P734" s="1" t="s">
        <v>74</v>
      </c>
      <c r="Q734" s="1" t="s">
        <v>74</v>
      </c>
      <c r="R734" s="1" t="s">
        <v>74</v>
      </c>
      <c r="S734" s="1" t="s">
        <v>74</v>
      </c>
      <c r="T734" s="1" t="s">
        <v>12509</v>
      </c>
      <c r="U734" s="1" t="s">
        <v>12510</v>
      </c>
      <c r="V734" s="1" t="s">
        <v>12511</v>
      </c>
      <c r="W734" s="1" t="s">
        <v>12512</v>
      </c>
      <c r="X734" s="1" t="s">
        <v>12513</v>
      </c>
      <c r="Y734" s="1" t="s">
        <v>12514</v>
      </c>
      <c r="Z734" s="1" t="s">
        <v>12515</v>
      </c>
      <c r="AA734" s="1" t="s">
        <v>12516</v>
      </c>
      <c r="AB734" s="1" t="s">
        <v>74</v>
      </c>
      <c r="AC734" s="1" t="s">
        <v>74</v>
      </c>
      <c r="AD734" s="1" t="s">
        <v>74</v>
      </c>
      <c r="AE734" s="1" t="s">
        <v>74</v>
      </c>
      <c r="AF734" s="1" t="s">
        <v>74</v>
      </c>
      <c r="AG734" s="1">
        <v>73</v>
      </c>
      <c r="AH734" s="1">
        <v>43</v>
      </c>
      <c r="AI734" s="1">
        <v>51</v>
      </c>
      <c r="AJ734" s="1">
        <v>0</v>
      </c>
      <c r="AK734" s="1">
        <v>32</v>
      </c>
      <c r="AL734" s="1" t="s">
        <v>650</v>
      </c>
      <c r="AM734" s="1" t="s">
        <v>651</v>
      </c>
      <c r="AN734" s="1" t="s">
        <v>652</v>
      </c>
      <c r="AO734" s="1" t="s">
        <v>653</v>
      </c>
      <c r="AP734" s="1" t="s">
        <v>654</v>
      </c>
      <c r="AQ734" s="1" t="s">
        <v>74</v>
      </c>
      <c r="AR734" s="1" t="s">
        <v>655</v>
      </c>
      <c r="AS734" s="1" t="s">
        <v>656</v>
      </c>
      <c r="AT734" s="1" t="s">
        <v>12517</v>
      </c>
      <c r="AU734" s="1">
        <v>2009</v>
      </c>
      <c r="AV734" s="1">
        <v>94</v>
      </c>
      <c r="AW734" s="1">
        <v>2</v>
      </c>
      <c r="AX734" s="1" t="s">
        <v>74</v>
      </c>
      <c r="AY734" s="1" t="s">
        <v>74</v>
      </c>
      <c r="AZ734" s="1" t="s">
        <v>74</v>
      </c>
      <c r="BA734" s="1" t="s">
        <v>74</v>
      </c>
      <c r="BB734" s="1">
        <v>131</v>
      </c>
      <c r="BC734" s="1">
        <v>137</v>
      </c>
      <c r="BD734" s="1" t="s">
        <v>74</v>
      </c>
      <c r="BE734" s="1" t="s">
        <v>12518</v>
      </c>
      <c r="BF734" s="1" t="str">
        <f>HYPERLINK("http://dx.doi.org/10.1016/j.aquatox.2009.06.006","http://dx.doi.org/10.1016/j.aquatox.2009.06.006")</f>
        <v>http://dx.doi.org/10.1016/j.aquatox.2009.06.006</v>
      </c>
      <c r="BG734" s="1" t="s">
        <v>74</v>
      </c>
      <c r="BH734" s="1" t="s">
        <v>74</v>
      </c>
      <c r="BI734" s="1">
        <v>7</v>
      </c>
      <c r="BJ734" s="1" t="s">
        <v>659</v>
      </c>
      <c r="BK734" s="1" t="s">
        <v>96</v>
      </c>
      <c r="BL734" s="1" t="s">
        <v>659</v>
      </c>
      <c r="BM734" s="1" t="s">
        <v>12519</v>
      </c>
      <c r="BN734" s="1">
        <v>19604586</v>
      </c>
      <c r="BO734" s="1" t="s">
        <v>74</v>
      </c>
      <c r="BP734" s="1" t="s">
        <v>74</v>
      </c>
      <c r="BQ734" s="1" t="s">
        <v>74</v>
      </c>
      <c r="BR734" s="1" t="s">
        <v>98</v>
      </c>
      <c r="BS734" s="1" t="s">
        <v>12520</v>
      </c>
      <c r="BT734" s="1" t="str">
        <f>HYPERLINK("https%3A%2F%2Fwww.webofscience.com%2Fwos%2Fwoscc%2Ffull-record%2FWOS:000270291300007","View Full Record in Web of Science")</f>
        <v>View Full Record in Web of Science</v>
      </c>
    </row>
    <row r="735" spans="1:72">
      <c r="A735" s="1" t="s">
        <v>72</v>
      </c>
      <c r="B735" s="1" t="s">
        <v>12521</v>
      </c>
      <c r="C735" s="1" t="s">
        <v>74</v>
      </c>
      <c r="D735" s="1" t="s">
        <v>74</v>
      </c>
      <c r="E735" s="1" t="s">
        <v>74</v>
      </c>
      <c r="F735" s="1" t="s">
        <v>12522</v>
      </c>
      <c r="G735" s="1" t="s">
        <v>74</v>
      </c>
      <c r="H735" s="1" t="s">
        <v>74</v>
      </c>
      <c r="I735" s="1" t="s">
        <v>12523</v>
      </c>
      <c r="J735" s="1" t="s">
        <v>421</v>
      </c>
      <c r="K735" s="1" t="s">
        <v>74</v>
      </c>
      <c r="L735" s="1" t="s">
        <v>74</v>
      </c>
      <c r="M735" s="1" t="s">
        <v>78</v>
      </c>
      <c r="N735" s="1" t="s">
        <v>79</v>
      </c>
      <c r="O735" s="1" t="s">
        <v>74</v>
      </c>
      <c r="P735" s="1" t="s">
        <v>74</v>
      </c>
      <c r="Q735" s="1" t="s">
        <v>74</v>
      </c>
      <c r="R735" s="1" t="s">
        <v>74</v>
      </c>
      <c r="S735" s="1" t="s">
        <v>74</v>
      </c>
      <c r="T735" s="1" t="s">
        <v>12524</v>
      </c>
      <c r="U735" s="1" t="s">
        <v>12525</v>
      </c>
      <c r="V735" s="1" t="s">
        <v>12526</v>
      </c>
      <c r="W735" s="1" t="s">
        <v>12527</v>
      </c>
      <c r="X735" s="1" t="s">
        <v>12528</v>
      </c>
      <c r="Y735" s="1" t="s">
        <v>12529</v>
      </c>
      <c r="Z735" s="1" t="s">
        <v>12530</v>
      </c>
      <c r="AA735" s="1" t="s">
        <v>12531</v>
      </c>
      <c r="AB735" s="1" t="s">
        <v>12532</v>
      </c>
      <c r="AC735" s="1" t="s">
        <v>12533</v>
      </c>
      <c r="AD735" s="1" t="s">
        <v>12534</v>
      </c>
      <c r="AE735" s="1" t="s">
        <v>12535</v>
      </c>
      <c r="AF735" s="1" t="s">
        <v>74</v>
      </c>
      <c r="AG735" s="1">
        <v>81</v>
      </c>
      <c r="AH735" s="1">
        <v>29</v>
      </c>
      <c r="AI735" s="1">
        <v>33</v>
      </c>
      <c r="AJ735" s="1">
        <v>4</v>
      </c>
      <c r="AK735" s="1">
        <v>56</v>
      </c>
      <c r="AL735" s="1" t="s">
        <v>430</v>
      </c>
      <c r="AM735" s="1" t="s">
        <v>137</v>
      </c>
      <c r="AN735" s="1" t="s">
        <v>431</v>
      </c>
      <c r="AO735" s="1" t="s">
        <v>432</v>
      </c>
      <c r="AP735" s="1" t="s">
        <v>1394</v>
      </c>
      <c r="AQ735" s="1" t="s">
        <v>74</v>
      </c>
      <c r="AR735" s="1" t="s">
        <v>433</v>
      </c>
      <c r="AS735" s="1" t="s">
        <v>434</v>
      </c>
      <c r="AT735" s="1" t="s">
        <v>93</v>
      </c>
      <c r="AU735" s="1">
        <v>2017</v>
      </c>
      <c r="AV735" s="1">
        <v>223</v>
      </c>
      <c r="AW735" s="1" t="s">
        <v>74</v>
      </c>
      <c r="AX735" s="1" t="s">
        <v>74</v>
      </c>
      <c r="AY735" s="1" t="s">
        <v>74</v>
      </c>
      <c r="AZ735" s="1" t="s">
        <v>74</v>
      </c>
      <c r="BA735" s="1" t="s">
        <v>74</v>
      </c>
      <c r="BB735" s="1">
        <v>323</v>
      </c>
      <c r="BC735" s="1">
        <v>333</v>
      </c>
      <c r="BD735" s="1" t="s">
        <v>74</v>
      </c>
      <c r="BE735" s="1" t="s">
        <v>12536</v>
      </c>
      <c r="BF735" s="1" t="str">
        <f>HYPERLINK("http://dx.doi.org/10.1016/j.envpol.2017.01.029","http://dx.doi.org/10.1016/j.envpol.2017.01.029")</f>
        <v>http://dx.doi.org/10.1016/j.envpol.2017.01.029</v>
      </c>
      <c r="BG735" s="1" t="s">
        <v>74</v>
      </c>
      <c r="BH735" s="1" t="s">
        <v>74</v>
      </c>
      <c r="BI735" s="1">
        <v>11</v>
      </c>
      <c r="BJ735" s="1" t="s">
        <v>144</v>
      </c>
      <c r="BK735" s="1" t="s">
        <v>96</v>
      </c>
      <c r="BL735" s="1" t="s">
        <v>145</v>
      </c>
      <c r="BM735" s="1" t="s">
        <v>12537</v>
      </c>
      <c r="BN735" s="1">
        <v>28159401</v>
      </c>
      <c r="BO735" s="1" t="s">
        <v>12538</v>
      </c>
      <c r="BP735" s="1" t="s">
        <v>74</v>
      </c>
      <c r="BQ735" s="1" t="s">
        <v>74</v>
      </c>
      <c r="BR735" s="1" t="s">
        <v>98</v>
      </c>
      <c r="BS735" s="1" t="s">
        <v>12539</v>
      </c>
      <c r="BT735" s="1" t="str">
        <f>HYPERLINK("https%3A%2F%2Fwww.webofscience.com%2Fwos%2Fwoscc%2Ffull-record%2FWOS:000397359500035","View Full Record in Web of Science")</f>
        <v>View Full Record in Web of Science</v>
      </c>
    </row>
    <row r="736" spans="1:72">
      <c r="A736" s="1" t="s">
        <v>72</v>
      </c>
      <c r="B736" s="1" t="s">
        <v>12540</v>
      </c>
      <c r="C736" s="1" t="s">
        <v>74</v>
      </c>
      <c r="D736" s="1" t="s">
        <v>74</v>
      </c>
      <c r="E736" s="1" t="s">
        <v>74</v>
      </c>
      <c r="F736" s="1" t="s">
        <v>12541</v>
      </c>
      <c r="G736" s="1" t="s">
        <v>74</v>
      </c>
      <c r="H736" s="1" t="s">
        <v>74</v>
      </c>
      <c r="I736" s="1" t="s">
        <v>12542</v>
      </c>
      <c r="J736" s="1" t="s">
        <v>12543</v>
      </c>
      <c r="K736" s="1" t="s">
        <v>74</v>
      </c>
      <c r="L736" s="1" t="s">
        <v>74</v>
      </c>
      <c r="M736" s="1" t="s">
        <v>78</v>
      </c>
      <c r="N736" s="1" t="s">
        <v>151</v>
      </c>
      <c r="O736" s="1" t="s">
        <v>12544</v>
      </c>
      <c r="P736" s="1" t="s">
        <v>12545</v>
      </c>
      <c r="Q736" s="1" t="s">
        <v>12546</v>
      </c>
      <c r="R736" s="1" t="s">
        <v>74</v>
      </c>
      <c r="S736" s="1" t="s">
        <v>74</v>
      </c>
      <c r="T736" s="1" t="s">
        <v>12547</v>
      </c>
      <c r="U736" s="1" t="s">
        <v>12548</v>
      </c>
      <c r="V736" s="1" t="s">
        <v>12549</v>
      </c>
      <c r="W736" s="1" t="s">
        <v>12550</v>
      </c>
      <c r="X736" s="1" t="s">
        <v>12551</v>
      </c>
      <c r="Y736" s="1" t="s">
        <v>12552</v>
      </c>
      <c r="Z736" s="1" t="s">
        <v>12553</v>
      </c>
      <c r="AA736" s="1" t="s">
        <v>12554</v>
      </c>
      <c r="AB736" s="1" t="s">
        <v>12555</v>
      </c>
      <c r="AC736" s="1" t="s">
        <v>12556</v>
      </c>
      <c r="AD736" s="1" t="s">
        <v>12557</v>
      </c>
      <c r="AE736" s="1" t="s">
        <v>12558</v>
      </c>
      <c r="AF736" s="1" t="s">
        <v>74</v>
      </c>
      <c r="AG736" s="1">
        <v>54</v>
      </c>
      <c r="AH736" s="1">
        <v>36</v>
      </c>
      <c r="AI736" s="1">
        <v>36</v>
      </c>
      <c r="AJ736" s="1">
        <v>0</v>
      </c>
      <c r="AK736" s="1">
        <v>5</v>
      </c>
      <c r="AL736" s="1" t="s">
        <v>12543</v>
      </c>
      <c r="AM736" s="1" t="s">
        <v>12559</v>
      </c>
      <c r="AN736" s="1" t="s">
        <v>12560</v>
      </c>
      <c r="AO736" s="1" t="s">
        <v>12561</v>
      </c>
      <c r="AP736" s="1" t="s">
        <v>12562</v>
      </c>
      <c r="AQ736" s="1" t="s">
        <v>74</v>
      </c>
      <c r="AR736" s="1" t="s">
        <v>12563</v>
      </c>
      <c r="AS736" s="1" t="s">
        <v>12564</v>
      </c>
      <c r="AT736" s="1" t="s">
        <v>74</v>
      </c>
      <c r="AU736" s="1">
        <v>2018</v>
      </c>
      <c r="AV736" s="1">
        <v>65</v>
      </c>
      <c r="AW736" s="1">
        <v>2</v>
      </c>
      <c r="AX736" s="1" t="s">
        <v>74</v>
      </c>
      <c r="AY736" s="1" t="s">
        <v>74</v>
      </c>
      <c r="AZ736" s="1" t="s">
        <v>74</v>
      </c>
      <c r="BA736" s="1" t="s">
        <v>74</v>
      </c>
      <c r="BB736" s="1">
        <v>259</v>
      </c>
      <c r="BC736" s="1">
        <v>267</v>
      </c>
      <c r="BD736" s="1" t="s">
        <v>74</v>
      </c>
      <c r="BE736" s="1" t="s">
        <v>12565</v>
      </c>
      <c r="BF736" s="1" t="str">
        <f>HYPERLINK("http://dx.doi.org/10.18388/abp.2017_2533","http://dx.doi.org/10.18388/abp.2017_2533")</f>
        <v>http://dx.doi.org/10.18388/abp.2017_2533</v>
      </c>
      <c r="BG736" s="1" t="s">
        <v>74</v>
      </c>
      <c r="BH736" s="1" t="s">
        <v>74</v>
      </c>
      <c r="BI736" s="1">
        <v>9</v>
      </c>
      <c r="BJ736" s="1" t="s">
        <v>3805</v>
      </c>
      <c r="BK736" s="1" t="s">
        <v>172</v>
      </c>
      <c r="BL736" s="1" t="s">
        <v>3805</v>
      </c>
      <c r="BM736" s="1" t="s">
        <v>12566</v>
      </c>
      <c r="BN736" s="1">
        <v>29906296</v>
      </c>
      <c r="BO736" s="1" t="s">
        <v>873</v>
      </c>
      <c r="BP736" s="1" t="s">
        <v>74</v>
      </c>
      <c r="BQ736" s="1" t="s">
        <v>74</v>
      </c>
      <c r="BR736" s="1" t="s">
        <v>98</v>
      </c>
      <c r="BS736" s="1" t="s">
        <v>12567</v>
      </c>
      <c r="BT736" s="1" t="str">
        <f>HYPERLINK("https%3A%2F%2Fwww.webofscience.com%2Fwos%2Fwoscc%2Ffull-record%2FWOS:000436968500013","View Full Record in Web of Science")</f>
        <v>View Full Record in Web of Science</v>
      </c>
    </row>
    <row r="737" spans="1:72">
      <c r="A737" s="1" t="s">
        <v>72</v>
      </c>
      <c r="B737" s="1" t="s">
        <v>12568</v>
      </c>
      <c r="C737" s="1" t="s">
        <v>74</v>
      </c>
      <c r="D737" s="1" t="s">
        <v>74</v>
      </c>
      <c r="E737" s="1" t="s">
        <v>74</v>
      </c>
      <c r="F737" s="1" t="s">
        <v>12568</v>
      </c>
      <c r="G737" s="1" t="s">
        <v>74</v>
      </c>
      <c r="H737" s="1" t="s">
        <v>74</v>
      </c>
      <c r="I737" s="1" t="s">
        <v>12569</v>
      </c>
      <c r="J737" s="1" t="s">
        <v>127</v>
      </c>
      <c r="K737" s="1" t="s">
        <v>74</v>
      </c>
      <c r="L737" s="1" t="s">
        <v>74</v>
      </c>
      <c r="M737" s="1" t="s">
        <v>78</v>
      </c>
      <c r="N737" s="1" t="s">
        <v>79</v>
      </c>
      <c r="O737" s="1" t="s">
        <v>74</v>
      </c>
      <c r="P737" s="1" t="s">
        <v>74</v>
      </c>
      <c r="Q737" s="1" t="s">
        <v>74</v>
      </c>
      <c r="R737" s="1" t="s">
        <v>74</v>
      </c>
      <c r="S737" s="1" t="s">
        <v>74</v>
      </c>
      <c r="T737" s="1" t="s">
        <v>12570</v>
      </c>
      <c r="U737" s="1" t="s">
        <v>12571</v>
      </c>
      <c r="V737" s="1" t="s">
        <v>12572</v>
      </c>
      <c r="W737" s="1" t="s">
        <v>74</v>
      </c>
      <c r="X737" s="1" t="s">
        <v>74</v>
      </c>
      <c r="Y737" s="1" t="s">
        <v>12573</v>
      </c>
      <c r="Z737" s="1" t="s">
        <v>74</v>
      </c>
      <c r="AA737" s="1" t="s">
        <v>74</v>
      </c>
      <c r="AB737" s="1" t="s">
        <v>12574</v>
      </c>
      <c r="AC737" s="1" t="s">
        <v>74</v>
      </c>
      <c r="AD737" s="1" t="s">
        <v>74</v>
      </c>
      <c r="AE737" s="1" t="s">
        <v>74</v>
      </c>
      <c r="AF737" s="1" t="s">
        <v>74</v>
      </c>
      <c r="AG737" s="1">
        <v>22</v>
      </c>
      <c r="AH737" s="1">
        <v>50</v>
      </c>
      <c r="AI737" s="1">
        <v>52</v>
      </c>
      <c r="AJ737" s="1">
        <v>0</v>
      </c>
      <c r="AK737" s="1">
        <v>10</v>
      </c>
      <c r="AL737" s="1" t="s">
        <v>136</v>
      </c>
      <c r="AM737" s="1" t="s">
        <v>137</v>
      </c>
      <c r="AN737" s="1" t="s">
        <v>583</v>
      </c>
      <c r="AO737" s="1" t="s">
        <v>139</v>
      </c>
      <c r="AP737" s="1" t="s">
        <v>74</v>
      </c>
      <c r="AQ737" s="1" t="s">
        <v>74</v>
      </c>
      <c r="AR737" s="1" t="s">
        <v>127</v>
      </c>
      <c r="AS737" s="1" t="s">
        <v>141</v>
      </c>
      <c r="AT737" s="1" t="s">
        <v>197</v>
      </c>
      <c r="AU737" s="1">
        <v>1996</v>
      </c>
      <c r="AV737" s="1">
        <v>33</v>
      </c>
      <c r="AW737" s="1">
        <v>12</v>
      </c>
      <c r="AX737" s="1" t="s">
        <v>74</v>
      </c>
      <c r="AY737" s="1" t="s">
        <v>74</v>
      </c>
      <c r="AZ737" s="1" t="s">
        <v>74</v>
      </c>
      <c r="BA737" s="1" t="s">
        <v>74</v>
      </c>
      <c r="BB737" s="1">
        <v>2505</v>
      </c>
      <c r="BC737" s="1">
        <v>2532</v>
      </c>
      <c r="BD737" s="1" t="s">
        <v>74</v>
      </c>
      <c r="BE737" s="1" t="s">
        <v>12575</v>
      </c>
      <c r="BF737" s="1" t="str">
        <f>HYPERLINK("http://dx.doi.org/10.1016/S0045-6535(96)00344-X","http://dx.doi.org/10.1016/S0045-6535(96)00344-X")</f>
        <v>http://dx.doi.org/10.1016/S0045-6535(96)00344-X</v>
      </c>
      <c r="BG737" s="1" t="s">
        <v>74</v>
      </c>
      <c r="BH737" s="1" t="s">
        <v>74</v>
      </c>
      <c r="BI737" s="1">
        <v>28</v>
      </c>
      <c r="BJ737" s="1" t="s">
        <v>144</v>
      </c>
      <c r="BK737" s="1" t="s">
        <v>96</v>
      </c>
      <c r="BL737" s="1" t="s">
        <v>145</v>
      </c>
      <c r="BM737" s="1" t="s">
        <v>12576</v>
      </c>
      <c r="BN737" s="1" t="s">
        <v>74</v>
      </c>
      <c r="BO737" s="1" t="s">
        <v>74</v>
      </c>
      <c r="BP737" s="1" t="s">
        <v>74</v>
      </c>
      <c r="BQ737" s="1" t="s">
        <v>74</v>
      </c>
      <c r="BR737" s="1" t="s">
        <v>98</v>
      </c>
      <c r="BS737" s="1" t="s">
        <v>12577</v>
      </c>
      <c r="BT737" s="1" t="str">
        <f>HYPERLINK("https%3A%2F%2Fwww.webofscience.com%2Fwos%2Fwoscc%2Ffull-record%2FWOS:A1996VX08700014","View Full Record in Web of Science")</f>
        <v>View Full Record in Web of Science</v>
      </c>
    </row>
    <row r="738" spans="1:72">
      <c r="A738" s="1" t="s">
        <v>72</v>
      </c>
      <c r="B738" s="1" t="s">
        <v>12578</v>
      </c>
      <c r="C738" s="1" t="s">
        <v>74</v>
      </c>
      <c r="D738" s="1" t="s">
        <v>74</v>
      </c>
      <c r="E738" s="1" t="s">
        <v>74</v>
      </c>
      <c r="F738" s="1" t="s">
        <v>12579</v>
      </c>
      <c r="G738" s="1" t="s">
        <v>74</v>
      </c>
      <c r="H738" s="1" t="s">
        <v>74</v>
      </c>
      <c r="I738" s="1" t="s">
        <v>12580</v>
      </c>
      <c r="J738" s="1" t="s">
        <v>127</v>
      </c>
      <c r="K738" s="1" t="s">
        <v>74</v>
      </c>
      <c r="L738" s="1" t="s">
        <v>74</v>
      </c>
      <c r="M738" s="1" t="s">
        <v>78</v>
      </c>
      <c r="N738" s="1" t="s">
        <v>79</v>
      </c>
      <c r="O738" s="1" t="s">
        <v>74</v>
      </c>
      <c r="P738" s="1" t="s">
        <v>74</v>
      </c>
      <c r="Q738" s="1" t="s">
        <v>74</v>
      </c>
      <c r="R738" s="1" t="s">
        <v>74</v>
      </c>
      <c r="S738" s="1" t="s">
        <v>74</v>
      </c>
      <c r="T738" s="1" t="s">
        <v>12581</v>
      </c>
      <c r="U738" s="1" t="s">
        <v>12582</v>
      </c>
      <c r="V738" s="1" t="s">
        <v>12583</v>
      </c>
      <c r="W738" s="1" t="s">
        <v>12584</v>
      </c>
      <c r="X738" s="1" t="s">
        <v>12585</v>
      </c>
      <c r="Y738" s="1" t="s">
        <v>12414</v>
      </c>
      <c r="Z738" s="1" t="s">
        <v>11437</v>
      </c>
      <c r="AA738" s="1" t="s">
        <v>12586</v>
      </c>
      <c r="AB738" s="1" t="s">
        <v>12587</v>
      </c>
      <c r="AC738" s="1" t="s">
        <v>12588</v>
      </c>
      <c r="AD738" s="1" t="s">
        <v>12588</v>
      </c>
      <c r="AE738" s="1" t="s">
        <v>12589</v>
      </c>
      <c r="AF738" s="1" t="s">
        <v>74</v>
      </c>
      <c r="AG738" s="1">
        <v>25</v>
      </c>
      <c r="AH738" s="1">
        <v>1</v>
      </c>
      <c r="AI738" s="1">
        <v>2</v>
      </c>
      <c r="AJ738" s="1">
        <v>1</v>
      </c>
      <c r="AK738" s="1">
        <v>38</v>
      </c>
      <c r="AL738" s="1" t="s">
        <v>136</v>
      </c>
      <c r="AM738" s="1" t="s">
        <v>137</v>
      </c>
      <c r="AN738" s="1" t="s">
        <v>138</v>
      </c>
      <c r="AO738" s="1" t="s">
        <v>139</v>
      </c>
      <c r="AP738" s="1" t="s">
        <v>140</v>
      </c>
      <c r="AQ738" s="1" t="s">
        <v>74</v>
      </c>
      <c r="AR738" s="1" t="s">
        <v>127</v>
      </c>
      <c r="AS738" s="1" t="s">
        <v>141</v>
      </c>
      <c r="AT738" s="1" t="s">
        <v>1223</v>
      </c>
      <c r="AU738" s="1">
        <v>2013</v>
      </c>
      <c r="AV738" s="1">
        <v>90</v>
      </c>
      <c r="AW738" s="1">
        <v>11</v>
      </c>
      <c r="AX738" s="1" t="s">
        <v>74</v>
      </c>
      <c r="AY738" s="1" t="s">
        <v>74</v>
      </c>
      <c r="AZ738" s="1" t="s">
        <v>74</v>
      </c>
      <c r="BA738" s="1" t="s">
        <v>74</v>
      </c>
      <c r="BB738" s="1">
        <v>2697</v>
      </c>
      <c r="BC738" s="1">
        <v>2704</v>
      </c>
      <c r="BD738" s="1" t="s">
        <v>74</v>
      </c>
      <c r="BE738" s="1" t="s">
        <v>12590</v>
      </c>
      <c r="BF738" s="1" t="str">
        <f>HYPERLINK("http://dx.doi.org/10.1016/j.chemosphere.2012.11.049","http://dx.doi.org/10.1016/j.chemosphere.2012.11.049")</f>
        <v>http://dx.doi.org/10.1016/j.chemosphere.2012.11.049</v>
      </c>
      <c r="BG738" s="1" t="s">
        <v>74</v>
      </c>
      <c r="BH738" s="1" t="s">
        <v>74</v>
      </c>
      <c r="BI738" s="1">
        <v>8</v>
      </c>
      <c r="BJ738" s="1" t="s">
        <v>144</v>
      </c>
      <c r="BK738" s="1" t="s">
        <v>96</v>
      </c>
      <c r="BL738" s="1" t="s">
        <v>145</v>
      </c>
      <c r="BM738" s="1" t="s">
        <v>12591</v>
      </c>
      <c r="BN738" s="1">
        <v>23273325</v>
      </c>
      <c r="BO738" s="1" t="s">
        <v>74</v>
      </c>
      <c r="BP738" s="1" t="s">
        <v>74</v>
      </c>
      <c r="BQ738" s="1" t="s">
        <v>74</v>
      </c>
      <c r="BR738" s="1" t="s">
        <v>98</v>
      </c>
      <c r="BS738" s="1" t="s">
        <v>12592</v>
      </c>
      <c r="BT738" s="1" t="str">
        <f>HYPERLINK("https%3A%2F%2Fwww.webofscience.com%2Fwos%2Fwoscc%2Ffull-record%2FWOS:000315315400010","View Full Record in Web of Science")</f>
        <v>View Full Record in Web of Science</v>
      </c>
    </row>
    <row r="739" spans="1:72">
      <c r="A739" s="1" t="s">
        <v>72</v>
      </c>
      <c r="B739" s="1" t="s">
        <v>12593</v>
      </c>
      <c r="C739" s="1" t="s">
        <v>74</v>
      </c>
      <c r="D739" s="1" t="s">
        <v>74</v>
      </c>
      <c r="E739" s="1" t="s">
        <v>74</v>
      </c>
      <c r="F739" s="1" t="s">
        <v>12594</v>
      </c>
      <c r="G739" s="1" t="s">
        <v>74</v>
      </c>
      <c r="H739" s="1" t="s">
        <v>74</v>
      </c>
      <c r="I739" s="1" t="s">
        <v>12595</v>
      </c>
      <c r="J739" s="1" t="s">
        <v>7477</v>
      </c>
      <c r="K739" s="1" t="s">
        <v>74</v>
      </c>
      <c r="L739" s="1" t="s">
        <v>74</v>
      </c>
      <c r="M739" s="1" t="s">
        <v>78</v>
      </c>
      <c r="N739" s="1" t="s">
        <v>79</v>
      </c>
      <c r="O739" s="1" t="s">
        <v>74</v>
      </c>
      <c r="P739" s="1" t="s">
        <v>74</v>
      </c>
      <c r="Q739" s="1" t="s">
        <v>74</v>
      </c>
      <c r="R739" s="1" t="s">
        <v>74</v>
      </c>
      <c r="S739" s="1" t="s">
        <v>74</v>
      </c>
      <c r="T739" s="1" t="s">
        <v>12596</v>
      </c>
      <c r="U739" s="1" t="s">
        <v>12597</v>
      </c>
      <c r="V739" s="1" t="s">
        <v>12598</v>
      </c>
      <c r="W739" s="1" t="s">
        <v>12599</v>
      </c>
      <c r="X739" s="1" t="s">
        <v>7465</v>
      </c>
      <c r="Y739" s="1" t="s">
        <v>12600</v>
      </c>
      <c r="Z739" s="1" t="s">
        <v>12601</v>
      </c>
      <c r="AA739" s="1" t="s">
        <v>74</v>
      </c>
      <c r="AB739" s="1" t="s">
        <v>74</v>
      </c>
      <c r="AC739" s="1" t="s">
        <v>74</v>
      </c>
      <c r="AD739" s="1" t="s">
        <v>74</v>
      </c>
      <c r="AE739" s="1" t="s">
        <v>74</v>
      </c>
      <c r="AF739" s="1" t="s">
        <v>74</v>
      </c>
      <c r="AG739" s="1">
        <v>45</v>
      </c>
      <c r="AH739" s="1">
        <v>3</v>
      </c>
      <c r="AI739" s="1">
        <v>4</v>
      </c>
      <c r="AJ739" s="1">
        <v>0</v>
      </c>
      <c r="AK739" s="1">
        <v>8</v>
      </c>
      <c r="AL739" s="1" t="s">
        <v>6554</v>
      </c>
      <c r="AM739" s="1" t="s">
        <v>113</v>
      </c>
      <c r="AN739" s="1" t="s">
        <v>6555</v>
      </c>
      <c r="AO739" s="1" t="s">
        <v>7487</v>
      </c>
      <c r="AP739" s="1" t="s">
        <v>7488</v>
      </c>
      <c r="AQ739" s="1" t="s">
        <v>74</v>
      </c>
      <c r="AR739" s="1" t="s">
        <v>7489</v>
      </c>
      <c r="AS739" s="1" t="s">
        <v>7490</v>
      </c>
      <c r="AT739" s="1" t="s">
        <v>510</v>
      </c>
      <c r="AU739" s="1">
        <v>2007</v>
      </c>
      <c r="AV739" s="1">
        <v>33</v>
      </c>
      <c r="AW739" s="1">
        <v>6</v>
      </c>
      <c r="AX739" s="1" t="s">
        <v>74</v>
      </c>
      <c r="AY739" s="1" t="s">
        <v>74</v>
      </c>
      <c r="AZ739" s="1" t="s">
        <v>74</v>
      </c>
      <c r="BA739" s="1" t="s">
        <v>74</v>
      </c>
      <c r="BB739" s="1">
        <v>375</v>
      </c>
      <c r="BC739" s="1">
        <v>380</v>
      </c>
      <c r="BD739" s="1" t="s">
        <v>74</v>
      </c>
      <c r="BE739" s="1" t="s">
        <v>12602</v>
      </c>
      <c r="BF739" s="1" t="str">
        <f>HYPERLINK("http://dx.doi.org/10.1134/S106307400706003X","http://dx.doi.org/10.1134/S106307400706003X")</f>
        <v>http://dx.doi.org/10.1134/S106307400706003X</v>
      </c>
      <c r="BG739" s="1" t="s">
        <v>74</v>
      </c>
      <c r="BH739" s="1" t="s">
        <v>74</v>
      </c>
      <c r="BI739" s="1">
        <v>6</v>
      </c>
      <c r="BJ739" s="1" t="s">
        <v>680</v>
      </c>
      <c r="BK739" s="1" t="s">
        <v>96</v>
      </c>
      <c r="BL739" s="1" t="s">
        <v>680</v>
      </c>
      <c r="BM739" s="1" t="s">
        <v>12603</v>
      </c>
      <c r="BN739" s="1" t="s">
        <v>74</v>
      </c>
      <c r="BO739" s="1" t="s">
        <v>74</v>
      </c>
      <c r="BP739" s="1" t="s">
        <v>74</v>
      </c>
      <c r="BQ739" s="1" t="s">
        <v>74</v>
      </c>
      <c r="BR739" s="1" t="s">
        <v>98</v>
      </c>
      <c r="BS739" s="1" t="s">
        <v>12604</v>
      </c>
      <c r="BT739" s="1" t="str">
        <f>HYPERLINK("https%3A%2F%2Fwww.webofscience.com%2Fwos%2Fwoscc%2Ffull-record%2FWOS:000254828100003","View Full Record in Web of Science")</f>
        <v>View Full Record in Web of Science</v>
      </c>
    </row>
    <row r="740" spans="1:72">
      <c r="A740" s="1" t="s">
        <v>72</v>
      </c>
      <c r="B740" s="1" t="s">
        <v>12605</v>
      </c>
      <c r="C740" s="1" t="s">
        <v>74</v>
      </c>
      <c r="D740" s="1" t="s">
        <v>74</v>
      </c>
      <c r="E740" s="1" t="s">
        <v>74</v>
      </c>
      <c r="F740" s="1" t="s">
        <v>12606</v>
      </c>
      <c r="G740" s="1" t="s">
        <v>74</v>
      </c>
      <c r="H740" s="1" t="s">
        <v>74</v>
      </c>
      <c r="I740" s="1" t="s">
        <v>12607</v>
      </c>
      <c r="J740" s="1" t="s">
        <v>12608</v>
      </c>
      <c r="K740" s="1" t="s">
        <v>74</v>
      </c>
      <c r="L740" s="1" t="s">
        <v>74</v>
      </c>
      <c r="M740" s="1" t="s">
        <v>78</v>
      </c>
      <c r="N740" s="1" t="s">
        <v>79</v>
      </c>
      <c r="O740" s="1" t="s">
        <v>74</v>
      </c>
      <c r="P740" s="1" t="s">
        <v>74</v>
      </c>
      <c r="Q740" s="1" t="s">
        <v>74</v>
      </c>
      <c r="R740" s="1" t="s">
        <v>74</v>
      </c>
      <c r="S740" s="1" t="s">
        <v>74</v>
      </c>
      <c r="T740" s="1" t="s">
        <v>12609</v>
      </c>
      <c r="U740" s="1" t="s">
        <v>12610</v>
      </c>
      <c r="V740" s="1" t="s">
        <v>12611</v>
      </c>
      <c r="W740" s="1" t="s">
        <v>12612</v>
      </c>
      <c r="X740" s="1" t="s">
        <v>12613</v>
      </c>
      <c r="Y740" s="1" t="s">
        <v>12614</v>
      </c>
      <c r="Z740" s="1" t="s">
        <v>12615</v>
      </c>
      <c r="AA740" s="1" t="s">
        <v>12616</v>
      </c>
      <c r="AB740" s="1" t="s">
        <v>12617</v>
      </c>
      <c r="AC740" s="1" t="s">
        <v>12618</v>
      </c>
      <c r="AD740" s="1" t="s">
        <v>12619</v>
      </c>
      <c r="AE740" s="1" t="s">
        <v>12620</v>
      </c>
      <c r="AF740" s="1" t="s">
        <v>74</v>
      </c>
      <c r="AG740" s="1">
        <v>76</v>
      </c>
      <c r="AH740" s="1">
        <v>10</v>
      </c>
      <c r="AI740" s="1">
        <v>11</v>
      </c>
      <c r="AJ740" s="1">
        <v>5</v>
      </c>
      <c r="AK740" s="1">
        <v>35</v>
      </c>
      <c r="AL740" s="1" t="s">
        <v>650</v>
      </c>
      <c r="AM740" s="1" t="s">
        <v>651</v>
      </c>
      <c r="AN740" s="1" t="s">
        <v>652</v>
      </c>
      <c r="AO740" s="1" t="s">
        <v>12621</v>
      </c>
      <c r="AP740" s="1" t="s">
        <v>74</v>
      </c>
      <c r="AQ740" s="1" t="s">
        <v>74</v>
      </c>
      <c r="AR740" s="1" t="s">
        <v>12622</v>
      </c>
      <c r="AS740" s="1" t="s">
        <v>12623</v>
      </c>
      <c r="AT740" s="1" t="s">
        <v>1223</v>
      </c>
      <c r="AU740" s="1">
        <v>2021</v>
      </c>
      <c r="AV740" s="1">
        <v>19</v>
      </c>
      <c r="AW740" s="1" t="s">
        <v>74</v>
      </c>
      <c r="AX740" s="1" t="s">
        <v>74</v>
      </c>
      <c r="AY740" s="1" t="s">
        <v>74</v>
      </c>
      <c r="AZ740" s="1" t="s">
        <v>74</v>
      </c>
      <c r="BA740" s="1" t="s">
        <v>74</v>
      </c>
      <c r="BB740" s="1" t="s">
        <v>74</v>
      </c>
      <c r="BC740" s="1" t="s">
        <v>74</v>
      </c>
      <c r="BD740" s="1">
        <v>100582</v>
      </c>
      <c r="BE740" s="1" t="s">
        <v>12624</v>
      </c>
      <c r="BF740" s="1" t="str">
        <f>HYPERLINK("http://dx.doi.org/10.1016/j.aqrep.2020.100582","http://dx.doi.org/10.1016/j.aqrep.2020.100582")</f>
        <v>http://dx.doi.org/10.1016/j.aqrep.2020.100582</v>
      </c>
      <c r="BG740" s="1" t="s">
        <v>74</v>
      </c>
      <c r="BH740" s="1" t="s">
        <v>2597</v>
      </c>
      <c r="BI740" s="1">
        <v>12</v>
      </c>
      <c r="BJ740" s="1" t="s">
        <v>746</v>
      </c>
      <c r="BK740" s="1" t="s">
        <v>96</v>
      </c>
      <c r="BL740" s="1" t="s">
        <v>746</v>
      </c>
      <c r="BM740" s="1" t="s">
        <v>12625</v>
      </c>
      <c r="BN740" s="1" t="s">
        <v>74</v>
      </c>
      <c r="BO740" s="1" t="s">
        <v>873</v>
      </c>
      <c r="BP740" s="1" t="s">
        <v>74</v>
      </c>
      <c r="BQ740" s="1" t="s">
        <v>74</v>
      </c>
      <c r="BR740" s="1" t="s">
        <v>98</v>
      </c>
      <c r="BS740" s="1" t="s">
        <v>12626</v>
      </c>
      <c r="BT740" s="1" t="str">
        <f>HYPERLINK("https%3A%2F%2Fwww.webofscience.com%2Fwos%2Fwoscc%2Ffull-record%2FWOS:000625317500002","View Full Record in Web of Science")</f>
        <v>View Full Record in Web of Science</v>
      </c>
    </row>
    <row r="741" spans="1:72">
      <c r="A741" s="1" t="s">
        <v>72</v>
      </c>
      <c r="B741" s="1" t="s">
        <v>12627</v>
      </c>
      <c r="C741" s="1" t="s">
        <v>74</v>
      </c>
      <c r="D741" s="1" t="s">
        <v>74</v>
      </c>
      <c r="E741" s="1" t="s">
        <v>74</v>
      </c>
      <c r="F741" s="1" t="s">
        <v>12628</v>
      </c>
      <c r="G741" s="1" t="s">
        <v>74</v>
      </c>
      <c r="H741" s="1" t="s">
        <v>74</v>
      </c>
      <c r="I741" s="1" t="s">
        <v>12629</v>
      </c>
      <c r="J741" s="1" t="s">
        <v>103</v>
      </c>
      <c r="K741" s="1" t="s">
        <v>74</v>
      </c>
      <c r="L741" s="1" t="s">
        <v>74</v>
      </c>
      <c r="M741" s="1" t="s">
        <v>78</v>
      </c>
      <c r="N741" s="1" t="s">
        <v>79</v>
      </c>
      <c r="O741" s="1" t="s">
        <v>74</v>
      </c>
      <c r="P741" s="1" t="s">
        <v>74</v>
      </c>
      <c r="Q741" s="1" t="s">
        <v>74</v>
      </c>
      <c r="R741" s="1" t="s">
        <v>74</v>
      </c>
      <c r="S741" s="1" t="s">
        <v>74</v>
      </c>
      <c r="T741" s="1" t="s">
        <v>12630</v>
      </c>
      <c r="U741" s="1" t="s">
        <v>12631</v>
      </c>
      <c r="V741" s="1" t="s">
        <v>12632</v>
      </c>
      <c r="W741" s="1" t="s">
        <v>12633</v>
      </c>
      <c r="X741" s="1" t="s">
        <v>12390</v>
      </c>
      <c r="Y741" s="1" t="s">
        <v>12634</v>
      </c>
      <c r="Z741" s="1" t="s">
        <v>12392</v>
      </c>
      <c r="AA741" s="1" t="s">
        <v>12635</v>
      </c>
      <c r="AB741" s="1" t="s">
        <v>74</v>
      </c>
      <c r="AC741" s="1" t="s">
        <v>74</v>
      </c>
      <c r="AD741" s="1" t="s">
        <v>74</v>
      </c>
      <c r="AE741" s="1" t="s">
        <v>74</v>
      </c>
      <c r="AF741" s="1" t="s">
        <v>74</v>
      </c>
      <c r="AG741" s="1">
        <v>22</v>
      </c>
      <c r="AH741" s="1">
        <v>7</v>
      </c>
      <c r="AI741" s="1">
        <v>7</v>
      </c>
      <c r="AJ741" s="1">
        <v>0</v>
      </c>
      <c r="AK741" s="1">
        <v>15</v>
      </c>
      <c r="AL741" s="1" t="s">
        <v>112</v>
      </c>
      <c r="AM741" s="1" t="s">
        <v>113</v>
      </c>
      <c r="AN741" s="1" t="s">
        <v>114</v>
      </c>
      <c r="AO741" s="1" t="s">
        <v>115</v>
      </c>
      <c r="AP741" s="1" t="s">
        <v>116</v>
      </c>
      <c r="AQ741" s="1" t="s">
        <v>74</v>
      </c>
      <c r="AR741" s="1" t="s">
        <v>117</v>
      </c>
      <c r="AS741" s="1" t="s">
        <v>118</v>
      </c>
      <c r="AT741" s="1" t="s">
        <v>951</v>
      </c>
      <c r="AU741" s="1">
        <v>2007</v>
      </c>
      <c r="AV741" s="1">
        <v>79</v>
      </c>
      <c r="AW741" s="1">
        <v>5</v>
      </c>
      <c r="AX741" s="1" t="s">
        <v>74</v>
      </c>
      <c r="AY741" s="1" t="s">
        <v>74</v>
      </c>
      <c r="AZ741" s="1" t="s">
        <v>74</v>
      </c>
      <c r="BA741" s="1" t="s">
        <v>74</v>
      </c>
      <c r="BB741" s="1">
        <v>508</v>
      </c>
      <c r="BC741" s="1">
        <v>513</v>
      </c>
      <c r="BD741" s="1" t="s">
        <v>74</v>
      </c>
      <c r="BE741" s="1" t="s">
        <v>12636</v>
      </c>
      <c r="BF741" s="1" t="str">
        <f>HYPERLINK("http://dx.doi.org/10.1007/s00128-007-9285-5","http://dx.doi.org/10.1007/s00128-007-9285-5")</f>
        <v>http://dx.doi.org/10.1007/s00128-007-9285-5</v>
      </c>
      <c r="BG741" s="1" t="s">
        <v>74</v>
      </c>
      <c r="BH741" s="1" t="s">
        <v>74</v>
      </c>
      <c r="BI741" s="1">
        <v>6</v>
      </c>
      <c r="BJ741" s="1" t="s">
        <v>121</v>
      </c>
      <c r="BK741" s="1" t="s">
        <v>96</v>
      </c>
      <c r="BL741" s="1" t="s">
        <v>122</v>
      </c>
      <c r="BM741" s="1" t="s">
        <v>12637</v>
      </c>
      <c r="BN741" s="1">
        <v>17924041</v>
      </c>
      <c r="BO741" s="1" t="s">
        <v>74</v>
      </c>
      <c r="BP741" s="1" t="s">
        <v>74</v>
      </c>
      <c r="BQ741" s="1" t="s">
        <v>74</v>
      </c>
      <c r="BR741" s="1" t="s">
        <v>98</v>
      </c>
      <c r="BS741" s="1" t="s">
        <v>12638</v>
      </c>
      <c r="BT741" s="1" t="str">
        <f>HYPERLINK("https%3A%2F%2Fwww.webofscience.com%2Fwos%2Fwoscc%2Ffull-record%2FWOS:000251141700006","View Full Record in Web of Science")</f>
        <v>View Full Record in Web of Science</v>
      </c>
    </row>
    <row r="742" spans="1:72">
      <c r="A742" s="1" t="s">
        <v>72</v>
      </c>
      <c r="B742" s="1" t="s">
        <v>12639</v>
      </c>
      <c r="C742" s="1" t="s">
        <v>74</v>
      </c>
      <c r="D742" s="1" t="s">
        <v>74</v>
      </c>
      <c r="E742" s="1" t="s">
        <v>74</v>
      </c>
      <c r="F742" s="1" t="s">
        <v>12640</v>
      </c>
      <c r="G742" s="1" t="s">
        <v>74</v>
      </c>
      <c r="H742" s="1" t="s">
        <v>74</v>
      </c>
      <c r="I742" s="1" t="s">
        <v>12641</v>
      </c>
      <c r="J742" s="1" t="s">
        <v>232</v>
      </c>
      <c r="K742" s="1" t="s">
        <v>74</v>
      </c>
      <c r="L742" s="1" t="s">
        <v>74</v>
      </c>
      <c r="M742" s="1" t="s">
        <v>78</v>
      </c>
      <c r="N742" s="1" t="s">
        <v>79</v>
      </c>
      <c r="O742" s="1" t="s">
        <v>74</v>
      </c>
      <c r="P742" s="1" t="s">
        <v>74</v>
      </c>
      <c r="Q742" s="1" t="s">
        <v>74</v>
      </c>
      <c r="R742" s="1" t="s">
        <v>74</v>
      </c>
      <c r="S742" s="1" t="s">
        <v>74</v>
      </c>
      <c r="T742" s="1" t="s">
        <v>12642</v>
      </c>
      <c r="U742" s="1" t="s">
        <v>12643</v>
      </c>
      <c r="V742" s="1" t="s">
        <v>12644</v>
      </c>
      <c r="W742" s="1" t="s">
        <v>12645</v>
      </c>
      <c r="X742" s="1" t="s">
        <v>12646</v>
      </c>
      <c r="Y742" s="1" t="s">
        <v>12647</v>
      </c>
      <c r="Z742" s="1" t="s">
        <v>12648</v>
      </c>
      <c r="AA742" s="1" t="s">
        <v>12649</v>
      </c>
      <c r="AB742" s="1" t="s">
        <v>12650</v>
      </c>
      <c r="AC742" s="1" t="s">
        <v>12651</v>
      </c>
      <c r="AD742" s="1" t="s">
        <v>12652</v>
      </c>
      <c r="AE742" s="1" t="s">
        <v>12653</v>
      </c>
      <c r="AF742" s="1" t="s">
        <v>74</v>
      </c>
      <c r="AG742" s="1">
        <v>58</v>
      </c>
      <c r="AH742" s="1">
        <v>40</v>
      </c>
      <c r="AI742" s="1">
        <v>46</v>
      </c>
      <c r="AJ742" s="1">
        <v>3</v>
      </c>
      <c r="AK742" s="1">
        <v>80</v>
      </c>
      <c r="AL742" s="1" t="s">
        <v>136</v>
      </c>
      <c r="AM742" s="1" t="s">
        <v>137</v>
      </c>
      <c r="AN742" s="1" t="s">
        <v>138</v>
      </c>
      <c r="AO742" s="1" t="s">
        <v>240</v>
      </c>
      <c r="AP742" s="1" t="s">
        <v>241</v>
      </c>
      <c r="AQ742" s="1" t="s">
        <v>74</v>
      </c>
      <c r="AR742" s="1" t="s">
        <v>242</v>
      </c>
      <c r="AS742" s="1" t="s">
        <v>243</v>
      </c>
      <c r="AT742" s="1" t="s">
        <v>119</v>
      </c>
      <c r="AU742" s="1">
        <v>2018</v>
      </c>
      <c r="AV742" s="1">
        <v>133</v>
      </c>
      <c r="AW742" s="1" t="s">
        <v>74</v>
      </c>
      <c r="AX742" s="1" t="s">
        <v>74</v>
      </c>
      <c r="AY742" s="1" t="s">
        <v>74</v>
      </c>
      <c r="AZ742" s="1" t="s">
        <v>74</v>
      </c>
      <c r="BA742" s="1" t="s">
        <v>74</v>
      </c>
      <c r="BB742" s="1">
        <v>312</v>
      </c>
      <c r="BC742" s="1">
        <v>319</v>
      </c>
      <c r="BD742" s="1" t="s">
        <v>74</v>
      </c>
      <c r="BE742" s="1" t="s">
        <v>12654</v>
      </c>
      <c r="BF742" s="1" t="str">
        <f>HYPERLINK("http://dx.doi.org/10.1016/j.marpolbul.2018.05.059","http://dx.doi.org/10.1016/j.marpolbul.2018.05.059")</f>
        <v>http://dx.doi.org/10.1016/j.marpolbul.2018.05.059</v>
      </c>
      <c r="BG742" s="1" t="s">
        <v>74</v>
      </c>
      <c r="BH742" s="1" t="s">
        <v>74</v>
      </c>
      <c r="BI742" s="1">
        <v>8</v>
      </c>
      <c r="BJ742" s="1" t="s">
        <v>247</v>
      </c>
      <c r="BK742" s="1" t="s">
        <v>96</v>
      </c>
      <c r="BL742" s="1" t="s">
        <v>248</v>
      </c>
      <c r="BM742" s="1" t="s">
        <v>3670</v>
      </c>
      <c r="BN742" s="1">
        <v>30041320</v>
      </c>
      <c r="BO742" s="1" t="s">
        <v>74</v>
      </c>
      <c r="BP742" s="1" t="s">
        <v>74</v>
      </c>
      <c r="BQ742" s="1" t="s">
        <v>74</v>
      </c>
      <c r="BR742" s="1" t="s">
        <v>98</v>
      </c>
      <c r="BS742" s="1" t="s">
        <v>12655</v>
      </c>
      <c r="BT742" s="1" t="str">
        <f>HYPERLINK("https%3A%2F%2Fwww.webofscience.com%2Fwos%2Fwoscc%2Ffull-record%2FWOS:000441853600032","View Full Record in Web of Science")</f>
        <v>View Full Record in Web of Science</v>
      </c>
    </row>
    <row r="743" spans="1:72">
      <c r="A743" s="1" t="s">
        <v>72</v>
      </c>
      <c r="B743" s="1" t="s">
        <v>12656</v>
      </c>
      <c r="C743" s="1" t="s">
        <v>74</v>
      </c>
      <c r="D743" s="1" t="s">
        <v>74</v>
      </c>
      <c r="E743" s="1" t="s">
        <v>74</v>
      </c>
      <c r="F743" s="1" t="s">
        <v>12656</v>
      </c>
      <c r="G743" s="1" t="s">
        <v>74</v>
      </c>
      <c r="H743" s="1" t="s">
        <v>74</v>
      </c>
      <c r="I743" s="1" t="s">
        <v>12657</v>
      </c>
      <c r="J743" s="1" t="s">
        <v>232</v>
      </c>
      <c r="K743" s="1" t="s">
        <v>74</v>
      </c>
      <c r="L743" s="1" t="s">
        <v>74</v>
      </c>
      <c r="M743" s="1" t="s">
        <v>78</v>
      </c>
      <c r="N743" s="1" t="s">
        <v>79</v>
      </c>
      <c r="O743" s="1" t="s">
        <v>74</v>
      </c>
      <c r="P743" s="1" t="s">
        <v>74</v>
      </c>
      <c r="Q743" s="1" t="s">
        <v>74</v>
      </c>
      <c r="R743" s="1" t="s">
        <v>74</v>
      </c>
      <c r="S743" s="1" t="s">
        <v>74</v>
      </c>
      <c r="T743" s="1" t="s">
        <v>12658</v>
      </c>
      <c r="U743" s="1" t="s">
        <v>12659</v>
      </c>
      <c r="V743" s="1" t="s">
        <v>12660</v>
      </c>
      <c r="W743" s="1" t="s">
        <v>12661</v>
      </c>
      <c r="X743" s="1" t="s">
        <v>12662</v>
      </c>
      <c r="Y743" s="1" t="s">
        <v>12663</v>
      </c>
      <c r="Z743" s="1" t="s">
        <v>12664</v>
      </c>
      <c r="AA743" s="1" t="s">
        <v>12665</v>
      </c>
      <c r="AB743" s="1" t="s">
        <v>12666</v>
      </c>
      <c r="AC743" s="1" t="s">
        <v>74</v>
      </c>
      <c r="AD743" s="1" t="s">
        <v>74</v>
      </c>
      <c r="AE743" s="1" t="s">
        <v>74</v>
      </c>
      <c r="AF743" s="1" t="s">
        <v>74</v>
      </c>
      <c r="AG743" s="1">
        <v>21</v>
      </c>
      <c r="AH743" s="1">
        <v>72</v>
      </c>
      <c r="AI743" s="1">
        <v>83</v>
      </c>
      <c r="AJ743" s="1">
        <v>0</v>
      </c>
      <c r="AK743" s="1">
        <v>23</v>
      </c>
      <c r="AL743" s="1" t="s">
        <v>136</v>
      </c>
      <c r="AM743" s="1" t="s">
        <v>137</v>
      </c>
      <c r="AN743" s="1" t="s">
        <v>138</v>
      </c>
      <c r="AO743" s="1" t="s">
        <v>240</v>
      </c>
      <c r="AP743" s="1" t="s">
        <v>241</v>
      </c>
      <c r="AQ743" s="1" t="s">
        <v>74</v>
      </c>
      <c r="AR743" s="1" t="s">
        <v>242</v>
      </c>
      <c r="AS743" s="1" t="s">
        <v>243</v>
      </c>
      <c r="AT743" s="1" t="s">
        <v>951</v>
      </c>
      <c r="AU743" s="1">
        <v>2005</v>
      </c>
      <c r="AV743" s="1">
        <v>50</v>
      </c>
      <c r="AW743" s="1">
        <v>11</v>
      </c>
      <c r="AX743" s="1" t="s">
        <v>74</v>
      </c>
      <c r="AY743" s="1" t="s">
        <v>74</v>
      </c>
      <c r="AZ743" s="1" t="s">
        <v>74</v>
      </c>
      <c r="BA743" s="1" t="s">
        <v>74</v>
      </c>
      <c r="BB743" s="1">
        <v>1382</v>
      </c>
      <c r="BC743" s="1">
        <v>1385</v>
      </c>
      <c r="BD743" s="1" t="s">
        <v>74</v>
      </c>
      <c r="BE743" s="1" t="s">
        <v>12667</v>
      </c>
      <c r="BF743" s="1" t="str">
        <f>HYPERLINK("http://dx.doi.org/10.1016/j.marpolbul.2005.06.010","http://dx.doi.org/10.1016/j.marpolbul.2005.06.010")</f>
        <v>http://dx.doi.org/10.1016/j.marpolbul.2005.06.010</v>
      </c>
      <c r="BG743" s="1" t="s">
        <v>74</v>
      </c>
      <c r="BH743" s="1" t="s">
        <v>74</v>
      </c>
      <c r="BI743" s="1">
        <v>4</v>
      </c>
      <c r="BJ743" s="1" t="s">
        <v>247</v>
      </c>
      <c r="BK743" s="1" t="s">
        <v>96</v>
      </c>
      <c r="BL743" s="1" t="s">
        <v>248</v>
      </c>
      <c r="BM743" s="1" t="s">
        <v>12668</v>
      </c>
      <c r="BN743" s="1">
        <v>16023145</v>
      </c>
      <c r="BO743" s="1" t="s">
        <v>74</v>
      </c>
      <c r="BP743" s="1" t="s">
        <v>74</v>
      </c>
      <c r="BQ743" s="1" t="s">
        <v>74</v>
      </c>
      <c r="BR743" s="1" t="s">
        <v>98</v>
      </c>
      <c r="BS743" s="1" t="s">
        <v>12669</v>
      </c>
      <c r="BT743" s="1" t="str">
        <f>HYPERLINK("https%3A%2F%2Fwww.webofscience.com%2Fwos%2Fwoscc%2Ffull-record%2FWOS:000234098200034","View Full Record in Web of Science")</f>
        <v>View Full Record in Web of Science</v>
      </c>
    </row>
    <row r="744" spans="1:72">
      <c r="A744" s="1" t="s">
        <v>72</v>
      </c>
      <c r="B744" s="1" t="s">
        <v>12670</v>
      </c>
      <c r="C744" s="1" t="s">
        <v>74</v>
      </c>
      <c r="D744" s="1" t="s">
        <v>74</v>
      </c>
      <c r="E744" s="1" t="s">
        <v>74</v>
      </c>
      <c r="F744" s="1" t="s">
        <v>12671</v>
      </c>
      <c r="G744" s="1" t="s">
        <v>74</v>
      </c>
      <c r="H744" s="1" t="s">
        <v>74</v>
      </c>
      <c r="I744" s="1" t="s">
        <v>12672</v>
      </c>
      <c r="J744" s="1" t="s">
        <v>12673</v>
      </c>
      <c r="K744" s="1" t="s">
        <v>74</v>
      </c>
      <c r="L744" s="1" t="s">
        <v>74</v>
      </c>
      <c r="M744" s="1" t="s">
        <v>78</v>
      </c>
      <c r="N744" s="1" t="s">
        <v>79</v>
      </c>
      <c r="O744" s="1" t="s">
        <v>74</v>
      </c>
      <c r="P744" s="1" t="s">
        <v>74</v>
      </c>
      <c r="Q744" s="1" t="s">
        <v>74</v>
      </c>
      <c r="R744" s="1" t="s">
        <v>74</v>
      </c>
      <c r="S744" s="1" t="s">
        <v>74</v>
      </c>
      <c r="T744" s="1" t="s">
        <v>12674</v>
      </c>
      <c r="U744" s="1" t="s">
        <v>12675</v>
      </c>
      <c r="V744" s="1" t="s">
        <v>12676</v>
      </c>
      <c r="W744" s="1" t="s">
        <v>12677</v>
      </c>
      <c r="X744" s="1" t="s">
        <v>12678</v>
      </c>
      <c r="Y744" s="1" t="s">
        <v>12679</v>
      </c>
      <c r="Z744" s="1" t="s">
        <v>12680</v>
      </c>
      <c r="AA744" s="1" t="s">
        <v>12681</v>
      </c>
      <c r="AB744" s="1" t="s">
        <v>12682</v>
      </c>
      <c r="AC744" s="1" t="s">
        <v>12683</v>
      </c>
      <c r="AD744" s="1" t="s">
        <v>12683</v>
      </c>
      <c r="AE744" s="1" t="s">
        <v>12684</v>
      </c>
      <c r="AF744" s="1" t="s">
        <v>74</v>
      </c>
      <c r="AG744" s="1">
        <v>70</v>
      </c>
      <c r="AH744" s="1">
        <v>19</v>
      </c>
      <c r="AI744" s="1">
        <v>22</v>
      </c>
      <c r="AJ744" s="1">
        <v>1</v>
      </c>
      <c r="AK744" s="1">
        <v>22</v>
      </c>
      <c r="AL744" s="1" t="s">
        <v>12685</v>
      </c>
      <c r="AM744" s="1" t="s">
        <v>286</v>
      </c>
      <c r="AN744" s="1" t="s">
        <v>12686</v>
      </c>
      <c r="AO744" s="1" t="s">
        <v>12687</v>
      </c>
      <c r="AP744" s="1" t="s">
        <v>74</v>
      </c>
      <c r="AQ744" s="1" t="s">
        <v>74</v>
      </c>
      <c r="AR744" s="1" t="s">
        <v>12673</v>
      </c>
      <c r="AS744" s="1" t="s">
        <v>12688</v>
      </c>
      <c r="AT744" s="1" t="s">
        <v>12689</v>
      </c>
      <c r="AU744" s="1">
        <v>2018</v>
      </c>
      <c r="AV744" s="1">
        <v>18</v>
      </c>
      <c r="AW744" s="1" t="s">
        <v>74</v>
      </c>
      <c r="AX744" s="1" t="s">
        <v>74</v>
      </c>
      <c r="AY744" s="1" t="s">
        <v>74</v>
      </c>
      <c r="AZ744" s="1" t="s">
        <v>74</v>
      </c>
      <c r="BA744" s="1" t="s">
        <v>74</v>
      </c>
      <c r="BB744" s="1" t="s">
        <v>74</v>
      </c>
      <c r="BC744" s="1" t="s">
        <v>74</v>
      </c>
      <c r="BD744" s="1">
        <v>314</v>
      </c>
      <c r="BE744" s="1" t="s">
        <v>12690</v>
      </c>
      <c r="BF744" s="1" t="str">
        <f>HYPERLINK("http://dx.doi.org/10.1186/s12889-018-5191-5","http://dx.doi.org/10.1186/s12889-018-5191-5")</f>
        <v>http://dx.doi.org/10.1186/s12889-018-5191-5</v>
      </c>
      <c r="BG744" s="1" t="s">
        <v>74</v>
      </c>
      <c r="BH744" s="1" t="s">
        <v>74</v>
      </c>
      <c r="BI744" s="1">
        <v>11</v>
      </c>
      <c r="BJ744" s="1" t="s">
        <v>12691</v>
      </c>
      <c r="BK744" s="1" t="s">
        <v>96</v>
      </c>
      <c r="BL744" s="1" t="s">
        <v>12691</v>
      </c>
      <c r="BM744" s="1" t="s">
        <v>12692</v>
      </c>
      <c r="BN744" s="1">
        <v>29506513</v>
      </c>
      <c r="BO744" s="1" t="s">
        <v>2155</v>
      </c>
      <c r="BP744" s="1" t="s">
        <v>74</v>
      </c>
      <c r="BQ744" s="1" t="s">
        <v>74</v>
      </c>
      <c r="BR744" s="1" t="s">
        <v>98</v>
      </c>
      <c r="BS744" s="1" t="s">
        <v>12693</v>
      </c>
      <c r="BT744" s="1" t="str">
        <f>HYPERLINK("https%3A%2F%2Fwww.webofscience.com%2Fwos%2Fwoscc%2Ffull-record%2FWOS:000427074800002","View Full Record in Web of Science")</f>
        <v>View Full Record in Web of Science</v>
      </c>
    </row>
    <row r="745" spans="1:72">
      <c r="A745" s="1" t="s">
        <v>72</v>
      </c>
      <c r="B745" s="1" t="s">
        <v>12694</v>
      </c>
      <c r="C745" s="1" t="s">
        <v>74</v>
      </c>
      <c r="D745" s="1" t="s">
        <v>74</v>
      </c>
      <c r="E745" s="1" t="s">
        <v>74</v>
      </c>
      <c r="F745" s="1" t="s">
        <v>12695</v>
      </c>
      <c r="G745" s="1" t="s">
        <v>74</v>
      </c>
      <c r="H745" s="1" t="s">
        <v>74</v>
      </c>
      <c r="I745" s="1" t="s">
        <v>12696</v>
      </c>
      <c r="J745" s="1" t="s">
        <v>3349</v>
      </c>
      <c r="K745" s="1" t="s">
        <v>74</v>
      </c>
      <c r="L745" s="1" t="s">
        <v>74</v>
      </c>
      <c r="M745" s="1" t="s">
        <v>78</v>
      </c>
      <c r="N745" s="1" t="s">
        <v>79</v>
      </c>
      <c r="O745" s="1" t="s">
        <v>74</v>
      </c>
      <c r="P745" s="1" t="s">
        <v>74</v>
      </c>
      <c r="Q745" s="1" t="s">
        <v>74</v>
      </c>
      <c r="R745" s="1" t="s">
        <v>74</v>
      </c>
      <c r="S745" s="1" t="s">
        <v>74</v>
      </c>
      <c r="T745" s="1" t="s">
        <v>12697</v>
      </c>
      <c r="U745" s="1" t="s">
        <v>12698</v>
      </c>
      <c r="V745" s="1" t="s">
        <v>12699</v>
      </c>
      <c r="W745" s="1" t="s">
        <v>12700</v>
      </c>
      <c r="X745" s="1" t="s">
        <v>12701</v>
      </c>
      <c r="Y745" s="1" t="s">
        <v>12702</v>
      </c>
      <c r="Z745" s="1" t="s">
        <v>8628</v>
      </c>
      <c r="AA745" s="1" t="s">
        <v>8629</v>
      </c>
      <c r="AB745" s="1" t="s">
        <v>74</v>
      </c>
      <c r="AC745" s="1" t="s">
        <v>12703</v>
      </c>
      <c r="AD745" s="1" t="s">
        <v>12704</v>
      </c>
      <c r="AE745" s="1" t="s">
        <v>12705</v>
      </c>
      <c r="AF745" s="1" t="s">
        <v>74</v>
      </c>
      <c r="AG745" s="1">
        <v>88</v>
      </c>
      <c r="AH745" s="1">
        <v>19</v>
      </c>
      <c r="AI745" s="1">
        <v>19</v>
      </c>
      <c r="AJ745" s="1">
        <v>6</v>
      </c>
      <c r="AK745" s="1">
        <v>87</v>
      </c>
      <c r="AL745" s="1" t="s">
        <v>3362</v>
      </c>
      <c r="AM745" s="1" t="s">
        <v>3363</v>
      </c>
      <c r="AN745" s="1" t="s">
        <v>3364</v>
      </c>
      <c r="AO745" s="1" t="s">
        <v>3365</v>
      </c>
      <c r="AP745" s="1" t="s">
        <v>3366</v>
      </c>
      <c r="AQ745" s="1" t="s">
        <v>74</v>
      </c>
      <c r="AR745" s="1" t="s">
        <v>3367</v>
      </c>
      <c r="AS745" s="1" t="s">
        <v>3368</v>
      </c>
      <c r="AT745" s="1" t="s">
        <v>1507</v>
      </c>
      <c r="AU745" s="1">
        <v>2021</v>
      </c>
      <c r="AV745" s="1">
        <v>213</v>
      </c>
      <c r="AW745" s="1" t="s">
        <v>74</v>
      </c>
      <c r="AX745" s="1" t="s">
        <v>74</v>
      </c>
      <c r="AY745" s="1" t="s">
        <v>74</v>
      </c>
      <c r="AZ745" s="1" t="s">
        <v>74</v>
      </c>
      <c r="BA745" s="1" t="s">
        <v>74</v>
      </c>
      <c r="BB745" s="1" t="s">
        <v>74</v>
      </c>
      <c r="BC745" s="1" t="s">
        <v>74</v>
      </c>
      <c r="BD745" s="1">
        <v>112038</v>
      </c>
      <c r="BE745" s="1" t="s">
        <v>12706</v>
      </c>
      <c r="BF745" s="1" t="str">
        <f>HYPERLINK("http://dx.doi.org/10.1016/j.ecoenv.2021.112038","http://dx.doi.org/10.1016/j.ecoenv.2021.112038")</f>
        <v>http://dx.doi.org/10.1016/j.ecoenv.2021.112038</v>
      </c>
      <c r="BG745" s="1" t="s">
        <v>74</v>
      </c>
      <c r="BH745" s="1" t="s">
        <v>4518</v>
      </c>
      <c r="BI745" s="1">
        <v>11</v>
      </c>
      <c r="BJ745" s="1" t="s">
        <v>121</v>
      </c>
      <c r="BK745" s="1" t="s">
        <v>96</v>
      </c>
      <c r="BL745" s="1" t="s">
        <v>122</v>
      </c>
      <c r="BM745" s="1" t="s">
        <v>12707</v>
      </c>
      <c r="BN745" s="1">
        <v>33636467</v>
      </c>
      <c r="BO745" s="1" t="s">
        <v>873</v>
      </c>
      <c r="BP745" s="1" t="s">
        <v>74</v>
      </c>
      <c r="BQ745" s="1" t="s">
        <v>74</v>
      </c>
      <c r="BR745" s="1" t="s">
        <v>98</v>
      </c>
      <c r="BS745" s="1" t="s">
        <v>12708</v>
      </c>
      <c r="BT745" s="1" t="str">
        <f>HYPERLINK("https%3A%2F%2Fwww.webofscience.com%2Fwos%2Fwoscc%2Ffull-record%2FWOS:000632390400001","View Full Record in Web of Science")</f>
        <v>View Full Record in Web of Science</v>
      </c>
    </row>
    <row r="746" spans="1:72">
      <c r="A746" s="1" t="s">
        <v>72</v>
      </c>
      <c r="B746" s="1" t="s">
        <v>12709</v>
      </c>
      <c r="C746" s="1" t="s">
        <v>74</v>
      </c>
      <c r="D746" s="1" t="s">
        <v>74</v>
      </c>
      <c r="E746" s="1" t="s">
        <v>74</v>
      </c>
      <c r="F746" s="1" t="s">
        <v>12710</v>
      </c>
      <c r="G746" s="1" t="s">
        <v>74</v>
      </c>
      <c r="H746" s="1" t="s">
        <v>74</v>
      </c>
      <c r="I746" s="1" t="s">
        <v>12711</v>
      </c>
      <c r="J746" s="1" t="s">
        <v>641</v>
      </c>
      <c r="K746" s="1" t="s">
        <v>74</v>
      </c>
      <c r="L746" s="1" t="s">
        <v>74</v>
      </c>
      <c r="M746" s="1" t="s">
        <v>78</v>
      </c>
      <c r="N746" s="1" t="s">
        <v>79</v>
      </c>
      <c r="O746" s="1" t="s">
        <v>74</v>
      </c>
      <c r="P746" s="1" t="s">
        <v>74</v>
      </c>
      <c r="Q746" s="1" t="s">
        <v>74</v>
      </c>
      <c r="R746" s="1" t="s">
        <v>74</v>
      </c>
      <c r="S746" s="1" t="s">
        <v>74</v>
      </c>
      <c r="T746" s="1" t="s">
        <v>12712</v>
      </c>
      <c r="U746" s="1" t="s">
        <v>12713</v>
      </c>
      <c r="V746" s="1" t="s">
        <v>12714</v>
      </c>
      <c r="W746" s="1" t="s">
        <v>12715</v>
      </c>
      <c r="X746" s="1" t="s">
        <v>12716</v>
      </c>
      <c r="Y746" s="1" t="s">
        <v>12717</v>
      </c>
      <c r="Z746" s="1" t="s">
        <v>12718</v>
      </c>
      <c r="AA746" s="1" t="s">
        <v>12719</v>
      </c>
      <c r="AB746" s="1" t="s">
        <v>12720</v>
      </c>
      <c r="AC746" s="1" t="s">
        <v>12721</v>
      </c>
      <c r="AD746" s="1" t="s">
        <v>12721</v>
      </c>
      <c r="AE746" s="1" t="s">
        <v>12722</v>
      </c>
      <c r="AF746" s="1" t="s">
        <v>74</v>
      </c>
      <c r="AG746" s="1">
        <v>56</v>
      </c>
      <c r="AH746" s="1">
        <v>46</v>
      </c>
      <c r="AI746" s="1">
        <v>49</v>
      </c>
      <c r="AJ746" s="1">
        <v>2</v>
      </c>
      <c r="AK746" s="1">
        <v>32</v>
      </c>
      <c r="AL746" s="1" t="s">
        <v>650</v>
      </c>
      <c r="AM746" s="1" t="s">
        <v>651</v>
      </c>
      <c r="AN746" s="1" t="s">
        <v>652</v>
      </c>
      <c r="AO746" s="1" t="s">
        <v>653</v>
      </c>
      <c r="AP746" s="1" t="s">
        <v>654</v>
      </c>
      <c r="AQ746" s="1" t="s">
        <v>74</v>
      </c>
      <c r="AR746" s="1" t="s">
        <v>655</v>
      </c>
      <c r="AS746" s="1" t="s">
        <v>656</v>
      </c>
      <c r="AT746" s="1" t="s">
        <v>305</v>
      </c>
      <c r="AU746" s="1">
        <v>2011</v>
      </c>
      <c r="AV746" s="1">
        <v>105</v>
      </c>
      <c r="AW746" s="1" t="s">
        <v>326</v>
      </c>
      <c r="AX746" s="1" t="s">
        <v>74</v>
      </c>
      <c r="AY746" s="1" t="s">
        <v>74</v>
      </c>
      <c r="AZ746" s="1" t="s">
        <v>74</v>
      </c>
      <c r="BA746" s="1" t="s">
        <v>74</v>
      </c>
      <c r="BB746" s="1">
        <v>157</v>
      </c>
      <c r="BC746" s="1">
        <v>165</v>
      </c>
      <c r="BD746" s="1" t="s">
        <v>74</v>
      </c>
      <c r="BE746" s="1" t="s">
        <v>12723</v>
      </c>
      <c r="BF746" s="1" t="str">
        <f>HYPERLINK("http://dx.doi.org/10.1016/j.aquatox.2011.06.007","http://dx.doi.org/10.1016/j.aquatox.2011.06.007")</f>
        <v>http://dx.doi.org/10.1016/j.aquatox.2011.06.007</v>
      </c>
      <c r="BG746" s="1" t="s">
        <v>74</v>
      </c>
      <c r="BH746" s="1" t="s">
        <v>74</v>
      </c>
      <c r="BI746" s="1">
        <v>9</v>
      </c>
      <c r="BJ746" s="1" t="s">
        <v>659</v>
      </c>
      <c r="BK746" s="1" t="s">
        <v>96</v>
      </c>
      <c r="BL746" s="1" t="s">
        <v>659</v>
      </c>
      <c r="BM746" s="1" t="s">
        <v>8534</v>
      </c>
      <c r="BN746" s="1">
        <v>21718659</v>
      </c>
      <c r="BO746" s="1" t="s">
        <v>74</v>
      </c>
      <c r="BP746" s="1" t="s">
        <v>74</v>
      </c>
      <c r="BQ746" s="1" t="s">
        <v>74</v>
      </c>
      <c r="BR746" s="1" t="s">
        <v>98</v>
      </c>
      <c r="BS746" s="1" t="s">
        <v>12724</v>
      </c>
      <c r="BT746" s="1" t="str">
        <f>HYPERLINK("https%3A%2F%2Fwww.webofscience.com%2Fwos%2Fwoscc%2Ffull-record%2FWOS:000294317500017","View Full Record in Web of Science")</f>
        <v>View Full Record in Web of Science</v>
      </c>
    </row>
    <row r="747" spans="1:72">
      <c r="A747" s="1" t="s">
        <v>72</v>
      </c>
      <c r="B747" s="1" t="s">
        <v>12725</v>
      </c>
      <c r="C747" s="1" t="s">
        <v>74</v>
      </c>
      <c r="D747" s="1" t="s">
        <v>74</v>
      </c>
      <c r="E747" s="1" t="s">
        <v>74</v>
      </c>
      <c r="F747" s="1" t="s">
        <v>12726</v>
      </c>
      <c r="G747" s="1" t="s">
        <v>74</v>
      </c>
      <c r="H747" s="1" t="s">
        <v>74</v>
      </c>
      <c r="I747" s="1" t="s">
        <v>12727</v>
      </c>
      <c r="J747" s="1" t="s">
        <v>11045</v>
      </c>
      <c r="K747" s="1" t="s">
        <v>74</v>
      </c>
      <c r="L747" s="1" t="s">
        <v>74</v>
      </c>
      <c r="M747" s="1" t="s">
        <v>78</v>
      </c>
      <c r="N747" s="1" t="s">
        <v>79</v>
      </c>
      <c r="O747" s="1" t="s">
        <v>74</v>
      </c>
      <c r="P747" s="1" t="s">
        <v>74</v>
      </c>
      <c r="Q747" s="1" t="s">
        <v>74</v>
      </c>
      <c r="R747" s="1" t="s">
        <v>74</v>
      </c>
      <c r="S747" s="1" t="s">
        <v>74</v>
      </c>
      <c r="T747" s="1" t="s">
        <v>74</v>
      </c>
      <c r="U747" s="1" t="s">
        <v>12728</v>
      </c>
      <c r="V747" s="1" t="s">
        <v>12729</v>
      </c>
      <c r="W747" s="1" t="s">
        <v>12730</v>
      </c>
      <c r="X747" s="1" t="s">
        <v>12731</v>
      </c>
      <c r="Y747" s="1" t="s">
        <v>12732</v>
      </c>
      <c r="Z747" s="1" t="s">
        <v>12733</v>
      </c>
      <c r="AA747" s="1" t="s">
        <v>12734</v>
      </c>
      <c r="AB747" s="1" t="s">
        <v>12735</v>
      </c>
      <c r="AC747" s="1" t="s">
        <v>12736</v>
      </c>
      <c r="AD747" s="1" t="s">
        <v>12737</v>
      </c>
      <c r="AE747" s="1" t="s">
        <v>12738</v>
      </c>
      <c r="AF747" s="1" t="s">
        <v>74</v>
      </c>
      <c r="AG747" s="1">
        <v>60</v>
      </c>
      <c r="AH747" s="1">
        <v>14</v>
      </c>
      <c r="AI747" s="1">
        <v>14</v>
      </c>
      <c r="AJ747" s="1">
        <v>9</v>
      </c>
      <c r="AK747" s="1">
        <v>57</v>
      </c>
      <c r="AL747" s="1" t="s">
        <v>11056</v>
      </c>
      <c r="AM747" s="1" t="s">
        <v>11057</v>
      </c>
      <c r="AN747" s="1" t="s">
        <v>11058</v>
      </c>
      <c r="AO747" s="1" t="s">
        <v>11059</v>
      </c>
      <c r="AP747" s="1" t="s">
        <v>74</v>
      </c>
      <c r="AQ747" s="1" t="s">
        <v>74</v>
      </c>
      <c r="AR747" s="1" t="s">
        <v>11045</v>
      </c>
      <c r="AS747" s="1" t="s">
        <v>11060</v>
      </c>
      <c r="AT747" s="1" t="s">
        <v>12739</v>
      </c>
      <c r="AU747" s="1">
        <v>2017</v>
      </c>
      <c r="AV747" s="1">
        <v>12</v>
      </c>
      <c r="AW747" s="1">
        <v>5</v>
      </c>
      <c r="AX747" s="1" t="s">
        <v>74</v>
      </c>
      <c r="AY747" s="1" t="s">
        <v>74</v>
      </c>
      <c r="AZ747" s="1" t="s">
        <v>74</v>
      </c>
      <c r="BA747" s="1" t="s">
        <v>74</v>
      </c>
      <c r="BB747" s="1" t="s">
        <v>74</v>
      </c>
      <c r="BC747" s="1" t="s">
        <v>74</v>
      </c>
      <c r="BD747" s="1" t="s">
        <v>12740</v>
      </c>
      <c r="BE747" s="1" t="s">
        <v>12741</v>
      </c>
      <c r="BF747" s="1" t="str">
        <f>HYPERLINK("http://dx.doi.org/10.1371/journal.pone.0176677","http://dx.doi.org/10.1371/journal.pone.0176677")</f>
        <v>http://dx.doi.org/10.1371/journal.pone.0176677</v>
      </c>
      <c r="BG747" s="1" t="s">
        <v>74</v>
      </c>
      <c r="BH747" s="1" t="s">
        <v>74</v>
      </c>
      <c r="BI747" s="1">
        <v>17</v>
      </c>
      <c r="BJ747" s="1" t="s">
        <v>3202</v>
      </c>
      <c r="BK747" s="1" t="s">
        <v>96</v>
      </c>
      <c r="BL747" s="1" t="s">
        <v>3203</v>
      </c>
      <c r="BM747" s="1" t="s">
        <v>12742</v>
      </c>
      <c r="BN747" s="1">
        <v>28520756</v>
      </c>
      <c r="BO747" s="1" t="s">
        <v>12743</v>
      </c>
      <c r="BP747" s="1" t="s">
        <v>74</v>
      </c>
      <c r="BQ747" s="1" t="s">
        <v>74</v>
      </c>
      <c r="BR747" s="1" t="s">
        <v>98</v>
      </c>
      <c r="BS747" s="1" t="s">
        <v>12744</v>
      </c>
      <c r="BT747" s="1" t="str">
        <f>HYPERLINK("https%3A%2F%2Fwww.webofscience.com%2Fwos%2Fwoscc%2Ffull-record%2FWOS:000401487700026","View Full Record in Web of Science")</f>
        <v>View Full Record in Web of Science</v>
      </c>
    </row>
    <row r="748" spans="1:72">
      <c r="A748" s="1" t="s">
        <v>72</v>
      </c>
      <c r="B748" s="1" t="s">
        <v>12745</v>
      </c>
      <c r="C748" s="1" t="s">
        <v>74</v>
      </c>
      <c r="D748" s="1" t="s">
        <v>74</v>
      </c>
      <c r="E748" s="1" t="s">
        <v>74</v>
      </c>
      <c r="F748" s="1" t="s">
        <v>12746</v>
      </c>
      <c r="G748" s="1" t="s">
        <v>74</v>
      </c>
      <c r="H748" s="1" t="s">
        <v>74</v>
      </c>
      <c r="I748" s="1" t="s">
        <v>12747</v>
      </c>
      <c r="J748" s="1" t="s">
        <v>641</v>
      </c>
      <c r="K748" s="1" t="s">
        <v>74</v>
      </c>
      <c r="L748" s="1" t="s">
        <v>74</v>
      </c>
      <c r="M748" s="1" t="s">
        <v>78</v>
      </c>
      <c r="N748" s="1" t="s">
        <v>79</v>
      </c>
      <c r="O748" s="1" t="s">
        <v>74</v>
      </c>
      <c r="P748" s="1" t="s">
        <v>74</v>
      </c>
      <c r="Q748" s="1" t="s">
        <v>74</v>
      </c>
      <c r="R748" s="1" t="s">
        <v>74</v>
      </c>
      <c r="S748" s="1" t="s">
        <v>74</v>
      </c>
      <c r="T748" s="1" t="s">
        <v>12748</v>
      </c>
      <c r="U748" s="1" t="s">
        <v>12749</v>
      </c>
      <c r="V748" s="1" t="s">
        <v>12750</v>
      </c>
      <c r="W748" s="1" t="s">
        <v>12751</v>
      </c>
      <c r="X748" s="1" t="s">
        <v>12752</v>
      </c>
      <c r="Y748" s="1" t="s">
        <v>12753</v>
      </c>
      <c r="Z748" s="1" t="s">
        <v>12754</v>
      </c>
      <c r="AA748" s="1" t="s">
        <v>74</v>
      </c>
      <c r="AB748" s="1" t="s">
        <v>12755</v>
      </c>
      <c r="AC748" s="1" t="s">
        <v>12756</v>
      </c>
      <c r="AD748" s="1" t="s">
        <v>12756</v>
      </c>
      <c r="AE748" s="1" t="s">
        <v>12757</v>
      </c>
      <c r="AF748" s="1" t="s">
        <v>74</v>
      </c>
      <c r="AG748" s="1">
        <v>51</v>
      </c>
      <c r="AH748" s="1">
        <v>9</v>
      </c>
      <c r="AI748" s="1">
        <v>9</v>
      </c>
      <c r="AJ748" s="1">
        <v>1</v>
      </c>
      <c r="AK748" s="1">
        <v>33</v>
      </c>
      <c r="AL748" s="1" t="s">
        <v>650</v>
      </c>
      <c r="AM748" s="1" t="s">
        <v>651</v>
      </c>
      <c r="AN748" s="1" t="s">
        <v>652</v>
      </c>
      <c r="AO748" s="1" t="s">
        <v>653</v>
      </c>
      <c r="AP748" s="1" t="s">
        <v>654</v>
      </c>
      <c r="AQ748" s="1" t="s">
        <v>74</v>
      </c>
      <c r="AR748" s="1" t="s">
        <v>655</v>
      </c>
      <c r="AS748" s="1" t="s">
        <v>656</v>
      </c>
      <c r="AT748" s="1" t="s">
        <v>1470</v>
      </c>
      <c r="AU748" s="1">
        <v>2022</v>
      </c>
      <c r="AV748" s="1">
        <v>242</v>
      </c>
      <c r="AW748" s="1" t="s">
        <v>74</v>
      </c>
      <c r="AX748" s="1" t="s">
        <v>74</v>
      </c>
      <c r="AY748" s="1" t="s">
        <v>74</v>
      </c>
      <c r="AZ748" s="1" t="s">
        <v>74</v>
      </c>
      <c r="BA748" s="1" t="s">
        <v>74</v>
      </c>
      <c r="BB748" s="1" t="s">
        <v>74</v>
      </c>
      <c r="BC748" s="1" t="s">
        <v>74</v>
      </c>
      <c r="BD748" s="1">
        <v>106038</v>
      </c>
      <c r="BE748" s="1" t="s">
        <v>12758</v>
      </c>
      <c r="BF748" s="1" t="str">
        <f>HYPERLINK("http://dx.doi.org/10.1016/j.aquatox.2021.106038","http://dx.doi.org/10.1016/j.aquatox.2021.106038")</f>
        <v>http://dx.doi.org/10.1016/j.aquatox.2021.106038</v>
      </c>
      <c r="BG748" s="1" t="s">
        <v>74</v>
      </c>
      <c r="BH748" s="1" t="s">
        <v>74</v>
      </c>
      <c r="BI748" s="1">
        <v>11</v>
      </c>
      <c r="BJ748" s="1" t="s">
        <v>659</v>
      </c>
      <c r="BK748" s="1" t="s">
        <v>96</v>
      </c>
      <c r="BL748" s="1" t="s">
        <v>659</v>
      </c>
      <c r="BM748" s="1" t="s">
        <v>12759</v>
      </c>
      <c r="BN748" s="1">
        <v>34879304</v>
      </c>
      <c r="BO748" s="1" t="s">
        <v>1752</v>
      </c>
      <c r="BP748" s="1" t="s">
        <v>74</v>
      </c>
      <c r="BQ748" s="1" t="s">
        <v>74</v>
      </c>
      <c r="BR748" s="1" t="s">
        <v>98</v>
      </c>
      <c r="BS748" s="1" t="s">
        <v>12760</v>
      </c>
      <c r="BT748" s="1" t="str">
        <f>HYPERLINK("https%3A%2F%2Fwww.webofscience.com%2Fwos%2Fwoscc%2Ffull-record%2FWOS:000765515700001","View Full Record in Web of Science")</f>
        <v>View Full Record in Web of Science</v>
      </c>
    </row>
    <row r="749" spans="1:72">
      <c r="A749" s="1" t="s">
        <v>72</v>
      </c>
      <c r="B749" s="1" t="s">
        <v>12761</v>
      </c>
      <c r="C749" s="1" t="s">
        <v>74</v>
      </c>
      <c r="D749" s="1" t="s">
        <v>74</v>
      </c>
      <c r="E749" s="1" t="s">
        <v>74</v>
      </c>
      <c r="F749" s="1" t="s">
        <v>12762</v>
      </c>
      <c r="G749" s="1" t="s">
        <v>74</v>
      </c>
      <c r="H749" s="1" t="s">
        <v>74</v>
      </c>
      <c r="I749" s="1" t="s">
        <v>12763</v>
      </c>
      <c r="J749" s="1" t="s">
        <v>204</v>
      </c>
      <c r="K749" s="1" t="s">
        <v>74</v>
      </c>
      <c r="L749" s="1" t="s">
        <v>74</v>
      </c>
      <c r="M749" s="1" t="s">
        <v>78</v>
      </c>
      <c r="N749" s="1" t="s">
        <v>151</v>
      </c>
      <c r="O749" s="1" t="s">
        <v>12764</v>
      </c>
      <c r="P749" s="1" t="s">
        <v>12765</v>
      </c>
      <c r="Q749" s="1" t="s">
        <v>12766</v>
      </c>
      <c r="R749" s="1" t="s">
        <v>74</v>
      </c>
      <c r="S749" s="1" t="s">
        <v>74</v>
      </c>
      <c r="T749" s="1" t="s">
        <v>12767</v>
      </c>
      <c r="U749" s="1" t="s">
        <v>12768</v>
      </c>
      <c r="V749" s="1" t="s">
        <v>12769</v>
      </c>
      <c r="W749" s="1" t="s">
        <v>12770</v>
      </c>
      <c r="X749" s="1" t="s">
        <v>12771</v>
      </c>
      <c r="Y749" s="1" t="s">
        <v>12772</v>
      </c>
      <c r="Z749" s="1" t="s">
        <v>12773</v>
      </c>
      <c r="AA749" s="1" t="s">
        <v>12774</v>
      </c>
      <c r="AB749" s="1" t="s">
        <v>12775</v>
      </c>
      <c r="AC749" s="1" t="s">
        <v>12776</v>
      </c>
      <c r="AD749" s="1" t="s">
        <v>12777</v>
      </c>
      <c r="AE749" s="1" t="s">
        <v>12778</v>
      </c>
      <c r="AF749" s="1" t="s">
        <v>74</v>
      </c>
      <c r="AG749" s="1">
        <v>39</v>
      </c>
      <c r="AH749" s="1">
        <v>13</v>
      </c>
      <c r="AI749" s="1">
        <v>13</v>
      </c>
      <c r="AJ749" s="1">
        <v>0</v>
      </c>
      <c r="AK749" s="1">
        <v>21</v>
      </c>
      <c r="AL749" s="1" t="s">
        <v>217</v>
      </c>
      <c r="AM749" s="1" t="s">
        <v>218</v>
      </c>
      <c r="AN749" s="1" t="s">
        <v>219</v>
      </c>
      <c r="AO749" s="1" t="s">
        <v>220</v>
      </c>
      <c r="AP749" s="1" t="s">
        <v>221</v>
      </c>
      <c r="AQ749" s="1" t="s">
        <v>74</v>
      </c>
      <c r="AR749" s="1" t="s">
        <v>222</v>
      </c>
      <c r="AS749" s="1" t="s">
        <v>223</v>
      </c>
      <c r="AT749" s="1" t="s">
        <v>142</v>
      </c>
      <c r="AU749" s="1">
        <v>2016</v>
      </c>
      <c r="AV749" s="1">
        <v>23</v>
      </c>
      <c r="AW749" s="1">
        <v>11</v>
      </c>
      <c r="AX749" s="1" t="s">
        <v>74</v>
      </c>
      <c r="AY749" s="1" t="s">
        <v>74</v>
      </c>
      <c r="AZ749" s="1" t="s">
        <v>74</v>
      </c>
      <c r="BA749" s="1" t="s">
        <v>74</v>
      </c>
      <c r="BB749" s="1">
        <v>10983</v>
      </c>
      <c r="BC749" s="1">
        <v>10989</v>
      </c>
      <c r="BD749" s="1" t="s">
        <v>74</v>
      </c>
      <c r="BE749" s="1" t="s">
        <v>12779</v>
      </c>
      <c r="BF749" s="1" t="str">
        <f>HYPERLINK("http://dx.doi.org/10.1007/s11356-016-6306-0","http://dx.doi.org/10.1007/s11356-016-6306-0")</f>
        <v>http://dx.doi.org/10.1007/s11356-016-6306-0</v>
      </c>
      <c r="BG749" s="1" t="s">
        <v>74</v>
      </c>
      <c r="BH749" s="1" t="s">
        <v>74</v>
      </c>
      <c r="BI749" s="1">
        <v>7</v>
      </c>
      <c r="BJ749" s="1" t="s">
        <v>144</v>
      </c>
      <c r="BK749" s="1" t="s">
        <v>172</v>
      </c>
      <c r="BL749" s="1" t="s">
        <v>145</v>
      </c>
      <c r="BM749" s="1" t="s">
        <v>12780</v>
      </c>
      <c r="BN749" s="1">
        <v>26898936</v>
      </c>
      <c r="BO749" s="1" t="s">
        <v>74</v>
      </c>
      <c r="BP749" s="1" t="s">
        <v>74</v>
      </c>
      <c r="BQ749" s="1" t="s">
        <v>74</v>
      </c>
      <c r="BR749" s="1" t="s">
        <v>98</v>
      </c>
      <c r="BS749" s="1" t="s">
        <v>12781</v>
      </c>
      <c r="BT749" s="1" t="str">
        <f>HYPERLINK("https%3A%2F%2Fwww.webofscience.com%2Fwos%2Fwoscc%2Ffull-record%2FWOS:000377021500062","View Full Record in Web of Science")</f>
        <v>View Full Record in Web of Science</v>
      </c>
    </row>
    <row r="750" spans="1:72">
      <c r="A750" s="1" t="s">
        <v>72</v>
      </c>
      <c r="B750" s="1" t="s">
        <v>12782</v>
      </c>
      <c r="C750" s="1" t="s">
        <v>74</v>
      </c>
      <c r="D750" s="1" t="s">
        <v>74</v>
      </c>
      <c r="E750" s="1" t="s">
        <v>74</v>
      </c>
      <c r="F750" s="1" t="s">
        <v>12783</v>
      </c>
      <c r="G750" s="1" t="s">
        <v>74</v>
      </c>
      <c r="H750" s="1" t="s">
        <v>74</v>
      </c>
      <c r="I750" s="1" t="s">
        <v>12784</v>
      </c>
      <c r="J750" s="1" t="s">
        <v>204</v>
      </c>
      <c r="K750" s="1" t="s">
        <v>74</v>
      </c>
      <c r="L750" s="1" t="s">
        <v>74</v>
      </c>
      <c r="M750" s="1" t="s">
        <v>78</v>
      </c>
      <c r="N750" s="1" t="s">
        <v>79</v>
      </c>
      <c r="O750" s="1" t="s">
        <v>74</v>
      </c>
      <c r="P750" s="1" t="s">
        <v>74</v>
      </c>
      <c r="Q750" s="1" t="s">
        <v>74</v>
      </c>
      <c r="R750" s="1" t="s">
        <v>74</v>
      </c>
      <c r="S750" s="1" t="s">
        <v>74</v>
      </c>
      <c r="T750" s="1" t="s">
        <v>12785</v>
      </c>
      <c r="U750" s="1" t="s">
        <v>12786</v>
      </c>
      <c r="V750" s="1" t="s">
        <v>12787</v>
      </c>
      <c r="W750" s="1" t="s">
        <v>12788</v>
      </c>
      <c r="X750" s="1" t="s">
        <v>7980</v>
      </c>
      <c r="Y750" s="1" t="s">
        <v>12789</v>
      </c>
      <c r="Z750" s="1" t="s">
        <v>12790</v>
      </c>
      <c r="AA750" s="1" t="s">
        <v>12791</v>
      </c>
      <c r="AB750" s="1" t="s">
        <v>12792</v>
      </c>
      <c r="AC750" s="1" t="s">
        <v>12793</v>
      </c>
      <c r="AD750" s="1" t="s">
        <v>12794</v>
      </c>
      <c r="AE750" s="1" t="s">
        <v>12795</v>
      </c>
      <c r="AF750" s="1" t="s">
        <v>74</v>
      </c>
      <c r="AG750" s="1">
        <v>76</v>
      </c>
      <c r="AH750" s="1">
        <v>7</v>
      </c>
      <c r="AI750" s="1">
        <v>7</v>
      </c>
      <c r="AJ750" s="1">
        <v>1</v>
      </c>
      <c r="AK750" s="1">
        <v>8</v>
      </c>
      <c r="AL750" s="1" t="s">
        <v>217</v>
      </c>
      <c r="AM750" s="1" t="s">
        <v>218</v>
      </c>
      <c r="AN750" s="1" t="s">
        <v>219</v>
      </c>
      <c r="AO750" s="1" t="s">
        <v>220</v>
      </c>
      <c r="AP750" s="1" t="s">
        <v>221</v>
      </c>
      <c r="AQ750" s="1" t="s">
        <v>74</v>
      </c>
      <c r="AR750" s="1" t="s">
        <v>222</v>
      </c>
      <c r="AS750" s="1" t="s">
        <v>223</v>
      </c>
      <c r="AT750" s="1" t="s">
        <v>951</v>
      </c>
      <c r="AU750" s="1">
        <v>2021</v>
      </c>
      <c r="AV750" s="1">
        <v>28</v>
      </c>
      <c r="AW750" s="1">
        <v>44</v>
      </c>
      <c r="AX750" s="1" t="s">
        <v>74</v>
      </c>
      <c r="AY750" s="1" t="s">
        <v>74</v>
      </c>
      <c r="AZ750" s="1" t="s">
        <v>74</v>
      </c>
      <c r="BA750" s="1" t="s">
        <v>74</v>
      </c>
      <c r="BB750" s="1">
        <v>63032</v>
      </c>
      <c r="BC750" s="1">
        <v>63044</v>
      </c>
      <c r="BD750" s="1" t="s">
        <v>74</v>
      </c>
      <c r="BE750" s="1" t="s">
        <v>12796</v>
      </c>
      <c r="BF750" s="1" t="str">
        <f>HYPERLINK("http://dx.doi.org/10.1007/s11356-021-15203-8","http://dx.doi.org/10.1007/s11356-021-15203-8")</f>
        <v>http://dx.doi.org/10.1007/s11356-021-15203-8</v>
      </c>
      <c r="BG750" s="1" t="s">
        <v>74</v>
      </c>
      <c r="BH750" s="1" t="s">
        <v>12797</v>
      </c>
      <c r="BI750" s="1">
        <v>13</v>
      </c>
      <c r="BJ750" s="1" t="s">
        <v>144</v>
      </c>
      <c r="BK750" s="1" t="s">
        <v>96</v>
      </c>
      <c r="BL750" s="1" t="s">
        <v>145</v>
      </c>
      <c r="BM750" s="1" t="s">
        <v>12798</v>
      </c>
      <c r="BN750" s="1">
        <v>34218369</v>
      </c>
      <c r="BO750" s="1" t="s">
        <v>74</v>
      </c>
      <c r="BP750" s="1" t="s">
        <v>74</v>
      </c>
      <c r="BQ750" s="1" t="s">
        <v>74</v>
      </c>
      <c r="BR750" s="1" t="s">
        <v>98</v>
      </c>
      <c r="BS750" s="1" t="s">
        <v>12799</v>
      </c>
      <c r="BT750" s="1" t="str">
        <f>HYPERLINK("https%3A%2F%2Fwww.webofscience.com%2Fwos%2Fwoscc%2Ffull-record%2FWOS:000669305500013","View Full Record in Web of Science")</f>
        <v>View Full Record in Web of Science</v>
      </c>
    </row>
    <row r="751" spans="1:72">
      <c r="A751" s="1" t="s">
        <v>72</v>
      </c>
      <c r="B751" s="1" t="s">
        <v>12800</v>
      </c>
      <c r="C751" s="1" t="s">
        <v>74</v>
      </c>
      <c r="D751" s="1" t="s">
        <v>74</v>
      </c>
      <c r="E751" s="1" t="s">
        <v>74</v>
      </c>
      <c r="F751" s="1" t="s">
        <v>12801</v>
      </c>
      <c r="G751" s="1" t="s">
        <v>74</v>
      </c>
      <c r="H751" s="1" t="s">
        <v>74</v>
      </c>
      <c r="I751" s="1" t="s">
        <v>12802</v>
      </c>
      <c r="J751" s="1" t="s">
        <v>909</v>
      </c>
      <c r="K751" s="1" t="s">
        <v>74</v>
      </c>
      <c r="L751" s="1" t="s">
        <v>74</v>
      </c>
      <c r="M751" s="1" t="s">
        <v>78</v>
      </c>
      <c r="N751" s="1" t="s">
        <v>79</v>
      </c>
      <c r="O751" s="1" t="s">
        <v>74</v>
      </c>
      <c r="P751" s="1" t="s">
        <v>74</v>
      </c>
      <c r="Q751" s="1" t="s">
        <v>74</v>
      </c>
      <c r="R751" s="1" t="s">
        <v>74</v>
      </c>
      <c r="S751" s="1" t="s">
        <v>74</v>
      </c>
      <c r="T751" s="1" t="s">
        <v>12803</v>
      </c>
      <c r="U751" s="1" t="s">
        <v>12804</v>
      </c>
      <c r="V751" s="1" t="s">
        <v>12805</v>
      </c>
      <c r="W751" s="1" t="s">
        <v>12806</v>
      </c>
      <c r="X751" s="1" t="s">
        <v>12807</v>
      </c>
      <c r="Y751" s="1" t="s">
        <v>12808</v>
      </c>
      <c r="Z751" s="1" t="s">
        <v>12809</v>
      </c>
      <c r="AA751" s="1" t="s">
        <v>12810</v>
      </c>
      <c r="AB751" s="1" t="s">
        <v>12811</v>
      </c>
      <c r="AC751" s="1" t="s">
        <v>12812</v>
      </c>
      <c r="AD751" s="1" t="s">
        <v>12813</v>
      </c>
      <c r="AE751" s="1" t="s">
        <v>12814</v>
      </c>
      <c r="AF751" s="1" t="s">
        <v>74</v>
      </c>
      <c r="AG751" s="1">
        <v>75</v>
      </c>
      <c r="AH751" s="1">
        <v>13</v>
      </c>
      <c r="AI751" s="1">
        <v>13</v>
      </c>
      <c r="AJ751" s="1">
        <v>1</v>
      </c>
      <c r="AK751" s="1">
        <v>36</v>
      </c>
      <c r="AL751" s="1" t="s">
        <v>650</v>
      </c>
      <c r="AM751" s="1" t="s">
        <v>651</v>
      </c>
      <c r="AN751" s="1" t="s">
        <v>652</v>
      </c>
      <c r="AO751" s="1" t="s">
        <v>921</v>
      </c>
      <c r="AP751" s="1" t="s">
        <v>922</v>
      </c>
      <c r="AQ751" s="1" t="s">
        <v>74</v>
      </c>
      <c r="AR751" s="1" t="s">
        <v>923</v>
      </c>
      <c r="AS751" s="1" t="s">
        <v>924</v>
      </c>
      <c r="AT751" s="1" t="s">
        <v>3542</v>
      </c>
      <c r="AU751" s="1">
        <v>2019</v>
      </c>
      <c r="AV751" s="1">
        <v>685</v>
      </c>
      <c r="AW751" s="1" t="s">
        <v>74</v>
      </c>
      <c r="AX751" s="1" t="s">
        <v>74</v>
      </c>
      <c r="AY751" s="1" t="s">
        <v>74</v>
      </c>
      <c r="AZ751" s="1" t="s">
        <v>74</v>
      </c>
      <c r="BA751" s="1" t="s">
        <v>74</v>
      </c>
      <c r="BB751" s="1">
        <v>795</v>
      </c>
      <c r="BC751" s="1">
        <v>805</v>
      </c>
      <c r="BD751" s="1" t="s">
        <v>74</v>
      </c>
      <c r="BE751" s="1" t="s">
        <v>12815</v>
      </c>
      <c r="BF751" s="1" t="str">
        <f>HYPERLINK("http://dx.doi.org/10.1016/j.scitotenv.2019.05.466","http://dx.doi.org/10.1016/j.scitotenv.2019.05.466")</f>
        <v>http://dx.doi.org/10.1016/j.scitotenv.2019.05.466</v>
      </c>
      <c r="BG751" s="1" t="s">
        <v>74</v>
      </c>
      <c r="BH751" s="1" t="s">
        <v>74</v>
      </c>
      <c r="BI751" s="1">
        <v>11</v>
      </c>
      <c r="BJ751" s="1" t="s">
        <v>144</v>
      </c>
      <c r="BK751" s="1" t="s">
        <v>96</v>
      </c>
      <c r="BL751" s="1" t="s">
        <v>145</v>
      </c>
      <c r="BM751" s="1" t="s">
        <v>12816</v>
      </c>
      <c r="BN751" s="1">
        <v>31238283</v>
      </c>
      <c r="BO751" s="1" t="s">
        <v>74</v>
      </c>
      <c r="BP751" s="1" t="s">
        <v>74</v>
      </c>
      <c r="BQ751" s="1" t="s">
        <v>74</v>
      </c>
      <c r="BR751" s="1" t="s">
        <v>98</v>
      </c>
      <c r="BS751" s="1" t="s">
        <v>12817</v>
      </c>
      <c r="BT751" s="1" t="str">
        <f>HYPERLINK("https%3A%2F%2Fwww.webofscience.com%2Fwos%2Fwoscc%2Ffull-record%2FWOS:000477951900075","View Full Record in Web of Science")</f>
        <v>View Full Record in Web of Science</v>
      </c>
    </row>
    <row r="752" spans="1:72">
      <c r="A752" s="1" t="s">
        <v>72</v>
      </c>
      <c r="B752" s="1" t="s">
        <v>12818</v>
      </c>
      <c r="C752" s="1" t="s">
        <v>74</v>
      </c>
      <c r="D752" s="1" t="s">
        <v>74</v>
      </c>
      <c r="E752" s="1" t="s">
        <v>74</v>
      </c>
      <c r="F752" s="1" t="s">
        <v>12818</v>
      </c>
      <c r="G752" s="1" t="s">
        <v>74</v>
      </c>
      <c r="H752" s="1" t="s">
        <v>74</v>
      </c>
      <c r="I752" s="1" t="s">
        <v>12819</v>
      </c>
      <c r="J752" s="1" t="s">
        <v>1202</v>
      </c>
      <c r="K752" s="1" t="s">
        <v>74</v>
      </c>
      <c r="L752" s="1" t="s">
        <v>74</v>
      </c>
      <c r="M752" s="1" t="s">
        <v>78</v>
      </c>
      <c r="N752" s="1" t="s">
        <v>79</v>
      </c>
      <c r="O752" s="1" t="s">
        <v>74</v>
      </c>
      <c r="P752" s="1" t="s">
        <v>74</v>
      </c>
      <c r="Q752" s="1" t="s">
        <v>74</v>
      </c>
      <c r="R752" s="1" t="s">
        <v>74</v>
      </c>
      <c r="S752" s="1" t="s">
        <v>74</v>
      </c>
      <c r="T752" s="1" t="s">
        <v>12820</v>
      </c>
      <c r="U752" s="1" t="s">
        <v>12821</v>
      </c>
      <c r="V752" s="1" t="s">
        <v>12822</v>
      </c>
      <c r="W752" s="1" t="s">
        <v>12823</v>
      </c>
      <c r="X752" s="1" t="s">
        <v>4386</v>
      </c>
      <c r="Y752" s="1" t="s">
        <v>12824</v>
      </c>
      <c r="Z752" s="1" t="s">
        <v>12825</v>
      </c>
      <c r="AA752" s="1" t="s">
        <v>74</v>
      </c>
      <c r="AB752" s="1" t="s">
        <v>74</v>
      </c>
      <c r="AC752" s="1" t="s">
        <v>74</v>
      </c>
      <c r="AD752" s="1" t="s">
        <v>74</v>
      </c>
      <c r="AE752" s="1" t="s">
        <v>74</v>
      </c>
      <c r="AF752" s="1" t="s">
        <v>74</v>
      </c>
      <c r="AG752" s="1">
        <v>49</v>
      </c>
      <c r="AH752" s="1">
        <v>42</v>
      </c>
      <c r="AI752" s="1">
        <v>48</v>
      </c>
      <c r="AJ752" s="1">
        <v>0</v>
      </c>
      <c r="AK752" s="1">
        <v>22</v>
      </c>
      <c r="AL752" s="1" t="s">
        <v>112</v>
      </c>
      <c r="AM752" s="1" t="s">
        <v>191</v>
      </c>
      <c r="AN752" s="1" t="s">
        <v>192</v>
      </c>
      <c r="AO752" s="1" t="s">
        <v>1207</v>
      </c>
      <c r="AP752" s="1" t="s">
        <v>74</v>
      </c>
      <c r="AQ752" s="1" t="s">
        <v>74</v>
      </c>
      <c r="AR752" s="1" t="s">
        <v>1202</v>
      </c>
      <c r="AS752" s="1" t="s">
        <v>1208</v>
      </c>
      <c r="AT752" s="1" t="s">
        <v>387</v>
      </c>
      <c r="AU752" s="1">
        <v>2005</v>
      </c>
      <c r="AV752" s="1">
        <v>540</v>
      </c>
      <c r="AW752" s="1" t="s">
        <v>74</v>
      </c>
      <c r="AX752" s="1" t="s">
        <v>74</v>
      </c>
      <c r="AY752" s="1" t="s">
        <v>74</v>
      </c>
      <c r="AZ752" s="1" t="s">
        <v>74</v>
      </c>
      <c r="BA752" s="1" t="s">
        <v>74</v>
      </c>
      <c r="BB752" s="1">
        <v>169</v>
      </c>
      <c r="BC752" s="1">
        <v>180</v>
      </c>
      <c r="BD752" s="1" t="s">
        <v>74</v>
      </c>
      <c r="BE752" s="1" t="s">
        <v>12826</v>
      </c>
      <c r="BF752" s="1" t="str">
        <f>HYPERLINK("http://dx.doi.org/10.1007/s10750-004-7134-7","http://dx.doi.org/10.1007/s10750-004-7134-7")</f>
        <v>http://dx.doi.org/10.1007/s10750-004-7134-7</v>
      </c>
      <c r="BG752" s="1" t="s">
        <v>74</v>
      </c>
      <c r="BH752" s="1" t="s">
        <v>74</v>
      </c>
      <c r="BI752" s="1">
        <v>12</v>
      </c>
      <c r="BJ752" s="1" t="s">
        <v>680</v>
      </c>
      <c r="BK752" s="1" t="s">
        <v>96</v>
      </c>
      <c r="BL752" s="1" t="s">
        <v>680</v>
      </c>
      <c r="BM752" s="1" t="s">
        <v>12827</v>
      </c>
      <c r="BN752" s="1" t="s">
        <v>74</v>
      </c>
      <c r="BO752" s="1" t="s">
        <v>74</v>
      </c>
      <c r="BP752" s="1" t="s">
        <v>74</v>
      </c>
      <c r="BQ752" s="1" t="s">
        <v>74</v>
      </c>
      <c r="BR752" s="1" t="s">
        <v>98</v>
      </c>
      <c r="BS752" s="1" t="s">
        <v>12828</v>
      </c>
      <c r="BT752" s="1" t="str">
        <f>HYPERLINK("https%3A%2F%2Fwww.webofscience.com%2Fwos%2Fwoscc%2Ffull-record%2FWOS:000231804400012","View Full Record in Web of Science")</f>
        <v>View Full Record in Web of Science</v>
      </c>
    </row>
    <row r="753" spans="1:72">
      <c r="A753" s="1" t="s">
        <v>72</v>
      </c>
      <c r="B753" s="1" t="s">
        <v>12829</v>
      </c>
      <c r="C753" s="1" t="s">
        <v>74</v>
      </c>
      <c r="D753" s="1" t="s">
        <v>74</v>
      </c>
      <c r="E753" s="1" t="s">
        <v>74</v>
      </c>
      <c r="F753" s="1" t="s">
        <v>12830</v>
      </c>
      <c r="G753" s="1" t="s">
        <v>74</v>
      </c>
      <c r="H753" s="1" t="s">
        <v>74</v>
      </c>
      <c r="I753" s="1" t="s">
        <v>12831</v>
      </c>
      <c r="J753" s="1" t="s">
        <v>275</v>
      </c>
      <c r="K753" s="1" t="s">
        <v>74</v>
      </c>
      <c r="L753" s="1" t="s">
        <v>74</v>
      </c>
      <c r="M753" s="1" t="s">
        <v>78</v>
      </c>
      <c r="N753" s="1" t="s">
        <v>79</v>
      </c>
      <c r="O753" s="1" t="s">
        <v>74</v>
      </c>
      <c r="P753" s="1" t="s">
        <v>74</v>
      </c>
      <c r="Q753" s="1" t="s">
        <v>74</v>
      </c>
      <c r="R753" s="1" t="s">
        <v>74</v>
      </c>
      <c r="S753" s="1" t="s">
        <v>74</v>
      </c>
      <c r="T753" s="1" t="s">
        <v>12832</v>
      </c>
      <c r="U753" s="1" t="s">
        <v>12833</v>
      </c>
      <c r="V753" s="1" t="s">
        <v>12834</v>
      </c>
      <c r="W753" s="1" t="s">
        <v>12835</v>
      </c>
      <c r="X753" s="1" t="s">
        <v>12836</v>
      </c>
      <c r="Y753" s="1" t="s">
        <v>12837</v>
      </c>
      <c r="Z753" s="1" t="s">
        <v>3709</v>
      </c>
      <c r="AA753" s="1" t="s">
        <v>3710</v>
      </c>
      <c r="AB753" s="1" t="s">
        <v>74</v>
      </c>
      <c r="AC753" s="1" t="s">
        <v>9142</v>
      </c>
      <c r="AD753" s="1" t="s">
        <v>9143</v>
      </c>
      <c r="AE753" s="1" t="s">
        <v>12838</v>
      </c>
      <c r="AF753" s="1" t="s">
        <v>74</v>
      </c>
      <c r="AG753" s="1">
        <v>38</v>
      </c>
      <c r="AH753" s="1">
        <v>18</v>
      </c>
      <c r="AI753" s="1">
        <v>19</v>
      </c>
      <c r="AJ753" s="1">
        <v>4</v>
      </c>
      <c r="AK753" s="1">
        <v>49</v>
      </c>
      <c r="AL753" s="1" t="s">
        <v>285</v>
      </c>
      <c r="AM753" s="1" t="s">
        <v>286</v>
      </c>
      <c r="AN753" s="1" t="s">
        <v>287</v>
      </c>
      <c r="AO753" s="1" t="s">
        <v>288</v>
      </c>
      <c r="AP753" s="1" t="s">
        <v>289</v>
      </c>
      <c r="AQ753" s="1" t="s">
        <v>74</v>
      </c>
      <c r="AR753" s="1" t="s">
        <v>290</v>
      </c>
      <c r="AS753" s="1" t="s">
        <v>291</v>
      </c>
      <c r="AT753" s="1" t="s">
        <v>951</v>
      </c>
      <c r="AU753" s="1">
        <v>2016</v>
      </c>
      <c r="AV753" s="1">
        <v>58</v>
      </c>
      <c r="AW753" s="1" t="s">
        <v>74</v>
      </c>
      <c r="AX753" s="1" t="s">
        <v>74</v>
      </c>
      <c r="AY753" s="1" t="s">
        <v>74</v>
      </c>
      <c r="AZ753" s="1" t="s">
        <v>74</v>
      </c>
      <c r="BA753" s="1" t="s">
        <v>74</v>
      </c>
      <c r="BB753" s="1">
        <v>514</v>
      </c>
      <c r="BC753" s="1">
        <v>520</v>
      </c>
      <c r="BD753" s="1" t="s">
        <v>74</v>
      </c>
      <c r="BE753" s="1" t="s">
        <v>12839</v>
      </c>
      <c r="BF753" s="1" t="str">
        <f>HYPERLINK("http://dx.doi.org/10.1016/j.fsi.2016.09.064","http://dx.doi.org/10.1016/j.fsi.2016.09.064")</f>
        <v>http://dx.doi.org/10.1016/j.fsi.2016.09.064</v>
      </c>
      <c r="BG753" s="1" t="s">
        <v>74</v>
      </c>
      <c r="BH753" s="1" t="s">
        <v>74</v>
      </c>
      <c r="BI753" s="1">
        <v>7</v>
      </c>
      <c r="BJ753" s="1" t="s">
        <v>293</v>
      </c>
      <c r="BK753" s="1" t="s">
        <v>96</v>
      </c>
      <c r="BL753" s="1" t="s">
        <v>293</v>
      </c>
      <c r="BM753" s="1" t="s">
        <v>12840</v>
      </c>
      <c r="BN753" s="1">
        <v>27702675</v>
      </c>
      <c r="BO753" s="1" t="s">
        <v>1752</v>
      </c>
      <c r="BP753" s="1" t="s">
        <v>74</v>
      </c>
      <c r="BQ753" s="1" t="s">
        <v>74</v>
      </c>
      <c r="BR753" s="1" t="s">
        <v>98</v>
      </c>
      <c r="BS753" s="1" t="s">
        <v>12841</v>
      </c>
      <c r="BT753" s="1" t="str">
        <f>HYPERLINK("https%3A%2F%2Fwww.webofscience.com%2Fwos%2Fwoscc%2Ffull-record%2FWOS:000387523100061","View Full Record in Web of Science")</f>
        <v>View Full Record in Web of Science</v>
      </c>
    </row>
    <row r="754" spans="1:72">
      <c r="A754" s="1" t="s">
        <v>72</v>
      </c>
      <c r="B754" s="1" t="s">
        <v>12842</v>
      </c>
      <c r="C754" s="1" t="s">
        <v>74</v>
      </c>
      <c r="D754" s="1" t="s">
        <v>74</v>
      </c>
      <c r="E754" s="1" t="s">
        <v>74</v>
      </c>
      <c r="F754" s="1" t="s">
        <v>12843</v>
      </c>
      <c r="G754" s="1" t="s">
        <v>74</v>
      </c>
      <c r="H754" s="1" t="s">
        <v>74</v>
      </c>
      <c r="I754" s="1" t="s">
        <v>12844</v>
      </c>
      <c r="J754" s="1" t="s">
        <v>204</v>
      </c>
      <c r="K754" s="1" t="s">
        <v>74</v>
      </c>
      <c r="L754" s="1" t="s">
        <v>74</v>
      </c>
      <c r="M754" s="1" t="s">
        <v>78</v>
      </c>
      <c r="N754" s="1" t="s">
        <v>79</v>
      </c>
      <c r="O754" s="1" t="s">
        <v>74</v>
      </c>
      <c r="P754" s="1" t="s">
        <v>74</v>
      </c>
      <c r="Q754" s="1" t="s">
        <v>74</v>
      </c>
      <c r="R754" s="1" t="s">
        <v>74</v>
      </c>
      <c r="S754" s="1" t="s">
        <v>74</v>
      </c>
      <c r="T754" s="1" t="s">
        <v>12845</v>
      </c>
      <c r="U754" s="1" t="s">
        <v>12846</v>
      </c>
      <c r="V754" s="1" t="s">
        <v>12847</v>
      </c>
      <c r="W754" s="1" t="s">
        <v>12848</v>
      </c>
      <c r="X754" s="1" t="s">
        <v>12849</v>
      </c>
      <c r="Y754" s="1" t="s">
        <v>11402</v>
      </c>
      <c r="Z754" s="1" t="s">
        <v>7427</v>
      </c>
      <c r="AA754" s="1" t="s">
        <v>74</v>
      </c>
      <c r="AB754" s="1" t="s">
        <v>74</v>
      </c>
      <c r="AC754" s="1" t="s">
        <v>12850</v>
      </c>
      <c r="AD754" s="1" t="s">
        <v>12851</v>
      </c>
      <c r="AE754" s="1" t="s">
        <v>12852</v>
      </c>
      <c r="AF754" s="1" t="s">
        <v>74</v>
      </c>
      <c r="AG754" s="1">
        <v>85</v>
      </c>
      <c r="AH754" s="1">
        <v>4</v>
      </c>
      <c r="AI754" s="1">
        <v>4</v>
      </c>
      <c r="AJ754" s="1">
        <v>2</v>
      </c>
      <c r="AK754" s="1">
        <v>24</v>
      </c>
      <c r="AL754" s="1" t="s">
        <v>217</v>
      </c>
      <c r="AM754" s="1" t="s">
        <v>218</v>
      </c>
      <c r="AN754" s="1" t="s">
        <v>219</v>
      </c>
      <c r="AO754" s="1" t="s">
        <v>220</v>
      </c>
      <c r="AP754" s="1" t="s">
        <v>221</v>
      </c>
      <c r="AQ754" s="1" t="s">
        <v>74</v>
      </c>
      <c r="AR754" s="1" t="s">
        <v>222</v>
      </c>
      <c r="AS754" s="1" t="s">
        <v>223</v>
      </c>
      <c r="AT754" s="1" t="s">
        <v>93</v>
      </c>
      <c r="AU754" s="1">
        <v>2022</v>
      </c>
      <c r="AV754" s="1">
        <v>29</v>
      </c>
      <c r="AW754" s="1">
        <v>16</v>
      </c>
      <c r="AX754" s="1" t="s">
        <v>74</v>
      </c>
      <c r="AY754" s="1" t="s">
        <v>74</v>
      </c>
      <c r="AZ754" s="1" t="s">
        <v>74</v>
      </c>
      <c r="BA754" s="1" t="s">
        <v>74</v>
      </c>
      <c r="BB754" s="1">
        <v>23338</v>
      </c>
      <c r="BC754" s="1">
        <v>23351</v>
      </c>
      <c r="BD754" s="1" t="s">
        <v>74</v>
      </c>
      <c r="BE754" s="1" t="s">
        <v>12853</v>
      </c>
      <c r="BF754" s="1" t="str">
        <f>HYPERLINK("http://dx.doi.org/10.1007/s11356-021-16877-w","http://dx.doi.org/10.1007/s11356-021-16877-w")</f>
        <v>http://dx.doi.org/10.1007/s11356-021-16877-w</v>
      </c>
      <c r="BG754" s="1" t="s">
        <v>74</v>
      </c>
      <c r="BH754" s="1" t="s">
        <v>10880</v>
      </c>
      <c r="BI754" s="1">
        <v>14</v>
      </c>
      <c r="BJ754" s="1" t="s">
        <v>144</v>
      </c>
      <c r="BK754" s="1" t="s">
        <v>96</v>
      </c>
      <c r="BL754" s="1" t="s">
        <v>145</v>
      </c>
      <c r="BM754" s="1" t="s">
        <v>12854</v>
      </c>
      <c r="BN754" s="1">
        <v>34811609</v>
      </c>
      <c r="BO754" s="1" t="s">
        <v>74</v>
      </c>
      <c r="BP754" s="1" t="s">
        <v>74</v>
      </c>
      <c r="BQ754" s="1" t="s">
        <v>74</v>
      </c>
      <c r="BR754" s="1" t="s">
        <v>98</v>
      </c>
      <c r="BS754" s="1" t="s">
        <v>12855</v>
      </c>
      <c r="BT754" s="1" t="str">
        <f>HYPERLINK("https%3A%2F%2Fwww.webofscience.com%2Fwos%2Fwoscc%2Ffull-record%2FWOS:000721458500008","View Full Record in Web of Science")</f>
        <v>View Full Record in Web of Science</v>
      </c>
    </row>
    <row r="755" spans="1:72">
      <c r="A755" s="1" t="s">
        <v>72</v>
      </c>
      <c r="B755" s="1" t="s">
        <v>12856</v>
      </c>
      <c r="C755" s="1" t="s">
        <v>74</v>
      </c>
      <c r="D755" s="1" t="s">
        <v>74</v>
      </c>
      <c r="E755" s="1" t="s">
        <v>74</v>
      </c>
      <c r="F755" s="1" t="s">
        <v>12857</v>
      </c>
      <c r="G755" s="1" t="s">
        <v>74</v>
      </c>
      <c r="H755" s="1" t="s">
        <v>74</v>
      </c>
      <c r="I755" s="1" t="s">
        <v>12858</v>
      </c>
      <c r="J755" s="1" t="s">
        <v>232</v>
      </c>
      <c r="K755" s="1" t="s">
        <v>74</v>
      </c>
      <c r="L755" s="1" t="s">
        <v>74</v>
      </c>
      <c r="M755" s="1" t="s">
        <v>78</v>
      </c>
      <c r="N755" s="1" t="s">
        <v>79</v>
      </c>
      <c r="O755" s="1" t="s">
        <v>74</v>
      </c>
      <c r="P755" s="1" t="s">
        <v>74</v>
      </c>
      <c r="Q755" s="1" t="s">
        <v>74</v>
      </c>
      <c r="R755" s="1" t="s">
        <v>74</v>
      </c>
      <c r="S755" s="1" t="s">
        <v>74</v>
      </c>
      <c r="T755" s="1" t="s">
        <v>12859</v>
      </c>
      <c r="U755" s="1" t="s">
        <v>12860</v>
      </c>
      <c r="V755" s="1" t="s">
        <v>12861</v>
      </c>
      <c r="W755" s="1" t="s">
        <v>12862</v>
      </c>
      <c r="X755" s="1" t="s">
        <v>12863</v>
      </c>
      <c r="Y755" s="1" t="s">
        <v>12864</v>
      </c>
      <c r="Z755" s="1" t="s">
        <v>12865</v>
      </c>
      <c r="AA755" s="1" t="s">
        <v>12866</v>
      </c>
      <c r="AB755" s="1" t="s">
        <v>12867</v>
      </c>
      <c r="AC755" s="1" t="s">
        <v>12868</v>
      </c>
      <c r="AD755" s="1" t="s">
        <v>12869</v>
      </c>
      <c r="AE755" s="1" t="s">
        <v>12870</v>
      </c>
      <c r="AF755" s="1" t="s">
        <v>74</v>
      </c>
      <c r="AG755" s="1">
        <v>63</v>
      </c>
      <c r="AH755" s="1">
        <v>35</v>
      </c>
      <c r="AI755" s="1">
        <v>38</v>
      </c>
      <c r="AJ755" s="1">
        <v>2</v>
      </c>
      <c r="AK755" s="1">
        <v>50</v>
      </c>
      <c r="AL755" s="1" t="s">
        <v>136</v>
      </c>
      <c r="AM755" s="1" t="s">
        <v>137</v>
      </c>
      <c r="AN755" s="1" t="s">
        <v>138</v>
      </c>
      <c r="AO755" s="1" t="s">
        <v>240</v>
      </c>
      <c r="AP755" s="1" t="s">
        <v>241</v>
      </c>
      <c r="AQ755" s="1" t="s">
        <v>74</v>
      </c>
      <c r="AR755" s="1" t="s">
        <v>242</v>
      </c>
      <c r="AS755" s="1" t="s">
        <v>243</v>
      </c>
      <c r="AT755" s="1" t="s">
        <v>142</v>
      </c>
      <c r="AU755" s="1">
        <v>2018</v>
      </c>
      <c r="AV755" s="1">
        <v>131</v>
      </c>
      <c r="AW755" s="1" t="s">
        <v>74</v>
      </c>
      <c r="AX755" s="1" t="s">
        <v>489</v>
      </c>
      <c r="AY755" s="1" t="s">
        <v>74</v>
      </c>
      <c r="AZ755" s="1" t="s">
        <v>74</v>
      </c>
      <c r="BA755" s="1" t="s">
        <v>74</v>
      </c>
      <c r="BB755" s="1">
        <v>468</v>
      </c>
      <c r="BC755" s="1">
        <v>480</v>
      </c>
      <c r="BD755" s="1" t="s">
        <v>74</v>
      </c>
      <c r="BE755" s="1" t="s">
        <v>12871</v>
      </c>
      <c r="BF755" s="1" t="str">
        <f>HYPERLINK("http://dx.doi.org/10.1016/j.marpolbul.2018.04.046","http://dx.doi.org/10.1016/j.marpolbul.2018.04.046")</f>
        <v>http://dx.doi.org/10.1016/j.marpolbul.2018.04.046</v>
      </c>
      <c r="BG755" s="1" t="s">
        <v>74</v>
      </c>
      <c r="BH755" s="1" t="s">
        <v>74</v>
      </c>
      <c r="BI755" s="1">
        <v>13</v>
      </c>
      <c r="BJ755" s="1" t="s">
        <v>247</v>
      </c>
      <c r="BK755" s="1" t="s">
        <v>96</v>
      </c>
      <c r="BL755" s="1" t="s">
        <v>248</v>
      </c>
      <c r="BM755" s="1" t="s">
        <v>491</v>
      </c>
      <c r="BN755" s="1">
        <v>29886973</v>
      </c>
      <c r="BO755" s="1" t="s">
        <v>74</v>
      </c>
      <c r="BP755" s="1" t="s">
        <v>74</v>
      </c>
      <c r="BQ755" s="1" t="s">
        <v>74</v>
      </c>
      <c r="BR755" s="1" t="s">
        <v>98</v>
      </c>
      <c r="BS755" s="1" t="s">
        <v>12872</v>
      </c>
      <c r="BT755" s="1" t="str">
        <f>HYPERLINK("https%3A%2F%2Fwww.webofscience.com%2Fwos%2Fwoscc%2Ffull-record%2FWOS:000437060300055","View Full Record in Web of Science")</f>
        <v>View Full Record in Web of Science</v>
      </c>
    </row>
    <row r="756" spans="1:72">
      <c r="A756" s="1" t="s">
        <v>72</v>
      </c>
      <c r="B756" s="1" t="s">
        <v>12873</v>
      </c>
      <c r="C756" s="1" t="s">
        <v>74</v>
      </c>
      <c r="D756" s="1" t="s">
        <v>74</v>
      </c>
      <c r="E756" s="1" t="s">
        <v>74</v>
      </c>
      <c r="F756" s="1" t="s">
        <v>12873</v>
      </c>
      <c r="G756" s="1" t="s">
        <v>74</v>
      </c>
      <c r="H756" s="1" t="s">
        <v>74</v>
      </c>
      <c r="I756" s="1" t="s">
        <v>12874</v>
      </c>
      <c r="J756" s="1" t="s">
        <v>3926</v>
      </c>
      <c r="K756" s="1" t="s">
        <v>74</v>
      </c>
      <c r="L756" s="1" t="s">
        <v>74</v>
      </c>
      <c r="M756" s="1" t="s">
        <v>78</v>
      </c>
      <c r="N756" s="1" t="s">
        <v>79</v>
      </c>
      <c r="O756" s="1" t="s">
        <v>74</v>
      </c>
      <c r="P756" s="1" t="s">
        <v>74</v>
      </c>
      <c r="Q756" s="1" t="s">
        <v>74</v>
      </c>
      <c r="R756" s="1" t="s">
        <v>74</v>
      </c>
      <c r="S756" s="1" t="s">
        <v>74</v>
      </c>
      <c r="T756" s="1" t="s">
        <v>12875</v>
      </c>
      <c r="U756" s="1" t="s">
        <v>12876</v>
      </c>
      <c r="V756" s="1" t="s">
        <v>12877</v>
      </c>
      <c r="W756" s="1" t="s">
        <v>12878</v>
      </c>
      <c r="X756" s="1" t="s">
        <v>12879</v>
      </c>
      <c r="Y756" s="1" t="s">
        <v>12880</v>
      </c>
      <c r="Z756" s="1" t="s">
        <v>12881</v>
      </c>
      <c r="AA756" s="1" t="s">
        <v>6355</v>
      </c>
      <c r="AB756" s="1" t="s">
        <v>6356</v>
      </c>
      <c r="AC756" s="1" t="s">
        <v>74</v>
      </c>
      <c r="AD756" s="1" t="s">
        <v>74</v>
      </c>
      <c r="AE756" s="1" t="s">
        <v>74</v>
      </c>
      <c r="AF756" s="1" t="s">
        <v>74</v>
      </c>
      <c r="AG756" s="1">
        <v>35</v>
      </c>
      <c r="AH756" s="1">
        <v>27</v>
      </c>
      <c r="AI756" s="1">
        <v>28</v>
      </c>
      <c r="AJ756" s="1">
        <v>1</v>
      </c>
      <c r="AK756" s="1">
        <v>13</v>
      </c>
      <c r="AL756" s="1" t="s">
        <v>919</v>
      </c>
      <c r="AM756" s="1" t="s">
        <v>651</v>
      </c>
      <c r="AN756" s="1" t="s">
        <v>920</v>
      </c>
      <c r="AO756" s="1" t="s">
        <v>3939</v>
      </c>
      <c r="AP756" s="1" t="s">
        <v>3940</v>
      </c>
      <c r="AQ756" s="1" t="s">
        <v>74</v>
      </c>
      <c r="AR756" s="1" t="s">
        <v>3926</v>
      </c>
      <c r="AS756" s="1" t="s">
        <v>3941</v>
      </c>
      <c r="AT756" s="1" t="s">
        <v>12882</v>
      </c>
      <c r="AU756" s="1">
        <v>2002</v>
      </c>
      <c r="AV756" s="1">
        <v>204</v>
      </c>
      <c r="AW756" s="1" t="s">
        <v>326</v>
      </c>
      <c r="AX756" s="1" t="s">
        <v>74</v>
      </c>
      <c r="AY756" s="1" t="s">
        <v>74</v>
      </c>
      <c r="AZ756" s="1" t="s">
        <v>74</v>
      </c>
      <c r="BA756" s="1" t="s">
        <v>74</v>
      </c>
      <c r="BB756" s="1">
        <v>157</v>
      </c>
      <c r="BC756" s="1">
        <v>166</v>
      </c>
      <c r="BD756" s="1" t="s">
        <v>74</v>
      </c>
      <c r="BE756" s="1" t="s">
        <v>12883</v>
      </c>
      <c r="BF756" s="1" t="str">
        <f>HYPERLINK("http://dx.doi.org/10.1016/S0044-8486(01)00638-X","http://dx.doi.org/10.1016/S0044-8486(01)00638-X")</f>
        <v>http://dx.doi.org/10.1016/S0044-8486(01)00638-X</v>
      </c>
      <c r="BG756" s="1" t="s">
        <v>74</v>
      </c>
      <c r="BH756" s="1" t="s">
        <v>74</v>
      </c>
      <c r="BI756" s="1">
        <v>10</v>
      </c>
      <c r="BJ756" s="1" t="s">
        <v>2391</v>
      </c>
      <c r="BK756" s="1" t="s">
        <v>96</v>
      </c>
      <c r="BL756" s="1" t="s">
        <v>2391</v>
      </c>
      <c r="BM756" s="1" t="s">
        <v>12884</v>
      </c>
      <c r="BN756" s="1" t="s">
        <v>74</v>
      </c>
      <c r="BO756" s="1" t="s">
        <v>74</v>
      </c>
      <c r="BP756" s="1" t="s">
        <v>74</v>
      </c>
      <c r="BQ756" s="1" t="s">
        <v>74</v>
      </c>
      <c r="BR756" s="1" t="s">
        <v>98</v>
      </c>
      <c r="BS756" s="1" t="s">
        <v>12885</v>
      </c>
      <c r="BT756" s="1" t="str">
        <f>HYPERLINK("https%3A%2F%2Fwww.webofscience.com%2Fwos%2Fwoscc%2Ffull-record%2FWOS:000173501800013","View Full Record in Web of Science")</f>
        <v>View Full Record in Web of Science</v>
      </c>
    </row>
    <row r="757" spans="1:72">
      <c r="A757" s="1" t="s">
        <v>72</v>
      </c>
      <c r="B757" s="1" t="s">
        <v>12886</v>
      </c>
      <c r="C757" s="1" t="s">
        <v>74</v>
      </c>
      <c r="D757" s="1" t="s">
        <v>74</v>
      </c>
      <c r="E757" s="1" t="s">
        <v>74</v>
      </c>
      <c r="F757" s="1" t="s">
        <v>12887</v>
      </c>
      <c r="G757" s="1" t="s">
        <v>74</v>
      </c>
      <c r="H757" s="1" t="s">
        <v>74</v>
      </c>
      <c r="I757" s="1" t="s">
        <v>12888</v>
      </c>
      <c r="J757" s="1" t="s">
        <v>232</v>
      </c>
      <c r="K757" s="1" t="s">
        <v>74</v>
      </c>
      <c r="L757" s="1" t="s">
        <v>74</v>
      </c>
      <c r="M757" s="1" t="s">
        <v>78</v>
      </c>
      <c r="N757" s="1" t="s">
        <v>79</v>
      </c>
      <c r="O757" s="1" t="s">
        <v>74</v>
      </c>
      <c r="P757" s="1" t="s">
        <v>74</v>
      </c>
      <c r="Q757" s="1" t="s">
        <v>74</v>
      </c>
      <c r="R757" s="1" t="s">
        <v>74</v>
      </c>
      <c r="S757" s="1" t="s">
        <v>74</v>
      </c>
      <c r="T757" s="1" t="s">
        <v>12889</v>
      </c>
      <c r="U757" s="1" t="s">
        <v>12890</v>
      </c>
      <c r="V757" s="1" t="s">
        <v>12891</v>
      </c>
      <c r="W757" s="1" t="s">
        <v>12892</v>
      </c>
      <c r="X757" s="1" t="s">
        <v>12893</v>
      </c>
      <c r="Y757" s="1" t="s">
        <v>12894</v>
      </c>
      <c r="Z757" s="1" t="s">
        <v>12895</v>
      </c>
      <c r="AA757" s="1" t="s">
        <v>12896</v>
      </c>
      <c r="AB757" s="1" t="s">
        <v>12897</v>
      </c>
      <c r="AC757" s="1" t="s">
        <v>12898</v>
      </c>
      <c r="AD757" s="1" t="s">
        <v>12898</v>
      </c>
      <c r="AE757" s="1" t="s">
        <v>12899</v>
      </c>
      <c r="AF757" s="1" t="s">
        <v>74</v>
      </c>
      <c r="AG757" s="1">
        <v>91</v>
      </c>
      <c r="AH757" s="1">
        <v>1</v>
      </c>
      <c r="AI757" s="1">
        <v>1</v>
      </c>
      <c r="AJ757" s="1">
        <v>5</v>
      </c>
      <c r="AK757" s="1">
        <v>5</v>
      </c>
      <c r="AL757" s="1" t="s">
        <v>136</v>
      </c>
      <c r="AM757" s="1" t="s">
        <v>137</v>
      </c>
      <c r="AN757" s="1" t="s">
        <v>138</v>
      </c>
      <c r="AO757" s="1" t="s">
        <v>240</v>
      </c>
      <c r="AP757" s="1" t="s">
        <v>241</v>
      </c>
      <c r="AQ757" s="1" t="s">
        <v>74</v>
      </c>
      <c r="AR757" s="1" t="s">
        <v>242</v>
      </c>
      <c r="AS757" s="1" t="s">
        <v>243</v>
      </c>
      <c r="AT757" s="1" t="s">
        <v>1223</v>
      </c>
      <c r="AU757" s="1">
        <v>2024</v>
      </c>
      <c r="AV757" s="1">
        <v>200</v>
      </c>
      <c r="AW757" s="1" t="s">
        <v>74</v>
      </c>
      <c r="AX757" s="1" t="s">
        <v>74</v>
      </c>
      <c r="AY757" s="1" t="s">
        <v>74</v>
      </c>
      <c r="AZ757" s="1" t="s">
        <v>74</v>
      </c>
      <c r="BA757" s="1" t="s">
        <v>74</v>
      </c>
      <c r="BB757" s="1" t="s">
        <v>74</v>
      </c>
      <c r="BC757" s="1" t="s">
        <v>74</v>
      </c>
      <c r="BD757" s="1">
        <v>116067</v>
      </c>
      <c r="BE757" s="1" t="s">
        <v>12900</v>
      </c>
      <c r="BF757" s="1" t="str">
        <f>HYPERLINK("http://dx.doi.org/10.1016/j.marpolbul.2024.116067","http://dx.doi.org/10.1016/j.marpolbul.2024.116067")</f>
        <v>http://dx.doi.org/10.1016/j.marpolbul.2024.116067</v>
      </c>
      <c r="BG757" s="1" t="s">
        <v>74</v>
      </c>
      <c r="BH757" s="1" t="s">
        <v>2782</v>
      </c>
      <c r="BI757" s="1">
        <v>8</v>
      </c>
      <c r="BJ757" s="1" t="s">
        <v>247</v>
      </c>
      <c r="BK757" s="1" t="s">
        <v>96</v>
      </c>
      <c r="BL757" s="1" t="s">
        <v>248</v>
      </c>
      <c r="BM757" s="1" t="s">
        <v>12901</v>
      </c>
      <c r="BN757" s="1">
        <v>38320443</v>
      </c>
      <c r="BO757" s="1" t="s">
        <v>476</v>
      </c>
      <c r="BP757" s="1" t="s">
        <v>74</v>
      </c>
      <c r="BQ757" s="1" t="s">
        <v>74</v>
      </c>
      <c r="BR757" s="1" t="s">
        <v>98</v>
      </c>
      <c r="BS757" s="1" t="s">
        <v>12902</v>
      </c>
      <c r="BT757" s="1" t="str">
        <f>HYPERLINK("https%3A%2F%2Fwww.webofscience.com%2Fwos%2Fwoscc%2Ffull-record%2FWOS:001180708400001","View Full Record in Web of Science")</f>
        <v>View Full Record in Web of Science</v>
      </c>
    </row>
    <row r="758" spans="1:72">
      <c r="A758" s="1" t="s">
        <v>72</v>
      </c>
      <c r="B758" s="1" t="s">
        <v>12903</v>
      </c>
      <c r="C758" s="1" t="s">
        <v>74</v>
      </c>
      <c r="D758" s="1" t="s">
        <v>74</v>
      </c>
      <c r="E758" s="1" t="s">
        <v>74</v>
      </c>
      <c r="F758" s="1" t="s">
        <v>12903</v>
      </c>
      <c r="G758" s="1" t="s">
        <v>74</v>
      </c>
      <c r="H758" s="1" t="s">
        <v>74</v>
      </c>
      <c r="I758" s="1" t="s">
        <v>12904</v>
      </c>
      <c r="J758" s="1" t="s">
        <v>4247</v>
      </c>
      <c r="K758" s="1" t="s">
        <v>74</v>
      </c>
      <c r="L758" s="1" t="s">
        <v>74</v>
      </c>
      <c r="M758" s="1" t="s">
        <v>78</v>
      </c>
      <c r="N758" s="1" t="s">
        <v>79</v>
      </c>
      <c r="O758" s="1" t="s">
        <v>74</v>
      </c>
      <c r="P758" s="1" t="s">
        <v>74</v>
      </c>
      <c r="Q758" s="1" t="s">
        <v>74</v>
      </c>
      <c r="R758" s="1" t="s">
        <v>74</v>
      </c>
      <c r="S758" s="1" t="s">
        <v>74</v>
      </c>
      <c r="T758" s="1" t="s">
        <v>12905</v>
      </c>
      <c r="U758" s="1" t="s">
        <v>12906</v>
      </c>
      <c r="V758" s="1" t="s">
        <v>12907</v>
      </c>
      <c r="W758" s="1" t="s">
        <v>12908</v>
      </c>
      <c r="X758" s="1" t="s">
        <v>5454</v>
      </c>
      <c r="Y758" s="1" t="s">
        <v>12909</v>
      </c>
      <c r="Z758" s="1" t="s">
        <v>74</v>
      </c>
      <c r="AA758" s="1" t="s">
        <v>74</v>
      </c>
      <c r="AB758" s="1" t="s">
        <v>74</v>
      </c>
      <c r="AC758" s="1" t="s">
        <v>74</v>
      </c>
      <c r="AD758" s="1" t="s">
        <v>74</v>
      </c>
      <c r="AE758" s="1" t="s">
        <v>74</v>
      </c>
      <c r="AF758" s="1" t="s">
        <v>74</v>
      </c>
      <c r="AG758" s="1">
        <v>51</v>
      </c>
      <c r="AH758" s="1">
        <v>4</v>
      </c>
      <c r="AI758" s="1">
        <v>5</v>
      </c>
      <c r="AJ758" s="1">
        <v>0</v>
      </c>
      <c r="AK758" s="1">
        <v>9</v>
      </c>
      <c r="AL758" s="1" t="s">
        <v>12910</v>
      </c>
      <c r="AM758" s="1" t="s">
        <v>12911</v>
      </c>
      <c r="AN758" s="1" t="s">
        <v>12912</v>
      </c>
      <c r="AO758" s="1" t="s">
        <v>4260</v>
      </c>
      <c r="AP758" s="1" t="s">
        <v>74</v>
      </c>
      <c r="AQ758" s="1" t="s">
        <v>74</v>
      </c>
      <c r="AR758" s="1" t="s">
        <v>4262</v>
      </c>
      <c r="AS758" s="1" t="s">
        <v>74</v>
      </c>
      <c r="AT758" s="1" t="s">
        <v>74</v>
      </c>
      <c r="AU758" s="1">
        <v>1994</v>
      </c>
      <c r="AV758" s="1">
        <v>42</v>
      </c>
      <c r="AW758" s="1" t="s">
        <v>326</v>
      </c>
      <c r="AX758" s="1" t="s">
        <v>74</v>
      </c>
      <c r="AY758" s="1" t="s">
        <v>74</v>
      </c>
      <c r="AZ758" s="1" t="s">
        <v>74</v>
      </c>
      <c r="BA758" s="1" t="s">
        <v>74</v>
      </c>
      <c r="BB758" s="1">
        <v>123</v>
      </c>
      <c r="BC758" s="1">
        <v>130</v>
      </c>
      <c r="BD758" s="1" t="s">
        <v>74</v>
      </c>
      <c r="BE758" s="1" t="s">
        <v>12913</v>
      </c>
      <c r="BF758" s="1" t="str">
        <f>HYPERLINK("http://dx.doi.org/10.1080/02772249409357994","http://dx.doi.org/10.1080/02772249409357994")</f>
        <v>http://dx.doi.org/10.1080/02772249409357994</v>
      </c>
      <c r="BG758" s="1" t="s">
        <v>74</v>
      </c>
      <c r="BH758" s="1" t="s">
        <v>74</v>
      </c>
      <c r="BI758" s="1">
        <v>8</v>
      </c>
      <c r="BJ758" s="1" t="s">
        <v>121</v>
      </c>
      <c r="BK758" s="1" t="s">
        <v>96</v>
      </c>
      <c r="BL758" s="1" t="s">
        <v>122</v>
      </c>
      <c r="BM758" s="1" t="s">
        <v>12914</v>
      </c>
      <c r="BN758" s="1" t="s">
        <v>74</v>
      </c>
      <c r="BO758" s="1" t="s">
        <v>74</v>
      </c>
      <c r="BP758" s="1" t="s">
        <v>74</v>
      </c>
      <c r="BQ758" s="1" t="s">
        <v>74</v>
      </c>
      <c r="BR758" s="1" t="s">
        <v>98</v>
      </c>
      <c r="BS758" s="1" t="s">
        <v>12915</v>
      </c>
      <c r="BT758" s="1" t="str">
        <f>HYPERLINK("https%3A%2F%2Fwww.webofscience.com%2Fwos%2Fwoscc%2Ffull-record%2FWOS:A1994PZ69300013","View Full Record in Web of Science")</f>
        <v>View Full Record in Web of Science</v>
      </c>
    </row>
    <row r="759" spans="1:72">
      <c r="A759" s="1" t="s">
        <v>72</v>
      </c>
      <c r="B759" s="1" t="s">
        <v>12916</v>
      </c>
      <c r="C759" s="1" t="s">
        <v>74</v>
      </c>
      <c r="D759" s="1" t="s">
        <v>74</v>
      </c>
      <c r="E759" s="1" t="s">
        <v>74</v>
      </c>
      <c r="F759" s="1" t="s">
        <v>12917</v>
      </c>
      <c r="G759" s="1" t="s">
        <v>74</v>
      </c>
      <c r="H759" s="1" t="s">
        <v>74</v>
      </c>
      <c r="I759" s="1" t="s">
        <v>12918</v>
      </c>
      <c r="J759" s="1" t="s">
        <v>12919</v>
      </c>
      <c r="K759" s="1" t="s">
        <v>74</v>
      </c>
      <c r="L759" s="1" t="s">
        <v>74</v>
      </c>
      <c r="M759" s="1" t="s">
        <v>78</v>
      </c>
      <c r="N759" s="1" t="s">
        <v>79</v>
      </c>
      <c r="O759" s="1" t="s">
        <v>74</v>
      </c>
      <c r="P759" s="1" t="s">
        <v>74</v>
      </c>
      <c r="Q759" s="1" t="s">
        <v>74</v>
      </c>
      <c r="R759" s="1" t="s">
        <v>74</v>
      </c>
      <c r="S759" s="1" t="s">
        <v>74</v>
      </c>
      <c r="T759" s="1" t="s">
        <v>12920</v>
      </c>
      <c r="U759" s="1" t="s">
        <v>12921</v>
      </c>
      <c r="V759" s="1" t="s">
        <v>12922</v>
      </c>
      <c r="W759" s="1" t="s">
        <v>12923</v>
      </c>
      <c r="X759" s="1" t="s">
        <v>12924</v>
      </c>
      <c r="Y759" s="1" t="s">
        <v>12925</v>
      </c>
      <c r="Z759" s="1" t="s">
        <v>12926</v>
      </c>
      <c r="AA759" s="1" t="s">
        <v>74</v>
      </c>
      <c r="AB759" s="1" t="s">
        <v>12927</v>
      </c>
      <c r="AC759" s="1" t="s">
        <v>74</v>
      </c>
      <c r="AD759" s="1" t="s">
        <v>74</v>
      </c>
      <c r="AE759" s="1" t="s">
        <v>74</v>
      </c>
      <c r="AF759" s="1" t="s">
        <v>74</v>
      </c>
      <c r="AG759" s="1">
        <v>53</v>
      </c>
      <c r="AH759" s="1">
        <v>2</v>
      </c>
      <c r="AI759" s="1">
        <v>2</v>
      </c>
      <c r="AJ759" s="1">
        <v>2</v>
      </c>
      <c r="AK759" s="1">
        <v>17</v>
      </c>
      <c r="AL759" s="1" t="s">
        <v>112</v>
      </c>
      <c r="AM759" s="1" t="s">
        <v>113</v>
      </c>
      <c r="AN759" s="1" t="s">
        <v>114</v>
      </c>
      <c r="AO759" s="1" t="s">
        <v>12928</v>
      </c>
      <c r="AP759" s="1" t="s">
        <v>12929</v>
      </c>
      <c r="AQ759" s="1" t="s">
        <v>74</v>
      </c>
      <c r="AR759" s="1" t="s">
        <v>12930</v>
      </c>
      <c r="AS759" s="1" t="s">
        <v>12931</v>
      </c>
      <c r="AT759" s="1" t="s">
        <v>119</v>
      </c>
      <c r="AU759" s="1">
        <v>2020</v>
      </c>
      <c r="AV759" s="1">
        <v>22</v>
      </c>
      <c r="AW759" s="1">
        <v>4</v>
      </c>
      <c r="AX759" s="1" t="s">
        <v>74</v>
      </c>
      <c r="AY759" s="1" t="s">
        <v>74</v>
      </c>
      <c r="AZ759" s="1" t="s">
        <v>74</v>
      </c>
      <c r="BA759" s="1" t="s">
        <v>74</v>
      </c>
      <c r="BB759" s="1">
        <v>488</v>
      </c>
      <c r="BC759" s="1">
        <v>497</v>
      </c>
      <c r="BD759" s="1" t="s">
        <v>74</v>
      </c>
      <c r="BE759" s="1" t="s">
        <v>12932</v>
      </c>
      <c r="BF759" s="1" t="str">
        <f>HYPERLINK("http://dx.doi.org/10.1007/s10126-020-09970-7","http://dx.doi.org/10.1007/s10126-020-09970-7")</f>
        <v>http://dx.doi.org/10.1007/s10126-020-09970-7</v>
      </c>
      <c r="BG759" s="1" t="s">
        <v>74</v>
      </c>
      <c r="BH759" s="1" t="s">
        <v>1588</v>
      </c>
      <c r="BI759" s="1">
        <v>10</v>
      </c>
      <c r="BJ759" s="1" t="s">
        <v>12933</v>
      </c>
      <c r="BK759" s="1" t="s">
        <v>96</v>
      </c>
      <c r="BL759" s="1" t="s">
        <v>12933</v>
      </c>
      <c r="BM759" s="1" t="s">
        <v>12934</v>
      </c>
      <c r="BN759" s="1">
        <v>32435938</v>
      </c>
      <c r="BO759" s="1" t="s">
        <v>74</v>
      </c>
      <c r="BP759" s="1" t="s">
        <v>74</v>
      </c>
      <c r="BQ759" s="1" t="s">
        <v>74</v>
      </c>
      <c r="BR759" s="1" t="s">
        <v>98</v>
      </c>
      <c r="BS759" s="1" t="s">
        <v>12935</v>
      </c>
      <c r="BT759" s="1" t="str">
        <f>HYPERLINK("https%3A%2F%2Fwww.webofscience.com%2Fwos%2Fwoscc%2Ffull-record%2FWOS:000535211700001","View Full Record in Web of Science")</f>
        <v>View Full Record in Web of Science</v>
      </c>
    </row>
    <row r="760" spans="1:72">
      <c r="A760" s="1" t="s">
        <v>72</v>
      </c>
      <c r="B760" s="1" t="s">
        <v>12936</v>
      </c>
      <c r="C760" s="1" t="s">
        <v>74</v>
      </c>
      <c r="D760" s="1" t="s">
        <v>74</v>
      </c>
      <c r="E760" s="1" t="s">
        <v>74</v>
      </c>
      <c r="F760" s="1" t="s">
        <v>12937</v>
      </c>
      <c r="G760" s="1" t="s">
        <v>74</v>
      </c>
      <c r="H760" s="1" t="s">
        <v>74</v>
      </c>
      <c r="I760" s="1" t="s">
        <v>12938</v>
      </c>
      <c r="J760" s="1" t="s">
        <v>3349</v>
      </c>
      <c r="K760" s="1" t="s">
        <v>74</v>
      </c>
      <c r="L760" s="1" t="s">
        <v>74</v>
      </c>
      <c r="M760" s="1" t="s">
        <v>78</v>
      </c>
      <c r="N760" s="1" t="s">
        <v>79</v>
      </c>
      <c r="O760" s="1" t="s">
        <v>74</v>
      </c>
      <c r="P760" s="1" t="s">
        <v>74</v>
      </c>
      <c r="Q760" s="1" t="s">
        <v>74</v>
      </c>
      <c r="R760" s="1" t="s">
        <v>74</v>
      </c>
      <c r="S760" s="1" t="s">
        <v>74</v>
      </c>
      <c r="T760" s="1" t="s">
        <v>12939</v>
      </c>
      <c r="U760" s="1" t="s">
        <v>12940</v>
      </c>
      <c r="V760" s="1" t="s">
        <v>12941</v>
      </c>
      <c r="W760" s="1" t="s">
        <v>12942</v>
      </c>
      <c r="X760" s="1" t="s">
        <v>12943</v>
      </c>
      <c r="Y760" s="1" t="s">
        <v>12944</v>
      </c>
      <c r="Z760" s="1" t="s">
        <v>12945</v>
      </c>
      <c r="AA760" s="1" t="s">
        <v>12946</v>
      </c>
      <c r="AB760" s="1" t="s">
        <v>12947</v>
      </c>
      <c r="AC760" s="1" t="s">
        <v>12948</v>
      </c>
      <c r="AD760" s="1" t="s">
        <v>12949</v>
      </c>
      <c r="AE760" s="1" t="s">
        <v>12950</v>
      </c>
      <c r="AF760" s="1" t="s">
        <v>74</v>
      </c>
      <c r="AG760" s="1">
        <v>69</v>
      </c>
      <c r="AH760" s="1">
        <v>22</v>
      </c>
      <c r="AI760" s="1">
        <v>26</v>
      </c>
      <c r="AJ760" s="1">
        <v>0</v>
      </c>
      <c r="AK760" s="1">
        <v>128</v>
      </c>
      <c r="AL760" s="1" t="s">
        <v>3362</v>
      </c>
      <c r="AM760" s="1" t="s">
        <v>3363</v>
      </c>
      <c r="AN760" s="1" t="s">
        <v>3364</v>
      </c>
      <c r="AO760" s="1" t="s">
        <v>3365</v>
      </c>
      <c r="AP760" s="1" t="s">
        <v>3366</v>
      </c>
      <c r="AQ760" s="1" t="s">
        <v>74</v>
      </c>
      <c r="AR760" s="1" t="s">
        <v>3367</v>
      </c>
      <c r="AS760" s="1" t="s">
        <v>3368</v>
      </c>
      <c r="AT760" s="1" t="s">
        <v>10334</v>
      </c>
      <c r="AU760" s="1">
        <v>2013</v>
      </c>
      <c r="AV760" s="1">
        <v>91</v>
      </c>
      <c r="AW760" s="1" t="s">
        <v>74</v>
      </c>
      <c r="AX760" s="1" t="s">
        <v>74</v>
      </c>
      <c r="AY760" s="1" t="s">
        <v>74</v>
      </c>
      <c r="AZ760" s="1" t="s">
        <v>74</v>
      </c>
      <c r="BA760" s="1" t="s">
        <v>74</v>
      </c>
      <c r="BB760" s="1">
        <v>180</v>
      </c>
      <c r="BC760" s="1">
        <v>187</v>
      </c>
      <c r="BD760" s="1" t="s">
        <v>74</v>
      </c>
      <c r="BE760" s="1" t="s">
        <v>12951</v>
      </c>
      <c r="BF760" s="1" t="str">
        <f>HYPERLINK("http://dx.doi.org/10.1016/j.ecoenv.2013.02.001","http://dx.doi.org/10.1016/j.ecoenv.2013.02.001")</f>
        <v>http://dx.doi.org/10.1016/j.ecoenv.2013.02.001</v>
      </c>
      <c r="BG760" s="1" t="s">
        <v>74</v>
      </c>
      <c r="BH760" s="1" t="s">
        <v>74</v>
      </c>
      <c r="BI760" s="1">
        <v>8</v>
      </c>
      <c r="BJ760" s="1" t="s">
        <v>121</v>
      </c>
      <c r="BK760" s="1" t="s">
        <v>96</v>
      </c>
      <c r="BL760" s="1" t="s">
        <v>122</v>
      </c>
      <c r="BM760" s="1" t="s">
        <v>12952</v>
      </c>
      <c r="BN760" s="1">
        <v>23466146</v>
      </c>
      <c r="BO760" s="1" t="s">
        <v>74</v>
      </c>
      <c r="BP760" s="1" t="s">
        <v>74</v>
      </c>
      <c r="BQ760" s="1" t="s">
        <v>74</v>
      </c>
      <c r="BR760" s="1" t="s">
        <v>98</v>
      </c>
      <c r="BS760" s="1" t="s">
        <v>12953</v>
      </c>
      <c r="BT760" s="1" t="str">
        <f>HYPERLINK("https%3A%2F%2Fwww.webofscience.com%2Fwos%2Fwoscc%2Ffull-record%2FWOS:000317030400024","View Full Record in Web of Science")</f>
        <v>View Full Record in Web of Science</v>
      </c>
    </row>
    <row r="761" spans="1:72">
      <c r="A761" s="1" t="s">
        <v>72</v>
      </c>
      <c r="B761" s="1" t="s">
        <v>12954</v>
      </c>
      <c r="C761" s="1" t="s">
        <v>74</v>
      </c>
      <c r="D761" s="1" t="s">
        <v>74</v>
      </c>
      <c r="E761" s="1" t="s">
        <v>74</v>
      </c>
      <c r="F761" s="1" t="s">
        <v>12954</v>
      </c>
      <c r="G761" s="1" t="s">
        <v>74</v>
      </c>
      <c r="H761" s="1" t="s">
        <v>74</v>
      </c>
      <c r="I761" s="1" t="s">
        <v>12955</v>
      </c>
      <c r="J761" s="1" t="s">
        <v>232</v>
      </c>
      <c r="K761" s="1" t="s">
        <v>74</v>
      </c>
      <c r="L761" s="1" t="s">
        <v>74</v>
      </c>
      <c r="M761" s="1" t="s">
        <v>78</v>
      </c>
      <c r="N761" s="1" t="s">
        <v>79</v>
      </c>
      <c r="O761" s="1" t="s">
        <v>74</v>
      </c>
      <c r="P761" s="1" t="s">
        <v>74</v>
      </c>
      <c r="Q761" s="1" t="s">
        <v>74</v>
      </c>
      <c r="R761" s="1" t="s">
        <v>74</v>
      </c>
      <c r="S761" s="1" t="s">
        <v>74</v>
      </c>
      <c r="T761" s="1" t="s">
        <v>12956</v>
      </c>
      <c r="U761" s="1" t="s">
        <v>12957</v>
      </c>
      <c r="V761" s="1" t="s">
        <v>12958</v>
      </c>
      <c r="W761" s="1" t="s">
        <v>12959</v>
      </c>
      <c r="X761" s="1" t="s">
        <v>12960</v>
      </c>
      <c r="Y761" s="1" t="s">
        <v>12961</v>
      </c>
      <c r="Z761" s="1" t="s">
        <v>12962</v>
      </c>
      <c r="AA761" s="1" t="s">
        <v>12963</v>
      </c>
      <c r="AB761" s="1" t="s">
        <v>12964</v>
      </c>
      <c r="AC761" s="1" t="s">
        <v>74</v>
      </c>
      <c r="AD761" s="1" t="s">
        <v>74</v>
      </c>
      <c r="AE761" s="1" t="s">
        <v>74</v>
      </c>
      <c r="AF761" s="1" t="s">
        <v>74</v>
      </c>
      <c r="AG761" s="1">
        <v>61</v>
      </c>
      <c r="AH761" s="1">
        <v>59</v>
      </c>
      <c r="AI761" s="1">
        <v>69</v>
      </c>
      <c r="AJ761" s="1">
        <v>0</v>
      </c>
      <c r="AK761" s="1">
        <v>21</v>
      </c>
      <c r="AL761" s="1" t="s">
        <v>136</v>
      </c>
      <c r="AM761" s="1" t="s">
        <v>137</v>
      </c>
      <c r="AN761" s="1" t="s">
        <v>138</v>
      </c>
      <c r="AO761" s="1" t="s">
        <v>240</v>
      </c>
      <c r="AP761" s="1" t="s">
        <v>241</v>
      </c>
      <c r="AQ761" s="1" t="s">
        <v>74</v>
      </c>
      <c r="AR761" s="1" t="s">
        <v>242</v>
      </c>
      <c r="AS761" s="1" t="s">
        <v>243</v>
      </c>
      <c r="AT761" s="1" t="s">
        <v>197</v>
      </c>
      <c r="AU761" s="1">
        <v>2005</v>
      </c>
      <c r="AV761" s="1">
        <v>50</v>
      </c>
      <c r="AW761" s="1">
        <v>12</v>
      </c>
      <c r="AX761" s="1" t="s">
        <v>74</v>
      </c>
      <c r="AY761" s="1" t="s">
        <v>74</v>
      </c>
      <c r="AZ761" s="1" t="s">
        <v>74</v>
      </c>
      <c r="BA761" s="1" t="s">
        <v>74</v>
      </c>
      <c r="BB761" s="1">
        <v>1530</v>
      </c>
      <c r="BC761" s="1">
        <v>1540</v>
      </c>
      <c r="BD761" s="1" t="s">
        <v>74</v>
      </c>
      <c r="BE761" s="1" t="s">
        <v>12965</v>
      </c>
      <c r="BF761" s="1" t="str">
        <f>HYPERLINK("http://dx.doi.org/10.1016/j.marpolbul.2005.06.020","http://dx.doi.org/10.1016/j.marpolbul.2005.06.020")</f>
        <v>http://dx.doi.org/10.1016/j.marpolbul.2005.06.020</v>
      </c>
      <c r="BG761" s="1" t="s">
        <v>74</v>
      </c>
      <c r="BH761" s="1" t="s">
        <v>74</v>
      </c>
      <c r="BI761" s="1">
        <v>11</v>
      </c>
      <c r="BJ761" s="1" t="s">
        <v>247</v>
      </c>
      <c r="BK761" s="1" t="s">
        <v>96</v>
      </c>
      <c r="BL761" s="1" t="s">
        <v>248</v>
      </c>
      <c r="BM761" s="1" t="s">
        <v>9157</v>
      </c>
      <c r="BN761" s="1">
        <v>16085111</v>
      </c>
      <c r="BO761" s="1" t="s">
        <v>810</v>
      </c>
      <c r="BP761" s="1" t="s">
        <v>74</v>
      </c>
      <c r="BQ761" s="1" t="s">
        <v>74</v>
      </c>
      <c r="BR761" s="1" t="s">
        <v>98</v>
      </c>
      <c r="BS761" s="1" t="s">
        <v>12966</v>
      </c>
      <c r="BT761" s="1" t="str">
        <f>HYPERLINK("https%3A%2F%2Fwww.webofscience.com%2Fwos%2Fwoscc%2Ffull-record%2FWOS:000234236600019","View Full Record in Web of Science")</f>
        <v>View Full Record in Web of Science</v>
      </c>
    </row>
    <row r="762" spans="1:72">
      <c r="A762" s="1" t="s">
        <v>72</v>
      </c>
      <c r="B762" s="1" t="s">
        <v>12967</v>
      </c>
      <c r="C762" s="1" t="s">
        <v>74</v>
      </c>
      <c r="D762" s="1" t="s">
        <v>74</v>
      </c>
      <c r="E762" s="1" t="s">
        <v>74</v>
      </c>
      <c r="F762" s="1" t="s">
        <v>12968</v>
      </c>
      <c r="G762" s="1" t="s">
        <v>74</v>
      </c>
      <c r="H762" s="1" t="s">
        <v>74</v>
      </c>
      <c r="I762" s="1" t="s">
        <v>12969</v>
      </c>
      <c r="J762" s="1" t="s">
        <v>12970</v>
      </c>
      <c r="K762" s="1" t="s">
        <v>74</v>
      </c>
      <c r="L762" s="1" t="s">
        <v>74</v>
      </c>
      <c r="M762" s="1" t="s">
        <v>78</v>
      </c>
      <c r="N762" s="1" t="s">
        <v>79</v>
      </c>
      <c r="O762" s="1" t="s">
        <v>74</v>
      </c>
      <c r="P762" s="1" t="s">
        <v>74</v>
      </c>
      <c r="Q762" s="1" t="s">
        <v>74</v>
      </c>
      <c r="R762" s="1" t="s">
        <v>74</v>
      </c>
      <c r="S762" s="1" t="s">
        <v>74</v>
      </c>
      <c r="T762" s="1" t="s">
        <v>74</v>
      </c>
      <c r="U762" s="1" t="s">
        <v>74</v>
      </c>
      <c r="V762" s="1" t="s">
        <v>12971</v>
      </c>
      <c r="W762" s="1" t="s">
        <v>12972</v>
      </c>
      <c r="X762" s="1" t="s">
        <v>74</v>
      </c>
      <c r="Y762" s="1" t="s">
        <v>12973</v>
      </c>
      <c r="Z762" s="1" t="s">
        <v>12974</v>
      </c>
      <c r="AA762" s="1" t="s">
        <v>12975</v>
      </c>
      <c r="AB762" s="1" t="s">
        <v>12976</v>
      </c>
      <c r="AC762" s="1" t="s">
        <v>74</v>
      </c>
      <c r="AD762" s="1" t="s">
        <v>74</v>
      </c>
      <c r="AE762" s="1" t="s">
        <v>74</v>
      </c>
      <c r="AF762" s="1" t="s">
        <v>74</v>
      </c>
      <c r="AG762" s="1">
        <v>0</v>
      </c>
      <c r="AH762" s="1">
        <v>4</v>
      </c>
      <c r="AI762" s="1">
        <v>4</v>
      </c>
      <c r="AJ762" s="1">
        <v>2</v>
      </c>
      <c r="AK762" s="1">
        <v>3</v>
      </c>
      <c r="AL762" s="1" t="s">
        <v>12977</v>
      </c>
      <c r="AM762" s="1" t="s">
        <v>4197</v>
      </c>
      <c r="AN762" s="1" t="s">
        <v>12978</v>
      </c>
      <c r="AO762" s="1" t="s">
        <v>12979</v>
      </c>
      <c r="AP762" s="1" t="s">
        <v>74</v>
      </c>
      <c r="AQ762" s="1" t="s">
        <v>74</v>
      </c>
      <c r="AR762" s="1" t="s">
        <v>12980</v>
      </c>
      <c r="AS762" s="1" t="s">
        <v>12981</v>
      </c>
      <c r="AT762" s="1" t="s">
        <v>305</v>
      </c>
      <c r="AU762" s="1">
        <v>2012</v>
      </c>
      <c r="AV762" s="1">
        <v>1</v>
      </c>
      <c r="AW762" s="1">
        <v>3</v>
      </c>
      <c r="AX762" s="1" t="s">
        <v>74</v>
      </c>
      <c r="AY762" s="1" t="s">
        <v>74</v>
      </c>
      <c r="AZ762" s="1" t="s">
        <v>74</v>
      </c>
      <c r="BA762" s="1" t="s">
        <v>74</v>
      </c>
      <c r="BB762" s="1">
        <v>171</v>
      </c>
      <c r="BC762" s="1">
        <v>178</v>
      </c>
      <c r="BD762" s="1" t="s">
        <v>74</v>
      </c>
      <c r="BE762" s="1" t="s">
        <v>12982</v>
      </c>
      <c r="BF762" s="1" t="str">
        <f>HYPERLINK("http://dx.doi.org/10.3391/bir.2012.1.3.03","http://dx.doi.org/10.3391/bir.2012.1.3.03")</f>
        <v>http://dx.doi.org/10.3391/bir.2012.1.3.03</v>
      </c>
      <c r="BG762" s="1" t="s">
        <v>74</v>
      </c>
      <c r="BH762" s="1" t="s">
        <v>74</v>
      </c>
      <c r="BI762" s="1">
        <v>8</v>
      </c>
      <c r="BJ762" s="1" t="s">
        <v>12983</v>
      </c>
      <c r="BK762" s="1" t="s">
        <v>96</v>
      </c>
      <c r="BL762" s="1" t="s">
        <v>12984</v>
      </c>
      <c r="BM762" s="1" t="s">
        <v>12985</v>
      </c>
      <c r="BN762" s="1" t="s">
        <v>74</v>
      </c>
      <c r="BO762" s="1" t="s">
        <v>12986</v>
      </c>
      <c r="BP762" s="1" t="s">
        <v>74</v>
      </c>
      <c r="BQ762" s="1" t="s">
        <v>74</v>
      </c>
      <c r="BR762" s="1" t="s">
        <v>98</v>
      </c>
      <c r="BS762" s="1" t="s">
        <v>12987</v>
      </c>
      <c r="BT762" s="1" t="str">
        <f>HYPERLINK("https%3A%2F%2Fwww.webofscience.com%2Fwos%2Fwoscc%2Ffull-record%2FWOS:000316556700003","View Full Record in Web of Science")</f>
        <v>View Full Record in Web of Science</v>
      </c>
    </row>
    <row r="763" spans="1:72">
      <c r="A763" s="1" t="s">
        <v>72</v>
      </c>
      <c r="B763" s="1" t="s">
        <v>12988</v>
      </c>
      <c r="C763" s="1" t="s">
        <v>74</v>
      </c>
      <c r="D763" s="1" t="s">
        <v>74</v>
      </c>
      <c r="E763" s="1" t="s">
        <v>74</v>
      </c>
      <c r="F763" s="1" t="s">
        <v>12989</v>
      </c>
      <c r="G763" s="1" t="s">
        <v>74</v>
      </c>
      <c r="H763" s="1" t="s">
        <v>74</v>
      </c>
      <c r="I763" s="1" t="s">
        <v>12990</v>
      </c>
      <c r="J763" s="1" t="s">
        <v>6753</v>
      </c>
      <c r="K763" s="1" t="s">
        <v>74</v>
      </c>
      <c r="L763" s="1" t="s">
        <v>74</v>
      </c>
      <c r="M763" s="1" t="s">
        <v>78</v>
      </c>
      <c r="N763" s="1" t="s">
        <v>79</v>
      </c>
      <c r="O763" s="1" t="s">
        <v>74</v>
      </c>
      <c r="P763" s="1" t="s">
        <v>74</v>
      </c>
      <c r="Q763" s="1" t="s">
        <v>74</v>
      </c>
      <c r="R763" s="1" t="s">
        <v>74</v>
      </c>
      <c r="S763" s="1" t="s">
        <v>74</v>
      </c>
      <c r="T763" s="1" t="s">
        <v>12991</v>
      </c>
      <c r="U763" s="1" t="s">
        <v>12992</v>
      </c>
      <c r="V763" s="1" t="s">
        <v>12993</v>
      </c>
      <c r="W763" s="1" t="s">
        <v>12994</v>
      </c>
      <c r="X763" s="1" t="s">
        <v>12995</v>
      </c>
      <c r="Y763" s="1" t="s">
        <v>12996</v>
      </c>
      <c r="Z763" s="1" t="s">
        <v>12997</v>
      </c>
      <c r="AA763" s="1" t="s">
        <v>12998</v>
      </c>
      <c r="AB763" s="1" t="s">
        <v>12999</v>
      </c>
      <c r="AC763" s="1" t="s">
        <v>74</v>
      </c>
      <c r="AD763" s="1" t="s">
        <v>74</v>
      </c>
      <c r="AE763" s="1" t="s">
        <v>74</v>
      </c>
      <c r="AF763" s="1" t="s">
        <v>74</v>
      </c>
      <c r="AG763" s="1">
        <v>33</v>
      </c>
      <c r="AH763" s="1">
        <v>1</v>
      </c>
      <c r="AI763" s="1">
        <v>1</v>
      </c>
      <c r="AJ763" s="1">
        <v>1</v>
      </c>
      <c r="AK763" s="1">
        <v>14</v>
      </c>
      <c r="AL763" s="1" t="s">
        <v>6763</v>
      </c>
      <c r="AM763" s="1" t="s">
        <v>6764</v>
      </c>
      <c r="AN763" s="1" t="s">
        <v>6765</v>
      </c>
      <c r="AO763" s="1" t="s">
        <v>6766</v>
      </c>
      <c r="AP763" s="1" t="s">
        <v>6767</v>
      </c>
      <c r="AQ763" s="1" t="s">
        <v>74</v>
      </c>
      <c r="AR763" s="1" t="s">
        <v>6768</v>
      </c>
      <c r="AS763" s="1" t="s">
        <v>6769</v>
      </c>
      <c r="AT763" s="1" t="s">
        <v>197</v>
      </c>
      <c r="AU763" s="1">
        <v>2011</v>
      </c>
      <c r="AV763" s="1">
        <v>11</v>
      </c>
      <c r="AW763" s="1">
        <v>4</v>
      </c>
      <c r="AX763" s="1" t="s">
        <v>74</v>
      </c>
      <c r="AY763" s="1" t="s">
        <v>74</v>
      </c>
      <c r="AZ763" s="1" t="s">
        <v>74</v>
      </c>
      <c r="BA763" s="1" t="s">
        <v>74</v>
      </c>
      <c r="BB763" s="1">
        <v>561</v>
      </c>
      <c r="BC763" s="1">
        <v>568</v>
      </c>
      <c r="BD763" s="1" t="s">
        <v>74</v>
      </c>
      <c r="BE763" s="1" t="s">
        <v>13000</v>
      </c>
      <c r="BF763" s="1" t="str">
        <f>HYPERLINK("http://dx.doi.org/10.4194/1303-2712-v11_4_09","http://dx.doi.org/10.4194/1303-2712-v11_4_09")</f>
        <v>http://dx.doi.org/10.4194/1303-2712-v11_4_09</v>
      </c>
      <c r="BG763" s="1" t="s">
        <v>74</v>
      </c>
      <c r="BH763" s="1" t="s">
        <v>74</v>
      </c>
      <c r="BI763" s="1">
        <v>8</v>
      </c>
      <c r="BJ763" s="1" t="s">
        <v>2391</v>
      </c>
      <c r="BK763" s="1" t="s">
        <v>96</v>
      </c>
      <c r="BL763" s="1" t="s">
        <v>2391</v>
      </c>
      <c r="BM763" s="1" t="s">
        <v>13001</v>
      </c>
      <c r="BN763" s="1" t="s">
        <v>74</v>
      </c>
      <c r="BO763" s="1" t="s">
        <v>74</v>
      </c>
      <c r="BP763" s="1" t="s">
        <v>74</v>
      </c>
      <c r="BQ763" s="1" t="s">
        <v>74</v>
      </c>
      <c r="BR763" s="1" t="s">
        <v>98</v>
      </c>
      <c r="BS763" s="1" t="s">
        <v>13002</v>
      </c>
      <c r="BT763" s="1" t="str">
        <f>HYPERLINK("https%3A%2F%2Fwww.webofscience.com%2Fwos%2Fwoscc%2Ffull-record%2FWOS:000302580800007","View Full Record in Web of Science")</f>
        <v>View Full Record in Web of Science</v>
      </c>
    </row>
    <row r="764" spans="1:72">
      <c r="A764" s="1" t="s">
        <v>72</v>
      </c>
      <c r="B764" s="1" t="s">
        <v>13003</v>
      </c>
      <c r="C764" s="1" t="s">
        <v>74</v>
      </c>
      <c r="D764" s="1" t="s">
        <v>74</v>
      </c>
      <c r="E764" s="1" t="s">
        <v>74</v>
      </c>
      <c r="F764" s="1" t="s">
        <v>13004</v>
      </c>
      <c r="G764" s="1" t="s">
        <v>74</v>
      </c>
      <c r="H764" s="1" t="s">
        <v>74</v>
      </c>
      <c r="I764" s="1" t="s">
        <v>13005</v>
      </c>
      <c r="J764" s="1" t="s">
        <v>7097</v>
      </c>
      <c r="K764" s="1" t="s">
        <v>74</v>
      </c>
      <c r="L764" s="1" t="s">
        <v>74</v>
      </c>
      <c r="M764" s="1" t="s">
        <v>78</v>
      </c>
      <c r="N764" s="1" t="s">
        <v>79</v>
      </c>
      <c r="O764" s="1" t="s">
        <v>74</v>
      </c>
      <c r="P764" s="1" t="s">
        <v>74</v>
      </c>
      <c r="Q764" s="1" t="s">
        <v>74</v>
      </c>
      <c r="R764" s="1" t="s">
        <v>74</v>
      </c>
      <c r="S764" s="1" t="s">
        <v>74</v>
      </c>
      <c r="T764" s="1" t="s">
        <v>13006</v>
      </c>
      <c r="U764" s="1" t="s">
        <v>13007</v>
      </c>
      <c r="V764" s="1" t="s">
        <v>13008</v>
      </c>
      <c r="W764" s="1" t="s">
        <v>13009</v>
      </c>
      <c r="X764" s="1" t="s">
        <v>13010</v>
      </c>
      <c r="Y764" s="1" t="s">
        <v>13011</v>
      </c>
      <c r="Z764" s="1" t="s">
        <v>13012</v>
      </c>
      <c r="AA764" s="1" t="s">
        <v>13013</v>
      </c>
      <c r="AB764" s="1" t="s">
        <v>5491</v>
      </c>
      <c r="AC764" s="1" t="s">
        <v>13014</v>
      </c>
      <c r="AD764" s="1" t="s">
        <v>13015</v>
      </c>
      <c r="AE764" s="1" t="s">
        <v>13016</v>
      </c>
      <c r="AF764" s="1" t="s">
        <v>74</v>
      </c>
      <c r="AG764" s="1">
        <v>85</v>
      </c>
      <c r="AH764" s="1">
        <v>2</v>
      </c>
      <c r="AI764" s="1">
        <v>2</v>
      </c>
      <c r="AJ764" s="1">
        <v>7</v>
      </c>
      <c r="AK764" s="1">
        <v>9</v>
      </c>
      <c r="AL764" s="1" t="s">
        <v>650</v>
      </c>
      <c r="AM764" s="1" t="s">
        <v>651</v>
      </c>
      <c r="AN764" s="1" t="s">
        <v>652</v>
      </c>
      <c r="AO764" s="1" t="s">
        <v>7110</v>
      </c>
      <c r="AP764" s="1" t="s">
        <v>7111</v>
      </c>
      <c r="AQ764" s="1" t="s">
        <v>74</v>
      </c>
      <c r="AR764" s="1" t="s">
        <v>7112</v>
      </c>
      <c r="AS764" s="1" t="s">
        <v>7113</v>
      </c>
      <c r="AT764" s="1" t="s">
        <v>1470</v>
      </c>
      <c r="AU764" s="1">
        <v>2024</v>
      </c>
      <c r="AV764" s="1">
        <v>158</v>
      </c>
      <c r="AW764" s="1" t="s">
        <v>74</v>
      </c>
      <c r="AX764" s="1" t="s">
        <v>74</v>
      </c>
      <c r="AY764" s="1" t="s">
        <v>74</v>
      </c>
      <c r="AZ764" s="1" t="s">
        <v>74</v>
      </c>
      <c r="BA764" s="1" t="s">
        <v>74</v>
      </c>
      <c r="BB764" s="1" t="s">
        <v>74</v>
      </c>
      <c r="BC764" s="1" t="s">
        <v>74</v>
      </c>
      <c r="BD764" s="1">
        <v>111431</v>
      </c>
      <c r="BE764" s="1" t="s">
        <v>13017</v>
      </c>
      <c r="BF764" s="1" t="str">
        <f>HYPERLINK("http://dx.doi.org/10.1016/j.ecolind.2023.111431","http://dx.doi.org/10.1016/j.ecolind.2023.111431")</f>
        <v>http://dx.doi.org/10.1016/j.ecolind.2023.111431</v>
      </c>
      <c r="BG764" s="1" t="s">
        <v>74</v>
      </c>
      <c r="BH764" s="1" t="s">
        <v>3832</v>
      </c>
      <c r="BI764" s="1">
        <v>15</v>
      </c>
      <c r="BJ764" s="1" t="s">
        <v>4923</v>
      </c>
      <c r="BK764" s="1" t="s">
        <v>96</v>
      </c>
      <c r="BL764" s="1" t="s">
        <v>4924</v>
      </c>
      <c r="BM764" s="1" t="s">
        <v>13018</v>
      </c>
      <c r="BN764" s="1" t="s">
        <v>74</v>
      </c>
      <c r="BO764" s="1" t="s">
        <v>873</v>
      </c>
      <c r="BP764" s="1" t="s">
        <v>74</v>
      </c>
      <c r="BQ764" s="1" t="s">
        <v>74</v>
      </c>
      <c r="BR764" s="1" t="s">
        <v>98</v>
      </c>
      <c r="BS764" s="1" t="s">
        <v>13019</v>
      </c>
      <c r="BT764" s="1" t="str">
        <f>HYPERLINK("https%3A%2F%2Fwww.webofscience.com%2Fwos%2Fwoscc%2Ffull-record%2FWOS:001147329400001","View Full Record in Web of Science")</f>
        <v>View Full Record in Web of Science</v>
      </c>
    </row>
    <row r="765" spans="1:72">
      <c r="A765" s="1" t="s">
        <v>72</v>
      </c>
      <c r="B765" s="1" t="s">
        <v>13020</v>
      </c>
      <c r="C765" s="1" t="s">
        <v>74</v>
      </c>
      <c r="D765" s="1" t="s">
        <v>74</v>
      </c>
      <c r="E765" s="1" t="s">
        <v>74</v>
      </c>
      <c r="F765" s="1" t="s">
        <v>13021</v>
      </c>
      <c r="G765" s="1" t="s">
        <v>74</v>
      </c>
      <c r="H765" s="1" t="s">
        <v>74</v>
      </c>
      <c r="I765" s="1" t="s">
        <v>13022</v>
      </c>
      <c r="J765" s="1" t="s">
        <v>127</v>
      </c>
      <c r="K765" s="1" t="s">
        <v>74</v>
      </c>
      <c r="L765" s="1" t="s">
        <v>74</v>
      </c>
      <c r="M765" s="1" t="s">
        <v>78</v>
      </c>
      <c r="N765" s="1" t="s">
        <v>79</v>
      </c>
      <c r="O765" s="1" t="s">
        <v>74</v>
      </c>
      <c r="P765" s="1" t="s">
        <v>74</v>
      </c>
      <c r="Q765" s="1" t="s">
        <v>74</v>
      </c>
      <c r="R765" s="1" t="s">
        <v>74</v>
      </c>
      <c r="S765" s="1" t="s">
        <v>74</v>
      </c>
      <c r="T765" s="1" t="s">
        <v>13023</v>
      </c>
      <c r="U765" s="1" t="s">
        <v>13024</v>
      </c>
      <c r="V765" s="1" t="s">
        <v>13025</v>
      </c>
      <c r="W765" s="1" t="s">
        <v>13026</v>
      </c>
      <c r="X765" s="1" t="s">
        <v>9507</v>
      </c>
      <c r="Y765" s="1" t="s">
        <v>13027</v>
      </c>
      <c r="Z765" s="1" t="s">
        <v>12809</v>
      </c>
      <c r="AA765" s="1" t="s">
        <v>13028</v>
      </c>
      <c r="AB765" s="1" t="s">
        <v>13029</v>
      </c>
      <c r="AC765" s="1" t="s">
        <v>13030</v>
      </c>
      <c r="AD765" s="1" t="s">
        <v>13031</v>
      </c>
      <c r="AE765" s="1" t="s">
        <v>13032</v>
      </c>
      <c r="AF765" s="1" t="s">
        <v>74</v>
      </c>
      <c r="AG765" s="1">
        <v>39</v>
      </c>
      <c r="AH765" s="1">
        <v>41</v>
      </c>
      <c r="AI765" s="1">
        <v>48</v>
      </c>
      <c r="AJ765" s="1">
        <v>1</v>
      </c>
      <c r="AK765" s="1">
        <v>19</v>
      </c>
      <c r="AL765" s="1" t="s">
        <v>136</v>
      </c>
      <c r="AM765" s="1" t="s">
        <v>137</v>
      </c>
      <c r="AN765" s="1" t="s">
        <v>138</v>
      </c>
      <c r="AO765" s="1" t="s">
        <v>139</v>
      </c>
      <c r="AP765" s="1" t="s">
        <v>140</v>
      </c>
      <c r="AQ765" s="1" t="s">
        <v>74</v>
      </c>
      <c r="AR765" s="1" t="s">
        <v>127</v>
      </c>
      <c r="AS765" s="1" t="s">
        <v>141</v>
      </c>
      <c r="AT765" s="1" t="s">
        <v>951</v>
      </c>
      <c r="AU765" s="1">
        <v>2009</v>
      </c>
      <c r="AV765" s="1">
        <v>77</v>
      </c>
      <c r="AW765" s="1">
        <v>7</v>
      </c>
      <c r="AX765" s="1" t="s">
        <v>74</v>
      </c>
      <c r="AY765" s="1" t="s">
        <v>74</v>
      </c>
      <c r="AZ765" s="1" t="s">
        <v>74</v>
      </c>
      <c r="BA765" s="1" t="s">
        <v>74</v>
      </c>
      <c r="BB765" s="1">
        <v>902</v>
      </c>
      <c r="BC765" s="1">
        <v>906</v>
      </c>
      <c r="BD765" s="1" t="s">
        <v>74</v>
      </c>
      <c r="BE765" s="1" t="s">
        <v>13033</v>
      </c>
      <c r="BF765" s="1" t="str">
        <f>HYPERLINK("http://dx.doi.org/10.1016/j.chemosphere.2009.08.041","http://dx.doi.org/10.1016/j.chemosphere.2009.08.041")</f>
        <v>http://dx.doi.org/10.1016/j.chemosphere.2009.08.041</v>
      </c>
      <c r="BG765" s="1" t="s">
        <v>74</v>
      </c>
      <c r="BH765" s="1" t="s">
        <v>74</v>
      </c>
      <c r="BI765" s="1">
        <v>5</v>
      </c>
      <c r="BJ765" s="1" t="s">
        <v>144</v>
      </c>
      <c r="BK765" s="1" t="s">
        <v>96</v>
      </c>
      <c r="BL765" s="1" t="s">
        <v>145</v>
      </c>
      <c r="BM765" s="1" t="s">
        <v>13034</v>
      </c>
      <c r="BN765" s="1">
        <v>19758679</v>
      </c>
      <c r="BO765" s="1" t="s">
        <v>74</v>
      </c>
      <c r="BP765" s="1" t="s">
        <v>74</v>
      </c>
      <c r="BQ765" s="1" t="s">
        <v>74</v>
      </c>
      <c r="BR765" s="1" t="s">
        <v>98</v>
      </c>
      <c r="BS765" s="1" t="s">
        <v>13035</v>
      </c>
      <c r="BT765" s="1" t="str">
        <f>HYPERLINK("https%3A%2F%2Fwww.webofscience.com%2Fwos%2Fwoscc%2Ffull-record%2FWOS:000271992200004","View Full Record in Web of Science")</f>
        <v>View Full Record in Web of Science</v>
      </c>
    </row>
    <row r="766" spans="1:72">
      <c r="A766" s="1" t="s">
        <v>72</v>
      </c>
      <c r="B766" s="1" t="s">
        <v>13036</v>
      </c>
      <c r="C766" s="1" t="s">
        <v>74</v>
      </c>
      <c r="D766" s="1" t="s">
        <v>74</v>
      </c>
      <c r="E766" s="1" t="s">
        <v>74</v>
      </c>
      <c r="F766" s="1" t="s">
        <v>13036</v>
      </c>
      <c r="G766" s="1" t="s">
        <v>74</v>
      </c>
      <c r="H766" s="1" t="s">
        <v>74</v>
      </c>
      <c r="I766" s="1" t="s">
        <v>13037</v>
      </c>
      <c r="J766" s="1" t="s">
        <v>1756</v>
      </c>
      <c r="K766" s="1" t="s">
        <v>74</v>
      </c>
      <c r="L766" s="1" t="s">
        <v>74</v>
      </c>
      <c r="M766" s="1" t="s">
        <v>78</v>
      </c>
      <c r="N766" s="1" t="s">
        <v>79</v>
      </c>
      <c r="O766" s="1" t="s">
        <v>74</v>
      </c>
      <c r="P766" s="1" t="s">
        <v>74</v>
      </c>
      <c r="Q766" s="1" t="s">
        <v>74</v>
      </c>
      <c r="R766" s="1" t="s">
        <v>74</v>
      </c>
      <c r="S766" s="1" t="s">
        <v>74</v>
      </c>
      <c r="T766" s="1" t="s">
        <v>13038</v>
      </c>
      <c r="U766" s="1" t="s">
        <v>13039</v>
      </c>
      <c r="V766" s="1" t="s">
        <v>13040</v>
      </c>
      <c r="W766" s="1" t="s">
        <v>3693</v>
      </c>
      <c r="X766" s="1" t="s">
        <v>13041</v>
      </c>
      <c r="Y766" s="1" t="s">
        <v>3695</v>
      </c>
      <c r="Z766" s="1" t="s">
        <v>3696</v>
      </c>
      <c r="AA766" s="1" t="s">
        <v>1689</v>
      </c>
      <c r="AB766" s="1" t="s">
        <v>649</v>
      </c>
      <c r="AC766" s="1" t="s">
        <v>74</v>
      </c>
      <c r="AD766" s="1" t="s">
        <v>74</v>
      </c>
      <c r="AE766" s="1" t="s">
        <v>74</v>
      </c>
      <c r="AF766" s="1" t="s">
        <v>74</v>
      </c>
      <c r="AG766" s="1">
        <v>31</v>
      </c>
      <c r="AH766" s="1">
        <v>79</v>
      </c>
      <c r="AI766" s="1">
        <v>87</v>
      </c>
      <c r="AJ766" s="1">
        <v>0</v>
      </c>
      <c r="AK766" s="1">
        <v>18</v>
      </c>
      <c r="AL766" s="1" t="s">
        <v>86</v>
      </c>
      <c r="AM766" s="1" t="s">
        <v>87</v>
      </c>
      <c r="AN766" s="1" t="s">
        <v>88</v>
      </c>
      <c r="AO766" s="1" t="s">
        <v>1764</v>
      </c>
      <c r="AP766" s="1" t="s">
        <v>1765</v>
      </c>
      <c r="AQ766" s="1" t="s">
        <v>74</v>
      </c>
      <c r="AR766" s="1" t="s">
        <v>1766</v>
      </c>
      <c r="AS766" s="1" t="s">
        <v>1767</v>
      </c>
      <c r="AT766" s="1" t="s">
        <v>951</v>
      </c>
      <c r="AU766" s="1">
        <v>1999</v>
      </c>
      <c r="AV766" s="1">
        <v>18</v>
      </c>
      <c r="AW766" s="1">
        <v>11</v>
      </c>
      <c r="AX766" s="1" t="s">
        <v>74</v>
      </c>
      <c r="AY766" s="1" t="s">
        <v>74</v>
      </c>
      <c r="AZ766" s="1" t="s">
        <v>74</v>
      </c>
      <c r="BA766" s="1" t="s">
        <v>74</v>
      </c>
      <c r="BB766" s="1">
        <v>2472</v>
      </c>
      <c r="BC766" s="1">
        <v>2477</v>
      </c>
      <c r="BD766" s="1" t="s">
        <v>74</v>
      </c>
      <c r="BE766" s="1" t="s">
        <v>13042</v>
      </c>
      <c r="BF766" s="1" t="str">
        <f>HYPERLINK("http://dx.doi.org/10.1002/etc.5620181113","http://dx.doi.org/10.1002/etc.5620181113")</f>
        <v>http://dx.doi.org/10.1002/etc.5620181113</v>
      </c>
      <c r="BG766" s="1" t="s">
        <v>74</v>
      </c>
      <c r="BH766" s="1" t="s">
        <v>74</v>
      </c>
      <c r="BI766" s="1">
        <v>6</v>
      </c>
      <c r="BJ766" s="1" t="s">
        <v>121</v>
      </c>
      <c r="BK766" s="1" t="s">
        <v>96</v>
      </c>
      <c r="BL766" s="1" t="s">
        <v>122</v>
      </c>
      <c r="BM766" s="1" t="s">
        <v>3698</v>
      </c>
      <c r="BN766" s="1" t="s">
        <v>74</v>
      </c>
      <c r="BO766" s="1" t="s">
        <v>74</v>
      </c>
      <c r="BP766" s="1" t="s">
        <v>74</v>
      </c>
      <c r="BQ766" s="1" t="s">
        <v>74</v>
      </c>
      <c r="BR766" s="1" t="s">
        <v>98</v>
      </c>
      <c r="BS766" s="1" t="s">
        <v>13043</v>
      </c>
      <c r="BT766" s="1" t="str">
        <f>HYPERLINK("https%3A%2F%2Fwww.webofscience.com%2Fwos%2Fwoscc%2Ffull-record%2FWOS:000083271100013","View Full Record in Web of Science")</f>
        <v>View Full Record in Web of Science</v>
      </c>
    </row>
    <row r="767" spans="1:72">
      <c r="A767" s="1" t="s">
        <v>72</v>
      </c>
      <c r="B767" s="1" t="s">
        <v>13044</v>
      </c>
      <c r="C767" s="1" t="s">
        <v>74</v>
      </c>
      <c r="D767" s="1" t="s">
        <v>74</v>
      </c>
      <c r="E767" s="1" t="s">
        <v>74</v>
      </c>
      <c r="F767" s="1" t="s">
        <v>13044</v>
      </c>
      <c r="G767" s="1" t="s">
        <v>74</v>
      </c>
      <c r="H767" s="1" t="s">
        <v>74</v>
      </c>
      <c r="I767" s="1" t="s">
        <v>13045</v>
      </c>
      <c r="J767" s="1" t="s">
        <v>704</v>
      </c>
      <c r="K767" s="1" t="s">
        <v>74</v>
      </c>
      <c r="L767" s="1" t="s">
        <v>74</v>
      </c>
      <c r="M767" s="1" t="s">
        <v>78</v>
      </c>
      <c r="N767" s="1" t="s">
        <v>79</v>
      </c>
      <c r="O767" s="1" t="s">
        <v>74</v>
      </c>
      <c r="P767" s="1" t="s">
        <v>74</v>
      </c>
      <c r="Q767" s="1" t="s">
        <v>74</v>
      </c>
      <c r="R767" s="1" t="s">
        <v>74</v>
      </c>
      <c r="S767" s="1" t="s">
        <v>74</v>
      </c>
      <c r="T767" s="1" t="s">
        <v>13046</v>
      </c>
      <c r="U767" s="1" t="s">
        <v>13047</v>
      </c>
      <c r="V767" s="1" t="s">
        <v>13048</v>
      </c>
      <c r="W767" s="1" t="s">
        <v>13049</v>
      </c>
      <c r="X767" s="1" t="s">
        <v>13050</v>
      </c>
      <c r="Y767" s="1" t="s">
        <v>13051</v>
      </c>
      <c r="Z767" s="1" t="s">
        <v>13052</v>
      </c>
      <c r="AA767" s="1" t="s">
        <v>13053</v>
      </c>
      <c r="AB767" s="1" t="s">
        <v>13054</v>
      </c>
      <c r="AC767" s="1" t="s">
        <v>74</v>
      </c>
      <c r="AD767" s="1" t="s">
        <v>74</v>
      </c>
      <c r="AE767" s="1" t="s">
        <v>74</v>
      </c>
      <c r="AF767" s="1" t="s">
        <v>74</v>
      </c>
      <c r="AG767" s="1">
        <v>29</v>
      </c>
      <c r="AH767" s="1">
        <v>48</v>
      </c>
      <c r="AI767" s="1">
        <v>51</v>
      </c>
      <c r="AJ767" s="1">
        <v>0</v>
      </c>
      <c r="AK767" s="1">
        <v>15</v>
      </c>
      <c r="AL767" s="1" t="s">
        <v>112</v>
      </c>
      <c r="AM767" s="1" t="s">
        <v>191</v>
      </c>
      <c r="AN767" s="1" t="s">
        <v>192</v>
      </c>
      <c r="AO767" s="1" t="s">
        <v>718</v>
      </c>
      <c r="AP767" s="1" t="s">
        <v>74</v>
      </c>
      <c r="AQ767" s="1" t="s">
        <v>74</v>
      </c>
      <c r="AR767" s="1" t="s">
        <v>719</v>
      </c>
      <c r="AS767" s="1" t="s">
        <v>720</v>
      </c>
      <c r="AT767" s="1" t="s">
        <v>224</v>
      </c>
      <c r="AU767" s="1">
        <v>2000</v>
      </c>
      <c r="AV767" s="1">
        <v>118</v>
      </c>
      <c r="AW767" s="1" t="s">
        <v>326</v>
      </c>
      <c r="AX767" s="1" t="s">
        <v>74</v>
      </c>
      <c r="AY767" s="1" t="s">
        <v>74</v>
      </c>
      <c r="AZ767" s="1" t="s">
        <v>74</v>
      </c>
      <c r="BA767" s="1" t="s">
        <v>74</v>
      </c>
      <c r="BB767" s="1">
        <v>65</v>
      </c>
      <c r="BC767" s="1">
        <v>72</v>
      </c>
      <c r="BD767" s="1" t="s">
        <v>74</v>
      </c>
      <c r="BE767" s="1" t="s">
        <v>13055</v>
      </c>
      <c r="BF767" s="1" t="str">
        <f>HYPERLINK("http://dx.doi.org/10.1023/A:1005109801683","http://dx.doi.org/10.1023/A:1005109801683")</f>
        <v>http://dx.doi.org/10.1023/A:1005109801683</v>
      </c>
      <c r="BG767" s="1" t="s">
        <v>74</v>
      </c>
      <c r="BH767" s="1" t="s">
        <v>74</v>
      </c>
      <c r="BI767" s="1">
        <v>8</v>
      </c>
      <c r="BJ767" s="1" t="s">
        <v>722</v>
      </c>
      <c r="BK767" s="1" t="s">
        <v>96</v>
      </c>
      <c r="BL767" s="1" t="s">
        <v>723</v>
      </c>
      <c r="BM767" s="1" t="s">
        <v>13056</v>
      </c>
      <c r="BN767" s="1" t="s">
        <v>74</v>
      </c>
      <c r="BO767" s="1" t="s">
        <v>74</v>
      </c>
      <c r="BP767" s="1" t="s">
        <v>74</v>
      </c>
      <c r="BQ767" s="1" t="s">
        <v>74</v>
      </c>
      <c r="BR767" s="1" t="s">
        <v>98</v>
      </c>
      <c r="BS767" s="1" t="s">
        <v>13057</v>
      </c>
      <c r="BT767" s="1" t="str">
        <f>HYPERLINK("https%3A%2F%2Fwww.webofscience.com%2Fwos%2Fwoscc%2Ffull-record%2FWOS:000085313800006","View Full Record in Web of Science")</f>
        <v>View Full Record in Web of Science</v>
      </c>
    </row>
    <row r="768" spans="1:72">
      <c r="A768" s="1" t="s">
        <v>72</v>
      </c>
      <c r="B768" s="1" t="s">
        <v>13058</v>
      </c>
      <c r="C768" s="1" t="s">
        <v>74</v>
      </c>
      <c r="D768" s="1" t="s">
        <v>74</v>
      </c>
      <c r="E768" s="1" t="s">
        <v>74</v>
      </c>
      <c r="F768" s="1" t="s">
        <v>13059</v>
      </c>
      <c r="G768" s="1" t="s">
        <v>74</v>
      </c>
      <c r="H768" s="1" t="s">
        <v>74</v>
      </c>
      <c r="I768" s="1" t="s">
        <v>13060</v>
      </c>
      <c r="J768" s="1" t="s">
        <v>13061</v>
      </c>
      <c r="K768" s="1" t="s">
        <v>74</v>
      </c>
      <c r="L768" s="1" t="s">
        <v>74</v>
      </c>
      <c r="M768" s="1" t="s">
        <v>78</v>
      </c>
      <c r="N768" s="1" t="s">
        <v>79</v>
      </c>
      <c r="O768" s="1" t="s">
        <v>74</v>
      </c>
      <c r="P768" s="1" t="s">
        <v>74</v>
      </c>
      <c r="Q768" s="1" t="s">
        <v>74</v>
      </c>
      <c r="R768" s="1" t="s">
        <v>74</v>
      </c>
      <c r="S768" s="1" t="s">
        <v>74</v>
      </c>
      <c r="T768" s="1" t="s">
        <v>13062</v>
      </c>
      <c r="U768" s="1" t="s">
        <v>13063</v>
      </c>
      <c r="V768" s="1" t="s">
        <v>13064</v>
      </c>
      <c r="W768" s="1" t="s">
        <v>13065</v>
      </c>
      <c r="X768" s="1" t="s">
        <v>13066</v>
      </c>
      <c r="Y768" s="1" t="s">
        <v>13067</v>
      </c>
      <c r="Z768" s="1" t="s">
        <v>13068</v>
      </c>
      <c r="AA768" s="1" t="s">
        <v>13069</v>
      </c>
      <c r="AB768" s="1" t="s">
        <v>74</v>
      </c>
      <c r="AC768" s="1" t="s">
        <v>13070</v>
      </c>
      <c r="AD768" s="1" t="s">
        <v>13071</v>
      </c>
      <c r="AE768" s="1" t="s">
        <v>13072</v>
      </c>
      <c r="AF768" s="1" t="s">
        <v>74</v>
      </c>
      <c r="AG768" s="1">
        <v>9</v>
      </c>
      <c r="AH768" s="1">
        <v>1</v>
      </c>
      <c r="AI768" s="1">
        <v>1</v>
      </c>
      <c r="AJ768" s="1">
        <v>0</v>
      </c>
      <c r="AK768" s="1">
        <v>1</v>
      </c>
      <c r="AL768" s="1" t="s">
        <v>13073</v>
      </c>
      <c r="AM768" s="1" t="s">
        <v>13074</v>
      </c>
      <c r="AN768" s="1" t="s">
        <v>13075</v>
      </c>
      <c r="AO768" s="1" t="s">
        <v>13076</v>
      </c>
      <c r="AP768" s="1" t="s">
        <v>74</v>
      </c>
      <c r="AQ768" s="1" t="s">
        <v>74</v>
      </c>
      <c r="AR768" s="1" t="s">
        <v>13077</v>
      </c>
      <c r="AS768" s="1" t="s">
        <v>13078</v>
      </c>
      <c r="AT768" s="1" t="s">
        <v>93</v>
      </c>
      <c r="AU768" s="1">
        <v>2013</v>
      </c>
      <c r="AV768" s="1">
        <v>11</v>
      </c>
      <c r="AW768" s="1" t="s">
        <v>74</v>
      </c>
      <c r="AX768" s="1" t="s">
        <v>74</v>
      </c>
      <c r="AY768" s="1" t="s">
        <v>74</v>
      </c>
      <c r="AZ768" s="1" t="s">
        <v>74</v>
      </c>
      <c r="BA768" s="1" t="s">
        <v>74</v>
      </c>
      <c r="BB768" s="1">
        <v>283</v>
      </c>
      <c r="BC768" s="1">
        <v>291</v>
      </c>
      <c r="BD768" s="1" t="s">
        <v>74</v>
      </c>
      <c r="BE768" s="1" t="s">
        <v>13079</v>
      </c>
      <c r="BF768" s="1" t="str">
        <f>HYPERLINK("http://dx.doi.org/10.1016/S1665-6423(13)71538-4","http://dx.doi.org/10.1016/S1665-6423(13)71538-4")</f>
        <v>http://dx.doi.org/10.1016/S1665-6423(13)71538-4</v>
      </c>
      <c r="BG768" s="1" t="s">
        <v>74</v>
      </c>
      <c r="BH768" s="1" t="s">
        <v>74</v>
      </c>
      <c r="BI768" s="1">
        <v>9</v>
      </c>
      <c r="BJ768" s="1" t="s">
        <v>74</v>
      </c>
      <c r="BK768" s="1" t="s">
        <v>96</v>
      </c>
      <c r="BL768" s="1" t="s">
        <v>74</v>
      </c>
      <c r="BM768" s="1" t="s">
        <v>13080</v>
      </c>
      <c r="BN768" s="1" t="s">
        <v>74</v>
      </c>
      <c r="BO768" s="1" t="s">
        <v>12986</v>
      </c>
      <c r="BP768" s="1" t="s">
        <v>74</v>
      </c>
      <c r="BQ768" s="1" t="s">
        <v>74</v>
      </c>
      <c r="BR768" s="1" t="s">
        <v>98</v>
      </c>
      <c r="BS768" s="1" t="s">
        <v>13081</v>
      </c>
      <c r="BT768" s="1" t="str">
        <f>HYPERLINK("https%3A%2F%2Fwww.webofscience.com%2Fwos%2Fwoscc%2Ffull-record%2FWOS:000318207900012","View Full Record in Web of Science")</f>
        <v>View Full Record in Web of Science</v>
      </c>
    </row>
    <row r="769" spans="1:72">
      <c r="A769" s="1" t="s">
        <v>72</v>
      </c>
      <c r="B769" s="1" t="s">
        <v>13082</v>
      </c>
      <c r="C769" s="1" t="s">
        <v>74</v>
      </c>
      <c r="D769" s="1" t="s">
        <v>74</v>
      </c>
      <c r="E769" s="1" t="s">
        <v>74</v>
      </c>
      <c r="F769" s="1" t="s">
        <v>13083</v>
      </c>
      <c r="G769" s="1" t="s">
        <v>74</v>
      </c>
      <c r="H769" s="1" t="s">
        <v>74</v>
      </c>
      <c r="I769" s="1" t="s">
        <v>13084</v>
      </c>
      <c r="J769" s="1" t="s">
        <v>641</v>
      </c>
      <c r="K769" s="1" t="s">
        <v>74</v>
      </c>
      <c r="L769" s="1" t="s">
        <v>74</v>
      </c>
      <c r="M769" s="1" t="s">
        <v>78</v>
      </c>
      <c r="N769" s="1" t="s">
        <v>79</v>
      </c>
      <c r="O769" s="1" t="s">
        <v>74</v>
      </c>
      <c r="P769" s="1" t="s">
        <v>74</v>
      </c>
      <c r="Q769" s="1" t="s">
        <v>74</v>
      </c>
      <c r="R769" s="1" t="s">
        <v>74</v>
      </c>
      <c r="S769" s="1" t="s">
        <v>74</v>
      </c>
      <c r="T769" s="1" t="s">
        <v>13085</v>
      </c>
      <c r="U769" s="1" t="s">
        <v>13086</v>
      </c>
      <c r="V769" s="1" t="s">
        <v>13087</v>
      </c>
      <c r="W769" s="1" t="s">
        <v>13088</v>
      </c>
      <c r="X769" s="1" t="s">
        <v>13089</v>
      </c>
      <c r="Y769" s="1" t="s">
        <v>13090</v>
      </c>
      <c r="Z769" s="1" t="s">
        <v>13091</v>
      </c>
      <c r="AA769" s="1" t="s">
        <v>13092</v>
      </c>
      <c r="AB769" s="1" t="s">
        <v>74</v>
      </c>
      <c r="AC769" s="1" t="s">
        <v>13093</v>
      </c>
      <c r="AD769" s="1" t="s">
        <v>13094</v>
      </c>
      <c r="AE769" s="1" t="s">
        <v>13095</v>
      </c>
      <c r="AF769" s="1" t="s">
        <v>74</v>
      </c>
      <c r="AG769" s="1">
        <v>32</v>
      </c>
      <c r="AH769" s="1">
        <v>34</v>
      </c>
      <c r="AI769" s="1">
        <v>41</v>
      </c>
      <c r="AJ769" s="1">
        <v>0</v>
      </c>
      <c r="AK769" s="1">
        <v>21</v>
      </c>
      <c r="AL769" s="1" t="s">
        <v>919</v>
      </c>
      <c r="AM769" s="1" t="s">
        <v>651</v>
      </c>
      <c r="AN769" s="1" t="s">
        <v>920</v>
      </c>
      <c r="AO769" s="1" t="s">
        <v>653</v>
      </c>
      <c r="AP769" s="1" t="s">
        <v>654</v>
      </c>
      <c r="AQ769" s="1" t="s">
        <v>74</v>
      </c>
      <c r="AR769" s="1" t="s">
        <v>655</v>
      </c>
      <c r="AS769" s="1" t="s">
        <v>656</v>
      </c>
      <c r="AT769" s="1" t="s">
        <v>546</v>
      </c>
      <c r="AU769" s="1">
        <v>2010</v>
      </c>
      <c r="AV769" s="1">
        <v>100</v>
      </c>
      <c r="AW769" s="1">
        <v>4</v>
      </c>
      <c r="AX769" s="1" t="s">
        <v>74</v>
      </c>
      <c r="AY769" s="1" t="s">
        <v>74</v>
      </c>
      <c r="AZ769" s="1" t="s">
        <v>74</v>
      </c>
      <c r="BA769" s="1" t="s">
        <v>74</v>
      </c>
      <c r="BB769" s="1">
        <v>303</v>
      </c>
      <c r="BC769" s="1">
        <v>312</v>
      </c>
      <c r="BD769" s="1" t="s">
        <v>74</v>
      </c>
      <c r="BE769" s="1" t="s">
        <v>13096</v>
      </c>
      <c r="BF769" s="1" t="str">
        <f>HYPERLINK("http://dx.doi.org/10.1016/j.aquatox.2010.07.027","http://dx.doi.org/10.1016/j.aquatox.2010.07.027")</f>
        <v>http://dx.doi.org/10.1016/j.aquatox.2010.07.027</v>
      </c>
      <c r="BG769" s="1" t="s">
        <v>74</v>
      </c>
      <c r="BH769" s="1" t="s">
        <v>74</v>
      </c>
      <c r="BI769" s="1">
        <v>10</v>
      </c>
      <c r="BJ769" s="1" t="s">
        <v>659</v>
      </c>
      <c r="BK769" s="1" t="s">
        <v>96</v>
      </c>
      <c r="BL769" s="1" t="s">
        <v>659</v>
      </c>
      <c r="BM769" s="1" t="s">
        <v>1490</v>
      </c>
      <c r="BN769" s="1">
        <v>20843564</v>
      </c>
      <c r="BO769" s="1" t="s">
        <v>74</v>
      </c>
      <c r="BP769" s="1" t="s">
        <v>74</v>
      </c>
      <c r="BQ769" s="1" t="s">
        <v>74</v>
      </c>
      <c r="BR769" s="1" t="s">
        <v>98</v>
      </c>
      <c r="BS769" s="1" t="s">
        <v>13097</v>
      </c>
      <c r="BT769" s="1" t="str">
        <f>HYPERLINK("https%3A%2F%2Fwww.webofscience.com%2Fwos%2Fwoscc%2Ffull-record%2FWOS:000284787200001","View Full Record in Web of Science")</f>
        <v>View Full Record in Web of Science</v>
      </c>
    </row>
    <row r="770" spans="1:72">
      <c r="A770" s="1" t="s">
        <v>72</v>
      </c>
      <c r="B770" s="1" t="s">
        <v>13098</v>
      </c>
      <c r="C770" s="1" t="s">
        <v>74</v>
      </c>
      <c r="D770" s="1" t="s">
        <v>74</v>
      </c>
      <c r="E770" s="1" t="s">
        <v>74</v>
      </c>
      <c r="F770" s="1" t="s">
        <v>13098</v>
      </c>
      <c r="G770" s="1" t="s">
        <v>74</v>
      </c>
      <c r="H770" s="1" t="s">
        <v>74</v>
      </c>
      <c r="I770" s="1" t="s">
        <v>13099</v>
      </c>
      <c r="J770" s="1" t="s">
        <v>13100</v>
      </c>
      <c r="K770" s="1" t="s">
        <v>74</v>
      </c>
      <c r="L770" s="1" t="s">
        <v>74</v>
      </c>
      <c r="M770" s="1" t="s">
        <v>78</v>
      </c>
      <c r="N770" s="1" t="s">
        <v>79</v>
      </c>
      <c r="O770" s="1" t="s">
        <v>74</v>
      </c>
      <c r="P770" s="1" t="s">
        <v>74</v>
      </c>
      <c r="Q770" s="1" t="s">
        <v>74</v>
      </c>
      <c r="R770" s="1" t="s">
        <v>74</v>
      </c>
      <c r="S770" s="1" t="s">
        <v>74</v>
      </c>
      <c r="T770" s="1" t="s">
        <v>13101</v>
      </c>
      <c r="U770" s="1" t="s">
        <v>13102</v>
      </c>
      <c r="V770" s="1" t="s">
        <v>13103</v>
      </c>
      <c r="W770" s="1" t="s">
        <v>13104</v>
      </c>
      <c r="X770" s="1" t="s">
        <v>13105</v>
      </c>
      <c r="Y770" s="1" t="s">
        <v>13106</v>
      </c>
      <c r="Z770" s="1" t="s">
        <v>74</v>
      </c>
      <c r="AA770" s="1" t="s">
        <v>2334</v>
      </c>
      <c r="AB770" s="1" t="s">
        <v>9616</v>
      </c>
      <c r="AC770" s="1" t="s">
        <v>74</v>
      </c>
      <c r="AD770" s="1" t="s">
        <v>74</v>
      </c>
      <c r="AE770" s="1" t="s">
        <v>74</v>
      </c>
      <c r="AF770" s="1" t="s">
        <v>74</v>
      </c>
      <c r="AG770" s="1">
        <v>24</v>
      </c>
      <c r="AH770" s="1">
        <v>32</v>
      </c>
      <c r="AI770" s="1">
        <v>36</v>
      </c>
      <c r="AJ770" s="1">
        <v>0</v>
      </c>
      <c r="AK770" s="1">
        <v>10</v>
      </c>
      <c r="AL770" s="1" t="s">
        <v>136</v>
      </c>
      <c r="AM770" s="1" t="s">
        <v>137</v>
      </c>
      <c r="AN770" s="1" t="s">
        <v>138</v>
      </c>
      <c r="AO770" s="1" t="s">
        <v>13107</v>
      </c>
      <c r="AP770" s="1" t="s">
        <v>74</v>
      </c>
      <c r="AQ770" s="1" t="s">
        <v>74</v>
      </c>
      <c r="AR770" s="1" t="s">
        <v>13108</v>
      </c>
      <c r="AS770" s="1" t="s">
        <v>13109</v>
      </c>
      <c r="AT770" s="1" t="s">
        <v>305</v>
      </c>
      <c r="AU770" s="1">
        <v>2000</v>
      </c>
      <c r="AV770" s="1">
        <v>30</v>
      </c>
      <c r="AW770" s="1">
        <v>10</v>
      </c>
      <c r="AX770" s="1" t="s">
        <v>74</v>
      </c>
      <c r="AY770" s="1" t="s">
        <v>74</v>
      </c>
      <c r="AZ770" s="1" t="s">
        <v>74</v>
      </c>
      <c r="BA770" s="1" t="s">
        <v>74</v>
      </c>
      <c r="BB770" s="1">
        <v>1071</v>
      </c>
      <c r="BC770" s="1">
        <v>1076</v>
      </c>
      <c r="BD770" s="1" t="s">
        <v>74</v>
      </c>
      <c r="BE770" s="1" t="s">
        <v>13110</v>
      </c>
      <c r="BF770" s="1" t="str">
        <f>HYPERLINK("http://dx.doi.org/10.1016/S0020-7519(00)00094-1","http://dx.doi.org/10.1016/S0020-7519(00)00094-1")</f>
        <v>http://dx.doi.org/10.1016/S0020-7519(00)00094-1</v>
      </c>
      <c r="BG770" s="1" t="s">
        <v>74</v>
      </c>
      <c r="BH770" s="1" t="s">
        <v>74</v>
      </c>
      <c r="BI770" s="1">
        <v>6</v>
      </c>
      <c r="BJ770" s="1" t="s">
        <v>2340</v>
      </c>
      <c r="BK770" s="1" t="s">
        <v>96</v>
      </c>
      <c r="BL770" s="1" t="s">
        <v>2340</v>
      </c>
      <c r="BM770" s="1" t="s">
        <v>13111</v>
      </c>
      <c r="BN770" s="1">
        <v>10996325</v>
      </c>
      <c r="BO770" s="1" t="s">
        <v>74</v>
      </c>
      <c r="BP770" s="1" t="s">
        <v>74</v>
      </c>
      <c r="BQ770" s="1" t="s">
        <v>74</v>
      </c>
      <c r="BR770" s="1" t="s">
        <v>98</v>
      </c>
      <c r="BS770" s="1" t="s">
        <v>13112</v>
      </c>
      <c r="BT770" s="1" t="str">
        <f>HYPERLINK("https%3A%2F%2Fwww.webofscience.com%2Fwos%2Fwoscc%2Ffull-record%2FWOS:000089665800002","View Full Record in Web of Science")</f>
        <v>View Full Record in Web of Science</v>
      </c>
    </row>
    <row r="771" spans="1:72">
      <c r="A771" s="1" t="s">
        <v>72</v>
      </c>
      <c r="B771" s="1" t="s">
        <v>13113</v>
      </c>
      <c r="C771" s="1" t="s">
        <v>74</v>
      </c>
      <c r="D771" s="1" t="s">
        <v>74</v>
      </c>
      <c r="E771" s="1" t="s">
        <v>74</v>
      </c>
      <c r="F771" s="1" t="s">
        <v>13114</v>
      </c>
      <c r="G771" s="1" t="s">
        <v>74</v>
      </c>
      <c r="H771" s="1" t="s">
        <v>74</v>
      </c>
      <c r="I771" s="1" t="s">
        <v>13115</v>
      </c>
      <c r="J771" s="1" t="s">
        <v>13116</v>
      </c>
      <c r="K771" s="1" t="s">
        <v>74</v>
      </c>
      <c r="L771" s="1" t="s">
        <v>74</v>
      </c>
      <c r="M771" s="1" t="s">
        <v>78</v>
      </c>
      <c r="N771" s="1" t="s">
        <v>79</v>
      </c>
      <c r="O771" s="1" t="s">
        <v>74</v>
      </c>
      <c r="P771" s="1" t="s">
        <v>74</v>
      </c>
      <c r="Q771" s="1" t="s">
        <v>74</v>
      </c>
      <c r="R771" s="1" t="s">
        <v>74</v>
      </c>
      <c r="S771" s="1" t="s">
        <v>74</v>
      </c>
      <c r="T771" s="1" t="s">
        <v>13117</v>
      </c>
      <c r="U771" s="1" t="s">
        <v>13118</v>
      </c>
      <c r="V771" s="1" t="s">
        <v>13119</v>
      </c>
      <c r="W771" s="1" t="s">
        <v>13120</v>
      </c>
      <c r="X771" s="1" t="s">
        <v>13121</v>
      </c>
      <c r="Y771" s="1" t="s">
        <v>13122</v>
      </c>
      <c r="Z771" s="1" t="s">
        <v>13123</v>
      </c>
      <c r="AA771" s="1" t="s">
        <v>13124</v>
      </c>
      <c r="AB771" s="1" t="s">
        <v>13125</v>
      </c>
      <c r="AC771" s="1" t="s">
        <v>74</v>
      </c>
      <c r="AD771" s="1" t="s">
        <v>74</v>
      </c>
      <c r="AE771" s="1" t="s">
        <v>74</v>
      </c>
      <c r="AF771" s="1" t="s">
        <v>74</v>
      </c>
      <c r="AG771" s="1">
        <v>67</v>
      </c>
      <c r="AH771" s="1">
        <v>2</v>
      </c>
      <c r="AI771" s="1">
        <v>2</v>
      </c>
      <c r="AJ771" s="1">
        <v>5</v>
      </c>
      <c r="AK771" s="1">
        <v>36</v>
      </c>
      <c r="AL771" s="1" t="s">
        <v>112</v>
      </c>
      <c r="AM771" s="1" t="s">
        <v>113</v>
      </c>
      <c r="AN771" s="1" t="s">
        <v>114</v>
      </c>
      <c r="AO771" s="1" t="s">
        <v>13126</v>
      </c>
      <c r="AP771" s="1" t="s">
        <v>13127</v>
      </c>
      <c r="AQ771" s="1" t="s">
        <v>74</v>
      </c>
      <c r="AR771" s="1" t="s">
        <v>13128</v>
      </c>
      <c r="AS771" s="1" t="s">
        <v>13129</v>
      </c>
      <c r="AT771" s="1" t="s">
        <v>305</v>
      </c>
      <c r="AU771" s="1">
        <v>2021</v>
      </c>
      <c r="AV771" s="1">
        <v>40</v>
      </c>
      <c r="AW771" s="1">
        <v>9</v>
      </c>
      <c r="AX771" s="1" t="s">
        <v>74</v>
      </c>
      <c r="AY771" s="1" t="s">
        <v>74</v>
      </c>
      <c r="AZ771" s="1" t="s">
        <v>74</v>
      </c>
      <c r="BA771" s="1" t="s">
        <v>74</v>
      </c>
      <c r="BB771" s="1">
        <v>117</v>
      </c>
      <c r="BC771" s="1">
        <v>125</v>
      </c>
      <c r="BD771" s="1" t="s">
        <v>74</v>
      </c>
      <c r="BE771" s="1" t="s">
        <v>13130</v>
      </c>
      <c r="BF771" s="1" t="str">
        <f>HYPERLINK("http://dx.doi.org/10.1007/s13131-021-1892-1","http://dx.doi.org/10.1007/s13131-021-1892-1")</f>
        <v>http://dx.doi.org/10.1007/s13131-021-1892-1</v>
      </c>
      <c r="BG771" s="1" t="s">
        <v>74</v>
      </c>
      <c r="BH771" s="1" t="s">
        <v>74</v>
      </c>
      <c r="BI771" s="1">
        <v>9</v>
      </c>
      <c r="BJ771" s="1" t="s">
        <v>1439</v>
      </c>
      <c r="BK771" s="1" t="s">
        <v>96</v>
      </c>
      <c r="BL771" s="1" t="s">
        <v>1439</v>
      </c>
      <c r="BM771" s="1" t="s">
        <v>13131</v>
      </c>
      <c r="BN771" s="1" t="s">
        <v>74</v>
      </c>
      <c r="BO771" s="1" t="s">
        <v>74</v>
      </c>
      <c r="BP771" s="1" t="s">
        <v>74</v>
      </c>
      <c r="BQ771" s="1" t="s">
        <v>74</v>
      </c>
      <c r="BR771" s="1" t="s">
        <v>98</v>
      </c>
      <c r="BS771" s="1" t="s">
        <v>13132</v>
      </c>
      <c r="BT771" s="1" t="str">
        <f>HYPERLINK("https%3A%2F%2Fwww.webofscience.com%2Fwos%2Fwoscc%2Ffull-record%2FWOS:000711873300013","View Full Record in Web of Science")</f>
        <v>View Full Record in Web of Science</v>
      </c>
    </row>
    <row r="772" spans="1:72">
      <c r="A772" s="1" t="s">
        <v>72</v>
      </c>
      <c r="B772" s="1" t="s">
        <v>13133</v>
      </c>
      <c r="C772" s="1" t="s">
        <v>74</v>
      </c>
      <c r="D772" s="1" t="s">
        <v>74</v>
      </c>
      <c r="E772" s="1" t="s">
        <v>74</v>
      </c>
      <c r="F772" s="1" t="s">
        <v>13134</v>
      </c>
      <c r="G772" s="1" t="s">
        <v>74</v>
      </c>
      <c r="H772" s="1" t="s">
        <v>74</v>
      </c>
      <c r="I772" s="1" t="s">
        <v>13135</v>
      </c>
      <c r="J772" s="1" t="s">
        <v>421</v>
      </c>
      <c r="K772" s="1" t="s">
        <v>74</v>
      </c>
      <c r="L772" s="1" t="s">
        <v>74</v>
      </c>
      <c r="M772" s="1" t="s">
        <v>78</v>
      </c>
      <c r="N772" s="1" t="s">
        <v>79</v>
      </c>
      <c r="O772" s="1" t="s">
        <v>74</v>
      </c>
      <c r="P772" s="1" t="s">
        <v>74</v>
      </c>
      <c r="Q772" s="1" t="s">
        <v>74</v>
      </c>
      <c r="R772" s="1" t="s">
        <v>74</v>
      </c>
      <c r="S772" s="1" t="s">
        <v>74</v>
      </c>
      <c r="T772" s="1" t="s">
        <v>13136</v>
      </c>
      <c r="U772" s="1" t="s">
        <v>13137</v>
      </c>
      <c r="V772" s="1" t="s">
        <v>13138</v>
      </c>
      <c r="W772" s="1" t="s">
        <v>13139</v>
      </c>
      <c r="X772" s="1" t="s">
        <v>5008</v>
      </c>
      <c r="Y772" s="1" t="s">
        <v>13140</v>
      </c>
      <c r="Z772" s="1" t="s">
        <v>4168</v>
      </c>
      <c r="AA772" s="1" t="s">
        <v>4169</v>
      </c>
      <c r="AB772" s="1" t="s">
        <v>74</v>
      </c>
      <c r="AC772" s="1" t="s">
        <v>13141</v>
      </c>
      <c r="AD772" s="1" t="s">
        <v>13142</v>
      </c>
      <c r="AE772" s="1" t="s">
        <v>13143</v>
      </c>
      <c r="AF772" s="1" t="s">
        <v>74</v>
      </c>
      <c r="AG772" s="1">
        <v>68</v>
      </c>
      <c r="AH772" s="1">
        <v>20</v>
      </c>
      <c r="AI772" s="1">
        <v>21</v>
      </c>
      <c r="AJ772" s="1">
        <v>2</v>
      </c>
      <c r="AK772" s="1">
        <v>113</v>
      </c>
      <c r="AL772" s="1" t="s">
        <v>430</v>
      </c>
      <c r="AM772" s="1" t="s">
        <v>137</v>
      </c>
      <c r="AN772" s="1" t="s">
        <v>431</v>
      </c>
      <c r="AO772" s="1" t="s">
        <v>432</v>
      </c>
      <c r="AP772" s="1" t="s">
        <v>1394</v>
      </c>
      <c r="AQ772" s="1" t="s">
        <v>74</v>
      </c>
      <c r="AR772" s="1" t="s">
        <v>433</v>
      </c>
      <c r="AS772" s="1" t="s">
        <v>434</v>
      </c>
      <c r="AT772" s="1" t="s">
        <v>197</v>
      </c>
      <c r="AU772" s="1">
        <v>2017</v>
      </c>
      <c r="AV772" s="1">
        <v>231</v>
      </c>
      <c r="AW772" s="1" t="s">
        <v>74</v>
      </c>
      <c r="AX772" s="1">
        <v>1</v>
      </c>
      <c r="AY772" s="1" t="s">
        <v>74</v>
      </c>
      <c r="AZ772" s="1" t="s">
        <v>74</v>
      </c>
      <c r="BA772" s="1" t="s">
        <v>74</v>
      </c>
      <c r="BB772" s="1">
        <v>712</v>
      </c>
      <c r="BC772" s="1">
        <v>721</v>
      </c>
      <c r="BD772" s="1" t="s">
        <v>74</v>
      </c>
      <c r="BE772" s="1" t="s">
        <v>13144</v>
      </c>
      <c r="BF772" s="1" t="str">
        <f>HYPERLINK("http://dx.doi.org/10.1016/j.envpol.2017.08.080","http://dx.doi.org/10.1016/j.envpol.2017.08.080")</f>
        <v>http://dx.doi.org/10.1016/j.envpol.2017.08.080</v>
      </c>
      <c r="BG772" s="1" t="s">
        <v>74</v>
      </c>
      <c r="BH772" s="1" t="s">
        <v>74</v>
      </c>
      <c r="BI772" s="1">
        <v>10</v>
      </c>
      <c r="BJ772" s="1" t="s">
        <v>144</v>
      </c>
      <c r="BK772" s="1" t="s">
        <v>96</v>
      </c>
      <c r="BL772" s="1" t="s">
        <v>145</v>
      </c>
      <c r="BM772" s="1" t="s">
        <v>13145</v>
      </c>
      <c r="BN772" s="1">
        <v>28850939</v>
      </c>
      <c r="BO772" s="1" t="s">
        <v>74</v>
      </c>
      <c r="BP772" s="1" t="s">
        <v>74</v>
      </c>
      <c r="BQ772" s="1" t="s">
        <v>74</v>
      </c>
      <c r="BR772" s="1" t="s">
        <v>98</v>
      </c>
      <c r="BS772" s="1" t="s">
        <v>13146</v>
      </c>
      <c r="BT772" s="1" t="str">
        <f>HYPERLINK("https%3A%2F%2Fwww.webofscience.com%2Fwos%2Fwoscc%2Ffull-record%2FWOS:000414881000071","View Full Record in Web of Science")</f>
        <v>View Full Record in Web of Science</v>
      </c>
    </row>
    <row r="773" spans="1:72">
      <c r="A773" s="1" t="s">
        <v>72</v>
      </c>
      <c r="B773" s="1" t="s">
        <v>13147</v>
      </c>
      <c r="C773" s="1" t="s">
        <v>74</v>
      </c>
      <c r="D773" s="1" t="s">
        <v>74</v>
      </c>
      <c r="E773" s="1" t="s">
        <v>74</v>
      </c>
      <c r="F773" s="1" t="s">
        <v>13147</v>
      </c>
      <c r="G773" s="1" t="s">
        <v>74</v>
      </c>
      <c r="H773" s="1" t="s">
        <v>74</v>
      </c>
      <c r="I773" s="1" t="s">
        <v>13148</v>
      </c>
      <c r="J773" s="1" t="s">
        <v>2984</v>
      </c>
      <c r="K773" s="1" t="s">
        <v>74</v>
      </c>
      <c r="L773" s="1" t="s">
        <v>74</v>
      </c>
      <c r="M773" s="1" t="s">
        <v>78</v>
      </c>
      <c r="N773" s="1" t="s">
        <v>79</v>
      </c>
      <c r="O773" s="1" t="s">
        <v>74</v>
      </c>
      <c r="P773" s="1" t="s">
        <v>74</v>
      </c>
      <c r="Q773" s="1" t="s">
        <v>74</v>
      </c>
      <c r="R773" s="1" t="s">
        <v>74</v>
      </c>
      <c r="S773" s="1" t="s">
        <v>74</v>
      </c>
      <c r="T773" s="1" t="s">
        <v>13149</v>
      </c>
      <c r="U773" s="1" t="s">
        <v>13150</v>
      </c>
      <c r="V773" s="1" t="s">
        <v>13151</v>
      </c>
      <c r="W773" s="1" t="s">
        <v>13152</v>
      </c>
      <c r="X773" s="1" t="s">
        <v>13153</v>
      </c>
      <c r="Y773" s="1" t="s">
        <v>13154</v>
      </c>
      <c r="Z773" s="1" t="s">
        <v>74</v>
      </c>
      <c r="AA773" s="1" t="s">
        <v>13155</v>
      </c>
      <c r="AB773" s="1" t="s">
        <v>74</v>
      </c>
      <c r="AC773" s="1" t="s">
        <v>74</v>
      </c>
      <c r="AD773" s="1" t="s">
        <v>74</v>
      </c>
      <c r="AE773" s="1" t="s">
        <v>74</v>
      </c>
      <c r="AF773" s="1" t="s">
        <v>74</v>
      </c>
      <c r="AG773" s="1">
        <v>46</v>
      </c>
      <c r="AH773" s="1">
        <v>59</v>
      </c>
      <c r="AI773" s="1">
        <v>64</v>
      </c>
      <c r="AJ773" s="1">
        <v>1</v>
      </c>
      <c r="AK773" s="1">
        <v>21</v>
      </c>
      <c r="AL773" s="1" t="s">
        <v>716</v>
      </c>
      <c r="AM773" s="1" t="s">
        <v>191</v>
      </c>
      <c r="AN773" s="1" t="s">
        <v>192</v>
      </c>
      <c r="AO773" s="1" t="s">
        <v>2994</v>
      </c>
      <c r="AP773" s="1" t="s">
        <v>74</v>
      </c>
      <c r="AQ773" s="1" t="s">
        <v>74</v>
      </c>
      <c r="AR773" s="1" t="s">
        <v>2996</v>
      </c>
      <c r="AS773" s="1" t="s">
        <v>2997</v>
      </c>
      <c r="AT773" s="1" t="s">
        <v>1223</v>
      </c>
      <c r="AU773" s="1">
        <v>2002</v>
      </c>
      <c r="AV773" s="1">
        <v>24</v>
      </c>
      <c r="AW773" s="1">
        <v>1</v>
      </c>
      <c r="AX773" s="1" t="s">
        <v>74</v>
      </c>
      <c r="AY773" s="1" t="s">
        <v>74</v>
      </c>
      <c r="AZ773" s="1" t="s">
        <v>74</v>
      </c>
      <c r="BA773" s="1" t="s">
        <v>74</v>
      </c>
      <c r="BB773" s="1">
        <v>47</v>
      </c>
      <c r="BC773" s="1">
        <v>65</v>
      </c>
      <c r="BD773" s="1" t="s">
        <v>74</v>
      </c>
      <c r="BE773" s="1" t="s">
        <v>13156</v>
      </c>
      <c r="BF773" s="1" t="str">
        <f>HYPERLINK("http://dx.doi.org/10.1023/A:1013945117549","http://dx.doi.org/10.1023/A:1013945117549")</f>
        <v>http://dx.doi.org/10.1023/A:1013945117549</v>
      </c>
      <c r="BG773" s="1" t="s">
        <v>74</v>
      </c>
      <c r="BH773" s="1" t="s">
        <v>74</v>
      </c>
      <c r="BI773" s="1">
        <v>19</v>
      </c>
      <c r="BJ773" s="1" t="s">
        <v>2999</v>
      </c>
      <c r="BK773" s="1" t="s">
        <v>96</v>
      </c>
      <c r="BL773" s="1" t="s">
        <v>3000</v>
      </c>
      <c r="BM773" s="1" t="s">
        <v>13157</v>
      </c>
      <c r="BN773" s="1" t="s">
        <v>74</v>
      </c>
      <c r="BO773" s="1" t="s">
        <v>74</v>
      </c>
      <c r="BP773" s="1" t="s">
        <v>74</v>
      </c>
      <c r="BQ773" s="1" t="s">
        <v>74</v>
      </c>
      <c r="BR773" s="1" t="s">
        <v>98</v>
      </c>
      <c r="BS773" s="1" t="s">
        <v>13158</v>
      </c>
      <c r="BT773" s="1" t="str">
        <f>HYPERLINK("https%3A%2F%2Fwww.webofscience.com%2Fwos%2Fwoscc%2Ffull-record%2FWOS:000173583000004","View Full Record in Web of Science")</f>
        <v>View Full Record in Web of Science</v>
      </c>
    </row>
    <row r="774" spans="1:72">
      <c r="A774" s="1" t="s">
        <v>72</v>
      </c>
      <c r="B774" s="1" t="s">
        <v>13159</v>
      </c>
      <c r="C774" s="1" t="s">
        <v>74</v>
      </c>
      <c r="D774" s="1" t="s">
        <v>74</v>
      </c>
      <c r="E774" s="1" t="s">
        <v>74</v>
      </c>
      <c r="F774" s="1" t="s">
        <v>13160</v>
      </c>
      <c r="G774" s="1" t="s">
        <v>74</v>
      </c>
      <c r="H774" s="1" t="s">
        <v>74</v>
      </c>
      <c r="I774" s="1" t="s">
        <v>13161</v>
      </c>
      <c r="J774" s="1" t="s">
        <v>13162</v>
      </c>
      <c r="K774" s="1" t="s">
        <v>74</v>
      </c>
      <c r="L774" s="1" t="s">
        <v>74</v>
      </c>
      <c r="M774" s="1" t="s">
        <v>78</v>
      </c>
      <c r="N774" s="1" t="s">
        <v>79</v>
      </c>
      <c r="O774" s="1" t="s">
        <v>74</v>
      </c>
      <c r="P774" s="1" t="s">
        <v>74</v>
      </c>
      <c r="Q774" s="1" t="s">
        <v>74</v>
      </c>
      <c r="R774" s="1" t="s">
        <v>74</v>
      </c>
      <c r="S774" s="1" t="s">
        <v>74</v>
      </c>
      <c r="T774" s="1" t="s">
        <v>13163</v>
      </c>
      <c r="U774" s="1" t="s">
        <v>13164</v>
      </c>
      <c r="V774" s="1" t="s">
        <v>13165</v>
      </c>
      <c r="W774" s="1" t="s">
        <v>13166</v>
      </c>
      <c r="X774" s="1" t="s">
        <v>13167</v>
      </c>
      <c r="Y774" s="1" t="s">
        <v>13168</v>
      </c>
      <c r="Z774" s="1" t="s">
        <v>13169</v>
      </c>
      <c r="AA774" s="1" t="s">
        <v>13170</v>
      </c>
      <c r="AB774" s="1" t="s">
        <v>8742</v>
      </c>
      <c r="AC774" s="1" t="s">
        <v>74</v>
      </c>
      <c r="AD774" s="1" t="s">
        <v>74</v>
      </c>
      <c r="AE774" s="1" t="s">
        <v>74</v>
      </c>
      <c r="AF774" s="1" t="s">
        <v>74</v>
      </c>
      <c r="AG774" s="1">
        <v>36</v>
      </c>
      <c r="AH774" s="1">
        <v>3</v>
      </c>
      <c r="AI774" s="1">
        <v>3</v>
      </c>
      <c r="AJ774" s="1">
        <v>0</v>
      </c>
      <c r="AK774" s="1">
        <v>12</v>
      </c>
      <c r="AL774" s="1" t="s">
        <v>13171</v>
      </c>
      <c r="AM774" s="1" t="s">
        <v>4197</v>
      </c>
      <c r="AN774" s="1" t="s">
        <v>13172</v>
      </c>
      <c r="AO774" s="1" t="s">
        <v>13173</v>
      </c>
      <c r="AP774" s="1" t="s">
        <v>74</v>
      </c>
      <c r="AQ774" s="1" t="s">
        <v>74</v>
      </c>
      <c r="AR774" s="1" t="s">
        <v>13174</v>
      </c>
      <c r="AS774" s="1" t="s">
        <v>13175</v>
      </c>
      <c r="AT774" s="1" t="s">
        <v>93</v>
      </c>
      <c r="AU774" s="1">
        <v>2011</v>
      </c>
      <c r="AV774" s="1">
        <v>9</v>
      </c>
      <c r="AW774" s="1">
        <v>2</v>
      </c>
      <c r="AX774" s="1">
        <v>2</v>
      </c>
      <c r="AY774" s="1" t="s">
        <v>74</v>
      </c>
      <c r="AZ774" s="1" t="s">
        <v>74</v>
      </c>
      <c r="BA774" s="1" t="s">
        <v>74</v>
      </c>
      <c r="BB774" s="1">
        <v>763</v>
      </c>
      <c r="BC774" s="1">
        <v>767</v>
      </c>
      <c r="BD774" s="1" t="s">
        <v>74</v>
      </c>
      <c r="BE774" s="1" t="s">
        <v>74</v>
      </c>
      <c r="BF774" s="1" t="s">
        <v>74</v>
      </c>
      <c r="BG774" s="1" t="s">
        <v>74</v>
      </c>
      <c r="BH774" s="1" t="s">
        <v>74</v>
      </c>
      <c r="BI774" s="1">
        <v>5</v>
      </c>
      <c r="BJ774" s="1" t="s">
        <v>2598</v>
      </c>
      <c r="BK774" s="1" t="s">
        <v>96</v>
      </c>
      <c r="BL774" s="1" t="s">
        <v>2598</v>
      </c>
      <c r="BM774" s="1" t="s">
        <v>13176</v>
      </c>
      <c r="BN774" s="1" t="s">
        <v>74</v>
      </c>
      <c r="BO774" s="1" t="s">
        <v>74</v>
      </c>
      <c r="BP774" s="1" t="s">
        <v>74</v>
      </c>
      <c r="BQ774" s="1" t="s">
        <v>74</v>
      </c>
      <c r="BR774" s="1" t="s">
        <v>98</v>
      </c>
      <c r="BS774" s="1" t="s">
        <v>13177</v>
      </c>
      <c r="BT774" s="1" t="str">
        <f>HYPERLINK("https%3A%2F%2Fwww.webofscience.com%2Fwos%2Fwoscc%2Ffull-record%2FWOS:000291185600060","View Full Record in Web of Science")</f>
        <v>View Full Record in Web of Science</v>
      </c>
    </row>
    <row r="775" spans="1:72">
      <c r="A775" s="1" t="s">
        <v>72</v>
      </c>
      <c r="B775" s="1" t="s">
        <v>13178</v>
      </c>
      <c r="C775" s="1" t="s">
        <v>74</v>
      </c>
      <c r="D775" s="1" t="s">
        <v>74</v>
      </c>
      <c r="E775" s="1" t="s">
        <v>74</v>
      </c>
      <c r="F775" s="1" t="s">
        <v>13179</v>
      </c>
      <c r="G775" s="1" t="s">
        <v>74</v>
      </c>
      <c r="H775" s="1" t="s">
        <v>74</v>
      </c>
      <c r="I775" s="1" t="s">
        <v>13180</v>
      </c>
      <c r="J775" s="1" t="s">
        <v>232</v>
      </c>
      <c r="K775" s="1" t="s">
        <v>74</v>
      </c>
      <c r="L775" s="1" t="s">
        <v>74</v>
      </c>
      <c r="M775" s="1" t="s">
        <v>78</v>
      </c>
      <c r="N775" s="1" t="s">
        <v>79</v>
      </c>
      <c r="O775" s="1" t="s">
        <v>74</v>
      </c>
      <c r="P775" s="1" t="s">
        <v>74</v>
      </c>
      <c r="Q775" s="1" t="s">
        <v>74</v>
      </c>
      <c r="R775" s="1" t="s">
        <v>74</v>
      </c>
      <c r="S775" s="1" t="s">
        <v>74</v>
      </c>
      <c r="T775" s="1" t="s">
        <v>13181</v>
      </c>
      <c r="U775" s="1" t="s">
        <v>13182</v>
      </c>
      <c r="V775" s="1" t="s">
        <v>13183</v>
      </c>
      <c r="W775" s="1" t="s">
        <v>13184</v>
      </c>
      <c r="X775" s="1" t="s">
        <v>13185</v>
      </c>
      <c r="Y775" s="1" t="s">
        <v>13186</v>
      </c>
      <c r="Z775" s="1" t="s">
        <v>13187</v>
      </c>
      <c r="AA775" s="1" t="s">
        <v>13188</v>
      </c>
      <c r="AB775" s="1" t="s">
        <v>13189</v>
      </c>
      <c r="AC775" s="1" t="s">
        <v>13190</v>
      </c>
      <c r="AD775" s="1" t="s">
        <v>13191</v>
      </c>
      <c r="AE775" s="1" t="s">
        <v>13192</v>
      </c>
      <c r="AF775" s="1" t="s">
        <v>74</v>
      </c>
      <c r="AG775" s="1">
        <v>71</v>
      </c>
      <c r="AH775" s="1">
        <v>55</v>
      </c>
      <c r="AI775" s="1">
        <v>59</v>
      </c>
      <c r="AJ775" s="1">
        <v>4</v>
      </c>
      <c r="AK775" s="1">
        <v>79</v>
      </c>
      <c r="AL775" s="1" t="s">
        <v>136</v>
      </c>
      <c r="AM775" s="1" t="s">
        <v>137</v>
      </c>
      <c r="AN775" s="1" t="s">
        <v>138</v>
      </c>
      <c r="AO775" s="1" t="s">
        <v>240</v>
      </c>
      <c r="AP775" s="1" t="s">
        <v>241</v>
      </c>
      <c r="AQ775" s="1" t="s">
        <v>74</v>
      </c>
      <c r="AR775" s="1" t="s">
        <v>242</v>
      </c>
      <c r="AS775" s="1" t="s">
        <v>243</v>
      </c>
      <c r="AT775" s="1" t="s">
        <v>1470</v>
      </c>
      <c r="AU775" s="1">
        <v>2020</v>
      </c>
      <c r="AV775" s="1">
        <v>150</v>
      </c>
      <c r="AW775" s="1" t="s">
        <v>74</v>
      </c>
      <c r="AX775" s="1" t="s">
        <v>74</v>
      </c>
      <c r="AY775" s="1" t="s">
        <v>74</v>
      </c>
      <c r="AZ775" s="1" t="s">
        <v>74</v>
      </c>
      <c r="BA775" s="1" t="s">
        <v>74</v>
      </c>
      <c r="BB775" s="1" t="s">
        <v>74</v>
      </c>
      <c r="BC775" s="1" t="s">
        <v>74</v>
      </c>
      <c r="BD775" s="1">
        <v>110717</v>
      </c>
      <c r="BE775" s="1" t="s">
        <v>13193</v>
      </c>
      <c r="BF775" s="1" t="str">
        <f>HYPERLINK("http://dx.doi.org/10.1016/j.marpolbul.2019.110717","http://dx.doi.org/10.1016/j.marpolbul.2019.110717")</f>
        <v>http://dx.doi.org/10.1016/j.marpolbul.2019.110717</v>
      </c>
      <c r="BG775" s="1" t="s">
        <v>74</v>
      </c>
      <c r="BH775" s="1" t="s">
        <v>74</v>
      </c>
      <c r="BI775" s="1">
        <v>8</v>
      </c>
      <c r="BJ775" s="1" t="s">
        <v>247</v>
      </c>
      <c r="BK775" s="1" t="s">
        <v>96</v>
      </c>
      <c r="BL775" s="1" t="s">
        <v>248</v>
      </c>
      <c r="BM775" s="1" t="s">
        <v>13194</v>
      </c>
      <c r="BN775" s="1">
        <v>31753566</v>
      </c>
      <c r="BO775" s="1" t="s">
        <v>74</v>
      </c>
      <c r="BP775" s="1" t="s">
        <v>74</v>
      </c>
      <c r="BQ775" s="1" t="s">
        <v>74</v>
      </c>
      <c r="BR775" s="1" t="s">
        <v>98</v>
      </c>
      <c r="BS775" s="1" t="s">
        <v>13195</v>
      </c>
      <c r="BT775" s="1" t="str">
        <f>HYPERLINK("https%3A%2F%2Fwww.webofscience.com%2Fwos%2Fwoscc%2Ffull-record%2FWOS:000509611200135","View Full Record in Web of Science")</f>
        <v>View Full Record in Web of Science</v>
      </c>
    </row>
    <row r="776" spans="1:72">
      <c r="A776" s="1" t="s">
        <v>72</v>
      </c>
      <c r="B776" s="1" t="s">
        <v>13196</v>
      </c>
      <c r="C776" s="1" t="s">
        <v>74</v>
      </c>
      <c r="D776" s="1" t="s">
        <v>74</v>
      </c>
      <c r="E776" s="1" t="s">
        <v>74</v>
      </c>
      <c r="F776" s="1" t="s">
        <v>13197</v>
      </c>
      <c r="G776" s="1" t="s">
        <v>74</v>
      </c>
      <c r="H776" s="1" t="s">
        <v>74</v>
      </c>
      <c r="I776" s="1" t="s">
        <v>13198</v>
      </c>
      <c r="J776" s="1" t="s">
        <v>421</v>
      </c>
      <c r="K776" s="1" t="s">
        <v>74</v>
      </c>
      <c r="L776" s="1" t="s">
        <v>74</v>
      </c>
      <c r="M776" s="1" t="s">
        <v>78</v>
      </c>
      <c r="N776" s="1" t="s">
        <v>79</v>
      </c>
      <c r="O776" s="1" t="s">
        <v>74</v>
      </c>
      <c r="P776" s="1" t="s">
        <v>74</v>
      </c>
      <c r="Q776" s="1" t="s">
        <v>74</v>
      </c>
      <c r="R776" s="1" t="s">
        <v>74</v>
      </c>
      <c r="S776" s="1" t="s">
        <v>74</v>
      </c>
      <c r="T776" s="1" t="s">
        <v>13199</v>
      </c>
      <c r="U776" s="1" t="s">
        <v>13200</v>
      </c>
      <c r="V776" s="1" t="s">
        <v>13201</v>
      </c>
      <c r="W776" s="1" t="s">
        <v>13202</v>
      </c>
      <c r="X776" s="1" t="s">
        <v>13203</v>
      </c>
      <c r="Y776" s="1" t="s">
        <v>13204</v>
      </c>
      <c r="Z776" s="1" t="s">
        <v>13205</v>
      </c>
      <c r="AA776" s="1" t="s">
        <v>13206</v>
      </c>
      <c r="AB776" s="1" t="s">
        <v>13207</v>
      </c>
      <c r="AC776" s="1" t="s">
        <v>13208</v>
      </c>
      <c r="AD776" s="1" t="s">
        <v>13209</v>
      </c>
      <c r="AE776" s="1" t="s">
        <v>13210</v>
      </c>
      <c r="AF776" s="1" t="s">
        <v>74</v>
      </c>
      <c r="AG776" s="1">
        <v>95</v>
      </c>
      <c r="AH776" s="1">
        <v>0</v>
      </c>
      <c r="AI776" s="1">
        <v>0</v>
      </c>
      <c r="AJ776" s="1">
        <v>7</v>
      </c>
      <c r="AK776" s="1">
        <v>22</v>
      </c>
      <c r="AL776" s="1" t="s">
        <v>430</v>
      </c>
      <c r="AM776" s="1" t="s">
        <v>7361</v>
      </c>
      <c r="AN776" s="1" t="s">
        <v>7362</v>
      </c>
      <c r="AO776" s="1" t="s">
        <v>432</v>
      </c>
      <c r="AP776" s="1" t="s">
        <v>1394</v>
      </c>
      <c r="AQ776" s="1" t="s">
        <v>74</v>
      </c>
      <c r="AR776" s="1" t="s">
        <v>433</v>
      </c>
      <c r="AS776" s="1" t="s">
        <v>434</v>
      </c>
      <c r="AT776" s="1" t="s">
        <v>11873</v>
      </c>
      <c r="AU776" s="1">
        <v>2023</v>
      </c>
      <c r="AV776" s="1">
        <v>316</v>
      </c>
      <c r="AW776" s="1" t="s">
        <v>74</v>
      </c>
      <c r="AX776" s="1">
        <v>2</v>
      </c>
      <c r="AY776" s="1" t="s">
        <v>74</v>
      </c>
      <c r="AZ776" s="1" t="s">
        <v>74</v>
      </c>
      <c r="BA776" s="1" t="s">
        <v>74</v>
      </c>
      <c r="BB776" s="1" t="s">
        <v>74</v>
      </c>
      <c r="BC776" s="1" t="s">
        <v>74</v>
      </c>
      <c r="BD776" s="1">
        <v>120624</v>
      </c>
      <c r="BE776" s="1" t="s">
        <v>13211</v>
      </c>
      <c r="BF776" s="1" t="str">
        <f>HYPERLINK("http://dx.doi.org/10.1016/j.envpol.2022.120624","http://dx.doi.org/10.1016/j.envpol.2022.120624")</f>
        <v>http://dx.doi.org/10.1016/j.envpol.2022.120624</v>
      </c>
      <c r="BG776" s="1" t="s">
        <v>74</v>
      </c>
      <c r="BH776" s="1" t="s">
        <v>699</v>
      </c>
      <c r="BI776" s="1">
        <v>10</v>
      </c>
      <c r="BJ776" s="1" t="s">
        <v>144</v>
      </c>
      <c r="BK776" s="1" t="s">
        <v>96</v>
      </c>
      <c r="BL776" s="1" t="s">
        <v>145</v>
      </c>
      <c r="BM776" s="1" t="s">
        <v>13212</v>
      </c>
      <c r="BN776" s="1">
        <v>36370969</v>
      </c>
      <c r="BO776" s="1" t="s">
        <v>476</v>
      </c>
      <c r="BP776" s="1" t="s">
        <v>74</v>
      </c>
      <c r="BQ776" s="1" t="s">
        <v>74</v>
      </c>
      <c r="BR776" s="1" t="s">
        <v>98</v>
      </c>
      <c r="BS776" s="1" t="s">
        <v>13213</v>
      </c>
      <c r="BT776" s="1" t="str">
        <f>HYPERLINK("https%3A%2F%2Fwww.webofscience.com%2Fwos%2Fwoscc%2Ffull-record%2FWOS:000903744500001","View Full Record in Web of Science")</f>
        <v>View Full Record in Web of Science</v>
      </c>
    </row>
    <row r="777" spans="1:72">
      <c r="A777" s="1" t="s">
        <v>72</v>
      </c>
      <c r="B777" s="1" t="s">
        <v>13214</v>
      </c>
      <c r="C777" s="1" t="s">
        <v>74</v>
      </c>
      <c r="D777" s="1" t="s">
        <v>74</v>
      </c>
      <c r="E777" s="1" t="s">
        <v>74</v>
      </c>
      <c r="F777" s="1" t="s">
        <v>13214</v>
      </c>
      <c r="G777" s="1" t="s">
        <v>74</v>
      </c>
      <c r="H777" s="1" t="s">
        <v>74</v>
      </c>
      <c r="I777" s="1" t="s">
        <v>13215</v>
      </c>
      <c r="J777" s="1" t="s">
        <v>13216</v>
      </c>
      <c r="K777" s="1" t="s">
        <v>74</v>
      </c>
      <c r="L777" s="1" t="s">
        <v>74</v>
      </c>
      <c r="M777" s="1" t="s">
        <v>78</v>
      </c>
      <c r="N777" s="1" t="s">
        <v>79</v>
      </c>
      <c r="O777" s="1" t="s">
        <v>74</v>
      </c>
      <c r="P777" s="1" t="s">
        <v>74</v>
      </c>
      <c r="Q777" s="1" t="s">
        <v>74</v>
      </c>
      <c r="R777" s="1" t="s">
        <v>74</v>
      </c>
      <c r="S777" s="1" t="s">
        <v>74</v>
      </c>
      <c r="T777" s="1" t="s">
        <v>13217</v>
      </c>
      <c r="U777" s="1" t="s">
        <v>13218</v>
      </c>
      <c r="V777" s="1" t="s">
        <v>13219</v>
      </c>
      <c r="W777" s="1" t="s">
        <v>13220</v>
      </c>
      <c r="X777" s="1" t="s">
        <v>13221</v>
      </c>
      <c r="Y777" s="1" t="s">
        <v>13222</v>
      </c>
      <c r="Z777" s="1" t="s">
        <v>74</v>
      </c>
      <c r="AA777" s="1" t="s">
        <v>13223</v>
      </c>
      <c r="AB777" s="1" t="s">
        <v>74</v>
      </c>
      <c r="AC777" s="1" t="s">
        <v>74</v>
      </c>
      <c r="AD777" s="1" t="s">
        <v>74</v>
      </c>
      <c r="AE777" s="1" t="s">
        <v>74</v>
      </c>
      <c r="AF777" s="1" t="s">
        <v>74</v>
      </c>
      <c r="AG777" s="1">
        <v>22</v>
      </c>
      <c r="AH777" s="1">
        <v>18</v>
      </c>
      <c r="AI777" s="1">
        <v>22</v>
      </c>
      <c r="AJ777" s="1">
        <v>0</v>
      </c>
      <c r="AK777" s="1">
        <v>4</v>
      </c>
      <c r="AL777" s="1" t="s">
        <v>13224</v>
      </c>
      <c r="AM777" s="1" t="s">
        <v>13225</v>
      </c>
      <c r="AN777" s="1" t="s">
        <v>13226</v>
      </c>
      <c r="AO777" s="1" t="s">
        <v>13227</v>
      </c>
      <c r="AP777" s="1" t="s">
        <v>74</v>
      </c>
      <c r="AQ777" s="1" t="s">
        <v>74</v>
      </c>
      <c r="AR777" s="1" t="s">
        <v>13228</v>
      </c>
      <c r="AS777" s="1" t="s">
        <v>13229</v>
      </c>
      <c r="AT777" s="1" t="s">
        <v>74</v>
      </c>
      <c r="AU777" s="1">
        <v>2005</v>
      </c>
      <c r="AV777" s="1">
        <v>29</v>
      </c>
      <c r="AW777" s="1">
        <v>1</v>
      </c>
      <c r="AX777" s="1" t="s">
        <v>74</v>
      </c>
      <c r="AY777" s="1" t="s">
        <v>74</v>
      </c>
      <c r="AZ777" s="1" t="s">
        <v>74</v>
      </c>
      <c r="BA777" s="1" t="s">
        <v>74</v>
      </c>
      <c r="BB777" s="1">
        <v>89</v>
      </c>
      <c r="BC777" s="1">
        <v>93</v>
      </c>
      <c r="BD777" s="1" t="s">
        <v>74</v>
      </c>
      <c r="BE777" s="1" t="s">
        <v>74</v>
      </c>
      <c r="BF777" s="1" t="s">
        <v>74</v>
      </c>
      <c r="BG777" s="1" t="s">
        <v>74</v>
      </c>
      <c r="BH777" s="1" t="s">
        <v>74</v>
      </c>
      <c r="BI777" s="1">
        <v>5</v>
      </c>
      <c r="BJ777" s="1" t="s">
        <v>1057</v>
      </c>
      <c r="BK777" s="1" t="s">
        <v>96</v>
      </c>
      <c r="BL777" s="1" t="s">
        <v>1057</v>
      </c>
      <c r="BM777" s="1" t="s">
        <v>13230</v>
      </c>
      <c r="BN777" s="1" t="s">
        <v>74</v>
      </c>
      <c r="BO777" s="1" t="s">
        <v>74</v>
      </c>
      <c r="BP777" s="1" t="s">
        <v>74</v>
      </c>
      <c r="BQ777" s="1" t="s">
        <v>74</v>
      </c>
      <c r="BR777" s="1" t="s">
        <v>98</v>
      </c>
      <c r="BS777" s="1" t="s">
        <v>13231</v>
      </c>
      <c r="BT777" s="1" t="str">
        <f>HYPERLINK("https%3A%2F%2Fwww.webofscience.com%2Fwos%2Fwoscc%2Ffull-record%2FWOS:000228458700015","View Full Record in Web of Science")</f>
        <v>View Full Record in Web of Science</v>
      </c>
    </row>
    <row r="778" spans="1:72">
      <c r="A778" s="1" t="s">
        <v>72</v>
      </c>
      <c r="B778" s="1" t="s">
        <v>13232</v>
      </c>
      <c r="C778" s="1" t="s">
        <v>74</v>
      </c>
      <c r="D778" s="1" t="s">
        <v>74</v>
      </c>
      <c r="E778" s="1" t="s">
        <v>74</v>
      </c>
      <c r="F778" s="1" t="s">
        <v>13233</v>
      </c>
      <c r="G778" s="1" t="s">
        <v>74</v>
      </c>
      <c r="H778" s="1" t="s">
        <v>74</v>
      </c>
      <c r="I778" s="1" t="s">
        <v>13234</v>
      </c>
      <c r="J778" s="1" t="s">
        <v>13235</v>
      </c>
      <c r="K778" s="1" t="s">
        <v>74</v>
      </c>
      <c r="L778" s="1" t="s">
        <v>74</v>
      </c>
      <c r="M778" s="1" t="s">
        <v>78</v>
      </c>
      <c r="N778" s="1" t="s">
        <v>79</v>
      </c>
      <c r="O778" s="1" t="s">
        <v>74</v>
      </c>
      <c r="P778" s="1" t="s">
        <v>74</v>
      </c>
      <c r="Q778" s="1" t="s">
        <v>74</v>
      </c>
      <c r="R778" s="1" t="s">
        <v>74</v>
      </c>
      <c r="S778" s="1" t="s">
        <v>74</v>
      </c>
      <c r="T778" s="1" t="s">
        <v>74</v>
      </c>
      <c r="U778" s="1" t="s">
        <v>13236</v>
      </c>
      <c r="V778" s="1" t="s">
        <v>13237</v>
      </c>
      <c r="W778" s="1" t="s">
        <v>13238</v>
      </c>
      <c r="X778" s="1" t="s">
        <v>13239</v>
      </c>
      <c r="Y778" s="1" t="s">
        <v>13240</v>
      </c>
      <c r="Z778" s="1" t="s">
        <v>4254</v>
      </c>
      <c r="AA778" s="1" t="s">
        <v>13241</v>
      </c>
      <c r="AB778" s="1" t="s">
        <v>13242</v>
      </c>
      <c r="AC778" s="1" t="s">
        <v>13243</v>
      </c>
      <c r="AD778" s="1" t="s">
        <v>13244</v>
      </c>
      <c r="AE778" s="1" t="s">
        <v>13245</v>
      </c>
      <c r="AF778" s="1" t="s">
        <v>74</v>
      </c>
      <c r="AG778" s="1">
        <v>53</v>
      </c>
      <c r="AH778" s="1">
        <v>26</v>
      </c>
      <c r="AI778" s="1">
        <v>30</v>
      </c>
      <c r="AJ778" s="1">
        <v>0</v>
      </c>
      <c r="AK778" s="1">
        <v>36</v>
      </c>
      <c r="AL778" s="1" t="s">
        <v>13246</v>
      </c>
      <c r="AM778" s="1" t="s">
        <v>13247</v>
      </c>
      <c r="AN778" s="1" t="s">
        <v>13248</v>
      </c>
      <c r="AO778" s="1" t="s">
        <v>13249</v>
      </c>
      <c r="AP778" s="1" t="s">
        <v>74</v>
      </c>
      <c r="AQ778" s="1" t="s">
        <v>74</v>
      </c>
      <c r="AR778" s="1" t="s">
        <v>13250</v>
      </c>
      <c r="AS778" s="1" t="s">
        <v>13251</v>
      </c>
      <c r="AT778" s="1" t="s">
        <v>224</v>
      </c>
      <c r="AU778" s="1">
        <v>2012</v>
      </c>
      <c r="AV778" s="1">
        <v>90</v>
      </c>
      <c r="AW778" s="1">
        <v>2</v>
      </c>
      <c r="AX778" s="1" t="s">
        <v>74</v>
      </c>
      <c r="AY778" s="1" t="s">
        <v>74</v>
      </c>
      <c r="AZ778" s="1" t="s">
        <v>74</v>
      </c>
      <c r="BA778" s="1" t="s">
        <v>74</v>
      </c>
      <c r="BB778" s="1">
        <v>267</v>
      </c>
      <c r="BC778" s="1">
        <v>283</v>
      </c>
      <c r="BD778" s="1" t="s">
        <v>74</v>
      </c>
      <c r="BE778" s="1" t="s">
        <v>13252</v>
      </c>
      <c r="BF778" s="1" t="str">
        <f>HYPERLINK("http://dx.doi.org/10.1139/Z11-129","http://dx.doi.org/10.1139/Z11-129")</f>
        <v>http://dx.doi.org/10.1139/Z11-129</v>
      </c>
      <c r="BG778" s="1" t="s">
        <v>74</v>
      </c>
      <c r="BH778" s="1" t="s">
        <v>74</v>
      </c>
      <c r="BI778" s="1">
        <v>17</v>
      </c>
      <c r="BJ778" s="1" t="s">
        <v>2210</v>
      </c>
      <c r="BK778" s="1" t="s">
        <v>96</v>
      </c>
      <c r="BL778" s="1" t="s">
        <v>2210</v>
      </c>
      <c r="BM778" s="1" t="s">
        <v>13253</v>
      </c>
      <c r="BN778" s="1" t="s">
        <v>74</v>
      </c>
      <c r="BO778" s="1" t="s">
        <v>74</v>
      </c>
      <c r="BP778" s="1" t="s">
        <v>74</v>
      </c>
      <c r="BQ778" s="1" t="s">
        <v>74</v>
      </c>
      <c r="BR778" s="1" t="s">
        <v>98</v>
      </c>
      <c r="BS778" s="1" t="s">
        <v>13254</v>
      </c>
      <c r="BT778" s="1" t="str">
        <f>HYPERLINK("https%3A%2F%2Fwww.webofscience.com%2Fwos%2Fwoscc%2Ffull-record%2FWOS:000300967400013","View Full Record in Web of Science")</f>
        <v>View Full Record in Web of Science</v>
      </c>
    </row>
    <row r="779" spans="1:72">
      <c r="A779" s="1" t="s">
        <v>72</v>
      </c>
      <c r="B779" s="1" t="s">
        <v>5396</v>
      </c>
      <c r="C779" s="1" t="s">
        <v>74</v>
      </c>
      <c r="D779" s="1" t="s">
        <v>74</v>
      </c>
      <c r="E779" s="1" t="s">
        <v>74</v>
      </c>
      <c r="F779" s="1" t="s">
        <v>5396</v>
      </c>
      <c r="G779" s="1" t="s">
        <v>74</v>
      </c>
      <c r="H779" s="1" t="s">
        <v>74</v>
      </c>
      <c r="I779" s="1" t="s">
        <v>13255</v>
      </c>
      <c r="J779" s="1" t="s">
        <v>2894</v>
      </c>
      <c r="K779" s="1" t="s">
        <v>74</v>
      </c>
      <c r="L779" s="1" t="s">
        <v>74</v>
      </c>
      <c r="M779" s="1" t="s">
        <v>78</v>
      </c>
      <c r="N779" s="1" t="s">
        <v>79</v>
      </c>
      <c r="O779" s="1" t="s">
        <v>74</v>
      </c>
      <c r="P779" s="1" t="s">
        <v>74</v>
      </c>
      <c r="Q779" s="1" t="s">
        <v>74</v>
      </c>
      <c r="R779" s="1" t="s">
        <v>74</v>
      </c>
      <c r="S779" s="1" t="s">
        <v>74</v>
      </c>
      <c r="T779" s="1" t="s">
        <v>13256</v>
      </c>
      <c r="U779" s="1" t="s">
        <v>13257</v>
      </c>
      <c r="V779" s="1" t="s">
        <v>13258</v>
      </c>
      <c r="W779" s="1" t="s">
        <v>74</v>
      </c>
      <c r="X779" s="1" t="s">
        <v>74</v>
      </c>
      <c r="Y779" s="1" t="s">
        <v>13259</v>
      </c>
      <c r="Z779" s="1" t="s">
        <v>74</v>
      </c>
      <c r="AA779" s="1" t="s">
        <v>5404</v>
      </c>
      <c r="AB779" s="1" t="s">
        <v>5405</v>
      </c>
      <c r="AC779" s="1" t="s">
        <v>74</v>
      </c>
      <c r="AD779" s="1" t="s">
        <v>74</v>
      </c>
      <c r="AE779" s="1" t="s">
        <v>74</v>
      </c>
      <c r="AF779" s="1" t="s">
        <v>74</v>
      </c>
      <c r="AG779" s="1">
        <v>20</v>
      </c>
      <c r="AH779" s="1">
        <v>32</v>
      </c>
      <c r="AI779" s="1">
        <v>34</v>
      </c>
      <c r="AJ779" s="1">
        <v>1</v>
      </c>
      <c r="AK779" s="1">
        <v>8</v>
      </c>
      <c r="AL779" s="1" t="s">
        <v>2904</v>
      </c>
      <c r="AM779" s="1" t="s">
        <v>2905</v>
      </c>
      <c r="AN779" s="1" t="s">
        <v>2906</v>
      </c>
      <c r="AO779" s="1" t="s">
        <v>2907</v>
      </c>
      <c r="AP779" s="1" t="s">
        <v>74</v>
      </c>
      <c r="AQ779" s="1" t="s">
        <v>74</v>
      </c>
      <c r="AR779" s="1" t="s">
        <v>2908</v>
      </c>
      <c r="AS779" s="1" t="s">
        <v>2909</v>
      </c>
      <c r="AT779" s="1" t="s">
        <v>267</v>
      </c>
      <c r="AU779" s="1">
        <v>1995</v>
      </c>
      <c r="AV779" s="1">
        <v>126</v>
      </c>
      <c r="AW779" s="1" t="s">
        <v>2847</v>
      </c>
      <c r="AX779" s="1" t="s">
        <v>74</v>
      </c>
      <c r="AY779" s="1" t="s">
        <v>74</v>
      </c>
      <c r="AZ779" s="1" t="s">
        <v>74</v>
      </c>
      <c r="BA779" s="1" t="s">
        <v>74</v>
      </c>
      <c r="BB779" s="1">
        <v>185</v>
      </c>
      <c r="BC779" s="1">
        <v>189</v>
      </c>
      <c r="BD779" s="1" t="s">
        <v>74</v>
      </c>
      <c r="BE779" s="1" t="s">
        <v>13260</v>
      </c>
      <c r="BF779" s="1" t="str">
        <f>HYPERLINK("http://dx.doi.org/10.3354/meps126185","http://dx.doi.org/10.3354/meps126185")</f>
        <v>http://dx.doi.org/10.3354/meps126185</v>
      </c>
      <c r="BG779" s="1" t="s">
        <v>74</v>
      </c>
      <c r="BH779" s="1" t="s">
        <v>74</v>
      </c>
      <c r="BI779" s="1">
        <v>5</v>
      </c>
      <c r="BJ779" s="1" t="s">
        <v>2911</v>
      </c>
      <c r="BK779" s="1" t="s">
        <v>96</v>
      </c>
      <c r="BL779" s="1" t="s">
        <v>2912</v>
      </c>
      <c r="BM779" s="1" t="s">
        <v>13261</v>
      </c>
      <c r="BN779" s="1" t="s">
        <v>74</v>
      </c>
      <c r="BO779" s="1" t="s">
        <v>370</v>
      </c>
      <c r="BP779" s="1" t="s">
        <v>74</v>
      </c>
      <c r="BQ779" s="1" t="s">
        <v>74</v>
      </c>
      <c r="BR779" s="1" t="s">
        <v>98</v>
      </c>
      <c r="BS779" s="1" t="s">
        <v>13262</v>
      </c>
      <c r="BT779" s="1" t="str">
        <f>HYPERLINK("https%3A%2F%2Fwww.webofscience.com%2Fwos%2Fwoscc%2Ffull-record%2FWOS:A1995TD59800016","View Full Record in Web of Science")</f>
        <v>View Full Record in Web of Science</v>
      </c>
    </row>
    <row r="780" spans="1:72">
      <c r="A780" s="1" t="s">
        <v>72</v>
      </c>
      <c r="B780" s="1" t="s">
        <v>13263</v>
      </c>
      <c r="C780" s="1" t="s">
        <v>74</v>
      </c>
      <c r="D780" s="1" t="s">
        <v>74</v>
      </c>
      <c r="E780" s="1" t="s">
        <v>74</v>
      </c>
      <c r="F780" s="1" t="s">
        <v>13263</v>
      </c>
      <c r="G780" s="1" t="s">
        <v>74</v>
      </c>
      <c r="H780" s="1" t="s">
        <v>74</v>
      </c>
      <c r="I780" s="1" t="s">
        <v>13264</v>
      </c>
      <c r="J780" s="1" t="s">
        <v>752</v>
      </c>
      <c r="K780" s="1" t="s">
        <v>74</v>
      </c>
      <c r="L780" s="1" t="s">
        <v>74</v>
      </c>
      <c r="M780" s="1" t="s">
        <v>78</v>
      </c>
      <c r="N780" s="1" t="s">
        <v>79</v>
      </c>
      <c r="O780" s="1" t="s">
        <v>74</v>
      </c>
      <c r="P780" s="1" t="s">
        <v>74</v>
      </c>
      <c r="Q780" s="1" t="s">
        <v>74</v>
      </c>
      <c r="R780" s="1" t="s">
        <v>74</v>
      </c>
      <c r="S780" s="1" t="s">
        <v>74</v>
      </c>
      <c r="T780" s="1" t="s">
        <v>13265</v>
      </c>
      <c r="U780" s="1" t="s">
        <v>13266</v>
      </c>
      <c r="V780" s="1" t="s">
        <v>13267</v>
      </c>
      <c r="W780" s="1" t="s">
        <v>13268</v>
      </c>
      <c r="X780" s="1" t="s">
        <v>12879</v>
      </c>
      <c r="Y780" s="1" t="s">
        <v>13269</v>
      </c>
      <c r="Z780" s="1" t="s">
        <v>74</v>
      </c>
      <c r="AA780" s="1" t="s">
        <v>6355</v>
      </c>
      <c r="AB780" s="1" t="s">
        <v>6356</v>
      </c>
      <c r="AC780" s="1" t="s">
        <v>74</v>
      </c>
      <c r="AD780" s="1" t="s">
        <v>74</v>
      </c>
      <c r="AE780" s="1" t="s">
        <v>74</v>
      </c>
      <c r="AF780" s="1" t="s">
        <v>74</v>
      </c>
      <c r="AG780" s="1">
        <v>30</v>
      </c>
      <c r="AH780" s="1">
        <v>10</v>
      </c>
      <c r="AI780" s="1">
        <v>13</v>
      </c>
      <c r="AJ780" s="1">
        <v>0</v>
      </c>
      <c r="AK780" s="1">
        <v>20</v>
      </c>
      <c r="AL780" s="1" t="s">
        <v>430</v>
      </c>
      <c r="AM780" s="1" t="s">
        <v>137</v>
      </c>
      <c r="AN780" s="1" t="s">
        <v>431</v>
      </c>
      <c r="AO780" s="1" t="s">
        <v>761</v>
      </c>
      <c r="AP780" s="1" t="s">
        <v>74</v>
      </c>
      <c r="AQ780" s="1" t="s">
        <v>74</v>
      </c>
      <c r="AR780" s="1" t="s">
        <v>763</v>
      </c>
      <c r="AS780" s="1" t="s">
        <v>764</v>
      </c>
      <c r="AT780" s="1" t="s">
        <v>119</v>
      </c>
      <c r="AU780" s="1">
        <v>2002</v>
      </c>
      <c r="AV780" s="1">
        <v>54</v>
      </c>
      <c r="AW780" s="1">
        <v>2</v>
      </c>
      <c r="AX780" s="1" t="s">
        <v>74</v>
      </c>
      <c r="AY780" s="1" t="s">
        <v>74</v>
      </c>
      <c r="AZ780" s="1" t="s">
        <v>74</v>
      </c>
      <c r="BA780" s="1" t="s">
        <v>74</v>
      </c>
      <c r="BB780" s="1">
        <v>147</v>
      </c>
      <c r="BC780" s="1">
        <v>155</v>
      </c>
      <c r="BD780" s="1" t="s">
        <v>13270</v>
      </c>
      <c r="BE780" s="1" t="s">
        <v>13271</v>
      </c>
      <c r="BF780" s="1" t="str">
        <f>HYPERLINK("http://dx.doi.org/10.1016/S0141-1136(02)00100-9","http://dx.doi.org/10.1016/S0141-1136(02)00100-9")</f>
        <v>http://dx.doi.org/10.1016/S0141-1136(02)00100-9</v>
      </c>
      <c r="BG780" s="1" t="s">
        <v>74</v>
      </c>
      <c r="BH780" s="1" t="s">
        <v>74</v>
      </c>
      <c r="BI780" s="1">
        <v>9</v>
      </c>
      <c r="BJ780" s="1" t="s">
        <v>768</v>
      </c>
      <c r="BK780" s="1" t="s">
        <v>96</v>
      </c>
      <c r="BL780" s="1" t="s">
        <v>769</v>
      </c>
      <c r="BM780" s="1" t="s">
        <v>13272</v>
      </c>
      <c r="BN780" s="1">
        <v>12206407</v>
      </c>
      <c r="BO780" s="1" t="s">
        <v>74</v>
      </c>
      <c r="BP780" s="1" t="s">
        <v>74</v>
      </c>
      <c r="BQ780" s="1" t="s">
        <v>74</v>
      </c>
      <c r="BR780" s="1" t="s">
        <v>98</v>
      </c>
      <c r="BS780" s="1" t="s">
        <v>13273</v>
      </c>
      <c r="BT780" s="1" t="str">
        <f>HYPERLINK("https%3A%2F%2Fwww.webofscience.com%2Fwos%2Fwoscc%2Ffull-record%2FWOS:000177010700003","View Full Record in Web of Science")</f>
        <v>View Full Record in Web of Science</v>
      </c>
    </row>
    <row r="781" spans="1:72">
      <c r="A781" s="1" t="s">
        <v>72</v>
      </c>
      <c r="B781" s="1" t="s">
        <v>13274</v>
      </c>
      <c r="C781" s="1" t="s">
        <v>74</v>
      </c>
      <c r="D781" s="1" t="s">
        <v>74</v>
      </c>
      <c r="E781" s="1" t="s">
        <v>74</v>
      </c>
      <c r="F781" s="1" t="s">
        <v>13275</v>
      </c>
      <c r="G781" s="1" t="s">
        <v>74</v>
      </c>
      <c r="H781" s="1" t="s">
        <v>74</v>
      </c>
      <c r="I781" s="1" t="s">
        <v>13276</v>
      </c>
      <c r="J781" s="1" t="s">
        <v>13277</v>
      </c>
      <c r="K781" s="1" t="s">
        <v>74</v>
      </c>
      <c r="L781" s="1" t="s">
        <v>74</v>
      </c>
      <c r="M781" s="1" t="s">
        <v>78</v>
      </c>
      <c r="N781" s="1" t="s">
        <v>79</v>
      </c>
      <c r="O781" s="1" t="s">
        <v>74</v>
      </c>
      <c r="P781" s="1" t="s">
        <v>74</v>
      </c>
      <c r="Q781" s="1" t="s">
        <v>74</v>
      </c>
      <c r="R781" s="1" t="s">
        <v>74</v>
      </c>
      <c r="S781" s="1" t="s">
        <v>74</v>
      </c>
      <c r="T781" s="1" t="s">
        <v>13278</v>
      </c>
      <c r="U781" s="1" t="s">
        <v>13279</v>
      </c>
      <c r="V781" s="1" t="s">
        <v>13280</v>
      </c>
      <c r="W781" s="1" t="s">
        <v>13281</v>
      </c>
      <c r="X781" s="1" t="s">
        <v>4838</v>
      </c>
      <c r="Y781" s="1" t="s">
        <v>13282</v>
      </c>
      <c r="Z781" s="1" t="s">
        <v>13283</v>
      </c>
      <c r="AA781" s="1" t="s">
        <v>13284</v>
      </c>
      <c r="AB781" s="1" t="s">
        <v>13285</v>
      </c>
      <c r="AC781" s="1" t="s">
        <v>13286</v>
      </c>
      <c r="AD781" s="1" t="s">
        <v>13286</v>
      </c>
      <c r="AE781" s="1" t="s">
        <v>13287</v>
      </c>
      <c r="AF781" s="1" t="s">
        <v>74</v>
      </c>
      <c r="AG781" s="1">
        <v>54</v>
      </c>
      <c r="AH781" s="1">
        <v>38</v>
      </c>
      <c r="AI781" s="1">
        <v>39</v>
      </c>
      <c r="AJ781" s="1">
        <v>1</v>
      </c>
      <c r="AK781" s="1">
        <v>16</v>
      </c>
      <c r="AL781" s="1" t="s">
        <v>13288</v>
      </c>
      <c r="AM781" s="1" t="s">
        <v>13289</v>
      </c>
      <c r="AN781" s="1" t="s">
        <v>13290</v>
      </c>
      <c r="AO781" s="1" t="s">
        <v>13291</v>
      </c>
      <c r="AP781" s="1" t="s">
        <v>13292</v>
      </c>
      <c r="AQ781" s="1" t="s">
        <v>74</v>
      </c>
      <c r="AR781" s="1" t="s">
        <v>13293</v>
      </c>
      <c r="AS781" s="1" t="s">
        <v>13294</v>
      </c>
      <c r="AT781" s="1" t="s">
        <v>1223</v>
      </c>
      <c r="AU781" s="1">
        <v>2011</v>
      </c>
      <c r="AV781" s="1">
        <v>27</v>
      </c>
      <c r="AW781" s="1">
        <v>2</v>
      </c>
      <c r="AX781" s="1" t="s">
        <v>74</v>
      </c>
      <c r="AY781" s="1" t="s">
        <v>74</v>
      </c>
      <c r="AZ781" s="1" t="s">
        <v>74</v>
      </c>
      <c r="BA781" s="1" t="s">
        <v>74</v>
      </c>
      <c r="BB781" s="1">
        <v>117</v>
      </c>
      <c r="BC781" s="1">
        <v>126</v>
      </c>
      <c r="BD781" s="1" t="s">
        <v>74</v>
      </c>
      <c r="BE781" s="1" t="s">
        <v>13295</v>
      </c>
      <c r="BF781" s="1" t="str">
        <f>HYPERLINK("http://dx.doi.org/10.1177/0748233710381892","http://dx.doi.org/10.1177/0748233710381892")</f>
        <v>http://dx.doi.org/10.1177/0748233710381892</v>
      </c>
      <c r="BG781" s="1" t="s">
        <v>74</v>
      </c>
      <c r="BH781" s="1" t="s">
        <v>74</v>
      </c>
      <c r="BI781" s="1">
        <v>10</v>
      </c>
      <c r="BJ781" s="1" t="s">
        <v>13296</v>
      </c>
      <c r="BK781" s="1" t="s">
        <v>96</v>
      </c>
      <c r="BL781" s="1" t="s">
        <v>13296</v>
      </c>
      <c r="BM781" s="1" t="s">
        <v>13297</v>
      </c>
      <c r="BN781" s="1">
        <v>20921056</v>
      </c>
      <c r="BO781" s="1" t="s">
        <v>74</v>
      </c>
      <c r="BP781" s="1" t="s">
        <v>74</v>
      </c>
      <c r="BQ781" s="1" t="s">
        <v>74</v>
      </c>
      <c r="BR781" s="1" t="s">
        <v>98</v>
      </c>
      <c r="BS781" s="1" t="s">
        <v>13298</v>
      </c>
      <c r="BT781" s="1" t="str">
        <f>HYPERLINK("https%3A%2F%2Fwww.webofscience.com%2Fwos%2Fwoscc%2Ffull-record%2FWOS:000287672200003","View Full Record in Web of Science")</f>
        <v>View Full Record in Web of Science</v>
      </c>
    </row>
    <row r="782" spans="1:72">
      <c r="A782" s="1" t="s">
        <v>72</v>
      </c>
      <c r="B782" s="1" t="s">
        <v>9342</v>
      </c>
      <c r="C782" s="1" t="s">
        <v>74</v>
      </c>
      <c r="D782" s="1" t="s">
        <v>74</v>
      </c>
      <c r="E782" s="1" t="s">
        <v>74</v>
      </c>
      <c r="F782" s="1" t="s">
        <v>9343</v>
      </c>
      <c r="G782" s="1" t="s">
        <v>74</v>
      </c>
      <c r="H782" s="1" t="s">
        <v>74</v>
      </c>
      <c r="I782" s="1" t="s">
        <v>13299</v>
      </c>
      <c r="J782" s="1" t="s">
        <v>909</v>
      </c>
      <c r="K782" s="1" t="s">
        <v>74</v>
      </c>
      <c r="L782" s="1" t="s">
        <v>74</v>
      </c>
      <c r="M782" s="1" t="s">
        <v>78</v>
      </c>
      <c r="N782" s="1" t="s">
        <v>79</v>
      </c>
      <c r="O782" s="1" t="s">
        <v>74</v>
      </c>
      <c r="P782" s="1" t="s">
        <v>74</v>
      </c>
      <c r="Q782" s="1" t="s">
        <v>74</v>
      </c>
      <c r="R782" s="1" t="s">
        <v>74</v>
      </c>
      <c r="S782" s="1" t="s">
        <v>74</v>
      </c>
      <c r="T782" s="1" t="s">
        <v>13300</v>
      </c>
      <c r="U782" s="1" t="s">
        <v>13301</v>
      </c>
      <c r="V782" s="1" t="s">
        <v>13302</v>
      </c>
      <c r="W782" s="1" t="s">
        <v>13303</v>
      </c>
      <c r="X782" s="1" t="s">
        <v>9349</v>
      </c>
      <c r="Y782" s="1" t="s">
        <v>13304</v>
      </c>
      <c r="Z782" s="1" t="s">
        <v>3709</v>
      </c>
      <c r="AA782" s="1" t="s">
        <v>3710</v>
      </c>
      <c r="AB782" s="1" t="s">
        <v>74</v>
      </c>
      <c r="AC782" s="1" t="s">
        <v>9351</v>
      </c>
      <c r="AD782" s="1" t="s">
        <v>9352</v>
      </c>
      <c r="AE782" s="1" t="s">
        <v>13305</v>
      </c>
      <c r="AF782" s="1" t="s">
        <v>74</v>
      </c>
      <c r="AG782" s="1">
        <v>53</v>
      </c>
      <c r="AH782" s="1">
        <v>29</v>
      </c>
      <c r="AI782" s="1">
        <v>31</v>
      </c>
      <c r="AJ782" s="1">
        <v>22</v>
      </c>
      <c r="AK782" s="1">
        <v>88</v>
      </c>
      <c r="AL782" s="1" t="s">
        <v>650</v>
      </c>
      <c r="AM782" s="1" t="s">
        <v>651</v>
      </c>
      <c r="AN782" s="1" t="s">
        <v>652</v>
      </c>
      <c r="AO782" s="1" t="s">
        <v>921</v>
      </c>
      <c r="AP782" s="1" t="s">
        <v>922</v>
      </c>
      <c r="AQ782" s="1" t="s">
        <v>74</v>
      </c>
      <c r="AR782" s="1" t="s">
        <v>923</v>
      </c>
      <c r="AS782" s="1" t="s">
        <v>924</v>
      </c>
      <c r="AT782" s="1" t="s">
        <v>13306</v>
      </c>
      <c r="AU782" s="1">
        <v>2021</v>
      </c>
      <c r="AV782" s="1">
        <v>779</v>
      </c>
      <c r="AW782" s="1" t="s">
        <v>74</v>
      </c>
      <c r="AX782" s="1" t="s">
        <v>74</v>
      </c>
      <c r="AY782" s="1" t="s">
        <v>74</v>
      </c>
      <c r="AZ782" s="1" t="s">
        <v>74</v>
      </c>
      <c r="BA782" s="1" t="s">
        <v>74</v>
      </c>
      <c r="BB782" s="1" t="s">
        <v>74</v>
      </c>
      <c r="BC782" s="1" t="s">
        <v>74</v>
      </c>
      <c r="BD782" s="1">
        <v>146479</v>
      </c>
      <c r="BE782" s="1" t="s">
        <v>13307</v>
      </c>
      <c r="BF782" s="1" t="str">
        <f>HYPERLINK("http://dx.doi.org/10.1016/j.scitotenv.2021.146479","http://dx.doi.org/10.1016/j.scitotenv.2021.146479")</f>
        <v>http://dx.doi.org/10.1016/j.scitotenv.2021.146479</v>
      </c>
      <c r="BG782" s="1" t="s">
        <v>74</v>
      </c>
      <c r="BH782" s="1" t="s">
        <v>992</v>
      </c>
      <c r="BI782" s="1">
        <v>11</v>
      </c>
      <c r="BJ782" s="1" t="s">
        <v>144</v>
      </c>
      <c r="BK782" s="1" t="s">
        <v>96</v>
      </c>
      <c r="BL782" s="1" t="s">
        <v>145</v>
      </c>
      <c r="BM782" s="1" t="s">
        <v>13308</v>
      </c>
      <c r="BN782" s="1">
        <v>33744590</v>
      </c>
      <c r="BO782" s="1" t="s">
        <v>1752</v>
      </c>
      <c r="BP782" s="1" t="s">
        <v>74</v>
      </c>
      <c r="BQ782" s="1" t="s">
        <v>74</v>
      </c>
      <c r="BR782" s="1" t="s">
        <v>98</v>
      </c>
      <c r="BS782" s="1" t="s">
        <v>13309</v>
      </c>
      <c r="BT782" s="1" t="str">
        <f>HYPERLINK("https%3A%2F%2Fwww.webofscience.com%2Fwos%2Fwoscc%2Ffull-record%2FWOS:000655685000012","View Full Record in Web of Science")</f>
        <v>View Full Record in Web of Science</v>
      </c>
    </row>
    <row r="783" spans="1:72">
      <c r="A783" s="1" t="s">
        <v>72</v>
      </c>
      <c r="B783" s="1" t="s">
        <v>13310</v>
      </c>
      <c r="C783" s="1" t="s">
        <v>74</v>
      </c>
      <c r="D783" s="1" t="s">
        <v>74</v>
      </c>
      <c r="E783" s="1" t="s">
        <v>74</v>
      </c>
      <c r="F783" s="1" t="s">
        <v>13311</v>
      </c>
      <c r="G783" s="1" t="s">
        <v>74</v>
      </c>
      <c r="H783" s="1" t="s">
        <v>74</v>
      </c>
      <c r="I783" s="1" t="s">
        <v>13312</v>
      </c>
      <c r="J783" s="1" t="s">
        <v>909</v>
      </c>
      <c r="K783" s="1" t="s">
        <v>74</v>
      </c>
      <c r="L783" s="1" t="s">
        <v>74</v>
      </c>
      <c r="M783" s="1" t="s">
        <v>78</v>
      </c>
      <c r="N783" s="1" t="s">
        <v>79</v>
      </c>
      <c r="O783" s="1" t="s">
        <v>74</v>
      </c>
      <c r="P783" s="1" t="s">
        <v>74</v>
      </c>
      <c r="Q783" s="1" t="s">
        <v>74</v>
      </c>
      <c r="R783" s="1" t="s">
        <v>74</v>
      </c>
      <c r="S783" s="1" t="s">
        <v>74</v>
      </c>
      <c r="T783" s="1" t="s">
        <v>13313</v>
      </c>
      <c r="U783" s="1" t="s">
        <v>13314</v>
      </c>
      <c r="V783" s="1" t="s">
        <v>13315</v>
      </c>
      <c r="W783" s="1" t="s">
        <v>13316</v>
      </c>
      <c r="X783" s="1" t="s">
        <v>4529</v>
      </c>
      <c r="Y783" s="1" t="s">
        <v>13317</v>
      </c>
      <c r="Z783" s="1" t="s">
        <v>13318</v>
      </c>
      <c r="AA783" s="1" t="s">
        <v>13319</v>
      </c>
      <c r="AB783" s="1" t="s">
        <v>13320</v>
      </c>
      <c r="AC783" s="1" t="s">
        <v>13321</v>
      </c>
      <c r="AD783" s="1" t="s">
        <v>13322</v>
      </c>
      <c r="AE783" s="1" t="s">
        <v>13323</v>
      </c>
      <c r="AF783" s="1" t="s">
        <v>74</v>
      </c>
      <c r="AG783" s="1">
        <v>102</v>
      </c>
      <c r="AH783" s="1">
        <v>55</v>
      </c>
      <c r="AI783" s="1">
        <v>58</v>
      </c>
      <c r="AJ783" s="1">
        <v>11</v>
      </c>
      <c r="AK783" s="1">
        <v>194</v>
      </c>
      <c r="AL783" s="1" t="s">
        <v>650</v>
      </c>
      <c r="AM783" s="1" t="s">
        <v>651</v>
      </c>
      <c r="AN783" s="1" t="s">
        <v>652</v>
      </c>
      <c r="AO783" s="1" t="s">
        <v>921</v>
      </c>
      <c r="AP783" s="1" t="s">
        <v>922</v>
      </c>
      <c r="AQ783" s="1" t="s">
        <v>74</v>
      </c>
      <c r="AR783" s="1" t="s">
        <v>923</v>
      </c>
      <c r="AS783" s="1" t="s">
        <v>924</v>
      </c>
      <c r="AT783" s="1" t="s">
        <v>546</v>
      </c>
      <c r="AU783" s="1">
        <v>2018</v>
      </c>
      <c r="AV783" s="1">
        <v>642</v>
      </c>
      <c r="AW783" s="1" t="s">
        <v>74</v>
      </c>
      <c r="AX783" s="1" t="s">
        <v>74</v>
      </c>
      <c r="AY783" s="1" t="s">
        <v>74</v>
      </c>
      <c r="AZ783" s="1" t="s">
        <v>74</v>
      </c>
      <c r="BA783" s="1" t="s">
        <v>74</v>
      </c>
      <c r="BB783" s="1">
        <v>809</v>
      </c>
      <c r="BC783" s="1">
        <v>823</v>
      </c>
      <c r="BD783" s="1" t="s">
        <v>74</v>
      </c>
      <c r="BE783" s="1" t="s">
        <v>13324</v>
      </c>
      <c r="BF783" s="1" t="str">
        <f>HYPERLINK("http://dx.doi.org/10.1016/j.scitotenv.2018.06.126","http://dx.doi.org/10.1016/j.scitotenv.2018.06.126")</f>
        <v>http://dx.doi.org/10.1016/j.scitotenv.2018.06.126</v>
      </c>
      <c r="BG783" s="1" t="s">
        <v>74</v>
      </c>
      <c r="BH783" s="1" t="s">
        <v>74</v>
      </c>
      <c r="BI783" s="1">
        <v>15</v>
      </c>
      <c r="BJ783" s="1" t="s">
        <v>144</v>
      </c>
      <c r="BK783" s="1" t="s">
        <v>96</v>
      </c>
      <c r="BL783" s="1" t="s">
        <v>145</v>
      </c>
      <c r="BM783" s="1" t="s">
        <v>13325</v>
      </c>
      <c r="BN783" s="1">
        <v>29925053</v>
      </c>
      <c r="BO783" s="1" t="s">
        <v>74</v>
      </c>
      <c r="BP783" s="1" t="s">
        <v>74</v>
      </c>
      <c r="BQ783" s="1" t="s">
        <v>74</v>
      </c>
      <c r="BR783" s="1" t="s">
        <v>98</v>
      </c>
      <c r="BS783" s="1" t="s">
        <v>13326</v>
      </c>
      <c r="BT783" s="1" t="str">
        <f>HYPERLINK("https%3A%2F%2Fwww.webofscience.com%2Fwos%2Fwoscc%2Ffull-record%2FWOS:000439405600080","View Full Record in Web of Science")</f>
        <v>View Full Record in Web of Science</v>
      </c>
    </row>
    <row r="784" spans="1:72">
      <c r="A784" s="1" t="s">
        <v>72</v>
      </c>
      <c r="B784" s="1" t="s">
        <v>13327</v>
      </c>
      <c r="C784" s="1" t="s">
        <v>74</v>
      </c>
      <c r="D784" s="1" t="s">
        <v>74</v>
      </c>
      <c r="E784" s="1" t="s">
        <v>74</v>
      </c>
      <c r="F784" s="1" t="s">
        <v>13327</v>
      </c>
      <c r="G784" s="1" t="s">
        <v>74</v>
      </c>
      <c r="H784" s="1" t="s">
        <v>74</v>
      </c>
      <c r="I784" s="1" t="s">
        <v>13328</v>
      </c>
      <c r="J784" s="1" t="s">
        <v>232</v>
      </c>
      <c r="K784" s="1" t="s">
        <v>74</v>
      </c>
      <c r="L784" s="1" t="s">
        <v>74</v>
      </c>
      <c r="M784" s="1" t="s">
        <v>78</v>
      </c>
      <c r="N784" s="1" t="s">
        <v>79</v>
      </c>
      <c r="O784" s="1" t="s">
        <v>74</v>
      </c>
      <c r="P784" s="1" t="s">
        <v>74</v>
      </c>
      <c r="Q784" s="1" t="s">
        <v>74</v>
      </c>
      <c r="R784" s="1" t="s">
        <v>74</v>
      </c>
      <c r="S784" s="1" t="s">
        <v>74</v>
      </c>
      <c r="T784" s="1" t="s">
        <v>13329</v>
      </c>
      <c r="U784" s="1" t="s">
        <v>13330</v>
      </c>
      <c r="V784" s="1" t="s">
        <v>13331</v>
      </c>
      <c r="W784" s="1" t="s">
        <v>13332</v>
      </c>
      <c r="X784" s="1" t="s">
        <v>13333</v>
      </c>
      <c r="Y784" s="1" t="s">
        <v>13334</v>
      </c>
      <c r="Z784" s="1" t="s">
        <v>74</v>
      </c>
      <c r="AA784" s="1" t="s">
        <v>13335</v>
      </c>
      <c r="AB784" s="1" t="s">
        <v>13336</v>
      </c>
      <c r="AC784" s="1" t="s">
        <v>74</v>
      </c>
      <c r="AD784" s="1" t="s">
        <v>74</v>
      </c>
      <c r="AE784" s="1" t="s">
        <v>74</v>
      </c>
      <c r="AF784" s="1" t="s">
        <v>74</v>
      </c>
      <c r="AG784" s="1">
        <v>51</v>
      </c>
      <c r="AH784" s="1">
        <v>26</v>
      </c>
      <c r="AI784" s="1">
        <v>29</v>
      </c>
      <c r="AJ784" s="1">
        <v>0</v>
      </c>
      <c r="AK784" s="1">
        <v>12</v>
      </c>
      <c r="AL784" s="1" t="s">
        <v>136</v>
      </c>
      <c r="AM784" s="1" t="s">
        <v>137</v>
      </c>
      <c r="AN784" s="1" t="s">
        <v>138</v>
      </c>
      <c r="AO784" s="1" t="s">
        <v>240</v>
      </c>
      <c r="AP784" s="1" t="s">
        <v>241</v>
      </c>
      <c r="AQ784" s="1" t="s">
        <v>74</v>
      </c>
      <c r="AR784" s="1" t="s">
        <v>242</v>
      </c>
      <c r="AS784" s="1" t="s">
        <v>243</v>
      </c>
      <c r="AT784" s="1" t="s">
        <v>197</v>
      </c>
      <c r="AU784" s="1">
        <v>1997</v>
      </c>
      <c r="AV784" s="1">
        <v>34</v>
      </c>
      <c r="AW784" s="1">
        <v>12</v>
      </c>
      <c r="AX784" s="1" t="s">
        <v>74</v>
      </c>
      <c r="AY784" s="1" t="s">
        <v>74</v>
      </c>
      <c r="AZ784" s="1" t="s">
        <v>74</v>
      </c>
      <c r="BA784" s="1" t="s">
        <v>74</v>
      </c>
      <c r="BB784" s="1">
        <v>992</v>
      </c>
      <c r="BC784" s="1">
        <v>1000</v>
      </c>
      <c r="BD784" s="1" t="s">
        <v>74</v>
      </c>
      <c r="BE784" s="1" t="s">
        <v>13337</v>
      </c>
      <c r="BF784" s="1" t="str">
        <f>HYPERLINK("http://dx.doi.org/10.1016/S0025-326X(97)00116-1","http://dx.doi.org/10.1016/S0025-326X(97)00116-1")</f>
        <v>http://dx.doi.org/10.1016/S0025-326X(97)00116-1</v>
      </c>
      <c r="BG784" s="1" t="s">
        <v>74</v>
      </c>
      <c r="BH784" s="1" t="s">
        <v>74</v>
      </c>
      <c r="BI784" s="1">
        <v>9</v>
      </c>
      <c r="BJ784" s="1" t="s">
        <v>247</v>
      </c>
      <c r="BK784" s="1" t="s">
        <v>96</v>
      </c>
      <c r="BL784" s="1" t="s">
        <v>248</v>
      </c>
      <c r="BM784" s="1" t="s">
        <v>13338</v>
      </c>
      <c r="BN784" s="1" t="s">
        <v>74</v>
      </c>
      <c r="BO784" s="1" t="s">
        <v>74</v>
      </c>
      <c r="BP784" s="1" t="s">
        <v>74</v>
      </c>
      <c r="BQ784" s="1" t="s">
        <v>74</v>
      </c>
      <c r="BR784" s="1" t="s">
        <v>98</v>
      </c>
      <c r="BS784" s="1" t="s">
        <v>13339</v>
      </c>
      <c r="BT784" s="1" t="str">
        <f>HYPERLINK("https%3A%2F%2Fwww.webofscience.com%2Fwos%2Fwoscc%2Ffull-record%2FWOS:000072153500010","View Full Record in Web of Science")</f>
        <v>View Full Record in Web of Science</v>
      </c>
    </row>
    <row r="785" spans="1:72">
      <c r="A785" s="1" t="s">
        <v>72</v>
      </c>
      <c r="B785" s="1" t="s">
        <v>13340</v>
      </c>
      <c r="C785" s="1" t="s">
        <v>74</v>
      </c>
      <c r="D785" s="1" t="s">
        <v>74</v>
      </c>
      <c r="E785" s="1" t="s">
        <v>74</v>
      </c>
      <c r="F785" s="1" t="s">
        <v>13340</v>
      </c>
      <c r="G785" s="1" t="s">
        <v>74</v>
      </c>
      <c r="H785" s="1" t="s">
        <v>74</v>
      </c>
      <c r="I785" s="1" t="s">
        <v>13341</v>
      </c>
      <c r="J785" s="1" t="s">
        <v>13342</v>
      </c>
      <c r="K785" s="1" t="s">
        <v>74</v>
      </c>
      <c r="L785" s="1" t="s">
        <v>74</v>
      </c>
      <c r="M785" s="1" t="s">
        <v>78</v>
      </c>
      <c r="N785" s="1" t="s">
        <v>79</v>
      </c>
      <c r="O785" s="1" t="s">
        <v>74</v>
      </c>
      <c r="P785" s="1" t="s">
        <v>74</v>
      </c>
      <c r="Q785" s="1" t="s">
        <v>74</v>
      </c>
      <c r="R785" s="1" t="s">
        <v>74</v>
      </c>
      <c r="S785" s="1" t="s">
        <v>74</v>
      </c>
      <c r="T785" s="1" t="s">
        <v>74</v>
      </c>
      <c r="U785" s="1" t="s">
        <v>74</v>
      </c>
      <c r="V785" s="1" t="s">
        <v>13343</v>
      </c>
      <c r="W785" s="1" t="s">
        <v>13344</v>
      </c>
      <c r="X785" s="1" t="s">
        <v>13345</v>
      </c>
      <c r="Y785" s="1" t="s">
        <v>74</v>
      </c>
      <c r="Z785" s="1" t="s">
        <v>74</v>
      </c>
      <c r="AA785" s="1" t="s">
        <v>74</v>
      </c>
      <c r="AB785" s="1" t="s">
        <v>74</v>
      </c>
      <c r="AC785" s="1" t="s">
        <v>74</v>
      </c>
      <c r="AD785" s="1" t="s">
        <v>74</v>
      </c>
      <c r="AE785" s="1" t="s">
        <v>74</v>
      </c>
      <c r="AF785" s="1" t="s">
        <v>74</v>
      </c>
      <c r="AG785" s="1">
        <v>20</v>
      </c>
      <c r="AH785" s="1">
        <v>5</v>
      </c>
      <c r="AI785" s="1">
        <v>5</v>
      </c>
      <c r="AJ785" s="1">
        <v>0</v>
      </c>
      <c r="AK785" s="1">
        <v>5</v>
      </c>
      <c r="AL785" s="1" t="s">
        <v>9707</v>
      </c>
      <c r="AM785" s="1" t="s">
        <v>286</v>
      </c>
      <c r="AN785" s="1" t="s">
        <v>13346</v>
      </c>
      <c r="AO785" s="1" t="s">
        <v>13347</v>
      </c>
      <c r="AP785" s="1" t="s">
        <v>74</v>
      </c>
      <c r="AQ785" s="1" t="s">
        <v>74</v>
      </c>
      <c r="AR785" s="1" t="s">
        <v>13348</v>
      </c>
      <c r="AS785" s="1" t="s">
        <v>74</v>
      </c>
      <c r="AT785" s="1" t="s">
        <v>93</v>
      </c>
      <c r="AU785" s="1">
        <v>1988</v>
      </c>
      <c r="AV785" s="1">
        <v>9</v>
      </c>
      <c r="AW785" s="1">
        <v>4</v>
      </c>
      <c r="AX785" s="1" t="s">
        <v>74</v>
      </c>
      <c r="AY785" s="1" t="s">
        <v>74</v>
      </c>
      <c r="AZ785" s="1" t="s">
        <v>74</v>
      </c>
      <c r="BA785" s="1" t="s">
        <v>74</v>
      </c>
      <c r="BB785" s="1">
        <v>331</v>
      </c>
      <c r="BC785" s="1">
        <v>336</v>
      </c>
      <c r="BD785" s="1" t="s">
        <v>74</v>
      </c>
      <c r="BE785" s="1" t="s">
        <v>13349</v>
      </c>
      <c r="BF785" s="1" t="str">
        <f>HYPERLINK("http://dx.doi.org/10.1080/09593338809384574","http://dx.doi.org/10.1080/09593338809384574")</f>
        <v>http://dx.doi.org/10.1080/09593338809384574</v>
      </c>
      <c r="BG785" s="1" t="s">
        <v>74</v>
      </c>
      <c r="BH785" s="1" t="s">
        <v>74</v>
      </c>
      <c r="BI785" s="1">
        <v>6</v>
      </c>
      <c r="BJ785" s="1" t="s">
        <v>144</v>
      </c>
      <c r="BK785" s="1" t="s">
        <v>96</v>
      </c>
      <c r="BL785" s="1" t="s">
        <v>145</v>
      </c>
      <c r="BM785" s="1" t="s">
        <v>13350</v>
      </c>
      <c r="BN785" s="1" t="s">
        <v>74</v>
      </c>
      <c r="BO785" s="1" t="s">
        <v>74</v>
      </c>
      <c r="BP785" s="1" t="s">
        <v>74</v>
      </c>
      <c r="BQ785" s="1" t="s">
        <v>74</v>
      </c>
      <c r="BR785" s="1" t="s">
        <v>98</v>
      </c>
      <c r="BS785" s="1" t="s">
        <v>13351</v>
      </c>
      <c r="BT785" s="1" t="str">
        <f>HYPERLINK("https%3A%2F%2Fwww.webofscience.com%2Fwos%2Fwoscc%2Ffull-record%2FWOS:A1988N089300009","View Full Record in Web of Science")</f>
        <v>View Full Record in Web of Science</v>
      </c>
    </row>
    <row r="786" spans="1:72">
      <c r="A786" s="1" t="s">
        <v>72</v>
      </c>
      <c r="B786" s="1" t="s">
        <v>13352</v>
      </c>
      <c r="C786" s="1" t="s">
        <v>74</v>
      </c>
      <c r="D786" s="1" t="s">
        <v>74</v>
      </c>
      <c r="E786" s="1" t="s">
        <v>74</v>
      </c>
      <c r="F786" s="1" t="s">
        <v>13353</v>
      </c>
      <c r="G786" s="1" t="s">
        <v>74</v>
      </c>
      <c r="H786" s="1" t="s">
        <v>74</v>
      </c>
      <c r="I786" s="1" t="s">
        <v>13354</v>
      </c>
      <c r="J786" s="1" t="s">
        <v>495</v>
      </c>
      <c r="K786" s="1" t="s">
        <v>74</v>
      </c>
      <c r="L786" s="1" t="s">
        <v>74</v>
      </c>
      <c r="M786" s="1" t="s">
        <v>78</v>
      </c>
      <c r="N786" s="1" t="s">
        <v>79</v>
      </c>
      <c r="O786" s="1" t="s">
        <v>74</v>
      </c>
      <c r="P786" s="1" t="s">
        <v>74</v>
      </c>
      <c r="Q786" s="1" t="s">
        <v>74</v>
      </c>
      <c r="R786" s="1" t="s">
        <v>74</v>
      </c>
      <c r="S786" s="1" t="s">
        <v>74</v>
      </c>
      <c r="T786" s="1" t="s">
        <v>13355</v>
      </c>
      <c r="U786" s="1" t="s">
        <v>13356</v>
      </c>
      <c r="V786" s="1" t="s">
        <v>13357</v>
      </c>
      <c r="W786" s="1" t="s">
        <v>13358</v>
      </c>
      <c r="X786" s="1" t="s">
        <v>13359</v>
      </c>
      <c r="Y786" s="1" t="s">
        <v>13360</v>
      </c>
      <c r="Z786" s="1" t="s">
        <v>13361</v>
      </c>
      <c r="AA786" s="1" t="s">
        <v>13362</v>
      </c>
      <c r="AB786" s="1" t="s">
        <v>13363</v>
      </c>
      <c r="AC786" s="1" t="s">
        <v>13364</v>
      </c>
      <c r="AD786" s="1" t="s">
        <v>13364</v>
      </c>
      <c r="AE786" s="1" t="s">
        <v>13365</v>
      </c>
      <c r="AF786" s="1" t="s">
        <v>74</v>
      </c>
      <c r="AG786" s="1">
        <v>33</v>
      </c>
      <c r="AH786" s="1">
        <v>8</v>
      </c>
      <c r="AI786" s="1">
        <v>8</v>
      </c>
      <c r="AJ786" s="1">
        <v>1</v>
      </c>
      <c r="AK786" s="1">
        <v>10</v>
      </c>
      <c r="AL786" s="1" t="s">
        <v>1030</v>
      </c>
      <c r="AM786" s="1" t="s">
        <v>1031</v>
      </c>
      <c r="AN786" s="1" t="s">
        <v>1032</v>
      </c>
      <c r="AO786" s="1" t="s">
        <v>507</v>
      </c>
      <c r="AP786" s="1" t="s">
        <v>1033</v>
      </c>
      <c r="AQ786" s="1" t="s">
        <v>74</v>
      </c>
      <c r="AR786" s="1" t="s">
        <v>508</v>
      </c>
      <c r="AS786" s="1" t="s">
        <v>509</v>
      </c>
      <c r="AT786" s="1" t="s">
        <v>74</v>
      </c>
      <c r="AU786" s="1">
        <v>2013</v>
      </c>
      <c r="AV786" s="1">
        <v>22</v>
      </c>
      <c r="AW786" s="1">
        <v>10</v>
      </c>
      <c r="AX786" s="1" t="s">
        <v>74</v>
      </c>
      <c r="AY786" s="1" t="s">
        <v>74</v>
      </c>
      <c r="AZ786" s="1" t="s">
        <v>74</v>
      </c>
      <c r="BA786" s="1" t="s">
        <v>74</v>
      </c>
      <c r="BB786" s="1">
        <v>2855</v>
      </c>
      <c r="BC786" s="1">
        <v>2866</v>
      </c>
      <c r="BD786" s="1" t="s">
        <v>74</v>
      </c>
      <c r="BE786" s="1" t="s">
        <v>74</v>
      </c>
      <c r="BF786" s="1" t="s">
        <v>74</v>
      </c>
      <c r="BG786" s="1" t="s">
        <v>74</v>
      </c>
      <c r="BH786" s="1" t="s">
        <v>74</v>
      </c>
      <c r="BI786" s="1">
        <v>12</v>
      </c>
      <c r="BJ786" s="1" t="s">
        <v>144</v>
      </c>
      <c r="BK786" s="1" t="s">
        <v>96</v>
      </c>
      <c r="BL786" s="1" t="s">
        <v>145</v>
      </c>
      <c r="BM786" s="1" t="s">
        <v>13366</v>
      </c>
      <c r="BN786" s="1" t="s">
        <v>74</v>
      </c>
      <c r="BO786" s="1" t="s">
        <v>74</v>
      </c>
      <c r="BP786" s="1" t="s">
        <v>74</v>
      </c>
      <c r="BQ786" s="1" t="s">
        <v>74</v>
      </c>
      <c r="BR786" s="1" t="s">
        <v>98</v>
      </c>
      <c r="BS786" s="1" t="s">
        <v>13367</v>
      </c>
      <c r="BT786" s="1" t="str">
        <f>HYPERLINK("https%3A%2F%2Fwww.webofscience.com%2Fwos%2Fwoscc%2Ffull-record%2FWOS:000327108000008","View Full Record in Web of Science")</f>
        <v>View Full Record in Web of Science</v>
      </c>
    </row>
    <row r="787" spans="1:72">
      <c r="A787" s="1" t="s">
        <v>72</v>
      </c>
      <c r="B787" s="1" t="s">
        <v>13368</v>
      </c>
      <c r="C787" s="1" t="s">
        <v>74</v>
      </c>
      <c r="D787" s="1" t="s">
        <v>74</v>
      </c>
      <c r="E787" s="1" t="s">
        <v>74</v>
      </c>
      <c r="F787" s="1" t="s">
        <v>13368</v>
      </c>
      <c r="G787" s="1" t="s">
        <v>74</v>
      </c>
      <c r="H787" s="1" t="s">
        <v>74</v>
      </c>
      <c r="I787" s="1" t="s">
        <v>13369</v>
      </c>
      <c r="J787" s="1" t="s">
        <v>909</v>
      </c>
      <c r="K787" s="1" t="s">
        <v>74</v>
      </c>
      <c r="L787" s="1" t="s">
        <v>74</v>
      </c>
      <c r="M787" s="1" t="s">
        <v>78</v>
      </c>
      <c r="N787" s="1" t="s">
        <v>79</v>
      </c>
      <c r="O787" s="1" t="s">
        <v>74</v>
      </c>
      <c r="P787" s="1" t="s">
        <v>74</v>
      </c>
      <c r="Q787" s="1" t="s">
        <v>74</v>
      </c>
      <c r="R787" s="1" t="s">
        <v>74</v>
      </c>
      <c r="S787" s="1" t="s">
        <v>74</v>
      </c>
      <c r="T787" s="1" t="s">
        <v>13370</v>
      </c>
      <c r="U787" s="1" t="s">
        <v>13371</v>
      </c>
      <c r="V787" s="1" t="s">
        <v>13372</v>
      </c>
      <c r="W787" s="1" t="s">
        <v>13373</v>
      </c>
      <c r="X787" s="1" t="s">
        <v>559</v>
      </c>
      <c r="Y787" s="1" t="s">
        <v>13374</v>
      </c>
      <c r="Z787" s="1" t="s">
        <v>74</v>
      </c>
      <c r="AA787" s="1" t="s">
        <v>562</v>
      </c>
      <c r="AB787" s="1" t="s">
        <v>563</v>
      </c>
      <c r="AC787" s="1" t="s">
        <v>74</v>
      </c>
      <c r="AD787" s="1" t="s">
        <v>74</v>
      </c>
      <c r="AE787" s="1" t="s">
        <v>74</v>
      </c>
      <c r="AF787" s="1" t="s">
        <v>74</v>
      </c>
      <c r="AG787" s="1">
        <v>27</v>
      </c>
      <c r="AH787" s="1">
        <v>70</v>
      </c>
      <c r="AI787" s="1">
        <v>81</v>
      </c>
      <c r="AJ787" s="1">
        <v>1</v>
      </c>
      <c r="AK787" s="1">
        <v>27</v>
      </c>
      <c r="AL787" s="1" t="s">
        <v>919</v>
      </c>
      <c r="AM787" s="1" t="s">
        <v>651</v>
      </c>
      <c r="AN787" s="1" t="s">
        <v>920</v>
      </c>
      <c r="AO787" s="1" t="s">
        <v>921</v>
      </c>
      <c r="AP787" s="1" t="s">
        <v>74</v>
      </c>
      <c r="AQ787" s="1" t="s">
        <v>74</v>
      </c>
      <c r="AR787" s="1" t="s">
        <v>923</v>
      </c>
      <c r="AS787" s="1" t="s">
        <v>924</v>
      </c>
      <c r="AT787" s="1" t="s">
        <v>13375</v>
      </c>
      <c r="AU787" s="1">
        <v>1999</v>
      </c>
      <c r="AV787" s="1">
        <v>242</v>
      </c>
      <c r="AW787" s="1" t="s">
        <v>2847</v>
      </c>
      <c r="AX787" s="1" t="s">
        <v>74</v>
      </c>
      <c r="AY787" s="1" t="s">
        <v>74</v>
      </c>
      <c r="AZ787" s="1" t="s">
        <v>74</v>
      </c>
      <c r="BA787" s="1" t="s">
        <v>74</v>
      </c>
      <c r="BB787" s="1">
        <v>249</v>
      </c>
      <c r="BC787" s="1">
        <v>259</v>
      </c>
      <c r="BD787" s="1" t="s">
        <v>74</v>
      </c>
      <c r="BE787" s="1" t="s">
        <v>13376</v>
      </c>
      <c r="BF787" s="1" t="str">
        <f>HYPERLINK("http://dx.doi.org/10.1016/S0048-9697(99)00394-0","http://dx.doi.org/10.1016/S0048-9697(99)00394-0")</f>
        <v>http://dx.doi.org/10.1016/S0048-9697(99)00394-0</v>
      </c>
      <c r="BG787" s="1" t="s">
        <v>74</v>
      </c>
      <c r="BH787" s="1" t="s">
        <v>74</v>
      </c>
      <c r="BI787" s="1">
        <v>11</v>
      </c>
      <c r="BJ787" s="1" t="s">
        <v>144</v>
      </c>
      <c r="BK787" s="1" t="s">
        <v>96</v>
      </c>
      <c r="BL787" s="1" t="s">
        <v>145</v>
      </c>
      <c r="BM787" s="1" t="s">
        <v>13377</v>
      </c>
      <c r="BN787" s="1">
        <v>10635583</v>
      </c>
      <c r="BO787" s="1" t="s">
        <v>74</v>
      </c>
      <c r="BP787" s="1" t="s">
        <v>74</v>
      </c>
      <c r="BQ787" s="1" t="s">
        <v>74</v>
      </c>
      <c r="BR787" s="1" t="s">
        <v>98</v>
      </c>
      <c r="BS787" s="1" t="s">
        <v>13378</v>
      </c>
      <c r="BT787" s="1" t="str">
        <f>HYPERLINK("https%3A%2F%2Fwww.webofscience.com%2Fwos%2Fwoscc%2Ffull-record%2FWOS:000084565400018","View Full Record in Web of Science")</f>
        <v>View Full Record in Web of Science</v>
      </c>
    </row>
    <row r="788" spans="1:72">
      <c r="A788" s="1" t="s">
        <v>72</v>
      </c>
      <c r="B788" s="1" t="s">
        <v>13379</v>
      </c>
      <c r="C788" s="1" t="s">
        <v>74</v>
      </c>
      <c r="D788" s="1" t="s">
        <v>74</v>
      </c>
      <c r="E788" s="1" t="s">
        <v>74</v>
      </c>
      <c r="F788" s="1" t="s">
        <v>13380</v>
      </c>
      <c r="G788" s="1" t="s">
        <v>74</v>
      </c>
      <c r="H788" s="1" t="s">
        <v>74</v>
      </c>
      <c r="I788" s="1" t="s">
        <v>13381</v>
      </c>
      <c r="J788" s="1" t="s">
        <v>13382</v>
      </c>
      <c r="K788" s="1" t="s">
        <v>74</v>
      </c>
      <c r="L788" s="1" t="s">
        <v>74</v>
      </c>
      <c r="M788" s="1" t="s">
        <v>78</v>
      </c>
      <c r="N788" s="1" t="s">
        <v>79</v>
      </c>
      <c r="O788" s="1" t="s">
        <v>74</v>
      </c>
      <c r="P788" s="1" t="s">
        <v>74</v>
      </c>
      <c r="Q788" s="1" t="s">
        <v>74</v>
      </c>
      <c r="R788" s="1" t="s">
        <v>74</v>
      </c>
      <c r="S788" s="1" t="s">
        <v>74</v>
      </c>
      <c r="T788" s="1" t="s">
        <v>13383</v>
      </c>
      <c r="U788" s="1" t="s">
        <v>13384</v>
      </c>
      <c r="V788" s="1" t="s">
        <v>13385</v>
      </c>
      <c r="W788" s="1" t="s">
        <v>13386</v>
      </c>
      <c r="X788" s="1" t="s">
        <v>13387</v>
      </c>
      <c r="Y788" s="1" t="s">
        <v>13388</v>
      </c>
      <c r="Z788" s="1" t="s">
        <v>13389</v>
      </c>
      <c r="AA788" s="1" t="s">
        <v>74</v>
      </c>
      <c r="AB788" s="1" t="s">
        <v>9058</v>
      </c>
      <c r="AC788" s="1" t="s">
        <v>13390</v>
      </c>
      <c r="AD788" s="1" t="s">
        <v>13390</v>
      </c>
      <c r="AE788" s="1" t="s">
        <v>13391</v>
      </c>
      <c r="AF788" s="1" t="s">
        <v>74</v>
      </c>
      <c r="AG788" s="1">
        <v>55</v>
      </c>
      <c r="AH788" s="1">
        <v>16</v>
      </c>
      <c r="AI788" s="1">
        <v>17</v>
      </c>
      <c r="AJ788" s="1">
        <v>0</v>
      </c>
      <c r="AK788" s="1">
        <v>9</v>
      </c>
      <c r="AL788" s="1" t="s">
        <v>13392</v>
      </c>
      <c r="AM788" s="1" t="s">
        <v>286</v>
      </c>
      <c r="AN788" s="1" t="s">
        <v>2884</v>
      </c>
      <c r="AO788" s="1" t="s">
        <v>13393</v>
      </c>
      <c r="AP788" s="1" t="s">
        <v>13394</v>
      </c>
      <c r="AQ788" s="1" t="s">
        <v>74</v>
      </c>
      <c r="AR788" s="1" t="s">
        <v>13395</v>
      </c>
      <c r="AS788" s="1" t="s">
        <v>13396</v>
      </c>
      <c r="AT788" s="1" t="s">
        <v>4980</v>
      </c>
      <c r="AU788" s="1">
        <v>2020</v>
      </c>
      <c r="AV788" s="1">
        <v>32</v>
      </c>
      <c r="AW788" s="1">
        <v>1</v>
      </c>
      <c r="AX788" s="1" t="s">
        <v>74</v>
      </c>
      <c r="AY788" s="1" t="s">
        <v>74</v>
      </c>
      <c r="AZ788" s="1" t="s">
        <v>74</v>
      </c>
      <c r="BA788" s="1" t="s">
        <v>74</v>
      </c>
      <c r="BB788" s="1" t="s">
        <v>74</v>
      </c>
      <c r="BC788" s="1" t="s">
        <v>74</v>
      </c>
      <c r="BD788" s="1">
        <v>7</v>
      </c>
      <c r="BE788" s="1" t="s">
        <v>13397</v>
      </c>
      <c r="BF788" s="1" t="str">
        <f>HYPERLINK("http://dx.doi.org/10.1186/s12302-020-0289-7","http://dx.doi.org/10.1186/s12302-020-0289-7")</f>
        <v>http://dx.doi.org/10.1186/s12302-020-0289-7</v>
      </c>
      <c r="BG788" s="1" t="s">
        <v>74</v>
      </c>
      <c r="BH788" s="1" t="s">
        <v>74</v>
      </c>
      <c r="BI788" s="1">
        <v>13</v>
      </c>
      <c r="BJ788" s="1" t="s">
        <v>144</v>
      </c>
      <c r="BK788" s="1" t="s">
        <v>96</v>
      </c>
      <c r="BL788" s="1" t="s">
        <v>145</v>
      </c>
      <c r="BM788" s="1" t="s">
        <v>13398</v>
      </c>
      <c r="BN788" s="1" t="s">
        <v>74</v>
      </c>
      <c r="BO788" s="1" t="s">
        <v>873</v>
      </c>
      <c r="BP788" s="1" t="s">
        <v>74</v>
      </c>
      <c r="BQ788" s="1" t="s">
        <v>74</v>
      </c>
      <c r="BR788" s="1" t="s">
        <v>98</v>
      </c>
      <c r="BS788" s="1" t="s">
        <v>13399</v>
      </c>
      <c r="BT788" s="1" t="str">
        <f>HYPERLINK("https%3A%2F%2Fwww.webofscience.com%2Fwos%2Fwoscc%2Ffull-record%2FWOS:000512026500001","View Full Record in Web of Science")</f>
        <v>View Full Record in Web of Science</v>
      </c>
    </row>
    <row r="789" spans="1:72">
      <c r="A789" s="1" t="s">
        <v>72</v>
      </c>
      <c r="B789" s="1" t="s">
        <v>13400</v>
      </c>
      <c r="C789" s="1" t="s">
        <v>74</v>
      </c>
      <c r="D789" s="1" t="s">
        <v>74</v>
      </c>
      <c r="E789" s="1" t="s">
        <v>74</v>
      </c>
      <c r="F789" s="1" t="s">
        <v>13401</v>
      </c>
      <c r="G789" s="1" t="s">
        <v>74</v>
      </c>
      <c r="H789" s="1" t="s">
        <v>74</v>
      </c>
      <c r="I789" s="1" t="s">
        <v>13402</v>
      </c>
      <c r="J789" s="1" t="s">
        <v>127</v>
      </c>
      <c r="K789" s="1" t="s">
        <v>74</v>
      </c>
      <c r="L789" s="1" t="s">
        <v>74</v>
      </c>
      <c r="M789" s="1" t="s">
        <v>78</v>
      </c>
      <c r="N789" s="1" t="s">
        <v>79</v>
      </c>
      <c r="O789" s="1" t="s">
        <v>74</v>
      </c>
      <c r="P789" s="1" t="s">
        <v>74</v>
      </c>
      <c r="Q789" s="1" t="s">
        <v>74</v>
      </c>
      <c r="R789" s="1" t="s">
        <v>74</v>
      </c>
      <c r="S789" s="1" t="s">
        <v>74</v>
      </c>
      <c r="T789" s="1" t="s">
        <v>13403</v>
      </c>
      <c r="U789" s="1" t="s">
        <v>13404</v>
      </c>
      <c r="V789" s="1" t="s">
        <v>13405</v>
      </c>
      <c r="W789" s="1" t="s">
        <v>13406</v>
      </c>
      <c r="X789" s="1" t="s">
        <v>13407</v>
      </c>
      <c r="Y789" s="1" t="s">
        <v>13408</v>
      </c>
      <c r="Z789" s="1" t="s">
        <v>13409</v>
      </c>
      <c r="AA789" s="1" t="s">
        <v>13410</v>
      </c>
      <c r="AB789" s="1" t="s">
        <v>13411</v>
      </c>
      <c r="AC789" s="1" t="s">
        <v>13412</v>
      </c>
      <c r="AD789" s="1" t="s">
        <v>13413</v>
      </c>
      <c r="AE789" s="1" t="s">
        <v>13414</v>
      </c>
      <c r="AF789" s="1" t="s">
        <v>74</v>
      </c>
      <c r="AG789" s="1">
        <v>64</v>
      </c>
      <c r="AH789" s="1">
        <v>24</v>
      </c>
      <c r="AI789" s="1">
        <v>26</v>
      </c>
      <c r="AJ789" s="1">
        <v>0</v>
      </c>
      <c r="AK789" s="1">
        <v>28</v>
      </c>
      <c r="AL789" s="1" t="s">
        <v>136</v>
      </c>
      <c r="AM789" s="1" t="s">
        <v>137</v>
      </c>
      <c r="AN789" s="1" t="s">
        <v>138</v>
      </c>
      <c r="AO789" s="1" t="s">
        <v>139</v>
      </c>
      <c r="AP789" s="1" t="s">
        <v>140</v>
      </c>
      <c r="AQ789" s="1" t="s">
        <v>74</v>
      </c>
      <c r="AR789" s="1" t="s">
        <v>127</v>
      </c>
      <c r="AS789" s="1" t="s">
        <v>141</v>
      </c>
      <c r="AT789" s="1" t="s">
        <v>142</v>
      </c>
      <c r="AU789" s="1">
        <v>2011</v>
      </c>
      <c r="AV789" s="1">
        <v>84</v>
      </c>
      <c r="AW789" s="1">
        <v>1</v>
      </c>
      <c r="AX789" s="1" t="s">
        <v>74</v>
      </c>
      <c r="AY789" s="1" t="s">
        <v>74</v>
      </c>
      <c r="AZ789" s="1" t="s">
        <v>74</v>
      </c>
      <c r="BA789" s="1" t="s">
        <v>74</v>
      </c>
      <c r="BB789" s="1">
        <v>80</v>
      </c>
      <c r="BC789" s="1">
        <v>90</v>
      </c>
      <c r="BD789" s="1" t="s">
        <v>74</v>
      </c>
      <c r="BE789" s="1" t="s">
        <v>13415</v>
      </c>
      <c r="BF789" s="1" t="str">
        <f>HYPERLINK("http://dx.doi.org/10.1016/j.chemosphere.2011.02.051","http://dx.doi.org/10.1016/j.chemosphere.2011.02.051")</f>
        <v>http://dx.doi.org/10.1016/j.chemosphere.2011.02.051</v>
      </c>
      <c r="BG789" s="1" t="s">
        <v>74</v>
      </c>
      <c r="BH789" s="1" t="s">
        <v>74</v>
      </c>
      <c r="BI789" s="1">
        <v>11</v>
      </c>
      <c r="BJ789" s="1" t="s">
        <v>144</v>
      </c>
      <c r="BK789" s="1" t="s">
        <v>96</v>
      </c>
      <c r="BL789" s="1" t="s">
        <v>145</v>
      </c>
      <c r="BM789" s="1" t="s">
        <v>13416</v>
      </c>
      <c r="BN789" s="1">
        <v>21421251</v>
      </c>
      <c r="BO789" s="1" t="s">
        <v>810</v>
      </c>
      <c r="BP789" s="1" t="s">
        <v>74</v>
      </c>
      <c r="BQ789" s="1" t="s">
        <v>74</v>
      </c>
      <c r="BR789" s="1" t="s">
        <v>98</v>
      </c>
      <c r="BS789" s="1" t="s">
        <v>13417</v>
      </c>
      <c r="BT789" s="1" t="str">
        <f>HYPERLINK("https%3A%2F%2Fwww.webofscience.com%2Fwos%2Fwoscc%2Ffull-record%2FWOS:000292416400011","View Full Record in Web of Science")</f>
        <v>View Full Record in Web of Science</v>
      </c>
    </row>
    <row r="790" spans="1:72">
      <c r="A790" s="1" t="s">
        <v>72</v>
      </c>
      <c r="B790" s="1" t="s">
        <v>13418</v>
      </c>
      <c r="C790" s="1" t="s">
        <v>74</v>
      </c>
      <c r="D790" s="1" t="s">
        <v>74</v>
      </c>
      <c r="E790" s="1" t="s">
        <v>74</v>
      </c>
      <c r="F790" s="1" t="s">
        <v>13418</v>
      </c>
      <c r="G790" s="1" t="s">
        <v>74</v>
      </c>
      <c r="H790" s="1" t="s">
        <v>74</v>
      </c>
      <c r="I790" s="1" t="s">
        <v>13419</v>
      </c>
      <c r="J790" s="1" t="s">
        <v>13100</v>
      </c>
      <c r="K790" s="1" t="s">
        <v>74</v>
      </c>
      <c r="L790" s="1" t="s">
        <v>74</v>
      </c>
      <c r="M790" s="1" t="s">
        <v>78</v>
      </c>
      <c r="N790" s="1" t="s">
        <v>79</v>
      </c>
      <c r="O790" s="1" t="s">
        <v>74</v>
      </c>
      <c r="P790" s="1" t="s">
        <v>74</v>
      </c>
      <c r="Q790" s="1" t="s">
        <v>74</v>
      </c>
      <c r="R790" s="1" t="s">
        <v>74</v>
      </c>
      <c r="S790" s="1" t="s">
        <v>74</v>
      </c>
      <c r="T790" s="1" t="s">
        <v>13420</v>
      </c>
      <c r="U790" s="1" t="s">
        <v>13421</v>
      </c>
      <c r="V790" s="1" t="s">
        <v>13422</v>
      </c>
      <c r="W790" s="1" t="s">
        <v>13423</v>
      </c>
      <c r="X790" s="1" t="s">
        <v>13424</v>
      </c>
      <c r="Y790" s="1" t="s">
        <v>13425</v>
      </c>
      <c r="Z790" s="1" t="s">
        <v>74</v>
      </c>
      <c r="AA790" s="1" t="s">
        <v>13426</v>
      </c>
      <c r="AB790" s="1" t="s">
        <v>13427</v>
      </c>
      <c r="AC790" s="1" t="s">
        <v>74</v>
      </c>
      <c r="AD790" s="1" t="s">
        <v>74</v>
      </c>
      <c r="AE790" s="1" t="s">
        <v>74</v>
      </c>
      <c r="AF790" s="1" t="s">
        <v>74</v>
      </c>
      <c r="AG790" s="1">
        <v>29</v>
      </c>
      <c r="AH790" s="1">
        <v>51</v>
      </c>
      <c r="AI790" s="1">
        <v>54</v>
      </c>
      <c r="AJ790" s="1">
        <v>0</v>
      </c>
      <c r="AK790" s="1">
        <v>30</v>
      </c>
      <c r="AL790" s="1" t="s">
        <v>136</v>
      </c>
      <c r="AM790" s="1" t="s">
        <v>137</v>
      </c>
      <c r="AN790" s="1" t="s">
        <v>138</v>
      </c>
      <c r="AO790" s="1" t="s">
        <v>13107</v>
      </c>
      <c r="AP790" s="1" t="s">
        <v>74</v>
      </c>
      <c r="AQ790" s="1" t="s">
        <v>74</v>
      </c>
      <c r="AR790" s="1" t="s">
        <v>13108</v>
      </c>
      <c r="AS790" s="1" t="s">
        <v>13109</v>
      </c>
      <c r="AT790" s="1" t="s">
        <v>197</v>
      </c>
      <c r="AU790" s="1">
        <v>2003</v>
      </c>
      <c r="AV790" s="1">
        <v>33</v>
      </c>
      <c r="AW790" s="1">
        <v>14</v>
      </c>
      <c r="AX790" s="1" t="s">
        <v>74</v>
      </c>
      <c r="AY790" s="1" t="s">
        <v>74</v>
      </c>
      <c r="AZ790" s="1" t="s">
        <v>74</v>
      </c>
      <c r="BA790" s="1" t="s">
        <v>74</v>
      </c>
      <c r="BB790" s="1">
        <v>1617</v>
      </c>
      <c r="BC790" s="1">
        <v>1622</v>
      </c>
      <c r="BD790" s="1" t="s">
        <v>74</v>
      </c>
      <c r="BE790" s="1" t="s">
        <v>13428</v>
      </c>
      <c r="BF790" s="1" t="str">
        <f>HYPERLINK("http://dx.doi.org/10.1016/S0020-7519(03)00251-0","http://dx.doi.org/10.1016/S0020-7519(03)00251-0")</f>
        <v>http://dx.doi.org/10.1016/S0020-7519(03)00251-0</v>
      </c>
      <c r="BG790" s="1" t="s">
        <v>74</v>
      </c>
      <c r="BH790" s="1" t="s">
        <v>74</v>
      </c>
      <c r="BI790" s="1">
        <v>6</v>
      </c>
      <c r="BJ790" s="1" t="s">
        <v>2340</v>
      </c>
      <c r="BK790" s="1" t="s">
        <v>96</v>
      </c>
      <c r="BL790" s="1" t="s">
        <v>2340</v>
      </c>
      <c r="BM790" s="1" t="s">
        <v>13429</v>
      </c>
      <c r="BN790" s="1">
        <v>14636677</v>
      </c>
      <c r="BO790" s="1" t="s">
        <v>74</v>
      </c>
      <c r="BP790" s="1" t="s">
        <v>74</v>
      </c>
      <c r="BQ790" s="1" t="s">
        <v>74</v>
      </c>
      <c r="BR790" s="1" t="s">
        <v>98</v>
      </c>
      <c r="BS790" s="1" t="s">
        <v>13430</v>
      </c>
      <c r="BT790" s="1" t="str">
        <f>HYPERLINK("https%3A%2F%2Fwww.webofscience.com%2Fwos%2Fwoscc%2Ffull-record%2FWOS:000187230300006","View Full Record in Web of Science")</f>
        <v>View Full Record in Web of Science</v>
      </c>
    </row>
    <row r="791" spans="1:72">
      <c r="A791" s="1" t="s">
        <v>72</v>
      </c>
      <c r="B791" s="1" t="s">
        <v>13431</v>
      </c>
      <c r="C791" s="1" t="s">
        <v>74</v>
      </c>
      <c r="D791" s="1" t="s">
        <v>74</v>
      </c>
      <c r="E791" s="1" t="s">
        <v>74</v>
      </c>
      <c r="F791" s="1" t="s">
        <v>13432</v>
      </c>
      <c r="G791" s="1" t="s">
        <v>74</v>
      </c>
      <c r="H791" s="1" t="s">
        <v>74</v>
      </c>
      <c r="I791" s="1" t="s">
        <v>13433</v>
      </c>
      <c r="J791" s="1" t="s">
        <v>232</v>
      </c>
      <c r="K791" s="1" t="s">
        <v>74</v>
      </c>
      <c r="L791" s="1" t="s">
        <v>74</v>
      </c>
      <c r="M791" s="1" t="s">
        <v>78</v>
      </c>
      <c r="N791" s="1" t="s">
        <v>79</v>
      </c>
      <c r="O791" s="1" t="s">
        <v>74</v>
      </c>
      <c r="P791" s="1" t="s">
        <v>74</v>
      </c>
      <c r="Q791" s="1" t="s">
        <v>74</v>
      </c>
      <c r="R791" s="1" t="s">
        <v>74</v>
      </c>
      <c r="S791" s="1" t="s">
        <v>74</v>
      </c>
      <c r="T791" s="1" t="s">
        <v>13434</v>
      </c>
      <c r="U791" s="1" t="s">
        <v>13435</v>
      </c>
      <c r="V791" s="1" t="s">
        <v>13436</v>
      </c>
      <c r="W791" s="1" t="s">
        <v>13437</v>
      </c>
      <c r="X791" s="1" t="s">
        <v>13438</v>
      </c>
      <c r="Y791" s="1" t="s">
        <v>13439</v>
      </c>
      <c r="Z791" s="1" t="s">
        <v>8223</v>
      </c>
      <c r="AA791" s="1" t="s">
        <v>74</v>
      </c>
      <c r="AB791" s="1" t="s">
        <v>13440</v>
      </c>
      <c r="AC791" s="1" t="s">
        <v>8224</v>
      </c>
      <c r="AD791" s="1" t="s">
        <v>8225</v>
      </c>
      <c r="AE791" s="1" t="s">
        <v>13441</v>
      </c>
      <c r="AF791" s="1" t="s">
        <v>74</v>
      </c>
      <c r="AG791" s="1">
        <v>90</v>
      </c>
      <c r="AH791" s="1">
        <v>22</v>
      </c>
      <c r="AI791" s="1">
        <v>22</v>
      </c>
      <c r="AJ791" s="1">
        <v>0</v>
      </c>
      <c r="AK791" s="1">
        <v>46</v>
      </c>
      <c r="AL791" s="1" t="s">
        <v>136</v>
      </c>
      <c r="AM791" s="1" t="s">
        <v>137</v>
      </c>
      <c r="AN791" s="1" t="s">
        <v>138</v>
      </c>
      <c r="AO791" s="1" t="s">
        <v>240</v>
      </c>
      <c r="AP791" s="1" t="s">
        <v>241</v>
      </c>
      <c r="AQ791" s="1" t="s">
        <v>74</v>
      </c>
      <c r="AR791" s="1" t="s">
        <v>242</v>
      </c>
      <c r="AS791" s="1" t="s">
        <v>243</v>
      </c>
      <c r="AT791" s="1" t="s">
        <v>305</v>
      </c>
      <c r="AU791" s="1">
        <v>2012</v>
      </c>
      <c r="AV791" s="1">
        <v>64</v>
      </c>
      <c r="AW791" s="1">
        <v>9</v>
      </c>
      <c r="AX791" s="1" t="s">
        <v>74</v>
      </c>
      <c r="AY791" s="1" t="s">
        <v>74</v>
      </c>
      <c r="AZ791" s="1" t="s">
        <v>74</v>
      </c>
      <c r="BA791" s="1" t="s">
        <v>74</v>
      </c>
      <c r="BB791" s="1">
        <v>1911</v>
      </c>
      <c r="BC791" s="1">
        <v>1920</v>
      </c>
      <c r="BD791" s="1" t="s">
        <v>74</v>
      </c>
      <c r="BE791" s="1" t="s">
        <v>13442</v>
      </c>
      <c r="BF791" s="1" t="str">
        <f>HYPERLINK("http://dx.doi.org/10.1016/j.marpolbul.2012.06.017","http://dx.doi.org/10.1016/j.marpolbul.2012.06.017")</f>
        <v>http://dx.doi.org/10.1016/j.marpolbul.2012.06.017</v>
      </c>
      <c r="BG791" s="1" t="s">
        <v>74</v>
      </c>
      <c r="BH791" s="1" t="s">
        <v>74</v>
      </c>
      <c r="BI791" s="1">
        <v>10</v>
      </c>
      <c r="BJ791" s="1" t="s">
        <v>247</v>
      </c>
      <c r="BK791" s="1" t="s">
        <v>96</v>
      </c>
      <c r="BL791" s="1" t="s">
        <v>248</v>
      </c>
      <c r="BM791" s="1" t="s">
        <v>7133</v>
      </c>
      <c r="BN791" s="1">
        <v>22770699</v>
      </c>
      <c r="BO791" s="1" t="s">
        <v>74</v>
      </c>
      <c r="BP791" s="1" t="s">
        <v>74</v>
      </c>
      <c r="BQ791" s="1" t="s">
        <v>74</v>
      </c>
      <c r="BR791" s="1" t="s">
        <v>98</v>
      </c>
      <c r="BS791" s="1" t="s">
        <v>13443</v>
      </c>
      <c r="BT791" s="1" t="str">
        <f>HYPERLINK("https%3A%2F%2Fwww.webofscience.com%2Fwos%2Fwoscc%2Ffull-record%2FWOS:000308851400031","View Full Record in Web of Science")</f>
        <v>View Full Record in Web of Science</v>
      </c>
    </row>
    <row r="792" spans="1:72">
      <c r="A792" s="1" t="s">
        <v>72</v>
      </c>
      <c r="B792" s="1" t="s">
        <v>13444</v>
      </c>
      <c r="C792" s="1" t="s">
        <v>74</v>
      </c>
      <c r="D792" s="1" t="s">
        <v>74</v>
      </c>
      <c r="E792" s="1" t="s">
        <v>74</v>
      </c>
      <c r="F792" s="1" t="s">
        <v>13445</v>
      </c>
      <c r="G792" s="1" t="s">
        <v>74</v>
      </c>
      <c r="H792" s="1" t="s">
        <v>74</v>
      </c>
      <c r="I792" s="1" t="s">
        <v>13446</v>
      </c>
      <c r="J792" s="1" t="s">
        <v>10129</v>
      </c>
      <c r="K792" s="1" t="s">
        <v>74</v>
      </c>
      <c r="L792" s="1" t="s">
        <v>74</v>
      </c>
      <c r="M792" s="1" t="s">
        <v>78</v>
      </c>
      <c r="N792" s="1" t="s">
        <v>79</v>
      </c>
      <c r="O792" s="1" t="s">
        <v>74</v>
      </c>
      <c r="P792" s="1" t="s">
        <v>74</v>
      </c>
      <c r="Q792" s="1" t="s">
        <v>74</v>
      </c>
      <c r="R792" s="1" t="s">
        <v>74</v>
      </c>
      <c r="S792" s="1" t="s">
        <v>74</v>
      </c>
      <c r="T792" s="1" t="s">
        <v>13447</v>
      </c>
      <c r="U792" s="1" t="s">
        <v>13448</v>
      </c>
      <c r="V792" s="1" t="s">
        <v>13449</v>
      </c>
      <c r="W792" s="1" t="s">
        <v>13450</v>
      </c>
      <c r="X792" s="1" t="s">
        <v>13451</v>
      </c>
      <c r="Y792" s="1" t="s">
        <v>13452</v>
      </c>
      <c r="Z792" s="1" t="s">
        <v>13453</v>
      </c>
      <c r="AA792" s="1" t="s">
        <v>13454</v>
      </c>
      <c r="AB792" s="1" t="s">
        <v>13455</v>
      </c>
      <c r="AC792" s="1" t="s">
        <v>13456</v>
      </c>
      <c r="AD792" s="1" t="s">
        <v>13457</v>
      </c>
      <c r="AE792" s="1" t="s">
        <v>13458</v>
      </c>
      <c r="AF792" s="1" t="s">
        <v>74</v>
      </c>
      <c r="AG792" s="1">
        <v>55</v>
      </c>
      <c r="AH792" s="1">
        <v>10</v>
      </c>
      <c r="AI792" s="1">
        <v>11</v>
      </c>
      <c r="AJ792" s="1">
        <v>8</v>
      </c>
      <c r="AK792" s="1">
        <v>79</v>
      </c>
      <c r="AL792" s="1" t="s">
        <v>3362</v>
      </c>
      <c r="AM792" s="1" t="s">
        <v>3363</v>
      </c>
      <c r="AN792" s="1" t="s">
        <v>3364</v>
      </c>
      <c r="AO792" s="1" t="s">
        <v>10137</v>
      </c>
      <c r="AP792" s="1" t="s">
        <v>10138</v>
      </c>
      <c r="AQ792" s="1" t="s">
        <v>74</v>
      </c>
      <c r="AR792" s="1" t="s">
        <v>10139</v>
      </c>
      <c r="AS792" s="1" t="s">
        <v>10140</v>
      </c>
      <c r="AT792" s="1" t="s">
        <v>119</v>
      </c>
      <c r="AU792" s="1">
        <v>2022</v>
      </c>
      <c r="AV792" s="1">
        <v>211</v>
      </c>
      <c r="AW792" s="1" t="s">
        <v>74</v>
      </c>
      <c r="AX792" s="1" t="s">
        <v>74</v>
      </c>
      <c r="AY792" s="1" t="s">
        <v>74</v>
      </c>
      <c r="AZ792" s="1" t="s">
        <v>74</v>
      </c>
      <c r="BA792" s="1" t="s">
        <v>74</v>
      </c>
      <c r="BB792" s="1" t="s">
        <v>74</v>
      </c>
      <c r="BC792" s="1" t="s">
        <v>74</v>
      </c>
      <c r="BD792" s="1">
        <v>113100</v>
      </c>
      <c r="BE792" s="1" t="s">
        <v>13459</v>
      </c>
      <c r="BF792" s="1" t="str">
        <f>HYPERLINK("http://dx.doi.org/10.1016/j.envres.2022.113100","http://dx.doi.org/10.1016/j.envres.2022.113100")</f>
        <v>http://dx.doi.org/10.1016/j.envres.2022.113100</v>
      </c>
      <c r="BG792" s="1" t="s">
        <v>74</v>
      </c>
      <c r="BH792" s="1" t="s">
        <v>5038</v>
      </c>
      <c r="BI792" s="1">
        <v>9</v>
      </c>
      <c r="BJ792" s="1" t="s">
        <v>10142</v>
      </c>
      <c r="BK792" s="1" t="s">
        <v>96</v>
      </c>
      <c r="BL792" s="1" t="s">
        <v>10143</v>
      </c>
      <c r="BM792" s="1" t="s">
        <v>13460</v>
      </c>
      <c r="BN792" s="1">
        <v>35276190</v>
      </c>
      <c r="BO792" s="1" t="s">
        <v>74</v>
      </c>
      <c r="BP792" s="1" t="s">
        <v>74</v>
      </c>
      <c r="BQ792" s="1" t="s">
        <v>74</v>
      </c>
      <c r="BR792" s="1" t="s">
        <v>98</v>
      </c>
      <c r="BS792" s="1" t="s">
        <v>13461</v>
      </c>
      <c r="BT792" s="1" t="str">
        <f>HYPERLINK("https%3A%2F%2Fwww.webofscience.com%2Fwos%2Fwoscc%2Ffull-record%2FWOS:000782593600004","View Full Record in Web of Science")</f>
        <v>View Full Record in Web of Science</v>
      </c>
    </row>
    <row r="793" spans="1:72">
      <c r="A793" s="1" t="s">
        <v>72</v>
      </c>
      <c r="B793" s="1" t="s">
        <v>13462</v>
      </c>
      <c r="C793" s="1" t="s">
        <v>74</v>
      </c>
      <c r="D793" s="1" t="s">
        <v>74</v>
      </c>
      <c r="E793" s="1" t="s">
        <v>74</v>
      </c>
      <c r="F793" s="1" t="s">
        <v>13463</v>
      </c>
      <c r="G793" s="1" t="s">
        <v>74</v>
      </c>
      <c r="H793" s="1" t="s">
        <v>74</v>
      </c>
      <c r="I793" s="1" t="s">
        <v>13464</v>
      </c>
      <c r="J793" s="1" t="s">
        <v>13465</v>
      </c>
      <c r="K793" s="1" t="s">
        <v>74</v>
      </c>
      <c r="L793" s="1" t="s">
        <v>74</v>
      </c>
      <c r="M793" s="1" t="s">
        <v>78</v>
      </c>
      <c r="N793" s="1" t="s">
        <v>79</v>
      </c>
      <c r="O793" s="1" t="s">
        <v>74</v>
      </c>
      <c r="P793" s="1" t="s">
        <v>74</v>
      </c>
      <c r="Q793" s="1" t="s">
        <v>74</v>
      </c>
      <c r="R793" s="1" t="s">
        <v>74</v>
      </c>
      <c r="S793" s="1" t="s">
        <v>74</v>
      </c>
      <c r="T793" s="1" t="s">
        <v>13466</v>
      </c>
      <c r="U793" s="1" t="s">
        <v>13467</v>
      </c>
      <c r="V793" s="1" t="s">
        <v>13468</v>
      </c>
      <c r="W793" s="1" t="s">
        <v>13469</v>
      </c>
      <c r="X793" s="1" t="s">
        <v>13470</v>
      </c>
      <c r="Y793" s="1" t="s">
        <v>13471</v>
      </c>
      <c r="Z793" s="1" t="s">
        <v>13472</v>
      </c>
      <c r="AA793" s="1" t="s">
        <v>7037</v>
      </c>
      <c r="AB793" s="1" t="s">
        <v>74</v>
      </c>
      <c r="AC793" s="1" t="s">
        <v>74</v>
      </c>
      <c r="AD793" s="1" t="s">
        <v>74</v>
      </c>
      <c r="AE793" s="1" t="s">
        <v>74</v>
      </c>
      <c r="AF793" s="1" t="s">
        <v>74</v>
      </c>
      <c r="AG793" s="1">
        <v>79</v>
      </c>
      <c r="AH793" s="1">
        <v>98</v>
      </c>
      <c r="AI793" s="1">
        <v>101</v>
      </c>
      <c r="AJ793" s="1">
        <v>2</v>
      </c>
      <c r="AK793" s="1">
        <v>22</v>
      </c>
      <c r="AL793" s="1" t="s">
        <v>13473</v>
      </c>
      <c r="AM793" s="1" t="s">
        <v>13474</v>
      </c>
      <c r="AN793" s="1" t="s">
        <v>13475</v>
      </c>
      <c r="AO793" s="1" t="s">
        <v>13476</v>
      </c>
      <c r="AP793" s="1" t="s">
        <v>13477</v>
      </c>
      <c r="AQ793" s="1" t="s">
        <v>74</v>
      </c>
      <c r="AR793" s="1" t="s">
        <v>13465</v>
      </c>
      <c r="AS793" s="1" t="s">
        <v>13478</v>
      </c>
      <c r="AT793" s="1" t="s">
        <v>74</v>
      </c>
      <c r="AU793" s="1">
        <v>2015</v>
      </c>
      <c r="AV793" s="1">
        <v>57</v>
      </c>
      <c r="AW793" s="1">
        <v>4</v>
      </c>
      <c r="AX793" s="1" t="s">
        <v>74</v>
      </c>
      <c r="AY793" s="1" t="s">
        <v>74</v>
      </c>
      <c r="AZ793" s="1" t="s">
        <v>74</v>
      </c>
      <c r="BA793" s="1" t="s">
        <v>74</v>
      </c>
      <c r="BB793" s="1">
        <v>362</v>
      </c>
      <c r="BC793" s="1">
        <v>374</v>
      </c>
      <c r="BD793" s="1" t="s">
        <v>74</v>
      </c>
      <c r="BE793" s="1" t="s">
        <v>13479</v>
      </c>
      <c r="BF793" s="1" t="str">
        <f>HYPERLINK("http://dx.doi.org/10.1016/j.oceano.2015.07.004","http://dx.doi.org/10.1016/j.oceano.2015.07.004")</f>
        <v>http://dx.doi.org/10.1016/j.oceano.2015.07.004</v>
      </c>
      <c r="BG793" s="1" t="s">
        <v>74</v>
      </c>
      <c r="BH793" s="1" t="s">
        <v>74</v>
      </c>
      <c r="BI793" s="1">
        <v>13</v>
      </c>
      <c r="BJ793" s="1" t="s">
        <v>1439</v>
      </c>
      <c r="BK793" s="1" t="s">
        <v>96</v>
      </c>
      <c r="BL793" s="1" t="s">
        <v>1439</v>
      </c>
      <c r="BM793" s="1" t="s">
        <v>13480</v>
      </c>
      <c r="BN793" s="1" t="s">
        <v>74</v>
      </c>
      <c r="BO793" s="1" t="s">
        <v>873</v>
      </c>
      <c r="BP793" s="1" t="s">
        <v>74</v>
      </c>
      <c r="BQ793" s="1" t="s">
        <v>74</v>
      </c>
      <c r="BR793" s="1" t="s">
        <v>98</v>
      </c>
      <c r="BS793" s="1" t="s">
        <v>13481</v>
      </c>
      <c r="BT793" s="1" t="str">
        <f>HYPERLINK("https%3A%2F%2Fwww.webofscience.com%2Fwos%2Fwoscc%2Ffull-record%2FWOS:000361416600007","View Full Record in Web of Science")</f>
        <v>View Full Record in Web of Science</v>
      </c>
    </row>
    <row r="794" spans="1:72">
      <c r="A794" s="1" t="s">
        <v>72</v>
      </c>
      <c r="B794" s="1" t="s">
        <v>13482</v>
      </c>
      <c r="C794" s="1" t="s">
        <v>74</v>
      </c>
      <c r="D794" s="1" t="s">
        <v>74</v>
      </c>
      <c r="E794" s="1" t="s">
        <v>74</v>
      </c>
      <c r="F794" s="1" t="s">
        <v>13483</v>
      </c>
      <c r="G794" s="1" t="s">
        <v>74</v>
      </c>
      <c r="H794" s="1" t="s">
        <v>74</v>
      </c>
      <c r="I794" s="1" t="s">
        <v>13484</v>
      </c>
      <c r="J794" s="1" t="s">
        <v>421</v>
      </c>
      <c r="K794" s="1" t="s">
        <v>74</v>
      </c>
      <c r="L794" s="1" t="s">
        <v>74</v>
      </c>
      <c r="M794" s="1" t="s">
        <v>78</v>
      </c>
      <c r="N794" s="1" t="s">
        <v>79</v>
      </c>
      <c r="O794" s="1" t="s">
        <v>74</v>
      </c>
      <c r="P794" s="1" t="s">
        <v>74</v>
      </c>
      <c r="Q794" s="1" t="s">
        <v>74</v>
      </c>
      <c r="R794" s="1" t="s">
        <v>74</v>
      </c>
      <c r="S794" s="1" t="s">
        <v>74</v>
      </c>
      <c r="T794" s="1" t="s">
        <v>13485</v>
      </c>
      <c r="U794" s="1" t="s">
        <v>13486</v>
      </c>
      <c r="V794" s="1" t="s">
        <v>13487</v>
      </c>
      <c r="W794" s="1" t="s">
        <v>13488</v>
      </c>
      <c r="X794" s="1" t="s">
        <v>13489</v>
      </c>
      <c r="Y794" s="1" t="s">
        <v>13490</v>
      </c>
      <c r="Z794" s="1" t="s">
        <v>6259</v>
      </c>
      <c r="AA794" s="1" t="s">
        <v>4408</v>
      </c>
      <c r="AB794" s="1" t="s">
        <v>13491</v>
      </c>
      <c r="AC794" s="1" t="s">
        <v>13492</v>
      </c>
      <c r="AD794" s="1" t="s">
        <v>13493</v>
      </c>
      <c r="AE794" s="1" t="s">
        <v>13494</v>
      </c>
      <c r="AF794" s="1" t="s">
        <v>74</v>
      </c>
      <c r="AG794" s="1">
        <v>36</v>
      </c>
      <c r="AH794" s="1">
        <v>32</v>
      </c>
      <c r="AI794" s="1">
        <v>36</v>
      </c>
      <c r="AJ794" s="1">
        <v>0</v>
      </c>
      <c r="AK794" s="1">
        <v>50</v>
      </c>
      <c r="AL794" s="1" t="s">
        <v>430</v>
      </c>
      <c r="AM794" s="1" t="s">
        <v>137</v>
      </c>
      <c r="AN794" s="1" t="s">
        <v>431</v>
      </c>
      <c r="AO794" s="1" t="s">
        <v>432</v>
      </c>
      <c r="AP794" s="1" t="s">
        <v>1394</v>
      </c>
      <c r="AQ794" s="1" t="s">
        <v>74</v>
      </c>
      <c r="AR794" s="1" t="s">
        <v>433</v>
      </c>
      <c r="AS794" s="1" t="s">
        <v>434</v>
      </c>
      <c r="AT794" s="1" t="s">
        <v>305</v>
      </c>
      <c r="AU794" s="1">
        <v>2014</v>
      </c>
      <c r="AV794" s="1">
        <v>192</v>
      </c>
      <c r="AW794" s="1" t="s">
        <v>74</v>
      </c>
      <c r="AX794" s="1" t="s">
        <v>74</v>
      </c>
      <c r="AY794" s="1" t="s">
        <v>74</v>
      </c>
      <c r="AZ794" s="1" t="s">
        <v>74</v>
      </c>
      <c r="BA794" s="1" t="s">
        <v>74</v>
      </c>
      <c r="BB794" s="1">
        <v>74</v>
      </c>
      <c r="BC794" s="1">
        <v>82</v>
      </c>
      <c r="BD794" s="1" t="s">
        <v>74</v>
      </c>
      <c r="BE794" s="1" t="s">
        <v>13495</v>
      </c>
      <c r="BF794" s="1" t="str">
        <f>HYPERLINK("http://dx.doi.org/10.1016/j.envpol.2014.04.012","http://dx.doi.org/10.1016/j.envpol.2014.04.012")</f>
        <v>http://dx.doi.org/10.1016/j.envpol.2014.04.012</v>
      </c>
      <c r="BG794" s="1" t="s">
        <v>74</v>
      </c>
      <c r="BH794" s="1" t="s">
        <v>74</v>
      </c>
      <c r="BI794" s="1">
        <v>9</v>
      </c>
      <c r="BJ794" s="1" t="s">
        <v>144</v>
      </c>
      <c r="BK794" s="1" t="s">
        <v>96</v>
      </c>
      <c r="BL794" s="1" t="s">
        <v>145</v>
      </c>
      <c r="BM794" s="1" t="s">
        <v>13496</v>
      </c>
      <c r="BN794" s="1">
        <v>24892228</v>
      </c>
      <c r="BO794" s="1" t="s">
        <v>74</v>
      </c>
      <c r="BP794" s="1" t="s">
        <v>74</v>
      </c>
      <c r="BQ794" s="1" t="s">
        <v>74</v>
      </c>
      <c r="BR794" s="1" t="s">
        <v>98</v>
      </c>
      <c r="BS794" s="1" t="s">
        <v>13497</v>
      </c>
      <c r="BT794" s="1" t="str">
        <f>HYPERLINK("https%3A%2F%2Fwww.webofscience.com%2Fwos%2Fwoscc%2Ffull-record%2FWOS:000339774200010","View Full Record in Web of Science")</f>
        <v>View Full Record in Web of Science</v>
      </c>
    </row>
    <row r="795" spans="1:72">
      <c r="A795" s="1" t="s">
        <v>72</v>
      </c>
      <c r="B795" s="1" t="s">
        <v>13498</v>
      </c>
      <c r="C795" s="1" t="s">
        <v>74</v>
      </c>
      <c r="D795" s="1" t="s">
        <v>74</v>
      </c>
      <c r="E795" s="1" t="s">
        <v>74</v>
      </c>
      <c r="F795" s="1" t="s">
        <v>13499</v>
      </c>
      <c r="G795" s="1" t="s">
        <v>74</v>
      </c>
      <c r="H795" s="1" t="s">
        <v>74</v>
      </c>
      <c r="I795" s="1" t="s">
        <v>13500</v>
      </c>
      <c r="J795" s="1" t="s">
        <v>4663</v>
      </c>
      <c r="K795" s="1" t="s">
        <v>74</v>
      </c>
      <c r="L795" s="1" t="s">
        <v>74</v>
      </c>
      <c r="M795" s="1" t="s">
        <v>78</v>
      </c>
      <c r="N795" s="1" t="s">
        <v>79</v>
      </c>
      <c r="O795" s="1" t="s">
        <v>74</v>
      </c>
      <c r="P795" s="1" t="s">
        <v>74</v>
      </c>
      <c r="Q795" s="1" t="s">
        <v>74</v>
      </c>
      <c r="R795" s="1" t="s">
        <v>74</v>
      </c>
      <c r="S795" s="1" t="s">
        <v>74</v>
      </c>
      <c r="T795" s="1" t="s">
        <v>13501</v>
      </c>
      <c r="U795" s="1" t="s">
        <v>13502</v>
      </c>
      <c r="V795" s="1" t="s">
        <v>13503</v>
      </c>
      <c r="W795" s="1" t="s">
        <v>13504</v>
      </c>
      <c r="X795" s="1" t="s">
        <v>13505</v>
      </c>
      <c r="Y795" s="1" t="s">
        <v>13506</v>
      </c>
      <c r="Z795" s="1" t="s">
        <v>8577</v>
      </c>
      <c r="AA795" s="1" t="s">
        <v>13507</v>
      </c>
      <c r="AB795" s="1" t="s">
        <v>13508</v>
      </c>
      <c r="AC795" s="1" t="s">
        <v>74</v>
      </c>
      <c r="AD795" s="1" t="s">
        <v>74</v>
      </c>
      <c r="AE795" s="1" t="s">
        <v>74</v>
      </c>
      <c r="AF795" s="1" t="s">
        <v>74</v>
      </c>
      <c r="AG795" s="1">
        <v>32</v>
      </c>
      <c r="AH795" s="1">
        <v>20</v>
      </c>
      <c r="AI795" s="1">
        <v>23</v>
      </c>
      <c r="AJ795" s="1">
        <v>0</v>
      </c>
      <c r="AK795" s="1">
        <v>33</v>
      </c>
      <c r="AL795" s="1" t="s">
        <v>2074</v>
      </c>
      <c r="AM795" s="1" t="s">
        <v>2075</v>
      </c>
      <c r="AN795" s="1" t="s">
        <v>2076</v>
      </c>
      <c r="AO795" s="1" t="s">
        <v>4675</v>
      </c>
      <c r="AP795" s="1" t="s">
        <v>4676</v>
      </c>
      <c r="AQ795" s="1" t="s">
        <v>74</v>
      </c>
      <c r="AR795" s="1" t="s">
        <v>4677</v>
      </c>
      <c r="AS795" s="1" t="s">
        <v>4678</v>
      </c>
      <c r="AT795" s="1" t="s">
        <v>74</v>
      </c>
      <c r="AU795" s="1">
        <v>2008</v>
      </c>
      <c r="AV795" s="1">
        <v>88</v>
      </c>
      <c r="AW795" s="1">
        <v>2</v>
      </c>
      <c r="AX795" s="1" t="s">
        <v>74</v>
      </c>
      <c r="AY795" s="1" t="s">
        <v>74</v>
      </c>
      <c r="AZ795" s="1" t="s">
        <v>74</v>
      </c>
      <c r="BA795" s="1" t="s">
        <v>74</v>
      </c>
      <c r="BB795" s="1">
        <v>75</v>
      </c>
      <c r="BC795" s="1">
        <v>90</v>
      </c>
      <c r="BD795" s="1" t="s">
        <v>74</v>
      </c>
      <c r="BE795" s="1" t="s">
        <v>13509</v>
      </c>
      <c r="BF795" s="1" t="str">
        <f>HYPERLINK("http://dx.doi.org/10.1080/03067310701461870","http://dx.doi.org/10.1080/03067310701461870")</f>
        <v>http://dx.doi.org/10.1080/03067310701461870</v>
      </c>
      <c r="BG795" s="1" t="s">
        <v>74</v>
      </c>
      <c r="BH795" s="1" t="s">
        <v>74</v>
      </c>
      <c r="BI795" s="1">
        <v>16</v>
      </c>
      <c r="BJ795" s="1" t="s">
        <v>269</v>
      </c>
      <c r="BK795" s="1" t="s">
        <v>96</v>
      </c>
      <c r="BL795" s="1" t="s">
        <v>270</v>
      </c>
      <c r="BM795" s="1" t="s">
        <v>13510</v>
      </c>
      <c r="BN795" s="1" t="s">
        <v>74</v>
      </c>
      <c r="BO795" s="1" t="s">
        <v>74</v>
      </c>
      <c r="BP795" s="1" t="s">
        <v>74</v>
      </c>
      <c r="BQ795" s="1" t="s">
        <v>74</v>
      </c>
      <c r="BR795" s="1" t="s">
        <v>98</v>
      </c>
      <c r="BS795" s="1" t="s">
        <v>13511</v>
      </c>
      <c r="BT795" s="1" t="str">
        <f>HYPERLINK("https%3A%2F%2Fwww.webofscience.com%2Fwos%2Fwoscc%2Ffull-record%2FWOS:000252336200001","View Full Record in Web of Science")</f>
        <v>View Full Record in Web of Science</v>
      </c>
    </row>
    <row r="796" spans="1:72">
      <c r="A796" s="1" t="s">
        <v>72</v>
      </c>
      <c r="B796" s="1" t="s">
        <v>13512</v>
      </c>
      <c r="C796" s="1" t="s">
        <v>74</v>
      </c>
      <c r="D796" s="1" t="s">
        <v>74</v>
      </c>
      <c r="E796" s="1" t="s">
        <v>74</v>
      </c>
      <c r="F796" s="1" t="s">
        <v>13512</v>
      </c>
      <c r="G796" s="1" t="s">
        <v>74</v>
      </c>
      <c r="H796" s="1" t="s">
        <v>74</v>
      </c>
      <c r="I796" s="1" t="s">
        <v>13513</v>
      </c>
      <c r="J796" s="1" t="s">
        <v>232</v>
      </c>
      <c r="K796" s="1" t="s">
        <v>74</v>
      </c>
      <c r="L796" s="1" t="s">
        <v>74</v>
      </c>
      <c r="M796" s="1" t="s">
        <v>78</v>
      </c>
      <c r="N796" s="1" t="s">
        <v>151</v>
      </c>
      <c r="O796" s="1" t="s">
        <v>13514</v>
      </c>
      <c r="P796" s="1" t="s">
        <v>13515</v>
      </c>
      <c r="Q796" s="1" t="s">
        <v>13516</v>
      </c>
      <c r="R796" s="1" t="s">
        <v>74</v>
      </c>
      <c r="S796" s="1" t="s">
        <v>74</v>
      </c>
      <c r="T796" s="1" t="s">
        <v>74</v>
      </c>
      <c r="U796" s="1" t="s">
        <v>13517</v>
      </c>
      <c r="V796" s="1" t="s">
        <v>13518</v>
      </c>
      <c r="W796" s="1" t="s">
        <v>13519</v>
      </c>
      <c r="X796" s="1" t="s">
        <v>3500</v>
      </c>
      <c r="Y796" s="1" t="s">
        <v>74</v>
      </c>
      <c r="Z796" s="1" t="s">
        <v>74</v>
      </c>
      <c r="AA796" s="1" t="s">
        <v>3503</v>
      </c>
      <c r="AB796" s="1" t="s">
        <v>3504</v>
      </c>
      <c r="AC796" s="1" t="s">
        <v>74</v>
      </c>
      <c r="AD796" s="1" t="s">
        <v>74</v>
      </c>
      <c r="AE796" s="1" t="s">
        <v>74</v>
      </c>
      <c r="AF796" s="1" t="s">
        <v>74</v>
      </c>
      <c r="AG796" s="1">
        <v>7</v>
      </c>
      <c r="AH796" s="1">
        <v>10</v>
      </c>
      <c r="AI796" s="1">
        <v>11</v>
      </c>
      <c r="AJ796" s="1">
        <v>0</v>
      </c>
      <c r="AK796" s="1">
        <v>9</v>
      </c>
      <c r="AL796" s="1" t="s">
        <v>136</v>
      </c>
      <c r="AM796" s="1" t="s">
        <v>137</v>
      </c>
      <c r="AN796" s="1" t="s">
        <v>138</v>
      </c>
      <c r="AO796" s="1" t="s">
        <v>240</v>
      </c>
      <c r="AP796" s="1" t="s">
        <v>241</v>
      </c>
      <c r="AQ796" s="1" t="s">
        <v>74</v>
      </c>
      <c r="AR796" s="1" t="s">
        <v>242</v>
      </c>
      <c r="AS796" s="1" t="s">
        <v>243</v>
      </c>
      <c r="AT796" s="1" t="s">
        <v>4410</v>
      </c>
      <c r="AU796" s="1">
        <v>1995</v>
      </c>
      <c r="AV796" s="1">
        <v>31</v>
      </c>
      <c r="AW796" s="1" t="s">
        <v>2847</v>
      </c>
      <c r="AX796" s="1" t="s">
        <v>74</v>
      </c>
      <c r="AY796" s="1" t="s">
        <v>74</v>
      </c>
      <c r="AZ796" s="1" t="s">
        <v>225</v>
      </c>
      <c r="BA796" s="1" t="s">
        <v>74</v>
      </c>
      <c r="BB796" s="1">
        <v>78</v>
      </c>
      <c r="BC796" s="1">
        <v>83</v>
      </c>
      <c r="BD796" s="1" t="s">
        <v>74</v>
      </c>
      <c r="BE796" s="1" t="s">
        <v>13520</v>
      </c>
      <c r="BF796" s="1" t="str">
        <f>HYPERLINK("http://dx.doi.org/10.1016/0025-326X(95)00028-L","http://dx.doi.org/10.1016/0025-326X(95)00028-L")</f>
        <v>http://dx.doi.org/10.1016/0025-326X(95)00028-L</v>
      </c>
      <c r="BG796" s="1" t="s">
        <v>74</v>
      </c>
      <c r="BH796" s="1" t="s">
        <v>74</v>
      </c>
      <c r="BI796" s="1">
        <v>6</v>
      </c>
      <c r="BJ796" s="1" t="s">
        <v>247</v>
      </c>
      <c r="BK796" s="1" t="s">
        <v>172</v>
      </c>
      <c r="BL796" s="1" t="s">
        <v>248</v>
      </c>
      <c r="BM796" s="1" t="s">
        <v>13521</v>
      </c>
      <c r="BN796" s="1" t="s">
        <v>74</v>
      </c>
      <c r="BO796" s="1" t="s">
        <v>74</v>
      </c>
      <c r="BP796" s="1" t="s">
        <v>74</v>
      </c>
      <c r="BQ796" s="1" t="s">
        <v>74</v>
      </c>
      <c r="BR796" s="1" t="s">
        <v>98</v>
      </c>
      <c r="BS796" s="1" t="s">
        <v>13522</v>
      </c>
      <c r="BT796" s="1" t="str">
        <f>HYPERLINK("https%3A%2F%2Fwww.webofscience.com%2Fwos%2Fwoscc%2Ffull-record%2FWOS:A1995RU55100012","View Full Record in Web of Science")</f>
        <v>View Full Record in Web of Science</v>
      </c>
    </row>
    <row r="797" spans="1:72">
      <c r="A797" s="1" t="s">
        <v>72</v>
      </c>
      <c r="B797" s="1" t="s">
        <v>13523</v>
      </c>
      <c r="C797" s="1" t="s">
        <v>74</v>
      </c>
      <c r="D797" s="1" t="s">
        <v>74</v>
      </c>
      <c r="E797" s="1" t="s">
        <v>74</v>
      </c>
      <c r="F797" s="1" t="s">
        <v>13523</v>
      </c>
      <c r="G797" s="1" t="s">
        <v>74</v>
      </c>
      <c r="H797" s="1" t="s">
        <v>74</v>
      </c>
      <c r="I797" s="1" t="s">
        <v>13524</v>
      </c>
      <c r="J797" s="1" t="s">
        <v>13525</v>
      </c>
      <c r="K797" s="1" t="s">
        <v>74</v>
      </c>
      <c r="L797" s="1" t="s">
        <v>74</v>
      </c>
      <c r="M797" s="1" t="s">
        <v>78</v>
      </c>
      <c r="N797" s="1" t="s">
        <v>79</v>
      </c>
      <c r="O797" s="1" t="s">
        <v>74</v>
      </c>
      <c r="P797" s="1" t="s">
        <v>74</v>
      </c>
      <c r="Q797" s="1" t="s">
        <v>74</v>
      </c>
      <c r="R797" s="1" t="s">
        <v>74</v>
      </c>
      <c r="S797" s="1" t="s">
        <v>74</v>
      </c>
      <c r="T797" s="1" t="s">
        <v>74</v>
      </c>
      <c r="U797" s="1" t="s">
        <v>13526</v>
      </c>
      <c r="V797" s="1" t="s">
        <v>13527</v>
      </c>
      <c r="W797" s="1" t="s">
        <v>74</v>
      </c>
      <c r="X797" s="1" t="s">
        <v>74</v>
      </c>
      <c r="Y797" s="1" t="s">
        <v>13528</v>
      </c>
      <c r="Z797" s="1" t="s">
        <v>74</v>
      </c>
      <c r="AA797" s="1" t="s">
        <v>74</v>
      </c>
      <c r="AB797" s="1" t="s">
        <v>74</v>
      </c>
      <c r="AC797" s="1" t="s">
        <v>74</v>
      </c>
      <c r="AD797" s="1" t="s">
        <v>74</v>
      </c>
      <c r="AE797" s="1" t="s">
        <v>74</v>
      </c>
      <c r="AF797" s="1" t="s">
        <v>74</v>
      </c>
      <c r="AG797" s="1">
        <v>17</v>
      </c>
      <c r="AH797" s="1">
        <v>7</v>
      </c>
      <c r="AI797" s="1">
        <v>7</v>
      </c>
      <c r="AJ797" s="1">
        <v>0</v>
      </c>
      <c r="AK797" s="1">
        <v>5</v>
      </c>
      <c r="AL797" s="1" t="s">
        <v>2336</v>
      </c>
      <c r="AM797" s="1" t="s">
        <v>113</v>
      </c>
      <c r="AN797" s="1" t="s">
        <v>2337</v>
      </c>
      <c r="AO797" s="1" t="s">
        <v>13529</v>
      </c>
      <c r="AP797" s="1" t="s">
        <v>74</v>
      </c>
      <c r="AQ797" s="1" t="s">
        <v>74</v>
      </c>
      <c r="AR797" s="1" t="s">
        <v>13530</v>
      </c>
      <c r="AS797" s="1" t="s">
        <v>13531</v>
      </c>
      <c r="AT797" s="1" t="s">
        <v>951</v>
      </c>
      <c r="AU797" s="1">
        <v>1996</v>
      </c>
      <c r="AV797" s="1">
        <v>76</v>
      </c>
      <c r="AW797" s="1">
        <v>4</v>
      </c>
      <c r="AX797" s="1" t="s">
        <v>74</v>
      </c>
      <c r="AY797" s="1" t="s">
        <v>74</v>
      </c>
      <c r="AZ797" s="1" t="s">
        <v>74</v>
      </c>
      <c r="BA797" s="1" t="s">
        <v>74</v>
      </c>
      <c r="BB797" s="1">
        <v>1073</v>
      </c>
      <c r="BC797" s="1">
        <v>1079</v>
      </c>
      <c r="BD797" s="1" t="s">
        <v>74</v>
      </c>
      <c r="BE797" s="1" t="s">
        <v>13532</v>
      </c>
      <c r="BF797" s="1" t="str">
        <f>HYPERLINK("http://dx.doi.org/10.1017/S0025315400040960","http://dx.doi.org/10.1017/S0025315400040960")</f>
        <v>http://dx.doi.org/10.1017/S0025315400040960</v>
      </c>
      <c r="BG797" s="1" t="s">
        <v>74</v>
      </c>
      <c r="BH797" s="1" t="s">
        <v>74</v>
      </c>
      <c r="BI797" s="1">
        <v>7</v>
      </c>
      <c r="BJ797" s="1" t="s">
        <v>680</v>
      </c>
      <c r="BK797" s="1" t="s">
        <v>96</v>
      </c>
      <c r="BL797" s="1" t="s">
        <v>680</v>
      </c>
      <c r="BM797" s="1" t="s">
        <v>13533</v>
      </c>
      <c r="BN797" s="1" t="s">
        <v>74</v>
      </c>
      <c r="BO797" s="1" t="s">
        <v>74</v>
      </c>
      <c r="BP797" s="1" t="s">
        <v>74</v>
      </c>
      <c r="BQ797" s="1" t="s">
        <v>74</v>
      </c>
      <c r="BR797" s="1" t="s">
        <v>98</v>
      </c>
      <c r="BS797" s="1" t="s">
        <v>13534</v>
      </c>
      <c r="BT797" s="1" t="str">
        <f>HYPERLINK("https%3A%2F%2Fwww.webofscience.com%2Fwos%2Fwoscc%2Ffull-record%2FWOS:A1996VW18900015","View Full Record in Web of Science")</f>
        <v>View Full Record in Web of Science</v>
      </c>
    </row>
    <row r="798" spans="1:72">
      <c r="A798" s="1" t="s">
        <v>72</v>
      </c>
      <c r="B798" s="1" t="s">
        <v>13535</v>
      </c>
      <c r="C798" s="1" t="s">
        <v>74</v>
      </c>
      <c r="D798" s="1" t="s">
        <v>74</v>
      </c>
      <c r="E798" s="1" t="s">
        <v>74</v>
      </c>
      <c r="F798" s="1" t="s">
        <v>13535</v>
      </c>
      <c r="G798" s="1" t="s">
        <v>74</v>
      </c>
      <c r="H798" s="1" t="s">
        <v>74</v>
      </c>
      <c r="I798" s="1" t="s">
        <v>13536</v>
      </c>
      <c r="J798" s="1" t="s">
        <v>752</v>
      </c>
      <c r="K798" s="1" t="s">
        <v>74</v>
      </c>
      <c r="L798" s="1" t="s">
        <v>74</v>
      </c>
      <c r="M798" s="1" t="s">
        <v>78</v>
      </c>
      <c r="N798" s="1" t="s">
        <v>79</v>
      </c>
      <c r="O798" s="1" t="s">
        <v>74</v>
      </c>
      <c r="P798" s="1" t="s">
        <v>74</v>
      </c>
      <c r="Q798" s="1" t="s">
        <v>74</v>
      </c>
      <c r="R798" s="1" t="s">
        <v>74</v>
      </c>
      <c r="S798" s="1" t="s">
        <v>74</v>
      </c>
      <c r="T798" s="1" t="s">
        <v>13537</v>
      </c>
      <c r="U798" s="1" t="s">
        <v>13538</v>
      </c>
      <c r="V798" s="1" t="s">
        <v>13539</v>
      </c>
      <c r="W798" s="1" t="s">
        <v>13540</v>
      </c>
      <c r="X798" s="1" t="s">
        <v>13541</v>
      </c>
      <c r="Y798" s="1" t="s">
        <v>13542</v>
      </c>
      <c r="Z798" s="1" t="s">
        <v>74</v>
      </c>
      <c r="AA798" s="1" t="s">
        <v>74</v>
      </c>
      <c r="AB798" s="1" t="s">
        <v>74</v>
      </c>
      <c r="AC798" s="1" t="s">
        <v>74</v>
      </c>
      <c r="AD798" s="1" t="s">
        <v>74</v>
      </c>
      <c r="AE798" s="1" t="s">
        <v>74</v>
      </c>
      <c r="AF798" s="1" t="s">
        <v>74</v>
      </c>
      <c r="AG798" s="1">
        <v>43</v>
      </c>
      <c r="AH798" s="1">
        <v>39</v>
      </c>
      <c r="AI798" s="1">
        <v>41</v>
      </c>
      <c r="AJ798" s="1">
        <v>0</v>
      </c>
      <c r="AK798" s="1">
        <v>7</v>
      </c>
      <c r="AL798" s="1" t="s">
        <v>430</v>
      </c>
      <c r="AM798" s="1" t="s">
        <v>137</v>
      </c>
      <c r="AN798" s="1" t="s">
        <v>431</v>
      </c>
      <c r="AO798" s="1" t="s">
        <v>761</v>
      </c>
      <c r="AP798" s="1" t="s">
        <v>74</v>
      </c>
      <c r="AQ798" s="1" t="s">
        <v>74</v>
      </c>
      <c r="AR798" s="1" t="s">
        <v>763</v>
      </c>
      <c r="AS798" s="1" t="s">
        <v>764</v>
      </c>
      <c r="AT798" s="1" t="s">
        <v>1223</v>
      </c>
      <c r="AU798" s="1">
        <v>2000</v>
      </c>
      <c r="AV798" s="1">
        <v>49</v>
      </c>
      <c r="AW798" s="1">
        <v>2</v>
      </c>
      <c r="AX798" s="1" t="s">
        <v>74</v>
      </c>
      <c r="AY798" s="1" t="s">
        <v>74</v>
      </c>
      <c r="AZ798" s="1" t="s">
        <v>74</v>
      </c>
      <c r="BA798" s="1" t="s">
        <v>74</v>
      </c>
      <c r="BB798" s="1">
        <v>123</v>
      </c>
      <c r="BC798" s="1">
        <v>144</v>
      </c>
      <c r="BD798" s="1" t="s">
        <v>74</v>
      </c>
      <c r="BE798" s="1" t="s">
        <v>13543</v>
      </c>
      <c r="BF798" s="1" t="str">
        <f>HYPERLINK("http://dx.doi.org/10.1016/S0141-1136(99)00052-5","http://dx.doi.org/10.1016/S0141-1136(99)00052-5")</f>
        <v>http://dx.doi.org/10.1016/S0141-1136(99)00052-5</v>
      </c>
      <c r="BG798" s="1" t="s">
        <v>74</v>
      </c>
      <c r="BH798" s="1" t="s">
        <v>74</v>
      </c>
      <c r="BI798" s="1">
        <v>22</v>
      </c>
      <c r="BJ798" s="1" t="s">
        <v>768</v>
      </c>
      <c r="BK798" s="1" t="s">
        <v>96</v>
      </c>
      <c r="BL798" s="1" t="s">
        <v>769</v>
      </c>
      <c r="BM798" s="1" t="s">
        <v>13544</v>
      </c>
      <c r="BN798" s="1">
        <v>11443995</v>
      </c>
      <c r="BO798" s="1" t="s">
        <v>74</v>
      </c>
      <c r="BP798" s="1" t="s">
        <v>74</v>
      </c>
      <c r="BQ798" s="1" t="s">
        <v>74</v>
      </c>
      <c r="BR798" s="1" t="s">
        <v>98</v>
      </c>
      <c r="BS798" s="1" t="s">
        <v>13545</v>
      </c>
      <c r="BT798" s="1" t="str">
        <f>HYPERLINK("https%3A%2F%2Fwww.webofscience.com%2Fwos%2Fwoscc%2Ffull-record%2FWOS:000085895000002","View Full Record in Web of Science")</f>
        <v>View Full Record in Web of Science</v>
      </c>
    </row>
    <row r="799" spans="1:72">
      <c r="A799" s="1" t="s">
        <v>72</v>
      </c>
      <c r="B799" s="1" t="s">
        <v>13546</v>
      </c>
      <c r="C799" s="1" t="s">
        <v>74</v>
      </c>
      <c r="D799" s="1" t="s">
        <v>74</v>
      </c>
      <c r="E799" s="1" t="s">
        <v>74</v>
      </c>
      <c r="F799" s="1" t="s">
        <v>13546</v>
      </c>
      <c r="G799" s="1" t="s">
        <v>74</v>
      </c>
      <c r="H799" s="1" t="s">
        <v>74</v>
      </c>
      <c r="I799" s="1" t="s">
        <v>13547</v>
      </c>
      <c r="J799" s="1" t="s">
        <v>998</v>
      </c>
      <c r="K799" s="1" t="s">
        <v>74</v>
      </c>
      <c r="L799" s="1" t="s">
        <v>74</v>
      </c>
      <c r="M799" s="1" t="s">
        <v>78</v>
      </c>
      <c r="N799" s="1" t="s">
        <v>79</v>
      </c>
      <c r="O799" s="1" t="s">
        <v>74</v>
      </c>
      <c r="P799" s="1" t="s">
        <v>74</v>
      </c>
      <c r="Q799" s="1" t="s">
        <v>74</v>
      </c>
      <c r="R799" s="1" t="s">
        <v>74</v>
      </c>
      <c r="S799" s="1" t="s">
        <v>74</v>
      </c>
      <c r="T799" s="1" t="s">
        <v>74</v>
      </c>
      <c r="U799" s="1" t="s">
        <v>13548</v>
      </c>
      <c r="V799" s="1" t="s">
        <v>13549</v>
      </c>
      <c r="W799" s="1" t="s">
        <v>13550</v>
      </c>
      <c r="X799" s="1" t="s">
        <v>2697</v>
      </c>
      <c r="Y799" s="1" t="s">
        <v>74</v>
      </c>
      <c r="Z799" s="1" t="s">
        <v>74</v>
      </c>
      <c r="AA799" s="1" t="s">
        <v>13551</v>
      </c>
      <c r="AB799" s="1" t="s">
        <v>13552</v>
      </c>
      <c r="AC799" s="1" t="s">
        <v>74</v>
      </c>
      <c r="AD799" s="1" t="s">
        <v>74</v>
      </c>
      <c r="AE799" s="1" t="s">
        <v>74</v>
      </c>
      <c r="AF799" s="1" t="s">
        <v>74</v>
      </c>
      <c r="AG799" s="1">
        <v>30</v>
      </c>
      <c r="AH799" s="1">
        <v>68</v>
      </c>
      <c r="AI799" s="1">
        <v>70</v>
      </c>
      <c r="AJ799" s="1">
        <v>0</v>
      </c>
      <c r="AK799" s="1">
        <v>2</v>
      </c>
      <c r="AL799" s="1" t="s">
        <v>6584</v>
      </c>
      <c r="AM799" s="1" t="s">
        <v>113</v>
      </c>
      <c r="AN799" s="1" t="s">
        <v>6585</v>
      </c>
      <c r="AO799" s="1" t="s">
        <v>1009</v>
      </c>
      <c r="AP799" s="1" t="s">
        <v>74</v>
      </c>
      <c r="AQ799" s="1" t="s">
        <v>74</v>
      </c>
      <c r="AR799" s="1" t="s">
        <v>1010</v>
      </c>
      <c r="AS799" s="1" t="s">
        <v>1011</v>
      </c>
      <c r="AT799" s="1" t="s">
        <v>267</v>
      </c>
      <c r="AU799" s="1">
        <v>1994</v>
      </c>
      <c r="AV799" s="1">
        <v>27</v>
      </c>
      <c r="AW799" s="1">
        <v>3</v>
      </c>
      <c r="AX799" s="1" t="s">
        <v>74</v>
      </c>
      <c r="AY799" s="1" t="s">
        <v>74</v>
      </c>
      <c r="AZ799" s="1" t="s">
        <v>74</v>
      </c>
      <c r="BA799" s="1" t="s">
        <v>74</v>
      </c>
      <c r="BB799" s="1">
        <v>338</v>
      </c>
      <c r="BC799" s="1">
        <v>345</v>
      </c>
      <c r="BD799" s="1" t="s">
        <v>74</v>
      </c>
      <c r="BE799" s="1" t="s">
        <v>74</v>
      </c>
      <c r="BF799" s="1" t="s">
        <v>74</v>
      </c>
      <c r="BG799" s="1" t="s">
        <v>74</v>
      </c>
      <c r="BH799" s="1" t="s">
        <v>74</v>
      </c>
      <c r="BI799" s="1">
        <v>8</v>
      </c>
      <c r="BJ799" s="1" t="s">
        <v>121</v>
      </c>
      <c r="BK799" s="1" t="s">
        <v>96</v>
      </c>
      <c r="BL799" s="1" t="s">
        <v>122</v>
      </c>
      <c r="BM799" s="1" t="s">
        <v>13553</v>
      </c>
      <c r="BN799" s="1" t="s">
        <v>74</v>
      </c>
      <c r="BO799" s="1" t="s">
        <v>74</v>
      </c>
      <c r="BP799" s="1" t="s">
        <v>74</v>
      </c>
      <c r="BQ799" s="1" t="s">
        <v>74</v>
      </c>
      <c r="BR799" s="1" t="s">
        <v>98</v>
      </c>
      <c r="BS799" s="1" t="s">
        <v>13554</v>
      </c>
      <c r="BT799" s="1" t="str">
        <f>HYPERLINK("https%3A%2F%2Fwww.webofscience.com%2Fwos%2Fwoscc%2Ffull-record%2FWOS:A1994PD58500009","View Full Record in Web of Science")</f>
        <v>View Full Record in Web of Science</v>
      </c>
    </row>
    <row r="800" spans="1:72">
      <c r="A800" s="1" t="s">
        <v>72</v>
      </c>
      <c r="B800" s="1" t="s">
        <v>13555</v>
      </c>
      <c r="C800" s="1" t="s">
        <v>74</v>
      </c>
      <c r="D800" s="1" t="s">
        <v>74</v>
      </c>
      <c r="E800" s="1" t="s">
        <v>74</v>
      </c>
      <c r="F800" s="1" t="s">
        <v>13556</v>
      </c>
      <c r="G800" s="1" t="s">
        <v>74</v>
      </c>
      <c r="H800" s="1" t="s">
        <v>74</v>
      </c>
      <c r="I800" s="1" t="s">
        <v>13557</v>
      </c>
      <c r="J800" s="1" t="s">
        <v>232</v>
      </c>
      <c r="K800" s="1" t="s">
        <v>74</v>
      </c>
      <c r="L800" s="1" t="s">
        <v>74</v>
      </c>
      <c r="M800" s="1" t="s">
        <v>78</v>
      </c>
      <c r="N800" s="1" t="s">
        <v>79</v>
      </c>
      <c r="O800" s="1" t="s">
        <v>74</v>
      </c>
      <c r="P800" s="1" t="s">
        <v>74</v>
      </c>
      <c r="Q800" s="1" t="s">
        <v>74</v>
      </c>
      <c r="R800" s="1" t="s">
        <v>74</v>
      </c>
      <c r="S800" s="1" t="s">
        <v>74</v>
      </c>
      <c r="T800" s="1" t="s">
        <v>13558</v>
      </c>
      <c r="U800" s="1" t="s">
        <v>13559</v>
      </c>
      <c r="V800" s="1" t="s">
        <v>13560</v>
      </c>
      <c r="W800" s="1" t="s">
        <v>13561</v>
      </c>
      <c r="X800" s="1" t="s">
        <v>13562</v>
      </c>
      <c r="Y800" s="1" t="s">
        <v>13563</v>
      </c>
      <c r="Z800" s="1" t="s">
        <v>13564</v>
      </c>
      <c r="AA800" s="1" t="s">
        <v>13565</v>
      </c>
      <c r="AB800" s="1" t="s">
        <v>13566</v>
      </c>
      <c r="AC800" s="1" t="s">
        <v>13567</v>
      </c>
      <c r="AD800" s="1" t="s">
        <v>13568</v>
      </c>
      <c r="AE800" s="1" t="s">
        <v>13569</v>
      </c>
      <c r="AF800" s="1" t="s">
        <v>74</v>
      </c>
      <c r="AG800" s="1">
        <v>101</v>
      </c>
      <c r="AH800" s="1">
        <v>11</v>
      </c>
      <c r="AI800" s="1">
        <v>11</v>
      </c>
      <c r="AJ800" s="1">
        <v>1</v>
      </c>
      <c r="AK800" s="1">
        <v>32</v>
      </c>
      <c r="AL800" s="1" t="s">
        <v>136</v>
      </c>
      <c r="AM800" s="1" t="s">
        <v>137</v>
      </c>
      <c r="AN800" s="1" t="s">
        <v>138</v>
      </c>
      <c r="AO800" s="1" t="s">
        <v>240</v>
      </c>
      <c r="AP800" s="1" t="s">
        <v>241</v>
      </c>
      <c r="AQ800" s="1" t="s">
        <v>74</v>
      </c>
      <c r="AR800" s="1" t="s">
        <v>242</v>
      </c>
      <c r="AS800" s="1" t="s">
        <v>243</v>
      </c>
      <c r="AT800" s="1" t="s">
        <v>197</v>
      </c>
      <c r="AU800" s="1">
        <v>2021</v>
      </c>
      <c r="AV800" s="1">
        <v>173</v>
      </c>
      <c r="AW800" s="1" t="s">
        <v>74</v>
      </c>
      <c r="AX800" s="1" t="s">
        <v>13570</v>
      </c>
      <c r="AY800" s="1" t="s">
        <v>74</v>
      </c>
      <c r="AZ800" s="1" t="s">
        <v>74</v>
      </c>
      <c r="BA800" s="1" t="s">
        <v>74</v>
      </c>
      <c r="BB800" s="1" t="s">
        <v>74</v>
      </c>
      <c r="BC800" s="1" t="s">
        <v>74</v>
      </c>
      <c r="BD800" s="1">
        <v>113109</v>
      </c>
      <c r="BE800" s="1" t="s">
        <v>13571</v>
      </c>
      <c r="BF800" s="1" t="str">
        <f>HYPERLINK("http://dx.doi.org/10.1016/j.marpolbul.2021.113109","http://dx.doi.org/10.1016/j.marpolbul.2021.113109")</f>
        <v>http://dx.doi.org/10.1016/j.marpolbul.2021.113109</v>
      </c>
      <c r="BG800" s="1" t="s">
        <v>74</v>
      </c>
      <c r="BH800" s="1" t="s">
        <v>10880</v>
      </c>
      <c r="BI800" s="1">
        <v>13</v>
      </c>
      <c r="BJ800" s="1" t="s">
        <v>247</v>
      </c>
      <c r="BK800" s="1" t="s">
        <v>96</v>
      </c>
      <c r="BL800" s="1" t="s">
        <v>248</v>
      </c>
      <c r="BM800" s="1" t="s">
        <v>13572</v>
      </c>
      <c r="BN800" s="1">
        <v>34749115</v>
      </c>
      <c r="BO800" s="1" t="s">
        <v>810</v>
      </c>
      <c r="BP800" s="1" t="s">
        <v>74</v>
      </c>
      <c r="BQ800" s="1" t="s">
        <v>74</v>
      </c>
      <c r="BR800" s="1" t="s">
        <v>98</v>
      </c>
      <c r="BS800" s="1" t="s">
        <v>13573</v>
      </c>
      <c r="BT800" s="1" t="str">
        <f>HYPERLINK("https%3A%2F%2Fwww.webofscience.com%2Fwos%2Fwoscc%2Ffull-record%2FWOS:000719792800015","View Full Record in Web of Science")</f>
        <v>View Full Record in Web of Science</v>
      </c>
    </row>
    <row r="801" spans="1:72">
      <c r="A801" s="1" t="s">
        <v>72</v>
      </c>
      <c r="B801" s="1" t="s">
        <v>13574</v>
      </c>
      <c r="C801" s="1" t="s">
        <v>74</v>
      </c>
      <c r="D801" s="1" t="s">
        <v>74</v>
      </c>
      <c r="E801" s="1" t="s">
        <v>74</v>
      </c>
      <c r="F801" s="1" t="s">
        <v>13575</v>
      </c>
      <c r="G801" s="1" t="s">
        <v>74</v>
      </c>
      <c r="H801" s="1" t="s">
        <v>74</v>
      </c>
      <c r="I801" s="1" t="s">
        <v>13576</v>
      </c>
      <c r="J801" s="1" t="s">
        <v>3792</v>
      </c>
      <c r="K801" s="1" t="s">
        <v>74</v>
      </c>
      <c r="L801" s="1" t="s">
        <v>74</v>
      </c>
      <c r="M801" s="1" t="s">
        <v>78</v>
      </c>
      <c r="N801" s="1" t="s">
        <v>79</v>
      </c>
      <c r="O801" s="1" t="s">
        <v>74</v>
      </c>
      <c r="P801" s="1" t="s">
        <v>74</v>
      </c>
      <c r="Q801" s="1" t="s">
        <v>74</v>
      </c>
      <c r="R801" s="1" t="s">
        <v>74</v>
      </c>
      <c r="S801" s="1" t="s">
        <v>74</v>
      </c>
      <c r="T801" s="1" t="s">
        <v>13577</v>
      </c>
      <c r="U801" s="1" t="s">
        <v>13578</v>
      </c>
      <c r="V801" s="1" t="s">
        <v>13579</v>
      </c>
      <c r="W801" s="1" t="s">
        <v>13580</v>
      </c>
      <c r="X801" s="1" t="s">
        <v>8307</v>
      </c>
      <c r="Y801" s="1" t="s">
        <v>13581</v>
      </c>
      <c r="Z801" s="1" t="s">
        <v>13582</v>
      </c>
      <c r="AA801" s="1" t="s">
        <v>9572</v>
      </c>
      <c r="AB801" s="1" t="s">
        <v>13583</v>
      </c>
      <c r="AC801" s="1" t="s">
        <v>74</v>
      </c>
      <c r="AD801" s="1" t="s">
        <v>74</v>
      </c>
      <c r="AE801" s="1" t="s">
        <v>74</v>
      </c>
      <c r="AF801" s="1" t="s">
        <v>74</v>
      </c>
      <c r="AG801" s="1">
        <v>85</v>
      </c>
      <c r="AH801" s="1">
        <v>8</v>
      </c>
      <c r="AI801" s="1">
        <v>8</v>
      </c>
      <c r="AJ801" s="1">
        <v>2</v>
      </c>
      <c r="AK801" s="1">
        <v>16</v>
      </c>
      <c r="AL801" s="1" t="s">
        <v>1566</v>
      </c>
      <c r="AM801" s="1" t="s">
        <v>1567</v>
      </c>
      <c r="AN801" s="1" t="s">
        <v>1568</v>
      </c>
      <c r="AO801" s="1" t="s">
        <v>74</v>
      </c>
      <c r="AP801" s="1" t="s">
        <v>3802</v>
      </c>
      <c r="AQ801" s="1" t="s">
        <v>74</v>
      </c>
      <c r="AR801" s="1" t="s">
        <v>3792</v>
      </c>
      <c r="AS801" s="1" t="s">
        <v>3803</v>
      </c>
      <c r="AT801" s="1" t="s">
        <v>197</v>
      </c>
      <c r="AU801" s="1">
        <v>2021</v>
      </c>
      <c r="AV801" s="1">
        <v>11</v>
      </c>
      <c r="AW801" s="1">
        <v>12</v>
      </c>
      <c r="AX801" s="1" t="s">
        <v>74</v>
      </c>
      <c r="AY801" s="1" t="s">
        <v>74</v>
      </c>
      <c r="AZ801" s="1" t="s">
        <v>74</v>
      </c>
      <c r="BA801" s="1" t="s">
        <v>74</v>
      </c>
      <c r="BB801" s="1" t="s">
        <v>74</v>
      </c>
      <c r="BC801" s="1" t="s">
        <v>74</v>
      </c>
      <c r="BD801" s="1">
        <v>862</v>
      </c>
      <c r="BE801" s="1" t="s">
        <v>13584</v>
      </c>
      <c r="BF801" s="1" t="str">
        <f>HYPERLINK("http://dx.doi.org/10.3390/metabo11120862","http://dx.doi.org/10.3390/metabo11120862")</f>
        <v>http://dx.doi.org/10.3390/metabo11120862</v>
      </c>
      <c r="BG801" s="1" t="s">
        <v>74</v>
      </c>
      <c r="BH801" s="1" t="s">
        <v>74</v>
      </c>
      <c r="BI801" s="1">
        <v>18</v>
      </c>
      <c r="BJ801" s="1" t="s">
        <v>3805</v>
      </c>
      <c r="BK801" s="1" t="s">
        <v>96</v>
      </c>
      <c r="BL801" s="1" t="s">
        <v>3805</v>
      </c>
      <c r="BM801" s="1" t="s">
        <v>13585</v>
      </c>
      <c r="BN801" s="1">
        <v>34940620</v>
      </c>
      <c r="BO801" s="1" t="s">
        <v>550</v>
      </c>
      <c r="BP801" s="1" t="s">
        <v>74</v>
      </c>
      <c r="BQ801" s="1" t="s">
        <v>74</v>
      </c>
      <c r="BR801" s="1" t="s">
        <v>98</v>
      </c>
      <c r="BS801" s="1" t="s">
        <v>13586</v>
      </c>
      <c r="BT801" s="1" t="str">
        <f>HYPERLINK("https%3A%2F%2Fwww.webofscience.com%2Fwos%2Fwoscc%2Ffull-record%2FWOS:000735559700001","View Full Record in Web of Science")</f>
        <v>View Full Record in Web of Science</v>
      </c>
    </row>
    <row r="802" spans="1:72">
      <c r="A802" s="1" t="s">
        <v>72</v>
      </c>
      <c r="B802" s="1" t="s">
        <v>13587</v>
      </c>
      <c r="C802" s="1" t="s">
        <v>74</v>
      </c>
      <c r="D802" s="1" t="s">
        <v>74</v>
      </c>
      <c r="E802" s="1" t="s">
        <v>74</v>
      </c>
      <c r="F802" s="1" t="s">
        <v>13587</v>
      </c>
      <c r="G802" s="1" t="s">
        <v>74</v>
      </c>
      <c r="H802" s="1" t="s">
        <v>74</v>
      </c>
      <c r="I802" s="1" t="s">
        <v>13588</v>
      </c>
      <c r="J802" s="1" t="s">
        <v>13589</v>
      </c>
      <c r="K802" s="1" t="s">
        <v>74</v>
      </c>
      <c r="L802" s="1" t="s">
        <v>74</v>
      </c>
      <c r="M802" s="1" t="s">
        <v>78</v>
      </c>
      <c r="N802" s="1" t="s">
        <v>79</v>
      </c>
      <c r="O802" s="1" t="s">
        <v>74</v>
      </c>
      <c r="P802" s="1" t="s">
        <v>74</v>
      </c>
      <c r="Q802" s="1" t="s">
        <v>74</v>
      </c>
      <c r="R802" s="1" t="s">
        <v>74</v>
      </c>
      <c r="S802" s="1" t="s">
        <v>74</v>
      </c>
      <c r="T802" s="1" t="s">
        <v>13590</v>
      </c>
      <c r="U802" s="1" t="s">
        <v>74</v>
      </c>
      <c r="V802" s="1" t="s">
        <v>13591</v>
      </c>
      <c r="W802" s="1" t="s">
        <v>74</v>
      </c>
      <c r="X802" s="1" t="s">
        <v>74</v>
      </c>
      <c r="Y802" s="1" t="s">
        <v>13592</v>
      </c>
      <c r="Z802" s="1" t="s">
        <v>74</v>
      </c>
      <c r="AA802" s="1" t="s">
        <v>13593</v>
      </c>
      <c r="AB802" s="1" t="s">
        <v>13594</v>
      </c>
      <c r="AC802" s="1" t="s">
        <v>74</v>
      </c>
      <c r="AD802" s="1" t="s">
        <v>74</v>
      </c>
      <c r="AE802" s="1" t="s">
        <v>74</v>
      </c>
      <c r="AF802" s="1" t="s">
        <v>74</v>
      </c>
      <c r="AG802" s="1">
        <v>10</v>
      </c>
      <c r="AH802" s="1">
        <v>14</v>
      </c>
      <c r="AI802" s="1">
        <v>17</v>
      </c>
      <c r="AJ802" s="1">
        <v>0</v>
      </c>
      <c r="AK802" s="1">
        <v>4</v>
      </c>
      <c r="AL802" s="1" t="s">
        <v>13595</v>
      </c>
      <c r="AM802" s="1" t="s">
        <v>13596</v>
      </c>
      <c r="AN802" s="1" t="s">
        <v>13597</v>
      </c>
      <c r="AO802" s="1" t="s">
        <v>13598</v>
      </c>
      <c r="AP802" s="1" t="s">
        <v>74</v>
      </c>
      <c r="AQ802" s="1" t="s">
        <v>74</v>
      </c>
      <c r="AR802" s="1" t="s">
        <v>13599</v>
      </c>
      <c r="AS802" s="1" t="s">
        <v>13600</v>
      </c>
      <c r="AT802" s="1" t="s">
        <v>305</v>
      </c>
      <c r="AU802" s="1">
        <v>1996</v>
      </c>
      <c r="AV802" s="1">
        <v>49</v>
      </c>
      <c r="AW802" s="1">
        <v>2</v>
      </c>
      <c r="AX802" s="1" t="s">
        <v>74</v>
      </c>
      <c r="AY802" s="1" t="s">
        <v>74</v>
      </c>
      <c r="AZ802" s="1" t="s">
        <v>74</v>
      </c>
      <c r="BA802" s="1" t="s">
        <v>74</v>
      </c>
      <c r="BB802" s="1">
        <v>87</v>
      </c>
      <c r="BC802" s="1">
        <v>98</v>
      </c>
      <c r="BD802" s="1" t="s">
        <v>74</v>
      </c>
      <c r="BE802" s="1" t="s">
        <v>74</v>
      </c>
      <c r="BF802" s="1" t="s">
        <v>74</v>
      </c>
      <c r="BG802" s="1" t="s">
        <v>74</v>
      </c>
      <c r="BH802" s="1" t="s">
        <v>74</v>
      </c>
      <c r="BI802" s="1">
        <v>12</v>
      </c>
      <c r="BJ802" s="1" t="s">
        <v>3202</v>
      </c>
      <c r="BK802" s="1" t="s">
        <v>96</v>
      </c>
      <c r="BL802" s="1" t="s">
        <v>3203</v>
      </c>
      <c r="BM802" s="1" t="s">
        <v>13601</v>
      </c>
      <c r="BN802" s="1" t="s">
        <v>74</v>
      </c>
      <c r="BO802" s="1" t="s">
        <v>74</v>
      </c>
      <c r="BP802" s="1" t="s">
        <v>74</v>
      </c>
      <c r="BQ802" s="1" t="s">
        <v>74</v>
      </c>
      <c r="BR802" s="1" t="s">
        <v>98</v>
      </c>
      <c r="BS802" s="1" t="s">
        <v>13602</v>
      </c>
      <c r="BT802" s="1" t="str">
        <f>HYPERLINK("https%3A%2F%2Fwww.webofscience.com%2Fwos%2Fwoscc%2Ffull-record%2FWOS:A1996VR92300001","View Full Record in Web of Science")</f>
        <v>View Full Record in Web of Science</v>
      </c>
    </row>
    <row r="803" spans="1:72">
      <c r="A803" s="1" t="s">
        <v>72</v>
      </c>
      <c r="B803" s="1" t="s">
        <v>13603</v>
      </c>
      <c r="C803" s="1" t="s">
        <v>74</v>
      </c>
      <c r="D803" s="1" t="s">
        <v>74</v>
      </c>
      <c r="E803" s="1" t="s">
        <v>74</v>
      </c>
      <c r="F803" s="1" t="s">
        <v>13604</v>
      </c>
      <c r="G803" s="1" t="s">
        <v>74</v>
      </c>
      <c r="H803" s="1" t="s">
        <v>74</v>
      </c>
      <c r="I803" s="1" t="s">
        <v>13605</v>
      </c>
      <c r="J803" s="1" t="s">
        <v>752</v>
      </c>
      <c r="K803" s="1" t="s">
        <v>74</v>
      </c>
      <c r="L803" s="1" t="s">
        <v>74</v>
      </c>
      <c r="M803" s="1" t="s">
        <v>78</v>
      </c>
      <c r="N803" s="1" t="s">
        <v>79</v>
      </c>
      <c r="O803" s="1" t="s">
        <v>74</v>
      </c>
      <c r="P803" s="1" t="s">
        <v>74</v>
      </c>
      <c r="Q803" s="1" t="s">
        <v>74</v>
      </c>
      <c r="R803" s="1" t="s">
        <v>74</v>
      </c>
      <c r="S803" s="1" t="s">
        <v>74</v>
      </c>
      <c r="T803" s="1" t="s">
        <v>13606</v>
      </c>
      <c r="U803" s="1" t="s">
        <v>13607</v>
      </c>
      <c r="V803" s="1" t="s">
        <v>13608</v>
      </c>
      <c r="W803" s="1" t="s">
        <v>13609</v>
      </c>
      <c r="X803" s="1" t="s">
        <v>13610</v>
      </c>
      <c r="Y803" s="1" t="s">
        <v>13611</v>
      </c>
      <c r="Z803" s="1" t="s">
        <v>13612</v>
      </c>
      <c r="AA803" s="1" t="s">
        <v>13613</v>
      </c>
      <c r="AB803" s="1" t="s">
        <v>13614</v>
      </c>
      <c r="AC803" s="1" t="s">
        <v>13615</v>
      </c>
      <c r="AD803" s="1" t="s">
        <v>13616</v>
      </c>
      <c r="AE803" s="1" t="s">
        <v>13617</v>
      </c>
      <c r="AF803" s="1" t="s">
        <v>74</v>
      </c>
      <c r="AG803" s="1">
        <v>50</v>
      </c>
      <c r="AH803" s="1">
        <v>14</v>
      </c>
      <c r="AI803" s="1">
        <v>16</v>
      </c>
      <c r="AJ803" s="1">
        <v>1</v>
      </c>
      <c r="AK803" s="1">
        <v>27</v>
      </c>
      <c r="AL803" s="1" t="s">
        <v>430</v>
      </c>
      <c r="AM803" s="1" t="s">
        <v>137</v>
      </c>
      <c r="AN803" s="1" t="s">
        <v>431</v>
      </c>
      <c r="AO803" s="1" t="s">
        <v>761</v>
      </c>
      <c r="AP803" s="1" t="s">
        <v>762</v>
      </c>
      <c r="AQ803" s="1" t="s">
        <v>74</v>
      </c>
      <c r="AR803" s="1" t="s">
        <v>763</v>
      </c>
      <c r="AS803" s="1" t="s">
        <v>764</v>
      </c>
      <c r="AT803" s="1" t="s">
        <v>224</v>
      </c>
      <c r="AU803" s="1">
        <v>2015</v>
      </c>
      <c r="AV803" s="1">
        <v>103</v>
      </c>
      <c r="AW803" s="1" t="s">
        <v>74</v>
      </c>
      <c r="AX803" s="1" t="s">
        <v>74</v>
      </c>
      <c r="AY803" s="1" t="s">
        <v>74</v>
      </c>
      <c r="AZ803" s="1" t="s">
        <v>74</v>
      </c>
      <c r="BA803" s="1" t="s">
        <v>74</v>
      </c>
      <c r="BB803" s="1">
        <v>80</v>
      </c>
      <c r="BC803" s="1">
        <v>88</v>
      </c>
      <c r="BD803" s="1" t="s">
        <v>74</v>
      </c>
      <c r="BE803" s="1" t="s">
        <v>13618</v>
      </c>
      <c r="BF803" s="1" t="str">
        <f>HYPERLINK("http://dx.doi.org/10.1016/j.marenvres.2014.11.007","http://dx.doi.org/10.1016/j.marenvres.2014.11.007")</f>
        <v>http://dx.doi.org/10.1016/j.marenvres.2014.11.007</v>
      </c>
      <c r="BG803" s="1" t="s">
        <v>74</v>
      </c>
      <c r="BH803" s="1" t="s">
        <v>74</v>
      </c>
      <c r="BI803" s="1">
        <v>9</v>
      </c>
      <c r="BJ803" s="1" t="s">
        <v>768</v>
      </c>
      <c r="BK803" s="1" t="s">
        <v>96</v>
      </c>
      <c r="BL803" s="1" t="s">
        <v>769</v>
      </c>
      <c r="BM803" s="1" t="s">
        <v>13619</v>
      </c>
      <c r="BN803" s="1">
        <v>25460065</v>
      </c>
      <c r="BO803" s="1" t="s">
        <v>74</v>
      </c>
      <c r="BP803" s="1" t="s">
        <v>74</v>
      </c>
      <c r="BQ803" s="1" t="s">
        <v>74</v>
      </c>
      <c r="BR803" s="1" t="s">
        <v>98</v>
      </c>
      <c r="BS803" s="1" t="s">
        <v>13620</v>
      </c>
      <c r="BT803" s="1" t="str">
        <f>HYPERLINK("https%3A%2F%2Fwww.webofscience.com%2Fwos%2Fwoscc%2Ffull-record%2FWOS:000348258300010","View Full Record in Web of Science")</f>
        <v>View Full Record in Web of Science</v>
      </c>
    </row>
    <row r="804" spans="1:72">
      <c r="A804" s="1" t="s">
        <v>72</v>
      </c>
      <c r="B804" s="1" t="s">
        <v>13621</v>
      </c>
      <c r="C804" s="1" t="s">
        <v>74</v>
      </c>
      <c r="D804" s="1" t="s">
        <v>74</v>
      </c>
      <c r="E804" s="1" t="s">
        <v>74</v>
      </c>
      <c r="F804" s="1" t="s">
        <v>13622</v>
      </c>
      <c r="G804" s="1" t="s">
        <v>74</v>
      </c>
      <c r="H804" s="1" t="s">
        <v>74</v>
      </c>
      <c r="I804" s="1" t="s">
        <v>13623</v>
      </c>
      <c r="J804" s="1" t="s">
        <v>204</v>
      </c>
      <c r="K804" s="1" t="s">
        <v>74</v>
      </c>
      <c r="L804" s="1" t="s">
        <v>74</v>
      </c>
      <c r="M804" s="1" t="s">
        <v>78</v>
      </c>
      <c r="N804" s="1" t="s">
        <v>79</v>
      </c>
      <c r="O804" s="1" t="s">
        <v>74</v>
      </c>
      <c r="P804" s="1" t="s">
        <v>74</v>
      </c>
      <c r="Q804" s="1" t="s">
        <v>74</v>
      </c>
      <c r="R804" s="1" t="s">
        <v>74</v>
      </c>
      <c r="S804" s="1" t="s">
        <v>74</v>
      </c>
      <c r="T804" s="1" t="s">
        <v>13624</v>
      </c>
      <c r="U804" s="1" t="s">
        <v>13625</v>
      </c>
      <c r="V804" s="1" t="s">
        <v>13626</v>
      </c>
      <c r="W804" s="1" t="s">
        <v>13627</v>
      </c>
      <c r="X804" s="1" t="s">
        <v>13628</v>
      </c>
      <c r="Y804" s="1" t="s">
        <v>13629</v>
      </c>
      <c r="Z804" s="1" t="s">
        <v>13630</v>
      </c>
      <c r="AA804" s="1" t="s">
        <v>13631</v>
      </c>
      <c r="AB804" s="1" t="s">
        <v>74</v>
      </c>
      <c r="AC804" s="1" t="s">
        <v>13632</v>
      </c>
      <c r="AD804" s="1" t="s">
        <v>13633</v>
      </c>
      <c r="AE804" s="1" t="s">
        <v>13634</v>
      </c>
      <c r="AF804" s="1" t="s">
        <v>74</v>
      </c>
      <c r="AG804" s="1">
        <v>82</v>
      </c>
      <c r="AH804" s="1">
        <v>17</v>
      </c>
      <c r="AI804" s="1">
        <v>18</v>
      </c>
      <c r="AJ804" s="1">
        <v>0</v>
      </c>
      <c r="AK804" s="1">
        <v>12</v>
      </c>
      <c r="AL804" s="1" t="s">
        <v>217</v>
      </c>
      <c r="AM804" s="1" t="s">
        <v>218</v>
      </c>
      <c r="AN804" s="1" t="s">
        <v>219</v>
      </c>
      <c r="AO804" s="1" t="s">
        <v>220</v>
      </c>
      <c r="AP804" s="1" t="s">
        <v>221</v>
      </c>
      <c r="AQ804" s="1" t="s">
        <v>74</v>
      </c>
      <c r="AR804" s="1" t="s">
        <v>222</v>
      </c>
      <c r="AS804" s="1" t="s">
        <v>223</v>
      </c>
      <c r="AT804" s="1" t="s">
        <v>765</v>
      </c>
      <c r="AU804" s="1">
        <v>2018</v>
      </c>
      <c r="AV804" s="1">
        <v>25</v>
      </c>
      <c r="AW804" s="1">
        <v>19</v>
      </c>
      <c r="AX804" s="1" t="s">
        <v>74</v>
      </c>
      <c r="AY804" s="1" t="s">
        <v>74</v>
      </c>
      <c r="AZ804" s="1" t="s">
        <v>74</v>
      </c>
      <c r="BA804" s="1" t="s">
        <v>74</v>
      </c>
      <c r="BB804" s="1">
        <v>18242</v>
      </c>
      <c r="BC804" s="1">
        <v>18250</v>
      </c>
      <c r="BD804" s="1" t="s">
        <v>74</v>
      </c>
      <c r="BE804" s="1" t="s">
        <v>13635</v>
      </c>
      <c r="BF804" s="1" t="str">
        <f>HYPERLINK("http://dx.doi.org/10.1007/s11356-017-9031-4","http://dx.doi.org/10.1007/s11356-017-9031-4")</f>
        <v>http://dx.doi.org/10.1007/s11356-017-9031-4</v>
      </c>
      <c r="BG804" s="1" t="s">
        <v>74</v>
      </c>
      <c r="BH804" s="1" t="s">
        <v>74</v>
      </c>
      <c r="BI804" s="1">
        <v>9</v>
      </c>
      <c r="BJ804" s="1" t="s">
        <v>144</v>
      </c>
      <c r="BK804" s="1" t="s">
        <v>96</v>
      </c>
      <c r="BL804" s="1" t="s">
        <v>145</v>
      </c>
      <c r="BM804" s="1" t="s">
        <v>13636</v>
      </c>
      <c r="BN804" s="1">
        <v>28484978</v>
      </c>
      <c r="BO804" s="1" t="s">
        <v>74</v>
      </c>
      <c r="BP804" s="1" t="s">
        <v>74</v>
      </c>
      <c r="BQ804" s="1" t="s">
        <v>74</v>
      </c>
      <c r="BR804" s="1" t="s">
        <v>98</v>
      </c>
      <c r="BS804" s="1" t="s">
        <v>13637</v>
      </c>
      <c r="BT804" s="1" t="str">
        <f>HYPERLINK("https%3A%2F%2Fwww.webofscience.com%2Fwos%2Fwoscc%2Ffull-record%2FWOS:000437264700003","View Full Record in Web of Science")</f>
        <v>View Full Record in Web of Science</v>
      </c>
    </row>
    <row r="805" spans="1:72">
      <c r="A805" s="1" t="s">
        <v>72</v>
      </c>
      <c r="B805" s="1" t="s">
        <v>13638</v>
      </c>
      <c r="C805" s="1" t="s">
        <v>74</v>
      </c>
      <c r="D805" s="1" t="s">
        <v>74</v>
      </c>
      <c r="E805" s="1" t="s">
        <v>74</v>
      </c>
      <c r="F805" s="1" t="s">
        <v>13639</v>
      </c>
      <c r="G805" s="1" t="s">
        <v>74</v>
      </c>
      <c r="H805" s="1" t="s">
        <v>74</v>
      </c>
      <c r="I805" s="1" t="s">
        <v>13640</v>
      </c>
      <c r="J805" s="1" t="s">
        <v>958</v>
      </c>
      <c r="K805" s="1" t="s">
        <v>74</v>
      </c>
      <c r="L805" s="1" t="s">
        <v>74</v>
      </c>
      <c r="M805" s="1" t="s">
        <v>78</v>
      </c>
      <c r="N805" s="1" t="s">
        <v>79</v>
      </c>
      <c r="O805" s="1" t="s">
        <v>74</v>
      </c>
      <c r="P805" s="1" t="s">
        <v>74</v>
      </c>
      <c r="Q805" s="1" t="s">
        <v>74</v>
      </c>
      <c r="R805" s="1" t="s">
        <v>74</v>
      </c>
      <c r="S805" s="1" t="s">
        <v>74</v>
      </c>
      <c r="T805" s="1" t="s">
        <v>13641</v>
      </c>
      <c r="U805" s="1" t="s">
        <v>13642</v>
      </c>
      <c r="V805" s="1" t="s">
        <v>13643</v>
      </c>
      <c r="W805" s="1" t="s">
        <v>13644</v>
      </c>
      <c r="X805" s="1" t="s">
        <v>13645</v>
      </c>
      <c r="Y805" s="1" t="s">
        <v>13646</v>
      </c>
      <c r="Z805" s="1" t="s">
        <v>13647</v>
      </c>
      <c r="AA805" s="1" t="s">
        <v>13648</v>
      </c>
      <c r="AB805" s="1" t="s">
        <v>13649</v>
      </c>
      <c r="AC805" s="1" t="s">
        <v>13650</v>
      </c>
      <c r="AD805" s="1" t="s">
        <v>13651</v>
      </c>
      <c r="AE805" s="1" t="s">
        <v>13652</v>
      </c>
      <c r="AF805" s="1" t="s">
        <v>74</v>
      </c>
      <c r="AG805" s="1">
        <v>75</v>
      </c>
      <c r="AH805" s="1">
        <v>29</v>
      </c>
      <c r="AI805" s="1">
        <v>33</v>
      </c>
      <c r="AJ805" s="1">
        <v>0</v>
      </c>
      <c r="AK805" s="1">
        <v>11</v>
      </c>
      <c r="AL805" s="1" t="s">
        <v>86</v>
      </c>
      <c r="AM805" s="1" t="s">
        <v>87</v>
      </c>
      <c r="AN805" s="1" t="s">
        <v>88</v>
      </c>
      <c r="AO805" s="1" t="s">
        <v>967</v>
      </c>
      <c r="AP805" s="1" t="s">
        <v>968</v>
      </c>
      <c r="AQ805" s="1" t="s">
        <v>74</v>
      </c>
      <c r="AR805" s="1" t="s">
        <v>969</v>
      </c>
      <c r="AS805" s="1" t="s">
        <v>970</v>
      </c>
      <c r="AT805" s="1" t="s">
        <v>224</v>
      </c>
      <c r="AU805" s="1">
        <v>2015</v>
      </c>
      <c r="AV805" s="1">
        <v>30</v>
      </c>
      <c r="AW805" s="1">
        <v>2</v>
      </c>
      <c r="AX805" s="1" t="s">
        <v>74</v>
      </c>
      <c r="AY805" s="1" t="s">
        <v>74</v>
      </c>
      <c r="AZ805" s="1" t="s">
        <v>74</v>
      </c>
      <c r="BA805" s="1" t="s">
        <v>74</v>
      </c>
      <c r="BB805" s="1">
        <v>177</v>
      </c>
      <c r="BC805" s="1">
        <v>187</v>
      </c>
      <c r="BD805" s="1" t="s">
        <v>74</v>
      </c>
      <c r="BE805" s="1" t="s">
        <v>13653</v>
      </c>
      <c r="BF805" s="1" t="str">
        <f>HYPERLINK("http://dx.doi.org/10.1002/tox.21883","http://dx.doi.org/10.1002/tox.21883")</f>
        <v>http://dx.doi.org/10.1002/tox.21883</v>
      </c>
      <c r="BG805" s="1" t="s">
        <v>74</v>
      </c>
      <c r="BH805" s="1" t="s">
        <v>74</v>
      </c>
      <c r="BI805" s="1">
        <v>11</v>
      </c>
      <c r="BJ805" s="1" t="s">
        <v>972</v>
      </c>
      <c r="BK805" s="1" t="s">
        <v>96</v>
      </c>
      <c r="BL805" s="1" t="s">
        <v>973</v>
      </c>
      <c r="BM805" s="1" t="s">
        <v>13654</v>
      </c>
      <c r="BN805" s="1">
        <v>23804459</v>
      </c>
      <c r="BO805" s="1" t="s">
        <v>74</v>
      </c>
      <c r="BP805" s="1" t="s">
        <v>74</v>
      </c>
      <c r="BQ805" s="1" t="s">
        <v>74</v>
      </c>
      <c r="BR805" s="1" t="s">
        <v>98</v>
      </c>
      <c r="BS805" s="1" t="s">
        <v>13655</v>
      </c>
      <c r="BT805" s="1" t="str">
        <f>HYPERLINK("https%3A%2F%2Fwww.webofscience.com%2Fwos%2Fwoscc%2Ffull-record%2FWOS:000348661100006","View Full Record in Web of Science")</f>
        <v>View Full Record in Web of Science</v>
      </c>
    </row>
    <row r="806" spans="1:72">
      <c r="A806" s="1" t="s">
        <v>72</v>
      </c>
      <c r="B806" s="1" t="s">
        <v>13656</v>
      </c>
      <c r="C806" s="1" t="s">
        <v>74</v>
      </c>
      <c r="D806" s="1" t="s">
        <v>74</v>
      </c>
      <c r="E806" s="1" t="s">
        <v>74</v>
      </c>
      <c r="F806" s="1" t="s">
        <v>13657</v>
      </c>
      <c r="G806" s="1" t="s">
        <v>74</v>
      </c>
      <c r="H806" s="1" t="s">
        <v>74</v>
      </c>
      <c r="I806" s="1" t="s">
        <v>13658</v>
      </c>
      <c r="J806" s="1" t="s">
        <v>204</v>
      </c>
      <c r="K806" s="1" t="s">
        <v>74</v>
      </c>
      <c r="L806" s="1" t="s">
        <v>74</v>
      </c>
      <c r="M806" s="1" t="s">
        <v>78</v>
      </c>
      <c r="N806" s="1" t="s">
        <v>79</v>
      </c>
      <c r="O806" s="1" t="s">
        <v>74</v>
      </c>
      <c r="P806" s="1" t="s">
        <v>74</v>
      </c>
      <c r="Q806" s="1" t="s">
        <v>74</v>
      </c>
      <c r="R806" s="1" t="s">
        <v>74</v>
      </c>
      <c r="S806" s="1" t="s">
        <v>74</v>
      </c>
      <c r="T806" s="1" t="s">
        <v>13659</v>
      </c>
      <c r="U806" s="1" t="s">
        <v>13660</v>
      </c>
      <c r="V806" s="1" t="s">
        <v>13661</v>
      </c>
      <c r="W806" s="1" t="s">
        <v>13662</v>
      </c>
      <c r="X806" s="1" t="s">
        <v>13663</v>
      </c>
      <c r="Y806" s="1" t="s">
        <v>13664</v>
      </c>
      <c r="Z806" s="1" t="s">
        <v>13665</v>
      </c>
      <c r="AA806" s="1" t="s">
        <v>74</v>
      </c>
      <c r="AB806" s="1" t="s">
        <v>13666</v>
      </c>
      <c r="AC806" s="1" t="s">
        <v>13667</v>
      </c>
      <c r="AD806" s="1" t="s">
        <v>525</v>
      </c>
      <c r="AE806" s="1" t="s">
        <v>13668</v>
      </c>
      <c r="AF806" s="1" t="s">
        <v>74</v>
      </c>
      <c r="AG806" s="1">
        <v>60</v>
      </c>
      <c r="AH806" s="1">
        <v>7</v>
      </c>
      <c r="AI806" s="1">
        <v>10</v>
      </c>
      <c r="AJ806" s="1">
        <v>7</v>
      </c>
      <c r="AK806" s="1">
        <v>79</v>
      </c>
      <c r="AL806" s="1" t="s">
        <v>217</v>
      </c>
      <c r="AM806" s="1" t="s">
        <v>218</v>
      </c>
      <c r="AN806" s="1" t="s">
        <v>219</v>
      </c>
      <c r="AO806" s="1" t="s">
        <v>220</v>
      </c>
      <c r="AP806" s="1" t="s">
        <v>221</v>
      </c>
      <c r="AQ806" s="1" t="s">
        <v>74</v>
      </c>
      <c r="AR806" s="1" t="s">
        <v>222</v>
      </c>
      <c r="AS806" s="1" t="s">
        <v>223</v>
      </c>
      <c r="AT806" s="1" t="s">
        <v>197</v>
      </c>
      <c r="AU806" s="1">
        <v>2020</v>
      </c>
      <c r="AV806" s="1">
        <v>27</v>
      </c>
      <c r="AW806" s="1">
        <v>36</v>
      </c>
      <c r="AX806" s="1" t="s">
        <v>74</v>
      </c>
      <c r="AY806" s="1" t="s">
        <v>74</v>
      </c>
      <c r="AZ806" s="1" t="s">
        <v>74</v>
      </c>
      <c r="BA806" s="1" t="s">
        <v>74</v>
      </c>
      <c r="BB806" s="1">
        <v>45712</v>
      </c>
      <c r="BC806" s="1">
        <v>45721</v>
      </c>
      <c r="BD806" s="1" t="s">
        <v>74</v>
      </c>
      <c r="BE806" s="1" t="s">
        <v>13669</v>
      </c>
      <c r="BF806" s="1" t="str">
        <f>HYPERLINK("http://dx.doi.org/10.1007/s11356-020-10434-7","http://dx.doi.org/10.1007/s11356-020-10434-7")</f>
        <v>http://dx.doi.org/10.1007/s11356-020-10434-7</v>
      </c>
      <c r="BG806" s="1" t="s">
        <v>74</v>
      </c>
      <c r="BH806" s="1" t="s">
        <v>3851</v>
      </c>
      <c r="BI806" s="1">
        <v>10</v>
      </c>
      <c r="BJ806" s="1" t="s">
        <v>144</v>
      </c>
      <c r="BK806" s="1" t="s">
        <v>96</v>
      </c>
      <c r="BL806" s="1" t="s">
        <v>145</v>
      </c>
      <c r="BM806" s="1" t="s">
        <v>13670</v>
      </c>
      <c r="BN806" s="1">
        <v>32803585</v>
      </c>
      <c r="BO806" s="1" t="s">
        <v>74</v>
      </c>
      <c r="BP806" s="1" t="s">
        <v>74</v>
      </c>
      <c r="BQ806" s="1" t="s">
        <v>74</v>
      </c>
      <c r="BR806" s="1" t="s">
        <v>98</v>
      </c>
      <c r="BS806" s="1" t="s">
        <v>13671</v>
      </c>
      <c r="BT806" s="1" t="str">
        <f>HYPERLINK("https%3A%2F%2Fwww.webofscience.com%2Fwos%2Fwoscc%2Ffull-record%2FWOS:000559954300029","View Full Record in Web of Science")</f>
        <v>View Full Record in Web of Science</v>
      </c>
    </row>
    <row r="807" spans="1:72">
      <c r="A807" s="1" t="s">
        <v>72</v>
      </c>
      <c r="B807" s="1" t="s">
        <v>13672</v>
      </c>
      <c r="C807" s="1" t="s">
        <v>74</v>
      </c>
      <c r="D807" s="1" t="s">
        <v>74</v>
      </c>
      <c r="E807" s="1" t="s">
        <v>74</v>
      </c>
      <c r="F807" s="1" t="s">
        <v>13673</v>
      </c>
      <c r="G807" s="1" t="s">
        <v>74</v>
      </c>
      <c r="H807" s="1" t="s">
        <v>74</v>
      </c>
      <c r="I807" s="1" t="s">
        <v>13674</v>
      </c>
      <c r="J807" s="1" t="s">
        <v>13675</v>
      </c>
      <c r="K807" s="1" t="s">
        <v>74</v>
      </c>
      <c r="L807" s="1" t="s">
        <v>74</v>
      </c>
      <c r="M807" s="1" t="s">
        <v>78</v>
      </c>
      <c r="N807" s="1" t="s">
        <v>79</v>
      </c>
      <c r="O807" s="1" t="s">
        <v>74</v>
      </c>
      <c r="P807" s="1" t="s">
        <v>74</v>
      </c>
      <c r="Q807" s="1" t="s">
        <v>74</v>
      </c>
      <c r="R807" s="1" t="s">
        <v>74</v>
      </c>
      <c r="S807" s="1" t="s">
        <v>74</v>
      </c>
      <c r="T807" s="1" t="s">
        <v>13676</v>
      </c>
      <c r="U807" s="1" t="s">
        <v>13677</v>
      </c>
      <c r="V807" s="1" t="s">
        <v>13678</v>
      </c>
      <c r="W807" s="1" t="s">
        <v>13679</v>
      </c>
      <c r="X807" s="1" t="s">
        <v>13680</v>
      </c>
      <c r="Y807" s="1" t="s">
        <v>13681</v>
      </c>
      <c r="Z807" s="1" t="s">
        <v>13682</v>
      </c>
      <c r="AA807" s="1" t="s">
        <v>13683</v>
      </c>
      <c r="AB807" s="1" t="s">
        <v>13684</v>
      </c>
      <c r="AC807" s="1" t="s">
        <v>13685</v>
      </c>
      <c r="AD807" s="1" t="s">
        <v>13686</v>
      </c>
      <c r="AE807" s="1" t="s">
        <v>13687</v>
      </c>
      <c r="AF807" s="1" t="s">
        <v>74</v>
      </c>
      <c r="AG807" s="1">
        <v>34</v>
      </c>
      <c r="AH807" s="1">
        <v>6</v>
      </c>
      <c r="AI807" s="1">
        <v>6</v>
      </c>
      <c r="AJ807" s="1">
        <v>0</v>
      </c>
      <c r="AK807" s="1">
        <v>10</v>
      </c>
      <c r="AL807" s="1" t="s">
        <v>112</v>
      </c>
      <c r="AM807" s="1" t="s">
        <v>191</v>
      </c>
      <c r="AN807" s="1" t="s">
        <v>192</v>
      </c>
      <c r="AO807" s="1" t="s">
        <v>13688</v>
      </c>
      <c r="AP807" s="1" t="s">
        <v>13689</v>
      </c>
      <c r="AQ807" s="1" t="s">
        <v>74</v>
      </c>
      <c r="AR807" s="1" t="s">
        <v>13690</v>
      </c>
      <c r="AS807" s="1" t="s">
        <v>13691</v>
      </c>
      <c r="AT807" s="1" t="s">
        <v>142</v>
      </c>
      <c r="AU807" s="1">
        <v>2009</v>
      </c>
      <c r="AV807" s="1">
        <v>43</v>
      </c>
      <c r="AW807" s="1">
        <v>2</v>
      </c>
      <c r="AX807" s="1" t="s">
        <v>74</v>
      </c>
      <c r="AY807" s="1" t="s">
        <v>74</v>
      </c>
      <c r="AZ807" s="1" t="s">
        <v>74</v>
      </c>
      <c r="BA807" s="1" t="s">
        <v>74</v>
      </c>
      <c r="BB807" s="1">
        <v>513</v>
      </c>
      <c r="BC807" s="1">
        <v>519</v>
      </c>
      <c r="BD807" s="1" t="s">
        <v>74</v>
      </c>
      <c r="BE807" s="1" t="s">
        <v>13692</v>
      </c>
      <c r="BF807" s="1" t="str">
        <f>HYPERLINK("http://dx.doi.org/10.1007/s10452-007-9161-8","http://dx.doi.org/10.1007/s10452-007-9161-8")</f>
        <v>http://dx.doi.org/10.1007/s10452-007-9161-8</v>
      </c>
      <c r="BG807" s="1" t="s">
        <v>74</v>
      </c>
      <c r="BH807" s="1" t="s">
        <v>74</v>
      </c>
      <c r="BI807" s="1">
        <v>7</v>
      </c>
      <c r="BJ807" s="1" t="s">
        <v>13693</v>
      </c>
      <c r="BK807" s="1" t="s">
        <v>96</v>
      </c>
      <c r="BL807" s="1" t="s">
        <v>248</v>
      </c>
      <c r="BM807" s="1" t="s">
        <v>13694</v>
      </c>
      <c r="BN807" s="1" t="s">
        <v>74</v>
      </c>
      <c r="BO807" s="1" t="s">
        <v>74</v>
      </c>
      <c r="BP807" s="1" t="s">
        <v>74</v>
      </c>
      <c r="BQ807" s="1" t="s">
        <v>74</v>
      </c>
      <c r="BR807" s="1" t="s">
        <v>98</v>
      </c>
      <c r="BS807" s="1" t="s">
        <v>13695</v>
      </c>
      <c r="BT807" s="1" t="str">
        <f>HYPERLINK("https%3A%2F%2Fwww.webofscience.com%2Fwos%2Fwoscc%2Ffull-record%2FWOS:000265439800028","View Full Record in Web of Science")</f>
        <v>View Full Record in Web of Science</v>
      </c>
    </row>
    <row r="808" spans="1:72">
      <c r="A808" s="1" t="s">
        <v>72</v>
      </c>
      <c r="B808" s="1" t="s">
        <v>13696</v>
      </c>
      <c r="C808" s="1" t="s">
        <v>74</v>
      </c>
      <c r="D808" s="1" t="s">
        <v>74</v>
      </c>
      <c r="E808" s="1" t="s">
        <v>74</v>
      </c>
      <c r="F808" s="1" t="s">
        <v>13697</v>
      </c>
      <c r="G808" s="1" t="s">
        <v>74</v>
      </c>
      <c r="H808" s="1" t="s">
        <v>74</v>
      </c>
      <c r="I808" s="1" t="s">
        <v>13698</v>
      </c>
      <c r="J808" s="1" t="s">
        <v>232</v>
      </c>
      <c r="K808" s="1" t="s">
        <v>74</v>
      </c>
      <c r="L808" s="1" t="s">
        <v>74</v>
      </c>
      <c r="M808" s="1" t="s">
        <v>78</v>
      </c>
      <c r="N808" s="1" t="s">
        <v>79</v>
      </c>
      <c r="O808" s="1" t="s">
        <v>74</v>
      </c>
      <c r="P808" s="1" t="s">
        <v>74</v>
      </c>
      <c r="Q808" s="1" t="s">
        <v>74</v>
      </c>
      <c r="R808" s="1" t="s">
        <v>74</v>
      </c>
      <c r="S808" s="1" t="s">
        <v>74</v>
      </c>
      <c r="T808" s="1" t="s">
        <v>13699</v>
      </c>
      <c r="U808" s="1" t="s">
        <v>13700</v>
      </c>
      <c r="V808" s="1" t="s">
        <v>13701</v>
      </c>
      <c r="W808" s="1" t="s">
        <v>13702</v>
      </c>
      <c r="X808" s="1" t="s">
        <v>13703</v>
      </c>
      <c r="Y808" s="1" t="s">
        <v>13704</v>
      </c>
      <c r="Z808" s="1" t="s">
        <v>11784</v>
      </c>
      <c r="AA808" s="1" t="s">
        <v>13705</v>
      </c>
      <c r="AB808" s="1" t="s">
        <v>13706</v>
      </c>
      <c r="AC808" s="1" t="s">
        <v>74</v>
      </c>
      <c r="AD808" s="1" t="s">
        <v>74</v>
      </c>
      <c r="AE808" s="1" t="s">
        <v>74</v>
      </c>
      <c r="AF808" s="1" t="s">
        <v>74</v>
      </c>
      <c r="AG808" s="1">
        <v>34</v>
      </c>
      <c r="AH808" s="1">
        <v>18</v>
      </c>
      <c r="AI808" s="1">
        <v>18</v>
      </c>
      <c r="AJ808" s="1">
        <v>0</v>
      </c>
      <c r="AK808" s="1">
        <v>23</v>
      </c>
      <c r="AL808" s="1" t="s">
        <v>136</v>
      </c>
      <c r="AM808" s="1" t="s">
        <v>137</v>
      </c>
      <c r="AN808" s="1" t="s">
        <v>138</v>
      </c>
      <c r="AO808" s="1" t="s">
        <v>240</v>
      </c>
      <c r="AP808" s="1" t="s">
        <v>241</v>
      </c>
      <c r="AQ808" s="1" t="s">
        <v>74</v>
      </c>
      <c r="AR808" s="1" t="s">
        <v>242</v>
      </c>
      <c r="AS808" s="1" t="s">
        <v>243</v>
      </c>
      <c r="AT808" s="1" t="s">
        <v>1965</v>
      </c>
      <c r="AU808" s="1">
        <v>2014</v>
      </c>
      <c r="AV808" s="1">
        <v>89</v>
      </c>
      <c r="AW808" s="1" t="s">
        <v>326</v>
      </c>
      <c r="AX808" s="1" t="s">
        <v>74</v>
      </c>
      <c r="AY808" s="1" t="s">
        <v>74</v>
      </c>
      <c r="AZ808" s="1" t="s">
        <v>74</v>
      </c>
      <c r="BA808" s="1" t="s">
        <v>74</v>
      </c>
      <c r="BB808" s="1">
        <v>49</v>
      </c>
      <c r="BC808" s="1">
        <v>58</v>
      </c>
      <c r="BD808" s="1" t="s">
        <v>74</v>
      </c>
      <c r="BE808" s="1" t="s">
        <v>13707</v>
      </c>
      <c r="BF808" s="1" t="str">
        <f>HYPERLINK("http://dx.doi.org/10.1016/j.marpolbul.2014.10.036","http://dx.doi.org/10.1016/j.marpolbul.2014.10.036")</f>
        <v>http://dx.doi.org/10.1016/j.marpolbul.2014.10.036</v>
      </c>
      <c r="BG808" s="1" t="s">
        <v>74</v>
      </c>
      <c r="BH808" s="1" t="s">
        <v>74</v>
      </c>
      <c r="BI808" s="1">
        <v>10</v>
      </c>
      <c r="BJ808" s="1" t="s">
        <v>247</v>
      </c>
      <c r="BK808" s="1" t="s">
        <v>96</v>
      </c>
      <c r="BL808" s="1" t="s">
        <v>248</v>
      </c>
      <c r="BM808" s="1" t="s">
        <v>13708</v>
      </c>
      <c r="BN808" s="1">
        <v>25455371</v>
      </c>
      <c r="BO808" s="1" t="s">
        <v>74</v>
      </c>
      <c r="BP808" s="1" t="s">
        <v>74</v>
      </c>
      <c r="BQ808" s="1" t="s">
        <v>74</v>
      </c>
      <c r="BR808" s="1" t="s">
        <v>98</v>
      </c>
      <c r="BS808" s="1" t="s">
        <v>13709</v>
      </c>
      <c r="BT808" s="1" t="str">
        <f>HYPERLINK("https%3A%2F%2Fwww.webofscience.com%2Fwos%2Fwoscc%2Ffull-record%2FWOS:000347494700022","View Full Record in Web of Science")</f>
        <v>View Full Record in Web of Science</v>
      </c>
    </row>
    <row r="809" spans="1:72">
      <c r="A809" s="1" t="s">
        <v>72</v>
      </c>
      <c r="B809" s="1" t="s">
        <v>13710</v>
      </c>
      <c r="C809" s="1" t="s">
        <v>74</v>
      </c>
      <c r="D809" s="1" t="s">
        <v>74</v>
      </c>
      <c r="E809" s="1" t="s">
        <v>74</v>
      </c>
      <c r="F809" s="1" t="s">
        <v>13711</v>
      </c>
      <c r="G809" s="1" t="s">
        <v>74</v>
      </c>
      <c r="H809" s="1" t="s">
        <v>74</v>
      </c>
      <c r="I809" s="1" t="s">
        <v>13712</v>
      </c>
      <c r="J809" s="1" t="s">
        <v>103</v>
      </c>
      <c r="K809" s="1" t="s">
        <v>74</v>
      </c>
      <c r="L809" s="1" t="s">
        <v>74</v>
      </c>
      <c r="M809" s="1" t="s">
        <v>78</v>
      </c>
      <c r="N809" s="1" t="s">
        <v>79</v>
      </c>
      <c r="O809" s="1" t="s">
        <v>74</v>
      </c>
      <c r="P809" s="1" t="s">
        <v>74</v>
      </c>
      <c r="Q809" s="1" t="s">
        <v>74</v>
      </c>
      <c r="R809" s="1" t="s">
        <v>74</v>
      </c>
      <c r="S809" s="1" t="s">
        <v>74</v>
      </c>
      <c r="T809" s="1" t="s">
        <v>13713</v>
      </c>
      <c r="U809" s="1" t="s">
        <v>13714</v>
      </c>
      <c r="V809" s="1" t="s">
        <v>13715</v>
      </c>
      <c r="W809" s="1" t="s">
        <v>13716</v>
      </c>
      <c r="X809" s="1" t="s">
        <v>13717</v>
      </c>
      <c r="Y809" s="1" t="s">
        <v>13718</v>
      </c>
      <c r="Z809" s="1" t="s">
        <v>13719</v>
      </c>
      <c r="AA809" s="1" t="s">
        <v>13720</v>
      </c>
      <c r="AB809" s="1" t="s">
        <v>13721</v>
      </c>
      <c r="AC809" s="1" t="s">
        <v>13722</v>
      </c>
      <c r="AD809" s="1" t="s">
        <v>13723</v>
      </c>
      <c r="AE809" s="1" t="s">
        <v>13724</v>
      </c>
      <c r="AF809" s="1" t="s">
        <v>74</v>
      </c>
      <c r="AG809" s="1">
        <v>55</v>
      </c>
      <c r="AH809" s="1">
        <v>0</v>
      </c>
      <c r="AI809" s="1">
        <v>0</v>
      </c>
      <c r="AJ809" s="1">
        <v>1</v>
      </c>
      <c r="AK809" s="1">
        <v>1</v>
      </c>
      <c r="AL809" s="1" t="s">
        <v>112</v>
      </c>
      <c r="AM809" s="1" t="s">
        <v>113</v>
      </c>
      <c r="AN809" s="1" t="s">
        <v>114</v>
      </c>
      <c r="AO809" s="1" t="s">
        <v>115</v>
      </c>
      <c r="AP809" s="1" t="s">
        <v>116</v>
      </c>
      <c r="AQ809" s="1" t="s">
        <v>74</v>
      </c>
      <c r="AR809" s="1" t="s">
        <v>117</v>
      </c>
      <c r="AS809" s="1" t="s">
        <v>118</v>
      </c>
      <c r="AT809" s="1" t="s">
        <v>305</v>
      </c>
      <c r="AU809" s="1">
        <v>2024</v>
      </c>
      <c r="AV809" s="1">
        <v>113</v>
      </c>
      <c r="AW809" s="1">
        <v>3</v>
      </c>
      <c r="AX809" s="1" t="s">
        <v>74</v>
      </c>
      <c r="AY809" s="1" t="s">
        <v>74</v>
      </c>
      <c r="AZ809" s="1" t="s">
        <v>74</v>
      </c>
      <c r="BA809" s="1" t="s">
        <v>74</v>
      </c>
      <c r="BB809" s="1" t="s">
        <v>74</v>
      </c>
      <c r="BC809" s="1" t="s">
        <v>74</v>
      </c>
      <c r="BD809" s="1">
        <v>30</v>
      </c>
      <c r="BE809" s="1" t="s">
        <v>13725</v>
      </c>
      <c r="BF809" s="1" t="str">
        <f>HYPERLINK("http://dx.doi.org/10.1007/s00128-024-03938-2","http://dx.doi.org/10.1007/s00128-024-03938-2")</f>
        <v>http://dx.doi.org/10.1007/s00128-024-03938-2</v>
      </c>
      <c r="BG809" s="1" t="s">
        <v>74</v>
      </c>
      <c r="BH809" s="1" t="s">
        <v>74</v>
      </c>
      <c r="BI809" s="1">
        <v>8</v>
      </c>
      <c r="BJ809" s="1" t="s">
        <v>121</v>
      </c>
      <c r="BK809" s="1" t="s">
        <v>96</v>
      </c>
      <c r="BL809" s="1" t="s">
        <v>122</v>
      </c>
      <c r="BM809" s="1" t="s">
        <v>13726</v>
      </c>
      <c r="BN809" s="1">
        <v>39179721</v>
      </c>
      <c r="BO809" s="1" t="s">
        <v>74</v>
      </c>
      <c r="BP809" s="1" t="s">
        <v>74</v>
      </c>
      <c r="BQ809" s="1" t="s">
        <v>74</v>
      </c>
      <c r="BR809" s="1" t="s">
        <v>98</v>
      </c>
      <c r="BS809" s="1" t="s">
        <v>13727</v>
      </c>
      <c r="BT809" s="1" t="str">
        <f>HYPERLINK("https%3A%2F%2Fwww.webofscience.com%2Fwos%2Fwoscc%2Ffull-record%2FWOS:001297136200002","View Full Record in Web of Science")</f>
        <v>View Full Record in Web of Science</v>
      </c>
    </row>
    <row r="810" spans="1:72">
      <c r="A810" s="1" t="s">
        <v>72</v>
      </c>
      <c r="B810" s="1" t="s">
        <v>13728</v>
      </c>
      <c r="C810" s="1" t="s">
        <v>74</v>
      </c>
      <c r="D810" s="1" t="s">
        <v>74</v>
      </c>
      <c r="E810" s="1" t="s">
        <v>74</v>
      </c>
      <c r="F810" s="1" t="s">
        <v>13729</v>
      </c>
      <c r="G810" s="1" t="s">
        <v>74</v>
      </c>
      <c r="H810" s="1" t="s">
        <v>74</v>
      </c>
      <c r="I810" s="1" t="s">
        <v>13730</v>
      </c>
      <c r="J810" s="1" t="s">
        <v>421</v>
      </c>
      <c r="K810" s="1" t="s">
        <v>74</v>
      </c>
      <c r="L810" s="1" t="s">
        <v>74</v>
      </c>
      <c r="M810" s="1" t="s">
        <v>78</v>
      </c>
      <c r="N810" s="1" t="s">
        <v>79</v>
      </c>
      <c r="O810" s="1" t="s">
        <v>74</v>
      </c>
      <c r="P810" s="1" t="s">
        <v>74</v>
      </c>
      <c r="Q810" s="1" t="s">
        <v>74</v>
      </c>
      <c r="R810" s="1" t="s">
        <v>74</v>
      </c>
      <c r="S810" s="1" t="s">
        <v>74</v>
      </c>
      <c r="T810" s="1" t="s">
        <v>13731</v>
      </c>
      <c r="U810" s="1" t="s">
        <v>13732</v>
      </c>
      <c r="V810" s="1" t="s">
        <v>13733</v>
      </c>
      <c r="W810" s="1" t="s">
        <v>13734</v>
      </c>
      <c r="X810" s="1" t="s">
        <v>13735</v>
      </c>
      <c r="Y810" s="1" t="s">
        <v>13736</v>
      </c>
      <c r="Z810" s="1" t="s">
        <v>8840</v>
      </c>
      <c r="AA810" s="1" t="s">
        <v>13737</v>
      </c>
      <c r="AB810" s="1" t="s">
        <v>13738</v>
      </c>
      <c r="AC810" s="1" t="s">
        <v>13739</v>
      </c>
      <c r="AD810" s="1" t="s">
        <v>13740</v>
      </c>
      <c r="AE810" s="1" t="s">
        <v>13741</v>
      </c>
      <c r="AF810" s="1" t="s">
        <v>74</v>
      </c>
      <c r="AG810" s="1">
        <v>45</v>
      </c>
      <c r="AH810" s="1">
        <v>31</v>
      </c>
      <c r="AI810" s="1">
        <v>36</v>
      </c>
      <c r="AJ810" s="1">
        <v>3</v>
      </c>
      <c r="AK810" s="1">
        <v>54</v>
      </c>
      <c r="AL810" s="1" t="s">
        <v>430</v>
      </c>
      <c r="AM810" s="1" t="s">
        <v>137</v>
      </c>
      <c r="AN810" s="1" t="s">
        <v>431</v>
      </c>
      <c r="AO810" s="1" t="s">
        <v>432</v>
      </c>
      <c r="AP810" s="1" t="s">
        <v>1394</v>
      </c>
      <c r="AQ810" s="1" t="s">
        <v>74</v>
      </c>
      <c r="AR810" s="1" t="s">
        <v>433</v>
      </c>
      <c r="AS810" s="1" t="s">
        <v>434</v>
      </c>
      <c r="AT810" s="1" t="s">
        <v>305</v>
      </c>
      <c r="AU810" s="1">
        <v>2015</v>
      </c>
      <c r="AV810" s="1">
        <v>204</v>
      </c>
      <c r="AW810" s="1" t="s">
        <v>74</v>
      </c>
      <c r="AX810" s="1" t="s">
        <v>74</v>
      </c>
      <c r="AY810" s="1" t="s">
        <v>74</v>
      </c>
      <c r="AZ810" s="1" t="s">
        <v>74</v>
      </c>
      <c r="BA810" s="1" t="s">
        <v>74</v>
      </c>
      <c r="BB810" s="1">
        <v>207</v>
      </c>
      <c r="BC810" s="1">
        <v>214</v>
      </c>
      <c r="BD810" s="1" t="s">
        <v>74</v>
      </c>
      <c r="BE810" s="1" t="s">
        <v>13742</v>
      </c>
      <c r="BF810" s="1" t="str">
        <f>HYPERLINK("http://dx.doi.org/10.1016/j.envpol.2015.05.008","http://dx.doi.org/10.1016/j.envpol.2015.05.008")</f>
        <v>http://dx.doi.org/10.1016/j.envpol.2015.05.008</v>
      </c>
      <c r="BG810" s="1" t="s">
        <v>74</v>
      </c>
      <c r="BH810" s="1" t="s">
        <v>74</v>
      </c>
      <c r="BI810" s="1">
        <v>8</v>
      </c>
      <c r="BJ810" s="1" t="s">
        <v>144</v>
      </c>
      <c r="BK810" s="1" t="s">
        <v>96</v>
      </c>
      <c r="BL810" s="1" t="s">
        <v>145</v>
      </c>
      <c r="BM810" s="1" t="s">
        <v>13743</v>
      </c>
      <c r="BN810" s="1">
        <v>25982546</v>
      </c>
      <c r="BO810" s="1" t="s">
        <v>74</v>
      </c>
      <c r="BP810" s="1" t="s">
        <v>74</v>
      </c>
      <c r="BQ810" s="1" t="s">
        <v>74</v>
      </c>
      <c r="BR810" s="1" t="s">
        <v>98</v>
      </c>
      <c r="BS810" s="1" t="s">
        <v>13744</v>
      </c>
      <c r="BT810" s="1" t="str">
        <f>HYPERLINK("https%3A%2F%2Fwww.webofscience.com%2Fwos%2Fwoscc%2Ffull-record%2FWOS:000362608300027","View Full Record in Web of Science")</f>
        <v>View Full Record in Web of Science</v>
      </c>
    </row>
    <row r="811" spans="1:72">
      <c r="A811" s="1" t="s">
        <v>72</v>
      </c>
      <c r="B811" s="1" t="s">
        <v>13745</v>
      </c>
      <c r="C811" s="1" t="s">
        <v>74</v>
      </c>
      <c r="D811" s="1" t="s">
        <v>74</v>
      </c>
      <c r="E811" s="1" t="s">
        <v>74</v>
      </c>
      <c r="F811" s="1" t="s">
        <v>13746</v>
      </c>
      <c r="G811" s="1" t="s">
        <v>74</v>
      </c>
      <c r="H811" s="1" t="s">
        <v>74</v>
      </c>
      <c r="I811" s="1" t="s">
        <v>13747</v>
      </c>
      <c r="J811" s="1" t="s">
        <v>204</v>
      </c>
      <c r="K811" s="1" t="s">
        <v>74</v>
      </c>
      <c r="L811" s="1" t="s">
        <v>74</v>
      </c>
      <c r="M811" s="1" t="s">
        <v>78</v>
      </c>
      <c r="N811" s="1" t="s">
        <v>79</v>
      </c>
      <c r="O811" s="1" t="s">
        <v>74</v>
      </c>
      <c r="P811" s="1" t="s">
        <v>74</v>
      </c>
      <c r="Q811" s="1" t="s">
        <v>74</v>
      </c>
      <c r="R811" s="1" t="s">
        <v>74</v>
      </c>
      <c r="S811" s="1" t="s">
        <v>74</v>
      </c>
      <c r="T811" s="1" t="s">
        <v>13748</v>
      </c>
      <c r="U811" s="1" t="s">
        <v>13749</v>
      </c>
      <c r="V811" s="1" t="s">
        <v>13750</v>
      </c>
      <c r="W811" s="1" t="s">
        <v>13751</v>
      </c>
      <c r="X811" s="1" t="s">
        <v>13752</v>
      </c>
      <c r="Y811" s="1" t="s">
        <v>13753</v>
      </c>
      <c r="Z811" s="1" t="s">
        <v>8223</v>
      </c>
      <c r="AA811" s="1" t="s">
        <v>74</v>
      </c>
      <c r="AB811" s="1" t="s">
        <v>74</v>
      </c>
      <c r="AC811" s="1" t="s">
        <v>13754</v>
      </c>
      <c r="AD811" s="1" t="s">
        <v>13754</v>
      </c>
      <c r="AE811" s="1" t="s">
        <v>13755</v>
      </c>
      <c r="AF811" s="1" t="s">
        <v>74</v>
      </c>
      <c r="AG811" s="1">
        <v>49</v>
      </c>
      <c r="AH811" s="1">
        <v>1</v>
      </c>
      <c r="AI811" s="1">
        <v>1</v>
      </c>
      <c r="AJ811" s="1">
        <v>2</v>
      </c>
      <c r="AK811" s="1">
        <v>7</v>
      </c>
      <c r="AL811" s="1" t="s">
        <v>217</v>
      </c>
      <c r="AM811" s="1" t="s">
        <v>218</v>
      </c>
      <c r="AN811" s="1" t="s">
        <v>219</v>
      </c>
      <c r="AO811" s="1" t="s">
        <v>220</v>
      </c>
      <c r="AP811" s="1" t="s">
        <v>221</v>
      </c>
      <c r="AQ811" s="1" t="s">
        <v>74</v>
      </c>
      <c r="AR811" s="1" t="s">
        <v>222</v>
      </c>
      <c r="AS811" s="1" t="s">
        <v>223</v>
      </c>
      <c r="AT811" s="1" t="s">
        <v>305</v>
      </c>
      <c r="AU811" s="1">
        <v>2023</v>
      </c>
      <c r="AV811" s="1">
        <v>30</v>
      </c>
      <c r="AW811" s="1">
        <v>45</v>
      </c>
      <c r="AX811" s="1" t="s">
        <v>74</v>
      </c>
      <c r="AY811" s="1" t="s">
        <v>74</v>
      </c>
      <c r="AZ811" s="1" t="s">
        <v>74</v>
      </c>
      <c r="BA811" s="1" t="s">
        <v>74</v>
      </c>
      <c r="BB811" s="1">
        <v>101535</v>
      </c>
      <c r="BC811" s="1">
        <v>101545</v>
      </c>
      <c r="BD811" s="1" t="s">
        <v>74</v>
      </c>
      <c r="BE811" s="1" t="s">
        <v>13756</v>
      </c>
      <c r="BF811" s="1" t="str">
        <f>HYPERLINK("http://dx.doi.org/10.1007/s11356-023-29566-7","http://dx.doi.org/10.1007/s11356-023-29566-7")</f>
        <v>http://dx.doi.org/10.1007/s11356-023-29566-7</v>
      </c>
      <c r="BG811" s="1" t="s">
        <v>74</v>
      </c>
      <c r="BH811" s="1" t="s">
        <v>6411</v>
      </c>
      <c r="BI811" s="1">
        <v>11</v>
      </c>
      <c r="BJ811" s="1" t="s">
        <v>144</v>
      </c>
      <c r="BK811" s="1" t="s">
        <v>96</v>
      </c>
      <c r="BL811" s="1" t="s">
        <v>145</v>
      </c>
      <c r="BM811" s="1" t="s">
        <v>13757</v>
      </c>
      <c r="BN811" s="1">
        <v>37651018</v>
      </c>
      <c r="BO811" s="1" t="s">
        <v>74</v>
      </c>
      <c r="BP811" s="1" t="s">
        <v>74</v>
      </c>
      <c r="BQ811" s="1" t="s">
        <v>74</v>
      </c>
      <c r="BR811" s="1" t="s">
        <v>98</v>
      </c>
      <c r="BS811" s="1" t="s">
        <v>13758</v>
      </c>
      <c r="BT811" s="1" t="str">
        <f>HYPERLINK("https%3A%2F%2Fwww.webofscience.com%2Fwos%2Fwoscc%2Ffull-record%2FWOS:001065226700011","View Full Record in Web of Science")</f>
        <v>View Full Record in Web of Science</v>
      </c>
    </row>
    <row r="812" spans="1:72">
      <c r="A812" s="1" t="s">
        <v>72</v>
      </c>
      <c r="B812" s="1" t="s">
        <v>13759</v>
      </c>
      <c r="C812" s="1" t="s">
        <v>74</v>
      </c>
      <c r="D812" s="1" t="s">
        <v>74</v>
      </c>
      <c r="E812" s="1" t="s">
        <v>74</v>
      </c>
      <c r="F812" s="1" t="s">
        <v>13760</v>
      </c>
      <c r="G812" s="1" t="s">
        <v>74</v>
      </c>
      <c r="H812" s="1" t="s">
        <v>74</v>
      </c>
      <c r="I812" s="1" t="s">
        <v>13761</v>
      </c>
      <c r="J812" s="1" t="s">
        <v>3349</v>
      </c>
      <c r="K812" s="1" t="s">
        <v>74</v>
      </c>
      <c r="L812" s="1" t="s">
        <v>74</v>
      </c>
      <c r="M812" s="1" t="s">
        <v>78</v>
      </c>
      <c r="N812" s="1" t="s">
        <v>79</v>
      </c>
      <c r="O812" s="1" t="s">
        <v>74</v>
      </c>
      <c r="P812" s="1" t="s">
        <v>74</v>
      </c>
      <c r="Q812" s="1" t="s">
        <v>74</v>
      </c>
      <c r="R812" s="1" t="s">
        <v>74</v>
      </c>
      <c r="S812" s="1" t="s">
        <v>74</v>
      </c>
      <c r="T812" s="1" t="s">
        <v>13762</v>
      </c>
      <c r="U812" s="1" t="s">
        <v>13763</v>
      </c>
      <c r="V812" s="1" t="s">
        <v>13764</v>
      </c>
      <c r="W812" s="1" t="s">
        <v>13765</v>
      </c>
      <c r="X812" s="1" t="s">
        <v>13766</v>
      </c>
      <c r="Y812" s="1" t="s">
        <v>13767</v>
      </c>
      <c r="Z812" s="1" t="s">
        <v>13768</v>
      </c>
      <c r="AA812" s="1" t="s">
        <v>13769</v>
      </c>
      <c r="AB812" s="1" t="s">
        <v>13770</v>
      </c>
      <c r="AC812" s="1" t="s">
        <v>13771</v>
      </c>
      <c r="AD812" s="1" t="s">
        <v>13772</v>
      </c>
      <c r="AE812" s="1" t="s">
        <v>13773</v>
      </c>
      <c r="AF812" s="1" t="s">
        <v>74</v>
      </c>
      <c r="AG812" s="1">
        <v>70</v>
      </c>
      <c r="AH812" s="1">
        <v>18</v>
      </c>
      <c r="AI812" s="1">
        <v>18</v>
      </c>
      <c r="AJ812" s="1">
        <v>0</v>
      </c>
      <c r="AK812" s="1">
        <v>100</v>
      </c>
      <c r="AL812" s="1" t="s">
        <v>3362</v>
      </c>
      <c r="AM812" s="1" t="s">
        <v>3363</v>
      </c>
      <c r="AN812" s="1" t="s">
        <v>3364</v>
      </c>
      <c r="AO812" s="1" t="s">
        <v>3365</v>
      </c>
      <c r="AP812" s="1" t="s">
        <v>3366</v>
      </c>
      <c r="AQ812" s="1" t="s">
        <v>74</v>
      </c>
      <c r="AR812" s="1" t="s">
        <v>3367</v>
      </c>
      <c r="AS812" s="1" t="s">
        <v>3368</v>
      </c>
      <c r="AT812" s="1" t="s">
        <v>546</v>
      </c>
      <c r="AU812" s="1">
        <v>2019</v>
      </c>
      <c r="AV812" s="1">
        <v>183</v>
      </c>
      <c r="AW812" s="1" t="s">
        <v>74</v>
      </c>
      <c r="AX812" s="1" t="s">
        <v>74</v>
      </c>
      <c r="AY812" s="1" t="s">
        <v>74</v>
      </c>
      <c r="AZ812" s="1" t="s">
        <v>74</v>
      </c>
      <c r="BA812" s="1" t="s">
        <v>74</v>
      </c>
      <c r="BB812" s="1" t="s">
        <v>74</v>
      </c>
      <c r="BC812" s="1" t="s">
        <v>74</v>
      </c>
      <c r="BD812" s="1">
        <v>109469</v>
      </c>
      <c r="BE812" s="1" t="s">
        <v>13774</v>
      </c>
      <c r="BF812" s="1" t="str">
        <f>HYPERLINK("http://dx.doi.org/10.1016/j.ecoenv.2019.109469","http://dx.doi.org/10.1016/j.ecoenv.2019.109469")</f>
        <v>http://dx.doi.org/10.1016/j.ecoenv.2019.109469</v>
      </c>
      <c r="BG812" s="1" t="s">
        <v>74</v>
      </c>
      <c r="BH812" s="1" t="s">
        <v>74</v>
      </c>
      <c r="BI812" s="1">
        <v>10</v>
      </c>
      <c r="BJ812" s="1" t="s">
        <v>121</v>
      </c>
      <c r="BK812" s="1" t="s">
        <v>96</v>
      </c>
      <c r="BL812" s="1" t="s">
        <v>122</v>
      </c>
      <c r="BM812" s="1" t="s">
        <v>13775</v>
      </c>
      <c r="BN812" s="1">
        <v>31376803</v>
      </c>
      <c r="BO812" s="1" t="s">
        <v>74</v>
      </c>
      <c r="BP812" s="1" t="s">
        <v>74</v>
      </c>
      <c r="BQ812" s="1" t="s">
        <v>74</v>
      </c>
      <c r="BR812" s="1" t="s">
        <v>98</v>
      </c>
      <c r="BS812" s="1" t="s">
        <v>13776</v>
      </c>
      <c r="BT812" s="1" t="str">
        <f>HYPERLINK("https%3A%2F%2Fwww.webofscience.com%2Fwos%2Fwoscc%2Ffull-record%2FWOS:000487178000046","View Full Record in Web of Science")</f>
        <v>View Full Record in Web of Science</v>
      </c>
    </row>
    <row r="813" spans="1:72">
      <c r="A813" s="1" t="s">
        <v>72</v>
      </c>
      <c r="B813" s="1" t="s">
        <v>13777</v>
      </c>
      <c r="C813" s="1" t="s">
        <v>74</v>
      </c>
      <c r="D813" s="1" t="s">
        <v>74</v>
      </c>
      <c r="E813" s="1" t="s">
        <v>74</v>
      </c>
      <c r="F813" s="1" t="s">
        <v>13778</v>
      </c>
      <c r="G813" s="1" t="s">
        <v>74</v>
      </c>
      <c r="H813" s="1" t="s">
        <v>74</v>
      </c>
      <c r="I813" s="1" t="s">
        <v>13779</v>
      </c>
      <c r="J813" s="1" t="s">
        <v>13780</v>
      </c>
      <c r="K813" s="1" t="s">
        <v>74</v>
      </c>
      <c r="L813" s="1" t="s">
        <v>74</v>
      </c>
      <c r="M813" s="1" t="s">
        <v>78</v>
      </c>
      <c r="N813" s="1" t="s">
        <v>79</v>
      </c>
      <c r="O813" s="1" t="s">
        <v>74</v>
      </c>
      <c r="P813" s="1" t="s">
        <v>74</v>
      </c>
      <c r="Q813" s="1" t="s">
        <v>74</v>
      </c>
      <c r="R813" s="1" t="s">
        <v>74</v>
      </c>
      <c r="S813" s="1" t="s">
        <v>74</v>
      </c>
      <c r="T813" s="1" t="s">
        <v>13781</v>
      </c>
      <c r="U813" s="1" t="s">
        <v>13782</v>
      </c>
      <c r="V813" s="1" t="s">
        <v>13783</v>
      </c>
      <c r="W813" s="1" t="s">
        <v>13784</v>
      </c>
      <c r="X813" s="1" t="s">
        <v>13785</v>
      </c>
      <c r="Y813" s="1" t="s">
        <v>13786</v>
      </c>
      <c r="Z813" s="1" t="s">
        <v>13787</v>
      </c>
      <c r="AA813" s="1" t="s">
        <v>13788</v>
      </c>
      <c r="AB813" s="1" t="s">
        <v>13789</v>
      </c>
      <c r="AC813" s="1" t="s">
        <v>13790</v>
      </c>
      <c r="AD813" s="1" t="s">
        <v>13791</v>
      </c>
      <c r="AE813" s="1" t="s">
        <v>13792</v>
      </c>
      <c r="AF813" s="1" t="s">
        <v>74</v>
      </c>
      <c r="AG813" s="1">
        <v>53</v>
      </c>
      <c r="AH813" s="1">
        <v>13</v>
      </c>
      <c r="AI813" s="1">
        <v>14</v>
      </c>
      <c r="AJ813" s="1">
        <v>2</v>
      </c>
      <c r="AK813" s="1">
        <v>13</v>
      </c>
      <c r="AL813" s="1" t="s">
        <v>2074</v>
      </c>
      <c r="AM813" s="1" t="s">
        <v>2075</v>
      </c>
      <c r="AN813" s="1" t="s">
        <v>2076</v>
      </c>
      <c r="AO813" s="1" t="s">
        <v>13793</v>
      </c>
      <c r="AP813" s="1" t="s">
        <v>13794</v>
      </c>
      <c r="AQ813" s="1" t="s">
        <v>74</v>
      </c>
      <c r="AR813" s="1" t="s">
        <v>13795</v>
      </c>
      <c r="AS813" s="1" t="s">
        <v>13796</v>
      </c>
      <c r="AT813" s="1" t="s">
        <v>3542</v>
      </c>
      <c r="AU813" s="1">
        <v>2020</v>
      </c>
      <c r="AV813" s="1">
        <v>55</v>
      </c>
      <c r="AW813" s="1">
        <v>4</v>
      </c>
      <c r="AX813" s="1" t="s">
        <v>74</v>
      </c>
      <c r="AY813" s="1" t="s">
        <v>74</v>
      </c>
      <c r="AZ813" s="1" t="s">
        <v>74</v>
      </c>
      <c r="BA813" s="1" t="s">
        <v>74</v>
      </c>
      <c r="BB813" s="1">
        <v>267</v>
      </c>
      <c r="BC813" s="1">
        <v>277</v>
      </c>
      <c r="BD813" s="1" t="s">
        <v>74</v>
      </c>
      <c r="BE813" s="1" t="s">
        <v>13797</v>
      </c>
      <c r="BF813" s="1" t="str">
        <f>HYPERLINK("http://dx.doi.org/10.1080/15627020.2020.1799720","http://dx.doi.org/10.1080/15627020.2020.1799720")</f>
        <v>http://dx.doi.org/10.1080/15627020.2020.1799720</v>
      </c>
      <c r="BG813" s="1" t="s">
        <v>74</v>
      </c>
      <c r="BH813" s="1" t="s">
        <v>13798</v>
      </c>
      <c r="BI813" s="1">
        <v>11</v>
      </c>
      <c r="BJ813" s="1" t="s">
        <v>2210</v>
      </c>
      <c r="BK813" s="1" t="s">
        <v>96</v>
      </c>
      <c r="BL813" s="1" t="s">
        <v>2210</v>
      </c>
      <c r="BM813" s="1" t="s">
        <v>13799</v>
      </c>
      <c r="BN813" s="1" t="s">
        <v>74</v>
      </c>
      <c r="BO813" s="1" t="s">
        <v>810</v>
      </c>
      <c r="BP813" s="1" t="s">
        <v>74</v>
      </c>
      <c r="BQ813" s="1" t="s">
        <v>74</v>
      </c>
      <c r="BR813" s="1" t="s">
        <v>98</v>
      </c>
      <c r="BS813" s="1" t="s">
        <v>13800</v>
      </c>
      <c r="BT813" s="1" t="str">
        <f>HYPERLINK("https%3A%2F%2Fwww.webofscience.com%2Fwos%2Fwoscc%2Ffull-record%2FWOS:000582975800001","View Full Record in Web of Science")</f>
        <v>View Full Record in Web of Science</v>
      </c>
    </row>
    <row r="814" spans="1:72">
      <c r="A814" s="1" t="s">
        <v>72</v>
      </c>
      <c r="B814" s="1" t="s">
        <v>13801</v>
      </c>
      <c r="C814" s="1" t="s">
        <v>74</v>
      </c>
      <c r="D814" s="1" t="s">
        <v>74</v>
      </c>
      <c r="E814" s="1" t="s">
        <v>74</v>
      </c>
      <c r="F814" s="1" t="s">
        <v>13801</v>
      </c>
      <c r="G814" s="1" t="s">
        <v>74</v>
      </c>
      <c r="H814" s="1" t="s">
        <v>74</v>
      </c>
      <c r="I814" s="1" t="s">
        <v>13802</v>
      </c>
      <c r="J814" s="1" t="s">
        <v>232</v>
      </c>
      <c r="K814" s="1" t="s">
        <v>74</v>
      </c>
      <c r="L814" s="1" t="s">
        <v>74</v>
      </c>
      <c r="M814" s="1" t="s">
        <v>78</v>
      </c>
      <c r="N814" s="1" t="s">
        <v>151</v>
      </c>
      <c r="O814" s="1" t="s">
        <v>13803</v>
      </c>
      <c r="P814" s="1" t="s">
        <v>13804</v>
      </c>
      <c r="Q814" s="1" t="s">
        <v>235</v>
      </c>
      <c r="R814" s="1" t="s">
        <v>74</v>
      </c>
      <c r="S814" s="1" t="s">
        <v>74</v>
      </c>
      <c r="T814" s="1" t="s">
        <v>74</v>
      </c>
      <c r="U814" s="1" t="s">
        <v>13805</v>
      </c>
      <c r="V814" s="1" t="s">
        <v>13806</v>
      </c>
      <c r="W814" s="1" t="s">
        <v>13807</v>
      </c>
      <c r="X814" s="1" t="s">
        <v>13808</v>
      </c>
      <c r="Y814" s="1" t="s">
        <v>13809</v>
      </c>
      <c r="Z814" s="1" t="s">
        <v>13810</v>
      </c>
      <c r="AA814" s="1" t="s">
        <v>13811</v>
      </c>
      <c r="AB814" s="1" t="s">
        <v>13812</v>
      </c>
      <c r="AC814" s="1" t="s">
        <v>74</v>
      </c>
      <c r="AD814" s="1" t="s">
        <v>74</v>
      </c>
      <c r="AE814" s="1" t="s">
        <v>74</v>
      </c>
      <c r="AF814" s="1" t="s">
        <v>74</v>
      </c>
      <c r="AG814" s="1">
        <v>29</v>
      </c>
      <c r="AH814" s="1">
        <v>24</v>
      </c>
      <c r="AI814" s="1">
        <v>31</v>
      </c>
      <c r="AJ814" s="1">
        <v>0</v>
      </c>
      <c r="AK814" s="1">
        <v>2</v>
      </c>
      <c r="AL814" s="1" t="s">
        <v>136</v>
      </c>
      <c r="AM814" s="1" t="s">
        <v>137</v>
      </c>
      <c r="AN814" s="1" t="s">
        <v>138</v>
      </c>
      <c r="AO814" s="1" t="s">
        <v>240</v>
      </c>
      <c r="AP814" s="1" t="s">
        <v>241</v>
      </c>
      <c r="AQ814" s="1" t="s">
        <v>74</v>
      </c>
      <c r="AR814" s="1" t="s">
        <v>242</v>
      </c>
      <c r="AS814" s="1" t="s">
        <v>243</v>
      </c>
      <c r="AT814" s="1" t="s">
        <v>13813</v>
      </c>
      <c r="AU814" s="1">
        <v>1999</v>
      </c>
      <c r="AV814" s="1">
        <v>39</v>
      </c>
      <c r="AW814" s="1" t="s">
        <v>9275</v>
      </c>
      <c r="AX814" s="1" t="s">
        <v>74</v>
      </c>
      <c r="AY814" s="1" t="s">
        <v>74</v>
      </c>
      <c r="AZ814" s="1" t="s">
        <v>74</v>
      </c>
      <c r="BA814" s="1" t="s">
        <v>74</v>
      </c>
      <c r="BB814" s="1">
        <v>116</v>
      </c>
      <c r="BC814" s="1">
        <v>121</v>
      </c>
      <c r="BD814" s="1" t="s">
        <v>74</v>
      </c>
      <c r="BE814" s="1" t="s">
        <v>13814</v>
      </c>
      <c r="BF814" s="1" t="str">
        <f>HYPERLINK("http://dx.doi.org/10.1016/S0025-326X(99)00119-8","http://dx.doi.org/10.1016/S0025-326X(99)00119-8")</f>
        <v>http://dx.doi.org/10.1016/S0025-326X(99)00119-8</v>
      </c>
      <c r="BG814" s="1" t="s">
        <v>74</v>
      </c>
      <c r="BH814" s="1" t="s">
        <v>74</v>
      </c>
      <c r="BI814" s="1">
        <v>6</v>
      </c>
      <c r="BJ814" s="1" t="s">
        <v>247</v>
      </c>
      <c r="BK814" s="1" t="s">
        <v>172</v>
      </c>
      <c r="BL814" s="1" t="s">
        <v>248</v>
      </c>
      <c r="BM814" s="1" t="s">
        <v>13815</v>
      </c>
      <c r="BN814" s="1" t="s">
        <v>74</v>
      </c>
      <c r="BO814" s="1" t="s">
        <v>74</v>
      </c>
      <c r="BP814" s="1" t="s">
        <v>74</v>
      </c>
      <c r="BQ814" s="1" t="s">
        <v>74</v>
      </c>
      <c r="BR814" s="1" t="s">
        <v>98</v>
      </c>
      <c r="BS814" s="1" t="s">
        <v>13816</v>
      </c>
      <c r="BT814" s="1" t="str">
        <f>HYPERLINK("https%3A%2F%2Fwww.webofscience.com%2Fwos%2Fwoscc%2Ffull-record%2FWOS:000083356500016","View Full Record in Web of Science")</f>
        <v>View Full Record in Web of Science</v>
      </c>
    </row>
    <row r="815" spans="1:72">
      <c r="A815" s="1" t="s">
        <v>72</v>
      </c>
      <c r="B815" s="1" t="s">
        <v>13817</v>
      </c>
      <c r="C815" s="1" t="s">
        <v>74</v>
      </c>
      <c r="D815" s="1" t="s">
        <v>74</v>
      </c>
      <c r="E815" s="1" t="s">
        <v>74</v>
      </c>
      <c r="F815" s="1" t="s">
        <v>13818</v>
      </c>
      <c r="G815" s="1" t="s">
        <v>74</v>
      </c>
      <c r="H815" s="1" t="s">
        <v>74</v>
      </c>
      <c r="I815" s="1" t="s">
        <v>13819</v>
      </c>
      <c r="J815" s="1" t="s">
        <v>421</v>
      </c>
      <c r="K815" s="1" t="s">
        <v>74</v>
      </c>
      <c r="L815" s="1" t="s">
        <v>74</v>
      </c>
      <c r="M815" s="1" t="s">
        <v>78</v>
      </c>
      <c r="N815" s="1" t="s">
        <v>79</v>
      </c>
      <c r="O815" s="1" t="s">
        <v>74</v>
      </c>
      <c r="P815" s="1" t="s">
        <v>74</v>
      </c>
      <c r="Q815" s="1" t="s">
        <v>74</v>
      </c>
      <c r="R815" s="1" t="s">
        <v>74</v>
      </c>
      <c r="S815" s="1" t="s">
        <v>74</v>
      </c>
      <c r="T815" s="1" t="s">
        <v>13820</v>
      </c>
      <c r="U815" s="1" t="s">
        <v>13821</v>
      </c>
      <c r="V815" s="1" t="s">
        <v>13822</v>
      </c>
      <c r="W815" s="1" t="s">
        <v>13823</v>
      </c>
      <c r="X815" s="1" t="s">
        <v>9538</v>
      </c>
      <c r="Y815" s="1" t="s">
        <v>13824</v>
      </c>
      <c r="Z815" s="1" t="s">
        <v>3709</v>
      </c>
      <c r="AA815" s="1" t="s">
        <v>13825</v>
      </c>
      <c r="AB815" s="1" t="s">
        <v>74</v>
      </c>
      <c r="AC815" s="1" t="s">
        <v>9541</v>
      </c>
      <c r="AD815" s="1" t="s">
        <v>9352</v>
      </c>
      <c r="AE815" s="1" t="s">
        <v>9542</v>
      </c>
      <c r="AF815" s="1" t="s">
        <v>74</v>
      </c>
      <c r="AG815" s="1">
        <v>77</v>
      </c>
      <c r="AH815" s="1">
        <v>9</v>
      </c>
      <c r="AI815" s="1">
        <v>9</v>
      </c>
      <c r="AJ815" s="1">
        <v>19</v>
      </c>
      <c r="AK815" s="1">
        <v>77</v>
      </c>
      <c r="AL815" s="1" t="s">
        <v>430</v>
      </c>
      <c r="AM815" s="1" t="s">
        <v>137</v>
      </c>
      <c r="AN815" s="1" t="s">
        <v>431</v>
      </c>
      <c r="AO815" s="1" t="s">
        <v>432</v>
      </c>
      <c r="AP815" s="1" t="s">
        <v>1394</v>
      </c>
      <c r="AQ815" s="1" t="s">
        <v>74</v>
      </c>
      <c r="AR815" s="1" t="s">
        <v>433</v>
      </c>
      <c r="AS815" s="1" t="s">
        <v>434</v>
      </c>
      <c r="AT815" s="1" t="s">
        <v>1507</v>
      </c>
      <c r="AU815" s="1">
        <v>2023</v>
      </c>
      <c r="AV815" s="1">
        <v>323</v>
      </c>
      <c r="AW815" s="1" t="s">
        <v>74</v>
      </c>
      <c r="AX815" s="1" t="s">
        <v>74</v>
      </c>
      <c r="AY815" s="1" t="s">
        <v>74</v>
      </c>
      <c r="AZ815" s="1" t="s">
        <v>74</v>
      </c>
      <c r="BA815" s="1" t="s">
        <v>74</v>
      </c>
      <c r="BB815" s="1" t="s">
        <v>74</v>
      </c>
      <c r="BC815" s="1" t="s">
        <v>74</v>
      </c>
      <c r="BD815" s="1">
        <v>121286</v>
      </c>
      <c r="BE815" s="1" t="s">
        <v>13826</v>
      </c>
      <c r="BF815" s="1" t="str">
        <f>HYPERLINK("http://dx.doi.org/10.1016/j.envpol.2023.121286","http://dx.doi.org/10.1016/j.envpol.2023.121286")</f>
        <v>http://dx.doi.org/10.1016/j.envpol.2023.121286</v>
      </c>
      <c r="BG815" s="1" t="s">
        <v>74</v>
      </c>
      <c r="BH815" s="1" t="s">
        <v>10846</v>
      </c>
      <c r="BI815" s="1">
        <v>11</v>
      </c>
      <c r="BJ815" s="1" t="s">
        <v>144</v>
      </c>
      <c r="BK815" s="1" t="s">
        <v>96</v>
      </c>
      <c r="BL815" s="1" t="s">
        <v>145</v>
      </c>
      <c r="BM815" s="1" t="s">
        <v>13827</v>
      </c>
      <c r="BN815" s="1">
        <v>36791949</v>
      </c>
      <c r="BO815" s="1" t="s">
        <v>74</v>
      </c>
      <c r="BP815" s="1" t="s">
        <v>74</v>
      </c>
      <c r="BQ815" s="1" t="s">
        <v>74</v>
      </c>
      <c r="BR815" s="1" t="s">
        <v>98</v>
      </c>
      <c r="BS815" s="1" t="s">
        <v>13828</v>
      </c>
      <c r="BT815" s="1" t="str">
        <f>HYPERLINK("https%3A%2F%2Fwww.webofscience.com%2Fwos%2Fwoscc%2Ffull-record%2FWOS:000945891400001","View Full Record in Web of Science")</f>
        <v>View Full Record in Web of Science</v>
      </c>
    </row>
    <row r="816" spans="1:72">
      <c r="A816" s="1" t="s">
        <v>72</v>
      </c>
      <c r="B816" s="1" t="s">
        <v>13829</v>
      </c>
      <c r="C816" s="1" t="s">
        <v>74</v>
      </c>
      <c r="D816" s="1" t="s">
        <v>74</v>
      </c>
      <c r="E816" s="1" t="s">
        <v>74</v>
      </c>
      <c r="F816" s="1" t="s">
        <v>13829</v>
      </c>
      <c r="G816" s="1" t="s">
        <v>74</v>
      </c>
      <c r="H816" s="1" t="s">
        <v>74</v>
      </c>
      <c r="I816" s="1" t="s">
        <v>13830</v>
      </c>
      <c r="J816" s="1" t="s">
        <v>421</v>
      </c>
      <c r="K816" s="1" t="s">
        <v>74</v>
      </c>
      <c r="L816" s="1" t="s">
        <v>74</v>
      </c>
      <c r="M816" s="1" t="s">
        <v>78</v>
      </c>
      <c r="N816" s="1" t="s">
        <v>79</v>
      </c>
      <c r="O816" s="1" t="s">
        <v>74</v>
      </c>
      <c r="P816" s="1" t="s">
        <v>74</v>
      </c>
      <c r="Q816" s="1" t="s">
        <v>74</v>
      </c>
      <c r="R816" s="1" t="s">
        <v>74</v>
      </c>
      <c r="S816" s="1" t="s">
        <v>74</v>
      </c>
      <c r="T816" s="1" t="s">
        <v>13831</v>
      </c>
      <c r="U816" s="1" t="s">
        <v>13832</v>
      </c>
      <c r="V816" s="1" t="s">
        <v>13833</v>
      </c>
      <c r="W816" s="1" t="s">
        <v>13834</v>
      </c>
      <c r="X816" s="1" t="s">
        <v>13835</v>
      </c>
      <c r="Y816" s="1" t="s">
        <v>13836</v>
      </c>
      <c r="Z816" s="1" t="s">
        <v>74</v>
      </c>
      <c r="AA816" s="1" t="s">
        <v>13837</v>
      </c>
      <c r="AB816" s="1" t="s">
        <v>13838</v>
      </c>
      <c r="AC816" s="1" t="s">
        <v>74</v>
      </c>
      <c r="AD816" s="1" t="s">
        <v>74</v>
      </c>
      <c r="AE816" s="1" t="s">
        <v>74</v>
      </c>
      <c r="AF816" s="1" t="s">
        <v>74</v>
      </c>
      <c r="AG816" s="1">
        <v>55</v>
      </c>
      <c r="AH816" s="1">
        <v>57</v>
      </c>
      <c r="AI816" s="1">
        <v>66</v>
      </c>
      <c r="AJ816" s="1">
        <v>0</v>
      </c>
      <c r="AK816" s="1">
        <v>11</v>
      </c>
      <c r="AL816" s="1" t="s">
        <v>430</v>
      </c>
      <c r="AM816" s="1" t="s">
        <v>137</v>
      </c>
      <c r="AN816" s="1" t="s">
        <v>431</v>
      </c>
      <c r="AO816" s="1" t="s">
        <v>432</v>
      </c>
      <c r="AP816" s="1" t="s">
        <v>74</v>
      </c>
      <c r="AQ816" s="1" t="s">
        <v>74</v>
      </c>
      <c r="AR816" s="1" t="s">
        <v>433</v>
      </c>
      <c r="AS816" s="1" t="s">
        <v>434</v>
      </c>
      <c r="AT816" s="1" t="s">
        <v>74</v>
      </c>
      <c r="AU816" s="1">
        <v>2002</v>
      </c>
      <c r="AV816" s="1">
        <v>118</v>
      </c>
      <c r="AW816" s="1">
        <v>1</v>
      </c>
      <c r="AX816" s="1" t="s">
        <v>74</v>
      </c>
      <c r="AY816" s="1" t="s">
        <v>74</v>
      </c>
      <c r="AZ816" s="1" t="s">
        <v>74</v>
      </c>
      <c r="BA816" s="1" t="s">
        <v>74</v>
      </c>
      <c r="BB816" s="1">
        <v>5</v>
      </c>
      <c r="BC816" s="1">
        <v>17</v>
      </c>
      <c r="BD816" s="1" t="s">
        <v>13839</v>
      </c>
      <c r="BE816" s="1" t="s">
        <v>13840</v>
      </c>
      <c r="BF816" s="1" t="str">
        <f>HYPERLINK("http://dx.doi.org/10.1016/S0269-7491(01)00282-2","http://dx.doi.org/10.1016/S0269-7491(01)00282-2")</f>
        <v>http://dx.doi.org/10.1016/S0269-7491(01)00282-2</v>
      </c>
      <c r="BG816" s="1" t="s">
        <v>74</v>
      </c>
      <c r="BH816" s="1" t="s">
        <v>74</v>
      </c>
      <c r="BI816" s="1">
        <v>13</v>
      </c>
      <c r="BJ816" s="1" t="s">
        <v>144</v>
      </c>
      <c r="BK816" s="1" t="s">
        <v>96</v>
      </c>
      <c r="BL816" s="1" t="s">
        <v>145</v>
      </c>
      <c r="BM816" s="1" t="s">
        <v>13841</v>
      </c>
      <c r="BN816" s="1">
        <v>11996382</v>
      </c>
      <c r="BO816" s="1" t="s">
        <v>74</v>
      </c>
      <c r="BP816" s="1" t="s">
        <v>74</v>
      </c>
      <c r="BQ816" s="1" t="s">
        <v>74</v>
      </c>
      <c r="BR816" s="1" t="s">
        <v>98</v>
      </c>
      <c r="BS816" s="1" t="s">
        <v>13842</v>
      </c>
      <c r="BT816" s="1" t="str">
        <f>HYPERLINK("https%3A%2F%2Fwww.webofscience.com%2Fwos%2Fwoscc%2Ffull-record%2FWOS:000174174700002","View Full Record in Web of Science")</f>
        <v>View Full Record in Web of Science</v>
      </c>
    </row>
    <row r="817" spans="1:72">
      <c r="A817" s="1" t="s">
        <v>72</v>
      </c>
      <c r="B817" s="1" t="s">
        <v>13843</v>
      </c>
      <c r="C817" s="1" t="s">
        <v>74</v>
      </c>
      <c r="D817" s="1" t="s">
        <v>74</v>
      </c>
      <c r="E817" s="1" t="s">
        <v>74</v>
      </c>
      <c r="F817" s="1" t="s">
        <v>13844</v>
      </c>
      <c r="G817" s="1" t="s">
        <v>74</v>
      </c>
      <c r="H817" s="1" t="s">
        <v>74</v>
      </c>
      <c r="I817" s="1" t="s">
        <v>13845</v>
      </c>
      <c r="J817" s="1" t="s">
        <v>2984</v>
      </c>
      <c r="K817" s="1" t="s">
        <v>74</v>
      </c>
      <c r="L817" s="1" t="s">
        <v>74</v>
      </c>
      <c r="M817" s="1" t="s">
        <v>78</v>
      </c>
      <c r="N817" s="1" t="s">
        <v>79</v>
      </c>
      <c r="O817" s="1" t="s">
        <v>74</v>
      </c>
      <c r="P817" s="1" t="s">
        <v>74</v>
      </c>
      <c r="Q817" s="1" t="s">
        <v>74</v>
      </c>
      <c r="R817" s="1" t="s">
        <v>74</v>
      </c>
      <c r="S817" s="1" t="s">
        <v>74</v>
      </c>
      <c r="T817" s="1" t="s">
        <v>13846</v>
      </c>
      <c r="U817" s="1" t="s">
        <v>13847</v>
      </c>
      <c r="V817" s="1" t="s">
        <v>13848</v>
      </c>
      <c r="W817" s="1" t="s">
        <v>13849</v>
      </c>
      <c r="X817" s="1" t="s">
        <v>13850</v>
      </c>
      <c r="Y817" s="1" t="s">
        <v>13851</v>
      </c>
      <c r="Z817" s="1" t="s">
        <v>74</v>
      </c>
      <c r="AA817" s="1" t="s">
        <v>13852</v>
      </c>
      <c r="AB817" s="1" t="s">
        <v>13853</v>
      </c>
      <c r="AC817" s="1" t="s">
        <v>13854</v>
      </c>
      <c r="AD817" s="1" t="s">
        <v>13855</v>
      </c>
      <c r="AE817" s="1" t="s">
        <v>13856</v>
      </c>
      <c r="AF817" s="1" t="s">
        <v>74</v>
      </c>
      <c r="AG817" s="1">
        <v>82</v>
      </c>
      <c r="AH817" s="1">
        <v>4</v>
      </c>
      <c r="AI817" s="1">
        <v>4</v>
      </c>
      <c r="AJ817" s="1">
        <v>0</v>
      </c>
      <c r="AK817" s="1">
        <v>5</v>
      </c>
      <c r="AL817" s="1" t="s">
        <v>112</v>
      </c>
      <c r="AM817" s="1" t="s">
        <v>191</v>
      </c>
      <c r="AN817" s="1" t="s">
        <v>192</v>
      </c>
      <c r="AO817" s="1" t="s">
        <v>2994</v>
      </c>
      <c r="AP817" s="1" t="s">
        <v>2995</v>
      </c>
      <c r="AQ817" s="1" t="s">
        <v>74</v>
      </c>
      <c r="AR817" s="1" t="s">
        <v>2996</v>
      </c>
      <c r="AS817" s="1" t="s">
        <v>2997</v>
      </c>
      <c r="AT817" s="1" t="s">
        <v>170</v>
      </c>
      <c r="AU817" s="1">
        <v>2023</v>
      </c>
      <c r="AV817" s="1">
        <v>45</v>
      </c>
      <c r="AW817" s="1">
        <v>5</v>
      </c>
      <c r="AX817" s="1" t="s">
        <v>74</v>
      </c>
      <c r="AY817" s="1" t="s">
        <v>74</v>
      </c>
      <c r="AZ817" s="1" t="s">
        <v>74</v>
      </c>
      <c r="BA817" s="1" t="s">
        <v>74</v>
      </c>
      <c r="BB817" s="1">
        <v>2329</v>
      </c>
      <c r="BC817" s="1">
        <v>2348</v>
      </c>
      <c r="BD817" s="1" t="s">
        <v>74</v>
      </c>
      <c r="BE817" s="1" t="s">
        <v>13857</v>
      </c>
      <c r="BF817" s="1" t="str">
        <f>HYPERLINK("http://dx.doi.org/10.1007/s10653-022-01347-0","http://dx.doi.org/10.1007/s10653-022-01347-0")</f>
        <v>http://dx.doi.org/10.1007/s10653-022-01347-0</v>
      </c>
      <c r="BG817" s="1" t="s">
        <v>74</v>
      </c>
      <c r="BH817" s="1" t="s">
        <v>13858</v>
      </c>
      <c r="BI817" s="1">
        <v>20</v>
      </c>
      <c r="BJ817" s="1" t="s">
        <v>2999</v>
      </c>
      <c r="BK817" s="1" t="s">
        <v>96</v>
      </c>
      <c r="BL817" s="1" t="s">
        <v>3000</v>
      </c>
      <c r="BM817" s="1" t="s">
        <v>13859</v>
      </c>
      <c r="BN817" s="1">
        <v>35953735</v>
      </c>
      <c r="BO817" s="1" t="s">
        <v>74</v>
      </c>
      <c r="BP817" s="1" t="s">
        <v>74</v>
      </c>
      <c r="BQ817" s="1" t="s">
        <v>74</v>
      </c>
      <c r="BR817" s="1" t="s">
        <v>98</v>
      </c>
      <c r="BS817" s="1" t="s">
        <v>13860</v>
      </c>
      <c r="BT817" s="1" t="str">
        <f>HYPERLINK("https%3A%2F%2Fwww.webofscience.com%2Fwos%2Fwoscc%2Ffull-record%2FWOS:000839547800001","View Full Record in Web of Science")</f>
        <v>View Full Record in Web of Science</v>
      </c>
    </row>
    <row r="818" spans="1:72">
      <c r="A818" s="1" t="s">
        <v>72</v>
      </c>
      <c r="B818" s="1" t="s">
        <v>13861</v>
      </c>
      <c r="C818" s="1" t="s">
        <v>74</v>
      </c>
      <c r="D818" s="1" t="s">
        <v>74</v>
      </c>
      <c r="E818" s="1" t="s">
        <v>74</v>
      </c>
      <c r="F818" s="1" t="s">
        <v>13862</v>
      </c>
      <c r="G818" s="1" t="s">
        <v>74</v>
      </c>
      <c r="H818" s="1" t="s">
        <v>74</v>
      </c>
      <c r="I818" s="1" t="s">
        <v>13863</v>
      </c>
      <c r="J818" s="1" t="s">
        <v>13864</v>
      </c>
      <c r="K818" s="1" t="s">
        <v>74</v>
      </c>
      <c r="L818" s="1" t="s">
        <v>74</v>
      </c>
      <c r="M818" s="1" t="s">
        <v>78</v>
      </c>
      <c r="N818" s="1" t="s">
        <v>79</v>
      </c>
      <c r="O818" s="1" t="s">
        <v>74</v>
      </c>
      <c r="P818" s="1" t="s">
        <v>74</v>
      </c>
      <c r="Q818" s="1" t="s">
        <v>74</v>
      </c>
      <c r="R818" s="1" t="s">
        <v>74</v>
      </c>
      <c r="S818" s="1" t="s">
        <v>74</v>
      </c>
      <c r="T818" s="1" t="s">
        <v>13865</v>
      </c>
      <c r="U818" s="1" t="s">
        <v>13866</v>
      </c>
      <c r="V818" s="1" t="s">
        <v>13867</v>
      </c>
      <c r="W818" s="1" t="s">
        <v>13868</v>
      </c>
      <c r="X818" s="1" t="s">
        <v>13869</v>
      </c>
      <c r="Y818" s="1" t="s">
        <v>13870</v>
      </c>
      <c r="Z818" s="1" t="s">
        <v>13871</v>
      </c>
      <c r="AA818" s="1" t="s">
        <v>13872</v>
      </c>
      <c r="AB818" s="1" t="s">
        <v>13873</v>
      </c>
      <c r="AC818" s="1" t="s">
        <v>13874</v>
      </c>
      <c r="AD818" s="1" t="s">
        <v>13875</v>
      </c>
      <c r="AE818" s="1" t="s">
        <v>13876</v>
      </c>
      <c r="AF818" s="1" t="s">
        <v>74</v>
      </c>
      <c r="AG818" s="1">
        <v>47</v>
      </c>
      <c r="AH818" s="1">
        <v>35</v>
      </c>
      <c r="AI818" s="1">
        <v>37</v>
      </c>
      <c r="AJ818" s="1">
        <v>0</v>
      </c>
      <c r="AK818" s="1">
        <v>11</v>
      </c>
      <c r="AL818" s="1" t="s">
        <v>13288</v>
      </c>
      <c r="AM818" s="1" t="s">
        <v>13289</v>
      </c>
      <c r="AN818" s="1" t="s">
        <v>13290</v>
      </c>
      <c r="AO818" s="1" t="s">
        <v>13877</v>
      </c>
      <c r="AP818" s="1" t="s">
        <v>74</v>
      </c>
      <c r="AQ818" s="1" t="s">
        <v>74</v>
      </c>
      <c r="AR818" s="1" t="s">
        <v>13878</v>
      </c>
      <c r="AS818" s="1" t="s">
        <v>13879</v>
      </c>
      <c r="AT818" s="1" t="s">
        <v>12274</v>
      </c>
      <c r="AU818" s="1">
        <v>2013</v>
      </c>
      <c r="AV818" s="1">
        <v>9</v>
      </c>
      <c r="AW818" s="1" t="s">
        <v>74</v>
      </c>
      <c r="AX818" s="1" t="s">
        <v>74</v>
      </c>
      <c r="AY818" s="1" t="s">
        <v>74</v>
      </c>
      <c r="AZ818" s="1" t="s">
        <v>74</v>
      </c>
      <c r="BA818" s="1" t="s">
        <v>74</v>
      </c>
      <c r="BB818" s="1" t="s">
        <v>74</v>
      </c>
      <c r="BC818" s="1" t="s">
        <v>74</v>
      </c>
      <c r="BD818" s="1">
        <v>7</v>
      </c>
      <c r="BE818" s="1" t="s">
        <v>13880</v>
      </c>
      <c r="BF818" s="1" t="str">
        <f>HYPERLINK("http://dx.doi.org/10.1186/1744-8069-9-7","http://dx.doi.org/10.1186/1744-8069-9-7")</f>
        <v>http://dx.doi.org/10.1186/1744-8069-9-7</v>
      </c>
      <c r="BG818" s="1" t="s">
        <v>74</v>
      </c>
      <c r="BH818" s="1" t="s">
        <v>74</v>
      </c>
      <c r="BI818" s="1">
        <v>10</v>
      </c>
      <c r="BJ818" s="1" t="s">
        <v>13881</v>
      </c>
      <c r="BK818" s="1" t="s">
        <v>96</v>
      </c>
      <c r="BL818" s="1" t="s">
        <v>13882</v>
      </c>
      <c r="BM818" s="1" t="s">
        <v>13883</v>
      </c>
      <c r="BN818" s="1">
        <v>23448290</v>
      </c>
      <c r="BO818" s="1" t="s">
        <v>550</v>
      </c>
      <c r="BP818" s="1" t="s">
        <v>74</v>
      </c>
      <c r="BQ818" s="1" t="s">
        <v>74</v>
      </c>
      <c r="BR818" s="1" t="s">
        <v>98</v>
      </c>
      <c r="BS818" s="1" t="s">
        <v>13884</v>
      </c>
      <c r="BT818" s="1" t="str">
        <f>HYPERLINK("https%3A%2F%2Fwww.webofscience.com%2Fwos%2Fwoscc%2Ffull-record%2FWOS:000316360900001","View Full Record in Web of Science")</f>
        <v>View Full Record in Web of Science</v>
      </c>
    </row>
    <row r="819" spans="1:72">
      <c r="A819" s="1" t="s">
        <v>72</v>
      </c>
      <c r="B819" s="1" t="s">
        <v>13885</v>
      </c>
      <c r="C819" s="1" t="s">
        <v>74</v>
      </c>
      <c r="D819" s="1" t="s">
        <v>74</v>
      </c>
      <c r="E819" s="1" t="s">
        <v>74</v>
      </c>
      <c r="F819" s="1" t="s">
        <v>13886</v>
      </c>
      <c r="G819" s="1" t="s">
        <v>74</v>
      </c>
      <c r="H819" s="1" t="s">
        <v>74</v>
      </c>
      <c r="I819" s="1" t="s">
        <v>13887</v>
      </c>
      <c r="J819" s="1" t="s">
        <v>4747</v>
      </c>
      <c r="K819" s="1" t="s">
        <v>74</v>
      </c>
      <c r="L819" s="1" t="s">
        <v>74</v>
      </c>
      <c r="M819" s="1" t="s">
        <v>78</v>
      </c>
      <c r="N819" s="1" t="s">
        <v>79</v>
      </c>
      <c r="O819" s="1" t="s">
        <v>74</v>
      </c>
      <c r="P819" s="1" t="s">
        <v>74</v>
      </c>
      <c r="Q819" s="1" t="s">
        <v>74</v>
      </c>
      <c r="R819" s="1" t="s">
        <v>74</v>
      </c>
      <c r="S819" s="1" t="s">
        <v>74</v>
      </c>
      <c r="T819" s="1" t="s">
        <v>13888</v>
      </c>
      <c r="U819" s="1" t="s">
        <v>13889</v>
      </c>
      <c r="V819" s="1" t="s">
        <v>13890</v>
      </c>
      <c r="W819" s="1" t="s">
        <v>13891</v>
      </c>
      <c r="X819" s="1" t="s">
        <v>13892</v>
      </c>
      <c r="Y819" s="1" t="s">
        <v>13893</v>
      </c>
      <c r="Z819" s="1" t="s">
        <v>13894</v>
      </c>
      <c r="AA819" s="1" t="s">
        <v>13895</v>
      </c>
      <c r="AB819" s="1" t="s">
        <v>13896</v>
      </c>
      <c r="AC819" s="1" t="s">
        <v>74</v>
      </c>
      <c r="AD819" s="1" t="s">
        <v>74</v>
      </c>
      <c r="AE819" s="1" t="s">
        <v>74</v>
      </c>
      <c r="AF819" s="1" t="s">
        <v>74</v>
      </c>
      <c r="AG819" s="1">
        <v>23</v>
      </c>
      <c r="AH819" s="1">
        <v>85</v>
      </c>
      <c r="AI819" s="1">
        <v>90</v>
      </c>
      <c r="AJ819" s="1">
        <v>0</v>
      </c>
      <c r="AK819" s="1">
        <v>32</v>
      </c>
      <c r="AL819" s="1" t="s">
        <v>919</v>
      </c>
      <c r="AM819" s="1" t="s">
        <v>651</v>
      </c>
      <c r="AN819" s="1" t="s">
        <v>920</v>
      </c>
      <c r="AO819" s="1" t="s">
        <v>4758</v>
      </c>
      <c r="AP819" s="1" t="s">
        <v>11139</v>
      </c>
      <c r="AQ819" s="1" t="s">
        <v>74</v>
      </c>
      <c r="AR819" s="1" t="s">
        <v>4759</v>
      </c>
      <c r="AS819" s="1" t="s">
        <v>4760</v>
      </c>
      <c r="AT819" s="1" t="s">
        <v>13897</v>
      </c>
      <c r="AU819" s="1">
        <v>2008</v>
      </c>
      <c r="AV819" s="1">
        <v>160</v>
      </c>
      <c r="AW819" s="1" t="s">
        <v>1723</v>
      </c>
      <c r="AX819" s="1" t="s">
        <v>74</v>
      </c>
      <c r="AY819" s="1" t="s">
        <v>74</v>
      </c>
      <c r="AZ819" s="1" t="s">
        <v>74</v>
      </c>
      <c r="BA819" s="1" t="s">
        <v>74</v>
      </c>
      <c r="BB819" s="1">
        <v>396</v>
      </c>
      <c r="BC819" s="1">
        <v>401</v>
      </c>
      <c r="BD819" s="1" t="s">
        <v>74</v>
      </c>
      <c r="BE819" s="1" t="s">
        <v>13898</v>
      </c>
      <c r="BF819" s="1" t="str">
        <f>HYPERLINK("http://dx.doi.org/10.1016/j.jhazmat.2008.03.010","http://dx.doi.org/10.1016/j.jhazmat.2008.03.010")</f>
        <v>http://dx.doi.org/10.1016/j.jhazmat.2008.03.010</v>
      </c>
      <c r="BG819" s="1" t="s">
        <v>74</v>
      </c>
      <c r="BH819" s="1" t="s">
        <v>74</v>
      </c>
      <c r="BI819" s="1">
        <v>6</v>
      </c>
      <c r="BJ819" s="1" t="s">
        <v>415</v>
      </c>
      <c r="BK819" s="1" t="s">
        <v>96</v>
      </c>
      <c r="BL819" s="1" t="s">
        <v>416</v>
      </c>
      <c r="BM819" s="1" t="s">
        <v>13899</v>
      </c>
      <c r="BN819" s="1">
        <v>18417277</v>
      </c>
      <c r="BO819" s="1" t="s">
        <v>74</v>
      </c>
      <c r="BP819" s="1" t="s">
        <v>74</v>
      </c>
      <c r="BQ819" s="1" t="s">
        <v>74</v>
      </c>
      <c r="BR819" s="1" t="s">
        <v>98</v>
      </c>
      <c r="BS819" s="1" t="s">
        <v>13900</v>
      </c>
      <c r="BT819" s="1" t="str">
        <f>HYPERLINK("https%3A%2F%2Fwww.webofscience.com%2Fwos%2Fwoscc%2Ffull-record%2FWOS:000261255200020","View Full Record in Web of Science")</f>
        <v>View Full Record in Web of Science</v>
      </c>
    </row>
    <row r="820" spans="1:72">
      <c r="A820" s="1" t="s">
        <v>72</v>
      </c>
      <c r="B820" s="1" t="s">
        <v>13901</v>
      </c>
      <c r="C820" s="1" t="s">
        <v>74</v>
      </c>
      <c r="D820" s="1" t="s">
        <v>74</v>
      </c>
      <c r="E820" s="1" t="s">
        <v>74</v>
      </c>
      <c r="F820" s="1" t="s">
        <v>13902</v>
      </c>
      <c r="G820" s="1" t="s">
        <v>74</v>
      </c>
      <c r="H820" s="1" t="s">
        <v>74</v>
      </c>
      <c r="I820" s="1" t="s">
        <v>13903</v>
      </c>
      <c r="J820" s="1" t="s">
        <v>232</v>
      </c>
      <c r="K820" s="1" t="s">
        <v>74</v>
      </c>
      <c r="L820" s="1" t="s">
        <v>74</v>
      </c>
      <c r="M820" s="1" t="s">
        <v>78</v>
      </c>
      <c r="N820" s="1" t="s">
        <v>79</v>
      </c>
      <c r="O820" s="1" t="s">
        <v>74</v>
      </c>
      <c r="P820" s="1" t="s">
        <v>74</v>
      </c>
      <c r="Q820" s="1" t="s">
        <v>74</v>
      </c>
      <c r="R820" s="1" t="s">
        <v>74</v>
      </c>
      <c r="S820" s="1" t="s">
        <v>74</v>
      </c>
      <c r="T820" s="1" t="s">
        <v>13904</v>
      </c>
      <c r="U820" s="1" t="s">
        <v>13905</v>
      </c>
      <c r="V820" s="1" t="s">
        <v>13906</v>
      </c>
      <c r="W820" s="1" t="s">
        <v>13907</v>
      </c>
      <c r="X820" s="1" t="s">
        <v>13908</v>
      </c>
      <c r="Y820" s="1" t="s">
        <v>13909</v>
      </c>
      <c r="Z820" s="1" t="s">
        <v>13910</v>
      </c>
      <c r="AA820" s="1" t="s">
        <v>74</v>
      </c>
      <c r="AB820" s="1" t="s">
        <v>13911</v>
      </c>
      <c r="AC820" s="1" t="s">
        <v>74</v>
      </c>
      <c r="AD820" s="1" t="s">
        <v>74</v>
      </c>
      <c r="AE820" s="1" t="s">
        <v>74</v>
      </c>
      <c r="AF820" s="1" t="s">
        <v>74</v>
      </c>
      <c r="AG820" s="1">
        <v>93</v>
      </c>
      <c r="AH820" s="1">
        <v>15</v>
      </c>
      <c r="AI820" s="1">
        <v>15</v>
      </c>
      <c r="AJ820" s="1">
        <v>1</v>
      </c>
      <c r="AK820" s="1">
        <v>11</v>
      </c>
      <c r="AL820" s="1" t="s">
        <v>136</v>
      </c>
      <c r="AM820" s="1" t="s">
        <v>137</v>
      </c>
      <c r="AN820" s="1" t="s">
        <v>138</v>
      </c>
      <c r="AO820" s="1" t="s">
        <v>240</v>
      </c>
      <c r="AP820" s="1" t="s">
        <v>241</v>
      </c>
      <c r="AQ820" s="1" t="s">
        <v>74</v>
      </c>
      <c r="AR820" s="1" t="s">
        <v>242</v>
      </c>
      <c r="AS820" s="1" t="s">
        <v>243</v>
      </c>
      <c r="AT820" s="1" t="s">
        <v>765</v>
      </c>
      <c r="AU820" s="1">
        <v>2023</v>
      </c>
      <c r="AV820" s="1">
        <v>192</v>
      </c>
      <c r="AW820" s="1" t="s">
        <v>74</v>
      </c>
      <c r="AX820" s="1" t="s">
        <v>74</v>
      </c>
      <c r="AY820" s="1" t="s">
        <v>74</v>
      </c>
      <c r="AZ820" s="1" t="s">
        <v>74</v>
      </c>
      <c r="BA820" s="1" t="s">
        <v>74</v>
      </c>
      <c r="BB820" s="1" t="s">
        <v>74</v>
      </c>
      <c r="BC820" s="1" t="s">
        <v>74</v>
      </c>
      <c r="BD820" s="1">
        <v>115076</v>
      </c>
      <c r="BE820" s="1" t="s">
        <v>13912</v>
      </c>
      <c r="BF820" s="1" t="str">
        <f>HYPERLINK("http://dx.doi.org/10.1016/j.marpolbul.2023.115076","http://dx.doi.org/10.1016/j.marpolbul.2023.115076")</f>
        <v>http://dx.doi.org/10.1016/j.marpolbul.2023.115076</v>
      </c>
      <c r="BG820" s="1" t="s">
        <v>74</v>
      </c>
      <c r="BH820" s="1" t="s">
        <v>2259</v>
      </c>
      <c r="BI820" s="1">
        <v>12</v>
      </c>
      <c r="BJ820" s="1" t="s">
        <v>247</v>
      </c>
      <c r="BK820" s="1" t="s">
        <v>96</v>
      </c>
      <c r="BL820" s="1" t="s">
        <v>248</v>
      </c>
      <c r="BM820" s="1" t="s">
        <v>13913</v>
      </c>
      <c r="BN820" s="1">
        <v>37267871</v>
      </c>
      <c r="BO820" s="1" t="s">
        <v>74</v>
      </c>
      <c r="BP820" s="1" t="s">
        <v>74</v>
      </c>
      <c r="BQ820" s="1" t="s">
        <v>74</v>
      </c>
      <c r="BR820" s="1" t="s">
        <v>98</v>
      </c>
      <c r="BS820" s="1" t="s">
        <v>13914</v>
      </c>
      <c r="BT820" s="1" t="str">
        <f>HYPERLINK("https%3A%2F%2Fwww.webofscience.com%2Fwos%2Fwoscc%2Ffull-record%2FWOS:001012887000001","View Full Record in Web of Science")</f>
        <v>View Full Record in Web of Science</v>
      </c>
    </row>
    <row r="821" spans="1:72">
      <c r="A821" s="1" t="s">
        <v>72</v>
      </c>
      <c r="B821" s="1" t="s">
        <v>13915</v>
      </c>
      <c r="C821" s="1" t="s">
        <v>74</v>
      </c>
      <c r="D821" s="1" t="s">
        <v>74</v>
      </c>
      <c r="E821" s="1" t="s">
        <v>74</v>
      </c>
      <c r="F821" s="1" t="s">
        <v>13916</v>
      </c>
      <c r="G821" s="1" t="s">
        <v>74</v>
      </c>
      <c r="H821" s="1" t="s">
        <v>74</v>
      </c>
      <c r="I821" s="1" t="s">
        <v>13917</v>
      </c>
      <c r="J821" s="1" t="s">
        <v>459</v>
      </c>
      <c r="K821" s="1" t="s">
        <v>74</v>
      </c>
      <c r="L821" s="1" t="s">
        <v>74</v>
      </c>
      <c r="M821" s="1" t="s">
        <v>78</v>
      </c>
      <c r="N821" s="1" t="s">
        <v>79</v>
      </c>
      <c r="O821" s="1" t="s">
        <v>74</v>
      </c>
      <c r="P821" s="1" t="s">
        <v>74</v>
      </c>
      <c r="Q821" s="1" t="s">
        <v>74</v>
      </c>
      <c r="R821" s="1" t="s">
        <v>74</v>
      </c>
      <c r="S821" s="1" t="s">
        <v>74</v>
      </c>
      <c r="T821" s="1" t="s">
        <v>13918</v>
      </c>
      <c r="U821" s="1" t="s">
        <v>13919</v>
      </c>
      <c r="V821" s="1" t="s">
        <v>13920</v>
      </c>
      <c r="W821" s="1" t="s">
        <v>13921</v>
      </c>
      <c r="X821" s="1" t="s">
        <v>13922</v>
      </c>
      <c r="Y821" s="1" t="s">
        <v>13923</v>
      </c>
      <c r="Z821" s="1" t="s">
        <v>13924</v>
      </c>
      <c r="AA821" s="1" t="s">
        <v>13925</v>
      </c>
      <c r="AB821" s="1" t="s">
        <v>13926</v>
      </c>
      <c r="AC821" s="1" t="s">
        <v>13927</v>
      </c>
      <c r="AD821" s="1" t="s">
        <v>13927</v>
      </c>
      <c r="AE821" s="1" t="s">
        <v>13928</v>
      </c>
      <c r="AF821" s="1" t="s">
        <v>74</v>
      </c>
      <c r="AG821" s="1">
        <v>69</v>
      </c>
      <c r="AH821" s="1">
        <v>0</v>
      </c>
      <c r="AI821" s="1">
        <v>0</v>
      </c>
      <c r="AJ821" s="1">
        <v>0</v>
      </c>
      <c r="AK821" s="1">
        <v>2</v>
      </c>
      <c r="AL821" s="1" t="s">
        <v>112</v>
      </c>
      <c r="AM821" s="1" t="s">
        <v>113</v>
      </c>
      <c r="AN821" s="1" t="s">
        <v>114</v>
      </c>
      <c r="AO821" s="1" t="s">
        <v>470</v>
      </c>
      <c r="AP821" s="1" t="s">
        <v>471</v>
      </c>
      <c r="AQ821" s="1" t="s">
        <v>74</v>
      </c>
      <c r="AR821" s="1" t="s">
        <v>472</v>
      </c>
      <c r="AS821" s="1" t="s">
        <v>473</v>
      </c>
      <c r="AT821" s="1" t="s">
        <v>142</v>
      </c>
      <c r="AU821" s="1">
        <v>2023</v>
      </c>
      <c r="AV821" s="1">
        <v>20</v>
      </c>
      <c r="AW821" s="1">
        <v>6</v>
      </c>
      <c r="AX821" s="1" t="s">
        <v>74</v>
      </c>
      <c r="AY821" s="1" t="s">
        <v>74</v>
      </c>
      <c r="AZ821" s="1" t="s">
        <v>74</v>
      </c>
      <c r="BA821" s="1" t="s">
        <v>74</v>
      </c>
      <c r="BB821" s="1">
        <v>6233</v>
      </c>
      <c r="BC821" s="1">
        <v>6246</v>
      </c>
      <c r="BD821" s="1" t="s">
        <v>74</v>
      </c>
      <c r="BE821" s="1" t="s">
        <v>13929</v>
      </c>
      <c r="BF821" s="1" t="str">
        <f>HYPERLINK("http://dx.doi.org/10.1007/s13762-022-04421-3","http://dx.doi.org/10.1007/s13762-022-04421-3")</f>
        <v>http://dx.doi.org/10.1007/s13762-022-04421-3</v>
      </c>
      <c r="BG821" s="1" t="s">
        <v>74</v>
      </c>
      <c r="BH821" s="1" t="s">
        <v>8654</v>
      </c>
      <c r="BI821" s="1">
        <v>14</v>
      </c>
      <c r="BJ821" s="1" t="s">
        <v>144</v>
      </c>
      <c r="BK821" s="1" t="s">
        <v>96</v>
      </c>
      <c r="BL821" s="1" t="s">
        <v>145</v>
      </c>
      <c r="BM821" s="1" t="s">
        <v>13930</v>
      </c>
      <c r="BN821" s="1" t="s">
        <v>74</v>
      </c>
      <c r="BO821" s="1" t="s">
        <v>74</v>
      </c>
      <c r="BP821" s="1" t="s">
        <v>74</v>
      </c>
      <c r="BQ821" s="1" t="s">
        <v>74</v>
      </c>
      <c r="BR821" s="1" t="s">
        <v>98</v>
      </c>
      <c r="BS821" s="1" t="s">
        <v>13931</v>
      </c>
      <c r="BT821" s="1" t="str">
        <f>HYPERLINK("https%3A%2F%2Fwww.webofscience.com%2Fwos%2Fwoscc%2Ffull-record%2FWOS:000832570400001","View Full Record in Web of Science")</f>
        <v>View Full Record in Web of Science</v>
      </c>
    </row>
    <row r="822" spans="1:72">
      <c r="A822" s="1" t="s">
        <v>72</v>
      </c>
      <c r="B822" s="1" t="s">
        <v>13932</v>
      </c>
      <c r="C822" s="1" t="s">
        <v>74</v>
      </c>
      <c r="D822" s="1" t="s">
        <v>74</v>
      </c>
      <c r="E822" s="1" t="s">
        <v>74</v>
      </c>
      <c r="F822" s="1" t="s">
        <v>13932</v>
      </c>
      <c r="G822" s="1" t="s">
        <v>74</v>
      </c>
      <c r="H822" s="1" t="s">
        <v>74</v>
      </c>
      <c r="I822" s="1" t="s">
        <v>13933</v>
      </c>
      <c r="J822" s="1" t="s">
        <v>909</v>
      </c>
      <c r="K822" s="1" t="s">
        <v>74</v>
      </c>
      <c r="L822" s="1" t="s">
        <v>74</v>
      </c>
      <c r="M822" s="1" t="s">
        <v>78</v>
      </c>
      <c r="N822" s="1" t="s">
        <v>151</v>
      </c>
      <c r="O822" s="1" t="s">
        <v>13934</v>
      </c>
      <c r="P822" s="1" t="s">
        <v>13935</v>
      </c>
      <c r="Q822" s="1" t="s">
        <v>13936</v>
      </c>
      <c r="R822" s="1" t="s">
        <v>74</v>
      </c>
      <c r="S822" s="1" t="s">
        <v>74</v>
      </c>
      <c r="T822" s="1" t="s">
        <v>13937</v>
      </c>
      <c r="U822" s="1" t="s">
        <v>13938</v>
      </c>
      <c r="V822" s="1" t="s">
        <v>13939</v>
      </c>
      <c r="W822" s="1" t="s">
        <v>13940</v>
      </c>
      <c r="X822" s="1" t="s">
        <v>2697</v>
      </c>
      <c r="Y822" s="1" t="s">
        <v>13941</v>
      </c>
      <c r="Z822" s="1" t="s">
        <v>13942</v>
      </c>
      <c r="AA822" s="1" t="s">
        <v>13943</v>
      </c>
      <c r="AB822" s="1" t="s">
        <v>13944</v>
      </c>
      <c r="AC822" s="1" t="s">
        <v>74</v>
      </c>
      <c r="AD822" s="1" t="s">
        <v>74</v>
      </c>
      <c r="AE822" s="1" t="s">
        <v>74</v>
      </c>
      <c r="AF822" s="1" t="s">
        <v>74</v>
      </c>
      <c r="AG822" s="1">
        <v>34</v>
      </c>
      <c r="AH822" s="1">
        <v>45</v>
      </c>
      <c r="AI822" s="1">
        <v>48</v>
      </c>
      <c r="AJ822" s="1">
        <v>0</v>
      </c>
      <c r="AK822" s="1">
        <v>20</v>
      </c>
      <c r="AL822" s="1" t="s">
        <v>919</v>
      </c>
      <c r="AM822" s="1" t="s">
        <v>651</v>
      </c>
      <c r="AN822" s="1" t="s">
        <v>920</v>
      </c>
      <c r="AO822" s="1" t="s">
        <v>921</v>
      </c>
      <c r="AP822" s="1" t="s">
        <v>922</v>
      </c>
      <c r="AQ822" s="1" t="s">
        <v>74</v>
      </c>
      <c r="AR822" s="1" t="s">
        <v>923</v>
      </c>
      <c r="AS822" s="1" t="s">
        <v>924</v>
      </c>
      <c r="AT822" s="1" t="s">
        <v>2846</v>
      </c>
      <c r="AU822" s="1">
        <v>2000</v>
      </c>
      <c r="AV822" s="1">
        <v>247</v>
      </c>
      <c r="AW822" s="1" t="s">
        <v>1723</v>
      </c>
      <c r="AX822" s="1" t="s">
        <v>74</v>
      </c>
      <c r="AY822" s="1" t="s">
        <v>74</v>
      </c>
      <c r="AZ822" s="1" t="s">
        <v>74</v>
      </c>
      <c r="BA822" s="1" t="s">
        <v>74</v>
      </c>
      <c r="BB822" s="1">
        <v>239</v>
      </c>
      <c r="BC822" s="1">
        <v>251</v>
      </c>
      <c r="BD822" s="1" t="s">
        <v>74</v>
      </c>
      <c r="BE822" s="1" t="s">
        <v>13945</v>
      </c>
      <c r="BF822" s="1" t="str">
        <f>HYPERLINK("http://dx.doi.org/10.1016/S0048-9697(99)00493-3","http://dx.doi.org/10.1016/S0048-9697(99)00493-3")</f>
        <v>http://dx.doi.org/10.1016/S0048-9697(99)00493-3</v>
      </c>
      <c r="BG822" s="1" t="s">
        <v>74</v>
      </c>
      <c r="BH822" s="1" t="s">
        <v>74</v>
      </c>
      <c r="BI822" s="1">
        <v>13</v>
      </c>
      <c r="BJ822" s="1" t="s">
        <v>144</v>
      </c>
      <c r="BK822" s="1" t="s">
        <v>172</v>
      </c>
      <c r="BL822" s="1" t="s">
        <v>145</v>
      </c>
      <c r="BM822" s="1" t="s">
        <v>13946</v>
      </c>
      <c r="BN822" s="1">
        <v>10803551</v>
      </c>
      <c r="BO822" s="1" t="s">
        <v>74</v>
      </c>
      <c r="BP822" s="1" t="s">
        <v>74</v>
      </c>
      <c r="BQ822" s="1" t="s">
        <v>74</v>
      </c>
      <c r="BR822" s="1" t="s">
        <v>98</v>
      </c>
      <c r="BS822" s="1" t="s">
        <v>13947</v>
      </c>
      <c r="BT822" s="1" t="str">
        <f>HYPERLINK("https%3A%2F%2Fwww.webofscience.com%2Fwos%2Fwoscc%2Ffull-record%2FWOS:000086537200015","View Full Record in Web of Science")</f>
        <v>View Full Record in Web of Science</v>
      </c>
    </row>
    <row r="823" spans="1:72">
      <c r="A823" s="1" t="s">
        <v>72</v>
      </c>
      <c r="B823" s="1" t="s">
        <v>13948</v>
      </c>
      <c r="C823" s="1" t="s">
        <v>74</v>
      </c>
      <c r="D823" s="1" t="s">
        <v>74</v>
      </c>
      <c r="E823" s="1" t="s">
        <v>74</v>
      </c>
      <c r="F823" s="1" t="s">
        <v>13949</v>
      </c>
      <c r="G823" s="1" t="s">
        <v>74</v>
      </c>
      <c r="H823" s="1" t="s">
        <v>74</v>
      </c>
      <c r="I823" s="1" t="s">
        <v>13950</v>
      </c>
      <c r="J823" s="1" t="s">
        <v>11045</v>
      </c>
      <c r="K823" s="1" t="s">
        <v>74</v>
      </c>
      <c r="L823" s="1" t="s">
        <v>74</v>
      </c>
      <c r="M823" s="1" t="s">
        <v>78</v>
      </c>
      <c r="N823" s="1" t="s">
        <v>79</v>
      </c>
      <c r="O823" s="1" t="s">
        <v>74</v>
      </c>
      <c r="P823" s="1" t="s">
        <v>74</v>
      </c>
      <c r="Q823" s="1" t="s">
        <v>74</v>
      </c>
      <c r="R823" s="1" t="s">
        <v>74</v>
      </c>
      <c r="S823" s="1" t="s">
        <v>74</v>
      </c>
      <c r="T823" s="1" t="s">
        <v>74</v>
      </c>
      <c r="U823" s="1" t="s">
        <v>13951</v>
      </c>
      <c r="V823" s="1" t="s">
        <v>13952</v>
      </c>
      <c r="W823" s="1" t="s">
        <v>13953</v>
      </c>
      <c r="X823" s="1" t="s">
        <v>13954</v>
      </c>
      <c r="Y823" s="1" t="s">
        <v>13955</v>
      </c>
      <c r="Z823" s="1" t="s">
        <v>13956</v>
      </c>
      <c r="AA823" s="1" t="s">
        <v>13957</v>
      </c>
      <c r="AB823" s="1" t="s">
        <v>13958</v>
      </c>
      <c r="AC823" s="1" t="s">
        <v>13959</v>
      </c>
      <c r="AD823" s="1" t="s">
        <v>13960</v>
      </c>
      <c r="AE823" s="1" t="s">
        <v>13961</v>
      </c>
      <c r="AF823" s="1" t="s">
        <v>74</v>
      </c>
      <c r="AG823" s="1">
        <v>77</v>
      </c>
      <c r="AH823" s="1">
        <v>14</v>
      </c>
      <c r="AI823" s="1">
        <v>16</v>
      </c>
      <c r="AJ823" s="1">
        <v>2</v>
      </c>
      <c r="AK823" s="1">
        <v>62</v>
      </c>
      <c r="AL823" s="1" t="s">
        <v>11056</v>
      </c>
      <c r="AM823" s="1" t="s">
        <v>11057</v>
      </c>
      <c r="AN823" s="1" t="s">
        <v>11058</v>
      </c>
      <c r="AO823" s="1" t="s">
        <v>11059</v>
      </c>
      <c r="AP823" s="1" t="s">
        <v>74</v>
      </c>
      <c r="AQ823" s="1" t="s">
        <v>74</v>
      </c>
      <c r="AR823" s="1" t="s">
        <v>11045</v>
      </c>
      <c r="AS823" s="1" t="s">
        <v>11060</v>
      </c>
      <c r="AT823" s="1" t="s">
        <v>344</v>
      </c>
      <c r="AU823" s="1">
        <v>2014</v>
      </c>
      <c r="AV823" s="1">
        <v>9</v>
      </c>
      <c r="AW823" s="1">
        <v>7</v>
      </c>
      <c r="AX823" s="1" t="s">
        <v>74</v>
      </c>
      <c r="AY823" s="1" t="s">
        <v>74</v>
      </c>
      <c r="AZ823" s="1" t="s">
        <v>74</v>
      </c>
      <c r="BA823" s="1" t="s">
        <v>74</v>
      </c>
      <c r="BB823" s="1" t="s">
        <v>74</v>
      </c>
      <c r="BC823" s="1" t="s">
        <v>74</v>
      </c>
      <c r="BD823" s="1" t="s">
        <v>13962</v>
      </c>
      <c r="BE823" s="1" t="s">
        <v>13963</v>
      </c>
      <c r="BF823" s="1" t="str">
        <f>HYPERLINK("http://dx.doi.org/10.1371/journal.pone.0101960","http://dx.doi.org/10.1371/journal.pone.0101960")</f>
        <v>http://dx.doi.org/10.1371/journal.pone.0101960</v>
      </c>
      <c r="BG823" s="1" t="s">
        <v>74</v>
      </c>
      <c r="BH823" s="1" t="s">
        <v>74</v>
      </c>
      <c r="BI823" s="1">
        <v>12</v>
      </c>
      <c r="BJ823" s="1" t="s">
        <v>3202</v>
      </c>
      <c r="BK823" s="1" t="s">
        <v>96</v>
      </c>
      <c r="BL823" s="1" t="s">
        <v>3203</v>
      </c>
      <c r="BM823" s="1" t="s">
        <v>13964</v>
      </c>
      <c r="BN823" s="1">
        <v>25025229</v>
      </c>
      <c r="BO823" s="1" t="s">
        <v>13965</v>
      </c>
      <c r="BP823" s="1" t="s">
        <v>74</v>
      </c>
      <c r="BQ823" s="1" t="s">
        <v>74</v>
      </c>
      <c r="BR823" s="1" t="s">
        <v>98</v>
      </c>
      <c r="BS823" s="1" t="s">
        <v>13966</v>
      </c>
      <c r="BT823" s="1" t="str">
        <f>HYPERLINK("https%3A%2F%2Fwww.webofscience.com%2Fwos%2Fwoscc%2Ffull-record%2FWOS:000339992400029","View Full Record in Web of Science")</f>
        <v>View Full Record in Web of Science</v>
      </c>
    </row>
    <row r="824" spans="1:72">
      <c r="A824" s="1" t="s">
        <v>72</v>
      </c>
      <c r="B824" s="1" t="s">
        <v>13967</v>
      </c>
      <c r="C824" s="1" t="s">
        <v>74</v>
      </c>
      <c r="D824" s="1" t="s">
        <v>74</v>
      </c>
      <c r="E824" s="1" t="s">
        <v>74</v>
      </c>
      <c r="F824" s="1" t="s">
        <v>13968</v>
      </c>
      <c r="G824" s="1" t="s">
        <v>74</v>
      </c>
      <c r="H824" s="1" t="s">
        <v>74</v>
      </c>
      <c r="I824" s="1" t="s">
        <v>13969</v>
      </c>
      <c r="J824" s="1" t="s">
        <v>4463</v>
      </c>
      <c r="K824" s="1" t="s">
        <v>74</v>
      </c>
      <c r="L824" s="1" t="s">
        <v>74</v>
      </c>
      <c r="M824" s="1" t="s">
        <v>78</v>
      </c>
      <c r="N824" s="1" t="s">
        <v>79</v>
      </c>
      <c r="O824" s="1" t="s">
        <v>74</v>
      </c>
      <c r="P824" s="1" t="s">
        <v>74</v>
      </c>
      <c r="Q824" s="1" t="s">
        <v>74</v>
      </c>
      <c r="R824" s="1" t="s">
        <v>74</v>
      </c>
      <c r="S824" s="1" t="s">
        <v>74</v>
      </c>
      <c r="T824" s="1" t="s">
        <v>74</v>
      </c>
      <c r="U824" s="1" t="s">
        <v>13970</v>
      </c>
      <c r="V824" s="1" t="s">
        <v>13971</v>
      </c>
      <c r="W824" s="1" t="s">
        <v>13972</v>
      </c>
      <c r="X824" s="1" t="s">
        <v>13973</v>
      </c>
      <c r="Y824" s="1" t="s">
        <v>13974</v>
      </c>
      <c r="Z824" s="1" t="s">
        <v>13975</v>
      </c>
      <c r="AA824" s="1" t="s">
        <v>13976</v>
      </c>
      <c r="AB824" s="1" t="s">
        <v>13977</v>
      </c>
      <c r="AC824" s="1" t="s">
        <v>13978</v>
      </c>
      <c r="AD824" s="1" t="s">
        <v>13978</v>
      </c>
      <c r="AE824" s="1" t="s">
        <v>13979</v>
      </c>
      <c r="AF824" s="1" t="s">
        <v>74</v>
      </c>
      <c r="AG824" s="1">
        <v>51</v>
      </c>
      <c r="AH824" s="1">
        <v>7</v>
      </c>
      <c r="AI824" s="1">
        <v>7</v>
      </c>
      <c r="AJ824" s="1">
        <v>1</v>
      </c>
      <c r="AK824" s="1">
        <v>29</v>
      </c>
      <c r="AL824" s="1" t="s">
        <v>4471</v>
      </c>
      <c r="AM824" s="1" t="s">
        <v>4472</v>
      </c>
      <c r="AN824" s="1" t="s">
        <v>4473</v>
      </c>
      <c r="AO824" s="1" t="s">
        <v>4474</v>
      </c>
      <c r="AP824" s="1" t="s">
        <v>4475</v>
      </c>
      <c r="AQ824" s="1" t="s">
        <v>74</v>
      </c>
      <c r="AR824" s="1" t="s">
        <v>4476</v>
      </c>
      <c r="AS824" s="1" t="s">
        <v>4477</v>
      </c>
      <c r="AT824" s="1" t="s">
        <v>13980</v>
      </c>
      <c r="AU824" s="1">
        <v>2012</v>
      </c>
      <c r="AV824" s="1">
        <v>46</v>
      </c>
      <c r="AW824" s="1">
        <v>21</v>
      </c>
      <c r="AX824" s="1" t="s">
        <v>74</v>
      </c>
      <c r="AY824" s="1" t="s">
        <v>74</v>
      </c>
      <c r="AZ824" s="1" t="s">
        <v>74</v>
      </c>
      <c r="BA824" s="1" t="s">
        <v>74</v>
      </c>
      <c r="BB824" s="1">
        <v>11515</v>
      </c>
      <c r="BC824" s="1">
        <v>11523</v>
      </c>
      <c r="BD824" s="1" t="s">
        <v>74</v>
      </c>
      <c r="BE824" s="1" t="s">
        <v>13981</v>
      </c>
      <c r="BF824" s="1" t="str">
        <f>HYPERLINK("http://dx.doi.org/10.1021/es3021183","http://dx.doi.org/10.1021/es3021183")</f>
        <v>http://dx.doi.org/10.1021/es3021183</v>
      </c>
      <c r="BG824" s="1" t="s">
        <v>74</v>
      </c>
      <c r="BH824" s="1" t="s">
        <v>74</v>
      </c>
      <c r="BI824" s="1">
        <v>9</v>
      </c>
      <c r="BJ824" s="1" t="s">
        <v>415</v>
      </c>
      <c r="BK824" s="1" t="s">
        <v>96</v>
      </c>
      <c r="BL824" s="1" t="s">
        <v>416</v>
      </c>
      <c r="BM824" s="1" t="s">
        <v>13982</v>
      </c>
      <c r="BN824" s="1">
        <v>23035902</v>
      </c>
      <c r="BO824" s="1" t="s">
        <v>74</v>
      </c>
      <c r="BP824" s="1" t="s">
        <v>74</v>
      </c>
      <c r="BQ824" s="1" t="s">
        <v>74</v>
      </c>
      <c r="BR824" s="1" t="s">
        <v>98</v>
      </c>
      <c r="BS824" s="1" t="s">
        <v>13983</v>
      </c>
      <c r="BT824" s="1" t="str">
        <f>HYPERLINK("https%3A%2F%2Fwww.webofscience.com%2Fwos%2Fwoscc%2Ffull-record%2FWOS:000310665000005","View Full Record in Web of Science")</f>
        <v>View Full Record in Web of Science</v>
      </c>
    </row>
    <row r="825" spans="1:72">
      <c r="A825" s="1" t="s">
        <v>72</v>
      </c>
      <c r="B825" s="1" t="s">
        <v>13984</v>
      </c>
      <c r="C825" s="1" t="s">
        <v>74</v>
      </c>
      <c r="D825" s="1" t="s">
        <v>74</v>
      </c>
      <c r="E825" s="1" t="s">
        <v>74</v>
      </c>
      <c r="F825" s="1" t="s">
        <v>13985</v>
      </c>
      <c r="G825" s="1" t="s">
        <v>74</v>
      </c>
      <c r="H825" s="1" t="s">
        <v>74</v>
      </c>
      <c r="I825" s="1" t="s">
        <v>13986</v>
      </c>
      <c r="J825" s="1" t="s">
        <v>3349</v>
      </c>
      <c r="K825" s="1" t="s">
        <v>74</v>
      </c>
      <c r="L825" s="1" t="s">
        <v>74</v>
      </c>
      <c r="M825" s="1" t="s">
        <v>78</v>
      </c>
      <c r="N825" s="1" t="s">
        <v>79</v>
      </c>
      <c r="O825" s="1" t="s">
        <v>74</v>
      </c>
      <c r="P825" s="1" t="s">
        <v>74</v>
      </c>
      <c r="Q825" s="1" t="s">
        <v>74</v>
      </c>
      <c r="R825" s="1" t="s">
        <v>74</v>
      </c>
      <c r="S825" s="1" t="s">
        <v>74</v>
      </c>
      <c r="T825" s="1" t="s">
        <v>13987</v>
      </c>
      <c r="U825" s="1" t="s">
        <v>13988</v>
      </c>
      <c r="V825" s="1" t="s">
        <v>13989</v>
      </c>
      <c r="W825" s="1" t="s">
        <v>13990</v>
      </c>
      <c r="X825" s="1" t="s">
        <v>13991</v>
      </c>
      <c r="Y825" s="1" t="s">
        <v>13992</v>
      </c>
      <c r="Z825" s="1" t="s">
        <v>13993</v>
      </c>
      <c r="AA825" s="1" t="s">
        <v>74</v>
      </c>
      <c r="AB825" s="1" t="s">
        <v>13994</v>
      </c>
      <c r="AC825" s="1" t="s">
        <v>13995</v>
      </c>
      <c r="AD825" s="1" t="s">
        <v>13996</v>
      </c>
      <c r="AE825" s="1" t="s">
        <v>13997</v>
      </c>
      <c r="AF825" s="1" t="s">
        <v>74</v>
      </c>
      <c r="AG825" s="1">
        <v>76</v>
      </c>
      <c r="AH825" s="1">
        <v>41</v>
      </c>
      <c r="AI825" s="1">
        <v>42</v>
      </c>
      <c r="AJ825" s="1">
        <v>1</v>
      </c>
      <c r="AK825" s="1">
        <v>92</v>
      </c>
      <c r="AL825" s="1" t="s">
        <v>3362</v>
      </c>
      <c r="AM825" s="1" t="s">
        <v>3363</v>
      </c>
      <c r="AN825" s="1" t="s">
        <v>3364</v>
      </c>
      <c r="AO825" s="1" t="s">
        <v>3365</v>
      </c>
      <c r="AP825" s="1" t="s">
        <v>3366</v>
      </c>
      <c r="AQ825" s="1" t="s">
        <v>74</v>
      </c>
      <c r="AR825" s="1" t="s">
        <v>3367</v>
      </c>
      <c r="AS825" s="1" t="s">
        <v>3368</v>
      </c>
      <c r="AT825" s="1" t="s">
        <v>13998</v>
      </c>
      <c r="AU825" s="1">
        <v>2018</v>
      </c>
      <c r="AV825" s="1">
        <v>151</v>
      </c>
      <c r="AW825" s="1" t="s">
        <v>74</v>
      </c>
      <c r="AX825" s="1" t="s">
        <v>74</v>
      </c>
      <c r="AY825" s="1" t="s">
        <v>74</v>
      </c>
      <c r="AZ825" s="1" t="s">
        <v>74</v>
      </c>
      <c r="BA825" s="1" t="s">
        <v>74</v>
      </c>
      <c r="BB825" s="1">
        <v>132</v>
      </c>
      <c r="BC825" s="1">
        <v>143</v>
      </c>
      <c r="BD825" s="1" t="s">
        <v>74</v>
      </c>
      <c r="BE825" s="1" t="s">
        <v>13999</v>
      </c>
      <c r="BF825" s="1" t="str">
        <f>HYPERLINK("http://dx.doi.org/10.1016/j.ecoenv.2018.01.004","http://dx.doi.org/10.1016/j.ecoenv.2018.01.004")</f>
        <v>http://dx.doi.org/10.1016/j.ecoenv.2018.01.004</v>
      </c>
      <c r="BG825" s="1" t="s">
        <v>74</v>
      </c>
      <c r="BH825" s="1" t="s">
        <v>74</v>
      </c>
      <c r="BI825" s="1">
        <v>12</v>
      </c>
      <c r="BJ825" s="1" t="s">
        <v>121</v>
      </c>
      <c r="BK825" s="1" t="s">
        <v>96</v>
      </c>
      <c r="BL825" s="1" t="s">
        <v>122</v>
      </c>
      <c r="BM825" s="1" t="s">
        <v>14000</v>
      </c>
      <c r="BN825" s="1">
        <v>29331918</v>
      </c>
      <c r="BO825" s="1" t="s">
        <v>74</v>
      </c>
      <c r="BP825" s="1" t="s">
        <v>74</v>
      </c>
      <c r="BQ825" s="1" t="s">
        <v>74</v>
      </c>
      <c r="BR825" s="1" t="s">
        <v>98</v>
      </c>
      <c r="BS825" s="1" t="s">
        <v>14001</v>
      </c>
      <c r="BT825" s="1" t="str">
        <f>HYPERLINK("https%3A%2F%2Fwww.webofscience.com%2Fwos%2Fwoscc%2Ffull-record%2FWOS:000427810900019","View Full Record in Web of Science")</f>
        <v>View Full Record in Web of Science</v>
      </c>
    </row>
    <row r="826" spans="1:72">
      <c r="A826" s="1" t="s">
        <v>72</v>
      </c>
      <c r="B826" s="1" t="s">
        <v>14002</v>
      </c>
      <c r="C826" s="1" t="s">
        <v>74</v>
      </c>
      <c r="D826" s="1" t="s">
        <v>74</v>
      </c>
      <c r="E826" s="1" t="s">
        <v>74</v>
      </c>
      <c r="F826" s="1" t="s">
        <v>14003</v>
      </c>
      <c r="G826" s="1" t="s">
        <v>74</v>
      </c>
      <c r="H826" s="1" t="s">
        <v>74</v>
      </c>
      <c r="I826" s="1" t="s">
        <v>14004</v>
      </c>
      <c r="J826" s="1" t="s">
        <v>554</v>
      </c>
      <c r="K826" s="1" t="s">
        <v>74</v>
      </c>
      <c r="L826" s="1" t="s">
        <v>74</v>
      </c>
      <c r="M826" s="1" t="s">
        <v>78</v>
      </c>
      <c r="N826" s="1" t="s">
        <v>79</v>
      </c>
      <c r="O826" s="1" t="s">
        <v>74</v>
      </c>
      <c r="P826" s="1" t="s">
        <v>74</v>
      </c>
      <c r="Q826" s="1" t="s">
        <v>74</v>
      </c>
      <c r="R826" s="1" t="s">
        <v>74</v>
      </c>
      <c r="S826" s="1" t="s">
        <v>74</v>
      </c>
      <c r="T826" s="1" t="s">
        <v>14005</v>
      </c>
      <c r="U826" s="1" t="s">
        <v>14006</v>
      </c>
      <c r="V826" s="1" t="s">
        <v>14007</v>
      </c>
      <c r="W826" s="1" t="s">
        <v>14008</v>
      </c>
      <c r="X826" s="1" t="s">
        <v>14009</v>
      </c>
      <c r="Y826" s="1" t="s">
        <v>14010</v>
      </c>
      <c r="Z826" s="1" t="s">
        <v>14011</v>
      </c>
      <c r="AA826" s="1" t="s">
        <v>74</v>
      </c>
      <c r="AB826" s="1" t="s">
        <v>2507</v>
      </c>
      <c r="AC826" s="1" t="s">
        <v>74</v>
      </c>
      <c r="AD826" s="1" t="s">
        <v>74</v>
      </c>
      <c r="AE826" s="1" t="s">
        <v>74</v>
      </c>
      <c r="AF826" s="1" t="s">
        <v>74</v>
      </c>
      <c r="AG826" s="1">
        <v>37</v>
      </c>
      <c r="AH826" s="1">
        <v>50</v>
      </c>
      <c r="AI826" s="1">
        <v>56</v>
      </c>
      <c r="AJ826" s="1">
        <v>1</v>
      </c>
      <c r="AK826" s="1">
        <v>9</v>
      </c>
      <c r="AL826" s="1" t="s">
        <v>564</v>
      </c>
      <c r="AM826" s="1" t="s">
        <v>113</v>
      </c>
      <c r="AN826" s="1" t="s">
        <v>565</v>
      </c>
      <c r="AO826" s="1" t="s">
        <v>566</v>
      </c>
      <c r="AP826" s="1" t="s">
        <v>567</v>
      </c>
      <c r="AQ826" s="1" t="s">
        <v>74</v>
      </c>
      <c r="AR826" s="1" t="s">
        <v>568</v>
      </c>
      <c r="AS826" s="1" t="s">
        <v>569</v>
      </c>
      <c r="AT826" s="1" t="s">
        <v>142</v>
      </c>
      <c r="AU826" s="1">
        <v>2006</v>
      </c>
      <c r="AV826" s="1">
        <v>143</v>
      </c>
      <c r="AW826" s="1">
        <v>2</v>
      </c>
      <c r="AX826" s="1" t="s">
        <v>74</v>
      </c>
      <c r="AY826" s="1" t="s">
        <v>74</v>
      </c>
      <c r="AZ826" s="1" t="s">
        <v>74</v>
      </c>
      <c r="BA826" s="1" t="s">
        <v>74</v>
      </c>
      <c r="BB826" s="1">
        <v>252</v>
      </c>
      <c r="BC826" s="1">
        <v>261</v>
      </c>
      <c r="BD826" s="1" t="s">
        <v>74</v>
      </c>
      <c r="BE826" s="1" t="s">
        <v>14012</v>
      </c>
      <c r="BF826" s="1" t="str">
        <f>HYPERLINK("http://dx.doi.org/10.1016/j.cbpc.2006.02.009","http://dx.doi.org/10.1016/j.cbpc.2006.02.009")</f>
        <v>http://dx.doi.org/10.1016/j.cbpc.2006.02.009</v>
      </c>
      <c r="BG826" s="1" t="s">
        <v>74</v>
      </c>
      <c r="BH826" s="1" t="s">
        <v>74</v>
      </c>
      <c r="BI826" s="1">
        <v>10</v>
      </c>
      <c r="BJ826" s="1" t="s">
        <v>571</v>
      </c>
      <c r="BK826" s="1" t="s">
        <v>96</v>
      </c>
      <c r="BL826" s="1" t="s">
        <v>571</v>
      </c>
      <c r="BM826" s="1" t="s">
        <v>14013</v>
      </c>
      <c r="BN826" s="1">
        <v>16580885</v>
      </c>
      <c r="BO826" s="1" t="s">
        <v>74</v>
      </c>
      <c r="BP826" s="1" t="s">
        <v>74</v>
      </c>
      <c r="BQ826" s="1" t="s">
        <v>74</v>
      </c>
      <c r="BR826" s="1" t="s">
        <v>98</v>
      </c>
      <c r="BS826" s="1" t="s">
        <v>14014</v>
      </c>
      <c r="BT826" s="1" t="str">
        <f>HYPERLINK("https%3A%2F%2Fwww.webofscience.com%2Fwos%2Fwoscc%2Ffull-record%2FWOS:000237836300015","View Full Record in Web of Science")</f>
        <v>View Full Record in Web of Science</v>
      </c>
    </row>
    <row r="827" spans="1:72">
      <c r="A827" s="1" t="s">
        <v>72</v>
      </c>
      <c r="B827" s="1" t="s">
        <v>14015</v>
      </c>
      <c r="C827" s="1" t="s">
        <v>74</v>
      </c>
      <c r="D827" s="1" t="s">
        <v>74</v>
      </c>
      <c r="E827" s="1" t="s">
        <v>74</v>
      </c>
      <c r="F827" s="1" t="s">
        <v>14016</v>
      </c>
      <c r="G827" s="1" t="s">
        <v>74</v>
      </c>
      <c r="H827" s="1" t="s">
        <v>74</v>
      </c>
      <c r="I827" s="1" t="s">
        <v>14017</v>
      </c>
      <c r="J827" s="1" t="s">
        <v>909</v>
      </c>
      <c r="K827" s="1" t="s">
        <v>74</v>
      </c>
      <c r="L827" s="1" t="s">
        <v>74</v>
      </c>
      <c r="M827" s="1" t="s">
        <v>78</v>
      </c>
      <c r="N827" s="1" t="s">
        <v>79</v>
      </c>
      <c r="O827" s="1" t="s">
        <v>74</v>
      </c>
      <c r="P827" s="1" t="s">
        <v>74</v>
      </c>
      <c r="Q827" s="1" t="s">
        <v>74</v>
      </c>
      <c r="R827" s="1" t="s">
        <v>74</v>
      </c>
      <c r="S827" s="1" t="s">
        <v>74</v>
      </c>
      <c r="T827" s="1" t="s">
        <v>14018</v>
      </c>
      <c r="U827" s="1" t="s">
        <v>14019</v>
      </c>
      <c r="V827" s="1" t="s">
        <v>14020</v>
      </c>
      <c r="W827" s="1" t="s">
        <v>14021</v>
      </c>
      <c r="X827" s="1" t="s">
        <v>14022</v>
      </c>
      <c r="Y827" s="1" t="s">
        <v>14023</v>
      </c>
      <c r="Z827" s="1" t="s">
        <v>14024</v>
      </c>
      <c r="AA827" s="1" t="s">
        <v>14025</v>
      </c>
      <c r="AB827" s="1" t="s">
        <v>74</v>
      </c>
      <c r="AC827" s="1" t="s">
        <v>14026</v>
      </c>
      <c r="AD827" s="1" t="s">
        <v>14027</v>
      </c>
      <c r="AE827" s="1" t="s">
        <v>14028</v>
      </c>
      <c r="AF827" s="1" t="s">
        <v>74</v>
      </c>
      <c r="AG827" s="1">
        <v>64</v>
      </c>
      <c r="AH827" s="1">
        <v>20</v>
      </c>
      <c r="AI827" s="1">
        <v>20</v>
      </c>
      <c r="AJ827" s="1">
        <v>9</v>
      </c>
      <c r="AK827" s="1">
        <v>76</v>
      </c>
      <c r="AL827" s="1" t="s">
        <v>650</v>
      </c>
      <c r="AM827" s="1" t="s">
        <v>651</v>
      </c>
      <c r="AN827" s="1" t="s">
        <v>652</v>
      </c>
      <c r="AO827" s="1" t="s">
        <v>921</v>
      </c>
      <c r="AP827" s="1" t="s">
        <v>922</v>
      </c>
      <c r="AQ827" s="1" t="s">
        <v>74</v>
      </c>
      <c r="AR827" s="1" t="s">
        <v>923</v>
      </c>
      <c r="AS827" s="1" t="s">
        <v>924</v>
      </c>
      <c r="AT827" s="1" t="s">
        <v>11873</v>
      </c>
      <c r="AU827" s="1">
        <v>2023</v>
      </c>
      <c r="AV827" s="1">
        <v>854</v>
      </c>
      <c r="AW827" s="1" t="s">
        <v>74</v>
      </c>
      <c r="AX827" s="1" t="s">
        <v>74</v>
      </c>
      <c r="AY827" s="1" t="s">
        <v>74</v>
      </c>
      <c r="AZ827" s="1" t="s">
        <v>74</v>
      </c>
      <c r="BA827" s="1" t="s">
        <v>74</v>
      </c>
      <c r="BB827" s="1" t="s">
        <v>74</v>
      </c>
      <c r="BC827" s="1" t="s">
        <v>74</v>
      </c>
      <c r="BD827" s="1">
        <v>158713</v>
      </c>
      <c r="BE827" s="1" t="s">
        <v>14029</v>
      </c>
      <c r="BF827" s="1" t="str">
        <f>HYPERLINK("http://dx.doi.org/10.1016/j.scitotenv.2022.158713","http://dx.doi.org/10.1016/j.scitotenv.2022.158713")</f>
        <v>http://dx.doi.org/10.1016/j.scitotenv.2022.158713</v>
      </c>
      <c r="BG827" s="1" t="s">
        <v>74</v>
      </c>
      <c r="BH827" s="1" t="s">
        <v>4632</v>
      </c>
      <c r="BI827" s="1">
        <v>9</v>
      </c>
      <c r="BJ827" s="1" t="s">
        <v>144</v>
      </c>
      <c r="BK827" s="1" t="s">
        <v>96</v>
      </c>
      <c r="BL827" s="1" t="s">
        <v>145</v>
      </c>
      <c r="BM827" s="1" t="s">
        <v>14030</v>
      </c>
      <c r="BN827" s="1">
        <v>36113791</v>
      </c>
      <c r="BO827" s="1" t="s">
        <v>74</v>
      </c>
      <c r="BP827" s="1" t="s">
        <v>74</v>
      </c>
      <c r="BQ827" s="1" t="s">
        <v>74</v>
      </c>
      <c r="BR827" s="1" t="s">
        <v>98</v>
      </c>
      <c r="BS827" s="1" t="s">
        <v>14031</v>
      </c>
      <c r="BT827" s="1" t="str">
        <f>HYPERLINK("https%3A%2F%2Fwww.webofscience.com%2Fwos%2Fwoscc%2Ffull-record%2FWOS:000862758300011","View Full Record in Web of Science")</f>
        <v>View Full Record in Web of Science</v>
      </c>
    </row>
    <row r="828" spans="1:72">
      <c r="A828" s="1" t="s">
        <v>72</v>
      </c>
      <c r="B828" s="1" t="s">
        <v>14032</v>
      </c>
      <c r="C828" s="1" t="s">
        <v>74</v>
      </c>
      <c r="D828" s="1" t="s">
        <v>74</v>
      </c>
      <c r="E828" s="1" t="s">
        <v>74</v>
      </c>
      <c r="F828" s="1" t="s">
        <v>14033</v>
      </c>
      <c r="G828" s="1" t="s">
        <v>74</v>
      </c>
      <c r="H828" s="1" t="s">
        <v>74</v>
      </c>
      <c r="I828" s="1" t="s">
        <v>14034</v>
      </c>
      <c r="J828" s="1" t="s">
        <v>2063</v>
      </c>
      <c r="K828" s="1" t="s">
        <v>74</v>
      </c>
      <c r="L828" s="1" t="s">
        <v>74</v>
      </c>
      <c r="M828" s="1" t="s">
        <v>78</v>
      </c>
      <c r="N828" s="1" t="s">
        <v>79</v>
      </c>
      <c r="O828" s="1" t="s">
        <v>74</v>
      </c>
      <c r="P828" s="1" t="s">
        <v>74</v>
      </c>
      <c r="Q828" s="1" t="s">
        <v>74</v>
      </c>
      <c r="R828" s="1" t="s">
        <v>74</v>
      </c>
      <c r="S828" s="1" t="s">
        <v>74</v>
      </c>
      <c r="T828" s="1" t="s">
        <v>14035</v>
      </c>
      <c r="U828" s="1" t="s">
        <v>14036</v>
      </c>
      <c r="V828" s="1" t="s">
        <v>14037</v>
      </c>
      <c r="W828" s="1" t="s">
        <v>14038</v>
      </c>
      <c r="X828" s="1" t="s">
        <v>14039</v>
      </c>
      <c r="Y828" s="1" t="s">
        <v>14040</v>
      </c>
      <c r="Z828" s="1" t="s">
        <v>14041</v>
      </c>
      <c r="AA828" s="1" t="s">
        <v>14042</v>
      </c>
      <c r="AB828" s="1" t="s">
        <v>14043</v>
      </c>
      <c r="AC828" s="1" t="s">
        <v>14044</v>
      </c>
      <c r="AD828" s="1" t="s">
        <v>14045</v>
      </c>
      <c r="AE828" s="1" t="s">
        <v>14046</v>
      </c>
      <c r="AF828" s="1" t="s">
        <v>74</v>
      </c>
      <c r="AG828" s="1">
        <v>58</v>
      </c>
      <c r="AH828" s="1">
        <v>19</v>
      </c>
      <c r="AI828" s="1">
        <v>20</v>
      </c>
      <c r="AJ828" s="1">
        <v>2</v>
      </c>
      <c r="AK828" s="1">
        <v>35</v>
      </c>
      <c r="AL828" s="1" t="s">
        <v>2074</v>
      </c>
      <c r="AM828" s="1" t="s">
        <v>2075</v>
      </c>
      <c r="AN828" s="1" t="s">
        <v>2076</v>
      </c>
      <c r="AO828" s="1" t="s">
        <v>2077</v>
      </c>
      <c r="AP828" s="1" t="s">
        <v>2078</v>
      </c>
      <c r="AQ828" s="1" t="s">
        <v>74</v>
      </c>
      <c r="AR828" s="1" t="s">
        <v>2079</v>
      </c>
      <c r="AS828" s="1" t="s">
        <v>2080</v>
      </c>
      <c r="AT828" s="1" t="s">
        <v>14047</v>
      </c>
      <c r="AU828" s="1">
        <v>2014</v>
      </c>
      <c r="AV828" s="1">
        <v>30</v>
      </c>
      <c r="AW828" s="1">
        <v>8</v>
      </c>
      <c r="AX828" s="1" t="s">
        <v>74</v>
      </c>
      <c r="AY828" s="1" t="s">
        <v>74</v>
      </c>
      <c r="AZ828" s="1" t="s">
        <v>74</v>
      </c>
      <c r="BA828" s="1" t="s">
        <v>74</v>
      </c>
      <c r="BB828" s="1">
        <v>726</v>
      </c>
      <c r="BC828" s="1">
        <v>742</v>
      </c>
      <c r="BD828" s="1" t="s">
        <v>74</v>
      </c>
      <c r="BE828" s="1" t="s">
        <v>14048</v>
      </c>
      <c r="BF828" s="1" t="str">
        <f>HYPERLINK("http://dx.doi.org/10.1080/02757540.2014.917172","http://dx.doi.org/10.1080/02757540.2014.917172")</f>
        <v>http://dx.doi.org/10.1080/02757540.2014.917172</v>
      </c>
      <c r="BG828" s="1" t="s">
        <v>74</v>
      </c>
      <c r="BH828" s="1" t="s">
        <v>74</v>
      </c>
      <c r="BI828" s="1">
        <v>17</v>
      </c>
      <c r="BJ828" s="1" t="s">
        <v>2083</v>
      </c>
      <c r="BK828" s="1" t="s">
        <v>96</v>
      </c>
      <c r="BL828" s="1" t="s">
        <v>2084</v>
      </c>
      <c r="BM828" s="1" t="s">
        <v>14049</v>
      </c>
      <c r="BN828" s="1" t="s">
        <v>74</v>
      </c>
      <c r="BO828" s="1" t="s">
        <v>1752</v>
      </c>
      <c r="BP828" s="1" t="s">
        <v>74</v>
      </c>
      <c r="BQ828" s="1" t="s">
        <v>74</v>
      </c>
      <c r="BR828" s="1" t="s">
        <v>98</v>
      </c>
      <c r="BS828" s="1" t="s">
        <v>14050</v>
      </c>
      <c r="BT828" s="1" t="str">
        <f>HYPERLINK("https%3A%2F%2Fwww.webofscience.com%2Fwos%2Fwoscc%2Ffull-record%2FWOS:000343418600004","View Full Record in Web of Science")</f>
        <v>View Full Record in Web of Science</v>
      </c>
    </row>
    <row r="829" spans="1:72">
      <c r="A829" s="1" t="s">
        <v>72</v>
      </c>
      <c r="B829" s="1" t="s">
        <v>14051</v>
      </c>
      <c r="C829" s="1" t="s">
        <v>74</v>
      </c>
      <c r="D829" s="1" t="s">
        <v>74</v>
      </c>
      <c r="E829" s="1" t="s">
        <v>74</v>
      </c>
      <c r="F829" s="1" t="s">
        <v>14052</v>
      </c>
      <c r="G829" s="1" t="s">
        <v>74</v>
      </c>
      <c r="H829" s="1" t="s">
        <v>74</v>
      </c>
      <c r="I829" s="1" t="s">
        <v>14053</v>
      </c>
      <c r="J829" s="1" t="s">
        <v>1811</v>
      </c>
      <c r="K829" s="1" t="s">
        <v>74</v>
      </c>
      <c r="L829" s="1" t="s">
        <v>74</v>
      </c>
      <c r="M829" s="1" t="s">
        <v>78</v>
      </c>
      <c r="N829" s="1" t="s">
        <v>79</v>
      </c>
      <c r="O829" s="1" t="s">
        <v>74</v>
      </c>
      <c r="P829" s="1" t="s">
        <v>74</v>
      </c>
      <c r="Q829" s="1" t="s">
        <v>74</v>
      </c>
      <c r="R829" s="1" t="s">
        <v>74</v>
      </c>
      <c r="S829" s="1" t="s">
        <v>74</v>
      </c>
      <c r="T829" s="1" t="s">
        <v>14054</v>
      </c>
      <c r="U829" s="1" t="s">
        <v>14055</v>
      </c>
      <c r="V829" s="1" t="s">
        <v>14056</v>
      </c>
      <c r="W829" s="1" t="s">
        <v>14057</v>
      </c>
      <c r="X829" s="1" t="s">
        <v>11435</v>
      </c>
      <c r="Y829" s="1" t="s">
        <v>11436</v>
      </c>
      <c r="Z829" s="1" t="s">
        <v>11437</v>
      </c>
      <c r="AA829" s="1" t="s">
        <v>14058</v>
      </c>
      <c r="AB829" s="1" t="s">
        <v>14059</v>
      </c>
      <c r="AC829" s="1" t="s">
        <v>11440</v>
      </c>
      <c r="AD829" s="1" t="s">
        <v>11441</v>
      </c>
      <c r="AE829" s="1" t="s">
        <v>14060</v>
      </c>
      <c r="AF829" s="1" t="s">
        <v>74</v>
      </c>
      <c r="AG829" s="1">
        <v>40</v>
      </c>
      <c r="AH829" s="1">
        <v>23</v>
      </c>
      <c r="AI829" s="1">
        <v>24</v>
      </c>
      <c r="AJ829" s="1">
        <v>0</v>
      </c>
      <c r="AK829" s="1">
        <v>30</v>
      </c>
      <c r="AL829" s="1" t="s">
        <v>430</v>
      </c>
      <c r="AM829" s="1" t="s">
        <v>137</v>
      </c>
      <c r="AN829" s="1" t="s">
        <v>431</v>
      </c>
      <c r="AO829" s="1" t="s">
        <v>1820</v>
      </c>
      <c r="AP829" s="1" t="s">
        <v>74</v>
      </c>
      <c r="AQ829" s="1" t="s">
        <v>74</v>
      </c>
      <c r="AR829" s="1" t="s">
        <v>1821</v>
      </c>
      <c r="AS829" s="1" t="s">
        <v>1822</v>
      </c>
      <c r="AT829" s="1" t="s">
        <v>2257</v>
      </c>
      <c r="AU829" s="1">
        <v>2012</v>
      </c>
      <c r="AV829" s="1">
        <v>133</v>
      </c>
      <c r="AW829" s="1">
        <v>3</v>
      </c>
      <c r="AX829" s="1" t="s">
        <v>74</v>
      </c>
      <c r="AY829" s="1" t="s">
        <v>74</v>
      </c>
      <c r="AZ829" s="1" t="s">
        <v>74</v>
      </c>
      <c r="BA829" s="1" t="s">
        <v>74</v>
      </c>
      <c r="BB829" s="1">
        <v>665</v>
      </c>
      <c r="BC829" s="1">
        <v>670</v>
      </c>
      <c r="BD829" s="1" t="s">
        <v>74</v>
      </c>
      <c r="BE829" s="1" t="s">
        <v>14061</v>
      </c>
      <c r="BF829" s="1" t="str">
        <f>HYPERLINK("http://dx.doi.org/10.1016/j.foodchem.2012.01.047","http://dx.doi.org/10.1016/j.foodchem.2012.01.047")</f>
        <v>http://dx.doi.org/10.1016/j.foodchem.2012.01.047</v>
      </c>
      <c r="BG829" s="1" t="s">
        <v>74</v>
      </c>
      <c r="BH829" s="1" t="s">
        <v>74</v>
      </c>
      <c r="BI829" s="1">
        <v>6</v>
      </c>
      <c r="BJ829" s="1" t="s">
        <v>1825</v>
      </c>
      <c r="BK829" s="1" t="s">
        <v>96</v>
      </c>
      <c r="BL829" s="1" t="s">
        <v>1826</v>
      </c>
      <c r="BM829" s="1" t="s">
        <v>14062</v>
      </c>
      <c r="BN829" s="1" t="s">
        <v>74</v>
      </c>
      <c r="BO829" s="1" t="s">
        <v>74</v>
      </c>
      <c r="BP829" s="1" t="s">
        <v>74</v>
      </c>
      <c r="BQ829" s="1" t="s">
        <v>74</v>
      </c>
      <c r="BR829" s="1" t="s">
        <v>98</v>
      </c>
      <c r="BS829" s="1" t="s">
        <v>14063</v>
      </c>
      <c r="BT829" s="1" t="str">
        <f>HYPERLINK("https%3A%2F%2Fwww.webofscience.com%2Fwos%2Fwoscc%2Ffull-record%2FWOS:000302986400008","View Full Record in Web of Science")</f>
        <v>View Full Record in Web of Science</v>
      </c>
    </row>
    <row r="830" spans="1:72">
      <c r="A830" s="1" t="s">
        <v>72</v>
      </c>
      <c r="B830" s="1" t="s">
        <v>14064</v>
      </c>
      <c r="C830" s="1" t="s">
        <v>74</v>
      </c>
      <c r="D830" s="1" t="s">
        <v>74</v>
      </c>
      <c r="E830" s="1" t="s">
        <v>74</v>
      </c>
      <c r="F830" s="1" t="s">
        <v>14065</v>
      </c>
      <c r="G830" s="1" t="s">
        <v>74</v>
      </c>
      <c r="H830" s="1" t="s">
        <v>74</v>
      </c>
      <c r="I830" s="1" t="s">
        <v>14066</v>
      </c>
      <c r="J830" s="1" t="s">
        <v>204</v>
      </c>
      <c r="K830" s="1" t="s">
        <v>74</v>
      </c>
      <c r="L830" s="1" t="s">
        <v>74</v>
      </c>
      <c r="M830" s="1" t="s">
        <v>78</v>
      </c>
      <c r="N830" s="1" t="s">
        <v>79</v>
      </c>
      <c r="O830" s="1" t="s">
        <v>74</v>
      </c>
      <c r="P830" s="1" t="s">
        <v>74</v>
      </c>
      <c r="Q830" s="1" t="s">
        <v>74</v>
      </c>
      <c r="R830" s="1" t="s">
        <v>74</v>
      </c>
      <c r="S830" s="1" t="s">
        <v>74</v>
      </c>
      <c r="T830" s="1" t="s">
        <v>14067</v>
      </c>
      <c r="U830" s="1" t="s">
        <v>14068</v>
      </c>
      <c r="V830" s="1" t="s">
        <v>14069</v>
      </c>
      <c r="W830" s="1" t="s">
        <v>14070</v>
      </c>
      <c r="X830" s="1" t="s">
        <v>14071</v>
      </c>
      <c r="Y830" s="1" t="s">
        <v>14072</v>
      </c>
      <c r="Z830" s="1" t="s">
        <v>3885</v>
      </c>
      <c r="AA830" s="1" t="s">
        <v>14073</v>
      </c>
      <c r="AB830" s="1" t="s">
        <v>3887</v>
      </c>
      <c r="AC830" s="1" t="s">
        <v>14074</v>
      </c>
      <c r="AD830" s="1" t="s">
        <v>14075</v>
      </c>
      <c r="AE830" s="1" t="s">
        <v>14076</v>
      </c>
      <c r="AF830" s="1" t="s">
        <v>74</v>
      </c>
      <c r="AG830" s="1">
        <v>58</v>
      </c>
      <c r="AH830" s="1">
        <v>48</v>
      </c>
      <c r="AI830" s="1">
        <v>50</v>
      </c>
      <c r="AJ830" s="1">
        <v>7</v>
      </c>
      <c r="AK830" s="1">
        <v>103</v>
      </c>
      <c r="AL830" s="1" t="s">
        <v>217</v>
      </c>
      <c r="AM830" s="1" t="s">
        <v>218</v>
      </c>
      <c r="AN830" s="1" t="s">
        <v>219</v>
      </c>
      <c r="AO830" s="1" t="s">
        <v>220</v>
      </c>
      <c r="AP830" s="1" t="s">
        <v>221</v>
      </c>
      <c r="AQ830" s="1" t="s">
        <v>74</v>
      </c>
      <c r="AR830" s="1" t="s">
        <v>222</v>
      </c>
      <c r="AS830" s="1" t="s">
        <v>223</v>
      </c>
      <c r="AT830" s="1" t="s">
        <v>197</v>
      </c>
      <c r="AU830" s="1">
        <v>2021</v>
      </c>
      <c r="AV830" s="1">
        <v>28</v>
      </c>
      <c r="AW830" s="1">
        <v>45</v>
      </c>
      <c r="AX830" s="1" t="s">
        <v>74</v>
      </c>
      <c r="AY830" s="1" t="s">
        <v>74</v>
      </c>
      <c r="AZ830" s="1" t="s">
        <v>74</v>
      </c>
      <c r="BA830" s="1" t="s">
        <v>74</v>
      </c>
      <c r="BB830" s="1">
        <v>63815</v>
      </c>
      <c r="BC830" s="1">
        <v>63828</v>
      </c>
      <c r="BD830" s="1" t="s">
        <v>74</v>
      </c>
      <c r="BE830" s="1" t="s">
        <v>14077</v>
      </c>
      <c r="BF830" s="1" t="str">
        <f>HYPERLINK("http://dx.doi.org/10.1007/s11356-020-11904-8","http://dx.doi.org/10.1007/s11356-020-11904-8")</f>
        <v>http://dx.doi.org/10.1007/s11356-020-11904-8</v>
      </c>
      <c r="BG830" s="1" t="s">
        <v>74</v>
      </c>
      <c r="BH830" s="1" t="s">
        <v>2597</v>
      </c>
      <c r="BI830" s="1">
        <v>14</v>
      </c>
      <c r="BJ830" s="1" t="s">
        <v>144</v>
      </c>
      <c r="BK830" s="1" t="s">
        <v>96</v>
      </c>
      <c r="BL830" s="1" t="s">
        <v>145</v>
      </c>
      <c r="BM830" s="1" t="s">
        <v>14078</v>
      </c>
      <c r="BN830" s="1">
        <v>33400129</v>
      </c>
      <c r="BO830" s="1" t="s">
        <v>74</v>
      </c>
      <c r="BP830" s="1" t="s">
        <v>74</v>
      </c>
      <c r="BQ830" s="1" t="s">
        <v>74</v>
      </c>
      <c r="BR830" s="1" t="s">
        <v>98</v>
      </c>
      <c r="BS830" s="1" t="s">
        <v>14079</v>
      </c>
      <c r="BT830" s="1" t="str">
        <f>HYPERLINK("https%3A%2F%2Fwww.webofscience.com%2Fwos%2Fwoscc%2Ffull-record%2FWOS:000605128900003","View Full Record in Web of Science")</f>
        <v>View Full Record in Web of Science</v>
      </c>
    </row>
    <row r="831" spans="1:72">
      <c r="A831" s="1" t="s">
        <v>72</v>
      </c>
      <c r="B831" s="1" t="s">
        <v>14080</v>
      </c>
      <c r="C831" s="1" t="s">
        <v>74</v>
      </c>
      <c r="D831" s="1" t="s">
        <v>74</v>
      </c>
      <c r="E831" s="1" t="s">
        <v>74</v>
      </c>
      <c r="F831" s="1" t="s">
        <v>14081</v>
      </c>
      <c r="G831" s="1" t="s">
        <v>74</v>
      </c>
      <c r="H831" s="1" t="s">
        <v>74</v>
      </c>
      <c r="I831" s="1" t="s">
        <v>14082</v>
      </c>
      <c r="J831" s="1" t="s">
        <v>395</v>
      </c>
      <c r="K831" s="1" t="s">
        <v>74</v>
      </c>
      <c r="L831" s="1" t="s">
        <v>74</v>
      </c>
      <c r="M831" s="1" t="s">
        <v>78</v>
      </c>
      <c r="N831" s="1" t="s">
        <v>79</v>
      </c>
      <c r="O831" s="1" t="s">
        <v>74</v>
      </c>
      <c r="P831" s="1" t="s">
        <v>74</v>
      </c>
      <c r="Q831" s="1" t="s">
        <v>74</v>
      </c>
      <c r="R831" s="1" t="s">
        <v>74</v>
      </c>
      <c r="S831" s="1" t="s">
        <v>74</v>
      </c>
      <c r="T831" s="1" t="s">
        <v>14083</v>
      </c>
      <c r="U831" s="1" t="s">
        <v>14084</v>
      </c>
      <c r="V831" s="1" t="s">
        <v>14085</v>
      </c>
      <c r="W831" s="1" t="s">
        <v>14086</v>
      </c>
      <c r="X831" s="1" t="s">
        <v>14087</v>
      </c>
      <c r="Y831" s="1" t="s">
        <v>14088</v>
      </c>
      <c r="Z831" s="1" t="s">
        <v>14089</v>
      </c>
      <c r="AA831" s="1" t="s">
        <v>74</v>
      </c>
      <c r="AB831" s="1" t="s">
        <v>74</v>
      </c>
      <c r="AC831" s="1" t="s">
        <v>74</v>
      </c>
      <c r="AD831" s="1" t="s">
        <v>74</v>
      </c>
      <c r="AE831" s="1" t="s">
        <v>74</v>
      </c>
      <c r="AF831" s="1" t="s">
        <v>74</v>
      </c>
      <c r="AG831" s="1">
        <v>36</v>
      </c>
      <c r="AH831" s="1">
        <v>19</v>
      </c>
      <c r="AI831" s="1">
        <v>23</v>
      </c>
      <c r="AJ831" s="1">
        <v>1</v>
      </c>
      <c r="AK831" s="1">
        <v>14</v>
      </c>
      <c r="AL831" s="1" t="s">
        <v>408</v>
      </c>
      <c r="AM831" s="1" t="s">
        <v>409</v>
      </c>
      <c r="AN831" s="1" t="s">
        <v>1188</v>
      </c>
      <c r="AO831" s="1" t="s">
        <v>411</v>
      </c>
      <c r="AP831" s="1" t="s">
        <v>6093</v>
      </c>
      <c r="AQ831" s="1" t="s">
        <v>74</v>
      </c>
      <c r="AR831" s="1" t="s">
        <v>412</v>
      </c>
      <c r="AS831" s="1" t="s">
        <v>413</v>
      </c>
      <c r="AT831" s="1" t="s">
        <v>197</v>
      </c>
      <c r="AU831" s="1">
        <v>2006</v>
      </c>
      <c r="AV831" s="1">
        <v>41</v>
      </c>
      <c r="AW831" s="1">
        <v>12</v>
      </c>
      <c r="AX831" s="1" t="s">
        <v>74</v>
      </c>
      <c r="AY831" s="1" t="s">
        <v>74</v>
      </c>
      <c r="AZ831" s="1" t="s">
        <v>74</v>
      </c>
      <c r="BA831" s="1" t="s">
        <v>74</v>
      </c>
      <c r="BB831" s="1">
        <v>2747</v>
      </c>
      <c r="BC831" s="1">
        <v>2775</v>
      </c>
      <c r="BD831" s="1" t="s">
        <v>74</v>
      </c>
      <c r="BE831" s="1" t="s">
        <v>14090</v>
      </c>
      <c r="BF831" s="1" t="str">
        <f>HYPERLINK("http://dx.doi.org/10.1080/10934520600966649","http://dx.doi.org/10.1080/10934520600966649")</f>
        <v>http://dx.doi.org/10.1080/10934520600966649</v>
      </c>
      <c r="BG831" s="1" t="s">
        <v>74</v>
      </c>
      <c r="BH831" s="1" t="s">
        <v>74</v>
      </c>
      <c r="BI831" s="1">
        <v>29</v>
      </c>
      <c r="BJ831" s="1" t="s">
        <v>415</v>
      </c>
      <c r="BK831" s="1" t="s">
        <v>96</v>
      </c>
      <c r="BL831" s="1" t="s">
        <v>416</v>
      </c>
      <c r="BM831" s="1" t="s">
        <v>14091</v>
      </c>
      <c r="BN831" s="1">
        <v>17114105</v>
      </c>
      <c r="BO831" s="1" t="s">
        <v>74</v>
      </c>
      <c r="BP831" s="1" t="s">
        <v>74</v>
      </c>
      <c r="BQ831" s="1" t="s">
        <v>74</v>
      </c>
      <c r="BR831" s="1" t="s">
        <v>98</v>
      </c>
      <c r="BS831" s="1" t="s">
        <v>14092</v>
      </c>
      <c r="BT831" s="1" t="str">
        <f>HYPERLINK("https%3A%2F%2Fwww.webofscience.com%2Fwos%2Fwoscc%2Ffull-record%2FWOS:000242141000006","View Full Record in Web of Science")</f>
        <v>View Full Record in Web of Science</v>
      </c>
    </row>
    <row r="832" spans="1:72">
      <c r="A832" s="1" t="s">
        <v>72</v>
      </c>
      <c r="B832" s="1" t="s">
        <v>14093</v>
      </c>
      <c r="C832" s="1" t="s">
        <v>74</v>
      </c>
      <c r="D832" s="1" t="s">
        <v>74</v>
      </c>
      <c r="E832" s="1" t="s">
        <v>74</v>
      </c>
      <c r="F832" s="1" t="s">
        <v>14094</v>
      </c>
      <c r="G832" s="1" t="s">
        <v>74</v>
      </c>
      <c r="H832" s="1" t="s">
        <v>74</v>
      </c>
      <c r="I832" s="1" t="s">
        <v>14095</v>
      </c>
      <c r="J832" s="1" t="s">
        <v>179</v>
      </c>
      <c r="K832" s="1" t="s">
        <v>74</v>
      </c>
      <c r="L832" s="1" t="s">
        <v>74</v>
      </c>
      <c r="M832" s="1" t="s">
        <v>78</v>
      </c>
      <c r="N832" s="1" t="s">
        <v>79</v>
      </c>
      <c r="O832" s="1" t="s">
        <v>74</v>
      </c>
      <c r="P832" s="1" t="s">
        <v>74</v>
      </c>
      <c r="Q832" s="1" t="s">
        <v>74</v>
      </c>
      <c r="R832" s="1" t="s">
        <v>74</v>
      </c>
      <c r="S832" s="1" t="s">
        <v>74</v>
      </c>
      <c r="T832" s="1" t="s">
        <v>14096</v>
      </c>
      <c r="U832" s="1" t="s">
        <v>14097</v>
      </c>
      <c r="V832" s="1" t="s">
        <v>14098</v>
      </c>
      <c r="W832" s="1" t="s">
        <v>14099</v>
      </c>
      <c r="X832" s="1" t="s">
        <v>14100</v>
      </c>
      <c r="Y832" s="1" t="s">
        <v>14101</v>
      </c>
      <c r="Z832" s="1" t="s">
        <v>8371</v>
      </c>
      <c r="AA832" s="1" t="s">
        <v>14102</v>
      </c>
      <c r="AB832" s="1" t="s">
        <v>14103</v>
      </c>
      <c r="AC832" s="1" t="s">
        <v>74</v>
      </c>
      <c r="AD832" s="1" t="s">
        <v>74</v>
      </c>
      <c r="AE832" s="1" t="s">
        <v>74</v>
      </c>
      <c r="AF832" s="1" t="s">
        <v>74</v>
      </c>
      <c r="AG832" s="1">
        <v>45</v>
      </c>
      <c r="AH832" s="1">
        <v>29</v>
      </c>
      <c r="AI832" s="1">
        <v>31</v>
      </c>
      <c r="AJ832" s="1">
        <v>1</v>
      </c>
      <c r="AK832" s="1">
        <v>26</v>
      </c>
      <c r="AL832" s="1" t="s">
        <v>112</v>
      </c>
      <c r="AM832" s="1" t="s">
        <v>191</v>
      </c>
      <c r="AN832" s="1" t="s">
        <v>192</v>
      </c>
      <c r="AO832" s="1" t="s">
        <v>193</v>
      </c>
      <c r="AP832" s="1" t="s">
        <v>194</v>
      </c>
      <c r="AQ832" s="1" t="s">
        <v>74</v>
      </c>
      <c r="AR832" s="1" t="s">
        <v>195</v>
      </c>
      <c r="AS832" s="1" t="s">
        <v>196</v>
      </c>
      <c r="AT832" s="1" t="s">
        <v>1223</v>
      </c>
      <c r="AU832" s="1">
        <v>2010</v>
      </c>
      <c r="AV832" s="1">
        <v>162</v>
      </c>
      <c r="AW832" s="1" t="s">
        <v>721</v>
      </c>
      <c r="AX832" s="1" t="s">
        <v>74</v>
      </c>
      <c r="AY832" s="1" t="s">
        <v>74</v>
      </c>
      <c r="AZ832" s="1" t="s">
        <v>74</v>
      </c>
      <c r="BA832" s="1" t="s">
        <v>74</v>
      </c>
      <c r="BB832" s="1">
        <v>407</v>
      </c>
      <c r="BC832" s="1">
        <v>415</v>
      </c>
      <c r="BD832" s="1" t="s">
        <v>74</v>
      </c>
      <c r="BE832" s="1" t="s">
        <v>14104</v>
      </c>
      <c r="BF832" s="1" t="str">
        <f>HYPERLINK("http://dx.doi.org/10.1007/s10661-009-0805-0","http://dx.doi.org/10.1007/s10661-009-0805-0")</f>
        <v>http://dx.doi.org/10.1007/s10661-009-0805-0</v>
      </c>
      <c r="BG832" s="1" t="s">
        <v>74</v>
      </c>
      <c r="BH832" s="1" t="s">
        <v>74</v>
      </c>
      <c r="BI832" s="1">
        <v>9</v>
      </c>
      <c r="BJ832" s="1" t="s">
        <v>144</v>
      </c>
      <c r="BK832" s="1" t="s">
        <v>96</v>
      </c>
      <c r="BL832" s="1" t="s">
        <v>145</v>
      </c>
      <c r="BM832" s="1" t="s">
        <v>14105</v>
      </c>
      <c r="BN832" s="1">
        <v>19238565</v>
      </c>
      <c r="BO832" s="1" t="s">
        <v>74</v>
      </c>
      <c r="BP832" s="1" t="s">
        <v>74</v>
      </c>
      <c r="BQ832" s="1" t="s">
        <v>74</v>
      </c>
      <c r="BR832" s="1" t="s">
        <v>98</v>
      </c>
      <c r="BS832" s="1" t="s">
        <v>14106</v>
      </c>
      <c r="BT832" s="1" t="str">
        <f>HYPERLINK("https%3A%2F%2Fwww.webofscience.com%2Fwos%2Fwoscc%2Ffull-record%2FWOS:000274331700035","View Full Record in Web of Science")</f>
        <v>View Full Record in Web of Science</v>
      </c>
    </row>
    <row r="833" spans="1:72">
      <c r="A833" s="1" t="s">
        <v>72</v>
      </c>
      <c r="B833" s="1" t="s">
        <v>14107</v>
      </c>
      <c r="C833" s="1" t="s">
        <v>74</v>
      </c>
      <c r="D833" s="1" t="s">
        <v>74</v>
      </c>
      <c r="E833" s="1" t="s">
        <v>74</v>
      </c>
      <c r="F833" s="1" t="s">
        <v>14108</v>
      </c>
      <c r="G833" s="1" t="s">
        <v>74</v>
      </c>
      <c r="H833" s="1" t="s">
        <v>74</v>
      </c>
      <c r="I833" s="1" t="s">
        <v>14109</v>
      </c>
      <c r="J833" s="1" t="s">
        <v>641</v>
      </c>
      <c r="K833" s="1" t="s">
        <v>74</v>
      </c>
      <c r="L833" s="1" t="s">
        <v>74</v>
      </c>
      <c r="M833" s="1" t="s">
        <v>78</v>
      </c>
      <c r="N833" s="1" t="s">
        <v>79</v>
      </c>
      <c r="O833" s="1" t="s">
        <v>74</v>
      </c>
      <c r="P833" s="1" t="s">
        <v>74</v>
      </c>
      <c r="Q833" s="1" t="s">
        <v>74</v>
      </c>
      <c r="R833" s="1" t="s">
        <v>74</v>
      </c>
      <c r="S833" s="1" t="s">
        <v>74</v>
      </c>
      <c r="T833" s="1" t="s">
        <v>14110</v>
      </c>
      <c r="U833" s="1" t="s">
        <v>14111</v>
      </c>
      <c r="V833" s="1" t="s">
        <v>14112</v>
      </c>
      <c r="W833" s="1" t="s">
        <v>14113</v>
      </c>
      <c r="X833" s="1" t="s">
        <v>14114</v>
      </c>
      <c r="Y833" s="1" t="s">
        <v>14115</v>
      </c>
      <c r="Z833" s="1" t="s">
        <v>5489</v>
      </c>
      <c r="AA833" s="1" t="s">
        <v>14116</v>
      </c>
      <c r="AB833" s="1" t="s">
        <v>14117</v>
      </c>
      <c r="AC833" s="1" t="s">
        <v>14118</v>
      </c>
      <c r="AD833" s="1" t="s">
        <v>14119</v>
      </c>
      <c r="AE833" s="1" t="s">
        <v>14120</v>
      </c>
      <c r="AF833" s="1" t="s">
        <v>74</v>
      </c>
      <c r="AG833" s="1">
        <v>89</v>
      </c>
      <c r="AH833" s="1">
        <v>51</v>
      </c>
      <c r="AI833" s="1">
        <v>57</v>
      </c>
      <c r="AJ833" s="1">
        <v>2</v>
      </c>
      <c r="AK833" s="1">
        <v>77</v>
      </c>
      <c r="AL833" s="1" t="s">
        <v>919</v>
      </c>
      <c r="AM833" s="1" t="s">
        <v>651</v>
      </c>
      <c r="AN833" s="1" t="s">
        <v>920</v>
      </c>
      <c r="AO833" s="1" t="s">
        <v>653</v>
      </c>
      <c r="AP833" s="1" t="s">
        <v>654</v>
      </c>
      <c r="AQ833" s="1" t="s">
        <v>74</v>
      </c>
      <c r="AR833" s="1" t="s">
        <v>655</v>
      </c>
      <c r="AS833" s="1" t="s">
        <v>656</v>
      </c>
      <c r="AT833" s="1" t="s">
        <v>170</v>
      </c>
      <c r="AU833" s="1">
        <v>2015</v>
      </c>
      <c r="AV833" s="1">
        <v>162</v>
      </c>
      <c r="AW833" s="1" t="s">
        <v>74</v>
      </c>
      <c r="AX833" s="1" t="s">
        <v>74</v>
      </c>
      <c r="AY833" s="1" t="s">
        <v>74</v>
      </c>
      <c r="AZ833" s="1" t="s">
        <v>74</v>
      </c>
      <c r="BA833" s="1" t="s">
        <v>74</v>
      </c>
      <c r="BB833" s="1">
        <v>82</v>
      </c>
      <c r="BC833" s="1">
        <v>93</v>
      </c>
      <c r="BD833" s="1" t="s">
        <v>74</v>
      </c>
      <c r="BE833" s="1" t="s">
        <v>14121</v>
      </c>
      <c r="BF833" s="1" t="str">
        <f>HYPERLINK("http://dx.doi.org/10.1016/j.aquatox.2015.03.006","http://dx.doi.org/10.1016/j.aquatox.2015.03.006")</f>
        <v>http://dx.doi.org/10.1016/j.aquatox.2015.03.006</v>
      </c>
      <c r="BG833" s="1" t="s">
        <v>74</v>
      </c>
      <c r="BH833" s="1" t="s">
        <v>74</v>
      </c>
      <c r="BI833" s="1">
        <v>12</v>
      </c>
      <c r="BJ833" s="1" t="s">
        <v>659</v>
      </c>
      <c r="BK833" s="1" t="s">
        <v>96</v>
      </c>
      <c r="BL833" s="1" t="s">
        <v>659</v>
      </c>
      <c r="BM833" s="1" t="s">
        <v>14122</v>
      </c>
      <c r="BN833" s="1">
        <v>25781395</v>
      </c>
      <c r="BO833" s="1" t="s">
        <v>74</v>
      </c>
      <c r="BP833" s="1" t="s">
        <v>74</v>
      </c>
      <c r="BQ833" s="1" t="s">
        <v>74</v>
      </c>
      <c r="BR833" s="1" t="s">
        <v>98</v>
      </c>
      <c r="BS833" s="1" t="s">
        <v>14123</v>
      </c>
      <c r="BT833" s="1" t="str">
        <f>HYPERLINK("https%3A%2F%2Fwww.webofscience.com%2Fwos%2Fwoscc%2Ffull-record%2FWOS:000353860700010","View Full Record in Web of Science")</f>
        <v>View Full Record in Web of Science</v>
      </c>
    </row>
    <row r="834" spans="1:72">
      <c r="A834" s="1" t="s">
        <v>72</v>
      </c>
      <c r="B834" s="1" t="s">
        <v>14124</v>
      </c>
      <c r="C834" s="1" t="s">
        <v>74</v>
      </c>
      <c r="D834" s="1" t="s">
        <v>74</v>
      </c>
      <c r="E834" s="1" t="s">
        <v>74</v>
      </c>
      <c r="F834" s="1" t="s">
        <v>14124</v>
      </c>
      <c r="G834" s="1" t="s">
        <v>74</v>
      </c>
      <c r="H834" s="1" t="s">
        <v>74</v>
      </c>
      <c r="I834" s="1" t="s">
        <v>14125</v>
      </c>
      <c r="J834" s="1" t="s">
        <v>232</v>
      </c>
      <c r="K834" s="1" t="s">
        <v>74</v>
      </c>
      <c r="L834" s="1" t="s">
        <v>74</v>
      </c>
      <c r="M834" s="1" t="s">
        <v>78</v>
      </c>
      <c r="N834" s="1" t="s">
        <v>151</v>
      </c>
      <c r="O834" s="1" t="s">
        <v>9266</v>
      </c>
      <c r="P834" s="1" t="s">
        <v>9267</v>
      </c>
      <c r="Q834" s="1" t="s">
        <v>9268</v>
      </c>
      <c r="R834" s="1" t="s">
        <v>74</v>
      </c>
      <c r="S834" s="1" t="s">
        <v>74</v>
      </c>
      <c r="T834" s="1" t="s">
        <v>14126</v>
      </c>
      <c r="U834" s="1" t="s">
        <v>14127</v>
      </c>
      <c r="V834" s="1" t="s">
        <v>14128</v>
      </c>
      <c r="W834" s="1" t="s">
        <v>14129</v>
      </c>
      <c r="X834" s="1" t="s">
        <v>13808</v>
      </c>
      <c r="Y834" s="1" t="s">
        <v>14130</v>
      </c>
      <c r="Z834" s="1" t="s">
        <v>14131</v>
      </c>
      <c r="AA834" s="1" t="s">
        <v>13811</v>
      </c>
      <c r="AB834" s="1" t="s">
        <v>13812</v>
      </c>
      <c r="AC834" s="1" t="s">
        <v>74</v>
      </c>
      <c r="AD834" s="1" t="s">
        <v>74</v>
      </c>
      <c r="AE834" s="1" t="s">
        <v>74</v>
      </c>
      <c r="AF834" s="1" t="s">
        <v>74</v>
      </c>
      <c r="AG834" s="1">
        <v>66</v>
      </c>
      <c r="AH834" s="1">
        <v>46</v>
      </c>
      <c r="AI834" s="1">
        <v>52</v>
      </c>
      <c r="AJ834" s="1">
        <v>0</v>
      </c>
      <c r="AK834" s="1">
        <v>6</v>
      </c>
      <c r="AL834" s="1" t="s">
        <v>136</v>
      </c>
      <c r="AM834" s="1" t="s">
        <v>137</v>
      </c>
      <c r="AN834" s="1" t="s">
        <v>138</v>
      </c>
      <c r="AO834" s="1" t="s">
        <v>240</v>
      </c>
      <c r="AP834" s="1" t="s">
        <v>241</v>
      </c>
      <c r="AQ834" s="1" t="s">
        <v>74</v>
      </c>
      <c r="AR834" s="1" t="s">
        <v>242</v>
      </c>
      <c r="AS834" s="1" t="s">
        <v>243</v>
      </c>
      <c r="AT834" s="1" t="s">
        <v>74</v>
      </c>
      <c r="AU834" s="1">
        <v>2002</v>
      </c>
      <c r="AV834" s="1">
        <v>45</v>
      </c>
      <c r="AW834" s="1" t="s">
        <v>9275</v>
      </c>
      <c r="AX834" s="1" t="s">
        <v>74</v>
      </c>
      <c r="AY834" s="1" t="s">
        <v>74</v>
      </c>
      <c r="AZ834" s="1" t="s">
        <v>225</v>
      </c>
      <c r="BA834" s="1" t="s">
        <v>74</v>
      </c>
      <c r="BB834" s="1">
        <v>114</v>
      </c>
      <c r="BC834" s="1">
        <v>125</v>
      </c>
      <c r="BD834" s="1" t="s">
        <v>14132</v>
      </c>
      <c r="BE834" s="1" t="s">
        <v>14133</v>
      </c>
      <c r="BF834" s="1" t="str">
        <f>HYPERLINK("http://dx.doi.org/10.1016/S0025-326X(01)00325-3","http://dx.doi.org/10.1016/S0025-326X(01)00325-3")</f>
        <v>http://dx.doi.org/10.1016/S0025-326X(01)00325-3</v>
      </c>
      <c r="BG834" s="1" t="s">
        <v>74</v>
      </c>
      <c r="BH834" s="1" t="s">
        <v>74</v>
      </c>
      <c r="BI834" s="1">
        <v>12</v>
      </c>
      <c r="BJ834" s="1" t="s">
        <v>247</v>
      </c>
      <c r="BK834" s="1" t="s">
        <v>172</v>
      </c>
      <c r="BL834" s="1" t="s">
        <v>248</v>
      </c>
      <c r="BM834" s="1" t="s">
        <v>9277</v>
      </c>
      <c r="BN834" s="1">
        <v>12398375</v>
      </c>
      <c r="BO834" s="1" t="s">
        <v>74</v>
      </c>
      <c r="BP834" s="1" t="s">
        <v>74</v>
      </c>
      <c r="BQ834" s="1" t="s">
        <v>74</v>
      </c>
      <c r="BR834" s="1" t="s">
        <v>98</v>
      </c>
      <c r="BS834" s="1" t="s">
        <v>14134</v>
      </c>
      <c r="BT834" s="1" t="str">
        <f>HYPERLINK("https%3A%2F%2Fwww.webofscience.com%2Fwos%2Fwoscc%2Ffull-record%2FWOS:000178336300015","View Full Record in Web of Science")</f>
        <v>View Full Record in Web of Science</v>
      </c>
    </row>
    <row r="835" spans="1:72">
      <c r="A835" s="1" t="s">
        <v>72</v>
      </c>
      <c r="B835" s="1" t="s">
        <v>14135</v>
      </c>
      <c r="C835" s="1" t="s">
        <v>74</v>
      </c>
      <c r="D835" s="1" t="s">
        <v>74</v>
      </c>
      <c r="E835" s="1" t="s">
        <v>74</v>
      </c>
      <c r="F835" s="1" t="s">
        <v>14136</v>
      </c>
      <c r="G835" s="1" t="s">
        <v>74</v>
      </c>
      <c r="H835" s="1" t="s">
        <v>74</v>
      </c>
      <c r="I835" s="1" t="s">
        <v>14137</v>
      </c>
      <c r="J835" s="1" t="s">
        <v>14138</v>
      </c>
      <c r="K835" s="1" t="s">
        <v>74</v>
      </c>
      <c r="L835" s="1" t="s">
        <v>74</v>
      </c>
      <c r="M835" s="1" t="s">
        <v>78</v>
      </c>
      <c r="N835" s="1" t="s">
        <v>79</v>
      </c>
      <c r="O835" s="1" t="s">
        <v>74</v>
      </c>
      <c r="P835" s="1" t="s">
        <v>74</v>
      </c>
      <c r="Q835" s="1" t="s">
        <v>74</v>
      </c>
      <c r="R835" s="1" t="s">
        <v>74</v>
      </c>
      <c r="S835" s="1" t="s">
        <v>74</v>
      </c>
      <c r="T835" s="1" t="s">
        <v>14139</v>
      </c>
      <c r="U835" s="1" t="s">
        <v>14140</v>
      </c>
      <c r="V835" s="1" t="s">
        <v>14141</v>
      </c>
      <c r="W835" s="1" t="s">
        <v>14142</v>
      </c>
      <c r="X835" s="1" t="s">
        <v>14143</v>
      </c>
      <c r="Y835" s="1" t="s">
        <v>14144</v>
      </c>
      <c r="Z835" s="1" t="s">
        <v>14145</v>
      </c>
      <c r="AA835" s="1" t="s">
        <v>14146</v>
      </c>
      <c r="AB835" s="1" t="s">
        <v>14147</v>
      </c>
      <c r="AC835" s="1" t="s">
        <v>14148</v>
      </c>
      <c r="AD835" s="1" t="s">
        <v>14149</v>
      </c>
      <c r="AE835" s="1" t="s">
        <v>14150</v>
      </c>
      <c r="AF835" s="1" t="s">
        <v>74</v>
      </c>
      <c r="AG835" s="1">
        <v>24</v>
      </c>
      <c r="AH835" s="1">
        <v>23</v>
      </c>
      <c r="AI835" s="1">
        <v>25</v>
      </c>
      <c r="AJ835" s="1">
        <v>0</v>
      </c>
      <c r="AK835" s="1">
        <v>57</v>
      </c>
      <c r="AL835" s="1" t="s">
        <v>86</v>
      </c>
      <c r="AM835" s="1" t="s">
        <v>87</v>
      </c>
      <c r="AN835" s="1" t="s">
        <v>88</v>
      </c>
      <c r="AO835" s="1" t="s">
        <v>14151</v>
      </c>
      <c r="AP835" s="1" t="s">
        <v>14152</v>
      </c>
      <c r="AQ835" s="1" t="s">
        <v>74</v>
      </c>
      <c r="AR835" s="1" t="s">
        <v>14138</v>
      </c>
      <c r="AS835" s="1" t="s">
        <v>14153</v>
      </c>
      <c r="AT835" s="1" t="s">
        <v>170</v>
      </c>
      <c r="AU835" s="1">
        <v>2014</v>
      </c>
      <c r="AV835" s="1">
        <v>35</v>
      </c>
      <c r="AW835" s="1">
        <v>9</v>
      </c>
      <c r="AX835" s="1" t="s">
        <v>74</v>
      </c>
      <c r="AY835" s="1" t="s">
        <v>74</v>
      </c>
      <c r="AZ835" s="1" t="s">
        <v>225</v>
      </c>
      <c r="BA835" s="1" t="s">
        <v>74</v>
      </c>
      <c r="BB835" s="1">
        <v>1346</v>
      </c>
      <c r="BC835" s="1">
        <v>1352</v>
      </c>
      <c r="BD835" s="1" t="s">
        <v>74</v>
      </c>
      <c r="BE835" s="1" t="s">
        <v>14154</v>
      </c>
      <c r="BF835" s="1" t="str">
        <f>HYPERLINK("http://dx.doi.org/10.1002/elps.201300410","http://dx.doi.org/10.1002/elps.201300410")</f>
        <v>http://dx.doi.org/10.1002/elps.201300410</v>
      </c>
      <c r="BG835" s="1" t="s">
        <v>74</v>
      </c>
      <c r="BH835" s="1" t="s">
        <v>74</v>
      </c>
      <c r="BI835" s="1">
        <v>7</v>
      </c>
      <c r="BJ835" s="1" t="s">
        <v>14155</v>
      </c>
      <c r="BK835" s="1" t="s">
        <v>96</v>
      </c>
      <c r="BL835" s="1" t="s">
        <v>2153</v>
      </c>
      <c r="BM835" s="1" t="s">
        <v>14156</v>
      </c>
      <c r="BN835" s="1">
        <v>24272447</v>
      </c>
      <c r="BO835" s="1" t="s">
        <v>74</v>
      </c>
      <c r="BP835" s="1" t="s">
        <v>74</v>
      </c>
      <c r="BQ835" s="1" t="s">
        <v>74</v>
      </c>
      <c r="BR835" s="1" t="s">
        <v>98</v>
      </c>
      <c r="BS835" s="1" t="s">
        <v>14157</v>
      </c>
      <c r="BT835" s="1" t="str">
        <f>HYPERLINK("https%3A%2F%2Fwww.webofscience.com%2Fwos%2Fwoscc%2Ffull-record%2FWOS:000334786600017","View Full Record in Web of Science")</f>
        <v>View Full Record in Web of Science</v>
      </c>
    </row>
    <row r="836" spans="1:72">
      <c r="A836" s="1" t="s">
        <v>72</v>
      </c>
      <c r="B836" s="1" t="s">
        <v>14158</v>
      </c>
      <c r="C836" s="1" t="s">
        <v>74</v>
      </c>
      <c r="D836" s="1" t="s">
        <v>74</v>
      </c>
      <c r="E836" s="1" t="s">
        <v>74</v>
      </c>
      <c r="F836" s="1" t="s">
        <v>14159</v>
      </c>
      <c r="G836" s="1" t="s">
        <v>74</v>
      </c>
      <c r="H836" s="1" t="s">
        <v>74</v>
      </c>
      <c r="I836" s="1" t="s">
        <v>14160</v>
      </c>
      <c r="J836" s="1" t="s">
        <v>14161</v>
      </c>
      <c r="K836" s="1" t="s">
        <v>74</v>
      </c>
      <c r="L836" s="1" t="s">
        <v>74</v>
      </c>
      <c r="M836" s="1" t="s">
        <v>78</v>
      </c>
      <c r="N836" s="1" t="s">
        <v>79</v>
      </c>
      <c r="O836" s="1" t="s">
        <v>74</v>
      </c>
      <c r="P836" s="1" t="s">
        <v>74</v>
      </c>
      <c r="Q836" s="1" t="s">
        <v>74</v>
      </c>
      <c r="R836" s="1" t="s">
        <v>74</v>
      </c>
      <c r="S836" s="1" t="s">
        <v>74</v>
      </c>
      <c r="T836" s="1" t="s">
        <v>14162</v>
      </c>
      <c r="U836" s="1" t="s">
        <v>14163</v>
      </c>
      <c r="V836" s="1" t="s">
        <v>14164</v>
      </c>
      <c r="W836" s="1" t="s">
        <v>14165</v>
      </c>
      <c r="X836" s="1" t="s">
        <v>14166</v>
      </c>
      <c r="Y836" s="1" t="s">
        <v>14167</v>
      </c>
      <c r="Z836" s="1" t="s">
        <v>14168</v>
      </c>
      <c r="AA836" s="1" t="s">
        <v>14169</v>
      </c>
      <c r="AB836" s="1" t="s">
        <v>14170</v>
      </c>
      <c r="AC836" s="1" t="s">
        <v>74</v>
      </c>
      <c r="AD836" s="1" t="s">
        <v>74</v>
      </c>
      <c r="AE836" s="1" t="s">
        <v>74</v>
      </c>
      <c r="AF836" s="1" t="s">
        <v>74</v>
      </c>
      <c r="AG836" s="1">
        <v>39</v>
      </c>
      <c r="AH836" s="1">
        <v>0</v>
      </c>
      <c r="AI836" s="1">
        <v>0</v>
      </c>
      <c r="AJ836" s="1">
        <v>3</v>
      </c>
      <c r="AK836" s="1">
        <v>14</v>
      </c>
      <c r="AL836" s="1" t="s">
        <v>3108</v>
      </c>
      <c r="AM836" s="1" t="s">
        <v>3109</v>
      </c>
      <c r="AN836" s="1" t="s">
        <v>3110</v>
      </c>
      <c r="AO836" s="1" t="s">
        <v>14171</v>
      </c>
      <c r="AP836" s="1" t="s">
        <v>14172</v>
      </c>
      <c r="AQ836" s="1" t="s">
        <v>74</v>
      </c>
      <c r="AR836" s="1" t="s">
        <v>14173</v>
      </c>
      <c r="AS836" s="1" t="s">
        <v>14174</v>
      </c>
      <c r="AT836" s="1" t="s">
        <v>74</v>
      </c>
      <c r="AU836" s="1">
        <v>2017</v>
      </c>
      <c r="AV836" s="1">
        <v>44</v>
      </c>
      <c r="AW836" s="1">
        <v>12</v>
      </c>
      <c r="AX836" s="1" t="s">
        <v>74</v>
      </c>
      <c r="AY836" s="1" t="s">
        <v>74</v>
      </c>
      <c r="AZ836" s="1" t="s">
        <v>74</v>
      </c>
      <c r="BA836" s="1" t="s">
        <v>74</v>
      </c>
      <c r="BB836" s="1">
        <v>1171</v>
      </c>
      <c r="BC836" s="1">
        <v>1177</v>
      </c>
      <c r="BD836" s="1" t="s">
        <v>74</v>
      </c>
      <c r="BE836" s="1" t="s">
        <v>14175</v>
      </c>
      <c r="BF836" s="1" t="str">
        <f>HYPERLINK("http://dx.doi.org/10.1071/FP17033","http://dx.doi.org/10.1071/FP17033")</f>
        <v>http://dx.doi.org/10.1071/FP17033</v>
      </c>
      <c r="BG836" s="1" t="s">
        <v>74</v>
      </c>
      <c r="BH836" s="1" t="s">
        <v>74</v>
      </c>
      <c r="BI836" s="1">
        <v>7</v>
      </c>
      <c r="BJ836" s="1" t="s">
        <v>14176</v>
      </c>
      <c r="BK836" s="1" t="s">
        <v>96</v>
      </c>
      <c r="BL836" s="1" t="s">
        <v>14176</v>
      </c>
      <c r="BM836" s="1" t="s">
        <v>14177</v>
      </c>
      <c r="BN836" s="1">
        <v>32480642</v>
      </c>
      <c r="BO836" s="1" t="s">
        <v>74</v>
      </c>
      <c r="BP836" s="1" t="s">
        <v>74</v>
      </c>
      <c r="BQ836" s="1" t="s">
        <v>74</v>
      </c>
      <c r="BR836" s="1" t="s">
        <v>98</v>
      </c>
      <c r="BS836" s="1" t="s">
        <v>14178</v>
      </c>
      <c r="BT836" s="1" t="str">
        <f>HYPERLINK("https%3A%2F%2Fwww.webofscience.com%2Fwos%2Fwoscc%2Ffull-record%2FWOS:000414666800003","View Full Record in Web of Science")</f>
        <v>View Full Record in Web of Science</v>
      </c>
    </row>
    <row r="837" spans="1:72">
      <c r="A837" s="1" t="s">
        <v>72</v>
      </c>
      <c r="B837" s="1" t="s">
        <v>14179</v>
      </c>
      <c r="C837" s="1" t="s">
        <v>74</v>
      </c>
      <c r="D837" s="1" t="s">
        <v>74</v>
      </c>
      <c r="E837" s="1" t="s">
        <v>74</v>
      </c>
      <c r="F837" s="1" t="s">
        <v>14179</v>
      </c>
      <c r="G837" s="1" t="s">
        <v>74</v>
      </c>
      <c r="H837" s="1" t="s">
        <v>74</v>
      </c>
      <c r="I837" s="1" t="s">
        <v>14180</v>
      </c>
      <c r="J837" s="1" t="s">
        <v>576</v>
      </c>
      <c r="K837" s="1" t="s">
        <v>74</v>
      </c>
      <c r="L837" s="1" t="s">
        <v>74</v>
      </c>
      <c r="M837" s="1" t="s">
        <v>78</v>
      </c>
      <c r="N837" s="1" t="s">
        <v>151</v>
      </c>
      <c r="O837" s="1" t="s">
        <v>14181</v>
      </c>
      <c r="P837" s="1" t="s">
        <v>14182</v>
      </c>
      <c r="Q837" s="1" t="s">
        <v>14183</v>
      </c>
      <c r="R837" s="1" t="s">
        <v>74</v>
      </c>
      <c r="S837" s="1" t="s">
        <v>74</v>
      </c>
      <c r="T837" s="1" t="s">
        <v>14184</v>
      </c>
      <c r="U837" s="1" t="s">
        <v>74</v>
      </c>
      <c r="V837" s="1" t="s">
        <v>14185</v>
      </c>
      <c r="W837" s="1" t="s">
        <v>14186</v>
      </c>
      <c r="X837" s="1" t="s">
        <v>74</v>
      </c>
      <c r="Y837" s="1" t="s">
        <v>14187</v>
      </c>
      <c r="Z837" s="1" t="s">
        <v>74</v>
      </c>
      <c r="AA837" s="1" t="s">
        <v>74</v>
      </c>
      <c r="AB837" s="1" t="s">
        <v>74</v>
      </c>
      <c r="AC837" s="1" t="s">
        <v>74</v>
      </c>
      <c r="AD837" s="1" t="s">
        <v>74</v>
      </c>
      <c r="AE837" s="1" t="s">
        <v>74</v>
      </c>
      <c r="AF837" s="1" t="s">
        <v>74</v>
      </c>
      <c r="AG837" s="1">
        <v>16</v>
      </c>
      <c r="AH837" s="1">
        <v>3</v>
      </c>
      <c r="AI837" s="1">
        <v>3</v>
      </c>
      <c r="AJ837" s="1">
        <v>0</v>
      </c>
      <c r="AK837" s="1">
        <v>0</v>
      </c>
      <c r="AL837" s="1" t="s">
        <v>136</v>
      </c>
      <c r="AM837" s="1" t="s">
        <v>137</v>
      </c>
      <c r="AN837" s="1" t="s">
        <v>583</v>
      </c>
      <c r="AO837" s="1" t="s">
        <v>584</v>
      </c>
      <c r="AP837" s="1" t="s">
        <v>74</v>
      </c>
      <c r="AQ837" s="1" t="s">
        <v>74</v>
      </c>
      <c r="AR837" s="1" t="s">
        <v>585</v>
      </c>
      <c r="AS837" s="1" t="s">
        <v>586</v>
      </c>
      <c r="AT837" s="1" t="s">
        <v>74</v>
      </c>
      <c r="AU837" s="1">
        <v>1995</v>
      </c>
      <c r="AV837" s="1">
        <v>32</v>
      </c>
      <c r="AW837" s="1" t="s">
        <v>14188</v>
      </c>
      <c r="AX837" s="1" t="s">
        <v>74</v>
      </c>
      <c r="AY837" s="1" t="s">
        <v>74</v>
      </c>
      <c r="AZ837" s="1" t="s">
        <v>74</v>
      </c>
      <c r="BA837" s="1" t="s">
        <v>74</v>
      </c>
      <c r="BB837" s="1">
        <v>141</v>
      </c>
      <c r="BC837" s="1">
        <v>150</v>
      </c>
      <c r="BD837" s="1" t="s">
        <v>74</v>
      </c>
      <c r="BE837" s="1" t="s">
        <v>14189</v>
      </c>
      <c r="BF837" s="1" t="str">
        <f>HYPERLINK("http://dx.doi.org/10.2166/wst.1995.0679","http://dx.doi.org/10.2166/wst.1995.0679")</f>
        <v>http://dx.doi.org/10.2166/wst.1995.0679</v>
      </c>
      <c r="BG837" s="1" t="s">
        <v>74</v>
      </c>
      <c r="BH837" s="1" t="s">
        <v>74</v>
      </c>
      <c r="BI837" s="1">
        <v>10</v>
      </c>
      <c r="BJ837" s="1" t="s">
        <v>587</v>
      </c>
      <c r="BK837" s="1" t="s">
        <v>588</v>
      </c>
      <c r="BL837" s="1" t="s">
        <v>589</v>
      </c>
      <c r="BM837" s="1" t="s">
        <v>14190</v>
      </c>
      <c r="BN837" s="1" t="s">
        <v>74</v>
      </c>
      <c r="BO837" s="1" t="s">
        <v>74</v>
      </c>
      <c r="BP837" s="1" t="s">
        <v>74</v>
      </c>
      <c r="BQ837" s="1" t="s">
        <v>74</v>
      </c>
      <c r="BR837" s="1" t="s">
        <v>98</v>
      </c>
      <c r="BS837" s="1" t="s">
        <v>14191</v>
      </c>
      <c r="BT837" s="1" t="str">
        <f>HYPERLINK("https%3A%2F%2Fwww.webofscience.com%2Fwos%2Fwoscc%2Ffull-record%2FWOS:A1995UC24000018","View Full Record in Web of Science")</f>
        <v>View Full Record in Web of Science</v>
      </c>
    </row>
    <row r="838" spans="1:72">
      <c r="A838" s="1" t="s">
        <v>72</v>
      </c>
      <c r="B838" s="1" t="s">
        <v>14192</v>
      </c>
      <c r="C838" s="1" t="s">
        <v>74</v>
      </c>
      <c r="D838" s="1" t="s">
        <v>74</v>
      </c>
      <c r="E838" s="1" t="s">
        <v>74</v>
      </c>
      <c r="F838" s="1" t="s">
        <v>14192</v>
      </c>
      <c r="G838" s="1" t="s">
        <v>74</v>
      </c>
      <c r="H838" s="1" t="s">
        <v>74</v>
      </c>
      <c r="I838" s="1" t="s">
        <v>14193</v>
      </c>
      <c r="J838" s="1" t="s">
        <v>232</v>
      </c>
      <c r="K838" s="1" t="s">
        <v>74</v>
      </c>
      <c r="L838" s="1" t="s">
        <v>74</v>
      </c>
      <c r="M838" s="1" t="s">
        <v>78</v>
      </c>
      <c r="N838" s="1" t="s">
        <v>79</v>
      </c>
      <c r="O838" s="1" t="s">
        <v>74</v>
      </c>
      <c r="P838" s="1" t="s">
        <v>74</v>
      </c>
      <c r="Q838" s="1" t="s">
        <v>74</v>
      </c>
      <c r="R838" s="1" t="s">
        <v>74</v>
      </c>
      <c r="S838" s="1" t="s">
        <v>74</v>
      </c>
      <c r="T838" s="1" t="s">
        <v>74</v>
      </c>
      <c r="U838" s="1" t="s">
        <v>74</v>
      </c>
      <c r="V838" s="1" t="s">
        <v>14194</v>
      </c>
      <c r="W838" s="1" t="s">
        <v>74</v>
      </c>
      <c r="X838" s="1" t="s">
        <v>74</v>
      </c>
      <c r="Y838" s="1" t="s">
        <v>14195</v>
      </c>
      <c r="Z838" s="1" t="s">
        <v>74</v>
      </c>
      <c r="AA838" s="1" t="s">
        <v>14196</v>
      </c>
      <c r="AB838" s="1" t="s">
        <v>14197</v>
      </c>
      <c r="AC838" s="1" t="s">
        <v>74</v>
      </c>
      <c r="AD838" s="1" t="s">
        <v>74</v>
      </c>
      <c r="AE838" s="1" t="s">
        <v>74</v>
      </c>
      <c r="AF838" s="1" t="s">
        <v>74</v>
      </c>
      <c r="AG838" s="1">
        <v>6</v>
      </c>
      <c r="AH838" s="1">
        <v>33</v>
      </c>
      <c r="AI838" s="1">
        <v>33</v>
      </c>
      <c r="AJ838" s="1">
        <v>0</v>
      </c>
      <c r="AK838" s="1">
        <v>10</v>
      </c>
      <c r="AL838" s="1" t="s">
        <v>136</v>
      </c>
      <c r="AM838" s="1" t="s">
        <v>137</v>
      </c>
      <c r="AN838" s="1" t="s">
        <v>138</v>
      </c>
      <c r="AO838" s="1" t="s">
        <v>240</v>
      </c>
      <c r="AP838" s="1" t="s">
        <v>241</v>
      </c>
      <c r="AQ838" s="1" t="s">
        <v>74</v>
      </c>
      <c r="AR838" s="1" t="s">
        <v>242</v>
      </c>
      <c r="AS838" s="1" t="s">
        <v>243</v>
      </c>
      <c r="AT838" s="1" t="s">
        <v>142</v>
      </c>
      <c r="AU838" s="1">
        <v>1986</v>
      </c>
      <c r="AV838" s="1">
        <v>17</v>
      </c>
      <c r="AW838" s="1">
        <v>6</v>
      </c>
      <c r="AX838" s="1" t="s">
        <v>74</v>
      </c>
      <c r="AY838" s="1" t="s">
        <v>74</v>
      </c>
      <c r="AZ838" s="1" t="s">
        <v>74</v>
      </c>
      <c r="BA838" s="1" t="s">
        <v>74</v>
      </c>
      <c r="BB838" s="1">
        <v>255</v>
      </c>
      <c r="BC838" s="1">
        <v>257</v>
      </c>
      <c r="BD838" s="1" t="s">
        <v>74</v>
      </c>
      <c r="BE838" s="1" t="s">
        <v>74</v>
      </c>
      <c r="BF838" s="1" t="s">
        <v>74</v>
      </c>
      <c r="BG838" s="1" t="s">
        <v>74</v>
      </c>
      <c r="BH838" s="1" t="s">
        <v>74</v>
      </c>
      <c r="BI838" s="1">
        <v>3</v>
      </c>
      <c r="BJ838" s="1" t="s">
        <v>247</v>
      </c>
      <c r="BK838" s="1" t="s">
        <v>96</v>
      </c>
      <c r="BL838" s="1" t="s">
        <v>248</v>
      </c>
      <c r="BM838" s="1" t="s">
        <v>14198</v>
      </c>
      <c r="BN838" s="1" t="s">
        <v>74</v>
      </c>
      <c r="BO838" s="1" t="s">
        <v>74</v>
      </c>
      <c r="BP838" s="1" t="s">
        <v>74</v>
      </c>
      <c r="BQ838" s="1" t="s">
        <v>74</v>
      </c>
      <c r="BR838" s="1" t="s">
        <v>98</v>
      </c>
      <c r="BS838" s="1" t="s">
        <v>14199</v>
      </c>
      <c r="BT838" s="1" t="str">
        <f>HYPERLINK("https%3A%2F%2Fwww.webofscience.com%2Fwos%2Fwoscc%2Ffull-record%2FWOS:A1986D370200005","View Full Record in Web of Science")</f>
        <v>View Full Record in Web of Science</v>
      </c>
    </row>
    <row r="839" spans="1:72">
      <c r="A839" s="1" t="s">
        <v>72</v>
      </c>
      <c r="B839" s="1" t="s">
        <v>14200</v>
      </c>
      <c r="C839" s="1" t="s">
        <v>74</v>
      </c>
      <c r="D839" s="1" t="s">
        <v>74</v>
      </c>
      <c r="E839" s="1" t="s">
        <v>74</v>
      </c>
      <c r="F839" s="1" t="s">
        <v>14200</v>
      </c>
      <c r="G839" s="1" t="s">
        <v>74</v>
      </c>
      <c r="H839" s="1" t="s">
        <v>74</v>
      </c>
      <c r="I839" s="1" t="s">
        <v>14201</v>
      </c>
      <c r="J839" s="1" t="s">
        <v>6630</v>
      </c>
      <c r="K839" s="1" t="s">
        <v>74</v>
      </c>
      <c r="L839" s="1" t="s">
        <v>74</v>
      </c>
      <c r="M839" s="1" t="s">
        <v>78</v>
      </c>
      <c r="N839" s="1" t="s">
        <v>79</v>
      </c>
      <c r="O839" s="1" t="s">
        <v>74</v>
      </c>
      <c r="P839" s="1" t="s">
        <v>74</v>
      </c>
      <c r="Q839" s="1" t="s">
        <v>74</v>
      </c>
      <c r="R839" s="1" t="s">
        <v>74</v>
      </c>
      <c r="S839" s="1" t="s">
        <v>74</v>
      </c>
      <c r="T839" s="1" t="s">
        <v>74</v>
      </c>
      <c r="U839" s="1" t="s">
        <v>14202</v>
      </c>
      <c r="V839" s="1" t="s">
        <v>14203</v>
      </c>
      <c r="W839" s="1" t="s">
        <v>14204</v>
      </c>
      <c r="X839" s="1" t="s">
        <v>14205</v>
      </c>
      <c r="Y839" s="1" t="s">
        <v>14206</v>
      </c>
      <c r="Z839" s="1" t="s">
        <v>14207</v>
      </c>
      <c r="AA839" s="1" t="s">
        <v>14208</v>
      </c>
      <c r="AB839" s="1" t="s">
        <v>8191</v>
      </c>
      <c r="AC839" s="1" t="s">
        <v>74</v>
      </c>
      <c r="AD839" s="1" t="s">
        <v>74</v>
      </c>
      <c r="AE839" s="1" t="s">
        <v>74</v>
      </c>
      <c r="AF839" s="1" t="s">
        <v>74</v>
      </c>
      <c r="AG839" s="1">
        <v>40</v>
      </c>
      <c r="AH839" s="1">
        <v>38</v>
      </c>
      <c r="AI839" s="1">
        <v>44</v>
      </c>
      <c r="AJ839" s="1">
        <v>0</v>
      </c>
      <c r="AK839" s="1">
        <v>49</v>
      </c>
      <c r="AL839" s="1" t="s">
        <v>408</v>
      </c>
      <c r="AM839" s="1" t="s">
        <v>409</v>
      </c>
      <c r="AN839" s="1" t="s">
        <v>1188</v>
      </c>
      <c r="AO839" s="1" t="s">
        <v>6642</v>
      </c>
      <c r="AP839" s="1" t="s">
        <v>6643</v>
      </c>
      <c r="AQ839" s="1" t="s">
        <v>74</v>
      </c>
      <c r="AR839" s="1" t="s">
        <v>6644</v>
      </c>
      <c r="AS839" s="1" t="s">
        <v>6645</v>
      </c>
      <c r="AT839" s="1" t="s">
        <v>14209</v>
      </c>
      <c r="AU839" s="1">
        <v>2005</v>
      </c>
      <c r="AV839" s="1">
        <v>68</v>
      </c>
      <c r="AW839" s="1">
        <v>3</v>
      </c>
      <c r="AX839" s="1" t="s">
        <v>74</v>
      </c>
      <c r="AY839" s="1" t="s">
        <v>74</v>
      </c>
      <c r="AZ839" s="1" t="s">
        <v>74</v>
      </c>
      <c r="BA839" s="1" t="s">
        <v>74</v>
      </c>
      <c r="BB839" s="1">
        <v>151</v>
      </c>
      <c r="BC839" s="1">
        <v>166</v>
      </c>
      <c r="BD839" s="1" t="s">
        <v>74</v>
      </c>
      <c r="BE839" s="1" t="s">
        <v>14210</v>
      </c>
      <c r="BF839" s="1" t="str">
        <f>HYPERLINK("http://dx.doi.org/10.1080/15287390590890437","http://dx.doi.org/10.1080/15287390590890437")</f>
        <v>http://dx.doi.org/10.1080/15287390590890437</v>
      </c>
      <c r="BG839" s="1" t="s">
        <v>74</v>
      </c>
      <c r="BH839" s="1" t="s">
        <v>74</v>
      </c>
      <c r="BI839" s="1">
        <v>16</v>
      </c>
      <c r="BJ839" s="1" t="s">
        <v>5162</v>
      </c>
      <c r="BK839" s="1" t="s">
        <v>96</v>
      </c>
      <c r="BL839" s="1" t="s">
        <v>5163</v>
      </c>
      <c r="BM839" s="1" t="s">
        <v>14211</v>
      </c>
      <c r="BN839" s="1">
        <v>15762177</v>
      </c>
      <c r="BO839" s="1" t="s">
        <v>74</v>
      </c>
      <c r="BP839" s="1" t="s">
        <v>74</v>
      </c>
      <c r="BQ839" s="1" t="s">
        <v>74</v>
      </c>
      <c r="BR839" s="1" t="s">
        <v>98</v>
      </c>
      <c r="BS839" s="1" t="s">
        <v>14212</v>
      </c>
      <c r="BT839" s="1" t="str">
        <f>HYPERLINK("https%3A%2F%2Fwww.webofscience.com%2Fwos%2Fwoscc%2Ffull-record%2FWOS:000226271200001","View Full Record in Web of Science")</f>
        <v>View Full Record in Web of Science</v>
      </c>
    </row>
    <row r="840" spans="1:72">
      <c r="A840" s="1" t="s">
        <v>72</v>
      </c>
      <c r="B840" s="1" t="s">
        <v>125</v>
      </c>
      <c r="C840" s="1" t="s">
        <v>74</v>
      </c>
      <c r="D840" s="1" t="s">
        <v>74</v>
      </c>
      <c r="E840" s="1" t="s">
        <v>74</v>
      </c>
      <c r="F840" s="1" t="s">
        <v>125</v>
      </c>
      <c r="G840" s="1" t="s">
        <v>74</v>
      </c>
      <c r="H840" s="1" t="s">
        <v>74</v>
      </c>
      <c r="I840" s="1" t="s">
        <v>14213</v>
      </c>
      <c r="J840" s="1" t="s">
        <v>421</v>
      </c>
      <c r="K840" s="1" t="s">
        <v>74</v>
      </c>
      <c r="L840" s="1" t="s">
        <v>74</v>
      </c>
      <c r="M840" s="1" t="s">
        <v>78</v>
      </c>
      <c r="N840" s="1" t="s">
        <v>79</v>
      </c>
      <c r="O840" s="1" t="s">
        <v>74</v>
      </c>
      <c r="P840" s="1" t="s">
        <v>74</v>
      </c>
      <c r="Q840" s="1" t="s">
        <v>74</v>
      </c>
      <c r="R840" s="1" t="s">
        <v>74</v>
      </c>
      <c r="S840" s="1" t="s">
        <v>74</v>
      </c>
      <c r="T840" s="1" t="s">
        <v>14214</v>
      </c>
      <c r="U840" s="1" t="s">
        <v>14215</v>
      </c>
      <c r="V840" s="1" t="s">
        <v>14216</v>
      </c>
      <c r="W840" s="1" t="s">
        <v>14217</v>
      </c>
      <c r="X840" s="1" t="s">
        <v>132</v>
      </c>
      <c r="Y840" s="1" t="s">
        <v>14218</v>
      </c>
      <c r="Z840" s="1" t="s">
        <v>134</v>
      </c>
      <c r="AA840" s="1" t="s">
        <v>74</v>
      </c>
      <c r="AB840" s="1" t="s">
        <v>135</v>
      </c>
      <c r="AC840" s="1" t="s">
        <v>74</v>
      </c>
      <c r="AD840" s="1" t="s">
        <v>74</v>
      </c>
      <c r="AE840" s="1" t="s">
        <v>74</v>
      </c>
      <c r="AF840" s="1" t="s">
        <v>74</v>
      </c>
      <c r="AG840" s="1">
        <v>38</v>
      </c>
      <c r="AH840" s="1">
        <v>106</v>
      </c>
      <c r="AI840" s="1">
        <v>118</v>
      </c>
      <c r="AJ840" s="1">
        <v>2</v>
      </c>
      <c r="AK840" s="1">
        <v>48</v>
      </c>
      <c r="AL840" s="1" t="s">
        <v>430</v>
      </c>
      <c r="AM840" s="1" t="s">
        <v>137</v>
      </c>
      <c r="AN840" s="1" t="s">
        <v>431</v>
      </c>
      <c r="AO840" s="1" t="s">
        <v>432</v>
      </c>
      <c r="AP840" s="1" t="s">
        <v>1394</v>
      </c>
      <c r="AQ840" s="1" t="s">
        <v>74</v>
      </c>
      <c r="AR840" s="1" t="s">
        <v>433</v>
      </c>
      <c r="AS840" s="1" t="s">
        <v>434</v>
      </c>
      <c r="AT840" s="1" t="s">
        <v>74</v>
      </c>
      <c r="AU840" s="1">
        <v>2000</v>
      </c>
      <c r="AV840" s="1">
        <v>110</v>
      </c>
      <c r="AW840" s="1">
        <v>1</v>
      </c>
      <c r="AX840" s="1" t="s">
        <v>74</v>
      </c>
      <c r="AY840" s="1" t="s">
        <v>74</v>
      </c>
      <c r="AZ840" s="1" t="s">
        <v>74</v>
      </c>
      <c r="BA840" s="1" t="s">
        <v>74</v>
      </c>
      <c r="BB840" s="1">
        <v>61</v>
      </c>
      <c r="BC840" s="1">
        <v>71</v>
      </c>
      <c r="BD840" s="1" t="s">
        <v>74</v>
      </c>
      <c r="BE840" s="1" t="s">
        <v>14219</v>
      </c>
      <c r="BF840" s="1" t="str">
        <f>HYPERLINK("http://dx.doi.org/10.1016/S0269-7491(99)00286-9","http://dx.doi.org/10.1016/S0269-7491(99)00286-9")</f>
        <v>http://dx.doi.org/10.1016/S0269-7491(99)00286-9</v>
      </c>
      <c r="BG840" s="1" t="s">
        <v>74</v>
      </c>
      <c r="BH840" s="1" t="s">
        <v>74</v>
      </c>
      <c r="BI840" s="1">
        <v>11</v>
      </c>
      <c r="BJ840" s="1" t="s">
        <v>144</v>
      </c>
      <c r="BK840" s="1" t="s">
        <v>96</v>
      </c>
      <c r="BL840" s="1" t="s">
        <v>145</v>
      </c>
      <c r="BM840" s="1" t="s">
        <v>14220</v>
      </c>
      <c r="BN840" s="1">
        <v>15092856</v>
      </c>
      <c r="BO840" s="1" t="s">
        <v>74</v>
      </c>
      <c r="BP840" s="1" t="s">
        <v>74</v>
      </c>
      <c r="BQ840" s="1" t="s">
        <v>74</v>
      </c>
      <c r="BR840" s="1" t="s">
        <v>98</v>
      </c>
      <c r="BS840" s="1" t="s">
        <v>14221</v>
      </c>
      <c r="BT840" s="1" t="str">
        <f>HYPERLINK("https%3A%2F%2Fwww.webofscience.com%2Fwos%2Fwoscc%2Ffull-record%2FWOS:000087696300007","View Full Record in Web of Science")</f>
        <v>View Full Record in Web of Science</v>
      </c>
    </row>
    <row r="841" spans="1:72">
      <c r="A841" s="1" t="s">
        <v>72</v>
      </c>
      <c r="B841" s="1" t="s">
        <v>14222</v>
      </c>
      <c r="C841" s="1" t="s">
        <v>74</v>
      </c>
      <c r="D841" s="1" t="s">
        <v>74</v>
      </c>
      <c r="E841" s="1" t="s">
        <v>74</v>
      </c>
      <c r="F841" s="1" t="s">
        <v>14222</v>
      </c>
      <c r="G841" s="1" t="s">
        <v>74</v>
      </c>
      <c r="H841" s="1" t="s">
        <v>74</v>
      </c>
      <c r="I841" s="1" t="s">
        <v>14223</v>
      </c>
      <c r="J841" s="1" t="s">
        <v>495</v>
      </c>
      <c r="K841" s="1" t="s">
        <v>74</v>
      </c>
      <c r="L841" s="1" t="s">
        <v>74</v>
      </c>
      <c r="M841" s="1" t="s">
        <v>78</v>
      </c>
      <c r="N841" s="1" t="s">
        <v>79</v>
      </c>
      <c r="O841" s="1" t="s">
        <v>74</v>
      </c>
      <c r="P841" s="1" t="s">
        <v>74</v>
      </c>
      <c r="Q841" s="1" t="s">
        <v>74</v>
      </c>
      <c r="R841" s="1" t="s">
        <v>74</v>
      </c>
      <c r="S841" s="1" t="s">
        <v>74</v>
      </c>
      <c r="T841" s="1" t="s">
        <v>14224</v>
      </c>
      <c r="U841" s="1" t="s">
        <v>14225</v>
      </c>
      <c r="V841" s="1" t="s">
        <v>14226</v>
      </c>
      <c r="W841" s="1" t="s">
        <v>14227</v>
      </c>
      <c r="X841" s="1" t="s">
        <v>14228</v>
      </c>
      <c r="Y841" s="1" t="s">
        <v>14229</v>
      </c>
      <c r="Z841" s="1" t="s">
        <v>74</v>
      </c>
      <c r="AA841" s="1" t="s">
        <v>74</v>
      </c>
      <c r="AB841" s="1" t="s">
        <v>74</v>
      </c>
      <c r="AC841" s="1" t="s">
        <v>74</v>
      </c>
      <c r="AD841" s="1" t="s">
        <v>74</v>
      </c>
      <c r="AE841" s="1" t="s">
        <v>74</v>
      </c>
      <c r="AF841" s="1" t="s">
        <v>74</v>
      </c>
      <c r="AG841" s="1">
        <v>25</v>
      </c>
      <c r="AH841" s="1">
        <v>0</v>
      </c>
      <c r="AI841" s="1">
        <v>0</v>
      </c>
      <c r="AJ841" s="1">
        <v>0</v>
      </c>
      <c r="AK841" s="1">
        <v>0</v>
      </c>
      <c r="AL841" s="1" t="s">
        <v>504</v>
      </c>
      <c r="AM841" s="1" t="s">
        <v>505</v>
      </c>
      <c r="AN841" s="1" t="s">
        <v>506</v>
      </c>
      <c r="AO841" s="1" t="s">
        <v>507</v>
      </c>
      <c r="AP841" s="1" t="s">
        <v>74</v>
      </c>
      <c r="AQ841" s="1" t="s">
        <v>74</v>
      </c>
      <c r="AR841" s="1" t="s">
        <v>508</v>
      </c>
      <c r="AS841" s="1" t="s">
        <v>509</v>
      </c>
      <c r="AT841" s="1" t="s">
        <v>1223</v>
      </c>
      <c r="AU841" s="1">
        <v>2001</v>
      </c>
      <c r="AV841" s="1">
        <v>10</v>
      </c>
      <c r="AW841" s="1">
        <v>3</v>
      </c>
      <c r="AX841" s="1" t="s">
        <v>74</v>
      </c>
      <c r="AY841" s="1" t="s">
        <v>74</v>
      </c>
      <c r="AZ841" s="1" t="s">
        <v>74</v>
      </c>
      <c r="BA841" s="1" t="s">
        <v>74</v>
      </c>
      <c r="BB841" s="1">
        <v>273</v>
      </c>
      <c r="BC841" s="1">
        <v>277</v>
      </c>
      <c r="BD841" s="1" t="s">
        <v>74</v>
      </c>
      <c r="BE841" s="1" t="s">
        <v>74</v>
      </c>
      <c r="BF841" s="1" t="s">
        <v>74</v>
      </c>
      <c r="BG841" s="1" t="s">
        <v>74</v>
      </c>
      <c r="BH841" s="1" t="s">
        <v>74</v>
      </c>
      <c r="BI841" s="1">
        <v>5</v>
      </c>
      <c r="BJ841" s="1" t="s">
        <v>144</v>
      </c>
      <c r="BK841" s="1" t="s">
        <v>96</v>
      </c>
      <c r="BL841" s="1" t="s">
        <v>145</v>
      </c>
      <c r="BM841" s="1" t="s">
        <v>14230</v>
      </c>
      <c r="BN841" s="1" t="s">
        <v>74</v>
      </c>
      <c r="BO841" s="1" t="s">
        <v>74</v>
      </c>
      <c r="BP841" s="1" t="s">
        <v>74</v>
      </c>
      <c r="BQ841" s="1" t="s">
        <v>74</v>
      </c>
      <c r="BR841" s="1" t="s">
        <v>98</v>
      </c>
      <c r="BS841" s="1" t="s">
        <v>14231</v>
      </c>
      <c r="BT841" s="1" t="str">
        <f>HYPERLINK("https%3A%2F%2Fwww.webofscience.com%2Fwos%2Fwoscc%2Ffull-record%2FWOS:000170384100005","View Full Record in Web of Science")</f>
        <v>View Full Record in Web of Science</v>
      </c>
    </row>
    <row r="842" spans="1:72">
      <c r="A842" s="1" t="s">
        <v>72</v>
      </c>
      <c r="B842" s="1" t="s">
        <v>14232</v>
      </c>
      <c r="C842" s="1" t="s">
        <v>74</v>
      </c>
      <c r="D842" s="1" t="s">
        <v>74</v>
      </c>
      <c r="E842" s="1" t="s">
        <v>74</v>
      </c>
      <c r="F842" s="1" t="s">
        <v>14233</v>
      </c>
      <c r="G842" s="1" t="s">
        <v>74</v>
      </c>
      <c r="H842" s="1" t="s">
        <v>74</v>
      </c>
      <c r="I842" s="1" t="s">
        <v>14234</v>
      </c>
      <c r="J842" s="1" t="s">
        <v>14235</v>
      </c>
      <c r="K842" s="1" t="s">
        <v>74</v>
      </c>
      <c r="L842" s="1" t="s">
        <v>74</v>
      </c>
      <c r="M842" s="1" t="s">
        <v>78</v>
      </c>
      <c r="N842" s="1" t="s">
        <v>79</v>
      </c>
      <c r="O842" s="1" t="s">
        <v>74</v>
      </c>
      <c r="P842" s="1" t="s">
        <v>74</v>
      </c>
      <c r="Q842" s="1" t="s">
        <v>74</v>
      </c>
      <c r="R842" s="1" t="s">
        <v>74</v>
      </c>
      <c r="S842" s="1" t="s">
        <v>74</v>
      </c>
      <c r="T842" s="1" t="s">
        <v>14236</v>
      </c>
      <c r="U842" s="1" t="s">
        <v>14237</v>
      </c>
      <c r="V842" s="1" t="s">
        <v>14238</v>
      </c>
      <c r="W842" s="1" t="s">
        <v>14239</v>
      </c>
      <c r="X842" s="1" t="s">
        <v>14240</v>
      </c>
      <c r="Y842" s="1" t="s">
        <v>14241</v>
      </c>
      <c r="Z842" s="1" t="s">
        <v>14242</v>
      </c>
      <c r="AA842" s="1" t="s">
        <v>74</v>
      </c>
      <c r="AB842" s="1" t="s">
        <v>14243</v>
      </c>
      <c r="AC842" s="1" t="s">
        <v>74</v>
      </c>
      <c r="AD842" s="1" t="s">
        <v>74</v>
      </c>
      <c r="AE842" s="1" t="s">
        <v>74</v>
      </c>
      <c r="AF842" s="1" t="s">
        <v>74</v>
      </c>
      <c r="AG842" s="1">
        <v>42</v>
      </c>
      <c r="AH842" s="1">
        <v>10</v>
      </c>
      <c r="AI842" s="1">
        <v>10</v>
      </c>
      <c r="AJ842" s="1">
        <v>2</v>
      </c>
      <c r="AK842" s="1">
        <v>39</v>
      </c>
      <c r="AL842" s="1" t="s">
        <v>2383</v>
      </c>
      <c r="AM842" s="1" t="s">
        <v>2384</v>
      </c>
      <c r="AN842" s="1" t="s">
        <v>2385</v>
      </c>
      <c r="AO842" s="1" t="s">
        <v>14244</v>
      </c>
      <c r="AP842" s="1" t="s">
        <v>14245</v>
      </c>
      <c r="AQ842" s="1" t="s">
        <v>74</v>
      </c>
      <c r="AR842" s="1" t="s">
        <v>14246</v>
      </c>
      <c r="AS842" s="1" t="s">
        <v>14247</v>
      </c>
      <c r="AT842" s="1" t="s">
        <v>74</v>
      </c>
      <c r="AU842" s="1">
        <v>2013</v>
      </c>
      <c r="AV842" s="1">
        <v>49</v>
      </c>
      <c r="AW842" s="1">
        <v>1</v>
      </c>
      <c r="AX842" s="1" t="s">
        <v>74</v>
      </c>
      <c r="AY842" s="1" t="s">
        <v>74</v>
      </c>
      <c r="AZ842" s="1" t="s">
        <v>74</v>
      </c>
      <c r="BA842" s="1" t="s">
        <v>74</v>
      </c>
      <c r="BB842" s="1">
        <v>21</v>
      </c>
      <c r="BC842" s="1">
        <v>29</v>
      </c>
      <c r="BD842" s="1" t="s">
        <v>74</v>
      </c>
      <c r="BE842" s="1" t="s">
        <v>14248</v>
      </c>
      <c r="BF842" s="1" t="str">
        <f>HYPERLINK("http://dx.doi.org/10.1051/limn/2013034","http://dx.doi.org/10.1051/limn/2013034")</f>
        <v>http://dx.doi.org/10.1051/limn/2013034</v>
      </c>
      <c r="BG842" s="1" t="s">
        <v>74</v>
      </c>
      <c r="BH842" s="1" t="s">
        <v>74</v>
      </c>
      <c r="BI842" s="1">
        <v>9</v>
      </c>
      <c r="BJ842" s="1" t="s">
        <v>14249</v>
      </c>
      <c r="BK842" s="1" t="s">
        <v>96</v>
      </c>
      <c r="BL842" s="1" t="s">
        <v>680</v>
      </c>
      <c r="BM842" s="1" t="s">
        <v>14250</v>
      </c>
      <c r="BN842" s="1" t="s">
        <v>74</v>
      </c>
      <c r="BO842" s="1" t="s">
        <v>370</v>
      </c>
      <c r="BP842" s="1" t="s">
        <v>74</v>
      </c>
      <c r="BQ842" s="1" t="s">
        <v>74</v>
      </c>
      <c r="BR842" s="1" t="s">
        <v>98</v>
      </c>
      <c r="BS842" s="1" t="s">
        <v>14251</v>
      </c>
      <c r="BT842" s="1" t="str">
        <f>HYPERLINK("https%3A%2F%2Fwww.webofscience.com%2Fwos%2Fwoscc%2Ffull-record%2FWOS:000321032100003","View Full Record in Web of Science")</f>
        <v>View Full Record in Web of Science</v>
      </c>
    </row>
    <row r="843" spans="1:72">
      <c r="A843" s="1" t="s">
        <v>72</v>
      </c>
      <c r="B843" s="1" t="s">
        <v>14252</v>
      </c>
      <c r="C843" s="1" t="s">
        <v>74</v>
      </c>
      <c r="D843" s="1" t="s">
        <v>74</v>
      </c>
      <c r="E843" s="1" t="s">
        <v>74</v>
      </c>
      <c r="F843" s="1" t="s">
        <v>14252</v>
      </c>
      <c r="G843" s="1" t="s">
        <v>74</v>
      </c>
      <c r="H843" s="1" t="s">
        <v>74</v>
      </c>
      <c r="I843" s="1" t="s">
        <v>14253</v>
      </c>
      <c r="J843" s="1" t="s">
        <v>909</v>
      </c>
      <c r="K843" s="1" t="s">
        <v>74</v>
      </c>
      <c r="L843" s="1" t="s">
        <v>74</v>
      </c>
      <c r="M843" s="1" t="s">
        <v>78</v>
      </c>
      <c r="N843" s="1" t="s">
        <v>79</v>
      </c>
      <c r="O843" s="1" t="s">
        <v>74</v>
      </c>
      <c r="P843" s="1" t="s">
        <v>74</v>
      </c>
      <c r="Q843" s="1" t="s">
        <v>74</v>
      </c>
      <c r="R843" s="1" t="s">
        <v>74</v>
      </c>
      <c r="S843" s="1" t="s">
        <v>74</v>
      </c>
      <c r="T843" s="1" t="s">
        <v>14254</v>
      </c>
      <c r="U843" s="1" t="s">
        <v>74</v>
      </c>
      <c r="V843" s="1" t="s">
        <v>14255</v>
      </c>
      <c r="W843" s="1" t="s">
        <v>14256</v>
      </c>
      <c r="X843" s="1" t="s">
        <v>14257</v>
      </c>
      <c r="Y843" s="1" t="s">
        <v>14258</v>
      </c>
      <c r="Z843" s="1" t="s">
        <v>14259</v>
      </c>
      <c r="AA843" s="1" t="s">
        <v>14260</v>
      </c>
      <c r="AB843" s="1" t="s">
        <v>14261</v>
      </c>
      <c r="AC843" s="1" t="s">
        <v>74</v>
      </c>
      <c r="AD843" s="1" t="s">
        <v>74</v>
      </c>
      <c r="AE843" s="1" t="s">
        <v>74</v>
      </c>
      <c r="AF843" s="1" t="s">
        <v>74</v>
      </c>
      <c r="AG843" s="1">
        <v>50</v>
      </c>
      <c r="AH843" s="1">
        <v>128</v>
      </c>
      <c r="AI843" s="1">
        <v>136</v>
      </c>
      <c r="AJ843" s="1">
        <v>2</v>
      </c>
      <c r="AK843" s="1">
        <v>27</v>
      </c>
      <c r="AL843" s="1" t="s">
        <v>919</v>
      </c>
      <c r="AM843" s="1" t="s">
        <v>651</v>
      </c>
      <c r="AN843" s="1" t="s">
        <v>920</v>
      </c>
      <c r="AO843" s="1" t="s">
        <v>921</v>
      </c>
      <c r="AP843" s="1" t="s">
        <v>922</v>
      </c>
      <c r="AQ843" s="1" t="s">
        <v>74</v>
      </c>
      <c r="AR843" s="1" t="s">
        <v>923</v>
      </c>
      <c r="AS843" s="1" t="s">
        <v>924</v>
      </c>
      <c r="AT843" s="1" t="s">
        <v>13306</v>
      </c>
      <c r="AU843" s="1">
        <v>2003</v>
      </c>
      <c r="AV843" s="1">
        <v>311</v>
      </c>
      <c r="AW843" s="1" t="s">
        <v>2847</v>
      </c>
      <c r="AX843" s="1" t="s">
        <v>74</v>
      </c>
      <c r="AY843" s="1" t="s">
        <v>74</v>
      </c>
      <c r="AZ843" s="1" t="s">
        <v>74</v>
      </c>
      <c r="BA843" s="1" t="s">
        <v>74</v>
      </c>
      <c r="BB843" s="1">
        <v>151</v>
      </c>
      <c r="BC843" s="1">
        <v>176</v>
      </c>
      <c r="BD843" s="1" t="s">
        <v>74</v>
      </c>
      <c r="BE843" s="1" t="s">
        <v>14262</v>
      </c>
      <c r="BF843" s="1" t="str">
        <f>HYPERLINK("http://dx.doi.org/10.1016/S0048-9697(03)00051-2","http://dx.doi.org/10.1016/S0048-9697(03)00051-2")</f>
        <v>http://dx.doi.org/10.1016/S0048-9697(03)00051-2</v>
      </c>
      <c r="BG843" s="1" t="s">
        <v>74</v>
      </c>
      <c r="BH843" s="1" t="s">
        <v>74</v>
      </c>
      <c r="BI843" s="1">
        <v>26</v>
      </c>
      <c r="BJ843" s="1" t="s">
        <v>144</v>
      </c>
      <c r="BK843" s="1" t="s">
        <v>96</v>
      </c>
      <c r="BL843" s="1" t="s">
        <v>145</v>
      </c>
      <c r="BM843" s="1" t="s">
        <v>14263</v>
      </c>
      <c r="BN843" s="1">
        <v>12826390</v>
      </c>
      <c r="BO843" s="1" t="s">
        <v>74</v>
      </c>
      <c r="BP843" s="1" t="s">
        <v>74</v>
      </c>
      <c r="BQ843" s="1" t="s">
        <v>74</v>
      </c>
      <c r="BR843" s="1" t="s">
        <v>98</v>
      </c>
      <c r="BS843" s="1" t="s">
        <v>14264</v>
      </c>
      <c r="BT843" s="1" t="str">
        <f>HYPERLINK("https%3A%2F%2Fwww.webofscience.com%2Fwos%2Fwoscc%2Ffull-record%2FWOS:000184091300012","View Full Record in Web of Science")</f>
        <v>View Full Record in Web of Science</v>
      </c>
    </row>
    <row r="844" spans="1:72">
      <c r="A844" s="1" t="s">
        <v>72</v>
      </c>
      <c r="B844" s="1" t="s">
        <v>14265</v>
      </c>
      <c r="C844" s="1" t="s">
        <v>74</v>
      </c>
      <c r="D844" s="1" t="s">
        <v>74</v>
      </c>
      <c r="E844" s="1" t="s">
        <v>74</v>
      </c>
      <c r="F844" s="1" t="s">
        <v>14266</v>
      </c>
      <c r="G844" s="1" t="s">
        <v>74</v>
      </c>
      <c r="H844" s="1" t="s">
        <v>74</v>
      </c>
      <c r="I844" s="1" t="s">
        <v>14267</v>
      </c>
      <c r="J844" s="1" t="s">
        <v>7477</v>
      </c>
      <c r="K844" s="1" t="s">
        <v>74</v>
      </c>
      <c r="L844" s="1" t="s">
        <v>74</v>
      </c>
      <c r="M844" s="1" t="s">
        <v>78</v>
      </c>
      <c r="N844" s="1" t="s">
        <v>79</v>
      </c>
      <c r="O844" s="1" t="s">
        <v>74</v>
      </c>
      <c r="P844" s="1" t="s">
        <v>74</v>
      </c>
      <c r="Q844" s="1" t="s">
        <v>74</v>
      </c>
      <c r="R844" s="1" t="s">
        <v>74</v>
      </c>
      <c r="S844" s="1" t="s">
        <v>74</v>
      </c>
      <c r="T844" s="1" t="s">
        <v>14268</v>
      </c>
      <c r="U844" s="1" t="s">
        <v>14269</v>
      </c>
      <c r="V844" s="1" t="s">
        <v>14270</v>
      </c>
      <c r="W844" s="1" t="s">
        <v>14271</v>
      </c>
      <c r="X844" s="1" t="s">
        <v>14272</v>
      </c>
      <c r="Y844" s="1" t="s">
        <v>14273</v>
      </c>
      <c r="Z844" s="1" t="s">
        <v>14274</v>
      </c>
      <c r="AA844" s="1" t="s">
        <v>14275</v>
      </c>
      <c r="AB844" s="1" t="s">
        <v>74</v>
      </c>
      <c r="AC844" s="1" t="s">
        <v>14276</v>
      </c>
      <c r="AD844" s="1" t="s">
        <v>14277</v>
      </c>
      <c r="AE844" s="1" t="s">
        <v>14278</v>
      </c>
      <c r="AF844" s="1" t="s">
        <v>74</v>
      </c>
      <c r="AG844" s="1">
        <v>18</v>
      </c>
      <c r="AH844" s="1">
        <v>2</v>
      </c>
      <c r="AI844" s="1">
        <v>2</v>
      </c>
      <c r="AJ844" s="1">
        <v>0</v>
      </c>
      <c r="AK844" s="1">
        <v>2</v>
      </c>
      <c r="AL844" s="1" t="s">
        <v>6554</v>
      </c>
      <c r="AM844" s="1" t="s">
        <v>113</v>
      </c>
      <c r="AN844" s="1" t="s">
        <v>6555</v>
      </c>
      <c r="AO844" s="1" t="s">
        <v>7487</v>
      </c>
      <c r="AP844" s="1" t="s">
        <v>7488</v>
      </c>
      <c r="AQ844" s="1" t="s">
        <v>74</v>
      </c>
      <c r="AR844" s="1" t="s">
        <v>7489</v>
      </c>
      <c r="AS844" s="1" t="s">
        <v>7490</v>
      </c>
      <c r="AT844" s="1" t="s">
        <v>224</v>
      </c>
      <c r="AU844" s="1">
        <v>2022</v>
      </c>
      <c r="AV844" s="1">
        <v>48</v>
      </c>
      <c r="AW844" s="1">
        <v>1</v>
      </c>
      <c r="AX844" s="1" t="s">
        <v>74</v>
      </c>
      <c r="AY844" s="1" t="s">
        <v>74</v>
      </c>
      <c r="AZ844" s="1" t="s">
        <v>74</v>
      </c>
      <c r="BA844" s="1" t="s">
        <v>74</v>
      </c>
      <c r="BB844" s="1">
        <v>26</v>
      </c>
      <c r="BC844" s="1">
        <v>32</v>
      </c>
      <c r="BD844" s="1" t="s">
        <v>74</v>
      </c>
      <c r="BE844" s="1" t="s">
        <v>14279</v>
      </c>
      <c r="BF844" s="1" t="str">
        <f>HYPERLINK("http://dx.doi.org/10.1134/S1063074022010060","http://dx.doi.org/10.1134/S1063074022010060")</f>
        <v>http://dx.doi.org/10.1134/S1063074022010060</v>
      </c>
      <c r="BG844" s="1" t="s">
        <v>74</v>
      </c>
      <c r="BH844" s="1" t="s">
        <v>74</v>
      </c>
      <c r="BI844" s="1">
        <v>7</v>
      </c>
      <c r="BJ844" s="1" t="s">
        <v>680</v>
      </c>
      <c r="BK844" s="1" t="s">
        <v>96</v>
      </c>
      <c r="BL844" s="1" t="s">
        <v>680</v>
      </c>
      <c r="BM844" s="1" t="s">
        <v>14280</v>
      </c>
      <c r="BN844" s="1" t="s">
        <v>74</v>
      </c>
      <c r="BO844" s="1" t="s">
        <v>74</v>
      </c>
      <c r="BP844" s="1" t="s">
        <v>74</v>
      </c>
      <c r="BQ844" s="1" t="s">
        <v>74</v>
      </c>
      <c r="BR844" s="1" t="s">
        <v>98</v>
      </c>
      <c r="BS844" s="1" t="s">
        <v>14281</v>
      </c>
      <c r="BT844" s="1" t="str">
        <f>HYPERLINK("https%3A%2F%2Fwww.webofscience.com%2Fwos%2Fwoscc%2Ffull-record%2FWOS:000769455800004","View Full Record in Web of Science")</f>
        <v>View Full Record in Web of Science</v>
      </c>
    </row>
    <row r="845" spans="1:72">
      <c r="A845" s="1" t="s">
        <v>72</v>
      </c>
      <c r="B845" s="1" t="s">
        <v>14282</v>
      </c>
      <c r="C845" s="1" t="s">
        <v>74</v>
      </c>
      <c r="D845" s="1" t="s">
        <v>74</v>
      </c>
      <c r="E845" s="1" t="s">
        <v>74</v>
      </c>
      <c r="F845" s="1" t="s">
        <v>14282</v>
      </c>
      <c r="G845" s="1" t="s">
        <v>74</v>
      </c>
      <c r="H845" s="1" t="s">
        <v>74</v>
      </c>
      <c r="I845" s="1" t="s">
        <v>14283</v>
      </c>
      <c r="J845" s="1" t="s">
        <v>127</v>
      </c>
      <c r="K845" s="1" t="s">
        <v>74</v>
      </c>
      <c r="L845" s="1" t="s">
        <v>74</v>
      </c>
      <c r="M845" s="1" t="s">
        <v>78</v>
      </c>
      <c r="N845" s="1" t="s">
        <v>79</v>
      </c>
      <c r="O845" s="1" t="s">
        <v>74</v>
      </c>
      <c r="P845" s="1" t="s">
        <v>74</v>
      </c>
      <c r="Q845" s="1" t="s">
        <v>74</v>
      </c>
      <c r="R845" s="1" t="s">
        <v>74</v>
      </c>
      <c r="S845" s="1" t="s">
        <v>74</v>
      </c>
      <c r="T845" s="1" t="s">
        <v>74</v>
      </c>
      <c r="U845" s="1" t="s">
        <v>14284</v>
      </c>
      <c r="V845" s="1" t="s">
        <v>14285</v>
      </c>
      <c r="W845" s="1" t="s">
        <v>14286</v>
      </c>
      <c r="X845" s="1" t="s">
        <v>14287</v>
      </c>
      <c r="Y845" s="1" t="s">
        <v>14288</v>
      </c>
      <c r="Z845" s="1" t="s">
        <v>74</v>
      </c>
      <c r="AA845" s="1" t="s">
        <v>74</v>
      </c>
      <c r="AB845" s="1" t="s">
        <v>14289</v>
      </c>
      <c r="AC845" s="1" t="s">
        <v>74</v>
      </c>
      <c r="AD845" s="1" t="s">
        <v>74</v>
      </c>
      <c r="AE845" s="1" t="s">
        <v>74</v>
      </c>
      <c r="AF845" s="1" t="s">
        <v>74</v>
      </c>
      <c r="AG845" s="1">
        <v>16</v>
      </c>
      <c r="AH845" s="1">
        <v>16</v>
      </c>
      <c r="AI845" s="1">
        <v>18</v>
      </c>
      <c r="AJ845" s="1">
        <v>0</v>
      </c>
      <c r="AK845" s="1">
        <v>3</v>
      </c>
      <c r="AL845" s="1" t="s">
        <v>136</v>
      </c>
      <c r="AM845" s="1" t="s">
        <v>137</v>
      </c>
      <c r="AN845" s="1" t="s">
        <v>583</v>
      </c>
      <c r="AO845" s="1" t="s">
        <v>139</v>
      </c>
      <c r="AP845" s="1" t="s">
        <v>74</v>
      </c>
      <c r="AQ845" s="1" t="s">
        <v>74</v>
      </c>
      <c r="AR845" s="1" t="s">
        <v>127</v>
      </c>
      <c r="AS845" s="1" t="s">
        <v>141</v>
      </c>
      <c r="AT845" s="1" t="s">
        <v>224</v>
      </c>
      <c r="AU845" s="1">
        <v>1994</v>
      </c>
      <c r="AV845" s="1">
        <v>28</v>
      </c>
      <c r="AW845" s="1">
        <v>4</v>
      </c>
      <c r="AX845" s="1" t="s">
        <v>74</v>
      </c>
      <c r="AY845" s="1" t="s">
        <v>74</v>
      </c>
      <c r="AZ845" s="1" t="s">
        <v>74</v>
      </c>
      <c r="BA845" s="1" t="s">
        <v>74</v>
      </c>
      <c r="BB845" s="1">
        <v>737</v>
      </c>
      <c r="BC845" s="1">
        <v>743</v>
      </c>
      <c r="BD845" s="1" t="s">
        <v>74</v>
      </c>
      <c r="BE845" s="1" t="s">
        <v>14290</v>
      </c>
      <c r="BF845" s="1" t="str">
        <f>HYPERLINK("http://dx.doi.org/10.1016/0045-6535(94)90227-5","http://dx.doi.org/10.1016/0045-6535(94)90227-5")</f>
        <v>http://dx.doi.org/10.1016/0045-6535(94)90227-5</v>
      </c>
      <c r="BG845" s="1" t="s">
        <v>74</v>
      </c>
      <c r="BH845" s="1" t="s">
        <v>74</v>
      </c>
      <c r="BI845" s="1">
        <v>7</v>
      </c>
      <c r="BJ845" s="1" t="s">
        <v>144</v>
      </c>
      <c r="BK845" s="1" t="s">
        <v>96</v>
      </c>
      <c r="BL845" s="1" t="s">
        <v>145</v>
      </c>
      <c r="BM845" s="1" t="s">
        <v>14291</v>
      </c>
      <c r="BN845" s="1" t="s">
        <v>74</v>
      </c>
      <c r="BO845" s="1" t="s">
        <v>74</v>
      </c>
      <c r="BP845" s="1" t="s">
        <v>74</v>
      </c>
      <c r="BQ845" s="1" t="s">
        <v>74</v>
      </c>
      <c r="BR845" s="1" t="s">
        <v>98</v>
      </c>
      <c r="BS845" s="1" t="s">
        <v>14292</v>
      </c>
      <c r="BT845" s="1" t="str">
        <f>HYPERLINK("https%3A%2F%2Fwww.webofscience.com%2Fwos%2Fwoscc%2Ffull-record%2FWOS:A1994MZ42500012","View Full Record in Web of Science")</f>
        <v>View Full Record in Web of Science</v>
      </c>
    </row>
    <row r="846" spans="1:72">
      <c r="A846" s="1" t="s">
        <v>72</v>
      </c>
      <c r="B846" s="1" t="s">
        <v>14293</v>
      </c>
      <c r="C846" s="1" t="s">
        <v>74</v>
      </c>
      <c r="D846" s="1" t="s">
        <v>74</v>
      </c>
      <c r="E846" s="1" t="s">
        <v>74</v>
      </c>
      <c r="F846" s="1" t="s">
        <v>14294</v>
      </c>
      <c r="G846" s="1" t="s">
        <v>74</v>
      </c>
      <c r="H846" s="1" t="s">
        <v>74</v>
      </c>
      <c r="I846" s="1" t="s">
        <v>14295</v>
      </c>
      <c r="J846" s="1" t="s">
        <v>14296</v>
      </c>
      <c r="K846" s="1" t="s">
        <v>74</v>
      </c>
      <c r="L846" s="1" t="s">
        <v>74</v>
      </c>
      <c r="M846" s="1" t="s">
        <v>78</v>
      </c>
      <c r="N846" s="1" t="s">
        <v>151</v>
      </c>
      <c r="O846" s="1" t="s">
        <v>14297</v>
      </c>
      <c r="P846" s="1" t="s">
        <v>14298</v>
      </c>
      <c r="Q846" s="1" t="s">
        <v>14299</v>
      </c>
      <c r="R846" s="1" t="s">
        <v>74</v>
      </c>
      <c r="S846" s="1" t="s">
        <v>74</v>
      </c>
      <c r="T846" s="1" t="s">
        <v>14300</v>
      </c>
      <c r="U846" s="1" t="s">
        <v>14301</v>
      </c>
      <c r="V846" s="1" t="s">
        <v>14302</v>
      </c>
      <c r="W846" s="1" t="s">
        <v>14303</v>
      </c>
      <c r="X846" s="1" t="s">
        <v>14304</v>
      </c>
      <c r="Y846" s="1" t="s">
        <v>14305</v>
      </c>
      <c r="Z846" s="1" t="s">
        <v>14306</v>
      </c>
      <c r="AA846" s="1" t="s">
        <v>74</v>
      </c>
      <c r="AB846" s="1" t="s">
        <v>14307</v>
      </c>
      <c r="AC846" s="1" t="s">
        <v>74</v>
      </c>
      <c r="AD846" s="1" t="s">
        <v>74</v>
      </c>
      <c r="AE846" s="1" t="s">
        <v>74</v>
      </c>
      <c r="AF846" s="1" t="s">
        <v>74</v>
      </c>
      <c r="AG846" s="1">
        <v>40</v>
      </c>
      <c r="AH846" s="1">
        <v>1</v>
      </c>
      <c r="AI846" s="1">
        <v>1</v>
      </c>
      <c r="AJ846" s="1">
        <v>0</v>
      </c>
      <c r="AK846" s="1">
        <v>7</v>
      </c>
      <c r="AL846" s="1" t="s">
        <v>14308</v>
      </c>
      <c r="AM846" s="1" t="s">
        <v>14309</v>
      </c>
      <c r="AN846" s="1" t="s">
        <v>14310</v>
      </c>
      <c r="AO846" s="1" t="s">
        <v>14311</v>
      </c>
      <c r="AP846" s="1" t="s">
        <v>14312</v>
      </c>
      <c r="AQ846" s="1" t="s">
        <v>74</v>
      </c>
      <c r="AR846" s="1" t="s">
        <v>14313</v>
      </c>
      <c r="AS846" s="1" t="s">
        <v>14314</v>
      </c>
      <c r="AT846" s="1" t="s">
        <v>1470</v>
      </c>
      <c r="AU846" s="1">
        <v>2013</v>
      </c>
      <c r="AV846" s="1">
        <v>77</v>
      </c>
      <c r="AW846" s="1" t="s">
        <v>74</v>
      </c>
      <c r="AX846" s="1" t="s">
        <v>74</v>
      </c>
      <c r="AY846" s="1">
        <v>1</v>
      </c>
      <c r="AZ846" s="1" t="s">
        <v>74</v>
      </c>
      <c r="BA846" s="1" t="s">
        <v>74</v>
      </c>
      <c r="BB846" s="1">
        <v>101</v>
      </c>
      <c r="BC846" s="1">
        <v>108</v>
      </c>
      <c r="BD846" s="1" t="s">
        <v>74</v>
      </c>
      <c r="BE846" s="1" t="s">
        <v>14315</v>
      </c>
      <c r="BF846" s="1" t="str">
        <f>HYPERLINK("http://dx.doi.org/10.3989/scimar.03729.27I","http://dx.doi.org/10.3989/scimar.03729.27I")</f>
        <v>http://dx.doi.org/10.3989/scimar.03729.27I</v>
      </c>
      <c r="BG846" s="1" t="s">
        <v>74</v>
      </c>
      <c r="BH846" s="1" t="s">
        <v>74</v>
      </c>
      <c r="BI846" s="1">
        <v>8</v>
      </c>
      <c r="BJ846" s="1" t="s">
        <v>680</v>
      </c>
      <c r="BK846" s="1" t="s">
        <v>172</v>
      </c>
      <c r="BL846" s="1" t="s">
        <v>680</v>
      </c>
      <c r="BM846" s="1" t="s">
        <v>14316</v>
      </c>
      <c r="BN846" s="1" t="s">
        <v>74</v>
      </c>
      <c r="BO846" s="1" t="s">
        <v>12986</v>
      </c>
      <c r="BP846" s="1" t="s">
        <v>74</v>
      </c>
      <c r="BQ846" s="1" t="s">
        <v>74</v>
      </c>
      <c r="BR846" s="1" t="s">
        <v>98</v>
      </c>
      <c r="BS846" s="1" t="s">
        <v>14317</v>
      </c>
      <c r="BT846" s="1" t="str">
        <f>HYPERLINK("https%3A%2F%2Fwww.webofscience.com%2Fwos%2Fwoscc%2Ffull-record%2FWOS:000313553100011","View Full Record in Web of Science")</f>
        <v>View Full Record in Web of Science</v>
      </c>
    </row>
    <row r="847" spans="1:72">
      <c r="A847" s="1" t="s">
        <v>72</v>
      </c>
      <c r="B847" s="1" t="s">
        <v>14318</v>
      </c>
      <c r="C847" s="1" t="s">
        <v>74</v>
      </c>
      <c r="D847" s="1" t="s">
        <v>74</v>
      </c>
      <c r="E847" s="1" t="s">
        <v>74</v>
      </c>
      <c r="F847" s="1" t="s">
        <v>14319</v>
      </c>
      <c r="G847" s="1" t="s">
        <v>74</v>
      </c>
      <c r="H847" s="1" t="s">
        <v>74</v>
      </c>
      <c r="I847" s="1" t="s">
        <v>14320</v>
      </c>
      <c r="J847" s="1" t="s">
        <v>232</v>
      </c>
      <c r="K847" s="1" t="s">
        <v>74</v>
      </c>
      <c r="L847" s="1" t="s">
        <v>74</v>
      </c>
      <c r="M847" s="1" t="s">
        <v>78</v>
      </c>
      <c r="N847" s="1" t="s">
        <v>79</v>
      </c>
      <c r="O847" s="1" t="s">
        <v>74</v>
      </c>
      <c r="P847" s="1" t="s">
        <v>74</v>
      </c>
      <c r="Q847" s="1" t="s">
        <v>74</v>
      </c>
      <c r="R847" s="1" t="s">
        <v>74</v>
      </c>
      <c r="S847" s="1" t="s">
        <v>74</v>
      </c>
      <c r="T847" s="1" t="s">
        <v>14321</v>
      </c>
      <c r="U847" s="1" t="s">
        <v>14322</v>
      </c>
      <c r="V847" s="1" t="s">
        <v>14323</v>
      </c>
      <c r="W847" s="1" t="s">
        <v>14324</v>
      </c>
      <c r="X847" s="1" t="s">
        <v>14325</v>
      </c>
      <c r="Y847" s="1" t="s">
        <v>11633</v>
      </c>
      <c r="Z847" s="1" t="s">
        <v>11634</v>
      </c>
      <c r="AA847" s="1" t="s">
        <v>4408</v>
      </c>
      <c r="AB847" s="1" t="s">
        <v>11635</v>
      </c>
      <c r="AC847" s="1" t="s">
        <v>14326</v>
      </c>
      <c r="AD847" s="1" t="s">
        <v>14327</v>
      </c>
      <c r="AE847" s="1" t="s">
        <v>14328</v>
      </c>
      <c r="AF847" s="1" t="s">
        <v>74</v>
      </c>
      <c r="AG847" s="1">
        <v>46</v>
      </c>
      <c r="AH847" s="1">
        <v>26</v>
      </c>
      <c r="AI847" s="1">
        <v>32</v>
      </c>
      <c r="AJ847" s="1">
        <v>1</v>
      </c>
      <c r="AK847" s="1">
        <v>50</v>
      </c>
      <c r="AL847" s="1" t="s">
        <v>136</v>
      </c>
      <c r="AM847" s="1" t="s">
        <v>137</v>
      </c>
      <c r="AN847" s="1" t="s">
        <v>138</v>
      </c>
      <c r="AO847" s="1" t="s">
        <v>240</v>
      </c>
      <c r="AP847" s="1" t="s">
        <v>241</v>
      </c>
      <c r="AQ847" s="1" t="s">
        <v>74</v>
      </c>
      <c r="AR847" s="1" t="s">
        <v>242</v>
      </c>
      <c r="AS847" s="1" t="s">
        <v>243</v>
      </c>
      <c r="AT847" s="1" t="s">
        <v>7041</v>
      </c>
      <c r="AU847" s="1">
        <v>2017</v>
      </c>
      <c r="AV847" s="1">
        <v>115</v>
      </c>
      <c r="AW847" s="1" t="s">
        <v>326</v>
      </c>
      <c r="AX847" s="1" t="s">
        <v>74</v>
      </c>
      <c r="AY847" s="1" t="s">
        <v>74</v>
      </c>
      <c r="AZ847" s="1" t="s">
        <v>74</v>
      </c>
      <c r="BA847" s="1" t="s">
        <v>74</v>
      </c>
      <c r="BB847" s="1">
        <v>201</v>
      </c>
      <c r="BC847" s="1">
        <v>210</v>
      </c>
      <c r="BD847" s="1" t="s">
        <v>74</v>
      </c>
      <c r="BE847" s="1" t="s">
        <v>14329</v>
      </c>
      <c r="BF847" s="1" t="str">
        <f>HYPERLINK("http://dx.doi.org/10.1016/j.marpolbul.2016.12.018","http://dx.doi.org/10.1016/j.marpolbul.2016.12.018")</f>
        <v>http://dx.doi.org/10.1016/j.marpolbul.2016.12.018</v>
      </c>
      <c r="BG847" s="1" t="s">
        <v>74</v>
      </c>
      <c r="BH847" s="1" t="s">
        <v>74</v>
      </c>
      <c r="BI847" s="1">
        <v>10</v>
      </c>
      <c r="BJ847" s="1" t="s">
        <v>247</v>
      </c>
      <c r="BK847" s="1" t="s">
        <v>96</v>
      </c>
      <c r="BL847" s="1" t="s">
        <v>248</v>
      </c>
      <c r="BM847" s="1" t="s">
        <v>7043</v>
      </c>
      <c r="BN847" s="1">
        <v>27986302</v>
      </c>
      <c r="BO847" s="1" t="s">
        <v>74</v>
      </c>
      <c r="BP847" s="1" t="s">
        <v>74</v>
      </c>
      <c r="BQ847" s="1" t="s">
        <v>74</v>
      </c>
      <c r="BR847" s="1" t="s">
        <v>98</v>
      </c>
      <c r="BS847" s="1" t="s">
        <v>14330</v>
      </c>
      <c r="BT847" s="1" t="str">
        <f>HYPERLINK("https%3A%2F%2Fwww.webofscience.com%2Fwos%2Fwoscc%2Ffull-record%2FWOS:000394399800036","View Full Record in Web of Science")</f>
        <v>View Full Record in Web of Science</v>
      </c>
    </row>
    <row r="848" spans="1:72">
      <c r="A848" s="1" t="s">
        <v>72</v>
      </c>
      <c r="B848" s="1" t="s">
        <v>14331</v>
      </c>
      <c r="C848" s="1" t="s">
        <v>74</v>
      </c>
      <c r="D848" s="1" t="s">
        <v>74</v>
      </c>
      <c r="E848" s="1" t="s">
        <v>74</v>
      </c>
      <c r="F848" s="1" t="s">
        <v>14332</v>
      </c>
      <c r="G848" s="1" t="s">
        <v>74</v>
      </c>
      <c r="H848" s="1" t="s">
        <v>74</v>
      </c>
      <c r="I848" s="1" t="s">
        <v>14333</v>
      </c>
      <c r="J848" s="1" t="s">
        <v>554</v>
      </c>
      <c r="K848" s="1" t="s">
        <v>74</v>
      </c>
      <c r="L848" s="1" t="s">
        <v>74</v>
      </c>
      <c r="M848" s="1" t="s">
        <v>78</v>
      </c>
      <c r="N848" s="1" t="s">
        <v>79</v>
      </c>
      <c r="O848" s="1" t="s">
        <v>74</v>
      </c>
      <c r="P848" s="1" t="s">
        <v>74</v>
      </c>
      <c r="Q848" s="1" t="s">
        <v>74</v>
      </c>
      <c r="R848" s="1" t="s">
        <v>74</v>
      </c>
      <c r="S848" s="1" t="s">
        <v>74</v>
      </c>
      <c r="T848" s="1" t="s">
        <v>14334</v>
      </c>
      <c r="U848" s="1" t="s">
        <v>14335</v>
      </c>
      <c r="V848" s="1" t="s">
        <v>14336</v>
      </c>
      <c r="W848" s="1" t="s">
        <v>14337</v>
      </c>
      <c r="X848" s="1" t="s">
        <v>14338</v>
      </c>
      <c r="Y848" s="1" t="s">
        <v>14339</v>
      </c>
      <c r="Z848" s="1" t="s">
        <v>14340</v>
      </c>
      <c r="AA848" s="1" t="s">
        <v>74</v>
      </c>
      <c r="AB848" s="1" t="s">
        <v>74</v>
      </c>
      <c r="AC848" s="1" t="s">
        <v>74</v>
      </c>
      <c r="AD848" s="1" t="s">
        <v>74</v>
      </c>
      <c r="AE848" s="1" t="s">
        <v>74</v>
      </c>
      <c r="AF848" s="1" t="s">
        <v>74</v>
      </c>
      <c r="AG848" s="1">
        <v>38</v>
      </c>
      <c r="AH848" s="1">
        <v>130</v>
      </c>
      <c r="AI848" s="1">
        <v>146</v>
      </c>
      <c r="AJ848" s="1">
        <v>6</v>
      </c>
      <c r="AK848" s="1">
        <v>35</v>
      </c>
      <c r="AL848" s="1" t="s">
        <v>564</v>
      </c>
      <c r="AM848" s="1" t="s">
        <v>113</v>
      </c>
      <c r="AN848" s="1" t="s">
        <v>807</v>
      </c>
      <c r="AO848" s="1" t="s">
        <v>566</v>
      </c>
      <c r="AP848" s="1" t="s">
        <v>567</v>
      </c>
      <c r="AQ848" s="1" t="s">
        <v>74</v>
      </c>
      <c r="AR848" s="1" t="s">
        <v>568</v>
      </c>
      <c r="AS848" s="1" t="s">
        <v>569</v>
      </c>
      <c r="AT848" s="1" t="s">
        <v>170</v>
      </c>
      <c r="AU848" s="1">
        <v>2008</v>
      </c>
      <c r="AV848" s="1">
        <v>147</v>
      </c>
      <c r="AW848" s="1">
        <v>4</v>
      </c>
      <c r="AX848" s="1" t="s">
        <v>74</v>
      </c>
      <c r="AY848" s="1" t="s">
        <v>74</v>
      </c>
      <c r="AZ848" s="1" t="s">
        <v>74</v>
      </c>
      <c r="BA848" s="1" t="s">
        <v>74</v>
      </c>
      <c r="BB848" s="1">
        <v>460</v>
      </c>
      <c r="BC848" s="1">
        <v>469</v>
      </c>
      <c r="BD848" s="1" t="s">
        <v>74</v>
      </c>
      <c r="BE848" s="1" t="s">
        <v>14341</v>
      </c>
      <c r="BF848" s="1" t="str">
        <f>HYPERLINK("http://dx.doi.org/10.1016/j.cbpc.2008.02.001","http://dx.doi.org/10.1016/j.cbpc.2008.02.001")</f>
        <v>http://dx.doi.org/10.1016/j.cbpc.2008.02.001</v>
      </c>
      <c r="BG848" s="1" t="s">
        <v>74</v>
      </c>
      <c r="BH848" s="1" t="s">
        <v>74</v>
      </c>
      <c r="BI848" s="1">
        <v>10</v>
      </c>
      <c r="BJ848" s="1" t="s">
        <v>571</v>
      </c>
      <c r="BK848" s="1" t="s">
        <v>96</v>
      </c>
      <c r="BL848" s="1" t="s">
        <v>571</v>
      </c>
      <c r="BM848" s="1" t="s">
        <v>14342</v>
      </c>
      <c r="BN848" s="1">
        <v>18337187</v>
      </c>
      <c r="BO848" s="1" t="s">
        <v>74</v>
      </c>
      <c r="BP848" s="1" t="s">
        <v>74</v>
      </c>
      <c r="BQ848" s="1" t="s">
        <v>74</v>
      </c>
      <c r="BR848" s="1" t="s">
        <v>98</v>
      </c>
      <c r="BS848" s="1" t="s">
        <v>14343</v>
      </c>
      <c r="BT848" s="1" t="str">
        <f>HYPERLINK("https%3A%2F%2Fwww.webofscience.com%2Fwos%2Fwoscc%2Ffull-record%2FWOS:000255506400008","View Full Record in Web of Science")</f>
        <v>View Full Record in Web of Science</v>
      </c>
    </row>
    <row r="849" spans="1:72">
      <c r="A849" s="1" t="s">
        <v>72</v>
      </c>
      <c r="B849" s="1" t="s">
        <v>14344</v>
      </c>
      <c r="C849" s="1" t="s">
        <v>74</v>
      </c>
      <c r="D849" s="1" t="s">
        <v>74</v>
      </c>
      <c r="E849" s="1" t="s">
        <v>74</v>
      </c>
      <c r="F849" s="1" t="s">
        <v>14344</v>
      </c>
      <c r="G849" s="1" t="s">
        <v>74</v>
      </c>
      <c r="H849" s="1" t="s">
        <v>74</v>
      </c>
      <c r="I849" s="1" t="s">
        <v>14345</v>
      </c>
      <c r="J849" s="1" t="s">
        <v>232</v>
      </c>
      <c r="K849" s="1" t="s">
        <v>74</v>
      </c>
      <c r="L849" s="1" t="s">
        <v>74</v>
      </c>
      <c r="M849" s="1" t="s">
        <v>78</v>
      </c>
      <c r="N849" s="1" t="s">
        <v>79</v>
      </c>
      <c r="O849" s="1" t="s">
        <v>74</v>
      </c>
      <c r="P849" s="1" t="s">
        <v>74</v>
      </c>
      <c r="Q849" s="1" t="s">
        <v>74</v>
      </c>
      <c r="R849" s="1" t="s">
        <v>74</v>
      </c>
      <c r="S849" s="1" t="s">
        <v>74</v>
      </c>
      <c r="T849" s="1" t="s">
        <v>74</v>
      </c>
      <c r="U849" s="1" t="s">
        <v>74</v>
      </c>
      <c r="V849" s="1" t="s">
        <v>14346</v>
      </c>
      <c r="W849" s="1" t="s">
        <v>74</v>
      </c>
      <c r="X849" s="1" t="s">
        <v>74</v>
      </c>
      <c r="Y849" s="1" t="s">
        <v>14347</v>
      </c>
      <c r="Z849" s="1" t="s">
        <v>74</v>
      </c>
      <c r="AA849" s="1" t="s">
        <v>74</v>
      </c>
      <c r="AB849" s="1" t="s">
        <v>74</v>
      </c>
      <c r="AC849" s="1" t="s">
        <v>74</v>
      </c>
      <c r="AD849" s="1" t="s">
        <v>74</v>
      </c>
      <c r="AE849" s="1" t="s">
        <v>74</v>
      </c>
      <c r="AF849" s="1" t="s">
        <v>74</v>
      </c>
      <c r="AG849" s="1">
        <v>0</v>
      </c>
      <c r="AH849" s="1">
        <v>41</v>
      </c>
      <c r="AI849" s="1">
        <v>42</v>
      </c>
      <c r="AJ849" s="1">
        <v>0</v>
      </c>
      <c r="AK849" s="1">
        <v>0</v>
      </c>
      <c r="AL849" s="1" t="s">
        <v>136</v>
      </c>
      <c r="AM849" s="1" t="s">
        <v>137</v>
      </c>
      <c r="AN849" s="1" t="s">
        <v>138</v>
      </c>
      <c r="AO849" s="1" t="s">
        <v>240</v>
      </c>
      <c r="AP849" s="1" t="s">
        <v>241</v>
      </c>
      <c r="AQ849" s="1" t="s">
        <v>74</v>
      </c>
      <c r="AR849" s="1" t="s">
        <v>242</v>
      </c>
      <c r="AS849" s="1" t="s">
        <v>243</v>
      </c>
      <c r="AT849" s="1" t="s">
        <v>74</v>
      </c>
      <c r="AU849" s="1">
        <v>1978</v>
      </c>
      <c r="AV849" s="1">
        <v>9</v>
      </c>
      <c r="AW849" s="1">
        <v>7</v>
      </c>
      <c r="AX849" s="1" t="s">
        <v>74</v>
      </c>
      <c r="AY849" s="1" t="s">
        <v>74</v>
      </c>
      <c r="AZ849" s="1" t="s">
        <v>74</v>
      </c>
      <c r="BA849" s="1" t="s">
        <v>74</v>
      </c>
      <c r="BB849" s="1">
        <v>187</v>
      </c>
      <c r="BC849" s="1">
        <v>190</v>
      </c>
      <c r="BD849" s="1" t="s">
        <v>74</v>
      </c>
      <c r="BE849" s="1" t="s">
        <v>14348</v>
      </c>
      <c r="BF849" s="1" t="str">
        <f>HYPERLINK("http://dx.doi.org/10.1016/0025-326X(78)90176-5","http://dx.doi.org/10.1016/0025-326X(78)90176-5")</f>
        <v>http://dx.doi.org/10.1016/0025-326X(78)90176-5</v>
      </c>
      <c r="BG849" s="1" t="s">
        <v>74</v>
      </c>
      <c r="BH849" s="1" t="s">
        <v>74</v>
      </c>
      <c r="BI849" s="1">
        <v>4</v>
      </c>
      <c r="BJ849" s="1" t="s">
        <v>247</v>
      </c>
      <c r="BK849" s="1" t="s">
        <v>96</v>
      </c>
      <c r="BL849" s="1" t="s">
        <v>248</v>
      </c>
      <c r="BM849" s="1" t="s">
        <v>14349</v>
      </c>
      <c r="BN849" s="1" t="s">
        <v>74</v>
      </c>
      <c r="BO849" s="1" t="s">
        <v>74</v>
      </c>
      <c r="BP849" s="1" t="s">
        <v>74</v>
      </c>
      <c r="BQ849" s="1" t="s">
        <v>74</v>
      </c>
      <c r="BR849" s="1" t="s">
        <v>98</v>
      </c>
      <c r="BS849" s="1" t="s">
        <v>14350</v>
      </c>
      <c r="BT849" s="1" t="str">
        <f>HYPERLINK("https%3A%2F%2Fwww.webofscience.com%2Fwos%2Fwoscc%2Ffull-record%2FWOS:A1978FK78200005","View Full Record in Web of Science")</f>
        <v>View Full Record in Web of Science</v>
      </c>
    </row>
    <row r="850" spans="1:72">
      <c r="A850" s="1" t="s">
        <v>72</v>
      </c>
      <c r="B850" s="1" t="s">
        <v>14351</v>
      </c>
      <c r="C850" s="1" t="s">
        <v>74</v>
      </c>
      <c r="D850" s="1" t="s">
        <v>74</v>
      </c>
      <c r="E850" s="1" t="s">
        <v>74</v>
      </c>
      <c r="F850" s="1" t="s">
        <v>14352</v>
      </c>
      <c r="G850" s="1" t="s">
        <v>74</v>
      </c>
      <c r="H850" s="1" t="s">
        <v>74</v>
      </c>
      <c r="I850" s="1" t="s">
        <v>14353</v>
      </c>
      <c r="J850" s="1" t="s">
        <v>3349</v>
      </c>
      <c r="K850" s="1" t="s">
        <v>74</v>
      </c>
      <c r="L850" s="1" t="s">
        <v>74</v>
      </c>
      <c r="M850" s="1" t="s">
        <v>78</v>
      </c>
      <c r="N850" s="1" t="s">
        <v>79</v>
      </c>
      <c r="O850" s="1" t="s">
        <v>74</v>
      </c>
      <c r="P850" s="1" t="s">
        <v>74</v>
      </c>
      <c r="Q850" s="1" t="s">
        <v>74</v>
      </c>
      <c r="R850" s="1" t="s">
        <v>74</v>
      </c>
      <c r="S850" s="1" t="s">
        <v>74</v>
      </c>
      <c r="T850" s="1" t="s">
        <v>14354</v>
      </c>
      <c r="U850" s="1" t="s">
        <v>14355</v>
      </c>
      <c r="V850" s="1" t="s">
        <v>14356</v>
      </c>
      <c r="W850" s="1" t="s">
        <v>14357</v>
      </c>
      <c r="X850" s="1" t="s">
        <v>14358</v>
      </c>
      <c r="Y850" s="1" t="s">
        <v>14359</v>
      </c>
      <c r="Z850" s="1" t="s">
        <v>74</v>
      </c>
      <c r="AA850" s="1" t="s">
        <v>14360</v>
      </c>
      <c r="AB850" s="1" t="s">
        <v>14361</v>
      </c>
      <c r="AC850" s="1" t="s">
        <v>74</v>
      </c>
      <c r="AD850" s="1" t="s">
        <v>74</v>
      </c>
      <c r="AE850" s="1" t="s">
        <v>74</v>
      </c>
      <c r="AF850" s="1" t="s">
        <v>74</v>
      </c>
      <c r="AG850" s="1">
        <v>78</v>
      </c>
      <c r="AH850" s="1">
        <v>61</v>
      </c>
      <c r="AI850" s="1">
        <v>72</v>
      </c>
      <c r="AJ850" s="1">
        <v>2</v>
      </c>
      <c r="AK850" s="1">
        <v>28</v>
      </c>
      <c r="AL850" s="1" t="s">
        <v>3362</v>
      </c>
      <c r="AM850" s="1" t="s">
        <v>3363</v>
      </c>
      <c r="AN850" s="1" t="s">
        <v>3364</v>
      </c>
      <c r="AO850" s="1" t="s">
        <v>3365</v>
      </c>
      <c r="AP850" s="1" t="s">
        <v>3366</v>
      </c>
      <c r="AQ850" s="1" t="s">
        <v>74</v>
      </c>
      <c r="AR850" s="1" t="s">
        <v>3367</v>
      </c>
      <c r="AS850" s="1" t="s">
        <v>3368</v>
      </c>
      <c r="AT850" s="1" t="s">
        <v>224</v>
      </c>
      <c r="AU850" s="1">
        <v>2007</v>
      </c>
      <c r="AV850" s="1">
        <v>66</v>
      </c>
      <c r="AW850" s="1">
        <v>2</v>
      </c>
      <c r="AX850" s="1" t="s">
        <v>74</v>
      </c>
      <c r="AY850" s="1" t="s">
        <v>74</v>
      </c>
      <c r="AZ850" s="1" t="s">
        <v>74</v>
      </c>
      <c r="BA850" s="1" t="s">
        <v>74</v>
      </c>
      <c r="BB850" s="1">
        <v>232</v>
      </c>
      <c r="BC850" s="1">
        <v>243</v>
      </c>
      <c r="BD850" s="1" t="s">
        <v>74</v>
      </c>
      <c r="BE850" s="1" t="s">
        <v>14362</v>
      </c>
      <c r="BF850" s="1" t="str">
        <f>HYPERLINK("http://dx.doi.org/10.1016/j.ecoenv.2006.03.011","http://dx.doi.org/10.1016/j.ecoenv.2006.03.011")</f>
        <v>http://dx.doi.org/10.1016/j.ecoenv.2006.03.011</v>
      </c>
      <c r="BG850" s="1" t="s">
        <v>74</v>
      </c>
      <c r="BH850" s="1" t="s">
        <v>74</v>
      </c>
      <c r="BI850" s="1">
        <v>12</v>
      </c>
      <c r="BJ850" s="1" t="s">
        <v>121</v>
      </c>
      <c r="BK850" s="1" t="s">
        <v>96</v>
      </c>
      <c r="BL850" s="1" t="s">
        <v>122</v>
      </c>
      <c r="BM850" s="1" t="s">
        <v>14363</v>
      </c>
      <c r="BN850" s="1">
        <v>16753214</v>
      </c>
      <c r="BO850" s="1" t="s">
        <v>74</v>
      </c>
      <c r="BP850" s="1" t="s">
        <v>74</v>
      </c>
      <c r="BQ850" s="1" t="s">
        <v>74</v>
      </c>
      <c r="BR850" s="1" t="s">
        <v>98</v>
      </c>
      <c r="BS850" s="1" t="s">
        <v>14364</v>
      </c>
      <c r="BT850" s="1" t="str">
        <f>HYPERLINK("https%3A%2F%2Fwww.webofscience.com%2Fwos%2Fwoscc%2Ffull-record%2FWOS:000243187000014","View Full Record in Web of Science")</f>
        <v>View Full Record in Web of Science</v>
      </c>
    </row>
    <row r="851" spans="1:72">
      <c r="A851" s="1" t="s">
        <v>72</v>
      </c>
      <c r="B851" s="1" t="s">
        <v>14365</v>
      </c>
      <c r="C851" s="1" t="s">
        <v>74</v>
      </c>
      <c r="D851" s="1" t="s">
        <v>74</v>
      </c>
      <c r="E851" s="1" t="s">
        <v>74</v>
      </c>
      <c r="F851" s="1" t="s">
        <v>14366</v>
      </c>
      <c r="G851" s="1" t="s">
        <v>74</v>
      </c>
      <c r="H851" s="1" t="s">
        <v>74</v>
      </c>
      <c r="I851" s="1" t="s">
        <v>14367</v>
      </c>
      <c r="J851" s="1" t="s">
        <v>4747</v>
      </c>
      <c r="K851" s="1" t="s">
        <v>74</v>
      </c>
      <c r="L851" s="1" t="s">
        <v>74</v>
      </c>
      <c r="M851" s="1" t="s">
        <v>78</v>
      </c>
      <c r="N851" s="1" t="s">
        <v>79</v>
      </c>
      <c r="O851" s="1" t="s">
        <v>74</v>
      </c>
      <c r="P851" s="1" t="s">
        <v>74</v>
      </c>
      <c r="Q851" s="1" t="s">
        <v>74</v>
      </c>
      <c r="R851" s="1" t="s">
        <v>74</v>
      </c>
      <c r="S851" s="1" t="s">
        <v>74</v>
      </c>
      <c r="T851" s="1" t="s">
        <v>14368</v>
      </c>
      <c r="U851" s="1" t="s">
        <v>14369</v>
      </c>
      <c r="V851" s="1" t="s">
        <v>14370</v>
      </c>
      <c r="W851" s="1" t="s">
        <v>14371</v>
      </c>
      <c r="X851" s="1" t="s">
        <v>14372</v>
      </c>
      <c r="Y851" s="1" t="s">
        <v>14373</v>
      </c>
      <c r="Z851" s="1" t="s">
        <v>14374</v>
      </c>
      <c r="AA851" s="1" t="s">
        <v>14375</v>
      </c>
      <c r="AB851" s="1" t="s">
        <v>74</v>
      </c>
      <c r="AC851" s="1" t="s">
        <v>14376</v>
      </c>
      <c r="AD851" s="1" t="s">
        <v>14377</v>
      </c>
      <c r="AE851" s="1" t="s">
        <v>14378</v>
      </c>
      <c r="AF851" s="1" t="s">
        <v>74</v>
      </c>
      <c r="AG851" s="1">
        <v>49</v>
      </c>
      <c r="AH851" s="1">
        <v>17</v>
      </c>
      <c r="AI851" s="1">
        <v>17</v>
      </c>
      <c r="AJ851" s="1">
        <v>13</v>
      </c>
      <c r="AK851" s="1">
        <v>90</v>
      </c>
      <c r="AL851" s="1" t="s">
        <v>650</v>
      </c>
      <c r="AM851" s="1" t="s">
        <v>651</v>
      </c>
      <c r="AN851" s="1" t="s">
        <v>652</v>
      </c>
      <c r="AO851" s="1" t="s">
        <v>4758</v>
      </c>
      <c r="AP851" s="1" t="s">
        <v>11139</v>
      </c>
      <c r="AQ851" s="1" t="s">
        <v>74</v>
      </c>
      <c r="AR851" s="1" t="s">
        <v>4759</v>
      </c>
      <c r="AS851" s="1" t="s">
        <v>4760</v>
      </c>
      <c r="AT851" s="1" t="s">
        <v>387</v>
      </c>
      <c r="AU851" s="1">
        <v>2022</v>
      </c>
      <c r="AV851" s="1">
        <v>430</v>
      </c>
      <c r="AW851" s="1" t="s">
        <v>74</v>
      </c>
      <c r="AX851" s="1" t="s">
        <v>74</v>
      </c>
      <c r="AY851" s="1" t="s">
        <v>74</v>
      </c>
      <c r="AZ851" s="1" t="s">
        <v>74</v>
      </c>
      <c r="BA851" s="1" t="s">
        <v>74</v>
      </c>
      <c r="BB851" s="1" t="s">
        <v>74</v>
      </c>
      <c r="BC851" s="1" t="s">
        <v>74</v>
      </c>
      <c r="BD851" s="1">
        <v>128455</v>
      </c>
      <c r="BE851" s="1" t="s">
        <v>14379</v>
      </c>
      <c r="BF851" s="1" t="str">
        <f>HYPERLINK("http://dx.doi.org/10.1016/j.jhazmat.2022.128455","http://dx.doi.org/10.1016/j.jhazmat.2022.128455")</f>
        <v>http://dx.doi.org/10.1016/j.jhazmat.2022.128455</v>
      </c>
      <c r="BG851" s="1" t="s">
        <v>74</v>
      </c>
      <c r="BH851" s="1" t="s">
        <v>528</v>
      </c>
      <c r="BI851" s="1">
        <v>9</v>
      </c>
      <c r="BJ851" s="1" t="s">
        <v>415</v>
      </c>
      <c r="BK851" s="1" t="s">
        <v>96</v>
      </c>
      <c r="BL851" s="1" t="s">
        <v>416</v>
      </c>
      <c r="BM851" s="1" t="s">
        <v>14380</v>
      </c>
      <c r="BN851" s="1">
        <v>35739657</v>
      </c>
      <c r="BO851" s="1" t="s">
        <v>74</v>
      </c>
      <c r="BP851" s="1" t="s">
        <v>74</v>
      </c>
      <c r="BQ851" s="1" t="s">
        <v>74</v>
      </c>
      <c r="BR851" s="1" t="s">
        <v>98</v>
      </c>
      <c r="BS851" s="1" t="s">
        <v>14381</v>
      </c>
      <c r="BT851" s="1" t="str">
        <f>HYPERLINK("https%3A%2F%2Fwww.webofscience.com%2Fwos%2Fwoscc%2Ffull-record%2FWOS:000762640800005","View Full Record in Web of Science")</f>
        <v>View Full Record in Web of Science</v>
      </c>
    </row>
    <row r="852" spans="1:72">
      <c r="A852" s="1" t="s">
        <v>72</v>
      </c>
      <c r="B852" s="1" t="s">
        <v>14382</v>
      </c>
      <c r="C852" s="1" t="s">
        <v>74</v>
      </c>
      <c r="D852" s="1" t="s">
        <v>74</v>
      </c>
      <c r="E852" s="1" t="s">
        <v>74</v>
      </c>
      <c r="F852" s="1" t="s">
        <v>14383</v>
      </c>
      <c r="G852" s="1" t="s">
        <v>74</v>
      </c>
      <c r="H852" s="1" t="s">
        <v>74</v>
      </c>
      <c r="I852" s="1" t="s">
        <v>14384</v>
      </c>
      <c r="J852" s="1" t="s">
        <v>14385</v>
      </c>
      <c r="K852" s="1" t="s">
        <v>74</v>
      </c>
      <c r="L852" s="1" t="s">
        <v>74</v>
      </c>
      <c r="M852" s="1" t="s">
        <v>78</v>
      </c>
      <c r="N852" s="1" t="s">
        <v>79</v>
      </c>
      <c r="O852" s="1" t="s">
        <v>74</v>
      </c>
      <c r="P852" s="1" t="s">
        <v>74</v>
      </c>
      <c r="Q852" s="1" t="s">
        <v>74</v>
      </c>
      <c r="R852" s="1" t="s">
        <v>74</v>
      </c>
      <c r="S852" s="1" t="s">
        <v>74</v>
      </c>
      <c r="T852" s="1" t="s">
        <v>14386</v>
      </c>
      <c r="U852" s="1" t="s">
        <v>14387</v>
      </c>
      <c r="V852" s="1" t="s">
        <v>14388</v>
      </c>
      <c r="W852" s="1" t="s">
        <v>14389</v>
      </c>
      <c r="X852" s="1" t="s">
        <v>14390</v>
      </c>
      <c r="Y852" s="1" t="s">
        <v>14391</v>
      </c>
      <c r="Z852" s="1" t="s">
        <v>14392</v>
      </c>
      <c r="AA852" s="1" t="s">
        <v>14393</v>
      </c>
      <c r="AB852" s="1" t="s">
        <v>74</v>
      </c>
      <c r="AC852" s="1" t="s">
        <v>14394</v>
      </c>
      <c r="AD852" s="1" t="s">
        <v>14395</v>
      </c>
      <c r="AE852" s="1" t="s">
        <v>14396</v>
      </c>
      <c r="AF852" s="1" t="s">
        <v>74</v>
      </c>
      <c r="AG852" s="1">
        <v>21</v>
      </c>
      <c r="AH852" s="1">
        <v>4</v>
      </c>
      <c r="AI852" s="1">
        <v>4</v>
      </c>
      <c r="AJ852" s="1">
        <v>0</v>
      </c>
      <c r="AK852" s="1">
        <v>14</v>
      </c>
      <c r="AL852" s="1" t="s">
        <v>7923</v>
      </c>
      <c r="AM852" s="1" t="s">
        <v>113</v>
      </c>
      <c r="AN852" s="1" t="s">
        <v>7924</v>
      </c>
      <c r="AO852" s="1" t="s">
        <v>14397</v>
      </c>
      <c r="AP852" s="1" t="s">
        <v>14398</v>
      </c>
      <c r="AQ852" s="1" t="s">
        <v>74</v>
      </c>
      <c r="AR852" s="1" t="s">
        <v>14399</v>
      </c>
      <c r="AS852" s="1" t="s">
        <v>14400</v>
      </c>
      <c r="AT852" s="1" t="s">
        <v>1223</v>
      </c>
      <c r="AU852" s="1">
        <v>2020</v>
      </c>
      <c r="AV852" s="1">
        <v>56</v>
      </c>
      <c r="AW852" s="1">
        <v>2</v>
      </c>
      <c r="AX852" s="1" t="s">
        <v>74</v>
      </c>
      <c r="AY852" s="1" t="s">
        <v>74</v>
      </c>
      <c r="AZ852" s="1" t="s">
        <v>74</v>
      </c>
      <c r="BA852" s="1" t="s">
        <v>74</v>
      </c>
      <c r="BB852" s="1">
        <v>125</v>
      </c>
      <c r="BC852" s="1">
        <v>132</v>
      </c>
      <c r="BD852" s="1" t="s">
        <v>74</v>
      </c>
      <c r="BE852" s="1" t="s">
        <v>14401</v>
      </c>
      <c r="BF852" s="1" t="str">
        <f>HYPERLINK("http://dx.doi.org/10.1134/S0022093020020040","http://dx.doi.org/10.1134/S0022093020020040")</f>
        <v>http://dx.doi.org/10.1134/S0022093020020040</v>
      </c>
      <c r="BG852" s="1" t="s">
        <v>74</v>
      </c>
      <c r="BH852" s="1" t="s">
        <v>74</v>
      </c>
      <c r="BI852" s="1">
        <v>8</v>
      </c>
      <c r="BJ852" s="1" t="s">
        <v>14402</v>
      </c>
      <c r="BK852" s="1" t="s">
        <v>96</v>
      </c>
      <c r="BL852" s="1" t="s">
        <v>14402</v>
      </c>
      <c r="BM852" s="1" t="s">
        <v>14403</v>
      </c>
      <c r="BN852" s="1" t="s">
        <v>74</v>
      </c>
      <c r="BO852" s="1" t="s">
        <v>74</v>
      </c>
      <c r="BP852" s="1" t="s">
        <v>74</v>
      </c>
      <c r="BQ852" s="1" t="s">
        <v>74</v>
      </c>
      <c r="BR852" s="1" t="s">
        <v>98</v>
      </c>
      <c r="BS852" s="1" t="s">
        <v>14404</v>
      </c>
      <c r="BT852" s="1" t="str">
        <f>HYPERLINK("https%3A%2F%2Fwww.webofscience.com%2Fwos%2Fwoscc%2Ffull-record%2FWOS:000535678800004","View Full Record in Web of Science")</f>
        <v>View Full Record in Web of Science</v>
      </c>
    </row>
    <row r="853" spans="1:72">
      <c r="A853" s="1" t="s">
        <v>72</v>
      </c>
      <c r="B853" s="1" t="s">
        <v>14405</v>
      </c>
      <c r="C853" s="1" t="s">
        <v>74</v>
      </c>
      <c r="D853" s="1" t="s">
        <v>74</v>
      </c>
      <c r="E853" s="1" t="s">
        <v>74</v>
      </c>
      <c r="F853" s="1" t="s">
        <v>14406</v>
      </c>
      <c r="G853" s="1" t="s">
        <v>74</v>
      </c>
      <c r="H853" s="1" t="s">
        <v>74</v>
      </c>
      <c r="I853" s="1" t="s">
        <v>14407</v>
      </c>
      <c r="J853" s="1" t="s">
        <v>127</v>
      </c>
      <c r="K853" s="1" t="s">
        <v>74</v>
      </c>
      <c r="L853" s="1" t="s">
        <v>74</v>
      </c>
      <c r="M853" s="1" t="s">
        <v>78</v>
      </c>
      <c r="N853" s="1" t="s">
        <v>79</v>
      </c>
      <c r="O853" s="1" t="s">
        <v>74</v>
      </c>
      <c r="P853" s="1" t="s">
        <v>74</v>
      </c>
      <c r="Q853" s="1" t="s">
        <v>74</v>
      </c>
      <c r="R853" s="1" t="s">
        <v>74</v>
      </c>
      <c r="S853" s="1" t="s">
        <v>74</v>
      </c>
      <c r="T853" s="1" t="s">
        <v>14408</v>
      </c>
      <c r="U853" s="1" t="s">
        <v>14409</v>
      </c>
      <c r="V853" s="1" t="s">
        <v>14410</v>
      </c>
      <c r="W853" s="1" t="s">
        <v>14411</v>
      </c>
      <c r="X853" s="1" t="s">
        <v>14412</v>
      </c>
      <c r="Y853" s="1" t="s">
        <v>14413</v>
      </c>
      <c r="Z853" s="1" t="s">
        <v>14414</v>
      </c>
      <c r="AA853" s="1" t="s">
        <v>14415</v>
      </c>
      <c r="AB853" s="1" t="s">
        <v>14416</v>
      </c>
      <c r="AC853" s="1" t="s">
        <v>14417</v>
      </c>
      <c r="AD853" s="1" t="s">
        <v>14418</v>
      </c>
      <c r="AE853" s="1" t="s">
        <v>14419</v>
      </c>
      <c r="AF853" s="1" t="s">
        <v>74</v>
      </c>
      <c r="AG853" s="1">
        <v>81</v>
      </c>
      <c r="AH853" s="1">
        <v>24</v>
      </c>
      <c r="AI853" s="1">
        <v>25</v>
      </c>
      <c r="AJ853" s="1">
        <v>0</v>
      </c>
      <c r="AK853" s="1">
        <v>58</v>
      </c>
      <c r="AL853" s="1" t="s">
        <v>136</v>
      </c>
      <c r="AM853" s="1" t="s">
        <v>137</v>
      </c>
      <c r="AN853" s="1" t="s">
        <v>138</v>
      </c>
      <c r="AO853" s="1" t="s">
        <v>139</v>
      </c>
      <c r="AP853" s="1" t="s">
        <v>140</v>
      </c>
      <c r="AQ853" s="1" t="s">
        <v>74</v>
      </c>
      <c r="AR853" s="1" t="s">
        <v>127</v>
      </c>
      <c r="AS853" s="1" t="s">
        <v>141</v>
      </c>
      <c r="AT853" s="1" t="s">
        <v>305</v>
      </c>
      <c r="AU853" s="1">
        <v>2021</v>
      </c>
      <c r="AV853" s="1">
        <v>279</v>
      </c>
      <c r="AW853" s="1" t="s">
        <v>74</v>
      </c>
      <c r="AX853" s="1" t="s">
        <v>74</v>
      </c>
      <c r="AY853" s="1" t="s">
        <v>74</v>
      </c>
      <c r="AZ853" s="1" t="s">
        <v>74</v>
      </c>
      <c r="BA853" s="1" t="s">
        <v>74</v>
      </c>
      <c r="BB853" s="1" t="s">
        <v>74</v>
      </c>
      <c r="BC853" s="1" t="s">
        <v>74</v>
      </c>
      <c r="BD853" s="1">
        <v>130570</v>
      </c>
      <c r="BE853" s="1" t="s">
        <v>14420</v>
      </c>
      <c r="BF853" s="1" t="str">
        <f>HYPERLINK("http://dx.doi.org/10.1016/j.chemosphere.2021.130570","http://dx.doi.org/10.1016/j.chemosphere.2021.130570")</f>
        <v>http://dx.doi.org/10.1016/j.chemosphere.2021.130570</v>
      </c>
      <c r="BG853" s="1" t="s">
        <v>74</v>
      </c>
      <c r="BH853" s="1" t="s">
        <v>14421</v>
      </c>
      <c r="BI853" s="1">
        <v>12</v>
      </c>
      <c r="BJ853" s="1" t="s">
        <v>144</v>
      </c>
      <c r="BK853" s="1" t="s">
        <v>96</v>
      </c>
      <c r="BL853" s="1" t="s">
        <v>145</v>
      </c>
      <c r="BM853" s="1" t="s">
        <v>14422</v>
      </c>
      <c r="BN853" s="1">
        <v>33895674</v>
      </c>
      <c r="BO853" s="1" t="s">
        <v>74</v>
      </c>
      <c r="BP853" s="1" t="s">
        <v>74</v>
      </c>
      <c r="BQ853" s="1" t="s">
        <v>74</v>
      </c>
      <c r="BR853" s="1" t="s">
        <v>98</v>
      </c>
      <c r="BS853" s="1" t="s">
        <v>14423</v>
      </c>
      <c r="BT853" s="1" t="str">
        <f>HYPERLINK("https%3A%2F%2Fwww.webofscience.com%2Fwos%2Fwoscc%2Ffull-record%2FWOS:000659971200091","View Full Record in Web of Science")</f>
        <v>View Full Record in Web of Science</v>
      </c>
    </row>
    <row r="854" spans="1:72">
      <c r="A854" s="1" t="s">
        <v>72</v>
      </c>
      <c r="B854" s="1" t="s">
        <v>14424</v>
      </c>
      <c r="C854" s="1" t="s">
        <v>74</v>
      </c>
      <c r="D854" s="1" t="s">
        <v>74</v>
      </c>
      <c r="E854" s="1" t="s">
        <v>74</v>
      </c>
      <c r="F854" s="1" t="s">
        <v>14424</v>
      </c>
      <c r="G854" s="1" t="s">
        <v>74</v>
      </c>
      <c r="H854" s="1" t="s">
        <v>74</v>
      </c>
      <c r="I854" s="1" t="s">
        <v>14425</v>
      </c>
      <c r="J854" s="1" t="s">
        <v>14426</v>
      </c>
      <c r="K854" s="1" t="s">
        <v>74</v>
      </c>
      <c r="L854" s="1" t="s">
        <v>74</v>
      </c>
      <c r="M854" s="1" t="s">
        <v>78</v>
      </c>
      <c r="N854" s="1" t="s">
        <v>79</v>
      </c>
      <c r="O854" s="1" t="s">
        <v>74</v>
      </c>
      <c r="P854" s="1" t="s">
        <v>74</v>
      </c>
      <c r="Q854" s="1" t="s">
        <v>74</v>
      </c>
      <c r="R854" s="1" t="s">
        <v>74</v>
      </c>
      <c r="S854" s="1" t="s">
        <v>74</v>
      </c>
      <c r="T854" s="1" t="s">
        <v>74</v>
      </c>
      <c r="U854" s="1" t="s">
        <v>74</v>
      </c>
      <c r="V854" s="1" t="s">
        <v>14427</v>
      </c>
      <c r="W854" s="1" t="s">
        <v>14428</v>
      </c>
      <c r="X854" s="1" t="s">
        <v>74</v>
      </c>
      <c r="Y854" s="1" t="s">
        <v>14429</v>
      </c>
      <c r="Z854" s="1" t="s">
        <v>74</v>
      </c>
      <c r="AA854" s="1" t="s">
        <v>14430</v>
      </c>
      <c r="AB854" s="1" t="s">
        <v>74</v>
      </c>
      <c r="AC854" s="1" t="s">
        <v>74</v>
      </c>
      <c r="AD854" s="1" t="s">
        <v>74</v>
      </c>
      <c r="AE854" s="1" t="s">
        <v>74</v>
      </c>
      <c r="AF854" s="1" t="s">
        <v>74</v>
      </c>
      <c r="AG854" s="1">
        <v>23</v>
      </c>
      <c r="AH854" s="1">
        <v>117</v>
      </c>
      <c r="AI854" s="1">
        <v>122</v>
      </c>
      <c r="AJ854" s="1">
        <v>0</v>
      </c>
      <c r="AK854" s="1">
        <v>2</v>
      </c>
      <c r="AL854" s="1" t="s">
        <v>650</v>
      </c>
      <c r="AM854" s="1" t="s">
        <v>651</v>
      </c>
      <c r="AN854" s="1" t="s">
        <v>652</v>
      </c>
      <c r="AO854" s="1" t="s">
        <v>14431</v>
      </c>
      <c r="AP854" s="1" t="s">
        <v>74</v>
      </c>
      <c r="AQ854" s="1" t="s">
        <v>74</v>
      </c>
      <c r="AR854" s="1" t="s">
        <v>14432</v>
      </c>
      <c r="AS854" s="1" t="s">
        <v>14433</v>
      </c>
      <c r="AT854" s="1" t="s">
        <v>74</v>
      </c>
      <c r="AU854" s="1">
        <v>1979</v>
      </c>
      <c r="AV854" s="1">
        <v>580</v>
      </c>
      <c r="AW854" s="1">
        <v>2</v>
      </c>
      <c r="AX854" s="1" t="s">
        <v>74</v>
      </c>
      <c r="AY854" s="1" t="s">
        <v>74</v>
      </c>
      <c r="AZ854" s="1" t="s">
        <v>74</v>
      </c>
      <c r="BA854" s="1" t="s">
        <v>74</v>
      </c>
      <c r="BB854" s="1">
        <v>225</v>
      </c>
      <c r="BC854" s="1">
        <v>233</v>
      </c>
      <c r="BD854" s="1" t="s">
        <v>74</v>
      </c>
      <c r="BE854" s="1" t="s">
        <v>14434</v>
      </c>
      <c r="BF854" s="1" t="str">
        <f>HYPERLINK("http://dx.doi.org/10.1016/0005-2795(79)90135-1","http://dx.doi.org/10.1016/0005-2795(79)90135-1")</f>
        <v>http://dx.doi.org/10.1016/0005-2795(79)90135-1</v>
      </c>
      <c r="BG854" s="1" t="s">
        <v>74</v>
      </c>
      <c r="BH854" s="1" t="s">
        <v>74</v>
      </c>
      <c r="BI854" s="1">
        <v>9</v>
      </c>
      <c r="BJ854" s="1" t="s">
        <v>14435</v>
      </c>
      <c r="BK854" s="1" t="s">
        <v>96</v>
      </c>
      <c r="BL854" s="1" t="s">
        <v>14435</v>
      </c>
      <c r="BM854" s="1" t="s">
        <v>14436</v>
      </c>
      <c r="BN854" s="1">
        <v>518899</v>
      </c>
      <c r="BO854" s="1" t="s">
        <v>74</v>
      </c>
      <c r="BP854" s="1" t="s">
        <v>74</v>
      </c>
      <c r="BQ854" s="1" t="s">
        <v>74</v>
      </c>
      <c r="BR854" s="1" t="s">
        <v>98</v>
      </c>
      <c r="BS854" s="1" t="s">
        <v>14437</v>
      </c>
      <c r="BT854" s="1" t="str">
        <f>HYPERLINK("https%3A%2F%2Fwww.webofscience.com%2Fwos%2Fwoscc%2Ffull-record%2FWOS:A1979HR95100001","View Full Record in Web of Science")</f>
        <v>View Full Record in Web of Science</v>
      </c>
    </row>
    <row r="855" spans="1:72">
      <c r="A855" s="1" t="s">
        <v>72</v>
      </c>
      <c r="B855" s="1" t="s">
        <v>14438</v>
      </c>
      <c r="C855" s="1" t="s">
        <v>74</v>
      </c>
      <c r="D855" s="1" t="s">
        <v>74</v>
      </c>
      <c r="E855" s="1" t="s">
        <v>74</v>
      </c>
      <c r="F855" s="1" t="s">
        <v>14438</v>
      </c>
      <c r="G855" s="1" t="s">
        <v>74</v>
      </c>
      <c r="H855" s="1" t="s">
        <v>74</v>
      </c>
      <c r="I855" s="1" t="s">
        <v>14439</v>
      </c>
      <c r="J855" s="1" t="s">
        <v>1254</v>
      </c>
      <c r="K855" s="1" t="s">
        <v>74</v>
      </c>
      <c r="L855" s="1" t="s">
        <v>74</v>
      </c>
      <c r="M855" s="1" t="s">
        <v>78</v>
      </c>
      <c r="N855" s="1" t="s">
        <v>79</v>
      </c>
      <c r="O855" s="1" t="s">
        <v>74</v>
      </c>
      <c r="P855" s="1" t="s">
        <v>74</v>
      </c>
      <c r="Q855" s="1" t="s">
        <v>74</v>
      </c>
      <c r="R855" s="1" t="s">
        <v>74</v>
      </c>
      <c r="S855" s="1" t="s">
        <v>74</v>
      </c>
      <c r="T855" s="1" t="s">
        <v>14440</v>
      </c>
      <c r="U855" s="1" t="s">
        <v>14441</v>
      </c>
      <c r="V855" s="1" t="s">
        <v>14442</v>
      </c>
      <c r="W855" s="1" t="s">
        <v>14443</v>
      </c>
      <c r="X855" s="1" t="s">
        <v>6330</v>
      </c>
      <c r="Y855" s="1" t="s">
        <v>14444</v>
      </c>
      <c r="Z855" s="1" t="s">
        <v>14445</v>
      </c>
      <c r="AA855" s="1" t="s">
        <v>6332</v>
      </c>
      <c r="AB855" s="1" t="s">
        <v>6333</v>
      </c>
      <c r="AC855" s="1" t="s">
        <v>74</v>
      </c>
      <c r="AD855" s="1" t="s">
        <v>74</v>
      </c>
      <c r="AE855" s="1" t="s">
        <v>74</v>
      </c>
      <c r="AF855" s="1" t="s">
        <v>74</v>
      </c>
      <c r="AG855" s="1">
        <v>41</v>
      </c>
      <c r="AH855" s="1">
        <v>90</v>
      </c>
      <c r="AI855" s="1">
        <v>104</v>
      </c>
      <c r="AJ855" s="1">
        <v>2</v>
      </c>
      <c r="AK855" s="1">
        <v>110</v>
      </c>
      <c r="AL855" s="1" t="s">
        <v>136</v>
      </c>
      <c r="AM855" s="1" t="s">
        <v>137</v>
      </c>
      <c r="AN855" s="1" t="s">
        <v>138</v>
      </c>
      <c r="AO855" s="1" t="s">
        <v>1264</v>
      </c>
      <c r="AP855" s="1" t="s">
        <v>1265</v>
      </c>
      <c r="AQ855" s="1" t="s">
        <v>74</v>
      </c>
      <c r="AR855" s="1" t="s">
        <v>1266</v>
      </c>
      <c r="AS855" s="1" t="s">
        <v>1267</v>
      </c>
      <c r="AT855" s="1" t="s">
        <v>267</v>
      </c>
      <c r="AU855" s="1">
        <v>2005</v>
      </c>
      <c r="AV855" s="1">
        <v>31</v>
      </c>
      <c r="AW855" s="1">
        <v>8</v>
      </c>
      <c r="AX855" s="1" t="s">
        <v>74</v>
      </c>
      <c r="AY855" s="1" t="s">
        <v>74</v>
      </c>
      <c r="AZ855" s="1" t="s">
        <v>74</v>
      </c>
      <c r="BA855" s="1" t="s">
        <v>74</v>
      </c>
      <c r="BB855" s="1">
        <v>1103</v>
      </c>
      <c r="BC855" s="1">
        <v>1113</v>
      </c>
      <c r="BD855" s="1" t="s">
        <v>74</v>
      </c>
      <c r="BE855" s="1" t="s">
        <v>14446</v>
      </c>
      <c r="BF855" s="1" t="str">
        <f>HYPERLINK("http://dx.doi.org/10.1016/j.envint.2005.02.005","http://dx.doi.org/10.1016/j.envint.2005.02.005")</f>
        <v>http://dx.doi.org/10.1016/j.envint.2005.02.005</v>
      </c>
      <c r="BG855" s="1" t="s">
        <v>74</v>
      </c>
      <c r="BH855" s="1" t="s">
        <v>74</v>
      </c>
      <c r="BI855" s="1">
        <v>11</v>
      </c>
      <c r="BJ855" s="1" t="s">
        <v>144</v>
      </c>
      <c r="BK855" s="1" t="s">
        <v>96</v>
      </c>
      <c r="BL855" s="1" t="s">
        <v>145</v>
      </c>
      <c r="BM855" s="1" t="s">
        <v>14447</v>
      </c>
      <c r="BN855" s="1">
        <v>15936079</v>
      </c>
      <c r="BO855" s="1" t="s">
        <v>74</v>
      </c>
      <c r="BP855" s="1" t="s">
        <v>74</v>
      </c>
      <c r="BQ855" s="1" t="s">
        <v>74</v>
      </c>
      <c r="BR855" s="1" t="s">
        <v>98</v>
      </c>
      <c r="BS855" s="1" t="s">
        <v>14448</v>
      </c>
      <c r="BT855" s="1" t="str">
        <f>HYPERLINK("https%3A%2F%2Fwww.webofscience.com%2Fwos%2Fwoscc%2Ffull-record%2FWOS:000232077900001","View Full Record in Web of Science")</f>
        <v>View Full Record in Web of Science</v>
      </c>
    </row>
    <row r="856" spans="1:72">
      <c r="A856" s="1" t="s">
        <v>72</v>
      </c>
      <c r="B856" s="1" t="s">
        <v>14449</v>
      </c>
      <c r="C856" s="1" t="s">
        <v>74</v>
      </c>
      <c r="D856" s="1" t="s">
        <v>74</v>
      </c>
      <c r="E856" s="1" t="s">
        <v>74</v>
      </c>
      <c r="F856" s="1" t="s">
        <v>14449</v>
      </c>
      <c r="G856" s="1" t="s">
        <v>74</v>
      </c>
      <c r="H856" s="1" t="s">
        <v>74</v>
      </c>
      <c r="I856" s="1" t="s">
        <v>14450</v>
      </c>
      <c r="J856" s="1" t="s">
        <v>2894</v>
      </c>
      <c r="K856" s="1" t="s">
        <v>74</v>
      </c>
      <c r="L856" s="1" t="s">
        <v>74</v>
      </c>
      <c r="M856" s="1" t="s">
        <v>78</v>
      </c>
      <c r="N856" s="1" t="s">
        <v>79</v>
      </c>
      <c r="O856" s="1" t="s">
        <v>74</v>
      </c>
      <c r="P856" s="1" t="s">
        <v>74</v>
      </c>
      <c r="Q856" s="1" t="s">
        <v>74</v>
      </c>
      <c r="R856" s="1" t="s">
        <v>74</v>
      </c>
      <c r="S856" s="1" t="s">
        <v>74</v>
      </c>
      <c r="T856" s="1" t="s">
        <v>74</v>
      </c>
      <c r="U856" s="1" t="s">
        <v>14451</v>
      </c>
      <c r="V856" s="1" t="s">
        <v>14452</v>
      </c>
      <c r="W856" s="1" t="s">
        <v>74</v>
      </c>
      <c r="X856" s="1" t="s">
        <v>74</v>
      </c>
      <c r="Y856" s="1" t="s">
        <v>14453</v>
      </c>
      <c r="Z856" s="1" t="s">
        <v>74</v>
      </c>
      <c r="AA856" s="1" t="s">
        <v>14454</v>
      </c>
      <c r="AB856" s="1" t="s">
        <v>14455</v>
      </c>
      <c r="AC856" s="1" t="s">
        <v>74</v>
      </c>
      <c r="AD856" s="1" t="s">
        <v>74</v>
      </c>
      <c r="AE856" s="1" t="s">
        <v>74</v>
      </c>
      <c r="AF856" s="1" t="s">
        <v>74</v>
      </c>
      <c r="AG856" s="1">
        <v>61</v>
      </c>
      <c r="AH856" s="1">
        <v>196</v>
      </c>
      <c r="AI856" s="1">
        <v>200</v>
      </c>
      <c r="AJ856" s="1">
        <v>0</v>
      </c>
      <c r="AK856" s="1">
        <v>15</v>
      </c>
      <c r="AL856" s="1" t="s">
        <v>2904</v>
      </c>
      <c r="AM856" s="1" t="s">
        <v>2905</v>
      </c>
      <c r="AN856" s="1" t="s">
        <v>2906</v>
      </c>
      <c r="AO856" s="1" t="s">
        <v>2907</v>
      </c>
      <c r="AP856" s="1" t="s">
        <v>74</v>
      </c>
      <c r="AQ856" s="1" t="s">
        <v>74</v>
      </c>
      <c r="AR856" s="1" t="s">
        <v>2908</v>
      </c>
      <c r="AS856" s="1" t="s">
        <v>2909</v>
      </c>
      <c r="AT856" s="1" t="s">
        <v>765</v>
      </c>
      <c r="AU856" s="1">
        <v>1992</v>
      </c>
      <c r="AV856" s="1">
        <v>84</v>
      </c>
      <c r="AW856" s="1">
        <v>1</v>
      </c>
      <c r="AX856" s="1" t="s">
        <v>74</v>
      </c>
      <c r="AY856" s="1" t="s">
        <v>74</v>
      </c>
      <c r="AZ856" s="1" t="s">
        <v>74</v>
      </c>
      <c r="BA856" s="1" t="s">
        <v>74</v>
      </c>
      <c r="BB856" s="1">
        <v>63</v>
      </c>
      <c r="BC856" s="1">
        <v>69</v>
      </c>
      <c r="BD856" s="1" t="s">
        <v>74</v>
      </c>
      <c r="BE856" s="1" t="s">
        <v>14456</v>
      </c>
      <c r="BF856" s="1" t="str">
        <f>HYPERLINK("http://dx.doi.org/10.3354/meps084063","http://dx.doi.org/10.3354/meps084063")</f>
        <v>http://dx.doi.org/10.3354/meps084063</v>
      </c>
      <c r="BG856" s="1" t="s">
        <v>74</v>
      </c>
      <c r="BH856" s="1" t="s">
        <v>74</v>
      </c>
      <c r="BI856" s="1">
        <v>7</v>
      </c>
      <c r="BJ856" s="1" t="s">
        <v>2911</v>
      </c>
      <c r="BK856" s="1" t="s">
        <v>96</v>
      </c>
      <c r="BL856" s="1" t="s">
        <v>2912</v>
      </c>
      <c r="BM856" s="1" t="s">
        <v>14457</v>
      </c>
      <c r="BN856" s="1" t="s">
        <v>74</v>
      </c>
      <c r="BO856" s="1" t="s">
        <v>370</v>
      </c>
      <c r="BP856" s="1" t="s">
        <v>74</v>
      </c>
      <c r="BQ856" s="1" t="s">
        <v>74</v>
      </c>
      <c r="BR856" s="1" t="s">
        <v>98</v>
      </c>
      <c r="BS856" s="1" t="s">
        <v>14458</v>
      </c>
      <c r="BT856" s="1" t="str">
        <f>HYPERLINK("https%3A%2F%2Fwww.webofscience.com%2Fwos%2Fwoscc%2Ffull-record%2FWOS:A1992JF72800007","View Full Record in Web of Science")</f>
        <v>View Full Record in Web of Science</v>
      </c>
    </row>
    <row r="857" spans="1:72">
      <c r="A857" s="1" t="s">
        <v>72</v>
      </c>
      <c r="B857" s="1" t="s">
        <v>14459</v>
      </c>
      <c r="C857" s="1" t="s">
        <v>74</v>
      </c>
      <c r="D857" s="1" t="s">
        <v>74</v>
      </c>
      <c r="E857" s="1" t="s">
        <v>74</v>
      </c>
      <c r="F857" s="1" t="s">
        <v>14459</v>
      </c>
      <c r="G857" s="1" t="s">
        <v>74</v>
      </c>
      <c r="H857" s="1" t="s">
        <v>74</v>
      </c>
      <c r="I857" s="1" t="s">
        <v>14460</v>
      </c>
      <c r="J857" s="1" t="s">
        <v>232</v>
      </c>
      <c r="K857" s="1" t="s">
        <v>74</v>
      </c>
      <c r="L857" s="1" t="s">
        <v>74</v>
      </c>
      <c r="M857" s="1" t="s">
        <v>78</v>
      </c>
      <c r="N857" s="1" t="s">
        <v>79</v>
      </c>
      <c r="O857" s="1" t="s">
        <v>74</v>
      </c>
      <c r="P857" s="1" t="s">
        <v>74</v>
      </c>
      <c r="Q857" s="1" t="s">
        <v>74</v>
      </c>
      <c r="R857" s="1" t="s">
        <v>74</v>
      </c>
      <c r="S857" s="1" t="s">
        <v>74</v>
      </c>
      <c r="T857" s="1" t="s">
        <v>14461</v>
      </c>
      <c r="U857" s="1" t="s">
        <v>14462</v>
      </c>
      <c r="V857" s="1" t="s">
        <v>14463</v>
      </c>
      <c r="W857" s="1" t="s">
        <v>14464</v>
      </c>
      <c r="X857" s="1" t="s">
        <v>74</v>
      </c>
      <c r="Y857" s="1" t="s">
        <v>14465</v>
      </c>
      <c r="Z857" s="1" t="s">
        <v>14466</v>
      </c>
      <c r="AA857" s="1" t="s">
        <v>7184</v>
      </c>
      <c r="AB857" s="1" t="s">
        <v>74</v>
      </c>
      <c r="AC857" s="1" t="s">
        <v>74</v>
      </c>
      <c r="AD857" s="1" t="s">
        <v>74</v>
      </c>
      <c r="AE857" s="1" t="s">
        <v>74</v>
      </c>
      <c r="AF857" s="1" t="s">
        <v>74</v>
      </c>
      <c r="AG857" s="1">
        <v>23</v>
      </c>
      <c r="AH857" s="1">
        <v>17</v>
      </c>
      <c r="AI857" s="1">
        <v>19</v>
      </c>
      <c r="AJ857" s="1">
        <v>0</v>
      </c>
      <c r="AK857" s="1">
        <v>8</v>
      </c>
      <c r="AL857" s="1" t="s">
        <v>136</v>
      </c>
      <c r="AM857" s="1" t="s">
        <v>137</v>
      </c>
      <c r="AN857" s="1" t="s">
        <v>138</v>
      </c>
      <c r="AO857" s="1" t="s">
        <v>240</v>
      </c>
      <c r="AP857" s="1" t="s">
        <v>241</v>
      </c>
      <c r="AQ857" s="1" t="s">
        <v>74</v>
      </c>
      <c r="AR857" s="1" t="s">
        <v>242</v>
      </c>
      <c r="AS857" s="1" t="s">
        <v>243</v>
      </c>
      <c r="AT857" s="1" t="s">
        <v>197</v>
      </c>
      <c r="AU857" s="1">
        <v>2003</v>
      </c>
      <c r="AV857" s="1">
        <v>46</v>
      </c>
      <c r="AW857" s="1">
        <v>12</v>
      </c>
      <c r="AX857" s="1" t="s">
        <v>74</v>
      </c>
      <c r="AY857" s="1" t="s">
        <v>74</v>
      </c>
      <c r="AZ857" s="1" t="s">
        <v>74</v>
      </c>
      <c r="BA857" s="1" t="s">
        <v>74</v>
      </c>
      <c r="BB857" s="1">
        <v>1549</v>
      </c>
      <c r="BC857" s="1">
        <v>1557</v>
      </c>
      <c r="BD857" s="1" t="s">
        <v>74</v>
      </c>
      <c r="BE857" s="1" t="s">
        <v>14467</v>
      </c>
      <c r="BF857" s="1" t="str">
        <f>HYPERLINK("http://dx.doi.org/10.1016/S0025-326X(03)00316-3","http://dx.doi.org/10.1016/S0025-326X(03)00316-3")</f>
        <v>http://dx.doi.org/10.1016/S0025-326X(03)00316-3</v>
      </c>
      <c r="BG857" s="1" t="s">
        <v>74</v>
      </c>
      <c r="BH857" s="1" t="s">
        <v>74</v>
      </c>
      <c r="BI857" s="1">
        <v>9</v>
      </c>
      <c r="BJ857" s="1" t="s">
        <v>247</v>
      </c>
      <c r="BK857" s="1" t="s">
        <v>96</v>
      </c>
      <c r="BL857" s="1" t="s">
        <v>248</v>
      </c>
      <c r="BM857" s="1" t="s">
        <v>14468</v>
      </c>
      <c r="BN857" s="1">
        <v>14643781</v>
      </c>
      <c r="BO857" s="1" t="s">
        <v>74</v>
      </c>
      <c r="BP857" s="1" t="s">
        <v>74</v>
      </c>
      <c r="BQ857" s="1" t="s">
        <v>74</v>
      </c>
      <c r="BR857" s="1" t="s">
        <v>98</v>
      </c>
      <c r="BS857" s="1" t="s">
        <v>14469</v>
      </c>
      <c r="BT857" s="1" t="str">
        <f>HYPERLINK("https%3A%2F%2Fwww.webofscience.com%2Fwos%2Fwoscc%2Ffull-record%2FWOS:000187353900016","View Full Record in Web of Science")</f>
        <v>View Full Record in Web of Science</v>
      </c>
    </row>
    <row r="858" spans="1:72">
      <c r="A858" s="1" t="s">
        <v>72</v>
      </c>
      <c r="B858" s="1" t="s">
        <v>14470</v>
      </c>
      <c r="C858" s="1" t="s">
        <v>74</v>
      </c>
      <c r="D858" s="1" t="s">
        <v>74</v>
      </c>
      <c r="E858" s="1" t="s">
        <v>74</v>
      </c>
      <c r="F858" s="1" t="s">
        <v>14470</v>
      </c>
      <c r="G858" s="1" t="s">
        <v>74</v>
      </c>
      <c r="H858" s="1" t="s">
        <v>74</v>
      </c>
      <c r="I858" s="1" t="s">
        <v>14471</v>
      </c>
      <c r="J858" s="1" t="s">
        <v>5592</v>
      </c>
      <c r="K858" s="1" t="s">
        <v>74</v>
      </c>
      <c r="L858" s="1" t="s">
        <v>74</v>
      </c>
      <c r="M858" s="1" t="s">
        <v>78</v>
      </c>
      <c r="N858" s="1" t="s">
        <v>79</v>
      </c>
      <c r="O858" s="1" t="s">
        <v>74</v>
      </c>
      <c r="P858" s="1" t="s">
        <v>74</v>
      </c>
      <c r="Q858" s="1" t="s">
        <v>74</v>
      </c>
      <c r="R858" s="1" t="s">
        <v>74</v>
      </c>
      <c r="S858" s="1" t="s">
        <v>74</v>
      </c>
      <c r="T858" s="1" t="s">
        <v>14472</v>
      </c>
      <c r="U858" s="1" t="s">
        <v>14473</v>
      </c>
      <c r="V858" s="1" t="s">
        <v>74</v>
      </c>
      <c r="W858" s="1" t="s">
        <v>14474</v>
      </c>
      <c r="X858" s="1" t="s">
        <v>9556</v>
      </c>
      <c r="Y858" s="1" t="s">
        <v>74</v>
      </c>
      <c r="Z858" s="1" t="s">
        <v>74</v>
      </c>
      <c r="AA858" s="1" t="s">
        <v>14475</v>
      </c>
      <c r="AB858" s="1" t="s">
        <v>14476</v>
      </c>
      <c r="AC858" s="1" t="s">
        <v>74</v>
      </c>
      <c r="AD858" s="1" t="s">
        <v>74</v>
      </c>
      <c r="AE858" s="1" t="s">
        <v>74</v>
      </c>
      <c r="AF858" s="1" t="s">
        <v>74</v>
      </c>
      <c r="AG858" s="1">
        <v>34</v>
      </c>
      <c r="AH858" s="1">
        <v>41</v>
      </c>
      <c r="AI858" s="1">
        <v>45</v>
      </c>
      <c r="AJ858" s="1">
        <v>0</v>
      </c>
      <c r="AK858" s="1">
        <v>11</v>
      </c>
      <c r="AL858" s="1" t="s">
        <v>14477</v>
      </c>
      <c r="AM858" s="1" t="s">
        <v>286</v>
      </c>
      <c r="AN858" s="1" t="s">
        <v>10430</v>
      </c>
      <c r="AO858" s="1" t="s">
        <v>5605</v>
      </c>
      <c r="AP858" s="1" t="s">
        <v>74</v>
      </c>
      <c r="AQ858" s="1" t="s">
        <v>74</v>
      </c>
      <c r="AR858" s="1" t="s">
        <v>5607</v>
      </c>
      <c r="AS858" s="1" t="s">
        <v>5608</v>
      </c>
      <c r="AT858" s="1" t="s">
        <v>765</v>
      </c>
      <c r="AU858" s="1">
        <v>1994</v>
      </c>
      <c r="AV858" s="1">
        <v>39</v>
      </c>
      <c r="AW858" s="1">
        <v>1</v>
      </c>
      <c r="AX858" s="1" t="s">
        <v>74</v>
      </c>
      <c r="AY858" s="1" t="s">
        <v>74</v>
      </c>
      <c r="AZ858" s="1" t="s">
        <v>74</v>
      </c>
      <c r="BA858" s="1" t="s">
        <v>74</v>
      </c>
      <c r="BB858" s="1">
        <v>93</v>
      </c>
      <c r="BC858" s="1">
        <v>104</v>
      </c>
      <c r="BD858" s="1" t="s">
        <v>74</v>
      </c>
      <c r="BE858" s="1" t="s">
        <v>14478</v>
      </c>
      <c r="BF858" s="1" t="str">
        <f>HYPERLINK("http://dx.doi.org/10.1006/ecss.1994.1051","http://dx.doi.org/10.1006/ecss.1994.1051")</f>
        <v>http://dx.doi.org/10.1006/ecss.1994.1051</v>
      </c>
      <c r="BG858" s="1" t="s">
        <v>74</v>
      </c>
      <c r="BH858" s="1" t="s">
        <v>74</v>
      </c>
      <c r="BI858" s="1">
        <v>12</v>
      </c>
      <c r="BJ858" s="1" t="s">
        <v>4241</v>
      </c>
      <c r="BK858" s="1" t="s">
        <v>96</v>
      </c>
      <c r="BL858" s="1" t="s">
        <v>4241</v>
      </c>
      <c r="BM858" s="1" t="s">
        <v>14479</v>
      </c>
      <c r="BN858" s="1" t="s">
        <v>74</v>
      </c>
      <c r="BO858" s="1" t="s">
        <v>74</v>
      </c>
      <c r="BP858" s="1" t="s">
        <v>74</v>
      </c>
      <c r="BQ858" s="1" t="s">
        <v>74</v>
      </c>
      <c r="BR858" s="1" t="s">
        <v>98</v>
      </c>
      <c r="BS858" s="1" t="s">
        <v>14480</v>
      </c>
      <c r="BT858" s="1" t="str">
        <f>HYPERLINK("https%3A%2F%2Fwww.webofscience.com%2Fwos%2Fwoscc%2Ffull-record%2FWOS:A1994PA77700007","View Full Record in Web of Science")</f>
        <v>View Full Record in Web of Science</v>
      </c>
    </row>
    <row r="859" spans="1:72">
      <c r="A859" s="1" t="s">
        <v>72</v>
      </c>
      <c r="B859" s="1" t="s">
        <v>14481</v>
      </c>
      <c r="C859" s="1" t="s">
        <v>74</v>
      </c>
      <c r="D859" s="1" t="s">
        <v>74</v>
      </c>
      <c r="E859" s="1" t="s">
        <v>74</v>
      </c>
      <c r="F859" s="1" t="s">
        <v>14482</v>
      </c>
      <c r="G859" s="1" t="s">
        <v>74</v>
      </c>
      <c r="H859" s="1" t="s">
        <v>74</v>
      </c>
      <c r="I859" s="1" t="s">
        <v>14483</v>
      </c>
      <c r="J859" s="1" t="s">
        <v>495</v>
      </c>
      <c r="K859" s="1" t="s">
        <v>74</v>
      </c>
      <c r="L859" s="1" t="s">
        <v>74</v>
      </c>
      <c r="M859" s="1" t="s">
        <v>78</v>
      </c>
      <c r="N859" s="1" t="s">
        <v>79</v>
      </c>
      <c r="O859" s="1" t="s">
        <v>74</v>
      </c>
      <c r="P859" s="1" t="s">
        <v>74</v>
      </c>
      <c r="Q859" s="1" t="s">
        <v>74</v>
      </c>
      <c r="R859" s="1" t="s">
        <v>74</v>
      </c>
      <c r="S859" s="1" t="s">
        <v>74</v>
      </c>
      <c r="T859" s="1" t="s">
        <v>14484</v>
      </c>
      <c r="U859" s="1" t="s">
        <v>14485</v>
      </c>
      <c r="V859" s="1" t="s">
        <v>14486</v>
      </c>
      <c r="W859" s="1" t="s">
        <v>14487</v>
      </c>
      <c r="X859" s="1" t="s">
        <v>14488</v>
      </c>
      <c r="Y859" s="1" t="s">
        <v>14489</v>
      </c>
      <c r="Z859" s="1" t="s">
        <v>14490</v>
      </c>
      <c r="AA859" s="1" t="s">
        <v>14491</v>
      </c>
      <c r="AB859" s="1" t="s">
        <v>14492</v>
      </c>
      <c r="AC859" s="1" t="s">
        <v>14493</v>
      </c>
      <c r="AD859" s="1" t="s">
        <v>14494</v>
      </c>
      <c r="AE859" s="1" t="s">
        <v>14495</v>
      </c>
      <c r="AF859" s="1" t="s">
        <v>74</v>
      </c>
      <c r="AG859" s="1">
        <v>31</v>
      </c>
      <c r="AH859" s="1">
        <v>6</v>
      </c>
      <c r="AI859" s="1">
        <v>7</v>
      </c>
      <c r="AJ859" s="1">
        <v>0</v>
      </c>
      <c r="AK859" s="1">
        <v>41</v>
      </c>
      <c r="AL859" s="1" t="s">
        <v>1030</v>
      </c>
      <c r="AM859" s="1" t="s">
        <v>1031</v>
      </c>
      <c r="AN859" s="1" t="s">
        <v>1032</v>
      </c>
      <c r="AO859" s="1" t="s">
        <v>507</v>
      </c>
      <c r="AP859" s="1" t="s">
        <v>74</v>
      </c>
      <c r="AQ859" s="1" t="s">
        <v>74</v>
      </c>
      <c r="AR859" s="1" t="s">
        <v>508</v>
      </c>
      <c r="AS859" s="1" t="s">
        <v>509</v>
      </c>
      <c r="AT859" s="1" t="s">
        <v>74</v>
      </c>
      <c r="AU859" s="1">
        <v>2012</v>
      </c>
      <c r="AV859" s="1">
        <v>21</v>
      </c>
      <c r="AW859" s="1">
        <v>8</v>
      </c>
      <c r="AX859" s="1" t="s">
        <v>74</v>
      </c>
      <c r="AY859" s="1" t="s">
        <v>74</v>
      </c>
      <c r="AZ859" s="1" t="s">
        <v>74</v>
      </c>
      <c r="BA859" s="1" t="s">
        <v>74</v>
      </c>
      <c r="BB859" s="1">
        <v>2056</v>
      </c>
      <c r="BC859" s="1">
        <v>2061</v>
      </c>
      <c r="BD859" s="1" t="s">
        <v>74</v>
      </c>
      <c r="BE859" s="1" t="s">
        <v>74</v>
      </c>
      <c r="BF859" s="1" t="s">
        <v>74</v>
      </c>
      <c r="BG859" s="1" t="s">
        <v>74</v>
      </c>
      <c r="BH859" s="1" t="s">
        <v>74</v>
      </c>
      <c r="BI859" s="1">
        <v>6</v>
      </c>
      <c r="BJ859" s="1" t="s">
        <v>144</v>
      </c>
      <c r="BK859" s="1" t="s">
        <v>96</v>
      </c>
      <c r="BL859" s="1" t="s">
        <v>145</v>
      </c>
      <c r="BM859" s="1" t="s">
        <v>11563</v>
      </c>
      <c r="BN859" s="1" t="s">
        <v>74</v>
      </c>
      <c r="BO859" s="1" t="s">
        <v>74</v>
      </c>
      <c r="BP859" s="1" t="s">
        <v>74</v>
      </c>
      <c r="BQ859" s="1" t="s">
        <v>74</v>
      </c>
      <c r="BR859" s="1" t="s">
        <v>98</v>
      </c>
      <c r="BS859" s="1" t="s">
        <v>14496</v>
      </c>
      <c r="BT859" s="1" t="str">
        <f>HYPERLINK("https%3A%2F%2Fwww.webofscience.com%2Fwos%2Fwoscc%2Ffull-record%2FWOS:000309326000008","View Full Record in Web of Science")</f>
        <v>View Full Record in Web of Science</v>
      </c>
    </row>
    <row r="860" spans="1:72">
      <c r="A860" s="1" t="s">
        <v>72</v>
      </c>
      <c r="B860" s="1" t="s">
        <v>14497</v>
      </c>
      <c r="C860" s="1" t="s">
        <v>74</v>
      </c>
      <c r="D860" s="1" t="s">
        <v>74</v>
      </c>
      <c r="E860" s="1" t="s">
        <v>74</v>
      </c>
      <c r="F860" s="1" t="s">
        <v>14497</v>
      </c>
      <c r="G860" s="1" t="s">
        <v>74</v>
      </c>
      <c r="H860" s="1" t="s">
        <v>74</v>
      </c>
      <c r="I860" s="1" t="s">
        <v>14498</v>
      </c>
      <c r="J860" s="1" t="s">
        <v>232</v>
      </c>
      <c r="K860" s="1" t="s">
        <v>74</v>
      </c>
      <c r="L860" s="1" t="s">
        <v>74</v>
      </c>
      <c r="M860" s="1" t="s">
        <v>78</v>
      </c>
      <c r="N860" s="1" t="s">
        <v>151</v>
      </c>
      <c r="O860" s="1" t="s">
        <v>233</v>
      </c>
      <c r="P860" s="1" t="s">
        <v>234</v>
      </c>
      <c r="Q860" s="1" t="s">
        <v>235</v>
      </c>
      <c r="R860" s="1" t="s">
        <v>74</v>
      </c>
      <c r="S860" s="1" t="s">
        <v>74</v>
      </c>
      <c r="T860" s="1" t="s">
        <v>74</v>
      </c>
      <c r="U860" s="1" t="s">
        <v>14499</v>
      </c>
      <c r="V860" s="1" t="s">
        <v>14500</v>
      </c>
      <c r="W860" s="1" t="s">
        <v>74</v>
      </c>
      <c r="X860" s="1" t="s">
        <v>74</v>
      </c>
      <c r="Y860" s="1" t="s">
        <v>14501</v>
      </c>
      <c r="Z860" s="1" t="s">
        <v>74</v>
      </c>
      <c r="AA860" s="1" t="s">
        <v>74</v>
      </c>
      <c r="AB860" s="1" t="s">
        <v>74</v>
      </c>
      <c r="AC860" s="1" t="s">
        <v>74</v>
      </c>
      <c r="AD860" s="1" t="s">
        <v>74</v>
      </c>
      <c r="AE860" s="1" t="s">
        <v>74</v>
      </c>
      <c r="AF860" s="1" t="s">
        <v>74</v>
      </c>
      <c r="AG860" s="1">
        <v>89</v>
      </c>
      <c r="AH860" s="1">
        <v>567</v>
      </c>
      <c r="AI860" s="1">
        <v>655</v>
      </c>
      <c r="AJ860" s="1">
        <v>3</v>
      </c>
      <c r="AK860" s="1">
        <v>175</v>
      </c>
      <c r="AL860" s="1" t="s">
        <v>136</v>
      </c>
      <c r="AM860" s="1" t="s">
        <v>137</v>
      </c>
      <c r="AN860" s="1" t="s">
        <v>138</v>
      </c>
      <c r="AO860" s="1" t="s">
        <v>240</v>
      </c>
      <c r="AP860" s="1" t="s">
        <v>241</v>
      </c>
      <c r="AQ860" s="1" t="s">
        <v>74</v>
      </c>
      <c r="AR860" s="1" t="s">
        <v>242</v>
      </c>
      <c r="AS860" s="1" t="s">
        <v>243</v>
      </c>
      <c r="AT860" s="1" t="s">
        <v>244</v>
      </c>
      <c r="AU860" s="1">
        <v>1995</v>
      </c>
      <c r="AV860" s="1">
        <v>31</v>
      </c>
      <c r="AW860" s="1" t="s">
        <v>245</v>
      </c>
      <c r="AX860" s="1" t="s">
        <v>74</v>
      </c>
      <c r="AY860" s="1" t="s">
        <v>74</v>
      </c>
      <c r="AZ860" s="1" t="s">
        <v>74</v>
      </c>
      <c r="BA860" s="1" t="s">
        <v>74</v>
      </c>
      <c r="BB860" s="1">
        <v>183</v>
      </c>
      <c r="BC860" s="1">
        <v>192</v>
      </c>
      <c r="BD860" s="1" t="s">
        <v>74</v>
      </c>
      <c r="BE860" s="1" t="s">
        <v>14502</v>
      </c>
      <c r="BF860" s="1" t="str">
        <f>HYPERLINK("http://dx.doi.org/10.1016/0025-326X(95)00116-5","http://dx.doi.org/10.1016/0025-326X(95)00116-5")</f>
        <v>http://dx.doi.org/10.1016/0025-326X(95)00116-5</v>
      </c>
      <c r="BG860" s="1" t="s">
        <v>74</v>
      </c>
      <c r="BH860" s="1" t="s">
        <v>74</v>
      </c>
      <c r="BI860" s="1">
        <v>10</v>
      </c>
      <c r="BJ860" s="1" t="s">
        <v>247</v>
      </c>
      <c r="BK860" s="1" t="s">
        <v>172</v>
      </c>
      <c r="BL860" s="1" t="s">
        <v>248</v>
      </c>
      <c r="BM860" s="1" t="s">
        <v>249</v>
      </c>
      <c r="BN860" s="1" t="s">
        <v>74</v>
      </c>
      <c r="BO860" s="1" t="s">
        <v>74</v>
      </c>
      <c r="BP860" s="1" t="s">
        <v>74</v>
      </c>
      <c r="BQ860" s="1" t="s">
        <v>74</v>
      </c>
      <c r="BR860" s="1" t="s">
        <v>98</v>
      </c>
      <c r="BS860" s="1" t="s">
        <v>14503</v>
      </c>
      <c r="BT860" s="1" t="str">
        <f>HYPERLINK("https%3A%2F%2Fwww.webofscience.com%2Fwos%2Fwoscc%2Ffull-record%2FWOS:A1995TM84200007","View Full Record in Web of Science")</f>
        <v>View Full Record in Web of Science</v>
      </c>
    </row>
    <row r="861" spans="1:72">
      <c r="A861" s="1" t="s">
        <v>72</v>
      </c>
      <c r="B861" s="1" t="s">
        <v>14504</v>
      </c>
      <c r="C861" s="1" t="s">
        <v>74</v>
      </c>
      <c r="D861" s="1" t="s">
        <v>74</v>
      </c>
      <c r="E861" s="1" t="s">
        <v>74</v>
      </c>
      <c r="F861" s="1" t="s">
        <v>14504</v>
      </c>
      <c r="G861" s="1" t="s">
        <v>74</v>
      </c>
      <c r="H861" s="1" t="s">
        <v>74</v>
      </c>
      <c r="I861" s="1" t="s">
        <v>14505</v>
      </c>
      <c r="J861" s="1" t="s">
        <v>232</v>
      </c>
      <c r="K861" s="1" t="s">
        <v>74</v>
      </c>
      <c r="L861" s="1" t="s">
        <v>74</v>
      </c>
      <c r="M861" s="1" t="s">
        <v>78</v>
      </c>
      <c r="N861" s="1" t="s">
        <v>79</v>
      </c>
      <c r="O861" s="1" t="s">
        <v>74</v>
      </c>
      <c r="P861" s="1" t="s">
        <v>74</v>
      </c>
      <c r="Q861" s="1" t="s">
        <v>74</v>
      </c>
      <c r="R861" s="1" t="s">
        <v>74</v>
      </c>
      <c r="S861" s="1" t="s">
        <v>74</v>
      </c>
      <c r="T861" s="1" t="s">
        <v>74</v>
      </c>
      <c r="U861" s="1" t="s">
        <v>14506</v>
      </c>
      <c r="V861" s="1" t="s">
        <v>14507</v>
      </c>
      <c r="W861" s="1" t="s">
        <v>74</v>
      </c>
      <c r="X861" s="1" t="s">
        <v>74</v>
      </c>
      <c r="Y861" s="1" t="s">
        <v>14508</v>
      </c>
      <c r="Z861" s="1" t="s">
        <v>74</v>
      </c>
      <c r="AA861" s="1" t="s">
        <v>14454</v>
      </c>
      <c r="AB861" s="1" t="s">
        <v>14455</v>
      </c>
      <c r="AC861" s="1" t="s">
        <v>74</v>
      </c>
      <c r="AD861" s="1" t="s">
        <v>74</v>
      </c>
      <c r="AE861" s="1" t="s">
        <v>74</v>
      </c>
      <c r="AF861" s="1" t="s">
        <v>74</v>
      </c>
      <c r="AG861" s="1">
        <v>49</v>
      </c>
      <c r="AH861" s="1">
        <v>86</v>
      </c>
      <c r="AI861" s="1">
        <v>96</v>
      </c>
      <c r="AJ861" s="1">
        <v>2</v>
      </c>
      <c r="AK861" s="1">
        <v>13</v>
      </c>
      <c r="AL861" s="1" t="s">
        <v>136</v>
      </c>
      <c r="AM861" s="1" t="s">
        <v>137</v>
      </c>
      <c r="AN861" s="1" t="s">
        <v>138</v>
      </c>
      <c r="AO861" s="1" t="s">
        <v>240</v>
      </c>
      <c r="AP861" s="1" t="s">
        <v>241</v>
      </c>
      <c r="AQ861" s="1" t="s">
        <v>74</v>
      </c>
      <c r="AR861" s="1" t="s">
        <v>242</v>
      </c>
      <c r="AS861" s="1" t="s">
        <v>243</v>
      </c>
      <c r="AT861" s="1" t="s">
        <v>267</v>
      </c>
      <c r="AU861" s="1">
        <v>1994</v>
      </c>
      <c r="AV861" s="1">
        <v>28</v>
      </c>
      <c r="AW861" s="1">
        <v>10</v>
      </c>
      <c r="AX861" s="1" t="s">
        <v>74</v>
      </c>
      <c r="AY861" s="1" t="s">
        <v>74</v>
      </c>
      <c r="AZ861" s="1" t="s">
        <v>74</v>
      </c>
      <c r="BA861" s="1" t="s">
        <v>74</v>
      </c>
      <c r="BB861" s="1">
        <v>592</v>
      </c>
      <c r="BC861" s="1">
        <v>600</v>
      </c>
      <c r="BD861" s="1" t="s">
        <v>74</v>
      </c>
      <c r="BE861" s="1" t="s">
        <v>14509</v>
      </c>
      <c r="BF861" s="1" t="str">
        <f>HYPERLINK("http://dx.doi.org/10.1016/0025-326X(94)90360-3","http://dx.doi.org/10.1016/0025-326X(94)90360-3")</f>
        <v>http://dx.doi.org/10.1016/0025-326X(94)90360-3</v>
      </c>
      <c r="BG861" s="1" t="s">
        <v>74</v>
      </c>
      <c r="BH861" s="1" t="s">
        <v>74</v>
      </c>
      <c r="BI861" s="1">
        <v>9</v>
      </c>
      <c r="BJ861" s="1" t="s">
        <v>247</v>
      </c>
      <c r="BK861" s="1" t="s">
        <v>96</v>
      </c>
      <c r="BL861" s="1" t="s">
        <v>248</v>
      </c>
      <c r="BM861" s="1" t="s">
        <v>14510</v>
      </c>
      <c r="BN861" s="1" t="s">
        <v>74</v>
      </c>
      <c r="BO861" s="1" t="s">
        <v>74</v>
      </c>
      <c r="BP861" s="1" t="s">
        <v>74</v>
      </c>
      <c r="BQ861" s="1" t="s">
        <v>74</v>
      </c>
      <c r="BR861" s="1" t="s">
        <v>98</v>
      </c>
      <c r="BS861" s="1" t="s">
        <v>14511</v>
      </c>
      <c r="BT861" s="1" t="str">
        <f>HYPERLINK("https%3A%2F%2Fwww.webofscience.com%2Fwos%2Fwoscc%2Ffull-record%2FWOS:A1994PT34500004","View Full Record in Web of Science")</f>
        <v>View Full Record in Web of Science</v>
      </c>
    </row>
    <row r="862" spans="1:72">
      <c r="A862" s="1" t="s">
        <v>72</v>
      </c>
      <c r="B862" s="1" t="s">
        <v>14512</v>
      </c>
      <c r="C862" s="1" t="s">
        <v>74</v>
      </c>
      <c r="D862" s="1" t="s">
        <v>74</v>
      </c>
      <c r="E862" s="1" t="s">
        <v>74</v>
      </c>
      <c r="F862" s="1" t="s">
        <v>14513</v>
      </c>
      <c r="G862" s="1" t="s">
        <v>74</v>
      </c>
      <c r="H862" s="1" t="s">
        <v>74</v>
      </c>
      <c r="I862" s="1" t="s">
        <v>14514</v>
      </c>
      <c r="J862" s="1" t="s">
        <v>909</v>
      </c>
      <c r="K862" s="1" t="s">
        <v>74</v>
      </c>
      <c r="L862" s="1" t="s">
        <v>74</v>
      </c>
      <c r="M862" s="1" t="s">
        <v>78</v>
      </c>
      <c r="N862" s="1" t="s">
        <v>79</v>
      </c>
      <c r="O862" s="1" t="s">
        <v>74</v>
      </c>
      <c r="P862" s="1" t="s">
        <v>74</v>
      </c>
      <c r="Q862" s="1" t="s">
        <v>74</v>
      </c>
      <c r="R862" s="1" t="s">
        <v>74</v>
      </c>
      <c r="S862" s="1" t="s">
        <v>74</v>
      </c>
      <c r="T862" s="1" t="s">
        <v>14515</v>
      </c>
      <c r="U862" s="1" t="s">
        <v>14516</v>
      </c>
      <c r="V862" s="1" t="s">
        <v>14517</v>
      </c>
      <c r="W862" s="1" t="s">
        <v>14518</v>
      </c>
      <c r="X862" s="1" t="s">
        <v>14519</v>
      </c>
      <c r="Y862" s="1" t="s">
        <v>14520</v>
      </c>
      <c r="Z862" s="1" t="s">
        <v>14521</v>
      </c>
      <c r="AA862" s="1" t="s">
        <v>14522</v>
      </c>
      <c r="AB862" s="1" t="s">
        <v>14523</v>
      </c>
      <c r="AC862" s="1" t="s">
        <v>14524</v>
      </c>
      <c r="AD862" s="1" t="s">
        <v>14525</v>
      </c>
      <c r="AE862" s="1" t="s">
        <v>14526</v>
      </c>
      <c r="AF862" s="1" t="s">
        <v>74</v>
      </c>
      <c r="AG862" s="1">
        <v>56</v>
      </c>
      <c r="AH862" s="1">
        <v>22</v>
      </c>
      <c r="AI862" s="1">
        <v>25</v>
      </c>
      <c r="AJ862" s="1">
        <v>9</v>
      </c>
      <c r="AK862" s="1">
        <v>115</v>
      </c>
      <c r="AL862" s="1" t="s">
        <v>650</v>
      </c>
      <c r="AM862" s="1" t="s">
        <v>651</v>
      </c>
      <c r="AN862" s="1" t="s">
        <v>652</v>
      </c>
      <c r="AO862" s="1" t="s">
        <v>921</v>
      </c>
      <c r="AP862" s="1" t="s">
        <v>922</v>
      </c>
      <c r="AQ862" s="1" t="s">
        <v>74</v>
      </c>
      <c r="AR862" s="1" t="s">
        <v>923</v>
      </c>
      <c r="AS862" s="1" t="s">
        <v>924</v>
      </c>
      <c r="AT862" s="1" t="s">
        <v>325</v>
      </c>
      <c r="AU862" s="1">
        <v>2020</v>
      </c>
      <c r="AV862" s="1">
        <v>739</v>
      </c>
      <c r="AW862" s="1" t="s">
        <v>74</v>
      </c>
      <c r="AX862" s="1" t="s">
        <v>74</v>
      </c>
      <c r="AY862" s="1" t="s">
        <v>74</v>
      </c>
      <c r="AZ862" s="1" t="s">
        <v>74</v>
      </c>
      <c r="BA862" s="1" t="s">
        <v>74</v>
      </c>
      <c r="BB862" s="1" t="s">
        <v>74</v>
      </c>
      <c r="BC862" s="1" t="s">
        <v>74</v>
      </c>
      <c r="BD862" s="1">
        <v>140034</v>
      </c>
      <c r="BE862" s="1" t="s">
        <v>14527</v>
      </c>
      <c r="BF862" s="1" t="str">
        <f>HYPERLINK("http://dx.doi.org/10.1016/j.scitotenv.2020.140034","http://dx.doi.org/10.1016/j.scitotenv.2020.140034")</f>
        <v>http://dx.doi.org/10.1016/j.scitotenv.2020.140034</v>
      </c>
      <c r="BG862" s="1" t="s">
        <v>74</v>
      </c>
      <c r="BH862" s="1" t="s">
        <v>74</v>
      </c>
      <c r="BI862" s="1">
        <v>9</v>
      </c>
      <c r="BJ862" s="1" t="s">
        <v>144</v>
      </c>
      <c r="BK862" s="1" t="s">
        <v>96</v>
      </c>
      <c r="BL862" s="1" t="s">
        <v>145</v>
      </c>
      <c r="BM862" s="1" t="s">
        <v>14528</v>
      </c>
      <c r="BN862" s="1">
        <v>32758950</v>
      </c>
      <c r="BO862" s="1" t="s">
        <v>74</v>
      </c>
      <c r="BP862" s="1" t="s">
        <v>74</v>
      </c>
      <c r="BQ862" s="1" t="s">
        <v>74</v>
      </c>
      <c r="BR862" s="1" t="s">
        <v>98</v>
      </c>
      <c r="BS862" s="1" t="s">
        <v>14529</v>
      </c>
      <c r="BT862" s="1" t="str">
        <f>HYPERLINK("https%3A%2F%2Fwww.webofscience.com%2Fwos%2Fwoscc%2Ffull-record%2FWOS:000561793600020","View Full Record in Web of Science")</f>
        <v>View Full Record in Web of Science</v>
      </c>
    </row>
    <row r="863" spans="1:72">
      <c r="A863" s="1" t="s">
        <v>72</v>
      </c>
      <c r="B863" s="1" t="s">
        <v>14530</v>
      </c>
      <c r="C863" s="1" t="s">
        <v>74</v>
      </c>
      <c r="D863" s="1" t="s">
        <v>74</v>
      </c>
      <c r="E863" s="1" t="s">
        <v>74</v>
      </c>
      <c r="F863" s="1" t="s">
        <v>14530</v>
      </c>
      <c r="G863" s="1" t="s">
        <v>74</v>
      </c>
      <c r="H863" s="1" t="s">
        <v>74</v>
      </c>
      <c r="I863" s="1" t="s">
        <v>14531</v>
      </c>
      <c r="J863" s="1" t="s">
        <v>752</v>
      </c>
      <c r="K863" s="1" t="s">
        <v>74</v>
      </c>
      <c r="L863" s="1" t="s">
        <v>74</v>
      </c>
      <c r="M863" s="1" t="s">
        <v>78</v>
      </c>
      <c r="N863" s="1" t="s">
        <v>79</v>
      </c>
      <c r="O863" s="1" t="s">
        <v>74</v>
      </c>
      <c r="P863" s="1" t="s">
        <v>74</v>
      </c>
      <c r="Q863" s="1" t="s">
        <v>74</v>
      </c>
      <c r="R863" s="1" t="s">
        <v>74</v>
      </c>
      <c r="S863" s="1" t="s">
        <v>74</v>
      </c>
      <c r="T863" s="1" t="s">
        <v>74</v>
      </c>
      <c r="U863" s="1" t="s">
        <v>14532</v>
      </c>
      <c r="V863" s="1" t="s">
        <v>14533</v>
      </c>
      <c r="W863" s="1" t="s">
        <v>14534</v>
      </c>
      <c r="X863" s="1" t="s">
        <v>74</v>
      </c>
      <c r="Y863" s="1" t="s">
        <v>14535</v>
      </c>
      <c r="Z863" s="1" t="s">
        <v>74</v>
      </c>
      <c r="AA863" s="1" t="s">
        <v>74</v>
      </c>
      <c r="AB863" s="1" t="s">
        <v>74</v>
      </c>
      <c r="AC863" s="1" t="s">
        <v>74</v>
      </c>
      <c r="AD863" s="1" t="s">
        <v>74</v>
      </c>
      <c r="AE863" s="1" t="s">
        <v>74</v>
      </c>
      <c r="AF863" s="1" t="s">
        <v>74</v>
      </c>
      <c r="AG863" s="1">
        <v>93</v>
      </c>
      <c r="AH863" s="1">
        <v>9</v>
      </c>
      <c r="AI863" s="1">
        <v>9</v>
      </c>
      <c r="AJ863" s="1">
        <v>1</v>
      </c>
      <c r="AK863" s="1">
        <v>9</v>
      </c>
      <c r="AL863" s="1" t="s">
        <v>430</v>
      </c>
      <c r="AM863" s="1" t="s">
        <v>137</v>
      </c>
      <c r="AN863" s="1" t="s">
        <v>1600</v>
      </c>
      <c r="AO863" s="1" t="s">
        <v>761</v>
      </c>
      <c r="AP863" s="1" t="s">
        <v>74</v>
      </c>
      <c r="AQ863" s="1" t="s">
        <v>74</v>
      </c>
      <c r="AR863" s="1" t="s">
        <v>763</v>
      </c>
      <c r="AS863" s="1" t="s">
        <v>764</v>
      </c>
      <c r="AT863" s="1" t="s">
        <v>74</v>
      </c>
      <c r="AU863" s="1">
        <v>1994</v>
      </c>
      <c r="AV863" s="1">
        <v>37</v>
      </c>
      <c r="AW863" s="1">
        <v>3</v>
      </c>
      <c r="AX863" s="1" t="s">
        <v>74</v>
      </c>
      <c r="AY863" s="1" t="s">
        <v>74</v>
      </c>
      <c r="AZ863" s="1" t="s">
        <v>74</v>
      </c>
      <c r="BA863" s="1" t="s">
        <v>74</v>
      </c>
      <c r="BB863" s="1">
        <v>257</v>
      </c>
      <c r="BC863" s="1">
        <v>281</v>
      </c>
      <c r="BD863" s="1" t="s">
        <v>74</v>
      </c>
      <c r="BE863" s="1" t="s">
        <v>14536</v>
      </c>
      <c r="BF863" s="1" t="str">
        <f>HYPERLINK("http://dx.doi.org/10.1016/0141-1136(94)90054-X","http://dx.doi.org/10.1016/0141-1136(94)90054-X")</f>
        <v>http://dx.doi.org/10.1016/0141-1136(94)90054-X</v>
      </c>
      <c r="BG863" s="1" t="s">
        <v>74</v>
      </c>
      <c r="BH863" s="1" t="s">
        <v>74</v>
      </c>
      <c r="BI863" s="1">
        <v>25</v>
      </c>
      <c r="BJ863" s="1" t="s">
        <v>768</v>
      </c>
      <c r="BK863" s="1" t="s">
        <v>96</v>
      </c>
      <c r="BL863" s="1" t="s">
        <v>769</v>
      </c>
      <c r="BM863" s="1" t="s">
        <v>14537</v>
      </c>
      <c r="BN863" s="1" t="s">
        <v>74</v>
      </c>
      <c r="BO863" s="1" t="s">
        <v>74</v>
      </c>
      <c r="BP863" s="1" t="s">
        <v>74</v>
      </c>
      <c r="BQ863" s="1" t="s">
        <v>74</v>
      </c>
      <c r="BR863" s="1" t="s">
        <v>98</v>
      </c>
      <c r="BS863" s="1" t="s">
        <v>14538</v>
      </c>
      <c r="BT863" s="1" t="str">
        <f>HYPERLINK("https%3A%2F%2Fwww.webofscience.com%2Fwos%2Fwoscc%2Ffull-record%2FWOS:A1994MW97000002","View Full Record in Web of Science")</f>
        <v>View Full Record in Web of Science</v>
      </c>
    </row>
    <row r="864" spans="1:72">
      <c r="A864" s="1" t="s">
        <v>72</v>
      </c>
      <c r="B864" s="1" t="s">
        <v>14539</v>
      </c>
      <c r="C864" s="1" t="s">
        <v>74</v>
      </c>
      <c r="D864" s="1" t="s">
        <v>74</v>
      </c>
      <c r="E864" s="1" t="s">
        <v>74</v>
      </c>
      <c r="F864" s="1" t="s">
        <v>14540</v>
      </c>
      <c r="G864" s="1" t="s">
        <v>74</v>
      </c>
      <c r="H864" s="1" t="s">
        <v>74</v>
      </c>
      <c r="I864" s="1" t="s">
        <v>14541</v>
      </c>
      <c r="J864" s="1" t="s">
        <v>641</v>
      </c>
      <c r="K864" s="1" t="s">
        <v>74</v>
      </c>
      <c r="L864" s="1" t="s">
        <v>74</v>
      </c>
      <c r="M864" s="1" t="s">
        <v>78</v>
      </c>
      <c r="N864" s="1" t="s">
        <v>79</v>
      </c>
      <c r="O864" s="1" t="s">
        <v>74</v>
      </c>
      <c r="P864" s="1" t="s">
        <v>74</v>
      </c>
      <c r="Q864" s="1" t="s">
        <v>74</v>
      </c>
      <c r="R864" s="1" t="s">
        <v>74</v>
      </c>
      <c r="S864" s="1" t="s">
        <v>74</v>
      </c>
      <c r="T864" s="1" t="s">
        <v>14542</v>
      </c>
      <c r="U864" s="1" t="s">
        <v>14543</v>
      </c>
      <c r="V864" s="1" t="s">
        <v>14544</v>
      </c>
      <c r="W864" s="1" t="s">
        <v>14545</v>
      </c>
      <c r="X864" s="1" t="s">
        <v>14546</v>
      </c>
      <c r="Y864" s="1" t="s">
        <v>14547</v>
      </c>
      <c r="Z864" s="1" t="s">
        <v>2272</v>
      </c>
      <c r="AA864" s="1" t="s">
        <v>14548</v>
      </c>
      <c r="AB864" s="1" t="s">
        <v>14549</v>
      </c>
      <c r="AC864" s="1" t="s">
        <v>74</v>
      </c>
      <c r="AD864" s="1" t="s">
        <v>74</v>
      </c>
      <c r="AE864" s="1" t="s">
        <v>74</v>
      </c>
      <c r="AF864" s="1" t="s">
        <v>74</v>
      </c>
      <c r="AG864" s="1">
        <v>51</v>
      </c>
      <c r="AH864" s="1">
        <v>90</v>
      </c>
      <c r="AI864" s="1">
        <v>99</v>
      </c>
      <c r="AJ864" s="1">
        <v>0</v>
      </c>
      <c r="AK864" s="1">
        <v>41</v>
      </c>
      <c r="AL864" s="1" t="s">
        <v>650</v>
      </c>
      <c r="AM864" s="1" t="s">
        <v>651</v>
      </c>
      <c r="AN864" s="1" t="s">
        <v>652</v>
      </c>
      <c r="AO864" s="1" t="s">
        <v>653</v>
      </c>
      <c r="AP864" s="1" t="s">
        <v>654</v>
      </c>
      <c r="AQ864" s="1" t="s">
        <v>74</v>
      </c>
      <c r="AR864" s="1" t="s">
        <v>655</v>
      </c>
      <c r="AS864" s="1" t="s">
        <v>656</v>
      </c>
      <c r="AT864" s="1" t="s">
        <v>5542</v>
      </c>
      <c r="AU864" s="1">
        <v>2006</v>
      </c>
      <c r="AV864" s="1">
        <v>78</v>
      </c>
      <c r="AW864" s="1" t="s">
        <v>74</v>
      </c>
      <c r="AX864" s="1" t="s">
        <v>74</v>
      </c>
      <c r="AY864" s="1">
        <v>1</v>
      </c>
      <c r="AZ864" s="1" t="s">
        <v>74</v>
      </c>
      <c r="BA864" s="1" t="s">
        <v>74</v>
      </c>
      <c r="BB864" s="1" t="s">
        <v>14550</v>
      </c>
      <c r="BC864" s="1" t="s">
        <v>14551</v>
      </c>
      <c r="BD864" s="1" t="s">
        <v>74</v>
      </c>
      <c r="BE864" s="1" t="s">
        <v>14552</v>
      </c>
      <c r="BF864" s="1" t="str">
        <f>HYPERLINK("http://dx.doi.org/10.1016/j.aquatox.2006.02.025","http://dx.doi.org/10.1016/j.aquatox.2006.02.025")</f>
        <v>http://dx.doi.org/10.1016/j.aquatox.2006.02.025</v>
      </c>
      <c r="BG864" s="1" t="s">
        <v>74</v>
      </c>
      <c r="BH864" s="1" t="s">
        <v>74</v>
      </c>
      <c r="BI864" s="1">
        <v>12</v>
      </c>
      <c r="BJ864" s="1" t="s">
        <v>659</v>
      </c>
      <c r="BK864" s="1" t="s">
        <v>96</v>
      </c>
      <c r="BL864" s="1" t="s">
        <v>659</v>
      </c>
      <c r="BM864" s="1" t="s">
        <v>14553</v>
      </c>
      <c r="BN864" s="1">
        <v>16644027</v>
      </c>
      <c r="BO864" s="1" t="s">
        <v>74</v>
      </c>
      <c r="BP864" s="1" t="s">
        <v>74</v>
      </c>
      <c r="BQ864" s="1" t="s">
        <v>74</v>
      </c>
      <c r="BR864" s="1" t="s">
        <v>98</v>
      </c>
      <c r="BS864" s="1" t="s">
        <v>14554</v>
      </c>
      <c r="BT864" s="1" t="str">
        <f>HYPERLINK("https%3A%2F%2Fwww.webofscience.com%2Fwos%2Fwoscc%2Ffull-record%2FWOS:000238130600003","View Full Record in Web of Science")</f>
        <v>View Full Record in Web of Science</v>
      </c>
    </row>
    <row r="865" spans="1:72">
      <c r="A865" s="1" t="s">
        <v>72</v>
      </c>
      <c r="B865" s="1" t="s">
        <v>14555</v>
      </c>
      <c r="C865" s="1" t="s">
        <v>74</v>
      </c>
      <c r="D865" s="1" t="s">
        <v>74</v>
      </c>
      <c r="E865" s="1" t="s">
        <v>74</v>
      </c>
      <c r="F865" s="1" t="s">
        <v>14556</v>
      </c>
      <c r="G865" s="1" t="s">
        <v>74</v>
      </c>
      <c r="H865" s="1" t="s">
        <v>74</v>
      </c>
      <c r="I865" s="1" t="s">
        <v>14557</v>
      </c>
      <c r="J865" s="1" t="s">
        <v>14558</v>
      </c>
      <c r="K865" s="1" t="s">
        <v>74</v>
      </c>
      <c r="L865" s="1" t="s">
        <v>74</v>
      </c>
      <c r="M865" s="1" t="s">
        <v>78</v>
      </c>
      <c r="N865" s="1" t="s">
        <v>79</v>
      </c>
      <c r="O865" s="1" t="s">
        <v>74</v>
      </c>
      <c r="P865" s="1" t="s">
        <v>74</v>
      </c>
      <c r="Q865" s="1" t="s">
        <v>74</v>
      </c>
      <c r="R865" s="1" t="s">
        <v>74</v>
      </c>
      <c r="S865" s="1" t="s">
        <v>74</v>
      </c>
      <c r="T865" s="1" t="s">
        <v>14559</v>
      </c>
      <c r="U865" s="1" t="s">
        <v>14560</v>
      </c>
      <c r="V865" s="1" t="s">
        <v>14561</v>
      </c>
      <c r="W865" s="1" t="s">
        <v>14562</v>
      </c>
      <c r="X865" s="1" t="s">
        <v>14563</v>
      </c>
      <c r="Y865" s="1" t="s">
        <v>14564</v>
      </c>
      <c r="Z865" s="1" t="s">
        <v>14565</v>
      </c>
      <c r="AA865" s="1" t="s">
        <v>14566</v>
      </c>
      <c r="AB865" s="1" t="s">
        <v>14567</v>
      </c>
      <c r="AC865" s="1" t="s">
        <v>74</v>
      </c>
      <c r="AD865" s="1" t="s">
        <v>74</v>
      </c>
      <c r="AE865" s="1" t="s">
        <v>74</v>
      </c>
      <c r="AF865" s="1" t="s">
        <v>74</v>
      </c>
      <c r="AG865" s="1">
        <v>54</v>
      </c>
      <c r="AH865" s="1">
        <v>11</v>
      </c>
      <c r="AI865" s="1">
        <v>14</v>
      </c>
      <c r="AJ865" s="1">
        <v>2</v>
      </c>
      <c r="AK865" s="1">
        <v>58</v>
      </c>
      <c r="AL865" s="1" t="s">
        <v>112</v>
      </c>
      <c r="AM865" s="1" t="s">
        <v>191</v>
      </c>
      <c r="AN865" s="1" t="s">
        <v>192</v>
      </c>
      <c r="AO865" s="1" t="s">
        <v>14568</v>
      </c>
      <c r="AP865" s="1" t="s">
        <v>14569</v>
      </c>
      <c r="AQ865" s="1" t="s">
        <v>74</v>
      </c>
      <c r="AR865" s="1" t="s">
        <v>14570</v>
      </c>
      <c r="AS865" s="1" t="s">
        <v>14571</v>
      </c>
      <c r="AT865" s="1" t="s">
        <v>267</v>
      </c>
      <c r="AU865" s="1">
        <v>2016</v>
      </c>
      <c r="AV865" s="1">
        <v>25</v>
      </c>
      <c r="AW865" s="1">
        <v>5</v>
      </c>
      <c r="AX865" s="1" t="s">
        <v>74</v>
      </c>
      <c r="AY865" s="1" t="s">
        <v>74</v>
      </c>
      <c r="AZ865" s="1" t="s">
        <v>74</v>
      </c>
      <c r="BA865" s="1" t="s">
        <v>74</v>
      </c>
      <c r="BB865" s="1">
        <v>617</v>
      </c>
      <c r="BC865" s="1">
        <v>627</v>
      </c>
      <c r="BD865" s="1" t="s">
        <v>74</v>
      </c>
      <c r="BE865" s="1" t="s">
        <v>14572</v>
      </c>
      <c r="BF865" s="1" t="str">
        <f>HYPERLINK("http://dx.doi.org/10.1007/s11248-016-9959-z","http://dx.doi.org/10.1007/s11248-016-9959-z")</f>
        <v>http://dx.doi.org/10.1007/s11248-016-9959-z</v>
      </c>
      <c r="BG865" s="1" t="s">
        <v>74</v>
      </c>
      <c r="BH865" s="1" t="s">
        <v>74</v>
      </c>
      <c r="BI865" s="1">
        <v>11</v>
      </c>
      <c r="BJ865" s="1" t="s">
        <v>14573</v>
      </c>
      <c r="BK865" s="1" t="s">
        <v>96</v>
      </c>
      <c r="BL865" s="1" t="s">
        <v>4352</v>
      </c>
      <c r="BM865" s="1" t="s">
        <v>14574</v>
      </c>
      <c r="BN865" s="1">
        <v>27120052</v>
      </c>
      <c r="BO865" s="1" t="s">
        <v>74</v>
      </c>
      <c r="BP865" s="1" t="s">
        <v>74</v>
      </c>
      <c r="BQ865" s="1" t="s">
        <v>74</v>
      </c>
      <c r="BR865" s="1" t="s">
        <v>98</v>
      </c>
      <c r="BS865" s="1" t="s">
        <v>14575</v>
      </c>
      <c r="BT865" s="1" t="str">
        <f>HYPERLINK("https%3A%2F%2Fwww.webofscience.com%2Fwos%2Fwoscc%2Ffull-record%2FWOS:000383705300005","View Full Record in Web of Science")</f>
        <v>View Full Record in Web of Science</v>
      </c>
    </row>
    <row r="866" spans="1:72">
      <c r="A866" s="1" t="s">
        <v>72</v>
      </c>
      <c r="B866" s="1" t="s">
        <v>14576</v>
      </c>
      <c r="C866" s="1" t="s">
        <v>74</v>
      </c>
      <c r="D866" s="1" t="s">
        <v>74</v>
      </c>
      <c r="E866" s="1" t="s">
        <v>74</v>
      </c>
      <c r="F866" s="1" t="s">
        <v>14576</v>
      </c>
      <c r="G866" s="1" t="s">
        <v>74</v>
      </c>
      <c r="H866" s="1" t="s">
        <v>74</v>
      </c>
      <c r="I866" s="1" t="s">
        <v>14577</v>
      </c>
      <c r="J866" s="1" t="s">
        <v>1202</v>
      </c>
      <c r="K866" s="1" t="s">
        <v>74</v>
      </c>
      <c r="L866" s="1" t="s">
        <v>74</v>
      </c>
      <c r="M866" s="1" t="s">
        <v>78</v>
      </c>
      <c r="N866" s="1" t="s">
        <v>79</v>
      </c>
      <c r="O866" s="1" t="s">
        <v>74</v>
      </c>
      <c r="P866" s="1" t="s">
        <v>74</v>
      </c>
      <c r="Q866" s="1" t="s">
        <v>74</v>
      </c>
      <c r="R866" s="1" t="s">
        <v>74</v>
      </c>
      <c r="S866" s="1" t="s">
        <v>74</v>
      </c>
      <c r="T866" s="1" t="s">
        <v>14578</v>
      </c>
      <c r="U866" s="1" t="s">
        <v>14579</v>
      </c>
      <c r="V866" s="1" t="s">
        <v>14580</v>
      </c>
      <c r="W866" s="1" t="s">
        <v>14581</v>
      </c>
      <c r="X866" s="1" t="s">
        <v>14582</v>
      </c>
      <c r="Y866" s="1" t="s">
        <v>74</v>
      </c>
      <c r="Z866" s="1" t="s">
        <v>74</v>
      </c>
      <c r="AA866" s="1" t="s">
        <v>74</v>
      </c>
      <c r="AB866" s="1" t="s">
        <v>14583</v>
      </c>
      <c r="AC866" s="1" t="s">
        <v>74</v>
      </c>
      <c r="AD866" s="1" t="s">
        <v>74</v>
      </c>
      <c r="AE866" s="1" t="s">
        <v>74</v>
      </c>
      <c r="AF866" s="1" t="s">
        <v>74</v>
      </c>
      <c r="AG866" s="1">
        <v>49</v>
      </c>
      <c r="AH866" s="1">
        <v>18</v>
      </c>
      <c r="AI866" s="1">
        <v>18</v>
      </c>
      <c r="AJ866" s="1">
        <v>0</v>
      </c>
      <c r="AK866" s="1">
        <v>1</v>
      </c>
      <c r="AL866" s="1" t="s">
        <v>716</v>
      </c>
      <c r="AM866" s="1" t="s">
        <v>191</v>
      </c>
      <c r="AN866" s="1" t="s">
        <v>717</v>
      </c>
      <c r="AO866" s="1" t="s">
        <v>1207</v>
      </c>
      <c r="AP866" s="1" t="s">
        <v>74</v>
      </c>
      <c r="AQ866" s="1" t="s">
        <v>74</v>
      </c>
      <c r="AR866" s="1" t="s">
        <v>1202</v>
      </c>
      <c r="AS866" s="1" t="s">
        <v>1208</v>
      </c>
      <c r="AT866" s="1" t="s">
        <v>14584</v>
      </c>
      <c r="AU866" s="1">
        <v>1994</v>
      </c>
      <c r="AV866" s="1">
        <v>287</v>
      </c>
      <c r="AW866" s="1">
        <v>2</v>
      </c>
      <c r="AX866" s="1" t="s">
        <v>74</v>
      </c>
      <c r="AY866" s="1" t="s">
        <v>74</v>
      </c>
      <c r="AZ866" s="1" t="s">
        <v>74</v>
      </c>
      <c r="BA866" s="1" t="s">
        <v>74</v>
      </c>
      <c r="BB866" s="1">
        <v>161</v>
      </c>
      <c r="BC866" s="1">
        <v>178</v>
      </c>
      <c r="BD866" s="1" t="s">
        <v>74</v>
      </c>
      <c r="BE866" s="1" t="s">
        <v>14585</v>
      </c>
      <c r="BF866" s="1" t="str">
        <f>HYPERLINK("http://dx.doi.org/10.1007/BF00010732","http://dx.doi.org/10.1007/BF00010732")</f>
        <v>http://dx.doi.org/10.1007/BF00010732</v>
      </c>
      <c r="BG866" s="1" t="s">
        <v>74</v>
      </c>
      <c r="BH866" s="1" t="s">
        <v>74</v>
      </c>
      <c r="BI866" s="1">
        <v>18</v>
      </c>
      <c r="BJ866" s="1" t="s">
        <v>680</v>
      </c>
      <c r="BK866" s="1" t="s">
        <v>96</v>
      </c>
      <c r="BL866" s="1" t="s">
        <v>680</v>
      </c>
      <c r="BM866" s="1" t="s">
        <v>14586</v>
      </c>
      <c r="BN866" s="1" t="s">
        <v>74</v>
      </c>
      <c r="BO866" s="1" t="s">
        <v>74</v>
      </c>
      <c r="BP866" s="1" t="s">
        <v>74</v>
      </c>
      <c r="BQ866" s="1" t="s">
        <v>74</v>
      </c>
      <c r="BR866" s="1" t="s">
        <v>98</v>
      </c>
      <c r="BS866" s="1" t="s">
        <v>14587</v>
      </c>
      <c r="BT866" s="1" t="str">
        <f>HYPERLINK("https%3A%2F%2Fwww.webofscience.com%2Fwos%2Fwoscc%2Ffull-record%2FWOS:A1994PD06800002","View Full Record in Web of Science")</f>
        <v>View Full Record in Web of Science</v>
      </c>
    </row>
    <row r="867" spans="1:72">
      <c r="A867" s="1" t="s">
        <v>72</v>
      </c>
      <c r="B867" s="1" t="s">
        <v>14588</v>
      </c>
      <c r="C867" s="1" t="s">
        <v>74</v>
      </c>
      <c r="D867" s="1" t="s">
        <v>74</v>
      </c>
      <c r="E867" s="1" t="s">
        <v>74</v>
      </c>
      <c r="F867" s="1" t="s">
        <v>14589</v>
      </c>
      <c r="G867" s="1" t="s">
        <v>74</v>
      </c>
      <c r="H867" s="1" t="s">
        <v>74</v>
      </c>
      <c r="I867" s="1" t="s">
        <v>14590</v>
      </c>
      <c r="J867" s="1" t="s">
        <v>232</v>
      </c>
      <c r="K867" s="1" t="s">
        <v>74</v>
      </c>
      <c r="L867" s="1" t="s">
        <v>74</v>
      </c>
      <c r="M867" s="1" t="s">
        <v>78</v>
      </c>
      <c r="N867" s="1" t="s">
        <v>79</v>
      </c>
      <c r="O867" s="1" t="s">
        <v>74</v>
      </c>
      <c r="P867" s="1" t="s">
        <v>74</v>
      </c>
      <c r="Q867" s="1" t="s">
        <v>74</v>
      </c>
      <c r="R867" s="1" t="s">
        <v>74</v>
      </c>
      <c r="S867" s="1" t="s">
        <v>74</v>
      </c>
      <c r="T867" s="1" t="s">
        <v>14591</v>
      </c>
      <c r="U867" s="1" t="s">
        <v>14592</v>
      </c>
      <c r="V867" s="1" t="s">
        <v>14593</v>
      </c>
      <c r="W867" s="1" t="s">
        <v>14594</v>
      </c>
      <c r="X867" s="1" t="s">
        <v>14595</v>
      </c>
      <c r="Y867" s="1" t="s">
        <v>14596</v>
      </c>
      <c r="Z867" s="1" t="s">
        <v>14597</v>
      </c>
      <c r="AA867" s="1" t="s">
        <v>74</v>
      </c>
      <c r="AB867" s="1" t="s">
        <v>74</v>
      </c>
      <c r="AC867" s="1" t="s">
        <v>74</v>
      </c>
      <c r="AD867" s="1" t="s">
        <v>74</v>
      </c>
      <c r="AE867" s="1" t="s">
        <v>74</v>
      </c>
      <c r="AF867" s="1" t="s">
        <v>74</v>
      </c>
      <c r="AG867" s="1">
        <v>58</v>
      </c>
      <c r="AH867" s="1">
        <v>14</v>
      </c>
      <c r="AI867" s="1">
        <v>14</v>
      </c>
      <c r="AJ867" s="1">
        <v>0</v>
      </c>
      <c r="AK867" s="1">
        <v>12</v>
      </c>
      <c r="AL867" s="1" t="s">
        <v>136</v>
      </c>
      <c r="AM867" s="1" t="s">
        <v>137</v>
      </c>
      <c r="AN867" s="1" t="s">
        <v>138</v>
      </c>
      <c r="AO867" s="1" t="s">
        <v>240</v>
      </c>
      <c r="AP867" s="1" t="s">
        <v>241</v>
      </c>
      <c r="AQ867" s="1" t="s">
        <v>74</v>
      </c>
      <c r="AR867" s="1" t="s">
        <v>242</v>
      </c>
      <c r="AS867" s="1" t="s">
        <v>243</v>
      </c>
      <c r="AT867" s="1" t="s">
        <v>1223</v>
      </c>
      <c r="AU867" s="1">
        <v>2021</v>
      </c>
      <c r="AV867" s="1">
        <v>164</v>
      </c>
      <c r="AW867" s="1" t="s">
        <v>74</v>
      </c>
      <c r="AX867" s="1" t="s">
        <v>74</v>
      </c>
      <c r="AY867" s="1" t="s">
        <v>74</v>
      </c>
      <c r="AZ867" s="1" t="s">
        <v>74</v>
      </c>
      <c r="BA867" s="1" t="s">
        <v>74</v>
      </c>
      <c r="BB867" s="1" t="s">
        <v>74</v>
      </c>
      <c r="BC867" s="1" t="s">
        <v>74</v>
      </c>
      <c r="BD867" s="1">
        <v>112026</v>
      </c>
      <c r="BE867" s="1" t="s">
        <v>14598</v>
      </c>
      <c r="BF867" s="1" t="str">
        <f>HYPERLINK("http://dx.doi.org/10.1016/j.marpolbul.2021.112026","http://dx.doi.org/10.1016/j.marpolbul.2021.112026")</f>
        <v>http://dx.doi.org/10.1016/j.marpolbul.2021.112026</v>
      </c>
      <c r="BG867" s="1" t="s">
        <v>74</v>
      </c>
      <c r="BH867" s="1" t="s">
        <v>2597</v>
      </c>
      <c r="BI867" s="1">
        <v>9</v>
      </c>
      <c r="BJ867" s="1" t="s">
        <v>247</v>
      </c>
      <c r="BK867" s="1" t="s">
        <v>96</v>
      </c>
      <c r="BL867" s="1" t="s">
        <v>248</v>
      </c>
      <c r="BM867" s="1" t="s">
        <v>14599</v>
      </c>
      <c r="BN867" s="1">
        <v>33515832</v>
      </c>
      <c r="BO867" s="1" t="s">
        <v>1270</v>
      </c>
      <c r="BP867" s="1" t="s">
        <v>74</v>
      </c>
      <c r="BQ867" s="1" t="s">
        <v>74</v>
      </c>
      <c r="BR867" s="1" t="s">
        <v>98</v>
      </c>
      <c r="BS867" s="1" t="s">
        <v>14600</v>
      </c>
      <c r="BT867" s="1" t="str">
        <f>HYPERLINK("https%3A%2F%2Fwww.webofscience.com%2Fwos%2Fwoscc%2Ffull-record%2FWOS:000632264200005","View Full Record in Web of Science")</f>
        <v>View Full Record in Web of Science</v>
      </c>
    </row>
    <row r="868" spans="1:72">
      <c r="A868" s="1" t="s">
        <v>72</v>
      </c>
      <c r="B868" s="1" t="s">
        <v>14601</v>
      </c>
      <c r="C868" s="1" t="s">
        <v>74</v>
      </c>
      <c r="D868" s="1" t="s">
        <v>74</v>
      </c>
      <c r="E868" s="1" t="s">
        <v>74</v>
      </c>
      <c r="F868" s="1" t="s">
        <v>14602</v>
      </c>
      <c r="G868" s="1" t="s">
        <v>74</v>
      </c>
      <c r="H868" s="1" t="s">
        <v>74</v>
      </c>
      <c r="I868" s="1" t="s">
        <v>14603</v>
      </c>
      <c r="J868" s="1" t="s">
        <v>232</v>
      </c>
      <c r="K868" s="1" t="s">
        <v>74</v>
      </c>
      <c r="L868" s="1" t="s">
        <v>74</v>
      </c>
      <c r="M868" s="1" t="s">
        <v>78</v>
      </c>
      <c r="N868" s="1" t="s">
        <v>79</v>
      </c>
      <c r="O868" s="1" t="s">
        <v>74</v>
      </c>
      <c r="P868" s="1" t="s">
        <v>74</v>
      </c>
      <c r="Q868" s="1" t="s">
        <v>74</v>
      </c>
      <c r="R868" s="1" t="s">
        <v>74</v>
      </c>
      <c r="S868" s="1" t="s">
        <v>74</v>
      </c>
      <c r="T868" s="1" t="s">
        <v>14604</v>
      </c>
      <c r="U868" s="1" t="s">
        <v>14605</v>
      </c>
      <c r="V868" s="1" t="s">
        <v>14606</v>
      </c>
      <c r="W868" s="1" t="s">
        <v>14607</v>
      </c>
      <c r="X868" s="1" t="s">
        <v>14608</v>
      </c>
      <c r="Y868" s="1" t="s">
        <v>14609</v>
      </c>
      <c r="Z868" s="1" t="s">
        <v>14610</v>
      </c>
      <c r="AA868" s="1" t="s">
        <v>4408</v>
      </c>
      <c r="AB868" s="1" t="s">
        <v>14611</v>
      </c>
      <c r="AC868" s="1" t="s">
        <v>14612</v>
      </c>
      <c r="AD868" s="1" t="s">
        <v>14613</v>
      </c>
      <c r="AE868" s="1" t="s">
        <v>14614</v>
      </c>
      <c r="AF868" s="1" t="s">
        <v>74</v>
      </c>
      <c r="AG868" s="1">
        <v>39</v>
      </c>
      <c r="AH868" s="1">
        <v>17</v>
      </c>
      <c r="AI868" s="1">
        <v>19</v>
      </c>
      <c r="AJ868" s="1">
        <v>4</v>
      </c>
      <c r="AK868" s="1">
        <v>38</v>
      </c>
      <c r="AL868" s="1" t="s">
        <v>136</v>
      </c>
      <c r="AM868" s="1" t="s">
        <v>137</v>
      </c>
      <c r="AN868" s="1" t="s">
        <v>138</v>
      </c>
      <c r="AO868" s="1" t="s">
        <v>240</v>
      </c>
      <c r="AP868" s="1" t="s">
        <v>241</v>
      </c>
      <c r="AQ868" s="1" t="s">
        <v>74</v>
      </c>
      <c r="AR868" s="1" t="s">
        <v>242</v>
      </c>
      <c r="AS868" s="1" t="s">
        <v>243</v>
      </c>
      <c r="AT868" s="1" t="s">
        <v>305</v>
      </c>
      <c r="AU868" s="1">
        <v>2018</v>
      </c>
      <c r="AV868" s="1">
        <v>134</v>
      </c>
      <c r="AW868" s="1" t="s">
        <v>74</v>
      </c>
      <c r="AX868" s="1" t="s">
        <v>74</v>
      </c>
      <c r="AY868" s="1" t="s">
        <v>74</v>
      </c>
      <c r="AZ868" s="1" t="s">
        <v>225</v>
      </c>
      <c r="BA868" s="1" t="s">
        <v>74</v>
      </c>
      <c r="BB868" s="1">
        <v>66</v>
      </c>
      <c r="BC868" s="1">
        <v>74</v>
      </c>
      <c r="BD868" s="1" t="s">
        <v>74</v>
      </c>
      <c r="BE868" s="1" t="s">
        <v>14615</v>
      </c>
      <c r="BF868" s="1" t="str">
        <f>HYPERLINK("http://dx.doi.org/10.1016/j.marpolbul.2017.10.024","http://dx.doi.org/10.1016/j.marpolbul.2017.10.024")</f>
        <v>http://dx.doi.org/10.1016/j.marpolbul.2017.10.024</v>
      </c>
      <c r="BG868" s="1" t="s">
        <v>74</v>
      </c>
      <c r="BH868" s="1" t="s">
        <v>74</v>
      </c>
      <c r="BI868" s="1">
        <v>9</v>
      </c>
      <c r="BJ868" s="1" t="s">
        <v>247</v>
      </c>
      <c r="BK868" s="1" t="s">
        <v>96</v>
      </c>
      <c r="BL868" s="1" t="s">
        <v>248</v>
      </c>
      <c r="BM868" s="1" t="s">
        <v>14616</v>
      </c>
      <c r="BN868" s="1">
        <v>29106936</v>
      </c>
      <c r="BO868" s="1" t="s">
        <v>1752</v>
      </c>
      <c r="BP868" s="1" t="s">
        <v>74</v>
      </c>
      <c r="BQ868" s="1" t="s">
        <v>74</v>
      </c>
      <c r="BR868" s="1" t="s">
        <v>98</v>
      </c>
      <c r="BS868" s="1" t="s">
        <v>14617</v>
      </c>
      <c r="BT868" s="1" t="str">
        <f>HYPERLINK("https%3A%2F%2Fwww.webofscience.com%2Fwos%2Fwoscc%2Ffull-record%2FWOS:000447116800008","View Full Record in Web of Science")</f>
        <v>View Full Record in Web of Science</v>
      </c>
    </row>
    <row r="869" spans="1:72">
      <c r="A869" s="1" t="s">
        <v>72</v>
      </c>
      <c r="B869" s="1" t="s">
        <v>14618</v>
      </c>
      <c r="C869" s="1" t="s">
        <v>74</v>
      </c>
      <c r="D869" s="1" t="s">
        <v>74</v>
      </c>
      <c r="E869" s="1" t="s">
        <v>74</v>
      </c>
      <c r="F869" s="1" t="s">
        <v>14618</v>
      </c>
      <c r="G869" s="1" t="s">
        <v>74</v>
      </c>
      <c r="H869" s="1" t="s">
        <v>74</v>
      </c>
      <c r="I869" s="1" t="s">
        <v>14619</v>
      </c>
      <c r="J869" s="1" t="s">
        <v>232</v>
      </c>
      <c r="K869" s="1" t="s">
        <v>74</v>
      </c>
      <c r="L869" s="1" t="s">
        <v>74</v>
      </c>
      <c r="M869" s="1" t="s">
        <v>78</v>
      </c>
      <c r="N869" s="1" t="s">
        <v>79</v>
      </c>
      <c r="O869" s="1" t="s">
        <v>74</v>
      </c>
      <c r="P869" s="1" t="s">
        <v>74</v>
      </c>
      <c r="Q869" s="1" t="s">
        <v>74</v>
      </c>
      <c r="R869" s="1" t="s">
        <v>74</v>
      </c>
      <c r="S869" s="1" t="s">
        <v>74</v>
      </c>
      <c r="T869" s="1" t="s">
        <v>14620</v>
      </c>
      <c r="U869" s="1" t="s">
        <v>14621</v>
      </c>
      <c r="V869" s="1" t="s">
        <v>14622</v>
      </c>
      <c r="W869" s="1" t="s">
        <v>14623</v>
      </c>
      <c r="X869" s="1" t="s">
        <v>14624</v>
      </c>
      <c r="Y869" s="1" t="s">
        <v>14625</v>
      </c>
      <c r="Z869" s="1" t="s">
        <v>14626</v>
      </c>
      <c r="AA869" s="1" t="s">
        <v>14627</v>
      </c>
      <c r="AB869" s="1" t="s">
        <v>74</v>
      </c>
      <c r="AC869" s="1" t="s">
        <v>74</v>
      </c>
      <c r="AD869" s="1" t="s">
        <v>74</v>
      </c>
      <c r="AE869" s="1" t="s">
        <v>74</v>
      </c>
      <c r="AF869" s="1" t="s">
        <v>74</v>
      </c>
      <c r="AG869" s="1">
        <v>38</v>
      </c>
      <c r="AH869" s="1">
        <v>94</v>
      </c>
      <c r="AI869" s="1">
        <v>114</v>
      </c>
      <c r="AJ869" s="1">
        <v>9</v>
      </c>
      <c r="AK869" s="1">
        <v>98</v>
      </c>
      <c r="AL869" s="1" t="s">
        <v>136</v>
      </c>
      <c r="AM869" s="1" t="s">
        <v>137</v>
      </c>
      <c r="AN869" s="1" t="s">
        <v>138</v>
      </c>
      <c r="AO869" s="1" t="s">
        <v>240</v>
      </c>
      <c r="AP869" s="1" t="s">
        <v>241</v>
      </c>
      <c r="AQ869" s="1" t="s">
        <v>74</v>
      </c>
      <c r="AR869" s="1" t="s">
        <v>242</v>
      </c>
      <c r="AS869" s="1" t="s">
        <v>243</v>
      </c>
      <c r="AT869" s="1" t="s">
        <v>1470</v>
      </c>
      <c r="AU869" s="1">
        <v>2003</v>
      </c>
      <c r="AV869" s="1">
        <v>46</v>
      </c>
      <c r="AW869" s="1">
        <v>1</v>
      </c>
      <c r="AX869" s="1" t="s">
        <v>74</v>
      </c>
      <c r="AY869" s="1" t="s">
        <v>74</v>
      </c>
      <c r="AZ869" s="1" t="s">
        <v>74</v>
      </c>
      <c r="BA869" s="1" t="s">
        <v>74</v>
      </c>
      <c r="BB869" s="1">
        <v>123</v>
      </c>
      <c r="BC869" s="1">
        <v>131</v>
      </c>
      <c r="BD869" s="1" t="s">
        <v>14628</v>
      </c>
      <c r="BE869" s="1" t="s">
        <v>14629</v>
      </c>
      <c r="BF869" s="1" t="str">
        <f>HYPERLINK("http://dx.doi.org/10.1016/S0025-326X(02)00355-7","http://dx.doi.org/10.1016/S0025-326X(02)00355-7")</f>
        <v>http://dx.doi.org/10.1016/S0025-326X(02)00355-7</v>
      </c>
      <c r="BG869" s="1" t="s">
        <v>74</v>
      </c>
      <c r="BH869" s="1" t="s">
        <v>74</v>
      </c>
      <c r="BI869" s="1">
        <v>9</v>
      </c>
      <c r="BJ869" s="1" t="s">
        <v>247</v>
      </c>
      <c r="BK869" s="1" t="s">
        <v>96</v>
      </c>
      <c r="BL869" s="1" t="s">
        <v>248</v>
      </c>
      <c r="BM869" s="1" t="s">
        <v>14630</v>
      </c>
      <c r="BN869" s="1">
        <v>12535978</v>
      </c>
      <c r="BO869" s="1" t="s">
        <v>74</v>
      </c>
      <c r="BP869" s="1" t="s">
        <v>74</v>
      </c>
      <c r="BQ869" s="1" t="s">
        <v>74</v>
      </c>
      <c r="BR869" s="1" t="s">
        <v>98</v>
      </c>
      <c r="BS869" s="1" t="s">
        <v>14631</v>
      </c>
      <c r="BT869" s="1" t="str">
        <f>HYPERLINK("https%3A%2F%2Fwww.webofscience.com%2Fwos%2Fwoscc%2Ffull-record%2FWOS:000181014600027","View Full Record in Web of Science")</f>
        <v>View Full Record in Web of Science</v>
      </c>
    </row>
    <row r="870" spans="1:72">
      <c r="A870" s="1" t="s">
        <v>72</v>
      </c>
      <c r="B870" s="1" t="s">
        <v>14632</v>
      </c>
      <c r="C870" s="1" t="s">
        <v>74</v>
      </c>
      <c r="D870" s="1" t="s">
        <v>74</v>
      </c>
      <c r="E870" s="1" t="s">
        <v>74</v>
      </c>
      <c r="F870" s="1" t="s">
        <v>14633</v>
      </c>
      <c r="G870" s="1" t="s">
        <v>74</v>
      </c>
      <c r="H870" s="1" t="s">
        <v>74</v>
      </c>
      <c r="I870" s="1" t="s">
        <v>14634</v>
      </c>
      <c r="J870" s="1" t="s">
        <v>752</v>
      </c>
      <c r="K870" s="1" t="s">
        <v>74</v>
      </c>
      <c r="L870" s="1" t="s">
        <v>74</v>
      </c>
      <c r="M870" s="1" t="s">
        <v>78</v>
      </c>
      <c r="N870" s="1" t="s">
        <v>151</v>
      </c>
      <c r="O870" s="1" t="s">
        <v>14635</v>
      </c>
      <c r="P870" s="1" t="s">
        <v>14636</v>
      </c>
      <c r="Q870" s="1" t="s">
        <v>14637</v>
      </c>
      <c r="R870" s="1" t="s">
        <v>74</v>
      </c>
      <c r="S870" s="1" t="s">
        <v>74</v>
      </c>
      <c r="T870" s="1" t="s">
        <v>14638</v>
      </c>
      <c r="U870" s="1" t="s">
        <v>14639</v>
      </c>
      <c r="V870" s="1" t="s">
        <v>14640</v>
      </c>
      <c r="W870" s="1" t="s">
        <v>14641</v>
      </c>
      <c r="X870" s="1" t="s">
        <v>14642</v>
      </c>
      <c r="Y870" s="1" t="s">
        <v>14643</v>
      </c>
      <c r="Z870" s="1" t="s">
        <v>14644</v>
      </c>
      <c r="AA870" s="1" t="s">
        <v>14645</v>
      </c>
      <c r="AB870" s="1" t="s">
        <v>14646</v>
      </c>
      <c r="AC870" s="1" t="s">
        <v>74</v>
      </c>
      <c r="AD870" s="1" t="s">
        <v>74</v>
      </c>
      <c r="AE870" s="1" t="s">
        <v>74</v>
      </c>
      <c r="AF870" s="1" t="s">
        <v>74</v>
      </c>
      <c r="AG870" s="1">
        <v>10</v>
      </c>
      <c r="AH870" s="1">
        <v>13</v>
      </c>
      <c r="AI870" s="1">
        <v>13</v>
      </c>
      <c r="AJ870" s="1">
        <v>1</v>
      </c>
      <c r="AK870" s="1">
        <v>9</v>
      </c>
      <c r="AL870" s="1" t="s">
        <v>430</v>
      </c>
      <c r="AM870" s="1" t="s">
        <v>137</v>
      </c>
      <c r="AN870" s="1" t="s">
        <v>431</v>
      </c>
      <c r="AO870" s="1" t="s">
        <v>761</v>
      </c>
      <c r="AP870" s="1" t="s">
        <v>74</v>
      </c>
      <c r="AQ870" s="1" t="s">
        <v>74</v>
      </c>
      <c r="AR870" s="1" t="s">
        <v>763</v>
      </c>
      <c r="AS870" s="1" t="s">
        <v>764</v>
      </c>
      <c r="AT870" s="1" t="s">
        <v>765</v>
      </c>
      <c r="AU870" s="1">
        <v>2008</v>
      </c>
      <c r="AV870" s="1">
        <v>66</v>
      </c>
      <c r="AW870" s="1">
        <v>1</v>
      </c>
      <c r="AX870" s="1" t="s">
        <v>74</v>
      </c>
      <c r="AY870" s="1" t="s">
        <v>74</v>
      </c>
      <c r="AZ870" s="1" t="s">
        <v>74</v>
      </c>
      <c r="BA870" s="1" t="s">
        <v>74</v>
      </c>
      <c r="BB870" s="1">
        <v>38</v>
      </c>
      <c r="BC870" s="1">
        <v>40</v>
      </c>
      <c r="BD870" s="1" t="s">
        <v>74</v>
      </c>
      <c r="BE870" s="1" t="s">
        <v>14647</v>
      </c>
      <c r="BF870" s="1" t="str">
        <f>HYPERLINK("http://dx.doi.org/10.1016/j.marenvres.2008.02.016","http://dx.doi.org/10.1016/j.marenvres.2008.02.016")</f>
        <v>http://dx.doi.org/10.1016/j.marenvres.2008.02.016</v>
      </c>
      <c r="BG870" s="1" t="s">
        <v>74</v>
      </c>
      <c r="BH870" s="1" t="s">
        <v>74</v>
      </c>
      <c r="BI870" s="1">
        <v>3</v>
      </c>
      <c r="BJ870" s="1" t="s">
        <v>768</v>
      </c>
      <c r="BK870" s="1" t="s">
        <v>588</v>
      </c>
      <c r="BL870" s="1" t="s">
        <v>769</v>
      </c>
      <c r="BM870" s="1" t="s">
        <v>14648</v>
      </c>
      <c r="BN870" s="1">
        <v>18381224</v>
      </c>
      <c r="BO870" s="1" t="s">
        <v>14649</v>
      </c>
      <c r="BP870" s="1" t="s">
        <v>74</v>
      </c>
      <c r="BQ870" s="1" t="s">
        <v>74</v>
      </c>
      <c r="BR870" s="1" t="s">
        <v>98</v>
      </c>
      <c r="BS870" s="1" t="s">
        <v>14650</v>
      </c>
      <c r="BT870" s="1" t="str">
        <f>HYPERLINK("https%3A%2F%2Fwww.webofscience.com%2Fwos%2Fwoscc%2Ffull-record%2FWOS:000257575400035","View Full Record in Web of Science")</f>
        <v>View Full Record in Web of Science</v>
      </c>
    </row>
    <row r="871" spans="1:72">
      <c r="A871" s="1" t="s">
        <v>72</v>
      </c>
      <c r="B871" s="1" t="s">
        <v>14651</v>
      </c>
      <c r="C871" s="1" t="s">
        <v>74</v>
      </c>
      <c r="D871" s="1" t="s">
        <v>74</v>
      </c>
      <c r="E871" s="1" t="s">
        <v>74</v>
      </c>
      <c r="F871" s="1" t="s">
        <v>14651</v>
      </c>
      <c r="G871" s="1" t="s">
        <v>74</v>
      </c>
      <c r="H871" s="1" t="s">
        <v>74</v>
      </c>
      <c r="I871" s="1" t="s">
        <v>14652</v>
      </c>
      <c r="J871" s="1" t="s">
        <v>232</v>
      </c>
      <c r="K871" s="1" t="s">
        <v>74</v>
      </c>
      <c r="L871" s="1" t="s">
        <v>74</v>
      </c>
      <c r="M871" s="1" t="s">
        <v>78</v>
      </c>
      <c r="N871" s="1" t="s">
        <v>151</v>
      </c>
      <c r="O871" s="1" t="s">
        <v>233</v>
      </c>
      <c r="P871" s="1" t="s">
        <v>234</v>
      </c>
      <c r="Q871" s="1" t="s">
        <v>235</v>
      </c>
      <c r="R871" s="1" t="s">
        <v>74</v>
      </c>
      <c r="S871" s="1" t="s">
        <v>74</v>
      </c>
      <c r="T871" s="1" t="s">
        <v>74</v>
      </c>
      <c r="U871" s="1" t="s">
        <v>14653</v>
      </c>
      <c r="V871" s="1" t="s">
        <v>14654</v>
      </c>
      <c r="W871" s="1" t="s">
        <v>14655</v>
      </c>
      <c r="X871" s="1" t="s">
        <v>7465</v>
      </c>
      <c r="Y871" s="1" t="s">
        <v>14656</v>
      </c>
      <c r="Z871" s="1" t="s">
        <v>74</v>
      </c>
      <c r="AA871" s="1" t="s">
        <v>14657</v>
      </c>
      <c r="AB871" s="1" t="s">
        <v>7486</v>
      </c>
      <c r="AC871" s="1" t="s">
        <v>74</v>
      </c>
      <c r="AD871" s="1" t="s">
        <v>74</v>
      </c>
      <c r="AE871" s="1" t="s">
        <v>74</v>
      </c>
      <c r="AF871" s="1" t="s">
        <v>74</v>
      </c>
      <c r="AG871" s="1">
        <v>9</v>
      </c>
      <c r="AH871" s="1">
        <v>14</v>
      </c>
      <c r="AI871" s="1">
        <v>23</v>
      </c>
      <c r="AJ871" s="1">
        <v>0</v>
      </c>
      <c r="AK871" s="1">
        <v>7</v>
      </c>
      <c r="AL871" s="1" t="s">
        <v>136</v>
      </c>
      <c r="AM871" s="1" t="s">
        <v>137</v>
      </c>
      <c r="AN871" s="1" t="s">
        <v>138</v>
      </c>
      <c r="AO871" s="1" t="s">
        <v>240</v>
      </c>
      <c r="AP871" s="1" t="s">
        <v>241</v>
      </c>
      <c r="AQ871" s="1" t="s">
        <v>74</v>
      </c>
      <c r="AR871" s="1" t="s">
        <v>242</v>
      </c>
      <c r="AS871" s="1" t="s">
        <v>243</v>
      </c>
      <c r="AT871" s="1" t="s">
        <v>244</v>
      </c>
      <c r="AU871" s="1">
        <v>1995</v>
      </c>
      <c r="AV871" s="1">
        <v>31</v>
      </c>
      <c r="AW871" s="1" t="s">
        <v>245</v>
      </c>
      <c r="AX871" s="1" t="s">
        <v>74</v>
      </c>
      <c r="AY871" s="1" t="s">
        <v>74</v>
      </c>
      <c r="AZ871" s="1" t="s">
        <v>74</v>
      </c>
      <c r="BA871" s="1" t="s">
        <v>74</v>
      </c>
      <c r="BB871" s="1">
        <v>330</v>
      </c>
      <c r="BC871" s="1">
        <v>333</v>
      </c>
      <c r="BD871" s="1" t="s">
        <v>74</v>
      </c>
      <c r="BE871" s="1" t="s">
        <v>14658</v>
      </c>
      <c r="BF871" s="1" t="str">
        <f>HYPERLINK("http://dx.doi.org/10.1016/0025-326X(95)00169-N","http://dx.doi.org/10.1016/0025-326X(95)00169-N")</f>
        <v>http://dx.doi.org/10.1016/0025-326X(95)00169-N</v>
      </c>
      <c r="BG871" s="1" t="s">
        <v>74</v>
      </c>
      <c r="BH871" s="1" t="s">
        <v>74</v>
      </c>
      <c r="BI871" s="1">
        <v>4</v>
      </c>
      <c r="BJ871" s="1" t="s">
        <v>247</v>
      </c>
      <c r="BK871" s="1" t="s">
        <v>172</v>
      </c>
      <c r="BL871" s="1" t="s">
        <v>248</v>
      </c>
      <c r="BM871" s="1" t="s">
        <v>249</v>
      </c>
      <c r="BN871" s="1" t="s">
        <v>74</v>
      </c>
      <c r="BO871" s="1" t="s">
        <v>74</v>
      </c>
      <c r="BP871" s="1" t="s">
        <v>74</v>
      </c>
      <c r="BQ871" s="1" t="s">
        <v>74</v>
      </c>
      <c r="BR871" s="1" t="s">
        <v>98</v>
      </c>
      <c r="BS871" s="1" t="s">
        <v>14659</v>
      </c>
      <c r="BT871" s="1" t="str">
        <f>HYPERLINK("https%3A%2F%2Fwww.webofscience.com%2Fwos%2Fwoscc%2Ffull-record%2FWOS:A1995TM84200026","View Full Record in Web of Science")</f>
        <v>View Full Record in Web of Science</v>
      </c>
    </row>
    <row r="872" spans="1:72">
      <c r="A872" s="1" t="s">
        <v>72</v>
      </c>
      <c r="B872" s="1" t="s">
        <v>14660</v>
      </c>
      <c r="C872" s="1" t="s">
        <v>74</v>
      </c>
      <c r="D872" s="1" t="s">
        <v>74</v>
      </c>
      <c r="E872" s="1" t="s">
        <v>74</v>
      </c>
      <c r="F872" s="1" t="s">
        <v>14660</v>
      </c>
      <c r="G872" s="1" t="s">
        <v>74</v>
      </c>
      <c r="H872" s="1" t="s">
        <v>74</v>
      </c>
      <c r="I872" s="1" t="s">
        <v>14661</v>
      </c>
      <c r="J872" s="1" t="s">
        <v>103</v>
      </c>
      <c r="K872" s="1" t="s">
        <v>74</v>
      </c>
      <c r="L872" s="1" t="s">
        <v>74</v>
      </c>
      <c r="M872" s="1" t="s">
        <v>78</v>
      </c>
      <c r="N872" s="1" t="s">
        <v>79</v>
      </c>
      <c r="O872" s="1" t="s">
        <v>74</v>
      </c>
      <c r="P872" s="1" t="s">
        <v>74</v>
      </c>
      <c r="Q872" s="1" t="s">
        <v>74</v>
      </c>
      <c r="R872" s="1" t="s">
        <v>74</v>
      </c>
      <c r="S872" s="1" t="s">
        <v>74</v>
      </c>
      <c r="T872" s="1" t="s">
        <v>74</v>
      </c>
      <c r="U872" s="1" t="s">
        <v>14662</v>
      </c>
      <c r="V872" s="1" t="s">
        <v>14663</v>
      </c>
      <c r="W872" s="1" t="s">
        <v>14664</v>
      </c>
      <c r="X872" s="1" t="s">
        <v>14665</v>
      </c>
      <c r="Y872" s="1" t="s">
        <v>14666</v>
      </c>
      <c r="Z872" s="1" t="s">
        <v>74</v>
      </c>
      <c r="AA872" s="1" t="s">
        <v>74</v>
      </c>
      <c r="AB872" s="1" t="s">
        <v>74</v>
      </c>
      <c r="AC872" s="1" t="s">
        <v>74</v>
      </c>
      <c r="AD872" s="1" t="s">
        <v>74</v>
      </c>
      <c r="AE872" s="1" t="s">
        <v>74</v>
      </c>
      <c r="AF872" s="1" t="s">
        <v>74</v>
      </c>
      <c r="AG872" s="1">
        <v>21</v>
      </c>
      <c r="AH872" s="1">
        <v>34</v>
      </c>
      <c r="AI872" s="1">
        <v>37</v>
      </c>
      <c r="AJ872" s="1">
        <v>0</v>
      </c>
      <c r="AK872" s="1">
        <v>12</v>
      </c>
      <c r="AL872" s="1" t="s">
        <v>2718</v>
      </c>
      <c r="AM872" s="1" t="s">
        <v>113</v>
      </c>
      <c r="AN872" s="1" t="s">
        <v>2719</v>
      </c>
      <c r="AO872" s="1" t="s">
        <v>115</v>
      </c>
      <c r="AP872" s="1" t="s">
        <v>74</v>
      </c>
      <c r="AQ872" s="1" t="s">
        <v>74</v>
      </c>
      <c r="AR872" s="1" t="s">
        <v>117</v>
      </c>
      <c r="AS872" s="1" t="s">
        <v>118</v>
      </c>
      <c r="AT872" s="1" t="s">
        <v>267</v>
      </c>
      <c r="AU872" s="1">
        <v>2000</v>
      </c>
      <c r="AV872" s="1">
        <v>65</v>
      </c>
      <c r="AW872" s="1">
        <v>4</v>
      </c>
      <c r="AX872" s="1" t="s">
        <v>74</v>
      </c>
      <c r="AY872" s="1" t="s">
        <v>74</v>
      </c>
      <c r="AZ872" s="1" t="s">
        <v>74</v>
      </c>
      <c r="BA872" s="1" t="s">
        <v>74</v>
      </c>
      <c r="BB872" s="1">
        <v>478</v>
      </c>
      <c r="BC872" s="1">
        <v>485</v>
      </c>
      <c r="BD872" s="1" t="s">
        <v>74</v>
      </c>
      <c r="BE872" s="1" t="s">
        <v>14667</v>
      </c>
      <c r="BF872" s="1" t="str">
        <f>HYPERLINK("http://dx.doi.org/10.1007/s001280000149","http://dx.doi.org/10.1007/s001280000149")</f>
        <v>http://dx.doi.org/10.1007/s001280000149</v>
      </c>
      <c r="BG872" s="1" t="s">
        <v>74</v>
      </c>
      <c r="BH872" s="1" t="s">
        <v>74</v>
      </c>
      <c r="BI872" s="1">
        <v>8</v>
      </c>
      <c r="BJ872" s="1" t="s">
        <v>121</v>
      </c>
      <c r="BK872" s="1" t="s">
        <v>96</v>
      </c>
      <c r="BL872" s="1" t="s">
        <v>122</v>
      </c>
      <c r="BM872" s="1" t="s">
        <v>14668</v>
      </c>
      <c r="BN872" s="1">
        <v>10960139</v>
      </c>
      <c r="BO872" s="1" t="s">
        <v>74</v>
      </c>
      <c r="BP872" s="1" t="s">
        <v>74</v>
      </c>
      <c r="BQ872" s="1" t="s">
        <v>74</v>
      </c>
      <c r="BR872" s="1" t="s">
        <v>98</v>
      </c>
      <c r="BS872" s="1" t="s">
        <v>14669</v>
      </c>
      <c r="BT872" s="1" t="str">
        <f>HYPERLINK("https%3A%2F%2Fwww.webofscience.com%2Fwos%2Fwoscc%2Ffull-record%2FWOS:000089262600010","View Full Record in Web of Science")</f>
        <v>View Full Record in Web of Science</v>
      </c>
    </row>
    <row r="873" spans="1:72">
      <c r="A873" s="1" t="s">
        <v>72</v>
      </c>
      <c r="B873" s="1" t="s">
        <v>14670</v>
      </c>
      <c r="C873" s="1" t="s">
        <v>74</v>
      </c>
      <c r="D873" s="1" t="s">
        <v>74</v>
      </c>
      <c r="E873" s="1" t="s">
        <v>74</v>
      </c>
      <c r="F873" s="1" t="s">
        <v>14670</v>
      </c>
      <c r="G873" s="1" t="s">
        <v>74</v>
      </c>
      <c r="H873" s="1" t="s">
        <v>74</v>
      </c>
      <c r="I873" s="1" t="s">
        <v>14671</v>
      </c>
      <c r="J873" s="1" t="s">
        <v>752</v>
      </c>
      <c r="K873" s="1" t="s">
        <v>74</v>
      </c>
      <c r="L873" s="1" t="s">
        <v>74</v>
      </c>
      <c r="M873" s="1" t="s">
        <v>78</v>
      </c>
      <c r="N873" s="1" t="s">
        <v>79</v>
      </c>
      <c r="O873" s="1" t="s">
        <v>74</v>
      </c>
      <c r="P873" s="1" t="s">
        <v>74</v>
      </c>
      <c r="Q873" s="1" t="s">
        <v>74</v>
      </c>
      <c r="R873" s="1" t="s">
        <v>74</v>
      </c>
      <c r="S873" s="1" t="s">
        <v>74</v>
      </c>
      <c r="T873" s="1" t="s">
        <v>14672</v>
      </c>
      <c r="U873" s="1" t="s">
        <v>14673</v>
      </c>
      <c r="V873" s="1" t="s">
        <v>14674</v>
      </c>
      <c r="W873" s="1" t="s">
        <v>14675</v>
      </c>
      <c r="X873" s="1" t="s">
        <v>14676</v>
      </c>
      <c r="Y873" s="1" t="s">
        <v>14677</v>
      </c>
      <c r="Z873" s="1" t="s">
        <v>14678</v>
      </c>
      <c r="AA873" s="1" t="s">
        <v>14679</v>
      </c>
      <c r="AB873" s="1" t="s">
        <v>14680</v>
      </c>
      <c r="AC873" s="1" t="s">
        <v>74</v>
      </c>
      <c r="AD873" s="1" t="s">
        <v>74</v>
      </c>
      <c r="AE873" s="1" t="s">
        <v>74</v>
      </c>
      <c r="AF873" s="1" t="s">
        <v>74</v>
      </c>
      <c r="AG873" s="1">
        <v>46</v>
      </c>
      <c r="AH873" s="1">
        <v>40</v>
      </c>
      <c r="AI873" s="1">
        <v>45</v>
      </c>
      <c r="AJ873" s="1">
        <v>0</v>
      </c>
      <c r="AK873" s="1">
        <v>17</v>
      </c>
      <c r="AL873" s="1" t="s">
        <v>430</v>
      </c>
      <c r="AM873" s="1" t="s">
        <v>137</v>
      </c>
      <c r="AN873" s="1" t="s">
        <v>431</v>
      </c>
      <c r="AO873" s="1" t="s">
        <v>761</v>
      </c>
      <c r="AP873" s="1" t="s">
        <v>762</v>
      </c>
      <c r="AQ873" s="1" t="s">
        <v>74</v>
      </c>
      <c r="AR873" s="1" t="s">
        <v>763</v>
      </c>
      <c r="AS873" s="1" t="s">
        <v>764</v>
      </c>
      <c r="AT873" s="1" t="s">
        <v>119</v>
      </c>
      <c r="AU873" s="1">
        <v>2001</v>
      </c>
      <c r="AV873" s="1">
        <v>52</v>
      </c>
      <c r="AW873" s="1">
        <v>2</v>
      </c>
      <c r="AX873" s="1" t="s">
        <v>74</v>
      </c>
      <c r="AY873" s="1" t="s">
        <v>74</v>
      </c>
      <c r="AZ873" s="1" t="s">
        <v>74</v>
      </c>
      <c r="BA873" s="1" t="s">
        <v>74</v>
      </c>
      <c r="BB873" s="1">
        <v>173</v>
      </c>
      <c r="BC873" s="1">
        <v>194</v>
      </c>
      <c r="BD873" s="1" t="s">
        <v>74</v>
      </c>
      <c r="BE873" s="1" t="s">
        <v>14681</v>
      </c>
      <c r="BF873" s="1" t="str">
        <f>HYPERLINK("http://dx.doi.org/10.1016/S0141-1136(00)00271-3","http://dx.doi.org/10.1016/S0141-1136(00)00271-3")</f>
        <v>http://dx.doi.org/10.1016/S0141-1136(00)00271-3</v>
      </c>
      <c r="BG873" s="1" t="s">
        <v>74</v>
      </c>
      <c r="BH873" s="1" t="s">
        <v>74</v>
      </c>
      <c r="BI873" s="1">
        <v>22</v>
      </c>
      <c r="BJ873" s="1" t="s">
        <v>768</v>
      </c>
      <c r="BK873" s="1" t="s">
        <v>96</v>
      </c>
      <c r="BL873" s="1" t="s">
        <v>769</v>
      </c>
      <c r="BM873" s="1" t="s">
        <v>14682</v>
      </c>
      <c r="BN873" s="1">
        <v>11525429</v>
      </c>
      <c r="BO873" s="1" t="s">
        <v>74</v>
      </c>
      <c r="BP873" s="1" t="s">
        <v>74</v>
      </c>
      <c r="BQ873" s="1" t="s">
        <v>74</v>
      </c>
      <c r="BR873" s="1" t="s">
        <v>98</v>
      </c>
      <c r="BS873" s="1" t="s">
        <v>14683</v>
      </c>
      <c r="BT873" s="1" t="str">
        <f>HYPERLINK("https%3A%2F%2Fwww.webofscience.com%2Fwos%2Fwoscc%2Ffull-record%2FWOS:000170150000005","View Full Record in Web of Science")</f>
        <v>View Full Record in Web of Science</v>
      </c>
    </row>
    <row r="874" spans="1:72">
      <c r="A874" s="1" t="s">
        <v>72</v>
      </c>
      <c r="B874" s="1" t="s">
        <v>14684</v>
      </c>
      <c r="C874" s="1" t="s">
        <v>74</v>
      </c>
      <c r="D874" s="1" t="s">
        <v>74</v>
      </c>
      <c r="E874" s="1" t="s">
        <v>74</v>
      </c>
      <c r="F874" s="1" t="s">
        <v>14685</v>
      </c>
      <c r="G874" s="1" t="s">
        <v>74</v>
      </c>
      <c r="H874" s="1" t="s">
        <v>74</v>
      </c>
      <c r="I874" s="1" t="s">
        <v>14686</v>
      </c>
      <c r="J874" s="1" t="s">
        <v>232</v>
      </c>
      <c r="K874" s="1" t="s">
        <v>74</v>
      </c>
      <c r="L874" s="1" t="s">
        <v>74</v>
      </c>
      <c r="M874" s="1" t="s">
        <v>78</v>
      </c>
      <c r="N874" s="1" t="s">
        <v>79</v>
      </c>
      <c r="O874" s="1" t="s">
        <v>74</v>
      </c>
      <c r="P874" s="1" t="s">
        <v>74</v>
      </c>
      <c r="Q874" s="1" t="s">
        <v>74</v>
      </c>
      <c r="R874" s="1" t="s">
        <v>74</v>
      </c>
      <c r="S874" s="1" t="s">
        <v>74</v>
      </c>
      <c r="T874" s="1" t="s">
        <v>14687</v>
      </c>
      <c r="U874" s="1" t="s">
        <v>14688</v>
      </c>
      <c r="V874" s="1" t="s">
        <v>14689</v>
      </c>
      <c r="W874" s="1" t="s">
        <v>14690</v>
      </c>
      <c r="X874" s="1" t="s">
        <v>14691</v>
      </c>
      <c r="Y874" s="1" t="s">
        <v>14692</v>
      </c>
      <c r="Z874" s="1" t="s">
        <v>14693</v>
      </c>
      <c r="AA874" s="1" t="s">
        <v>14694</v>
      </c>
      <c r="AB874" s="1" t="s">
        <v>14695</v>
      </c>
      <c r="AC874" s="1" t="s">
        <v>14696</v>
      </c>
      <c r="AD874" s="1" t="s">
        <v>14697</v>
      </c>
      <c r="AE874" s="1" t="s">
        <v>14698</v>
      </c>
      <c r="AF874" s="1" t="s">
        <v>74</v>
      </c>
      <c r="AG874" s="1">
        <v>75</v>
      </c>
      <c r="AH874" s="1">
        <v>11</v>
      </c>
      <c r="AI874" s="1">
        <v>11</v>
      </c>
      <c r="AJ874" s="1">
        <v>0</v>
      </c>
      <c r="AK874" s="1">
        <v>10</v>
      </c>
      <c r="AL874" s="1" t="s">
        <v>136</v>
      </c>
      <c r="AM874" s="1" t="s">
        <v>137</v>
      </c>
      <c r="AN874" s="1" t="s">
        <v>138</v>
      </c>
      <c r="AO874" s="1" t="s">
        <v>240</v>
      </c>
      <c r="AP874" s="1" t="s">
        <v>241</v>
      </c>
      <c r="AQ874" s="1" t="s">
        <v>74</v>
      </c>
      <c r="AR874" s="1" t="s">
        <v>242</v>
      </c>
      <c r="AS874" s="1" t="s">
        <v>243</v>
      </c>
      <c r="AT874" s="1" t="s">
        <v>951</v>
      </c>
      <c r="AU874" s="1">
        <v>2020</v>
      </c>
      <c r="AV874" s="1">
        <v>160</v>
      </c>
      <c r="AW874" s="1" t="s">
        <v>74</v>
      </c>
      <c r="AX874" s="1" t="s">
        <v>74</v>
      </c>
      <c r="AY874" s="1" t="s">
        <v>74</v>
      </c>
      <c r="AZ874" s="1" t="s">
        <v>74</v>
      </c>
      <c r="BA874" s="1" t="s">
        <v>74</v>
      </c>
      <c r="BB874" s="1" t="s">
        <v>74</v>
      </c>
      <c r="BC874" s="1" t="s">
        <v>74</v>
      </c>
      <c r="BD874" s="1">
        <v>111583</v>
      </c>
      <c r="BE874" s="1" t="s">
        <v>14699</v>
      </c>
      <c r="BF874" s="1" t="str">
        <f>HYPERLINK("http://dx.doi.org/10.1016/j.marpolbul.2020.111583","http://dx.doi.org/10.1016/j.marpolbul.2020.111583")</f>
        <v>http://dx.doi.org/10.1016/j.marpolbul.2020.111583</v>
      </c>
      <c r="BG874" s="1" t="s">
        <v>74</v>
      </c>
      <c r="BH874" s="1" t="s">
        <v>74</v>
      </c>
      <c r="BI874" s="1">
        <v>10</v>
      </c>
      <c r="BJ874" s="1" t="s">
        <v>247</v>
      </c>
      <c r="BK874" s="1" t="s">
        <v>96</v>
      </c>
      <c r="BL874" s="1" t="s">
        <v>248</v>
      </c>
      <c r="BM874" s="1" t="s">
        <v>14700</v>
      </c>
      <c r="BN874" s="1">
        <v>32861942</v>
      </c>
      <c r="BO874" s="1" t="s">
        <v>74</v>
      </c>
      <c r="BP874" s="1" t="s">
        <v>74</v>
      </c>
      <c r="BQ874" s="1" t="s">
        <v>74</v>
      </c>
      <c r="BR874" s="1" t="s">
        <v>98</v>
      </c>
      <c r="BS874" s="1" t="s">
        <v>14701</v>
      </c>
      <c r="BT874" s="1" t="str">
        <f>HYPERLINK("https%3A%2F%2Fwww.webofscience.com%2Fwos%2Fwoscc%2Ffull-record%2FWOS:000587628400003","View Full Record in Web of Science")</f>
        <v>View Full Record in Web of Science</v>
      </c>
    </row>
    <row r="875" spans="1:72">
      <c r="A875" s="1" t="s">
        <v>72</v>
      </c>
      <c r="B875" s="1" t="s">
        <v>14702</v>
      </c>
      <c r="C875" s="1" t="s">
        <v>74</v>
      </c>
      <c r="D875" s="1" t="s">
        <v>74</v>
      </c>
      <c r="E875" s="1" t="s">
        <v>74</v>
      </c>
      <c r="F875" s="1" t="s">
        <v>14702</v>
      </c>
      <c r="G875" s="1" t="s">
        <v>74</v>
      </c>
      <c r="H875" s="1" t="s">
        <v>74</v>
      </c>
      <c r="I875" s="1" t="s">
        <v>14703</v>
      </c>
      <c r="J875" s="1" t="s">
        <v>204</v>
      </c>
      <c r="K875" s="1" t="s">
        <v>74</v>
      </c>
      <c r="L875" s="1" t="s">
        <v>74</v>
      </c>
      <c r="M875" s="1" t="s">
        <v>78</v>
      </c>
      <c r="N875" s="1" t="s">
        <v>151</v>
      </c>
      <c r="O875" s="1" t="s">
        <v>14704</v>
      </c>
      <c r="P875" s="1" t="s">
        <v>14705</v>
      </c>
      <c r="Q875" s="1" t="s">
        <v>14706</v>
      </c>
      <c r="R875" s="1" t="s">
        <v>74</v>
      </c>
      <c r="S875" s="1" t="s">
        <v>74</v>
      </c>
      <c r="T875" s="1" t="s">
        <v>14707</v>
      </c>
      <c r="U875" s="1" t="s">
        <v>14708</v>
      </c>
      <c r="V875" s="1" t="s">
        <v>14709</v>
      </c>
      <c r="W875" s="1" t="s">
        <v>14710</v>
      </c>
      <c r="X875" s="1" t="s">
        <v>14711</v>
      </c>
      <c r="Y875" s="1" t="s">
        <v>14712</v>
      </c>
      <c r="Z875" s="1" t="s">
        <v>14713</v>
      </c>
      <c r="AA875" s="1" t="s">
        <v>14714</v>
      </c>
      <c r="AB875" s="1" t="s">
        <v>14715</v>
      </c>
      <c r="AC875" s="1" t="s">
        <v>74</v>
      </c>
      <c r="AD875" s="1" t="s">
        <v>74</v>
      </c>
      <c r="AE875" s="1" t="s">
        <v>74</v>
      </c>
      <c r="AF875" s="1" t="s">
        <v>74</v>
      </c>
      <c r="AG875" s="1">
        <v>27</v>
      </c>
      <c r="AH875" s="1">
        <v>34</v>
      </c>
      <c r="AI875" s="1">
        <v>37</v>
      </c>
      <c r="AJ875" s="1">
        <v>1</v>
      </c>
      <c r="AK875" s="1">
        <v>29</v>
      </c>
      <c r="AL875" s="1" t="s">
        <v>217</v>
      </c>
      <c r="AM875" s="1" t="s">
        <v>218</v>
      </c>
      <c r="AN875" s="1" t="s">
        <v>219</v>
      </c>
      <c r="AO875" s="1" t="s">
        <v>220</v>
      </c>
      <c r="AP875" s="1" t="s">
        <v>221</v>
      </c>
      <c r="AQ875" s="1" t="s">
        <v>74</v>
      </c>
      <c r="AR875" s="1" t="s">
        <v>222</v>
      </c>
      <c r="AS875" s="1" t="s">
        <v>223</v>
      </c>
      <c r="AT875" s="1" t="s">
        <v>74</v>
      </c>
      <c r="AU875" s="1">
        <v>2001</v>
      </c>
      <c r="AV875" s="1">
        <v>8</v>
      </c>
      <c r="AW875" s="1">
        <v>4</v>
      </c>
      <c r="AX875" s="1" t="s">
        <v>74</v>
      </c>
      <c r="AY875" s="1" t="s">
        <v>74</v>
      </c>
      <c r="AZ875" s="1" t="s">
        <v>74</v>
      </c>
      <c r="BA875" s="1" t="s">
        <v>74</v>
      </c>
      <c r="BB875" s="1">
        <v>275</v>
      </c>
      <c r="BC875" s="1">
        <v>279</v>
      </c>
      <c r="BD875" s="1" t="s">
        <v>74</v>
      </c>
      <c r="BE875" s="1" t="s">
        <v>14716</v>
      </c>
      <c r="BF875" s="1" t="str">
        <f>HYPERLINK("http://dx.doi.org/10.1007/BF02987407","http://dx.doi.org/10.1007/BF02987407")</f>
        <v>http://dx.doi.org/10.1007/BF02987407</v>
      </c>
      <c r="BG875" s="1" t="s">
        <v>74</v>
      </c>
      <c r="BH875" s="1" t="s">
        <v>74</v>
      </c>
      <c r="BI875" s="1">
        <v>5</v>
      </c>
      <c r="BJ875" s="1" t="s">
        <v>144</v>
      </c>
      <c r="BK875" s="1" t="s">
        <v>172</v>
      </c>
      <c r="BL875" s="1" t="s">
        <v>145</v>
      </c>
      <c r="BM875" s="1" t="s">
        <v>14717</v>
      </c>
      <c r="BN875" s="1">
        <v>11605610</v>
      </c>
      <c r="BO875" s="1" t="s">
        <v>74</v>
      </c>
      <c r="BP875" s="1" t="s">
        <v>74</v>
      </c>
      <c r="BQ875" s="1" t="s">
        <v>74</v>
      </c>
      <c r="BR875" s="1" t="s">
        <v>98</v>
      </c>
      <c r="BS875" s="1" t="s">
        <v>14718</v>
      </c>
      <c r="BT875" s="1" t="str">
        <f>HYPERLINK("https%3A%2F%2Fwww.webofscience.com%2Fwos%2Fwoscc%2Ffull-record%2FWOS:000171172000008","View Full Record in Web of Science")</f>
        <v>View Full Record in Web of Science</v>
      </c>
    </row>
    <row r="876" spans="1:72">
      <c r="A876" s="1" t="s">
        <v>72</v>
      </c>
      <c r="B876" s="1" t="s">
        <v>14719</v>
      </c>
      <c r="C876" s="1" t="s">
        <v>74</v>
      </c>
      <c r="D876" s="1" t="s">
        <v>74</v>
      </c>
      <c r="E876" s="1" t="s">
        <v>74</v>
      </c>
      <c r="F876" s="1" t="s">
        <v>14720</v>
      </c>
      <c r="G876" s="1" t="s">
        <v>74</v>
      </c>
      <c r="H876" s="1" t="s">
        <v>74</v>
      </c>
      <c r="I876" s="1" t="s">
        <v>14721</v>
      </c>
      <c r="J876" s="1" t="s">
        <v>3349</v>
      </c>
      <c r="K876" s="1" t="s">
        <v>74</v>
      </c>
      <c r="L876" s="1" t="s">
        <v>74</v>
      </c>
      <c r="M876" s="1" t="s">
        <v>78</v>
      </c>
      <c r="N876" s="1" t="s">
        <v>79</v>
      </c>
      <c r="O876" s="1" t="s">
        <v>74</v>
      </c>
      <c r="P876" s="1" t="s">
        <v>74</v>
      </c>
      <c r="Q876" s="1" t="s">
        <v>74</v>
      </c>
      <c r="R876" s="1" t="s">
        <v>74</v>
      </c>
      <c r="S876" s="1" t="s">
        <v>74</v>
      </c>
      <c r="T876" s="1" t="s">
        <v>14722</v>
      </c>
      <c r="U876" s="1" t="s">
        <v>14723</v>
      </c>
      <c r="V876" s="1" t="s">
        <v>14724</v>
      </c>
      <c r="W876" s="1" t="s">
        <v>14725</v>
      </c>
      <c r="X876" s="1" t="s">
        <v>14726</v>
      </c>
      <c r="Y876" s="1" t="s">
        <v>14727</v>
      </c>
      <c r="Z876" s="1" t="s">
        <v>14728</v>
      </c>
      <c r="AA876" s="1" t="s">
        <v>14729</v>
      </c>
      <c r="AB876" s="1" t="s">
        <v>74</v>
      </c>
      <c r="AC876" s="1" t="s">
        <v>74</v>
      </c>
      <c r="AD876" s="1" t="s">
        <v>74</v>
      </c>
      <c r="AE876" s="1" t="s">
        <v>74</v>
      </c>
      <c r="AF876" s="1" t="s">
        <v>74</v>
      </c>
      <c r="AG876" s="1">
        <v>61</v>
      </c>
      <c r="AH876" s="1">
        <v>63</v>
      </c>
      <c r="AI876" s="1">
        <v>85</v>
      </c>
      <c r="AJ876" s="1">
        <v>2</v>
      </c>
      <c r="AK876" s="1">
        <v>37</v>
      </c>
      <c r="AL876" s="1" t="s">
        <v>3362</v>
      </c>
      <c r="AM876" s="1" t="s">
        <v>3363</v>
      </c>
      <c r="AN876" s="1" t="s">
        <v>3364</v>
      </c>
      <c r="AO876" s="1" t="s">
        <v>3365</v>
      </c>
      <c r="AP876" s="1" t="s">
        <v>3366</v>
      </c>
      <c r="AQ876" s="1" t="s">
        <v>74</v>
      </c>
      <c r="AR876" s="1" t="s">
        <v>3367</v>
      </c>
      <c r="AS876" s="1" t="s">
        <v>3368</v>
      </c>
      <c r="AT876" s="1" t="s">
        <v>170</v>
      </c>
      <c r="AU876" s="1">
        <v>2008</v>
      </c>
      <c r="AV876" s="1">
        <v>70</v>
      </c>
      <c r="AW876" s="1">
        <v>1</v>
      </c>
      <c r="AX876" s="1" t="s">
        <v>74</v>
      </c>
      <c r="AY876" s="1" t="s">
        <v>74</v>
      </c>
      <c r="AZ876" s="1" t="s">
        <v>74</v>
      </c>
      <c r="BA876" s="1" t="s">
        <v>74</v>
      </c>
      <c r="BB876" s="1">
        <v>106</v>
      </c>
      <c r="BC876" s="1">
        <v>114</v>
      </c>
      <c r="BD876" s="1" t="s">
        <v>74</v>
      </c>
      <c r="BE876" s="1" t="s">
        <v>14730</v>
      </c>
      <c r="BF876" s="1" t="str">
        <f>HYPERLINK("http://dx.doi.org/10.1016/j.ecoenv.2007.04.014","http://dx.doi.org/10.1016/j.ecoenv.2007.04.014")</f>
        <v>http://dx.doi.org/10.1016/j.ecoenv.2007.04.014</v>
      </c>
      <c r="BG876" s="1" t="s">
        <v>74</v>
      </c>
      <c r="BH876" s="1" t="s">
        <v>74</v>
      </c>
      <c r="BI876" s="1">
        <v>9</v>
      </c>
      <c r="BJ876" s="1" t="s">
        <v>121</v>
      </c>
      <c r="BK876" s="1" t="s">
        <v>96</v>
      </c>
      <c r="BL876" s="1" t="s">
        <v>122</v>
      </c>
      <c r="BM876" s="1" t="s">
        <v>14731</v>
      </c>
      <c r="BN876" s="1">
        <v>17673290</v>
      </c>
      <c r="BO876" s="1" t="s">
        <v>74</v>
      </c>
      <c r="BP876" s="1" t="s">
        <v>74</v>
      </c>
      <c r="BQ876" s="1" t="s">
        <v>74</v>
      </c>
      <c r="BR876" s="1" t="s">
        <v>98</v>
      </c>
      <c r="BS876" s="1" t="s">
        <v>14732</v>
      </c>
      <c r="BT876" s="1" t="str">
        <f>HYPERLINK("https%3A%2F%2Fwww.webofscience.com%2Fwos%2Fwoscc%2Ffull-record%2FWOS:000256207500013","View Full Record in Web of Science")</f>
        <v>View Full Record in Web of Science</v>
      </c>
    </row>
    <row r="877" spans="1:72">
      <c r="A877" s="1" t="s">
        <v>72</v>
      </c>
      <c r="B877" s="1" t="s">
        <v>14733</v>
      </c>
      <c r="C877" s="1" t="s">
        <v>74</v>
      </c>
      <c r="D877" s="1" t="s">
        <v>74</v>
      </c>
      <c r="E877" s="1" t="s">
        <v>74</v>
      </c>
      <c r="F877" s="1" t="s">
        <v>14734</v>
      </c>
      <c r="G877" s="1" t="s">
        <v>74</v>
      </c>
      <c r="H877" s="1" t="s">
        <v>74</v>
      </c>
      <c r="I877" s="1" t="s">
        <v>14735</v>
      </c>
      <c r="J877" s="1" t="s">
        <v>14736</v>
      </c>
      <c r="K877" s="1" t="s">
        <v>74</v>
      </c>
      <c r="L877" s="1" t="s">
        <v>74</v>
      </c>
      <c r="M877" s="1" t="s">
        <v>78</v>
      </c>
      <c r="N877" s="1" t="s">
        <v>79</v>
      </c>
      <c r="O877" s="1" t="s">
        <v>74</v>
      </c>
      <c r="P877" s="1" t="s">
        <v>74</v>
      </c>
      <c r="Q877" s="1" t="s">
        <v>74</v>
      </c>
      <c r="R877" s="1" t="s">
        <v>74</v>
      </c>
      <c r="S877" s="1" t="s">
        <v>74</v>
      </c>
      <c r="T877" s="1" t="s">
        <v>14737</v>
      </c>
      <c r="U877" s="1" t="s">
        <v>14738</v>
      </c>
      <c r="V877" s="1" t="s">
        <v>14739</v>
      </c>
      <c r="W877" s="1" t="s">
        <v>14740</v>
      </c>
      <c r="X877" s="1" t="s">
        <v>14741</v>
      </c>
      <c r="Y877" s="1" t="s">
        <v>14742</v>
      </c>
      <c r="Z877" s="1" t="s">
        <v>14743</v>
      </c>
      <c r="AA877" s="1" t="s">
        <v>14744</v>
      </c>
      <c r="AB877" s="1" t="s">
        <v>14745</v>
      </c>
      <c r="AC877" s="1" t="s">
        <v>14746</v>
      </c>
      <c r="AD877" s="1" t="s">
        <v>14747</v>
      </c>
      <c r="AE877" s="1" t="s">
        <v>14748</v>
      </c>
      <c r="AF877" s="1" t="s">
        <v>74</v>
      </c>
      <c r="AG877" s="1">
        <v>29</v>
      </c>
      <c r="AH877" s="1">
        <v>8</v>
      </c>
      <c r="AI877" s="1">
        <v>9</v>
      </c>
      <c r="AJ877" s="1">
        <v>0</v>
      </c>
      <c r="AK877" s="1">
        <v>22</v>
      </c>
      <c r="AL877" s="1" t="s">
        <v>919</v>
      </c>
      <c r="AM877" s="1" t="s">
        <v>651</v>
      </c>
      <c r="AN877" s="1" t="s">
        <v>920</v>
      </c>
      <c r="AO877" s="1" t="s">
        <v>14749</v>
      </c>
      <c r="AP877" s="1" t="s">
        <v>14750</v>
      </c>
      <c r="AQ877" s="1" t="s">
        <v>74</v>
      </c>
      <c r="AR877" s="1" t="s">
        <v>14751</v>
      </c>
      <c r="AS877" s="1" t="s">
        <v>14752</v>
      </c>
      <c r="AT877" s="1" t="s">
        <v>951</v>
      </c>
      <c r="AU877" s="1">
        <v>2016</v>
      </c>
      <c r="AV877" s="1">
        <v>79</v>
      </c>
      <c r="AW877" s="1" t="s">
        <v>74</v>
      </c>
      <c r="AX877" s="1" t="s">
        <v>74</v>
      </c>
      <c r="AY877" s="1" t="s">
        <v>74</v>
      </c>
      <c r="AZ877" s="1" t="s">
        <v>74</v>
      </c>
      <c r="BA877" s="1" t="s">
        <v>74</v>
      </c>
      <c r="BB877" s="1">
        <v>198</v>
      </c>
      <c r="BC877" s="1">
        <v>204</v>
      </c>
      <c r="BD877" s="1" t="s">
        <v>74</v>
      </c>
      <c r="BE877" s="1" t="s">
        <v>14753</v>
      </c>
      <c r="BF877" s="1" t="str">
        <f>HYPERLINK("http://dx.doi.org/10.1016/j.infrared.2016.10.009","http://dx.doi.org/10.1016/j.infrared.2016.10.009")</f>
        <v>http://dx.doi.org/10.1016/j.infrared.2016.10.009</v>
      </c>
      <c r="BG877" s="1" t="s">
        <v>74</v>
      </c>
      <c r="BH877" s="1" t="s">
        <v>74</v>
      </c>
      <c r="BI877" s="1">
        <v>7</v>
      </c>
      <c r="BJ877" s="1" t="s">
        <v>14754</v>
      </c>
      <c r="BK877" s="1" t="s">
        <v>96</v>
      </c>
      <c r="BL877" s="1" t="s">
        <v>14755</v>
      </c>
      <c r="BM877" s="1" t="s">
        <v>14756</v>
      </c>
      <c r="BN877" s="1" t="s">
        <v>74</v>
      </c>
      <c r="BO877" s="1" t="s">
        <v>74</v>
      </c>
      <c r="BP877" s="1" t="s">
        <v>74</v>
      </c>
      <c r="BQ877" s="1" t="s">
        <v>74</v>
      </c>
      <c r="BR877" s="1" t="s">
        <v>98</v>
      </c>
      <c r="BS877" s="1" t="s">
        <v>14757</v>
      </c>
      <c r="BT877" s="1" t="str">
        <f>HYPERLINK("https%3A%2F%2Fwww.webofscience.com%2Fwos%2Fwoscc%2Ffull-record%2FWOS:000390506800027","View Full Record in Web of Science")</f>
        <v>View Full Record in Web of Science</v>
      </c>
    </row>
    <row r="878" spans="1:72">
      <c r="A878" s="1" t="s">
        <v>72</v>
      </c>
      <c r="B878" s="1" t="s">
        <v>14758</v>
      </c>
      <c r="C878" s="1" t="s">
        <v>74</v>
      </c>
      <c r="D878" s="1" t="s">
        <v>74</v>
      </c>
      <c r="E878" s="1" t="s">
        <v>74</v>
      </c>
      <c r="F878" s="1" t="s">
        <v>14758</v>
      </c>
      <c r="G878" s="1" t="s">
        <v>74</v>
      </c>
      <c r="H878" s="1" t="s">
        <v>74</v>
      </c>
      <c r="I878" s="1" t="s">
        <v>14759</v>
      </c>
      <c r="J878" s="1" t="s">
        <v>1254</v>
      </c>
      <c r="K878" s="1" t="s">
        <v>74</v>
      </c>
      <c r="L878" s="1" t="s">
        <v>74</v>
      </c>
      <c r="M878" s="1" t="s">
        <v>78</v>
      </c>
      <c r="N878" s="1" t="s">
        <v>79</v>
      </c>
      <c r="O878" s="1" t="s">
        <v>74</v>
      </c>
      <c r="P878" s="1" t="s">
        <v>74</v>
      </c>
      <c r="Q878" s="1" t="s">
        <v>74</v>
      </c>
      <c r="R878" s="1" t="s">
        <v>74</v>
      </c>
      <c r="S878" s="1" t="s">
        <v>74</v>
      </c>
      <c r="T878" s="1" t="s">
        <v>14760</v>
      </c>
      <c r="U878" s="1" t="s">
        <v>14761</v>
      </c>
      <c r="V878" s="1" t="s">
        <v>14762</v>
      </c>
      <c r="W878" s="1" t="s">
        <v>14763</v>
      </c>
      <c r="X878" s="1" t="s">
        <v>14764</v>
      </c>
      <c r="Y878" s="1" t="s">
        <v>14765</v>
      </c>
      <c r="Z878" s="1" t="s">
        <v>14766</v>
      </c>
      <c r="AA878" s="1" t="s">
        <v>8915</v>
      </c>
      <c r="AB878" s="1" t="s">
        <v>14767</v>
      </c>
      <c r="AC878" s="1" t="s">
        <v>74</v>
      </c>
      <c r="AD878" s="1" t="s">
        <v>74</v>
      </c>
      <c r="AE878" s="1" t="s">
        <v>74</v>
      </c>
      <c r="AF878" s="1" t="s">
        <v>74</v>
      </c>
      <c r="AG878" s="1">
        <v>68</v>
      </c>
      <c r="AH878" s="1">
        <v>53</v>
      </c>
      <c r="AI878" s="1">
        <v>65</v>
      </c>
      <c r="AJ878" s="1">
        <v>0</v>
      </c>
      <c r="AK878" s="1">
        <v>28</v>
      </c>
      <c r="AL878" s="1" t="s">
        <v>136</v>
      </c>
      <c r="AM878" s="1" t="s">
        <v>137</v>
      </c>
      <c r="AN878" s="1" t="s">
        <v>138</v>
      </c>
      <c r="AO878" s="1" t="s">
        <v>1264</v>
      </c>
      <c r="AP878" s="1" t="s">
        <v>1265</v>
      </c>
      <c r="AQ878" s="1" t="s">
        <v>74</v>
      </c>
      <c r="AR878" s="1" t="s">
        <v>1266</v>
      </c>
      <c r="AS878" s="1" t="s">
        <v>1267</v>
      </c>
      <c r="AT878" s="1" t="s">
        <v>1223</v>
      </c>
      <c r="AU878" s="1">
        <v>2004</v>
      </c>
      <c r="AV878" s="1">
        <v>30</v>
      </c>
      <c r="AW878" s="1">
        <v>1</v>
      </c>
      <c r="AX878" s="1" t="s">
        <v>74</v>
      </c>
      <c r="AY878" s="1" t="s">
        <v>74</v>
      </c>
      <c r="AZ878" s="1" t="s">
        <v>74</v>
      </c>
      <c r="BA878" s="1" t="s">
        <v>74</v>
      </c>
      <c r="BB878" s="1">
        <v>87</v>
      </c>
      <c r="BC878" s="1">
        <v>98</v>
      </c>
      <c r="BD878" s="1" t="s">
        <v>74</v>
      </c>
      <c r="BE878" s="1" t="s">
        <v>14768</v>
      </c>
      <c r="BF878" s="1" t="str">
        <f>HYPERLINK("http://dx.doi.org/10.1016/S0160-4120(03)00154-5","http://dx.doi.org/10.1016/S0160-4120(03)00154-5")</f>
        <v>http://dx.doi.org/10.1016/S0160-4120(03)00154-5</v>
      </c>
      <c r="BG878" s="1" t="s">
        <v>74</v>
      </c>
      <c r="BH878" s="1" t="s">
        <v>74</v>
      </c>
      <c r="BI878" s="1">
        <v>12</v>
      </c>
      <c r="BJ878" s="1" t="s">
        <v>144</v>
      </c>
      <c r="BK878" s="1" t="s">
        <v>96</v>
      </c>
      <c r="BL878" s="1" t="s">
        <v>145</v>
      </c>
      <c r="BM878" s="1" t="s">
        <v>1269</v>
      </c>
      <c r="BN878" s="1">
        <v>14664868</v>
      </c>
      <c r="BO878" s="1" t="s">
        <v>1752</v>
      </c>
      <c r="BP878" s="1" t="s">
        <v>74</v>
      </c>
      <c r="BQ878" s="1" t="s">
        <v>74</v>
      </c>
      <c r="BR878" s="1" t="s">
        <v>98</v>
      </c>
      <c r="BS878" s="1" t="s">
        <v>14769</v>
      </c>
      <c r="BT878" s="1" t="str">
        <f>HYPERLINK("https%3A%2F%2Fwww.webofscience.com%2Fwos%2Fwoscc%2Ffull-record%2FWOS:000187974100011","View Full Record in Web of Science")</f>
        <v>View Full Record in Web of Science</v>
      </c>
    </row>
    <row r="879" spans="1:72">
      <c r="A879" s="1" t="s">
        <v>72</v>
      </c>
      <c r="B879" s="1" t="s">
        <v>14770</v>
      </c>
      <c r="C879" s="1" t="s">
        <v>74</v>
      </c>
      <c r="D879" s="1" t="s">
        <v>74</v>
      </c>
      <c r="E879" s="1" t="s">
        <v>74</v>
      </c>
      <c r="F879" s="1" t="s">
        <v>14771</v>
      </c>
      <c r="G879" s="1" t="s">
        <v>74</v>
      </c>
      <c r="H879" s="1" t="s">
        <v>74</v>
      </c>
      <c r="I879" s="1" t="s">
        <v>14772</v>
      </c>
      <c r="J879" s="1" t="s">
        <v>2285</v>
      </c>
      <c r="K879" s="1" t="s">
        <v>74</v>
      </c>
      <c r="L879" s="1" t="s">
        <v>74</v>
      </c>
      <c r="M879" s="1" t="s">
        <v>78</v>
      </c>
      <c r="N879" s="1" t="s">
        <v>79</v>
      </c>
      <c r="O879" s="1" t="s">
        <v>74</v>
      </c>
      <c r="P879" s="1" t="s">
        <v>74</v>
      </c>
      <c r="Q879" s="1" t="s">
        <v>74</v>
      </c>
      <c r="R879" s="1" t="s">
        <v>74</v>
      </c>
      <c r="S879" s="1" t="s">
        <v>74</v>
      </c>
      <c r="T879" s="1" t="s">
        <v>14773</v>
      </c>
      <c r="U879" s="1" t="s">
        <v>14774</v>
      </c>
      <c r="V879" s="1" t="s">
        <v>14775</v>
      </c>
      <c r="W879" s="1" t="s">
        <v>14776</v>
      </c>
      <c r="X879" s="1" t="s">
        <v>14777</v>
      </c>
      <c r="Y879" s="1" t="s">
        <v>14778</v>
      </c>
      <c r="Z879" s="1" t="s">
        <v>14779</v>
      </c>
      <c r="AA879" s="1" t="s">
        <v>74</v>
      </c>
      <c r="AB879" s="1" t="s">
        <v>14780</v>
      </c>
      <c r="AC879" s="1" t="s">
        <v>74</v>
      </c>
      <c r="AD879" s="1" t="s">
        <v>74</v>
      </c>
      <c r="AE879" s="1" t="s">
        <v>74</v>
      </c>
      <c r="AF879" s="1" t="s">
        <v>74</v>
      </c>
      <c r="AG879" s="1">
        <v>37</v>
      </c>
      <c r="AH879" s="1">
        <v>70</v>
      </c>
      <c r="AI879" s="1">
        <v>75</v>
      </c>
      <c r="AJ879" s="1">
        <v>0</v>
      </c>
      <c r="AK879" s="1">
        <v>14</v>
      </c>
      <c r="AL879" s="1" t="s">
        <v>2297</v>
      </c>
      <c r="AM879" s="1" t="s">
        <v>1786</v>
      </c>
      <c r="AN879" s="1" t="s">
        <v>2298</v>
      </c>
      <c r="AO879" s="1" t="s">
        <v>2299</v>
      </c>
      <c r="AP879" s="1" t="s">
        <v>2300</v>
      </c>
      <c r="AQ879" s="1" t="s">
        <v>74</v>
      </c>
      <c r="AR879" s="1" t="s">
        <v>14781</v>
      </c>
      <c r="AS879" s="1" t="s">
        <v>2302</v>
      </c>
      <c r="AT879" s="1" t="s">
        <v>74</v>
      </c>
      <c r="AU879" s="1">
        <v>2009</v>
      </c>
      <c r="AV879" s="1">
        <v>21</v>
      </c>
      <c r="AW879" s="1">
        <v>7</v>
      </c>
      <c r="AX879" s="1" t="s">
        <v>74</v>
      </c>
      <c r="AY879" s="1" t="s">
        <v>74</v>
      </c>
      <c r="AZ879" s="1" t="s">
        <v>74</v>
      </c>
      <c r="BA879" s="1" t="s">
        <v>74</v>
      </c>
      <c r="BB879" s="1">
        <v>980</v>
      </c>
      <c r="BC879" s="1">
        <v>984</v>
      </c>
      <c r="BD879" s="1" t="s">
        <v>74</v>
      </c>
      <c r="BE879" s="1" t="s">
        <v>14782</v>
      </c>
      <c r="BF879" s="1" t="str">
        <f>HYPERLINK("http://dx.doi.org/10.1016/S1001-0742(08)62371-2","http://dx.doi.org/10.1016/S1001-0742(08)62371-2")</f>
        <v>http://dx.doi.org/10.1016/S1001-0742(08)62371-2</v>
      </c>
      <c r="BG879" s="1" t="s">
        <v>74</v>
      </c>
      <c r="BH879" s="1" t="s">
        <v>74</v>
      </c>
      <c r="BI879" s="1">
        <v>5</v>
      </c>
      <c r="BJ879" s="1" t="s">
        <v>144</v>
      </c>
      <c r="BK879" s="1" t="s">
        <v>96</v>
      </c>
      <c r="BL879" s="1" t="s">
        <v>145</v>
      </c>
      <c r="BM879" s="1" t="s">
        <v>14783</v>
      </c>
      <c r="BN879" s="1">
        <v>19862966</v>
      </c>
      <c r="BO879" s="1" t="s">
        <v>74</v>
      </c>
      <c r="BP879" s="1" t="s">
        <v>74</v>
      </c>
      <c r="BQ879" s="1" t="s">
        <v>74</v>
      </c>
      <c r="BR879" s="1" t="s">
        <v>98</v>
      </c>
      <c r="BS879" s="1" t="s">
        <v>14784</v>
      </c>
      <c r="BT879" s="1" t="str">
        <f>HYPERLINK("https%3A%2F%2Fwww.webofscience.com%2Fwos%2Fwoscc%2Ffull-record%2FWOS:000267908700018","View Full Record in Web of Science")</f>
        <v>View Full Record in Web of Science</v>
      </c>
    </row>
    <row r="880" spans="1:72">
      <c r="A880" s="1" t="s">
        <v>72</v>
      </c>
      <c r="B880" s="1" t="s">
        <v>14785</v>
      </c>
      <c r="C880" s="1" t="s">
        <v>74</v>
      </c>
      <c r="D880" s="1" t="s">
        <v>74</v>
      </c>
      <c r="E880" s="1" t="s">
        <v>74</v>
      </c>
      <c r="F880" s="1" t="s">
        <v>14785</v>
      </c>
      <c r="G880" s="1" t="s">
        <v>74</v>
      </c>
      <c r="H880" s="1" t="s">
        <v>74</v>
      </c>
      <c r="I880" s="1" t="s">
        <v>14786</v>
      </c>
      <c r="J880" s="1" t="s">
        <v>232</v>
      </c>
      <c r="K880" s="1" t="s">
        <v>74</v>
      </c>
      <c r="L880" s="1" t="s">
        <v>74</v>
      </c>
      <c r="M880" s="1" t="s">
        <v>78</v>
      </c>
      <c r="N880" s="1" t="s">
        <v>79</v>
      </c>
      <c r="O880" s="1" t="s">
        <v>74</v>
      </c>
      <c r="P880" s="1" t="s">
        <v>74</v>
      </c>
      <c r="Q880" s="1" t="s">
        <v>74</v>
      </c>
      <c r="R880" s="1" t="s">
        <v>74</v>
      </c>
      <c r="S880" s="1" t="s">
        <v>74</v>
      </c>
      <c r="T880" s="1" t="s">
        <v>14787</v>
      </c>
      <c r="U880" s="1" t="s">
        <v>14788</v>
      </c>
      <c r="V880" s="1" t="s">
        <v>14789</v>
      </c>
      <c r="W880" s="1" t="s">
        <v>14790</v>
      </c>
      <c r="X880" s="1" t="s">
        <v>14791</v>
      </c>
      <c r="Y880" s="1" t="s">
        <v>14792</v>
      </c>
      <c r="Z880" s="1" t="s">
        <v>14793</v>
      </c>
      <c r="AA880" s="1" t="s">
        <v>14794</v>
      </c>
      <c r="AB880" s="1" t="s">
        <v>74</v>
      </c>
      <c r="AC880" s="1" t="s">
        <v>74</v>
      </c>
      <c r="AD880" s="1" t="s">
        <v>74</v>
      </c>
      <c r="AE880" s="1" t="s">
        <v>74</v>
      </c>
      <c r="AF880" s="1" t="s">
        <v>74</v>
      </c>
      <c r="AG880" s="1">
        <v>35</v>
      </c>
      <c r="AH880" s="1">
        <v>68</v>
      </c>
      <c r="AI880" s="1">
        <v>83</v>
      </c>
      <c r="AJ880" s="1">
        <v>1</v>
      </c>
      <c r="AK880" s="1">
        <v>24</v>
      </c>
      <c r="AL880" s="1" t="s">
        <v>136</v>
      </c>
      <c r="AM880" s="1" t="s">
        <v>137</v>
      </c>
      <c r="AN880" s="1" t="s">
        <v>138</v>
      </c>
      <c r="AO880" s="1" t="s">
        <v>240</v>
      </c>
      <c r="AP880" s="1" t="s">
        <v>241</v>
      </c>
      <c r="AQ880" s="1" t="s">
        <v>74</v>
      </c>
      <c r="AR880" s="1" t="s">
        <v>242</v>
      </c>
      <c r="AS880" s="1" t="s">
        <v>243</v>
      </c>
      <c r="AT880" s="1" t="s">
        <v>1223</v>
      </c>
      <c r="AU880" s="1">
        <v>2001</v>
      </c>
      <c r="AV880" s="1">
        <v>42</v>
      </c>
      <c r="AW880" s="1">
        <v>3</v>
      </c>
      <c r="AX880" s="1" t="s">
        <v>74</v>
      </c>
      <c r="AY880" s="1" t="s">
        <v>74</v>
      </c>
      <c r="AZ880" s="1" t="s">
        <v>74</v>
      </c>
      <c r="BA880" s="1" t="s">
        <v>74</v>
      </c>
      <c r="BB880" s="1">
        <v>224</v>
      </c>
      <c r="BC880" s="1">
        <v>232</v>
      </c>
      <c r="BD880" s="1" t="s">
        <v>74</v>
      </c>
      <c r="BE880" s="1" t="s">
        <v>14795</v>
      </c>
      <c r="BF880" s="1" t="str">
        <f>HYPERLINK("http://dx.doi.org/10.1016/S0025-326X(00)00146-6","http://dx.doi.org/10.1016/S0025-326X(00)00146-6")</f>
        <v>http://dx.doi.org/10.1016/S0025-326X(00)00146-6</v>
      </c>
      <c r="BG880" s="1" t="s">
        <v>74</v>
      </c>
      <c r="BH880" s="1" t="s">
        <v>74</v>
      </c>
      <c r="BI880" s="1">
        <v>9</v>
      </c>
      <c r="BJ880" s="1" t="s">
        <v>247</v>
      </c>
      <c r="BK880" s="1" t="s">
        <v>96</v>
      </c>
      <c r="BL880" s="1" t="s">
        <v>248</v>
      </c>
      <c r="BM880" s="1" t="s">
        <v>14796</v>
      </c>
      <c r="BN880" s="1">
        <v>11381877</v>
      </c>
      <c r="BO880" s="1" t="s">
        <v>74</v>
      </c>
      <c r="BP880" s="1" t="s">
        <v>74</v>
      </c>
      <c r="BQ880" s="1" t="s">
        <v>74</v>
      </c>
      <c r="BR880" s="1" t="s">
        <v>98</v>
      </c>
      <c r="BS880" s="1" t="s">
        <v>14797</v>
      </c>
      <c r="BT880" s="1" t="str">
        <f>HYPERLINK("https%3A%2F%2Fwww.webofscience.com%2Fwos%2Fwoscc%2Ffull-record%2FWOS:000167700400018","View Full Record in Web of Science")</f>
        <v>View Full Record in Web of Science</v>
      </c>
    </row>
    <row r="881" spans="1:72">
      <c r="A881" s="1" t="s">
        <v>72</v>
      </c>
      <c r="B881" s="1" t="s">
        <v>14798</v>
      </c>
      <c r="C881" s="1" t="s">
        <v>74</v>
      </c>
      <c r="D881" s="1" t="s">
        <v>74</v>
      </c>
      <c r="E881" s="1" t="s">
        <v>74</v>
      </c>
      <c r="F881" s="1" t="s">
        <v>14799</v>
      </c>
      <c r="G881" s="1" t="s">
        <v>74</v>
      </c>
      <c r="H881" s="1" t="s">
        <v>74</v>
      </c>
      <c r="I881" s="1" t="s">
        <v>14800</v>
      </c>
      <c r="J881" s="1" t="s">
        <v>232</v>
      </c>
      <c r="K881" s="1" t="s">
        <v>74</v>
      </c>
      <c r="L881" s="1" t="s">
        <v>74</v>
      </c>
      <c r="M881" s="1" t="s">
        <v>78</v>
      </c>
      <c r="N881" s="1" t="s">
        <v>79</v>
      </c>
      <c r="O881" s="1" t="s">
        <v>74</v>
      </c>
      <c r="P881" s="1" t="s">
        <v>74</v>
      </c>
      <c r="Q881" s="1" t="s">
        <v>74</v>
      </c>
      <c r="R881" s="1" t="s">
        <v>74</v>
      </c>
      <c r="S881" s="1" t="s">
        <v>74</v>
      </c>
      <c r="T881" s="1" t="s">
        <v>14801</v>
      </c>
      <c r="U881" s="1" t="s">
        <v>14802</v>
      </c>
      <c r="V881" s="1" t="s">
        <v>14803</v>
      </c>
      <c r="W881" s="1" t="s">
        <v>14804</v>
      </c>
      <c r="X881" s="1" t="s">
        <v>14805</v>
      </c>
      <c r="Y881" s="1" t="s">
        <v>14806</v>
      </c>
      <c r="Z881" s="1" t="s">
        <v>14807</v>
      </c>
      <c r="AA881" s="1" t="s">
        <v>14808</v>
      </c>
      <c r="AB881" s="1" t="s">
        <v>14809</v>
      </c>
      <c r="AC881" s="1" t="s">
        <v>14810</v>
      </c>
      <c r="AD881" s="1" t="s">
        <v>14811</v>
      </c>
      <c r="AE881" s="1" t="s">
        <v>14812</v>
      </c>
      <c r="AF881" s="1" t="s">
        <v>74</v>
      </c>
      <c r="AG881" s="1">
        <v>101</v>
      </c>
      <c r="AH881" s="1">
        <v>34</v>
      </c>
      <c r="AI881" s="1">
        <v>36</v>
      </c>
      <c r="AJ881" s="1">
        <v>2</v>
      </c>
      <c r="AK881" s="1">
        <v>85</v>
      </c>
      <c r="AL881" s="1" t="s">
        <v>136</v>
      </c>
      <c r="AM881" s="1" t="s">
        <v>137</v>
      </c>
      <c r="AN881" s="1" t="s">
        <v>138</v>
      </c>
      <c r="AO881" s="1" t="s">
        <v>240</v>
      </c>
      <c r="AP881" s="1" t="s">
        <v>241</v>
      </c>
      <c r="AQ881" s="1" t="s">
        <v>74</v>
      </c>
      <c r="AR881" s="1" t="s">
        <v>242</v>
      </c>
      <c r="AS881" s="1" t="s">
        <v>243</v>
      </c>
      <c r="AT881" s="1" t="s">
        <v>546</v>
      </c>
      <c r="AU881" s="1">
        <v>2014</v>
      </c>
      <c r="AV881" s="1">
        <v>88</v>
      </c>
      <c r="AW881" s="1" t="s">
        <v>326</v>
      </c>
      <c r="AX881" s="1" t="s">
        <v>74</v>
      </c>
      <c r="AY881" s="1" t="s">
        <v>74</v>
      </c>
      <c r="AZ881" s="1" t="s">
        <v>74</v>
      </c>
      <c r="BA881" s="1" t="s">
        <v>74</v>
      </c>
      <c r="BB881" s="1">
        <v>194</v>
      </c>
      <c r="BC881" s="1">
        <v>206</v>
      </c>
      <c r="BD881" s="1" t="s">
        <v>74</v>
      </c>
      <c r="BE881" s="1" t="s">
        <v>14813</v>
      </c>
      <c r="BF881" s="1" t="str">
        <f>HYPERLINK("http://dx.doi.org/10.1016/j.marpolbul.2014.09.005","http://dx.doi.org/10.1016/j.marpolbul.2014.09.005")</f>
        <v>http://dx.doi.org/10.1016/j.marpolbul.2014.09.005</v>
      </c>
      <c r="BG881" s="1" t="s">
        <v>74</v>
      </c>
      <c r="BH881" s="1" t="s">
        <v>74</v>
      </c>
      <c r="BI881" s="1">
        <v>13</v>
      </c>
      <c r="BJ881" s="1" t="s">
        <v>247</v>
      </c>
      <c r="BK881" s="1" t="s">
        <v>96</v>
      </c>
      <c r="BL881" s="1" t="s">
        <v>248</v>
      </c>
      <c r="BM881" s="1" t="s">
        <v>7890</v>
      </c>
      <c r="BN881" s="1">
        <v>25287224</v>
      </c>
      <c r="BO881" s="1" t="s">
        <v>74</v>
      </c>
      <c r="BP881" s="1" t="s">
        <v>74</v>
      </c>
      <c r="BQ881" s="1" t="s">
        <v>74</v>
      </c>
      <c r="BR881" s="1" t="s">
        <v>98</v>
      </c>
      <c r="BS881" s="1" t="s">
        <v>14814</v>
      </c>
      <c r="BT881" s="1" t="str">
        <f>HYPERLINK("https%3A%2F%2Fwww.webofscience.com%2Fwos%2Fwoscc%2Ffull-record%2FWOS:000345489800035","View Full Record in Web of Science")</f>
        <v>View Full Record in Web of Science</v>
      </c>
    </row>
    <row r="882" spans="1:72">
      <c r="A882" s="1" t="s">
        <v>72</v>
      </c>
      <c r="B882" s="1" t="s">
        <v>14815</v>
      </c>
      <c r="C882" s="1" t="s">
        <v>74</v>
      </c>
      <c r="D882" s="1" t="s">
        <v>74</v>
      </c>
      <c r="E882" s="1" t="s">
        <v>74</v>
      </c>
      <c r="F882" s="1" t="s">
        <v>14816</v>
      </c>
      <c r="G882" s="1" t="s">
        <v>74</v>
      </c>
      <c r="H882" s="1" t="s">
        <v>74</v>
      </c>
      <c r="I882" s="1" t="s">
        <v>14817</v>
      </c>
      <c r="J882" s="1" t="s">
        <v>576</v>
      </c>
      <c r="K882" s="1" t="s">
        <v>74</v>
      </c>
      <c r="L882" s="1" t="s">
        <v>74</v>
      </c>
      <c r="M882" s="1" t="s">
        <v>78</v>
      </c>
      <c r="N882" s="1" t="s">
        <v>79</v>
      </c>
      <c r="O882" s="1" t="s">
        <v>74</v>
      </c>
      <c r="P882" s="1" t="s">
        <v>74</v>
      </c>
      <c r="Q882" s="1" t="s">
        <v>74</v>
      </c>
      <c r="R882" s="1" t="s">
        <v>74</v>
      </c>
      <c r="S882" s="1" t="s">
        <v>74</v>
      </c>
      <c r="T882" s="1" t="s">
        <v>14818</v>
      </c>
      <c r="U882" s="1" t="s">
        <v>14819</v>
      </c>
      <c r="V882" s="1" t="s">
        <v>14820</v>
      </c>
      <c r="W882" s="1" t="s">
        <v>14821</v>
      </c>
      <c r="X882" s="1" t="s">
        <v>14822</v>
      </c>
      <c r="Y882" s="1" t="s">
        <v>14823</v>
      </c>
      <c r="Z882" s="1" t="s">
        <v>14824</v>
      </c>
      <c r="AA882" s="1" t="s">
        <v>14825</v>
      </c>
      <c r="AB882" s="1" t="s">
        <v>14826</v>
      </c>
      <c r="AC882" s="1" t="s">
        <v>74</v>
      </c>
      <c r="AD882" s="1" t="s">
        <v>74</v>
      </c>
      <c r="AE882" s="1" t="s">
        <v>74</v>
      </c>
      <c r="AF882" s="1" t="s">
        <v>74</v>
      </c>
      <c r="AG882" s="1">
        <v>44</v>
      </c>
      <c r="AH882" s="1">
        <v>28</v>
      </c>
      <c r="AI882" s="1">
        <v>29</v>
      </c>
      <c r="AJ882" s="1">
        <v>0</v>
      </c>
      <c r="AK882" s="1">
        <v>33</v>
      </c>
      <c r="AL882" s="1" t="s">
        <v>14827</v>
      </c>
      <c r="AM882" s="1" t="s">
        <v>286</v>
      </c>
      <c r="AN882" s="1" t="s">
        <v>14828</v>
      </c>
      <c r="AO882" s="1" t="s">
        <v>584</v>
      </c>
      <c r="AP882" s="1" t="s">
        <v>14829</v>
      </c>
      <c r="AQ882" s="1" t="s">
        <v>74</v>
      </c>
      <c r="AR882" s="1" t="s">
        <v>585</v>
      </c>
      <c r="AS882" s="1" t="s">
        <v>586</v>
      </c>
      <c r="AT882" s="1" t="s">
        <v>3542</v>
      </c>
      <c r="AU882" s="1">
        <v>2019</v>
      </c>
      <c r="AV882" s="1">
        <v>80</v>
      </c>
      <c r="AW882" s="1">
        <v>7</v>
      </c>
      <c r="AX882" s="1" t="s">
        <v>74</v>
      </c>
      <c r="AY882" s="1" t="s">
        <v>74</v>
      </c>
      <c r="AZ882" s="1" t="s">
        <v>74</v>
      </c>
      <c r="BA882" s="1" t="s">
        <v>74</v>
      </c>
      <c r="BB882" s="1">
        <v>1226</v>
      </c>
      <c r="BC882" s="1">
        <v>1237</v>
      </c>
      <c r="BD882" s="1" t="s">
        <v>74</v>
      </c>
      <c r="BE882" s="1" t="s">
        <v>14830</v>
      </c>
      <c r="BF882" s="1" t="str">
        <f>HYPERLINK("http://dx.doi.org/10.2166/wst.2019.366","http://dx.doi.org/10.2166/wst.2019.366")</f>
        <v>http://dx.doi.org/10.2166/wst.2019.366</v>
      </c>
      <c r="BG882" s="1" t="s">
        <v>74</v>
      </c>
      <c r="BH882" s="1" t="s">
        <v>74</v>
      </c>
      <c r="BI882" s="1">
        <v>12</v>
      </c>
      <c r="BJ882" s="1" t="s">
        <v>587</v>
      </c>
      <c r="BK882" s="1" t="s">
        <v>96</v>
      </c>
      <c r="BL882" s="1" t="s">
        <v>589</v>
      </c>
      <c r="BM882" s="1" t="s">
        <v>14831</v>
      </c>
      <c r="BN882" s="1">
        <v>31850874</v>
      </c>
      <c r="BO882" s="1" t="s">
        <v>370</v>
      </c>
      <c r="BP882" s="1" t="s">
        <v>74</v>
      </c>
      <c r="BQ882" s="1" t="s">
        <v>74</v>
      </c>
      <c r="BR882" s="1" t="s">
        <v>98</v>
      </c>
      <c r="BS882" s="1" t="s">
        <v>14832</v>
      </c>
      <c r="BT882" s="1" t="str">
        <f>HYPERLINK("https%3A%2F%2Fwww.webofscience.com%2Fwos%2Fwoscc%2Ffull-record%2FWOS:000503485300002","View Full Record in Web of Science")</f>
        <v>View Full Record in Web of Science</v>
      </c>
    </row>
    <row r="883" spans="1:72">
      <c r="A883" s="1" t="s">
        <v>72</v>
      </c>
      <c r="B883" s="1" t="s">
        <v>14833</v>
      </c>
      <c r="C883" s="1" t="s">
        <v>74</v>
      </c>
      <c r="D883" s="1" t="s">
        <v>74</v>
      </c>
      <c r="E883" s="1" t="s">
        <v>74</v>
      </c>
      <c r="F883" s="1" t="s">
        <v>14834</v>
      </c>
      <c r="G883" s="1" t="s">
        <v>74</v>
      </c>
      <c r="H883" s="1" t="s">
        <v>74</v>
      </c>
      <c r="I883" s="1" t="s">
        <v>14835</v>
      </c>
      <c r="J883" s="1" t="s">
        <v>14836</v>
      </c>
      <c r="K883" s="1" t="s">
        <v>74</v>
      </c>
      <c r="L883" s="1" t="s">
        <v>74</v>
      </c>
      <c r="M883" s="1" t="s">
        <v>78</v>
      </c>
      <c r="N883" s="1" t="s">
        <v>79</v>
      </c>
      <c r="O883" s="1" t="s">
        <v>74</v>
      </c>
      <c r="P883" s="1" t="s">
        <v>74</v>
      </c>
      <c r="Q883" s="1" t="s">
        <v>74</v>
      </c>
      <c r="R883" s="1" t="s">
        <v>74</v>
      </c>
      <c r="S883" s="1" t="s">
        <v>74</v>
      </c>
      <c r="T883" s="1" t="s">
        <v>14837</v>
      </c>
      <c r="U883" s="1" t="s">
        <v>14838</v>
      </c>
      <c r="V883" s="1" t="s">
        <v>14839</v>
      </c>
      <c r="W883" s="1" t="s">
        <v>14840</v>
      </c>
      <c r="X883" s="1" t="s">
        <v>14841</v>
      </c>
      <c r="Y883" s="1" t="s">
        <v>14842</v>
      </c>
      <c r="Z883" s="1" t="s">
        <v>14843</v>
      </c>
      <c r="AA883" s="1" t="s">
        <v>1484</v>
      </c>
      <c r="AB883" s="1" t="s">
        <v>14844</v>
      </c>
      <c r="AC883" s="1" t="s">
        <v>14845</v>
      </c>
      <c r="AD883" s="1" t="s">
        <v>14846</v>
      </c>
      <c r="AE883" s="1" t="s">
        <v>14847</v>
      </c>
      <c r="AF883" s="1" t="s">
        <v>74</v>
      </c>
      <c r="AG883" s="1">
        <v>31</v>
      </c>
      <c r="AH883" s="1">
        <v>1</v>
      </c>
      <c r="AI883" s="1">
        <v>1</v>
      </c>
      <c r="AJ883" s="1">
        <v>4</v>
      </c>
      <c r="AK883" s="1">
        <v>8</v>
      </c>
      <c r="AL883" s="1" t="s">
        <v>4471</v>
      </c>
      <c r="AM883" s="1" t="s">
        <v>4472</v>
      </c>
      <c r="AN883" s="1" t="s">
        <v>4473</v>
      </c>
      <c r="AO883" s="1" t="s">
        <v>14848</v>
      </c>
      <c r="AP883" s="1" t="s">
        <v>74</v>
      </c>
      <c r="AQ883" s="1" t="s">
        <v>74</v>
      </c>
      <c r="AR883" s="1" t="s">
        <v>14849</v>
      </c>
      <c r="AS883" s="1" t="s">
        <v>14850</v>
      </c>
      <c r="AT883" s="1" t="s">
        <v>14851</v>
      </c>
      <c r="AU883" s="1">
        <v>2023</v>
      </c>
      <c r="AV883" s="1">
        <v>10</v>
      </c>
      <c r="AW883" s="1">
        <v>10</v>
      </c>
      <c r="AX883" s="1" t="s">
        <v>74</v>
      </c>
      <c r="AY883" s="1" t="s">
        <v>74</v>
      </c>
      <c r="AZ883" s="1" t="s">
        <v>74</v>
      </c>
      <c r="BA883" s="1" t="s">
        <v>74</v>
      </c>
      <c r="BB883" s="1">
        <v>831</v>
      </c>
      <c r="BC883" s="1">
        <v>837</v>
      </c>
      <c r="BD883" s="1" t="s">
        <v>74</v>
      </c>
      <c r="BE883" s="1" t="s">
        <v>14852</v>
      </c>
      <c r="BF883" s="1" t="str">
        <f>HYPERLINK("http://dx.doi.org/10.1021/acs.estlett.3c00625","http://dx.doi.org/10.1021/acs.estlett.3c00625")</f>
        <v>http://dx.doi.org/10.1021/acs.estlett.3c00625</v>
      </c>
      <c r="BG883" s="1" t="s">
        <v>74</v>
      </c>
      <c r="BH883" s="1" t="s">
        <v>2000</v>
      </c>
      <c r="BI883" s="1">
        <v>7</v>
      </c>
      <c r="BJ883" s="1" t="s">
        <v>415</v>
      </c>
      <c r="BK883" s="1" t="s">
        <v>96</v>
      </c>
      <c r="BL883" s="1" t="s">
        <v>416</v>
      </c>
      <c r="BM883" s="1" t="s">
        <v>14853</v>
      </c>
      <c r="BN883" s="1" t="s">
        <v>74</v>
      </c>
      <c r="BO883" s="1" t="s">
        <v>74</v>
      </c>
      <c r="BP883" s="1" t="s">
        <v>74</v>
      </c>
      <c r="BQ883" s="1" t="s">
        <v>74</v>
      </c>
      <c r="BR883" s="1" t="s">
        <v>98</v>
      </c>
      <c r="BS883" s="1" t="s">
        <v>14854</v>
      </c>
      <c r="BT883" s="1" t="str">
        <f>HYPERLINK("https%3A%2F%2Fwww.webofscience.com%2Fwos%2Fwoscc%2Ffull-record%2FWOS:001074233300001","View Full Record in Web of Science")</f>
        <v>View Full Record in Web of Science</v>
      </c>
    </row>
    <row r="884" spans="1:72">
      <c r="A884" s="1" t="s">
        <v>72</v>
      </c>
      <c r="B884" s="1" t="s">
        <v>14855</v>
      </c>
      <c r="C884" s="1" t="s">
        <v>74</v>
      </c>
      <c r="D884" s="1" t="s">
        <v>74</v>
      </c>
      <c r="E884" s="1" t="s">
        <v>74</v>
      </c>
      <c r="F884" s="1" t="s">
        <v>14856</v>
      </c>
      <c r="G884" s="1" t="s">
        <v>74</v>
      </c>
      <c r="H884" s="1" t="s">
        <v>74</v>
      </c>
      <c r="I884" s="1" t="s">
        <v>14857</v>
      </c>
      <c r="J884" s="1" t="s">
        <v>14858</v>
      </c>
      <c r="K884" s="1" t="s">
        <v>74</v>
      </c>
      <c r="L884" s="1" t="s">
        <v>74</v>
      </c>
      <c r="M884" s="1" t="s">
        <v>78</v>
      </c>
      <c r="N884" s="1" t="s">
        <v>79</v>
      </c>
      <c r="O884" s="1" t="s">
        <v>74</v>
      </c>
      <c r="P884" s="1" t="s">
        <v>74</v>
      </c>
      <c r="Q884" s="1" t="s">
        <v>74</v>
      </c>
      <c r="R884" s="1" t="s">
        <v>74</v>
      </c>
      <c r="S884" s="1" t="s">
        <v>74</v>
      </c>
      <c r="T884" s="1" t="s">
        <v>14859</v>
      </c>
      <c r="U884" s="1" t="s">
        <v>14860</v>
      </c>
      <c r="V884" s="1" t="s">
        <v>14861</v>
      </c>
      <c r="W884" s="1" t="s">
        <v>14862</v>
      </c>
      <c r="X884" s="1" t="s">
        <v>6300</v>
      </c>
      <c r="Y884" s="1" t="s">
        <v>14863</v>
      </c>
      <c r="Z884" s="1" t="s">
        <v>14864</v>
      </c>
      <c r="AA884" s="1" t="s">
        <v>14865</v>
      </c>
      <c r="AB884" s="1" t="s">
        <v>14866</v>
      </c>
      <c r="AC884" s="1" t="s">
        <v>14867</v>
      </c>
      <c r="AD884" s="1" t="s">
        <v>14868</v>
      </c>
      <c r="AE884" s="1" t="s">
        <v>14869</v>
      </c>
      <c r="AF884" s="1" t="s">
        <v>74</v>
      </c>
      <c r="AG884" s="1">
        <v>127</v>
      </c>
      <c r="AH884" s="1">
        <v>1</v>
      </c>
      <c r="AI884" s="1">
        <v>1</v>
      </c>
      <c r="AJ884" s="1">
        <v>3</v>
      </c>
      <c r="AK884" s="1">
        <v>8</v>
      </c>
      <c r="AL884" s="1" t="s">
        <v>1350</v>
      </c>
      <c r="AM884" s="1" t="s">
        <v>1351</v>
      </c>
      <c r="AN884" s="1" t="s">
        <v>1352</v>
      </c>
      <c r="AO884" s="1" t="s">
        <v>74</v>
      </c>
      <c r="AP884" s="1" t="s">
        <v>14870</v>
      </c>
      <c r="AQ884" s="1" t="s">
        <v>74</v>
      </c>
      <c r="AR884" s="1" t="s">
        <v>14871</v>
      </c>
      <c r="AS884" s="1" t="s">
        <v>14872</v>
      </c>
      <c r="AT884" s="1" t="s">
        <v>1856</v>
      </c>
      <c r="AU884" s="1">
        <v>2023</v>
      </c>
      <c r="AV884" s="1">
        <v>14</v>
      </c>
      <c r="AW884" s="1" t="s">
        <v>74</v>
      </c>
      <c r="AX884" s="1" t="s">
        <v>74</v>
      </c>
      <c r="AY884" s="1" t="s">
        <v>74</v>
      </c>
      <c r="AZ884" s="1" t="s">
        <v>74</v>
      </c>
      <c r="BA884" s="1" t="s">
        <v>74</v>
      </c>
      <c r="BB884" s="1" t="s">
        <v>74</v>
      </c>
      <c r="BC884" s="1" t="s">
        <v>74</v>
      </c>
      <c r="BD884" s="1">
        <v>1230943</v>
      </c>
      <c r="BE884" s="1" t="s">
        <v>14873</v>
      </c>
      <c r="BF884" s="1" t="str">
        <f>HYPERLINK("http://dx.doi.org/10.3389/fphys.2023.1230943","http://dx.doi.org/10.3389/fphys.2023.1230943")</f>
        <v>http://dx.doi.org/10.3389/fphys.2023.1230943</v>
      </c>
      <c r="BG884" s="1" t="s">
        <v>74</v>
      </c>
      <c r="BH884" s="1" t="s">
        <v>74</v>
      </c>
      <c r="BI884" s="1">
        <v>14</v>
      </c>
      <c r="BJ884" s="1" t="s">
        <v>7548</v>
      </c>
      <c r="BK884" s="1" t="s">
        <v>96</v>
      </c>
      <c r="BL884" s="1" t="s">
        <v>7548</v>
      </c>
      <c r="BM884" s="1" t="s">
        <v>14874</v>
      </c>
      <c r="BN884" s="1">
        <v>37654677</v>
      </c>
      <c r="BO884" s="1" t="s">
        <v>2155</v>
      </c>
      <c r="BP884" s="1" t="s">
        <v>74</v>
      </c>
      <c r="BQ884" s="1" t="s">
        <v>74</v>
      </c>
      <c r="BR884" s="1" t="s">
        <v>98</v>
      </c>
      <c r="BS884" s="1" t="s">
        <v>14875</v>
      </c>
      <c r="BT884" s="1" t="str">
        <f>HYPERLINK("https%3A%2F%2Fwww.webofscience.com%2Fwos%2Fwoscc%2Ffull-record%2FWOS:001057669000001","View Full Record in Web of Science")</f>
        <v>View Full Record in Web of Science</v>
      </c>
    </row>
    <row r="885" spans="1:72">
      <c r="A885" s="1" t="s">
        <v>72</v>
      </c>
      <c r="B885" s="1" t="s">
        <v>14876</v>
      </c>
      <c r="C885" s="1" t="s">
        <v>74</v>
      </c>
      <c r="D885" s="1" t="s">
        <v>74</v>
      </c>
      <c r="E885" s="1" t="s">
        <v>74</v>
      </c>
      <c r="F885" s="1" t="s">
        <v>14876</v>
      </c>
      <c r="G885" s="1" t="s">
        <v>74</v>
      </c>
      <c r="H885" s="1" t="s">
        <v>74</v>
      </c>
      <c r="I885" s="1" t="s">
        <v>14877</v>
      </c>
      <c r="J885" s="1" t="s">
        <v>641</v>
      </c>
      <c r="K885" s="1" t="s">
        <v>74</v>
      </c>
      <c r="L885" s="1" t="s">
        <v>74</v>
      </c>
      <c r="M885" s="1" t="s">
        <v>78</v>
      </c>
      <c r="N885" s="1" t="s">
        <v>79</v>
      </c>
      <c r="O885" s="1" t="s">
        <v>74</v>
      </c>
      <c r="P885" s="1" t="s">
        <v>74</v>
      </c>
      <c r="Q885" s="1" t="s">
        <v>74</v>
      </c>
      <c r="R885" s="1" t="s">
        <v>74</v>
      </c>
      <c r="S885" s="1" t="s">
        <v>74</v>
      </c>
      <c r="T885" s="1" t="s">
        <v>14878</v>
      </c>
      <c r="U885" s="1" t="s">
        <v>14879</v>
      </c>
      <c r="V885" s="1" t="s">
        <v>14880</v>
      </c>
      <c r="W885" s="1" t="s">
        <v>14881</v>
      </c>
      <c r="X885" s="1" t="s">
        <v>14882</v>
      </c>
      <c r="Y885" s="1" t="s">
        <v>74</v>
      </c>
      <c r="Z885" s="1" t="s">
        <v>74</v>
      </c>
      <c r="AA885" s="1" t="s">
        <v>14883</v>
      </c>
      <c r="AB885" s="1" t="s">
        <v>14884</v>
      </c>
      <c r="AC885" s="1" t="s">
        <v>74</v>
      </c>
      <c r="AD885" s="1" t="s">
        <v>74</v>
      </c>
      <c r="AE885" s="1" t="s">
        <v>74</v>
      </c>
      <c r="AF885" s="1" t="s">
        <v>74</v>
      </c>
      <c r="AG885" s="1">
        <v>30</v>
      </c>
      <c r="AH885" s="1">
        <v>32</v>
      </c>
      <c r="AI885" s="1">
        <v>33</v>
      </c>
      <c r="AJ885" s="1">
        <v>0</v>
      </c>
      <c r="AK885" s="1">
        <v>7</v>
      </c>
      <c r="AL885" s="1" t="s">
        <v>919</v>
      </c>
      <c r="AM885" s="1" t="s">
        <v>651</v>
      </c>
      <c r="AN885" s="1" t="s">
        <v>920</v>
      </c>
      <c r="AO885" s="1" t="s">
        <v>653</v>
      </c>
      <c r="AP885" s="1" t="s">
        <v>74</v>
      </c>
      <c r="AQ885" s="1" t="s">
        <v>74</v>
      </c>
      <c r="AR885" s="1" t="s">
        <v>655</v>
      </c>
      <c r="AS885" s="1" t="s">
        <v>656</v>
      </c>
      <c r="AT885" s="1" t="s">
        <v>142</v>
      </c>
      <c r="AU885" s="1">
        <v>1995</v>
      </c>
      <c r="AV885" s="1">
        <v>32</v>
      </c>
      <c r="AW885" s="1" t="s">
        <v>1723</v>
      </c>
      <c r="AX885" s="1" t="s">
        <v>74</v>
      </c>
      <c r="AY885" s="1" t="s">
        <v>74</v>
      </c>
      <c r="AZ885" s="1" t="s">
        <v>74</v>
      </c>
      <c r="BA885" s="1" t="s">
        <v>74</v>
      </c>
      <c r="BB885" s="1">
        <v>239</v>
      </c>
      <c r="BC885" s="1">
        <v>253</v>
      </c>
      <c r="BD885" s="1" t="s">
        <v>74</v>
      </c>
      <c r="BE885" s="1" t="s">
        <v>14885</v>
      </c>
      <c r="BF885" s="1" t="str">
        <f>HYPERLINK("http://dx.doi.org/10.1016/0166-445X(94)00089-9","http://dx.doi.org/10.1016/0166-445X(94)00089-9")</f>
        <v>http://dx.doi.org/10.1016/0166-445X(94)00089-9</v>
      </c>
      <c r="BG885" s="1" t="s">
        <v>74</v>
      </c>
      <c r="BH885" s="1" t="s">
        <v>74</v>
      </c>
      <c r="BI885" s="1">
        <v>15</v>
      </c>
      <c r="BJ885" s="1" t="s">
        <v>659</v>
      </c>
      <c r="BK885" s="1" t="s">
        <v>96</v>
      </c>
      <c r="BL885" s="1" t="s">
        <v>659</v>
      </c>
      <c r="BM885" s="1" t="s">
        <v>14886</v>
      </c>
      <c r="BN885" s="1" t="s">
        <v>74</v>
      </c>
      <c r="BO885" s="1" t="s">
        <v>74</v>
      </c>
      <c r="BP885" s="1" t="s">
        <v>74</v>
      </c>
      <c r="BQ885" s="1" t="s">
        <v>74</v>
      </c>
      <c r="BR885" s="1" t="s">
        <v>98</v>
      </c>
      <c r="BS885" s="1" t="s">
        <v>14887</v>
      </c>
      <c r="BT885" s="1" t="str">
        <f>HYPERLINK("https%3A%2F%2Fwww.webofscience.com%2Fwos%2Fwoscc%2Ffull-record%2FWOS:A1995RE40800010","View Full Record in Web of Science")</f>
        <v>View Full Record in Web of Science</v>
      </c>
    </row>
    <row r="886" spans="1:72">
      <c r="A886" s="1" t="s">
        <v>72</v>
      </c>
      <c r="B886" s="1" t="s">
        <v>14888</v>
      </c>
      <c r="C886" s="1" t="s">
        <v>74</v>
      </c>
      <c r="D886" s="1" t="s">
        <v>74</v>
      </c>
      <c r="E886" s="1" t="s">
        <v>74</v>
      </c>
      <c r="F886" s="1" t="s">
        <v>14888</v>
      </c>
      <c r="G886" s="1" t="s">
        <v>74</v>
      </c>
      <c r="H886" s="1" t="s">
        <v>74</v>
      </c>
      <c r="I886" s="1" t="s">
        <v>14889</v>
      </c>
      <c r="J886" s="1" t="s">
        <v>641</v>
      </c>
      <c r="K886" s="1" t="s">
        <v>74</v>
      </c>
      <c r="L886" s="1" t="s">
        <v>74</v>
      </c>
      <c r="M886" s="1" t="s">
        <v>78</v>
      </c>
      <c r="N886" s="1" t="s">
        <v>79</v>
      </c>
      <c r="O886" s="1" t="s">
        <v>74</v>
      </c>
      <c r="P886" s="1" t="s">
        <v>74</v>
      </c>
      <c r="Q886" s="1" t="s">
        <v>74</v>
      </c>
      <c r="R886" s="1" t="s">
        <v>74</v>
      </c>
      <c r="S886" s="1" t="s">
        <v>74</v>
      </c>
      <c r="T886" s="1" t="s">
        <v>14890</v>
      </c>
      <c r="U886" s="1" t="s">
        <v>14891</v>
      </c>
      <c r="V886" s="1" t="s">
        <v>14892</v>
      </c>
      <c r="W886" s="1" t="s">
        <v>14893</v>
      </c>
      <c r="X886" s="1" t="s">
        <v>14894</v>
      </c>
      <c r="Y886" s="1" t="s">
        <v>14895</v>
      </c>
      <c r="Z886" s="1" t="s">
        <v>74</v>
      </c>
      <c r="AA886" s="1" t="s">
        <v>14896</v>
      </c>
      <c r="AB886" s="1" t="s">
        <v>14897</v>
      </c>
      <c r="AC886" s="1" t="s">
        <v>74</v>
      </c>
      <c r="AD886" s="1" t="s">
        <v>74</v>
      </c>
      <c r="AE886" s="1" t="s">
        <v>74</v>
      </c>
      <c r="AF886" s="1" t="s">
        <v>74</v>
      </c>
      <c r="AG886" s="1">
        <v>56</v>
      </c>
      <c r="AH886" s="1">
        <v>203</v>
      </c>
      <c r="AI886" s="1">
        <v>235</v>
      </c>
      <c r="AJ886" s="1">
        <v>0</v>
      </c>
      <c r="AK886" s="1">
        <v>66</v>
      </c>
      <c r="AL886" s="1" t="s">
        <v>650</v>
      </c>
      <c r="AM886" s="1" t="s">
        <v>651</v>
      </c>
      <c r="AN886" s="1" t="s">
        <v>652</v>
      </c>
      <c r="AO886" s="1" t="s">
        <v>653</v>
      </c>
      <c r="AP886" s="1" t="s">
        <v>654</v>
      </c>
      <c r="AQ886" s="1" t="s">
        <v>74</v>
      </c>
      <c r="AR886" s="1" t="s">
        <v>655</v>
      </c>
      <c r="AS886" s="1" t="s">
        <v>656</v>
      </c>
      <c r="AT886" s="1" t="s">
        <v>14898</v>
      </c>
      <c r="AU886" s="1">
        <v>2004</v>
      </c>
      <c r="AV886" s="1">
        <v>66</v>
      </c>
      <c r="AW886" s="1">
        <v>3</v>
      </c>
      <c r="AX886" s="1" t="s">
        <v>74</v>
      </c>
      <c r="AY886" s="1" t="s">
        <v>74</v>
      </c>
      <c r="AZ886" s="1" t="s">
        <v>74</v>
      </c>
      <c r="BA886" s="1" t="s">
        <v>74</v>
      </c>
      <c r="BB886" s="1">
        <v>267</v>
      </c>
      <c r="BC886" s="1">
        <v>278</v>
      </c>
      <c r="BD886" s="1" t="s">
        <v>74</v>
      </c>
      <c r="BE886" s="1" t="s">
        <v>14899</v>
      </c>
      <c r="BF886" s="1" t="str">
        <f>HYPERLINK("http://dx.doi.org/10.1016/j.aquatox.2003.10.001","http://dx.doi.org/10.1016/j.aquatox.2003.10.001")</f>
        <v>http://dx.doi.org/10.1016/j.aquatox.2003.10.001</v>
      </c>
      <c r="BG886" s="1" t="s">
        <v>74</v>
      </c>
      <c r="BH886" s="1" t="s">
        <v>74</v>
      </c>
      <c r="BI886" s="1">
        <v>12</v>
      </c>
      <c r="BJ886" s="1" t="s">
        <v>659</v>
      </c>
      <c r="BK886" s="1" t="s">
        <v>96</v>
      </c>
      <c r="BL886" s="1" t="s">
        <v>659</v>
      </c>
      <c r="BM886" s="1" t="s">
        <v>14900</v>
      </c>
      <c r="BN886" s="1">
        <v>15129769</v>
      </c>
      <c r="BO886" s="1" t="s">
        <v>74</v>
      </c>
      <c r="BP886" s="1" t="s">
        <v>74</v>
      </c>
      <c r="BQ886" s="1" t="s">
        <v>74</v>
      </c>
      <c r="BR886" s="1" t="s">
        <v>98</v>
      </c>
      <c r="BS886" s="1" t="s">
        <v>14901</v>
      </c>
      <c r="BT886" s="1" t="str">
        <f>HYPERLINK("https%3A%2F%2Fwww.webofscience.com%2Fwos%2Fwoscc%2Ffull-record%2FWOS:000189100800004","View Full Record in Web of Science")</f>
        <v>View Full Record in Web of Science</v>
      </c>
    </row>
    <row r="887" spans="1:72">
      <c r="A887" s="1" t="s">
        <v>72</v>
      </c>
      <c r="B887" s="1" t="s">
        <v>14902</v>
      </c>
      <c r="C887" s="1" t="s">
        <v>74</v>
      </c>
      <c r="D887" s="1" t="s">
        <v>74</v>
      </c>
      <c r="E887" s="1" t="s">
        <v>74</v>
      </c>
      <c r="F887" s="1" t="s">
        <v>14903</v>
      </c>
      <c r="G887" s="1" t="s">
        <v>74</v>
      </c>
      <c r="H887" s="1" t="s">
        <v>74</v>
      </c>
      <c r="I887" s="1" t="s">
        <v>14904</v>
      </c>
      <c r="J887" s="1" t="s">
        <v>595</v>
      </c>
      <c r="K887" s="1" t="s">
        <v>74</v>
      </c>
      <c r="L887" s="1" t="s">
        <v>74</v>
      </c>
      <c r="M887" s="1" t="s">
        <v>78</v>
      </c>
      <c r="N887" s="1" t="s">
        <v>79</v>
      </c>
      <c r="O887" s="1" t="s">
        <v>74</v>
      </c>
      <c r="P887" s="1" t="s">
        <v>74</v>
      </c>
      <c r="Q887" s="1" t="s">
        <v>74</v>
      </c>
      <c r="R887" s="1" t="s">
        <v>74</v>
      </c>
      <c r="S887" s="1" t="s">
        <v>74</v>
      </c>
      <c r="T887" s="1" t="s">
        <v>14905</v>
      </c>
      <c r="U887" s="1" t="s">
        <v>14906</v>
      </c>
      <c r="V887" s="1" t="s">
        <v>14907</v>
      </c>
      <c r="W887" s="1" t="s">
        <v>14908</v>
      </c>
      <c r="X887" s="1" t="s">
        <v>14909</v>
      </c>
      <c r="Y887" s="1" t="s">
        <v>14910</v>
      </c>
      <c r="Z887" s="1" t="s">
        <v>14911</v>
      </c>
      <c r="AA887" s="1" t="s">
        <v>14912</v>
      </c>
      <c r="AB887" s="1" t="s">
        <v>14913</v>
      </c>
      <c r="AC887" s="1" t="s">
        <v>14914</v>
      </c>
      <c r="AD887" s="1" t="s">
        <v>14915</v>
      </c>
      <c r="AE887" s="1" t="s">
        <v>14916</v>
      </c>
      <c r="AF887" s="1" t="s">
        <v>74</v>
      </c>
      <c r="AG887" s="1">
        <v>29</v>
      </c>
      <c r="AH887" s="1">
        <v>0</v>
      </c>
      <c r="AI887" s="1">
        <v>0</v>
      </c>
      <c r="AJ887" s="1">
        <v>1</v>
      </c>
      <c r="AK887" s="1">
        <v>4</v>
      </c>
      <c r="AL887" s="1" t="s">
        <v>112</v>
      </c>
      <c r="AM887" s="1" t="s">
        <v>191</v>
      </c>
      <c r="AN887" s="1" t="s">
        <v>192</v>
      </c>
      <c r="AO887" s="1" t="s">
        <v>608</v>
      </c>
      <c r="AP887" s="1" t="s">
        <v>609</v>
      </c>
      <c r="AQ887" s="1" t="s">
        <v>74</v>
      </c>
      <c r="AR887" s="1" t="s">
        <v>595</v>
      </c>
      <c r="AS887" s="1" t="s">
        <v>610</v>
      </c>
      <c r="AT887" s="1" t="s">
        <v>1223</v>
      </c>
      <c r="AU887" s="1">
        <v>2022</v>
      </c>
      <c r="AV887" s="1">
        <v>31</v>
      </c>
      <c r="AW887" s="1">
        <v>2</v>
      </c>
      <c r="AX887" s="1" t="s">
        <v>74</v>
      </c>
      <c r="AY887" s="1" t="s">
        <v>74</v>
      </c>
      <c r="AZ887" s="1" t="s">
        <v>74</v>
      </c>
      <c r="BA887" s="1" t="s">
        <v>74</v>
      </c>
      <c r="BB887" s="1">
        <v>335</v>
      </c>
      <c r="BC887" s="1">
        <v>340</v>
      </c>
      <c r="BD887" s="1" t="s">
        <v>74</v>
      </c>
      <c r="BE887" s="1" t="s">
        <v>14917</v>
      </c>
      <c r="BF887" s="1" t="str">
        <f>HYPERLINK("http://dx.doi.org/10.1007/s10646-021-02512-4","http://dx.doi.org/10.1007/s10646-021-02512-4")</f>
        <v>http://dx.doi.org/10.1007/s10646-021-02512-4</v>
      </c>
      <c r="BG887" s="1" t="s">
        <v>74</v>
      </c>
      <c r="BH887" s="1" t="s">
        <v>227</v>
      </c>
      <c r="BI887" s="1">
        <v>6</v>
      </c>
      <c r="BJ887" s="1" t="s">
        <v>612</v>
      </c>
      <c r="BK887" s="1" t="s">
        <v>96</v>
      </c>
      <c r="BL887" s="1" t="s">
        <v>122</v>
      </c>
      <c r="BM887" s="1" t="s">
        <v>14918</v>
      </c>
      <c r="BN887" s="1">
        <v>34997370</v>
      </c>
      <c r="BO887" s="1" t="s">
        <v>74</v>
      </c>
      <c r="BP887" s="1" t="s">
        <v>74</v>
      </c>
      <c r="BQ887" s="1" t="s">
        <v>74</v>
      </c>
      <c r="BR887" s="1" t="s">
        <v>98</v>
      </c>
      <c r="BS887" s="1" t="s">
        <v>14919</v>
      </c>
      <c r="BT887" s="1" t="str">
        <f>HYPERLINK("https%3A%2F%2Fwww.webofscience.com%2Fwos%2Fwoscc%2Ffull-record%2FWOS:000740151400001","View Full Record in Web of Science")</f>
        <v>View Full Record in Web of Science</v>
      </c>
    </row>
    <row r="888" spans="1:72">
      <c r="A888" s="1" t="s">
        <v>72</v>
      </c>
      <c r="B888" s="1" t="s">
        <v>14920</v>
      </c>
      <c r="C888" s="1" t="s">
        <v>74</v>
      </c>
      <c r="D888" s="1" t="s">
        <v>74</v>
      </c>
      <c r="E888" s="1" t="s">
        <v>74</v>
      </c>
      <c r="F888" s="1" t="s">
        <v>14920</v>
      </c>
      <c r="G888" s="1" t="s">
        <v>74</v>
      </c>
      <c r="H888" s="1" t="s">
        <v>74</v>
      </c>
      <c r="I888" s="1" t="s">
        <v>14921</v>
      </c>
      <c r="J888" s="1" t="s">
        <v>421</v>
      </c>
      <c r="K888" s="1" t="s">
        <v>74</v>
      </c>
      <c r="L888" s="1" t="s">
        <v>74</v>
      </c>
      <c r="M888" s="1" t="s">
        <v>78</v>
      </c>
      <c r="N888" s="1" t="s">
        <v>79</v>
      </c>
      <c r="O888" s="1" t="s">
        <v>74</v>
      </c>
      <c r="P888" s="1" t="s">
        <v>74</v>
      </c>
      <c r="Q888" s="1" t="s">
        <v>74</v>
      </c>
      <c r="R888" s="1" t="s">
        <v>74</v>
      </c>
      <c r="S888" s="1" t="s">
        <v>74</v>
      </c>
      <c r="T888" s="1" t="s">
        <v>14922</v>
      </c>
      <c r="U888" s="1" t="s">
        <v>14923</v>
      </c>
      <c r="V888" s="1" t="s">
        <v>14924</v>
      </c>
      <c r="W888" s="1" t="s">
        <v>14925</v>
      </c>
      <c r="X888" s="1" t="s">
        <v>14926</v>
      </c>
      <c r="Y888" s="1" t="s">
        <v>14927</v>
      </c>
      <c r="Z888" s="1" t="s">
        <v>74</v>
      </c>
      <c r="AA888" s="1" t="s">
        <v>14928</v>
      </c>
      <c r="AB888" s="1" t="s">
        <v>14929</v>
      </c>
      <c r="AC888" s="1" t="s">
        <v>74</v>
      </c>
      <c r="AD888" s="1" t="s">
        <v>74</v>
      </c>
      <c r="AE888" s="1" t="s">
        <v>74</v>
      </c>
      <c r="AF888" s="1" t="s">
        <v>74</v>
      </c>
      <c r="AG888" s="1">
        <v>33</v>
      </c>
      <c r="AH888" s="1">
        <v>22</v>
      </c>
      <c r="AI888" s="1">
        <v>30</v>
      </c>
      <c r="AJ888" s="1">
        <v>0</v>
      </c>
      <c r="AK888" s="1">
        <v>30</v>
      </c>
      <c r="AL888" s="1" t="s">
        <v>430</v>
      </c>
      <c r="AM888" s="1" t="s">
        <v>137</v>
      </c>
      <c r="AN888" s="1" t="s">
        <v>431</v>
      </c>
      <c r="AO888" s="1" t="s">
        <v>432</v>
      </c>
      <c r="AP888" s="1" t="s">
        <v>74</v>
      </c>
      <c r="AQ888" s="1" t="s">
        <v>74</v>
      </c>
      <c r="AR888" s="1" t="s">
        <v>433</v>
      </c>
      <c r="AS888" s="1" t="s">
        <v>434</v>
      </c>
      <c r="AT888" s="1" t="s">
        <v>74</v>
      </c>
      <c r="AU888" s="1">
        <v>2002</v>
      </c>
      <c r="AV888" s="1">
        <v>118</v>
      </c>
      <c r="AW888" s="1">
        <v>3</v>
      </c>
      <c r="AX888" s="1" t="s">
        <v>74</v>
      </c>
      <c r="AY888" s="1" t="s">
        <v>74</v>
      </c>
      <c r="AZ888" s="1" t="s">
        <v>74</v>
      </c>
      <c r="BA888" s="1" t="s">
        <v>74</v>
      </c>
      <c r="BB888" s="1">
        <v>297</v>
      </c>
      <c r="BC888" s="1">
        <v>306</v>
      </c>
      <c r="BD888" s="1" t="s">
        <v>14930</v>
      </c>
      <c r="BE888" s="1" t="s">
        <v>14931</v>
      </c>
      <c r="BF888" s="1" t="str">
        <f>HYPERLINK("http://dx.doi.org/10.1016/S0269-7491(01)00305-0","http://dx.doi.org/10.1016/S0269-7491(01)00305-0")</f>
        <v>http://dx.doi.org/10.1016/S0269-7491(01)00305-0</v>
      </c>
      <c r="BG888" s="1" t="s">
        <v>74</v>
      </c>
      <c r="BH888" s="1" t="s">
        <v>74</v>
      </c>
      <c r="BI888" s="1">
        <v>10</v>
      </c>
      <c r="BJ888" s="1" t="s">
        <v>144</v>
      </c>
      <c r="BK888" s="1" t="s">
        <v>96</v>
      </c>
      <c r="BL888" s="1" t="s">
        <v>145</v>
      </c>
      <c r="BM888" s="1" t="s">
        <v>14932</v>
      </c>
      <c r="BN888" s="1">
        <v>12009126</v>
      </c>
      <c r="BO888" s="1" t="s">
        <v>74</v>
      </c>
      <c r="BP888" s="1" t="s">
        <v>74</v>
      </c>
      <c r="BQ888" s="1" t="s">
        <v>74</v>
      </c>
      <c r="BR888" s="1" t="s">
        <v>98</v>
      </c>
      <c r="BS888" s="1" t="s">
        <v>14933</v>
      </c>
      <c r="BT888" s="1" t="str">
        <f>HYPERLINK("https%3A%2F%2Fwww.webofscience.com%2Fwos%2Fwoscc%2Ffull-record%2FWOS:000175229700002","View Full Record in Web of Science")</f>
        <v>View Full Record in Web of Science</v>
      </c>
    </row>
    <row r="889" spans="1:72">
      <c r="A889" s="1" t="s">
        <v>72</v>
      </c>
      <c r="B889" s="1" t="s">
        <v>14934</v>
      </c>
      <c r="C889" s="1" t="s">
        <v>74</v>
      </c>
      <c r="D889" s="1" t="s">
        <v>74</v>
      </c>
      <c r="E889" s="1" t="s">
        <v>74</v>
      </c>
      <c r="F889" s="1" t="s">
        <v>14934</v>
      </c>
      <c r="G889" s="1" t="s">
        <v>74</v>
      </c>
      <c r="H889" s="1" t="s">
        <v>74</v>
      </c>
      <c r="I889" s="1" t="s">
        <v>14935</v>
      </c>
      <c r="J889" s="1" t="s">
        <v>752</v>
      </c>
      <c r="K889" s="1" t="s">
        <v>74</v>
      </c>
      <c r="L889" s="1" t="s">
        <v>74</v>
      </c>
      <c r="M889" s="1" t="s">
        <v>78</v>
      </c>
      <c r="N889" s="1" t="s">
        <v>151</v>
      </c>
      <c r="O889" s="1" t="s">
        <v>8767</v>
      </c>
      <c r="P889" s="1" t="s">
        <v>8768</v>
      </c>
      <c r="Q889" s="1" t="s">
        <v>8769</v>
      </c>
      <c r="R889" s="1" t="s">
        <v>74</v>
      </c>
      <c r="S889" s="1" t="s">
        <v>74</v>
      </c>
      <c r="T889" s="1" t="s">
        <v>14936</v>
      </c>
      <c r="U889" s="1" t="s">
        <v>5753</v>
      </c>
      <c r="V889" s="1" t="s">
        <v>14937</v>
      </c>
      <c r="W889" s="1" t="s">
        <v>14938</v>
      </c>
      <c r="X889" s="1" t="s">
        <v>14939</v>
      </c>
      <c r="Y889" s="1" t="s">
        <v>14940</v>
      </c>
      <c r="Z889" s="1" t="s">
        <v>74</v>
      </c>
      <c r="AA889" s="1" t="s">
        <v>14941</v>
      </c>
      <c r="AB889" s="1" t="s">
        <v>14942</v>
      </c>
      <c r="AC889" s="1" t="s">
        <v>74</v>
      </c>
      <c r="AD889" s="1" t="s">
        <v>74</v>
      </c>
      <c r="AE889" s="1" t="s">
        <v>74</v>
      </c>
      <c r="AF889" s="1" t="s">
        <v>74</v>
      </c>
      <c r="AG889" s="1">
        <v>10</v>
      </c>
      <c r="AH889" s="1">
        <v>38</v>
      </c>
      <c r="AI889" s="1">
        <v>44</v>
      </c>
      <c r="AJ889" s="1">
        <v>0</v>
      </c>
      <c r="AK889" s="1">
        <v>8</v>
      </c>
      <c r="AL889" s="1" t="s">
        <v>430</v>
      </c>
      <c r="AM889" s="1" t="s">
        <v>137</v>
      </c>
      <c r="AN889" s="1" t="s">
        <v>431</v>
      </c>
      <c r="AO889" s="1" t="s">
        <v>761</v>
      </c>
      <c r="AP889" s="1" t="s">
        <v>74</v>
      </c>
      <c r="AQ889" s="1" t="s">
        <v>74</v>
      </c>
      <c r="AR889" s="1" t="s">
        <v>763</v>
      </c>
      <c r="AS889" s="1" t="s">
        <v>764</v>
      </c>
      <c r="AT889" s="1" t="s">
        <v>4872</v>
      </c>
      <c r="AU889" s="1">
        <v>2002</v>
      </c>
      <c r="AV889" s="1">
        <v>54</v>
      </c>
      <c r="AW889" s="1" t="s">
        <v>8775</v>
      </c>
      <c r="AX889" s="1" t="s">
        <v>74</v>
      </c>
      <c r="AY889" s="1" t="s">
        <v>74</v>
      </c>
      <c r="AZ889" s="1" t="s">
        <v>225</v>
      </c>
      <c r="BA889" s="1" t="s">
        <v>74</v>
      </c>
      <c r="BB889" s="1">
        <v>521</v>
      </c>
      <c r="BC889" s="1">
        <v>525</v>
      </c>
      <c r="BD889" s="1" t="s">
        <v>14943</v>
      </c>
      <c r="BE889" s="1" t="s">
        <v>14944</v>
      </c>
      <c r="BF889" s="1" t="str">
        <f>HYPERLINK("http://dx.doi.org/10.1016/S0141-1136(02)00125-3","http://dx.doi.org/10.1016/S0141-1136(02)00125-3")</f>
        <v>http://dx.doi.org/10.1016/S0141-1136(02)00125-3</v>
      </c>
      <c r="BG889" s="1" t="s">
        <v>74</v>
      </c>
      <c r="BH889" s="1" t="s">
        <v>74</v>
      </c>
      <c r="BI889" s="1">
        <v>5</v>
      </c>
      <c r="BJ889" s="1" t="s">
        <v>768</v>
      </c>
      <c r="BK889" s="1" t="s">
        <v>588</v>
      </c>
      <c r="BL889" s="1" t="s">
        <v>769</v>
      </c>
      <c r="BM889" s="1" t="s">
        <v>8778</v>
      </c>
      <c r="BN889" s="1">
        <v>12408612</v>
      </c>
      <c r="BO889" s="1" t="s">
        <v>74</v>
      </c>
      <c r="BP889" s="1" t="s">
        <v>74</v>
      </c>
      <c r="BQ889" s="1" t="s">
        <v>74</v>
      </c>
      <c r="BR889" s="1" t="s">
        <v>98</v>
      </c>
      <c r="BS889" s="1" t="s">
        <v>14945</v>
      </c>
      <c r="BT889" s="1" t="str">
        <f>HYPERLINK("https%3A%2F%2Fwww.webofscience.com%2Fwos%2Fwoscc%2Ffull-record%2FWOS:000178360100057","View Full Record in Web of Science")</f>
        <v>View Full Record in Web of Science</v>
      </c>
    </row>
    <row r="890" spans="1:72">
      <c r="A890" s="1" t="s">
        <v>72</v>
      </c>
      <c r="B890" s="1" t="s">
        <v>14946</v>
      </c>
      <c r="C890" s="1" t="s">
        <v>74</v>
      </c>
      <c r="D890" s="1" t="s">
        <v>74</v>
      </c>
      <c r="E890" s="1" t="s">
        <v>74</v>
      </c>
      <c r="F890" s="1" t="s">
        <v>14947</v>
      </c>
      <c r="G890" s="1" t="s">
        <v>74</v>
      </c>
      <c r="H890" s="1" t="s">
        <v>74</v>
      </c>
      <c r="I890" s="1" t="s">
        <v>14948</v>
      </c>
      <c r="J890" s="1" t="s">
        <v>421</v>
      </c>
      <c r="K890" s="1" t="s">
        <v>74</v>
      </c>
      <c r="L890" s="1" t="s">
        <v>74</v>
      </c>
      <c r="M890" s="1" t="s">
        <v>78</v>
      </c>
      <c r="N890" s="1" t="s">
        <v>79</v>
      </c>
      <c r="O890" s="1" t="s">
        <v>74</v>
      </c>
      <c r="P890" s="1" t="s">
        <v>74</v>
      </c>
      <c r="Q890" s="1" t="s">
        <v>74</v>
      </c>
      <c r="R890" s="1" t="s">
        <v>74</v>
      </c>
      <c r="S890" s="1" t="s">
        <v>74</v>
      </c>
      <c r="T890" s="1" t="s">
        <v>14949</v>
      </c>
      <c r="U890" s="1" t="s">
        <v>14950</v>
      </c>
      <c r="V890" s="1" t="s">
        <v>14951</v>
      </c>
      <c r="W890" s="1" t="s">
        <v>14952</v>
      </c>
      <c r="X890" s="1" t="s">
        <v>14953</v>
      </c>
      <c r="Y890" s="1" t="s">
        <v>14954</v>
      </c>
      <c r="Z890" s="1" t="s">
        <v>14955</v>
      </c>
      <c r="AA890" s="1" t="s">
        <v>74</v>
      </c>
      <c r="AB890" s="1" t="s">
        <v>14956</v>
      </c>
      <c r="AC890" s="1" t="s">
        <v>14957</v>
      </c>
      <c r="AD890" s="1" t="s">
        <v>14958</v>
      </c>
      <c r="AE890" s="1" t="s">
        <v>14959</v>
      </c>
      <c r="AF890" s="1" t="s">
        <v>74</v>
      </c>
      <c r="AG890" s="1">
        <v>47</v>
      </c>
      <c r="AH890" s="1">
        <v>31</v>
      </c>
      <c r="AI890" s="1">
        <v>31</v>
      </c>
      <c r="AJ890" s="1">
        <v>1</v>
      </c>
      <c r="AK890" s="1">
        <v>74</v>
      </c>
      <c r="AL890" s="1" t="s">
        <v>430</v>
      </c>
      <c r="AM890" s="1" t="s">
        <v>137</v>
      </c>
      <c r="AN890" s="1" t="s">
        <v>431</v>
      </c>
      <c r="AO890" s="1" t="s">
        <v>432</v>
      </c>
      <c r="AP890" s="1" t="s">
        <v>1394</v>
      </c>
      <c r="AQ890" s="1" t="s">
        <v>74</v>
      </c>
      <c r="AR890" s="1" t="s">
        <v>433</v>
      </c>
      <c r="AS890" s="1" t="s">
        <v>434</v>
      </c>
      <c r="AT890" s="1" t="s">
        <v>197</v>
      </c>
      <c r="AU890" s="1">
        <v>2011</v>
      </c>
      <c r="AV890" s="1">
        <v>159</v>
      </c>
      <c r="AW890" s="1">
        <v>12</v>
      </c>
      <c r="AX890" s="1" t="s">
        <v>74</v>
      </c>
      <c r="AY890" s="1" t="s">
        <v>74</v>
      </c>
      <c r="AZ890" s="1" t="s">
        <v>74</v>
      </c>
      <c r="BA890" s="1" t="s">
        <v>74</v>
      </c>
      <c r="BB890" s="1">
        <v>3381</v>
      </c>
      <c r="BC890" s="1">
        <v>3389</v>
      </c>
      <c r="BD890" s="1" t="s">
        <v>74</v>
      </c>
      <c r="BE890" s="1" t="s">
        <v>14960</v>
      </c>
      <c r="BF890" s="1" t="str">
        <f>HYPERLINK("http://dx.doi.org/10.1016/j.envpol.2011.08.034","http://dx.doi.org/10.1016/j.envpol.2011.08.034")</f>
        <v>http://dx.doi.org/10.1016/j.envpol.2011.08.034</v>
      </c>
      <c r="BG890" s="1" t="s">
        <v>74</v>
      </c>
      <c r="BH890" s="1" t="s">
        <v>74</v>
      </c>
      <c r="BI890" s="1">
        <v>9</v>
      </c>
      <c r="BJ890" s="1" t="s">
        <v>144</v>
      </c>
      <c r="BK890" s="1" t="s">
        <v>96</v>
      </c>
      <c r="BL890" s="1" t="s">
        <v>145</v>
      </c>
      <c r="BM890" s="1" t="s">
        <v>14961</v>
      </c>
      <c r="BN890" s="1">
        <v>21920649</v>
      </c>
      <c r="BO890" s="1" t="s">
        <v>14962</v>
      </c>
      <c r="BP890" s="1" t="s">
        <v>74</v>
      </c>
      <c r="BQ890" s="1" t="s">
        <v>74</v>
      </c>
      <c r="BR890" s="1" t="s">
        <v>98</v>
      </c>
      <c r="BS890" s="1" t="s">
        <v>14963</v>
      </c>
      <c r="BT890" s="1" t="str">
        <f>HYPERLINK("https%3A%2F%2Fwww.webofscience.com%2Fwos%2Fwoscc%2Ffull-record%2FWOS:000296397300014","View Full Record in Web of Science")</f>
        <v>View Full Record in Web of Science</v>
      </c>
    </row>
    <row r="891" spans="1:72">
      <c r="A891" s="1" t="s">
        <v>72</v>
      </c>
      <c r="B891" s="1" t="s">
        <v>14964</v>
      </c>
      <c r="C891" s="1" t="s">
        <v>74</v>
      </c>
      <c r="D891" s="1" t="s">
        <v>74</v>
      </c>
      <c r="E891" s="1" t="s">
        <v>74</v>
      </c>
      <c r="F891" s="1" t="s">
        <v>14964</v>
      </c>
      <c r="G891" s="1" t="s">
        <v>74</v>
      </c>
      <c r="H891" s="1" t="s">
        <v>74</v>
      </c>
      <c r="I891" s="1" t="s">
        <v>14965</v>
      </c>
      <c r="J891" s="1" t="s">
        <v>14966</v>
      </c>
      <c r="K891" s="1" t="s">
        <v>74</v>
      </c>
      <c r="L891" s="1" t="s">
        <v>74</v>
      </c>
      <c r="M891" s="1" t="s">
        <v>78</v>
      </c>
      <c r="N891" s="1" t="s">
        <v>79</v>
      </c>
      <c r="O891" s="1" t="s">
        <v>74</v>
      </c>
      <c r="P891" s="1" t="s">
        <v>74</v>
      </c>
      <c r="Q891" s="1" t="s">
        <v>74</v>
      </c>
      <c r="R891" s="1" t="s">
        <v>74</v>
      </c>
      <c r="S891" s="1" t="s">
        <v>74</v>
      </c>
      <c r="T891" s="1" t="s">
        <v>14967</v>
      </c>
      <c r="U891" s="1" t="s">
        <v>14968</v>
      </c>
      <c r="V891" s="1" t="s">
        <v>14969</v>
      </c>
      <c r="W891" s="1" t="s">
        <v>14970</v>
      </c>
      <c r="X891" s="1" t="s">
        <v>14971</v>
      </c>
      <c r="Y891" s="1" t="s">
        <v>14972</v>
      </c>
      <c r="Z891" s="1" t="s">
        <v>14973</v>
      </c>
      <c r="AA891" s="1" t="s">
        <v>14974</v>
      </c>
      <c r="AB891" s="1" t="s">
        <v>14975</v>
      </c>
      <c r="AC891" s="1" t="s">
        <v>74</v>
      </c>
      <c r="AD891" s="1" t="s">
        <v>74</v>
      </c>
      <c r="AE891" s="1" t="s">
        <v>74</v>
      </c>
      <c r="AF891" s="1" t="s">
        <v>74</v>
      </c>
      <c r="AG891" s="1">
        <v>36</v>
      </c>
      <c r="AH891" s="1">
        <v>25</v>
      </c>
      <c r="AI891" s="1">
        <v>27</v>
      </c>
      <c r="AJ891" s="1">
        <v>0</v>
      </c>
      <c r="AK891" s="1">
        <v>7</v>
      </c>
      <c r="AL891" s="1" t="s">
        <v>14976</v>
      </c>
      <c r="AM891" s="1" t="s">
        <v>14977</v>
      </c>
      <c r="AN891" s="1" t="s">
        <v>14978</v>
      </c>
      <c r="AO891" s="1" t="s">
        <v>14979</v>
      </c>
      <c r="AP891" s="1" t="s">
        <v>14980</v>
      </c>
      <c r="AQ891" s="1" t="s">
        <v>74</v>
      </c>
      <c r="AR891" s="1" t="s">
        <v>14981</v>
      </c>
      <c r="AS891" s="1" t="s">
        <v>14982</v>
      </c>
      <c r="AT891" s="1" t="s">
        <v>142</v>
      </c>
      <c r="AU891" s="1">
        <v>2004</v>
      </c>
      <c r="AV891" s="1">
        <v>47</v>
      </c>
      <c r="AW891" s="1">
        <v>2</v>
      </c>
      <c r="AX891" s="1" t="s">
        <v>74</v>
      </c>
      <c r="AY891" s="1" t="s">
        <v>74</v>
      </c>
      <c r="AZ891" s="1" t="s">
        <v>74</v>
      </c>
      <c r="BA891" s="1" t="s">
        <v>74</v>
      </c>
      <c r="BB891" s="1">
        <v>319</v>
      </c>
      <c r="BC891" s="1">
        <v>327</v>
      </c>
      <c r="BD891" s="1" t="s">
        <v>74</v>
      </c>
      <c r="BE891" s="1" t="s">
        <v>14983</v>
      </c>
      <c r="BF891" s="1" t="str">
        <f>HYPERLINK("http://dx.doi.org/10.1590/S1516-89132004000200020","http://dx.doi.org/10.1590/S1516-89132004000200020")</f>
        <v>http://dx.doi.org/10.1590/S1516-89132004000200020</v>
      </c>
      <c r="BG891" s="1" t="s">
        <v>74</v>
      </c>
      <c r="BH891" s="1" t="s">
        <v>74</v>
      </c>
      <c r="BI891" s="1">
        <v>9</v>
      </c>
      <c r="BJ891" s="1" t="s">
        <v>171</v>
      </c>
      <c r="BK891" s="1" t="s">
        <v>96</v>
      </c>
      <c r="BL891" s="1" t="s">
        <v>173</v>
      </c>
      <c r="BM891" s="1" t="s">
        <v>14984</v>
      </c>
      <c r="BN891" s="1" t="s">
        <v>74</v>
      </c>
      <c r="BO891" s="1" t="s">
        <v>637</v>
      </c>
      <c r="BP891" s="1" t="s">
        <v>74</v>
      </c>
      <c r="BQ891" s="1" t="s">
        <v>74</v>
      </c>
      <c r="BR891" s="1" t="s">
        <v>98</v>
      </c>
      <c r="BS891" s="1" t="s">
        <v>14985</v>
      </c>
      <c r="BT891" s="1" t="str">
        <f>HYPERLINK("https%3A%2F%2Fwww.webofscience.com%2Fwos%2Fwoscc%2Ffull-record%2FWOS:000221996900020","View Full Record in Web of Science")</f>
        <v>View Full Record in Web of Science</v>
      </c>
    </row>
    <row r="892" spans="1:72">
      <c r="A892" s="1" t="s">
        <v>72</v>
      </c>
      <c r="B892" s="1" t="s">
        <v>14986</v>
      </c>
      <c r="C892" s="1" t="s">
        <v>74</v>
      </c>
      <c r="D892" s="1" t="s">
        <v>74</v>
      </c>
      <c r="E892" s="1" t="s">
        <v>74</v>
      </c>
      <c r="F892" s="1" t="s">
        <v>14987</v>
      </c>
      <c r="G892" s="1" t="s">
        <v>74</v>
      </c>
      <c r="H892" s="1" t="s">
        <v>74</v>
      </c>
      <c r="I892" s="1" t="s">
        <v>14988</v>
      </c>
      <c r="J892" s="1" t="s">
        <v>704</v>
      </c>
      <c r="K892" s="1" t="s">
        <v>74</v>
      </c>
      <c r="L892" s="1" t="s">
        <v>74</v>
      </c>
      <c r="M892" s="1" t="s">
        <v>78</v>
      </c>
      <c r="N892" s="1" t="s">
        <v>79</v>
      </c>
      <c r="O892" s="1" t="s">
        <v>74</v>
      </c>
      <c r="P892" s="1" t="s">
        <v>74</v>
      </c>
      <c r="Q892" s="1" t="s">
        <v>74</v>
      </c>
      <c r="R892" s="1" t="s">
        <v>74</v>
      </c>
      <c r="S892" s="1" t="s">
        <v>74</v>
      </c>
      <c r="T892" s="1" t="s">
        <v>14989</v>
      </c>
      <c r="U892" s="1" t="s">
        <v>14990</v>
      </c>
      <c r="V892" s="1" t="s">
        <v>14991</v>
      </c>
      <c r="W892" s="1" t="s">
        <v>14992</v>
      </c>
      <c r="X892" s="1" t="s">
        <v>14993</v>
      </c>
      <c r="Y892" s="1" t="s">
        <v>14994</v>
      </c>
      <c r="Z892" s="1" t="s">
        <v>14995</v>
      </c>
      <c r="AA892" s="1" t="s">
        <v>14996</v>
      </c>
      <c r="AB892" s="1" t="s">
        <v>14997</v>
      </c>
      <c r="AC892" s="1" t="s">
        <v>14998</v>
      </c>
      <c r="AD892" s="1" t="s">
        <v>14999</v>
      </c>
      <c r="AE892" s="1" t="s">
        <v>15000</v>
      </c>
      <c r="AF892" s="1" t="s">
        <v>74</v>
      </c>
      <c r="AG892" s="1">
        <v>26</v>
      </c>
      <c r="AH892" s="1">
        <v>28</v>
      </c>
      <c r="AI892" s="1">
        <v>32</v>
      </c>
      <c r="AJ892" s="1">
        <v>1</v>
      </c>
      <c r="AK892" s="1">
        <v>43</v>
      </c>
      <c r="AL892" s="1" t="s">
        <v>4010</v>
      </c>
      <c r="AM892" s="1" t="s">
        <v>1167</v>
      </c>
      <c r="AN892" s="1" t="s">
        <v>1168</v>
      </c>
      <c r="AO892" s="1" t="s">
        <v>718</v>
      </c>
      <c r="AP892" s="1" t="s">
        <v>1169</v>
      </c>
      <c r="AQ892" s="1" t="s">
        <v>74</v>
      </c>
      <c r="AR892" s="1" t="s">
        <v>719</v>
      </c>
      <c r="AS892" s="1" t="s">
        <v>720</v>
      </c>
      <c r="AT892" s="1" t="s">
        <v>765</v>
      </c>
      <c r="AU892" s="1">
        <v>2012</v>
      </c>
      <c r="AV892" s="1">
        <v>223</v>
      </c>
      <c r="AW892" s="1">
        <v>6</v>
      </c>
      <c r="AX892" s="1" t="s">
        <v>74</v>
      </c>
      <c r="AY892" s="1" t="s">
        <v>74</v>
      </c>
      <c r="AZ892" s="1" t="s">
        <v>74</v>
      </c>
      <c r="BA892" s="1" t="s">
        <v>74</v>
      </c>
      <c r="BB892" s="1">
        <v>3125</v>
      </c>
      <c r="BC892" s="1">
        <v>3136</v>
      </c>
      <c r="BD892" s="1" t="s">
        <v>74</v>
      </c>
      <c r="BE892" s="1" t="s">
        <v>15001</v>
      </c>
      <c r="BF892" s="1" t="str">
        <f>HYPERLINK("http://dx.doi.org/10.1007/s11270-012-1095-7","http://dx.doi.org/10.1007/s11270-012-1095-7")</f>
        <v>http://dx.doi.org/10.1007/s11270-012-1095-7</v>
      </c>
      <c r="BG892" s="1" t="s">
        <v>74</v>
      </c>
      <c r="BH892" s="1" t="s">
        <v>74</v>
      </c>
      <c r="BI892" s="1">
        <v>12</v>
      </c>
      <c r="BJ892" s="1" t="s">
        <v>722</v>
      </c>
      <c r="BK892" s="1" t="s">
        <v>96</v>
      </c>
      <c r="BL892" s="1" t="s">
        <v>723</v>
      </c>
      <c r="BM892" s="1" t="s">
        <v>15002</v>
      </c>
      <c r="BN892" s="1" t="s">
        <v>74</v>
      </c>
      <c r="BO892" s="1" t="s">
        <v>74</v>
      </c>
      <c r="BP892" s="1" t="s">
        <v>74</v>
      </c>
      <c r="BQ892" s="1" t="s">
        <v>74</v>
      </c>
      <c r="BR892" s="1" t="s">
        <v>98</v>
      </c>
      <c r="BS892" s="1" t="s">
        <v>15003</v>
      </c>
      <c r="BT892" s="1" t="str">
        <f>HYPERLINK("https%3A%2F%2Fwww.webofscience.com%2Fwos%2Fwoscc%2Ffull-record%2FWOS:000304926200023","View Full Record in Web of Science")</f>
        <v>View Full Record in Web of Science</v>
      </c>
    </row>
    <row r="893" spans="1:72">
      <c r="A893" s="1" t="s">
        <v>72</v>
      </c>
      <c r="B893" s="1" t="s">
        <v>15004</v>
      </c>
      <c r="C893" s="1" t="s">
        <v>74</v>
      </c>
      <c r="D893" s="1" t="s">
        <v>74</v>
      </c>
      <c r="E893" s="1" t="s">
        <v>74</v>
      </c>
      <c r="F893" s="1" t="s">
        <v>15005</v>
      </c>
      <c r="G893" s="1" t="s">
        <v>74</v>
      </c>
      <c r="H893" s="1" t="s">
        <v>74</v>
      </c>
      <c r="I893" s="1" t="s">
        <v>15006</v>
      </c>
      <c r="J893" s="1" t="s">
        <v>204</v>
      </c>
      <c r="K893" s="1" t="s">
        <v>74</v>
      </c>
      <c r="L893" s="1" t="s">
        <v>74</v>
      </c>
      <c r="M893" s="1" t="s">
        <v>78</v>
      </c>
      <c r="N893" s="1" t="s">
        <v>79</v>
      </c>
      <c r="O893" s="1" t="s">
        <v>74</v>
      </c>
      <c r="P893" s="1" t="s">
        <v>74</v>
      </c>
      <c r="Q893" s="1" t="s">
        <v>74</v>
      </c>
      <c r="R893" s="1" t="s">
        <v>74</v>
      </c>
      <c r="S893" s="1" t="s">
        <v>74</v>
      </c>
      <c r="T893" s="1" t="s">
        <v>15007</v>
      </c>
      <c r="U893" s="1" t="s">
        <v>15008</v>
      </c>
      <c r="V893" s="1" t="s">
        <v>15009</v>
      </c>
      <c r="W893" s="1" t="s">
        <v>15010</v>
      </c>
      <c r="X893" s="1" t="s">
        <v>15011</v>
      </c>
      <c r="Y893" s="1" t="s">
        <v>15012</v>
      </c>
      <c r="Z893" s="1" t="s">
        <v>15013</v>
      </c>
      <c r="AA893" s="1" t="s">
        <v>15014</v>
      </c>
      <c r="AB893" s="1" t="s">
        <v>15015</v>
      </c>
      <c r="AC893" s="1" t="s">
        <v>15016</v>
      </c>
      <c r="AD893" s="1" t="s">
        <v>15016</v>
      </c>
      <c r="AE893" s="1" t="s">
        <v>15017</v>
      </c>
      <c r="AF893" s="1" t="s">
        <v>74</v>
      </c>
      <c r="AG893" s="1">
        <v>53</v>
      </c>
      <c r="AH893" s="1">
        <v>5</v>
      </c>
      <c r="AI893" s="1">
        <v>6</v>
      </c>
      <c r="AJ893" s="1">
        <v>2</v>
      </c>
      <c r="AK893" s="1">
        <v>27</v>
      </c>
      <c r="AL893" s="1" t="s">
        <v>217</v>
      </c>
      <c r="AM893" s="1" t="s">
        <v>218</v>
      </c>
      <c r="AN893" s="1" t="s">
        <v>219</v>
      </c>
      <c r="AO893" s="1" t="s">
        <v>220</v>
      </c>
      <c r="AP893" s="1" t="s">
        <v>221</v>
      </c>
      <c r="AQ893" s="1" t="s">
        <v>74</v>
      </c>
      <c r="AR893" s="1" t="s">
        <v>222</v>
      </c>
      <c r="AS893" s="1" t="s">
        <v>223</v>
      </c>
      <c r="AT893" s="1" t="s">
        <v>197</v>
      </c>
      <c r="AU893" s="1">
        <v>2018</v>
      </c>
      <c r="AV893" s="1">
        <v>25</v>
      </c>
      <c r="AW893" s="1">
        <v>36</v>
      </c>
      <c r="AX893" s="1" t="s">
        <v>74</v>
      </c>
      <c r="AY893" s="1" t="s">
        <v>74</v>
      </c>
      <c r="AZ893" s="1" t="s">
        <v>225</v>
      </c>
      <c r="BA893" s="1" t="s">
        <v>74</v>
      </c>
      <c r="BB893" s="1">
        <v>36147</v>
      </c>
      <c r="BC893" s="1">
        <v>36157</v>
      </c>
      <c r="BD893" s="1" t="s">
        <v>74</v>
      </c>
      <c r="BE893" s="1" t="s">
        <v>15018</v>
      </c>
      <c r="BF893" s="1" t="str">
        <f>HYPERLINK("http://dx.doi.org/10.1007/s11356-018-3488-7","http://dx.doi.org/10.1007/s11356-018-3488-7")</f>
        <v>http://dx.doi.org/10.1007/s11356-018-3488-7</v>
      </c>
      <c r="BG893" s="1" t="s">
        <v>74</v>
      </c>
      <c r="BH893" s="1" t="s">
        <v>74</v>
      </c>
      <c r="BI893" s="1">
        <v>11</v>
      </c>
      <c r="BJ893" s="1" t="s">
        <v>144</v>
      </c>
      <c r="BK893" s="1" t="s">
        <v>96</v>
      </c>
      <c r="BL893" s="1" t="s">
        <v>145</v>
      </c>
      <c r="BM893" s="1" t="s">
        <v>15019</v>
      </c>
      <c r="BN893" s="1">
        <v>30362034</v>
      </c>
      <c r="BO893" s="1" t="s">
        <v>74</v>
      </c>
      <c r="BP893" s="1" t="s">
        <v>74</v>
      </c>
      <c r="BQ893" s="1" t="s">
        <v>74</v>
      </c>
      <c r="BR893" s="1" t="s">
        <v>98</v>
      </c>
      <c r="BS893" s="1" t="s">
        <v>15020</v>
      </c>
      <c r="BT893" s="1" t="str">
        <f>HYPERLINK("https%3A%2F%2Fwww.webofscience.com%2Fwos%2Fwoscc%2Ffull-record%2FWOS:000452489500036","View Full Record in Web of Science")</f>
        <v>View Full Record in Web of Science</v>
      </c>
    </row>
    <row r="894" spans="1:72">
      <c r="A894" s="1" t="s">
        <v>72</v>
      </c>
      <c r="B894" s="1" t="s">
        <v>15021</v>
      </c>
      <c r="C894" s="1" t="s">
        <v>74</v>
      </c>
      <c r="D894" s="1" t="s">
        <v>74</v>
      </c>
      <c r="E894" s="1" t="s">
        <v>74</v>
      </c>
      <c r="F894" s="1" t="s">
        <v>15022</v>
      </c>
      <c r="G894" s="1" t="s">
        <v>74</v>
      </c>
      <c r="H894" s="1" t="s">
        <v>74</v>
      </c>
      <c r="I894" s="1" t="s">
        <v>15023</v>
      </c>
      <c r="J894" s="1" t="s">
        <v>15024</v>
      </c>
      <c r="K894" s="1" t="s">
        <v>74</v>
      </c>
      <c r="L894" s="1" t="s">
        <v>74</v>
      </c>
      <c r="M894" s="1" t="s">
        <v>78</v>
      </c>
      <c r="N894" s="1" t="s">
        <v>79</v>
      </c>
      <c r="O894" s="1" t="s">
        <v>74</v>
      </c>
      <c r="P894" s="1" t="s">
        <v>74</v>
      </c>
      <c r="Q894" s="1" t="s">
        <v>74</v>
      </c>
      <c r="R894" s="1" t="s">
        <v>74</v>
      </c>
      <c r="S894" s="1" t="s">
        <v>74</v>
      </c>
      <c r="T894" s="1" t="s">
        <v>15025</v>
      </c>
      <c r="U894" s="1" t="s">
        <v>15026</v>
      </c>
      <c r="V894" s="1" t="s">
        <v>15027</v>
      </c>
      <c r="W894" s="1" t="s">
        <v>15028</v>
      </c>
      <c r="X894" s="1" t="s">
        <v>15029</v>
      </c>
      <c r="Y894" s="1" t="s">
        <v>15030</v>
      </c>
      <c r="Z894" s="1" t="s">
        <v>15031</v>
      </c>
      <c r="AA894" s="1" t="s">
        <v>15032</v>
      </c>
      <c r="AB894" s="1" t="s">
        <v>74</v>
      </c>
      <c r="AC894" s="1" t="s">
        <v>15033</v>
      </c>
      <c r="AD894" s="1" t="s">
        <v>15033</v>
      </c>
      <c r="AE894" s="1" t="s">
        <v>15034</v>
      </c>
      <c r="AF894" s="1" t="s">
        <v>74</v>
      </c>
      <c r="AG894" s="1">
        <v>50</v>
      </c>
      <c r="AH894" s="1">
        <v>0</v>
      </c>
      <c r="AI894" s="1">
        <v>0</v>
      </c>
      <c r="AJ894" s="1">
        <v>14</v>
      </c>
      <c r="AK894" s="1">
        <v>14</v>
      </c>
      <c r="AL894" s="1" t="s">
        <v>1566</v>
      </c>
      <c r="AM894" s="1" t="s">
        <v>1567</v>
      </c>
      <c r="AN894" s="1" t="s">
        <v>1568</v>
      </c>
      <c r="AO894" s="1" t="s">
        <v>15035</v>
      </c>
      <c r="AP894" s="1" t="s">
        <v>74</v>
      </c>
      <c r="AQ894" s="1" t="s">
        <v>74</v>
      </c>
      <c r="AR894" s="1" t="s">
        <v>15024</v>
      </c>
      <c r="AS894" s="1" t="s">
        <v>15036</v>
      </c>
      <c r="AT894" s="1" t="s">
        <v>1223</v>
      </c>
      <c r="AU894" s="1">
        <v>2024</v>
      </c>
      <c r="AV894" s="1">
        <v>13</v>
      </c>
      <c r="AW894" s="1">
        <v>5</v>
      </c>
      <c r="AX894" s="1" t="s">
        <v>74</v>
      </c>
      <c r="AY894" s="1" t="s">
        <v>74</v>
      </c>
      <c r="AZ894" s="1" t="s">
        <v>74</v>
      </c>
      <c r="BA894" s="1" t="s">
        <v>74</v>
      </c>
      <c r="BB894" s="1" t="s">
        <v>74</v>
      </c>
      <c r="BC894" s="1" t="s">
        <v>74</v>
      </c>
      <c r="BD894" s="1">
        <v>663</v>
      </c>
      <c r="BE894" s="1" t="s">
        <v>15037</v>
      </c>
      <c r="BF894" s="1" t="str">
        <f>HYPERLINK("http://dx.doi.org/10.3390/plants13050663","http://dx.doi.org/10.3390/plants13050663")</f>
        <v>http://dx.doi.org/10.3390/plants13050663</v>
      </c>
      <c r="BG894" s="1" t="s">
        <v>74</v>
      </c>
      <c r="BH894" s="1" t="s">
        <v>74</v>
      </c>
      <c r="BI894" s="1">
        <v>11</v>
      </c>
      <c r="BJ894" s="1" t="s">
        <v>14176</v>
      </c>
      <c r="BK894" s="1" t="s">
        <v>96</v>
      </c>
      <c r="BL894" s="1" t="s">
        <v>14176</v>
      </c>
      <c r="BM894" s="1" t="s">
        <v>15038</v>
      </c>
      <c r="BN894" s="1">
        <v>38475509</v>
      </c>
      <c r="BO894" s="1" t="s">
        <v>550</v>
      </c>
      <c r="BP894" s="1" t="s">
        <v>74</v>
      </c>
      <c r="BQ894" s="1" t="s">
        <v>74</v>
      </c>
      <c r="BR894" s="1" t="s">
        <v>98</v>
      </c>
      <c r="BS894" s="1" t="s">
        <v>15039</v>
      </c>
      <c r="BT894" s="1" t="str">
        <f>HYPERLINK("https%3A%2F%2Fwww.webofscience.com%2Fwos%2Fwoscc%2Ffull-record%2FWOS:001182917000001","View Full Record in Web of Science")</f>
        <v>View Full Record in Web of Science</v>
      </c>
    </row>
    <row r="895" spans="1:72">
      <c r="A895" s="1" t="s">
        <v>72</v>
      </c>
      <c r="B895" s="1" t="s">
        <v>15040</v>
      </c>
      <c r="C895" s="1" t="s">
        <v>74</v>
      </c>
      <c r="D895" s="1" t="s">
        <v>74</v>
      </c>
      <c r="E895" s="1" t="s">
        <v>74</v>
      </c>
      <c r="F895" s="1" t="s">
        <v>15040</v>
      </c>
      <c r="G895" s="1" t="s">
        <v>74</v>
      </c>
      <c r="H895" s="1" t="s">
        <v>74</v>
      </c>
      <c r="I895" s="1" t="s">
        <v>15041</v>
      </c>
      <c r="J895" s="1" t="s">
        <v>1254</v>
      </c>
      <c r="K895" s="1" t="s">
        <v>74</v>
      </c>
      <c r="L895" s="1" t="s">
        <v>74</v>
      </c>
      <c r="M895" s="1" t="s">
        <v>78</v>
      </c>
      <c r="N895" s="1" t="s">
        <v>79</v>
      </c>
      <c r="O895" s="1" t="s">
        <v>74</v>
      </c>
      <c r="P895" s="1" t="s">
        <v>74</v>
      </c>
      <c r="Q895" s="1" t="s">
        <v>74</v>
      </c>
      <c r="R895" s="1" t="s">
        <v>74</v>
      </c>
      <c r="S895" s="1" t="s">
        <v>74</v>
      </c>
      <c r="T895" s="1" t="s">
        <v>15042</v>
      </c>
      <c r="U895" s="1" t="s">
        <v>15043</v>
      </c>
      <c r="V895" s="1" t="s">
        <v>15044</v>
      </c>
      <c r="W895" s="1" t="s">
        <v>15045</v>
      </c>
      <c r="X895" s="1" t="s">
        <v>15046</v>
      </c>
      <c r="Y895" s="1" t="s">
        <v>15047</v>
      </c>
      <c r="Z895" s="1" t="s">
        <v>15048</v>
      </c>
      <c r="AA895" s="1" t="s">
        <v>15049</v>
      </c>
      <c r="AB895" s="1" t="s">
        <v>15050</v>
      </c>
      <c r="AC895" s="1" t="s">
        <v>74</v>
      </c>
      <c r="AD895" s="1" t="s">
        <v>74</v>
      </c>
      <c r="AE895" s="1" t="s">
        <v>74</v>
      </c>
      <c r="AF895" s="1" t="s">
        <v>74</v>
      </c>
      <c r="AG895" s="1">
        <v>22</v>
      </c>
      <c r="AH895" s="1">
        <v>40</v>
      </c>
      <c r="AI895" s="1">
        <v>42</v>
      </c>
      <c r="AJ895" s="1">
        <v>0</v>
      </c>
      <c r="AK895" s="1">
        <v>6</v>
      </c>
      <c r="AL895" s="1" t="s">
        <v>136</v>
      </c>
      <c r="AM895" s="1" t="s">
        <v>137</v>
      </c>
      <c r="AN895" s="1" t="s">
        <v>138</v>
      </c>
      <c r="AO895" s="1" t="s">
        <v>1264</v>
      </c>
      <c r="AP895" s="1" t="s">
        <v>1265</v>
      </c>
      <c r="AQ895" s="1" t="s">
        <v>74</v>
      </c>
      <c r="AR895" s="1" t="s">
        <v>1266</v>
      </c>
      <c r="AS895" s="1" t="s">
        <v>1267</v>
      </c>
      <c r="AT895" s="1" t="s">
        <v>119</v>
      </c>
      <c r="AU895" s="1">
        <v>2004</v>
      </c>
      <c r="AV895" s="1">
        <v>30</v>
      </c>
      <c r="AW895" s="1">
        <v>6</v>
      </c>
      <c r="AX895" s="1" t="s">
        <v>74</v>
      </c>
      <c r="AY895" s="1" t="s">
        <v>74</v>
      </c>
      <c r="AZ895" s="1" t="s">
        <v>74</v>
      </c>
      <c r="BA895" s="1" t="s">
        <v>74</v>
      </c>
      <c r="BB895" s="1">
        <v>805</v>
      </c>
      <c r="BC895" s="1">
        <v>810</v>
      </c>
      <c r="BD895" s="1" t="s">
        <v>74</v>
      </c>
      <c r="BE895" s="1" t="s">
        <v>15051</v>
      </c>
      <c r="BF895" s="1" t="str">
        <f>HYPERLINK("http://dx.doi.org/10.1016/j.envint.2004.01.007","http://dx.doi.org/10.1016/j.envint.2004.01.007")</f>
        <v>http://dx.doi.org/10.1016/j.envint.2004.01.007</v>
      </c>
      <c r="BG895" s="1" t="s">
        <v>74</v>
      </c>
      <c r="BH895" s="1" t="s">
        <v>74</v>
      </c>
      <c r="BI895" s="1">
        <v>6</v>
      </c>
      <c r="BJ895" s="1" t="s">
        <v>144</v>
      </c>
      <c r="BK895" s="1" t="s">
        <v>96</v>
      </c>
      <c r="BL895" s="1" t="s">
        <v>145</v>
      </c>
      <c r="BM895" s="1" t="s">
        <v>15052</v>
      </c>
      <c r="BN895" s="1">
        <v>15120199</v>
      </c>
      <c r="BO895" s="1" t="s">
        <v>74</v>
      </c>
      <c r="BP895" s="1" t="s">
        <v>74</v>
      </c>
      <c r="BQ895" s="1" t="s">
        <v>74</v>
      </c>
      <c r="BR895" s="1" t="s">
        <v>98</v>
      </c>
      <c r="BS895" s="1" t="s">
        <v>15053</v>
      </c>
      <c r="BT895" s="1" t="str">
        <f>HYPERLINK("https%3A%2F%2Fwww.webofscience.com%2Fwos%2Fwoscc%2Ffull-record%2FWOS:000221587500006","View Full Record in Web of Science")</f>
        <v>View Full Record in Web of Science</v>
      </c>
    </row>
    <row r="896" spans="1:72">
      <c r="A896" s="1" t="s">
        <v>72</v>
      </c>
      <c r="B896" s="1" t="s">
        <v>15054</v>
      </c>
      <c r="C896" s="1" t="s">
        <v>74</v>
      </c>
      <c r="D896" s="1" t="s">
        <v>74</v>
      </c>
      <c r="E896" s="1" t="s">
        <v>74</v>
      </c>
      <c r="F896" s="1" t="s">
        <v>15055</v>
      </c>
      <c r="G896" s="1" t="s">
        <v>74</v>
      </c>
      <c r="H896" s="1" t="s">
        <v>74</v>
      </c>
      <c r="I896" s="1" t="s">
        <v>15056</v>
      </c>
      <c r="J896" s="1" t="s">
        <v>232</v>
      </c>
      <c r="K896" s="1" t="s">
        <v>74</v>
      </c>
      <c r="L896" s="1" t="s">
        <v>74</v>
      </c>
      <c r="M896" s="1" t="s">
        <v>78</v>
      </c>
      <c r="N896" s="1" t="s">
        <v>79</v>
      </c>
      <c r="O896" s="1" t="s">
        <v>74</v>
      </c>
      <c r="P896" s="1" t="s">
        <v>74</v>
      </c>
      <c r="Q896" s="1" t="s">
        <v>74</v>
      </c>
      <c r="R896" s="1" t="s">
        <v>74</v>
      </c>
      <c r="S896" s="1" t="s">
        <v>74</v>
      </c>
      <c r="T896" s="1" t="s">
        <v>15057</v>
      </c>
      <c r="U896" s="1" t="s">
        <v>15058</v>
      </c>
      <c r="V896" s="1" t="s">
        <v>15059</v>
      </c>
      <c r="W896" s="1" t="s">
        <v>15060</v>
      </c>
      <c r="X896" s="1" t="s">
        <v>15061</v>
      </c>
      <c r="Y896" s="1" t="s">
        <v>15062</v>
      </c>
      <c r="Z896" s="1" t="s">
        <v>15063</v>
      </c>
      <c r="AA896" s="1" t="s">
        <v>15064</v>
      </c>
      <c r="AB896" s="1" t="s">
        <v>15065</v>
      </c>
      <c r="AC896" s="1" t="s">
        <v>74</v>
      </c>
      <c r="AD896" s="1" t="s">
        <v>74</v>
      </c>
      <c r="AE896" s="1" t="s">
        <v>74</v>
      </c>
      <c r="AF896" s="1" t="s">
        <v>74</v>
      </c>
      <c r="AG896" s="1">
        <v>37</v>
      </c>
      <c r="AH896" s="1">
        <v>32</v>
      </c>
      <c r="AI896" s="1">
        <v>32</v>
      </c>
      <c r="AJ896" s="1">
        <v>0</v>
      </c>
      <c r="AK896" s="1">
        <v>58</v>
      </c>
      <c r="AL896" s="1" t="s">
        <v>136</v>
      </c>
      <c r="AM896" s="1" t="s">
        <v>137</v>
      </c>
      <c r="AN896" s="1" t="s">
        <v>138</v>
      </c>
      <c r="AO896" s="1" t="s">
        <v>240</v>
      </c>
      <c r="AP896" s="1" t="s">
        <v>241</v>
      </c>
      <c r="AQ896" s="1" t="s">
        <v>74</v>
      </c>
      <c r="AR896" s="1" t="s">
        <v>242</v>
      </c>
      <c r="AS896" s="1" t="s">
        <v>243</v>
      </c>
      <c r="AT896" s="1" t="s">
        <v>4761</v>
      </c>
      <c r="AU896" s="1">
        <v>2017</v>
      </c>
      <c r="AV896" s="1">
        <v>116</v>
      </c>
      <c r="AW896" s="1" t="s">
        <v>326</v>
      </c>
      <c r="AX896" s="1" t="s">
        <v>74</v>
      </c>
      <c r="AY896" s="1" t="s">
        <v>74</v>
      </c>
      <c r="AZ896" s="1" t="s">
        <v>74</v>
      </c>
      <c r="BA896" s="1" t="s">
        <v>74</v>
      </c>
      <c r="BB896" s="1">
        <v>528</v>
      </c>
      <c r="BC896" s="1">
        <v>533</v>
      </c>
      <c r="BD896" s="1" t="s">
        <v>74</v>
      </c>
      <c r="BE896" s="1" t="s">
        <v>15066</v>
      </c>
      <c r="BF896" s="1" t="str">
        <f>HYPERLINK("http://dx.doi.org/10.1016/j.marpolbul.2017.01.016","http://dx.doi.org/10.1016/j.marpolbul.2017.01.016")</f>
        <v>http://dx.doi.org/10.1016/j.marpolbul.2017.01.016</v>
      </c>
      <c r="BG896" s="1" t="s">
        <v>74</v>
      </c>
      <c r="BH896" s="1" t="s">
        <v>74</v>
      </c>
      <c r="BI896" s="1">
        <v>6</v>
      </c>
      <c r="BJ896" s="1" t="s">
        <v>247</v>
      </c>
      <c r="BK896" s="1" t="s">
        <v>96</v>
      </c>
      <c r="BL896" s="1" t="s">
        <v>248</v>
      </c>
      <c r="BM896" s="1" t="s">
        <v>15067</v>
      </c>
      <c r="BN896" s="1">
        <v>28081960</v>
      </c>
      <c r="BO896" s="1" t="s">
        <v>74</v>
      </c>
      <c r="BP896" s="1" t="s">
        <v>74</v>
      </c>
      <c r="BQ896" s="1" t="s">
        <v>74</v>
      </c>
      <c r="BR896" s="1" t="s">
        <v>98</v>
      </c>
      <c r="BS896" s="1" t="s">
        <v>15068</v>
      </c>
      <c r="BT896" s="1" t="str">
        <f>HYPERLINK("https%3A%2F%2Fwww.webofscience.com%2Fwos%2Fwoscc%2Ffull-record%2FWOS:000399507600072","View Full Record in Web of Science")</f>
        <v>View Full Record in Web of Science</v>
      </c>
    </row>
    <row r="897" spans="1:72">
      <c r="A897" s="1" t="s">
        <v>72</v>
      </c>
      <c r="B897" s="1" t="s">
        <v>15069</v>
      </c>
      <c r="C897" s="1" t="s">
        <v>74</v>
      </c>
      <c r="D897" s="1" t="s">
        <v>74</v>
      </c>
      <c r="E897" s="1" t="s">
        <v>74</v>
      </c>
      <c r="F897" s="1" t="s">
        <v>15069</v>
      </c>
      <c r="G897" s="1" t="s">
        <v>74</v>
      </c>
      <c r="H897" s="1" t="s">
        <v>74</v>
      </c>
      <c r="I897" s="1" t="s">
        <v>15070</v>
      </c>
      <c r="J897" s="1" t="s">
        <v>752</v>
      </c>
      <c r="K897" s="1" t="s">
        <v>74</v>
      </c>
      <c r="L897" s="1" t="s">
        <v>74</v>
      </c>
      <c r="M897" s="1" t="s">
        <v>78</v>
      </c>
      <c r="N897" s="1" t="s">
        <v>79</v>
      </c>
      <c r="O897" s="1" t="s">
        <v>74</v>
      </c>
      <c r="P897" s="1" t="s">
        <v>74</v>
      </c>
      <c r="Q897" s="1" t="s">
        <v>74</v>
      </c>
      <c r="R897" s="1" t="s">
        <v>74</v>
      </c>
      <c r="S897" s="1" t="s">
        <v>74</v>
      </c>
      <c r="T897" s="1" t="s">
        <v>74</v>
      </c>
      <c r="U897" s="1" t="s">
        <v>74</v>
      </c>
      <c r="V897" s="1" t="s">
        <v>15071</v>
      </c>
      <c r="W897" s="1" t="s">
        <v>15072</v>
      </c>
      <c r="X897" s="1" t="s">
        <v>15073</v>
      </c>
      <c r="Y897" s="1" t="s">
        <v>15074</v>
      </c>
      <c r="Z897" s="1" t="s">
        <v>74</v>
      </c>
      <c r="AA897" s="1" t="s">
        <v>15075</v>
      </c>
      <c r="AB897" s="1" t="s">
        <v>15076</v>
      </c>
      <c r="AC897" s="1" t="s">
        <v>74</v>
      </c>
      <c r="AD897" s="1" t="s">
        <v>74</v>
      </c>
      <c r="AE897" s="1" t="s">
        <v>74</v>
      </c>
      <c r="AF897" s="1" t="s">
        <v>74</v>
      </c>
      <c r="AG897" s="1">
        <v>32</v>
      </c>
      <c r="AH897" s="1">
        <v>14</v>
      </c>
      <c r="AI897" s="1">
        <v>16</v>
      </c>
      <c r="AJ897" s="1">
        <v>0</v>
      </c>
      <c r="AK897" s="1">
        <v>1</v>
      </c>
      <c r="AL897" s="1" t="s">
        <v>430</v>
      </c>
      <c r="AM897" s="1" t="s">
        <v>7361</v>
      </c>
      <c r="AN897" s="1" t="s">
        <v>7362</v>
      </c>
      <c r="AO897" s="1" t="s">
        <v>761</v>
      </c>
      <c r="AP897" s="1" t="s">
        <v>762</v>
      </c>
      <c r="AQ897" s="1" t="s">
        <v>74</v>
      </c>
      <c r="AR897" s="1" t="s">
        <v>763</v>
      </c>
      <c r="AS897" s="1" t="s">
        <v>764</v>
      </c>
      <c r="AT897" s="1" t="s">
        <v>74</v>
      </c>
      <c r="AU897" s="1">
        <v>1986</v>
      </c>
      <c r="AV897" s="1">
        <v>18</v>
      </c>
      <c r="AW897" s="1">
        <v>3</v>
      </c>
      <c r="AX897" s="1" t="s">
        <v>74</v>
      </c>
      <c r="AY897" s="1" t="s">
        <v>74</v>
      </c>
      <c r="AZ897" s="1" t="s">
        <v>74</v>
      </c>
      <c r="BA897" s="1" t="s">
        <v>74</v>
      </c>
      <c r="BB897" s="1">
        <v>165</v>
      </c>
      <c r="BC897" s="1">
        <v>183</v>
      </c>
      <c r="BD897" s="1" t="s">
        <v>74</v>
      </c>
      <c r="BE897" s="1" t="s">
        <v>15077</v>
      </c>
      <c r="BF897" s="1" t="str">
        <f>HYPERLINK("http://dx.doi.org/10.1016/0141-1136(86)90031-0","http://dx.doi.org/10.1016/0141-1136(86)90031-0")</f>
        <v>http://dx.doi.org/10.1016/0141-1136(86)90031-0</v>
      </c>
      <c r="BG897" s="1" t="s">
        <v>74</v>
      </c>
      <c r="BH897" s="1" t="s">
        <v>74</v>
      </c>
      <c r="BI897" s="1">
        <v>19</v>
      </c>
      <c r="BJ897" s="1" t="s">
        <v>768</v>
      </c>
      <c r="BK897" s="1" t="s">
        <v>96</v>
      </c>
      <c r="BL897" s="1" t="s">
        <v>769</v>
      </c>
      <c r="BM897" s="1" t="s">
        <v>15078</v>
      </c>
      <c r="BN897" s="1" t="s">
        <v>74</v>
      </c>
      <c r="BO897" s="1" t="s">
        <v>74</v>
      </c>
      <c r="BP897" s="1" t="s">
        <v>74</v>
      </c>
      <c r="BQ897" s="1" t="s">
        <v>74</v>
      </c>
      <c r="BR897" s="1" t="s">
        <v>98</v>
      </c>
      <c r="BS897" s="1" t="s">
        <v>15079</v>
      </c>
      <c r="BT897" s="1" t="str">
        <f>HYPERLINK("https%3A%2F%2Fwww.webofscience.com%2Fwos%2Fwoscc%2Ffull-record%2FWOS:A1986A651300002","View Full Record in Web of Science")</f>
        <v>View Full Record in Web of Science</v>
      </c>
    </row>
    <row r="898" spans="1:72">
      <c r="A898" s="1" t="s">
        <v>72</v>
      </c>
      <c r="B898" s="1" t="s">
        <v>15080</v>
      </c>
      <c r="C898" s="1" t="s">
        <v>74</v>
      </c>
      <c r="D898" s="1" t="s">
        <v>74</v>
      </c>
      <c r="E898" s="1" t="s">
        <v>74</v>
      </c>
      <c r="F898" s="1" t="s">
        <v>15081</v>
      </c>
      <c r="G898" s="1" t="s">
        <v>74</v>
      </c>
      <c r="H898" s="1" t="s">
        <v>74</v>
      </c>
      <c r="I898" s="1" t="s">
        <v>15082</v>
      </c>
      <c r="J898" s="1" t="s">
        <v>7528</v>
      </c>
      <c r="K898" s="1" t="s">
        <v>74</v>
      </c>
      <c r="L898" s="1" t="s">
        <v>74</v>
      </c>
      <c r="M898" s="1" t="s">
        <v>78</v>
      </c>
      <c r="N898" s="1" t="s">
        <v>79</v>
      </c>
      <c r="O898" s="1" t="s">
        <v>74</v>
      </c>
      <c r="P898" s="1" t="s">
        <v>74</v>
      </c>
      <c r="Q898" s="1" t="s">
        <v>74</v>
      </c>
      <c r="R898" s="1" t="s">
        <v>74</v>
      </c>
      <c r="S898" s="1" t="s">
        <v>74</v>
      </c>
      <c r="T898" s="1" t="s">
        <v>15083</v>
      </c>
      <c r="U898" s="1" t="s">
        <v>15084</v>
      </c>
      <c r="V898" s="1" t="s">
        <v>15085</v>
      </c>
      <c r="W898" s="1" t="s">
        <v>15086</v>
      </c>
      <c r="X898" s="1" t="s">
        <v>15087</v>
      </c>
      <c r="Y898" s="1" t="s">
        <v>5488</v>
      </c>
      <c r="Z898" s="1" t="s">
        <v>5489</v>
      </c>
      <c r="AA898" s="1" t="s">
        <v>7534</v>
      </c>
      <c r="AB898" s="1" t="s">
        <v>15088</v>
      </c>
      <c r="AC898" s="1" t="s">
        <v>15089</v>
      </c>
      <c r="AD898" s="1" t="s">
        <v>15090</v>
      </c>
      <c r="AE898" s="1" t="s">
        <v>15091</v>
      </c>
      <c r="AF898" s="1" t="s">
        <v>74</v>
      </c>
      <c r="AG898" s="1">
        <v>78</v>
      </c>
      <c r="AH898" s="1">
        <v>57</v>
      </c>
      <c r="AI898" s="1">
        <v>63</v>
      </c>
      <c r="AJ898" s="1">
        <v>1</v>
      </c>
      <c r="AK898" s="1">
        <v>27</v>
      </c>
      <c r="AL898" s="1" t="s">
        <v>7539</v>
      </c>
      <c r="AM898" s="1" t="s">
        <v>7540</v>
      </c>
      <c r="AN898" s="1" t="s">
        <v>7541</v>
      </c>
      <c r="AO898" s="1" t="s">
        <v>7542</v>
      </c>
      <c r="AP898" s="1" t="s">
        <v>12156</v>
      </c>
      <c r="AQ898" s="1" t="s">
        <v>74</v>
      </c>
      <c r="AR898" s="1" t="s">
        <v>7543</v>
      </c>
      <c r="AS898" s="1" t="s">
        <v>7544</v>
      </c>
      <c r="AT898" s="1" t="s">
        <v>951</v>
      </c>
      <c r="AU898" s="1">
        <v>2009</v>
      </c>
      <c r="AV898" s="1">
        <v>297</v>
      </c>
      <c r="AW898" s="1">
        <v>5</v>
      </c>
      <c r="AX898" s="1" t="s">
        <v>74</v>
      </c>
      <c r="AY898" s="1" t="s">
        <v>74</v>
      </c>
      <c r="AZ898" s="1" t="s">
        <v>74</v>
      </c>
      <c r="BA898" s="1" t="s">
        <v>74</v>
      </c>
      <c r="BB898" s="1" t="s">
        <v>15092</v>
      </c>
      <c r="BC898" s="1" t="s">
        <v>15093</v>
      </c>
      <c r="BD898" s="1" t="s">
        <v>74</v>
      </c>
      <c r="BE898" s="1" t="s">
        <v>15094</v>
      </c>
      <c r="BF898" s="1" t="str">
        <f>HYPERLINK("http://dx.doi.org/10.1152/ajpregu.00324.2009","http://dx.doi.org/10.1152/ajpregu.00324.2009")</f>
        <v>http://dx.doi.org/10.1152/ajpregu.00324.2009</v>
      </c>
      <c r="BG898" s="1" t="s">
        <v>74</v>
      </c>
      <c r="BH898" s="1" t="s">
        <v>74</v>
      </c>
      <c r="BI898" s="1">
        <v>11</v>
      </c>
      <c r="BJ898" s="1" t="s">
        <v>7548</v>
      </c>
      <c r="BK898" s="1" t="s">
        <v>96</v>
      </c>
      <c r="BL898" s="1" t="s">
        <v>7548</v>
      </c>
      <c r="BM898" s="1" t="s">
        <v>15095</v>
      </c>
      <c r="BN898" s="1">
        <v>19726715</v>
      </c>
      <c r="BO898" s="1" t="s">
        <v>74</v>
      </c>
      <c r="BP898" s="1" t="s">
        <v>74</v>
      </c>
      <c r="BQ898" s="1" t="s">
        <v>74</v>
      </c>
      <c r="BR898" s="1" t="s">
        <v>98</v>
      </c>
      <c r="BS898" s="1" t="s">
        <v>15096</v>
      </c>
      <c r="BT898" s="1" t="str">
        <f>HYPERLINK("https%3A%2F%2Fwww.webofscience.com%2Fwos%2Fwoscc%2Ffull-record%2FWOS:000271371900006","View Full Record in Web of Science")</f>
        <v>View Full Record in Web of Science</v>
      </c>
    </row>
    <row r="899" spans="1:72">
      <c r="A899" s="1" t="s">
        <v>72</v>
      </c>
      <c r="B899" s="1" t="s">
        <v>15097</v>
      </c>
      <c r="C899" s="1" t="s">
        <v>74</v>
      </c>
      <c r="D899" s="1" t="s">
        <v>74</v>
      </c>
      <c r="E899" s="1" t="s">
        <v>74</v>
      </c>
      <c r="F899" s="1" t="s">
        <v>15097</v>
      </c>
      <c r="G899" s="1" t="s">
        <v>74</v>
      </c>
      <c r="H899" s="1" t="s">
        <v>74</v>
      </c>
      <c r="I899" s="1" t="s">
        <v>15098</v>
      </c>
      <c r="J899" s="1" t="s">
        <v>232</v>
      </c>
      <c r="K899" s="1" t="s">
        <v>74</v>
      </c>
      <c r="L899" s="1" t="s">
        <v>74</v>
      </c>
      <c r="M899" s="1" t="s">
        <v>78</v>
      </c>
      <c r="N899" s="1" t="s">
        <v>79</v>
      </c>
      <c r="O899" s="1" t="s">
        <v>74</v>
      </c>
      <c r="P899" s="1" t="s">
        <v>74</v>
      </c>
      <c r="Q899" s="1" t="s">
        <v>74</v>
      </c>
      <c r="R899" s="1" t="s">
        <v>74</v>
      </c>
      <c r="S899" s="1" t="s">
        <v>74</v>
      </c>
      <c r="T899" s="1" t="s">
        <v>74</v>
      </c>
      <c r="U899" s="1" t="s">
        <v>15099</v>
      </c>
      <c r="V899" s="1" t="s">
        <v>15100</v>
      </c>
      <c r="W899" s="1" t="s">
        <v>74</v>
      </c>
      <c r="X899" s="1" t="s">
        <v>74</v>
      </c>
      <c r="Y899" s="1" t="s">
        <v>15101</v>
      </c>
      <c r="Z899" s="1" t="s">
        <v>74</v>
      </c>
      <c r="AA899" s="1" t="s">
        <v>74</v>
      </c>
      <c r="AB899" s="1" t="s">
        <v>15102</v>
      </c>
      <c r="AC899" s="1" t="s">
        <v>74</v>
      </c>
      <c r="AD899" s="1" t="s">
        <v>74</v>
      </c>
      <c r="AE899" s="1" t="s">
        <v>74</v>
      </c>
      <c r="AF899" s="1" t="s">
        <v>74</v>
      </c>
      <c r="AG899" s="1">
        <v>21</v>
      </c>
      <c r="AH899" s="1">
        <v>33</v>
      </c>
      <c r="AI899" s="1">
        <v>34</v>
      </c>
      <c r="AJ899" s="1">
        <v>0</v>
      </c>
      <c r="AK899" s="1">
        <v>6</v>
      </c>
      <c r="AL899" s="1" t="s">
        <v>136</v>
      </c>
      <c r="AM899" s="1" t="s">
        <v>137</v>
      </c>
      <c r="AN899" s="1" t="s">
        <v>138</v>
      </c>
      <c r="AO899" s="1" t="s">
        <v>240</v>
      </c>
      <c r="AP899" s="1" t="s">
        <v>241</v>
      </c>
      <c r="AQ899" s="1" t="s">
        <v>74</v>
      </c>
      <c r="AR899" s="1" t="s">
        <v>242</v>
      </c>
      <c r="AS899" s="1" t="s">
        <v>243</v>
      </c>
      <c r="AT899" s="1" t="s">
        <v>93</v>
      </c>
      <c r="AU899" s="1">
        <v>1996</v>
      </c>
      <c r="AV899" s="1">
        <v>32</v>
      </c>
      <c r="AW899" s="1">
        <v>4</v>
      </c>
      <c r="AX899" s="1" t="s">
        <v>74</v>
      </c>
      <c r="AY899" s="1" t="s">
        <v>74</v>
      </c>
      <c r="AZ899" s="1" t="s">
        <v>74</v>
      </c>
      <c r="BA899" s="1" t="s">
        <v>74</v>
      </c>
      <c r="BB899" s="1">
        <v>366</v>
      </c>
      <c r="BC899" s="1">
        <v>373</v>
      </c>
      <c r="BD899" s="1" t="s">
        <v>74</v>
      </c>
      <c r="BE899" s="1" t="s">
        <v>15103</v>
      </c>
      <c r="BF899" s="1" t="str">
        <f>HYPERLINK("http://dx.doi.org/10.1016/0025-326X(95)00206-3","http://dx.doi.org/10.1016/0025-326X(95)00206-3")</f>
        <v>http://dx.doi.org/10.1016/0025-326X(95)00206-3</v>
      </c>
      <c r="BG899" s="1" t="s">
        <v>74</v>
      </c>
      <c r="BH899" s="1" t="s">
        <v>74</v>
      </c>
      <c r="BI899" s="1">
        <v>8</v>
      </c>
      <c r="BJ899" s="1" t="s">
        <v>247</v>
      </c>
      <c r="BK899" s="1" t="s">
        <v>96</v>
      </c>
      <c r="BL899" s="1" t="s">
        <v>248</v>
      </c>
      <c r="BM899" s="1" t="s">
        <v>15104</v>
      </c>
      <c r="BN899" s="1" t="s">
        <v>74</v>
      </c>
      <c r="BO899" s="1" t="s">
        <v>74</v>
      </c>
      <c r="BP899" s="1" t="s">
        <v>74</v>
      </c>
      <c r="BQ899" s="1" t="s">
        <v>74</v>
      </c>
      <c r="BR899" s="1" t="s">
        <v>98</v>
      </c>
      <c r="BS899" s="1" t="s">
        <v>15105</v>
      </c>
      <c r="BT899" s="1" t="str">
        <f>HYPERLINK("https%3A%2F%2Fwww.webofscience.com%2Fwos%2Fwoscc%2Ffull-record%2FWOS:A1996UL15300020","View Full Record in Web of Science")</f>
        <v>View Full Record in Web of Science</v>
      </c>
    </row>
    <row r="900" spans="1:72">
      <c r="A900" s="1" t="s">
        <v>72</v>
      </c>
      <c r="B900" s="1" t="s">
        <v>15106</v>
      </c>
      <c r="C900" s="1" t="s">
        <v>74</v>
      </c>
      <c r="D900" s="1" t="s">
        <v>74</v>
      </c>
      <c r="E900" s="1" t="s">
        <v>74</v>
      </c>
      <c r="F900" s="1" t="s">
        <v>15107</v>
      </c>
      <c r="G900" s="1" t="s">
        <v>74</v>
      </c>
      <c r="H900" s="1" t="s">
        <v>74</v>
      </c>
      <c r="I900" s="1" t="s">
        <v>15108</v>
      </c>
      <c r="J900" s="1" t="s">
        <v>15109</v>
      </c>
      <c r="K900" s="1" t="s">
        <v>74</v>
      </c>
      <c r="L900" s="1" t="s">
        <v>74</v>
      </c>
      <c r="M900" s="1" t="s">
        <v>78</v>
      </c>
      <c r="N900" s="1" t="s">
        <v>79</v>
      </c>
      <c r="O900" s="1" t="s">
        <v>74</v>
      </c>
      <c r="P900" s="1" t="s">
        <v>74</v>
      </c>
      <c r="Q900" s="1" t="s">
        <v>74</v>
      </c>
      <c r="R900" s="1" t="s">
        <v>74</v>
      </c>
      <c r="S900" s="1" t="s">
        <v>74</v>
      </c>
      <c r="T900" s="1" t="s">
        <v>15110</v>
      </c>
      <c r="U900" s="1" t="s">
        <v>15111</v>
      </c>
      <c r="V900" s="1" t="s">
        <v>15112</v>
      </c>
      <c r="W900" s="1" t="s">
        <v>15113</v>
      </c>
      <c r="X900" s="1" t="s">
        <v>15114</v>
      </c>
      <c r="Y900" s="1" t="s">
        <v>15115</v>
      </c>
      <c r="Z900" s="1" t="s">
        <v>15116</v>
      </c>
      <c r="AA900" s="1" t="s">
        <v>2334</v>
      </c>
      <c r="AB900" s="1" t="s">
        <v>74</v>
      </c>
      <c r="AC900" s="1" t="s">
        <v>74</v>
      </c>
      <c r="AD900" s="1" t="s">
        <v>74</v>
      </c>
      <c r="AE900" s="1" t="s">
        <v>74</v>
      </c>
      <c r="AF900" s="1" t="s">
        <v>74</v>
      </c>
      <c r="AG900" s="1">
        <v>43</v>
      </c>
      <c r="AH900" s="1">
        <v>3</v>
      </c>
      <c r="AI900" s="1">
        <v>3</v>
      </c>
      <c r="AJ900" s="1">
        <v>0</v>
      </c>
      <c r="AK900" s="1">
        <v>4</v>
      </c>
      <c r="AL900" s="1" t="s">
        <v>2336</v>
      </c>
      <c r="AM900" s="1" t="s">
        <v>262</v>
      </c>
      <c r="AN900" s="1" t="s">
        <v>15117</v>
      </c>
      <c r="AO900" s="1" t="s">
        <v>15118</v>
      </c>
      <c r="AP900" s="1" t="s">
        <v>15119</v>
      </c>
      <c r="AQ900" s="1" t="s">
        <v>74</v>
      </c>
      <c r="AR900" s="1" t="s">
        <v>15120</v>
      </c>
      <c r="AS900" s="1" t="s">
        <v>15121</v>
      </c>
      <c r="AT900" s="1" t="s">
        <v>15122</v>
      </c>
      <c r="AU900" s="1">
        <v>2021</v>
      </c>
      <c r="AV900" s="1">
        <v>95</v>
      </c>
      <c r="AW900" s="1" t="s">
        <v>74</v>
      </c>
      <c r="AX900" s="1" t="s">
        <v>74</v>
      </c>
      <c r="AY900" s="1" t="s">
        <v>74</v>
      </c>
      <c r="AZ900" s="1" t="s">
        <v>74</v>
      </c>
      <c r="BA900" s="1" t="s">
        <v>74</v>
      </c>
      <c r="BB900" s="1" t="s">
        <v>74</v>
      </c>
      <c r="BC900" s="1" t="s">
        <v>74</v>
      </c>
      <c r="BD900" s="1" t="s">
        <v>15123</v>
      </c>
      <c r="BE900" s="1" t="s">
        <v>15124</v>
      </c>
      <c r="BF900" s="1" t="str">
        <f>HYPERLINK("http://dx.doi.org/10.1017/S0022149X21000572","http://dx.doi.org/10.1017/S0022149X21000572")</f>
        <v>http://dx.doi.org/10.1017/S0022149X21000572</v>
      </c>
      <c r="BG900" s="1" t="s">
        <v>74</v>
      </c>
      <c r="BH900" s="1" t="s">
        <v>74</v>
      </c>
      <c r="BI900" s="1">
        <v>7</v>
      </c>
      <c r="BJ900" s="1" t="s">
        <v>15125</v>
      </c>
      <c r="BK900" s="1" t="s">
        <v>96</v>
      </c>
      <c r="BL900" s="1" t="s">
        <v>15125</v>
      </c>
      <c r="BM900" s="1" t="s">
        <v>15126</v>
      </c>
      <c r="BN900" s="1">
        <v>34725015</v>
      </c>
      <c r="BO900" s="1" t="s">
        <v>74</v>
      </c>
      <c r="BP900" s="1" t="s">
        <v>74</v>
      </c>
      <c r="BQ900" s="1" t="s">
        <v>74</v>
      </c>
      <c r="BR900" s="1" t="s">
        <v>98</v>
      </c>
      <c r="BS900" s="1" t="s">
        <v>15127</v>
      </c>
      <c r="BT900" s="1" t="str">
        <f>HYPERLINK("https%3A%2F%2Fwww.webofscience.com%2Fwos%2Fwoscc%2Ffull-record%2FWOS:000721292200001","View Full Record in Web of Science")</f>
        <v>View Full Record in Web of Science</v>
      </c>
    </row>
    <row r="901" spans="1:72">
      <c r="A901" s="1" t="s">
        <v>72</v>
      </c>
      <c r="B901" s="1" t="s">
        <v>15128</v>
      </c>
      <c r="C901" s="1" t="s">
        <v>74</v>
      </c>
      <c r="D901" s="1" t="s">
        <v>74</v>
      </c>
      <c r="E901" s="1" t="s">
        <v>74</v>
      </c>
      <c r="F901" s="1" t="s">
        <v>15128</v>
      </c>
      <c r="G901" s="1" t="s">
        <v>74</v>
      </c>
      <c r="H901" s="1" t="s">
        <v>74</v>
      </c>
      <c r="I901" s="1" t="s">
        <v>15129</v>
      </c>
      <c r="J901" s="1" t="s">
        <v>2265</v>
      </c>
      <c r="K901" s="1" t="s">
        <v>74</v>
      </c>
      <c r="L901" s="1" t="s">
        <v>74</v>
      </c>
      <c r="M901" s="1" t="s">
        <v>78</v>
      </c>
      <c r="N901" s="1" t="s">
        <v>79</v>
      </c>
      <c r="O901" s="1" t="s">
        <v>74</v>
      </c>
      <c r="P901" s="1" t="s">
        <v>74</v>
      </c>
      <c r="Q901" s="1" t="s">
        <v>74</v>
      </c>
      <c r="R901" s="1" t="s">
        <v>74</v>
      </c>
      <c r="S901" s="1" t="s">
        <v>74</v>
      </c>
      <c r="T901" s="1" t="s">
        <v>15130</v>
      </c>
      <c r="U901" s="1" t="s">
        <v>15131</v>
      </c>
      <c r="V901" s="1" t="s">
        <v>15132</v>
      </c>
      <c r="W901" s="1" t="s">
        <v>15133</v>
      </c>
      <c r="X901" s="1" t="s">
        <v>15134</v>
      </c>
      <c r="Y901" s="1" t="s">
        <v>15135</v>
      </c>
      <c r="Z901" s="1" t="s">
        <v>74</v>
      </c>
      <c r="AA901" s="1" t="s">
        <v>15136</v>
      </c>
      <c r="AB901" s="1" t="s">
        <v>15137</v>
      </c>
      <c r="AC901" s="1" t="s">
        <v>74</v>
      </c>
      <c r="AD901" s="1" t="s">
        <v>74</v>
      </c>
      <c r="AE901" s="1" t="s">
        <v>74</v>
      </c>
      <c r="AF901" s="1" t="s">
        <v>74</v>
      </c>
      <c r="AG901" s="1">
        <v>41</v>
      </c>
      <c r="AH901" s="1">
        <v>33</v>
      </c>
      <c r="AI901" s="1">
        <v>38</v>
      </c>
      <c r="AJ901" s="1">
        <v>0</v>
      </c>
      <c r="AK901" s="1">
        <v>9</v>
      </c>
      <c r="AL901" s="1" t="s">
        <v>2074</v>
      </c>
      <c r="AM901" s="1" t="s">
        <v>2075</v>
      </c>
      <c r="AN901" s="1" t="s">
        <v>15138</v>
      </c>
      <c r="AO901" s="1" t="s">
        <v>2275</v>
      </c>
      <c r="AP901" s="1" t="s">
        <v>74</v>
      </c>
      <c r="AQ901" s="1" t="s">
        <v>74</v>
      </c>
      <c r="AR901" s="1" t="s">
        <v>2265</v>
      </c>
      <c r="AS901" s="1" t="s">
        <v>2277</v>
      </c>
      <c r="AT901" s="1" t="s">
        <v>510</v>
      </c>
      <c r="AU901" s="1">
        <v>2002</v>
      </c>
      <c r="AV901" s="1">
        <v>7</v>
      </c>
      <c r="AW901" s="1">
        <v>6</v>
      </c>
      <c r="AX901" s="1" t="s">
        <v>74</v>
      </c>
      <c r="AY901" s="1" t="s">
        <v>74</v>
      </c>
      <c r="AZ901" s="1" t="s">
        <v>74</v>
      </c>
      <c r="BA901" s="1" t="s">
        <v>74</v>
      </c>
      <c r="BB901" s="1">
        <v>439</v>
      </c>
      <c r="BC901" s="1">
        <v>450</v>
      </c>
      <c r="BD901" s="1" t="s">
        <v>74</v>
      </c>
      <c r="BE901" s="1" t="s">
        <v>15139</v>
      </c>
      <c r="BF901" s="1" t="str">
        <f>HYPERLINK("http://dx.doi.org/10.1080/13547500210157531","http://dx.doi.org/10.1080/13547500210157531")</f>
        <v>http://dx.doi.org/10.1080/13547500210157531</v>
      </c>
      <c r="BG901" s="1" t="s">
        <v>74</v>
      </c>
      <c r="BH901" s="1" t="s">
        <v>74</v>
      </c>
      <c r="BI901" s="1">
        <v>12</v>
      </c>
      <c r="BJ901" s="1" t="s">
        <v>2279</v>
      </c>
      <c r="BK901" s="1" t="s">
        <v>96</v>
      </c>
      <c r="BL901" s="1" t="s">
        <v>2279</v>
      </c>
      <c r="BM901" s="1" t="s">
        <v>3163</v>
      </c>
      <c r="BN901" s="1">
        <v>12581480</v>
      </c>
      <c r="BO901" s="1" t="s">
        <v>74</v>
      </c>
      <c r="BP901" s="1" t="s">
        <v>74</v>
      </c>
      <c r="BQ901" s="1" t="s">
        <v>74</v>
      </c>
      <c r="BR901" s="1" t="s">
        <v>98</v>
      </c>
      <c r="BS901" s="1" t="s">
        <v>15140</v>
      </c>
      <c r="BT901" s="1" t="str">
        <f>HYPERLINK("https%3A%2F%2Fwww.webofscience.com%2Fwos%2Fwoscc%2Ffull-record%2FWOS:000180120600001","View Full Record in Web of Science")</f>
        <v>View Full Record in Web of Science</v>
      </c>
    </row>
    <row r="902" spans="1:72">
      <c r="A902" s="1" t="s">
        <v>72</v>
      </c>
      <c r="B902" s="1" t="s">
        <v>15141</v>
      </c>
      <c r="C902" s="1" t="s">
        <v>74</v>
      </c>
      <c r="D902" s="1" t="s">
        <v>74</v>
      </c>
      <c r="E902" s="1" t="s">
        <v>74</v>
      </c>
      <c r="F902" s="1" t="s">
        <v>15141</v>
      </c>
      <c r="G902" s="1" t="s">
        <v>74</v>
      </c>
      <c r="H902" s="1" t="s">
        <v>74</v>
      </c>
      <c r="I902" s="1" t="s">
        <v>15142</v>
      </c>
      <c r="J902" s="1" t="s">
        <v>1097</v>
      </c>
      <c r="K902" s="1" t="s">
        <v>74</v>
      </c>
      <c r="L902" s="1" t="s">
        <v>74</v>
      </c>
      <c r="M902" s="1" t="s">
        <v>78</v>
      </c>
      <c r="N902" s="1" t="s">
        <v>79</v>
      </c>
      <c r="O902" s="1" t="s">
        <v>74</v>
      </c>
      <c r="P902" s="1" t="s">
        <v>74</v>
      </c>
      <c r="Q902" s="1" t="s">
        <v>74</v>
      </c>
      <c r="R902" s="1" t="s">
        <v>74</v>
      </c>
      <c r="S902" s="1" t="s">
        <v>74</v>
      </c>
      <c r="T902" s="1" t="s">
        <v>74</v>
      </c>
      <c r="U902" s="1" t="s">
        <v>74</v>
      </c>
      <c r="V902" s="1" t="s">
        <v>15143</v>
      </c>
      <c r="W902" s="1" t="s">
        <v>15144</v>
      </c>
      <c r="X902" s="1" t="s">
        <v>15145</v>
      </c>
      <c r="Y902" s="1" t="s">
        <v>74</v>
      </c>
      <c r="Z902" s="1" t="s">
        <v>74</v>
      </c>
      <c r="AA902" s="1" t="s">
        <v>74</v>
      </c>
      <c r="AB902" s="1" t="s">
        <v>74</v>
      </c>
      <c r="AC902" s="1" t="s">
        <v>74</v>
      </c>
      <c r="AD902" s="1" t="s">
        <v>74</v>
      </c>
      <c r="AE902" s="1" t="s">
        <v>74</v>
      </c>
      <c r="AF902" s="1" t="s">
        <v>74</v>
      </c>
      <c r="AG902" s="1">
        <v>26</v>
      </c>
      <c r="AH902" s="1">
        <v>39</v>
      </c>
      <c r="AI902" s="1">
        <v>40</v>
      </c>
      <c r="AJ902" s="1">
        <v>1</v>
      </c>
      <c r="AK902" s="1">
        <v>6</v>
      </c>
      <c r="AL902" s="1" t="s">
        <v>217</v>
      </c>
      <c r="AM902" s="1" t="s">
        <v>218</v>
      </c>
      <c r="AN902" s="1" t="s">
        <v>219</v>
      </c>
      <c r="AO902" s="1" t="s">
        <v>1100</v>
      </c>
      <c r="AP902" s="1" t="s">
        <v>1101</v>
      </c>
      <c r="AQ902" s="1" t="s">
        <v>74</v>
      </c>
      <c r="AR902" s="1" t="s">
        <v>1102</v>
      </c>
      <c r="AS902" s="1" t="s">
        <v>1103</v>
      </c>
      <c r="AT902" s="1" t="s">
        <v>74</v>
      </c>
      <c r="AU902" s="1">
        <v>1985</v>
      </c>
      <c r="AV902" s="1">
        <v>88</v>
      </c>
      <c r="AW902" s="1">
        <v>1</v>
      </c>
      <c r="AX902" s="1" t="s">
        <v>74</v>
      </c>
      <c r="AY902" s="1" t="s">
        <v>74</v>
      </c>
      <c r="AZ902" s="1" t="s">
        <v>74</v>
      </c>
      <c r="BA902" s="1" t="s">
        <v>74</v>
      </c>
      <c r="BB902" s="1">
        <v>43</v>
      </c>
      <c r="BC902" s="1">
        <v>49</v>
      </c>
      <c r="BD902" s="1" t="s">
        <v>74</v>
      </c>
      <c r="BE902" s="1" t="s">
        <v>15146</v>
      </c>
      <c r="BF902" s="1" t="str">
        <f>HYPERLINK("http://dx.doi.org/10.1007/BF00393042","http://dx.doi.org/10.1007/BF00393042")</f>
        <v>http://dx.doi.org/10.1007/BF00393042</v>
      </c>
      <c r="BG902" s="1" t="s">
        <v>74</v>
      </c>
      <c r="BH902" s="1" t="s">
        <v>74</v>
      </c>
      <c r="BI902" s="1">
        <v>7</v>
      </c>
      <c r="BJ902" s="1" t="s">
        <v>680</v>
      </c>
      <c r="BK902" s="1" t="s">
        <v>96</v>
      </c>
      <c r="BL902" s="1" t="s">
        <v>680</v>
      </c>
      <c r="BM902" s="1" t="s">
        <v>15147</v>
      </c>
      <c r="BN902" s="1" t="s">
        <v>74</v>
      </c>
      <c r="BO902" s="1" t="s">
        <v>74</v>
      </c>
      <c r="BP902" s="1" t="s">
        <v>74</v>
      </c>
      <c r="BQ902" s="1" t="s">
        <v>74</v>
      </c>
      <c r="BR902" s="1" t="s">
        <v>98</v>
      </c>
      <c r="BS902" s="1" t="s">
        <v>15148</v>
      </c>
      <c r="BT902" s="1" t="str">
        <f>HYPERLINK("https%3A%2F%2Fwww.webofscience.com%2Fwos%2Fwoscc%2Ffull-record%2FWOS:A1985APF2300006","View Full Record in Web of Science")</f>
        <v>View Full Record in Web of Science</v>
      </c>
    </row>
    <row r="903" spans="1:72">
      <c r="A903" s="1" t="s">
        <v>72</v>
      </c>
      <c r="B903" s="1" t="s">
        <v>15149</v>
      </c>
      <c r="C903" s="1" t="s">
        <v>74</v>
      </c>
      <c r="D903" s="1" t="s">
        <v>74</v>
      </c>
      <c r="E903" s="1" t="s">
        <v>74</v>
      </c>
      <c r="F903" s="1" t="s">
        <v>15150</v>
      </c>
      <c r="G903" s="1" t="s">
        <v>74</v>
      </c>
      <c r="H903" s="1" t="s">
        <v>74</v>
      </c>
      <c r="I903" s="1" t="s">
        <v>15151</v>
      </c>
      <c r="J903" s="1" t="s">
        <v>11378</v>
      </c>
      <c r="K903" s="1" t="s">
        <v>74</v>
      </c>
      <c r="L903" s="1" t="s">
        <v>74</v>
      </c>
      <c r="M903" s="1" t="s">
        <v>78</v>
      </c>
      <c r="N903" s="1" t="s">
        <v>79</v>
      </c>
      <c r="O903" s="1" t="s">
        <v>74</v>
      </c>
      <c r="P903" s="1" t="s">
        <v>74</v>
      </c>
      <c r="Q903" s="1" t="s">
        <v>74</v>
      </c>
      <c r="R903" s="1" t="s">
        <v>74</v>
      </c>
      <c r="S903" s="1" t="s">
        <v>74</v>
      </c>
      <c r="T903" s="1" t="s">
        <v>15152</v>
      </c>
      <c r="U903" s="1" t="s">
        <v>15153</v>
      </c>
      <c r="V903" s="1" t="s">
        <v>15154</v>
      </c>
      <c r="W903" s="1" t="s">
        <v>15155</v>
      </c>
      <c r="X903" s="1" t="s">
        <v>15156</v>
      </c>
      <c r="Y903" s="1" t="s">
        <v>15157</v>
      </c>
      <c r="Z903" s="1" t="s">
        <v>15158</v>
      </c>
      <c r="AA903" s="1" t="s">
        <v>15159</v>
      </c>
      <c r="AB903" s="1" t="s">
        <v>15160</v>
      </c>
      <c r="AC903" s="1" t="s">
        <v>15161</v>
      </c>
      <c r="AD903" s="1" t="s">
        <v>15162</v>
      </c>
      <c r="AE903" s="1" t="s">
        <v>15163</v>
      </c>
      <c r="AF903" s="1" t="s">
        <v>74</v>
      </c>
      <c r="AG903" s="1">
        <v>72</v>
      </c>
      <c r="AH903" s="1">
        <v>8</v>
      </c>
      <c r="AI903" s="1">
        <v>8</v>
      </c>
      <c r="AJ903" s="1">
        <v>1</v>
      </c>
      <c r="AK903" s="1">
        <v>10</v>
      </c>
      <c r="AL903" s="1" t="s">
        <v>1566</v>
      </c>
      <c r="AM903" s="1" t="s">
        <v>1567</v>
      </c>
      <c r="AN903" s="1" t="s">
        <v>1568</v>
      </c>
      <c r="AO903" s="1" t="s">
        <v>74</v>
      </c>
      <c r="AP903" s="1" t="s">
        <v>11389</v>
      </c>
      <c r="AQ903" s="1" t="s">
        <v>74</v>
      </c>
      <c r="AR903" s="1" t="s">
        <v>11378</v>
      </c>
      <c r="AS903" s="1" t="s">
        <v>11390</v>
      </c>
      <c r="AT903" s="1" t="s">
        <v>197</v>
      </c>
      <c r="AU903" s="1">
        <v>2020</v>
      </c>
      <c r="AV903" s="1">
        <v>8</v>
      </c>
      <c r="AW903" s="1">
        <v>4</v>
      </c>
      <c r="AX903" s="1" t="s">
        <v>74</v>
      </c>
      <c r="AY903" s="1" t="s">
        <v>74</v>
      </c>
      <c r="AZ903" s="1" t="s">
        <v>74</v>
      </c>
      <c r="BA903" s="1" t="s">
        <v>74</v>
      </c>
      <c r="BB903" s="1" t="s">
        <v>74</v>
      </c>
      <c r="BC903" s="1" t="s">
        <v>74</v>
      </c>
      <c r="BD903" s="1">
        <v>89</v>
      </c>
      <c r="BE903" s="1" t="s">
        <v>15164</v>
      </c>
      <c r="BF903" s="1" t="str">
        <f>HYPERLINK("http://dx.doi.org/10.3390/toxics8040089","http://dx.doi.org/10.3390/toxics8040089")</f>
        <v>http://dx.doi.org/10.3390/toxics8040089</v>
      </c>
      <c r="BG903" s="1" t="s">
        <v>74</v>
      </c>
      <c r="BH903" s="1" t="s">
        <v>74</v>
      </c>
      <c r="BI903" s="1">
        <v>17</v>
      </c>
      <c r="BJ903" s="1" t="s">
        <v>121</v>
      </c>
      <c r="BK903" s="1" t="s">
        <v>96</v>
      </c>
      <c r="BL903" s="1" t="s">
        <v>122</v>
      </c>
      <c r="BM903" s="1" t="s">
        <v>15165</v>
      </c>
      <c r="BN903" s="1">
        <v>33081042</v>
      </c>
      <c r="BO903" s="1" t="s">
        <v>12743</v>
      </c>
      <c r="BP903" s="1" t="s">
        <v>74</v>
      </c>
      <c r="BQ903" s="1" t="s">
        <v>74</v>
      </c>
      <c r="BR903" s="1" t="s">
        <v>98</v>
      </c>
      <c r="BS903" s="1" t="s">
        <v>15166</v>
      </c>
      <c r="BT903" s="1" t="str">
        <f>HYPERLINK("https%3A%2F%2Fwww.webofscience.com%2Fwos%2Fwoscc%2Ffull-record%2FWOS:000602286200001","View Full Record in Web of Science")</f>
        <v>View Full Record in Web of Science</v>
      </c>
    </row>
    <row r="904" spans="1:72">
      <c r="A904" s="1" t="s">
        <v>72</v>
      </c>
      <c r="B904" s="1" t="s">
        <v>15167</v>
      </c>
      <c r="C904" s="1" t="s">
        <v>74</v>
      </c>
      <c r="D904" s="1" t="s">
        <v>74</v>
      </c>
      <c r="E904" s="1" t="s">
        <v>74</v>
      </c>
      <c r="F904" s="1" t="s">
        <v>15168</v>
      </c>
      <c r="G904" s="1" t="s">
        <v>74</v>
      </c>
      <c r="H904" s="1" t="s">
        <v>74</v>
      </c>
      <c r="I904" s="1" t="s">
        <v>15169</v>
      </c>
      <c r="J904" s="1" t="s">
        <v>204</v>
      </c>
      <c r="K904" s="1" t="s">
        <v>74</v>
      </c>
      <c r="L904" s="1" t="s">
        <v>74</v>
      </c>
      <c r="M904" s="1" t="s">
        <v>78</v>
      </c>
      <c r="N904" s="1" t="s">
        <v>79</v>
      </c>
      <c r="O904" s="1" t="s">
        <v>74</v>
      </c>
      <c r="P904" s="1" t="s">
        <v>74</v>
      </c>
      <c r="Q904" s="1" t="s">
        <v>74</v>
      </c>
      <c r="R904" s="1" t="s">
        <v>74</v>
      </c>
      <c r="S904" s="1" t="s">
        <v>74</v>
      </c>
      <c r="T904" s="1" t="s">
        <v>15170</v>
      </c>
      <c r="U904" s="1" t="s">
        <v>15171</v>
      </c>
      <c r="V904" s="1" t="s">
        <v>15172</v>
      </c>
      <c r="W904" s="1" t="s">
        <v>15173</v>
      </c>
      <c r="X904" s="1" t="s">
        <v>9952</v>
      </c>
      <c r="Y904" s="1" t="s">
        <v>15174</v>
      </c>
      <c r="Z904" s="1" t="s">
        <v>15175</v>
      </c>
      <c r="AA904" s="1" t="s">
        <v>74</v>
      </c>
      <c r="AB904" s="1" t="s">
        <v>15176</v>
      </c>
      <c r="AC904" s="1" t="s">
        <v>15177</v>
      </c>
      <c r="AD904" s="1" t="s">
        <v>15178</v>
      </c>
      <c r="AE904" s="1" t="s">
        <v>15179</v>
      </c>
      <c r="AF904" s="1" t="s">
        <v>74</v>
      </c>
      <c r="AG904" s="1">
        <v>55</v>
      </c>
      <c r="AH904" s="1">
        <v>8</v>
      </c>
      <c r="AI904" s="1">
        <v>9</v>
      </c>
      <c r="AJ904" s="1">
        <v>0</v>
      </c>
      <c r="AK904" s="1">
        <v>61</v>
      </c>
      <c r="AL904" s="1" t="s">
        <v>217</v>
      </c>
      <c r="AM904" s="1" t="s">
        <v>218</v>
      </c>
      <c r="AN904" s="1" t="s">
        <v>219</v>
      </c>
      <c r="AO904" s="1" t="s">
        <v>220</v>
      </c>
      <c r="AP904" s="1" t="s">
        <v>221</v>
      </c>
      <c r="AQ904" s="1" t="s">
        <v>74</v>
      </c>
      <c r="AR904" s="1" t="s">
        <v>222</v>
      </c>
      <c r="AS904" s="1" t="s">
        <v>223</v>
      </c>
      <c r="AT904" s="1" t="s">
        <v>224</v>
      </c>
      <c r="AU904" s="1">
        <v>2018</v>
      </c>
      <c r="AV904" s="1">
        <v>25</v>
      </c>
      <c r="AW904" s="1">
        <v>4</v>
      </c>
      <c r="AX904" s="1" t="s">
        <v>74</v>
      </c>
      <c r="AY904" s="1" t="s">
        <v>74</v>
      </c>
      <c r="AZ904" s="1" t="s">
        <v>74</v>
      </c>
      <c r="BA904" s="1" t="s">
        <v>74</v>
      </c>
      <c r="BB904" s="1">
        <v>3745</v>
      </c>
      <c r="BC904" s="1">
        <v>3755</v>
      </c>
      <c r="BD904" s="1" t="s">
        <v>74</v>
      </c>
      <c r="BE904" s="1" t="s">
        <v>15180</v>
      </c>
      <c r="BF904" s="1" t="str">
        <f>HYPERLINK("http://dx.doi.org/10.1007/s11356-017-0785-5","http://dx.doi.org/10.1007/s11356-017-0785-5")</f>
        <v>http://dx.doi.org/10.1007/s11356-017-0785-5</v>
      </c>
      <c r="BG904" s="1" t="s">
        <v>74</v>
      </c>
      <c r="BH904" s="1" t="s">
        <v>74</v>
      </c>
      <c r="BI904" s="1">
        <v>11</v>
      </c>
      <c r="BJ904" s="1" t="s">
        <v>144</v>
      </c>
      <c r="BK904" s="1" t="s">
        <v>96</v>
      </c>
      <c r="BL904" s="1" t="s">
        <v>145</v>
      </c>
      <c r="BM904" s="1" t="s">
        <v>15181</v>
      </c>
      <c r="BN904" s="1">
        <v>29168136</v>
      </c>
      <c r="BO904" s="1" t="s">
        <v>74</v>
      </c>
      <c r="BP904" s="1" t="s">
        <v>74</v>
      </c>
      <c r="BQ904" s="1" t="s">
        <v>74</v>
      </c>
      <c r="BR904" s="1" t="s">
        <v>98</v>
      </c>
      <c r="BS904" s="1" t="s">
        <v>15182</v>
      </c>
      <c r="BT904" s="1" t="str">
        <f>HYPERLINK("https%3A%2F%2Fwww.webofscience.com%2Fwos%2Fwoscc%2Ffull-record%2FWOS:000425008900069","View Full Record in Web of Science")</f>
        <v>View Full Record in Web of Science</v>
      </c>
    </row>
    <row r="905" spans="1:72">
      <c r="A905" s="1" t="s">
        <v>72</v>
      </c>
      <c r="B905" s="1" t="s">
        <v>15183</v>
      </c>
      <c r="C905" s="1" t="s">
        <v>74</v>
      </c>
      <c r="D905" s="1" t="s">
        <v>74</v>
      </c>
      <c r="E905" s="1" t="s">
        <v>74</v>
      </c>
      <c r="F905" s="1" t="s">
        <v>15184</v>
      </c>
      <c r="G905" s="1" t="s">
        <v>74</v>
      </c>
      <c r="H905" s="1" t="s">
        <v>74</v>
      </c>
      <c r="I905" s="1" t="s">
        <v>15185</v>
      </c>
      <c r="J905" s="1" t="s">
        <v>909</v>
      </c>
      <c r="K905" s="1" t="s">
        <v>74</v>
      </c>
      <c r="L905" s="1" t="s">
        <v>74</v>
      </c>
      <c r="M905" s="1" t="s">
        <v>78</v>
      </c>
      <c r="N905" s="1" t="s">
        <v>79</v>
      </c>
      <c r="O905" s="1" t="s">
        <v>74</v>
      </c>
      <c r="P905" s="1" t="s">
        <v>74</v>
      </c>
      <c r="Q905" s="1" t="s">
        <v>74</v>
      </c>
      <c r="R905" s="1" t="s">
        <v>74</v>
      </c>
      <c r="S905" s="1" t="s">
        <v>74</v>
      </c>
      <c r="T905" s="1" t="s">
        <v>15186</v>
      </c>
      <c r="U905" s="1" t="s">
        <v>15187</v>
      </c>
      <c r="V905" s="1" t="s">
        <v>15188</v>
      </c>
      <c r="W905" s="1" t="s">
        <v>15189</v>
      </c>
      <c r="X905" s="1" t="s">
        <v>15190</v>
      </c>
      <c r="Y905" s="1" t="s">
        <v>15191</v>
      </c>
      <c r="Z905" s="1" t="s">
        <v>15192</v>
      </c>
      <c r="AA905" s="1" t="s">
        <v>15193</v>
      </c>
      <c r="AB905" s="1" t="s">
        <v>15194</v>
      </c>
      <c r="AC905" s="1" t="s">
        <v>15195</v>
      </c>
      <c r="AD905" s="1" t="s">
        <v>15196</v>
      </c>
      <c r="AE905" s="1" t="s">
        <v>15197</v>
      </c>
      <c r="AF905" s="1" t="s">
        <v>74</v>
      </c>
      <c r="AG905" s="1">
        <v>61</v>
      </c>
      <c r="AH905" s="1">
        <v>78</v>
      </c>
      <c r="AI905" s="1">
        <v>80</v>
      </c>
      <c r="AJ905" s="1">
        <v>4</v>
      </c>
      <c r="AK905" s="1">
        <v>95</v>
      </c>
      <c r="AL905" s="1" t="s">
        <v>919</v>
      </c>
      <c r="AM905" s="1" t="s">
        <v>651</v>
      </c>
      <c r="AN905" s="1" t="s">
        <v>920</v>
      </c>
      <c r="AO905" s="1" t="s">
        <v>921</v>
      </c>
      <c r="AP905" s="1" t="s">
        <v>922</v>
      </c>
      <c r="AQ905" s="1" t="s">
        <v>74</v>
      </c>
      <c r="AR905" s="1" t="s">
        <v>923</v>
      </c>
      <c r="AS905" s="1" t="s">
        <v>924</v>
      </c>
      <c r="AT905" s="1" t="s">
        <v>2257</v>
      </c>
      <c r="AU905" s="1">
        <v>2015</v>
      </c>
      <c r="AV905" s="1">
        <v>523</v>
      </c>
      <c r="AW905" s="1" t="s">
        <v>74</v>
      </c>
      <c r="AX905" s="1" t="s">
        <v>74</v>
      </c>
      <c r="AY905" s="1" t="s">
        <v>74</v>
      </c>
      <c r="AZ905" s="1" t="s">
        <v>74</v>
      </c>
      <c r="BA905" s="1" t="s">
        <v>74</v>
      </c>
      <c r="BB905" s="1">
        <v>1</v>
      </c>
      <c r="BC905" s="1">
        <v>15</v>
      </c>
      <c r="BD905" s="1" t="s">
        <v>74</v>
      </c>
      <c r="BE905" s="1" t="s">
        <v>15198</v>
      </c>
      <c r="BF905" s="1" t="str">
        <f>HYPERLINK("http://dx.doi.org/10.1016/j.scitotenv.2015.03.139","http://dx.doi.org/10.1016/j.scitotenv.2015.03.139")</f>
        <v>http://dx.doi.org/10.1016/j.scitotenv.2015.03.139</v>
      </c>
      <c r="BG905" s="1" t="s">
        <v>74</v>
      </c>
      <c r="BH905" s="1" t="s">
        <v>74</v>
      </c>
      <c r="BI905" s="1">
        <v>15</v>
      </c>
      <c r="BJ905" s="1" t="s">
        <v>144</v>
      </c>
      <c r="BK905" s="1" t="s">
        <v>96</v>
      </c>
      <c r="BL905" s="1" t="s">
        <v>145</v>
      </c>
      <c r="BM905" s="1" t="s">
        <v>15199</v>
      </c>
      <c r="BN905" s="1">
        <v>25847311</v>
      </c>
      <c r="BO905" s="1" t="s">
        <v>1270</v>
      </c>
      <c r="BP905" s="1" t="s">
        <v>74</v>
      </c>
      <c r="BQ905" s="1" t="s">
        <v>74</v>
      </c>
      <c r="BR905" s="1" t="s">
        <v>98</v>
      </c>
      <c r="BS905" s="1" t="s">
        <v>15200</v>
      </c>
      <c r="BT905" s="1" t="str">
        <f>HYPERLINK("https%3A%2F%2Fwww.webofscience.com%2Fwos%2Fwoscc%2Ffull-record%2FWOS:000353910900001","View Full Record in Web of Science")</f>
        <v>View Full Record in Web of Science</v>
      </c>
    </row>
    <row r="906" spans="1:72">
      <c r="A906" s="1" t="s">
        <v>72</v>
      </c>
      <c r="B906" s="1" t="s">
        <v>15201</v>
      </c>
      <c r="C906" s="1" t="s">
        <v>74</v>
      </c>
      <c r="D906" s="1" t="s">
        <v>74</v>
      </c>
      <c r="E906" s="1" t="s">
        <v>74</v>
      </c>
      <c r="F906" s="1" t="s">
        <v>15202</v>
      </c>
      <c r="G906" s="1" t="s">
        <v>74</v>
      </c>
      <c r="H906" s="1" t="s">
        <v>74</v>
      </c>
      <c r="I906" s="1" t="s">
        <v>15203</v>
      </c>
      <c r="J906" s="1" t="s">
        <v>103</v>
      </c>
      <c r="K906" s="1" t="s">
        <v>74</v>
      </c>
      <c r="L906" s="1" t="s">
        <v>74</v>
      </c>
      <c r="M906" s="1" t="s">
        <v>78</v>
      </c>
      <c r="N906" s="1" t="s">
        <v>79</v>
      </c>
      <c r="O906" s="1" t="s">
        <v>74</v>
      </c>
      <c r="P906" s="1" t="s">
        <v>74</v>
      </c>
      <c r="Q906" s="1" t="s">
        <v>74</v>
      </c>
      <c r="R906" s="1" t="s">
        <v>74</v>
      </c>
      <c r="S906" s="1" t="s">
        <v>74</v>
      </c>
      <c r="T906" s="1" t="s">
        <v>15204</v>
      </c>
      <c r="U906" s="1" t="s">
        <v>15205</v>
      </c>
      <c r="V906" s="1" t="s">
        <v>15206</v>
      </c>
      <c r="W906" s="1" t="s">
        <v>15207</v>
      </c>
      <c r="X906" s="1" t="s">
        <v>74</v>
      </c>
      <c r="Y906" s="1" t="s">
        <v>15208</v>
      </c>
      <c r="Z906" s="1" t="s">
        <v>15209</v>
      </c>
      <c r="AA906" s="1" t="s">
        <v>15210</v>
      </c>
      <c r="AB906" s="1" t="s">
        <v>15211</v>
      </c>
      <c r="AC906" s="1" t="s">
        <v>74</v>
      </c>
      <c r="AD906" s="1" t="s">
        <v>74</v>
      </c>
      <c r="AE906" s="1" t="s">
        <v>74</v>
      </c>
      <c r="AF906" s="1" t="s">
        <v>74</v>
      </c>
      <c r="AG906" s="1">
        <v>28</v>
      </c>
      <c r="AH906" s="1">
        <v>0</v>
      </c>
      <c r="AI906" s="1">
        <v>0</v>
      </c>
      <c r="AJ906" s="1">
        <v>0</v>
      </c>
      <c r="AK906" s="1">
        <v>11</v>
      </c>
      <c r="AL906" s="1" t="s">
        <v>112</v>
      </c>
      <c r="AM906" s="1" t="s">
        <v>113</v>
      </c>
      <c r="AN906" s="1" t="s">
        <v>114</v>
      </c>
      <c r="AO906" s="1" t="s">
        <v>115</v>
      </c>
      <c r="AP906" s="1" t="s">
        <v>116</v>
      </c>
      <c r="AQ906" s="1" t="s">
        <v>74</v>
      </c>
      <c r="AR906" s="1" t="s">
        <v>117</v>
      </c>
      <c r="AS906" s="1" t="s">
        <v>118</v>
      </c>
      <c r="AT906" s="1" t="s">
        <v>1223</v>
      </c>
      <c r="AU906" s="1">
        <v>2023</v>
      </c>
      <c r="AV906" s="1">
        <v>110</v>
      </c>
      <c r="AW906" s="1">
        <v>3</v>
      </c>
      <c r="AX906" s="1" t="s">
        <v>74</v>
      </c>
      <c r="AY906" s="1" t="s">
        <v>74</v>
      </c>
      <c r="AZ906" s="1" t="s">
        <v>74</v>
      </c>
      <c r="BA906" s="1" t="s">
        <v>74</v>
      </c>
      <c r="BB906" s="1" t="s">
        <v>74</v>
      </c>
      <c r="BC906" s="1" t="s">
        <v>74</v>
      </c>
      <c r="BD906" s="1">
        <v>62</v>
      </c>
      <c r="BE906" s="1" t="s">
        <v>15212</v>
      </c>
      <c r="BF906" s="1" t="str">
        <f>HYPERLINK("http://dx.doi.org/10.1007/s00128-023-03702-y","http://dx.doi.org/10.1007/s00128-023-03702-y")</f>
        <v>http://dx.doi.org/10.1007/s00128-023-03702-y</v>
      </c>
      <c r="BG906" s="1" t="s">
        <v>74</v>
      </c>
      <c r="BH906" s="1" t="s">
        <v>74</v>
      </c>
      <c r="BI906" s="1">
        <v>7</v>
      </c>
      <c r="BJ906" s="1" t="s">
        <v>121</v>
      </c>
      <c r="BK906" s="1" t="s">
        <v>96</v>
      </c>
      <c r="BL906" s="1" t="s">
        <v>122</v>
      </c>
      <c r="BM906" s="1" t="s">
        <v>15213</v>
      </c>
      <c r="BN906" s="1">
        <v>36913053</v>
      </c>
      <c r="BO906" s="1" t="s">
        <v>74</v>
      </c>
      <c r="BP906" s="1" t="s">
        <v>74</v>
      </c>
      <c r="BQ906" s="1" t="s">
        <v>74</v>
      </c>
      <c r="BR906" s="1" t="s">
        <v>98</v>
      </c>
      <c r="BS906" s="1" t="s">
        <v>15214</v>
      </c>
      <c r="BT906" s="1" t="str">
        <f>HYPERLINK("https%3A%2F%2Fwww.webofscience.com%2Fwos%2Fwoscc%2Ffull-record%2FWOS:000948554800001","View Full Record in Web of Science")</f>
        <v>View Full Record in Web of Science</v>
      </c>
    </row>
    <row r="907" spans="1:72">
      <c r="A907" s="1" t="s">
        <v>72</v>
      </c>
      <c r="B907" s="1" t="s">
        <v>15215</v>
      </c>
      <c r="C907" s="1" t="s">
        <v>74</v>
      </c>
      <c r="D907" s="1" t="s">
        <v>74</v>
      </c>
      <c r="E907" s="1" t="s">
        <v>74</v>
      </c>
      <c r="F907" s="1" t="s">
        <v>15216</v>
      </c>
      <c r="G907" s="1" t="s">
        <v>74</v>
      </c>
      <c r="H907" s="1" t="s">
        <v>74</v>
      </c>
      <c r="I907" s="1" t="s">
        <v>15217</v>
      </c>
      <c r="J907" s="1" t="s">
        <v>704</v>
      </c>
      <c r="K907" s="1" t="s">
        <v>74</v>
      </c>
      <c r="L907" s="1" t="s">
        <v>74</v>
      </c>
      <c r="M907" s="1" t="s">
        <v>78</v>
      </c>
      <c r="N907" s="1" t="s">
        <v>79</v>
      </c>
      <c r="O907" s="1" t="s">
        <v>74</v>
      </c>
      <c r="P907" s="1" t="s">
        <v>74</v>
      </c>
      <c r="Q907" s="1" t="s">
        <v>74</v>
      </c>
      <c r="R907" s="1" t="s">
        <v>74</v>
      </c>
      <c r="S907" s="1" t="s">
        <v>74</v>
      </c>
      <c r="T907" s="1" t="s">
        <v>15218</v>
      </c>
      <c r="U907" s="1" t="s">
        <v>15219</v>
      </c>
      <c r="V907" s="1" t="s">
        <v>15220</v>
      </c>
      <c r="W907" s="1" t="s">
        <v>15221</v>
      </c>
      <c r="X907" s="1" t="s">
        <v>445</v>
      </c>
      <c r="Y907" s="1" t="s">
        <v>15222</v>
      </c>
      <c r="Z907" s="1" t="s">
        <v>15223</v>
      </c>
      <c r="AA907" s="1" t="s">
        <v>15224</v>
      </c>
      <c r="AB907" s="1" t="s">
        <v>15225</v>
      </c>
      <c r="AC907" s="1" t="s">
        <v>15226</v>
      </c>
      <c r="AD907" s="1" t="s">
        <v>15226</v>
      </c>
      <c r="AE907" s="1" t="s">
        <v>15227</v>
      </c>
      <c r="AF907" s="1" t="s">
        <v>74</v>
      </c>
      <c r="AG907" s="1">
        <v>34</v>
      </c>
      <c r="AH907" s="1">
        <v>5</v>
      </c>
      <c r="AI907" s="1">
        <v>5</v>
      </c>
      <c r="AJ907" s="1">
        <v>4</v>
      </c>
      <c r="AK907" s="1">
        <v>33</v>
      </c>
      <c r="AL907" s="1" t="s">
        <v>112</v>
      </c>
      <c r="AM907" s="1" t="s">
        <v>191</v>
      </c>
      <c r="AN907" s="1" t="s">
        <v>192</v>
      </c>
      <c r="AO907" s="1" t="s">
        <v>718</v>
      </c>
      <c r="AP907" s="1" t="s">
        <v>1169</v>
      </c>
      <c r="AQ907" s="1" t="s">
        <v>74</v>
      </c>
      <c r="AR907" s="1" t="s">
        <v>719</v>
      </c>
      <c r="AS907" s="1" t="s">
        <v>720</v>
      </c>
      <c r="AT907" s="1" t="s">
        <v>142</v>
      </c>
      <c r="AU907" s="1">
        <v>2017</v>
      </c>
      <c r="AV907" s="1">
        <v>228</v>
      </c>
      <c r="AW907" s="1">
        <v>6</v>
      </c>
      <c r="AX907" s="1" t="s">
        <v>74</v>
      </c>
      <c r="AY907" s="1" t="s">
        <v>74</v>
      </c>
      <c r="AZ907" s="1" t="s">
        <v>74</v>
      </c>
      <c r="BA907" s="1" t="s">
        <v>74</v>
      </c>
      <c r="BB907" s="1" t="s">
        <v>74</v>
      </c>
      <c r="BC907" s="1" t="s">
        <v>74</v>
      </c>
      <c r="BD907" s="1">
        <v>198</v>
      </c>
      <c r="BE907" s="1" t="s">
        <v>15228</v>
      </c>
      <c r="BF907" s="1" t="str">
        <f>HYPERLINK("http://dx.doi.org/10.1007/s11270-017-3363-z","http://dx.doi.org/10.1007/s11270-017-3363-z")</f>
        <v>http://dx.doi.org/10.1007/s11270-017-3363-z</v>
      </c>
      <c r="BG907" s="1" t="s">
        <v>74</v>
      </c>
      <c r="BH907" s="1" t="s">
        <v>74</v>
      </c>
      <c r="BI907" s="1">
        <v>12</v>
      </c>
      <c r="BJ907" s="1" t="s">
        <v>722</v>
      </c>
      <c r="BK907" s="1" t="s">
        <v>96</v>
      </c>
      <c r="BL907" s="1" t="s">
        <v>723</v>
      </c>
      <c r="BM907" s="1" t="s">
        <v>15229</v>
      </c>
      <c r="BN907" s="1" t="s">
        <v>74</v>
      </c>
      <c r="BO907" s="1" t="s">
        <v>74</v>
      </c>
      <c r="BP907" s="1" t="s">
        <v>74</v>
      </c>
      <c r="BQ907" s="1" t="s">
        <v>74</v>
      </c>
      <c r="BR907" s="1" t="s">
        <v>98</v>
      </c>
      <c r="BS907" s="1" t="s">
        <v>15230</v>
      </c>
      <c r="BT907" s="1" t="str">
        <f>HYPERLINK("https%3A%2F%2Fwww.webofscience.com%2Fwos%2Fwoscc%2Ffull-record%2FWOS:000403574100002","View Full Record in Web of Science")</f>
        <v>View Full Record in Web of Science</v>
      </c>
    </row>
    <row r="908" spans="1:72">
      <c r="A908" s="1" t="s">
        <v>72</v>
      </c>
      <c r="B908" s="1" t="s">
        <v>15231</v>
      </c>
      <c r="C908" s="1" t="s">
        <v>74</v>
      </c>
      <c r="D908" s="1" t="s">
        <v>74</v>
      </c>
      <c r="E908" s="1" t="s">
        <v>74</v>
      </c>
      <c r="F908" s="1" t="s">
        <v>15232</v>
      </c>
      <c r="G908" s="1" t="s">
        <v>74</v>
      </c>
      <c r="H908" s="1" t="s">
        <v>74</v>
      </c>
      <c r="I908" s="1" t="s">
        <v>15233</v>
      </c>
      <c r="J908" s="1" t="s">
        <v>204</v>
      </c>
      <c r="K908" s="1" t="s">
        <v>74</v>
      </c>
      <c r="L908" s="1" t="s">
        <v>74</v>
      </c>
      <c r="M908" s="1" t="s">
        <v>78</v>
      </c>
      <c r="N908" s="1" t="s">
        <v>79</v>
      </c>
      <c r="O908" s="1" t="s">
        <v>74</v>
      </c>
      <c r="P908" s="1" t="s">
        <v>74</v>
      </c>
      <c r="Q908" s="1" t="s">
        <v>74</v>
      </c>
      <c r="R908" s="1" t="s">
        <v>74</v>
      </c>
      <c r="S908" s="1" t="s">
        <v>74</v>
      </c>
      <c r="T908" s="1" t="s">
        <v>15234</v>
      </c>
      <c r="U908" s="1" t="s">
        <v>15235</v>
      </c>
      <c r="V908" s="1" t="s">
        <v>15236</v>
      </c>
      <c r="W908" s="1" t="s">
        <v>15237</v>
      </c>
      <c r="X908" s="1" t="s">
        <v>15238</v>
      </c>
      <c r="Y908" s="1" t="s">
        <v>2235</v>
      </c>
      <c r="Z908" s="1" t="s">
        <v>2236</v>
      </c>
      <c r="AA908" s="1" t="s">
        <v>15239</v>
      </c>
      <c r="AB908" s="1" t="s">
        <v>15240</v>
      </c>
      <c r="AC908" s="1" t="s">
        <v>74</v>
      </c>
      <c r="AD908" s="1" t="s">
        <v>74</v>
      </c>
      <c r="AE908" s="1" t="s">
        <v>74</v>
      </c>
      <c r="AF908" s="1" t="s">
        <v>74</v>
      </c>
      <c r="AG908" s="1">
        <v>81</v>
      </c>
      <c r="AH908" s="1">
        <v>16</v>
      </c>
      <c r="AI908" s="1">
        <v>17</v>
      </c>
      <c r="AJ908" s="1">
        <v>1</v>
      </c>
      <c r="AK908" s="1">
        <v>32</v>
      </c>
      <c r="AL908" s="1" t="s">
        <v>217</v>
      </c>
      <c r="AM908" s="1" t="s">
        <v>218</v>
      </c>
      <c r="AN908" s="1" t="s">
        <v>219</v>
      </c>
      <c r="AO908" s="1" t="s">
        <v>220</v>
      </c>
      <c r="AP908" s="1" t="s">
        <v>221</v>
      </c>
      <c r="AQ908" s="1" t="s">
        <v>74</v>
      </c>
      <c r="AR908" s="1" t="s">
        <v>222</v>
      </c>
      <c r="AS908" s="1" t="s">
        <v>223</v>
      </c>
      <c r="AT908" s="1" t="s">
        <v>1223</v>
      </c>
      <c r="AU908" s="1">
        <v>2017</v>
      </c>
      <c r="AV908" s="1">
        <v>24</v>
      </c>
      <c r="AW908" s="1">
        <v>7</v>
      </c>
      <c r="AX908" s="1" t="s">
        <v>74</v>
      </c>
      <c r="AY908" s="1" t="s">
        <v>74</v>
      </c>
      <c r="AZ908" s="1" t="s">
        <v>74</v>
      </c>
      <c r="BA908" s="1" t="s">
        <v>74</v>
      </c>
      <c r="BB908" s="1">
        <v>6599</v>
      </c>
      <c r="BC908" s="1">
        <v>6610</v>
      </c>
      <c r="BD908" s="1" t="s">
        <v>74</v>
      </c>
      <c r="BE908" s="1" t="s">
        <v>15241</v>
      </c>
      <c r="BF908" s="1" t="str">
        <f>HYPERLINK("http://dx.doi.org/10.1007/s11356-016-8349-7","http://dx.doi.org/10.1007/s11356-016-8349-7")</f>
        <v>http://dx.doi.org/10.1007/s11356-016-8349-7</v>
      </c>
      <c r="BG908" s="1" t="s">
        <v>74</v>
      </c>
      <c r="BH908" s="1" t="s">
        <v>74</v>
      </c>
      <c r="BI908" s="1">
        <v>12</v>
      </c>
      <c r="BJ908" s="1" t="s">
        <v>144</v>
      </c>
      <c r="BK908" s="1" t="s">
        <v>96</v>
      </c>
      <c r="BL908" s="1" t="s">
        <v>145</v>
      </c>
      <c r="BM908" s="1" t="s">
        <v>15242</v>
      </c>
      <c r="BN908" s="1">
        <v>28083738</v>
      </c>
      <c r="BO908" s="1" t="s">
        <v>74</v>
      </c>
      <c r="BP908" s="1" t="s">
        <v>74</v>
      </c>
      <c r="BQ908" s="1" t="s">
        <v>74</v>
      </c>
      <c r="BR908" s="1" t="s">
        <v>98</v>
      </c>
      <c r="BS908" s="1" t="s">
        <v>15243</v>
      </c>
      <c r="BT908" s="1" t="str">
        <f>HYPERLINK("https%3A%2F%2Fwww.webofscience.com%2Fwos%2Fwoscc%2Ffull-record%2FWOS:000399163700065","View Full Record in Web of Science")</f>
        <v>View Full Record in Web of Science</v>
      </c>
    </row>
    <row r="909" spans="1:72">
      <c r="A909" s="1" t="s">
        <v>72</v>
      </c>
      <c r="B909" s="1" t="s">
        <v>15244</v>
      </c>
      <c r="C909" s="1" t="s">
        <v>74</v>
      </c>
      <c r="D909" s="1" t="s">
        <v>74</v>
      </c>
      <c r="E909" s="1" t="s">
        <v>74</v>
      </c>
      <c r="F909" s="1" t="s">
        <v>15245</v>
      </c>
      <c r="G909" s="1" t="s">
        <v>74</v>
      </c>
      <c r="H909" s="1" t="s">
        <v>74</v>
      </c>
      <c r="I909" s="1" t="s">
        <v>15246</v>
      </c>
      <c r="J909" s="1" t="s">
        <v>204</v>
      </c>
      <c r="K909" s="1" t="s">
        <v>74</v>
      </c>
      <c r="L909" s="1" t="s">
        <v>74</v>
      </c>
      <c r="M909" s="1" t="s">
        <v>78</v>
      </c>
      <c r="N909" s="1" t="s">
        <v>79</v>
      </c>
      <c r="O909" s="1" t="s">
        <v>74</v>
      </c>
      <c r="P909" s="1" t="s">
        <v>74</v>
      </c>
      <c r="Q909" s="1" t="s">
        <v>74</v>
      </c>
      <c r="R909" s="1" t="s">
        <v>74</v>
      </c>
      <c r="S909" s="1" t="s">
        <v>74</v>
      </c>
      <c r="T909" s="1" t="s">
        <v>15247</v>
      </c>
      <c r="U909" s="1" t="s">
        <v>15248</v>
      </c>
      <c r="V909" s="1" t="s">
        <v>15249</v>
      </c>
      <c r="W909" s="1" t="s">
        <v>15250</v>
      </c>
      <c r="X909" s="1" t="s">
        <v>15251</v>
      </c>
      <c r="Y909" s="1" t="s">
        <v>15252</v>
      </c>
      <c r="Z909" s="1" t="s">
        <v>15253</v>
      </c>
      <c r="AA909" s="1" t="s">
        <v>15254</v>
      </c>
      <c r="AB909" s="1" t="s">
        <v>15255</v>
      </c>
      <c r="AC909" s="1" t="s">
        <v>15256</v>
      </c>
      <c r="AD909" s="1" t="s">
        <v>15257</v>
      </c>
      <c r="AE909" s="1" t="s">
        <v>15258</v>
      </c>
      <c r="AF909" s="1" t="s">
        <v>74</v>
      </c>
      <c r="AG909" s="1">
        <v>118</v>
      </c>
      <c r="AH909" s="1">
        <v>10</v>
      </c>
      <c r="AI909" s="1">
        <v>10</v>
      </c>
      <c r="AJ909" s="1">
        <v>1</v>
      </c>
      <c r="AK909" s="1">
        <v>25</v>
      </c>
      <c r="AL909" s="1" t="s">
        <v>217</v>
      </c>
      <c r="AM909" s="1" t="s">
        <v>218</v>
      </c>
      <c r="AN909" s="1" t="s">
        <v>219</v>
      </c>
      <c r="AO909" s="1" t="s">
        <v>220</v>
      </c>
      <c r="AP909" s="1" t="s">
        <v>221</v>
      </c>
      <c r="AQ909" s="1" t="s">
        <v>74</v>
      </c>
      <c r="AR909" s="1" t="s">
        <v>222</v>
      </c>
      <c r="AS909" s="1" t="s">
        <v>223</v>
      </c>
      <c r="AT909" s="1" t="s">
        <v>197</v>
      </c>
      <c r="AU909" s="1">
        <v>2018</v>
      </c>
      <c r="AV909" s="1">
        <v>25</v>
      </c>
      <c r="AW909" s="1">
        <v>36</v>
      </c>
      <c r="AX909" s="1" t="s">
        <v>74</v>
      </c>
      <c r="AY909" s="1" t="s">
        <v>74</v>
      </c>
      <c r="AZ909" s="1" t="s">
        <v>225</v>
      </c>
      <c r="BA909" s="1" t="s">
        <v>74</v>
      </c>
      <c r="BB909" s="1">
        <v>36645</v>
      </c>
      <c r="BC909" s="1">
        <v>36660</v>
      </c>
      <c r="BD909" s="1" t="s">
        <v>74</v>
      </c>
      <c r="BE909" s="1" t="s">
        <v>15259</v>
      </c>
      <c r="BF909" s="1" t="str">
        <f>HYPERLINK("http://dx.doi.org/10.1007/s11356-018-3504-y","http://dx.doi.org/10.1007/s11356-018-3504-y")</f>
        <v>http://dx.doi.org/10.1007/s11356-018-3504-y</v>
      </c>
      <c r="BG909" s="1" t="s">
        <v>74</v>
      </c>
      <c r="BH909" s="1" t="s">
        <v>74</v>
      </c>
      <c r="BI909" s="1">
        <v>16</v>
      </c>
      <c r="BJ909" s="1" t="s">
        <v>144</v>
      </c>
      <c r="BK909" s="1" t="s">
        <v>96</v>
      </c>
      <c r="BL909" s="1" t="s">
        <v>145</v>
      </c>
      <c r="BM909" s="1" t="s">
        <v>15019</v>
      </c>
      <c r="BN909" s="1">
        <v>30377963</v>
      </c>
      <c r="BO909" s="1" t="s">
        <v>74</v>
      </c>
      <c r="BP909" s="1" t="s">
        <v>74</v>
      </c>
      <c r="BQ909" s="1" t="s">
        <v>74</v>
      </c>
      <c r="BR909" s="1" t="s">
        <v>98</v>
      </c>
      <c r="BS909" s="1" t="s">
        <v>15260</v>
      </c>
      <c r="BT909" s="1" t="str">
        <f>HYPERLINK("https%3A%2F%2Fwww.webofscience.com%2Fwos%2Fwoscc%2Ffull-record%2FWOS:000452489500077","View Full Record in Web of Science")</f>
        <v>View Full Record in Web of Science</v>
      </c>
    </row>
    <row r="910" spans="1:72">
      <c r="A910" s="1" t="s">
        <v>72</v>
      </c>
      <c r="B910" s="1" t="s">
        <v>15261</v>
      </c>
      <c r="C910" s="1" t="s">
        <v>74</v>
      </c>
      <c r="D910" s="1" t="s">
        <v>74</v>
      </c>
      <c r="E910" s="1" t="s">
        <v>74</v>
      </c>
      <c r="F910" s="1" t="s">
        <v>15262</v>
      </c>
      <c r="G910" s="1" t="s">
        <v>74</v>
      </c>
      <c r="H910" s="1" t="s">
        <v>74</v>
      </c>
      <c r="I910" s="1" t="s">
        <v>15263</v>
      </c>
      <c r="J910" s="1" t="s">
        <v>3349</v>
      </c>
      <c r="K910" s="1" t="s">
        <v>74</v>
      </c>
      <c r="L910" s="1" t="s">
        <v>74</v>
      </c>
      <c r="M910" s="1" t="s">
        <v>78</v>
      </c>
      <c r="N910" s="1" t="s">
        <v>79</v>
      </c>
      <c r="O910" s="1" t="s">
        <v>74</v>
      </c>
      <c r="P910" s="1" t="s">
        <v>74</v>
      </c>
      <c r="Q910" s="1" t="s">
        <v>74</v>
      </c>
      <c r="R910" s="1" t="s">
        <v>74</v>
      </c>
      <c r="S910" s="1" t="s">
        <v>74</v>
      </c>
      <c r="T910" s="1" t="s">
        <v>15264</v>
      </c>
      <c r="U910" s="1" t="s">
        <v>15265</v>
      </c>
      <c r="V910" s="1" t="s">
        <v>15266</v>
      </c>
      <c r="W910" s="1" t="s">
        <v>15267</v>
      </c>
      <c r="X910" s="1" t="s">
        <v>10721</v>
      </c>
      <c r="Y910" s="1" t="s">
        <v>15268</v>
      </c>
      <c r="Z910" s="1" t="s">
        <v>14011</v>
      </c>
      <c r="AA910" s="1" t="s">
        <v>74</v>
      </c>
      <c r="AB910" s="1" t="s">
        <v>2507</v>
      </c>
      <c r="AC910" s="1" t="s">
        <v>74</v>
      </c>
      <c r="AD910" s="1" t="s">
        <v>74</v>
      </c>
      <c r="AE910" s="1" t="s">
        <v>74</v>
      </c>
      <c r="AF910" s="1" t="s">
        <v>74</v>
      </c>
      <c r="AG910" s="1">
        <v>55</v>
      </c>
      <c r="AH910" s="1">
        <v>37</v>
      </c>
      <c r="AI910" s="1">
        <v>44</v>
      </c>
      <c r="AJ910" s="1">
        <v>0</v>
      </c>
      <c r="AK910" s="1">
        <v>12</v>
      </c>
      <c r="AL910" s="1" t="s">
        <v>3362</v>
      </c>
      <c r="AM910" s="1" t="s">
        <v>3363</v>
      </c>
      <c r="AN910" s="1" t="s">
        <v>3364</v>
      </c>
      <c r="AO910" s="1" t="s">
        <v>3365</v>
      </c>
      <c r="AP910" s="1" t="s">
        <v>3366</v>
      </c>
      <c r="AQ910" s="1" t="s">
        <v>74</v>
      </c>
      <c r="AR910" s="1" t="s">
        <v>3367</v>
      </c>
      <c r="AS910" s="1" t="s">
        <v>3368</v>
      </c>
      <c r="AT910" s="1" t="s">
        <v>765</v>
      </c>
      <c r="AU910" s="1">
        <v>2009</v>
      </c>
      <c r="AV910" s="1">
        <v>72</v>
      </c>
      <c r="AW910" s="1">
        <v>5</v>
      </c>
      <c r="AX910" s="1" t="s">
        <v>74</v>
      </c>
      <c r="AY910" s="1" t="s">
        <v>74</v>
      </c>
      <c r="AZ910" s="1" t="s">
        <v>74</v>
      </c>
      <c r="BA910" s="1" t="s">
        <v>74</v>
      </c>
      <c r="BB910" s="1">
        <v>1489</v>
      </c>
      <c r="BC910" s="1">
        <v>1498</v>
      </c>
      <c r="BD910" s="1" t="s">
        <v>74</v>
      </c>
      <c r="BE910" s="1" t="s">
        <v>15269</v>
      </c>
      <c r="BF910" s="1" t="str">
        <f>HYPERLINK("http://dx.doi.org/10.1016/j.ecoenv.2009.01.005","http://dx.doi.org/10.1016/j.ecoenv.2009.01.005")</f>
        <v>http://dx.doi.org/10.1016/j.ecoenv.2009.01.005</v>
      </c>
      <c r="BG910" s="1" t="s">
        <v>74</v>
      </c>
      <c r="BH910" s="1" t="s">
        <v>74</v>
      </c>
      <c r="BI910" s="1">
        <v>10</v>
      </c>
      <c r="BJ910" s="1" t="s">
        <v>121</v>
      </c>
      <c r="BK910" s="1" t="s">
        <v>96</v>
      </c>
      <c r="BL910" s="1" t="s">
        <v>122</v>
      </c>
      <c r="BM910" s="1" t="s">
        <v>15270</v>
      </c>
      <c r="BN910" s="1">
        <v>19272647</v>
      </c>
      <c r="BO910" s="1" t="s">
        <v>74</v>
      </c>
      <c r="BP910" s="1" t="s">
        <v>74</v>
      </c>
      <c r="BQ910" s="1" t="s">
        <v>74</v>
      </c>
      <c r="BR910" s="1" t="s">
        <v>98</v>
      </c>
      <c r="BS910" s="1" t="s">
        <v>15271</v>
      </c>
      <c r="BT910" s="1" t="str">
        <f>HYPERLINK("https%3A%2F%2Fwww.webofscience.com%2Fwos%2Fwoscc%2Ffull-record%2FWOS:000266759200023","View Full Record in Web of Science")</f>
        <v>View Full Record in Web of Science</v>
      </c>
    </row>
    <row r="911" spans="1:72">
      <c r="A911" s="1" t="s">
        <v>72</v>
      </c>
      <c r="B911" s="1" t="s">
        <v>15272</v>
      </c>
      <c r="C911" s="1" t="s">
        <v>74</v>
      </c>
      <c r="D911" s="1" t="s">
        <v>74</v>
      </c>
      <c r="E911" s="1" t="s">
        <v>74</v>
      </c>
      <c r="F911" s="1" t="s">
        <v>15272</v>
      </c>
      <c r="G911" s="1" t="s">
        <v>74</v>
      </c>
      <c r="H911" s="1" t="s">
        <v>74</v>
      </c>
      <c r="I911" s="1" t="s">
        <v>15273</v>
      </c>
      <c r="J911" s="1" t="s">
        <v>232</v>
      </c>
      <c r="K911" s="1" t="s">
        <v>74</v>
      </c>
      <c r="L911" s="1" t="s">
        <v>74</v>
      </c>
      <c r="M911" s="1" t="s">
        <v>78</v>
      </c>
      <c r="N911" s="1" t="s">
        <v>79</v>
      </c>
      <c r="O911" s="1" t="s">
        <v>74</v>
      </c>
      <c r="P911" s="1" t="s">
        <v>74</v>
      </c>
      <c r="Q911" s="1" t="s">
        <v>74</v>
      </c>
      <c r="R911" s="1" t="s">
        <v>74</v>
      </c>
      <c r="S911" s="1" t="s">
        <v>74</v>
      </c>
      <c r="T911" s="1" t="s">
        <v>15274</v>
      </c>
      <c r="U911" s="1" t="s">
        <v>15275</v>
      </c>
      <c r="V911" s="1" t="s">
        <v>15276</v>
      </c>
      <c r="W911" s="1" t="s">
        <v>15277</v>
      </c>
      <c r="X911" s="1" t="s">
        <v>15278</v>
      </c>
      <c r="Y911" s="1" t="s">
        <v>15279</v>
      </c>
      <c r="Z911" s="1" t="s">
        <v>15280</v>
      </c>
      <c r="AA911" s="1" t="s">
        <v>74</v>
      </c>
      <c r="AB911" s="1" t="s">
        <v>15281</v>
      </c>
      <c r="AC911" s="1" t="s">
        <v>74</v>
      </c>
      <c r="AD911" s="1" t="s">
        <v>74</v>
      </c>
      <c r="AE911" s="1" t="s">
        <v>74</v>
      </c>
      <c r="AF911" s="1" t="s">
        <v>74</v>
      </c>
      <c r="AG911" s="1">
        <v>49</v>
      </c>
      <c r="AH911" s="1">
        <v>72</v>
      </c>
      <c r="AI911" s="1">
        <v>90</v>
      </c>
      <c r="AJ911" s="1">
        <v>1</v>
      </c>
      <c r="AK911" s="1">
        <v>50</v>
      </c>
      <c r="AL911" s="1" t="s">
        <v>136</v>
      </c>
      <c r="AM911" s="1" t="s">
        <v>137</v>
      </c>
      <c r="AN911" s="1" t="s">
        <v>138</v>
      </c>
      <c r="AO911" s="1" t="s">
        <v>240</v>
      </c>
      <c r="AP911" s="1" t="s">
        <v>241</v>
      </c>
      <c r="AQ911" s="1" t="s">
        <v>74</v>
      </c>
      <c r="AR911" s="1" t="s">
        <v>242</v>
      </c>
      <c r="AS911" s="1" t="s">
        <v>243</v>
      </c>
      <c r="AT911" s="1" t="s">
        <v>93</v>
      </c>
      <c r="AU911" s="1">
        <v>2003</v>
      </c>
      <c r="AV911" s="1">
        <v>46</v>
      </c>
      <c r="AW911" s="1">
        <v>4</v>
      </c>
      <c r="AX911" s="1" t="s">
        <v>74</v>
      </c>
      <c r="AY911" s="1" t="s">
        <v>74</v>
      </c>
      <c r="AZ911" s="1" t="s">
        <v>74</v>
      </c>
      <c r="BA911" s="1" t="s">
        <v>74</v>
      </c>
      <c r="BB911" s="1">
        <v>481</v>
      </c>
      <c r="BC911" s="1">
        <v>490</v>
      </c>
      <c r="BD911" s="1" t="s">
        <v>74</v>
      </c>
      <c r="BE911" s="1" t="s">
        <v>15282</v>
      </c>
      <c r="BF911" s="1" t="str">
        <f>HYPERLINK("http://dx.doi.org/10.1016/S0025-326X(02)00451-4","http://dx.doi.org/10.1016/S0025-326X(02)00451-4")</f>
        <v>http://dx.doi.org/10.1016/S0025-326X(02)00451-4</v>
      </c>
      <c r="BG911" s="1" t="s">
        <v>74</v>
      </c>
      <c r="BH911" s="1" t="s">
        <v>74</v>
      </c>
      <c r="BI911" s="1">
        <v>10</v>
      </c>
      <c r="BJ911" s="1" t="s">
        <v>247</v>
      </c>
      <c r="BK911" s="1" t="s">
        <v>96</v>
      </c>
      <c r="BL911" s="1" t="s">
        <v>248</v>
      </c>
      <c r="BM911" s="1" t="s">
        <v>15283</v>
      </c>
      <c r="BN911" s="1">
        <v>12705922</v>
      </c>
      <c r="BO911" s="1" t="s">
        <v>74</v>
      </c>
      <c r="BP911" s="1" t="s">
        <v>74</v>
      </c>
      <c r="BQ911" s="1" t="s">
        <v>74</v>
      </c>
      <c r="BR911" s="1" t="s">
        <v>98</v>
      </c>
      <c r="BS911" s="1" t="s">
        <v>15284</v>
      </c>
      <c r="BT911" s="1" t="str">
        <f>HYPERLINK("https%3A%2F%2Fwww.webofscience.com%2Fwos%2Fwoscc%2Ffull-record%2FWOS:000182968200027","View Full Record in Web of Science")</f>
        <v>View Full Record in Web of Science</v>
      </c>
    </row>
    <row r="912" spans="1:72">
      <c r="A912" s="1" t="s">
        <v>72</v>
      </c>
      <c r="B912" s="1" t="s">
        <v>15285</v>
      </c>
      <c r="C912" s="1" t="s">
        <v>74</v>
      </c>
      <c r="D912" s="1" t="s">
        <v>74</v>
      </c>
      <c r="E912" s="1" t="s">
        <v>74</v>
      </c>
      <c r="F912" s="1" t="s">
        <v>15286</v>
      </c>
      <c r="G912" s="1" t="s">
        <v>74</v>
      </c>
      <c r="H912" s="1" t="s">
        <v>74</v>
      </c>
      <c r="I912" s="1" t="s">
        <v>15287</v>
      </c>
      <c r="J912" s="1" t="s">
        <v>421</v>
      </c>
      <c r="K912" s="1" t="s">
        <v>74</v>
      </c>
      <c r="L912" s="1" t="s">
        <v>74</v>
      </c>
      <c r="M912" s="1" t="s">
        <v>78</v>
      </c>
      <c r="N912" s="1" t="s">
        <v>79</v>
      </c>
      <c r="O912" s="1" t="s">
        <v>74</v>
      </c>
      <c r="P912" s="1" t="s">
        <v>74</v>
      </c>
      <c r="Q912" s="1" t="s">
        <v>74</v>
      </c>
      <c r="R912" s="1" t="s">
        <v>74</v>
      </c>
      <c r="S912" s="1" t="s">
        <v>74</v>
      </c>
      <c r="T912" s="1" t="s">
        <v>15288</v>
      </c>
      <c r="U912" s="1" t="s">
        <v>15289</v>
      </c>
      <c r="V912" s="1" t="s">
        <v>15290</v>
      </c>
      <c r="W912" s="1" t="s">
        <v>15291</v>
      </c>
      <c r="X912" s="1" t="s">
        <v>15292</v>
      </c>
      <c r="Y912" s="1" t="s">
        <v>15293</v>
      </c>
      <c r="Z912" s="1" t="s">
        <v>15294</v>
      </c>
      <c r="AA912" s="1" t="s">
        <v>15295</v>
      </c>
      <c r="AB912" s="1" t="s">
        <v>15296</v>
      </c>
      <c r="AC912" s="1" t="s">
        <v>15297</v>
      </c>
      <c r="AD912" s="1" t="s">
        <v>15298</v>
      </c>
      <c r="AE912" s="1" t="s">
        <v>15299</v>
      </c>
      <c r="AF912" s="1" t="s">
        <v>74</v>
      </c>
      <c r="AG912" s="1">
        <v>67</v>
      </c>
      <c r="AH912" s="1">
        <v>20</v>
      </c>
      <c r="AI912" s="1">
        <v>21</v>
      </c>
      <c r="AJ912" s="1">
        <v>1</v>
      </c>
      <c r="AK912" s="1">
        <v>65</v>
      </c>
      <c r="AL912" s="1" t="s">
        <v>430</v>
      </c>
      <c r="AM912" s="1" t="s">
        <v>137</v>
      </c>
      <c r="AN912" s="1" t="s">
        <v>431</v>
      </c>
      <c r="AO912" s="1" t="s">
        <v>432</v>
      </c>
      <c r="AP912" s="1" t="s">
        <v>1394</v>
      </c>
      <c r="AQ912" s="1" t="s">
        <v>74</v>
      </c>
      <c r="AR912" s="1" t="s">
        <v>433</v>
      </c>
      <c r="AS912" s="1" t="s">
        <v>434</v>
      </c>
      <c r="AT912" s="1" t="s">
        <v>142</v>
      </c>
      <c r="AU912" s="1">
        <v>2019</v>
      </c>
      <c r="AV912" s="1">
        <v>249</v>
      </c>
      <c r="AW912" s="1" t="s">
        <v>74</v>
      </c>
      <c r="AX912" s="1" t="s">
        <v>74</v>
      </c>
      <c r="AY912" s="1" t="s">
        <v>74</v>
      </c>
      <c r="AZ912" s="1" t="s">
        <v>74</v>
      </c>
      <c r="BA912" s="1" t="s">
        <v>74</v>
      </c>
      <c r="BB912" s="1">
        <v>54</v>
      </c>
      <c r="BC912" s="1">
        <v>62</v>
      </c>
      <c r="BD912" s="1" t="s">
        <v>74</v>
      </c>
      <c r="BE912" s="1" t="s">
        <v>15300</v>
      </c>
      <c r="BF912" s="1" t="str">
        <f>HYPERLINK("http://dx.doi.org/10.1016/j.envpol.2019.02.016","http://dx.doi.org/10.1016/j.envpol.2019.02.016")</f>
        <v>http://dx.doi.org/10.1016/j.envpol.2019.02.016</v>
      </c>
      <c r="BG912" s="1" t="s">
        <v>74</v>
      </c>
      <c r="BH912" s="1" t="s">
        <v>74</v>
      </c>
      <c r="BI912" s="1">
        <v>9</v>
      </c>
      <c r="BJ912" s="1" t="s">
        <v>144</v>
      </c>
      <c r="BK912" s="1" t="s">
        <v>96</v>
      </c>
      <c r="BL912" s="1" t="s">
        <v>145</v>
      </c>
      <c r="BM912" s="1" t="s">
        <v>15301</v>
      </c>
      <c r="BN912" s="1">
        <v>30878862</v>
      </c>
      <c r="BO912" s="1" t="s">
        <v>74</v>
      </c>
      <c r="BP912" s="1" t="s">
        <v>74</v>
      </c>
      <c r="BQ912" s="1" t="s">
        <v>74</v>
      </c>
      <c r="BR912" s="1" t="s">
        <v>98</v>
      </c>
      <c r="BS912" s="1" t="s">
        <v>15302</v>
      </c>
      <c r="BT912" s="1" t="str">
        <f>HYPERLINK("https%3A%2F%2Fwww.webofscience.com%2Fwos%2Fwoscc%2Ffull-record%2FWOS:000471081300006","View Full Record in Web of Science")</f>
        <v>View Full Record in Web of Science</v>
      </c>
    </row>
    <row r="913" spans="1:72">
      <c r="A913" s="1" t="s">
        <v>72</v>
      </c>
      <c r="B913" s="1" t="s">
        <v>15303</v>
      </c>
      <c r="C913" s="1" t="s">
        <v>74</v>
      </c>
      <c r="D913" s="1" t="s">
        <v>74</v>
      </c>
      <c r="E913" s="1" t="s">
        <v>74</v>
      </c>
      <c r="F913" s="1" t="s">
        <v>15303</v>
      </c>
      <c r="G913" s="1" t="s">
        <v>74</v>
      </c>
      <c r="H913" s="1" t="s">
        <v>74</v>
      </c>
      <c r="I913" s="1" t="s">
        <v>15304</v>
      </c>
      <c r="J913" s="1" t="s">
        <v>232</v>
      </c>
      <c r="K913" s="1" t="s">
        <v>74</v>
      </c>
      <c r="L913" s="1" t="s">
        <v>74</v>
      </c>
      <c r="M913" s="1" t="s">
        <v>78</v>
      </c>
      <c r="N913" s="1" t="s">
        <v>79</v>
      </c>
      <c r="O913" s="1" t="s">
        <v>74</v>
      </c>
      <c r="P913" s="1" t="s">
        <v>74</v>
      </c>
      <c r="Q913" s="1" t="s">
        <v>74</v>
      </c>
      <c r="R913" s="1" t="s">
        <v>74</v>
      </c>
      <c r="S913" s="1" t="s">
        <v>74</v>
      </c>
      <c r="T913" s="1" t="s">
        <v>74</v>
      </c>
      <c r="U913" s="1" t="s">
        <v>74</v>
      </c>
      <c r="V913" s="1" t="s">
        <v>15305</v>
      </c>
      <c r="W913" s="1" t="s">
        <v>15306</v>
      </c>
      <c r="X913" s="1" t="s">
        <v>74</v>
      </c>
      <c r="Y913" s="1" t="s">
        <v>15307</v>
      </c>
      <c r="Z913" s="1" t="s">
        <v>74</v>
      </c>
      <c r="AA913" s="1" t="s">
        <v>74</v>
      </c>
      <c r="AB913" s="1" t="s">
        <v>74</v>
      </c>
      <c r="AC913" s="1" t="s">
        <v>74</v>
      </c>
      <c r="AD913" s="1" t="s">
        <v>74</v>
      </c>
      <c r="AE913" s="1" t="s">
        <v>74</v>
      </c>
      <c r="AF913" s="1" t="s">
        <v>74</v>
      </c>
      <c r="AG913" s="1">
        <v>13</v>
      </c>
      <c r="AH913" s="1">
        <v>28</v>
      </c>
      <c r="AI913" s="1">
        <v>33</v>
      </c>
      <c r="AJ913" s="1">
        <v>1</v>
      </c>
      <c r="AK913" s="1">
        <v>4</v>
      </c>
      <c r="AL913" s="1" t="s">
        <v>136</v>
      </c>
      <c r="AM913" s="1" t="s">
        <v>137</v>
      </c>
      <c r="AN913" s="1" t="s">
        <v>138</v>
      </c>
      <c r="AO913" s="1" t="s">
        <v>240</v>
      </c>
      <c r="AP913" s="1" t="s">
        <v>241</v>
      </c>
      <c r="AQ913" s="1" t="s">
        <v>74</v>
      </c>
      <c r="AR913" s="1" t="s">
        <v>242</v>
      </c>
      <c r="AS913" s="1" t="s">
        <v>243</v>
      </c>
      <c r="AT913" s="1" t="s">
        <v>1470</v>
      </c>
      <c r="AU913" s="1">
        <v>1987</v>
      </c>
      <c r="AV913" s="1">
        <v>18</v>
      </c>
      <c r="AW913" s="1">
        <v>1</v>
      </c>
      <c r="AX913" s="1" t="s">
        <v>74</v>
      </c>
      <c r="AY913" s="1" t="s">
        <v>74</v>
      </c>
      <c r="AZ913" s="1" t="s">
        <v>74</v>
      </c>
      <c r="BA913" s="1" t="s">
        <v>74</v>
      </c>
      <c r="BB913" s="1">
        <v>40</v>
      </c>
      <c r="BC913" s="1">
        <v>45</v>
      </c>
      <c r="BD913" s="1" t="s">
        <v>74</v>
      </c>
      <c r="BE913" s="1" t="s">
        <v>15308</v>
      </c>
      <c r="BF913" s="1" t="str">
        <f>HYPERLINK("http://dx.doi.org/10.1016/0025-326X(87)90657-6","http://dx.doi.org/10.1016/0025-326X(87)90657-6")</f>
        <v>http://dx.doi.org/10.1016/0025-326X(87)90657-6</v>
      </c>
      <c r="BG913" s="1" t="s">
        <v>74</v>
      </c>
      <c r="BH913" s="1" t="s">
        <v>74</v>
      </c>
      <c r="BI913" s="1">
        <v>6</v>
      </c>
      <c r="BJ913" s="1" t="s">
        <v>247</v>
      </c>
      <c r="BK913" s="1" t="s">
        <v>96</v>
      </c>
      <c r="BL913" s="1" t="s">
        <v>248</v>
      </c>
      <c r="BM913" s="1" t="s">
        <v>15309</v>
      </c>
      <c r="BN913" s="1" t="s">
        <v>74</v>
      </c>
      <c r="BO913" s="1" t="s">
        <v>74</v>
      </c>
      <c r="BP913" s="1" t="s">
        <v>74</v>
      </c>
      <c r="BQ913" s="1" t="s">
        <v>74</v>
      </c>
      <c r="BR913" s="1" t="s">
        <v>98</v>
      </c>
      <c r="BS913" s="1" t="s">
        <v>15310</v>
      </c>
      <c r="BT913" s="1" t="str">
        <f>HYPERLINK("https%3A%2F%2Fwww.webofscience.com%2Fwos%2Fwoscc%2Ffull-record%2FWOS:A1987F865600015","View Full Record in Web of Science")</f>
        <v>View Full Record in Web of Science</v>
      </c>
    </row>
    <row r="914" spans="1:72">
      <c r="A914" s="1" t="s">
        <v>72</v>
      </c>
      <c r="B914" s="1" t="s">
        <v>15311</v>
      </c>
      <c r="C914" s="1" t="s">
        <v>74</v>
      </c>
      <c r="D914" s="1" t="s">
        <v>74</v>
      </c>
      <c r="E914" s="1" t="s">
        <v>74</v>
      </c>
      <c r="F914" s="1" t="s">
        <v>15311</v>
      </c>
      <c r="G914" s="1" t="s">
        <v>74</v>
      </c>
      <c r="H914" s="1" t="s">
        <v>74</v>
      </c>
      <c r="I914" s="1" t="s">
        <v>15312</v>
      </c>
      <c r="J914" s="1" t="s">
        <v>752</v>
      </c>
      <c r="K914" s="1" t="s">
        <v>74</v>
      </c>
      <c r="L914" s="1" t="s">
        <v>74</v>
      </c>
      <c r="M914" s="1" t="s">
        <v>78</v>
      </c>
      <c r="N914" s="1" t="s">
        <v>151</v>
      </c>
      <c r="O914" s="1" t="s">
        <v>2433</v>
      </c>
      <c r="P914" s="1" t="s">
        <v>2434</v>
      </c>
      <c r="Q914" s="1" t="s">
        <v>2435</v>
      </c>
      <c r="R914" s="1" t="s">
        <v>74</v>
      </c>
      <c r="S914" s="1" t="s">
        <v>74</v>
      </c>
      <c r="T914" s="1" t="s">
        <v>15313</v>
      </c>
      <c r="U914" s="1" t="s">
        <v>15314</v>
      </c>
      <c r="V914" s="1" t="s">
        <v>15315</v>
      </c>
      <c r="W914" s="1" t="s">
        <v>13268</v>
      </c>
      <c r="X914" s="1" t="s">
        <v>12879</v>
      </c>
      <c r="Y914" s="1" t="s">
        <v>15316</v>
      </c>
      <c r="Z914" s="1" t="s">
        <v>15317</v>
      </c>
      <c r="AA914" s="1" t="s">
        <v>74</v>
      </c>
      <c r="AB914" s="1" t="s">
        <v>74</v>
      </c>
      <c r="AC914" s="1" t="s">
        <v>74</v>
      </c>
      <c r="AD914" s="1" t="s">
        <v>74</v>
      </c>
      <c r="AE914" s="1" t="s">
        <v>74</v>
      </c>
      <c r="AF914" s="1" t="s">
        <v>74</v>
      </c>
      <c r="AG914" s="1">
        <v>11</v>
      </c>
      <c r="AH914" s="1">
        <v>13</v>
      </c>
      <c r="AI914" s="1">
        <v>13</v>
      </c>
      <c r="AJ914" s="1">
        <v>2</v>
      </c>
      <c r="AK914" s="1">
        <v>19</v>
      </c>
      <c r="AL914" s="1" t="s">
        <v>430</v>
      </c>
      <c r="AM914" s="1" t="s">
        <v>137</v>
      </c>
      <c r="AN914" s="1" t="s">
        <v>431</v>
      </c>
      <c r="AO914" s="1" t="s">
        <v>761</v>
      </c>
      <c r="AP914" s="1" t="s">
        <v>762</v>
      </c>
      <c r="AQ914" s="1" t="s">
        <v>74</v>
      </c>
      <c r="AR914" s="1" t="s">
        <v>763</v>
      </c>
      <c r="AS914" s="1" t="s">
        <v>764</v>
      </c>
      <c r="AT914" s="1" t="s">
        <v>2445</v>
      </c>
      <c r="AU914" s="1">
        <v>2004</v>
      </c>
      <c r="AV914" s="1">
        <v>58</v>
      </c>
      <c r="AW914" s="1" t="s">
        <v>2446</v>
      </c>
      <c r="AX914" s="1" t="s">
        <v>74</v>
      </c>
      <c r="AY914" s="1" t="s">
        <v>74</v>
      </c>
      <c r="AZ914" s="1" t="s">
        <v>74</v>
      </c>
      <c r="BA914" s="1" t="s">
        <v>74</v>
      </c>
      <c r="BB914" s="1">
        <v>793</v>
      </c>
      <c r="BC914" s="1">
        <v>797</v>
      </c>
      <c r="BD914" s="1" t="s">
        <v>74</v>
      </c>
      <c r="BE914" s="1" t="s">
        <v>15318</v>
      </c>
      <c r="BF914" s="1" t="str">
        <f>HYPERLINK("http://dx.doi.org/10.1016/j.marenvres.2004.03.095","http://dx.doi.org/10.1016/j.marenvres.2004.03.095")</f>
        <v>http://dx.doi.org/10.1016/j.marenvres.2004.03.095</v>
      </c>
      <c r="BG914" s="1" t="s">
        <v>74</v>
      </c>
      <c r="BH914" s="1" t="s">
        <v>74</v>
      </c>
      <c r="BI914" s="1">
        <v>5</v>
      </c>
      <c r="BJ914" s="1" t="s">
        <v>768</v>
      </c>
      <c r="BK914" s="1" t="s">
        <v>172</v>
      </c>
      <c r="BL914" s="1" t="s">
        <v>769</v>
      </c>
      <c r="BM914" s="1" t="s">
        <v>2448</v>
      </c>
      <c r="BN914" s="1">
        <v>15178115</v>
      </c>
      <c r="BO914" s="1" t="s">
        <v>74</v>
      </c>
      <c r="BP914" s="1" t="s">
        <v>74</v>
      </c>
      <c r="BQ914" s="1" t="s">
        <v>74</v>
      </c>
      <c r="BR914" s="1" t="s">
        <v>98</v>
      </c>
      <c r="BS914" s="1" t="s">
        <v>15319</v>
      </c>
      <c r="BT914" s="1" t="str">
        <f>HYPERLINK("https%3A%2F%2Fwww.webofscience.com%2Fwos%2Fwoscc%2Ffull-record%2FWOS:000222199100099","View Full Record in Web of Science")</f>
        <v>View Full Record in Web of Science</v>
      </c>
    </row>
    <row r="915" spans="1:72">
      <c r="A915" s="1" t="s">
        <v>72</v>
      </c>
      <c r="B915" s="1" t="s">
        <v>15320</v>
      </c>
      <c r="C915" s="1" t="s">
        <v>74</v>
      </c>
      <c r="D915" s="1" t="s">
        <v>74</v>
      </c>
      <c r="E915" s="1" t="s">
        <v>74</v>
      </c>
      <c r="F915" s="1" t="s">
        <v>15320</v>
      </c>
      <c r="G915" s="1" t="s">
        <v>74</v>
      </c>
      <c r="H915" s="1" t="s">
        <v>74</v>
      </c>
      <c r="I915" s="1" t="s">
        <v>15321</v>
      </c>
      <c r="J915" s="1" t="s">
        <v>232</v>
      </c>
      <c r="K915" s="1" t="s">
        <v>74</v>
      </c>
      <c r="L915" s="1" t="s">
        <v>74</v>
      </c>
      <c r="M915" s="1" t="s">
        <v>78</v>
      </c>
      <c r="N915" s="1" t="s">
        <v>79</v>
      </c>
      <c r="O915" s="1" t="s">
        <v>74</v>
      </c>
      <c r="P915" s="1" t="s">
        <v>74</v>
      </c>
      <c r="Q915" s="1" t="s">
        <v>74</v>
      </c>
      <c r="R915" s="1" t="s">
        <v>74</v>
      </c>
      <c r="S915" s="1" t="s">
        <v>74</v>
      </c>
      <c r="T915" s="1" t="s">
        <v>74</v>
      </c>
      <c r="U915" s="1" t="s">
        <v>15322</v>
      </c>
      <c r="V915" s="1" t="s">
        <v>15323</v>
      </c>
      <c r="W915" s="1" t="s">
        <v>15324</v>
      </c>
      <c r="X915" s="1" t="s">
        <v>15325</v>
      </c>
      <c r="Y915" s="1" t="s">
        <v>15326</v>
      </c>
      <c r="Z915" s="1" t="s">
        <v>74</v>
      </c>
      <c r="AA915" s="1" t="s">
        <v>74</v>
      </c>
      <c r="AB915" s="1" t="s">
        <v>15327</v>
      </c>
      <c r="AC915" s="1" t="s">
        <v>74</v>
      </c>
      <c r="AD915" s="1" t="s">
        <v>74</v>
      </c>
      <c r="AE915" s="1" t="s">
        <v>74</v>
      </c>
      <c r="AF915" s="1" t="s">
        <v>74</v>
      </c>
      <c r="AG915" s="1">
        <v>28</v>
      </c>
      <c r="AH915" s="1">
        <v>88</v>
      </c>
      <c r="AI915" s="1">
        <v>91</v>
      </c>
      <c r="AJ915" s="1">
        <v>1</v>
      </c>
      <c r="AK915" s="1">
        <v>13</v>
      </c>
      <c r="AL915" s="1" t="s">
        <v>136</v>
      </c>
      <c r="AM915" s="1" t="s">
        <v>137</v>
      </c>
      <c r="AN915" s="1" t="s">
        <v>138</v>
      </c>
      <c r="AO915" s="1" t="s">
        <v>240</v>
      </c>
      <c r="AP915" s="1" t="s">
        <v>241</v>
      </c>
      <c r="AQ915" s="1" t="s">
        <v>74</v>
      </c>
      <c r="AR915" s="1" t="s">
        <v>242</v>
      </c>
      <c r="AS915" s="1" t="s">
        <v>243</v>
      </c>
      <c r="AT915" s="1" t="s">
        <v>15328</v>
      </c>
      <c r="AU915" s="1">
        <v>1996</v>
      </c>
      <c r="AV915" s="1">
        <v>32</v>
      </c>
      <c r="AW915" s="1" t="s">
        <v>10021</v>
      </c>
      <c r="AX915" s="1" t="s">
        <v>74</v>
      </c>
      <c r="AY915" s="1" t="s">
        <v>74</v>
      </c>
      <c r="AZ915" s="1" t="s">
        <v>74</v>
      </c>
      <c r="BA915" s="1" t="s">
        <v>74</v>
      </c>
      <c r="BB915" s="1">
        <v>592</v>
      </c>
      <c r="BC915" s="1">
        <v>598</v>
      </c>
      <c r="BD915" s="1" t="s">
        <v>74</v>
      </c>
      <c r="BE915" s="1" t="s">
        <v>15329</v>
      </c>
      <c r="BF915" s="1" t="str">
        <f>HYPERLINK("http://dx.doi.org/10.1016/0025-326X(95)00247-K","http://dx.doi.org/10.1016/0025-326X(95)00247-K")</f>
        <v>http://dx.doi.org/10.1016/0025-326X(95)00247-K</v>
      </c>
      <c r="BG915" s="1" t="s">
        <v>74</v>
      </c>
      <c r="BH915" s="1" t="s">
        <v>74</v>
      </c>
      <c r="BI915" s="1">
        <v>7</v>
      </c>
      <c r="BJ915" s="1" t="s">
        <v>247</v>
      </c>
      <c r="BK915" s="1" t="s">
        <v>96</v>
      </c>
      <c r="BL915" s="1" t="s">
        <v>248</v>
      </c>
      <c r="BM915" s="1" t="s">
        <v>15330</v>
      </c>
      <c r="BN915" s="1" t="s">
        <v>74</v>
      </c>
      <c r="BO915" s="1" t="s">
        <v>74</v>
      </c>
      <c r="BP915" s="1" t="s">
        <v>74</v>
      </c>
      <c r="BQ915" s="1" t="s">
        <v>74</v>
      </c>
      <c r="BR915" s="1" t="s">
        <v>98</v>
      </c>
      <c r="BS915" s="1" t="s">
        <v>15331</v>
      </c>
      <c r="BT915" s="1" t="str">
        <f>HYPERLINK("https%3A%2F%2Fwww.webofscience.com%2Fwos%2Fwoscc%2Ffull-record%2FWOS:A1996VN04500013","View Full Record in Web of Science")</f>
        <v>View Full Record in Web of Science</v>
      </c>
    </row>
    <row r="916" spans="1:72">
      <c r="A916" s="1" t="s">
        <v>72</v>
      </c>
      <c r="B916" s="1" t="s">
        <v>10405</v>
      </c>
      <c r="C916" s="1" t="s">
        <v>74</v>
      </c>
      <c r="D916" s="1" t="s">
        <v>74</v>
      </c>
      <c r="E916" s="1" t="s">
        <v>74</v>
      </c>
      <c r="F916" s="1" t="s">
        <v>10406</v>
      </c>
      <c r="G916" s="1" t="s">
        <v>74</v>
      </c>
      <c r="H916" s="1" t="s">
        <v>74</v>
      </c>
      <c r="I916" s="1" t="s">
        <v>15332</v>
      </c>
      <c r="J916" s="1" t="s">
        <v>641</v>
      </c>
      <c r="K916" s="1" t="s">
        <v>74</v>
      </c>
      <c r="L916" s="1" t="s">
        <v>74</v>
      </c>
      <c r="M916" s="1" t="s">
        <v>78</v>
      </c>
      <c r="N916" s="1" t="s">
        <v>79</v>
      </c>
      <c r="O916" s="1" t="s">
        <v>74</v>
      </c>
      <c r="P916" s="1" t="s">
        <v>74</v>
      </c>
      <c r="Q916" s="1" t="s">
        <v>74</v>
      </c>
      <c r="R916" s="1" t="s">
        <v>74</v>
      </c>
      <c r="S916" s="1" t="s">
        <v>74</v>
      </c>
      <c r="T916" s="1" t="s">
        <v>15333</v>
      </c>
      <c r="U916" s="1" t="s">
        <v>15334</v>
      </c>
      <c r="V916" s="1" t="s">
        <v>15335</v>
      </c>
      <c r="W916" s="1" t="s">
        <v>10411</v>
      </c>
      <c r="X916" s="1" t="s">
        <v>10412</v>
      </c>
      <c r="Y916" s="1" t="s">
        <v>10413</v>
      </c>
      <c r="Z916" s="1" t="s">
        <v>10414</v>
      </c>
      <c r="AA916" s="1" t="s">
        <v>74</v>
      </c>
      <c r="AB916" s="1" t="s">
        <v>10415</v>
      </c>
      <c r="AC916" s="1" t="s">
        <v>15336</v>
      </c>
      <c r="AD916" s="1" t="s">
        <v>15336</v>
      </c>
      <c r="AE916" s="1" t="s">
        <v>15337</v>
      </c>
      <c r="AF916" s="1" t="s">
        <v>74</v>
      </c>
      <c r="AG916" s="1">
        <v>58</v>
      </c>
      <c r="AH916" s="1">
        <v>43</v>
      </c>
      <c r="AI916" s="1">
        <v>49</v>
      </c>
      <c r="AJ916" s="1">
        <v>2</v>
      </c>
      <c r="AK916" s="1">
        <v>59</v>
      </c>
      <c r="AL916" s="1" t="s">
        <v>650</v>
      </c>
      <c r="AM916" s="1" t="s">
        <v>651</v>
      </c>
      <c r="AN916" s="1" t="s">
        <v>652</v>
      </c>
      <c r="AO916" s="1" t="s">
        <v>653</v>
      </c>
      <c r="AP916" s="1" t="s">
        <v>654</v>
      </c>
      <c r="AQ916" s="1" t="s">
        <v>74</v>
      </c>
      <c r="AR916" s="1" t="s">
        <v>655</v>
      </c>
      <c r="AS916" s="1" t="s">
        <v>656</v>
      </c>
      <c r="AT916" s="1" t="s">
        <v>3506</v>
      </c>
      <c r="AU916" s="1">
        <v>2013</v>
      </c>
      <c r="AV916" s="1">
        <v>140</v>
      </c>
      <c r="AW916" s="1" t="s">
        <v>74</v>
      </c>
      <c r="AX916" s="1" t="s">
        <v>74</v>
      </c>
      <c r="AY916" s="1" t="s">
        <v>74</v>
      </c>
      <c r="AZ916" s="1" t="s">
        <v>74</v>
      </c>
      <c r="BA916" s="1" t="s">
        <v>74</v>
      </c>
      <c r="BB916" s="1">
        <v>303</v>
      </c>
      <c r="BC916" s="1">
        <v>313</v>
      </c>
      <c r="BD916" s="1" t="s">
        <v>74</v>
      </c>
      <c r="BE916" s="1" t="s">
        <v>15338</v>
      </c>
      <c r="BF916" s="1" t="str">
        <f>HYPERLINK("http://dx.doi.org/10.1016/j.aquatox.2013.06.015","http://dx.doi.org/10.1016/j.aquatox.2013.06.015")</f>
        <v>http://dx.doi.org/10.1016/j.aquatox.2013.06.015</v>
      </c>
      <c r="BG916" s="1" t="s">
        <v>74</v>
      </c>
      <c r="BH916" s="1" t="s">
        <v>74</v>
      </c>
      <c r="BI916" s="1">
        <v>11</v>
      </c>
      <c r="BJ916" s="1" t="s">
        <v>659</v>
      </c>
      <c r="BK916" s="1" t="s">
        <v>96</v>
      </c>
      <c r="BL916" s="1" t="s">
        <v>659</v>
      </c>
      <c r="BM916" s="1" t="s">
        <v>5496</v>
      </c>
      <c r="BN916" s="1">
        <v>23876876</v>
      </c>
      <c r="BO916" s="1" t="s">
        <v>74</v>
      </c>
      <c r="BP916" s="1" t="s">
        <v>74</v>
      </c>
      <c r="BQ916" s="1" t="s">
        <v>74</v>
      </c>
      <c r="BR916" s="1" t="s">
        <v>98</v>
      </c>
      <c r="BS916" s="1" t="s">
        <v>15339</v>
      </c>
      <c r="BT916" s="1" t="str">
        <f>HYPERLINK("https%3A%2F%2Fwww.webofscience.com%2Fwos%2Fwoscc%2Ffull-record%2FWOS:000324900800033","View Full Record in Web of Science")</f>
        <v>View Full Record in Web of Science</v>
      </c>
    </row>
    <row r="917" spans="1:72">
      <c r="A917" s="1" t="s">
        <v>72</v>
      </c>
      <c r="B917" s="1" t="s">
        <v>15340</v>
      </c>
      <c r="C917" s="1" t="s">
        <v>74</v>
      </c>
      <c r="D917" s="1" t="s">
        <v>74</v>
      </c>
      <c r="E917" s="1" t="s">
        <v>74</v>
      </c>
      <c r="F917" s="1" t="s">
        <v>15340</v>
      </c>
      <c r="G917" s="1" t="s">
        <v>74</v>
      </c>
      <c r="H917" s="1" t="s">
        <v>74</v>
      </c>
      <c r="I917" s="1" t="s">
        <v>15341</v>
      </c>
      <c r="J917" s="1" t="s">
        <v>232</v>
      </c>
      <c r="K917" s="1" t="s">
        <v>74</v>
      </c>
      <c r="L917" s="1" t="s">
        <v>74</v>
      </c>
      <c r="M917" s="1" t="s">
        <v>78</v>
      </c>
      <c r="N917" s="1" t="s">
        <v>79</v>
      </c>
      <c r="O917" s="1" t="s">
        <v>74</v>
      </c>
      <c r="P917" s="1" t="s">
        <v>74</v>
      </c>
      <c r="Q917" s="1" t="s">
        <v>74</v>
      </c>
      <c r="R917" s="1" t="s">
        <v>74</v>
      </c>
      <c r="S917" s="1" t="s">
        <v>74</v>
      </c>
      <c r="T917" s="1" t="s">
        <v>74</v>
      </c>
      <c r="U917" s="1" t="s">
        <v>74</v>
      </c>
      <c r="V917" s="1" t="s">
        <v>15342</v>
      </c>
      <c r="W917" s="1" t="s">
        <v>74</v>
      </c>
      <c r="X917" s="1" t="s">
        <v>74</v>
      </c>
      <c r="Y917" s="1" t="s">
        <v>15343</v>
      </c>
      <c r="Z917" s="1" t="s">
        <v>74</v>
      </c>
      <c r="AA917" s="1" t="s">
        <v>74</v>
      </c>
      <c r="AB917" s="1" t="s">
        <v>74</v>
      </c>
      <c r="AC917" s="1" t="s">
        <v>74</v>
      </c>
      <c r="AD917" s="1" t="s">
        <v>74</v>
      </c>
      <c r="AE917" s="1" t="s">
        <v>74</v>
      </c>
      <c r="AF917" s="1" t="s">
        <v>74</v>
      </c>
      <c r="AG917" s="1">
        <v>46</v>
      </c>
      <c r="AH917" s="1">
        <v>14</v>
      </c>
      <c r="AI917" s="1">
        <v>15</v>
      </c>
      <c r="AJ917" s="1">
        <v>0</v>
      </c>
      <c r="AK917" s="1">
        <v>0</v>
      </c>
      <c r="AL917" s="1" t="s">
        <v>136</v>
      </c>
      <c r="AM917" s="1" t="s">
        <v>137</v>
      </c>
      <c r="AN917" s="1" t="s">
        <v>138</v>
      </c>
      <c r="AO917" s="1" t="s">
        <v>240</v>
      </c>
      <c r="AP917" s="1" t="s">
        <v>241</v>
      </c>
      <c r="AQ917" s="1" t="s">
        <v>74</v>
      </c>
      <c r="AR917" s="1" t="s">
        <v>242</v>
      </c>
      <c r="AS917" s="1" t="s">
        <v>243</v>
      </c>
      <c r="AT917" s="1" t="s">
        <v>93</v>
      </c>
      <c r="AU917" s="1">
        <v>1987</v>
      </c>
      <c r="AV917" s="1">
        <v>18</v>
      </c>
      <c r="AW917" s="1">
        <v>4</v>
      </c>
      <c r="AX917" s="1" t="s">
        <v>74</v>
      </c>
      <c r="AY917" s="1" t="s">
        <v>74</v>
      </c>
      <c r="AZ917" s="1" t="s">
        <v>74</v>
      </c>
      <c r="BA917" s="1" t="s">
        <v>74</v>
      </c>
      <c r="BB917" s="1">
        <v>180</v>
      </c>
      <c r="BC917" s="1">
        <v>185</v>
      </c>
      <c r="BD917" s="1" t="s">
        <v>74</v>
      </c>
      <c r="BE917" s="1" t="s">
        <v>15344</v>
      </c>
      <c r="BF917" s="1" t="str">
        <f>HYPERLINK("http://dx.doi.org/10.1016/0025-326X(87)90243-8","http://dx.doi.org/10.1016/0025-326X(87)90243-8")</f>
        <v>http://dx.doi.org/10.1016/0025-326X(87)90243-8</v>
      </c>
      <c r="BG917" s="1" t="s">
        <v>74</v>
      </c>
      <c r="BH917" s="1" t="s">
        <v>74</v>
      </c>
      <c r="BI917" s="1">
        <v>6</v>
      </c>
      <c r="BJ917" s="1" t="s">
        <v>247</v>
      </c>
      <c r="BK917" s="1" t="s">
        <v>96</v>
      </c>
      <c r="BL917" s="1" t="s">
        <v>248</v>
      </c>
      <c r="BM917" s="1" t="s">
        <v>15345</v>
      </c>
      <c r="BN917" s="1" t="s">
        <v>74</v>
      </c>
      <c r="BO917" s="1" t="s">
        <v>74</v>
      </c>
      <c r="BP917" s="1" t="s">
        <v>74</v>
      </c>
      <c r="BQ917" s="1" t="s">
        <v>74</v>
      </c>
      <c r="BR917" s="1" t="s">
        <v>98</v>
      </c>
      <c r="BS917" s="1" t="s">
        <v>15346</v>
      </c>
      <c r="BT917" s="1" t="str">
        <f>HYPERLINK("https%3A%2F%2Fwww.webofscience.com%2Fwos%2Fwoscc%2Ffull-record%2FWOS:A1987H523600007","View Full Record in Web of Science")</f>
        <v>View Full Record in Web of Science</v>
      </c>
    </row>
    <row r="918" spans="1:72">
      <c r="A918" s="1" t="s">
        <v>72</v>
      </c>
      <c r="B918" s="1" t="s">
        <v>15347</v>
      </c>
      <c r="C918" s="1" t="s">
        <v>74</v>
      </c>
      <c r="D918" s="1" t="s">
        <v>74</v>
      </c>
      <c r="E918" s="1" t="s">
        <v>74</v>
      </c>
      <c r="F918" s="1" t="s">
        <v>15348</v>
      </c>
      <c r="G918" s="1" t="s">
        <v>74</v>
      </c>
      <c r="H918" s="1" t="s">
        <v>74</v>
      </c>
      <c r="I918" s="1" t="s">
        <v>15349</v>
      </c>
      <c r="J918" s="1" t="s">
        <v>204</v>
      </c>
      <c r="K918" s="1" t="s">
        <v>74</v>
      </c>
      <c r="L918" s="1" t="s">
        <v>74</v>
      </c>
      <c r="M918" s="1" t="s">
        <v>78</v>
      </c>
      <c r="N918" s="1" t="s">
        <v>79</v>
      </c>
      <c r="O918" s="1" t="s">
        <v>74</v>
      </c>
      <c r="P918" s="1" t="s">
        <v>74</v>
      </c>
      <c r="Q918" s="1" t="s">
        <v>74</v>
      </c>
      <c r="R918" s="1" t="s">
        <v>74</v>
      </c>
      <c r="S918" s="1" t="s">
        <v>74</v>
      </c>
      <c r="T918" s="1" t="s">
        <v>15350</v>
      </c>
      <c r="U918" s="1" t="s">
        <v>15351</v>
      </c>
      <c r="V918" s="1" t="s">
        <v>15352</v>
      </c>
      <c r="W918" s="1" t="s">
        <v>15353</v>
      </c>
      <c r="X918" s="1" t="s">
        <v>15354</v>
      </c>
      <c r="Y918" s="1" t="s">
        <v>15355</v>
      </c>
      <c r="Z918" s="1" t="s">
        <v>15356</v>
      </c>
      <c r="AA918" s="1" t="s">
        <v>15357</v>
      </c>
      <c r="AB918" s="1" t="s">
        <v>15358</v>
      </c>
      <c r="AC918" s="1" t="s">
        <v>15359</v>
      </c>
      <c r="AD918" s="1" t="s">
        <v>15360</v>
      </c>
      <c r="AE918" s="1" t="s">
        <v>15361</v>
      </c>
      <c r="AF918" s="1" t="s">
        <v>74</v>
      </c>
      <c r="AG918" s="1">
        <v>45</v>
      </c>
      <c r="AH918" s="1">
        <v>9</v>
      </c>
      <c r="AI918" s="1">
        <v>9</v>
      </c>
      <c r="AJ918" s="1">
        <v>1</v>
      </c>
      <c r="AK918" s="1">
        <v>15</v>
      </c>
      <c r="AL918" s="1" t="s">
        <v>217</v>
      </c>
      <c r="AM918" s="1" t="s">
        <v>218</v>
      </c>
      <c r="AN918" s="1" t="s">
        <v>219</v>
      </c>
      <c r="AO918" s="1" t="s">
        <v>220</v>
      </c>
      <c r="AP918" s="1" t="s">
        <v>221</v>
      </c>
      <c r="AQ918" s="1" t="s">
        <v>74</v>
      </c>
      <c r="AR918" s="1" t="s">
        <v>222</v>
      </c>
      <c r="AS918" s="1" t="s">
        <v>223</v>
      </c>
      <c r="AT918" s="1" t="s">
        <v>170</v>
      </c>
      <c r="AU918" s="1">
        <v>2010</v>
      </c>
      <c r="AV918" s="1">
        <v>17</v>
      </c>
      <c r="AW918" s="1">
        <v>4</v>
      </c>
      <c r="AX918" s="1" t="s">
        <v>74</v>
      </c>
      <c r="AY918" s="1" t="s">
        <v>74</v>
      </c>
      <c r="AZ918" s="1" t="s">
        <v>74</v>
      </c>
      <c r="BA918" s="1" t="s">
        <v>74</v>
      </c>
      <c r="BB918" s="1">
        <v>977</v>
      </c>
      <c r="BC918" s="1">
        <v>986</v>
      </c>
      <c r="BD918" s="1" t="s">
        <v>74</v>
      </c>
      <c r="BE918" s="1" t="s">
        <v>15362</v>
      </c>
      <c r="BF918" s="1" t="str">
        <f>HYPERLINK("http://dx.doi.org/10.1007/s11356-009-0270-x","http://dx.doi.org/10.1007/s11356-009-0270-x")</f>
        <v>http://dx.doi.org/10.1007/s11356-009-0270-x</v>
      </c>
      <c r="BG918" s="1" t="s">
        <v>74</v>
      </c>
      <c r="BH918" s="1" t="s">
        <v>74</v>
      </c>
      <c r="BI918" s="1">
        <v>10</v>
      </c>
      <c r="BJ918" s="1" t="s">
        <v>144</v>
      </c>
      <c r="BK918" s="1" t="s">
        <v>96</v>
      </c>
      <c r="BL918" s="1" t="s">
        <v>145</v>
      </c>
      <c r="BM918" s="1" t="s">
        <v>15363</v>
      </c>
      <c r="BN918" s="1">
        <v>20012221</v>
      </c>
      <c r="BO918" s="1" t="s">
        <v>74</v>
      </c>
      <c r="BP918" s="1" t="s">
        <v>74</v>
      </c>
      <c r="BQ918" s="1" t="s">
        <v>74</v>
      </c>
      <c r="BR918" s="1" t="s">
        <v>98</v>
      </c>
      <c r="BS918" s="1" t="s">
        <v>15364</v>
      </c>
      <c r="BT918" s="1" t="str">
        <f>HYPERLINK("https%3A%2F%2Fwww.webofscience.com%2Fwos%2Fwoscc%2Ffull-record%2FWOS:000276656300017","View Full Record in Web of Science")</f>
        <v>View Full Record in Web of Science</v>
      </c>
    </row>
    <row r="919" spans="1:72">
      <c r="A919" s="1" t="s">
        <v>72</v>
      </c>
      <c r="B919" s="1" t="s">
        <v>15365</v>
      </c>
      <c r="C919" s="1" t="s">
        <v>74</v>
      </c>
      <c r="D919" s="1" t="s">
        <v>74</v>
      </c>
      <c r="E919" s="1" t="s">
        <v>74</v>
      </c>
      <c r="F919" s="1" t="s">
        <v>15366</v>
      </c>
      <c r="G919" s="1" t="s">
        <v>74</v>
      </c>
      <c r="H919" s="1" t="s">
        <v>74</v>
      </c>
      <c r="I919" s="1" t="s">
        <v>15367</v>
      </c>
      <c r="J919" s="1" t="s">
        <v>232</v>
      </c>
      <c r="K919" s="1" t="s">
        <v>74</v>
      </c>
      <c r="L919" s="1" t="s">
        <v>74</v>
      </c>
      <c r="M919" s="1" t="s">
        <v>78</v>
      </c>
      <c r="N919" s="1" t="s">
        <v>79</v>
      </c>
      <c r="O919" s="1" t="s">
        <v>74</v>
      </c>
      <c r="P919" s="1" t="s">
        <v>74</v>
      </c>
      <c r="Q919" s="1" t="s">
        <v>74</v>
      </c>
      <c r="R919" s="1" t="s">
        <v>74</v>
      </c>
      <c r="S919" s="1" t="s">
        <v>74</v>
      </c>
      <c r="T919" s="1" t="s">
        <v>15368</v>
      </c>
      <c r="U919" s="1" t="s">
        <v>15369</v>
      </c>
      <c r="V919" s="1" t="s">
        <v>15370</v>
      </c>
      <c r="W919" s="1" t="s">
        <v>15371</v>
      </c>
      <c r="X919" s="1" t="s">
        <v>15372</v>
      </c>
      <c r="Y919" s="1" t="s">
        <v>15373</v>
      </c>
      <c r="Z919" s="1" t="s">
        <v>15374</v>
      </c>
      <c r="AA919" s="1" t="s">
        <v>15375</v>
      </c>
      <c r="AB919" s="1" t="s">
        <v>15376</v>
      </c>
      <c r="AC919" s="1" t="s">
        <v>15377</v>
      </c>
      <c r="AD919" s="1" t="s">
        <v>15378</v>
      </c>
      <c r="AE919" s="1" t="s">
        <v>15379</v>
      </c>
      <c r="AF919" s="1" t="s">
        <v>74</v>
      </c>
      <c r="AG919" s="1">
        <v>71</v>
      </c>
      <c r="AH919" s="1">
        <v>11</v>
      </c>
      <c r="AI919" s="1">
        <v>12</v>
      </c>
      <c r="AJ919" s="1">
        <v>2</v>
      </c>
      <c r="AK919" s="1">
        <v>37</v>
      </c>
      <c r="AL919" s="1" t="s">
        <v>136</v>
      </c>
      <c r="AM919" s="1" t="s">
        <v>137</v>
      </c>
      <c r="AN919" s="1" t="s">
        <v>138</v>
      </c>
      <c r="AO919" s="1" t="s">
        <v>240</v>
      </c>
      <c r="AP919" s="1" t="s">
        <v>241</v>
      </c>
      <c r="AQ919" s="1" t="s">
        <v>74</v>
      </c>
      <c r="AR919" s="1" t="s">
        <v>242</v>
      </c>
      <c r="AS919" s="1" t="s">
        <v>243</v>
      </c>
      <c r="AT919" s="1" t="s">
        <v>170</v>
      </c>
      <c r="AU919" s="1">
        <v>2020</v>
      </c>
      <c r="AV919" s="1">
        <v>154</v>
      </c>
      <c r="AW919" s="1" t="s">
        <v>74</v>
      </c>
      <c r="AX919" s="1" t="s">
        <v>74</v>
      </c>
      <c r="AY919" s="1" t="s">
        <v>74</v>
      </c>
      <c r="AZ919" s="1" t="s">
        <v>74</v>
      </c>
      <c r="BA919" s="1" t="s">
        <v>74</v>
      </c>
      <c r="BB919" s="1" t="s">
        <v>74</v>
      </c>
      <c r="BC919" s="1" t="s">
        <v>74</v>
      </c>
      <c r="BD919" s="1">
        <v>111039</v>
      </c>
      <c r="BE919" s="1" t="s">
        <v>15380</v>
      </c>
      <c r="BF919" s="1" t="str">
        <f>HYPERLINK("http://dx.doi.org/10.1016/j.marpolbul.2020.111039","http://dx.doi.org/10.1016/j.marpolbul.2020.111039")</f>
        <v>http://dx.doi.org/10.1016/j.marpolbul.2020.111039</v>
      </c>
      <c r="BG919" s="1" t="s">
        <v>74</v>
      </c>
      <c r="BH919" s="1" t="s">
        <v>74</v>
      </c>
      <c r="BI919" s="1">
        <v>8</v>
      </c>
      <c r="BJ919" s="1" t="s">
        <v>247</v>
      </c>
      <c r="BK919" s="1" t="s">
        <v>96</v>
      </c>
      <c r="BL919" s="1" t="s">
        <v>248</v>
      </c>
      <c r="BM919" s="1" t="s">
        <v>15381</v>
      </c>
      <c r="BN919" s="1">
        <v>32174492</v>
      </c>
      <c r="BO919" s="1" t="s">
        <v>74</v>
      </c>
      <c r="BP919" s="1" t="s">
        <v>74</v>
      </c>
      <c r="BQ919" s="1" t="s">
        <v>74</v>
      </c>
      <c r="BR919" s="1" t="s">
        <v>98</v>
      </c>
      <c r="BS919" s="1" t="s">
        <v>15382</v>
      </c>
      <c r="BT919" s="1" t="str">
        <f>HYPERLINK("https%3A%2F%2Fwww.webofscience.com%2Fwos%2Fwoscc%2Ffull-record%2FWOS:000528205900014","View Full Record in Web of Science")</f>
        <v>View Full Record in Web of Science</v>
      </c>
    </row>
    <row r="920" spans="1:72">
      <c r="A920" s="1" t="s">
        <v>72</v>
      </c>
      <c r="B920" s="1" t="s">
        <v>15383</v>
      </c>
      <c r="C920" s="1" t="s">
        <v>74</v>
      </c>
      <c r="D920" s="1" t="s">
        <v>74</v>
      </c>
      <c r="E920" s="1" t="s">
        <v>74</v>
      </c>
      <c r="F920" s="1" t="s">
        <v>15383</v>
      </c>
      <c r="G920" s="1" t="s">
        <v>74</v>
      </c>
      <c r="H920" s="1" t="s">
        <v>74</v>
      </c>
      <c r="I920" s="1" t="s">
        <v>15384</v>
      </c>
      <c r="J920" s="1" t="s">
        <v>3926</v>
      </c>
      <c r="K920" s="1" t="s">
        <v>74</v>
      </c>
      <c r="L920" s="1" t="s">
        <v>74</v>
      </c>
      <c r="M920" s="1" t="s">
        <v>78</v>
      </c>
      <c r="N920" s="1" t="s">
        <v>79</v>
      </c>
      <c r="O920" s="1" t="s">
        <v>74</v>
      </c>
      <c r="P920" s="1" t="s">
        <v>74</v>
      </c>
      <c r="Q920" s="1" t="s">
        <v>74</v>
      </c>
      <c r="R920" s="1" t="s">
        <v>74</v>
      </c>
      <c r="S920" s="1" t="s">
        <v>74</v>
      </c>
      <c r="T920" s="1" t="s">
        <v>15385</v>
      </c>
      <c r="U920" s="1" t="s">
        <v>15386</v>
      </c>
      <c r="V920" s="1" t="s">
        <v>15387</v>
      </c>
      <c r="W920" s="1" t="s">
        <v>15388</v>
      </c>
      <c r="X920" s="1" t="s">
        <v>4020</v>
      </c>
      <c r="Y920" s="1" t="s">
        <v>15389</v>
      </c>
      <c r="Z920" s="1" t="s">
        <v>15390</v>
      </c>
      <c r="AA920" s="1" t="s">
        <v>5404</v>
      </c>
      <c r="AB920" s="1" t="s">
        <v>15391</v>
      </c>
      <c r="AC920" s="1" t="s">
        <v>74</v>
      </c>
      <c r="AD920" s="1" t="s">
        <v>74</v>
      </c>
      <c r="AE920" s="1" t="s">
        <v>74</v>
      </c>
      <c r="AF920" s="1" t="s">
        <v>74</v>
      </c>
      <c r="AG920" s="1">
        <v>21</v>
      </c>
      <c r="AH920" s="1">
        <v>59</v>
      </c>
      <c r="AI920" s="1">
        <v>64</v>
      </c>
      <c r="AJ920" s="1">
        <v>1</v>
      </c>
      <c r="AK920" s="1">
        <v>22</v>
      </c>
      <c r="AL920" s="1" t="s">
        <v>650</v>
      </c>
      <c r="AM920" s="1" t="s">
        <v>651</v>
      </c>
      <c r="AN920" s="1" t="s">
        <v>652</v>
      </c>
      <c r="AO920" s="1" t="s">
        <v>3939</v>
      </c>
      <c r="AP920" s="1" t="s">
        <v>3940</v>
      </c>
      <c r="AQ920" s="1" t="s">
        <v>74</v>
      </c>
      <c r="AR920" s="1" t="s">
        <v>3926</v>
      </c>
      <c r="AS920" s="1" t="s">
        <v>3941</v>
      </c>
      <c r="AT920" s="1" t="s">
        <v>15392</v>
      </c>
      <c r="AU920" s="1">
        <v>2004</v>
      </c>
      <c r="AV920" s="1">
        <v>230</v>
      </c>
      <c r="AW920" s="1" t="s">
        <v>721</v>
      </c>
      <c r="AX920" s="1" t="s">
        <v>74</v>
      </c>
      <c r="AY920" s="1" t="s">
        <v>74</v>
      </c>
      <c r="AZ920" s="1" t="s">
        <v>74</v>
      </c>
      <c r="BA920" s="1" t="s">
        <v>74</v>
      </c>
      <c r="BB920" s="1">
        <v>205</v>
      </c>
      <c r="BC920" s="1">
        <v>213</v>
      </c>
      <c r="BD920" s="1" t="s">
        <v>74</v>
      </c>
      <c r="BE920" s="1" t="s">
        <v>15393</v>
      </c>
      <c r="BF920" s="1" t="str">
        <f>HYPERLINK("http://dx.doi.org/10.1016/S0044-8486(03)00432-0","http://dx.doi.org/10.1016/S0044-8486(03)00432-0")</f>
        <v>http://dx.doi.org/10.1016/S0044-8486(03)00432-0</v>
      </c>
      <c r="BG920" s="1" t="s">
        <v>74</v>
      </c>
      <c r="BH920" s="1" t="s">
        <v>74</v>
      </c>
      <c r="BI920" s="1">
        <v>9</v>
      </c>
      <c r="BJ920" s="1" t="s">
        <v>2391</v>
      </c>
      <c r="BK920" s="1" t="s">
        <v>96</v>
      </c>
      <c r="BL920" s="1" t="s">
        <v>2391</v>
      </c>
      <c r="BM920" s="1" t="s">
        <v>15394</v>
      </c>
      <c r="BN920" s="1" t="s">
        <v>74</v>
      </c>
      <c r="BO920" s="1" t="s">
        <v>74</v>
      </c>
      <c r="BP920" s="1" t="s">
        <v>74</v>
      </c>
      <c r="BQ920" s="1" t="s">
        <v>74</v>
      </c>
      <c r="BR920" s="1" t="s">
        <v>98</v>
      </c>
      <c r="BS920" s="1" t="s">
        <v>15395</v>
      </c>
      <c r="BT920" s="1" t="str">
        <f>HYPERLINK("https%3A%2F%2Fwww.webofscience.com%2Fwos%2Fwoscc%2Ffull-record%2FWOS:000188602600017","View Full Record in Web of Science")</f>
        <v>View Full Record in Web of Science</v>
      </c>
    </row>
    <row r="921" spans="1:72">
      <c r="A921" s="1" t="s">
        <v>72</v>
      </c>
      <c r="B921" s="1" t="s">
        <v>15396</v>
      </c>
      <c r="C921" s="1" t="s">
        <v>74</v>
      </c>
      <c r="D921" s="1" t="s">
        <v>74</v>
      </c>
      <c r="E921" s="1" t="s">
        <v>74</v>
      </c>
      <c r="F921" s="1" t="s">
        <v>15396</v>
      </c>
      <c r="G921" s="1" t="s">
        <v>74</v>
      </c>
      <c r="H921" s="1" t="s">
        <v>74</v>
      </c>
      <c r="I921" s="1" t="s">
        <v>15397</v>
      </c>
      <c r="J921" s="1" t="s">
        <v>752</v>
      </c>
      <c r="K921" s="1" t="s">
        <v>74</v>
      </c>
      <c r="L921" s="1" t="s">
        <v>74</v>
      </c>
      <c r="M921" s="1" t="s">
        <v>78</v>
      </c>
      <c r="N921" s="1" t="s">
        <v>151</v>
      </c>
      <c r="O921" s="1" t="s">
        <v>15398</v>
      </c>
      <c r="P921" s="1" t="s">
        <v>15399</v>
      </c>
      <c r="Q921" s="1" t="s">
        <v>15400</v>
      </c>
      <c r="R921" s="1" t="s">
        <v>74</v>
      </c>
      <c r="S921" s="1" t="s">
        <v>15401</v>
      </c>
      <c r="T921" s="1" t="s">
        <v>74</v>
      </c>
      <c r="U921" s="1" t="s">
        <v>15402</v>
      </c>
      <c r="V921" s="1" t="s">
        <v>15403</v>
      </c>
      <c r="W921" s="1" t="s">
        <v>74</v>
      </c>
      <c r="X921" s="1" t="s">
        <v>74</v>
      </c>
      <c r="Y921" s="1" t="s">
        <v>15404</v>
      </c>
      <c r="Z921" s="1" t="s">
        <v>74</v>
      </c>
      <c r="AA921" s="1" t="s">
        <v>74</v>
      </c>
      <c r="AB921" s="1" t="s">
        <v>74</v>
      </c>
      <c r="AC921" s="1" t="s">
        <v>74</v>
      </c>
      <c r="AD921" s="1" t="s">
        <v>74</v>
      </c>
      <c r="AE921" s="1" t="s">
        <v>74</v>
      </c>
      <c r="AF921" s="1" t="s">
        <v>74</v>
      </c>
      <c r="AG921" s="1">
        <v>6</v>
      </c>
      <c r="AH921" s="1">
        <v>23</v>
      </c>
      <c r="AI921" s="1">
        <v>23</v>
      </c>
      <c r="AJ921" s="1">
        <v>0</v>
      </c>
      <c r="AK921" s="1">
        <v>3</v>
      </c>
      <c r="AL921" s="1" t="s">
        <v>430</v>
      </c>
      <c r="AM921" s="1" t="s">
        <v>137</v>
      </c>
      <c r="AN921" s="1" t="s">
        <v>1600</v>
      </c>
      <c r="AO921" s="1" t="s">
        <v>761</v>
      </c>
      <c r="AP921" s="1" t="s">
        <v>74</v>
      </c>
      <c r="AQ921" s="1" t="s">
        <v>74</v>
      </c>
      <c r="AR921" s="1" t="s">
        <v>763</v>
      </c>
      <c r="AS921" s="1" t="s">
        <v>764</v>
      </c>
      <c r="AT921" s="1" t="s">
        <v>74</v>
      </c>
      <c r="AU921" s="1">
        <v>1993</v>
      </c>
      <c r="AV921" s="1">
        <v>35</v>
      </c>
      <c r="AW921" s="1" t="s">
        <v>326</v>
      </c>
      <c r="AX921" s="1" t="s">
        <v>74</v>
      </c>
      <c r="AY921" s="1" t="s">
        <v>74</v>
      </c>
      <c r="AZ921" s="1" t="s">
        <v>74</v>
      </c>
      <c r="BA921" s="1" t="s">
        <v>74</v>
      </c>
      <c r="BB921" s="1">
        <v>35</v>
      </c>
      <c r="BC921" s="1">
        <v>39</v>
      </c>
      <c r="BD921" s="1" t="s">
        <v>74</v>
      </c>
      <c r="BE921" s="1" t="s">
        <v>15405</v>
      </c>
      <c r="BF921" s="1" t="str">
        <f>HYPERLINK("http://dx.doi.org/10.1016/0141-1136(93)90010-W","http://dx.doi.org/10.1016/0141-1136(93)90010-W")</f>
        <v>http://dx.doi.org/10.1016/0141-1136(93)90010-W</v>
      </c>
      <c r="BG921" s="1" t="s">
        <v>74</v>
      </c>
      <c r="BH921" s="1" t="s">
        <v>74</v>
      </c>
      <c r="BI921" s="1">
        <v>5</v>
      </c>
      <c r="BJ921" s="1" t="s">
        <v>768</v>
      </c>
      <c r="BK921" s="1" t="s">
        <v>588</v>
      </c>
      <c r="BL921" s="1" t="s">
        <v>769</v>
      </c>
      <c r="BM921" s="1" t="s">
        <v>15406</v>
      </c>
      <c r="BN921" s="1" t="s">
        <v>74</v>
      </c>
      <c r="BO921" s="1" t="s">
        <v>74</v>
      </c>
      <c r="BP921" s="1" t="s">
        <v>74</v>
      </c>
      <c r="BQ921" s="1" t="s">
        <v>74</v>
      </c>
      <c r="BR921" s="1" t="s">
        <v>98</v>
      </c>
      <c r="BS921" s="1" t="s">
        <v>15407</v>
      </c>
      <c r="BT921" s="1" t="str">
        <f>HYPERLINK("https%3A%2F%2Fwww.webofscience.com%2Fwos%2Fwoscc%2Ffull-record%2FWOS:A1993KJ06300008","View Full Record in Web of Science")</f>
        <v>View Full Record in Web of Science</v>
      </c>
    </row>
    <row r="922" spans="1:72">
      <c r="A922" s="1" t="s">
        <v>72</v>
      </c>
      <c r="B922" s="1" t="s">
        <v>15408</v>
      </c>
      <c r="C922" s="1" t="s">
        <v>74</v>
      </c>
      <c r="D922" s="1" t="s">
        <v>74</v>
      </c>
      <c r="E922" s="1" t="s">
        <v>74</v>
      </c>
      <c r="F922" s="1" t="s">
        <v>15408</v>
      </c>
      <c r="G922" s="1" t="s">
        <v>74</v>
      </c>
      <c r="H922" s="1" t="s">
        <v>74</v>
      </c>
      <c r="I922" s="1" t="s">
        <v>15409</v>
      </c>
      <c r="J922" s="1" t="s">
        <v>958</v>
      </c>
      <c r="K922" s="1" t="s">
        <v>74</v>
      </c>
      <c r="L922" s="1" t="s">
        <v>74</v>
      </c>
      <c r="M922" s="1" t="s">
        <v>78</v>
      </c>
      <c r="N922" s="1" t="s">
        <v>79</v>
      </c>
      <c r="O922" s="1" t="s">
        <v>74</v>
      </c>
      <c r="P922" s="1" t="s">
        <v>74</v>
      </c>
      <c r="Q922" s="1" t="s">
        <v>74</v>
      </c>
      <c r="R922" s="1" t="s">
        <v>74</v>
      </c>
      <c r="S922" s="1" t="s">
        <v>74</v>
      </c>
      <c r="T922" s="1" t="s">
        <v>15410</v>
      </c>
      <c r="U922" s="1" t="s">
        <v>15411</v>
      </c>
      <c r="V922" s="1" t="s">
        <v>15412</v>
      </c>
      <c r="W922" s="1" t="s">
        <v>15413</v>
      </c>
      <c r="X922" s="1" t="s">
        <v>15414</v>
      </c>
      <c r="Y922" s="1" t="s">
        <v>74</v>
      </c>
      <c r="Z922" s="1" t="s">
        <v>3249</v>
      </c>
      <c r="AA922" s="1" t="s">
        <v>74</v>
      </c>
      <c r="AB922" s="1" t="s">
        <v>15415</v>
      </c>
      <c r="AC922" s="1" t="s">
        <v>74</v>
      </c>
      <c r="AD922" s="1" t="s">
        <v>74</v>
      </c>
      <c r="AE922" s="1" t="s">
        <v>74</v>
      </c>
      <c r="AF922" s="1" t="s">
        <v>74</v>
      </c>
      <c r="AG922" s="1">
        <v>47</v>
      </c>
      <c r="AH922" s="1">
        <v>42</v>
      </c>
      <c r="AI922" s="1">
        <v>46</v>
      </c>
      <c r="AJ922" s="1">
        <v>0</v>
      </c>
      <c r="AK922" s="1">
        <v>18</v>
      </c>
      <c r="AL922" s="1" t="s">
        <v>86</v>
      </c>
      <c r="AM922" s="1" t="s">
        <v>87</v>
      </c>
      <c r="AN922" s="1" t="s">
        <v>88</v>
      </c>
      <c r="AO922" s="1" t="s">
        <v>967</v>
      </c>
      <c r="AP922" s="1" t="s">
        <v>968</v>
      </c>
      <c r="AQ922" s="1" t="s">
        <v>74</v>
      </c>
      <c r="AR922" s="1" t="s">
        <v>969</v>
      </c>
      <c r="AS922" s="1" t="s">
        <v>970</v>
      </c>
      <c r="AT922" s="1" t="s">
        <v>267</v>
      </c>
      <c r="AU922" s="1">
        <v>2003</v>
      </c>
      <c r="AV922" s="1">
        <v>18</v>
      </c>
      <c r="AW922" s="1">
        <v>5</v>
      </c>
      <c r="AX922" s="1" t="s">
        <v>74</v>
      </c>
      <c r="AY922" s="1" t="s">
        <v>74</v>
      </c>
      <c r="AZ922" s="1" t="s">
        <v>74</v>
      </c>
      <c r="BA922" s="1" t="s">
        <v>74</v>
      </c>
      <c r="BB922" s="1">
        <v>295</v>
      </c>
      <c r="BC922" s="1">
        <v>305</v>
      </c>
      <c r="BD922" s="1" t="s">
        <v>74</v>
      </c>
      <c r="BE922" s="1" t="s">
        <v>15416</v>
      </c>
      <c r="BF922" s="1" t="str">
        <f>HYPERLINK("http://dx.doi.org/10.1002/tox.10128","http://dx.doi.org/10.1002/tox.10128")</f>
        <v>http://dx.doi.org/10.1002/tox.10128</v>
      </c>
      <c r="BG922" s="1" t="s">
        <v>74</v>
      </c>
      <c r="BH922" s="1" t="s">
        <v>74</v>
      </c>
      <c r="BI922" s="1">
        <v>11</v>
      </c>
      <c r="BJ922" s="1" t="s">
        <v>972</v>
      </c>
      <c r="BK922" s="1" t="s">
        <v>96</v>
      </c>
      <c r="BL922" s="1" t="s">
        <v>973</v>
      </c>
      <c r="BM922" s="1" t="s">
        <v>15417</v>
      </c>
      <c r="BN922" s="1">
        <v>14502581</v>
      </c>
      <c r="BO922" s="1" t="s">
        <v>370</v>
      </c>
      <c r="BP922" s="1" t="s">
        <v>74</v>
      </c>
      <c r="BQ922" s="1" t="s">
        <v>74</v>
      </c>
      <c r="BR922" s="1" t="s">
        <v>98</v>
      </c>
      <c r="BS922" s="1" t="s">
        <v>15418</v>
      </c>
      <c r="BT922" s="1" t="str">
        <f>HYPERLINK("https%3A%2F%2Fwww.webofscience.com%2Fwos%2Fwoscc%2Ffull-record%2FWOS:000185697800004","View Full Record in Web of Science")</f>
        <v>View Full Record in Web of Science</v>
      </c>
    </row>
    <row r="923" spans="1:72">
      <c r="A923" s="1" t="s">
        <v>72</v>
      </c>
      <c r="B923" s="1" t="s">
        <v>15419</v>
      </c>
      <c r="C923" s="1" t="s">
        <v>74</v>
      </c>
      <c r="D923" s="1" t="s">
        <v>74</v>
      </c>
      <c r="E923" s="1" t="s">
        <v>74</v>
      </c>
      <c r="F923" s="1" t="s">
        <v>15420</v>
      </c>
      <c r="G923" s="1" t="s">
        <v>74</v>
      </c>
      <c r="H923" s="1" t="s">
        <v>74</v>
      </c>
      <c r="I923" s="1" t="s">
        <v>15421</v>
      </c>
      <c r="J923" s="1" t="s">
        <v>103</v>
      </c>
      <c r="K923" s="1" t="s">
        <v>74</v>
      </c>
      <c r="L923" s="1" t="s">
        <v>74</v>
      </c>
      <c r="M923" s="1" t="s">
        <v>78</v>
      </c>
      <c r="N923" s="1" t="s">
        <v>79</v>
      </c>
      <c r="O923" s="1" t="s">
        <v>74</v>
      </c>
      <c r="P923" s="1" t="s">
        <v>74</v>
      </c>
      <c r="Q923" s="1" t="s">
        <v>74</v>
      </c>
      <c r="R923" s="1" t="s">
        <v>74</v>
      </c>
      <c r="S923" s="1" t="s">
        <v>74</v>
      </c>
      <c r="T923" s="1" t="s">
        <v>15422</v>
      </c>
      <c r="U923" s="1" t="s">
        <v>15423</v>
      </c>
      <c r="V923" s="1" t="s">
        <v>15424</v>
      </c>
      <c r="W923" s="1" t="s">
        <v>15425</v>
      </c>
      <c r="X923" s="1" t="s">
        <v>15426</v>
      </c>
      <c r="Y923" s="1" t="s">
        <v>15427</v>
      </c>
      <c r="Z923" s="1" t="s">
        <v>15428</v>
      </c>
      <c r="AA923" s="1" t="s">
        <v>15429</v>
      </c>
      <c r="AB923" s="1" t="s">
        <v>15430</v>
      </c>
      <c r="AC923" s="1" t="s">
        <v>74</v>
      </c>
      <c r="AD923" s="1" t="s">
        <v>74</v>
      </c>
      <c r="AE923" s="1" t="s">
        <v>74</v>
      </c>
      <c r="AF923" s="1" t="s">
        <v>74</v>
      </c>
      <c r="AG923" s="1">
        <v>15</v>
      </c>
      <c r="AH923" s="1">
        <v>21</v>
      </c>
      <c r="AI923" s="1">
        <v>22</v>
      </c>
      <c r="AJ923" s="1">
        <v>1</v>
      </c>
      <c r="AK923" s="1">
        <v>69</v>
      </c>
      <c r="AL923" s="1" t="s">
        <v>112</v>
      </c>
      <c r="AM923" s="1" t="s">
        <v>113</v>
      </c>
      <c r="AN923" s="1" t="s">
        <v>469</v>
      </c>
      <c r="AO923" s="1" t="s">
        <v>115</v>
      </c>
      <c r="AP923" s="1" t="s">
        <v>116</v>
      </c>
      <c r="AQ923" s="1" t="s">
        <v>74</v>
      </c>
      <c r="AR923" s="1" t="s">
        <v>117</v>
      </c>
      <c r="AS923" s="1" t="s">
        <v>118</v>
      </c>
      <c r="AT923" s="1" t="s">
        <v>170</v>
      </c>
      <c r="AU923" s="1">
        <v>2013</v>
      </c>
      <c r="AV923" s="1">
        <v>90</v>
      </c>
      <c r="AW923" s="1">
        <v>5</v>
      </c>
      <c r="AX923" s="1" t="s">
        <v>74</v>
      </c>
      <c r="AY923" s="1" t="s">
        <v>74</v>
      </c>
      <c r="AZ923" s="1" t="s">
        <v>74</v>
      </c>
      <c r="BA923" s="1" t="s">
        <v>74</v>
      </c>
      <c r="BB923" s="1">
        <v>537</v>
      </c>
      <c r="BC923" s="1">
        <v>541</v>
      </c>
      <c r="BD923" s="1" t="s">
        <v>74</v>
      </c>
      <c r="BE923" s="1" t="s">
        <v>15431</v>
      </c>
      <c r="BF923" s="1" t="str">
        <f>HYPERLINK("http://dx.doi.org/10.1007/s00128-012-0957-4","http://dx.doi.org/10.1007/s00128-012-0957-4")</f>
        <v>http://dx.doi.org/10.1007/s00128-012-0957-4</v>
      </c>
      <c r="BG923" s="1" t="s">
        <v>74</v>
      </c>
      <c r="BH923" s="1" t="s">
        <v>74</v>
      </c>
      <c r="BI923" s="1">
        <v>5</v>
      </c>
      <c r="BJ923" s="1" t="s">
        <v>121</v>
      </c>
      <c r="BK923" s="1" t="s">
        <v>96</v>
      </c>
      <c r="BL923" s="1" t="s">
        <v>122</v>
      </c>
      <c r="BM923" s="1" t="s">
        <v>15432</v>
      </c>
      <c r="BN923" s="1">
        <v>23370694</v>
      </c>
      <c r="BO923" s="1" t="s">
        <v>1752</v>
      </c>
      <c r="BP923" s="1" t="s">
        <v>74</v>
      </c>
      <c r="BQ923" s="1" t="s">
        <v>74</v>
      </c>
      <c r="BR923" s="1" t="s">
        <v>98</v>
      </c>
      <c r="BS923" s="1" t="s">
        <v>15433</v>
      </c>
      <c r="BT923" s="1" t="str">
        <f>HYPERLINK("https%3A%2F%2Fwww.webofscience.com%2Fwos%2Fwoscc%2Ffull-record%2FWOS:000317074500005","View Full Record in Web of Science")</f>
        <v>View Full Record in Web of Science</v>
      </c>
    </row>
    <row r="924" spans="1:72">
      <c r="A924" s="1" t="s">
        <v>72</v>
      </c>
      <c r="B924" s="1" t="s">
        <v>15434</v>
      </c>
      <c r="C924" s="1" t="s">
        <v>74</v>
      </c>
      <c r="D924" s="1" t="s">
        <v>74</v>
      </c>
      <c r="E924" s="1" t="s">
        <v>74</v>
      </c>
      <c r="F924" s="1" t="s">
        <v>15435</v>
      </c>
      <c r="G924" s="1" t="s">
        <v>74</v>
      </c>
      <c r="H924" s="1" t="s">
        <v>74</v>
      </c>
      <c r="I924" s="1" t="s">
        <v>15436</v>
      </c>
      <c r="J924" s="1" t="s">
        <v>554</v>
      </c>
      <c r="K924" s="1" t="s">
        <v>74</v>
      </c>
      <c r="L924" s="1" t="s">
        <v>74</v>
      </c>
      <c r="M924" s="1" t="s">
        <v>78</v>
      </c>
      <c r="N924" s="1" t="s">
        <v>79</v>
      </c>
      <c r="O924" s="1" t="s">
        <v>74</v>
      </c>
      <c r="P924" s="1" t="s">
        <v>74</v>
      </c>
      <c r="Q924" s="1" t="s">
        <v>74</v>
      </c>
      <c r="R924" s="1" t="s">
        <v>74</v>
      </c>
      <c r="S924" s="1" t="s">
        <v>74</v>
      </c>
      <c r="T924" s="1" t="s">
        <v>15437</v>
      </c>
      <c r="U924" s="1" t="s">
        <v>15438</v>
      </c>
      <c r="V924" s="1" t="s">
        <v>15439</v>
      </c>
      <c r="W924" s="1" t="s">
        <v>15440</v>
      </c>
      <c r="X924" s="1" t="s">
        <v>14546</v>
      </c>
      <c r="Y924" s="1" t="s">
        <v>15441</v>
      </c>
      <c r="Z924" s="1" t="s">
        <v>15442</v>
      </c>
      <c r="AA924" s="1" t="s">
        <v>15443</v>
      </c>
      <c r="AB924" s="1" t="s">
        <v>15444</v>
      </c>
      <c r="AC924" s="1" t="s">
        <v>15445</v>
      </c>
      <c r="AD924" s="1" t="s">
        <v>15446</v>
      </c>
      <c r="AE924" s="1" t="s">
        <v>15447</v>
      </c>
      <c r="AF924" s="1" t="s">
        <v>74</v>
      </c>
      <c r="AG924" s="1">
        <v>71</v>
      </c>
      <c r="AH924" s="1">
        <v>24</v>
      </c>
      <c r="AI924" s="1">
        <v>25</v>
      </c>
      <c r="AJ924" s="1">
        <v>3</v>
      </c>
      <c r="AK924" s="1">
        <v>71</v>
      </c>
      <c r="AL924" s="1" t="s">
        <v>564</v>
      </c>
      <c r="AM924" s="1" t="s">
        <v>113</v>
      </c>
      <c r="AN924" s="1" t="s">
        <v>807</v>
      </c>
      <c r="AO924" s="1" t="s">
        <v>566</v>
      </c>
      <c r="AP924" s="1" t="s">
        <v>567</v>
      </c>
      <c r="AQ924" s="1" t="s">
        <v>74</v>
      </c>
      <c r="AR924" s="1" t="s">
        <v>568</v>
      </c>
      <c r="AS924" s="1" t="s">
        <v>569</v>
      </c>
      <c r="AT924" s="1" t="s">
        <v>2493</v>
      </c>
      <c r="AU924" s="1">
        <v>2016</v>
      </c>
      <c r="AV924" s="1">
        <v>183</v>
      </c>
      <c r="AW924" s="1" t="s">
        <v>74</v>
      </c>
      <c r="AX924" s="1" t="s">
        <v>74</v>
      </c>
      <c r="AY924" s="1" t="s">
        <v>74</v>
      </c>
      <c r="AZ924" s="1" t="s">
        <v>74</v>
      </c>
      <c r="BA924" s="1" t="s">
        <v>74</v>
      </c>
      <c r="BB924" s="1">
        <v>61</v>
      </c>
      <c r="BC924" s="1">
        <v>71</v>
      </c>
      <c r="BD924" s="1" t="s">
        <v>74</v>
      </c>
      <c r="BE924" s="1" t="s">
        <v>15448</v>
      </c>
      <c r="BF924" s="1" t="str">
        <f>HYPERLINK("http://dx.doi.org/10.1016/j.cbpc.2016.02.003","http://dx.doi.org/10.1016/j.cbpc.2016.02.003")</f>
        <v>http://dx.doi.org/10.1016/j.cbpc.2016.02.003</v>
      </c>
      <c r="BG924" s="1" t="s">
        <v>74</v>
      </c>
      <c r="BH924" s="1" t="s">
        <v>74</v>
      </c>
      <c r="BI924" s="1">
        <v>11</v>
      </c>
      <c r="BJ924" s="1" t="s">
        <v>571</v>
      </c>
      <c r="BK924" s="1" t="s">
        <v>96</v>
      </c>
      <c r="BL924" s="1" t="s">
        <v>571</v>
      </c>
      <c r="BM924" s="1" t="s">
        <v>15449</v>
      </c>
      <c r="BN924" s="1">
        <v>26899427</v>
      </c>
      <c r="BO924" s="1" t="s">
        <v>74</v>
      </c>
      <c r="BP924" s="1" t="s">
        <v>74</v>
      </c>
      <c r="BQ924" s="1" t="s">
        <v>74</v>
      </c>
      <c r="BR924" s="1" t="s">
        <v>98</v>
      </c>
      <c r="BS924" s="1" t="s">
        <v>15450</v>
      </c>
      <c r="BT924" s="1" t="str">
        <f>HYPERLINK("https%3A%2F%2Fwww.webofscience.com%2Fwos%2Fwoscc%2Ffull-record%2FWOS:000373413800008","View Full Record in Web of Science")</f>
        <v>View Full Record in Web of Science</v>
      </c>
    </row>
    <row r="925" spans="1:72">
      <c r="A925" s="1" t="s">
        <v>72</v>
      </c>
      <c r="B925" s="1" t="s">
        <v>15451</v>
      </c>
      <c r="C925" s="1" t="s">
        <v>74</v>
      </c>
      <c r="D925" s="1" t="s">
        <v>74</v>
      </c>
      <c r="E925" s="1" t="s">
        <v>74</v>
      </c>
      <c r="F925" s="1" t="s">
        <v>15451</v>
      </c>
      <c r="G925" s="1" t="s">
        <v>74</v>
      </c>
      <c r="H925" s="1" t="s">
        <v>74</v>
      </c>
      <c r="I925" s="1" t="s">
        <v>15452</v>
      </c>
      <c r="J925" s="1" t="s">
        <v>2894</v>
      </c>
      <c r="K925" s="1" t="s">
        <v>74</v>
      </c>
      <c r="L925" s="1" t="s">
        <v>74</v>
      </c>
      <c r="M925" s="1" t="s">
        <v>78</v>
      </c>
      <c r="N925" s="1" t="s">
        <v>79</v>
      </c>
      <c r="O925" s="1" t="s">
        <v>74</v>
      </c>
      <c r="P925" s="1" t="s">
        <v>74</v>
      </c>
      <c r="Q925" s="1" t="s">
        <v>74</v>
      </c>
      <c r="R925" s="1" t="s">
        <v>74</v>
      </c>
      <c r="S925" s="1" t="s">
        <v>74</v>
      </c>
      <c r="T925" s="1" t="s">
        <v>74</v>
      </c>
      <c r="U925" s="1" t="s">
        <v>74</v>
      </c>
      <c r="V925" s="1" t="s">
        <v>15453</v>
      </c>
      <c r="W925" s="1" t="s">
        <v>74</v>
      </c>
      <c r="X925" s="1" t="s">
        <v>74</v>
      </c>
      <c r="Y925" s="1" t="s">
        <v>15454</v>
      </c>
      <c r="Z925" s="1" t="s">
        <v>74</v>
      </c>
      <c r="AA925" s="1" t="s">
        <v>74</v>
      </c>
      <c r="AB925" s="1" t="s">
        <v>74</v>
      </c>
      <c r="AC925" s="1" t="s">
        <v>74</v>
      </c>
      <c r="AD925" s="1" t="s">
        <v>74</v>
      </c>
      <c r="AE925" s="1" t="s">
        <v>74</v>
      </c>
      <c r="AF925" s="1" t="s">
        <v>74</v>
      </c>
      <c r="AG925" s="1">
        <v>60</v>
      </c>
      <c r="AH925" s="1">
        <v>40</v>
      </c>
      <c r="AI925" s="1">
        <v>41</v>
      </c>
      <c r="AJ925" s="1">
        <v>0</v>
      </c>
      <c r="AK925" s="1">
        <v>4</v>
      </c>
      <c r="AL925" s="1" t="s">
        <v>2904</v>
      </c>
      <c r="AM925" s="1" t="s">
        <v>2905</v>
      </c>
      <c r="AN925" s="1" t="s">
        <v>2906</v>
      </c>
      <c r="AO925" s="1" t="s">
        <v>2907</v>
      </c>
      <c r="AP925" s="1" t="s">
        <v>5406</v>
      </c>
      <c r="AQ925" s="1" t="s">
        <v>74</v>
      </c>
      <c r="AR925" s="1" t="s">
        <v>2908</v>
      </c>
      <c r="AS925" s="1" t="s">
        <v>2909</v>
      </c>
      <c r="AT925" s="1" t="s">
        <v>74</v>
      </c>
      <c r="AU925" s="1">
        <v>1982</v>
      </c>
      <c r="AV925" s="1">
        <v>7</v>
      </c>
      <c r="AW925" s="1">
        <v>2</v>
      </c>
      <c r="AX925" s="1" t="s">
        <v>74</v>
      </c>
      <c r="AY925" s="1" t="s">
        <v>74</v>
      </c>
      <c r="AZ925" s="1" t="s">
        <v>74</v>
      </c>
      <c r="BA925" s="1" t="s">
        <v>74</v>
      </c>
      <c r="BB925" s="1">
        <v>191</v>
      </c>
      <c r="BC925" s="1">
        <v>206</v>
      </c>
      <c r="BD925" s="1" t="s">
        <v>74</v>
      </c>
      <c r="BE925" s="1" t="s">
        <v>15455</v>
      </c>
      <c r="BF925" s="1" t="str">
        <f>HYPERLINK("http://dx.doi.org/10.3354/meps007191","http://dx.doi.org/10.3354/meps007191")</f>
        <v>http://dx.doi.org/10.3354/meps007191</v>
      </c>
      <c r="BG925" s="1" t="s">
        <v>74</v>
      </c>
      <c r="BH925" s="1" t="s">
        <v>74</v>
      </c>
      <c r="BI925" s="1">
        <v>16</v>
      </c>
      <c r="BJ925" s="1" t="s">
        <v>2911</v>
      </c>
      <c r="BK925" s="1" t="s">
        <v>96</v>
      </c>
      <c r="BL925" s="1" t="s">
        <v>2912</v>
      </c>
      <c r="BM925" s="1" t="s">
        <v>15456</v>
      </c>
      <c r="BN925" s="1" t="s">
        <v>74</v>
      </c>
      <c r="BO925" s="1" t="s">
        <v>370</v>
      </c>
      <c r="BP925" s="1" t="s">
        <v>74</v>
      </c>
      <c r="BQ925" s="1" t="s">
        <v>74</v>
      </c>
      <c r="BR925" s="1" t="s">
        <v>98</v>
      </c>
      <c r="BS925" s="1" t="s">
        <v>15457</v>
      </c>
      <c r="BT925" s="1" t="str">
        <f>HYPERLINK("https%3A%2F%2Fwww.webofscience.com%2Fwos%2Fwoscc%2Ffull-record%2FWOS:A1982NB84400009","View Full Record in Web of Science")</f>
        <v>View Full Record in Web of Science</v>
      </c>
    </row>
    <row r="926" spans="1:72">
      <c r="A926" s="1" t="s">
        <v>72</v>
      </c>
      <c r="B926" s="1" t="s">
        <v>15458</v>
      </c>
      <c r="C926" s="1" t="s">
        <v>74</v>
      </c>
      <c r="D926" s="1" t="s">
        <v>74</v>
      </c>
      <c r="E926" s="1" t="s">
        <v>74</v>
      </c>
      <c r="F926" s="1" t="s">
        <v>15459</v>
      </c>
      <c r="G926" s="1" t="s">
        <v>74</v>
      </c>
      <c r="H926" s="1" t="s">
        <v>74</v>
      </c>
      <c r="I926" s="1" t="s">
        <v>15460</v>
      </c>
      <c r="J926" s="1" t="s">
        <v>421</v>
      </c>
      <c r="K926" s="1" t="s">
        <v>74</v>
      </c>
      <c r="L926" s="1" t="s">
        <v>74</v>
      </c>
      <c r="M926" s="1" t="s">
        <v>78</v>
      </c>
      <c r="N926" s="1" t="s">
        <v>79</v>
      </c>
      <c r="O926" s="1" t="s">
        <v>74</v>
      </c>
      <c r="P926" s="1" t="s">
        <v>74</v>
      </c>
      <c r="Q926" s="1" t="s">
        <v>74</v>
      </c>
      <c r="R926" s="1" t="s">
        <v>74</v>
      </c>
      <c r="S926" s="1" t="s">
        <v>74</v>
      </c>
      <c r="T926" s="1" t="s">
        <v>15461</v>
      </c>
      <c r="U926" s="1" t="s">
        <v>15462</v>
      </c>
      <c r="V926" s="1" t="s">
        <v>15463</v>
      </c>
      <c r="W926" s="1" t="s">
        <v>15464</v>
      </c>
      <c r="X926" s="1" t="s">
        <v>15465</v>
      </c>
      <c r="Y926" s="1" t="s">
        <v>15466</v>
      </c>
      <c r="Z926" s="1" t="s">
        <v>15467</v>
      </c>
      <c r="AA926" s="1" t="s">
        <v>15468</v>
      </c>
      <c r="AB926" s="1" t="s">
        <v>15469</v>
      </c>
      <c r="AC926" s="1" t="s">
        <v>15470</v>
      </c>
      <c r="AD926" s="1" t="s">
        <v>15471</v>
      </c>
      <c r="AE926" s="1" t="s">
        <v>15472</v>
      </c>
      <c r="AF926" s="1" t="s">
        <v>74</v>
      </c>
      <c r="AG926" s="1">
        <v>69</v>
      </c>
      <c r="AH926" s="1">
        <v>60</v>
      </c>
      <c r="AI926" s="1">
        <v>66</v>
      </c>
      <c r="AJ926" s="1">
        <v>4</v>
      </c>
      <c r="AK926" s="1">
        <v>141</v>
      </c>
      <c r="AL926" s="1" t="s">
        <v>430</v>
      </c>
      <c r="AM926" s="1" t="s">
        <v>137</v>
      </c>
      <c r="AN926" s="1" t="s">
        <v>431</v>
      </c>
      <c r="AO926" s="1" t="s">
        <v>432</v>
      </c>
      <c r="AP926" s="1" t="s">
        <v>1394</v>
      </c>
      <c r="AQ926" s="1" t="s">
        <v>74</v>
      </c>
      <c r="AR926" s="1" t="s">
        <v>433</v>
      </c>
      <c r="AS926" s="1" t="s">
        <v>434</v>
      </c>
      <c r="AT926" s="1" t="s">
        <v>951</v>
      </c>
      <c r="AU926" s="1">
        <v>2017</v>
      </c>
      <c r="AV926" s="1">
        <v>230</v>
      </c>
      <c r="AW926" s="1" t="s">
        <v>74</v>
      </c>
      <c r="AX926" s="1" t="s">
        <v>74</v>
      </c>
      <c r="AY926" s="1" t="s">
        <v>74</v>
      </c>
      <c r="AZ926" s="1" t="s">
        <v>74</v>
      </c>
      <c r="BA926" s="1" t="s">
        <v>74</v>
      </c>
      <c r="BB926" s="1">
        <v>311</v>
      </c>
      <c r="BC926" s="1">
        <v>319</v>
      </c>
      <c r="BD926" s="1" t="s">
        <v>74</v>
      </c>
      <c r="BE926" s="1" t="s">
        <v>15473</v>
      </c>
      <c r="BF926" s="1" t="str">
        <f>HYPERLINK("http://dx.doi.org/10.1016/J.envpol.2017.06.066","http://dx.doi.org/10.1016/J.envpol.2017.06.066")</f>
        <v>http://dx.doi.org/10.1016/J.envpol.2017.06.066</v>
      </c>
      <c r="BG926" s="1" t="s">
        <v>74</v>
      </c>
      <c r="BH926" s="1" t="s">
        <v>74</v>
      </c>
      <c r="BI926" s="1">
        <v>9</v>
      </c>
      <c r="BJ926" s="1" t="s">
        <v>144</v>
      </c>
      <c r="BK926" s="1" t="s">
        <v>96</v>
      </c>
      <c r="BL926" s="1" t="s">
        <v>145</v>
      </c>
      <c r="BM926" s="1" t="s">
        <v>15474</v>
      </c>
      <c r="BN926" s="1">
        <v>28667912</v>
      </c>
      <c r="BO926" s="1" t="s">
        <v>74</v>
      </c>
      <c r="BP926" s="1" t="s">
        <v>74</v>
      </c>
      <c r="BQ926" s="1" t="s">
        <v>74</v>
      </c>
      <c r="BR926" s="1" t="s">
        <v>98</v>
      </c>
      <c r="BS926" s="1" t="s">
        <v>15475</v>
      </c>
      <c r="BT926" s="1" t="str">
        <f>HYPERLINK("https%3A%2F%2Fwww.webofscience.com%2Fwos%2Fwoscc%2Ffull-record%2FWOS:000412250900033","View Full Record in Web of Science")</f>
        <v>View Full Record in Web of Science</v>
      </c>
    </row>
    <row r="927" spans="1:72">
      <c r="A927" s="1" t="s">
        <v>72</v>
      </c>
      <c r="B927" s="1" t="s">
        <v>15476</v>
      </c>
      <c r="C927" s="1" t="s">
        <v>74</v>
      </c>
      <c r="D927" s="1" t="s">
        <v>74</v>
      </c>
      <c r="E927" s="1" t="s">
        <v>74</v>
      </c>
      <c r="F927" s="1" t="s">
        <v>15477</v>
      </c>
      <c r="G927" s="1" t="s">
        <v>74</v>
      </c>
      <c r="H927" s="1" t="s">
        <v>74</v>
      </c>
      <c r="I927" s="1" t="s">
        <v>15478</v>
      </c>
      <c r="J927" s="1" t="s">
        <v>775</v>
      </c>
      <c r="K927" s="1" t="s">
        <v>74</v>
      </c>
      <c r="L927" s="1" t="s">
        <v>74</v>
      </c>
      <c r="M927" s="1" t="s">
        <v>78</v>
      </c>
      <c r="N927" s="1" t="s">
        <v>79</v>
      </c>
      <c r="O927" s="1" t="s">
        <v>74</v>
      </c>
      <c r="P927" s="1" t="s">
        <v>74</v>
      </c>
      <c r="Q927" s="1" t="s">
        <v>74</v>
      </c>
      <c r="R927" s="1" t="s">
        <v>74</v>
      </c>
      <c r="S927" s="1" t="s">
        <v>74</v>
      </c>
      <c r="T927" s="1" t="s">
        <v>15479</v>
      </c>
      <c r="U927" s="1" t="s">
        <v>15480</v>
      </c>
      <c r="V927" s="1" t="s">
        <v>15481</v>
      </c>
      <c r="W927" s="1" t="s">
        <v>15482</v>
      </c>
      <c r="X927" s="1" t="s">
        <v>5988</v>
      </c>
      <c r="Y927" s="1" t="s">
        <v>15483</v>
      </c>
      <c r="Z927" s="1" t="s">
        <v>74</v>
      </c>
      <c r="AA927" s="1" t="s">
        <v>15484</v>
      </c>
      <c r="AB927" s="1" t="s">
        <v>15485</v>
      </c>
      <c r="AC927" s="1" t="s">
        <v>74</v>
      </c>
      <c r="AD927" s="1" t="s">
        <v>74</v>
      </c>
      <c r="AE927" s="1" t="s">
        <v>74</v>
      </c>
      <c r="AF927" s="1" t="s">
        <v>74</v>
      </c>
      <c r="AG927" s="1">
        <v>36</v>
      </c>
      <c r="AH927" s="1">
        <v>25</v>
      </c>
      <c r="AI927" s="1">
        <v>27</v>
      </c>
      <c r="AJ927" s="1">
        <v>0</v>
      </c>
      <c r="AK927" s="1">
        <v>12</v>
      </c>
      <c r="AL927" s="1" t="s">
        <v>788</v>
      </c>
      <c r="AM927" s="1" t="s">
        <v>789</v>
      </c>
      <c r="AN927" s="1" t="s">
        <v>790</v>
      </c>
      <c r="AO927" s="1" t="s">
        <v>791</v>
      </c>
      <c r="AP927" s="1" t="s">
        <v>74</v>
      </c>
      <c r="AQ927" s="1" t="s">
        <v>74</v>
      </c>
      <c r="AR927" s="1" t="s">
        <v>792</v>
      </c>
      <c r="AS927" s="1" t="s">
        <v>793</v>
      </c>
      <c r="AT927" s="1" t="s">
        <v>142</v>
      </c>
      <c r="AU927" s="1">
        <v>2006</v>
      </c>
      <c r="AV927" s="1">
        <v>110</v>
      </c>
      <c r="AW927" s="1">
        <v>3</v>
      </c>
      <c r="AX927" s="1" t="s">
        <v>74</v>
      </c>
      <c r="AY927" s="1" t="s">
        <v>74</v>
      </c>
      <c r="AZ927" s="1" t="s">
        <v>74</v>
      </c>
      <c r="BA927" s="1" t="s">
        <v>74</v>
      </c>
      <c r="BB927" s="1">
        <v>275</v>
      </c>
      <c r="BC927" s="1">
        <v>287</v>
      </c>
      <c r="BD927" s="1" t="s">
        <v>74</v>
      </c>
      <c r="BE927" s="1" t="s">
        <v>15486</v>
      </c>
      <c r="BF927" s="1" t="str">
        <f>HYPERLINK("http://dx.doi.org/10.1385/BTER:110:3:275","http://dx.doi.org/10.1385/BTER:110:3:275")</f>
        <v>http://dx.doi.org/10.1385/BTER:110:3:275</v>
      </c>
      <c r="BG927" s="1" t="s">
        <v>74</v>
      </c>
      <c r="BH927" s="1" t="s">
        <v>74</v>
      </c>
      <c r="BI927" s="1">
        <v>13</v>
      </c>
      <c r="BJ927" s="1" t="s">
        <v>795</v>
      </c>
      <c r="BK927" s="1" t="s">
        <v>96</v>
      </c>
      <c r="BL927" s="1" t="s">
        <v>795</v>
      </c>
      <c r="BM927" s="1" t="s">
        <v>15487</v>
      </c>
      <c r="BN927" s="1">
        <v>16845163</v>
      </c>
      <c r="BO927" s="1" t="s">
        <v>74</v>
      </c>
      <c r="BP927" s="1" t="s">
        <v>74</v>
      </c>
      <c r="BQ927" s="1" t="s">
        <v>74</v>
      </c>
      <c r="BR927" s="1" t="s">
        <v>98</v>
      </c>
      <c r="BS927" s="1" t="s">
        <v>15488</v>
      </c>
      <c r="BT927" s="1" t="str">
        <f>HYPERLINK("https%3A%2F%2Fwww.webofscience.com%2Fwos%2Fwoscc%2Ffull-record%2FWOS:000238140600007","View Full Record in Web of Science")</f>
        <v>View Full Record in Web of Science</v>
      </c>
    </row>
    <row r="928" spans="1:72">
      <c r="A928" s="1" t="s">
        <v>72</v>
      </c>
      <c r="B928" s="1" t="s">
        <v>15489</v>
      </c>
      <c r="C928" s="1" t="s">
        <v>74</v>
      </c>
      <c r="D928" s="1" t="s">
        <v>74</v>
      </c>
      <c r="E928" s="1" t="s">
        <v>74</v>
      </c>
      <c r="F928" s="1" t="s">
        <v>15490</v>
      </c>
      <c r="G928" s="1" t="s">
        <v>74</v>
      </c>
      <c r="H928" s="1" t="s">
        <v>74</v>
      </c>
      <c r="I928" s="1" t="s">
        <v>15491</v>
      </c>
      <c r="J928" s="1" t="s">
        <v>232</v>
      </c>
      <c r="K928" s="1" t="s">
        <v>74</v>
      </c>
      <c r="L928" s="1" t="s">
        <v>74</v>
      </c>
      <c r="M928" s="1" t="s">
        <v>78</v>
      </c>
      <c r="N928" s="1" t="s">
        <v>79</v>
      </c>
      <c r="O928" s="1" t="s">
        <v>74</v>
      </c>
      <c r="P928" s="1" t="s">
        <v>74</v>
      </c>
      <c r="Q928" s="1" t="s">
        <v>74</v>
      </c>
      <c r="R928" s="1" t="s">
        <v>74</v>
      </c>
      <c r="S928" s="1" t="s">
        <v>74</v>
      </c>
      <c r="T928" s="1" t="s">
        <v>15492</v>
      </c>
      <c r="U928" s="1" t="s">
        <v>15493</v>
      </c>
      <c r="V928" s="1" t="s">
        <v>15494</v>
      </c>
      <c r="W928" s="1" t="s">
        <v>15495</v>
      </c>
      <c r="X928" s="1" t="s">
        <v>15496</v>
      </c>
      <c r="Y928" s="1" t="s">
        <v>15497</v>
      </c>
      <c r="Z928" s="1" t="s">
        <v>15498</v>
      </c>
      <c r="AA928" s="1" t="s">
        <v>15499</v>
      </c>
      <c r="AB928" s="1" t="s">
        <v>15500</v>
      </c>
      <c r="AC928" s="1" t="s">
        <v>15501</v>
      </c>
      <c r="AD928" s="1" t="s">
        <v>15502</v>
      </c>
      <c r="AE928" s="1" t="s">
        <v>15503</v>
      </c>
      <c r="AF928" s="1" t="s">
        <v>74</v>
      </c>
      <c r="AG928" s="1">
        <v>62</v>
      </c>
      <c r="AH928" s="1">
        <v>28</v>
      </c>
      <c r="AI928" s="1">
        <v>29</v>
      </c>
      <c r="AJ928" s="1">
        <v>3</v>
      </c>
      <c r="AK928" s="1">
        <v>39</v>
      </c>
      <c r="AL928" s="1" t="s">
        <v>136</v>
      </c>
      <c r="AM928" s="1" t="s">
        <v>137</v>
      </c>
      <c r="AN928" s="1" t="s">
        <v>138</v>
      </c>
      <c r="AO928" s="1" t="s">
        <v>240</v>
      </c>
      <c r="AP928" s="1" t="s">
        <v>241</v>
      </c>
      <c r="AQ928" s="1" t="s">
        <v>74</v>
      </c>
      <c r="AR928" s="1" t="s">
        <v>242</v>
      </c>
      <c r="AS928" s="1" t="s">
        <v>243</v>
      </c>
      <c r="AT928" s="1" t="s">
        <v>1856</v>
      </c>
      <c r="AU928" s="1">
        <v>2017</v>
      </c>
      <c r="AV928" s="1">
        <v>121</v>
      </c>
      <c r="AW928" s="1" t="s">
        <v>326</v>
      </c>
      <c r="AX928" s="1" t="s">
        <v>74</v>
      </c>
      <c r="AY928" s="1" t="s">
        <v>74</v>
      </c>
      <c r="AZ928" s="1" t="s">
        <v>74</v>
      </c>
      <c r="BA928" s="1" t="s">
        <v>74</v>
      </c>
      <c r="BB928" s="1">
        <v>260</v>
      </c>
      <c r="BC928" s="1">
        <v>273</v>
      </c>
      <c r="BD928" s="1" t="s">
        <v>74</v>
      </c>
      <c r="BE928" s="1" t="s">
        <v>15504</v>
      </c>
      <c r="BF928" s="1" t="str">
        <f>HYPERLINK("http://dx.doi.org/10.1016/j.marpolbul.2017.05.015","http://dx.doi.org/10.1016/j.marpolbul.2017.05.015")</f>
        <v>http://dx.doi.org/10.1016/j.marpolbul.2017.05.015</v>
      </c>
      <c r="BG928" s="1" t="s">
        <v>74</v>
      </c>
      <c r="BH928" s="1" t="s">
        <v>74</v>
      </c>
      <c r="BI928" s="1">
        <v>14</v>
      </c>
      <c r="BJ928" s="1" t="s">
        <v>247</v>
      </c>
      <c r="BK928" s="1" t="s">
        <v>96</v>
      </c>
      <c r="BL928" s="1" t="s">
        <v>248</v>
      </c>
      <c r="BM928" s="1" t="s">
        <v>15505</v>
      </c>
      <c r="BN928" s="1">
        <v>28619626</v>
      </c>
      <c r="BO928" s="1" t="s">
        <v>74</v>
      </c>
      <c r="BP928" s="1" t="s">
        <v>74</v>
      </c>
      <c r="BQ928" s="1" t="s">
        <v>74</v>
      </c>
      <c r="BR928" s="1" t="s">
        <v>98</v>
      </c>
      <c r="BS928" s="1" t="s">
        <v>15506</v>
      </c>
      <c r="BT928" s="1" t="str">
        <f>HYPERLINK("https%3A%2F%2Fwww.webofscience.com%2Fwos%2Fwoscc%2Ffull-record%2FWOS:000407529200040","View Full Record in Web of Science")</f>
        <v>View Full Record in Web of Science</v>
      </c>
    </row>
    <row r="929" spans="1:72">
      <c r="A929" s="1" t="s">
        <v>72</v>
      </c>
      <c r="B929" s="1" t="s">
        <v>15507</v>
      </c>
      <c r="C929" s="1" t="s">
        <v>74</v>
      </c>
      <c r="D929" s="1" t="s">
        <v>74</v>
      </c>
      <c r="E929" s="1" t="s">
        <v>74</v>
      </c>
      <c r="F929" s="1" t="s">
        <v>15508</v>
      </c>
      <c r="G929" s="1" t="s">
        <v>74</v>
      </c>
      <c r="H929" s="1" t="s">
        <v>74</v>
      </c>
      <c r="I929" s="1" t="s">
        <v>15509</v>
      </c>
      <c r="J929" s="1" t="s">
        <v>421</v>
      </c>
      <c r="K929" s="1" t="s">
        <v>74</v>
      </c>
      <c r="L929" s="1" t="s">
        <v>74</v>
      </c>
      <c r="M929" s="1" t="s">
        <v>78</v>
      </c>
      <c r="N929" s="1" t="s">
        <v>79</v>
      </c>
      <c r="O929" s="1" t="s">
        <v>74</v>
      </c>
      <c r="P929" s="1" t="s">
        <v>74</v>
      </c>
      <c r="Q929" s="1" t="s">
        <v>74</v>
      </c>
      <c r="R929" s="1" t="s">
        <v>74</v>
      </c>
      <c r="S929" s="1" t="s">
        <v>74</v>
      </c>
      <c r="T929" s="1" t="s">
        <v>74</v>
      </c>
      <c r="U929" s="1" t="s">
        <v>15510</v>
      </c>
      <c r="V929" s="1" t="s">
        <v>15511</v>
      </c>
      <c r="W929" s="1" t="s">
        <v>15512</v>
      </c>
      <c r="X929" s="1" t="s">
        <v>15513</v>
      </c>
      <c r="Y929" s="1" t="s">
        <v>15514</v>
      </c>
      <c r="Z929" s="1" t="s">
        <v>15515</v>
      </c>
      <c r="AA929" s="1" t="s">
        <v>15516</v>
      </c>
      <c r="AB929" s="1" t="s">
        <v>15517</v>
      </c>
      <c r="AC929" s="1" t="s">
        <v>15518</v>
      </c>
      <c r="AD929" s="1" t="s">
        <v>15519</v>
      </c>
      <c r="AE929" s="1" t="s">
        <v>15520</v>
      </c>
      <c r="AF929" s="1" t="s">
        <v>74</v>
      </c>
      <c r="AG929" s="1">
        <v>70</v>
      </c>
      <c r="AH929" s="1">
        <v>14</v>
      </c>
      <c r="AI929" s="1">
        <v>15</v>
      </c>
      <c r="AJ929" s="1">
        <v>0</v>
      </c>
      <c r="AK929" s="1">
        <v>51</v>
      </c>
      <c r="AL929" s="1" t="s">
        <v>430</v>
      </c>
      <c r="AM929" s="1" t="s">
        <v>137</v>
      </c>
      <c r="AN929" s="1" t="s">
        <v>431</v>
      </c>
      <c r="AO929" s="1" t="s">
        <v>432</v>
      </c>
      <c r="AP929" s="1" t="s">
        <v>1394</v>
      </c>
      <c r="AQ929" s="1" t="s">
        <v>74</v>
      </c>
      <c r="AR929" s="1" t="s">
        <v>433</v>
      </c>
      <c r="AS929" s="1" t="s">
        <v>434</v>
      </c>
      <c r="AT929" s="1" t="s">
        <v>197</v>
      </c>
      <c r="AU929" s="1">
        <v>2018</v>
      </c>
      <c r="AV929" s="1">
        <v>243</v>
      </c>
      <c r="AW929" s="1" t="s">
        <v>74</v>
      </c>
      <c r="AX929" s="1" t="s">
        <v>489</v>
      </c>
      <c r="AY929" s="1" t="s">
        <v>74</v>
      </c>
      <c r="AZ929" s="1" t="s">
        <v>74</v>
      </c>
      <c r="BA929" s="1" t="s">
        <v>74</v>
      </c>
      <c r="BB929" s="1">
        <v>777</v>
      </c>
      <c r="BC929" s="1">
        <v>789</v>
      </c>
      <c r="BD929" s="1" t="s">
        <v>74</v>
      </c>
      <c r="BE929" s="1" t="s">
        <v>15521</v>
      </c>
      <c r="BF929" s="1" t="str">
        <f>HYPERLINK("http://dx.doi.org/10.1016/j.envpol.2018.07.070","http://dx.doi.org/10.1016/j.envpol.2018.07.070")</f>
        <v>http://dx.doi.org/10.1016/j.envpol.2018.07.070</v>
      </c>
      <c r="BG929" s="1" t="s">
        <v>74</v>
      </c>
      <c r="BH929" s="1" t="s">
        <v>74</v>
      </c>
      <c r="BI929" s="1">
        <v>13</v>
      </c>
      <c r="BJ929" s="1" t="s">
        <v>144</v>
      </c>
      <c r="BK929" s="1" t="s">
        <v>96</v>
      </c>
      <c r="BL929" s="1" t="s">
        <v>145</v>
      </c>
      <c r="BM929" s="1" t="s">
        <v>5215</v>
      </c>
      <c r="BN929" s="1">
        <v>30224205</v>
      </c>
      <c r="BO929" s="1" t="s">
        <v>74</v>
      </c>
      <c r="BP929" s="1" t="s">
        <v>74</v>
      </c>
      <c r="BQ929" s="1" t="s">
        <v>74</v>
      </c>
      <c r="BR929" s="1" t="s">
        <v>98</v>
      </c>
      <c r="BS929" s="1" t="s">
        <v>15522</v>
      </c>
      <c r="BT929" s="1" t="str">
        <f>HYPERLINK("https%3A%2F%2Fwww.webofscience.com%2Fwos%2Fwoscc%2Ffull-record%2FWOS:000449891800085","View Full Record in Web of Science")</f>
        <v>View Full Record in Web of Science</v>
      </c>
    </row>
    <row r="930" spans="1:72">
      <c r="A930" s="1" t="s">
        <v>72</v>
      </c>
      <c r="B930" s="1" t="s">
        <v>15523</v>
      </c>
      <c r="C930" s="1" t="s">
        <v>74</v>
      </c>
      <c r="D930" s="1" t="s">
        <v>74</v>
      </c>
      <c r="E930" s="1" t="s">
        <v>74</v>
      </c>
      <c r="F930" s="1" t="s">
        <v>15524</v>
      </c>
      <c r="G930" s="1" t="s">
        <v>74</v>
      </c>
      <c r="H930" s="1" t="s">
        <v>74</v>
      </c>
      <c r="I930" s="1" t="s">
        <v>15525</v>
      </c>
      <c r="J930" s="1" t="s">
        <v>204</v>
      </c>
      <c r="K930" s="1" t="s">
        <v>74</v>
      </c>
      <c r="L930" s="1" t="s">
        <v>74</v>
      </c>
      <c r="M930" s="1" t="s">
        <v>78</v>
      </c>
      <c r="N930" s="1" t="s">
        <v>79</v>
      </c>
      <c r="O930" s="1" t="s">
        <v>74</v>
      </c>
      <c r="P930" s="1" t="s">
        <v>74</v>
      </c>
      <c r="Q930" s="1" t="s">
        <v>74</v>
      </c>
      <c r="R930" s="1" t="s">
        <v>74</v>
      </c>
      <c r="S930" s="1" t="s">
        <v>74</v>
      </c>
      <c r="T930" s="1" t="s">
        <v>15526</v>
      </c>
      <c r="U930" s="1" t="s">
        <v>15527</v>
      </c>
      <c r="V930" s="1" t="s">
        <v>15528</v>
      </c>
      <c r="W930" s="1" t="s">
        <v>15529</v>
      </c>
      <c r="X930" s="1" t="s">
        <v>15530</v>
      </c>
      <c r="Y930" s="1" t="s">
        <v>15531</v>
      </c>
      <c r="Z930" s="1" t="s">
        <v>15532</v>
      </c>
      <c r="AA930" s="1" t="s">
        <v>15533</v>
      </c>
      <c r="AB930" s="1" t="s">
        <v>15534</v>
      </c>
      <c r="AC930" s="1" t="s">
        <v>15535</v>
      </c>
      <c r="AD930" s="1" t="s">
        <v>15530</v>
      </c>
      <c r="AE930" s="1" t="s">
        <v>15536</v>
      </c>
      <c r="AF930" s="1" t="s">
        <v>74</v>
      </c>
      <c r="AG930" s="1">
        <v>56</v>
      </c>
      <c r="AH930" s="1">
        <v>18</v>
      </c>
      <c r="AI930" s="1">
        <v>18</v>
      </c>
      <c r="AJ930" s="1">
        <v>3</v>
      </c>
      <c r="AK930" s="1">
        <v>18</v>
      </c>
      <c r="AL930" s="1" t="s">
        <v>217</v>
      </c>
      <c r="AM930" s="1" t="s">
        <v>218</v>
      </c>
      <c r="AN930" s="1" t="s">
        <v>219</v>
      </c>
      <c r="AO930" s="1" t="s">
        <v>220</v>
      </c>
      <c r="AP930" s="1" t="s">
        <v>221</v>
      </c>
      <c r="AQ930" s="1" t="s">
        <v>74</v>
      </c>
      <c r="AR930" s="1" t="s">
        <v>222</v>
      </c>
      <c r="AS930" s="1" t="s">
        <v>223</v>
      </c>
      <c r="AT930" s="1" t="s">
        <v>267</v>
      </c>
      <c r="AU930" s="1">
        <v>2018</v>
      </c>
      <c r="AV930" s="1">
        <v>25</v>
      </c>
      <c r="AW930" s="1">
        <v>30</v>
      </c>
      <c r="AX930" s="1" t="s">
        <v>74</v>
      </c>
      <c r="AY930" s="1" t="s">
        <v>74</v>
      </c>
      <c r="AZ930" s="1" t="s">
        <v>225</v>
      </c>
      <c r="BA930" s="1" t="s">
        <v>74</v>
      </c>
      <c r="BB930" s="1">
        <v>30224</v>
      </c>
      <c r="BC930" s="1">
        <v>30235</v>
      </c>
      <c r="BD930" s="1" t="s">
        <v>74</v>
      </c>
      <c r="BE930" s="1" t="s">
        <v>15537</v>
      </c>
      <c r="BF930" s="1" t="str">
        <f>HYPERLINK("http://dx.doi.org/10.1007/s11356-018-3033-8","http://dx.doi.org/10.1007/s11356-018-3033-8")</f>
        <v>http://dx.doi.org/10.1007/s11356-018-3033-8</v>
      </c>
      <c r="BG930" s="1" t="s">
        <v>74</v>
      </c>
      <c r="BH930" s="1" t="s">
        <v>74</v>
      </c>
      <c r="BI930" s="1">
        <v>12</v>
      </c>
      <c r="BJ930" s="1" t="s">
        <v>144</v>
      </c>
      <c r="BK930" s="1" t="s">
        <v>96</v>
      </c>
      <c r="BL930" s="1" t="s">
        <v>145</v>
      </c>
      <c r="BM930" s="1" t="s">
        <v>15538</v>
      </c>
      <c r="BN930" s="1">
        <v>30155632</v>
      </c>
      <c r="BO930" s="1" t="s">
        <v>74</v>
      </c>
      <c r="BP930" s="1" t="s">
        <v>74</v>
      </c>
      <c r="BQ930" s="1" t="s">
        <v>74</v>
      </c>
      <c r="BR930" s="1" t="s">
        <v>98</v>
      </c>
      <c r="BS930" s="1" t="s">
        <v>15539</v>
      </c>
      <c r="BT930" s="1" t="str">
        <f>HYPERLINK("https%3A%2F%2Fwww.webofscience.com%2Fwos%2Fwoscc%2Ffull-record%2FWOS:000446844400044","View Full Record in Web of Science")</f>
        <v>View Full Record in Web of Science</v>
      </c>
    </row>
    <row r="931" spans="1:72">
      <c r="A931" s="1" t="s">
        <v>72</v>
      </c>
      <c r="B931" s="1" t="s">
        <v>15540</v>
      </c>
      <c r="C931" s="1" t="s">
        <v>74</v>
      </c>
      <c r="D931" s="1" t="s">
        <v>74</v>
      </c>
      <c r="E931" s="1" t="s">
        <v>74</v>
      </c>
      <c r="F931" s="1" t="s">
        <v>15541</v>
      </c>
      <c r="G931" s="1" t="s">
        <v>74</v>
      </c>
      <c r="H931" s="1" t="s">
        <v>74</v>
      </c>
      <c r="I931" s="1" t="s">
        <v>15542</v>
      </c>
      <c r="J931" s="1" t="s">
        <v>3349</v>
      </c>
      <c r="K931" s="1" t="s">
        <v>74</v>
      </c>
      <c r="L931" s="1" t="s">
        <v>74</v>
      </c>
      <c r="M931" s="1" t="s">
        <v>78</v>
      </c>
      <c r="N931" s="1" t="s">
        <v>79</v>
      </c>
      <c r="O931" s="1" t="s">
        <v>74</v>
      </c>
      <c r="P931" s="1" t="s">
        <v>74</v>
      </c>
      <c r="Q931" s="1" t="s">
        <v>74</v>
      </c>
      <c r="R931" s="1" t="s">
        <v>74</v>
      </c>
      <c r="S931" s="1" t="s">
        <v>74</v>
      </c>
      <c r="T931" s="1" t="s">
        <v>15543</v>
      </c>
      <c r="U931" s="1" t="s">
        <v>15544</v>
      </c>
      <c r="V931" s="1" t="s">
        <v>15545</v>
      </c>
      <c r="W931" s="1" t="s">
        <v>15546</v>
      </c>
      <c r="X931" s="1" t="s">
        <v>15547</v>
      </c>
      <c r="Y931" s="1" t="s">
        <v>7426</v>
      </c>
      <c r="Z931" s="1" t="s">
        <v>7427</v>
      </c>
      <c r="AA931" s="1" t="s">
        <v>15548</v>
      </c>
      <c r="AB931" s="1" t="s">
        <v>74</v>
      </c>
      <c r="AC931" s="1" t="s">
        <v>15549</v>
      </c>
      <c r="AD931" s="1" t="s">
        <v>525</v>
      </c>
      <c r="AE931" s="1" t="s">
        <v>15550</v>
      </c>
      <c r="AF931" s="1" t="s">
        <v>74</v>
      </c>
      <c r="AG931" s="1">
        <v>74</v>
      </c>
      <c r="AH931" s="1">
        <v>25</v>
      </c>
      <c r="AI931" s="1">
        <v>31</v>
      </c>
      <c r="AJ931" s="1">
        <v>7</v>
      </c>
      <c r="AK931" s="1">
        <v>59</v>
      </c>
      <c r="AL931" s="1" t="s">
        <v>3362</v>
      </c>
      <c r="AM931" s="1" t="s">
        <v>3363</v>
      </c>
      <c r="AN931" s="1" t="s">
        <v>3364</v>
      </c>
      <c r="AO931" s="1" t="s">
        <v>3365</v>
      </c>
      <c r="AP931" s="1" t="s">
        <v>3366</v>
      </c>
      <c r="AQ931" s="1" t="s">
        <v>74</v>
      </c>
      <c r="AR931" s="1" t="s">
        <v>3367</v>
      </c>
      <c r="AS931" s="1" t="s">
        <v>3368</v>
      </c>
      <c r="AT931" s="1" t="s">
        <v>93</v>
      </c>
      <c r="AU931" s="1">
        <v>2017</v>
      </c>
      <c r="AV931" s="1">
        <v>138</v>
      </c>
      <c r="AW931" s="1" t="s">
        <v>74</v>
      </c>
      <c r="AX931" s="1" t="s">
        <v>74</v>
      </c>
      <c r="AY931" s="1" t="s">
        <v>74</v>
      </c>
      <c r="AZ931" s="1" t="s">
        <v>74</v>
      </c>
      <c r="BA931" s="1" t="s">
        <v>74</v>
      </c>
      <c r="BB931" s="1">
        <v>130</v>
      </c>
      <c r="BC931" s="1">
        <v>138</v>
      </c>
      <c r="BD931" s="1" t="s">
        <v>74</v>
      </c>
      <c r="BE931" s="1" t="s">
        <v>15551</v>
      </c>
      <c r="BF931" s="1" t="str">
        <f>HYPERLINK("http://dx.doi.org/10.1016/j.ecoenv.2016.12.030","http://dx.doi.org/10.1016/j.ecoenv.2016.12.030")</f>
        <v>http://dx.doi.org/10.1016/j.ecoenv.2016.12.030</v>
      </c>
      <c r="BG931" s="1" t="s">
        <v>74</v>
      </c>
      <c r="BH931" s="1" t="s">
        <v>74</v>
      </c>
      <c r="BI931" s="1">
        <v>9</v>
      </c>
      <c r="BJ931" s="1" t="s">
        <v>121</v>
      </c>
      <c r="BK931" s="1" t="s">
        <v>96</v>
      </c>
      <c r="BL931" s="1" t="s">
        <v>122</v>
      </c>
      <c r="BM931" s="1" t="s">
        <v>15552</v>
      </c>
      <c r="BN931" s="1">
        <v>28040618</v>
      </c>
      <c r="BO931" s="1" t="s">
        <v>74</v>
      </c>
      <c r="BP931" s="1" t="s">
        <v>74</v>
      </c>
      <c r="BQ931" s="1" t="s">
        <v>74</v>
      </c>
      <c r="BR931" s="1" t="s">
        <v>98</v>
      </c>
      <c r="BS931" s="1" t="s">
        <v>15553</v>
      </c>
      <c r="BT931" s="1" t="str">
        <f>HYPERLINK("https%3A%2F%2Fwww.webofscience.com%2Fwos%2Fwoscc%2Ffull-record%2FWOS:000394561600018","View Full Record in Web of Science")</f>
        <v>View Full Record in Web of Science</v>
      </c>
    </row>
    <row r="932" spans="1:72">
      <c r="A932" s="1" t="s">
        <v>72</v>
      </c>
      <c r="B932" s="1" t="s">
        <v>15554</v>
      </c>
      <c r="C932" s="1" t="s">
        <v>74</v>
      </c>
      <c r="D932" s="1" t="s">
        <v>74</v>
      </c>
      <c r="E932" s="1" t="s">
        <v>74</v>
      </c>
      <c r="F932" s="1" t="s">
        <v>15555</v>
      </c>
      <c r="G932" s="1" t="s">
        <v>74</v>
      </c>
      <c r="H932" s="1" t="s">
        <v>74</v>
      </c>
      <c r="I932" s="1" t="s">
        <v>15556</v>
      </c>
      <c r="J932" s="1" t="s">
        <v>15557</v>
      </c>
      <c r="K932" s="1" t="s">
        <v>74</v>
      </c>
      <c r="L932" s="1" t="s">
        <v>74</v>
      </c>
      <c r="M932" s="1" t="s">
        <v>78</v>
      </c>
      <c r="N932" s="1" t="s">
        <v>79</v>
      </c>
      <c r="O932" s="1" t="s">
        <v>74</v>
      </c>
      <c r="P932" s="1" t="s">
        <v>74</v>
      </c>
      <c r="Q932" s="1" t="s">
        <v>74</v>
      </c>
      <c r="R932" s="1" t="s">
        <v>74</v>
      </c>
      <c r="S932" s="1" t="s">
        <v>74</v>
      </c>
      <c r="T932" s="1" t="s">
        <v>74</v>
      </c>
      <c r="U932" s="1" t="s">
        <v>15558</v>
      </c>
      <c r="V932" s="1" t="s">
        <v>15559</v>
      </c>
      <c r="W932" s="1" t="s">
        <v>15560</v>
      </c>
      <c r="X932" s="1" t="s">
        <v>15561</v>
      </c>
      <c r="Y932" s="1" t="s">
        <v>15562</v>
      </c>
      <c r="Z932" s="1" t="s">
        <v>15563</v>
      </c>
      <c r="AA932" s="1" t="s">
        <v>15564</v>
      </c>
      <c r="AB932" s="1" t="s">
        <v>15565</v>
      </c>
      <c r="AC932" s="1" t="s">
        <v>15566</v>
      </c>
      <c r="AD932" s="1" t="s">
        <v>15567</v>
      </c>
      <c r="AE932" s="1" t="s">
        <v>15568</v>
      </c>
      <c r="AF932" s="1" t="s">
        <v>74</v>
      </c>
      <c r="AG932" s="1">
        <v>47</v>
      </c>
      <c r="AH932" s="1">
        <v>39</v>
      </c>
      <c r="AI932" s="1">
        <v>47</v>
      </c>
      <c r="AJ932" s="1">
        <v>3</v>
      </c>
      <c r="AK932" s="1">
        <v>133</v>
      </c>
      <c r="AL932" s="1" t="s">
        <v>136</v>
      </c>
      <c r="AM932" s="1" t="s">
        <v>137</v>
      </c>
      <c r="AN932" s="1" t="s">
        <v>138</v>
      </c>
      <c r="AO932" s="1" t="s">
        <v>15569</v>
      </c>
      <c r="AP932" s="1" t="s">
        <v>15570</v>
      </c>
      <c r="AQ932" s="1" t="s">
        <v>74</v>
      </c>
      <c r="AR932" s="1" t="s">
        <v>15571</v>
      </c>
      <c r="AS932" s="1" t="s">
        <v>15572</v>
      </c>
      <c r="AT932" s="1" t="s">
        <v>546</v>
      </c>
      <c r="AU932" s="1">
        <v>2013</v>
      </c>
      <c r="AV932" s="1">
        <v>121</v>
      </c>
      <c r="AW932" s="1" t="s">
        <v>74</v>
      </c>
      <c r="AX932" s="1" t="s">
        <v>74</v>
      </c>
      <c r="AY932" s="1" t="s">
        <v>74</v>
      </c>
      <c r="AZ932" s="1" t="s">
        <v>74</v>
      </c>
      <c r="BA932" s="1" t="s">
        <v>74</v>
      </c>
      <c r="BB932" s="1">
        <v>155</v>
      </c>
      <c r="BC932" s="1">
        <v>167</v>
      </c>
      <c r="BD932" s="1" t="s">
        <v>74</v>
      </c>
      <c r="BE932" s="1" t="s">
        <v>15573</v>
      </c>
      <c r="BF932" s="1" t="str">
        <f>HYPERLINK("http://dx.doi.org/10.1016/j.gca.2013.07.005","http://dx.doi.org/10.1016/j.gca.2013.07.005")</f>
        <v>http://dx.doi.org/10.1016/j.gca.2013.07.005</v>
      </c>
      <c r="BG932" s="1" t="s">
        <v>74</v>
      </c>
      <c r="BH932" s="1" t="s">
        <v>74</v>
      </c>
      <c r="BI932" s="1">
        <v>13</v>
      </c>
      <c r="BJ932" s="1" t="s">
        <v>9863</v>
      </c>
      <c r="BK932" s="1" t="s">
        <v>96</v>
      </c>
      <c r="BL932" s="1" t="s">
        <v>9863</v>
      </c>
      <c r="BM932" s="1" t="s">
        <v>15574</v>
      </c>
      <c r="BN932" s="1" t="s">
        <v>74</v>
      </c>
      <c r="BO932" s="1" t="s">
        <v>74</v>
      </c>
      <c r="BP932" s="1" t="s">
        <v>74</v>
      </c>
      <c r="BQ932" s="1" t="s">
        <v>74</v>
      </c>
      <c r="BR932" s="1" t="s">
        <v>98</v>
      </c>
      <c r="BS932" s="1" t="s">
        <v>15575</v>
      </c>
      <c r="BT932" s="1" t="str">
        <f>HYPERLINK("https%3A%2F%2Fwww.webofscience.com%2Fwos%2Fwoscc%2Ffull-record%2FWOS:000325077100011","View Full Record in Web of Science")</f>
        <v>View Full Record in Web of Science</v>
      </c>
    </row>
    <row r="933" spans="1:72">
      <c r="A933" s="1" t="s">
        <v>72</v>
      </c>
      <c r="B933" s="1" t="s">
        <v>15576</v>
      </c>
      <c r="C933" s="1" t="s">
        <v>74</v>
      </c>
      <c r="D933" s="1" t="s">
        <v>74</v>
      </c>
      <c r="E933" s="1" t="s">
        <v>74</v>
      </c>
      <c r="F933" s="1" t="s">
        <v>15577</v>
      </c>
      <c r="G933" s="1" t="s">
        <v>74</v>
      </c>
      <c r="H933" s="1" t="s">
        <v>74</v>
      </c>
      <c r="I933" s="1" t="s">
        <v>15578</v>
      </c>
      <c r="J933" s="1" t="s">
        <v>15579</v>
      </c>
      <c r="K933" s="1" t="s">
        <v>74</v>
      </c>
      <c r="L933" s="1" t="s">
        <v>74</v>
      </c>
      <c r="M933" s="1" t="s">
        <v>78</v>
      </c>
      <c r="N933" s="1" t="s">
        <v>79</v>
      </c>
      <c r="O933" s="1" t="s">
        <v>74</v>
      </c>
      <c r="P933" s="1" t="s">
        <v>74</v>
      </c>
      <c r="Q933" s="1" t="s">
        <v>74</v>
      </c>
      <c r="R933" s="1" t="s">
        <v>74</v>
      </c>
      <c r="S933" s="1" t="s">
        <v>74</v>
      </c>
      <c r="T933" s="1" t="s">
        <v>15580</v>
      </c>
      <c r="U933" s="1" t="s">
        <v>15581</v>
      </c>
      <c r="V933" s="1" t="s">
        <v>15582</v>
      </c>
      <c r="W933" s="1" t="s">
        <v>15583</v>
      </c>
      <c r="X933" s="1" t="s">
        <v>10640</v>
      </c>
      <c r="Y933" s="1" t="s">
        <v>15584</v>
      </c>
      <c r="Z933" s="1" t="s">
        <v>15585</v>
      </c>
      <c r="AA933" s="1" t="s">
        <v>15586</v>
      </c>
      <c r="AB933" s="1" t="s">
        <v>74</v>
      </c>
      <c r="AC933" s="1" t="s">
        <v>12378</v>
      </c>
      <c r="AD933" s="1" t="s">
        <v>525</v>
      </c>
      <c r="AE933" s="1" t="s">
        <v>12379</v>
      </c>
      <c r="AF933" s="1" t="s">
        <v>74</v>
      </c>
      <c r="AG933" s="1">
        <v>61</v>
      </c>
      <c r="AH933" s="1">
        <v>0</v>
      </c>
      <c r="AI933" s="1">
        <v>0</v>
      </c>
      <c r="AJ933" s="1">
        <v>9</v>
      </c>
      <c r="AK933" s="1">
        <v>9</v>
      </c>
      <c r="AL933" s="1" t="s">
        <v>1566</v>
      </c>
      <c r="AM933" s="1" t="s">
        <v>1567</v>
      </c>
      <c r="AN933" s="1" t="s">
        <v>1568</v>
      </c>
      <c r="AO933" s="1" t="s">
        <v>15587</v>
      </c>
      <c r="AP933" s="1" t="s">
        <v>74</v>
      </c>
      <c r="AQ933" s="1" t="s">
        <v>74</v>
      </c>
      <c r="AR933" s="1" t="s">
        <v>15588</v>
      </c>
      <c r="AS933" s="1" t="s">
        <v>15589</v>
      </c>
      <c r="AT933" s="1" t="s">
        <v>1470</v>
      </c>
      <c r="AU933" s="1">
        <v>2024</v>
      </c>
      <c r="AV933" s="1">
        <v>14</v>
      </c>
      <c r="AW933" s="1">
        <v>2</v>
      </c>
      <c r="AX933" s="1" t="s">
        <v>74</v>
      </c>
      <c r="AY933" s="1" t="s">
        <v>74</v>
      </c>
      <c r="AZ933" s="1" t="s">
        <v>74</v>
      </c>
      <c r="BA933" s="1" t="s">
        <v>74</v>
      </c>
      <c r="BB933" s="1" t="s">
        <v>74</v>
      </c>
      <c r="BC933" s="1" t="s">
        <v>74</v>
      </c>
      <c r="BD933" s="1">
        <v>352</v>
      </c>
      <c r="BE933" s="1" t="s">
        <v>15590</v>
      </c>
      <c r="BF933" s="1" t="str">
        <f>HYPERLINK("http://dx.doi.org/10.3390/ani14020352","http://dx.doi.org/10.3390/ani14020352")</f>
        <v>http://dx.doi.org/10.3390/ani14020352</v>
      </c>
      <c r="BG933" s="1" t="s">
        <v>74</v>
      </c>
      <c r="BH933" s="1" t="s">
        <v>74</v>
      </c>
      <c r="BI933" s="1">
        <v>21</v>
      </c>
      <c r="BJ933" s="1" t="s">
        <v>15591</v>
      </c>
      <c r="BK933" s="1" t="s">
        <v>96</v>
      </c>
      <c r="BL933" s="1" t="s">
        <v>15592</v>
      </c>
      <c r="BM933" s="1" t="s">
        <v>15593</v>
      </c>
      <c r="BN933" s="1">
        <v>38275810</v>
      </c>
      <c r="BO933" s="1" t="s">
        <v>2155</v>
      </c>
      <c r="BP933" s="1" t="s">
        <v>74</v>
      </c>
      <c r="BQ933" s="1" t="s">
        <v>74</v>
      </c>
      <c r="BR933" s="1" t="s">
        <v>98</v>
      </c>
      <c r="BS933" s="1" t="s">
        <v>15594</v>
      </c>
      <c r="BT933" s="1" t="str">
        <f>HYPERLINK("https%3A%2F%2Fwww.webofscience.com%2Fwos%2Fwoscc%2Ffull-record%2FWOS:001151698100001","View Full Record in Web of Science")</f>
        <v>View Full Record in Web of Science</v>
      </c>
    </row>
    <row r="934" spans="1:72">
      <c r="A934" s="1" t="s">
        <v>72</v>
      </c>
      <c r="B934" s="1" t="s">
        <v>15595</v>
      </c>
      <c r="C934" s="1" t="s">
        <v>74</v>
      </c>
      <c r="D934" s="1" t="s">
        <v>74</v>
      </c>
      <c r="E934" s="1" t="s">
        <v>74</v>
      </c>
      <c r="F934" s="1" t="s">
        <v>15596</v>
      </c>
      <c r="G934" s="1" t="s">
        <v>74</v>
      </c>
      <c r="H934" s="1" t="s">
        <v>74</v>
      </c>
      <c r="I934" s="1" t="s">
        <v>15597</v>
      </c>
      <c r="J934" s="1" t="s">
        <v>909</v>
      </c>
      <c r="K934" s="1" t="s">
        <v>74</v>
      </c>
      <c r="L934" s="1" t="s">
        <v>74</v>
      </c>
      <c r="M934" s="1" t="s">
        <v>78</v>
      </c>
      <c r="N934" s="1" t="s">
        <v>79</v>
      </c>
      <c r="O934" s="1" t="s">
        <v>74</v>
      </c>
      <c r="P934" s="1" t="s">
        <v>74</v>
      </c>
      <c r="Q934" s="1" t="s">
        <v>74</v>
      </c>
      <c r="R934" s="1" t="s">
        <v>74</v>
      </c>
      <c r="S934" s="1" t="s">
        <v>74</v>
      </c>
      <c r="T934" s="1" t="s">
        <v>15598</v>
      </c>
      <c r="U934" s="1" t="s">
        <v>15599</v>
      </c>
      <c r="V934" s="1" t="s">
        <v>15600</v>
      </c>
      <c r="W934" s="1" t="s">
        <v>15601</v>
      </c>
      <c r="X934" s="1" t="s">
        <v>15602</v>
      </c>
      <c r="Y934" s="1" t="s">
        <v>15603</v>
      </c>
      <c r="Z934" s="1" t="s">
        <v>15604</v>
      </c>
      <c r="AA934" s="1" t="s">
        <v>15605</v>
      </c>
      <c r="AB934" s="1" t="s">
        <v>15606</v>
      </c>
      <c r="AC934" s="1" t="s">
        <v>15607</v>
      </c>
      <c r="AD934" s="1" t="s">
        <v>15608</v>
      </c>
      <c r="AE934" s="1" t="s">
        <v>15609</v>
      </c>
      <c r="AF934" s="1" t="s">
        <v>74</v>
      </c>
      <c r="AG934" s="1">
        <v>59</v>
      </c>
      <c r="AH934" s="1">
        <v>14</v>
      </c>
      <c r="AI934" s="1">
        <v>15</v>
      </c>
      <c r="AJ934" s="1">
        <v>0</v>
      </c>
      <c r="AK934" s="1">
        <v>27</v>
      </c>
      <c r="AL934" s="1" t="s">
        <v>919</v>
      </c>
      <c r="AM934" s="1" t="s">
        <v>651</v>
      </c>
      <c r="AN934" s="1" t="s">
        <v>920</v>
      </c>
      <c r="AO934" s="1" t="s">
        <v>921</v>
      </c>
      <c r="AP934" s="1" t="s">
        <v>922</v>
      </c>
      <c r="AQ934" s="1" t="s">
        <v>74</v>
      </c>
      <c r="AR934" s="1" t="s">
        <v>923</v>
      </c>
      <c r="AS934" s="1" t="s">
        <v>924</v>
      </c>
      <c r="AT934" s="1" t="s">
        <v>15610</v>
      </c>
      <c r="AU934" s="1">
        <v>2014</v>
      </c>
      <c r="AV934" s="1">
        <v>470</v>
      </c>
      <c r="AW934" s="1" t="s">
        <v>74</v>
      </c>
      <c r="AX934" s="1" t="s">
        <v>74</v>
      </c>
      <c r="AY934" s="1" t="s">
        <v>74</v>
      </c>
      <c r="AZ934" s="1" t="s">
        <v>74</v>
      </c>
      <c r="BA934" s="1" t="s">
        <v>74</v>
      </c>
      <c r="BB934" s="1">
        <v>159</v>
      </c>
      <c r="BC934" s="1">
        <v>170</v>
      </c>
      <c r="BD934" s="1" t="s">
        <v>74</v>
      </c>
      <c r="BE934" s="1" t="s">
        <v>15611</v>
      </c>
      <c r="BF934" s="1" t="str">
        <f>HYPERLINK("http://dx.doi.org/10.1016/j.scitotenv.2013.09.051","http://dx.doi.org/10.1016/j.scitotenv.2013.09.051")</f>
        <v>http://dx.doi.org/10.1016/j.scitotenv.2013.09.051</v>
      </c>
      <c r="BG934" s="1" t="s">
        <v>74</v>
      </c>
      <c r="BH934" s="1" t="s">
        <v>74</v>
      </c>
      <c r="BI934" s="1">
        <v>12</v>
      </c>
      <c r="BJ934" s="1" t="s">
        <v>144</v>
      </c>
      <c r="BK934" s="1" t="s">
        <v>96</v>
      </c>
      <c r="BL934" s="1" t="s">
        <v>145</v>
      </c>
      <c r="BM934" s="1" t="s">
        <v>15612</v>
      </c>
      <c r="BN934" s="1">
        <v>24135490</v>
      </c>
      <c r="BO934" s="1" t="s">
        <v>6830</v>
      </c>
      <c r="BP934" s="1" t="s">
        <v>74</v>
      </c>
      <c r="BQ934" s="1" t="s">
        <v>74</v>
      </c>
      <c r="BR934" s="1" t="s">
        <v>98</v>
      </c>
      <c r="BS934" s="1" t="s">
        <v>15613</v>
      </c>
      <c r="BT934" s="1" t="str">
        <f>HYPERLINK("https%3A%2F%2Fwww.webofscience.com%2Fwos%2Fwoscc%2Ffull-record%2FWOS:000331415600018","View Full Record in Web of Science")</f>
        <v>View Full Record in Web of Science</v>
      </c>
    </row>
    <row r="935" spans="1:72">
      <c r="A935" s="1" t="s">
        <v>72</v>
      </c>
      <c r="B935" s="1" t="s">
        <v>15614</v>
      </c>
      <c r="C935" s="1" t="s">
        <v>74</v>
      </c>
      <c r="D935" s="1" t="s">
        <v>74</v>
      </c>
      <c r="E935" s="1" t="s">
        <v>74</v>
      </c>
      <c r="F935" s="1" t="s">
        <v>15615</v>
      </c>
      <c r="G935" s="1" t="s">
        <v>74</v>
      </c>
      <c r="H935" s="1" t="s">
        <v>74</v>
      </c>
      <c r="I935" s="1" t="s">
        <v>15616</v>
      </c>
      <c r="J935" s="1" t="s">
        <v>103</v>
      </c>
      <c r="K935" s="1" t="s">
        <v>74</v>
      </c>
      <c r="L935" s="1" t="s">
        <v>74</v>
      </c>
      <c r="M935" s="1" t="s">
        <v>78</v>
      </c>
      <c r="N935" s="1" t="s">
        <v>79</v>
      </c>
      <c r="O935" s="1" t="s">
        <v>74</v>
      </c>
      <c r="P935" s="1" t="s">
        <v>74</v>
      </c>
      <c r="Q935" s="1" t="s">
        <v>74</v>
      </c>
      <c r="R935" s="1" t="s">
        <v>74</v>
      </c>
      <c r="S935" s="1" t="s">
        <v>74</v>
      </c>
      <c r="T935" s="1" t="s">
        <v>15617</v>
      </c>
      <c r="U935" s="1" t="s">
        <v>15618</v>
      </c>
      <c r="V935" s="1" t="s">
        <v>15619</v>
      </c>
      <c r="W935" s="1" t="s">
        <v>15620</v>
      </c>
      <c r="X935" s="1" t="s">
        <v>15621</v>
      </c>
      <c r="Y935" s="1" t="s">
        <v>15622</v>
      </c>
      <c r="Z935" s="1" t="s">
        <v>15623</v>
      </c>
      <c r="AA935" s="1" t="s">
        <v>74</v>
      </c>
      <c r="AB935" s="1" t="s">
        <v>74</v>
      </c>
      <c r="AC935" s="1" t="s">
        <v>15624</v>
      </c>
      <c r="AD935" s="1" t="s">
        <v>7905</v>
      </c>
      <c r="AE935" s="1" t="s">
        <v>15625</v>
      </c>
      <c r="AF935" s="1" t="s">
        <v>74</v>
      </c>
      <c r="AG935" s="1">
        <v>56</v>
      </c>
      <c r="AH935" s="1">
        <v>0</v>
      </c>
      <c r="AI935" s="1">
        <v>0</v>
      </c>
      <c r="AJ935" s="1">
        <v>0</v>
      </c>
      <c r="AK935" s="1">
        <v>0</v>
      </c>
      <c r="AL935" s="1" t="s">
        <v>112</v>
      </c>
      <c r="AM935" s="1" t="s">
        <v>113</v>
      </c>
      <c r="AN935" s="1" t="s">
        <v>114</v>
      </c>
      <c r="AO935" s="1" t="s">
        <v>115</v>
      </c>
      <c r="AP935" s="1" t="s">
        <v>116</v>
      </c>
      <c r="AQ935" s="1" t="s">
        <v>74</v>
      </c>
      <c r="AR935" s="1" t="s">
        <v>117</v>
      </c>
      <c r="AS935" s="1" t="s">
        <v>118</v>
      </c>
      <c r="AT935" s="1" t="s">
        <v>765</v>
      </c>
      <c r="AU935" s="1">
        <v>2024</v>
      </c>
      <c r="AV935" s="1">
        <v>113</v>
      </c>
      <c r="AW935" s="1">
        <v>1</v>
      </c>
      <c r="AX935" s="1" t="s">
        <v>74</v>
      </c>
      <c r="AY935" s="1" t="s">
        <v>74</v>
      </c>
      <c r="AZ935" s="1" t="s">
        <v>74</v>
      </c>
      <c r="BA935" s="1" t="s">
        <v>74</v>
      </c>
      <c r="BB935" s="1" t="s">
        <v>74</v>
      </c>
      <c r="BC935" s="1" t="s">
        <v>74</v>
      </c>
      <c r="BD935" s="1">
        <v>12</v>
      </c>
      <c r="BE935" s="1" t="s">
        <v>15626</v>
      </c>
      <c r="BF935" s="1" t="str">
        <f>HYPERLINK("http://dx.doi.org/10.1007/s00128-024-03923-9","http://dx.doi.org/10.1007/s00128-024-03923-9")</f>
        <v>http://dx.doi.org/10.1007/s00128-024-03923-9</v>
      </c>
      <c r="BG935" s="1" t="s">
        <v>74</v>
      </c>
      <c r="BH935" s="1" t="s">
        <v>74</v>
      </c>
      <c r="BI935" s="1">
        <v>9</v>
      </c>
      <c r="BJ935" s="1" t="s">
        <v>121</v>
      </c>
      <c r="BK935" s="1" t="s">
        <v>96</v>
      </c>
      <c r="BL935" s="1" t="s">
        <v>122</v>
      </c>
      <c r="BM935" s="1" t="s">
        <v>15627</v>
      </c>
      <c r="BN935" s="1">
        <v>39009950</v>
      </c>
      <c r="BO935" s="1" t="s">
        <v>74</v>
      </c>
      <c r="BP935" s="1" t="s">
        <v>74</v>
      </c>
      <c r="BQ935" s="1" t="s">
        <v>74</v>
      </c>
      <c r="BR935" s="1" t="s">
        <v>98</v>
      </c>
      <c r="BS935" s="1" t="s">
        <v>15628</v>
      </c>
      <c r="BT935" s="1" t="str">
        <f>HYPERLINK("https%3A%2F%2Fwww.webofscience.com%2Fwos%2Fwoscc%2Ffull-record%2FWOS:001272552600002","View Full Record in Web of Science")</f>
        <v>View Full Record in Web of Science</v>
      </c>
    </row>
    <row r="936" spans="1:72">
      <c r="A936" s="1" t="s">
        <v>72</v>
      </c>
      <c r="B936" s="1" t="s">
        <v>15629</v>
      </c>
      <c r="C936" s="1" t="s">
        <v>74</v>
      </c>
      <c r="D936" s="1" t="s">
        <v>74</v>
      </c>
      <c r="E936" s="1" t="s">
        <v>74</v>
      </c>
      <c r="F936" s="1" t="s">
        <v>15630</v>
      </c>
      <c r="G936" s="1" t="s">
        <v>74</v>
      </c>
      <c r="H936" s="1" t="s">
        <v>74</v>
      </c>
      <c r="I936" s="1" t="s">
        <v>15631</v>
      </c>
      <c r="J936" s="1" t="s">
        <v>909</v>
      </c>
      <c r="K936" s="1" t="s">
        <v>74</v>
      </c>
      <c r="L936" s="1" t="s">
        <v>74</v>
      </c>
      <c r="M936" s="1" t="s">
        <v>78</v>
      </c>
      <c r="N936" s="1" t="s">
        <v>79</v>
      </c>
      <c r="O936" s="1" t="s">
        <v>74</v>
      </c>
      <c r="P936" s="1" t="s">
        <v>74</v>
      </c>
      <c r="Q936" s="1" t="s">
        <v>74</v>
      </c>
      <c r="R936" s="1" t="s">
        <v>74</v>
      </c>
      <c r="S936" s="1" t="s">
        <v>74</v>
      </c>
      <c r="T936" s="1" t="s">
        <v>15632</v>
      </c>
      <c r="U936" s="1" t="s">
        <v>15633</v>
      </c>
      <c r="V936" s="1" t="s">
        <v>15634</v>
      </c>
      <c r="W936" s="1" t="s">
        <v>15635</v>
      </c>
      <c r="X936" s="1" t="s">
        <v>15636</v>
      </c>
      <c r="Y936" s="1" t="s">
        <v>15637</v>
      </c>
      <c r="Z936" s="1" t="s">
        <v>15638</v>
      </c>
      <c r="AA936" s="1" t="s">
        <v>15639</v>
      </c>
      <c r="AB936" s="1" t="s">
        <v>15640</v>
      </c>
      <c r="AC936" s="1" t="s">
        <v>15641</v>
      </c>
      <c r="AD936" s="1" t="s">
        <v>15642</v>
      </c>
      <c r="AE936" s="1" t="s">
        <v>15643</v>
      </c>
      <c r="AF936" s="1" t="s">
        <v>74</v>
      </c>
      <c r="AG936" s="1">
        <v>59</v>
      </c>
      <c r="AH936" s="1">
        <v>30</v>
      </c>
      <c r="AI936" s="1">
        <v>33</v>
      </c>
      <c r="AJ936" s="1">
        <v>9</v>
      </c>
      <c r="AK936" s="1">
        <v>103</v>
      </c>
      <c r="AL936" s="1" t="s">
        <v>650</v>
      </c>
      <c r="AM936" s="1" t="s">
        <v>651</v>
      </c>
      <c r="AN936" s="1" t="s">
        <v>652</v>
      </c>
      <c r="AO936" s="1" t="s">
        <v>921</v>
      </c>
      <c r="AP936" s="1" t="s">
        <v>922</v>
      </c>
      <c r="AQ936" s="1" t="s">
        <v>74</v>
      </c>
      <c r="AR936" s="1" t="s">
        <v>923</v>
      </c>
      <c r="AS936" s="1" t="s">
        <v>924</v>
      </c>
      <c r="AT936" s="1" t="s">
        <v>3752</v>
      </c>
      <c r="AU936" s="1">
        <v>2021</v>
      </c>
      <c r="AV936" s="1">
        <v>755</v>
      </c>
      <c r="AW936" s="1" t="s">
        <v>74</v>
      </c>
      <c r="AX936" s="1">
        <v>1</v>
      </c>
      <c r="AY936" s="1" t="s">
        <v>74</v>
      </c>
      <c r="AZ936" s="1" t="s">
        <v>74</v>
      </c>
      <c r="BA936" s="1" t="s">
        <v>74</v>
      </c>
      <c r="BB936" s="1" t="s">
        <v>74</v>
      </c>
      <c r="BC936" s="1" t="s">
        <v>74</v>
      </c>
      <c r="BD936" s="1">
        <v>143019</v>
      </c>
      <c r="BE936" s="1" t="s">
        <v>15644</v>
      </c>
      <c r="BF936" s="1" t="str">
        <f>HYPERLINK("http://dx.doi.org/10.1016/j.scitotenv.2020.143019","http://dx.doi.org/10.1016/j.scitotenv.2020.143019")</f>
        <v>http://dx.doi.org/10.1016/j.scitotenv.2020.143019</v>
      </c>
      <c r="BG936" s="1" t="s">
        <v>74</v>
      </c>
      <c r="BH936" s="1" t="s">
        <v>74</v>
      </c>
      <c r="BI936" s="1">
        <v>10</v>
      </c>
      <c r="BJ936" s="1" t="s">
        <v>144</v>
      </c>
      <c r="BK936" s="1" t="s">
        <v>96</v>
      </c>
      <c r="BL936" s="1" t="s">
        <v>145</v>
      </c>
      <c r="BM936" s="1" t="s">
        <v>15645</v>
      </c>
      <c r="BN936" s="1">
        <v>33160677</v>
      </c>
      <c r="BO936" s="1" t="s">
        <v>15646</v>
      </c>
      <c r="BP936" s="1" t="s">
        <v>74</v>
      </c>
      <c r="BQ936" s="1" t="s">
        <v>74</v>
      </c>
      <c r="BR936" s="1" t="s">
        <v>98</v>
      </c>
      <c r="BS936" s="1" t="s">
        <v>15647</v>
      </c>
      <c r="BT936" s="1" t="str">
        <f>HYPERLINK("https%3A%2F%2Fwww.webofscience.com%2Fwos%2Fwoscc%2Ffull-record%2FWOS:000600537400045","View Full Record in Web of Science")</f>
        <v>View Full Record in Web of Science</v>
      </c>
    </row>
    <row r="937" spans="1:72">
      <c r="A937" s="1" t="s">
        <v>72</v>
      </c>
      <c r="B937" s="1" t="s">
        <v>15648</v>
      </c>
      <c r="C937" s="1" t="s">
        <v>74</v>
      </c>
      <c r="D937" s="1" t="s">
        <v>74</v>
      </c>
      <c r="E937" s="1" t="s">
        <v>74</v>
      </c>
      <c r="F937" s="1" t="s">
        <v>15648</v>
      </c>
      <c r="G937" s="1" t="s">
        <v>74</v>
      </c>
      <c r="H937" s="1" t="s">
        <v>74</v>
      </c>
      <c r="I937" s="1" t="s">
        <v>15649</v>
      </c>
      <c r="J937" s="1" t="s">
        <v>704</v>
      </c>
      <c r="K937" s="1" t="s">
        <v>74</v>
      </c>
      <c r="L937" s="1" t="s">
        <v>74</v>
      </c>
      <c r="M937" s="1" t="s">
        <v>78</v>
      </c>
      <c r="N937" s="1" t="s">
        <v>79</v>
      </c>
      <c r="O937" s="1" t="s">
        <v>74</v>
      </c>
      <c r="P937" s="1" t="s">
        <v>74</v>
      </c>
      <c r="Q937" s="1" t="s">
        <v>74</v>
      </c>
      <c r="R937" s="1" t="s">
        <v>74</v>
      </c>
      <c r="S937" s="1" t="s">
        <v>74</v>
      </c>
      <c r="T937" s="1" t="s">
        <v>15650</v>
      </c>
      <c r="U937" s="1" t="s">
        <v>74</v>
      </c>
      <c r="V937" s="1" t="s">
        <v>15651</v>
      </c>
      <c r="W937" s="1" t="s">
        <v>15652</v>
      </c>
      <c r="X937" s="1" t="s">
        <v>15653</v>
      </c>
      <c r="Y937" s="1" t="s">
        <v>15654</v>
      </c>
      <c r="Z937" s="1" t="s">
        <v>74</v>
      </c>
      <c r="AA937" s="1" t="s">
        <v>74</v>
      </c>
      <c r="AB937" s="1" t="s">
        <v>74</v>
      </c>
      <c r="AC937" s="1" t="s">
        <v>74</v>
      </c>
      <c r="AD937" s="1" t="s">
        <v>74</v>
      </c>
      <c r="AE937" s="1" t="s">
        <v>74</v>
      </c>
      <c r="AF937" s="1" t="s">
        <v>74</v>
      </c>
      <c r="AG937" s="1">
        <v>66</v>
      </c>
      <c r="AH937" s="1">
        <v>15</v>
      </c>
      <c r="AI937" s="1">
        <v>16</v>
      </c>
      <c r="AJ937" s="1">
        <v>0</v>
      </c>
      <c r="AK937" s="1">
        <v>14</v>
      </c>
      <c r="AL937" s="1" t="s">
        <v>716</v>
      </c>
      <c r="AM937" s="1" t="s">
        <v>191</v>
      </c>
      <c r="AN937" s="1" t="s">
        <v>192</v>
      </c>
      <c r="AO937" s="1" t="s">
        <v>718</v>
      </c>
      <c r="AP937" s="1" t="s">
        <v>74</v>
      </c>
      <c r="AQ937" s="1" t="s">
        <v>74</v>
      </c>
      <c r="AR937" s="1" t="s">
        <v>719</v>
      </c>
      <c r="AS937" s="1" t="s">
        <v>720</v>
      </c>
      <c r="AT937" s="1" t="s">
        <v>224</v>
      </c>
      <c r="AU937" s="1">
        <v>2002</v>
      </c>
      <c r="AV937" s="1">
        <v>134</v>
      </c>
      <c r="AW937" s="1" t="s">
        <v>721</v>
      </c>
      <c r="AX937" s="1" t="s">
        <v>74</v>
      </c>
      <c r="AY937" s="1" t="s">
        <v>74</v>
      </c>
      <c r="AZ937" s="1" t="s">
        <v>74</v>
      </c>
      <c r="BA937" s="1" t="s">
        <v>74</v>
      </c>
      <c r="BB937" s="1">
        <v>1</v>
      </c>
      <c r="BC937" s="1">
        <v>39</v>
      </c>
      <c r="BD937" s="1" t="s">
        <v>74</v>
      </c>
      <c r="BE937" s="1" t="s">
        <v>15655</v>
      </c>
      <c r="BF937" s="1" t="str">
        <f>HYPERLINK("http://dx.doi.org/10.1023/A:1014191519871","http://dx.doi.org/10.1023/A:1014191519871")</f>
        <v>http://dx.doi.org/10.1023/A:1014191519871</v>
      </c>
      <c r="BG937" s="1" t="s">
        <v>74</v>
      </c>
      <c r="BH937" s="1" t="s">
        <v>74</v>
      </c>
      <c r="BI937" s="1">
        <v>39</v>
      </c>
      <c r="BJ937" s="1" t="s">
        <v>722</v>
      </c>
      <c r="BK937" s="1" t="s">
        <v>96</v>
      </c>
      <c r="BL937" s="1" t="s">
        <v>723</v>
      </c>
      <c r="BM937" s="1" t="s">
        <v>4591</v>
      </c>
      <c r="BN937" s="1" t="s">
        <v>74</v>
      </c>
      <c r="BO937" s="1" t="s">
        <v>74</v>
      </c>
      <c r="BP937" s="1" t="s">
        <v>74</v>
      </c>
      <c r="BQ937" s="1" t="s">
        <v>74</v>
      </c>
      <c r="BR937" s="1" t="s">
        <v>98</v>
      </c>
      <c r="BS937" s="1" t="s">
        <v>15656</v>
      </c>
      <c r="BT937" s="1" t="str">
        <f>HYPERLINK("https%3A%2F%2Fwww.webofscience.com%2Fwos%2Fwoscc%2Ffull-record%2FWOS:000173803800001","View Full Record in Web of Science")</f>
        <v>View Full Record in Web of Science</v>
      </c>
    </row>
    <row r="938" spans="1:72">
      <c r="A938" s="1" t="s">
        <v>72</v>
      </c>
      <c r="B938" s="1" t="s">
        <v>15657</v>
      </c>
      <c r="C938" s="1" t="s">
        <v>74</v>
      </c>
      <c r="D938" s="1" t="s">
        <v>74</v>
      </c>
      <c r="E938" s="1" t="s">
        <v>74</v>
      </c>
      <c r="F938" s="1" t="s">
        <v>15658</v>
      </c>
      <c r="G938" s="1" t="s">
        <v>74</v>
      </c>
      <c r="H938" s="1" t="s">
        <v>74</v>
      </c>
      <c r="I938" s="1" t="s">
        <v>15659</v>
      </c>
      <c r="J938" s="1" t="s">
        <v>4909</v>
      </c>
      <c r="K938" s="1" t="s">
        <v>74</v>
      </c>
      <c r="L938" s="1" t="s">
        <v>74</v>
      </c>
      <c r="M938" s="1" t="s">
        <v>78</v>
      </c>
      <c r="N938" s="1" t="s">
        <v>79</v>
      </c>
      <c r="O938" s="1" t="s">
        <v>74</v>
      </c>
      <c r="P938" s="1" t="s">
        <v>74</v>
      </c>
      <c r="Q938" s="1" t="s">
        <v>74</v>
      </c>
      <c r="R938" s="1" t="s">
        <v>74</v>
      </c>
      <c r="S938" s="1" t="s">
        <v>74</v>
      </c>
      <c r="T938" s="1" t="s">
        <v>15660</v>
      </c>
      <c r="U938" s="1" t="s">
        <v>15661</v>
      </c>
      <c r="V938" s="1" t="s">
        <v>15662</v>
      </c>
      <c r="W938" s="1" t="s">
        <v>15663</v>
      </c>
      <c r="X938" s="1" t="s">
        <v>15664</v>
      </c>
      <c r="Y938" s="1" t="s">
        <v>15665</v>
      </c>
      <c r="Z938" s="1" t="s">
        <v>15666</v>
      </c>
      <c r="AA938" s="1" t="s">
        <v>74</v>
      </c>
      <c r="AB938" s="1" t="s">
        <v>74</v>
      </c>
      <c r="AC938" s="1" t="s">
        <v>15667</v>
      </c>
      <c r="AD938" s="1" t="s">
        <v>525</v>
      </c>
      <c r="AE938" s="1" t="s">
        <v>15668</v>
      </c>
      <c r="AF938" s="1" t="s">
        <v>74</v>
      </c>
      <c r="AG938" s="1">
        <v>40</v>
      </c>
      <c r="AH938" s="1">
        <v>16</v>
      </c>
      <c r="AI938" s="1">
        <v>16</v>
      </c>
      <c r="AJ938" s="1">
        <v>4</v>
      </c>
      <c r="AK938" s="1">
        <v>101</v>
      </c>
      <c r="AL938" s="1" t="s">
        <v>408</v>
      </c>
      <c r="AM938" s="1" t="s">
        <v>409</v>
      </c>
      <c r="AN938" s="1" t="s">
        <v>1188</v>
      </c>
      <c r="AO938" s="1" t="s">
        <v>4917</v>
      </c>
      <c r="AP938" s="1" t="s">
        <v>4918</v>
      </c>
      <c r="AQ938" s="1" t="s">
        <v>74</v>
      </c>
      <c r="AR938" s="1" t="s">
        <v>4919</v>
      </c>
      <c r="AS938" s="1" t="s">
        <v>4920</v>
      </c>
      <c r="AT938" s="1" t="s">
        <v>15669</v>
      </c>
      <c r="AU938" s="1">
        <v>2016</v>
      </c>
      <c r="AV938" s="1">
        <v>22</v>
      </c>
      <c r="AW938" s="1">
        <v>3</v>
      </c>
      <c r="AX938" s="1" t="s">
        <v>74</v>
      </c>
      <c r="AY938" s="1" t="s">
        <v>74</v>
      </c>
      <c r="AZ938" s="1" t="s">
        <v>74</v>
      </c>
      <c r="BA938" s="1" t="s">
        <v>74</v>
      </c>
      <c r="BB938" s="1">
        <v>693</v>
      </c>
      <c r="BC938" s="1">
        <v>705</v>
      </c>
      <c r="BD938" s="1" t="s">
        <v>74</v>
      </c>
      <c r="BE938" s="1" t="s">
        <v>15670</v>
      </c>
      <c r="BF938" s="1" t="str">
        <f>HYPERLINK("http://dx.doi.org/10.1080/10807039.2015.1104626","http://dx.doi.org/10.1080/10807039.2015.1104626")</f>
        <v>http://dx.doi.org/10.1080/10807039.2015.1104626</v>
      </c>
      <c r="BG938" s="1" t="s">
        <v>74</v>
      </c>
      <c r="BH938" s="1" t="s">
        <v>74</v>
      </c>
      <c r="BI938" s="1">
        <v>13</v>
      </c>
      <c r="BJ938" s="1" t="s">
        <v>4923</v>
      </c>
      <c r="BK938" s="1" t="s">
        <v>96</v>
      </c>
      <c r="BL938" s="1" t="s">
        <v>4924</v>
      </c>
      <c r="BM938" s="1" t="s">
        <v>15671</v>
      </c>
      <c r="BN938" s="1" t="s">
        <v>74</v>
      </c>
      <c r="BO938" s="1" t="s">
        <v>74</v>
      </c>
      <c r="BP938" s="1" t="s">
        <v>74</v>
      </c>
      <c r="BQ938" s="1" t="s">
        <v>74</v>
      </c>
      <c r="BR938" s="1" t="s">
        <v>98</v>
      </c>
      <c r="BS938" s="1" t="s">
        <v>15672</v>
      </c>
      <c r="BT938" s="1" t="str">
        <f>HYPERLINK("https%3A%2F%2Fwww.webofscience.com%2Fwos%2Fwoscc%2Ffull-record%2FWOS:000371914500008","View Full Record in Web of Science")</f>
        <v>View Full Record in Web of Science</v>
      </c>
    </row>
    <row r="939" spans="1:72">
      <c r="A939" s="1" t="s">
        <v>72</v>
      </c>
      <c r="B939" s="1" t="s">
        <v>15673</v>
      </c>
      <c r="C939" s="1" t="s">
        <v>74</v>
      </c>
      <c r="D939" s="1" t="s">
        <v>74</v>
      </c>
      <c r="E939" s="1" t="s">
        <v>74</v>
      </c>
      <c r="F939" s="1" t="s">
        <v>15673</v>
      </c>
      <c r="G939" s="1" t="s">
        <v>74</v>
      </c>
      <c r="H939" s="1" t="s">
        <v>74</v>
      </c>
      <c r="I939" s="1" t="s">
        <v>15674</v>
      </c>
      <c r="J939" s="1" t="s">
        <v>704</v>
      </c>
      <c r="K939" s="1" t="s">
        <v>74</v>
      </c>
      <c r="L939" s="1" t="s">
        <v>74</v>
      </c>
      <c r="M939" s="1" t="s">
        <v>78</v>
      </c>
      <c r="N939" s="1" t="s">
        <v>79</v>
      </c>
      <c r="O939" s="1" t="s">
        <v>74</v>
      </c>
      <c r="P939" s="1" t="s">
        <v>74</v>
      </c>
      <c r="Q939" s="1" t="s">
        <v>74</v>
      </c>
      <c r="R939" s="1" t="s">
        <v>74</v>
      </c>
      <c r="S939" s="1" t="s">
        <v>74</v>
      </c>
      <c r="T939" s="1" t="s">
        <v>74</v>
      </c>
      <c r="U939" s="1" t="s">
        <v>15675</v>
      </c>
      <c r="V939" s="1" t="s">
        <v>15676</v>
      </c>
      <c r="W939" s="1" t="s">
        <v>74</v>
      </c>
      <c r="X939" s="1" t="s">
        <v>74</v>
      </c>
      <c r="Y939" s="1" t="s">
        <v>15677</v>
      </c>
      <c r="Z939" s="1" t="s">
        <v>74</v>
      </c>
      <c r="AA939" s="1" t="s">
        <v>74</v>
      </c>
      <c r="AB939" s="1" t="s">
        <v>74</v>
      </c>
      <c r="AC939" s="1" t="s">
        <v>74</v>
      </c>
      <c r="AD939" s="1" t="s">
        <v>74</v>
      </c>
      <c r="AE939" s="1" t="s">
        <v>74</v>
      </c>
      <c r="AF939" s="1" t="s">
        <v>74</v>
      </c>
      <c r="AG939" s="1">
        <v>21</v>
      </c>
      <c r="AH939" s="1">
        <v>6</v>
      </c>
      <c r="AI939" s="1">
        <v>6</v>
      </c>
      <c r="AJ939" s="1">
        <v>1</v>
      </c>
      <c r="AK939" s="1">
        <v>5</v>
      </c>
      <c r="AL939" s="1" t="s">
        <v>4010</v>
      </c>
      <c r="AM939" s="1" t="s">
        <v>1167</v>
      </c>
      <c r="AN939" s="1" t="s">
        <v>1168</v>
      </c>
      <c r="AO939" s="1" t="s">
        <v>718</v>
      </c>
      <c r="AP939" s="1" t="s">
        <v>1169</v>
      </c>
      <c r="AQ939" s="1" t="s">
        <v>74</v>
      </c>
      <c r="AR939" s="1" t="s">
        <v>719</v>
      </c>
      <c r="AS939" s="1" t="s">
        <v>720</v>
      </c>
      <c r="AT939" s="1" t="s">
        <v>119</v>
      </c>
      <c r="AU939" s="1">
        <v>1991</v>
      </c>
      <c r="AV939" s="1" t="s">
        <v>15678</v>
      </c>
      <c r="AW939" s="1" t="s">
        <v>74</v>
      </c>
      <c r="AX939" s="1" t="s">
        <v>74</v>
      </c>
      <c r="AY939" s="1" t="s">
        <v>74</v>
      </c>
      <c r="AZ939" s="1" t="s">
        <v>74</v>
      </c>
      <c r="BA939" s="1" t="s">
        <v>74</v>
      </c>
      <c r="BB939" s="1">
        <v>181</v>
      </c>
      <c r="BC939" s="1">
        <v>190</v>
      </c>
      <c r="BD939" s="1" t="s">
        <v>74</v>
      </c>
      <c r="BE939" s="1" t="s">
        <v>15679</v>
      </c>
      <c r="BF939" s="1" t="str">
        <f>HYPERLINK("http://dx.doi.org/10.1007/BF00282881","http://dx.doi.org/10.1007/BF00282881")</f>
        <v>http://dx.doi.org/10.1007/BF00282881</v>
      </c>
      <c r="BG939" s="1" t="s">
        <v>74</v>
      </c>
      <c r="BH939" s="1" t="s">
        <v>74</v>
      </c>
      <c r="BI939" s="1">
        <v>10</v>
      </c>
      <c r="BJ939" s="1" t="s">
        <v>722</v>
      </c>
      <c r="BK939" s="1" t="s">
        <v>96</v>
      </c>
      <c r="BL939" s="1" t="s">
        <v>723</v>
      </c>
      <c r="BM939" s="1" t="s">
        <v>15680</v>
      </c>
      <c r="BN939" s="1" t="s">
        <v>74</v>
      </c>
      <c r="BO939" s="1" t="s">
        <v>74</v>
      </c>
      <c r="BP939" s="1" t="s">
        <v>74</v>
      </c>
      <c r="BQ939" s="1" t="s">
        <v>74</v>
      </c>
      <c r="BR939" s="1" t="s">
        <v>98</v>
      </c>
      <c r="BS939" s="1" t="s">
        <v>15681</v>
      </c>
      <c r="BT939" s="1" t="str">
        <f>HYPERLINK("https%3A%2F%2Fwww.webofscience.com%2Fwos%2Fwoscc%2Ffull-record%2FWOS:A1991GP12100020","View Full Record in Web of Science")</f>
        <v>View Full Record in Web of Science</v>
      </c>
    </row>
    <row r="940" spans="1:72">
      <c r="A940" s="1" t="s">
        <v>72</v>
      </c>
      <c r="B940" s="1" t="s">
        <v>15682</v>
      </c>
      <c r="C940" s="1" t="s">
        <v>74</v>
      </c>
      <c r="D940" s="1" t="s">
        <v>74</v>
      </c>
      <c r="E940" s="1" t="s">
        <v>74</v>
      </c>
      <c r="F940" s="1" t="s">
        <v>15683</v>
      </c>
      <c r="G940" s="1" t="s">
        <v>74</v>
      </c>
      <c r="H940" s="1" t="s">
        <v>74</v>
      </c>
      <c r="I940" s="1" t="s">
        <v>15684</v>
      </c>
      <c r="J940" s="1" t="s">
        <v>1275</v>
      </c>
      <c r="K940" s="1" t="s">
        <v>74</v>
      </c>
      <c r="L940" s="1" t="s">
        <v>74</v>
      </c>
      <c r="M940" s="1" t="s">
        <v>78</v>
      </c>
      <c r="N940" s="1" t="s">
        <v>79</v>
      </c>
      <c r="O940" s="1" t="s">
        <v>74</v>
      </c>
      <c r="P940" s="1" t="s">
        <v>74</v>
      </c>
      <c r="Q940" s="1" t="s">
        <v>74</v>
      </c>
      <c r="R940" s="1" t="s">
        <v>74</v>
      </c>
      <c r="S940" s="1" t="s">
        <v>74</v>
      </c>
      <c r="T940" s="1" t="s">
        <v>15685</v>
      </c>
      <c r="U940" s="1" t="s">
        <v>15686</v>
      </c>
      <c r="V940" s="1" t="s">
        <v>15687</v>
      </c>
      <c r="W940" s="1" t="s">
        <v>15688</v>
      </c>
      <c r="X940" s="1" t="s">
        <v>15689</v>
      </c>
      <c r="Y940" s="1" t="s">
        <v>15690</v>
      </c>
      <c r="Z940" s="1" t="s">
        <v>15691</v>
      </c>
      <c r="AA940" s="1" t="s">
        <v>1502</v>
      </c>
      <c r="AB940" s="1" t="s">
        <v>74</v>
      </c>
      <c r="AC940" s="1" t="s">
        <v>15692</v>
      </c>
      <c r="AD940" s="1" t="s">
        <v>15693</v>
      </c>
      <c r="AE940" s="1" t="s">
        <v>15694</v>
      </c>
      <c r="AF940" s="1" t="s">
        <v>74</v>
      </c>
      <c r="AG940" s="1">
        <v>58</v>
      </c>
      <c r="AH940" s="1">
        <v>0</v>
      </c>
      <c r="AI940" s="1">
        <v>0</v>
      </c>
      <c r="AJ940" s="1">
        <v>0</v>
      </c>
      <c r="AK940" s="1">
        <v>0</v>
      </c>
      <c r="AL940" s="1" t="s">
        <v>650</v>
      </c>
      <c r="AM940" s="1" t="s">
        <v>651</v>
      </c>
      <c r="AN940" s="1" t="s">
        <v>652</v>
      </c>
      <c r="AO940" s="1" t="s">
        <v>1287</v>
      </c>
      <c r="AP940" s="1" t="s">
        <v>74</v>
      </c>
      <c r="AQ940" s="1" t="s">
        <v>74</v>
      </c>
      <c r="AR940" s="1" t="s">
        <v>1288</v>
      </c>
      <c r="AS940" s="1" t="s">
        <v>1289</v>
      </c>
      <c r="AT940" s="1" t="s">
        <v>1470</v>
      </c>
      <c r="AU940" s="1">
        <v>2024</v>
      </c>
      <c r="AV940" s="1">
        <v>69</v>
      </c>
      <c r="AW940" s="1" t="s">
        <v>74</v>
      </c>
      <c r="AX940" s="1" t="s">
        <v>74</v>
      </c>
      <c r="AY940" s="1" t="s">
        <v>74</v>
      </c>
      <c r="AZ940" s="1" t="s">
        <v>74</v>
      </c>
      <c r="BA940" s="1" t="s">
        <v>74</v>
      </c>
      <c r="BB940" s="1" t="s">
        <v>74</v>
      </c>
      <c r="BC940" s="1" t="s">
        <v>74</v>
      </c>
      <c r="BD940" s="1">
        <v>103337</v>
      </c>
      <c r="BE940" s="1" t="s">
        <v>15695</v>
      </c>
      <c r="BF940" s="1" t="str">
        <f>HYPERLINK("http://dx.doi.org/10.1016/j.rsma.2023.103337","http://dx.doi.org/10.1016/j.rsma.2023.103337")</f>
        <v>http://dx.doi.org/10.1016/j.rsma.2023.103337</v>
      </c>
      <c r="BG940" s="1" t="s">
        <v>74</v>
      </c>
      <c r="BH940" s="1" t="s">
        <v>3832</v>
      </c>
      <c r="BI940" s="1">
        <v>11</v>
      </c>
      <c r="BJ940" s="1" t="s">
        <v>1292</v>
      </c>
      <c r="BK940" s="1" t="s">
        <v>96</v>
      </c>
      <c r="BL940" s="1" t="s">
        <v>248</v>
      </c>
      <c r="BM940" s="1" t="s">
        <v>15696</v>
      </c>
      <c r="BN940" s="1" t="s">
        <v>74</v>
      </c>
      <c r="BO940" s="1" t="s">
        <v>74</v>
      </c>
      <c r="BP940" s="1" t="s">
        <v>74</v>
      </c>
      <c r="BQ940" s="1" t="s">
        <v>74</v>
      </c>
      <c r="BR940" s="1" t="s">
        <v>98</v>
      </c>
      <c r="BS940" s="1" t="s">
        <v>15697</v>
      </c>
      <c r="BT940" s="1" t="str">
        <f>HYPERLINK("https%3A%2F%2Fwww.webofscience.com%2Fwos%2Fwoscc%2Ffull-record%2FWOS:001165449200001","View Full Record in Web of Science")</f>
        <v>View Full Record in Web of Science</v>
      </c>
    </row>
    <row r="941" spans="1:72">
      <c r="A941" s="1" t="s">
        <v>72</v>
      </c>
      <c r="B941" s="1" t="s">
        <v>15698</v>
      </c>
      <c r="C941" s="1" t="s">
        <v>74</v>
      </c>
      <c r="D941" s="1" t="s">
        <v>74</v>
      </c>
      <c r="E941" s="1" t="s">
        <v>74</v>
      </c>
      <c r="F941" s="1" t="s">
        <v>15699</v>
      </c>
      <c r="G941" s="1" t="s">
        <v>74</v>
      </c>
      <c r="H941" s="1" t="s">
        <v>74</v>
      </c>
      <c r="I941" s="1" t="s">
        <v>15700</v>
      </c>
      <c r="J941" s="1" t="s">
        <v>15701</v>
      </c>
      <c r="K941" s="1" t="s">
        <v>74</v>
      </c>
      <c r="L941" s="1" t="s">
        <v>74</v>
      </c>
      <c r="M941" s="1" t="s">
        <v>78</v>
      </c>
      <c r="N941" s="1" t="s">
        <v>79</v>
      </c>
      <c r="O941" s="1" t="s">
        <v>74</v>
      </c>
      <c r="P941" s="1" t="s">
        <v>74</v>
      </c>
      <c r="Q941" s="1" t="s">
        <v>74</v>
      </c>
      <c r="R941" s="1" t="s">
        <v>74</v>
      </c>
      <c r="S941" s="1" t="s">
        <v>74</v>
      </c>
      <c r="T941" s="1" t="s">
        <v>15702</v>
      </c>
      <c r="U941" s="1" t="s">
        <v>15703</v>
      </c>
      <c r="V941" s="1" t="s">
        <v>15704</v>
      </c>
      <c r="W941" s="1" t="s">
        <v>15705</v>
      </c>
      <c r="X941" s="1" t="s">
        <v>15706</v>
      </c>
      <c r="Y941" s="1" t="s">
        <v>15707</v>
      </c>
      <c r="Z941" s="1" t="s">
        <v>15708</v>
      </c>
      <c r="AA941" s="1" t="s">
        <v>15709</v>
      </c>
      <c r="AB941" s="1" t="s">
        <v>15710</v>
      </c>
      <c r="AC941" s="1" t="s">
        <v>15711</v>
      </c>
      <c r="AD941" s="1" t="s">
        <v>15712</v>
      </c>
      <c r="AE941" s="1" t="s">
        <v>15713</v>
      </c>
      <c r="AF941" s="1" t="s">
        <v>74</v>
      </c>
      <c r="AG941" s="1">
        <v>48</v>
      </c>
      <c r="AH941" s="1">
        <v>1</v>
      </c>
      <c r="AI941" s="1">
        <v>1</v>
      </c>
      <c r="AJ941" s="1">
        <v>0</v>
      </c>
      <c r="AK941" s="1">
        <v>6</v>
      </c>
      <c r="AL941" s="1" t="s">
        <v>1566</v>
      </c>
      <c r="AM941" s="1" t="s">
        <v>1567</v>
      </c>
      <c r="AN941" s="1" t="s">
        <v>1568</v>
      </c>
      <c r="AO941" s="1" t="s">
        <v>74</v>
      </c>
      <c r="AP941" s="1" t="s">
        <v>15714</v>
      </c>
      <c r="AQ941" s="1" t="s">
        <v>74</v>
      </c>
      <c r="AR941" s="1" t="s">
        <v>15715</v>
      </c>
      <c r="AS941" s="1" t="s">
        <v>15716</v>
      </c>
      <c r="AT941" s="1" t="s">
        <v>142</v>
      </c>
      <c r="AU941" s="1">
        <v>2021</v>
      </c>
      <c r="AV941" s="1">
        <v>11</v>
      </c>
      <c r="AW941" s="1">
        <v>6</v>
      </c>
      <c r="AX941" s="1" t="s">
        <v>74</v>
      </c>
      <c r="AY941" s="1" t="s">
        <v>74</v>
      </c>
      <c r="AZ941" s="1" t="s">
        <v>74</v>
      </c>
      <c r="BA941" s="1" t="s">
        <v>74</v>
      </c>
      <c r="BB941" s="1" t="s">
        <v>74</v>
      </c>
      <c r="BC941" s="1" t="s">
        <v>74</v>
      </c>
      <c r="BD941" s="1">
        <v>625</v>
      </c>
      <c r="BE941" s="1" t="s">
        <v>15717</v>
      </c>
      <c r="BF941" s="1" t="str">
        <f>HYPERLINK("http://dx.doi.org/10.3390/min11060625","http://dx.doi.org/10.3390/min11060625")</f>
        <v>http://dx.doi.org/10.3390/min11060625</v>
      </c>
      <c r="BG941" s="1" t="s">
        <v>74</v>
      </c>
      <c r="BH941" s="1" t="s">
        <v>74</v>
      </c>
      <c r="BI941" s="1">
        <v>13</v>
      </c>
      <c r="BJ941" s="1" t="s">
        <v>15718</v>
      </c>
      <c r="BK941" s="1" t="s">
        <v>96</v>
      </c>
      <c r="BL941" s="1" t="s">
        <v>15718</v>
      </c>
      <c r="BM941" s="1" t="s">
        <v>15719</v>
      </c>
      <c r="BN941" s="1" t="s">
        <v>74</v>
      </c>
      <c r="BO941" s="1" t="s">
        <v>873</v>
      </c>
      <c r="BP941" s="1" t="s">
        <v>74</v>
      </c>
      <c r="BQ941" s="1" t="s">
        <v>74</v>
      </c>
      <c r="BR941" s="1" t="s">
        <v>98</v>
      </c>
      <c r="BS941" s="1" t="s">
        <v>15720</v>
      </c>
      <c r="BT941" s="1" t="str">
        <f>HYPERLINK("https%3A%2F%2Fwww.webofscience.com%2Fwos%2Fwoscc%2Ffull-record%2FWOS:000666096100001","View Full Record in Web of Science")</f>
        <v>View Full Record in Web of Science</v>
      </c>
    </row>
    <row r="942" spans="1:72">
      <c r="A942" s="1" t="s">
        <v>72</v>
      </c>
      <c r="B942" s="1" t="s">
        <v>15721</v>
      </c>
      <c r="C942" s="1" t="s">
        <v>74</v>
      </c>
      <c r="D942" s="1" t="s">
        <v>74</v>
      </c>
      <c r="E942" s="1" t="s">
        <v>74</v>
      </c>
      <c r="F942" s="1" t="s">
        <v>15722</v>
      </c>
      <c r="G942" s="1" t="s">
        <v>74</v>
      </c>
      <c r="H942" s="1" t="s">
        <v>74</v>
      </c>
      <c r="I942" s="1" t="s">
        <v>15723</v>
      </c>
      <c r="J942" s="1" t="s">
        <v>15724</v>
      </c>
      <c r="K942" s="1" t="s">
        <v>74</v>
      </c>
      <c r="L942" s="1" t="s">
        <v>74</v>
      </c>
      <c r="M942" s="1" t="s">
        <v>78</v>
      </c>
      <c r="N942" s="1" t="s">
        <v>79</v>
      </c>
      <c r="O942" s="1" t="s">
        <v>74</v>
      </c>
      <c r="P942" s="1" t="s">
        <v>74</v>
      </c>
      <c r="Q942" s="1" t="s">
        <v>74</v>
      </c>
      <c r="R942" s="1" t="s">
        <v>74</v>
      </c>
      <c r="S942" s="1" t="s">
        <v>74</v>
      </c>
      <c r="T942" s="1" t="s">
        <v>15725</v>
      </c>
      <c r="U942" s="1" t="s">
        <v>15726</v>
      </c>
      <c r="V942" s="1" t="s">
        <v>15727</v>
      </c>
      <c r="W942" s="1" t="s">
        <v>15728</v>
      </c>
      <c r="X942" s="1" t="s">
        <v>15729</v>
      </c>
      <c r="Y942" s="1" t="s">
        <v>15730</v>
      </c>
      <c r="Z942" s="1" t="s">
        <v>15731</v>
      </c>
      <c r="AA942" s="1" t="s">
        <v>15732</v>
      </c>
      <c r="AB942" s="1" t="s">
        <v>15733</v>
      </c>
      <c r="AC942" s="1" t="s">
        <v>74</v>
      </c>
      <c r="AD942" s="1" t="s">
        <v>74</v>
      </c>
      <c r="AE942" s="1" t="s">
        <v>74</v>
      </c>
      <c r="AF942" s="1" t="s">
        <v>74</v>
      </c>
      <c r="AG942" s="1">
        <v>45</v>
      </c>
      <c r="AH942" s="1">
        <v>21</v>
      </c>
      <c r="AI942" s="1">
        <v>21</v>
      </c>
      <c r="AJ942" s="1">
        <v>0</v>
      </c>
      <c r="AK942" s="1">
        <v>28</v>
      </c>
      <c r="AL942" s="1" t="s">
        <v>408</v>
      </c>
      <c r="AM942" s="1" t="s">
        <v>409</v>
      </c>
      <c r="AN942" s="1" t="s">
        <v>1188</v>
      </c>
      <c r="AO942" s="1" t="s">
        <v>15734</v>
      </c>
      <c r="AP942" s="1" t="s">
        <v>15735</v>
      </c>
      <c r="AQ942" s="1" t="s">
        <v>74</v>
      </c>
      <c r="AR942" s="1" t="s">
        <v>15736</v>
      </c>
      <c r="AS942" s="1" t="s">
        <v>15737</v>
      </c>
      <c r="AT942" s="1" t="s">
        <v>74</v>
      </c>
      <c r="AU942" s="1">
        <v>2017</v>
      </c>
      <c r="AV942" s="1">
        <v>36</v>
      </c>
      <c r="AW942" s="1">
        <v>4</v>
      </c>
      <c r="AX942" s="1" t="s">
        <v>74</v>
      </c>
      <c r="AY942" s="1" t="s">
        <v>74</v>
      </c>
      <c r="AZ942" s="1" t="s">
        <v>74</v>
      </c>
      <c r="BA942" s="1" t="s">
        <v>74</v>
      </c>
      <c r="BB942" s="1">
        <v>306</v>
      </c>
      <c r="BC942" s="1">
        <v>312</v>
      </c>
      <c r="BD942" s="1" t="s">
        <v>74</v>
      </c>
      <c r="BE942" s="1" t="s">
        <v>15738</v>
      </c>
      <c r="BF942" s="1" t="str">
        <f>HYPERLINK("http://dx.doi.org/10.1080/15569543.2017.1312452","http://dx.doi.org/10.1080/15569543.2017.1312452")</f>
        <v>http://dx.doi.org/10.1080/15569543.2017.1312452</v>
      </c>
      <c r="BG942" s="1" t="s">
        <v>74</v>
      </c>
      <c r="BH942" s="1" t="s">
        <v>74</v>
      </c>
      <c r="BI942" s="1">
        <v>7</v>
      </c>
      <c r="BJ942" s="1" t="s">
        <v>95</v>
      </c>
      <c r="BK942" s="1" t="s">
        <v>96</v>
      </c>
      <c r="BL942" s="1" t="s">
        <v>95</v>
      </c>
      <c r="BM942" s="1" t="s">
        <v>15739</v>
      </c>
      <c r="BN942" s="1" t="s">
        <v>74</v>
      </c>
      <c r="BO942" s="1" t="s">
        <v>74</v>
      </c>
      <c r="BP942" s="1" t="s">
        <v>74</v>
      </c>
      <c r="BQ942" s="1" t="s">
        <v>74</v>
      </c>
      <c r="BR942" s="1" t="s">
        <v>98</v>
      </c>
      <c r="BS942" s="1" t="s">
        <v>15740</v>
      </c>
      <c r="BT942" s="1" t="str">
        <f>HYPERLINK("https%3A%2F%2Fwww.webofscience.com%2Fwos%2Fwoscc%2Ffull-record%2FWOS:000416606800008","View Full Record in Web of Science")</f>
        <v>View Full Record in Web of Science</v>
      </c>
    </row>
    <row r="943" spans="1:72">
      <c r="A943" s="1" t="s">
        <v>72</v>
      </c>
      <c r="B943" s="1" t="s">
        <v>15741</v>
      </c>
      <c r="C943" s="1" t="s">
        <v>74</v>
      </c>
      <c r="D943" s="1" t="s">
        <v>74</v>
      </c>
      <c r="E943" s="1" t="s">
        <v>74</v>
      </c>
      <c r="F943" s="1" t="s">
        <v>15742</v>
      </c>
      <c r="G943" s="1" t="s">
        <v>74</v>
      </c>
      <c r="H943" s="1" t="s">
        <v>74</v>
      </c>
      <c r="I943" s="1" t="s">
        <v>15743</v>
      </c>
      <c r="J943" s="1" t="s">
        <v>6864</v>
      </c>
      <c r="K943" s="1" t="s">
        <v>74</v>
      </c>
      <c r="L943" s="1" t="s">
        <v>74</v>
      </c>
      <c r="M943" s="1" t="s">
        <v>78</v>
      </c>
      <c r="N943" s="1" t="s">
        <v>79</v>
      </c>
      <c r="O943" s="1" t="s">
        <v>74</v>
      </c>
      <c r="P943" s="1" t="s">
        <v>74</v>
      </c>
      <c r="Q943" s="1" t="s">
        <v>74</v>
      </c>
      <c r="R943" s="1" t="s">
        <v>74</v>
      </c>
      <c r="S943" s="1" t="s">
        <v>74</v>
      </c>
      <c r="T943" s="1" t="s">
        <v>15744</v>
      </c>
      <c r="U943" s="1" t="s">
        <v>15745</v>
      </c>
      <c r="V943" s="1" t="s">
        <v>15746</v>
      </c>
      <c r="W943" s="1" t="s">
        <v>15747</v>
      </c>
      <c r="X943" s="1" t="s">
        <v>15748</v>
      </c>
      <c r="Y943" s="1" t="s">
        <v>15749</v>
      </c>
      <c r="Z943" s="1" t="s">
        <v>15750</v>
      </c>
      <c r="AA943" s="1" t="s">
        <v>15751</v>
      </c>
      <c r="AB943" s="1" t="s">
        <v>15752</v>
      </c>
      <c r="AC943" s="1" t="s">
        <v>15753</v>
      </c>
      <c r="AD943" s="1" t="s">
        <v>15754</v>
      </c>
      <c r="AE943" s="1" t="s">
        <v>15755</v>
      </c>
      <c r="AF943" s="1" t="s">
        <v>74</v>
      </c>
      <c r="AG943" s="1">
        <v>28</v>
      </c>
      <c r="AH943" s="1">
        <v>17</v>
      </c>
      <c r="AI943" s="1">
        <v>17</v>
      </c>
      <c r="AJ943" s="1">
        <v>0</v>
      </c>
      <c r="AK943" s="1">
        <v>12</v>
      </c>
      <c r="AL943" s="1" t="s">
        <v>15756</v>
      </c>
      <c r="AM943" s="1" t="s">
        <v>15757</v>
      </c>
      <c r="AN943" s="1" t="s">
        <v>15758</v>
      </c>
      <c r="AO943" s="1" t="s">
        <v>6881</v>
      </c>
      <c r="AP943" s="1" t="s">
        <v>74</v>
      </c>
      <c r="AQ943" s="1" t="s">
        <v>74</v>
      </c>
      <c r="AR943" s="1" t="s">
        <v>6882</v>
      </c>
      <c r="AS943" s="1" t="s">
        <v>6883</v>
      </c>
      <c r="AT943" s="1" t="s">
        <v>74</v>
      </c>
      <c r="AU943" s="1">
        <v>2016</v>
      </c>
      <c r="AV943" s="1">
        <v>36</v>
      </c>
      <c r="AW943" s="1" t="s">
        <v>74</v>
      </c>
      <c r="AX943" s="1" t="s">
        <v>74</v>
      </c>
      <c r="AY943" s="1" t="s">
        <v>74</v>
      </c>
      <c r="AZ943" s="1" t="s">
        <v>74</v>
      </c>
      <c r="BA943" s="1" t="s">
        <v>74</v>
      </c>
      <c r="BB943" s="1">
        <v>38</v>
      </c>
      <c r="BC943" s="1">
        <v>43</v>
      </c>
      <c r="BD943" s="1" t="s">
        <v>74</v>
      </c>
      <c r="BE943" s="1" t="s">
        <v>15759</v>
      </c>
      <c r="BF943" s="1" t="str">
        <f>HYPERLINK("http://dx.doi.org/10.1016/j.jtemb.2016.03.016","http://dx.doi.org/10.1016/j.jtemb.2016.03.016")</f>
        <v>http://dx.doi.org/10.1016/j.jtemb.2016.03.016</v>
      </c>
      <c r="BG943" s="1" t="s">
        <v>74</v>
      </c>
      <c r="BH943" s="1" t="s">
        <v>74</v>
      </c>
      <c r="BI943" s="1">
        <v>6</v>
      </c>
      <c r="BJ943" s="1" t="s">
        <v>795</v>
      </c>
      <c r="BK943" s="1" t="s">
        <v>96</v>
      </c>
      <c r="BL943" s="1" t="s">
        <v>795</v>
      </c>
      <c r="BM943" s="1" t="s">
        <v>15760</v>
      </c>
      <c r="BN943" s="1">
        <v>27259350</v>
      </c>
      <c r="BO943" s="1" t="s">
        <v>1752</v>
      </c>
      <c r="BP943" s="1" t="s">
        <v>74</v>
      </c>
      <c r="BQ943" s="1" t="s">
        <v>74</v>
      </c>
      <c r="BR943" s="1" t="s">
        <v>98</v>
      </c>
      <c r="BS943" s="1" t="s">
        <v>15761</v>
      </c>
      <c r="BT943" s="1" t="str">
        <f>HYPERLINK("https%3A%2F%2Fwww.webofscience.com%2Fwos%2Fwoscc%2Ffull-record%2FWOS:000379368600006","View Full Record in Web of Science")</f>
        <v>View Full Record in Web of Science</v>
      </c>
    </row>
    <row r="944" spans="1:72">
      <c r="A944" s="1" t="s">
        <v>72</v>
      </c>
      <c r="B944" s="1" t="s">
        <v>15762</v>
      </c>
      <c r="C944" s="1" t="s">
        <v>74</v>
      </c>
      <c r="D944" s="1" t="s">
        <v>74</v>
      </c>
      <c r="E944" s="1" t="s">
        <v>74</v>
      </c>
      <c r="F944" s="1" t="s">
        <v>15762</v>
      </c>
      <c r="G944" s="1" t="s">
        <v>74</v>
      </c>
      <c r="H944" s="1" t="s">
        <v>74</v>
      </c>
      <c r="I944" s="1" t="s">
        <v>15763</v>
      </c>
      <c r="J944" s="1" t="s">
        <v>2984</v>
      </c>
      <c r="K944" s="1" t="s">
        <v>74</v>
      </c>
      <c r="L944" s="1" t="s">
        <v>74</v>
      </c>
      <c r="M944" s="1" t="s">
        <v>78</v>
      </c>
      <c r="N944" s="1" t="s">
        <v>79</v>
      </c>
      <c r="O944" s="1" t="s">
        <v>74</v>
      </c>
      <c r="P944" s="1" t="s">
        <v>74</v>
      </c>
      <c r="Q944" s="1" t="s">
        <v>74</v>
      </c>
      <c r="R944" s="1" t="s">
        <v>74</v>
      </c>
      <c r="S944" s="1" t="s">
        <v>74</v>
      </c>
      <c r="T944" s="1" t="s">
        <v>15764</v>
      </c>
      <c r="U944" s="1" t="s">
        <v>15765</v>
      </c>
      <c r="V944" s="1" t="s">
        <v>15766</v>
      </c>
      <c r="W944" s="1" t="s">
        <v>15767</v>
      </c>
      <c r="X944" s="1" t="s">
        <v>12390</v>
      </c>
      <c r="Y944" s="1" t="s">
        <v>15768</v>
      </c>
      <c r="Z944" s="1" t="s">
        <v>15769</v>
      </c>
      <c r="AA944" s="1" t="s">
        <v>12635</v>
      </c>
      <c r="AB944" s="1" t="s">
        <v>74</v>
      </c>
      <c r="AC944" s="1" t="s">
        <v>74</v>
      </c>
      <c r="AD944" s="1" t="s">
        <v>74</v>
      </c>
      <c r="AE944" s="1" t="s">
        <v>74</v>
      </c>
      <c r="AF944" s="1" t="s">
        <v>74</v>
      </c>
      <c r="AG944" s="1">
        <v>45</v>
      </c>
      <c r="AH944" s="1">
        <v>37</v>
      </c>
      <c r="AI944" s="1">
        <v>43</v>
      </c>
      <c r="AJ944" s="1">
        <v>0</v>
      </c>
      <c r="AK944" s="1">
        <v>18</v>
      </c>
      <c r="AL944" s="1" t="s">
        <v>112</v>
      </c>
      <c r="AM944" s="1" t="s">
        <v>191</v>
      </c>
      <c r="AN944" s="1" t="s">
        <v>192</v>
      </c>
      <c r="AO944" s="1" t="s">
        <v>2994</v>
      </c>
      <c r="AP944" s="1" t="s">
        <v>2995</v>
      </c>
      <c r="AQ944" s="1" t="s">
        <v>74</v>
      </c>
      <c r="AR944" s="1" t="s">
        <v>2996</v>
      </c>
      <c r="AS944" s="1" t="s">
        <v>2997</v>
      </c>
      <c r="AT944" s="1" t="s">
        <v>197</v>
      </c>
      <c r="AU944" s="1">
        <v>2005</v>
      </c>
      <c r="AV944" s="1">
        <v>27</v>
      </c>
      <c r="AW944" s="1">
        <v>4</v>
      </c>
      <c r="AX944" s="1" t="s">
        <v>74</v>
      </c>
      <c r="AY944" s="1" t="s">
        <v>74</v>
      </c>
      <c r="AZ944" s="1" t="s">
        <v>74</v>
      </c>
      <c r="BA944" s="1" t="s">
        <v>74</v>
      </c>
      <c r="BB944" s="1">
        <v>321</v>
      </c>
      <c r="BC944" s="1">
        <v>329</v>
      </c>
      <c r="BD944" s="1" t="s">
        <v>74</v>
      </c>
      <c r="BE944" s="1" t="s">
        <v>15770</v>
      </c>
      <c r="BF944" s="1" t="str">
        <f>HYPERLINK("http://dx.doi.org/10.1007/s10653-004-5741-x","http://dx.doi.org/10.1007/s10653-004-5741-x")</f>
        <v>http://dx.doi.org/10.1007/s10653-004-5741-x</v>
      </c>
      <c r="BG944" s="1" t="s">
        <v>74</v>
      </c>
      <c r="BH944" s="1" t="s">
        <v>74</v>
      </c>
      <c r="BI944" s="1">
        <v>9</v>
      </c>
      <c r="BJ944" s="1" t="s">
        <v>2999</v>
      </c>
      <c r="BK944" s="1" t="s">
        <v>96</v>
      </c>
      <c r="BL944" s="1" t="s">
        <v>3000</v>
      </c>
      <c r="BM944" s="1" t="s">
        <v>15771</v>
      </c>
      <c r="BN944" s="1">
        <v>16027967</v>
      </c>
      <c r="BO944" s="1" t="s">
        <v>74</v>
      </c>
      <c r="BP944" s="1" t="s">
        <v>74</v>
      </c>
      <c r="BQ944" s="1" t="s">
        <v>74</v>
      </c>
      <c r="BR944" s="1" t="s">
        <v>98</v>
      </c>
      <c r="BS944" s="1" t="s">
        <v>15772</v>
      </c>
      <c r="BT944" s="1" t="str">
        <f>HYPERLINK("https%3A%2F%2Fwww.webofscience.com%2Fwos%2Fwoscc%2Ffull-record%2FWOS:000230624800005","View Full Record in Web of Science")</f>
        <v>View Full Record in Web of Science</v>
      </c>
    </row>
    <row r="945" spans="1:72">
      <c r="A945" s="1" t="s">
        <v>72</v>
      </c>
      <c r="B945" s="1" t="s">
        <v>15773</v>
      </c>
      <c r="C945" s="1" t="s">
        <v>74</v>
      </c>
      <c r="D945" s="1" t="s">
        <v>74</v>
      </c>
      <c r="E945" s="1" t="s">
        <v>74</v>
      </c>
      <c r="F945" s="1" t="s">
        <v>15774</v>
      </c>
      <c r="G945" s="1" t="s">
        <v>74</v>
      </c>
      <c r="H945" s="1" t="s">
        <v>74</v>
      </c>
      <c r="I945" s="1" t="s">
        <v>15775</v>
      </c>
      <c r="J945" s="1" t="s">
        <v>103</v>
      </c>
      <c r="K945" s="1" t="s">
        <v>74</v>
      </c>
      <c r="L945" s="1" t="s">
        <v>74</v>
      </c>
      <c r="M945" s="1" t="s">
        <v>78</v>
      </c>
      <c r="N945" s="1" t="s">
        <v>79</v>
      </c>
      <c r="O945" s="1" t="s">
        <v>74</v>
      </c>
      <c r="P945" s="1" t="s">
        <v>74</v>
      </c>
      <c r="Q945" s="1" t="s">
        <v>74</v>
      </c>
      <c r="R945" s="1" t="s">
        <v>74</v>
      </c>
      <c r="S945" s="1" t="s">
        <v>74</v>
      </c>
      <c r="T945" s="1" t="s">
        <v>15776</v>
      </c>
      <c r="U945" s="1" t="s">
        <v>15777</v>
      </c>
      <c r="V945" s="1" t="s">
        <v>15778</v>
      </c>
      <c r="W945" s="1" t="s">
        <v>15779</v>
      </c>
      <c r="X945" s="1" t="s">
        <v>15780</v>
      </c>
      <c r="Y945" s="1" t="s">
        <v>15781</v>
      </c>
      <c r="Z945" s="1" t="s">
        <v>15782</v>
      </c>
      <c r="AA945" s="1" t="s">
        <v>74</v>
      </c>
      <c r="AB945" s="1" t="s">
        <v>74</v>
      </c>
      <c r="AC945" s="1" t="s">
        <v>15783</v>
      </c>
      <c r="AD945" s="1" t="s">
        <v>15783</v>
      </c>
      <c r="AE945" s="1" t="s">
        <v>15784</v>
      </c>
      <c r="AF945" s="1" t="s">
        <v>74</v>
      </c>
      <c r="AG945" s="1">
        <v>36</v>
      </c>
      <c r="AH945" s="1">
        <v>4</v>
      </c>
      <c r="AI945" s="1">
        <v>5</v>
      </c>
      <c r="AJ945" s="1">
        <v>2</v>
      </c>
      <c r="AK945" s="1">
        <v>15</v>
      </c>
      <c r="AL945" s="1" t="s">
        <v>112</v>
      </c>
      <c r="AM945" s="1" t="s">
        <v>113</v>
      </c>
      <c r="AN945" s="1" t="s">
        <v>114</v>
      </c>
      <c r="AO945" s="1" t="s">
        <v>115</v>
      </c>
      <c r="AP945" s="1" t="s">
        <v>116</v>
      </c>
      <c r="AQ945" s="1" t="s">
        <v>74</v>
      </c>
      <c r="AR945" s="1" t="s">
        <v>117</v>
      </c>
      <c r="AS945" s="1" t="s">
        <v>118</v>
      </c>
      <c r="AT945" s="1" t="s">
        <v>197</v>
      </c>
      <c r="AU945" s="1">
        <v>2019</v>
      </c>
      <c r="AV945" s="1">
        <v>103</v>
      </c>
      <c r="AW945" s="1">
        <v>6</v>
      </c>
      <c r="AX945" s="1" t="s">
        <v>74</v>
      </c>
      <c r="AY945" s="1" t="s">
        <v>74</v>
      </c>
      <c r="AZ945" s="1" t="s">
        <v>74</v>
      </c>
      <c r="BA945" s="1" t="s">
        <v>74</v>
      </c>
      <c r="BB945" s="1">
        <v>796</v>
      </c>
      <c r="BC945" s="1">
        <v>801</v>
      </c>
      <c r="BD945" s="1" t="s">
        <v>74</v>
      </c>
      <c r="BE945" s="1" t="s">
        <v>15785</v>
      </c>
      <c r="BF945" s="1" t="str">
        <f>HYPERLINK("http://dx.doi.org/10.1007/s00128-019-02737-4","http://dx.doi.org/10.1007/s00128-019-02737-4")</f>
        <v>http://dx.doi.org/10.1007/s00128-019-02737-4</v>
      </c>
      <c r="BG945" s="1" t="s">
        <v>74</v>
      </c>
      <c r="BH945" s="1" t="s">
        <v>15786</v>
      </c>
      <c r="BI945" s="1">
        <v>6</v>
      </c>
      <c r="BJ945" s="1" t="s">
        <v>121</v>
      </c>
      <c r="BK945" s="1" t="s">
        <v>96</v>
      </c>
      <c r="BL945" s="1" t="s">
        <v>122</v>
      </c>
      <c r="BM945" s="1" t="s">
        <v>15787</v>
      </c>
      <c r="BN945" s="1">
        <v>31676939</v>
      </c>
      <c r="BO945" s="1" t="s">
        <v>74</v>
      </c>
      <c r="BP945" s="1" t="s">
        <v>74</v>
      </c>
      <c r="BQ945" s="1" t="s">
        <v>74</v>
      </c>
      <c r="BR945" s="1" t="s">
        <v>98</v>
      </c>
      <c r="BS945" s="1" t="s">
        <v>15788</v>
      </c>
      <c r="BT945" s="1" t="str">
        <f>HYPERLINK("https%3A%2F%2Fwww.webofscience.com%2Fwos%2Fwoscc%2Ffull-record%2FWOS:000493629000001","View Full Record in Web of Science")</f>
        <v>View Full Record in Web of Science</v>
      </c>
    </row>
    <row r="946" spans="1:72">
      <c r="A946" s="1" t="s">
        <v>72</v>
      </c>
      <c r="B946" s="1" t="s">
        <v>15789</v>
      </c>
      <c r="C946" s="1" t="s">
        <v>74</v>
      </c>
      <c r="D946" s="1" t="s">
        <v>74</v>
      </c>
      <c r="E946" s="1" t="s">
        <v>74</v>
      </c>
      <c r="F946" s="1" t="s">
        <v>15790</v>
      </c>
      <c r="G946" s="1" t="s">
        <v>74</v>
      </c>
      <c r="H946" s="1" t="s">
        <v>74</v>
      </c>
      <c r="I946" s="1" t="s">
        <v>15791</v>
      </c>
      <c r="J946" s="1" t="s">
        <v>3349</v>
      </c>
      <c r="K946" s="1" t="s">
        <v>74</v>
      </c>
      <c r="L946" s="1" t="s">
        <v>74</v>
      </c>
      <c r="M946" s="1" t="s">
        <v>78</v>
      </c>
      <c r="N946" s="1" t="s">
        <v>79</v>
      </c>
      <c r="O946" s="1" t="s">
        <v>74</v>
      </c>
      <c r="P946" s="1" t="s">
        <v>74</v>
      </c>
      <c r="Q946" s="1" t="s">
        <v>74</v>
      </c>
      <c r="R946" s="1" t="s">
        <v>74</v>
      </c>
      <c r="S946" s="1" t="s">
        <v>74</v>
      </c>
      <c r="T946" s="1" t="s">
        <v>15792</v>
      </c>
      <c r="U946" s="1" t="s">
        <v>15793</v>
      </c>
      <c r="V946" s="1" t="s">
        <v>15794</v>
      </c>
      <c r="W946" s="1" t="s">
        <v>15795</v>
      </c>
      <c r="X946" s="1" t="s">
        <v>15796</v>
      </c>
      <c r="Y946" s="1" t="s">
        <v>15797</v>
      </c>
      <c r="Z946" s="1" t="s">
        <v>3105</v>
      </c>
      <c r="AA946" s="1" t="s">
        <v>74</v>
      </c>
      <c r="AB946" s="1" t="s">
        <v>15798</v>
      </c>
      <c r="AC946" s="1" t="s">
        <v>15799</v>
      </c>
      <c r="AD946" s="1" t="s">
        <v>15800</v>
      </c>
      <c r="AE946" s="1" t="s">
        <v>15801</v>
      </c>
      <c r="AF946" s="1" t="s">
        <v>74</v>
      </c>
      <c r="AG946" s="1">
        <v>86</v>
      </c>
      <c r="AH946" s="1">
        <v>14</v>
      </c>
      <c r="AI946" s="1">
        <v>16</v>
      </c>
      <c r="AJ946" s="1">
        <v>0</v>
      </c>
      <c r="AK946" s="1">
        <v>32</v>
      </c>
      <c r="AL946" s="1" t="s">
        <v>3362</v>
      </c>
      <c r="AM946" s="1" t="s">
        <v>3363</v>
      </c>
      <c r="AN946" s="1" t="s">
        <v>3364</v>
      </c>
      <c r="AO946" s="1" t="s">
        <v>3365</v>
      </c>
      <c r="AP946" s="1" t="s">
        <v>3366</v>
      </c>
      <c r="AQ946" s="1" t="s">
        <v>74</v>
      </c>
      <c r="AR946" s="1" t="s">
        <v>3367</v>
      </c>
      <c r="AS946" s="1" t="s">
        <v>3368</v>
      </c>
      <c r="AT946" s="1" t="s">
        <v>344</v>
      </c>
      <c r="AU946" s="1">
        <v>2018</v>
      </c>
      <c r="AV946" s="1">
        <v>155</v>
      </c>
      <c r="AW946" s="1" t="s">
        <v>74</v>
      </c>
      <c r="AX946" s="1" t="s">
        <v>74</v>
      </c>
      <c r="AY946" s="1" t="s">
        <v>74</v>
      </c>
      <c r="AZ946" s="1" t="s">
        <v>74</v>
      </c>
      <c r="BA946" s="1" t="s">
        <v>74</v>
      </c>
      <c r="BB946" s="1">
        <v>152</v>
      </c>
      <c r="BC946" s="1">
        <v>161</v>
      </c>
      <c r="BD946" s="1" t="s">
        <v>74</v>
      </c>
      <c r="BE946" s="1" t="s">
        <v>15802</v>
      </c>
      <c r="BF946" s="1" t="str">
        <f>HYPERLINK("http://dx.doi.org/10.1016/j.ecoenv.2018.02.064","http://dx.doi.org/10.1016/j.ecoenv.2018.02.064")</f>
        <v>http://dx.doi.org/10.1016/j.ecoenv.2018.02.064</v>
      </c>
      <c r="BG946" s="1" t="s">
        <v>74</v>
      </c>
      <c r="BH946" s="1" t="s">
        <v>74</v>
      </c>
      <c r="BI946" s="1">
        <v>10</v>
      </c>
      <c r="BJ946" s="1" t="s">
        <v>121</v>
      </c>
      <c r="BK946" s="1" t="s">
        <v>96</v>
      </c>
      <c r="BL946" s="1" t="s">
        <v>122</v>
      </c>
      <c r="BM946" s="1" t="s">
        <v>15803</v>
      </c>
      <c r="BN946" s="1">
        <v>29510310</v>
      </c>
      <c r="BO946" s="1" t="s">
        <v>1752</v>
      </c>
      <c r="BP946" s="1" t="s">
        <v>74</v>
      </c>
      <c r="BQ946" s="1" t="s">
        <v>74</v>
      </c>
      <c r="BR946" s="1" t="s">
        <v>98</v>
      </c>
      <c r="BS946" s="1" t="s">
        <v>15804</v>
      </c>
      <c r="BT946" s="1" t="str">
        <f>HYPERLINK("https%3A%2F%2Fwww.webofscience.com%2Fwos%2Fwoscc%2Ffull-record%2FWOS:000428834500019","View Full Record in Web of Science")</f>
        <v>View Full Record in Web of Science</v>
      </c>
    </row>
    <row r="947" spans="1:72">
      <c r="A947" s="1" t="s">
        <v>72</v>
      </c>
      <c r="B947" s="1" t="s">
        <v>15805</v>
      </c>
      <c r="C947" s="1" t="s">
        <v>74</v>
      </c>
      <c r="D947" s="1" t="s">
        <v>74</v>
      </c>
      <c r="E947" s="1" t="s">
        <v>74</v>
      </c>
      <c r="F947" s="1" t="s">
        <v>15806</v>
      </c>
      <c r="G947" s="1" t="s">
        <v>74</v>
      </c>
      <c r="H947" s="1" t="s">
        <v>74</v>
      </c>
      <c r="I947" s="1" t="s">
        <v>15807</v>
      </c>
      <c r="J947" s="1" t="s">
        <v>704</v>
      </c>
      <c r="K947" s="1" t="s">
        <v>74</v>
      </c>
      <c r="L947" s="1" t="s">
        <v>74</v>
      </c>
      <c r="M947" s="1" t="s">
        <v>78</v>
      </c>
      <c r="N947" s="1" t="s">
        <v>79</v>
      </c>
      <c r="O947" s="1" t="s">
        <v>74</v>
      </c>
      <c r="P947" s="1" t="s">
        <v>74</v>
      </c>
      <c r="Q947" s="1" t="s">
        <v>74</v>
      </c>
      <c r="R947" s="1" t="s">
        <v>74</v>
      </c>
      <c r="S947" s="1" t="s">
        <v>74</v>
      </c>
      <c r="T947" s="1" t="s">
        <v>15808</v>
      </c>
      <c r="U947" s="1" t="s">
        <v>15809</v>
      </c>
      <c r="V947" s="1" t="s">
        <v>15810</v>
      </c>
      <c r="W947" s="1" t="s">
        <v>15811</v>
      </c>
      <c r="X947" s="1" t="s">
        <v>15812</v>
      </c>
      <c r="Y947" s="1" t="s">
        <v>15813</v>
      </c>
      <c r="Z947" s="1" t="s">
        <v>15814</v>
      </c>
      <c r="AA947" s="1" t="s">
        <v>15815</v>
      </c>
      <c r="AB947" s="1" t="s">
        <v>15816</v>
      </c>
      <c r="AC947" s="1" t="s">
        <v>15817</v>
      </c>
      <c r="AD947" s="1" t="s">
        <v>15818</v>
      </c>
      <c r="AE947" s="1" t="s">
        <v>15819</v>
      </c>
      <c r="AF947" s="1" t="s">
        <v>74</v>
      </c>
      <c r="AG947" s="1">
        <v>37</v>
      </c>
      <c r="AH947" s="1">
        <v>7</v>
      </c>
      <c r="AI947" s="1">
        <v>7</v>
      </c>
      <c r="AJ947" s="1">
        <v>0</v>
      </c>
      <c r="AK947" s="1">
        <v>50</v>
      </c>
      <c r="AL947" s="1" t="s">
        <v>4010</v>
      </c>
      <c r="AM947" s="1" t="s">
        <v>1167</v>
      </c>
      <c r="AN947" s="1" t="s">
        <v>1168</v>
      </c>
      <c r="AO947" s="1" t="s">
        <v>718</v>
      </c>
      <c r="AP947" s="1" t="s">
        <v>1169</v>
      </c>
      <c r="AQ947" s="1" t="s">
        <v>74</v>
      </c>
      <c r="AR947" s="1" t="s">
        <v>719</v>
      </c>
      <c r="AS947" s="1" t="s">
        <v>720</v>
      </c>
      <c r="AT947" s="1" t="s">
        <v>170</v>
      </c>
      <c r="AU947" s="1">
        <v>2016</v>
      </c>
      <c r="AV947" s="1">
        <v>227</v>
      </c>
      <c r="AW947" s="1">
        <v>5</v>
      </c>
      <c r="AX947" s="1" t="s">
        <v>74</v>
      </c>
      <c r="AY947" s="1" t="s">
        <v>74</v>
      </c>
      <c r="AZ947" s="1" t="s">
        <v>74</v>
      </c>
      <c r="BA947" s="1" t="s">
        <v>74</v>
      </c>
      <c r="BB947" s="1" t="s">
        <v>74</v>
      </c>
      <c r="BC947" s="1" t="s">
        <v>74</v>
      </c>
      <c r="BD947" s="1">
        <v>138</v>
      </c>
      <c r="BE947" s="1" t="s">
        <v>15820</v>
      </c>
      <c r="BF947" s="1" t="str">
        <f>HYPERLINK("http://dx.doi.org/10.1007/s11270-016-2842-y","http://dx.doi.org/10.1007/s11270-016-2842-y")</f>
        <v>http://dx.doi.org/10.1007/s11270-016-2842-y</v>
      </c>
      <c r="BG947" s="1" t="s">
        <v>74</v>
      </c>
      <c r="BH947" s="1" t="s">
        <v>74</v>
      </c>
      <c r="BI947" s="1">
        <v>8</v>
      </c>
      <c r="BJ947" s="1" t="s">
        <v>722</v>
      </c>
      <c r="BK947" s="1" t="s">
        <v>96</v>
      </c>
      <c r="BL947" s="1" t="s">
        <v>723</v>
      </c>
      <c r="BM947" s="1" t="s">
        <v>15821</v>
      </c>
      <c r="BN947" s="1" t="s">
        <v>74</v>
      </c>
      <c r="BO947" s="1" t="s">
        <v>74</v>
      </c>
      <c r="BP947" s="1" t="s">
        <v>74</v>
      </c>
      <c r="BQ947" s="1" t="s">
        <v>74</v>
      </c>
      <c r="BR947" s="1" t="s">
        <v>98</v>
      </c>
      <c r="BS947" s="1" t="s">
        <v>15822</v>
      </c>
      <c r="BT947" s="1" t="str">
        <f>HYPERLINK("https%3A%2F%2Fwww.webofscience.com%2Fwos%2Fwoscc%2Ffull-record%2FWOS:000376276100009","View Full Record in Web of Science")</f>
        <v>View Full Record in Web of Science</v>
      </c>
    </row>
    <row r="948" spans="1:72">
      <c r="A948" s="1" t="s">
        <v>72</v>
      </c>
      <c r="B948" s="1" t="s">
        <v>15823</v>
      </c>
      <c r="C948" s="1" t="s">
        <v>74</v>
      </c>
      <c r="D948" s="1" t="s">
        <v>74</v>
      </c>
      <c r="E948" s="1" t="s">
        <v>74</v>
      </c>
      <c r="F948" s="1" t="s">
        <v>15824</v>
      </c>
      <c r="G948" s="1" t="s">
        <v>74</v>
      </c>
      <c r="H948" s="1" t="s">
        <v>74</v>
      </c>
      <c r="I948" s="1" t="s">
        <v>15825</v>
      </c>
      <c r="J948" s="1" t="s">
        <v>15826</v>
      </c>
      <c r="K948" s="1" t="s">
        <v>74</v>
      </c>
      <c r="L948" s="1" t="s">
        <v>74</v>
      </c>
      <c r="M948" s="1" t="s">
        <v>78</v>
      </c>
      <c r="N948" s="1" t="s">
        <v>79</v>
      </c>
      <c r="O948" s="1" t="s">
        <v>74</v>
      </c>
      <c r="P948" s="1" t="s">
        <v>74</v>
      </c>
      <c r="Q948" s="1" t="s">
        <v>74</v>
      </c>
      <c r="R948" s="1" t="s">
        <v>74</v>
      </c>
      <c r="S948" s="1" t="s">
        <v>74</v>
      </c>
      <c r="T948" s="1" t="s">
        <v>15827</v>
      </c>
      <c r="U948" s="1" t="s">
        <v>15828</v>
      </c>
      <c r="V948" s="1" t="s">
        <v>15829</v>
      </c>
      <c r="W948" s="1" t="s">
        <v>15830</v>
      </c>
      <c r="X948" s="1" t="s">
        <v>15831</v>
      </c>
      <c r="Y948" s="1" t="s">
        <v>15832</v>
      </c>
      <c r="Z948" s="1" t="s">
        <v>15833</v>
      </c>
      <c r="AA948" s="1" t="s">
        <v>74</v>
      </c>
      <c r="AB948" s="1" t="s">
        <v>15834</v>
      </c>
      <c r="AC948" s="1" t="s">
        <v>15835</v>
      </c>
      <c r="AD948" s="1" t="s">
        <v>15836</v>
      </c>
      <c r="AE948" s="1" t="s">
        <v>15837</v>
      </c>
      <c r="AF948" s="1" t="s">
        <v>74</v>
      </c>
      <c r="AG948" s="1">
        <v>91</v>
      </c>
      <c r="AH948" s="1">
        <v>44</v>
      </c>
      <c r="AI948" s="1">
        <v>44</v>
      </c>
      <c r="AJ948" s="1">
        <v>11</v>
      </c>
      <c r="AK948" s="1">
        <v>79</v>
      </c>
      <c r="AL948" s="1" t="s">
        <v>136</v>
      </c>
      <c r="AM948" s="1" t="s">
        <v>137</v>
      </c>
      <c r="AN948" s="1" t="s">
        <v>138</v>
      </c>
      <c r="AO948" s="1" t="s">
        <v>15838</v>
      </c>
      <c r="AP948" s="1" t="s">
        <v>15839</v>
      </c>
      <c r="AQ948" s="1" t="s">
        <v>74</v>
      </c>
      <c r="AR948" s="1" t="s">
        <v>15840</v>
      </c>
      <c r="AS948" s="1" t="s">
        <v>15841</v>
      </c>
      <c r="AT948" s="1" t="s">
        <v>305</v>
      </c>
      <c r="AU948" s="1">
        <v>2021</v>
      </c>
      <c r="AV948" s="1">
        <v>147</v>
      </c>
      <c r="AW948" s="1" t="s">
        <v>74</v>
      </c>
      <c r="AX948" s="1" t="s">
        <v>74</v>
      </c>
      <c r="AY948" s="1" t="s">
        <v>74</v>
      </c>
      <c r="AZ948" s="1" t="s">
        <v>74</v>
      </c>
      <c r="BA948" s="1" t="s">
        <v>74</v>
      </c>
      <c r="BB948" s="1" t="s">
        <v>74</v>
      </c>
      <c r="BC948" s="1" t="s">
        <v>74</v>
      </c>
      <c r="BD948" s="1">
        <v>106521</v>
      </c>
      <c r="BE948" s="1" t="s">
        <v>15842</v>
      </c>
      <c r="BF948" s="1" t="str">
        <f>HYPERLINK("http://dx.doi.org/10.1016/j.cemconres.2021.106521","http://dx.doi.org/10.1016/j.cemconres.2021.106521")</f>
        <v>http://dx.doi.org/10.1016/j.cemconres.2021.106521</v>
      </c>
      <c r="BG948" s="1" t="s">
        <v>74</v>
      </c>
      <c r="BH948" s="1" t="s">
        <v>4940</v>
      </c>
      <c r="BI948" s="1">
        <v>14</v>
      </c>
      <c r="BJ948" s="1" t="s">
        <v>15843</v>
      </c>
      <c r="BK948" s="1" t="s">
        <v>96</v>
      </c>
      <c r="BL948" s="1" t="s">
        <v>15844</v>
      </c>
      <c r="BM948" s="1" t="s">
        <v>15845</v>
      </c>
      <c r="BN948" s="1" t="s">
        <v>74</v>
      </c>
      <c r="BO948" s="1" t="s">
        <v>476</v>
      </c>
      <c r="BP948" s="1" t="s">
        <v>74</v>
      </c>
      <c r="BQ948" s="1" t="s">
        <v>74</v>
      </c>
      <c r="BR948" s="1" t="s">
        <v>98</v>
      </c>
      <c r="BS948" s="1" t="s">
        <v>15846</v>
      </c>
      <c r="BT948" s="1" t="str">
        <f>HYPERLINK("https%3A%2F%2Fwww.webofscience.com%2Fwos%2Fwoscc%2Ffull-record%2FWOS:000679120100004","View Full Record in Web of Science")</f>
        <v>View Full Record in Web of Science</v>
      </c>
    </row>
    <row r="949" spans="1:72">
      <c r="A949" s="1" t="s">
        <v>72</v>
      </c>
      <c r="B949" s="1" t="s">
        <v>15847</v>
      </c>
      <c r="C949" s="1" t="s">
        <v>74</v>
      </c>
      <c r="D949" s="1" t="s">
        <v>74</v>
      </c>
      <c r="E949" s="1" t="s">
        <v>74</v>
      </c>
      <c r="F949" s="1" t="s">
        <v>15847</v>
      </c>
      <c r="G949" s="1" t="s">
        <v>74</v>
      </c>
      <c r="H949" s="1" t="s">
        <v>74</v>
      </c>
      <c r="I949" s="1" t="s">
        <v>15848</v>
      </c>
      <c r="J949" s="1" t="s">
        <v>127</v>
      </c>
      <c r="K949" s="1" t="s">
        <v>74</v>
      </c>
      <c r="L949" s="1" t="s">
        <v>74</v>
      </c>
      <c r="M949" s="1" t="s">
        <v>78</v>
      </c>
      <c r="N949" s="1" t="s">
        <v>79</v>
      </c>
      <c r="O949" s="1" t="s">
        <v>74</v>
      </c>
      <c r="P949" s="1" t="s">
        <v>74</v>
      </c>
      <c r="Q949" s="1" t="s">
        <v>74</v>
      </c>
      <c r="R949" s="1" t="s">
        <v>74</v>
      </c>
      <c r="S949" s="1" t="s">
        <v>74</v>
      </c>
      <c r="T949" s="1" t="s">
        <v>74</v>
      </c>
      <c r="U949" s="1" t="s">
        <v>74</v>
      </c>
      <c r="V949" s="1" t="s">
        <v>15849</v>
      </c>
      <c r="W949" s="1" t="s">
        <v>74</v>
      </c>
      <c r="X949" s="1" t="s">
        <v>74</v>
      </c>
      <c r="Y949" s="1" t="s">
        <v>15850</v>
      </c>
      <c r="Z949" s="1" t="s">
        <v>74</v>
      </c>
      <c r="AA949" s="1" t="s">
        <v>14196</v>
      </c>
      <c r="AB949" s="1" t="s">
        <v>74</v>
      </c>
      <c r="AC949" s="1" t="s">
        <v>74</v>
      </c>
      <c r="AD949" s="1" t="s">
        <v>74</v>
      </c>
      <c r="AE949" s="1" t="s">
        <v>74</v>
      </c>
      <c r="AF949" s="1" t="s">
        <v>74</v>
      </c>
      <c r="AG949" s="1">
        <v>8</v>
      </c>
      <c r="AH949" s="1">
        <v>9</v>
      </c>
      <c r="AI949" s="1">
        <v>11</v>
      </c>
      <c r="AJ949" s="1">
        <v>0</v>
      </c>
      <c r="AK949" s="1">
        <v>4</v>
      </c>
      <c r="AL949" s="1" t="s">
        <v>136</v>
      </c>
      <c r="AM949" s="1" t="s">
        <v>137</v>
      </c>
      <c r="AN949" s="1" t="s">
        <v>138</v>
      </c>
      <c r="AO949" s="1" t="s">
        <v>139</v>
      </c>
      <c r="AP949" s="1" t="s">
        <v>140</v>
      </c>
      <c r="AQ949" s="1" t="s">
        <v>74</v>
      </c>
      <c r="AR949" s="1" t="s">
        <v>127</v>
      </c>
      <c r="AS949" s="1" t="s">
        <v>141</v>
      </c>
      <c r="AT949" s="1" t="s">
        <v>74</v>
      </c>
      <c r="AU949" s="1">
        <v>1981</v>
      </c>
      <c r="AV949" s="1">
        <v>10</v>
      </c>
      <c r="AW949" s="1">
        <v>7</v>
      </c>
      <c r="AX949" s="1" t="s">
        <v>74</v>
      </c>
      <c r="AY949" s="1" t="s">
        <v>74</v>
      </c>
      <c r="AZ949" s="1" t="s">
        <v>74</v>
      </c>
      <c r="BA949" s="1" t="s">
        <v>74</v>
      </c>
      <c r="BB949" s="1">
        <v>761</v>
      </c>
      <c r="BC949" s="1">
        <v>765</v>
      </c>
      <c r="BD949" s="1" t="s">
        <v>74</v>
      </c>
      <c r="BE949" s="1" t="s">
        <v>15851</v>
      </c>
      <c r="BF949" s="1" t="str">
        <f>HYPERLINK("http://dx.doi.org/10.1016/0045-6535(81)90007-2","http://dx.doi.org/10.1016/0045-6535(81)90007-2")</f>
        <v>http://dx.doi.org/10.1016/0045-6535(81)90007-2</v>
      </c>
      <c r="BG949" s="1" t="s">
        <v>74</v>
      </c>
      <c r="BH949" s="1" t="s">
        <v>74</v>
      </c>
      <c r="BI949" s="1">
        <v>5</v>
      </c>
      <c r="BJ949" s="1" t="s">
        <v>144</v>
      </c>
      <c r="BK949" s="1" t="s">
        <v>96</v>
      </c>
      <c r="BL949" s="1" t="s">
        <v>145</v>
      </c>
      <c r="BM949" s="1" t="s">
        <v>15852</v>
      </c>
      <c r="BN949" s="1" t="s">
        <v>74</v>
      </c>
      <c r="BO949" s="1" t="s">
        <v>74</v>
      </c>
      <c r="BP949" s="1" t="s">
        <v>74</v>
      </c>
      <c r="BQ949" s="1" t="s">
        <v>74</v>
      </c>
      <c r="BR949" s="1" t="s">
        <v>98</v>
      </c>
      <c r="BS949" s="1" t="s">
        <v>15853</v>
      </c>
      <c r="BT949" s="1" t="str">
        <f>HYPERLINK("https%3A%2F%2Fwww.webofscience.com%2Fwos%2Fwoscc%2Ffull-record%2FWOS:A1981MD89300006","View Full Record in Web of Science")</f>
        <v>View Full Record in Web of Science</v>
      </c>
    </row>
    <row r="950" spans="1:72">
      <c r="A950" s="1" t="s">
        <v>72</v>
      </c>
      <c r="B950" s="1" t="s">
        <v>15854</v>
      </c>
      <c r="C950" s="1" t="s">
        <v>74</v>
      </c>
      <c r="D950" s="1" t="s">
        <v>74</v>
      </c>
      <c r="E950" s="1" t="s">
        <v>74</v>
      </c>
      <c r="F950" s="1" t="s">
        <v>15855</v>
      </c>
      <c r="G950" s="1" t="s">
        <v>74</v>
      </c>
      <c r="H950" s="1" t="s">
        <v>74</v>
      </c>
      <c r="I950" s="1" t="s">
        <v>15856</v>
      </c>
      <c r="J950" s="1" t="s">
        <v>421</v>
      </c>
      <c r="K950" s="1" t="s">
        <v>74</v>
      </c>
      <c r="L950" s="1" t="s">
        <v>74</v>
      </c>
      <c r="M950" s="1" t="s">
        <v>78</v>
      </c>
      <c r="N950" s="1" t="s">
        <v>151</v>
      </c>
      <c r="O950" s="1" t="s">
        <v>15857</v>
      </c>
      <c r="P950" s="1" t="s">
        <v>15858</v>
      </c>
      <c r="Q950" s="1" t="s">
        <v>15859</v>
      </c>
      <c r="R950" s="1" t="s">
        <v>74</v>
      </c>
      <c r="S950" s="1" t="s">
        <v>74</v>
      </c>
      <c r="T950" s="1" t="s">
        <v>15860</v>
      </c>
      <c r="U950" s="1" t="s">
        <v>15861</v>
      </c>
      <c r="V950" s="1" t="s">
        <v>15862</v>
      </c>
      <c r="W950" s="1" t="s">
        <v>15863</v>
      </c>
      <c r="X950" s="1" t="s">
        <v>15864</v>
      </c>
      <c r="Y950" s="1" t="s">
        <v>15865</v>
      </c>
      <c r="Z950" s="1" t="s">
        <v>6919</v>
      </c>
      <c r="AA950" s="1" t="s">
        <v>74</v>
      </c>
      <c r="AB950" s="1" t="s">
        <v>74</v>
      </c>
      <c r="AC950" s="1" t="s">
        <v>74</v>
      </c>
      <c r="AD950" s="1" t="s">
        <v>74</v>
      </c>
      <c r="AE950" s="1" t="s">
        <v>74</v>
      </c>
      <c r="AF950" s="1" t="s">
        <v>74</v>
      </c>
      <c r="AG950" s="1">
        <v>51</v>
      </c>
      <c r="AH950" s="1">
        <v>15</v>
      </c>
      <c r="AI950" s="1">
        <v>18</v>
      </c>
      <c r="AJ950" s="1">
        <v>0</v>
      </c>
      <c r="AK950" s="1">
        <v>24</v>
      </c>
      <c r="AL950" s="1" t="s">
        <v>430</v>
      </c>
      <c r="AM950" s="1" t="s">
        <v>137</v>
      </c>
      <c r="AN950" s="1" t="s">
        <v>431</v>
      </c>
      <c r="AO950" s="1" t="s">
        <v>432</v>
      </c>
      <c r="AP950" s="1" t="s">
        <v>1394</v>
      </c>
      <c r="AQ950" s="1" t="s">
        <v>74</v>
      </c>
      <c r="AR950" s="1" t="s">
        <v>433</v>
      </c>
      <c r="AS950" s="1" t="s">
        <v>434</v>
      </c>
      <c r="AT950" s="1" t="s">
        <v>142</v>
      </c>
      <c r="AU950" s="1">
        <v>2007</v>
      </c>
      <c r="AV950" s="1">
        <v>147</v>
      </c>
      <c r="AW950" s="1">
        <v>3</v>
      </c>
      <c r="AX950" s="1" t="s">
        <v>74</v>
      </c>
      <c r="AY950" s="1" t="s">
        <v>74</v>
      </c>
      <c r="AZ950" s="1" t="s">
        <v>74</v>
      </c>
      <c r="BA950" s="1" t="s">
        <v>74</v>
      </c>
      <c r="BB950" s="1">
        <v>656</v>
      </c>
      <c r="BC950" s="1">
        <v>667</v>
      </c>
      <c r="BD950" s="1" t="s">
        <v>74</v>
      </c>
      <c r="BE950" s="1" t="s">
        <v>15866</v>
      </c>
      <c r="BF950" s="1" t="str">
        <f>HYPERLINK("http://dx.doi.org/10.1016/j.envpol.2006.09.017","http://dx.doi.org/10.1016/j.envpol.2006.09.017")</f>
        <v>http://dx.doi.org/10.1016/j.envpol.2006.09.017</v>
      </c>
      <c r="BG950" s="1" t="s">
        <v>74</v>
      </c>
      <c r="BH950" s="1" t="s">
        <v>74</v>
      </c>
      <c r="BI950" s="1">
        <v>12</v>
      </c>
      <c r="BJ950" s="1" t="s">
        <v>144</v>
      </c>
      <c r="BK950" s="1" t="s">
        <v>172</v>
      </c>
      <c r="BL950" s="1" t="s">
        <v>145</v>
      </c>
      <c r="BM950" s="1" t="s">
        <v>15867</v>
      </c>
      <c r="BN950" s="1">
        <v>17134803</v>
      </c>
      <c r="BO950" s="1" t="s">
        <v>1752</v>
      </c>
      <c r="BP950" s="1" t="s">
        <v>74</v>
      </c>
      <c r="BQ950" s="1" t="s">
        <v>74</v>
      </c>
      <c r="BR950" s="1" t="s">
        <v>98</v>
      </c>
      <c r="BS950" s="1" t="s">
        <v>15868</v>
      </c>
      <c r="BT950" s="1" t="str">
        <f>HYPERLINK("https%3A%2F%2Fwww.webofscience.com%2Fwos%2Fwoscc%2Ffull-record%2FWOS:000246922000027","View Full Record in Web of Science")</f>
        <v>View Full Record in Web of Science</v>
      </c>
    </row>
    <row r="951" spans="1:72">
      <c r="A951" s="1" t="s">
        <v>72</v>
      </c>
      <c r="B951" s="1" t="s">
        <v>15869</v>
      </c>
      <c r="C951" s="1" t="s">
        <v>74</v>
      </c>
      <c r="D951" s="1" t="s">
        <v>74</v>
      </c>
      <c r="E951" s="1" t="s">
        <v>74</v>
      </c>
      <c r="F951" s="1" t="s">
        <v>15870</v>
      </c>
      <c r="G951" s="1" t="s">
        <v>74</v>
      </c>
      <c r="H951" s="1" t="s">
        <v>74</v>
      </c>
      <c r="I951" s="1" t="s">
        <v>15871</v>
      </c>
      <c r="J951" s="1" t="s">
        <v>2063</v>
      </c>
      <c r="K951" s="1" t="s">
        <v>74</v>
      </c>
      <c r="L951" s="1" t="s">
        <v>74</v>
      </c>
      <c r="M951" s="1" t="s">
        <v>78</v>
      </c>
      <c r="N951" s="1" t="s">
        <v>79</v>
      </c>
      <c r="O951" s="1" t="s">
        <v>74</v>
      </c>
      <c r="P951" s="1" t="s">
        <v>74</v>
      </c>
      <c r="Q951" s="1" t="s">
        <v>74</v>
      </c>
      <c r="R951" s="1" t="s">
        <v>74</v>
      </c>
      <c r="S951" s="1" t="s">
        <v>74</v>
      </c>
      <c r="T951" s="1" t="s">
        <v>15872</v>
      </c>
      <c r="U951" s="1" t="s">
        <v>15873</v>
      </c>
      <c r="V951" s="1" t="s">
        <v>15874</v>
      </c>
      <c r="W951" s="1" t="s">
        <v>15875</v>
      </c>
      <c r="X951" s="1" t="s">
        <v>15876</v>
      </c>
      <c r="Y951" s="1" t="s">
        <v>15877</v>
      </c>
      <c r="Z951" s="1" t="s">
        <v>11832</v>
      </c>
      <c r="AA951" s="1" t="s">
        <v>74</v>
      </c>
      <c r="AB951" s="1" t="s">
        <v>15878</v>
      </c>
      <c r="AC951" s="1" t="s">
        <v>74</v>
      </c>
      <c r="AD951" s="1" t="s">
        <v>74</v>
      </c>
      <c r="AE951" s="1" t="s">
        <v>74</v>
      </c>
      <c r="AF951" s="1" t="s">
        <v>74</v>
      </c>
      <c r="AG951" s="1">
        <v>37</v>
      </c>
      <c r="AH951" s="1">
        <v>91</v>
      </c>
      <c r="AI951" s="1">
        <v>107</v>
      </c>
      <c r="AJ951" s="1">
        <v>3</v>
      </c>
      <c r="AK951" s="1">
        <v>41</v>
      </c>
      <c r="AL951" s="1" t="s">
        <v>2074</v>
      </c>
      <c r="AM951" s="1" t="s">
        <v>2075</v>
      </c>
      <c r="AN951" s="1" t="s">
        <v>2076</v>
      </c>
      <c r="AO951" s="1" t="s">
        <v>2077</v>
      </c>
      <c r="AP951" s="1" t="s">
        <v>2078</v>
      </c>
      <c r="AQ951" s="1" t="s">
        <v>74</v>
      </c>
      <c r="AR951" s="1" t="s">
        <v>2079</v>
      </c>
      <c r="AS951" s="1" t="s">
        <v>2080</v>
      </c>
      <c r="AT951" s="1" t="s">
        <v>267</v>
      </c>
      <c r="AU951" s="1">
        <v>2007</v>
      </c>
      <c r="AV951" s="1">
        <v>23</v>
      </c>
      <c r="AW951" s="1">
        <v>5</v>
      </c>
      <c r="AX951" s="1" t="s">
        <v>74</v>
      </c>
      <c r="AY951" s="1" t="s">
        <v>74</v>
      </c>
      <c r="AZ951" s="1" t="s">
        <v>74</v>
      </c>
      <c r="BA951" s="1" t="s">
        <v>74</v>
      </c>
      <c r="BB951" s="1">
        <v>361</v>
      </c>
      <c r="BC951" s="1">
        <v>371</v>
      </c>
      <c r="BD951" s="1" t="s">
        <v>74</v>
      </c>
      <c r="BE951" s="1" t="s">
        <v>15879</v>
      </c>
      <c r="BF951" s="1" t="str">
        <f>HYPERLINK("http://dx.doi.org/10.1080/02757540701653285","http://dx.doi.org/10.1080/02757540701653285")</f>
        <v>http://dx.doi.org/10.1080/02757540701653285</v>
      </c>
      <c r="BG951" s="1" t="s">
        <v>74</v>
      </c>
      <c r="BH951" s="1" t="s">
        <v>74</v>
      </c>
      <c r="BI951" s="1">
        <v>11</v>
      </c>
      <c r="BJ951" s="1" t="s">
        <v>2083</v>
      </c>
      <c r="BK951" s="1" t="s">
        <v>96</v>
      </c>
      <c r="BL951" s="1" t="s">
        <v>2084</v>
      </c>
      <c r="BM951" s="1" t="s">
        <v>15880</v>
      </c>
      <c r="BN951" s="1" t="s">
        <v>74</v>
      </c>
      <c r="BO951" s="1" t="s">
        <v>74</v>
      </c>
      <c r="BP951" s="1" t="s">
        <v>74</v>
      </c>
      <c r="BQ951" s="1" t="s">
        <v>74</v>
      </c>
      <c r="BR951" s="1" t="s">
        <v>98</v>
      </c>
      <c r="BS951" s="1" t="s">
        <v>15881</v>
      </c>
      <c r="BT951" s="1" t="str">
        <f>HYPERLINK("https%3A%2F%2Fwww.webofscience.com%2Fwos%2Fwoscc%2Ffull-record%2FWOS:000250941500002","View Full Record in Web of Science")</f>
        <v>View Full Record in Web of Science</v>
      </c>
    </row>
    <row r="952" spans="1:72">
      <c r="A952" s="1" t="s">
        <v>72</v>
      </c>
      <c r="B952" s="1" t="s">
        <v>15882</v>
      </c>
      <c r="C952" s="1" t="s">
        <v>74</v>
      </c>
      <c r="D952" s="1" t="s">
        <v>74</v>
      </c>
      <c r="E952" s="1" t="s">
        <v>74</v>
      </c>
      <c r="F952" s="1" t="s">
        <v>15882</v>
      </c>
      <c r="G952" s="1" t="s">
        <v>74</v>
      </c>
      <c r="H952" s="1" t="s">
        <v>74</v>
      </c>
      <c r="I952" s="1" t="s">
        <v>15883</v>
      </c>
      <c r="J952" s="1" t="s">
        <v>232</v>
      </c>
      <c r="K952" s="1" t="s">
        <v>74</v>
      </c>
      <c r="L952" s="1" t="s">
        <v>74</v>
      </c>
      <c r="M952" s="1" t="s">
        <v>78</v>
      </c>
      <c r="N952" s="1" t="s">
        <v>79</v>
      </c>
      <c r="O952" s="1" t="s">
        <v>74</v>
      </c>
      <c r="P952" s="1" t="s">
        <v>74</v>
      </c>
      <c r="Q952" s="1" t="s">
        <v>74</v>
      </c>
      <c r="R952" s="1" t="s">
        <v>74</v>
      </c>
      <c r="S952" s="1" t="s">
        <v>74</v>
      </c>
      <c r="T952" s="1" t="s">
        <v>15884</v>
      </c>
      <c r="U952" s="1" t="s">
        <v>15885</v>
      </c>
      <c r="V952" s="1" t="s">
        <v>15886</v>
      </c>
      <c r="W952" s="1" t="s">
        <v>7181</v>
      </c>
      <c r="X952" s="1" t="s">
        <v>74</v>
      </c>
      <c r="Y952" s="1" t="s">
        <v>15887</v>
      </c>
      <c r="Z952" s="1" t="s">
        <v>15888</v>
      </c>
      <c r="AA952" s="1" t="s">
        <v>7184</v>
      </c>
      <c r="AB952" s="1" t="s">
        <v>74</v>
      </c>
      <c r="AC952" s="1" t="s">
        <v>74</v>
      </c>
      <c r="AD952" s="1" t="s">
        <v>74</v>
      </c>
      <c r="AE952" s="1" t="s">
        <v>74</v>
      </c>
      <c r="AF952" s="1" t="s">
        <v>74</v>
      </c>
      <c r="AG952" s="1">
        <v>32</v>
      </c>
      <c r="AH952" s="1">
        <v>4</v>
      </c>
      <c r="AI952" s="1">
        <v>4</v>
      </c>
      <c r="AJ952" s="1">
        <v>1</v>
      </c>
      <c r="AK952" s="1">
        <v>8</v>
      </c>
      <c r="AL952" s="1" t="s">
        <v>136</v>
      </c>
      <c r="AM952" s="1" t="s">
        <v>137</v>
      </c>
      <c r="AN952" s="1" t="s">
        <v>138</v>
      </c>
      <c r="AO952" s="1" t="s">
        <v>240</v>
      </c>
      <c r="AP952" s="1" t="s">
        <v>241</v>
      </c>
      <c r="AQ952" s="1" t="s">
        <v>74</v>
      </c>
      <c r="AR952" s="1" t="s">
        <v>242</v>
      </c>
      <c r="AS952" s="1" t="s">
        <v>243</v>
      </c>
      <c r="AT952" s="1" t="s">
        <v>267</v>
      </c>
      <c r="AU952" s="1">
        <v>2002</v>
      </c>
      <c r="AV952" s="1">
        <v>44</v>
      </c>
      <c r="AW952" s="1">
        <v>10</v>
      </c>
      <c r="AX952" s="1" t="s">
        <v>74</v>
      </c>
      <c r="AY952" s="1" t="s">
        <v>74</v>
      </c>
      <c r="AZ952" s="1" t="s">
        <v>74</v>
      </c>
      <c r="BA952" s="1" t="s">
        <v>74</v>
      </c>
      <c r="BB952" s="1">
        <v>1003</v>
      </c>
      <c r="BC952" s="1">
        <v>1009</v>
      </c>
      <c r="BD952" s="1" t="s">
        <v>15889</v>
      </c>
      <c r="BE952" s="1" t="s">
        <v>15890</v>
      </c>
      <c r="BF952" s="1" t="str">
        <f>HYPERLINK("http://dx.doi.org/10.1016/S0025-326X(02)00138-8","http://dx.doi.org/10.1016/S0025-326X(02)00138-8")</f>
        <v>http://dx.doi.org/10.1016/S0025-326X(02)00138-8</v>
      </c>
      <c r="BG952" s="1" t="s">
        <v>74</v>
      </c>
      <c r="BH952" s="1" t="s">
        <v>74</v>
      </c>
      <c r="BI952" s="1">
        <v>7</v>
      </c>
      <c r="BJ952" s="1" t="s">
        <v>247</v>
      </c>
      <c r="BK952" s="1" t="s">
        <v>96</v>
      </c>
      <c r="BL952" s="1" t="s">
        <v>248</v>
      </c>
      <c r="BM952" s="1" t="s">
        <v>15891</v>
      </c>
      <c r="BN952" s="1">
        <v>12474959</v>
      </c>
      <c r="BO952" s="1" t="s">
        <v>74</v>
      </c>
      <c r="BP952" s="1" t="s">
        <v>74</v>
      </c>
      <c r="BQ952" s="1" t="s">
        <v>74</v>
      </c>
      <c r="BR952" s="1" t="s">
        <v>98</v>
      </c>
      <c r="BS952" s="1" t="s">
        <v>15892</v>
      </c>
      <c r="BT952" s="1" t="str">
        <f>HYPERLINK("https%3A%2F%2Fwww.webofscience.com%2Fwos%2Fwoscc%2Ffull-record%2FWOS:000179296900013","View Full Record in Web of Science")</f>
        <v>View Full Record in Web of Science</v>
      </c>
    </row>
    <row r="953" spans="1:72">
      <c r="A953" s="1" t="s">
        <v>72</v>
      </c>
      <c r="B953" s="1" t="s">
        <v>15893</v>
      </c>
      <c r="C953" s="1" t="s">
        <v>74</v>
      </c>
      <c r="D953" s="1" t="s">
        <v>74</v>
      </c>
      <c r="E953" s="1" t="s">
        <v>74</v>
      </c>
      <c r="F953" s="1" t="s">
        <v>15894</v>
      </c>
      <c r="G953" s="1" t="s">
        <v>74</v>
      </c>
      <c r="H953" s="1" t="s">
        <v>74</v>
      </c>
      <c r="I953" s="1" t="s">
        <v>15895</v>
      </c>
      <c r="J953" s="1" t="s">
        <v>127</v>
      </c>
      <c r="K953" s="1" t="s">
        <v>74</v>
      </c>
      <c r="L953" s="1" t="s">
        <v>74</v>
      </c>
      <c r="M953" s="1" t="s">
        <v>78</v>
      </c>
      <c r="N953" s="1" t="s">
        <v>79</v>
      </c>
      <c r="O953" s="1" t="s">
        <v>74</v>
      </c>
      <c r="P953" s="1" t="s">
        <v>74</v>
      </c>
      <c r="Q953" s="1" t="s">
        <v>74</v>
      </c>
      <c r="R953" s="1" t="s">
        <v>74</v>
      </c>
      <c r="S953" s="1" t="s">
        <v>74</v>
      </c>
      <c r="T953" s="1" t="s">
        <v>15896</v>
      </c>
      <c r="U953" s="1" t="s">
        <v>15897</v>
      </c>
      <c r="V953" s="1" t="s">
        <v>15898</v>
      </c>
      <c r="W953" s="1" t="s">
        <v>15899</v>
      </c>
      <c r="X953" s="1" t="s">
        <v>15900</v>
      </c>
      <c r="Y953" s="1" t="s">
        <v>15901</v>
      </c>
      <c r="Z953" s="1" t="s">
        <v>8595</v>
      </c>
      <c r="AA953" s="1" t="s">
        <v>15902</v>
      </c>
      <c r="AB953" s="1" t="s">
        <v>15903</v>
      </c>
      <c r="AC953" s="1" t="s">
        <v>74</v>
      </c>
      <c r="AD953" s="1" t="s">
        <v>74</v>
      </c>
      <c r="AE953" s="1" t="s">
        <v>74</v>
      </c>
      <c r="AF953" s="1" t="s">
        <v>74</v>
      </c>
      <c r="AG953" s="1">
        <v>80</v>
      </c>
      <c r="AH953" s="1">
        <v>99</v>
      </c>
      <c r="AI953" s="1">
        <v>107</v>
      </c>
      <c r="AJ953" s="1">
        <v>4</v>
      </c>
      <c r="AK953" s="1">
        <v>129</v>
      </c>
      <c r="AL953" s="1" t="s">
        <v>136</v>
      </c>
      <c r="AM953" s="1" t="s">
        <v>137</v>
      </c>
      <c r="AN953" s="1" t="s">
        <v>138</v>
      </c>
      <c r="AO953" s="1" t="s">
        <v>139</v>
      </c>
      <c r="AP953" s="1" t="s">
        <v>140</v>
      </c>
      <c r="AQ953" s="1" t="s">
        <v>74</v>
      </c>
      <c r="AR953" s="1" t="s">
        <v>127</v>
      </c>
      <c r="AS953" s="1" t="s">
        <v>141</v>
      </c>
      <c r="AT953" s="1" t="s">
        <v>224</v>
      </c>
      <c r="AU953" s="1">
        <v>2017</v>
      </c>
      <c r="AV953" s="1">
        <v>169</v>
      </c>
      <c r="AW953" s="1" t="s">
        <v>74</v>
      </c>
      <c r="AX953" s="1" t="s">
        <v>74</v>
      </c>
      <c r="AY953" s="1" t="s">
        <v>74</v>
      </c>
      <c r="AZ953" s="1" t="s">
        <v>74</v>
      </c>
      <c r="BA953" s="1" t="s">
        <v>74</v>
      </c>
      <c r="BB953" s="1">
        <v>493</v>
      </c>
      <c r="BC953" s="1">
        <v>502</v>
      </c>
      <c r="BD953" s="1" t="s">
        <v>74</v>
      </c>
      <c r="BE953" s="1" t="s">
        <v>15904</v>
      </c>
      <c r="BF953" s="1" t="str">
        <f>HYPERLINK("http://dx.doi.org/10.1016/j.chemosphere.2016.11.093","http://dx.doi.org/10.1016/j.chemosphere.2016.11.093")</f>
        <v>http://dx.doi.org/10.1016/j.chemosphere.2016.11.093</v>
      </c>
      <c r="BG953" s="1" t="s">
        <v>74</v>
      </c>
      <c r="BH953" s="1" t="s">
        <v>74</v>
      </c>
      <c r="BI953" s="1">
        <v>10</v>
      </c>
      <c r="BJ953" s="1" t="s">
        <v>144</v>
      </c>
      <c r="BK953" s="1" t="s">
        <v>96</v>
      </c>
      <c r="BL953" s="1" t="s">
        <v>145</v>
      </c>
      <c r="BM953" s="1" t="s">
        <v>15905</v>
      </c>
      <c r="BN953" s="1">
        <v>27894055</v>
      </c>
      <c r="BO953" s="1" t="s">
        <v>74</v>
      </c>
      <c r="BP953" s="1" t="s">
        <v>74</v>
      </c>
      <c r="BQ953" s="1" t="s">
        <v>74</v>
      </c>
      <c r="BR953" s="1" t="s">
        <v>98</v>
      </c>
      <c r="BS953" s="1" t="s">
        <v>15906</v>
      </c>
      <c r="BT953" s="1" t="str">
        <f>HYPERLINK("https%3A%2F%2Fwww.webofscience.com%2Fwos%2Fwoscc%2Ffull-record%2FWOS:000393003300059","View Full Record in Web of Science")</f>
        <v>View Full Record in Web of Science</v>
      </c>
    </row>
    <row r="954" spans="1:72">
      <c r="A954" s="1" t="s">
        <v>72</v>
      </c>
      <c r="B954" s="1" t="s">
        <v>15907</v>
      </c>
      <c r="C954" s="1" t="s">
        <v>74</v>
      </c>
      <c r="D954" s="1" t="s">
        <v>74</v>
      </c>
      <c r="E954" s="1" t="s">
        <v>74</v>
      </c>
      <c r="F954" s="1" t="s">
        <v>15907</v>
      </c>
      <c r="G954" s="1" t="s">
        <v>74</v>
      </c>
      <c r="H954" s="1" t="s">
        <v>74</v>
      </c>
      <c r="I954" s="1" t="s">
        <v>15908</v>
      </c>
      <c r="J954" s="1" t="s">
        <v>232</v>
      </c>
      <c r="K954" s="1" t="s">
        <v>74</v>
      </c>
      <c r="L954" s="1" t="s">
        <v>74</v>
      </c>
      <c r="M954" s="1" t="s">
        <v>78</v>
      </c>
      <c r="N954" s="1" t="s">
        <v>79</v>
      </c>
      <c r="O954" s="1" t="s">
        <v>74</v>
      </c>
      <c r="P954" s="1" t="s">
        <v>74</v>
      </c>
      <c r="Q954" s="1" t="s">
        <v>74</v>
      </c>
      <c r="R954" s="1" t="s">
        <v>74</v>
      </c>
      <c r="S954" s="1" t="s">
        <v>74</v>
      </c>
      <c r="T954" s="1" t="s">
        <v>15909</v>
      </c>
      <c r="U954" s="1" t="s">
        <v>15910</v>
      </c>
      <c r="V954" s="1" t="s">
        <v>15911</v>
      </c>
      <c r="W954" s="1" t="s">
        <v>15912</v>
      </c>
      <c r="X954" s="1" t="s">
        <v>14711</v>
      </c>
      <c r="Y954" s="1" t="s">
        <v>15913</v>
      </c>
      <c r="Z954" s="1" t="s">
        <v>14713</v>
      </c>
      <c r="AA954" s="1" t="s">
        <v>15914</v>
      </c>
      <c r="AB954" s="1" t="s">
        <v>15915</v>
      </c>
      <c r="AC954" s="1" t="s">
        <v>74</v>
      </c>
      <c r="AD954" s="1" t="s">
        <v>74</v>
      </c>
      <c r="AE954" s="1" t="s">
        <v>74</v>
      </c>
      <c r="AF954" s="1" t="s">
        <v>74</v>
      </c>
      <c r="AG954" s="1">
        <v>36</v>
      </c>
      <c r="AH954" s="1">
        <v>65</v>
      </c>
      <c r="AI954" s="1">
        <v>70</v>
      </c>
      <c r="AJ954" s="1">
        <v>0</v>
      </c>
      <c r="AK954" s="1">
        <v>19</v>
      </c>
      <c r="AL954" s="1" t="s">
        <v>136</v>
      </c>
      <c r="AM954" s="1" t="s">
        <v>137</v>
      </c>
      <c r="AN954" s="1" t="s">
        <v>138</v>
      </c>
      <c r="AO954" s="1" t="s">
        <v>240</v>
      </c>
      <c r="AP954" s="1" t="s">
        <v>241</v>
      </c>
      <c r="AQ954" s="1" t="s">
        <v>74</v>
      </c>
      <c r="AR954" s="1" t="s">
        <v>242</v>
      </c>
      <c r="AS954" s="1" t="s">
        <v>243</v>
      </c>
      <c r="AT954" s="1" t="s">
        <v>267</v>
      </c>
      <c r="AU954" s="1">
        <v>2002</v>
      </c>
      <c r="AV954" s="1">
        <v>44</v>
      </c>
      <c r="AW954" s="1">
        <v>10</v>
      </c>
      <c r="AX954" s="1" t="s">
        <v>74</v>
      </c>
      <c r="AY954" s="1" t="s">
        <v>74</v>
      </c>
      <c r="AZ954" s="1" t="s">
        <v>74</v>
      </c>
      <c r="BA954" s="1" t="s">
        <v>74</v>
      </c>
      <c r="BB954" s="1">
        <v>1018</v>
      </c>
      <c r="BC954" s="1">
        <v>1023</v>
      </c>
      <c r="BD954" s="1" t="s">
        <v>15916</v>
      </c>
      <c r="BE954" s="1" t="s">
        <v>15917</v>
      </c>
      <c r="BF954" s="1" t="str">
        <f>HYPERLINK("http://dx.doi.org/10.1016/S0025-326X(02)00140-6","http://dx.doi.org/10.1016/S0025-326X(02)00140-6")</f>
        <v>http://dx.doi.org/10.1016/S0025-326X(02)00140-6</v>
      </c>
      <c r="BG954" s="1" t="s">
        <v>74</v>
      </c>
      <c r="BH954" s="1" t="s">
        <v>74</v>
      </c>
      <c r="BI954" s="1">
        <v>6</v>
      </c>
      <c r="BJ954" s="1" t="s">
        <v>247</v>
      </c>
      <c r="BK954" s="1" t="s">
        <v>96</v>
      </c>
      <c r="BL954" s="1" t="s">
        <v>248</v>
      </c>
      <c r="BM954" s="1" t="s">
        <v>15891</v>
      </c>
      <c r="BN954" s="1">
        <v>12474961</v>
      </c>
      <c r="BO954" s="1" t="s">
        <v>74</v>
      </c>
      <c r="BP954" s="1" t="s">
        <v>74</v>
      </c>
      <c r="BQ954" s="1" t="s">
        <v>74</v>
      </c>
      <c r="BR954" s="1" t="s">
        <v>98</v>
      </c>
      <c r="BS954" s="1" t="s">
        <v>15918</v>
      </c>
      <c r="BT954" s="1" t="str">
        <f>HYPERLINK("https%3A%2F%2Fwww.webofscience.com%2Fwos%2Fwoscc%2Ffull-record%2FWOS:000179296900015","View Full Record in Web of Science")</f>
        <v>View Full Record in Web of Science</v>
      </c>
    </row>
    <row r="955" spans="1:72">
      <c r="A955" s="1" t="s">
        <v>72</v>
      </c>
      <c r="B955" s="1" t="s">
        <v>15919</v>
      </c>
      <c r="C955" s="1" t="s">
        <v>74</v>
      </c>
      <c r="D955" s="1" t="s">
        <v>74</v>
      </c>
      <c r="E955" s="1" t="s">
        <v>74</v>
      </c>
      <c r="F955" s="1" t="s">
        <v>15920</v>
      </c>
      <c r="G955" s="1" t="s">
        <v>74</v>
      </c>
      <c r="H955" s="1" t="s">
        <v>74</v>
      </c>
      <c r="I955" s="1" t="s">
        <v>15921</v>
      </c>
      <c r="J955" s="1" t="s">
        <v>1275</v>
      </c>
      <c r="K955" s="1" t="s">
        <v>74</v>
      </c>
      <c r="L955" s="1" t="s">
        <v>74</v>
      </c>
      <c r="M955" s="1" t="s">
        <v>78</v>
      </c>
      <c r="N955" s="1" t="s">
        <v>79</v>
      </c>
      <c r="O955" s="1" t="s">
        <v>74</v>
      </c>
      <c r="P955" s="1" t="s">
        <v>74</v>
      </c>
      <c r="Q955" s="1" t="s">
        <v>74</v>
      </c>
      <c r="R955" s="1" t="s">
        <v>74</v>
      </c>
      <c r="S955" s="1" t="s">
        <v>74</v>
      </c>
      <c r="T955" s="1" t="s">
        <v>15922</v>
      </c>
      <c r="U955" s="1" t="s">
        <v>15923</v>
      </c>
      <c r="V955" s="1" t="s">
        <v>15924</v>
      </c>
      <c r="W955" s="1" t="s">
        <v>15925</v>
      </c>
      <c r="X955" s="1" t="s">
        <v>539</v>
      </c>
      <c r="Y955" s="1" t="s">
        <v>15926</v>
      </c>
      <c r="Z955" s="1" t="s">
        <v>15927</v>
      </c>
      <c r="AA955" s="1" t="s">
        <v>15928</v>
      </c>
      <c r="AB955" s="1" t="s">
        <v>15929</v>
      </c>
      <c r="AC955" s="1" t="s">
        <v>74</v>
      </c>
      <c r="AD955" s="1" t="s">
        <v>74</v>
      </c>
      <c r="AE955" s="1" t="s">
        <v>74</v>
      </c>
      <c r="AF955" s="1" t="s">
        <v>74</v>
      </c>
      <c r="AG955" s="1">
        <v>56</v>
      </c>
      <c r="AH955" s="1">
        <v>4</v>
      </c>
      <c r="AI955" s="1">
        <v>4</v>
      </c>
      <c r="AJ955" s="1">
        <v>2</v>
      </c>
      <c r="AK955" s="1">
        <v>5</v>
      </c>
      <c r="AL955" s="1" t="s">
        <v>650</v>
      </c>
      <c r="AM955" s="1" t="s">
        <v>651</v>
      </c>
      <c r="AN955" s="1" t="s">
        <v>652</v>
      </c>
      <c r="AO955" s="1" t="s">
        <v>1287</v>
      </c>
      <c r="AP955" s="1" t="s">
        <v>74</v>
      </c>
      <c r="AQ955" s="1" t="s">
        <v>74</v>
      </c>
      <c r="AR955" s="1" t="s">
        <v>1288</v>
      </c>
      <c r="AS955" s="1" t="s">
        <v>1289</v>
      </c>
      <c r="AT955" s="1" t="s">
        <v>93</v>
      </c>
      <c r="AU955" s="1">
        <v>2023</v>
      </c>
      <c r="AV955" s="1">
        <v>59</v>
      </c>
      <c r="AW955" s="1" t="s">
        <v>74</v>
      </c>
      <c r="AX955" s="1" t="s">
        <v>74</v>
      </c>
      <c r="AY955" s="1" t="s">
        <v>74</v>
      </c>
      <c r="AZ955" s="1" t="s">
        <v>74</v>
      </c>
      <c r="BA955" s="1" t="s">
        <v>74</v>
      </c>
      <c r="BB955" s="1" t="s">
        <v>74</v>
      </c>
      <c r="BC955" s="1" t="s">
        <v>74</v>
      </c>
      <c r="BD955" s="1">
        <v>102803</v>
      </c>
      <c r="BE955" s="1" t="s">
        <v>15930</v>
      </c>
      <c r="BF955" s="1" t="str">
        <f>HYPERLINK("http://dx.doi.org/10.1016/j.rsma.2022.102803","http://dx.doi.org/10.1016/j.rsma.2022.102803")</f>
        <v>http://dx.doi.org/10.1016/j.rsma.2022.102803</v>
      </c>
      <c r="BG955" s="1" t="s">
        <v>74</v>
      </c>
      <c r="BH955" s="1" t="s">
        <v>2057</v>
      </c>
      <c r="BI955" s="1">
        <v>9</v>
      </c>
      <c r="BJ955" s="1" t="s">
        <v>1292</v>
      </c>
      <c r="BK955" s="1" t="s">
        <v>96</v>
      </c>
      <c r="BL955" s="1" t="s">
        <v>248</v>
      </c>
      <c r="BM955" s="1" t="s">
        <v>15931</v>
      </c>
      <c r="BN955" s="1" t="s">
        <v>74</v>
      </c>
      <c r="BO955" s="1" t="s">
        <v>74</v>
      </c>
      <c r="BP955" s="1" t="s">
        <v>74</v>
      </c>
      <c r="BQ955" s="1" t="s">
        <v>74</v>
      </c>
      <c r="BR955" s="1" t="s">
        <v>98</v>
      </c>
      <c r="BS955" s="1" t="s">
        <v>15932</v>
      </c>
      <c r="BT955" s="1" t="str">
        <f>HYPERLINK("https%3A%2F%2Fwww.webofscience.com%2Fwos%2Fwoscc%2Ffull-record%2FWOS:000919423300001","View Full Record in Web of Science")</f>
        <v>View Full Record in Web of Science</v>
      </c>
    </row>
    <row r="956" spans="1:72">
      <c r="A956" s="1" t="s">
        <v>72</v>
      </c>
      <c r="B956" s="1" t="s">
        <v>15933</v>
      </c>
      <c r="C956" s="1" t="s">
        <v>74</v>
      </c>
      <c r="D956" s="1" t="s">
        <v>74</v>
      </c>
      <c r="E956" s="1" t="s">
        <v>74</v>
      </c>
      <c r="F956" s="1" t="s">
        <v>15934</v>
      </c>
      <c r="G956" s="1" t="s">
        <v>74</v>
      </c>
      <c r="H956" s="1" t="s">
        <v>74</v>
      </c>
      <c r="I956" s="1" t="s">
        <v>15935</v>
      </c>
      <c r="J956" s="1" t="s">
        <v>232</v>
      </c>
      <c r="K956" s="1" t="s">
        <v>74</v>
      </c>
      <c r="L956" s="1" t="s">
        <v>74</v>
      </c>
      <c r="M956" s="1" t="s">
        <v>78</v>
      </c>
      <c r="N956" s="1" t="s">
        <v>79</v>
      </c>
      <c r="O956" s="1" t="s">
        <v>74</v>
      </c>
      <c r="P956" s="1" t="s">
        <v>74</v>
      </c>
      <c r="Q956" s="1" t="s">
        <v>74</v>
      </c>
      <c r="R956" s="1" t="s">
        <v>74</v>
      </c>
      <c r="S956" s="1" t="s">
        <v>74</v>
      </c>
      <c r="T956" s="1" t="s">
        <v>15936</v>
      </c>
      <c r="U956" s="1" t="s">
        <v>15937</v>
      </c>
      <c r="V956" s="1" t="s">
        <v>15938</v>
      </c>
      <c r="W956" s="1" t="s">
        <v>15939</v>
      </c>
      <c r="X956" s="1" t="s">
        <v>7465</v>
      </c>
      <c r="Y956" s="1" t="s">
        <v>15940</v>
      </c>
      <c r="Z956" s="1" t="s">
        <v>15941</v>
      </c>
      <c r="AA956" s="1" t="s">
        <v>15942</v>
      </c>
      <c r="AB956" s="1" t="s">
        <v>7486</v>
      </c>
      <c r="AC956" s="1" t="s">
        <v>74</v>
      </c>
      <c r="AD956" s="1" t="s">
        <v>74</v>
      </c>
      <c r="AE956" s="1" t="s">
        <v>74</v>
      </c>
      <c r="AF956" s="1" t="s">
        <v>74</v>
      </c>
      <c r="AG956" s="1">
        <v>66</v>
      </c>
      <c r="AH956" s="1">
        <v>3</v>
      </c>
      <c r="AI956" s="1">
        <v>3</v>
      </c>
      <c r="AJ956" s="1">
        <v>2</v>
      </c>
      <c r="AK956" s="1">
        <v>7</v>
      </c>
      <c r="AL956" s="1" t="s">
        <v>136</v>
      </c>
      <c r="AM956" s="1" t="s">
        <v>137</v>
      </c>
      <c r="AN956" s="1" t="s">
        <v>138</v>
      </c>
      <c r="AO956" s="1" t="s">
        <v>240</v>
      </c>
      <c r="AP956" s="1" t="s">
        <v>241</v>
      </c>
      <c r="AQ956" s="1" t="s">
        <v>74</v>
      </c>
      <c r="AR956" s="1" t="s">
        <v>242</v>
      </c>
      <c r="AS956" s="1" t="s">
        <v>243</v>
      </c>
      <c r="AT956" s="1" t="s">
        <v>142</v>
      </c>
      <c r="AU956" s="1">
        <v>2023</v>
      </c>
      <c r="AV956" s="1">
        <v>191</v>
      </c>
      <c r="AW956" s="1" t="s">
        <v>74</v>
      </c>
      <c r="AX956" s="1" t="s">
        <v>74</v>
      </c>
      <c r="AY956" s="1" t="s">
        <v>74</v>
      </c>
      <c r="AZ956" s="1" t="s">
        <v>74</v>
      </c>
      <c r="BA956" s="1" t="s">
        <v>74</v>
      </c>
      <c r="BB956" s="1" t="s">
        <v>74</v>
      </c>
      <c r="BC956" s="1" t="s">
        <v>74</v>
      </c>
      <c r="BD956" s="1">
        <v>114837</v>
      </c>
      <c r="BE956" s="1" t="s">
        <v>15943</v>
      </c>
      <c r="BF956" s="1" t="str">
        <f>HYPERLINK("http://dx.doi.org/10.1016/j.marpolbul.2023.114837","http://dx.doi.org/10.1016/j.marpolbul.2023.114837")</f>
        <v>http://dx.doi.org/10.1016/j.marpolbul.2023.114837</v>
      </c>
      <c r="BG956" s="1" t="s">
        <v>74</v>
      </c>
      <c r="BH956" s="1" t="s">
        <v>2540</v>
      </c>
      <c r="BI956" s="1">
        <v>10</v>
      </c>
      <c r="BJ956" s="1" t="s">
        <v>247</v>
      </c>
      <c r="BK956" s="1" t="s">
        <v>96</v>
      </c>
      <c r="BL956" s="1" t="s">
        <v>248</v>
      </c>
      <c r="BM956" s="1" t="s">
        <v>15944</v>
      </c>
      <c r="BN956" s="1">
        <v>37043930</v>
      </c>
      <c r="BO956" s="1" t="s">
        <v>74</v>
      </c>
      <c r="BP956" s="1" t="s">
        <v>74</v>
      </c>
      <c r="BQ956" s="1" t="s">
        <v>74</v>
      </c>
      <c r="BR956" s="1" t="s">
        <v>98</v>
      </c>
      <c r="BS956" s="1" t="s">
        <v>15945</v>
      </c>
      <c r="BT956" s="1" t="str">
        <f>HYPERLINK("https%3A%2F%2Fwww.webofscience.com%2Fwos%2Fwoscc%2Ffull-record%2FWOS:000980001000001","View Full Record in Web of Science")</f>
        <v>View Full Record in Web of Science</v>
      </c>
    </row>
    <row r="957" spans="1:72">
      <c r="A957" s="1" t="s">
        <v>72</v>
      </c>
      <c r="B957" s="1" t="s">
        <v>15946</v>
      </c>
      <c r="C957" s="1" t="s">
        <v>74</v>
      </c>
      <c r="D957" s="1" t="s">
        <v>74</v>
      </c>
      <c r="E957" s="1" t="s">
        <v>74</v>
      </c>
      <c r="F957" s="1" t="s">
        <v>15946</v>
      </c>
      <c r="G957" s="1" t="s">
        <v>74</v>
      </c>
      <c r="H957" s="1" t="s">
        <v>74</v>
      </c>
      <c r="I957" s="1" t="s">
        <v>15947</v>
      </c>
      <c r="J957" s="1" t="s">
        <v>641</v>
      </c>
      <c r="K957" s="1" t="s">
        <v>74</v>
      </c>
      <c r="L957" s="1" t="s">
        <v>74</v>
      </c>
      <c r="M957" s="1" t="s">
        <v>78</v>
      </c>
      <c r="N957" s="1" t="s">
        <v>79</v>
      </c>
      <c r="O957" s="1" t="s">
        <v>74</v>
      </c>
      <c r="P957" s="1" t="s">
        <v>74</v>
      </c>
      <c r="Q957" s="1" t="s">
        <v>74</v>
      </c>
      <c r="R957" s="1" t="s">
        <v>74</v>
      </c>
      <c r="S957" s="1" t="s">
        <v>74</v>
      </c>
      <c r="T957" s="1" t="s">
        <v>15948</v>
      </c>
      <c r="U957" s="1" t="s">
        <v>15949</v>
      </c>
      <c r="V957" s="1" t="s">
        <v>15950</v>
      </c>
      <c r="W957" s="1" t="s">
        <v>15951</v>
      </c>
      <c r="X957" s="1" t="s">
        <v>15952</v>
      </c>
      <c r="Y957" s="1" t="s">
        <v>15953</v>
      </c>
      <c r="Z957" s="1" t="s">
        <v>15954</v>
      </c>
      <c r="AA957" s="1" t="s">
        <v>74</v>
      </c>
      <c r="AB957" s="1" t="s">
        <v>15955</v>
      </c>
      <c r="AC957" s="1" t="s">
        <v>74</v>
      </c>
      <c r="AD957" s="1" t="s">
        <v>74</v>
      </c>
      <c r="AE957" s="1" t="s">
        <v>74</v>
      </c>
      <c r="AF957" s="1" t="s">
        <v>74</v>
      </c>
      <c r="AG957" s="1">
        <v>40</v>
      </c>
      <c r="AH957" s="1">
        <v>56</v>
      </c>
      <c r="AI957" s="1">
        <v>63</v>
      </c>
      <c r="AJ957" s="1">
        <v>0</v>
      </c>
      <c r="AK957" s="1">
        <v>16</v>
      </c>
      <c r="AL957" s="1" t="s">
        <v>650</v>
      </c>
      <c r="AM957" s="1" t="s">
        <v>651</v>
      </c>
      <c r="AN957" s="1" t="s">
        <v>652</v>
      </c>
      <c r="AO957" s="1" t="s">
        <v>653</v>
      </c>
      <c r="AP957" s="1" t="s">
        <v>654</v>
      </c>
      <c r="AQ957" s="1" t="s">
        <v>74</v>
      </c>
      <c r="AR957" s="1" t="s">
        <v>655</v>
      </c>
      <c r="AS957" s="1" t="s">
        <v>656</v>
      </c>
      <c r="AT957" s="1" t="s">
        <v>267</v>
      </c>
      <c r="AU957" s="1">
        <v>2000</v>
      </c>
      <c r="AV957" s="1">
        <v>50</v>
      </c>
      <c r="AW957" s="1">
        <v>4</v>
      </c>
      <c r="AX957" s="1" t="s">
        <v>74</v>
      </c>
      <c r="AY957" s="1" t="s">
        <v>74</v>
      </c>
      <c r="AZ957" s="1" t="s">
        <v>74</v>
      </c>
      <c r="BA957" s="1" t="s">
        <v>74</v>
      </c>
      <c r="BB957" s="1">
        <v>341</v>
      </c>
      <c r="BC957" s="1">
        <v>349</v>
      </c>
      <c r="BD957" s="1" t="s">
        <v>74</v>
      </c>
      <c r="BE957" s="1" t="s">
        <v>15956</v>
      </c>
      <c r="BF957" s="1" t="str">
        <f>HYPERLINK("http://dx.doi.org/10.1016/S0166-445X(00)00092-8","http://dx.doi.org/10.1016/S0166-445X(00)00092-8")</f>
        <v>http://dx.doi.org/10.1016/S0166-445X(00)00092-8</v>
      </c>
      <c r="BG957" s="1" t="s">
        <v>74</v>
      </c>
      <c r="BH957" s="1" t="s">
        <v>74</v>
      </c>
      <c r="BI957" s="1">
        <v>9</v>
      </c>
      <c r="BJ957" s="1" t="s">
        <v>659</v>
      </c>
      <c r="BK957" s="1" t="s">
        <v>96</v>
      </c>
      <c r="BL957" s="1" t="s">
        <v>659</v>
      </c>
      <c r="BM957" s="1" t="s">
        <v>15957</v>
      </c>
      <c r="BN957" s="1">
        <v>10967396</v>
      </c>
      <c r="BO957" s="1" t="s">
        <v>74</v>
      </c>
      <c r="BP957" s="1" t="s">
        <v>74</v>
      </c>
      <c r="BQ957" s="1" t="s">
        <v>74</v>
      </c>
      <c r="BR957" s="1" t="s">
        <v>98</v>
      </c>
      <c r="BS957" s="1" t="s">
        <v>15958</v>
      </c>
      <c r="BT957" s="1" t="str">
        <f>HYPERLINK("https%3A%2F%2Fwww.webofscience.com%2Fwos%2Fwoscc%2Ffull-record%2FWOS:000089285800005","View Full Record in Web of Science")</f>
        <v>View Full Record in Web of Science</v>
      </c>
    </row>
    <row r="958" spans="1:72">
      <c r="A958" s="1" t="s">
        <v>72</v>
      </c>
      <c r="B958" s="1" t="s">
        <v>15959</v>
      </c>
      <c r="C958" s="1" t="s">
        <v>74</v>
      </c>
      <c r="D958" s="1" t="s">
        <v>74</v>
      </c>
      <c r="E958" s="1" t="s">
        <v>74</v>
      </c>
      <c r="F958" s="1" t="s">
        <v>15959</v>
      </c>
      <c r="G958" s="1" t="s">
        <v>74</v>
      </c>
      <c r="H958" s="1" t="s">
        <v>74</v>
      </c>
      <c r="I958" s="1" t="s">
        <v>15960</v>
      </c>
      <c r="J958" s="1" t="s">
        <v>232</v>
      </c>
      <c r="K958" s="1" t="s">
        <v>74</v>
      </c>
      <c r="L958" s="1" t="s">
        <v>74</v>
      </c>
      <c r="M958" s="1" t="s">
        <v>78</v>
      </c>
      <c r="N958" s="1" t="s">
        <v>79</v>
      </c>
      <c r="O958" s="1" t="s">
        <v>74</v>
      </c>
      <c r="P958" s="1" t="s">
        <v>74</v>
      </c>
      <c r="Q958" s="1" t="s">
        <v>74</v>
      </c>
      <c r="R958" s="1" t="s">
        <v>74</v>
      </c>
      <c r="S958" s="1" t="s">
        <v>74</v>
      </c>
      <c r="T958" s="1" t="s">
        <v>15961</v>
      </c>
      <c r="U958" s="1" t="s">
        <v>15962</v>
      </c>
      <c r="V958" s="1" t="s">
        <v>15963</v>
      </c>
      <c r="W958" s="1" t="s">
        <v>15964</v>
      </c>
      <c r="X958" s="1" t="s">
        <v>15965</v>
      </c>
      <c r="Y958" s="1" t="s">
        <v>15966</v>
      </c>
      <c r="Z958" s="1" t="s">
        <v>15967</v>
      </c>
      <c r="AA958" s="1" t="s">
        <v>74</v>
      </c>
      <c r="AB958" s="1" t="s">
        <v>74</v>
      </c>
      <c r="AC958" s="1" t="s">
        <v>74</v>
      </c>
      <c r="AD958" s="1" t="s">
        <v>74</v>
      </c>
      <c r="AE958" s="1" t="s">
        <v>74</v>
      </c>
      <c r="AF958" s="1" t="s">
        <v>74</v>
      </c>
      <c r="AG958" s="1">
        <v>29</v>
      </c>
      <c r="AH958" s="1">
        <v>17</v>
      </c>
      <c r="AI958" s="1">
        <v>18</v>
      </c>
      <c r="AJ958" s="1">
        <v>1</v>
      </c>
      <c r="AK958" s="1">
        <v>21</v>
      </c>
      <c r="AL958" s="1" t="s">
        <v>136</v>
      </c>
      <c r="AM958" s="1" t="s">
        <v>137</v>
      </c>
      <c r="AN958" s="1" t="s">
        <v>138</v>
      </c>
      <c r="AO958" s="1" t="s">
        <v>240</v>
      </c>
      <c r="AP958" s="1" t="s">
        <v>241</v>
      </c>
      <c r="AQ958" s="1" t="s">
        <v>74</v>
      </c>
      <c r="AR958" s="1" t="s">
        <v>242</v>
      </c>
      <c r="AS958" s="1" t="s">
        <v>243</v>
      </c>
      <c r="AT958" s="1" t="s">
        <v>224</v>
      </c>
      <c r="AU958" s="1">
        <v>2005</v>
      </c>
      <c r="AV958" s="1">
        <v>50</v>
      </c>
      <c r="AW958" s="1">
        <v>2</v>
      </c>
      <c r="AX958" s="1" t="s">
        <v>74</v>
      </c>
      <c r="AY958" s="1" t="s">
        <v>74</v>
      </c>
      <c r="AZ958" s="1" t="s">
        <v>74</v>
      </c>
      <c r="BA958" s="1" t="s">
        <v>74</v>
      </c>
      <c r="BB958" s="1">
        <v>175</v>
      </c>
      <c r="BC958" s="1">
        <v>184</v>
      </c>
      <c r="BD958" s="1" t="s">
        <v>74</v>
      </c>
      <c r="BE958" s="1" t="s">
        <v>15968</v>
      </c>
      <c r="BF958" s="1" t="str">
        <f>HYPERLINK("http://dx.doi.org/10.1016/j.marpolbul.2004.10.007","http://dx.doi.org/10.1016/j.marpolbul.2004.10.007")</f>
        <v>http://dx.doi.org/10.1016/j.marpolbul.2004.10.007</v>
      </c>
      <c r="BG958" s="1" t="s">
        <v>74</v>
      </c>
      <c r="BH958" s="1" t="s">
        <v>74</v>
      </c>
      <c r="BI958" s="1">
        <v>10</v>
      </c>
      <c r="BJ958" s="1" t="s">
        <v>247</v>
      </c>
      <c r="BK958" s="1" t="s">
        <v>96</v>
      </c>
      <c r="BL958" s="1" t="s">
        <v>248</v>
      </c>
      <c r="BM958" s="1" t="s">
        <v>15969</v>
      </c>
      <c r="BN958" s="1">
        <v>15737359</v>
      </c>
      <c r="BO958" s="1" t="s">
        <v>74</v>
      </c>
      <c r="BP958" s="1" t="s">
        <v>74</v>
      </c>
      <c r="BQ958" s="1" t="s">
        <v>74</v>
      </c>
      <c r="BR958" s="1" t="s">
        <v>98</v>
      </c>
      <c r="BS958" s="1" t="s">
        <v>15970</v>
      </c>
      <c r="BT958" s="1" t="str">
        <f>HYPERLINK("https%3A%2F%2Fwww.webofscience.com%2Fwos%2Fwoscc%2Ffull-record%2FWOS:000227762000018","View Full Record in Web of Science")</f>
        <v>View Full Record in Web of Science</v>
      </c>
    </row>
    <row r="959" spans="1:72">
      <c r="A959" s="1" t="s">
        <v>72</v>
      </c>
      <c r="B959" s="1" t="s">
        <v>15971</v>
      </c>
      <c r="C959" s="1" t="s">
        <v>74</v>
      </c>
      <c r="D959" s="1" t="s">
        <v>74</v>
      </c>
      <c r="E959" s="1" t="s">
        <v>74</v>
      </c>
      <c r="F959" s="1" t="s">
        <v>15972</v>
      </c>
      <c r="G959" s="1" t="s">
        <v>74</v>
      </c>
      <c r="H959" s="1" t="s">
        <v>74</v>
      </c>
      <c r="I959" s="1" t="s">
        <v>15973</v>
      </c>
      <c r="J959" s="1" t="s">
        <v>421</v>
      </c>
      <c r="K959" s="1" t="s">
        <v>74</v>
      </c>
      <c r="L959" s="1" t="s">
        <v>74</v>
      </c>
      <c r="M959" s="1" t="s">
        <v>78</v>
      </c>
      <c r="N959" s="1" t="s">
        <v>79</v>
      </c>
      <c r="O959" s="1" t="s">
        <v>74</v>
      </c>
      <c r="P959" s="1" t="s">
        <v>74</v>
      </c>
      <c r="Q959" s="1" t="s">
        <v>74</v>
      </c>
      <c r="R959" s="1" t="s">
        <v>74</v>
      </c>
      <c r="S959" s="1" t="s">
        <v>74</v>
      </c>
      <c r="T959" s="1" t="s">
        <v>15974</v>
      </c>
      <c r="U959" s="1" t="s">
        <v>15975</v>
      </c>
      <c r="V959" s="1" t="s">
        <v>15976</v>
      </c>
      <c r="W959" s="1" t="s">
        <v>15977</v>
      </c>
      <c r="X959" s="1" t="s">
        <v>15978</v>
      </c>
      <c r="Y959" s="1" t="s">
        <v>15979</v>
      </c>
      <c r="Z959" s="1" t="s">
        <v>15980</v>
      </c>
      <c r="AA959" s="1" t="s">
        <v>15981</v>
      </c>
      <c r="AB959" s="1" t="s">
        <v>15982</v>
      </c>
      <c r="AC959" s="1" t="s">
        <v>74</v>
      </c>
      <c r="AD959" s="1" t="s">
        <v>74</v>
      </c>
      <c r="AE959" s="1" t="s">
        <v>74</v>
      </c>
      <c r="AF959" s="1" t="s">
        <v>74</v>
      </c>
      <c r="AG959" s="1">
        <v>26</v>
      </c>
      <c r="AH959" s="1">
        <v>44</v>
      </c>
      <c r="AI959" s="1">
        <v>48</v>
      </c>
      <c r="AJ959" s="1">
        <v>0</v>
      </c>
      <c r="AK959" s="1">
        <v>38</v>
      </c>
      <c r="AL959" s="1" t="s">
        <v>430</v>
      </c>
      <c r="AM959" s="1" t="s">
        <v>137</v>
      </c>
      <c r="AN959" s="1" t="s">
        <v>431</v>
      </c>
      <c r="AO959" s="1" t="s">
        <v>432</v>
      </c>
      <c r="AP959" s="1" t="s">
        <v>1394</v>
      </c>
      <c r="AQ959" s="1" t="s">
        <v>74</v>
      </c>
      <c r="AR959" s="1" t="s">
        <v>433</v>
      </c>
      <c r="AS959" s="1" t="s">
        <v>434</v>
      </c>
      <c r="AT959" s="1" t="s">
        <v>1470</v>
      </c>
      <c r="AU959" s="1">
        <v>2007</v>
      </c>
      <c r="AV959" s="1">
        <v>145</v>
      </c>
      <c r="AW959" s="1">
        <v>1</v>
      </c>
      <c r="AX959" s="1" t="s">
        <v>74</v>
      </c>
      <c r="AY959" s="1" t="s">
        <v>74</v>
      </c>
      <c r="AZ959" s="1" t="s">
        <v>74</v>
      </c>
      <c r="BA959" s="1" t="s">
        <v>74</v>
      </c>
      <c r="BB959" s="1">
        <v>104</v>
      </c>
      <c r="BC959" s="1">
        <v>110</v>
      </c>
      <c r="BD959" s="1" t="s">
        <v>74</v>
      </c>
      <c r="BE959" s="1" t="s">
        <v>15983</v>
      </c>
      <c r="BF959" s="1" t="str">
        <f>HYPERLINK("http://dx.doi.org/10.1016/j.envpol.2006.03.053","http://dx.doi.org/10.1016/j.envpol.2006.03.053")</f>
        <v>http://dx.doi.org/10.1016/j.envpol.2006.03.053</v>
      </c>
      <c r="BG959" s="1" t="s">
        <v>74</v>
      </c>
      <c r="BH959" s="1" t="s">
        <v>74</v>
      </c>
      <c r="BI959" s="1">
        <v>7</v>
      </c>
      <c r="BJ959" s="1" t="s">
        <v>144</v>
      </c>
      <c r="BK959" s="1" t="s">
        <v>96</v>
      </c>
      <c r="BL959" s="1" t="s">
        <v>145</v>
      </c>
      <c r="BM959" s="1" t="s">
        <v>15984</v>
      </c>
      <c r="BN959" s="1">
        <v>16815610</v>
      </c>
      <c r="BO959" s="1" t="s">
        <v>74</v>
      </c>
      <c r="BP959" s="1" t="s">
        <v>74</v>
      </c>
      <c r="BQ959" s="1" t="s">
        <v>74</v>
      </c>
      <c r="BR959" s="1" t="s">
        <v>98</v>
      </c>
      <c r="BS959" s="1" t="s">
        <v>15985</v>
      </c>
      <c r="BT959" s="1" t="str">
        <f>HYPERLINK("https%3A%2F%2Fwww.webofscience.com%2Fwos%2Fwoscc%2Ffull-record%2FWOS:000242348600013","View Full Record in Web of Science")</f>
        <v>View Full Record in Web of Science</v>
      </c>
    </row>
    <row r="960" spans="1:72">
      <c r="A960" s="1" t="s">
        <v>72</v>
      </c>
      <c r="B960" s="1" t="s">
        <v>15986</v>
      </c>
      <c r="C960" s="1" t="s">
        <v>74</v>
      </c>
      <c r="D960" s="1" t="s">
        <v>74</v>
      </c>
      <c r="E960" s="1" t="s">
        <v>74</v>
      </c>
      <c r="F960" s="1" t="s">
        <v>15986</v>
      </c>
      <c r="G960" s="1" t="s">
        <v>74</v>
      </c>
      <c r="H960" s="1" t="s">
        <v>74</v>
      </c>
      <c r="I960" s="1" t="s">
        <v>15987</v>
      </c>
      <c r="J960" s="1" t="s">
        <v>4663</v>
      </c>
      <c r="K960" s="1" t="s">
        <v>74</v>
      </c>
      <c r="L960" s="1" t="s">
        <v>74</v>
      </c>
      <c r="M960" s="1" t="s">
        <v>78</v>
      </c>
      <c r="N960" s="1" t="s">
        <v>151</v>
      </c>
      <c r="O960" s="1" t="s">
        <v>15988</v>
      </c>
      <c r="P960" s="1" t="s">
        <v>15989</v>
      </c>
      <c r="Q960" s="1" t="s">
        <v>15990</v>
      </c>
      <c r="R960" s="1" t="s">
        <v>74</v>
      </c>
      <c r="S960" s="1" t="s">
        <v>74</v>
      </c>
      <c r="T960" s="1" t="s">
        <v>15991</v>
      </c>
      <c r="U960" s="1" t="s">
        <v>15992</v>
      </c>
      <c r="V960" s="1" t="s">
        <v>15993</v>
      </c>
      <c r="W960" s="1" t="s">
        <v>15994</v>
      </c>
      <c r="X960" s="1" t="s">
        <v>15995</v>
      </c>
      <c r="Y960" s="1" t="s">
        <v>15996</v>
      </c>
      <c r="Z960" s="1" t="s">
        <v>74</v>
      </c>
      <c r="AA960" s="1" t="s">
        <v>15997</v>
      </c>
      <c r="AB960" s="1" t="s">
        <v>15998</v>
      </c>
      <c r="AC960" s="1" t="s">
        <v>74</v>
      </c>
      <c r="AD960" s="1" t="s">
        <v>74</v>
      </c>
      <c r="AE960" s="1" t="s">
        <v>74</v>
      </c>
      <c r="AF960" s="1" t="s">
        <v>74</v>
      </c>
      <c r="AG960" s="1">
        <v>40</v>
      </c>
      <c r="AH960" s="1">
        <v>2</v>
      </c>
      <c r="AI960" s="1">
        <v>2</v>
      </c>
      <c r="AJ960" s="1">
        <v>0</v>
      </c>
      <c r="AK960" s="1">
        <v>8</v>
      </c>
      <c r="AL960" s="1" t="s">
        <v>12910</v>
      </c>
      <c r="AM960" s="1" t="s">
        <v>12911</v>
      </c>
      <c r="AN960" s="1" t="s">
        <v>15999</v>
      </c>
      <c r="AO960" s="1" t="s">
        <v>4675</v>
      </c>
      <c r="AP960" s="1" t="s">
        <v>74</v>
      </c>
      <c r="AQ960" s="1" t="s">
        <v>74</v>
      </c>
      <c r="AR960" s="1" t="s">
        <v>4677</v>
      </c>
      <c r="AS960" s="1" t="s">
        <v>4678</v>
      </c>
      <c r="AT960" s="1" t="s">
        <v>74</v>
      </c>
      <c r="AU960" s="1">
        <v>1999</v>
      </c>
      <c r="AV960" s="1">
        <v>75</v>
      </c>
      <c r="AW960" s="1" t="s">
        <v>326</v>
      </c>
      <c r="AX960" s="1" t="s">
        <v>74</v>
      </c>
      <c r="AY960" s="1" t="s">
        <v>74</v>
      </c>
      <c r="AZ960" s="1" t="s">
        <v>74</v>
      </c>
      <c r="BA960" s="1" t="s">
        <v>74</v>
      </c>
      <c r="BB960" s="1">
        <v>107</v>
      </c>
      <c r="BC960" s="1">
        <v>120</v>
      </c>
      <c r="BD960" s="1" t="s">
        <v>74</v>
      </c>
      <c r="BE960" s="1" t="s">
        <v>16000</v>
      </c>
      <c r="BF960" s="1" t="str">
        <f>HYPERLINK("http://dx.doi.org/10.1080/03067319908047304","http://dx.doi.org/10.1080/03067319908047304")</f>
        <v>http://dx.doi.org/10.1080/03067319908047304</v>
      </c>
      <c r="BG960" s="1" t="s">
        <v>74</v>
      </c>
      <c r="BH960" s="1" t="s">
        <v>74</v>
      </c>
      <c r="BI960" s="1">
        <v>14</v>
      </c>
      <c r="BJ960" s="1" t="s">
        <v>269</v>
      </c>
      <c r="BK960" s="1" t="s">
        <v>588</v>
      </c>
      <c r="BL960" s="1" t="s">
        <v>270</v>
      </c>
      <c r="BM960" s="1" t="s">
        <v>16001</v>
      </c>
      <c r="BN960" s="1" t="s">
        <v>74</v>
      </c>
      <c r="BO960" s="1" t="s">
        <v>74</v>
      </c>
      <c r="BP960" s="1" t="s">
        <v>74</v>
      </c>
      <c r="BQ960" s="1" t="s">
        <v>74</v>
      </c>
      <c r="BR960" s="1" t="s">
        <v>98</v>
      </c>
      <c r="BS960" s="1" t="s">
        <v>16002</v>
      </c>
      <c r="BT960" s="1" t="str">
        <f>HYPERLINK("https%3A%2F%2Fwww.webofscience.com%2Fwos%2Fwoscc%2Ffull-record%2FWOS:000165298300010","View Full Record in Web of Science")</f>
        <v>View Full Record in Web of Science</v>
      </c>
    </row>
    <row r="961" spans="1:72">
      <c r="A961" s="1" t="s">
        <v>72</v>
      </c>
      <c r="B961" s="1" t="s">
        <v>16003</v>
      </c>
      <c r="C961" s="1" t="s">
        <v>74</v>
      </c>
      <c r="D961" s="1" t="s">
        <v>74</v>
      </c>
      <c r="E961" s="1" t="s">
        <v>74</v>
      </c>
      <c r="F961" s="1" t="s">
        <v>16004</v>
      </c>
      <c r="G961" s="1" t="s">
        <v>74</v>
      </c>
      <c r="H961" s="1" t="s">
        <v>74</v>
      </c>
      <c r="I961" s="1" t="s">
        <v>16005</v>
      </c>
      <c r="J961" s="1" t="s">
        <v>704</v>
      </c>
      <c r="K961" s="1" t="s">
        <v>74</v>
      </c>
      <c r="L961" s="1" t="s">
        <v>74</v>
      </c>
      <c r="M961" s="1" t="s">
        <v>78</v>
      </c>
      <c r="N961" s="1" t="s">
        <v>79</v>
      </c>
      <c r="O961" s="1" t="s">
        <v>74</v>
      </c>
      <c r="P961" s="1" t="s">
        <v>74</v>
      </c>
      <c r="Q961" s="1" t="s">
        <v>74</v>
      </c>
      <c r="R961" s="1" t="s">
        <v>74</v>
      </c>
      <c r="S961" s="1" t="s">
        <v>74</v>
      </c>
      <c r="T961" s="1" t="s">
        <v>16006</v>
      </c>
      <c r="U961" s="1" t="s">
        <v>16007</v>
      </c>
      <c r="V961" s="1" t="s">
        <v>16008</v>
      </c>
      <c r="W961" s="1" t="s">
        <v>16009</v>
      </c>
      <c r="X961" s="1" t="s">
        <v>3553</v>
      </c>
      <c r="Y961" s="1" t="s">
        <v>16010</v>
      </c>
      <c r="Z961" s="1" t="s">
        <v>16011</v>
      </c>
      <c r="AA961" s="1" t="s">
        <v>16012</v>
      </c>
      <c r="AB961" s="1" t="s">
        <v>16013</v>
      </c>
      <c r="AC961" s="1" t="s">
        <v>74</v>
      </c>
      <c r="AD961" s="1" t="s">
        <v>74</v>
      </c>
      <c r="AE961" s="1" t="s">
        <v>74</v>
      </c>
      <c r="AF961" s="1" t="s">
        <v>74</v>
      </c>
      <c r="AG961" s="1">
        <v>47</v>
      </c>
      <c r="AH961" s="1">
        <v>1</v>
      </c>
      <c r="AI961" s="1">
        <v>1</v>
      </c>
      <c r="AJ961" s="1">
        <v>2</v>
      </c>
      <c r="AK961" s="1">
        <v>21</v>
      </c>
      <c r="AL961" s="1" t="s">
        <v>4010</v>
      </c>
      <c r="AM961" s="1" t="s">
        <v>1167</v>
      </c>
      <c r="AN961" s="1" t="s">
        <v>1168</v>
      </c>
      <c r="AO961" s="1" t="s">
        <v>718</v>
      </c>
      <c r="AP961" s="1" t="s">
        <v>1169</v>
      </c>
      <c r="AQ961" s="1" t="s">
        <v>74</v>
      </c>
      <c r="AR961" s="1" t="s">
        <v>719</v>
      </c>
      <c r="AS961" s="1" t="s">
        <v>720</v>
      </c>
      <c r="AT961" s="1" t="s">
        <v>267</v>
      </c>
      <c r="AU961" s="1">
        <v>2018</v>
      </c>
      <c r="AV961" s="1">
        <v>229</v>
      </c>
      <c r="AW961" s="1">
        <v>10</v>
      </c>
      <c r="AX961" s="1" t="s">
        <v>74</v>
      </c>
      <c r="AY961" s="1" t="s">
        <v>74</v>
      </c>
      <c r="AZ961" s="1" t="s">
        <v>74</v>
      </c>
      <c r="BA961" s="1" t="s">
        <v>74</v>
      </c>
      <c r="BB961" s="1" t="s">
        <v>74</v>
      </c>
      <c r="BC961" s="1" t="s">
        <v>74</v>
      </c>
      <c r="BD961" s="1">
        <v>339</v>
      </c>
      <c r="BE961" s="1" t="s">
        <v>16014</v>
      </c>
      <c r="BF961" s="1" t="str">
        <f>HYPERLINK("http://dx.doi.org/10.1007/s11270-018-3981-0","http://dx.doi.org/10.1007/s11270-018-3981-0")</f>
        <v>http://dx.doi.org/10.1007/s11270-018-3981-0</v>
      </c>
      <c r="BG961" s="1" t="s">
        <v>74</v>
      </c>
      <c r="BH961" s="1" t="s">
        <v>74</v>
      </c>
      <c r="BI961" s="1">
        <v>11</v>
      </c>
      <c r="BJ961" s="1" t="s">
        <v>722</v>
      </c>
      <c r="BK961" s="1" t="s">
        <v>96</v>
      </c>
      <c r="BL961" s="1" t="s">
        <v>723</v>
      </c>
      <c r="BM961" s="1" t="s">
        <v>16015</v>
      </c>
      <c r="BN961" s="1" t="s">
        <v>74</v>
      </c>
      <c r="BO961" s="1" t="s">
        <v>74</v>
      </c>
      <c r="BP961" s="1" t="s">
        <v>74</v>
      </c>
      <c r="BQ961" s="1" t="s">
        <v>74</v>
      </c>
      <c r="BR961" s="1" t="s">
        <v>98</v>
      </c>
      <c r="BS961" s="1" t="s">
        <v>16016</v>
      </c>
      <c r="BT961" s="1" t="str">
        <f>HYPERLINK("https%3A%2F%2Fwww.webofscience.com%2Fwos%2Fwoscc%2Ffull-record%2FWOS:000446522400002","View Full Record in Web of Science")</f>
        <v>View Full Record in Web of Science</v>
      </c>
    </row>
    <row r="962" spans="1:72">
      <c r="A962" s="1" t="s">
        <v>72</v>
      </c>
      <c r="B962" s="1" t="s">
        <v>16017</v>
      </c>
      <c r="C962" s="1" t="s">
        <v>74</v>
      </c>
      <c r="D962" s="1" t="s">
        <v>74</v>
      </c>
      <c r="E962" s="1" t="s">
        <v>74</v>
      </c>
      <c r="F962" s="1" t="s">
        <v>16017</v>
      </c>
      <c r="G962" s="1" t="s">
        <v>74</v>
      </c>
      <c r="H962" s="1" t="s">
        <v>74</v>
      </c>
      <c r="I962" s="1" t="s">
        <v>16018</v>
      </c>
      <c r="J962" s="1" t="s">
        <v>752</v>
      </c>
      <c r="K962" s="1" t="s">
        <v>74</v>
      </c>
      <c r="L962" s="1" t="s">
        <v>74</v>
      </c>
      <c r="M962" s="1" t="s">
        <v>78</v>
      </c>
      <c r="N962" s="1" t="s">
        <v>79</v>
      </c>
      <c r="O962" s="1" t="s">
        <v>74</v>
      </c>
      <c r="P962" s="1" t="s">
        <v>74</v>
      </c>
      <c r="Q962" s="1" t="s">
        <v>74</v>
      </c>
      <c r="R962" s="1" t="s">
        <v>74</v>
      </c>
      <c r="S962" s="1" t="s">
        <v>74</v>
      </c>
      <c r="T962" s="1" t="s">
        <v>74</v>
      </c>
      <c r="U962" s="1" t="s">
        <v>16019</v>
      </c>
      <c r="V962" s="1" t="s">
        <v>16020</v>
      </c>
      <c r="W962" s="1" t="s">
        <v>16021</v>
      </c>
      <c r="X962" s="1" t="s">
        <v>74</v>
      </c>
      <c r="Y962" s="1" t="s">
        <v>16022</v>
      </c>
      <c r="Z962" s="1" t="s">
        <v>74</v>
      </c>
      <c r="AA962" s="1" t="s">
        <v>74</v>
      </c>
      <c r="AB962" s="1" t="s">
        <v>74</v>
      </c>
      <c r="AC962" s="1" t="s">
        <v>74</v>
      </c>
      <c r="AD962" s="1" t="s">
        <v>74</v>
      </c>
      <c r="AE962" s="1" t="s">
        <v>74</v>
      </c>
      <c r="AF962" s="1" t="s">
        <v>74</v>
      </c>
      <c r="AG962" s="1">
        <v>39</v>
      </c>
      <c r="AH962" s="1">
        <v>16</v>
      </c>
      <c r="AI962" s="1">
        <v>18</v>
      </c>
      <c r="AJ962" s="1">
        <v>1</v>
      </c>
      <c r="AK962" s="1">
        <v>6</v>
      </c>
      <c r="AL962" s="1" t="s">
        <v>430</v>
      </c>
      <c r="AM962" s="1" t="s">
        <v>137</v>
      </c>
      <c r="AN962" s="1" t="s">
        <v>1600</v>
      </c>
      <c r="AO962" s="1" t="s">
        <v>761</v>
      </c>
      <c r="AP962" s="1" t="s">
        <v>74</v>
      </c>
      <c r="AQ962" s="1" t="s">
        <v>74</v>
      </c>
      <c r="AR962" s="1" t="s">
        <v>763</v>
      </c>
      <c r="AS962" s="1" t="s">
        <v>764</v>
      </c>
      <c r="AT962" s="1" t="s">
        <v>142</v>
      </c>
      <c r="AU962" s="1">
        <v>1997</v>
      </c>
      <c r="AV962" s="1">
        <v>43</v>
      </c>
      <c r="AW962" s="1">
        <v>4</v>
      </c>
      <c r="AX962" s="1" t="s">
        <v>74</v>
      </c>
      <c r="AY962" s="1" t="s">
        <v>74</v>
      </c>
      <c r="AZ962" s="1" t="s">
        <v>74</v>
      </c>
      <c r="BA962" s="1" t="s">
        <v>74</v>
      </c>
      <c r="BB962" s="1">
        <v>303</v>
      </c>
      <c r="BC962" s="1">
        <v>314</v>
      </c>
      <c r="BD962" s="1" t="s">
        <v>74</v>
      </c>
      <c r="BE962" s="1" t="s">
        <v>16023</v>
      </c>
      <c r="BF962" s="1" t="str">
        <f>HYPERLINK("http://dx.doi.org/10.1016/S0141-1136(96)00093-1","http://dx.doi.org/10.1016/S0141-1136(96)00093-1")</f>
        <v>http://dx.doi.org/10.1016/S0141-1136(96)00093-1</v>
      </c>
      <c r="BG962" s="1" t="s">
        <v>74</v>
      </c>
      <c r="BH962" s="1" t="s">
        <v>74</v>
      </c>
      <c r="BI962" s="1">
        <v>12</v>
      </c>
      <c r="BJ962" s="1" t="s">
        <v>768</v>
      </c>
      <c r="BK962" s="1" t="s">
        <v>96</v>
      </c>
      <c r="BL962" s="1" t="s">
        <v>769</v>
      </c>
      <c r="BM962" s="1" t="s">
        <v>16024</v>
      </c>
      <c r="BN962" s="1" t="s">
        <v>74</v>
      </c>
      <c r="BO962" s="1" t="s">
        <v>74</v>
      </c>
      <c r="BP962" s="1" t="s">
        <v>74</v>
      </c>
      <c r="BQ962" s="1" t="s">
        <v>74</v>
      </c>
      <c r="BR962" s="1" t="s">
        <v>98</v>
      </c>
      <c r="BS962" s="1" t="s">
        <v>16025</v>
      </c>
      <c r="BT962" s="1" t="str">
        <f>HYPERLINK("https%3A%2F%2Fwww.webofscience.com%2Fwos%2Fwoscc%2Ffull-record%2FWOS:A1997WD62100005","View Full Record in Web of Science")</f>
        <v>View Full Record in Web of Science</v>
      </c>
    </row>
    <row r="963" spans="1:72">
      <c r="A963" s="1" t="s">
        <v>72</v>
      </c>
      <c r="B963" s="1" t="s">
        <v>16026</v>
      </c>
      <c r="C963" s="1" t="s">
        <v>74</v>
      </c>
      <c r="D963" s="1" t="s">
        <v>74</v>
      </c>
      <c r="E963" s="1" t="s">
        <v>74</v>
      </c>
      <c r="F963" s="1" t="s">
        <v>16026</v>
      </c>
      <c r="G963" s="1" t="s">
        <v>74</v>
      </c>
      <c r="H963" s="1" t="s">
        <v>74</v>
      </c>
      <c r="I963" s="1" t="s">
        <v>16027</v>
      </c>
      <c r="J963" s="1" t="s">
        <v>232</v>
      </c>
      <c r="K963" s="1" t="s">
        <v>74</v>
      </c>
      <c r="L963" s="1" t="s">
        <v>74</v>
      </c>
      <c r="M963" s="1" t="s">
        <v>78</v>
      </c>
      <c r="N963" s="1" t="s">
        <v>151</v>
      </c>
      <c r="O963" s="1" t="s">
        <v>233</v>
      </c>
      <c r="P963" s="1" t="s">
        <v>234</v>
      </c>
      <c r="Q963" s="1" t="s">
        <v>235</v>
      </c>
      <c r="R963" s="1" t="s">
        <v>74</v>
      </c>
      <c r="S963" s="1" t="s">
        <v>74</v>
      </c>
      <c r="T963" s="1" t="s">
        <v>74</v>
      </c>
      <c r="U963" s="1" t="s">
        <v>16028</v>
      </c>
      <c r="V963" s="1" t="s">
        <v>16029</v>
      </c>
      <c r="W963" s="1" t="s">
        <v>74</v>
      </c>
      <c r="X963" s="1" t="s">
        <v>74</v>
      </c>
      <c r="Y963" s="1" t="s">
        <v>16030</v>
      </c>
      <c r="Z963" s="1" t="s">
        <v>74</v>
      </c>
      <c r="AA963" s="1" t="s">
        <v>74</v>
      </c>
      <c r="AB963" s="1" t="s">
        <v>74</v>
      </c>
      <c r="AC963" s="1" t="s">
        <v>74</v>
      </c>
      <c r="AD963" s="1" t="s">
        <v>74</v>
      </c>
      <c r="AE963" s="1" t="s">
        <v>74</v>
      </c>
      <c r="AF963" s="1" t="s">
        <v>74</v>
      </c>
      <c r="AG963" s="1">
        <v>21</v>
      </c>
      <c r="AH963" s="1">
        <v>18</v>
      </c>
      <c r="AI963" s="1">
        <v>21</v>
      </c>
      <c r="AJ963" s="1">
        <v>1</v>
      </c>
      <c r="AK963" s="1">
        <v>6</v>
      </c>
      <c r="AL963" s="1" t="s">
        <v>136</v>
      </c>
      <c r="AM963" s="1" t="s">
        <v>137</v>
      </c>
      <c r="AN963" s="1" t="s">
        <v>138</v>
      </c>
      <c r="AO963" s="1" t="s">
        <v>240</v>
      </c>
      <c r="AP963" s="1" t="s">
        <v>241</v>
      </c>
      <c r="AQ963" s="1" t="s">
        <v>74</v>
      </c>
      <c r="AR963" s="1" t="s">
        <v>242</v>
      </c>
      <c r="AS963" s="1" t="s">
        <v>243</v>
      </c>
      <c r="AT963" s="1" t="s">
        <v>244</v>
      </c>
      <c r="AU963" s="1">
        <v>1995</v>
      </c>
      <c r="AV963" s="1">
        <v>31</v>
      </c>
      <c r="AW963" s="1" t="s">
        <v>245</v>
      </c>
      <c r="AX963" s="1" t="s">
        <v>74</v>
      </c>
      <c r="AY963" s="1" t="s">
        <v>74</v>
      </c>
      <c r="AZ963" s="1" t="s">
        <v>74</v>
      </c>
      <c r="BA963" s="1" t="s">
        <v>74</v>
      </c>
      <c r="BB963" s="1">
        <v>420</v>
      </c>
      <c r="BC963" s="1">
        <v>423</v>
      </c>
      <c r="BD963" s="1" t="s">
        <v>74</v>
      </c>
      <c r="BE963" s="1" t="s">
        <v>16031</v>
      </c>
      <c r="BF963" s="1" t="str">
        <f>HYPERLINK("http://dx.doi.org/10.1016/0025-326X(95)00144-C","http://dx.doi.org/10.1016/0025-326X(95)00144-C")</f>
        <v>http://dx.doi.org/10.1016/0025-326X(95)00144-C</v>
      </c>
      <c r="BG963" s="1" t="s">
        <v>74</v>
      </c>
      <c r="BH963" s="1" t="s">
        <v>74</v>
      </c>
      <c r="BI963" s="1">
        <v>4</v>
      </c>
      <c r="BJ963" s="1" t="s">
        <v>247</v>
      </c>
      <c r="BK963" s="1" t="s">
        <v>172</v>
      </c>
      <c r="BL963" s="1" t="s">
        <v>248</v>
      </c>
      <c r="BM963" s="1" t="s">
        <v>249</v>
      </c>
      <c r="BN963" s="1" t="s">
        <v>74</v>
      </c>
      <c r="BO963" s="1" t="s">
        <v>74</v>
      </c>
      <c r="BP963" s="1" t="s">
        <v>74</v>
      </c>
      <c r="BQ963" s="1" t="s">
        <v>74</v>
      </c>
      <c r="BR963" s="1" t="s">
        <v>98</v>
      </c>
      <c r="BS963" s="1" t="s">
        <v>16032</v>
      </c>
      <c r="BT963" s="1" t="str">
        <f>HYPERLINK("https%3A%2F%2Fwww.webofscience.com%2Fwos%2Fwoscc%2Ffull-record%2FWOS:A1995TM84200041","View Full Record in Web of Science")</f>
        <v>View Full Record in Web of Science</v>
      </c>
    </row>
    <row r="964" spans="1:72">
      <c r="A964" s="1" t="s">
        <v>72</v>
      </c>
      <c r="B964" s="1" t="s">
        <v>16033</v>
      </c>
      <c r="C964" s="1" t="s">
        <v>74</v>
      </c>
      <c r="D964" s="1" t="s">
        <v>74</v>
      </c>
      <c r="E964" s="1" t="s">
        <v>74</v>
      </c>
      <c r="F964" s="1" t="s">
        <v>16034</v>
      </c>
      <c r="G964" s="1" t="s">
        <v>74</v>
      </c>
      <c r="H964" s="1" t="s">
        <v>74</v>
      </c>
      <c r="I964" s="1" t="s">
        <v>16035</v>
      </c>
      <c r="J964" s="1" t="s">
        <v>4223</v>
      </c>
      <c r="K964" s="1" t="s">
        <v>74</v>
      </c>
      <c r="L964" s="1" t="s">
        <v>74</v>
      </c>
      <c r="M964" s="1" t="s">
        <v>78</v>
      </c>
      <c r="N964" s="1" t="s">
        <v>79</v>
      </c>
      <c r="O964" s="1" t="s">
        <v>74</v>
      </c>
      <c r="P964" s="1" t="s">
        <v>74</v>
      </c>
      <c r="Q964" s="1" t="s">
        <v>74</v>
      </c>
      <c r="R964" s="1" t="s">
        <v>74</v>
      </c>
      <c r="S964" s="1" t="s">
        <v>74</v>
      </c>
      <c r="T964" s="1" t="s">
        <v>16036</v>
      </c>
      <c r="U964" s="1" t="s">
        <v>16037</v>
      </c>
      <c r="V964" s="1" t="s">
        <v>16038</v>
      </c>
      <c r="W964" s="1" t="s">
        <v>16039</v>
      </c>
      <c r="X964" s="1" t="s">
        <v>16040</v>
      </c>
      <c r="Y964" s="1" t="s">
        <v>16041</v>
      </c>
      <c r="Z964" s="1" t="s">
        <v>16042</v>
      </c>
      <c r="AA964" s="1" t="s">
        <v>16043</v>
      </c>
      <c r="AB964" s="1" t="s">
        <v>74</v>
      </c>
      <c r="AC964" s="1" t="s">
        <v>16044</v>
      </c>
      <c r="AD964" s="1" t="s">
        <v>16045</v>
      </c>
      <c r="AE964" s="1" t="s">
        <v>16046</v>
      </c>
      <c r="AF964" s="1" t="s">
        <v>74</v>
      </c>
      <c r="AG964" s="1">
        <v>48</v>
      </c>
      <c r="AH964" s="1">
        <v>1</v>
      </c>
      <c r="AI964" s="1">
        <v>1</v>
      </c>
      <c r="AJ964" s="1">
        <v>1</v>
      </c>
      <c r="AK964" s="1">
        <v>55</v>
      </c>
      <c r="AL964" s="1" t="s">
        <v>2297</v>
      </c>
      <c r="AM964" s="1" t="s">
        <v>1786</v>
      </c>
      <c r="AN964" s="1" t="s">
        <v>4234</v>
      </c>
      <c r="AO964" s="1" t="s">
        <v>4235</v>
      </c>
      <c r="AP964" s="1" t="s">
        <v>4236</v>
      </c>
      <c r="AQ964" s="1" t="s">
        <v>74</v>
      </c>
      <c r="AR964" s="1" t="s">
        <v>4237</v>
      </c>
      <c r="AS964" s="1" t="s">
        <v>4238</v>
      </c>
      <c r="AT964" s="1" t="s">
        <v>765</v>
      </c>
      <c r="AU964" s="1">
        <v>2015</v>
      </c>
      <c r="AV964" s="1">
        <v>33</v>
      </c>
      <c r="AW964" s="1">
        <v>4</v>
      </c>
      <c r="AX964" s="1" t="s">
        <v>74</v>
      </c>
      <c r="AY964" s="1" t="s">
        <v>74</v>
      </c>
      <c r="AZ964" s="1" t="s">
        <v>74</v>
      </c>
      <c r="BA964" s="1" t="s">
        <v>74</v>
      </c>
      <c r="BB964" s="1">
        <v>905</v>
      </c>
      <c r="BC964" s="1">
        <v>912</v>
      </c>
      <c r="BD964" s="1" t="s">
        <v>74</v>
      </c>
      <c r="BE964" s="1" t="s">
        <v>16047</v>
      </c>
      <c r="BF964" s="1" t="str">
        <f>HYPERLINK("http://dx.doi.org/10.1007/s00343-015-4212-9","http://dx.doi.org/10.1007/s00343-015-4212-9")</f>
        <v>http://dx.doi.org/10.1007/s00343-015-4212-9</v>
      </c>
      <c r="BG964" s="1" t="s">
        <v>74</v>
      </c>
      <c r="BH964" s="1" t="s">
        <v>74</v>
      </c>
      <c r="BI964" s="1">
        <v>8</v>
      </c>
      <c r="BJ964" s="1" t="s">
        <v>4240</v>
      </c>
      <c r="BK964" s="1" t="s">
        <v>96</v>
      </c>
      <c r="BL964" s="1" t="s">
        <v>4241</v>
      </c>
      <c r="BM964" s="1" t="s">
        <v>16048</v>
      </c>
      <c r="BN964" s="1" t="s">
        <v>74</v>
      </c>
      <c r="BO964" s="1" t="s">
        <v>74</v>
      </c>
      <c r="BP964" s="1" t="s">
        <v>74</v>
      </c>
      <c r="BQ964" s="1" t="s">
        <v>74</v>
      </c>
      <c r="BR964" s="1" t="s">
        <v>98</v>
      </c>
      <c r="BS964" s="1" t="s">
        <v>16049</v>
      </c>
      <c r="BT964" s="1" t="str">
        <f>HYPERLINK("https%3A%2F%2Fwww.webofscience.com%2Fwos%2Fwoscc%2Ffull-record%2FWOS:000357037100011","View Full Record in Web of Science")</f>
        <v>View Full Record in Web of Science</v>
      </c>
    </row>
    <row r="965" spans="1:72">
      <c r="A965" s="1" t="s">
        <v>72</v>
      </c>
      <c r="B965" s="1" t="s">
        <v>16050</v>
      </c>
      <c r="C965" s="1" t="s">
        <v>74</v>
      </c>
      <c r="D965" s="1" t="s">
        <v>74</v>
      </c>
      <c r="E965" s="1" t="s">
        <v>74</v>
      </c>
      <c r="F965" s="1" t="s">
        <v>16051</v>
      </c>
      <c r="G965" s="1" t="s">
        <v>74</v>
      </c>
      <c r="H965" s="1" t="s">
        <v>74</v>
      </c>
      <c r="I965" s="1" t="s">
        <v>16052</v>
      </c>
      <c r="J965" s="1" t="s">
        <v>909</v>
      </c>
      <c r="K965" s="1" t="s">
        <v>74</v>
      </c>
      <c r="L965" s="1" t="s">
        <v>74</v>
      </c>
      <c r="M965" s="1" t="s">
        <v>78</v>
      </c>
      <c r="N965" s="1" t="s">
        <v>79</v>
      </c>
      <c r="O965" s="1" t="s">
        <v>74</v>
      </c>
      <c r="P965" s="1" t="s">
        <v>74</v>
      </c>
      <c r="Q965" s="1" t="s">
        <v>74</v>
      </c>
      <c r="R965" s="1" t="s">
        <v>74</v>
      </c>
      <c r="S965" s="1" t="s">
        <v>74</v>
      </c>
      <c r="T965" s="1" t="s">
        <v>16053</v>
      </c>
      <c r="U965" s="1" t="s">
        <v>16054</v>
      </c>
      <c r="V965" s="1" t="s">
        <v>16055</v>
      </c>
      <c r="W965" s="1" t="s">
        <v>16056</v>
      </c>
      <c r="X965" s="1" t="s">
        <v>74</v>
      </c>
      <c r="Y965" s="1" t="s">
        <v>16057</v>
      </c>
      <c r="Z965" s="1" t="s">
        <v>16058</v>
      </c>
      <c r="AA965" s="1" t="s">
        <v>74</v>
      </c>
      <c r="AB965" s="1" t="s">
        <v>74</v>
      </c>
      <c r="AC965" s="1" t="s">
        <v>74</v>
      </c>
      <c r="AD965" s="1" t="s">
        <v>74</v>
      </c>
      <c r="AE965" s="1" t="s">
        <v>74</v>
      </c>
      <c r="AF965" s="1" t="s">
        <v>74</v>
      </c>
      <c r="AG965" s="1">
        <v>94</v>
      </c>
      <c r="AH965" s="1">
        <v>71</v>
      </c>
      <c r="AI965" s="1">
        <v>88</v>
      </c>
      <c r="AJ965" s="1">
        <v>0</v>
      </c>
      <c r="AK965" s="1">
        <v>45</v>
      </c>
      <c r="AL965" s="1" t="s">
        <v>650</v>
      </c>
      <c r="AM965" s="1" t="s">
        <v>651</v>
      </c>
      <c r="AN965" s="1" t="s">
        <v>652</v>
      </c>
      <c r="AO965" s="1" t="s">
        <v>921</v>
      </c>
      <c r="AP965" s="1" t="s">
        <v>922</v>
      </c>
      <c r="AQ965" s="1" t="s">
        <v>74</v>
      </c>
      <c r="AR965" s="1" t="s">
        <v>923</v>
      </c>
      <c r="AS965" s="1" t="s">
        <v>924</v>
      </c>
      <c r="AT965" s="1" t="s">
        <v>3542</v>
      </c>
      <c r="AU965" s="1">
        <v>2007</v>
      </c>
      <c r="AV965" s="1">
        <v>384</v>
      </c>
      <c r="AW965" s="1" t="s">
        <v>2847</v>
      </c>
      <c r="AX965" s="1" t="s">
        <v>74</v>
      </c>
      <c r="AY965" s="1" t="s">
        <v>74</v>
      </c>
      <c r="AZ965" s="1" t="s">
        <v>74</v>
      </c>
      <c r="BA965" s="1" t="s">
        <v>74</v>
      </c>
      <c r="BB965" s="1">
        <v>467</v>
      </c>
      <c r="BC965" s="1">
        <v>496</v>
      </c>
      <c r="BD965" s="1" t="s">
        <v>74</v>
      </c>
      <c r="BE965" s="1" t="s">
        <v>16059</v>
      </c>
      <c r="BF965" s="1" t="str">
        <f>HYPERLINK("http://dx.doi.org/10.1016/j.scitotenv.2007.05.045","http://dx.doi.org/10.1016/j.scitotenv.2007.05.045")</f>
        <v>http://dx.doi.org/10.1016/j.scitotenv.2007.05.045</v>
      </c>
      <c r="BG965" s="1" t="s">
        <v>74</v>
      </c>
      <c r="BH965" s="1" t="s">
        <v>74</v>
      </c>
      <c r="BI965" s="1">
        <v>30</v>
      </c>
      <c r="BJ965" s="1" t="s">
        <v>144</v>
      </c>
      <c r="BK965" s="1" t="s">
        <v>96</v>
      </c>
      <c r="BL965" s="1" t="s">
        <v>145</v>
      </c>
      <c r="BM965" s="1" t="s">
        <v>16060</v>
      </c>
      <c r="BN965" s="1">
        <v>17669474</v>
      </c>
      <c r="BO965" s="1" t="s">
        <v>74</v>
      </c>
      <c r="BP965" s="1" t="s">
        <v>74</v>
      </c>
      <c r="BQ965" s="1" t="s">
        <v>74</v>
      </c>
      <c r="BR965" s="1" t="s">
        <v>98</v>
      </c>
      <c r="BS965" s="1" t="s">
        <v>16061</v>
      </c>
      <c r="BT965" s="1" t="str">
        <f>HYPERLINK("https%3A%2F%2Fwww.webofscience.com%2Fwos%2Fwoscc%2Ffull-record%2FWOS:000250063700039","View Full Record in Web of Science")</f>
        <v>View Full Record in Web of Science</v>
      </c>
    </row>
    <row r="966" spans="1:72">
      <c r="A966" s="1" t="s">
        <v>72</v>
      </c>
      <c r="B966" s="1" t="s">
        <v>16062</v>
      </c>
      <c r="C966" s="1" t="s">
        <v>74</v>
      </c>
      <c r="D966" s="1" t="s">
        <v>74</v>
      </c>
      <c r="E966" s="1" t="s">
        <v>74</v>
      </c>
      <c r="F966" s="1" t="s">
        <v>16063</v>
      </c>
      <c r="G966" s="1" t="s">
        <v>74</v>
      </c>
      <c r="H966" s="1" t="s">
        <v>74</v>
      </c>
      <c r="I966" s="1" t="s">
        <v>16064</v>
      </c>
      <c r="J966" s="1" t="s">
        <v>7329</v>
      </c>
      <c r="K966" s="1" t="s">
        <v>74</v>
      </c>
      <c r="L966" s="1" t="s">
        <v>74</v>
      </c>
      <c r="M966" s="1" t="s">
        <v>78</v>
      </c>
      <c r="N966" s="1" t="s">
        <v>79</v>
      </c>
      <c r="O966" s="1" t="s">
        <v>74</v>
      </c>
      <c r="P966" s="1" t="s">
        <v>74</v>
      </c>
      <c r="Q966" s="1" t="s">
        <v>74</v>
      </c>
      <c r="R966" s="1" t="s">
        <v>74</v>
      </c>
      <c r="S966" s="1" t="s">
        <v>74</v>
      </c>
      <c r="T966" s="1" t="s">
        <v>16065</v>
      </c>
      <c r="U966" s="1" t="s">
        <v>16066</v>
      </c>
      <c r="V966" s="1" t="s">
        <v>16067</v>
      </c>
      <c r="W966" s="1" t="s">
        <v>16068</v>
      </c>
      <c r="X966" s="1" t="s">
        <v>16069</v>
      </c>
      <c r="Y966" s="1" t="s">
        <v>16070</v>
      </c>
      <c r="Z966" s="1" t="s">
        <v>11998</v>
      </c>
      <c r="AA966" s="1" t="s">
        <v>16071</v>
      </c>
      <c r="AB966" s="1" t="s">
        <v>16072</v>
      </c>
      <c r="AC966" s="1" t="s">
        <v>74</v>
      </c>
      <c r="AD966" s="1" t="s">
        <v>74</v>
      </c>
      <c r="AE966" s="1" t="s">
        <v>74</v>
      </c>
      <c r="AF966" s="1" t="s">
        <v>74</v>
      </c>
      <c r="AG966" s="1">
        <v>69</v>
      </c>
      <c r="AH966" s="1">
        <v>41</v>
      </c>
      <c r="AI966" s="1">
        <v>42</v>
      </c>
      <c r="AJ966" s="1">
        <v>0</v>
      </c>
      <c r="AK966" s="1">
        <v>10</v>
      </c>
      <c r="AL966" s="1" t="s">
        <v>86</v>
      </c>
      <c r="AM966" s="1" t="s">
        <v>87</v>
      </c>
      <c r="AN966" s="1" t="s">
        <v>88</v>
      </c>
      <c r="AO966" s="1" t="s">
        <v>7338</v>
      </c>
      <c r="AP966" s="1" t="s">
        <v>7339</v>
      </c>
      <c r="AQ966" s="1" t="s">
        <v>74</v>
      </c>
      <c r="AR966" s="1" t="s">
        <v>7340</v>
      </c>
      <c r="AS966" s="1" t="s">
        <v>7341</v>
      </c>
      <c r="AT966" s="1" t="s">
        <v>267</v>
      </c>
      <c r="AU966" s="1">
        <v>2019</v>
      </c>
      <c r="AV966" s="1">
        <v>86</v>
      </c>
      <c r="AW966" s="1">
        <v>10</v>
      </c>
      <c r="AX966" s="1" t="s">
        <v>74</v>
      </c>
      <c r="AY966" s="1" t="s">
        <v>74</v>
      </c>
      <c r="AZ966" s="1" t="s">
        <v>225</v>
      </c>
      <c r="BA966" s="1" t="s">
        <v>74</v>
      </c>
      <c r="BB966" s="1">
        <v>1357</v>
      </c>
      <c r="BC966" s="1">
        <v>1368</v>
      </c>
      <c r="BD966" s="1" t="s">
        <v>74</v>
      </c>
      <c r="BE966" s="1" t="s">
        <v>16073</v>
      </c>
      <c r="BF966" s="1" t="str">
        <f>HYPERLINK("http://dx.doi.org/10.1002/mrd.23114","http://dx.doi.org/10.1002/mrd.23114")</f>
        <v>http://dx.doi.org/10.1002/mrd.23114</v>
      </c>
      <c r="BG966" s="1" t="s">
        <v>74</v>
      </c>
      <c r="BH966" s="1" t="s">
        <v>74</v>
      </c>
      <c r="BI966" s="1">
        <v>12</v>
      </c>
      <c r="BJ966" s="1" t="s">
        <v>7344</v>
      </c>
      <c r="BK966" s="1" t="s">
        <v>96</v>
      </c>
      <c r="BL966" s="1" t="s">
        <v>7344</v>
      </c>
      <c r="BM966" s="1" t="s">
        <v>7345</v>
      </c>
      <c r="BN966" s="1">
        <v>30648312</v>
      </c>
      <c r="BO966" s="1" t="s">
        <v>74</v>
      </c>
      <c r="BP966" s="1" t="s">
        <v>74</v>
      </c>
      <c r="BQ966" s="1" t="s">
        <v>74</v>
      </c>
      <c r="BR966" s="1" t="s">
        <v>98</v>
      </c>
      <c r="BS966" s="1" t="s">
        <v>16074</v>
      </c>
      <c r="BT966" s="1" t="str">
        <f>HYPERLINK("https%3A%2F%2Fwww.webofscience.com%2Fwos%2Fwoscc%2Ffull-record%2FWOS:000494150000010","View Full Record in Web of Science")</f>
        <v>View Full Record in Web of Science</v>
      </c>
    </row>
    <row r="967" spans="1:72">
      <c r="A967" s="1" t="s">
        <v>72</v>
      </c>
      <c r="B967" s="1" t="s">
        <v>16075</v>
      </c>
      <c r="C967" s="1" t="s">
        <v>74</v>
      </c>
      <c r="D967" s="1" t="s">
        <v>74</v>
      </c>
      <c r="E967" s="1" t="s">
        <v>74</v>
      </c>
      <c r="F967" s="1" t="s">
        <v>16075</v>
      </c>
      <c r="G967" s="1" t="s">
        <v>74</v>
      </c>
      <c r="H967" s="1" t="s">
        <v>74</v>
      </c>
      <c r="I967" s="1" t="s">
        <v>16076</v>
      </c>
      <c r="J967" s="1" t="s">
        <v>1202</v>
      </c>
      <c r="K967" s="1" t="s">
        <v>74</v>
      </c>
      <c r="L967" s="1" t="s">
        <v>74</v>
      </c>
      <c r="M967" s="1" t="s">
        <v>78</v>
      </c>
      <c r="N967" s="1" t="s">
        <v>151</v>
      </c>
      <c r="O967" s="1" t="s">
        <v>16077</v>
      </c>
      <c r="P967" s="1" t="s">
        <v>16078</v>
      </c>
      <c r="Q967" s="1" t="s">
        <v>16079</v>
      </c>
      <c r="R967" s="1" t="s">
        <v>74</v>
      </c>
      <c r="S967" s="1" t="s">
        <v>16080</v>
      </c>
      <c r="T967" s="1" t="s">
        <v>74</v>
      </c>
      <c r="U967" s="1" t="s">
        <v>74</v>
      </c>
      <c r="V967" s="1" t="s">
        <v>74</v>
      </c>
      <c r="W967" s="1" t="s">
        <v>74</v>
      </c>
      <c r="X967" s="1" t="s">
        <v>74</v>
      </c>
      <c r="Y967" s="1" t="s">
        <v>16081</v>
      </c>
      <c r="Z967" s="1" t="s">
        <v>74</v>
      </c>
      <c r="AA967" s="1" t="s">
        <v>74</v>
      </c>
      <c r="AB967" s="1" t="s">
        <v>74</v>
      </c>
      <c r="AC967" s="1" t="s">
        <v>74</v>
      </c>
      <c r="AD967" s="1" t="s">
        <v>74</v>
      </c>
      <c r="AE967" s="1" t="s">
        <v>74</v>
      </c>
      <c r="AF967" s="1" t="s">
        <v>74</v>
      </c>
      <c r="AG967" s="1">
        <v>19</v>
      </c>
      <c r="AH967" s="1">
        <v>45</v>
      </c>
      <c r="AI967" s="1">
        <v>51</v>
      </c>
      <c r="AJ967" s="1">
        <v>0</v>
      </c>
      <c r="AK967" s="1">
        <v>3</v>
      </c>
      <c r="AL967" s="1" t="s">
        <v>716</v>
      </c>
      <c r="AM967" s="1" t="s">
        <v>191</v>
      </c>
      <c r="AN967" s="1" t="s">
        <v>717</v>
      </c>
      <c r="AO967" s="1" t="s">
        <v>1207</v>
      </c>
      <c r="AP967" s="1" t="s">
        <v>74</v>
      </c>
      <c r="AQ967" s="1" t="s">
        <v>74</v>
      </c>
      <c r="AR967" s="1" t="s">
        <v>1202</v>
      </c>
      <c r="AS967" s="1" t="s">
        <v>1208</v>
      </c>
      <c r="AT967" s="1" t="s">
        <v>16082</v>
      </c>
      <c r="AU967" s="1">
        <v>1989</v>
      </c>
      <c r="AV967" s="1">
        <v>188</v>
      </c>
      <c r="AW967" s="1" t="s">
        <v>74</v>
      </c>
      <c r="AX967" s="1" t="s">
        <v>74</v>
      </c>
      <c r="AY967" s="1" t="s">
        <v>74</v>
      </c>
      <c r="AZ967" s="1" t="s">
        <v>74</v>
      </c>
      <c r="BA967" s="1" t="s">
        <v>74</v>
      </c>
      <c r="BB967" s="1">
        <v>445</v>
      </c>
      <c r="BC967" s="1">
        <v>453</v>
      </c>
      <c r="BD967" s="1" t="s">
        <v>74</v>
      </c>
      <c r="BE967" s="1" t="s">
        <v>16083</v>
      </c>
      <c r="BF967" s="1" t="str">
        <f>HYPERLINK("http://dx.doi.org/10.1007/BF00027812","http://dx.doi.org/10.1007/BF00027812")</f>
        <v>http://dx.doi.org/10.1007/BF00027812</v>
      </c>
      <c r="BG967" s="1" t="s">
        <v>74</v>
      </c>
      <c r="BH967" s="1" t="s">
        <v>74</v>
      </c>
      <c r="BI967" s="1">
        <v>9</v>
      </c>
      <c r="BJ967" s="1" t="s">
        <v>680</v>
      </c>
      <c r="BK967" s="1" t="s">
        <v>588</v>
      </c>
      <c r="BL967" s="1" t="s">
        <v>680</v>
      </c>
      <c r="BM967" s="1" t="s">
        <v>16084</v>
      </c>
      <c r="BN967" s="1" t="s">
        <v>74</v>
      </c>
      <c r="BO967" s="1" t="s">
        <v>74</v>
      </c>
      <c r="BP967" s="1" t="s">
        <v>74</v>
      </c>
      <c r="BQ967" s="1" t="s">
        <v>74</v>
      </c>
      <c r="BR967" s="1" t="s">
        <v>98</v>
      </c>
      <c r="BS967" s="1" t="s">
        <v>16085</v>
      </c>
      <c r="BT967" s="1" t="str">
        <f>HYPERLINK("https%3A%2F%2Fwww.webofscience.com%2Fwos%2Fwoscc%2Ffull-record%2FWOS:A1989CK35500047","View Full Record in Web of Science")</f>
        <v>View Full Record in Web of Science</v>
      </c>
    </row>
    <row r="968" spans="1:72">
      <c r="A968" s="1" t="s">
        <v>72</v>
      </c>
      <c r="B968" s="1" t="s">
        <v>16086</v>
      </c>
      <c r="C968" s="1" t="s">
        <v>74</v>
      </c>
      <c r="D968" s="1" t="s">
        <v>74</v>
      </c>
      <c r="E968" s="1" t="s">
        <v>74</v>
      </c>
      <c r="F968" s="1" t="s">
        <v>16087</v>
      </c>
      <c r="G968" s="1" t="s">
        <v>74</v>
      </c>
      <c r="H968" s="1" t="s">
        <v>74</v>
      </c>
      <c r="I968" s="1" t="s">
        <v>16088</v>
      </c>
      <c r="J968" s="1" t="s">
        <v>1756</v>
      </c>
      <c r="K968" s="1" t="s">
        <v>74</v>
      </c>
      <c r="L968" s="1" t="s">
        <v>74</v>
      </c>
      <c r="M968" s="1" t="s">
        <v>78</v>
      </c>
      <c r="N968" s="1" t="s">
        <v>79</v>
      </c>
      <c r="O968" s="1" t="s">
        <v>74</v>
      </c>
      <c r="P968" s="1" t="s">
        <v>74</v>
      </c>
      <c r="Q968" s="1" t="s">
        <v>74</v>
      </c>
      <c r="R968" s="1" t="s">
        <v>74</v>
      </c>
      <c r="S968" s="1" t="s">
        <v>74</v>
      </c>
      <c r="T968" s="1" t="s">
        <v>16089</v>
      </c>
      <c r="U968" s="1" t="s">
        <v>16090</v>
      </c>
      <c r="V968" s="1" t="s">
        <v>16091</v>
      </c>
      <c r="W968" s="1" t="s">
        <v>16092</v>
      </c>
      <c r="X968" s="1" t="s">
        <v>16093</v>
      </c>
      <c r="Y968" s="1" t="s">
        <v>16094</v>
      </c>
      <c r="Z968" s="1" t="s">
        <v>1483</v>
      </c>
      <c r="AA968" s="1" t="s">
        <v>2900</v>
      </c>
      <c r="AB968" s="1" t="s">
        <v>2183</v>
      </c>
      <c r="AC968" s="1" t="s">
        <v>16095</v>
      </c>
      <c r="AD968" s="1" t="s">
        <v>16096</v>
      </c>
      <c r="AE968" s="1" t="s">
        <v>16097</v>
      </c>
      <c r="AF968" s="1" t="s">
        <v>74</v>
      </c>
      <c r="AG968" s="1">
        <v>47</v>
      </c>
      <c r="AH968" s="1">
        <v>24</v>
      </c>
      <c r="AI968" s="1">
        <v>26</v>
      </c>
      <c r="AJ968" s="1">
        <v>1</v>
      </c>
      <c r="AK968" s="1">
        <v>37</v>
      </c>
      <c r="AL968" s="1" t="s">
        <v>4153</v>
      </c>
      <c r="AM968" s="1" t="s">
        <v>87</v>
      </c>
      <c r="AN968" s="1" t="s">
        <v>88</v>
      </c>
      <c r="AO968" s="1" t="s">
        <v>1764</v>
      </c>
      <c r="AP968" s="1" t="s">
        <v>1765</v>
      </c>
      <c r="AQ968" s="1" t="s">
        <v>74</v>
      </c>
      <c r="AR968" s="1" t="s">
        <v>1766</v>
      </c>
      <c r="AS968" s="1" t="s">
        <v>1767</v>
      </c>
      <c r="AT968" s="1" t="s">
        <v>267</v>
      </c>
      <c r="AU968" s="1">
        <v>2016</v>
      </c>
      <c r="AV968" s="1">
        <v>35</v>
      </c>
      <c r="AW968" s="1">
        <v>10</v>
      </c>
      <c r="AX968" s="1" t="s">
        <v>74</v>
      </c>
      <c r="AY968" s="1" t="s">
        <v>74</v>
      </c>
      <c r="AZ968" s="1" t="s">
        <v>74</v>
      </c>
      <c r="BA968" s="1" t="s">
        <v>74</v>
      </c>
      <c r="BB968" s="1">
        <v>2577</v>
      </c>
      <c r="BC968" s="1">
        <v>2586</v>
      </c>
      <c r="BD968" s="1" t="s">
        <v>74</v>
      </c>
      <c r="BE968" s="1" t="s">
        <v>16098</v>
      </c>
      <c r="BF968" s="1" t="str">
        <f>HYPERLINK("http://dx.doi.org/10.1002/etc.3426","http://dx.doi.org/10.1002/etc.3426")</f>
        <v>http://dx.doi.org/10.1002/etc.3426</v>
      </c>
      <c r="BG968" s="1" t="s">
        <v>74</v>
      </c>
      <c r="BH968" s="1" t="s">
        <v>74</v>
      </c>
      <c r="BI968" s="1">
        <v>10</v>
      </c>
      <c r="BJ968" s="1" t="s">
        <v>121</v>
      </c>
      <c r="BK968" s="1" t="s">
        <v>96</v>
      </c>
      <c r="BL968" s="1" t="s">
        <v>122</v>
      </c>
      <c r="BM968" s="1" t="s">
        <v>16099</v>
      </c>
      <c r="BN968" s="1">
        <v>26970367</v>
      </c>
      <c r="BO968" s="1" t="s">
        <v>74</v>
      </c>
      <c r="BP968" s="1" t="s">
        <v>74</v>
      </c>
      <c r="BQ968" s="1" t="s">
        <v>74</v>
      </c>
      <c r="BR968" s="1" t="s">
        <v>98</v>
      </c>
      <c r="BS968" s="1" t="s">
        <v>16100</v>
      </c>
      <c r="BT968" s="1" t="str">
        <f>HYPERLINK("https%3A%2F%2Fwww.webofscience.com%2Fwos%2Fwoscc%2Ffull-record%2FWOS:000384810800025","View Full Record in Web of Science")</f>
        <v>View Full Record in Web of Science</v>
      </c>
    </row>
    <row r="969" spans="1:72">
      <c r="A969" s="1" t="s">
        <v>72</v>
      </c>
      <c r="B969" s="1" t="s">
        <v>16101</v>
      </c>
      <c r="C969" s="1" t="s">
        <v>74</v>
      </c>
      <c r="D969" s="1" t="s">
        <v>74</v>
      </c>
      <c r="E969" s="1" t="s">
        <v>74</v>
      </c>
      <c r="F969" s="1" t="s">
        <v>16102</v>
      </c>
      <c r="G969" s="1" t="s">
        <v>74</v>
      </c>
      <c r="H969" s="1" t="s">
        <v>74</v>
      </c>
      <c r="I969" s="1" t="s">
        <v>16103</v>
      </c>
      <c r="J969" s="1" t="s">
        <v>998</v>
      </c>
      <c r="K969" s="1" t="s">
        <v>74</v>
      </c>
      <c r="L969" s="1" t="s">
        <v>74</v>
      </c>
      <c r="M969" s="1" t="s">
        <v>78</v>
      </c>
      <c r="N969" s="1" t="s">
        <v>79</v>
      </c>
      <c r="O969" s="1" t="s">
        <v>74</v>
      </c>
      <c r="P969" s="1" t="s">
        <v>74</v>
      </c>
      <c r="Q969" s="1" t="s">
        <v>74</v>
      </c>
      <c r="R969" s="1" t="s">
        <v>74</v>
      </c>
      <c r="S969" s="1" t="s">
        <v>74</v>
      </c>
      <c r="T969" s="1" t="s">
        <v>74</v>
      </c>
      <c r="U969" s="1" t="s">
        <v>16104</v>
      </c>
      <c r="V969" s="1" t="s">
        <v>16105</v>
      </c>
      <c r="W969" s="1" t="s">
        <v>16106</v>
      </c>
      <c r="X969" s="1" t="s">
        <v>16107</v>
      </c>
      <c r="Y969" s="1" t="s">
        <v>16108</v>
      </c>
      <c r="Z969" s="1" t="s">
        <v>16109</v>
      </c>
      <c r="AA969" s="1" t="s">
        <v>74</v>
      </c>
      <c r="AB969" s="1" t="s">
        <v>16110</v>
      </c>
      <c r="AC969" s="1" t="s">
        <v>16111</v>
      </c>
      <c r="AD969" s="1" t="s">
        <v>16112</v>
      </c>
      <c r="AE969" s="1" t="s">
        <v>16113</v>
      </c>
      <c r="AF969" s="1" t="s">
        <v>74</v>
      </c>
      <c r="AG969" s="1">
        <v>88</v>
      </c>
      <c r="AH969" s="1">
        <v>0</v>
      </c>
      <c r="AI969" s="1">
        <v>0</v>
      </c>
      <c r="AJ969" s="1">
        <v>3</v>
      </c>
      <c r="AK969" s="1">
        <v>3</v>
      </c>
      <c r="AL969" s="1" t="s">
        <v>112</v>
      </c>
      <c r="AM969" s="1" t="s">
        <v>113</v>
      </c>
      <c r="AN969" s="1" t="s">
        <v>114</v>
      </c>
      <c r="AO969" s="1" t="s">
        <v>1009</v>
      </c>
      <c r="AP969" s="1" t="s">
        <v>5996</v>
      </c>
      <c r="AQ969" s="1" t="s">
        <v>74</v>
      </c>
      <c r="AR969" s="1" t="s">
        <v>1010</v>
      </c>
      <c r="AS969" s="1" t="s">
        <v>1011</v>
      </c>
      <c r="AT969" s="1" t="s">
        <v>93</v>
      </c>
      <c r="AU969" s="1">
        <v>2024</v>
      </c>
      <c r="AV969" s="1">
        <v>86</v>
      </c>
      <c r="AW969" s="1">
        <v>3</v>
      </c>
      <c r="AX969" s="1" t="s">
        <v>74</v>
      </c>
      <c r="AY969" s="1" t="s">
        <v>74</v>
      </c>
      <c r="AZ969" s="1" t="s">
        <v>74</v>
      </c>
      <c r="BA969" s="1" t="s">
        <v>74</v>
      </c>
      <c r="BB969" s="1">
        <v>262</v>
      </c>
      <c r="BC969" s="1">
        <v>273</v>
      </c>
      <c r="BD969" s="1" t="s">
        <v>74</v>
      </c>
      <c r="BE969" s="1" t="s">
        <v>16114</v>
      </c>
      <c r="BF969" s="1" t="str">
        <f>HYPERLINK("http://dx.doi.org/10.1007/s00244-024-01058-w","http://dx.doi.org/10.1007/s00244-024-01058-w")</f>
        <v>http://dx.doi.org/10.1007/s00244-024-01058-w</v>
      </c>
      <c r="BG969" s="1" t="s">
        <v>74</v>
      </c>
      <c r="BH969" s="1" t="s">
        <v>2888</v>
      </c>
      <c r="BI969" s="1">
        <v>12</v>
      </c>
      <c r="BJ969" s="1" t="s">
        <v>121</v>
      </c>
      <c r="BK969" s="1" t="s">
        <v>96</v>
      </c>
      <c r="BL969" s="1" t="s">
        <v>122</v>
      </c>
      <c r="BM969" s="1" t="s">
        <v>11327</v>
      </c>
      <c r="BN969" s="1">
        <v>38531980</v>
      </c>
      <c r="BO969" s="1" t="s">
        <v>74</v>
      </c>
      <c r="BP969" s="1" t="s">
        <v>74</v>
      </c>
      <c r="BQ969" s="1" t="s">
        <v>74</v>
      </c>
      <c r="BR969" s="1" t="s">
        <v>98</v>
      </c>
      <c r="BS969" s="1" t="s">
        <v>16115</v>
      </c>
      <c r="BT969" s="1" t="str">
        <f>HYPERLINK("https%3A%2F%2Fwww.webofscience.com%2Fwos%2Fwoscc%2Ffull-record%2FWOS:001191071100001","View Full Record in Web of Science")</f>
        <v>View Full Record in Web of Science</v>
      </c>
    </row>
    <row r="970" spans="1:72">
      <c r="A970" s="1" t="s">
        <v>72</v>
      </c>
      <c r="B970" s="1" t="s">
        <v>16116</v>
      </c>
      <c r="C970" s="1" t="s">
        <v>74</v>
      </c>
      <c r="D970" s="1" t="s">
        <v>74</v>
      </c>
      <c r="E970" s="1" t="s">
        <v>74</v>
      </c>
      <c r="F970" s="1" t="s">
        <v>16117</v>
      </c>
      <c r="G970" s="1" t="s">
        <v>74</v>
      </c>
      <c r="H970" s="1" t="s">
        <v>74</v>
      </c>
      <c r="I970" s="1" t="s">
        <v>16118</v>
      </c>
      <c r="J970" s="1" t="s">
        <v>1202</v>
      </c>
      <c r="K970" s="1" t="s">
        <v>74</v>
      </c>
      <c r="L970" s="1" t="s">
        <v>74</v>
      </c>
      <c r="M970" s="1" t="s">
        <v>78</v>
      </c>
      <c r="N970" s="1" t="s">
        <v>79</v>
      </c>
      <c r="O970" s="1" t="s">
        <v>74</v>
      </c>
      <c r="P970" s="1" t="s">
        <v>74</v>
      </c>
      <c r="Q970" s="1" t="s">
        <v>74</v>
      </c>
      <c r="R970" s="1" t="s">
        <v>74</v>
      </c>
      <c r="S970" s="1" t="s">
        <v>74</v>
      </c>
      <c r="T970" s="1" t="s">
        <v>16119</v>
      </c>
      <c r="U970" s="1" t="s">
        <v>16120</v>
      </c>
      <c r="V970" s="1" t="s">
        <v>16121</v>
      </c>
      <c r="W970" s="1" t="s">
        <v>16122</v>
      </c>
      <c r="X970" s="1" t="s">
        <v>16123</v>
      </c>
      <c r="Y970" s="1" t="s">
        <v>16124</v>
      </c>
      <c r="Z970" s="1" t="s">
        <v>16125</v>
      </c>
      <c r="AA970" s="1" t="s">
        <v>16126</v>
      </c>
      <c r="AB970" s="1" t="s">
        <v>16127</v>
      </c>
      <c r="AC970" s="1" t="s">
        <v>16128</v>
      </c>
      <c r="AD970" s="1" t="s">
        <v>16129</v>
      </c>
      <c r="AE970" s="1" t="s">
        <v>16130</v>
      </c>
      <c r="AF970" s="1" t="s">
        <v>74</v>
      </c>
      <c r="AG970" s="1">
        <v>44</v>
      </c>
      <c r="AH970" s="1">
        <v>9</v>
      </c>
      <c r="AI970" s="1">
        <v>14</v>
      </c>
      <c r="AJ970" s="1">
        <v>0</v>
      </c>
      <c r="AK970" s="1">
        <v>36</v>
      </c>
      <c r="AL970" s="1" t="s">
        <v>112</v>
      </c>
      <c r="AM970" s="1" t="s">
        <v>191</v>
      </c>
      <c r="AN970" s="1" t="s">
        <v>192</v>
      </c>
      <c r="AO970" s="1" t="s">
        <v>1207</v>
      </c>
      <c r="AP970" s="1" t="s">
        <v>4902</v>
      </c>
      <c r="AQ970" s="1" t="s">
        <v>74</v>
      </c>
      <c r="AR970" s="1" t="s">
        <v>1202</v>
      </c>
      <c r="AS970" s="1" t="s">
        <v>1208</v>
      </c>
      <c r="AT970" s="1" t="s">
        <v>170</v>
      </c>
      <c r="AU970" s="1">
        <v>2016</v>
      </c>
      <c r="AV970" s="1">
        <v>770</v>
      </c>
      <c r="AW970" s="1">
        <v>1</v>
      </c>
      <c r="AX970" s="1" t="s">
        <v>74</v>
      </c>
      <c r="AY970" s="1" t="s">
        <v>74</v>
      </c>
      <c r="AZ970" s="1" t="s">
        <v>74</v>
      </c>
      <c r="BA970" s="1" t="s">
        <v>74</v>
      </c>
      <c r="BB970" s="1">
        <v>1</v>
      </c>
      <c r="BC970" s="1">
        <v>13</v>
      </c>
      <c r="BD970" s="1" t="s">
        <v>74</v>
      </c>
      <c r="BE970" s="1" t="s">
        <v>16131</v>
      </c>
      <c r="BF970" s="1" t="str">
        <f>HYPERLINK("http://dx.doi.org/10.1007/s10750-015-2560-2","http://dx.doi.org/10.1007/s10750-015-2560-2")</f>
        <v>http://dx.doi.org/10.1007/s10750-015-2560-2</v>
      </c>
      <c r="BG970" s="1" t="s">
        <v>74</v>
      </c>
      <c r="BH970" s="1" t="s">
        <v>74</v>
      </c>
      <c r="BI970" s="1">
        <v>13</v>
      </c>
      <c r="BJ970" s="1" t="s">
        <v>680</v>
      </c>
      <c r="BK970" s="1" t="s">
        <v>96</v>
      </c>
      <c r="BL970" s="1" t="s">
        <v>680</v>
      </c>
      <c r="BM970" s="1" t="s">
        <v>16132</v>
      </c>
      <c r="BN970" s="1" t="s">
        <v>74</v>
      </c>
      <c r="BO970" s="1" t="s">
        <v>74</v>
      </c>
      <c r="BP970" s="1" t="s">
        <v>74</v>
      </c>
      <c r="BQ970" s="1" t="s">
        <v>74</v>
      </c>
      <c r="BR970" s="1" t="s">
        <v>98</v>
      </c>
      <c r="BS970" s="1" t="s">
        <v>16133</v>
      </c>
      <c r="BT970" s="1" t="str">
        <f>HYPERLINK("https%3A%2F%2Fwww.webofscience.com%2Fwos%2Fwoscc%2Ffull-record%2FWOS:000372555100001","View Full Record in Web of Science")</f>
        <v>View Full Record in Web of Science</v>
      </c>
    </row>
    <row r="971" spans="1:72">
      <c r="A971" s="1" t="s">
        <v>72</v>
      </c>
      <c r="B971" s="1" t="s">
        <v>16134</v>
      </c>
      <c r="C971" s="1" t="s">
        <v>74</v>
      </c>
      <c r="D971" s="1" t="s">
        <v>74</v>
      </c>
      <c r="E971" s="1" t="s">
        <v>74</v>
      </c>
      <c r="F971" s="1" t="s">
        <v>16134</v>
      </c>
      <c r="G971" s="1" t="s">
        <v>74</v>
      </c>
      <c r="H971" s="1" t="s">
        <v>74</v>
      </c>
      <c r="I971" s="1" t="s">
        <v>16135</v>
      </c>
      <c r="J971" s="1" t="s">
        <v>998</v>
      </c>
      <c r="K971" s="1" t="s">
        <v>74</v>
      </c>
      <c r="L971" s="1" t="s">
        <v>74</v>
      </c>
      <c r="M971" s="1" t="s">
        <v>78</v>
      </c>
      <c r="N971" s="1" t="s">
        <v>79</v>
      </c>
      <c r="O971" s="1" t="s">
        <v>74</v>
      </c>
      <c r="P971" s="1" t="s">
        <v>74</v>
      </c>
      <c r="Q971" s="1" t="s">
        <v>74</v>
      </c>
      <c r="R971" s="1" t="s">
        <v>74</v>
      </c>
      <c r="S971" s="1" t="s">
        <v>74</v>
      </c>
      <c r="T971" s="1" t="s">
        <v>74</v>
      </c>
      <c r="U971" s="1" t="s">
        <v>16136</v>
      </c>
      <c r="V971" s="1" t="s">
        <v>16137</v>
      </c>
      <c r="W971" s="1" t="s">
        <v>16138</v>
      </c>
      <c r="X971" s="1" t="s">
        <v>16139</v>
      </c>
      <c r="Y971" s="1" t="s">
        <v>16140</v>
      </c>
      <c r="Z971" s="1" t="s">
        <v>74</v>
      </c>
      <c r="AA971" s="1" t="s">
        <v>1836</v>
      </c>
      <c r="AB971" s="1" t="s">
        <v>1837</v>
      </c>
      <c r="AC971" s="1" t="s">
        <v>74</v>
      </c>
      <c r="AD971" s="1" t="s">
        <v>74</v>
      </c>
      <c r="AE971" s="1" t="s">
        <v>74</v>
      </c>
      <c r="AF971" s="1" t="s">
        <v>74</v>
      </c>
      <c r="AG971" s="1">
        <v>44</v>
      </c>
      <c r="AH971" s="1">
        <v>142</v>
      </c>
      <c r="AI971" s="1">
        <v>153</v>
      </c>
      <c r="AJ971" s="1">
        <v>1</v>
      </c>
      <c r="AK971" s="1">
        <v>24</v>
      </c>
      <c r="AL971" s="1" t="s">
        <v>6584</v>
      </c>
      <c r="AM971" s="1" t="s">
        <v>113</v>
      </c>
      <c r="AN971" s="1" t="s">
        <v>2719</v>
      </c>
      <c r="AO971" s="1" t="s">
        <v>1009</v>
      </c>
      <c r="AP971" s="1" t="s">
        <v>74</v>
      </c>
      <c r="AQ971" s="1" t="s">
        <v>74</v>
      </c>
      <c r="AR971" s="1" t="s">
        <v>1010</v>
      </c>
      <c r="AS971" s="1" t="s">
        <v>1011</v>
      </c>
      <c r="AT971" s="1" t="s">
        <v>951</v>
      </c>
      <c r="AU971" s="1">
        <v>1998</v>
      </c>
      <c r="AV971" s="1">
        <v>35</v>
      </c>
      <c r="AW971" s="1">
        <v>4</v>
      </c>
      <c r="AX971" s="1" t="s">
        <v>74</v>
      </c>
      <c r="AY971" s="1" t="s">
        <v>74</v>
      </c>
      <c r="AZ971" s="1" t="s">
        <v>74</v>
      </c>
      <c r="BA971" s="1" t="s">
        <v>74</v>
      </c>
      <c r="BB971" s="1">
        <v>711</v>
      </c>
      <c r="BC971" s="1">
        <v>720</v>
      </c>
      <c r="BD971" s="1" t="s">
        <v>74</v>
      </c>
      <c r="BE971" s="1" t="s">
        <v>16141</v>
      </c>
      <c r="BF971" s="1" t="str">
        <f>HYPERLINK("http://dx.doi.org/10.1007/s002449900535","http://dx.doi.org/10.1007/s002449900535")</f>
        <v>http://dx.doi.org/10.1007/s002449900535</v>
      </c>
      <c r="BG971" s="1" t="s">
        <v>74</v>
      </c>
      <c r="BH971" s="1" t="s">
        <v>74</v>
      </c>
      <c r="BI971" s="1">
        <v>10</v>
      </c>
      <c r="BJ971" s="1" t="s">
        <v>121</v>
      </c>
      <c r="BK971" s="1" t="s">
        <v>96</v>
      </c>
      <c r="BL971" s="1" t="s">
        <v>122</v>
      </c>
      <c r="BM971" s="1" t="s">
        <v>16142</v>
      </c>
      <c r="BN971" s="1">
        <v>9776791</v>
      </c>
      <c r="BO971" s="1" t="s">
        <v>74</v>
      </c>
      <c r="BP971" s="1" t="s">
        <v>74</v>
      </c>
      <c r="BQ971" s="1" t="s">
        <v>74</v>
      </c>
      <c r="BR971" s="1" t="s">
        <v>98</v>
      </c>
      <c r="BS971" s="1" t="s">
        <v>16143</v>
      </c>
      <c r="BT971" s="1" t="str">
        <f>HYPERLINK("https%3A%2F%2Fwww.webofscience.com%2Fwos%2Fwoscc%2Ffull-record%2FWOS:000076716400021","View Full Record in Web of Science")</f>
        <v>View Full Record in Web of Science</v>
      </c>
    </row>
    <row r="972" spans="1:72">
      <c r="A972" s="1" t="s">
        <v>72</v>
      </c>
      <c r="B972" s="1" t="s">
        <v>16144</v>
      </c>
      <c r="C972" s="1" t="s">
        <v>74</v>
      </c>
      <c r="D972" s="1" t="s">
        <v>74</v>
      </c>
      <c r="E972" s="1" t="s">
        <v>74</v>
      </c>
      <c r="F972" s="1" t="s">
        <v>16145</v>
      </c>
      <c r="G972" s="1" t="s">
        <v>74</v>
      </c>
      <c r="H972" s="1" t="s">
        <v>74</v>
      </c>
      <c r="I972" s="1" t="s">
        <v>16146</v>
      </c>
      <c r="J972" s="1" t="s">
        <v>204</v>
      </c>
      <c r="K972" s="1" t="s">
        <v>74</v>
      </c>
      <c r="L972" s="1" t="s">
        <v>74</v>
      </c>
      <c r="M972" s="1" t="s">
        <v>78</v>
      </c>
      <c r="N972" s="1" t="s">
        <v>79</v>
      </c>
      <c r="O972" s="1" t="s">
        <v>74</v>
      </c>
      <c r="P972" s="1" t="s">
        <v>74</v>
      </c>
      <c r="Q972" s="1" t="s">
        <v>74</v>
      </c>
      <c r="R972" s="1" t="s">
        <v>74</v>
      </c>
      <c r="S972" s="1" t="s">
        <v>74</v>
      </c>
      <c r="T972" s="1" t="s">
        <v>16147</v>
      </c>
      <c r="U972" s="1" t="s">
        <v>16148</v>
      </c>
      <c r="V972" s="1" t="s">
        <v>16149</v>
      </c>
      <c r="W972" s="1" t="s">
        <v>16150</v>
      </c>
      <c r="X972" s="1" t="s">
        <v>16151</v>
      </c>
      <c r="Y972" s="1" t="s">
        <v>16152</v>
      </c>
      <c r="Z972" s="1" t="s">
        <v>6919</v>
      </c>
      <c r="AA972" s="1" t="s">
        <v>16153</v>
      </c>
      <c r="AB972" s="1" t="s">
        <v>16154</v>
      </c>
      <c r="AC972" s="1" t="s">
        <v>16155</v>
      </c>
      <c r="AD972" s="1" t="s">
        <v>16156</v>
      </c>
      <c r="AE972" s="1" t="s">
        <v>16157</v>
      </c>
      <c r="AF972" s="1" t="s">
        <v>74</v>
      </c>
      <c r="AG972" s="1">
        <v>30</v>
      </c>
      <c r="AH972" s="1">
        <v>10</v>
      </c>
      <c r="AI972" s="1">
        <v>10</v>
      </c>
      <c r="AJ972" s="1">
        <v>1</v>
      </c>
      <c r="AK972" s="1">
        <v>16</v>
      </c>
      <c r="AL972" s="1" t="s">
        <v>217</v>
      </c>
      <c r="AM972" s="1" t="s">
        <v>218</v>
      </c>
      <c r="AN972" s="1" t="s">
        <v>219</v>
      </c>
      <c r="AO972" s="1" t="s">
        <v>220</v>
      </c>
      <c r="AP972" s="1" t="s">
        <v>221</v>
      </c>
      <c r="AQ972" s="1" t="s">
        <v>74</v>
      </c>
      <c r="AR972" s="1" t="s">
        <v>222</v>
      </c>
      <c r="AS972" s="1" t="s">
        <v>223</v>
      </c>
      <c r="AT972" s="1" t="s">
        <v>1223</v>
      </c>
      <c r="AU972" s="1">
        <v>2016</v>
      </c>
      <c r="AV972" s="1">
        <v>23</v>
      </c>
      <c r="AW972" s="1">
        <v>6</v>
      </c>
      <c r="AX972" s="1" t="s">
        <v>74</v>
      </c>
      <c r="AY972" s="1" t="s">
        <v>74</v>
      </c>
      <c r="AZ972" s="1" t="s">
        <v>74</v>
      </c>
      <c r="BA972" s="1" t="s">
        <v>74</v>
      </c>
      <c r="BB972" s="1">
        <v>5374</v>
      </c>
      <c r="BC972" s="1">
        <v>5389</v>
      </c>
      <c r="BD972" s="1" t="s">
        <v>74</v>
      </c>
      <c r="BE972" s="1" t="s">
        <v>16158</v>
      </c>
      <c r="BF972" s="1" t="str">
        <f>HYPERLINK("http://dx.doi.org/10.1007/s11356-015-5735-5","http://dx.doi.org/10.1007/s11356-015-5735-5")</f>
        <v>http://dx.doi.org/10.1007/s11356-015-5735-5</v>
      </c>
      <c r="BG972" s="1" t="s">
        <v>74</v>
      </c>
      <c r="BH972" s="1" t="s">
        <v>74</v>
      </c>
      <c r="BI972" s="1">
        <v>16</v>
      </c>
      <c r="BJ972" s="1" t="s">
        <v>144</v>
      </c>
      <c r="BK972" s="1" t="s">
        <v>96</v>
      </c>
      <c r="BL972" s="1" t="s">
        <v>145</v>
      </c>
      <c r="BM972" s="1" t="s">
        <v>16159</v>
      </c>
      <c r="BN972" s="1">
        <v>26564192</v>
      </c>
      <c r="BO972" s="1" t="s">
        <v>74</v>
      </c>
      <c r="BP972" s="1" t="s">
        <v>74</v>
      </c>
      <c r="BQ972" s="1" t="s">
        <v>74</v>
      </c>
      <c r="BR972" s="1" t="s">
        <v>98</v>
      </c>
      <c r="BS972" s="1" t="s">
        <v>16160</v>
      </c>
      <c r="BT972" s="1" t="str">
        <f>HYPERLINK("https%3A%2F%2Fwww.webofscience.com%2Fwos%2Fwoscc%2Ffull-record%2FWOS:000373609300036","View Full Record in Web of Science")</f>
        <v>View Full Record in Web of Science</v>
      </c>
    </row>
    <row r="973" spans="1:72">
      <c r="A973" s="1" t="s">
        <v>72</v>
      </c>
      <c r="B973" s="1" t="s">
        <v>16161</v>
      </c>
      <c r="C973" s="1" t="s">
        <v>74</v>
      </c>
      <c r="D973" s="1" t="s">
        <v>74</v>
      </c>
      <c r="E973" s="1" t="s">
        <v>74</v>
      </c>
      <c r="F973" s="1" t="s">
        <v>16162</v>
      </c>
      <c r="G973" s="1" t="s">
        <v>74</v>
      </c>
      <c r="H973" s="1" t="s">
        <v>74</v>
      </c>
      <c r="I973" s="1" t="s">
        <v>16163</v>
      </c>
      <c r="J973" s="1" t="s">
        <v>752</v>
      </c>
      <c r="K973" s="1" t="s">
        <v>74</v>
      </c>
      <c r="L973" s="1" t="s">
        <v>74</v>
      </c>
      <c r="M973" s="1" t="s">
        <v>78</v>
      </c>
      <c r="N973" s="1" t="s">
        <v>151</v>
      </c>
      <c r="O973" s="1" t="s">
        <v>16164</v>
      </c>
      <c r="P973" s="1" t="s">
        <v>16165</v>
      </c>
      <c r="Q973" s="1" t="s">
        <v>16166</v>
      </c>
      <c r="R973" s="1" t="s">
        <v>74</v>
      </c>
      <c r="S973" s="1" t="s">
        <v>74</v>
      </c>
      <c r="T973" s="1" t="s">
        <v>16167</v>
      </c>
      <c r="U973" s="1" t="s">
        <v>16168</v>
      </c>
      <c r="V973" s="1" t="s">
        <v>16169</v>
      </c>
      <c r="W973" s="1" t="s">
        <v>16170</v>
      </c>
      <c r="X973" s="1" t="s">
        <v>16171</v>
      </c>
      <c r="Y973" s="1" t="s">
        <v>16172</v>
      </c>
      <c r="Z973" s="1" t="s">
        <v>8595</v>
      </c>
      <c r="AA973" s="1" t="s">
        <v>16173</v>
      </c>
      <c r="AB973" s="1" t="s">
        <v>16174</v>
      </c>
      <c r="AC973" s="1" t="s">
        <v>74</v>
      </c>
      <c r="AD973" s="1" t="s">
        <v>74</v>
      </c>
      <c r="AE973" s="1" t="s">
        <v>74</v>
      </c>
      <c r="AF973" s="1" t="s">
        <v>74</v>
      </c>
      <c r="AG973" s="1">
        <v>41</v>
      </c>
      <c r="AH973" s="1">
        <v>41</v>
      </c>
      <c r="AI973" s="1">
        <v>43</v>
      </c>
      <c r="AJ973" s="1">
        <v>1</v>
      </c>
      <c r="AK973" s="1">
        <v>74</v>
      </c>
      <c r="AL973" s="1" t="s">
        <v>430</v>
      </c>
      <c r="AM973" s="1" t="s">
        <v>137</v>
      </c>
      <c r="AN973" s="1" t="s">
        <v>431</v>
      </c>
      <c r="AO973" s="1" t="s">
        <v>761</v>
      </c>
      <c r="AP973" s="1" t="s">
        <v>762</v>
      </c>
      <c r="AQ973" s="1" t="s">
        <v>74</v>
      </c>
      <c r="AR973" s="1" t="s">
        <v>763</v>
      </c>
      <c r="AS973" s="1" t="s">
        <v>764</v>
      </c>
      <c r="AT973" s="1" t="s">
        <v>267</v>
      </c>
      <c r="AU973" s="1">
        <v>2016</v>
      </c>
      <c r="AV973" s="1">
        <v>121</v>
      </c>
      <c r="AW973" s="1" t="s">
        <v>74</v>
      </c>
      <c r="AX973" s="1" t="s">
        <v>74</v>
      </c>
      <c r="AY973" s="1" t="s">
        <v>74</v>
      </c>
      <c r="AZ973" s="1" t="s">
        <v>225</v>
      </c>
      <c r="BA973" s="1" t="s">
        <v>74</v>
      </c>
      <c r="BB973" s="1">
        <v>20</v>
      </c>
      <c r="BC973" s="1">
        <v>30</v>
      </c>
      <c r="BD973" s="1" t="s">
        <v>74</v>
      </c>
      <c r="BE973" s="1" t="s">
        <v>16175</v>
      </c>
      <c r="BF973" s="1" t="str">
        <f>HYPERLINK("http://dx.doi.org/10.1016/j.marenvres.2016.03.011","http://dx.doi.org/10.1016/j.marenvres.2016.03.011")</f>
        <v>http://dx.doi.org/10.1016/j.marenvres.2016.03.011</v>
      </c>
      <c r="BG973" s="1" t="s">
        <v>74</v>
      </c>
      <c r="BH973" s="1" t="s">
        <v>74</v>
      </c>
      <c r="BI973" s="1">
        <v>11</v>
      </c>
      <c r="BJ973" s="1" t="s">
        <v>768</v>
      </c>
      <c r="BK973" s="1" t="s">
        <v>172</v>
      </c>
      <c r="BL973" s="1" t="s">
        <v>769</v>
      </c>
      <c r="BM973" s="1" t="s">
        <v>16176</v>
      </c>
      <c r="BN973" s="1">
        <v>27085201</v>
      </c>
      <c r="BO973" s="1" t="s">
        <v>810</v>
      </c>
      <c r="BP973" s="1" t="s">
        <v>74</v>
      </c>
      <c r="BQ973" s="1" t="s">
        <v>74</v>
      </c>
      <c r="BR973" s="1" t="s">
        <v>98</v>
      </c>
      <c r="BS973" s="1" t="s">
        <v>16177</v>
      </c>
      <c r="BT973" s="1" t="str">
        <f>HYPERLINK("https%3A%2F%2Fwww.webofscience.com%2Fwos%2Fwoscc%2Ffull-record%2FWOS:000385602400004","View Full Record in Web of Science")</f>
        <v>View Full Record in Web of Science</v>
      </c>
    </row>
    <row r="974" spans="1:72">
      <c r="A974" s="1" t="s">
        <v>72</v>
      </c>
      <c r="B974" s="1" t="s">
        <v>15340</v>
      </c>
      <c r="C974" s="1" t="s">
        <v>74</v>
      </c>
      <c r="D974" s="1" t="s">
        <v>74</v>
      </c>
      <c r="E974" s="1" t="s">
        <v>74</v>
      </c>
      <c r="F974" s="1" t="s">
        <v>15340</v>
      </c>
      <c r="G974" s="1" t="s">
        <v>74</v>
      </c>
      <c r="H974" s="1" t="s">
        <v>74</v>
      </c>
      <c r="I974" s="1" t="s">
        <v>16178</v>
      </c>
      <c r="J974" s="1" t="s">
        <v>232</v>
      </c>
      <c r="K974" s="1" t="s">
        <v>74</v>
      </c>
      <c r="L974" s="1" t="s">
        <v>74</v>
      </c>
      <c r="M974" s="1" t="s">
        <v>78</v>
      </c>
      <c r="N974" s="1" t="s">
        <v>79</v>
      </c>
      <c r="O974" s="1" t="s">
        <v>74</v>
      </c>
      <c r="P974" s="1" t="s">
        <v>74</v>
      </c>
      <c r="Q974" s="1" t="s">
        <v>74</v>
      </c>
      <c r="R974" s="1" t="s">
        <v>74</v>
      </c>
      <c r="S974" s="1" t="s">
        <v>74</v>
      </c>
      <c r="T974" s="1" t="s">
        <v>74</v>
      </c>
      <c r="U974" s="1" t="s">
        <v>74</v>
      </c>
      <c r="V974" s="1" t="s">
        <v>16179</v>
      </c>
      <c r="W974" s="1" t="s">
        <v>16180</v>
      </c>
      <c r="X974" s="1" t="s">
        <v>16181</v>
      </c>
      <c r="Y974" s="1" t="s">
        <v>74</v>
      </c>
      <c r="Z974" s="1" t="s">
        <v>74</v>
      </c>
      <c r="AA974" s="1" t="s">
        <v>74</v>
      </c>
      <c r="AB974" s="1" t="s">
        <v>74</v>
      </c>
      <c r="AC974" s="1" t="s">
        <v>74</v>
      </c>
      <c r="AD974" s="1" t="s">
        <v>74</v>
      </c>
      <c r="AE974" s="1" t="s">
        <v>74</v>
      </c>
      <c r="AF974" s="1" t="s">
        <v>74</v>
      </c>
      <c r="AG974" s="1">
        <v>34</v>
      </c>
      <c r="AH974" s="1">
        <v>18</v>
      </c>
      <c r="AI974" s="1">
        <v>18</v>
      </c>
      <c r="AJ974" s="1">
        <v>0</v>
      </c>
      <c r="AK974" s="1">
        <v>4</v>
      </c>
      <c r="AL974" s="1" t="s">
        <v>136</v>
      </c>
      <c r="AM974" s="1" t="s">
        <v>137</v>
      </c>
      <c r="AN974" s="1" t="s">
        <v>138</v>
      </c>
      <c r="AO974" s="1" t="s">
        <v>240</v>
      </c>
      <c r="AP974" s="1" t="s">
        <v>241</v>
      </c>
      <c r="AQ974" s="1" t="s">
        <v>74</v>
      </c>
      <c r="AR974" s="1" t="s">
        <v>242</v>
      </c>
      <c r="AS974" s="1" t="s">
        <v>243</v>
      </c>
      <c r="AT974" s="1" t="s">
        <v>142</v>
      </c>
      <c r="AU974" s="1">
        <v>1990</v>
      </c>
      <c r="AV974" s="1">
        <v>21</v>
      </c>
      <c r="AW974" s="1">
        <v>6</v>
      </c>
      <c r="AX974" s="1" t="s">
        <v>74</v>
      </c>
      <c r="AY974" s="1" t="s">
        <v>74</v>
      </c>
      <c r="AZ974" s="1" t="s">
        <v>74</v>
      </c>
      <c r="BA974" s="1" t="s">
        <v>74</v>
      </c>
      <c r="BB974" s="1">
        <v>288</v>
      </c>
      <c r="BC974" s="1">
        <v>292</v>
      </c>
      <c r="BD974" s="1" t="s">
        <v>74</v>
      </c>
      <c r="BE974" s="1" t="s">
        <v>16182</v>
      </c>
      <c r="BF974" s="1" t="str">
        <f>HYPERLINK("http://dx.doi.org/10.1016/0025-326X(90)90592-V","http://dx.doi.org/10.1016/0025-326X(90)90592-V")</f>
        <v>http://dx.doi.org/10.1016/0025-326X(90)90592-V</v>
      </c>
      <c r="BG974" s="1" t="s">
        <v>74</v>
      </c>
      <c r="BH974" s="1" t="s">
        <v>74</v>
      </c>
      <c r="BI974" s="1">
        <v>5</v>
      </c>
      <c r="BJ974" s="1" t="s">
        <v>247</v>
      </c>
      <c r="BK974" s="1" t="s">
        <v>96</v>
      </c>
      <c r="BL974" s="1" t="s">
        <v>248</v>
      </c>
      <c r="BM974" s="1" t="s">
        <v>16183</v>
      </c>
      <c r="BN974" s="1" t="s">
        <v>74</v>
      </c>
      <c r="BO974" s="1" t="s">
        <v>74</v>
      </c>
      <c r="BP974" s="1" t="s">
        <v>74</v>
      </c>
      <c r="BQ974" s="1" t="s">
        <v>74</v>
      </c>
      <c r="BR974" s="1" t="s">
        <v>98</v>
      </c>
      <c r="BS974" s="1" t="s">
        <v>16184</v>
      </c>
      <c r="BT974" s="1" t="str">
        <f>HYPERLINK("https%3A%2F%2Fwww.webofscience.com%2Fwos%2Fwoscc%2Ffull-record%2FWOS:A1990DN57100028","View Full Record in Web of Science")</f>
        <v>View Full Record in Web of Science</v>
      </c>
    </row>
    <row r="975" spans="1:72">
      <c r="A975" s="1" t="s">
        <v>72</v>
      </c>
      <c r="B975" s="1" t="s">
        <v>16185</v>
      </c>
      <c r="C975" s="1" t="s">
        <v>74</v>
      </c>
      <c r="D975" s="1" t="s">
        <v>74</v>
      </c>
      <c r="E975" s="1" t="s">
        <v>74</v>
      </c>
      <c r="F975" s="1" t="s">
        <v>16186</v>
      </c>
      <c r="G975" s="1" t="s">
        <v>74</v>
      </c>
      <c r="H975" s="1" t="s">
        <v>74</v>
      </c>
      <c r="I975" s="1" t="s">
        <v>16187</v>
      </c>
      <c r="J975" s="1" t="s">
        <v>752</v>
      </c>
      <c r="K975" s="1" t="s">
        <v>74</v>
      </c>
      <c r="L975" s="1" t="s">
        <v>74</v>
      </c>
      <c r="M975" s="1" t="s">
        <v>78</v>
      </c>
      <c r="N975" s="1" t="s">
        <v>79</v>
      </c>
      <c r="O975" s="1" t="s">
        <v>74</v>
      </c>
      <c r="P975" s="1" t="s">
        <v>74</v>
      </c>
      <c r="Q975" s="1" t="s">
        <v>74</v>
      </c>
      <c r="R975" s="1" t="s">
        <v>74</v>
      </c>
      <c r="S975" s="1" t="s">
        <v>74</v>
      </c>
      <c r="T975" s="1" t="s">
        <v>16188</v>
      </c>
      <c r="U975" s="1" t="s">
        <v>16189</v>
      </c>
      <c r="V975" s="1" t="s">
        <v>16190</v>
      </c>
      <c r="W975" s="1" t="s">
        <v>16191</v>
      </c>
      <c r="X975" s="1" t="s">
        <v>16192</v>
      </c>
      <c r="Y975" s="1" t="s">
        <v>16193</v>
      </c>
      <c r="Z975" s="1" t="s">
        <v>3105</v>
      </c>
      <c r="AA975" s="1" t="s">
        <v>74</v>
      </c>
      <c r="AB975" s="1" t="s">
        <v>15798</v>
      </c>
      <c r="AC975" s="1" t="s">
        <v>15799</v>
      </c>
      <c r="AD975" s="1" t="s">
        <v>15800</v>
      </c>
      <c r="AE975" s="1" t="s">
        <v>16194</v>
      </c>
      <c r="AF975" s="1" t="s">
        <v>74</v>
      </c>
      <c r="AG975" s="1">
        <v>92</v>
      </c>
      <c r="AH975" s="1">
        <v>34</v>
      </c>
      <c r="AI975" s="1">
        <v>35</v>
      </c>
      <c r="AJ975" s="1">
        <v>1</v>
      </c>
      <c r="AK975" s="1">
        <v>24</v>
      </c>
      <c r="AL975" s="1" t="s">
        <v>430</v>
      </c>
      <c r="AM975" s="1" t="s">
        <v>137</v>
      </c>
      <c r="AN975" s="1" t="s">
        <v>431</v>
      </c>
      <c r="AO975" s="1" t="s">
        <v>761</v>
      </c>
      <c r="AP975" s="1" t="s">
        <v>762</v>
      </c>
      <c r="AQ975" s="1" t="s">
        <v>74</v>
      </c>
      <c r="AR975" s="1" t="s">
        <v>763</v>
      </c>
      <c r="AS975" s="1" t="s">
        <v>764</v>
      </c>
      <c r="AT975" s="1" t="s">
        <v>197</v>
      </c>
      <c r="AU975" s="1">
        <v>2013</v>
      </c>
      <c r="AV975" s="1">
        <v>92</v>
      </c>
      <c r="AW975" s="1" t="s">
        <v>74</v>
      </c>
      <c r="AX975" s="1" t="s">
        <v>74</v>
      </c>
      <c r="AY975" s="1" t="s">
        <v>74</v>
      </c>
      <c r="AZ975" s="1" t="s">
        <v>74</v>
      </c>
      <c r="BA975" s="1" t="s">
        <v>74</v>
      </c>
      <c r="BB975" s="1">
        <v>244</v>
      </c>
      <c r="BC975" s="1">
        <v>252</v>
      </c>
      <c r="BD975" s="1" t="s">
        <v>74</v>
      </c>
      <c r="BE975" s="1" t="s">
        <v>16195</v>
      </c>
      <c r="BF975" s="1" t="str">
        <f>HYPERLINK("http://dx.doi.org/10.1016/j.marenvres.2013.10.004","http://dx.doi.org/10.1016/j.marenvres.2013.10.004")</f>
        <v>http://dx.doi.org/10.1016/j.marenvres.2013.10.004</v>
      </c>
      <c r="BG975" s="1" t="s">
        <v>74</v>
      </c>
      <c r="BH975" s="1" t="s">
        <v>74</v>
      </c>
      <c r="BI975" s="1">
        <v>9</v>
      </c>
      <c r="BJ975" s="1" t="s">
        <v>768</v>
      </c>
      <c r="BK975" s="1" t="s">
        <v>96</v>
      </c>
      <c r="BL975" s="1" t="s">
        <v>769</v>
      </c>
      <c r="BM975" s="1" t="s">
        <v>16196</v>
      </c>
      <c r="BN975" s="1">
        <v>24157268</v>
      </c>
      <c r="BO975" s="1" t="s">
        <v>1752</v>
      </c>
      <c r="BP975" s="1" t="s">
        <v>74</v>
      </c>
      <c r="BQ975" s="1" t="s">
        <v>74</v>
      </c>
      <c r="BR975" s="1" t="s">
        <v>98</v>
      </c>
      <c r="BS975" s="1" t="s">
        <v>16197</v>
      </c>
      <c r="BT975" s="1" t="str">
        <f>HYPERLINK("https%3A%2F%2Fwww.webofscience.com%2Fwos%2Fwoscc%2Ffull-record%2FWOS:000327569000026","View Full Record in Web of Science")</f>
        <v>View Full Record in Web of Science</v>
      </c>
    </row>
    <row r="976" spans="1:72">
      <c r="A976" s="1" t="s">
        <v>72</v>
      </c>
      <c r="B976" s="1" t="s">
        <v>16198</v>
      </c>
      <c r="C976" s="1" t="s">
        <v>74</v>
      </c>
      <c r="D976" s="1" t="s">
        <v>74</v>
      </c>
      <c r="E976" s="1" t="s">
        <v>74</v>
      </c>
      <c r="F976" s="1" t="s">
        <v>16198</v>
      </c>
      <c r="G976" s="1" t="s">
        <v>74</v>
      </c>
      <c r="H976" s="1" t="s">
        <v>74</v>
      </c>
      <c r="I976" s="1" t="s">
        <v>16199</v>
      </c>
      <c r="J976" s="1" t="s">
        <v>16200</v>
      </c>
      <c r="K976" s="1" t="s">
        <v>74</v>
      </c>
      <c r="L976" s="1" t="s">
        <v>74</v>
      </c>
      <c r="M976" s="1" t="s">
        <v>78</v>
      </c>
      <c r="N976" s="1" t="s">
        <v>79</v>
      </c>
      <c r="O976" s="1" t="s">
        <v>74</v>
      </c>
      <c r="P976" s="1" t="s">
        <v>74</v>
      </c>
      <c r="Q976" s="1" t="s">
        <v>74</v>
      </c>
      <c r="R976" s="1" t="s">
        <v>74</v>
      </c>
      <c r="S976" s="1" t="s">
        <v>74</v>
      </c>
      <c r="T976" s="1" t="s">
        <v>16201</v>
      </c>
      <c r="U976" s="1" t="s">
        <v>16202</v>
      </c>
      <c r="V976" s="1" t="s">
        <v>16203</v>
      </c>
      <c r="W976" s="1" t="s">
        <v>16204</v>
      </c>
      <c r="X976" s="1" t="s">
        <v>16205</v>
      </c>
      <c r="Y976" s="1" t="s">
        <v>16206</v>
      </c>
      <c r="Z976" s="1" t="s">
        <v>16207</v>
      </c>
      <c r="AA976" s="1" t="s">
        <v>74</v>
      </c>
      <c r="AB976" s="1" t="s">
        <v>16208</v>
      </c>
      <c r="AC976" s="1" t="s">
        <v>74</v>
      </c>
      <c r="AD976" s="1" t="s">
        <v>74</v>
      </c>
      <c r="AE976" s="1" t="s">
        <v>74</v>
      </c>
      <c r="AF976" s="1" t="s">
        <v>74</v>
      </c>
      <c r="AG976" s="1">
        <v>41</v>
      </c>
      <c r="AH976" s="1">
        <v>7</v>
      </c>
      <c r="AI976" s="1">
        <v>9</v>
      </c>
      <c r="AJ976" s="1">
        <v>0</v>
      </c>
      <c r="AK976" s="1">
        <v>6</v>
      </c>
      <c r="AL976" s="1" t="s">
        <v>136</v>
      </c>
      <c r="AM976" s="1" t="s">
        <v>137</v>
      </c>
      <c r="AN976" s="1" t="s">
        <v>138</v>
      </c>
      <c r="AO976" s="1" t="s">
        <v>16209</v>
      </c>
      <c r="AP976" s="1" t="s">
        <v>74</v>
      </c>
      <c r="AQ976" s="1" t="s">
        <v>74</v>
      </c>
      <c r="AR976" s="1" t="s">
        <v>16210</v>
      </c>
      <c r="AS976" s="1" t="s">
        <v>16211</v>
      </c>
      <c r="AT976" s="1" t="s">
        <v>93</v>
      </c>
      <c r="AU976" s="1">
        <v>2006</v>
      </c>
      <c r="AV976" s="1">
        <v>34</v>
      </c>
      <c r="AW976" s="1">
        <v>4</v>
      </c>
      <c r="AX976" s="1" t="s">
        <v>74</v>
      </c>
      <c r="AY976" s="1" t="s">
        <v>74</v>
      </c>
      <c r="AZ976" s="1" t="s">
        <v>74</v>
      </c>
      <c r="BA976" s="1" t="s">
        <v>74</v>
      </c>
      <c r="BB976" s="1">
        <v>275</v>
      </c>
      <c r="BC976" s="1">
        <v>281</v>
      </c>
      <c r="BD976" s="1" t="s">
        <v>74</v>
      </c>
      <c r="BE976" s="1" t="s">
        <v>16212</v>
      </c>
      <c r="BF976" s="1" t="str">
        <f>HYPERLINK("http://dx.doi.org/10.1016/j.bse.2005.11.008","http://dx.doi.org/10.1016/j.bse.2005.11.008")</f>
        <v>http://dx.doi.org/10.1016/j.bse.2005.11.008</v>
      </c>
      <c r="BG976" s="1" t="s">
        <v>74</v>
      </c>
      <c r="BH976" s="1" t="s">
        <v>74</v>
      </c>
      <c r="BI976" s="1">
        <v>7</v>
      </c>
      <c r="BJ976" s="1" t="s">
        <v>16213</v>
      </c>
      <c r="BK976" s="1" t="s">
        <v>96</v>
      </c>
      <c r="BL976" s="1" t="s">
        <v>16214</v>
      </c>
      <c r="BM976" s="1" t="s">
        <v>16215</v>
      </c>
      <c r="BN976" s="1" t="s">
        <v>74</v>
      </c>
      <c r="BO976" s="1" t="s">
        <v>74</v>
      </c>
      <c r="BP976" s="1" t="s">
        <v>74</v>
      </c>
      <c r="BQ976" s="1" t="s">
        <v>74</v>
      </c>
      <c r="BR976" s="1" t="s">
        <v>98</v>
      </c>
      <c r="BS976" s="1" t="s">
        <v>16216</v>
      </c>
      <c r="BT976" s="1" t="str">
        <f>HYPERLINK("https%3A%2F%2Fwww.webofscience.com%2Fwos%2Fwoscc%2Ffull-record%2FWOS:000236563400001","View Full Record in Web of Science")</f>
        <v>View Full Record in Web of Science</v>
      </c>
    </row>
    <row r="977" spans="1:72">
      <c r="A977" s="1" t="s">
        <v>72</v>
      </c>
      <c r="B977" s="1" t="s">
        <v>16217</v>
      </c>
      <c r="C977" s="1" t="s">
        <v>74</v>
      </c>
      <c r="D977" s="1" t="s">
        <v>74</v>
      </c>
      <c r="E977" s="1" t="s">
        <v>74</v>
      </c>
      <c r="F977" s="1" t="s">
        <v>16218</v>
      </c>
      <c r="G977" s="1" t="s">
        <v>74</v>
      </c>
      <c r="H977" s="1" t="s">
        <v>74</v>
      </c>
      <c r="I977" s="1" t="s">
        <v>16219</v>
      </c>
      <c r="J977" s="1" t="s">
        <v>1948</v>
      </c>
      <c r="K977" s="1" t="s">
        <v>74</v>
      </c>
      <c r="L977" s="1" t="s">
        <v>74</v>
      </c>
      <c r="M977" s="1" t="s">
        <v>78</v>
      </c>
      <c r="N977" s="1" t="s">
        <v>79</v>
      </c>
      <c r="O977" s="1" t="s">
        <v>74</v>
      </c>
      <c r="P977" s="1" t="s">
        <v>74</v>
      </c>
      <c r="Q977" s="1" t="s">
        <v>74</v>
      </c>
      <c r="R977" s="1" t="s">
        <v>74</v>
      </c>
      <c r="S977" s="1" t="s">
        <v>74</v>
      </c>
      <c r="T977" s="1" t="s">
        <v>16220</v>
      </c>
      <c r="U977" s="1" t="s">
        <v>16221</v>
      </c>
      <c r="V977" s="1" t="s">
        <v>16222</v>
      </c>
      <c r="W977" s="1" t="s">
        <v>16223</v>
      </c>
      <c r="X977" s="1" t="s">
        <v>16224</v>
      </c>
      <c r="Y977" s="1" t="s">
        <v>16225</v>
      </c>
      <c r="Z977" s="1" t="s">
        <v>16226</v>
      </c>
      <c r="AA977" s="1" t="s">
        <v>16227</v>
      </c>
      <c r="AB977" s="1" t="s">
        <v>16228</v>
      </c>
      <c r="AC977" s="1" t="s">
        <v>16229</v>
      </c>
      <c r="AD977" s="1" t="s">
        <v>16230</v>
      </c>
      <c r="AE977" s="1" t="s">
        <v>16231</v>
      </c>
      <c r="AF977" s="1" t="s">
        <v>74</v>
      </c>
      <c r="AG977" s="1">
        <v>55</v>
      </c>
      <c r="AH977" s="1">
        <v>42</v>
      </c>
      <c r="AI977" s="1">
        <v>45</v>
      </c>
      <c r="AJ977" s="1">
        <v>5</v>
      </c>
      <c r="AK977" s="1">
        <v>80</v>
      </c>
      <c r="AL977" s="1" t="s">
        <v>430</v>
      </c>
      <c r="AM977" s="1" t="s">
        <v>137</v>
      </c>
      <c r="AN977" s="1" t="s">
        <v>431</v>
      </c>
      <c r="AO977" s="1" t="s">
        <v>1961</v>
      </c>
      <c r="AP977" s="1" t="s">
        <v>1962</v>
      </c>
      <c r="AQ977" s="1" t="s">
        <v>74</v>
      </c>
      <c r="AR977" s="1" t="s">
        <v>1963</v>
      </c>
      <c r="AS977" s="1" t="s">
        <v>1964</v>
      </c>
      <c r="AT977" s="1" t="s">
        <v>3752</v>
      </c>
      <c r="AU977" s="1">
        <v>2020</v>
      </c>
      <c r="AV977" s="1">
        <v>246</v>
      </c>
      <c r="AW977" s="1" t="s">
        <v>74</v>
      </c>
      <c r="AX977" s="1" t="s">
        <v>74</v>
      </c>
      <c r="AY977" s="1" t="s">
        <v>74</v>
      </c>
      <c r="AZ977" s="1" t="s">
        <v>74</v>
      </c>
      <c r="BA977" s="1" t="s">
        <v>74</v>
      </c>
      <c r="BB977" s="1" t="s">
        <v>74</v>
      </c>
      <c r="BC977" s="1" t="s">
        <v>74</v>
      </c>
      <c r="BD977" s="1">
        <v>119009</v>
      </c>
      <c r="BE977" s="1" t="s">
        <v>16232</v>
      </c>
      <c r="BF977" s="1" t="str">
        <f>HYPERLINK("http://dx.doi.org/10.1016/j.jclepro.2019.119009","http://dx.doi.org/10.1016/j.jclepro.2019.119009")</f>
        <v>http://dx.doi.org/10.1016/j.jclepro.2019.119009</v>
      </c>
      <c r="BG977" s="1" t="s">
        <v>74</v>
      </c>
      <c r="BH977" s="1" t="s">
        <v>74</v>
      </c>
      <c r="BI977" s="1">
        <v>11</v>
      </c>
      <c r="BJ977" s="1" t="s">
        <v>1967</v>
      </c>
      <c r="BK977" s="1" t="s">
        <v>96</v>
      </c>
      <c r="BL977" s="1" t="s">
        <v>1968</v>
      </c>
      <c r="BM977" s="1" t="s">
        <v>16233</v>
      </c>
      <c r="BN977" s="1" t="s">
        <v>74</v>
      </c>
      <c r="BO977" s="1" t="s">
        <v>74</v>
      </c>
      <c r="BP977" s="1" t="s">
        <v>74</v>
      </c>
      <c r="BQ977" s="1" t="s">
        <v>74</v>
      </c>
      <c r="BR977" s="1" t="s">
        <v>98</v>
      </c>
      <c r="BS977" s="1" t="s">
        <v>16234</v>
      </c>
      <c r="BT977" s="1" t="str">
        <f>HYPERLINK("https%3A%2F%2Fwww.webofscience.com%2Fwos%2Fwoscc%2Ffull-record%2FWOS:000504632600065","View Full Record in Web of Science")</f>
        <v>View Full Record in Web of Science</v>
      </c>
    </row>
    <row r="978" spans="1:72">
      <c r="A978" s="1" t="s">
        <v>72</v>
      </c>
      <c r="B978" s="1" t="s">
        <v>16235</v>
      </c>
      <c r="C978" s="1" t="s">
        <v>74</v>
      </c>
      <c r="D978" s="1" t="s">
        <v>74</v>
      </c>
      <c r="E978" s="1" t="s">
        <v>74</v>
      </c>
      <c r="F978" s="1" t="s">
        <v>16236</v>
      </c>
      <c r="G978" s="1" t="s">
        <v>74</v>
      </c>
      <c r="H978" s="1" t="s">
        <v>74</v>
      </c>
      <c r="I978" s="1" t="s">
        <v>16237</v>
      </c>
      <c r="J978" s="1" t="s">
        <v>7097</v>
      </c>
      <c r="K978" s="1" t="s">
        <v>74</v>
      </c>
      <c r="L978" s="1" t="s">
        <v>74</v>
      </c>
      <c r="M978" s="1" t="s">
        <v>78</v>
      </c>
      <c r="N978" s="1" t="s">
        <v>79</v>
      </c>
      <c r="O978" s="1" t="s">
        <v>74</v>
      </c>
      <c r="P978" s="1" t="s">
        <v>74</v>
      </c>
      <c r="Q978" s="1" t="s">
        <v>74</v>
      </c>
      <c r="R978" s="1" t="s">
        <v>74</v>
      </c>
      <c r="S978" s="1" t="s">
        <v>74</v>
      </c>
      <c r="T978" s="1" t="s">
        <v>16238</v>
      </c>
      <c r="U978" s="1" t="s">
        <v>16239</v>
      </c>
      <c r="V978" s="1" t="s">
        <v>16240</v>
      </c>
      <c r="W978" s="1" t="s">
        <v>16241</v>
      </c>
      <c r="X978" s="1" t="s">
        <v>2108</v>
      </c>
      <c r="Y978" s="1" t="s">
        <v>2109</v>
      </c>
      <c r="Z978" s="1" t="s">
        <v>2110</v>
      </c>
      <c r="AA978" s="1" t="s">
        <v>16242</v>
      </c>
      <c r="AB978" s="1" t="s">
        <v>16243</v>
      </c>
      <c r="AC978" s="1" t="s">
        <v>16244</v>
      </c>
      <c r="AD978" s="1" t="s">
        <v>16244</v>
      </c>
      <c r="AE978" s="1" t="s">
        <v>16245</v>
      </c>
      <c r="AF978" s="1" t="s">
        <v>74</v>
      </c>
      <c r="AG978" s="1">
        <v>24</v>
      </c>
      <c r="AH978" s="1">
        <v>13</v>
      </c>
      <c r="AI978" s="1">
        <v>14</v>
      </c>
      <c r="AJ978" s="1">
        <v>1</v>
      </c>
      <c r="AK978" s="1">
        <v>21</v>
      </c>
      <c r="AL978" s="1" t="s">
        <v>650</v>
      </c>
      <c r="AM978" s="1" t="s">
        <v>651</v>
      </c>
      <c r="AN978" s="1" t="s">
        <v>652</v>
      </c>
      <c r="AO978" s="1" t="s">
        <v>7110</v>
      </c>
      <c r="AP978" s="1" t="s">
        <v>7111</v>
      </c>
      <c r="AQ978" s="1" t="s">
        <v>74</v>
      </c>
      <c r="AR978" s="1" t="s">
        <v>7112</v>
      </c>
      <c r="AS978" s="1" t="s">
        <v>7113</v>
      </c>
      <c r="AT978" s="1" t="s">
        <v>224</v>
      </c>
      <c r="AU978" s="1">
        <v>2014</v>
      </c>
      <c r="AV978" s="1">
        <v>37</v>
      </c>
      <c r="AW978" s="1" t="s">
        <v>74</v>
      </c>
      <c r="AX978" s="1" t="s">
        <v>489</v>
      </c>
      <c r="AY978" s="1" t="s">
        <v>74</v>
      </c>
      <c r="AZ978" s="1" t="s">
        <v>74</v>
      </c>
      <c r="BA978" s="1" t="s">
        <v>74</v>
      </c>
      <c r="BB978" s="1">
        <v>99</v>
      </c>
      <c r="BC978" s="1">
        <v>104</v>
      </c>
      <c r="BD978" s="1" t="s">
        <v>74</v>
      </c>
      <c r="BE978" s="1" t="s">
        <v>16246</v>
      </c>
      <c r="BF978" s="1" t="str">
        <f>HYPERLINK("http://dx.doi.org/10.1016/j.ecolind.2013.09.039","http://dx.doi.org/10.1016/j.ecolind.2013.09.039")</f>
        <v>http://dx.doi.org/10.1016/j.ecolind.2013.09.039</v>
      </c>
      <c r="BG978" s="1" t="s">
        <v>74</v>
      </c>
      <c r="BH978" s="1" t="s">
        <v>74</v>
      </c>
      <c r="BI978" s="1">
        <v>6</v>
      </c>
      <c r="BJ978" s="1" t="s">
        <v>4923</v>
      </c>
      <c r="BK978" s="1" t="s">
        <v>96</v>
      </c>
      <c r="BL978" s="1" t="s">
        <v>4924</v>
      </c>
      <c r="BM978" s="1" t="s">
        <v>16247</v>
      </c>
      <c r="BN978" s="1" t="s">
        <v>74</v>
      </c>
      <c r="BO978" s="1" t="s">
        <v>74</v>
      </c>
      <c r="BP978" s="1" t="s">
        <v>74</v>
      </c>
      <c r="BQ978" s="1" t="s">
        <v>74</v>
      </c>
      <c r="BR978" s="1" t="s">
        <v>98</v>
      </c>
      <c r="BS978" s="1" t="s">
        <v>16248</v>
      </c>
      <c r="BT978" s="1" t="str">
        <f>HYPERLINK("https%3A%2F%2Fwww.webofscience.com%2Fwos%2Fwoscc%2Ffull-record%2FWOS:000329385300011","View Full Record in Web of Science")</f>
        <v>View Full Record in Web of Science</v>
      </c>
    </row>
    <row r="979" spans="1:72">
      <c r="A979" s="1" t="s">
        <v>72</v>
      </c>
      <c r="B979" s="1" t="s">
        <v>16249</v>
      </c>
      <c r="C979" s="1" t="s">
        <v>74</v>
      </c>
      <c r="D979" s="1" t="s">
        <v>74</v>
      </c>
      <c r="E979" s="1" t="s">
        <v>74</v>
      </c>
      <c r="F979" s="1" t="s">
        <v>16250</v>
      </c>
      <c r="G979" s="1" t="s">
        <v>74</v>
      </c>
      <c r="H979" s="1" t="s">
        <v>74</v>
      </c>
      <c r="I979" s="1" t="s">
        <v>16251</v>
      </c>
      <c r="J979" s="1" t="s">
        <v>704</v>
      </c>
      <c r="K979" s="1" t="s">
        <v>74</v>
      </c>
      <c r="L979" s="1" t="s">
        <v>74</v>
      </c>
      <c r="M979" s="1" t="s">
        <v>78</v>
      </c>
      <c r="N979" s="1" t="s">
        <v>79</v>
      </c>
      <c r="O979" s="1" t="s">
        <v>74</v>
      </c>
      <c r="P979" s="1" t="s">
        <v>74</v>
      </c>
      <c r="Q979" s="1" t="s">
        <v>74</v>
      </c>
      <c r="R979" s="1" t="s">
        <v>74</v>
      </c>
      <c r="S979" s="1" t="s">
        <v>74</v>
      </c>
      <c r="T979" s="1" t="s">
        <v>16252</v>
      </c>
      <c r="U979" s="1" t="s">
        <v>16253</v>
      </c>
      <c r="V979" s="1" t="s">
        <v>16254</v>
      </c>
      <c r="W979" s="1" t="s">
        <v>16255</v>
      </c>
      <c r="X979" s="1" t="s">
        <v>16256</v>
      </c>
      <c r="Y979" s="1" t="s">
        <v>16257</v>
      </c>
      <c r="Z979" s="1" t="s">
        <v>16258</v>
      </c>
      <c r="AA979" s="1" t="s">
        <v>16259</v>
      </c>
      <c r="AB979" s="1" t="s">
        <v>16260</v>
      </c>
      <c r="AC979" s="1" t="s">
        <v>16261</v>
      </c>
      <c r="AD979" s="1" t="s">
        <v>16262</v>
      </c>
      <c r="AE979" s="1" t="s">
        <v>16263</v>
      </c>
      <c r="AF979" s="1" t="s">
        <v>74</v>
      </c>
      <c r="AG979" s="1">
        <v>42</v>
      </c>
      <c r="AH979" s="1">
        <v>1</v>
      </c>
      <c r="AI979" s="1">
        <v>1</v>
      </c>
      <c r="AJ979" s="1">
        <v>0</v>
      </c>
      <c r="AK979" s="1">
        <v>4</v>
      </c>
      <c r="AL979" s="1" t="s">
        <v>4010</v>
      </c>
      <c r="AM979" s="1" t="s">
        <v>1167</v>
      </c>
      <c r="AN979" s="1" t="s">
        <v>1168</v>
      </c>
      <c r="AO979" s="1" t="s">
        <v>718</v>
      </c>
      <c r="AP979" s="1" t="s">
        <v>1169</v>
      </c>
      <c r="AQ979" s="1" t="s">
        <v>74</v>
      </c>
      <c r="AR979" s="1" t="s">
        <v>719</v>
      </c>
      <c r="AS979" s="1" t="s">
        <v>720</v>
      </c>
      <c r="AT979" s="1" t="s">
        <v>16264</v>
      </c>
      <c r="AU979" s="1">
        <v>2020</v>
      </c>
      <c r="AV979" s="1">
        <v>231</v>
      </c>
      <c r="AW979" s="1">
        <v>1</v>
      </c>
      <c r="AX979" s="1" t="s">
        <v>74</v>
      </c>
      <c r="AY979" s="1" t="s">
        <v>74</v>
      </c>
      <c r="AZ979" s="1" t="s">
        <v>74</v>
      </c>
      <c r="BA979" s="1" t="s">
        <v>74</v>
      </c>
      <c r="BB979" s="1" t="s">
        <v>74</v>
      </c>
      <c r="BC979" s="1" t="s">
        <v>74</v>
      </c>
      <c r="BD979" s="1">
        <v>21</v>
      </c>
      <c r="BE979" s="1" t="s">
        <v>16265</v>
      </c>
      <c r="BF979" s="1" t="str">
        <f>HYPERLINK("http://dx.doi.org/10.1007/s11270-019-4349-9","http://dx.doi.org/10.1007/s11270-019-4349-9")</f>
        <v>http://dx.doi.org/10.1007/s11270-019-4349-9</v>
      </c>
      <c r="BG979" s="1" t="s">
        <v>74</v>
      </c>
      <c r="BH979" s="1" t="s">
        <v>74</v>
      </c>
      <c r="BI979" s="1">
        <v>11</v>
      </c>
      <c r="BJ979" s="1" t="s">
        <v>722</v>
      </c>
      <c r="BK979" s="1" t="s">
        <v>96</v>
      </c>
      <c r="BL979" s="1" t="s">
        <v>723</v>
      </c>
      <c r="BM979" s="1" t="s">
        <v>16266</v>
      </c>
      <c r="BN979" s="1" t="s">
        <v>74</v>
      </c>
      <c r="BO979" s="1" t="s">
        <v>74</v>
      </c>
      <c r="BP979" s="1" t="s">
        <v>74</v>
      </c>
      <c r="BQ979" s="1" t="s">
        <v>74</v>
      </c>
      <c r="BR979" s="1" t="s">
        <v>98</v>
      </c>
      <c r="BS979" s="1" t="s">
        <v>16267</v>
      </c>
      <c r="BT979" s="1" t="str">
        <f>HYPERLINK("https%3A%2F%2Fwww.webofscience.com%2Fwos%2Fwoscc%2Ffull-record%2FWOS:000513147500001","View Full Record in Web of Science")</f>
        <v>View Full Record in Web of Science</v>
      </c>
    </row>
    <row r="980" spans="1:72">
      <c r="A980" s="1" t="s">
        <v>72</v>
      </c>
      <c r="B980" s="1" t="s">
        <v>16268</v>
      </c>
      <c r="C980" s="1" t="s">
        <v>74</v>
      </c>
      <c r="D980" s="1" t="s">
        <v>74</v>
      </c>
      <c r="E980" s="1" t="s">
        <v>74</v>
      </c>
      <c r="F980" s="1" t="s">
        <v>16268</v>
      </c>
      <c r="G980" s="1" t="s">
        <v>74</v>
      </c>
      <c r="H980" s="1" t="s">
        <v>74</v>
      </c>
      <c r="I980" s="1" t="s">
        <v>16269</v>
      </c>
      <c r="J980" s="1" t="s">
        <v>16270</v>
      </c>
      <c r="K980" s="1" t="s">
        <v>74</v>
      </c>
      <c r="L980" s="1" t="s">
        <v>74</v>
      </c>
      <c r="M980" s="1" t="s">
        <v>78</v>
      </c>
      <c r="N980" s="1" t="s">
        <v>79</v>
      </c>
      <c r="O980" s="1" t="s">
        <v>74</v>
      </c>
      <c r="P980" s="1" t="s">
        <v>74</v>
      </c>
      <c r="Q980" s="1" t="s">
        <v>74</v>
      </c>
      <c r="R980" s="1" t="s">
        <v>74</v>
      </c>
      <c r="S980" s="1" t="s">
        <v>74</v>
      </c>
      <c r="T980" s="1" t="s">
        <v>74</v>
      </c>
      <c r="U980" s="1" t="s">
        <v>74</v>
      </c>
      <c r="V980" s="1" t="s">
        <v>16271</v>
      </c>
      <c r="W980" s="1" t="s">
        <v>74</v>
      </c>
      <c r="X980" s="1" t="s">
        <v>74</v>
      </c>
      <c r="Y980" s="1" t="s">
        <v>16272</v>
      </c>
      <c r="Z980" s="1" t="s">
        <v>74</v>
      </c>
      <c r="AA980" s="1" t="s">
        <v>74</v>
      </c>
      <c r="AB980" s="1" t="s">
        <v>74</v>
      </c>
      <c r="AC980" s="1" t="s">
        <v>74</v>
      </c>
      <c r="AD980" s="1" t="s">
        <v>74</v>
      </c>
      <c r="AE980" s="1" t="s">
        <v>74</v>
      </c>
      <c r="AF980" s="1" t="s">
        <v>74</v>
      </c>
      <c r="AG980" s="1">
        <v>13</v>
      </c>
      <c r="AH980" s="1">
        <v>3</v>
      </c>
      <c r="AI980" s="1">
        <v>3</v>
      </c>
      <c r="AJ980" s="1">
        <v>0</v>
      </c>
      <c r="AK980" s="1">
        <v>12</v>
      </c>
      <c r="AL980" s="1" t="s">
        <v>16273</v>
      </c>
      <c r="AM980" s="1" t="s">
        <v>4215</v>
      </c>
      <c r="AN980" s="1" t="s">
        <v>16274</v>
      </c>
      <c r="AO980" s="1" t="s">
        <v>16275</v>
      </c>
      <c r="AP980" s="1" t="s">
        <v>74</v>
      </c>
      <c r="AQ980" s="1" t="s">
        <v>74</v>
      </c>
      <c r="AR980" s="1" t="s">
        <v>16276</v>
      </c>
      <c r="AS980" s="1" t="s">
        <v>16277</v>
      </c>
      <c r="AT980" s="1" t="s">
        <v>119</v>
      </c>
      <c r="AU980" s="1">
        <v>1992</v>
      </c>
      <c r="AV980" s="1">
        <v>161</v>
      </c>
      <c r="AW980" s="1">
        <v>1</v>
      </c>
      <c r="AX980" s="1" t="s">
        <v>74</v>
      </c>
      <c r="AY980" s="1" t="s">
        <v>74</v>
      </c>
      <c r="AZ980" s="1" t="s">
        <v>74</v>
      </c>
      <c r="BA980" s="1" t="s">
        <v>74</v>
      </c>
      <c r="BB980" s="1">
        <v>135</v>
      </c>
      <c r="BC980" s="1">
        <v>146</v>
      </c>
      <c r="BD980" s="1" t="s">
        <v>74</v>
      </c>
      <c r="BE980" s="1" t="s">
        <v>16278</v>
      </c>
      <c r="BF980" s="1" t="str">
        <f>HYPERLINK("http://dx.doi.org/10.1007/BF02034887","http://dx.doi.org/10.1007/BF02034887")</f>
        <v>http://dx.doi.org/10.1007/BF02034887</v>
      </c>
      <c r="BG980" s="1" t="s">
        <v>74</v>
      </c>
      <c r="BH980" s="1" t="s">
        <v>74</v>
      </c>
      <c r="BI980" s="1">
        <v>12</v>
      </c>
      <c r="BJ980" s="1" t="s">
        <v>16279</v>
      </c>
      <c r="BK980" s="1" t="s">
        <v>96</v>
      </c>
      <c r="BL980" s="1" t="s">
        <v>16280</v>
      </c>
      <c r="BM980" s="1" t="s">
        <v>16281</v>
      </c>
      <c r="BN980" s="1" t="s">
        <v>74</v>
      </c>
      <c r="BO980" s="1" t="s">
        <v>74</v>
      </c>
      <c r="BP980" s="1" t="s">
        <v>74</v>
      </c>
      <c r="BQ980" s="1" t="s">
        <v>74</v>
      </c>
      <c r="BR980" s="1" t="s">
        <v>98</v>
      </c>
      <c r="BS980" s="1" t="s">
        <v>16282</v>
      </c>
      <c r="BT980" s="1" t="str">
        <f>HYPERLINK("https%3A%2F%2Fwww.webofscience.com%2Fwos%2Fwoscc%2Ffull-record%2FWOS:A1992JP68400014","View Full Record in Web of Science")</f>
        <v>View Full Record in Web of Science</v>
      </c>
    </row>
    <row r="981" spans="1:72">
      <c r="A981" s="1" t="s">
        <v>72</v>
      </c>
      <c r="B981" s="1" t="s">
        <v>16283</v>
      </c>
      <c r="C981" s="1" t="s">
        <v>74</v>
      </c>
      <c r="D981" s="1" t="s">
        <v>74</v>
      </c>
      <c r="E981" s="1" t="s">
        <v>74</v>
      </c>
      <c r="F981" s="1" t="s">
        <v>16284</v>
      </c>
      <c r="G981" s="1" t="s">
        <v>74</v>
      </c>
      <c r="H981" s="1" t="s">
        <v>74</v>
      </c>
      <c r="I981" s="1" t="s">
        <v>16285</v>
      </c>
      <c r="J981" s="1" t="s">
        <v>5897</v>
      </c>
      <c r="K981" s="1" t="s">
        <v>74</v>
      </c>
      <c r="L981" s="1" t="s">
        <v>74</v>
      </c>
      <c r="M981" s="1" t="s">
        <v>78</v>
      </c>
      <c r="N981" s="1" t="s">
        <v>79</v>
      </c>
      <c r="O981" s="1" t="s">
        <v>74</v>
      </c>
      <c r="P981" s="1" t="s">
        <v>74</v>
      </c>
      <c r="Q981" s="1" t="s">
        <v>74</v>
      </c>
      <c r="R981" s="1" t="s">
        <v>74</v>
      </c>
      <c r="S981" s="1" t="s">
        <v>74</v>
      </c>
      <c r="T981" s="1" t="s">
        <v>16286</v>
      </c>
      <c r="U981" s="1" t="s">
        <v>16287</v>
      </c>
      <c r="V981" s="1" t="s">
        <v>16288</v>
      </c>
      <c r="W981" s="1" t="s">
        <v>16289</v>
      </c>
      <c r="X981" s="1" t="s">
        <v>16290</v>
      </c>
      <c r="Y981" s="1" t="s">
        <v>16291</v>
      </c>
      <c r="Z981" s="1" t="s">
        <v>16292</v>
      </c>
      <c r="AA981" s="1" t="s">
        <v>74</v>
      </c>
      <c r="AB981" s="1" t="s">
        <v>16293</v>
      </c>
      <c r="AC981" s="1" t="s">
        <v>16294</v>
      </c>
      <c r="AD981" s="1" t="s">
        <v>16295</v>
      </c>
      <c r="AE981" s="1" t="s">
        <v>16296</v>
      </c>
      <c r="AF981" s="1" t="s">
        <v>74</v>
      </c>
      <c r="AG981" s="1">
        <v>107</v>
      </c>
      <c r="AH981" s="1">
        <v>18</v>
      </c>
      <c r="AI981" s="1">
        <v>22</v>
      </c>
      <c r="AJ981" s="1">
        <v>1</v>
      </c>
      <c r="AK981" s="1">
        <v>81</v>
      </c>
      <c r="AL981" s="1" t="s">
        <v>86</v>
      </c>
      <c r="AM981" s="1" t="s">
        <v>87</v>
      </c>
      <c r="AN981" s="1" t="s">
        <v>88</v>
      </c>
      <c r="AO981" s="1" t="s">
        <v>5907</v>
      </c>
      <c r="AP981" s="1" t="s">
        <v>16297</v>
      </c>
      <c r="AQ981" s="1" t="s">
        <v>74</v>
      </c>
      <c r="AR981" s="1" t="s">
        <v>5908</v>
      </c>
      <c r="AS981" s="1" t="s">
        <v>5909</v>
      </c>
      <c r="AT981" s="1" t="s">
        <v>1223</v>
      </c>
      <c r="AU981" s="1">
        <v>2014</v>
      </c>
      <c r="AV981" s="1">
        <v>35</v>
      </c>
      <c r="AW981" s="1">
        <v>1</v>
      </c>
      <c r="AX981" s="1" t="s">
        <v>74</v>
      </c>
      <c r="AY981" s="1" t="s">
        <v>74</v>
      </c>
      <c r="AZ981" s="1" t="s">
        <v>74</v>
      </c>
      <c r="BA981" s="1" t="s">
        <v>74</v>
      </c>
      <c r="BB981" s="1">
        <v>46</v>
      </c>
      <c r="BC981" s="1">
        <v>66</v>
      </c>
      <c r="BD981" s="1" t="s">
        <v>74</v>
      </c>
      <c r="BE981" s="1" t="s">
        <v>16298</v>
      </c>
      <c r="BF981" s="1" t="str">
        <f>HYPERLINK("http://dx.doi.org/10.1111/maec.12054","http://dx.doi.org/10.1111/maec.12054")</f>
        <v>http://dx.doi.org/10.1111/maec.12054</v>
      </c>
      <c r="BG981" s="1" t="s">
        <v>74</v>
      </c>
      <c r="BH981" s="1" t="s">
        <v>74</v>
      </c>
      <c r="BI981" s="1">
        <v>21</v>
      </c>
      <c r="BJ981" s="1" t="s">
        <v>680</v>
      </c>
      <c r="BK981" s="1" t="s">
        <v>96</v>
      </c>
      <c r="BL981" s="1" t="s">
        <v>680</v>
      </c>
      <c r="BM981" s="1" t="s">
        <v>16299</v>
      </c>
      <c r="BN981" s="1" t="s">
        <v>74</v>
      </c>
      <c r="BO981" s="1" t="s">
        <v>74</v>
      </c>
      <c r="BP981" s="1" t="s">
        <v>74</v>
      </c>
      <c r="BQ981" s="1" t="s">
        <v>74</v>
      </c>
      <c r="BR981" s="1" t="s">
        <v>98</v>
      </c>
      <c r="BS981" s="1" t="s">
        <v>16300</v>
      </c>
      <c r="BT981" s="1" t="str">
        <f>HYPERLINK("https%3A%2F%2Fwww.webofscience.com%2Fwos%2Fwoscc%2Ffull-record%2FWOS:000331127400004","View Full Record in Web of Science")</f>
        <v>View Full Record in Web of Science</v>
      </c>
    </row>
    <row r="982" spans="1:72">
      <c r="A982" s="1" t="s">
        <v>72</v>
      </c>
      <c r="B982" s="1" t="s">
        <v>16301</v>
      </c>
      <c r="C982" s="1" t="s">
        <v>74</v>
      </c>
      <c r="D982" s="1" t="s">
        <v>74</v>
      </c>
      <c r="E982" s="1" t="s">
        <v>74</v>
      </c>
      <c r="F982" s="1" t="s">
        <v>16302</v>
      </c>
      <c r="G982" s="1" t="s">
        <v>74</v>
      </c>
      <c r="H982" s="1" t="s">
        <v>74</v>
      </c>
      <c r="I982" s="1" t="s">
        <v>16303</v>
      </c>
      <c r="J982" s="1" t="s">
        <v>5272</v>
      </c>
      <c r="K982" s="1" t="s">
        <v>74</v>
      </c>
      <c r="L982" s="1" t="s">
        <v>74</v>
      </c>
      <c r="M982" s="1" t="s">
        <v>78</v>
      </c>
      <c r="N982" s="1" t="s">
        <v>79</v>
      </c>
      <c r="O982" s="1" t="s">
        <v>74</v>
      </c>
      <c r="P982" s="1" t="s">
        <v>74</v>
      </c>
      <c r="Q982" s="1" t="s">
        <v>74</v>
      </c>
      <c r="R982" s="1" t="s">
        <v>74</v>
      </c>
      <c r="S982" s="1" t="s">
        <v>74</v>
      </c>
      <c r="T982" s="1" t="s">
        <v>16304</v>
      </c>
      <c r="U982" s="1" t="s">
        <v>16305</v>
      </c>
      <c r="V982" s="1" t="s">
        <v>16306</v>
      </c>
      <c r="W982" s="1" t="s">
        <v>16307</v>
      </c>
      <c r="X982" s="1" t="s">
        <v>16308</v>
      </c>
      <c r="Y982" s="1" t="s">
        <v>16309</v>
      </c>
      <c r="Z982" s="1" t="s">
        <v>16310</v>
      </c>
      <c r="AA982" s="1" t="s">
        <v>16311</v>
      </c>
      <c r="AB982" s="1" t="s">
        <v>16312</v>
      </c>
      <c r="AC982" s="1" t="s">
        <v>16313</v>
      </c>
      <c r="AD982" s="1" t="s">
        <v>16314</v>
      </c>
      <c r="AE982" s="1" t="s">
        <v>16315</v>
      </c>
      <c r="AF982" s="1" t="s">
        <v>74</v>
      </c>
      <c r="AG982" s="1">
        <v>84</v>
      </c>
      <c r="AH982" s="1">
        <v>1</v>
      </c>
      <c r="AI982" s="1">
        <v>1</v>
      </c>
      <c r="AJ982" s="1">
        <v>0</v>
      </c>
      <c r="AK982" s="1">
        <v>8</v>
      </c>
      <c r="AL982" s="1" t="s">
        <v>86</v>
      </c>
      <c r="AM982" s="1" t="s">
        <v>87</v>
      </c>
      <c r="AN982" s="1" t="s">
        <v>88</v>
      </c>
      <c r="AO982" s="1" t="s">
        <v>5282</v>
      </c>
      <c r="AP982" s="1" t="s">
        <v>5283</v>
      </c>
      <c r="AQ982" s="1" t="s">
        <v>74</v>
      </c>
      <c r="AR982" s="1" t="s">
        <v>5284</v>
      </c>
      <c r="AS982" s="1" t="s">
        <v>5285</v>
      </c>
      <c r="AT982" s="1" t="s">
        <v>142</v>
      </c>
      <c r="AU982" s="1">
        <v>2023</v>
      </c>
      <c r="AV982" s="1">
        <v>35</v>
      </c>
      <c r="AW982" s="1">
        <v>2</v>
      </c>
      <c r="AX982" s="1" t="s">
        <v>74</v>
      </c>
      <c r="AY982" s="1" t="s">
        <v>74</v>
      </c>
      <c r="AZ982" s="1" t="s">
        <v>74</v>
      </c>
      <c r="BA982" s="1" t="s">
        <v>74</v>
      </c>
      <c r="BB982" s="1">
        <v>101</v>
      </c>
      <c r="BC982" s="1">
        <v>116</v>
      </c>
      <c r="BD982" s="1" t="s">
        <v>74</v>
      </c>
      <c r="BE982" s="1" t="s">
        <v>16316</v>
      </c>
      <c r="BF982" s="1" t="str">
        <f>HYPERLINK("http://dx.doi.org/10.1002/aah.10184","http://dx.doi.org/10.1002/aah.10184")</f>
        <v>http://dx.doi.org/10.1002/aah.10184</v>
      </c>
      <c r="BG982" s="1" t="s">
        <v>74</v>
      </c>
      <c r="BH982" s="1" t="s">
        <v>2259</v>
      </c>
      <c r="BI982" s="1">
        <v>16</v>
      </c>
      <c r="BJ982" s="1" t="s">
        <v>368</v>
      </c>
      <c r="BK982" s="1" t="s">
        <v>96</v>
      </c>
      <c r="BL982" s="1" t="s">
        <v>368</v>
      </c>
      <c r="BM982" s="1" t="s">
        <v>16317</v>
      </c>
      <c r="BN982" s="1">
        <v>37243331</v>
      </c>
      <c r="BO982" s="1" t="s">
        <v>74</v>
      </c>
      <c r="BP982" s="1" t="s">
        <v>74</v>
      </c>
      <c r="BQ982" s="1" t="s">
        <v>74</v>
      </c>
      <c r="BR982" s="1" t="s">
        <v>98</v>
      </c>
      <c r="BS982" s="1" t="s">
        <v>16318</v>
      </c>
      <c r="BT982" s="1" t="str">
        <f>HYPERLINK("https%3A%2F%2Fwww.webofscience.com%2Fwos%2Fwoscc%2Ffull-record%2FWOS:000995807100001","View Full Record in Web of Science")</f>
        <v>View Full Record in Web of Science</v>
      </c>
    </row>
    <row r="983" spans="1:72">
      <c r="A983" s="1" t="s">
        <v>72</v>
      </c>
      <c r="B983" s="1" t="s">
        <v>16319</v>
      </c>
      <c r="C983" s="1" t="s">
        <v>74</v>
      </c>
      <c r="D983" s="1" t="s">
        <v>74</v>
      </c>
      <c r="E983" s="1" t="s">
        <v>74</v>
      </c>
      <c r="F983" s="1" t="s">
        <v>16320</v>
      </c>
      <c r="G983" s="1" t="s">
        <v>74</v>
      </c>
      <c r="H983" s="1" t="s">
        <v>74</v>
      </c>
      <c r="I983" s="1" t="s">
        <v>16321</v>
      </c>
      <c r="J983" s="1" t="s">
        <v>421</v>
      </c>
      <c r="K983" s="1" t="s">
        <v>74</v>
      </c>
      <c r="L983" s="1" t="s">
        <v>74</v>
      </c>
      <c r="M983" s="1" t="s">
        <v>78</v>
      </c>
      <c r="N983" s="1" t="s">
        <v>79</v>
      </c>
      <c r="O983" s="1" t="s">
        <v>74</v>
      </c>
      <c r="P983" s="1" t="s">
        <v>74</v>
      </c>
      <c r="Q983" s="1" t="s">
        <v>74</v>
      </c>
      <c r="R983" s="1" t="s">
        <v>74</v>
      </c>
      <c r="S983" s="1" t="s">
        <v>74</v>
      </c>
      <c r="T983" s="1" t="s">
        <v>16322</v>
      </c>
      <c r="U983" s="1" t="s">
        <v>16323</v>
      </c>
      <c r="V983" s="1" t="s">
        <v>16324</v>
      </c>
      <c r="W983" s="1" t="s">
        <v>16325</v>
      </c>
      <c r="X983" s="1" t="s">
        <v>16326</v>
      </c>
      <c r="Y983" s="1" t="s">
        <v>16327</v>
      </c>
      <c r="Z983" s="1" t="s">
        <v>14843</v>
      </c>
      <c r="AA983" s="1" t="s">
        <v>2900</v>
      </c>
      <c r="AB983" s="1" t="s">
        <v>2183</v>
      </c>
      <c r="AC983" s="1" t="s">
        <v>16328</v>
      </c>
      <c r="AD983" s="1" t="s">
        <v>525</v>
      </c>
      <c r="AE983" s="1" t="s">
        <v>16329</v>
      </c>
      <c r="AF983" s="1" t="s">
        <v>74</v>
      </c>
      <c r="AG983" s="1">
        <v>54</v>
      </c>
      <c r="AH983" s="1">
        <v>0</v>
      </c>
      <c r="AI983" s="1">
        <v>0</v>
      </c>
      <c r="AJ983" s="1">
        <v>5</v>
      </c>
      <c r="AK983" s="1">
        <v>10</v>
      </c>
      <c r="AL983" s="1" t="s">
        <v>430</v>
      </c>
      <c r="AM983" s="1" t="s">
        <v>137</v>
      </c>
      <c r="AN983" s="1" t="s">
        <v>431</v>
      </c>
      <c r="AO983" s="1" t="s">
        <v>432</v>
      </c>
      <c r="AP983" s="1" t="s">
        <v>1394</v>
      </c>
      <c r="AQ983" s="1" t="s">
        <v>74</v>
      </c>
      <c r="AR983" s="1" t="s">
        <v>433</v>
      </c>
      <c r="AS983" s="1" t="s">
        <v>434</v>
      </c>
      <c r="AT983" s="1" t="s">
        <v>8920</v>
      </c>
      <c r="AU983" s="1">
        <v>2023</v>
      </c>
      <c r="AV983" s="1">
        <v>336</v>
      </c>
      <c r="AW983" s="1" t="s">
        <v>74</v>
      </c>
      <c r="AX983" s="1" t="s">
        <v>74</v>
      </c>
      <c r="AY983" s="1" t="s">
        <v>74</v>
      </c>
      <c r="AZ983" s="1" t="s">
        <v>74</v>
      </c>
      <c r="BA983" s="1" t="s">
        <v>74</v>
      </c>
      <c r="BB983" s="1" t="s">
        <v>74</v>
      </c>
      <c r="BC983" s="1" t="s">
        <v>74</v>
      </c>
      <c r="BD983" s="1">
        <v>122421</v>
      </c>
      <c r="BE983" s="1" t="s">
        <v>16330</v>
      </c>
      <c r="BF983" s="1" t="str">
        <f>HYPERLINK("http://dx.doi.org/10.1016/j.envpol.2023.122421","http://dx.doi.org/10.1016/j.envpol.2023.122421")</f>
        <v>http://dx.doi.org/10.1016/j.envpol.2023.122421</v>
      </c>
      <c r="BG983" s="1" t="s">
        <v>74</v>
      </c>
      <c r="BH983" s="1" t="s">
        <v>6411</v>
      </c>
      <c r="BI983" s="1">
        <v>7</v>
      </c>
      <c r="BJ983" s="1" t="s">
        <v>144</v>
      </c>
      <c r="BK983" s="1" t="s">
        <v>96</v>
      </c>
      <c r="BL983" s="1" t="s">
        <v>145</v>
      </c>
      <c r="BM983" s="1" t="s">
        <v>16331</v>
      </c>
      <c r="BN983" s="1">
        <v>37611794</v>
      </c>
      <c r="BO983" s="1" t="s">
        <v>74</v>
      </c>
      <c r="BP983" s="1" t="s">
        <v>74</v>
      </c>
      <c r="BQ983" s="1" t="s">
        <v>74</v>
      </c>
      <c r="BR983" s="1" t="s">
        <v>98</v>
      </c>
      <c r="BS983" s="1" t="s">
        <v>16332</v>
      </c>
      <c r="BT983" s="1" t="str">
        <f>HYPERLINK("https%3A%2F%2Fwww.webofscience.com%2Fwos%2Fwoscc%2Ffull-record%2FWOS:001067635700001","View Full Record in Web of Science")</f>
        <v>View Full Record in Web of Science</v>
      </c>
    </row>
    <row r="984" spans="1:72">
      <c r="A984" s="1" t="s">
        <v>72</v>
      </c>
      <c r="B984" s="1" t="s">
        <v>16333</v>
      </c>
      <c r="C984" s="1" t="s">
        <v>74</v>
      </c>
      <c r="D984" s="1" t="s">
        <v>74</v>
      </c>
      <c r="E984" s="1" t="s">
        <v>74</v>
      </c>
      <c r="F984" s="1" t="s">
        <v>16334</v>
      </c>
      <c r="G984" s="1" t="s">
        <v>74</v>
      </c>
      <c r="H984" s="1" t="s">
        <v>74</v>
      </c>
      <c r="I984" s="1" t="s">
        <v>16335</v>
      </c>
      <c r="J984" s="1" t="s">
        <v>909</v>
      </c>
      <c r="K984" s="1" t="s">
        <v>74</v>
      </c>
      <c r="L984" s="1" t="s">
        <v>74</v>
      </c>
      <c r="M984" s="1" t="s">
        <v>78</v>
      </c>
      <c r="N984" s="1" t="s">
        <v>79</v>
      </c>
      <c r="O984" s="1" t="s">
        <v>74</v>
      </c>
      <c r="P984" s="1" t="s">
        <v>74</v>
      </c>
      <c r="Q984" s="1" t="s">
        <v>74</v>
      </c>
      <c r="R984" s="1" t="s">
        <v>74</v>
      </c>
      <c r="S984" s="1" t="s">
        <v>74</v>
      </c>
      <c r="T984" s="1" t="s">
        <v>16336</v>
      </c>
      <c r="U984" s="1" t="s">
        <v>16337</v>
      </c>
      <c r="V984" s="1" t="s">
        <v>16338</v>
      </c>
      <c r="W984" s="1" t="s">
        <v>16339</v>
      </c>
      <c r="X984" s="1" t="s">
        <v>16340</v>
      </c>
      <c r="Y984" s="1" t="s">
        <v>16341</v>
      </c>
      <c r="Z984" s="1" t="s">
        <v>16342</v>
      </c>
      <c r="AA984" s="1" t="s">
        <v>16343</v>
      </c>
      <c r="AB984" s="1" t="s">
        <v>16344</v>
      </c>
      <c r="AC984" s="1" t="s">
        <v>16345</v>
      </c>
      <c r="AD984" s="1" t="s">
        <v>16346</v>
      </c>
      <c r="AE984" s="1" t="s">
        <v>16347</v>
      </c>
      <c r="AF984" s="1" t="s">
        <v>74</v>
      </c>
      <c r="AG984" s="1">
        <v>68</v>
      </c>
      <c r="AH984" s="1">
        <v>2</v>
      </c>
      <c r="AI984" s="1">
        <v>2</v>
      </c>
      <c r="AJ984" s="1">
        <v>9</v>
      </c>
      <c r="AK984" s="1">
        <v>9</v>
      </c>
      <c r="AL984" s="1" t="s">
        <v>650</v>
      </c>
      <c r="AM984" s="1" t="s">
        <v>651</v>
      </c>
      <c r="AN984" s="1" t="s">
        <v>652</v>
      </c>
      <c r="AO984" s="1" t="s">
        <v>921</v>
      </c>
      <c r="AP984" s="1" t="s">
        <v>922</v>
      </c>
      <c r="AQ984" s="1" t="s">
        <v>74</v>
      </c>
      <c r="AR984" s="1" t="s">
        <v>923</v>
      </c>
      <c r="AS984" s="1" t="s">
        <v>924</v>
      </c>
      <c r="AT984" s="1" t="s">
        <v>6177</v>
      </c>
      <c r="AU984" s="1">
        <v>2024</v>
      </c>
      <c r="AV984" s="1">
        <v>922</v>
      </c>
      <c r="AW984" s="1" t="s">
        <v>74</v>
      </c>
      <c r="AX984" s="1" t="s">
        <v>74</v>
      </c>
      <c r="AY984" s="1" t="s">
        <v>74</v>
      </c>
      <c r="AZ984" s="1" t="s">
        <v>74</v>
      </c>
      <c r="BA984" s="1" t="s">
        <v>74</v>
      </c>
      <c r="BB984" s="1" t="s">
        <v>74</v>
      </c>
      <c r="BC984" s="1" t="s">
        <v>74</v>
      </c>
      <c r="BD984" s="1">
        <v>171262</v>
      </c>
      <c r="BE984" s="1" t="s">
        <v>16348</v>
      </c>
      <c r="BF984" s="1" t="str">
        <f>HYPERLINK("http://dx.doi.org/10.1016/j.scitotenv.2024.171262","http://dx.doi.org/10.1016/j.scitotenv.2024.171262")</f>
        <v>http://dx.doi.org/10.1016/j.scitotenv.2024.171262</v>
      </c>
      <c r="BG984" s="1" t="s">
        <v>74</v>
      </c>
      <c r="BH984" s="1" t="s">
        <v>2782</v>
      </c>
      <c r="BI984" s="1">
        <v>14</v>
      </c>
      <c r="BJ984" s="1" t="s">
        <v>144</v>
      </c>
      <c r="BK984" s="1" t="s">
        <v>96</v>
      </c>
      <c r="BL984" s="1" t="s">
        <v>145</v>
      </c>
      <c r="BM984" s="1" t="s">
        <v>16349</v>
      </c>
      <c r="BN984" s="1">
        <v>38417525</v>
      </c>
      <c r="BO984" s="1" t="s">
        <v>74</v>
      </c>
      <c r="BP984" s="1" t="s">
        <v>74</v>
      </c>
      <c r="BQ984" s="1" t="s">
        <v>74</v>
      </c>
      <c r="BR984" s="1" t="s">
        <v>98</v>
      </c>
      <c r="BS984" s="1" t="s">
        <v>16350</v>
      </c>
      <c r="BT984" s="1" t="str">
        <f>HYPERLINK("https%3A%2F%2Fwww.webofscience.com%2Fwos%2Fwoscc%2Ffull-record%2FWOS:001211422400001","View Full Record in Web of Science")</f>
        <v>View Full Record in Web of Science</v>
      </c>
    </row>
    <row r="985" spans="1:72">
      <c r="A985" s="1" t="s">
        <v>72</v>
      </c>
      <c r="B985" s="1" t="s">
        <v>16351</v>
      </c>
      <c r="C985" s="1" t="s">
        <v>74</v>
      </c>
      <c r="D985" s="1" t="s">
        <v>74</v>
      </c>
      <c r="E985" s="1" t="s">
        <v>74</v>
      </c>
      <c r="F985" s="1" t="s">
        <v>16351</v>
      </c>
      <c r="G985" s="1" t="s">
        <v>74</v>
      </c>
      <c r="H985" s="1" t="s">
        <v>74</v>
      </c>
      <c r="I985" s="1" t="s">
        <v>16352</v>
      </c>
      <c r="J985" s="1" t="s">
        <v>7755</v>
      </c>
      <c r="K985" s="1" t="s">
        <v>74</v>
      </c>
      <c r="L985" s="1" t="s">
        <v>74</v>
      </c>
      <c r="M985" s="1" t="s">
        <v>78</v>
      </c>
      <c r="N985" s="1" t="s">
        <v>79</v>
      </c>
      <c r="O985" s="1" t="s">
        <v>74</v>
      </c>
      <c r="P985" s="1" t="s">
        <v>74</v>
      </c>
      <c r="Q985" s="1" t="s">
        <v>74</v>
      </c>
      <c r="R985" s="1" t="s">
        <v>74</v>
      </c>
      <c r="S985" s="1" t="s">
        <v>74</v>
      </c>
      <c r="T985" s="1" t="s">
        <v>16353</v>
      </c>
      <c r="U985" s="1" t="s">
        <v>16354</v>
      </c>
      <c r="V985" s="1" t="s">
        <v>16355</v>
      </c>
      <c r="W985" s="1" t="s">
        <v>16356</v>
      </c>
      <c r="X985" s="1" t="s">
        <v>74</v>
      </c>
      <c r="Y985" s="1" t="s">
        <v>16357</v>
      </c>
      <c r="Z985" s="1" t="s">
        <v>16358</v>
      </c>
      <c r="AA985" s="1" t="s">
        <v>16359</v>
      </c>
      <c r="AB985" s="1" t="s">
        <v>16360</v>
      </c>
      <c r="AC985" s="1" t="s">
        <v>74</v>
      </c>
      <c r="AD985" s="1" t="s">
        <v>74</v>
      </c>
      <c r="AE985" s="1" t="s">
        <v>74</v>
      </c>
      <c r="AF985" s="1" t="s">
        <v>74</v>
      </c>
      <c r="AG985" s="1">
        <v>16</v>
      </c>
      <c r="AH985" s="1">
        <v>72</v>
      </c>
      <c r="AI985" s="1">
        <v>82</v>
      </c>
      <c r="AJ985" s="1">
        <v>0</v>
      </c>
      <c r="AK985" s="1">
        <v>14</v>
      </c>
      <c r="AL985" s="1" t="s">
        <v>86</v>
      </c>
      <c r="AM985" s="1" t="s">
        <v>87</v>
      </c>
      <c r="AN985" s="1" t="s">
        <v>88</v>
      </c>
      <c r="AO985" s="1" t="s">
        <v>7767</v>
      </c>
      <c r="AP985" s="1" t="s">
        <v>7768</v>
      </c>
      <c r="AQ985" s="1" t="s">
        <v>74</v>
      </c>
      <c r="AR985" s="1" t="s">
        <v>7755</v>
      </c>
      <c r="AS985" s="1" t="s">
        <v>7769</v>
      </c>
      <c r="AT985" s="1" t="s">
        <v>305</v>
      </c>
      <c r="AU985" s="1">
        <v>2004</v>
      </c>
      <c r="AV985" s="1">
        <v>4</v>
      </c>
      <c r="AW985" s="1">
        <v>9</v>
      </c>
      <c r="AX985" s="1" t="s">
        <v>74</v>
      </c>
      <c r="AY985" s="1" t="s">
        <v>74</v>
      </c>
      <c r="AZ985" s="1" t="s">
        <v>74</v>
      </c>
      <c r="BA985" s="1" t="s">
        <v>74</v>
      </c>
      <c r="BB985" s="1">
        <v>2722</v>
      </c>
      <c r="BC985" s="1">
        <v>2727</v>
      </c>
      <c r="BD985" s="1" t="s">
        <v>74</v>
      </c>
      <c r="BE985" s="1" t="s">
        <v>16361</v>
      </c>
      <c r="BF985" s="1" t="str">
        <f>HYPERLINK("http://dx.doi.org/10.1002/pmic.200300828","http://dx.doi.org/10.1002/pmic.200300828")</f>
        <v>http://dx.doi.org/10.1002/pmic.200300828</v>
      </c>
      <c r="BG985" s="1" t="s">
        <v>74</v>
      </c>
      <c r="BH985" s="1" t="s">
        <v>74</v>
      </c>
      <c r="BI985" s="1">
        <v>6</v>
      </c>
      <c r="BJ985" s="1" t="s">
        <v>7771</v>
      </c>
      <c r="BK985" s="1" t="s">
        <v>96</v>
      </c>
      <c r="BL985" s="1" t="s">
        <v>3805</v>
      </c>
      <c r="BM985" s="1" t="s">
        <v>16362</v>
      </c>
      <c r="BN985" s="1">
        <v>15352246</v>
      </c>
      <c r="BO985" s="1" t="s">
        <v>74</v>
      </c>
      <c r="BP985" s="1" t="s">
        <v>74</v>
      </c>
      <c r="BQ985" s="1" t="s">
        <v>74</v>
      </c>
      <c r="BR985" s="1" t="s">
        <v>98</v>
      </c>
      <c r="BS985" s="1" t="s">
        <v>16363</v>
      </c>
      <c r="BT985" s="1" t="str">
        <f>HYPERLINK("https%3A%2F%2Fwww.webofscience.com%2Fwos%2Fwoscc%2Ffull-record%2FWOS:000223801300022","View Full Record in Web of Science")</f>
        <v>View Full Record in Web of Science</v>
      </c>
    </row>
    <row r="986" spans="1:72">
      <c r="A986" s="1" t="s">
        <v>72</v>
      </c>
      <c r="B986" s="1" t="s">
        <v>16364</v>
      </c>
      <c r="C986" s="1" t="s">
        <v>74</v>
      </c>
      <c r="D986" s="1" t="s">
        <v>74</v>
      </c>
      <c r="E986" s="1" t="s">
        <v>74</v>
      </c>
      <c r="F986" s="1" t="s">
        <v>16365</v>
      </c>
      <c r="G986" s="1" t="s">
        <v>74</v>
      </c>
      <c r="H986" s="1" t="s">
        <v>74</v>
      </c>
      <c r="I986" s="1" t="s">
        <v>16366</v>
      </c>
      <c r="J986" s="1" t="s">
        <v>495</v>
      </c>
      <c r="K986" s="1" t="s">
        <v>74</v>
      </c>
      <c r="L986" s="1" t="s">
        <v>74</v>
      </c>
      <c r="M986" s="1" t="s">
        <v>78</v>
      </c>
      <c r="N986" s="1" t="s">
        <v>79</v>
      </c>
      <c r="O986" s="1" t="s">
        <v>74</v>
      </c>
      <c r="P986" s="1" t="s">
        <v>74</v>
      </c>
      <c r="Q986" s="1" t="s">
        <v>74</v>
      </c>
      <c r="R986" s="1" t="s">
        <v>74</v>
      </c>
      <c r="S986" s="1" t="s">
        <v>74</v>
      </c>
      <c r="T986" s="1" t="s">
        <v>16367</v>
      </c>
      <c r="U986" s="1" t="s">
        <v>74</v>
      </c>
      <c r="V986" s="1" t="s">
        <v>16368</v>
      </c>
      <c r="W986" s="1" t="s">
        <v>16369</v>
      </c>
      <c r="X986" s="1" t="s">
        <v>3277</v>
      </c>
      <c r="Y986" s="1" t="s">
        <v>16370</v>
      </c>
      <c r="Z986" s="1" t="s">
        <v>74</v>
      </c>
      <c r="AA986" s="1" t="s">
        <v>74</v>
      </c>
      <c r="AB986" s="1" t="s">
        <v>74</v>
      </c>
      <c r="AC986" s="1" t="s">
        <v>74</v>
      </c>
      <c r="AD986" s="1" t="s">
        <v>74</v>
      </c>
      <c r="AE986" s="1" t="s">
        <v>74</v>
      </c>
      <c r="AF986" s="1" t="s">
        <v>74</v>
      </c>
      <c r="AG986" s="1">
        <v>12</v>
      </c>
      <c r="AH986" s="1">
        <v>0</v>
      </c>
      <c r="AI986" s="1">
        <v>0</v>
      </c>
      <c r="AJ986" s="1">
        <v>1</v>
      </c>
      <c r="AK986" s="1">
        <v>2</v>
      </c>
      <c r="AL986" s="1" t="s">
        <v>1030</v>
      </c>
      <c r="AM986" s="1" t="s">
        <v>1031</v>
      </c>
      <c r="AN986" s="1" t="s">
        <v>1032</v>
      </c>
      <c r="AO986" s="1" t="s">
        <v>507</v>
      </c>
      <c r="AP986" s="1" t="s">
        <v>74</v>
      </c>
      <c r="AQ986" s="1" t="s">
        <v>74</v>
      </c>
      <c r="AR986" s="1" t="s">
        <v>508</v>
      </c>
      <c r="AS986" s="1" t="s">
        <v>509</v>
      </c>
      <c r="AT986" s="1" t="s">
        <v>142</v>
      </c>
      <c r="AU986" s="1">
        <v>1992</v>
      </c>
      <c r="AV986" s="1">
        <v>1</v>
      </c>
      <c r="AW986" s="1">
        <v>6</v>
      </c>
      <c r="AX986" s="1" t="s">
        <v>74</v>
      </c>
      <c r="AY986" s="1" t="s">
        <v>74</v>
      </c>
      <c r="AZ986" s="1" t="s">
        <v>74</v>
      </c>
      <c r="BA986" s="1" t="s">
        <v>74</v>
      </c>
      <c r="BB986" s="1">
        <v>370</v>
      </c>
      <c r="BC986" s="1">
        <v>375</v>
      </c>
      <c r="BD986" s="1" t="s">
        <v>74</v>
      </c>
      <c r="BE986" s="1" t="s">
        <v>74</v>
      </c>
      <c r="BF986" s="1" t="s">
        <v>74</v>
      </c>
      <c r="BG986" s="1" t="s">
        <v>74</v>
      </c>
      <c r="BH986" s="1" t="s">
        <v>74</v>
      </c>
      <c r="BI986" s="1">
        <v>6</v>
      </c>
      <c r="BJ986" s="1" t="s">
        <v>144</v>
      </c>
      <c r="BK986" s="1" t="s">
        <v>96</v>
      </c>
      <c r="BL986" s="1" t="s">
        <v>145</v>
      </c>
      <c r="BM986" s="1" t="s">
        <v>16371</v>
      </c>
      <c r="BN986" s="1" t="s">
        <v>74</v>
      </c>
      <c r="BO986" s="1" t="s">
        <v>74</v>
      </c>
      <c r="BP986" s="1" t="s">
        <v>74</v>
      </c>
      <c r="BQ986" s="1" t="s">
        <v>74</v>
      </c>
      <c r="BR986" s="1" t="s">
        <v>98</v>
      </c>
      <c r="BS986" s="1" t="s">
        <v>16372</v>
      </c>
      <c r="BT986" s="1" t="str">
        <f>HYPERLINK("https%3A%2F%2Fwww.webofscience.com%2Fwos%2Fwoscc%2Ffull-record%2FWOS:000208651000005","View Full Record in Web of Science")</f>
        <v>View Full Record in Web of Science</v>
      </c>
    </row>
    <row r="987" spans="1:72">
      <c r="A987" s="1" t="s">
        <v>72</v>
      </c>
      <c r="B987" s="1" t="s">
        <v>16373</v>
      </c>
      <c r="C987" s="1" t="s">
        <v>74</v>
      </c>
      <c r="D987" s="1" t="s">
        <v>74</v>
      </c>
      <c r="E987" s="1" t="s">
        <v>74</v>
      </c>
      <c r="F987" s="1" t="s">
        <v>16373</v>
      </c>
      <c r="G987" s="1" t="s">
        <v>74</v>
      </c>
      <c r="H987" s="1" t="s">
        <v>74</v>
      </c>
      <c r="I987" s="1" t="s">
        <v>16374</v>
      </c>
      <c r="J987" s="1" t="s">
        <v>127</v>
      </c>
      <c r="K987" s="1" t="s">
        <v>74</v>
      </c>
      <c r="L987" s="1" t="s">
        <v>74</v>
      </c>
      <c r="M987" s="1" t="s">
        <v>78</v>
      </c>
      <c r="N987" s="1" t="s">
        <v>79</v>
      </c>
      <c r="O987" s="1" t="s">
        <v>74</v>
      </c>
      <c r="P987" s="1" t="s">
        <v>74</v>
      </c>
      <c r="Q987" s="1" t="s">
        <v>74</v>
      </c>
      <c r="R987" s="1" t="s">
        <v>74</v>
      </c>
      <c r="S987" s="1" t="s">
        <v>74</v>
      </c>
      <c r="T987" s="1" t="s">
        <v>16375</v>
      </c>
      <c r="U987" s="1" t="s">
        <v>16376</v>
      </c>
      <c r="V987" s="1" t="s">
        <v>16377</v>
      </c>
      <c r="W987" s="1" t="s">
        <v>16378</v>
      </c>
      <c r="X987" s="1" t="s">
        <v>16379</v>
      </c>
      <c r="Y987" s="1" t="s">
        <v>16380</v>
      </c>
      <c r="Z987" s="1" t="s">
        <v>16381</v>
      </c>
      <c r="AA987" s="1" t="s">
        <v>16382</v>
      </c>
      <c r="AB987" s="1" t="s">
        <v>16383</v>
      </c>
      <c r="AC987" s="1" t="s">
        <v>74</v>
      </c>
      <c r="AD987" s="1" t="s">
        <v>74</v>
      </c>
      <c r="AE987" s="1" t="s">
        <v>74</v>
      </c>
      <c r="AF987" s="1" t="s">
        <v>74</v>
      </c>
      <c r="AG987" s="1">
        <v>29</v>
      </c>
      <c r="AH987" s="1">
        <v>215</v>
      </c>
      <c r="AI987" s="1">
        <v>242</v>
      </c>
      <c r="AJ987" s="1">
        <v>0</v>
      </c>
      <c r="AK987" s="1">
        <v>34</v>
      </c>
      <c r="AL987" s="1" t="s">
        <v>136</v>
      </c>
      <c r="AM987" s="1" t="s">
        <v>137</v>
      </c>
      <c r="AN987" s="1" t="s">
        <v>138</v>
      </c>
      <c r="AO987" s="1" t="s">
        <v>139</v>
      </c>
      <c r="AP987" s="1" t="s">
        <v>140</v>
      </c>
      <c r="AQ987" s="1" t="s">
        <v>74</v>
      </c>
      <c r="AR987" s="1" t="s">
        <v>127</v>
      </c>
      <c r="AS987" s="1" t="s">
        <v>141</v>
      </c>
      <c r="AT987" s="1" t="s">
        <v>170</v>
      </c>
      <c r="AU987" s="1">
        <v>2005</v>
      </c>
      <c r="AV987" s="1">
        <v>59</v>
      </c>
      <c r="AW987" s="1">
        <v>8</v>
      </c>
      <c r="AX987" s="1" t="s">
        <v>74</v>
      </c>
      <c r="AY987" s="1" t="s">
        <v>74</v>
      </c>
      <c r="AZ987" s="1" t="s">
        <v>74</v>
      </c>
      <c r="BA987" s="1" t="s">
        <v>74</v>
      </c>
      <c r="BB987" s="1">
        <v>1175</v>
      </c>
      <c r="BC987" s="1">
        <v>1181</v>
      </c>
      <c r="BD987" s="1" t="s">
        <v>74</v>
      </c>
      <c r="BE987" s="1" t="s">
        <v>16384</v>
      </c>
      <c r="BF987" s="1" t="str">
        <f>HYPERLINK("http://dx.doi.org/10.1016/j.chemosphere.2004.11.089","http://dx.doi.org/10.1016/j.chemosphere.2004.11.089")</f>
        <v>http://dx.doi.org/10.1016/j.chemosphere.2004.11.089</v>
      </c>
      <c r="BG987" s="1" t="s">
        <v>74</v>
      </c>
      <c r="BH987" s="1" t="s">
        <v>74</v>
      </c>
      <c r="BI987" s="1">
        <v>7</v>
      </c>
      <c r="BJ987" s="1" t="s">
        <v>144</v>
      </c>
      <c r="BK987" s="1" t="s">
        <v>96</v>
      </c>
      <c r="BL987" s="1" t="s">
        <v>145</v>
      </c>
      <c r="BM987" s="1" t="s">
        <v>16385</v>
      </c>
      <c r="BN987" s="1">
        <v>15833492</v>
      </c>
      <c r="BO987" s="1" t="s">
        <v>74</v>
      </c>
      <c r="BP987" s="1" t="s">
        <v>74</v>
      </c>
      <c r="BQ987" s="1" t="s">
        <v>74</v>
      </c>
      <c r="BR987" s="1" t="s">
        <v>98</v>
      </c>
      <c r="BS987" s="1" t="s">
        <v>16386</v>
      </c>
      <c r="BT987" s="1" t="str">
        <f>HYPERLINK("https%3A%2F%2Fwww.webofscience.com%2Fwos%2Fwoscc%2Ffull-record%2FWOS:000229538000013","View Full Record in Web of Science")</f>
        <v>View Full Record in Web of Science</v>
      </c>
    </row>
    <row r="988" spans="1:72">
      <c r="A988" s="1" t="s">
        <v>72</v>
      </c>
      <c r="B988" s="1" t="s">
        <v>16387</v>
      </c>
      <c r="C988" s="1" t="s">
        <v>74</v>
      </c>
      <c r="D988" s="1" t="s">
        <v>74</v>
      </c>
      <c r="E988" s="1" t="s">
        <v>74</v>
      </c>
      <c r="F988" s="1" t="s">
        <v>16387</v>
      </c>
      <c r="G988" s="1" t="s">
        <v>74</v>
      </c>
      <c r="H988" s="1" t="s">
        <v>74</v>
      </c>
      <c r="I988" s="1" t="s">
        <v>16388</v>
      </c>
      <c r="J988" s="1" t="s">
        <v>752</v>
      </c>
      <c r="K988" s="1" t="s">
        <v>74</v>
      </c>
      <c r="L988" s="1" t="s">
        <v>74</v>
      </c>
      <c r="M988" s="1" t="s">
        <v>78</v>
      </c>
      <c r="N988" s="1" t="s">
        <v>151</v>
      </c>
      <c r="O988" s="1" t="s">
        <v>2433</v>
      </c>
      <c r="P988" s="1" t="s">
        <v>2434</v>
      </c>
      <c r="Q988" s="1" t="s">
        <v>2435</v>
      </c>
      <c r="R988" s="1" t="s">
        <v>74</v>
      </c>
      <c r="S988" s="1" t="s">
        <v>74</v>
      </c>
      <c r="T988" s="1" t="s">
        <v>16389</v>
      </c>
      <c r="U988" s="1" t="s">
        <v>16390</v>
      </c>
      <c r="V988" s="1" t="s">
        <v>16391</v>
      </c>
      <c r="W988" s="1" t="s">
        <v>16392</v>
      </c>
      <c r="X988" s="1" t="s">
        <v>16393</v>
      </c>
      <c r="Y988" s="1" t="s">
        <v>16394</v>
      </c>
      <c r="Z988" s="1" t="s">
        <v>16395</v>
      </c>
      <c r="AA988" s="1" t="s">
        <v>16396</v>
      </c>
      <c r="AB988" s="1" t="s">
        <v>74</v>
      </c>
      <c r="AC988" s="1" t="s">
        <v>74</v>
      </c>
      <c r="AD988" s="1" t="s">
        <v>74</v>
      </c>
      <c r="AE988" s="1" t="s">
        <v>74</v>
      </c>
      <c r="AF988" s="1" t="s">
        <v>74</v>
      </c>
      <c r="AG988" s="1">
        <v>8</v>
      </c>
      <c r="AH988" s="1">
        <v>24</v>
      </c>
      <c r="AI988" s="1">
        <v>28</v>
      </c>
      <c r="AJ988" s="1">
        <v>0</v>
      </c>
      <c r="AK988" s="1">
        <v>19</v>
      </c>
      <c r="AL988" s="1" t="s">
        <v>430</v>
      </c>
      <c r="AM988" s="1" t="s">
        <v>137</v>
      </c>
      <c r="AN988" s="1" t="s">
        <v>431</v>
      </c>
      <c r="AO988" s="1" t="s">
        <v>761</v>
      </c>
      <c r="AP988" s="1" t="s">
        <v>762</v>
      </c>
      <c r="AQ988" s="1" t="s">
        <v>74</v>
      </c>
      <c r="AR988" s="1" t="s">
        <v>763</v>
      </c>
      <c r="AS988" s="1" t="s">
        <v>764</v>
      </c>
      <c r="AT988" s="1" t="s">
        <v>2445</v>
      </c>
      <c r="AU988" s="1">
        <v>2004</v>
      </c>
      <c r="AV988" s="1">
        <v>58</v>
      </c>
      <c r="AW988" s="1" t="s">
        <v>2446</v>
      </c>
      <c r="AX988" s="1" t="s">
        <v>74</v>
      </c>
      <c r="AY988" s="1" t="s">
        <v>74</v>
      </c>
      <c r="AZ988" s="1" t="s">
        <v>74</v>
      </c>
      <c r="BA988" s="1" t="s">
        <v>74</v>
      </c>
      <c r="BB988" s="1">
        <v>299</v>
      </c>
      <c r="BC988" s="1">
        <v>304</v>
      </c>
      <c r="BD988" s="1" t="s">
        <v>74</v>
      </c>
      <c r="BE988" s="1" t="s">
        <v>16397</v>
      </c>
      <c r="BF988" s="1" t="str">
        <f>HYPERLINK("http://dx.doi.org/10.1016/j.marenvres.2004.03.075","http://dx.doi.org/10.1016/j.marenvres.2004.03.075")</f>
        <v>http://dx.doi.org/10.1016/j.marenvres.2004.03.075</v>
      </c>
      <c r="BG988" s="1" t="s">
        <v>74</v>
      </c>
      <c r="BH988" s="1" t="s">
        <v>74</v>
      </c>
      <c r="BI988" s="1">
        <v>6</v>
      </c>
      <c r="BJ988" s="1" t="s">
        <v>768</v>
      </c>
      <c r="BK988" s="1" t="s">
        <v>172</v>
      </c>
      <c r="BL988" s="1" t="s">
        <v>769</v>
      </c>
      <c r="BM988" s="1" t="s">
        <v>2448</v>
      </c>
      <c r="BN988" s="1">
        <v>15178048</v>
      </c>
      <c r="BO988" s="1" t="s">
        <v>74</v>
      </c>
      <c r="BP988" s="1" t="s">
        <v>74</v>
      </c>
      <c r="BQ988" s="1" t="s">
        <v>74</v>
      </c>
      <c r="BR988" s="1" t="s">
        <v>98</v>
      </c>
      <c r="BS988" s="1" t="s">
        <v>16398</v>
      </c>
      <c r="BT988" s="1" t="str">
        <f>HYPERLINK("https%3A%2F%2Fwww.webofscience.com%2Fwos%2Fwoscc%2Ffull-record%2FWOS:000222199100032","View Full Record in Web of Science")</f>
        <v>View Full Record in Web of Science</v>
      </c>
    </row>
    <row r="989" spans="1:72">
      <c r="A989" s="1" t="s">
        <v>72</v>
      </c>
      <c r="B989" s="1" t="s">
        <v>16399</v>
      </c>
      <c r="C989" s="1" t="s">
        <v>74</v>
      </c>
      <c r="D989" s="1" t="s">
        <v>74</v>
      </c>
      <c r="E989" s="1" t="s">
        <v>74</v>
      </c>
      <c r="F989" s="1" t="s">
        <v>16400</v>
      </c>
      <c r="G989" s="1" t="s">
        <v>74</v>
      </c>
      <c r="H989" s="1" t="s">
        <v>74</v>
      </c>
      <c r="I989" s="1" t="s">
        <v>16401</v>
      </c>
      <c r="J989" s="1" t="s">
        <v>127</v>
      </c>
      <c r="K989" s="1" t="s">
        <v>74</v>
      </c>
      <c r="L989" s="1" t="s">
        <v>74</v>
      </c>
      <c r="M989" s="1" t="s">
        <v>78</v>
      </c>
      <c r="N989" s="1" t="s">
        <v>79</v>
      </c>
      <c r="O989" s="1" t="s">
        <v>74</v>
      </c>
      <c r="P989" s="1" t="s">
        <v>74</v>
      </c>
      <c r="Q989" s="1" t="s">
        <v>74</v>
      </c>
      <c r="R989" s="1" t="s">
        <v>74</v>
      </c>
      <c r="S989" s="1" t="s">
        <v>74</v>
      </c>
      <c r="T989" s="1" t="s">
        <v>16402</v>
      </c>
      <c r="U989" s="1" t="s">
        <v>16403</v>
      </c>
      <c r="V989" s="1" t="s">
        <v>16404</v>
      </c>
      <c r="W989" s="1" t="s">
        <v>16405</v>
      </c>
      <c r="X989" s="1" t="s">
        <v>16406</v>
      </c>
      <c r="Y989" s="1" t="s">
        <v>16407</v>
      </c>
      <c r="Z989" s="1" t="s">
        <v>16408</v>
      </c>
      <c r="AA989" s="1" t="s">
        <v>16409</v>
      </c>
      <c r="AB989" s="1" t="s">
        <v>16410</v>
      </c>
      <c r="AC989" s="1" t="s">
        <v>16411</v>
      </c>
      <c r="AD989" s="1" t="s">
        <v>16412</v>
      </c>
      <c r="AE989" s="1" t="s">
        <v>16413</v>
      </c>
      <c r="AF989" s="1" t="s">
        <v>74</v>
      </c>
      <c r="AG989" s="1">
        <v>83</v>
      </c>
      <c r="AH989" s="1">
        <v>15</v>
      </c>
      <c r="AI989" s="1">
        <v>16</v>
      </c>
      <c r="AJ989" s="1">
        <v>3</v>
      </c>
      <c r="AK989" s="1">
        <v>44</v>
      </c>
      <c r="AL989" s="1" t="s">
        <v>136</v>
      </c>
      <c r="AM989" s="1" t="s">
        <v>137</v>
      </c>
      <c r="AN989" s="1" t="s">
        <v>138</v>
      </c>
      <c r="AO989" s="1" t="s">
        <v>139</v>
      </c>
      <c r="AP989" s="1" t="s">
        <v>140</v>
      </c>
      <c r="AQ989" s="1" t="s">
        <v>74</v>
      </c>
      <c r="AR989" s="1" t="s">
        <v>127</v>
      </c>
      <c r="AS989" s="1" t="s">
        <v>141</v>
      </c>
      <c r="AT989" s="1" t="s">
        <v>93</v>
      </c>
      <c r="AU989" s="1">
        <v>2018</v>
      </c>
      <c r="AV989" s="1">
        <v>196</v>
      </c>
      <c r="AW989" s="1" t="s">
        <v>74</v>
      </c>
      <c r="AX989" s="1" t="s">
        <v>74</v>
      </c>
      <c r="AY989" s="1" t="s">
        <v>74</v>
      </c>
      <c r="AZ989" s="1" t="s">
        <v>74</v>
      </c>
      <c r="BA989" s="1" t="s">
        <v>74</v>
      </c>
      <c r="BB989" s="1">
        <v>196</v>
      </c>
      <c r="BC989" s="1">
        <v>205</v>
      </c>
      <c r="BD989" s="1" t="s">
        <v>74</v>
      </c>
      <c r="BE989" s="1" t="s">
        <v>16414</v>
      </c>
      <c r="BF989" s="1" t="str">
        <f>HYPERLINK("http://dx.doi.org/10.1016/j.chemosphere.2017.12.145","http://dx.doi.org/10.1016/j.chemosphere.2017.12.145")</f>
        <v>http://dx.doi.org/10.1016/j.chemosphere.2017.12.145</v>
      </c>
      <c r="BG989" s="1" t="s">
        <v>74</v>
      </c>
      <c r="BH989" s="1" t="s">
        <v>74</v>
      </c>
      <c r="BI989" s="1">
        <v>10</v>
      </c>
      <c r="BJ989" s="1" t="s">
        <v>144</v>
      </c>
      <c r="BK989" s="1" t="s">
        <v>96</v>
      </c>
      <c r="BL989" s="1" t="s">
        <v>145</v>
      </c>
      <c r="BM989" s="1" t="s">
        <v>16415</v>
      </c>
      <c r="BN989" s="1">
        <v>29304457</v>
      </c>
      <c r="BO989" s="1" t="s">
        <v>1752</v>
      </c>
      <c r="BP989" s="1" t="s">
        <v>74</v>
      </c>
      <c r="BQ989" s="1" t="s">
        <v>74</v>
      </c>
      <c r="BR989" s="1" t="s">
        <v>98</v>
      </c>
      <c r="BS989" s="1" t="s">
        <v>16416</v>
      </c>
      <c r="BT989" s="1" t="str">
        <f>HYPERLINK("https%3A%2F%2Fwww.webofscience.com%2Fwos%2Fwoscc%2Ffull-record%2FWOS:000425075500023","View Full Record in Web of Science")</f>
        <v>View Full Record in Web of Science</v>
      </c>
    </row>
    <row r="990" spans="1:72">
      <c r="A990" s="1" t="s">
        <v>72</v>
      </c>
      <c r="B990" s="1" t="s">
        <v>16417</v>
      </c>
      <c r="C990" s="1" t="s">
        <v>74</v>
      </c>
      <c r="D990" s="1" t="s">
        <v>74</v>
      </c>
      <c r="E990" s="1" t="s">
        <v>74</v>
      </c>
      <c r="F990" s="1" t="s">
        <v>16418</v>
      </c>
      <c r="G990" s="1" t="s">
        <v>74</v>
      </c>
      <c r="H990" s="1" t="s">
        <v>74</v>
      </c>
      <c r="I990" s="1" t="s">
        <v>16419</v>
      </c>
      <c r="J990" s="1" t="s">
        <v>641</v>
      </c>
      <c r="K990" s="1" t="s">
        <v>74</v>
      </c>
      <c r="L990" s="1" t="s">
        <v>74</v>
      </c>
      <c r="M990" s="1" t="s">
        <v>78</v>
      </c>
      <c r="N990" s="1" t="s">
        <v>79</v>
      </c>
      <c r="O990" s="1" t="s">
        <v>74</v>
      </c>
      <c r="P990" s="1" t="s">
        <v>74</v>
      </c>
      <c r="Q990" s="1" t="s">
        <v>74</v>
      </c>
      <c r="R990" s="1" t="s">
        <v>74</v>
      </c>
      <c r="S990" s="1" t="s">
        <v>74</v>
      </c>
      <c r="T990" s="1" t="s">
        <v>16420</v>
      </c>
      <c r="U990" s="1" t="s">
        <v>16421</v>
      </c>
      <c r="V990" s="1" t="s">
        <v>16422</v>
      </c>
      <c r="W990" s="1" t="s">
        <v>5755</v>
      </c>
      <c r="X990" s="1" t="s">
        <v>3724</v>
      </c>
      <c r="Y990" s="1" t="s">
        <v>16423</v>
      </c>
      <c r="Z990" s="1" t="s">
        <v>16424</v>
      </c>
      <c r="AA990" s="1" t="s">
        <v>5756</v>
      </c>
      <c r="AB990" s="1" t="s">
        <v>16425</v>
      </c>
      <c r="AC990" s="1" t="s">
        <v>74</v>
      </c>
      <c r="AD990" s="1" t="s">
        <v>74</v>
      </c>
      <c r="AE990" s="1" t="s">
        <v>74</v>
      </c>
      <c r="AF990" s="1" t="s">
        <v>74</v>
      </c>
      <c r="AG990" s="1">
        <v>70</v>
      </c>
      <c r="AH990" s="1">
        <v>175</v>
      </c>
      <c r="AI990" s="1">
        <v>204</v>
      </c>
      <c r="AJ990" s="1">
        <v>5</v>
      </c>
      <c r="AK990" s="1">
        <v>97</v>
      </c>
      <c r="AL990" s="1" t="s">
        <v>650</v>
      </c>
      <c r="AM990" s="1" t="s">
        <v>651</v>
      </c>
      <c r="AN990" s="1" t="s">
        <v>652</v>
      </c>
      <c r="AO990" s="1" t="s">
        <v>653</v>
      </c>
      <c r="AP990" s="1" t="s">
        <v>654</v>
      </c>
      <c r="AQ990" s="1" t="s">
        <v>74</v>
      </c>
      <c r="AR990" s="1" t="s">
        <v>655</v>
      </c>
      <c r="AS990" s="1" t="s">
        <v>656</v>
      </c>
      <c r="AT990" s="1" t="s">
        <v>16426</v>
      </c>
      <c r="AU990" s="1">
        <v>2006</v>
      </c>
      <c r="AV990" s="1">
        <v>79</v>
      </c>
      <c r="AW990" s="1">
        <v>3</v>
      </c>
      <c r="AX990" s="1" t="s">
        <v>74</v>
      </c>
      <c r="AY990" s="1" t="s">
        <v>74</v>
      </c>
      <c r="AZ990" s="1" t="s">
        <v>74</v>
      </c>
      <c r="BA990" s="1" t="s">
        <v>74</v>
      </c>
      <c r="BB990" s="1">
        <v>278</v>
      </c>
      <c r="BC990" s="1">
        <v>287</v>
      </c>
      <c r="BD990" s="1" t="s">
        <v>74</v>
      </c>
      <c r="BE990" s="1" t="s">
        <v>16427</v>
      </c>
      <c r="BF990" s="1" t="str">
        <f>HYPERLINK("http://dx.doi.org/10.1016/j.aquatox.2006.06.017","http://dx.doi.org/10.1016/j.aquatox.2006.06.017")</f>
        <v>http://dx.doi.org/10.1016/j.aquatox.2006.06.017</v>
      </c>
      <c r="BG990" s="1" t="s">
        <v>74</v>
      </c>
      <c r="BH990" s="1" t="s">
        <v>74</v>
      </c>
      <c r="BI990" s="1">
        <v>10</v>
      </c>
      <c r="BJ990" s="1" t="s">
        <v>659</v>
      </c>
      <c r="BK990" s="1" t="s">
        <v>96</v>
      </c>
      <c r="BL990" s="1" t="s">
        <v>659</v>
      </c>
      <c r="BM990" s="1" t="s">
        <v>16428</v>
      </c>
      <c r="BN990" s="1">
        <v>16887206</v>
      </c>
      <c r="BO990" s="1" t="s">
        <v>1752</v>
      </c>
      <c r="BP990" s="1" t="s">
        <v>74</v>
      </c>
      <c r="BQ990" s="1" t="s">
        <v>74</v>
      </c>
      <c r="BR990" s="1" t="s">
        <v>98</v>
      </c>
      <c r="BS990" s="1" t="s">
        <v>16429</v>
      </c>
      <c r="BT990" s="1" t="str">
        <f>HYPERLINK("https%3A%2F%2Fwww.webofscience.com%2Fwos%2Fwoscc%2Ffull-record%2FWOS:000240567200008","View Full Record in Web of Science")</f>
        <v>View Full Record in Web of Science</v>
      </c>
    </row>
    <row r="991" spans="1:72">
      <c r="A991" s="1" t="s">
        <v>72</v>
      </c>
      <c r="B991" s="1" t="s">
        <v>16430</v>
      </c>
      <c r="C991" s="1" t="s">
        <v>74</v>
      </c>
      <c r="D991" s="1" t="s">
        <v>74</v>
      </c>
      <c r="E991" s="1" t="s">
        <v>74</v>
      </c>
      <c r="F991" s="1" t="s">
        <v>16430</v>
      </c>
      <c r="G991" s="1" t="s">
        <v>74</v>
      </c>
      <c r="H991" s="1" t="s">
        <v>74</v>
      </c>
      <c r="I991" s="1" t="s">
        <v>16431</v>
      </c>
      <c r="J991" s="1" t="s">
        <v>2894</v>
      </c>
      <c r="K991" s="1" t="s">
        <v>74</v>
      </c>
      <c r="L991" s="1" t="s">
        <v>74</v>
      </c>
      <c r="M991" s="1" t="s">
        <v>78</v>
      </c>
      <c r="N991" s="1" t="s">
        <v>79</v>
      </c>
      <c r="O991" s="1" t="s">
        <v>74</v>
      </c>
      <c r="P991" s="1" t="s">
        <v>74</v>
      </c>
      <c r="Q991" s="1" t="s">
        <v>74</v>
      </c>
      <c r="R991" s="1" t="s">
        <v>74</v>
      </c>
      <c r="S991" s="1" t="s">
        <v>74</v>
      </c>
      <c r="T991" s="1" t="s">
        <v>16432</v>
      </c>
      <c r="U991" s="1" t="s">
        <v>16433</v>
      </c>
      <c r="V991" s="1" t="s">
        <v>16434</v>
      </c>
      <c r="W991" s="1" t="s">
        <v>7809</v>
      </c>
      <c r="X991" s="1" t="s">
        <v>74</v>
      </c>
      <c r="Y991" s="1" t="s">
        <v>74</v>
      </c>
      <c r="Z991" s="1" t="s">
        <v>74</v>
      </c>
      <c r="AA991" s="1" t="s">
        <v>74</v>
      </c>
      <c r="AB991" s="1" t="s">
        <v>74</v>
      </c>
      <c r="AC991" s="1" t="s">
        <v>74</v>
      </c>
      <c r="AD991" s="1" t="s">
        <v>74</v>
      </c>
      <c r="AE991" s="1" t="s">
        <v>74</v>
      </c>
      <c r="AF991" s="1" t="s">
        <v>74</v>
      </c>
      <c r="AG991" s="1">
        <v>37</v>
      </c>
      <c r="AH991" s="1">
        <v>25</v>
      </c>
      <c r="AI991" s="1">
        <v>27</v>
      </c>
      <c r="AJ991" s="1">
        <v>0</v>
      </c>
      <c r="AK991" s="1">
        <v>6</v>
      </c>
      <c r="AL991" s="1" t="s">
        <v>2904</v>
      </c>
      <c r="AM991" s="1" t="s">
        <v>2905</v>
      </c>
      <c r="AN991" s="1" t="s">
        <v>2906</v>
      </c>
      <c r="AO991" s="1" t="s">
        <v>2907</v>
      </c>
      <c r="AP991" s="1" t="s">
        <v>74</v>
      </c>
      <c r="AQ991" s="1" t="s">
        <v>74</v>
      </c>
      <c r="AR991" s="1" t="s">
        <v>2908</v>
      </c>
      <c r="AS991" s="1" t="s">
        <v>2909</v>
      </c>
      <c r="AT991" s="1" t="s">
        <v>93</v>
      </c>
      <c r="AU991" s="1">
        <v>1995</v>
      </c>
      <c r="AV991" s="1">
        <v>120</v>
      </c>
      <c r="AW991" s="1" t="s">
        <v>2847</v>
      </c>
      <c r="AX991" s="1" t="s">
        <v>74</v>
      </c>
      <c r="AY991" s="1" t="s">
        <v>74</v>
      </c>
      <c r="AZ991" s="1" t="s">
        <v>74</v>
      </c>
      <c r="BA991" s="1" t="s">
        <v>74</v>
      </c>
      <c r="BB991" s="1">
        <v>163</v>
      </c>
      <c r="BC991" s="1">
        <v>168</v>
      </c>
      <c r="BD991" s="1" t="s">
        <v>74</v>
      </c>
      <c r="BE991" s="1" t="s">
        <v>16435</v>
      </c>
      <c r="BF991" s="1" t="str">
        <f>HYPERLINK("http://dx.doi.org/10.3354/meps120163","http://dx.doi.org/10.3354/meps120163")</f>
        <v>http://dx.doi.org/10.3354/meps120163</v>
      </c>
      <c r="BG991" s="1" t="s">
        <v>74</v>
      </c>
      <c r="BH991" s="1" t="s">
        <v>74</v>
      </c>
      <c r="BI991" s="1">
        <v>6</v>
      </c>
      <c r="BJ991" s="1" t="s">
        <v>2911</v>
      </c>
      <c r="BK991" s="1" t="s">
        <v>96</v>
      </c>
      <c r="BL991" s="1" t="s">
        <v>2912</v>
      </c>
      <c r="BM991" s="1" t="s">
        <v>7811</v>
      </c>
      <c r="BN991" s="1" t="s">
        <v>74</v>
      </c>
      <c r="BO991" s="1" t="s">
        <v>370</v>
      </c>
      <c r="BP991" s="1" t="s">
        <v>74</v>
      </c>
      <c r="BQ991" s="1" t="s">
        <v>74</v>
      </c>
      <c r="BR991" s="1" t="s">
        <v>98</v>
      </c>
      <c r="BS991" s="1" t="s">
        <v>16436</v>
      </c>
      <c r="BT991" s="1" t="str">
        <f>HYPERLINK("https%3A%2F%2Fwww.webofscience.com%2Fwos%2Fwoscc%2Ffull-record%2FWOS:A1995QY53700015","View Full Record in Web of Science")</f>
        <v>View Full Record in Web of Science</v>
      </c>
    </row>
    <row r="992" spans="1:72">
      <c r="A992" s="1" t="s">
        <v>72</v>
      </c>
      <c r="B992" s="1" t="s">
        <v>16437</v>
      </c>
      <c r="C992" s="1" t="s">
        <v>74</v>
      </c>
      <c r="D992" s="1" t="s">
        <v>74</v>
      </c>
      <c r="E992" s="1" t="s">
        <v>74</v>
      </c>
      <c r="F992" s="1" t="s">
        <v>16438</v>
      </c>
      <c r="G992" s="1" t="s">
        <v>74</v>
      </c>
      <c r="H992" s="1" t="s">
        <v>74</v>
      </c>
      <c r="I992" s="1" t="s">
        <v>16439</v>
      </c>
      <c r="J992" s="1" t="s">
        <v>641</v>
      </c>
      <c r="K992" s="1" t="s">
        <v>74</v>
      </c>
      <c r="L992" s="1" t="s">
        <v>74</v>
      </c>
      <c r="M992" s="1" t="s">
        <v>78</v>
      </c>
      <c r="N992" s="1" t="s">
        <v>79</v>
      </c>
      <c r="O992" s="1" t="s">
        <v>74</v>
      </c>
      <c r="P992" s="1" t="s">
        <v>74</v>
      </c>
      <c r="Q992" s="1" t="s">
        <v>74</v>
      </c>
      <c r="R992" s="1" t="s">
        <v>74</v>
      </c>
      <c r="S992" s="1" t="s">
        <v>74</v>
      </c>
      <c r="T992" s="1" t="s">
        <v>16440</v>
      </c>
      <c r="U992" s="1" t="s">
        <v>16441</v>
      </c>
      <c r="V992" s="1" t="s">
        <v>16442</v>
      </c>
      <c r="W992" s="1" t="s">
        <v>16443</v>
      </c>
      <c r="X992" s="1" t="s">
        <v>16444</v>
      </c>
      <c r="Y992" s="1" t="s">
        <v>16445</v>
      </c>
      <c r="Z992" s="1" t="s">
        <v>1483</v>
      </c>
      <c r="AA992" s="1" t="s">
        <v>1484</v>
      </c>
      <c r="AB992" s="1" t="s">
        <v>11545</v>
      </c>
      <c r="AC992" s="1" t="s">
        <v>16446</v>
      </c>
      <c r="AD992" s="1" t="s">
        <v>16447</v>
      </c>
      <c r="AE992" s="1" t="s">
        <v>16448</v>
      </c>
      <c r="AF992" s="1" t="s">
        <v>74</v>
      </c>
      <c r="AG992" s="1">
        <v>36</v>
      </c>
      <c r="AH992" s="1">
        <v>32</v>
      </c>
      <c r="AI992" s="1">
        <v>33</v>
      </c>
      <c r="AJ992" s="1">
        <v>1</v>
      </c>
      <c r="AK992" s="1">
        <v>58</v>
      </c>
      <c r="AL992" s="1" t="s">
        <v>650</v>
      </c>
      <c r="AM992" s="1" t="s">
        <v>651</v>
      </c>
      <c r="AN992" s="1" t="s">
        <v>652</v>
      </c>
      <c r="AO992" s="1" t="s">
        <v>653</v>
      </c>
      <c r="AP992" s="1" t="s">
        <v>654</v>
      </c>
      <c r="AQ992" s="1" t="s">
        <v>74</v>
      </c>
      <c r="AR992" s="1" t="s">
        <v>655</v>
      </c>
      <c r="AS992" s="1" t="s">
        <v>656</v>
      </c>
      <c r="AT992" s="1" t="s">
        <v>387</v>
      </c>
      <c r="AU992" s="1">
        <v>2013</v>
      </c>
      <c r="AV992" s="1">
        <v>132</v>
      </c>
      <c r="AW992" s="1" t="s">
        <v>74</v>
      </c>
      <c r="AX992" s="1" t="s">
        <v>74</v>
      </c>
      <c r="AY992" s="1" t="s">
        <v>74</v>
      </c>
      <c r="AZ992" s="1" t="s">
        <v>74</v>
      </c>
      <c r="BA992" s="1" t="s">
        <v>74</v>
      </c>
      <c r="BB992" s="1">
        <v>26</v>
      </c>
      <c r="BC992" s="1">
        <v>33</v>
      </c>
      <c r="BD992" s="1" t="s">
        <v>74</v>
      </c>
      <c r="BE992" s="1" t="s">
        <v>16449</v>
      </c>
      <c r="BF992" s="1" t="str">
        <f>HYPERLINK("http://dx.doi.org/10.1016/j.aquatox.2013.01.022","http://dx.doi.org/10.1016/j.aquatox.2013.01.022")</f>
        <v>http://dx.doi.org/10.1016/j.aquatox.2013.01.022</v>
      </c>
      <c r="BG992" s="1" t="s">
        <v>74</v>
      </c>
      <c r="BH992" s="1" t="s">
        <v>74</v>
      </c>
      <c r="BI992" s="1">
        <v>8</v>
      </c>
      <c r="BJ992" s="1" t="s">
        <v>659</v>
      </c>
      <c r="BK992" s="1" t="s">
        <v>96</v>
      </c>
      <c r="BL992" s="1" t="s">
        <v>659</v>
      </c>
      <c r="BM992" s="1" t="s">
        <v>16450</v>
      </c>
      <c r="BN992" s="1">
        <v>23454307</v>
      </c>
      <c r="BO992" s="1" t="s">
        <v>74</v>
      </c>
      <c r="BP992" s="1" t="s">
        <v>74</v>
      </c>
      <c r="BQ992" s="1" t="s">
        <v>74</v>
      </c>
      <c r="BR992" s="1" t="s">
        <v>98</v>
      </c>
      <c r="BS992" s="1" t="s">
        <v>16451</v>
      </c>
      <c r="BT992" s="1" t="str">
        <f>HYPERLINK("https%3A%2F%2Fwww.webofscience.com%2Fwos%2Fwoscc%2Ffull-record%2FWOS:000318387000004","View Full Record in Web of Science")</f>
        <v>View Full Record in Web of Science</v>
      </c>
    </row>
    <row r="993" spans="1:72">
      <c r="A993" s="1" t="s">
        <v>72</v>
      </c>
      <c r="B993" s="1" t="s">
        <v>16452</v>
      </c>
      <c r="C993" s="1" t="s">
        <v>74</v>
      </c>
      <c r="D993" s="1" t="s">
        <v>74</v>
      </c>
      <c r="E993" s="1" t="s">
        <v>74</v>
      </c>
      <c r="F993" s="1" t="s">
        <v>16452</v>
      </c>
      <c r="G993" s="1" t="s">
        <v>74</v>
      </c>
      <c r="H993" s="1" t="s">
        <v>74</v>
      </c>
      <c r="I993" s="1" t="s">
        <v>16453</v>
      </c>
      <c r="J993" s="1" t="s">
        <v>752</v>
      </c>
      <c r="K993" s="1" t="s">
        <v>74</v>
      </c>
      <c r="L993" s="1" t="s">
        <v>74</v>
      </c>
      <c r="M993" s="1" t="s">
        <v>78</v>
      </c>
      <c r="N993" s="1" t="s">
        <v>151</v>
      </c>
      <c r="O993" s="1" t="s">
        <v>9548</v>
      </c>
      <c r="P993" s="1" t="s">
        <v>9549</v>
      </c>
      <c r="Q993" s="1" t="s">
        <v>9550</v>
      </c>
      <c r="R993" s="1" t="s">
        <v>74</v>
      </c>
      <c r="S993" s="1" t="s">
        <v>9551</v>
      </c>
      <c r="T993" s="1" t="s">
        <v>16454</v>
      </c>
      <c r="U993" s="1" t="s">
        <v>74</v>
      </c>
      <c r="V993" s="1" t="s">
        <v>16455</v>
      </c>
      <c r="W993" s="1" t="s">
        <v>16456</v>
      </c>
      <c r="X993" s="1" t="s">
        <v>16457</v>
      </c>
      <c r="Y993" s="1" t="s">
        <v>16458</v>
      </c>
      <c r="Z993" s="1" t="s">
        <v>74</v>
      </c>
      <c r="AA993" s="1" t="s">
        <v>6355</v>
      </c>
      <c r="AB993" s="1" t="s">
        <v>6356</v>
      </c>
      <c r="AC993" s="1" t="s">
        <v>74</v>
      </c>
      <c r="AD993" s="1" t="s">
        <v>74</v>
      </c>
      <c r="AE993" s="1" t="s">
        <v>74</v>
      </c>
      <c r="AF993" s="1" t="s">
        <v>74</v>
      </c>
      <c r="AG993" s="1">
        <v>8</v>
      </c>
      <c r="AH993" s="1">
        <v>117</v>
      </c>
      <c r="AI993" s="1">
        <v>136</v>
      </c>
      <c r="AJ993" s="1">
        <v>0</v>
      </c>
      <c r="AK993" s="1">
        <v>18</v>
      </c>
      <c r="AL993" s="1" t="s">
        <v>430</v>
      </c>
      <c r="AM993" s="1" t="s">
        <v>137</v>
      </c>
      <c r="AN993" s="1" t="s">
        <v>431</v>
      </c>
      <c r="AO993" s="1" t="s">
        <v>761</v>
      </c>
      <c r="AP993" s="1" t="s">
        <v>74</v>
      </c>
      <c r="AQ993" s="1" t="s">
        <v>74</v>
      </c>
      <c r="AR993" s="1" t="s">
        <v>763</v>
      </c>
      <c r="AS993" s="1" t="s">
        <v>764</v>
      </c>
      <c r="AT993" s="1" t="s">
        <v>5113</v>
      </c>
      <c r="AU993" s="1">
        <v>2000</v>
      </c>
      <c r="AV993" s="1">
        <v>50</v>
      </c>
      <c r="AW993" s="1" t="s">
        <v>9558</v>
      </c>
      <c r="AX993" s="1" t="s">
        <v>74</v>
      </c>
      <c r="AY993" s="1" t="s">
        <v>74</v>
      </c>
      <c r="AZ993" s="1" t="s">
        <v>74</v>
      </c>
      <c r="BA993" s="1" t="s">
        <v>74</v>
      </c>
      <c r="BB993" s="1">
        <v>337</v>
      </c>
      <c r="BC993" s="1">
        <v>340</v>
      </c>
      <c r="BD993" s="1" t="s">
        <v>74</v>
      </c>
      <c r="BE993" s="1" t="s">
        <v>16459</v>
      </c>
      <c r="BF993" s="1" t="str">
        <f>HYPERLINK("http://dx.doi.org/10.1016/S0141-1136(00)00065-9","http://dx.doi.org/10.1016/S0141-1136(00)00065-9")</f>
        <v>http://dx.doi.org/10.1016/S0141-1136(00)00065-9</v>
      </c>
      <c r="BG993" s="1" t="s">
        <v>74</v>
      </c>
      <c r="BH993" s="1" t="s">
        <v>74</v>
      </c>
      <c r="BI993" s="1">
        <v>4</v>
      </c>
      <c r="BJ993" s="1" t="s">
        <v>768</v>
      </c>
      <c r="BK993" s="1" t="s">
        <v>588</v>
      </c>
      <c r="BL993" s="1" t="s">
        <v>769</v>
      </c>
      <c r="BM993" s="1" t="s">
        <v>9560</v>
      </c>
      <c r="BN993" s="1">
        <v>11460714</v>
      </c>
      <c r="BO993" s="1" t="s">
        <v>74</v>
      </c>
      <c r="BP993" s="1" t="s">
        <v>74</v>
      </c>
      <c r="BQ993" s="1" t="s">
        <v>74</v>
      </c>
      <c r="BR993" s="1" t="s">
        <v>98</v>
      </c>
      <c r="BS993" s="1" t="s">
        <v>16460</v>
      </c>
      <c r="BT993" s="1" t="str">
        <f>HYPERLINK("https%3A%2F%2Fwww.webofscience.com%2Fwos%2Fwoscc%2Ffull-record%2FWOS:000165486700054","View Full Record in Web of Science")</f>
        <v>View Full Record in Web of Science</v>
      </c>
    </row>
    <row r="994" spans="1:72">
      <c r="A994" s="1" t="s">
        <v>72</v>
      </c>
      <c r="B994" s="1" t="s">
        <v>16461</v>
      </c>
      <c r="C994" s="1" t="s">
        <v>74</v>
      </c>
      <c r="D994" s="1" t="s">
        <v>74</v>
      </c>
      <c r="E994" s="1" t="s">
        <v>74</v>
      </c>
      <c r="F994" s="1" t="s">
        <v>16461</v>
      </c>
      <c r="G994" s="1" t="s">
        <v>74</v>
      </c>
      <c r="H994" s="1" t="s">
        <v>74</v>
      </c>
      <c r="I994" s="1" t="s">
        <v>16462</v>
      </c>
      <c r="J994" s="1" t="s">
        <v>752</v>
      </c>
      <c r="K994" s="1" t="s">
        <v>74</v>
      </c>
      <c r="L994" s="1" t="s">
        <v>74</v>
      </c>
      <c r="M994" s="1" t="s">
        <v>78</v>
      </c>
      <c r="N994" s="1" t="s">
        <v>151</v>
      </c>
      <c r="O994" s="1" t="s">
        <v>16463</v>
      </c>
      <c r="P994" s="1" t="s">
        <v>16464</v>
      </c>
      <c r="Q994" s="1" t="s">
        <v>16465</v>
      </c>
      <c r="R994" s="1" t="s">
        <v>74</v>
      </c>
      <c r="S994" s="1" t="s">
        <v>74</v>
      </c>
      <c r="T994" s="1" t="s">
        <v>74</v>
      </c>
      <c r="U994" s="1" t="s">
        <v>16466</v>
      </c>
      <c r="V994" s="1" t="s">
        <v>16467</v>
      </c>
      <c r="W994" s="1" t="s">
        <v>16468</v>
      </c>
      <c r="X994" s="1" t="s">
        <v>16469</v>
      </c>
      <c r="Y994" s="1" t="s">
        <v>16470</v>
      </c>
      <c r="Z994" s="1" t="s">
        <v>74</v>
      </c>
      <c r="AA994" s="1" t="s">
        <v>74</v>
      </c>
      <c r="AB994" s="1" t="s">
        <v>74</v>
      </c>
      <c r="AC994" s="1" t="s">
        <v>74</v>
      </c>
      <c r="AD994" s="1" t="s">
        <v>74</v>
      </c>
      <c r="AE994" s="1" t="s">
        <v>74</v>
      </c>
      <c r="AF994" s="1" t="s">
        <v>74</v>
      </c>
      <c r="AG994" s="1">
        <v>9</v>
      </c>
      <c r="AH994" s="1">
        <v>6</v>
      </c>
      <c r="AI994" s="1">
        <v>6</v>
      </c>
      <c r="AJ994" s="1">
        <v>0</v>
      </c>
      <c r="AK994" s="1">
        <v>2</v>
      </c>
      <c r="AL994" s="1" t="s">
        <v>430</v>
      </c>
      <c r="AM994" s="1" t="s">
        <v>137</v>
      </c>
      <c r="AN994" s="1" t="s">
        <v>431</v>
      </c>
      <c r="AO994" s="1" t="s">
        <v>761</v>
      </c>
      <c r="AP994" s="1" t="s">
        <v>74</v>
      </c>
      <c r="AQ994" s="1" t="s">
        <v>74</v>
      </c>
      <c r="AR994" s="1" t="s">
        <v>763</v>
      </c>
      <c r="AS994" s="1" t="s">
        <v>764</v>
      </c>
      <c r="AT994" s="1" t="s">
        <v>5113</v>
      </c>
      <c r="AU994" s="1">
        <v>1998</v>
      </c>
      <c r="AV994" s="1">
        <v>46</v>
      </c>
      <c r="AW994" s="1" t="s">
        <v>9558</v>
      </c>
      <c r="AX994" s="1" t="s">
        <v>74</v>
      </c>
      <c r="AY994" s="1" t="s">
        <v>74</v>
      </c>
      <c r="AZ994" s="1" t="s">
        <v>74</v>
      </c>
      <c r="BA994" s="1" t="s">
        <v>74</v>
      </c>
      <c r="BB994" s="1">
        <v>555</v>
      </c>
      <c r="BC994" s="1">
        <v>558</v>
      </c>
      <c r="BD994" s="1" t="s">
        <v>74</v>
      </c>
      <c r="BE994" s="1" t="s">
        <v>16471</v>
      </c>
      <c r="BF994" s="1" t="str">
        <f>HYPERLINK("http://dx.doi.org/10.1016/S0141-1136(97)00037-8","http://dx.doi.org/10.1016/S0141-1136(97)00037-8")</f>
        <v>http://dx.doi.org/10.1016/S0141-1136(97)00037-8</v>
      </c>
      <c r="BG994" s="1" t="s">
        <v>74</v>
      </c>
      <c r="BH994" s="1" t="s">
        <v>74</v>
      </c>
      <c r="BI994" s="1">
        <v>4</v>
      </c>
      <c r="BJ994" s="1" t="s">
        <v>768</v>
      </c>
      <c r="BK994" s="1" t="s">
        <v>172</v>
      </c>
      <c r="BL994" s="1" t="s">
        <v>769</v>
      </c>
      <c r="BM994" s="1" t="s">
        <v>16472</v>
      </c>
      <c r="BN994" s="1" t="s">
        <v>74</v>
      </c>
      <c r="BO994" s="1" t="s">
        <v>74</v>
      </c>
      <c r="BP994" s="1" t="s">
        <v>74</v>
      </c>
      <c r="BQ994" s="1" t="s">
        <v>74</v>
      </c>
      <c r="BR994" s="1" t="s">
        <v>98</v>
      </c>
      <c r="BS994" s="1" t="s">
        <v>16473</v>
      </c>
      <c r="BT994" s="1" t="str">
        <f>HYPERLINK("https%3A%2F%2Fwww.webofscience.com%2Fwos%2Fwoscc%2Ffull-record%2FWOS:000075806100114","View Full Record in Web of Science")</f>
        <v>View Full Record in Web of Science</v>
      </c>
    </row>
    <row r="995" spans="1:72">
      <c r="A995" s="1" t="s">
        <v>72</v>
      </c>
      <c r="B995" s="1" t="s">
        <v>16474</v>
      </c>
      <c r="C995" s="1" t="s">
        <v>74</v>
      </c>
      <c r="D995" s="1" t="s">
        <v>74</v>
      </c>
      <c r="E995" s="1" t="s">
        <v>74</v>
      </c>
      <c r="F995" s="1" t="s">
        <v>16474</v>
      </c>
      <c r="G995" s="1" t="s">
        <v>74</v>
      </c>
      <c r="H995" s="1" t="s">
        <v>74</v>
      </c>
      <c r="I995" s="1" t="s">
        <v>16475</v>
      </c>
      <c r="J995" s="1" t="s">
        <v>16476</v>
      </c>
      <c r="K995" s="1" t="s">
        <v>74</v>
      </c>
      <c r="L995" s="1" t="s">
        <v>74</v>
      </c>
      <c r="M995" s="1" t="s">
        <v>78</v>
      </c>
      <c r="N995" s="1" t="s">
        <v>79</v>
      </c>
      <c r="O995" s="1" t="s">
        <v>74</v>
      </c>
      <c r="P995" s="1" t="s">
        <v>74</v>
      </c>
      <c r="Q995" s="1" t="s">
        <v>74</v>
      </c>
      <c r="R995" s="1" t="s">
        <v>74</v>
      </c>
      <c r="S995" s="1" t="s">
        <v>74</v>
      </c>
      <c r="T995" s="1" t="s">
        <v>16477</v>
      </c>
      <c r="U995" s="1" t="s">
        <v>16478</v>
      </c>
      <c r="V995" s="1" t="s">
        <v>16479</v>
      </c>
      <c r="W995" s="1" t="s">
        <v>16480</v>
      </c>
      <c r="X995" s="1" t="s">
        <v>16481</v>
      </c>
      <c r="Y995" s="1" t="s">
        <v>16482</v>
      </c>
      <c r="Z995" s="1" t="s">
        <v>16483</v>
      </c>
      <c r="AA995" s="1" t="s">
        <v>74</v>
      </c>
      <c r="AB995" s="1" t="s">
        <v>74</v>
      </c>
      <c r="AC995" s="1" t="s">
        <v>74</v>
      </c>
      <c r="AD995" s="1" t="s">
        <v>74</v>
      </c>
      <c r="AE995" s="1" t="s">
        <v>74</v>
      </c>
      <c r="AF995" s="1" t="s">
        <v>74</v>
      </c>
      <c r="AG995" s="1">
        <v>24</v>
      </c>
      <c r="AH995" s="1">
        <v>59</v>
      </c>
      <c r="AI995" s="1">
        <v>59</v>
      </c>
      <c r="AJ995" s="1">
        <v>0</v>
      </c>
      <c r="AK995" s="1">
        <v>18</v>
      </c>
      <c r="AL995" s="1" t="s">
        <v>650</v>
      </c>
      <c r="AM995" s="1" t="s">
        <v>651</v>
      </c>
      <c r="AN995" s="1" t="s">
        <v>652</v>
      </c>
      <c r="AO995" s="1" t="s">
        <v>16484</v>
      </c>
      <c r="AP995" s="1" t="s">
        <v>16485</v>
      </c>
      <c r="AQ995" s="1" t="s">
        <v>74</v>
      </c>
      <c r="AR995" s="1" t="s">
        <v>16486</v>
      </c>
      <c r="AS995" s="1" t="s">
        <v>16487</v>
      </c>
      <c r="AT995" s="1" t="s">
        <v>2257</v>
      </c>
      <c r="AU995" s="1">
        <v>2005</v>
      </c>
      <c r="AV995" s="1">
        <v>585</v>
      </c>
      <c r="AW995" s="1" t="s">
        <v>326</v>
      </c>
      <c r="AX995" s="1" t="s">
        <v>74</v>
      </c>
      <c r="AY995" s="1" t="s">
        <v>74</v>
      </c>
      <c r="AZ995" s="1" t="s">
        <v>74</v>
      </c>
      <c r="BA995" s="1" t="s">
        <v>74</v>
      </c>
      <c r="BB995" s="1">
        <v>33</v>
      </c>
      <c r="BC995" s="1">
        <v>42</v>
      </c>
      <c r="BD995" s="1" t="s">
        <v>74</v>
      </c>
      <c r="BE995" s="1" t="s">
        <v>16488</v>
      </c>
      <c r="BF995" s="1" t="str">
        <f>HYPERLINK("http://dx.doi.org/10.1016/j.mrgentox.2005.04.008","http://dx.doi.org/10.1016/j.mrgentox.2005.04.008")</f>
        <v>http://dx.doi.org/10.1016/j.mrgentox.2005.04.008</v>
      </c>
      <c r="BG995" s="1" t="s">
        <v>74</v>
      </c>
      <c r="BH995" s="1" t="s">
        <v>74</v>
      </c>
      <c r="BI995" s="1">
        <v>10</v>
      </c>
      <c r="BJ995" s="1" t="s">
        <v>16489</v>
      </c>
      <c r="BK995" s="1" t="s">
        <v>96</v>
      </c>
      <c r="BL995" s="1" t="s">
        <v>16489</v>
      </c>
      <c r="BM995" s="1" t="s">
        <v>16490</v>
      </c>
      <c r="BN995" s="1">
        <v>15951227</v>
      </c>
      <c r="BO995" s="1" t="s">
        <v>74</v>
      </c>
      <c r="BP995" s="1" t="s">
        <v>74</v>
      </c>
      <c r="BQ995" s="1" t="s">
        <v>74</v>
      </c>
      <c r="BR995" s="1" t="s">
        <v>98</v>
      </c>
      <c r="BS995" s="1" t="s">
        <v>16491</v>
      </c>
      <c r="BT995" s="1" t="str">
        <f>HYPERLINK("https%3A%2F%2Fwww.webofscience.com%2Fwos%2Fwoscc%2Ffull-record%2FWOS:000230952100004","View Full Record in Web of Science")</f>
        <v>View Full Record in Web of Science</v>
      </c>
    </row>
    <row r="996" spans="1:72">
      <c r="A996" s="1" t="s">
        <v>72</v>
      </c>
      <c r="B996" s="1" t="s">
        <v>16492</v>
      </c>
      <c r="C996" s="1" t="s">
        <v>74</v>
      </c>
      <c r="D996" s="1" t="s">
        <v>74</v>
      </c>
      <c r="E996" s="1" t="s">
        <v>74</v>
      </c>
      <c r="F996" s="1" t="s">
        <v>16493</v>
      </c>
      <c r="G996" s="1" t="s">
        <v>74</v>
      </c>
      <c r="H996" s="1" t="s">
        <v>74</v>
      </c>
      <c r="I996" s="1" t="s">
        <v>16494</v>
      </c>
      <c r="J996" s="1" t="s">
        <v>16495</v>
      </c>
      <c r="K996" s="1" t="s">
        <v>74</v>
      </c>
      <c r="L996" s="1" t="s">
        <v>74</v>
      </c>
      <c r="M996" s="1" t="s">
        <v>78</v>
      </c>
      <c r="N996" s="1" t="s">
        <v>79</v>
      </c>
      <c r="O996" s="1" t="s">
        <v>74</v>
      </c>
      <c r="P996" s="1" t="s">
        <v>74</v>
      </c>
      <c r="Q996" s="1" t="s">
        <v>74</v>
      </c>
      <c r="R996" s="1" t="s">
        <v>74</v>
      </c>
      <c r="S996" s="1" t="s">
        <v>74</v>
      </c>
      <c r="T996" s="1" t="s">
        <v>16496</v>
      </c>
      <c r="U996" s="1" t="s">
        <v>16497</v>
      </c>
      <c r="V996" s="1" t="s">
        <v>16498</v>
      </c>
      <c r="W996" s="1" t="s">
        <v>16499</v>
      </c>
      <c r="X996" s="1" t="s">
        <v>2290</v>
      </c>
      <c r="Y996" s="1" t="s">
        <v>16500</v>
      </c>
      <c r="Z996" s="1" t="s">
        <v>74</v>
      </c>
      <c r="AA996" s="1" t="s">
        <v>16501</v>
      </c>
      <c r="AB996" s="1" t="s">
        <v>16502</v>
      </c>
      <c r="AC996" s="1" t="s">
        <v>16503</v>
      </c>
      <c r="AD996" s="1" t="s">
        <v>16504</v>
      </c>
      <c r="AE996" s="1" t="s">
        <v>16505</v>
      </c>
      <c r="AF996" s="1" t="s">
        <v>74</v>
      </c>
      <c r="AG996" s="1">
        <v>41</v>
      </c>
      <c r="AH996" s="1">
        <v>28</v>
      </c>
      <c r="AI996" s="1">
        <v>28</v>
      </c>
      <c r="AJ996" s="1">
        <v>0</v>
      </c>
      <c r="AK996" s="1">
        <v>38</v>
      </c>
      <c r="AL996" s="1" t="s">
        <v>86</v>
      </c>
      <c r="AM996" s="1" t="s">
        <v>87</v>
      </c>
      <c r="AN996" s="1" t="s">
        <v>88</v>
      </c>
      <c r="AO996" s="1" t="s">
        <v>16506</v>
      </c>
      <c r="AP996" s="1" t="s">
        <v>16507</v>
      </c>
      <c r="AQ996" s="1" t="s">
        <v>74</v>
      </c>
      <c r="AR996" s="1" t="s">
        <v>16508</v>
      </c>
      <c r="AS996" s="1" t="s">
        <v>16509</v>
      </c>
      <c r="AT996" s="1" t="s">
        <v>170</v>
      </c>
      <c r="AU996" s="1">
        <v>2016</v>
      </c>
      <c r="AV996" s="1">
        <v>27</v>
      </c>
      <c r="AW996" s="1">
        <v>4</v>
      </c>
      <c r="AX996" s="1" t="s">
        <v>74</v>
      </c>
      <c r="AY996" s="1" t="s">
        <v>74</v>
      </c>
      <c r="AZ996" s="1" t="s">
        <v>74</v>
      </c>
      <c r="BA996" s="1" t="s">
        <v>74</v>
      </c>
      <c r="BB996" s="1">
        <v>1276</v>
      </c>
      <c r="BC996" s="1">
        <v>1285</v>
      </c>
      <c r="BD996" s="1" t="s">
        <v>74</v>
      </c>
      <c r="BE996" s="1" t="s">
        <v>16510</v>
      </c>
      <c r="BF996" s="1" t="str">
        <f>HYPERLINK("http://dx.doi.org/10.1002/ldr.2505","http://dx.doi.org/10.1002/ldr.2505")</f>
        <v>http://dx.doi.org/10.1002/ldr.2505</v>
      </c>
      <c r="BG996" s="1" t="s">
        <v>74</v>
      </c>
      <c r="BH996" s="1" t="s">
        <v>74</v>
      </c>
      <c r="BI996" s="1">
        <v>10</v>
      </c>
      <c r="BJ996" s="1" t="s">
        <v>16511</v>
      </c>
      <c r="BK996" s="1" t="s">
        <v>96</v>
      </c>
      <c r="BL996" s="1" t="s">
        <v>16512</v>
      </c>
      <c r="BM996" s="1" t="s">
        <v>16513</v>
      </c>
      <c r="BN996" s="1" t="s">
        <v>74</v>
      </c>
      <c r="BO996" s="1" t="s">
        <v>74</v>
      </c>
      <c r="BP996" s="1" t="s">
        <v>74</v>
      </c>
      <c r="BQ996" s="1" t="s">
        <v>74</v>
      </c>
      <c r="BR996" s="1" t="s">
        <v>98</v>
      </c>
      <c r="BS996" s="1" t="s">
        <v>16514</v>
      </c>
      <c r="BT996" s="1" t="str">
        <f>HYPERLINK("https%3A%2F%2Fwww.webofscience.com%2Fwos%2Fwoscc%2Ffull-record%2FWOS:000380963900037","View Full Record in Web of Science")</f>
        <v>View Full Record in Web of Science</v>
      </c>
    </row>
    <row r="997" spans="1:72">
      <c r="A997" s="1" t="s">
        <v>72</v>
      </c>
      <c r="B997" s="1" t="s">
        <v>16515</v>
      </c>
      <c r="C997" s="1" t="s">
        <v>74</v>
      </c>
      <c r="D997" s="1" t="s">
        <v>74</v>
      </c>
      <c r="E997" s="1" t="s">
        <v>74</v>
      </c>
      <c r="F997" s="1" t="s">
        <v>16516</v>
      </c>
      <c r="G997" s="1" t="s">
        <v>74</v>
      </c>
      <c r="H997" s="1" t="s">
        <v>74</v>
      </c>
      <c r="I997" s="1" t="s">
        <v>16517</v>
      </c>
      <c r="J997" s="1" t="s">
        <v>7097</v>
      </c>
      <c r="K997" s="1" t="s">
        <v>74</v>
      </c>
      <c r="L997" s="1" t="s">
        <v>74</v>
      </c>
      <c r="M997" s="1" t="s">
        <v>78</v>
      </c>
      <c r="N997" s="1" t="s">
        <v>79</v>
      </c>
      <c r="O997" s="1" t="s">
        <v>74</v>
      </c>
      <c r="P997" s="1" t="s">
        <v>74</v>
      </c>
      <c r="Q997" s="1" t="s">
        <v>74</v>
      </c>
      <c r="R997" s="1" t="s">
        <v>74</v>
      </c>
      <c r="S997" s="1" t="s">
        <v>74</v>
      </c>
      <c r="T997" s="1" t="s">
        <v>16518</v>
      </c>
      <c r="U997" s="1" t="s">
        <v>16519</v>
      </c>
      <c r="V997" s="1" t="s">
        <v>16520</v>
      </c>
      <c r="W997" s="1" t="s">
        <v>16521</v>
      </c>
      <c r="X997" s="1" t="s">
        <v>16522</v>
      </c>
      <c r="Y997" s="1" t="s">
        <v>16523</v>
      </c>
      <c r="Z997" s="1" t="s">
        <v>16524</v>
      </c>
      <c r="AA997" s="1" t="s">
        <v>16525</v>
      </c>
      <c r="AB997" s="1" t="s">
        <v>16526</v>
      </c>
      <c r="AC997" s="1" t="s">
        <v>16527</v>
      </c>
      <c r="AD997" s="1" t="s">
        <v>16528</v>
      </c>
      <c r="AE997" s="1" t="s">
        <v>16529</v>
      </c>
      <c r="AF997" s="1" t="s">
        <v>74</v>
      </c>
      <c r="AG997" s="1">
        <v>65</v>
      </c>
      <c r="AH997" s="1">
        <v>7</v>
      </c>
      <c r="AI997" s="1">
        <v>7</v>
      </c>
      <c r="AJ997" s="1">
        <v>1</v>
      </c>
      <c r="AK997" s="1">
        <v>14</v>
      </c>
      <c r="AL997" s="1" t="s">
        <v>650</v>
      </c>
      <c r="AM997" s="1" t="s">
        <v>651</v>
      </c>
      <c r="AN997" s="1" t="s">
        <v>652</v>
      </c>
      <c r="AO997" s="1" t="s">
        <v>7110</v>
      </c>
      <c r="AP997" s="1" t="s">
        <v>7111</v>
      </c>
      <c r="AQ997" s="1" t="s">
        <v>74</v>
      </c>
      <c r="AR997" s="1" t="s">
        <v>7112</v>
      </c>
      <c r="AS997" s="1" t="s">
        <v>7113</v>
      </c>
      <c r="AT997" s="1" t="s">
        <v>765</v>
      </c>
      <c r="AU997" s="1">
        <v>2021</v>
      </c>
      <c r="AV997" s="1">
        <v>126</v>
      </c>
      <c r="AW997" s="1" t="s">
        <v>74</v>
      </c>
      <c r="AX997" s="1" t="s">
        <v>74</v>
      </c>
      <c r="AY997" s="1" t="s">
        <v>74</v>
      </c>
      <c r="AZ997" s="1" t="s">
        <v>74</v>
      </c>
      <c r="BA997" s="1" t="s">
        <v>74</v>
      </c>
      <c r="BB997" s="1" t="s">
        <v>74</v>
      </c>
      <c r="BC997" s="1" t="s">
        <v>74</v>
      </c>
      <c r="BD997" s="1">
        <v>107706</v>
      </c>
      <c r="BE997" s="1" t="s">
        <v>16530</v>
      </c>
      <c r="BF997" s="1" t="str">
        <f>HYPERLINK("http://dx.doi.org/10.1016/j.ecolind.2021.107706","http://dx.doi.org/10.1016/j.ecolind.2021.107706")</f>
        <v>http://dx.doi.org/10.1016/j.ecolind.2021.107706</v>
      </c>
      <c r="BG997" s="1" t="s">
        <v>74</v>
      </c>
      <c r="BH997" s="1" t="s">
        <v>14421</v>
      </c>
      <c r="BI997" s="1">
        <v>14</v>
      </c>
      <c r="BJ997" s="1" t="s">
        <v>4923</v>
      </c>
      <c r="BK997" s="1" t="s">
        <v>96</v>
      </c>
      <c r="BL997" s="1" t="s">
        <v>4924</v>
      </c>
      <c r="BM997" s="1" t="s">
        <v>16531</v>
      </c>
      <c r="BN997" s="1" t="s">
        <v>74</v>
      </c>
      <c r="BO997" s="1" t="s">
        <v>2155</v>
      </c>
      <c r="BP997" s="1" t="s">
        <v>74</v>
      </c>
      <c r="BQ997" s="1" t="s">
        <v>74</v>
      </c>
      <c r="BR997" s="1" t="s">
        <v>98</v>
      </c>
      <c r="BS997" s="1" t="s">
        <v>16532</v>
      </c>
      <c r="BT997" s="1" t="str">
        <f>HYPERLINK("https%3A%2F%2Fwww.webofscience.com%2Fwos%2Fwoscc%2Ffull-record%2FWOS:000647804300004","View Full Record in Web of Science")</f>
        <v>View Full Record in Web of Science</v>
      </c>
    </row>
    <row r="998" spans="1:72">
      <c r="A998" s="1" t="s">
        <v>72</v>
      </c>
      <c r="B998" s="1" t="s">
        <v>16533</v>
      </c>
      <c r="C998" s="1" t="s">
        <v>74</v>
      </c>
      <c r="D998" s="1" t="s">
        <v>74</v>
      </c>
      <c r="E998" s="1" t="s">
        <v>74</v>
      </c>
      <c r="F998" s="1" t="s">
        <v>16533</v>
      </c>
      <c r="G998" s="1" t="s">
        <v>74</v>
      </c>
      <c r="H998" s="1" t="s">
        <v>74</v>
      </c>
      <c r="I998" s="1" t="s">
        <v>16534</v>
      </c>
      <c r="J998" s="1" t="s">
        <v>16535</v>
      </c>
      <c r="K998" s="1" t="s">
        <v>74</v>
      </c>
      <c r="L998" s="1" t="s">
        <v>74</v>
      </c>
      <c r="M998" s="1" t="s">
        <v>78</v>
      </c>
      <c r="N998" s="1" t="s">
        <v>79</v>
      </c>
      <c r="O998" s="1" t="s">
        <v>74</v>
      </c>
      <c r="P998" s="1" t="s">
        <v>74</v>
      </c>
      <c r="Q998" s="1" t="s">
        <v>74</v>
      </c>
      <c r="R998" s="1" t="s">
        <v>74</v>
      </c>
      <c r="S998" s="1" t="s">
        <v>74</v>
      </c>
      <c r="T998" s="1" t="s">
        <v>16536</v>
      </c>
      <c r="U998" s="1" t="s">
        <v>16537</v>
      </c>
      <c r="V998" s="1" t="s">
        <v>16538</v>
      </c>
      <c r="W998" s="1" t="s">
        <v>16539</v>
      </c>
      <c r="X998" s="1" t="s">
        <v>16540</v>
      </c>
      <c r="Y998" s="1" t="s">
        <v>16541</v>
      </c>
      <c r="Z998" s="1" t="s">
        <v>74</v>
      </c>
      <c r="AA998" s="1" t="s">
        <v>16542</v>
      </c>
      <c r="AB998" s="1" t="s">
        <v>74</v>
      </c>
      <c r="AC998" s="1" t="s">
        <v>74</v>
      </c>
      <c r="AD998" s="1" t="s">
        <v>74</v>
      </c>
      <c r="AE998" s="1" t="s">
        <v>74</v>
      </c>
      <c r="AF998" s="1" t="s">
        <v>74</v>
      </c>
      <c r="AG998" s="1">
        <v>33</v>
      </c>
      <c r="AH998" s="1">
        <v>19</v>
      </c>
      <c r="AI998" s="1">
        <v>21</v>
      </c>
      <c r="AJ998" s="1">
        <v>0</v>
      </c>
      <c r="AK998" s="1">
        <v>30</v>
      </c>
      <c r="AL998" s="1" t="s">
        <v>112</v>
      </c>
      <c r="AM998" s="1" t="s">
        <v>113</v>
      </c>
      <c r="AN998" s="1" t="s">
        <v>469</v>
      </c>
      <c r="AO998" s="1" t="s">
        <v>16543</v>
      </c>
      <c r="AP998" s="1" t="s">
        <v>74</v>
      </c>
      <c r="AQ998" s="1" t="s">
        <v>74</v>
      </c>
      <c r="AR998" s="1" t="s">
        <v>16544</v>
      </c>
      <c r="AS998" s="1" t="s">
        <v>16545</v>
      </c>
      <c r="AT998" s="1" t="s">
        <v>224</v>
      </c>
      <c r="AU998" s="1">
        <v>1998</v>
      </c>
      <c r="AV998" s="1">
        <v>33</v>
      </c>
      <c r="AW998" s="1" t="s">
        <v>1723</v>
      </c>
      <c r="AX998" s="1" t="s">
        <v>74</v>
      </c>
      <c r="AY998" s="1" t="s">
        <v>74</v>
      </c>
      <c r="AZ998" s="1" t="s">
        <v>74</v>
      </c>
      <c r="BA998" s="1" t="s">
        <v>74</v>
      </c>
      <c r="BB998" s="1">
        <v>122</v>
      </c>
      <c r="BC998" s="1">
        <v>129</v>
      </c>
      <c r="BD998" s="1" t="s">
        <v>74</v>
      </c>
      <c r="BE998" s="1" t="s">
        <v>16546</v>
      </c>
      <c r="BF998" s="1" t="str">
        <f>HYPERLINK("http://dx.doi.org/10.1007/s002540050232","http://dx.doi.org/10.1007/s002540050232")</f>
        <v>http://dx.doi.org/10.1007/s002540050232</v>
      </c>
      <c r="BG998" s="1" t="s">
        <v>74</v>
      </c>
      <c r="BH998" s="1" t="s">
        <v>74</v>
      </c>
      <c r="BI998" s="1">
        <v>8</v>
      </c>
      <c r="BJ998" s="1" t="s">
        <v>7872</v>
      </c>
      <c r="BK998" s="1" t="s">
        <v>96</v>
      </c>
      <c r="BL998" s="1" t="s">
        <v>7873</v>
      </c>
      <c r="BM998" s="1" t="s">
        <v>16547</v>
      </c>
      <c r="BN998" s="1" t="s">
        <v>74</v>
      </c>
      <c r="BO998" s="1" t="s">
        <v>74</v>
      </c>
      <c r="BP998" s="1" t="s">
        <v>74</v>
      </c>
      <c r="BQ998" s="1" t="s">
        <v>74</v>
      </c>
      <c r="BR998" s="1" t="s">
        <v>98</v>
      </c>
      <c r="BS998" s="1" t="s">
        <v>16548</v>
      </c>
      <c r="BT998" s="1" t="str">
        <f>HYPERLINK("https%3A%2F%2Fwww.webofscience.com%2Fwos%2Fwoscc%2Ffull-record%2FWOS:000072439200006","View Full Record in Web of Science")</f>
        <v>View Full Record in Web of Science</v>
      </c>
    </row>
    <row r="999" spans="1:72">
      <c r="A999" s="1" t="s">
        <v>72</v>
      </c>
      <c r="B999" s="1" t="s">
        <v>4593</v>
      </c>
      <c r="C999" s="1" t="s">
        <v>74</v>
      </c>
      <c r="D999" s="1" t="s">
        <v>74</v>
      </c>
      <c r="E999" s="1" t="s">
        <v>74</v>
      </c>
      <c r="F999" s="1" t="s">
        <v>4594</v>
      </c>
      <c r="G999" s="1" t="s">
        <v>74</v>
      </c>
      <c r="H999" s="1" t="s">
        <v>74</v>
      </c>
      <c r="I999" s="1" t="s">
        <v>16549</v>
      </c>
      <c r="J999" s="1" t="s">
        <v>3349</v>
      </c>
      <c r="K999" s="1" t="s">
        <v>74</v>
      </c>
      <c r="L999" s="1" t="s">
        <v>74</v>
      </c>
      <c r="M999" s="1" t="s">
        <v>78</v>
      </c>
      <c r="N999" s="1" t="s">
        <v>79</v>
      </c>
      <c r="O999" s="1" t="s">
        <v>74</v>
      </c>
      <c r="P999" s="1" t="s">
        <v>74</v>
      </c>
      <c r="Q999" s="1" t="s">
        <v>74</v>
      </c>
      <c r="R999" s="1" t="s">
        <v>74</v>
      </c>
      <c r="S999" s="1" t="s">
        <v>74</v>
      </c>
      <c r="T999" s="1" t="s">
        <v>16550</v>
      </c>
      <c r="U999" s="1" t="s">
        <v>16551</v>
      </c>
      <c r="V999" s="1" t="s">
        <v>16552</v>
      </c>
      <c r="W999" s="1" t="s">
        <v>16553</v>
      </c>
      <c r="X999" s="1" t="s">
        <v>4601</v>
      </c>
      <c r="Y999" s="1" t="s">
        <v>16554</v>
      </c>
      <c r="Z999" s="1" t="s">
        <v>16555</v>
      </c>
      <c r="AA999" s="1" t="s">
        <v>16556</v>
      </c>
      <c r="AB999" s="1" t="s">
        <v>16557</v>
      </c>
      <c r="AC999" s="1" t="s">
        <v>16558</v>
      </c>
      <c r="AD999" s="1" t="s">
        <v>16558</v>
      </c>
      <c r="AE999" s="1" t="s">
        <v>16559</v>
      </c>
      <c r="AF999" s="1" t="s">
        <v>74</v>
      </c>
      <c r="AG999" s="1">
        <v>68</v>
      </c>
      <c r="AH999" s="1">
        <v>25</v>
      </c>
      <c r="AI999" s="1">
        <v>26</v>
      </c>
      <c r="AJ999" s="1">
        <v>0</v>
      </c>
      <c r="AK999" s="1">
        <v>19</v>
      </c>
      <c r="AL999" s="1" t="s">
        <v>3362</v>
      </c>
      <c r="AM999" s="1" t="s">
        <v>3363</v>
      </c>
      <c r="AN999" s="1" t="s">
        <v>3364</v>
      </c>
      <c r="AO999" s="1" t="s">
        <v>3365</v>
      </c>
      <c r="AP999" s="1" t="s">
        <v>3366</v>
      </c>
      <c r="AQ999" s="1" t="s">
        <v>74</v>
      </c>
      <c r="AR999" s="1" t="s">
        <v>3367</v>
      </c>
      <c r="AS999" s="1" t="s">
        <v>3368</v>
      </c>
      <c r="AT999" s="1" t="s">
        <v>1223</v>
      </c>
      <c r="AU999" s="1">
        <v>2011</v>
      </c>
      <c r="AV999" s="1">
        <v>74</v>
      </c>
      <c r="AW999" s="1">
        <v>3</v>
      </c>
      <c r="AX999" s="1" t="s">
        <v>74</v>
      </c>
      <c r="AY999" s="1" t="s">
        <v>74</v>
      </c>
      <c r="AZ999" s="1" t="s">
        <v>74</v>
      </c>
      <c r="BA999" s="1" t="s">
        <v>74</v>
      </c>
      <c r="BB999" s="1">
        <v>373</v>
      </c>
      <c r="BC999" s="1">
        <v>381</v>
      </c>
      <c r="BD999" s="1" t="s">
        <v>74</v>
      </c>
      <c r="BE999" s="1" t="s">
        <v>16560</v>
      </c>
      <c r="BF999" s="1" t="str">
        <f>HYPERLINK("http://dx.doi.org/10.1016/j.ecoenv.2010.10.002","http://dx.doi.org/10.1016/j.ecoenv.2010.10.002")</f>
        <v>http://dx.doi.org/10.1016/j.ecoenv.2010.10.002</v>
      </c>
      <c r="BG999" s="1" t="s">
        <v>74</v>
      </c>
      <c r="BH999" s="1" t="s">
        <v>74</v>
      </c>
      <c r="BI999" s="1">
        <v>9</v>
      </c>
      <c r="BJ999" s="1" t="s">
        <v>121</v>
      </c>
      <c r="BK999" s="1" t="s">
        <v>96</v>
      </c>
      <c r="BL999" s="1" t="s">
        <v>122</v>
      </c>
      <c r="BM999" s="1" t="s">
        <v>16561</v>
      </c>
      <c r="BN999" s="1">
        <v>21095005</v>
      </c>
      <c r="BO999" s="1" t="s">
        <v>74</v>
      </c>
      <c r="BP999" s="1" t="s">
        <v>74</v>
      </c>
      <c r="BQ999" s="1" t="s">
        <v>74</v>
      </c>
      <c r="BR999" s="1" t="s">
        <v>98</v>
      </c>
      <c r="BS999" s="1" t="s">
        <v>16562</v>
      </c>
      <c r="BT999" s="1" t="str">
        <f>HYPERLINK("https%3A%2F%2Fwww.webofscience.com%2Fwos%2Fwoscc%2Ffull-record%2FWOS:000288226700023","View Full Record in Web of Science")</f>
        <v>View Full Record in Web of Science</v>
      </c>
    </row>
    <row r="1000" spans="1:72">
      <c r="A1000" s="1" t="s">
        <v>72</v>
      </c>
      <c r="B1000" s="1" t="s">
        <v>16563</v>
      </c>
      <c r="C1000" s="1" t="s">
        <v>74</v>
      </c>
      <c r="D1000" s="1" t="s">
        <v>74</v>
      </c>
      <c r="E1000" s="1" t="s">
        <v>74</v>
      </c>
      <c r="F1000" s="1" t="s">
        <v>16563</v>
      </c>
      <c r="G1000" s="1" t="s">
        <v>74</v>
      </c>
      <c r="H1000" s="1" t="s">
        <v>74</v>
      </c>
      <c r="I1000" s="1" t="s">
        <v>16564</v>
      </c>
      <c r="J1000" s="1" t="s">
        <v>1097</v>
      </c>
      <c r="K1000" s="1" t="s">
        <v>74</v>
      </c>
      <c r="L1000" s="1" t="s">
        <v>74</v>
      </c>
      <c r="M1000" s="1" t="s">
        <v>78</v>
      </c>
      <c r="N1000" s="1" t="s">
        <v>79</v>
      </c>
      <c r="O1000" s="1" t="s">
        <v>74</v>
      </c>
      <c r="P1000" s="1" t="s">
        <v>74</v>
      </c>
      <c r="Q1000" s="1" t="s">
        <v>74</v>
      </c>
      <c r="R1000" s="1" t="s">
        <v>74</v>
      </c>
      <c r="S1000" s="1" t="s">
        <v>74</v>
      </c>
      <c r="T1000" s="1" t="s">
        <v>74</v>
      </c>
      <c r="U1000" s="1" t="s">
        <v>74</v>
      </c>
      <c r="V1000" s="1" t="s">
        <v>16565</v>
      </c>
      <c r="W1000" s="1" t="s">
        <v>16566</v>
      </c>
      <c r="X1000" s="1" t="s">
        <v>10809</v>
      </c>
      <c r="Y1000" s="1" t="s">
        <v>74</v>
      </c>
      <c r="Z1000" s="1" t="s">
        <v>74</v>
      </c>
      <c r="AA1000" s="1" t="s">
        <v>16567</v>
      </c>
      <c r="AB1000" s="1" t="s">
        <v>74</v>
      </c>
      <c r="AC1000" s="1" t="s">
        <v>74</v>
      </c>
      <c r="AD1000" s="1" t="s">
        <v>74</v>
      </c>
      <c r="AE1000" s="1" t="s">
        <v>74</v>
      </c>
      <c r="AF1000" s="1" t="s">
        <v>74</v>
      </c>
      <c r="AG1000" s="1">
        <v>20</v>
      </c>
      <c r="AH1000" s="1">
        <v>145</v>
      </c>
      <c r="AI1000" s="1">
        <v>151</v>
      </c>
      <c r="AJ1000" s="1">
        <v>1</v>
      </c>
      <c r="AK1000" s="1">
        <v>17</v>
      </c>
      <c r="AL1000" s="1" t="s">
        <v>217</v>
      </c>
      <c r="AM1000" s="1" t="s">
        <v>218</v>
      </c>
      <c r="AN1000" s="1" t="s">
        <v>219</v>
      </c>
      <c r="AO1000" s="1" t="s">
        <v>1100</v>
      </c>
      <c r="AP1000" s="1" t="s">
        <v>1101</v>
      </c>
      <c r="AQ1000" s="1" t="s">
        <v>74</v>
      </c>
      <c r="AR1000" s="1" t="s">
        <v>1102</v>
      </c>
      <c r="AS1000" s="1" t="s">
        <v>1103</v>
      </c>
      <c r="AT1000" s="1" t="s">
        <v>74</v>
      </c>
      <c r="AU1000" s="1">
        <v>1977</v>
      </c>
      <c r="AV1000" s="1">
        <v>41</v>
      </c>
      <c r="AW1000" s="1">
        <v>2</v>
      </c>
      <c r="AX1000" s="1" t="s">
        <v>74</v>
      </c>
      <c r="AY1000" s="1" t="s">
        <v>74</v>
      </c>
      <c r="AZ1000" s="1" t="s">
        <v>74</v>
      </c>
      <c r="BA1000" s="1" t="s">
        <v>74</v>
      </c>
      <c r="BB1000" s="1">
        <v>179</v>
      </c>
      <c r="BC1000" s="1">
        <v>184</v>
      </c>
      <c r="BD1000" s="1" t="s">
        <v>74</v>
      </c>
      <c r="BE1000" s="1" t="s">
        <v>16568</v>
      </c>
      <c r="BF1000" s="1" t="str">
        <f>HYPERLINK("http://dx.doi.org/10.1007/BF00394024","http://dx.doi.org/10.1007/BF00394024")</f>
        <v>http://dx.doi.org/10.1007/BF00394024</v>
      </c>
      <c r="BG1000" s="1" t="s">
        <v>74</v>
      </c>
      <c r="BH1000" s="1" t="s">
        <v>74</v>
      </c>
      <c r="BI1000" s="1">
        <v>6</v>
      </c>
      <c r="BJ1000" s="1" t="s">
        <v>680</v>
      </c>
      <c r="BK1000" s="1" t="s">
        <v>96</v>
      </c>
      <c r="BL1000" s="1" t="s">
        <v>680</v>
      </c>
      <c r="BM1000" s="1" t="s">
        <v>16569</v>
      </c>
      <c r="BN1000" s="1" t="s">
        <v>74</v>
      </c>
      <c r="BO1000" s="1" t="s">
        <v>74</v>
      </c>
      <c r="BP1000" s="1" t="s">
        <v>74</v>
      </c>
      <c r="BQ1000" s="1" t="s">
        <v>74</v>
      </c>
      <c r="BR1000" s="1" t="s">
        <v>98</v>
      </c>
      <c r="BS1000" s="1" t="s">
        <v>16570</v>
      </c>
      <c r="BT1000" s="1" t="str">
        <f>HYPERLINK("https%3A%2F%2Fwww.webofscience.com%2Fwos%2Fwoscc%2Ffull-record%2FWOS:A1977DH76100007","View Full Record in Web of Science")</f>
        <v>View Full Record in Web of Science</v>
      </c>
    </row>
    <row r="1001" spans="1:72">
      <c r="A1001" s="1" t="s">
        <v>72</v>
      </c>
      <c r="B1001" s="1" t="s">
        <v>16571</v>
      </c>
      <c r="C1001" s="1" t="s">
        <v>74</v>
      </c>
      <c r="D1001" s="1" t="s">
        <v>74</v>
      </c>
      <c r="E1001" s="1" t="s">
        <v>74</v>
      </c>
      <c r="F1001" s="1" t="s">
        <v>16572</v>
      </c>
      <c r="G1001" s="1" t="s">
        <v>74</v>
      </c>
      <c r="H1001" s="1" t="s">
        <v>74</v>
      </c>
      <c r="I1001" s="1" t="s">
        <v>16573</v>
      </c>
      <c r="J1001" s="1" t="s">
        <v>909</v>
      </c>
      <c r="K1001" s="1" t="s">
        <v>74</v>
      </c>
      <c r="L1001" s="1" t="s">
        <v>74</v>
      </c>
      <c r="M1001" s="1" t="s">
        <v>78</v>
      </c>
      <c r="N1001" s="1" t="s">
        <v>79</v>
      </c>
      <c r="O1001" s="1" t="s">
        <v>74</v>
      </c>
      <c r="P1001" s="1" t="s">
        <v>74</v>
      </c>
      <c r="Q1001" s="1" t="s">
        <v>74</v>
      </c>
      <c r="R1001" s="1" t="s">
        <v>74</v>
      </c>
      <c r="S1001" s="1" t="s">
        <v>74</v>
      </c>
      <c r="T1001" s="1" t="s">
        <v>16574</v>
      </c>
      <c r="U1001" s="1" t="s">
        <v>16575</v>
      </c>
      <c r="V1001" s="1" t="s">
        <v>16576</v>
      </c>
      <c r="W1001" s="1" t="s">
        <v>16577</v>
      </c>
      <c r="X1001" s="1" t="s">
        <v>6385</v>
      </c>
      <c r="Y1001" s="1" t="s">
        <v>16578</v>
      </c>
      <c r="Z1001" s="1" t="s">
        <v>3633</v>
      </c>
      <c r="AA1001" s="1" t="s">
        <v>16579</v>
      </c>
      <c r="AB1001" s="1" t="s">
        <v>16580</v>
      </c>
      <c r="AC1001" s="1" t="s">
        <v>16581</v>
      </c>
      <c r="AD1001" s="1" t="s">
        <v>16582</v>
      </c>
      <c r="AE1001" s="1" t="s">
        <v>16583</v>
      </c>
      <c r="AF1001" s="1" t="s">
        <v>74</v>
      </c>
      <c r="AG1001" s="1">
        <v>63</v>
      </c>
      <c r="AH1001" s="1">
        <v>22</v>
      </c>
      <c r="AI1001" s="1">
        <v>35</v>
      </c>
      <c r="AJ1001" s="1">
        <v>0</v>
      </c>
      <c r="AK1001" s="1">
        <v>61</v>
      </c>
      <c r="AL1001" s="1" t="s">
        <v>650</v>
      </c>
      <c r="AM1001" s="1" t="s">
        <v>651</v>
      </c>
      <c r="AN1001" s="1" t="s">
        <v>652</v>
      </c>
      <c r="AO1001" s="1" t="s">
        <v>921</v>
      </c>
      <c r="AP1001" s="1" t="s">
        <v>922</v>
      </c>
      <c r="AQ1001" s="1" t="s">
        <v>74</v>
      </c>
      <c r="AR1001" s="1" t="s">
        <v>923</v>
      </c>
      <c r="AS1001" s="1" t="s">
        <v>924</v>
      </c>
      <c r="AT1001" s="1" t="s">
        <v>387</v>
      </c>
      <c r="AU1001" s="1">
        <v>2010</v>
      </c>
      <c r="AV1001" s="1">
        <v>408</v>
      </c>
      <c r="AW1001" s="1">
        <v>12</v>
      </c>
      <c r="AX1001" s="1" t="s">
        <v>74</v>
      </c>
      <c r="AY1001" s="1" t="s">
        <v>74</v>
      </c>
      <c r="AZ1001" s="1" t="s">
        <v>74</v>
      </c>
      <c r="BA1001" s="1" t="s">
        <v>74</v>
      </c>
      <c r="BB1001" s="1">
        <v>2452</v>
      </c>
      <c r="BC1001" s="1">
        <v>2458</v>
      </c>
      <c r="BD1001" s="1" t="s">
        <v>74</v>
      </c>
      <c r="BE1001" s="1" t="s">
        <v>16584</v>
      </c>
      <c r="BF1001" s="1" t="str">
        <f>HYPERLINK("http://dx.doi.org/10.1016/j.scitotenv.2010.02.047","http://dx.doi.org/10.1016/j.scitotenv.2010.02.047")</f>
        <v>http://dx.doi.org/10.1016/j.scitotenv.2010.02.047</v>
      </c>
      <c r="BG1001" s="1" t="s">
        <v>74</v>
      </c>
      <c r="BH1001" s="1" t="s">
        <v>74</v>
      </c>
      <c r="BI1001" s="1">
        <v>7</v>
      </c>
      <c r="BJ1001" s="1" t="s">
        <v>144</v>
      </c>
      <c r="BK1001" s="1" t="s">
        <v>96</v>
      </c>
      <c r="BL1001" s="1" t="s">
        <v>145</v>
      </c>
      <c r="BM1001" s="1" t="s">
        <v>16585</v>
      </c>
      <c r="BN1001" s="1">
        <v>20347474</v>
      </c>
      <c r="BO1001" s="1" t="s">
        <v>74</v>
      </c>
      <c r="BP1001" s="1" t="s">
        <v>74</v>
      </c>
      <c r="BQ1001" s="1" t="s">
        <v>74</v>
      </c>
      <c r="BR1001" s="1" t="s">
        <v>98</v>
      </c>
      <c r="BS1001" s="1" t="s">
        <v>16586</v>
      </c>
      <c r="BT1001" s="1" t="str">
        <f>HYPERLINK("https%3A%2F%2Fwww.webofscience.com%2Fwos%2Fwoscc%2Ffull-record%2FWOS:000277879100004","View Full Record in Web of Science")</f>
        <v>View Full Record in Web of Science</v>
      </c>
    </row>
    <row r="1002" spans="1:72">
      <c r="A1002" t="s">
        <v>72</v>
      </c>
      <c r="B1002" t="s">
        <v>16587</v>
      </c>
      <c r="F1002" t="s">
        <v>16588</v>
      </c>
      <c r="I1002" t="s">
        <v>16589</v>
      </c>
      <c r="J1002" t="s">
        <v>641</v>
      </c>
      <c r="M1002" t="s">
        <v>78</v>
      </c>
      <c r="N1002" t="s">
        <v>79</v>
      </c>
      <c r="T1002" t="s">
        <v>16590</v>
      </c>
      <c r="U1002" t="s">
        <v>16591</v>
      </c>
      <c r="V1002" t="s">
        <v>16592</v>
      </c>
      <c r="W1002" t="s">
        <v>16593</v>
      </c>
      <c r="X1002" t="s">
        <v>16594</v>
      </c>
      <c r="Y1002" t="s">
        <v>16595</v>
      </c>
      <c r="Z1002" t="s">
        <v>16596</v>
      </c>
      <c r="AA1002" t="s">
        <v>16597</v>
      </c>
      <c r="AB1002" t="s">
        <v>16598</v>
      </c>
      <c r="AG1002">
        <v>78</v>
      </c>
      <c r="AH1002">
        <v>24</v>
      </c>
      <c r="AI1002">
        <v>25</v>
      </c>
      <c r="AJ1002">
        <v>1</v>
      </c>
      <c r="AK1002">
        <v>45</v>
      </c>
      <c r="AL1002" t="s">
        <v>650</v>
      </c>
      <c r="AM1002" t="s">
        <v>651</v>
      </c>
      <c r="AN1002" t="s">
        <v>652</v>
      </c>
      <c r="AO1002" t="s">
        <v>653</v>
      </c>
      <c r="AP1002" t="s">
        <v>654</v>
      </c>
      <c r="AR1002" t="s">
        <v>655</v>
      </c>
      <c r="AS1002" t="s">
        <v>656</v>
      </c>
      <c r="AT1002" t="s">
        <v>267</v>
      </c>
      <c r="AU1002">
        <v>2018</v>
      </c>
      <c r="AV1002">
        <v>203</v>
      </c>
      <c r="BB1002">
        <v>51</v>
      </c>
      <c r="BC1002">
        <v>60</v>
      </c>
      <c r="BE1002" t="s">
        <v>16599</v>
      </c>
      <c r="BF1002" t="s">
        <v>16600</v>
      </c>
      <c r="BI1002">
        <v>10</v>
      </c>
      <c r="BJ1002" t="s">
        <v>659</v>
      </c>
      <c r="BK1002" t="s">
        <v>96</v>
      </c>
      <c r="BL1002" t="s">
        <v>659</v>
      </c>
      <c r="BM1002" t="s">
        <v>9803</v>
      </c>
      <c r="BN1002">
        <v>30077126</v>
      </c>
      <c r="BR1002" t="s">
        <v>98</v>
      </c>
      <c r="BS1002" t="s">
        <v>16601</v>
      </c>
      <c r="BT1002" t="s">
        <v>16602</v>
      </c>
    </row>
    <row r="1003" spans="1:72">
      <c r="A1003" t="s">
        <v>72</v>
      </c>
      <c r="B1003" t="s">
        <v>4720</v>
      </c>
      <c r="F1003" t="s">
        <v>4720</v>
      </c>
      <c r="I1003" t="s">
        <v>16603</v>
      </c>
      <c r="J1003" t="s">
        <v>1097</v>
      </c>
      <c r="M1003" t="s">
        <v>78</v>
      </c>
      <c r="N1003" t="s">
        <v>79</v>
      </c>
      <c r="V1003" t="s">
        <v>16604</v>
      </c>
      <c r="W1003" t="s">
        <v>16605</v>
      </c>
      <c r="X1003" t="s">
        <v>8664</v>
      </c>
      <c r="AG1003">
        <v>37</v>
      </c>
      <c r="AH1003">
        <v>70</v>
      </c>
      <c r="AI1003">
        <v>70</v>
      </c>
      <c r="AJ1003">
        <v>0</v>
      </c>
      <c r="AK1003">
        <v>6</v>
      </c>
      <c r="AL1003" t="s">
        <v>217</v>
      </c>
      <c r="AM1003" t="s">
        <v>218</v>
      </c>
      <c r="AN1003" t="s">
        <v>219</v>
      </c>
      <c r="AO1003" t="s">
        <v>1100</v>
      </c>
      <c r="AP1003" t="s">
        <v>1101</v>
      </c>
      <c r="AR1003" t="s">
        <v>1102</v>
      </c>
      <c r="AS1003" t="s">
        <v>1103</v>
      </c>
      <c r="AU1003">
        <v>1977</v>
      </c>
      <c r="AV1003">
        <v>43</v>
      </c>
      <c r="AW1003">
        <v>4</v>
      </c>
      <c r="BB1003">
        <v>283</v>
      </c>
      <c r="BC1003">
        <v>291</v>
      </c>
      <c r="BE1003" t="s">
        <v>16606</v>
      </c>
      <c r="BF1003" t="s">
        <v>16607</v>
      </c>
      <c r="BI1003">
        <v>9</v>
      </c>
      <c r="BJ1003" t="s">
        <v>680</v>
      </c>
      <c r="BK1003" t="s">
        <v>96</v>
      </c>
      <c r="BL1003" t="s">
        <v>680</v>
      </c>
      <c r="BM1003" t="s">
        <v>16608</v>
      </c>
      <c r="BR1003" t="s">
        <v>98</v>
      </c>
      <c r="BS1003" t="s">
        <v>16609</v>
      </c>
      <c r="BT1003" t="s">
        <v>16602</v>
      </c>
    </row>
    <row r="1004" spans="1:72">
      <c r="A1004" t="s">
        <v>72</v>
      </c>
      <c r="B1004" t="s">
        <v>16610</v>
      </c>
      <c r="F1004" t="s">
        <v>16611</v>
      </c>
      <c r="I1004" t="s">
        <v>16612</v>
      </c>
      <c r="J1004" t="s">
        <v>204</v>
      </c>
      <c r="M1004" t="s">
        <v>78</v>
      </c>
      <c r="N1004" t="s">
        <v>79</v>
      </c>
      <c r="T1004" t="s">
        <v>16613</v>
      </c>
      <c r="U1004" t="s">
        <v>16614</v>
      </c>
      <c r="V1004" t="s">
        <v>16615</v>
      </c>
      <c r="W1004" t="s">
        <v>16616</v>
      </c>
      <c r="X1004" t="s">
        <v>16617</v>
      </c>
      <c r="Y1004" t="s">
        <v>16618</v>
      </c>
      <c r="Z1004" t="s">
        <v>16619</v>
      </c>
      <c r="AB1004" t="s">
        <v>16620</v>
      </c>
      <c r="AC1004" t="s">
        <v>16621</v>
      </c>
      <c r="AD1004" t="s">
        <v>16622</v>
      </c>
      <c r="AE1004" t="s">
        <v>16623</v>
      </c>
      <c r="AG1004">
        <v>30</v>
      </c>
      <c r="AH1004">
        <v>78</v>
      </c>
      <c r="AI1004">
        <v>88</v>
      </c>
      <c r="AJ1004">
        <v>6</v>
      </c>
      <c r="AK1004">
        <v>153</v>
      </c>
      <c r="AL1004" t="s">
        <v>217</v>
      </c>
      <c r="AM1004" t="s">
        <v>218</v>
      </c>
      <c r="AN1004" t="s">
        <v>219</v>
      </c>
      <c r="AO1004" t="s">
        <v>220</v>
      </c>
      <c r="AP1004" t="s">
        <v>221</v>
      </c>
      <c r="AR1004" t="s">
        <v>222</v>
      </c>
      <c r="AS1004" t="s">
        <v>223</v>
      </c>
      <c r="AT1004" t="s">
        <v>1223</v>
      </c>
      <c r="AU1004">
        <v>2018</v>
      </c>
      <c r="AV1004">
        <v>25</v>
      </c>
      <c r="AW1004">
        <v>7</v>
      </c>
      <c r="AZ1004" t="s">
        <v>225</v>
      </c>
      <c r="BB1004">
        <v>7012</v>
      </c>
      <c r="BC1004">
        <v>7020</v>
      </c>
      <c r="BE1004" t="s">
        <v>16624</v>
      </c>
      <c r="BF1004" t="s">
        <v>16625</v>
      </c>
      <c r="BI1004">
        <v>9</v>
      </c>
      <c r="BJ1004" t="s">
        <v>144</v>
      </c>
      <c r="BK1004" t="s">
        <v>96</v>
      </c>
      <c r="BL1004" t="s">
        <v>145</v>
      </c>
      <c r="BM1004" t="s">
        <v>16626</v>
      </c>
      <c r="BN1004">
        <v>29273990</v>
      </c>
      <c r="BR1004" t="s">
        <v>98</v>
      </c>
      <c r="BS1004" t="s">
        <v>16627</v>
      </c>
      <c r="BT1004" t="s">
        <v>16602</v>
      </c>
    </row>
    <row r="1005" spans="1:72">
      <c r="A1005" t="s">
        <v>72</v>
      </c>
      <c r="B1005" t="s">
        <v>16628</v>
      </c>
      <c r="F1005" t="s">
        <v>16628</v>
      </c>
      <c r="I1005" t="s">
        <v>16629</v>
      </c>
      <c r="J1005" t="s">
        <v>16630</v>
      </c>
      <c r="M1005" t="s">
        <v>78</v>
      </c>
      <c r="N1005" t="s">
        <v>151</v>
      </c>
      <c r="O1005" t="s">
        <v>16631</v>
      </c>
      <c r="P1005" t="s">
        <v>16632</v>
      </c>
      <c r="Q1005" t="s">
        <v>16633</v>
      </c>
      <c r="U1005" t="s">
        <v>16634</v>
      </c>
      <c r="V1005" t="s">
        <v>16635</v>
      </c>
      <c r="W1005" t="s">
        <v>16636</v>
      </c>
      <c r="X1005" t="s">
        <v>13470</v>
      </c>
      <c r="Y1005" t="s">
        <v>16637</v>
      </c>
      <c r="AA1005" t="s">
        <v>16638</v>
      </c>
      <c r="AB1005" t="s">
        <v>16639</v>
      </c>
      <c r="AG1005">
        <v>25</v>
      </c>
      <c r="AH1005">
        <v>7</v>
      </c>
      <c r="AI1005">
        <v>7</v>
      </c>
      <c r="AJ1005">
        <v>0</v>
      </c>
      <c r="AK1005">
        <v>8</v>
      </c>
      <c r="AL1005" t="s">
        <v>16640</v>
      </c>
      <c r="AM1005" t="s">
        <v>16641</v>
      </c>
      <c r="AN1005" t="s">
        <v>16642</v>
      </c>
      <c r="AO1005" t="s">
        <v>16643</v>
      </c>
      <c r="AP1005" t="s">
        <v>16644</v>
      </c>
      <c r="AR1005" t="s">
        <v>16645</v>
      </c>
      <c r="AS1005" t="s">
        <v>16646</v>
      </c>
      <c r="AT1005" t="s">
        <v>951</v>
      </c>
      <c r="AU1005">
        <v>2002</v>
      </c>
      <c r="AV1005">
        <v>71</v>
      </c>
      <c r="AW1005">
        <v>3</v>
      </c>
      <c r="BB1005">
        <v>1183</v>
      </c>
      <c r="BC1005">
        <v>1190</v>
      </c>
      <c r="BI1005">
        <v>8</v>
      </c>
      <c r="BJ1005" t="s">
        <v>4241</v>
      </c>
      <c r="BK1005" t="s">
        <v>172</v>
      </c>
      <c r="BL1005" t="s">
        <v>4241</v>
      </c>
      <c r="BM1005" t="s">
        <v>16647</v>
      </c>
      <c r="BR1005" t="s">
        <v>98</v>
      </c>
      <c r="BS1005" t="s">
        <v>16648</v>
      </c>
      <c r="BT1005" t="s">
        <v>16602</v>
      </c>
    </row>
    <row r="1006" spans="1:72">
      <c r="A1006" t="s">
        <v>72</v>
      </c>
      <c r="B1006" t="s">
        <v>16649</v>
      </c>
      <c r="F1006" t="s">
        <v>16649</v>
      </c>
      <c r="I1006" t="s">
        <v>16650</v>
      </c>
      <c r="J1006" t="s">
        <v>421</v>
      </c>
      <c r="M1006" t="s">
        <v>78</v>
      </c>
      <c r="N1006" t="s">
        <v>79</v>
      </c>
      <c r="V1006" t="s">
        <v>16651</v>
      </c>
      <c r="W1006" t="s">
        <v>16652</v>
      </c>
      <c r="X1006" t="s">
        <v>16653</v>
      </c>
      <c r="Y1006" t="s">
        <v>16654</v>
      </c>
      <c r="AA1006" t="s">
        <v>1836</v>
      </c>
      <c r="AB1006" t="s">
        <v>1837</v>
      </c>
      <c r="AG1006">
        <v>35</v>
      </c>
      <c r="AH1006">
        <v>71</v>
      </c>
      <c r="AI1006">
        <v>78</v>
      </c>
      <c r="AJ1006">
        <v>1</v>
      </c>
      <c r="AK1006">
        <v>9</v>
      </c>
      <c r="AL1006" t="s">
        <v>430</v>
      </c>
      <c r="AM1006" t="s">
        <v>7361</v>
      </c>
      <c r="AN1006" t="s">
        <v>7362</v>
      </c>
      <c r="AO1006" t="s">
        <v>432</v>
      </c>
      <c r="AP1006" t="s">
        <v>1394</v>
      </c>
      <c r="AR1006" t="s">
        <v>433</v>
      </c>
      <c r="AS1006" t="s">
        <v>434</v>
      </c>
      <c r="AU1006">
        <v>1990</v>
      </c>
      <c r="AV1006">
        <v>65</v>
      </c>
      <c r="AW1006">
        <v>4</v>
      </c>
      <c r="BB1006">
        <v>347</v>
      </c>
      <c r="BC1006">
        <v>362</v>
      </c>
      <c r="BE1006" t="s">
        <v>16655</v>
      </c>
      <c r="BF1006" t="s">
        <v>16656</v>
      </c>
      <c r="BI1006">
        <v>16</v>
      </c>
      <c r="BJ1006" t="s">
        <v>144</v>
      </c>
      <c r="BK1006" t="s">
        <v>96</v>
      </c>
      <c r="BL1006" t="s">
        <v>145</v>
      </c>
      <c r="BM1006" t="s">
        <v>16657</v>
      </c>
      <c r="BN1006">
        <v>15092258</v>
      </c>
      <c r="BR1006" t="s">
        <v>98</v>
      </c>
      <c r="BS1006" t="s">
        <v>16658</v>
      </c>
      <c r="BT1006" t="s">
        <v>16602</v>
      </c>
    </row>
    <row r="1007" spans="1:72">
      <c r="A1007" t="s">
        <v>72</v>
      </c>
      <c r="B1007" t="s">
        <v>16659</v>
      </c>
      <c r="F1007" t="s">
        <v>16660</v>
      </c>
      <c r="I1007" t="s">
        <v>16661</v>
      </c>
      <c r="J1007" t="s">
        <v>204</v>
      </c>
      <c r="M1007" t="s">
        <v>78</v>
      </c>
      <c r="N1007" t="s">
        <v>79</v>
      </c>
      <c r="T1007" t="s">
        <v>16662</v>
      </c>
      <c r="U1007" t="s">
        <v>16663</v>
      </c>
      <c r="V1007" t="s">
        <v>16664</v>
      </c>
      <c r="W1007" t="s">
        <v>16665</v>
      </c>
      <c r="X1007" t="s">
        <v>16666</v>
      </c>
      <c r="Y1007" t="s">
        <v>16667</v>
      </c>
      <c r="Z1007" t="s">
        <v>16668</v>
      </c>
      <c r="AB1007" t="s">
        <v>16669</v>
      </c>
      <c r="AC1007" t="s">
        <v>16670</v>
      </c>
      <c r="AD1007" t="s">
        <v>16670</v>
      </c>
      <c r="AE1007" t="s">
        <v>16671</v>
      </c>
      <c r="AG1007">
        <v>34</v>
      </c>
      <c r="AH1007">
        <v>14</v>
      </c>
      <c r="AI1007">
        <v>14</v>
      </c>
      <c r="AJ1007">
        <v>1</v>
      </c>
      <c r="AK1007">
        <v>58</v>
      </c>
      <c r="AL1007" t="s">
        <v>217</v>
      </c>
      <c r="AM1007" t="s">
        <v>218</v>
      </c>
      <c r="AN1007" t="s">
        <v>219</v>
      </c>
      <c r="AO1007" t="s">
        <v>220</v>
      </c>
      <c r="AP1007" t="s">
        <v>221</v>
      </c>
      <c r="AR1007" t="s">
        <v>222</v>
      </c>
      <c r="AS1007" t="s">
        <v>223</v>
      </c>
      <c r="AT1007" t="s">
        <v>267</v>
      </c>
      <c r="AU1007">
        <v>2015</v>
      </c>
      <c r="AV1007">
        <v>22</v>
      </c>
      <c r="AW1007">
        <v>19</v>
      </c>
      <c r="BB1007">
        <v>14940</v>
      </c>
      <c r="BC1007">
        <v>14949</v>
      </c>
      <c r="BE1007" t="s">
        <v>16672</v>
      </c>
      <c r="BF1007" t="s">
        <v>16673</v>
      </c>
      <c r="BI1007">
        <v>10</v>
      </c>
      <c r="BJ1007" t="s">
        <v>144</v>
      </c>
      <c r="BK1007" t="s">
        <v>96</v>
      </c>
      <c r="BL1007" t="s">
        <v>145</v>
      </c>
      <c r="BM1007" t="s">
        <v>16674</v>
      </c>
      <c r="BN1007">
        <v>26002362</v>
      </c>
      <c r="BR1007" t="s">
        <v>98</v>
      </c>
      <c r="BS1007" t="s">
        <v>16675</v>
      </c>
      <c r="BT1007" t="s">
        <v>16602</v>
      </c>
    </row>
    <row r="1008" spans="1:72">
      <c r="A1008" t="s">
        <v>72</v>
      </c>
      <c r="B1008" t="s">
        <v>16676</v>
      </c>
      <c r="F1008" t="s">
        <v>16677</v>
      </c>
      <c r="I1008" t="s">
        <v>16678</v>
      </c>
      <c r="J1008" t="s">
        <v>909</v>
      </c>
      <c r="M1008" t="s">
        <v>78</v>
      </c>
      <c r="N1008" t="s">
        <v>79</v>
      </c>
      <c r="T1008" t="s">
        <v>16679</v>
      </c>
      <c r="U1008" t="s">
        <v>16680</v>
      </c>
      <c r="V1008" t="s">
        <v>16681</v>
      </c>
      <c r="W1008" t="s">
        <v>16682</v>
      </c>
      <c r="X1008" t="s">
        <v>16683</v>
      </c>
      <c r="Y1008" t="s">
        <v>16684</v>
      </c>
      <c r="Z1008" t="s">
        <v>5939</v>
      </c>
      <c r="AA1008" t="s">
        <v>16685</v>
      </c>
      <c r="AB1008" t="s">
        <v>16686</v>
      </c>
      <c r="AC1008" t="s">
        <v>16687</v>
      </c>
      <c r="AD1008" t="s">
        <v>16688</v>
      </c>
      <c r="AE1008" t="s">
        <v>16689</v>
      </c>
      <c r="AG1008">
        <v>101</v>
      </c>
      <c r="AH1008">
        <v>7</v>
      </c>
      <c r="AI1008">
        <v>7</v>
      </c>
      <c r="AJ1008">
        <v>10</v>
      </c>
      <c r="AK1008">
        <v>61</v>
      </c>
      <c r="AL1008" t="s">
        <v>650</v>
      </c>
      <c r="AM1008" t="s">
        <v>651</v>
      </c>
      <c r="AN1008" t="s">
        <v>652</v>
      </c>
      <c r="AO1008" t="s">
        <v>921</v>
      </c>
      <c r="AP1008" t="s">
        <v>922</v>
      </c>
      <c r="AR1008" t="s">
        <v>923</v>
      </c>
      <c r="AS1008" t="s">
        <v>924</v>
      </c>
      <c r="AT1008" t="s">
        <v>16690</v>
      </c>
      <c r="AU1008">
        <v>2022</v>
      </c>
      <c r="AV1008">
        <v>851</v>
      </c>
      <c r="AX1008">
        <v>1</v>
      </c>
      <c r="BD1008">
        <v>158146</v>
      </c>
      <c r="BE1008" t="s">
        <v>16691</v>
      </c>
      <c r="BF1008" t="s">
        <v>16692</v>
      </c>
      <c r="BH1008" t="s">
        <v>13858</v>
      </c>
      <c r="BI1008">
        <v>12</v>
      </c>
      <c r="BJ1008" t="s">
        <v>144</v>
      </c>
      <c r="BK1008" t="s">
        <v>96</v>
      </c>
      <c r="BL1008" t="s">
        <v>145</v>
      </c>
      <c r="BM1008" t="s">
        <v>16693</v>
      </c>
      <c r="BN1008">
        <v>35987231</v>
      </c>
      <c r="BR1008" t="s">
        <v>98</v>
      </c>
      <c r="BS1008" t="s">
        <v>16694</v>
      </c>
      <c r="BT1008" t="s">
        <v>16602</v>
      </c>
    </row>
    <row r="1009" spans="1:72">
      <c r="A1009" t="s">
        <v>72</v>
      </c>
      <c r="B1009" t="s">
        <v>16695</v>
      </c>
      <c r="F1009" t="s">
        <v>16696</v>
      </c>
      <c r="I1009" t="s">
        <v>16697</v>
      </c>
      <c r="J1009" t="s">
        <v>103</v>
      </c>
      <c r="M1009" t="s">
        <v>78</v>
      </c>
      <c r="N1009" t="s">
        <v>79</v>
      </c>
      <c r="T1009" t="s">
        <v>16698</v>
      </c>
      <c r="V1009" t="s">
        <v>16699</v>
      </c>
      <c r="W1009" t="s">
        <v>16700</v>
      </c>
      <c r="X1009" t="s">
        <v>16701</v>
      </c>
      <c r="Y1009" t="s">
        <v>16702</v>
      </c>
      <c r="Z1009" t="s">
        <v>16703</v>
      </c>
      <c r="AA1009" t="s">
        <v>16704</v>
      </c>
      <c r="AG1009">
        <v>15</v>
      </c>
      <c r="AH1009">
        <v>5</v>
      </c>
      <c r="AI1009">
        <v>8</v>
      </c>
      <c r="AJ1009">
        <v>1</v>
      </c>
      <c r="AK1009">
        <v>38</v>
      </c>
      <c r="AL1009" t="s">
        <v>112</v>
      </c>
      <c r="AM1009" t="s">
        <v>113</v>
      </c>
      <c r="AN1009" t="s">
        <v>469</v>
      </c>
      <c r="AO1009" t="s">
        <v>115</v>
      </c>
      <c r="AP1009" t="s">
        <v>116</v>
      </c>
      <c r="AR1009" t="s">
        <v>117</v>
      </c>
      <c r="AS1009" t="s">
        <v>118</v>
      </c>
      <c r="AT1009" t="s">
        <v>119</v>
      </c>
      <c r="AU1009">
        <v>2009</v>
      </c>
      <c r="AV1009">
        <v>83</v>
      </c>
      <c r="AW1009">
        <v>2</v>
      </c>
      <c r="BB1009">
        <v>219</v>
      </c>
      <c r="BC1009">
        <v>222</v>
      </c>
      <c r="BE1009" t="s">
        <v>16705</v>
      </c>
      <c r="BF1009" t="s">
        <v>16706</v>
      </c>
      <c r="BI1009">
        <v>4</v>
      </c>
      <c r="BJ1009" t="s">
        <v>121</v>
      </c>
      <c r="BK1009" t="s">
        <v>96</v>
      </c>
      <c r="BL1009" t="s">
        <v>122</v>
      </c>
      <c r="BM1009" t="s">
        <v>16707</v>
      </c>
      <c r="BN1009">
        <v>19290457</v>
      </c>
      <c r="BR1009" t="s">
        <v>98</v>
      </c>
      <c r="BS1009" t="s">
        <v>16708</v>
      </c>
      <c r="BT1009" t="s">
        <v>16602</v>
      </c>
    </row>
    <row r="1010" spans="1:72">
      <c r="A1010" t="s">
        <v>72</v>
      </c>
      <c r="B1010" t="s">
        <v>16709</v>
      </c>
      <c r="F1010" t="s">
        <v>16709</v>
      </c>
      <c r="I1010" t="s">
        <v>16710</v>
      </c>
      <c r="J1010" t="s">
        <v>16711</v>
      </c>
      <c r="M1010" t="s">
        <v>78</v>
      </c>
      <c r="N1010" t="s">
        <v>79</v>
      </c>
      <c r="T1010" t="s">
        <v>16712</v>
      </c>
      <c r="U1010" t="s">
        <v>16713</v>
      </c>
      <c r="V1010" t="s">
        <v>16714</v>
      </c>
      <c r="W1010" t="s">
        <v>16715</v>
      </c>
      <c r="Y1010" t="s">
        <v>16716</v>
      </c>
      <c r="Z1010" t="s">
        <v>16717</v>
      </c>
      <c r="AG1010">
        <v>45</v>
      </c>
      <c r="AH1010">
        <v>11</v>
      </c>
      <c r="AI1010">
        <v>14</v>
      </c>
      <c r="AJ1010">
        <v>0</v>
      </c>
      <c r="AK1010">
        <v>11</v>
      </c>
      <c r="AL1010" t="s">
        <v>16718</v>
      </c>
      <c r="AM1010" t="s">
        <v>16719</v>
      </c>
      <c r="AN1010" t="s">
        <v>16720</v>
      </c>
      <c r="AO1010" t="s">
        <v>16721</v>
      </c>
      <c r="AP1010" t="s">
        <v>16722</v>
      </c>
      <c r="AR1010" t="s">
        <v>16723</v>
      </c>
      <c r="AS1010" t="s">
        <v>16724</v>
      </c>
      <c r="AT1010" t="s">
        <v>142</v>
      </c>
      <c r="AU1010">
        <v>2002</v>
      </c>
      <c r="AV1010">
        <v>48</v>
      </c>
      <c r="AW1010">
        <v>4</v>
      </c>
      <c r="BB1010">
        <v>351</v>
      </c>
      <c r="BC1010">
        <v>358</v>
      </c>
      <c r="BI1010">
        <v>8</v>
      </c>
      <c r="BJ1010" t="s">
        <v>16725</v>
      </c>
      <c r="BK1010" t="s">
        <v>96</v>
      </c>
      <c r="BL1010" t="s">
        <v>16725</v>
      </c>
      <c r="BM1010" t="s">
        <v>16726</v>
      </c>
      <c r="BN1010">
        <v>12064442</v>
      </c>
      <c r="BR1010" t="s">
        <v>98</v>
      </c>
      <c r="BS1010" t="s">
        <v>16727</v>
      </c>
      <c r="BT1010" t="s">
        <v>16602</v>
      </c>
    </row>
    <row r="1011" spans="1:72">
      <c r="A1011" t="s">
        <v>72</v>
      </c>
      <c r="B1011" t="s">
        <v>16728</v>
      </c>
      <c r="F1011" t="s">
        <v>16728</v>
      </c>
      <c r="I1011" t="s">
        <v>16729</v>
      </c>
      <c r="J1011" t="s">
        <v>1202</v>
      </c>
      <c r="M1011" t="s">
        <v>78</v>
      </c>
      <c r="N1011" t="s">
        <v>151</v>
      </c>
      <c r="O1011" t="s">
        <v>16730</v>
      </c>
      <c r="P1011" t="s">
        <v>16731</v>
      </c>
      <c r="Q1011" t="s">
        <v>3304</v>
      </c>
      <c r="T1011" t="s">
        <v>16732</v>
      </c>
      <c r="U1011" t="s">
        <v>16733</v>
      </c>
      <c r="V1011" t="s">
        <v>16734</v>
      </c>
      <c r="W1011" t="s">
        <v>16735</v>
      </c>
      <c r="X1011" t="s">
        <v>16736</v>
      </c>
      <c r="Y1011" t="s">
        <v>16737</v>
      </c>
      <c r="Z1011" t="s">
        <v>16738</v>
      </c>
      <c r="AG1011">
        <v>26</v>
      </c>
      <c r="AH1011">
        <v>19</v>
      </c>
      <c r="AI1011">
        <v>20</v>
      </c>
      <c r="AJ1011">
        <v>1</v>
      </c>
      <c r="AK1011">
        <v>10</v>
      </c>
      <c r="AL1011" t="s">
        <v>112</v>
      </c>
      <c r="AM1011" t="s">
        <v>191</v>
      </c>
      <c r="AN1011" t="s">
        <v>192</v>
      </c>
      <c r="AO1011" t="s">
        <v>1207</v>
      </c>
      <c r="AP1011" t="s">
        <v>4902</v>
      </c>
      <c r="AR1011" t="s">
        <v>1202</v>
      </c>
      <c r="AS1011" t="s">
        <v>1208</v>
      </c>
      <c r="AT1011" t="s">
        <v>224</v>
      </c>
      <c r="AU1011">
        <v>2000</v>
      </c>
      <c r="AV1011">
        <v>420</v>
      </c>
      <c r="BB1011">
        <v>185</v>
      </c>
      <c r="BC1011">
        <v>189</v>
      </c>
      <c r="BE1011" t="s">
        <v>16739</v>
      </c>
      <c r="BF1011" t="s">
        <v>16740</v>
      </c>
      <c r="BI1011">
        <v>5</v>
      </c>
      <c r="BJ1011" t="s">
        <v>680</v>
      </c>
      <c r="BK1011" t="s">
        <v>172</v>
      </c>
      <c r="BL1011" t="s">
        <v>680</v>
      </c>
      <c r="BM1011" t="s">
        <v>16741</v>
      </c>
      <c r="BR1011" t="s">
        <v>98</v>
      </c>
      <c r="BS1011" t="s">
        <v>16742</v>
      </c>
      <c r="BT1011" t="s">
        <v>16602</v>
      </c>
    </row>
    <row r="1012" spans="1:72">
      <c r="A1012" t="s">
        <v>72</v>
      </c>
      <c r="B1012" t="s">
        <v>16743</v>
      </c>
      <c r="F1012" t="s">
        <v>16744</v>
      </c>
      <c r="I1012" t="s">
        <v>16745</v>
      </c>
      <c r="J1012" t="s">
        <v>16746</v>
      </c>
      <c r="M1012" t="s">
        <v>78</v>
      </c>
      <c r="N1012" t="s">
        <v>79</v>
      </c>
      <c r="T1012" t="s">
        <v>16747</v>
      </c>
      <c r="U1012" t="s">
        <v>16748</v>
      </c>
      <c r="V1012" t="s">
        <v>16749</v>
      </c>
      <c r="W1012" t="s">
        <v>16750</v>
      </c>
      <c r="X1012" t="s">
        <v>16751</v>
      </c>
      <c r="Y1012" t="s">
        <v>16752</v>
      </c>
      <c r="Z1012" t="s">
        <v>16753</v>
      </c>
      <c r="AG1012">
        <v>33</v>
      </c>
      <c r="AH1012">
        <v>3</v>
      </c>
      <c r="AI1012">
        <v>3</v>
      </c>
      <c r="AJ1012">
        <v>0</v>
      </c>
      <c r="AK1012">
        <v>4</v>
      </c>
      <c r="AL1012" t="s">
        <v>16746</v>
      </c>
      <c r="AM1012" t="s">
        <v>16754</v>
      </c>
      <c r="AN1012" t="s">
        <v>16755</v>
      </c>
      <c r="AO1012" t="s">
        <v>16756</v>
      </c>
      <c r="AP1012" t="s">
        <v>16757</v>
      </c>
      <c r="AR1012" t="s">
        <v>16758</v>
      </c>
      <c r="AS1012" t="s">
        <v>16759</v>
      </c>
      <c r="AU1012">
        <v>2013</v>
      </c>
      <c r="AV1012">
        <v>54</v>
      </c>
      <c r="AW1012">
        <v>2</v>
      </c>
      <c r="BB1012">
        <v>199</v>
      </c>
      <c r="BC1012">
        <v>207</v>
      </c>
      <c r="BI1012">
        <v>9</v>
      </c>
      <c r="BJ1012" t="s">
        <v>680</v>
      </c>
      <c r="BK1012" t="s">
        <v>96</v>
      </c>
      <c r="BL1012" t="s">
        <v>680</v>
      </c>
      <c r="BM1012" t="s">
        <v>16760</v>
      </c>
      <c r="BR1012" t="s">
        <v>98</v>
      </c>
      <c r="BS1012" t="s">
        <v>16761</v>
      </c>
      <c r="BT1012" t="s">
        <v>16602</v>
      </c>
    </row>
    <row r="1013" spans="1:72">
      <c r="A1013" t="s">
        <v>72</v>
      </c>
      <c r="B1013" t="s">
        <v>16762</v>
      </c>
      <c r="F1013" t="s">
        <v>16763</v>
      </c>
      <c r="I1013" t="s">
        <v>16764</v>
      </c>
      <c r="J1013" t="s">
        <v>204</v>
      </c>
      <c r="M1013" t="s">
        <v>78</v>
      </c>
      <c r="N1013" t="s">
        <v>79</v>
      </c>
      <c r="T1013" t="s">
        <v>16765</v>
      </c>
      <c r="U1013" t="s">
        <v>16766</v>
      </c>
      <c r="V1013" t="s">
        <v>16767</v>
      </c>
      <c r="W1013" t="s">
        <v>16768</v>
      </c>
      <c r="X1013" t="s">
        <v>16769</v>
      </c>
      <c r="Y1013" t="s">
        <v>16770</v>
      </c>
      <c r="Z1013" t="s">
        <v>16771</v>
      </c>
      <c r="AA1013" t="s">
        <v>16772</v>
      </c>
      <c r="AB1013" t="s">
        <v>16773</v>
      </c>
      <c r="AC1013" t="s">
        <v>16774</v>
      </c>
      <c r="AD1013" t="s">
        <v>16775</v>
      </c>
      <c r="AE1013" t="s">
        <v>16776</v>
      </c>
      <c r="AG1013">
        <v>93</v>
      </c>
      <c r="AH1013">
        <v>2</v>
      </c>
      <c r="AI1013">
        <v>2</v>
      </c>
      <c r="AJ1013">
        <v>2</v>
      </c>
      <c r="AK1013">
        <v>7</v>
      </c>
      <c r="AL1013" t="s">
        <v>217</v>
      </c>
      <c r="AM1013" t="s">
        <v>218</v>
      </c>
      <c r="AN1013" t="s">
        <v>219</v>
      </c>
      <c r="AO1013" t="s">
        <v>220</v>
      </c>
      <c r="AP1013" t="s">
        <v>221</v>
      </c>
      <c r="AR1013" t="s">
        <v>222</v>
      </c>
      <c r="AS1013" t="s">
        <v>223</v>
      </c>
      <c r="AT1013" t="s">
        <v>119</v>
      </c>
      <c r="AU1013">
        <v>2023</v>
      </c>
      <c r="AV1013">
        <v>30</v>
      </c>
      <c r="AW1013">
        <v>36</v>
      </c>
      <c r="BB1013">
        <v>85390</v>
      </c>
      <c r="BC1013">
        <v>85404</v>
      </c>
      <c r="BE1013" t="s">
        <v>16777</v>
      </c>
      <c r="BF1013" t="s">
        <v>16778</v>
      </c>
      <c r="BH1013" t="s">
        <v>767</v>
      </c>
      <c r="BI1013">
        <v>15</v>
      </c>
      <c r="BJ1013" t="s">
        <v>144</v>
      </c>
      <c r="BK1013" t="s">
        <v>96</v>
      </c>
      <c r="BL1013" t="s">
        <v>145</v>
      </c>
      <c r="BM1013" t="s">
        <v>16779</v>
      </c>
      <c r="BN1013">
        <v>37382820</v>
      </c>
      <c r="BR1013" t="s">
        <v>98</v>
      </c>
      <c r="BS1013" t="s">
        <v>16780</v>
      </c>
      <c r="BT1013" t="s">
        <v>16602</v>
      </c>
    </row>
    <row r="1014" spans="1:72">
      <c r="A1014" t="s">
        <v>72</v>
      </c>
      <c r="B1014" t="s">
        <v>16781</v>
      </c>
      <c r="F1014" t="s">
        <v>16782</v>
      </c>
      <c r="I1014" t="s">
        <v>16783</v>
      </c>
      <c r="J1014" t="s">
        <v>3349</v>
      </c>
      <c r="M1014" t="s">
        <v>78</v>
      </c>
      <c r="N1014" t="s">
        <v>79</v>
      </c>
      <c r="T1014" t="s">
        <v>16784</v>
      </c>
      <c r="U1014" t="s">
        <v>16785</v>
      </c>
      <c r="V1014" t="s">
        <v>16786</v>
      </c>
      <c r="W1014" t="s">
        <v>16787</v>
      </c>
      <c r="X1014" t="s">
        <v>16788</v>
      </c>
      <c r="Y1014" t="s">
        <v>16789</v>
      </c>
      <c r="Z1014" t="s">
        <v>15515</v>
      </c>
      <c r="AA1014" t="s">
        <v>16790</v>
      </c>
      <c r="AB1014" t="s">
        <v>15517</v>
      </c>
      <c r="AC1014" t="s">
        <v>16791</v>
      </c>
      <c r="AD1014" t="s">
        <v>16792</v>
      </c>
      <c r="AE1014" t="s">
        <v>16793</v>
      </c>
      <c r="AG1014">
        <v>80</v>
      </c>
      <c r="AH1014">
        <v>44</v>
      </c>
      <c r="AI1014">
        <v>51</v>
      </c>
      <c r="AJ1014">
        <v>2</v>
      </c>
      <c r="AK1014">
        <v>100</v>
      </c>
      <c r="AL1014" t="s">
        <v>3362</v>
      </c>
      <c r="AM1014" t="s">
        <v>3363</v>
      </c>
      <c r="AN1014" t="s">
        <v>3364</v>
      </c>
      <c r="AO1014" t="s">
        <v>3365</v>
      </c>
      <c r="AP1014" t="s">
        <v>3366</v>
      </c>
      <c r="AR1014" t="s">
        <v>3367</v>
      </c>
      <c r="AS1014" t="s">
        <v>3368</v>
      </c>
      <c r="AT1014" t="s">
        <v>951</v>
      </c>
      <c r="AU1014">
        <v>2011</v>
      </c>
      <c r="AV1014">
        <v>74</v>
      </c>
      <c r="AW1014">
        <v>8</v>
      </c>
      <c r="BB1014">
        <v>2203</v>
      </c>
      <c r="BC1014">
        <v>2214</v>
      </c>
      <c r="BE1014" t="s">
        <v>16794</v>
      </c>
      <c r="BF1014" t="s">
        <v>16795</v>
      </c>
      <c r="BI1014">
        <v>12</v>
      </c>
      <c r="BJ1014" t="s">
        <v>121</v>
      </c>
      <c r="BK1014" t="s">
        <v>96</v>
      </c>
      <c r="BL1014" t="s">
        <v>122</v>
      </c>
      <c r="BM1014" t="s">
        <v>16796</v>
      </c>
      <c r="BN1014">
        <v>21835464</v>
      </c>
      <c r="BR1014" t="s">
        <v>98</v>
      </c>
      <c r="BS1014" t="s">
        <v>16797</v>
      </c>
      <c r="BT1014" t="s">
        <v>16602</v>
      </c>
    </row>
    <row r="1015" spans="1:72">
      <c r="A1015" t="s">
        <v>72</v>
      </c>
      <c r="B1015" t="s">
        <v>16798</v>
      </c>
      <c r="F1015" t="s">
        <v>16799</v>
      </c>
      <c r="I1015" t="s">
        <v>16800</v>
      </c>
      <c r="J1015" t="s">
        <v>595</v>
      </c>
      <c r="M1015" t="s">
        <v>78</v>
      </c>
      <c r="N1015" t="s">
        <v>79</v>
      </c>
      <c r="T1015" t="s">
        <v>16801</v>
      </c>
      <c r="U1015" t="s">
        <v>16802</v>
      </c>
      <c r="V1015" t="s">
        <v>16803</v>
      </c>
      <c r="W1015" t="s">
        <v>16804</v>
      </c>
      <c r="X1015" t="s">
        <v>16805</v>
      </c>
      <c r="Y1015" t="s">
        <v>16806</v>
      </c>
      <c r="Z1015" t="s">
        <v>16807</v>
      </c>
      <c r="AA1015" t="s">
        <v>16808</v>
      </c>
      <c r="AB1015" t="s">
        <v>16809</v>
      </c>
      <c r="AG1015">
        <v>40</v>
      </c>
      <c r="AH1015">
        <v>21</v>
      </c>
      <c r="AI1015">
        <v>26</v>
      </c>
      <c r="AJ1015">
        <v>0</v>
      </c>
      <c r="AK1015">
        <v>24</v>
      </c>
      <c r="AL1015" t="s">
        <v>112</v>
      </c>
      <c r="AM1015" t="s">
        <v>191</v>
      </c>
      <c r="AN1015" t="s">
        <v>192</v>
      </c>
      <c r="AO1015" t="s">
        <v>608</v>
      </c>
      <c r="AP1015" t="s">
        <v>609</v>
      </c>
      <c r="AR1015" t="s">
        <v>595</v>
      </c>
      <c r="AS1015" t="s">
        <v>610</v>
      </c>
      <c r="AT1015" t="s">
        <v>765</v>
      </c>
      <c r="AU1015">
        <v>2006</v>
      </c>
      <c r="AV1015">
        <v>15</v>
      </c>
      <c r="AW1015">
        <v>5</v>
      </c>
      <c r="BB1015">
        <v>477</v>
      </c>
      <c r="BC1015">
        <v>486</v>
      </c>
      <c r="BE1015" t="s">
        <v>16810</v>
      </c>
      <c r="BF1015" t="s">
        <v>16811</v>
      </c>
      <c r="BI1015">
        <v>10</v>
      </c>
      <c r="BJ1015" t="s">
        <v>612</v>
      </c>
      <c r="BK1015" t="s">
        <v>96</v>
      </c>
      <c r="BL1015" t="s">
        <v>122</v>
      </c>
      <c r="BM1015" t="s">
        <v>16812</v>
      </c>
      <c r="BN1015">
        <v>16708280</v>
      </c>
      <c r="BR1015" t="s">
        <v>98</v>
      </c>
      <c r="BS1015" t="s">
        <v>16813</v>
      </c>
      <c r="BT1015" t="s">
        <v>16602</v>
      </c>
    </row>
    <row r="1016" spans="1:72">
      <c r="A1016" t="s">
        <v>72</v>
      </c>
      <c r="B1016" t="s">
        <v>16814</v>
      </c>
      <c r="F1016" t="s">
        <v>16814</v>
      </c>
      <c r="I1016" t="s">
        <v>16815</v>
      </c>
      <c r="J1016" t="s">
        <v>8554</v>
      </c>
      <c r="M1016" t="s">
        <v>78</v>
      </c>
      <c r="N1016" t="s">
        <v>79</v>
      </c>
      <c r="U1016" t="s">
        <v>16816</v>
      </c>
      <c r="V1016" t="s">
        <v>16817</v>
      </c>
      <c r="Y1016" t="s">
        <v>16818</v>
      </c>
      <c r="AG1016">
        <v>45</v>
      </c>
      <c r="AH1016">
        <v>22</v>
      </c>
      <c r="AI1016">
        <v>25</v>
      </c>
      <c r="AJ1016">
        <v>0</v>
      </c>
      <c r="AK1016">
        <v>7</v>
      </c>
      <c r="AL1016" t="s">
        <v>16819</v>
      </c>
      <c r="AM1016" t="s">
        <v>6856</v>
      </c>
      <c r="AN1016" t="s">
        <v>16820</v>
      </c>
      <c r="AO1016" t="s">
        <v>8563</v>
      </c>
      <c r="AR1016" t="s">
        <v>8554</v>
      </c>
      <c r="AS1016" t="s">
        <v>8564</v>
      </c>
      <c r="AT1016" t="s">
        <v>305</v>
      </c>
      <c r="AU1016">
        <v>1995</v>
      </c>
      <c r="AV1016">
        <v>18</v>
      </c>
      <c r="AW1016">
        <v>3</v>
      </c>
      <c r="BB1016">
        <v>445</v>
      </c>
      <c r="BC1016">
        <v>455</v>
      </c>
      <c r="BE1016" t="s">
        <v>16821</v>
      </c>
      <c r="BF1016" t="s">
        <v>16822</v>
      </c>
      <c r="BI1016">
        <v>11</v>
      </c>
      <c r="BJ1016" t="s">
        <v>247</v>
      </c>
      <c r="BK1016" t="s">
        <v>96</v>
      </c>
      <c r="BL1016" t="s">
        <v>248</v>
      </c>
      <c r="BM1016" t="s">
        <v>16823</v>
      </c>
      <c r="BR1016" t="s">
        <v>98</v>
      </c>
      <c r="BS1016" t="s">
        <v>16824</v>
      </c>
      <c r="BT1016" t="s">
        <v>16602</v>
      </c>
    </row>
    <row r="1017" spans="1:72">
      <c r="A1017" t="s">
        <v>72</v>
      </c>
      <c r="B1017" t="s">
        <v>16825</v>
      </c>
      <c r="F1017" t="s">
        <v>16826</v>
      </c>
      <c r="I1017" t="s">
        <v>16827</v>
      </c>
      <c r="J1017" t="s">
        <v>179</v>
      </c>
      <c r="M1017" t="s">
        <v>78</v>
      </c>
      <c r="N1017" t="s">
        <v>79</v>
      </c>
      <c r="T1017" t="s">
        <v>16828</v>
      </c>
      <c r="U1017" t="s">
        <v>16829</v>
      </c>
      <c r="V1017" t="s">
        <v>16830</v>
      </c>
      <c r="W1017" t="s">
        <v>16831</v>
      </c>
      <c r="X1017" t="s">
        <v>16832</v>
      </c>
      <c r="Y1017" t="s">
        <v>16833</v>
      </c>
      <c r="Z1017" t="s">
        <v>16834</v>
      </c>
      <c r="AA1017" t="s">
        <v>16835</v>
      </c>
      <c r="AB1017" t="s">
        <v>16836</v>
      </c>
      <c r="AG1017">
        <v>80</v>
      </c>
      <c r="AH1017">
        <v>8</v>
      </c>
      <c r="AI1017">
        <v>8</v>
      </c>
      <c r="AJ1017">
        <v>2</v>
      </c>
      <c r="AK1017">
        <v>9</v>
      </c>
      <c r="AL1017" t="s">
        <v>112</v>
      </c>
      <c r="AM1017" t="s">
        <v>191</v>
      </c>
      <c r="AN1017" t="s">
        <v>192</v>
      </c>
      <c r="AO1017" t="s">
        <v>193</v>
      </c>
      <c r="AP1017" t="s">
        <v>194</v>
      </c>
      <c r="AR1017" t="s">
        <v>195</v>
      </c>
      <c r="AS1017" t="s">
        <v>196</v>
      </c>
      <c r="AT1017" t="s">
        <v>142</v>
      </c>
      <c r="AU1017">
        <v>2022</v>
      </c>
      <c r="AV1017">
        <v>194</v>
      </c>
      <c r="AW1017">
        <v>6</v>
      </c>
      <c r="BD1017">
        <v>397</v>
      </c>
      <c r="BE1017" t="s">
        <v>16837</v>
      </c>
      <c r="BF1017" t="s">
        <v>16838</v>
      </c>
      <c r="BI1017">
        <v>15</v>
      </c>
      <c r="BJ1017" t="s">
        <v>144</v>
      </c>
      <c r="BK1017" t="s">
        <v>96</v>
      </c>
      <c r="BL1017" t="s">
        <v>145</v>
      </c>
      <c r="BM1017" t="s">
        <v>16839</v>
      </c>
      <c r="BN1017">
        <v>35488006</v>
      </c>
      <c r="BR1017" t="s">
        <v>98</v>
      </c>
      <c r="BS1017" t="s">
        <v>16840</v>
      </c>
      <c r="BT1017" t="s">
        <v>16602</v>
      </c>
    </row>
    <row r="1018" spans="1:72">
      <c r="A1018" t="s">
        <v>72</v>
      </c>
      <c r="B1018" t="s">
        <v>16841</v>
      </c>
      <c r="F1018" t="s">
        <v>16842</v>
      </c>
      <c r="I1018" t="s">
        <v>16843</v>
      </c>
      <c r="J1018" t="s">
        <v>204</v>
      </c>
      <c r="M1018" t="s">
        <v>78</v>
      </c>
      <c r="N1018" t="s">
        <v>79</v>
      </c>
      <c r="T1018" t="s">
        <v>16844</v>
      </c>
      <c r="U1018" t="s">
        <v>16845</v>
      </c>
      <c r="V1018" t="s">
        <v>16846</v>
      </c>
      <c r="W1018" t="s">
        <v>16847</v>
      </c>
      <c r="X1018" t="s">
        <v>16848</v>
      </c>
      <c r="Y1018" t="s">
        <v>16849</v>
      </c>
      <c r="Z1018" t="s">
        <v>16850</v>
      </c>
      <c r="AA1018" t="s">
        <v>16851</v>
      </c>
      <c r="AB1018" t="s">
        <v>16852</v>
      </c>
      <c r="AG1018">
        <v>117</v>
      </c>
      <c r="AH1018">
        <v>17</v>
      </c>
      <c r="AI1018">
        <v>17</v>
      </c>
      <c r="AJ1018">
        <v>0</v>
      </c>
      <c r="AK1018">
        <v>18</v>
      </c>
      <c r="AL1018" t="s">
        <v>217</v>
      </c>
      <c r="AM1018" t="s">
        <v>218</v>
      </c>
      <c r="AN1018" t="s">
        <v>219</v>
      </c>
      <c r="AO1018" t="s">
        <v>220</v>
      </c>
      <c r="AP1018" t="s">
        <v>221</v>
      </c>
      <c r="AR1018" t="s">
        <v>222</v>
      </c>
      <c r="AS1018" t="s">
        <v>223</v>
      </c>
      <c r="AT1018" t="s">
        <v>170</v>
      </c>
      <c r="AU1018">
        <v>2020</v>
      </c>
      <c r="AV1018">
        <v>27</v>
      </c>
      <c r="AW1018">
        <v>13</v>
      </c>
      <c r="BB1018">
        <v>15607</v>
      </c>
      <c r="BC1018">
        <v>15623</v>
      </c>
      <c r="BE1018" t="s">
        <v>16853</v>
      </c>
      <c r="BF1018" t="s">
        <v>16854</v>
      </c>
      <c r="BH1018" t="s">
        <v>16855</v>
      </c>
      <c r="BI1018">
        <v>17</v>
      </c>
      <c r="BJ1018" t="s">
        <v>144</v>
      </c>
      <c r="BK1018" t="s">
        <v>96</v>
      </c>
      <c r="BL1018" t="s">
        <v>145</v>
      </c>
      <c r="BM1018" t="s">
        <v>16856</v>
      </c>
      <c r="BN1018">
        <v>32128728</v>
      </c>
      <c r="BO1018" t="s">
        <v>1752</v>
      </c>
      <c r="BR1018" t="s">
        <v>98</v>
      </c>
      <c r="BS1018" t="s">
        <v>16857</v>
      </c>
      <c r="BT1018" t="s">
        <v>16602</v>
      </c>
    </row>
    <row r="1019" spans="1:72">
      <c r="A1019" t="s">
        <v>72</v>
      </c>
      <c r="B1019" t="s">
        <v>16858</v>
      </c>
      <c r="F1019" t="s">
        <v>16859</v>
      </c>
      <c r="I1019" t="s">
        <v>16860</v>
      </c>
      <c r="J1019" t="s">
        <v>16861</v>
      </c>
      <c r="M1019" t="s">
        <v>78</v>
      </c>
      <c r="N1019" t="s">
        <v>79</v>
      </c>
      <c r="T1019" t="s">
        <v>16862</v>
      </c>
      <c r="U1019" t="s">
        <v>16863</v>
      </c>
      <c r="V1019" t="s">
        <v>16864</v>
      </c>
      <c r="W1019" t="s">
        <v>16865</v>
      </c>
      <c r="X1019" t="s">
        <v>14228</v>
      </c>
      <c r="Y1019" t="s">
        <v>16866</v>
      </c>
      <c r="Z1019" t="s">
        <v>3774</v>
      </c>
      <c r="AA1019" t="s">
        <v>3775</v>
      </c>
      <c r="AG1019">
        <v>27</v>
      </c>
      <c r="AH1019">
        <v>1</v>
      </c>
      <c r="AI1019">
        <v>1</v>
      </c>
      <c r="AJ1019">
        <v>1</v>
      </c>
      <c r="AK1019">
        <v>5</v>
      </c>
      <c r="AL1019" t="s">
        <v>16867</v>
      </c>
      <c r="AM1019" t="s">
        <v>16868</v>
      </c>
      <c r="AN1019" t="s">
        <v>16869</v>
      </c>
      <c r="AO1019" t="s">
        <v>16870</v>
      </c>
      <c r="AP1019" t="s">
        <v>16871</v>
      </c>
      <c r="AR1019" t="s">
        <v>16872</v>
      </c>
      <c r="AS1019" t="s">
        <v>16873</v>
      </c>
      <c r="AT1019" t="s">
        <v>93</v>
      </c>
      <c r="AU1019">
        <v>2021</v>
      </c>
      <c r="AV1019">
        <v>29</v>
      </c>
      <c r="AW1019">
        <v>2</v>
      </c>
      <c r="BB1019">
        <v>189</v>
      </c>
      <c r="BC1019">
        <v>200</v>
      </c>
      <c r="BE1019" t="s">
        <v>16874</v>
      </c>
      <c r="BF1019" t="s">
        <v>16875</v>
      </c>
      <c r="BI1019">
        <v>12</v>
      </c>
      <c r="BJ1019" t="s">
        <v>16876</v>
      </c>
      <c r="BK1019" t="s">
        <v>96</v>
      </c>
      <c r="BL1019" t="s">
        <v>16877</v>
      </c>
      <c r="BM1019" t="s">
        <v>16878</v>
      </c>
      <c r="BO1019" t="s">
        <v>873</v>
      </c>
      <c r="BR1019" t="s">
        <v>98</v>
      </c>
      <c r="BS1019" t="s">
        <v>16879</v>
      </c>
      <c r="BT1019" t="s">
        <v>16602</v>
      </c>
    </row>
    <row r="1020" spans="1:72">
      <c r="A1020" t="s">
        <v>72</v>
      </c>
      <c r="B1020" t="s">
        <v>16880</v>
      </c>
      <c r="F1020" t="s">
        <v>16881</v>
      </c>
      <c r="I1020" t="s">
        <v>16882</v>
      </c>
      <c r="J1020" t="s">
        <v>3349</v>
      </c>
      <c r="M1020" t="s">
        <v>78</v>
      </c>
      <c r="N1020" t="s">
        <v>79</v>
      </c>
      <c r="T1020" t="s">
        <v>16883</v>
      </c>
      <c r="U1020" t="s">
        <v>16884</v>
      </c>
      <c r="V1020" t="s">
        <v>16885</v>
      </c>
      <c r="W1020" t="s">
        <v>16886</v>
      </c>
      <c r="X1020" t="s">
        <v>16887</v>
      </c>
      <c r="Y1020" t="s">
        <v>16888</v>
      </c>
      <c r="Z1020" t="s">
        <v>16889</v>
      </c>
      <c r="AA1020" t="s">
        <v>16890</v>
      </c>
      <c r="AC1020" t="s">
        <v>16891</v>
      </c>
      <c r="AD1020" t="s">
        <v>16892</v>
      </c>
      <c r="AE1020" t="s">
        <v>16893</v>
      </c>
      <c r="AG1020">
        <v>50</v>
      </c>
      <c r="AH1020">
        <v>273</v>
      </c>
      <c r="AI1020">
        <v>309</v>
      </c>
      <c r="AJ1020">
        <v>6</v>
      </c>
      <c r="AK1020">
        <v>254</v>
      </c>
      <c r="AL1020" t="s">
        <v>3362</v>
      </c>
      <c r="AM1020" t="s">
        <v>3363</v>
      </c>
      <c r="AN1020" t="s">
        <v>3364</v>
      </c>
      <c r="AO1020" t="s">
        <v>3365</v>
      </c>
      <c r="AP1020" t="s">
        <v>3366</v>
      </c>
      <c r="AR1020" t="s">
        <v>3367</v>
      </c>
      <c r="AS1020" t="s">
        <v>3368</v>
      </c>
      <c r="AT1020" t="s">
        <v>16894</v>
      </c>
      <c r="AU1020">
        <v>2012</v>
      </c>
      <c r="AV1020">
        <v>81</v>
      </c>
      <c r="BB1020">
        <v>55</v>
      </c>
      <c r="BC1020">
        <v>64</v>
      </c>
      <c r="BE1020" t="s">
        <v>16895</v>
      </c>
      <c r="BF1020" t="s">
        <v>16896</v>
      </c>
      <c r="BI1020">
        <v>10</v>
      </c>
      <c r="BJ1020" t="s">
        <v>121</v>
      </c>
      <c r="BK1020" t="s">
        <v>96</v>
      </c>
      <c r="BL1020" t="s">
        <v>122</v>
      </c>
      <c r="BM1020" t="s">
        <v>16897</v>
      </c>
      <c r="BN1020">
        <v>22633085</v>
      </c>
      <c r="BR1020" t="s">
        <v>98</v>
      </c>
      <c r="BS1020" t="s">
        <v>16898</v>
      </c>
      <c r="BT1020" t="s">
        <v>16602</v>
      </c>
    </row>
    <row r="1021" spans="1:72">
      <c r="A1021" t="s">
        <v>72</v>
      </c>
      <c r="B1021" t="s">
        <v>16899</v>
      </c>
      <c r="F1021" t="s">
        <v>16900</v>
      </c>
      <c r="I1021" t="s">
        <v>16901</v>
      </c>
      <c r="J1021" t="s">
        <v>204</v>
      </c>
      <c r="M1021" t="s">
        <v>78</v>
      </c>
      <c r="N1021" t="s">
        <v>79</v>
      </c>
      <c r="T1021" t="s">
        <v>16902</v>
      </c>
      <c r="U1021" t="s">
        <v>16903</v>
      </c>
      <c r="V1021" t="s">
        <v>16904</v>
      </c>
      <c r="W1021" t="s">
        <v>16905</v>
      </c>
      <c r="X1021" t="s">
        <v>6315</v>
      </c>
      <c r="Y1021" t="s">
        <v>16906</v>
      </c>
      <c r="Z1021" t="s">
        <v>6317</v>
      </c>
      <c r="AG1021">
        <v>58</v>
      </c>
      <c r="AH1021">
        <v>5</v>
      </c>
      <c r="AI1021">
        <v>5</v>
      </c>
      <c r="AJ1021">
        <v>0</v>
      </c>
      <c r="AK1021">
        <v>3</v>
      </c>
      <c r="AL1021" t="s">
        <v>217</v>
      </c>
      <c r="AM1021" t="s">
        <v>218</v>
      </c>
      <c r="AN1021" t="s">
        <v>219</v>
      </c>
      <c r="AO1021" t="s">
        <v>220</v>
      </c>
      <c r="AP1021" t="s">
        <v>221</v>
      </c>
      <c r="AR1021" t="s">
        <v>222</v>
      </c>
      <c r="AS1021" t="s">
        <v>223</v>
      </c>
      <c r="AT1021" t="s">
        <v>93</v>
      </c>
      <c r="AU1021">
        <v>2022</v>
      </c>
      <c r="AV1021">
        <v>29</v>
      </c>
      <c r="AW1021">
        <v>19</v>
      </c>
      <c r="BB1021">
        <v>28675</v>
      </c>
      <c r="BC1021">
        <v>28687</v>
      </c>
      <c r="BE1021" t="s">
        <v>16907</v>
      </c>
      <c r="BF1021" t="s">
        <v>16908</v>
      </c>
      <c r="BH1021" t="s">
        <v>227</v>
      </c>
      <c r="BI1021">
        <v>13</v>
      </c>
      <c r="BJ1021" t="s">
        <v>144</v>
      </c>
      <c r="BK1021" t="s">
        <v>96</v>
      </c>
      <c r="BL1021" t="s">
        <v>145</v>
      </c>
      <c r="BM1021" t="s">
        <v>16909</v>
      </c>
      <c r="BN1021">
        <v>34988792</v>
      </c>
      <c r="BR1021" t="s">
        <v>98</v>
      </c>
      <c r="BS1021" t="s">
        <v>16910</v>
      </c>
      <c r="BT1021" t="s">
        <v>16602</v>
      </c>
    </row>
    <row r="1022" spans="1:72">
      <c r="A1022" t="s">
        <v>72</v>
      </c>
      <c r="B1022" t="s">
        <v>16911</v>
      </c>
      <c r="F1022" t="s">
        <v>16912</v>
      </c>
      <c r="I1022" t="s">
        <v>16913</v>
      </c>
      <c r="J1022" t="s">
        <v>421</v>
      </c>
      <c r="M1022" t="s">
        <v>78</v>
      </c>
      <c r="N1022" t="s">
        <v>79</v>
      </c>
      <c r="T1022" t="s">
        <v>16914</v>
      </c>
      <c r="U1022" t="s">
        <v>16915</v>
      </c>
      <c r="V1022" t="s">
        <v>16916</v>
      </c>
      <c r="W1022" t="s">
        <v>16917</v>
      </c>
      <c r="X1022" t="s">
        <v>16918</v>
      </c>
      <c r="Y1022" t="s">
        <v>16919</v>
      </c>
      <c r="AA1022" t="s">
        <v>4408</v>
      </c>
      <c r="AB1022" t="s">
        <v>16920</v>
      </c>
      <c r="AC1022" t="s">
        <v>16921</v>
      </c>
      <c r="AD1022" t="s">
        <v>16922</v>
      </c>
      <c r="AE1022" t="s">
        <v>16923</v>
      </c>
      <c r="AG1022">
        <v>77</v>
      </c>
      <c r="AH1022">
        <v>31</v>
      </c>
      <c r="AI1022">
        <v>35</v>
      </c>
      <c r="AJ1022">
        <v>2</v>
      </c>
      <c r="AK1022">
        <v>39</v>
      </c>
      <c r="AL1022" t="s">
        <v>430</v>
      </c>
      <c r="AM1022" t="s">
        <v>137</v>
      </c>
      <c r="AN1022" t="s">
        <v>431</v>
      </c>
      <c r="AO1022" t="s">
        <v>432</v>
      </c>
      <c r="AP1022" t="s">
        <v>1394</v>
      </c>
      <c r="AR1022" t="s">
        <v>433</v>
      </c>
      <c r="AS1022" t="s">
        <v>434</v>
      </c>
      <c r="AT1022" t="s">
        <v>951</v>
      </c>
      <c r="AU1022">
        <v>2010</v>
      </c>
      <c r="AV1022">
        <v>158</v>
      </c>
      <c r="AW1022">
        <v>11</v>
      </c>
      <c r="BB1022">
        <v>3401</v>
      </c>
      <c r="BC1022">
        <v>3410</v>
      </c>
      <c r="BE1022" t="s">
        <v>16924</v>
      </c>
      <c r="BF1022" t="s">
        <v>16925</v>
      </c>
      <c r="BI1022">
        <v>10</v>
      </c>
      <c r="BJ1022" t="s">
        <v>144</v>
      </c>
      <c r="BK1022" t="s">
        <v>96</v>
      </c>
      <c r="BL1022" t="s">
        <v>145</v>
      </c>
      <c r="BM1022" t="s">
        <v>16926</v>
      </c>
      <c r="BN1022">
        <v>20800936</v>
      </c>
      <c r="BR1022" t="s">
        <v>98</v>
      </c>
      <c r="BS1022" t="s">
        <v>16927</v>
      </c>
      <c r="BT1022" t="s">
        <v>16602</v>
      </c>
    </row>
    <row r="1023" spans="1:72">
      <c r="A1023" t="s">
        <v>72</v>
      </c>
      <c r="B1023" t="s">
        <v>16928</v>
      </c>
      <c r="F1023" t="s">
        <v>16929</v>
      </c>
      <c r="I1023" t="s">
        <v>16930</v>
      </c>
      <c r="J1023" t="s">
        <v>5616</v>
      </c>
      <c r="M1023" t="s">
        <v>78</v>
      </c>
      <c r="N1023" t="s">
        <v>79</v>
      </c>
      <c r="T1023" t="s">
        <v>16931</v>
      </c>
      <c r="U1023" t="s">
        <v>16932</v>
      </c>
      <c r="V1023" t="s">
        <v>16933</v>
      </c>
      <c r="W1023" t="s">
        <v>16934</v>
      </c>
      <c r="X1023" t="s">
        <v>16935</v>
      </c>
      <c r="Y1023" t="s">
        <v>16936</v>
      </c>
      <c r="Z1023" t="s">
        <v>16937</v>
      </c>
      <c r="AA1023" t="s">
        <v>16938</v>
      </c>
      <c r="AB1023" t="s">
        <v>16939</v>
      </c>
      <c r="AC1023" t="s">
        <v>16940</v>
      </c>
      <c r="AD1023" t="s">
        <v>16941</v>
      </c>
      <c r="AE1023" t="s">
        <v>16942</v>
      </c>
      <c r="AG1023">
        <v>103</v>
      </c>
      <c r="AH1023">
        <v>6</v>
      </c>
      <c r="AI1023">
        <v>6</v>
      </c>
      <c r="AJ1023">
        <v>0</v>
      </c>
      <c r="AK1023">
        <v>24</v>
      </c>
      <c r="AL1023" t="s">
        <v>1566</v>
      </c>
      <c r="AM1023" t="s">
        <v>1567</v>
      </c>
      <c r="AN1023" t="s">
        <v>1568</v>
      </c>
      <c r="AP1023" t="s">
        <v>5629</v>
      </c>
      <c r="AR1023" t="s">
        <v>5630</v>
      </c>
      <c r="AS1023" t="s">
        <v>5631</v>
      </c>
      <c r="AT1023" t="s">
        <v>119</v>
      </c>
      <c r="AU1023">
        <v>2021</v>
      </c>
      <c r="AV1023">
        <v>11</v>
      </c>
      <c r="AW1023">
        <v>8</v>
      </c>
      <c r="BD1023">
        <v>1978</v>
      </c>
      <c r="BE1023" t="s">
        <v>16943</v>
      </c>
      <c r="BF1023" t="s">
        <v>16944</v>
      </c>
      <c r="BI1023">
        <v>20</v>
      </c>
      <c r="BJ1023" t="s">
        <v>5633</v>
      </c>
      <c r="BK1023" t="s">
        <v>96</v>
      </c>
      <c r="BL1023" t="s">
        <v>5634</v>
      </c>
      <c r="BM1023" t="s">
        <v>16945</v>
      </c>
      <c r="BN1023">
        <v>34443810</v>
      </c>
      <c r="BO1023" t="s">
        <v>2155</v>
      </c>
      <c r="BR1023" t="s">
        <v>98</v>
      </c>
      <c r="BS1023" t="s">
        <v>16946</v>
      </c>
      <c r="BT1023" t="s">
        <v>16602</v>
      </c>
    </row>
    <row r="1024" spans="1:72">
      <c r="A1024" t="s">
        <v>72</v>
      </c>
      <c r="B1024" t="s">
        <v>16947</v>
      </c>
      <c r="F1024" t="s">
        <v>16947</v>
      </c>
      <c r="I1024" t="s">
        <v>16948</v>
      </c>
      <c r="J1024" t="s">
        <v>232</v>
      </c>
      <c r="M1024" t="s">
        <v>78</v>
      </c>
      <c r="N1024" t="s">
        <v>79</v>
      </c>
      <c r="V1024" t="s">
        <v>16949</v>
      </c>
      <c r="Y1024" t="s">
        <v>16950</v>
      </c>
      <c r="AG1024">
        <v>14</v>
      </c>
      <c r="AH1024">
        <v>54</v>
      </c>
      <c r="AI1024">
        <v>56</v>
      </c>
      <c r="AJ1024">
        <v>0</v>
      </c>
      <c r="AK1024">
        <v>2</v>
      </c>
      <c r="AL1024" t="s">
        <v>136</v>
      </c>
      <c r="AM1024" t="s">
        <v>137</v>
      </c>
      <c r="AN1024" t="s">
        <v>138</v>
      </c>
      <c r="AO1024" t="s">
        <v>240</v>
      </c>
      <c r="AP1024" t="s">
        <v>241</v>
      </c>
      <c r="AR1024" t="s">
        <v>242</v>
      </c>
      <c r="AS1024" t="s">
        <v>243</v>
      </c>
      <c r="AU1024">
        <v>1985</v>
      </c>
      <c r="AV1024">
        <v>16</v>
      </c>
      <c r="AW1024">
        <v>1</v>
      </c>
      <c r="BB1024">
        <v>22</v>
      </c>
      <c r="BC1024">
        <v>28</v>
      </c>
      <c r="BE1024" t="s">
        <v>16951</v>
      </c>
      <c r="BF1024" t="s">
        <v>16952</v>
      </c>
      <c r="BI1024">
        <v>7</v>
      </c>
      <c r="BJ1024" t="s">
        <v>247</v>
      </c>
      <c r="BK1024" t="s">
        <v>96</v>
      </c>
      <c r="BL1024" t="s">
        <v>248</v>
      </c>
      <c r="BM1024" t="s">
        <v>16953</v>
      </c>
      <c r="BR1024" t="s">
        <v>98</v>
      </c>
      <c r="BS1024" t="s">
        <v>16954</v>
      </c>
      <c r="BT1024" t="s">
        <v>16602</v>
      </c>
    </row>
    <row r="1025" spans="1:72">
      <c r="A1025" t="s">
        <v>72</v>
      </c>
      <c r="B1025" t="s">
        <v>16955</v>
      </c>
      <c r="F1025" t="s">
        <v>16956</v>
      </c>
      <c r="I1025" t="s">
        <v>16957</v>
      </c>
      <c r="J1025" t="s">
        <v>232</v>
      </c>
      <c r="M1025" t="s">
        <v>78</v>
      </c>
      <c r="N1025" t="s">
        <v>79</v>
      </c>
      <c r="T1025" t="s">
        <v>16958</v>
      </c>
      <c r="U1025" t="s">
        <v>16959</v>
      </c>
      <c r="V1025" t="s">
        <v>16960</v>
      </c>
      <c r="W1025" t="s">
        <v>16961</v>
      </c>
      <c r="X1025" t="s">
        <v>16962</v>
      </c>
      <c r="Y1025" t="s">
        <v>16963</v>
      </c>
      <c r="Z1025" t="s">
        <v>16964</v>
      </c>
      <c r="AA1025" t="s">
        <v>16965</v>
      </c>
      <c r="AB1025" t="s">
        <v>16966</v>
      </c>
      <c r="AC1025" t="s">
        <v>16967</v>
      </c>
      <c r="AD1025" t="s">
        <v>16968</v>
      </c>
      <c r="AE1025" t="s">
        <v>16969</v>
      </c>
      <c r="AG1025">
        <v>108</v>
      </c>
      <c r="AH1025">
        <v>8</v>
      </c>
      <c r="AI1025">
        <v>9</v>
      </c>
      <c r="AJ1025">
        <v>1</v>
      </c>
      <c r="AK1025">
        <v>10</v>
      </c>
      <c r="AL1025" t="s">
        <v>136</v>
      </c>
      <c r="AM1025" t="s">
        <v>137</v>
      </c>
      <c r="AN1025" t="s">
        <v>138</v>
      </c>
      <c r="AO1025" t="s">
        <v>240</v>
      </c>
      <c r="AP1025" t="s">
        <v>241</v>
      </c>
      <c r="AR1025" t="s">
        <v>242</v>
      </c>
      <c r="AS1025" t="s">
        <v>243</v>
      </c>
      <c r="AT1025" t="s">
        <v>93</v>
      </c>
      <c r="AU1025">
        <v>2018</v>
      </c>
      <c r="AV1025">
        <v>129</v>
      </c>
      <c r="AW1025">
        <v>2</v>
      </c>
      <c r="BB1025">
        <v>681</v>
      </c>
      <c r="BC1025">
        <v>688</v>
      </c>
      <c r="BE1025" t="s">
        <v>16970</v>
      </c>
      <c r="BF1025" t="s">
        <v>16971</v>
      </c>
      <c r="BI1025">
        <v>8</v>
      </c>
      <c r="BJ1025" t="s">
        <v>247</v>
      </c>
      <c r="BK1025" t="s">
        <v>96</v>
      </c>
      <c r="BL1025" t="s">
        <v>248</v>
      </c>
      <c r="BM1025" t="s">
        <v>11207</v>
      </c>
      <c r="BN1025">
        <v>29110893</v>
      </c>
      <c r="BO1025" t="s">
        <v>370</v>
      </c>
      <c r="BR1025" t="s">
        <v>98</v>
      </c>
      <c r="BS1025" t="s">
        <v>16972</v>
      </c>
      <c r="BT1025" t="s">
        <v>16602</v>
      </c>
    </row>
    <row r="1026" spans="1:72">
      <c r="A1026" t="s">
        <v>72</v>
      </c>
      <c r="B1026" t="s">
        <v>16973</v>
      </c>
      <c r="F1026" t="s">
        <v>16974</v>
      </c>
      <c r="I1026" t="s">
        <v>16975</v>
      </c>
      <c r="J1026" t="s">
        <v>204</v>
      </c>
      <c r="M1026" t="s">
        <v>78</v>
      </c>
      <c r="N1026" t="s">
        <v>79</v>
      </c>
      <c r="T1026" t="s">
        <v>16976</v>
      </c>
      <c r="U1026" t="s">
        <v>16977</v>
      </c>
      <c r="V1026" t="s">
        <v>16978</v>
      </c>
      <c r="W1026" t="s">
        <v>16979</v>
      </c>
      <c r="X1026" t="s">
        <v>16980</v>
      </c>
      <c r="Y1026" t="s">
        <v>16981</v>
      </c>
      <c r="Z1026" t="s">
        <v>16982</v>
      </c>
      <c r="AA1026" t="s">
        <v>16983</v>
      </c>
      <c r="AB1026" t="s">
        <v>16984</v>
      </c>
      <c r="AC1026" t="s">
        <v>16985</v>
      </c>
      <c r="AD1026" t="s">
        <v>16986</v>
      </c>
      <c r="AE1026" t="s">
        <v>16987</v>
      </c>
      <c r="AG1026">
        <v>53</v>
      </c>
      <c r="AH1026">
        <v>10</v>
      </c>
      <c r="AI1026">
        <v>11</v>
      </c>
      <c r="AJ1026">
        <v>1</v>
      </c>
      <c r="AK1026">
        <v>10</v>
      </c>
      <c r="AL1026" t="s">
        <v>217</v>
      </c>
      <c r="AM1026" t="s">
        <v>218</v>
      </c>
      <c r="AN1026" t="s">
        <v>219</v>
      </c>
      <c r="AO1026" t="s">
        <v>220</v>
      </c>
      <c r="AP1026" t="s">
        <v>221</v>
      </c>
      <c r="AR1026" t="s">
        <v>222</v>
      </c>
      <c r="AS1026" t="s">
        <v>223</v>
      </c>
      <c r="AT1026" t="s">
        <v>1470</v>
      </c>
      <c r="AU1026">
        <v>2019</v>
      </c>
      <c r="AV1026">
        <v>26</v>
      </c>
      <c r="AW1026">
        <v>3</v>
      </c>
      <c r="BB1026">
        <v>2710</v>
      </c>
      <c r="BC1026">
        <v>2721</v>
      </c>
      <c r="BE1026" t="s">
        <v>16988</v>
      </c>
      <c r="BF1026" t="s">
        <v>16989</v>
      </c>
      <c r="BI1026">
        <v>12</v>
      </c>
      <c r="BJ1026" t="s">
        <v>144</v>
      </c>
      <c r="BK1026" t="s">
        <v>96</v>
      </c>
      <c r="BL1026" t="s">
        <v>145</v>
      </c>
      <c r="BM1026" t="s">
        <v>16990</v>
      </c>
      <c r="BN1026">
        <v>30484047</v>
      </c>
      <c r="BR1026" t="s">
        <v>98</v>
      </c>
      <c r="BS1026" t="s">
        <v>16991</v>
      </c>
      <c r="BT1026" t="s">
        <v>16602</v>
      </c>
    </row>
    <row r="1027" spans="1:72">
      <c r="A1027" t="s">
        <v>72</v>
      </c>
      <c r="B1027" t="s">
        <v>16992</v>
      </c>
      <c r="F1027" t="s">
        <v>16993</v>
      </c>
      <c r="I1027" t="s">
        <v>16994</v>
      </c>
      <c r="J1027" t="s">
        <v>641</v>
      </c>
      <c r="M1027" t="s">
        <v>78</v>
      </c>
      <c r="N1027" t="s">
        <v>79</v>
      </c>
      <c r="T1027" t="s">
        <v>16995</v>
      </c>
      <c r="U1027" t="s">
        <v>16996</v>
      </c>
      <c r="V1027" t="s">
        <v>16997</v>
      </c>
      <c r="W1027" t="s">
        <v>16998</v>
      </c>
      <c r="X1027" t="s">
        <v>16093</v>
      </c>
      <c r="Y1027" t="s">
        <v>16999</v>
      </c>
      <c r="Z1027" t="s">
        <v>17000</v>
      </c>
      <c r="AA1027" t="s">
        <v>17001</v>
      </c>
      <c r="AB1027" t="s">
        <v>17002</v>
      </c>
      <c r="AC1027" t="s">
        <v>17003</v>
      </c>
      <c r="AD1027" t="s">
        <v>17004</v>
      </c>
      <c r="AE1027" t="s">
        <v>17005</v>
      </c>
      <c r="AG1027">
        <v>83</v>
      </c>
      <c r="AH1027">
        <v>21</v>
      </c>
      <c r="AI1027">
        <v>22</v>
      </c>
      <c r="AJ1027">
        <v>1</v>
      </c>
      <c r="AK1027">
        <v>53</v>
      </c>
      <c r="AL1027" t="s">
        <v>919</v>
      </c>
      <c r="AM1027" t="s">
        <v>651</v>
      </c>
      <c r="AN1027" t="s">
        <v>920</v>
      </c>
      <c r="AO1027" t="s">
        <v>653</v>
      </c>
      <c r="AP1027" t="s">
        <v>654</v>
      </c>
      <c r="AR1027" t="s">
        <v>655</v>
      </c>
      <c r="AS1027" t="s">
        <v>656</v>
      </c>
      <c r="AT1027" t="s">
        <v>197</v>
      </c>
      <c r="AU1027">
        <v>2018</v>
      </c>
      <c r="AV1027">
        <v>205</v>
      </c>
      <c r="BB1027">
        <v>1</v>
      </c>
      <c r="BC1027">
        <v>10</v>
      </c>
      <c r="BE1027" t="s">
        <v>17006</v>
      </c>
      <c r="BF1027" t="s">
        <v>17007</v>
      </c>
      <c r="BI1027">
        <v>10</v>
      </c>
      <c r="BJ1027" t="s">
        <v>659</v>
      </c>
      <c r="BK1027" t="s">
        <v>96</v>
      </c>
      <c r="BL1027" t="s">
        <v>659</v>
      </c>
      <c r="BM1027" t="s">
        <v>17008</v>
      </c>
      <c r="BN1027">
        <v>30296660</v>
      </c>
      <c r="BR1027" t="s">
        <v>98</v>
      </c>
      <c r="BS1027" t="s">
        <v>17009</v>
      </c>
      <c r="BT1027" t="s">
        <v>16602</v>
      </c>
    </row>
    <row r="1028" spans="1:72">
      <c r="A1028" t="s">
        <v>72</v>
      </c>
      <c r="B1028" t="s">
        <v>17010</v>
      </c>
      <c r="F1028" t="s">
        <v>17011</v>
      </c>
      <c r="I1028" t="s">
        <v>17012</v>
      </c>
      <c r="J1028" t="s">
        <v>7477</v>
      </c>
      <c r="M1028" t="s">
        <v>78</v>
      </c>
      <c r="N1028" t="s">
        <v>79</v>
      </c>
      <c r="T1028" t="s">
        <v>17013</v>
      </c>
      <c r="U1028" t="s">
        <v>17014</v>
      </c>
      <c r="V1028" t="s">
        <v>17015</v>
      </c>
      <c r="W1028" t="s">
        <v>17016</v>
      </c>
      <c r="X1028" t="s">
        <v>7465</v>
      </c>
      <c r="Y1028" t="s">
        <v>17017</v>
      </c>
      <c r="Z1028" t="s">
        <v>17018</v>
      </c>
      <c r="AA1028" t="s">
        <v>7485</v>
      </c>
      <c r="AB1028" t="s">
        <v>7486</v>
      </c>
      <c r="AC1028" t="s">
        <v>17019</v>
      </c>
      <c r="AD1028" t="s">
        <v>17019</v>
      </c>
      <c r="AE1028" t="s">
        <v>17020</v>
      </c>
      <c r="AG1028">
        <v>35</v>
      </c>
      <c r="AH1028">
        <v>0</v>
      </c>
      <c r="AI1028">
        <v>0</v>
      </c>
      <c r="AJ1028">
        <v>1</v>
      </c>
      <c r="AK1028">
        <v>1</v>
      </c>
      <c r="AL1028" t="s">
        <v>6554</v>
      </c>
      <c r="AM1028" t="s">
        <v>113</v>
      </c>
      <c r="AN1028" t="s">
        <v>6555</v>
      </c>
      <c r="AO1028" t="s">
        <v>7487</v>
      </c>
      <c r="AP1028" t="s">
        <v>7488</v>
      </c>
      <c r="AR1028" t="s">
        <v>7489</v>
      </c>
      <c r="AS1028" t="s">
        <v>7490</v>
      </c>
      <c r="AT1028" t="s">
        <v>224</v>
      </c>
      <c r="AU1028">
        <v>2024</v>
      </c>
      <c r="AV1028">
        <v>50</v>
      </c>
      <c r="AW1028">
        <v>1</v>
      </c>
      <c r="BB1028">
        <v>25</v>
      </c>
      <c r="BC1028">
        <v>32</v>
      </c>
      <c r="BE1028" t="s">
        <v>17021</v>
      </c>
      <c r="BF1028" t="s">
        <v>17022</v>
      </c>
      <c r="BI1028">
        <v>8</v>
      </c>
      <c r="BJ1028" t="s">
        <v>680</v>
      </c>
      <c r="BK1028" t="s">
        <v>96</v>
      </c>
      <c r="BL1028" t="s">
        <v>680</v>
      </c>
      <c r="BM1028" t="s">
        <v>17023</v>
      </c>
      <c r="BR1028" t="s">
        <v>98</v>
      </c>
      <c r="BS1028" t="s">
        <v>17024</v>
      </c>
      <c r="BT1028" t="s">
        <v>16602</v>
      </c>
    </row>
    <row r="1029" spans="1:72">
      <c r="A1029" t="s">
        <v>72</v>
      </c>
      <c r="B1029" t="s">
        <v>17025</v>
      </c>
      <c r="F1029" t="s">
        <v>17026</v>
      </c>
      <c r="I1029" t="s">
        <v>17027</v>
      </c>
      <c r="J1029" t="s">
        <v>17028</v>
      </c>
      <c r="M1029" t="s">
        <v>78</v>
      </c>
      <c r="N1029" t="s">
        <v>79</v>
      </c>
      <c r="T1029" t="s">
        <v>17029</v>
      </c>
      <c r="U1029" t="s">
        <v>17030</v>
      </c>
      <c r="V1029" t="s">
        <v>17031</v>
      </c>
      <c r="W1029" t="s">
        <v>17032</v>
      </c>
      <c r="X1029" t="s">
        <v>17033</v>
      </c>
      <c r="Y1029" t="s">
        <v>17034</v>
      </c>
      <c r="Z1029" t="s">
        <v>17035</v>
      </c>
      <c r="AA1029" t="s">
        <v>17036</v>
      </c>
      <c r="AC1029" t="s">
        <v>17037</v>
      </c>
      <c r="AD1029" t="s">
        <v>17038</v>
      </c>
      <c r="AE1029" t="s">
        <v>17039</v>
      </c>
      <c r="AG1029">
        <v>66</v>
      </c>
      <c r="AH1029">
        <v>6</v>
      </c>
      <c r="AI1029">
        <v>8</v>
      </c>
      <c r="AJ1029">
        <v>15</v>
      </c>
      <c r="AK1029">
        <v>75</v>
      </c>
      <c r="AL1029" t="s">
        <v>285</v>
      </c>
      <c r="AM1029" t="s">
        <v>286</v>
      </c>
      <c r="AN1029" t="s">
        <v>287</v>
      </c>
      <c r="AO1029" t="s">
        <v>17040</v>
      </c>
      <c r="AP1029" t="s">
        <v>17041</v>
      </c>
      <c r="AR1029" t="s">
        <v>17042</v>
      </c>
      <c r="AS1029" t="s">
        <v>17043</v>
      </c>
      <c r="AT1029" t="s">
        <v>1965</v>
      </c>
      <c r="AU1029">
        <v>2022</v>
      </c>
      <c r="AV1029">
        <v>324</v>
      </c>
      <c r="BD1029">
        <v>116340</v>
      </c>
      <c r="BE1029" t="s">
        <v>17044</v>
      </c>
      <c r="BF1029" t="s">
        <v>17045</v>
      </c>
      <c r="BH1029" t="s">
        <v>4632</v>
      </c>
      <c r="BI1029">
        <v>8</v>
      </c>
      <c r="BJ1029" t="s">
        <v>144</v>
      </c>
      <c r="BK1029" t="s">
        <v>96</v>
      </c>
      <c r="BL1029" t="s">
        <v>145</v>
      </c>
      <c r="BM1029" t="s">
        <v>17046</v>
      </c>
      <c r="BN1029">
        <v>36170780</v>
      </c>
      <c r="BO1029" t="s">
        <v>370</v>
      </c>
      <c r="BR1029" t="s">
        <v>98</v>
      </c>
      <c r="BS1029" t="s">
        <v>17047</v>
      </c>
      <c r="BT1029" t="s">
        <v>16602</v>
      </c>
    </row>
    <row r="1030" spans="1:72">
      <c r="A1030" t="s">
        <v>72</v>
      </c>
      <c r="B1030" t="s">
        <v>17048</v>
      </c>
      <c r="F1030" t="s">
        <v>17049</v>
      </c>
      <c r="I1030" t="s">
        <v>17050</v>
      </c>
      <c r="J1030" t="s">
        <v>4909</v>
      </c>
      <c r="M1030" t="s">
        <v>78</v>
      </c>
      <c r="N1030" t="s">
        <v>79</v>
      </c>
      <c r="T1030" t="s">
        <v>17051</v>
      </c>
      <c r="U1030" t="s">
        <v>17052</v>
      </c>
      <c r="V1030" t="s">
        <v>17053</v>
      </c>
      <c r="W1030" t="s">
        <v>17054</v>
      </c>
      <c r="X1030" t="s">
        <v>17055</v>
      </c>
      <c r="Y1030" t="s">
        <v>17056</v>
      </c>
      <c r="Z1030" t="s">
        <v>17057</v>
      </c>
      <c r="AA1030" t="s">
        <v>17058</v>
      </c>
      <c r="AB1030" t="s">
        <v>17059</v>
      </c>
      <c r="AC1030" t="s">
        <v>17060</v>
      </c>
      <c r="AD1030" t="s">
        <v>17061</v>
      </c>
      <c r="AE1030" t="s">
        <v>17062</v>
      </c>
      <c r="AG1030">
        <v>88</v>
      </c>
      <c r="AH1030">
        <v>19</v>
      </c>
      <c r="AI1030">
        <v>20</v>
      </c>
      <c r="AJ1030">
        <v>1</v>
      </c>
      <c r="AK1030">
        <v>30</v>
      </c>
      <c r="AL1030" t="s">
        <v>408</v>
      </c>
      <c r="AM1030" t="s">
        <v>409</v>
      </c>
      <c r="AN1030" t="s">
        <v>1188</v>
      </c>
      <c r="AO1030" t="s">
        <v>4917</v>
      </c>
      <c r="AP1030" t="s">
        <v>4918</v>
      </c>
      <c r="AR1030" t="s">
        <v>4919</v>
      </c>
      <c r="AS1030" t="s">
        <v>4920</v>
      </c>
      <c r="AU1030">
        <v>2018</v>
      </c>
      <c r="AV1030">
        <v>24</v>
      </c>
      <c r="AW1030">
        <v>5</v>
      </c>
      <c r="BB1030">
        <v>1367</v>
      </c>
      <c r="BC1030">
        <v>1387</v>
      </c>
      <c r="BE1030" t="s">
        <v>17063</v>
      </c>
      <c r="BF1030" t="s">
        <v>17064</v>
      </c>
      <c r="BI1030">
        <v>21</v>
      </c>
      <c r="BJ1030" t="s">
        <v>4923</v>
      </c>
      <c r="BK1030" t="s">
        <v>96</v>
      </c>
      <c r="BL1030" t="s">
        <v>4924</v>
      </c>
      <c r="BM1030" t="s">
        <v>17065</v>
      </c>
      <c r="BR1030" t="s">
        <v>98</v>
      </c>
      <c r="BS1030" t="s">
        <v>17066</v>
      </c>
      <c r="BT1030" t="s">
        <v>16602</v>
      </c>
    </row>
    <row r="1031" spans="1:72">
      <c r="A1031" t="s">
        <v>72</v>
      </c>
      <c r="B1031" t="s">
        <v>17067</v>
      </c>
      <c r="F1031" t="s">
        <v>17068</v>
      </c>
      <c r="I1031" t="s">
        <v>17069</v>
      </c>
      <c r="J1031" t="s">
        <v>232</v>
      </c>
      <c r="M1031" t="s">
        <v>78</v>
      </c>
      <c r="N1031" t="s">
        <v>79</v>
      </c>
      <c r="T1031" t="s">
        <v>17070</v>
      </c>
      <c r="U1031" t="s">
        <v>17071</v>
      </c>
      <c r="V1031" t="s">
        <v>17072</v>
      </c>
      <c r="W1031" t="s">
        <v>17073</v>
      </c>
      <c r="X1031" t="s">
        <v>17074</v>
      </c>
      <c r="Y1031" t="s">
        <v>17075</v>
      </c>
      <c r="Z1031" t="s">
        <v>17076</v>
      </c>
      <c r="AA1031" t="s">
        <v>17077</v>
      </c>
      <c r="AB1031" t="s">
        <v>17078</v>
      </c>
      <c r="AC1031" t="s">
        <v>17079</v>
      </c>
      <c r="AD1031" t="s">
        <v>17080</v>
      </c>
      <c r="AE1031" t="s">
        <v>17081</v>
      </c>
      <c r="AG1031">
        <v>23</v>
      </c>
      <c r="AH1031">
        <v>9</v>
      </c>
      <c r="AI1031">
        <v>9</v>
      </c>
      <c r="AJ1031">
        <v>1</v>
      </c>
      <c r="AK1031">
        <v>7</v>
      </c>
      <c r="AL1031" t="s">
        <v>136</v>
      </c>
      <c r="AM1031" t="s">
        <v>137</v>
      </c>
      <c r="AN1031" t="s">
        <v>138</v>
      </c>
      <c r="AO1031" t="s">
        <v>240</v>
      </c>
      <c r="AP1031" t="s">
        <v>241</v>
      </c>
      <c r="AR1031" t="s">
        <v>242</v>
      </c>
      <c r="AS1031" t="s">
        <v>243</v>
      </c>
      <c r="AT1031" t="s">
        <v>224</v>
      </c>
      <c r="AU1031">
        <v>2021</v>
      </c>
      <c r="AV1031">
        <v>163</v>
      </c>
      <c r="BD1031">
        <v>111865</v>
      </c>
      <c r="BE1031" t="s">
        <v>17082</v>
      </c>
      <c r="BF1031" t="s">
        <v>17083</v>
      </c>
      <c r="BH1031" t="s">
        <v>4518</v>
      </c>
      <c r="BI1031">
        <v>8</v>
      </c>
      <c r="BJ1031" t="s">
        <v>247</v>
      </c>
      <c r="BK1031" t="s">
        <v>96</v>
      </c>
      <c r="BL1031" t="s">
        <v>248</v>
      </c>
      <c r="BM1031" t="s">
        <v>17084</v>
      </c>
      <c r="BN1031">
        <v>33272586</v>
      </c>
      <c r="BR1031" t="s">
        <v>98</v>
      </c>
      <c r="BS1031" t="s">
        <v>17085</v>
      </c>
      <c r="BT1031" t="s">
        <v>16602</v>
      </c>
    </row>
    <row r="1032" spans="1:72">
      <c r="A1032" t="s">
        <v>72</v>
      </c>
      <c r="B1032" t="s">
        <v>17086</v>
      </c>
      <c r="F1032" t="s">
        <v>17087</v>
      </c>
      <c r="I1032" t="s">
        <v>17088</v>
      </c>
      <c r="J1032" t="s">
        <v>5413</v>
      </c>
      <c r="M1032" t="s">
        <v>78</v>
      </c>
      <c r="N1032" t="s">
        <v>79</v>
      </c>
      <c r="T1032" t="s">
        <v>17089</v>
      </c>
      <c r="U1032" t="s">
        <v>17090</v>
      </c>
      <c r="V1032" t="s">
        <v>17091</v>
      </c>
      <c r="W1032" t="s">
        <v>17092</v>
      </c>
      <c r="X1032" t="s">
        <v>17093</v>
      </c>
      <c r="Y1032" t="s">
        <v>17094</v>
      </c>
      <c r="Z1032" t="s">
        <v>17095</v>
      </c>
      <c r="AA1032" t="s">
        <v>12649</v>
      </c>
      <c r="AB1032" t="s">
        <v>17096</v>
      </c>
      <c r="AC1032" t="s">
        <v>17097</v>
      </c>
      <c r="AD1032" t="s">
        <v>17098</v>
      </c>
      <c r="AE1032" t="s">
        <v>17099</v>
      </c>
      <c r="AG1032">
        <v>41</v>
      </c>
      <c r="AH1032">
        <v>41</v>
      </c>
      <c r="AI1032">
        <v>49</v>
      </c>
      <c r="AJ1032">
        <v>5</v>
      </c>
      <c r="AK1032">
        <v>78</v>
      </c>
      <c r="AL1032" t="s">
        <v>919</v>
      </c>
      <c r="AM1032" t="s">
        <v>651</v>
      </c>
      <c r="AN1032" t="s">
        <v>920</v>
      </c>
      <c r="AO1032" t="s">
        <v>5426</v>
      </c>
      <c r="AP1032" t="s">
        <v>5427</v>
      </c>
      <c r="AR1032" t="s">
        <v>5428</v>
      </c>
      <c r="AS1032" t="s">
        <v>5429</v>
      </c>
      <c r="AT1032" t="s">
        <v>93</v>
      </c>
      <c r="AU1032">
        <v>2018</v>
      </c>
      <c r="AV1032">
        <v>59</v>
      </c>
      <c r="BB1032">
        <v>119</v>
      </c>
      <c r="BC1032">
        <v>124</v>
      </c>
      <c r="BE1032" t="s">
        <v>17100</v>
      </c>
      <c r="BF1032" t="s">
        <v>17101</v>
      </c>
      <c r="BI1032">
        <v>6</v>
      </c>
      <c r="BJ1032" t="s">
        <v>5431</v>
      </c>
      <c r="BK1032" t="s">
        <v>96</v>
      </c>
      <c r="BL1032" t="s">
        <v>5432</v>
      </c>
      <c r="BM1032" t="s">
        <v>17102</v>
      </c>
      <c r="BN1032">
        <v>29571006</v>
      </c>
      <c r="BR1032" t="s">
        <v>98</v>
      </c>
      <c r="BS1032" t="s">
        <v>17103</v>
      </c>
      <c r="BT1032" t="s">
        <v>16602</v>
      </c>
    </row>
    <row r="1033" spans="1:72">
      <c r="A1033" t="s">
        <v>72</v>
      </c>
      <c r="B1033" t="s">
        <v>17104</v>
      </c>
      <c r="F1033" t="s">
        <v>17105</v>
      </c>
      <c r="I1033" t="s">
        <v>17106</v>
      </c>
      <c r="J1033" t="s">
        <v>232</v>
      </c>
      <c r="M1033" t="s">
        <v>78</v>
      </c>
      <c r="N1033" t="s">
        <v>79</v>
      </c>
      <c r="T1033" t="s">
        <v>17107</v>
      </c>
      <c r="U1033" t="s">
        <v>17108</v>
      </c>
      <c r="V1033" t="s">
        <v>17109</v>
      </c>
      <c r="W1033" t="s">
        <v>17110</v>
      </c>
      <c r="X1033" t="s">
        <v>17111</v>
      </c>
      <c r="Y1033" t="s">
        <v>17112</v>
      </c>
      <c r="Z1033" t="s">
        <v>17113</v>
      </c>
      <c r="AA1033" t="s">
        <v>17114</v>
      </c>
      <c r="AB1033" t="s">
        <v>17115</v>
      </c>
      <c r="AC1033" t="s">
        <v>17116</v>
      </c>
      <c r="AD1033" t="s">
        <v>17117</v>
      </c>
      <c r="AE1033" t="s">
        <v>17118</v>
      </c>
      <c r="AG1033">
        <v>59</v>
      </c>
      <c r="AH1033">
        <v>22</v>
      </c>
      <c r="AI1033">
        <v>23</v>
      </c>
      <c r="AJ1033">
        <v>1</v>
      </c>
      <c r="AK1033">
        <v>45</v>
      </c>
      <c r="AL1033" t="s">
        <v>136</v>
      </c>
      <c r="AM1033" t="s">
        <v>137</v>
      </c>
      <c r="AN1033" t="s">
        <v>138</v>
      </c>
      <c r="AO1033" t="s">
        <v>240</v>
      </c>
      <c r="AP1033" t="s">
        <v>241</v>
      </c>
      <c r="AR1033" t="s">
        <v>242</v>
      </c>
      <c r="AS1033" t="s">
        <v>243</v>
      </c>
      <c r="AT1033" t="s">
        <v>951</v>
      </c>
      <c r="AU1033">
        <v>2018</v>
      </c>
      <c r="AV1033">
        <v>136</v>
      </c>
      <c r="BB1033">
        <v>365</v>
      </c>
      <c r="BC1033">
        <v>373</v>
      </c>
      <c r="BE1033" t="s">
        <v>17119</v>
      </c>
      <c r="BF1033" t="s">
        <v>17120</v>
      </c>
      <c r="BI1033">
        <v>9</v>
      </c>
      <c r="BJ1033" t="s">
        <v>247</v>
      </c>
      <c r="BK1033" t="s">
        <v>96</v>
      </c>
      <c r="BL1033" t="s">
        <v>248</v>
      </c>
      <c r="BM1033" t="s">
        <v>17121</v>
      </c>
      <c r="BN1033">
        <v>30509818</v>
      </c>
      <c r="BR1033" t="s">
        <v>98</v>
      </c>
      <c r="BS1033" t="s">
        <v>17122</v>
      </c>
      <c r="BT1033" t="s">
        <v>16602</v>
      </c>
    </row>
    <row r="1034" spans="1:72">
      <c r="A1034" t="s">
        <v>72</v>
      </c>
      <c r="B1034" t="s">
        <v>17123</v>
      </c>
      <c r="F1034" t="s">
        <v>17124</v>
      </c>
      <c r="I1034" t="s">
        <v>17125</v>
      </c>
      <c r="J1034" t="s">
        <v>232</v>
      </c>
      <c r="M1034" t="s">
        <v>78</v>
      </c>
      <c r="N1034" t="s">
        <v>79</v>
      </c>
      <c r="T1034" t="s">
        <v>17126</v>
      </c>
      <c r="U1034" t="s">
        <v>17127</v>
      </c>
      <c r="V1034" t="s">
        <v>17128</v>
      </c>
      <c r="W1034" t="s">
        <v>17129</v>
      </c>
      <c r="X1034" t="s">
        <v>17130</v>
      </c>
      <c r="Y1034" t="s">
        <v>17131</v>
      </c>
      <c r="Z1034" t="s">
        <v>17132</v>
      </c>
      <c r="AC1034" t="s">
        <v>17133</v>
      </c>
      <c r="AD1034" t="s">
        <v>17134</v>
      </c>
      <c r="AE1034" t="s">
        <v>17135</v>
      </c>
      <c r="AG1034">
        <v>41</v>
      </c>
      <c r="AH1034">
        <v>18</v>
      </c>
      <c r="AI1034">
        <v>18</v>
      </c>
      <c r="AJ1034">
        <v>2</v>
      </c>
      <c r="AK1034">
        <v>28</v>
      </c>
      <c r="AL1034" t="s">
        <v>136</v>
      </c>
      <c r="AM1034" t="s">
        <v>137</v>
      </c>
      <c r="AN1034" t="s">
        <v>138</v>
      </c>
      <c r="AO1034" t="s">
        <v>240</v>
      </c>
      <c r="AP1034" t="s">
        <v>241</v>
      </c>
      <c r="AR1034" t="s">
        <v>242</v>
      </c>
      <c r="AS1034" t="s">
        <v>243</v>
      </c>
      <c r="AT1034" t="s">
        <v>224</v>
      </c>
      <c r="AU1034">
        <v>2018</v>
      </c>
      <c r="AV1034">
        <v>127</v>
      </c>
      <c r="BB1034">
        <v>717</v>
      </c>
      <c r="BC1034">
        <v>725</v>
      </c>
      <c r="BE1034" t="s">
        <v>17136</v>
      </c>
      <c r="BF1034" t="s">
        <v>17137</v>
      </c>
      <c r="BI1034">
        <v>9</v>
      </c>
      <c r="BJ1034" t="s">
        <v>247</v>
      </c>
      <c r="BK1034" t="s">
        <v>96</v>
      </c>
      <c r="BL1034" t="s">
        <v>248</v>
      </c>
      <c r="BM1034" t="s">
        <v>17138</v>
      </c>
      <c r="BN1034">
        <v>29475715</v>
      </c>
      <c r="BR1034" t="s">
        <v>98</v>
      </c>
      <c r="BS1034" t="s">
        <v>17139</v>
      </c>
      <c r="BT1034" t="s">
        <v>16602</v>
      </c>
    </row>
    <row r="1035" spans="1:72">
      <c r="A1035" t="s">
        <v>72</v>
      </c>
      <c r="B1035" t="s">
        <v>17140</v>
      </c>
      <c r="F1035" t="s">
        <v>17141</v>
      </c>
      <c r="I1035" t="s">
        <v>17142</v>
      </c>
      <c r="J1035" t="s">
        <v>204</v>
      </c>
      <c r="M1035" t="s">
        <v>78</v>
      </c>
      <c r="N1035" t="s">
        <v>79</v>
      </c>
      <c r="T1035" t="s">
        <v>17143</v>
      </c>
      <c r="U1035" t="s">
        <v>17144</v>
      </c>
      <c r="V1035" t="s">
        <v>17145</v>
      </c>
      <c r="W1035" t="s">
        <v>17146</v>
      </c>
      <c r="X1035" t="s">
        <v>17147</v>
      </c>
      <c r="Y1035" t="s">
        <v>17148</v>
      </c>
      <c r="Z1035" t="s">
        <v>17149</v>
      </c>
      <c r="AC1035" t="s">
        <v>17150</v>
      </c>
      <c r="AD1035" t="s">
        <v>17150</v>
      </c>
      <c r="AE1035" t="s">
        <v>17151</v>
      </c>
      <c r="AG1035">
        <v>143</v>
      </c>
      <c r="AH1035">
        <v>10</v>
      </c>
      <c r="AI1035">
        <v>10</v>
      </c>
      <c r="AJ1035">
        <v>5</v>
      </c>
      <c r="AK1035">
        <v>7</v>
      </c>
      <c r="AL1035" t="s">
        <v>217</v>
      </c>
      <c r="AM1035" t="s">
        <v>218</v>
      </c>
      <c r="AN1035" t="s">
        <v>219</v>
      </c>
      <c r="AO1035" t="s">
        <v>220</v>
      </c>
      <c r="AP1035" t="s">
        <v>221</v>
      </c>
      <c r="AR1035" t="s">
        <v>222</v>
      </c>
      <c r="AS1035" t="s">
        <v>223</v>
      </c>
      <c r="AT1035" t="s">
        <v>93</v>
      </c>
      <c r="AU1035">
        <v>2022</v>
      </c>
      <c r="AV1035">
        <v>29</v>
      </c>
      <c r="AW1035">
        <v>19</v>
      </c>
      <c r="BB1035">
        <v>28339</v>
      </c>
      <c r="BC1035">
        <v>28358</v>
      </c>
      <c r="BE1035" t="s">
        <v>17152</v>
      </c>
      <c r="BF1035" t="s">
        <v>17153</v>
      </c>
      <c r="BH1035" t="s">
        <v>227</v>
      </c>
      <c r="BI1035">
        <v>20</v>
      </c>
      <c r="BJ1035" t="s">
        <v>144</v>
      </c>
      <c r="BK1035" t="s">
        <v>96</v>
      </c>
      <c r="BL1035" t="s">
        <v>145</v>
      </c>
      <c r="BM1035" t="s">
        <v>16909</v>
      </c>
      <c r="BN1035">
        <v>34989994</v>
      </c>
      <c r="BR1035" t="s">
        <v>98</v>
      </c>
      <c r="BS1035" t="s">
        <v>17154</v>
      </c>
      <c r="BT1035" t="s">
        <v>16602</v>
      </c>
    </row>
    <row r="1036" spans="1:72">
      <c r="A1036" t="s">
        <v>72</v>
      </c>
      <c r="B1036" t="s">
        <v>17155</v>
      </c>
      <c r="F1036" t="s">
        <v>17156</v>
      </c>
      <c r="I1036" t="s">
        <v>17157</v>
      </c>
      <c r="J1036" t="s">
        <v>204</v>
      </c>
      <c r="M1036" t="s">
        <v>78</v>
      </c>
      <c r="N1036" t="s">
        <v>79</v>
      </c>
      <c r="T1036" t="s">
        <v>17158</v>
      </c>
      <c r="U1036" t="s">
        <v>17159</v>
      </c>
      <c r="V1036" t="s">
        <v>17160</v>
      </c>
      <c r="W1036" t="s">
        <v>17161</v>
      </c>
      <c r="X1036" t="s">
        <v>17162</v>
      </c>
      <c r="Y1036" t="s">
        <v>17163</v>
      </c>
      <c r="Z1036" t="s">
        <v>17164</v>
      </c>
      <c r="AG1036">
        <v>45</v>
      </c>
      <c r="AH1036">
        <v>8</v>
      </c>
      <c r="AI1036">
        <v>8</v>
      </c>
      <c r="AJ1036">
        <v>2</v>
      </c>
      <c r="AK1036">
        <v>10</v>
      </c>
      <c r="AL1036" t="s">
        <v>217</v>
      </c>
      <c r="AM1036" t="s">
        <v>218</v>
      </c>
      <c r="AN1036" t="s">
        <v>219</v>
      </c>
      <c r="AO1036" t="s">
        <v>220</v>
      </c>
      <c r="AP1036" t="s">
        <v>221</v>
      </c>
      <c r="AR1036" t="s">
        <v>222</v>
      </c>
      <c r="AS1036" t="s">
        <v>223</v>
      </c>
      <c r="AT1036" t="s">
        <v>224</v>
      </c>
      <c r="AU1036">
        <v>2021</v>
      </c>
      <c r="AV1036">
        <v>28</v>
      </c>
      <c r="AW1036">
        <v>8</v>
      </c>
      <c r="BB1036">
        <v>9913</v>
      </c>
      <c r="BC1036">
        <v>9920</v>
      </c>
      <c r="BE1036" t="s">
        <v>17165</v>
      </c>
      <c r="BF1036" t="s">
        <v>17166</v>
      </c>
      <c r="BH1036" t="s">
        <v>17167</v>
      </c>
      <c r="BI1036">
        <v>8</v>
      </c>
      <c r="BJ1036" t="s">
        <v>144</v>
      </c>
      <c r="BK1036" t="s">
        <v>96</v>
      </c>
      <c r="BL1036" t="s">
        <v>145</v>
      </c>
      <c r="BM1036" t="s">
        <v>17168</v>
      </c>
      <c r="BN1036">
        <v>33155114</v>
      </c>
      <c r="BR1036" t="s">
        <v>98</v>
      </c>
      <c r="BS1036" t="s">
        <v>17169</v>
      </c>
      <c r="BT1036" t="s">
        <v>16602</v>
      </c>
    </row>
    <row r="1037" spans="1:72">
      <c r="A1037" t="s">
        <v>72</v>
      </c>
      <c r="B1037" t="s">
        <v>17170</v>
      </c>
      <c r="F1037" t="s">
        <v>17170</v>
      </c>
      <c r="I1037" t="s">
        <v>17171</v>
      </c>
      <c r="J1037" t="s">
        <v>1097</v>
      </c>
      <c r="M1037" t="s">
        <v>78</v>
      </c>
      <c r="N1037" t="s">
        <v>79</v>
      </c>
      <c r="V1037" t="s">
        <v>17172</v>
      </c>
      <c r="W1037" t="s">
        <v>17173</v>
      </c>
      <c r="AG1037">
        <v>26</v>
      </c>
      <c r="AH1037">
        <v>62</v>
      </c>
      <c r="AI1037">
        <v>66</v>
      </c>
      <c r="AJ1037">
        <v>0</v>
      </c>
      <c r="AK1037">
        <v>4</v>
      </c>
      <c r="AL1037" t="s">
        <v>217</v>
      </c>
      <c r="AM1037" t="s">
        <v>218</v>
      </c>
      <c r="AN1037" t="s">
        <v>219</v>
      </c>
      <c r="AO1037" t="s">
        <v>1100</v>
      </c>
      <c r="AP1037" t="s">
        <v>1101</v>
      </c>
      <c r="AR1037" t="s">
        <v>1102</v>
      </c>
      <c r="AS1037" t="s">
        <v>1103</v>
      </c>
      <c r="AU1037">
        <v>1980</v>
      </c>
      <c r="AV1037">
        <v>57</v>
      </c>
      <c r="AW1037">
        <v>2</v>
      </c>
      <c r="BB1037">
        <v>87</v>
      </c>
      <c r="BC1037">
        <v>93</v>
      </c>
      <c r="BE1037" t="s">
        <v>17174</v>
      </c>
      <c r="BF1037" t="s">
        <v>17175</v>
      </c>
      <c r="BI1037">
        <v>7</v>
      </c>
      <c r="BJ1037" t="s">
        <v>680</v>
      </c>
      <c r="BK1037" t="s">
        <v>96</v>
      </c>
      <c r="BL1037" t="s">
        <v>680</v>
      </c>
      <c r="BM1037" t="s">
        <v>17176</v>
      </c>
      <c r="BR1037" t="s">
        <v>98</v>
      </c>
      <c r="BS1037" t="s">
        <v>17177</v>
      </c>
      <c r="BT1037" t="s">
        <v>16602</v>
      </c>
    </row>
    <row r="1038" spans="1:72">
      <c r="A1038" t="s">
        <v>72</v>
      </c>
      <c r="B1038" t="s">
        <v>17178</v>
      </c>
      <c r="F1038" t="s">
        <v>17179</v>
      </c>
      <c r="I1038" t="s">
        <v>17180</v>
      </c>
      <c r="J1038" t="s">
        <v>1337</v>
      </c>
      <c r="M1038" t="s">
        <v>78</v>
      </c>
      <c r="N1038" t="s">
        <v>79</v>
      </c>
      <c r="T1038" t="s">
        <v>17181</v>
      </c>
      <c r="U1038" t="s">
        <v>17182</v>
      </c>
      <c r="V1038" t="s">
        <v>17183</v>
      </c>
      <c r="W1038" t="s">
        <v>17184</v>
      </c>
      <c r="X1038" t="s">
        <v>10640</v>
      </c>
      <c r="Y1038" t="s">
        <v>17185</v>
      </c>
      <c r="Z1038" t="s">
        <v>10642</v>
      </c>
      <c r="AA1038" t="s">
        <v>17186</v>
      </c>
      <c r="AC1038" t="s">
        <v>17187</v>
      </c>
      <c r="AD1038" t="s">
        <v>17188</v>
      </c>
      <c r="AE1038" t="s">
        <v>17189</v>
      </c>
      <c r="AG1038">
        <v>55</v>
      </c>
      <c r="AH1038">
        <v>4</v>
      </c>
      <c r="AI1038">
        <v>4</v>
      </c>
      <c r="AJ1038">
        <v>6</v>
      </c>
      <c r="AK1038">
        <v>32</v>
      </c>
      <c r="AL1038" t="s">
        <v>1350</v>
      </c>
      <c r="AM1038" t="s">
        <v>1351</v>
      </c>
      <c r="AN1038" t="s">
        <v>1352</v>
      </c>
      <c r="AP1038" t="s">
        <v>1353</v>
      </c>
      <c r="AR1038" t="s">
        <v>1354</v>
      </c>
      <c r="AS1038" t="s">
        <v>1355</v>
      </c>
      <c r="AT1038" t="s">
        <v>2303</v>
      </c>
      <c r="AU1038">
        <v>2022</v>
      </c>
      <c r="AV1038">
        <v>9</v>
      </c>
      <c r="BD1038">
        <v>1080516</v>
      </c>
      <c r="BE1038" t="s">
        <v>17190</v>
      </c>
      <c r="BF1038" t="s">
        <v>17191</v>
      </c>
      <c r="BI1038">
        <v>14</v>
      </c>
      <c r="BJ1038" t="s">
        <v>247</v>
      </c>
      <c r="BK1038" t="s">
        <v>96</v>
      </c>
      <c r="BL1038" t="s">
        <v>248</v>
      </c>
      <c r="BM1038" t="s">
        <v>17192</v>
      </c>
      <c r="BO1038" t="s">
        <v>873</v>
      </c>
      <c r="BR1038" t="s">
        <v>98</v>
      </c>
      <c r="BS1038" t="s">
        <v>17193</v>
      </c>
      <c r="BT1038" t="s">
        <v>16602</v>
      </c>
    </row>
    <row r="1039" spans="1:72">
      <c r="A1039" t="s">
        <v>72</v>
      </c>
      <c r="B1039" t="s">
        <v>17194</v>
      </c>
      <c r="F1039" t="s">
        <v>17194</v>
      </c>
      <c r="I1039" t="s">
        <v>17195</v>
      </c>
      <c r="J1039" t="s">
        <v>752</v>
      </c>
      <c r="M1039" t="s">
        <v>78</v>
      </c>
      <c r="N1039" t="s">
        <v>79</v>
      </c>
      <c r="U1039" t="s">
        <v>17196</v>
      </c>
      <c r="V1039" t="s">
        <v>17197</v>
      </c>
      <c r="Y1039" t="s">
        <v>17198</v>
      </c>
      <c r="AG1039">
        <v>7</v>
      </c>
      <c r="AH1039">
        <v>29</v>
      </c>
      <c r="AI1039">
        <v>29</v>
      </c>
      <c r="AJ1039">
        <v>0</v>
      </c>
      <c r="AK1039">
        <v>5</v>
      </c>
      <c r="AL1039" t="s">
        <v>430</v>
      </c>
      <c r="AM1039" t="s">
        <v>137</v>
      </c>
      <c r="AN1039" t="s">
        <v>431</v>
      </c>
      <c r="AO1039" t="s">
        <v>761</v>
      </c>
      <c r="AP1039" t="s">
        <v>762</v>
      </c>
      <c r="AR1039" t="s">
        <v>763</v>
      </c>
      <c r="AS1039" t="s">
        <v>764</v>
      </c>
      <c r="AU1039">
        <v>1992</v>
      </c>
      <c r="AV1039">
        <v>34</v>
      </c>
      <c r="AW1039" t="s">
        <v>721</v>
      </c>
      <c r="BB1039">
        <v>59</v>
      </c>
      <c r="BC1039">
        <v>63</v>
      </c>
      <c r="BE1039" t="s">
        <v>17199</v>
      </c>
      <c r="BF1039" t="s">
        <v>17200</v>
      </c>
      <c r="BI1039">
        <v>5</v>
      </c>
      <c r="BJ1039" t="s">
        <v>768</v>
      </c>
      <c r="BK1039" t="s">
        <v>96</v>
      </c>
      <c r="BL1039" t="s">
        <v>769</v>
      </c>
      <c r="BM1039" t="s">
        <v>17201</v>
      </c>
      <c r="BR1039" t="s">
        <v>98</v>
      </c>
      <c r="BS1039" t="s">
        <v>17202</v>
      </c>
      <c r="BT1039" t="s">
        <v>16602</v>
      </c>
    </row>
    <row r="1040" spans="1:72">
      <c r="A1040" t="s">
        <v>72</v>
      </c>
      <c r="B1040" t="s">
        <v>17203</v>
      </c>
      <c r="F1040" t="s">
        <v>17203</v>
      </c>
      <c r="I1040" t="s">
        <v>17204</v>
      </c>
      <c r="J1040" t="s">
        <v>998</v>
      </c>
      <c r="M1040" t="s">
        <v>78</v>
      </c>
      <c r="N1040" t="s">
        <v>79</v>
      </c>
      <c r="U1040" t="s">
        <v>17205</v>
      </c>
      <c r="V1040" t="s">
        <v>17206</v>
      </c>
      <c r="W1040" t="s">
        <v>17207</v>
      </c>
      <c r="X1040" t="s">
        <v>17208</v>
      </c>
      <c r="Y1040" t="s">
        <v>17209</v>
      </c>
      <c r="AA1040" t="s">
        <v>17210</v>
      </c>
      <c r="AB1040" t="s">
        <v>17211</v>
      </c>
      <c r="AG1040">
        <v>37</v>
      </c>
      <c r="AH1040">
        <v>66</v>
      </c>
      <c r="AI1040">
        <v>73</v>
      </c>
      <c r="AJ1040">
        <v>0</v>
      </c>
      <c r="AK1040">
        <v>15</v>
      </c>
      <c r="AL1040" t="s">
        <v>2718</v>
      </c>
      <c r="AM1040" t="s">
        <v>113</v>
      </c>
      <c r="AN1040" t="s">
        <v>2719</v>
      </c>
      <c r="AO1040" t="s">
        <v>1009</v>
      </c>
      <c r="AR1040" t="s">
        <v>1010</v>
      </c>
      <c r="AS1040" t="s">
        <v>1011</v>
      </c>
      <c r="AT1040" t="s">
        <v>267</v>
      </c>
      <c r="AU1040">
        <v>2003</v>
      </c>
      <c r="AV1040">
        <v>45</v>
      </c>
      <c r="AW1040">
        <v>3</v>
      </c>
      <c r="BB1040">
        <v>350</v>
      </c>
      <c r="BC1040">
        <v>356</v>
      </c>
      <c r="BE1040" t="s">
        <v>17212</v>
      </c>
      <c r="BF1040" t="s">
        <v>17213</v>
      </c>
      <c r="BI1040">
        <v>7</v>
      </c>
      <c r="BJ1040" t="s">
        <v>121</v>
      </c>
      <c r="BK1040" t="s">
        <v>96</v>
      </c>
      <c r="BL1040" t="s">
        <v>122</v>
      </c>
      <c r="BM1040" t="s">
        <v>17214</v>
      </c>
      <c r="BN1040">
        <v>14674588</v>
      </c>
      <c r="BR1040" t="s">
        <v>98</v>
      </c>
      <c r="BS1040" t="s">
        <v>17215</v>
      </c>
      <c r="BT1040" t="s">
        <v>16602</v>
      </c>
    </row>
    <row r="1041" spans="1:72">
      <c r="A1041" t="s">
        <v>72</v>
      </c>
      <c r="B1041" t="s">
        <v>17216</v>
      </c>
      <c r="F1041" t="s">
        <v>17217</v>
      </c>
      <c r="I1041" t="s">
        <v>17218</v>
      </c>
      <c r="J1041" t="s">
        <v>232</v>
      </c>
      <c r="M1041" t="s">
        <v>78</v>
      </c>
      <c r="N1041" t="s">
        <v>79</v>
      </c>
      <c r="T1041" t="s">
        <v>17219</v>
      </c>
      <c r="U1041" t="s">
        <v>17220</v>
      </c>
      <c r="V1041" t="s">
        <v>17221</v>
      </c>
      <c r="W1041" t="s">
        <v>17222</v>
      </c>
      <c r="X1041" t="s">
        <v>445</v>
      </c>
      <c r="Y1041" t="s">
        <v>17223</v>
      </c>
      <c r="Z1041" t="s">
        <v>2609</v>
      </c>
      <c r="AA1041" t="s">
        <v>17224</v>
      </c>
      <c r="AB1041" t="s">
        <v>17225</v>
      </c>
      <c r="AG1041">
        <v>28</v>
      </c>
      <c r="AH1041">
        <v>38</v>
      </c>
      <c r="AI1041">
        <v>40</v>
      </c>
      <c r="AJ1041">
        <v>2</v>
      </c>
      <c r="AK1041">
        <v>69</v>
      </c>
      <c r="AL1041" t="s">
        <v>136</v>
      </c>
      <c r="AM1041" t="s">
        <v>137</v>
      </c>
      <c r="AN1041" t="s">
        <v>138</v>
      </c>
      <c r="AO1041" t="s">
        <v>240</v>
      </c>
      <c r="AP1041" t="s">
        <v>241</v>
      </c>
      <c r="AR1041" t="s">
        <v>242</v>
      </c>
      <c r="AS1041" t="s">
        <v>243</v>
      </c>
      <c r="AT1041" t="s">
        <v>3891</v>
      </c>
      <c r="AU1041">
        <v>2014</v>
      </c>
      <c r="AV1041">
        <v>78</v>
      </c>
      <c r="AW1041" t="s">
        <v>326</v>
      </c>
      <c r="BB1041">
        <v>102</v>
      </c>
      <c r="BC1041">
        <v>109</v>
      </c>
      <c r="BE1041" t="s">
        <v>17226</v>
      </c>
      <c r="BF1041" t="s">
        <v>17227</v>
      </c>
      <c r="BI1041">
        <v>8</v>
      </c>
      <c r="BJ1041" t="s">
        <v>247</v>
      </c>
      <c r="BK1041" t="s">
        <v>96</v>
      </c>
      <c r="BL1041" t="s">
        <v>248</v>
      </c>
      <c r="BM1041" t="s">
        <v>17228</v>
      </c>
      <c r="BN1041">
        <v>24253021</v>
      </c>
      <c r="BR1041" t="s">
        <v>98</v>
      </c>
      <c r="BS1041" t="s">
        <v>17229</v>
      </c>
      <c r="BT1041" t="s">
        <v>16602</v>
      </c>
    </row>
    <row r="1042" spans="1:72">
      <c r="A1042" t="s">
        <v>72</v>
      </c>
      <c r="B1042" t="s">
        <v>17230</v>
      </c>
      <c r="F1042" t="s">
        <v>17231</v>
      </c>
      <c r="I1042" t="s">
        <v>17232</v>
      </c>
      <c r="J1042" t="s">
        <v>17233</v>
      </c>
      <c r="M1042" t="s">
        <v>78</v>
      </c>
      <c r="N1042" t="s">
        <v>79</v>
      </c>
      <c r="T1042" t="s">
        <v>17234</v>
      </c>
      <c r="U1042" t="s">
        <v>17235</v>
      </c>
      <c r="V1042" t="s">
        <v>17236</v>
      </c>
      <c r="W1042" t="s">
        <v>17237</v>
      </c>
      <c r="X1042" t="s">
        <v>17238</v>
      </c>
      <c r="Y1042" t="s">
        <v>17239</v>
      </c>
      <c r="Z1042" t="s">
        <v>17240</v>
      </c>
      <c r="AA1042" t="s">
        <v>17241</v>
      </c>
      <c r="AB1042" t="s">
        <v>17242</v>
      </c>
      <c r="AC1042" t="s">
        <v>17243</v>
      </c>
      <c r="AD1042" t="s">
        <v>17244</v>
      </c>
      <c r="AE1042" t="s">
        <v>17245</v>
      </c>
      <c r="AG1042">
        <v>108</v>
      </c>
      <c r="AH1042">
        <v>47</v>
      </c>
      <c r="AI1042">
        <v>47</v>
      </c>
      <c r="AJ1042">
        <v>2</v>
      </c>
      <c r="AK1042">
        <v>58</v>
      </c>
      <c r="AL1042" t="s">
        <v>112</v>
      </c>
      <c r="AM1042" t="s">
        <v>113</v>
      </c>
      <c r="AN1042" t="s">
        <v>469</v>
      </c>
      <c r="AO1042" t="s">
        <v>17246</v>
      </c>
      <c r="AP1042" t="s">
        <v>17247</v>
      </c>
      <c r="AR1042" t="s">
        <v>17248</v>
      </c>
      <c r="AS1042" t="s">
        <v>17249</v>
      </c>
      <c r="AT1042" t="s">
        <v>1470</v>
      </c>
      <c r="AU1042">
        <v>2018</v>
      </c>
      <c r="AV1042">
        <v>41</v>
      </c>
      <c r="AW1042">
        <v>1</v>
      </c>
      <c r="BB1042">
        <v>175</v>
      </c>
      <c r="BC1042">
        <v>191</v>
      </c>
      <c r="BE1042" t="s">
        <v>17250</v>
      </c>
      <c r="BF1042" t="s">
        <v>17251</v>
      </c>
      <c r="BI1042">
        <v>17</v>
      </c>
      <c r="BJ1042" t="s">
        <v>17252</v>
      </c>
      <c r="BK1042" t="s">
        <v>96</v>
      </c>
      <c r="BL1042" t="s">
        <v>4924</v>
      </c>
      <c r="BM1042" t="s">
        <v>17253</v>
      </c>
      <c r="BR1042" t="s">
        <v>98</v>
      </c>
      <c r="BS1042" t="s">
        <v>17254</v>
      </c>
      <c r="BT1042" t="s">
        <v>16602</v>
      </c>
    </row>
    <row r="1043" spans="1:72">
      <c r="A1043" t="s">
        <v>72</v>
      </c>
      <c r="B1043" t="s">
        <v>17255</v>
      </c>
      <c r="F1043" t="s">
        <v>17256</v>
      </c>
      <c r="I1043" t="s">
        <v>17257</v>
      </c>
      <c r="J1043" t="s">
        <v>12129</v>
      </c>
      <c r="M1043" t="s">
        <v>78</v>
      </c>
      <c r="N1043" t="s">
        <v>79</v>
      </c>
      <c r="T1043" t="s">
        <v>17258</v>
      </c>
      <c r="U1043" t="s">
        <v>17259</v>
      </c>
      <c r="V1043" t="s">
        <v>17260</v>
      </c>
      <c r="W1043" t="s">
        <v>17261</v>
      </c>
      <c r="X1043" t="s">
        <v>17262</v>
      </c>
      <c r="Y1043" t="s">
        <v>17263</v>
      </c>
      <c r="Z1043" t="s">
        <v>17264</v>
      </c>
      <c r="AA1043" t="s">
        <v>17265</v>
      </c>
      <c r="AB1043" t="s">
        <v>17266</v>
      </c>
      <c r="AG1043">
        <v>40</v>
      </c>
      <c r="AH1043">
        <v>2</v>
      </c>
      <c r="AI1043">
        <v>3</v>
      </c>
      <c r="AJ1043">
        <v>0</v>
      </c>
      <c r="AK1043">
        <v>6</v>
      </c>
      <c r="AL1043" t="s">
        <v>1433</v>
      </c>
      <c r="AM1043" t="s">
        <v>1434</v>
      </c>
      <c r="AN1043" t="s">
        <v>1435</v>
      </c>
      <c r="AO1043" t="s">
        <v>1436</v>
      </c>
      <c r="AR1043" t="s">
        <v>12142</v>
      </c>
      <c r="AS1043" t="s">
        <v>12143</v>
      </c>
      <c r="AT1043" t="s">
        <v>142</v>
      </c>
      <c r="AU1043">
        <v>2013</v>
      </c>
      <c r="AV1043">
        <v>42</v>
      </c>
      <c r="AW1043">
        <v>3</v>
      </c>
      <c r="BB1043">
        <v>326</v>
      </c>
      <c r="BC1043">
        <v>330</v>
      </c>
      <c r="BI1043">
        <v>5</v>
      </c>
      <c r="BJ1043" t="s">
        <v>1439</v>
      </c>
      <c r="BK1043" t="s">
        <v>96</v>
      </c>
      <c r="BL1043" t="s">
        <v>1439</v>
      </c>
      <c r="BM1043" t="s">
        <v>17267</v>
      </c>
      <c r="BR1043" t="s">
        <v>98</v>
      </c>
      <c r="BS1043" t="s">
        <v>17268</v>
      </c>
      <c r="BT1043" t="s">
        <v>16602</v>
      </c>
    </row>
    <row r="1044" spans="1:72">
      <c r="A1044" t="s">
        <v>72</v>
      </c>
      <c r="B1044" t="s">
        <v>14833</v>
      </c>
      <c r="F1044" t="s">
        <v>14834</v>
      </c>
      <c r="I1044" t="s">
        <v>17269</v>
      </c>
      <c r="J1044" t="s">
        <v>641</v>
      </c>
      <c r="M1044" t="s">
        <v>78</v>
      </c>
      <c r="N1044" t="s">
        <v>79</v>
      </c>
      <c r="T1044" t="s">
        <v>17270</v>
      </c>
      <c r="U1044" t="s">
        <v>17271</v>
      </c>
      <c r="V1044" t="s">
        <v>17272</v>
      </c>
      <c r="W1044" t="s">
        <v>17273</v>
      </c>
      <c r="X1044" t="s">
        <v>17274</v>
      </c>
      <c r="Y1044" t="s">
        <v>17275</v>
      </c>
      <c r="Z1044" t="s">
        <v>14843</v>
      </c>
      <c r="AA1044" t="s">
        <v>1484</v>
      </c>
      <c r="AB1044" t="s">
        <v>14844</v>
      </c>
      <c r="AC1044" t="s">
        <v>17276</v>
      </c>
      <c r="AD1044" t="s">
        <v>17277</v>
      </c>
      <c r="AE1044" t="s">
        <v>17278</v>
      </c>
      <c r="AG1044">
        <v>79</v>
      </c>
      <c r="AH1044">
        <v>11</v>
      </c>
      <c r="AI1044">
        <v>11</v>
      </c>
      <c r="AJ1044">
        <v>6</v>
      </c>
      <c r="AK1044">
        <v>34</v>
      </c>
      <c r="AL1044" t="s">
        <v>650</v>
      </c>
      <c r="AM1044" t="s">
        <v>651</v>
      </c>
      <c r="AN1044" t="s">
        <v>652</v>
      </c>
      <c r="AO1044" t="s">
        <v>653</v>
      </c>
      <c r="AP1044" t="s">
        <v>654</v>
      </c>
      <c r="AR1044" t="s">
        <v>655</v>
      </c>
      <c r="AS1044" t="s">
        <v>656</v>
      </c>
      <c r="AT1044" t="s">
        <v>1470</v>
      </c>
      <c r="AU1044">
        <v>2022</v>
      </c>
      <c r="AV1044">
        <v>242</v>
      </c>
      <c r="BD1044">
        <v>106022</v>
      </c>
      <c r="BE1044" t="s">
        <v>17279</v>
      </c>
      <c r="BF1044" t="s">
        <v>17280</v>
      </c>
      <c r="BH1044" t="s">
        <v>10880</v>
      </c>
      <c r="BI1044">
        <v>12</v>
      </c>
      <c r="BJ1044" t="s">
        <v>659</v>
      </c>
      <c r="BK1044" t="s">
        <v>96</v>
      </c>
      <c r="BL1044" t="s">
        <v>659</v>
      </c>
      <c r="BM1044" t="s">
        <v>17281</v>
      </c>
      <c r="BN1044">
        <v>34798302</v>
      </c>
      <c r="BR1044" t="s">
        <v>98</v>
      </c>
      <c r="BS1044" t="s">
        <v>17282</v>
      </c>
      <c r="BT1044" t="s">
        <v>16602</v>
      </c>
    </row>
    <row r="1045" spans="1:72">
      <c r="A1045" t="s">
        <v>72</v>
      </c>
      <c r="B1045" t="s">
        <v>17283</v>
      </c>
      <c r="F1045" t="s">
        <v>17284</v>
      </c>
      <c r="I1045" t="s">
        <v>17285</v>
      </c>
      <c r="J1045" t="s">
        <v>127</v>
      </c>
      <c r="M1045" t="s">
        <v>78</v>
      </c>
      <c r="N1045" t="s">
        <v>79</v>
      </c>
      <c r="T1045" t="s">
        <v>17286</v>
      </c>
      <c r="U1045" t="s">
        <v>17287</v>
      </c>
      <c r="V1045" t="s">
        <v>17288</v>
      </c>
      <c r="W1045" t="s">
        <v>17289</v>
      </c>
      <c r="X1045" t="s">
        <v>17290</v>
      </c>
      <c r="Y1045" t="s">
        <v>17291</v>
      </c>
      <c r="Z1045" t="s">
        <v>17292</v>
      </c>
      <c r="AA1045" t="s">
        <v>2334</v>
      </c>
      <c r="AB1045" t="s">
        <v>9616</v>
      </c>
      <c r="AG1045">
        <v>45</v>
      </c>
      <c r="AH1045">
        <v>70</v>
      </c>
      <c r="AI1045">
        <v>73</v>
      </c>
      <c r="AJ1045">
        <v>3</v>
      </c>
      <c r="AK1045">
        <v>48</v>
      </c>
      <c r="AL1045" t="s">
        <v>136</v>
      </c>
      <c r="AM1045" t="s">
        <v>137</v>
      </c>
      <c r="AN1045" t="s">
        <v>138</v>
      </c>
      <c r="AO1045" t="s">
        <v>139</v>
      </c>
      <c r="AR1045" t="s">
        <v>127</v>
      </c>
      <c r="AS1045" t="s">
        <v>141</v>
      </c>
      <c r="AT1045" t="s">
        <v>1470</v>
      </c>
      <c r="AU1045">
        <v>2007</v>
      </c>
      <c r="AV1045">
        <v>66</v>
      </c>
      <c r="AW1045">
        <v>4</v>
      </c>
      <c r="BB1045">
        <v>619</v>
      </c>
      <c r="BC1045">
        <v>629</v>
      </c>
      <c r="BE1045" t="s">
        <v>17293</v>
      </c>
      <c r="BF1045" t="s">
        <v>17294</v>
      </c>
      <c r="BI1045">
        <v>11</v>
      </c>
      <c r="BJ1045" t="s">
        <v>144</v>
      </c>
      <c r="BK1045" t="s">
        <v>96</v>
      </c>
      <c r="BL1045" t="s">
        <v>145</v>
      </c>
      <c r="BM1045" t="s">
        <v>17295</v>
      </c>
      <c r="BN1045">
        <v>16996105</v>
      </c>
      <c r="BR1045" t="s">
        <v>98</v>
      </c>
      <c r="BS1045" t="s">
        <v>17296</v>
      </c>
      <c r="BT1045" t="s">
        <v>16602</v>
      </c>
    </row>
    <row r="1046" spans="1:72">
      <c r="A1046" t="s">
        <v>72</v>
      </c>
      <c r="B1046" t="s">
        <v>1474</v>
      </c>
      <c r="F1046" t="s">
        <v>1475</v>
      </c>
      <c r="I1046" t="s">
        <v>17297</v>
      </c>
      <c r="J1046" t="s">
        <v>1756</v>
      </c>
      <c r="M1046" t="s">
        <v>78</v>
      </c>
      <c r="N1046" t="s">
        <v>79</v>
      </c>
      <c r="T1046" t="s">
        <v>17298</v>
      </c>
      <c r="U1046" t="s">
        <v>17299</v>
      </c>
      <c r="V1046" t="s">
        <v>17300</v>
      </c>
      <c r="W1046" t="s">
        <v>17301</v>
      </c>
      <c r="X1046" t="s">
        <v>1481</v>
      </c>
      <c r="Y1046" t="s">
        <v>17302</v>
      </c>
      <c r="Z1046" t="s">
        <v>1483</v>
      </c>
      <c r="AA1046" t="s">
        <v>2900</v>
      </c>
      <c r="AB1046" t="s">
        <v>17303</v>
      </c>
      <c r="AC1046" t="s">
        <v>17304</v>
      </c>
      <c r="AD1046" t="s">
        <v>2902</v>
      </c>
      <c r="AE1046" t="s">
        <v>17305</v>
      </c>
      <c r="AG1046">
        <v>50</v>
      </c>
      <c r="AH1046">
        <v>52</v>
      </c>
      <c r="AI1046">
        <v>56</v>
      </c>
      <c r="AJ1046">
        <v>1</v>
      </c>
      <c r="AK1046">
        <v>42</v>
      </c>
      <c r="AL1046" t="s">
        <v>4153</v>
      </c>
      <c r="AM1046" t="s">
        <v>87</v>
      </c>
      <c r="AN1046" t="s">
        <v>88</v>
      </c>
      <c r="AO1046" t="s">
        <v>1764</v>
      </c>
      <c r="AR1046" t="s">
        <v>1766</v>
      </c>
      <c r="AS1046" t="s">
        <v>1767</v>
      </c>
      <c r="AT1046" t="s">
        <v>93</v>
      </c>
      <c r="AU1046">
        <v>2011</v>
      </c>
      <c r="AV1046">
        <v>30</v>
      </c>
      <c r="AW1046">
        <v>4</v>
      </c>
      <c r="BB1046">
        <v>806</v>
      </c>
      <c r="BC1046">
        <v>812</v>
      </c>
      <c r="BE1046" t="s">
        <v>17306</v>
      </c>
      <c r="BF1046" t="s">
        <v>17307</v>
      </c>
      <c r="BI1046">
        <v>7</v>
      </c>
      <c r="BJ1046" t="s">
        <v>121</v>
      </c>
      <c r="BK1046" t="s">
        <v>96</v>
      </c>
      <c r="BL1046" t="s">
        <v>122</v>
      </c>
      <c r="BM1046" t="s">
        <v>17308</v>
      </c>
      <c r="BN1046">
        <v>21184531</v>
      </c>
      <c r="BR1046" t="s">
        <v>98</v>
      </c>
      <c r="BS1046" t="s">
        <v>17309</v>
      </c>
      <c r="BT1046" t="s">
        <v>16602</v>
      </c>
    </row>
    <row r="1047" spans="1:72">
      <c r="A1047" t="s">
        <v>72</v>
      </c>
      <c r="B1047" t="s">
        <v>17310</v>
      </c>
      <c r="F1047" t="s">
        <v>17311</v>
      </c>
      <c r="I1047" t="s">
        <v>17312</v>
      </c>
      <c r="J1047" t="s">
        <v>421</v>
      </c>
      <c r="M1047" t="s">
        <v>78</v>
      </c>
      <c r="N1047" t="s">
        <v>79</v>
      </c>
      <c r="T1047" t="s">
        <v>17313</v>
      </c>
      <c r="U1047" t="s">
        <v>17314</v>
      </c>
      <c r="V1047" t="s">
        <v>17315</v>
      </c>
      <c r="W1047" t="s">
        <v>17316</v>
      </c>
      <c r="X1047" t="s">
        <v>17317</v>
      </c>
      <c r="Y1047" t="s">
        <v>17318</v>
      </c>
      <c r="Z1047" t="s">
        <v>8478</v>
      </c>
      <c r="AA1047" t="s">
        <v>17319</v>
      </c>
      <c r="AB1047" t="s">
        <v>17320</v>
      </c>
      <c r="AG1047">
        <v>60</v>
      </c>
      <c r="AH1047">
        <v>28</v>
      </c>
      <c r="AI1047">
        <v>29</v>
      </c>
      <c r="AJ1047">
        <v>1</v>
      </c>
      <c r="AK1047">
        <v>36</v>
      </c>
      <c r="AL1047" t="s">
        <v>430</v>
      </c>
      <c r="AM1047" t="s">
        <v>7361</v>
      </c>
      <c r="AN1047" t="s">
        <v>7362</v>
      </c>
      <c r="AO1047" t="s">
        <v>432</v>
      </c>
      <c r="AP1047" t="s">
        <v>1394</v>
      </c>
      <c r="AR1047" t="s">
        <v>433</v>
      </c>
      <c r="AS1047" t="s">
        <v>434</v>
      </c>
      <c r="AT1047" t="s">
        <v>951</v>
      </c>
      <c r="AU1047">
        <v>2018</v>
      </c>
      <c r="AV1047">
        <v>242</v>
      </c>
      <c r="AX1047" t="s">
        <v>13570</v>
      </c>
      <c r="BB1047">
        <v>1720</v>
      </c>
      <c r="BC1047">
        <v>1728</v>
      </c>
      <c r="BE1047" t="s">
        <v>17321</v>
      </c>
      <c r="BF1047" t="s">
        <v>17322</v>
      </c>
      <c r="BI1047">
        <v>9</v>
      </c>
      <c r="BJ1047" t="s">
        <v>144</v>
      </c>
      <c r="BK1047" t="s">
        <v>96</v>
      </c>
      <c r="BL1047" t="s">
        <v>145</v>
      </c>
      <c r="BM1047" t="s">
        <v>17323</v>
      </c>
      <c r="BN1047">
        <v>30064872</v>
      </c>
      <c r="BR1047" t="s">
        <v>98</v>
      </c>
      <c r="BS1047" t="s">
        <v>17324</v>
      </c>
      <c r="BT1047" t="s">
        <v>16602</v>
      </c>
    </row>
    <row r="1048" spans="1:72">
      <c r="A1048" t="s">
        <v>72</v>
      </c>
      <c r="B1048" t="s">
        <v>17325</v>
      </c>
      <c r="F1048" t="s">
        <v>17326</v>
      </c>
      <c r="I1048" t="s">
        <v>17327</v>
      </c>
      <c r="J1048" t="s">
        <v>6630</v>
      </c>
      <c r="M1048" t="s">
        <v>78</v>
      </c>
      <c r="N1048" t="s">
        <v>79</v>
      </c>
      <c r="U1048" t="s">
        <v>17328</v>
      </c>
      <c r="V1048" t="s">
        <v>17329</v>
      </c>
      <c r="W1048" t="s">
        <v>17330</v>
      </c>
      <c r="X1048" t="s">
        <v>6634</v>
      </c>
      <c r="Y1048" t="s">
        <v>6635</v>
      </c>
      <c r="Z1048" t="s">
        <v>17331</v>
      </c>
      <c r="AA1048" t="s">
        <v>17332</v>
      </c>
      <c r="AB1048" t="s">
        <v>6638</v>
      </c>
      <c r="AG1048">
        <v>27</v>
      </c>
      <c r="AH1048">
        <v>6</v>
      </c>
      <c r="AI1048">
        <v>7</v>
      </c>
      <c r="AJ1048">
        <v>0</v>
      </c>
      <c r="AK1048">
        <v>43</v>
      </c>
      <c r="AL1048" t="s">
        <v>408</v>
      </c>
      <c r="AM1048" t="s">
        <v>409</v>
      </c>
      <c r="AN1048" t="s">
        <v>1188</v>
      </c>
      <c r="AO1048" t="s">
        <v>6642</v>
      </c>
      <c r="AP1048" t="s">
        <v>6643</v>
      </c>
      <c r="AR1048" t="s">
        <v>6644</v>
      </c>
      <c r="AS1048" t="s">
        <v>6645</v>
      </c>
      <c r="AT1048" t="s">
        <v>15392</v>
      </c>
      <c r="AU1048">
        <v>2014</v>
      </c>
      <c r="AV1048">
        <v>77</v>
      </c>
      <c r="AW1048">
        <v>4</v>
      </c>
      <c r="BB1048">
        <v>214</v>
      </c>
      <c r="BC1048">
        <v>222</v>
      </c>
      <c r="BE1048" t="s">
        <v>17333</v>
      </c>
      <c r="BF1048" t="s">
        <v>17334</v>
      </c>
      <c r="BI1048">
        <v>9</v>
      </c>
      <c r="BJ1048" t="s">
        <v>5162</v>
      </c>
      <c r="BK1048" t="s">
        <v>96</v>
      </c>
      <c r="BL1048" t="s">
        <v>5163</v>
      </c>
      <c r="BM1048" t="s">
        <v>17335</v>
      </c>
      <c r="BN1048">
        <v>24555680</v>
      </c>
      <c r="BR1048" t="s">
        <v>98</v>
      </c>
      <c r="BS1048" t="s">
        <v>17336</v>
      </c>
      <c r="BT1048" t="s">
        <v>16602</v>
      </c>
    </row>
    <row r="1049" spans="1:72">
      <c r="A1049" t="s">
        <v>72</v>
      </c>
      <c r="B1049" t="s">
        <v>17337</v>
      </c>
      <c r="F1049" t="s">
        <v>17337</v>
      </c>
      <c r="I1049" t="s">
        <v>17338</v>
      </c>
      <c r="J1049" t="s">
        <v>232</v>
      </c>
      <c r="M1049" t="s">
        <v>78</v>
      </c>
      <c r="N1049" t="s">
        <v>79</v>
      </c>
      <c r="U1049" t="s">
        <v>17339</v>
      </c>
      <c r="V1049" t="s">
        <v>17340</v>
      </c>
      <c r="Y1049" t="s">
        <v>17341</v>
      </c>
      <c r="AG1049">
        <v>20</v>
      </c>
      <c r="AH1049">
        <v>42</v>
      </c>
      <c r="AI1049">
        <v>42</v>
      </c>
      <c r="AJ1049">
        <v>0</v>
      </c>
      <c r="AK1049">
        <v>8</v>
      </c>
      <c r="AL1049" t="s">
        <v>136</v>
      </c>
      <c r="AM1049" t="s">
        <v>137</v>
      </c>
      <c r="AN1049" t="s">
        <v>138</v>
      </c>
      <c r="AO1049" t="s">
        <v>240</v>
      </c>
      <c r="AP1049" t="s">
        <v>241</v>
      </c>
      <c r="AR1049" t="s">
        <v>242</v>
      </c>
      <c r="AS1049" t="s">
        <v>243</v>
      </c>
      <c r="AT1049" t="s">
        <v>170</v>
      </c>
      <c r="AU1049">
        <v>1992</v>
      </c>
      <c r="AV1049">
        <v>24</v>
      </c>
      <c r="AW1049">
        <v>5</v>
      </c>
      <c r="BB1049">
        <v>250</v>
      </c>
      <c r="BC1049">
        <v>258</v>
      </c>
      <c r="BE1049" t="s">
        <v>17342</v>
      </c>
      <c r="BF1049" t="s">
        <v>17343</v>
      </c>
      <c r="BI1049">
        <v>9</v>
      </c>
      <c r="BJ1049" t="s">
        <v>247</v>
      </c>
      <c r="BK1049" t="s">
        <v>96</v>
      </c>
      <c r="BL1049" t="s">
        <v>248</v>
      </c>
      <c r="BM1049" t="s">
        <v>17344</v>
      </c>
      <c r="BR1049" t="s">
        <v>98</v>
      </c>
      <c r="BS1049" t="s">
        <v>17345</v>
      </c>
      <c r="BT1049" t="s">
        <v>16602</v>
      </c>
    </row>
    <row r="1050" spans="1:72">
      <c r="A1050" t="s">
        <v>72</v>
      </c>
      <c r="B1050" t="s">
        <v>17346</v>
      </c>
      <c r="F1050" t="s">
        <v>17346</v>
      </c>
      <c r="I1050" t="s">
        <v>17347</v>
      </c>
      <c r="J1050" t="s">
        <v>2894</v>
      </c>
      <c r="M1050" t="s">
        <v>78</v>
      </c>
      <c r="N1050" t="s">
        <v>79</v>
      </c>
      <c r="T1050" t="s">
        <v>17348</v>
      </c>
      <c r="U1050" t="s">
        <v>17349</v>
      </c>
      <c r="V1050" t="s">
        <v>17350</v>
      </c>
      <c r="Y1050" t="s">
        <v>17351</v>
      </c>
      <c r="AB1050" t="s">
        <v>17352</v>
      </c>
      <c r="AG1050">
        <v>22</v>
      </c>
      <c r="AH1050">
        <v>16</v>
      </c>
      <c r="AI1050">
        <v>17</v>
      </c>
      <c r="AJ1050">
        <v>0</v>
      </c>
      <c r="AK1050">
        <v>2</v>
      </c>
      <c r="AL1050" t="s">
        <v>2904</v>
      </c>
      <c r="AM1050" t="s">
        <v>2905</v>
      </c>
      <c r="AN1050" t="s">
        <v>2906</v>
      </c>
      <c r="AO1050" t="s">
        <v>2907</v>
      </c>
      <c r="AR1050" t="s">
        <v>2908</v>
      </c>
      <c r="AS1050" t="s">
        <v>2909</v>
      </c>
      <c r="AT1050" t="s">
        <v>197</v>
      </c>
      <c r="AU1050">
        <v>1993</v>
      </c>
      <c r="AV1050">
        <v>102</v>
      </c>
      <c r="AW1050" t="s">
        <v>326</v>
      </c>
      <c r="BB1050">
        <v>135</v>
      </c>
      <c r="BC1050">
        <v>142</v>
      </c>
      <c r="BE1050" t="s">
        <v>17353</v>
      </c>
      <c r="BF1050" t="s">
        <v>17354</v>
      </c>
      <c r="BI1050">
        <v>8</v>
      </c>
      <c r="BJ1050" t="s">
        <v>2911</v>
      </c>
      <c r="BK1050" t="s">
        <v>96</v>
      </c>
      <c r="BL1050" t="s">
        <v>2912</v>
      </c>
      <c r="BM1050" t="s">
        <v>17355</v>
      </c>
      <c r="BO1050" t="s">
        <v>370</v>
      </c>
      <c r="BR1050" t="s">
        <v>98</v>
      </c>
      <c r="BS1050" t="s">
        <v>17356</v>
      </c>
      <c r="BT1050" t="s">
        <v>16602</v>
      </c>
    </row>
    <row r="1051" spans="1:72">
      <c r="A1051" t="s">
        <v>72</v>
      </c>
      <c r="B1051" t="s">
        <v>17357</v>
      </c>
      <c r="F1051" t="s">
        <v>17358</v>
      </c>
      <c r="I1051" t="s">
        <v>17359</v>
      </c>
      <c r="J1051" t="s">
        <v>127</v>
      </c>
      <c r="M1051" t="s">
        <v>78</v>
      </c>
      <c r="N1051" t="s">
        <v>79</v>
      </c>
      <c r="T1051" t="s">
        <v>17360</v>
      </c>
      <c r="U1051" t="s">
        <v>17361</v>
      </c>
      <c r="V1051" t="s">
        <v>17362</v>
      </c>
      <c r="W1051" t="s">
        <v>17363</v>
      </c>
      <c r="X1051" t="s">
        <v>17364</v>
      </c>
      <c r="Y1051" t="s">
        <v>17365</v>
      </c>
      <c r="Z1051" t="s">
        <v>17366</v>
      </c>
      <c r="AA1051" t="s">
        <v>17367</v>
      </c>
      <c r="AB1051" t="s">
        <v>17368</v>
      </c>
      <c r="AC1051" t="s">
        <v>17369</v>
      </c>
      <c r="AD1051" t="s">
        <v>17369</v>
      </c>
      <c r="AE1051" t="s">
        <v>17370</v>
      </c>
      <c r="AG1051">
        <v>152</v>
      </c>
      <c r="AH1051">
        <v>19</v>
      </c>
      <c r="AI1051">
        <v>19</v>
      </c>
      <c r="AJ1051">
        <v>3</v>
      </c>
      <c r="AK1051">
        <v>31</v>
      </c>
      <c r="AL1051" t="s">
        <v>136</v>
      </c>
      <c r="AM1051" t="s">
        <v>137</v>
      </c>
      <c r="AN1051" t="s">
        <v>138</v>
      </c>
      <c r="AO1051" t="s">
        <v>139</v>
      </c>
      <c r="AP1051" t="s">
        <v>140</v>
      </c>
      <c r="AR1051" t="s">
        <v>127</v>
      </c>
      <c r="AS1051" t="s">
        <v>141</v>
      </c>
      <c r="AT1051" t="s">
        <v>305</v>
      </c>
      <c r="AU1051">
        <v>2018</v>
      </c>
      <c r="AV1051">
        <v>207</v>
      </c>
      <c r="BB1051">
        <v>725</v>
      </c>
      <c r="BC1051">
        <v>741</v>
      </c>
      <c r="BE1051" t="s">
        <v>17371</v>
      </c>
      <c r="BF1051" t="s">
        <v>17372</v>
      </c>
      <c r="BI1051">
        <v>17</v>
      </c>
      <c r="BJ1051" t="s">
        <v>144</v>
      </c>
      <c r="BK1051" t="s">
        <v>96</v>
      </c>
      <c r="BL1051" t="s">
        <v>145</v>
      </c>
      <c r="BM1051" t="s">
        <v>10185</v>
      </c>
      <c r="BN1051">
        <v>29859485</v>
      </c>
      <c r="BR1051" t="s">
        <v>98</v>
      </c>
      <c r="BS1051" t="s">
        <v>17373</v>
      </c>
      <c r="BT1051" t="s">
        <v>16602</v>
      </c>
    </row>
    <row r="1052" spans="1:72">
      <c r="A1052" t="s">
        <v>72</v>
      </c>
      <c r="B1052" t="s">
        <v>17374</v>
      </c>
      <c r="F1052" t="s">
        <v>17375</v>
      </c>
      <c r="I1052" t="s">
        <v>17376</v>
      </c>
      <c r="J1052" t="s">
        <v>1275</v>
      </c>
      <c r="M1052" t="s">
        <v>78</v>
      </c>
      <c r="N1052" t="s">
        <v>79</v>
      </c>
      <c r="T1052" t="s">
        <v>17377</v>
      </c>
      <c r="U1052" t="s">
        <v>17378</v>
      </c>
      <c r="V1052" t="s">
        <v>17379</v>
      </c>
      <c r="W1052" t="s">
        <v>17380</v>
      </c>
      <c r="X1052" t="s">
        <v>17381</v>
      </c>
      <c r="Y1052" t="s">
        <v>17382</v>
      </c>
      <c r="Z1052" t="s">
        <v>17383</v>
      </c>
      <c r="AA1052" t="s">
        <v>17384</v>
      </c>
      <c r="AB1052" t="s">
        <v>17385</v>
      </c>
      <c r="AC1052" t="s">
        <v>17386</v>
      </c>
      <c r="AD1052" t="s">
        <v>17386</v>
      </c>
      <c r="AE1052" t="s">
        <v>17387</v>
      </c>
      <c r="AG1052">
        <v>83</v>
      </c>
      <c r="AH1052">
        <v>10</v>
      </c>
      <c r="AI1052">
        <v>10</v>
      </c>
      <c r="AJ1052">
        <v>1</v>
      </c>
      <c r="AK1052">
        <v>15</v>
      </c>
      <c r="AL1052" t="s">
        <v>650</v>
      </c>
      <c r="AM1052" t="s">
        <v>651</v>
      </c>
      <c r="AN1052" t="s">
        <v>652</v>
      </c>
      <c r="AO1052" t="s">
        <v>1287</v>
      </c>
      <c r="AR1052" t="s">
        <v>1288</v>
      </c>
      <c r="AS1052" t="s">
        <v>1289</v>
      </c>
      <c r="AT1052" t="s">
        <v>1470</v>
      </c>
      <c r="AU1052">
        <v>2021</v>
      </c>
      <c r="AV1052">
        <v>41</v>
      </c>
      <c r="BD1052">
        <v>101552</v>
      </c>
      <c r="BE1052" t="s">
        <v>17388</v>
      </c>
      <c r="BF1052" t="s">
        <v>17389</v>
      </c>
      <c r="BH1052" t="s">
        <v>2597</v>
      </c>
      <c r="BI1052">
        <v>12</v>
      </c>
      <c r="BJ1052" t="s">
        <v>1292</v>
      </c>
      <c r="BK1052" t="s">
        <v>96</v>
      </c>
      <c r="BL1052" t="s">
        <v>248</v>
      </c>
      <c r="BM1052" t="s">
        <v>17390</v>
      </c>
      <c r="BR1052" t="s">
        <v>98</v>
      </c>
      <c r="BS1052" t="s">
        <v>17391</v>
      </c>
      <c r="BT1052" t="s">
        <v>16602</v>
      </c>
    </row>
    <row r="1053" spans="1:72">
      <c r="A1053" t="s">
        <v>72</v>
      </c>
      <c r="B1053" t="s">
        <v>17392</v>
      </c>
      <c r="F1053" t="s">
        <v>17392</v>
      </c>
      <c r="I1053" t="s">
        <v>17393</v>
      </c>
      <c r="J1053" t="s">
        <v>1097</v>
      </c>
      <c r="M1053" t="s">
        <v>78</v>
      </c>
      <c r="N1053" t="s">
        <v>79</v>
      </c>
      <c r="U1053" t="s">
        <v>17394</v>
      </c>
      <c r="V1053" t="s">
        <v>17395</v>
      </c>
      <c r="W1053" t="s">
        <v>17396</v>
      </c>
      <c r="X1053" t="s">
        <v>17397</v>
      </c>
      <c r="Y1053" t="s">
        <v>17398</v>
      </c>
      <c r="Z1053" t="s">
        <v>17399</v>
      </c>
      <c r="AA1053" t="s">
        <v>17400</v>
      </c>
      <c r="AB1053" t="s">
        <v>17401</v>
      </c>
      <c r="AG1053">
        <v>54</v>
      </c>
      <c r="AH1053">
        <v>17</v>
      </c>
      <c r="AI1053">
        <v>20</v>
      </c>
      <c r="AJ1053">
        <v>0</v>
      </c>
      <c r="AK1053">
        <v>26</v>
      </c>
      <c r="AL1053" t="s">
        <v>217</v>
      </c>
      <c r="AM1053" t="s">
        <v>218</v>
      </c>
      <c r="AN1053" t="s">
        <v>219</v>
      </c>
      <c r="AO1053" t="s">
        <v>1100</v>
      </c>
      <c r="AP1053" t="s">
        <v>1101</v>
      </c>
      <c r="AR1053" t="s">
        <v>1102</v>
      </c>
      <c r="AS1053" t="s">
        <v>1103</v>
      </c>
      <c r="AT1053" t="s">
        <v>765</v>
      </c>
      <c r="AU1053">
        <v>2005</v>
      </c>
      <c r="AV1053">
        <v>147</v>
      </c>
      <c r="AW1053">
        <v>3</v>
      </c>
      <c r="BB1053">
        <v>671</v>
      </c>
      <c r="BC1053">
        <v>679</v>
      </c>
      <c r="BE1053" t="s">
        <v>17402</v>
      </c>
      <c r="BF1053" t="s">
        <v>17403</v>
      </c>
      <c r="BI1053">
        <v>9</v>
      </c>
      <c r="BJ1053" t="s">
        <v>680</v>
      </c>
      <c r="BK1053" t="s">
        <v>96</v>
      </c>
      <c r="BL1053" t="s">
        <v>680</v>
      </c>
      <c r="BM1053" t="s">
        <v>17404</v>
      </c>
      <c r="BR1053" t="s">
        <v>98</v>
      </c>
      <c r="BS1053" t="s">
        <v>17405</v>
      </c>
      <c r="BT1053" t="s">
        <v>16602</v>
      </c>
    </row>
    <row r="1054" spans="1:72">
      <c r="A1054" t="s">
        <v>72</v>
      </c>
      <c r="B1054" t="s">
        <v>17406</v>
      </c>
      <c r="F1054" t="s">
        <v>17407</v>
      </c>
      <c r="I1054" t="s">
        <v>17408</v>
      </c>
      <c r="J1054" t="s">
        <v>775</v>
      </c>
      <c r="M1054" t="s">
        <v>78</v>
      </c>
      <c r="N1054" t="s">
        <v>79</v>
      </c>
      <c r="T1054" t="s">
        <v>17409</v>
      </c>
      <c r="U1054" t="s">
        <v>17410</v>
      </c>
      <c r="V1054" t="s">
        <v>17411</v>
      </c>
      <c r="W1054" t="s">
        <v>17412</v>
      </c>
      <c r="X1054" t="s">
        <v>17413</v>
      </c>
      <c r="Y1054" t="s">
        <v>17414</v>
      </c>
      <c r="Z1054" t="s">
        <v>17415</v>
      </c>
      <c r="AC1054" t="s">
        <v>17416</v>
      </c>
      <c r="AD1054" t="s">
        <v>17417</v>
      </c>
      <c r="AE1054" t="s">
        <v>17418</v>
      </c>
      <c r="AG1054">
        <v>44</v>
      </c>
      <c r="AH1054">
        <v>49</v>
      </c>
      <c r="AI1054">
        <v>61</v>
      </c>
      <c r="AJ1054">
        <v>2</v>
      </c>
      <c r="AK1054">
        <v>166</v>
      </c>
      <c r="AL1054" t="s">
        <v>788</v>
      </c>
      <c r="AM1054" t="s">
        <v>789</v>
      </c>
      <c r="AN1054" t="s">
        <v>790</v>
      </c>
      <c r="AO1054" t="s">
        <v>791</v>
      </c>
      <c r="AP1054" t="s">
        <v>2885</v>
      </c>
      <c r="AR1054" t="s">
        <v>792</v>
      </c>
      <c r="AS1054" t="s">
        <v>793</v>
      </c>
      <c r="AT1054" t="s">
        <v>119</v>
      </c>
      <c r="AU1054">
        <v>2014</v>
      </c>
      <c r="AV1054">
        <v>160</v>
      </c>
      <c r="AW1054">
        <v>2</v>
      </c>
      <c r="BB1054">
        <v>276</v>
      </c>
      <c r="BC1054">
        <v>284</v>
      </c>
      <c r="BE1054" t="s">
        <v>17419</v>
      </c>
      <c r="BF1054" t="s">
        <v>17420</v>
      </c>
      <c r="BI1054">
        <v>9</v>
      </c>
      <c r="BJ1054" t="s">
        <v>795</v>
      </c>
      <c r="BK1054" t="s">
        <v>96</v>
      </c>
      <c r="BL1054" t="s">
        <v>795</v>
      </c>
      <c r="BM1054" t="s">
        <v>17421</v>
      </c>
      <c r="BN1054">
        <v>24958019</v>
      </c>
      <c r="BR1054" t="s">
        <v>98</v>
      </c>
      <c r="BS1054" t="s">
        <v>17422</v>
      </c>
      <c r="BT1054" t="s">
        <v>16602</v>
      </c>
    </row>
    <row r="1055" spans="1:72">
      <c r="A1055" t="s">
        <v>72</v>
      </c>
      <c r="B1055" t="s">
        <v>17423</v>
      </c>
      <c r="F1055" t="s">
        <v>17424</v>
      </c>
      <c r="I1055" t="s">
        <v>17425</v>
      </c>
      <c r="J1055" t="s">
        <v>204</v>
      </c>
      <c r="M1055" t="s">
        <v>78</v>
      </c>
      <c r="N1055" t="s">
        <v>79</v>
      </c>
      <c r="T1055" t="s">
        <v>17426</v>
      </c>
      <c r="U1055" t="s">
        <v>17427</v>
      </c>
      <c r="V1055" t="s">
        <v>17428</v>
      </c>
      <c r="W1055" t="s">
        <v>17429</v>
      </c>
      <c r="X1055" t="s">
        <v>17430</v>
      </c>
      <c r="Y1055" t="s">
        <v>17431</v>
      </c>
      <c r="Z1055" t="s">
        <v>17432</v>
      </c>
      <c r="AA1055" t="s">
        <v>17433</v>
      </c>
      <c r="AB1055" t="s">
        <v>17434</v>
      </c>
      <c r="AC1055" t="s">
        <v>17435</v>
      </c>
      <c r="AD1055" t="s">
        <v>17436</v>
      </c>
      <c r="AE1055" t="s">
        <v>17437</v>
      </c>
      <c r="AG1055">
        <v>84</v>
      </c>
      <c r="AH1055">
        <v>14</v>
      </c>
      <c r="AI1055">
        <v>17</v>
      </c>
      <c r="AJ1055">
        <v>0</v>
      </c>
      <c r="AK1055">
        <v>41</v>
      </c>
      <c r="AL1055" t="s">
        <v>217</v>
      </c>
      <c r="AM1055" t="s">
        <v>218</v>
      </c>
      <c r="AN1055" t="s">
        <v>219</v>
      </c>
      <c r="AO1055" t="s">
        <v>220</v>
      </c>
      <c r="AP1055" t="s">
        <v>221</v>
      </c>
      <c r="AR1055" t="s">
        <v>222</v>
      </c>
      <c r="AS1055" t="s">
        <v>223</v>
      </c>
      <c r="AT1055" t="s">
        <v>305</v>
      </c>
      <c r="AU1055">
        <v>2020</v>
      </c>
      <c r="AV1055">
        <v>27</v>
      </c>
      <c r="AW1055">
        <v>25</v>
      </c>
      <c r="BB1055">
        <v>30945</v>
      </c>
      <c r="BC1055">
        <v>30956</v>
      </c>
      <c r="BE1055" t="s">
        <v>17438</v>
      </c>
      <c r="BF1055" t="s">
        <v>17439</v>
      </c>
      <c r="BH1055" t="s">
        <v>17440</v>
      </c>
      <c r="BI1055">
        <v>12</v>
      </c>
      <c r="BJ1055" t="s">
        <v>144</v>
      </c>
      <c r="BK1055" t="s">
        <v>96</v>
      </c>
      <c r="BL1055" t="s">
        <v>145</v>
      </c>
      <c r="BM1055" t="s">
        <v>17441</v>
      </c>
      <c r="BN1055">
        <v>31808098</v>
      </c>
      <c r="BR1055" t="s">
        <v>98</v>
      </c>
      <c r="BS1055" t="s">
        <v>17442</v>
      </c>
      <c r="BT1055" t="s">
        <v>16602</v>
      </c>
    </row>
    <row r="1056" spans="1:72">
      <c r="A1056" t="s">
        <v>72</v>
      </c>
      <c r="B1056" t="s">
        <v>17443</v>
      </c>
      <c r="F1056" t="s">
        <v>17444</v>
      </c>
      <c r="I1056" t="s">
        <v>17445</v>
      </c>
      <c r="J1056" t="s">
        <v>17446</v>
      </c>
      <c r="M1056" t="s">
        <v>78</v>
      </c>
      <c r="N1056" t="s">
        <v>79</v>
      </c>
      <c r="U1056" t="s">
        <v>17447</v>
      </c>
      <c r="V1056" t="s">
        <v>17448</v>
      </c>
      <c r="W1056" t="s">
        <v>17449</v>
      </c>
      <c r="X1056" t="s">
        <v>17450</v>
      </c>
      <c r="Y1056" t="s">
        <v>17451</v>
      </c>
      <c r="Z1056" t="s">
        <v>17452</v>
      </c>
      <c r="AC1056" t="s">
        <v>17453</v>
      </c>
      <c r="AD1056" t="s">
        <v>17453</v>
      </c>
      <c r="AE1056" t="s">
        <v>17454</v>
      </c>
      <c r="AG1056">
        <v>25</v>
      </c>
      <c r="AH1056">
        <v>1</v>
      </c>
      <c r="AI1056">
        <v>2</v>
      </c>
      <c r="AJ1056">
        <v>0</v>
      </c>
      <c r="AK1056">
        <v>13</v>
      </c>
      <c r="AL1056" t="s">
        <v>17455</v>
      </c>
      <c r="AM1056" t="s">
        <v>17456</v>
      </c>
      <c r="AN1056" t="s">
        <v>17457</v>
      </c>
      <c r="AO1056" t="s">
        <v>17458</v>
      </c>
      <c r="AR1056" t="s">
        <v>17459</v>
      </c>
      <c r="AS1056" t="s">
        <v>17460</v>
      </c>
      <c r="AT1056" t="s">
        <v>197</v>
      </c>
      <c r="AU1056">
        <v>2010</v>
      </c>
      <c r="AV1056">
        <v>25</v>
      </c>
      <c r="AW1056">
        <v>4</v>
      </c>
      <c r="BB1056">
        <v>575</v>
      </c>
      <c r="BC1056">
        <v>587</v>
      </c>
      <c r="BE1056" t="s">
        <v>17461</v>
      </c>
      <c r="BF1056" t="s">
        <v>17462</v>
      </c>
      <c r="BI1056">
        <v>13</v>
      </c>
      <c r="BJ1056" t="s">
        <v>17463</v>
      </c>
      <c r="BK1056" t="s">
        <v>96</v>
      </c>
      <c r="BL1056" t="s">
        <v>248</v>
      </c>
      <c r="BM1056" t="s">
        <v>17464</v>
      </c>
      <c r="BR1056" t="s">
        <v>98</v>
      </c>
      <c r="BS1056" t="s">
        <v>17465</v>
      </c>
      <c r="BT1056" t="s">
        <v>16602</v>
      </c>
    </row>
    <row r="1057" spans="1:72">
      <c r="A1057" t="s">
        <v>72</v>
      </c>
      <c r="B1057" t="s">
        <v>17466</v>
      </c>
      <c r="F1057" t="s">
        <v>17467</v>
      </c>
      <c r="I1057" t="s">
        <v>17468</v>
      </c>
      <c r="J1057" t="s">
        <v>909</v>
      </c>
      <c r="M1057" t="s">
        <v>78</v>
      </c>
      <c r="N1057" t="s">
        <v>79</v>
      </c>
      <c r="T1057" t="s">
        <v>17469</v>
      </c>
      <c r="U1057" t="s">
        <v>17470</v>
      </c>
      <c r="V1057" t="s">
        <v>17471</v>
      </c>
      <c r="W1057" t="s">
        <v>17472</v>
      </c>
      <c r="X1057" t="s">
        <v>17473</v>
      </c>
      <c r="Y1057" t="s">
        <v>17474</v>
      </c>
      <c r="Z1057" t="s">
        <v>17475</v>
      </c>
      <c r="AA1057" t="s">
        <v>17476</v>
      </c>
      <c r="AB1057" t="s">
        <v>17477</v>
      </c>
      <c r="AC1057" t="s">
        <v>17478</v>
      </c>
      <c r="AD1057" t="s">
        <v>17479</v>
      </c>
      <c r="AE1057" t="s">
        <v>17480</v>
      </c>
      <c r="AG1057">
        <v>89</v>
      </c>
      <c r="AH1057">
        <v>2</v>
      </c>
      <c r="AI1057">
        <v>2</v>
      </c>
      <c r="AJ1057">
        <v>0</v>
      </c>
      <c r="AK1057">
        <v>29</v>
      </c>
      <c r="AL1057" t="s">
        <v>650</v>
      </c>
      <c r="AM1057" t="s">
        <v>651</v>
      </c>
      <c r="AN1057" t="s">
        <v>652</v>
      </c>
      <c r="AO1057" t="s">
        <v>921</v>
      </c>
      <c r="AP1057" t="s">
        <v>922</v>
      </c>
      <c r="AR1057" t="s">
        <v>923</v>
      </c>
      <c r="AS1057" t="s">
        <v>924</v>
      </c>
      <c r="AT1057" t="s">
        <v>2303</v>
      </c>
      <c r="AU1057">
        <v>2016</v>
      </c>
      <c r="AV1057">
        <v>572</v>
      </c>
      <c r="BB1057">
        <v>782</v>
      </c>
      <c r="BC1057">
        <v>793</v>
      </c>
      <c r="BE1057" t="s">
        <v>17481</v>
      </c>
      <c r="BF1057" t="s">
        <v>17482</v>
      </c>
      <c r="BI1057">
        <v>12</v>
      </c>
      <c r="BJ1057" t="s">
        <v>144</v>
      </c>
      <c r="BK1057" t="s">
        <v>96</v>
      </c>
      <c r="BL1057" t="s">
        <v>145</v>
      </c>
      <c r="BM1057" t="s">
        <v>17483</v>
      </c>
      <c r="BN1057">
        <v>27622695</v>
      </c>
      <c r="BO1057" t="s">
        <v>2744</v>
      </c>
      <c r="BR1057" t="s">
        <v>98</v>
      </c>
      <c r="BS1057" t="s">
        <v>17484</v>
      </c>
      <c r="BT1057" t="s">
        <v>16602</v>
      </c>
    </row>
    <row r="1058" spans="1:72">
      <c r="A1058" t="s">
        <v>72</v>
      </c>
      <c r="B1058" t="s">
        <v>17485</v>
      </c>
      <c r="F1058" t="s">
        <v>17485</v>
      </c>
      <c r="I1058" t="s">
        <v>17486</v>
      </c>
      <c r="J1058" t="s">
        <v>232</v>
      </c>
      <c r="M1058" t="s">
        <v>78</v>
      </c>
      <c r="N1058" t="s">
        <v>79</v>
      </c>
      <c r="T1058" t="s">
        <v>17487</v>
      </c>
      <c r="U1058" t="s">
        <v>17488</v>
      </c>
      <c r="V1058" t="s">
        <v>17489</v>
      </c>
      <c r="Y1058" t="s">
        <v>17490</v>
      </c>
      <c r="AA1058" t="s">
        <v>17491</v>
      </c>
      <c r="AB1058" t="s">
        <v>17492</v>
      </c>
      <c r="AG1058">
        <v>43</v>
      </c>
      <c r="AH1058">
        <v>23</v>
      </c>
      <c r="AI1058">
        <v>29</v>
      </c>
      <c r="AJ1058">
        <v>0</v>
      </c>
      <c r="AK1058">
        <v>9</v>
      </c>
      <c r="AL1058" t="s">
        <v>136</v>
      </c>
      <c r="AM1058" t="s">
        <v>137</v>
      </c>
      <c r="AN1058" t="s">
        <v>138</v>
      </c>
      <c r="AO1058" t="s">
        <v>240</v>
      </c>
      <c r="AP1058" t="s">
        <v>241</v>
      </c>
      <c r="AR1058" t="s">
        <v>242</v>
      </c>
      <c r="AS1058" t="s">
        <v>243</v>
      </c>
      <c r="AT1058" t="s">
        <v>305</v>
      </c>
      <c r="AU1058">
        <v>1997</v>
      </c>
      <c r="AV1058">
        <v>34</v>
      </c>
      <c r="AW1058">
        <v>9</v>
      </c>
      <c r="BB1058">
        <v>721</v>
      </c>
      <c r="BC1058">
        <v>729</v>
      </c>
      <c r="BE1058" t="s">
        <v>17493</v>
      </c>
      <c r="BF1058" t="s">
        <v>17494</v>
      </c>
      <c r="BI1058">
        <v>9</v>
      </c>
      <c r="BJ1058" t="s">
        <v>247</v>
      </c>
      <c r="BK1058" t="s">
        <v>96</v>
      </c>
      <c r="BL1058" t="s">
        <v>248</v>
      </c>
      <c r="BM1058" t="s">
        <v>17495</v>
      </c>
      <c r="BR1058" t="s">
        <v>98</v>
      </c>
      <c r="BS1058" t="s">
        <v>17496</v>
      </c>
      <c r="BT1058" t="s">
        <v>16602</v>
      </c>
    </row>
    <row r="1059" spans="1:72">
      <c r="A1059" t="s">
        <v>72</v>
      </c>
      <c r="B1059" t="s">
        <v>17497</v>
      </c>
      <c r="F1059" t="s">
        <v>17498</v>
      </c>
      <c r="I1059" t="s">
        <v>17499</v>
      </c>
      <c r="J1059" t="s">
        <v>232</v>
      </c>
      <c r="M1059" t="s">
        <v>78</v>
      </c>
      <c r="N1059" t="s">
        <v>79</v>
      </c>
      <c r="T1059" t="s">
        <v>17500</v>
      </c>
      <c r="U1059" t="s">
        <v>17501</v>
      </c>
      <c r="V1059" t="s">
        <v>17502</v>
      </c>
      <c r="W1059" t="s">
        <v>17503</v>
      </c>
      <c r="X1059" t="s">
        <v>17504</v>
      </c>
      <c r="Y1059" t="s">
        <v>17505</v>
      </c>
      <c r="Z1059" t="s">
        <v>17506</v>
      </c>
      <c r="AB1059" t="s">
        <v>17507</v>
      </c>
      <c r="AC1059" t="s">
        <v>17508</v>
      </c>
      <c r="AD1059" t="s">
        <v>17508</v>
      </c>
      <c r="AE1059" t="s">
        <v>17509</v>
      </c>
      <c r="AG1059">
        <v>40</v>
      </c>
      <c r="AH1059">
        <v>15</v>
      </c>
      <c r="AI1059">
        <v>16</v>
      </c>
      <c r="AJ1059">
        <v>0</v>
      </c>
      <c r="AK1059">
        <v>28</v>
      </c>
      <c r="AL1059" t="s">
        <v>136</v>
      </c>
      <c r="AM1059" t="s">
        <v>137</v>
      </c>
      <c r="AN1059" t="s">
        <v>138</v>
      </c>
      <c r="AO1059" t="s">
        <v>240</v>
      </c>
      <c r="AP1059" t="s">
        <v>241</v>
      </c>
      <c r="AR1059" t="s">
        <v>242</v>
      </c>
      <c r="AS1059" t="s">
        <v>243</v>
      </c>
      <c r="AT1059" t="s">
        <v>1856</v>
      </c>
      <c r="AU1059">
        <v>2014</v>
      </c>
      <c r="AV1059">
        <v>85</v>
      </c>
      <c r="AW1059">
        <v>1</v>
      </c>
      <c r="BB1059">
        <v>225</v>
      </c>
      <c r="BC1059">
        <v>234</v>
      </c>
      <c r="BE1059" t="s">
        <v>17510</v>
      </c>
      <c r="BF1059" t="s">
        <v>17511</v>
      </c>
      <c r="BI1059">
        <v>10</v>
      </c>
      <c r="BJ1059" t="s">
        <v>247</v>
      </c>
      <c r="BK1059" t="s">
        <v>96</v>
      </c>
      <c r="BL1059" t="s">
        <v>248</v>
      </c>
      <c r="BM1059" t="s">
        <v>17512</v>
      </c>
      <c r="BN1059">
        <v>24952455</v>
      </c>
      <c r="BR1059" t="s">
        <v>98</v>
      </c>
      <c r="BS1059" t="s">
        <v>17513</v>
      </c>
      <c r="BT1059" t="s">
        <v>16602</v>
      </c>
    </row>
    <row r="1060" spans="1:72">
      <c r="A1060" t="s">
        <v>72</v>
      </c>
      <c r="B1060" t="s">
        <v>17514</v>
      </c>
      <c r="F1060" t="s">
        <v>17514</v>
      </c>
      <c r="I1060" t="s">
        <v>17515</v>
      </c>
      <c r="J1060" t="s">
        <v>421</v>
      </c>
      <c r="M1060" t="s">
        <v>78</v>
      </c>
      <c r="N1060" t="s">
        <v>79</v>
      </c>
      <c r="U1060" t="s">
        <v>17516</v>
      </c>
      <c r="V1060" t="s">
        <v>17517</v>
      </c>
      <c r="W1060" t="s">
        <v>17518</v>
      </c>
      <c r="X1060" t="s">
        <v>17519</v>
      </c>
      <c r="Y1060" t="s">
        <v>17520</v>
      </c>
      <c r="AA1060" t="s">
        <v>11730</v>
      </c>
      <c r="AG1060">
        <v>22</v>
      </c>
      <c r="AH1060">
        <v>122</v>
      </c>
      <c r="AI1060">
        <v>134</v>
      </c>
      <c r="AJ1060">
        <v>0</v>
      </c>
      <c r="AK1060">
        <v>27</v>
      </c>
      <c r="AL1060" t="s">
        <v>430</v>
      </c>
      <c r="AM1060" t="s">
        <v>137</v>
      </c>
      <c r="AN1060" t="s">
        <v>431</v>
      </c>
      <c r="AO1060" t="s">
        <v>432</v>
      </c>
      <c r="AP1060" t="s">
        <v>1394</v>
      </c>
      <c r="AR1060" t="s">
        <v>433</v>
      </c>
      <c r="AS1060" t="s">
        <v>434</v>
      </c>
      <c r="AU1060">
        <v>1991</v>
      </c>
      <c r="AV1060">
        <v>74</v>
      </c>
      <c r="AW1060">
        <v>2</v>
      </c>
      <c r="BB1060">
        <v>101</v>
      </c>
      <c r="BC1060">
        <v>114</v>
      </c>
      <c r="BE1060" t="s">
        <v>17521</v>
      </c>
      <c r="BF1060" t="s">
        <v>17522</v>
      </c>
      <c r="BI1060">
        <v>14</v>
      </c>
      <c r="BJ1060" t="s">
        <v>144</v>
      </c>
      <c r="BK1060" t="s">
        <v>96</v>
      </c>
      <c r="BL1060" t="s">
        <v>145</v>
      </c>
      <c r="BM1060" t="s">
        <v>17523</v>
      </c>
      <c r="BN1060">
        <v>15092067</v>
      </c>
      <c r="BR1060" t="s">
        <v>98</v>
      </c>
      <c r="BS1060" t="s">
        <v>17524</v>
      </c>
      <c r="BT1060" t="s">
        <v>16602</v>
      </c>
    </row>
    <row r="1061" spans="1:72">
      <c r="A1061" t="s">
        <v>72</v>
      </c>
      <c r="B1061" t="s">
        <v>17525</v>
      </c>
      <c r="F1061" t="s">
        <v>17525</v>
      </c>
      <c r="I1061" t="s">
        <v>17526</v>
      </c>
      <c r="J1061" t="s">
        <v>641</v>
      </c>
      <c r="M1061" t="s">
        <v>78</v>
      </c>
      <c r="N1061" t="s">
        <v>79</v>
      </c>
      <c r="T1061" t="s">
        <v>17527</v>
      </c>
      <c r="U1061" t="s">
        <v>17528</v>
      </c>
      <c r="V1061" t="s">
        <v>17529</v>
      </c>
      <c r="W1061" t="s">
        <v>17530</v>
      </c>
      <c r="X1061" t="s">
        <v>17531</v>
      </c>
      <c r="Y1061" t="s">
        <v>17532</v>
      </c>
      <c r="Z1061" t="s">
        <v>17533</v>
      </c>
      <c r="AA1061" t="s">
        <v>13613</v>
      </c>
      <c r="AB1061" t="s">
        <v>17534</v>
      </c>
      <c r="AG1061">
        <v>36</v>
      </c>
      <c r="AH1061">
        <v>23</v>
      </c>
      <c r="AI1061">
        <v>24</v>
      </c>
      <c r="AJ1061">
        <v>0</v>
      </c>
      <c r="AK1061">
        <v>6</v>
      </c>
      <c r="AL1061" t="s">
        <v>650</v>
      </c>
      <c r="AM1061" t="s">
        <v>651</v>
      </c>
      <c r="AN1061" t="s">
        <v>652</v>
      </c>
      <c r="AO1061" t="s">
        <v>653</v>
      </c>
      <c r="AP1061" t="s">
        <v>654</v>
      </c>
      <c r="AR1061" t="s">
        <v>655</v>
      </c>
      <c r="AS1061" t="s">
        <v>656</v>
      </c>
      <c r="AT1061" t="s">
        <v>17535</v>
      </c>
      <c r="AU1061">
        <v>2006</v>
      </c>
      <c r="AV1061">
        <v>76</v>
      </c>
      <c r="AW1061">
        <v>1</v>
      </c>
      <c r="BB1061">
        <v>59</v>
      </c>
      <c r="BC1061">
        <v>68</v>
      </c>
      <c r="BE1061" t="s">
        <v>17536</v>
      </c>
      <c r="BF1061" t="s">
        <v>17537</v>
      </c>
      <c r="BI1061">
        <v>10</v>
      </c>
      <c r="BJ1061" t="s">
        <v>659</v>
      </c>
      <c r="BK1061" t="s">
        <v>96</v>
      </c>
      <c r="BL1061" t="s">
        <v>659</v>
      </c>
      <c r="BM1061" t="s">
        <v>17538</v>
      </c>
      <c r="BN1061">
        <v>16242791</v>
      </c>
      <c r="BR1061" t="s">
        <v>98</v>
      </c>
      <c r="BS1061" t="s">
        <v>17539</v>
      </c>
      <c r="BT1061" t="s">
        <v>16602</v>
      </c>
    </row>
    <row r="1062" spans="1:72">
      <c r="A1062" t="s">
        <v>72</v>
      </c>
      <c r="B1062" t="s">
        <v>17540</v>
      </c>
      <c r="F1062" t="s">
        <v>17540</v>
      </c>
      <c r="I1062" t="s">
        <v>17541</v>
      </c>
      <c r="J1062" t="s">
        <v>752</v>
      </c>
      <c r="M1062" t="s">
        <v>78</v>
      </c>
      <c r="N1062" t="s">
        <v>151</v>
      </c>
      <c r="O1062" t="s">
        <v>8767</v>
      </c>
      <c r="P1062" t="s">
        <v>8768</v>
      </c>
      <c r="Q1062" t="s">
        <v>8769</v>
      </c>
      <c r="T1062" t="s">
        <v>17542</v>
      </c>
      <c r="U1062" t="s">
        <v>17543</v>
      </c>
      <c r="V1062" t="s">
        <v>17544</v>
      </c>
      <c r="W1062" t="s">
        <v>17545</v>
      </c>
      <c r="X1062" t="s">
        <v>14764</v>
      </c>
      <c r="Y1062" t="s">
        <v>17546</v>
      </c>
      <c r="AA1062" t="s">
        <v>17547</v>
      </c>
      <c r="AB1062" t="s">
        <v>17548</v>
      </c>
      <c r="AG1062">
        <v>16</v>
      </c>
      <c r="AH1062">
        <v>83</v>
      </c>
      <c r="AI1062">
        <v>106</v>
      </c>
      <c r="AJ1062">
        <v>1</v>
      </c>
      <c r="AK1062">
        <v>7</v>
      </c>
      <c r="AL1062" t="s">
        <v>430</v>
      </c>
      <c r="AM1062" t="s">
        <v>137</v>
      </c>
      <c r="AN1062" t="s">
        <v>431</v>
      </c>
      <c r="AO1062" t="s">
        <v>761</v>
      </c>
      <c r="AR1062" t="s">
        <v>763</v>
      </c>
      <c r="AS1062" t="s">
        <v>764</v>
      </c>
      <c r="AT1062" t="s">
        <v>4872</v>
      </c>
      <c r="AU1062">
        <v>2002</v>
      </c>
      <c r="AV1062">
        <v>54</v>
      </c>
      <c r="AW1062" t="s">
        <v>8775</v>
      </c>
      <c r="AZ1062" t="s">
        <v>225</v>
      </c>
      <c r="BB1062">
        <v>413</v>
      </c>
      <c r="BC1062">
        <v>417</v>
      </c>
      <c r="BD1062" t="s">
        <v>17549</v>
      </c>
      <c r="BE1062" t="s">
        <v>17550</v>
      </c>
      <c r="BF1062" t="s">
        <v>17551</v>
      </c>
      <c r="BI1062">
        <v>5</v>
      </c>
      <c r="BJ1062" t="s">
        <v>768</v>
      </c>
      <c r="BK1062" t="s">
        <v>588</v>
      </c>
      <c r="BL1062" t="s">
        <v>769</v>
      </c>
      <c r="BM1062" t="s">
        <v>8778</v>
      </c>
      <c r="BN1062">
        <v>12408595</v>
      </c>
      <c r="BR1062" t="s">
        <v>98</v>
      </c>
      <c r="BS1062" t="s">
        <v>17552</v>
      </c>
      <c r="BT1062" t="s">
        <v>16602</v>
      </c>
    </row>
    <row r="1063" spans="1:72">
      <c r="A1063" t="s">
        <v>72</v>
      </c>
      <c r="B1063" t="s">
        <v>16461</v>
      </c>
      <c r="F1063" t="s">
        <v>16461</v>
      </c>
      <c r="I1063" t="s">
        <v>17553</v>
      </c>
      <c r="J1063" t="s">
        <v>1097</v>
      </c>
      <c r="M1063" t="s">
        <v>78</v>
      </c>
      <c r="N1063" t="s">
        <v>79</v>
      </c>
      <c r="U1063" t="s">
        <v>17554</v>
      </c>
      <c r="V1063" t="s">
        <v>17555</v>
      </c>
      <c r="W1063" t="s">
        <v>17556</v>
      </c>
      <c r="X1063" t="s">
        <v>16469</v>
      </c>
      <c r="Y1063" t="s">
        <v>17557</v>
      </c>
      <c r="AG1063">
        <v>37</v>
      </c>
      <c r="AH1063">
        <v>20</v>
      </c>
      <c r="AI1063">
        <v>24</v>
      </c>
      <c r="AJ1063">
        <v>0</v>
      </c>
      <c r="AK1063">
        <v>14</v>
      </c>
      <c r="AL1063" t="s">
        <v>6584</v>
      </c>
      <c r="AM1063" t="s">
        <v>113</v>
      </c>
      <c r="AN1063" t="s">
        <v>2719</v>
      </c>
      <c r="AO1063" t="s">
        <v>1100</v>
      </c>
      <c r="AR1063" t="s">
        <v>1102</v>
      </c>
      <c r="AS1063" t="s">
        <v>1103</v>
      </c>
      <c r="AT1063" t="s">
        <v>1223</v>
      </c>
      <c r="AU1063">
        <v>2000</v>
      </c>
      <c r="AV1063">
        <v>136</v>
      </c>
      <c r="AW1063">
        <v>2</v>
      </c>
      <c r="BB1063">
        <v>323</v>
      </c>
      <c r="BC1063">
        <v>330</v>
      </c>
      <c r="BE1063" t="s">
        <v>17558</v>
      </c>
      <c r="BF1063" t="s">
        <v>17559</v>
      </c>
      <c r="BI1063">
        <v>8</v>
      </c>
      <c r="BJ1063" t="s">
        <v>680</v>
      </c>
      <c r="BK1063" t="s">
        <v>96</v>
      </c>
      <c r="BL1063" t="s">
        <v>680</v>
      </c>
      <c r="BM1063" t="s">
        <v>17560</v>
      </c>
      <c r="BR1063" t="s">
        <v>98</v>
      </c>
      <c r="BS1063" t="s">
        <v>17561</v>
      </c>
      <c r="BT1063" t="s">
        <v>16602</v>
      </c>
    </row>
    <row r="1064" spans="1:72">
      <c r="A1064" t="s">
        <v>72</v>
      </c>
      <c r="B1064" t="s">
        <v>17562</v>
      </c>
      <c r="F1064" t="s">
        <v>17563</v>
      </c>
      <c r="I1064" t="s">
        <v>17564</v>
      </c>
      <c r="J1064" t="s">
        <v>11108</v>
      </c>
      <c r="M1064" t="s">
        <v>78</v>
      </c>
      <c r="N1064" t="s">
        <v>79</v>
      </c>
      <c r="T1064" t="s">
        <v>17565</v>
      </c>
      <c r="U1064" t="s">
        <v>17566</v>
      </c>
      <c r="V1064" t="s">
        <v>17567</v>
      </c>
      <c r="W1064" t="s">
        <v>17568</v>
      </c>
      <c r="X1064" t="s">
        <v>17569</v>
      </c>
      <c r="Y1064" t="s">
        <v>17570</v>
      </c>
      <c r="Z1064" t="s">
        <v>4254</v>
      </c>
      <c r="AA1064" t="s">
        <v>17571</v>
      </c>
      <c r="AB1064" t="s">
        <v>17572</v>
      </c>
      <c r="AG1064">
        <v>43</v>
      </c>
      <c r="AH1064">
        <v>24</v>
      </c>
      <c r="AI1064">
        <v>24</v>
      </c>
      <c r="AJ1064">
        <v>0</v>
      </c>
      <c r="AK1064">
        <v>22</v>
      </c>
      <c r="AL1064" t="s">
        <v>2074</v>
      </c>
      <c r="AM1064" t="s">
        <v>2075</v>
      </c>
      <c r="AN1064" t="s">
        <v>5365</v>
      </c>
      <c r="AO1064" t="s">
        <v>11117</v>
      </c>
      <c r="AR1064" t="s">
        <v>11119</v>
      </c>
      <c r="AS1064" t="s">
        <v>11120</v>
      </c>
      <c r="AU1064">
        <v>2008</v>
      </c>
      <c r="AV1064">
        <v>41</v>
      </c>
      <c r="AW1064">
        <v>2</v>
      </c>
      <c r="BB1064">
        <v>93</v>
      </c>
      <c r="BC1064">
        <v>108</v>
      </c>
      <c r="BE1064" t="s">
        <v>17573</v>
      </c>
      <c r="BF1064" t="s">
        <v>17574</v>
      </c>
      <c r="BI1064">
        <v>16</v>
      </c>
      <c r="BJ1064" t="s">
        <v>680</v>
      </c>
      <c r="BK1064" t="s">
        <v>96</v>
      </c>
      <c r="BL1064" t="s">
        <v>680</v>
      </c>
      <c r="BM1064" t="s">
        <v>17575</v>
      </c>
      <c r="BR1064" t="s">
        <v>98</v>
      </c>
      <c r="BS1064" t="s">
        <v>17576</v>
      </c>
      <c r="BT1064" t="s">
        <v>16602</v>
      </c>
    </row>
    <row r="1065" spans="1:72">
      <c r="A1065" t="s">
        <v>72</v>
      </c>
      <c r="B1065" t="s">
        <v>17577</v>
      </c>
      <c r="F1065" t="s">
        <v>17578</v>
      </c>
      <c r="I1065" t="s">
        <v>17579</v>
      </c>
      <c r="J1065" t="s">
        <v>17580</v>
      </c>
      <c r="M1065" t="s">
        <v>78</v>
      </c>
      <c r="N1065" t="s">
        <v>79</v>
      </c>
      <c r="T1065" t="s">
        <v>17581</v>
      </c>
      <c r="U1065" t="s">
        <v>17582</v>
      </c>
      <c r="V1065" t="s">
        <v>17583</v>
      </c>
      <c r="W1065" t="s">
        <v>17584</v>
      </c>
      <c r="X1065" t="s">
        <v>17585</v>
      </c>
      <c r="Y1065" t="s">
        <v>17586</v>
      </c>
      <c r="Z1065" t="s">
        <v>17587</v>
      </c>
      <c r="AA1065" t="s">
        <v>17588</v>
      </c>
      <c r="AB1065" t="s">
        <v>17589</v>
      </c>
      <c r="AC1065" t="s">
        <v>17590</v>
      </c>
      <c r="AD1065" t="s">
        <v>17591</v>
      </c>
      <c r="AE1065" t="s">
        <v>17592</v>
      </c>
      <c r="AG1065">
        <v>86</v>
      </c>
      <c r="AH1065">
        <v>2</v>
      </c>
      <c r="AI1065">
        <v>2</v>
      </c>
      <c r="AJ1065">
        <v>6</v>
      </c>
      <c r="AK1065">
        <v>28</v>
      </c>
      <c r="AL1065" t="s">
        <v>1566</v>
      </c>
      <c r="AM1065" t="s">
        <v>1567</v>
      </c>
      <c r="AN1065" t="s">
        <v>1568</v>
      </c>
      <c r="AP1065" t="s">
        <v>17593</v>
      </c>
      <c r="AR1065" t="s">
        <v>17580</v>
      </c>
      <c r="AS1065" t="s">
        <v>17594</v>
      </c>
      <c r="AT1065" t="s">
        <v>267</v>
      </c>
      <c r="AU1065">
        <v>2022</v>
      </c>
      <c r="AV1065">
        <v>12</v>
      </c>
      <c r="AW1065">
        <v>10</v>
      </c>
      <c r="BD1065">
        <v>2280</v>
      </c>
      <c r="BE1065" t="s">
        <v>17595</v>
      </c>
      <c r="BF1065" t="s">
        <v>17596</v>
      </c>
      <c r="BI1065">
        <v>14</v>
      </c>
      <c r="BJ1065" t="s">
        <v>17597</v>
      </c>
      <c r="BK1065" t="s">
        <v>96</v>
      </c>
      <c r="BL1065" t="s">
        <v>17598</v>
      </c>
      <c r="BM1065" t="s">
        <v>17599</v>
      </c>
      <c r="BO1065" t="s">
        <v>550</v>
      </c>
      <c r="BR1065" t="s">
        <v>98</v>
      </c>
      <c r="BS1065" t="s">
        <v>17600</v>
      </c>
      <c r="BT1065" t="s">
        <v>16602</v>
      </c>
    </row>
    <row r="1066" spans="1:72">
      <c r="A1066" t="s">
        <v>72</v>
      </c>
      <c r="B1066" t="s">
        <v>17601</v>
      </c>
      <c r="F1066" t="s">
        <v>17602</v>
      </c>
      <c r="I1066" t="s">
        <v>17603</v>
      </c>
      <c r="J1066" t="s">
        <v>17604</v>
      </c>
      <c r="M1066" t="s">
        <v>78</v>
      </c>
      <c r="N1066" t="s">
        <v>79</v>
      </c>
      <c r="T1066" t="s">
        <v>17605</v>
      </c>
      <c r="U1066" t="s">
        <v>17606</v>
      </c>
      <c r="V1066" t="s">
        <v>17607</v>
      </c>
      <c r="W1066" t="s">
        <v>17608</v>
      </c>
      <c r="X1066" t="s">
        <v>17609</v>
      </c>
      <c r="Y1066" t="s">
        <v>17610</v>
      </c>
      <c r="Z1066" t="s">
        <v>17611</v>
      </c>
      <c r="AB1066" t="s">
        <v>17612</v>
      </c>
      <c r="AG1066">
        <v>74</v>
      </c>
      <c r="AH1066">
        <v>20</v>
      </c>
      <c r="AI1066">
        <v>24</v>
      </c>
      <c r="AJ1066">
        <v>1</v>
      </c>
      <c r="AK1066">
        <v>22</v>
      </c>
      <c r="AL1066" t="s">
        <v>650</v>
      </c>
      <c r="AM1066" t="s">
        <v>651</v>
      </c>
      <c r="AN1066" t="s">
        <v>652</v>
      </c>
      <c r="AO1066" t="s">
        <v>17613</v>
      </c>
      <c r="AP1066" t="s">
        <v>17614</v>
      </c>
      <c r="AR1066" t="s">
        <v>17615</v>
      </c>
      <c r="AS1066" t="s">
        <v>17616</v>
      </c>
      <c r="AT1066" t="s">
        <v>17617</v>
      </c>
      <c r="AU1066">
        <v>2006</v>
      </c>
      <c r="AV1066">
        <v>338</v>
      </c>
      <c r="AW1066">
        <v>1</v>
      </c>
      <c r="BB1066">
        <v>81</v>
      </c>
      <c r="BC1066">
        <v>95</v>
      </c>
      <c r="BE1066" t="s">
        <v>17618</v>
      </c>
      <c r="BF1066" t="s">
        <v>17619</v>
      </c>
      <c r="BI1066">
        <v>15</v>
      </c>
      <c r="BJ1066" t="s">
        <v>1292</v>
      </c>
      <c r="BK1066" t="s">
        <v>96</v>
      </c>
      <c r="BL1066" t="s">
        <v>248</v>
      </c>
      <c r="BM1066" t="s">
        <v>17620</v>
      </c>
      <c r="BR1066" t="s">
        <v>98</v>
      </c>
      <c r="BS1066" t="s">
        <v>17621</v>
      </c>
      <c r="BT1066" t="s">
        <v>16602</v>
      </c>
    </row>
    <row r="1067" spans="1:72">
      <c r="A1067" t="s">
        <v>72</v>
      </c>
      <c r="B1067" t="s">
        <v>17622</v>
      </c>
      <c r="F1067" t="s">
        <v>17623</v>
      </c>
      <c r="I1067" t="s">
        <v>17624</v>
      </c>
      <c r="J1067" t="s">
        <v>3719</v>
      </c>
      <c r="M1067" t="s">
        <v>78</v>
      </c>
      <c r="N1067" t="s">
        <v>79</v>
      </c>
      <c r="T1067" t="s">
        <v>17625</v>
      </c>
      <c r="U1067" t="s">
        <v>17626</v>
      </c>
      <c r="V1067" t="s">
        <v>17627</v>
      </c>
      <c r="W1067" t="s">
        <v>17628</v>
      </c>
      <c r="X1067" t="s">
        <v>3724</v>
      </c>
      <c r="Y1067" t="s">
        <v>5488</v>
      </c>
      <c r="Z1067" t="s">
        <v>5489</v>
      </c>
      <c r="AA1067" t="s">
        <v>5490</v>
      </c>
      <c r="AB1067" t="s">
        <v>5491</v>
      </c>
      <c r="AC1067" t="s">
        <v>17629</v>
      </c>
      <c r="AD1067" t="s">
        <v>17630</v>
      </c>
      <c r="AE1067" t="s">
        <v>17631</v>
      </c>
      <c r="AG1067">
        <v>80</v>
      </c>
      <c r="AH1067">
        <v>57</v>
      </c>
      <c r="AI1067">
        <v>69</v>
      </c>
      <c r="AJ1067">
        <v>2</v>
      </c>
      <c r="AK1067">
        <v>61</v>
      </c>
      <c r="AL1067" t="s">
        <v>3731</v>
      </c>
      <c r="AM1067" t="s">
        <v>262</v>
      </c>
      <c r="AN1067" t="s">
        <v>3732</v>
      </c>
      <c r="AO1067" t="s">
        <v>3733</v>
      </c>
      <c r="AP1067" t="s">
        <v>3734</v>
      </c>
      <c r="AR1067" t="s">
        <v>3735</v>
      </c>
      <c r="AS1067" t="s">
        <v>3736</v>
      </c>
      <c r="AT1067" t="s">
        <v>305</v>
      </c>
      <c r="AU1067">
        <v>2012</v>
      </c>
      <c r="AV1067">
        <v>215</v>
      </c>
      <c r="AW1067">
        <v>18</v>
      </c>
      <c r="BB1067">
        <v>3142</v>
      </c>
      <c r="BC1067">
        <v>3154</v>
      </c>
      <c r="BE1067" t="s">
        <v>17632</v>
      </c>
      <c r="BF1067" t="s">
        <v>17633</v>
      </c>
      <c r="BI1067">
        <v>13</v>
      </c>
      <c r="BJ1067" t="s">
        <v>3738</v>
      </c>
      <c r="BK1067" t="s">
        <v>96</v>
      </c>
      <c r="BL1067" t="s">
        <v>3739</v>
      </c>
      <c r="BM1067" t="s">
        <v>17634</v>
      </c>
      <c r="BN1067">
        <v>22660786</v>
      </c>
      <c r="BO1067" t="s">
        <v>370</v>
      </c>
      <c r="BR1067" t="s">
        <v>98</v>
      </c>
      <c r="BS1067" t="s">
        <v>17635</v>
      </c>
      <c r="BT1067" t="s">
        <v>16602</v>
      </c>
    </row>
    <row r="1068" spans="1:72">
      <c r="A1068" t="s">
        <v>72</v>
      </c>
      <c r="B1068" t="s">
        <v>17636</v>
      </c>
      <c r="F1068" t="s">
        <v>17637</v>
      </c>
      <c r="I1068" t="s">
        <v>17638</v>
      </c>
      <c r="J1068" t="s">
        <v>17639</v>
      </c>
      <c r="M1068" t="s">
        <v>78</v>
      </c>
      <c r="N1068" t="s">
        <v>79</v>
      </c>
      <c r="T1068" t="s">
        <v>17640</v>
      </c>
      <c r="U1068" t="s">
        <v>17641</v>
      </c>
      <c r="V1068" t="s">
        <v>17642</v>
      </c>
      <c r="W1068" t="s">
        <v>17643</v>
      </c>
      <c r="X1068" t="s">
        <v>17644</v>
      </c>
      <c r="Y1068" t="s">
        <v>17645</v>
      </c>
      <c r="Z1068" t="s">
        <v>17646</v>
      </c>
      <c r="AC1068" t="s">
        <v>17647</v>
      </c>
      <c r="AD1068" t="s">
        <v>17648</v>
      </c>
      <c r="AE1068" t="s">
        <v>17649</v>
      </c>
      <c r="AG1068">
        <v>34</v>
      </c>
      <c r="AH1068">
        <v>1</v>
      </c>
      <c r="AI1068">
        <v>1</v>
      </c>
      <c r="AJ1068">
        <v>1</v>
      </c>
      <c r="AK1068">
        <v>7</v>
      </c>
      <c r="AL1068" t="s">
        <v>2074</v>
      </c>
      <c r="AM1068" t="s">
        <v>2075</v>
      </c>
      <c r="AN1068" t="s">
        <v>2076</v>
      </c>
      <c r="AO1068" t="s">
        <v>17650</v>
      </c>
      <c r="AP1068" t="s">
        <v>17651</v>
      </c>
      <c r="AR1068" t="s">
        <v>17652</v>
      </c>
      <c r="AS1068" t="s">
        <v>17653</v>
      </c>
      <c r="AT1068" t="s">
        <v>15610</v>
      </c>
      <c r="AU1068">
        <v>2024</v>
      </c>
      <c r="AV1068">
        <v>34</v>
      </c>
      <c r="AW1068">
        <v>2</v>
      </c>
      <c r="BB1068">
        <v>1180</v>
      </c>
      <c r="BC1068">
        <v>1190</v>
      </c>
      <c r="BE1068" t="s">
        <v>17654</v>
      </c>
      <c r="BF1068" t="s">
        <v>17655</v>
      </c>
      <c r="BH1068" t="s">
        <v>2259</v>
      </c>
      <c r="BI1068">
        <v>11</v>
      </c>
      <c r="BJ1068" t="s">
        <v>10142</v>
      </c>
      <c r="BK1068" t="s">
        <v>96</v>
      </c>
      <c r="BL1068" t="s">
        <v>10143</v>
      </c>
      <c r="BM1068" t="s">
        <v>17656</v>
      </c>
      <c r="BN1068">
        <v>37154030</v>
      </c>
      <c r="BR1068" t="s">
        <v>98</v>
      </c>
      <c r="BS1068" t="s">
        <v>17657</v>
      </c>
      <c r="BT1068" t="s">
        <v>16602</v>
      </c>
    </row>
    <row r="1069" spans="1:72">
      <c r="A1069" t="s">
        <v>72</v>
      </c>
      <c r="B1069" t="s">
        <v>17658</v>
      </c>
      <c r="F1069" t="s">
        <v>17659</v>
      </c>
      <c r="I1069" t="s">
        <v>17660</v>
      </c>
      <c r="J1069" t="s">
        <v>232</v>
      </c>
      <c r="M1069" t="s">
        <v>78</v>
      </c>
      <c r="N1069" t="s">
        <v>79</v>
      </c>
      <c r="T1069" t="s">
        <v>17661</v>
      </c>
      <c r="U1069" t="s">
        <v>17662</v>
      </c>
      <c r="V1069" t="s">
        <v>17663</v>
      </c>
      <c r="W1069" t="s">
        <v>17664</v>
      </c>
      <c r="Y1069" t="s">
        <v>17665</v>
      </c>
      <c r="Z1069" t="s">
        <v>17666</v>
      </c>
      <c r="AC1069" t="s">
        <v>17667</v>
      </c>
      <c r="AD1069" t="s">
        <v>17668</v>
      </c>
      <c r="AE1069" t="s">
        <v>17669</v>
      </c>
      <c r="AG1069">
        <v>87</v>
      </c>
      <c r="AH1069">
        <v>23</v>
      </c>
      <c r="AI1069">
        <v>23</v>
      </c>
      <c r="AJ1069">
        <v>1</v>
      </c>
      <c r="AK1069">
        <v>20</v>
      </c>
      <c r="AL1069" t="s">
        <v>136</v>
      </c>
      <c r="AM1069" t="s">
        <v>137</v>
      </c>
      <c r="AN1069" t="s">
        <v>138</v>
      </c>
      <c r="AO1069" t="s">
        <v>240</v>
      </c>
      <c r="AP1069" t="s">
        <v>241</v>
      </c>
      <c r="AR1069" t="s">
        <v>242</v>
      </c>
      <c r="AS1069" t="s">
        <v>243</v>
      </c>
      <c r="AT1069" t="s">
        <v>1470</v>
      </c>
      <c r="AU1069">
        <v>2018</v>
      </c>
      <c r="AV1069">
        <v>126</v>
      </c>
      <c r="BB1069">
        <v>166</v>
      </c>
      <c r="BC1069">
        <v>178</v>
      </c>
      <c r="BE1069" t="s">
        <v>17670</v>
      </c>
      <c r="BF1069" t="s">
        <v>17671</v>
      </c>
      <c r="BI1069">
        <v>13</v>
      </c>
      <c r="BJ1069" t="s">
        <v>247</v>
      </c>
      <c r="BK1069" t="s">
        <v>96</v>
      </c>
      <c r="BL1069" t="s">
        <v>248</v>
      </c>
      <c r="BM1069" t="s">
        <v>8877</v>
      </c>
      <c r="BN1069">
        <v>29421084</v>
      </c>
      <c r="BO1069" t="s">
        <v>17672</v>
      </c>
      <c r="BR1069" t="s">
        <v>98</v>
      </c>
      <c r="BS1069" t="s">
        <v>17673</v>
      </c>
      <c r="BT1069" t="s">
        <v>16602</v>
      </c>
    </row>
    <row r="1070" spans="1:72">
      <c r="A1070" t="s">
        <v>72</v>
      </c>
      <c r="B1070" t="s">
        <v>17674</v>
      </c>
      <c r="F1070" t="s">
        <v>17675</v>
      </c>
      <c r="I1070" t="s">
        <v>17676</v>
      </c>
      <c r="J1070" t="s">
        <v>17677</v>
      </c>
      <c r="M1070" t="s">
        <v>78</v>
      </c>
      <c r="N1070" t="s">
        <v>79</v>
      </c>
      <c r="T1070" t="s">
        <v>17678</v>
      </c>
      <c r="U1070" t="s">
        <v>17679</v>
      </c>
      <c r="V1070" t="s">
        <v>17680</v>
      </c>
      <c r="W1070" t="s">
        <v>17681</v>
      </c>
      <c r="X1070" t="s">
        <v>15238</v>
      </c>
      <c r="Y1070" t="s">
        <v>17682</v>
      </c>
      <c r="Z1070" t="s">
        <v>2236</v>
      </c>
      <c r="AA1070" t="s">
        <v>15239</v>
      </c>
      <c r="AB1070" t="s">
        <v>17683</v>
      </c>
      <c r="AG1070">
        <v>80</v>
      </c>
      <c r="AH1070">
        <v>0</v>
      </c>
      <c r="AI1070">
        <v>0</v>
      </c>
      <c r="AJ1070">
        <v>0</v>
      </c>
      <c r="AK1070">
        <v>6</v>
      </c>
      <c r="AL1070" t="s">
        <v>17684</v>
      </c>
      <c r="AM1070" t="s">
        <v>17685</v>
      </c>
      <c r="AN1070" t="s">
        <v>17686</v>
      </c>
      <c r="AO1070" t="s">
        <v>17687</v>
      </c>
      <c r="AP1070" t="s">
        <v>17688</v>
      </c>
      <c r="AR1070" t="s">
        <v>17689</v>
      </c>
      <c r="AS1070" t="s">
        <v>17690</v>
      </c>
      <c r="AU1070">
        <v>2021</v>
      </c>
      <c r="AV1070">
        <v>56</v>
      </c>
      <c r="AW1070">
        <v>2</v>
      </c>
      <c r="BB1070">
        <v>157</v>
      </c>
      <c r="BC1070">
        <v>166</v>
      </c>
      <c r="BE1070" t="s">
        <v>17691</v>
      </c>
      <c r="BF1070" t="s">
        <v>17692</v>
      </c>
      <c r="BI1070">
        <v>10</v>
      </c>
      <c r="BJ1070" t="s">
        <v>4241</v>
      </c>
      <c r="BK1070" t="s">
        <v>96</v>
      </c>
      <c r="BL1070" t="s">
        <v>4241</v>
      </c>
      <c r="BM1070" t="s">
        <v>17693</v>
      </c>
      <c r="BO1070" t="s">
        <v>8692</v>
      </c>
      <c r="BR1070" t="s">
        <v>98</v>
      </c>
      <c r="BS1070" t="s">
        <v>17694</v>
      </c>
      <c r="BT1070" t="s">
        <v>16602</v>
      </c>
    </row>
    <row r="1071" spans="1:72">
      <c r="A1071" t="s">
        <v>72</v>
      </c>
      <c r="B1071" t="s">
        <v>10405</v>
      </c>
      <c r="F1071" t="s">
        <v>10406</v>
      </c>
      <c r="I1071" t="s">
        <v>17695</v>
      </c>
      <c r="J1071" t="s">
        <v>641</v>
      </c>
      <c r="M1071" t="s">
        <v>78</v>
      </c>
      <c r="N1071" t="s">
        <v>79</v>
      </c>
      <c r="T1071" t="s">
        <v>17696</v>
      </c>
      <c r="U1071" t="s">
        <v>17697</v>
      </c>
      <c r="V1071" t="s">
        <v>17698</v>
      </c>
      <c r="W1071" t="s">
        <v>10411</v>
      </c>
      <c r="X1071" t="s">
        <v>10412</v>
      </c>
      <c r="Y1071" t="s">
        <v>10413</v>
      </c>
      <c r="Z1071" t="s">
        <v>10414</v>
      </c>
      <c r="AB1071" t="s">
        <v>10415</v>
      </c>
      <c r="AC1071" t="s">
        <v>17699</v>
      </c>
      <c r="AD1071" t="s">
        <v>17699</v>
      </c>
      <c r="AE1071" t="s">
        <v>17700</v>
      </c>
      <c r="AG1071">
        <v>50</v>
      </c>
      <c r="AH1071">
        <v>36</v>
      </c>
      <c r="AI1071">
        <v>44</v>
      </c>
      <c r="AJ1071">
        <v>3</v>
      </c>
      <c r="AK1071">
        <v>50</v>
      </c>
      <c r="AL1071" t="s">
        <v>919</v>
      </c>
      <c r="AM1071" t="s">
        <v>651</v>
      </c>
      <c r="AN1071" t="s">
        <v>920</v>
      </c>
      <c r="AO1071" t="s">
        <v>653</v>
      </c>
      <c r="AP1071" t="s">
        <v>654</v>
      </c>
      <c r="AR1071" t="s">
        <v>655</v>
      </c>
      <c r="AS1071" t="s">
        <v>656</v>
      </c>
      <c r="AT1071" t="s">
        <v>325</v>
      </c>
      <c r="AU1071">
        <v>2013</v>
      </c>
      <c r="AV1071">
        <v>142</v>
      </c>
      <c r="BB1071">
        <v>283</v>
      </c>
      <c r="BC1071">
        <v>293</v>
      </c>
      <c r="BE1071" t="s">
        <v>17701</v>
      </c>
      <c r="BF1071" t="s">
        <v>17702</v>
      </c>
      <c r="BI1071">
        <v>11</v>
      </c>
      <c r="BJ1071" t="s">
        <v>659</v>
      </c>
      <c r="BK1071" t="s">
        <v>96</v>
      </c>
      <c r="BL1071" t="s">
        <v>659</v>
      </c>
      <c r="BM1071" t="s">
        <v>17703</v>
      </c>
      <c r="BN1071">
        <v>24077184</v>
      </c>
      <c r="BR1071" t="s">
        <v>98</v>
      </c>
      <c r="BS1071" t="s">
        <v>17704</v>
      </c>
      <c r="BT1071" t="s">
        <v>16602</v>
      </c>
    </row>
    <row r="1072" spans="1:72">
      <c r="A1072" t="s">
        <v>72</v>
      </c>
      <c r="B1072" t="s">
        <v>17705</v>
      </c>
      <c r="F1072" t="s">
        <v>17705</v>
      </c>
      <c r="I1072" t="s">
        <v>17706</v>
      </c>
      <c r="J1072" t="s">
        <v>421</v>
      </c>
      <c r="M1072" t="s">
        <v>78</v>
      </c>
      <c r="N1072" t="s">
        <v>79</v>
      </c>
      <c r="U1072" t="s">
        <v>17707</v>
      </c>
      <c r="V1072" t="s">
        <v>17708</v>
      </c>
      <c r="W1072" t="s">
        <v>17709</v>
      </c>
      <c r="X1072" t="s">
        <v>17710</v>
      </c>
      <c r="AG1072">
        <v>24</v>
      </c>
      <c r="AH1072">
        <v>21</v>
      </c>
      <c r="AI1072">
        <v>23</v>
      </c>
      <c r="AJ1072">
        <v>0</v>
      </c>
      <c r="AK1072">
        <v>4</v>
      </c>
      <c r="AL1072" t="s">
        <v>430</v>
      </c>
      <c r="AM1072" t="s">
        <v>137</v>
      </c>
      <c r="AN1072" t="s">
        <v>1600</v>
      </c>
      <c r="AO1072" t="s">
        <v>432</v>
      </c>
      <c r="AR1072" t="s">
        <v>433</v>
      </c>
      <c r="AS1072" t="s">
        <v>434</v>
      </c>
      <c r="AU1072">
        <v>1993</v>
      </c>
      <c r="AV1072">
        <v>82</v>
      </c>
      <c r="AW1072">
        <v>2</v>
      </c>
      <c r="BB1072">
        <v>191</v>
      </c>
      <c r="BC1072">
        <v>196</v>
      </c>
      <c r="BE1072" t="s">
        <v>17711</v>
      </c>
      <c r="BF1072" t="s">
        <v>17712</v>
      </c>
      <c r="BI1072">
        <v>6</v>
      </c>
      <c r="BJ1072" t="s">
        <v>144</v>
      </c>
      <c r="BK1072" t="s">
        <v>96</v>
      </c>
      <c r="BL1072" t="s">
        <v>145</v>
      </c>
      <c r="BM1072" t="s">
        <v>17713</v>
      </c>
      <c r="BN1072">
        <v>15091788</v>
      </c>
      <c r="BR1072" t="s">
        <v>98</v>
      </c>
      <c r="BS1072" t="s">
        <v>17714</v>
      </c>
      <c r="BT1072" t="s">
        <v>16602</v>
      </c>
    </row>
    <row r="1073" spans="1:72">
      <c r="A1073" t="s">
        <v>72</v>
      </c>
      <c r="B1073" t="s">
        <v>17715</v>
      </c>
      <c r="F1073" t="s">
        <v>17716</v>
      </c>
      <c r="I1073" t="s">
        <v>17717</v>
      </c>
      <c r="J1073" t="s">
        <v>204</v>
      </c>
      <c r="M1073" t="s">
        <v>78</v>
      </c>
      <c r="N1073" t="s">
        <v>79</v>
      </c>
      <c r="T1073" t="s">
        <v>17718</v>
      </c>
      <c r="U1073" t="s">
        <v>17719</v>
      </c>
      <c r="V1073" t="s">
        <v>17720</v>
      </c>
      <c r="W1073" t="s">
        <v>17721</v>
      </c>
      <c r="X1073" t="s">
        <v>17722</v>
      </c>
      <c r="Y1073" t="s">
        <v>17723</v>
      </c>
      <c r="Z1073" t="s">
        <v>17724</v>
      </c>
      <c r="AA1073" t="s">
        <v>17725</v>
      </c>
      <c r="AB1073" t="s">
        <v>17726</v>
      </c>
      <c r="AC1073" t="s">
        <v>17727</v>
      </c>
      <c r="AD1073" t="s">
        <v>17728</v>
      </c>
      <c r="AE1073" t="s">
        <v>17729</v>
      </c>
      <c r="AG1073">
        <v>58</v>
      </c>
      <c r="AH1073">
        <v>28</v>
      </c>
      <c r="AI1073">
        <v>29</v>
      </c>
      <c r="AJ1073">
        <v>0</v>
      </c>
      <c r="AK1073">
        <v>44</v>
      </c>
      <c r="AL1073" t="s">
        <v>217</v>
      </c>
      <c r="AM1073" t="s">
        <v>218</v>
      </c>
      <c r="AN1073" t="s">
        <v>219</v>
      </c>
      <c r="AO1073" t="s">
        <v>220</v>
      </c>
      <c r="AP1073" t="s">
        <v>221</v>
      </c>
      <c r="AR1073" t="s">
        <v>222</v>
      </c>
      <c r="AS1073" t="s">
        <v>223</v>
      </c>
      <c r="AT1073" t="s">
        <v>765</v>
      </c>
      <c r="AU1073">
        <v>2016</v>
      </c>
      <c r="AV1073">
        <v>23</v>
      </c>
      <c r="AW1073">
        <v>13</v>
      </c>
      <c r="BB1073">
        <v>12582</v>
      </c>
      <c r="BC1073">
        <v>12595</v>
      </c>
      <c r="BE1073" t="s">
        <v>17730</v>
      </c>
      <c r="BF1073" t="s">
        <v>17731</v>
      </c>
      <c r="BI1073">
        <v>14</v>
      </c>
      <c r="BJ1073" t="s">
        <v>144</v>
      </c>
      <c r="BK1073" t="s">
        <v>96</v>
      </c>
      <c r="BL1073" t="s">
        <v>145</v>
      </c>
      <c r="BM1073" t="s">
        <v>17732</v>
      </c>
      <c r="BN1073">
        <v>26336847</v>
      </c>
      <c r="BR1073" t="s">
        <v>98</v>
      </c>
      <c r="BS1073" t="s">
        <v>17733</v>
      </c>
      <c r="BT1073" t="s">
        <v>16602</v>
      </c>
    </row>
    <row r="1074" spans="1:72">
      <c r="A1074" t="s">
        <v>72</v>
      </c>
      <c r="B1074" t="s">
        <v>17734</v>
      </c>
      <c r="F1074" t="s">
        <v>17735</v>
      </c>
      <c r="I1074" t="s">
        <v>17736</v>
      </c>
      <c r="J1074" t="s">
        <v>2137</v>
      </c>
      <c r="M1074" t="s">
        <v>78</v>
      </c>
      <c r="N1074" t="s">
        <v>79</v>
      </c>
      <c r="T1074" t="s">
        <v>17737</v>
      </c>
      <c r="U1074" t="s">
        <v>17738</v>
      </c>
      <c r="V1074" t="s">
        <v>17739</v>
      </c>
      <c r="W1074" t="s">
        <v>17740</v>
      </c>
      <c r="X1074" t="s">
        <v>9993</v>
      </c>
      <c r="Y1074" t="s">
        <v>9994</v>
      </c>
      <c r="Z1074" t="s">
        <v>17741</v>
      </c>
      <c r="AA1074" t="s">
        <v>9996</v>
      </c>
      <c r="AB1074" t="s">
        <v>17742</v>
      </c>
      <c r="AG1074">
        <v>61</v>
      </c>
      <c r="AH1074">
        <v>18</v>
      </c>
      <c r="AI1074">
        <v>18</v>
      </c>
      <c r="AJ1074">
        <v>0</v>
      </c>
      <c r="AK1074">
        <v>10</v>
      </c>
      <c r="AL1074" t="s">
        <v>1566</v>
      </c>
      <c r="AM1074" t="s">
        <v>1567</v>
      </c>
      <c r="AN1074" t="s">
        <v>1568</v>
      </c>
      <c r="AP1074" t="s">
        <v>2148</v>
      </c>
      <c r="AR1074" t="s">
        <v>2149</v>
      </c>
      <c r="AS1074" t="s">
        <v>2150</v>
      </c>
      <c r="AT1074" t="s">
        <v>142</v>
      </c>
      <c r="AU1074">
        <v>2021</v>
      </c>
      <c r="AV1074">
        <v>22</v>
      </c>
      <c r="AW1074">
        <v>11</v>
      </c>
      <c r="BD1074">
        <v>5893</v>
      </c>
      <c r="BE1074" t="s">
        <v>17743</v>
      </c>
      <c r="BF1074" t="s">
        <v>17744</v>
      </c>
      <c r="BI1074">
        <v>13</v>
      </c>
      <c r="BJ1074" t="s">
        <v>2152</v>
      </c>
      <c r="BK1074" t="s">
        <v>96</v>
      </c>
      <c r="BL1074" t="s">
        <v>2153</v>
      </c>
      <c r="BM1074" t="s">
        <v>17745</v>
      </c>
      <c r="BN1074">
        <v>34072703</v>
      </c>
      <c r="BO1074" t="s">
        <v>2155</v>
      </c>
      <c r="BR1074" t="s">
        <v>98</v>
      </c>
      <c r="BS1074" t="s">
        <v>17746</v>
      </c>
      <c r="BT1074" t="s">
        <v>16602</v>
      </c>
    </row>
    <row r="1075" spans="1:72">
      <c r="A1075" t="s">
        <v>72</v>
      </c>
      <c r="B1075" t="s">
        <v>17747</v>
      </c>
      <c r="F1075" t="s">
        <v>17747</v>
      </c>
      <c r="I1075" t="s">
        <v>17748</v>
      </c>
      <c r="J1075" t="s">
        <v>909</v>
      </c>
      <c r="M1075" t="s">
        <v>78</v>
      </c>
      <c r="N1075" t="s">
        <v>79</v>
      </c>
      <c r="T1075" t="s">
        <v>17749</v>
      </c>
      <c r="U1075" t="s">
        <v>17750</v>
      </c>
      <c r="V1075" t="s">
        <v>17751</v>
      </c>
      <c r="W1075" t="s">
        <v>17752</v>
      </c>
      <c r="X1075" t="s">
        <v>11335</v>
      </c>
      <c r="Y1075" t="s">
        <v>17753</v>
      </c>
      <c r="AA1075" t="s">
        <v>17754</v>
      </c>
      <c r="AB1075" t="s">
        <v>17755</v>
      </c>
      <c r="AG1075">
        <v>41</v>
      </c>
      <c r="AH1075">
        <v>45</v>
      </c>
      <c r="AI1075">
        <v>54</v>
      </c>
      <c r="AJ1075">
        <v>0</v>
      </c>
      <c r="AK1075">
        <v>36</v>
      </c>
      <c r="AL1075" t="s">
        <v>919</v>
      </c>
      <c r="AM1075" t="s">
        <v>651</v>
      </c>
      <c r="AN1075" t="s">
        <v>920</v>
      </c>
      <c r="AO1075" t="s">
        <v>921</v>
      </c>
      <c r="AR1075" t="s">
        <v>923</v>
      </c>
      <c r="AS1075" t="s">
        <v>924</v>
      </c>
      <c r="AT1075" t="s">
        <v>17756</v>
      </c>
      <c r="AU1075">
        <v>1998</v>
      </c>
      <c r="AV1075">
        <v>214</v>
      </c>
      <c r="AW1075" t="s">
        <v>2847</v>
      </c>
      <c r="BB1075">
        <v>175</v>
      </c>
      <c r="BC1075">
        <v>184</v>
      </c>
      <c r="BE1075" t="s">
        <v>17757</v>
      </c>
      <c r="BF1075" t="s">
        <v>17758</v>
      </c>
      <c r="BI1075">
        <v>10</v>
      </c>
      <c r="BJ1075" t="s">
        <v>144</v>
      </c>
      <c r="BK1075" t="s">
        <v>96</v>
      </c>
      <c r="BL1075" t="s">
        <v>145</v>
      </c>
      <c r="BM1075" t="s">
        <v>17759</v>
      </c>
      <c r="BN1075">
        <v>9646525</v>
      </c>
      <c r="BR1075" t="s">
        <v>98</v>
      </c>
      <c r="BS1075" t="s">
        <v>17760</v>
      </c>
      <c r="BT1075" t="s">
        <v>16602</v>
      </c>
    </row>
    <row r="1076" spans="1:72">
      <c r="A1076" t="s">
        <v>72</v>
      </c>
      <c r="B1076" t="s">
        <v>17761</v>
      </c>
      <c r="F1076" t="s">
        <v>17762</v>
      </c>
      <c r="I1076" t="s">
        <v>17763</v>
      </c>
      <c r="J1076" t="s">
        <v>3349</v>
      </c>
      <c r="M1076" t="s">
        <v>78</v>
      </c>
      <c r="N1076" t="s">
        <v>79</v>
      </c>
      <c r="T1076" t="s">
        <v>17764</v>
      </c>
      <c r="U1076" t="s">
        <v>17765</v>
      </c>
      <c r="V1076" t="s">
        <v>17766</v>
      </c>
      <c r="W1076" t="s">
        <v>17767</v>
      </c>
      <c r="X1076" t="s">
        <v>17768</v>
      </c>
      <c r="Y1076" t="s">
        <v>17769</v>
      </c>
      <c r="Z1076" t="s">
        <v>17770</v>
      </c>
      <c r="AA1076" t="s">
        <v>17771</v>
      </c>
      <c r="AB1076" t="s">
        <v>17772</v>
      </c>
      <c r="AC1076" t="s">
        <v>17773</v>
      </c>
      <c r="AD1076" t="s">
        <v>17774</v>
      </c>
      <c r="AE1076" t="s">
        <v>17775</v>
      </c>
      <c r="AG1076">
        <v>44</v>
      </c>
      <c r="AH1076">
        <v>91</v>
      </c>
      <c r="AI1076">
        <v>101</v>
      </c>
      <c r="AJ1076">
        <v>1</v>
      </c>
      <c r="AK1076">
        <v>62</v>
      </c>
      <c r="AL1076" t="s">
        <v>3362</v>
      </c>
      <c r="AM1076" t="s">
        <v>3363</v>
      </c>
      <c r="AN1076" t="s">
        <v>3364</v>
      </c>
      <c r="AO1076" t="s">
        <v>3365</v>
      </c>
      <c r="AP1076" t="s">
        <v>3366</v>
      </c>
      <c r="AR1076" t="s">
        <v>3367</v>
      </c>
      <c r="AS1076" t="s">
        <v>3368</v>
      </c>
      <c r="AT1076" t="s">
        <v>267</v>
      </c>
      <c r="AU1076">
        <v>2011</v>
      </c>
      <c r="AV1076">
        <v>74</v>
      </c>
      <c r="AW1076">
        <v>7</v>
      </c>
      <c r="BB1076">
        <v>1913</v>
      </c>
      <c r="BC1076">
        <v>1920</v>
      </c>
      <c r="BE1076" t="s">
        <v>17776</v>
      </c>
      <c r="BF1076" t="s">
        <v>17777</v>
      </c>
      <c r="BI1076">
        <v>8</v>
      </c>
      <c r="BJ1076" t="s">
        <v>121</v>
      </c>
      <c r="BK1076" t="s">
        <v>96</v>
      </c>
      <c r="BL1076" t="s">
        <v>122</v>
      </c>
      <c r="BM1076" t="s">
        <v>17778</v>
      </c>
      <c r="BN1076">
        <v>21851981</v>
      </c>
      <c r="BR1076" t="s">
        <v>98</v>
      </c>
      <c r="BS1076" t="s">
        <v>17779</v>
      </c>
      <c r="BT1076" t="s">
        <v>16602</v>
      </c>
    </row>
    <row r="1077" spans="1:72">
      <c r="A1077" t="s">
        <v>72</v>
      </c>
      <c r="B1077" t="s">
        <v>17780</v>
      </c>
      <c r="F1077" t="s">
        <v>17781</v>
      </c>
      <c r="I1077" t="s">
        <v>17782</v>
      </c>
      <c r="J1077" t="s">
        <v>204</v>
      </c>
      <c r="M1077" t="s">
        <v>78</v>
      </c>
      <c r="N1077" t="s">
        <v>79</v>
      </c>
      <c r="T1077" t="s">
        <v>17783</v>
      </c>
      <c r="U1077" t="s">
        <v>17784</v>
      </c>
      <c r="V1077" t="s">
        <v>17785</v>
      </c>
      <c r="W1077" t="s">
        <v>17786</v>
      </c>
      <c r="X1077" t="s">
        <v>17787</v>
      </c>
      <c r="Y1077" t="s">
        <v>17788</v>
      </c>
      <c r="Z1077" t="s">
        <v>10014</v>
      </c>
      <c r="AA1077" t="s">
        <v>17789</v>
      </c>
      <c r="AB1077" t="s">
        <v>17790</v>
      </c>
      <c r="AC1077" t="s">
        <v>17791</v>
      </c>
      <c r="AD1077" t="s">
        <v>17791</v>
      </c>
      <c r="AE1077" t="s">
        <v>17792</v>
      </c>
      <c r="AG1077">
        <v>32</v>
      </c>
      <c r="AH1077">
        <v>4</v>
      </c>
      <c r="AI1077">
        <v>4</v>
      </c>
      <c r="AJ1077">
        <v>1</v>
      </c>
      <c r="AK1077">
        <v>21</v>
      </c>
      <c r="AL1077" t="s">
        <v>217</v>
      </c>
      <c r="AM1077" t="s">
        <v>218</v>
      </c>
      <c r="AN1077" t="s">
        <v>219</v>
      </c>
      <c r="AO1077" t="s">
        <v>220</v>
      </c>
      <c r="AP1077" t="s">
        <v>221</v>
      </c>
      <c r="AR1077" t="s">
        <v>222</v>
      </c>
      <c r="AS1077" t="s">
        <v>223</v>
      </c>
      <c r="AT1077" t="s">
        <v>765</v>
      </c>
      <c r="AU1077">
        <v>2019</v>
      </c>
      <c r="AV1077">
        <v>26</v>
      </c>
      <c r="AW1077">
        <v>21</v>
      </c>
      <c r="BB1077">
        <v>22051</v>
      </c>
      <c r="BC1077">
        <v>22060</v>
      </c>
      <c r="BE1077" t="s">
        <v>17793</v>
      </c>
      <c r="BF1077" t="s">
        <v>17794</v>
      </c>
      <c r="BI1077">
        <v>10</v>
      </c>
      <c r="BJ1077" t="s">
        <v>144</v>
      </c>
      <c r="BK1077" t="s">
        <v>96</v>
      </c>
      <c r="BL1077" t="s">
        <v>145</v>
      </c>
      <c r="BM1077" t="s">
        <v>17795</v>
      </c>
      <c r="BN1077">
        <v>31144184</v>
      </c>
      <c r="BR1077" t="s">
        <v>98</v>
      </c>
      <c r="BS1077" t="s">
        <v>17796</v>
      </c>
      <c r="BT1077" t="s">
        <v>16602</v>
      </c>
    </row>
    <row r="1078" spans="1:72">
      <c r="A1078" t="s">
        <v>72</v>
      </c>
      <c r="B1078" t="s">
        <v>17797</v>
      </c>
      <c r="F1078" t="s">
        <v>17798</v>
      </c>
      <c r="I1078" t="s">
        <v>17799</v>
      </c>
      <c r="J1078" t="s">
        <v>909</v>
      </c>
      <c r="M1078" t="s">
        <v>78</v>
      </c>
      <c r="N1078" t="s">
        <v>79</v>
      </c>
      <c r="T1078" t="s">
        <v>17800</v>
      </c>
      <c r="U1078" t="s">
        <v>17801</v>
      </c>
      <c r="V1078" t="s">
        <v>17802</v>
      </c>
      <c r="W1078" t="s">
        <v>17803</v>
      </c>
      <c r="X1078" t="s">
        <v>17804</v>
      </c>
      <c r="Y1078" t="s">
        <v>17805</v>
      </c>
      <c r="Z1078" t="s">
        <v>17806</v>
      </c>
      <c r="AA1078" t="s">
        <v>17807</v>
      </c>
      <c r="AB1078" t="s">
        <v>17808</v>
      </c>
      <c r="AC1078" t="s">
        <v>17809</v>
      </c>
      <c r="AD1078" t="s">
        <v>17810</v>
      </c>
      <c r="AE1078" t="s">
        <v>17811</v>
      </c>
      <c r="AG1078">
        <v>50</v>
      </c>
      <c r="AH1078">
        <v>31</v>
      </c>
      <c r="AI1078">
        <v>35</v>
      </c>
      <c r="AJ1078">
        <v>4</v>
      </c>
      <c r="AK1078">
        <v>67</v>
      </c>
      <c r="AL1078" t="s">
        <v>650</v>
      </c>
      <c r="AM1078" t="s">
        <v>651</v>
      </c>
      <c r="AN1078" t="s">
        <v>652</v>
      </c>
      <c r="AO1078" t="s">
        <v>921</v>
      </c>
      <c r="AP1078" t="s">
        <v>922</v>
      </c>
      <c r="AR1078" t="s">
        <v>923</v>
      </c>
      <c r="AS1078" t="s">
        <v>924</v>
      </c>
      <c r="AT1078" t="s">
        <v>17812</v>
      </c>
      <c r="AU1078">
        <v>2019</v>
      </c>
      <c r="AV1078">
        <v>660</v>
      </c>
      <c r="BB1078">
        <v>1441</v>
      </c>
      <c r="BC1078">
        <v>1448</v>
      </c>
      <c r="BE1078" t="s">
        <v>17813</v>
      </c>
      <c r="BF1078" t="s">
        <v>17814</v>
      </c>
      <c r="BI1078">
        <v>8</v>
      </c>
      <c r="BJ1078" t="s">
        <v>144</v>
      </c>
      <c r="BK1078" t="s">
        <v>96</v>
      </c>
      <c r="BL1078" t="s">
        <v>145</v>
      </c>
      <c r="BM1078" t="s">
        <v>17815</v>
      </c>
      <c r="BN1078">
        <v>30743937</v>
      </c>
      <c r="BR1078" t="s">
        <v>98</v>
      </c>
      <c r="BS1078" t="s">
        <v>17816</v>
      </c>
      <c r="BT1078" t="s">
        <v>16602</v>
      </c>
    </row>
    <row r="1079" spans="1:72">
      <c r="A1079" t="s">
        <v>72</v>
      </c>
      <c r="B1079" t="s">
        <v>17817</v>
      </c>
      <c r="F1079" t="s">
        <v>17817</v>
      </c>
      <c r="I1079" t="s">
        <v>17818</v>
      </c>
      <c r="J1079" t="s">
        <v>1254</v>
      </c>
      <c r="M1079" t="s">
        <v>78</v>
      </c>
      <c r="N1079" t="s">
        <v>79</v>
      </c>
      <c r="T1079" t="s">
        <v>17819</v>
      </c>
      <c r="U1079" t="s">
        <v>17820</v>
      </c>
      <c r="V1079" t="s">
        <v>17821</v>
      </c>
      <c r="W1079" t="s">
        <v>17822</v>
      </c>
      <c r="X1079" t="s">
        <v>1259</v>
      </c>
      <c r="Y1079" t="s">
        <v>17823</v>
      </c>
      <c r="Z1079" t="s">
        <v>17824</v>
      </c>
      <c r="AA1079" t="s">
        <v>17825</v>
      </c>
      <c r="AB1079" t="s">
        <v>17826</v>
      </c>
      <c r="AG1079">
        <v>42</v>
      </c>
      <c r="AH1079">
        <v>33</v>
      </c>
      <c r="AI1079">
        <v>38</v>
      </c>
      <c r="AJ1079">
        <v>0</v>
      </c>
      <c r="AK1079">
        <v>8</v>
      </c>
      <c r="AL1079" t="s">
        <v>136</v>
      </c>
      <c r="AM1079" t="s">
        <v>137</v>
      </c>
      <c r="AN1079" t="s">
        <v>138</v>
      </c>
      <c r="AO1079" t="s">
        <v>1264</v>
      </c>
      <c r="AP1079" t="s">
        <v>1265</v>
      </c>
      <c r="AR1079" t="s">
        <v>1266</v>
      </c>
      <c r="AS1079" t="s">
        <v>1267</v>
      </c>
      <c r="AT1079" t="s">
        <v>765</v>
      </c>
      <c r="AU1079">
        <v>2003</v>
      </c>
      <c r="AV1079">
        <v>29</v>
      </c>
      <c r="AW1079">
        <v>4</v>
      </c>
      <c r="BB1079">
        <v>521</v>
      </c>
      <c r="BC1079">
        <v>528</v>
      </c>
      <c r="BE1079" t="s">
        <v>17827</v>
      </c>
      <c r="BF1079" t="s">
        <v>17828</v>
      </c>
      <c r="BI1079">
        <v>8</v>
      </c>
      <c r="BJ1079" t="s">
        <v>144</v>
      </c>
      <c r="BK1079" t="s">
        <v>96</v>
      </c>
      <c r="BL1079" t="s">
        <v>145</v>
      </c>
      <c r="BM1079" t="s">
        <v>17829</v>
      </c>
      <c r="BN1079">
        <v>12705949</v>
      </c>
      <c r="BR1079" t="s">
        <v>98</v>
      </c>
      <c r="BS1079" t="s">
        <v>17830</v>
      </c>
      <c r="BT1079" t="s">
        <v>16602</v>
      </c>
    </row>
    <row r="1080" spans="1:72">
      <c r="A1080" t="s">
        <v>72</v>
      </c>
      <c r="B1080" t="s">
        <v>17831</v>
      </c>
      <c r="F1080" t="s">
        <v>17832</v>
      </c>
      <c r="I1080" t="s">
        <v>17833</v>
      </c>
      <c r="J1080" t="s">
        <v>641</v>
      </c>
      <c r="M1080" t="s">
        <v>78</v>
      </c>
      <c r="N1080" t="s">
        <v>79</v>
      </c>
      <c r="T1080" t="s">
        <v>17834</v>
      </c>
      <c r="U1080" t="s">
        <v>17835</v>
      </c>
      <c r="V1080" t="s">
        <v>17836</v>
      </c>
      <c r="W1080" t="s">
        <v>17837</v>
      </c>
      <c r="X1080" t="s">
        <v>17838</v>
      </c>
      <c r="Y1080" t="s">
        <v>17839</v>
      </c>
      <c r="Z1080" t="s">
        <v>17840</v>
      </c>
      <c r="AA1080" t="s">
        <v>13613</v>
      </c>
      <c r="AB1080" t="s">
        <v>17841</v>
      </c>
      <c r="AC1080" t="s">
        <v>17842</v>
      </c>
      <c r="AD1080" t="s">
        <v>17843</v>
      </c>
      <c r="AE1080" t="s">
        <v>17844</v>
      </c>
      <c r="AG1080">
        <v>91</v>
      </c>
      <c r="AH1080">
        <v>45</v>
      </c>
      <c r="AI1080">
        <v>51</v>
      </c>
      <c r="AJ1080">
        <v>0</v>
      </c>
      <c r="AK1080">
        <v>57</v>
      </c>
      <c r="AL1080" t="s">
        <v>650</v>
      </c>
      <c r="AM1080" t="s">
        <v>651</v>
      </c>
      <c r="AN1080" t="s">
        <v>652</v>
      </c>
      <c r="AO1080" t="s">
        <v>653</v>
      </c>
      <c r="AP1080" t="s">
        <v>654</v>
      </c>
      <c r="AR1080" t="s">
        <v>655</v>
      </c>
      <c r="AS1080" t="s">
        <v>656</v>
      </c>
      <c r="AT1080" t="s">
        <v>1470</v>
      </c>
      <c r="AU1080">
        <v>2014</v>
      </c>
      <c r="AV1080">
        <v>146</v>
      </c>
      <c r="BB1080">
        <v>186</v>
      </c>
      <c r="BC1080">
        <v>195</v>
      </c>
      <c r="BE1080" t="s">
        <v>17845</v>
      </c>
      <c r="BF1080" t="s">
        <v>17846</v>
      </c>
      <c r="BI1080">
        <v>10</v>
      </c>
      <c r="BJ1080" t="s">
        <v>659</v>
      </c>
      <c r="BK1080" t="s">
        <v>96</v>
      </c>
      <c r="BL1080" t="s">
        <v>659</v>
      </c>
      <c r="BM1080" t="s">
        <v>11987</v>
      </c>
      <c r="BN1080">
        <v>24316436</v>
      </c>
      <c r="BR1080" t="s">
        <v>98</v>
      </c>
      <c r="BS1080" t="s">
        <v>17847</v>
      </c>
      <c r="BT1080" t="s">
        <v>16602</v>
      </c>
    </row>
    <row r="1081" spans="1:72">
      <c r="A1081" t="s">
        <v>72</v>
      </c>
      <c r="B1081" t="s">
        <v>17848</v>
      </c>
      <c r="F1081" t="s">
        <v>17849</v>
      </c>
      <c r="I1081" t="s">
        <v>17850</v>
      </c>
      <c r="J1081" t="s">
        <v>752</v>
      </c>
      <c r="M1081" t="s">
        <v>78</v>
      </c>
      <c r="N1081" t="s">
        <v>79</v>
      </c>
      <c r="T1081" t="s">
        <v>17851</v>
      </c>
      <c r="U1081" t="s">
        <v>17852</v>
      </c>
      <c r="V1081" t="s">
        <v>17853</v>
      </c>
      <c r="W1081" t="s">
        <v>17854</v>
      </c>
      <c r="X1081" t="s">
        <v>17855</v>
      </c>
      <c r="Y1081" t="s">
        <v>17856</v>
      </c>
      <c r="Z1081" t="s">
        <v>17857</v>
      </c>
      <c r="AB1081" t="s">
        <v>17858</v>
      </c>
      <c r="AC1081" t="s">
        <v>17859</v>
      </c>
      <c r="AD1081" t="s">
        <v>17860</v>
      </c>
      <c r="AE1081" t="s">
        <v>17861</v>
      </c>
      <c r="AG1081">
        <v>85</v>
      </c>
      <c r="AH1081">
        <v>2</v>
      </c>
      <c r="AI1081">
        <v>2</v>
      </c>
      <c r="AJ1081">
        <v>2</v>
      </c>
      <c r="AK1081">
        <v>12</v>
      </c>
      <c r="AL1081" t="s">
        <v>430</v>
      </c>
      <c r="AM1081" t="s">
        <v>137</v>
      </c>
      <c r="AN1081" t="s">
        <v>431</v>
      </c>
      <c r="AO1081" t="s">
        <v>761</v>
      </c>
      <c r="AP1081" t="s">
        <v>762</v>
      </c>
      <c r="AR1081" t="s">
        <v>763</v>
      </c>
      <c r="AS1081" t="s">
        <v>764</v>
      </c>
      <c r="AT1081" t="s">
        <v>93</v>
      </c>
      <c r="AU1081">
        <v>2022</v>
      </c>
      <c r="AV1081">
        <v>176</v>
      </c>
      <c r="BD1081">
        <v>105594</v>
      </c>
      <c r="BE1081" t="s">
        <v>17862</v>
      </c>
      <c r="BF1081" t="s">
        <v>17863</v>
      </c>
      <c r="BH1081" t="s">
        <v>5038</v>
      </c>
      <c r="BI1081">
        <v>11</v>
      </c>
      <c r="BJ1081" t="s">
        <v>768</v>
      </c>
      <c r="BK1081" t="s">
        <v>96</v>
      </c>
      <c r="BL1081" t="s">
        <v>769</v>
      </c>
      <c r="BM1081" t="s">
        <v>17864</v>
      </c>
      <c r="BN1081">
        <v>35279515</v>
      </c>
      <c r="BO1081" t="s">
        <v>9583</v>
      </c>
      <c r="BR1081" t="s">
        <v>98</v>
      </c>
      <c r="BS1081" t="s">
        <v>17865</v>
      </c>
      <c r="BT1081" t="s">
        <v>16602</v>
      </c>
    </row>
    <row r="1082" spans="1:72">
      <c r="A1082" t="s">
        <v>72</v>
      </c>
      <c r="B1082" t="s">
        <v>17866</v>
      </c>
      <c r="F1082" t="s">
        <v>17867</v>
      </c>
      <c r="I1082" t="s">
        <v>17868</v>
      </c>
      <c r="J1082" t="s">
        <v>204</v>
      </c>
      <c r="M1082" t="s">
        <v>78</v>
      </c>
      <c r="N1082" t="s">
        <v>79</v>
      </c>
      <c r="T1082" t="s">
        <v>17869</v>
      </c>
      <c r="U1082" t="s">
        <v>17870</v>
      </c>
      <c r="V1082" t="s">
        <v>17871</v>
      </c>
      <c r="W1082" t="s">
        <v>17872</v>
      </c>
      <c r="X1082" t="s">
        <v>17873</v>
      </c>
      <c r="Y1082" t="s">
        <v>17874</v>
      </c>
      <c r="Z1082" t="s">
        <v>10780</v>
      </c>
      <c r="AA1082" t="s">
        <v>17875</v>
      </c>
      <c r="AB1082" t="s">
        <v>17876</v>
      </c>
      <c r="AC1082" t="s">
        <v>17877</v>
      </c>
      <c r="AD1082" t="s">
        <v>17878</v>
      </c>
      <c r="AE1082" t="s">
        <v>17879</v>
      </c>
      <c r="AG1082">
        <v>43</v>
      </c>
      <c r="AH1082">
        <v>45</v>
      </c>
      <c r="AI1082">
        <v>49</v>
      </c>
      <c r="AJ1082">
        <v>0</v>
      </c>
      <c r="AK1082">
        <v>92</v>
      </c>
      <c r="AL1082" t="s">
        <v>217</v>
      </c>
      <c r="AM1082" t="s">
        <v>218</v>
      </c>
      <c r="AN1082" t="s">
        <v>219</v>
      </c>
      <c r="AO1082" t="s">
        <v>220</v>
      </c>
      <c r="AP1082" t="s">
        <v>221</v>
      </c>
      <c r="AR1082" t="s">
        <v>222</v>
      </c>
      <c r="AS1082" t="s">
        <v>223</v>
      </c>
      <c r="AT1082" t="s">
        <v>765</v>
      </c>
      <c r="AU1082">
        <v>2015</v>
      </c>
      <c r="AV1082">
        <v>22</v>
      </c>
      <c r="AW1082">
        <v>14</v>
      </c>
      <c r="BB1082">
        <v>11162</v>
      </c>
      <c r="BC1082">
        <v>11169</v>
      </c>
      <c r="BE1082" t="s">
        <v>17880</v>
      </c>
      <c r="BF1082" t="s">
        <v>17881</v>
      </c>
      <c r="BI1082">
        <v>8</v>
      </c>
      <c r="BJ1082" t="s">
        <v>144</v>
      </c>
      <c r="BK1082" t="s">
        <v>96</v>
      </c>
      <c r="BL1082" t="s">
        <v>145</v>
      </c>
      <c r="BM1082" t="s">
        <v>17882</v>
      </c>
      <c r="BN1082">
        <v>26013737</v>
      </c>
      <c r="BR1082" t="s">
        <v>98</v>
      </c>
      <c r="BS1082" t="s">
        <v>17883</v>
      </c>
      <c r="BT1082" t="s">
        <v>16602</v>
      </c>
    </row>
    <row r="1083" spans="1:72">
      <c r="A1083" t="s">
        <v>72</v>
      </c>
      <c r="B1083" t="s">
        <v>17884</v>
      </c>
      <c r="F1083" t="s">
        <v>17885</v>
      </c>
      <c r="I1083" t="s">
        <v>17886</v>
      </c>
      <c r="J1083" t="s">
        <v>232</v>
      </c>
      <c r="M1083" t="s">
        <v>78</v>
      </c>
      <c r="N1083" t="s">
        <v>79</v>
      </c>
      <c r="T1083" t="s">
        <v>17887</v>
      </c>
      <c r="U1083" t="s">
        <v>17888</v>
      </c>
      <c r="V1083" t="s">
        <v>17889</v>
      </c>
      <c r="W1083" t="s">
        <v>17890</v>
      </c>
      <c r="X1083" t="s">
        <v>17891</v>
      </c>
      <c r="Y1083" t="s">
        <v>17892</v>
      </c>
      <c r="Z1083" t="s">
        <v>17893</v>
      </c>
      <c r="AA1083" t="s">
        <v>17894</v>
      </c>
      <c r="AB1083" t="s">
        <v>17895</v>
      </c>
      <c r="AC1083" t="s">
        <v>17896</v>
      </c>
      <c r="AD1083" t="s">
        <v>17897</v>
      </c>
      <c r="AE1083" t="s">
        <v>17898</v>
      </c>
      <c r="AG1083">
        <v>80</v>
      </c>
      <c r="AH1083">
        <v>24</v>
      </c>
      <c r="AI1083">
        <v>24</v>
      </c>
      <c r="AJ1083">
        <v>0</v>
      </c>
      <c r="AK1083">
        <v>45</v>
      </c>
      <c r="AL1083" t="s">
        <v>136</v>
      </c>
      <c r="AM1083" t="s">
        <v>137</v>
      </c>
      <c r="AN1083" t="s">
        <v>138</v>
      </c>
      <c r="AO1083" t="s">
        <v>240</v>
      </c>
      <c r="AP1083" t="s">
        <v>241</v>
      </c>
      <c r="AR1083" t="s">
        <v>242</v>
      </c>
      <c r="AS1083" t="s">
        <v>243</v>
      </c>
      <c r="AT1083" t="s">
        <v>1965</v>
      </c>
      <c r="AU1083">
        <v>2015</v>
      </c>
      <c r="AV1083">
        <v>101</v>
      </c>
      <c r="AW1083">
        <v>1</v>
      </c>
      <c r="BB1083">
        <v>349</v>
      </c>
      <c r="BC1083">
        <v>358</v>
      </c>
      <c r="BE1083" t="s">
        <v>17899</v>
      </c>
      <c r="BF1083" t="s">
        <v>17900</v>
      </c>
      <c r="BI1083">
        <v>10</v>
      </c>
      <c r="BJ1083" t="s">
        <v>247</v>
      </c>
      <c r="BK1083" t="s">
        <v>96</v>
      </c>
      <c r="BL1083" t="s">
        <v>248</v>
      </c>
      <c r="BM1083" t="s">
        <v>17901</v>
      </c>
      <c r="BN1083">
        <v>26490411</v>
      </c>
      <c r="BR1083" t="s">
        <v>98</v>
      </c>
      <c r="BS1083" t="s">
        <v>17902</v>
      </c>
      <c r="BT1083" t="s">
        <v>16602</v>
      </c>
    </row>
    <row r="1084" spans="1:72">
      <c r="A1084" t="s">
        <v>72</v>
      </c>
      <c r="B1084" t="s">
        <v>17903</v>
      </c>
      <c r="F1084" t="s">
        <v>17903</v>
      </c>
      <c r="I1084" t="s">
        <v>17904</v>
      </c>
      <c r="J1084" t="s">
        <v>752</v>
      </c>
      <c r="M1084" t="s">
        <v>78</v>
      </c>
      <c r="N1084" t="s">
        <v>79</v>
      </c>
      <c r="V1084" t="s">
        <v>17905</v>
      </c>
      <c r="W1084" t="s">
        <v>17906</v>
      </c>
      <c r="X1084" t="s">
        <v>17907</v>
      </c>
      <c r="Y1084" t="s">
        <v>17908</v>
      </c>
      <c r="AB1084" t="s">
        <v>17909</v>
      </c>
      <c r="AG1084">
        <v>28</v>
      </c>
      <c r="AH1084">
        <v>11</v>
      </c>
      <c r="AI1084">
        <v>11</v>
      </c>
      <c r="AJ1084">
        <v>0</v>
      </c>
      <c r="AK1084">
        <v>0</v>
      </c>
      <c r="AL1084" t="s">
        <v>430</v>
      </c>
      <c r="AM1084" t="s">
        <v>7361</v>
      </c>
      <c r="AN1084" t="s">
        <v>7362</v>
      </c>
      <c r="AO1084" t="s">
        <v>761</v>
      </c>
      <c r="AP1084" t="s">
        <v>762</v>
      </c>
      <c r="AR1084" t="s">
        <v>763</v>
      </c>
      <c r="AS1084" t="s">
        <v>764</v>
      </c>
      <c r="AU1084">
        <v>1982</v>
      </c>
      <c r="AV1084">
        <v>6</v>
      </c>
      <c r="AW1084">
        <v>3</v>
      </c>
      <c r="BB1084">
        <v>235</v>
      </c>
      <c r="BC1084">
        <v>243</v>
      </c>
      <c r="BE1084" t="s">
        <v>17910</v>
      </c>
      <c r="BF1084" t="s">
        <v>17911</v>
      </c>
      <c r="BI1084">
        <v>9</v>
      </c>
      <c r="BJ1084" t="s">
        <v>768</v>
      </c>
      <c r="BK1084" t="s">
        <v>96</v>
      </c>
      <c r="BL1084" t="s">
        <v>769</v>
      </c>
      <c r="BM1084" t="s">
        <v>17912</v>
      </c>
      <c r="BR1084" t="s">
        <v>98</v>
      </c>
      <c r="BS1084" t="s">
        <v>17913</v>
      </c>
      <c r="BT1084" t="s">
        <v>16602</v>
      </c>
    </row>
    <row r="1085" spans="1:72">
      <c r="A1085" t="s">
        <v>72</v>
      </c>
      <c r="B1085" t="s">
        <v>17914</v>
      </c>
      <c r="F1085" t="s">
        <v>17915</v>
      </c>
      <c r="I1085" t="s">
        <v>17916</v>
      </c>
      <c r="J1085" t="s">
        <v>752</v>
      </c>
      <c r="M1085" t="s">
        <v>78</v>
      </c>
      <c r="N1085" t="s">
        <v>79</v>
      </c>
      <c r="T1085" t="s">
        <v>17917</v>
      </c>
      <c r="U1085" t="s">
        <v>17918</v>
      </c>
      <c r="V1085" t="s">
        <v>17919</v>
      </c>
      <c r="W1085" t="s">
        <v>17920</v>
      </c>
      <c r="X1085" t="s">
        <v>17921</v>
      </c>
      <c r="Y1085" t="s">
        <v>8495</v>
      </c>
      <c r="Z1085" t="s">
        <v>17922</v>
      </c>
      <c r="AA1085" t="s">
        <v>17923</v>
      </c>
      <c r="AB1085" t="s">
        <v>17924</v>
      </c>
      <c r="AG1085">
        <v>55</v>
      </c>
      <c r="AH1085">
        <v>7</v>
      </c>
      <c r="AI1085">
        <v>7</v>
      </c>
      <c r="AJ1085">
        <v>0</v>
      </c>
      <c r="AK1085">
        <v>10</v>
      </c>
      <c r="AL1085" t="s">
        <v>430</v>
      </c>
      <c r="AM1085" t="s">
        <v>137</v>
      </c>
      <c r="AN1085" t="s">
        <v>431</v>
      </c>
      <c r="AO1085" t="s">
        <v>761</v>
      </c>
      <c r="AP1085" t="s">
        <v>762</v>
      </c>
      <c r="AR1085" t="s">
        <v>763</v>
      </c>
      <c r="AS1085" t="s">
        <v>764</v>
      </c>
      <c r="AT1085" t="s">
        <v>142</v>
      </c>
      <c r="AU1085">
        <v>2017</v>
      </c>
      <c r="AV1085">
        <v>127</v>
      </c>
      <c r="BB1085">
        <v>49</v>
      </c>
      <c r="BC1085">
        <v>61</v>
      </c>
      <c r="BE1085" t="s">
        <v>17925</v>
      </c>
      <c r="BF1085" t="s">
        <v>17926</v>
      </c>
      <c r="BI1085">
        <v>13</v>
      </c>
      <c r="BJ1085" t="s">
        <v>768</v>
      </c>
      <c r="BK1085" t="s">
        <v>96</v>
      </c>
      <c r="BL1085" t="s">
        <v>769</v>
      </c>
      <c r="BM1085" t="s">
        <v>17927</v>
      </c>
      <c r="BN1085">
        <v>28372811</v>
      </c>
      <c r="BR1085" t="s">
        <v>98</v>
      </c>
      <c r="BS1085" t="s">
        <v>17928</v>
      </c>
      <c r="BT1085" t="s">
        <v>16602</v>
      </c>
    </row>
    <row r="1086" spans="1:72">
      <c r="A1086" t="s">
        <v>72</v>
      </c>
      <c r="B1086" t="s">
        <v>17929</v>
      </c>
      <c r="F1086" t="s">
        <v>17930</v>
      </c>
      <c r="I1086" t="s">
        <v>17931</v>
      </c>
      <c r="J1086" t="s">
        <v>2581</v>
      </c>
      <c r="M1086" t="s">
        <v>78</v>
      </c>
      <c r="N1086" t="s">
        <v>79</v>
      </c>
      <c r="T1086" t="s">
        <v>17932</v>
      </c>
      <c r="U1086" t="s">
        <v>17933</v>
      </c>
      <c r="V1086" t="s">
        <v>17934</v>
      </c>
      <c r="W1086" t="s">
        <v>17935</v>
      </c>
      <c r="X1086" t="s">
        <v>17936</v>
      </c>
      <c r="Y1086" t="s">
        <v>17937</v>
      </c>
      <c r="Z1086" t="s">
        <v>17938</v>
      </c>
      <c r="AA1086" t="s">
        <v>17939</v>
      </c>
      <c r="AB1086" t="s">
        <v>17940</v>
      </c>
      <c r="AG1086">
        <v>52</v>
      </c>
      <c r="AH1086">
        <v>0</v>
      </c>
      <c r="AI1086">
        <v>0</v>
      </c>
      <c r="AJ1086">
        <v>4</v>
      </c>
      <c r="AK1086">
        <v>10</v>
      </c>
      <c r="AL1086" t="s">
        <v>430</v>
      </c>
      <c r="AM1086" t="s">
        <v>7361</v>
      </c>
      <c r="AN1086" t="s">
        <v>7362</v>
      </c>
      <c r="AO1086" t="s">
        <v>2593</v>
      </c>
      <c r="AP1086" t="s">
        <v>2594</v>
      </c>
      <c r="AR1086" t="s">
        <v>2581</v>
      </c>
      <c r="AS1086" t="s">
        <v>2595</v>
      </c>
      <c r="AT1086" t="s">
        <v>951</v>
      </c>
      <c r="AU1086">
        <v>2023</v>
      </c>
      <c r="AV1086">
        <v>153</v>
      </c>
      <c r="BD1086">
        <v>109943</v>
      </c>
      <c r="BE1086" t="s">
        <v>17941</v>
      </c>
      <c r="BF1086" t="s">
        <v>17942</v>
      </c>
      <c r="BH1086" t="s">
        <v>767</v>
      </c>
      <c r="BI1086">
        <v>10</v>
      </c>
      <c r="BJ1086" t="s">
        <v>2598</v>
      </c>
      <c r="BK1086" t="s">
        <v>96</v>
      </c>
      <c r="BL1086" t="s">
        <v>2598</v>
      </c>
      <c r="BM1086" t="s">
        <v>17943</v>
      </c>
      <c r="BO1086" t="s">
        <v>2744</v>
      </c>
      <c r="BR1086" t="s">
        <v>98</v>
      </c>
      <c r="BS1086" t="s">
        <v>17944</v>
      </c>
      <c r="BT1086" t="s">
        <v>16602</v>
      </c>
    </row>
    <row r="1087" spans="1:72">
      <c r="A1087" t="s">
        <v>72</v>
      </c>
      <c r="B1087" t="s">
        <v>17945</v>
      </c>
      <c r="F1087" t="s">
        <v>17945</v>
      </c>
      <c r="I1087" t="s">
        <v>17946</v>
      </c>
      <c r="J1087" t="s">
        <v>10129</v>
      </c>
      <c r="M1087" t="s">
        <v>78</v>
      </c>
      <c r="N1087" t="s">
        <v>79</v>
      </c>
      <c r="V1087" t="s">
        <v>17947</v>
      </c>
      <c r="W1087" t="s">
        <v>17948</v>
      </c>
      <c r="AA1087" t="s">
        <v>17949</v>
      </c>
      <c r="AB1087" t="s">
        <v>17950</v>
      </c>
      <c r="AG1087">
        <v>24</v>
      </c>
      <c r="AH1087">
        <v>21</v>
      </c>
      <c r="AI1087">
        <v>22</v>
      </c>
      <c r="AJ1087">
        <v>0</v>
      </c>
      <c r="AK1087">
        <v>9</v>
      </c>
      <c r="AL1087" t="s">
        <v>3362</v>
      </c>
      <c r="AM1087" t="s">
        <v>3363</v>
      </c>
      <c r="AN1087" t="s">
        <v>3364</v>
      </c>
      <c r="AO1087" t="s">
        <v>10137</v>
      </c>
      <c r="AP1087" t="s">
        <v>10138</v>
      </c>
      <c r="AR1087" t="s">
        <v>10139</v>
      </c>
      <c r="AS1087" t="s">
        <v>10140</v>
      </c>
      <c r="AU1087">
        <v>1981</v>
      </c>
      <c r="AV1087">
        <v>25</v>
      </c>
      <c r="AW1087">
        <v>2</v>
      </c>
      <c r="BB1087">
        <v>302</v>
      </c>
      <c r="BC1087">
        <v>309</v>
      </c>
      <c r="BE1087" t="s">
        <v>17951</v>
      </c>
      <c r="BF1087" t="s">
        <v>17952</v>
      </c>
      <c r="BI1087">
        <v>8</v>
      </c>
      <c r="BJ1087" t="s">
        <v>10142</v>
      </c>
      <c r="BK1087" t="s">
        <v>96</v>
      </c>
      <c r="BL1087" t="s">
        <v>10143</v>
      </c>
      <c r="BM1087" t="s">
        <v>17953</v>
      </c>
      <c r="BN1087">
        <v>7274194</v>
      </c>
      <c r="BR1087" t="s">
        <v>98</v>
      </c>
      <c r="BS1087" t="s">
        <v>17954</v>
      </c>
      <c r="BT1087" t="s">
        <v>16602</v>
      </c>
    </row>
    <row r="1088" spans="1:72">
      <c r="A1088" t="s">
        <v>72</v>
      </c>
      <c r="B1088" t="s">
        <v>17955</v>
      </c>
      <c r="F1088" t="s">
        <v>17955</v>
      </c>
      <c r="I1088" t="s">
        <v>17956</v>
      </c>
      <c r="J1088" t="s">
        <v>17957</v>
      </c>
      <c r="M1088" t="s">
        <v>78</v>
      </c>
      <c r="N1088" t="s">
        <v>79</v>
      </c>
      <c r="V1088" t="s">
        <v>17958</v>
      </c>
      <c r="Y1088" t="s">
        <v>17959</v>
      </c>
      <c r="AG1088">
        <v>0</v>
      </c>
      <c r="AH1088">
        <v>12</v>
      </c>
      <c r="AI1088">
        <v>12</v>
      </c>
      <c r="AJ1088">
        <v>0</v>
      </c>
      <c r="AK1088">
        <v>3</v>
      </c>
      <c r="AL1088" t="s">
        <v>17960</v>
      </c>
      <c r="AM1088" t="s">
        <v>113</v>
      </c>
      <c r="AN1088" t="s">
        <v>17961</v>
      </c>
      <c r="AO1088" t="s">
        <v>17962</v>
      </c>
      <c r="AR1088" t="s">
        <v>17963</v>
      </c>
      <c r="AS1088" t="s">
        <v>17964</v>
      </c>
      <c r="AT1088" t="s">
        <v>119</v>
      </c>
      <c r="AU1088">
        <v>1993</v>
      </c>
      <c r="AV1088">
        <v>8</v>
      </c>
      <c r="AW1088">
        <v>3</v>
      </c>
      <c r="BB1088">
        <v>335</v>
      </c>
      <c r="BC1088">
        <v>344</v>
      </c>
      <c r="BI1088">
        <v>10</v>
      </c>
      <c r="BJ1088" t="s">
        <v>972</v>
      </c>
      <c r="BK1088" t="s">
        <v>96</v>
      </c>
      <c r="BL1088" t="s">
        <v>973</v>
      </c>
      <c r="BM1088" t="s">
        <v>17965</v>
      </c>
      <c r="BR1088" t="s">
        <v>98</v>
      </c>
      <c r="BS1088" t="s">
        <v>17966</v>
      </c>
      <c r="BT1088" t="s">
        <v>16602</v>
      </c>
    </row>
    <row r="1089" spans="1:72">
      <c r="A1089" t="s">
        <v>72</v>
      </c>
      <c r="B1089" t="s">
        <v>17967</v>
      </c>
      <c r="F1089" t="s">
        <v>17967</v>
      </c>
      <c r="I1089" t="s">
        <v>17968</v>
      </c>
      <c r="J1089" t="s">
        <v>17969</v>
      </c>
      <c r="M1089" t="s">
        <v>78</v>
      </c>
      <c r="N1089" t="s">
        <v>79</v>
      </c>
      <c r="T1089" t="s">
        <v>17970</v>
      </c>
      <c r="U1089" t="s">
        <v>17971</v>
      </c>
      <c r="V1089" t="s">
        <v>17972</v>
      </c>
      <c r="W1089" t="s">
        <v>17973</v>
      </c>
      <c r="X1089" t="s">
        <v>17974</v>
      </c>
      <c r="Y1089" t="s">
        <v>17975</v>
      </c>
      <c r="AG1089">
        <v>46</v>
      </c>
      <c r="AH1089">
        <v>39</v>
      </c>
      <c r="AI1089">
        <v>48</v>
      </c>
      <c r="AJ1089">
        <v>0</v>
      </c>
      <c r="AK1089">
        <v>17</v>
      </c>
      <c r="AL1089" t="s">
        <v>919</v>
      </c>
      <c r="AM1089" t="s">
        <v>651</v>
      </c>
      <c r="AN1089" t="s">
        <v>920</v>
      </c>
      <c r="AO1089" t="s">
        <v>17976</v>
      </c>
      <c r="AR1089" t="s">
        <v>17977</v>
      </c>
      <c r="AS1089" t="s">
        <v>17978</v>
      </c>
      <c r="AT1089" t="s">
        <v>325</v>
      </c>
      <c r="AU1089">
        <v>2001</v>
      </c>
      <c r="AV1089">
        <v>181</v>
      </c>
      <c r="AW1089" t="s">
        <v>721</v>
      </c>
      <c r="BB1089">
        <v>181</v>
      </c>
      <c r="BC1089">
        <v>191</v>
      </c>
      <c r="BE1089" t="s">
        <v>17979</v>
      </c>
      <c r="BF1089" t="s">
        <v>17980</v>
      </c>
      <c r="BI1089">
        <v>11</v>
      </c>
      <c r="BJ1089" t="s">
        <v>9863</v>
      </c>
      <c r="BK1089" t="s">
        <v>96</v>
      </c>
      <c r="BL1089" t="s">
        <v>9863</v>
      </c>
      <c r="BM1089" t="s">
        <v>17981</v>
      </c>
      <c r="BR1089" t="s">
        <v>98</v>
      </c>
      <c r="BS1089" t="s">
        <v>17982</v>
      </c>
      <c r="BT1089" t="s">
        <v>16602</v>
      </c>
    </row>
    <row r="1090" spans="1:72">
      <c r="A1090" t="s">
        <v>72</v>
      </c>
      <c r="B1090" t="s">
        <v>17983</v>
      </c>
      <c r="F1090" t="s">
        <v>17984</v>
      </c>
      <c r="I1090" t="s">
        <v>17985</v>
      </c>
      <c r="J1090" t="s">
        <v>752</v>
      </c>
      <c r="M1090" t="s">
        <v>78</v>
      </c>
      <c r="N1090" t="s">
        <v>79</v>
      </c>
      <c r="T1090" t="s">
        <v>17986</v>
      </c>
      <c r="U1090" t="s">
        <v>17987</v>
      </c>
      <c r="V1090" t="s">
        <v>17988</v>
      </c>
      <c r="W1090" t="s">
        <v>17989</v>
      </c>
      <c r="X1090" t="s">
        <v>17990</v>
      </c>
      <c r="Y1090" t="s">
        <v>17991</v>
      </c>
      <c r="Z1090" t="s">
        <v>17992</v>
      </c>
      <c r="AA1090" t="s">
        <v>13028</v>
      </c>
      <c r="AB1090" t="s">
        <v>17993</v>
      </c>
      <c r="AC1090" t="s">
        <v>17994</v>
      </c>
      <c r="AD1090" t="s">
        <v>17995</v>
      </c>
      <c r="AE1090" t="s">
        <v>17996</v>
      </c>
      <c r="AG1090">
        <v>68</v>
      </c>
      <c r="AH1090">
        <v>44</v>
      </c>
      <c r="AI1090">
        <v>46</v>
      </c>
      <c r="AJ1090">
        <v>0</v>
      </c>
      <c r="AK1090">
        <v>44</v>
      </c>
      <c r="AL1090" t="s">
        <v>430</v>
      </c>
      <c r="AM1090" t="s">
        <v>137</v>
      </c>
      <c r="AN1090" t="s">
        <v>431</v>
      </c>
      <c r="AO1090" t="s">
        <v>761</v>
      </c>
      <c r="AP1090" t="s">
        <v>762</v>
      </c>
      <c r="AR1090" t="s">
        <v>763</v>
      </c>
      <c r="AS1090" t="s">
        <v>764</v>
      </c>
      <c r="AT1090" t="s">
        <v>197</v>
      </c>
      <c r="AU1090">
        <v>2016</v>
      </c>
      <c r="AV1090">
        <v>122</v>
      </c>
      <c r="BB1090">
        <v>59</v>
      </c>
      <c r="BC1090">
        <v>66</v>
      </c>
      <c r="BE1090" t="s">
        <v>17997</v>
      </c>
      <c r="BF1090" t="s">
        <v>17998</v>
      </c>
      <c r="BI1090">
        <v>8</v>
      </c>
      <c r="BJ1090" t="s">
        <v>768</v>
      </c>
      <c r="BK1090" t="s">
        <v>96</v>
      </c>
      <c r="BL1090" t="s">
        <v>769</v>
      </c>
      <c r="BM1090" t="s">
        <v>17999</v>
      </c>
      <c r="BN1090">
        <v>27686387</v>
      </c>
      <c r="BR1090" t="s">
        <v>98</v>
      </c>
      <c r="BS1090" t="s">
        <v>18000</v>
      </c>
      <c r="BT1090" t="s">
        <v>16602</v>
      </c>
    </row>
    <row r="1091" spans="1:72">
      <c r="A1091" t="s">
        <v>72</v>
      </c>
      <c r="B1091" t="s">
        <v>18001</v>
      </c>
      <c r="F1091" t="s">
        <v>18002</v>
      </c>
      <c r="I1091" t="s">
        <v>18003</v>
      </c>
      <c r="J1091" t="s">
        <v>232</v>
      </c>
      <c r="M1091" t="s">
        <v>78</v>
      </c>
      <c r="N1091" t="s">
        <v>79</v>
      </c>
      <c r="T1091" t="s">
        <v>18004</v>
      </c>
      <c r="U1091" t="s">
        <v>18005</v>
      </c>
      <c r="V1091" t="s">
        <v>18006</v>
      </c>
      <c r="W1091" t="s">
        <v>18007</v>
      </c>
      <c r="X1091" t="s">
        <v>18008</v>
      </c>
      <c r="Y1091" t="s">
        <v>18009</v>
      </c>
      <c r="AA1091" t="s">
        <v>18010</v>
      </c>
      <c r="AB1091" t="s">
        <v>18011</v>
      </c>
      <c r="AC1091" t="s">
        <v>18012</v>
      </c>
      <c r="AD1091" t="s">
        <v>18013</v>
      </c>
      <c r="AE1091" t="s">
        <v>18014</v>
      </c>
      <c r="AG1091">
        <v>112</v>
      </c>
      <c r="AH1091">
        <v>20</v>
      </c>
      <c r="AI1091">
        <v>21</v>
      </c>
      <c r="AJ1091">
        <v>0</v>
      </c>
      <c r="AK1091">
        <v>40</v>
      </c>
      <c r="AL1091" t="s">
        <v>136</v>
      </c>
      <c r="AM1091" t="s">
        <v>137</v>
      </c>
      <c r="AN1091" t="s">
        <v>138</v>
      </c>
      <c r="AO1091" t="s">
        <v>240</v>
      </c>
      <c r="AP1091" t="s">
        <v>241</v>
      </c>
      <c r="AR1091" t="s">
        <v>242</v>
      </c>
      <c r="AS1091" t="s">
        <v>243</v>
      </c>
      <c r="AT1091" t="s">
        <v>325</v>
      </c>
      <c r="AU1091">
        <v>2014</v>
      </c>
      <c r="AV1091">
        <v>87</v>
      </c>
      <c r="AW1091" t="s">
        <v>326</v>
      </c>
      <c r="BB1091">
        <v>104</v>
      </c>
      <c r="BC1091">
        <v>116</v>
      </c>
      <c r="BE1091" t="s">
        <v>18015</v>
      </c>
      <c r="BF1091" t="s">
        <v>18016</v>
      </c>
      <c r="BI1091">
        <v>13</v>
      </c>
      <c r="BJ1091" t="s">
        <v>247</v>
      </c>
      <c r="BK1091" t="s">
        <v>96</v>
      </c>
      <c r="BL1091" t="s">
        <v>248</v>
      </c>
      <c r="BM1091" t="s">
        <v>10295</v>
      </c>
      <c r="BN1091">
        <v>25176274</v>
      </c>
      <c r="BR1091" t="s">
        <v>98</v>
      </c>
      <c r="BS1091" t="s">
        <v>18017</v>
      </c>
      <c r="BT1091" t="s">
        <v>16602</v>
      </c>
    </row>
    <row r="1092" spans="1:72">
      <c r="A1092" t="s">
        <v>72</v>
      </c>
      <c r="B1092" t="s">
        <v>18018</v>
      </c>
      <c r="F1092" t="s">
        <v>18018</v>
      </c>
      <c r="I1092" t="s">
        <v>18019</v>
      </c>
      <c r="J1092" t="s">
        <v>704</v>
      </c>
      <c r="M1092" t="s">
        <v>78</v>
      </c>
      <c r="N1092" t="s">
        <v>79</v>
      </c>
      <c r="V1092" t="s">
        <v>18020</v>
      </c>
      <c r="Y1092" t="s">
        <v>18021</v>
      </c>
      <c r="AA1092" t="s">
        <v>18022</v>
      </c>
      <c r="AB1092" t="s">
        <v>18023</v>
      </c>
      <c r="AG1092">
        <v>30</v>
      </c>
      <c r="AH1092">
        <v>32</v>
      </c>
      <c r="AI1092">
        <v>34</v>
      </c>
      <c r="AJ1092">
        <v>0</v>
      </c>
      <c r="AK1092">
        <v>8</v>
      </c>
      <c r="AL1092" t="s">
        <v>1166</v>
      </c>
      <c r="AM1092" t="s">
        <v>1167</v>
      </c>
      <c r="AN1092" t="s">
        <v>1168</v>
      </c>
      <c r="AO1092" t="s">
        <v>718</v>
      </c>
      <c r="AP1092" t="s">
        <v>1169</v>
      </c>
      <c r="AR1092" t="s">
        <v>719</v>
      </c>
      <c r="AS1092" t="s">
        <v>720</v>
      </c>
      <c r="AU1092">
        <v>1983</v>
      </c>
      <c r="AV1092">
        <v>20</v>
      </c>
      <c r="AW1092">
        <v>2</v>
      </c>
      <c r="BB1092">
        <v>127</v>
      </c>
      <c r="BC1092">
        <v>135</v>
      </c>
      <c r="BE1092" t="s">
        <v>18024</v>
      </c>
      <c r="BF1092" t="s">
        <v>18025</v>
      </c>
      <c r="BI1092">
        <v>9</v>
      </c>
      <c r="BJ1092" t="s">
        <v>722</v>
      </c>
      <c r="BK1092" t="s">
        <v>96</v>
      </c>
      <c r="BL1092" t="s">
        <v>723</v>
      </c>
      <c r="BM1092" t="s">
        <v>18026</v>
      </c>
      <c r="BR1092" t="s">
        <v>98</v>
      </c>
      <c r="BS1092" t="s">
        <v>18027</v>
      </c>
      <c r="BT1092" t="s">
        <v>16602</v>
      </c>
    </row>
    <row r="1093" spans="1:72">
      <c r="A1093" t="s">
        <v>72</v>
      </c>
      <c r="B1093" t="s">
        <v>18028</v>
      </c>
      <c r="F1093" t="s">
        <v>18028</v>
      </c>
      <c r="I1093" t="s">
        <v>18029</v>
      </c>
      <c r="J1093" t="s">
        <v>2265</v>
      </c>
      <c r="M1093" t="s">
        <v>78</v>
      </c>
      <c r="N1093" t="s">
        <v>79</v>
      </c>
      <c r="T1093" t="s">
        <v>18030</v>
      </c>
      <c r="U1093" t="s">
        <v>18031</v>
      </c>
      <c r="V1093" t="s">
        <v>18032</v>
      </c>
      <c r="W1093" t="s">
        <v>18033</v>
      </c>
      <c r="X1093" t="s">
        <v>3157</v>
      </c>
      <c r="Y1093" t="s">
        <v>18034</v>
      </c>
      <c r="AB1093" t="s">
        <v>18035</v>
      </c>
      <c r="AG1093">
        <v>54</v>
      </c>
      <c r="AH1093">
        <v>57</v>
      </c>
      <c r="AI1093">
        <v>63</v>
      </c>
      <c r="AJ1093">
        <v>0</v>
      </c>
      <c r="AK1093">
        <v>7</v>
      </c>
      <c r="AL1093" t="s">
        <v>2074</v>
      </c>
      <c r="AM1093" t="s">
        <v>2075</v>
      </c>
      <c r="AN1093" t="s">
        <v>2076</v>
      </c>
      <c r="AO1093" t="s">
        <v>2275</v>
      </c>
      <c r="AP1093" t="s">
        <v>2276</v>
      </c>
      <c r="AR1093" t="s">
        <v>2265</v>
      </c>
      <c r="AS1093" t="s">
        <v>2277</v>
      </c>
      <c r="AT1093" t="s">
        <v>4921</v>
      </c>
      <c r="AU1093">
        <v>2002</v>
      </c>
      <c r="AV1093">
        <v>7</v>
      </c>
      <c r="AW1093">
        <v>2</v>
      </c>
      <c r="BB1093">
        <v>123</v>
      </c>
      <c r="BC1093">
        <v>137</v>
      </c>
      <c r="BE1093" t="s">
        <v>18036</v>
      </c>
      <c r="BF1093" t="s">
        <v>18037</v>
      </c>
      <c r="BI1093">
        <v>15</v>
      </c>
      <c r="BJ1093" t="s">
        <v>2279</v>
      </c>
      <c r="BK1093" t="s">
        <v>96</v>
      </c>
      <c r="BL1093" t="s">
        <v>2279</v>
      </c>
      <c r="BM1093" t="s">
        <v>18038</v>
      </c>
      <c r="BN1093">
        <v>12101632</v>
      </c>
      <c r="BR1093" t="s">
        <v>98</v>
      </c>
      <c r="BS1093" t="s">
        <v>18039</v>
      </c>
      <c r="BT1093" t="s">
        <v>16602</v>
      </c>
    </row>
    <row r="1094" spans="1:72">
      <c r="A1094" t="s">
        <v>72</v>
      </c>
      <c r="B1094" t="s">
        <v>18040</v>
      </c>
      <c r="F1094" t="s">
        <v>18041</v>
      </c>
      <c r="I1094" t="s">
        <v>18042</v>
      </c>
      <c r="J1094" t="s">
        <v>179</v>
      </c>
      <c r="M1094" t="s">
        <v>78</v>
      </c>
      <c r="N1094" t="s">
        <v>79</v>
      </c>
      <c r="T1094" t="s">
        <v>18043</v>
      </c>
      <c r="U1094" t="s">
        <v>18044</v>
      </c>
      <c r="V1094" t="s">
        <v>18045</v>
      </c>
      <c r="W1094" t="s">
        <v>18046</v>
      </c>
      <c r="X1094" t="s">
        <v>18047</v>
      </c>
      <c r="Y1094" t="s">
        <v>18048</v>
      </c>
      <c r="Z1094" t="s">
        <v>18049</v>
      </c>
      <c r="AA1094" t="s">
        <v>18050</v>
      </c>
      <c r="AG1094">
        <v>54</v>
      </c>
      <c r="AH1094">
        <v>32</v>
      </c>
      <c r="AI1094">
        <v>35</v>
      </c>
      <c r="AJ1094">
        <v>2</v>
      </c>
      <c r="AK1094">
        <v>46</v>
      </c>
      <c r="AL1094" t="s">
        <v>112</v>
      </c>
      <c r="AM1094" t="s">
        <v>191</v>
      </c>
      <c r="AN1094" t="s">
        <v>192</v>
      </c>
      <c r="AO1094" t="s">
        <v>193</v>
      </c>
      <c r="AP1094" t="s">
        <v>194</v>
      </c>
      <c r="AR1094" t="s">
        <v>195</v>
      </c>
      <c r="AS1094" t="s">
        <v>196</v>
      </c>
      <c r="AT1094" t="s">
        <v>142</v>
      </c>
      <c r="AU1094">
        <v>2008</v>
      </c>
      <c r="AV1094">
        <v>141</v>
      </c>
      <c r="AW1094" t="s">
        <v>2847</v>
      </c>
      <c r="BB1094">
        <v>329</v>
      </c>
      <c r="BC1094">
        <v>337</v>
      </c>
      <c r="BE1094" t="s">
        <v>18051</v>
      </c>
      <c r="BF1094" t="s">
        <v>18052</v>
      </c>
      <c r="BI1094">
        <v>9</v>
      </c>
      <c r="BJ1094" t="s">
        <v>144</v>
      </c>
      <c r="BK1094" t="s">
        <v>96</v>
      </c>
      <c r="BL1094" t="s">
        <v>145</v>
      </c>
      <c r="BM1094" t="s">
        <v>18053</v>
      </c>
      <c r="BN1094">
        <v>17999157</v>
      </c>
      <c r="BR1094" t="s">
        <v>98</v>
      </c>
      <c r="BS1094" t="s">
        <v>18054</v>
      </c>
      <c r="BT1094" t="s">
        <v>16602</v>
      </c>
    </row>
    <row r="1095" spans="1:72">
      <c r="A1095" t="s">
        <v>72</v>
      </c>
      <c r="B1095" t="s">
        <v>18055</v>
      </c>
      <c r="F1095" t="s">
        <v>18056</v>
      </c>
      <c r="I1095" t="s">
        <v>18057</v>
      </c>
      <c r="J1095" t="s">
        <v>12106</v>
      </c>
      <c r="M1095" t="s">
        <v>78</v>
      </c>
      <c r="N1095" t="s">
        <v>79</v>
      </c>
      <c r="T1095" t="s">
        <v>18058</v>
      </c>
      <c r="U1095" t="s">
        <v>18059</v>
      </c>
      <c r="V1095" t="s">
        <v>18060</v>
      </c>
      <c r="W1095" t="s">
        <v>18061</v>
      </c>
      <c r="X1095" t="s">
        <v>18062</v>
      </c>
      <c r="Y1095" t="s">
        <v>18063</v>
      </c>
      <c r="Z1095" t="s">
        <v>18064</v>
      </c>
      <c r="AG1095">
        <v>28</v>
      </c>
      <c r="AH1095">
        <v>20</v>
      </c>
      <c r="AI1095">
        <v>20</v>
      </c>
      <c r="AJ1095">
        <v>0</v>
      </c>
      <c r="AK1095">
        <v>8</v>
      </c>
      <c r="AL1095" t="s">
        <v>4010</v>
      </c>
      <c r="AM1095" t="s">
        <v>1167</v>
      </c>
      <c r="AN1095" t="s">
        <v>1168</v>
      </c>
      <c r="AO1095" t="s">
        <v>12119</v>
      </c>
      <c r="AP1095" t="s">
        <v>12120</v>
      </c>
      <c r="AR1095" t="s">
        <v>12121</v>
      </c>
      <c r="AS1095" t="s">
        <v>12122</v>
      </c>
      <c r="AT1095" t="s">
        <v>12123</v>
      </c>
      <c r="AU1095">
        <v>2008</v>
      </c>
      <c r="AV1095">
        <v>2</v>
      </c>
      <c r="AW1095">
        <v>3</v>
      </c>
      <c r="BB1095">
        <v>279</v>
      </c>
      <c r="BC1095">
        <v>284</v>
      </c>
      <c r="BI1095">
        <v>6</v>
      </c>
      <c r="BJ1095" t="s">
        <v>144</v>
      </c>
      <c r="BK1095" t="s">
        <v>96</v>
      </c>
      <c r="BL1095" t="s">
        <v>145</v>
      </c>
      <c r="BM1095" t="s">
        <v>18065</v>
      </c>
      <c r="BR1095" t="s">
        <v>98</v>
      </c>
      <c r="BS1095" t="s">
        <v>18066</v>
      </c>
      <c r="BT1095" t="s">
        <v>16602</v>
      </c>
    </row>
    <row r="1096" spans="1:72">
      <c r="A1096" t="s">
        <v>72</v>
      </c>
      <c r="B1096" t="s">
        <v>18067</v>
      </c>
      <c r="F1096" t="s">
        <v>18067</v>
      </c>
      <c r="I1096" t="s">
        <v>18068</v>
      </c>
      <c r="J1096" t="s">
        <v>2894</v>
      </c>
      <c r="M1096" t="s">
        <v>78</v>
      </c>
      <c r="N1096" t="s">
        <v>79</v>
      </c>
      <c r="V1096" t="s">
        <v>18069</v>
      </c>
      <c r="AG1096">
        <v>40</v>
      </c>
      <c r="AH1096">
        <v>8</v>
      </c>
      <c r="AI1096">
        <v>9</v>
      </c>
      <c r="AJ1096">
        <v>0</v>
      </c>
      <c r="AK1096">
        <v>0</v>
      </c>
      <c r="AL1096" t="s">
        <v>2904</v>
      </c>
      <c r="AM1096" t="s">
        <v>2905</v>
      </c>
      <c r="AN1096" t="s">
        <v>2906</v>
      </c>
      <c r="AO1096" t="s">
        <v>2907</v>
      </c>
      <c r="AP1096" t="s">
        <v>5406</v>
      </c>
      <c r="AR1096" t="s">
        <v>2908</v>
      </c>
      <c r="AS1096" t="s">
        <v>2909</v>
      </c>
      <c r="AT1096" t="s">
        <v>18070</v>
      </c>
      <c r="AU1096">
        <v>1989</v>
      </c>
      <c r="AV1096">
        <v>55</v>
      </c>
      <c r="AW1096" t="s">
        <v>1723</v>
      </c>
      <c r="BB1096">
        <v>159</v>
      </c>
      <c r="BC1096">
        <v>169</v>
      </c>
      <c r="BE1096" t="s">
        <v>18071</v>
      </c>
      <c r="BF1096" t="s">
        <v>18072</v>
      </c>
      <c r="BI1096">
        <v>11</v>
      </c>
      <c r="BJ1096" t="s">
        <v>2911</v>
      </c>
      <c r="BK1096" t="s">
        <v>96</v>
      </c>
      <c r="BL1096" t="s">
        <v>2912</v>
      </c>
      <c r="BM1096" t="s">
        <v>18073</v>
      </c>
      <c r="BO1096" t="s">
        <v>370</v>
      </c>
      <c r="BR1096" t="s">
        <v>98</v>
      </c>
      <c r="BS1096" t="s">
        <v>18074</v>
      </c>
      <c r="BT1096" t="s">
        <v>16602</v>
      </c>
    </row>
    <row r="1097" spans="1:72">
      <c r="A1097" t="s">
        <v>72</v>
      </c>
      <c r="B1097" t="s">
        <v>18075</v>
      </c>
      <c r="F1097" t="s">
        <v>18076</v>
      </c>
      <c r="I1097" t="s">
        <v>18077</v>
      </c>
      <c r="J1097" t="s">
        <v>554</v>
      </c>
      <c r="M1097" t="s">
        <v>78</v>
      </c>
      <c r="N1097" t="s">
        <v>79</v>
      </c>
      <c r="T1097" t="s">
        <v>18078</v>
      </c>
      <c r="U1097" t="s">
        <v>18079</v>
      </c>
      <c r="V1097" t="s">
        <v>18080</v>
      </c>
      <c r="W1097" t="s">
        <v>18081</v>
      </c>
      <c r="X1097" t="s">
        <v>18082</v>
      </c>
      <c r="Y1097" t="s">
        <v>18083</v>
      </c>
      <c r="Z1097" t="s">
        <v>18084</v>
      </c>
      <c r="AA1097" t="s">
        <v>18085</v>
      </c>
      <c r="AB1097" t="s">
        <v>18086</v>
      </c>
      <c r="AC1097" t="s">
        <v>18087</v>
      </c>
      <c r="AD1097" t="s">
        <v>18088</v>
      </c>
      <c r="AE1097" t="s">
        <v>18089</v>
      </c>
      <c r="AG1097">
        <v>100</v>
      </c>
      <c r="AH1097">
        <v>0</v>
      </c>
      <c r="AI1097">
        <v>0</v>
      </c>
      <c r="AJ1097">
        <v>4</v>
      </c>
      <c r="AK1097">
        <v>4</v>
      </c>
      <c r="AL1097" t="s">
        <v>564</v>
      </c>
      <c r="AM1097" t="s">
        <v>113</v>
      </c>
      <c r="AN1097" t="s">
        <v>807</v>
      </c>
      <c r="AO1097" t="s">
        <v>566</v>
      </c>
      <c r="AP1097" t="s">
        <v>567</v>
      </c>
      <c r="AR1097" t="s">
        <v>568</v>
      </c>
      <c r="AS1097" t="s">
        <v>569</v>
      </c>
      <c r="AT1097" t="s">
        <v>305</v>
      </c>
      <c r="AU1097">
        <v>2024</v>
      </c>
      <c r="AV1097">
        <v>283</v>
      </c>
      <c r="BD1097">
        <v>109967</v>
      </c>
      <c r="BE1097" t="s">
        <v>18090</v>
      </c>
      <c r="BF1097" t="s">
        <v>18091</v>
      </c>
      <c r="BH1097" t="s">
        <v>7912</v>
      </c>
      <c r="BI1097">
        <v>11</v>
      </c>
      <c r="BJ1097" t="s">
        <v>571</v>
      </c>
      <c r="BK1097" t="s">
        <v>96</v>
      </c>
      <c r="BL1097" t="s">
        <v>571</v>
      </c>
      <c r="BM1097" t="s">
        <v>18092</v>
      </c>
      <c r="BN1097">
        <v>38925283</v>
      </c>
      <c r="BR1097" t="s">
        <v>98</v>
      </c>
      <c r="BS1097" t="s">
        <v>18093</v>
      </c>
      <c r="BT1097" t="s">
        <v>16602</v>
      </c>
    </row>
    <row r="1098" spans="1:72">
      <c r="A1098" t="s">
        <v>72</v>
      </c>
      <c r="B1098" t="s">
        <v>18094</v>
      </c>
      <c r="F1098" t="s">
        <v>18095</v>
      </c>
      <c r="I1098" t="s">
        <v>18096</v>
      </c>
      <c r="J1098" t="s">
        <v>641</v>
      </c>
      <c r="M1098" t="s">
        <v>78</v>
      </c>
      <c r="N1098" t="s">
        <v>79</v>
      </c>
      <c r="T1098" t="s">
        <v>18097</v>
      </c>
      <c r="U1098" t="s">
        <v>18098</v>
      </c>
      <c r="V1098" t="s">
        <v>18099</v>
      </c>
      <c r="W1098" t="s">
        <v>18100</v>
      </c>
      <c r="X1098" t="s">
        <v>18101</v>
      </c>
      <c r="Y1098" t="s">
        <v>18102</v>
      </c>
      <c r="Z1098" t="s">
        <v>13318</v>
      </c>
      <c r="AA1098" t="s">
        <v>18103</v>
      </c>
      <c r="AB1098" t="s">
        <v>18104</v>
      </c>
      <c r="AC1098" t="s">
        <v>18105</v>
      </c>
      <c r="AD1098" t="s">
        <v>18106</v>
      </c>
      <c r="AE1098" t="s">
        <v>18107</v>
      </c>
      <c r="AG1098">
        <v>114</v>
      </c>
      <c r="AH1098">
        <v>45</v>
      </c>
      <c r="AI1098">
        <v>50</v>
      </c>
      <c r="AJ1098">
        <v>5</v>
      </c>
      <c r="AK1098">
        <v>119</v>
      </c>
      <c r="AL1098" t="s">
        <v>919</v>
      </c>
      <c r="AM1098" t="s">
        <v>651</v>
      </c>
      <c r="AN1098" t="s">
        <v>920</v>
      </c>
      <c r="AO1098" t="s">
        <v>653</v>
      </c>
      <c r="AP1098" t="s">
        <v>654</v>
      </c>
      <c r="AR1098" t="s">
        <v>655</v>
      </c>
      <c r="AS1098" t="s">
        <v>656</v>
      </c>
      <c r="AT1098" t="s">
        <v>170</v>
      </c>
      <c r="AU1098">
        <v>2019</v>
      </c>
      <c r="AV1098">
        <v>210</v>
      </c>
      <c r="BB1098">
        <v>167</v>
      </c>
      <c r="BC1098">
        <v>178</v>
      </c>
      <c r="BE1098" t="s">
        <v>18108</v>
      </c>
      <c r="BF1098" t="s">
        <v>18109</v>
      </c>
      <c r="BI1098">
        <v>12</v>
      </c>
      <c r="BJ1098" t="s">
        <v>659</v>
      </c>
      <c r="BK1098" t="s">
        <v>96</v>
      </c>
      <c r="BL1098" t="s">
        <v>659</v>
      </c>
      <c r="BM1098" t="s">
        <v>18110</v>
      </c>
      <c r="BN1098">
        <v>30870663</v>
      </c>
      <c r="BR1098" t="s">
        <v>98</v>
      </c>
      <c r="BS1098" t="s">
        <v>18111</v>
      </c>
      <c r="BT1098" t="s">
        <v>16602</v>
      </c>
    </row>
    <row r="1099" spans="1:72">
      <c r="A1099" t="s">
        <v>72</v>
      </c>
      <c r="B1099" t="s">
        <v>18112</v>
      </c>
      <c r="F1099" t="s">
        <v>18113</v>
      </c>
      <c r="I1099" t="s">
        <v>18114</v>
      </c>
      <c r="J1099" t="s">
        <v>232</v>
      </c>
      <c r="M1099" t="s">
        <v>78</v>
      </c>
      <c r="N1099" t="s">
        <v>79</v>
      </c>
      <c r="T1099" t="s">
        <v>18115</v>
      </c>
      <c r="U1099" t="s">
        <v>18116</v>
      </c>
      <c r="V1099" t="s">
        <v>18117</v>
      </c>
      <c r="W1099" t="s">
        <v>18118</v>
      </c>
      <c r="X1099" t="s">
        <v>18119</v>
      </c>
      <c r="Y1099" t="s">
        <v>18120</v>
      </c>
      <c r="Z1099" t="s">
        <v>18121</v>
      </c>
      <c r="AA1099" t="s">
        <v>18122</v>
      </c>
      <c r="AB1099" t="s">
        <v>18123</v>
      </c>
      <c r="AC1099" t="s">
        <v>18124</v>
      </c>
      <c r="AD1099" t="s">
        <v>18125</v>
      </c>
      <c r="AE1099" t="s">
        <v>18126</v>
      </c>
      <c r="AG1099">
        <v>62</v>
      </c>
      <c r="AH1099">
        <v>28</v>
      </c>
      <c r="AI1099">
        <v>28</v>
      </c>
      <c r="AJ1099">
        <v>1</v>
      </c>
      <c r="AK1099">
        <v>73</v>
      </c>
      <c r="AL1099" t="s">
        <v>136</v>
      </c>
      <c r="AM1099" t="s">
        <v>137</v>
      </c>
      <c r="AN1099" t="s">
        <v>138</v>
      </c>
      <c r="AO1099" t="s">
        <v>240</v>
      </c>
      <c r="AP1099" t="s">
        <v>241</v>
      </c>
      <c r="AR1099" t="s">
        <v>242</v>
      </c>
      <c r="AS1099" t="s">
        <v>243</v>
      </c>
      <c r="AT1099" t="s">
        <v>197</v>
      </c>
      <c r="AU1099">
        <v>2012</v>
      </c>
      <c r="AV1099">
        <v>64</v>
      </c>
      <c r="AW1099">
        <v>12</v>
      </c>
      <c r="BB1099">
        <v>2761</v>
      </c>
      <c r="BC1099">
        <v>2769</v>
      </c>
      <c r="BE1099" t="s">
        <v>18127</v>
      </c>
      <c r="BF1099" t="s">
        <v>18128</v>
      </c>
      <c r="BI1099">
        <v>9</v>
      </c>
      <c r="BJ1099" t="s">
        <v>247</v>
      </c>
      <c r="BK1099" t="s">
        <v>96</v>
      </c>
      <c r="BL1099" t="s">
        <v>248</v>
      </c>
      <c r="BM1099" t="s">
        <v>4043</v>
      </c>
      <c r="BN1099">
        <v>23046819</v>
      </c>
      <c r="BR1099" t="s">
        <v>98</v>
      </c>
      <c r="BS1099" t="s">
        <v>18129</v>
      </c>
      <c r="BT1099" t="s">
        <v>16602</v>
      </c>
    </row>
    <row r="1100" spans="1:72">
      <c r="A1100" t="s">
        <v>72</v>
      </c>
      <c r="B1100" t="s">
        <v>18130</v>
      </c>
      <c r="F1100" t="s">
        <v>18131</v>
      </c>
      <c r="I1100" t="s">
        <v>18132</v>
      </c>
      <c r="J1100" t="s">
        <v>4223</v>
      </c>
      <c r="M1100" t="s">
        <v>78</v>
      </c>
      <c r="N1100" t="s">
        <v>79</v>
      </c>
      <c r="T1100" t="s">
        <v>18133</v>
      </c>
      <c r="U1100" t="s">
        <v>18134</v>
      </c>
      <c r="V1100" t="s">
        <v>18135</v>
      </c>
      <c r="W1100" t="s">
        <v>18136</v>
      </c>
      <c r="X1100" t="s">
        <v>18137</v>
      </c>
      <c r="Y1100" t="s">
        <v>18138</v>
      </c>
      <c r="Z1100" t="s">
        <v>3709</v>
      </c>
      <c r="AA1100" t="s">
        <v>18139</v>
      </c>
      <c r="AB1100" t="s">
        <v>604</v>
      </c>
      <c r="AC1100" t="s">
        <v>18140</v>
      </c>
      <c r="AD1100" t="s">
        <v>18141</v>
      </c>
      <c r="AE1100" t="s">
        <v>18142</v>
      </c>
      <c r="AG1100">
        <v>46</v>
      </c>
      <c r="AH1100">
        <v>13</v>
      </c>
      <c r="AI1100">
        <v>16</v>
      </c>
      <c r="AJ1100">
        <v>2</v>
      </c>
      <c r="AK1100">
        <v>57</v>
      </c>
      <c r="AL1100" t="s">
        <v>2297</v>
      </c>
      <c r="AM1100" t="s">
        <v>1786</v>
      </c>
      <c r="AN1100" t="s">
        <v>4234</v>
      </c>
      <c r="AO1100" t="s">
        <v>4235</v>
      </c>
      <c r="AP1100" t="s">
        <v>4236</v>
      </c>
      <c r="AR1100" t="s">
        <v>4237</v>
      </c>
      <c r="AS1100" t="s">
        <v>4238</v>
      </c>
      <c r="AT1100" t="s">
        <v>1470</v>
      </c>
      <c r="AU1100">
        <v>2013</v>
      </c>
      <c r="AV1100">
        <v>31</v>
      </c>
      <c r="AW1100">
        <v>1</v>
      </c>
      <c r="BB1100">
        <v>65</v>
      </c>
      <c r="BC1100">
        <v>74</v>
      </c>
      <c r="BE1100" t="s">
        <v>18143</v>
      </c>
      <c r="BF1100" t="s">
        <v>18144</v>
      </c>
      <c r="BI1100">
        <v>10</v>
      </c>
      <c r="BJ1100" t="s">
        <v>4240</v>
      </c>
      <c r="BK1100" t="s">
        <v>96</v>
      </c>
      <c r="BL1100" t="s">
        <v>4241</v>
      </c>
      <c r="BM1100" t="s">
        <v>18145</v>
      </c>
      <c r="BR1100" t="s">
        <v>98</v>
      </c>
      <c r="BS1100" t="s">
        <v>18146</v>
      </c>
      <c r="BT1100" t="s">
        <v>16602</v>
      </c>
    </row>
    <row r="1101" spans="1:72">
      <c r="A1101" t="s">
        <v>72</v>
      </c>
      <c r="B1101" t="s">
        <v>18147</v>
      </c>
      <c r="F1101" t="s">
        <v>18148</v>
      </c>
      <c r="I1101" t="s">
        <v>18149</v>
      </c>
      <c r="J1101" t="s">
        <v>421</v>
      </c>
      <c r="M1101" t="s">
        <v>78</v>
      </c>
      <c r="N1101" t="s">
        <v>79</v>
      </c>
      <c r="T1101" t="s">
        <v>18150</v>
      </c>
      <c r="U1101" t="s">
        <v>18151</v>
      </c>
      <c r="V1101" t="s">
        <v>18152</v>
      </c>
      <c r="W1101" t="s">
        <v>18153</v>
      </c>
      <c r="X1101" t="s">
        <v>18154</v>
      </c>
      <c r="Y1101" t="s">
        <v>18155</v>
      </c>
      <c r="Z1101" t="s">
        <v>18156</v>
      </c>
      <c r="AA1101" t="s">
        <v>18157</v>
      </c>
      <c r="AB1101" t="s">
        <v>18158</v>
      </c>
      <c r="AC1101" t="s">
        <v>18159</v>
      </c>
      <c r="AD1101" t="s">
        <v>18160</v>
      </c>
      <c r="AE1101" t="s">
        <v>18161</v>
      </c>
      <c r="AG1101">
        <v>23</v>
      </c>
      <c r="AH1101">
        <v>27</v>
      </c>
      <c r="AI1101">
        <v>33</v>
      </c>
      <c r="AJ1101">
        <v>0</v>
      </c>
      <c r="AK1101">
        <v>58</v>
      </c>
      <c r="AL1101" t="s">
        <v>430</v>
      </c>
      <c r="AM1101" t="s">
        <v>137</v>
      </c>
      <c r="AN1101" t="s">
        <v>431</v>
      </c>
      <c r="AO1101" t="s">
        <v>432</v>
      </c>
      <c r="AR1101" t="s">
        <v>433</v>
      </c>
      <c r="AS1101" t="s">
        <v>434</v>
      </c>
      <c r="AT1101" t="s">
        <v>142</v>
      </c>
      <c r="AU1101">
        <v>2010</v>
      </c>
      <c r="AV1101">
        <v>158</v>
      </c>
      <c r="AW1101">
        <v>6</v>
      </c>
      <c r="AZ1101" t="s">
        <v>225</v>
      </c>
      <c r="BB1101">
        <v>2230</v>
      </c>
      <c r="BC1101">
        <v>2234</v>
      </c>
      <c r="BE1101" t="s">
        <v>18162</v>
      </c>
      <c r="BF1101" t="s">
        <v>18163</v>
      </c>
      <c r="BI1101">
        <v>5</v>
      </c>
      <c r="BJ1101" t="s">
        <v>144</v>
      </c>
      <c r="BK1101" t="s">
        <v>96</v>
      </c>
      <c r="BL1101" t="s">
        <v>145</v>
      </c>
      <c r="BM1101" t="s">
        <v>18164</v>
      </c>
      <c r="BN1101">
        <v>20227802</v>
      </c>
      <c r="BR1101" t="s">
        <v>98</v>
      </c>
      <c r="BS1101" t="s">
        <v>18165</v>
      </c>
      <c r="BT1101" t="s">
        <v>16602</v>
      </c>
    </row>
    <row r="1102" spans="1:72">
      <c r="A1102" t="s">
        <v>72</v>
      </c>
      <c r="B1102" t="s">
        <v>18166</v>
      </c>
      <c r="F1102" t="s">
        <v>18167</v>
      </c>
      <c r="I1102" t="s">
        <v>18168</v>
      </c>
      <c r="J1102" t="s">
        <v>18169</v>
      </c>
      <c r="M1102" t="s">
        <v>78</v>
      </c>
      <c r="N1102" t="s">
        <v>79</v>
      </c>
      <c r="T1102" t="s">
        <v>18170</v>
      </c>
      <c r="U1102" t="s">
        <v>18171</v>
      </c>
      <c r="V1102" t="s">
        <v>18172</v>
      </c>
      <c r="W1102" t="s">
        <v>18173</v>
      </c>
      <c r="X1102" t="s">
        <v>18174</v>
      </c>
      <c r="Y1102" t="s">
        <v>18175</v>
      </c>
      <c r="Z1102" t="s">
        <v>18176</v>
      </c>
      <c r="AA1102" t="s">
        <v>18177</v>
      </c>
      <c r="AB1102" t="s">
        <v>18178</v>
      </c>
      <c r="AC1102" t="s">
        <v>18179</v>
      </c>
      <c r="AD1102" t="s">
        <v>18180</v>
      </c>
      <c r="AE1102" t="s">
        <v>18181</v>
      </c>
      <c r="AG1102">
        <v>27</v>
      </c>
      <c r="AH1102">
        <v>6</v>
      </c>
      <c r="AI1102">
        <v>7</v>
      </c>
      <c r="AJ1102">
        <v>0</v>
      </c>
      <c r="AK1102">
        <v>13</v>
      </c>
      <c r="AL1102" t="s">
        <v>18182</v>
      </c>
      <c r="AM1102" t="s">
        <v>825</v>
      </c>
      <c r="AN1102" t="s">
        <v>18183</v>
      </c>
      <c r="AO1102" t="s">
        <v>18184</v>
      </c>
      <c r="AR1102" t="s">
        <v>18185</v>
      </c>
      <c r="AS1102" t="s">
        <v>18186</v>
      </c>
      <c r="AT1102" t="s">
        <v>197</v>
      </c>
      <c r="AU1102">
        <v>2018</v>
      </c>
      <c r="AV1102">
        <v>70</v>
      </c>
      <c r="AW1102">
        <v>4</v>
      </c>
      <c r="BB1102">
        <v>557</v>
      </c>
      <c r="BC1102">
        <v>564</v>
      </c>
      <c r="BI1102">
        <v>8</v>
      </c>
      <c r="BJ1102" t="s">
        <v>2210</v>
      </c>
      <c r="BK1102" t="s">
        <v>96</v>
      </c>
      <c r="BL1102" t="s">
        <v>2210</v>
      </c>
      <c r="BM1102" t="s">
        <v>18187</v>
      </c>
      <c r="BR1102" t="s">
        <v>98</v>
      </c>
      <c r="BS1102" t="s">
        <v>18188</v>
      </c>
      <c r="BT1102" t="s">
        <v>16602</v>
      </c>
    </row>
    <row r="1103" spans="1:72">
      <c r="A1103" t="s">
        <v>72</v>
      </c>
      <c r="B1103" t="s">
        <v>18189</v>
      </c>
      <c r="F1103" t="s">
        <v>18190</v>
      </c>
      <c r="I1103" t="s">
        <v>18191</v>
      </c>
      <c r="J1103" t="s">
        <v>641</v>
      </c>
      <c r="M1103" t="s">
        <v>78</v>
      </c>
      <c r="N1103" t="s">
        <v>79</v>
      </c>
      <c r="T1103" t="s">
        <v>18192</v>
      </c>
      <c r="U1103" t="s">
        <v>18193</v>
      </c>
      <c r="V1103" t="s">
        <v>18194</v>
      </c>
      <c r="W1103" t="s">
        <v>18195</v>
      </c>
      <c r="X1103" t="s">
        <v>18196</v>
      </c>
      <c r="Y1103" t="s">
        <v>18197</v>
      </c>
      <c r="Z1103" t="s">
        <v>9446</v>
      </c>
      <c r="AB1103" t="s">
        <v>18198</v>
      </c>
      <c r="AC1103" t="s">
        <v>18199</v>
      </c>
      <c r="AD1103" t="s">
        <v>18200</v>
      </c>
      <c r="AE1103" t="s">
        <v>18201</v>
      </c>
      <c r="AG1103">
        <v>67</v>
      </c>
      <c r="AH1103">
        <v>59</v>
      </c>
      <c r="AI1103">
        <v>64</v>
      </c>
      <c r="AJ1103">
        <v>0</v>
      </c>
      <c r="AK1103">
        <v>33</v>
      </c>
      <c r="AL1103" t="s">
        <v>650</v>
      </c>
      <c r="AM1103" t="s">
        <v>651</v>
      </c>
      <c r="AN1103" t="s">
        <v>652</v>
      </c>
      <c r="AO1103" t="s">
        <v>653</v>
      </c>
      <c r="AP1103" t="s">
        <v>654</v>
      </c>
      <c r="AR1103" t="s">
        <v>655</v>
      </c>
      <c r="AS1103" t="s">
        <v>656</v>
      </c>
      <c r="AT1103" t="s">
        <v>1223</v>
      </c>
      <c r="AU1103">
        <v>2012</v>
      </c>
      <c r="AV1103">
        <v>109</v>
      </c>
      <c r="BB1103">
        <v>202</v>
      </c>
      <c r="BC1103">
        <v>212</v>
      </c>
      <c r="BE1103" t="s">
        <v>18202</v>
      </c>
      <c r="BF1103" t="s">
        <v>18203</v>
      </c>
      <c r="BI1103">
        <v>11</v>
      </c>
      <c r="BJ1103" t="s">
        <v>659</v>
      </c>
      <c r="BK1103" t="s">
        <v>96</v>
      </c>
      <c r="BL1103" t="s">
        <v>659</v>
      </c>
      <c r="BM1103" t="s">
        <v>12084</v>
      </c>
      <c r="BN1103">
        <v>22030410</v>
      </c>
      <c r="BR1103" t="s">
        <v>98</v>
      </c>
      <c r="BS1103" t="s">
        <v>18204</v>
      </c>
      <c r="BT1103" t="s">
        <v>16602</v>
      </c>
    </row>
    <row r="1104" spans="1:72">
      <c r="A1104" t="s">
        <v>72</v>
      </c>
      <c r="B1104" t="s">
        <v>18205</v>
      </c>
      <c r="F1104" t="s">
        <v>18206</v>
      </c>
      <c r="I1104" t="s">
        <v>18207</v>
      </c>
      <c r="J1104" t="s">
        <v>704</v>
      </c>
      <c r="M1104" t="s">
        <v>78</v>
      </c>
      <c r="N1104" t="s">
        <v>79</v>
      </c>
      <c r="T1104" t="s">
        <v>18208</v>
      </c>
      <c r="U1104" t="s">
        <v>18209</v>
      </c>
      <c r="V1104" t="s">
        <v>18210</v>
      </c>
      <c r="W1104" t="s">
        <v>18211</v>
      </c>
      <c r="X1104" t="s">
        <v>18212</v>
      </c>
      <c r="Y1104" t="s">
        <v>18213</v>
      </c>
      <c r="Z1104" t="s">
        <v>18214</v>
      </c>
      <c r="AB1104" t="s">
        <v>18215</v>
      </c>
      <c r="AG1104">
        <v>60</v>
      </c>
      <c r="AH1104">
        <v>2</v>
      </c>
      <c r="AI1104">
        <v>2</v>
      </c>
      <c r="AJ1104">
        <v>2</v>
      </c>
      <c r="AK1104">
        <v>6</v>
      </c>
      <c r="AL1104" t="s">
        <v>1166</v>
      </c>
      <c r="AM1104" t="s">
        <v>1167</v>
      </c>
      <c r="AN1104" t="s">
        <v>1168</v>
      </c>
      <c r="AO1104" t="s">
        <v>718</v>
      </c>
      <c r="AP1104" t="s">
        <v>1169</v>
      </c>
      <c r="AR1104" t="s">
        <v>719</v>
      </c>
      <c r="AS1104" t="s">
        <v>720</v>
      </c>
      <c r="AT1104" t="s">
        <v>765</v>
      </c>
      <c r="AU1104">
        <v>2023</v>
      </c>
      <c r="AV1104">
        <v>234</v>
      </c>
      <c r="AW1104">
        <v>7</v>
      </c>
      <c r="BD1104">
        <v>425</v>
      </c>
      <c r="BE1104" t="s">
        <v>18216</v>
      </c>
      <c r="BF1104" t="s">
        <v>18217</v>
      </c>
      <c r="BI1104">
        <v>20</v>
      </c>
      <c r="BJ1104" t="s">
        <v>722</v>
      </c>
      <c r="BK1104" t="s">
        <v>96</v>
      </c>
      <c r="BL1104" t="s">
        <v>723</v>
      </c>
      <c r="BM1104" t="s">
        <v>18218</v>
      </c>
      <c r="BR1104" t="s">
        <v>98</v>
      </c>
      <c r="BS1104" t="s">
        <v>18219</v>
      </c>
      <c r="BT1104" t="s">
        <v>16602</v>
      </c>
    </row>
    <row r="1105" spans="1:72">
      <c r="A1105" t="s">
        <v>72</v>
      </c>
      <c r="B1105" t="s">
        <v>18220</v>
      </c>
      <c r="F1105" t="s">
        <v>18220</v>
      </c>
      <c r="I1105" t="s">
        <v>18221</v>
      </c>
      <c r="J1105" t="s">
        <v>232</v>
      </c>
      <c r="M1105" t="s">
        <v>78</v>
      </c>
      <c r="N1105" t="s">
        <v>79</v>
      </c>
      <c r="V1105" t="s">
        <v>18222</v>
      </c>
      <c r="W1105" t="s">
        <v>18223</v>
      </c>
      <c r="X1105" t="s">
        <v>18224</v>
      </c>
      <c r="Y1105" t="s">
        <v>18225</v>
      </c>
      <c r="AG1105">
        <v>13</v>
      </c>
      <c r="AH1105">
        <v>18</v>
      </c>
      <c r="AI1105">
        <v>21</v>
      </c>
      <c r="AJ1105">
        <v>0</v>
      </c>
      <c r="AK1105">
        <v>1</v>
      </c>
      <c r="AL1105" t="s">
        <v>136</v>
      </c>
      <c r="AM1105" t="s">
        <v>137</v>
      </c>
      <c r="AN1105" t="s">
        <v>138</v>
      </c>
      <c r="AO1105" t="s">
        <v>240</v>
      </c>
      <c r="AP1105" t="s">
        <v>241</v>
      </c>
      <c r="AR1105" t="s">
        <v>242</v>
      </c>
      <c r="AS1105" t="s">
        <v>243</v>
      </c>
      <c r="AU1105">
        <v>1985</v>
      </c>
      <c r="AV1105">
        <v>16</v>
      </c>
      <c r="AW1105">
        <v>8</v>
      </c>
      <c r="BB1105">
        <v>309</v>
      </c>
      <c r="BC1105">
        <v>313</v>
      </c>
      <c r="BE1105" t="s">
        <v>18226</v>
      </c>
      <c r="BF1105" t="s">
        <v>18227</v>
      </c>
      <c r="BI1105">
        <v>5</v>
      </c>
      <c r="BJ1105" t="s">
        <v>247</v>
      </c>
      <c r="BK1105" t="s">
        <v>96</v>
      </c>
      <c r="BL1105" t="s">
        <v>248</v>
      </c>
      <c r="BM1105" t="s">
        <v>18228</v>
      </c>
      <c r="BR1105" t="s">
        <v>98</v>
      </c>
      <c r="BS1105" t="s">
        <v>18229</v>
      </c>
      <c r="BT1105" t="s">
        <v>16602</v>
      </c>
    </row>
    <row r="1106" spans="1:72">
      <c r="A1106" t="s">
        <v>72</v>
      </c>
      <c r="B1106" t="s">
        <v>18230</v>
      </c>
      <c r="F1106" t="s">
        <v>18230</v>
      </c>
      <c r="I1106" t="s">
        <v>18231</v>
      </c>
      <c r="J1106" t="s">
        <v>9112</v>
      </c>
      <c r="M1106" t="s">
        <v>78</v>
      </c>
      <c r="N1106" t="s">
        <v>79</v>
      </c>
      <c r="T1106" t="s">
        <v>18232</v>
      </c>
      <c r="U1106" t="s">
        <v>18233</v>
      </c>
      <c r="V1106" t="s">
        <v>18234</v>
      </c>
      <c r="W1106" t="s">
        <v>18235</v>
      </c>
      <c r="X1106" t="s">
        <v>7465</v>
      </c>
      <c r="Y1106" t="s">
        <v>18236</v>
      </c>
      <c r="AG1106">
        <v>83</v>
      </c>
      <c r="AH1106">
        <v>1</v>
      </c>
      <c r="AI1106">
        <v>3</v>
      </c>
      <c r="AJ1106">
        <v>1</v>
      </c>
      <c r="AK1106">
        <v>14</v>
      </c>
      <c r="AL1106" t="s">
        <v>9124</v>
      </c>
      <c r="AM1106" t="s">
        <v>9646</v>
      </c>
      <c r="AN1106" t="s">
        <v>9647</v>
      </c>
      <c r="AO1106" t="s">
        <v>9127</v>
      </c>
      <c r="AR1106" t="s">
        <v>9129</v>
      </c>
      <c r="AS1106" t="s">
        <v>9130</v>
      </c>
      <c r="AU1106">
        <v>2000</v>
      </c>
      <c r="AV1106">
        <v>13</v>
      </c>
      <c r="AW1106" t="s">
        <v>9648</v>
      </c>
      <c r="BB1106">
        <v>45</v>
      </c>
      <c r="BC1106">
        <v>55</v>
      </c>
      <c r="BE1106" t="s">
        <v>18237</v>
      </c>
      <c r="BF1106" t="s">
        <v>18238</v>
      </c>
      <c r="BI1106">
        <v>11</v>
      </c>
      <c r="BJ1106" t="s">
        <v>144</v>
      </c>
      <c r="BK1106" t="s">
        <v>96</v>
      </c>
      <c r="BL1106" t="s">
        <v>145</v>
      </c>
      <c r="BM1106" t="s">
        <v>9650</v>
      </c>
      <c r="BR1106" t="s">
        <v>98</v>
      </c>
      <c r="BS1106" t="s">
        <v>18239</v>
      </c>
      <c r="BT1106" t="s">
        <v>16602</v>
      </c>
    </row>
    <row r="1107" spans="1:72">
      <c r="A1107" t="s">
        <v>72</v>
      </c>
      <c r="B1107" t="s">
        <v>18240</v>
      </c>
      <c r="F1107" t="s">
        <v>18241</v>
      </c>
      <c r="I1107" t="s">
        <v>18242</v>
      </c>
      <c r="J1107" t="s">
        <v>18243</v>
      </c>
      <c r="M1107" t="s">
        <v>78</v>
      </c>
      <c r="N1107" t="s">
        <v>79</v>
      </c>
      <c r="U1107" t="s">
        <v>18244</v>
      </c>
      <c r="V1107" t="s">
        <v>18245</v>
      </c>
      <c r="W1107" t="s">
        <v>18246</v>
      </c>
      <c r="X1107" t="s">
        <v>18247</v>
      </c>
      <c r="Y1107" t="s">
        <v>18248</v>
      </c>
      <c r="Z1107" t="s">
        <v>18249</v>
      </c>
      <c r="AA1107" t="s">
        <v>18250</v>
      </c>
      <c r="AB1107" t="s">
        <v>18251</v>
      </c>
      <c r="AC1107" t="s">
        <v>18252</v>
      </c>
      <c r="AD1107" t="s">
        <v>18253</v>
      </c>
      <c r="AE1107" t="s">
        <v>18254</v>
      </c>
      <c r="AG1107">
        <v>43</v>
      </c>
      <c r="AH1107">
        <v>31</v>
      </c>
      <c r="AI1107">
        <v>31</v>
      </c>
      <c r="AJ1107">
        <v>9</v>
      </c>
      <c r="AK1107">
        <v>65</v>
      </c>
      <c r="AL1107" t="s">
        <v>18255</v>
      </c>
      <c r="AM1107" t="s">
        <v>286</v>
      </c>
      <c r="AN1107" t="s">
        <v>18256</v>
      </c>
      <c r="AO1107" t="s">
        <v>18257</v>
      </c>
      <c r="AP1107" t="s">
        <v>18258</v>
      </c>
      <c r="AR1107" t="s">
        <v>18259</v>
      </c>
      <c r="AS1107" t="s">
        <v>18260</v>
      </c>
      <c r="AT1107" t="s">
        <v>18261</v>
      </c>
      <c r="AU1107">
        <v>2020</v>
      </c>
      <c r="AV1107">
        <v>2020</v>
      </c>
      <c r="BD1107">
        <v>7971294</v>
      </c>
      <c r="BE1107" t="s">
        <v>18262</v>
      </c>
      <c r="BF1107" t="s">
        <v>18263</v>
      </c>
      <c r="BI1107">
        <v>13</v>
      </c>
      <c r="BJ1107" t="s">
        <v>3919</v>
      </c>
      <c r="BK1107" t="s">
        <v>96</v>
      </c>
      <c r="BL1107" t="s">
        <v>1197</v>
      </c>
      <c r="BM1107" t="s">
        <v>18264</v>
      </c>
      <c r="BO1107" t="s">
        <v>873</v>
      </c>
      <c r="BR1107" t="s">
        <v>98</v>
      </c>
      <c r="BS1107" t="s">
        <v>18265</v>
      </c>
      <c r="BT1107" t="s">
        <v>16602</v>
      </c>
    </row>
    <row r="1108" spans="1:72">
      <c r="A1108" t="s">
        <v>72</v>
      </c>
      <c r="B1108" t="s">
        <v>18266</v>
      </c>
      <c r="F1108" t="s">
        <v>18267</v>
      </c>
      <c r="I1108" t="s">
        <v>18268</v>
      </c>
      <c r="J1108" t="s">
        <v>127</v>
      </c>
      <c r="M1108" t="s">
        <v>78</v>
      </c>
      <c r="N1108" t="s">
        <v>79</v>
      </c>
      <c r="T1108" t="s">
        <v>18269</v>
      </c>
      <c r="U1108" t="s">
        <v>18270</v>
      </c>
      <c r="V1108" t="s">
        <v>18271</v>
      </c>
      <c r="W1108" t="s">
        <v>18272</v>
      </c>
      <c r="X1108" t="s">
        <v>18273</v>
      </c>
      <c r="Y1108" t="s">
        <v>5488</v>
      </c>
      <c r="Z1108" t="s">
        <v>5489</v>
      </c>
      <c r="AA1108" t="s">
        <v>18274</v>
      </c>
      <c r="AB1108" t="s">
        <v>18275</v>
      </c>
      <c r="AC1108" t="s">
        <v>18276</v>
      </c>
      <c r="AD1108" t="s">
        <v>18277</v>
      </c>
      <c r="AE1108" t="s">
        <v>18278</v>
      </c>
      <c r="AG1108">
        <v>87</v>
      </c>
      <c r="AH1108">
        <v>62</v>
      </c>
      <c r="AI1108">
        <v>76</v>
      </c>
      <c r="AJ1108">
        <v>2</v>
      </c>
      <c r="AK1108">
        <v>46</v>
      </c>
      <c r="AL1108" t="s">
        <v>136</v>
      </c>
      <c r="AM1108" t="s">
        <v>137</v>
      </c>
      <c r="AN1108" t="s">
        <v>138</v>
      </c>
      <c r="AO1108" t="s">
        <v>139</v>
      </c>
      <c r="AP1108" t="s">
        <v>140</v>
      </c>
      <c r="AR1108" t="s">
        <v>127</v>
      </c>
      <c r="AS1108" t="s">
        <v>141</v>
      </c>
      <c r="AT1108" t="s">
        <v>1470</v>
      </c>
      <c r="AU1108">
        <v>2011</v>
      </c>
      <c r="AV1108">
        <v>82</v>
      </c>
      <c r="AW1108">
        <v>3</v>
      </c>
      <c r="BB1108">
        <v>377</v>
      </c>
      <c r="BC1108">
        <v>389</v>
      </c>
      <c r="BE1108" t="s">
        <v>18279</v>
      </c>
      <c r="BF1108" t="s">
        <v>18280</v>
      </c>
      <c r="BI1108">
        <v>13</v>
      </c>
      <c r="BJ1108" t="s">
        <v>144</v>
      </c>
      <c r="BK1108" t="s">
        <v>96</v>
      </c>
      <c r="BL1108" t="s">
        <v>145</v>
      </c>
      <c r="BM1108" t="s">
        <v>18281</v>
      </c>
      <c r="BN1108">
        <v>20971492</v>
      </c>
      <c r="BR1108" t="s">
        <v>98</v>
      </c>
      <c r="BS1108" t="s">
        <v>18282</v>
      </c>
      <c r="BT1108" t="s">
        <v>16602</v>
      </c>
    </row>
    <row r="1109" spans="1:72">
      <c r="A1109" t="s">
        <v>72</v>
      </c>
      <c r="B1109" t="s">
        <v>18283</v>
      </c>
      <c r="F1109" t="s">
        <v>18284</v>
      </c>
      <c r="I1109" t="s">
        <v>18285</v>
      </c>
      <c r="J1109" t="s">
        <v>7477</v>
      </c>
      <c r="M1109" t="s">
        <v>78</v>
      </c>
      <c r="N1109" t="s">
        <v>79</v>
      </c>
      <c r="T1109" t="s">
        <v>18286</v>
      </c>
      <c r="U1109" t="s">
        <v>18287</v>
      </c>
      <c r="V1109" t="s">
        <v>18288</v>
      </c>
      <c r="W1109" t="s">
        <v>18289</v>
      </c>
      <c r="X1109" t="s">
        <v>18290</v>
      </c>
      <c r="Y1109" t="s">
        <v>18291</v>
      </c>
      <c r="Z1109" t="s">
        <v>18292</v>
      </c>
      <c r="AA1109" t="s">
        <v>15942</v>
      </c>
      <c r="AB1109" t="s">
        <v>18293</v>
      </c>
      <c r="AC1109" t="s">
        <v>18294</v>
      </c>
      <c r="AD1109" t="s">
        <v>18295</v>
      </c>
      <c r="AE1109" t="s">
        <v>18296</v>
      </c>
      <c r="AG1109">
        <v>32</v>
      </c>
      <c r="AH1109">
        <v>8</v>
      </c>
      <c r="AI1109">
        <v>8</v>
      </c>
      <c r="AJ1109">
        <v>0</v>
      </c>
      <c r="AK1109">
        <v>18</v>
      </c>
      <c r="AL1109" t="s">
        <v>6554</v>
      </c>
      <c r="AM1109" t="s">
        <v>113</v>
      </c>
      <c r="AN1109" t="s">
        <v>6555</v>
      </c>
      <c r="AO1109" t="s">
        <v>7487</v>
      </c>
      <c r="AP1109" t="s">
        <v>7488</v>
      </c>
      <c r="AR1109" t="s">
        <v>7489</v>
      </c>
      <c r="AS1109" t="s">
        <v>7490</v>
      </c>
      <c r="AT1109" t="s">
        <v>1223</v>
      </c>
      <c r="AU1109">
        <v>2012</v>
      </c>
      <c r="AV1109">
        <v>38</v>
      </c>
      <c r="AW1109">
        <v>2</v>
      </c>
      <c r="BB1109">
        <v>188</v>
      </c>
      <c r="BC1109">
        <v>196</v>
      </c>
      <c r="BE1109" t="s">
        <v>18297</v>
      </c>
      <c r="BF1109" t="s">
        <v>18298</v>
      </c>
      <c r="BI1109">
        <v>9</v>
      </c>
      <c r="BJ1109" t="s">
        <v>680</v>
      </c>
      <c r="BK1109" t="s">
        <v>96</v>
      </c>
      <c r="BL1109" t="s">
        <v>680</v>
      </c>
      <c r="BM1109" t="s">
        <v>18299</v>
      </c>
      <c r="BR1109" t="s">
        <v>98</v>
      </c>
      <c r="BS1109" t="s">
        <v>18300</v>
      </c>
      <c r="BT1109" t="s">
        <v>16602</v>
      </c>
    </row>
    <row r="1110" spans="1:72">
      <c r="A1110" t="s">
        <v>72</v>
      </c>
      <c r="B1110" t="s">
        <v>18301</v>
      </c>
      <c r="F1110" t="s">
        <v>18302</v>
      </c>
      <c r="I1110" t="s">
        <v>18303</v>
      </c>
      <c r="J1110" t="s">
        <v>18304</v>
      </c>
      <c r="M1110" t="s">
        <v>78</v>
      </c>
      <c r="N1110" t="s">
        <v>79</v>
      </c>
      <c r="U1110" t="s">
        <v>18305</v>
      </c>
      <c r="V1110" t="s">
        <v>18306</v>
      </c>
      <c r="W1110" t="s">
        <v>18307</v>
      </c>
      <c r="X1110" t="s">
        <v>18308</v>
      </c>
      <c r="Y1110" t="s">
        <v>18309</v>
      </c>
      <c r="Z1110" t="s">
        <v>18310</v>
      </c>
      <c r="AG1110">
        <v>34</v>
      </c>
      <c r="AH1110">
        <v>20</v>
      </c>
      <c r="AI1110">
        <v>20</v>
      </c>
      <c r="AJ1110">
        <v>0</v>
      </c>
      <c r="AK1110">
        <v>7</v>
      </c>
      <c r="AL1110" t="s">
        <v>112</v>
      </c>
      <c r="AM1110" t="s">
        <v>191</v>
      </c>
      <c r="AN1110" t="s">
        <v>192</v>
      </c>
      <c r="AO1110" t="s">
        <v>16275</v>
      </c>
      <c r="AR1110" t="s">
        <v>18311</v>
      </c>
      <c r="AS1110" t="s">
        <v>18312</v>
      </c>
      <c r="AT1110" t="s">
        <v>224</v>
      </c>
      <c r="AU1110">
        <v>2009</v>
      </c>
      <c r="AV1110">
        <v>279</v>
      </c>
      <c r="AW1110">
        <v>2</v>
      </c>
      <c r="BB1110">
        <v>591</v>
      </c>
      <c r="BC1110">
        <v>600</v>
      </c>
      <c r="BE1110" t="s">
        <v>18313</v>
      </c>
      <c r="BF1110" t="s">
        <v>18314</v>
      </c>
      <c r="BI1110">
        <v>10</v>
      </c>
      <c r="BJ1110" t="s">
        <v>16279</v>
      </c>
      <c r="BK1110" t="s">
        <v>96</v>
      </c>
      <c r="BL1110" t="s">
        <v>16280</v>
      </c>
      <c r="BM1110" t="s">
        <v>18315</v>
      </c>
      <c r="BR1110" t="s">
        <v>98</v>
      </c>
      <c r="BS1110" t="s">
        <v>18316</v>
      </c>
      <c r="BT1110" t="s">
        <v>16602</v>
      </c>
    </row>
    <row r="1111" spans="1:72">
      <c r="A1111" t="s">
        <v>72</v>
      </c>
      <c r="B1111" t="s">
        <v>18317</v>
      </c>
      <c r="F1111" t="s">
        <v>18317</v>
      </c>
      <c r="I1111" t="s">
        <v>18318</v>
      </c>
      <c r="J1111" t="s">
        <v>18319</v>
      </c>
      <c r="M1111" t="s">
        <v>78</v>
      </c>
      <c r="N1111" t="s">
        <v>79</v>
      </c>
      <c r="V1111" t="s">
        <v>18320</v>
      </c>
      <c r="W1111" t="s">
        <v>18321</v>
      </c>
      <c r="AG1111">
        <v>18</v>
      </c>
      <c r="AH1111">
        <v>5</v>
      </c>
      <c r="AI1111">
        <v>5</v>
      </c>
      <c r="AJ1111">
        <v>0</v>
      </c>
      <c r="AK1111">
        <v>0</v>
      </c>
      <c r="AL1111" t="s">
        <v>650</v>
      </c>
      <c r="AM1111" t="s">
        <v>651</v>
      </c>
      <c r="AN1111" t="s">
        <v>652</v>
      </c>
      <c r="AO1111" t="s">
        <v>18322</v>
      </c>
      <c r="AR1111" t="s">
        <v>18323</v>
      </c>
      <c r="AU1111">
        <v>1983</v>
      </c>
      <c r="AV1111">
        <v>3</v>
      </c>
      <c r="AW1111" t="s">
        <v>326</v>
      </c>
      <c r="BB1111">
        <v>79</v>
      </c>
      <c r="BC1111">
        <v>87</v>
      </c>
      <c r="BI1111">
        <v>9</v>
      </c>
      <c r="BJ1111" t="s">
        <v>7548</v>
      </c>
      <c r="BK1111" t="s">
        <v>96</v>
      </c>
      <c r="BL1111" t="s">
        <v>7548</v>
      </c>
      <c r="BM1111" t="s">
        <v>18324</v>
      </c>
      <c r="BR1111" t="s">
        <v>98</v>
      </c>
      <c r="BS1111" t="s">
        <v>18325</v>
      </c>
      <c r="BT1111" t="s">
        <v>16602</v>
      </c>
    </row>
    <row r="1112" spans="1:72">
      <c r="A1112" t="s">
        <v>72</v>
      </c>
      <c r="B1112" t="s">
        <v>18326</v>
      </c>
      <c r="F1112" t="s">
        <v>18327</v>
      </c>
      <c r="I1112" t="s">
        <v>18328</v>
      </c>
      <c r="J1112" t="s">
        <v>12129</v>
      </c>
      <c r="M1112" t="s">
        <v>78</v>
      </c>
      <c r="N1112" t="s">
        <v>79</v>
      </c>
      <c r="T1112" t="s">
        <v>18329</v>
      </c>
      <c r="U1112" t="s">
        <v>18330</v>
      </c>
      <c r="V1112" t="s">
        <v>18331</v>
      </c>
      <c r="W1112" t="s">
        <v>18332</v>
      </c>
      <c r="X1112" t="s">
        <v>18333</v>
      </c>
      <c r="Y1112" t="s">
        <v>18334</v>
      </c>
      <c r="Z1112" t="s">
        <v>18335</v>
      </c>
      <c r="AA1112" t="s">
        <v>18336</v>
      </c>
      <c r="AB1112" t="s">
        <v>18337</v>
      </c>
      <c r="AG1112">
        <v>16</v>
      </c>
      <c r="AH1112">
        <v>18</v>
      </c>
      <c r="AI1112">
        <v>20</v>
      </c>
      <c r="AJ1112">
        <v>0</v>
      </c>
      <c r="AK1112">
        <v>14</v>
      </c>
      <c r="AL1112" t="s">
        <v>1433</v>
      </c>
      <c r="AM1112" t="s">
        <v>1434</v>
      </c>
      <c r="AN1112" t="s">
        <v>1435</v>
      </c>
      <c r="AO1112" t="s">
        <v>1436</v>
      </c>
      <c r="AP1112" t="s">
        <v>12141</v>
      </c>
      <c r="AR1112" t="s">
        <v>12142</v>
      </c>
      <c r="AS1112" t="s">
        <v>12143</v>
      </c>
      <c r="AT1112" t="s">
        <v>224</v>
      </c>
      <c r="AU1112">
        <v>2016</v>
      </c>
      <c r="AV1112">
        <v>45</v>
      </c>
      <c r="AW1112">
        <v>2</v>
      </c>
      <c r="BB1112">
        <v>283</v>
      </c>
      <c r="BC1112">
        <v>289</v>
      </c>
      <c r="BI1112">
        <v>7</v>
      </c>
      <c r="BJ1112" t="s">
        <v>1439</v>
      </c>
      <c r="BK1112" t="s">
        <v>96</v>
      </c>
      <c r="BL1112" t="s">
        <v>1439</v>
      </c>
      <c r="BM1112" t="s">
        <v>18338</v>
      </c>
      <c r="BR1112" t="s">
        <v>98</v>
      </c>
      <c r="BS1112" t="s">
        <v>18339</v>
      </c>
      <c r="BT1112" t="s">
        <v>16602</v>
      </c>
    </row>
    <row r="1113" spans="1:72">
      <c r="A1113" t="s">
        <v>72</v>
      </c>
      <c r="B1113" t="s">
        <v>18340</v>
      </c>
      <c r="F1113" t="s">
        <v>18340</v>
      </c>
      <c r="I1113" t="s">
        <v>18341</v>
      </c>
      <c r="J1113" t="s">
        <v>909</v>
      </c>
      <c r="M1113" t="s">
        <v>78</v>
      </c>
      <c r="N1113" t="s">
        <v>79</v>
      </c>
      <c r="T1113" t="s">
        <v>18342</v>
      </c>
      <c r="U1113" t="s">
        <v>18343</v>
      </c>
      <c r="V1113" t="s">
        <v>18344</v>
      </c>
      <c r="W1113" t="s">
        <v>18345</v>
      </c>
      <c r="X1113" t="s">
        <v>2417</v>
      </c>
      <c r="Y1113" t="s">
        <v>18346</v>
      </c>
      <c r="Z1113" t="s">
        <v>2419</v>
      </c>
      <c r="AA1113" t="s">
        <v>18347</v>
      </c>
      <c r="AB1113" t="s">
        <v>18348</v>
      </c>
      <c r="AG1113">
        <v>80</v>
      </c>
      <c r="AH1113">
        <v>59</v>
      </c>
      <c r="AI1113">
        <v>73</v>
      </c>
      <c r="AJ1113">
        <v>0</v>
      </c>
      <c r="AK1113">
        <v>48</v>
      </c>
      <c r="AL1113" t="s">
        <v>650</v>
      </c>
      <c r="AM1113" t="s">
        <v>651</v>
      </c>
      <c r="AN1113" t="s">
        <v>652</v>
      </c>
      <c r="AO1113" t="s">
        <v>921</v>
      </c>
      <c r="AP1113" t="s">
        <v>922</v>
      </c>
      <c r="AR1113" t="s">
        <v>923</v>
      </c>
      <c r="AS1113" t="s">
        <v>924</v>
      </c>
      <c r="AT1113" t="s">
        <v>18349</v>
      </c>
      <c r="AU1113">
        <v>2004</v>
      </c>
      <c r="AV1113">
        <v>319</v>
      </c>
      <c r="AW1113" t="s">
        <v>2847</v>
      </c>
      <c r="BB1113">
        <v>27</v>
      </c>
      <c r="BC1113">
        <v>37</v>
      </c>
      <c r="BE1113" t="s">
        <v>18350</v>
      </c>
      <c r="BF1113" t="s">
        <v>18351</v>
      </c>
      <c r="BI1113">
        <v>11</v>
      </c>
      <c r="BJ1113" t="s">
        <v>144</v>
      </c>
      <c r="BK1113" t="s">
        <v>96</v>
      </c>
      <c r="BL1113" t="s">
        <v>145</v>
      </c>
      <c r="BM1113" t="s">
        <v>18352</v>
      </c>
      <c r="BN1113">
        <v>14967499</v>
      </c>
      <c r="BR1113" t="s">
        <v>98</v>
      </c>
      <c r="BS1113" t="s">
        <v>18353</v>
      </c>
      <c r="BT1113" t="s">
        <v>16602</v>
      </c>
    </row>
    <row r="1114" spans="1:72">
      <c r="A1114" t="s">
        <v>72</v>
      </c>
      <c r="B1114" t="s">
        <v>18354</v>
      </c>
      <c r="F1114" t="s">
        <v>18355</v>
      </c>
      <c r="I1114" t="s">
        <v>18356</v>
      </c>
      <c r="J1114" t="s">
        <v>179</v>
      </c>
      <c r="M1114" t="s">
        <v>78</v>
      </c>
      <c r="N1114" t="s">
        <v>79</v>
      </c>
      <c r="T1114" t="s">
        <v>18357</v>
      </c>
      <c r="U1114" t="s">
        <v>18358</v>
      </c>
      <c r="V1114" t="s">
        <v>18359</v>
      </c>
      <c r="W1114" t="s">
        <v>18360</v>
      </c>
      <c r="X1114" t="s">
        <v>1538</v>
      </c>
      <c r="Y1114" t="s">
        <v>18361</v>
      </c>
      <c r="Z1114" t="s">
        <v>18362</v>
      </c>
      <c r="AB1114" t="s">
        <v>18363</v>
      </c>
      <c r="AC1114" t="s">
        <v>18364</v>
      </c>
      <c r="AD1114" t="s">
        <v>18365</v>
      </c>
      <c r="AE1114" t="s">
        <v>18366</v>
      </c>
      <c r="AG1114">
        <v>55</v>
      </c>
      <c r="AH1114">
        <v>11</v>
      </c>
      <c r="AI1114">
        <v>11</v>
      </c>
      <c r="AJ1114">
        <v>4</v>
      </c>
      <c r="AK1114">
        <v>15</v>
      </c>
      <c r="AL1114" t="s">
        <v>112</v>
      </c>
      <c r="AM1114" t="s">
        <v>191</v>
      </c>
      <c r="AN1114" t="s">
        <v>192</v>
      </c>
      <c r="AO1114" t="s">
        <v>193</v>
      </c>
      <c r="AP1114" t="s">
        <v>194</v>
      </c>
      <c r="AR1114" t="s">
        <v>195</v>
      </c>
      <c r="AS1114" t="s">
        <v>196</v>
      </c>
      <c r="AT1114" t="s">
        <v>951</v>
      </c>
      <c r="AU1114">
        <v>2017</v>
      </c>
      <c r="AV1114">
        <v>189</v>
      </c>
      <c r="AW1114">
        <v>11</v>
      </c>
      <c r="BD1114">
        <v>536</v>
      </c>
      <c r="BE1114" t="s">
        <v>18367</v>
      </c>
      <c r="BF1114" t="s">
        <v>18368</v>
      </c>
      <c r="BI1114">
        <v>10</v>
      </c>
      <c r="BJ1114" t="s">
        <v>144</v>
      </c>
      <c r="BK1114" t="s">
        <v>96</v>
      </c>
      <c r="BL1114" t="s">
        <v>145</v>
      </c>
      <c r="BM1114" t="s">
        <v>18369</v>
      </c>
      <c r="BN1114">
        <v>28975441</v>
      </c>
      <c r="BR1114" t="s">
        <v>98</v>
      </c>
      <c r="BS1114" t="s">
        <v>18370</v>
      </c>
      <c r="BT1114" t="s">
        <v>16602</v>
      </c>
    </row>
    <row r="1115" spans="1:72">
      <c r="A1115" t="s">
        <v>72</v>
      </c>
      <c r="B1115" t="s">
        <v>18371</v>
      </c>
      <c r="F1115" t="s">
        <v>18372</v>
      </c>
      <c r="I1115" t="s">
        <v>18373</v>
      </c>
      <c r="J1115" t="s">
        <v>18374</v>
      </c>
      <c r="M1115" t="s">
        <v>78</v>
      </c>
      <c r="N1115" t="s">
        <v>79</v>
      </c>
      <c r="T1115" t="s">
        <v>18375</v>
      </c>
      <c r="U1115" t="s">
        <v>18376</v>
      </c>
      <c r="V1115" t="s">
        <v>18377</v>
      </c>
      <c r="W1115" t="s">
        <v>18378</v>
      </c>
      <c r="X1115" t="s">
        <v>18379</v>
      </c>
      <c r="Y1115" t="s">
        <v>18380</v>
      </c>
      <c r="Z1115" t="s">
        <v>18381</v>
      </c>
      <c r="AA1115" t="s">
        <v>18382</v>
      </c>
      <c r="AB1115" t="s">
        <v>18383</v>
      </c>
      <c r="AC1115" t="s">
        <v>18384</v>
      </c>
      <c r="AD1115" t="s">
        <v>18385</v>
      </c>
      <c r="AE1115" t="s">
        <v>18386</v>
      </c>
      <c r="AG1115">
        <v>41</v>
      </c>
      <c r="AH1115">
        <v>24</v>
      </c>
      <c r="AI1115">
        <v>24</v>
      </c>
      <c r="AJ1115">
        <v>1</v>
      </c>
      <c r="AK1115">
        <v>81</v>
      </c>
      <c r="AL1115" t="s">
        <v>136</v>
      </c>
      <c r="AM1115" t="s">
        <v>137</v>
      </c>
      <c r="AN1115" t="s">
        <v>138</v>
      </c>
      <c r="AO1115" t="s">
        <v>18387</v>
      </c>
      <c r="AR1115" t="s">
        <v>18388</v>
      </c>
      <c r="AS1115" t="s">
        <v>18389</v>
      </c>
      <c r="AT1115" t="s">
        <v>3237</v>
      </c>
      <c r="AU1115">
        <v>2016</v>
      </c>
      <c r="AV1115">
        <v>123</v>
      </c>
      <c r="BB1115">
        <v>452</v>
      </c>
      <c r="BC1115">
        <v>457</v>
      </c>
      <c r="BE1115" t="s">
        <v>18390</v>
      </c>
      <c r="BF1115" t="s">
        <v>18391</v>
      </c>
      <c r="BI1115">
        <v>6</v>
      </c>
      <c r="BJ1115" t="s">
        <v>18392</v>
      </c>
      <c r="BK1115" t="s">
        <v>96</v>
      </c>
      <c r="BL1115" t="s">
        <v>7263</v>
      </c>
      <c r="BM1115" t="s">
        <v>18393</v>
      </c>
      <c r="BR1115" t="s">
        <v>98</v>
      </c>
      <c r="BS1115" t="s">
        <v>18394</v>
      </c>
      <c r="BT1115" t="s">
        <v>16602</v>
      </c>
    </row>
    <row r="1116" spans="1:72">
      <c r="A1116" t="s">
        <v>72</v>
      </c>
      <c r="B1116" t="s">
        <v>18395</v>
      </c>
      <c r="F1116" t="s">
        <v>18395</v>
      </c>
      <c r="I1116" t="s">
        <v>18396</v>
      </c>
      <c r="J1116" t="s">
        <v>18397</v>
      </c>
      <c r="M1116" t="s">
        <v>78</v>
      </c>
      <c r="N1116" t="s">
        <v>79</v>
      </c>
      <c r="U1116" t="s">
        <v>18398</v>
      </c>
      <c r="V1116" t="s">
        <v>18399</v>
      </c>
      <c r="W1116" t="s">
        <v>18400</v>
      </c>
      <c r="X1116" t="s">
        <v>18401</v>
      </c>
      <c r="Y1116" t="s">
        <v>18402</v>
      </c>
      <c r="AG1116">
        <v>23</v>
      </c>
      <c r="AH1116">
        <v>23</v>
      </c>
      <c r="AI1116">
        <v>24</v>
      </c>
      <c r="AJ1116">
        <v>0</v>
      </c>
      <c r="AK1116">
        <v>2</v>
      </c>
      <c r="AL1116" t="s">
        <v>919</v>
      </c>
      <c r="AM1116" t="s">
        <v>651</v>
      </c>
      <c r="AN1116" t="s">
        <v>920</v>
      </c>
      <c r="AO1116" t="s">
        <v>18403</v>
      </c>
      <c r="AR1116" t="s">
        <v>18404</v>
      </c>
      <c r="AS1116" t="s">
        <v>18405</v>
      </c>
      <c r="AT1116" t="s">
        <v>93</v>
      </c>
      <c r="AU1116">
        <v>1994</v>
      </c>
      <c r="AV1116">
        <v>46</v>
      </c>
      <c r="AW1116" t="s">
        <v>326</v>
      </c>
      <c r="BB1116">
        <v>119</v>
      </c>
      <c r="BC1116">
        <v>131</v>
      </c>
      <c r="BE1116" t="s">
        <v>18406</v>
      </c>
      <c r="BF1116" t="s">
        <v>18407</v>
      </c>
      <c r="BI1116">
        <v>13</v>
      </c>
      <c r="BJ1116" t="s">
        <v>18408</v>
      </c>
      <c r="BK1116" t="s">
        <v>96</v>
      </c>
      <c r="BL1116" t="s">
        <v>18409</v>
      </c>
      <c r="BM1116" t="s">
        <v>18410</v>
      </c>
      <c r="BR1116" t="s">
        <v>98</v>
      </c>
      <c r="BS1116" t="s">
        <v>18411</v>
      </c>
      <c r="BT1116" t="s">
        <v>16602</v>
      </c>
    </row>
    <row r="1117" spans="1:72">
      <c r="A1117" t="s">
        <v>72</v>
      </c>
      <c r="B1117" t="s">
        <v>18412</v>
      </c>
      <c r="F1117" t="s">
        <v>18412</v>
      </c>
      <c r="I1117" t="s">
        <v>18413</v>
      </c>
      <c r="J1117" t="s">
        <v>752</v>
      </c>
      <c r="M1117" t="s">
        <v>78</v>
      </c>
      <c r="N1117" t="s">
        <v>79</v>
      </c>
      <c r="T1117" t="s">
        <v>18414</v>
      </c>
      <c r="U1117" t="s">
        <v>18415</v>
      </c>
      <c r="V1117" t="s">
        <v>18416</v>
      </c>
      <c r="W1117" t="s">
        <v>18417</v>
      </c>
      <c r="X1117" t="s">
        <v>18418</v>
      </c>
      <c r="Y1117" t="s">
        <v>18419</v>
      </c>
      <c r="Z1117" t="s">
        <v>18420</v>
      </c>
      <c r="AA1117" t="s">
        <v>18421</v>
      </c>
      <c r="AB1117" t="s">
        <v>18422</v>
      </c>
      <c r="AG1117">
        <v>24</v>
      </c>
      <c r="AH1117">
        <v>19</v>
      </c>
      <c r="AI1117">
        <v>22</v>
      </c>
      <c r="AJ1117">
        <v>0</v>
      </c>
      <c r="AK1117">
        <v>18</v>
      </c>
      <c r="AL1117" t="s">
        <v>430</v>
      </c>
      <c r="AM1117" t="s">
        <v>137</v>
      </c>
      <c r="AN1117" t="s">
        <v>431</v>
      </c>
      <c r="AO1117" t="s">
        <v>761</v>
      </c>
      <c r="AP1117" t="s">
        <v>762</v>
      </c>
      <c r="AR1117" t="s">
        <v>763</v>
      </c>
      <c r="AS1117" t="s">
        <v>764</v>
      </c>
      <c r="AT1117" t="s">
        <v>765</v>
      </c>
      <c r="AU1117">
        <v>2004</v>
      </c>
      <c r="AV1117">
        <v>58</v>
      </c>
      <c r="AW1117">
        <v>1</v>
      </c>
      <c r="BB1117">
        <v>83</v>
      </c>
      <c r="BC1117">
        <v>93</v>
      </c>
      <c r="BE1117" t="s">
        <v>18423</v>
      </c>
      <c r="BF1117" t="s">
        <v>18424</v>
      </c>
      <c r="BI1117">
        <v>11</v>
      </c>
      <c r="BJ1117" t="s">
        <v>768</v>
      </c>
      <c r="BK1117" t="s">
        <v>96</v>
      </c>
      <c r="BL1117" t="s">
        <v>769</v>
      </c>
      <c r="BM1117" t="s">
        <v>18425</v>
      </c>
      <c r="BN1117">
        <v>15046947</v>
      </c>
      <c r="BR1117" t="s">
        <v>98</v>
      </c>
      <c r="BS1117" t="s">
        <v>18426</v>
      </c>
      <c r="BT1117" t="s">
        <v>16602</v>
      </c>
    </row>
    <row r="1118" spans="1:72">
      <c r="A1118" t="s">
        <v>72</v>
      </c>
      <c r="B1118" t="s">
        <v>18427</v>
      </c>
      <c r="F1118" t="s">
        <v>18427</v>
      </c>
      <c r="I1118" t="s">
        <v>18428</v>
      </c>
      <c r="J1118" t="s">
        <v>641</v>
      </c>
      <c r="M1118" t="s">
        <v>78</v>
      </c>
      <c r="N1118" t="s">
        <v>79</v>
      </c>
      <c r="T1118" t="s">
        <v>18429</v>
      </c>
      <c r="U1118" t="s">
        <v>18430</v>
      </c>
      <c r="V1118" t="s">
        <v>18431</v>
      </c>
      <c r="W1118" t="s">
        <v>18432</v>
      </c>
      <c r="X1118" t="s">
        <v>18433</v>
      </c>
      <c r="Y1118" t="s">
        <v>18434</v>
      </c>
      <c r="AA1118" t="s">
        <v>18435</v>
      </c>
      <c r="AB1118" t="s">
        <v>18436</v>
      </c>
      <c r="AG1118">
        <v>29</v>
      </c>
      <c r="AH1118">
        <v>24</v>
      </c>
      <c r="AI1118">
        <v>24</v>
      </c>
      <c r="AJ1118">
        <v>0</v>
      </c>
      <c r="AK1118">
        <v>13</v>
      </c>
      <c r="AL1118" t="s">
        <v>919</v>
      </c>
      <c r="AM1118" t="s">
        <v>651</v>
      </c>
      <c r="AN1118" t="s">
        <v>920</v>
      </c>
      <c r="AO1118" t="s">
        <v>653</v>
      </c>
      <c r="AP1118" t="s">
        <v>654</v>
      </c>
      <c r="AR1118" t="s">
        <v>655</v>
      </c>
      <c r="AS1118" t="s">
        <v>656</v>
      </c>
      <c r="AT1118" t="s">
        <v>224</v>
      </c>
      <c r="AU1118">
        <v>1998</v>
      </c>
      <c r="AV1118">
        <v>40</v>
      </c>
      <c r="AW1118">
        <v>4</v>
      </c>
      <c r="BB1118">
        <v>323</v>
      </c>
      <c r="BC1118">
        <v>334</v>
      </c>
      <c r="BE1118" t="s">
        <v>18437</v>
      </c>
      <c r="BF1118" t="s">
        <v>18438</v>
      </c>
      <c r="BI1118">
        <v>12</v>
      </c>
      <c r="BJ1118" t="s">
        <v>659</v>
      </c>
      <c r="BK1118" t="s">
        <v>96</v>
      </c>
      <c r="BL1118" t="s">
        <v>659</v>
      </c>
      <c r="BM1118" t="s">
        <v>18439</v>
      </c>
      <c r="BR1118" t="s">
        <v>98</v>
      </c>
      <c r="BS1118" t="s">
        <v>18440</v>
      </c>
      <c r="BT1118" t="s">
        <v>16602</v>
      </c>
    </row>
    <row r="1119" spans="1:72">
      <c r="A1119" t="s">
        <v>72</v>
      </c>
      <c r="B1119" t="s">
        <v>18441</v>
      </c>
      <c r="F1119" t="s">
        <v>18442</v>
      </c>
      <c r="I1119" t="s">
        <v>18443</v>
      </c>
      <c r="J1119" t="s">
        <v>232</v>
      </c>
      <c r="M1119" t="s">
        <v>78</v>
      </c>
      <c r="N1119" t="s">
        <v>79</v>
      </c>
      <c r="T1119" t="s">
        <v>18444</v>
      </c>
      <c r="U1119" t="s">
        <v>18445</v>
      </c>
      <c r="V1119" t="s">
        <v>18446</v>
      </c>
      <c r="W1119" t="s">
        <v>18447</v>
      </c>
      <c r="X1119" t="s">
        <v>18448</v>
      </c>
      <c r="Y1119" t="s">
        <v>18449</v>
      </c>
      <c r="Z1119" t="s">
        <v>18450</v>
      </c>
      <c r="AA1119" t="s">
        <v>2379</v>
      </c>
      <c r="AG1119">
        <v>63</v>
      </c>
      <c r="AH1119">
        <v>13</v>
      </c>
      <c r="AI1119">
        <v>13</v>
      </c>
      <c r="AJ1119">
        <v>0</v>
      </c>
      <c r="AK1119">
        <v>21</v>
      </c>
      <c r="AL1119" t="s">
        <v>136</v>
      </c>
      <c r="AM1119" t="s">
        <v>137</v>
      </c>
      <c r="AN1119" t="s">
        <v>138</v>
      </c>
      <c r="AO1119" t="s">
        <v>240</v>
      </c>
      <c r="AP1119" t="s">
        <v>241</v>
      </c>
      <c r="AR1119" t="s">
        <v>242</v>
      </c>
      <c r="AS1119" t="s">
        <v>243</v>
      </c>
      <c r="AT1119" t="s">
        <v>197</v>
      </c>
      <c r="AU1119">
        <v>2011</v>
      </c>
      <c r="AV1119">
        <v>62</v>
      </c>
      <c r="AW1119">
        <v>12</v>
      </c>
      <c r="BB1119">
        <v>2671</v>
      </c>
      <c r="BC1119">
        <v>2680</v>
      </c>
      <c r="BE1119" t="s">
        <v>18451</v>
      </c>
      <c r="BF1119" t="s">
        <v>18452</v>
      </c>
      <c r="BI1119">
        <v>10</v>
      </c>
      <c r="BJ1119" t="s">
        <v>247</v>
      </c>
      <c r="BK1119" t="s">
        <v>96</v>
      </c>
      <c r="BL1119" t="s">
        <v>248</v>
      </c>
      <c r="BM1119" t="s">
        <v>18453</v>
      </c>
      <c r="BN1119">
        <v>22001298</v>
      </c>
      <c r="BR1119" t="s">
        <v>98</v>
      </c>
      <c r="BS1119" t="s">
        <v>18454</v>
      </c>
      <c r="BT1119" t="s">
        <v>16602</v>
      </c>
    </row>
    <row r="1120" spans="1:72">
      <c r="A1120" t="s">
        <v>72</v>
      </c>
      <c r="B1120" t="s">
        <v>18455</v>
      </c>
      <c r="F1120" t="s">
        <v>18456</v>
      </c>
      <c r="I1120" t="s">
        <v>18457</v>
      </c>
      <c r="J1120" t="s">
        <v>998</v>
      </c>
      <c r="M1120" t="s">
        <v>78</v>
      </c>
      <c r="N1120" t="s">
        <v>79</v>
      </c>
      <c r="U1120" t="s">
        <v>18458</v>
      </c>
      <c r="V1120" t="s">
        <v>18459</v>
      </c>
      <c r="W1120" t="s">
        <v>18460</v>
      </c>
      <c r="X1120" t="s">
        <v>18461</v>
      </c>
      <c r="Y1120" t="s">
        <v>18462</v>
      </c>
      <c r="Z1120" t="s">
        <v>18463</v>
      </c>
      <c r="AA1120" t="s">
        <v>18464</v>
      </c>
      <c r="AB1120" t="s">
        <v>18465</v>
      </c>
      <c r="AC1120" t="s">
        <v>18466</v>
      </c>
      <c r="AD1120" t="s">
        <v>18466</v>
      </c>
      <c r="AE1120" t="s">
        <v>18467</v>
      </c>
      <c r="AG1120">
        <v>75</v>
      </c>
      <c r="AH1120">
        <v>27</v>
      </c>
      <c r="AI1120">
        <v>30</v>
      </c>
      <c r="AJ1120">
        <v>3</v>
      </c>
      <c r="AK1120">
        <v>101</v>
      </c>
      <c r="AL1120" t="s">
        <v>112</v>
      </c>
      <c r="AM1120" t="s">
        <v>113</v>
      </c>
      <c r="AN1120" t="s">
        <v>114</v>
      </c>
      <c r="AO1120" t="s">
        <v>1009</v>
      </c>
      <c r="AP1120" t="s">
        <v>5996</v>
      </c>
      <c r="AR1120" t="s">
        <v>1010</v>
      </c>
      <c r="AS1120" t="s">
        <v>1011</v>
      </c>
      <c r="AT1120" t="s">
        <v>170</v>
      </c>
      <c r="AU1120">
        <v>2013</v>
      </c>
      <c r="AV1120">
        <v>64</v>
      </c>
      <c r="AW1120">
        <v>4</v>
      </c>
      <c r="BB1120">
        <v>701</v>
      </c>
      <c r="BC1120">
        <v>716</v>
      </c>
      <c r="BE1120" t="s">
        <v>18468</v>
      </c>
      <c r="BF1120" t="s">
        <v>18469</v>
      </c>
      <c r="BI1120">
        <v>16</v>
      </c>
      <c r="BJ1120" t="s">
        <v>121</v>
      </c>
      <c r="BK1120" t="s">
        <v>96</v>
      </c>
      <c r="BL1120" t="s">
        <v>122</v>
      </c>
      <c r="BM1120" t="s">
        <v>18470</v>
      </c>
      <c r="BN1120">
        <v>23344845</v>
      </c>
      <c r="BR1120" t="s">
        <v>98</v>
      </c>
      <c r="BS1120" t="s">
        <v>18471</v>
      </c>
      <c r="BT1120" t="s">
        <v>16602</v>
      </c>
    </row>
    <row r="1121" spans="1:72">
      <c r="A1121" t="s">
        <v>72</v>
      </c>
      <c r="B1121" t="s">
        <v>18472</v>
      </c>
      <c r="F1121" t="s">
        <v>18472</v>
      </c>
      <c r="I1121" t="s">
        <v>18473</v>
      </c>
      <c r="J1121" t="s">
        <v>127</v>
      </c>
      <c r="M1121" t="s">
        <v>78</v>
      </c>
      <c r="N1121" t="s">
        <v>79</v>
      </c>
      <c r="U1121" t="s">
        <v>18474</v>
      </c>
      <c r="V1121" t="s">
        <v>18475</v>
      </c>
      <c r="W1121" t="s">
        <v>18476</v>
      </c>
      <c r="AA1121" t="s">
        <v>3607</v>
      </c>
      <c r="AB1121" t="s">
        <v>3608</v>
      </c>
      <c r="AG1121">
        <v>24</v>
      </c>
      <c r="AH1121">
        <v>10</v>
      </c>
      <c r="AI1121">
        <v>11</v>
      </c>
      <c r="AJ1121">
        <v>0</v>
      </c>
      <c r="AK1121">
        <v>13</v>
      </c>
      <c r="AL1121" t="s">
        <v>136</v>
      </c>
      <c r="AM1121" t="s">
        <v>137</v>
      </c>
      <c r="AN1121" t="s">
        <v>583</v>
      </c>
      <c r="AO1121" t="s">
        <v>139</v>
      </c>
      <c r="AR1121" t="s">
        <v>127</v>
      </c>
      <c r="AS1121" t="s">
        <v>141</v>
      </c>
      <c r="AT1121" t="s">
        <v>142</v>
      </c>
      <c r="AU1121">
        <v>1997</v>
      </c>
      <c r="AV1121">
        <v>34</v>
      </c>
      <c r="AW1121">
        <v>11</v>
      </c>
      <c r="BB1121">
        <v>2437</v>
      </c>
      <c r="BC1121">
        <v>2450</v>
      </c>
      <c r="BE1121" t="s">
        <v>18477</v>
      </c>
      <c r="BF1121" t="s">
        <v>18478</v>
      </c>
      <c r="BI1121">
        <v>14</v>
      </c>
      <c r="BJ1121" t="s">
        <v>144</v>
      </c>
      <c r="BK1121" t="s">
        <v>96</v>
      </c>
      <c r="BL1121" t="s">
        <v>145</v>
      </c>
      <c r="BM1121" t="s">
        <v>18479</v>
      </c>
      <c r="BR1121" t="s">
        <v>98</v>
      </c>
      <c r="BS1121" t="s">
        <v>18480</v>
      </c>
      <c r="BT1121" t="s">
        <v>16602</v>
      </c>
    </row>
    <row r="1122" spans="1:72">
      <c r="A1122" t="s">
        <v>72</v>
      </c>
      <c r="B1122" t="s">
        <v>18481</v>
      </c>
      <c r="F1122" t="s">
        <v>18481</v>
      </c>
      <c r="I1122" t="s">
        <v>18482</v>
      </c>
      <c r="J1122" t="s">
        <v>2265</v>
      </c>
      <c r="M1122" t="s">
        <v>78</v>
      </c>
      <c r="N1122" t="s">
        <v>79</v>
      </c>
      <c r="T1122" t="s">
        <v>18483</v>
      </c>
      <c r="U1122" t="s">
        <v>18484</v>
      </c>
      <c r="V1122" t="s">
        <v>18485</v>
      </c>
      <c r="W1122" t="s">
        <v>18486</v>
      </c>
      <c r="X1122" t="s">
        <v>2697</v>
      </c>
      <c r="Y1122" t="s">
        <v>18487</v>
      </c>
      <c r="Z1122" t="s">
        <v>18488</v>
      </c>
      <c r="AA1122" t="s">
        <v>18489</v>
      </c>
      <c r="AB1122" t="s">
        <v>18490</v>
      </c>
      <c r="AG1122">
        <v>44</v>
      </c>
      <c r="AH1122">
        <v>58</v>
      </c>
      <c r="AI1122">
        <v>70</v>
      </c>
      <c r="AJ1122">
        <v>2</v>
      </c>
      <c r="AK1122">
        <v>19</v>
      </c>
      <c r="AL1122" t="s">
        <v>2074</v>
      </c>
      <c r="AM1122" t="s">
        <v>2075</v>
      </c>
      <c r="AN1122" t="s">
        <v>2076</v>
      </c>
      <c r="AO1122" t="s">
        <v>2275</v>
      </c>
      <c r="AP1122" t="s">
        <v>2276</v>
      </c>
      <c r="AR1122" t="s">
        <v>2265</v>
      </c>
      <c r="AS1122" t="s">
        <v>2277</v>
      </c>
      <c r="AT1122" t="s">
        <v>18491</v>
      </c>
      <c r="AU1122">
        <v>2002</v>
      </c>
      <c r="AV1122">
        <v>7</v>
      </c>
      <c r="AW1122">
        <v>1</v>
      </c>
      <c r="BB1122">
        <v>33</v>
      </c>
      <c r="BC1122">
        <v>48</v>
      </c>
      <c r="BE1122" t="s">
        <v>18492</v>
      </c>
      <c r="BF1122" t="s">
        <v>18493</v>
      </c>
      <c r="BI1122">
        <v>16</v>
      </c>
      <c r="BJ1122" t="s">
        <v>2279</v>
      </c>
      <c r="BK1122" t="s">
        <v>96</v>
      </c>
      <c r="BL1122" t="s">
        <v>2279</v>
      </c>
      <c r="BM1122" t="s">
        <v>18494</v>
      </c>
      <c r="BN1122">
        <v>12101783</v>
      </c>
      <c r="BR1122" t="s">
        <v>98</v>
      </c>
      <c r="BS1122" t="s">
        <v>18495</v>
      </c>
      <c r="BT1122" t="s">
        <v>16602</v>
      </c>
    </row>
    <row r="1123" spans="1:72">
      <c r="A1123" t="s">
        <v>72</v>
      </c>
      <c r="B1123" t="s">
        <v>18496</v>
      </c>
      <c r="F1123" t="s">
        <v>18497</v>
      </c>
      <c r="I1123" t="s">
        <v>18498</v>
      </c>
      <c r="J1123" t="s">
        <v>127</v>
      </c>
      <c r="M1123" t="s">
        <v>78</v>
      </c>
      <c r="N1123" t="s">
        <v>79</v>
      </c>
      <c r="T1123" t="s">
        <v>18499</v>
      </c>
      <c r="U1123" t="s">
        <v>18500</v>
      </c>
      <c r="V1123" t="s">
        <v>18501</v>
      </c>
      <c r="W1123" t="s">
        <v>18502</v>
      </c>
      <c r="X1123" t="s">
        <v>18503</v>
      </c>
      <c r="Y1123" t="s">
        <v>18504</v>
      </c>
      <c r="Z1123" t="s">
        <v>18505</v>
      </c>
      <c r="AA1123" t="s">
        <v>18506</v>
      </c>
      <c r="AC1123" t="s">
        <v>18507</v>
      </c>
      <c r="AD1123" t="s">
        <v>18508</v>
      </c>
      <c r="AE1123" t="s">
        <v>18509</v>
      </c>
      <c r="AG1123">
        <v>82</v>
      </c>
      <c r="AH1123">
        <v>6</v>
      </c>
      <c r="AI1123">
        <v>6</v>
      </c>
      <c r="AJ1123">
        <v>8</v>
      </c>
      <c r="AK1123">
        <v>45</v>
      </c>
      <c r="AL1123" t="s">
        <v>136</v>
      </c>
      <c r="AM1123" t="s">
        <v>137</v>
      </c>
      <c r="AN1123" t="s">
        <v>138</v>
      </c>
      <c r="AO1123" t="s">
        <v>139</v>
      </c>
      <c r="AP1123" t="s">
        <v>140</v>
      </c>
      <c r="AR1123" t="s">
        <v>127</v>
      </c>
      <c r="AS1123" t="s">
        <v>141</v>
      </c>
      <c r="AT1123" t="s">
        <v>197</v>
      </c>
      <c r="AU1123">
        <v>2022</v>
      </c>
      <c r="AV1123">
        <v>308</v>
      </c>
      <c r="AX1123">
        <v>3</v>
      </c>
      <c r="BD1123">
        <v>136474</v>
      </c>
      <c r="BE1123" t="s">
        <v>18510</v>
      </c>
      <c r="BF1123" t="s">
        <v>18511</v>
      </c>
      <c r="BH1123" t="s">
        <v>4632</v>
      </c>
      <c r="BI1123">
        <v>11</v>
      </c>
      <c r="BJ1123" t="s">
        <v>144</v>
      </c>
      <c r="BK1123" t="s">
        <v>96</v>
      </c>
      <c r="BL1123" t="s">
        <v>145</v>
      </c>
      <c r="BM1123" t="s">
        <v>18512</v>
      </c>
      <c r="BN1123">
        <v>36126739</v>
      </c>
      <c r="BO1123" t="s">
        <v>2784</v>
      </c>
      <c r="BR1123" t="s">
        <v>98</v>
      </c>
      <c r="BS1123" t="s">
        <v>18513</v>
      </c>
      <c r="BT1123" t="s">
        <v>16602</v>
      </c>
    </row>
    <row r="1124" spans="1:72">
      <c r="A1124" t="s">
        <v>72</v>
      </c>
      <c r="B1124" t="s">
        <v>18514</v>
      </c>
      <c r="F1124" t="s">
        <v>18515</v>
      </c>
      <c r="I1124" t="s">
        <v>18516</v>
      </c>
      <c r="J1124" t="s">
        <v>18517</v>
      </c>
      <c r="M1124" t="s">
        <v>78</v>
      </c>
      <c r="N1124" t="s">
        <v>79</v>
      </c>
      <c r="U1124" t="s">
        <v>18518</v>
      </c>
      <c r="V1124" t="s">
        <v>18519</v>
      </c>
      <c r="W1124" t="s">
        <v>18520</v>
      </c>
      <c r="X1124" t="s">
        <v>18521</v>
      </c>
      <c r="Y1124" t="s">
        <v>18522</v>
      </c>
      <c r="Z1124" t="s">
        <v>18523</v>
      </c>
      <c r="AA1124" t="s">
        <v>18524</v>
      </c>
      <c r="AB1124" t="s">
        <v>16127</v>
      </c>
      <c r="AG1124">
        <v>35</v>
      </c>
      <c r="AH1124">
        <v>7</v>
      </c>
      <c r="AI1124">
        <v>8</v>
      </c>
      <c r="AJ1124">
        <v>0</v>
      </c>
      <c r="AK1124">
        <v>12</v>
      </c>
      <c r="AL1124" t="s">
        <v>18525</v>
      </c>
      <c r="AM1124" t="s">
        <v>18526</v>
      </c>
      <c r="AN1124" t="s">
        <v>18527</v>
      </c>
      <c r="AO1124" t="s">
        <v>18528</v>
      </c>
      <c r="AR1124" t="s">
        <v>18529</v>
      </c>
      <c r="AS1124" t="s">
        <v>18530</v>
      </c>
      <c r="AT1124" t="s">
        <v>267</v>
      </c>
      <c r="AU1124">
        <v>2009</v>
      </c>
      <c r="AV1124">
        <v>54</v>
      </c>
      <c r="AW1124">
        <v>2</v>
      </c>
      <c r="BB1124">
        <v>413</v>
      </c>
      <c r="BC1124">
        <v>420</v>
      </c>
      <c r="BI1124">
        <v>8</v>
      </c>
      <c r="BJ1124" t="s">
        <v>4120</v>
      </c>
      <c r="BK1124" t="s">
        <v>96</v>
      </c>
      <c r="BL1124" t="s">
        <v>4121</v>
      </c>
      <c r="BM1124" t="s">
        <v>18531</v>
      </c>
      <c r="BR1124" t="s">
        <v>98</v>
      </c>
      <c r="BS1124" t="s">
        <v>18532</v>
      </c>
      <c r="BT1124" t="s">
        <v>16602</v>
      </c>
    </row>
    <row r="1125" spans="1:72">
      <c r="A1125" t="s">
        <v>72</v>
      </c>
      <c r="B1125" t="s">
        <v>18533</v>
      </c>
      <c r="F1125" t="s">
        <v>18534</v>
      </c>
      <c r="I1125" t="s">
        <v>18535</v>
      </c>
      <c r="J1125" t="s">
        <v>232</v>
      </c>
      <c r="M1125" t="s">
        <v>78</v>
      </c>
      <c r="N1125" t="s">
        <v>79</v>
      </c>
      <c r="T1125" t="s">
        <v>18536</v>
      </c>
      <c r="U1125" t="s">
        <v>18537</v>
      </c>
      <c r="V1125" t="s">
        <v>18538</v>
      </c>
      <c r="W1125" t="s">
        <v>18539</v>
      </c>
      <c r="X1125" t="s">
        <v>18540</v>
      </c>
      <c r="Y1125" t="s">
        <v>18541</v>
      </c>
      <c r="Z1125" t="s">
        <v>18542</v>
      </c>
      <c r="AA1125" t="s">
        <v>18543</v>
      </c>
      <c r="AB1125" t="s">
        <v>18544</v>
      </c>
      <c r="AC1125" t="s">
        <v>18545</v>
      </c>
      <c r="AD1125" t="s">
        <v>18546</v>
      </c>
      <c r="AE1125" t="s">
        <v>18547</v>
      </c>
      <c r="AG1125">
        <v>82</v>
      </c>
      <c r="AH1125">
        <v>4</v>
      </c>
      <c r="AI1125">
        <v>5</v>
      </c>
      <c r="AJ1125">
        <v>3</v>
      </c>
      <c r="AK1125">
        <v>15</v>
      </c>
      <c r="AL1125" t="s">
        <v>136</v>
      </c>
      <c r="AM1125" t="s">
        <v>137</v>
      </c>
      <c r="AN1125" t="s">
        <v>138</v>
      </c>
      <c r="AO1125" t="s">
        <v>240</v>
      </c>
      <c r="AP1125" t="s">
        <v>241</v>
      </c>
      <c r="AR1125" t="s">
        <v>242</v>
      </c>
      <c r="AS1125" t="s">
        <v>243</v>
      </c>
      <c r="AT1125" t="s">
        <v>170</v>
      </c>
      <c r="AU1125">
        <v>2022</v>
      </c>
      <c r="AV1125">
        <v>178</v>
      </c>
      <c r="BD1125">
        <v>113621</v>
      </c>
      <c r="BE1125" t="s">
        <v>18548</v>
      </c>
      <c r="BF1125" t="s">
        <v>18549</v>
      </c>
      <c r="BH1125" t="s">
        <v>1291</v>
      </c>
      <c r="BI1125">
        <v>13</v>
      </c>
      <c r="BJ1125" t="s">
        <v>247</v>
      </c>
      <c r="BK1125" t="s">
        <v>96</v>
      </c>
      <c r="BL1125" t="s">
        <v>248</v>
      </c>
      <c r="BM1125" t="s">
        <v>18550</v>
      </c>
      <c r="BN1125">
        <v>35421642</v>
      </c>
      <c r="BR1125" t="s">
        <v>98</v>
      </c>
      <c r="BS1125" t="s">
        <v>18551</v>
      </c>
      <c r="BT1125" t="s">
        <v>16602</v>
      </c>
    </row>
    <row r="1126" spans="1:72">
      <c r="A1126" t="s">
        <v>72</v>
      </c>
      <c r="B1126" t="s">
        <v>18552</v>
      </c>
      <c r="F1126" t="s">
        <v>18552</v>
      </c>
      <c r="I1126" t="s">
        <v>18553</v>
      </c>
      <c r="J1126" t="s">
        <v>17604</v>
      </c>
      <c r="M1126" t="s">
        <v>78</v>
      </c>
      <c r="N1126" t="s">
        <v>79</v>
      </c>
      <c r="T1126" t="s">
        <v>18554</v>
      </c>
      <c r="U1126" t="s">
        <v>18555</v>
      </c>
      <c r="V1126" t="s">
        <v>18556</v>
      </c>
      <c r="W1126" t="s">
        <v>18557</v>
      </c>
      <c r="X1126" t="s">
        <v>18558</v>
      </c>
      <c r="Y1126" t="s">
        <v>18559</v>
      </c>
      <c r="Z1126" t="s">
        <v>18560</v>
      </c>
      <c r="AA1126" t="s">
        <v>18561</v>
      </c>
      <c r="AB1126" t="s">
        <v>18562</v>
      </c>
      <c r="AG1126">
        <v>46</v>
      </c>
      <c r="AH1126">
        <v>13</v>
      </c>
      <c r="AI1126">
        <v>14</v>
      </c>
      <c r="AJ1126">
        <v>0</v>
      </c>
      <c r="AK1126">
        <v>16</v>
      </c>
      <c r="AL1126" t="s">
        <v>919</v>
      </c>
      <c r="AM1126" t="s">
        <v>651</v>
      </c>
      <c r="AN1126" t="s">
        <v>920</v>
      </c>
      <c r="AO1126" t="s">
        <v>17613</v>
      </c>
      <c r="AP1126" t="s">
        <v>17614</v>
      </c>
      <c r="AR1126" t="s">
        <v>17615</v>
      </c>
      <c r="AS1126" t="s">
        <v>17616</v>
      </c>
      <c r="AT1126" t="s">
        <v>18563</v>
      </c>
      <c r="AU1126">
        <v>2005</v>
      </c>
      <c r="AV1126">
        <v>322</v>
      </c>
      <c r="AW1126">
        <v>1</v>
      </c>
      <c r="BB1126">
        <v>29</v>
      </c>
      <c r="BC1126">
        <v>37</v>
      </c>
      <c r="BE1126" t="s">
        <v>18564</v>
      </c>
      <c r="BF1126" t="s">
        <v>18565</v>
      </c>
      <c r="BI1126">
        <v>9</v>
      </c>
      <c r="BJ1126" t="s">
        <v>1292</v>
      </c>
      <c r="BK1126" t="s">
        <v>96</v>
      </c>
      <c r="BL1126" t="s">
        <v>248</v>
      </c>
      <c r="BM1126" t="s">
        <v>18566</v>
      </c>
      <c r="BR1126" t="s">
        <v>98</v>
      </c>
      <c r="BS1126" t="s">
        <v>18567</v>
      </c>
      <c r="BT1126" t="s">
        <v>16602</v>
      </c>
    </row>
    <row r="1127" spans="1:72">
      <c r="A1127" t="s">
        <v>72</v>
      </c>
      <c r="B1127" t="s">
        <v>18568</v>
      </c>
      <c r="F1127" t="s">
        <v>18569</v>
      </c>
      <c r="I1127" t="s">
        <v>18570</v>
      </c>
      <c r="J1127" t="s">
        <v>775</v>
      </c>
      <c r="M1127" t="s">
        <v>78</v>
      </c>
      <c r="N1127" t="s">
        <v>79</v>
      </c>
      <c r="T1127" t="s">
        <v>18571</v>
      </c>
      <c r="U1127" t="s">
        <v>18572</v>
      </c>
      <c r="V1127" t="s">
        <v>18573</v>
      </c>
      <c r="W1127" t="s">
        <v>18574</v>
      </c>
      <c r="X1127" t="s">
        <v>18575</v>
      </c>
      <c r="Y1127" t="s">
        <v>18576</v>
      </c>
      <c r="Z1127" t="s">
        <v>18577</v>
      </c>
      <c r="AA1127" t="s">
        <v>18578</v>
      </c>
      <c r="AB1127" t="s">
        <v>18579</v>
      </c>
      <c r="AC1127" t="s">
        <v>18580</v>
      </c>
      <c r="AD1127" t="s">
        <v>18581</v>
      </c>
      <c r="AE1127" t="s">
        <v>18582</v>
      </c>
      <c r="AG1127">
        <v>58</v>
      </c>
      <c r="AH1127">
        <v>5</v>
      </c>
      <c r="AI1127">
        <v>5</v>
      </c>
      <c r="AJ1127">
        <v>1</v>
      </c>
      <c r="AK1127">
        <v>12</v>
      </c>
      <c r="AL1127" t="s">
        <v>2883</v>
      </c>
      <c r="AM1127" t="s">
        <v>286</v>
      </c>
      <c r="AN1127" t="s">
        <v>2884</v>
      </c>
      <c r="AO1127" t="s">
        <v>791</v>
      </c>
      <c r="AP1127" t="s">
        <v>2885</v>
      </c>
      <c r="AR1127" t="s">
        <v>792</v>
      </c>
      <c r="AS1127" t="s">
        <v>793</v>
      </c>
      <c r="AT1127" t="s">
        <v>224</v>
      </c>
      <c r="AU1127">
        <v>2021</v>
      </c>
      <c r="AV1127">
        <v>199</v>
      </c>
      <c r="AW1127">
        <v>2</v>
      </c>
      <c r="BB1127">
        <v>744</v>
      </c>
      <c r="BC1127">
        <v>752</v>
      </c>
      <c r="BE1127" t="s">
        <v>18583</v>
      </c>
      <c r="BF1127" t="s">
        <v>18584</v>
      </c>
      <c r="BH1127" t="s">
        <v>1588</v>
      </c>
      <c r="BI1127">
        <v>9</v>
      </c>
      <c r="BJ1127" t="s">
        <v>795</v>
      </c>
      <c r="BK1127" t="s">
        <v>96</v>
      </c>
      <c r="BL1127" t="s">
        <v>795</v>
      </c>
      <c r="BM1127" t="s">
        <v>18585</v>
      </c>
      <c r="BN1127">
        <v>32447576</v>
      </c>
      <c r="BR1127" t="s">
        <v>98</v>
      </c>
      <c r="BS1127" t="s">
        <v>18586</v>
      </c>
      <c r="BT1127" t="s">
        <v>16602</v>
      </c>
    </row>
    <row r="1128" spans="1:72">
      <c r="A1128" t="s">
        <v>72</v>
      </c>
      <c r="B1128" t="s">
        <v>18587</v>
      </c>
      <c r="F1128" t="s">
        <v>18588</v>
      </c>
      <c r="I1128" t="s">
        <v>18589</v>
      </c>
      <c r="J1128" t="s">
        <v>2063</v>
      </c>
      <c r="M1128" t="s">
        <v>78</v>
      </c>
      <c r="N1128" t="s">
        <v>79</v>
      </c>
      <c r="T1128" t="s">
        <v>18590</v>
      </c>
      <c r="U1128" t="s">
        <v>18591</v>
      </c>
      <c r="V1128" t="s">
        <v>18592</v>
      </c>
      <c r="W1128" t="s">
        <v>18593</v>
      </c>
      <c r="X1128" t="s">
        <v>18594</v>
      </c>
      <c r="Y1128" t="s">
        <v>18595</v>
      </c>
      <c r="Z1128" t="s">
        <v>18596</v>
      </c>
      <c r="AA1128" t="s">
        <v>18597</v>
      </c>
      <c r="AB1128" t="s">
        <v>18598</v>
      </c>
      <c r="AG1128">
        <v>68</v>
      </c>
      <c r="AH1128">
        <v>11</v>
      </c>
      <c r="AI1128">
        <v>12</v>
      </c>
      <c r="AJ1128">
        <v>0</v>
      </c>
      <c r="AK1128">
        <v>15</v>
      </c>
      <c r="AL1128" t="s">
        <v>2074</v>
      </c>
      <c r="AM1128" t="s">
        <v>2075</v>
      </c>
      <c r="AN1128" t="s">
        <v>2076</v>
      </c>
      <c r="AO1128" t="s">
        <v>2077</v>
      </c>
      <c r="AP1128" t="s">
        <v>2078</v>
      </c>
      <c r="AR1128" t="s">
        <v>2079</v>
      </c>
      <c r="AS1128" t="s">
        <v>2080</v>
      </c>
      <c r="AU1128">
        <v>2008</v>
      </c>
      <c r="AV1128">
        <v>24</v>
      </c>
      <c r="AW1128">
        <v>5</v>
      </c>
      <c r="BB1128">
        <v>315</v>
      </c>
      <c r="BC1128">
        <v>327</v>
      </c>
      <c r="BE1128" t="s">
        <v>18599</v>
      </c>
      <c r="BF1128" t="s">
        <v>18600</v>
      </c>
      <c r="BI1128">
        <v>13</v>
      </c>
      <c r="BJ1128" t="s">
        <v>2083</v>
      </c>
      <c r="BK1128" t="s">
        <v>96</v>
      </c>
      <c r="BL1128" t="s">
        <v>2084</v>
      </c>
      <c r="BM1128" t="s">
        <v>18601</v>
      </c>
      <c r="BR1128" t="s">
        <v>98</v>
      </c>
      <c r="BS1128" t="s">
        <v>18602</v>
      </c>
      <c r="BT1128" t="s">
        <v>16602</v>
      </c>
    </row>
    <row r="1129" spans="1:72">
      <c r="A1129" t="s">
        <v>72</v>
      </c>
      <c r="B1129" t="s">
        <v>18603</v>
      </c>
      <c r="F1129" t="s">
        <v>18604</v>
      </c>
      <c r="I1129" t="s">
        <v>18605</v>
      </c>
      <c r="J1129" t="s">
        <v>204</v>
      </c>
      <c r="M1129" t="s">
        <v>78</v>
      </c>
      <c r="N1129" t="s">
        <v>79</v>
      </c>
      <c r="T1129" t="s">
        <v>18606</v>
      </c>
      <c r="U1129" t="s">
        <v>18607</v>
      </c>
      <c r="V1129" t="s">
        <v>18608</v>
      </c>
      <c r="W1129" t="s">
        <v>18609</v>
      </c>
      <c r="X1129" t="s">
        <v>18610</v>
      </c>
      <c r="Y1129" t="s">
        <v>18611</v>
      </c>
      <c r="Z1129" t="s">
        <v>18612</v>
      </c>
      <c r="AA1129" t="s">
        <v>18613</v>
      </c>
      <c r="AB1129" t="s">
        <v>18614</v>
      </c>
      <c r="AC1129" t="s">
        <v>18615</v>
      </c>
      <c r="AD1129" t="s">
        <v>18615</v>
      </c>
      <c r="AE1129" t="s">
        <v>18616</v>
      </c>
      <c r="AG1129">
        <v>132</v>
      </c>
      <c r="AH1129">
        <v>10</v>
      </c>
      <c r="AI1129">
        <v>10</v>
      </c>
      <c r="AJ1129">
        <v>2</v>
      </c>
      <c r="AK1129">
        <v>13</v>
      </c>
      <c r="AL1129" t="s">
        <v>217</v>
      </c>
      <c r="AM1129" t="s">
        <v>218</v>
      </c>
      <c r="AN1129" t="s">
        <v>219</v>
      </c>
      <c r="AO1129" t="s">
        <v>220</v>
      </c>
      <c r="AP1129" t="s">
        <v>221</v>
      </c>
      <c r="AR1129" t="s">
        <v>222</v>
      </c>
      <c r="AS1129" t="s">
        <v>223</v>
      </c>
      <c r="AT1129" t="s">
        <v>1223</v>
      </c>
      <c r="AU1129">
        <v>2023</v>
      </c>
      <c r="AV1129">
        <v>30</v>
      </c>
      <c r="AW1129">
        <v>13</v>
      </c>
      <c r="BB1129">
        <v>38465</v>
      </c>
      <c r="BC1129">
        <v>38479</v>
      </c>
      <c r="BE1129" t="s">
        <v>18617</v>
      </c>
      <c r="BF1129" t="s">
        <v>18618</v>
      </c>
      <c r="BH1129" t="s">
        <v>4283</v>
      </c>
      <c r="BI1129">
        <v>15</v>
      </c>
      <c r="BJ1129" t="s">
        <v>144</v>
      </c>
      <c r="BK1129" t="s">
        <v>96</v>
      </c>
      <c r="BL1129" t="s">
        <v>145</v>
      </c>
      <c r="BM1129" t="s">
        <v>18619</v>
      </c>
      <c r="BN1129">
        <v>36577824</v>
      </c>
      <c r="BR1129" t="s">
        <v>98</v>
      </c>
      <c r="BS1129" t="s">
        <v>18620</v>
      </c>
      <c r="BT1129" t="s">
        <v>16602</v>
      </c>
    </row>
    <row r="1130" spans="1:72">
      <c r="A1130" t="s">
        <v>72</v>
      </c>
      <c r="B1130" t="s">
        <v>18621</v>
      </c>
      <c r="F1130" t="s">
        <v>18622</v>
      </c>
      <c r="I1130" t="s">
        <v>18623</v>
      </c>
      <c r="J1130" t="s">
        <v>204</v>
      </c>
      <c r="M1130" t="s">
        <v>78</v>
      </c>
      <c r="N1130" t="s">
        <v>2873</v>
      </c>
      <c r="T1130" t="s">
        <v>18624</v>
      </c>
      <c r="U1130" t="s">
        <v>18625</v>
      </c>
      <c r="V1130" t="s">
        <v>18626</v>
      </c>
      <c r="W1130" t="s">
        <v>18627</v>
      </c>
      <c r="X1130" t="s">
        <v>18628</v>
      </c>
      <c r="Y1130" t="s">
        <v>18629</v>
      </c>
      <c r="Z1130" t="s">
        <v>18630</v>
      </c>
      <c r="AA1130" t="s">
        <v>18631</v>
      </c>
      <c r="AC1130" t="s">
        <v>18632</v>
      </c>
      <c r="AD1130" t="s">
        <v>18633</v>
      </c>
      <c r="AE1130" t="s">
        <v>12379</v>
      </c>
      <c r="AG1130">
        <v>99</v>
      </c>
      <c r="AH1130">
        <v>0</v>
      </c>
      <c r="AI1130">
        <v>0</v>
      </c>
      <c r="AJ1130">
        <v>2</v>
      </c>
      <c r="AK1130">
        <v>2</v>
      </c>
      <c r="AL1130" t="s">
        <v>217</v>
      </c>
      <c r="AM1130" t="s">
        <v>218</v>
      </c>
      <c r="AN1130" t="s">
        <v>219</v>
      </c>
      <c r="AO1130" t="s">
        <v>220</v>
      </c>
      <c r="AP1130" t="s">
        <v>221</v>
      </c>
      <c r="AR1130" t="s">
        <v>222</v>
      </c>
      <c r="AS1130" t="s">
        <v>223</v>
      </c>
      <c r="AT1130" t="s">
        <v>18634</v>
      </c>
      <c r="AU1130">
        <v>2024</v>
      </c>
      <c r="BE1130" t="s">
        <v>18635</v>
      </c>
      <c r="BF1130" t="s">
        <v>18636</v>
      </c>
      <c r="BH1130" t="s">
        <v>2782</v>
      </c>
      <c r="BI1130">
        <v>21</v>
      </c>
      <c r="BJ1130" t="s">
        <v>144</v>
      </c>
      <c r="BK1130" t="s">
        <v>96</v>
      </c>
      <c r="BL1130" t="s">
        <v>145</v>
      </c>
      <c r="BM1130" t="s">
        <v>18637</v>
      </c>
      <c r="BN1130">
        <v>38418790</v>
      </c>
      <c r="BO1130" t="s">
        <v>2784</v>
      </c>
      <c r="BR1130" t="s">
        <v>98</v>
      </c>
      <c r="BS1130" t="s">
        <v>18638</v>
      </c>
      <c r="BT1130" t="s">
        <v>16602</v>
      </c>
    </row>
    <row r="1131" spans="1:72">
      <c r="A1131" t="s">
        <v>72</v>
      </c>
      <c r="B1131" t="s">
        <v>18639</v>
      </c>
      <c r="F1131" t="s">
        <v>18640</v>
      </c>
      <c r="I1131" t="s">
        <v>18641</v>
      </c>
      <c r="J1131" t="s">
        <v>11378</v>
      </c>
      <c r="M1131" t="s">
        <v>78</v>
      </c>
      <c r="N1131" t="s">
        <v>79</v>
      </c>
      <c r="T1131" t="s">
        <v>18642</v>
      </c>
      <c r="U1131" t="s">
        <v>18643</v>
      </c>
      <c r="V1131" t="s">
        <v>18644</v>
      </c>
      <c r="W1131" t="s">
        <v>18645</v>
      </c>
      <c r="X1131" t="s">
        <v>18646</v>
      </c>
      <c r="Y1131" t="s">
        <v>18647</v>
      </c>
      <c r="Z1131" t="s">
        <v>18648</v>
      </c>
      <c r="AA1131" t="s">
        <v>18649</v>
      </c>
      <c r="AB1131" t="s">
        <v>18650</v>
      </c>
      <c r="AG1131">
        <v>85</v>
      </c>
      <c r="AH1131">
        <v>17</v>
      </c>
      <c r="AI1131">
        <v>20</v>
      </c>
      <c r="AJ1131">
        <v>9</v>
      </c>
      <c r="AK1131">
        <v>90</v>
      </c>
      <c r="AL1131" t="s">
        <v>1566</v>
      </c>
      <c r="AM1131" t="s">
        <v>1567</v>
      </c>
      <c r="AN1131" t="s">
        <v>1568</v>
      </c>
      <c r="AP1131" t="s">
        <v>11389</v>
      </c>
      <c r="AR1131" t="s">
        <v>11378</v>
      </c>
      <c r="AS1131" t="s">
        <v>11390</v>
      </c>
      <c r="AT1131" t="s">
        <v>1470</v>
      </c>
      <c r="AU1131">
        <v>2022</v>
      </c>
      <c r="AV1131">
        <v>10</v>
      </c>
      <c r="AW1131">
        <v>1</v>
      </c>
      <c r="BD1131">
        <v>18</v>
      </c>
      <c r="BE1131" t="s">
        <v>18651</v>
      </c>
      <c r="BF1131" t="s">
        <v>18652</v>
      </c>
      <c r="BI1131">
        <v>23</v>
      </c>
      <c r="BJ1131" t="s">
        <v>121</v>
      </c>
      <c r="BK1131" t="s">
        <v>96</v>
      </c>
      <c r="BL1131" t="s">
        <v>122</v>
      </c>
      <c r="BM1131" t="s">
        <v>18653</v>
      </c>
      <c r="BN1131">
        <v>35051060</v>
      </c>
      <c r="BO1131" t="s">
        <v>2155</v>
      </c>
      <c r="BR1131" t="s">
        <v>98</v>
      </c>
      <c r="BS1131" t="s">
        <v>18654</v>
      </c>
      <c r="BT1131" t="s">
        <v>16602</v>
      </c>
    </row>
    <row r="1132" spans="1:72">
      <c r="A1132" t="s">
        <v>72</v>
      </c>
      <c r="B1132" t="s">
        <v>18655</v>
      </c>
      <c r="F1132" t="s">
        <v>18656</v>
      </c>
      <c r="I1132" t="s">
        <v>18657</v>
      </c>
      <c r="J1132" t="s">
        <v>421</v>
      </c>
      <c r="M1132" t="s">
        <v>78</v>
      </c>
      <c r="N1132" t="s">
        <v>79</v>
      </c>
      <c r="T1132" t="s">
        <v>18658</v>
      </c>
      <c r="U1132" t="s">
        <v>18659</v>
      </c>
      <c r="V1132" t="s">
        <v>18660</v>
      </c>
      <c r="W1132" t="s">
        <v>18661</v>
      </c>
      <c r="X1132" t="s">
        <v>18662</v>
      </c>
      <c r="Y1132" t="s">
        <v>18663</v>
      </c>
      <c r="Z1132" t="s">
        <v>18664</v>
      </c>
      <c r="AB1132" t="s">
        <v>18665</v>
      </c>
      <c r="AC1132" t="s">
        <v>18666</v>
      </c>
      <c r="AD1132" t="s">
        <v>18667</v>
      </c>
      <c r="AG1132">
        <v>33</v>
      </c>
      <c r="AH1132">
        <v>62</v>
      </c>
      <c r="AI1132">
        <v>72</v>
      </c>
      <c r="AJ1132">
        <v>0</v>
      </c>
      <c r="AK1132">
        <v>29</v>
      </c>
      <c r="AL1132" t="s">
        <v>430</v>
      </c>
      <c r="AM1132" t="s">
        <v>137</v>
      </c>
      <c r="AN1132" t="s">
        <v>431</v>
      </c>
      <c r="AO1132" t="s">
        <v>432</v>
      </c>
      <c r="AP1132" t="s">
        <v>1394</v>
      </c>
      <c r="AR1132" t="s">
        <v>433</v>
      </c>
      <c r="AS1132" t="s">
        <v>434</v>
      </c>
      <c r="AT1132" t="s">
        <v>1470</v>
      </c>
      <c r="AU1132">
        <v>2007</v>
      </c>
      <c r="AV1132">
        <v>145</v>
      </c>
      <c r="AW1132">
        <v>2</v>
      </c>
      <c r="BB1132">
        <v>474</v>
      </c>
      <c r="BC1132">
        <v>488</v>
      </c>
      <c r="BE1132" t="s">
        <v>18668</v>
      </c>
      <c r="BF1132" t="s">
        <v>18669</v>
      </c>
      <c r="BI1132">
        <v>15</v>
      </c>
      <c r="BJ1132" t="s">
        <v>144</v>
      </c>
      <c r="BK1132" t="s">
        <v>96</v>
      </c>
      <c r="BL1132" t="s">
        <v>145</v>
      </c>
      <c r="BM1132" t="s">
        <v>18670</v>
      </c>
      <c r="BN1132">
        <v>16872729</v>
      </c>
      <c r="BR1132" t="s">
        <v>98</v>
      </c>
      <c r="BS1132" t="s">
        <v>18671</v>
      </c>
      <c r="BT1132" t="s">
        <v>16602</v>
      </c>
    </row>
    <row r="1133" spans="1:72">
      <c r="A1133" t="s">
        <v>72</v>
      </c>
      <c r="B1133" t="s">
        <v>18672</v>
      </c>
      <c r="F1133" t="s">
        <v>18672</v>
      </c>
      <c r="I1133" t="s">
        <v>18673</v>
      </c>
      <c r="J1133" t="s">
        <v>998</v>
      </c>
      <c r="M1133" t="s">
        <v>78</v>
      </c>
      <c r="N1133" t="s">
        <v>79</v>
      </c>
      <c r="U1133" t="s">
        <v>18674</v>
      </c>
      <c r="V1133" t="s">
        <v>18675</v>
      </c>
      <c r="W1133" t="s">
        <v>18676</v>
      </c>
      <c r="X1133" t="s">
        <v>18677</v>
      </c>
      <c r="Y1133" t="s">
        <v>18678</v>
      </c>
      <c r="AA1133" t="s">
        <v>18679</v>
      </c>
      <c r="AB1133" t="s">
        <v>18680</v>
      </c>
      <c r="AG1133">
        <v>52</v>
      </c>
      <c r="AH1133">
        <v>64</v>
      </c>
      <c r="AI1133">
        <v>71</v>
      </c>
      <c r="AJ1133">
        <v>3</v>
      </c>
      <c r="AK1133">
        <v>14</v>
      </c>
      <c r="AL1133" t="s">
        <v>112</v>
      </c>
      <c r="AM1133" t="s">
        <v>113</v>
      </c>
      <c r="AN1133" t="s">
        <v>114</v>
      </c>
      <c r="AO1133" t="s">
        <v>1009</v>
      </c>
      <c r="AP1133" t="s">
        <v>5996</v>
      </c>
      <c r="AR1133" t="s">
        <v>1010</v>
      </c>
      <c r="AS1133" t="s">
        <v>1011</v>
      </c>
      <c r="AT1133" t="s">
        <v>170</v>
      </c>
      <c r="AU1133">
        <v>2000</v>
      </c>
      <c r="AV1133">
        <v>38</v>
      </c>
      <c r="AW1133">
        <v>4</v>
      </c>
      <c r="BB1133">
        <v>455</v>
      </c>
      <c r="BC1133">
        <v>463</v>
      </c>
      <c r="BE1133" t="s">
        <v>18681</v>
      </c>
      <c r="BF1133" t="s">
        <v>18682</v>
      </c>
      <c r="BI1133">
        <v>9</v>
      </c>
      <c r="BJ1133" t="s">
        <v>121</v>
      </c>
      <c r="BK1133" t="s">
        <v>96</v>
      </c>
      <c r="BL1133" t="s">
        <v>122</v>
      </c>
      <c r="BM1133" t="s">
        <v>18683</v>
      </c>
      <c r="BN1133">
        <v>10787096</v>
      </c>
      <c r="BR1133" t="s">
        <v>98</v>
      </c>
      <c r="BS1133" t="s">
        <v>18684</v>
      </c>
      <c r="BT1133" t="s">
        <v>16602</v>
      </c>
    </row>
    <row r="1134" spans="1:72">
      <c r="A1134" t="s">
        <v>72</v>
      </c>
      <c r="B1134" t="s">
        <v>18685</v>
      </c>
      <c r="F1134" t="s">
        <v>18685</v>
      </c>
      <c r="I1134" t="s">
        <v>18686</v>
      </c>
      <c r="J1134" t="s">
        <v>1756</v>
      </c>
      <c r="M1134" t="s">
        <v>78</v>
      </c>
      <c r="N1134" t="s">
        <v>79</v>
      </c>
      <c r="T1134" t="s">
        <v>18687</v>
      </c>
      <c r="U1134" t="s">
        <v>1364</v>
      </c>
      <c r="V1134" t="s">
        <v>18688</v>
      </c>
      <c r="W1134" t="s">
        <v>18689</v>
      </c>
      <c r="AG1134">
        <v>21</v>
      </c>
      <c r="AH1134">
        <v>20</v>
      </c>
      <c r="AI1134">
        <v>23</v>
      </c>
      <c r="AJ1134">
        <v>0</v>
      </c>
      <c r="AK1134">
        <v>17</v>
      </c>
      <c r="AL1134" t="s">
        <v>86</v>
      </c>
      <c r="AM1134" t="s">
        <v>87</v>
      </c>
      <c r="AN1134" t="s">
        <v>88</v>
      </c>
      <c r="AO1134" t="s">
        <v>1764</v>
      </c>
      <c r="AP1134" t="s">
        <v>1765</v>
      </c>
      <c r="AR1134" t="s">
        <v>1766</v>
      </c>
      <c r="AS1134" t="s">
        <v>1767</v>
      </c>
      <c r="AT1134" t="s">
        <v>951</v>
      </c>
      <c r="AU1134">
        <v>1995</v>
      </c>
      <c r="AV1134">
        <v>14</v>
      </c>
      <c r="AW1134">
        <v>11</v>
      </c>
      <c r="BB1134">
        <v>1913</v>
      </c>
      <c r="BC1134">
        <v>1920</v>
      </c>
      <c r="BE1134" t="s">
        <v>18690</v>
      </c>
      <c r="BF1134" t="s">
        <v>18691</v>
      </c>
      <c r="BI1134">
        <v>8</v>
      </c>
      <c r="BJ1134" t="s">
        <v>121</v>
      </c>
      <c r="BK1134" t="s">
        <v>96</v>
      </c>
      <c r="BL1134" t="s">
        <v>122</v>
      </c>
      <c r="BM1134" t="s">
        <v>18692</v>
      </c>
      <c r="BR1134" t="s">
        <v>98</v>
      </c>
      <c r="BS1134" t="s">
        <v>18693</v>
      </c>
      <c r="BT1134" t="s">
        <v>16602</v>
      </c>
    </row>
    <row r="1135" spans="1:72">
      <c r="A1135" t="s">
        <v>72</v>
      </c>
      <c r="B1135" t="s">
        <v>18694</v>
      </c>
      <c r="F1135" t="s">
        <v>18695</v>
      </c>
      <c r="I1135" t="s">
        <v>18696</v>
      </c>
      <c r="J1135" t="s">
        <v>232</v>
      </c>
      <c r="M1135" t="s">
        <v>78</v>
      </c>
      <c r="N1135" t="s">
        <v>79</v>
      </c>
      <c r="T1135" t="s">
        <v>18697</v>
      </c>
      <c r="U1135" t="s">
        <v>18698</v>
      </c>
      <c r="V1135" t="s">
        <v>18699</v>
      </c>
      <c r="W1135" t="s">
        <v>18700</v>
      </c>
      <c r="X1135" t="s">
        <v>18701</v>
      </c>
      <c r="Y1135" t="s">
        <v>18702</v>
      </c>
      <c r="Z1135" t="s">
        <v>18703</v>
      </c>
      <c r="AA1135" t="s">
        <v>18704</v>
      </c>
      <c r="AB1135" t="s">
        <v>18705</v>
      </c>
      <c r="AC1135" t="s">
        <v>18706</v>
      </c>
      <c r="AD1135" t="s">
        <v>18707</v>
      </c>
      <c r="AE1135" t="s">
        <v>18708</v>
      </c>
      <c r="AG1135">
        <v>13</v>
      </c>
      <c r="AH1135">
        <v>23</v>
      </c>
      <c r="AI1135">
        <v>23</v>
      </c>
      <c r="AJ1135">
        <v>2</v>
      </c>
      <c r="AK1135">
        <v>23</v>
      </c>
      <c r="AL1135" t="s">
        <v>136</v>
      </c>
      <c r="AM1135" t="s">
        <v>137</v>
      </c>
      <c r="AN1135" t="s">
        <v>138</v>
      </c>
      <c r="AO1135" t="s">
        <v>240</v>
      </c>
      <c r="AP1135" t="s">
        <v>241</v>
      </c>
      <c r="AR1135" t="s">
        <v>242</v>
      </c>
      <c r="AS1135" t="s">
        <v>243</v>
      </c>
      <c r="AT1135" t="s">
        <v>1507</v>
      </c>
      <c r="AU1135">
        <v>2016</v>
      </c>
      <c r="AV1135">
        <v>105</v>
      </c>
      <c r="AW1135">
        <v>1</v>
      </c>
      <c r="BB1135">
        <v>377</v>
      </c>
      <c r="BC1135">
        <v>384</v>
      </c>
      <c r="BE1135" t="s">
        <v>18709</v>
      </c>
      <c r="BF1135" t="s">
        <v>18710</v>
      </c>
      <c r="BI1135">
        <v>8</v>
      </c>
      <c r="BJ1135" t="s">
        <v>247</v>
      </c>
      <c r="BK1135" t="s">
        <v>96</v>
      </c>
      <c r="BL1135" t="s">
        <v>248</v>
      </c>
      <c r="BM1135" t="s">
        <v>1509</v>
      </c>
      <c r="BN1135">
        <v>26897362</v>
      </c>
      <c r="BR1135" t="s">
        <v>98</v>
      </c>
      <c r="BS1135" t="s">
        <v>18711</v>
      </c>
      <c r="BT1135" t="s">
        <v>16602</v>
      </c>
    </row>
    <row r="1136" spans="1:72">
      <c r="A1136" t="s">
        <v>72</v>
      </c>
      <c r="B1136" t="s">
        <v>18712</v>
      </c>
      <c r="F1136" t="s">
        <v>18713</v>
      </c>
      <c r="I1136" t="s">
        <v>18714</v>
      </c>
      <c r="J1136" t="s">
        <v>421</v>
      </c>
      <c r="M1136" t="s">
        <v>78</v>
      </c>
      <c r="N1136" t="s">
        <v>79</v>
      </c>
      <c r="T1136" t="s">
        <v>18715</v>
      </c>
      <c r="U1136" t="s">
        <v>18716</v>
      </c>
      <c r="V1136" t="s">
        <v>18717</v>
      </c>
      <c r="W1136" t="s">
        <v>18718</v>
      </c>
      <c r="X1136" t="s">
        <v>18719</v>
      </c>
      <c r="Y1136" t="s">
        <v>18720</v>
      </c>
      <c r="Z1136" t="s">
        <v>18721</v>
      </c>
      <c r="AA1136" t="s">
        <v>18722</v>
      </c>
      <c r="AB1136" t="s">
        <v>18723</v>
      </c>
      <c r="AC1136" t="s">
        <v>18724</v>
      </c>
      <c r="AD1136" t="s">
        <v>18725</v>
      </c>
      <c r="AE1136" t="s">
        <v>18726</v>
      </c>
      <c r="AG1136">
        <v>49</v>
      </c>
      <c r="AH1136">
        <v>1</v>
      </c>
      <c r="AI1136">
        <v>1</v>
      </c>
      <c r="AJ1136">
        <v>0</v>
      </c>
      <c r="AK1136">
        <v>4</v>
      </c>
      <c r="AL1136" t="s">
        <v>430</v>
      </c>
      <c r="AM1136" t="s">
        <v>7361</v>
      </c>
      <c r="AN1136" t="s">
        <v>7362</v>
      </c>
      <c r="AO1136" t="s">
        <v>432</v>
      </c>
      <c r="AP1136" t="s">
        <v>1394</v>
      </c>
      <c r="AR1136" t="s">
        <v>433</v>
      </c>
      <c r="AS1136" t="s">
        <v>434</v>
      </c>
      <c r="AT1136" t="s">
        <v>11873</v>
      </c>
      <c r="AU1136">
        <v>2024</v>
      </c>
      <c r="AV1136">
        <v>340</v>
      </c>
      <c r="AX1136">
        <v>1</v>
      </c>
      <c r="BD1136">
        <v>122860</v>
      </c>
      <c r="BE1136" t="s">
        <v>18727</v>
      </c>
      <c r="BF1136" t="s">
        <v>18728</v>
      </c>
      <c r="BH1136" t="s">
        <v>7992</v>
      </c>
      <c r="BI1136">
        <v>10</v>
      </c>
      <c r="BJ1136" t="s">
        <v>144</v>
      </c>
      <c r="BK1136" t="s">
        <v>96</v>
      </c>
      <c r="BL1136" t="s">
        <v>145</v>
      </c>
      <c r="BM1136" t="s">
        <v>18729</v>
      </c>
      <c r="BN1136">
        <v>37925011</v>
      </c>
      <c r="BR1136" t="s">
        <v>98</v>
      </c>
      <c r="BS1136" t="s">
        <v>18730</v>
      </c>
      <c r="BT1136" t="s">
        <v>16602</v>
      </c>
    </row>
    <row r="1137" spans="1:72">
      <c r="A1137" t="s">
        <v>72</v>
      </c>
      <c r="B1137" t="s">
        <v>18731</v>
      </c>
      <c r="F1137" t="s">
        <v>18732</v>
      </c>
      <c r="I1137" t="s">
        <v>18733</v>
      </c>
      <c r="J1137" t="s">
        <v>232</v>
      </c>
      <c r="M1137" t="s">
        <v>78</v>
      </c>
      <c r="N1137" t="s">
        <v>79</v>
      </c>
      <c r="T1137" t="s">
        <v>18734</v>
      </c>
      <c r="U1137" t="s">
        <v>18735</v>
      </c>
      <c r="V1137" t="s">
        <v>18736</v>
      </c>
      <c r="W1137" t="s">
        <v>18737</v>
      </c>
      <c r="X1137" t="s">
        <v>5553</v>
      </c>
      <c r="Y1137" t="s">
        <v>5554</v>
      </c>
      <c r="Z1137" t="s">
        <v>18738</v>
      </c>
      <c r="AC1137" t="s">
        <v>18739</v>
      </c>
      <c r="AD1137" t="s">
        <v>18740</v>
      </c>
      <c r="AE1137" t="s">
        <v>18741</v>
      </c>
      <c r="AG1137">
        <v>65</v>
      </c>
      <c r="AH1137">
        <v>0</v>
      </c>
      <c r="AI1137">
        <v>0</v>
      </c>
      <c r="AJ1137">
        <v>5</v>
      </c>
      <c r="AK1137">
        <v>5</v>
      </c>
      <c r="AL1137" t="s">
        <v>136</v>
      </c>
      <c r="AM1137" t="s">
        <v>137</v>
      </c>
      <c r="AN1137" t="s">
        <v>138</v>
      </c>
      <c r="AO1137" t="s">
        <v>240</v>
      </c>
      <c r="AP1137" t="s">
        <v>241</v>
      </c>
      <c r="AR1137" t="s">
        <v>242</v>
      </c>
      <c r="AS1137" t="s">
        <v>243</v>
      </c>
      <c r="AT1137" t="s">
        <v>1223</v>
      </c>
      <c r="AU1137">
        <v>2024</v>
      </c>
      <c r="AV1137">
        <v>200</v>
      </c>
      <c r="BD1137">
        <v>116080</v>
      </c>
      <c r="BE1137" t="s">
        <v>18742</v>
      </c>
      <c r="BF1137" t="s">
        <v>18743</v>
      </c>
      <c r="BH1137" t="s">
        <v>2782</v>
      </c>
      <c r="BI1137">
        <v>12</v>
      </c>
      <c r="BJ1137" t="s">
        <v>247</v>
      </c>
      <c r="BK1137" t="s">
        <v>96</v>
      </c>
      <c r="BL1137" t="s">
        <v>248</v>
      </c>
      <c r="BM1137" t="s">
        <v>18744</v>
      </c>
      <c r="BN1137">
        <v>38325199</v>
      </c>
      <c r="BR1137" t="s">
        <v>98</v>
      </c>
      <c r="BS1137" t="s">
        <v>18745</v>
      </c>
      <c r="BT1137" t="s">
        <v>16602</v>
      </c>
    </row>
    <row r="1138" spans="1:72">
      <c r="A1138" t="s">
        <v>72</v>
      </c>
      <c r="B1138" t="s">
        <v>18746</v>
      </c>
      <c r="F1138" t="s">
        <v>18747</v>
      </c>
      <c r="I1138" t="s">
        <v>18748</v>
      </c>
      <c r="J1138" t="s">
        <v>704</v>
      </c>
      <c r="M1138" t="s">
        <v>78</v>
      </c>
      <c r="N1138" t="s">
        <v>79</v>
      </c>
      <c r="T1138" t="s">
        <v>18749</v>
      </c>
      <c r="U1138" t="s">
        <v>18750</v>
      </c>
      <c r="V1138" t="s">
        <v>18751</v>
      </c>
      <c r="W1138" t="s">
        <v>18752</v>
      </c>
      <c r="X1138" t="s">
        <v>18753</v>
      </c>
      <c r="Y1138" t="s">
        <v>18754</v>
      </c>
      <c r="Z1138" t="s">
        <v>15814</v>
      </c>
      <c r="AA1138" t="s">
        <v>18755</v>
      </c>
      <c r="AB1138" t="s">
        <v>18756</v>
      </c>
      <c r="AC1138" t="s">
        <v>18757</v>
      </c>
      <c r="AD1138" t="s">
        <v>18758</v>
      </c>
      <c r="AE1138" t="s">
        <v>18759</v>
      </c>
      <c r="AG1138">
        <v>49</v>
      </c>
      <c r="AH1138">
        <v>3</v>
      </c>
      <c r="AI1138">
        <v>4</v>
      </c>
      <c r="AJ1138">
        <v>4</v>
      </c>
      <c r="AK1138">
        <v>24</v>
      </c>
      <c r="AL1138" t="s">
        <v>4010</v>
      </c>
      <c r="AM1138" t="s">
        <v>1167</v>
      </c>
      <c r="AN1138" t="s">
        <v>1168</v>
      </c>
      <c r="AO1138" t="s">
        <v>718</v>
      </c>
      <c r="AP1138" t="s">
        <v>1169</v>
      </c>
      <c r="AR1138" t="s">
        <v>719</v>
      </c>
      <c r="AS1138" t="s">
        <v>720</v>
      </c>
      <c r="AT1138" t="s">
        <v>3237</v>
      </c>
      <c r="AU1138">
        <v>2020</v>
      </c>
      <c r="AV1138">
        <v>231</v>
      </c>
      <c r="AW1138">
        <v>9</v>
      </c>
      <c r="BD1138">
        <v>473</v>
      </c>
      <c r="BE1138" t="s">
        <v>18760</v>
      </c>
      <c r="BF1138" t="s">
        <v>18761</v>
      </c>
      <c r="BI1138">
        <v>11</v>
      </c>
      <c r="BJ1138" t="s">
        <v>722</v>
      </c>
      <c r="BK1138" t="s">
        <v>96</v>
      </c>
      <c r="BL1138" t="s">
        <v>723</v>
      </c>
      <c r="BM1138" t="s">
        <v>18762</v>
      </c>
      <c r="BR1138" t="s">
        <v>98</v>
      </c>
      <c r="BS1138" t="s">
        <v>18763</v>
      </c>
      <c r="BT1138" t="s">
        <v>16602</v>
      </c>
    </row>
    <row r="1139" spans="1:72">
      <c r="A1139" t="s">
        <v>72</v>
      </c>
      <c r="B1139" t="s">
        <v>18764</v>
      </c>
      <c r="F1139" t="s">
        <v>18765</v>
      </c>
      <c r="I1139" t="s">
        <v>18766</v>
      </c>
      <c r="J1139" t="s">
        <v>103</v>
      </c>
      <c r="M1139" t="s">
        <v>78</v>
      </c>
      <c r="N1139" t="s">
        <v>79</v>
      </c>
      <c r="T1139" t="s">
        <v>18767</v>
      </c>
      <c r="U1139" t="s">
        <v>18768</v>
      </c>
      <c r="V1139" t="s">
        <v>18769</v>
      </c>
      <c r="W1139" t="s">
        <v>18770</v>
      </c>
      <c r="X1139" t="s">
        <v>18771</v>
      </c>
      <c r="Y1139" t="s">
        <v>18772</v>
      </c>
      <c r="Z1139" t="s">
        <v>16834</v>
      </c>
      <c r="AA1139" t="s">
        <v>18773</v>
      </c>
      <c r="AB1139" t="s">
        <v>18774</v>
      </c>
      <c r="AG1139">
        <v>39</v>
      </c>
      <c r="AH1139">
        <v>4</v>
      </c>
      <c r="AI1139">
        <v>4</v>
      </c>
      <c r="AJ1139">
        <v>2</v>
      </c>
      <c r="AK1139">
        <v>17</v>
      </c>
      <c r="AL1139" t="s">
        <v>112</v>
      </c>
      <c r="AM1139" t="s">
        <v>113</v>
      </c>
      <c r="AN1139" t="s">
        <v>114</v>
      </c>
      <c r="AO1139" t="s">
        <v>115</v>
      </c>
      <c r="AP1139" t="s">
        <v>116</v>
      </c>
      <c r="AR1139" t="s">
        <v>117</v>
      </c>
      <c r="AS1139" t="s">
        <v>118</v>
      </c>
      <c r="AT1139" t="s">
        <v>951</v>
      </c>
      <c r="AU1139">
        <v>2022</v>
      </c>
      <c r="AV1139">
        <v>109</v>
      </c>
      <c r="AW1139">
        <v>5</v>
      </c>
      <c r="AZ1139" t="s">
        <v>225</v>
      </c>
      <c r="BB1139">
        <v>831</v>
      </c>
      <c r="BC1139">
        <v>838</v>
      </c>
      <c r="BE1139" t="s">
        <v>18775</v>
      </c>
      <c r="BF1139" t="s">
        <v>18776</v>
      </c>
      <c r="BH1139" t="s">
        <v>13858</v>
      </c>
      <c r="BI1139">
        <v>8</v>
      </c>
      <c r="BJ1139" t="s">
        <v>121</v>
      </c>
      <c r="BK1139" t="s">
        <v>96</v>
      </c>
      <c r="BL1139" t="s">
        <v>122</v>
      </c>
      <c r="BM1139" t="s">
        <v>18777</v>
      </c>
      <c r="BN1139">
        <v>35951059</v>
      </c>
      <c r="BR1139" t="s">
        <v>98</v>
      </c>
      <c r="BS1139" t="s">
        <v>18778</v>
      </c>
      <c r="BT1139" t="s">
        <v>16602</v>
      </c>
    </row>
    <row r="1140" spans="1:72">
      <c r="A1140" t="s">
        <v>72</v>
      </c>
      <c r="B1140" t="s">
        <v>18779</v>
      </c>
      <c r="F1140" t="s">
        <v>18779</v>
      </c>
      <c r="I1140" t="s">
        <v>18780</v>
      </c>
      <c r="J1140" t="s">
        <v>2894</v>
      </c>
      <c r="M1140" t="s">
        <v>78</v>
      </c>
      <c r="N1140" t="s">
        <v>79</v>
      </c>
      <c r="T1140" t="s">
        <v>18781</v>
      </c>
      <c r="U1140" t="s">
        <v>18782</v>
      </c>
      <c r="V1140" t="s">
        <v>18783</v>
      </c>
      <c r="Y1140" t="s">
        <v>18784</v>
      </c>
      <c r="AA1140" t="s">
        <v>18785</v>
      </c>
      <c r="AB1140" t="s">
        <v>18786</v>
      </c>
      <c r="AG1140">
        <v>43</v>
      </c>
      <c r="AH1140">
        <v>68</v>
      </c>
      <c r="AI1140">
        <v>72</v>
      </c>
      <c r="AJ1140">
        <v>0</v>
      </c>
      <c r="AK1140">
        <v>8</v>
      </c>
      <c r="AL1140" t="s">
        <v>2904</v>
      </c>
      <c r="AM1140" t="s">
        <v>2905</v>
      </c>
      <c r="AN1140" t="s">
        <v>2906</v>
      </c>
      <c r="AO1140" t="s">
        <v>2907</v>
      </c>
      <c r="AR1140" t="s">
        <v>2908</v>
      </c>
      <c r="AS1140" t="s">
        <v>2909</v>
      </c>
      <c r="AT1140" t="s">
        <v>305</v>
      </c>
      <c r="AU1140">
        <v>1995</v>
      </c>
      <c r="AV1140">
        <v>125</v>
      </c>
      <c r="AW1140" t="s">
        <v>2847</v>
      </c>
      <c r="BB1140">
        <v>127</v>
      </c>
      <c r="BC1140">
        <v>136</v>
      </c>
      <c r="BE1140" t="s">
        <v>18787</v>
      </c>
      <c r="BF1140" t="s">
        <v>18788</v>
      </c>
      <c r="BI1140">
        <v>10</v>
      </c>
      <c r="BJ1140" t="s">
        <v>2911</v>
      </c>
      <c r="BK1140" t="s">
        <v>96</v>
      </c>
      <c r="BL1140" t="s">
        <v>2912</v>
      </c>
      <c r="BM1140" t="s">
        <v>18789</v>
      </c>
      <c r="BO1140" t="s">
        <v>370</v>
      </c>
      <c r="BR1140" t="s">
        <v>98</v>
      </c>
      <c r="BS1140" t="s">
        <v>18790</v>
      </c>
      <c r="BT1140" t="s">
        <v>16602</v>
      </c>
    </row>
    <row r="1141" spans="1:72">
      <c r="A1141" t="s">
        <v>72</v>
      </c>
      <c r="B1141" t="s">
        <v>18791</v>
      </c>
      <c r="F1141" t="s">
        <v>18791</v>
      </c>
      <c r="I1141" t="s">
        <v>18792</v>
      </c>
      <c r="J1141" t="s">
        <v>1426</v>
      </c>
      <c r="M1141" t="s">
        <v>78</v>
      </c>
      <c r="N1141" t="s">
        <v>79</v>
      </c>
      <c r="V1141" t="s">
        <v>18793</v>
      </c>
      <c r="W1141" t="s">
        <v>18794</v>
      </c>
      <c r="X1141" t="s">
        <v>18795</v>
      </c>
      <c r="Y1141" t="s">
        <v>18796</v>
      </c>
      <c r="AA1141" t="s">
        <v>18797</v>
      </c>
      <c r="AB1141" t="s">
        <v>18798</v>
      </c>
      <c r="AG1141">
        <v>8</v>
      </c>
      <c r="AH1141">
        <v>18</v>
      </c>
      <c r="AI1141">
        <v>22</v>
      </c>
      <c r="AJ1141">
        <v>0</v>
      </c>
      <c r="AK1141">
        <v>1</v>
      </c>
      <c r="AL1141" t="s">
        <v>4870</v>
      </c>
      <c r="AM1141" t="s">
        <v>1434</v>
      </c>
      <c r="AN1141" t="s">
        <v>4871</v>
      </c>
      <c r="AO1141" t="s">
        <v>1436</v>
      </c>
      <c r="AR1141" t="s">
        <v>1437</v>
      </c>
      <c r="AS1141" t="s">
        <v>1438</v>
      </c>
      <c r="AT1141" t="s">
        <v>142</v>
      </c>
      <c r="AU1141">
        <v>1998</v>
      </c>
      <c r="AV1141">
        <v>27</v>
      </c>
      <c r="AW1141">
        <v>2</v>
      </c>
      <c r="BB1141">
        <v>201</v>
      </c>
      <c r="BC1141">
        <v>205</v>
      </c>
      <c r="BI1141">
        <v>5</v>
      </c>
      <c r="BJ1141" t="s">
        <v>1439</v>
      </c>
      <c r="BK1141" t="s">
        <v>96</v>
      </c>
      <c r="BL1141" t="s">
        <v>1439</v>
      </c>
      <c r="BM1141" t="s">
        <v>18799</v>
      </c>
      <c r="BR1141" t="s">
        <v>98</v>
      </c>
      <c r="BS1141" t="s">
        <v>18800</v>
      </c>
      <c r="BT1141" t="s">
        <v>16602</v>
      </c>
    </row>
    <row r="1142" spans="1:72">
      <c r="A1142" t="s">
        <v>72</v>
      </c>
      <c r="B1142" t="s">
        <v>18801</v>
      </c>
      <c r="F1142" t="s">
        <v>18801</v>
      </c>
      <c r="I1142" t="s">
        <v>18802</v>
      </c>
      <c r="J1142" t="s">
        <v>752</v>
      </c>
      <c r="M1142" t="s">
        <v>78</v>
      </c>
      <c r="N1142" t="s">
        <v>79</v>
      </c>
      <c r="V1142" t="s">
        <v>18803</v>
      </c>
      <c r="Y1142" t="s">
        <v>18804</v>
      </c>
      <c r="AG1142">
        <v>28</v>
      </c>
      <c r="AH1142">
        <v>15</v>
      </c>
      <c r="AI1142">
        <v>18</v>
      </c>
      <c r="AJ1142">
        <v>0</v>
      </c>
      <c r="AK1142">
        <v>8</v>
      </c>
      <c r="AL1142" t="s">
        <v>430</v>
      </c>
      <c r="AM1142" t="s">
        <v>7361</v>
      </c>
      <c r="AN1142" t="s">
        <v>7362</v>
      </c>
      <c r="AO1142" t="s">
        <v>761</v>
      </c>
      <c r="AP1142" t="s">
        <v>762</v>
      </c>
      <c r="AR1142" t="s">
        <v>763</v>
      </c>
      <c r="AS1142" t="s">
        <v>764</v>
      </c>
      <c r="AU1142">
        <v>1984</v>
      </c>
      <c r="AV1142">
        <v>11</v>
      </c>
      <c r="AW1142">
        <v>3</v>
      </c>
      <c r="BB1142">
        <v>153</v>
      </c>
      <c r="BC1142">
        <v>161</v>
      </c>
      <c r="BE1142" t="s">
        <v>18805</v>
      </c>
      <c r="BF1142" t="s">
        <v>18806</v>
      </c>
      <c r="BI1142">
        <v>9</v>
      </c>
      <c r="BJ1142" t="s">
        <v>768</v>
      </c>
      <c r="BK1142" t="s">
        <v>96</v>
      </c>
      <c r="BL1142" t="s">
        <v>769</v>
      </c>
      <c r="BM1142" t="s">
        <v>18807</v>
      </c>
      <c r="BR1142" t="s">
        <v>98</v>
      </c>
      <c r="BS1142" t="s">
        <v>18808</v>
      </c>
      <c r="BT1142" t="s">
        <v>16602</v>
      </c>
    </row>
    <row r="1143" spans="1:72">
      <c r="A1143" t="s">
        <v>72</v>
      </c>
      <c r="B1143" t="s">
        <v>18809</v>
      </c>
      <c r="F1143" t="s">
        <v>18810</v>
      </c>
      <c r="I1143" t="s">
        <v>18811</v>
      </c>
      <c r="J1143" t="s">
        <v>11045</v>
      </c>
      <c r="M1143" t="s">
        <v>78</v>
      </c>
      <c r="N1143" t="s">
        <v>79</v>
      </c>
      <c r="U1143" t="s">
        <v>18812</v>
      </c>
      <c r="V1143" t="s">
        <v>18813</v>
      </c>
      <c r="W1143" t="s">
        <v>18814</v>
      </c>
      <c r="X1143" t="s">
        <v>18815</v>
      </c>
      <c r="Y1143" t="s">
        <v>18816</v>
      </c>
      <c r="Z1143" t="s">
        <v>18817</v>
      </c>
      <c r="AA1143" t="s">
        <v>18818</v>
      </c>
      <c r="AB1143" t="s">
        <v>18819</v>
      </c>
      <c r="AC1143" t="s">
        <v>18820</v>
      </c>
      <c r="AD1143" t="s">
        <v>18820</v>
      </c>
      <c r="AE1143" t="s">
        <v>18821</v>
      </c>
      <c r="AG1143">
        <v>78</v>
      </c>
      <c r="AH1143">
        <v>10</v>
      </c>
      <c r="AI1143">
        <v>10</v>
      </c>
      <c r="AJ1143">
        <v>0</v>
      </c>
      <c r="AK1143">
        <v>25</v>
      </c>
      <c r="AL1143" t="s">
        <v>11056</v>
      </c>
      <c r="AM1143" t="s">
        <v>11057</v>
      </c>
      <c r="AN1143" t="s">
        <v>11058</v>
      </c>
      <c r="AO1143" t="s">
        <v>11059</v>
      </c>
      <c r="AR1143" t="s">
        <v>11045</v>
      </c>
      <c r="AS1143" t="s">
        <v>11060</v>
      </c>
      <c r="AT1143" t="s">
        <v>18822</v>
      </c>
      <c r="AU1143">
        <v>2015</v>
      </c>
      <c r="AV1143">
        <v>10</v>
      </c>
      <c r="AW1143">
        <v>6</v>
      </c>
      <c r="BD1143" t="s">
        <v>18823</v>
      </c>
      <c r="BE1143" t="s">
        <v>18824</v>
      </c>
      <c r="BF1143" t="s">
        <v>18825</v>
      </c>
      <c r="BI1143">
        <v>17</v>
      </c>
      <c r="BJ1143" t="s">
        <v>3202</v>
      </c>
      <c r="BK1143" t="s">
        <v>11915</v>
      </c>
      <c r="BL1143" t="s">
        <v>3203</v>
      </c>
      <c r="BM1143" t="s">
        <v>18826</v>
      </c>
      <c r="BN1143">
        <v>26098897</v>
      </c>
      <c r="BO1143" t="s">
        <v>18827</v>
      </c>
      <c r="BR1143" t="s">
        <v>98</v>
      </c>
      <c r="BS1143" t="s">
        <v>18828</v>
      </c>
      <c r="BT1143" t="s">
        <v>16602</v>
      </c>
    </row>
    <row r="1144" spans="1:72">
      <c r="A1144" t="s">
        <v>72</v>
      </c>
      <c r="B1144" t="s">
        <v>18829</v>
      </c>
      <c r="F1144" t="s">
        <v>18829</v>
      </c>
      <c r="I1144" t="s">
        <v>18830</v>
      </c>
      <c r="J1144" t="s">
        <v>3005</v>
      </c>
      <c r="M1144" t="s">
        <v>78</v>
      </c>
      <c r="N1144" t="s">
        <v>79</v>
      </c>
      <c r="V1144" t="s">
        <v>18831</v>
      </c>
      <c r="Y1144" t="s">
        <v>18832</v>
      </c>
      <c r="AG1144">
        <v>0</v>
      </c>
      <c r="AH1144">
        <v>70</v>
      </c>
      <c r="AI1144">
        <v>76</v>
      </c>
      <c r="AJ1144">
        <v>0</v>
      </c>
      <c r="AK1144">
        <v>0</v>
      </c>
      <c r="AL1144" t="s">
        <v>2904</v>
      </c>
      <c r="AM1144" t="s">
        <v>2905</v>
      </c>
      <c r="AN1144" t="s">
        <v>2906</v>
      </c>
      <c r="AO1144" t="s">
        <v>3010</v>
      </c>
      <c r="AP1144" t="s">
        <v>18833</v>
      </c>
      <c r="AR1144" t="s">
        <v>3011</v>
      </c>
      <c r="AS1144" t="s">
        <v>3012</v>
      </c>
      <c r="AT1144" t="s">
        <v>18834</v>
      </c>
      <c r="AU1144">
        <v>1989</v>
      </c>
      <c r="AV1144">
        <v>6</v>
      </c>
      <c r="AW1144">
        <v>2</v>
      </c>
      <c r="BB1144">
        <v>131</v>
      </c>
      <c r="BC1144">
        <v>136</v>
      </c>
      <c r="BE1144" t="s">
        <v>18835</v>
      </c>
      <c r="BF1144" t="s">
        <v>18836</v>
      </c>
      <c r="BI1144">
        <v>6</v>
      </c>
      <c r="BJ1144" t="s">
        <v>368</v>
      </c>
      <c r="BK1144" t="s">
        <v>96</v>
      </c>
      <c r="BL1144" t="s">
        <v>368</v>
      </c>
      <c r="BM1144" t="s">
        <v>18837</v>
      </c>
      <c r="BO1144" t="s">
        <v>370</v>
      </c>
      <c r="BR1144" t="s">
        <v>98</v>
      </c>
      <c r="BS1144" t="s">
        <v>18838</v>
      </c>
      <c r="BT1144" t="s">
        <v>16602</v>
      </c>
    </row>
    <row r="1145" spans="1:72">
      <c r="A1145" t="s">
        <v>72</v>
      </c>
      <c r="B1145" t="s">
        <v>18839</v>
      </c>
      <c r="F1145" t="s">
        <v>18840</v>
      </c>
      <c r="I1145" t="s">
        <v>18841</v>
      </c>
      <c r="J1145" t="s">
        <v>18842</v>
      </c>
      <c r="M1145" t="s">
        <v>78</v>
      </c>
      <c r="N1145" t="s">
        <v>79</v>
      </c>
      <c r="T1145" t="s">
        <v>18843</v>
      </c>
      <c r="U1145" t="s">
        <v>18844</v>
      </c>
      <c r="V1145" t="s">
        <v>18845</v>
      </c>
      <c r="W1145" t="s">
        <v>18846</v>
      </c>
      <c r="X1145" t="s">
        <v>18847</v>
      </c>
      <c r="Y1145" t="s">
        <v>18848</v>
      </c>
      <c r="Z1145" t="s">
        <v>18849</v>
      </c>
      <c r="AA1145" t="s">
        <v>18850</v>
      </c>
      <c r="AB1145" t="s">
        <v>18851</v>
      </c>
      <c r="AC1145" t="s">
        <v>18852</v>
      </c>
      <c r="AD1145" t="s">
        <v>18853</v>
      </c>
      <c r="AE1145" t="s">
        <v>18854</v>
      </c>
      <c r="AG1145">
        <v>39</v>
      </c>
      <c r="AH1145">
        <v>62</v>
      </c>
      <c r="AI1145">
        <v>66</v>
      </c>
      <c r="AJ1145">
        <v>10</v>
      </c>
      <c r="AK1145">
        <v>220</v>
      </c>
      <c r="AL1145" t="s">
        <v>4471</v>
      </c>
      <c r="AM1145" t="s">
        <v>4472</v>
      </c>
      <c r="AN1145" t="s">
        <v>4473</v>
      </c>
      <c r="AO1145" t="s">
        <v>18855</v>
      </c>
      <c r="AP1145" t="s">
        <v>18856</v>
      </c>
      <c r="AR1145" t="s">
        <v>18857</v>
      </c>
      <c r="AS1145" t="s">
        <v>18858</v>
      </c>
      <c r="AT1145" t="s">
        <v>18859</v>
      </c>
      <c r="AU1145">
        <v>2017</v>
      </c>
      <c r="AV1145">
        <v>9</v>
      </c>
      <c r="AW1145">
        <v>41</v>
      </c>
      <c r="BB1145">
        <v>35785</v>
      </c>
      <c r="BC1145">
        <v>35793</v>
      </c>
      <c r="BE1145" t="s">
        <v>18860</v>
      </c>
      <c r="BF1145" t="s">
        <v>18861</v>
      </c>
      <c r="BI1145">
        <v>9</v>
      </c>
      <c r="BJ1145" t="s">
        <v>18862</v>
      </c>
      <c r="BK1145" t="s">
        <v>96</v>
      </c>
      <c r="BL1145" t="s">
        <v>18863</v>
      </c>
      <c r="BM1145" t="s">
        <v>18864</v>
      </c>
      <c r="BN1145">
        <v>28948773</v>
      </c>
      <c r="BR1145" t="s">
        <v>98</v>
      </c>
      <c r="BS1145" t="s">
        <v>18865</v>
      </c>
      <c r="BT1145" t="s">
        <v>16602</v>
      </c>
    </row>
    <row r="1146" spans="1:72">
      <c r="A1146" t="s">
        <v>72</v>
      </c>
      <c r="B1146" t="s">
        <v>18866</v>
      </c>
      <c r="F1146" t="s">
        <v>18867</v>
      </c>
      <c r="I1146" t="s">
        <v>18868</v>
      </c>
      <c r="J1146" t="s">
        <v>958</v>
      </c>
      <c r="M1146" t="s">
        <v>78</v>
      </c>
      <c r="N1146" t="s">
        <v>79</v>
      </c>
      <c r="T1146" t="s">
        <v>18869</v>
      </c>
      <c r="U1146" t="s">
        <v>18870</v>
      </c>
      <c r="V1146" t="s">
        <v>18871</v>
      </c>
      <c r="W1146" t="s">
        <v>18872</v>
      </c>
      <c r="X1146" t="s">
        <v>18873</v>
      </c>
      <c r="Y1146" t="s">
        <v>18874</v>
      </c>
      <c r="Z1146" t="s">
        <v>18875</v>
      </c>
      <c r="AA1146" t="s">
        <v>18876</v>
      </c>
      <c r="AB1146" t="s">
        <v>18877</v>
      </c>
      <c r="AC1146" t="s">
        <v>18878</v>
      </c>
      <c r="AD1146" t="s">
        <v>18879</v>
      </c>
      <c r="AE1146" t="s">
        <v>18880</v>
      </c>
      <c r="AG1146">
        <v>63</v>
      </c>
      <c r="AH1146">
        <v>2</v>
      </c>
      <c r="AI1146">
        <v>2</v>
      </c>
      <c r="AJ1146">
        <v>0</v>
      </c>
      <c r="AK1146">
        <v>26</v>
      </c>
      <c r="AL1146" t="s">
        <v>4153</v>
      </c>
      <c r="AM1146" t="s">
        <v>87</v>
      </c>
      <c r="AN1146" t="s">
        <v>88</v>
      </c>
      <c r="AO1146" t="s">
        <v>967</v>
      </c>
      <c r="AP1146" t="s">
        <v>968</v>
      </c>
      <c r="AR1146" t="s">
        <v>969</v>
      </c>
      <c r="AS1146" t="s">
        <v>970</v>
      </c>
      <c r="AT1146" t="s">
        <v>951</v>
      </c>
      <c r="AU1146">
        <v>2014</v>
      </c>
      <c r="AV1146">
        <v>29</v>
      </c>
      <c r="AW1146">
        <v>11</v>
      </c>
      <c r="BB1146">
        <v>1245</v>
      </c>
      <c r="BC1146">
        <v>1261</v>
      </c>
      <c r="BE1146" t="s">
        <v>18881</v>
      </c>
      <c r="BF1146" t="s">
        <v>18882</v>
      </c>
      <c r="BI1146">
        <v>17</v>
      </c>
      <c r="BJ1146" t="s">
        <v>972</v>
      </c>
      <c r="BK1146" t="s">
        <v>96</v>
      </c>
      <c r="BL1146" t="s">
        <v>973</v>
      </c>
      <c r="BM1146" t="s">
        <v>18883</v>
      </c>
      <c r="BN1146">
        <v>23450722</v>
      </c>
      <c r="BR1146" t="s">
        <v>98</v>
      </c>
      <c r="BS1146" t="s">
        <v>18884</v>
      </c>
      <c r="BT1146" t="s">
        <v>16602</v>
      </c>
    </row>
    <row r="1147" spans="1:72">
      <c r="A1147" t="s">
        <v>72</v>
      </c>
      <c r="B1147" t="s">
        <v>18885</v>
      </c>
      <c r="F1147" t="s">
        <v>18886</v>
      </c>
      <c r="I1147" t="s">
        <v>18887</v>
      </c>
      <c r="J1147" t="s">
        <v>232</v>
      </c>
      <c r="M1147" t="s">
        <v>78</v>
      </c>
      <c r="N1147" t="s">
        <v>79</v>
      </c>
      <c r="T1147" t="s">
        <v>18888</v>
      </c>
      <c r="U1147" t="s">
        <v>18889</v>
      </c>
      <c r="V1147" t="s">
        <v>18890</v>
      </c>
      <c r="W1147" t="s">
        <v>18891</v>
      </c>
      <c r="X1147" t="s">
        <v>12498</v>
      </c>
      <c r="Y1147" t="s">
        <v>18892</v>
      </c>
      <c r="Z1147" t="s">
        <v>18893</v>
      </c>
      <c r="AA1147" t="s">
        <v>18894</v>
      </c>
      <c r="AB1147" t="s">
        <v>18895</v>
      </c>
      <c r="AG1147">
        <v>47</v>
      </c>
      <c r="AH1147">
        <v>70</v>
      </c>
      <c r="AI1147">
        <v>79</v>
      </c>
      <c r="AJ1147">
        <v>1</v>
      </c>
      <c r="AK1147">
        <v>36</v>
      </c>
      <c r="AL1147" t="s">
        <v>136</v>
      </c>
      <c r="AM1147" t="s">
        <v>137</v>
      </c>
      <c r="AN1147" t="s">
        <v>138</v>
      </c>
      <c r="AO1147" t="s">
        <v>240</v>
      </c>
      <c r="AP1147" t="s">
        <v>241</v>
      </c>
      <c r="AR1147" t="s">
        <v>242</v>
      </c>
      <c r="AS1147" t="s">
        <v>243</v>
      </c>
      <c r="AT1147" t="s">
        <v>142</v>
      </c>
      <c r="AU1147">
        <v>2009</v>
      </c>
      <c r="AV1147">
        <v>58</v>
      </c>
      <c r="AW1147">
        <v>6</v>
      </c>
      <c r="BB1147">
        <v>832</v>
      </c>
      <c r="BC1147">
        <v>840</v>
      </c>
      <c r="BE1147" t="s">
        <v>18896</v>
      </c>
      <c r="BF1147" t="s">
        <v>18897</v>
      </c>
      <c r="BI1147">
        <v>9</v>
      </c>
      <c r="BJ1147" t="s">
        <v>247</v>
      </c>
      <c r="BK1147" t="s">
        <v>96</v>
      </c>
      <c r="BL1147" t="s">
        <v>248</v>
      </c>
      <c r="BM1147" t="s">
        <v>18898</v>
      </c>
      <c r="BN1147">
        <v>19261303</v>
      </c>
      <c r="BR1147" t="s">
        <v>98</v>
      </c>
      <c r="BS1147" t="s">
        <v>18899</v>
      </c>
      <c r="BT1147" t="s">
        <v>16602</v>
      </c>
    </row>
    <row r="1148" spans="1:72">
      <c r="A1148" t="s">
        <v>72</v>
      </c>
      <c r="B1148" t="s">
        <v>18900</v>
      </c>
      <c r="F1148" t="s">
        <v>18901</v>
      </c>
      <c r="I1148" t="s">
        <v>18902</v>
      </c>
      <c r="J1148" t="s">
        <v>232</v>
      </c>
      <c r="M1148" t="s">
        <v>78</v>
      </c>
      <c r="N1148" t="s">
        <v>79</v>
      </c>
      <c r="T1148" t="s">
        <v>18903</v>
      </c>
      <c r="V1148" t="s">
        <v>18904</v>
      </c>
      <c r="W1148" t="s">
        <v>18905</v>
      </c>
      <c r="X1148" t="s">
        <v>18906</v>
      </c>
      <c r="Y1148" t="s">
        <v>18907</v>
      </c>
      <c r="Z1148" t="s">
        <v>18908</v>
      </c>
      <c r="AA1148" t="s">
        <v>18909</v>
      </c>
      <c r="AB1148" t="s">
        <v>18910</v>
      </c>
      <c r="AG1148">
        <v>41</v>
      </c>
      <c r="AH1148">
        <v>3</v>
      </c>
      <c r="AI1148">
        <v>3</v>
      </c>
      <c r="AJ1148">
        <v>0</v>
      </c>
      <c r="AK1148">
        <v>9</v>
      </c>
      <c r="AL1148" t="s">
        <v>136</v>
      </c>
      <c r="AM1148" t="s">
        <v>137</v>
      </c>
      <c r="AN1148" t="s">
        <v>138</v>
      </c>
      <c r="AO1148" t="s">
        <v>240</v>
      </c>
      <c r="AP1148" t="s">
        <v>241</v>
      </c>
      <c r="AR1148" t="s">
        <v>242</v>
      </c>
      <c r="AS1148" t="s">
        <v>243</v>
      </c>
      <c r="AT1148" t="s">
        <v>224</v>
      </c>
      <c r="AU1148">
        <v>2021</v>
      </c>
      <c r="AV1148">
        <v>163</v>
      </c>
      <c r="BD1148">
        <v>111959</v>
      </c>
      <c r="BE1148" t="s">
        <v>18911</v>
      </c>
      <c r="BF1148" t="s">
        <v>18912</v>
      </c>
      <c r="BH1148" t="s">
        <v>2597</v>
      </c>
      <c r="BI1148">
        <v>6</v>
      </c>
      <c r="BJ1148" t="s">
        <v>247</v>
      </c>
      <c r="BK1148" t="s">
        <v>96</v>
      </c>
      <c r="BL1148" t="s">
        <v>248</v>
      </c>
      <c r="BM1148" t="s">
        <v>17084</v>
      </c>
      <c r="BN1148">
        <v>33450444</v>
      </c>
      <c r="BR1148" t="s">
        <v>98</v>
      </c>
      <c r="BS1148" t="s">
        <v>18913</v>
      </c>
      <c r="BT1148" t="s">
        <v>16602</v>
      </c>
    </row>
    <row r="1149" spans="1:72">
      <c r="A1149" t="s">
        <v>72</v>
      </c>
      <c r="B1149" t="s">
        <v>18914</v>
      </c>
      <c r="F1149" t="s">
        <v>18915</v>
      </c>
      <c r="I1149" t="s">
        <v>18916</v>
      </c>
      <c r="J1149" t="s">
        <v>204</v>
      </c>
      <c r="M1149" t="s">
        <v>78</v>
      </c>
      <c r="N1149" t="s">
        <v>79</v>
      </c>
      <c r="T1149" t="s">
        <v>18917</v>
      </c>
      <c r="U1149" t="s">
        <v>18918</v>
      </c>
      <c r="V1149" t="s">
        <v>18919</v>
      </c>
      <c r="W1149" t="s">
        <v>18920</v>
      </c>
      <c r="X1149" t="s">
        <v>18921</v>
      </c>
      <c r="Y1149" t="s">
        <v>18922</v>
      </c>
      <c r="Z1149" t="s">
        <v>18923</v>
      </c>
      <c r="AA1149" t="s">
        <v>7862</v>
      </c>
      <c r="AB1149" t="s">
        <v>18924</v>
      </c>
      <c r="AC1149" t="s">
        <v>18925</v>
      </c>
      <c r="AD1149" t="s">
        <v>7865</v>
      </c>
      <c r="AE1149" t="s">
        <v>18926</v>
      </c>
      <c r="AG1149">
        <v>98</v>
      </c>
      <c r="AH1149">
        <v>20</v>
      </c>
      <c r="AI1149">
        <v>21</v>
      </c>
      <c r="AJ1149">
        <v>1</v>
      </c>
      <c r="AK1149">
        <v>13</v>
      </c>
      <c r="AL1149" t="s">
        <v>217</v>
      </c>
      <c r="AM1149" t="s">
        <v>218</v>
      </c>
      <c r="AN1149" t="s">
        <v>219</v>
      </c>
      <c r="AO1149" t="s">
        <v>220</v>
      </c>
      <c r="AP1149" t="s">
        <v>221</v>
      </c>
      <c r="AR1149" t="s">
        <v>222</v>
      </c>
      <c r="AS1149" t="s">
        <v>223</v>
      </c>
      <c r="AT1149" t="s">
        <v>142</v>
      </c>
      <c r="AU1149">
        <v>2017</v>
      </c>
      <c r="AV1149">
        <v>24</v>
      </c>
      <c r="AW1149">
        <v>18</v>
      </c>
      <c r="BB1149">
        <v>15781</v>
      </c>
      <c r="BC1149">
        <v>15793</v>
      </c>
      <c r="BE1149" t="s">
        <v>18927</v>
      </c>
      <c r="BF1149" t="s">
        <v>18928</v>
      </c>
      <c r="BI1149">
        <v>13</v>
      </c>
      <c r="BJ1149" t="s">
        <v>144</v>
      </c>
      <c r="BK1149" t="s">
        <v>96</v>
      </c>
      <c r="BL1149" t="s">
        <v>145</v>
      </c>
      <c r="BM1149" t="s">
        <v>18929</v>
      </c>
      <c r="BN1149">
        <v>28528504</v>
      </c>
      <c r="BR1149" t="s">
        <v>98</v>
      </c>
      <c r="BS1149" t="s">
        <v>18930</v>
      </c>
      <c r="BT1149" t="s">
        <v>16602</v>
      </c>
    </row>
    <row r="1150" spans="1:72">
      <c r="A1150" t="s">
        <v>72</v>
      </c>
      <c r="B1150" t="s">
        <v>18931</v>
      </c>
      <c r="F1150" t="s">
        <v>18931</v>
      </c>
      <c r="I1150" t="s">
        <v>18932</v>
      </c>
      <c r="J1150" t="s">
        <v>752</v>
      </c>
      <c r="M1150" t="s">
        <v>78</v>
      </c>
      <c r="N1150" t="s">
        <v>151</v>
      </c>
      <c r="O1150" t="s">
        <v>9548</v>
      </c>
      <c r="P1150" t="s">
        <v>9549</v>
      </c>
      <c r="Q1150" t="s">
        <v>9550</v>
      </c>
      <c r="S1150" t="s">
        <v>9551</v>
      </c>
      <c r="T1150" t="s">
        <v>18933</v>
      </c>
      <c r="U1150" t="s">
        <v>18934</v>
      </c>
      <c r="V1150" t="s">
        <v>18935</v>
      </c>
      <c r="W1150" t="s">
        <v>18936</v>
      </c>
      <c r="X1150" t="s">
        <v>18937</v>
      </c>
      <c r="Y1150" t="s">
        <v>18938</v>
      </c>
      <c r="AC1150" t="s">
        <v>18939</v>
      </c>
      <c r="AD1150" t="s">
        <v>18940</v>
      </c>
      <c r="AG1150">
        <v>6</v>
      </c>
      <c r="AH1150">
        <v>10</v>
      </c>
      <c r="AI1150">
        <v>11</v>
      </c>
      <c r="AJ1150">
        <v>0</v>
      </c>
      <c r="AK1150">
        <v>6</v>
      </c>
      <c r="AL1150" t="s">
        <v>430</v>
      </c>
      <c r="AM1150" t="s">
        <v>137</v>
      </c>
      <c r="AN1150" t="s">
        <v>431</v>
      </c>
      <c r="AO1150" t="s">
        <v>761</v>
      </c>
      <c r="AR1150" t="s">
        <v>763</v>
      </c>
      <c r="AS1150" t="s">
        <v>764</v>
      </c>
      <c r="AT1150" t="s">
        <v>5113</v>
      </c>
      <c r="AU1150">
        <v>2000</v>
      </c>
      <c r="AV1150">
        <v>50</v>
      </c>
      <c r="AW1150" t="s">
        <v>9558</v>
      </c>
      <c r="BB1150">
        <v>295</v>
      </c>
      <c r="BC1150">
        <v>300</v>
      </c>
      <c r="BE1150" t="s">
        <v>18941</v>
      </c>
      <c r="BF1150" t="s">
        <v>18942</v>
      </c>
      <c r="BI1150">
        <v>6</v>
      </c>
      <c r="BJ1150" t="s">
        <v>768</v>
      </c>
      <c r="BK1150" t="s">
        <v>588</v>
      </c>
      <c r="BL1150" t="s">
        <v>769</v>
      </c>
      <c r="BM1150" t="s">
        <v>9560</v>
      </c>
      <c r="BN1150">
        <v>11460708</v>
      </c>
      <c r="BR1150" t="s">
        <v>98</v>
      </c>
      <c r="BS1150" t="s">
        <v>18943</v>
      </c>
      <c r="BT1150" t="s">
        <v>16602</v>
      </c>
    </row>
    <row r="1151" spans="1:72">
      <c r="A1151" t="s">
        <v>72</v>
      </c>
      <c r="B1151" t="s">
        <v>18944</v>
      </c>
      <c r="F1151" t="s">
        <v>18945</v>
      </c>
      <c r="I1151" t="s">
        <v>18946</v>
      </c>
      <c r="J1151" t="s">
        <v>3349</v>
      </c>
      <c r="M1151" t="s">
        <v>78</v>
      </c>
      <c r="N1151" t="s">
        <v>79</v>
      </c>
      <c r="T1151" t="s">
        <v>18947</v>
      </c>
      <c r="U1151" t="s">
        <v>18948</v>
      </c>
      <c r="V1151" t="s">
        <v>18949</v>
      </c>
      <c r="W1151" t="s">
        <v>18950</v>
      </c>
      <c r="X1151" t="s">
        <v>18951</v>
      </c>
      <c r="Y1151" t="s">
        <v>18952</v>
      </c>
      <c r="Z1151" t="s">
        <v>18953</v>
      </c>
      <c r="AA1151" t="s">
        <v>18954</v>
      </c>
      <c r="AC1151" t="s">
        <v>18955</v>
      </c>
      <c r="AD1151" t="s">
        <v>18956</v>
      </c>
      <c r="AE1151" t="s">
        <v>18957</v>
      </c>
      <c r="AG1151">
        <v>49</v>
      </c>
      <c r="AH1151">
        <v>18</v>
      </c>
      <c r="AI1151">
        <v>18</v>
      </c>
      <c r="AJ1151">
        <v>2</v>
      </c>
      <c r="AK1151">
        <v>39</v>
      </c>
      <c r="AL1151" t="s">
        <v>3362</v>
      </c>
      <c r="AM1151" t="s">
        <v>3363</v>
      </c>
      <c r="AN1151" t="s">
        <v>3364</v>
      </c>
      <c r="AO1151" t="s">
        <v>3365</v>
      </c>
      <c r="AP1151" t="s">
        <v>3366</v>
      </c>
      <c r="AR1151" t="s">
        <v>3367</v>
      </c>
      <c r="AS1151" t="s">
        <v>3368</v>
      </c>
      <c r="AT1151" t="s">
        <v>387</v>
      </c>
      <c r="AU1151">
        <v>2019</v>
      </c>
      <c r="AV1151">
        <v>172</v>
      </c>
      <c r="BB1151">
        <v>514</v>
      </c>
      <c r="BC1151">
        <v>522</v>
      </c>
      <c r="BE1151" t="s">
        <v>18958</v>
      </c>
      <c r="BF1151" t="s">
        <v>18959</v>
      </c>
      <c r="BI1151">
        <v>9</v>
      </c>
      <c r="BJ1151" t="s">
        <v>121</v>
      </c>
      <c r="BK1151" t="s">
        <v>96</v>
      </c>
      <c r="BL1151" t="s">
        <v>122</v>
      </c>
      <c r="BM1151" t="s">
        <v>18960</v>
      </c>
      <c r="BN1151">
        <v>30743167</v>
      </c>
      <c r="BO1151" t="s">
        <v>18961</v>
      </c>
      <c r="BR1151" t="s">
        <v>98</v>
      </c>
      <c r="BS1151" t="s">
        <v>18962</v>
      </c>
      <c r="BT1151" t="s">
        <v>16602</v>
      </c>
    </row>
    <row r="1152" spans="1:72">
      <c r="A1152" t="s">
        <v>72</v>
      </c>
      <c r="B1152" t="s">
        <v>18963</v>
      </c>
      <c r="F1152" t="s">
        <v>18963</v>
      </c>
      <c r="I1152" t="s">
        <v>18964</v>
      </c>
      <c r="J1152" t="s">
        <v>232</v>
      </c>
      <c r="M1152" t="s">
        <v>78</v>
      </c>
      <c r="N1152" t="s">
        <v>79</v>
      </c>
      <c r="T1152" t="s">
        <v>18965</v>
      </c>
      <c r="U1152" t="s">
        <v>18966</v>
      </c>
      <c r="V1152" t="s">
        <v>18967</v>
      </c>
      <c r="W1152" t="s">
        <v>18968</v>
      </c>
      <c r="X1152" t="s">
        <v>10809</v>
      </c>
      <c r="Y1152" t="s">
        <v>18969</v>
      </c>
      <c r="AG1152">
        <v>21</v>
      </c>
      <c r="AH1152">
        <v>33</v>
      </c>
      <c r="AI1152">
        <v>37</v>
      </c>
      <c r="AJ1152">
        <v>0</v>
      </c>
      <c r="AK1152">
        <v>15</v>
      </c>
      <c r="AL1152" t="s">
        <v>136</v>
      </c>
      <c r="AM1152" t="s">
        <v>137</v>
      </c>
      <c r="AN1152" t="s">
        <v>138</v>
      </c>
      <c r="AO1152" t="s">
        <v>240</v>
      </c>
      <c r="AP1152" t="s">
        <v>241</v>
      </c>
      <c r="AR1152" t="s">
        <v>242</v>
      </c>
      <c r="AS1152" t="s">
        <v>243</v>
      </c>
      <c r="AU1152">
        <v>1998</v>
      </c>
      <c r="AV1152">
        <v>37</v>
      </c>
      <c r="AW1152" t="s">
        <v>326</v>
      </c>
      <c r="BB1152">
        <v>6</v>
      </c>
      <c r="BC1152">
        <v>13</v>
      </c>
      <c r="BE1152" t="s">
        <v>18970</v>
      </c>
      <c r="BF1152" t="s">
        <v>18971</v>
      </c>
      <c r="BI1152">
        <v>8</v>
      </c>
      <c r="BJ1152" t="s">
        <v>247</v>
      </c>
      <c r="BK1152" t="s">
        <v>96</v>
      </c>
      <c r="BL1152" t="s">
        <v>248</v>
      </c>
      <c r="BM1152" t="s">
        <v>10813</v>
      </c>
      <c r="BR1152" t="s">
        <v>98</v>
      </c>
      <c r="BS1152" t="s">
        <v>18972</v>
      </c>
      <c r="BT1152" t="s">
        <v>16602</v>
      </c>
    </row>
    <row r="1153" spans="1:72">
      <c r="A1153" t="s">
        <v>72</v>
      </c>
      <c r="B1153" t="s">
        <v>18973</v>
      </c>
      <c r="F1153" t="s">
        <v>18974</v>
      </c>
      <c r="I1153" t="s">
        <v>18975</v>
      </c>
      <c r="J1153" t="s">
        <v>909</v>
      </c>
      <c r="M1153" t="s">
        <v>78</v>
      </c>
      <c r="N1153" t="s">
        <v>79</v>
      </c>
      <c r="T1153" t="s">
        <v>18976</v>
      </c>
      <c r="U1153" t="s">
        <v>18977</v>
      </c>
      <c r="V1153" t="s">
        <v>18978</v>
      </c>
      <c r="W1153" t="s">
        <v>18979</v>
      </c>
      <c r="X1153" t="s">
        <v>18980</v>
      </c>
      <c r="Y1153" t="s">
        <v>18981</v>
      </c>
      <c r="Z1153" t="s">
        <v>18982</v>
      </c>
      <c r="AA1153" t="s">
        <v>18983</v>
      </c>
      <c r="AB1153" t="s">
        <v>18984</v>
      </c>
      <c r="AC1153" t="s">
        <v>18985</v>
      </c>
      <c r="AD1153" t="s">
        <v>18986</v>
      </c>
      <c r="AE1153" t="s">
        <v>18987</v>
      </c>
      <c r="AG1153">
        <v>92</v>
      </c>
      <c r="AH1153">
        <v>11</v>
      </c>
      <c r="AI1153">
        <v>11</v>
      </c>
      <c r="AJ1153">
        <v>0</v>
      </c>
      <c r="AK1153">
        <v>17</v>
      </c>
      <c r="AL1153" t="s">
        <v>650</v>
      </c>
      <c r="AM1153" t="s">
        <v>651</v>
      </c>
      <c r="AN1153" t="s">
        <v>652</v>
      </c>
      <c r="AO1153" t="s">
        <v>921</v>
      </c>
      <c r="AP1153" t="s">
        <v>922</v>
      </c>
      <c r="AR1153" t="s">
        <v>923</v>
      </c>
      <c r="AS1153" t="s">
        <v>924</v>
      </c>
      <c r="AT1153" t="s">
        <v>18988</v>
      </c>
      <c r="AU1153">
        <v>2022</v>
      </c>
      <c r="AV1153">
        <v>838</v>
      </c>
      <c r="AX1153">
        <v>4</v>
      </c>
      <c r="BD1153">
        <v>156522</v>
      </c>
      <c r="BE1153" t="s">
        <v>18989</v>
      </c>
      <c r="BF1153" t="s">
        <v>18990</v>
      </c>
      <c r="BH1153" t="s">
        <v>18991</v>
      </c>
      <c r="BI1153">
        <v>11</v>
      </c>
      <c r="BJ1153" t="s">
        <v>144</v>
      </c>
      <c r="BK1153" t="s">
        <v>96</v>
      </c>
      <c r="BL1153" t="s">
        <v>145</v>
      </c>
      <c r="BM1153" t="s">
        <v>18992</v>
      </c>
      <c r="BN1153">
        <v>35679944</v>
      </c>
      <c r="BR1153" t="s">
        <v>98</v>
      </c>
      <c r="BS1153" t="s">
        <v>18993</v>
      </c>
      <c r="BT1153" t="s">
        <v>16602</v>
      </c>
    </row>
    <row r="1154" spans="1:72">
      <c r="A1154" t="s">
        <v>72</v>
      </c>
      <c r="B1154" t="s">
        <v>18994</v>
      </c>
      <c r="F1154" t="s">
        <v>18995</v>
      </c>
      <c r="I1154" t="s">
        <v>18996</v>
      </c>
      <c r="J1154" t="s">
        <v>103</v>
      </c>
      <c r="M1154" t="s">
        <v>78</v>
      </c>
      <c r="N1154" t="s">
        <v>79</v>
      </c>
      <c r="T1154" t="s">
        <v>18997</v>
      </c>
      <c r="U1154" t="s">
        <v>18998</v>
      </c>
      <c r="V1154" t="s">
        <v>18999</v>
      </c>
      <c r="W1154" t="s">
        <v>19000</v>
      </c>
      <c r="X1154" t="s">
        <v>19001</v>
      </c>
      <c r="Y1154" t="s">
        <v>19002</v>
      </c>
      <c r="Z1154" t="s">
        <v>19003</v>
      </c>
      <c r="AA1154" t="s">
        <v>19004</v>
      </c>
      <c r="AB1154" t="s">
        <v>19005</v>
      </c>
      <c r="AG1154">
        <v>51</v>
      </c>
      <c r="AH1154">
        <v>4</v>
      </c>
      <c r="AI1154">
        <v>4</v>
      </c>
      <c r="AJ1154">
        <v>23</v>
      </c>
      <c r="AK1154">
        <v>35</v>
      </c>
      <c r="AL1154" t="s">
        <v>112</v>
      </c>
      <c r="AM1154" t="s">
        <v>113</v>
      </c>
      <c r="AN1154" t="s">
        <v>114</v>
      </c>
      <c r="AO1154" t="s">
        <v>115</v>
      </c>
      <c r="AP1154" t="s">
        <v>116</v>
      </c>
      <c r="AR1154" t="s">
        <v>117</v>
      </c>
      <c r="AS1154" t="s">
        <v>118</v>
      </c>
      <c r="AT1154" t="s">
        <v>951</v>
      </c>
      <c r="AU1154">
        <v>2022</v>
      </c>
      <c r="AV1154">
        <v>109</v>
      </c>
      <c r="AW1154">
        <v>5</v>
      </c>
      <c r="AZ1154" t="s">
        <v>225</v>
      </c>
      <c r="BB1154">
        <v>799</v>
      </c>
      <c r="BC1154">
        <v>807</v>
      </c>
      <c r="BE1154" t="s">
        <v>19006</v>
      </c>
      <c r="BF1154" t="s">
        <v>19007</v>
      </c>
      <c r="BH1154" t="s">
        <v>13858</v>
      </c>
      <c r="BI1154">
        <v>9</v>
      </c>
      <c r="BJ1154" t="s">
        <v>121</v>
      </c>
      <c r="BK1154" t="s">
        <v>96</v>
      </c>
      <c r="BL1154" t="s">
        <v>122</v>
      </c>
      <c r="BM1154" t="s">
        <v>18777</v>
      </c>
      <c r="BN1154">
        <v>35960314</v>
      </c>
      <c r="BR1154" t="s">
        <v>98</v>
      </c>
      <c r="BS1154" t="s">
        <v>19008</v>
      </c>
      <c r="BT1154" t="s">
        <v>16602</v>
      </c>
    </row>
    <row r="1155" spans="1:72">
      <c r="A1155" t="s">
        <v>72</v>
      </c>
      <c r="B1155" t="s">
        <v>19009</v>
      </c>
      <c r="F1155" t="s">
        <v>19010</v>
      </c>
      <c r="I1155" t="s">
        <v>19011</v>
      </c>
      <c r="J1155" t="s">
        <v>595</v>
      </c>
      <c r="M1155" t="s">
        <v>78</v>
      </c>
      <c r="N1155" t="s">
        <v>79</v>
      </c>
      <c r="T1155" t="s">
        <v>19012</v>
      </c>
      <c r="U1155" t="s">
        <v>19013</v>
      </c>
      <c r="V1155" t="s">
        <v>19014</v>
      </c>
      <c r="W1155" t="s">
        <v>19015</v>
      </c>
      <c r="X1155" t="s">
        <v>8999</v>
      </c>
      <c r="Y1155" t="s">
        <v>19016</v>
      </c>
      <c r="Z1155" t="s">
        <v>19017</v>
      </c>
      <c r="AA1155" t="s">
        <v>19018</v>
      </c>
      <c r="AB1155" t="s">
        <v>19019</v>
      </c>
      <c r="AG1155">
        <v>32</v>
      </c>
      <c r="AH1155">
        <v>35</v>
      </c>
      <c r="AI1155">
        <v>37</v>
      </c>
      <c r="AJ1155">
        <v>1</v>
      </c>
      <c r="AK1155">
        <v>37</v>
      </c>
      <c r="AL1155" t="s">
        <v>112</v>
      </c>
      <c r="AM1155" t="s">
        <v>191</v>
      </c>
      <c r="AN1155" t="s">
        <v>192</v>
      </c>
      <c r="AO1155" t="s">
        <v>608</v>
      </c>
      <c r="AP1155" t="s">
        <v>609</v>
      </c>
      <c r="AR1155" t="s">
        <v>595</v>
      </c>
      <c r="AS1155" t="s">
        <v>610</v>
      </c>
      <c r="AT1155" t="s">
        <v>1223</v>
      </c>
      <c r="AU1155">
        <v>2007</v>
      </c>
      <c r="AV1155">
        <v>16</v>
      </c>
      <c r="AW1155">
        <v>2</v>
      </c>
      <c r="BB1155">
        <v>239</v>
      </c>
      <c r="BC1155">
        <v>246</v>
      </c>
      <c r="BE1155" t="s">
        <v>19020</v>
      </c>
      <c r="BF1155" t="s">
        <v>19021</v>
      </c>
      <c r="BI1155">
        <v>8</v>
      </c>
      <c r="BJ1155" t="s">
        <v>612</v>
      </c>
      <c r="BK1155" t="s">
        <v>96</v>
      </c>
      <c r="BL1155" t="s">
        <v>122</v>
      </c>
      <c r="BM1155" t="s">
        <v>19022</v>
      </c>
      <c r="BN1155">
        <v>17115271</v>
      </c>
      <c r="BR1155" t="s">
        <v>98</v>
      </c>
      <c r="BS1155" t="s">
        <v>19023</v>
      </c>
      <c r="BT1155" t="s">
        <v>16602</v>
      </c>
    </row>
    <row r="1156" spans="1:72">
      <c r="A1156" t="s">
        <v>72</v>
      </c>
      <c r="B1156" t="s">
        <v>19024</v>
      </c>
      <c r="F1156" t="s">
        <v>19025</v>
      </c>
      <c r="I1156" t="s">
        <v>19026</v>
      </c>
      <c r="J1156" t="s">
        <v>2984</v>
      </c>
      <c r="M1156" t="s">
        <v>78</v>
      </c>
      <c r="N1156" t="s">
        <v>79</v>
      </c>
      <c r="T1156" t="s">
        <v>19027</v>
      </c>
      <c r="U1156" t="s">
        <v>19028</v>
      </c>
      <c r="V1156" t="s">
        <v>19029</v>
      </c>
      <c r="W1156" t="s">
        <v>19030</v>
      </c>
      <c r="X1156" t="s">
        <v>19031</v>
      </c>
      <c r="Y1156" t="s">
        <v>19032</v>
      </c>
      <c r="Z1156" t="s">
        <v>19033</v>
      </c>
      <c r="AA1156" t="s">
        <v>19034</v>
      </c>
      <c r="AB1156" t="s">
        <v>19035</v>
      </c>
      <c r="AC1156" t="s">
        <v>19036</v>
      </c>
      <c r="AD1156" t="s">
        <v>19037</v>
      </c>
      <c r="AE1156" t="s">
        <v>19038</v>
      </c>
      <c r="AG1156">
        <v>36</v>
      </c>
      <c r="AH1156">
        <v>23</v>
      </c>
      <c r="AI1156">
        <v>23</v>
      </c>
      <c r="AJ1156">
        <v>5</v>
      </c>
      <c r="AK1156">
        <v>69</v>
      </c>
      <c r="AL1156" t="s">
        <v>112</v>
      </c>
      <c r="AM1156" t="s">
        <v>191</v>
      </c>
      <c r="AN1156" t="s">
        <v>192</v>
      </c>
      <c r="AO1156" t="s">
        <v>2994</v>
      </c>
      <c r="AP1156" t="s">
        <v>2995</v>
      </c>
      <c r="AR1156" t="s">
        <v>2996</v>
      </c>
      <c r="AS1156" t="s">
        <v>2997</v>
      </c>
      <c r="AT1156" t="s">
        <v>170</v>
      </c>
      <c r="AU1156">
        <v>2021</v>
      </c>
      <c r="AV1156">
        <v>43</v>
      </c>
      <c r="AW1156">
        <v>5</v>
      </c>
      <c r="BB1156">
        <v>1891</v>
      </c>
      <c r="BC1156">
        <v>1902</v>
      </c>
      <c r="BE1156" t="s">
        <v>19039</v>
      </c>
      <c r="BF1156" t="s">
        <v>19040</v>
      </c>
      <c r="BH1156" t="s">
        <v>17167</v>
      </c>
      <c r="BI1156">
        <v>12</v>
      </c>
      <c r="BJ1156" t="s">
        <v>2999</v>
      </c>
      <c r="BK1156" t="s">
        <v>96</v>
      </c>
      <c r="BL1156" t="s">
        <v>3000</v>
      </c>
      <c r="BM1156" t="s">
        <v>19041</v>
      </c>
      <c r="BN1156">
        <v>33175300</v>
      </c>
      <c r="BR1156" t="s">
        <v>98</v>
      </c>
      <c r="BS1156" t="s">
        <v>19042</v>
      </c>
      <c r="BT1156" t="s">
        <v>16602</v>
      </c>
    </row>
    <row r="1157" spans="1:72">
      <c r="A1157" t="s">
        <v>72</v>
      </c>
      <c r="B1157" t="s">
        <v>19043</v>
      </c>
      <c r="F1157" t="s">
        <v>19044</v>
      </c>
      <c r="I1157" t="s">
        <v>19045</v>
      </c>
      <c r="J1157" t="s">
        <v>641</v>
      </c>
      <c r="M1157" t="s">
        <v>78</v>
      </c>
      <c r="N1157" t="s">
        <v>79</v>
      </c>
      <c r="T1157" t="s">
        <v>19046</v>
      </c>
      <c r="U1157" t="s">
        <v>19047</v>
      </c>
      <c r="V1157" t="s">
        <v>19048</v>
      </c>
      <c r="W1157" t="s">
        <v>19049</v>
      </c>
      <c r="X1157" t="s">
        <v>15900</v>
      </c>
      <c r="Y1157" t="s">
        <v>19050</v>
      </c>
      <c r="Z1157" t="s">
        <v>8595</v>
      </c>
      <c r="AA1157" t="s">
        <v>19051</v>
      </c>
      <c r="AB1157" t="s">
        <v>19052</v>
      </c>
      <c r="AC1157" t="s">
        <v>19053</v>
      </c>
      <c r="AD1157" t="s">
        <v>19054</v>
      </c>
      <c r="AE1157" t="s">
        <v>19055</v>
      </c>
      <c r="AG1157">
        <v>87</v>
      </c>
      <c r="AH1157">
        <v>51</v>
      </c>
      <c r="AI1157">
        <v>54</v>
      </c>
      <c r="AJ1157">
        <v>5</v>
      </c>
      <c r="AK1157">
        <v>70</v>
      </c>
      <c r="AL1157" t="s">
        <v>650</v>
      </c>
      <c r="AM1157" t="s">
        <v>651</v>
      </c>
      <c r="AN1157" t="s">
        <v>652</v>
      </c>
      <c r="AO1157" t="s">
        <v>653</v>
      </c>
      <c r="AP1157" t="s">
        <v>654</v>
      </c>
      <c r="AR1157" t="s">
        <v>655</v>
      </c>
      <c r="AS1157" t="s">
        <v>656</v>
      </c>
      <c r="AT1157" t="s">
        <v>1223</v>
      </c>
      <c r="AU1157">
        <v>2018</v>
      </c>
      <c r="AV1157">
        <v>196</v>
      </c>
      <c r="BB1157">
        <v>53</v>
      </c>
      <c r="BC1157">
        <v>60</v>
      </c>
      <c r="BE1157" t="s">
        <v>19056</v>
      </c>
      <c r="BF1157" t="s">
        <v>19057</v>
      </c>
      <c r="BI1157">
        <v>8</v>
      </c>
      <c r="BJ1157" t="s">
        <v>659</v>
      </c>
      <c r="BK1157" t="s">
        <v>96</v>
      </c>
      <c r="BL1157" t="s">
        <v>659</v>
      </c>
      <c r="BM1157" t="s">
        <v>19058</v>
      </c>
      <c r="BN1157">
        <v>29334672</v>
      </c>
      <c r="BO1157" t="s">
        <v>810</v>
      </c>
      <c r="BR1157" t="s">
        <v>98</v>
      </c>
      <c r="BS1157" t="s">
        <v>19059</v>
      </c>
      <c r="BT1157" t="s">
        <v>16602</v>
      </c>
    </row>
    <row r="1158" spans="1:72">
      <c r="A1158" t="s">
        <v>72</v>
      </c>
      <c r="B1158" t="s">
        <v>19060</v>
      </c>
      <c r="F1158" t="s">
        <v>19060</v>
      </c>
      <c r="I1158" t="s">
        <v>19061</v>
      </c>
      <c r="J1158" t="s">
        <v>232</v>
      </c>
      <c r="M1158" t="s">
        <v>78</v>
      </c>
      <c r="N1158" t="s">
        <v>79</v>
      </c>
      <c r="V1158" t="s">
        <v>19062</v>
      </c>
      <c r="W1158" t="s">
        <v>19063</v>
      </c>
      <c r="X1158" t="s">
        <v>19064</v>
      </c>
      <c r="AG1158">
        <v>14</v>
      </c>
      <c r="AH1158">
        <v>57</v>
      </c>
      <c r="AI1158">
        <v>59</v>
      </c>
      <c r="AJ1158">
        <v>0</v>
      </c>
      <c r="AK1158">
        <v>2</v>
      </c>
      <c r="AL1158" t="s">
        <v>136</v>
      </c>
      <c r="AM1158" t="s">
        <v>137</v>
      </c>
      <c r="AN1158" t="s">
        <v>138</v>
      </c>
      <c r="AO1158" t="s">
        <v>240</v>
      </c>
      <c r="AP1158" t="s">
        <v>241</v>
      </c>
      <c r="AR1158" t="s">
        <v>242</v>
      </c>
      <c r="AS1158" t="s">
        <v>243</v>
      </c>
      <c r="AU1158">
        <v>1979</v>
      </c>
      <c r="AV1158">
        <v>10</v>
      </c>
      <c r="AW1158">
        <v>9</v>
      </c>
      <c r="BB1158">
        <v>259</v>
      </c>
      <c r="BC1158">
        <v>262</v>
      </c>
      <c r="BE1158" t="s">
        <v>19065</v>
      </c>
      <c r="BF1158" t="s">
        <v>19066</v>
      </c>
      <c r="BI1158">
        <v>4</v>
      </c>
      <c r="BJ1158" t="s">
        <v>247</v>
      </c>
      <c r="BK1158" t="s">
        <v>96</v>
      </c>
      <c r="BL1158" t="s">
        <v>248</v>
      </c>
      <c r="BM1158" t="s">
        <v>19067</v>
      </c>
      <c r="BR1158" t="s">
        <v>98</v>
      </c>
      <c r="BS1158" t="s">
        <v>19068</v>
      </c>
      <c r="BT1158" t="s">
        <v>16602</v>
      </c>
    </row>
    <row r="1159" spans="1:72">
      <c r="A1159" t="s">
        <v>72</v>
      </c>
      <c r="B1159" t="s">
        <v>19069</v>
      </c>
      <c r="F1159" t="s">
        <v>19070</v>
      </c>
      <c r="I1159" t="s">
        <v>19071</v>
      </c>
      <c r="J1159" t="s">
        <v>641</v>
      </c>
      <c r="M1159" t="s">
        <v>78</v>
      </c>
      <c r="N1159" t="s">
        <v>79</v>
      </c>
      <c r="T1159" t="s">
        <v>19072</v>
      </c>
      <c r="U1159" t="s">
        <v>19073</v>
      </c>
      <c r="V1159" t="s">
        <v>19074</v>
      </c>
      <c r="W1159" t="s">
        <v>19075</v>
      </c>
      <c r="X1159" t="s">
        <v>2697</v>
      </c>
      <c r="Y1159" t="s">
        <v>19076</v>
      </c>
      <c r="Z1159" t="s">
        <v>19077</v>
      </c>
      <c r="AA1159" t="s">
        <v>19078</v>
      </c>
      <c r="AB1159" t="s">
        <v>19079</v>
      </c>
      <c r="AG1159">
        <v>44</v>
      </c>
      <c r="AH1159">
        <v>105</v>
      </c>
      <c r="AI1159">
        <v>108</v>
      </c>
      <c r="AJ1159">
        <v>0</v>
      </c>
      <c r="AK1159">
        <v>19</v>
      </c>
      <c r="AL1159" t="s">
        <v>919</v>
      </c>
      <c r="AM1159" t="s">
        <v>651</v>
      </c>
      <c r="AN1159" t="s">
        <v>920</v>
      </c>
      <c r="AO1159" t="s">
        <v>653</v>
      </c>
      <c r="AP1159" t="s">
        <v>654</v>
      </c>
      <c r="AR1159" t="s">
        <v>655</v>
      </c>
      <c r="AS1159" t="s">
        <v>656</v>
      </c>
      <c r="AT1159" t="s">
        <v>5542</v>
      </c>
      <c r="AU1159">
        <v>2006</v>
      </c>
      <c r="AV1159">
        <v>78</v>
      </c>
      <c r="AY1159">
        <v>1</v>
      </c>
      <c r="BB1159" t="s">
        <v>19080</v>
      </c>
      <c r="BC1159" t="s">
        <v>19081</v>
      </c>
      <c r="BE1159" t="s">
        <v>19082</v>
      </c>
      <c r="BF1159" t="s">
        <v>19083</v>
      </c>
      <c r="BI1159">
        <v>8</v>
      </c>
      <c r="BJ1159" t="s">
        <v>659</v>
      </c>
      <c r="BK1159" t="s">
        <v>96</v>
      </c>
      <c r="BL1159" t="s">
        <v>659</v>
      </c>
      <c r="BM1159" t="s">
        <v>14553</v>
      </c>
      <c r="BN1159">
        <v>16635531</v>
      </c>
      <c r="BR1159" t="s">
        <v>98</v>
      </c>
      <c r="BS1159" t="s">
        <v>19084</v>
      </c>
      <c r="BT1159" t="s">
        <v>16602</v>
      </c>
    </row>
    <row r="1160" spans="1:72">
      <c r="A1160" t="s">
        <v>72</v>
      </c>
      <c r="B1160" t="s">
        <v>19085</v>
      </c>
      <c r="F1160" t="s">
        <v>19086</v>
      </c>
      <c r="I1160" t="s">
        <v>19087</v>
      </c>
      <c r="J1160" t="s">
        <v>275</v>
      </c>
      <c r="M1160" t="s">
        <v>78</v>
      </c>
      <c r="N1160" t="s">
        <v>79</v>
      </c>
      <c r="T1160" t="s">
        <v>19088</v>
      </c>
      <c r="U1160" t="s">
        <v>19089</v>
      </c>
      <c r="V1160" t="s">
        <v>19090</v>
      </c>
      <c r="W1160" t="s">
        <v>19091</v>
      </c>
      <c r="X1160" t="s">
        <v>19092</v>
      </c>
      <c r="Y1160" t="s">
        <v>19093</v>
      </c>
      <c r="Z1160" t="s">
        <v>19094</v>
      </c>
      <c r="AA1160" t="s">
        <v>19095</v>
      </c>
      <c r="AB1160" t="s">
        <v>19096</v>
      </c>
      <c r="AC1160" t="s">
        <v>19097</v>
      </c>
      <c r="AD1160" t="s">
        <v>19098</v>
      </c>
      <c r="AE1160" t="s">
        <v>19099</v>
      </c>
      <c r="AG1160">
        <v>51</v>
      </c>
      <c r="AH1160">
        <v>41</v>
      </c>
      <c r="AI1160">
        <v>42</v>
      </c>
      <c r="AJ1160">
        <v>1</v>
      </c>
      <c r="AK1160">
        <v>25</v>
      </c>
      <c r="AL1160" t="s">
        <v>285</v>
      </c>
      <c r="AM1160" t="s">
        <v>286</v>
      </c>
      <c r="AN1160" t="s">
        <v>287</v>
      </c>
      <c r="AO1160" t="s">
        <v>288</v>
      </c>
      <c r="AP1160" t="s">
        <v>289</v>
      </c>
      <c r="AR1160" t="s">
        <v>290</v>
      </c>
      <c r="AS1160" t="s">
        <v>291</v>
      </c>
      <c r="AT1160" t="s">
        <v>197</v>
      </c>
      <c r="AU1160">
        <v>2011</v>
      </c>
      <c r="AV1160">
        <v>31</v>
      </c>
      <c r="AW1160">
        <v>6</v>
      </c>
      <c r="BB1160">
        <v>1026</v>
      </c>
      <c r="BC1160">
        <v>1033</v>
      </c>
      <c r="BE1160" t="s">
        <v>19100</v>
      </c>
      <c r="BF1160" t="s">
        <v>19101</v>
      </c>
      <c r="BI1160">
        <v>8</v>
      </c>
      <c r="BJ1160" t="s">
        <v>293</v>
      </c>
      <c r="BK1160" t="s">
        <v>96</v>
      </c>
      <c r="BL1160" t="s">
        <v>293</v>
      </c>
      <c r="BM1160" t="s">
        <v>19102</v>
      </c>
      <c r="BN1160">
        <v>21925273</v>
      </c>
      <c r="BR1160" t="s">
        <v>98</v>
      </c>
      <c r="BS1160" t="s">
        <v>19103</v>
      </c>
      <c r="BT1160" t="s">
        <v>16602</v>
      </c>
    </row>
    <row r="1161" spans="1:72">
      <c r="A1161" t="s">
        <v>72</v>
      </c>
      <c r="B1161" t="s">
        <v>19104</v>
      </c>
      <c r="F1161" t="s">
        <v>19105</v>
      </c>
      <c r="I1161" t="s">
        <v>19106</v>
      </c>
      <c r="J1161" t="s">
        <v>179</v>
      </c>
      <c r="M1161" t="s">
        <v>78</v>
      </c>
      <c r="N1161" t="s">
        <v>79</v>
      </c>
      <c r="T1161" t="s">
        <v>19107</v>
      </c>
      <c r="U1161" t="s">
        <v>19108</v>
      </c>
      <c r="V1161" t="s">
        <v>19109</v>
      </c>
      <c r="W1161" t="s">
        <v>19110</v>
      </c>
      <c r="X1161" t="s">
        <v>19111</v>
      </c>
      <c r="Y1161" t="s">
        <v>19112</v>
      </c>
      <c r="Z1161" t="s">
        <v>19113</v>
      </c>
      <c r="AA1161" t="s">
        <v>19114</v>
      </c>
      <c r="AB1161" t="s">
        <v>19115</v>
      </c>
      <c r="AG1161">
        <v>30</v>
      </c>
      <c r="AH1161">
        <v>12</v>
      </c>
      <c r="AI1161">
        <v>13</v>
      </c>
      <c r="AJ1161">
        <v>0</v>
      </c>
      <c r="AK1161">
        <v>13</v>
      </c>
      <c r="AL1161" t="s">
        <v>112</v>
      </c>
      <c r="AM1161" t="s">
        <v>191</v>
      </c>
      <c r="AN1161" t="s">
        <v>192</v>
      </c>
      <c r="AO1161" t="s">
        <v>193</v>
      </c>
      <c r="AP1161" t="s">
        <v>194</v>
      </c>
      <c r="AR1161" t="s">
        <v>195</v>
      </c>
      <c r="AS1161" t="s">
        <v>196</v>
      </c>
      <c r="AT1161" t="s">
        <v>1470</v>
      </c>
      <c r="AU1161">
        <v>2018</v>
      </c>
      <c r="AV1161">
        <v>190</v>
      </c>
      <c r="AW1161">
        <v>1</v>
      </c>
      <c r="BD1161">
        <v>7</v>
      </c>
      <c r="BE1161" t="s">
        <v>19116</v>
      </c>
      <c r="BF1161" t="s">
        <v>19117</v>
      </c>
      <c r="BI1161">
        <v>10</v>
      </c>
      <c r="BJ1161" t="s">
        <v>144</v>
      </c>
      <c r="BK1161" t="s">
        <v>96</v>
      </c>
      <c r="BL1161" t="s">
        <v>145</v>
      </c>
      <c r="BM1161" t="s">
        <v>19118</v>
      </c>
      <c r="BN1161">
        <v>29209943</v>
      </c>
      <c r="BR1161" t="s">
        <v>98</v>
      </c>
      <c r="BS1161" t="s">
        <v>19119</v>
      </c>
      <c r="BT1161" t="s">
        <v>16602</v>
      </c>
    </row>
    <row r="1162" spans="1:72">
      <c r="A1162" t="s">
        <v>72</v>
      </c>
      <c r="B1162" t="s">
        <v>19120</v>
      </c>
      <c r="F1162" t="s">
        <v>19120</v>
      </c>
      <c r="I1162" t="s">
        <v>19121</v>
      </c>
      <c r="J1162" t="s">
        <v>421</v>
      </c>
      <c r="M1162" t="s">
        <v>78</v>
      </c>
      <c r="N1162" t="s">
        <v>79</v>
      </c>
      <c r="T1162" t="s">
        <v>19122</v>
      </c>
      <c r="U1162" t="s">
        <v>19123</v>
      </c>
      <c r="V1162" t="s">
        <v>19124</v>
      </c>
      <c r="W1162" t="s">
        <v>19125</v>
      </c>
      <c r="X1162" t="s">
        <v>19126</v>
      </c>
      <c r="Z1162" t="s">
        <v>3249</v>
      </c>
      <c r="AG1162">
        <v>30</v>
      </c>
      <c r="AH1162">
        <v>164</v>
      </c>
      <c r="AI1162">
        <v>185</v>
      </c>
      <c r="AJ1162">
        <v>0</v>
      </c>
      <c r="AK1162">
        <v>33</v>
      </c>
      <c r="AL1162" t="s">
        <v>430</v>
      </c>
      <c r="AM1162" t="s">
        <v>137</v>
      </c>
      <c r="AN1162" t="s">
        <v>431</v>
      </c>
      <c r="AO1162" t="s">
        <v>432</v>
      </c>
      <c r="AP1162" t="s">
        <v>1394</v>
      </c>
      <c r="AR1162" t="s">
        <v>433</v>
      </c>
      <c r="AS1162" t="s">
        <v>434</v>
      </c>
      <c r="AU1162">
        <v>2003</v>
      </c>
      <c r="AV1162">
        <v>122</v>
      </c>
      <c r="AW1162">
        <v>3</v>
      </c>
      <c r="BB1162">
        <v>369</v>
      </c>
      <c r="BC1162">
        <v>378</v>
      </c>
      <c r="BD1162" t="s">
        <v>19127</v>
      </c>
      <c r="BE1162" t="s">
        <v>19128</v>
      </c>
      <c r="BF1162" t="s">
        <v>19129</v>
      </c>
      <c r="BI1162">
        <v>10</v>
      </c>
      <c r="BJ1162" t="s">
        <v>144</v>
      </c>
      <c r="BK1162" t="s">
        <v>96</v>
      </c>
      <c r="BL1162" t="s">
        <v>145</v>
      </c>
      <c r="BM1162" t="s">
        <v>19130</v>
      </c>
      <c r="BN1162">
        <v>12547526</v>
      </c>
      <c r="BR1162" t="s">
        <v>98</v>
      </c>
      <c r="BS1162" t="s">
        <v>19131</v>
      </c>
      <c r="BT1162" t="s">
        <v>16602</v>
      </c>
    </row>
    <row r="1163" spans="1:72">
      <c r="A1163" t="s">
        <v>72</v>
      </c>
      <c r="B1163" t="s">
        <v>19132</v>
      </c>
      <c r="F1163" t="s">
        <v>19133</v>
      </c>
      <c r="I1163" t="s">
        <v>19134</v>
      </c>
      <c r="J1163" t="s">
        <v>421</v>
      </c>
      <c r="M1163" t="s">
        <v>78</v>
      </c>
      <c r="N1163" t="s">
        <v>79</v>
      </c>
      <c r="T1163" t="s">
        <v>19135</v>
      </c>
      <c r="U1163" t="s">
        <v>19136</v>
      </c>
      <c r="V1163" t="s">
        <v>19137</v>
      </c>
      <c r="W1163" t="s">
        <v>19138</v>
      </c>
      <c r="X1163" t="s">
        <v>19139</v>
      </c>
      <c r="Y1163" t="s">
        <v>19140</v>
      </c>
      <c r="Z1163" t="s">
        <v>19141</v>
      </c>
      <c r="AA1163" t="s">
        <v>19142</v>
      </c>
      <c r="AB1163" t="s">
        <v>19143</v>
      </c>
      <c r="AC1163" t="s">
        <v>19144</v>
      </c>
      <c r="AD1163" t="s">
        <v>19145</v>
      </c>
      <c r="AE1163" t="s">
        <v>19146</v>
      </c>
      <c r="AG1163">
        <v>56</v>
      </c>
      <c r="AH1163">
        <v>4</v>
      </c>
      <c r="AI1163">
        <v>5</v>
      </c>
      <c r="AJ1163">
        <v>0</v>
      </c>
      <c r="AK1163">
        <v>8</v>
      </c>
      <c r="AL1163" t="s">
        <v>430</v>
      </c>
      <c r="AM1163" t="s">
        <v>137</v>
      </c>
      <c r="AN1163" t="s">
        <v>431</v>
      </c>
      <c r="AO1163" t="s">
        <v>432</v>
      </c>
      <c r="AP1163" t="s">
        <v>1394</v>
      </c>
      <c r="AR1163" t="s">
        <v>433</v>
      </c>
      <c r="AS1163" t="s">
        <v>434</v>
      </c>
      <c r="AT1163" t="s">
        <v>8920</v>
      </c>
      <c r="AU1163">
        <v>2021</v>
      </c>
      <c r="AV1163">
        <v>288</v>
      </c>
      <c r="BD1163">
        <v>117705</v>
      </c>
      <c r="BE1163" t="s">
        <v>19147</v>
      </c>
      <c r="BF1163" t="s">
        <v>19148</v>
      </c>
      <c r="BH1163" t="s">
        <v>12797</v>
      </c>
      <c r="BI1163">
        <v>9</v>
      </c>
      <c r="BJ1163" t="s">
        <v>144</v>
      </c>
      <c r="BK1163" t="s">
        <v>96</v>
      </c>
      <c r="BL1163" t="s">
        <v>145</v>
      </c>
      <c r="BM1163" t="s">
        <v>19149</v>
      </c>
      <c r="BN1163">
        <v>34247000</v>
      </c>
      <c r="BR1163" t="s">
        <v>98</v>
      </c>
      <c r="BS1163" t="s">
        <v>19150</v>
      </c>
      <c r="BT1163" t="s">
        <v>16602</v>
      </c>
    </row>
    <row r="1164" spans="1:72">
      <c r="A1164" t="s">
        <v>72</v>
      </c>
      <c r="B1164" t="s">
        <v>19151</v>
      </c>
      <c r="F1164" t="s">
        <v>19151</v>
      </c>
      <c r="I1164" t="s">
        <v>19152</v>
      </c>
      <c r="J1164" t="s">
        <v>421</v>
      </c>
      <c r="M1164" t="s">
        <v>78</v>
      </c>
      <c r="N1164" t="s">
        <v>79</v>
      </c>
      <c r="T1164" t="s">
        <v>19153</v>
      </c>
      <c r="U1164" t="s">
        <v>19154</v>
      </c>
      <c r="V1164" t="s">
        <v>19155</v>
      </c>
      <c r="W1164" t="s">
        <v>19156</v>
      </c>
      <c r="Y1164" t="s">
        <v>19157</v>
      </c>
      <c r="AG1164">
        <v>38</v>
      </c>
      <c r="AH1164">
        <v>35</v>
      </c>
      <c r="AI1164">
        <v>39</v>
      </c>
      <c r="AJ1164">
        <v>1</v>
      </c>
      <c r="AK1164">
        <v>13</v>
      </c>
      <c r="AL1164" t="s">
        <v>430</v>
      </c>
      <c r="AM1164" t="s">
        <v>137</v>
      </c>
      <c r="AN1164" t="s">
        <v>431</v>
      </c>
      <c r="AO1164" t="s">
        <v>432</v>
      </c>
      <c r="AR1164" t="s">
        <v>433</v>
      </c>
      <c r="AS1164" t="s">
        <v>434</v>
      </c>
      <c r="AU1164">
        <v>2002</v>
      </c>
      <c r="AV1164">
        <v>120</v>
      </c>
      <c r="AW1164">
        <v>2</v>
      </c>
      <c r="BB1164">
        <v>391</v>
      </c>
      <c r="BC1164">
        <v>396</v>
      </c>
      <c r="BD1164" t="s">
        <v>19158</v>
      </c>
      <c r="BE1164" t="s">
        <v>19159</v>
      </c>
      <c r="BF1164" t="s">
        <v>19160</v>
      </c>
      <c r="BI1164">
        <v>6</v>
      </c>
      <c r="BJ1164" t="s">
        <v>144</v>
      </c>
      <c r="BK1164" t="s">
        <v>96</v>
      </c>
      <c r="BL1164" t="s">
        <v>145</v>
      </c>
      <c r="BM1164" t="s">
        <v>19161</v>
      </c>
      <c r="BN1164">
        <v>12395853</v>
      </c>
      <c r="BR1164" t="s">
        <v>98</v>
      </c>
      <c r="BS1164" t="s">
        <v>19162</v>
      </c>
      <c r="BT1164" t="s">
        <v>16602</v>
      </c>
    </row>
    <row r="1165" spans="1:72">
      <c r="A1165" t="s">
        <v>72</v>
      </c>
      <c r="B1165" t="s">
        <v>19163</v>
      </c>
      <c r="F1165" t="s">
        <v>19164</v>
      </c>
      <c r="I1165" t="s">
        <v>19165</v>
      </c>
      <c r="J1165" t="s">
        <v>421</v>
      </c>
      <c r="M1165" t="s">
        <v>78</v>
      </c>
      <c r="N1165" t="s">
        <v>79</v>
      </c>
      <c r="T1165" t="s">
        <v>19166</v>
      </c>
      <c r="U1165" t="s">
        <v>19167</v>
      </c>
      <c r="V1165" t="s">
        <v>19168</v>
      </c>
      <c r="W1165" t="s">
        <v>19169</v>
      </c>
      <c r="X1165" t="s">
        <v>19170</v>
      </c>
      <c r="Y1165" t="s">
        <v>19171</v>
      </c>
      <c r="Z1165" t="s">
        <v>19172</v>
      </c>
      <c r="AC1165" t="s">
        <v>19173</v>
      </c>
      <c r="AD1165" t="s">
        <v>19174</v>
      </c>
      <c r="AE1165" t="s">
        <v>19175</v>
      </c>
      <c r="AG1165">
        <v>76</v>
      </c>
      <c r="AH1165">
        <v>9</v>
      </c>
      <c r="AI1165">
        <v>9</v>
      </c>
      <c r="AJ1165">
        <v>4</v>
      </c>
      <c r="AK1165">
        <v>42</v>
      </c>
      <c r="AL1165" t="s">
        <v>430</v>
      </c>
      <c r="AM1165" t="s">
        <v>137</v>
      </c>
      <c r="AN1165" t="s">
        <v>431</v>
      </c>
      <c r="AO1165" t="s">
        <v>432</v>
      </c>
      <c r="AP1165" t="s">
        <v>1394</v>
      </c>
      <c r="AR1165" t="s">
        <v>433</v>
      </c>
      <c r="AS1165" t="s">
        <v>434</v>
      </c>
      <c r="AT1165" t="s">
        <v>3237</v>
      </c>
      <c r="AU1165">
        <v>2021</v>
      </c>
      <c r="AV1165">
        <v>284</v>
      </c>
      <c r="BD1165">
        <v>117182</v>
      </c>
      <c r="BE1165" t="s">
        <v>19176</v>
      </c>
      <c r="BF1165" t="s">
        <v>19177</v>
      </c>
      <c r="BH1165" t="s">
        <v>14421</v>
      </c>
      <c r="BI1165">
        <v>10</v>
      </c>
      <c r="BJ1165" t="s">
        <v>144</v>
      </c>
      <c r="BK1165" t="s">
        <v>96</v>
      </c>
      <c r="BL1165" t="s">
        <v>145</v>
      </c>
      <c r="BM1165" t="s">
        <v>19178</v>
      </c>
      <c r="BN1165">
        <v>33901982</v>
      </c>
      <c r="BR1165" t="s">
        <v>98</v>
      </c>
      <c r="BS1165" t="s">
        <v>19179</v>
      </c>
      <c r="BT1165" t="s">
        <v>16602</v>
      </c>
    </row>
    <row r="1166" spans="1:72">
      <c r="A1166" t="s">
        <v>72</v>
      </c>
      <c r="B1166" t="s">
        <v>19180</v>
      </c>
      <c r="F1166" t="s">
        <v>19181</v>
      </c>
      <c r="I1166" t="s">
        <v>19182</v>
      </c>
      <c r="J1166" t="s">
        <v>1756</v>
      </c>
      <c r="M1166" t="s">
        <v>78</v>
      </c>
      <c r="N1166" t="s">
        <v>79</v>
      </c>
      <c r="T1166" t="s">
        <v>19183</v>
      </c>
      <c r="U1166" t="s">
        <v>19184</v>
      </c>
      <c r="V1166" t="s">
        <v>19185</v>
      </c>
      <c r="W1166" t="s">
        <v>19186</v>
      </c>
      <c r="X1166" t="s">
        <v>19187</v>
      </c>
      <c r="Y1166" t="s">
        <v>19188</v>
      </c>
      <c r="Z1166" t="s">
        <v>19189</v>
      </c>
      <c r="AA1166" t="s">
        <v>19190</v>
      </c>
      <c r="AB1166" t="s">
        <v>19191</v>
      </c>
      <c r="AG1166">
        <v>57</v>
      </c>
      <c r="AH1166">
        <v>25</v>
      </c>
      <c r="AI1166">
        <v>29</v>
      </c>
      <c r="AJ1166">
        <v>0</v>
      </c>
      <c r="AK1166">
        <v>14</v>
      </c>
      <c r="AL1166" t="s">
        <v>86</v>
      </c>
      <c r="AM1166" t="s">
        <v>87</v>
      </c>
      <c r="AN1166" t="s">
        <v>88</v>
      </c>
      <c r="AO1166" t="s">
        <v>1764</v>
      </c>
      <c r="AP1166" t="s">
        <v>1765</v>
      </c>
      <c r="AR1166" t="s">
        <v>1766</v>
      </c>
      <c r="AS1166" t="s">
        <v>1767</v>
      </c>
      <c r="AT1166" t="s">
        <v>119</v>
      </c>
      <c r="AU1166">
        <v>2006</v>
      </c>
      <c r="AV1166">
        <v>25</v>
      </c>
      <c r="AW1166">
        <v>8</v>
      </c>
      <c r="BB1166">
        <v>2154</v>
      </c>
      <c r="BC1166">
        <v>2162</v>
      </c>
      <c r="BE1166" t="s">
        <v>19192</v>
      </c>
      <c r="BF1166" t="s">
        <v>19193</v>
      </c>
      <c r="BI1166">
        <v>9</v>
      </c>
      <c r="BJ1166" t="s">
        <v>121</v>
      </c>
      <c r="BK1166" t="s">
        <v>96</v>
      </c>
      <c r="BL1166" t="s">
        <v>122</v>
      </c>
      <c r="BM1166" t="s">
        <v>19194</v>
      </c>
      <c r="BN1166">
        <v>16916035</v>
      </c>
      <c r="BO1166" t="s">
        <v>370</v>
      </c>
      <c r="BR1166" t="s">
        <v>98</v>
      </c>
      <c r="BS1166" t="s">
        <v>19195</v>
      </c>
      <c r="BT1166" t="s">
        <v>16602</v>
      </c>
    </row>
    <row r="1167" spans="1:72">
      <c r="A1167" t="s">
        <v>72</v>
      </c>
      <c r="B1167" t="s">
        <v>19196</v>
      </c>
      <c r="F1167" t="s">
        <v>19197</v>
      </c>
      <c r="I1167" t="s">
        <v>19198</v>
      </c>
      <c r="J1167" t="s">
        <v>232</v>
      </c>
      <c r="M1167" t="s">
        <v>78</v>
      </c>
      <c r="N1167" t="s">
        <v>79</v>
      </c>
      <c r="T1167" t="s">
        <v>19199</v>
      </c>
      <c r="U1167" t="s">
        <v>19200</v>
      </c>
      <c r="V1167" t="s">
        <v>19201</v>
      </c>
      <c r="W1167" t="s">
        <v>19202</v>
      </c>
      <c r="X1167" t="s">
        <v>19203</v>
      </c>
      <c r="Y1167" t="s">
        <v>19204</v>
      </c>
      <c r="Z1167" t="s">
        <v>19205</v>
      </c>
      <c r="AC1167" t="s">
        <v>19206</v>
      </c>
      <c r="AD1167" t="s">
        <v>19207</v>
      </c>
      <c r="AE1167" t="s">
        <v>19208</v>
      </c>
      <c r="AG1167">
        <v>41</v>
      </c>
      <c r="AH1167">
        <v>4</v>
      </c>
      <c r="AI1167">
        <v>4</v>
      </c>
      <c r="AJ1167">
        <v>3</v>
      </c>
      <c r="AK1167">
        <v>12</v>
      </c>
      <c r="AL1167" t="s">
        <v>136</v>
      </c>
      <c r="AM1167" t="s">
        <v>137</v>
      </c>
      <c r="AN1167" t="s">
        <v>138</v>
      </c>
      <c r="AO1167" t="s">
        <v>240</v>
      </c>
      <c r="AP1167" t="s">
        <v>241</v>
      </c>
      <c r="AR1167" t="s">
        <v>242</v>
      </c>
      <c r="AS1167" t="s">
        <v>243</v>
      </c>
      <c r="AT1167" t="s">
        <v>170</v>
      </c>
      <c r="AU1167">
        <v>2022</v>
      </c>
      <c r="AV1167">
        <v>178</v>
      </c>
      <c r="BD1167">
        <v>113547</v>
      </c>
      <c r="BE1167" t="s">
        <v>19209</v>
      </c>
      <c r="BF1167" t="s">
        <v>19210</v>
      </c>
      <c r="BH1167" t="s">
        <v>5038</v>
      </c>
      <c r="BI1167">
        <v>9</v>
      </c>
      <c r="BJ1167" t="s">
        <v>247</v>
      </c>
      <c r="BK1167" t="s">
        <v>96</v>
      </c>
      <c r="BL1167" t="s">
        <v>248</v>
      </c>
      <c r="BM1167" t="s">
        <v>19211</v>
      </c>
      <c r="BN1167">
        <v>35339866</v>
      </c>
      <c r="BR1167" t="s">
        <v>98</v>
      </c>
      <c r="BS1167" t="s">
        <v>19212</v>
      </c>
      <c r="BT1167" t="s">
        <v>16602</v>
      </c>
    </row>
    <row r="1168" spans="1:72">
      <c r="A1168" t="s">
        <v>72</v>
      </c>
      <c r="B1168" t="s">
        <v>19213</v>
      </c>
      <c r="F1168" t="s">
        <v>19214</v>
      </c>
      <c r="I1168" t="s">
        <v>19215</v>
      </c>
      <c r="J1168" t="s">
        <v>103</v>
      </c>
      <c r="M1168" t="s">
        <v>78</v>
      </c>
      <c r="N1168" t="s">
        <v>79</v>
      </c>
      <c r="T1168" t="s">
        <v>19216</v>
      </c>
      <c r="U1168" t="s">
        <v>19217</v>
      </c>
      <c r="V1168" t="s">
        <v>19218</v>
      </c>
      <c r="W1168" t="s">
        <v>19219</v>
      </c>
      <c r="X1168" t="s">
        <v>15426</v>
      </c>
      <c r="Y1168" t="s">
        <v>19220</v>
      </c>
      <c r="Z1168" t="s">
        <v>15428</v>
      </c>
      <c r="AA1168" t="s">
        <v>19221</v>
      </c>
      <c r="AB1168" t="s">
        <v>19222</v>
      </c>
      <c r="AC1168" t="s">
        <v>19223</v>
      </c>
      <c r="AD1168" t="s">
        <v>19224</v>
      </c>
      <c r="AE1168" t="s">
        <v>19225</v>
      </c>
      <c r="AG1168">
        <v>32</v>
      </c>
      <c r="AH1168">
        <v>9</v>
      </c>
      <c r="AI1168">
        <v>9</v>
      </c>
      <c r="AJ1168">
        <v>0</v>
      </c>
      <c r="AK1168">
        <v>27</v>
      </c>
      <c r="AL1168" t="s">
        <v>112</v>
      </c>
      <c r="AM1168" t="s">
        <v>113</v>
      </c>
      <c r="AN1168" t="s">
        <v>469</v>
      </c>
      <c r="AO1168" t="s">
        <v>115</v>
      </c>
      <c r="AP1168" t="s">
        <v>116</v>
      </c>
      <c r="AR1168" t="s">
        <v>117</v>
      </c>
      <c r="AS1168" t="s">
        <v>118</v>
      </c>
      <c r="AT1168" t="s">
        <v>267</v>
      </c>
      <c r="AU1168">
        <v>2016</v>
      </c>
      <c r="AV1168">
        <v>97</v>
      </c>
      <c r="AW1168">
        <v>4</v>
      </c>
      <c r="BB1168">
        <v>474</v>
      </c>
      <c r="BC1168">
        <v>479</v>
      </c>
      <c r="BE1168" t="s">
        <v>19226</v>
      </c>
      <c r="BF1168" t="s">
        <v>19227</v>
      </c>
      <c r="BI1168">
        <v>6</v>
      </c>
      <c r="BJ1168" t="s">
        <v>121</v>
      </c>
      <c r="BK1168" t="s">
        <v>96</v>
      </c>
      <c r="BL1168" t="s">
        <v>122</v>
      </c>
      <c r="BM1168" t="s">
        <v>19228</v>
      </c>
      <c r="BN1168">
        <v>27300522</v>
      </c>
      <c r="BR1168" t="s">
        <v>98</v>
      </c>
      <c r="BS1168" t="s">
        <v>19229</v>
      </c>
      <c r="BT1168" t="s">
        <v>16602</v>
      </c>
    </row>
    <row r="1169" spans="1:72">
      <c r="A1169" t="s">
        <v>72</v>
      </c>
      <c r="B1169" t="s">
        <v>19230</v>
      </c>
      <c r="F1169" t="s">
        <v>19231</v>
      </c>
      <c r="I1169" t="s">
        <v>19232</v>
      </c>
      <c r="J1169" t="s">
        <v>232</v>
      </c>
      <c r="M1169" t="s">
        <v>78</v>
      </c>
      <c r="N1169" t="s">
        <v>79</v>
      </c>
      <c r="T1169" t="s">
        <v>19233</v>
      </c>
      <c r="U1169" t="s">
        <v>19234</v>
      </c>
      <c r="V1169" t="s">
        <v>19235</v>
      </c>
      <c r="W1169" t="s">
        <v>19236</v>
      </c>
      <c r="X1169" t="s">
        <v>19237</v>
      </c>
      <c r="Y1169" t="s">
        <v>19238</v>
      </c>
      <c r="Z1169" t="s">
        <v>19239</v>
      </c>
      <c r="AA1169" t="s">
        <v>19240</v>
      </c>
      <c r="AB1169" t="s">
        <v>19241</v>
      </c>
      <c r="AC1169" t="s">
        <v>19242</v>
      </c>
      <c r="AD1169" t="s">
        <v>19242</v>
      </c>
      <c r="AE1169" t="s">
        <v>19243</v>
      </c>
      <c r="AG1169">
        <v>17</v>
      </c>
      <c r="AH1169">
        <v>3</v>
      </c>
      <c r="AI1169">
        <v>5</v>
      </c>
      <c r="AJ1169">
        <v>1</v>
      </c>
      <c r="AK1169">
        <v>11</v>
      </c>
      <c r="AL1169" t="s">
        <v>136</v>
      </c>
      <c r="AM1169" t="s">
        <v>137</v>
      </c>
      <c r="AN1169" t="s">
        <v>138</v>
      </c>
      <c r="AO1169" t="s">
        <v>240</v>
      </c>
      <c r="AP1169" t="s">
        <v>241</v>
      </c>
      <c r="AR1169" t="s">
        <v>242</v>
      </c>
      <c r="AS1169" t="s">
        <v>243</v>
      </c>
      <c r="AT1169" t="s">
        <v>267</v>
      </c>
      <c r="AU1169">
        <v>2008</v>
      </c>
      <c r="AV1169">
        <v>56</v>
      </c>
      <c r="AW1169">
        <v>10</v>
      </c>
      <c r="BB1169">
        <v>1781</v>
      </c>
      <c r="BC1169">
        <v>1787</v>
      </c>
      <c r="BE1169" t="s">
        <v>19244</v>
      </c>
      <c r="BF1169" t="s">
        <v>19245</v>
      </c>
      <c r="BI1169">
        <v>7</v>
      </c>
      <c r="BJ1169" t="s">
        <v>247</v>
      </c>
      <c r="BK1169" t="s">
        <v>96</v>
      </c>
      <c r="BL1169" t="s">
        <v>248</v>
      </c>
      <c r="BM1169" t="s">
        <v>19246</v>
      </c>
      <c r="BN1169">
        <v>18662818</v>
      </c>
      <c r="BR1169" t="s">
        <v>98</v>
      </c>
      <c r="BS1169" t="s">
        <v>19247</v>
      </c>
      <c r="BT1169" t="s">
        <v>16602</v>
      </c>
    </row>
    <row r="1170" spans="1:72">
      <c r="A1170" t="s">
        <v>72</v>
      </c>
      <c r="B1170" t="s">
        <v>19248</v>
      </c>
      <c r="F1170" t="s">
        <v>19249</v>
      </c>
      <c r="I1170" t="s">
        <v>19250</v>
      </c>
      <c r="J1170" t="s">
        <v>232</v>
      </c>
      <c r="M1170" t="s">
        <v>78</v>
      </c>
      <c r="N1170" t="s">
        <v>79</v>
      </c>
      <c r="T1170" t="s">
        <v>19251</v>
      </c>
      <c r="U1170" t="s">
        <v>19252</v>
      </c>
      <c r="V1170" t="s">
        <v>19253</v>
      </c>
      <c r="W1170" t="s">
        <v>19254</v>
      </c>
      <c r="X1170" t="s">
        <v>3041</v>
      </c>
      <c r="Y1170" t="s">
        <v>19255</v>
      </c>
      <c r="AA1170" t="s">
        <v>9921</v>
      </c>
      <c r="AB1170" t="s">
        <v>19256</v>
      </c>
      <c r="AC1170" t="s">
        <v>19257</v>
      </c>
      <c r="AD1170" t="s">
        <v>19258</v>
      </c>
      <c r="AE1170" t="s">
        <v>19259</v>
      </c>
      <c r="AG1170">
        <v>64</v>
      </c>
      <c r="AH1170">
        <v>1</v>
      </c>
      <c r="AI1170">
        <v>1</v>
      </c>
      <c r="AJ1170">
        <v>4</v>
      </c>
      <c r="AK1170">
        <v>4</v>
      </c>
      <c r="AL1170" t="s">
        <v>136</v>
      </c>
      <c r="AM1170" t="s">
        <v>137</v>
      </c>
      <c r="AN1170" t="s">
        <v>138</v>
      </c>
      <c r="AO1170" t="s">
        <v>240</v>
      </c>
      <c r="AP1170" t="s">
        <v>241</v>
      </c>
      <c r="AR1170" t="s">
        <v>242</v>
      </c>
      <c r="AS1170" t="s">
        <v>243</v>
      </c>
      <c r="AT1170" t="s">
        <v>224</v>
      </c>
      <c r="AU1170">
        <v>2024</v>
      </c>
      <c r="AV1170">
        <v>199</v>
      </c>
      <c r="BD1170">
        <v>115975</v>
      </c>
      <c r="BE1170" t="s">
        <v>19260</v>
      </c>
      <c r="BF1170" t="s">
        <v>19261</v>
      </c>
      <c r="BH1170" t="s">
        <v>3832</v>
      </c>
      <c r="BI1170">
        <v>11</v>
      </c>
      <c r="BJ1170" t="s">
        <v>247</v>
      </c>
      <c r="BK1170" t="s">
        <v>96</v>
      </c>
      <c r="BL1170" t="s">
        <v>248</v>
      </c>
      <c r="BM1170" t="s">
        <v>19262</v>
      </c>
      <c r="BN1170">
        <v>38160604</v>
      </c>
      <c r="BR1170" t="s">
        <v>98</v>
      </c>
      <c r="BS1170" t="s">
        <v>19263</v>
      </c>
      <c r="BT1170" t="s">
        <v>16602</v>
      </c>
    </row>
    <row r="1171" spans="1:72">
      <c r="A1171" t="s">
        <v>72</v>
      </c>
      <c r="B1171" t="s">
        <v>19264</v>
      </c>
      <c r="F1171" t="s">
        <v>19265</v>
      </c>
      <c r="I1171" t="s">
        <v>19266</v>
      </c>
      <c r="J1171" t="s">
        <v>7097</v>
      </c>
      <c r="M1171" t="s">
        <v>78</v>
      </c>
      <c r="N1171" t="s">
        <v>79</v>
      </c>
      <c r="T1171" t="s">
        <v>19267</v>
      </c>
      <c r="U1171" t="s">
        <v>19268</v>
      </c>
      <c r="V1171" t="s">
        <v>19269</v>
      </c>
      <c r="W1171" t="s">
        <v>19270</v>
      </c>
      <c r="X1171" t="s">
        <v>19271</v>
      </c>
      <c r="Y1171" t="s">
        <v>19272</v>
      </c>
      <c r="Z1171" t="s">
        <v>19273</v>
      </c>
      <c r="AA1171" t="s">
        <v>19274</v>
      </c>
      <c r="AB1171" t="s">
        <v>19275</v>
      </c>
      <c r="AC1171" t="s">
        <v>19276</v>
      </c>
      <c r="AD1171" t="s">
        <v>19277</v>
      </c>
      <c r="AE1171" t="s">
        <v>19278</v>
      </c>
      <c r="AG1171">
        <v>85</v>
      </c>
      <c r="AH1171">
        <v>9</v>
      </c>
      <c r="AI1171">
        <v>10</v>
      </c>
      <c r="AJ1171">
        <v>11</v>
      </c>
      <c r="AK1171">
        <v>37</v>
      </c>
      <c r="AL1171" t="s">
        <v>650</v>
      </c>
      <c r="AM1171" t="s">
        <v>651</v>
      </c>
      <c r="AN1171" t="s">
        <v>652</v>
      </c>
      <c r="AO1171" t="s">
        <v>7110</v>
      </c>
      <c r="AP1171" t="s">
        <v>7111</v>
      </c>
      <c r="AR1171" t="s">
        <v>7112</v>
      </c>
      <c r="AS1171" t="s">
        <v>7113</v>
      </c>
      <c r="AT1171" t="s">
        <v>305</v>
      </c>
      <c r="AU1171">
        <v>2023</v>
      </c>
      <c r="AV1171">
        <v>153</v>
      </c>
      <c r="BD1171">
        <v>110367</v>
      </c>
      <c r="BE1171" t="s">
        <v>19279</v>
      </c>
      <c r="BF1171" t="s">
        <v>19280</v>
      </c>
      <c r="BH1171" t="s">
        <v>2259</v>
      </c>
      <c r="BI1171">
        <v>12</v>
      </c>
      <c r="BJ1171" t="s">
        <v>4923</v>
      </c>
      <c r="BK1171" t="s">
        <v>96</v>
      </c>
      <c r="BL1171" t="s">
        <v>4924</v>
      </c>
      <c r="BM1171" t="s">
        <v>19281</v>
      </c>
      <c r="BO1171" t="s">
        <v>2155</v>
      </c>
      <c r="BR1171" t="s">
        <v>98</v>
      </c>
      <c r="BS1171" t="s">
        <v>19282</v>
      </c>
      <c r="BT1171" t="s">
        <v>16602</v>
      </c>
    </row>
    <row r="1172" spans="1:72">
      <c r="A1172" t="s">
        <v>72</v>
      </c>
      <c r="B1172" t="s">
        <v>19283</v>
      </c>
      <c r="F1172" t="s">
        <v>19284</v>
      </c>
      <c r="I1172" t="s">
        <v>19285</v>
      </c>
      <c r="J1172" t="s">
        <v>495</v>
      </c>
      <c r="M1172" t="s">
        <v>78</v>
      </c>
      <c r="N1172" t="s">
        <v>151</v>
      </c>
      <c r="O1172" t="s">
        <v>1873</v>
      </c>
      <c r="P1172" t="s">
        <v>1874</v>
      </c>
      <c r="Q1172" t="s">
        <v>1875</v>
      </c>
      <c r="T1172" t="s">
        <v>19286</v>
      </c>
      <c r="U1172" t="s">
        <v>19287</v>
      </c>
      <c r="V1172" t="s">
        <v>19288</v>
      </c>
      <c r="W1172" t="s">
        <v>19289</v>
      </c>
      <c r="X1172" t="s">
        <v>19290</v>
      </c>
      <c r="Y1172" t="s">
        <v>19291</v>
      </c>
      <c r="Z1172" t="s">
        <v>19292</v>
      </c>
      <c r="AA1172" t="s">
        <v>19293</v>
      </c>
      <c r="AB1172" t="s">
        <v>626</v>
      </c>
      <c r="AG1172">
        <v>16</v>
      </c>
      <c r="AH1172">
        <v>16</v>
      </c>
      <c r="AI1172">
        <v>17</v>
      </c>
      <c r="AJ1172">
        <v>0</v>
      </c>
      <c r="AK1172">
        <v>13</v>
      </c>
      <c r="AL1172" t="s">
        <v>1030</v>
      </c>
      <c r="AM1172" t="s">
        <v>1031</v>
      </c>
      <c r="AN1172" t="s">
        <v>1032</v>
      </c>
      <c r="AO1172" t="s">
        <v>507</v>
      </c>
      <c r="AP1172" t="s">
        <v>1033</v>
      </c>
      <c r="AR1172" t="s">
        <v>508</v>
      </c>
      <c r="AS1172" t="s">
        <v>509</v>
      </c>
      <c r="AU1172">
        <v>2010</v>
      </c>
      <c r="AV1172">
        <v>19</v>
      </c>
      <c r="AW1172">
        <v>9</v>
      </c>
      <c r="AZ1172" t="s">
        <v>225</v>
      </c>
      <c r="BB1172">
        <v>1841</v>
      </c>
      <c r="BC1172">
        <v>1847</v>
      </c>
      <c r="BI1172">
        <v>7</v>
      </c>
      <c r="BJ1172" t="s">
        <v>144</v>
      </c>
      <c r="BK1172" t="s">
        <v>172</v>
      </c>
      <c r="BL1172" t="s">
        <v>145</v>
      </c>
      <c r="BM1172" t="s">
        <v>19294</v>
      </c>
      <c r="BR1172" t="s">
        <v>98</v>
      </c>
      <c r="BS1172" t="s">
        <v>19295</v>
      </c>
      <c r="BT1172" t="s">
        <v>16602</v>
      </c>
    </row>
    <row r="1173" spans="1:72">
      <c r="A1173" t="s">
        <v>72</v>
      </c>
      <c r="B1173" t="s">
        <v>15396</v>
      </c>
      <c r="F1173" t="s">
        <v>15396</v>
      </c>
      <c r="I1173" t="s">
        <v>19296</v>
      </c>
      <c r="J1173" t="s">
        <v>998</v>
      </c>
      <c r="M1173" t="s">
        <v>78</v>
      </c>
      <c r="N1173" t="s">
        <v>79</v>
      </c>
      <c r="U1173" t="s">
        <v>19297</v>
      </c>
      <c r="V1173" t="s">
        <v>19298</v>
      </c>
      <c r="Y1173" t="s">
        <v>15404</v>
      </c>
      <c r="AG1173">
        <v>27</v>
      </c>
      <c r="AH1173">
        <v>74</v>
      </c>
      <c r="AI1173">
        <v>80</v>
      </c>
      <c r="AJ1173">
        <v>2</v>
      </c>
      <c r="AK1173">
        <v>22</v>
      </c>
      <c r="AL1173" t="s">
        <v>6584</v>
      </c>
      <c r="AM1173" t="s">
        <v>113</v>
      </c>
      <c r="AN1173" t="s">
        <v>6585</v>
      </c>
      <c r="AO1173" t="s">
        <v>1009</v>
      </c>
      <c r="AR1173" t="s">
        <v>1010</v>
      </c>
      <c r="AS1173" t="s">
        <v>1011</v>
      </c>
      <c r="AT1173" t="s">
        <v>93</v>
      </c>
      <c r="AU1173">
        <v>1992</v>
      </c>
      <c r="AV1173">
        <v>22</v>
      </c>
      <c r="AW1173">
        <v>3</v>
      </c>
      <c r="BB1173">
        <v>288</v>
      </c>
      <c r="BC1173">
        <v>295</v>
      </c>
      <c r="BI1173">
        <v>8</v>
      </c>
      <c r="BJ1173" t="s">
        <v>121</v>
      </c>
      <c r="BK1173" t="s">
        <v>96</v>
      </c>
      <c r="BL1173" t="s">
        <v>122</v>
      </c>
      <c r="BM1173" t="s">
        <v>19299</v>
      </c>
      <c r="BN1173">
        <v>1616314</v>
      </c>
      <c r="BR1173" t="s">
        <v>98</v>
      </c>
      <c r="BS1173" t="s">
        <v>19300</v>
      </c>
      <c r="BT1173" t="s">
        <v>16602</v>
      </c>
    </row>
    <row r="1174" spans="1:72">
      <c r="A1174" t="s">
        <v>72</v>
      </c>
      <c r="B1174" t="s">
        <v>19301</v>
      </c>
      <c r="F1174" t="s">
        <v>19302</v>
      </c>
      <c r="I1174" t="s">
        <v>19303</v>
      </c>
      <c r="J1174" t="s">
        <v>232</v>
      </c>
      <c r="M1174" t="s">
        <v>78</v>
      </c>
      <c r="N1174" t="s">
        <v>79</v>
      </c>
      <c r="T1174" t="s">
        <v>19304</v>
      </c>
      <c r="U1174" t="s">
        <v>19305</v>
      </c>
      <c r="V1174" t="s">
        <v>19306</v>
      </c>
      <c r="W1174" t="s">
        <v>19307</v>
      </c>
      <c r="X1174" t="s">
        <v>19308</v>
      </c>
      <c r="Y1174" t="s">
        <v>19309</v>
      </c>
      <c r="Z1174" t="s">
        <v>19310</v>
      </c>
      <c r="AC1174" t="s">
        <v>19311</v>
      </c>
      <c r="AD1174" t="s">
        <v>19312</v>
      </c>
      <c r="AE1174" t="s">
        <v>19313</v>
      </c>
      <c r="AG1174">
        <v>53</v>
      </c>
      <c r="AH1174">
        <v>0</v>
      </c>
      <c r="AI1174">
        <v>0</v>
      </c>
      <c r="AJ1174">
        <v>0</v>
      </c>
      <c r="AK1174">
        <v>10</v>
      </c>
      <c r="AL1174" t="s">
        <v>136</v>
      </c>
      <c r="AM1174" t="s">
        <v>137</v>
      </c>
      <c r="AN1174" t="s">
        <v>138</v>
      </c>
      <c r="AO1174" t="s">
        <v>240</v>
      </c>
      <c r="AP1174" t="s">
        <v>241</v>
      </c>
      <c r="AR1174" t="s">
        <v>242</v>
      </c>
      <c r="AS1174" t="s">
        <v>243</v>
      </c>
      <c r="AT1174" t="s">
        <v>951</v>
      </c>
      <c r="AU1174">
        <v>2020</v>
      </c>
      <c r="AV1174">
        <v>160</v>
      </c>
      <c r="BD1174">
        <v>111550</v>
      </c>
      <c r="BE1174" t="s">
        <v>19314</v>
      </c>
      <c r="BF1174" t="s">
        <v>19315</v>
      </c>
      <c r="BI1174">
        <v>7</v>
      </c>
      <c r="BJ1174" t="s">
        <v>247</v>
      </c>
      <c r="BK1174" t="s">
        <v>96</v>
      </c>
      <c r="BL1174" t="s">
        <v>248</v>
      </c>
      <c r="BM1174" t="s">
        <v>19316</v>
      </c>
      <c r="BN1174">
        <v>32889508</v>
      </c>
      <c r="BR1174" t="s">
        <v>98</v>
      </c>
      <c r="BS1174" t="s">
        <v>19317</v>
      </c>
      <c r="BT1174" t="s">
        <v>16602</v>
      </c>
    </row>
    <row r="1175" spans="1:72">
      <c r="A1175" t="s">
        <v>72</v>
      </c>
      <c r="B1175" t="s">
        <v>19318</v>
      </c>
      <c r="F1175" t="s">
        <v>19318</v>
      </c>
      <c r="I1175" t="s">
        <v>19319</v>
      </c>
      <c r="J1175" t="s">
        <v>1254</v>
      </c>
      <c r="M1175" t="s">
        <v>78</v>
      </c>
      <c r="N1175" t="s">
        <v>79</v>
      </c>
      <c r="U1175" t="s">
        <v>19320</v>
      </c>
      <c r="V1175" t="s">
        <v>19321</v>
      </c>
      <c r="W1175" t="s">
        <v>19322</v>
      </c>
      <c r="X1175" t="s">
        <v>19323</v>
      </c>
      <c r="Y1175" t="s">
        <v>19324</v>
      </c>
      <c r="AA1175" t="s">
        <v>19325</v>
      </c>
      <c r="AB1175" t="s">
        <v>19326</v>
      </c>
      <c r="AG1175">
        <v>24</v>
      </c>
      <c r="AH1175">
        <v>168</v>
      </c>
      <c r="AI1175">
        <v>191</v>
      </c>
      <c r="AJ1175">
        <v>1</v>
      </c>
      <c r="AK1175">
        <v>16</v>
      </c>
      <c r="AL1175" t="s">
        <v>136</v>
      </c>
      <c r="AM1175" t="s">
        <v>137</v>
      </c>
      <c r="AN1175" t="s">
        <v>138</v>
      </c>
      <c r="AO1175" t="s">
        <v>1264</v>
      </c>
      <c r="AR1175" t="s">
        <v>1266</v>
      </c>
      <c r="AS1175" t="s">
        <v>1267</v>
      </c>
      <c r="AT1175" t="s">
        <v>224</v>
      </c>
      <c r="AU1175">
        <v>2002</v>
      </c>
      <c r="AV1175">
        <v>27</v>
      </c>
      <c r="AW1175">
        <v>7</v>
      </c>
      <c r="BB1175">
        <v>521</v>
      </c>
      <c r="BC1175">
        <v>526</v>
      </c>
      <c r="BE1175" t="s">
        <v>19327</v>
      </c>
      <c r="BF1175" t="s">
        <v>19328</v>
      </c>
      <c r="BI1175">
        <v>6</v>
      </c>
      <c r="BJ1175" t="s">
        <v>144</v>
      </c>
      <c r="BK1175" t="s">
        <v>96</v>
      </c>
      <c r="BL1175" t="s">
        <v>145</v>
      </c>
      <c r="BM1175" t="s">
        <v>19329</v>
      </c>
      <c r="BN1175">
        <v>11868661</v>
      </c>
      <c r="BR1175" t="s">
        <v>98</v>
      </c>
      <c r="BS1175" t="s">
        <v>19330</v>
      </c>
      <c r="BT1175" t="s">
        <v>16602</v>
      </c>
    </row>
    <row r="1176" spans="1:72">
      <c r="A1176" t="s">
        <v>72</v>
      </c>
      <c r="B1176" t="s">
        <v>19331</v>
      </c>
      <c r="F1176" t="s">
        <v>19332</v>
      </c>
      <c r="I1176" t="s">
        <v>19333</v>
      </c>
      <c r="J1176" t="s">
        <v>19334</v>
      </c>
      <c r="M1176" t="s">
        <v>78</v>
      </c>
      <c r="N1176" t="s">
        <v>79</v>
      </c>
      <c r="T1176" t="s">
        <v>19335</v>
      </c>
      <c r="U1176" t="s">
        <v>19336</v>
      </c>
      <c r="V1176" t="s">
        <v>19337</v>
      </c>
      <c r="W1176" t="s">
        <v>19338</v>
      </c>
      <c r="X1176" t="s">
        <v>19339</v>
      </c>
      <c r="Y1176" t="s">
        <v>19340</v>
      </c>
      <c r="Z1176" t="s">
        <v>19341</v>
      </c>
      <c r="AC1176" t="s">
        <v>19342</v>
      </c>
      <c r="AD1176" t="s">
        <v>19343</v>
      </c>
      <c r="AE1176" t="s">
        <v>19344</v>
      </c>
      <c r="AG1176">
        <v>64</v>
      </c>
      <c r="AH1176">
        <v>50</v>
      </c>
      <c r="AI1176">
        <v>54</v>
      </c>
      <c r="AJ1176">
        <v>14</v>
      </c>
      <c r="AK1176">
        <v>240</v>
      </c>
      <c r="AL1176" t="s">
        <v>19345</v>
      </c>
      <c r="AM1176" t="s">
        <v>1351</v>
      </c>
      <c r="AN1176" t="s">
        <v>19346</v>
      </c>
      <c r="AO1176" t="s">
        <v>19347</v>
      </c>
      <c r="AP1176" t="s">
        <v>19348</v>
      </c>
      <c r="AR1176" t="s">
        <v>19349</v>
      </c>
      <c r="AS1176" t="s">
        <v>19350</v>
      </c>
      <c r="AT1176" t="s">
        <v>6052</v>
      </c>
      <c r="AU1176">
        <v>2020</v>
      </c>
      <c r="AV1176">
        <v>383</v>
      </c>
      <c r="BD1176">
        <v>123107</v>
      </c>
      <c r="BE1176" t="s">
        <v>19351</v>
      </c>
      <c r="BF1176" t="s">
        <v>19352</v>
      </c>
      <c r="BI1176">
        <v>14</v>
      </c>
      <c r="BJ1176" t="s">
        <v>3991</v>
      </c>
      <c r="BK1176" t="s">
        <v>96</v>
      </c>
      <c r="BL1176" t="s">
        <v>3992</v>
      </c>
      <c r="BM1176" t="s">
        <v>19353</v>
      </c>
      <c r="BR1176" t="s">
        <v>98</v>
      </c>
      <c r="BS1176" t="s">
        <v>19354</v>
      </c>
      <c r="BT1176" t="s">
        <v>16602</v>
      </c>
    </row>
    <row r="1177" spans="1:72">
      <c r="A1177" t="s">
        <v>72</v>
      </c>
      <c r="B1177" t="s">
        <v>19355</v>
      </c>
      <c r="F1177" t="s">
        <v>19355</v>
      </c>
      <c r="I1177" t="s">
        <v>19356</v>
      </c>
      <c r="J1177" t="s">
        <v>19357</v>
      </c>
      <c r="M1177" t="s">
        <v>78</v>
      </c>
      <c r="N1177" t="s">
        <v>79</v>
      </c>
      <c r="V1177" t="s">
        <v>19358</v>
      </c>
      <c r="W1177" t="s">
        <v>19359</v>
      </c>
      <c r="X1177" t="s">
        <v>10674</v>
      </c>
      <c r="Y1177" t="s">
        <v>19360</v>
      </c>
      <c r="AA1177" t="s">
        <v>19361</v>
      </c>
      <c r="AB1177" t="s">
        <v>19362</v>
      </c>
      <c r="AG1177">
        <v>6</v>
      </c>
      <c r="AH1177">
        <v>51</v>
      </c>
      <c r="AI1177">
        <v>55</v>
      </c>
      <c r="AJ1177">
        <v>0</v>
      </c>
      <c r="AK1177">
        <v>7</v>
      </c>
      <c r="AL1177" t="s">
        <v>6584</v>
      </c>
      <c r="AM1177" t="s">
        <v>113</v>
      </c>
      <c r="AN1177" t="s">
        <v>2719</v>
      </c>
      <c r="AO1177" t="s">
        <v>19363</v>
      </c>
      <c r="AR1177" t="s">
        <v>19364</v>
      </c>
      <c r="AS1177" t="s">
        <v>19365</v>
      </c>
      <c r="AT1177" t="s">
        <v>224</v>
      </c>
      <c r="AU1177">
        <v>1999</v>
      </c>
      <c r="AV1177">
        <v>363</v>
      </c>
      <c r="AW1177">
        <v>3</v>
      </c>
      <c r="BB1177">
        <v>283</v>
      </c>
      <c r="BC1177">
        <v>288</v>
      </c>
      <c r="BE1177" t="s">
        <v>19366</v>
      </c>
      <c r="BF1177" t="s">
        <v>19367</v>
      </c>
      <c r="BI1177">
        <v>6</v>
      </c>
      <c r="BJ1177" t="s">
        <v>1196</v>
      </c>
      <c r="BK1177" t="s">
        <v>96</v>
      </c>
      <c r="BL1177" t="s">
        <v>1197</v>
      </c>
      <c r="BM1177" t="s">
        <v>19368</v>
      </c>
      <c r="BR1177" t="s">
        <v>98</v>
      </c>
      <c r="BS1177" t="s">
        <v>19369</v>
      </c>
      <c r="BT1177" t="s">
        <v>16602</v>
      </c>
    </row>
    <row r="1178" spans="1:72">
      <c r="A1178" t="s">
        <v>72</v>
      </c>
      <c r="B1178" t="s">
        <v>19370</v>
      </c>
      <c r="F1178" t="s">
        <v>19370</v>
      </c>
      <c r="I1178" t="s">
        <v>19371</v>
      </c>
      <c r="J1178" t="s">
        <v>909</v>
      </c>
      <c r="M1178" t="s">
        <v>78</v>
      </c>
      <c r="N1178" t="s">
        <v>79</v>
      </c>
      <c r="V1178" t="s">
        <v>19372</v>
      </c>
      <c r="Y1178" t="s">
        <v>19373</v>
      </c>
      <c r="AG1178">
        <v>15</v>
      </c>
      <c r="AH1178">
        <v>18</v>
      </c>
      <c r="AI1178">
        <v>19</v>
      </c>
      <c r="AJ1178">
        <v>0</v>
      </c>
      <c r="AK1178">
        <v>2</v>
      </c>
      <c r="AL1178" t="s">
        <v>650</v>
      </c>
      <c r="AM1178" t="s">
        <v>651</v>
      </c>
      <c r="AN1178" t="s">
        <v>652</v>
      </c>
      <c r="AO1178" t="s">
        <v>921</v>
      </c>
      <c r="AP1178" t="s">
        <v>922</v>
      </c>
      <c r="AR1178" t="s">
        <v>923</v>
      </c>
      <c r="AS1178" t="s">
        <v>924</v>
      </c>
      <c r="AT1178" t="s">
        <v>2303</v>
      </c>
      <c r="AU1178">
        <v>1986</v>
      </c>
      <c r="AV1178">
        <v>57</v>
      </c>
      <c r="BB1178">
        <v>217</v>
      </c>
      <c r="BC1178">
        <v>230</v>
      </c>
      <c r="BE1178" t="s">
        <v>19374</v>
      </c>
      <c r="BF1178" t="s">
        <v>19375</v>
      </c>
      <c r="BI1178">
        <v>14</v>
      </c>
      <c r="BJ1178" t="s">
        <v>144</v>
      </c>
      <c r="BK1178" t="s">
        <v>96</v>
      </c>
      <c r="BL1178" t="s">
        <v>145</v>
      </c>
      <c r="BM1178" t="s">
        <v>19376</v>
      </c>
      <c r="BN1178">
        <v>3810143</v>
      </c>
      <c r="BR1178" t="s">
        <v>98</v>
      </c>
      <c r="BS1178" t="s">
        <v>19377</v>
      </c>
      <c r="BT1178" t="s">
        <v>16602</v>
      </c>
    </row>
    <row r="1179" spans="1:72">
      <c r="A1179" t="s">
        <v>72</v>
      </c>
      <c r="B1179" t="s">
        <v>19378</v>
      </c>
      <c r="F1179" t="s">
        <v>19378</v>
      </c>
      <c r="I1179" t="s">
        <v>19379</v>
      </c>
      <c r="J1179" t="s">
        <v>2323</v>
      </c>
      <c r="M1179" t="s">
        <v>78</v>
      </c>
      <c r="N1179" t="s">
        <v>151</v>
      </c>
      <c r="O1179" t="s">
        <v>2324</v>
      </c>
      <c r="P1179" t="s">
        <v>2325</v>
      </c>
      <c r="Q1179" t="s">
        <v>2326</v>
      </c>
      <c r="T1179" t="s">
        <v>19380</v>
      </c>
      <c r="U1179" t="s">
        <v>19381</v>
      </c>
      <c r="V1179" t="s">
        <v>19382</v>
      </c>
      <c r="W1179" t="s">
        <v>19383</v>
      </c>
      <c r="X1179" t="s">
        <v>9614</v>
      </c>
      <c r="Y1179" t="s">
        <v>19384</v>
      </c>
      <c r="Z1179" t="s">
        <v>10918</v>
      </c>
      <c r="AA1179" t="s">
        <v>2334</v>
      </c>
      <c r="AB1179" t="s">
        <v>9616</v>
      </c>
      <c r="AG1179">
        <v>71</v>
      </c>
      <c r="AH1179">
        <v>159</v>
      </c>
      <c r="AI1179">
        <v>183</v>
      </c>
      <c r="AJ1179">
        <v>1</v>
      </c>
      <c r="AK1179">
        <v>59</v>
      </c>
      <c r="AL1179" t="s">
        <v>2336</v>
      </c>
      <c r="AM1179" t="s">
        <v>113</v>
      </c>
      <c r="AN1179" t="s">
        <v>2337</v>
      </c>
      <c r="AO1179" t="s">
        <v>2338</v>
      </c>
      <c r="AP1179" t="s">
        <v>2339</v>
      </c>
      <c r="AR1179" t="s">
        <v>2323</v>
      </c>
      <c r="AS1179" t="s">
        <v>2340</v>
      </c>
      <c r="AU1179">
        <v>2003</v>
      </c>
      <c r="AV1179">
        <v>126</v>
      </c>
      <c r="AY1179" t="s">
        <v>2341</v>
      </c>
      <c r="BB1179" t="s">
        <v>19385</v>
      </c>
      <c r="BC1179" t="s">
        <v>19386</v>
      </c>
      <c r="BE1179" t="s">
        <v>19387</v>
      </c>
      <c r="BF1179" t="s">
        <v>19388</v>
      </c>
      <c r="BI1179">
        <v>8</v>
      </c>
      <c r="BJ1179" t="s">
        <v>2340</v>
      </c>
      <c r="BK1179" t="s">
        <v>172</v>
      </c>
      <c r="BL1179" t="s">
        <v>2340</v>
      </c>
      <c r="BM1179" t="s">
        <v>2345</v>
      </c>
      <c r="BN1179">
        <v>14667172</v>
      </c>
      <c r="BR1179" t="s">
        <v>98</v>
      </c>
      <c r="BS1179" t="s">
        <v>19389</v>
      </c>
      <c r="BT1179" t="s">
        <v>16602</v>
      </c>
    </row>
    <row r="1180" spans="1:72">
      <c r="A1180" t="s">
        <v>72</v>
      </c>
      <c r="B1180" t="s">
        <v>19390</v>
      </c>
      <c r="F1180" t="s">
        <v>19390</v>
      </c>
      <c r="I1180" t="s">
        <v>19391</v>
      </c>
      <c r="J1180" t="s">
        <v>10129</v>
      </c>
      <c r="M1180" t="s">
        <v>78</v>
      </c>
      <c r="N1180" t="s">
        <v>79</v>
      </c>
      <c r="T1180" t="s">
        <v>19392</v>
      </c>
      <c r="U1180" t="s">
        <v>19393</v>
      </c>
      <c r="V1180" t="s">
        <v>19394</v>
      </c>
      <c r="W1180" t="s">
        <v>19395</v>
      </c>
      <c r="X1180" t="s">
        <v>19396</v>
      </c>
      <c r="Y1180" t="s">
        <v>19397</v>
      </c>
      <c r="Z1180" t="s">
        <v>19398</v>
      </c>
      <c r="AA1180" t="s">
        <v>19399</v>
      </c>
      <c r="AB1180" t="s">
        <v>19400</v>
      </c>
      <c r="AG1180">
        <v>32</v>
      </c>
      <c r="AH1180">
        <v>77</v>
      </c>
      <c r="AI1180">
        <v>93</v>
      </c>
      <c r="AJ1180">
        <v>0</v>
      </c>
      <c r="AK1180">
        <v>29</v>
      </c>
      <c r="AL1180" t="s">
        <v>3362</v>
      </c>
      <c r="AM1180" t="s">
        <v>3363</v>
      </c>
      <c r="AN1180" t="s">
        <v>3364</v>
      </c>
      <c r="AO1180" t="s">
        <v>10137</v>
      </c>
      <c r="AP1180" t="s">
        <v>10138</v>
      </c>
      <c r="AR1180" t="s">
        <v>10139</v>
      </c>
      <c r="AS1180" t="s">
        <v>10140</v>
      </c>
      <c r="AT1180" t="s">
        <v>224</v>
      </c>
      <c r="AU1180">
        <v>2004</v>
      </c>
      <c r="AV1180">
        <v>94</v>
      </c>
      <c r="AW1180">
        <v>2</v>
      </c>
      <c r="BB1180">
        <v>184</v>
      </c>
      <c r="BC1180">
        <v>191</v>
      </c>
      <c r="BE1180" t="s">
        <v>19401</v>
      </c>
      <c r="BF1180" t="s">
        <v>19402</v>
      </c>
      <c r="BI1180">
        <v>8</v>
      </c>
      <c r="BJ1180" t="s">
        <v>10142</v>
      </c>
      <c r="BK1180" t="s">
        <v>96</v>
      </c>
      <c r="BL1180" t="s">
        <v>10143</v>
      </c>
      <c r="BM1180" t="s">
        <v>19403</v>
      </c>
      <c r="BN1180">
        <v>14757381</v>
      </c>
      <c r="BR1180" t="s">
        <v>98</v>
      </c>
      <c r="BS1180" t="s">
        <v>19404</v>
      </c>
      <c r="BT1180" t="s">
        <v>16602</v>
      </c>
    </row>
    <row r="1181" spans="1:72">
      <c r="A1181" t="s">
        <v>72</v>
      </c>
      <c r="B1181" t="s">
        <v>19405</v>
      </c>
      <c r="F1181" t="s">
        <v>19406</v>
      </c>
      <c r="I1181" t="s">
        <v>19407</v>
      </c>
      <c r="J1181" t="s">
        <v>13780</v>
      </c>
      <c r="M1181" t="s">
        <v>78</v>
      </c>
      <c r="N1181" t="s">
        <v>79</v>
      </c>
      <c r="T1181" t="s">
        <v>19408</v>
      </c>
      <c r="U1181" t="s">
        <v>19409</v>
      </c>
      <c r="V1181" t="s">
        <v>19410</v>
      </c>
      <c r="W1181" t="s">
        <v>19411</v>
      </c>
      <c r="X1181" t="s">
        <v>19412</v>
      </c>
      <c r="Y1181" t="s">
        <v>19413</v>
      </c>
      <c r="Z1181" t="s">
        <v>19414</v>
      </c>
      <c r="AC1181" t="s">
        <v>9879</v>
      </c>
      <c r="AD1181" t="s">
        <v>9879</v>
      </c>
      <c r="AE1181" t="s">
        <v>19415</v>
      </c>
      <c r="AG1181">
        <v>68</v>
      </c>
      <c r="AH1181">
        <v>10</v>
      </c>
      <c r="AI1181">
        <v>12</v>
      </c>
      <c r="AJ1181">
        <v>0</v>
      </c>
      <c r="AK1181">
        <v>28</v>
      </c>
      <c r="AL1181" t="s">
        <v>19416</v>
      </c>
      <c r="AM1181" t="s">
        <v>19417</v>
      </c>
      <c r="AN1181" t="s">
        <v>19418</v>
      </c>
      <c r="AO1181" t="s">
        <v>13793</v>
      </c>
      <c r="AP1181" t="s">
        <v>13794</v>
      </c>
      <c r="AR1181" t="s">
        <v>13795</v>
      </c>
      <c r="AS1181" t="s">
        <v>13796</v>
      </c>
      <c r="AT1181" t="s">
        <v>93</v>
      </c>
      <c r="AU1181">
        <v>2012</v>
      </c>
      <c r="AV1181">
        <v>47</v>
      </c>
      <c r="AW1181">
        <v>1</v>
      </c>
      <c r="BB1181">
        <v>12</v>
      </c>
      <c r="BC1181">
        <v>25</v>
      </c>
      <c r="BE1181" t="s">
        <v>19419</v>
      </c>
      <c r="BF1181" t="s">
        <v>19420</v>
      </c>
      <c r="BI1181">
        <v>14</v>
      </c>
      <c r="BJ1181" t="s">
        <v>2210</v>
      </c>
      <c r="BK1181" t="s">
        <v>96</v>
      </c>
      <c r="BL1181" t="s">
        <v>2210</v>
      </c>
      <c r="BM1181" t="s">
        <v>19421</v>
      </c>
      <c r="BR1181" t="s">
        <v>98</v>
      </c>
      <c r="BS1181" t="s">
        <v>19422</v>
      </c>
      <c r="BT1181" t="s">
        <v>16602</v>
      </c>
    </row>
    <row r="1182" spans="1:72">
      <c r="A1182" t="s">
        <v>72</v>
      </c>
      <c r="B1182" t="s">
        <v>19423</v>
      </c>
      <c r="F1182" t="s">
        <v>19424</v>
      </c>
      <c r="I1182" t="s">
        <v>19425</v>
      </c>
      <c r="J1182" t="s">
        <v>7269</v>
      </c>
      <c r="M1182" t="s">
        <v>78</v>
      </c>
      <c r="N1182" t="s">
        <v>79</v>
      </c>
      <c r="T1182" t="s">
        <v>19426</v>
      </c>
      <c r="U1182" t="s">
        <v>19427</v>
      </c>
      <c r="V1182" t="s">
        <v>19428</v>
      </c>
      <c r="W1182" t="s">
        <v>19429</v>
      </c>
      <c r="X1182" t="s">
        <v>19430</v>
      </c>
      <c r="Y1182" t="s">
        <v>19431</v>
      </c>
      <c r="Z1182" t="s">
        <v>19432</v>
      </c>
      <c r="AA1182" t="s">
        <v>19433</v>
      </c>
      <c r="AC1182" t="s">
        <v>19434</v>
      </c>
      <c r="AD1182" t="s">
        <v>19435</v>
      </c>
      <c r="AE1182" t="s">
        <v>19436</v>
      </c>
      <c r="AG1182">
        <v>47</v>
      </c>
      <c r="AH1182">
        <v>91</v>
      </c>
      <c r="AI1182">
        <v>94</v>
      </c>
      <c r="AJ1182">
        <v>3</v>
      </c>
      <c r="AK1182">
        <v>215</v>
      </c>
      <c r="AL1182" t="s">
        <v>919</v>
      </c>
      <c r="AM1182" t="s">
        <v>651</v>
      </c>
      <c r="AN1182" t="s">
        <v>920</v>
      </c>
      <c r="AO1182" t="s">
        <v>7282</v>
      </c>
      <c r="AP1182" t="s">
        <v>7283</v>
      </c>
      <c r="AR1182" t="s">
        <v>7284</v>
      </c>
      <c r="AS1182" t="s">
        <v>7285</v>
      </c>
      <c r="AT1182" t="s">
        <v>1856</v>
      </c>
      <c r="AU1182">
        <v>2017</v>
      </c>
      <c r="AV1182">
        <v>413</v>
      </c>
      <c r="BB1182">
        <v>140</v>
      </c>
      <c r="BC1182">
        <v>148</v>
      </c>
      <c r="BE1182" t="s">
        <v>19437</v>
      </c>
      <c r="BF1182" t="s">
        <v>19438</v>
      </c>
      <c r="BI1182">
        <v>9</v>
      </c>
      <c r="BJ1182" t="s">
        <v>7287</v>
      </c>
      <c r="BK1182" t="s">
        <v>96</v>
      </c>
      <c r="BL1182" t="s">
        <v>7288</v>
      </c>
      <c r="BM1182" t="s">
        <v>19439</v>
      </c>
      <c r="BR1182" t="s">
        <v>98</v>
      </c>
      <c r="BS1182" t="s">
        <v>19440</v>
      </c>
      <c r="BT1182" t="s">
        <v>16602</v>
      </c>
    </row>
    <row r="1183" spans="1:72">
      <c r="A1183" t="s">
        <v>72</v>
      </c>
      <c r="B1183" t="s">
        <v>19441</v>
      </c>
      <c r="F1183" t="s">
        <v>19442</v>
      </c>
      <c r="I1183" t="s">
        <v>19443</v>
      </c>
      <c r="J1183" t="s">
        <v>232</v>
      </c>
      <c r="M1183" t="s">
        <v>78</v>
      </c>
      <c r="N1183" t="s">
        <v>79</v>
      </c>
      <c r="T1183" t="s">
        <v>19444</v>
      </c>
      <c r="U1183" t="s">
        <v>19445</v>
      </c>
      <c r="V1183" t="s">
        <v>19446</v>
      </c>
      <c r="W1183" t="s">
        <v>19447</v>
      </c>
      <c r="X1183" t="s">
        <v>9952</v>
      </c>
      <c r="Y1183" t="s">
        <v>19448</v>
      </c>
      <c r="Z1183" t="s">
        <v>19449</v>
      </c>
      <c r="AC1183" t="s">
        <v>19450</v>
      </c>
      <c r="AD1183" t="s">
        <v>19451</v>
      </c>
      <c r="AE1183" t="s">
        <v>19452</v>
      </c>
      <c r="AG1183">
        <v>83</v>
      </c>
      <c r="AH1183">
        <v>86</v>
      </c>
      <c r="AI1183">
        <v>101</v>
      </c>
      <c r="AJ1183">
        <v>5</v>
      </c>
      <c r="AK1183">
        <v>115</v>
      </c>
      <c r="AL1183" t="s">
        <v>136</v>
      </c>
      <c r="AM1183" t="s">
        <v>137</v>
      </c>
      <c r="AN1183" t="s">
        <v>138</v>
      </c>
      <c r="AO1183" t="s">
        <v>240</v>
      </c>
      <c r="AP1183" t="s">
        <v>241</v>
      </c>
      <c r="AR1183" t="s">
        <v>242</v>
      </c>
      <c r="AS1183" t="s">
        <v>243</v>
      </c>
      <c r="AT1183" t="s">
        <v>1470</v>
      </c>
      <c r="AU1183">
        <v>2018</v>
      </c>
      <c r="AV1183">
        <v>126</v>
      </c>
      <c r="BB1183">
        <v>293</v>
      </c>
      <c r="BC1183">
        <v>303</v>
      </c>
      <c r="BE1183" t="s">
        <v>19453</v>
      </c>
      <c r="BF1183" t="s">
        <v>19454</v>
      </c>
      <c r="BI1183">
        <v>11</v>
      </c>
      <c r="BJ1183" t="s">
        <v>247</v>
      </c>
      <c r="BK1183" t="s">
        <v>96</v>
      </c>
      <c r="BL1183" t="s">
        <v>248</v>
      </c>
      <c r="BM1183" t="s">
        <v>8877</v>
      </c>
      <c r="BN1183">
        <v>29421100</v>
      </c>
      <c r="BR1183" t="s">
        <v>98</v>
      </c>
      <c r="BS1183" t="s">
        <v>19455</v>
      </c>
      <c r="BT1183" t="s">
        <v>16602</v>
      </c>
    </row>
    <row r="1184" spans="1:72">
      <c r="A1184" t="s">
        <v>72</v>
      </c>
      <c r="B1184" t="s">
        <v>19456</v>
      </c>
      <c r="F1184" t="s">
        <v>19457</v>
      </c>
      <c r="I1184" t="s">
        <v>19458</v>
      </c>
      <c r="J1184" t="s">
        <v>19459</v>
      </c>
      <c r="M1184" t="s">
        <v>78</v>
      </c>
      <c r="N1184" t="s">
        <v>79</v>
      </c>
      <c r="U1184" t="s">
        <v>19460</v>
      </c>
      <c r="V1184" t="s">
        <v>19461</v>
      </c>
      <c r="W1184" t="s">
        <v>19462</v>
      </c>
      <c r="X1184" t="s">
        <v>19463</v>
      </c>
      <c r="Y1184" t="s">
        <v>19464</v>
      </c>
      <c r="Z1184" t="s">
        <v>19465</v>
      </c>
      <c r="AA1184" t="s">
        <v>19466</v>
      </c>
      <c r="AB1184" t="s">
        <v>19467</v>
      </c>
      <c r="AC1184" t="s">
        <v>19468</v>
      </c>
      <c r="AD1184" t="s">
        <v>19469</v>
      </c>
      <c r="AE1184" t="s">
        <v>19470</v>
      </c>
      <c r="AG1184">
        <v>63</v>
      </c>
      <c r="AH1184">
        <v>55</v>
      </c>
      <c r="AI1184">
        <v>59</v>
      </c>
      <c r="AJ1184">
        <v>1</v>
      </c>
      <c r="AK1184">
        <v>76</v>
      </c>
      <c r="AL1184" t="s">
        <v>261</v>
      </c>
      <c r="AM1184" t="s">
        <v>262</v>
      </c>
      <c r="AN1184" t="s">
        <v>19471</v>
      </c>
      <c r="AO1184" t="s">
        <v>19472</v>
      </c>
      <c r="AR1184" t="s">
        <v>19473</v>
      </c>
      <c r="AS1184" t="s">
        <v>19474</v>
      </c>
      <c r="AU1184">
        <v>2015</v>
      </c>
      <c r="AV1184">
        <v>5</v>
      </c>
      <c r="AW1184">
        <v>84</v>
      </c>
      <c r="BB1184">
        <v>68430</v>
      </c>
      <c r="BC1184">
        <v>68438</v>
      </c>
      <c r="BE1184" t="s">
        <v>19475</v>
      </c>
      <c r="BF1184" t="s">
        <v>19476</v>
      </c>
      <c r="BI1184">
        <v>9</v>
      </c>
      <c r="BJ1184" t="s">
        <v>3919</v>
      </c>
      <c r="BK1184" t="s">
        <v>96</v>
      </c>
      <c r="BL1184" t="s">
        <v>1197</v>
      </c>
      <c r="BM1184" t="s">
        <v>19477</v>
      </c>
      <c r="BR1184" t="s">
        <v>98</v>
      </c>
      <c r="BS1184" t="s">
        <v>19478</v>
      </c>
      <c r="BT1184" t="s">
        <v>16602</v>
      </c>
    </row>
    <row r="1185" spans="1:72">
      <c r="A1185" t="s">
        <v>72</v>
      </c>
      <c r="B1185" t="s">
        <v>19479</v>
      </c>
      <c r="F1185" t="s">
        <v>19480</v>
      </c>
      <c r="I1185" t="s">
        <v>19481</v>
      </c>
      <c r="J1185" t="s">
        <v>5592</v>
      </c>
      <c r="M1185" t="s">
        <v>78</v>
      </c>
      <c r="N1185" t="s">
        <v>79</v>
      </c>
      <c r="T1185" t="s">
        <v>19482</v>
      </c>
      <c r="U1185" t="s">
        <v>19483</v>
      </c>
      <c r="V1185" t="s">
        <v>19484</v>
      </c>
      <c r="W1185" t="s">
        <v>19485</v>
      </c>
      <c r="X1185" t="s">
        <v>19486</v>
      </c>
      <c r="Y1185" t="s">
        <v>19487</v>
      </c>
      <c r="Z1185" t="s">
        <v>19488</v>
      </c>
      <c r="AA1185" t="s">
        <v>19489</v>
      </c>
      <c r="AB1185" t="s">
        <v>19490</v>
      </c>
      <c r="AC1185" t="s">
        <v>19491</v>
      </c>
      <c r="AD1185" t="s">
        <v>19492</v>
      </c>
      <c r="AE1185" t="s">
        <v>19493</v>
      </c>
      <c r="AG1185">
        <v>67</v>
      </c>
      <c r="AH1185">
        <v>21</v>
      </c>
      <c r="AI1185">
        <v>22</v>
      </c>
      <c r="AJ1185">
        <v>1</v>
      </c>
      <c r="AK1185">
        <v>56</v>
      </c>
      <c r="AL1185" t="s">
        <v>285</v>
      </c>
      <c r="AM1185" t="s">
        <v>286</v>
      </c>
      <c r="AN1185" t="s">
        <v>287</v>
      </c>
      <c r="AO1185" t="s">
        <v>5605</v>
      </c>
      <c r="AP1185" t="s">
        <v>5606</v>
      </c>
      <c r="AR1185" t="s">
        <v>5607</v>
      </c>
      <c r="AS1185" t="s">
        <v>5608</v>
      </c>
      <c r="AT1185" t="s">
        <v>18349</v>
      </c>
      <c r="AU1185">
        <v>2018</v>
      </c>
      <c r="AV1185">
        <v>201</v>
      </c>
      <c r="AZ1185" t="s">
        <v>225</v>
      </c>
      <c r="BB1185">
        <v>185</v>
      </c>
      <c r="BC1185">
        <v>197</v>
      </c>
      <c r="BE1185" t="s">
        <v>19494</v>
      </c>
      <c r="BF1185" t="s">
        <v>19495</v>
      </c>
      <c r="BI1185">
        <v>13</v>
      </c>
      <c r="BJ1185" t="s">
        <v>4241</v>
      </c>
      <c r="BK1185" t="s">
        <v>96</v>
      </c>
      <c r="BL1185" t="s">
        <v>4241</v>
      </c>
      <c r="BM1185" t="s">
        <v>19496</v>
      </c>
      <c r="BR1185" t="s">
        <v>98</v>
      </c>
      <c r="BS1185" t="s">
        <v>19497</v>
      </c>
      <c r="BT1185" t="s">
        <v>16602</v>
      </c>
    </row>
    <row r="1186" spans="1:72">
      <c r="A1186" t="s">
        <v>72</v>
      </c>
      <c r="B1186" t="s">
        <v>19498</v>
      </c>
      <c r="F1186" t="s">
        <v>19498</v>
      </c>
      <c r="I1186" t="s">
        <v>19499</v>
      </c>
      <c r="J1186" t="s">
        <v>232</v>
      </c>
      <c r="M1186" t="s">
        <v>78</v>
      </c>
      <c r="N1186" t="s">
        <v>79</v>
      </c>
      <c r="T1186" t="s">
        <v>19500</v>
      </c>
      <c r="U1186" t="s">
        <v>19501</v>
      </c>
      <c r="W1186" t="s">
        <v>19502</v>
      </c>
      <c r="X1186" t="s">
        <v>19503</v>
      </c>
      <c r="Y1186" t="s">
        <v>19504</v>
      </c>
      <c r="Z1186" t="s">
        <v>19505</v>
      </c>
      <c r="AA1186" t="s">
        <v>19506</v>
      </c>
      <c r="AB1186" t="s">
        <v>19507</v>
      </c>
      <c r="AG1186">
        <v>20</v>
      </c>
      <c r="AH1186">
        <v>25</v>
      </c>
      <c r="AI1186">
        <v>29</v>
      </c>
      <c r="AJ1186">
        <v>1</v>
      </c>
      <c r="AK1186">
        <v>9</v>
      </c>
      <c r="AL1186" t="s">
        <v>136</v>
      </c>
      <c r="AM1186" t="s">
        <v>137</v>
      </c>
      <c r="AN1186" t="s">
        <v>138</v>
      </c>
      <c r="AO1186" t="s">
        <v>240</v>
      </c>
      <c r="AP1186" t="s">
        <v>241</v>
      </c>
      <c r="AR1186" t="s">
        <v>242</v>
      </c>
      <c r="AS1186" t="s">
        <v>243</v>
      </c>
      <c r="AT1186" t="s">
        <v>142</v>
      </c>
      <c r="AU1186">
        <v>2003</v>
      </c>
      <c r="AV1186">
        <v>46</v>
      </c>
      <c r="AW1186">
        <v>6</v>
      </c>
      <c r="BB1186">
        <v>784</v>
      </c>
      <c r="BC1186">
        <v>791</v>
      </c>
      <c r="BE1186" t="s">
        <v>19508</v>
      </c>
      <c r="BF1186" t="s">
        <v>19509</v>
      </c>
      <c r="BI1186">
        <v>8</v>
      </c>
      <c r="BJ1186" t="s">
        <v>247</v>
      </c>
      <c r="BK1186" t="s">
        <v>96</v>
      </c>
      <c r="BL1186" t="s">
        <v>248</v>
      </c>
      <c r="BM1186" t="s">
        <v>19510</v>
      </c>
      <c r="BN1186">
        <v>12787587</v>
      </c>
      <c r="BR1186" t="s">
        <v>98</v>
      </c>
      <c r="BS1186" t="s">
        <v>19511</v>
      </c>
      <c r="BT1186" t="s">
        <v>16602</v>
      </c>
    </row>
    <row r="1187" spans="1:72">
      <c r="A1187" t="s">
        <v>72</v>
      </c>
      <c r="B1187" t="s">
        <v>19512</v>
      </c>
      <c r="F1187" t="s">
        <v>19513</v>
      </c>
      <c r="I1187" t="s">
        <v>19514</v>
      </c>
      <c r="J1187" t="s">
        <v>752</v>
      </c>
      <c r="M1187" t="s">
        <v>78</v>
      </c>
      <c r="N1187" t="s">
        <v>79</v>
      </c>
      <c r="T1187" t="s">
        <v>19515</v>
      </c>
      <c r="U1187" t="s">
        <v>19516</v>
      </c>
      <c r="V1187" t="s">
        <v>19517</v>
      </c>
      <c r="W1187" t="s">
        <v>19518</v>
      </c>
      <c r="X1187" t="s">
        <v>19519</v>
      </c>
      <c r="Y1187" t="s">
        <v>19520</v>
      </c>
      <c r="Z1187" t="s">
        <v>19521</v>
      </c>
      <c r="AA1187" t="s">
        <v>3357</v>
      </c>
      <c r="AB1187" t="s">
        <v>19522</v>
      </c>
      <c r="AC1187" t="s">
        <v>19523</v>
      </c>
      <c r="AD1187" t="s">
        <v>19524</v>
      </c>
      <c r="AE1187" t="s">
        <v>19525</v>
      </c>
      <c r="AG1187">
        <v>44</v>
      </c>
      <c r="AH1187">
        <v>17</v>
      </c>
      <c r="AI1187">
        <v>20</v>
      </c>
      <c r="AJ1187">
        <v>0</v>
      </c>
      <c r="AK1187">
        <v>63</v>
      </c>
      <c r="AL1187" t="s">
        <v>430</v>
      </c>
      <c r="AM1187" t="s">
        <v>137</v>
      </c>
      <c r="AN1187" t="s">
        <v>431</v>
      </c>
      <c r="AO1187" t="s">
        <v>761</v>
      </c>
      <c r="AP1187" t="s">
        <v>762</v>
      </c>
      <c r="AR1187" t="s">
        <v>763</v>
      </c>
      <c r="AS1187" t="s">
        <v>764</v>
      </c>
      <c r="AT1187" t="s">
        <v>305</v>
      </c>
      <c r="AU1187">
        <v>2015</v>
      </c>
      <c r="AV1187">
        <v>110</v>
      </c>
      <c r="BB1187">
        <v>174</v>
      </c>
      <c r="BC1187">
        <v>182</v>
      </c>
      <c r="BE1187" t="s">
        <v>19526</v>
      </c>
      <c r="BF1187" t="s">
        <v>19527</v>
      </c>
      <c r="BI1187">
        <v>9</v>
      </c>
      <c r="BJ1187" t="s">
        <v>768</v>
      </c>
      <c r="BK1187" t="s">
        <v>96</v>
      </c>
      <c r="BL1187" t="s">
        <v>769</v>
      </c>
      <c r="BM1187" t="s">
        <v>19528</v>
      </c>
      <c r="BN1187">
        <v>26382607</v>
      </c>
      <c r="BR1187" t="s">
        <v>98</v>
      </c>
      <c r="BS1187" t="s">
        <v>19529</v>
      </c>
      <c r="BT1187" t="s">
        <v>16602</v>
      </c>
    </row>
    <row r="1188" spans="1:72">
      <c r="A1188" t="s">
        <v>72</v>
      </c>
      <c r="B1188" t="s">
        <v>19530</v>
      </c>
      <c r="F1188" t="s">
        <v>19531</v>
      </c>
      <c r="I1188" t="s">
        <v>19532</v>
      </c>
      <c r="J1188" t="s">
        <v>232</v>
      </c>
      <c r="M1188" t="s">
        <v>78</v>
      </c>
      <c r="N1188" t="s">
        <v>79</v>
      </c>
      <c r="T1188" t="s">
        <v>19533</v>
      </c>
      <c r="U1188" t="s">
        <v>19534</v>
      </c>
      <c r="V1188" t="s">
        <v>19535</v>
      </c>
      <c r="W1188" t="s">
        <v>19536</v>
      </c>
      <c r="X1188" t="s">
        <v>19537</v>
      </c>
      <c r="Y1188" t="s">
        <v>19538</v>
      </c>
      <c r="Z1188" t="s">
        <v>19539</v>
      </c>
      <c r="AG1188">
        <v>72</v>
      </c>
      <c r="AH1188">
        <v>7</v>
      </c>
      <c r="AI1188">
        <v>11</v>
      </c>
      <c r="AJ1188">
        <v>0</v>
      </c>
      <c r="AK1188">
        <v>42</v>
      </c>
      <c r="AL1188" t="s">
        <v>136</v>
      </c>
      <c r="AM1188" t="s">
        <v>137</v>
      </c>
      <c r="AN1188" t="s">
        <v>138</v>
      </c>
      <c r="AO1188" t="s">
        <v>240</v>
      </c>
      <c r="AP1188" t="s">
        <v>241</v>
      </c>
      <c r="AR1188" t="s">
        <v>242</v>
      </c>
      <c r="AS1188" t="s">
        <v>243</v>
      </c>
      <c r="AT1188" t="s">
        <v>3891</v>
      </c>
      <c r="AU1188">
        <v>2017</v>
      </c>
      <c r="AV1188">
        <v>114</v>
      </c>
      <c r="AW1188">
        <v>1</v>
      </c>
      <c r="BB1188">
        <v>64</v>
      </c>
      <c r="BC1188">
        <v>76</v>
      </c>
      <c r="BE1188" t="s">
        <v>19540</v>
      </c>
      <c r="BF1188" t="s">
        <v>19541</v>
      </c>
      <c r="BI1188">
        <v>13</v>
      </c>
      <c r="BJ1188" t="s">
        <v>247</v>
      </c>
      <c r="BK1188" t="s">
        <v>96</v>
      </c>
      <c r="BL1188" t="s">
        <v>248</v>
      </c>
      <c r="BM1188" t="s">
        <v>19542</v>
      </c>
      <c r="BN1188">
        <v>27697321</v>
      </c>
      <c r="BR1188" t="s">
        <v>98</v>
      </c>
      <c r="BS1188" t="s">
        <v>19543</v>
      </c>
      <c r="BT1188" t="s">
        <v>16602</v>
      </c>
    </row>
    <row r="1189" spans="1:72">
      <c r="A1189" t="s">
        <v>72</v>
      </c>
      <c r="B1189" t="s">
        <v>19544</v>
      </c>
      <c r="F1189" t="s">
        <v>19544</v>
      </c>
      <c r="I1189" t="s">
        <v>19545</v>
      </c>
      <c r="J1189" t="s">
        <v>3349</v>
      </c>
      <c r="M1189" t="s">
        <v>78</v>
      </c>
      <c r="N1189" t="s">
        <v>79</v>
      </c>
      <c r="T1189" t="s">
        <v>19546</v>
      </c>
      <c r="U1189" t="s">
        <v>19547</v>
      </c>
      <c r="V1189" t="s">
        <v>19548</v>
      </c>
      <c r="W1189" t="s">
        <v>19549</v>
      </c>
      <c r="X1189" t="s">
        <v>19550</v>
      </c>
      <c r="Y1189" t="s">
        <v>19551</v>
      </c>
      <c r="Z1189" t="s">
        <v>19552</v>
      </c>
      <c r="AA1189" t="s">
        <v>19553</v>
      </c>
      <c r="AB1189" t="s">
        <v>19554</v>
      </c>
      <c r="AG1189">
        <v>36</v>
      </c>
      <c r="AH1189">
        <v>7</v>
      </c>
      <c r="AI1189">
        <v>7</v>
      </c>
      <c r="AJ1189">
        <v>0</v>
      </c>
      <c r="AK1189">
        <v>5</v>
      </c>
      <c r="AL1189" t="s">
        <v>3362</v>
      </c>
      <c r="AM1189" t="s">
        <v>3363</v>
      </c>
      <c r="AN1189" t="s">
        <v>3364</v>
      </c>
      <c r="AO1189" t="s">
        <v>3365</v>
      </c>
      <c r="AP1189" t="s">
        <v>3366</v>
      </c>
      <c r="AR1189" t="s">
        <v>3367</v>
      </c>
      <c r="AS1189" t="s">
        <v>3368</v>
      </c>
      <c r="AT1189" t="s">
        <v>305</v>
      </c>
      <c r="AU1189">
        <v>2004</v>
      </c>
      <c r="AV1189">
        <v>59</v>
      </c>
      <c r="AW1189">
        <v>1</v>
      </c>
      <c r="BB1189">
        <v>31</v>
      </c>
      <c r="BC1189">
        <v>37</v>
      </c>
      <c r="BE1189" t="s">
        <v>19555</v>
      </c>
      <c r="BF1189" t="s">
        <v>19556</v>
      </c>
      <c r="BI1189">
        <v>7</v>
      </c>
      <c r="BJ1189" t="s">
        <v>121</v>
      </c>
      <c r="BK1189" t="s">
        <v>96</v>
      </c>
      <c r="BL1189" t="s">
        <v>122</v>
      </c>
      <c r="BM1189" t="s">
        <v>19557</v>
      </c>
      <c r="BN1189">
        <v>15261720</v>
      </c>
      <c r="BR1189" t="s">
        <v>98</v>
      </c>
      <c r="BS1189" t="s">
        <v>19558</v>
      </c>
      <c r="BT1189" t="s">
        <v>16602</v>
      </c>
    </row>
    <row r="1190" spans="1:72">
      <c r="A1190" t="s">
        <v>72</v>
      </c>
      <c r="B1190" t="s">
        <v>19559</v>
      </c>
      <c r="F1190" t="s">
        <v>19560</v>
      </c>
      <c r="I1190" t="s">
        <v>19561</v>
      </c>
      <c r="J1190" t="s">
        <v>8431</v>
      </c>
      <c r="M1190" t="s">
        <v>78</v>
      </c>
      <c r="N1190" t="s">
        <v>79</v>
      </c>
      <c r="U1190" t="s">
        <v>19562</v>
      </c>
      <c r="V1190" t="s">
        <v>19563</v>
      </c>
      <c r="W1190" t="s">
        <v>19564</v>
      </c>
      <c r="X1190" t="s">
        <v>19565</v>
      </c>
      <c r="Y1190" t="s">
        <v>19566</v>
      </c>
      <c r="Z1190" t="s">
        <v>19567</v>
      </c>
      <c r="AA1190" t="s">
        <v>19568</v>
      </c>
      <c r="AB1190" t="s">
        <v>19569</v>
      </c>
      <c r="AC1190" t="s">
        <v>19570</v>
      </c>
      <c r="AD1190" t="s">
        <v>19571</v>
      </c>
      <c r="AE1190" t="s">
        <v>19572</v>
      </c>
      <c r="AG1190">
        <v>38</v>
      </c>
      <c r="AH1190">
        <v>15</v>
      </c>
      <c r="AI1190">
        <v>15</v>
      </c>
      <c r="AJ1190">
        <v>1</v>
      </c>
      <c r="AK1190">
        <v>19</v>
      </c>
      <c r="AL1190" t="s">
        <v>650</v>
      </c>
      <c r="AM1190" t="s">
        <v>651</v>
      </c>
      <c r="AN1190" t="s">
        <v>652</v>
      </c>
      <c r="AO1190" t="s">
        <v>8443</v>
      </c>
      <c r="AP1190" t="s">
        <v>8444</v>
      </c>
      <c r="AR1190" t="s">
        <v>8445</v>
      </c>
      <c r="AS1190" t="s">
        <v>8446</v>
      </c>
      <c r="AT1190" t="s">
        <v>305</v>
      </c>
      <c r="AU1190">
        <v>2015</v>
      </c>
      <c r="AV1190">
        <v>78</v>
      </c>
      <c r="AW1190">
        <v>9</v>
      </c>
      <c r="BB1190">
        <v>1719</v>
      </c>
      <c r="BC1190">
        <v>1728</v>
      </c>
      <c r="BE1190" t="s">
        <v>19573</v>
      </c>
      <c r="BF1190" t="s">
        <v>19574</v>
      </c>
      <c r="BI1190">
        <v>10</v>
      </c>
      <c r="BJ1190" t="s">
        <v>8448</v>
      </c>
      <c r="BK1190" t="s">
        <v>96</v>
      </c>
      <c r="BL1190" t="s">
        <v>8448</v>
      </c>
      <c r="BM1190" t="s">
        <v>19575</v>
      </c>
      <c r="BN1190">
        <v>26319726</v>
      </c>
      <c r="BO1190" t="s">
        <v>2914</v>
      </c>
      <c r="BR1190" t="s">
        <v>98</v>
      </c>
      <c r="BS1190" t="s">
        <v>19576</v>
      </c>
      <c r="BT1190" t="s">
        <v>16602</v>
      </c>
    </row>
    <row r="1191" spans="1:72">
      <c r="A1191" t="s">
        <v>72</v>
      </c>
      <c r="B1191" t="s">
        <v>19577</v>
      </c>
      <c r="F1191" t="s">
        <v>19577</v>
      </c>
      <c r="I1191" t="s">
        <v>19578</v>
      </c>
      <c r="J1191" t="s">
        <v>909</v>
      </c>
      <c r="M1191" t="s">
        <v>78</v>
      </c>
      <c r="N1191" t="s">
        <v>79</v>
      </c>
      <c r="T1191" t="s">
        <v>19579</v>
      </c>
      <c r="U1191" t="s">
        <v>19580</v>
      </c>
      <c r="V1191" t="s">
        <v>19581</v>
      </c>
      <c r="W1191" t="s">
        <v>19582</v>
      </c>
      <c r="X1191" t="s">
        <v>19583</v>
      </c>
      <c r="Y1191" t="s">
        <v>19584</v>
      </c>
      <c r="Z1191" t="s">
        <v>19585</v>
      </c>
      <c r="AA1191" t="s">
        <v>19586</v>
      </c>
      <c r="AB1191" t="s">
        <v>19587</v>
      </c>
      <c r="AG1191">
        <v>34</v>
      </c>
      <c r="AH1191">
        <v>146</v>
      </c>
      <c r="AI1191">
        <v>165</v>
      </c>
      <c r="AJ1191">
        <v>2</v>
      </c>
      <c r="AK1191">
        <v>59</v>
      </c>
      <c r="AL1191" t="s">
        <v>919</v>
      </c>
      <c r="AM1191" t="s">
        <v>651</v>
      </c>
      <c r="AN1191" t="s">
        <v>920</v>
      </c>
      <c r="AO1191" t="s">
        <v>921</v>
      </c>
      <c r="AR1191" t="s">
        <v>923</v>
      </c>
      <c r="AS1191" t="s">
        <v>924</v>
      </c>
      <c r="AT1191" t="s">
        <v>2846</v>
      </c>
      <c r="AU1191">
        <v>2005</v>
      </c>
      <c r="AV1191">
        <v>340</v>
      </c>
      <c r="AW1191" t="s">
        <v>2847</v>
      </c>
      <c r="BB1191">
        <v>213</v>
      </c>
      <c r="BC1191">
        <v>230</v>
      </c>
      <c r="BE1191" t="s">
        <v>19588</v>
      </c>
      <c r="BF1191" t="s">
        <v>19589</v>
      </c>
      <c r="BI1191">
        <v>18</v>
      </c>
      <c r="BJ1191" t="s">
        <v>144</v>
      </c>
      <c r="BK1191" t="s">
        <v>96</v>
      </c>
      <c r="BL1191" t="s">
        <v>145</v>
      </c>
      <c r="BM1191" t="s">
        <v>19590</v>
      </c>
      <c r="BN1191">
        <v>15752503</v>
      </c>
      <c r="BR1191" t="s">
        <v>98</v>
      </c>
      <c r="BS1191" t="s">
        <v>19591</v>
      </c>
      <c r="BT1191" t="s">
        <v>16602</v>
      </c>
    </row>
    <row r="1192" spans="1:72">
      <c r="A1192" t="s">
        <v>72</v>
      </c>
      <c r="B1192" t="s">
        <v>19592</v>
      </c>
      <c r="F1192" t="s">
        <v>19593</v>
      </c>
      <c r="I1192" t="s">
        <v>19594</v>
      </c>
      <c r="J1192" t="s">
        <v>752</v>
      </c>
      <c r="M1192" t="s">
        <v>78</v>
      </c>
      <c r="N1192" t="s">
        <v>79</v>
      </c>
      <c r="T1192" t="s">
        <v>19595</v>
      </c>
      <c r="U1192" t="s">
        <v>19596</v>
      </c>
      <c r="V1192" t="s">
        <v>19597</v>
      </c>
      <c r="W1192" t="s">
        <v>19598</v>
      </c>
      <c r="X1192" t="s">
        <v>19599</v>
      </c>
      <c r="Y1192" t="s">
        <v>19600</v>
      </c>
      <c r="Z1192" t="s">
        <v>19601</v>
      </c>
      <c r="AA1192" t="s">
        <v>19602</v>
      </c>
      <c r="AB1192" t="s">
        <v>19603</v>
      </c>
      <c r="AC1192" t="s">
        <v>19604</v>
      </c>
      <c r="AD1192" t="s">
        <v>19605</v>
      </c>
      <c r="AE1192" t="s">
        <v>19606</v>
      </c>
      <c r="AG1192">
        <v>43</v>
      </c>
      <c r="AH1192">
        <v>46</v>
      </c>
      <c r="AI1192">
        <v>49</v>
      </c>
      <c r="AJ1192">
        <v>0</v>
      </c>
      <c r="AK1192">
        <v>54</v>
      </c>
      <c r="AL1192" t="s">
        <v>430</v>
      </c>
      <c r="AM1192" t="s">
        <v>137</v>
      </c>
      <c r="AN1192" t="s">
        <v>431</v>
      </c>
      <c r="AO1192" t="s">
        <v>761</v>
      </c>
      <c r="AP1192" t="s">
        <v>762</v>
      </c>
      <c r="AR1192" t="s">
        <v>763</v>
      </c>
      <c r="AS1192" t="s">
        <v>764</v>
      </c>
      <c r="AT1192" t="s">
        <v>267</v>
      </c>
      <c r="AU1192">
        <v>2008</v>
      </c>
      <c r="AV1192">
        <v>66</v>
      </c>
      <c r="AW1192">
        <v>4</v>
      </c>
      <c r="BB1192">
        <v>451</v>
      </c>
      <c r="BC1192">
        <v>458</v>
      </c>
      <c r="BE1192" t="s">
        <v>19607</v>
      </c>
      <c r="BF1192" t="s">
        <v>19608</v>
      </c>
      <c r="BI1192">
        <v>8</v>
      </c>
      <c r="BJ1192" t="s">
        <v>768</v>
      </c>
      <c r="BK1192" t="s">
        <v>96</v>
      </c>
      <c r="BL1192" t="s">
        <v>769</v>
      </c>
      <c r="BM1192" t="s">
        <v>19609</v>
      </c>
      <c r="BN1192">
        <v>18789522</v>
      </c>
      <c r="BO1192" t="s">
        <v>810</v>
      </c>
      <c r="BR1192" t="s">
        <v>98</v>
      </c>
      <c r="BS1192" t="s">
        <v>19610</v>
      </c>
      <c r="BT1192" t="s">
        <v>16602</v>
      </c>
    </row>
    <row r="1193" spans="1:72">
      <c r="A1193" t="s">
        <v>72</v>
      </c>
      <c r="B1193" t="s">
        <v>19611</v>
      </c>
      <c r="F1193" t="s">
        <v>19612</v>
      </c>
      <c r="I1193" t="s">
        <v>19613</v>
      </c>
      <c r="J1193" t="s">
        <v>3926</v>
      </c>
      <c r="M1193" t="s">
        <v>78</v>
      </c>
      <c r="N1193" t="s">
        <v>79</v>
      </c>
      <c r="T1193" t="s">
        <v>19614</v>
      </c>
      <c r="U1193" t="s">
        <v>19615</v>
      </c>
      <c r="V1193" t="s">
        <v>19616</v>
      </c>
      <c r="W1193" t="s">
        <v>19617</v>
      </c>
      <c r="X1193" t="s">
        <v>19618</v>
      </c>
      <c r="Y1193" t="s">
        <v>19619</v>
      </c>
      <c r="Z1193" t="s">
        <v>19620</v>
      </c>
      <c r="AA1193" t="s">
        <v>19621</v>
      </c>
      <c r="AB1193" t="s">
        <v>19622</v>
      </c>
      <c r="AC1193" t="s">
        <v>19623</v>
      </c>
      <c r="AD1193" t="s">
        <v>19624</v>
      </c>
      <c r="AE1193" t="s">
        <v>19625</v>
      </c>
      <c r="AG1193">
        <v>56</v>
      </c>
      <c r="AH1193">
        <v>0</v>
      </c>
      <c r="AI1193">
        <v>0</v>
      </c>
      <c r="AJ1193">
        <v>7</v>
      </c>
      <c r="AK1193">
        <v>7</v>
      </c>
      <c r="AL1193" t="s">
        <v>650</v>
      </c>
      <c r="AM1193" t="s">
        <v>651</v>
      </c>
      <c r="AN1193" t="s">
        <v>652</v>
      </c>
      <c r="AO1193" t="s">
        <v>3939</v>
      </c>
      <c r="AP1193" t="s">
        <v>3940</v>
      </c>
      <c r="AR1193" t="s">
        <v>3926</v>
      </c>
      <c r="AS1193" t="s">
        <v>3941</v>
      </c>
      <c r="AT1193" t="s">
        <v>387</v>
      </c>
      <c r="AU1193">
        <v>2024</v>
      </c>
      <c r="AV1193">
        <v>585</v>
      </c>
      <c r="BD1193">
        <v>740688</v>
      </c>
      <c r="BE1193" t="s">
        <v>19626</v>
      </c>
      <c r="BF1193" t="s">
        <v>19627</v>
      </c>
      <c r="BH1193" t="s">
        <v>2782</v>
      </c>
      <c r="BI1193">
        <v>11</v>
      </c>
      <c r="BJ1193" t="s">
        <v>2391</v>
      </c>
      <c r="BK1193" t="s">
        <v>96</v>
      </c>
      <c r="BL1193" t="s">
        <v>2391</v>
      </c>
      <c r="BM1193" t="s">
        <v>19628</v>
      </c>
      <c r="BR1193" t="s">
        <v>98</v>
      </c>
      <c r="BS1193" t="s">
        <v>19629</v>
      </c>
      <c r="BT1193" t="s">
        <v>16602</v>
      </c>
    </row>
    <row r="1194" spans="1:72">
      <c r="A1194" t="s">
        <v>72</v>
      </c>
      <c r="B1194" t="s">
        <v>19630</v>
      </c>
      <c r="F1194" t="s">
        <v>19630</v>
      </c>
      <c r="I1194" t="s">
        <v>19631</v>
      </c>
      <c r="J1194" t="s">
        <v>752</v>
      </c>
      <c r="M1194" t="s">
        <v>78</v>
      </c>
      <c r="N1194" t="s">
        <v>151</v>
      </c>
      <c r="O1194" t="s">
        <v>5658</v>
      </c>
      <c r="P1194">
        <v>1993</v>
      </c>
      <c r="Q1194" t="s">
        <v>5659</v>
      </c>
      <c r="U1194" t="s">
        <v>19632</v>
      </c>
      <c r="V1194" t="s">
        <v>19633</v>
      </c>
      <c r="W1194" t="s">
        <v>19634</v>
      </c>
      <c r="X1194" t="s">
        <v>19635</v>
      </c>
      <c r="Y1194" t="s">
        <v>19636</v>
      </c>
      <c r="AG1194">
        <v>14</v>
      </c>
      <c r="AH1194">
        <v>22</v>
      </c>
      <c r="AI1194">
        <v>24</v>
      </c>
      <c r="AJ1194">
        <v>0</v>
      </c>
      <c r="AK1194">
        <v>2</v>
      </c>
      <c r="AL1194" t="s">
        <v>430</v>
      </c>
      <c r="AM1194" t="s">
        <v>137</v>
      </c>
      <c r="AN1194" t="s">
        <v>1600</v>
      </c>
      <c r="AO1194" t="s">
        <v>761</v>
      </c>
      <c r="AR1194" t="s">
        <v>763</v>
      </c>
      <c r="AS1194" t="s">
        <v>764</v>
      </c>
      <c r="AU1194">
        <v>1995</v>
      </c>
      <c r="AV1194">
        <v>39</v>
      </c>
      <c r="AW1194" t="s">
        <v>721</v>
      </c>
      <c r="BB1194">
        <v>275</v>
      </c>
      <c r="BC1194">
        <v>278</v>
      </c>
      <c r="BE1194" t="s">
        <v>19637</v>
      </c>
      <c r="BF1194" t="s">
        <v>19638</v>
      </c>
      <c r="BI1194">
        <v>4</v>
      </c>
      <c r="BJ1194" t="s">
        <v>768</v>
      </c>
      <c r="BK1194" t="s">
        <v>588</v>
      </c>
      <c r="BL1194" t="s">
        <v>769</v>
      </c>
      <c r="BM1194" t="s">
        <v>5666</v>
      </c>
      <c r="BR1194" t="s">
        <v>98</v>
      </c>
      <c r="BS1194" t="s">
        <v>19639</v>
      </c>
      <c r="BT1194" t="s">
        <v>16602</v>
      </c>
    </row>
    <row r="1195" spans="1:72">
      <c r="A1195" t="s">
        <v>72</v>
      </c>
      <c r="B1195" t="s">
        <v>19640</v>
      </c>
      <c r="F1195" t="s">
        <v>19641</v>
      </c>
      <c r="I1195" t="s">
        <v>19642</v>
      </c>
      <c r="J1195" t="s">
        <v>10129</v>
      </c>
      <c r="M1195" t="s">
        <v>78</v>
      </c>
      <c r="N1195" t="s">
        <v>79</v>
      </c>
      <c r="T1195" t="s">
        <v>19643</v>
      </c>
      <c r="U1195" t="s">
        <v>19644</v>
      </c>
      <c r="V1195" t="s">
        <v>19645</v>
      </c>
      <c r="W1195" t="s">
        <v>19646</v>
      </c>
      <c r="X1195" t="s">
        <v>19647</v>
      </c>
      <c r="Y1195" t="s">
        <v>19648</v>
      </c>
      <c r="Z1195" t="s">
        <v>19649</v>
      </c>
      <c r="AA1195" t="s">
        <v>19650</v>
      </c>
      <c r="AB1195" t="s">
        <v>19651</v>
      </c>
      <c r="AC1195" t="s">
        <v>19652</v>
      </c>
      <c r="AD1195" t="s">
        <v>19653</v>
      </c>
      <c r="AE1195" t="s">
        <v>19654</v>
      </c>
      <c r="AG1195">
        <v>92</v>
      </c>
      <c r="AH1195">
        <v>41</v>
      </c>
      <c r="AI1195">
        <v>42</v>
      </c>
      <c r="AJ1195">
        <v>1</v>
      </c>
      <c r="AK1195">
        <v>61</v>
      </c>
      <c r="AL1195" t="s">
        <v>3362</v>
      </c>
      <c r="AM1195" t="s">
        <v>3363</v>
      </c>
      <c r="AN1195" t="s">
        <v>3364</v>
      </c>
      <c r="AO1195" t="s">
        <v>10137</v>
      </c>
      <c r="AP1195" t="s">
        <v>10138</v>
      </c>
      <c r="AR1195" t="s">
        <v>10139</v>
      </c>
      <c r="AS1195" t="s">
        <v>10140</v>
      </c>
      <c r="AT1195" t="s">
        <v>305</v>
      </c>
      <c r="AU1195">
        <v>2020</v>
      </c>
      <c r="AV1195">
        <v>188</v>
      </c>
      <c r="BD1195">
        <v>109778</v>
      </c>
      <c r="BE1195" t="s">
        <v>19655</v>
      </c>
      <c r="BF1195" t="s">
        <v>19656</v>
      </c>
      <c r="BI1195">
        <v>11</v>
      </c>
      <c r="BJ1195" t="s">
        <v>10142</v>
      </c>
      <c r="BK1195" t="s">
        <v>96</v>
      </c>
      <c r="BL1195" t="s">
        <v>10143</v>
      </c>
      <c r="BM1195" t="s">
        <v>19657</v>
      </c>
      <c r="BN1195">
        <v>32574852</v>
      </c>
      <c r="BO1195" t="s">
        <v>2914</v>
      </c>
      <c r="BR1195" t="s">
        <v>98</v>
      </c>
      <c r="BS1195" t="s">
        <v>19658</v>
      </c>
      <c r="BT1195" t="s">
        <v>16602</v>
      </c>
    </row>
    <row r="1196" spans="1:72">
      <c r="A1196" t="s">
        <v>72</v>
      </c>
      <c r="B1196" t="s">
        <v>19659</v>
      </c>
      <c r="F1196" t="s">
        <v>19660</v>
      </c>
      <c r="I1196" t="s">
        <v>19661</v>
      </c>
      <c r="J1196" t="s">
        <v>421</v>
      </c>
      <c r="M1196" t="s">
        <v>78</v>
      </c>
      <c r="N1196" t="s">
        <v>79</v>
      </c>
      <c r="T1196" t="s">
        <v>19662</v>
      </c>
      <c r="U1196" t="s">
        <v>19663</v>
      </c>
      <c r="V1196" t="s">
        <v>19664</v>
      </c>
      <c r="W1196" t="s">
        <v>19665</v>
      </c>
      <c r="X1196" t="s">
        <v>19666</v>
      </c>
      <c r="Y1196" t="s">
        <v>2608</v>
      </c>
      <c r="Z1196" t="s">
        <v>2609</v>
      </c>
      <c r="AA1196" t="s">
        <v>19667</v>
      </c>
      <c r="AB1196" t="s">
        <v>19668</v>
      </c>
      <c r="AG1196">
        <v>40</v>
      </c>
      <c r="AH1196">
        <v>32</v>
      </c>
      <c r="AI1196">
        <v>35</v>
      </c>
      <c r="AJ1196">
        <v>1</v>
      </c>
      <c r="AK1196">
        <v>48</v>
      </c>
      <c r="AL1196" t="s">
        <v>430</v>
      </c>
      <c r="AM1196" t="s">
        <v>137</v>
      </c>
      <c r="AN1196" t="s">
        <v>431</v>
      </c>
      <c r="AO1196" t="s">
        <v>432</v>
      </c>
      <c r="AR1196" t="s">
        <v>433</v>
      </c>
      <c r="AS1196" t="s">
        <v>434</v>
      </c>
      <c r="AT1196" t="s">
        <v>170</v>
      </c>
      <c r="AU1196">
        <v>2010</v>
      </c>
      <c r="AV1196">
        <v>158</v>
      </c>
      <c r="AW1196">
        <v>5</v>
      </c>
      <c r="BB1196">
        <v>1319</v>
      </c>
      <c r="BC1196">
        <v>1326</v>
      </c>
      <c r="BE1196" t="s">
        <v>19669</v>
      </c>
      <c r="BF1196" t="s">
        <v>19670</v>
      </c>
      <c r="BI1196">
        <v>8</v>
      </c>
      <c r="BJ1196" t="s">
        <v>144</v>
      </c>
      <c r="BK1196" t="s">
        <v>96</v>
      </c>
      <c r="BL1196" t="s">
        <v>145</v>
      </c>
      <c r="BM1196" t="s">
        <v>19671</v>
      </c>
      <c r="BN1196">
        <v>20138695</v>
      </c>
      <c r="BR1196" t="s">
        <v>98</v>
      </c>
      <c r="BS1196" t="s">
        <v>19672</v>
      </c>
      <c r="BT1196" t="s">
        <v>16602</v>
      </c>
    </row>
    <row r="1197" spans="1:72">
      <c r="A1197" t="s">
        <v>72</v>
      </c>
      <c r="B1197" t="s">
        <v>19673</v>
      </c>
      <c r="F1197" t="s">
        <v>19673</v>
      </c>
      <c r="I1197" t="s">
        <v>19674</v>
      </c>
      <c r="J1197" t="s">
        <v>19675</v>
      </c>
      <c r="M1197" t="s">
        <v>78</v>
      </c>
      <c r="N1197" t="s">
        <v>79</v>
      </c>
      <c r="V1197" t="s">
        <v>19676</v>
      </c>
      <c r="AG1197">
        <v>13</v>
      </c>
      <c r="AH1197">
        <v>6</v>
      </c>
      <c r="AI1197">
        <v>7</v>
      </c>
      <c r="AJ1197">
        <v>0</v>
      </c>
      <c r="AK1197">
        <v>0</v>
      </c>
      <c r="AL1197" t="s">
        <v>19677</v>
      </c>
      <c r="AM1197" t="s">
        <v>7167</v>
      </c>
      <c r="AN1197" t="s">
        <v>19678</v>
      </c>
      <c r="AO1197" t="s">
        <v>19679</v>
      </c>
      <c r="AR1197" t="s">
        <v>19680</v>
      </c>
      <c r="AU1197">
        <v>1967</v>
      </c>
      <c r="AV1197">
        <v>39</v>
      </c>
      <c r="AW1197">
        <v>4</v>
      </c>
      <c r="BB1197">
        <v>536</v>
      </c>
      <c r="BC1197" t="s">
        <v>2936</v>
      </c>
      <c r="BI1197">
        <v>1</v>
      </c>
      <c r="BJ1197" t="s">
        <v>144</v>
      </c>
      <c r="BK1197" t="s">
        <v>96</v>
      </c>
      <c r="BL1197" t="s">
        <v>145</v>
      </c>
      <c r="BM1197">
        <v>92791</v>
      </c>
      <c r="BN1197">
        <v>6047005</v>
      </c>
      <c r="BR1197" t="s">
        <v>98</v>
      </c>
      <c r="BS1197" t="s">
        <v>19681</v>
      </c>
      <c r="BT1197" t="s">
        <v>16602</v>
      </c>
    </row>
    <row r="1198" spans="1:72">
      <c r="A1198" t="s">
        <v>72</v>
      </c>
      <c r="B1198" t="s">
        <v>19682</v>
      </c>
      <c r="F1198" t="s">
        <v>19683</v>
      </c>
      <c r="I1198" t="s">
        <v>19684</v>
      </c>
      <c r="J1198" t="s">
        <v>232</v>
      </c>
      <c r="M1198" t="s">
        <v>78</v>
      </c>
      <c r="N1198" t="s">
        <v>79</v>
      </c>
      <c r="T1198" t="s">
        <v>19685</v>
      </c>
      <c r="U1198" t="s">
        <v>19686</v>
      </c>
      <c r="V1198" t="s">
        <v>19687</v>
      </c>
      <c r="W1198" t="s">
        <v>19688</v>
      </c>
      <c r="X1198" t="s">
        <v>19689</v>
      </c>
      <c r="Y1198" t="s">
        <v>19690</v>
      </c>
      <c r="Z1198" t="s">
        <v>19691</v>
      </c>
      <c r="AA1198" t="s">
        <v>19692</v>
      </c>
      <c r="AB1198" t="s">
        <v>19693</v>
      </c>
      <c r="AC1198" t="s">
        <v>19694</v>
      </c>
      <c r="AD1198" t="s">
        <v>19695</v>
      </c>
      <c r="AE1198" t="s">
        <v>19696</v>
      </c>
      <c r="AG1198">
        <v>72</v>
      </c>
      <c r="AH1198">
        <v>2</v>
      </c>
      <c r="AI1198">
        <v>2</v>
      </c>
      <c r="AJ1198">
        <v>1</v>
      </c>
      <c r="AK1198">
        <v>21</v>
      </c>
      <c r="AL1198" t="s">
        <v>136</v>
      </c>
      <c r="AM1198" t="s">
        <v>137</v>
      </c>
      <c r="AN1198" t="s">
        <v>138</v>
      </c>
      <c r="AO1198" t="s">
        <v>240</v>
      </c>
      <c r="AP1198" t="s">
        <v>241</v>
      </c>
      <c r="AR1198" t="s">
        <v>242</v>
      </c>
      <c r="AS1198" t="s">
        <v>243</v>
      </c>
      <c r="AT1198" t="s">
        <v>170</v>
      </c>
      <c r="AU1198">
        <v>2021</v>
      </c>
      <c r="AV1198">
        <v>166</v>
      </c>
      <c r="BD1198">
        <v>112233</v>
      </c>
      <c r="BE1198" t="s">
        <v>19697</v>
      </c>
      <c r="BF1198" t="s">
        <v>19698</v>
      </c>
      <c r="BH1198" t="s">
        <v>992</v>
      </c>
      <c r="BI1198">
        <v>9</v>
      </c>
      <c r="BJ1198" t="s">
        <v>247</v>
      </c>
      <c r="BK1198" t="s">
        <v>96</v>
      </c>
      <c r="BL1198" t="s">
        <v>248</v>
      </c>
      <c r="BM1198" t="s">
        <v>6430</v>
      </c>
      <c r="BN1198">
        <v>33740657</v>
      </c>
      <c r="BR1198" t="s">
        <v>98</v>
      </c>
      <c r="BS1198" t="s">
        <v>19699</v>
      </c>
      <c r="BT1198" t="s">
        <v>16602</v>
      </c>
    </row>
    <row r="1199" spans="1:72">
      <c r="A1199" t="s">
        <v>72</v>
      </c>
      <c r="B1199" t="s">
        <v>19700</v>
      </c>
      <c r="F1199" t="s">
        <v>19701</v>
      </c>
      <c r="I1199" t="s">
        <v>19702</v>
      </c>
      <c r="J1199" t="s">
        <v>5413</v>
      </c>
      <c r="M1199" t="s">
        <v>78</v>
      </c>
      <c r="N1199" t="s">
        <v>79</v>
      </c>
      <c r="T1199" t="s">
        <v>19703</v>
      </c>
      <c r="U1199" t="s">
        <v>19704</v>
      </c>
      <c r="V1199" t="s">
        <v>19705</v>
      </c>
      <c r="W1199" t="s">
        <v>19706</v>
      </c>
      <c r="X1199" t="s">
        <v>11693</v>
      </c>
      <c r="Y1199" t="s">
        <v>19707</v>
      </c>
      <c r="Z1199" t="s">
        <v>19708</v>
      </c>
      <c r="AA1199" t="s">
        <v>19709</v>
      </c>
      <c r="AB1199" t="s">
        <v>19710</v>
      </c>
      <c r="AC1199" t="s">
        <v>19711</v>
      </c>
      <c r="AD1199" t="s">
        <v>19712</v>
      </c>
      <c r="AE1199" t="s">
        <v>19713</v>
      </c>
      <c r="AG1199">
        <v>42</v>
      </c>
      <c r="AH1199">
        <v>39</v>
      </c>
      <c r="AI1199">
        <v>44</v>
      </c>
      <c r="AJ1199">
        <v>0</v>
      </c>
      <c r="AK1199">
        <v>16</v>
      </c>
      <c r="AL1199" t="s">
        <v>919</v>
      </c>
      <c r="AM1199" t="s">
        <v>651</v>
      </c>
      <c r="AN1199" t="s">
        <v>920</v>
      </c>
      <c r="AO1199" t="s">
        <v>5426</v>
      </c>
      <c r="AP1199" t="s">
        <v>5427</v>
      </c>
      <c r="AR1199" t="s">
        <v>5428</v>
      </c>
      <c r="AS1199" t="s">
        <v>5429</v>
      </c>
      <c r="AT1199" t="s">
        <v>951</v>
      </c>
      <c r="AU1199">
        <v>2009</v>
      </c>
      <c r="AV1199">
        <v>28</v>
      </c>
      <c r="AW1199">
        <v>3</v>
      </c>
      <c r="BB1199">
        <v>439</v>
      </c>
      <c r="BC1199">
        <v>447</v>
      </c>
      <c r="BE1199" t="s">
        <v>19714</v>
      </c>
      <c r="BF1199" t="s">
        <v>19715</v>
      </c>
      <c r="BI1199">
        <v>9</v>
      </c>
      <c r="BJ1199" t="s">
        <v>5431</v>
      </c>
      <c r="BK1199" t="s">
        <v>96</v>
      </c>
      <c r="BL1199" t="s">
        <v>5432</v>
      </c>
      <c r="BM1199" t="s">
        <v>19716</v>
      </c>
      <c r="BN1199">
        <v>21784040</v>
      </c>
      <c r="BR1199" t="s">
        <v>98</v>
      </c>
      <c r="BS1199" t="s">
        <v>19717</v>
      </c>
      <c r="BT1199" t="s">
        <v>16602</v>
      </c>
    </row>
    <row r="1200" spans="1:72">
      <c r="A1200" t="s">
        <v>72</v>
      </c>
      <c r="B1200" t="s">
        <v>19718</v>
      </c>
      <c r="F1200" t="s">
        <v>19719</v>
      </c>
      <c r="I1200" t="s">
        <v>19720</v>
      </c>
      <c r="J1200" t="s">
        <v>4463</v>
      </c>
      <c r="M1200" t="s">
        <v>78</v>
      </c>
      <c r="N1200" t="s">
        <v>79</v>
      </c>
      <c r="U1200" t="s">
        <v>19721</v>
      </c>
      <c r="V1200" t="s">
        <v>19722</v>
      </c>
      <c r="W1200" t="s">
        <v>19723</v>
      </c>
      <c r="X1200" t="s">
        <v>19724</v>
      </c>
      <c r="Y1200" t="s">
        <v>19725</v>
      </c>
      <c r="Z1200" t="s">
        <v>19726</v>
      </c>
      <c r="AA1200" t="s">
        <v>19727</v>
      </c>
      <c r="AB1200" t="s">
        <v>19728</v>
      </c>
      <c r="AC1200" t="s">
        <v>19729</v>
      </c>
      <c r="AD1200" t="s">
        <v>19730</v>
      </c>
      <c r="AE1200" t="s">
        <v>19731</v>
      </c>
      <c r="AG1200">
        <v>41</v>
      </c>
      <c r="AH1200">
        <v>29</v>
      </c>
      <c r="AI1200">
        <v>30</v>
      </c>
      <c r="AJ1200">
        <v>3</v>
      </c>
      <c r="AK1200">
        <v>52</v>
      </c>
      <c r="AL1200" t="s">
        <v>4471</v>
      </c>
      <c r="AM1200" t="s">
        <v>4472</v>
      </c>
      <c r="AN1200" t="s">
        <v>4473</v>
      </c>
      <c r="AO1200" t="s">
        <v>4474</v>
      </c>
      <c r="AP1200" t="s">
        <v>4475</v>
      </c>
      <c r="AR1200" t="s">
        <v>4476</v>
      </c>
      <c r="AS1200" t="s">
        <v>4477</v>
      </c>
      <c r="AT1200" t="s">
        <v>19732</v>
      </c>
      <c r="AU1200">
        <v>2017</v>
      </c>
      <c r="AV1200">
        <v>51</v>
      </c>
      <c r="AW1200">
        <v>24</v>
      </c>
      <c r="BB1200">
        <v>14426</v>
      </c>
      <c r="BC1200">
        <v>14435</v>
      </c>
      <c r="BE1200" t="s">
        <v>19733</v>
      </c>
      <c r="BF1200" t="s">
        <v>19734</v>
      </c>
      <c r="BI1200">
        <v>10</v>
      </c>
      <c r="BJ1200" t="s">
        <v>415</v>
      </c>
      <c r="BK1200" t="s">
        <v>96</v>
      </c>
      <c r="BL1200" t="s">
        <v>416</v>
      </c>
      <c r="BM1200" t="s">
        <v>19735</v>
      </c>
      <c r="BN1200">
        <v>29172472</v>
      </c>
      <c r="BR1200" t="s">
        <v>98</v>
      </c>
      <c r="BS1200" t="s">
        <v>19736</v>
      </c>
      <c r="BT1200" t="s">
        <v>16602</v>
      </c>
    </row>
    <row r="1201" spans="1:72">
      <c r="A1201" t="s">
        <v>72</v>
      </c>
      <c r="B1201" t="s">
        <v>19737</v>
      </c>
      <c r="F1201" t="s">
        <v>19737</v>
      </c>
      <c r="I1201" t="s">
        <v>19738</v>
      </c>
      <c r="J1201" t="s">
        <v>232</v>
      </c>
      <c r="M1201" t="s">
        <v>78</v>
      </c>
      <c r="N1201" t="s">
        <v>79</v>
      </c>
      <c r="V1201" t="s">
        <v>19739</v>
      </c>
      <c r="Y1201" t="s">
        <v>19740</v>
      </c>
      <c r="AG1201">
        <v>21</v>
      </c>
      <c r="AH1201">
        <v>97</v>
      </c>
      <c r="AI1201">
        <v>101</v>
      </c>
      <c r="AJ1201">
        <v>0</v>
      </c>
      <c r="AK1201">
        <v>2</v>
      </c>
      <c r="AL1201" t="s">
        <v>136</v>
      </c>
      <c r="AM1201" t="s">
        <v>137</v>
      </c>
      <c r="AN1201" t="s">
        <v>138</v>
      </c>
      <c r="AO1201" t="s">
        <v>240</v>
      </c>
      <c r="AP1201" t="s">
        <v>241</v>
      </c>
      <c r="AR1201" t="s">
        <v>242</v>
      </c>
      <c r="AS1201" t="s">
        <v>243</v>
      </c>
      <c r="AU1201">
        <v>1979</v>
      </c>
      <c r="AV1201">
        <v>10</v>
      </c>
      <c r="AW1201">
        <v>3</v>
      </c>
      <c r="BB1201">
        <v>74</v>
      </c>
      <c r="BC1201">
        <v>78</v>
      </c>
      <c r="BE1201" t="s">
        <v>19741</v>
      </c>
      <c r="BF1201" t="s">
        <v>19742</v>
      </c>
      <c r="BI1201">
        <v>5</v>
      </c>
      <c r="BJ1201" t="s">
        <v>247</v>
      </c>
      <c r="BK1201" t="s">
        <v>96</v>
      </c>
      <c r="BL1201" t="s">
        <v>248</v>
      </c>
      <c r="BM1201" t="s">
        <v>19743</v>
      </c>
      <c r="BR1201" t="s">
        <v>98</v>
      </c>
      <c r="BS1201" t="s">
        <v>19744</v>
      </c>
      <c r="BT1201" t="s">
        <v>16602</v>
      </c>
    </row>
    <row r="1202" spans="1:72">
      <c r="A1202" t="s">
        <v>72</v>
      </c>
      <c r="B1202" t="s">
        <v>19745</v>
      </c>
      <c r="F1202" t="s">
        <v>19746</v>
      </c>
      <c r="I1202" t="s">
        <v>19747</v>
      </c>
      <c r="J1202" t="s">
        <v>909</v>
      </c>
      <c r="M1202" t="s">
        <v>78</v>
      </c>
      <c r="N1202" t="s">
        <v>79</v>
      </c>
      <c r="T1202" t="s">
        <v>19748</v>
      </c>
      <c r="U1202" t="s">
        <v>19749</v>
      </c>
      <c r="V1202" t="s">
        <v>19750</v>
      </c>
      <c r="W1202" t="s">
        <v>19751</v>
      </c>
      <c r="X1202" t="s">
        <v>19752</v>
      </c>
      <c r="Y1202" t="s">
        <v>19753</v>
      </c>
      <c r="Z1202" t="s">
        <v>19754</v>
      </c>
      <c r="AA1202" t="s">
        <v>19755</v>
      </c>
      <c r="AB1202" t="s">
        <v>19756</v>
      </c>
      <c r="AG1202">
        <v>70</v>
      </c>
      <c r="AH1202">
        <v>9</v>
      </c>
      <c r="AI1202">
        <v>10</v>
      </c>
      <c r="AJ1202">
        <v>1</v>
      </c>
      <c r="AK1202">
        <v>25</v>
      </c>
      <c r="AL1202" t="s">
        <v>650</v>
      </c>
      <c r="AM1202" t="s">
        <v>651</v>
      </c>
      <c r="AN1202" t="s">
        <v>652</v>
      </c>
      <c r="AO1202" t="s">
        <v>921</v>
      </c>
      <c r="AP1202" t="s">
        <v>922</v>
      </c>
      <c r="AR1202" t="s">
        <v>923</v>
      </c>
      <c r="AS1202" t="s">
        <v>924</v>
      </c>
      <c r="AT1202" t="s">
        <v>3506</v>
      </c>
      <c r="AU1202">
        <v>2021</v>
      </c>
      <c r="AV1202">
        <v>787</v>
      </c>
      <c r="BD1202">
        <v>147593</v>
      </c>
      <c r="BE1202" t="s">
        <v>19757</v>
      </c>
      <c r="BF1202" t="s">
        <v>19758</v>
      </c>
      <c r="BH1202" t="s">
        <v>3508</v>
      </c>
      <c r="BI1202">
        <v>11</v>
      </c>
      <c r="BJ1202" t="s">
        <v>144</v>
      </c>
      <c r="BK1202" t="s">
        <v>96</v>
      </c>
      <c r="BL1202" t="s">
        <v>145</v>
      </c>
      <c r="BM1202" t="s">
        <v>19759</v>
      </c>
      <c r="BR1202" t="s">
        <v>98</v>
      </c>
      <c r="BS1202" t="s">
        <v>19760</v>
      </c>
      <c r="BT1202" t="s">
        <v>16602</v>
      </c>
    </row>
    <row r="1203" spans="1:72">
      <c r="A1203" t="s">
        <v>72</v>
      </c>
      <c r="B1203" t="s">
        <v>19761</v>
      </c>
      <c r="F1203" t="s">
        <v>19762</v>
      </c>
      <c r="I1203" t="s">
        <v>19763</v>
      </c>
      <c r="J1203" t="s">
        <v>2137</v>
      </c>
      <c r="M1203" t="s">
        <v>78</v>
      </c>
      <c r="N1203" t="s">
        <v>79</v>
      </c>
      <c r="T1203" t="s">
        <v>19764</v>
      </c>
      <c r="U1203" t="s">
        <v>19765</v>
      </c>
      <c r="V1203" t="s">
        <v>19766</v>
      </c>
      <c r="W1203" t="s">
        <v>19767</v>
      </c>
      <c r="X1203" t="s">
        <v>19768</v>
      </c>
      <c r="Y1203" t="s">
        <v>19769</v>
      </c>
      <c r="Z1203" t="s">
        <v>19770</v>
      </c>
      <c r="AC1203" t="s">
        <v>19771</v>
      </c>
      <c r="AD1203" t="s">
        <v>19772</v>
      </c>
      <c r="AE1203" t="s">
        <v>19773</v>
      </c>
      <c r="AG1203">
        <v>62</v>
      </c>
      <c r="AH1203">
        <v>0</v>
      </c>
      <c r="AI1203">
        <v>0</v>
      </c>
      <c r="AJ1203">
        <v>3</v>
      </c>
      <c r="AK1203">
        <v>3</v>
      </c>
      <c r="AL1203" t="s">
        <v>1566</v>
      </c>
      <c r="AM1203" t="s">
        <v>1567</v>
      </c>
      <c r="AN1203" t="s">
        <v>1568</v>
      </c>
      <c r="AO1203" t="s">
        <v>19774</v>
      </c>
      <c r="AP1203" t="s">
        <v>2148</v>
      </c>
      <c r="AR1203" t="s">
        <v>2149</v>
      </c>
      <c r="AS1203" t="s">
        <v>2150</v>
      </c>
      <c r="AT1203" t="s">
        <v>765</v>
      </c>
      <c r="AU1203">
        <v>2024</v>
      </c>
      <c r="AV1203">
        <v>25</v>
      </c>
      <c r="AW1203">
        <v>13</v>
      </c>
      <c r="BD1203">
        <v>7368</v>
      </c>
      <c r="BE1203" t="s">
        <v>19775</v>
      </c>
      <c r="BF1203" t="s">
        <v>19776</v>
      </c>
      <c r="BI1203">
        <v>16</v>
      </c>
      <c r="BJ1203" t="s">
        <v>2152</v>
      </c>
      <c r="BK1203" t="s">
        <v>96</v>
      </c>
      <c r="BL1203" t="s">
        <v>2153</v>
      </c>
      <c r="BM1203" t="s">
        <v>19777</v>
      </c>
      <c r="BN1203">
        <v>39000475</v>
      </c>
      <c r="BR1203" t="s">
        <v>98</v>
      </c>
      <c r="BS1203" t="s">
        <v>19778</v>
      </c>
      <c r="BT1203" t="s">
        <v>16602</v>
      </c>
    </row>
    <row r="1204" spans="1:72">
      <c r="A1204" t="s">
        <v>72</v>
      </c>
      <c r="B1204" t="s">
        <v>19779</v>
      </c>
      <c r="F1204" t="s">
        <v>19779</v>
      </c>
      <c r="I1204" t="s">
        <v>19780</v>
      </c>
      <c r="J1204" t="s">
        <v>19781</v>
      </c>
      <c r="M1204" t="s">
        <v>78</v>
      </c>
      <c r="N1204" t="s">
        <v>79</v>
      </c>
      <c r="T1204" t="s">
        <v>19782</v>
      </c>
      <c r="U1204" t="s">
        <v>19783</v>
      </c>
      <c r="V1204" t="s">
        <v>19784</v>
      </c>
      <c r="W1204" t="s">
        <v>19785</v>
      </c>
      <c r="X1204" t="s">
        <v>19786</v>
      </c>
      <c r="Y1204" t="s">
        <v>19787</v>
      </c>
      <c r="Z1204" t="s">
        <v>19788</v>
      </c>
      <c r="AA1204" t="s">
        <v>19789</v>
      </c>
      <c r="AB1204" t="s">
        <v>19790</v>
      </c>
      <c r="AG1204">
        <v>65</v>
      </c>
      <c r="AH1204">
        <v>13</v>
      </c>
      <c r="AI1204">
        <v>14</v>
      </c>
      <c r="AJ1204">
        <v>0</v>
      </c>
      <c r="AK1204">
        <v>5</v>
      </c>
      <c r="AL1204" t="s">
        <v>2336</v>
      </c>
      <c r="AM1204" t="s">
        <v>113</v>
      </c>
      <c r="AN1204" t="s">
        <v>2337</v>
      </c>
      <c r="AO1204" t="s">
        <v>19791</v>
      </c>
      <c r="AP1204" t="s">
        <v>19792</v>
      </c>
      <c r="AR1204" t="s">
        <v>19793</v>
      </c>
      <c r="AS1204" t="s">
        <v>19794</v>
      </c>
      <c r="AT1204" t="s">
        <v>1223</v>
      </c>
      <c r="AU1204">
        <v>2006</v>
      </c>
      <c r="AV1204">
        <v>18</v>
      </c>
      <c r="AW1204">
        <v>1</v>
      </c>
      <c r="BB1204">
        <v>15</v>
      </c>
      <c r="BC1204">
        <v>22</v>
      </c>
      <c r="BE1204" t="s">
        <v>19795</v>
      </c>
      <c r="BF1204" t="s">
        <v>19796</v>
      </c>
      <c r="BI1204">
        <v>8</v>
      </c>
      <c r="BJ1204" t="s">
        <v>5652</v>
      </c>
      <c r="BK1204" t="s">
        <v>96</v>
      </c>
      <c r="BL1204" t="s">
        <v>5653</v>
      </c>
      <c r="BM1204" t="s">
        <v>19797</v>
      </c>
      <c r="BR1204" t="s">
        <v>98</v>
      </c>
      <c r="BS1204" t="s">
        <v>19798</v>
      </c>
      <c r="BT1204" t="s">
        <v>16602</v>
      </c>
    </row>
    <row r="1205" spans="1:72">
      <c r="A1205" t="s">
        <v>72</v>
      </c>
      <c r="B1205" t="s">
        <v>19799</v>
      </c>
      <c r="F1205" t="s">
        <v>19799</v>
      </c>
      <c r="I1205" t="s">
        <v>19800</v>
      </c>
      <c r="J1205" t="s">
        <v>5021</v>
      </c>
      <c r="M1205" t="s">
        <v>78</v>
      </c>
      <c r="N1205" t="s">
        <v>79</v>
      </c>
      <c r="T1205" t="s">
        <v>19801</v>
      </c>
      <c r="U1205" t="s">
        <v>19802</v>
      </c>
      <c r="V1205" t="s">
        <v>19803</v>
      </c>
      <c r="W1205" t="s">
        <v>19804</v>
      </c>
      <c r="X1205" t="s">
        <v>19805</v>
      </c>
      <c r="Y1205" t="s">
        <v>19806</v>
      </c>
      <c r="AG1205">
        <v>71</v>
      </c>
      <c r="AH1205">
        <v>36</v>
      </c>
      <c r="AI1205">
        <v>37</v>
      </c>
      <c r="AJ1205">
        <v>0</v>
      </c>
      <c r="AK1205">
        <v>12</v>
      </c>
      <c r="AL1205" t="s">
        <v>919</v>
      </c>
      <c r="AM1205" t="s">
        <v>651</v>
      </c>
      <c r="AN1205" t="s">
        <v>920</v>
      </c>
      <c r="AO1205" t="s">
        <v>5033</v>
      </c>
      <c r="AR1205" t="s">
        <v>5035</v>
      </c>
      <c r="AS1205" t="s">
        <v>5036</v>
      </c>
      <c r="AT1205" t="s">
        <v>951</v>
      </c>
      <c r="AU1205">
        <v>2000</v>
      </c>
      <c r="AV1205">
        <v>66</v>
      </c>
      <c r="AW1205" t="s">
        <v>2847</v>
      </c>
      <c r="BB1205">
        <v>73</v>
      </c>
      <c r="BC1205">
        <v>113</v>
      </c>
      <c r="BE1205" t="s">
        <v>19807</v>
      </c>
      <c r="BF1205" t="s">
        <v>19808</v>
      </c>
      <c r="BI1205">
        <v>41</v>
      </c>
      <c r="BJ1205" t="s">
        <v>1196</v>
      </c>
      <c r="BK1205" t="s">
        <v>96</v>
      </c>
      <c r="BL1205" t="s">
        <v>1197</v>
      </c>
      <c r="BM1205" t="s">
        <v>19809</v>
      </c>
      <c r="BR1205" t="s">
        <v>98</v>
      </c>
      <c r="BS1205" t="s">
        <v>19810</v>
      </c>
      <c r="BT1205" t="s">
        <v>16602</v>
      </c>
    </row>
    <row r="1206" spans="1:72">
      <c r="A1206" t="s">
        <v>72</v>
      </c>
      <c r="B1206" t="s">
        <v>19811</v>
      </c>
      <c r="F1206" t="s">
        <v>19812</v>
      </c>
      <c r="I1206" t="s">
        <v>19813</v>
      </c>
      <c r="J1206" t="s">
        <v>232</v>
      </c>
      <c r="M1206" t="s">
        <v>78</v>
      </c>
      <c r="N1206" t="s">
        <v>79</v>
      </c>
      <c r="T1206" t="s">
        <v>19814</v>
      </c>
      <c r="U1206" t="s">
        <v>19815</v>
      </c>
      <c r="V1206" t="s">
        <v>19816</v>
      </c>
      <c r="W1206" t="s">
        <v>19817</v>
      </c>
      <c r="X1206" t="s">
        <v>19818</v>
      </c>
      <c r="Y1206" t="s">
        <v>19819</v>
      </c>
      <c r="Z1206" t="s">
        <v>19820</v>
      </c>
      <c r="AA1206" t="s">
        <v>19821</v>
      </c>
      <c r="AB1206" t="s">
        <v>19822</v>
      </c>
      <c r="AC1206" t="s">
        <v>19823</v>
      </c>
      <c r="AD1206" t="s">
        <v>19823</v>
      </c>
      <c r="AE1206" t="s">
        <v>19824</v>
      </c>
      <c r="AG1206">
        <v>91</v>
      </c>
      <c r="AH1206">
        <v>0</v>
      </c>
      <c r="AI1206">
        <v>0</v>
      </c>
      <c r="AJ1206">
        <v>4</v>
      </c>
      <c r="AK1206">
        <v>4</v>
      </c>
      <c r="AL1206" t="s">
        <v>136</v>
      </c>
      <c r="AM1206" t="s">
        <v>137</v>
      </c>
      <c r="AN1206" t="s">
        <v>138</v>
      </c>
      <c r="AO1206" t="s">
        <v>240</v>
      </c>
      <c r="AP1206" t="s">
        <v>241</v>
      </c>
      <c r="AR1206" t="s">
        <v>242</v>
      </c>
      <c r="AS1206" t="s">
        <v>243</v>
      </c>
      <c r="AT1206" t="s">
        <v>93</v>
      </c>
      <c r="AU1206">
        <v>2024</v>
      </c>
      <c r="AV1206">
        <v>201</v>
      </c>
      <c r="BD1206">
        <v>116155</v>
      </c>
      <c r="BE1206" t="s">
        <v>19825</v>
      </c>
      <c r="BF1206" t="s">
        <v>19826</v>
      </c>
      <c r="BH1206" t="s">
        <v>2782</v>
      </c>
      <c r="BI1206">
        <v>8</v>
      </c>
      <c r="BJ1206" t="s">
        <v>247</v>
      </c>
      <c r="BK1206" t="s">
        <v>96</v>
      </c>
      <c r="BL1206" t="s">
        <v>248</v>
      </c>
      <c r="BM1206" t="s">
        <v>19827</v>
      </c>
      <c r="BN1206">
        <v>38401387</v>
      </c>
      <c r="BO1206" t="s">
        <v>810</v>
      </c>
      <c r="BR1206" t="s">
        <v>98</v>
      </c>
      <c r="BS1206" t="s">
        <v>19828</v>
      </c>
      <c r="BT1206" t="s">
        <v>16602</v>
      </c>
    </row>
    <row r="1207" spans="1:72">
      <c r="A1207" t="s">
        <v>72</v>
      </c>
      <c r="B1207" t="s">
        <v>19829</v>
      </c>
      <c r="F1207" t="s">
        <v>19829</v>
      </c>
      <c r="I1207" t="s">
        <v>19830</v>
      </c>
      <c r="J1207" t="s">
        <v>554</v>
      </c>
      <c r="M1207" t="s">
        <v>78</v>
      </c>
      <c r="N1207" t="s">
        <v>79</v>
      </c>
      <c r="T1207" t="s">
        <v>19831</v>
      </c>
      <c r="U1207" t="s">
        <v>19832</v>
      </c>
      <c r="V1207" t="s">
        <v>19833</v>
      </c>
      <c r="W1207" t="s">
        <v>19834</v>
      </c>
      <c r="X1207" t="s">
        <v>19835</v>
      </c>
      <c r="Y1207" t="s">
        <v>3618</v>
      </c>
      <c r="Z1207" t="s">
        <v>3619</v>
      </c>
      <c r="AG1207">
        <v>60</v>
      </c>
      <c r="AH1207">
        <v>55</v>
      </c>
      <c r="AI1207">
        <v>66</v>
      </c>
      <c r="AJ1207">
        <v>0</v>
      </c>
      <c r="AK1207">
        <v>20</v>
      </c>
      <c r="AL1207" t="s">
        <v>564</v>
      </c>
      <c r="AM1207" t="s">
        <v>113</v>
      </c>
      <c r="AN1207" t="s">
        <v>565</v>
      </c>
      <c r="AO1207" t="s">
        <v>566</v>
      </c>
      <c r="AP1207" t="s">
        <v>567</v>
      </c>
      <c r="AR1207" t="s">
        <v>568</v>
      </c>
      <c r="AS1207" t="s">
        <v>569</v>
      </c>
      <c r="AT1207" t="s">
        <v>765</v>
      </c>
      <c r="AU1207">
        <v>2001</v>
      </c>
      <c r="AV1207">
        <v>129</v>
      </c>
      <c r="AW1207">
        <v>3</v>
      </c>
      <c r="BB1207">
        <v>193</v>
      </c>
      <c r="BC1207">
        <v>209</v>
      </c>
      <c r="BE1207" t="s">
        <v>19836</v>
      </c>
      <c r="BF1207" t="s">
        <v>19837</v>
      </c>
      <c r="BI1207">
        <v>17</v>
      </c>
      <c r="BJ1207" t="s">
        <v>571</v>
      </c>
      <c r="BK1207" t="s">
        <v>96</v>
      </c>
      <c r="BL1207" t="s">
        <v>571</v>
      </c>
      <c r="BM1207" t="s">
        <v>19838</v>
      </c>
      <c r="BN1207">
        <v>11461836</v>
      </c>
      <c r="BR1207" t="s">
        <v>98</v>
      </c>
      <c r="BS1207" t="s">
        <v>19839</v>
      </c>
      <c r="BT1207" t="s">
        <v>16602</v>
      </c>
    </row>
    <row r="1208" spans="1:72">
      <c r="A1208" t="s">
        <v>72</v>
      </c>
      <c r="B1208" t="s">
        <v>19840</v>
      </c>
      <c r="F1208" t="s">
        <v>19841</v>
      </c>
      <c r="I1208" t="s">
        <v>19842</v>
      </c>
      <c r="J1208" t="s">
        <v>19459</v>
      </c>
      <c r="M1208" t="s">
        <v>78</v>
      </c>
      <c r="N1208" t="s">
        <v>79</v>
      </c>
      <c r="U1208" t="s">
        <v>19843</v>
      </c>
      <c r="V1208" t="s">
        <v>19844</v>
      </c>
      <c r="W1208" t="s">
        <v>19845</v>
      </c>
      <c r="X1208" t="s">
        <v>19846</v>
      </c>
      <c r="Y1208" t="s">
        <v>19847</v>
      </c>
      <c r="Z1208" t="s">
        <v>19848</v>
      </c>
      <c r="AA1208" t="s">
        <v>19849</v>
      </c>
      <c r="AB1208" t="s">
        <v>19850</v>
      </c>
      <c r="AC1208" t="s">
        <v>19851</v>
      </c>
      <c r="AD1208" t="s">
        <v>19852</v>
      </c>
      <c r="AE1208" t="s">
        <v>19853</v>
      </c>
      <c r="AG1208">
        <v>55</v>
      </c>
      <c r="AH1208">
        <v>20</v>
      </c>
      <c r="AI1208">
        <v>20</v>
      </c>
      <c r="AJ1208">
        <v>4</v>
      </c>
      <c r="AK1208">
        <v>97</v>
      </c>
      <c r="AL1208" t="s">
        <v>261</v>
      </c>
      <c r="AM1208" t="s">
        <v>262</v>
      </c>
      <c r="AN1208" t="s">
        <v>19471</v>
      </c>
      <c r="AO1208" t="s">
        <v>19472</v>
      </c>
      <c r="AR1208" t="s">
        <v>19473</v>
      </c>
      <c r="AS1208" t="s">
        <v>19474</v>
      </c>
      <c r="AU1208">
        <v>2015</v>
      </c>
      <c r="AV1208">
        <v>5</v>
      </c>
      <c r="AW1208">
        <v>50</v>
      </c>
      <c r="BB1208">
        <v>40036</v>
      </c>
      <c r="BC1208">
        <v>40045</v>
      </c>
      <c r="BE1208" t="s">
        <v>19854</v>
      </c>
      <c r="BF1208" t="s">
        <v>19855</v>
      </c>
      <c r="BI1208">
        <v>10</v>
      </c>
      <c r="BJ1208" t="s">
        <v>3919</v>
      </c>
      <c r="BK1208" t="s">
        <v>96</v>
      </c>
      <c r="BL1208" t="s">
        <v>1197</v>
      </c>
      <c r="BM1208" t="s">
        <v>19856</v>
      </c>
      <c r="BR1208" t="s">
        <v>98</v>
      </c>
      <c r="BS1208" t="s">
        <v>19857</v>
      </c>
      <c r="BT1208" t="s">
        <v>16602</v>
      </c>
    </row>
    <row r="1209" spans="1:72">
      <c r="A1209" t="s">
        <v>72</v>
      </c>
      <c r="B1209" t="s">
        <v>19858</v>
      </c>
      <c r="F1209" t="s">
        <v>19859</v>
      </c>
      <c r="I1209" t="s">
        <v>19860</v>
      </c>
      <c r="J1209" t="s">
        <v>232</v>
      </c>
      <c r="M1209" t="s">
        <v>78</v>
      </c>
      <c r="N1209" t="s">
        <v>79</v>
      </c>
      <c r="T1209" t="s">
        <v>19861</v>
      </c>
      <c r="U1209" t="s">
        <v>19862</v>
      </c>
      <c r="V1209" t="s">
        <v>19863</v>
      </c>
      <c r="W1209" t="s">
        <v>19864</v>
      </c>
      <c r="X1209" t="s">
        <v>19865</v>
      </c>
      <c r="Y1209" t="s">
        <v>19866</v>
      </c>
      <c r="Z1209" t="s">
        <v>19867</v>
      </c>
      <c r="AA1209" t="s">
        <v>19868</v>
      </c>
      <c r="AB1209" t="s">
        <v>19869</v>
      </c>
      <c r="AC1209" t="s">
        <v>19870</v>
      </c>
      <c r="AD1209" t="s">
        <v>19871</v>
      </c>
      <c r="AE1209" t="s">
        <v>19872</v>
      </c>
      <c r="AG1209">
        <v>74</v>
      </c>
      <c r="AH1209">
        <v>11</v>
      </c>
      <c r="AI1209">
        <v>11</v>
      </c>
      <c r="AJ1209">
        <v>3</v>
      </c>
      <c r="AK1209">
        <v>14</v>
      </c>
      <c r="AL1209" t="s">
        <v>136</v>
      </c>
      <c r="AM1209" t="s">
        <v>137</v>
      </c>
      <c r="AN1209" t="s">
        <v>138</v>
      </c>
      <c r="AO1209" t="s">
        <v>240</v>
      </c>
      <c r="AP1209" t="s">
        <v>241</v>
      </c>
      <c r="AR1209" t="s">
        <v>242</v>
      </c>
      <c r="AS1209" t="s">
        <v>243</v>
      </c>
      <c r="AT1209" t="s">
        <v>951</v>
      </c>
      <c r="AU1209">
        <v>2022</v>
      </c>
      <c r="AV1209">
        <v>184</v>
      </c>
      <c r="BD1209">
        <v>114169</v>
      </c>
      <c r="BE1209" t="s">
        <v>19873</v>
      </c>
      <c r="BF1209" t="s">
        <v>19874</v>
      </c>
      <c r="BH1209" t="s">
        <v>19875</v>
      </c>
      <c r="BI1209">
        <v>10</v>
      </c>
      <c r="BJ1209" t="s">
        <v>247</v>
      </c>
      <c r="BK1209" t="s">
        <v>96</v>
      </c>
      <c r="BL1209" t="s">
        <v>248</v>
      </c>
      <c r="BM1209" t="s">
        <v>8107</v>
      </c>
      <c r="BN1209">
        <v>36201985</v>
      </c>
      <c r="BR1209" t="s">
        <v>98</v>
      </c>
      <c r="BS1209" t="s">
        <v>19876</v>
      </c>
      <c r="BT1209" t="s">
        <v>16602</v>
      </c>
    </row>
    <row r="1210" spans="1:72">
      <c r="A1210" t="s">
        <v>72</v>
      </c>
      <c r="B1210" t="s">
        <v>19877</v>
      </c>
      <c r="F1210" t="s">
        <v>19878</v>
      </c>
      <c r="I1210" t="s">
        <v>19879</v>
      </c>
      <c r="J1210" t="s">
        <v>19880</v>
      </c>
      <c r="M1210" t="s">
        <v>78</v>
      </c>
      <c r="N1210" t="s">
        <v>79</v>
      </c>
      <c r="T1210" t="s">
        <v>19881</v>
      </c>
      <c r="U1210" t="s">
        <v>19882</v>
      </c>
      <c r="V1210" t="s">
        <v>19883</v>
      </c>
      <c r="W1210" t="s">
        <v>19884</v>
      </c>
      <c r="X1210" t="s">
        <v>5902</v>
      </c>
      <c r="Y1210" t="s">
        <v>19885</v>
      </c>
      <c r="Z1210" t="s">
        <v>19886</v>
      </c>
      <c r="AA1210" t="s">
        <v>5905</v>
      </c>
      <c r="AB1210" t="s">
        <v>5906</v>
      </c>
      <c r="AC1210" t="s">
        <v>19887</v>
      </c>
      <c r="AD1210" t="s">
        <v>19887</v>
      </c>
      <c r="AE1210" t="s">
        <v>19888</v>
      </c>
      <c r="AG1210">
        <v>59</v>
      </c>
      <c r="AH1210">
        <v>11</v>
      </c>
      <c r="AI1210">
        <v>11</v>
      </c>
      <c r="AJ1210">
        <v>1</v>
      </c>
      <c r="AK1210">
        <v>15</v>
      </c>
      <c r="AL1210" t="s">
        <v>2336</v>
      </c>
      <c r="AM1210" t="s">
        <v>113</v>
      </c>
      <c r="AN1210" t="s">
        <v>2337</v>
      </c>
      <c r="AO1210" t="s">
        <v>19889</v>
      </c>
      <c r="AP1210" t="s">
        <v>19890</v>
      </c>
      <c r="AR1210" t="s">
        <v>19880</v>
      </c>
      <c r="AS1210" t="s">
        <v>19891</v>
      </c>
      <c r="AT1210" t="s">
        <v>224</v>
      </c>
      <c r="AU1210">
        <v>2018</v>
      </c>
      <c r="AV1210">
        <v>26</v>
      </c>
      <c r="AW1210">
        <v>1</v>
      </c>
      <c r="BB1210">
        <v>14</v>
      </c>
      <c r="BC1210">
        <v>23</v>
      </c>
      <c r="BE1210" t="s">
        <v>19892</v>
      </c>
      <c r="BF1210" t="s">
        <v>19893</v>
      </c>
      <c r="BI1210">
        <v>10</v>
      </c>
      <c r="BJ1210" t="s">
        <v>19894</v>
      </c>
      <c r="BK1210" t="s">
        <v>96</v>
      </c>
      <c r="BL1210" t="s">
        <v>19894</v>
      </c>
      <c r="BM1210" t="s">
        <v>19895</v>
      </c>
      <c r="BN1210">
        <v>29233211</v>
      </c>
      <c r="BR1210" t="s">
        <v>98</v>
      </c>
      <c r="BS1210" t="s">
        <v>19896</v>
      </c>
      <c r="BT1210" t="s">
        <v>16602</v>
      </c>
    </row>
    <row r="1211" spans="1:72">
      <c r="A1211" t="s">
        <v>72</v>
      </c>
      <c r="B1211" t="s">
        <v>19897</v>
      </c>
      <c r="F1211" t="s">
        <v>19898</v>
      </c>
      <c r="I1211" t="s">
        <v>19899</v>
      </c>
      <c r="J1211" t="s">
        <v>127</v>
      </c>
      <c r="M1211" t="s">
        <v>78</v>
      </c>
      <c r="N1211" t="s">
        <v>79</v>
      </c>
      <c r="T1211" t="s">
        <v>19900</v>
      </c>
      <c r="U1211" t="s">
        <v>19901</v>
      </c>
      <c r="V1211" t="s">
        <v>19902</v>
      </c>
      <c r="W1211" t="s">
        <v>19903</v>
      </c>
      <c r="X1211" t="s">
        <v>19904</v>
      </c>
      <c r="Y1211" t="s">
        <v>19905</v>
      </c>
      <c r="Z1211" t="s">
        <v>19906</v>
      </c>
      <c r="AA1211" t="s">
        <v>19907</v>
      </c>
      <c r="AB1211" t="s">
        <v>19908</v>
      </c>
      <c r="AC1211" t="s">
        <v>19909</v>
      </c>
      <c r="AD1211" t="s">
        <v>19910</v>
      </c>
      <c r="AE1211" t="s">
        <v>19911</v>
      </c>
      <c r="AG1211">
        <v>51</v>
      </c>
      <c r="AH1211">
        <v>37</v>
      </c>
      <c r="AI1211">
        <v>47</v>
      </c>
      <c r="AJ1211">
        <v>0</v>
      </c>
      <c r="AK1211">
        <v>31</v>
      </c>
      <c r="AL1211" t="s">
        <v>136</v>
      </c>
      <c r="AM1211" t="s">
        <v>137</v>
      </c>
      <c r="AN1211" t="s">
        <v>138</v>
      </c>
      <c r="AO1211" t="s">
        <v>139</v>
      </c>
      <c r="AP1211" t="s">
        <v>140</v>
      </c>
      <c r="AR1211" t="s">
        <v>127</v>
      </c>
      <c r="AS1211" t="s">
        <v>141</v>
      </c>
      <c r="AT1211" t="s">
        <v>305</v>
      </c>
      <c r="AU1211">
        <v>2013</v>
      </c>
      <c r="AV1211">
        <v>93</v>
      </c>
      <c r="AW1211">
        <v>2</v>
      </c>
      <c r="BB1211">
        <v>243</v>
      </c>
      <c r="BC1211">
        <v>251</v>
      </c>
      <c r="BE1211" t="s">
        <v>19912</v>
      </c>
      <c r="BF1211" t="s">
        <v>19913</v>
      </c>
      <c r="BI1211">
        <v>9</v>
      </c>
      <c r="BJ1211" t="s">
        <v>144</v>
      </c>
      <c r="BK1211" t="s">
        <v>96</v>
      </c>
      <c r="BL1211" t="s">
        <v>145</v>
      </c>
      <c r="BM1211" t="s">
        <v>19914</v>
      </c>
      <c r="BN1211">
        <v>23722166</v>
      </c>
      <c r="BR1211" t="s">
        <v>98</v>
      </c>
      <c r="BS1211" t="s">
        <v>19915</v>
      </c>
      <c r="BT1211" t="s">
        <v>16602</v>
      </c>
    </row>
    <row r="1212" spans="1:72">
      <c r="A1212" t="s">
        <v>72</v>
      </c>
      <c r="B1212" t="s">
        <v>19916</v>
      </c>
      <c r="F1212" t="s">
        <v>19917</v>
      </c>
      <c r="I1212" t="s">
        <v>19918</v>
      </c>
      <c r="J1212" t="s">
        <v>19919</v>
      </c>
      <c r="M1212" t="s">
        <v>78</v>
      </c>
      <c r="N1212" t="s">
        <v>79</v>
      </c>
      <c r="U1212" t="s">
        <v>19920</v>
      </c>
      <c r="V1212" t="s">
        <v>19921</v>
      </c>
      <c r="W1212" t="s">
        <v>19922</v>
      </c>
      <c r="X1212" t="s">
        <v>19923</v>
      </c>
      <c r="Y1212" t="s">
        <v>19924</v>
      </c>
      <c r="Z1212" t="s">
        <v>19925</v>
      </c>
      <c r="AA1212" t="s">
        <v>19926</v>
      </c>
      <c r="AB1212" t="s">
        <v>19927</v>
      </c>
      <c r="AC1212" t="s">
        <v>19928</v>
      </c>
      <c r="AD1212" t="s">
        <v>19929</v>
      </c>
      <c r="AE1212" t="s">
        <v>19930</v>
      </c>
      <c r="AG1212">
        <v>77</v>
      </c>
      <c r="AH1212">
        <v>86</v>
      </c>
      <c r="AI1212">
        <v>92</v>
      </c>
      <c r="AJ1212">
        <v>7</v>
      </c>
      <c r="AK1212">
        <v>80</v>
      </c>
      <c r="AL1212" t="s">
        <v>5232</v>
      </c>
      <c r="AM1212" t="s">
        <v>286</v>
      </c>
      <c r="AN1212" t="s">
        <v>5233</v>
      </c>
      <c r="AO1212" t="s">
        <v>19931</v>
      </c>
      <c r="AR1212" t="s">
        <v>19919</v>
      </c>
      <c r="AS1212" t="s">
        <v>19932</v>
      </c>
      <c r="AT1212" t="s">
        <v>19933</v>
      </c>
      <c r="AU1212">
        <v>2011</v>
      </c>
      <c r="AV1212">
        <v>12</v>
      </c>
      <c r="BD1212">
        <v>195</v>
      </c>
      <c r="BE1212" t="s">
        <v>19934</v>
      </c>
      <c r="BF1212" t="s">
        <v>19935</v>
      </c>
      <c r="BI1212">
        <v>17</v>
      </c>
      <c r="BJ1212" t="s">
        <v>19936</v>
      </c>
      <c r="BK1212" t="s">
        <v>96</v>
      </c>
      <c r="BL1212" t="s">
        <v>19936</v>
      </c>
      <c r="BM1212" t="s">
        <v>19937</v>
      </c>
      <c r="BN1212">
        <v>21496282</v>
      </c>
      <c r="BO1212" t="s">
        <v>2155</v>
      </c>
      <c r="BR1212" t="s">
        <v>98</v>
      </c>
      <c r="BS1212" t="s">
        <v>19938</v>
      </c>
      <c r="BT1212" t="s">
        <v>16602</v>
      </c>
    </row>
    <row r="1213" spans="1:72">
      <c r="A1213" t="s">
        <v>72</v>
      </c>
      <c r="B1213" t="s">
        <v>19939</v>
      </c>
      <c r="F1213" t="s">
        <v>19940</v>
      </c>
      <c r="I1213" t="s">
        <v>19941</v>
      </c>
      <c r="J1213" t="s">
        <v>6037</v>
      </c>
      <c r="M1213" t="s">
        <v>78</v>
      </c>
      <c r="N1213" t="s">
        <v>79</v>
      </c>
      <c r="T1213" t="s">
        <v>19942</v>
      </c>
      <c r="U1213" t="s">
        <v>19943</v>
      </c>
      <c r="V1213" t="s">
        <v>19944</v>
      </c>
      <c r="W1213" t="s">
        <v>19945</v>
      </c>
      <c r="X1213" t="s">
        <v>19946</v>
      </c>
      <c r="Y1213" t="s">
        <v>19947</v>
      </c>
      <c r="Z1213" t="s">
        <v>19948</v>
      </c>
      <c r="AC1213" t="s">
        <v>19949</v>
      </c>
      <c r="AD1213" t="s">
        <v>19950</v>
      </c>
      <c r="AE1213" t="s">
        <v>19951</v>
      </c>
      <c r="AG1213">
        <v>63</v>
      </c>
      <c r="AH1213">
        <v>1</v>
      </c>
      <c r="AI1213">
        <v>1</v>
      </c>
      <c r="AJ1213">
        <v>2</v>
      </c>
      <c r="AK1213">
        <v>29</v>
      </c>
      <c r="AL1213" t="s">
        <v>650</v>
      </c>
      <c r="AM1213" t="s">
        <v>651</v>
      </c>
      <c r="AN1213" t="s">
        <v>652</v>
      </c>
      <c r="AO1213" t="s">
        <v>6048</v>
      </c>
      <c r="AP1213" t="s">
        <v>6049</v>
      </c>
      <c r="AR1213" t="s">
        <v>6050</v>
      </c>
      <c r="AS1213" t="s">
        <v>6051</v>
      </c>
      <c r="AT1213" t="s">
        <v>305</v>
      </c>
      <c r="AU1213">
        <v>2022</v>
      </c>
      <c r="AV1213">
        <v>471</v>
      </c>
      <c r="BD1213">
        <v>110037</v>
      </c>
      <c r="BE1213" t="s">
        <v>19952</v>
      </c>
      <c r="BF1213" t="s">
        <v>19953</v>
      </c>
      <c r="BH1213" t="s">
        <v>13858</v>
      </c>
      <c r="BI1213">
        <v>11</v>
      </c>
      <c r="BJ1213" t="s">
        <v>6054</v>
      </c>
      <c r="BK1213" t="s">
        <v>96</v>
      </c>
      <c r="BL1213" t="s">
        <v>145</v>
      </c>
      <c r="BM1213" t="s">
        <v>19954</v>
      </c>
      <c r="BR1213" t="s">
        <v>98</v>
      </c>
      <c r="BS1213" t="s">
        <v>19955</v>
      </c>
      <c r="BT1213" t="s">
        <v>16602</v>
      </c>
    </row>
    <row r="1214" spans="1:72">
      <c r="A1214" t="s">
        <v>72</v>
      </c>
      <c r="B1214" t="s">
        <v>19956</v>
      </c>
      <c r="F1214" t="s">
        <v>19957</v>
      </c>
      <c r="I1214" t="s">
        <v>19958</v>
      </c>
      <c r="J1214" t="s">
        <v>9383</v>
      </c>
      <c r="M1214" t="s">
        <v>78</v>
      </c>
      <c r="N1214" t="s">
        <v>79</v>
      </c>
      <c r="U1214" t="s">
        <v>19959</v>
      </c>
      <c r="V1214" t="s">
        <v>19960</v>
      </c>
      <c r="W1214" t="s">
        <v>19961</v>
      </c>
      <c r="X1214" t="s">
        <v>19962</v>
      </c>
      <c r="Y1214" t="s">
        <v>19963</v>
      </c>
      <c r="AA1214" t="s">
        <v>19964</v>
      </c>
      <c r="AB1214" t="s">
        <v>19965</v>
      </c>
      <c r="AC1214" t="s">
        <v>19966</v>
      </c>
      <c r="AD1214" t="s">
        <v>19967</v>
      </c>
      <c r="AE1214" t="s">
        <v>19968</v>
      </c>
      <c r="AG1214">
        <v>55</v>
      </c>
      <c r="AH1214">
        <v>22</v>
      </c>
      <c r="AI1214">
        <v>23</v>
      </c>
      <c r="AJ1214">
        <v>0</v>
      </c>
      <c r="AK1214">
        <v>9</v>
      </c>
      <c r="AL1214" t="s">
        <v>9394</v>
      </c>
      <c r="AM1214" t="s">
        <v>9395</v>
      </c>
      <c r="AN1214" t="s">
        <v>9396</v>
      </c>
      <c r="AO1214" t="s">
        <v>9397</v>
      </c>
      <c r="AR1214" t="s">
        <v>9398</v>
      </c>
      <c r="AS1214" t="s">
        <v>9399</v>
      </c>
      <c r="AT1214" t="s">
        <v>19969</v>
      </c>
      <c r="AU1214">
        <v>2019</v>
      </c>
      <c r="AV1214">
        <v>9</v>
      </c>
      <c r="BD1214">
        <v>16458</v>
      </c>
      <c r="BE1214" t="s">
        <v>19970</v>
      </c>
      <c r="BF1214" t="s">
        <v>19971</v>
      </c>
      <c r="BI1214">
        <v>11</v>
      </c>
      <c r="BJ1214" t="s">
        <v>3202</v>
      </c>
      <c r="BK1214" t="s">
        <v>96</v>
      </c>
      <c r="BL1214" t="s">
        <v>3203</v>
      </c>
      <c r="BM1214" t="s">
        <v>19972</v>
      </c>
      <c r="BN1214">
        <v>31712602</v>
      </c>
      <c r="BO1214" t="s">
        <v>550</v>
      </c>
      <c r="BR1214" t="s">
        <v>98</v>
      </c>
      <c r="BS1214" t="s">
        <v>19973</v>
      </c>
      <c r="BT1214" t="s">
        <v>16602</v>
      </c>
    </row>
    <row r="1215" spans="1:72">
      <c r="A1215" t="s">
        <v>72</v>
      </c>
      <c r="B1215" t="s">
        <v>19974</v>
      </c>
      <c r="F1215" t="s">
        <v>19975</v>
      </c>
      <c r="I1215" t="s">
        <v>19976</v>
      </c>
      <c r="J1215" t="s">
        <v>19977</v>
      </c>
      <c r="M1215" t="s">
        <v>78</v>
      </c>
      <c r="N1215" t="s">
        <v>79</v>
      </c>
      <c r="U1215" t="s">
        <v>19978</v>
      </c>
      <c r="V1215" t="s">
        <v>19979</v>
      </c>
      <c r="W1215" t="s">
        <v>19980</v>
      </c>
      <c r="X1215" t="s">
        <v>19981</v>
      </c>
      <c r="Y1215" t="s">
        <v>19982</v>
      </c>
      <c r="Z1215" t="s">
        <v>19983</v>
      </c>
      <c r="AA1215" t="s">
        <v>19984</v>
      </c>
      <c r="AB1215" t="s">
        <v>19985</v>
      </c>
      <c r="AC1215" t="s">
        <v>19986</v>
      </c>
      <c r="AD1215" t="s">
        <v>19987</v>
      </c>
      <c r="AE1215" t="s">
        <v>19988</v>
      </c>
      <c r="AG1215">
        <v>46</v>
      </c>
      <c r="AH1215">
        <v>50</v>
      </c>
      <c r="AI1215">
        <v>57</v>
      </c>
      <c r="AJ1215">
        <v>3</v>
      </c>
      <c r="AK1215">
        <v>123</v>
      </c>
      <c r="AL1215" t="s">
        <v>261</v>
      </c>
      <c r="AM1215" t="s">
        <v>262</v>
      </c>
      <c r="AN1215" t="s">
        <v>19471</v>
      </c>
      <c r="AO1215" t="s">
        <v>19989</v>
      </c>
      <c r="AP1215" t="s">
        <v>19990</v>
      </c>
      <c r="AR1215" t="s">
        <v>19991</v>
      </c>
      <c r="AS1215" t="s">
        <v>19992</v>
      </c>
      <c r="AT1215" t="s">
        <v>305</v>
      </c>
      <c r="AU1215">
        <v>2014</v>
      </c>
      <c r="AV1215">
        <v>29</v>
      </c>
      <c r="AW1215">
        <v>9</v>
      </c>
      <c r="BB1215">
        <v>1570</v>
      </c>
      <c r="BC1215">
        <v>1584</v>
      </c>
      <c r="BE1215" t="s">
        <v>19993</v>
      </c>
      <c r="BF1215" t="s">
        <v>19994</v>
      </c>
      <c r="BI1215">
        <v>15</v>
      </c>
      <c r="BJ1215" t="s">
        <v>19995</v>
      </c>
      <c r="BK1215" t="s">
        <v>96</v>
      </c>
      <c r="BL1215" t="s">
        <v>19996</v>
      </c>
      <c r="BM1215" t="s">
        <v>19997</v>
      </c>
      <c r="BR1215" t="s">
        <v>98</v>
      </c>
      <c r="BS1215" t="s">
        <v>19998</v>
      </c>
      <c r="BT1215" t="s">
        <v>16602</v>
      </c>
    </row>
    <row r="1216" spans="1:72">
      <c r="A1216" t="s">
        <v>72</v>
      </c>
      <c r="B1216" t="s">
        <v>19999</v>
      </c>
      <c r="F1216" t="s">
        <v>20000</v>
      </c>
      <c r="I1216" t="s">
        <v>20001</v>
      </c>
      <c r="J1216" t="s">
        <v>20002</v>
      </c>
      <c r="M1216" t="s">
        <v>78</v>
      </c>
      <c r="N1216" t="s">
        <v>79</v>
      </c>
      <c r="T1216" t="s">
        <v>20003</v>
      </c>
      <c r="U1216" t="s">
        <v>20004</v>
      </c>
      <c r="V1216" t="s">
        <v>20005</v>
      </c>
      <c r="W1216" t="s">
        <v>20006</v>
      </c>
      <c r="X1216" t="s">
        <v>20007</v>
      </c>
      <c r="Y1216" t="s">
        <v>20008</v>
      </c>
      <c r="Z1216" t="s">
        <v>20009</v>
      </c>
      <c r="AA1216" t="s">
        <v>20010</v>
      </c>
      <c r="AB1216" t="s">
        <v>20011</v>
      </c>
      <c r="AC1216" t="s">
        <v>20012</v>
      </c>
      <c r="AD1216" t="s">
        <v>20013</v>
      </c>
      <c r="AE1216" t="s">
        <v>20014</v>
      </c>
      <c r="AG1216">
        <v>46</v>
      </c>
      <c r="AH1216">
        <v>0</v>
      </c>
      <c r="AI1216">
        <v>0</v>
      </c>
      <c r="AJ1216">
        <v>0</v>
      </c>
      <c r="AK1216">
        <v>3</v>
      </c>
      <c r="AL1216" t="s">
        <v>20015</v>
      </c>
      <c r="AM1216" t="s">
        <v>20016</v>
      </c>
      <c r="AN1216" t="s">
        <v>20017</v>
      </c>
      <c r="AO1216" t="s">
        <v>20018</v>
      </c>
      <c r="AR1216" t="s">
        <v>20019</v>
      </c>
      <c r="AS1216" t="s">
        <v>20020</v>
      </c>
      <c r="AT1216" t="s">
        <v>197</v>
      </c>
      <c r="AU1216">
        <v>2021</v>
      </c>
      <c r="AV1216">
        <v>195</v>
      </c>
      <c r="AW1216">
        <v>3</v>
      </c>
      <c r="BB1216">
        <v>221</v>
      </c>
      <c r="BC1216">
        <v>230</v>
      </c>
      <c r="BE1216" t="s">
        <v>20021</v>
      </c>
      <c r="BF1216" t="s">
        <v>20022</v>
      </c>
      <c r="BI1216">
        <v>10</v>
      </c>
      <c r="BJ1216" t="s">
        <v>20023</v>
      </c>
      <c r="BK1216" t="s">
        <v>96</v>
      </c>
      <c r="BL1216" t="s">
        <v>680</v>
      </c>
      <c r="BM1216" t="s">
        <v>20024</v>
      </c>
      <c r="BR1216" t="s">
        <v>98</v>
      </c>
      <c r="BS1216" t="s">
        <v>20025</v>
      </c>
      <c r="BT1216" t="s">
        <v>16602</v>
      </c>
    </row>
    <row r="1217" spans="1:72">
      <c r="A1217" t="s">
        <v>72</v>
      </c>
      <c r="B1217" t="s">
        <v>20026</v>
      </c>
      <c r="F1217" t="s">
        <v>20027</v>
      </c>
      <c r="I1217" t="s">
        <v>20028</v>
      </c>
      <c r="J1217" t="s">
        <v>752</v>
      </c>
      <c r="M1217" t="s">
        <v>78</v>
      </c>
      <c r="N1217" t="s">
        <v>79</v>
      </c>
      <c r="T1217" t="s">
        <v>20029</v>
      </c>
      <c r="U1217" t="s">
        <v>20030</v>
      </c>
      <c r="V1217" t="s">
        <v>20031</v>
      </c>
      <c r="W1217" t="s">
        <v>20032</v>
      </c>
      <c r="X1217" t="s">
        <v>646</v>
      </c>
      <c r="Y1217" t="s">
        <v>11633</v>
      </c>
      <c r="AA1217" t="s">
        <v>4408</v>
      </c>
      <c r="AB1217" t="s">
        <v>20033</v>
      </c>
      <c r="AC1217" t="s">
        <v>14326</v>
      </c>
      <c r="AD1217" t="s">
        <v>14327</v>
      </c>
      <c r="AE1217" t="s">
        <v>20034</v>
      </c>
      <c r="AG1217">
        <v>66</v>
      </c>
      <c r="AH1217">
        <v>43</v>
      </c>
      <c r="AI1217">
        <v>46</v>
      </c>
      <c r="AJ1217">
        <v>1</v>
      </c>
      <c r="AK1217">
        <v>54</v>
      </c>
      <c r="AL1217" t="s">
        <v>430</v>
      </c>
      <c r="AM1217" t="s">
        <v>137</v>
      </c>
      <c r="AN1217" t="s">
        <v>431</v>
      </c>
      <c r="AO1217" t="s">
        <v>761</v>
      </c>
      <c r="AP1217" t="s">
        <v>762</v>
      </c>
      <c r="AR1217" t="s">
        <v>763</v>
      </c>
      <c r="AS1217" t="s">
        <v>764</v>
      </c>
      <c r="AT1217" t="s">
        <v>224</v>
      </c>
      <c r="AU1217">
        <v>2016</v>
      </c>
      <c r="AV1217">
        <v>113</v>
      </c>
      <c r="BB1217">
        <v>31</v>
      </c>
      <c r="BC1217">
        <v>38</v>
      </c>
      <c r="BE1217" t="s">
        <v>20035</v>
      </c>
      <c r="BF1217" t="s">
        <v>20036</v>
      </c>
      <c r="BI1217">
        <v>8</v>
      </c>
      <c r="BJ1217" t="s">
        <v>768</v>
      </c>
      <c r="BK1217" t="s">
        <v>96</v>
      </c>
      <c r="BL1217" t="s">
        <v>769</v>
      </c>
      <c r="BM1217" t="s">
        <v>20037</v>
      </c>
      <c r="BN1217">
        <v>26583531</v>
      </c>
      <c r="BR1217" t="s">
        <v>98</v>
      </c>
      <c r="BS1217" t="s">
        <v>20038</v>
      </c>
      <c r="BT1217" t="s">
        <v>16602</v>
      </c>
    </row>
    <row r="1218" spans="1:72">
      <c r="A1218" t="s">
        <v>72</v>
      </c>
      <c r="B1218" t="s">
        <v>20039</v>
      </c>
      <c r="F1218" t="s">
        <v>20040</v>
      </c>
      <c r="I1218" t="s">
        <v>20041</v>
      </c>
      <c r="J1218" t="s">
        <v>18169</v>
      </c>
      <c r="M1218" t="s">
        <v>78</v>
      </c>
      <c r="N1218" t="s">
        <v>79</v>
      </c>
      <c r="T1218" t="s">
        <v>20042</v>
      </c>
      <c r="U1218" t="s">
        <v>20043</v>
      </c>
      <c r="V1218" t="s">
        <v>20044</v>
      </c>
      <c r="W1218" t="s">
        <v>20045</v>
      </c>
      <c r="X1218" t="s">
        <v>18174</v>
      </c>
      <c r="Y1218" t="s">
        <v>20046</v>
      </c>
      <c r="Z1218" t="s">
        <v>20047</v>
      </c>
      <c r="AA1218" t="s">
        <v>20048</v>
      </c>
      <c r="AB1218" t="s">
        <v>20049</v>
      </c>
      <c r="AC1218" t="s">
        <v>20050</v>
      </c>
      <c r="AD1218" t="s">
        <v>20051</v>
      </c>
      <c r="AE1218" t="s">
        <v>20052</v>
      </c>
      <c r="AG1218">
        <v>18</v>
      </c>
      <c r="AH1218">
        <v>2</v>
      </c>
      <c r="AI1218">
        <v>3</v>
      </c>
      <c r="AJ1218">
        <v>0</v>
      </c>
      <c r="AK1218">
        <v>9</v>
      </c>
      <c r="AL1218" t="s">
        <v>18182</v>
      </c>
      <c r="AM1218" t="s">
        <v>825</v>
      </c>
      <c r="AN1218" t="s">
        <v>18183</v>
      </c>
      <c r="AO1218" t="s">
        <v>18184</v>
      </c>
      <c r="AR1218" t="s">
        <v>18185</v>
      </c>
      <c r="AS1218" t="s">
        <v>18186</v>
      </c>
      <c r="AT1218" t="s">
        <v>197</v>
      </c>
      <c r="AU1218">
        <v>2019</v>
      </c>
      <c r="AV1218">
        <v>71</v>
      </c>
      <c r="AW1218">
        <v>4</v>
      </c>
      <c r="BB1218">
        <v>567</v>
      </c>
      <c r="BC1218">
        <v>574</v>
      </c>
      <c r="BI1218">
        <v>8</v>
      </c>
      <c r="BJ1218" t="s">
        <v>2210</v>
      </c>
      <c r="BK1218" t="s">
        <v>96</v>
      </c>
      <c r="BL1218" t="s">
        <v>2210</v>
      </c>
      <c r="BM1218" t="s">
        <v>20053</v>
      </c>
      <c r="BR1218" t="s">
        <v>98</v>
      </c>
      <c r="BS1218" t="s">
        <v>20054</v>
      </c>
      <c r="BT1218" t="s">
        <v>16602</v>
      </c>
    </row>
    <row r="1219" spans="1:72">
      <c r="A1219" t="s">
        <v>72</v>
      </c>
      <c r="B1219" t="s">
        <v>20055</v>
      </c>
      <c r="F1219" t="s">
        <v>20055</v>
      </c>
      <c r="I1219" t="s">
        <v>20056</v>
      </c>
      <c r="J1219" t="s">
        <v>20057</v>
      </c>
      <c r="M1219" t="s">
        <v>78</v>
      </c>
      <c r="N1219" t="s">
        <v>79</v>
      </c>
      <c r="T1219" t="s">
        <v>20058</v>
      </c>
      <c r="U1219" t="s">
        <v>20059</v>
      </c>
      <c r="V1219" t="s">
        <v>20060</v>
      </c>
      <c r="W1219" t="s">
        <v>20061</v>
      </c>
      <c r="X1219" t="s">
        <v>20062</v>
      </c>
      <c r="Y1219" t="s">
        <v>20063</v>
      </c>
      <c r="AB1219" t="s">
        <v>20064</v>
      </c>
      <c r="AG1219">
        <v>40</v>
      </c>
      <c r="AH1219">
        <v>176</v>
      </c>
      <c r="AI1219">
        <v>206</v>
      </c>
      <c r="AJ1219">
        <v>6</v>
      </c>
      <c r="AK1219">
        <v>137</v>
      </c>
      <c r="AL1219" t="s">
        <v>919</v>
      </c>
      <c r="AM1219" t="s">
        <v>651</v>
      </c>
      <c r="AN1219" t="s">
        <v>920</v>
      </c>
      <c r="AO1219" t="s">
        <v>20065</v>
      </c>
      <c r="AR1219" t="s">
        <v>20066</v>
      </c>
      <c r="AS1219" t="s">
        <v>20067</v>
      </c>
      <c r="AT1219" t="s">
        <v>765</v>
      </c>
      <c r="AU1219">
        <v>2002</v>
      </c>
      <c r="AV1219">
        <v>16</v>
      </c>
      <c r="AW1219">
        <v>1</v>
      </c>
      <c r="BB1219">
        <v>33</v>
      </c>
      <c r="BC1219">
        <v>42</v>
      </c>
      <c r="BD1219" t="s">
        <v>20068</v>
      </c>
      <c r="BE1219" t="s">
        <v>20069</v>
      </c>
      <c r="BF1219" t="s">
        <v>20070</v>
      </c>
      <c r="BI1219">
        <v>10</v>
      </c>
      <c r="BJ1219" t="s">
        <v>20071</v>
      </c>
      <c r="BK1219" t="s">
        <v>96</v>
      </c>
      <c r="BL1219" t="s">
        <v>4121</v>
      </c>
      <c r="BM1219" t="s">
        <v>20072</v>
      </c>
      <c r="BR1219" t="s">
        <v>98</v>
      </c>
      <c r="BS1219" t="s">
        <v>20073</v>
      </c>
      <c r="BT1219" t="s">
        <v>16602</v>
      </c>
    </row>
    <row r="1220" spans="1:72">
      <c r="A1220" t="s">
        <v>72</v>
      </c>
      <c r="B1220" t="s">
        <v>20074</v>
      </c>
      <c r="F1220" t="s">
        <v>20075</v>
      </c>
      <c r="I1220" t="s">
        <v>20076</v>
      </c>
      <c r="J1220" t="s">
        <v>232</v>
      </c>
      <c r="M1220" t="s">
        <v>78</v>
      </c>
      <c r="N1220" t="s">
        <v>79</v>
      </c>
      <c r="T1220" t="s">
        <v>20077</v>
      </c>
      <c r="U1220" t="s">
        <v>20078</v>
      </c>
      <c r="V1220" t="s">
        <v>20079</v>
      </c>
      <c r="W1220" t="s">
        <v>20080</v>
      </c>
      <c r="X1220" t="s">
        <v>20081</v>
      </c>
      <c r="Y1220" t="s">
        <v>20082</v>
      </c>
      <c r="Z1220" t="s">
        <v>20083</v>
      </c>
      <c r="AB1220" t="s">
        <v>20084</v>
      </c>
      <c r="AC1220" t="s">
        <v>20085</v>
      </c>
      <c r="AD1220" t="s">
        <v>20085</v>
      </c>
      <c r="AE1220" t="s">
        <v>20086</v>
      </c>
      <c r="AG1220">
        <v>84</v>
      </c>
      <c r="AH1220">
        <v>9</v>
      </c>
      <c r="AI1220">
        <v>9</v>
      </c>
      <c r="AJ1220">
        <v>11</v>
      </c>
      <c r="AK1220">
        <v>26</v>
      </c>
      <c r="AL1220" t="s">
        <v>136</v>
      </c>
      <c r="AM1220" t="s">
        <v>137</v>
      </c>
      <c r="AN1220" t="s">
        <v>138</v>
      </c>
      <c r="AO1220" t="s">
        <v>240</v>
      </c>
      <c r="AP1220" t="s">
        <v>241</v>
      </c>
      <c r="AR1220" t="s">
        <v>242</v>
      </c>
      <c r="AS1220" t="s">
        <v>243</v>
      </c>
      <c r="AT1220" t="s">
        <v>20087</v>
      </c>
      <c r="AU1220">
        <v>2015</v>
      </c>
      <c r="AV1220">
        <v>95</v>
      </c>
      <c r="AW1220">
        <v>2</v>
      </c>
      <c r="BB1220">
        <v>678</v>
      </c>
      <c r="BC1220">
        <v>687</v>
      </c>
      <c r="BE1220" t="s">
        <v>20088</v>
      </c>
      <c r="BF1220" t="s">
        <v>20089</v>
      </c>
      <c r="BI1220">
        <v>10</v>
      </c>
      <c r="BJ1220" t="s">
        <v>247</v>
      </c>
      <c r="BK1220" t="s">
        <v>96</v>
      </c>
      <c r="BL1220" t="s">
        <v>248</v>
      </c>
      <c r="BM1220" t="s">
        <v>20090</v>
      </c>
      <c r="BN1220">
        <v>25749315</v>
      </c>
      <c r="BR1220" t="s">
        <v>98</v>
      </c>
      <c r="BS1220" t="s">
        <v>20091</v>
      </c>
      <c r="BT1220" t="s">
        <v>16602</v>
      </c>
    </row>
    <row r="1221" spans="1:72">
      <c r="A1221" t="s">
        <v>72</v>
      </c>
      <c r="B1221" t="s">
        <v>20092</v>
      </c>
      <c r="F1221" t="s">
        <v>20093</v>
      </c>
      <c r="I1221" t="s">
        <v>20094</v>
      </c>
      <c r="J1221" t="s">
        <v>5592</v>
      </c>
      <c r="M1221" t="s">
        <v>78</v>
      </c>
      <c r="N1221" t="s">
        <v>79</v>
      </c>
      <c r="T1221" t="s">
        <v>20095</v>
      </c>
      <c r="U1221" t="s">
        <v>20096</v>
      </c>
      <c r="V1221" t="s">
        <v>20097</v>
      </c>
      <c r="W1221" t="s">
        <v>20098</v>
      </c>
      <c r="X1221" t="s">
        <v>20099</v>
      </c>
      <c r="Y1221" t="s">
        <v>20100</v>
      </c>
      <c r="Z1221" t="s">
        <v>20101</v>
      </c>
      <c r="AA1221" t="s">
        <v>20102</v>
      </c>
      <c r="AB1221" t="s">
        <v>20103</v>
      </c>
      <c r="AC1221" t="s">
        <v>20104</v>
      </c>
      <c r="AD1221" t="s">
        <v>20105</v>
      </c>
      <c r="AE1221" t="s">
        <v>20106</v>
      </c>
      <c r="AG1221">
        <v>116</v>
      </c>
      <c r="AH1221">
        <v>0</v>
      </c>
      <c r="AI1221">
        <v>0</v>
      </c>
      <c r="AJ1221">
        <v>3</v>
      </c>
      <c r="AK1221">
        <v>6</v>
      </c>
      <c r="AL1221" t="s">
        <v>285</v>
      </c>
      <c r="AM1221" t="s">
        <v>286</v>
      </c>
      <c r="AN1221" t="s">
        <v>287</v>
      </c>
      <c r="AO1221" t="s">
        <v>5605</v>
      </c>
      <c r="AP1221" t="s">
        <v>5606</v>
      </c>
      <c r="AR1221" t="s">
        <v>5607</v>
      </c>
      <c r="AS1221" t="s">
        <v>5608</v>
      </c>
      <c r="AT1221" t="s">
        <v>224</v>
      </c>
      <c r="AU1221">
        <v>2024</v>
      </c>
      <c r="AV1221">
        <v>297</v>
      </c>
      <c r="BD1221">
        <v>108616</v>
      </c>
      <c r="BE1221" t="s">
        <v>20107</v>
      </c>
      <c r="BF1221" t="s">
        <v>20108</v>
      </c>
      <c r="BH1221" t="s">
        <v>5287</v>
      </c>
      <c r="BI1221">
        <v>12</v>
      </c>
      <c r="BJ1221" t="s">
        <v>4241</v>
      </c>
      <c r="BK1221" t="s">
        <v>96</v>
      </c>
      <c r="BL1221" t="s">
        <v>4241</v>
      </c>
      <c r="BM1221" t="s">
        <v>20109</v>
      </c>
      <c r="BR1221" t="s">
        <v>98</v>
      </c>
      <c r="BS1221" t="s">
        <v>20110</v>
      </c>
      <c r="BT1221" t="s">
        <v>16602</v>
      </c>
    </row>
    <row r="1222" spans="1:72">
      <c r="A1222" t="s">
        <v>72</v>
      </c>
      <c r="B1222" t="s">
        <v>20111</v>
      </c>
      <c r="F1222" t="s">
        <v>20111</v>
      </c>
      <c r="I1222" t="s">
        <v>20112</v>
      </c>
      <c r="J1222" t="s">
        <v>253</v>
      </c>
      <c r="M1222" t="s">
        <v>78</v>
      </c>
      <c r="N1222" t="s">
        <v>79</v>
      </c>
      <c r="U1222" t="s">
        <v>20113</v>
      </c>
      <c r="V1222" t="s">
        <v>20114</v>
      </c>
      <c r="W1222" t="s">
        <v>20115</v>
      </c>
      <c r="X1222" t="s">
        <v>14926</v>
      </c>
      <c r="Y1222" t="s">
        <v>20116</v>
      </c>
      <c r="Z1222" t="s">
        <v>20117</v>
      </c>
      <c r="AB1222" t="s">
        <v>20118</v>
      </c>
      <c r="AG1222">
        <v>75</v>
      </c>
      <c r="AH1222">
        <v>95</v>
      </c>
      <c r="AI1222">
        <v>102</v>
      </c>
      <c r="AJ1222">
        <v>0</v>
      </c>
      <c r="AK1222">
        <v>67</v>
      </c>
      <c r="AL1222" t="s">
        <v>261</v>
      </c>
      <c r="AM1222" t="s">
        <v>262</v>
      </c>
      <c r="AN1222" t="s">
        <v>19471</v>
      </c>
      <c r="AO1222" t="s">
        <v>264</v>
      </c>
      <c r="AP1222" t="s">
        <v>20119</v>
      </c>
      <c r="AR1222" t="s">
        <v>265</v>
      </c>
      <c r="AS1222" t="s">
        <v>266</v>
      </c>
      <c r="AU1222">
        <v>2005</v>
      </c>
      <c r="AV1222">
        <v>7</v>
      </c>
      <c r="AW1222">
        <v>3</v>
      </c>
      <c r="BB1222">
        <v>224</v>
      </c>
      <c r="BC1222">
        <v>240</v>
      </c>
      <c r="BE1222" t="s">
        <v>20120</v>
      </c>
      <c r="BF1222" t="s">
        <v>20121</v>
      </c>
      <c r="BI1222">
        <v>17</v>
      </c>
      <c r="BJ1222" t="s">
        <v>269</v>
      </c>
      <c r="BK1222" t="s">
        <v>96</v>
      </c>
      <c r="BL1222" t="s">
        <v>270</v>
      </c>
      <c r="BM1222" t="s">
        <v>20122</v>
      </c>
      <c r="BN1222">
        <v>15735781</v>
      </c>
      <c r="BR1222" t="s">
        <v>98</v>
      </c>
      <c r="BS1222" t="s">
        <v>20123</v>
      </c>
      <c r="BT1222" t="s">
        <v>16602</v>
      </c>
    </row>
    <row r="1223" spans="1:72">
      <c r="A1223" t="s">
        <v>72</v>
      </c>
      <c r="B1223" t="s">
        <v>20124</v>
      </c>
      <c r="F1223" t="s">
        <v>20125</v>
      </c>
      <c r="I1223" t="s">
        <v>20126</v>
      </c>
      <c r="J1223" t="s">
        <v>909</v>
      </c>
      <c r="M1223" t="s">
        <v>78</v>
      </c>
      <c r="N1223" t="s">
        <v>79</v>
      </c>
      <c r="T1223" t="s">
        <v>20127</v>
      </c>
      <c r="U1223" t="s">
        <v>20128</v>
      </c>
      <c r="V1223" t="s">
        <v>20129</v>
      </c>
      <c r="W1223" t="s">
        <v>20130</v>
      </c>
      <c r="Y1223" t="s">
        <v>20131</v>
      </c>
      <c r="Z1223" t="s">
        <v>20132</v>
      </c>
      <c r="AA1223" t="s">
        <v>20133</v>
      </c>
      <c r="AB1223" t="s">
        <v>20134</v>
      </c>
      <c r="AC1223" t="s">
        <v>20135</v>
      </c>
      <c r="AD1223" t="s">
        <v>20136</v>
      </c>
      <c r="AE1223" t="s">
        <v>20137</v>
      </c>
      <c r="AG1223">
        <v>51</v>
      </c>
      <c r="AH1223">
        <v>29</v>
      </c>
      <c r="AI1223">
        <v>30</v>
      </c>
      <c r="AJ1223">
        <v>0</v>
      </c>
      <c r="AK1223">
        <v>31</v>
      </c>
      <c r="AL1223" t="s">
        <v>650</v>
      </c>
      <c r="AM1223" t="s">
        <v>651</v>
      </c>
      <c r="AN1223" t="s">
        <v>652</v>
      </c>
      <c r="AO1223" t="s">
        <v>921</v>
      </c>
      <c r="AP1223" t="s">
        <v>922</v>
      </c>
      <c r="AR1223" t="s">
        <v>923</v>
      </c>
      <c r="AS1223" t="s">
        <v>924</v>
      </c>
      <c r="AT1223" t="s">
        <v>4761</v>
      </c>
      <c r="AU1223">
        <v>2009</v>
      </c>
      <c r="AV1223">
        <v>407</v>
      </c>
      <c r="AW1223">
        <v>7</v>
      </c>
      <c r="BB1223">
        <v>2440</v>
      </c>
      <c r="BC1223">
        <v>2446</v>
      </c>
      <c r="BE1223" t="s">
        <v>20138</v>
      </c>
      <c r="BF1223" t="s">
        <v>20139</v>
      </c>
      <c r="BI1223">
        <v>7</v>
      </c>
      <c r="BJ1223" t="s">
        <v>144</v>
      </c>
      <c r="BK1223" t="s">
        <v>96</v>
      </c>
      <c r="BL1223" t="s">
        <v>145</v>
      </c>
      <c r="BM1223" t="s">
        <v>20140</v>
      </c>
      <c r="BN1223">
        <v>19081604</v>
      </c>
      <c r="BR1223" t="s">
        <v>98</v>
      </c>
      <c r="BS1223" t="s">
        <v>20141</v>
      </c>
      <c r="BT1223" t="s">
        <v>16602</v>
      </c>
    </row>
    <row r="1224" spans="1:72">
      <c r="A1224" t="s">
        <v>72</v>
      </c>
      <c r="B1224" t="s">
        <v>20142</v>
      </c>
      <c r="F1224" t="s">
        <v>20142</v>
      </c>
      <c r="I1224" t="s">
        <v>20143</v>
      </c>
      <c r="J1224" t="s">
        <v>179</v>
      </c>
      <c r="M1224" t="s">
        <v>78</v>
      </c>
      <c r="N1224" t="s">
        <v>79</v>
      </c>
      <c r="T1224" t="s">
        <v>20144</v>
      </c>
      <c r="U1224" t="s">
        <v>20145</v>
      </c>
      <c r="V1224" t="s">
        <v>20146</v>
      </c>
      <c r="W1224" t="s">
        <v>20147</v>
      </c>
      <c r="X1224" t="s">
        <v>20148</v>
      </c>
      <c r="Y1224" t="s">
        <v>20149</v>
      </c>
      <c r="AB1224" t="s">
        <v>20150</v>
      </c>
      <c r="AG1224">
        <v>72</v>
      </c>
      <c r="AH1224">
        <v>28</v>
      </c>
      <c r="AI1224">
        <v>34</v>
      </c>
      <c r="AJ1224">
        <v>2</v>
      </c>
      <c r="AK1224">
        <v>22</v>
      </c>
      <c r="AL1224" t="s">
        <v>716</v>
      </c>
      <c r="AM1224" t="s">
        <v>191</v>
      </c>
      <c r="AN1224" t="s">
        <v>717</v>
      </c>
      <c r="AO1224" t="s">
        <v>193</v>
      </c>
      <c r="AR1224" t="s">
        <v>195</v>
      </c>
      <c r="AS1224" t="s">
        <v>196</v>
      </c>
      <c r="AT1224" t="s">
        <v>951</v>
      </c>
      <c r="AU1224">
        <v>2001</v>
      </c>
      <c r="AV1224">
        <v>72</v>
      </c>
      <c r="AW1224">
        <v>1</v>
      </c>
      <c r="BB1224">
        <v>51</v>
      </c>
      <c r="BC1224">
        <v>78</v>
      </c>
      <c r="BE1224" t="s">
        <v>20151</v>
      </c>
      <c r="BF1224" t="s">
        <v>20152</v>
      </c>
      <c r="BI1224">
        <v>28</v>
      </c>
      <c r="BJ1224" t="s">
        <v>144</v>
      </c>
      <c r="BK1224" t="s">
        <v>96</v>
      </c>
      <c r="BL1224" t="s">
        <v>145</v>
      </c>
      <c r="BM1224" t="s">
        <v>20153</v>
      </c>
      <c r="BN1224">
        <v>11693554</v>
      </c>
      <c r="BR1224" t="s">
        <v>98</v>
      </c>
      <c r="BS1224" t="s">
        <v>20154</v>
      </c>
      <c r="BT1224" t="s">
        <v>16602</v>
      </c>
    </row>
    <row r="1225" spans="1:72">
      <c r="A1225" t="s">
        <v>72</v>
      </c>
      <c r="B1225" t="s">
        <v>20155</v>
      </c>
      <c r="F1225" t="s">
        <v>20156</v>
      </c>
      <c r="I1225" t="s">
        <v>20157</v>
      </c>
      <c r="J1225" t="s">
        <v>10392</v>
      </c>
      <c r="M1225" t="s">
        <v>78</v>
      </c>
      <c r="N1225" t="s">
        <v>79</v>
      </c>
      <c r="T1225" t="s">
        <v>20158</v>
      </c>
      <c r="U1225" t="s">
        <v>20159</v>
      </c>
      <c r="V1225" t="s">
        <v>20160</v>
      </c>
      <c r="W1225" t="s">
        <v>20161</v>
      </c>
      <c r="X1225" t="s">
        <v>2636</v>
      </c>
      <c r="Y1225" t="s">
        <v>20162</v>
      </c>
      <c r="Z1225" t="s">
        <v>20163</v>
      </c>
      <c r="AA1225" t="s">
        <v>20164</v>
      </c>
      <c r="AB1225" t="s">
        <v>20165</v>
      </c>
      <c r="AG1225">
        <v>55</v>
      </c>
      <c r="AH1225">
        <v>13</v>
      </c>
      <c r="AI1225">
        <v>14</v>
      </c>
      <c r="AJ1225">
        <v>0</v>
      </c>
      <c r="AK1225">
        <v>3</v>
      </c>
      <c r="AL1225" t="s">
        <v>4010</v>
      </c>
      <c r="AM1225" t="s">
        <v>1167</v>
      </c>
      <c r="AN1225" t="s">
        <v>1168</v>
      </c>
      <c r="AO1225" t="s">
        <v>10400</v>
      </c>
      <c r="AP1225" t="s">
        <v>10401</v>
      </c>
      <c r="AR1225" t="s">
        <v>10392</v>
      </c>
      <c r="AS1225" t="s">
        <v>10402</v>
      </c>
      <c r="AT1225" t="s">
        <v>93</v>
      </c>
      <c r="AU1225">
        <v>2018</v>
      </c>
      <c r="AV1225">
        <v>34</v>
      </c>
      <c r="AW1225">
        <v>1</v>
      </c>
      <c r="BB1225">
        <v>103</v>
      </c>
      <c r="BC1225">
        <v>112</v>
      </c>
      <c r="BE1225" t="s">
        <v>20166</v>
      </c>
      <c r="BF1225" t="s">
        <v>20167</v>
      </c>
      <c r="BI1225">
        <v>10</v>
      </c>
      <c r="BJ1225" t="s">
        <v>4241</v>
      </c>
      <c r="BK1225" t="s">
        <v>96</v>
      </c>
      <c r="BL1225" t="s">
        <v>4241</v>
      </c>
      <c r="BM1225" t="s">
        <v>20168</v>
      </c>
      <c r="BR1225" t="s">
        <v>98</v>
      </c>
      <c r="BS1225" t="s">
        <v>20169</v>
      </c>
      <c r="BT1225" t="s">
        <v>16602</v>
      </c>
    </row>
    <row r="1226" spans="1:72">
      <c r="A1226" t="s">
        <v>72</v>
      </c>
      <c r="B1226" t="s">
        <v>20170</v>
      </c>
      <c r="F1226" t="s">
        <v>20170</v>
      </c>
      <c r="I1226" t="s">
        <v>20171</v>
      </c>
      <c r="J1226" t="s">
        <v>752</v>
      </c>
      <c r="M1226" t="s">
        <v>78</v>
      </c>
      <c r="N1226" t="s">
        <v>79</v>
      </c>
      <c r="T1226" t="s">
        <v>20172</v>
      </c>
      <c r="U1226" t="s">
        <v>20173</v>
      </c>
      <c r="V1226" t="s">
        <v>20174</v>
      </c>
      <c r="W1226" t="s">
        <v>20175</v>
      </c>
      <c r="X1226" t="s">
        <v>20176</v>
      </c>
      <c r="Y1226" t="s">
        <v>20177</v>
      </c>
      <c r="Z1226" t="s">
        <v>20178</v>
      </c>
      <c r="AG1226">
        <v>56</v>
      </c>
      <c r="AH1226">
        <v>45</v>
      </c>
      <c r="AI1226">
        <v>54</v>
      </c>
      <c r="AJ1226">
        <v>1</v>
      </c>
      <c r="AK1226">
        <v>22</v>
      </c>
      <c r="AL1226" t="s">
        <v>430</v>
      </c>
      <c r="AM1226" t="s">
        <v>137</v>
      </c>
      <c r="AN1226" t="s">
        <v>431</v>
      </c>
      <c r="AO1226" t="s">
        <v>761</v>
      </c>
      <c r="AP1226" t="s">
        <v>762</v>
      </c>
      <c r="AR1226" t="s">
        <v>763</v>
      </c>
      <c r="AS1226" t="s">
        <v>764</v>
      </c>
      <c r="AT1226" t="s">
        <v>93</v>
      </c>
      <c r="AU1226">
        <v>2001</v>
      </c>
      <c r="AV1226">
        <v>51</v>
      </c>
      <c r="AW1226">
        <v>3</v>
      </c>
      <c r="BB1226">
        <v>265</v>
      </c>
      <c r="BC1226">
        <v>288</v>
      </c>
      <c r="BE1226" t="s">
        <v>20179</v>
      </c>
      <c r="BF1226" t="s">
        <v>20180</v>
      </c>
      <c r="BI1226">
        <v>24</v>
      </c>
      <c r="BJ1226" t="s">
        <v>768</v>
      </c>
      <c r="BK1226" t="s">
        <v>96</v>
      </c>
      <c r="BL1226" t="s">
        <v>769</v>
      </c>
      <c r="BM1226" t="s">
        <v>20181</v>
      </c>
      <c r="BN1226">
        <v>11468969</v>
      </c>
      <c r="BR1226" t="s">
        <v>98</v>
      </c>
      <c r="BS1226" t="s">
        <v>20182</v>
      </c>
      <c r="BT1226" t="s">
        <v>16602</v>
      </c>
    </row>
    <row r="1227" spans="1:72">
      <c r="A1227" t="s">
        <v>72</v>
      </c>
      <c r="B1227" t="s">
        <v>20183</v>
      </c>
      <c r="F1227" t="s">
        <v>20184</v>
      </c>
      <c r="I1227" t="s">
        <v>20185</v>
      </c>
      <c r="J1227" t="s">
        <v>704</v>
      </c>
      <c r="M1227" t="s">
        <v>78</v>
      </c>
      <c r="N1227" t="s">
        <v>79</v>
      </c>
      <c r="T1227" t="s">
        <v>20186</v>
      </c>
      <c r="U1227" t="s">
        <v>20187</v>
      </c>
      <c r="V1227" t="s">
        <v>20188</v>
      </c>
      <c r="W1227" t="s">
        <v>20189</v>
      </c>
      <c r="X1227" t="s">
        <v>9976</v>
      </c>
      <c r="Y1227" t="s">
        <v>20190</v>
      </c>
      <c r="Z1227" t="s">
        <v>20191</v>
      </c>
      <c r="AA1227" t="s">
        <v>20192</v>
      </c>
      <c r="AC1227" t="s">
        <v>20193</v>
      </c>
      <c r="AD1227" t="s">
        <v>20194</v>
      </c>
      <c r="AE1227" t="s">
        <v>20195</v>
      </c>
      <c r="AG1227">
        <v>58</v>
      </c>
      <c r="AH1227">
        <v>1</v>
      </c>
      <c r="AI1227">
        <v>1</v>
      </c>
      <c r="AJ1227">
        <v>7</v>
      </c>
      <c r="AK1227">
        <v>28</v>
      </c>
      <c r="AL1227" t="s">
        <v>4010</v>
      </c>
      <c r="AM1227" t="s">
        <v>1167</v>
      </c>
      <c r="AN1227" t="s">
        <v>1168</v>
      </c>
      <c r="AO1227" t="s">
        <v>718</v>
      </c>
      <c r="AP1227" t="s">
        <v>1169</v>
      </c>
      <c r="AR1227" t="s">
        <v>719</v>
      </c>
      <c r="AS1227" t="s">
        <v>720</v>
      </c>
      <c r="AT1227" t="s">
        <v>20196</v>
      </c>
      <c r="AU1227">
        <v>2020</v>
      </c>
      <c r="AV1227">
        <v>231</v>
      </c>
      <c r="AW1227">
        <v>2</v>
      </c>
      <c r="BD1227">
        <v>51</v>
      </c>
      <c r="BE1227" t="s">
        <v>20197</v>
      </c>
      <c r="BF1227" t="s">
        <v>20198</v>
      </c>
      <c r="BI1227">
        <v>14</v>
      </c>
      <c r="BJ1227" t="s">
        <v>722</v>
      </c>
      <c r="BK1227" t="s">
        <v>96</v>
      </c>
      <c r="BL1227" t="s">
        <v>723</v>
      </c>
      <c r="BM1227" t="s">
        <v>20199</v>
      </c>
      <c r="BO1227" t="s">
        <v>370</v>
      </c>
      <c r="BR1227" t="s">
        <v>98</v>
      </c>
      <c r="BS1227" t="s">
        <v>20200</v>
      </c>
      <c r="BT1227" t="s">
        <v>16602</v>
      </c>
    </row>
    <row r="1228" spans="1:72">
      <c r="A1228" t="s">
        <v>72</v>
      </c>
      <c r="B1228" t="s">
        <v>20201</v>
      </c>
      <c r="F1228" t="s">
        <v>20201</v>
      </c>
      <c r="I1228" t="s">
        <v>20202</v>
      </c>
      <c r="J1228" t="s">
        <v>4306</v>
      </c>
      <c r="M1228" t="s">
        <v>78</v>
      </c>
      <c r="N1228" t="s">
        <v>79</v>
      </c>
      <c r="T1228" t="s">
        <v>20203</v>
      </c>
      <c r="U1228" t="s">
        <v>20204</v>
      </c>
      <c r="V1228" t="s">
        <v>20205</v>
      </c>
      <c r="W1228" t="s">
        <v>20206</v>
      </c>
      <c r="X1228" t="s">
        <v>13239</v>
      </c>
      <c r="Y1228" t="s">
        <v>20207</v>
      </c>
      <c r="Z1228" t="s">
        <v>4254</v>
      </c>
      <c r="AA1228" t="s">
        <v>20208</v>
      </c>
      <c r="AB1228" t="s">
        <v>20209</v>
      </c>
      <c r="AG1228">
        <v>48</v>
      </c>
      <c r="AH1228">
        <v>13</v>
      </c>
      <c r="AI1228">
        <v>14</v>
      </c>
      <c r="AJ1228">
        <v>0</v>
      </c>
      <c r="AK1228">
        <v>10</v>
      </c>
      <c r="AL1228" t="s">
        <v>564</v>
      </c>
      <c r="AM1228" t="s">
        <v>113</v>
      </c>
      <c r="AN1228" t="s">
        <v>565</v>
      </c>
      <c r="AO1228" t="s">
        <v>4313</v>
      </c>
      <c r="AP1228" t="s">
        <v>20210</v>
      </c>
      <c r="AR1228" t="s">
        <v>4314</v>
      </c>
      <c r="AS1228" t="s">
        <v>4315</v>
      </c>
      <c r="AT1228" t="s">
        <v>305</v>
      </c>
      <c r="AU1228">
        <v>2000</v>
      </c>
      <c r="AV1228">
        <v>127</v>
      </c>
      <c r="AW1228">
        <v>1</v>
      </c>
      <c r="BB1228">
        <v>105</v>
      </c>
      <c r="BC1228">
        <v>112</v>
      </c>
      <c r="BE1228" t="s">
        <v>20211</v>
      </c>
      <c r="BF1228" t="s">
        <v>20212</v>
      </c>
      <c r="BI1228">
        <v>8</v>
      </c>
      <c r="BJ1228" t="s">
        <v>4318</v>
      </c>
      <c r="BK1228" t="s">
        <v>96</v>
      </c>
      <c r="BL1228" t="s">
        <v>4318</v>
      </c>
      <c r="BM1228" t="s">
        <v>20213</v>
      </c>
      <c r="BN1228">
        <v>11126745</v>
      </c>
      <c r="BR1228" t="s">
        <v>98</v>
      </c>
      <c r="BS1228" t="s">
        <v>20214</v>
      </c>
      <c r="BT1228" t="s">
        <v>16602</v>
      </c>
    </row>
    <row r="1229" spans="1:72">
      <c r="A1229" t="s">
        <v>72</v>
      </c>
      <c r="B1229" t="s">
        <v>20215</v>
      </c>
      <c r="F1229" t="s">
        <v>20216</v>
      </c>
      <c r="I1229" t="s">
        <v>20217</v>
      </c>
      <c r="J1229" t="s">
        <v>20218</v>
      </c>
      <c r="M1229" t="s">
        <v>78</v>
      </c>
      <c r="N1229" t="s">
        <v>79</v>
      </c>
      <c r="T1229" t="s">
        <v>20219</v>
      </c>
      <c r="U1229" t="s">
        <v>20220</v>
      </c>
      <c r="V1229" t="s">
        <v>20221</v>
      </c>
      <c r="W1229" t="s">
        <v>20222</v>
      </c>
      <c r="X1229" t="s">
        <v>20223</v>
      </c>
      <c r="Y1229" t="s">
        <v>20224</v>
      </c>
      <c r="Z1229" t="s">
        <v>20225</v>
      </c>
      <c r="AA1229" t="s">
        <v>20226</v>
      </c>
      <c r="AB1229" t="s">
        <v>20227</v>
      </c>
      <c r="AG1229">
        <v>88</v>
      </c>
      <c r="AH1229">
        <v>107</v>
      </c>
      <c r="AI1229">
        <v>123</v>
      </c>
      <c r="AJ1229">
        <v>1</v>
      </c>
      <c r="AK1229">
        <v>188</v>
      </c>
      <c r="AL1229" t="s">
        <v>919</v>
      </c>
      <c r="AM1229" t="s">
        <v>651</v>
      </c>
      <c r="AN1229" t="s">
        <v>920</v>
      </c>
      <c r="AO1229" t="s">
        <v>20228</v>
      </c>
      <c r="AP1229" t="s">
        <v>20229</v>
      </c>
      <c r="AR1229" t="s">
        <v>20230</v>
      </c>
      <c r="AS1229" t="s">
        <v>20231</v>
      </c>
      <c r="AT1229" t="s">
        <v>2303</v>
      </c>
      <c r="AU1229">
        <v>2006</v>
      </c>
      <c r="AV1229">
        <v>602</v>
      </c>
      <c r="AW1229" t="s">
        <v>326</v>
      </c>
      <c r="BB1229">
        <v>121</v>
      </c>
      <c r="BC1229">
        <v>134</v>
      </c>
      <c r="BE1229" t="s">
        <v>20232</v>
      </c>
      <c r="BF1229" t="s">
        <v>20233</v>
      </c>
      <c r="BI1229">
        <v>14</v>
      </c>
      <c r="BJ1229" t="s">
        <v>16489</v>
      </c>
      <c r="BK1229" t="s">
        <v>96</v>
      </c>
      <c r="BL1229" t="s">
        <v>16489</v>
      </c>
      <c r="BM1229" t="s">
        <v>20234</v>
      </c>
      <c r="BN1229">
        <v>17010391</v>
      </c>
      <c r="BR1229" t="s">
        <v>98</v>
      </c>
      <c r="BS1229" t="s">
        <v>20235</v>
      </c>
      <c r="BT1229" t="s">
        <v>16602</v>
      </c>
    </row>
    <row r="1230" spans="1:72">
      <c r="A1230" t="s">
        <v>72</v>
      </c>
      <c r="B1230" t="s">
        <v>20236</v>
      </c>
      <c r="F1230" t="s">
        <v>20236</v>
      </c>
      <c r="I1230" t="s">
        <v>20237</v>
      </c>
      <c r="J1230" t="s">
        <v>232</v>
      </c>
      <c r="M1230" t="s">
        <v>78</v>
      </c>
      <c r="N1230" t="s">
        <v>79</v>
      </c>
      <c r="T1230" t="s">
        <v>20238</v>
      </c>
      <c r="U1230" t="s">
        <v>20239</v>
      </c>
      <c r="W1230" t="s">
        <v>20240</v>
      </c>
      <c r="X1230" t="s">
        <v>13541</v>
      </c>
      <c r="Y1230" t="s">
        <v>20241</v>
      </c>
      <c r="Z1230" t="s">
        <v>20242</v>
      </c>
      <c r="AB1230" t="s">
        <v>20243</v>
      </c>
      <c r="AG1230">
        <v>31</v>
      </c>
      <c r="AH1230">
        <v>21</v>
      </c>
      <c r="AI1230">
        <v>23</v>
      </c>
      <c r="AJ1230">
        <v>0</v>
      </c>
      <c r="AK1230">
        <v>8</v>
      </c>
      <c r="AL1230" t="s">
        <v>136</v>
      </c>
      <c r="AM1230" t="s">
        <v>137</v>
      </c>
      <c r="AN1230" t="s">
        <v>138</v>
      </c>
      <c r="AO1230" t="s">
        <v>240</v>
      </c>
      <c r="AP1230" t="s">
        <v>241</v>
      </c>
      <c r="AR1230" t="s">
        <v>242</v>
      </c>
      <c r="AS1230" t="s">
        <v>243</v>
      </c>
      <c r="AT1230" t="s">
        <v>1223</v>
      </c>
      <c r="AU1230">
        <v>2004</v>
      </c>
      <c r="AV1230">
        <v>48</v>
      </c>
      <c r="AW1230" t="s">
        <v>2706</v>
      </c>
      <c r="BB1230">
        <v>458</v>
      </c>
      <c r="BC1230">
        <v>464</v>
      </c>
      <c r="BE1230" t="s">
        <v>20244</v>
      </c>
      <c r="BF1230" t="s">
        <v>20245</v>
      </c>
      <c r="BI1230">
        <v>7</v>
      </c>
      <c r="BJ1230" t="s">
        <v>247</v>
      </c>
      <c r="BK1230" t="s">
        <v>96</v>
      </c>
      <c r="BL1230" t="s">
        <v>248</v>
      </c>
      <c r="BM1230" t="s">
        <v>20246</v>
      </c>
      <c r="BN1230">
        <v>14980462</v>
      </c>
      <c r="BR1230" t="s">
        <v>98</v>
      </c>
      <c r="BS1230" t="s">
        <v>20247</v>
      </c>
      <c r="BT1230" t="s">
        <v>16602</v>
      </c>
    </row>
    <row r="1231" spans="1:72">
      <c r="A1231" t="s">
        <v>72</v>
      </c>
      <c r="B1231" t="s">
        <v>20248</v>
      </c>
      <c r="F1231" t="s">
        <v>20249</v>
      </c>
      <c r="I1231" t="s">
        <v>20250</v>
      </c>
      <c r="J1231" t="s">
        <v>641</v>
      </c>
      <c r="M1231" t="s">
        <v>78</v>
      </c>
      <c r="N1231" t="s">
        <v>79</v>
      </c>
      <c r="T1231" t="s">
        <v>15896</v>
      </c>
      <c r="U1231" t="s">
        <v>20251</v>
      </c>
      <c r="V1231" t="s">
        <v>20252</v>
      </c>
      <c r="W1231" t="s">
        <v>20253</v>
      </c>
      <c r="X1231" t="s">
        <v>15900</v>
      </c>
      <c r="Y1231" t="s">
        <v>15901</v>
      </c>
      <c r="Z1231" t="s">
        <v>8595</v>
      </c>
      <c r="AA1231" t="s">
        <v>20254</v>
      </c>
      <c r="AB1231" t="s">
        <v>20255</v>
      </c>
      <c r="AG1231">
        <v>90</v>
      </c>
      <c r="AH1231">
        <v>44</v>
      </c>
      <c r="AI1231">
        <v>50</v>
      </c>
      <c r="AJ1231">
        <v>4</v>
      </c>
      <c r="AK1231">
        <v>97</v>
      </c>
      <c r="AL1231" t="s">
        <v>650</v>
      </c>
      <c r="AM1231" t="s">
        <v>651</v>
      </c>
      <c r="AN1231" t="s">
        <v>652</v>
      </c>
      <c r="AO1231" t="s">
        <v>653</v>
      </c>
      <c r="AP1231" t="s">
        <v>654</v>
      </c>
      <c r="AR1231" t="s">
        <v>655</v>
      </c>
      <c r="AS1231" t="s">
        <v>656</v>
      </c>
      <c r="AT1231" t="s">
        <v>951</v>
      </c>
      <c r="AU1231">
        <v>2018</v>
      </c>
      <c r="AV1231">
        <v>204</v>
      </c>
      <c r="BB1231">
        <v>171</v>
      </c>
      <c r="BC1231">
        <v>179</v>
      </c>
      <c r="BE1231" t="s">
        <v>20256</v>
      </c>
      <c r="BF1231" t="s">
        <v>20257</v>
      </c>
      <c r="BI1231">
        <v>9</v>
      </c>
      <c r="BJ1231" t="s">
        <v>659</v>
      </c>
      <c r="BK1231" t="s">
        <v>96</v>
      </c>
      <c r="BL1231" t="s">
        <v>659</v>
      </c>
      <c r="BM1231" t="s">
        <v>20258</v>
      </c>
      <c r="BN1231">
        <v>30278354</v>
      </c>
      <c r="BO1231" t="s">
        <v>810</v>
      </c>
      <c r="BR1231" t="s">
        <v>98</v>
      </c>
      <c r="BS1231" t="s">
        <v>20259</v>
      </c>
      <c r="BT1231" t="s">
        <v>16602</v>
      </c>
    </row>
    <row r="1232" spans="1:72">
      <c r="A1232" t="s">
        <v>72</v>
      </c>
      <c r="B1232" t="s">
        <v>20260</v>
      </c>
      <c r="F1232" t="s">
        <v>20261</v>
      </c>
      <c r="I1232" t="s">
        <v>20262</v>
      </c>
      <c r="J1232" t="s">
        <v>909</v>
      </c>
      <c r="M1232" t="s">
        <v>78</v>
      </c>
      <c r="N1232" t="s">
        <v>79</v>
      </c>
      <c r="T1232" t="s">
        <v>20263</v>
      </c>
      <c r="U1232" t="s">
        <v>20264</v>
      </c>
      <c r="V1232" t="s">
        <v>20265</v>
      </c>
      <c r="W1232" t="s">
        <v>20266</v>
      </c>
      <c r="X1232" t="s">
        <v>20267</v>
      </c>
      <c r="Y1232" t="s">
        <v>20268</v>
      </c>
      <c r="Z1232" t="s">
        <v>20269</v>
      </c>
      <c r="AA1232" t="s">
        <v>20270</v>
      </c>
      <c r="AB1232" t="s">
        <v>20271</v>
      </c>
      <c r="AC1232" t="s">
        <v>20272</v>
      </c>
      <c r="AD1232" t="s">
        <v>20272</v>
      </c>
      <c r="AE1232" t="s">
        <v>20273</v>
      </c>
      <c r="AG1232">
        <v>62</v>
      </c>
      <c r="AH1232">
        <v>36</v>
      </c>
      <c r="AI1232">
        <v>40</v>
      </c>
      <c r="AJ1232">
        <v>4</v>
      </c>
      <c r="AK1232">
        <v>276</v>
      </c>
      <c r="AL1232" t="s">
        <v>919</v>
      </c>
      <c r="AM1232" t="s">
        <v>651</v>
      </c>
      <c r="AN1232" t="s">
        <v>920</v>
      </c>
      <c r="AO1232" t="s">
        <v>921</v>
      </c>
      <c r="AP1232" t="s">
        <v>922</v>
      </c>
      <c r="AR1232" t="s">
        <v>923</v>
      </c>
      <c r="AS1232" t="s">
        <v>924</v>
      </c>
      <c r="AT1232" t="s">
        <v>3506</v>
      </c>
      <c r="AU1232">
        <v>2014</v>
      </c>
      <c r="AV1232">
        <v>493</v>
      </c>
      <c r="BB1232">
        <v>719</v>
      </c>
      <c r="BC1232">
        <v>728</v>
      </c>
      <c r="BE1232" t="s">
        <v>20274</v>
      </c>
      <c r="BF1232" t="s">
        <v>20275</v>
      </c>
      <c r="BI1232">
        <v>10</v>
      </c>
      <c r="BJ1232" t="s">
        <v>144</v>
      </c>
      <c r="BK1232" t="s">
        <v>96</v>
      </c>
      <c r="BL1232" t="s">
        <v>145</v>
      </c>
      <c r="BM1232" t="s">
        <v>20276</v>
      </c>
      <c r="BN1232">
        <v>24995638</v>
      </c>
      <c r="BR1232" t="s">
        <v>98</v>
      </c>
      <c r="BS1232" t="s">
        <v>20277</v>
      </c>
      <c r="BT1232" t="s">
        <v>16602</v>
      </c>
    </row>
    <row r="1233" spans="1:72">
      <c r="A1233" t="s">
        <v>72</v>
      </c>
      <c r="B1233" t="s">
        <v>20278</v>
      </c>
      <c r="F1233" t="s">
        <v>20278</v>
      </c>
      <c r="I1233" t="s">
        <v>20279</v>
      </c>
      <c r="J1233" t="s">
        <v>232</v>
      </c>
      <c r="M1233" t="s">
        <v>78</v>
      </c>
      <c r="N1233" t="s">
        <v>79</v>
      </c>
      <c r="T1233" t="s">
        <v>20280</v>
      </c>
      <c r="U1233" t="s">
        <v>20281</v>
      </c>
      <c r="V1233" t="s">
        <v>20282</v>
      </c>
      <c r="W1233" t="s">
        <v>20283</v>
      </c>
      <c r="X1233" t="s">
        <v>2417</v>
      </c>
      <c r="Y1233" t="s">
        <v>18346</v>
      </c>
      <c r="Z1233" t="s">
        <v>20284</v>
      </c>
      <c r="AA1233" t="s">
        <v>320</v>
      </c>
      <c r="AB1233" t="s">
        <v>20285</v>
      </c>
      <c r="AG1233">
        <v>38</v>
      </c>
      <c r="AH1233">
        <v>44</v>
      </c>
      <c r="AI1233">
        <v>53</v>
      </c>
      <c r="AJ1233">
        <v>1</v>
      </c>
      <c r="AK1233">
        <v>38</v>
      </c>
      <c r="AL1233" t="s">
        <v>136</v>
      </c>
      <c r="AM1233" t="s">
        <v>137</v>
      </c>
      <c r="AN1233" t="s">
        <v>138</v>
      </c>
      <c r="AO1233" t="s">
        <v>240</v>
      </c>
      <c r="AP1233" t="s">
        <v>241</v>
      </c>
      <c r="AR1233" t="s">
        <v>242</v>
      </c>
      <c r="AS1233" t="s">
        <v>243</v>
      </c>
      <c r="AT1233" t="s">
        <v>93</v>
      </c>
      <c r="AU1233">
        <v>2005</v>
      </c>
      <c r="AV1233">
        <v>50</v>
      </c>
      <c r="AW1233">
        <v>4</v>
      </c>
      <c r="BB1233">
        <v>417</v>
      </c>
      <c r="BC1233">
        <v>422</v>
      </c>
      <c r="BE1233" t="s">
        <v>20286</v>
      </c>
      <c r="BF1233" t="s">
        <v>20287</v>
      </c>
      <c r="BI1233">
        <v>6</v>
      </c>
      <c r="BJ1233" t="s">
        <v>247</v>
      </c>
      <c r="BK1233" t="s">
        <v>96</v>
      </c>
      <c r="BL1233" t="s">
        <v>248</v>
      </c>
      <c r="BM1233" t="s">
        <v>20288</v>
      </c>
      <c r="BN1233">
        <v>15823303</v>
      </c>
      <c r="BR1233" t="s">
        <v>98</v>
      </c>
      <c r="BS1233" t="s">
        <v>20289</v>
      </c>
      <c r="BT1233" t="s">
        <v>16602</v>
      </c>
    </row>
    <row r="1234" spans="1:72">
      <c r="A1234" t="s">
        <v>72</v>
      </c>
      <c r="B1234" t="s">
        <v>20290</v>
      </c>
      <c r="F1234" t="s">
        <v>20291</v>
      </c>
      <c r="I1234" t="s">
        <v>20292</v>
      </c>
      <c r="J1234" t="s">
        <v>232</v>
      </c>
      <c r="M1234" t="s">
        <v>78</v>
      </c>
      <c r="N1234" t="s">
        <v>79</v>
      </c>
      <c r="T1234" t="s">
        <v>20293</v>
      </c>
      <c r="U1234" t="s">
        <v>20294</v>
      </c>
      <c r="V1234" t="s">
        <v>20295</v>
      </c>
      <c r="W1234" t="s">
        <v>20296</v>
      </c>
      <c r="X1234" t="s">
        <v>20297</v>
      </c>
      <c r="Y1234" t="s">
        <v>20298</v>
      </c>
      <c r="Z1234" t="s">
        <v>20299</v>
      </c>
      <c r="AA1234" t="s">
        <v>20300</v>
      </c>
      <c r="AB1234" t="s">
        <v>20301</v>
      </c>
      <c r="AC1234" t="s">
        <v>20302</v>
      </c>
      <c r="AD1234" t="s">
        <v>20303</v>
      </c>
      <c r="AE1234" t="s">
        <v>20304</v>
      </c>
      <c r="AG1234">
        <v>57</v>
      </c>
      <c r="AH1234">
        <v>12</v>
      </c>
      <c r="AI1234">
        <v>12</v>
      </c>
      <c r="AJ1234">
        <v>1</v>
      </c>
      <c r="AK1234">
        <v>16</v>
      </c>
      <c r="AL1234" t="s">
        <v>136</v>
      </c>
      <c r="AM1234" t="s">
        <v>137</v>
      </c>
      <c r="AN1234" t="s">
        <v>138</v>
      </c>
      <c r="AO1234" t="s">
        <v>240</v>
      </c>
      <c r="AP1234" t="s">
        <v>241</v>
      </c>
      <c r="AR1234" t="s">
        <v>242</v>
      </c>
      <c r="AS1234" t="s">
        <v>243</v>
      </c>
      <c r="AT1234" t="s">
        <v>305</v>
      </c>
      <c r="AU1234">
        <v>2020</v>
      </c>
      <c r="AV1234">
        <v>158</v>
      </c>
      <c r="BD1234">
        <v>111348</v>
      </c>
      <c r="BE1234" t="s">
        <v>20305</v>
      </c>
      <c r="BF1234" t="s">
        <v>20306</v>
      </c>
      <c r="BI1234">
        <v>10</v>
      </c>
      <c r="BJ1234" t="s">
        <v>247</v>
      </c>
      <c r="BK1234" t="s">
        <v>96</v>
      </c>
      <c r="BL1234" t="s">
        <v>248</v>
      </c>
      <c r="BM1234" t="s">
        <v>20307</v>
      </c>
      <c r="BN1234">
        <v>32568076</v>
      </c>
      <c r="BR1234" t="s">
        <v>98</v>
      </c>
      <c r="BS1234" t="s">
        <v>20308</v>
      </c>
      <c r="BT1234" t="s">
        <v>16602</v>
      </c>
    </row>
    <row r="1235" spans="1:72">
      <c r="A1235" t="s">
        <v>72</v>
      </c>
      <c r="B1235" t="s">
        <v>20309</v>
      </c>
      <c r="F1235" t="s">
        <v>20309</v>
      </c>
      <c r="I1235" t="s">
        <v>20310</v>
      </c>
      <c r="J1235" t="s">
        <v>998</v>
      </c>
      <c r="M1235" t="s">
        <v>78</v>
      </c>
      <c r="N1235" t="s">
        <v>79</v>
      </c>
      <c r="U1235" t="s">
        <v>20311</v>
      </c>
      <c r="V1235" t="s">
        <v>20312</v>
      </c>
      <c r="Y1235" t="s">
        <v>20313</v>
      </c>
      <c r="AA1235" t="s">
        <v>20314</v>
      </c>
      <c r="AB1235" t="s">
        <v>20315</v>
      </c>
      <c r="AG1235">
        <v>37</v>
      </c>
      <c r="AH1235">
        <v>47</v>
      </c>
      <c r="AI1235">
        <v>49</v>
      </c>
      <c r="AJ1235">
        <v>0</v>
      </c>
      <c r="AK1235">
        <v>9</v>
      </c>
      <c r="AL1235" t="s">
        <v>6584</v>
      </c>
      <c r="AM1235" t="s">
        <v>113</v>
      </c>
      <c r="AN1235" t="s">
        <v>6585</v>
      </c>
      <c r="AO1235" t="s">
        <v>1009</v>
      </c>
      <c r="AR1235" t="s">
        <v>1010</v>
      </c>
      <c r="AS1235" t="s">
        <v>1011</v>
      </c>
      <c r="AT1235" t="s">
        <v>765</v>
      </c>
      <c r="AU1235">
        <v>1996</v>
      </c>
      <c r="AV1235">
        <v>31</v>
      </c>
      <c r="AW1235">
        <v>1</v>
      </c>
      <c r="BB1235">
        <v>54</v>
      </c>
      <c r="BC1235">
        <v>62</v>
      </c>
      <c r="BI1235">
        <v>9</v>
      </c>
      <c r="BJ1235" t="s">
        <v>121</v>
      </c>
      <c r="BK1235" t="s">
        <v>96</v>
      </c>
      <c r="BL1235" t="s">
        <v>122</v>
      </c>
      <c r="BM1235" t="s">
        <v>20316</v>
      </c>
      <c r="BN1235">
        <v>8687990</v>
      </c>
      <c r="BR1235" t="s">
        <v>98</v>
      </c>
      <c r="BS1235" t="s">
        <v>20317</v>
      </c>
      <c r="BT1235" t="s">
        <v>16602</v>
      </c>
    </row>
    <row r="1236" spans="1:72">
      <c r="A1236" t="s">
        <v>72</v>
      </c>
      <c r="B1236" t="s">
        <v>20318</v>
      </c>
      <c r="F1236" t="s">
        <v>20319</v>
      </c>
      <c r="I1236" t="s">
        <v>20320</v>
      </c>
      <c r="J1236" t="s">
        <v>909</v>
      </c>
      <c r="M1236" t="s">
        <v>78</v>
      </c>
      <c r="N1236" t="s">
        <v>79</v>
      </c>
      <c r="U1236" t="s">
        <v>20321</v>
      </c>
      <c r="V1236" t="s">
        <v>20322</v>
      </c>
      <c r="W1236" t="s">
        <v>20323</v>
      </c>
      <c r="X1236" t="s">
        <v>20324</v>
      </c>
      <c r="Y1236" t="s">
        <v>20325</v>
      </c>
      <c r="Z1236" t="s">
        <v>20326</v>
      </c>
      <c r="AA1236" t="s">
        <v>20327</v>
      </c>
      <c r="AB1236" t="s">
        <v>20328</v>
      </c>
      <c r="AC1236" t="s">
        <v>20329</v>
      </c>
      <c r="AD1236" t="s">
        <v>20330</v>
      </c>
      <c r="AE1236" t="s">
        <v>20331</v>
      </c>
      <c r="AG1236">
        <v>105</v>
      </c>
      <c r="AH1236">
        <v>15</v>
      </c>
      <c r="AI1236">
        <v>15</v>
      </c>
      <c r="AJ1236">
        <v>1</v>
      </c>
      <c r="AK1236">
        <v>34</v>
      </c>
      <c r="AL1236" t="s">
        <v>650</v>
      </c>
      <c r="AM1236" t="s">
        <v>651</v>
      </c>
      <c r="AN1236" t="s">
        <v>652</v>
      </c>
      <c r="AO1236" t="s">
        <v>921</v>
      </c>
      <c r="AP1236" t="s">
        <v>922</v>
      </c>
      <c r="AR1236" t="s">
        <v>923</v>
      </c>
      <c r="AS1236" t="s">
        <v>924</v>
      </c>
      <c r="AT1236" t="s">
        <v>546</v>
      </c>
      <c r="AU1236">
        <v>2020</v>
      </c>
      <c r="AV1236">
        <v>743</v>
      </c>
      <c r="BD1236">
        <v>140586</v>
      </c>
      <c r="BE1236" t="s">
        <v>20332</v>
      </c>
      <c r="BF1236" t="s">
        <v>20333</v>
      </c>
      <c r="BI1236">
        <v>15</v>
      </c>
      <c r="BJ1236" t="s">
        <v>144</v>
      </c>
      <c r="BK1236" t="s">
        <v>96</v>
      </c>
      <c r="BL1236" t="s">
        <v>145</v>
      </c>
      <c r="BM1236" t="s">
        <v>20334</v>
      </c>
      <c r="BN1236">
        <v>32659553</v>
      </c>
      <c r="BO1236" t="s">
        <v>476</v>
      </c>
      <c r="BR1236" t="s">
        <v>98</v>
      </c>
      <c r="BS1236" t="s">
        <v>20335</v>
      </c>
      <c r="BT1236" t="s">
        <v>16602</v>
      </c>
    </row>
    <row r="1237" spans="1:72">
      <c r="A1237" t="s">
        <v>72</v>
      </c>
      <c r="B1237" t="s">
        <v>20336</v>
      </c>
      <c r="F1237" t="s">
        <v>20336</v>
      </c>
      <c r="I1237" t="s">
        <v>20337</v>
      </c>
      <c r="J1237" t="s">
        <v>232</v>
      </c>
      <c r="M1237" t="s">
        <v>78</v>
      </c>
      <c r="N1237" t="s">
        <v>79</v>
      </c>
      <c r="T1237" t="s">
        <v>20338</v>
      </c>
      <c r="U1237" t="s">
        <v>20339</v>
      </c>
      <c r="V1237" t="s">
        <v>20340</v>
      </c>
      <c r="W1237" t="s">
        <v>20341</v>
      </c>
      <c r="X1237" t="s">
        <v>9780</v>
      </c>
      <c r="Y1237" t="s">
        <v>20342</v>
      </c>
      <c r="Z1237" t="s">
        <v>9782</v>
      </c>
      <c r="AA1237" t="s">
        <v>20343</v>
      </c>
      <c r="AB1237" t="s">
        <v>20344</v>
      </c>
      <c r="AG1237">
        <v>26</v>
      </c>
      <c r="AH1237">
        <v>31</v>
      </c>
      <c r="AI1237">
        <v>33</v>
      </c>
      <c r="AJ1237">
        <v>0</v>
      </c>
      <c r="AK1237">
        <v>13</v>
      </c>
      <c r="AL1237" t="s">
        <v>136</v>
      </c>
      <c r="AM1237" t="s">
        <v>137</v>
      </c>
      <c r="AN1237" t="s">
        <v>138</v>
      </c>
      <c r="AO1237" t="s">
        <v>240</v>
      </c>
      <c r="AP1237" t="s">
        <v>241</v>
      </c>
      <c r="AR1237" t="s">
        <v>242</v>
      </c>
      <c r="AS1237" t="s">
        <v>243</v>
      </c>
      <c r="AT1237" t="s">
        <v>951</v>
      </c>
      <c r="AU1237">
        <v>2003</v>
      </c>
      <c r="AV1237">
        <v>46</v>
      </c>
      <c r="AW1237">
        <v>11</v>
      </c>
      <c r="BB1237">
        <v>1485</v>
      </c>
      <c r="BC1237">
        <v>1490</v>
      </c>
      <c r="BE1237" t="s">
        <v>20345</v>
      </c>
      <c r="BF1237" t="s">
        <v>20346</v>
      </c>
      <c r="BI1237">
        <v>6</v>
      </c>
      <c r="BJ1237" t="s">
        <v>247</v>
      </c>
      <c r="BK1237" t="s">
        <v>96</v>
      </c>
      <c r="BL1237" t="s">
        <v>248</v>
      </c>
      <c r="BM1237" t="s">
        <v>953</v>
      </c>
      <c r="BN1237">
        <v>14607546</v>
      </c>
      <c r="BR1237" t="s">
        <v>98</v>
      </c>
      <c r="BS1237" t="s">
        <v>20347</v>
      </c>
      <c r="BT1237" t="s">
        <v>16602</v>
      </c>
    </row>
    <row r="1238" spans="1:72">
      <c r="A1238" t="s">
        <v>72</v>
      </c>
      <c r="B1238" t="s">
        <v>20348</v>
      </c>
      <c r="F1238" t="s">
        <v>20349</v>
      </c>
      <c r="I1238" t="s">
        <v>20350</v>
      </c>
      <c r="J1238" t="s">
        <v>704</v>
      </c>
      <c r="M1238" t="s">
        <v>78</v>
      </c>
      <c r="N1238" t="s">
        <v>79</v>
      </c>
      <c r="T1238" t="s">
        <v>20351</v>
      </c>
      <c r="U1238" t="s">
        <v>20352</v>
      </c>
      <c r="V1238" t="s">
        <v>20353</v>
      </c>
      <c r="W1238" t="s">
        <v>20354</v>
      </c>
      <c r="X1238" t="s">
        <v>20355</v>
      </c>
      <c r="Y1238" t="s">
        <v>20356</v>
      </c>
      <c r="Z1238" t="s">
        <v>20357</v>
      </c>
      <c r="AG1238">
        <v>71</v>
      </c>
      <c r="AH1238">
        <v>56</v>
      </c>
      <c r="AI1238">
        <v>62</v>
      </c>
      <c r="AJ1238">
        <v>0</v>
      </c>
      <c r="AK1238">
        <v>45</v>
      </c>
      <c r="AL1238" t="s">
        <v>1166</v>
      </c>
      <c r="AM1238" t="s">
        <v>1167</v>
      </c>
      <c r="AN1238" t="s">
        <v>1168</v>
      </c>
      <c r="AO1238" t="s">
        <v>718</v>
      </c>
      <c r="AP1238" t="s">
        <v>1169</v>
      </c>
      <c r="AR1238" t="s">
        <v>719</v>
      </c>
      <c r="AS1238" t="s">
        <v>720</v>
      </c>
      <c r="AT1238" t="s">
        <v>142</v>
      </c>
      <c r="AU1238">
        <v>2006</v>
      </c>
      <c r="AV1238">
        <v>173</v>
      </c>
      <c r="AW1238" t="s">
        <v>721</v>
      </c>
      <c r="BB1238">
        <v>209</v>
      </c>
      <c r="BC1238">
        <v>242</v>
      </c>
      <c r="BE1238" t="s">
        <v>20358</v>
      </c>
      <c r="BF1238" t="s">
        <v>20359</v>
      </c>
      <c r="BI1238">
        <v>34</v>
      </c>
      <c r="BJ1238" t="s">
        <v>722</v>
      </c>
      <c r="BK1238" t="s">
        <v>96</v>
      </c>
      <c r="BL1238" t="s">
        <v>723</v>
      </c>
      <c r="BM1238" t="s">
        <v>20360</v>
      </c>
      <c r="BR1238" t="s">
        <v>98</v>
      </c>
      <c r="BS1238" t="s">
        <v>20361</v>
      </c>
      <c r="BT1238" t="s">
        <v>16602</v>
      </c>
    </row>
    <row r="1239" spans="1:72">
      <c r="A1239" t="s">
        <v>72</v>
      </c>
      <c r="B1239" t="s">
        <v>20362</v>
      </c>
      <c r="F1239" t="s">
        <v>20363</v>
      </c>
      <c r="I1239" t="s">
        <v>20364</v>
      </c>
      <c r="J1239" t="s">
        <v>2961</v>
      </c>
      <c r="M1239" t="s">
        <v>78</v>
      </c>
      <c r="N1239" t="s">
        <v>79</v>
      </c>
      <c r="T1239" t="s">
        <v>20365</v>
      </c>
      <c r="V1239" t="s">
        <v>20366</v>
      </c>
      <c r="W1239" t="s">
        <v>20367</v>
      </c>
      <c r="X1239" t="s">
        <v>20368</v>
      </c>
      <c r="Y1239" t="s">
        <v>20369</v>
      </c>
      <c r="Z1239" t="s">
        <v>20370</v>
      </c>
      <c r="AA1239" t="s">
        <v>20371</v>
      </c>
      <c r="AB1239" t="s">
        <v>20372</v>
      </c>
      <c r="AC1239" t="s">
        <v>20373</v>
      </c>
      <c r="AD1239" t="s">
        <v>20374</v>
      </c>
      <c r="AE1239" t="s">
        <v>20375</v>
      </c>
      <c r="AG1239">
        <v>79</v>
      </c>
      <c r="AH1239">
        <v>18</v>
      </c>
      <c r="AI1239">
        <v>20</v>
      </c>
      <c r="AJ1239">
        <v>0</v>
      </c>
      <c r="AK1239">
        <v>27</v>
      </c>
      <c r="AL1239" t="s">
        <v>650</v>
      </c>
      <c r="AM1239" t="s">
        <v>651</v>
      </c>
      <c r="AN1239" t="s">
        <v>652</v>
      </c>
      <c r="AO1239" t="s">
        <v>2973</v>
      </c>
      <c r="AP1239" t="s">
        <v>2974</v>
      </c>
      <c r="AR1239" t="s">
        <v>2975</v>
      </c>
      <c r="AS1239" t="s">
        <v>2976</v>
      </c>
      <c r="AT1239" t="s">
        <v>10334</v>
      </c>
      <c r="AU1239">
        <v>2021</v>
      </c>
      <c r="AV1239">
        <v>163</v>
      </c>
      <c r="BD1239">
        <v>106194</v>
      </c>
      <c r="BE1239" t="s">
        <v>20376</v>
      </c>
      <c r="BF1239" t="s">
        <v>20377</v>
      </c>
      <c r="BH1239" t="s">
        <v>992</v>
      </c>
      <c r="BI1239">
        <v>10</v>
      </c>
      <c r="BJ1239" t="s">
        <v>2978</v>
      </c>
      <c r="BK1239" t="s">
        <v>96</v>
      </c>
      <c r="BL1239" t="s">
        <v>2979</v>
      </c>
      <c r="BM1239" t="s">
        <v>20378</v>
      </c>
      <c r="BR1239" t="s">
        <v>98</v>
      </c>
      <c r="BS1239" t="s">
        <v>20379</v>
      </c>
      <c r="BT1239" t="s">
        <v>16602</v>
      </c>
    </row>
    <row r="1240" spans="1:72">
      <c r="A1240" t="s">
        <v>72</v>
      </c>
      <c r="B1240" t="s">
        <v>1492</v>
      </c>
      <c r="F1240" t="s">
        <v>1493</v>
      </c>
      <c r="I1240" t="s">
        <v>20380</v>
      </c>
      <c r="J1240" t="s">
        <v>127</v>
      </c>
      <c r="M1240" t="s">
        <v>78</v>
      </c>
      <c r="N1240" t="s">
        <v>79</v>
      </c>
      <c r="T1240" t="s">
        <v>20381</v>
      </c>
      <c r="U1240" t="s">
        <v>20382</v>
      </c>
      <c r="V1240" t="s">
        <v>20383</v>
      </c>
      <c r="W1240" t="s">
        <v>20384</v>
      </c>
      <c r="X1240" t="s">
        <v>1499</v>
      </c>
      <c r="Y1240" t="s">
        <v>1500</v>
      </c>
      <c r="Z1240" t="s">
        <v>1501</v>
      </c>
      <c r="AA1240" t="s">
        <v>1502</v>
      </c>
      <c r="AB1240" t="s">
        <v>20385</v>
      </c>
      <c r="AC1240" t="s">
        <v>20386</v>
      </c>
      <c r="AD1240" t="s">
        <v>20387</v>
      </c>
      <c r="AE1240" t="s">
        <v>20388</v>
      </c>
      <c r="AG1240">
        <v>44</v>
      </c>
      <c r="AH1240">
        <v>74</v>
      </c>
      <c r="AI1240">
        <v>77</v>
      </c>
      <c r="AJ1240">
        <v>0</v>
      </c>
      <c r="AK1240">
        <v>111</v>
      </c>
      <c r="AL1240" t="s">
        <v>136</v>
      </c>
      <c r="AM1240" t="s">
        <v>137</v>
      </c>
      <c r="AN1240" t="s">
        <v>138</v>
      </c>
      <c r="AO1240" t="s">
        <v>139</v>
      </c>
      <c r="AP1240" t="s">
        <v>140</v>
      </c>
      <c r="AR1240" t="s">
        <v>127</v>
      </c>
      <c r="AS1240" t="s">
        <v>141</v>
      </c>
      <c r="AT1240" t="s">
        <v>197</v>
      </c>
      <c r="AU1240">
        <v>2016</v>
      </c>
      <c r="AV1240">
        <v>165</v>
      </c>
      <c r="BB1240">
        <v>1</v>
      </c>
      <c r="BC1240">
        <v>9</v>
      </c>
      <c r="BE1240" t="s">
        <v>20389</v>
      </c>
      <c r="BF1240" t="s">
        <v>20390</v>
      </c>
      <c r="BI1240">
        <v>9</v>
      </c>
      <c r="BJ1240" t="s">
        <v>144</v>
      </c>
      <c r="BK1240" t="s">
        <v>96</v>
      </c>
      <c r="BL1240" t="s">
        <v>145</v>
      </c>
      <c r="BM1240" t="s">
        <v>20391</v>
      </c>
      <c r="BN1240">
        <v>27614397</v>
      </c>
      <c r="BR1240" t="s">
        <v>98</v>
      </c>
      <c r="BS1240" t="s">
        <v>20392</v>
      </c>
      <c r="BT1240" t="s">
        <v>16602</v>
      </c>
    </row>
    <row r="1241" spans="1:72">
      <c r="A1241" t="s">
        <v>72</v>
      </c>
      <c r="B1241" t="s">
        <v>20393</v>
      </c>
      <c r="F1241" t="s">
        <v>20394</v>
      </c>
      <c r="I1241" t="s">
        <v>20395</v>
      </c>
      <c r="J1241" t="s">
        <v>103</v>
      </c>
      <c r="M1241" t="s">
        <v>78</v>
      </c>
      <c r="N1241" t="s">
        <v>79</v>
      </c>
      <c r="T1241" t="s">
        <v>20396</v>
      </c>
      <c r="U1241" t="s">
        <v>20397</v>
      </c>
      <c r="V1241" t="s">
        <v>20398</v>
      </c>
      <c r="W1241" t="s">
        <v>20399</v>
      </c>
      <c r="X1241" t="s">
        <v>20400</v>
      </c>
      <c r="Y1241" t="s">
        <v>20401</v>
      </c>
      <c r="Z1241" t="s">
        <v>20402</v>
      </c>
      <c r="AA1241" t="s">
        <v>20403</v>
      </c>
      <c r="AB1241" t="s">
        <v>20404</v>
      </c>
      <c r="AC1241" t="s">
        <v>20405</v>
      </c>
      <c r="AD1241" t="s">
        <v>20406</v>
      </c>
      <c r="AG1241">
        <v>30</v>
      </c>
      <c r="AH1241">
        <v>5</v>
      </c>
      <c r="AI1241">
        <v>6</v>
      </c>
      <c r="AJ1241">
        <v>1</v>
      </c>
      <c r="AK1241">
        <v>22</v>
      </c>
      <c r="AL1241" t="s">
        <v>112</v>
      </c>
      <c r="AM1241" t="s">
        <v>113</v>
      </c>
      <c r="AN1241" t="s">
        <v>114</v>
      </c>
      <c r="AO1241" t="s">
        <v>115</v>
      </c>
      <c r="AP1241" t="s">
        <v>116</v>
      </c>
      <c r="AR1241" t="s">
        <v>117</v>
      </c>
      <c r="AS1241" t="s">
        <v>118</v>
      </c>
      <c r="AT1241" t="s">
        <v>951</v>
      </c>
      <c r="AU1241">
        <v>2019</v>
      </c>
      <c r="AV1241">
        <v>103</v>
      </c>
      <c r="AW1241">
        <v>5</v>
      </c>
      <c r="BB1241">
        <v>670</v>
      </c>
      <c r="BC1241">
        <v>675</v>
      </c>
      <c r="BE1241" t="s">
        <v>20407</v>
      </c>
      <c r="BF1241" t="s">
        <v>20408</v>
      </c>
      <c r="BI1241">
        <v>6</v>
      </c>
      <c r="BJ1241" t="s">
        <v>121</v>
      </c>
      <c r="BK1241" t="s">
        <v>96</v>
      </c>
      <c r="BL1241" t="s">
        <v>122</v>
      </c>
      <c r="BM1241" t="s">
        <v>20409</v>
      </c>
      <c r="BN1241">
        <v>31471657</v>
      </c>
      <c r="BR1241" t="s">
        <v>98</v>
      </c>
      <c r="BS1241" t="s">
        <v>20410</v>
      </c>
      <c r="BT1241" t="s">
        <v>16602</v>
      </c>
    </row>
    <row r="1242" spans="1:72">
      <c r="A1242" t="s">
        <v>72</v>
      </c>
      <c r="B1242" t="s">
        <v>20411</v>
      </c>
      <c r="F1242" t="s">
        <v>20411</v>
      </c>
      <c r="I1242" t="s">
        <v>20412</v>
      </c>
      <c r="J1242" t="s">
        <v>20413</v>
      </c>
      <c r="M1242" t="s">
        <v>78</v>
      </c>
      <c r="N1242" t="s">
        <v>79</v>
      </c>
      <c r="V1242" t="s">
        <v>20414</v>
      </c>
      <c r="W1242" t="s">
        <v>20415</v>
      </c>
      <c r="X1242" t="s">
        <v>20416</v>
      </c>
      <c r="Y1242" t="s">
        <v>20417</v>
      </c>
      <c r="AG1242">
        <v>36</v>
      </c>
      <c r="AH1242">
        <v>9</v>
      </c>
      <c r="AI1242">
        <v>9</v>
      </c>
      <c r="AJ1242">
        <v>0</v>
      </c>
      <c r="AK1242">
        <v>1</v>
      </c>
      <c r="AL1242" t="s">
        <v>430</v>
      </c>
      <c r="AM1242" t="s">
        <v>7361</v>
      </c>
      <c r="AN1242" t="s">
        <v>7362</v>
      </c>
      <c r="AO1242" t="s">
        <v>20418</v>
      </c>
      <c r="AR1242" t="s">
        <v>20419</v>
      </c>
      <c r="AU1242">
        <v>1980</v>
      </c>
      <c r="AV1242">
        <v>23</v>
      </c>
      <c r="AW1242">
        <v>1</v>
      </c>
      <c r="BB1242">
        <v>1</v>
      </c>
      <c r="BC1242">
        <v>8</v>
      </c>
      <c r="BE1242" t="s">
        <v>20420</v>
      </c>
      <c r="BF1242" t="s">
        <v>20421</v>
      </c>
      <c r="BI1242">
        <v>8</v>
      </c>
      <c r="BJ1242" t="s">
        <v>1249</v>
      </c>
      <c r="BK1242" t="s">
        <v>96</v>
      </c>
      <c r="BL1242" t="s">
        <v>145</v>
      </c>
      <c r="BM1242" t="s">
        <v>20422</v>
      </c>
      <c r="BR1242" t="s">
        <v>98</v>
      </c>
      <c r="BS1242" t="s">
        <v>20423</v>
      </c>
      <c r="BT1242" t="s">
        <v>16602</v>
      </c>
    </row>
    <row r="1243" spans="1:72">
      <c r="A1243" t="s">
        <v>72</v>
      </c>
      <c r="B1243" t="s">
        <v>20424</v>
      </c>
      <c r="F1243" t="s">
        <v>20425</v>
      </c>
      <c r="I1243" t="s">
        <v>20426</v>
      </c>
      <c r="J1243" t="s">
        <v>13382</v>
      </c>
      <c r="M1243" t="s">
        <v>78</v>
      </c>
      <c r="N1243" t="s">
        <v>79</v>
      </c>
      <c r="T1243" t="s">
        <v>20427</v>
      </c>
      <c r="U1243" t="s">
        <v>20428</v>
      </c>
      <c r="V1243" t="s">
        <v>20429</v>
      </c>
      <c r="W1243" t="s">
        <v>20430</v>
      </c>
      <c r="X1243" t="s">
        <v>20431</v>
      </c>
      <c r="Y1243" t="s">
        <v>20432</v>
      </c>
      <c r="Z1243" t="s">
        <v>20433</v>
      </c>
      <c r="AA1243" t="s">
        <v>20434</v>
      </c>
      <c r="AB1243" t="s">
        <v>20435</v>
      </c>
      <c r="AC1243" t="s">
        <v>20436</v>
      </c>
      <c r="AD1243" t="s">
        <v>20437</v>
      </c>
      <c r="AE1243" t="s">
        <v>20438</v>
      </c>
      <c r="AG1243">
        <v>160</v>
      </c>
      <c r="AH1243">
        <v>8</v>
      </c>
      <c r="AI1243">
        <v>10</v>
      </c>
      <c r="AJ1243">
        <v>3</v>
      </c>
      <c r="AK1243">
        <v>27</v>
      </c>
      <c r="AL1243" t="s">
        <v>112</v>
      </c>
      <c r="AM1243" t="s">
        <v>113</v>
      </c>
      <c r="AN1243" t="s">
        <v>114</v>
      </c>
      <c r="AO1243" t="s">
        <v>13393</v>
      </c>
      <c r="AP1243" t="s">
        <v>13394</v>
      </c>
      <c r="AR1243" t="s">
        <v>13395</v>
      </c>
      <c r="AS1243" t="s">
        <v>13396</v>
      </c>
      <c r="AT1243" t="s">
        <v>197</v>
      </c>
      <c r="AU1243">
        <v>2022</v>
      </c>
      <c r="AV1243">
        <v>34</v>
      </c>
      <c r="AW1243">
        <v>1</v>
      </c>
      <c r="BD1243">
        <v>74</v>
      </c>
      <c r="BE1243" t="s">
        <v>20439</v>
      </c>
      <c r="BF1243" t="s">
        <v>20440</v>
      </c>
      <c r="BI1243">
        <v>24</v>
      </c>
      <c r="BJ1243" t="s">
        <v>144</v>
      </c>
      <c r="BK1243" t="s">
        <v>96</v>
      </c>
      <c r="BL1243" t="s">
        <v>145</v>
      </c>
      <c r="BM1243" t="s">
        <v>20441</v>
      </c>
      <c r="BO1243" t="s">
        <v>873</v>
      </c>
      <c r="BR1243" t="s">
        <v>98</v>
      </c>
      <c r="BS1243" t="s">
        <v>20442</v>
      </c>
      <c r="BT1243" t="s">
        <v>16602</v>
      </c>
    </row>
    <row r="1244" spans="1:72">
      <c r="A1244" t="s">
        <v>72</v>
      </c>
      <c r="B1244" t="s">
        <v>20443</v>
      </c>
      <c r="F1244" t="s">
        <v>20443</v>
      </c>
      <c r="I1244" t="s">
        <v>20444</v>
      </c>
      <c r="J1244" t="s">
        <v>421</v>
      </c>
      <c r="M1244" t="s">
        <v>78</v>
      </c>
      <c r="N1244" t="s">
        <v>79</v>
      </c>
      <c r="T1244" t="s">
        <v>20445</v>
      </c>
      <c r="U1244" t="s">
        <v>20446</v>
      </c>
      <c r="V1244" t="s">
        <v>20447</v>
      </c>
      <c r="W1244" t="s">
        <v>20448</v>
      </c>
      <c r="X1244" t="s">
        <v>20449</v>
      </c>
      <c r="Y1244" t="s">
        <v>20450</v>
      </c>
      <c r="AG1244">
        <v>52</v>
      </c>
      <c r="AH1244">
        <v>32</v>
      </c>
      <c r="AI1244">
        <v>35</v>
      </c>
      <c r="AJ1244">
        <v>2</v>
      </c>
      <c r="AK1244">
        <v>34</v>
      </c>
      <c r="AL1244" t="s">
        <v>430</v>
      </c>
      <c r="AM1244" t="s">
        <v>137</v>
      </c>
      <c r="AN1244" t="s">
        <v>1600</v>
      </c>
      <c r="AO1244" t="s">
        <v>432</v>
      </c>
      <c r="AR1244" t="s">
        <v>433</v>
      </c>
      <c r="AS1244" t="s">
        <v>434</v>
      </c>
      <c r="AU1244">
        <v>1996</v>
      </c>
      <c r="AV1244">
        <v>94</v>
      </c>
      <c r="AW1244">
        <v>2</v>
      </c>
      <c r="BB1244">
        <v>117</v>
      </c>
      <c r="BC1244" t="s">
        <v>20451</v>
      </c>
      <c r="BE1244" t="s">
        <v>20452</v>
      </c>
      <c r="BF1244" t="s">
        <v>20453</v>
      </c>
      <c r="BI1244">
        <v>12</v>
      </c>
      <c r="BJ1244" t="s">
        <v>144</v>
      </c>
      <c r="BK1244" t="s">
        <v>96</v>
      </c>
      <c r="BL1244" t="s">
        <v>145</v>
      </c>
      <c r="BM1244" t="s">
        <v>20454</v>
      </c>
      <c r="BN1244">
        <v>15093498</v>
      </c>
      <c r="BR1244" t="s">
        <v>98</v>
      </c>
      <c r="BS1244" t="s">
        <v>20455</v>
      </c>
      <c r="BT1244" t="s">
        <v>16602</v>
      </c>
    </row>
    <row r="1245" spans="1:72">
      <c r="A1245" t="s">
        <v>72</v>
      </c>
      <c r="B1245" t="s">
        <v>20456</v>
      </c>
      <c r="F1245" t="s">
        <v>20457</v>
      </c>
      <c r="I1245" t="s">
        <v>20458</v>
      </c>
      <c r="J1245" t="s">
        <v>1756</v>
      </c>
      <c r="M1245" t="s">
        <v>78</v>
      </c>
      <c r="N1245" t="s">
        <v>79</v>
      </c>
      <c r="T1245" t="s">
        <v>20459</v>
      </c>
      <c r="U1245" t="s">
        <v>20460</v>
      </c>
      <c r="V1245" t="s">
        <v>20461</v>
      </c>
      <c r="W1245" t="s">
        <v>20462</v>
      </c>
      <c r="X1245" t="s">
        <v>20463</v>
      </c>
      <c r="Y1245" t="s">
        <v>20464</v>
      </c>
      <c r="Z1245" t="s">
        <v>20465</v>
      </c>
      <c r="AB1245" t="s">
        <v>20466</v>
      </c>
      <c r="AC1245" t="s">
        <v>20467</v>
      </c>
      <c r="AD1245" t="s">
        <v>20468</v>
      </c>
      <c r="AE1245" t="s">
        <v>20469</v>
      </c>
      <c r="AG1245">
        <v>90</v>
      </c>
      <c r="AH1245">
        <v>0</v>
      </c>
      <c r="AI1245">
        <v>0</v>
      </c>
      <c r="AJ1245">
        <v>1</v>
      </c>
      <c r="AK1245">
        <v>13</v>
      </c>
      <c r="AL1245" t="s">
        <v>86</v>
      </c>
      <c r="AM1245" t="s">
        <v>87</v>
      </c>
      <c r="AN1245" t="s">
        <v>88</v>
      </c>
      <c r="AO1245" t="s">
        <v>1764</v>
      </c>
      <c r="AP1245" t="s">
        <v>1765</v>
      </c>
      <c r="AR1245" t="s">
        <v>1766</v>
      </c>
      <c r="AS1245" t="s">
        <v>1767</v>
      </c>
      <c r="AT1245" t="s">
        <v>1470</v>
      </c>
      <c r="AU1245">
        <v>2023</v>
      </c>
      <c r="AV1245">
        <v>42</v>
      </c>
      <c r="AW1245">
        <v>1</v>
      </c>
      <c r="BB1245">
        <v>154</v>
      </c>
      <c r="BC1245">
        <v>165</v>
      </c>
      <c r="BE1245" t="s">
        <v>20470</v>
      </c>
      <c r="BF1245" t="s">
        <v>20471</v>
      </c>
      <c r="BH1245" t="s">
        <v>4283</v>
      </c>
      <c r="BI1245">
        <v>12</v>
      </c>
      <c r="BJ1245" t="s">
        <v>121</v>
      </c>
      <c r="BK1245" t="s">
        <v>96</v>
      </c>
      <c r="BL1245" t="s">
        <v>122</v>
      </c>
      <c r="BM1245" t="s">
        <v>20472</v>
      </c>
      <c r="BN1245">
        <v>36282013</v>
      </c>
      <c r="BR1245" t="s">
        <v>98</v>
      </c>
      <c r="BS1245" t="s">
        <v>20473</v>
      </c>
      <c r="BT1245" t="s">
        <v>16602</v>
      </c>
    </row>
    <row r="1246" spans="1:72">
      <c r="A1246" t="s">
        <v>72</v>
      </c>
      <c r="B1246" t="s">
        <v>20474</v>
      </c>
      <c r="F1246" t="s">
        <v>20475</v>
      </c>
      <c r="I1246" t="s">
        <v>20476</v>
      </c>
      <c r="J1246" t="s">
        <v>459</v>
      </c>
      <c r="M1246" t="s">
        <v>78</v>
      </c>
      <c r="N1246" t="s">
        <v>79</v>
      </c>
      <c r="T1246" t="s">
        <v>20477</v>
      </c>
      <c r="U1246" t="s">
        <v>20478</v>
      </c>
      <c r="V1246" t="s">
        <v>20479</v>
      </c>
      <c r="W1246" t="s">
        <v>20480</v>
      </c>
      <c r="X1246" t="s">
        <v>20481</v>
      </c>
      <c r="Y1246" t="s">
        <v>20482</v>
      </c>
      <c r="Z1246" t="s">
        <v>20483</v>
      </c>
      <c r="AA1246" t="s">
        <v>20484</v>
      </c>
      <c r="AB1246" t="s">
        <v>20485</v>
      </c>
      <c r="AC1246" t="s">
        <v>20486</v>
      </c>
      <c r="AD1246" t="s">
        <v>20487</v>
      </c>
      <c r="AE1246" t="s">
        <v>20488</v>
      </c>
      <c r="AG1246">
        <v>83</v>
      </c>
      <c r="AH1246">
        <v>13</v>
      </c>
      <c r="AI1246">
        <v>15</v>
      </c>
      <c r="AJ1246">
        <v>0</v>
      </c>
      <c r="AK1246">
        <v>24</v>
      </c>
      <c r="AL1246" t="s">
        <v>112</v>
      </c>
      <c r="AM1246" t="s">
        <v>113</v>
      </c>
      <c r="AN1246" t="s">
        <v>469</v>
      </c>
      <c r="AO1246" t="s">
        <v>470</v>
      </c>
      <c r="AP1246" t="s">
        <v>471</v>
      </c>
      <c r="AR1246" t="s">
        <v>472</v>
      </c>
      <c r="AS1246" t="s">
        <v>473</v>
      </c>
      <c r="AT1246" t="s">
        <v>224</v>
      </c>
      <c r="AU1246">
        <v>2017</v>
      </c>
      <c r="AV1246">
        <v>14</v>
      </c>
      <c r="AW1246">
        <v>2</v>
      </c>
      <c r="BB1246">
        <v>385</v>
      </c>
      <c r="BC1246">
        <v>396</v>
      </c>
      <c r="BE1246" t="s">
        <v>20489</v>
      </c>
      <c r="BF1246" t="s">
        <v>20490</v>
      </c>
      <c r="BI1246">
        <v>12</v>
      </c>
      <c r="BJ1246" t="s">
        <v>144</v>
      </c>
      <c r="BK1246" t="s">
        <v>96</v>
      </c>
      <c r="BL1246" t="s">
        <v>145</v>
      </c>
      <c r="BM1246" t="s">
        <v>20491</v>
      </c>
      <c r="BO1246" t="s">
        <v>370</v>
      </c>
      <c r="BR1246" t="s">
        <v>98</v>
      </c>
      <c r="BS1246" t="s">
        <v>20492</v>
      </c>
      <c r="BT1246" t="s">
        <v>16602</v>
      </c>
    </row>
    <row r="1247" spans="1:72">
      <c r="A1247" t="s">
        <v>72</v>
      </c>
      <c r="B1247" t="s">
        <v>20493</v>
      </c>
      <c r="F1247" t="s">
        <v>20494</v>
      </c>
      <c r="I1247" t="s">
        <v>20495</v>
      </c>
      <c r="J1247" t="s">
        <v>1756</v>
      </c>
      <c r="M1247" t="s">
        <v>78</v>
      </c>
      <c r="N1247" t="s">
        <v>79</v>
      </c>
      <c r="T1247" t="s">
        <v>20496</v>
      </c>
      <c r="U1247" t="s">
        <v>20497</v>
      </c>
      <c r="V1247" t="s">
        <v>20498</v>
      </c>
      <c r="W1247" t="s">
        <v>20499</v>
      </c>
      <c r="X1247" t="s">
        <v>20500</v>
      </c>
      <c r="Y1247" t="s">
        <v>20501</v>
      </c>
      <c r="Z1247" t="s">
        <v>20502</v>
      </c>
      <c r="AA1247" t="s">
        <v>20503</v>
      </c>
      <c r="AB1247" t="s">
        <v>20504</v>
      </c>
      <c r="AC1247" t="s">
        <v>20505</v>
      </c>
      <c r="AD1247" t="s">
        <v>20506</v>
      </c>
      <c r="AE1247" t="s">
        <v>20507</v>
      </c>
      <c r="AG1247">
        <v>44</v>
      </c>
      <c r="AH1247">
        <v>7</v>
      </c>
      <c r="AI1247">
        <v>7</v>
      </c>
      <c r="AJ1247">
        <v>0</v>
      </c>
      <c r="AK1247">
        <v>28</v>
      </c>
      <c r="AL1247" t="s">
        <v>86</v>
      </c>
      <c r="AM1247" t="s">
        <v>87</v>
      </c>
      <c r="AN1247" t="s">
        <v>88</v>
      </c>
      <c r="AO1247" t="s">
        <v>1764</v>
      </c>
      <c r="AP1247" t="s">
        <v>1765</v>
      </c>
      <c r="AR1247" t="s">
        <v>1766</v>
      </c>
      <c r="AS1247" t="s">
        <v>1767</v>
      </c>
      <c r="AT1247" t="s">
        <v>119</v>
      </c>
      <c r="AU1247">
        <v>2017</v>
      </c>
      <c r="AV1247">
        <v>36</v>
      </c>
      <c r="AW1247">
        <v>8</v>
      </c>
      <c r="BB1247">
        <v>2074</v>
      </c>
      <c r="BC1247">
        <v>2082</v>
      </c>
      <c r="BE1247" t="s">
        <v>20508</v>
      </c>
      <c r="BF1247" t="s">
        <v>20509</v>
      </c>
      <c r="BI1247">
        <v>9</v>
      </c>
      <c r="BJ1247" t="s">
        <v>121</v>
      </c>
      <c r="BK1247" t="s">
        <v>96</v>
      </c>
      <c r="BL1247" t="s">
        <v>122</v>
      </c>
      <c r="BM1247" t="s">
        <v>20510</v>
      </c>
      <c r="BN1247">
        <v>28079272</v>
      </c>
      <c r="BR1247" t="s">
        <v>98</v>
      </c>
      <c r="BS1247" t="s">
        <v>20511</v>
      </c>
      <c r="BT1247" t="s">
        <v>16602</v>
      </c>
    </row>
    <row r="1248" spans="1:72">
      <c r="A1248" t="s">
        <v>72</v>
      </c>
      <c r="B1248" t="s">
        <v>20512</v>
      </c>
      <c r="F1248" t="s">
        <v>20513</v>
      </c>
      <c r="I1248" t="s">
        <v>20514</v>
      </c>
      <c r="J1248" t="s">
        <v>18169</v>
      </c>
      <c r="M1248" t="s">
        <v>78</v>
      </c>
      <c r="N1248" t="s">
        <v>151</v>
      </c>
      <c r="O1248" t="s">
        <v>20515</v>
      </c>
      <c r="P1248" t="s">
        <v>20516</v>
      </c>
      <c r="Q1248" t="s">
        <v>20517</v>
      </c>
      <c r="T1248" t="s">
        <v>20518</v>
      </c>
      <c r="U1248" t="s">
        <v>20519</v>
      </c>
      <c r="V1248" t="s">
        <v>20520</v>
      </c>
      <c r="W1248" t="s">
        <v>20521</v>
      </c>
      <c r="X1248" t="s">
        <v>18174</v>
      </c>
      <c r="Y1248" t="s">
        <v>20522</v>
      </c>
      <c r="Z1248" t="s">
        <v>20047</v>
      </c>
      <c r="AA1248" t="s">
        <v>20523</v>
      </c>
      <c r="AB1248" t="s">
        <v>18178</v>
      </c>
      <c r="AC1248" t="s">
        <v>20524</v>
      </c>
      <c r="AD1248" t="s">
        <v>20525</v>
      </c>
      <c r="AE1248" t="s">
        <v>20526</v>
      </c>
      <c r="AG1248">
        <v>52</v>
      </c>
      <c r="AH1248">
        <v>1</v>
      </c>
      <c r="AI1248">
        <v>2</v>
      </c>
      <c r="AJ1248">
        <v>0</v>
      </c>
      <c r="AK1248">
        <v>2</v>
      </c>
      <c r="AL1248" t="s">
        <v>18182</v>
      </c>
      <c r="AM1248" t="s">
        <v>825</v>
      </c>
      <c r="AN1248" t="s">
        <v>18183</v>
      </c>
      <c r="AO1248" t="s">
        <v>18184</v>
      </c>
      <c r="AR1248" t="s">
        <v>18185</v>
      </c>
      <c r="AS1248" t="s">
        <v>18186</v>
      </c>
      <c r="AT1248" t="s">
        <v>119</v>
      </c>
      <c r="AU1248">
        <v>2020</v>
      </c>
      <c r="AY1248">
        <v>15</v>
      </c>
      <c r="BB1248">
        <v>141</v>
      </c>
      <c r="BC1248">
        <v>146</v>
      </c>
      <c r="BI1248">
        <v>6</v>
      </c>
      <c r="BJ1248" t="s">
        <v>2210</v>
      </c>
      <c r="BK1248" t="s">
        <v>172</v>
      </c>
      <c r="BL1248" t="s">
        <v>2210</v>
      </c>
      <c r="BM1248" t="s">
        <v>20527</v>
      </c>
      <c r="BR1248" t="s">
        <v>98</v>
      </c>
      <c r="BS1248" t="s">
        <v>20528</v>
      </c>
      <c r="BT1248" t="s">
        <v>16602</v>
      </c>
    </row>
    <row r="1249" spans="1:72">
      <c r="A1249" t="s">
        <v>72</v>
      </c>
      <c r="B1249" t="s">
        <v>20529</v>
      </c>
      <c r="F1249" t="s">
        <v>20530</v>
      </c>
      <c r="I1249" t="s">
        <v>20531</v>
      </c>
      <c r="J1249" t="s">
        <v>2984</v>
      </c>
      <c r="M1249" t="s">
        <v>78</v>
      </c>
      <c r="N1249" t="s">
        <v>79</v>
      </c>
      <c r="T1249" t="s">
        <v>20532</v>
      </c>
      <c r="U1249" t="s">
        <v>20533</v>
      </c>
      <c r="V1249" t="s">
        <v>20534</v>
      </c>
      <c r="W1249" t="s">
        <v>20535</v>
      </c>
      <c r="X1249" t="s">
        <v>20536</v>
      </c>
      <c r="Y1249" t="s">
        <v>20537</v>
      </c>
      <c r="Z1249" t="s">
        <v>20538</v>
      </c>
      <c r="AA1249" t="s">
        <v>20539</v>
      </c>
      <c r="AB1249" t="s">
        <v>20540</v>
      </c>
      <c r="AC1249" t="s">
        <v>20541</v>
      </c>
      <c r="AD1249" t="s">
        <v>20542</v>
      </c>
      <c r="AE1249" t="s">
        <v>20543</v>
      </c>
      <c r="AG1249">
        <v>51</v>
      </c>
      <c r="AH1249">
        <v>13</v>
      </c>
      <c r="AI1249">
        <v>14</v>
      </c>
      <c r="AJ1249">
        <v>1</v>
      </c>
      <c r="AK1249">
        <v>13</v>
      </c>
      <c r="AL1249" t="s">
        <v>112</v>
      </c>
      <c r="AM1249" t="s">
        <v>191</v>
      </c>
      <c r="AN1249" t="s">
        <v>192</v>
      </c>
      <c r="AO1249" t="s">
        <v>2994</v>
      </c>
      <c r="AP1249" t="s">
        <v>2995</v>
      </c>
      <c r="AR1249" t="s">
        <v>2996</v>
      </c>
      <c r="AS1249" t="s">
        <v>2997</v>
      </c>
      <c r="AT1249" t="s">
        <v>951</v>
      </c>
      <c r="AU1249">
        <v>2021</v>
      </c>
      <c r="AV1249">
        <v>43</v>
      </c>
      <c r="AW1249">
        <v>11</v>
      </c>
      <c r="BB1249">
        <v>4701</v>
      </c>
      <c r="BC1249">
        <v>4718</v>
      </c>
      <c r="BE1249" t="s">
        <v>20544</v>
      </c>
      <c r="BF1249" t="s">
        <v>20545</v>
      </c>
      <c r="BH1249" t="s">
        <v>3508</v>
      </c>
      <c r="BI1249">
        <v>18</v>
      </c>
      <c r="BJ1249" t="s">
        <v>2999</v>
      </c>
      <c r="BK1249" t="s">
        <v>96</v>
      </c>
      <c r="BL1249" t="s">
        <v>3000</v>
      </c>
      <c r="BM1249" t="s">
        <v>20546</v>
      </c>
      <c r="BN1249">
        <v>33969453</v>
      </c>
      <c r="BO1249" t="s">
        <v>2784</v>
      </c>
      <c r="BR1249" t="s">
        <v>98</v>
      </c>
      <c r="BS1249" t="s">
        <v>20547</v>
      </c>
      <c r="BT1249" t="s">
        <v>16602</v>
      </c>
    </row>
    <row r="1250" spans="1:72">
      <c r="A1250" t="s">
        <v>72</v>
      </c>
      <c r="B1250" t="s">
        <v>20548</v>
      </c>
      <c r="F1250" t="s">
        <v>20549</v>
      </c>
      <c r="I1250" t="s">
        <v>20550</v>
      </c>
      <c r="J1250" t="s">
        <v>998</v>
      </c>
      <c r="M1250" t="s">
        <v>78</v>
      </c>
      <c r="N1250" t="s">
        <v>79</v>
      </c>
      <c r="U1250" t="s">
        <v>20551</v>
      </c>
      <c r="V1250" t="s">
        <v>20552</v>
      </c>
      <c r="W1250" t="s">
        <v>20553</v>
      </c>
      <c r="X1250" t="s">
        <v>20554</v>
      </c>
      <c r="Y1250" t="s">
        <v>20555</v>
      </c>
      <c r="Z1250" t="s">
        <v>20556</v>
      </c>
      <c r="AA1250" t="s">
        <v>20557</v>
      </c>
      <c r="AB1250" t="s">
        <v>20558</v>
      </c>
      <c r="AC1250" t="s">
        <v>20559</v>
      </c>
      <c r="AD1250" t="s">
        <v>20560</v>
      </c>
      <c r="AE1250" t="s">
        <v>20561</v>
      </c>
      <c r="AG1250">
        <v>46</v>
      </c>
      <c r="AH1250">
        <v>10</v>
      </c>
      <c r="AI1250">
        <v>15</v>
      </c>
      <c r="AJ1250">
        <v>0</v>
      </c>
      <c r="AK1250">
        <v>17</v>
      </c>
      <c r="AL1250" t="s">
        <v>112</v>
      </c>
      <c r="AM1250" t="s">
        <v>113</v>
      </c>
      <c r="AN1250" t="s">
        <v>114</v>
      </c>
      <c r="AO1250" t="s">
        <v>1009</v>
      </c>
      <c r="AP1250" t="s">
        <v>5996</v>
      </c>
      <c r="AR1250" t="s">
        <v>1010</v>
      </c>
      <c r="AS1250" t="s">
        <v>1011</v>
      </c>
      <c r="AT1250" t="s">
        <v>119</v>
      </c>
      <c r="AU1250">
        <v>2010</v>
      </c>
      <c r="AV1250">
        <v>59</v>
      </c>
      <c r="AW1250">
        <v>2</v>
      </c>
      <c r="BB1250">
        <v>255</v>
      </c>
      <c r="BC1250">
        <v>263</v>
      </c>
      <c r="BE1250" t="s">
        <v>20562</v>
      </c>
      <c r="BF1250" t="s">
        <v>20563</v>
      </c>
      <c r="BI1250">
        <v>9</v>
      </c>
      <c r="BJ1250" t="s">
        <v>121</v>
      </c>
      <c r="BK1250" t="s">
        <v>96</v>
      </c>
      <c r="BL1250" t="s">
        <v>122</v>
      </c>
      <c r="BM1250" t="s">
        <v>20564</v>
      </c>
      <c r="BN1250">
        <v>20162261</v>
      </c>
      <c r="BR1250" t="s">
        <v>98</v>
      </c>
      <c r="BS1250" t="s">
        <v>20565</v>
      </c>
      <c r="BT1250" t="s">
        <v>16602</v>
      </c>
    </row>
    <row r="1251" spans="1:72">
      <c r="A1251" t="s">
        <v>72</v>
      </c>
      <c r="B1251" t="s">
        <v>20566</v>
      </c>
      <c r="F1251" t="s">
        <v>20567</v>
      </c>
      <c r="I1251" t="s">
        <v>20568</v>
      </c>
      <c r="J1251" t="s">
        <v>232</v>
      </c>
      <c r="M1251" t="s">
        <v>78</v>
      </c>
      <c r="N1251" t="s">
        <v>79</v>
      </c>
      <c r="T1251" t="s">
        <v>20569</v>
      </c>
      <c r="U1251" t="s">
        <v>20570</v>
      </c>
      <c r="V1251" t="s">
        <v>20571</v>
      </c>
      <c r="W1251" t="s">
        <v>20572</v>
      </c>
      <c r="X1251" t="s">
        <v>1612</v>
      </c>
      <c r="Y1251" t="s">
        <v>20573</v>
      </c>
      <c r="Z1251" t="s">
        <v>20574</v>
      </c>
      <c r="AA1251" t="s">
        <v>20575</v>
      </c>
      <c r="AB1251" t="s">
        <v>20576</v>
      </c>
      <c r="AC1251" t="s">
        <v>20577</v>
      </c>
      <c r="AD1251" t="s">
        <v>20578</v>
      </c>
      <c r="AE1251" t="s">
        <v>20579</v>
      </c>
      <c r="AG1251">
        <v>41</v>
      </c>
      <c r="AH1251">
        <v>16</v>
      </c>
      <c r="AI1251">
        <v>17</v>
      </c>
      <c r="AJ1251">
        <v>0</v>
      </c>
      <c r="AK1251">
        <v>14</v>
      </c>
      <c r="AL1251" t="s">
        <v>136</v>
      </c>
      <c r="AM1251" t="s">
        <v>137</v>
      </c>
      <c r="AN1251" t="s">
        <v>138</v>
      </c>
      <c r="AO1251" t="s">
        <v>240</v>
      </c>
      <c r="AP1251" t="s">
        <v>241</v>
      </c>
      <c r="AR1251" t="s">
        <v>242</v>
      </c>
      <c r="AS1251" t="s">
        <v>243</v>
      </c>
      <c r="AT1251" t="s">
        <v>1856</v>
      </c>
      <c r="AU1251">
        <v>2014</v>
      </c>
      <c r="AV1251">
        <v>85</v>
      </c>
      <c r="AW1251">
        <v>1</v>
      </c>
      <c r="BB1251">
        <v>297</v>
      </c>
      <c r="BC1251">
        <v>305</v>
      </c>
      <c r="BE1251" t="s">
        <v>20580</v>
      </c>
      <c r="BF1251" t="s">
        <v>20581</v>
      </c>
      <c r="BI1251">
        <v>9</v>
      </c>
      <c r="BJ1251" t="s">
        <v>247</v>
      </c>
      <c r="BK1251" t="s">
        <v>96</v>
      </c>
      <c r="BL1251" t="s">
        <v>248</v>
      </c>
      <c r="BM1251" t="s">
        <v>17512</v>
      </c>
      <c r="BN1251">
        <v>24910182</v>
      </c>
      <c r="BR1251" t="s">
        <v>98</v>
      </c>
      <c r="BS1251" t="s">
        <v>20582</v>
      </c>
      <c r="BT1251" t="s">
        <v>16602</v>
      </c>
    </row>
    <row r="1252" spans="1:72">
      <c r="A1252" t="s">
        <v>72</v>
      </c>
      <c r="B1252" t="s">
        <v>20583</v>
      </c>
      <c r="F1252" t="s">
        <v>20584</v>
      </c>
      <c r="I1252" t="s">
        <v>20585</v>
      </c>
      <c r="J1252" t="s">
        <v>421</v>
      </c>
      <c r="M1252" t="s">
        <v>78</v>
      </c>
      <c r="N1252" t="s">
        <v>79</v>
      </c>
      <c r="T1252" t="s">
        <v>20586</v>
      </c>
      <c r="U1252" t="s">
        <v>20587</v>
      </c>
      <c r="V1252" t="s">
        <v>20588</v>
      </c>
      <c r="W1252" t="s">
        <v>20589</v>
      </c>
      <c r="X1252" t="s">
        <v>1003</v>
      </c>
      <c r="Y1252" t="s">
        <v>20590</v>
      </c>
      <c r="Z1252" t="s">
        <v>20591</v>
      </c>
      <c r="AA1252" t="s">
        <v>20592</v>
      </c>
      <c r="AB1252" t="s">
        <v>20593</v>
      </c>
      <c r="AC1252" t="s">
        <v>20594</v>
      </c>
      <c r="AD1252" t="s">
        <v>20595</v>
      </c>
      <c r="AE1252" t="s">
        <v>20596</v>
      </c>
      <c r="AG1252">
        <v>37</v>
      </c>
      <c r="AH1252">
        <v>48</v>
      </c>
      <c r="AI1252">
        <v>51</v>
      </c>
      <c r="AJ1252">
        <v>1</v>
      </c>
      <c r="AK1252">
        <v>52</v>
      </c>
      <c r="AL1252" t="s">
        <v>430</v>
      </c>
      <c r="AM1252" t="s">
        <v>137</v>
      </c>
      <c r="AN1252" t="s">
        <v>431</v>
      </c>
      <c r="AO1252" t="s">
        <v>432</v>
      </c>
      <c r="AP1252" t="s">
        <v>1394</v>
      </c>
      <c r="AR1252" t="s">
        <v>433</v>
      </c>
      <c r="AS1252" t="s">
        <v>434</v>
      </c>
      <c r="AT1252" t="s">
        <v>142</v>
      </c>
      <c r="AU1252">
        <v>2011</v>
      </c>
      <c r="AV1252">
        <v>159</v>
      </c>
      <c r="AW1252">
        <v>6</v>
      </c>
      <c r="BB1252">
        <v>1481</v>
      </c>
      <c r="BC1252">
        <v>1489</v>
      </c>
      <c r="BE1252" t="s">
        <v>20597</v>
      </c>
      <c r="BF1252" t="s">
        <v>20598</v>
      </c>
      <c r="BI1252">
        <v>9</v>
      </c>
      <c r="BJ1252" t="s">
        <v>144</v>
      </c>
      <c r="BK1252" t="s">
        <v>96</v>
      </c>
      <c r="BL1252" t="s">
        <v>145</v>
      </c>
      <c r="BM1252" t="s">
        <v>20599</v>
      </c>
      <c r="BN1252">
        <v>21477904</v>
      </c>
      <c r="BR1252" t="s">
        <v>98</v>
      </c>
      <c r="BS1252" t="s">
        <v>20600</v>
      </c>
      <c r="BT1252" t="s">
        <v>16602</v>
      </c>
    </row>
    <row r="1253" spans="1:72">
      <c r="A1253" t="s">
        <v>72</v>
      </c>
      <c r="B1253" t="s">
        <v>20601</v>
      </c>
      <c r="F1253" t="s">
        <v>20602</v>
      </c>
      <c r="I1253" t="s">
        <v>20603</v>
      </c>
      <c r="J1253" t="s">
        <v>5141</v>
      </c>
      <c r="M1253" t="s">
        <v>78</v>
      </c>
      <c r="N1253" t="s">
        <v>79</v>
      </c>
      <c r="T1253" t="s">
        <v>20604</v>
      </c>
      <c r="U1253" t="s">
        <v>20605</v>
      </c>
      <c r="V1253" t="s">
        <v>20606</v>
      </c>
      <c r="W1253" t="s">
        <v>20607</v>
      </c>
      <c r="X1253" t="s">
        <v>20608</v>
      </c>
      <c r="Y1253" t="s">
        <v>20609</v>
      </c>
      <c r="Z1253" t="s">
        <v>20610</v>
      </c>
      <c r="AA1253" t="s">
        <v>20611</v>
      </c>
      <c r="AB1253" t="s">
        <v>20612</v>
      </c>
      <c r="AC1253" t="s">
        <v>20613</v>
      </c>
      <c r="AD1253" t="s">
        <v>20614</v>
      </c>
      <c r="AE1253" t="s">
        <v>20615</v>
      </c>
      <c r="AG1253">
        <v>59</v>
      </c>
      <c r="AH1253">
        <v>306</v>
      </c>
      <c r="AI1253">
        <v>344</v>
      </c>
      <c r="AJ1253">
        <v>3</v>
      </c>
      <c r="AK1253">
        <v>146</v>
      </c>
      <c r="AL1253" t="s">
        <v>5154</v>
      </c>
      <c r="AM1253" t="s">
        <v>5155</v>
      </c>
      <c r="AN1253" t="s">
        <v>5156</v>
      </c>
      <c r="AO1253" t="s">
        <v>5157</v>
      </c>
      <c r="AP1253" t="s">
        <v>5158</v>
      </c>
      <c r="AR1253" t="s">
        <v>5159</v>
      </c>
      <c r="AS1253" t="s">
        <v>5160</v>
      </c>
      <c r="AT1253" t="s">
        <v>93</v>
      </c>
      <c r="AU1253">
        <v>2010</v>
      </c>
      <c r="AV1253">
        <v>118</v>
      </c>
      <c r="AW1253">
        <v>4</v>
      </c>
      <c r="BB1253">
        <v>465</v>
      </c>
      <c r="BC1253">
        <v>471</v>
      </c>
      <c r="BE1253" t="s">
        <v>20616</v>
      </c>
      <c r="BF1253" t="s">
        <v>20617</v>
      </c>
      <c r="BI1253">
        <v>7</v>
      </c>
      <c r="BJ1253" t="s">
        <v>5162</v>
      </c>
      <c r="BK1253" t="s">
        <v>96</v>
      </c>
      <c r="BL1253" t="s">
        <v>5163</v>
      </c>
      <c r="BM1253" t="s">
        <v>20618</v>
      </c>
      <c r="BN1253">
        <v>20064776</v>
      </c>
      <c r="BO1253" t="s">
        <v>20619</v>
      </c>
      <c r="BR1253" t="s">
        <v>98</v>
      </c>
      <c r="BS1253" t="s">
        <v>20620</v>
      </c>
      <c r="BT1253" t="s">
        <v>16602</v>
      </c>
    </row>
    <row r="1254" spans="1:72">
      <c r="A1254" t="s">
        <v>72</v>
      </c>
      <c r="B1254" t="s">
        <v>20621</v>
      </c>
      <c r="F1254" t="s">
        <v>20622</v>
      </c>
      <c r="I1254" t="s">
        <v>20623</v>
      </c>
      <c r="J1254" t="s">
        <v>232</v>
      </c>
      <c r="M1254" t="s">
        <v>78</v>
      </c>
      <c r="N1254" t="s">
        <v>79</v>
      </c>
      <c r="T1254" t="s">
        <v>20624</v>
      </c>
      <c r="U1254" t="s">
        <v>20625</v>
      </c>
      <c r="V1254" t="s">
        <v>20626</v>
      </c>
      <c r="W1254" t="s">
        <v>20627</v>
      </c>
      <c r="X1254" t="s">
        <v>20628</v>
      </c>
      <c r="Y1254" t="s">
        <v>20629</v>
      </c>
      <c r="Z1254" t="s">
        <v>20630</v>
      </c>
      <c r="AA1254" t="s">
        <v>20631</v>
      </c>
      <c r="AB1254" t="s">
        <v>20632</v>
      </c>
      <c r="AC1254" t="s">
        <v>20633</v>
      </c>
      <c r="AD1254" t="s">
        <v>20634</v>
      </c>
      <c r="AE1254" t="s">
        <v>20635</v>
      </c>
      <c r="AG1254">
        <v>45</v>
      </c>
      <c r="AH1254">
        <v>28</v>
      </c>
      <c r="AI1254">
        <v>28</v>
      </c>
      <c r="AJ1254">
        <v>1</v>
      </c>
      <c r="AK1254">
        <v>23</v>
      </c>
      <c r="AL1254" t="s">
        <v>136</v>
      </c>
      <c r="AM1254" t="s">
        <v>137</v>
      </c>
      <c r="AN1254" t="s">
        <v>138</v>
      </c>
      <c r="AO1254" t="s">
        <v>240</v>
      </c>
      <c r="AP1254" t="s">
        <v>241</v>
      </c>
      <c r="AR1254" t="s">
        <v>242</v>
      </c>
      <c r="AS1254" t="s">
        <v>243</v>
      </c>
      <c r="AT1254" t="s">
        <v>93</v>
      </c>
      <c r="AU1254">
        <v>2019</v>
      </c>
      <c r="AV1254">
        <v>141</v>
      </c>
      <c r="BB1254">
        <v>529</v>
      </c>
      <c r="BC1254">
        <v>534</v>
      </c>
      <c r="BE1254" t="s">
        <v>20636</v>
      </c>
      <c r="BF1254" t="s">
        <v>20637</v>
      </c>
      <c r="BI1254">
        <v>6</v>
      </c>
      <c r="BJ1254" t="s">
        <v>247</v>
      </c>
      <c r="BK1254" t="s">
        <v>96</v>
      </c>
      <c r="BL1254" t="s">
        <v>248</v>
      </c>
      <c r="BM1254" t="s">
        <v>9985</v>
      </c>
      <c r="BN1254">
        <v>30955765</v>
      </c>
      <c r="BR1254" t="s">
        <v>98</v>
      </c>
      <c r="BS1254" t="s">
        <v>20638</v>
      </c>
      <c r="BT1254" t="s">
        <v>16602</v>
      </c>
    </row>
    <row r="1255" spans="1:72">
      <c r="A1255" t="s">
        <v>72</v>
      </c>
      <c r="B1255" t="s">
        <v>20639</v>
      </c>
      <c r="F1255" t="s">
        <v>20640</v>
      </c>
      <c r="I1255" t="s">
        <v>20641</v>
      </c>
      <c r="J1255" t="s">
        <v>3349</v>
      </c>
      <c r="M1255" t="s">
        <v>78</v>
      </c>
      <c r="N1255" t="s">
        <v>79</v>
      </c>
      <c r="T1255" t="s">
        <v>20642</v>
      </c>
      <c r="U1255" t="s">
        <v>20643</v>
      </c>
      <c r="V1255" t="s">
        <v>20644</v>
      </c>
      <c r="W1255" t="s">
        <v>20645</v>
      </c>
      <c r="X1255" t="s">
        <v>17768</v>
      </c>
      <c r="Y1255" t="s">
        <v>20646</v>
      </c>
      <c r="Z1255" t="s">
        <v>20647</v>
      </c>
      <c r="AA1255" t="s">
        <v>20648</v>
      </c>
      <c r="AB1255" t="s">
        <v>20649</v>
      </c>
      <c r="AC1255" t="s">
        <v>20650</v>
      </c>
      <c r="AD1255" t="s">
        <v>20650</v>
      </c>
      <c r="AE1255" t="s">
        <v>20651</v>
      </c>
      <c r="AG1255">
        <v>34</v>
      </c>
      <c r="AH1255">
        <v>39</v>
      </c>
      <c r="AI1255">
        <v>41</v>
      </c>
      <c r="AJ1255">
        <v>5</v>
      </c>
      <c r="AK1255">
        <v>66</v>
      </c>
      <c r="AL1255" t="s">
        <v>3362</v>
      </c>
      <c r="AM1255" t="s">
        <v>3363</v>
      </c>
      <c r="AN1255" t="s">
        <v>3364</v>
      </c>
      <c r="AO1255" t="s">
        <v>3365</v>
      </c>
      <c r="AP1255" t="s">
        <v>3366</v>
      </c>
      <c r="AR1255" t="s">
        <v>3367</v>
      </c>
      <c r="AS1255" t="s">
        <v>3368</v>
      </c>
      <c r="AT1255" t="s">
        <v>3237</v>
      </c>
      <c r="AU1255">
        <v>2013</v>
      </c>
      <c r="AV1255">
        <v>95</v>
      </c>
      <c r="BB1255">
        <v>19</v>
      </c>
      <c r="BC1255">
        <v>26</v>
      </c>
      <c r="BE1255" t="s">
        <v>20652</v>
      </c>
      <c r="BF1255" t="s">
        <v>20653</v>
      </c>
      <c r="BI1255">
        <v>8</v>
      </c>
      <c r="BJ1255" t="s">
        <v>121</v>
      </c>
      <c r="BK1255" t="s">
        <v>96</v>
      </c>
      <c r="BL1255" t="s">
        <v>122</v>
      </c>
      <c r="BM1255" t="s">
        <v>20654</v>
      </c>
      <c r="BN1255">
        <v>23747128</v>
      </c>
      <c r="BR1255" t="s">
        <v>98</v>
      </c>
      <c r="BS1255" t="s">
        <v>20655</v>
      </c>
      <c r="BT1255" t="s">
        <v>16602</v>
      </c>
    </row>
    <row r="1256" spans="1:72">
      <c r="A1256" t="s">
        <v>72</v>
      </c>
      <c r="B1256" t="s">
        <v>20656</v>
      </c>
      <c r="F1256" t="s">
        <v>20657</v>
      </c>
      <c r="I1256" t="s">
        <v>20658</v>
      </c>
      <c r="J1256" t="s">
        <v>554</v>
      </c>
      <c r="M1256" t="s">
        <v>78</v>
      </c>
      <c r="N1256" t="s">
        <v>79</v>
      </c>
      <c r="T1256" t="s">
        <v>20659</v>
      </c>
      <c r="U1256" t="s">
        <v>20660</v>
      </c>
      <c r="V1256" t="s">
        <v>20661</v>
      </c>
      <c r="W1256" t="s">
        <v>20662</v>
      </c>
      <c r="X1256" t="s">
        <v>20663</v>
      </c>
      <c r="Y1256" t="s">
        <v>20664</v>
      </c>
      <c r="Z1256" t="s">
        <v>20665</v>
      </c>
      <c r="AC1256" t="s">
        <v>20666</v>
      </c>
      <c r="AD1256" t="s">
        <v>20667</v>
      </c>
      <c r="AE1256" t="s">
        <v>20668</v>
      </c>
      <c r="AG1256">
        <v>71</v>
      </c>
      <c r="AH1256">
        <v>27</v>
      </c>
      <c r="AI1256">
        <v>33</v>
      </c>
      <c r="AJ1256">
        <v>0</v>
      </c>
      <c r="AK1256">
        <v>41</v>
      </c>
      <c r="AL1256" t="s">
        <v>564</v>
      </c>
      <c r="AM1256" t="s">
        <v>113</v>
      </c>
      <c r="AN1256" t="s">
        <v>807</v>
      </c>
      <c r="AO1256" t="s">
        <v>566</v>
      </c>
      <c r="AP1256" t="s">
        <v>567</v>
      </c>
      <c r="AR1256" t="s">
        <v>568</v>
      </c>
      <c r="AS1256" t="s">
        <v>569</v>
      </c>
      <c r="AT1256" t="s">
        <v>119</v>
      </c>
      <c r="AU1256">
        <v>2009</v>
      </c>
      <c r="AV1256">
        <v>150</v>
      </c>
      <c r="AW1256">
        <v>2</v>
      </c>
      <c r="BB1256">
        <v>186</v>
      </c>
      <c r="BC1256">
        <v>195</v>
      </c>
      <c r="BE1256" t="s">
        <v>20669</v>
      </c>
      <c r="BF1256" t="s">
        <v>20670</v>
      </c>
      <c r="BI1256">
        <v>10</v>
      </c>
      <c r="BJ1256" t="s">
        <v>571</v>
      </c>
      <c r="BK1256" t="s">
        <v>96</v>
      </c>
      <c r="BL1256" t="s">
        <v>571</v>
      </c>
      <c r="BM1256" t="s">
        <v>20671</v>
      </c>
      <c r="BN1256">
        <v>19409510</v>
      </c>
      <c r="BR1256" t="s">
        <v>98</v>
      </c>
      <c r="BS1256" t="s">
        <v>20672</v>
      </c>
      <c r="BT1256" t="s">
        <v>16602</v>
      </c>
    </row>
    <row r="1257" spans="1:72">
      <c r="A1257" t="s">
        <v>72</v>
      </c>
      <c r="B1257" t="s">
        <v>20673</v>
      </c>
      <c r="F1257" t="s">
        <v>20673</v>
      </c>
      <c r="I1257" t="s">
        <v>20674</v>
      </c>
      <c r="J1257" t="s">
        <v>232</v>
      </c>
      <c r="M1257" t="s">
        <v>78</v>
      </c>
      <c r="N1257" t="s">
        <v>151</v>
      </c>
      <c r="O1257" t="s">
        <v>13514</v>
      </c>
      <c r="P1257" t="s">
        <v>13515</v>
      </c>
      <c r="Q1257" t="s">
        <v>13516</v>
      </c>
      <c r="U1257" t="s">
        <v>20675</v>
      </c>
      <c r="V1257" t="s">
        <v>20676</v>
      </c>
      <c r="W1257" t="s">
        <v>20677</v>
      </c>
      <c r="X1257" t="s">
        <v>17768</v>
      </c>
      <c r="Y1257" t="s">
        <v>20678</v>
      </c>
      <c r="AG1257">
        <v>19</v>
      </c>
      <c r="AH1257">
        <v>25</v>
      </c>
      <c r="AI1257">
        <v>28</v>
      </c>
      <c r="AJ1257">
        <v>0</v>
      </c>
      <c r="AK1257">
        <v>3</v>
      </c>
      <c r="AL1257" t="s">
        <v>136</v>
      </c>
      <c r="AM1257" t="s">
        <v>137</v>
      </c>
      <c r="AN1257" t="s">
        <v>138</v>
      </c>
      <c r="AO1257" t="s">
        <v>240</v>
      </c>
      <c r="AP1257" t="s">
        <v>241</v>
      </c>
      <c r="AR1257" t="s">
        <v>242</v>
      </c>
      <c r="AS1257" t="s">
        <v>243</v>
      </c>
      <c r="AT1257" t="s">
        <v>4410</v>
      </c>
      <c r="AU1257">
        <v>1995</v>
      </c>
      <c r="AV1257">
        <v>31</v>
      </c>
      <c r="AW1257" t="s">
        <v>2847</v>
      </c>
      <c r="AZ1257" t="s">
        <v>225</v>
      </c>
      <c r="BB1257">
        <v>84</v>
      </c>
      <c r="BC1257">
        <v>86</v>
      </c>
      <c r="BE1257" t="s">
        <v>20679</v>
      </c>
      <c r="BF1257" t="s">
        <v>20680</v>
      </c>
      <c r="BI1257">
        <v>3</v>
      </c>
      <c r="BJ1257" t="s">
        <v>247</v>
      </c>
      <c r="BK1257" t="s">
        <v>172</v>
      </c>
      <c r="BL1257" t="s">
        <v>248</v>
      </c>
      <c r="BM1257" t="s">
        <v>13521</v>
      </c>
      <c r="BR1257" t="s">
        <v>98</v>
      </c>
      <c r="BS1257" t="s">
        <v>20681</v>
      </c>
      <c r="BT1257" t="s">
        <v>16602</v>
      </c>
    </row>
    <row r="1258" spans="1:72">
      <c r="A1258" t="s">
        <v>72</v>
      </c>
      <c r="B1258" t="s">
        <v>20639</v>
      </c>
      <c r="F1258" t="s">
        <v>20640</v>
      </c>
      <c r="I1258" t="s">
        <v>20682</v>
      </c>
      <c r="J1258" t="s">
        <v>3349</v>
      </c>
      <c r="M1258" t="s">
        <v>78</v>
      </c>
      <c r="N1258" t="s">
        <v>79</v>
      </c>
      <c r="T1258" t="s">
        <v>20683</v>
      </c>
      <c r="U1258" t="s">
        <v>20684</v>
      </c>
      <c r="V1258" t="s">
        <v>20685</v>
      </c>
      <c r="W1258" t="s">
        <v>20686</v>
      </c>
      <c r="X1258" t="s">
        <v>17768</v>
      </c>
      <c r="Y1258" t="s">
        <v>20687</v>
      </c>
      <c r="Z1258" t="s">
        <v>20688</v>
      </c>
      <c r="AA1258" t="s">
        <v>20648</v>
      </c>
      <c r="AB1258" t="s">
        <v>20649</v>
      </c>
      <c r="AC1258" t="s">
        <v>20650</v>
      </c>
      <c r="AD1258" t="s">
        <v>20650</v>
      </c>
      <c r="AE1258" t="s">
        <v>20689</v>
      </c>
      <c r="AG1258">
        <v>35</v>
      </c>
      <c r="AH1258">
        <v>17</v>
      </c>
      <c r="AI1258">
        <v>18</v>
      </c>
      <c r="AJ1258">
        <v>0</v>
      </c>
      <c r="AK1258">
        <v>36</v>
      </c>
      <c r="AL1258" t="s">
        <v>3362</v>
      </c>
      <c r="AM1258" t="s">
        <v>3363</v>
      </c>
      <c r="AN1258" t="s">
        <v>3364</v>
      </c>
      <c r="AO1258" t="s">
        <v>3365</v>
      </c>
      <c r="AP1258" t="s">
        <v>3366</v>
      </c>
      <c r="AR1258" t="s">
        <v>3367</v>
      </c>
      <c r="AS1258" t="s">
        <v>3368</v>
      </c>
      <c r="AT1258" t="s">
        <v>951</v>
      </c>
      <c r="AU1258">
        <v>2014</v>
      </c>
      <c r="AV1258">
        <v>109</v>
      </c>
      <c r="BB1258">
        <v>133</v>
      </c>
      <c r="BC1258">
        <v>142</v>
      </c>
      <c r="BE1258" t="s">
        <v>20690</v>
      </c>
      <c r="BF1258" t="s">
        <v>20691</v>
      </c>
      <c r="BI1258">
        <v>10</v>
      </c>
      <c r="BJ1258" t="s">
        <v>121</v>
      </c>
      <c r="BK1258" t="s">
        <v>96</v>
      </c>
      <c r="BL1258" t="s">
        <v>122</v>
      </c>
      <c r="BM1258" t="s">
        <v>20692</v>
      </c>
      <c r="BN1258">
        <v>25178526</v>
      </c>
      <c r="BO1258" t="s">
        <v>1752</v>
      </c>
      <c r="BR1258" t="s">
        <v>98</v>
      </c>
      <c r="BS1258" t="s">
        <v>20693</v>
      </c>
      <c r="BT1258" t="s">
        <v>16602</v>
      </c>
    </row>
    <row r="1259" spans="1:72">
      <c r="A1259" t="s">
        <v>72</v>
      </c>
      <c r="B1259" t="s">
        <v>20694</v>
      </c>
      <c r="F1259" t="s">
        <v>20695</v>
      </c>
      <c r="I1259" t="s">
        <v>20696</v>
      </c>
      <c r="J1259" t="s">
        <v>179</v>
      </c>
      <c r="M1259" t="s">
        <v>78</v>
      </c>
      <c r="N1259" t="s">
        <v>79</v>
      </c>
      <c r="T1259" t="s">
        <v>20697</v>
      </c>
      <c r="U1259" t="s">
        <v>20698</v>
      </c>
      <c r="V1259" t="s">
        <v>20699</v>
      </c>
      <c r="W1259" t="s">
        <v>20700</v>
      </c>
      <c r="X1259" t="s">
        <v>20701</v>
      </c>
      <c r="Y1259" t="s">
        <v>20702</v>
      </c>
      <c r="Z1259" t="s">
        <v>20703</v>
      </c>
      <c r="AA1259" t="s">
        <v>20704</v>
      </c>
      <c r="AB1259" t="s">
        <v>20705</v>
      </c>
      <c r="AC1259" t="s">
        <v>20706</v>
      </c>
      <c r="AD1259" t="s">
        <v>20707</v>
      </c>
      <c r="AE1259" t="s">
        <v>20708</v>
      </c>
      <c r="AG1259">
        <v>52</v>
      </c>
      <c r="AH1259">
        <v>27</v>
      </c>
      <c r="AI1259">
        <v>30</v>
      </c>
      <c r="AJ1259">
        <v>1</v>
      </c>
      <c r="AK1259">
        <v>81</v>
      </c>
      <c r="AL1259" t="s">
        <v>112</v>
      </c>
      <c r="AM1259" t="s">
        <v>191</v>
      </c>
      <c r="AN1259" t="s">
        <v>192</v>
      </c>
      <c r="AO1259" t="s">
        <v>193</v>
      </c>
      <c r="AP1259" t="s">
        <v>194</v>
      </c>
      <c r="AR1259" t="s">
        <v>195</v>
      </c>
      <c r="AS1259" t="s">
        <v>196</v>
      </c>
      <c r="AT1259" t="s">
        <v>142</v>
      </c>
      <c r="AU1259">
        <v>2016</v>
      </c>
      <c r="AV1259">
        <v>188</v>
      </c>
      <c r="AW1259">
        <v>6</v>
      </c>
      <c r="BD1259">
        <v>352</v>
      </c>
      <c r="BE1259" t="s">
        <v>20709</v>
      </c>
      <c r="BF1259" t="s">
        <v>20710</v>
      </c>
      <c r="BI1259">
        <v>18</v>
      </c>
      <c r="BJ1259" t="s">
        <v>144</v>
      </c>
      <c r="BK1259" t="s">
        <v>96</v>
      </c>
      <c r="BL1259" t="s">
        <v>145</v>
      </c>
      <c r="BM1259" t="s">
        <v>20711</v>
      </c>
      <c r="BN1259">
        <v>27188302</v>
      </c>
      <c r="BR1259" t="s">
        <v>98</v>
      </c>
      <c r="BS1259" t="s">
        <v>20712</v>
      </c>
      <c r="BT1259" t="s">
        <v>16602</v>
      </c>
    </row>
    <row r="1260" spans="1:72">
      <c r="A1260" t="s">
        <v>72</v>
      </c>
      <c r="B1260" t="s">
        <v>20713</v>
      </c>
      <c r="F1260" t="s">
        <v>20713</v>
      </c>
      <c r="I1260" t="s">
        <v>20714</v>
      </c>
      <c r="J1260" t="s">
        <v>20715</v>
      </c>
      <c r="M1260" t="s">
        <v>78</v>
      </c>
      <c r="N1260" t="s">
        <v>79</v>
      </c>
      <c r="T1260" t="s">
        <v>20716</v>
      </c>
      <c r="U1260" t="s">
        <v>20717</v>
      </c>
      <c r="V1260" t="s">
        <v>20718</v>
      </c>
      <c r="W1260" t="s">
        <v>20719</v>
      </c>
      <c r="X1260" t="s">
        <v>20720</v>
      </c>
      <c r="Y1260" t="s">
        <v>20721</v>
      </c>
      <c r="AA1260" t="s">
        <v>20722</v>
      </c>
      <c r="AB1260" t="s">
        <v>20723</v>
      </c>
      <c r="AG1260">
        <v>34</v>
      </c>
      <c r="AH1260">
        <v>27</v>
      </c>
      <c r="AI1260">
        <v>27</v>
      </c>
      <c r="AJ1260">
        <v>0</v>
      </c>
      <c r="AK1260">
        <v>8</v>
      </c>
      <c r="AL1260" t="s">
        <v>20724</v>
      </c>
      <c r="AM1260" t="s">
        <v>20725</v>
      </c>
      <c r="AN1260" t="s">
        <v>20726</v>
      </c>
      <c r="AO1260" t="s">
        <v>20727</v>
      </c>
      <c r="AR1260" t="s">
        <v>20728</v>
      </c>
      <c r="AS1260" t="s">
        <v>20729</v>
      </c>
      <c r="AT1260" t="s">
        <v>6692</v>
      </c>
      <c r="AU1260">
        <v>1999</v>
      </c>
      <c r="AV1260">
        <v>22</v>
      </c>
      <c r="AW1260">
        <v>4</v>
      </c>
      <c r="BB1260">
        <v>431</v>
      </c>
      <c r="BC1260">
        <v>439</v>
      </c>
      <c r="BE1260" t="s">
        <v>20730</v>
      </c>
      <c r="BF1260" t="s">
        <v>20731</v>
      </c>
      <c r="BI1260">
        <v>9</v>
      </c>
      <c r="BJ1260" t="s">
        <v>1439</v>
      </c>
      <c r="BK1260" t="s">
        <v>96</v>
      </c>
      <c r="BL1260" t="s">
        <v>1439</v>
      </c>
      <c r="BM1260" t="s">
        <v>20732</v>
      </c>
      <c r="BO1260" t="s">
        <v>810</v>
      </c>
      <c r="BR1260" t="s">
        <v>98</v>
      </c>
      <c r="BS1260" t="s">
        <v>20733</v>
      </c>
      <c r="BT1260" t="s">
        <v>16602</v>
      </c>
    </row>
    <row r="1261" spans="1:72">
      <c r="A1261" t="s">
        <v>72</v>
      </c>
      <c r="B1261" t="s">
        <v>20734</v>
      </c>
      <c r="F1261" t="s">
        <v>20735</v>
      </c>
      <c r="I1261" t="s">
        <v>20736</v>
      </c>
      <c r="J1261" t="s">
        <v>4747</v>
      </c>
      <c r="M1261" t="s">
        <v>78</v>
      </c>
      <c r="N1261" t="s">
        <v>79</v>
      </c>
      <c r="T1261" t="s">
        <v>20737</v>
      </c>
      <c r="U1261" t="s">
        <v>20738</v>
      </c>
      <c r="V1261" t="s">
        <v>20739</v>
      </c>
      <c r="W1261" t="s">
        <v>20740</v>
      </c>
      <c r="X1261" t="s">
        <v>2290</v>
      </c>
      <c r="Y1261" t="s">
        <v>20741</v>
      </c>
      <c r="Z1261" t="s">
        <v>4753</v>
      </c>
      <c r="AA1261" t="s">
        <v>20742</v>
      </c>
      <c r="AB1261" t="s">
        <v>20743</v>
      </c>
      <c r="AC1261" t="s">
        <v>20744</v>
      </c>
      <c r="AD1261" t="s">
        <v>20745</v>
      </c>
      <c r="AE1261" t="s">
        <v>20746</v>
      </c>
      <c r="AG1261">
        <v>31</v>
      </c>
      <c r="AH1261">
        <v>43</v>
      </c>
      <c r="AI1261">
        <v>44</v>
      </c>
      <c r="AJ1261">
        <v>1</v>
      </c>
      <c r="AK1261">
        <v>41</v>
      </c>
      <c r="AL1261" t="s">
        <v>919</v>
      </c>
      <c r="AM1261" t="s">
        <v>651</v>
      </c>
      <c r="AN1261" t="s">
        <v>920</v>
      </c>
      <c r="AO1261" t="s">
        <v>4758</v>
      </c>
      <c r="AP1261" t="s">
        <v>11139</v>
      </c>
      <c r="AR1261" t="s">
        <v>4759</v>
      </c>
      <c r="AS1261" t="s">
        <v>4760</v>
      </c>
      <c r="AT1261" t="s">
        <v>1856</v>
      </c>
      <c r="AU1261">
        <v>2010</v>
      </c>
      <c r="AV1261">
        <v>180</v>
      </c>
      <c r="AW1261" t="s">
        <v>2847</v>
      </c>
      <c r="BB1261">
        <v>622</v>
      </c>
      <c r="BC1261">
        <v>627</v>
      </c>
      <c r="BE1261" t="s">
        <v>20747</v>
      </c>
      <c r="BF1261" t="s">
        <v>20748</v>
      </c>
      <c r="BI1261">
        <v>6</v>
      </c>
      <c r="BJ1261" t="s">
        <v>415</v>
      </c>
      <c r="BK1261" t="s">
        <v>96</v>
      </c>
      <c r="BL1261" t="s">
        <v>416</v>
      </c>
      <c r="BM1261" t="s">
        <v>20749</v>
      </c>
      <c r="BN1261">
        <v>20466485</v>
      </c>
      <c r="BR1261" t="s">
        <v>98</v>
      </c>
      <c r="BS1261" t="s">
        <v>20750</v>
      </c>
      <c r="BT1261" t="s">
        <v>16602</v>
      </c>
    </row>
    <row r="1262" spans="1:72">
      <c r="A1262" t="s">
        <v>72</v>
      </c>
      <c r="B1262" t="s">
        <v>20751</v>
      </c>
      <c r="F1262" t="s">
        <v>20751</v>
      </c>
      <c r="I1262" t="s">
        <v>20752</v>
      </c>
      <c r="J1262" t="s">
        <v>20753</v>
      </c>
      <c r="M1262" t="s">
        <v>78</v>
      </c>
      <c r="N1262" t="s">
        <v>79</v>
      </c>
      <c r="V1262" t="s">
        <v>20754</v>
      </c>
      <c r="Y1262" t="s">
        <v>20755</v>
      </c>
      <c r="AG1262">
        <v>0</v>
      </c>
      <c r="AH1262">
        <v>12</v>
      </c>
      <c r="AI1262">
        <v>12</v>
      </c>
      <c r="AJ1262">
        <v>1</v>
      </c>
      <c r="AK1262">
        <v>7</v>
      </c>
      <c r="AL1262" t="s">
        <v>650</v>
      </c>
      <c r="AM1262" t="s">
        <v>651</v>
      </c>
      <c r="AN1262" t="s">
        <v>652</v>
      </c>
      <c r="AO1262" t="s">
        <v>20756</v>
      </c>
      <c r="AP1262" t="s">
        <v>20757</v>
      </c>
      <c r="AR1262" t="s">
        <v>20758</v>
      </c>
      <c r="AS1262" t="s">
        <v>20759</v>
      </c>
      <c r="AT1262" t="s">
        <v>197</v>
      </c>
      <c r="AU1262">
        <v>1989</v>
      </c>
      <c r="AV1262">
        <v>7</v>
      </c>
      <c r="AW1262" t="s">
        <v>326</v>
      </c>
      <c r="BB1262">
        <v>163</v>
      </c>
      <c r="BC1262">
        <v>170</v>
      </c>
      <c r="BE1262" t="s">
        <v>20760</v>
      </c>
      <c r="BF1262" t="s">
        <v>20761</v>
      </c>
      <c r="BI1262">
        <v>8</v>
      </c>
      <c r="BJ1262" t="s">
        <v>20762</v>
      </c>
      <c r="BK1262" t="s">
        <v>96</v>
      </c>
      <c r="BL1262" t="s">
        <v>20763</v>
      </c>
      <c r="BM1262" t="s">
        <v>20764</v>
      </c>
      <c r="BR1262" t="s">
        <v>98</v>
      </c>
      <c r="BS1262" t="s">
        <v>20765</v>
      </c>
      <c r="BT1262" t="s">
        <v>16602</v>
      </c>
    </row>
    <row r="1263" spans="1:72">
      <c r="A1263" t="s">
        <v>72</v>
      </c>
      <c r="B1263" t="s">
        <v>20766</v>
      </c>
      <c r="F1263" t="s">
        <v>20767</v>
      </c>
      <c r="I1263" t="s">
        <v>20768</v>
      </c>
      <c r="J1263" t="s">
        <v>8716</v>
      </c>
      <c r="M1263" t="s">
        <v>78</v>
      </c>
      <c r="N1263" t="s">
        <v>79</v>
      </c>
      <c r="T1263" t="s">
        <v>20769</v>
      </c>
      <c r="U1263" t="s">
        <v>20770</v>
      </c>
      <c r="V1263" t="s">
        <v>20771</v>
      </c>
      <c r="W1263" t="s">
        <v>20772</v>
      </c>
      <c r="X1263" t="s">
        <v>20773</v>
      </c>
      <c r="Y1263" t="s">
        <v>20774</v>
      </c>
      <c r="Z1263" t="s">
        <v>20775</v>
      </c>
      <c r="AA1263" t="s">
        <v>20776</v>
      </c>
      <c r="AB1263" t="s">
        <v>20777</v>
      </c>
      <c r="AC1263" t="s">
        <v>20778</v>
      </c>
      <c r="AD1263" t="s">
        <v>20778</v>
      </c>
      <c r="AE1263" t="s">
        <v>20779</v>
      </c>
      <c r="AG1263">
        <v>102</v>
      </c>
      <c r="AH1263">
        <v>2</v>
      </c>
      <c r="AI1263">
        <v>2</v>
      </c>
      <c r="AJ1263">
        <v>0</v>
      </c>
      <c r="AK1263">
        <v>3</v>
      </c>
      <c r="AL1263" t="s">
        <v>20780</v>
      </c>
      <c r="AM1263" t="s">
        <v>8725</v>
      </c>
      <c r="AN1263" t="s">
        <v>8726</v>
      </c>
      <c r="AO1263" t="s">
        <v>8727</v>
      </c>
      <c r="AR1263" t="s">
        <v>8728</v>
      </c>
      <c r="AS1263" t="s">
        <v>8729</v>
      </c>
      <c r="AU1263">
        <v>2019</v>
      </c>
      <c r="AZ1263" t="s">
        <v>225</v>
      </c>
      <c r="BB1263">
        <v>40</v>
      </c>
      <c r="BC1263">
        <v>57</v>
      </c>
      <c r="BI1263">
        <v>18</v>
      </c>
      <c r="BJ1263" t="s">
        <v>144</v>
      </c>
      <c r="BK1263" t="s">
        <v>96</v>
      </c>
      <c r="BL1263" t="s">
        <v>145</v>
      </c>
      <c r="BM1263" t="s">
        <v>20781</v>
      </c>
      <c r="BR1263" t="s">
        <v>98</v>
      </c>
      <c r="BS1263" t="s">
        <v>20782</v>
      </c>
      <c r="BT1263" t="s">
        <v>16602</v>
      </c>
    </row>
    <row r="1264" spans="1:72">
      <c r="A1264" t="s">
        <v>72</v>
      </c>
      <c r="B1264" t="s">
        <v>20783</v>
      </c>
      <c r="F1264" t="s">
        <v>20784</v>
      </c>
      <c r="I1264" t="s">
        <v>20785</v>
      </c>
      <c r="J1264" t="s">
        <v>7477</v>
      </c>
      <c r="M1264" t="s">
        <v>78</v>
      </c>
      <c r="N1264" t="s">
        <v>79</v>
      </c>
      <c r="T1264" t="s">
        <v>20786</v>
      </c>
      <c r="U1264" t="s">
        <v>20787</v>
      </c>
      <c r="V1264" t="s">
        <v>20788</v>
      </c>
      <c r="W1264" t="s">
        <v>20789</v>
      </c>
      <c r="X1264" t="s">
        <v>20790</v>
      </c>
      <c r="Y1264" t="s">
        <v>20791</v>
      </c>
      <c r="Z1264" t="s">
        <v>20792</v>
      </c>
      <c r="AA1264" t="s">
        <v>20793</v>
      </c>
      <c r="AB1264" t="s">
        <v>20794</v>
      </c>
      <c r="AC1264" t="s">
        <v>20795</v>
      </c>
      <c r="AD1264" t="s">
        <v>20796</v>
      </c>
      <c r="AE1264" t="s">
        <v>20797</v>
      </c>
      <c r="AG1264">
        <v>27</v>
      </c>
      <c r="AH1264">
        <v>2</v>
      </c>
      <c r="AI1264">
        <v>2</v>
      </c>
      <c r="AJ1264">
        <v>0</v>
      </c>
      <c r="AK1264">
        <v>13</v>
      </c>
      <c r="AL1264" t="s">
        <v>6554</v>
      </c>
      <c r="AM1264" t="s">
        <v>113</v>
      </c>
      <c r="AN1264" t="s">
        <v>6555</v>
      </c>
      <c r="AO1264" t="s">
        <v>7487</v>
      </c>
      <c r="AP1264" t="s">
        <v>7488</v>
      </c>
      <c r="AR1264" t="s">
        <v>7489</v>
      </c>
      <c r="AS1264" t="s">
        <v>7490</v>
      </c>
      <c r="AT1264" t="s">
        <v>1223</v>
      </c>
      <c r="AU1264">
        <v>2019</v>
      </c>
      <c r="AV1264">
        <v>45</v>
      </c>
      <c r="AW1264">
        <v>2</v>
      </c>
      <c r="BB1264">
        <v>118</v>
      </c>
      <c r="BC1264">
        <v>127</v>
      </c>
      <c r="BE1264" t="s">
        <v>20798</v>
      </c>
      <c r="BF1264" t="s">
        <v>20799</v>
      </c>
      <c r="BI1264">
        <v>10</v>
      </c>
      <c r="BJ1264" t="s">
        <v>680</v>
      </c>
      <c r="BK1264" t="s">
        <v>96</v>
      </c>
      <c r="BL1264" t="s">
        <v>680</v>
      </c>
      <c r="BM1264" t="s">
        <v>20800</v>
      </c>
      <c r="BR1264" t="s">
        <v>98</v>
      </c>
      <c r="BS1264" t="s">
        <v>20801</v>
      </c>
      <c r="BT1264" t="s">
        <v>16602</v>
      </c>
    </row>
    <row r="1265" spans="1:72">
      <c r="A1265" t="s">
        <v>72</v>
      </c>
      <c r="B1265" t="s">
        <v>20802</v>
      </c>
      <c r="F1265" t="s">
        <v>20803</v>
      </c>
      <c r="I1265" t="s">
        <v>20804</v>
      </c>
      <c r="J1265" t="s">
        <v>103</v>
      </c>
      <c r="M1265" t="s">
        <v>78</v>
      </c>
      <c r="N1265" t="s">
        <v>79</v>
      </c>
      <c r="T1265" t="s">
        <v>20805</v>
      </c>
      <c r="U1265" t="s">
        <v>20806</v>
      </c>
      <c r="V1265" t="s">
        <v>20807</v>
      </c>
      <c r="W1265" t="s">
        <v>20808</v>
      </c>
      <c r="X1265" t="s">
        <v>20809</v>
      </c>
      <c r="Y1265" t="s">
        <v>20810</v>
      </c>
      <c r="Z1265" t="s">
        <v>20811</v>
      </c>
      <c r="AA1265" t="s">
        <v>20812</v>
      </c>
      <c r="AB1265" t="s">
        <v>20813</v>
      </c>
      <c r="AG1265">
        <v>37</v>
      </c>
      <c r="AH1265">
        <v>5</v>
      </c>
      <c r="AI1265">
        <v>5</v>
      </c>
      <c r="AJ1265">
        <v>0</v>
      </c>
      <c r="AK1265">
        <v>10</v>
      </c>
      <c r="AL1265" t="s">
        <v>112</v>
      </c>
      <c r="AM1265" t="s">
        <v>113</v>
      </c>
      <c r="AN1265" t="s">
        <v>114</v>
      </c>
      <c r="AO1265" t="s">
        <v>115</v>
      </c>
      <c r="AP1265" t="s">
        <v>116</v>
      </c>
      <c r="AR1265" t="s">
        <v>117</v>
      </c>
      <c r="AS1265" t="s">
        <v>118</v>
      </c>
      <c r="AT1265" t="s">
        <v>142</v>
      </c>
      <c r="AU1265">
        <v>2020</v>
      </c>
      <c r="AV1265">
        <v>104</v>
      </c>
      <c r="AW1265">
        <v>6</v>
      </c>
      <c r="BB1265">
        <v>748</v>
      </c>
      <c r="BC1265">
        <v>754</v>
      </c>
      <c r="BE1265" t="s">
        <v>20814</v>
      </c>
      <c r="BF1265" t="s">
        <v>20815</v>
      </c>
      <c r="BH1265" t="s">
        <v>1588</v>
      </c>
      <c r="BI1265">
        <v>7</v>
      </c>
      <c r="BJ1265" t="s">
        <v>121</v>
      </c>
      <c r="BK1265" t="s">
        <v>96</v>
      </c>
      <c r="BL1265" t="s">
        <v>122</v>
      </c>
      <c r="BM1265" t="s">
        <v>20816</v>
      </c>
      <c r="BN1265">
        <v>32405747</v>
      </c>
      <c r="BR1265" t="s">
        <v>98</v>
      </c>
      <c r="BS1265" t="s">
        <v>20817</v>
      </c>
      <c r="BT1265" t="s">
        <v>16602</v>
      </c>
    </row>
    <row r="1266" spans="1:72">
      <c r="A1266" t="s">
        <v>72</v>
      </c>
      <c r="B1266" t="s">
        <v>20818</v>
      </c>
      <c r="F1266" t="s">
        <v>20819</v>
      </c>
      <c r="I1266" t="s">
        <v>20820</v>
      </c>
      <c r="J1266" t="s">
        <v>421</v>
      </c>
      <c r="M1266" t="s">
        <v>78</v>
      </c>
      <c r="N1266" t="s">
        <v>79</v>
      </c>
      <c r="T1266" t="s">
        <v>20821</v>
      </c>
      <c r="U1266" t="s">
        <v>20822</v>
      </c>
      <c r="V1266" t="s">
        <v>20823</v>
      </c>
      <c r="W1266" t="s">
        <v>20824</v>
      </c>
      <c r="X1266" t="s">
        <v>20825</v>
      </c>
      <c r="Y1266" t="s">
        <v>20826</v>
      </c>
      <c r="Z1266" t="s">
        <v>20827</v>
      </c>
      <c r="AA1266" t="s">
        <v>20828</v>
      </c>
      <c r="AB1266" t="s">
        <v>20829</v>
      </c>
      <c r="AC1266" t="s">
        <v>20830</v>
      </c>
      <c r="AD1266" t="s">
        <v>20831</v>
      </c>
      <c r="AE1266" t="s">
        <v>20832</v>
      </c>
      <c r="AG1266">
        <v>98</v>
      </c>
      <c r="AH1266">
        <v>18</v>
      </c>
      <c r="AI1266">
        <v>19</v>
      </c>
      <c r="AJ1266">
        <v>0</v>
      </c>
      <c r="AK1266">
        <v>31</v>
      </c>
      <c r="AL1266" t="s">
        <v>430</v>
      </c>
      <c r="AM1266" t="s">
        <v>137</v>
      </c>
      <c r="AN1266" t="s">
        <v>431</v>
      </c>
      <c r="AO1266" t="s">
        <v>432</v>
      </c>
      <c r="AP1266" t="s">
        <v>1394</v>
      </c>
      <c r="AR1266" t="s">
        <v>433</v>
      </c>
      <c r="AS1266" t="s">
        <v>434</v>
      </c>
      <c r="AT1266" t="s">
        <v>2303</v>
      </c>
      <c r="AU1266">
        <v>2021</v>
      </c>
      <c r="AV1266">
        <v>290</v>
      </c>
      <c r="BD1266">
        <v>118012</v>
      </c>
      <c r="BE1266" t="s">
        <v>20833</v>
      </c>
      <c r="BF1266" t="s">
        <v>20834</v>
      </c>
      <c r="BH1266" t="s">
        <v>2955</v>
      </c>
      <c r="BI1266">
        <v>10</v>
      </c>
      <c r="BJ1266" t="s">
        <v>144</v>
      </c>
      <c r="BK1266" t="s">
        <v>96</v>
      </c>
      <c r="BL1266" t="s">
        <v>145</v>
      </c>
      <c r="BM1266" t="s">
        <v>20835</v>
      </c>
      <c r="BN1266">
        <v>34482248</v>
      </c>
      <c r="BO1266" t="s">
        <v>9583</v>
      </c>
      <c r="BR1266" t="s">
        <v>98</v>
      </c>
      <c r="BS1266" t="s">
        <v>20836</v>
      </c>
      <c r="BT1266" t="s">
        <v>16602</v>
      </c>
    </row>
    <row r="1267" spans="1:72">
      <c r="A1267" t="s">
        <v>72</v>
      </c>
      <c r="B1267" t="s">
        <v>20837</v>
      </c>
      <c r="F1267" t="s">
        <v>20837</v>
      </c>
      <c r="I1267" t="s">
        <v>20838</v>
      </c>
      <c r="J1267" t="s">
        <v>704</v>
      </c>
      <c r="M1267" t="s">
        <v>78</v>
      </c>
      <c r="N1267" t="s">
        <v>79</v>
      </c>
      <c r="U1267" t="s">
        <v>20839</v>
      </c>
      <c r="V1267" t="s">
        <v>20840</v>
      </c>
      <c r="Y1267" t="s">
        <v>20841</v>
      </c>
      <c r="AA1267" t="s">
        <v>20842</v>
      </c>
      <c r="AB1267" t="s">
        <v>20843</v>
      </c>
      <c r="AG1267">
        <v>16</v>
      </c>
      <c r="AH1267">
        <v>26</v>
      </c>
      <c r="AI1267">
        <v>26</v>
      </c>
      <c r="AJ1267">
        <v>2</v>
      </c>
      <c r="AK1267">
        <v>15</v>
      </c>
      <c r="AL1267" t="s">
        <v>112</v>
      </c>
      <c r="AM1267" t="s">
        <v>191</v>
      </c>
      <c r="AN1267" t="s">
        <v>192</v>
      </c>
      <c r="AO1267" t="s">
        <v>718</v>
      </c>
      <c r="AR1267" t="s">
        <v>719</v>
      </c>
      <c r="AS1267" t="s">
        <v>720</v>
      </c>
      <c r="AT1267" t="s">
        <v>119</v>
      </c>
      <c r="AU1267">
        <v>1991</v>
      </c>
      <c r="AV1267" t="s">
        <v>15678</v>
      </c>
      <c r="BB1267">
        <v>645</v>
      </c>
      <c r="BC1267">
        <v>653</v>
      </c>
      <c r="BE1267" t="s">
        <v>20844</v>
      </c>
      <c r="BF1267" t="s">
        <v>20845</v>
      </c>
      <c r="BI1267">
        <v>9</v>
      </c>
      <c r="BJ1267" t="s">
        <v>722</v>
      </c>
      <c r="BK1267" t="s">
        <v>96</v>
      </c>
      <c r="BL1267" t="s">
        <v>723</v>
      </c>
      <c r="BM1267" t="s">
        <v>15680</v>
      </c>
      <c r="BR1267" t="s">
        <v>98</v>
      </c>
      <c r="BS1267" t="s">
        <v>20846</v>
      </c>
      <c r="BT1267" t="s">
        <v>16602</v>
      </c>
    </row>
    <row r="1268" spans="1:72">
      <c r="A1268" t="s">
        <v>72</v>
      </c>
      <c r="B1268" t="s">
        <v>20847</v>
      </c>
      <c r="F1268" t="s">
        <v>20848</v>
      </c>
      <c r="I1268" t="s">
        <v>20849</v>
      </c>
      <c r="J1268" t="s">
        <v>20850</v>
      </c>
      <c r="M1268" t="s">
        <v>78</v>
      </c>
      <c r="N1268" t="s">
        <v>79</v>
      </c>
      <c r="U1268" t="s">
        <v>20851</v>
      </c>
      <c r="V1268" t="s">
        <v>20852</v>
      </c>
      <c r="W1268" t="s">
        <v>20853</v>
      </c>
      <c r="X1268" t="s">
        <v>20854</v>
      </c>
      <c r="Y1268" t="s">
        <v>20855</v>
      </c>
      <c r="Z1268" t="s">
        <v>20856</v>
      </c>
      <c r="AA1268" t="s">
        <v>20857</v>
      </c>
      <c r="AC1268" t="s">
        <v>20858</v>
      </c>
      <c r="AD1268" t="s">
        <v>20859</v>
      </c>
      <c r="AE1268" t="s">
        <v>20860</v>
      </c>
      <c r="AG1268">
        <v>63</v>
      </c>
      <c r="AH1268">
        <v>24</v>
      </c>
      <c r="AI1268">
        <v>29</v>
      </c>
      <c r="AJ1268">
        <v>1</v>
      </c>
      <c r="AK1268">
        <v>107</v>
      </c>
      <c r="AL1268" t="s">
        <v>261</v>
      </c>
      <c r="AM1268" t="s">
        <v>262</v>
      </c>
      <c r="AN1268" t="s">
        <v>19471</v>
      </c>
      <c r="AO1268" t="s">
        <v>20861</v>
      </c>
      <c r="AP1268" t="s">
        <v>20862</v>
      </c>
      <c r="AR1268" t="s">
        <v>20863</v>
      </c>
      <c r="AS1268" t="s">
        <v>20864</v>
      </c>
      <c r="AU1268">
        <v>2013</v>
      </c>
      <c r="AV1268">
        <v>15</v>
      </c>
      <c r="AW1268">
        <v>4</v>
      </c>
      <c r="BB1268">
        <v>860</v>
      </c>
      <c r="BC1268">
        <v>869</v>
      </c>
      <c r="BE1268" t="s">
        <v>20865</v>
      </c>
      <c r="BF1268" t="s">
        <v>20866</v>
      </c>
      <c r="BI1268">
        <v>10</v>
      </c>
      <c r="BJ1268" t="s">
        <v>269</v>
      </c>
      <c r="BK1268" t="s">
        <v>96</v>
      </c>
      <c r="BL1268" t="s">
        <v>270</v>
      </c>
      <c r="BM1268" t="s">
        <v>20867</v>
      </c>
      <c r="BN1268">
        <v>23483045</v>
      </c>
      <c r="BR1268" t="s">
        <v>98</v>
      </c>
      <c r="BS1268" t="s">
        <v>20868</v>
      </c>
      <c r="BT1268" t="s">
        <v>16602</v>
      </c>
    </row>
    <row r="1269" spans="1:72">
      <c r="A1269" t="s">
        <v>72</v>
      </c>
      <c r="B1269" t="s">
        <v>20869</v>
      </c>
      <c r="F1269" t="s">
        <v>20870</v>
      </c>
      <c r="I1269" t="s">
        <v>20871</v>
      </c>
      <c r="J1269" t="s">
        <v>752</v>
      </c>
      <c r="M1269" t="s">
        <v>78</v>
      </c>
      <c r="N1269" t="s">
        <v>79</v>
      </c>
      <c r="T1269" t="s">
        <v>20872</v>
      </c>
      <c r="U1269" t="s">
        <v>20873</v>
      </c>
      <c r="V1269" t="s">
        <v>20874</v>
      </c>
      <c r="W1269" t="s">
        <v>20875</v>
      </c>
      <c r="X1269" t="s">
        <v>13010</v>
      </c>
      <c r="Y1269" t="s">
        <v>20876</v>
      </c>
      <c r="Z1269" t="s">
        <v>13012</v>
      </c>
      <c r="AA1269" t="s">
        <v>20877</v>
      </c>
      <c r="AB1269" t="s">
        <v>20878</v>
      </c>
      <c r="AC1269" t="s">
        <v>20879</v>
      </c>
      <c r="AD1269" t="s">
        <v>20880</v>
      </c>
      <c r="AE1269" t="s">
        <v>20881</v>
      </c>
      <c r="AG1269">
        <v>93</v>
      </c>
      <c r="AH1269">
        <v>6</v>
      </c>
      <c r="AI1269">
        <v>6</v>
      </c>
      <c r="AJ1269">
        <v>1</v>
      </c>
      <c r="AK1269">
        <v>14</v>
      </c>
      <c r="AL1269" t="s">
        <v>430</v>
      </c>
      <c r="AM1269" t="s">
        <v>137</v>
      </c>
      <c r="AN1269" t="s">
        <v>431</v>
      </c>
      <c r="AO1269" t="s">
        <v>761</v>
      </c>
      <c r="AP1269" t="s">
        <v>762</v>
      </c>
      <c r="AR1269" t="s">
        <v>763</v>
      </c>
      <c r="AS1269" t="s">
        <v>764</v>
      </c>
      <c r="AT1269" t="s">
        <v>1470</v>
      </c>
      <c r="AU1269">
        <v>2023</v>
      </c>
      <c r="AV1269">
        <v>183</v>
      </c>
      <c r="BD1269">
        <v>105834</v>
      </c>
      <c r="BE1269" t="s">
        <v>20882</v>
      </c>
      <c r="BF1269" t="s">
        <v>20883</v>
      </c>
      <c r="BH1269" t="s">
        <v>4283</v>
      </c>
      <c r="BI1269">
        <v>12</v>
      </c>
      <c r="BJ1269" t="s">
        <v>768</v>
      </c>
      <c r="BK1269" t="s">
        <v>96</v>
      </c>
      <c r="BL1269" t="s">
        <v>769</v>
      </c>
      <c r="BM1269" t="s">
        <v>20884</v>
      </c>
      <c r="BN1269">
        <v>36521302</v>
      </c>
      <c r="BR1269" t="s">
        <v>98</v>
      </c>
      <c r="BS1269" t="s">
        <v>20885</v>
      </c>
      <c r="BT1269" t="s">
        <v>16602</v>
      </c>
    </row>
    <row r="1270" spans="1:72">
      <c r="A1270" t="s">
        <v>72</v>
      </c>
      <c r="B1270" t="s">
        <v>20886</v>
      </c>
      <c r="F1270" t="s">
        <v>20887</v>
      </c>
      <c r="I1270" t="s">
        <v>20888</v>
      </c>
      <c r="J1270" t="s">
        <v>1756</v>
      </c>
      <c r="M1270" t="s">
        <v>78</v>
      </c>
      <c r="N1270" t="s">
        <v>79</v>
      </c>
      <c r="T1270" t="s">
        <v>20889</v>
      </c>
      <c r="U1270" t="s">
        <v>20890</v>
      </c>
      <c r="V1270" t="s">
        <v>20891</v>
      </c>
      <c r="W1270" t="s">
        <v>20892</v>
      </c>
      <c r="X1270" t="s">
        <v>20893</v>
      </c>
      <c r="Y1270" t="s">
        <v>20894</v>
      </c>
      <c r="Z1270" t="s">
        <v>1483</v>
      </c>
      <c r="AA1270" t="s">
        <v>2900</v>
      </c>
      <c r="AB1270" t="s">
        <v>2183</v>
      </c>
      <c r="AC1270" t="s">
        <v>20895</v>
      </c>
      <c r="AD1270" t="s">
        <v>20896</v>
      </c>
      <c r="AE1270" t="s">
        <v>20897</v>
      </c>
      <c r="AG1270">
        <v>34</v>
      </c>
      <c r="AH1270">
        <v>13</v>
      </c>
      <c r="AI1270">
        <v>13</v>
      </c>
      <c r="AJ1270">
        <v>0</v>
      </c>
      <c r="AK1270">
        <v>26</v>
      </c>
      <c r="AL1270" t="s">
        <v>86</v>
      </c>
      <c r="AM1270" t="s">
        <v>87</v>
      </c>
      <c r="AN1270" t="s">
        <v>88</v>
      </c>
      <c r="AO1270" t="s">
        <v>1764</v>
      </c>
      <c r="AP1270" t="s">
        <v>1765</v>
      </c>
      <c r="AR1270" t="s">
        <v>1766</v>
      </c>
      <c r="AS1270" t="s">
        <v>1767</v>
      </c>
      <c r="AT1270" t="s">
        <v>305</v>
      </c>
      <c r="AU1270">
        <v>2017</v>
      </c>
      <c r="AV1270">
        <v>36</v>
      </c>
      <c r="AW1270">
        <v>9</v>
      </c>
      <c r="BB1270">
        <v>2428</v>
      </c>
      <c r="BC1270">
        <v>2435</v>
      </c>
      <c r="BE1270" t="s">
        <v>20898</v>
      </c>
      <c r="BF1270" t="s">
        <v>20899</v>
      </c>
      <c r="BI1270">
        <v>8</v>
      </c>
      <c r="BJ1270" t="s">
        <v>121</v>
      </c>
      <c r="BK1270" t="s">
        <v>96</v>
      </c>
      <c r="BL1270" t="s">
        <v>122</v>
      </c>
      <c r="BM1270" t="s">
        <v>20900</v>
      </c>
      <c r="BN1270">
        <v>28252223</v>
      </c>
      <c r="BR1270" t="s">
        <v>98</v>
      </c>
      <c r="BS1270" t="s">
        <v>20901</v>
      </c>
      <c r="BT1270" t="s">
        <v>16602</v>
      </c>
    </row>
    <row r="1271" spans="1:72">
      <c r="A1271" t="s">
        <v>72</v>
      </c>
      <c r="B1271" t="s">
        <v>20902</v>
      </c>
      <c r="F1271" t="s">
        <v>20903</v>
      </c>
      <c r="I1271" t="s">
        <v>20904</v>
      </c>
      <c r="J1271" t="s">
        <v>12106</v>
      </c>
      <c r="M1271" t="s">
        <v>78</v>
      </c>
      <c r="N1271" t="s">
        <v>79</v>
      </c>
      <c r="T1271" t="s">
        <v>20905</v>
      </c>
      <c r="U1271" t="s">
        <v>20906</v>
      </c>
      <c r="V1271" t="s">
        <v>20907</v>
      </c>
      <c r="W1271" t="s">
        <v>20908</v>
      </c>
      <c r="Y1271" t="s">
        <v>20909</v>
      </c>
      <c r="Z1271" t="s">
        <v>20910</v>
      </c>
      <c r="AA1271" t="s">
        <v>20911</v>
      </c>
      <c r="AB1271" t="s">
        <v>20912</v>
      </c>
      <c r="AC1271" t="s">
        <v>20913</v>
      </c>
      <c r="AD1271" t="s">
        <v>20913</v>
      </c>
      <c r="AE1271" t="s">
        <v>20914</v>
      </c>
      <c r="AG1271">
        <v>28</v>
      </c>
      <c r="AH1271">
        <v>5</v>
      </c>
      <c r="AI1271">
        <v>5</v>
      </c>
      <c r="AJ1271">
        <v>0</v>
      </c>
      <c r="AK1271">
        <v>16</v>
      </c>
      <c r="AL1271" t="s">
        <v>20915</v>
      </c>
      <c r="AM1271" t="s">
        <v>2361</v>
      </c>
      <c r="AN1271" t="s">
        <v>20916</v>
      </c>
      <c r="AO1271" t="s">
        <v>12119</v>
      </c>
      <c r="AP1271" t="s">
        <v>12120</v>
      </c>
      <c r="AR1271" t="s">
        <v>12121</v>
      </c>
      <c r="AS1271" t="s">
        <v>12122</v>
      </c>
      <c r="AT1271" t="s">
        <v>20917</v>
      </c>
      <c r="AU1271">
        <v>2014</v>
      </c>
      <c r="AV1271">
        <v>8</v>
      </c>
      <c r="AW1271">
        <v>2</v>
      </c>
      <c r="BB1271">
        <v>297</v>
      </c>
      <c r="BC1271">
        <v>304</v>
      </c>
      <c r="BI1271">
        <v>8</v>
      </c>
      <c r="BJ1271" t="s">
        <v>144</v>
      </c>
      <c r="BK1271" t="s">
        <v>96</v>
      </c>
      <c r="BL1271" t="s">
        <v>145</v>
      </c>
      <c r="BM1271" t="s">
        <v>20918</v>
      </c>
      <c r="BR1271" t="s">
        <v>98</v>
      </c>
      <c r="BS1271" t="s">
        <v>20919</v>
      </c>
      <c r="BT1271" t="s">
        <v>16602</v>
      </c>
    </row>
    <row r="1272" spans="1:72">
      <c r="A1272" t="s">
        <v>72</v>
      </c>
      <c r="B1272" t="s">
        <v>20920</v>
      </c>
      <c r="F1272" t="s">
        <v>20921</v>
      </c>
      <c r="I1272" t="s">
        <v>20922</v>
      </c>
      <c r="J1272" t="s">
        <v>3349</v>
      </c>
      <c r="M1272" t="s">
        <v>78</v>
      </c>
      <c r="N1272" t="s">
        <v>79</v>
      </c>
      <c r="T1272" t="s">
        <v>20923</v>
      </c>
      <c r="U1272" t="s">
        <v>20924</v>
      </c>
      <c r="V1272" t="s">
        <v>20925</v>
      </c>
      <c r="W1272" t="s">
        <v>20926</v>
      </c>
      <c r="X1272" t="s">
        <v>20927</v>
      </c>
      <c r="Y1272" t="s">
        <v>20928</v>
      </c>
      <c r="Z1272" t="s">
        <v>12809</v>
      </c>
      <c r="AA1272" t="s">
        <v>13028</v>
      </c>
      <c r="AB1272" t="s">
        <v>13029</v>
      </c>
      <c r="AC1272" t="s">
        <v>20929</v>
      </c>
      <c r="AD1272" t="s">
        <v>20930</v>
      </c>
      <c r="AE1272" t="s">
        <v>20931</v>
      </c>
      <c r="AG1272">
        <v>44</v>
      </c>
      <c r="AH1272">
        <v>39</v>
      </c>
      <c r="AI1272">
        <v>51</v>
      </c>
      <c r="AJ1272">
        <v>3</v>
      </c>
      <c r="AK1272">
        <v>17</v>
      </c>
      <c r="AL1272" t="s">
        <v>3362</v>
      </c>
      <c r="AM1272" t="s">
        <v>3363</v>
      </c>
      <c r="AN1272" t="s">
        <v>3364</v>
      </c>
      <c r="AO1272" t="s">
        <v>3365</v>
      </c>
      <c r="AP1272" t="s">
        <v>3366</v>
      </c>
      <c r="AR1272" t="s">
        <v>3367</v>
      </c>
      <c r="AS1272" t="s">
        <v>3368</v>
      </c>
      <c r="AT1272" t="s">
        <v>267</v>
      </c>
      <c r="AU1272">
        <v>2009</v>
      </c>
      <c r="AV1272">
        <v>72</v>
      </c>
      <c r="AW1272">
        <v>7</v>
      </c>
      <c r="BB1272">
        <v>1893</v>
      </c>
      <c r="BC1272">
        <v>1898</v>
      </c>
      <c r="BE1272" t="s">
        <v>20932</v>
      </c>
      <c r="BF1272" t="s">
        <v>20933</v>
      </c>
      <c r="BI1272">
        <v>6</v>
      </c>
      <c r="BJ1272" t="s">
        <v>121</v>
      </c>
      <c r="BK1272" t="s">
        <v>96</v>
      </c>
      <c r="BL1272" t="s">
        <v>122</v>
      </c>
      <c r="BM1272" t="s">
        <v>20934</v>
      </c>
      <c r="BN1272">
        <v>19501399</v>
      </c>
      <c r="BR1272" t="s">
        <v>98</v>
      </c>
      <c r="BS1272" t="s">
        <v>20935</v>
      </c>
      <c r="BT1272" t="s">
        <v>16602</v>
      </c>
    </row>
    <row r="1273" spans="1:72">
      <c r="A1273" t="s">
        <v>72</v>
      </c>
      <c r="B1273" t="s">
        <v>20936</v>
      </c>
      <c r="F1273" t="s">
        <v>20937</v>
      </c>
      <c r="I1273" t="s">
        <v>20938</v>
      </c>
      <c r="J1273" t="s">
        <v>595</v>
      </c>
      <c r="M1273" t="s">
        <v>78</v>
      </c>
      <c r="N1273" t="s">
        <v>79</v>
      </c>
      <c r="T1273" t="s">
        <v>20939</v>
      </c>
      <c r="U1273" t="s">
        <v>20940</v>
      </c>
      <c r="V1273" t="s">
        <v>20941</v>
      </c>
      <c r="W1273" t="s">
        <v>20942</v>
      </c>
      <c r="X1273" t="s">
        <v>20943</v>
      </c>
      <c r="Y1273" t="s">
        <v>20944</v>
      </c>
      <c r="Z1273" t="s">
        <v>20945</v>
      </c>
      <c r="AA1273" t="s">
        <v>20946</v>
      </c>
      <c r="AB1273" t="s">
        <v>20947</v>
      </c>
      <c r="AC1273" t="s">
        <v>20948</v>
      </c>
      <c r="AD1273" t="s">
        <v>20949</v>
      </c>
      <c r="AE1273" t="s">
        <v>20950</v>
      </c>
      <c r="AG1273">
        <v>85</v>
      </c>
      <c r="AH1273">
        <v>13</v>
      </c>
      <c r="AI1273">
        <v>15</v>
      </c>
      <c r="AJ1273">
        <v>1</v>
      </c>
      <c r="AK1273">
        <v>51</v>
      </c>
      <c r="AL1273" t="s">
        <v>112</v>
      </c>
      <c r="AM1273" t="s">
        <v>191</v>
      </c>
      <c r="AN1273" t="s">
        <v>192</v>
      </c>
      <c r="AO1273" t="s">
        <v>608</v>
      </c>
      <c r="AP1273" t="s">
        <v>609</v>
      </c>
      <c r="AR1273" t="s">
        <v>595</v>
      </c>
      <c r="AS1273" t="s">
        <v>610</v>
      </c>
      <c r="AT1273" t="s">
        <v>170</v>
      </c>
      <c r="AU1273">
        <v>2017</v>
      </c>
      <c r="AV1273">
        <v>26</v>
      </c>
      <c r="AW1273">
        <v>4</v>
      </c>
      <c r="BB1273">
        <v>534</v>
      </c>
      <c r="BC1273">
        <v>546</v>
      </c>
      <c r="BE1273" t="s">
        <v>20951</v>
      </c>
      <c r="BF1273" t="s">
        <v>20952</v>
      </c>
      <c r="BI1273">
        <v>13</v>
      </c>
      <c r="BJ1273" t="s">
        <v>612</v>
      </c>
      <c r="BK1273" t="s">
        <v>96</v>
      </c>
      <c r="BL1273" t="s">
        <v>122</v>
      </c>
      <c r="BM1273" t="s">
        <v>20953</v>
      </c>
      <c r="BN1273">
        <v>28353160</v>
      </c>
      <c r="BR1273" t="s">
        <v>98</v>
      </c>
      <c r="BS1273" t="s">
        <v>20954</v>
      </c>
      <c r="BT1273" t="s">
        <v>16602</v>
      </c>
    </row>
    <row r="1274" spans="1:72">
      <c r="A1274" t="s">
        <v>72</v>
      </c>
      <c r="B1274" t="s">
        <v>20955</v>
      </c>
      <c r="F1274" t="s">
        <v>20955</v>
      </c>
      <c r="I1274" t="s">
        <v>20956</v>
      </c>
      <c r="J1274" t="s">
        <v>20957</v>
      </c>
      <c r="M1274" t="s">
        <v>78</v>
      </c>
      <c r="N1274" t="s">
        <v>79</v>
      </c>
      <c r="U1274" t="s">
        <v>20958</v>
      </c>
      <c r="V1274" t="s">
        <v>20959</v>
      </c>
      <c r="W1274" t="s">
        <v>20960</v>
      </c>
      <c r="X1274" t="s">
        <v>20961</v>
      </c>
      <c r="AA1274" t="s">
        <v>20962</v>
      </c>
      <c r="AB1274" t="s">
        <v>20963</v>
      </c>
      <c r="AG1274">
        <v>48</v>
      </c>
      <c r="AH1274">
        <v>30</v>
      </c>
      <c r="AI1274">
        <v>31</v>
      </c>
      <c r="AJ1274">
        <v>0</v>
      </c>
      <c r="AK1274">
        <v>1</v>
      </c>
      <c r="AL1274" t="s">
        <v>20964</v>
      </c>
      <c r="AM1274" t="s">
        <v>13247</v>
      </c>
      <c r="AN1274" t="s">
        <v>20965</v>
      </c>
      <c r="AO1274" t="s">
        <v>20966</v>
      </c>
      <c r="AR1274" t="s">
        <v>20967</v>
      </c>
      <c r="AS1274" t="s">
        <v>20968</v>
      </c>
      <c r="AT1274" t="s">
        <v>1470</v>
      </c>
      <c r="AU1274">
        <v>1992</v>
      </c>
      <c r="AV1274">
        <v>49</v>
      </c>
      <c r="AW1274">
        <v>1</v>
      </c>
      <c r="BB1274">
        <v>142</v>
      </c>
      <c r="BC1274">
        <v>146</v>
      </c>
      <c r="BE1274" t="s">
        <v>20969</v>
      </c>
      <c r="BF1274" t="s">
        <v>20970</v>
      </c>
      <c r="BI1274">
        <v>5</v>
      </c>
      <c r="BJ1274" t="s">
        <v>2391</v>
      </c>
      <c r="BK1274" t="s">
        <v>96</v>
      </c>
      <c r="BL1274" t="s">
        <v>2391</v>
      </c>
      <c r="BM1274" t="s">
        <v>20971</v>
      </c>
      <c r="BR1274" t="s">
        <v>98</v>
      </c>
      <c r="BS1274" t="s">
        <v>20972</v>
      </c>
      <c r="BT1274" t="s">
        <v>16602</v>
      </c>
    </row>
    <row r="1275" spans="1:72">
      <c r="A1275" t="s">
        <v>72</v>
      </c>
      <c r="B1275" t="s">
        <v>20973</v>
      </c>
      <c r="F1275" t="s">
        <v>20974</v>
      </c>
      <c r="I1275" t="s">
        <v>20975</v>
      </c>
      <c r="J1275" t="s">
        <v>1337</v>
      </c>
      <c r="M1275" t="s">
        <v>78</v>
      </c>
      <c r="N1275" t="s">
        <v>79</v>
      </c>
      <c r="T1275" t="s">
        <v>20976</v>
      </c>
      <c r="U1275" t="s">
        <v>20977</v>
      </c>
      <c r="V1275" t="s">
        <v>20978</v>
      </c>
      <c r="W1275" t="s">
        <v>20979</v>
      </c>
      <c r="X1275" t="s">
        <v>646</v>
      </c>
      <c r="Y1275" t="s">
        <v>20980</v>
      </c>
      <c r="Z1275" t="s">
        <v>17992</v>
      </c>
      <c r="AA1275" t="s">
        <v>4408</v>
      </c>
      <c r="AB1275" t="s">
        <v>20981</v>
      </c>
      <c r="AC1275" t="s">
        <v>14326</v>
      </c>
      <c r="AD1275" t="s">
        <v>14327</v>
      </c>
      <c r="AE1275" t="s">
        <v>20982</v>
      </c>
      <c r="AG1275">
        <v>38</v>
      </c>
      <c r="AH1275">
        <v>9</v>
      </c>
      <c r="AI1275">
        <v>9</v>
      </c>
      <c r="AJ1275">
        <v>1</v>
      </c>
      <c r="AK1275">
        <v>5</v>
      </c>
      <c r="AL1275" t="s">
        <v>1350</v>
      </c>
      <c r="AM1275" t="s">
        <v>1351</v>
      </c>
      <c r="AN1275" t="s">
        <v>1352</v>
      </c>
      <c r="AP1275" t="s">
        <v>1353</v>
      </c>
      <c r="AR1275" t="s">
        <v>1354</v>
      </c>
      <c r="AS1275" t="s">
        <v>1355</v>
      </c>
      <c r="AU1275">
        <v>2017</v>
      </c>
      <c r="AV1275">
        <v>4</v>
      </c>
      <c r="BD1275">
        <v>58</v>
      </c>
      <c r="BE1275" t="s">
        <v>20983</v>
      </c>
      <c r="BF1275" t="s">
        <v>20984</v>
      </c>
      <c r="BI1275">
        <v>12</v>
      </c>
      <c r="BJ1275" t="s">
        <v>247</v>
      </c>
      <c r="BK1275" t="s">
        <v>96</v>
      </c>
      <c r="BL1275" t="s">
        <v>248</v>
      </c>
      <c r="BM1275" t="s">
        <v>20985</v>
      </c>
      <c r="BO1275" t="s">
        <v>873</v>
      </c>
      <c r="BR1275" t="s">
        <v>98</v>
      </c>
      <c r="BS1275" t="s">
        <v>20986</v>
      </c>
      <c r="BT1275" t="s">
        <v>16602</v>
      </c>
    </row>
    <row r="1276" spans="1:72">
      <c r="A1276" t="s">
        <v>72</v>
      </c>
      <c r="B1276" t="s">
        <v>20987</v>
      </c>
      <c r="F1276" t="s">
        <v>20988</v>
      </c>
      <c r="I1276" t="s">
        <v>20989</v>
      </c>
      <c r="J1276" t="s">
        <v>20990</v>
      </c>
      <c r="M1276" t="s">
        <v>78</v>
      </c>
      <c r="N1276" t="s">
        <v>79</v>
      </c>
      <c r="U1276" t="s">
        <v>20991</v>
      </c>
      <c r="V1276" t="s">
        <v>20992</v>
      </c>
      <c r="W1276" t="s">
        <v>20993</v>
      </c>
      <c r="X1276" t="s">
        <v>20994</v>
      </c>
      <c r="Y1276" t="s">
        <v>20995</v>
      </c>
      <c r="Z1276" t="s">
        <v>20996</v>
      </c>
      <c r="AA1276" t="s">
        <v>20997</v>
      </c>
      <c r="AB1276" t="s">
        <v>20998</v>
      </c>
      <c r="AC1276" t="s">
        <v>20999</v>
      </c>
      <c r="AD1276" t="s">
        <v>21000</v>
      </c>
      <c r="AE1276" t="s">
        <v>21001</v>
      </c>
      <c r="AG1276">
        <v>49</v>
      </c>
      <c r="AH1276">
        <v>9</v>
      </c>
      <c r="AI1276">
        <v>10</v>
      </c>
      <c r="AJ1276">
        <v>19</v>
      </c>
      <c r="AK1276">
        <v>93</v>
      </c>
      <c r="AL1276" t="s">
        <v>21002</v>
      </c>
      <c r="AM1276" t="s">
        <v>21003</v>
      </c>
      <c r="AN1276" t="s">
        <v>21004</v>
      </c>
      <c r="AO1276" t="s">
        <v>21005</v>
      </c>
      <c r="AP1276" t="s">
        <v>21006</v>
      </c>
      <c r="AR1276" t="s">
        <v>21007</v>
      </c>
      <c r="AS1276" t="s">
        <v>21008</v>
      </c>
      <c r="AT1276" t="s">
        <v>11061</v>
      </c>
      <c r="AU1276">
        <v>2022</v>
      </c>
      <c r="AV1276">
        <v>8</v>
      </c>
      <c r="AW1276">
        <v>1</v>
      </c>
      <c r="BB1276">
        <v>409</v>
      </c>
      <c r="BC1276">
        <v>419</v>
      </c>
      <c r="BE1276" t="s">
        <v>21009</v>
      </c>
      <c r="BF1276" t="s">
        <v>21010</v>
      </c>
      <c r="BI1276">
        <v>11</v>
      </c>
      <c r="BJ1276" t="s">
        <v>5135</v>
      </c>
      <c r="BK1276" t="s">
        <v>96</v>
      </c>
      <c r="BL1276" t="s">
        <v>4121</v>
      </c>
      <c r="BM1276" t="s">
        <v>21011</v>
      </c>
      <c r="BO1276" t="s">
        <v>12986</v>
      </c>
      <c r="BR1276" t="s">
        <v>98</v>
      </c>
      <c r="BS1276" t="s">
        <v>21012</v>
      </c>
      <c r="BT1276" t="s">
        <v>16602</v>
      </c>
    </row>
    <row r="1277" spans="1:72">
      <c r="A1277" t="s">
        <v>72</v>
      </c>
      <c r="B1277" t="s">
        <v>21013</v>
      </c>
      <c r="F1277" t="s">
        <v>21014</v>
      </c>
      <c r="I1277" t="s">
        <v>21015</v>
      </c>
      <c r="J1277" t="s">
        <v>421</v>
      </c>
      <c r="M1277" t="s">
        <v>78</v>
      </c>
      <c r="N1277" t="s">
        <v>79</v>
      </c>
      <c r="T1277" t="s">
        <v>21016</v>
      </c>
      <c r="U1277" t="s">
        <v>21017</v>
      </c>
      <c r="V1277" t="s">
        <v>21018</v>
      </c>
      <c r="W1277" t="s">
        <v>21019</v>
      </c>
      <c r="X1277" t="s">
        <v>21020</v>
      </c>
      <c r="Y1277" t="s">
        <v>21021</v>
      </c>
      <c r="Z1277" t="s">
        <v>21022</v>
      </c>
      <c r="AA1277" t="s">
        <v>21023</v>
      </c>
      <c r="AB1277" t="s">
        <v>21024</v>
      </c>
      <c r="AC1277" t="s">
        <v>21025</v>
      </c>
      <c r="AD1277" t="s">
        <v>21026</v>
      </c>
      <c r="AE1277" t="s">
        <v>21027</v>
      </c>
      <c r="AG1277">
        <v>71</v>
      </c>
      <c r="AH1277">
        <v>7</v>
      </c>
      <c r="AI1277">
        <v>8</v>
      </c>
      <c r="AJ1277">
        <v>7</v>
      </c>
      <c r="AK1277">
        <v>26</v>
      </c>
      <c r="AL1277" t="s">
        <v>430</v>
      </c>
      <c r="AM1277" t="s">
        <v>137</v>
      </c>
      <c r="AN1277" t="s">
        <v>431</v>
      </c>
      <c r="AO1277" t="s">
        <v>432</v>
      </c>
      <c r="AP1277" t="s">
        <v>1394</v>
      </c>
      <c r="AR1277" t="s">
        <v>433</v>
      </c>
      <c r="AS1277" t="s">
        <v>434</v>
      </c>
      <c r="AT1277" t="s">
        <v>325</v>
      </c>
      <c r="AU1277">
        <v>2021</v>
      </c>
      <c r="AV1277">
        <v>287</v>
      </c>
      <c r="BD1277">
        <v>117645</v>
      </c>
      <c r="BE1277" t="s">
        <v>21028</v>
      </c>
      <c r="BF1277" t="s">
        <v>21029</v>
      </c>
      <c r="BH1277" t="s">
        <v>4940</v>
      </c>
      <c r="BI1277">
        <v>10</v>
      </c>
      <c r="BJ1277" t="s">
        <v>144</v>
      </c>
      <c r="BK1277" t="s">
        <v>96</v>
      </c>
      <c r="BL1277" t="s">
        <v>145</v>
      </c>
      <c r="BM1277" t="s">
        <v>21030</v>
      </c>
      <c r="BN1277">
        <v>34426373</v>
      </c>
      <c r="BO1277" t="s">
        <v>1752</v>
      </c>
      <c r="BR1277" t="s">
        <v>98</v>
      </c>
      <c r="BS1277" t="s">
        <v>21031</v>
      </c>
      <c r="BT1277" t="s">
        <v>16602</v>
      </c>
    </row>
    <row r="1278" spans="1:72">
      <c r="A1278" t="s">
        <v>72</v>
      </c>
      <c r="B1278" t="s">
        <v>21032</v>
      </c>
      <c r="F1278" t="s">
        <v>21033</v>
      </c>
      <c r="I1278" t="s">
        <v>21034</v>
      </c>
      <c r="J1278" t="s">
        <v>21035</v>
      </c>
      <c r="M1278" t="s">
        <v>78</v>
      </c>
      <c r="N1278" t="s">
        <v>79</v>
      </c>
      <c r="T1278" t="s">
        <v>21036</v>
      </c>
      <c r="U1278" t="s">
        <v>21037</v>
      </c>
      <c r="V1278" t="s">
        <v>21038</v>
      </c>
      <c r="W1278" t="s">
        <v>21039</v>
      </c>
      <c r="X1278" t="s">
        <v>21040</v>
      </c>
      <c r="Y1278" t="s">
        <v>21041</v>
      </c>
      <c r="Z1278" t="s">
        <v>21042</v>
      </c>
      <c r="AG1278">
        <v>79</v>
      </c>
      <c r="AH1278">
        <v>19</v>
      </c>
      <c r="AI1278">
        <v>20</v>
      </c>
      <c r="AJ1278">
        <v>0</v>
      </c>
      <c r="AK1278">
        <v>32</v>
      </c>
      <c r="AL1278" t="s">
        <v>650</v>
      </c>
      <c r="AM1278" t="s">
        <v>651</v>
      </c>
      <c r="AN1278" t="s">
        <v>652</v>
      </c>
      <c r="AO1278" t="s">
        <v>21043</v>
      </c>
      <c r="AP1278" t="s">
        <v>21044</v>
      </c>
      <c r="AR1278" t="s">
        <v>21045</v>
      </c>
      <c r="AS1278" t="s">
        <v>21046</v>
      </c>
      <c r="AT1278" t="s">
        <v>4921</v>
      </c>
      <c r="AU1278">
        <v>2013</v>
      </c>
      <c r="AV1278">
        <v>126</v>
      </c>
      <c r="BB1278">
        <v>1</v>
      </c>
      <c r="BC1278">
        <v>22</v>
      </c>
      <c r="BE1278" t="s">
        <v>21047</v>
      </c>
      <c r="BF1278" t="s">
        <v>21048</v>
      </c>
      <c r="BI1278">
        <v>22</v>
      </c>
      <c r="BJ1278" t="s">
        <v>9863</v>
      </c>
      <c r="BK1278" t="s">
        <v>96</v>
      </c>
      <c r="BL1278" t="s">
        <v>9863</v>
      </c>
      <c r="BM1278" t="s">
        <v>21049</v>
      </c>
      <c r="BR1278" t="s">
        <v>98</v>
      </c>
      <c r="BS1278" t="s">
        <v>21050</v>
      </c>
      <c r="BT1278" t="s">
        <v>16602</v>
      </c>
    </row>
    <row r="1279" spans="1:72">
      <c r="A1279" t="s">
        <v>72</v>
      </c>
      <c r="B1279" t="s">
        <v>21051</v>
      </c>
      <c r="F1279" t="s">
        <v>21052</v>
      </c>
      <c r="I1279" t="s">
        <v>21053</v>
      </c>
      <c r="J1279" t="s">
        <v>909</v>
      </c>
      <c r="M1279" t="s">
        <v>78</v>
      </c>
      <c r="N1279" t="s">
        <v>79</v>
      </c>
      <c r="T1279" t="s">
        <v>21054</v>
      </c>
      <c r="U1279" t="s">
        <v>21055</v>
      </c>
      <c r="V1279" t="s">
        <v>21056</v>
      </c>
      <c r="W1279" t="s">
        <v>21057</v>
      </c>
      <c r="X1279" t="s">
        <v>21058</v>
      </c>
      <c r="Y1279" t="s">
        <v>21059</v>
      </c>
      <c r="Z1279" t="s">
        <v>21060</v>
      </c>
      <c r="AA1279" t="s">
        <v>21061</v>
      </c>
      <c r="AB1279" t="s">
        <v>21062</v>
      </c>
      <c r="AC1279" t="s">
        <v>21063</v>
      </c>
      <c r="AD1279" t="s">
        <v>21064</v>
      </c>
      <c r="AE1279" t="s">
        <v>21065</v>
      </c>
      <c r="AG1279">
        <v>89</v>
      </c>
      <c r="AH1279">
        <v>0</v>
      </c>
      <c r="AI1279">
        <v>0</v>
      </c>
      <c r="AJ1279">
        <v>14</v>
      </c>
      <c r="AK1279">
        <v>14</v>
      </c>
      <c r="AL1279" t="s">
        <v>650</v>
      </c>
      <c r="AM1279" t="s">
        <v>651</v>
      </c>
      <c r="AN1279" t="s">
        <v>652</v>
      </c>
      <c r="AO1279" t="s">
        <v>921</v>
      </c>
      <c r="AP1279" t="s">
        <v>922</v>
      </c>
      <c r="AR1279" t="s">
        <v>923</v>
      </c>
      <c r="AS1279" t="s">
        <v>924</v>
      </c>
      <c r="AT1279" t="s">
        <v>2257</v>
      </c>
      <c r="AU1279">
        <v>2024</v>
      </c>
      <c r="AV1279">
        <v>936</v>
      </c>
      <c r="BD1279">
        <v>173505</v>
      </c>
      <c r="BE1279" t="s">
        <v>21066</v>
      </c>
      <c r="BF1279" t="s">
        <v>21067</v>
      </c>
      <c r="BH1279" t="s">
        <v>11425</v>
      </c>
      <c r="BI1279">
        <v>12</v>
      </c>
      <c r="BJ1279" t="s">
        <v>144</v>
      </c>
      <c r="BK1279" t="s">
        <v>96</v>
      </c>
      <c r="BL1279" t="s">
        <v>145</v>
      </c>
      <c r="BM1279" t="s">
        <v>21068</v>
      </c>
      <c r="BN1279">
        <v>38797408</v>
      </c>
      <c r="BR1279" t="s">
        <v>98</v>
      </c>
      <c r="BS1279" t="s">
        <v>21069</v>
      </c>
      <c r="BT1279" t="s">
        <v>16602</v>
      </c>
    </row>
    <row r="1280" spans="1:72">
      <c r="A1280" t="s">
        <v>72</v>
      </c>
      <c r="B1280" t="s">
        <v>21070</v>
      </c>
      <c r="F1280" t="s">
        <v>21071</v>
      </c>
      <c r="I1280" t="s">
        <v>21072</v>
      </c>
      <c r="J1280" t="s">
        <v>641</v>
      </c>
      <c r="M1280" t="s">
        <v>78</v>
      </c>
      <c r="N1280" t="s">
        <v>79</v>
      </c>
      <c r="T1280" t="s">
        <v>21073</v>
      </c>
      <c r="U1280" t="s">
        <v>21074</v>
      </c>
      <c r="V1280" t="s">
        <v>21075</v>
      </c>
      <c r="W1280" t="s">
        <v>21076</v>
      </c>
      <c r="X1280" t="s">
        <v>18795</v>
      </c>
      <c r="Y1280" t="s">
        <v>21077</v>
      </c>
      <c r="Z1280" t="s">
        <v>21078</v>
      </c>
      <c r="AA1280" t="s">
        <v>21079</v>
      </c>
      <c r="AB1280" t="s">
        <v>21080</v>
      </c>
      <c r="AC1280" t="s">
        <v>21081</v>
      </c>
      <c r="AD1280" t="s">
        <v>21082</v>
      </c>
      <c r="AE1280" t="s">
        <v>21083</v>
      </c>
      <c r="AG1280">
        <v>82</v>
      </c>
      <c r="AH1280">
        <v>20</v>
      </c>
      <c r="AI1280">
        <v>21</v>
      </c>
      <c r="AJ1280">
        <v>10</v>
      </c>
      <c r="AK1280">
        <v>41</v>
      </c>
      <c r="AL1280" t="s">
        <v>650</v>
      </c>
      <c r="AM1280" t="s">
        <v>651</v>
      </c>
      <c r="AN1280" t="s">
        <v>652</v>
      </c>
      <c r="AO1280" t="s">
        <v>653</v>
      </c>
      <c r="AP1280" t="s">
        <v>654</v>
      </c>
      <c r="AR1280" t="s">
        <v>655</v>
      </c>
      <c r="AS1280" t="s">
        <v>656</v>
      </c>
      <c r="AT1280" t="s">
        <v>224</v>
      </c>
      <c r="AU1280">
        <v>2022</v>
      </c>
      <c r="AV1280">
        <v>243</v>
      </c>
      <c r="BD1280">
        <v>106076</v>
      </c>
      <c r="BE1280" t="s">
        <v>21084</v>
      </c>
      <c r="BF1280" t="s">
        <v>21085</v>
      </c>
      <c r="BH1280" t="s">
        <v>227</v>
      </c>
      <c r="BI1280">
        <v>14</v>
      </c>
      <c r="BJ1280" t="s">
        <v>659</v>
      </c>
      <c r="BK1280" t="s">
        <v>96</v>
      </c>
      <c r="BL1280" t="s">
        <v>659</v>
      </c>
      <c r="BM1280" t="s">
        <v>21086</v>
      </c>
      <c r="BN1280">
        <v>35032911</v>
      </c>
      <c r="BR1280" t="s">
        <v>98</v>
      </c>
      <c r="BS1280" t="s">
        <v>21087</v>
      </c>
      <c r="BT1280" t="s">
        <v>16602</v>
      </c>
    </row>
    <row r="1281" spans="1:72">
      <c r="A1281" t="s">
        <v>72</v>
      </c>
      <c r="B1281" t="s">
        <v>21088</v>
      </c>
      <c r="F1281" t="s">
        <v>21089</v>
      </c>
      <c r="I1281" t="s">
        <v>21090</v>
      </c>
      <c r="J1281" t="s">
        <v>21091</v>
      </c>
      <c r="M1281" t="s">
        <v>78</v>
      </c>
      <c r="N1281" t="s">
        <v>79</v>
      </c>
      <c r="T1281" t="s">
        <v>21092</v>
      </c>
      <c r="U1281" t="s">
        <v>21093</v>
      </c>
      <c r="V1281" t="s">
        <v>21094</v>
      </c>
      <c r="W1281" t="s">
        <v>21095</v>
      </c>
      <c r="X1281" t="s">
        <v>21096</v>
      </c>
      <c r="Y1281" t="s">
        <v>21097</v>
      </c>
      <c r="Z1281" t="s">
        <v>21098</v>
      </c>
      <c r="AA1281" t="s">
        <v>21099</v>
      </c>
      <c r="AC1281" t="s">
        <v>21100</v>
      </c>
      <c r="AD1281" t="s">
        <v>21101</v>
      </c>
      <c r="AE1281" t="s">
        <v>21102</v>
      </c>
      <c r="AG1281">
        <v>39</v>
      </c>
      <c r="AH1281">
        <v>6</v>
      </c>
      <c r="AI1281">
        <v>6</v>
      </c>
      <c r="AJ1281">
        <v>0</v>
      </c>
      <c r="AK1281">
        <v>38</v>
      </c>
      <c r="AL1281" t="s">
        <v>21103</v>
      </c>
      <c r="AM1281" t="s">
        <v>21104</v>
      </c>
      <c r="AN1281" t="s">
        <v>21105</v>
      </c>
      <c r="AO1281" t="s">
        <v>21106</v>
      </c>
      <c r="AR1281" t="s">
        <v>21091</v>
      </c>
      <c r="AS1281" t="s">
        <v>21107</v>
      </c>
      <c r="AU1281">
        <v>2014</v>
      </c>
      <c r="AV1281">
        <v>23</v>
      </c>
      <c r="AW1281">
        <v>91</v>
      </c>
      <c r="BB1281">
        <v>8</v>
      </c>
      <c r="BC1281">
        <v>15</v>
      </c>
      <c r="BE1281" t="s">
        <v>21108</v>
      </c>
      <c r="BF1281" t="s">
        <v>21109</v>
      </c>
      <c r="BI1281">
        <v>8</v>
      </c>
      <c r="BJ1281" t="s">
        <v>6054</v>
      </c>
      <c r="BK1281" t="s">
        <v>96</v>
      </c>
      <c r="BL1281" t="s">
        <v>145</v>
      </c>
      <c r="BM1281" t="s">
        <v>21110</v>
      </c>
      <c r="BR1281" t="s">
        <v>98</v>
      </c>
      <c r="BS1281" t="s">
        <v>21111</v>
      </c>
      <c r="BT1281" t="s">
        <v>16602</v>
      </c>
    </row>
    <row r="1282" spans="1:72">
      <c r="A1282" t="s">
        <v>72</v>
      </c>
      <c r="B1282" t="s">
        <v>21112</v>
      </c>
      <c r="F1282" t="s">
        <v>21113</v>
      </c>
      <c r="I1282" t="s">
        <v>21114</v>
      </c>
      <c r="J1282" t="s">
        <v>11045</v>
      </c>
      <c r="M1282" t="s">
        <v>78</v>
      </c>
      <c r="N1282" t="s">
        <v>79</v>
      </c>
      <c r="U1282" t="s">
        <v>21115</v>
      </c>
      <c r="V1282" t="s">
        <v>21116</v>
      </c>
      <c r="W1282" t="s">
        <v>21117</v>
      </c>
      <c r="X1282" t="s">
        <v>19923</v>
      </c>
      <c r="Y1282" t="s">
        <v>21118</v>
      </c>
      <c r="Z1282" t="s">
        <v>12809</v>
      </c>
      <c r="AA1282" t="s">
        <v>13028</v>
      </c>
      <c r="AB1282" t="s">
        <v>21119</v>
      </c>
      <c r="AC1282" t="s">
        <v>21120</v>
      </c>
      <c r="AD1282" t="s">
        <v>21121</v>
      </c>
      <c r="AE1282" t="s">
        <v>21122</v>
      </c>
      <c r="AG1282">
        <v>53</v>
      </c>
      <c r="AH1282">
        <v>72</v>
      </c>
      <c r="AI1282">
        <v>81</v>
      </c>
      <c r="AJ1282">
        <v>0</v>
      </c>
      <c r="AK1282">
        <v>57</v>
      </c>
      <c r="AL1282" t="s">
        <v>11056</v>
      </c>
      <c r="AM1282" t="s">
        <v>11057</v>
      </c>
      <c r="AN1282" t="s">
        <v>11058</v>
      </c>
      <c r="AO1282" t="s">
        <v>11059</v>
      </c>
      <c r="AR1282" t="s">
        <v>11045</v>
      </c>
      <c r="AS1282" t="s">
        <v>11060</v>
      </c>
      <c r="AT1282" t="s">
        <v>11423</v>
      </c>
      <c r="AU1282">
        <v>2013</v>
      </c>
      <c r="AV1282">
        <v>8</v>
      </c>
      <c r="AW1282">
        <v>6</v>
      </c>
      <c r="BD1282" t="s">
        <v>21123</v>
      </c>
      <c r="BE1282" t="s">
        <v>21124</v>
      </c>
      <c r="BF1282" t="s">
        <v>21125</v>
      </c>
      <c r="BI1282">
        <v>11</v>
      </c>
      <c r="BJ1282" t="s">
        <v>3202</v>
      </c>
      <c r="BK1282" t="s">
        <v>96</v>
      </c>
      <c r="BL1282" t="s">
        <v>3203</v>
      </c>
      <c r="BM1282" t="s">
        <v>21126</v>
      </c>
      <c r="BN1282">
        <v>23825565</v>
      </c>
      <c r="BO1282" t="s">
        <v>20619</v>
      </c>
      <c r="BR1282" t="s">
        <v>98</v>
      </c>
      <c r="BS1282" t="s">
        <v>21127</v>
      </c>
      <c r="BT1282" t="s">
        <v>16602</v>
      </c>
    </row>
    <row r="1283" spans="1:72">
      <c r="A1283" t="s">
        <v>72</v>
      </c>
      <c r="B1283" t="s">
        <v>21128</v>
      </c>
      <c r="F1283" t="s">
        <v>21128</v>
      </c>
      <c r="I1283" t="s">
        <v>21129</v>
      </c>
      <c r="J1283" t="s">
        <v>232</v>
      </c>
      <c r="M1283" t="s">
        <v>78</v>
      </c>
      <c r="N1283" t="s">
        <v>79</v>
      </c>
      <c r="V1283" t="s">
        <v>21130</v>
      </c>
      <c r="W1283" t="s">
        <v>21131</v>
      </c>
      <c r="X1283" t="s">
        <v>13541</v>
      </c>
      <c r="Y1283" t="s">
        <v>21132</v>
      </c>
      <c r="AG1283">
        <v>30</v>
      </c>
      <c r="AH1283">
        <v>24</v>
      </c>
      <c r="AI1283">
        <v>26</v>
      </c>
      <c r="AJ1283">
        <v>0</v>
      </c>
      <c r="AK1283">
        <v>1</v>
      </c>
      <c r="AL1283" t="s">
        <v>136</v>
      </c>
      <c r="AM1283" t="s">
        <v>137</v>
      </c>
      <c r="AN1283" t="s">
        <v>138</v>
      </c>
      <c r="AO1283" t="s">
        <v>240</v>
      </c>
      <c r="AP1283" t="s">
        <v>241</v>
      </c>
      <c r="AR1283" t="s">
        <v>242</v>
      </c>
      <c r="AS1283" t="s">
        <v>243</v>
      </c>
      <c r="AT1283" t="s">
        <v>267</v>
      </c>
      <c r="AU1283">
        <v>1988</v>
      </c>
      <c r="AV1283">
        <v>19</v>
      </c>
      <c r="AW1283">
        <v>10</v>
      </c>
      <c r="BB1283">
        <v>512</v>
      </c>
      <c r="BC1283">
        <v>520</v>
      </c>
      <c r="BE1283" t="s">
        <v>21133</v>
      </c>
      <c r="BF1283" t="s">
        <v>21134</v>
      </c>
      <c r="BI1283">
        <v>9</v>
      </c>
      <c r="BJ1283" t="s">
        <v>247</v>
      </c>
      <c r="BK1283" t="s">
        <v>96</v>
      </c>
      <c r="BL1283" t="s">
        <v>248</v>
      </c>
      <c r="BM1283" t="s">
        <v>21135</v>
      </c>
      <c r="BR1283" t="s">
        <v>98</v>
      </c>
      <c r="BS1283" t="s">
        <v>21136</v>
      </c>
      <c r="BT1283" t="s">
        <v>16602</v>
      </c>
    </row>
    <row r="1284" spans="1:72">
      <c r="A1284" t="s">
        <v>72</v>
      </c>
      <c r="B1284" t="s">
        <v>21137</v>
      </c>
      <c r="F1284" t="s">
        <v>21138</v>
      </c>
      <c r="I1284" t="s">
        <v>21139</v>
      </c>
      <c r="J1284" t="s">
        <v>17604</v>
      </c>
      <c r="M1284" t="s">
        <v>78</v>
      </c>
      <c r="N1284" t="s">
        <v>79</v>
      </c>
      <c r="T1284" t="s">
        <v>21140</v>
      </c>
      <c r="U1284" t="s">
        <v>21141</v>
      </c>
      <c r="V1284" t="s">
        <v>21142</v>
      </c>
      <c r="W1284" t="s">
        <v>21143</v>
      </c>
      <c r="X1284" t="s">
        <v>21144</v>
      </c>
      <c r="Y1284" t="s">
        <v>21145</v>
      </c>
      <c r="Z1284" t="s">
        <v>21146</v>
      </c>
      <c r="AA1284" t="s">
        <v>21147</v>
      </c>
      <c r="AB1284" t="s">
        <v>21148</v>
      </c>
      <c r="AC1284" t="s">
        <v>21149</v>
      </c>
      <c r="AD1284" t="s">
        <v>21150</v>
      </c>
      <c r="AE1284" t="s">
        <v>21151</v>
      </c>
      <c r="AG1284">
        <v>83</v>
      </c>
      <c r="AH1284">
        <v>14</v>
      </c>
      <c r="AI1284">
        <v>16</v>
      </c>
      <c r="AJ1284">
        <v>4</v>
      </c>
      <c r="AK1284">
        <v>35</v>
      </c>
      <c r="AL1284" t="s">
        <v>650</v>
      </c>
      <c r="AM1284" t="s">
        <v>651</v>
      </c>
      <c r="AN1284" t="s">
        <v>652</v>
      </c>
      <c r="AO1284" t="s">
        <v>17613</v>
      </c>
      <c r="AP1284" t="s">
        <v>17614</v>
      </c>
      <c r="AR1284" t="s">
        <v>17615</v>
      </c>
      <c r="AS1284" t="s">
        <v>17616</v>
      </c>
      <c r="AT1284" t="s">
        <v>224</v>
      </c>
      <c r="AU1284">
        <v>2020</v>
      </c>
      <c r="AV1284">
        <v>523</v>
      </c>
      <c r="BD1284">
        <v>151271</v>
      </c>
      <c r="BE1284" t="s">
        <v>21152</v>
      </c>
      <c r="BF1284" t="s">
        <v>21153</v>
      </c>
      <c r="BI1284">
        <v>8</v>
      </c>
      <c r="BJ1284" t="s">
        <v>1292</v>
      </c>
      <c r="BK1284" t="s">
        <v>96</v>
      </c>
      <c r="BL1284" t="s">
        <v>248</v>
      </c>
      <c r="BM1284" t="s">
        <v>21154</v>
      </c>
      <c r="BR1284" t="s">
        <v>98</v>
      </c>
      <c r="BS1284" t="s">
        <v>21155</v>
      </c>
      <c r="BT1284" t="s">
        <v>16602</v>
      </c>
    </row>
    <row r="1285" spans="1:72">
      <c r="A1285" t="s">
        <v>72</v>
      </c>
      <c r="B1285" t="s">
        <v>21156</v>
      </c>
      <c r="F1285" t="s">
        <v>21157</v>
      </c>
      <c r="I1285" t="s">
        <v>21158</v>
      </c>
      <c r="J1285" t="s">
        <v>421</v>
      </c>
      <c r="M1285" t="s">
        <v>78</v>
      </c>
      <c r="N1285" t="s">
        <v>79</v>
      </c>
      <c r="T1285" t="s">
        <v>21159</v>
      </c>
      <c r="U1285" t="s">
        <v>21160</v>
      </c>
      <c r="V1285" t="s">
        <v>21161</v>
      </c>
      <c r="W1285" t="s">
        <v>21162</v>
      </c>
      <c r="X1285" t="s">
        <v>21163</v>
      </c>
      <c r="Y1285" t="s">
        <v>21164</v>
      </c>
      <c r="Z1285" t="s">
        <v>21165</v>
      </c>
      <c r="AA1285" t="s">
        <v>21166</v>
      </c>
      <c r="AB1285" t="s">
        <v>21167</v>
      </c>
      <c r="AC1285" t="s">
        <v>21168</v>
      </c>
      <c r="AD1285" t="s">
        <v>21169</v>
      </c>
      <c r="AE1285" t="s">
        <v>21170</v>
      </c>
      <c r="AG1285">
        <v>60</v>
      </c>
      <c r="AH1285">
        <v>54</v>
      </c>
      <c r="AI1285">
        <v>61</v>
      </c>
      <c r="AJ1285">
        <v>2</v>
      </c>
      <c r="AK1285">
        <v>78</v>
      </c>
      <c r="AL1285" t="s">
        <v>430</v>
      </c>
      <c r="AM1285" t="s">
        <v>137</v>
      </c>
      <c r="AN1285" t="s">
        <v>431</v>
      </c>
      <c r="AO1285" t="s">
        <v>432</v>
      </c>
      <c r="AP1285" t="s">
        <v>1394</v>
      </c>
      <c r="AR1285" t="s">
        <v>433</v>
      </c>
      <c r="AS1285" t="s">
        <v>434</v>
      </c>
      <c r="AT1285" t="s">
        <v>1470</v>
      </c>
      <c r="AU1285">
        <v>2016</v>
      </c>
      <c r="AV1285">
        <v>208</v>
      </c>
      <c r="AX1285" t="s">
        <v>13570</v>
      </c>
      <c r="BB1285">
        <v>590</v>
      </c>
      <c r="BC1285">
        <v>599</v>
      </c>
      <c r="BE1285" t="s">
        <v>21171</v>
      </c>
      <c r="BF1285" t="s">
        <v>21172</v>
      </c>
      <c r="BI1285">
        <v>10</v>
      </c>
      <c r="BJ1285" t="s">
        <v>144</v>
      </c>
      <c r="BK1285" t="s">
        <v>96</v>
      </c>
      <c r="BL1285" t="s">
        <v>145</v>
      </c>
      <c r="BM1285" t="s">
        <v>21173</v>
      </c>
      <c r="BN1285">
        <v>26589100</v>
      </c>
      <c r="BR1285" t="s">
        <v>98</v>
      </c>
      <c r="BS1285" t="s">
        <v>21174</v>
      </c>
      <c r="BT1285" t="s">
        <v>16602</v>
      </c>
    </row>
    <row r="1286" spans="1:72">
      <c r="A1286" t="s">
        <v>72</v>
      </c>
      <c r="B1286" t="s">
        <v>21175</v>
      </c>
      <c r="F1286" t="s">
        <v>21175</v>
      </c>
      <c r="I1286" t="s">
        <v>21176</v>
      </c>
      <c r="J1286" t="s">
        <v>232</v>
      </c>
      <c r="M1286" t="s">
        <v>78</v>
      </c>
      <c r="N1286" t="s">
        <v>79</v>
      </c>
      <c r="U1286" t="s">
        <v>21177</v>
      </c>
      <c r="V1286" t="s">
        <v>21178</v>
      </c>
      <c r="Y1286" t="s">
        <v>21179</v>
      </c>
      <c r="AG1286">
        <v>10</v>
      </c>
      <c r="AH1286">
        <v>139</v>
      </c>
      <c r="AI1286">
        <v>153</v>
      </c>
      <c r="AJ1286">
        <v>0</v>
      </c>
      <c r="AK1286">
        <v>24</v>
      </c>
      <c r="AL1286" t="s">
        <v>136</v>
      </c>
      <c r="AM1286" t="s">
        <v>137</v>
      </c>
      <c r="AN1286" t="s">
        <v>138</v>
      </c>
      <c r="AO1286" t="s">
        <v>240</v>
      </c>
      <c r="AP1286" t="s">
        <v>241</v>
      </c>
      <c r="AR1286" t="s">
        <v>242</v>
      </c>
      <c r="AS1286" t="s">
        <v>243</v>
      </c>
      <c r="AT1286" t="s">
        <v>765</v>
      </c>
      <c r="AU1286">
        <v>1993</v>
      </c>
      <c r="AV1286">
        <v>26</v>
      </c>
      <c r="AW1286">
        <v>7</v>
      </c>
      <c r="BB1286">
        <v>395</v>
      </c>
      <c r="BC1286">
        <v>397</v>
      </c>
      <c r="BE1286" t="s">
        <v>21180</v>
      </c>
      <c r="BF1286" t="s">
        <v>21181</v>
      </c>
      <c r="BI1286">
        <v>3</v>
      </c>
      <c r="BJ1286" t="s">
        <v>247</v>
      </c>
      <c r="BK1286" t="s">
        <v>96</v>
      </c>
      <c r="BL1286" t="s">
        <v>248</v>
      </c>
      <c r="BM1286" t="s">
        <v>21182</v>
      </c>
      <c r="BR1286" t="s">
        <v>98</v>
      </c>
      <c r="BS1286" t="s">
        <v>21183</v>
      </c>
      <c r="BT1286" t="s">
        <v>16602</v>
      </c>
    </row>
    <row r="1287" spans="1:72">
      <c r="A1287" t="s">
        <v>72</v>
      </c>
      <c r="B1287" t="s">
        <v>21184</v>
      </c>
      <c r="F1287" t="s">
        <v>21185</v>
      </c>
      <c r="I1287" t="s">
        <v>21186</v>
      </c>
      <c r="J1287" t="s">
        <v>421</v>
      </c>
      <c r="M1287" t="s">
        <v>78</v>
      </c>
      <c r="N1287" t="s">
        <v>79</v>
      </c>
      <c r="T1287" t="s">
        <v>21187</v>
      </c>
      <c r="U1287" t="s">
        <v>21188</v>
      </c>
      <c r="V1287" t="s">
        <v>21189</v>
      </c>
      <c r="W1287" t="s">
        <v>21190</v>
      </c>
      <c r="X1287" t="s">
        <v>11714</v>
      </c>
      <c r="Y1287" t="s">
        <v>21191</v>
      </c>
      <c r="Z1287" t="s">
        <v>21192</v>
      </c>
      <c r="AA1287" t="s">
        <v>21193</v>
      </c>
      <c r="AB1287" t="s">
        <v>21194</v>
      </c>
      <c r="AC1287" t="s">
        <v>21195</v>
      </c>
      <c r="AD1287" t="s">
        <v>21196</v>
      </c>
      <c r="AE1287" t="s">
        <v>21197</v>
      </c>
      <c r="AG1287">
        <v>36</v>
      </c>
      <c r="AH1287">
        <v>132</v>
      </c>
      <c r="AI1287">
        <v>140</v>
      </c>
      <c r="AJ1287">
        <v>5</v>
      </c>
      <c r="AK1287">
        <v>124</v>
      </c>
      <c r="AL1287" t="s">
        <v>430</v>
      </c>
      <c r="AM1287" t="s">
        <v>137</v>
      </c>
      <c r="AN1287" t="s">
        <v>431</v>
      </c>
      <c r="AO1287" t="s">
        <v>432</v>
      </c>
      <c r="AP1287" t="s">
        <v>1394</v>
      </c>
      <c r="AR1287" t="s">
        <v>433</v>
      </c>
      <c r="AS1287" t="s">
        <v>434</v>
      </c>
      <c r="AT1287" t="s">
        <v>765</v>
      </c>
      <c r="AU1287">
        <v>2011</v>
      </c>
      <c r="AV1287">
        <v>159</v>
      </c>
      <c r="AW1287">
        <v>7</v>
      </c>
      <c r="BB1287">
        <v>1763</v>
      </c>
      <c r="BC1287">
        <v>1768</v>
      </c>
      <c r="BE1287" t="s">
        <v>21198</v>
      </c>
      <c r="BF1287" t="s">
        <v>21199</v>
      </c>
      <c r="BI1287">
        <v>6</v>
      </c>
      <c r="BJ1287" t="s">
        <v>144</v>
      </c>
      <c r="BK1287" t="s">
        <v>96</v>
      </c>
      <c r="BL1287" t="s">
        <v>145</v>
      </c>
      <c r="BM1287" t="s">
        <v>21200</v>
      </c>
      <c r="BN1287">
        <v>21550150</v>
      </c>
      <c r="BR1287" t="s">
        <v>98</v>
      </c>
      <c r="BS1287" t="s">
        <v>21201</v>
      </c>
      <c r="BT1287" t="s">
        <v>16602</v>
      </c>
    </row>
    <row r="1288" spans="1:72">
      <c r="A1288" t="s">
        <v>72</v>
      </c>
      <c r="B1288" t="s">
        <v>21202</v>
      </c>
      <c r="F1288" t="s">
        <v>21203</v>
      </c>
      <c r="I1288" t="s">
        <v>21204</v>
      </c>
      <c r="J1288" t="s">
        <v>5592</v>
      </c>
      <c r="M1288" t="s">
        <v>78</v>
      </c>
      <c r="N1288" t="s">
        <v>79</v>
      </c>
      <c r="T1288" t="s">
        <v>21205</v>
      </c>
      <c r="U1288" t="s">
        <v>21206</v>
      </c>
      <c r="V1288" t="s">
        <v>21207</v>
      </c>
      <c r="W1288" t="s">
        <v>21208</v>
      </c>
      <c r="X1288" t="s">
        <v>21209</v>
      </c>
      <c r="Y1288" t="s">
        <v>21210</v>
      </c>
      <c r="Z1288" t="s">
        <v>21211</v>
      </c>
      <c r="AA1288" t="s">
        <v>21212</v>
      </c>
      <c r="AB1288" t="s">
        <v>21213</v>
      </c>
      <c r="AC1288" t="s">
        <v>21214</v>
      </c>
      <c r="AD1288" t="s">
        <v>21214</v>
      </c>
      <c r="AE1288" t="s">
        <v>21215</v>
      </c>
      <c r="AG1288">
        <v>56</v>
      </c>
      <c r="AH1288">
        <v>7</v>
      </c>
      <c r="AI1288">
        <v>9</v>
      </c>
      <c r="AJ1288">
        <v>1</v>
      </c>
      <c r="AK1288">
        <v>40</v>
      </c>
      <c r="AL1288" t="s">
        <v>285</v>
      </c>
      <c r="AM1288" t="s">
        <v>286</v>
      </c>
      <c r="AN1288" t="s">
        <v>287</v>
      </c>
      <c r="AO1288" t="s">
        <v>5605</v>
      </c>
      <c r="AP1288" t="s">
        <v>5606</v>
      </c>
      <c r="AR1288" t="s">
        <v>5607</v>
      </c>
      <c r="AS1288" t="s">
        <v>5608</v>
      </c>
      <c r="AT1288" t="s">
        <v>8920</v>
      </c>
      <c r="AU1288">
        <v>2013</v>
      </c>
      <c r="AV1288">
        <v>132</v>
      </c>
      <c r="AZ1288" t="s">
        <v>225</v>
      </c>
      <c r="BB1288">
        <v>77</v>
      </c>
      <c r="BC1288">
        <v>86</v>
      </c>
      <c r="BE1288" t="s">
        <v>21216</v>
      </c>
      <c r="BF1288" t="s">
        <v>21217</v>
      </c>
      <c r="BI1288">
        <v>10</v>
      </c>
      <c r="BJ1288" t="s">
        <v>4241</v>
      </c>
      <c r="BK1288" t="s">
        <v>96</v>
      </c>
      <c r="BL1288" t="s">
        <v>4241</v>
      </c>
      <c r="BM1288" t="s">
        <v>21218</v>
      </c>
      <c r="BO1288" t="s">
        <v>390</v>
      </c>
      <c r="BR1288" t="s">
        <v>98</v>
      </c>
      <c r="BS1288" t="s">
        <v>21219</v>
      </c>
      <c r="BT1288" t="s">
        <v>16602</v>
      </c>
    </row>
    <row r="1289" spans="1:72">
      <c r="A1289" t="s">
        <v>72</v>
      </c>
      <c r="B1289" t="s">
        <v>21220</v>
      </c>
      <c r="F1289" t="s">
        <v>21220</v>
      </c>
      <c r="I1289" t="s">
        <v>21221</v>
      </c>
      <c r="J1289" t="s">
        <v>232</v>
      </c>
      <c r="M1289" t="s">
        <v>78</v>
      </c>
      <c r="N1289" t="s">
        <v>79</v>
      </c>
      <c r="U1289" t="s">
        <v>21222</v>
      </c>
      <c r="W1289" t="s">
        <v>21223</v>
      </c>
      <c r="X1289" t="s">
        <v>21224</v>
      </c>
      <c r="Y1289" t="s">
        <v>2844</v>
      </c>
      <c r="Z1289" t="s">
        <v>21225</v>
      </c>
      <c r="AG1289">
        <v>20</v>
      </c>
      <c r="AH1289">
        <v>16</v>
      </c>
      <c r="AI1289">
        <v>18</v>
      </c>
      <c r="AJ1289">
        <v>0</v>
      </c>
      <c r="AK1289">
        <v>4</v>
      </c>
      <c r="AL1289" t="s">
        <v>136</v>
      </c>
      <c r="AM1289" t="s">
        <v>137</v>
      </c>
      <c r="AN1289" t="s">
        <v>138</v>
      </c>
      <c r="AO1289" t="s">
        <v>240</v>
      </c>
      <c r="AP1289" t="s">
        <v>241</v>
      </c>
      <c r="AR1289" t="s">
        <v>242</v>
      </c>
      <c r="AS1289" t="s">
        <v>243</v>
      </c>
      <c r="AT1289" t="s">
        <v>765</v>
      </c>
      <c r="AU1289">
        <v>1999</v>
      </c>
      <c r="AV1289">
        <v>38</v>
      </c>
      <c r="AW1289">
        <v>7</v>
      </c>
      <c r="BB1289">
        <v>618</v>
      </c>
      <c r="BC1289">
        <v>622</v>
      </c>
      <c r="BE1289" t="s">
        <v>21226</v>
      </c>
      <c r="BF1289" t="s">
        <v>21227</v>
      </c>
      <c r="BI1289">
        <v>5</v>
      </c>
      <c r="BJ1289" t="s">
        <v>247</v>
      </c>
      <c r="BK1289" t="s">
        <v>96</v>
      </c>
      <c r="BL1289" t="s">
        <v>248</v>
      </c>
      <c r="BM1289" t="s">
        <v>21228</v>
      </c>
      <c r="BR1289" t="s">
        <v>98</v>
      </c>
      <c r="BS1289" t="s">
        <v>21229</v>
      </c>
      <c r="BT1289" t="s">
        <v>16602</v>
      </c>
    </row>
    <row r="1290" spans="1:72">
      <c r="A1290" t="s">
        <v>72</v>
      </c>
      <c r="B1290" t="s">
        <v>21230</v>
      </c>
      <c r="F1290" t="s">
        <v>21231</v>
      </c>
      <c r="I1290" t="s">
        <v>21232</v>
      </c>
      <c r="J1290" t="s">
        <v>21233</v>
      </c>
      <c r="M1290" t="s">
        <v>78</v>
      </c>
      <c r="N1290" t="s">
        <v>79</v>
      </c>
      <c r="T1290" t="s">
        <v>21234</v>
      </c>
      <c r="U1290" t="s">
        <v>21235</v>
      </c>
      <c r="V1290" t="s">
        <v>21236</v>
      </c>
      <c r="W1290" t="s">
        <v>21237</v>
      </c>
      <c r="X1290" t="s">
        <v>21238</v>
      </c>
      <c r="Y1290" t="s">
        <v>21239</v>
      </c>
      <c r="Z1290" t="s">
        <v>21240</v>
      </c>
      <c r="AA1290" t="s">
        <v>21241</v>
      </c>
      <c r="AB1290" t="s">
        <v>21242</v>
      </c>
      <c r="AG1290">
        <v>45</v>
      </c>
      <c r="AH1290">
        <v>9</v>
      </c>
      <c r="AI1290">
        <v>9</v>
      </c>
      <c r="AJ1290">
        <v>1</v>
      </c>
      <c r="AK1290">
        <v>43</v>
      </c>
      <c r="AL1290" t="s">
        <v>408</v>
      </c>
      <c r="AM1290" t="s">
        <v>409</v>
      </c>
      <c r="AN1290" t="s">
        <v>1188</v>
      </c>
      <c r="AO1290" t="s">
        <v>21243</v>
      </c>
      <c r="AP1290" t="s">
        <v>21244</v>
      </c>
      <c r="AR1290" t="s">
        <v>21245</v>
      </c>
      <c r="AS1290" t="s">
        <v>21246</v>
      </c>
      <c r="AT1290" t="s">
        <v>2763</v>
      </c>
      <c r="AU1290">
        <v>2013</v>
      </c>
      <c r="AV1290">
        <v>16</v>
      </c>
      <c r="AW1290">
        <v>1</v>
      </c>
      <c r="BB1290">
        <v>78</v>
      </c>
      <c r="BC1290">
        <v>87</v>
      </c>
      <c r="BE1290" t="s">
        <v>21247</v>
      </c>
      <c r="BF1290" t="s">
        <v>21248</v>
      </c>
      <c r="BI1290">
        <v>10</v>
      </c>
      <c r="BJ1290" t="s">
        <v>21249</v>
      </c>
      <c r="BK1290" t="s">
        <v>96</v>
      </c>
      <c r="BL1290" t="s">
        <v>21250</v>
      </c>
      <c r="BM1290" t="s">
        <v>21251</v>
      </c>
      <c r="BR1290" t="s">
        <v>98</v>
      </c>
      <c r="BS1290" t="s">
        <v>21252</v>
      </c>
      <c r="BT1290" t="s">
        <v>16602</v>
      </c>
    </row>
    <row r="1291" spans="1:72">
      <c r="A1291" t="s">
        <v>72</v>
      </c>
      <c r="B1291" t="s">
        <v>21253</v>
      </c>
      <c r="F1291" t="s">
        <v>21253</v>
      </c>
      <c r="I1291" t="s">
        <v>21254</v>
      </c>
      <c r="J1291" t="s">
        <v>421</v>
      </c>
      <c r="M1291" t="s">
        <v>78</v>
      </c>
      <c r="N1291" t="s">
        <v>79</v>
      </c>
      <c r="T1291" t="s">
        <v>21255</v>
      </c>
      <c r="U1291" t="s">
        <v>21256</v>
      </c>
      <c r="V1291" t="s">
        <v>21257</v>
      </c>
      <c r="Y1291" t="s">
        <v>21258</v>
      </c>
      <c r="AG1291">
        <v>28</v>
      </c>
      <c r="AH1291">
        <v>17</v>
      </c>
      <c r="AI1291">
        <v>19</v>
      </c>
      <c r="AJ1291">
        <v>0</v>
      </c>
      <c r="AK1291">
        <v>7</v>
      </c>
      <c r="AL1291" t="s">
        <v>430</v>
      </c>
      <c r="AM1291" t="s">
        <v>137</v>
      </c>
      <c r="AN1291" t="s">
        <v>1600</v>
      </c>
      <c r="AO1291" t="s">
        <v>432</v>
      </c>
      <c r="AR1291" t="s">
        <v>433</v>
      </c>
      <c r="AS1291" t="s">
        <v>434</v>
      </c>
      <c r="AU1291">
        <v>1997</v>
      </c>
      <c r="AV1291">
        <v>96</v>
      </c>
      <c r="AW1291">
        <v>2</v>
      </c>
      <c r="BB1291">
        <v>179</v>
      </c>
      <c r="BC1291">
        <v>184</v>
      </c>
      <c r="BE1291" t="s">
        <v>21259</v>
      </c>
      <c r="BF1291" t="s">
        <v>21260</v>
      </c>
      <c r="BI1291">
        <v>6</v>
      </c>
      <c r="BJ1291" t="s">
        <v>144</v>
      </c>
      <c r="BK1291" t="s">
        <v>96</v>
      </c>
      <c r="BL1291" t="s">
        <v>145</v>
      </c>
      <c r="BM1291" t="s">
        <v>21261</v>
      </c>
      <c r="BN1291">
        <v>15093417</v>
      </c>
      <c r="BR1291" t="s">
        <v>98</v>
      </c>
      <c r="BS1291" t="s">
        <v>21262</v>
      </c>
      <c r="BT1291" t="s">
        <v>16602</v>
      </c>
    </row>
    <row r="1292" spans="1:72">
      <c r="A1292" t="s">
        <v>72</v>
      </c>
      <c r="B1292" t="s">
        <v>21263</v>
      </c>
      <c r="F1292" t="s">
        <v>21264</v>
      </c>
      <c r="I1292" t="s">
        <v>21265</v>
      </c>
      <c r="J1292" t="s">
        <v>127</v>
      </c>
      <c r="M1292" t="s">
        <v>78</v>
      </c>
      <c r="N1292" t="s">
        <v>79</v>
      </c>
      <c r="T1292" t="s">
        <v>21266</v>
      </c>
      <c r="U1292" t="s">
        <v>21267</v>
      </c>
      <c r="V1292" t="s">
        <v>21268</v>
      </c>
      <c r="W1292" t="s">
        <v>21269</v>
      </c>
      <c r="X1292" t="s">
        <v>21270</v>
      </c>
      <c r="Y1292" t="s">
        <v>21271</v>
      </c>
      <c r="Z1292" t="s">
        <v>21272</v>
      </c>
      <c r="AA1292" t="s">
        <v>21273</v>
      </c>
      <c r="AB1292" t="s">
        <v>21274</v>
      </c>
      <c r="AC1292" t="s">
        <v>21275</v>
      </c>
      <c r="AD1292" t="s">
        <v>21276</v>
      </c>
      <c r="AE1292" t="s">
        <v>21277</v>
      </c>
      <c r="AG1292">
        <v>44</v>
      </c>
      <c r="AH1292">
        <v>12</v>
      </c>
      <c r="AI1292">
        <v>13</v>
      </c>
      <c r="AJ1292">
        <v>1</v>
      </c>
      <c r="AK1292">
        <v>30</v>
      </c>
      <c r="AL1292" t="s">
        <v>136</v>
      </c>
      <c r="AM1292" t="s">
        <v>137</v>
      </c>
      <c r="AN1292" t="s">
        <v>138</v>
      </c>
      <c r="AO1292" t="s">
        <v>139</v>
      </c>
      <c r="AP1292" t="s">
        <v>140</v>
      </c>
      <c r="AR1292" t="s">
        <v>127</v>
      </c>
      <c r="AS1292" t="s">
        <v>141</v>
      </c>
      <c r="AT1292" t="s">
        <v>93</v>
      </c>
      <c r="AU1292">
        <v>2022</v>
      </c>
      <c r="AV1292">
        <v>293</v>
      </c>
      <c r="BD1292">
        <v>133410</v>
      </c>
      <c r="BE1292" t="s">
        <v>21278</v>
      </c>
      <c r="BF1292" t="s">
        <v>21279</v>
      </c>
      <c r="BH1292" t="s">
        <v>227</v>
      </c>
      <c r="BI1292">
        <v>10</v>
      </c>
      <c r="BJ1292" t="s">
        <v>144</v>
      </c>
      <c r="BK1292" t="s">
        <v>96</v>
      </c>
      <c r="BL1292" t="s">
        <v>145</v>
      </c>
      <c r="BM1292" t="s">
        <v>21280</v>
      </c>
      <c r="BN1292">
        <v>34968517</v>
      </c>
      <c r="BO1292" t="s">
        <v>2784</v>
      </c>
      <c r="BR1292" t="s">
        <v>98</v>
      </c>
      <c r="BS1292" t="s">
        <v>21281</v>
      </c>
      <c r="BT1292" t="s">
        <v>16602</v>
      </c>
    </row>
    <row r="1293" spans="1:72">
      <c r="A1293" t="s">
        <v>72</v>
      </c>
      <c r="B1293" t="s">
        <v>21282</v>
      </c>
      <c r="F1293" t="s">
        <v>21282</v>
      </c>
      <c r="I1293" t="s">
        <v>21283</v>
      </c>
      <c r="J1293" t="s">
        <v>1202</v>
      </c>
      <c r="M1293" t="s">
        <v>78</v>
      </c>
      <c r="N1293" t="s">
        <v>79</v>
      </c>
      <c r="U1293" t="s">
        <v>21284</v>
      </c>
      <c r="V1293" t="s">
        <v>21285</v>
      </c>
      <c r="W1293" t="s">
        <v>21286</v>
      </c>
      <c r="X1293" t="s">
        <v>21287</v>
      </c>
      <c r="Y1293" t="s">
        <v>21288</v>
      </c>
      <c r="AA1293" t="s">
        <v>21289</v>
      </c>
      <c r="AB1293" t="s">
        <v>21290</v>
      </c>
      <c r="AG1293">
        <v>25</v>
      </c>
      <c r="AH1293">
        <v>20</v>
      </c>
      <c r="AI1293">
        <v>21</v>
      </c>
      <c r="AJ1293">
        <v>0</v>
      </c>
      <c r="AK1293">
        <v>12</v>
      </c>
      <c r="AL1293" t="s">
        <v>112</v>
      </c>
      <c r="AM1293" t="s">
        <v>191</v>
      </c>
      <c r="AN1293" t="s">
        <v>192</v>
      </c>
      <c r="AO1293" t="s">
        <v>1207</v>
      </c>
      <c r="AR1293" t="s">
        <v>1202</v>
      </c>
      <c r="AS1293" t="s">
        <v>1208</v>
      </c>
      <c r="AT1293" t="s">
        <v>17535</v>
      </c>
      <c r="AU1293">
        <v>1996</v>
      </c>
      <c r="AV1293">
        <v>317</v>
      </c>
      <c r="AW1293">
        <v>1</v>
      </c>
      <c r="BB1293">
        <v>1</v>
      </c>
      <c r="BC1293">
        <v>11</v>
      </c>
      <c r="BE1293" t="s">
        <v>21291</v>
      </c>
      <c r="BF1293" t="s">
        <v>21292</v>
      </c>
      <c r="BI1293">
        <v>11</v>
      </c>
      <c r="BJ1293" t="s">
        <v>680</v>
      </c>
      <c r="BK1293" t="s">
        <v>96</v>
      </c>
      <c r="BL1293" t="s">
        <v>680</v>
      </c>
      <c r="BM1293" t="s">
        <v>21293</v>
      </c>
      <c r="BR1293" t="s">
        <v>98</v>
      </c>
      <c r="BS1293" t="s">
        <v>21294</v>
      </c>
      <c r="BT1293" t="s">
        <v>16602</v>
      </c>
    </row>
    <row r="1294" spans="1:72">
      <c r="A1294" t="s">
        <v>72</v>
      </c>
      <c r="B1294" t="s">
        <v>21295</v>
      </c>
      <c r="F1294" t="s">
        <v>21296</v>
      </c>
      <c r="I1294" t="s">
        <v>21297</v>
      </c>
      <c r="J1294" t="s">
        <v>909</v>
      </c>
      <c r="M1294" t="s">
        <v>78</v>
      </c>
      <c r="N1294" t="s">
        <v>79</v>
      </c>
      <c r="T1294" t="s">
        <v>21298</v>
      </c>
      <c r="U1294" t="s">
        <v>21299</v>
      </c>
      <c r="V1294" t="s">
        <v>21300</v>
      </c>
      <c r="W1294" t="s">
        <v>21301</v>
      </c>
      <c r="X1294" t="s">
        <v>21302</v>
      </c>
      <c r="Y1294" t="s">
        <v>21303</v>
      </c>
      <c r="Z1294" t="s">
        <v>21304</v>
      </c>
      <c r="AA1294" t="s">
        <v>21305</v>
      </c>
      <c r="AB1294" t="s">
        <v>21306</v>
      </c>
      <c r="AC1294" t="s">
        <v>21307</v>
      </c>
      <c r="AD1294" t="s">
        <v>21308</v>
      </c>
      <c r="AE1294" t="s">
        <v>21309</v>
      </c>
      <c r="AG1294">
        <v>76</v>
      </c>
      <c r="AH1294">
        <v>0</v>
      </c>
      <c r="AI1294">
        <v>0</v>
      </c>
      <c r="AJ1294">
        <v>10</v>
      </c>
      <c r="AK1294">
        <v>10</v>
      </c>
      <c r="AL1294" t="s">
        <v>650</v>
      </c>
      <c r="AM1294" t="s">
        <v>651</v>
      </c>
      <c r="AN1294" t="s">
        <v>652</v>
      </c>
      <c r="AO1294" t="s">
        <v>921</v>
      </c>
      <c r="AP1294" t="s">
        <v>922</v>
      </c>
      <c r="AR1294" t="s">
        <v>923</v>
      </c>
      <c r="AS1294" t="s">
        <v>924</v>
      </c>
      <c r="AT1294" t="s">
        <v>5542</v>
      </c>
      <c r="AU1294">
        <v>2024</v>
      </c>
      <c r="AV1294">
        <v>927</v>
      </c>
      <c r="BD1294">
        <v>172152</v>
      </c>
      <c r="BE1294" t="s">
        <v>21310</v>
      </c>
      <c r="BF1294" t="s">
        <v>21311</v>
      </c>
      <c r="BH1294" t="s">
        <v>9434</v>
      </c>
      <c r="BI1294">
        <v>9</v>
      </c>
      <c r="BJ1294" t="s">
        <v>144</v>
      </c>
      <c r="BK1294" t="s">
        <v>96</v>
      </c>
      <c r="BL1294" t="s">
        <v>145</v>
      </c>
      <c r="BM1294" t="s">
        <v>21312</v>
      </c>
      <c r="BN1294">
        <v>38575012</v>
      </c>
      <c r="BO1294" t="s">
        <v>476</v>
      </c>
      <c r="BR1294" t="s">
        <v>98</v>
      </c>
      <c r="BS1294" t="s">
        <v>21313</v>
      </c>
      <c r="BT1294" t="s">
        <v>16602</v>
      </c>
    </row>
    <row r="1295" spans="1:72">
      <c r="A1295" t="s">
        <v>72</v>
      </c>
      <c r="B1295" t="s">
        <v>21314</v>
      </c>
      <c r="F1295" t="s">
        <v>21314</v>
      </c>
      <c r="I1295" t="s">
        <v>21315</v>
      </c>
      <c r="J1295" t="s">
        <v>21316</v>
      </c>
      <c r="M1295" t="s">
        <v>78</v>
      </c>
      <c r="N1295" t="s">
        <v>79</v>
      </c>
      <c r="T1295" t="s">
        <v>21317</v>
      </c>
      <c r="U1295" t="s">
        <v>21318</v>
      </c>
      <c r="V1295" t="s">
        <v>21319</v>
      </c>
      <c r="W1295" t="s">
        <v>21320</v>
      </c>
      <c r="X1295" t="s">
        <v>21321</v>
      </c>
      <c r="Y1295" t="s">
        <v>21322</v>
      </c>
      <c r="Z1295" t="s">
        <v>21323</v>
      </c>
      <c r="AG1295">
        <v>40</v>
      </c>
      <c r="AH1295">
        <v>30</v>
      </c>
      <c r="AI1295">
        <v>38</v>
      </c>
      <c r="AJ1295">
        <v>1</v>
      </c>
      <c r="AK1295">
        <v>22</v>
      </c>
      <c r="AL1295" t="s">
        <v>5232</v>
      </c>
      <c r="AM1295" t="s">
        <v>286</v>
      </c>
      <c r="AN1295" t="s">
        <v>5233</v>
      </c>
      <c r="AO1295" t="s">
        <v>21324</v>
      </c>
      <c r="AP1295" t="s">
        <v>21325</v>
      </c>
      <c r="AR1295" t="s">
        <v>21326</v>
      </c>
      <c r="AS1295" t="s">
        <v>21327</v>
      </c>
      <c r="AT1295" t="s">
        <v>267</v>
      </c>
      <c r="AU1295">
        <v>2003</v>
      </c>
      <c r="AV1295">
        <v>57</v>
      </c>
      <c r="AW1295" t="s">
        <v>1070</v>
      </c>
      <c r="BB1295">
        <v>212</v>
      </c>
      <c r="BC1295">
        <v>219</v>
      </c>
      <c r="BE1295" t="s">
        <v>21328</v>
      </c>
      <c r="BF1295" t="s">
        <v>21329</v>
      </c>
      <c r="BI1295">
        <v>8</v>
      </c>
      <c r="BJ1295" t="s">
        <v>4241</v>
      </c>
      <c r="BK1295" t="s">
        <v>96</v>
      </c>
      <c r="BL1295" t="s">
        <v>4241</v>
      </c>
      <c r="BM1295" t="s">
        <v>21330</v>
      </c>
      <c r="BO1295" t="s">
        <v>370</v>
      </c>
      <c r="BR1295" t="s">
        <v>98</v>
      </c>
      <c r="BS1295" t="s">
        <v>21331</v>
      </c>
      <c r="BT1295" t="s">
        <v>16602</v>
      </c>
    </row>
    <row r="1296" spans="1:72">
      <c r="A1296" t="s">
        <v>72</v>
      </c>
      <c r="B1296" t="s">
        <v>21332</v>
      </c>
      <c r="F1296" t="s">
        <v>21332</v>
      </c>
      <c r="I1296" t="s">
        <v>21333</v>
      </c>
      <c r="J1296" t="s">
        <v>21334</v>
      </c>
      <c r="M1296" t="s">
        <v>78</v>
      </c>
      <c r="N1296" t="s">
        <v>79</v>
      </c>
      <c r="V1296" t="s">
        <v>21335</v>
      </c>
      <c r="W1296" t="s">
        <v>21336</v>
      </c>
      <c r="X1296" t="s">
        <v>21337</v>
      </c>
      <c r="Y1296" t="s">
        <v>21338</v>
      </c>
      <c r="AA1296" t="s">
        <v>21339</v>
      </c>
      <c r="AG1296">
        <v>24</v>
      </c>
      <c r="AH1296">
        <v>4</v>
      </c>
      <c r="AI1296">
        <v>4</v>
      </c>
      <c r="AJ1296">
        <v>0</v>
      </c>
      <c r="AK1296">
        <v>1</v>
      </c>
      <c r="AL1296" t="s">
        <v>21340</v>
      </c>
      <c r="AM1296" t="s">
        <v>21341</v>
      </c>
      <c r="AN1296" t="s">
        <v>21342</v>
      </c>
      <c r="AO1296" t="s">
        <v>21343</v>
      </c>
      <c r="AR1296" t="s">
        <v>21344</v>
      </c>
      <c r="AS1296" t="s">
        <v>21345</v>
      </c>
      <c r="AT1296" t="s">
        <v>21346</v>
      </c>
      <c r="AU1296">
        <v>2000</v>
      </c>
      <c r="AV1296">
        <v>78</v>
      </c>
      <c r="AW1296">
        <v>1</v>
      </c>
      <c r="BB1296">
        <v>97</v>
      </c>
      <c r="BC1296">
        <v>101</v>
      </c>
      <c r="BI1296">
        <v>5</v>
      </c>
      <c r="BJ1296" t="s">
        <v>3202</v>
      </c>
      <c r="BK1296" t="s">
        <v>96</v>
      </c>
      <c r="BL1296" t="s">
        <v>3203</v>
      </c>
      <c r="BM1296" t="s">
        <v>21347</v>
      </c>
      <c r="BR1296" t="s">
        <v>98</v>
      </c>
      <c r="BS1296" t="s">
        <v>21348</v>
      </c>
      <c r="BT1296" t="s">
        <v>16602</v>
      </c>
    </row>
    <row r="1297" spans="1:72">
      <c r="A1297" t="s">
        <v>72</v>
      </c>
      <c r="B1297" t="s">
        <v>21349</v>
      </c>
      <c r="F1297" t="s">
        <v>21350</v>
      </c>
      <c r="I1297" t="s">
        <v>21351</v>
      </c>
      <c r="J1297" t="s">
        <v>127</v>
      </c>
      <c r="M1297" t="s">
        <v>78</v>
      </c>
      <c r="N1297" t="s">
        <v>79</v>
      </c>
      <c r="T1297" t="s">
        <v>21352</v>
      </c>
      <c r="U1297" t="s">
        <v>21353</v>
      </c>
      <c r="V1297" t="s">
        <v>21354</v>
      </c>
      <c r="W1297" t="s">
        <v>21355</v>
      </c>
      <c r="X1297" t="s">
        <v>21356</v>
      </c>
      <c r="Y1297" t="s">
        <v>21357</v>
      </c>
      <c r="Z1297" t="s">
        <v>3633</v>
      </c>
      <c r="AA1297" t="s">
        <v>21358</v>
      </c>
      <c r="AB1297" t="s">
        <v>21359</v>
      </c>
      <c r="AC1297" t="s">
        <v>21360</v>
      </c>
      <c r="AD1297" t="s">
        <v>21361</v>
      </c>
      <c r="AE1297" t="s">
        <v>21362</v>
      </c>
      <c r="AG1297">
        <v>45</v>
      </c>
      <c r="AH1297">
        <v>91</v>
      </c>
      <c r="AI1297">
        <v>103</v>
      </c>
      <c r="AJ1297">
        <v>0</v>
      </c>
      <c r="AK1297">
        <v>82</v>
      </c>
      <c r="AL1297" t="s">
        <v>136</v>
      </c>
      <c r="AM1297" t="s">
        <v>137</v>
      </c>
      <c r="AN1297" t="s">
        <v>138</v>
      </c>
      <c r="AO1297" t="s">
        <v>139</v>
      </c>
      <c r="AP1297" t="s">
        <v>140</v>
      </c>
      <c r="AR1297" t="s">
        <v>127</v>
      </c>
      <c r="AS1297" t="s">
        <v>141</v>
      </c>
      <c r="AT1297" t="s">
        <v>1470</v>
      </c>
      <c r="AU1297">
        <v>2010</v>
      </c>
      <c r="AV1297">
        <v>78</v>
      </c>
      <c r="AW1297">
        <v>3</v>
      </c>
      <c r="BB1297">
        <v>232</v>
      </c>
      <c r="BC1297">
        <v>240</v>
      </c>
      <c r="BE1297" t="s">
        <v>21363</v>
      </c>
      <c r="BF1297" t="s">
        <v>21364</v>
      </c>
      <c r="BI1297">
        <v>9</v>
      </c>
      <c r="BJ1297" t="s">
        <v>144</v>
      </c>
      <c r="BK1297" t="s">
        <v>96</v>
      </c>
      <c r="BL1297" t="s">
        <v>145</v>
      </c>
      <c r="BM1297" t="s">
        <v>21365</v>
      </c>
      <c r="BN1297">
        <v>19954812</v>
      </c>
      <c r="BR1297" t="s">
        <v>98</v>
      </c>
      <c r="BS1297" t="s">
        <v>21366</v>
      </c>
      <c r="BT1297" t="s">
        <v>16602</v>
      </c>
    </row>
    <row r="1298" spans="1:72">
      <c r="A1298" t="s">
        <v>72</v>
      </c>
      <c r="B1298" t="s">
        <v>21367</v>
      </c>
      <c r="F1298" t="s">
        <v>21368</v>
      </c>
      <c r="I1298" t="s">
        <v>21369</v>
      </c>
      <c r="J1298" t="s">
        <v>204</v>
      </c>
      <c r="M1298" t="s">
        <v>78</v>
      </c>
      <c r="N1298" t="s">
        <v>79</v>
      </c>
      <c r="T1298" t="s">
        <v>21370</v>
      </c>
      <c r="U1298" t="s">
        <v>21371</v>
      </c>
      <c r="V1298" t="s">
        <v>21372</v>
      </c>
      <c r="W1298" t="s">
        <v>21373</v>
      </c>
      <c r="X1298" t="s">
        <v>21374</v>
      </c>
      <c r="Y1298" t="s">
        <v>21375</v>
      </c>
      <c r="Z1298" t="s">
        <v>21376</v>
      </c>
      <c r="AA1298" t="s">
        <v>21377</v>
      </c>
      <c r="AB1298" t="s">
        <v>21378</v>
      </c>
      <c r="AC1298" t="s">
        <v>21379</v>
      </c>
      <c r="AD1298" t="s">
        <v>21380</v>
      </c>
      <c r="AE1298" t="s">
        <v>21381</v>
      </c>
      <c r="AG1298">
        <v>72</v>
      </c>
      <c r="AH1298">
        <v>6</v>
      </c>
      <c r="AI1298">
        <v>6</v>
      </c>
      <c r="AJ1298">
        <v>4</v>
      </c>
      <c r="AK1298">
        <v>9</v>
      </c>
      <c r="AL1298" t="s">
        <v>217</v>
      </c>
      <c r="AM1298" t="s">
        <v>218</v>
      </c>
      <c r="AN1298" t="s">
        <v>219</v>
      </c>
      <c r="AO1298" t="s">
        <v>220</v>
      </c>
      <c r="AP1298" t="s">
        <v>221</v>
      </c>
      <c r="AR1298" t="s">
        <v>222</v>
      </c>
      <c r="AS1298" t="s">
        <v>223</v>
      </c>
      <c r="AT1298" t="s">
        <v>765</v>
      </c>
      <c r="AU1298">
        <v>2018</v>
      </c>
      <c r="AV1298">
        <v>25</v>
      </c>
      <c r="AW1298">
        <v>21</v>
      </c>
      <c r="AZ1298" t="s">
        <v>225</v>
      </c>
      <c r="BB1298">
        <v>20930</v>
      </c>
      <c r="BC1298">
        <v>20945</v>
      </c>
      <c r="BE1298" t="s">
        <v>21382</v>
      </c>
      <c r="BF1298" t="s">
        <v>21383</v>
      </c>
      <c r="BI1298">
        <v>16</v>
      </c>
      <c r="BJ1298" t="s">
        <v>144</v>
      </c>
      <c r="BK1298" t="s">
        <v>96</v>
      </c>
      <c r="BL1298" t="s">
        <v>145</v>
      </c>
      <c r="BM1298" t="s">
        <v>21384</v>
      </c>
      <c r="BN1298">
        <v>29766426</v>
      </c>
      <c r="BR1298" t="s">
        <v>98</v>
      </c>
      <c r="BS1298" t="s">
        <v>21385</v>
      </c>
      <c r="BT1298" t="s">
        <v>16602</v>
      </c>
    </row>
    <row r="1299" spans="1:72">
      <c r="A1299" t="s">
        <v>72</v>
      </c>
      <c r="B1299" t="s">
        <v>21386</v>
      </c>
      <c r="F1299" t="s">
        <v>21387</v>
      </c>
      <c r="I1299" t="s">
        <v>21388</v>
      </c>
      <c r="J1299" t="s">
        <v>17028</v>
      </c>
      <c r="M1299" t="s">
        <v>78</v>
      </c>
      <c r="N1299" t="s">
        <v>79</v>
      </c>
      <c r="T1299" t="s">
        <v>21389</v>
      </c>
      <c r="U1299" t="s">
        <v>21390</v>
      </c>
      <c r="V1299" t="s">
        <v>21391</v>
      </c>
      <c r="W1299" t="s">
        <v>21392</v>
      </c>
      <c r="X1299" t="s">
        <v>3483</v>
      </c>
      <c r="Y1299" t="s">
        <v>21393</v>
      </c>
      <c r="Z1299" t="s">
        <v>1955</v>
      </c>
      <c r="AA1299" t="s">
        <v>6964</v>
      </c>
      <c r="AB1299" t="s">
        <v>21394</v>
      </c>
      <c r="AC1299" t="s">
        <v>21395</v>
      </c>
      <c r="AD1299" t="s">
        <v>21396</v>
      </c>
      <c r="AE1299" t="s">
        <v>21397</v>
      </c>
      <c r="AG1299">
        <v>51</v>
      </c>
      <c r="AH1299">
        <v>12</v>
      </c>
      <c r="AI1299">
        <v>13</v>
      </c>
      <c r="AJ1299">
        <v>0</v>
      </c>
      <c r="AK1299">
        <v>38</v>
      </c>
      <c r="AL1299" t="s">
        <v>285</v>
      </c>
      <c r="AM1299" t="s">
        <v>286</v>
      </c>
      <c r="AN1299" t="s">
        <v>287</v>
      </c>
      <c r="AO1299" t="s">
        <v>17040</v>
      </c>
      <c r="AP1299" t="s">
        <v>17041</v>
      </c>
      <c r="AR1299" t="s">
        <v>17042</v>
      </c>
      <c r="AS1299" t="s">
        <v>17043</v>
      </c>
      <c r="AT1299" t="s">
        <v>3506</v>
      </c>
      <c r="AU1299">
        <v>2018</v>
      </c>
      <c r="AV1299">
        <v>222</v>
      </c>
      <c r="BB1299">
        <v>3</v>
      </c>
      <c r="BC1299">
        <v>11</v>
      </c>
      <c r="BE1299" t="s">
        <v>21398</v>
      </c>
      <c r="BF1299" t="s">
        <v>21399</v>
      </c>
      <c r="BI1299">
        <v>9</v>
      </c>
      <c r="BJ1299" t="s">
        <v>144</v>
      </c>
      <c r="BK1299" t="s">
        <v>96</v>
      </c>
      <c r="BL1299" t="s">
        <v>145</v>
      </c>
      <c r="BM1299" t="s">
        <v>21400</v>
      </c>
      <c r="BN1299">
        <v>29800861</v>
      </c>
      <c r="BR1299" t="s">
        <v>98</v>
      </c>
      <c r="BS1299" t="s">
        <v>21401</v>
      </c>
      <c r="BT1299" t="s">
        <v>16602</v>
      </c>
    </row>
    <row r="1300" spans="1:72">
      <c r="A1300" t="s">
        <v>72</v>
      </c>
      <c r="B1300" t="s">
        <v>21402</v>
      </c>
      <c r="F1300" t="s">
        <v>21402</v>
      </c>
      <c r="I1300" t="s">
        <v>21403</v>
      </c>
      <c r="J1300" t="s">
        <v>13525</v>
      </c>
      <c r="M1300" t="s">
        <v>78</v>
      </c>
      <c r="N1300" t="s">
        <v>79</v>
      </c>
      <c r="U1300" t="s">
        <v>21404</v>
      </c>
      <c r="V1300" t="s">
        <v>21405</v>
      </c>
      <c r="Y1300" t="s">
        <v>21406</v>
      </c>
      <c r="AA1300" t="s">
        <v>21407</v>
      </c>
      <c r="AG1300">
        <v>37</v>
      </c>
      <c r="AH1300">
        <v>12</v>
      </c>
      <c r="AI1300">
        <v>13</v>
      </c>
      <c r="AJ1300">
        <v>0</v>
      </c>
      <c r="AK1300">
        <v>2</v>
      </c>
      <c r="AL1300" t="s">
        <v>2336</v>
      </c>
      <c r="AM1300" t="s">
        <v>113</v>
      </c>
      <c r="AN1300" t="s">
        <v>21408</v>
      </c>
      <c r="AO1300" t="s">
        <v>13529</v>
      </c>
      <c r="AR1300" t="s">
        <v>13530</v>
      </c>
      <c r="AS1300" t="s">
        <v>13531</v>
      </c>
      <c r="AT1300" t="s">
        <v>951</v>
      </c>
      <c r="AU1300">
        <v>1996</v>
      </c>
      <c r="AV1300">
        <v>76</v>
      </c>
      <c r="AW1300">
        <v>4</v>
      </c>
      <c r="BB1300">
        <v>1061</v>
      </c>
      <c r="BC1300">
        <v>1071</v>
      </c>
      <c r="BE1300" t="s">
        <v>21409</v>
      </c>
      <c r="BF1300" t="s">
        <v>21410</v>
      </c>
      <c r="BI1300">
        <v>11</v>
      </c>
      <c r="BJ1300" t="s">
        <v>680</v>
      </c>
      <c r="BK1300" t="s">
        <v>96</v>
      </c>
      <c r="BL1300" t="s">
        <v>680</v>
      </c>
      <c r="BM1300" t="s">
        <v>13533</v>
      </c>
      <c r="BR1300" t="s">
        <v>98</v>
      </c>
      <c r="BS1300" t="s">
        <v>21411</v>
      </c>
      <c r="BT1300" t="s">
        <v>16602</v>
      </c>
    </row>
    <row r="1301" spans="1:72">
      <c r="A1301" t="s">
        <v>72</v>
      </c>
      <c r="B1301" t="s">
        <v>21412</v>
      </c>
      <c r="F1301" t="s">
        <v>21413</v>
      </c>
      <c r="I1301" t="s">
        <v>21414</v>
      </c>
      <c r="J1301" t="s">
        <v>127</v>
      </c>
      <c r="M1301" t="s">
        <v>78</v>
      </c>
      <c r="N1301" t="s">
        <v>79</v>
      </c>
      <c r="T1301" t="s">
        <v>21415</v>
      </c>
      <c r="U1301" t="s">
        <v>21416</v>
      </c>
      <c r="V1301" t="s">
        <v>21417</v>
      </c>
      <c r="W1301" t="s">
        <v>21418</v>
      </c>
      <c r="X1301" t="s">
        <v>21419</v>
      </c>
      <c r="Y1301" t="s">
        <v>21420</v>
      </c>
      <c r="Z1301" t="s">
        <v>10136</v>
      </c>
      <c r="AG1301">
        <v>56</v>
      </c>
      <c r="AH1301">
        <v>103</v>
      </c>
      <c r="AI1301">
        <v>116</v>
      </c>
      <c r="AJ1301">
        <v>1</v>
      </c>
      <c r="AK1301">
        <v>44</v>
      </c>
      <c r="AL1301" t="s">
        <v>136</v>
      </c>
      <c r="AM1301" t="s">
        <v>137</v>
      </c>
      <c r="AN1301" t="s">
        <v>138</v>
      </c>
      <c r="AO1301" t="s">
        <v>139</v>
      </c>
      <c r="AR1301" t="s">
        <v>127</v>
      </c>
      <c r="AS1301" t="s">
        <v>141</v>
      </c>
      <c r="AT1301" t="s">
        <v>951</v>
      </c>
      <c r="AU1301">
        <v>2007</v>
      </c>
      <c r="AV1301">
        <v>70</v>
      </c>
      <c r="AW1301">
        <v>1</v>
      </c>
      <c r="BB1301">
        <v>155</v>
      </c>
      <c r="BC1301">
        <v>164</v>
      </c>
      <c r="BE1301" t="s">
        <v>21421</v>
      </c>
      <c r="BF1301" t="s">
        <v>21422</v>
      </c>
      <c r="BI1301">
        <v>10</v>
      </c>
      <c r="BJ1301" t="s">
        <v>144</v>
      </c>
      <c r="BK1301" t="s">
        <v>96</v>
      </c>
      <c r="BL1301" t="s">
        <v>145</v>
      </c>
      <c r="BM1301" t="s">
        <v>21423</v>
      </c>
      <c r="BN1301">
        <v>17707880</v>
      </c>
      <c r="BR1301" t="s">
        <v>98</v>
      </c>
      <c r="BS1301" t="s">
        <v>21424</v>
      </c>
      <c r="BT1301" t="s">
        <v>16602</v>
      </c>
    </row>
    <row r="1302" spans="1:72">
      <c r="A1302" t="s">
        <v>72</v>
      </c>
      <c r="B1302" t="s">
        <v>21425</v>
      </c>
      <c r="F1302" t="s">
        <v>21425</v>
      </c>
      <c r="I1302" t="s">
        <v>21426</v>
      </c>
      <c r="J1302" t="s">
        <v>232</v>
      </c>
      <c r="M1302" t="s">
        <v>78</v>
      </c>
      <c r="N1302" t="s">
        <v>79</v>
      </c>
      <c r="V1302" t="s">
        <v>21427</v>
      </c>
      <c r="W1302" t="s">
        <v>21428</v>
      </c>
      <c r="X1302" t="s">
        <v>21429</v>
      </c>
      <c r="Y1302" t="s">
        <v>21430</v>
      </c>
      <c r="AG1302">
        <v>33</v>
      </c>
      <c r="AH1302">
        <v>14</v>
      </c>
      <c r="AI1302">
        <v>16</v>
      </c>
      <c r="AJ1302">
        <v>0</v>
      </c>
      <c r="AK1302">
        <v>5</v>
      </c>
      <c r="AL1302" t="s">
        <v>136</v>
      </c>
      <c r="AM1302" t="s">
        <v>137</v>
      </c>
      <c r="AN1302" t="s">
        <v>138</v>
      </c>
      <c r="AO1302" t="s">
        <v>240</v>
      </c>
      <c r="AP1302" t="s">
        <v>241</v>
      </c>
      <c r="AR1302" t="s">
        <v>242</v>
      </c>
      <c r="AS1302" t="s">
        <v>243</v>
      </c>
      <c r="AU1302">
        <v>1984</v>
      </c>
      <c r="AV1302">
        <v>15</v>
      </c>
      <c r="AW1302">
        <v>6</v>
      </c>
      <c r="BB1302">
        <v>213</v>
      </c>
      <c r="BC1302">
        <v>218</v>
      </c>
      <c r="BE1302" t="s">
        <v>21431</v>
      </c>
      <c r="BF1302" t="s">
        <v>21432</v>
      </c>
      <c r="BI1302">
        <v>6</v>
      </c>
      <c r="BJ1302" t="s">
        <v>247</v>
      </c>
      <c r="BK1302" t="s">
        <v>96</v>
      </c>
      <c r="BL1302" t="s">
        <v>248</v>
      </c>
      <c r="BM1302" t="s">
        <v>21433</v>
      </c>
      <c r="BR1302" t="s">
        <v>98</v>
      </c>
      <c r="BS1302" t="s">
        <v>21434</v>
      </c>
      <c r="BT1302" t="s">
        <v>16602</v>
      </c>
    </row>
    <row r="1303" spans="1:72">
      <c r="A1303" t="s">
        <v>72</v>
      </c>
      <c r="B1303" t="s">
        <v>21435</v>
      </c>
      <c r="F1303" t="s">
        <v>21436</v>
      </c>
      <c r="I1303" t="s">
        <v>21437</v>
      </c>
      <c r="J1303" t="s">
        <v>4549</v>
      </c>
      <c r="M1303" t="s">
        <v>78</v>
      </c>
      <c r="N1303" t="s">
        <v>79</v>
      </c>
      <c r="T1303" t="s">
        <v>21438</v>
      </c>
      <c r="U1303" t="s">
        <v>21439</v>
      </c>
      <c r="V1303" t="s">
        <v>21440</v>
      </c>
      <c r="W1303" t="s">
        <v>21441</v>
      </c>
      <c r="X1303" t="s">
        <v>9952</v>
      </c>
      <c r="Y1303" t="s">
        <v>21442</v>
      </c>
      <c r="Z1303" t="s">
        <v>21443</v>
      </c>
      <c r="AC1303" t="s">
        <v>21444</v>
      </c>
      <c r="AD1303" t="s">
        <v>21445</v>
      </c>
      <c r="AE1303" t="s">
        <v>21446</v>
      </c>
      <c r="AG1303">
        <v>55</v>
      </c>
      <c r="AH1303">
        <v>79</v>
      </c>
      <c r="AI1303">
        <v>88</v>
      </c>
      <c r="AJ1303">
        <v>1</v>
      </c>
      <c r="AK1303">
        <v>42</v>
      </c>
      <c r="AL1303" t="s">
        <v>136</v>
      </c>
      <c r="AM1303" t="s">
        <v>137</v>
      </c>
      <c r="AN1303" t="s">
        <v>138</v>
      </c>
      <c r="AO1303" t="s">
        <v>4559</v>
      </c>
      <c r="AR1303" t="s">
        <v>4561</v>
      </c>
      <c r="AS1303" t="s">
        <v>4562</v>
      </c>
      <c r="AT1303" t="s">
        <v>197</v>
      </c>
      <c r="AU1303">
        <v>2011</v>
      </c>
      <c r="AV1303">
        <v>49</v>
      </c>
      <c r="AW1303">
        <v>12</v>
      </c>
      <c r="BB1303">
        <v>3407</v>
      </c>
      <c r="BC1303">
        <v>3417</v>
      </c>
      <c r="BE1303" t="s">
        <v>21447</v>
      </c>
      <c r="BF1303" t="s">
        <v>21448</v>
      </c>
      <c r="BI1303">
        <v>11</v>
      </c>
      <c r="BJ1303" t="s">
        <v>4564</v>
      </c>
      <c r="BK1303" t="s">
        <v>96</v>
      </c>
      <c r="BL1303" t="s">
        <v>4564</v>
      </c>
      <c r="BM1303" t="s">
        <v>21449</v>
      </c>
      <c r="BN1303">
        <v>21712065</v>
      </c>
      <c r="BR1303" t="s">
        <v>98</v>
      </c>
      <c r="BS1303" t="s">
        <v>21450</v>
      </c>
      <c r="BT1303" t="s">
        <v>16602</v>
      </c>
    </row>
    <row r="1304" spans="1:72">
      <c r="A1304" t="s">
        <v>72</v>
      </c>
      <c r="B1304" t="s">
        <v>21451</v>
      </c>
      <c r="F1304" t="s">
        <v>21451</v>
      </c>
      <c r="I1304" t="s">
        <v>21452</v>
      </c>
      <c r="J1304" t="s">
        <v>909</v>
      </c>
      <c r="M1304" t="s">
        <v>78</v>
      </c>
      <c r="N1304" t="s">
        <v>79</v>
      </c>
      <c r="T1304" t="s">
        <v>21453</v>
      </c>
      <c r="U1304" t="s">
        <v>21454</v>
      </c>
      <c r="V1304" t="s">
        <v>21455</v>
      </c>
      <c r="W1304" t="s">
        <v>21456</v>
      </c>
      <c r="X1304" t="s">
        <v>21457</v>
      </c>
      <c r="Y1304" t="s">
        <v>21458</v>
      </c>
      <c r="AA1304" t="s">
        <v>21459</v>
      </c>
      <c r="AB1304" t="s">
        <v>21460</v>
      </c>
      <c r="AG1304">
        <v>39</v>
      </c>
      <c r="AH1304">
        <v>27</v>
      </c>
      <c r="AI1304">
        <v>31</v>
      </c>
      <c r="AJ1304">
        <v>2</v>
      </c>
      <c r="AK1304">
        <v>6</v>
      </c>
      <c r="AL1304" t="s">
        <v>919</v>
      </c>
      <c r="AM1304" t="s">
        <v>651</v>
      </c>
      <c r="AN1304" t="s">
        <v>920</v>
      </c>
      <c r="AO1304" t="s">
        <v>921</v>
      </c>
      <c r="AR1304" t="s">
        <v>923</v>
      </c>
      <c r="AS1304" t="s">
        <v>924</v>
      </c>
      <c r="AT1304" t="s">
        <v>21461</v>
      </c>
      <c r="AU1304">
        <v>1999</v>
      </c>
      <c r="AV1304">
        <v>229</v>
      </c>
      <c r="AW1304">
        <v>3</v>
      </c>
      <c r="BB1304">
        <v>227</v>
      </c>
      <c r="BC1304">
        <v>234</v>
      </c>
      <c r="BE1304" t="s">
        <v>21462</v>
      </c>
      <c r="BF1304" t="s">
        <v>21463</v>
      </c>
      <c r="BI1304">
        <v>8</v>
      </c>
      <c r="BJ1304" t="s">
        <v>144</v>
      </c>
      <c r="BK1304" t="s">
        <v>96</v>
      </c>
      <c r="BL1304" t="s">
        <v>145</v>
      </c>
      <c r="BM1304" t="s">
        <v>21464</v>
      </c>
      <c r="BN1304">
        <v>10454906</v>
      </c>
      <c r="BR1304" t="s">
        <v>98</v>
      </c>
      <c r="BS1304" t="s">
        <v>21465</v>
      </c>
      <c r="BT1304" t="s">
        <v>16602</v>
      </c>
    </row>
    <row r="1305" spans="1:72">
      <c r="A1305" t="s">
        <v>72</v>
      </c>
      <c r="B1305" t="s">
        <v>21466</v>
      </c>
      <c r="F1305" t="s">
        <v>21466</v>
      </c>
      <c r="I1305" t="s">
        <v>21467</v>
      </c>
      <c r="J1305" t="s">
        <v>998</v>
      </c>
      <c r="M1305" t="s">
        <v>78</v>
      </c>
      <c r="N1305" t="s">
        <v>79</v>
      </c>
      <c r="U1305" t="s">
        <v>21468</v>
      </c>
      <c r="V1305" t="s">
        <v>21469</v>
      </c>
      <c r="W1305" t="s">
        <v>21470</v>
      </c>
      <c r="X1305" t="s">
        <v>21471</v>
      </c>
      <c r="AG1305">
        <v>35</v>
      </c>
      <c r="AH1305">
        <v>29</v>
      </c>
      <c r="AI1305">
        <v>30</v>
      </c>
      <c r="AJ1305">
        <v>0</v>
      </c>
      <c r="AK1305">
        <v>4</v>
      </c>
      <c r="AL1305" t="s">
        <v>6584</v>
      </c>
      <c r="AM1305" t="s">
        <v>113</v>
      </c>
      <c r="AN1305" t="s">
        <v>6585</v>
      </c>
      <c r="AO1305" t="s">
        <v>1009</v>
      </c>
      <c r="AR1305" t="s">
        <v>1010</v>
      </c>
      <c r="AS1305" t="s">
        <v>1011</v>
      </c>
      <c r="AT1305" t="s">
        <v>119</v>
      </c>
      <c r="AU1305">
        <v>1996</v>
      </c>
      <c r="AV1305">
        <v>31</v>
      </c>
      <c r="AW1305">
        <v>2</v>
      </c>
      <c r="BB1305">
        <v>192</v>
      </c>
      <c r="BC1305">
        <v>198</v>
      </c>
      <c r="BI1305">
        <v>7</v>
      </c>
      <c r="BJ1305" t="s">
        <v>121</v>
      </c>
      <c r="BK1305" t="s">
        <v>96</v>
      </c>
      <c r="BL1305" t="s">
        <v>122</v>
      </c>
      <c r="BM1305" t="s">
        <v>21472</v>
      </c>
      <c r="BN1305">
        <v>8781068</v>
      </c>
      <c r="BR1305" t="s">
        <v>98</v>
      </c>
      <c r="BS1305" t="s">
        <v>21473</v>
      </c>
      <c r="BT1305" t="s">
        <v>16602</v>
      </c>
    </row>
    <row r="1306" spans="1:72">
      <c r="A1306" t="s">
        <v>72</v>
      </c>
      <c r="B1306" t="s">
        <v>21474</v>
      </c>
      <c r="F1306" t="s">
        <v>21474</v>
      </c>
      <c r="I1306" t="s">
        <v>21475</v>
      </c>
      <c r="J1306" t="s">
        <v>14966</v>
      </c>
      <c r="M1306" t="s">
        <v>78</v>
      </c>
      <c r="N1306" t="s">
        <v>79</v>
      </c>
      <c r="T1306" t="s">
        <v>21476</v>
      </c>
      <c r="U1306" t="s">
        <v>21477</v>
      </c>
      <c r="V1306" t="s">
        <v>21478</v>
      </c>
      <c r="W1306" t="s">
        <v>21479</v>
      </c>
      <c r="X1306" t="s">
        <v>21480</v>
      </c>
      <c r="Y1306" t="s">
        <v>21481</v>
      </c>
      <c r="Z1306" t="s">
        <v>21482</v>
      </c>
      <c r="AA1306" t="s">
        <v>21483</v>
      </c>
      <c r="AB1306" t="s">
        <v>21484</v>
      </c>
      <c r="AG1306">
        <v>70</v>
      </c>
      <c r="AH1306">
        <v>25</v>
      </c>
      <c r="AI1306">
        <v>26</v>
      </c>
      <c r="AJ1306">
        <v>0</v>
      </c>
      <c r="AK1306">
        <v>12</v>
      </c>
      <c r="AL1306" t="s">
        <v>14976</v>
      </c>
      <c r="AM1306" t="s">
        <v>14977</v>
      </c>
      <c r="AN1306" t="s">
        <v>14978</v>
      </c>
      <c r="AO1306" t="s">
        <v>14979</v>
      </c>
      <c r="AP1306" t="s">
        <v>14980</v>
      </c>
      <c r="AR1306" t="s">
        <v>14981</v>
      </c>
      <c r="AS1306" t="s">
        <v>14982</v>
      </c>
      <c r="AT1306" t="s">
        <v>197</v>
      </c>
      <c r="AU1306">
        <v>2003</v>
      </c>
      <c r="AV1306">
        <v>46</v>
      </c>
      <c r="AW1306">
        <v>4</v>
      </c>
      <c r="BB1306">
        <v>673</v>
      </c>
      <c r="BC1306">
        <v>684</v>
      </c>
      <c r="BE1306" t="s">
        <v>21485</v>
      </c>
      <c r="BF1306" t="s">
        <v>21486</v>
      </c>
      <c r="BI1306">
        <v>12</v>
      </c>
      <c r="BJ1306" t="s">
        <v>171</v>
      </c>
      <c r="BK1306" t="s">
        <v>96</v>
      </c>
      <c r="BL1306" t="s">
        <v>173</v>
      </c>
      <c r="BM1306" t="s">
        <v>21487</v>
      </c>
      <c r="BO1306" t="s">
        <v>12986</v>
      </c>
      <c r="BR1306" t="s">
        <v>98</v>
      </c>
      <c r="BS1306" t="s">
        <v>21488</v>
      </c>
      <c r="BT1306" t="s">
        <v>16602</v>
      </c>
    </row>
    <row r="1307" spans="1:72">
      <c r="A1307" t="s">
        <v>72</v>
      </c>
      <c r="B1307" t="s">
        <v>21489</v>
      </c>
      <c r="F1307" t="s">
        <v>21489</v>
      </c>
      <c r="I1307" t="s">
        <v>21490</v>
      </c>
      <c r="J1307" t="s">
        <v>5592</v>
      </c>
      <c r="M1307" t="s">
        <v>78</v>
      </c>
      <c r="N1307" t="s">
        <v>79</v>
      </c>
      <c r="T1307" t="s">
        <v>21491</v>
      </c>
      <c r="U1307" t="s">
        <v>21492</v>
      </c>
      <c r="V1307" t="s">
        <v>21493</v>
      </c>
      <c r="W1307" t="s">
        <v>21494</v>
      </c>
      <c r="Y1307" t="s">
        <v>21495</v>
      </c>
      <c r="AG1307">
        <v>68</v>
      </c>
      <c r="AH1307">
        <v>121</v>
      </c>
      <c r="AI1307">
        <v>145</v>
      </c>
      <c r="AJ1307">
        <v>1</v>
      </c>
      <c r="AK1307">
        <v>41</v>
      </c>
      <c r="AL1307" t="s">
        <v>14477</v>
      </c>
      <c r="AM1307" t="s">
        <v>286</v>
      </c>
      <c r="AN1307" t="s">
        <v>10430</v>
      </c>
      <c r="AO1307" t="s">
        <v>5605</v>
      </c>
      <c r="AR1307" t="s">
        <v>5607</v>
      </c>
      <c r="AS1307" t="s">
        <v>5608</v>
      </c>
      <c r="AT1307" t="s">
        <v>765</v>
      </c>
      <c r="AU1307">
        <v>1996</v>
      </c>
      <c r="AV1307">
        <v>43</v>
      </c>
      <c r="AW1307">
        <v>1</v>
      </c>
      <c r="BB1307">
        <v>55</v>
      </c>
      <c r="BC1307">
        <v>79</v>
      </c>
      <c r="BE1307" t="s">
        <v>21496</v>
      </c>
      <c r="BF1307" t="s">
        <v>21497</v>
      </c>
      <c r="BI1307">
        <v>25</v>
      </c>
      <c r="BJ1307" t="s">
        <v>4241</v>
      </c>
      <c r="BK1307" t="s">
        <v>96</v>
      </c>
      <c r="BL1307" t="s">
        <v>4241</v>
      </c>
      <c r="BM1307" t="s">
        <v>21498</v>
      </c>
      <c r="BR1307" t="s">
        <v>98</v>
      </c>
      <c r="BS1307" t="s">
        <v>21499</v>
      </c>
      <c r="BT1307" t="s">
        <v>16602</v>
      </c>
    </row>
    <row r="1308" spans="1:72">
      <c r="A1308" t="s">
        <v>72</v>
      </c>
      <c r="B1308" t="s">
        <v>21500</v>
      </c>
      <c r="F1308" t="s">
        <v>21501</v>
      </c>
      <c r="I1308" t="s">
        <v>21502</v>
      </c>
      <c r="J1308" t="s">
        <v>21503</v>
      </c>
      <c r="M1308" t="s">
        <v>78</v>
      </c>
      <c r="N1308" t="s">
        <v>79</v>
      </c>
      <c r="T1308" t="s">
        <v>21504</v>
      </c>
      <c r="U1308" t="s">
        <v>21505</v>
      </c>
      <c r="V1308" t="s">
        <v>21506</v>
      </c>
      <c r="W1308" t="s">
        <v>21507</v>
      </c>
      <c r="X1308" t="s">
        <v>21508</v>
      </c>
      <c r="Y1308" t="s">
        <v>21509</v>
      </c>
      <c r="Z1308" t="s">
        <v>21510</v>
      </c>
      <c r="AA1308" t="s">
        <v>21511</v>
      </c>
      <c r="AB1308" t="s">
        <v>21512</v>
      </c>
      <c r="AG1308">
        <v>70</v>
      </c>
      <c r="AH1308">
        <v>23</v>
      </c>
      <c r="AI1308">
        <v>24</v>
      </c>
      <c r="AJ1308">
        <v>1</v>
      </c>
      <c r="AK1308">
        <v>33</v>
      </c>
      <c r="AL1308" t="s">
        <v>1566</v>
      </c>
      <c r="AM1308" t="s">
        <v>1567</v>
      </c>
      <c r="AN1308" t="s">
        <v>1568</v>
      </c>
      <c r="AP1308" t="s">
        <v>21513</v>
      </c>
      <c r="AR1308" t="s">
        <v>21503</v>
      </c>
      <c r="AS1308" t="s">
        <v>21514</v>
      </c>
      <c r="AT1308" t="s">
        <v>1223</v>
      </c>
      <c r="AU1308">
        <v>2022</v>
      </c>
      <c r="AV1308">
        <v>14</v>
      </c>
      <c r="AW1308">
        <v>5</v>
      </c>
      <c r="BD1308">
        <v>964</v>
      </c>
      <c r="BE1308" t="s">
        <v>21515</v>
      </c>
      <c r="BF1308" t="s">
        <v>21516</v>
      </c>
      <c r="BI1308">
        <v>21</v>
      </c>
      <c r="BJ1308" t="s">
        <v>21517</v>
      </c>
      <c r="BK1308" t="s">
        <v>96</v>
      </c>
      <c r="BL1308" t="s">
        <v>21517</v>
      </c>
      <c r="BM1308" t="s">
        <v>21518</v>
      </c>
      <c r="BN1308">
        <v>35267939</v>
      </c>
      <c r="BO1308" t="s">
        <v>2155</v>
      </c>
      <c r="BR1308" t="s">
        <v>98</v>
      </c>
      <c r="BS1308" t="s">
        <v>21519</v>
      </c>
      <c r="BT1308" t="s">
        <v>16602</v>
      </c>
    </row>
    <row r="1309" spans="1:72">
      <c r="A1309" t="s">
        <v>72</v>
      </c>
      <c r="B1309" t="s">
        <v>21520</v>
      </c>
      <c r="F1309" t="s">
        <v>21521</v>
      </c>
      <c r="I1309" t="s">
        <v>21522</v>
      </c>
      <c r="J1309" t="s">
        <v>704</v>
      </c>
      <c r="M1309" t="s">
        <v>78</v>
      </c>
      <c r="N1309" t="s">
        <v>79</v>
      </c>
      <c r="T1309" t="s">
        <v>21523</v>
      </c>
      <c r="U1309" t="s">
        <v>21524</v>
      </c>
      <c r="V1309" t="s">
        <v>21525</v>
      </c>
      <c r="W1309" t="s">
        <v>21526</v>
      </c>
      <c r="X1309" t="s">
        <v>21527</v>
      </c>
      <c r="Y1309" t="s">
        <v>21528</v>
      </c>
      <c r="Z1309" t="s">
        <v>21529</v>
      </c>
      <c r="AB1309" t="s">
        <v>21530</v>
      </c>
      <c r="AG1309">
        <v>28</v>
      </c>
      <c r="AH1309">
        <v>34</v>
      </c>
      <c r="AI1309">
        <v>36</v>
      </c>
      <c r="AJ1309">
        <v>1</v>
      </c>
      <c r="AK1309">
        <v>28</v>
      </c>
      <c r="AL1309" t="s">
        <v>4010</v>
      </c>
      <c r="AM1309" t="s">
        <v>1167</v>
      </c>
      <c r="AN1309" t="s">
        <v>1168</v>
      </c>
      <c r="AO1309" t="s">
        <v>718</v>
      </c>
      <c r="AP1309" t="s">
        <v>1169</v>
      </c>
      <c r="AR1309" t="s">
        <v>719</v>
      </c>
      <c r="AS1309" t="s">
        <v>720</v>
      </c>
      <c r="AT1309" t="s">
        <v>224</v>
      </c>
      <c r="AU1309">
        <v>2009</v>
      </c>
      <c r="AV1309">
        <v>197</v>
      </c>
      <c r="AW1309" t="s">
        <v>721</v>
      </c>
      <c r="BB1309">
        <v>35</v>
      </c>
      <c r="BC1309">
        <v>47</v>
      </c>
      <c r="BE1309" t="s">
        <v>21531</v>
      </c>
      <c r="BF1309" t="s">
        <v>21532</v>
      </c>
      <c r="BI1309">
        <v>13</v>
      </c>
      <c r="BJ1309" t="s">
        <v>722</v>
      </c>
      <c r="BK1309" t="s">
        <v>96</v>
      </c>
      <c r="BL1309" t="s">
        <v>723</v>
      </c>
      <c r="BM1309" t="s">
        <v>12399</v>
      </c>
      <c r="BR1309" t="s">
        <v>98</v>
      </c>
      <c r="BS1309" t="s">
        <v>21533</v>
      </c>
      <c r="BT1309" t="s">
        <v>16602</v>
      </c>
    </row>
    <row r="1310" spans="1:72">
      <c r="A1310" t="s">
        <v>72</v>
      </c>
      <c r="B1310" t="s">
        <v>21534</v>
      </c>
      <c r="F1310" t="s">
        <v>21535</v>
      </c>
      <c r="I1310" t="s">
        <v>21536</v>
      </c>
      <c r="J1310" t="s">
        <v>421</v>
      </c>
      <c r="M1310" t="s">
        <v>78</v>
      </c>
      <c r="N1310" t="s">
        <v>79</v>
      </c>
      <c r="T1310" t="s">
        <v>21537</v>
      </c>
      <c r="U1310" t="s">
        <v>21538</v>
      </c>
      <c r="V1310" t="s">
        <v>21539</v>
      </c>
      <c r="W1310" t="s">
        <v>21540</v>
      </c>
      <c r="X1310" t="s">
        <v>4386</v>
      </c>
      <c r="Y1310" t="s">
        <v>21541</v>
      </c>
      <c r="Z1310" t="s">
        <v>21542</v>
      </c>
      <c r="AA1310" t="s">
        <v>21543</v>
      </c>
      <c r="AB1310" t="s">
        <v>21544</v>
      </c>
      <c r="AG1310">
        <v>42</v>
      </c>
      <c r="AH1310">
        <v>39</v>
      </c>
      <c r="AI1310">
        <v>46</v>
      </c>
      <c r="AJ1310">
        <v>2</v>
      </c>
      <c r="AK1310">
        <v>30</v>
      </c>
      <c r="AL1310" t="s">
        <v>430</v>
      </c>
      <c r="AM1310" t="s">
        <v>137</v>
      </c>
      <c r="AN1310" t="s">
        <v>431</v>
      </c>
      <c r="AO1310" t="s">
        <v>432</v>
      </c>
      <c r="AP1310" t="s">
        <v>1394</v>
      </c>
      <c r="AR1310" t="s">
        <v>433</v>
      </c>
      <c r="AS1310" t="s">
        <v>434</v>
      </c>
      <c r="AT1310" t="s">
        <v>765</v>
      </c>
      <c r="AU1310">
        <v>2007</v>
      </c>
      <c r="AV1310">
        <v>148</v>
      </c>
      <c r="AW1310">
        <v>1</v>
      </c>
      <c r="BB1310">
        <v>166</v>
      </c>
      <c r="BC1310">
        <v>175</v>
      </c>
      <c r="BE1310" t="s">
        <v>21545</v>
      </c>
      <c r="BF1310" t="s">
        <v>21546</v>
      </c>
      <c r="BI1310">
        <v>10</v>
      </c>
      <c r="BJ1310" t="s">
        <v>144</v>
      </c>
      <c r="BK1310" t="s">
        <v>96</v>
      </c>
      <c r="BL1310" t="s">
        <v>145</v>
      </c>
      <c r="BM1310" t="s">
        <v>21547</v>
      </c>
      <c r="BN1310">
        <v>17240028</v>
      </c>
      <c r="BR1310" t="s">
        <v>98</v>
      </c>
      <c r="BS1310" t="s">
        <v>21548</v>
      </c>
      <c r="BT1310" t="s">
        <v>16602</v>
      </c>
    </row>
    <row r="1311" spans="1:72">
      <c r="A1311" t="s">
        <v>72</v>
      </c>
      <c r="B1311" t="s">
        <v>21549</v>
      </c>
      <c r="F1311" t="s">
        <v>21550</v>
      </c>
      <c r="I1311" t="s">
        <v>21551</v>
      </c>
      <c r="J1311" t="s">
        <v>3857</v>
      </c>
      <c r="M1311" t="s">
        <v>78</v>
      </c>
      <c r="N1311" t="s">
        <v>79</v>
      </c>
      <c r="T1311" t="s">
        <v>21552</v>
      </c>
      <c r="U1311" t="s">
        <v>21553</v>
      </c>
      <c r="V1311" t="s">
        <v>21554</v>
      </c>
      <c r="W1311" t="s">
        <v>21555</v>
      </c>
      <c r="X1311" t="s">
        <v>21556</v>
      </c>
      <c r="Y1311" t="s">
        <v>14547</v>
      </c>
      <c r="Z1311" t="s">
        <v>21557</v>
      </c>
      <c r="AA1311" t="s">
        <v>21558</v>
      </c>
      <c r="AB1311" t="s">
        <v>21559</v>
      </c>
      <c r="AG1311">
        <v>62</v>
      </c>
      <c r="AH1311">
        <v>92</v>
      </c>
      <c r="AI1311">
        <v>102</v>
      </c>
      <c r="AJ1311">
        <v>0</v>
      </c>
      <c r="AK1311">
        <v>14</v>
      </c>
      <c r="AL1311" t="s">
        <v>650</v>
      </c>
      <c r="AM1311" t="s">
        <v>651</v>
      </c>
      <c r="AN1311" t="s">
        <v>652</v>
      </c>
      <c r="AO1311" t="s">
        <v>3868</v>
      </c>
      <c r="AP1311" t="s">
        <v>3869</v>
      </c>
      <c r="AR1311" t="s">
        <v>3857</v>
      </c>
      <c r="AS1311" t="s">
        <v>3870</v>
      </c>
      <c r="AT1311" t="s">
        <v>21560</v>
      </c>
      <c r="AU1311">
        <v>2006</v>
      </c>
      <c r="AV1311">
        <v>376</v>
      </c>
      <c r="AW1311">
        <v>1</v>
      </c>
      <c r="BB1311">
        <v>24</v>
      </c>
      <c r="BC1311">
        <v>36</v>
      </c>
      <c r="BE1311" t="s">
        <v>21561</v>
      </c>
      <c r="BF1311" t="s">
        <v>21562</v>
      </c>
      <c r="BI1311">
        <v>13</v>
      </c>
      <c r="BJ1311" t="s">
        <v>3873</v>
      </c>
      <c r="BK1311" t="s">
        <v>96</v>
      </c>
      <c r="BL1311" t="s">
        <v>3873</v>
      </c>
      <c r="BM1311" t="s">
        <v>21563</v>
      </c>
      <c r="BN1311">
        <v>16630699</v>
      </c>
      <c r="BR1311" t="s">
        <v>98</v>
      </c>
      <c r="BS1311" t="s">
        <v>21564</v>
      </c>
      <c r="BT1311" t="s">
        <v>16602</v>
      </c>
    </row>
    <row r="1312" spans="1:72">
      <c r="A1312" t="s">
        <v>72</v>
      </c>
      <c r="B1312" t="s">
        <v>21565</v>
      </c>
      <c r="F1312" t="s">
        <v>21566</v>
      </c>
      <c r="I1312" t="s">
        <v>21567</v>
      </c>
      <c r="J1312" t="s">
        <v>103</v>
      </c>
      <c r="M1312" t="s">
        <v>78</v>
      </c>
      <c r="N1312" t="s">
        <v>79</v>
      </c>
      <c r="T1312" t="s">
        <v>21568</v>
      </c>
      <c r="U1312" t="s">
        <v>21569</v>
      </c>
      <c r="V1312" t="s">
        <v>21570</v>
      </c>
      <c r="W1312" t="s">
        <v>21571</v>
      </c>
      <c r="X1312" t="s">
        <v>21572</v>
      </c>
      <c r="Y1312" t="s">
        <v>21573</v>
      </c>
      <c r="Z1312" t="s">
        <v>19003</v>
      </c>
      <c r="AA1312" t="s">
        <v>21574</v>
      </c>
      <c r="AB1312" t="s">
        <v>21575</v>
      </c>
      <c r="AC1312" t="s">
        <v>21576</v>
      </c>
      <c r="AD1312" t="s">
        <v>21577</v>
      </c>
      <c r="AE1312" t="s">
        <v>21578</v>
      </c>
      <c r="AG1312">
        <v>48</v>
      </c>
      <c r="AH1312">
        <v>24</v>
      </c>
      <c r="AI1312">
        <v>24</v>
      </c>
      <c r="AJ1312">
        <v>12</v>
      </c>
      <c r="AK1312">
        <v>59</v>
      </c>
      <c r="AL1312" t="s">
        <v>112</v>
      </c>
      <c r="AM1312" t="s">
        <v>113</v>
      </c>
      <c r="AN1312" t="s">
        <v>469</v>
      </c>
      <c r="AO1312" t="s">
        <v>115</v>
      </c>
      <c r="AP1312" t="s">
        <v>116</v>
      </c>
      <c r="AR1312" t="s">
        <v>117</v>
      </c>
      <c r="AS1312" t="s">
        <v>118</v>
      </c>
      <c r="AT1312" t="s">
        <v>1470</v>
      </c>
      <c r="AU1312">
        <v>2017</v>
      </c>
      <c r="AV1312">
        <v>98</v>
      </c>
      <c r="AW1312">
        <v>1</v>
      </c>
      <c r="BB1312">
        <v>46</v>
      </c>
      <c r="BC1312">
        <v>52</v>
      </c>
      <c r="BE1312" t="s">
        <v>21579</v>
      </c>
      <c r="BF1312" t="s">
        <v>21580</v>
      </c>
      <c r="BI1312">
        <v>7</v>
      </c>
      <c r="BJ1312" t="s">
        <v>121</v>
      </c>
      <c r="BK1312" t="s">
        <v>96</v>
      </c>
      <c r="BL1312" t="s">
        <v>122</v>
      </c>
      <c r="BM1312" t="s">
        <v>21581</v>
      </c>
      <c r="BN1312">
        <v>27921131</v>
      </c>
      <c r="BR1312" t="s">
        <v>98</v>
      </c>
      <c r="BS1312" t="s">
        <v>21582</v>
      </c>
      <c r="BT1312" t="s">
        <v>16602</v>
      </c>
    </row>
    <row r="1313" spans="1:72">
      <c r="A1313" t="s">
        <v>72</v>
      </c>
      <c r="B1313" t="s">
        <v>21583</v>
      </c>
      <c r="F1313" t="s">
        <v>21584</v>
      </c>
      <c r="I1313" t="s">
        <v>21585</v>
      </c>
      <c r="J1313" t="s">
        <v>12129</v>
      </c>
      <c r="M1313" t="s">
        <v>78</v>
      </c>
      <c r="N1313" t="s">
        <v>79</v>
      </c>
      <c r="T1313" t="s">
        <v>21586</v>
      </c>
      <c r="U1313" t="s">
        <v>21587</v>
      </c>
      <c r="V1313" t="s">
        <v>21588</v>
      </c>
      <c r="W1313" t="s">
        <v>21589</v>
      </c>
      <c r="X1313" t="s">
        <v>21590</v>
      </c>
      <c r="Y1313" t="s">
        <v>21591</v>
      </c>
      <c r="Z1313" t="s">
        <v>21592</v>
      </c>
      <c r="AC1313" t="s">
        <v>21593</v>
      </c>
      <c r="AD1313" t="s">
        <v>21593</v>
      </c>
      <c r="AE1313" t="s">
        <v>21594</v>
      </c>
      <c r="AG1313">
        <v>46</v>
      </c>
      <c r="AH1313">
        <v>1</v>
      </c>
      <c r="AI1313">
        <v>1</v>
      </c>
      <c r="AJ1313">
        <v>0</v>
      </c>
      <c r="AK1313">
        <v>8</v>
      </c>
      <c r="AL1313" t="s">
        <v>1433</v>
      </c>
      <c r="AM1313" t="s">
        <v>1434</v>
      </c>
      <c r="AN1313" t="s">
        <v>1435</v>
      </c>
      <c r="AO1313" t="s">
        <v>1436</v>
      </c>
      <c r="AP1313" t="s">
        <v>12141</v>
      </c>
      <c r="AR1313" t="s">
        <v>12142</v>
      </c>
      <c r="AS1313" t="s">
        <v>12143</v>
      </c>
      <c r="AT1313" t="s">
        <v>119</v>
      </c>
      <c r="AU1313">
        <v>2015</v>
      </c>
      <c r="AV1313">
        <v>44</v>
      </c>
      <c r="AW1313">
        <v>8</v>
      </c>
      <c r="BB1313">
        <v>1155</v>
      </c>
      <c r="BC1313">
        <v>1161</v>
      </c>
      <c r="BI1313">
        <v>7</v>
      </c>
      <c r="BJ1313" t="s">
        <v>1439</v>
      </c>
      <c r="BK1313" t="s">
        <v>96</v>
      </c>
      <c r="BL1313" t="s">
        <v>1439</v>
      </c>
      <c r="BM1313" t="s">
        <v>21595</v>
      </c>
      <c r="BR1313" t="s">
        <v>98</v>
      </c>
      <c r="BS1313" t="s">
        <v>21596</v>
      </c>
      <c r="BT1313" t="s">
        <v>16602</v>
      </c>
    </row>
    <row r="1314" spans="1:72">
      <c r="A1314" t="s">
        <v>72</v>
      </c>
      <c r="B1314" t="s">
        <v>21597</v>
      </c>
      <c r="F1314" t="s">
        <v>21598</v>
      </c>
      <c r="I1314" t="s">
        <v>21599</v>
      </c>
      <c r="J1314" t="s">
        <v>21600</v>
      </c>
      <c r="M1314" t="s">
        <v>78</v>
      </c>
      <c r="N1314" t="s">
        <v>79</v>
      </c>
      <c r="T1314" t="s">
        <v>21601</v>
      </c>
      <c r="U1314" t="s">
        <v>21602</v>
      </c>
      <c r="V1314" t="s">
        <v>21603</v>
      </c>
      <c r="W1314" t="s">
        <v>21604</v>
      </c>
      <c r="X1314" t="s">
        <v>21605</v>
      </c>
      <c r="Y1314" t="s">
        <v>21606</v>
      </c>
      <c r="Z1314" t="s">
        <v>21607</v>
      </c>
      <c r="AA1314" t="s">
        <v>21608</v>
      </c>
      <c r="AC1314" t="s">
        <v>21609</v>
      </c>
      <c r="AD1314" t="s">
        <v>21610</v>
      </c>
      <c r="AE1314" t="s">
        <v>21611</v>
      </c>
      <c r="AG1314">
        <v>47</v>
      </c>
      <c r="AH1314">
        <v>6</v>
      </c>
      <c r="AI1314">
        <v>6</v>
      </c>
      <c r="AJ1314">
        <v>2</v>
      </c>
      <c r="AK1314">
        <v>33</v>
      </c>
      <c r="AL1314" t="s">
        <v>650</v>
      </c>
      <c r="AM1314" t="s">
        <v>651</v>
      </c>
      <c r="AN1314" t="s">
        <v>652</v>
      </c>
      <c r="AO1314" t="s">
        <v>21612</v>
      </c>
      <c r="AP1314" t="s">
        <v>21613</v>
      </c>
      <c r="AR1314" t="s">
        <v>21614</v>
      </c>
      <c r="AS1314" t="s">
        <v>21615</v>
      </c>
      <c r="AT1314" t="s">
        <v>1091</v>
      </c>
      <c r="AU1314">
        <v>2022</v>
      </c>
      <c r="AV1314">
        <v>210</v>
      </c>
      <c r="BB1314">
        <v>365</v>
      </c>
      <c r="BC1314">
        <v>376</v>
      </c>
      <c r="BE1314" t="s">
        <v>21616</v>
      </c>
      <c r="BF1314" t="s">
        <v>21617</v>
      </c>
      <c r="BH1314" t="s">
        <v>2765</v>
      </c>
      <c r="BI1314">
        <v>12</v>
      </c>
      <c r="BJ1314" t="s">
        <v>21618</v>
      </c>
      <c r="BK1314" t="s">
        <v>96</v>
      </c>
      <c r="BL1314" t="s">
        <v>21619</v>
      </c>
      <c r="BM1314" t="s">
        <v>21620</v>
      </c>
      <c r="BN1314">
        <v>35500778</v>
      </c>
      <c r="BR1314" t="s">
        <v>98</v>
      </c>
      <c r="BS1314" t="s">
        <v>21621</v>
      </c>
      <c r="BT1314" t="s">
        <v>16602</v>
      </c>
    </row>
    <row r="1315" spans="1:72">
      <c r="A1315" t="s">
        <v>72</v>
      </c>
      <c r="B1315" t="s">
        <v>21622</v>
      </c>
      <c r="F1315" t="s">
        <v>21622</v>
      </c>
      <c r="I1315" t="s">
        <v>21623</v>
      </c>
      <c r="J1315" t="s">
        <v>232</v>
      </c>
      <c r="M1315" t="s">
        <v>78</v>
      </c>
      <c r="N1315" t="s">
        <v>79</v>
      </c>
      <c r="V1315" t="s">
        <v>21624</v>
      </c>
      <c r="W1315" t="s">
        <v>21625</v>
      </c>
      <c r="X1315" t="s">
        <v>21626</v>
      </c>
      <c r="Y1315" t="s">
        <v>21627</v>
      </c>
      <c r="AG1315">
        <v>17</v>
      </c>
      <c r="AH1315">
        <v>53</v>
      </c>
      <c r="AI1315">
        <v>56</v>
      </c>
      <c r="AJ1315">
        <v>0</v>
      </c>
      <c r="AK1315">
        <v>5</v>
      </c>
      <c r="AL1315" t="s">
        <v>136</v>
      </c>
      <c r="AM1315" t="s">
        <v>137</v>
      </c>
      <c r="AN1315" t="s">
        <v>138</v>
      </c>
      <c r="AO1315" t="s">
        <v>240</v>
      </c>
      <c r="AP1315" t="s">
        <v>241</v>
      </c>
      <c r="AR1315" t="s">
        <v>242</v>
      </c>
      <c r="AS1315" t="s">
        <v>243</v>
      </c>
      <c r="AU1315">
        <v>1981</v>
      </c>
      <c r="AV1315">
        <v>12</v>
      </c>
      <c r="AW1315">
        <v>1</v>
      </c>
      <c r="BB1315">
        <v>19</v>
      </c>
      <c r="BC1315">
        <v>25</v>
      </c>
      <c r="BE1315" t="s">
        <v>21628</v>
      </c>
      <c r="BF1315" t="s">
        <v>21629</v>
      </c>
      <c r="BI1315">
        <v>7</v>
      </c>
      <c r="BJ1315" t="s">
        <v>247</v>
      </c>
      <c r="BK1315" t="s">
        <v>96</v>
      </c>
      <c r="BL1315" t="s">
        <v>248</v>
      </c>
      <c r="BM1315" t="s">
        <v>21630</v>
      </c>
      <c r="BR1315" t="s">
        <v>98</v>
      </c>
      <c r="BS1315" t="s">
        <v>21631</v>
      </c>
      <c r="BT1315" t="s">
        <v>16602</v>
      </c>
    </row>
    <row r="1316" spans="1:72">
      <c r="A1316" t="s">
        <v>72</v>
      </c>
      <c r="B1316" t="s">
        <v>21632</v>
      </c>
      <c r="F1316" t="s">
        <v>21633</v>
      </c>
      <c r="I1316" t="s">
        <v>21634</v>
      </c>
      <c r="J1316" t="s">
        <v>641</v>
      </c>
      <c r="M1316" t="s">
        <v>78</v>
      </c>
      <c r="N1316" t="s">
        <v>79</v>
      </c>
      <c r="T1316" t="s">
        <v>21635</v>
      </c>
      <c r="U1316" t="s">
        <v>21636</v>
      </c>
      <c r="V1316" t="s">
        <v>21637</v>
      </c>
      <c r="W1316" t="s">
        <v>21638</v>
      </c>
      <c r="X1316" t="s">
        <v>21639</v>
      </c>
      <c r="Y1316" t="s">
        <v>21640</v>
      </c>
      <c r="Z1316" t="s">
        <v>21641</v>
      </c>
      <c r="AA1316" t="s">
        <v>21642</v>
      </c>
      <c r="AB1316" t="s">
        <v>21643</v>
      </c>
      <c r="AC1316" t="s">
        <v>21644</v>
      </c>
      <c r="AD1316" t="s">
        <v>21644</v>
      </c>
      <c r="AE1316" t="s">
        <v>21645</v>
      </c>
      <c r="AG1316">
        <v>67</v>
      </c>
      <c r="AH1316">
        <v>31</v>
      </c>
      <c r="AI1316">
        <v>33</v>
      </c>
      <c r="AJ1316">
        <v>0</v>
      </c>
      <c r="AK1316">
        <v>44</v>
      </c>
      <c r="AL1316" t="s">
        <v>919</v>
      </c>
      <c r="AM1316" t="s">
        <v>651</v>
      </c>
      <c r="AN1316" t="s">
        <v>920</v>
      </c>
      <c r="AO1316" t="s">
        <v>653</v>
      </c>
      <c r="AP1316" t="s">
        <v>654</v>
      </c>
      <c r="AR1316" t="s">
        <v>655</v>
      </c>
      <c r="AS1316" t="s">
        <v>656</v>
      </c>
      <c r="AT1316" t="s">
        <v>1223</v>
      </c>
      <c r="AU1316">
        <v>2015</v>
      </c>
      <c r="AV1316">
        <v>160</v>
      </c>
      <c r="BB1316">
        <v>1</v>
      </c>
      <c r="BC1316">
        <v>12</v>
      </c>
      <c r="BE1316" t="s">
        <v>21646</v>
      </c>
      <c r="BF1316" t="s">
        <v>21647</v>
      </c>
      <c r="BI1316">
        <v>12</v>
      </c>
      <c r="BJ1316" t="s">
        <v>659</v>
      </c>
      <c r="BK1316" t="s">
        <v>96</v>
      </c>
      <c r="BL1316" t="s">
        <v>659</v>
      </c>
      <c r="BM1316" t="s">
        <v>21648</v>
      </c>
      <c r="BN1316">
        <v>25568982</v>
      </c>
      <c r="BO1316" t="s">
        <v>1270</v>
      </c>
      <c r="BR1316" t="s">
        <v>98</v>
      </c>
      <c r="BS1316" t="s">
        <v>21649</v>
      </c>
      <c r="BT1316" t="s">
        <v>16602</v>
      </c>
    </row>
    <row r="1317" spans="1:72">
      <c r="A1317" t="s">
        <v>72</v>
      </c>
      <c r="B1317" t="s">
        <v>21650</v>
      </c>
      <c r="F1317" t="s">
        <v>21650</v>
      </c>
      <c r="I1317" t="s">
        <v>21651</v>
      </c>
      <c r="J1317" t="s">
        <v>13525</v>
      </c>
      <c r="M1317" t="s">
        <v>78</v>
      </c>
      <c r="N1317" t="s">
        <v>79</v>
      </c>
      <c r="U1317" t="s">
        <v>21652</v>
      </c>
      <c r="V1317" t="s">
        <v>21653</v>
      </c>
      <c r="W1317" t="s">
        <v>21654</v>
      </c>
      <c r="X1317" t="s">
        <v>21655</v>
      </c>
      <c r="Y1317" t="s">
        <v>21656</v>
      </c>
      <c r="Z1317" t="s">
        <v>21657</v>
      </c>
      <c r="AA1317" t="s">
        <v>21658</v>
      </c>
      <c r="AB1317" t="s">
        <v>21659</v>
      </c>
      <c r="AG1317">
        <v>29</v>
      </c>
      <c r="AH1317">
        <v>36</v>
      </c>
      <c r="AI1317">
        <v>44</v>
      </c>
      <c r="AJ1317">
        <v>0</v>
      </c>
      <c r="AK1317">
        <v>21</v>
      </c>
      <c r="AL1317" t="s">
        <v>2336</v>
      </c>
      <c r="AM1317" t="s">
        <v>113</v>
      </c>
      <c r="AN1317" t="s">
        <v>2337</v>
      </c>
      <c r="AO1317" t="s">
        <v>13529</v>
      </c>
      <c r="AP1317" t="s">
        <v>21660</v>
      </c>
      <c r="AR1317" t="s">
        <v>13530</v>
      </c>
      <c r="AS1317" t="s">
        <v>13531</v>
      </c>
      <c r="AT1317" t="s">
        <v>267</v>
      </c>
      <c r="AU1317">
        <v>2002</v>
      </c>
      <c r="AV1317">
        <v>82</v>
      </c>
      <c r="AW1317">
        <v>5</v>
      </c>
      <c r="BB1317">
        <v>793</v>
      </c>
      <c r="BC1317">
        <v>799</v>
      </c>
      <c r="BE1317" t="s">
        <v>21661</v>
      </c>
      <c r="BF1317" t="s">
        <v>21662</v>
      </c>
      <c r="BI1317">
        <v>7</v>
      </c>
      <c r="BJ1317" t="s">
        <v>680</v>
      </c>
      <c r="BK1317" t="s">
        <v>96</v>
      </c>
      <c r="BL1317" t="s">
        <v>680</v>
      </c>
      <c r="BM1317" t="s">
        <v>21663</v>
      </c>
      <c r="BR1317" t="s">
        <v>98</v>
      </c>
      <c r="BS1317" t="s">
        <v>21664</v>
      </c>
      <c r="BT1317" t="s">
        <v>16602</v>
      </c>
    </row>
    <row r="1318" spans="1:72">
      <c r="A1318" t="s">
        <v>72</v>
      </c>
      <c r="B1318" t="s">
        <v>21665</v>
      </c>
      <c r="F1318" t="s">
        <v>21665</v>
      </c>
      <c r="I1318" t="s">
        <v>21666</v>
      </c>
      <c r="J1318" t="s">
        <v>21334</v>
      </c>
      <c r="M1318" t="s">
        <v>78</v>
      </c>
      <c r="N1318" t="s">
        <v>79</v>
      </c>
      <c r="U1318" t="s">
        <v>21667</v>
      </c>
      <c r="V1318" t="s">
        <v>21668</v>
      </c>
      <c r="W1318" t="s">
        <v>21669</v>
      </c>
      <c r="X1318" t="s">
        <v>21337</v>
      </c>
      <c r="Y1318" t="s">
        <v>21670</v>
      </c>
      <c r="Z1318" t="s">
        <v>21671</v>
      </c>
      <c r="AA1318" t="s">
        <v>21672</v>
      </c>
      <c r="AG1318">
        <v>43</v>
      </c>
      <c r="AH1318">
        <v>7</v>
      </c>
      <c r="AI1318">
        <v>7</v>
      </c>
      <c r="AJ1318">
        <v>0</v>
      </c>
      <c r="AK1318">
        <v>6</v>
      </c>
      <c r="AL1318" t="s">
        <v>21673</v>
      </c>
      <c r="AM1318" t="s">
        <v>21341</v>
      </c>
      <c r="AN1318" t="s">
        <v>21674</v>
      </c>
      <c r="AO1318" t="s">
        <v>21343</v>
      </c>
      <c r="AR1318" t="s">
        <v>21344</v>
      </c>
      <c r="AS1318" t="s">
        <v>21345</v>
      </c>
      <c r="AT1318" t="s">
        <v>21675</v>
      </c>
      <c r="AU1318">
        <v>2001</v>
      </c>
      <c r="AV1318">
        <v>81</v>
      </c>
      <c r="AW1318">
        <v>7</v>
      </c>
      <c r="BB1318">
        <v>819</v>
      </c>
      <c r="BC1318">
        <v>828</v>
      </c>
      <c r="BI1318">
        <v>10</v>
      </c>
      <c r="BJ1318" t="s">
        <v>3202</v>
      </c>
      <c r="BK1318" t="s">
        <v>96</v>
      </c>
      <c r="BL1318" t="s">
        <v>3203</v>
      </c>
      <c r="BM1318" t="s">
        <v>21676</v>
      </c>
      <c r="BR1318" t="s">
        <v>98</v>
      </c>
      <c r="BS1318" t="s">
        <v>21677</v>
      </c>
      <c r="BT1318" t="s">
        <v>16602</v>
      </c>
    </row>
    <row r="1319" spans="1:72">
      <c r="A1319" t="s">
        <v>72</v>
      </c>
      <c r="B1319" t="s">
        <v>21678</v>
      </c>
      <c r="F1319" t="s">
        <v>21678</v>
      </c>
      <c r="I1319" t="s">
        <v>21679</v>
      </c>
      <c r="J1319" t="s">
        <v>232</v>
      </c>
      <c r="M1319" t="s">
        <v>78</v>
      </c>
      <c r="N1319" t="s">
        <v>79</v>
      </c>
      <c r="T1319" t="s">
        <v>21680</v>
      </c>
      <c r="U1319" t="s">
        <v>21681</v>
      </c>
      <c r="V1319" t="s">
        <v>21682</v>
      </c>
      <c r="W1319" t="s">
        <v>21683</v>
      </c>
      <c r="X1319" t="s">
        <v>21684</v>
      </c>
      <c r="Y1319" t="s">
        <v>21685</v>
      </c>
      <c r="AG1319">
        <v>77</v>
      </c>
      <c r="AH1319">
        <v>54</v>
      </c>
      <c r="AI1319">
        <v>58</v>
      </c>
      <c r="AJ1319">
        <v>1</v>
      </c>
      <c r="AK1319">
        <v>17</v>
      </c>
      <c r="AL1319" t="s">
        <v>136</v>
      </c>
      <c r="AM1319" t="s">
        <v>137</v>
      </c>
      <c r="AN1319" t="s">
        <v>138</v>
      </c>
      <c r="AO1319" t="s">
        <v>240</v>
      </c>
      <c r="AP1319" t="s">
        <v>241</v>
      </c>
      <c r="AR1319" t="s">
        <v>242</v>
      </c>
      <c r="AS1319" t="s">
        <v>243</v>
      </c>
      <c r="AT1319" t="s">
        <v>142</v>
      </c>
      <c r="AU1319">
        <v>1999</v>
      </c>
      <c r="AV1319">
        <v>38</v>
      </c>
      <c r="AW1319">
        <v>6</v>
      </c>
      <c r="BB1319">
        <v>448</v>
      </c>
      <c r="BC1319">
        <v>462</v>
      </c>
      <c r="BE1319" t="s">
        <v>21686</v>
      </c>
      <c r="BF1319" t="s">
        <v>21687</v>
      </c>
      <c r="BI1319">
        <v>15</v>
      </c>
      <c r="BJ1319" t="s">
        <v>247</v>
      </c>
      <c r="BK1319" t="s">
        <v>96</v>
      </c>
      <c r="BL1319" t="s">
        <v>248</v>
      </c>
      <c r="BM1319" t="s">
        <v>21688</v>
      </c>
      <c r="BR1319" t="s">
        <v>98</v>
      </c>
      <c r="BS1319" t="s">
        <v>21689</v>
      </c>
      <c r="BT1319" t="s">
        <v>16602</v>
      </c>
    </row>
    <row r="1320" spans="1:72">
      <c r="A1320" t="s">
        <v>72</v>
      </c>
      <c r="B1320" t="s">
        <v>21690</v>
      </c>
      <c r="F1320" t="s">
        <v>21691</v>
      </c>
      <c r="I1320" t="s">
        <v>21692</v>
      </c>
      <c r="J1320" t="s">
        <v>1533</v>
      </c>
      <c r="M1320" t="s">
        <v>78</v>
      </c>
      <c r="N1320" t="s">
        <v>79</v>
      </c>
      <c r="T1320" t="s">
        <v>21693</v>
      </c>
      <c r="U1320" t="s">
        <v>21694</v>
      </c>
      <c r="V1320" t="s">
        <v>21695</v>
      </c>
      <c r="W1320" t="s">
        <v>21696</v>
      </c>
      <c r="X1320" t="s">
        <v>21697</v>
      </c>
      <c r="Y1320" t="s">
        <v>21698</v>
      </c>
      <c r="Z1320" t="s">
        <v>21699</v>
      </c>
      <c r="AA1320" t="s">
        <v>21700</v>
      </c>
      <c r="AB1320" t="s">
        <v>21701</v>
      </c>
      <c r="AC1320" t="s">
        <v>21702</v>
      </c>
      <c r="AD1320" t="s">
        <v>21703</v>
      </c>
      <c r="AE1320" t="s">
        <v>21704</v>
      </c>
      <c r="AG1320">
        <v>36</v>
      </c>
      <c r="AH1320">
        <v>12</v>
      </c>
      <c r="AI1320">
        <v>12</v>
      </c>
      <c r="AJ1320">
        <v>0</v>
      </c>
      <c r="AK1320">
        <v>8</v>
      </c>
      <c r="AL1320" t="s">
        <v>1544</v>
      </c>
      <c r="AM1320" t="s">
        <v>1545</v>
      </c>
      <c r="AN1320" t="s">
        <v>1546</v>
      </c>
      <c r="AO1320" t="s">
        <v>1547</v>
      </c>
      <c r="AR1320" t="s">
        <v>1533</v>
      </c>
      <c r="AS1320" t="s">
        <v>1548</v>
      </c>
      <c r="AT1320" t="s">
        <v>4872</v>
      </c>
      <c r="AU1320">
        <v>2017</v>
      </c>
      <c r="AV1320">
        <v>27</v>
      </c>
      <c r="AW1320">
        <v>3</v>
      </c>
      <c r="BB1320">
        <v>391</v>
      </c>
      <c r="BC1320">
        <v>398</v>
      </c>
      <c r="BI1320">
        <v>8</v>
      </c>
      <c r="BJ1320" t="s">
        <v>680</v>
      </c>
      <c r="BK1320" t="s">
        <v>96</v>
      </c>
      <c r="BL1320" t="s">
        <v>680</v>
      </c>
      <c r="BM1320" t="s">
        <v>21705</v>
      </c>
      <c r="BR1320" t="s">
        <v>98</v>
      </c>
      <c r="BS1320" t="s">
        <v>21706</v>
      </c>
      <c r="BT1320" t="s">
        <v>16602</v>
      </c>
    </row>
    <row r="1321" spans="1:72">
      <c r="A1321" t="s">
        <v>72</v>
      </c>
      <c r="B1321" t="s">
        <v>21707</v>
      </c>
      <c r="F1321" t="s">
        <v>21708</v>
      </c>
      <c r="I1321" t="s">
        <v>21709</v>
      </c>
      <c r="J1321" t="s">
        <v>21710</v>
      </c>
      <c r="M1321" t="s">
        <v>78</v>
      </c>
      <c r="N1321" t="s">
        <v>79</v>
      </c>
      <c r="T1321" t="s">
        <v>21711</v>
      </c>
      <c r="U1321" t="s">
        <v>21712</v>
      </c>
      <c r="V1321" t="s">
        <v>21713</v>
      </c>
      <c r="W1321" t="s">
        <v>21714</v>
      </c>
      <c r="X1321" t="s">
        <v>3553</v>
      </c>
      <c r="Y1321" t="s">
        <v>21715</v>
      </c>
      <c r="Z1321" t="s">
        <v>8132</v>
      </c>
      <c r="AA1321" t="s">
        <v>21716</v>
      </c>
      <c r="AB1321" t="s">
        <v>21717</v>
      </c>
      <c r="AC1321" t="s">
        <v>21718</v>
      </c>
      <c r="AD1321" t="s">
        <v>21719</v>
      </c>
      <c r="AE1321" t="s">
        <v>21720</v>
      </c>
      <c r="AG1321">
        <v>40</v>
      </c>
      <c r="AH1321">
        <v>4</v>
      </c>
      <c r="AI1321">
        <v>4</v>
      </c>
      <c r="AJ1321">
        <v>5</v>
      </c>
      <c r="AK1321">
        <v>23</v>
      </c>
      <c r="AL1321" t="s">
        <v>21721</v>
      </c>
      <c r="AM1321" t="s">
        <v>21722</v>
      </c>
      <c r="AN1321" t="s">
        <v>21723</v>
      </c>
      <c r="AO1321" t="s">
        <v>21724</v>
      </c>
      <c r="AP1321" t="s">
        <v>21725</v>
      </c>
      <c r="AR1321" t="s">
        <v>21726</v>
      </c>
      <c r="AS1321" t="s">
        <v>21727</v>
      </c>
      <c r="AU1321">
        <v>2015</v>
      </c>
      <c r="AV1321">
        <v>67</v>
      </c>
      <c r="AW1321">
        <v>1</v>
      </c>
      <c r="BB1321">
        <v>91</v>
      </c>
      <c r="BC1321">
        <v>101</v>
      </c>
      <c r="BE1321" t="s">
        <v>21728</v>
      </c>
      <c r="BF1321" t="s">
        <v>21729</v>
      </c>
      <c r="BI1321">
        <v>11</v>
      </c>
      <c r="BJ1321" t="s">
        <v>171</v>
      </c>
      <c r="BK1321" t="s">
        <v>96</v>
      </c>
      <c r="BL1321" t="s">
        <v>173</v>
      </c>
      <c r="BM1321" t="s">
        <v>21730</v>
      </c>
      <c r="BO1321" t="s">
        <v>18827</v>
      </c>
      <c r="BR1321" t="s">
        <v>98</v>
      </c>
      <c r="BS1321" t="s">
        <v>21731</v>
      </c>
      <c r="BT1321" t="s">
        <v>16602</v>
      </c>
    </row>
    <row r="1322" spans="1:72">
      <c r="A1322" t="s">
        <v>72</v>
      </c>
      <c r="B1322" t="s">
        <v>21732</v>
      </c>
      <c r="F1322" t="s">
        <v>21733</v>
      </c>
      <c r="I1322" t="s">
        <v>21734</v>
      </c>
      <c r="J1322" t="s">
        <v>4306</v>
      </c>
      <c r="M1322" t="s">
        <v>78</v>
      </c>
      <c r="N1322" t="s">
        <v>79</v>
      </c>
      <c r="T1322" t="s">
        <v>21735</v>
      </c>
      <c r="U1322" t="s">
        <v>21736</v>
      </c>
      <c r="V1322" t="s">
        <v>21737</v>
      </c>
      <c r="W1322" t="s">
        <v>21738</v>
      </c>
      <c r="X1322" t="s">
        <v>21739</v>
      </c>
      <c r="Y1322" t="s">
        <v>21740</v>
      </c>
      <c r="Z1322" t="s">
        <v>11886</v>
      </c>
      <c r="AA1322" t="s">
        <v>21741</v>
      </c>
      <c r="AB1322" t="s">
        <v>11888</v>
      </c>
      <c r="AC1322" t="s">
        <v>21742</v>
      </c>
      <c r="AD1322" t="s">
        <v>21743</v>
      </c>
      <c r="AE1322" t="s">
        <v>21744</v>
      </c>
      <c r="AG1322">
        <v>42</v>
      </c>
      <c r="AH1322">
        <v>27</v>
      </c>
      <c r="AI1322">
        <v>31</v>
      </c>
      <c r="AJ1322">
        <v>0</v>
      </c>
      <c r="AK1322">
        <v>15</v>
      </c>
      <c r="AL1322" t="s">
        <v>564</v>
      </c>
      <c r="AM1322" t="s">
        <v>113</v>
      </c>
      <c r="AN1322" t="s">
        <v>807</v>
      </c>
      <c r="AO1322" t="s">
        <v>4313</v>
      </c>
      <c r="AP1322" t="s">
        <v>20210</v>
      </c>
      <c r="AR1322" t="s">
        <v>4314</v>
      </c>
      <c r="AS1322" t="s">
        <v>4315</v>
      </c>
      <c r="AT1322" t="s">
        <v>170</v>
      </c>
      <c r="AU1322">
        <v>2011</v>
      </c>
      <c r="AV1322">
        <v>159</v>
      </c>
      <c r="AW1322">
        <v>1</v>
      </c>
      <c r="BB1322">
        <v>64</v>
      </c>
      <c r="BC1322">
        <v>70</v>
      </c>
      <c r="BE1322" t="s">
        <v>21745</v>
      </c>
      <c r="BF1322" t="s">
        <v>21746</v>
      </c>
      <c r="BI1322">
        <v>7</v>
      </c>
      <c r="BJ1322" t="s">
        <v>4318</v>
      </c>
      <c r="BK1322" t="s">
        <v>96</v>
      </c>
      <c r="BL1322" t="s">
        <v>4318</v>
      </c>
      <c r="BM1322" t="s">
        <v>21747</v>
      </c>
      <c r="BN1322">
        <v>21354321</v>
      </c>
      <c r="BR1322" t="s">
        <v>98</v>
      </c>
      <c r="BS1322" t="s">
        <v>21748</v>
      </c>
      <c r="BT1322" t="s">
        <v>16602</v>
      </c>
    </row>
    <row r="1323" spans="1:72">
      <c r="A1323" t="s">
        <v>72</v>
      </c>
      <c r="B1323" t="s">
        <v>21749</v>
      </c>
      <c r="F1323" t="s">
        <v>21750</v>
      </c>
      <c r="I1323" t="s">
        <v>21751</v>
      </c>
      <c r="J1323" t="s">
        <v>127</v>
      </c>
      <c r="M1323" t="s">
        <v>78</v>
      </c>
      <c r="N1323" t="s">
        <v>79</v>
      </c>
      <c r="T1323" t="s">
        <v>21752</v>
      </c>
      <c r="U1323" t="s">
        <v>21753</v>
      </c>
      <c r="V1323" t="s">
        <v>21754</v>
      </c>
      <c r="W1323" t="s">
        <v>21755</v>
      </c>
      <c r="X1323" t="s">
        <v>21756</v>
      </c>
      <c r="Y1323" t="s">
        <v>21757</v>
      </c>
      <c r="Z1323" t="s">
        <v>21758</v>
      </c>
      <c r="AA1323" t="s">
        <v>21759</v>
      </c>
      <c r="AB1323" t="s">
        <v>21760</v>
      </c>
      <c r="AC1323" t="s">
        <v>21761</v>
      </c>
      <c r="AD1323" t="s">
        <v>4137</v>
      </c>
      <c r="AE1323" t="s">
        <v>21762</v>
      </c>
      <c r="AG1323">
        <v>65</v>
      </c>
      <c r="AH1323">
        <v>15</v>
      </c>
      <c r="AI1323">
        <v>16</v>
      </c>
      <c r="AJ1323">
        <v>0</v>
      </c>
      <c r="AK1323">
        <v>50</v>
      </c>
      <c r="AL1323" t="s">
        <v>136</v>
      </c>
      <c r="AM1323" t="s">
        <v>137</v>
      </c>
      <c r="AN1323" t="s">
        <v>138</v>
      </c>
      <c r="AO1323" t="s">
        <v>139</v>
      </c>
      <c r="AP1323" t="s">
        <v>140</v>
      </c>
      <c r="AR1323" t="s">
        <v>127</v>
      </c>
      <c r="AS1323" t="s">
        <v>141</v>
      </c>
      <c r="AT1323" t="s">
        <v>951</v>
      </c>
      <c r="AU1323">
        <v>2019</v>
      </c>
      <c r="AV1323">
        <v>235</v>
      </c>
      <c r="BB1323">
        <v>876</v>
      </c>
      <c r="BC1323">
        <v>884</v>
      </c>
      <c r="BE1323" t="s">
        <v>21763</v>
      </c>
      <c r="BF1323" t="s">
        <v>21764</v>
      </c>
      <c r="BI1323">
        <v>9</v>
      </c>
      <c r="BJ1323" t="s">
        <v>144</v>
      </c>
      <c r="BK1323" t="s">
        <v>96</v>
      </c>
      <c r="BL1323" t="s">
        <v>145</v>
      </c>
      <c r="BM1323" t="s">
        <v>21765</v>
      </c>
      <c r="BN1323">
        <v>31284136</v>
      </c>
      <c r="BR1323" t="s">
        <v>98</v>
      </c>
      <c r="BS1323" t="s">
        <v>21766</v>
      </c>
      <c r="BT1323" t="s">
        <v>16602</v>
      </c>
    </row>
    <row r="1324" spans="1:72">
      <c r="A1324" t="s">
        <v>72</v>
      </c>
      <c r="B1324" t="s">
        <v>21767</v>
      </c>
      <c r="F1324" t="s">
        <v>21768</v>
      </c>
      <c r="I1324" t="s">
        <v>21769</v>
      </c>
      <c r="J1324" t="s">
        <v>10565</v>
      </c>
      <c r="M1324" t="s">
        <v>78</v>
      </c>
      <c r="N1324" t="s">
        <v>79</v>
      </c>
      <c r="T1324" t="s">
        <v>21770</v>
      </c>
      <c r="U1324" t="s">
        <v>21771</v>
      </c>
      <c r="V1324" t="s">
        <v>21772</v>
      </c>
      <c r="W1324" t="s">
        <v>21773</v>
      </c>
      <c r="X1324" t="s">
        <v>21774</v>
      </c>
      <c r="Y1324" t="s">
        <v>21775</v>
      </c>
      <c r="Z1324" t="s">
        <v>15623</v>
      </c>
      <c r="AA1324" t="s">
        <v>21776</v>
      </c>
      <c r="AB1324" t="s">
        <v>21777</v>
      </c>
      <c r="AC1324" t="s">
        <v>21778</v>
      </c>
      <c r="AD1324" t="s">
        <v>21779</v>
      </c>
      <c r="AE1324" t="s">
        <v>21780</v>
      </c>
      <c r="AG1324">
        <v>44</v>
      </c>
      <c r="AH1324">
        <v>14</v>
      </c>
      <c r="AI1324">
        <v>15</v>
      </c>
      <c r="AJ1324">
        <v>0</v>
      </c>
      <c r="AK1324">
        <v>18</v>
      </c>
      <c r="AL1324" t="s">
        <v>136</v>
      </c>
      <c r="AM1324" t="s">
        <v>137</v>
      </c>
      <c r="AN1324" t="s">
        <v>138</v>
      </c>
      <c r="AO1324" t="s">
        <v>10577</v>
      </c>
      <c r="AP1324" t="s">
        <v>10578</v>
      </c>
      <c r="AR1324" t="s">
        <v>10579</v>
      </c>
      <c r="AS1324" t="s">
        <v>10580</v>
      </c>
      <c r="AT1324" t="s">
        <v>305</v>
      </c>
      <c r="AU1324">
        <v>2017</v>
      </c>
      <c r="AV1324">
        <v>133</v>
      </c>
      <c r="BB1324">
        <v>74</v>
      </c>
      <c r="BC1324">
        <v>85</v>
      </c>
      <c r="BE1324" t="s">
        <v>21781</v>
      </c>
      <c r="BF1324" t="s">
        <v>21782</v>
      </c>
      <c r="BI1324">
        <v>12</v>
      </c>
      <c r="BJ1324" t="s">
        <v>10582</v>
      </c>
      <c r="BK1324" t="s">
        <v>96</v>
      </c>
      <c r="BL1324" t="s">
        <v>7739</v>
      </c>
      <c r="BM1324" t="s">
        <v>21783</v>
      </c>
      <c r="BR1324" t="s">
        <v>98</v>
      </c>
      <c r="BS1324" t="s">
        <v>21784</v>
      </c>
      <c r="BT1324" t="s">
        <v>16602</v>
      </c>
    </row>
    <row r="1325" spans="1:72">
      <c r="A1325" t="s">
        <v>72</v>
      </c>
      <c r="B1325" t="s">
        <v>21785</v>
      </c>
      <c r="F1325" t="s">
        <v>21786</v>
      </c>
      <c r="I1325" t="s">
        <v>21787</v>
      </c>
      <c r="J1325" t="s">
        <v>103</v>
      </c>
      <c r="M1325" t="s">
        <v>78</v>
      </c>
      <c r="N1325" t="s">
        <v>79</v>
      </c>
      <c r="T1325" t="s">
        <v>21788</v>
      </c>
      <c r="U1325" t="s">
        <v>21789</v>
      </c>
      <c r="V1325" t="s">
        <v>21790</v>
      </c>
      <c r="W1325" t="s">
        <v>21791</v>
      </c>
      <c r="X1325" t="s">
        <v>21792</v>
      </c>
      <c r="Y1325" t="s">
        <v>21793</v>
      </c>
      <c r="Z1325" t="s">
        <v>21376</v>
      </c>
      <c r="AA1325" t="s">
        <v>21794</v>
      </c>
      <c r="AB1325" t="s">
        <v>21795</v>
      </c>
      <c r="AC1325" t="s">
        <v>21796</v>
      </c>
      <c r="AD1325" t="s">
        <v>21797</v>
      </c>
      <c r="AE1325" t="s">
        <v>21798</v>
      </c>
      <c r="AG1325">
        <v>23</v>
      </c>
      <c r="AH1325">
        <v>14</v>
      </c>
      <c r="AI1325">
        <v>14</v>
      </c>
      <c r="AJ1325">
        <v>0</v>
      </c>
      <c r="AK1325">
        <v>10</v>
      </c>
      <c r="AL1325" t="s">
        <v>112</v>
      </c>
      <c r="AM1325" t="s">
        <v>113</v>
      </c>
      <c r="AN1325" t="s">
        <v>469</v>
      </c>
      <c r="AO1325" t="s">
        <v>115</v>
      </c>
      <c r="AP1325" t="s">
        <v>116</v>
      </c>
      <c r="AR1325" t="s">
        <v>117</v>
      </c>
      <c r="AS1325" t="s">
        <v>118</v>
      </c>
      <c r="AT1325" t="s">
        <v>197</v>
      </c>
      <c r="AU1325">
        <v>2016</v>
      </c>
      <c r="AV1325">
        <v>97</v>
      </c>
      <c r="AW1325">
        <v>6</v>
      </c>
      <c r="BB1325">
        <v>813</v>
      </c>
      <c r="BC1325">
        <v>819</v>
      </c>
      <c r="BE1325" t="s">
        <v>21799</v>
      </c>
      <c r="BF1325" t="s">
        <v>21800</v>
      </c>
      <c r="BI1325">
        <v>7</v>
      </c>
      <c r="BJ1325" t="s">
        <v>121</v>
      </c>
      <c r="BK1325" t="s">
        <v>96</v>
      </c>
      <c r="BL1325" t="s">
        <v>122</v>
      </c>
      <c r="BM1325" t="s">
        <v>21801</v>
      </c>
      <c r="BN1325">
        <v>27770151</v>
      </c>
      <c r="BR1325" t="s">
        <v>98</v>
      </c>
      <c r="BS1325" t="s">
        <v>21802</v>
      </c>
      <c r="BT1325" t="s">
        <v>16602</v>
      </c>
    </row>
    <row r="1326" spans="1:72">
      <c r="A1326" t="s">
        <v>72</v>
      </c>
      <c r="B1326" t="s">
        <v>21803</v>
      </c>
      <c r="F1326" t="s">
        <v>21803</v>
      </c>
      <c r="I1326" t="s">
        <v>21804</v>
      </c>
      <c r="J1326" t="s">
        <v>704</v>
      </c>
      <c r="M1326" t="s">
        <v>78</v>
      </c>
      <c r="N1326" t="s">
        <v>151</v>
      </c>
      <c r="O1326" t="s">
        <v>21805</v>
      </c>
      <c r="P1326" t="s">
        <v>21806</v>
      </c>
      <c r="Q1326" t="s">
        <v>21807</v>
      </c>
      <c r="U1326" t="s">
        <v>21808</v>
      </c>
      <c r="V1326" t="s">
        <v>21809</v>
      </c>
      <c r="W1326" t="s">
        <v>21810</v>
      </c>
      <c r="X1326" t="s">
        <v>21811</v>
      </c>
      <c r="Y1326" t="s">
        <v>21812</v>
      </c>
      <c r="AG1326">
        <v>13</v>
      </c>
      <c r="AH1326">
        <v>14</v>
      </c>
      <c r="AI1326">
        <v>17</v>
      </c>
      <c r="AJ1326">
        <v>1</v>
      </c>
      <c r="AK1326">
        <v>5</v>
      </c>
      <c r="AL1326" t="s">
        <v>716</v>
      </c>
      <c r="AM1326" t="s">
        <v>191</v>
      </c>
      <c r="AN1326" t="s">
        <v>717</v>
      </c>
      <c r="AO1326" t="s">
        <v>718</v>
      </c>
      <c r="AR1326" t="s">
        <v>719</v>
      </c>
      <c r="AS1326" t="s">
        <v>720</v>
      </c>
      <c r="AT1326" t="s">
        <v>119</v>
      </c>
      <c r="AU1326">
        <v>1991</v>
      </c>
      <c r="AV1326" t="s">
        <v>15678</v>
      </c>
      <c r="BB1326">
        <v>377</v>
      </c>
      <c r="BC1326">
        <v>386</v>
      </c>
      <c r="BE1326" t="s">
        <v>21813</v>
      </c>
      <c r="BF1326" t="s">
        <v>21814</v>
      </c>
      <c r="BI1326">
        <v>10</v>
      </c>
      <c r="BJ1326" t="s">
        <v>722</v>
      </c>
      <c r="BK1326" t="s">
        <v>588</v>
      </c>
      <c r="BL1326" t="s">
        <v>723</v>
      </c>
      <c r="BM1326" t="s">
        <v>15680</v>
      </c>
      <c r="BR1326" t="s">
        <v>98</v>
      </c>
      <c r="BS1326" t="s">
        <v>21815</v>
      </c>
      <c r="BT1326" t="s">
        <v>16602</v>
      </c>
    </row>
    <row r="1327" spans="1:72">
      <c r="A1327" t="s">
        <v>72</v>
      </c>
      <c r="B1327" t="s">
        <v>21816</v>
      </c>
      <c r="F1327" t="s">
        <v>21817</v>
      </c>
      <c r="I1327" t="s">
        <v>21818</v>
      </c>
      <c r="J1327" t="s">
        <v>127</v>
      </c>
      <c r="M1327" t="s">
        <v>78</v>
      </c>
      <c r="N1327" t="s">
        <v>79</v>
      </c>
      <c r="T1327" t="s">
        <v>21819</v>
      </c>
      <c r="U1327" t="s">
        <v>21820</v>
      </c>
      <c r="V1327" t="s">
        <v>21821</v>
      </c>
      <c r="W1327" t="s">
        <v>21822</v>
      </c>
      <c r="X1327" t="s">
        <v>9952</v>
      </c>
      <c r="Y1327" t="s">
        <v>11648</v>
      </c>
      <c r="Z1327" t="s">
        <v>11649</v>
      </c>
      <c r="AA1327" t="s">
        <v>21823</v>
      </c>
      <c r="AB1327" t="s">
        <v>21824</v>
      </c>
      <c r="AC1327" t="s">
        <v>21825</v>
      </c>
      <c r="AD1327" t="s">
        <v>21826</v>
      </c>
      <c r="AE1327" t="s">
        <v>21827</v>
      </c>
      <c r="AG1327">
        <v>33</v>
      </c>
      <c r="AH1327">
        <v>2</v>
      </c>
      <c r="AI1327">
        <v>2</v>
      </c>
      <c r="AJ1327">
        <v>0</v>
      </c>
      <c r="AK1327">
        <v>22</v>
      </c>
      <c r="AL1327" t="s">
        <v>136</v>
      </c>
      <c r="AM1327" t="s">
        <v>137</v>
      </c>
      <c r="AN1327" t="s">
        <v>138</v>
      </c>
      <c r="AO1327" t="s">
        <v>139</v>
      </c>
      <c r="AP1327" t="s">
        <v>140</v>
      </c>
      <c r="AR1327" t="s">
        <v>127</v>
      </c>
      <c r="AS1327" t="s">
        <v>141</v>
      </c>
      <c r="AT1327" t="s">
        <v>1470</v>
      </c>
      <c r="AU1327">
        <v>2021</v>
      </c>
      <c r="AV1327">
        <v>263</v>
      </c>
      <c r="BD1327">
        <v>127802</v>
      </c>
      <c r="BE1327" t="s">
        <v>21828</v>
      </c>
      <c r="BF1327" t="s">
        <v>21829</v>
      </c>
      <c r="BI1327">
        <v>7</v>
      </c>
      <c r="BJ1327" t="s">
        <v>144</v>
      </c>
      <c r="BK1327" t="s">
        <v>96</v>
      </c>
      <c r="BL1327" t="s">
        <v>145</v>
      </c>
      <c r="BM1327" t="s">
        <v>21830</v>
      </c>
      <c r="BN1327">
        <v>33297000</v>
      </c>
      <c r="BR1327" t="s">
        <v>98</v>
      </c>
      <c r="BS1327" t="s">
        <v>21831</v>
      </c>
      <c r="BT1327" t="s">
        <v>16602</v>
      </c>
    </row>
    <row r="1328" spans="1:72">
      <c r="A1328" t="s">
        <v>72</v>
      </c>
      <c r="B1328" t="s">
        <v>21832</v>
      </c>
      <c r="F1328" t="s">
        <v>21832</v>
      </c>
      <c r="I1328" t="s">
        <v>21833</v>
      </c>
      <c r="J1328" t="s">
        <v>752</v>
      </c>
      <c r="M1328" t="s">
        <v>78</v>
      </c>
      <c r="N1328" t="s">
        <v>151</v>
      </c>
      <c r="O1328" t="s">
        <v>8767</v>
      </c>
      <c r="P1328" t="s">
        <v>8768</v>
      </c>
      <c r="Q1328" t="s">
        <v>8769</v>
      </c>
      <c r="T1328" t="s">
        <v>21834</v>
      </c>
      <c r="U1328" t="s">
        <v>21835</v>
      </c>
      <c r="V1328" t="s">
        <v>21836</v>
      </c>
      <c r="W1328" t="s">
        <v>21837</v>
      </c>
      <c r="X1328" t="s">
        <v>21838</v>
      </c>
      <c r="Y1328" t="s">
        <v>21839</v>
      </c>
      <c r="Z1328" t="s">
        <v>8840</v>
      </c>
      <c r="AA1328" t="s">
        <v>2443</v>
      </c>
      <c r="AB1328" t="s">
        <v>2444</v>
      </c>
      <c r="AG1328">
        <v>9</v>
      </c>
      <c r="AH1328">
        <v>66</v>
      </c>
      <c r="AI1328">
        <v>69</v>
      </c>
      <c r="AJ1328">
        <v>0</v>
      </c>
      <c r="AK1328">
        <v>11</v>
      </c>
      <c r="AL1328" t="s">
        <v>430</v>
      </c>
      <c r="AM1328" t="s">
        <v>137</v>
      </c>
      <c r="AN1328" t="s">
        <v>431</v>
      </c>
      <c r="AO1328" t="s">
        <v>761</v>
      </c>
      <c r="AP1328" t="s">
        <v>762</v>
      </c>
      <c r="AR1328" t="s">
        <v>763</v>
      </c>
      <c r="AS1328" t="s">
        <v>764</v>
      </c>
      <c r="AT1328" t="s">
        <v>4872</v>
      </c>
      <c r="AU1328">
        <v>2002</v>
      </c>
      <c r="AV1328">
        <v>54</v>
      </c>
      <c r="AW1328" t="s">
        <v>8775</v>
      </c>
      <c r="AZ1328" t="s">
        <v>225</v>
      </c>
      <c r="BB1328">
        <v>361</v>
      </c>
      <c r="BC1328">
        <v>365</v>
      </c>
      <c r="BD1328" t="s">
        <v>21840</v>
      </c>
      <c r="BE1328" t="s">
        <v>21841</v>
      </c>
      <c r="BF1328" t="s">
        <v>21842</v>
      </c>
      <c r="BI1328">
        <v>5</v>
      </c>
      <c r="BJ1328" t="s">
        <v>768</v>
      </c>
      <c r="BK1328" t="s">
        <v>172</v>
      </c>
      <c r="BL1328" t="s">
        <v>769</v>
      </c>
      <c r="BM1328" t="s">
        <v>8778</v>
      </c>
      <c r="BN1328">
        <v>12408589</v>
      </c>
      <c r="BR1328" t="s">
        <v>98</v>
      </c>
      <c r="BS1328" t="s">
        <v>21843</v>
      </c>
      <c r="BT1328" t="s">
        <v>16602</v>
      </c>
    </row>
    <row r="1329" spans="1:72">
      <c r="A1329" t="s">
        <v>72</v>
      </c>
      <c r="B1329" t="s">
        <v>21844</v>
      </c>
      <c r="F1329" t="s">
        <v>21844</v>
      </c>
      <c r="I1329" t="s">
        <v>21845</v>
      </c>
      <c r="J1329" t="s">
        <v>752</v>
      </c>
      <c r="M1329" t="s">
        <v>78</v>
      </c>
      <c r="N1329" t="s">
        <v>151</v>
      </c>
      <c r="O1329" t="s">
        <v>16463</v>
      </c>
      <c r="P1329" t="s">
        <v>16464</v>
      </c>
      <c r="Q1329" t="s">
        <v>16465</v>
      </c>
      <c r="U1329" t="s">
        <v>21846</v>
      </c>
      <c r="V1329" t="s">
        <v>21847</v>
      </c>
      <c r="W1329" t="s">
        <v>21848</v>
      </c>
      <c r="X1329" t="s">
        <v>15952</v>
      </c>
      <c r="Y1329" t="s">
        <v>21849</v>
      </c>
      <c r="AB1329" t="s">
        <v>15955</v>
      </c>
      <c r="AG1329">
        <v>10</v>
      </c>
      <c r="AH1329">
        <v>59</v>
      </c>
      <c r="AI1329">
        <v>70</v>
      </c>
      <c r="AJ1329">
        <v>0</v>
      </c>
      <c r="AK1329">
        <v>11</v>
      </c>
      <c r="AL1329" t="s">
        <v>430</v>
      </c>
      <c r="AM1329" t="s">
        <v>137</v>
      </c>
      <c r="AN1329" t="s">
        <v>431</v>
      </c>
      <c r="AO1329" t="s">
        <v>761</v>
      </c>
      <c r="AR1329" t="s">
        <v>763</v>
      </c>
      <c r="AS1329" t="s">
        <v>764</v>
      </c>
      <c r="AT1329" t="s">
        <v>5113</v>
      </c>
      <c r="AU1329">
        <v>1998</v>
      </c>
      <c r="AV1329">
        <v>46</v>
      </c>
      <c r="AW1329" t="s">
        <v>9558</v>
      </c>
      <c r="BB1329">
        <v>591</v>
      </c>
      <c r="BC1329">
        <v>595</v>
      </c>
      <c r="BE1329" t="s">
        <v>21850</v>
      </c>
      <c r="BF1329" t="s">
        <v>21851</v>
      </c>
      <c r="BI1329">
        <v>5</v>
      </c>
      <c r="BJ1329" t="s">
        <v>768</v>
      </c>
      <c r="BK1329" t="s">
        <v>172</v>
      </c>
      <c r="BL1329" t="s">
        <v>769</v>
      </c>
      <c r="BM1329" t="s">
        <v>16472</v>
      </c>
      <c r="BR1329" t="s">
        <v>98</v>
      </c>
      <c r="BS1329" t="s">
        <v>21852</v>
      </c>
      <c r="BT1329" t="s">
        <v>16602</v>
      </c>
    </row>
    <row r="1330" spans="1:72">
      <c r="A1330" t="s">
        <v>72</v>
      </c>
      <c r="B1330" t="s">
        <v>21853</v>
      </c>
      <c r="F1330" t="s">
        <v>21854</v>
      </c>
      <c r="I1330" t="s">
        <v>21855</v>
      </c>
      <c r="J1330" t="s">
        <v>3926</v>
      </c>
      <c r="M1330" t="s">
        <v>78</v>
      </c>
      <c r="N1330" t="s">
        <v>79</v>
      </c>
      <c r="T1330" t="s">
        <v>21856</v>
      </c>
      <c r="U1330" t="s">
        <v>21857</v>
      </c>
      <c r="V1330" t="s">
        <v>21858</v>
      </c>
      <c r="W1330" t="s">
        <v>21859</v>
      </c>
      <c r="X1330" t="s">
        <v>539</v>
      </c>
      <c r="Y1330" t="s">
        <v>21860</v>
      </c>
      <c r="Z1330" t="s">
        <v>21861</v>
      </c>
      <c r="AA1330" t="s">
        <v>21862</v>
      </c>
      <c r="AB1330" t="s">
        <v>21863</v>
      </c>
      <c r="AG1330">
        <v>51</v>
      </c>
      <c r="AH1330">
        <v>4</v>
      </c>
      <c r="AI1330">
        <v>4</v>
      </c>
      <c r="AJ1330">
        <v>3</v>
      </c>
      <c r="AK1330">
        <v>20</v>
      </c>
      <c r="AL1330" t="s">
        <v>650</v>
      </c>
      <c r="AM1330" t="s">
        <v>651</v>
      </c>
      <c r="AN1330" t="s">
        <v>652</v>
      </c>
      <c r="AO1330" t="s">
        <v>3939</v>
      </c>
      <c r="AP1330" t="s">
        <v>3940</v>
      </c>
      <c r="AR1330" t="s">
        <v>3926</v>
      </c>
      <c r="AS1330" t="s">
        <v>3941</v>
      </c>
      <c r="AT1330" t="s">
        <v>546</v>
      </c>
      <c r="AU1330">
        <v>2021</v>
      </c>
      <c r="AV1330">
        <v>544</v>
      </c>
      <c r="BD1330">
        <v>737077</v>
      </c>
      <c r="BE1330" t="s">
        <v>21864</v>
      </c>
      <c r="BF1330" t="s">
        <v>21865</v>
      </c>
      <c r="BH1330" t="s">
        <v>12797</v>
      </c>
      <c r="BI1330">
        <v>8</v>
      </c>
      <c r="BJ1330" t="s">
        <v>2391</v>
      </c>
      <c r="BK1330" t="s">
        <v>96</v>
      </c>
      <c r="BL1330" t="s">
        <v>2391</v>
      </c>
      <c r="BM1330" t="s">
        <v>21866</v>
      </c>
      <c r="BR1330" t="s">
        <v>98</v>
      </c>
      <c r="BS1330" t="s">
        <v>21867</v>
      </c>
      <c r="BT1330" t="s">
        <v>16602</v>
      </c>
    </row>
    <row r="1331" spans="1:72">
      <c r="A1331" t="s">
        <v>72</v>
      </c>
      <c r="B1331" t="s">
        <v>21868</v>
      </c>
      <c r="F1331" t="s">
        <v>21869</v>
      </c>
      <c r="I1331" t="s">
        <v>21870</v>
      </c>
      <c r="J1331" t="s">
        <v>1337</v>
      </c>
      <c r="M1331" t="s">
        <v>78</v>
      </c>
      <c r="N1331" t="s">
        <v>79</v>
      </c>
      <c r="T1331" t="s">
        <v>21871</v>
      </c>
      <c r="U1331" t="s">
        <v>21872</v>
      </c>
      <c r="V1331" t="s">
        <v>21873</v>
      </c>
      <c r="W1331" t="s">
        <v>21874</v>
      </c>
      <c r="X1331" t="s">
        <v>21875</v>
      </c>
      <c r="Y1331" t="s">
        <v>21876</v>
      </c>
      <c r="Z1331" t="s">
        <v>21877</v>
      </c>
      <c r="AA1331" t="s">
        <v>21878</v>
      </c>
      <c r="AB1331" t="s">
        <v>21879</v>
      </c>
      <c r="AC1331" t="s">
        <v>21880</v>
      </c>
      <c r="AD1331" t="s">
        <v>21881</v>
      </c>
      <c r="AE1331" t="s">
        <v>21882</v>
      </c>
      <c r="AG1331">
        <v>70</v>
      </c>
      <c r="AH1331">
        <v>7</v>
      </c>
      <c r="AI1331">
        <v>8</v>
      </c>
      <c r="AJ1331">
        <v>2</v>
      </c>
      <c r="AK1331">
        <v>44</v>
      </c>
      <c r="AL1331" t="s">
        <v>1350</v>
      </c>
      <c r="AM1331" t="s">
        <v>1351</v>
      </c>
      <c r="AN1331" t="s">
        <v>1352</v>
      </c>
      <c r="AP1331" t="s">
        <v>1353</v>
      </c>
      <c r="AR1331" t="s">
        <v>1354</v>
      </c>
      <c r="AS1331" t="s">
        <v>1355</v>
      </c>
      <c r="AT1331" t="s">
        <v>21883</v>
      </c>
      <c r="AU1331">
        <v>2021</v>
      </c>
      <c r="AV1331">
        <v>8</v>
      </c>
      <c r="BD1331">
        <v>636170</v>
      </c>
      <c r="BE1331" t="s">
        <v>21884</v>
      </c>
      <c r="BF1331" t="s">
        <v>21885</v>
      </c>
      <c r="BI1331">
        <v>23</v>
      </c>
      <c r="BJ1331" t="s">
        <v>247</v>
      </c>
      <c r="BK1331" t="s">
        <v>96</v>
      </c>
      <c r="BL1331" t="s">
        <v>248</v>
      </c>
      <c r="BM1331" t="s">
        <v>21886</v>
      </c>
      <c r="BO1331" t="s">
        <v>873</v>
      </c>
      <c r="BR1331" t="s">
        <v>98</v>
      </c>
      <c r="BS1331" t="s">
        <v>21887</v>
      </c>
      <c r="BT1331" t="s">
        <v>16602</v>
      </c>
    </row>
    <row r="1332" spans="1:72">
      <c r="A1332" t="s">
        <v>72</v>
      </c>
      <c r="B1332" t="s">
        <v>21888</v>
      </c>
      <c r="F1332" t="s">
        <v>21889</v>
      </c>
      <c r="I1332" t="s">
        <v>21890</v>
      </c>
      <c r="J1332" t="s">
        <v>998</v>
      </c>
      <c r="M1332" t="s">
        <v>78</v>
      </c>
      <c r="N1332" t="s">
        <v>79</v>
      </c>
      <c r="U1332" t="s">
        <v>21891</v>
      </c>
      <c r="V1332" t="s">
        <v>21892</v>
      </c>
      <c r="W1332" t="s">
        <v>21893</v>
      </c>
      <c r="X1332" t="s">
        <v>21894</v>
      </c>
      <c r="Y1332" t="s">
        <v>21895</v>
      </c>
      <c r="Z1332" t="s">
        <v>21896</v>
      </c>
      <c r="AA1332" t="s">
        <v>7037</v>
      </c>
      <c r="AB1332" t="s">
        <v>21897</v>
      </c>
      <c r="AC1332" t="s">
        <v>21898</v>
      </c>
      <c r="AD1332" t="s">
        <v>21899</v>
      </c>
      <c r="AE1332" t="s">
        <v>21900</v>
      </c>
      <c r="AG1332">
        <v>99</v>
      </c>
      <c r="AH1332">
        <v>17</v>
      </c>
      <c r="AI1332">
        <v>18</v>
      </c>
      <c r="AJ1332">
        <v>1</v>
      </c>
      <c r="AK1332">
        <v>35</v>
      </c>
      <c r="AL1332" t="s">
        <v>112</v>
      </c>
      <c r="AM1332" t="s">
        <v>113</v>
      </c>
      <c r="AN1332" t="s">
        <v>114</v>
      </c>
      <c r="AO1332" t="s">
        <v>1009</v>
      </c>
      <c r="AP1332" t="s">
        <v>5996</v>
      </c>
      <c r="AR1332" t="s">
        <v>1010</v>
      </c>
      <c r="AS1332" t="s">
        <v>1011</v>
      </c>
      <c r="AT1332" t="s">
        <v>93</v>
      </c>
      <c r="AU1332">
        <v>2020</v>
      </c>
      <c r="AV1332">
        <v>78</v>
      </c>
      <c r="AW1332">
        <v>3</v>
      </c>
      <c r="BB1332">
        <v>478</v>
      </c>
      <c r="BC1332">
        <v>494</v>
      </c>
      <c r="BE1332" t="s">
        <v>21901</v>
      </c>
      <c r="BF1332" t="s">
        <v>21902</v>
      </c>
      <c r="BH1332" t="s">
        <v>16855</v>
      </c>
      <c r="BI1332">
        <v>17</v>
      </c>
      <c r="BJ1332" t="s">
        <v>121</v>
      </c>
      <c r="BK1332" t="s">
        <v>96</v>
      </c>
      <c r="BL1332" t="s">
        <v>122</v>
      </c>
      <c r="BM1332" t="s">
        <v>21903</v>
      </c>
      <c r="BN1332">
        <v>32016484</v>
      </c>
      <c r="BR1332" t="s">
        <v>98</v>
      </c>
      <c r="BS1332" t="s">
        <v>21904</v>
      </c>
      <c r="BT1332" t="s">
        <v>16602</v>
      </c>
    </row>
    <row r="1333" spans="1:72">
      <c r="A1333" t="s">
        <v>72</v>
      </c>
      <c r="B1333" t="s">
        <v>21905</v>
      </c>
      <c r="F1333" t="s">
        <v>21905</v>
      </c>
      <c r="I1333" t="s">
        <v>21906</v>
      </c>
      <c r="J1333" t="s">
        <v>958</v>
      </c>
      <c r="M1333" t="s">
        <v>78</v>
      </c>
      <c r="N1333" t="s">
        <v>151</v>
      </c>
      <c r="O1333" t="s">
        <v>21907</v>
      </c>
      <c r="P1333" t="s">
        <v>21908</v>
      </c>
      <c r="Q1333" t="s">
        <v>21909</v>
      </c>
      <c r="T1333" t="s">
        <v>21910</v>
      </c>
      <c r="U1333" t="s">
        <v>21911</v>
      </c>
      <c r="V1333" t="s">
        <v>21912</v>
      </c>
      <c r="W1333" t="s">
        <v>21913</v>
      </c>
      <c r="X1333" t="s">
        <v>21914</v>
      </c>
      <c r="Z1333" t="s">
        <v>21915</v>
      </c>
      <c r="AA1333" t="s">
        <v>13092</v>
      </c>
      <c r="AG1333">
        <v>42</v>
      </c>
      <c r="AH1333">
        <v>57</v>
      </c>
      <c r="AI1333">
        <v>66</v>
      </c>
      <c r="AJ1333">
        <v>1</v>
      </c>
      <c r="AK1333">
        <v>22</v>
      </c>
      <c r="AL1333" t="s">
        <v>86</v>
      </c>
      <c r="AM1333" t="s">
        <v>87</v>
      </c>
      <c r="AN1333" t="s">
        <v>88</v>
      </c>
      <c r="AO1333" t="s">
        <v>967</v>
      </c>
      <c r="AP1333" t="s">
        <v>968</v>
      </c>
      <c r="AR1333" t="s">
        <v>969</v>
      </c>
      <c r="AS1333" t="s">
        <v>970</v>
      </c>
      <c r="AT1333" t="s">
        <v>142</v>
      </c>
      <c r="AU1333">
        <v>2002</v>
      </c>
      <c r="AV1333">
        <v>17</v>
      </c>
      <c r="AW1333">
        <v>3</v>
      </c>
      <c r="AZ1333" t="s">
        <v>225</v>
      </c>
      <c r="BB1333">
        <v>149</v>
      </c>
      <c r="BC1333">
        <v>159</v>
      </c>
      <c r="BE1333" t="s">
        <v>21916</v>
      </c>
      <c r="BF1333" t="s">
        <v>21917</v>
      </c>
      <c r="BI1333">
        <v>11</v>
      </c>
      <c r="BJ1333" t="s">
        <v>972</v>
      </c>
      <c r="BK1333" t="s">
        <v>172</v>
      </c>
      <c r="BL1333" t="s">
        <v>973</v>
      </c>
      <c r="BM1333" t="s">
        <v>21918</v>
      </c>
      <c r="BN1333">
        <v>12112623</v>
      </c>
      <c r="BR1333" t="s">
        <v>98</v>
      </c>
      <c r="BS1333" t="s">
        <v>21919</v>
      </c>
      <c r="BT1333" t="s">
        <v>16602</v>
      </c>
    </row>
    <row r="1334" spans="1:72">
      <c r="A1334" t="s">
        <v>72</v>
      </c>
      <c r="B1334" t="s">
        <v>21920</v>
      </c>
      <c r="F1334" t="s">
        <v>21921</v>
      </c>
      <c r="I1334" t="s">
        <v>21922</v>
      </c>
      <c r="J1334" t="s">
        <v>103</v>
      </c>
      <c r="M1334" t="s">
        <v>78</v>
      </c>
      <c r="N1334" t="s">
        <v>79</v>
      </c>
      <c r="T1334" t="s">
        <v>21923</v>
      </c>
      <c r="U1334" t="s">
        <v>21924</v>
      </c>
      <c r="V1334" t="s">
        <v>21925</v>
      </c>
      <c r="W1334" t="s">
        <v>21926</v>
      </c>
      <c r="X1334" t="s">
        <v>11264</v>
      </c>
      <c r="Y1334" t="s">
        <v>21927</v>
      </c>
      <c r="Z1334" t="s">
        <v>1261</v>
      </c>
      <c r="AA1334" t="s">
        <v>21928</v>
      </c>
      <c r="AB1334" t="s">
        <v>21929</v>
      </c>
      <c r="AC1334" t="s">
        <v>21930</v>
      </c>
      <c r="AD1334" t="s">
        <v>1259</v>
      </c>
      <c r="AE1334" t="s">
        <v>21931</v>
      </c>
      <c r="AG1334">
        <v>33</v>
      </c>
      <c r="AH1334">
        <v>18</v>
      </c>
      <c r="AI1334">
        <v>18</v>
      </c>
      <c r="AJ1334">
        <v>1</v>
      </c>
      <c r="AK1334">
        <v>39</v>
      </c>
      <c r="AL1334" t="s">
        <v>112</v>
      </c>
      <c r="AM1334" t="s">
        <v>113</v>
      </c>
      <c r="AN1334" t="s">
        <v>469</v>
      </c>
      <c r="AO1334" t="s">
        <v>115</v>
      </c>
      <c r="AP1334" t="s">
        <v>116</v>
      </c>
      <c r="AR1334" t="s">
        <v>117</v>
      </c>
      <c r="AS1334" t="s">
        <v>118</v>
      </c>
      <c r="AT1334" t="s">
        <v>197</v>
      </c>
      <c r="AU1334">
        <v>2012</v>
      </c>
      <c r="AV1334">
        <v>89</v>
      </c>
      <c r="AW1334">
        <v>6</v>
      </c>
      <c r="BB1334">
        <v>1205</v>
      </c>
      <c r="BC1334">
        <v>1210</v>
      </c>
      <c r="BE1334" t="s">
        <v>21932</v>
      </c>
      <c r="BF1334" t="s">
        <v>21933</v>
      </c>
      <c r="BI1334">
        <v>6</v>
      </c>
      <c r="BJ1334" t="s">
        <v>121</v>
      </c>
      <c r="BK1334" t="s">
        <v>96</v>
      </c>
      <c r="BL1334" t="s">
        <v>122</v>
      </c>
      <c r="BM1334" t="s">
        <v>21934</v>
      </c>
      <c r="BN1334">
        <v>23052577</v>
      </c>
      <c r="BR1334" t="s">
        <v>98</v>
      </c>
      <c r="BS1334" t="s">
        <v>21935</v>
      </c>
      <c r="BT1334" t="s">
        <v>16602</v>
      </c>
    </row>
    <row r="1335" spans="1:72">
      <c r="A1335" t="s">
        <v>72</v>
      </c>
      <c r="B1335" t="s">
        <v>21936</v>
      </c>
      <c r="F1335" t="s">
        <v>21937</v>
      </c>
      <c r="I1335" t="s">
        <v>21938</v>
      </c>
      <c r="J1335" t="s">
        <v>179</v>
      </c>
      <c r="M1335" t="s">
        <v>78</v>
      </c>
      <c r="N1335" t="s">
        <v>79</v>
      </c>
      <c r="T1335" t="s">
        <v>21939</v>
      </c>
      <c r="U1335" t="s">
        <v>21940</v>
      </c>
      <c r="V1335" t="s">
        <v>21941</v>
      </c>
      <c r="W1335" t="s">
        <v>21942</v>
      </c>
      <c r="X1335" t="s">
        <v>21943</v>
      </c>
      <c r="Y1335" t="s">
        <v>11366</v>
      </c>
      <c r="Z1335" t="s">
        <v>11367</v>
      </c>
      <c r="AA1335" t="s">
        <v>21944</v>
      </c>
      <c r="AB1335" t="s">
        <v>11369</v>
      </c>
      <c r="AG1335">
        <v>59</v>
      </c>
      <c r="AH1335">
        <v>29</v>
      </c>
      <c r="AI1335">
        <v>29</v>
      </c>
      <c r="AJ1335">
        <v>1</v>
      </c>
      <c r="AK1335">
        <v>15</v>
      </c>
      <c r="AL1335" t="s">
        <v>112</v>
      </c>
      <c r="AM1335" t="s">
        <v>191</v>
      </c>
      <c r="AN1335" t="s">
        <v>192</v>
      </c>
      <c r="AO1335" t="s">
        <v>193</v>
      </c>
      <c r="AP1335" t="s">
        <v>194</v>
      </c>
      <c r="AR1335" t="s">
        <v>195</v>
      </c>
      <c r="AS1335" t="s">
        <v>196</v>
      </c>
      <c r="AT1335" t="s">
        <v>18834</v>
      </c>
      <c r="AU1335">
        <v>2020</v>
      </c>
      <c r="AV1335">
        <v>192</v>
      </c>
      <c r="AW1335">
        <v>6</v>
      </c>
      <c r="BE1335" t="s">
        <v>21945</v>
      </c>
      <c r="BF1335" t="s">
        <v>21946</v>
      </c>
      <c r="BI1335">
        <v>12</v>
      </c>
      <c r="BJ1335" t="s">
        <v>144</v>
      </c>
      <c r="BK1335" t="s">
        <v>96</v>
      </c>
      <c r="BL1335" t="s">
        <v>145</v>
      </c>
      <c r="BM1335" t="s">
        <v>21947</v>
      </c>
      <c r="BN1335">
        <v>32394195</v>
      </c>
      <c r="BR1335" t="s">
        <v>98</v>
      </c>
      <c r="BS1335" t="s">
        <v>21948</v>
      </c>
      <c r="BT1335" t="s">
        <v>16602</v>
      </c>
    </row>
    <row r="1336" spans="1:72">
      <c r="A1336" t="s">
        <v>72</v>
      </c>
      <c r="B1336" t="s">
        <v>21949</v>
      </c>
      <c r="F1336" t="s">
        <v>21949</v>
      </c>
      <c r="I1336" t="s">
        <v>21950</v>
      </c>
      <c r="J1336" t="s">
        <v>1426</v>
      </c>
      <c r="M1336" t="s">
        <v>78</v>
      </c>
      <c r="N1336" t="s">
        <v>79</v>
      </c>
      <c r="U1336" t="s">
        <v>21951</v>
      </c>
      <c r="V1336" t="s">
        <v>21952</v>
      </c>
      <c r="W1336" t="s">
        <v>21953</v>
      </c>
      <c r="X1336" t="s">
        <v>11035</v>
      </c>
      <c r="Y1336" t="s">
        <v>21954</v>
      </c>
      <c r="AG1336">
        <v>23</v>
      </c>
      <c r="AH1336">
        <v>15</v>
      </c>
      <c r="AI1336">
        <v>15</v>
      </c>
      <c r="AJ1336">
        <v>0</v>
      </c>
      <c r="AK1336">
        <v>2</v>
      </c>
      <c r="AL1336" t="s">
        <v>4870</v>
      </c>
      <c r="AM1336" t="s">
        <v>1434</v>
      </c>
      <c r="AN1336" t="s">
        <v>4871</v>
      </c>
      <c r="AO1336" t="s">
        <v>1436</v>
      </c>
      <c r="AR1336" t="s">
        <v>1437</v>
      </c>
      <c r="AS1336" t="s">
        <v>1438</v>
      </c>
      <c r="AT1336" t="s">
        <v>142</v>
      </c>
      <c r="AU1336">
        <v>1998</v>
      </c>
      <c r="AV1336">
        <v>27</v>
      </c>
      <c r="AW1336">
        <v>2</v>
      </c>
      <c r="BB1336">
        <v>206</v>
      </c>
      <c r="BC1336">
        <v>210</v>
      </c>
      <c r="BI1336">
        <v>5</v>
      </c>
      <c r="BJ1336" t="s">
        <v>1439</v>
      </c>
      <c r="BK1336" t="s">
        <v>96</v>
      </c>
      <c r="BL1336" t="s">
        <v>1439</v>
      </c>
      <c r="BM1336" t="s">
        <v>18799</v>
      </c>
      <c r="BR1336" t="s">
        <v>98</v>
      </c>
      <c r="BS1336" t="s">
        <v>21955</v>
      </c>
      <c r="BT1336" t="s">
        <v>16602</v>
      </c>
    </row>
    <row r="1337" spans="1:72">
      <c r="A1337" t="s">
        <v>72</v>
      </c>
      <c r="B1337" t="s">
        <v>11329</v>
      </c>
      <c r="F1337" t="s">
        <v>11329</v>
      </c>
      <c r="I1337" t="s">
        <v>21956</v>
      </c>
      <c r="J1337" t="s">
        <v>127</v>
      </c>
      <c r="M1337" t="s">
        <v>78</v>
      </c>
      <c r="N1337" t="s">
        <v>79</v>
      </c>
      <c r="T1337" t="s">
        <v>21957</v>
      </c>
      <c r="U1337" t="s">
        <v>21958</v>
      </c>
      <c r="V1337" t="s">
        <v>21959</v>
      </c>
      <c r="W1337" t="s">
        <v>21960</v>
      </c>
      <c r="X1337" t="s">
        <v>11335</v>
      </c>
      <c r="Y1337" t="s">
        <v>21961</v>
      </c>
      <c r="AG1337">
        <v>18</v>
      </c>
      <c r="AH1337">
        <v>54</v>
      </c>
      <c r="AI1337">
        <v>57</v>
      </c>
      <c r="AJ1337">
        <v>0</v>
      </c>
      <c r="AK1337">
        <v>11</v>
      </c>
      <c r="AL1337" t="s">
        <v>136</v>
      </c>
      <c r="AM1337" t="s">
        <v>137</v>
      </c>
      <c r="AN1337" t="s">
        <v>138</v>
      </c>
      <c r="AO1337" t="s">
        <v>139</v>
      </c>
      <c r="AR1337" t="s">
        <v>127</v>
      </c>
      <c r="AS1337" t="s">
        <v>141</v>
      </c>
      <c r="AT1337" t="s">
        <v>119</v>
      </c>
      <c r="AU1337">
        <v>2003</v>
      </c>
      <c r="AV1337">
        <v>52</v>
      </c>
      <c r="AW1337">
        <v>7</v>
      </c>
      <c r="BB1337">
        <v>1147</v>
      </c>
      <c r="BC1337">
        <v>1151</v>
      </c>
      <c r="BE1337" t="s">
        <v>21962</v>
      </c>
      <c r="BF1337" t="s">
        <v>21963</v>
      </c>
      <c r="BI1337">
        <v>5</v>
      </c>
      <c r="BJ1337" t="s">
        <v>144</v>
      </c>
      <c r="BK1337" t="s">
        <v>96</v>
      </c>
      <c r="BL1337" t="s">
        <v>145</v>
      </c>
      <c r="BM1337" t="s">
        <v>21964</v>
      </c>
      <c r="BN1337">
        <v>12820995</v>
      </c>
      <c r="BR1337" t="s">
        <v>98</v>
      </c>
      <c r="BS1337" t="s">
        <v>21965</v>
      </c>
      <c r="BT1337" t="s">
        <v>16602</v>
      </c>
    </row>
    <row r="1338" spans="1:72">
      <c r="A1338" t="s">
        <v>72</v>
      </c>
      <c r="B1338" t="s">
        <v>21966</v>
      </c>
      <c r="F1338" t="s">
        <v>21967</v>
      </c>
      <c r="I1338" t="s">
        <v>21968</v>
      </c>
      <c r="J1338" t="s">
        <v>8431</v>
      </c>
      <c r="M1338" t="s">
        <v>78</v>
      </c>
      <c r="N1338" t="s">
        <v>79</v>
      </c>
      <c r="T1338" t="s">
        <v>21969</v>
      </c>
      <c r="U1338" t="s">
        <v>21970</v>
      </c>
      <c r="V1338" t="s">
        <v>21971</v>
      </c>
      <c r="W1338" t="s">
        <v>21972</v>
      </c>
      <c r="X1338" t="s">
        <v>21973</v>
      </c>
      <c r="Y1338" t="s">
        <v>21974</v>
      </c>
      <c r="Z1338" t="s">
        <v>8437</v>
      </c>
      <c r="AA1338" t="s">
        <v>21975</v>
      </c>
      <c r="AB1338" t="s">
        <v>21976</v>
      </c>
      <c r="AG1338">
        <v>26</v>
      </c>
      <c r="AH1338">
        <v>3</v>
      </c>
      <c r="AI1338">
        <v>3</v>
      </c>
      <c r="AJ1338">
        <v>1</v>
      </c>
      <c r="AK1338">
        <v>11</v>
      </c>
      <c r="AL1338" t="s">
        <v>8440</v>
      </c>
      <c r="AM1338" t="s">
        <v>8441</v>
      </c>
      <c r="AN1338" t="s">
        <v>8442</v>
      </c>
      <c r="AO1338" t="s">
        <v>8443</v>
      </c>
      <c r="AP1338" t="s">
        <v>8444</v>
      </c>
      <c r="AR1338" t="s">
        <v>8445</v>
      </c>
      <c r="AS1338" t="s">
        <v>8446</v>
      </c>
      <c r="AT1338" t="s">
        <v>267</v>
      </c>
      <c r="AU1338">
        <v>2018</v>
      </c>
      <c r="AV1338">
        <v>81</v>
      </c>
      <c r="AW1338">
        <v>10</v>
      </c>
      <c r="BB1338">
        <v>1622</v>
      </c>
      <c r="BC1338">
        <v>1626</v>
      </c>
      <c r="BE1338" t="s">
        <v>21977</v>
      </c>
      <c r="BF1338" t="s">
        <v>21978</v>
      </c>
      <c r="BI1338">
        <v>5</v>
      </c>
      <c r="BJ1338" t="s">
        <v>8448</v>
      </c>
      <c r="BK1338" t="s">
        <v>96</v>
      </c>
      <c r="BL1338" t="s">
        <v>8448</v>
      </c>
      <c r="BM1338" t="s">
        <v>21979</v>
      </c>
      <c r="BN1338">
        <v>30192675</v>
      </c>
      <c r="BO1338" t="s">
        <v>370</v>
      </c>
      <c r="BR1338" t="s">
        <v>98</v>
      </c>
      <c r="BS1338" t="s">
        <v>21980</v>
      </c>
      <c r="BT1338" t="s">
        <v>16602</v>
      </c>
    </row>
    <row r="1339" spans="1:72">
      <c r="A1339" t="s">
        <v>72</v>
      </c>
      <c r="B1339" t="s">
        <v>21981</v>
      </c>
      <c r="F1339" t="s">
        <v>21981</v>
      </c>
      <c r="I1339" t="s">
        <v>21982</v>
      </c>
      <c r="J1339" t="s">
        <v>232</v>
      </c>
      <c r="M1339" t="s">
        <v>78</v>
      </c>
      <c r="N1339" t="s">
        <v>79</v>
      </c>
      <c r="V1339" t="s">
        <v>21983</v>
      </c>
      <c r="W1339" t="s">
        <v>21984</v>
      </c>
      <c r="X1339" t="s">
        <v>21985</v>
      </c>
      <c r="Y1339" t="s">
        <v>21986</v>
      </c>
      <c r="AA1339" t="s">
        <v>21987</v>
      </c>
      <c r="AB1339" t="s">
        <v>21988</v>
      </c>
      <c r="AG1339">
        <v>29</v>
      </c>
      <c r="AH1339">
        <v>33</v>
      </c>
      <c r="AI1339">
        <v>36</v>
      </c>
      <c r="AJ1339">
        <v>0</v>
      </c>
      <c r="AK1339">
        <v>2</v>
      </c>
      <c r="AL1339" t="s">
        <v>136</v>
      </c>
      <c r="AM1339" t="s">
        <v>137</v>
      </c>
      <c r="AN1339" t="s">
        <v>138</v>
      </c>
      <c r="AO1339" t="s">
        <v>240</v>
      </c>
      <c r="AP1339" t="s">
        <v>241</v>
      </c>
      <c r="AR1339" t="s">
        <v>242</v>
      </c>
      <c r="AS1339" t="s">
        <v>243</v>
      </c>
      <c r="AU1339">
        <v>1982</v>
      </c>
      <c r="AV1339">
        <v>13</v>
      </c>
      <c r="AW1339">
        <v>7</v>
      </c>
      <c r="BB1339">
        <v>250</v>
      </c>
      <c r="BC1339">
        <v>253</v>
      </c>
      <c r="BE1339" t="s">
        <v>21989</v>
      </c>
      <c r="BF1339" t="s">
        <v>21990</v>
      </c>
      <c r="BI1339">
        <v>4</v>
      </c>
      <c r="BJ1339" t="s">
        <v>247</v>
      </c>
      <c r="BK1339" t="s">
        <v>96</v>
      </c>
      <c r="BL1339" t="s">
        <v>248</v>
      </c>
      <c r="BM1339" t="s">
        <v>21991</v>
      </c>
      <c r="BR1339" t="s">
        <v>98</v>
      </c>
      <c r="BS1339" t="s">
        <v>21992</v>
      </c>
      <c r="BT1339" t="s">
        <v>16602</v>
      </c>
    </row>
    <row r="1340" spans="1:72">
      <c r="A1340" t="s">
        <v>72</v>
      </c>
      <c r="B1340" t="s">
        <v>21993</v>
      </c>
      <c r="F1340" t="s">
        <v>21994</v>
      </c>
      <c r="I1340" t="s">
        <v>21995</v>
      </c>
      <c r="J1340" t="s">
        <v>127</v>
      </c>
      <c r="M1340" t="s">
        <v>78</v>
      </c>
      <c r="N1340" t="s">
        <v>79</v>
      </c>
      <c r="T1340" t="s">
        <v>21996</v>
      </c>
      <c r="U1340" t="s">
        <v>21997</v>
      </c>
      <c r="V1340" t="s">
        <v>21998</v>
      </c>
      <c r="W1340" t="s">
        <v>21999</v>
      </c>
      <c r="X1340" t="s">
        <v>22000</v>
      </c>
      <c r="Y1340" t="s">
        <v>22001</v>
      </c>
      <c r="Z1340" t="s">
        <v>22002</v>
      </c>
      <c r="AA1340" t="s">
        <v>22003</v>
      </c>
      <c r="AB1340" t="s">
        <v>22004</v>
      </c>
      <c r="AC1340" t="s">
        <v>22005</v>
      </c>
      <c r="AD1340" t="s">
        <v>22006</v>
      </c>
      <c r="AE1340" t="s">
        <v>22007</v>
      </c>
      <c r="AG1340">
        <v>56</v>
      </c>
      <c r="AH1340">
        <v>6</v>
      </c>
      <c r="AI1340">
        <v>6</v>
      </c>
      <c r="AJ1340">
        <v>1</v>
      </c>
      <c r="AK1340">
        <v>31</v>
      </c>
      <c r="AL1340" t="s">
        <v>136</v>
      </c>
      <c r="AM1340" t="s">
        <v>137</v>
      </c>
      <c r="AN1340" t="s">
        <v>138</v>
      </c>
      <c r="AO1340" t="s">
        <v>139</v>
      </c>
      <c r="AP1340" t="s">
        <v>140</v>
      </c>
      <c r="AR1340" t="s">
        <v>127</v>
      </c>
      <c r="AS1340" t="s">
        <v>141</v>
      </c>
      <c r="AT1340" t="s">
        <v>1223</v>
      </c>
      <c r="AU1340">
        <v>2020</v>
      </c>
      <c r="AV1340">
        <v>243</v>
      </c>
      <c r="BD1340">
        <v>125199</v>
      </c>
      <c r="BE1340" t="s">
        <v>22008</v>
      </c>
      <c r="BF1340" t="s">
        <v>22009</v>
      </c>
      <c r="BI1340">
        <v>10</v>
      </c>
      <c r="BJ1340" t="s">
        <v>144</v>
      </c>
      <c r="BK1340" t="s">
        <v>96</v>
      </c>
      <c r="BL1340" t="s">
        <v>145</v>
      </c>
      <c r="BM1340" t="s">
        <v>22010</v>
      </c>
      <c r="BN1340">
        <v>31734599</v>
      </c>
      <c r="BO1340" t="s">
        <v>18961</v>
      </c>
      <c r="BR1340" t="s">
        <v>98</v>
      </c>
      <c r="BS1340" t="s">
        <v>22011</v>
      </c>
      <c r="BT1340" t="s">
        <v>16602</v>
      </c>
    </row>
    <row r="1341" spans="1:72">
      <c r="A1341" t="s">
        <v>72</v>
      </c>
      <c r="B1341" t="s">
        <v>22012</v>
      </c>
      <c r="F1341" t="s">
        <v>22013</v>
      </c>
      <c r="I1341" t="s">
        <v>22014</v>
      </c>
      <c r="J1341" t="s">
        <v>4909</v>
      </c>
      <c r="M1341" t="s">
        <v>78</v>
      </c>
      <c r="N1341" t="s">
        <v>79</v>
      </c>
      <c r="T1341" t="s">
        <v>22015</v>
      </c>
      <c r="U1341" t="s">
        <v>22016</v>
      </c>
      <c r="V1341" t="s">
        <v>22017</v>
      </c>
      <c r="W1341" t="s">
        <v>22018</v>
      </c>
      <c r="X1341" t="s">
        <v>4868</v>
      </c>
      <c r="Y1341" t="s">
        <v>22019</v>
      </c>
      <c r="Z1341" t="s">
        <v>22020</v>
      </c>
      <c r="AA1341" t="s">
        <v>22021</v>
      </c>
      <c r="AC1341" t="s">
        <v>22022</v>
      </c>
      <c r="AD1341" t="s">
        <v>22023</v>
      </c>
      <c r="AE1341" t="s">
        <v>22024</v>
      </c>
      <c r="AG1341">
        <v>50</v>
      </c>
      <c r="AH1341">
        <v>6</v>
      </c>
      <c r="AI1341">
        <v>6</v>
      </c>
      <c r="AJ1341">
        <v>0</v>
      </c>
      <c r="AK1341">
        <v>75</v>
      </c>
      <c r="AL1341" t="s">
        <v>408</v>
      </c>
      <c r="AM1341" t="s">
        <v>409</v>
      </c>
      <c r="AN1341" t="s">
        <v>1188</v>
      </c>
      <c r="AO1341" t="s">
        <v>4917</v>
      </c>
      <c r="AP1341" t="s">
        <v>4918</v>
      </c>
      <c r="AR1341" t="s">
        <v>4919</v>
      </c>
      <c r="AS1341" t="s">
        <v>4920</v>
      </c>
      <c r="AT1341" t="s">
        <v>22025</v>
      </c>
      <c r="AU1341">
        <v>2015</v>
      </c>
      <c r="AV1341">
        <v>21</v>
      </c>
      <c r="AW1341">
        <v>6</v>
      </c>
      <c r="BB1341">
        <v>1576</v>
      </c>
      <c r="BC1341">
        <v>1592</v>
      </c>
      <c r="BE1341" t="s">
        <v>22026</v>
      </c>
      <c r="BF1341" t="s">
        <v>22027</v>
      </c>
      <c r="BI1341">
        <v>17</v>
      </c>
      <c r="BJ1341" t="s">
        <v>4923</v>
      </c>
      <c r="BK1341" t="s">
        <v>96</v>
      </c>
      <c r="BL1341" t="s">
        <v>4924</v>
      </c>
      <c r="BM1341" t="s">
        <v>22028</v>
      </c>
      <c r="BR1341" t="s">
        <v>98</v>
      </c>
      <c r="BS1341" t="s">
        <v>22029</v>
      </c>
      <c r="BT1341" t="s">
        <v>16602</v>
      </c>
    </row>
    <row r="1342" spans="1:72">
      <c r="A1342" t="s">
        <v>72</v>
      </c>
      <c r="B1342" t="s">
        <v>22030</v>
      </c>
      <c r="F1342" t="s">
        <v>22031</v>
      </c>
      <c r="I1342" t="s">
        <v>22032</v>
      </c>
      <c r="J1342" t="s">
        <v>232</v>
      </c>
      <c r="M1342" t="s">
        <v>78</v>
      </c>
      <c r="N1342" t="s">
        <v>79</v>
      </c>
      <c r="T1342" t="s">
        <v>22033</v>
      </c>
      <c r="U1342" t="s">
        <v>22034</v>
      </c>
      <c r="V1342" t="s">
        <v>22035</v>
      </c>
      <c r="W1342" t="s">
        <v>22036</v>
      </c>
      <c r="X1342" t="s">
        <v>22037</v>
      </c>
      <c r="Y1342" t="s">
        <v>22038</v>
      </c>
      <c r="Z1342" t="s">
        <v>22039</v>
      </c>
      <c r="AB1342" t="s">
        <v>22040</v>
      </c>
      <c r="AG1342">
        <v>63</v>
      </c>
      <c r="AH1342">
        <v>10</v>
      </c>
      <c r="AI1342">
        <v>11</v>
      </c>
      <c r="AJ1342">
        <v>0</v>
      </c>
      <c r="AK1342">
        <v>8</v>
      </c>
      <c r="AL1342" t="s">
        <v>136</v>
      </c>
      <c r="AM1342" t="s">
        <v>137</v>
      </c>
      <c r="AN1342" t="s">
        <v>138</v>
      </c>
      <c r="AO1342" t="s">
        <v>240</v>
      </c>
      <c r="AP1342" t="s">
        <v>241</v>
      </c>
      <c r="AR1342" t="s">
        <v>242</v>
      </c>
      <c r="AS1342" t="s">
        <v>243</v>
      </c>
      <c r="AT1342" t="s">
        <v>344</v>
      </c>
      <c r="AU1342">
        <v>2017</v>
      </c>
      <c r="AV1342">
        <v>120</v>
      </c>
      <c r="AW1342" t="s">
        <v>326</v>
      </c>
      <c r="BB1342">
        <v>274</v>
      </c>
      <c r="BC1342">
        <v>285</v>
      </c>
      <c r="BE1342" t="s">
        <v>22041</v>
      </c>
      <c r="BF1342" t="s">
        <v>22042</v>
      </c>
      <c r="BI1342">
        <v>12</v>
      </c>
      <c r="BJ1342" t="s">
        <v>247</v>
      </c>
      <c r="BK1342" t="s">
        <v>96</v>
      </c>
      <c r="BL1342" t="s">
        <v>248</v>
      </c>
      <c r="BM1342" t="s">
        <v>22043</v>
      </c>
      <c r="BN1342">
        <v>28527742</v>
      </c>
      <c r="BR1342" t="s">
        <v>98</v>
      </c>
      <c r="BS1342" t="s">
        <v>22044</v>
      </c>
      <c r="BT1342" t="s">
        <v>16602</v>
      </c>
    </row>
    <row r="1343" spans="1:72">
      <c r="A1343" t="s">
        <v>72</v>
      </c>
      <c r="B1343" t="s">
        <v>22045</v>
      </c>
      <c r="F1343" t="s">
        <v>22046</v>
      </c>
      <c r="I1343" t="s">
        <v>22047</v>
      </c>
      <c r="J1343" t="s">
        <v>22048</v>
      </c>
      <c r="M1343" t="s">
        <v>78</v>
      </c>
      <c r="N1343" t="s">
        <v>79</v>
      </c>
      <c r="T1343" t="s">
        <v>22049</v>
      </c>
      <c r="U1343" t="s">
        <v>22050</v>
      </c>
      <c r="V1343" t="s">
        <v>22051</v>
      </c>
      <c r="W1343" t="s">
        <v>22052</v>
      </c>
      <c r="X1343" t="s">
        <v>22053</v>
      </c>
      <c r="Y1343" t="s">
        <v>22054</v>
      </c>
      <c r="Z1343" t="s">
        <v>22055</v>
      </c>
      <c r="AA1343" t="s">
        <v>22056</v>
      </c>
      <c r="AB1343" t="s">
        <v>22057</v>
      </c>
      <c r="AC1343" t="s">
        <v>22058</v>
      </c>
      <c r="AD1343" t="s">
        <v>22059</v>
      </c>
      <c r="AE1343" t="s">
        <v>22060</v>
      </c>
      <c r="AG1343">
        <v>78</v>
      </c>
      <c r="AH1343">
        <v>0</v>
      </c>
      <c r="AI1343">
        <v>1</v>
      </c>
      <c r="AJ1343">
        <v>2</v>
      </c>
      <c r="AK1343">
        <v>17</v>
      </c>
      <c r="AL1343" t="s">
        <v>13288</v>
      </c>
      <c r="AM1343" t="s">
        <v>13289</v>
      </c>
      <c r="AN1343" t="s">
        <v>13290</v>
      </c>
      <c r="AO1343" t="s">
        <v>22061</v>
      </c>
      <c r="AP1343" t="s">
        <v>22062</v>
      </c>
      <c r="AR1343" t="s">
        <v>22063</v>
      </c>
      <c r="AS1343" t="s">
        <v>22064</v>
      </c>
      <c r="AT1343" t="s">
        <v>197</v>
      </c>
      <c r="AU1343">
        <v>2022</v>
      </c>
      <c r="AV1343">
        <v>76</v>
      </c>
      <c r="AW1343">
        <v>12</v>
      </c>
      <c r="BB1343">
        <v>1440</v>
      </c>
      <c r="BC1343">
        <v>1451</v>
      </c>
      <c r="BE1343" t="s">
        <v>22065</v>
      </c>
      <c r="BF1343" t="s">
        <v>22066</v>
      </c>
      <c r="BH1343" t="s">
        <v>4632</v>
      </c>
      <c r="BI1343">
        <v>12</v>
      </c>
      <c r="BJ1343" t="s">
        <v>22067</v>
      </c>
      <c r="BK1343" t="s">
        <v>96</v>
      </c>
      <c r="BL1343" t="s">
        <v>22067</v>
      </c>
      <c r="BM1343" t="s">
        <v>22068</v>
      </c>
      <c r="BN1343">
        <v>36065937</v>
      </c>
      <c r="BR1343" t="s">
        <v>98</v>
      </c>
      <c r="BS1343" t="s">
        <v>22069</v>
      </c>
      <c r="BT1343" t="s">
        <v>16602</v>
      </c>
    </row>
    <row r="1344" spans="1:72">
      <c r="A1344" t="s">
        <v>72</v>
      </c>
      <c r="B1344" t="s">
        <v>22070</v>
      </c>
      <c r="F1344" t="s">
        <v>22071</v>
      </c>
      <c r="I1344" t="s">
        <v>22072</v>
      </c>
      <c r="J1344" t="s">
        <v>204</v>
      </c>
      <c r="M1344" t="s">
        <v>78</v>
      </c>
      <c r="N1344" t="s">
        <v>79</v>
      </c>
      <c r="T1344" t="s">
        <v>22073</v>
      </c>
      <c r="U1344" t="s">
        <v>22074</v>
      </c>
      <c r="V1344" t="s">
        <v>22075</v>
      </c>
      <c r="W1344" t="s">
        <v>22076</v>
      </c>
      <c r="X1344" t="s">
        <v>22077</v>
      </c>
      <c r="Y1344" t="s">
        <v>22078</v>
      </c>
      <c r="Z1344" t="s">
        <v>22079</v>
      </c>
      <c r="AA1344" t="s">
        <v>22080</v>
      </c>
      <c r="AB1344" t="s">
        <v>22081</v>
      </c>
      <c r="AC1344" t="s">
        <v>22082</v>
      </c>
      <c r="AD1344" t="s">
        <v>22082</v>
      </c>
      <c r="AE1344" t="s">
        <v>22083</v>
      </c>
      <c r="AG1344">
        <v>47</v>
      </c>
      <c r="AH1344">
        <v>14</v>
      </c>
      <c r="AI1344">
        <v>17</v>
      </c>
      <c r="AJ1344">
        <v>1</v>
      </c>
      <c r="AK1344">
        <v>60</v>
      </c>
      <c r="AL1344" t="s">
        <v>217</v>
      </c>
      <c r="AM1344" t="s">
        <v>218</v>
      </c>
      <c r="AN1344" t="s">
        <v>219</v>
      </c>
      <c r="AO1344" t="s">
        <v>220</v>
      </c>
      <c r="AP1344" t="s">
        <v>221</v>
      </c>
      <c r="AR1344" t="s">
        <v>222</v>
      </c>
      <c r="AS1344" t="s">
        <v>223</v>
      </c>
      <c r="AT1344" t="s">
        <v>951</v>
      </c>
      <c r="AU1344">
        <v>2012</v>
      </c>
      <c r="AV1344">
        <v>19</v>
      </c>
      <c r="AW1344">
        <v>9</v>
      </c>
      <c r="BB1344">
        <v>4060</v>
      </c>
      <c r="BC1344">
        <v>4072</v>
      </c>
      <c r="BE1344" t="s">
        <v>22084</v>
      </c>
      <c r="BF1344" t="s">
        <v>22085</v>
      </c>
      <c r="BI1344">
        <v>13</v>
      </c>
      <c r="BJ1344" t="s">
        <v>144</v>
      </c>
      <c r="BK1344" t="s">
        <v>96</v>
      </c>
      <c r="BL1344" t="s">
        <v>145</v>
      </c>
      <c r="BM1344" t="s">
        <v>22086</v>
      </c>
      <c r="BN1344">
        <v>22864753</v>
      </c>
      <c r="BR1344" t="s">
        <v>98</v>
      </c>
      <c r="BS1344" t="s">
        <v>22087</v>
      </c>
      <c r="BT1344" t="s">
        <v>16602</v>
      </c>
    </row>
    <row r="1345" spans="1:72">
      <c r="A1345" t="s">
        <v>72</v>
      </c>
      <c r="B1345" t="s">
        <v>22088</v>
      </c>
      <c r="F1345" t="s">
        <v>22088</v>
      </c>
      <c r="I1345" t="s">
        <v>22089</v>
      </c>
      <c r="J1345" t="s">
        <v>664</v>
      </c>
      <c r="M1345" t="s">
        <v>78</v>
      </c>
      <c r="N1345" t="s">
        <v>79</v>
      </c>
      <c r="T1345" t="s">
        <v>22090</v>
      </c>
      <c r="U1345" t="s">
        <v>22091</v>
      </c>
      <c r="V1345" t="s">
        <v>22092</v>
      </c>
      <c r="W1345" t="s">
        <v>20240</v>
      </c>
      <c r="X1345" t="s">
        <v>13541</v>
      </c>
      <c r="Y1345" t="s">
        <v>22093</v>
      </c>
      <c r="AG1345">
        <v>43</v>
      </c>
      <c r="AH1345">
        <v>27</v>
      </c>
      <c r="AI1345">
        <v>31</v>
      </c>
      <c r="AJ1345">
        <v>1</v>
      </c>
      <c r="AK1345">
        <v>8</v>
      </c>
      <c r="AL1345" t="s">
        <v>22094</v>
      </c>
      <c r="AM1345" t="s">
        <v>674</v>
      </c>
      <c r="AN1345" t="s">
        <v>675</v>
      </c>
      <c r="AO1345" t="s">
        <v>676</v>
      </c>
      <c r="AR1345" t="s">
        <v>677</v>
      </c>
      <c r="AS1345" t="s">
        <v>22095</v>
      </c>
      <c r="AT1345" t="s">
        <v>197</v>
      </c>
      <c r="AU1345">
        <v>1999</v>
      </c>
      <c r="AV1345">
        <v>25</v>
      </c>
      <c r="AW1345">
        <v>4</v>
      </c>
      <c r="BB1345">
        <v>557</v>
      </c>
      <c r="BC1345">
        <v>578</v>
      </c>
      <c r="BE1345" t="s">
        <v>22096</v>
      </c>
      <c r="BF1345" t="s">
        <v>22097</v>
      </c>
      <c r="BI1345">
        <v>22</v>
      </c>
      <c r="BJ1345" t="s">
        <v>680</v>
      </c>
      <c r="BK1345" t="s">
        <v>96</v>
      </c>
      <c r="BL1345" t="s">
        <v>680</v>
      </c>
      <c r="BM1345" t="s">
        <v>22098</v>
      </c>
      <c r="BO1345" t="s">
        <v>370</v>
      </c>
      <c r="BR1345" t="s">
        <v>98</v>
      </c>
      <c r="BS1345" t="s">
        <v>22099</v>
      </c>
      <c r="BT1345" t="s">
        <v>16602</v>
      </c>
    </row>
    <row r="1346" spans="1:72">
      <c r="A1346" t="s">
        <v>72</v>
      </c>
      <c r="B1346" t="s">
        <v>22100</v>
      </c>
      <c r="F1346" t="s">
        <v>22101</v>
      </c>
      <c r="I1346" t="s">
        <v>22102</v>
      </c>
      <c r="J1346" t="s">
        <v>204</v>
      </c>
      <c r="M1346" t="s">
        <v>78</v>
      </c>
      <c r="N1346" t="s">
        <v>79</v>
      </c>
      <c r="T1346" t="s">
        <v>22103</v>
      </c>
      <c r="U1346" t="s">
        <v>22104</v>
      </c>
      <c r="V1346" t="s">
        <v>22105</v>
      </c>
      <c r="W1346" t="s">
        <v>22106</v>
      </c>
      <c r="X1346" t="s">
        <v>22107</v>
      </c>
      <c r="Y1346" t="s">
        <v>22108</v>
      </c>
      <c r="Z1346" t="s">
        <v>14392</v>
      </c>
      <c r="AA1346" t="s">
        <v>22109</v>
      </c>
      <c r="AB1346" t="s">
        <v>22110</v>
      </c>
      <c r="AC1346" t="s">
        <v>22111</v>
      </c>
      <c r="AD1346" t="s">
        <v>22112</v>
      </c>
      <c r="AE1346" t="s">
        <v>22113</v>
      </c>
      <c r="AG1346">
        <v>45</v>
      </c>
      <c r="AH1346">
        <v>6</v>
      </c>
      <c r="AI1346">
        <v>8</v>
      </c>
      <c r="AJ1346">
        <v>3</v>
      </c>
      <c r="AK1346">
        <v>41</v>
      </c>
      <c r="AL1346" t="s">
        <v>217</v>
      </c>
      <c r="AM1346" t="s">
        <v>218</v>
      </c>
      <c r="AN1346" t="s">
        <v>219</v>
      </c>
      <c r="AO1346" t="s">
        <v>220</v>
      </c>
      <c r="AP1346" t="s">
        <v>221</v>
      </c>
      <c r="AR1346" t="s">
        <v>222</v>
      </c>
      <c r="AS1346" t="s">
        <v>223</v>
      </c>
      <c r="AT1346" t="s">
        <v>951</v>
      </c>
      <c r="AU1346">
        <v>2019</v>
      </c>
      <c r="AV1346">
        <v>26</v>
      </c>
      <c r="AW1346">
        <v>32</v>
      </c>
      <c r="AZ1346" t="s">
        <v>225</v>
      </c>
      <c r="BB1346">
        <v>33341</v>
      </c>
      <c r="BC1346">
        <v>33350</v>
      </c>
      <c r="BE1346" t="s">
        <v>22114</v>
      </c>
      <c r="BF1346" t="s">
        <v>22115</v>
      </c>
      <c r="BI1346">
        <v>10</v>
      </c>
      <c r="BJ1346" t="s">
        <v>144</v>
      </c>
      <c r="BK1346" t="s">
        <v>96</v>
      </c>
      <c r="BL1346" t="s">
        <v>145</v>
      </c>
      <c r="BM1346" t="s">
        <v>22116</v>
      </c>
      <c r="BN1346">
        <v>31520391</v>
      </c>
      <c r="BR1346" t="s">
        <v>98</v>
      </c>
      <c r="BS1346" t="s">
        <v>22117</v>
      </c>
      <c r="BT1346" t="s">
        <v>16602</v>
      </c>
    </row>
    <row r="1347" spans="1:72">
      <c r="A1347" t="s">
        <v>72</v>
      </c>
      <c r="B1347" t="s">
        <v>22118</v>
      </c>
      <c r="F1347" t="s">
        <v>22119</v>
      </c>
      <c r="I1347" t="s">
        <v>22120</v>
      </c>
      <c r="J1347" t="s">
        <v>179</v>
      </c>
      <c r="M1347" t="s">
        <v>78</v>
      </c>
      <c r="N1347" t="s">
        <v>79</v>
      </c>
      <c r="T1347" t="s">
        <v>22121</v>
      </c>
      <c r="U1347" t="s">
        <v>22122</v>
      </c>
      <c r="V1347" t="s">
        <v>22123</v>
      </c>
      <c r="W1347" t="s">
        <v>22124</v>
      </c>
      <c r="X1347" t="s">
        <v>22125</v>
      </c>
      <c r="Y1347" t="s">
        <v>22126</v>
      </c>
      <c r="Z1347" t="s">
        <v>22127</v>
      </c>
      <c r="AA1347" t="s">
        <v>22128</v>
      </c>
      <c r="AB1347" t="s">
        <v>22129</v>
      </c>
      <c r="AC1347" t="s">
        <v>22130</v>
      </c>
      <c r="AD1347" t="s">
        <v>22131</v>
      </c>
      <c r="AE1347" t="s">
        <v>22132</v>
      </c>
      <c r="AG1347">
        <v>49</v>
      </c>
      <c r="AH1347">
        <v>5</v>
      </c>
      <c r="AI1347">
        <v>6</v>
      </c>
      <c r="AJ1347">
        <v>1</v>
      </c>
      <c r="AK1347">
        <v>14</v>
      </c>
      <c r="AL1347" t="s">
        <v>112</v>
      </c>
      <c r="AM1347" t="s">
        <v>191</v>
      </c>
      <c r="AN1347" t="s">
        <v>192</v>
      </c>
      <c r="AO1347" t="s">
        <v>193</v>
      </c>
      <c r="AP1347" t="s">
        <v>194</v>
      </c>
      <c r="AR1347" t="s">
        <v>195</v>
      </c>
      <c r="AS1347" t="s">
        <v>196</v>
      </c>
      <c r="AT1347" t="s">
        <v>1470</v>
      </c>
      <c r="AU1347">
        <v>2023</v>
      </c>
      <c r="AV1347">
        <v>195</v>
      </c>
      <c r="AW1347">
        <v>1</v>
      </c>
      <c r="BD1347">
        <v>73</v>
      </c>
      <c r="BE1347" t="s">
        <v>22133</v>
      </c>
      <c r="BF1347" t="s">
        <v>22134</v>
      </c>
      <c r="BI1347">
        <v>13</v>
      </c>
      <c r="BJ1347" t="s">
        <v>144</v>
      </c>
      <c r="BK1347" t="s">
        <v>96</v>
      </c>
      <c r="BL1347" t="s">
        <v>145</v>
      </c>
      <c r="BM1347" t="s">
        <v>22135</v>
      </c>
      <c r="BN1347">
        <v>36334139</v>
      </c>
      <c r="BO1347" t="s">
        <v>2784</v>
      </c>
      <c r="BR1347" t="s">
        <v>98</v>
      </c>
      <c r="BS1347" t="s">
        <v>22136</v>
      </c>
      <c r="BT1347" t="s">
        <v>16602</v>
      </c>
    </row>
    <row r="1348" spans="1:72">
      <c r="A1348" t="s">
        <v>72</v>
      </c>
      <c r="B1348" t="s">
        <v>22137</v>
      </c>
      <c r="F1348" t="s">
        <v>22138</v>
      </c>
      <c r="I1348" t="s">
        <v>22139</v>
      </c>
      <c r="J1348" t="s">
        <v>232</v>
      </c>
      <c r="M1348" t="s">
        <v>78</v>
      </c>
      <c r="N1348" t="s">
        <v>79</v>
      </c>
      <c r="T1348" t="s">
        <v>22140</v>
      </c>
      <c r="U1348" t="s">
        <v>22141</v>
      </c>
      <c r="V1348" t="s">
        <v>22142</v>
      </c>
      <c r="W1348" t="s">
        <v>22143</v>
      </c>
      <c r="X1348" t="s">
        <v>21792</v>
      </c>
      <c r="Y1348" t="s">
        <v>22144</v>
      </c>
      <c r="Z1348" t="s">
        <v>22145</v>
      </c>
      <c r="AC1348" t="s">
        <v>22146</v>
      </c>
      <c r="AD1348" t="s">
        <v>22147</v>
      </c>
      <c r="AE1348" t="s">
        <v>22148</v>
      </c>
      <c r="AG1348">
        <v>56</v>
      </c>
      <c r="AH1348">
        <v>14</v>
      </c>
      <c r="AI1348">
        <v>15</v>
      </c>
      <c r="AJ1348">
        <v>2</v>
      </c>
      <c r="AK1348">
        <v>50</v>
      </c>
      <c r="AL1348" t="s">
        <v>136</v>
      </c>
      <c r="AM1348" t="s">
        <v>137</v>
      </c>
      <c r="AN1348" t="s">
        <v>138</v>
      </c>
      <c r="AO1348" t="s">
        <v>240</v>
      </c>
      <c r="AP1348" t="s">
        <v>241</v>
      </c>
      <c r="AR1348" t="s">
        <v>242</v>
      </c>
      <c r="AS1348" t="s">
        <v>243</v>
      </c>
      <c r="AT1348" t="s">
        <v>7041</v>
      </c>
      <c r="AU1348">
        <v>2017</v>
      </c>
      <c r="AV1348">
        <v>115</v>
      </c>
      <c r="AW1348" t="s">
        <v>326</v>
      </c>
      <c r="BB1348">
        <v>190</v>
      </c>
      <c r="BC1348">
        <v>193</v>
      </c>
      <c r="BE1348" t="s">
        <v>22149</v>
      </c>
      <c r="BF1348" t="s">
        <v>22150</v>
      </c>
      <c r="BI1348">
        <v>4</v>
      </c>
      <c r="BJ1348" t="s">
        <v>247</v>
      </c>
      <c r="BK1348" t="s">
        <v>96</v>
      </c>
      <c r="BL1348" t="s">
        <v>248</v>
      </c>
      <c r="BM1348" t="s">
        <v>7043</v>
      </c>
      <c r="BN1348">
        <v>27979614</v>
      </c>
      <c r="BR1348" t="s">
        <v>98</v>
      </c>
      <c r="BS1348" t="s">
        <v>22151</v>
      </c>
      <c r="BT1348" t="s">
        <v>16602</v>
      </c>
    </row>
    <row r="1349" spans="1:72">
      <c r="A1349" t="s">
        <v>72</v>
      </c>
      <c r="B1349" t="s">
        <v>22152</v>
      </c>
      <c r="F1349" t="s">
        <v>22153</v>
      </c>
      <c r="I1349" t="s">
        <v>22154</v>
      </c>
      <c r="J1349" t="s">
        <v>204</v>
      </c>
      <c r="M1349" t="s">
        <v>78</v>
      </c>
      <c r="N1349" t="s">
        <v>79</v>
      </c>
      <c r="T1349" t="s">
        <v>22155</v>
      </c>
      <c r="U1349" t="s">
        <v>22156</v>
      </c>
      <c r="V1349" t="s">
        <v>22157</v>
      </c>
      <c r="W1349" t="s">
        <v>22158</v>
      </c>
      <c r="X1349" t="s">
        <v>22159</v>
      </c>
      <c r="Y1349" t="s">
        <v>22160</v>
      </c>
      <c r="Z1349" t="s">
        <v>22161</v>
      </c>
      <c r="AA1349" t="s">
        <v>22162</v>
      </c>
      <c r="AB1349" t="s">
        <v>22163</v>
      </c>
      <c r="AC1349" t="s">
        <v>22164</v>
      </c>
      <c r="AD1349" t="s">
        <v>22165</v>
      </c>
      <c r="AE1349" t="s">
        <v>22166</v>
      </c>
      <c r="AG1349">
        <v>45</v>
      </c>
      <c r="AH1349">
        <v>1</v>
      </c>
      <c r="AI1349">
        <v>1</v>
      </c>
      <c r="AJ1349">
        <v>6</v>
      </c>
      <c r="AK1349">
        <v>8</v>
      </c>
      <c r="AL1349" t="s">
        <v>217</v>
      </c>
      <c r="AM1349" t="s">
        <v>218</v>
      </c>
      <c r="AN1349" t="s">
        <v>219</v>
      </c>
      <c r="AO1349" t="s">
        <v>220</v>
      </c>
      <c r="AP1349" t="s">
        <v>221</v>
      </c>
      <c r="AR1349" t="s">
        <v>222</v>
      </c>
      <c r="AS1349" t="s">
        <v>223</v>
      </c>
      <c r="AT1349" t="s">
        <v>305</v>
      </c>
      <c r="AU1349">
        <v>2023</v>
      </c>
      <c r="AV1349">
        <v>30</v>
      </c>
      <c r="AW1349">
        <v>45</v>
      </c>
      <c r="BB1349">
        <v>101121</v>
      </c>
      <c r="BC1349">
        <v>101132</v>
      </c>
      <c r="BE1349" t="s">
        <v>22167</v>
      </c>
      <c r="BF1349" t="s">
        <v>22168</v>
      </c>
      <c r="BH1349" t="s">
        <v>6411</v>
      </c>
      <c r="BI1349">
        <v>12</v>
      </c>
      <c r="BJ1349" t="s">
        <v>144</v>
      </c>
      <c r="BK1349" t="s">
        <v>96</v>
      </c>
      <c r="BL1349" t="s">
        <v>145</v>
      </c>
      <c r="BM1349" t="s">
        <v>13757</v>
      </c>
      <c r="BN1349">
        <v>37646930</v>
      </c>
      <c r="BO1349" t="s">
        <v>2784</v>
      </c>
      <c r="BR1349" t="s">
        <v>98</v>
      </c>
      <c r="BS1349" t="s">
        <v>22169</v>
      </c>
      <c r="BT1349" t="s">
        <v>16602</v>
      </c>
    </row>
    <row r="1350" spans="1:72">
      <c r="A1350" t="s">
        <v>72</v>
      </c>
      <c r="B1350" t="s">
        <v>22170</v>
      </c>
      <c r="F1350" t="s">
        <v>22170</v>
      </c>
      <c r="I1350" t="s">
        <v>22171</v>
      </c>
      <c r="J1350" t="s">
        <v>752</v>
      </c>
      <c r="M1350" t="s">
        <v>78</v>
      </c>
      <c r="N1350" t="s">
        <v>151</v>
      </c>
      <c r="O1350" t="s">
        <v>9548</v>
      </c>
      <c r="P1350" t="s">
        <v>9549</v>
      </c>
      <c r="Q1350" t="s">
        <v>9550</v>
      </c>
      <c r="S1350" t="s">
        <v>9551</v>
      </c>
      <c r="T1350" t="s">
        <v>22172</v>
      </c>
      <c r="V1350" t="s">
        <v>22173</v>
      </c>
      <c r="W1350" t="s">
        <v>22174</v>
      </c>
      <c r="X1350" t="s">
        <v>18937</v>
      </c>
      <c r="Y1350" t="s">
        <v>22175</v>
      </c>
      <c r="AG1350">
        <v>6</v>
      </c>
      <c r="AH1350">
        <v>11</v>
      </c>
      <c r="AI1350">
        <v>14</v>
      </c>
      <c r="AJ1350">
        <v>0</v>
      </c>
      <c r="AK1350">
        <v>7</v>
      </c>
      <c r="AL1350" t="s">
        <v>430</v>
      </c>
      <c r="AM1350" t="s">
        <v>137</v>
      </c>
      <c r="AN1350" t="s">
        <v>431</v>
      </c>
      <c r="AO1350" t="s">
        <v>761</v>
      </c>
      <c r="AR1350" t="s">
        <v>763</v>
      </c>
      <c r="AS1350" t="s">
        <v>764</v>
      </c>
      <c r="AT1350" t="s">
        <v>5113</v>
      </c>
      <c r="AU1350">
        <v>2000</v>
      </c>
      <c r="AV1350">
        <v>50</v>
      </c>
      <c r="AW1350" t="s">
        <v>9558</v>
      </c>
      <c r="BB1350">
        <v>301</v>
      </c>
      <c r="BC1350">
        <v>305</v>
      </c>
      <c r="BE1350" t="s">
        <v>22176</v>
      </c>
      <c r="BF1350" t="s">
        <v>22177</v>
      </c>
      <c r="BI1350">
        <v>5</v>
      </c>
      <c r="BJ1350" t="s">
        <v>768</v>
      </c>
      <c r="BK1350" t="s">
        <v>588</v>
      </c>
      <c r="BL1350" t="s">
        <v>769</v>
      </c>
      <c r="BM1350" t="s">
        <v>9560</v>
      </c>
      <c r="BN1350">
        <v>11460709</v>
      </c>
      <c r="BR1350" t="s">
        <v>98</v>
      </c>
      <c r="BS1350" t="s">
        <v>22178</v>
      </c>
      <c r="BT1350" t="s">
        <v>16602</v>
      </c>
    </row>
    <row r="1351" spans="1:72">
      <c r="A1351" t="s">
        <v>72</v>
      </c>
      <c r="B1351" t="s">
        <v>22179</v>
      </c>
      <c r="F1351" t="s">
        <v>22180</v>
      </c>
      <c r="I1351" t="s">
        <v>22181</v>
      </c>
      <c r="J1351" t="s">
        <v>395</v>
      </c>
      <c r="M1351" t="s">
        <v>78</v>
      </c>
      <c r="N1351" t="s">
        <v>79</v>
      </c>
      <c r="T1351" t="s">
        <v>22182</v>
      </c>
      <c r="U1351" t="s">
        <v>22183</v>
      </c>
      <c r="V1351" t="s">
        <v>22184</v>
      </c>
      <c r="W1351" t="s">
        <v>22185</v>
      </c>
      <c r="X1351" t="s">
        <v>22186</v>
      </c>
      <c r="Y1351" t="s">
        <v>22187</v>
      </c>
      <c r="Z1351" t="s">
        <v>22188</v>
      </c>
      <c r="AA1351" t="s">
        <v>22189</v>
      </c>
      <c r="AG1351">
        <v>43</v>
      </c>
      <c r="AH1351">
        <v>40</v>
      </c>
      <c r="AI1351">
        <v>47</v>
      </c>
      <c r="AJ1351">
        <v>3</v>
      </c>
      <c r="AK1351">
        <v>32</v>
      </c>
      <c r="AL1351" t="s">
        <v>408</v>
      </c>
      <c r="AM1351" t="s">
        <v>409</v>
      </c>
      <c r="AN1351" t="s">
        <v>1188</v>
      </c>
      <c r="AO1351" t="s">
        <v>411</v>
      </c>
      <c r="AP1351" t="s">
        <v>6093</v>
      </c>
      <c r="AR1351" t="s">
        <v>412</v>
      </c>
      <c r="AS1351" t="s">
        <v>413</v>
      </c>
      <c r="AU1351">
        <v>2007</v>
      </c>
      <c r="AV1351">
        <v>42</v>
      </c>
      <c r="AW1351">
        <v>8</v>
      </c>
      <c r="BB1351">
        <v>1081</v>
      </c>
      <c r="BC1351">
        <v>1093</v>
      </c>
      <c r="BE1351" t="s">
        <v>22190</v>
      </c>
      <c r="BF1351" t="s">
        <v>22191</v>
      </c>
      <c r="BI1351">
        <v>13</v>
      </c>
      <c r="BJ1351" t="s">
        <v>415</v>
      </c>
      <c r="BK1351" t="s">
        <v>96</v>
      </c>
      <c r="BL1351" t="s">
        <v>416</v>
      </c>
      <c r="BM1351" t="s">
        <v>22192</v>
      </c>
      <c r="BN1351">
        <v>17616880</v>
      </c>
      <c r="BR1351" t="s">
        <v>98</v>
      </c>
      <c r="BS1351" t="s">
        <v>22193</v>
      </c>
      <c r="BT1351" t="s">
        <v>16602</v>
      </c>
    </row>
    <row r="1352" spans="1:72">
      <c r="A1352" t="s">
        <v>72</v>
      </c>
      <c r="B1352" t="s">
        <v>22194</v>
      </c>
      <c r="F1352" t="s">
        <v>22194</v>
      </c>
      <c r="I1352" t="s">
        <v>22195</v>
      </c>
      <c r="J1352" t="s">
        <v>19357</v>
      </c>
      <c r="M1352" t="s">
        <v>78</v>
      </c>
      <c r="N1352" t="s">
        <v>151</v>
      </c>
      <c r="O1352" t="s">
        <v>22196</v>
      </c>
      <c r="P1352" t="s">
        <v>22197</v>
      </c>
      <c r="Q1352" t="s">
        <v>22198</v>
      </c>
      <c r="U1352" t="s">
        <v>22199</v>
      </c>
      <c r="V1352" t="s">
        <v>22200</v>
      </c>
      <c r="W1352" t="s">
        <v>22201</v>
      </c>
      <c r="Y1352" t="s">
        <v>22202</v>
      </c>
      <c r="AA1352" t="s">
        <v>22203</v>
      </c>
      <c r="AB1352" t="s">
        <v>22204</v>
      </c>
      <c r="AG1352">
        <v>30</v>
      </c>
      <c r="AH1352">
        <v>52</v>
      </c>
      <c r="AI1352">
        <v>54</v>
      </c>
      <c r="AJ1352">
        <v>0</v>
      </c>
      <c r="AK1352">
        <v>7</v>
      </c>
      <c r="AL1352" t="s">
        <v>112</v>
      </c>
      <c r="AM1352" t="s">
        <v>113</v>
      </c>
      <c r="AN1352" t="s">
        <v>469</v>
      </c>
      <c r="AO1352" t="s">
        <v>19363</v>
      </c>
      <c r="AR1352" t="s">
        <v>19364</v>
      </c>
      <c r="AS1352" t="s">
        <v>19365</v>
      </c>
      <c r="AT1352" t="s">
        <v>142</v>
      </c>
      <c r="AU1352">
        <v>1997</v>
      </c>
      <c r="AV1352">
        <v>358</v>
      </c>
      <c r="AW1352">
        <v>3</v>
      </c>
      <c r="BB1352">
        <v>411</v>
      </c>
      <c r="BC1352">
        <v>418</v>
      </c>
      <c r="BE1352" t="s">
        <v>22205</v>
      </c>
      <c r="BF1352" t="s">
        <v>22206</v>
      </c>
      <c r="BI1352">
        <v>8</v>
      </c>
      <c r="BJ1352" t="s">
        <v>1196</v>
      </c>
      <c r="BK1352" t="s">
        <v>172</v>
      </c>
      <c r="BL1352" t="s">
        <v>1197</v>
      </c>
      <c r="BM1352" t="s">
        <v>22207</v>
      </c>
      <c r="BR1352" t="s">
        <v>98</v>
      </c>
      <c r="BS1352" t="s">
        <v>22208</v>
      </c>
      <c r="BT1352" t="s">
        <v>16602</v>
      </c>
    </row>
    <row r="1353" spans="1:72">
      <c r="A1353" t="s">
        <v>72</v>
      </c>
      <c r="B1353" t="s">
        <v>22209</v>
      </c>
      <c r="F1353" t="s">
        <v>22210</v>
      </c>
      <c r="I1353" t="s">
        <v>22211</v>
      </c>
      <c r="J1353" t="s">
        <v>232</v>
      </c>
      <c r="M1353" t="s">
        <v>78</v>
      </c>
      <c r="N1353" t="s">
        <v>79</v>
      </c>
      <c r="T1353" t="s">
        <v>22212</v>
      </c>
      <c r="U1353" t="s">
        <v>22213</v>
      </c>
      <c r="V1353" t="s">
        <v>22214</v>
      </c>
      <c r="W1353" t="s">
        <v>22215</v>
      </c>
      <c r="X1353" t="s">
        <v>22216</v>
      </c>
      <c r="Y1353" t="s">
        <v>22217</v>
      </c>
      <c r="Z1353" t="s">
        <v>22218</v>
      </c>
      <c r="AA1353" t="s">
        <v>22219</v>
      </c>
      <c r="AB1353" t="s">
        <v>22220</v>
      </c>
      <c r="AC1353" t="s">
        <v>22221</v>
      </c>
      <c r="AD1353" t="s">
        <v>22222</v>
      </c>
      <c r="AE1353" t="s">
        <v>22223</v>
      </c>
      <c r="AG1353">
        <v>49</v>
      </c>
      <c r="AH1353">
        <v>0</v>
      </c>
      <c r="AI1353">
        <v>0</v>
      </c>
      <c r="AJ1353">
        <v>0</v>
      </c>
      <c r="AK1353">
        <v>0</v>
      </c>
      <c r="AL1353" t="s">
        <v>136</v>
      </c>
      <c r="AM1353" t="s">
        <v>137</v>
      </c>
      <c r="AN1353" t="s">
        <v>138</v>
      </c>
      <c r="AO1353" t="s">
        <v>240</v>
      </c>
      <c r="AP1353" t="s">
        <v>241</v>
      </c>
      <c r="AR1353" t="s">
        <v>242</v>
      </c>
      <c r="AS1353" t="s">
        <v>243</v>
      </c>
      <c r="AT1353" t="s">
        <v>305</v>
      </c>
      <c r="AU1353">
        <v>2024</v>
      </c>
      <c r="AV1353">
        <v>206</v>
      </c>
      <c r="BD1353">
        <v>116684</v>
      </c>
      <c r="BE1353" t="s">
        <v>22224</v>
      </c>
      <c r="BF1353" t="s">
        <v>22225</v>
      </c>
      <c r="BH1353" t="s">
        <v>5962</v>
      </c>
      <c r="BI1353">
        <v>10</v>
      </c>
      <c r="BJ1353" t="s">
        <v>247</v>
      </c>
      <c r="BK1353" t="s">
        <v>96</v>
      </c>
      <c r="BL1353" t="s">
        <v>248</v>
      </c>
      <c r="BM1353" t="s">
        <v>22226</v>
      </c>
      <c r="BN1353">
        <v>39083912</v>
      </c>
      <c r="BR1353" t="s">
        <v>98</v>
      </c>
      <c r="BS1353" t="s">
        <v>22227</v>
      </c>
      <c r="BT1353" t="s">
        <v>16602</v>
      </c>
    </row>
    <row r="1354" spans="1:72">
      <c r="A1354" t="s">
        <v>72</v>
      </c>
      <c r="B1354" t="s">
        <v>22228</v>
      </c>
      <c r="F1354" t="s">
        <v>22229</v>
      </c>
      <c r="I1354" t="s">
        <v>22230</v>
      </c>
      <c r="J1354" t="s">
        <v>1275</v>
      </c>
      <c r="M1354" t="s">
        <v>78</v>
      </c>
      <c r="N1354" t="s">
        <v>79</v>
      </c>
      <c r="T1354" t="s">
        <v>22231</v>
      </c>
      <c r="U1354" t="s">
        <v>22232</v>
      </c>
      <c r="V1354" t="s">
        <v>22233</v>
      </c>
      <c r="W1354" t="s">
        <v>22234</v>
      </c>
      <c r="X1354" t="s">
        <v>22235</v>
      </c>
      <c r="Y1354" t="s">
        <v>22236</v>
      </c>
      <c r="Z1354" t="s">
        <v>22237</v>
      </c>
      <c r="AA1354" t="s">
        <v>22238</v>
      </c>
      <c r="AB1354" t="s">
        <v>22239</v>
      </c>
      <c r="AG1354">
        <v>87</v>
      </c>
      <c r="AH1354">
        <v>16</v>
      </c>
      <c r="AI1354">
        <v>16</v>
      </c>
      <c r="AJ1354">
        <v>2</v>
      </c>
      <c r="AK1354">
        <v>6</v>
      </c>
      <c r="AL1354" t="s">
        <v>650</v>
      </c>
      <c r="AM1354" t="s">
        <v>651</v>
      </c>
      <c r="AN1354" t="s">
        <v>652</v>
      </c>
      <c r="AO1354" t="s">
        <v>1287</v>
      </c>
      <c r="AR1354" t="s">
        <v>1288</v>
      </c>
      <c r="AS1354" t="s">
        <v>1289</v>
      </c>
      <c r="AT1354" t="s">
        <v>951</v>
      </c>
      <c r="AU1354">
        <v>2020</v>
      </c>
      <c r="AV1354">
        <v>40</v>
      </c>
      <c r="BD1354">
        <v>101535</v>
      </c>
      <c r="BE1354" t="s">
        <v>22240</v>
      </c>
      <c r="BF1354" t="s">
        <v>22241</v>
      </c>
      <c r="BI1354">
        <v>13</v>
      </c>
      <c r="BJ1354" t="s">
        <v>1292</v>
      </c>
      <c r="BK1354" t="s">
        <v>96</v>
      </c>
      <c r="BL1354" t="s">
        <v>248</v>
      </c>
      <c r="BM1354" t="s">
        <v>2243</v>
      </c>
      <c r="BR1354" t="s">
        <v>98</v>
      </c>
      <c r="BS1354" t="s">
        <v>22242</v>
      </c>
      <c r="BT1354" t="s">
        <v>16602</v>
      </c>
    </row>
    <row r="1355" spans="1:72">
      <c r="A1355" t="s">
        <v>72</v>
      </c>
      <c r="B1355" t="s">
        <v>22243</v>
      </c>
      <c r="F1355" t="s">
        <v>22244</v>
      </c>
      <c r="I1355" t="s">
        <v>22245</v>
      </c>
      <c r="J1355" t="s">
        <v>7755</v>
      </c>
      <c r="M1355" t="s">
        <v>78</v>
      </c>
      <c r="N1355" t="s">
        <v>79</v>
      </c>
      <c r="T1355" t="s">
        <v>22246</v>
      </c>
      <c r="U1355" t="s">
        <v>22247</v>
      </c>
      <c r="V1355" t="s">
        <v>22248</v>
      </c>
      <c r="W1355" t="s">
        <v>22249</v>
      </c>
      <c r="X1355" t="s">
        <v>22250</v>
      </c>
      <c r="Y1355" t="s">
        <v>22251</v>
      </c>
      <c r="Z1355" t="s">
        <v>22252</v>
      </c>
      <c r="AA1355" t="s">
        <v>22253</v>
      </c>
      <c r="AB1355" t="s">
        <v>22254</v>
      </c>
      <c r="AC1355" t="s">
        <v>22255</v>
      </c>
      <c r="AD1355" t="s">
        <v>22256</v>
      </c>
      <c r="AE1355" t="s">
        <v>22257</v>
      </c>
      <c r="AG1355">
        <v>51</v>
      </c>
      <c r="AH1355">
        <v>9</v>
      </c>
      <c r="AI1355">
        <v>9</v>
      </c>
      <c r="AJ1355">
        <v>0</v>
      </c>
      <c r="AK1355">
        <v>31</v>
      </c>
      <c r="AL1355" t="s">
        <v>86</v>
      </c>
      <c r="AM1355" t="s">
        <v>87</v>
      </c>
      <c r="AN1355" t="s">
        <v>88</v>
      </c>
      <c r="AO1355" t="s">
        <v>7767</v>
      </c>
      <c r="AP1355" t="s">
        <v>7768</v>
      </c>
      <c r="AR1355" t="s">
        <v>7755</v>
      </c>
      <c r="AS1355" t="s">
        <v>7769</v>
      </c>
      <c r="AT1355" t="s">
        <v>119</v>
      </c>
      <c r="AU1355">
        <v>2014</v>
      </c>
      <c r="AV1355">
        <v>14</v>
      </c>
      <c r="AW1355">
        <v>15</v>
      </c>
      <c r="BB1355">
        <v>1796</v>
      </c>
      <c r="BC1355">
        <v>1807</v>
      </c>
      <c r="BE1355" t="s">
        <v>22258</v>
      </c>
      <c r="BF1355" t="s">
        <v>22259</v>
      </c>
      <c r="BI1355">
        <v>12</v>
      </c>
      <c r="BJ1355" t="s">
        <v>7771</v>
      </c>
      <c r="BK1355" t="s">
        <v>96</v>
      </c>
      <c r="BL1355" t="s">
        <v>3805</v>
      </c>
      <c r="BM1355" t="s">
        <v>22260</v>
      </c>
      <c r="BN1355">
        <v>24838682</v>
      </c>
      <c r="BR1355" t="s">
        <v>98</v>
      </c>
      <c r="BS1355" t="s">
        <v>22261</v>
      </c>
      <c r="BT1355" t="s">
        <v>16602</v>
      </c>
    </row>
    <row r="1356" spans="1:72">
      <c r="A1356" t="s">
        <v>72</v>
      </c>
      <c r="B1356" t="s">
        <v>22262</v>
      </c>
      <c r="F1356" t="s">
        <v>22263</v>
      </c>
      <c r="I1356" t="s">
        <v>22264</v>
      </c>
      <c r="J1356" t="s">
        <v>204</v>
      </c>
      <c r="M1356" t="s">
        <v>78</v>
      </c>
      <c r="N1356" t="s">
        <v>79</v>
      </c>
      <c r="T1356" t="s">
        <v>22265</v>
      </c>
      <c r="U1356" t="s">
        <v>22266</v>
      </c>
      <c r="V1356" t="s">
        <v>22267</v>
      </c>
      <c r="W1356" t="s">
        <v>22268</v>
      </c>
      <c r="X1356" t="s">
        <v>22269</v>
      </c>
      <c r="Y1356" t="s">
        <v>22270</v>
      </c>
      <c r="Z1356" t="s">
        <v>22271</v>
      </c>
      <c r="AA1356" t="s">
        <v>22272</v>
      </c>
      <c r="AB1356" t="s">
        <v>22273</v>
      </c>
      <c r="AC1356" t="s">
        <v>22274</v>
      </c>
      <c r="AD1356" t="s">
        <v>22275</v>
      </c>
      <c r="AE1356" t="s">
        <v>22276</v>
      </c>
      <c r="AG1356">
        <v>78</v>
      </c>
      <c r="AH1356">
        <v>3</v>
      </c>
      <c r="AI1356">
        <v>3</v>
      </c>
      <c r="AJ1356">
        <v>0</v>
      </c>
      <c r="AK1356">
        <v>12</v>
      </c>
      <c r="AL1356" t="s">
        <v>217</v>
      </c>
      <c r="AM1356" t="s">
        <v>218</v>
      </c>
      <c r="AN1356" t="s">
        <v>219</v>
      </c>
      <c r="AO1356" t="s">
        <v>220</v>
      </c>
      <c r="AP1356" t="s">
        <v>221</v>
      </c>
      <c r="AR1356" t="s">
        <v>222</v>
      </c>
      <c r="AS1356" t="s">
        <v>223</v>
      </c>
      <c r="AT1356" t="s">
        <v>1470</v>
      </c>
      <c r="AU1356">
        <v>2023</v>
      </c>
      <c r="AV1356">
        <v>30</v>
      </c>
      <c r="AW1356">
        <v>5</v>
      </c>
      <c r="BB1356">
        <v>12059</v>
      </c>
      <c r="BC1356">
        <v>12074</v>
      </c>
      <c r="BE1356" t="s">
        <v>22277</v>
      </c>
      <c r="BF1356" t="s">
        <v>22278</v>
      </c>
      <c r="BH1356" t="s">
        <v>4632</v>
      </c>
      <c r="BI1356">
        <v>16</v>
      </c>
      <c r="BJ1356" t="s">
        <v>144</v>
      </c>
      <c r="BK1356" t="s">
        <v>96</v>
      </c>
      <c r="BL1356" t="s">
        <v>145</v>
      </c>
      <c r="BM1356" t="s">
        <v>22279</v>
      </c>
      <c r="BN1356">
        <v>36103068</v>
      </c>
      <c r="BO1356" t="s">
        <v>2744</v>
      </c>
      <c r="BR1356" t="s">
        <v>98</v>
      </c>
      <c r="BS1356" t="s">
        <v>22280</v>
      </c>
      <c r="BT1356" t="s">
        <v>16602</v>
      </c>
    </row>
    <row r="1357" spans="1:72">
      <c r="A1357" t="s">
        <v>72</v>
      </c>
      <c r="B1357" t="s">
        <v>22281</v>
      </c>
      <c r="F1357" t="s">
        <v>22282</v>
      </c>
      <c r="I1357" t="s">
        <v>22283</v>
      </c>
      <c r="J1357" t="s">
        <v>641</v>
      </c>
      <c r="M1357" t="s">
        <v>78</v>
      </c>
      <c r="N1357" t="s">
        <v>79</v>
      </c>
      <c r="T1357" t="s">
        <v>22284</v>
      </c>
      <c r="U1357" t="s">
        <v>22285</v>
      </c>
      <c r="V1357" t="s">
        <v>22286</v>
      </c>
      <c r="W1357" t="s">
        <v>22287</v>
      </c>
      <c r="X1357" t="s">
        <v>12716</v>
      </c>
      <c r="Y1357" t="s">
        <v>12717</v>
      </c>
      <c r="Z1357" t="s">
        <v>12718</v>
      </c>
      <c r="AA1357" t="s">
        <v>22288</v>
      </c>
      <c r="AB1357" t="s">
        <v>22289</v>
      </c>
      <c r="AC1357" t="s">
        <v>22290</v>
      </c>
      <c r="AD1357" t="s">
        <v>22291</v>
      </c>
      <c r="AE1357" t="s">
        <v>22292</v>
      </c>
      <c r="AG1357">
        <v>51</v>
      </c>
      <c r="AH1357">
        <v>66</v>
      </c>
      <c r="AI1357">
        <v>84</v>
      </c>
      <c r="AJ1357">
        <v>0</v>
      </c>
      <c r="AK1357">
        <v>34</v>
      </c>
      <c r="AL1357" t="s">
        <v>650</v>
      </c>
      <c r="AM1357" t="s">
        <v>651</v>
      </c>
      <c r="AN1357" t="s">
        <v>652</v>
      </c>
      <c r="AO1357" t="s">
        <v>653</v>
      </c>
      <c r="AP1357" t="s">
        <v>654</v>
      </c>
      <c r="AR1357" t="s">
        <v>655</v>
      </c>
      <c r="AS1357" t="s">
        <v>656</v>
      </c>
      <c r="AT1357" t="s">
        <v>22293</v>
      </c>
      <c r="AU1357">
        <v>2008</v>
      </c>
      <c r="AV1357">
        <v>89</v>
      </c>
      <c r="AW1357">
        <v>1</v>
      </c>
      <c r="BB1357">
        <v>18</v>
      </c>
      <c r="BC1357">
        <v>27</v>
      </c>
      <c r="BE1357" t="s">
        <v>22294</v>
      </c>
      <c r="BF1357" t="s">
        <v>22295</v>
      </c>
      <c r="BI1357">
        <v>10</v>
      </c>
      <c r="BJ1357" t="s">
        <v>659</v>
      </c>
      <c r="BK1357" t="s">
        <v>96</v>
      </c>
      <c r="BL1357" t="s">
        <v>659</v>
      </c>
      <c r="BM1357" t="s">
        <v>22296</v>
      </c>
      <c r="BN1357">
        <v>18599131</v>
      </c>
      <c r="BR1357" t="s">
        <v>98</v>
      </c>
      <c r="BS1357" t="s">
        <v>22297</v>
      </c>
      <c r="BT1357" t="s">
        <v>16602</v>
      </c>
    </row>
    <row r="1358" spans="1:72">
      <c r="A1358" t="s">
        <v>72</v>
      </c>
      <c r="B1358" t="s">
        <v>22298</v>
      </c>
      <c r="F1358" t="s">
        <v>22299</v>
      </c>
      <c r="I1358" t="s">
        <v>22300</v>
      </c>
      <c r="J1358" t="s">
        <v>22301</v>
      </c>
      <c r="M1358" t="s">
        <v>78</v>
      </c>
      <c r="N1358" t="s">
        <v>79</v>
      </c>
      <c r="T1358" t="s">
        <v>22302</v>
      </c>
      <c r="U1358" t="s">
        <v>22303</v>
      </c>
      <c r="V1358" t="s">
        <v>22304</v>
      </c>
      <c r="W1358" t="s">
        <v>22305</v>
      </c>
      <c r="Y1358" t="s">
        <v>22306</v>
      </c>
      <c r="Z1358" t="s">
        <v>22307</v>
      </c>
      <c r="AA1358" t="s">
        <v>22308</v>
      </c>
      <c r="AB1358" t="s">
        <v>22309</v>
      </c>
      <c r="AG1358">
        <v>30</v>
      </c>
      <c r="AH1358">
        <v>2</v>
      </c>
      <c r="AI1358">
        <v>2</v>
      </c>
      <c r="AJ1358">
        <v>0</v>
      </c>
      <c r="AK1358">
        <v>3</v>
      </c>
      <c r="AL1358" t="s">
        <v>112</v>
      </c>
      <c r="AM1358" t="s">
        <v>113</v>
      </c>
      <c r="AN1358" t="s">
        <v>114</v>
      </c>
      <c r="AP1358" t="s">
        <v>22310</v>
      </c>
      <c r="AR1358" t="s">
        <v>22311</v>
      </c>
      <c r="AS1358" t="s">
        <v>22312</v>
      </c>
      <c r="AT1358" t="s">
        <v>22313</v>
      </c>
      <c r="AU1358">
        <v>2017</v>
      </c>
      <c r="AV1358">
        <v>4</v>
      </c>
      <c r="BD1358">
        <v>26</v>
      </c>
      <c r="BE1358" t="s">
        <v>22314</v>
      </c>
      <c r="BF1358" t="s">
        <v>22315</v>
      </c>
      <c r="BI1358">
        <v>14</v>
      </c>
      <c r="BJ1358" t="s">
        <v>4120</v>
      </c>
      <c r="BK1358" t="s">
        <v>96</v>
      </c>
      <c r="BL1358" t="s">
        <v>4121</v>
      </c>
      <c r="BM1358" t="s">
        <v>22316</v>
      </c>
      <c r="BO1358" t="s">
        <v>873</v>
      </c>
      <c r="BR1358" t="s">
        <v>98</v>
      </c>
      <c r="BS1358" t="s">
        <v>22317</v>
      </c>
      <c r="BT1358" t="s">
        <v>16602</v>
      </c>
    </row>
    <row r="1359" spans="1:72">
      <c r="A1359" t="s">
        <v>72</v>
      </c>
      <c r="B1359" t="s">
        <v>22318</v>
      </c>
      <c r="F1359" t="s">
        <v>22318</v>
      </c>
      <c r="I1359" t="s">
        <v>22319</v>
      </c>
      <c r="J1359" t="s">
        <v>232</v>
      </c>
      <c r="M1359" t="s">
        <v>78</v>
      </c>
      <c r="N1359" t="s">
        <v>79</v>
      </c>
      <c r="U1359" t="s">
        <v>22320</v>
      </c>
      <c r="V1359" t="s">
        <v>22321</v>
      </c>
      <c r="Y1359" t="s">
        <v>22322</v>
      </c>
      <c r="AA1359" t="s">
        <v>18679</v>
      </c>
      <c r="AB1359" t="s">
        <v>22323</v>
      </c>
      <c r="AG1359">
        <v>43</v>
      </c>
      <c r="AH1359">
        <v>26</v>
      </c>
      <c r="AI1359">
        <v>27</v>
      </c>
      <c r="AJ1359">
        <v>0</v>
      </c>
      <c r="AK1359">
        <v>4</v>
      </c>
      <c r="AL1359" t="s">
        <v>136</v>
      </c>
      <c r="AM1359" t="s">
        <v>137</v>
      </c>
      <c r="AN1359" t="s">
        <v>138</v>
      </c>
      <c r="AO1359" t="s">
        <v>240</v>
      </c>
      <c r="AP1359" t="s">
        <v>241</v>
      </c>
      <c r="AR1359" t="s">
        <v>242</v>
      </c>
      <c r="AS1359" t="s">
        <v>243</v>
      </c>
      <c r="AT1359" t="s">
        <v>170</v>
      </c>
      <c r="AU1359">
        <v>1996</v>
      </c>
      <c r="AV1359">
        <v>32</v>
      </c>
      <c r="AW1359">
        <v>5</v>
      </c>
      <c r="BB1359">
        <v>391</v>
      </c>
      <c r="BC1359">
        <v>396</v>
      </c>
      <c r="BE1359" t="s">
        <v>22324</v>
      </c>
      <c r="BF1359" t="s">
        <v>22325</v>
      </c>
      <c r="BI1359">
        <v>6</v>
      </c>
      <c r="BJ1359" t="s">
        <v>247</v>
      </c>
      <c r="BK1359" t="s">
        <v>96</v>
      </c>
      <c r="BL1359" t="s">
        <v>248</v>
      </c>
      <c r="BM1359" t="s">
        <v>22326</v>
      </c>
      <c r="BR1359" t="s">
        <v>98</v>
      </c>
      <c r="BS1359" t="s">
        <v>22327</v>
      </c>
      <c r="BT1359" t="s">
        <v>16602</v>
      </c>
    </row>
    <row r="1360" spans="1:72">
      <c r="A1360" t="s">
        <v>72</v>
      </c>
      <c r="B1360" t="s">
        <v>22328</v>
      </c>
      <c r="F1360" t="s">
        <v>22329</v>
      </c>
      <c r="I1360" t="s">
        <v>22330</v>
      </c>
      <c r="J1360" t="s">
        <v>752</v>
      </c>
      <c r="M1360" t="s">
        <v>78</v>
      </c>
      <c r="N1360" t="s">
        <v>151</v>
      </c>
      <c r="O1360" t="s">
        <v>14635</v>
      </c>
      <c r="P1360" t="s">
        <v>14636</v>
      </c>
      <c r="Q1360" t="s">
        <v>14637</v>
      </c>
      <c r="T1360" t="s">
        <v>22331</v>
      </c>
      <c r="U1360" t="s">
        <v>22332</v>
      </c>
      <c r="V1360" t="s">
        <v>22333</v>
      </c>
      <c r="Z1360" t="s">
        <v>22334</v>
      </c>
      <c r="AG1360">
        <v>11</v>
      </c>
      <c r="AH1360">
        <v>17</v>
      </c>
      <c r="AI1360">
        <v>19</v>
      </c>
      <c r="AJ1360">
        <v>1</v>
      </c>
      <c r="AK1360">
        <v>16</v>
      </c>
      <c r="AL1360" t="s">
        <v>430</v>
      </c>
      <c r="AM1360" t="s">
        <v>137</v>
      </c>
      <c r="AN1360" t="s">
        <v>431</v>
      </c>
      <c r="AO1360" t="s">
        <v>761</v>
      </c>
      <c r="AP1360" t="s">
        <v>762</v>
      </c>
      <c r="AR1360" t="s">
        <v>763</v>
      </c>
      <c r="AS1360" t="s">
        <v>764</v>
      </c>
      <c r="AT1360" t="s">
        <v>765</v>
      </c>
      <c r="AU1360">
        <v>2008</v>
      </c>
      <c r="AV1360">
        <v>66</v>
      </c>
      <c r="AW1360">
        <v>1</v>
      </c>
      <c r="BB1360">
        <v>185</v>
      </c>
      <c r="BC1360">
        <v>186</v>
      </c>
      <c r="BE1360" t="s">
        <v>22335</v>
      </c>
      <c r="BF1360" t="s">
        <v>22336</v>
      </c>
      <c r="BI1360">
        <v>2</v>
      </c>
      <c r="BJ1360" t="s">
        <v>768</v>
      </c>
      <c r="BK1360" t="s">
        <v>172</v>
      </c>
      <c r="BL1360" t="s">
        <v>769</v>
      </c>
      <c r="BM1360" t="s">
        <v>14648</v>
      </c>
      <c r="BN1360">
        <v>18381221</v>
      </c>
      <c r="BO1360" t="s">
        <v>810</v>
      </c>
      <c r="BR1360" t="s">
        <v>98</v>
      </c>
      <c r="BS1360" t="s">
        <v>22337</v>
      </c>
      <c r="BT1360" t="s">
        <v>16602</v>
      </c>
    </row>
    <row r="1361" spans="1:72">
      <c r="A1361" t="s">
        <v>72</v>
      </c>
      <c r="B1361" t="s">
        <v>22338</v>
      </c>
      <c r="F1361" t="s">
        <v>22339</v>
      </c>
      <c r="I1361" t="s">
        <v>22340</v>
      </c>
      <c r="J1361" t="s">
        <v>127</v>
      </c>
      <c r="M1361" t="s">
        <v>78</v>
      </c>
      <c r="N1361" t="s">
        <v>79</v>
      </c>
      <c r="T1361" t="s">
        <v>22341</v>
      </c>
      <c r="U1361" t="s">
        <v>22342</v>
      </c>
      <c r="V1361" t="s">
        <v>22343</v>
      </c>
      <c r="W1361" t="s">
        <v>22344</v>
      </c>
      <c r="X1361" t="s">
        <v>22345</v>
      </c>
      <c r="Y1361" t="s">
        <v>9287</v>
      </c>
      <c r="Z1361" t="s">
        <v>9288</v>
      </c>
      <c r="AA1361" t="s">
        <v>22346</v>
      </c>
      <c r="AB1361" t="s">
        <v>22347</v>
      </c>
      <c r="AC1361" t="s">
        <v>22348</v>
      </c>
      <c r="AD1361" t="s">
        <v>22349</v>
      </c>
      <c r="AE1361" t="s">
        <v>22350</v>
      </c>
      <c r="AG1361">
        <v>71</v>
      </c>
      <c r="AH1361">
        <v>41</v>
      </c>
      <c r="AI1361">
        <v>41</v>
      </c>
      <c r="AJ1361">
        <v>0</v>
      </c>
      <c r="AK1361">
        <v>74</v>
      </c>
      <c r="AL1361" t="s">
        <v>136</v>
      </c>
      <c r="AM1361" t="s">
        <v>137</v>
      </c>
      <c r="AN1361" t="s">
        <v>138</v>
      </c>
      <c r="AO1361" t="s">
        <v>139</v>
      </c>
      <c r="AP1361" t="s">
        <v>140</v>
      </c>
      <c r="AR1361" t="s">
        <v>127</v>
      </c>
      <c r="AS1361" t="s">
        <v>141</v>
      </c>
      <c r="AT1361" t="s">
        <v>951</v>
      </c>
      <c r="AU1361">
        <v>2019</v>
      </c>
      <c r="AV1361">
        <v>235</v>
      </c>
      <c r="BB1361">
        <v>403</v>
      </c>
      <c r="BC1361">
        <v>412</v>
      </c>
      <c r="BE1361" t="s">
        <v>22351</v>
      </c>
      <c r="BF1361" t="s">
        <v>22352</v>
      </c>
      <c r="BI1361">
        <v>10</v>
      </c>
      <c r="BJ1361" t="s">
        <v>144</v>
      </c>
      <c r="BK1361" t="s">
        <v>96</v>
      </c>
      <c r="BL1361" t="s">
        <v>145</v>
      </c>
      <c r="BM1361" t="s">
        <v>21765</v>
      </c>
      <c r="BN1361">
        <v>31272000</v>
      </c>
      <c r="BO1361" t="s">
        <v>1270</v>
      </c>
      <c r="BR1361" t="s">
        <v>98</v>
      </c>
      <c r="BS1361" t="s">
        <v>22353</v>
      </c>
      <c r="BT1361" t="s">
        <v>16602</v>
      </c>
    </row>
    <row r="1362" spans="1:72">
      <c r="A1362" t="s">
        <v>72</v>
      </c>
      <c r="B1362" t="s">
        <v>22354</v>
      </c>
      <c r="F1362" t="s">
        <v>22354</v>
      </c>
      <c r="I1362" t="s">
        <v>22355</v>
      </c>
      <c r="J1362" t="s">
        <v>4463</v>
      </c>
      <c r="M1362" t="s">
        <v>78</v>
      </c>
      <c r="N1362" t="s">
        <v>79</v>
      </c>
      <c r="U1362" t="s">
        <v>22356</v>
      </c>
      <c r="V1362" t="s">
        <v>22357</v>
      </c>
      <c r="W1362" t="s">
        <v>22358</v>
      </c>
      <c r="X1362" t="s">
        <v>22359</v>
      </c>
      <c r="Y1362" t="s">
        <v>22360</v>
      </c>
      <c r="Z1362" t="s">
        <v>22361</v>
      </c>
      <c r="AG1362">
        <v>66</v>
      </c>
      <c r="AH1362">
        <v>55</v>
      </c>
      <c r="AI1362">
        <v>60</v>
      </c>
      <c r="AJ1362">
        <v>0</v>
      </c>
      <c r="AK1362">
        <v>30</v>
      </c>
      <c r="AL1362" t="s">
        <v>4471</v>
      </c>
      <c r="AM1362" t="s">
        <v>4472</v>
      </c>
      <c r="AN1362" t="s">
        <v>4473</v>
      </c>
      <c r="AO1362" t="s">
        <v>4474</v>
      </c>
      <c r="AP1362" t="s">
        <v>4475</v>
      </c>
      <c r="AR1362" t="s">
        <v>4476</v>
      </c>
      <c r="AS1362" t="s">
        <v>4477</v>
      </c>
      <c r="AT1362" t="s">
        <v>6052</v>
      </c>
      <c r="AU1362">
        <v>2002</v>
      </c>
      <c r="AV1362">
        <v>36</v>
      </c>
      <c r="AW1362">
        <v>5</v>
      </c>
      <c r="BB1362">
        <v>821</v>
      </c>
      <c r="BC1362">
        <v>832</v>
      </c>
      <c r="BE1362" t="s">
        <v>22362</v>
      </c>
      <c r="BF1362" t="s">
        <v>22363</v>
      </c>
      <c r="BI1362">
        <v>12</v>
      </c>
      <c r="BJ1362" t="s">
        <v>415</v>
      </c>
      <c r="BK1362" t="s">
        <v>96</v>
      </c>
      <c r="BL1362" t="s">
        <v>416</v>
      </c>
      <c r="BM1362" t="s">
        <v>22364</v>
      </c>
      <c r="BN1362">
        <v>11918003</v>
      </c>
      <c r="BR1362" t="s">
        <v>98</v>
      </c>
      <c r="BS1362" t="s">
        <v>22365</v>
      </c>
      <c r="BT1362" t="s">
        <v>16602</v>
      </c>
    </row>
    <row r="1363" spans="1:72">
      <c r="A1363" t="s">
        <v>72</v>
      </c>
      <c r="B1363" t="s">
        <v>22366</v>
      </c>
      <c r="F1363" t="s">
        <v>22367</v>
      </c>
      <c r="I1363" t="s">
        <v>22368</v>
      </c>
      <c r="J1363" t="s">
        <v>22369</v>
      </c>
      <c r="M1363" t="s">
        <v>78</v>
      </c>
      <c r="N1363" t="s">
        <v>79</v>
      </c>
      <c r="U1363" t="s">
        <v>22370</v>
      </c>
      <c r="V1363" t="s">
        <v>22371</v>
      </c>
      <c r="W1363" t="s">
        <v>22372</v>
      </c>
      <c r="X1363" t="s">
        <v>1259</v>
      </c>
      <c r="Y1363" t="s">
        <v>22373</v>
      </c>
      <c r="Z1363" t="s">
        <v>22374</v>
      </c>
      <c r="AA1363" t="s">
        <v>1262</v>
      </c>
      <c r="AB1363" t="s">
        <v>11267</v>
      </c>
      <c r="AG1363">
        <v>31</v>
      </c>
      <c r="AH1363">
        <v>2</v>
      </c>
      <c r="AI1363">
        <v>2</v>
      </c>
      <c r="AJ1363">
        <v>0</v>
      </c>
      <c r="AK1363">
        <v>4</v>
      </c>
      <c r="AL1363" t="s">
        <v>6554</v>
      </c>
      <c r="AM1363" t="s">
        <v>113</v>
      </c>
      <c r="AN1363" t="s">
        <v>6555</v>
      </c>
      <c r="AO1363" t="s">
        <v>22375</v>
      </c>
      <c r="AP1363" t="s">
        <v>22376</v>
      </c>
      <c r="AR1363" t="s">
        <v>22377</v>
      </c>
      <c r="AS1363" t="s">
        <v>22378</v>
      </c>
      <c r="AT1363" t="s">
        <v>170</v>
      </c>
      <c r="AU1363">
        <v>2007</v>
      </c>
      <c r="AV1363">
        <v>43</v>
      </c>
      <c r="AW1363">
        <v>5</v>
      </c>
      <c r="BB1363">
        <v>544</v>
      </c>
      <c r="BC1363">
        <v>550</v>
      </c>
      <c r="BE1363" t="s">
        <v>22379</v>
      </c>
      <c r="BF1363" t="s">
        <v>22380</v>
      </c>
      <c r="BI1363">
        <v>7</v>
      </c>
      <c r="BJ1363" t="s">
        <v>3873</v>
      </c>
      <c r="BK1363" t="s">
        <v>96</v>
      </c>
      <c r="BL1363" t="s">
        <v>3873</v>
      </c>
      <c r="BM1363" t="s">
        <v>22381</v>
      </c>
      <c r="BO1363" t="s">
        <v>1270</v>
      </c>
      <c r="BR1363" t="s">
        <v>98</v>
      </c>
      <c r="BS1363" t="s">
        <v>22382</v>
      </c>
      <c r="BT1363" t="s">
        <v>16602</v>
      </c>
    </row>
    <row r="1364" spans="1:72">
      <c r="A1364" t="s">
        <v>72</v>
      </c>
      <c r="B1364" t="s">
        <v>22383</v>
      </c>
      <c r="F1364" t="s">
        <v>22384</v>
      </c>
      <c r="I1364" t="s">
        <v>22385</v>
      </c>
      <c r="J1364" t="s">
        <v>421</v>
      </c>
      <c r="M1364" t="s">
        <v>78</v>
      </c>
      <c r="N1364" t="s">
        <v>79</v>
      </c>
      <c r="T1364" t="s">
        <v>22386</v>
      </c>
      <c r="U1364" t="s">
        <v>22387</v>
      </c>
      <c r="V1364" t="s">
        <v>22388</v>
      </c>
      <c r="W1364" t="s">
        <v>22389</v>
      </c>
      <c r="X1364" t="s">
        <v>22390</v>
      </c>
      <c r="Y1364" t="s">
        <v>22391</v>
      </c>
      <c r="Z1364" t="s">
        <v>22392</v>
      </c>
      <c r="AA1364" t="s">
        <v>22393</v>
      </c>
      <c r="AB1364" t="s">
        <v>22394</v>
      </c>
      <c r="AG1364">
        <v>30</v>
      </c>
      <c r="AH1364">
        <v>48</v>
      </c>
      <c r="AI1364">
        <v>55</v>
      </c>
      <c r="AJ1364">
        <v>1</v>
      </c>
      <c r="AK1364">
        <v>54</v>
      </c>
      <c r="AL1364" t="s">
        <v>430</v>
      </c>
      <c r="AM1364" t="s">
        <v>137</v>
      </c>
      <c r="AN1364" t="s">
        <v>431</v>
      </c>
      <c r="AO1364" t="s">
        <v>432</v>
      </c>
      <c r="AP1364" t="s">
        <v>1394</v>
      </c>
      <c r="AR1364" t="s">
        <v>433</v>
      </c>
      <c r="AS1364" t="s">
        <v>434</v>
      </c>
      <c r="AT1364" t="s">
        <v>1223</v>
      </c>
      <c r="AU1364">
        <v>2007</v>
      </c>
      <c r="AV1364">
        <v>146</v>
      </c>
      <c r="AW1364">
        <v>2</v>
      </c>
      <c r="BB1364">
        <v>470</v>
      </c>
      <c r="BC1364">
        <v>477</v>
      </c>
      <c r="BE1364" t="s">
        <v>22395</v>
      </c>
      <c r="BF1364" t="s">
        <v>22396</v>
      </c>
      <c r="BI1364">
        <v>8</v>
      </c>
      <c r="BJ1364" t="s">
        <v>144</v>
      </c>
      <c r="BK1364" t="s">
        <v>96</v>
      </c>
      <c r="BL1364" t="s">
        <v>145</v>
      </c>
      <c r="BM1364" t="s">
        <v>22397</v>
      </c>
      <c r="BN1364">
        <v>16950550</v>
      </c>
      <c r="BR1364" t="s">
        <v>98</v>
      </c>
      <c r="BS1364" t="s">
        <v>22398</v>
      </c>
      <c r="BT1364" t="s">
        <v>16602</v>
      </c>
    </row>
    <row r="1365" spans="1:72">
      <c r="A1365" t="s">
        <v>72</v>
      </c>
      <c r="B1365" t="s">
        <v>22399</v>
      </c>
      <c r="F1365" t="s">
        <v>22399</v>
      </c>
      <c r="I1365" t="s">
        <v>22400</v>
      </c>
      <c r="J1365" t="s">
        <v>998</v>
      </c>
      <c r="M1365" t="s">
        <v>78</v>
      </c>
      <c r="N1365" t="s">
        <v>79</v>
      </c>
      <c r="V1365" t="s">
        <v>22401</v>
      </c>
      <c r="W1365" t="s">
        <v>22402</v>
      </c>
      <c r="X1365" t="s">
        <v>22403</v>
      </c>
      <c r="AG1365">
        <v>25</v>
      </c>
      <c r="AH1365">
        <v>21</v>
      </c>
      <c r="AI1365">
        <v>22</v>
      </c>
      <c r="AJ1365">
        <v>0</v>
      </c>
      <c r="AK1365">
        <v>3</v>
      </c>
      <c r="AL1365" t="s">
        <v>112</v>
      </c>
      <c r="AM1365" t="s">
        <v>113</v>
      </c>
      <c r="AN1365" t="s">
        <v>114</v>
      </c>
      <c r="AO1365" t="s">
        <v>1009</v>
      </c>
      <c r="AP1365" t="s">
        <v>5996</v>
      </c>
      <c r="AR1365" t="s">
        <v>1010</v>
      </c>
      <c r="AS1365" t="s">
        <v>1011</v>
      </c>
      <c r="AU1365">
        <v>1985</v>
      </c>
      <c r="AV1365">
        <v>14</v>
      </c>
      <c r="AW1365">
        <v>4</v>
      </c>
      <c r="BB1365">
        <v>403</v>
      </c>
      <c r="BC1365">
        <v>407</v>
      </c>
      <c r="BE1365" t="s">
        <v>22404</v>
      </c>
      <c r="BF1365" t="s">
        <v>22405</v>
      </c>
      <c r="BI1365">
        <v>5</v>
      </c>
      <c r="BJ1365" t="s">
        <v>121</v>
      </c>
      <c r="BK1365" t="s">
        <v>96</v>
      </c>
      <c r="BL1365" t="s">
        <v>122</v>
      </c>
      <c r="BM1365" t="s">
        <v>22406</v>
      </c>
      <c r="BR1365" t="s">
        <v>98</v>
      </c>
      <c r="BS1365" t="s">
        <v>22407</v>
      </c>
      <c r="BT1365" t="s">
        <v>16602</v>
      </c>
    </row>
    <row r="1366" spans="1:72">
      <c r="A1366" t="s">
        <v>72</v>
      </c>
      <c r="B1366" t="s">
        <v>22408</v>
      </c>
      <c r="F1366" t="s">
        <v>22409</v>
      </c>
      <c r="I1366" t="s">
        <v>22410</v>
      </c>
      <c r="J1366" t="s">
        <v>232</v>
      </c>
      <c r="M1366" t="s">
        <v>78</v>
      </c>
      <c r="N1366" t="s">
        <v>79</v>
      </c>
      <c r="T1366" t="s">
        <v>22411</v>
      </c>
      <c r="U1366" t="s">
        <v>22412</v>
      </c>
      <c r="V1366" t="s">
        <v>22413</v>
      </c>
      <c r="W1366" t="s">
        <v>22414</v>
      </c>
      <c r="X1366" t="s">
        <v>22415</v>
      </c>
      <c r="Y1366" t="s">
        <v>22416</v>
      </c>
      <c r="Z1366" t="s">
        <v>22417</v>
      </c>
      <c r="AB1366" t="s">
        <v>22418</v>
      </c>
      <c r="AC1366" t="s">
        <v>22419</v>
      </c>
      <c r="AD1366" t="s">
        <v>22419</v>
      </c>
      <c r="AE1366" t="s">
        <v>22420</v>
      </c>
      <c r="AG1366">
        <v>49</v>
      </c>
      <c r="AH1366">
        <v>40</v>
      </c>
      <c r="AI1366">
        <v>42</v>
      </c>
      <c r="AJ1366">
        <v>1</v>
      </c>
      <c r="AK1366">
        <v>46</v>
      </c>
      <c r="AL1366" t="s">
        <v>136</v>
      </c>
      <c r="AM1366" t="s">
        <v>137</v>
      </c>
      <c r="AN1366" t="s">
        <v>138</v>
      </c>
      <c r="AO1366" t="s">
        <v>240</v>
      </c>
      <c r="AP1366" t="s">
        <v>241</v>
      </c>
      <c r="AR1366" t="s">
        <v>242</v>
      </c>
      <c r="AS1366" t="s">
        <v>243</v>
      </c>
      <c r="AT1366" t="s">
        <v>1470</v>
      </c>
      <c r="AU1366">
        <v>2012</v>
      </c>
      <c r="AV1366">
        <v>64</v>
      </c>
      <c r="AW1366">
        <v>1</v>
      </c>
      <c r="BB1366">
        <v>31</v>
      </c>
      <c r="BC1366">
        <v>39</v>
      </c>
      <c r="BE1366" t="s">
        <v>22421</v>
      </c>
      <c r="BF1366" t="s">
        <v>22422</v>
      </c>
      <c r="BI1366">
        <v>9</v>
      </c>
      <c r="BJ1366" t="s">
        <v>247</v>
      </c>
      <c r="BK1366" t="s">
        <v>96</v>
      </c>
      <c r="BL1366" t="s">
        <v>248</v>
      </c>
      <c r="BM1366" t="s">
        <v>22423</v>
      </c>
      <c r="BN1366">
        <v>22099960</v>
      </c>
      <c r="BR1366" t="s">
        <v>98</v>
      </c>
      <c r="BS1366" t="s">
        <v>22424</v>
      </c>
      <c r="BT1366" t="s">
        <v>16602</v>
      </c>
    </row>
    <row r="1367" spans="1:72">
      <c r="A1367" t="s">
        <v>72</v>
      </c>
      <c r="B1367" t="s">
        <v>22425</v>
      </c>
      <c r="F1367" t="s">
        <v>22425</v>
      </c>
      <c r="I1367" t="s">
        <v>22426</v>
      </c>
      <c r="J1367" t="s">
        <v>232</v>
      </c>
      <c r="M1367" t="s">
        <v>78</v>
      </c>
      <c r="N1367" t="s">
        <v>79</v>
      </c>
      <c r="U1367" t="s">
        <v>22427</v>
      </c>
      <c r="V1367" t="s">
        <v>22428</v>
      </c>
      <c r="W1367" t="s">
        <v>22429</v>
      </c>
      <c r="X1367" t="s">
        <v>22430</v>
      </c>
      <c r="Y1367" t="s">
        <v>22431</v>
      </c>
      <c r="AA1367" t="s">
        <v>22432</v>
      </c>
      <c r="AB1367" t="s">
        <v>22433</v>
      </c>
      <c r="AG1367">
        <v>22</v>
      </c>
      <c r="AH1367">
        <v>26</v>
      </c>
      <c r="AI1367">
        <v>28</v>
      </c>
      <c r="AJ1367">
        <v>1</v>
      </c>
      <c r="AK1367">
        <v>12</v>
      </c>
      <c r="AL1367" t="s">
        <v>136</v>
      </c>
      <c r="AM1367" t="s">
        <v>137</v>
      </c>
      <c r="AN1367" t="s">
        <v>138</v>
      </c>
      <c r="AO1367" t="s">
        <v>240</v>
      </c>
      <c r="AP1367" t="s">
        <v>241</v>
      </c>
      <c r="AR1367" t="s">
        <v>242</v>
      </c>
      <c r="AS1367" t="s">
        <v>243</v>
      </c>
      <c r="AT1367" t="s">
        <v>197</v>
      </c>
      <c r="AU1367">
        <v>1995</v>
      </c>
      <c r="AV1367">
        <v>30</v>
      </c>
      <c r="AW1367">
        <v>12</v>
      </c>
      <c r="BB1367">
        <v>820</v>
      </c>
      <c r="BC1367">
        <v>825</v>
      </c>
      <c r="BE1367" t="s">
        <v>22434</v>
      </c>
      <c r="BF1367" t="s">
        <v>22435</v>
      </c>
      <c r="BI1367">
        <v>6</v>
      </c>
      <c r="BJ1367" t="s">
        <v>247</v>
      </c>
      <c r="BK1367" t="s">
        <v>96</v>
      </c>
      <c r="BL1367" t="s">
        <v>248</v>
      </c>
      <c r="BM1367" t="s">
        <v>22436</v>
      </c>
      <c r="BR1367" t="s">
        <v>98</v>
      </c>
      <c r="BS1367" t="s">
        <v>22437</v>
      </c>
      <c r="BT1367" t="s">
        <v>16602</v>
      </c>
    </row>
    <row r="1368" spans="1:72">
      <c r="A1368" t="s">
        <v>72</v>
      </c>
      <c r="B1368" t="s">
        <v>22438</v>
      </c>
      <c r="F1368" t="s">
        <v>22439</v>
      </c>
      <c r="I1368" t="s">
        <v>22440</v>
      </c>
      <c r="J1368" t="s">
        <v>704</v>
      </c>
      <c r="M1368" t="s">
        <v>78</v>
      </c>
      <c r="N1368" t="s">
        <v>79</v>
      </c>
      <c r="T1368" t="s">
        <v>22441</v>
      </c>
      <c r="U1368" t="s">
        <v>22442</v>
      </c>
      <c r="V1368" t="s">
        <v>22443</v>
      </c>
      <c r="W1368" t="s">
        <v>22444</v>
      </c>
      <c r="X1368" t="s">
        <v>22445</v>
      </c>
      <c r="Y1368" t="s">
        <v>22446</v>
      </c>
      <c r="Z1368" t="s">
        <v>22447</v>
      </c>
      <c r="AA1368" t="s">
        <v>22448</v>
      </c>
      <c r="AB1368" t="s">
        <v>22449</v>
      </c>
      <c r="AC1368" t="s">
        <v>3488</v>
      </c>
      <c r="AD1368" t="s">
        <v>3488</v>
      </c>
      <c r="AE1368" t="s">
        <v>22450</v>
      </c>
      <c r="AG1368">
        <v>42</v>
      </c>
      <c r="AH1368">
        <v>48</v>
      </c>
      <c r="AI1368">
        <v>48</v>
      </c>
      <c r="AJ1368">
        <v>1</v>
      </c>
      <c r="AK1368">
        <v>81</v>
      </c>
      <c r="AL1368" t="s">
        <v>1166</v>
      </c>
      <c r="AM1368" t="s">
        <v>1167</v>
      </c>
      <c r="AN1368" t="s">
        <v>1168</v>
      </c>
      <c r="AO1368" t="s">
        <v>718</v>
      </c>
      <c r="AP1368" t="s">
        <v>1169</v>
      </c>
      <c r="AR1368" t="s">
        <v>719</v>
      </c>
      <c r="AS1368" t="s">
        <v>720</v>
      </c>
      <c r="AT1368" t="s">
        <v>1470</v>
      </c>
      <c r="AU1368">
        <v>2013</v>
      </c>
      <c r="AV1368">
        <v>224</v>
      </c>
      <c r="AW1368">
        <v>1</v>
      </c>
      <c r="BD1368">
        <v>1366</v>
      </c>
      <c r="BE1368" t="s">
        <v>22451</v>
      </c>
      <c r="BF1368" t="s">
        <v>22452</v>
      </c>
      <c r="BI1368">
        <v>12</v>
      </c>
      <c r="BJ1368" t="s">
        <v>722</v>
      </c>
      <c r="BK1368" t="s">
        <v>96</v>
      </c>
      <c r="BL1368" t="s">
        <v>723</v>
      </c>
      <c r="BM1368" t="s">
        <v>22453</v>
      </c>
      <c r="BR1368" t="s">
        <v>98</v>
      </c>
      <c r="BS1368" t="s">
        <v>22454</v>
      </c>
      <c r="BT1368" t="s">
        <v>16602</v>
      </c>
    </row>
    <row r="1369" spans="1:72">
      <c r="A1369" t="s">
        <v>72</v>
      </c>
      <c r="B1369" t="s">
        <v>22455</v>
      </c>
      <c r="F1369" t="s">
        <v>22455</v>
      </c>
      <c r="I1369" t="s">
        <v>22456</v>
      </c>
      <c r="J1369" t="s">
        <v>421</v>
      </c>
      <c r="M1369" t="s">
        <v>78</v>
      </c>
      <c r="N1369" t="s">
        <v>79</v>
      </c>
      <c r="T1369" t="s">
        <v>22457</v>
      </c>
      <c r="U1369" t="s">
        <v>22458</v>
      </c>
      <c r="V1369" t="s">
        <v>22459</v>
      </c>
      <c r="W1369" t="s">
        <v>22460</v>
      </c>
      <c r="X1369" t="s">
        <v>6330</v>
      </c>
      <c r="Y1369" t="s">
        <v>22461</v>
      </c>
      <c r="Z1369" t="s">
        <v>14445</v>
      </c>
      <c r="AA1369" t="s">
        <v>6332</v>
      </c>
      <c r="AB1369" t="s">
        <v>6333</v>
      </c>
      <c r="AG1369">
        <v>43</v>
      </c>
      <c r="AH1369">
        <v>30</v>
      </c>
      <c r="AI1369">
        <v>30</v>
      </c>
      <c r="AJ1369">
        <v>3</v>
      </c>
      <c r="AK1369">
        <v>62</v>
      </c>
      <c r="AL1369" t="s">
        <v>430</v>
      </c>
      <c r="AM1369" t="s">
        <v>137</v>
      </c>
      <c r="AN1369" t="s">
        <v>431</v>
      </c>
      <c r="AO1369" t="s">
        <v>432</v>
      </c>
      <c r="AP1369" t="s">
        <v>1394</v>
      </c>
      <c r="AR1369" t="s">
        <v>433</v>
      </c>
      <c r="AS1369" t="s">
        <v>434</v>
      </c>
      <c r="AT1369" t="s">
        <v>142</v>
      </c>
      <c r="AU1369">
        <v>2005</v>
      </c>
      <c r="AV1369">
        <v>135</v>
      </c>
      <c r="AW1369">
        <v>3</v>
      </c>
      <c r="BB1369">
        <v>457</v>
      </c>
      <c r="BC1369">
        <v>467</v>
      </c>
      <c r="BE1369" t="s">
        <v>22462</v>
      </c>
      <c r="BF1369" t="s">
        <v>22463</v>
      </c>
      <c r="BI1369">
        <v>11</v>
      </c>
      <c r="BJ1369" t="s">
        <v>144</v>
      </c>
      <c r="BK1369" t="s">
        <v>96</v>
      </c>
      <c r="BL1369" t="s">
        <v>145</v>
      </c>
      <c r="BM1369" t="s">
        <v>22464</v>
      </c>
      <c r="BN1369">
        <v>15749543</v>
      </c>
      <c r="BR1369" t="s">
        <v>98</v>
      </c>
      <c r="BS1369" t="s">
        <v>22465</v>
      </c>
      <c r="BT1369" t="s">
        <v>16602</v>
      </c>
    </row>
    <row r="1370" spans="1:72">
      <c r="A1370" t="s">
        <v>72</v>
      </c>
      <c r="B1370" t="s">
        <v>22466</v>
      </c>
      <c r="F1370" t="s">
        <v>22467</v>
      </c>
      <c r="I1370" t="s">
        <v>22468</v>
      </c>
      <c r="J1370" t="s">
        <v>22469</v>
      </c>
      <c r="M1370" t="s">
        <v>78</v>
      </c>
      <c r="N1370" t="s">
        <v>79</v>
      </c>
      <c r="U1370" t="s">
        <v>22470</v>
      </c>
      <c r="V1370" t="s">
        <v>22471</v>
      </c>
      <c r="W1370" t="s">
        <v>22472</v>
      </c>
      <c r="X1370" t="s">
        <v>22473</v>
      </c>
      <c r="Y1370" t="s">
        <v>22474</v>
      </c>
      <c r="Z1370" t="s">
        <v>22475</v>
      </c>
      <c r="AA1370" t="s">
        <v>22476</v>
      </c>
      <c r="AB1370" t="s">
        <v>22477</v>
      </c>
      <c r="AC1370" t="s">
        <v>22478</v>
      </c>
      <c r="AD1370" t="s">
        <v>22479</v>
      </c>
      <c r="AE1370" t="s">
        <v>22480</v>
      </c>
      <c r="AG1370">
        <v>9</v>
      </c>
      <c r="AH1370">
        <v>2</v>
      </c>
      <c r="AI1370">
        <v>2</v>
      </c>
      <c r="AJ1370">
        <v>0</v>
      </c>
      <c r="AK1370">
        <v>11</v>
      </c>
      <c r="AL1370" t="s">
        <v>6554</v>
      </c>
      <c r="AM1370" t="s">
        <v>113</v>
      </c>
      <c r="AN1370" t="s">
        <v>6555</v>
      </c>
      <c r="AO1370" t="s">
        <v>22481</v>
      </c>
      <c r="AP1370" t="s">
        <v>22482</v>
      </c>
      <c r="AR1370" t="s">
        <v>22483</v>
      </c>
      <c r="AS1370" t="s">
        <v>22484</v>
      </c>
      <c r="AT1370" t="s">
        <v>765</v>
      </c>
      <c r="AU1370">
        <v>2019</v>
      </c>
      <c r="AV1370">
        <v>484</v>
      </c>
      <c r="AW1370">
        <v>1</v>
      </c>
      <c r="BB1370">
        <v>76</v>
      </c>
      <c r="BC1370">
        <v>78</v>
      </c>
      <c r="BE1370" t="s">
        <v>22485</v>
      </c>
      <c r="BF1370" t="s">
        <v>22486</v>
      </c>
      <c r="BI1370">
        <v>3</v>
      </c>
      <c r="BJ1370" t="s">
        <v>10582</v>
      </c>
      <c r="BK1370" t="s">
        <v>96</v>
      </c>
      <c r="BL1370" t="s">
        <v>7739</v>
      </c>
      <c r="BM1370" t="s">
        <v>22487</v>
      </c>
      <c r="BR1370" t="s">
        <v>98</v>
      </c>
      <c r="BS1370" t="s">
        <v>22488</v>
      </c>
      <c r="BT1370" t="s">
        <v>16602</v>
      </c>
    </row>
    <row r="1371" spans="1:72">
      <c r="A1371" t="s">
        <v>72</v>
      </c>
      <c r="B1371" t="s">
        <v>22489</v>
      </c>
      <c r="F1371" t="s">
        <v>22490</v>
      </c>
      <c r="I1371" t="s">
        <v>22491</v>
      </c>
      <c r="J1371" t="s">
        <v>421</v>
      </c>
      <c r="M1371" t="s">
        <v>78</v>
      </c>
      <c r="N1371" t="s">
        <v>79</v>
      </c>
      <c r="T1371" t="s">
        <v>22492</v>
      </c>
      <c r="U1371" t="s">
        <v>22493</v>
      </c>
      <c r="V1371" t="s">
        <v>22494</v>
      </c>
      <c r="W1371" t="s">
        <v>22495</v>
      </c>
      <c r="X1371" t="s">
        <v>21163</v>
      </c>
      <c r="Y1371" t="s">
        <v>22496</v>
      </c>
      <c r="Z1371" t="s">
        <v>22497</v>
      </c>
      <c r="AA1371" t="s">
        <v>22498</v>
      </c>
      <c r="AB1371" t="s">
        <v>22499</v>
      </c>
      <c r="AC1371" t="s">
        <v>21168</v>
      </c>
      <c r="AD1371" t="s">
        <v>21169</v>
      </c>
      <c r="AE1371" t="s">
        <v>22500</v>
      </c>
      <c r="AG1371">
        <v>60</v>
      </c>
      <c r="AH1371">
        <v>15</v>
      </c>
      <c r="AI1371">
        <v>16</v>
      </c>
      <c r="AJ1371">
        <v>0</v>
      </c>
      <c r="AK1371">
        <v>48</v>
      </c>
      <c r="AL1371" t="s">
        <v>430</v>
      </c>
      <c r="AM1371" t="s">
        <v>137</v>
      </c>
      <c r="AN1371" t="s">
        <v>431</v>
      </c>
      <c r="AO1371" t="s">
        <v>432</v>
      </c>
      <c r="AP1371" t="s">
        <v>1394</v>
      </c>
      <c r="AR1371" t="s">
        <v>433</v>
      </c>
      <c r="AS1371" t="s">
        <v>434</v>
      </c>
      <c r="AT1371" t="s">
        <v>765</v>
      </c>
      <c r="AU1371">
        <v>2017</v>
      </c>
      <c r="AV1371">
        <v>226</v>
      </c>
      <c r="BB1371">
        <v>335</v>
      </c>
      <c r="BC1371">
        <v>345</v>
      </c>
      <c r="BE1371" t="s">
        <v>22501</v>
      </c>
      <c r="BF1371" t="s">
        <v>22502</v>
      </c>
      <c r="BI1371">
        <v>11</v>
      </c>
      <c r="BJ1371" t="s">
        <v>144</v>
      </c>
      <c r="BK1371" t="s">
        <v>96</v>
      </c>
      <c r="BL1371" t="s">
        <v>145</v>
      </c>
      <c r="BM1371" t="s">
        <v>6954</v>
      </c>
      <c r="BN1371">
        <v>28365043</v>
      </c>
      <c r="BR1371" t="s">
        <v>98</v>
      </c>
      <c r="BS1371" t="s">
        <v>22503</v>
      </c>
      <c r="BT1371" t="s">
        <v>16602</v>
      </c>
    </row>
    <row r="1372" spans="1:72">
      <c r="A1372" t="s">
        <v>72</v>
      </c>
      <c r="B1372" t="s">
        <v>22504</v>
      </c>
      <c r="F1372" t="s">
        <v>22505</v>
      </c>
      <c r="I1372" t="s">
        <v>22506</v>
      </c>
      <c r="J1372" t="s">
        <v>10242</v>
      </c>
      <c r="M1372" t="s">
        <v>78</v>
      </c>
      <c r="N1372" t="s">
        <v>79</v>
      </c>
      <c r="T1372" t="s">
        <v>22507</v>
      </c>
      <c r="U1372" t="s">
        <v>22508</v>
      </c>
      <c r="V1372" t="s">
        <v>22509</v>
      </c>
      <c r="W1372" t="s">
        <v>22510</v>
      </c>
      <c r="X1372" t="s">
        <v>22511</v>
      </c>
      <c r="Y1372" t="s">
        <v>22512</v>
      </c>
      <c r="Z1372" t="s">
        <v>22513</v>
      </c>
      <c r="AA1372" t="s">
        <v>22514</v>
      </c>
      <c r="AB1372" t="s">
        <v>22515</v>
      </c>
      <c r="AG1372">
        <v>35</v>
      </c>
      <c r="AH1372">
        <v>8</v>
      </c>
      <c r="AI1372">
        <v>9</v>
      </c>
      <c r="AJ1372">
        <v>1</v>
      </c>
      <c r="AK1372">
        <v>18</v>
      </c>
      <c r="AL1372" t="s">
        <v>6554</v>
      </c>
      <c r="AM1372" t="s">
        <v>113</v>
      </c>
      <c r="AN1372" t="s">
        <v>6555</v>
      </c>
      <c r="AO1372" t="s">
        <v>10255</v>
      </c>
      <c r="AP1372" t="s">
        <v>10256</v>
      </c>
      <c r="AR1372" t="s">
        <v>10257</v>
      </c>
      <c r="AS1372" t="s">
        <v>10258</v>
      </c>
      <c r="AT1372" t="s">
        <v>1223</v>
      </c>
      <c r="AU1372">
        <v>2017</v>
      </c>
      <c r="AV1372">
        <v>10</v>
      </c>
      <c r="AW1372">
        <v>2</v>
      </c>
      <c r="BB1372">
        <v>178</v>
      </c>
      <c r="BC1372">
        <v>183</v>
      </c>
      <c r="BE1372" t="s">
        <v>22516</v>
      </c>
      <c r="BF1372" t="s">
        <v>22517</v>
      </c>
      <c r="BI1372">
        <v>6</v>
      </c>
      <c r="BJ1372" t="s">
        <v>6054</v>
      </c>
      <c r="BK1372" t="s">
        <v>96</v>
      </c>
      <c r="BL1372" t="s">
        <v>145</v>
      </c>
      <c r="BM1372" t="s">
        <v>22518</v>
      </c>
      <c r="BR1372" t="s">
        <v>98</v>
      </c>
      <c r="BS1372" t="s">
        <v>22519</v>
      </c>
      <c r="BT1372" t="s">
        <v>16602</v>
      </c>
    </row>
    <row r="1373" spans="1:72">
      <c r="A1373" t="s">
        <v>72</v>
      </c>
      <c r="B1373" t="s">
        <v>22520</v>
      </c>
      <c r="F1373" t="s">
        <v>22520</v>
      </c>
      <c r="I1373" t="s">
        <v>22521</v>
      </c>
      <c r="J1373" t="s">
        <v>2265</v>
      </c>
      <c r="M1373" t="s">
        <v>78</v>
      </c>
      <c r="N1373" t="s">
        <v>79</v>
      </c>
      <c r="T1373" t="s">
        <v>22522</v>
      </c>
      <c r="U1373" t="s">
        <v>22523</v>
      </c>
      <c r="V1373" t="s">
        <v>22524</v>
      </c>
      <c r="W1373" t="s">
        <v>22525</v>
      </c>
      <c r="X1373" t="s">
        <v>22526</v>
      </c>
      <c r="Y1373" t="s">
        <v>22527</v>
      </c>
      <c r="AA1373" t="s">
        <v>22528</v>
      </c>
      <c r="AB1373" t="s">
        <v>22529</v>
      </c>
      <c r="AG1373">
        <v>74</v>
      </c>
      <c r="AH1373">
        <v>149</v>
      </c>
      <c r="AI1373">
        <v>171</v>
      </c>
      <c r="AJ1373">
        <v>1</v>
      </c>
      <c r="AK1373">
        <v>34</v>
      </c>
      <c r="AL1373" t="s">
        <v>2074</v>
      </c>
      <c r="AM1373" t="s">
        <v>286</v>
      </c>
      <c r="AN1373" t="s">
        <v>22530</v>
      </c>
      <c r="AO1373" t="s">
        <v>2275</v>
      </c>
      <c r="AR1373" t="s">
        <v>2265</v>
      </c>
      <c r="AS1373" t="s">
        <v>2277</v>
      </c>
      <c r="AT1373" t="s">
        <v>510</v>
      </c>
      <c r="AU1373">
        <v>1999</v>
      </c>
      <c r="AV1373">
        <v>4</v>
      </c>
      <c r="AW1373">
        <v>6</v>
      </c>
      <c r="BB1373">
        <v>455</v>
      </c>
      <c r="BC1373">
        <v>466</v>
      </c>
      <c r="BI1373">
        <v>12</v>
      </c>
      <c r="BJ1373" t="s">
        <v>2279</v>
      </c>
      <c r="BK1373" t="s">
        <v>96</v>
      </c>
      <c r="BL1373" t="s">
        <v>2279</v>
      </c>
      <c r="BM1373" t="s">
        <v>22531</v>
      </c>
      <c r="BN1373">
        <v>23902390</v>
      </c>
      <c r="BR1373" t="s">
        <v>98</v>
      </c>
      <c r="BS1373" t="s">
        <v>22532</v>
      </c>
      <c r="BT1373" t="s">
        <v>16602</v>
      </c>
    </row>
    <row r="1374" spans="1:72">
      <c r="A1374" t="s">
        <v>72</v>
      </c>
      <c r="B1374" t="s">
        <v>22533</v>
      </c>
      <c r="F1374" t="s">
        <v>22534</v>
      </c>
      <c r="I1374" t="s">
        <v>22535</v>
      </c>
      <c r="J1374" t="s">
        <v>421</v>
      </c>
      <c r="M1374" t="s">
        <v>78</v>
      </c>
      <c r="N1374" t="s">
        <v>79</v>
      </c>
      <c r="T1374" t="s">
        <v>22536</v>
      </c>
      <c r="U1374" t="s">
        <v>22537</v>
      </c>
      <c r="V1374" t="s">
        <v>22538</v>
      </c>
      <c r="W1374" t="s">
        <v>4385</v>
      </c>
      <c r="X1374" t="s">
        <v>4386</v>
      </c>
      <c r="Y1374" t="s">
        <v>22539</v>
      </c>
      <c r="Z1374" t="s">
        <v>22540</v>
      </c>
      <c r="AG1374">
        <v>22</v>
      </c>
      <c r="AH1374">
        <v>111</v>
      </c>
      <c r="AI1374">
        <v>122</v>
      </c>
      <c r="AJ1374">
        <v>1</v>
      </c>
      <c r="AK1374">
        <v>49</v>
      </c>
      <c r="AL1374" t="s">
        <v>430</v>
      </c>
      <c r="AM1374" t="s">
        <v>137</v>
      </c>
      <c r="AN1374" t="s">
        <v>431</v>
      </c>
      <c r="AO1374" t="s">
        <v>432</v>
      </c>
      <c r="AP1374" t="s">
        <v>1394</v>
      </c>
      <c r="AR1374" t="s">
        <v>433</v>
      </c>
      <c r="AS1374" t="s">
        <v>434</v>
      </c>
      <c r="AT1374" t="s">
        <v>8920</v>
      </c>
      <c r="AU1374">
        <v>2006</v>
      </c>
      <c r="AV1374">
        <v>144</v>
      </c>
      <c r="AW1374">
        <v>1</v>
      </c>
      <c r="BB1374">
        <v>272</v>
      </c>
      <c r="BC1374">
        <v>279</v>
      </c>
      <c r="BE1374" t="s">
        <v>22541</v>
      </c>
      <c r="BF1374" t="s">
        <v>22542</v>
      </c>
      <c r="BI1374">
        <v>8</v>
      </c>
      <c r="BJ1374" t="s">
        <v>144</v>
      </c>
      <c r="BK1374" t="s">
        <v>96</v>
      </c>
      <c r="BL1374" t="s">
        <v>145</v>
      </c>
      <c r="BM1374" t="s">
        <v>22543</v>
      </c>
      <c r="BN1374">
        <v>16513234</v>
      </c>
      <c r="BR1374" t="s">
        <v>98</v>
      </c>
      <c r="BS1374" t="s">
        <v>22544</v>
      </c>
      <c r="BT1374" t="s">
        <v>16602</v>
      </c>
    </row>
    <row r="1375" spans="1:72">
      <c r="A1375" t="s">
        <v>72</v>
      </c>
      <c r="B1375" t="s">
        <v>22545</v>
      </c>
      <c r="F1375" t="s">
        <v>22546</v>
      </c>
      <c r="I1375" t="s">
        <v>22547</v>
      </c>
      <c r="J1375" t="s">
        <v>421</v>
      </c>
      <c r="M1375" t="s">
        <v>78</v>
      </c>
      <c r="N1375" t="s">
        <v>79</v>
      </c>
      <c r="T1375" t="s">
        <v>22548</v>
      </c>
      <c r="U1375" t="s">
        <v>22549</v>
      </c>
      <c r="V1375" t="s">
        <v>22550</v>
      </c>
      <c r="W1375" t="s">
        <v>22551</v>
      </c>
      <c r="X1375" t="s">
        <v>22552</v>
      </c>
      <c r="Y1375" t="s">
        <v>22553</v>
      </c>
      <c r="Z1375" t="s">
        <v>22554</v>
      </c>
      <c r="AA1375" t="s">
        <v>22555</v>
      </c>
      <c r="AB1375" t="s">
        <v>22556</v>
      </c>
      <c r="AC1375" t="s">
        <v>22557</v>
      </c>
      <c r="AD1375" t="s">
        <v>22558</v>
      </c>
      <c r="AE1375" t="s">
        <v>22559</v>
      </c>
      <c r="AG1375">
        <v>66</v>
      </c>
      <c r="AH1375">
        <v>12</v>
      </c>
      <c r="AI1375">
        <v>14</v>
      </c>
      <c r="AJ1375">
        <v>2</v>
      </c>
      <c r="AK1375">
        <v>35</v>
      </c>
      <c r="AL1375" t="s">
        <v>430</v>
      </c>
      <c r="AM1375" t="s">
        <v>137</v>
      </c>
      <c r="AN1375" t="s">
        <v>431</v>
      </c>
      <c r="AO1375" t="s">
        <v>432</v>
      </c>
      <c r="AP1375" t="s">
        <v>1394</v>
      </c>
      <c r="AR1375" t="s">
        <v>433</v>
      </c>
      <c r="AS1375" t="s">
        <v>434</v>
      </c>
      <c r="AT1375" t="s">
        <v>1470</v>
      </c>
      <c r="AU1375">
        <v>2020</v>
      </c>
      <c r="AV1375">
        <v>256</v>
      </c>
      <c r="BD1375">
        <v>113398</v>
      </c>
      <c r="BE1375" t="s">
        <v>22560</v>
      </c>
      <c r="BF1375" t="s">
        <v>22561</v>
      </c>
      <c r="BI1375">
        <v>9</v>
      </c>
      <c r="BJ1375" t="s">
        <v>144</v>
      </c>
      <c r="BK1375" t="s">
        <v>96</v>
      </c>
      <c r="BL1375" t="s">
        <v>145</v>
      </c>
      <c r="BM1375" t="s">
        <v>22562</v>
      </c>
      <c r="BN1375">
        <v>31662250</v>
      </c>
      <c r="BR1375" t="s">
        <v>98</v>
      </c>
      <c r="BS1375" t="s">
        <v>22563</v>
      </c>
      <c r="BT1375" t="s">
        <v>16602</v>
      </c>
    </row>
    <row r="1376" spans="1:72">
      <c r="A1376" t="s">
        <v>72</v>
      </c>
      <c r="B1376" t="s">
        <v>22564</v>
      </c>
      <c r="F1376" t="s">
        <v>22565</v>
      </c>
      <c r="I1376" t="s">
        <v>22566</v>
      </c>
      <c r="J1376" t="s">
        <v>232</v>
      </c>
      <c r="M1376" t="s">
        <v>78</v>
      </c>
      <c r="N1376" t="s">
        <v>79</v>
      </c>
      <c r="T1376" t="s">
        <v>22567</v>
      </c>
      <c r="U1376" t="s">
        <v>22568</v>
      </c>
      <c r="V1376" t="s">
        <v>22569</v>
      </c>
      <c r="W1376" t="s">
        <v>22570</v>
      </c>
      <c r="X1376" t="s">
        <v>22571</v>
      </c>
      <c r="Y1376" t="s">
        <v>22572</v>
      </c>
      <c r="Z1376" t="s">
        <v>22573</v>
      </c>
      <c r="AA1376" t="s">
        <v>22574</v>
      </c>
      <c r="AB1376" t="s">
        <v>22575</v>
      </c>
      <c r="AC1376" t="s">
        <v>22576</v>
      </c>
      <c r="AD1376" t="s">
        <v>22577</v>
      </c>
      <c r="AE1376" t="s">
        <v>22578</v>
      </c>
      <c r="AG1376">
        <v>69</v>
      </c>
      <c r="AH1376">
        <v>6</v>
      </c>
      <c r="AI1376">
        <v>6</v>
      </c>
      <c r="AJ1376">
        <v>1</v>
      </c>
      <c r="AK1376">
        <v>31</v>
      </c>
      <c r="AL1376" t="s">
        <v>136</v>
      </c>
      <c r="AM1376" t="s">
        <v>137</v>
      </c>
      <c r="AN1376" t="s">
        <v>138</v>
      </c>
      <c r="AO1376" t="s">
        <v>240</v>
      </c>
      <c r="AP1376" t="s">
        <v>241</v>
      </c>
      <c r="AR1376" t="s">
        <v>242</v>
      </c>
      <c r="AS1376" t="s">
        <v>243</v>
      </c>
      <c r="AT1376" t="s">
        <v>93</v>
      </c>
      <c r="AU1376">
        <v>2020</v>
      </c>
      <c r="AV1376">
        <v>153</v>
      </c>
      <c r="BD1376">
        <v>110956</v>
      </c>
      <c r="BE1376" t="s">
        <v>22579</v>
      </c>
      <c r="BF1376" t="s">
        <v>22580</v>
      </c>
      <c r="BI1376">
        <v>9</v>
      </c>
      <c r="BJ1376" t="s">
        <v>247</v>
      </c>
      <c r="BK1376" t="s">
        <v>96</v>
      </c>
      <c r="BL1376" t="s">
        <v>248</v>
      </c>
      <c r="BM1376" t="s">
        <v>8796</v>
      </c>
      <c r="BN1376">
        <v>32275520</v>
      </c>
      <c r="BO1376" t="s">
        <v>1270</v>
      </c>
      <c r="BR1376" t="s">
        <v>98</v>
      </c>
      <c r="BS1376" t="s">
        <v>22581</v>
      </c>
      <c r="BT1376" t="s">
        <v>16602</v>
      </c>
    </row>
    <row r="1377" spans="1:72">
      <c r="A1377" t="s">
        <v>72</v>
      </c>
      <c r="B1377" t="s">
        <v>22582</v>
      </c>
      <c r="F1377" t="s">
        <v>22583</v>
      </c>
      <c r="I1377" t="s">
        <v>22584</v>
      </c>
      <c r="J1377" t="s">
        <v>232</v>
      </c>
      <c r="M1377" t="s">
        <v>78</v>
      </c>
      <c r="N1377" t="s">
        <v>79</v>
      </c>
      <c r="T1377" t="s">
        <v>22585</v>
      </c>
      <c r="U1377" t="s">
        <v>22586</v>
      </c>
      <c r="V1377" t="s">
        <v>22587</v>
      </c>
      <c r="W1377" t="s">
        <v>22588</v>
      </c>
      <c r="X1377" t="s">
        <v>22589</v>
      </c>
      <c r="Y1377" t="s">
        <v>22590</v>
      </c>
      <c r="Z1377" t="s">
        <v>22591</v>
      </c>
      <c r="AA1377" t="s">
        <v>22592</v>
      </c>
      <c r="AB1377" t="s">
        <v>22593</v>
      </c>
      <c r="AC1377" t="s">
        <v>22594</v>
      </c>
      <c r="AD1377" t="s">
        <v>22595</v>
      </c>
      <c r="AE1377" t="s">
        <v>22596</v>
      </c>
      <c r="AG1377">
        <v>57</v>
      </c>
      <c r="AH1377">
        <v>47</v>
      </c>
      <c r="AI1377">
        <v>47</v>
      </c>
      <c r="AJ1377">
        <v>1</v>
      </c>
      <c r="AK1377">
        <v>50</v>
      </c>
      <c r="AL1377" t="s">
        <v>136</v>
      </c>
      <c r="AM1377" t="s">
        <v>137</v>
      </c>
      <c r="AN1377" t="s">
        <v>138</v>
      </c>
      <c r="AO1377" t="s">
        <v>240</v>
      </c>
      <c r="AP1377" t="s">
        <v>241</v>
      </c>
      <c r="AR1377" t="s">
        <v>242</v>
      </c>
      <c r="AS1377" t="s">
        <v>243</v>
      </c>
      <c r="AT1377" t="s">
        <v>267</v>
      </c>
      <c r="AU1377">
        <v>2011</v>
      </c>
      <c r="AV1377">
        <v>62</v>
      </c>
      <c r="AW1377">
        <v>10</v>
      </c>
      <c r="BB1377">
        <v>2254</v>
      </c>
      <c r="BC1377">
        <v>2263</v>
      </c>
      <c r="BE1377" t="s">
        <v>22597</v>
      </c>
      <c r="BF1377" t="s">
        <v>22598</v>
      </c>
      <c r="BI1377">
        <v>10</v>
      </c>
      <c r="BJ1377" t="s">
        <v>247</v>
      </c>
      <c r="BK1377" t="s">
        <v>96</v>
      </c>
      <c r="BL1377" t="s">
        <v>248</v>
      </c>
      <c r="BM1377" t="s">
        <v>22599</v>
      </c>
      <c r="BN1377">
        <v>21803378</v>
      </c>
      <c r="BR1377" t="s">
        <v>98</v>
      </c>
      <c r="BS1377" t="s">
        <v>22600</v>
      </c>
      <c r="BT1377" t="s">
        <v>16602</v>
      </c>
    </row>
    <row r="1378" spans="1:72">
      <c r="A1378" t="s">
        <v>72</v>
      </c>
      <c r="B1378" t="s">
        <v>22601</v>
      </c>
      <c r="F1378" t="s">
        <v>22602</v>
      </c>
      <c r="I1378" t="s">
        <v>22603</v>
      </c>
      <c r="J1378" t="s">
        <v>554</v>
      </c>
      <c r="M1378" t="s">
        <v>78</v>
      </c>
      <c r="N1378" t="s">
        <v>79</v>
      </c>
      <c r="T1378" t="s">
        <v>22604</v>
      </c>
      <c r="U1378" t="s">
        <v>22605</v>
      </c>
      <c r="V1378" t="s">
        <v>22606</v>
      </c>
      <c r="W1378" t="s">
        <v>22607</v>
      </c>
      <c r="X1378" t="s">
        <v>11347</v>
      </c>
      <c r="Y1378" t="s">
        <v>22608</v>
      </c>
      <c r="Z1378" t="s">
        <v>22609</v>
      </c>
      <c r="AA1378" t="s">
        <v>22610</v>
      </c>
      <c r="AC1378" t="s">
        <v>22611</v>
      </c>
      <c r="AD1378" t="s">
        <v>22612</v>
      </c>
      <c r="AE1378" t="s">
        <v>22613</v>
      </c>
      <c r="AG1378">
        <v>52</v>
      </c>
      <c r="AH1378">
        <v>1</v>
      </c>
      <c r="AI1378">
        <v>1</v>
      </c>
      <c r="AJ1378">
        <v>1</v>
      </c>
      <c r="AK1378">
        <v>9</v>
      </c>
      <c r="AL1378" t="s">
        <v>564</v>
      </c>
      <c r="AM1378" t="s">
        <v>113</v>
      </c>
      <c r="AN1378" t="s">
        <v>807</v>
      </c>
      <c r="AO1378" t="s">
        <v>566</v>
      </c>
      <c r="AP1378" t="s">
        <v>567</v>
      </c>
      <c r="AR1378" t="s">
        <v>568</v>
      </c>
      <c r="AS1378" t="s">
        <v>569</v>
      </c>
      <c r="AT1378" t="s">
        <v>197</v>
      </c>
      <c r="AU1378">
        <v>2019</v>
      </c>
      <c r="AV1378">
        <v>226</v>
      </c>
      <c r="BD1378">
        <v>108609</v>
      </c>
      <c r="BE1378" t="s">
        <v>22614</v>
      </c>
      <c r="BF1378" t="s">
        <v>22615</v>
      </c>
      <c r="BI1378">
        <v>9</v>
      </c>
      <c r="BJ1378" t="s">
        <v>571</v>
      </c>
      <c r="BK1378" t="s">
        <v>96</v>
      </c>
      <c r="BL1378" t="s">
        <v>571</v>
      </c>
      <c r="BM1378" t="s">
        <v>22616</v>
      </c>
      <c r="BN1378">
        <v>31437513</v>
      </c>
      <c r="BR1378" t="s">
        <v>98</v>
      </c>
      <c r="BS1378" t="s">
        <v>22617</v>
      </c>
      <c r="BT1378" t="s">
        <v>16602</v>
      </c>
    </row>
    <row r="1379" spans="1:72">
      <c r="A1379" t="s">
        <v>72</v>
      </c>
      <c r="B1379" t="s">
        <v>22618</v>
      </c>
      <c r="F1379" t="s">
        <v>22618</v>
      </c>
      <c r="I1379" t="s">
        <v>22619</v>
      </c>
      <c r="J1379" t="s">
        <v>3926</v>
      </c>
      <c r="M1379" t="s">
        <v>78</v>
      </c>
      <c r="N1379" t="s">
        <v>79</v>
      </c>
      <c r="U1379" t="s">
        <v>22620</v>
      </c>
      <c r="V1379" t="s">
        <v>22621</v>
      </c>
      <c r="W1379" t="s">
        <v>22622</v>
      </c>
      <c r="X1379" t="s">
        <v>4734</v>
      </c>
      <c r="Y1379" t="s">
        <v>22623</v>
      </c>
      <c r="AG1379">
        <v>44</v>
      </c>
      <c r="AH1379">
        <v>13</v>
      </c>
      <c r="AI1379">
        <v>14</v>
      </c>
      <c r="AJ1379">
        <v>0</v>
      </c>
      <c r="AK1379">
        <v>8</v>
      </c>
      <c r="AL1379" t="s">
        <v>650</v>
      </c>
      <c r="AM1379" t="s">
        <v>651</v>
      </c>
      <c r="AN1379" t="s">
        <v>652</v>
      </c>
      <c r="AO1379" t="s">
        <v>3939</v>
      </c>
      <c r="AP1379" t="s">
        <v>3940</v>
      </c>
      <c r="AR1379" t="s">
        <v>3926</v>
      </c>
      <c r="AS1379" t="s">
        <v>3941</v>
      </c>
      <c r="AT1379" t="s">
        <v>546</v>
      </c>
      <c r="AU1379">
        <v>1991</v>
      </c>
      <c r="AV1379">
        <v>99</v>
      </c>
      <c r="AW1379" t="s">
        <v>326</v>
      </c>
      <c r="BB1379">
        <v>105</v>
      </c>
      <c r="BC1379">
        <v>115</v>
      </c>
      <c r="BE1379" t="s">
        <v>22624</v>
      </c>
      <c r="BF1379" t="s">
        <v>22625</v>
      </c>
      <c r="BI1379">
        <v>11</v>
      </c>
      <c r="BJ1379" t="s">
        <v>2391</v>
      </c>
      <c r="BK1379" t="s">
        <v>96</v>
      </c>
      <c r="BL1379" t="s">
        <v>2391</v>
      </c>
      <c r="BM1379" t="s">
        <v>22626</v>
      </c>
      <c r="BR1379" t="s">
        <v>98</v>
      </c>
      <c r="BS1379" t="s">
        <v>22627</v>
      </c>
      <c r="BT1379" t="s">
        <v>16602</v>
      </c>
    </row>
    <row r="1380" spans="1:72">
      <c r="A1380" t="s">
        <v>72</v>
      </c>
      <c r="B1380" t="s">
        <v>22628</v>
      </c>
      <c r="F1380" t="s">
        <v>22629</v>
      </c>
      <c r="I1380" t="s">
        <v>22630</v>
      </c>
      <c r="J1380" t="s">
        <v>12129</v>
      </c>
      <c r="M1380" t="s">
        <v>78</v>
      </c>
      <c r="N1380" t="s">
        <v>79</v>
      </c>
      <c r="T1380" t="s">
        <v>22631</v>
      </c>
      <c r="U1380" t="s">
        <v>22632</v>
      </c>
      <c r="V1380" t="s">
        <v>22633</v>
      </c>
      <c r="W1380" t="s">
        <v>22634</v>
      </c>
      <c r="X1380" t="s">
        <v>8543</v>
      </c>
      <c r="Y1380" t="s">
        <v>22635</v>
      </c>
      <c r="Z1380" t="s">
        <v>22636</v>
      </c>
      <c r="AG1380">
        <v>19</v>
      </c>
      <c r="AH1380">
        <v>4</v>
      </c>
      <c r="AI1380">
        <v>4</v>
      </c>
      <c r="AJ1380">
        <v>0</v>
      </c>
      <c r="AK1380">
        <v>6</v>
      </c>
      <c r="AL1380" t="s">
        <v>1433</v>
      </c>
      <c r="AM1380" t="s">
        <v>1434</v>
      </c>
      <c r="AN1380" t="s">
        <v>1435</v>
      </c>
      <c r="AO1380" t="s">
        <v>1436</v>
      </c>
      <c r="AP1380" t="s">
        <v>12141</v>
      </c>
      <c r="AR1380" t="s">
        <v>12142</v>
      </c>
      <c r="AS1380" t="s">
        <v>12143</v>
      </c>
      <c r="AT1380" t="s">
        <v>170</v>
      </c>
      <c r="AU1380">
        <v>2016</v>
      </c>
      <c r="AV1380">
        <v>45</v>
      </c>
      <c r="AW1380">
        <v>5</v>
      </c>
      <c r="BB1380">
        <v>653</v>
      </c>
      <c r="BC1380">
        <v>657</v>
      </c>
      <c r="BI1380">
        <v>5</v>
      </c>
      <c r="BJ1380" t="s">
        <v>1439</v>
      </c>
      <c r="BK1380" t="s">
        <v>96</v>
      </c>
      <c r="BL1380" t="s">
        <v>1439</v>
      </c>
      <c r="BM1380" t="s">
        <v>22637</v>
      </c>
      <c r="BR1380" t="s">
        <v>98</v>
      </c>
      <c r="BS1380" t="s">
        <v>22638</v>
      </c>
      <c r="BT1380" t="s">
        <v>16602</v>
      </c>
    </row>
    <row r="1381" spans="1:72">
      <c r="A1381" t="s">
        <v>72</v>
      </c>
      <c r="B1381" t="s">
        <v>22639</v>
      </c>
      <c r="F1381" t="s">
        <v>22640</v>
      </c>
      <c r="I1381" t="s">
        <v>22641</v>
      </c>
      <c r="J1381" t="s">
        <v>22642</v>
      </c>
      <c r="M1381" t="s">
        <v>78</v>
      </c>
      <c r="N1381" t="s">
        <v>79</v>
      </c>
      <c r="T1381" t="s">
        <v>22643</v>
      </c>
      <c r="U1381" t="s">
        <v>22644</v>
      </c>
      <c r="V1381" t="s">
        <v>22645</v>
      </c>
      <c r="W1381" t="s">
        <v>22646</v>
      </c>
      <c r="X1381" t="s">
        <v>22647</v>
      </c>
      <c r="Y1381" t="s">
        <v>22648</v>
      </c>
      <c r="Z1381" t="s">
        <v>22649</v>
      </c>
      <c r="AA1381" t="s">
        <v>22650</v>
      </c>
      <c r="AB1381" t="s">
        <v>22651</v>
      </c>
      <c r="AC1381" t="s">
        <v>22652</v>
      </c>
      <c r="AD1381" t="s">
        <v>22653</v>
      </c>
      <c r="AE1381" t="s">
        <v>22654</v>
      </c>
      <c r="AG1381">
        <v>64</v>
      </c>
      <c r="AH1381">
        <v>11</v>
      </c>
      <c r="AI1381">
        <v>12</v>
      </c>
      <c r="AJ1381">
        <v>11</v>
      </c>
      <c r="AK1381">
        <v>23</v>
      </c>
      <c r="AL1381" t="s">
        <v>3362</v>
      </c>
      <c r="AM1381" t="s">
        <v>3363</v>
      </c>
      <c r="AN1381" t="s">
        <v>3364</v>
      </c>
      <c r="AO1381" t="s">
        <v>22655</v>
      </c>
      <c r="AP1381" t="s">
        <v>22656</v>
      </c>
      <c r="AR1381" t="s">
        <v>22657</v>
      </c>
      <c r="AS1381" t="s">
        <v>22658</v>
      </c>
      <c r="AT1381" t="s">
        <v>1223</v>
      </c>
      <c r="AU1381">
        <v>2022</v>
      </c>
      <c r="AV1381">
        <v>106</v>
      </c>
      <c r="BD1381">
        <v>104326</v>
      </c>
      <c r="BE1381" t="s">
        <v>22659</v>
      </c>
      <c r="BF1381" t="s">
        <v>22660</v>
      </c>
      <c r="BI1381">
        <v>9</v>
      </c>
      <c r="BJ1381" t="s">
        <v>22661</v>
      </c>
      <c r="BK1381" t="s">
        <v>96</v>
      </c>
      <c r="BL1381" t="s">
        <v>22662</v>
      </c>
      <c r="BM1381" t="s">
        <v>22663</v>
      </c>
      <c r="BR1381" t="s">
        <v>98</v>
      </c>
      <c r="BS1381" t="s">
        <v>22664</v>
      </c>
      <c r="BT1381" t="s">
        <v>16602</v>
      </c>
    </row>
    <row r="1382" spans="1:72">
      <c r="A1382" t="s">
        <v>72</v>
      </c>
      <c r="B1382" t="s">
        <v>22665</v>
      </c>
      <c r="F1382" t="s">
        <v>22665</v>
      </c>
      <c r="I1382" t="s">
        <v>22666</v>
      </c>
      <c r="J1382" t="s">
        <v>1254</v>
      </c>
      <c r="M1382" t="s">
        <v>78</v>
      </c>
      <c r="N1382" t="s">
        <v>79</v>
      </c>
      <c r="T1382" t="s">
        <v>22667</v>
      </c>
      <c r="U1382" t="s">
        <v>22668</v>
      </c>
      <c r="V1382" t="s">
        <v>22669</v>
      </c>
      <c r="W1382" t="s">
        <v>22670</v>
      </c>
      <c r="X1382" t="s">
        <v>22671</v>
      </c>
      <c r="Y1382" t="s">
        <v>22672</v>
      </c>
      <c r="Z1382" t="s">
        <v>22673</v>
      </c>
      <c r="AA1382" t="s">
        <v>22674</v>
      </c>
      <c r="AB1382" t="s">
        <v>22675</v>
      </c>
      <c r="AG1382">
        <v>27</v>
      </c>
      <c r="AH1382">
        <v>8</v>
      </c>
      <c r="AI1382">
        <v>8</v>
      </c>
      <c r="AJ1382">
        <v>0</v>
      </c>
      <c r="AK1382">
        <v>11</v>
      </c>
      <c r="AL1382" t="s">
        <v>136</v>
      </c>
      <c r="AM1382" t="s">
        <v>137</v>
      </c>
      <c r="AN1382" t="s">
        <v>138</v>
      </c>
      <c r="AO1382" t="s">
        <v>1264</v>
      </c>
      <c r="AP1382" t="s">
        <v>1265</v>
      </c>
      <c r="AR1382" t="s">
        <v>1266</v>
      </c>
      <c r="AS1382" t="s">
        <v>1267</v>
      </c>
      <c r="AT1382" t="s">
        <v>1470</v>
      </c>
      <c r="AU1382">
        <v>2006</v>
      </c>
      <c r="AV1382">
        <v>32</v>
      </c>
      <c r="AW1382">
        <v>1</v>
      </c>
      <c r="BB1382">
        <v>95</v>
      </c>
      <c r="BC1382">
        <v>100</v>
      </c>
      <c r="BE1382" t="s">
        <v>22676</v>
      </c>
      <c r="BF1382" t="s">
        <v>22677</v>
      </c>
      <c r="BI1382">
        <v>6</v>
      </c>
      <c r="BJ1382" t="s">
        <v>144</v>
      </c>
      <c r="BK1382" t="s">
        <v>96</v>
      </c>
      <c r="BL1382" t="s">
        <v>145</v>
      </c>
      <c r="BM1382" t="s">
        <v>22678</v>
      </c>
      <c r="BN1382">
        <v>16099046</v>
      </c>
      <c r="BR1382" t="s">
        <v>98</v>
      </c>
      <c r="BS1382" t="s">
        <v>22679</v>
      </c>
      <c r="BT1382" t="s">
        <v>16602</v>
      </c>
    </row>
    <row r="1383" spans="1:72">
      <c r="A1383" t="s">
        <v>72</v>
      </c>
      <c r="B1383" t="s">
        <v>22680</v>
      </c>
      <c r="F1383" t="s">
        <v>22681</v>
      </c>
      <c r="I1383" t="s">
        <v>22682</v>
      </c>
      <c r="J1383" t="s">
        <v>752</v>
      </c>
      <c r="M1383" t="s">
        <v>78</v>
      </c>
      <c r="N1383" t="s">
        <v>151</v>
      </c>
      <c r="O1383" t="s">
        <v>14635</v>
      </c>
      <c r="P1383" t="s">
        <v>14636</v>
      </c>
      <c r="Q1383" t="s">
        <v>14637</v>
      </c>
      <c r="T1383" t="s">
        <v>22683</v>
      </c>
      <c r="U1383" t="s">
        <v>22684</v>
      </c>
      <c r="V1383" t="s">
        <v>22685</v>
      </c>
      <c r="W1383" t="s">
        <v>22686</v>
      </c>
      <c r="X1383" t="s">
        <v>22687</v>
      </c>
      <c r="Y1383" t="s">
        <v>22688</v>
      </c>
      <c r="Z1383" t="s">
        <v>8595</v>
      </c>
      <c r="AA1383" t="s">
        <v>22689</v>
      </c>
      <c r="AB1383" t="s">
        <v>22690</v>
      </c>
      <c r="AG1383">
        <v>10</v>
      </c>
      <c r="AH1383">
        <v>52</v>
      </c>
      <c r="AI1383">
        <v>53</v>
      </c>
      <c r="AJ1383">
        <v>0</v>
      </c>
      <c r="AK1383">
        <v>13</v>
      </c>
      <c r="AL1383" t="s">
        <v>430</v>
      </c>
      <c r="AM1383" t="s">
        <v>137</v>
      </c>
      <c r="AN1383" t="s">
        <v>431</v>
      </c>
      <c r="AO1383" t="s">
        <v>761</v>
      </c>
      <c r="AR1383" t="s">
        <v>763</v>
      </c>
      <c r="AS1383" t="s">
        <v>764</v>
      </c>
      <c r="AT1383" t="s">
        <v>765</v>
      </c>
      <c r="AU1383">
        <v>2008</v>
      </c>
      <c r="AV1383">
        <v>66</v>
      </c>
      <c r="AW1383">
        <v>1</v>
      </c>
      <c r="BB1383">
        <v>217</v>
      </c>
      <c r="BC1383">
        <v>219</v>
      </c>
      <c r="BE1383" t="s">
        <v>22691</v>
      </c>
      <c r="BF1383" t="s">
        <v>22692</v>
      </c>
      <c r="BI1383">
        <v>3</v>
      </c>
      <c r="BJ1383" t="s">
        <v>768</v>
      </c>
      <c r="BK1383" t="s">
        <v>588</v>
      </c>
      <c r="BL1383" t="s">
        <v>769</v>
      </c>
      <c r="BM1383" t="s">
        <v>14648</v>
      </c>
      <c r="BN1383">
        <v>18378299</v>
      </c>
      <c r="BO1383" t="s">
        <v>810</v>
      </c>
      <c r="BR1383" t="s">
        <v>98</v>
      </c>
      <c r="BS1383" t="s">
        <v>22693</v>
      </c>
      <c r="BT1383" t="s">
        <v>16602</v>
      </c>
    </row>
    <row r="1384" spans="1:72">
      <c r="A1384" t="s">
        <v>72</v>
      </c>
      <c r="B1384" t="s">
        <v>22694</v>
      </c>
      <c r="F1384" t="s">
        <v>22694</v>
      </c>
      <c r="I1384" t="s">
        <v>22695</v>
      </c>
      <c r="J1384" t="s">
        <v>752</v>
      </c>
      <c r="M1384" t="s">
        <v>78</v>
      </c>
      <c r="N1384" t="s">
        <v>151</v>
      </c>
      <c r="O1384" t="s">
        <v>16463</v>
      </c>
      <c r="P1384" t="s">
        <v>16464</v>
      </c>
      <c r="Q1384" t="s">
        <v>16465</v>
      </c>
      <c r="U1384" t="s">
        <v>22696</v>
      </c>
      <c r="V1384" t="s">
        <v>22697</v>
      </c>
      <c r="W1384" t="s">
        <v>22698</v>
      </c>
      <c r="X1384" t="s">
        <v>22699</v>
      </c>
      <c r="Y1384" t="s">
        <v>22700</v>
      </c>
      <c r="AA1384" t="s">
        <v>2808</v>
      </c>
      <c r="AB1384" t="s">
        <v>2809</v>
      </c>
      <c r="AG1384">
        <v>10</v>
      </c>
      <c r="AH1384">
        <v>8</v>
      </c>
      <c r="AI1384">
        <v>8</v>
      </c>
      <c r="AJ1384">
        <v>2</v>
      </c>
      <c r="AK1384">
        <v>7</v>
      </c>
      <c r="AL1384" t="s">
        <v>430</v>
      </c>
      <c r="AM1384" t="s">
        <v>137</v>
      </c>
      <c r="AN1384" t="s">
        <v>431</v>
      </c>
      <c r="AO1384" t="s">
        <v>761</v>
      </c>
      <c r="AP1384" t="s">
        <v>762</v>
      </c>
      <c r="AR1384" t="s">
        <v>763</v>
      </c>
      <c r="AS1384" t="s">
        <v>764</v>
      </c>
      <c r="AT1384" t="s">
        <v>5113</v>
      </c>
      <c r="AU1384">
        <v>1998</v>
      </c>
      <c r="AV1384">
        <v>46</v>
      </c>
      <c r="AW1384" t="s">
        <v>9558</v>
      </c>
      <c r="BB1384">
        <v>579</v>
      </c>
      <c r="BC1384">
        <v>582</v>
      </c>
      <c r="BE1384" t="s">
        <v>22701</v>
      </c>
      <c r="BF1384" t="s">
        <v>22702</v>
      </c>
      <c r="BI1384">
        <v>4</v>
      </c>
      <c r="BJ1384" t="s">
        <v>768</v>
      </c>
      <c r="BK1384" t="s">
        <v>172</v>
      </c>
      <c r="BL1384" t="s">
        <v>769</v>
      </c>
      <c r="BM1384" t="s">
        <v>16472</v>
      </c>
      <c r="BR1384" t="s">
        <v>98</v>
      </c>
      <c r="BS1384" t="s">
        <v>22703</v>
      </c>
      <c r="BT1384" t="s">
        <v>16602</v>
      </c>
    </row>
    <row r="1385" spans="1:72">
      <c r="A1385" t="s">
        <v>72</v>
      </c>
      <c r="B1385" t="s">
        <v>22704</v>
      </c>
      <c r="F1385" t="s">
        <v>22705</v>
      </c>
      <c r="I1385" t="s">
        <v>22706</v>
      </c>
      <c r="J1385" t="s">
        <v>11898</v>
      </c>
      <c r="M1385" t="s">
        <v>78</v>
      </c>
      <c r="N1385" t="s">
        <v>79</v>
      </c>
      <c r="T1385" t="s">
        <v>22707</v>
      </c>
      <c r="U1385" t="s">
        <v>22708</v>
      </c>
      <c r="V1385" t="s">
        <v>22709</v>
      </c>
      <c r="W1385" t="s">
        <v>22710</v>
      </c>
      <c r="X1385" t="s">
        <v>22711</v>
      </c>
      <c r="Y1385" t="s">
        <v>10690</v>
      </c>
      <c r="Z1385" t="s">
        <v>22712</v>
      </c>
      <c r="AA1385" t="s">
        <v>22713</v>
      </c>
      <c r="AB1385" t="s">
        <v>22714</v>
      </c>
      <c r="AC1385" t="s">
        <v>22715</v>
      </c>
      <c r="AD1385" t="s">
        <v>22715</v>
      </c>
      <c r="AE1385" t="s">
        <v>22716</v>
      </c>
      <c r="AG1385">
        <v>190</v>
      </c>
      <c r="AH1385">
        <v>21</v>
      </c>
      <c r="AI1385">
        <v>24</v>
      </c>
      <c r="AJ1385">
        <v>1</v>
      </c>
      <c r="AK1385">
        <v>39</v>
      </c>
      <c r="AL1385" t="s">
        <v>1566</v>
      </c>
      <c r="AM1385" t="s">
        <v>1567</v>
      </c>
      <c r="AN1385" t="s">
        <v>1568</v>
      </c>
      <c r="AP1385" t="s">
        <v>11911</v>
      </c>
      <c r="AR1385" t="s">
        <v>11912</v>
      </c>
      <c r="AS1385" t="s">
        <v>11913</v>
      </c>
      <c r="AT1385" t="s">
        <v>93</v>
      </c>
      <c r="AU1385">
        <v>2021</v>
      </c>
      <c r="AV1385">
        <v>18</v>
      </c>
      <c r="AW1385">
        <v>7</v>
      </c>
      <c r="BD1385">
        <v>3386</v>
      </c>
      <c r="BE1385" t="s">
        <v>22717</v>
      </c>
      <c r="BF1385" t="s">
        <v>22718</v>
      </c>
      <c r="BI1385">
        <v>24</v>
      </c>
      <c r="BJ1385" t="s">
        <v>10142</v>
      </c>
      <c r="BK1385" t="s">
        <v>11915</v>
      </c>
      <c r="BL1385" t="s">
        <v>10143</v>
      </c>
      <c r="BM1385" t="s">
        <v>22719</v>
      </c>
      <c r="BN1385">
        <v>33805997</v>
      </c>
      <c r="BO1385" t="s">
        <v>550</v>
      </c>
      <c r="BR1385" t="s">
        <v>98</v>
      </c>
      <c r="BS1385" t="s">
        <v>22720</v>
      </c>
      <c r="BT1385" t="s">
        <v>16602</v>
      </c>
    </row>
    <row r="1386" spans="1:72">
      <c r="A1386" t="s">
        <v>72</v>
      </c>
      <c r="B1386" t="s">
        <v>22721</v>
      </c>
      <c r="F1386" t="s">
        <v>22722</v>
      </c>
      <c r="I1386" t="s">
        <v>22723</v>
      </c>
      <c r="J1386" t="s">
        <v>909</v>
      </c>
      <c r="M1386" t="s">
        <v>78</v>
      </c>
      <c r="N1386" t="s">
        <v>79</v>
      </c>
      <c r="T1386" t="s">
        <v>22724</v>
      </c>
      <c r="U1386" t="s">
        <v>22725</v>
      </c>
      <c r="V1386" t="s">
        <v>22726</v>
      </c>
      <c r="W1386" t="s">
        <v>22727</v>
      </c>
      <c r="X1386" t="s">
        <v>22728</v>
      </c>
      <c r="Y1386" t="s">
        <v>22729</v>
      </c>
      <c r="Z1386" t="s">
        <v>7019</v>
      </c>
      <c r="AA1386" t="s">
        <v>22730</v>
      </c>
      <c r="AB1386" t="s">
        <v>7020</v>
      </c>
      <c r="AC1386" t="s">
        <v>22731</v>
      </c>
      <c r="AD1386" t="s">
        <v>22732</v>
      </c>
      <c r="AE1386" t="s">
        <v>22733</v>
      </c>
      <c r="AG1386">
        <v>41</v>
      </c>
      <c r="AH1386">
        <v>34</v>
      </c>
      <c r="AI1386">
        <v>38</v>
      </c>
      <c r="AJ1386">
        <v>0</v>
      </c>
      <c r="AK1386">
        <v>42</v>
      </c>
      <c r="AL1386" t="s">
        <v>919</v>
      </c>
      <c r="AM1386" t="s">
        <v>651</v>
      </c>
      <c r="AN1386" t="s">
        <v>920</v>
      </c>
      <c r="AO1386" t="s">
        <v>921</v>
      </c>
      <c r="AP1386" t="s">
        <v>922</v>
      </c>
      <c r="AR1386" t="s">
        <v>923</v>
      </c>
      <c r="AS1386" t="s">
        <v>924</v>
      </c>
      <c r="AT1386" t="s">
        <v>11873</v>
      </c>
      <c r="AU1386">
        <v>2015</v>
      </c>
      <c r="AV1386">
        <v>502</v>
      </c>
      <c r="BB1386">
        <v>375</v>
      </c>
      <c r="BC1386">
        <v>384</v>
      </c>
      <c r="BE1386" t="s">
        <v>22734</v>
      </c>
      <c r="BF1386" t="s">
        <v>22735</v>
      </c>
      <c r="BI1386">
        <v>10</v>
      </c>
      <c r="BJ1386" t="s">
        <v>144</v>
      </c>
      <c r="BK1386" t="s">
        <v>96</v>
      </c>
      <c r="BL1386" t="s">
        <v>145</v>
      </c>
      <c r="BM1386" t="s">
        <v>22736</v>
      </c>
      <c r="BN1386">
        <v>25265398</v>
      </c>
      <c r="BO1386" t="s">
        <v>1752</v>
      </c>
      <c r="BR1386" t="s">
        <v>98</v>
      </c>
      <c r="BS1386" t="s">
        <v>22737</v>
      </c>
      <c r="BT1386" t="s">
        <v>16602</v>
      </c>
    </row>
    <row r="1387" spans="1:72">
      <c r="A1387" t="s">
        <v>72</v>
      </c>
      <c r="B1387" t="s">
        <v>22738</v>
      </c>
      <c r="F1387" t="s">
        <v>22739</v>
      </c>
      <c r="I1387" t="s">
        <v>22740</v>
      </c>
      <c r="J1387" t="s">
        <v>2894</v>
      </c>
      <c r="M1387" t="s">
        <v>78</v>
      </c>
      <c r="N1387" t="s">
        <v>79</v>
      </c>
      <c r="T1387" t="s">
        <v>22741</v>
      </c>
      <c r="U1387" t="s">
        <v>22742</v>
      </c>
      <c r="V1387" t="s">
        <v>22743</v>
      </c>
      <c r="W1387" t="s">
        <v>22744</v>
      </c>
      <c r="Y1387" t="s">
        <v>22745</v>
      </c>
      <c r="Z1387" t="s">
        <v>22746</v>
      </c>
      <c r="AB1387" t="s">
        <v>22747</v>
      </c>
      <c r="AG1387">
        <v>49</v>
      </c>
      <c r="AH1387">
        <v>36</v>
      </c>
      <c r="AI1387">
        <v>44</v>
      </c>
      <c r="AJ1387">
        <v>0</v>
      </c>
      <c r="AK1387">
        <v>26</v>
      </c>
      <c r="AL1387" t="s">
        <v>2904</v>
      </c>
      <c r="AM1387" t="s">
        <v>2905</v>
      </c>
      <c r="AN1387" t="s">
        <v>2906</v>
      </c>
      <c r="AO1387" t="s">
        <v>2907</v>
      </c>
      <c r="AR1387" t="s">
        <v>2908</v>
      </c>
      <c r="AS1387" t="s">
        <v>2909</v>
      </c>
      <c r="AU1387">
        <v>2006</v>
      </c>
      <c r="AV1387">
        <v>322</v>
      </c>
      <c r="BB1387">
        <v>155</v>
      </c>
      <c r="BC1387">
        <v>168</v>
      </c>
      <c r="BE1387" t="s">
        <v>22748</v>
      </c>
      <c r="BF1387" t="s">
        <v>22749</v>
      </c>
      <c r="BI1387">
        <v>14</v>
      </c>
      <c r="BJ1387" t="s">
        <v>2911</v>
      </c>
      <c r="BK1387" t="s">
        <v>96</v>
      </c>
      <c r="BL1387" t="s">
        <v>2912</v>
      </c>
      <c r="BM1387" t="s">
        <v>22750</v>
      </c>
      <c r="BO1387" t="s">
        <v>370</v>
      </c>
      <c r="BR1387" t="s">
        <v>98</v>
      </c>
      <c r="BS1387" t="s">
        <v>22751</v>
      </c>
      <c r="BT1387" t="s">
        <v>16602</v>
      </c>
    </row>
    <row r="1388" spans="1:72">
      <c r="A1388" t="s">
        <v>72</v>
      </c>
      <c r="B1388" t="s">
        <v>22752</v>
      </c>
      <c r="F1388" t="s">
        <v>22753</v>
      </c>
      <c r="I1388" t="s">
        <v>22754</v>
      </c>
      <c r="J1388" t="s">
        <v>595</v>
      </c>
      <c r="M1388" t="s">
        <v>78</v>
      </c>
      <c r="N1388" t="s">
        <v>79</v>
      </c>
      <c r="T1388" t="s">
        <v>22755</v>
      </c>
      <c r="U1388" t="s">
        <v>22756</v>
      </c>
      <c r="V1388" t="s">
        <v>22757</v>
      </c>
      <c r="W1388" t="s">
        <v>22758</v>
      </c>
      <c r="X1388" t="s">
        <v>22759</v>
      </c>
      <c r="Y1388" t="s">
        <v>22760</v>
      </c>
      <c r="Z1388" t="s">
        <v>22761</v>
      </c>
      <c r="AA1388" t="s">
        <v>22762</v>
      </c>
      <c r="AB1388" t="s">
        <v>22763</v>
      </c>
      <c r="AC1388" t="s">
        <v>22764</v>
      </c>
      <c r="AD1388" t="s">
        <v>22765</v>
      </c>
      <c r="AE1388" t="s">
        <v>22766</v>
      </c>
      <c r="AG1388">
        <v>39</v>
      </c>
      <c r="AH1388">
        <v>9</v>
      </c>
      <c r="AI1388">
        <v>10</v>
      </c>
      <c r="AJ1388">
        <v>0</v>
      </c>
      <c r="AK1388">
        <v>44</v>
      </c>
      <c r="AL1388" t="s">
        <v>112</v>
      </c>
      <c r="AM1388" t="s">
        <v>191</v>
      </c>
      <c r="AN1388" t="s">
        <v>192</v>
      </c>
      <c r="AO1388" t="s">
        <v>608</v>
      </c>
      <c r="AP1388" t="s">
        <v>609</v>
      </c>
      <c r="AR1388" t="s">
        <v>595</v>
      </c>
      <c r="AS1388" t="s">
        <v>610</v>
      </c>
      <c r="AT1388" t="s">
        <v>765</v>
      </c>
      <c r="AU1388">
        <v>2013</v>
      </c>
      <c r="AV1388">
        <v>22</v>
      </c>
      <c r="AW1388">
        <v>5</v>
      </c>
      <c r="AZ1388" t="s">
        <v>225</v>
      </c>
      <c r="BB1388">
        <v>915</v>
      </c>
      <c r="BC1388">
        <v>928</v>
      </c>
      <c r="BE1388" t="s">
        <v>22767</v>
      </c>
      <c r="BF1388" t="s">
        <v>22768</v>
      </c>
      <c r="BI1388">
        <v>14</v>
      </c>
      <c r="BJ1388" t="s">
        <v>612</v>
      </c>
      <c r="BK1388" t="s">
        <v>96</v>
      </c>
      <c r="BL1388" t="s">
        <v>122</v>
      </c>
      <c r="BM1388" t="s">
        <v>22769</v>
      </c>
      <c r="BN1388">
        <v>23681738</v>
      </c>
      <c r="BR1388" t="s">
        <v>98</v>
      </c>
      <c r="BS1388" t="s">
        <v>22770</v>
      </c>
      <c r="BT1388" t="s">
        <v>16602</v>
      </c>
    </row>
    <row r="1389" spans="1:72">
      <c r="A1389" t="s">
        <v>72</v>
      </c>
      <c r="B1389" t="s">
        <v>22771</v>
      </c>
      <c r="F1389" t="s">
        <v>22772</v>
      </c>
      <c r="I1389" t="s">
        <v>22773</v>
      </c>
      <c r="J1389" t="s">
        <v>6680</v>
      </c>
      <c r="M1389" t="s">
        <v>78</v>
      </c>
      <c r="N1389" t="s">
        <v>79</v>
      </c>
      <c r="U1389" t="s">
        <v>22774</v>
      </c>
      <c r="V1389" t="s">
        <v>22775</v>
      </c>
      <c r="W1389" t="s">
        <v>22776</v>
      </c>
      <c r="X1389" t="s">
        <v>22777</v>
      </c>
      <c r="Y1389" t="s">
        <v>22778</v>
      </c>
      <c r="Z1389" t="s">
        <v>22779</v>
      </c>
      <c r="AA1389" t="s">
        <v>22780</v>
      </c>
      <c r="AB1389" t="s">
        <v>22781</v>
      </c>
      <c r="AG1389">
        <v>40</v>
      </c>
      <c r="AH1389">
        <v>25</v>
      </c>
      <c r="AI1389">
        <v>25</v>
      </c>
      <c r="AJ1389">
        <v>0</v>
      </c>
      <c r="AK1389">
        <v>8</v>
      </c>
      <c r="AL1389" t="s">
        <v>3910</v>
      </c>
      <c r="AM1389" t="s">
        <v>3911</v>
      </c>
      <c r="AN1389" t="s">
        <v>3912</v>
      </c>
      <c r="AO1389" t="s">
        <v>6689</v>
      </c>
      <c r="AR1389" t="s">
        <v>6690</v>
      </c>
      <c r="AS1389" t="s">
        <v>6691</v>
      </c>
      <c r="AT1389" t="s">
        <v>510</v>
      </c>
      <c r="AU1389">
        <v>2006</v>
      </c>
      <c r="AV1389">
        <v>96</v>
      </c>
      <c r="AW1389" t="s">
        <v>511</v>
      </c>
      <c r="BB1389">
        <v>727</v>
      </c>
      <c r="BC1389">
        <v>741</v>
      </c>
      <c r="BE1389" t="s">
        <v>22782</v>
      </c>
      <c r="BF1389" t="s">
        <v>22783</v>
      </c>
      <c r="BI1389">
        <v>15</v>
      </c>
      <c r="BJ1389" t="s">
        <v>269</v>
      </c>
      <c r="BK1389" t="s">
        <v>96</v>
      </c>
      <c r="BL1389" t="s">
        <v>270</v>
      </c>
      <c r="BM1389" t="s">
        <v>22784</v>
      </c>
      <c r="BN1389">
        <v>17217177</v>
      </c>
      <c r="BR1389" t="s">
        <v>98</v>
      </c>
      <c r="BS1389" t="s">
        <v>22785</v>
      </c>
      <c r="BT1389" t="s">
        <v>16602</v>
      </c>
    </row>
    <row r="1390" spans="1:72">
      <c r="A1390" t="s">
        <v>72</v>
      </c>
      <c r="B1390" t="s">
        <v>22786</v>
      </c>
      <c r="F1390" t="s">
        <v>22787</v>
      </c>
      <c r="I1390" t="s">
        <v>22788</v>
      </c>
      <c r="J1390" t="s">
        <v>204</v>
      </c>
      <c r="M1390" t="s">
        <v>78</v>
      </c>
      <c r="N1390" t="s">
        <v>151</v>
      </c>
      <c r="O1390" t="s">
        <v>10606</v>
      </c>
      <c r="P1390" t="s">
        <v>10607</v>
      </c>
      <c r="Q1390" t="s">
        <v>10608</v>
      </c>
      <c r="S1390" t="s">
        <v>10609</v>
      </c>
      <c r="T1390" t="s">
        <v>22789</v>
      </c>
      <c r="U1390" t="s">
        <v>22790</v>
      </c>
      <c r="V1390" t="s">
        <v>22791</v>
      </c>
      <c r="W1390" t="s">
        <v>22792</v>
      </c>
      <c r="X1390" t="s">
        <v>1467</v>
      </c>
      <c r="Y1390" t="s">
        <v>22793</v>
      </c>
      <c r="Z1390" t="s">
        <v>17992</v>
      </c>
      <c r="AA1390" t="s">
        <v>4408</v>
      </c>
      <c r="AB1390" t="s">
        <v>22794</v>
      </c>
      <c r="AC1390" t="s">
        <v>14326</v>
      </c>
      <c r="AD1390" t="s">
        <v>14327</v>
      </c>
      <c r="AE1390" t="s">
        <v>22795</v>
      </c>
      <c r="AG1390">
        <v>41</v>
      </c>
      <c r="AH1390">
        <v>15</v>
      </c>
      <c r="AI1390">
        <v>16</v>
      </c>
      <c r="AJ1390">
        <v>4</v>
      </c>
      <c r="AK1390">
        <v>18</v>
      </c>
      <c r="AL1390" t="s">
        <v>217</v>
      </c>
      <c r="AM1390" t="s">
        <v>218</v>
      </c>
      <c r="AN1390" t="s">
        <v>219</v>
      </c>
      <c r="AO1390" t="s">
        <v>220</v>
      </c>
      <c r="AP1390" t="s">
        <v>221</v>
      </c>
      <c r="AR1390" t="s">
        <v>222</v>
      </c>
      <c r="AS1390" t="s">
        <v>223</v>
      </c>
      <c r="AT1390" t="s">
        <v>224</v>
      </c>
      <c r="AU1390">
        <v>2020</v>
      </c>
      <c r="AV1390">
        <v>27</v>
      </c>
      <c r="AW1390">
        <v>4</v>
      </c>
      <c r="BB1390">
        <v>3675</v>
      </c>
      <c r="BC1390">
        <v>3685</v>
      </c>
      <c r="BE1390" t="s">
        <v>22796</v>
      </c>
      <c r="BF1390" t="s">
        <v>22797</v>
      </c>
      <c r="BI1390">
        <v>11</v>
      </c>
      <c r="BJ1390" t="s">
        <v>144</v>
      </c>
      <c r="BK1390" t="s">
        <v>172</v>
      </c>
      <c r="BL1390" t="s">
        <v>145</v>
      </c>
      <c r="BM1390" t="s">
        <v>10618</v>
      </c>
      <c r="BN1390">
        <v>30706262</v>
      </c>
      <c r="BO1390" t="s">
        <v>370</v>
      </c>
      <c r="BR1390" t="s">
        <v>98</v>
      </c>
      <c r="BS1390" t="s">
        <v>22798</v>
      </c>
      <c r="BT1390" t="s">
        <v>16602</v>
      </c>
    </row>
    <row r="1391" spans="1:72">
      <c r="A1391" t="s">
        <v>72</v>
      </c>
      <c r="B1391" t="s">
        <v>22799</v>
      </c>
      <c r="F1391" t="s">
        <v>22799</v>
      </c>
      <c r="I1391" t="s">
        <v>22800</v>
      </c>
      <c r="J1391" t="s">
        <v>22801</v>
      </c>
      <c r="M1391" t="s">
        <v>78</v>
      </c>
      <c r="N1391" t="s">
        <v>79</v>
      </c>
      <c r="T1391" t="s">
        <v>22802</v>
      </c>
      <c r="U1391" t="s">
        <v>22803</v>
      </c>
      <c r="V1391" t="s">
        <v>22804</v>
      </c>
      <c r="W1391" t="s">
        <v>22805</v>
      </c>
      <c r="X1391" t="s">
        <v>22806</v>
      </c>
      <c r="Y1391" t="s">
        <v>22807</v>
      </c>
      <c r="AG1391">
        <v>27</v>
      </c>
      <c r="AH1391">
        <v>52</v>
      </c>
      <c r="AI1391">
        <v>57</v>
      </c>
      <c r="AJ1391">
        <v>0</v>
      </c>
      <c r="AK1391">
        <v>21</v>
      </c>
      <c r="AL1391" t="s">
        <v>919</v>
      </c>
      <c r="AM1391" t="s">
        <v>651</v>
      </c>
      <c r="AN1391" t="s">
        <v>920</v>
      </c>
      <c r="AO1391" t="s">
        <v>22808</v>
      </c>
      <c r="AP1391" t="s">
        <v>22809</v>
      </c>
      <c r="AR1391" t="s">
        <v>22810</v>
      </c>
      <c r="AS1391" t="s">
        <v>22811</v>
      </c>
      <c r="AT1391" t="s">
        <v>224</v>
      </c>
      <c r="AU1391">
        <v>1996</v>
      </c>
      <c r="AV1391">
        <v>35</v>
      </c>
      <c r="AW1391" t="s">
        <v>2847</v>
      </c>
      <c r="BB1391">
        <v>223</v>
      </c>
      <c r="BC1391">
        <v>234</v>
      </c>
      <c r="BE1391" t="s">
        <v>22812</v>
      </c>
      <c r="BF1391" t="s">
        <v>22813</v>
      </c>
      <c r="BI1391">
        <v>12</v>
      </c>
      <c r="BJ1391" t="s">
        <v>4241</v>
      </c>
      <c r="BK1391" t="s">
        <v>96</v>
      </c>
      <c r="BL1391" t="s">
        <v>4241</v>
      </c>
      <c r="BM1391" t="s">
        <v>22814</v>
      </c>
      <c r="BR1391" t="s">
        <v>98</v>
      </c>
      <c r="BS1391" t="s">
        <v>22815</v>
      </c>
      <c r="BT1391" t="s">
        <v>16602</v>
      </c>
    </row>
    <row r="1392" spans="1:72">
      <c r="A1392" t="s">
        <v>72</v>
      </c>
      <c r="B1392" t="s">
        <v>22816</v>
      </c>
      <c r="F1392" t="s">
        <v>22816</v>
      </c>
      <c r="I1392" t="s">
        <v>22817</v>
      </c>
      <c r="J1392" t="s">
        <v>8554</v>
      </c>
      <c r="M1392" t="s">
        <v>78</v>
      </c>
      <c r="N1392" t="s">
        <v>79</v>
      </c>
      <c r="V1392" t="s">
        <v>22818</v>
      </c>
      <c r="Y1392" t="s">
        <v>22819</v>
      </c>
      <c r="AG1392">
        <v>35</v>
      </c>
      <c r="AH1392">
        <v>53</v>
      </c>
      <c r="AI1392">
        <v>59</v>
      </c>
      <c r="AJ1392">
        <v>0</v>
      </c>
      <c r="AK1392">
        <v>13</v>
      </c>
      <c r="AL1392" t="s">
        <v>8560</v>
      </c>
      <c r="AM1392" t="s">
        <v>8561</v>
      </c>
      <c r="AN1392" t="s">
        <v>8562</v>
      </c>
      <c r="AO1392" t="s">
        <v>8563</v>
      </c>
      <c r="AR1392" t="s">
        <v>8554</v>
      </c>
      <c r="AS1392" t="s">
        <v>8564</v>
      </c>
      <c r="AT1392" t="s">
        <v>305</v>
      </c>
      <c r="AU1392">
        <v>1987</v>
      </c>
      <c r="AV1392">
        <v>10</v>
      </c>
      <c r="AW1392">
        <v>3</v>
      </c>
      <c r="BB1392">
        <v>208</v>
      </c>
      <c r="BC1392">
        <v>219</v>
      </c>
      <c r="BE1392" t="s">
        <v>22820</v>
      </c>
      <c r="BF1392" t="s">
        <v>22821</v>
      </c>
      <c r="BI1392">
        <v>12</v>
      </c>
      <c r="BJ1392" t="s">
        <v>247</v>
      </c>
      <c r="BK1392" t="s">
        <v>96</v>
      </c>
      <c r="BL1392" t="s">
        <v>248</v>
      </c>
      <c r="BM1392" t="s">
        <v>22822</v>
      </c>
      <c r="BR1392" t="s">
        <v>98</v>
      </c>
      <c r="BS1392" t="s">
        <v>22823</v>
      </c>
      <c r="BT1392" t="s">
        <v>16602</v>
      </c>
    </row>
    <row r="1393" spans="1:72">
      <c r="A1393" t="s">
        <v>72</v>
      </c>
      <c r="B1393" t="s">
        <v>22824</v>
      </c>
      <c r="F1393" t="s">
        <v>22825</v>
      </c>
      <c r="I1393" t="s">
        <v>22826</v>
      </c>
      <c r="J1393" t="s">
        <v>752</v>
      </c>
      <c r="M1393" t="s">
        <v>78</v>
      </c>
      <c r="N1393" t="s">
        <v>79</v>
      </c>
      <c r="T1393" t="s">
        <v>22827</v>
      </c>
      <c r="U1393" t="s">
        <v>22828</v>
      </c>
      <c r="V1393" t="s">
        <v>22829</v>
      </c>
      <c r="W1393" t="s">
        <v>22830</v>
      </c>
      <c r="X1393" t="s">
        <v>22831</v>
      </c>
      <c r="Y1393" t="s">
        <v>22832</v>
      </c>
      <c r="Z1393" t="s">
        <v>22833</v>
      </c>
      <c r="AA1393" t="s">
        <v>22834</v>
      </c>
      <c r="AB1393" t="s">
        <v>22835</v>
      </c>
      <c r="AC1393" t="s">
        <v>22836</v>
      </c>
      <c r="AD1393" t="s">
        <v>22837</v>
      </c>
      <c r="AE1393" t="s">
        <v>22838</v>
      </c>
      <c r="AG1393">
        <v>44</v>
      </c>
      <c r="AH1393">
        <v>32</v>
      </c>
      <c r="AI1393">
        <v>33</v>
      </c>
      <c r="AJ1393">
        <v>2</v>
      </c>
      <c r="AK1393">
        <v>49</v>
      </c>
      <c r="AL1393" t="s">
        <v>430</v>
      </c>
      <c r="AM1393" t="s">
        <v>137</v>
      </c>
      <c r="AN1393" t="s">
        <v>431</v>
      </c>
      <c r="AO1393" t="s">
        <v>761</v>
      </c>
      <c r="AP1393" t="s">
        <v>762</v>
      </c>
      <c r="AR1393" t="s">
        <v>763</v>
      </c>
      <c r="AS1393" t="s">
        <v>764</v>
      </c>
      <c r="AT1393" t="s">
        <v>267</v>
      </c>
      <c r="AU1393">
        <v>2015</v>
      </c>
      <c r="AV1393">
        <v>111</v>
      </c>
      <c r="AZ1393" t="s">
        <v>225</v>
      </c>
      <c r="BB1393">
        <v>144</v>
      </c>
      <c r="BC1393">
        <v>148</v>
      </c>
      <c r="BE1393" t="s">
        <v>22839</v>
      </c>
      <c r="BF1393" t="s">
        <v>22840</v>
      </c>
      <c r="BI1393">
        <v>5</v>
      </c>
      <c r="BJ1393" t="s">
        <v>768</v>
      </c>
      <c r="BK1393" t="s">
        <v>96</v>
      </c>
      <c r="BL1393" t="s">
        <v>769</v>
      </c>
      <c r="BM1393" t="s">
        <v>22841</v>
      </c>
      <c r="BN1393">
        <v>26392349</v>
      </c>
      <c r="BR1393" t="s">
        <v>98</v>
      </c>
      <c r="BS1393" t="s">
        <v>22842</v>
      </c>
      <c r="BT1393" t="s">
        <v>16602</v>
      </c>
    </row>
    <row r="1394" spans="1:72">
      <c r="A1394" t="s">
        <v>72</v>
      </c>
      <c r="B1394" t="s">
        <v>22843</v>
      </c>
      <c r="F1394" t="s">
        <v>22843</v>
      </c>
      <c r="I1394" t="s">
        <v>22844</v>
      </c>
      <c r="J1394" t="s">
        <v>232</v>
      </c>
      <c r="M1394" t="s">
        <v>78</v>
      </c>
      <c r="N1394" t="s">
        <v>79</v>
      </c>
      <c r="T1394" t="s">
        <v>22845</v>
      </c>
      <c r="U1394" t="s">
        <v>22846</v>
      </c>
      <c r="V1394" t="s">
        <v>22847</v>
      </c>
      <c r="W1394" t="s">
        <v>22848</v>
      </c>
      <c r="X1394" t="s">
        <v>22849</v>
      </c>
      <c r="Y1394" t="s">
        <v>22850</v>
      </c>
      <c r="Z1394" t="s">
        <v>22851</v>
      </c>
      <c r="AG1394">
        <v>41</v>
      </c>
      <c r="AH1394">
        <v>30</v>
      </c>
      <c r="AI1394">
        <v>35</v>
      </c>
      <c r="AJ1394">
        <v>0</v>
      </c>
      <c r="AK1394">
        <v>20</v>
      </c>
      <c r="AL1394" t="s">
        <v>136</v>
      </c>
      <c r="AM1394" t="s">
        <v>137</v>
      </c>
      <c r="AN1394" t="s">
        <v>138</v>
      </c>
      <c r="AO1394" t="s">
        <v>240</v>
      </c>
      <c r="AP1394" t="s">
        <v>241</v>
      </c>
      <c r="AR1394" t="s">
        <v>242</v>
      </c>
      <c r="AS1394" t="s">
        <v>243</v>
      </c>
      <c r="AT1394" t="s">
        <v>267</v>
      </c>
      <c r="AU1394">
        <v>2002</v>
      </c>
      <c r="AV1394">
        <v>44</v>
      </c>
      <c r="AW1394">
        <v>10</v>
      </c>
      <c r="BB1394">
        <v>1051</v>
      </c>
      <c r="BC1394">
        <v>1062</v>
      </c>
      <c r="BD1394" t="s">
        <v>22852</v>
      </c>
      <c r="BE1394" t="s">
        <v>22853</v>
      </c>
      <c r="BF1394" t="s">
        <v>22854</v>
      </c>
      <c r="BI1394">
        <v>12</v>
      </c>
      <c r="BJ1394" t="s">
        <v>247</v>
      </c>
      <c r="BK1394" t="s">
        <v>96</v>
      </c>
      <c r="BL1394" t="s">
        <v>248</v>
      </c>
      <c r="BM1394" t="s">
        <v>15891</v>
      </c>
      <c r="BN1394">
        <v>12474966</v>
      </c>
      <c r="BR1394" t="s">
        <v>98</v>
      </c>
      <c r="BS1394" t="s">
        <v>22855</v>
      </c>
      <c r="BT1394" t="s">
        <v>16602</v>
      </c>
    </row>
    <row r="1395" spans="1:72">
      <c r="A1395" t="s">
        <v>72</v>
      </c>
      <c r="B1395" t="s">
        <v>22856</v>
      </c>
      <c r="F1395" t="s">
        <v>22856</v>
      </c>
      <c r="I1395" t="s">
        <v>22857</v>
      </c>
      <c r="J1395" t="s">
        <v>20413</v>
      </c>
      <c r="M1395" t="s">
        <v>78</v>
      </c>
      <c r="N1395" t="s">
        <v>79</v>
      </c>
      <c r="V1395" t="s">
        <v>22858</v>
      </c>
      <c r="Y1395" t="s">
        <v>22859</v>
      </c>
      <c r="AG1395">
        <v>49</v>
      </c>
      <c r="AH1395">
        <v>133</v>
      </c>
      <c r="AI1395">
        <v>137</v>
      </c>
      <c r="AJ1395">
        <v>0</v>
      </c>
      <c r="AK1395">
        <v>4</v>
      </c>
      <c r="AL1395" t="s">
        <v>430</v>
      </c>
      <c r="AM1395" t="s">
        <v>7361</v>
      </c>
      <c r="AN1395" t="s">
        <v>7362</v>
      </c>
      <c r="AO1395" t="s">
        <v>20418</v>
      </c>
      <c r="AR1395" t="s">
        <v>20419</v>
      </c>
      <c r="AU1395">
        <v>1981</v>
      </c>
      <c r="AV1395">
        <v>26</v>
      </c>
      <c r="AW1395">
        <v>2</v>
      </c>
      <c r="BB1395">
        <v>129</v>
      </c>
      <c r="BC1395">
        <v>145</v>
      </c>
      <c r="BE1395" t="s">
        <v>22860</v>
      </c>
      <c r="BF1395" t="s">
        <v>22861</v>
      </c>
      <c r="BI1395">
        <v>17</v>
      </c>
      <c r="BJ1395" t="s">
        <v>1249</v>
      </c>
      <c r="BK1395" t="s">
        <v>96</v>
      </c>
      <c r="BL1395" t="s">
        <v>145</v>
      </c>
      <c r="BM1395" t="s">
        <v>22862</v>
      </c>
      <c r="BR1395" t="s">
        <v>98</v>
      </c>
      <c r="BS1395" t="s">
        <v>22863</v>
      </c>
      <c r="BT1395" t="s">
        <v>16602</v>
      </c>
    </row>
    <row r="1396" spans="1:72">
      <c r="A1396" t="s">
        <v>72</v>
      </c>
      <c r="B1396" t="s">
        <v>22864</v>
      </c>
      <c r="F1396" t="s">
        <v>22865</v>
      </c>
      <c r="I1396" t="s">
        <v>22866</v>
      </c>
      <c r="J1396" t="s">
        <v>22867</v>
      </c>
      <c r="M1396" t="s">
        <v>78</v>
      </c>
      <c r="N1396" t="s">
        <v>79</v>
      </c>
      <c r="T1396" t="s">
        <v>22868</v>
      </c>
      <c r="U1396" t="s">
        <v>22869</v>
      </c>
      <c r="V1396" t="s">
        <v>22870</v>
      </c>
      <c r="W1396" t="s">
        <v>22871</v>
      </c>
      <c r="X1396" t="s">
        <v>4148</v>
      </c>
      <c r="Y1396" t="s">
        <v>22872</v>
      </c>
      <c r="Z1396" t="s">
        <v>11784</v>
      </c>
      <c r="AA1396" t="s">
        <v>11785</v>
      </c>
      <c r="AB1396" t="s">
        <v>11786</v>
      </c>
      <c r="AG1396">
        <v>44</v>
      </c>
      <c r="AH1396">
        <v>17</v>
      </c>
      <c r="AI1396">
        <v>17</v>
      </c>
      <c r="AJ1396">
        <v>0</v>
      </c>
      <c r="AK1396">
        <v>9</v>
      </c>
      <c r="AL1396" t="s">
        <v>2074</v>
      </c>
      <c r="AM1396" t="s">
        <v>2075</v>
      </c>
      <c r="AN1396" t="s">
        <v>2076</v>
      </c>
      <c r="AO1396" t="s">
        <v>22873</v>
      </c>
      <c r="AP1396" t="s">
        <v>22874</v>
      </c>
      <c r="AR1396" t="s">
        <v>22875</v>
      </c>
      <c r="AS1396" t="s">
        <v>22876</v>
      </c>
      <c r="AU1396">
        <v>2007</v>
      </c>
      <c r="AV1396">
        <v>27</v>
      </c>
      <c r="AW1396">
        <v>5</v>
      </c>
      <c r="BB1396">
        <v>437</v>
      </c>
      <c r="BC1396">
        <v>459</v>
      </c>
      <c r="BE1396" t="s">
        <v>22877</v>
      </c>
      <c r="BF1396" t="s">
        <v>22878</v>
      </c>
      <c r="BI1396">
        <v>23</v>
      </c>
      <c r="BJ1396" t="s">
        <v>22879</v>
      </c>
      <c r="BK1396" t="s">
        <v>96</v>
      </c>
      <c r="BL1396" t="s">
        <v>1197</v>
      </c>
      <c r="BM1396" t="s">
        <v>22880</v>
      </c>
      <c r="BR1396" t="s">
        <v>98</v>
      </c>
      <c r="BS1396" t="s">
        <v>22881</v>
      </c>
      <c r="BT1396" t="s">
        <v>16602</v>
      </c>
    </row>
    <row r="1397" spans="1:72">
      <c r="A1397" t="s">
        <v>72</v>
      </c>
      <c r="B1397" t="s">
        <v>22882</v>
      </c>
      <c r="F1397" t="s">
        <v>22883</v>
      </c>
      <c r="I1397" t="s">
        <v>22884</v>
      </c>
      <c r="J1397" t="s">
        <v>232</v>
      </c>
      <c r="M1397" t="s">
        <v>78</v>
      </c>
      <c r="N1397" t="s">
        <v>79</v>
      </c>
      <c r="T1397" t="s">
        <v>22885</v>
      </c>
      <c r="U1397" t="s">
        <v>22886</v>
      </c>
      <c r="V1397" t="s">
        <v>22887</v>
      </c>
      <c r="W1397" t="s">
        <v>22888</v>
      </c>
      <c r="X1397" t="s">
        <v>22889</v>
      </c>
      <c r="Y1397" t="s">
        <v>22890</v>
      </c>
      <c r="Z1397" t="s">
        <v>22891</v>
      </c>
      <c r="AA1397" t="s">
        <v>22892</v>
      </c>
      <c r="AB1397" t="s">
        <v>22893</v>
      </c>
      <c r="AC1397" t="s">
        <v>22894</v>
      </c>
      <c r="AD1397" t="s">
        <v>22895</v>
      </c>
      <c r="AE1397" t="s">
        <v>22896</v>
      </c>
      <c r="AG1397">
        <v>77</v>
      </c>
      <c r="AH1397">
        <v>19</v>
      </c>
      <c r="AI1397">
        <v>21</v>
      </c>
      <c r="AJ1397">
        <v>0</v>
      </c>
      <c r="AK1397">
        <v>12</v>
      </c>
      <c r="AL1397" t="s">
        <v>136</v>
      </c>
      <c r="AM1397" t="s">
        <v>137</v>
      </c>
      <c r="AN1397" t="s">
        <v>138</v>
      </c>
      <c r="AO1397" t="s">
        <v>240</v>
      </c>
      <c r="AP1397" t="s">
        <v>241</v>
      </c>
      <c r="AR1397" t="s">
        <v>242</v>
      </c>
      <c r="AS1397" t="s">
        <v>243</v>
      </c>
      <c r="AT1397" t="s">
        <v>1507</v>
      </c>
      <c r="AU1397">
        <v>2017</v>
      </c>
      <c r="AV1397">
        <v>117</v>
      </c>
      <c r="AW1397" t="s">
        <v>326</v>
      </c>
      <c r="BB1397">
        <v>41</v>
      </c>
      <c r="BC1397">
        <v>49</v>
      </c>
      <c r="BE1397" t="s">
        <v>22897</v>
      </c>
      <c r="BF1397" t="s">
        <v>22898</v>
      </c>
      <c r="BI1397">
        <v>9</v>
      </c>
      <c r="BJ1397" t="s">
        <v>247</v>
      </c>
      <c r="BK1397" t="s">
        <v>96</v>
      </c>
      <c r="BL1397" t="s">
        <v>248</v>
      </c>
      <c r="BM1397" t="s">
        <v>9485</v>
      </c>
      <c r="BN1397">
        <v>28132732</v>
      </c>
      <c r="BR1397" t="s">
        <v>98</v>
      </c>
      <c r="BS1397" t="s">
        <v>22899</v>
      </c>
      <c r="BT1397" t="s">
        <v>16602</v>
      </c>
    </row>
    <row r="1398" spans="1:72">
      <c r="A1398" t="s">
        <v>72</v>
      </c>
      <c r="B1398" t="s">
        <v>22900</v>
      </c>
      <c r="F1398" t="s">
        <v>22901</v>
      </c>
      <c r="I1398" t="s">
        <v>22902</v>
      </c>
      <c r="J1398" t="s">
        <v>909</v>
      </c>
      <c r="M1398" t="s">
        <v>78</v>
      </c>
      <c r="N1398" t="s">
        <v>79</v>
      </c>
      <c r="T1398" t="s">
        <v>22903</v>
      </c>
      <c r="U1398" t="s">
        <v>22904</v>
      </c>
      <c r="V1398" t="s">
        <v>22905</v>
      </c>
      <c r="W1398" t="s">
        <v>22906</v>
      </c>
      <c r="X1398" t="s">
        <v>22907</v>
      </c>
      <c r="Y1398" t="s">
        <v>22908</v>
      </c>
      <c r="Z1398" t="s">
        <v>22909</v>
      </c>
      <c r="AA1398" t="s">
        <v>22910</v>
      </c>
      <c r="AB1398" t="s">
        <v>22911</v>
      </c>
      <c r="AC1398" t="s">
        <v>22912</v>
      </c>
      <c r="AD1398" t="s">
        <v>22912</v>
      </c>
      <c r="AE1398" t="s">
        <v>22913</v>
      </c>
      <c r="AG1398">
        <v>58</v>
      </c>
      <c r="AH1398">
        <v>0</v>
      </c>
      <c r="AI1398">
        <v>0</v>
      </c>
      <c r="AJ1398">
        <v>1</v>
      </c>
      <c r="AK1398">
        <v>7</v>
      </c>
      <c r="AL1398" t="s">
        <v>650</v>
      </c>
      <c r="AM1398" t="s">
        <v>651</v>
      </c>
      <c r="AN1398" t="s">
        <v>652</v>
      </c>
      <c r="AO1398" t="s">
        <v>921</v>
      </c>
      <c r="AP1398" t="s">
        <v>922</v>
      </c>
      <c r="AR1398" t="s">
        <v>923</v>
      </c>
      <c r="AS1398" t="s">
        <v>924</v>
      </c>
      <c r="AT1398" t="s">
        <v>2303</v>
      </c>
      <c r="AU1398">
        <v>2023</v>
      </c>
      <c r="AV1398">
        <v>902</v>
      </c>
      <c r="BD1398">
        <v>165753</v>
      </c>
      <c r="BE1398" t="s">
        <v>22914</v>
      </c>
      <c r="BF1398" t="s">
        <v>22915</v>
      </c>
      <c r="BH1398" t="s">
        <v>6411</v>
      </c>
      <c r="BI1398">
        <v>10</v>
      </c>
      <c r="BJ1398" t="s">
        <v>144</v>
      </c>
      <c r="BK1398" t="s">
        <v>96</v>
      </c>
      <c r="BL1398" t="s">
        <v>145</v>
      </c>
      <c r="BM1398" t="s">
        <v>22916</v>
      </c>
      <c r="BN1398">
        <v>37495124</v>
      </c>
      <c r="BO1398" t="s">
        <v>810</v>
      </c>
      <c r="BR1398" t="s">
        <v>98</v>
      </c>
      <c r="BS1398" t="s">
        <v>22917</v>
      </c>
      <c r="BT1398" t="s">
        <v>16602</v>
      </c>
    </row>
    <row r="1399" spans="1:72">
      <c r="A1399" t="s">
        <v>72</v>
      </c>
      <c r="B1399" t="s">
        <v>22918</v>
      </c>
      <c r="F1399" t="s">
        <v>22919</v>
      </c>
      <c r="I1399" t="s">
        <v>22920</v>
      </c>
      <c r="J1399" t="s">
        <v>204</v>
      </c>
      <c r="M1399" t="s">
        <v>78</v>
      </c>
      <c r="N1399" t="s">
        <v>79</v>
      </c>
      <c r="T1399" t="s">
        <v>22921</v>
      </c>
      <c r="U1399" t="s">
        <v>22922</v>
      </c>
      <c r="V1399" t="s">
        <v>22923</v>
      </c>
      <c r="W1399" t="s">
        <v>22924</v>
      </c>
      <c r="X1399" t="s">
        <v>22925</v>
      </c>
      <c r="Y1399" t="s">
        <v>22926</v>
      </c>
      <c r="Z1399" t="s">
        <v>22927</v>
      </c>
      <c r="AA1399" t="s">
        <v>4408</v>
      </c>
      <c r="AB1399" t="s">
        <v>22928</v>
      </c>
      <c r="AC1399" t="s">
        <v>22929</v>
      </c>
      <c r="AD1399" t="s">
        <v>22930</v>
      </c>
      <c r="AE1399" t="s">
        <v>22931</v>
      </c>
      <c r="AG1399">
        <v>76</v>
      </c>
      <c r="AH1399">
        <v>39</v>
      </c>
      <c r="AI1399">
        <v>40</v>
      </c>
      <c r="AJ1399">
        <v>1</v>
      </c>
      <c r="AK1399">
        <v>42</v>
      </c>
      <c r="AL1399" t="s">
        <v>217</v>
      </c>
      <c r="AM1399" t="s">
        <v>218</v>
      </c>
      <c r="AN1399" t="s">
        <v>219</v>
      </c>
      <c r="AO1399" t="s">
        <v>220</v>
      </c>
      <c r="AP1399" t="s">
        <v>221</v>
      </c>
      <c r="AR1399" t="s">
        <v>222</v>
      </c>
      <c r="AS1399" t="s">
        <v>223</v>
      </c>
      <c r="AT1399" t="s">
        <v>170</v>
      </c>
      <c r="AU1399">
        <v>2010</v>
      </c>
      <c r="AV1399">
        <v>17</v>
      </c>
      <c r="AW1399">
        <v>4</v>
      </c>
      <c r="BB1399">
        <v>987</v>
      </c>
      <c r="BC1399">
        <v>998</v>
      </c>
      <c r="BE1399" t="s">
        <v>22932</v>
      </c>
      <c r="BF1399" t="s">
        <v>22933</v>
      </c>
      <c r="BI1399">
        <v>12</v>
      </c>
      <c r="BJ1399" t="s">
        <v>144</v>
      </c>
      <c r="BK1399" t="s">
        <v>96</v>
      </c>
      <c r="BL1399" t="s">
        <v>145</v>
      </c>
      <c r="BM1399" t="s">
        <v>15363</v>
      </c>
      <c r="BN1399">
        <v>20099041</v>
      </c>
      <c r="BR1399" t="s">
        <v>98</v>
      </c>
      <c r="BS1399" t="s">
        <v>22934</v>
      </c>
      <c r="BT1399" t="s">
        <v>16602</v>
      </c>
    </row>
    <row r="1400" spans="1:72">
      <c r="A1400" t="s">
        <v>72</v>
      </c>
      <c r="B1400" t="s">
        <v>11329</v>
      </c>
      <c r="F1400" t="s">
        <v>11329</v>
      </c>
      <c r="I1400" t="s">
        <v>22935</v>
      </c>
      <c r="J1400" t="s">
        <v>127</v>
      </c>
      <c r="M1400" t="s">
        <v>78</v>
      </c>
      <c r="N1400" t="s">
        <v>79</v>
      </c>
      <c r="T1400" t="s">
        <v>22936</v>
      </c>
      <c r="U1400" t="s">
        <v>22937</v>
      </c>
      <c r="V1400" t="s">
        <v>22938</v>
      </c>
      <c r="W1400" t="s">
        <v>22939</v>
      </c>
      <c r="X1400" t="s">
        <v>11335</v>
      </c>
      <c r="Y1400" t="s">
        <v>22940</v>
      </c>
      <c r="AG1400">
        <v>37</v>
      </c>
      <c r="AH1400">
        <v>33</v>
      </c>
      <c r="AI1400">
        <v>36</v>
      </c>
      <c r="AJ1400">
        <v>1</v>
      </c>
      <c r="AK1400">
        <v>11</v>
      </c>
      <c r="AL1400" t="s">
        <v>136</v>
      </c>
      <c r="AM1400" t="s">
        <v>137</v>
      </c>
      <c r="AN1400" t="s">
        <v>138</v>
      </c>
      <c r="AO1400" t="s">
        <v>139</v>
      </c>
      <c r="AR1400" t="s">
        <v>127</v>
      </c>
      <c r="AS1400" t="s">
        <v>141</v>
      </c>
      <c r="AT1400" t="s">
        <v>951</v>
      </c>
      <c r="AU1400">
        <v>2001</v>
      </c>
      <c r="AV1400">
        <v>45</v>
      </c>
      <c r="AW1400" t="s">
        <v>22941</v>
      </c>
      <c r="BB1400">
        <v>399</v>
      </c>
      <c r="BC1400">
        <v>407</v>
      </c>
      <c r="BE1400" t="s">
        <v>22942</v>
      </c>
      <c r="BF1400" t="s">
        <v>22943</v>
      </c>
      <c r="BI1400">
        <v>9</v>
      </c>
      <c r="BJ1400" t="s">
        <v>144</v>
      </c>
      <c r="BK1400" t="s">
        <v>96</v>
      </c>
      <c r="BL1400" t="s">
        <v>145</v>
      </c>
      <c r="BM1400" t="s">
        <v>22944</v>
      </c>
      <c r="BN1400">
        <v>11680735</v>
      </c>
      <c r="BR1400" t="s">
        <v>98</v>
      </c>
      <c r="BS1400" t="s">
        <v>22945</v>
      </c>
      <c r="BT1400" t="s">
        <v>16602</v>
      </c>
    </row>
    <row r="1401" spans="1:72">
      <c r="A1401" t="s">
        <v>72</v>
      </c>
      <c r="B1401" t="s">
        <v>22946</v>
      </c>
      <c r="F1401" t="s">
        <v>22947</v>
      </c>
      <c r="I1401" t="s">
        <v>22948</v>
      </c>
      <c r="J1401" t="s">
        <v>14858</v>
      </c>
      <c r="M1401" t="s">
        <v>78</v>
      </c>
      <c r="N1401" t="s">
        <v>79</v>
      </c>
      <c r="T1401" t="s">
        <v>22949</v>
      </c>
      <c r="U1401" t="s">
        <v>22950</v>
      </c>
      <c r="V1401" t="s">
        <v>22951</v>
      </c>
      <c r="W1401" t="s">
        <v>22952</v>
      </c>
      <c r="X1401" t="s">
        <v>22953</v>
      </c>
      <c r="Y1401" t="s">
        <v>22954</v>
      </c>
      <c r="Z1401" t="s">
        <v>22955</v>
      </c>
      <c r="AC1401" t="s">
        <v>22956</v>
      </c>
      <c r="AD1401" t="s">
        <v>22957</v>
      </c>
      <c r="AE1401" t="s">
        <v>22958</v>
      </c>
      <c r="AG1401">
        <v>66</v>
      </c>
      <c r="AH1401">
        <v>5</v>
      </c>
      <c r="AI1401">
        <v>5</v>
      </c>
      <c r="AJ1401">
        <v>1</v>
      </c>
      <c r="AK1401">
        <v>9</v>
      </c>
      <c r="AL1401" t="s">
        <v>1350</v>
      </c>
      <c r="AM1401" t="s">
        <v>1351</v>
      </c>
      <c r="AN1401" t="s">
        <v>1352</v>
      </c>
      <c r="AO1401" t="s">
        <v>14870</v>
      </c>
      <c r="AR1401" t="s">
        <v>14871</v>
      </c>
      <c r="AS1401" t="s">
        <v>14872</v>
      </c>
      <c r="AT1401" t="s">
        <v>22959</v>
      </c>
      <c r="AU1401">
        <v>2017</v>
      </c>
      <c r="AV1401">
        <v>8</v>
      </c>
      <c r="BD1401">
        <v>1061</v>
      </c>
      <c r="BE1401" t="s">
        <v>22960</v>
      </c>
      <c r="BF1401" t="s">
        <v>22961</v>
      </c>
      <c r="BI1401">
        <v>10</v>
      </c>
      <c r="BJ1401" t="s">
        <v>7548</v>
      </c>
      <c r="BK1401" t="s">
        <v>96</v>
      </c>
      <c r="BL1401" t="s">
        <v>7548</v>
      </c>
      <c r="BM1401" t="s">
        <v>22962</v>
      </c>
      <c r="BN1401">
        <v>29326599</v>
      </c>
      <c r="BO1401" t="s">
        <v>2155</v>
      </c>
      <c r="BR1401" t="s">
        <v>98</v>
      </c>
      <c r="BS1401" t="s">
        <v>22963</v>
      </c>
      <c r="BT1401" t="s">
        <v>16602</v>
      </c>
    </row>
    <row r="1402" spans="1:72">
      <c r="A1402" t="s">
        <v>72</v>
      </c>
      <c r="B1402" t="s">
        <v>22964</v>
      </c>
      <c r="F1402" t="s">
        <v>22965</v>
      </c>
      <c r="I1402" t="s">
        <v>22966</v>
      </c>
      <c r="J1402" t="s">
        <v>22967</v>
      </c>
      <c r="M1402" t="s">
        <v>78</v>
      </c>
      <c r="N1402" t="s">
        <v>79</v>
      </c>
      <c r="U1402" t="s">
        <v>22968</v>
      </c>
      <c r="V1402" t="s">
        <v>22969</v>
      </c>
      <c r="W1402" t="s">
        <v>22970</v>
      </c>
      <c r="X1402" t="s">
        <v>22971</v>
      </c>
      <c r="Y1402" t="s">
        <v>22972</v>
      </c>
      <c r="Z1402" t="s">
        <v>22973</v>
      </c>
      <c r="AA1402" t="s">
        <v>22974</v>
      </c>
      <c r="AB1402" t="s">
        <v>22975</v>
      </c>
      <c r="AC1402" t="s">
        <v>22976</v>
      </c>
      <c r="AD1402" t="s">
        <v>525</v>
      </c>
      <c r="AE1402" t="s">
        <v>22977</v>
      </c>
      <c r="AG1402">
        <v>43</v>
      </c>
      <c r="AH1402">
        <v>58</v>
      </c>
      <c r="AI1402">
        <v>59</v>
      </c>
      <c r="AJ1402">
        <v>1</v>
      </c>
      <c r="AK1402">
        <v>164</v>
      </c>
      <c r="AL1402" t="s">
        <v>261</v>
      </c>
      <c r="AM1402" t="s">
        <v>262</v>
      </c>
      <c r="AN1402" t="s">
        <v>19471</v>
      </c>
      <c r="AO1402" t="s">
        <v>22978</v>
      </c>
      <c r="AP1402" t="s">
        <v>22979</v>
      </c>
      <c r="AR1402" t="s">
        <v>22980</v>
      </c>
      <c r="AS1402" t="s">
        <v>22981</v>
      </c>
      <c r="AT1402" t="s">
        <v>22982</v>
      </c>
      <c r="AU1402">
        <v>2016</v>
      </c>
      <c r="AV1402">
        <v>18</v>
      </c>
      <c r="AW1402">
        <v>23</v>
      </c>
      <c r="BB1402">
        <v>15564</v>
      </c>
      <c r="BC1402">
        <v>15573</v>
      </c>
      <c r="BE1402" t="s">
        <v>22983</v>
      </c>
      <c r="BF1402" t="s">
        <v>22984</v>
      </c>
      <c r="BI1402">
        <v>10</v>
      </c>
      <c r="BJ1402" t="s">
        <v>8655</v>
      </c>
      <c r="BK1402" t="s">
        <v>96</v>
      </c>
      <c r="BL1402" t="s">
        <v>8656</v>
      </c>
      <c r="BM1402" t="s">
        <v>22985</v>
      </c>
      <c r="BN1402">
        <v>27221228</v>
      </c>
      <c r="BR1402" t="s">
        <v>98</v>
      </c>
      <c r="BS1402" t="s">
        <v>22986</v>
      </c>
      <c r="BT1402" t="s">
        <v>16602</v>
      </c>
    </row>
    <row r="1403" spans="1:72">
      <c r="A1403" t="s">
        <v>72</v>
      </c>
      <c r="B1403" t="s">
        <v>22987</v>
      </c>
      <c r="F1403" t="s">
        <v>22987</v>
      </c>
      <c r="I1403" t="s">
        <v>22988</v>
      </c>
      <c r="J1403" t="s">
        <v>232</v>
      </c>
      <c r="M1403" t="s">
        <v>78</v>
      </c>
      <c r="N1403" t="s">
        <v>79</v>
      </c>
      <c r="V1403" t="s">
        <v>22989</v>
      </c>
      <c r="W1403" t="s">
        <v>22990</v>
      </c>
      <c r="X1403" t="s">
        <v>9732</v>
      </c>
      <c r="AG1403">
        <v>21</v>
      </c>
      <c r="AH1403">
        <v>17</v>
      </c>
      <c r="AI1403">
        <v>17</v>
      </c>
      <c r="AJ1403">
        <v>0</v>
      </c>
      <c r="AK1403">
        <v>0</v>
      </c>
      <c r="AL1403" t="s">
        <v>136</v>
      </c>
      <c r="AM1403" t="s">
        <v>137</v>
      </c>
      <c r="AN1403" t="s">
        <v>138</v>
      </c>
      <c r="AO1403" t="s">
        <v>240</v>
      </c>
      <c r="AP1403" t="s">
        <v>241</v>
      </c>
      <c r="AR1403" t="s">
        <v>242</v>
      </c>
      <c r="AS1403" t="s">
        <v>243</v>
      </c>
      <c r="AT1403" t="s">
        <v>170</v>
      </c>
      <c r="AU1403">
        <v>1990</v>
      </c>
      <c r="AV1403">
        <v>21</v>
      </c>
      <c r="AW1403">
        <v>5</v>
      </c>
      <c r="BB1403">
        <v>237</v>
      </c>
      <c r="BC1403">
        <v>240</v>
      </c>
      <c r="BE1403" t="s">
        <v>22991</v>
      </c>
      <c r="BF1403" t="s">
        <v>22992</v>
      </c>
      <c r="BI1403">
        <v>4</v>
      </c>
      <c r="BJ1403" t="s">
        <v>247</v>
      </c>
      <c r="BK1403" t="s">
        <v>96</v>
      </c>
      <c r="BL1403" t="s">
        <v>248</v>
      </c>
      <c r="BM1403" t="s">
        <v>22993</v>
      </c>
      <c r="BR1403" t="s">
        <v>98</v>
      </c>
      <c r="BS1403" t="s">
        <v>22994</v>
      </c>
      <c r="BT1403" t="s">
        <v>16602</v>
      </c>
    </row>
    <row r="1404" spans="1:72">
      <c r="A1404" t="s">
        <v>72</v>
      </c>
      <c r="B1404" t="s">
        <v>22995</v>
      </c>
      <c r="F1404" t="s">
        <v>22995</v>
      </c>
      <c r="I1404" t="s">
        <v>22996</v>
      </c>
      <c r="J1404" t="s">
        <v>641</v>
      </c>
      <c r="M1404" t="s">
        <v>78</v>
      </c>
      <c r="N1404" t="s">
        <v>79</v>
      </c>
      <c r="T1404" t="s">
        <v>22997</v>
      </c>
      <c r="U1404" t="s">
        <v>22998</v>
      </c>
      <c r="V1404" t="s">
        <v>22999</v>
      </c>
      <c r="W1404" t="s">
        <v>23000</v>
      </c>
      <c r="X1404" t="s">
        <v>23001</v>
      </c>
      <c r="Y1404" t="s">
        <v>23002</v>
      </c>
      <c r="Z1404" t="s">
        <v>23003</v>
      </c>
      <c r="AG1404">
        <v>44</v>
      </c>
      <c r="AH1404">
        <v>56</v>
      </c>
      <c r="AI1404">
        <v>64</v>
      </c>
      <c r="AJ1404">
        <v>0</v>
      </c>
      <c r="AK1404">
        <v>14</v>
      </c>
      <c r="AL1404" t="s">
        <v>919</v>
      </c>
      <c r="AM1404" t="s">
        <v>651</v>
      </c>
      <c r="AN1404" t="s">
        <v>920</v>
      </c>
      <c r="AO1404" t="s">
        <v>653</v>
      </c>
      <c r="AP1404" t="s">
        <v>654</v>
      </c>
      <c r="AR1404" t="s">
        <v>655</v>
      </c>
      <c r="AS1404" t="s">
        <v>656</v>
      </c>
      <c r="AT1404" t="s">
        <v>8920</v>
      </c>
      <c r="AU1404">
        <v>2001</v>
      </c>
      <c r="AV1404">
        <v>55</v>
      </c>
      <c r="AW1404" t="s">
        <v>326</v>
      </c>
      <c r="BB1404">
        <v>35</v>
      </c>
      <c r="BC1404">
        <v>47</v>
      </c>
      <c r="BE1404" t="s">
        <v>23004</v>
      </c>
      <c r="BF1404" t="s">
        <v>23005</v>
      </c>
      <c r="BI1404">
        <v>13</v>
      </c>
      <c r="BJ1404" t="s">
        <v>659</v>
      </c>
      <c r="BK1404" t="s">
        <v>96</v>
      </c>
      <c r="BL1404" t="s">
        <v>659</v>
      </c>
      <c r="BM1404" t="s">
        <v>23006</v>
      </c>
      <c r="BN1404">
        <v>11551620</v>
      </c>
      <c r="BR1404" t="s">
        <v>98</v>
      </c>
      <c r="BS1404" t="s">
        <v>23007</v>
      </c>
      <c r="BT1404" t="s">
        <v>16602</v>
      </c>
    </row>
    <row r="1405" spans="1:72">
      <c r="A1405" t="s">
        <v>72</v>
      </c>
      <c r="B1405" t="s">
        <v>23008</v>
      </c>
      <c r="F1405" t="s">
        <v>23008</v>
      </c>
      <c r="I1405" t="s">
        <v>23009</v>
      </c>
      <c r="J1405" t="s">
        <v>4963</v>
      </c>
      <c r="M1405" t="s">
        <v>78</v>
      </c>
      <c r="N1405" t="s">
        <v>79</v>
      </c>
      <c r="T1405" t="s">
        <v>23010</v>
      </c>
      <c r="U1405" t="s">
        <v>23011</v>
      </c>
      <c r="V1405" t="s">
        <v>23012</v>
      </c>
      <c r="W1405" t="s">
        <v>23013</v>
      </c>
      <c r="Y1405" t="s">
        <v>23014</v>
      </c>
      <c r="AG1405">
        <v>47</v>
      </c>
      <c r="AH1405">
        <v>13</v>
      </c>
      <c r="AI1405">
        <v>13</v>
      </c>
      <c r="AJ1405">
        <v>0</v>
      </c>
      <c r="AK1405">
        <v>12</v>
      </c>
      <c r="AL1405" t="s">
        <v>9707</v>
      </c>
      <c r="AM1405" t="s">
        <v>286</v>
      </c>
      <c r="AN1405" t="s">
        <v>9708</v>
      </c>
      <c r="AO1405" t="s">
        <v>4976</v>
      </c>
      <c r="AR1405" t="s">
        <v>4978</v>
      </c>
      <c r="AS1405" t="s">
        <v>4979</v>
      </c>
      <c r="AT1405" t="s">
        <v>142</v>
      </c>
      <c r="AU1405">
        <v>1993</v>
      </c>
      <c r="AV1405">
        <v>14</v>
      </c>
      <c r="AW1405">
        <v>6</v>
      </c>
      <c r="BB1405">
        <v>501</v>
      </c>
      <c r="BC1405">
        <v>516</v>
      </c>
      <c r="BE1405" t="s">
        <v>23015</v>
      </c>
      <c r="BF1405" t="s">
        <v>23016</v>
      </c>
      <c r="BI1405">
        <v>16</v>
      </c>
      <c r="BJ1405" t="s">
        <v>144</v>
      </c>
      <c r="BK1405" t="s">
        <v>96</v>
      </c>
      <c r="BL1405" t="s">
        <v>145</v>
      </c>
      <c r="BM1405" t="s">
        <v>23017</v>
      </c>
      <c r="BR1405" t="s">
        <v>98</v>
      </c>
      <c r="BS1405" t="s">
        <v>23018</v>
      </c>
      <c r="BT1405" t="s">
        <v>16602</v>
      </c>
    </row>
    <row r="1406" spans="1:72">
      <c r="A1406" t="s">
        <v>72</v>
      </c>
      <c r="B1406" t="s">
        <v>23019</v>
      </c>
      <c r="F1406" t="s">
        <v>23020</v>
      </c>
      <c r="I1406" t="s">
        <v>23021</v>
      </c>
      <c r="J1406" t="s">
        <v>23022</v>
      </c>
      <c r="M1406" t="s">
        <v>78</v>
      </c>
      <c r="N1406" t="s">
        <v>79</v>
      </c>
      <c r="T1406" t="s">
        <v>23023</v>
      </c>
      <c r="U1406" t="s">
        <v>23024</v>
      </c>
      <c r="V1406" t="s">
        <v>23025</v>
      </c>
      <c r="W1406" t="s">
        <v>23026</v>
      </c>
      <c r="X1406" t="s">
        <v>23027</v>
      </c>
      <c r="Y1406" t="s">
        <v>23028</v>
      </c>
      <c r="Z1406" t="s">
        <v>22513</v>
      </c>
      <c r="AA1406" t="s">
        <v>23029</v>
      </c>
      <c r="AB1406" t="s">
        <v>23030</v>
      </c>
      <c r="AC1406" t="s">
        <v>23031</v>
      </c>
      <c r="AD1406" t="s">
        <v>10121</v>
      </c>
      <c r="AE1406" t="s">
        <v>23032</v>
      </c>
      <c r="AG1406">
        <v>42</v>
      </c>
      <c r="AH1406">
        <v>13</v>
      </c>
      <c r="AI1406">
        <v>13</v>
      </c>
      <c r="AJ1406">
        <v>0</v>
      </c>
      <c r="AK1406">
        <v>11</v>
      </c>
      <c r="AL1406" t="s">
        <v>6554</v>
      </c>
      <c r="AM1406" t="s">
        <v>113</v>
      </c>
      <c r="AN1406" t="s">
        <v>6555</v>
      </c>
      <c r="AO1406" t="s">
        <v>23033</v>
      </c>
      <c r="AP1406" t="s">
        <v>23034</v>
      </c>
      <c r="AR1406" t="s">
        <v>23035</v>
      </c>
      <c r="AS1406" t="s">
        <v>23036</v>
      </c>
      <c r="AT1406" t="s">
        <v>197</v>
      </c>
      <c r="AU1406">
        <v>2019</v>
      </c>
      <c r="AV1406">
        <v>12</v>
      </c>
      <c r="AW1406" t="s">
        <v>23037</v>
      </c>
      <c r="AY1406">
        <v>2</v>
      </c>
      <c r="BB1406">
        <v>88</v>
      </c>
      <c r="BC1406">
        <v>95</v>
      </c>
      <c r="BE1406" t="s">
        <v>23038</v>
      </c>
      <c r="BF1406" t="s">
        <v>23039</v>
      </c>
      <c r="BI1406">
        <v>8</v>
      </c>
      <c r="BJ1406" t="s">
        <v>680</v>
      </c>
      <c r="BK1406" t="s">
        <v>96</v>
      </c>
      <c r="BL1406" t="s">
        <v>680</v>
      </c>
      <c r="BM1406" t="s">
        <v>23040</v>
      </c>
      <c r="BR1406" t="s">
        <v>98</v>
      </c>
      <c r="BS1406" t="s">
        <v>23041</v>
      </c>
      <c r="BT1406" t="s">
        <v>16602</v>
      </c>
    </row>
    <row r="1407" spans="1:72">
      <c r="A1407" t="s">
        <v>72</v>
      </c>
      <c r="B1407" t="s">
        <v>23042</v>
      </c>
      <c r="F1407" t="s">
        <v>23043</v>
      </c>
      <c r="I1407" t="s">
        <v>23044</v>
      </c>
      <c r="J1407" t="s">
        <v>752</v>
      </c>
      <c r="M1407" t="s">
        <v>78</v>
      </c>
      <c r="N1407" t="s">
        <v>79</v>
      </c>
      <c r="T1407" t="s">
        <v>23045</v>
      </c>
      <c r="U1407" t="s">
        <v>23046</v>
      </c>
      <c r="V1407" t="s">
        <v>23047</v>
      </c>
      <c r="W1407" t="s">
        <v>23048</v>
      </c>
      <c r="X1407" t="s">
        <v>13470</v>
      </c>
      <c r="Y1407" t="s">
        <v>23049</v>
      </c>
      <c r="AB1407" t="s">
        <v>23050</v>
      </c>
      <c r="AC1407" t="s">
        <v>23051</v>
      </c>
      <c r="AD1407" t="s">
        <v>23051</v>
      </c>
      <c r="AE1407" t="s">
        <v>23052</v>
      </c>
      <c r="AG1407">
        <v>67</v>
      </c>
      <c r="AH1407">
        <v>25</v>
      </c>
      <c r="AI1407">
        <v>26</v>
      </c>
      <c r="AJ1407">
        <v>0</v>
      </c>
      <c r="AK1407">
        <v>35</v>
      </c>
      <c r="AL1407" t="s">
        <v>430</v>
      </c>
      <c r="AM1407" t="s">
        <v>137</v>
      </c>
      <c r="AN1407" t="s">
        <v>431</v>
      </c>
      <c r="AO1407" t="s">
        <v>761</v>
      </c>
      <c r="AP1407" t="s">
        <v>762</v>
      </c>
      <c r="AR1407" t="s">
        <v>763</v>
      </c>
      <c r="AS1407" t="s">
        <v>764</v>
      </c>
      <c r="AT1407" t="s">
        <v>765</v>
      </c>
      <c r="AU1407">
        <v>2010</v>
      </c>
      <c r="AV1407">
        <v>70</v>
      </c>
      <c r="AW1407">
        <v>1</v>
      </c>
      <c r="BB1407">
        <v>87</v>
      </c>
      <c r="BC1407">
        <v>94</v>
      </c>
      <c r="BE1407" t="s">
        <v>23053</v>
      </c>
      <c r="BF1407" t="s">
        <v>23054</v>
      </c>
      <c r="BI1407">
        <v>8</v>
      </c>
      <c r="BJ1407" t="s">
        <v>768</v>
      </c>
      <c r="BK1407" t="s">
        <v>96</v>
      </c>
      <c r="BL1407" t="s">
        <v>769</v>
      </c>
      <c r="BM1407" t="s">
        <v>23055</v>
      </c>
      <c r="BN1407">
        <v>20400174</v>
      </c>
      <c r="BR1407" t="s">
        <v>98</v>
      </c>
      <c r="BS1407" t="s">
        <v>23056</v>
      </c>
      <c r="BT1407" t="s">
        <v>16602</v>
      </c>
    </row>
    <row r="1408" spans="1:72">
      <c r="A1408" t="s">
        <v>72</v>
      </c>
      <c r="B1408" t="s">
        <v>23057</v>
      </c>
      <c r="F1408" t="s">
        <v>23057</v>
      </c>
      <c r="I1408" t="s">
        <v>23058</v>
      </c>
      <c r="J1408" t="s">
        <v>8431</v>
      </c>
      <c r="M1408" t="s">
        <v>78</v>
      </c>
      <c r="N1408" t="s">
        <v>79</v>
      </c>
      <c r="U1408" t="s">
        <v>23059</v>
      </c>
      <c r="V1408" t="s">
        <v>23060</v>
      </c>
      <c r="W1408" t="s">
        <v>23061</v>
      </c>
      <c r="X1408" t="s">
        <v>23062</v>
      </c>
      <c r="Y1408" t="s">
        <v>23063</v>
      </c>
      <c r="Z1408" t="s">
        <v>23064</v>
      </c>
      <c r="AA1408" t="s">
        <v>23065</v>
      </c>
      <c r="AB1408" t="s">
        <v>23066</v>
      </c>
      <c r="AG1408">
        <v>37</v>
      </c>
      <c r="AH1408">
        <v>14</v>
      </c>
      <c r="AI1408">
        <v>15</v>
      </c>
      <c r="AJ1408">
        <v>1</v>
      </c>
      <c r="AK1408">
        <v>4</v>
      </c>
      <c r="AL1408" t="s">
        <v>8440</v>
      </c>
      <c r="AM1408" t="s">
        <v>8441</v>
      </c>
      <c r="AN1408" t="s">
        <v>8442</v>
      </c>
      <c r="AO1408" t="s">
        <v>8443</v>
      </c>
      <c r="AP1408" t="s">
        <v>8444</v>
      </c>
      <c r="AR1408" t="s">
        <v>8445</v>
      </c>
      <c r="AS1408" t="s">
        <v>8446</v>
      </c>
      <c r="AT1408" t="s">
        <v>765</v>
      </c>
      <c r="AU1408">
        <v>2004</v>
      </c>
      <c r="AV1408">
        <v>67</v>
      </c>
      <c r="AW1408">
        <v>7</v>
      </c>
      <c r="BB1408">
        <v>1526</v>
      </c>
      <c r="BC1408">
        <v>1532</v>
      </c>
      <c r="BE1408" t="s">
        <v>23067</v>
      </c>
      <c r="BF1408" t="s">
        <v>23068</v>
      </c>
      <c r="BI1408">
        <v>7</v>
      </c>
      <c r="BJ1408" t="s">
        <v>8448</v>
      </c>
      <c r="BK1408" t="s">
        <v>96</v>
      </c>
      <c r="BL1408" t="s">
        <v>8448</v>
      </c>
      <c r="BM1408" t="s">
        <v>23069</v>
      </c>
      <c r="BN1408">
        <v>15270515</v>
      </c>
      <c r="BO1408" t="s">
        <v>476</v>
      </c>
      <c r="BR1408" t="s">
        <v>98</v>
      </c>
      <c r="BS1408" t="s">
        <v>23070</v>
      </c>
      <c r="BT1408" t="s">
        <v>16602</v>
      </c>
    </row>
    <row r="1409" spans="1:72">
      <c r="A1409" t="s">
        <v>72</v>
      </c>
      <c r="B1409" t="s">
        <v>23071</v>
      </c>
      <c r="F1409" t="s">
        <v>23072</v>
      </c>
      <c r="I1409" t="s">
        <v>23073</v>
      </c>
      <c r="J1409" t="s">
        <v>127</v>
      </c>
      <c r="M1409" t="s">
        <v>78</v>
      </c>
      <c r="N1409" t="s">
        <v>79</v>
      </c>
      <c r="T1409" t="s">
        <v>23074</v>
      </c>
      <c r="U1409" t="s">
        <v>23075</v>
      </c>
      <c r="V1409" t="s">
        <v>23076</v>
      </c>
      <c r="W1409" t="s">
        <v>23077</v>
      </c>
      <c r="X1409" t="s">
        <v>19550</v>
      </c>
      <c r="Y1409" t="s">
        <v>23078</v>
      </c>
      <c r="Z1409" t="s">
        <v>23079</v>
      </c>
      <c r="AB1409" t="s">
        <v>23080</v>
      </c>
      <c r="AC1409" t="s">
        <v>23081</v>
      </c>
      <c r="AD1409" t="s">
        <v>23081</v>
      </c>
      <c r="AE1409" t="s">
        <v>23082</v>
      </c>
      <c r="AG1409">
        <v>66</v>
      </c>
      <c r="AH1409">
        <v>14</v>
      </c>
      <c r="AI1409">
        <v>17</v>
      </c>
      <c r="AJ1409">
        <v>1</v>
      </c>
      <c r="AK1409">
        <v>12</v>
      </c>
      <c r="AL1409" t="s">
        <v>136</v>
      </c>
      <c r="AM1409" t="s">
        <v>137</v>
      </c>
      <c r="AN1409" t="s">
        <v>138</v>
      </c>
      <c r="AO1409" t="s">
        <v>139</v>
      </c>
      <c r="AP1409" t="s">
        <v>140</v>
      </c>
      <c r="AR1409" t="s">
        <v>127</v>
      </c>
      <c r="AS1409" t="s">
        <v>141</v>
      </c>
      <c r="AT1409" t="s">
        <v>305</v>
      </c>
      <c r="AU1409">
        <v>2009</v>
      </c>
      <c r="AV1409">
        <v>76</v>
      </c>
      <c r="AW1409">
        <v>10</v>
      </c>
      <c r="BB1409">
        <v>1315</v>
      </c>
      <c r="BC1409">
        <v>1322</v>
      </c>
      <c r="BE1409" t="s">
        <v>23083</v>
      </c>
      <c r="BF1409" t="s">
        <v>23084</v>
      </c>
      <c r="BI1409">
        <v>8</v>
      </c>
      <c r="BJ1409" t="s">
        <v>144</v>
      </c>
      <c r="BK1409" t="s">
        <v>96</v>
      </c>
      <c r="BL1409" t="s">
        <v>145</v>
      </c>
      <c r="BM1409" t="s">
        <v>23085</v>
      </c>
      <c r="BN1409">
        <v>19631962</v>
      </c>
      <c r="BR1409" t="s">
        <v>98</v>
      </c>
      <c r="BS1409" t="s">
        <v>23086</v>
      </c>
      <c r="BT1409" t="s">
        <v>16602</v>
      </c>
    </row>
    <row r="1410" spans="1:72">
      <c r="A1410" t="s">
        <v>72</v>
      </c>
      <c r="B1410" t="s">
        <v>23087</v>
      </c>
      <c r="F1410" t="s">
        <v>23087</v>
      </c>
      <c r="I1410" t="s">
        <v>23088</v>
      </c>
      <c r="J1410" t="s">
        <v>232</v>
      </c>
      <c r="M1410" t="s">
        <v>78</v>
      </c>
      <c r="N1410" t="s">
        <v>79</v>
      </c>
      <c r="U1410" t="s">
        <v>23089</v>
      </c>
      <c r="W1410" t="s">
        <v>23090</v>
      </c>
      <c r="X1410" t="s">
        <v>23091</v>
      </c>
      <c r="Y1410" t="s">
        <v>23092</v>
      </c>
      <c r="AA1410" t="s">
        <v>23093</v>
      </c>
      <c r="AG1410">
        <v>16</v>
      </c>
      <c r="AH1410">
        <v>5</v>
      </c>
      <c r="AI1410">
        <v>6</v>
      </c>
      <c r="AJ1410">
        <v>1</v>
      </c>
      <c r="AK1410">
        <v>9</v>
      </c>
      <c r="AL1410" t="s">
        <v>136</v>
      </c>
      <c r="AM1410" t="s">
        <v>137</v>
      </c>
      <c r="AN1410" t="s">
        <v>138</v>
      </c>
      <c r="AO1410" t="s">
        <v>240</v>
      </c>
      <c r="AP1410" t="s">
        <v>241</v>
      </c>
      <c r="AR1410" t="s">
        <v>242</v>
      </c>
      <c r="AS1410" t="s">
        <v>243</v>
      </c>
      <c r="AT1410" t="s">
        <v>765</v>
      </c>
      <c r="AU1410">
        <v>1998</v>
      </c>
      <c r="AV1410">
        <v>36</v>
      </c>
      <c r="AW1410">
        <v>7</v>
      </c>
      <c r="BB1410">
        <v>542</v>
      </c>
      <c r="BC1410">
        <v>546</v>
      </c>
      <c r="BE1410" t="s">
        <v>23094</v>
      </c>
      <c r="BF1410" t="s">
        <v>23095</v>
      </c>
      <c r="BI1410">
        <v>5</v>
      </c>
      <c r="BJ1410" t="s">
        <v>247</v>
      </c>
      <c r="BK1410" t="s">
        <v>96</v>
      </c>
      <c r="BL1410" t="s">
        <v>248</v>
      </c>
      <c r="BM1410" t="s">
        <v>23096</v>
      </c>
      <c r="BR1410" t="s">
        <v>98</v>
      </c>
      <c r="BS1410" t="s">
        <v>23097</v>
      </c>
      <c r="BT1410" t="s">
        <v>16602</v>
      </c>
    </row>
    <row r="1411" spans="1:72">
      <c r="A1411" t="s">
        <v>72</v>
      </c>
      <c r="B1411" t="s">
        <v>23098</v>
      </c>
      <c r="F1411" t="s">
        <v>23099</v>
      </c>
      <c r="I1411" t="s">
        <v>23100</v>
      </c>
      <c r="J1411" t="s">
        <v>23101</v>
      </c>
      <c r="M1411" t="s">
        <v>78</v>
      </c>
      <c r="N1411" t="s">
        <v>79</v>
      </c>
      <c r="U1411" t="s">
        <v>23102</v>
      </c>
      <c r="V1411" t="s">
        <v>23103</v>
      </c>
      <c r="W1411" t="s">
        <v>23104</v>
      </c>
      <c r="X1411" t="s">
        <v>23105</v>
      </c>
      <c r="Y1411" t="s">
        <v>23106</v>
      </c>
      <c r="Z1411" t="s">
        <v>23107</v>
      </c>
      <c r="AA1411" t="s">
        <v>23108</v>
      </c>
      <c r="AB1411" t="s">
        <v>23109</v>
      </c>
      <c r="AG1411">
        <v>54</v>
      </c>
      <c r="AH1411">
        <v>31</v>
      </c>
      <c r="AI1411">
        <v>35</v>
      </c>
      <c r="AJ1411">
        <v>0</v>
      </c>
      <c r="AK1411">
        <v>16</v>
      </c>
      <c r="AL1411" t="s">
        <v>18255</v>
      </c>
      <c r="AM1411" t="s">
        <v>286</v>
      </c>
      <c r="AN1411" t="s">
        <v>18256</v>
      </c>
      <c r="AO1411" t="s">
        <v>23110</v>
      </c>
      <c r="AP1411" t="s">
        <v>23111</v>
      </c>
      <c r="AR1411" t="s">
        <v>23112</v>
      </c>
      <c r="AS1411" t="s">
        <v>23113</v>
      </c>
      <c r="AU1411">
        <v>2018</v>
      </c>
      <c r="AV1411">
        <v>2018</v>
      </c>
      <c r="BD1411">
        <v>1910274</v>
      </c>
      <c r="BE1411" t="s">
        <v>23114</v>
      </c>
      <c r="BF1411" t="s">
        <v>23115</v>
      </c>
      <c r="BI1411">
        <v>10</v>
      </c>
      <c r="BJ1411" t="s">
        <v>23116</v>
      </c>
      <c r="BK1411" t="s">
        <v>96</v>
      </c>
      <c r="BL1411" t="s">
        <v>23117</v>
      </c>
      <c r="BM1411" t="s">
        <v>23118</v>
      </c>
      <c r="BN1411">
        <v>29693003</v>
      </c>
      <c r="BO1411" t="s">
        <v>5306</v>
      </c>
      <c r="BR1411" t="s">
        <v>98</v>
      </c>
      <c r="BS1411" t="s">
        <v>23119</v>
      </c>
      <c r="BT1411" t="s">
        <v>16602</v>
      </c>
    </row>
    <row r="1412" spans="1:72">
      <c r="A1412" t="s">
        <v>72</v>
      </c>
      <c r="B1412" t="s">
        <v>23120</v>
      </c>
      <c r="F1412" t="s">
        <v>23121</v>
      </c>
      <c r="I1412" t="s">
        <v>23122</v>
      </c>
      <c r="J1412" t="s">
        <v>421</v>
      </c>
      <c r="M1412" t="s">
        <v>78</v>
      </c>
      <c r="N1412" t="s">
        <v>79</v>
      </c>
      <c r="T1412" t="s">
        <v>23123</v>
      </c>
      <c r="U1412" t="s">
        <v>23124</v>
      </c>
      <c r="V1412" t="s">
        <v>23125</v>
      </c>
      <c r="W1412" t="s">
        <v>23126</v>
      </c>
      <c r="X1412" t="s">
        <v>23127</v>
      </c>
      <c r="Y1412" t="s">
        <v>23128</v>
      </c>
      <c r="Z1412" t="s">
        <v>23129</v>
      </c>
      <c r="AA1412" t="s">
        <v>23130</v>
      </c>
      <c r="AB1412" t="s">
        <v>23131</v>
      </c>
      <c r="AC1412" t="s">
        <v>23132</v>
      </c>
      <c r="AD1412" t="s">
        <v>23133</v>
      </c>
      <c r="AE1412" t="s">
        <v>23134</v>
      </c>
      <c r="AG1412">
        <v>64</v>
      </c>
      <c r="AH1412">
        <v>22</v>
      </c>
      <c r="AI1412">
        <v>23</v>
      </c>
      <c r="AJ1412">
        <v>0</v>
      </c>
      <c r="AK1412">
        <v>83</v>
      </c>
      <c r="AL1412" t="s">
        <v>430</v>
      </c>
      <c r="AM1412" t="s">
        <v>137</v>
      </c>
      <c r="AN1412" t="s">
        <v>431</v>
      </c>
      <c r="AO1412" t="s">
        <v>432</v>
      </c>
      <c r="AP1412" t="s">
        <v>1394</v>
      </c>
      <c r="AR1412" t="s">
        <v>433</v>
      </c>
      <c r="AS1412" t="s">
        <v>434</v>
      </c>
      <c r="AT1412" t="s">
        <v>119</v>
      </c>
      <c r="AU1412">
        <v>2015</v>
      </c>
      <c r="AV1412">
        <v>203</v>
      </c>
      <c r="BB1412">
        <v>183</v>
      </c>
      <c r="BC1412">
        <v>190</v>
      </c>
      <c r="BE1412" t="s">
        <v>23135</v>
      </c>
      <c r="BF1412" t="s">
        <v>23136</v>
      </c>
      <c r="BI1412">
        <v>8</v>
      </c>
      <c r="BJ1412" t="s">
        <v>144</v>
      </c>
      <c r="BK1412" t="s">
        <v>96</v>
      </c>
      <c r="BL1412" t="s">
        <v>145</v>
      </c>
      <c r="BM1412" t="s">
        <v>23137</v>
      </c>
      <c r="BN1412">
        <v>25910461</v>
      </c>
      <c r="BO1412" t="s">
        <v>1752</v>
      </c>
      <c r="BR1412" t="s">
        <v>98</v>
      </c>
      <c r="BS1412" t="s">
        <v>23138</v>
      </c>
      <c r="BT1412" t="s">
        <v>16602</v>
      </c>
    </row>
    <row r="1413" spans="1:72">
      <c r="A1413" t="s">
        <v>72</v>
      </c>
      <c r="B1413" t="s">
        <v>23139</v>
      </c>
      <c r="F1413" t="s">
        <v>23139</v>
      </c>
      <c r="I1413" t="s">
        <v>23140</v>
      </c>
      <c r="J1413" t="s">
        <v>232</v>
      </c>
      <c r="M1413" t="s">
        <v>78</v>
      </c>
      <c r="N1413" t="s">
        <v>79</v>
      </c>
      <c r="T1413" t="s">
        <v>23141</v>
      </c>
      <c r="U1413" t="s">
        <v>23142</v>
      </c>
      <c r="V1413" t="s">
        <v>23143</v>
      </c>
      <c r="W1413" t="s">
        <v>23144</v>
      </c>
      <c r="X1413" t="s">
        <v>23145</v>
      </c>
      <c r="Y1413" t="s">
        <v>23146</v>
      </c>
      <c r="Z1413" t="s">
        <v>19552</v>
      </c>
      <c r="AA1413" t="s">
        <v>23147</v>
      </c>
      <c r="AG1413">
        <v>90</v>
      </c>
      <c r="AH1413">
        <v>86</v>
      </c>
      <c r="AI1413">
        <v>96</v>
      </c>
      <c r="AJ1413">
        <v>1</v>
      </c>
      <c r="AK1413">
        <v>11</v>
      </c>
      <c r="AL1413" t="s">
        <v>136</v>
      </c>
      <c r="AM1413" t="s">
        <v>137</v>
      </c>
      <c r="AN1413" t="s">
        <v>138</v>
      </c>
      <c r="AO1413" t="s">
        <v>240</v>
      </c>
      <c r="AP1413" t="s">
        <v>241</v>
      </c>
      <c r="AR1413" t="s">
        <v>242</v>
      </c>
      <c r="AS1413" t="s">
        <v>243</v>
      </c>
      <c r="AT1413" t="s">
        <v>1223</v>
      </c>
      <c r="AU1413">
        <v>2004</v>
      </c>
      <c r="AV1413">
        <v>48</v>
      </c>
      <c r="AW1413" t="s">
        <v>2706</v>
      </c>
      <c r="BB1413">
        <v>572</v>
      </c>
      <c r="BC1413">
        <v>586</v>
      </c>
      <c r="BE1413" t="s">
        <v>23148</v>
      </c>
      <c r="BF1413" t="s">
        <v>23149</v>
      </c>
      <c r="BI1413">
        <v>15</v>
      </c>
      <c r="BJ1413" t="s">
        <v>247</v>
      </c>
      <c r="BK1413" t="s">
        <v>96</v>
      </c>
      <c r="BL1413" t="s">
        <v>248</v>
      </c>
      <c r="BM1413" t="s">
        <v>20246</v>
      </c>
      <c r="BN1413">
        <v>14980473</v>
      </c>
      <c r="BR1413" t="s">
        <v>98</v>
      </c>
      <c r="BS1413" t="s">
        <v>23150</v>
      </c>
      <c r="BT1413" t="s">
        <v>16602</v>
      </c>
    </row>
    <row r="1414" spans="1:72">
      <c r="A1414" t="s">
        <v>72</v>
      </c>
      <c r="B1414" t="s">
        <v>23151</v>
      </c>
      <c r="F1414" t="s">
        <v>23152</v>
      </c>
      <c r="I1414" t="s">
        <v>23153</v>
      </c>
      <c r="J1414" t="s">
        <v>3098</v>
      </c>
      <c r="M1414" t="s">
        <v>78</v>
      </c>
      <c r="N1414" t="s">
        <v>79</v>
      </c>
      <c r="T1414" t="s">
        <v>23154</v>
      </c>
      <c r="U1414" t="s">
        <v>23155</v>
      </c>
      <c r="V1414" t="s">
        <v>23156</v>
      </c>
      <c r="W1414" t="s">
        <v>23157</v>
      </c>
      <c r="X1414" t="s">
        <v>23158</v>
      </c>
      <c r="Y1414" t="s">
        <v>23159</v>
      </c>
      <c r="Z1414" t="s">
        <v>23160</v>
      </c>
      <c r="AA1414" t="s">
        <v>23161</v>
      </c>
      <c r="AB1414" t="s">
        <v>23162</v>
      </c>
      <c r="AC1414" t="s">
        <v>23163</v>
      </c>
      <c r="AD1414" t="s">
        <v>23164</v>
      </c>
      <c r="AE1414" t="s">
        <v>23165</v>
      </c>
      <c r="AG1414">
        <v>30</v>
      </c>
      <c r="AH1414">
        <v>8</v>
      </c>
      <c r="AI1414">
        <v>8</v>
      </c>
      <c r="AJ1414">
        <v>0</v>
      </c>
      <c r="AK1414">
        <v>13</v>
      </c>
      <c r="AL1414" t="s">
        <v>3108</v>
      </c>
      <c r="AM1414" t="s">
        <v>3109</v>
      </c>
      <c r="AN1414" t="s">
        <v>3110</v>
      </c>
      <c r="AO1414" t="s">
        <v>3111</v>
      </c>
      <c r="AP1414" t="s">
        <v>3112</v>
      </c>
      <c r="AR1414" t="s">
        <v>3113</v>
      </c>
      <c r="AS1414" t="s">
        <v>3114</v>
      </c>
      <c r="AU1414">
        <v>2018</v>
      </c>
      <c r="AV1414">
        <v>69</v>
      </c>
      <c r="AW1414">
        <v>9</v>
      </c>
      <c r="BB1414">
        <v>1372</v>
      </c>
      <c r="BC1414">
        <v>1378</v>
      </c>
      <c r="BE1414" t="s">
        <v>23166</v>
      </c>
      <c r="BF1414" t="s">
        <v>23167</v>
      </c>
      <c r="BI1414">
        <v>7</v>
      </c>
      <c r="BJ1414" t="s">
        <v>3116</v>
      </c>
      <c r="BK1414" t="s">
        <v>96</v>
      </c>
      <c r="BL1414" t="s">
        <v>3117</v>
      </c>
      <c r="BM1414" t="s">
        <v>23168</v>
      </c>
      <c r="BR1414" t="s">
        <v>98</v>
      </c>
      <c r="BS1414" t="s">
        <v>23169</v>
      </c>
      <c r="BT1414" t="s">
        <v>16602</v>
      </c>
    </row>
    <row r="1415" spans="1:72">
      <c r="A1415" t="s">
        <v>72</v>
      </c>
      <c r="B1415" t="s">
        <v>23170</v>
      </c>
      <c r="F1415" t="s">
        <v>23170</v>
      </c>
      <c r="I1415" t="s">
        <v>23171</v>
      </c>
      <c r="J1415" t="s">
        <v>752</v>
      </c>
      <c r="M1415" t="s">
        <v>78</v>
      </c>
      <c r="N1415" t="s">
        <v>151</v>
      </c>
      <c r="O1415" t="s">
        <v>2433</v>
      </c>
      <c r="P1415" t="s">
        <v>2434</v>
      </c>
      <c r="Q1415" t="s">
        <v>2435</v>
      </c>
      <c r="T1415" t="s">
        <v>23172</v>
      </c>
      <c r="U1415" t="s">
        <v>23173</v>
      </c>
      <c r="V1415" t="s">
        <v>23174</v>
      </c>
      <c r="W1415" t="s">
        <v>23175</v>
      </c>
      <c r="X1415" t="s">
        <v>23176</v>
      </c>
      <c r="Y1415" t="s">
        <v>23177</v>
      </c>
      <c r="Z1415" t="s">
        <v>23178</v>
      </c>
      <c r="AA1415" t="s">
        <v>23179</v>
      </c>
      <c r="AB1415" t="s">
        <v>23180</v>
      </c>
      <c r="AG1415">
        <v>9</v>
      </c>
      <c r="AH1415">
        <v>23</v>
      </c>
      <c r="AI1415">
        <v>29</v>
      </c>
      <c r="AJ1415">
        <v>0</v>
      </c>
      <c r="AK1415">
        <v>12</v>
      </c>
      <c r="AL1415" t="s">
        <v>430</v>
      </c>
      <c r="AM1415" t="s">
        <v>137</v>
      </c>
      <c r="AN1415" t="s">
        <v>431</v>
      </c>
      <c r="AO1415" t="s">
        <v>761</v>
      </c>
      <c r="AP1415" t="s">
        <v>762</v>
      </c>
      <c r="AR1415" t="s">
        <v>763</v>
      </c>
      <c r="AS1415" t="s">
        <v>764</v>
      </c>
      <c r="AT1415" t="s">
        <v>2445</v>
      </c>
      <c r="AU1415">
        <v>2004</v>
      </c>
      <c r="AV1415">
        <v>58</v>
      </c>
      <c r="AW1415" t="s">
        <v>2446</v>
      </c>
      <c r="BB1415">
        <v>395</v>
      </c>
      <c r="BC1415">
        <v>399</v>
      </c>
      <c r="BE1415" t="s">
        <v>23181</v>
      </c>
      <c r="BF1415" t="s">
        <v>23182</v>
      </c>
      <c r="BI1415">
        <v>5</v>
      </c>
      <c r="BJ1415" t="s">
        <v>768</v>
      </c>
      <c r="BK1415" t="s">
        <v>172</v>
      </c>
      <c r="BL1415" t="s">
        <v>769</v>
      </c>
      <c r="BM1415" t="s">
        <v>2448</v>
      </c>
      <c r="BN1415">
        <v>15178059</v>
      </c>
      <c r="BR1415" t="s">
        <v>98</v>
      </c>
      <c r="BS1415" t="s">
        <v>23183</v>
      </c>
      <c r="BT1415" t="s">
        <v>16602</v>
      </c>
    </row>
    <row r="1416" spans="1:72">
      <c r="A1416" t="s">
        <v>72</v>
      </c>
      <c r="B1416" t="s">
        <v>23184</v>
      </c>
      <c r="F1416" t="s">
        <v>23184</v>
      </c>
      <c r="I1416" t="s">
        <v>23185</v>
      </c>
      <c r="J1416" t="s">
        <v>3719</v>
      </c>
      <c r="M1416" t="s">
        <v>78</v>
      </c>
      <c r="N1416" t="s">
        <v>79</v>
      </c>
      <c r="T1416" t="s">
        <v>23186</v>
      </c>
      <c r="U1416" t="s">
        <v>23187</v>
      </c>
      <c r="V1416" t="s">
        <v>23188</v>
      </c>
      <c r="W1416" t="s">
        <v>23189</v>
      </c>
      <c r="Y1416" t="s">
        <v>23190</v>
      </c>
      <c r="AA1416" t="s">
        <v>23191</v>
      </c>
      <c r="AG1416">
        <v>25</v>
      </c>
      <c r="AH1416">
        <v>11</v>
      </c>
      <c r="AI1416">
        <v>11</v>
      </c>
      <c r="AJ1416">
        <v>2</v>
      </c>
      <c r="AK1416">
        <v>4</v>
      </c>
      <c r="AL1416" t="s">
        <v>23192</v>
      </c>
      <c r="AM1416" t="s">
        <v>262</v>
      </c>
      <c r="AN1416" t="s">
        <v>23193</v>
      </c>
      <c r="AO1416" t="s">
        <v>3733</v>
      </c>
      <c r="AR1416" t="s">
        <v>3735</v>
      </c>
      <c r="AS1416" t="s">
        <v>3736</v>
      </c>
      <c r="AT1416" t="s">
        <v>119</v>
      </c>
      <c r="AU1416">
        <v>1992</v>
      </c>
      <c r="AV1416">
        <v>169</v>
      </c>
      <c r="BB1416">
        <v>1</v>
      </c>
      <c r="BC1416">
        <v>18</v>
      </c>
      <c r="BI1416">
        <v>18</v>
      </c>
      <c r="BJ1416" t="s">
        <v>3738</v>
      </c>
      <c r="BK1416" t="s">
        <v>96</v>
      </c>
      <c r="BL1416" t="s">
        <v>3739</v>
      </c>
      <c r="BM1416" t="s">
        <v>23194</v>
      </c>
      <c r="BN1416">
        <v>1328457</v>
      </c>
      <c r="BR1416" t="s">
        <v>98</v>
      </c>
      <c r="BS1416" t="s">
        <v>23195</v>
      </c>
      <c r="BT1416" t="s">
        <v>16602</v>
      </c>
    </row>
    <row r="1417" spans="1:72">
      <c r="A1417" t="s">
        <v>72</v>
      </c>
      <c r="B1417" t="s">
        <v>23196</v>
      </c>
      <c r="F1417" t="s">
        <v>23197</v>
      </c>
      <c r="I1417" t="s">
        <v>23198</v>
      </c>
      <c r="J1417" t="s">
        <v>3183</v>
      </c>
      <c r="M1417" t="s">
        <v>78</v>
      </c>
      <c r="N1417" t="s">
        <v>79</v>
      </c>
      <c r="T1417" t="s">
        <v>23199</v>
      </c>
      <c r="U1417" t="s">
        <v>23200</v>
      </c>
      <c r="V1417" t="s">
        <v>23201</v>
      </c>
      <c r="W1417" t="s">
        <v>23202</v>
      </c>
      <c r="X1417" t="s">
        <v>23203</v>
      </c>
      <c r="Y1417" t="s">
        <v>23204</v>
      </c>
      <c r="Z1417" t="s">
        <v>23205</v>
      </c>
      <c r="AC1417" t="s">
        <v>23206</v>
      </c>
      <c r="AD1417" t="s">
        <v>23207</v>
      </c>
      <c r="AE1417" t="s">
        <v>23208</v>
      </c>
      <c r="AG1417">
        <v>88</v>
      </c>
      <c r="AH1417">
        <v>18</v>
      </c>
      <c r="AI1417">
        <v>20</v>
      </c>
      <c r="AJ1417">
        <v>2</v>
      </c>
      <c r="AK1417">
        <v>17</v>
      </c>
      <c r="AL1417" t="s">
        <v>430</v>
      </c>
      <c r="AM1417" t="s">
        <v>137</v>
      </c>
      <c r="AN1417" t="s">
        <v>431</v>
      </c>
      <c r="AP1417" t="s">
        <v>3198</v>
      </c>
      <c r="AR1417" t="s">
        <v>3183</v>
      </c>
      <c r="AS1417" t="s">
        <v>3199</v>
      </c>
      <c r="AT1417" t="s">
        <v>197</v>
      </c>
      <c r="AU1417">
        <v>2019</v>
      </c>
      <c r="AV1417">
        <v>5</v>
      </c>
      <c r="AW1417">
        <v>12</v>
      </c>
      <c r="BD1417" t="s">
        <v>23209</v>
      </c>
      <c r="BE1417" t="s">
        <v>23210</v>
      </c>
      <c r="BF1417" t="s">
        <v>23211</v>
      </c>
      <c r="BI1417">
        <v>9</v>
      </c>
      <c r="BJ1417" t="s">
        <v>3202</v>
      </c>
      <c r="BK1417" t="s">
        <v>96</v>
      </c>
      <c r="BL1417" t="s">
        <v>3203</v>
      </c>
      <c r="BM1417" t="s">
        <v>23212</v>
      </c>
      <c r="BN1417">
        <v>32083201</v>
      </c>
      <c r="BO1417" t="s">
        <v>2155</v>
      </c>
      <c r="BR1417" t="s">
        <v>98</v>
      </c>
      <c r="BS1417" t="s">
        <v>23213</v>
      </c>
      <c r="BT1417" t="s">
        <v>16602</v>
      </c>
    </row>
    <row r="1418" spans="1:72">
      <c r="A1418" t="s">
        <v>72</v>
      </c>
      <c r="B1418" t="s">
        <v>23214</v>
      </c>
      <c r="F1418" t="s">
        <v>23215</v>
      </c>
      <c r="I1418" t="s">
        <v>23216</v>
      </c>
      <c r="J1418" t="s">
        <v>595</v>
      </c>
      <c r="M1418" t="s">
        <v>78</v>
      </c>
      <c r="N1418" t="s">
        <v>79</v>
      </c>
      <c r="T1418" t="s">
        <v>23217</v>
      </c>
      <c r="U1418" t="s">
        <v>23218</v>
      </c>
      <c r="V1418" t="s">
        <v>23219</v>
      </c>
      <c r="W1418" t="s">
        <v>23220</v>
      </c>
      <c r="X1418" t="s">
        <v>23221</v>
      </c>
      <c r="Y1418" t="s">
        <v>23222</v>
      </c>
      <c r="Z1418" t="s">
        <v>23223</v>
      </c>
      <c r="AB1418" t="s">
        <v>23224</v>
      </c>
      <c r="AC1418" t="s">
        <v>23225</v>
      </c>
      <c r="AD1418" t="s">
        <v>23226</v>
      </c>
      <c r="AE1418" t="s">
        <v>23227</v>
      </c>
      <c r="AG1418">
        <v>59</v>
      </c>
      <c r="AH1418">
        <v>24</v>
      </c>
      <c r="AI1418">
        <v>26</v>
      </c>
      <c r="AJ1418">
        <v>1</v>
      </c>
      <c r="AK1418">
        <v>24</v>
      </c>
      <c r="AL1418" t="s">
        <v>112</v>
      </c>
      <c r="AM1418" t="s">
        <v>191</v>
      </c>
      <c r="AN1418" t="s">
        <v>192</v>
      </c>
      <c r="AO1418" t="s">
        <v>608</v>
      </c>
      <c r="AP1418" t="s">
        <v>609</v>
      </c>
      <c r="AR1418" t="s">
        <v>595</v>
      </c>
      <c r="AS1418" t="s">
        <v>610</v>
      </c>
      <c r="AT1418" t="s">
        <v>119</v>
      </c>
      <c r="AU1418">
        <v>2011</v>
      </c>
      <c r="AV1418">
        <v>20</v>
      </c>
      <c r="AW1418">
        <v>6</v>
      </c>
      <c r="BB1418">
        <v>1341</v>
      </c>
      <c r="BC1418">
        <v>1353</v>
      </c>
      <c r="BE1418" t="s">
        <v>23228</v>
      </c>
      <c r="BF1418" t="s">
        <v>23229</v>
      </c>
      <c r="BI1418">
        <v>13</v>
      </c>
      <c r="BJ1418" t="s">
        <v>612</v>
      </c>
      <c r="BK1418" t="s">
        <v>96</v>
      </c>
      <c r="BL1418" t="s">
        <v>122</v>
      </c>
      <c r="BM1418" t="s">
        <v>23230</v>
      </c>
      <c r="BN1418">
        <v>21544557</v>
      </c>
      <c r="BO1418" t="s">
        <v>1752</v>
      </c>
      <c r="BR1418" t="s">
        <v>98</v>
      </c>
      <c r="BS1418" t="s">
        <v>23231</v>
      </c>
      <c r="BT1418" t="s">
        <v>16602</v>
      </c>
    </row>
    <row r="1419" spans="1:72">
      <c r="A1419" t="s">
        <v>72</v>
      </c>
      <c r="B1419" t="s">
        <v>23232</v>
      </c>
      <c r="F1419" t="s">
        <v>23233</v>
      </c>
      <c r="I1419" t="s">
        <v>23234</v>
      </c>
      <c r="J1419" t="s">
        <v>909</v>
      </c>
      <c r="M1419" t="s">
        <v>78</v>
      </c>
      <c r="N1419" t="s">
        <v>79</v>
      </c>
      <c r="T1419" t="s">
        <v>23235</v>
      </c>
      <c r="U1419" t="s">
        <v>23236</v>
      </c>
      <c r="V1419" t="s">
        <v>23237</v>
      </c>
      <c r="W1419" t="s">
        <v>23238</v>
      </c>
      <c r="X1419" t="s">
        <v>23239</v>
      </c>
      <c r="Y1419" t="s">
        <v>23240</v>
      </c>
      <c r="Z1419" t="s">
        <v>23241</v>
      </c>
      <c r="AA1419" t="s">
        <v>23242</v>
      </c>
      <c r="AG1419">
        <v>54</v>
      </c>
      <c r="AH1419">
        <v>29</v>
      </c>
      <c r="AI1419">
        <v>32</v>
      </c>
      <c r="AJ1419">
        <v>1</v>
      </c>
      <c r="AK1419">
        <v>38</v>
      </c>
      <c r="AL1419" t="s">
        <v>650</v>
      </c>
      <c r="AM1419" t="s">
        <v>651</v>
      </c>
      <c r="AN1419" t="s">
        <v>652</v>
      </c>
      <c r="AO1419" t="s">
        <v>921</v>
      </c>
      <c r="AP1419" t="s">
        <v>922</v>
      </c>
      <c r="AR1419" t="s">
        <v>923</v>
      </c>
      <c r="AS1419" t="s">
        <v>924</v>
      </c>
      <c r="AT1419" t="s">
        <v>7041</v>
      </c>
      <c r="AU1419">
        <v>2007</v>
      </c>
      <c r="AV1419">
        <v>373</v>
      </c>
      <c r="AW1419" t="s">
        <v>1723</v>
      </c>
      <c r="BB1419">
        <v>464</v>
      </c>
      <c r="BC1419">
        <v>472</v>
      </c>
      <c r="BE1419" t="s">
        <v>23243</v>
      </c>
      <c r="BF1419" t="s">
        <v>23244</v>
      </c>
      <c r="BI1419">
        <v>9</v>
      </c>
      <c r="BJ1419" t="s">
        <v>144</v>
      </c>
      <c r="BK1419" t="s">
        <v>96</v>
      </c>
      <c r="BL1419" t="s">
        <v>145</v>
      </c>
      <c r="BM1419" t="s">
        <v>23245</v>
      </c>
      <c r="BN1419">
        <v>17229454</v>
      </c>
      <c r="BR1419" t="s">
        <v>98</v>
      </c>
      <c r="BS1419" t="s">
        <v>23246</v>
      </c>
      <c r="BT1419" t="s">
        <v>16602</v>
      </c>
    </row>
    <row r="1420" spans="1:72">
      <c r="A1420" t="s">
        <v>72</v>
      </c>
      <c r="B1420" t="s">
        <v>23247</v>
      </c>
      <c r="F1420" t="s">
        <v>23247</v>
      </c>
      <c r="I1420" t="s">
        <v>23248</v>
      </c>
      <c r="J1420" t="s">
        <v>2894</v>
      </c>
      <c r="M1420" t="s">
        <v>78</v>
      </c>
      <c r="N1420" t="s">
        <v>79</v>
      </c>
      <c r="T1420" t="s">
        <v>23249</v>
      </c>
      <c r="U1420" t="s">
        <v>23250</v>
      </c>
      <c r="V1420" t="s">
        <v>23251</v>
      </c>
      <c r="W1420" t="s">
        <v>23252</v>
      </c>
      <c r="X1420" t="s">
        <v>23253</v>
      </c>
      <c r="Y1420" t="s">
        <v>23254</v>
      </c>
      <c r="Z1420" t="s">
        <v>23255</v>
      </c>
      <c r="AA1420" t="s">
        <v>15981</v>
      </c>
      <c r="AB1420" t="s">
        <v>23256</v>
      </c>
      <c r="AG1420">
        <v>61</v>
      </c>
      <c r="AH1420">
        <v>39</v>
      </c>
      <c r="AI1420">
        <v>47</v>
      </c>
      <c r="AJ1420">
        <v>0</v>
      </c>
      <c r="AK1420">
        <v>11</v>
      </c>
      <c r="AL1420" t="s">
        <v>2904</v>
      </c>
      <c r="AM1420" t="s">
        <v>2905</v>
      </c>
      <c r="AN1420" t="s">
        <v>2906</v>
      </c>
      <c r="AO1420" t="s">
        <v>2907</v>
      </c>
      <c r="AP1420" t="s">
        <v>5406</v>
      </c>
      <c r="AR1420" t="s">
        <v>2908</v>
      </c>
      <c r="AS1420" t="s">
        <v>2909</v>
      </c>
      <c r="AU1420">
        <v>2001</v>
      </c>
      <c r="AV1420">
        <v>221</v>
      </c>
      <c r="BB1420">
        <v>145</v>
      </c>
      <c r="BC1420">
        <v>159</v>
      </c>
      <c r="BE1420" t="s">
        <v>23257</v>
      </c>
      <c r="BF1420" t="s">
        <v>23258</v>
      </c>
      <c r="BI1420">
        <v>15</v>
      </c>
      <c r="BJ1420" t="s">
        <v>2911</v>
      </c>
      <c r="BK1420" t="s">
        <v>96</v>
      </c>
      <c r="BL1420" t="s">
        <v>2912</v>
      </c>
      <c r="BM1420" t="s">
        <v>23259</v>
      </c>
      <c r="BO1420" t="s">
        <v>370</v>
      </c>
      <c r="BR1420" t="s">
        <v>98</v>
      </c>
      <c r="BS1420" t="s">
        <v>23260</v>
      </c>
      <c r="BT1420" t="s">
        <v>16602</v>
      </c>
    </row>
    <row r="1421" spans="1:72">
      <c r="A1421" t="s">
        <v>72</v>
      </c>
      <c r="B1421" t="s">
        <v>23261</v>
      </c>
      <c r="F1421" t="s">
        <v>23261</v>
      </c>
      <c r="I1421" t="s">
        <v>23262</v>
      </c>
      <c r="J1421" t="s">
        <v>20413</v>
      </c>
      <c r="M1421" t="s">
        <v>78</v>
      </c>
      <c r="N1421" t="s">
        <v>79</v>
      </c>
      <c r="V1421" t="s">
        <v>23263</v>
      </c>
      <c r="W1421" t="s">
        <v>23264</v>
      </c>
      <c r="X1421" t="s">
        <v>23265</v>
      </c>
      <c r="AG1421">
        <v>39</v>
      </c>
      <c r="AH1421">
        <v>48</v>
      </c>
      <c r="AI1421">
        <v>55</v>
      </c>
      <c r="AJ1421">
        <v>0</v>
      </c>
      <c r="AK1421">
        <v>12</v>
      </c>
      <c r="AL1421" t="s">
        <v>430</v>
      </c>
      <c r="AM1421" t="s">
        <v>7361</v>
      </c>
      <c r="AN1421" t="s">
        <v>7362</v>
      </c>
      <c r="AO1421" t="s">
        <v>20418</v>
      </c>
      <c r="AR1421" t="s">
        <v>20419</v>
      </c>
      <c r="AU1421">
        <v>1986</v>
      </c>
      <c r="AV1421">
        <v>40</v>
      </c>
      <c r="AW1421">
        <v>3</v>
      </c>
      <c r="BB1421">
        <v>233</v>
      </c>
      <c r="BC1421">
        <v>247</v>
      </c>
      <c r="BE1421" t="s">
        <v>23266</v>
      </c>
      <c r="BF1421" t="s">
        <v>23267</v>
      </c>
      <c r="BI1421">
        <v>15</v>
      </c>
      <c r="BJ1421" t="s">
        <v>1249</v>
      </c>
      <c r="BK1421" t="s">
        <v>96</v>
      </c>
      <c r="BL1421" t="s">
        <v>145</v>
      </c>
      <c r="BM1421" t="s">
        <v>23268</v>
      </c>
      <c r="BR1421" t="s">
        <v>98</v>
      </c>
      <c r="BS1421" t="s">
        <v>23269</v>
      </c>
      <c r="BT1421" t="s">
        <v>16602</v>
      </c>
    </row>
    <row r="1422" spans="1:72">
      <c r="A1422" t="s">
        <v>72</v>
      </c>
      <c r="B1422" t="s">
        <v>23270</v>
      </c>
      <c r="F1422" t="s">
        <v>23271</v>
      </c>
      <c r="I1422" t="s">
        <v>23272</v>
      </c>
      <c r="J1422" t="s">
        <v>704</v>
      </c>
      <c r="M1422" t="s">
        <v>78</v>
      </c>
      <c r="N1422" t="s">
        <v>79</v>
      </c>
      <c r="T1422" t="s">
        <v>23273</v>
      </c>
      <c r="U1422" t="s">
        <v>23274</v>
      </c>
      <c r="V1422" t="s">
        <v>23275</v>
      </c>
      <c r="W1422" t="s">
        <v>23276</v>
      </c>
      <c r="X1422" t="s">
        <v>23277</v>
      </c>
      <c r="Y1422" t="s">
        <v>23278</v>
      </c>
      <c r="Z1422" t="s">
        <v>23279</v>
      </c>
      <c r="AA1422" t="s">
        <v>23280</v>
      </c>
      <c r="AC1422" t="s">
        <v>23281</v>
      </c>
      <c r="AD1422" t="s">
        <v>23281</v>
      </c>
      <c r="AE1422" t="s">
        <v>23282</v>
      </c>
      <c r="AG1422">
        <v>25</v>
      </c>
      <c r="AH1422">
        <v>6</v>
      </c>
      <c r="AI1422">
        <v>6</v>
      </c>
      <c r="AJ1422">
        <v>1</v>
      </c>
      <c r="AK1422">
        <v>23</v>
      </c>
      <c r="AL1422" t="s">
        <v>4010</v>
      </c>
      <c r="AM1422" t="s">
        <v>1167</v>
      </c>
      <c r="AN1422" t="s">
        <v>1168</v>
      </c>
      <c r="AO1422" t="s">
        <v>718</v>
      </c>
      <c r="AP1422" t="s">
        <v>1169</v>
      </c>
      <c r="AR1422" t="s">
        <v>719</v>
      </c>
      <c r="AS1422" t="s">
        <v>720</v>
      </c>
      <c r="AT1422" t="s">
        <v>20087</v>
      </c>
      <c r="AU1422">
        <v>2020</v>
      </c>
      <c r="AV1422">
        <v>231</v>
      </c>
      <c r="AW1422">
        <v>7</v>
      </c>
      <c r="BD1422">
        <v>341</v>
      </c>
      <c r="BE1422" t="s">
        <v>23283</v>
      </c>
      <c r="BF1422" t="s">
        <v>23284</v>
      </c>
      <c r="BI1422">
        <v>10</v>
      </c>
      <c r="BJ1422" t="s">
        <v>722</v>
      </c>
      <c r="BK1422" t="s">
        <v>96</v>
      </c>
      <c r="BL1422" t="s">
        <v>723</v>
      </c>
      <c r="BM1422" t="s">
        <v>23285</v>
      </c>
      <c r="BR1422" t="s">
        <v>98</v>
      </c>
      <c r="BS1422" t="s">
        <v>23286</v>
      </c>
      <c r="BT1422" t="s">
        <v>16602</v>
      </c>
    </row>
    <row r="1423" spans="1:72">
      <c r="A1423" t="s">
        <v>72</v>
      </c>
      <c r="B1423" t="s">
        <v>23287</v>
      </c>
      <c r="F1423" t="s">
        <v>23288</v>
      </c>
      <c r="I1423" t="s">
        <v>23289</v>
      </c>
      <c r="J1423" t="s">
        <v>18842</v>
      </c>
      <c r="M1423" t="s">
        <v>78</v>
      </c>
      <c r="N1423" t="s">
        <v>79</v>
      </c>
      <c r="T1423" t="s">
        <v>23290</v>
      </c>
      <c r="U1423" t="s">
        <v>23291</v>
      </c>
      <c r="V1423" t="s">
        <v>23292</v>
      </c>
      <c r="W1423" t="s">
        <v>23293</v>
      </c>
      <c r="X1423" t="s">
        <v>23294</v>
      </c>
      <c r="Y1423" t="s">
        <v>23295</v>
      </c>
      <c r="Z1423" t="s">
        <v>23296</v>
      </c>
      <c r="AA1423" t="s">
        <v>23297</v>
      </c>
      <c r="AB1423" t="s">
        <v>23298</v>
      </c>
      <c r="AC1423" t="s">
        <v>23299</v>
      </c>
      <c r="AD1423" t="s">
        <v>23300</v>
      </c>
      <c r="AE1423" t="s">
        <v>23301</v>
      </c>
      <c r="AG1423">
        <v>69</v>
      </c>
      <c r="AH1423">
        <v>620</v>
      </c>
      <c r="AI1423">
        <v>662</v>
      </c>
      <c r="AJ1423">
        <v>45</v>
      </c>
      <c r="AK1423">
        <v>2008</v>
      </c>
      <c r="AL1423" t="s">
        <v>4471</v>
      </c>
      <c r="AM1423" t="s">
        <v>4472</v>
      </c>
      <c r="AN1423" t="s">
        <v>4473</v>
      </c>
      <c r="AO1423" t="s">
        <v>18855</v>
      </c>
      <c r="AP1423" t="s">
        <v>18856</v>
      </c>
      <c r="AR1423" t="s">
        <v>18857</v>
      </c>
      <c r="AS1423" t="s">
        <v>18858</v>
      </c>
      <c r="AT1423" t="s">
        <v>23302</v>
      </c>
      <c r="AU1423">
        <v>2013</v>
      </c>
      <c r="AV1423">
        <v>5</v>
      </c>
      <c r="AW1423">
        <v>2</v>
      </c>
      <c r="BB1423">
        <v>425</v>
      </c>
      <c r="BC1423">
        <v>432</v>
      </c>
      <c r="BE1423" t="s">
        <v>23303</v>
      </c>
      <c r="BF1423" t="s">
        <v>23304</v>
      </c>
      <c r="BI1423">
        <v>8</v>
      </c>
      <c r="BJ1423" t="s">
        <v>18862</v>
      </c>
      <c r="BK1423" t="s">
        <v>96</v>
      </c>
      <c r="BL1423" t="s">
        <v>18863</v>
      </c>
      <c r="BM1423" t="s">
        <v>23305</v>
      </c>
      <c r="BN1423">
        <v>23265565</v>
      </c>
      <c r="BR1423" t="s">
        <v>98</v>
      </c>
      <c r="BS1423" t="s">
        <v>23306</v>
      </c>
      <c r="BT1423" t="s">
        <v>16602</v>
      </c>
    </row>
    <row r="1424" spans="1:72">
      <c r="A1424" t="s">
        <v>72</v>
      </c>
      <c r="B1424" t="s">
        <v>23307</v>
      </c>
      <c r="F1424" t="s">
        <v>23308</v>
      </c>
      <c r="I1424" t="s">
        <v>23309</v>
      </c>
      <c r="J1424" t="s">
        <v>6630</v>
      </c>
      <c r="M1424" t="s">
        <v>78</v>
      </c>
      <c r="N1424" t="s">
        <v>79</v>
      </c>
      <c r="U1424" t="s">
        <v>23310</v>
      </c>
      <c r="V1424" t="s">
        <v>23311</v>
      </c>
      <c r="W1424" t="s">
        <v>23312</v>
      </c>
      <c r="X1424" t="s">
        <v>4838</v>
      </c>
      <c r="Y1424" t="s">
        <v>23313</v>
      </c>
      <c r="Z1424" t="s">
        <v>23314</v>
      </c>
      <c r="AA1424" t="s">
        <v>23315</v>
      </c>
      <c r="AB1424" t="s">
        <v>23316</v>
      </c>
      <c r="AC1424" t="s">
        <v>23317</v>
      </c>
      <c r="AD1424" t="s">
        <v>23318</v>
      </c>
      <c r="AE1424" t="s">
        <v>23319</v>
      </c>
      <c r="AG1424">
        <v>68</v>
      </c>
      <c r="AH1424">
        <v>19</v>
      </c>
      <c r="AI1424">
        <v>19</v>
      </c>
      <c r="AJ1424">
        <v>0</v>
      </c>
      <c r="AK1424">
        <v>19</v>
      </c>
      <c r="AL1424" t="s">
        <v>408</v>
      </c>
      <c r="AM1424" t="s">
        <v>409</v>
      </c>
      <c r="AN1424" t="s">
        <v>1188</v>
      </c>
      <c r="AO1424" t="s">
        <v>6642</v>
      </c>
      <c r="AP1424" t="s">
        <v>6643</v>
      </c>
      <c r="AR1424" t="s">
        <v>6644</v>
      </c>
      <c r="AS1424" t="s">
        <v>6645</v>
      </c>
      <c r="AT1424" t="s">
        <v>21883</v>
      </c>
      <c r="AU1424">
        <v>2014</v>
      </c>
      <c r="AV1424">
        <v>77</v>
      </c>
      <c r="AW1424">
        <v>5</v>
      </c>
      <c r="BB1424">
        <v>246</v>
      </c>
      <c r="BC1424">
        <v>260</v>
      </c>
      <c r="BE1424" t="s">
        <v>23320</v>
      </c>
      <c r="BF1424" t="s">
        <v>23321</v>
      </c>
      <c r="BI1424">
        <v>15</v>
      </c>
      <c r="BJ1424" t="s">
        <v>5162</v>
      </c>
      <c r="BK1424" t="s">
        <v>96</v>
      </c>
      <c r="BL1424" t="s">
        <v>5163</v>
      </c>
      <c r="BM1424" t="s">
        <v>23322</v>
      </c>
      <c r="BN1424">
        <v>24588225</v>
      </c>
      <c r="BR1424" t="s">
        <v>98</v>
      </c>
      <c r="BS1424" t="s">
        <v>23323</v>
      </c>
      <c r="BT1424" t="s">
        <v>16602</v>
      </c>
    </row>
    <row r="1425" spans="1:72">
      <c r="A1425" t="s">
        <v>72</v>
      </c>
      <c r="B1425" t="s">
        <v>23324</v>
      </c>
      <c r="F1425" t="s">
        <v>23325</v>
      </c>
      <c r="I1425" t="s">
        <v>23326</v>
      </c>
      <c r="J1425" t="s">
        <v>495</v>
      </c>
      <c r="M1425" t="s">
        <v>78</v>
      </c>
      <c r="N1425" t="s">
        <v>79</v>
      </c>
      <c r="T1425" t="s">
        <v>23327</v>
      </c>
      <c r="U1425" t="s">
        <v>23328</v>
      </c>
      <c r="V1425" t="s">
        <v>23329</v>
      </c>
      <c r="W1425" t="s">
        <v>23330</v>
      </c>
      <c r="X1425" t="s">
        <v>23331</v>
      </c>
      <c r="Y1425" t="s">
        <v>23332</v>
      </c>
      <c r="Z1425" t="s">
        <v>23333</v>
      </c>
      <c r="AB1425" t="s">
        <v>23334</v>
      </c>
      <c r="AG1425">
        <v>38</v>
      </c>
      <c r="AH1425">
        <v>8</v>
      </c>
      <c r="AI1425">
        <v>9</v>
      </c>
      <c r="AJ1425">
        <v>0</v>
      </c>
      <c r="AK1425">
        <v>11</v>
      </c>
      <c r="AL1425" t="s">
        <v>1030</v>
      </c>
      <c r="AM1425" t="s">
        <v>1031</v>
      </c>
      <c r="AN1425" t="s">
        <v>1032</v>
      </c>
      <c r="AO1425" t="s">
        <v>507</v>
      </c>
      <c r="AR1425" t="s">
        <v>508</v>
      </c>
      <c r="AS1425" t="s">
        <v>509</v>
      </c>
      <c r="AU1425">
        <v>2008</v>
      </c>
      <c r="AV1425">
        <v>17</v>
      </c>
      <c r="AW1425">
        <v>2</v>
      </c>
      <c r="BB1425">
        <v>131</v>
      </c>
      <c r="BC1425">
        <v>141</v>
      </c>
      <c r="BI1425">
        <v>11</v>
      </c>
      <c r="BJ1425" t="s">
        <v>144</v>
      </c>
      <c r="BK1425" t="s">
        <v>96</v>
      </c>
      <c r="BL1425" t="s">
        <v>145</v>
      </c>
      <c r="BM1425" t="s">
        <v>23335</v>
      </c>
      <c r="BR1425" t="s">
        <v>98</v>
      </c>
      <c r="BS1425" t="s">
        <v>23336</v>
      </c>
      <c r="BT1425" t="s">
        <v>16602</v>
      </c>
    </row>
    <row r="1426" spans="1:72">
      <c r="A1426" t="s">
        <v>72</v>
      </c>
      <c r="B1426" t="s">
        <v>23337</v>
      </c>
      <c r="F1426" t="s">
        <v>23337</v>
      </c>
      <c r="I1426" t="s">
        <v>23338</v>
      </c>
      <c r="J1426" t="s">
        <v>2894</v>
      </c>
      <c r="M1426" t="s">
        <v>78</v>
      </c>
      <c r="N1426" t="s">
        <v>79</v>
      </c>
      <c r="V1426" t="s">
        <v>23339</v>
      </c>
      <c r="Y1426" t="s">
        <v>23340</v>
      </c>
      <c r="AG1426">
        <v>21</v>
      </c>
      <c r="AH1426">
        <v>10</v>
      </c>
      <c r="AI1426">
        <v>10</v>
      </c>
      <c r="AJ1426">
        <v>0</v>
      </c>
      <c r="AK1426">
        <v>0</v>
      </c>
      <c r="AL1426" t="s">
        <v>2904</v>
      </c>
      <c r="AM1426" t="s">
        <v>2905</v>
      </c>
      <c r="AN1426" t="s">
        <v>2906</v>
      </c>
      <c r="AO1426" t="s">
        <v>2907</v>
      </c>
      <c r="AP1426" t="s">
        <v>5406</v>
      </c>
      <c r="AR1426" t="s">
        <v>2908</v>
      </c>
      <c r="AS1426" t="s">
        <v>2909</v>
      </c>
      <c r="AU1426">
        <v>1983</v>
      </c>
      <c r="AV1426">
        <v>12</v>
      </c>
      <c r="AW1426">
        <v>2</v>
      </c>
      <c r="BB1426">
        <v>167</v>
      </c>
      <c r="BC1426">
        <v>173</v>
      </c>
      <c r="BE1426" t="s">
        <v>23341</v>
      </c>
      <c r="BF1426" t="s">
        <v>23342</v>
      </c>
      <c r="BI1426">
        <v>7</v>
      </c>
      <c r="BJ1426" t="s">
        <v>2911</v>
      </c>
      <c r="BK1426" t="s">
        <v>96</v>
      </c>
      <c r="BL1426" t="s">
        <v>2912</v>
      </c>
      <c r="BM1426" t="s">
        <v>23343</v>
      </c>
      <c r="BO1426" t="s">
        <v>370</v>
      </c>
      <c r="BR1426" t="s">
        <v>98</v>
      </c>
      <c r="BS1426" t="s">
        <v>23344</v>
      </c>
      <c r="BT1426" t="s">
        <v>16602</v>
      </c>
    </row>
    <row r="1427" spans="1:72">
      <c r="A1427" t="s">
        <v>72</v>
      </c>
      <c r="B1427" t="s">
        <v>23345</v>
      </c>
      <c r="F1427" t="s">
        <v>23346</v>
      </c>
      <c r="I1427" t="s">
        <v>23347</v>
      </c>
      <c r="J1427" t="s">
        <v>23348</v>
      </c>
      <c r="M1427" t="s">
        <v>78</v>
      </c>
      <c r="N1427" t="s">
        <v>79</v>
      </c>
      <c r="T1427" t="s">
        <v>23349</v>
      </c>
      <c r="U1427" t="s">
        <v>23350</v>
      </c>
      <c r="V1427" t="s">
        <v>23351</v>
      </c>
      <c r="W1427" t="s">
        <v>23352</v>
      </c>
      <c r="X1427" t="s">
        <v>23353</v>
      </c>
      <c r="Y1427" t="s">
        <v>23354</v>
      </c>
      <c r="Z1427" t="s">
        <v>17770</v>
      </c>
      <c r="AA1427" t="s">
        <v>23355</v>
      </c>
      <c r="AB1427" t="s">
        <v>23356</v>
      </c>
      <c r="AC1427" t="s">
        <v>23357</v>
      </c>
      <c r="AD1427" t="s">
        <v>23358</v>
      </c>
      <c r="AE1427" t="s">
        <v>23359</v>
      </c>
      <c r="AG1427">
        <v>95</v>
      </c>
      <c r="AH1427">
        <v>1</v>
      </c>
      <c r="AI1427">
        <v>1</v>
      </c>
      <c r="AJ1427">
        <v>4</v>
      </c>
      <c r="AK1427">
        <v>16</v>
      </c>
      <c r="AL1427" t="s">
        <v>2074</v>
      </c>
      <c r="AM1427" t="s">
        <v>2075</v>
      </c>
      <c r="AN1427" t="s">
        <v>2076</v>
      </c>
      <c r="AO1427" t="s">
        <v>23360</v>
      </c>
      <c r="AP1427" t="s">
        <v>23361</v>
      </c>
      <c r="AR1427" t="s">
        <v>23362</v>
      </c>
      <c r="AS1427" t="s">
        <v>23363</v>
      </c>
      <c r="AT1427" t="s">
        <v>23364</v>
      </c>
      <c r="AU1427">
        <v>2022</v>
      </c>
      <c r="AV1427">
        <v>98</v>
      </c>
      <c r="AW1427">
        <v>6</v>
      </c>
      <c r="AZ1427" t="s">
        <v>225</v>
      </c>
      <c r="BB1427">
        <v>1106</v>
      </c>
      <c r="BC1427">
        <v>1119</v>
      </c>
      <c r="BE1427" t="s">
        <v>23365</v>
      </c>
      <c r="BF1427" t="s">
        <v>23366</v>
      </c>
      <c r="BH1427" t="s">
        <v>13798</v>
      </c>
      <c r="BI1427">
        <v>14</v>
      </c>
      <c r="BJ1427" t="s">
        <v>23367</v>
      </c>
      <c r="BK1427" t="s">
        <v>96</v>
      </c>
      <c r="BL1427" t="s">
        <v>23368</v>
      </c>
      <c r="BM1427" t="s">
        <v>23369</v>
      </c>
      <c r="BN1427">
        <v>32970511</v>
      </c>
      <c r="BO1427" t="s">
        <v>810</v>
      </c>
      <c r="BR1427" t="s">
        <v>98</v>
      </c>
      <c r="BS1427" t="s">
        <v>23370</v>
      </c>
      <c r="BT1427" t="s">
        <v>16602</v>
      </c>
    </row>
    <row r="1428" spans="1:72">
      <c r="A1428" t="s">
        <v>72</v>
      </c>
      <c r="B1428" t="s">
        <v>23371</v>
      </c>
      <c r="F1428" t="s">
        <v>23371</v>
      </c>
      <c r="I1428" t="s">
        <v>23372</v>
      </c>
      <c r="J1428" t="s">
        <v>909</v>
      </c>
      <c r="M1428" t="s">
        <v>78</v>
      </c>
      <c r="N1428" t="s">
        <v>151</v>
      </c>
      <c r="O1428" t="s">
        <v>23373</v>
      </c>
      <c r="P1428" t="s">
        <v>23374</v>
      </c>
      <c r="Q1428" t="s">
        <v>23375</v>
      </c>
      <c r="T1428" t="s">
        <v>23376</v>
      </c>
      <c r="U1428" t="s">
        <v>23377</v>
      </c>
      <c r="V1428" t="s">
        <v>23378</v>
      </c>
      <c r="W1428" t="s">
        <v>23379</v>
      </c>
      <c r="X1428" t="s">
        <v>23380</v>
      </c>
      <c r="Y1428" t="s">
        <v>23381</v>
      </c>
      <c r="AG1428">
        <v>12</v>
      </c>
      <c r="AH1428">
        <v>29</v>
      </c>
      <c r="AI1428">
        <v>31</v>
      </c>
      <c r="AJ1428">
        <v>0</v>
      </c>
      <c r="AK1428">
        <v>10</v>
      </c>
      <c r="AL1428" t="s">
        <v>919</v>
      </c>
      <c r="AM1428" t="s">
        <v>651</v>
      </c>
      <c r="AN1428" t="s">
        <v>920</v>
      </c>
      <c r="AO1428" t="s">
        <v>921</v>
      </c>
      <c r="AR1428" t="s">
        <v>923</v>
      </c>
      <c r="AS1428" t="s">
        <v>924</v>
      </c>
      <c r="AT1428" t="s">
        <v>23382</v>
      </c>
      <c r="AU1428">
        <v>1995</v>
      </c>
      <c r="AV1428">
        <v>171</v>
      </c>
      <c r="AW1428" t="s">
        <v>2847</v>
      </c>
      <c r="BB1428">
        <v>121</v>
      </c>
      <c r="BC1428">
        <v>125</v>
      </c>
      <c r="BE1428" t="s">
        <v>23383</v>
      </c>
      <c r="BF1428" t="s">
        <v>23384</v>
      </c>
      <c r="BI1428">
        <v>5</v>
      </c>
      <c r="BJ1428" t="s">
        <v>144</v>
      </c>
      <c r="BK1428" t="s">
        <v>588</v>
      </c>
      <c r="BL1428" t="s">
        <v>145</v>
      </c>
      <c r="BM1428" t="s">
        <v>23385</v>
      </c>
      <c r="BR1428" t="s">
        <v>98</v>
      </c>
      <c r="BS1428" t="s">
        <v>23386</v>
      </c>
      <c r="BT1428" t="s">
        <v>16602</v>
      </c>
    </row>
    <row r="1429" spans="1:72">
      <c r="A1429" t="s">
        <v>72</v>
      </c>
      <c r="B1429" t="s">
        <v>23387</v>
      </c>
      <c r="F1429" t="s">
        <v>23387</v>
      </c>
      <c r="I1429" t="s">
        <v>23388</v>
      </c>
      <c r="J1429" t="s">
        <v>495</v>
      </c>
      <c r="M1429" t="s">
        <v>78</v>
      </c>
      <c r="N1429" t="s">
        <v>79</v>
      </c>
      <c r="T1429" t="s">
        <v>23389</v>
      </c>
      <c r="U1429" t="s">
        <v>23390</v>
      </c>
      <c r="V1429" t="s">
        <v>23391</v>
      </c>
      <c r="W1429" t="s">
        <v>23392</v>
      </c>
      <c r="X1429" t="s">
        <v>23393</v>
      </c>
      <c r="Y1429" t="s">
        <v>23394</v>
      </c>
      <c r="AG1429">
        <v>22</v>
      </c>
      <c r="AH1429">
        <v>4</v>
      </c>
      <c r="AI1429">
        <v>4</v>
      </c>
      <c r="AJ1429">
        <v>0</v>
      </c>
      <c r="AK1429">
        <v>4</v>
      </c>
      <c r="AL1429" t="s">
        <v>504</v>
      </c>
      <c r="AM1429" t="s">
        <v>505</v>
      </c>
      <c r="AN1429" t="s">
        <v>506</v>
      </c>
      <c r="AO1429" t="s">
        <v>507</v>
      </c>
      <c r="AR1429" t="s">
        <v>508</v>
      </c>
      <c r="AS1429" t="s">
        <v>509</v>
      </c>
      <c r="AT1429" t="s">
        <v>510</v>
      </c>
      <c r="AU1429">
        <v>1998</v>
      </c>
      <c r="AV1429">
        <v>7</v>
      </c>
      <c r="AW1429" t="s">
        <v>23395</v>
      </c>
      <c r="AZ1429" t="s">
        <v>225</v>
      </c>
      <c r="BB1429">
        <v>60</v>
      </c>
      <c r="BC1429">
        <v>70</v>
      </c>
      <c r="BI1429">
        <v>11</v>
      </c>
      <c r="BJ1429" t="s">
        <v>144</v>
      </c>
      <c r="BK1429" t="s">
        <v>96</v>
      </c>
      <c r="BL1429" t="s">
        <v>145</v>
      </c>
      <c r="BM1429" t="s">
        <v>23396</v>
      </c>
      <c r="BR1429" t="s">
        <v>98</v>
      </c>
      <c r="BS1429" t="s">
        <v>23397</v>
      </c>
      <c r="BT1429" t="s">
        <v>16602</v>
      </c>
    </row>
    <row r="1430" spans="1:72">
      <c r="A1430" t="s">
        <v>72</v>
      </c>
      <c r="B1430" t="s">
        <v>23398</v>
      </c>
      <c r="F1430" t="s">
        <v>23399</v>
      </c>
      <c r="I1430" t="s">
        <v>23400</v>
      </c>
      <c r="J1430" t="s">
        <v>232</v>
      </c>
      <c r="M1430" t="s">
        <v>78</v>
      </c>
      <c r="N1430" t="s">
        <v>79</v>
      </c>
      <c r="T1430" t="s">
        <v>23401</v>
      </c>
      <c r="U1430" t="s">
        <v>23402</v>
      </c>
      <c r="V1430" t="s">
        <v>23403</v>
      </c>
      <c r="W1430" t="s">
        <v>23404</v>
      </c>
      <c r="X1430" t="s">
        <v>23405</v>
      </c>
      <c r="Y1430" t="s">
        <v>23406</v>
      </c>
      <c r="Z1430" t="s">
        <v>23407</v>
      </c>
      <c r="AA1430" t="s">
        <v>23408</v>
      </c>
      <c r="AB1430" t="s">
        <v>23409</v>
      </c>
      <c r="AC1430" t="s">
        <v>23410</v>
      </c>
      <c r="AD1430" t="s">
        <v>23411</v>
      </c>
      <c r="AE1430" t="s">
        <v>23412</v>
      </c>
      <c r="AG1430">
        <v>31</v>
      </c>
      <c r="AH1430">
        <v>1</v>
      </c>
      <c r="AI1430">
        <v>1</v>
      </c>
      <c r="AJ1430">
        <v>0</v>
      </c>
      <c r="AK1430">
        <v>22</v>
      </c>
      <c r="AL1430" t="s">
        <v>136</v>
      </c>
      <c r="AM1430" t="s">
        <v>137</v>
      </c>
      <c r="AN1430" t="s">
        <v>138</v>
      </c>
      <c r="AO1430" t="s">
        <v>240</v>
      </c>
      <c r="AP1430" t="s">
        <v>241</v>
      </c>
      <c r="AR1430" t="s">
        <v>242</v>
      </c>
      <c r="AS1430" t="s">
        <v>243</v>
      </c>
      <c r="AT1430" t="s">
        <v>7041</v>
      </c>
      <c r="AU1430">
        <v>2017</v>
      </c>
      <c r="AV1430">
        <v>115</v>
      </c>
      <c r="AW1430" t="s">
        <v>326</v>
      </c>
      <c r="BB1430">
        <v>362</v>
      </c>
      <c r="BC1430">
        <v>368</v>
      </c>
      <c r="BE1430" t="s">
        <v>23413</v>
      </c>
      <c r="BF1430" t="s">
        <v>23414</v>
      </c>
      <c r="BI1430">
        <v>7</v>
      </c>
      <c r="BJ1430" t="s">
        <v>247</v>
      </c>
      <c r="BK1430" t="s">
        <v>96</v>
      </c>
      <c r="BL1430" t="s">
        <v>248</v>
      </c>
      <c r="BM1430" t="s">
        <v>7043</v>
      </c>
      <c r="BN1430">
        <v>28003055</v>
      </c>
      <c r="BR1430" t="s">
        <v>98</v>
      </c>
      <c r="BS1430" t="s">
        <v>23415</v>
      </c>
      <c r="BT1430" t="s">
        <v>16602</v>
      </c>
    </row>
    <row r="1431" spans="1:72">
      <c r="A1431" t="s">
        <v>72</v>
      </c>
      <c r="B1431" t="s">
        <v>23416</v>
      </c>
      <c r="F1431" t="s">
        <v>23417</v>
      </c>
      <c r="I1431" t="s">
        <v>23418</v>
      </c>
      <c r="J1431" t="s">
        <v>127</v>
      </c>
      <c r="M1431" t="s">
        <v>78</v>
      </c>
      <c r="N1431" t="s">
        <v>79</v>
      </c>
      <c r="T1431" t="s">
        <v>23419</v>
      </c>
      <c r="U1431" t="s">
        <v>23420</v>
      </c>
      <c r="V1431" t="s">
        <v>23421</v>
      </c>
      <c r="W1431" t="s">
        <v>23422</v>
      </c>
      <c r="X1431" t="s">
        <v>20943</v>
      </c>
      <c r="Y1431" t="s">
        <v>23423</v>
      </c>
      <c r="Z1431" t="s">
        <v>23424</v>
      </c>
      <c r="AA1431" t="s">
        <v>23425</v>
      </c>
      <c r="AB1431" t="s">
        <v>23426</v>
      </c>
      <c r="AC1431" t="s">
        <v>23427</v>
      </c>
      <c r="AD1431" t="s">
        <v>23428</v>
      </c>
      <c r="AE1431" t="s">
        <v>23429</v>
      </c>
      <c r="AG1431">
        <v>107</v>
      </c>
      <c r="AH1431">
        <v>17</v>
      </c>
      <c r="AI1431">
        <v>21</v>
      </c>
      <c r="AJ1431">
        <v>1</v>
      </c>
      <c r="AK1431">
        <v>42</v>
      </c>
      <c r="AL1431" t="s">
        <v>136</v>
      </c>
      <c r="AM1431" t="s">
        <v>137</v>
      </c>
      <c r="AN1431" t="s">
        <v>138</v>
      </c>
      <c r="AO1431" t="s">
        <v>139</v>
      </c>
      <c r="AP1431" t="s">
        <v>140</v>
      </c>
      <c r="AR1431" t="s">
        <v>127</v>
      </c>
      <c r="AS1431" t="s">
        <v>141</v>
      </c>
      <c r="AT1431" t="s">
        <v>1223</v>
      </c>
      <c r="AU1431">
        <v>2017</v>
      </c>
      <c r="AV1431">
        <v>170</v>
      </c>
      <c r="BB1431">
        <v>83</v>
      </c>
      <c r="BC1431">
        <v>94</v>
      </c>
      <c r="BE1431" t="s">
        <v>23430</v>
      </c>
      <c r="BF1431" t="s">
        <v>23431</v>
      </c>
      <c r="BI1431">
        <v>12</v>
      </c>
      <c r="BJ1431" t="s">
        <v>144</v>
      </c>
      <c r="BK1431" t="s">
        <v>96</v>
      </c>
      <c r="BL1431" t="s">
        <v>145</v>
      </c>
      <c r="BM1431" t="s">
        <v>23432</v>
      </c>
      <c r="BN1431">
        <v>28006760</v>
      </c>
      <c r="BR1431" t="s">
        <v>98</v>
      </c>
      <c r="BS1431" t="s">
        <v>23433</v>
      </c>
      <c r="BT1431" t="s">
        <v>16602</v>
      </c>
    </row>
    <row r="1432" spans="1:72">
      <c r="A1432" t="s">
        <v>72</v>
      </c>
      <c r="B1432" t="s">
        <v>23434</v>
      </c>
      <c r="F1432" t="s">
        <v>23435</v>
      </c>
      <c r="I1432" t="s">
        <v>23436</v>
      </c>
      <c r="J1432" t="s">
        <v>232</v>
      </c>
      <c r="M1432" t="s">
        <v>78</v>
      </c>
      <c r="N1432" t="s">
        <v>79</v>
      </c>
      <c r="T1432" t="s">
        <v>23437</v>
      </c>
      <c r="U1432" t="s">
        <v>23438</v>
      </c>
      <c r="V1432" t="s">
        <v>23439</v>
      </c>
      <c r="W1432" t="s">
        <v>23440</v>
      </c>
      <c r="X1432" t="s">
        <v>23441</v>
      </c>
      <c r="Y1432" t="s">
        <v>23442</v>
      </c>
      <c r="Z1432" t="s">
        <v>23443</v>
      </c>
      <c r="AB1432" t="s">
        <v>8157</v>
      </c>
      <c r="AC1432" t="s">
        <v>23444</v>
      </c>
      <c r="AD1432" t="s">
        <v>10121</v>
      </c>
      <c r="AE1432" t="s">
        <v>23445</v>
      </c>
      <c r="AG1432">
        <v>57</v>
      </c>
      <c r="AH1432">
        <v>37</v>
      </c>
      <c r="AI1432">
        <v>37</v>
      </c>
      <c r="AJ1432">
        <v>2</v>
      </c>
      <c r="AK1432">
        <v>27</v>
      </c>
      <c r="AL1432" t="s">
        <v>136</v>
      </c>
      <c r="AM1432" t="s">
        <v>137</v>
      </c>
      <c r="AN1432" t="s">
        <v>138</v>
      </c>
      <c r="AO1432" t="s">
        <v>240</v>
      </c>
      <c r="AP1432" t="s">
        <v>241</v>
      </c>
      <c r="AR1432" t="s">
        <v>242</v>
      </c>
      <c r="AS1432" t="s">
        <v>243</v>
      </c>
      <c r="AT1432" t="s">
        <v>142</v>
      </c>
      <c r="AU1432">
        <v>2011</v>
      </c>
      <c r="AV1432">
        <v>62</v>
      </c>
      <c r="AW1432">
        <v>6</v>
      </c>
      <c r="BB1432">
        <v>1337</v>
      </c>
      <c r="BC1432">
        <v>1344</v>
      </c>
      <c r="BE1432" t="s">
        <v>23446</v>
      </c>
      <c r="BF1432" t="s">
        <v>23447</v>
      </c>
      <c r="BI1432">
        <v>8</v>
      </c>
      <c r="BJ1432" t="s">
        <v>247</v>
      </c>
      <c r="BK1432" t="s">
        <v>96</v>
      </c>
      <c r="BL1432" t="s">
        <v>248</v>
      </c>
      <c r="BM1432" t="s">
        <v>890</v>
      </c>
      <c r="BN1432">
        <v>21550069</v>
      </c>
      <c r="BO1432" t="s">
        <v>1752</v>
      </c>
      <c r="BR1432" t="s">
        <v>98</v>
      </c>
      <c r="BS1432" t="s">
        <v>23448</v>
      </c>
      <c r="BT1432" t="s">
        <v>16602</v>
      </c>
    </row>
    <row r="1433" spans="1:72">
      <c r="A1433" t="s">
        <v>72</v>
      </c>
      <c r="B1433" t="s">
        <v>23449</v>
      </c>
      <c r="F1433" t="s">
        <v>23450</v>
      </c>
      <c r="I1433" t="s">
        <v>23451</v>
      </c>
      <c r="J1433" t="s">
        <v>17028</v>
      </c>
      <c r="M1433" t="s">
        <v>78</v>
      </c>
      <c r="N1433" t="s">
        <v>79</v>
      </c>
      <c r="T1433" t="s">
        <v>23452</v>
      </c>
      <c r="U1433" t="s">
        <v>23453</v>
      </c>
      <c r="V1433" t="s">
        <v>23454</v>
      </c>
      <c r="W1433" t="s">
        <v>23455</v>
      </c>
      <c r="X1433" t="s">
        <v>10778</v>
      </c>
      <c r="Y1433" t="s">
        <v>11166</v>
      </c>
      <c r="Z1433" t="s">
        <v>10780</v>
      </c>
      <c r="AA1433" t="s">
        <v>10781</v>
      </c>
      <c r="AB1433" t="s">
        <v>23456</v>
      </c>
      <c r="AC1433" t="s">
        <v>23457</v>
      </c>
      <c r="AD1433" t="s">
        <v>23458</v>
      </c>
      <c r="AE1433" t="s">
        <v>23459</v>
      </c>
      <c r="AG1433">
        <v>48</v>
      </c>
      <c r="AH1433">
        <v>23</v>
      </c>
      <c r="AI1433">
        <v>27</v>
      </c>
      <c r="AJ1433">
        <v>1</v>
      </c>
      <c r="AK1433">
        <v>39</v>
      </c>
      <c r="AL1433" t="s">
        <v>285</v>
      </c>
      <c r="AM1433" t="s">
        <v>286</v>
      </c>
      <c r="AN1433" t="s">
        <v>287</v>
      </c>
      <c r="AO1433" t="s">
        <v>17040</v>
      </c>
      <c r="AP1433" t="s">
        <v>17041</v>
      </c>
      <c r="AR1433" t="s">
        <v>17042</v>
      </c>
      <c r="AS1433" t="s">
        <v>17043</v>
      </c>
      <c r="AT1433" t="s">
        <v>1507</v>
      </c>
      <c r="AU1433">
        <v>2017</v>
      </c>
      <c r="AV1433">
        <v>191</v>
      </c>
      <c r="BB1433">
        <v>172</v>
      </c>
      <c r="BC1433">
        <v>178</v>
      </c>
      <c r="BE1433" t="s">
        <v>23460</v>
      </c>
      <c r="BF1433" t="s">
        <v>23461</v>
      </c>
      <c r="BI1433">
        <v>7</v>
      </c>
      <c r="BJ1433" t="s">
        <v>144</v>
      </c>
      <c r="BK1433" t="s">
        <v>96</v>
      </c>
      <c r="BL1433" t="s">
        <v>145</v>
      </c>
      <c r="BM1433" t="s">
        <v>23462</v>
      </c>
      <c r="BN1433">
        <v>28092753</v>
      </c>
      <c r="BR1433" t="s">
        <v>98</v>
      </c>
      <c r="BS1433" t="s">
        <v>23463</v>
      </c>
      <c r="BT1433" t="s">
        <v>16602</v>
      </c>
    </row>
    <row r="1434" spans="1:72">
      <c r="A1434" t="s">
        <v>72</v>
      </c>
      <c r="B1434" t="s">
        <v>23464</v>
      </c>
      <c r="F1434" t="s">
        <v>23464</v>
      </c>
      <c r="I1434" t="s">
        <v>23465</v>
      </c>
      <c r="J1434" t="s">
        <v>127</v>
      </c>
      <c r="M1434" t="s">
        <v>78</v>
      </c>
      <c r="N1434" t="s">
        <v>79</v>
      </c>
      <c r="U1434" t="s">
        <v>23466</v>
      </c>
      <c r="V1434" t="s">
        <v>23467</v>
      </c>
      <c r="Y1434" t="s">
        <v>23468</v>
      </c>
      <c r="AG1434">
        <v>28</v>
      </c>
      <c r="AH1434">
        <v>1</v>
      </c>
      <c r="AI1434">
        <v>1</v>
      </c>
      <c r="AJ1434">
        <v>0</v>
      </c>
      <c r="AK1434">
        <v>4</v>
      </c>
      <c r="AL1434" t="s">
        <v>136</v>
      </c>
      <c r="AM1434" t="s">
        <v>137</v>
      </c>
      <c r="AN1434" t="s">
        <v>583</v>
      </c>
      <c r="AO1434" t="s">
        <v>139</v>
      </c>
      <c r="AR1434" t="s">
        <v>127</v>
      </c>
      <c r="AS1434" t="s">
        <v>141</v>
      </c>
      <c r="AT1434" t="s">
        <v>1223</v>
      </c>
      <c r="AU1434">
        <v>1994</v>
      </c>
      <c r="AV1434">
        <v>28</v>
      </c>
      <c r="AW1434">
        <v>8</v>
      </c>
      <c r="BB1434">
        <v>1539</v>
      </c>
      <c r="BC1434">
        <v>1550</v>
      </c>
      <c r="BE1434" t="s">
        <v>23469</v>
      </c>
      <c r="BF1434" t="s">
        <v>23470</v>
      </c>
      <c r="BI1434">
        <v>12</v>
      </c>
      <c r="BJ1434" t="s">
        <v>144</v>
      </c>
      <c r="BK1434" t="s">
        <v>96</v>
      </c>
      <c r="BL1434" t="s">
        <v>145</v>
      </c>
      <c r="BM1434" t="s">
        <v>23471</v>
      </c>
      <c r="BR1434" t="s">
        <v>98</v>
      </c>
      <c r="BS1434" t="s">
        <v>23472</v>
      </c>
      <c r="BT1434" t="s">
        <v>16602</v>
      </c>
    </row>
    <row r="1435" spans="1:72">
      <c r="A1435" t="s">
        <v>72</v>
      </c>
      <c r="B1435" t="s">
        <v>23473</v>
      </c>
      <c r="F1435" t="s">
        <v>23473</v>
      </c>
      <c r="I1435" t="s">
        <v>23474</v>
      </c>
      <c r="J1435" t="s">
        <v>232</v>
      </c>
      <c r="M1435" t="s">
        <v>78</v>
      </c>
      <c r="N1435" t="s">
        <v>151</v>
      </c>
      <c r="O1435" t="s">
        <v>233</v>
      </c>
      <c r="P1435" t="s">
        <v>234</v>
      </c>
      <c r="Q1435" t="s">
        <v>235</v>
      </c>
      <c r="U1435" t="s">
        <v>23475</v>
      </c>
      <c r="V1435" t="s">
        <v>23476</v>
      </c>
      <c r="AA1435" t="s">
        <v>23477</v>
      </c>
      <c r="AB1435" t="s">
        <v>23478</v>
      </c>
      <c r="AG1435">
        <v>24</v>
      </c>
      <c r="AH1435">
        <v>29</v>
      </c>
      <c r="AI1435">
        <v>34</v>
      </c>
      <c r="AJ1435">
        <v>0</v>
      </c>
      <c r="AK1435">
        <v>15</v>
      </c>
      <c r="AL1435" t="s">
        <v>136</v>
      </c>
      <c r="AM1435" t="s">
        <v>137</v>
      </c>
      <c r="AN1435" t="s">
        <v>138</v>
      </c>
      <c r="AO1435" t="s">
        <v>240</v>
      </c>
      <c r="AP1435" t="s">
        <v>241</v>
      </c>
      <c r="AR1435" t="s">
        <v>242</v>
      </c>
      <c r="AS1435" t="s">
        <v>243</v>
      </c>
      <c r="AT1435" t="s">
        <v>244</v>
      </c>
      <c r="AU1435">
        <v>1995</v>
      </c>
      <c r="AV1435">
        <v>31</v>
      </c>
      <c r="AW1435" t="s">
        <v>245</v>
      </c>
      <c r="BB1435">
        <v>381</v>
      </c>
      <c r="BC1435">
        <v>386</v>
      </c>
      <c r="BE1435" t="s">
        <v>23479</v>
      </c>
      <c r="BF1435" t="s">
        <v>23480</v>
      </c>
      <c r="BI1435">
        <v>6</v>
      </c>
      <c r="BJ1435" t="s">
        <v>247</v>
      </c>
      <c r="BK1435" t="s">
        <v>172</v>
      </c>
      <c r="BL1435" t="s">
        <v>248</v>
      </c>
      <c r="BM1435" t="s">
        <v>249</v>
      </c>
      <c r="BR1435" t="s">
        <v>98</v>
      </c>
      <c r="BS1435" t="s">
        <v>23481</v>
      </c>
      <c r="BT1435" t="s">
        <v>16602</v>
      </c>
    </row>
    <row r="1436" spans="1:72">
      <c r="A1436" t="s">
        <v>72</v>
      </c>
      <c r="B1436" t="s">
        <v>23482</v>
      </c>
      <c r="F1436" t="s">
        <v>23482</v>
      </c>
      <c r="I1436" t="s">
        <v>23483</v>
      </c>
      <c r="J1436" t="s">
        <v>232</v>
      </c>
      <c r="M1436" t="s">
        <v>78</v>
      </c>
      <c r="N1436" t="s">
        <v>151</v>
      </c>
      <c r="O1436" t="s">
        <v>23484</v>
      </c>
      <c r="P1436" t="s">
        <v>23485</v>
      </c>
      <c r="Q1436" t="s">
        <v>23486</v>
      </c>
      <c r="T1436" t="s">
        <v>23487</v>
      </c>
      <c r="U1436" t="s">
        <v>23488</v>
      </c>
      <c r="V1436" t="s">
        <v>23489</v>
      </c>
      <c r="W1436" t="s">
        <v>23490</v>
      </c>
      <c r="X1436" t="s">
        <v>23491</v>
      </c>
      <c r="Y1436" t="s">
        <v>23492</v>
      </c>
      <c r="Z1436" t="s">
        <v>23493</v>
      </c>
      <c r="AA1436" t="s">
        <v>23494</v>
      </c>
      <c r="AB1436" t="s">
        <v>23495</v>
      </c>
      <c r="AG1436">
        <v>39</v>
      </c>
      <c r="AH1436">
        <v>51</v>
      </c>
      <c r="AI1436">
        <v>55</v>
      </c>
      <c r="AJ1436">
        <v>0</v>
      </c>
      <c r="AK1436">
        <v>24</v>
      </c>
      <c r="AL1436" t="s">
        <v>136</v>
      </c>
      <c r="AM1436" t="s">
        <v>137</v>
      </c>
      <c r="AN1436" t="s">
        <v>138</v>
      </c>
      <c r="AO1436" t="s">
        <v>240</v>
      </c>
      <c r="AP1436" t="s">
        <v>241</v>
      </c>
      <c r="AR1436" t="s">
        <v>242</v>
      </c>
      <c r="AS1436" t="s">
        <v>243</v>
      </c>
      <c r="AU1436">
        <v>2005</v>
      </c>
      <c r="AV1436">
        <v>51</v>
      </c>
      <c r="AW1436" t="s">
        <v>721</v>
      </c>
      <c r="BB1436">
        <v>448</v>
      </c>
      <c r="BC1436">
        <v>458</v>
      </c>
      <c r="BE1436" t="s">
        <v>23496</v>
      </c>
      <c r="BF1436" t="s">
        <v>23497</v>
      </c>
      <c r="BI1436">
        <v>11</v>
      </c>
      <c r="BJ1436" t="s">
        <v>247</v>
      </c>
      <c r="BK1436" t="s">
        <v>172</v>
      </c>
      <c r="BL1436" t="s">
        <v>248</v>
      </c>
      <c r="BM1436" t="s">
        <v>23498</v>
      </c>
      <c r="BN1436">
        <v>15757743</v>
      </c>
      <c r="BR1436" t="s">
        <v>98</v>
      </c>
      <c r="BS1436" t="s">
        <v>23499</v>
      </c>
      <c r="BT1436" t="s">
        <v>16602</v>
      </c>
    </row>
    <row r="1437" spans="1:72">
      <c r="A1437" t="s">
        <v>72</v>
      </c>
      <c r="B1437" t="s">
        <v>23500</v>
      </c>
      <c r="F1437" t="s">
        <v>23500</v>
      </c>
      <c r="I1437" t="s">
        <v>23501</v>
      </c>
      <c r="J1437" t="s">
        <v>909</v>
      </c>
      <c r="M1437" t="s">
        <v>78</v>
      </c>
      <c r="N1437" t="s">
        <v>79</v>
      </c>
      <c r="T1437" t="s">
        <v>23502</v>
      </c>
      <c r="U1437" t="s">
        <v>23503</v>
      </c>
      <c r="V1437" t="s">
        <v>23504</v>
      </c>
      <c r="W1437" t="s">
        <v>23505</v>
      </c>
      <c r="X1437" t="s">
        <v>23506</v>
      </c>
      <c r="Y1437" t="s">
        <v>23507</v>
      </c>
      <c r="AA1437" t="s">
        <v>5391</v>
      </c>
      <c r="AB1437" t="s">
        <v>5392</v>
      </c>
      <c r="AG1437">
        <v>23</v>
      </c>
      <c r="AH1437">
        <v>19</v>
      </c>
      <c r="AI1437">
        <v>23</v>
      </c>
      <c r="AJ1437">
        <v>0</v>
      </c>
      <c r="AK1437">
        <v>1</v>
      </c>
      <c r="AL1437" t="s">
        <v>919</v>
      </c>
      <c r="AM1437" t="s">
        <v>651</v>
      </c>
      <c r="AN1437" t="s">
        <v>920</v>
      </c>
      <c r="AO1437" t="s">
        <v>921</v>
      </c>
      <c r="AR1437" t="s">
        <v>923</v>
      </c>
      <c r="AS1437" t="s">
        <v>924</v>
      </c>
      <c r="AT1437" t="s">
        <v>23508</v>
      </c>
      <c r="AU1437">
        <v>1996</v>
      </c>
      <c r="AV1437">
        <v>188</v>
      </c>
      <c r="AW1437" t="s">
        <v>1723</v>
      </c>
      <c r="BB1437">
        <v>233</v>
      </c>
      <c r="BC1437">
        <v>241</v>
      </c>
      <c r="BE1437" t="s">
        <v>23509</v>
      </c>
      <c r="BF1437" t="s">
        <v>23510</v>
      </c>
      <c r="BI1437">
        <v>9</v>
      </c>
      <c r="BJ1437" t="s">
        <v>144</v>
      </c>
      <c r="BK1437" t="s">
        <v>96</v>
      </c>
      <c r="BL1437" t="s">
        <v>145</v>
      </c>
      <c r="BM1437" t="s">
        <v>23511</v>
      </c>
      <c r="BR1437" t="s">
        <v>98</v>
      </c>
      <c r="BS1437" t="s">
        <v>23512</v>
      </c>
      <c r="BT1437" t="s">
        <v>16602</v>
      </c>
    </row>
    <row r="1438" spans="1:72">
      <c r="A1438" t="s">
        <v>72</v>
      </c>
      <c r="B1438" t="s">
        <v>23513</v>
      </c>
      <c r="F1438" t="s">
        <v>23513</v>
      </c>
      <c r="I1438" t="s">
        <v>23514</v>
      </c>
      <c r="J1438" t="s">
        <v>127</v>
      </c>
      <c r="M1438" t="s">
        <v>78</v>
      </c>
      <c r="N1438" t="s">
        <v>79</v>
      </c>
      <c r="U1438" t="s">
        <v>23515</v>
      </c>
      <c r="V1438" t="s">
        <v>23516</v>
      </c>
      <c r="W1438" t="s">
        <v>23517</v>
      </c>
      <c r="X1438" t="s">
        <v>23518</v>
      </c>
      <c r="Y1438" t="s">
        <v>23519</v>
      </c>
      <c r="AG1438">
        <v>40</v>
      </c>
      <c r="AH1438">
        <v>14</v>
      </c>
      <c r="AI1438">
        <v>16</v>
      </c>
      <c r="AJ1438">
        <v>0</v>
      </c>
      <c r="AK1438">
        <v>6</v>
      </c>
      <c r="AL1438" t="s">
        <v>136</v>
      </c>
      <c r="AM1438" t="s">
        <v>137</v>
      </c>
      <c r="AN1438" t="s">
        <v>583</v>
      </c>
      <c r="AO1438" t="s">
        <v>139</v>
      </c>
      <c r="AR1438" t="s">
        <v>127</v>
      </c>
      <c r="AS1438" t="s">
        <v>141</v>
      </c>
      <c r="AT1438" t="s">
        <v>119</v>
      </c>
      <c r="AU1438">
        <v>1994</v>
      </c>
      <c r="AV1438">
        <v>29</v>
      </c>
      <c r="AW1438">
        <v>4</v>
      </c>
      <c r="BB1438">
        <v>759</v>
      </c>
      <c r="BC1438">
        <v>770</v>
      </c>
      <c r="BE1438" t="s">
        <v>23520</v>
      </c>
      <c r="BF1438" t="s">
        <v>23521</v>
      </c>
      <c r="BI1438">
        <v>12</v>
      </c>
      <c r="BJ1438" t="s">
        <v>144</v>
      </c>
      <c r="BK1438" t="s">
        <v>96</v>
      </c>
      <c r="BL1438" t="s">
        <v>145</v>
      </c>
      <c r="BM1438" t="s">
        <v>23522</v>
      </c>
      <c r="BR1438" t="s">
        <v>98</v>
      </c>
      <c r="BS1438" t="s">
        <v>23523</v>
      </c>
      <c r="BT1438" t="s">
        <v>16602</v>
      </c>
    </row>
    <row r="1439" spans="1:72">
      <c r="A1439" t="s">
        <v>72</v>
      </c>
      <c r="B1439" t="s">
        <v>23524</v>
      </c>
      <c r="F1439" t="s">
        <v>23525</v>
      </c>
      <c r="I1439" t="s">
        <v>23526</v>
      </c>
      <c r="J1439" t="s">
        <v>815</v>
      </c>
      <c r="M1439" t="s">
        <v>78</v>
      </c>
      <c r="N1439" t="s">
        <v>79</v>
      </c>
      <c r="T1439" t="s">
        <v>23527</v>
      </c>
      <c r="V1439" t="s">
        <v>23528</v>
      </c>
      <c r="W1439" t="s">
        <v>23529</v>
      </c>
      <c r="X1439" t="s">
        <v>23530</v>
      </c>
      <c r="Y1439" t="s">
        <v>23531</v>
      </c>
      <c r="Z1439" t="s">
        <v>23532</v>
      </c>
      <c r="AG1439">
        <v>8</v>
      </c>
      <c r="AH1439">
        <v>3</v>
      </c>
      <c r="AI1439">
        <v>3</v>
      </c>
      <c r="AJ1439">
        <v>0</v>
      </c>
      <c r="AK1439">
        <v>10</v>
      </c>
      <c r="AL1439" t="s">
        <v>824</v>
      </c>
      <c r="AM1439" t="s">
        <v>825</v>
      </c>
      <c r="AN1439" t="s">
        <v>826</v>
      </c>
      <c r="AO1439" t="s">
        <v>827</v>
      </c>
      <c r="AR1439" t="s">
        <v>828</v>
      </c>
      <c r="AS1439" t="s">
        <v>829</v>
      </c>
      <c r="AU1439">
        <v>2007</v>
      </c>
      <c r="AV1439">
        <v>8</v>
      </c>
      <c r="AW1439">
        <v>3</v>
      </c>
      <c r="BB1439">
        <v>506</v>
      </c>
      <c r="BC1439">
        <v>512</v>
      </c>
      <c r="BI1439">
        <v>7</v>
      </c>
      <c r="BJ1439" t="s">
        <v>144</v>
      </c>
      <c r="BK1439" t="s">
        <v>96</v>
      </c>
      <c r="BL1439" t="s">
        <v>145</v>
      </c>
      <c r="BM1439" t="s">
        <v>23533</v>
      </c>
      <c r="BR1439" t="s">
        <v>98</v>
      </c>
      <c r="BS1439" t="s">
        <v>23534</v>
      </c>
      <c r="BT1439" t="s">
        <v>16602</v>
      </c>
    </row>
    <row r="1440" spans="1:72">
      <c r="A1440" t="s">
        <v>72</v>
      </c>
      <c r="B1440" t="s">
        <v>23535</v>
      </c>
      <c r="F1440" t="s">
        <v>23536</v>
      </c>
      <c r="I1440" t="s">
        <v>23537</v>
      </c>
      <c r="J1440" t="s">
        <v>232</v>
      </c>
      <c r="M1440" t="s">
        <v>78</v>
      </c>
      <c r="N1440" t="s">
        <v>79</v>
      </c>
      <c r="T1440" t="s">
        <v>23538</v>
      </c>
      <c r="U1440" t="s">
        <v>23539</v>
      </c>
      <c r="V1440" t="s">
        <v>23540</v>
      </c>
      <c r="W1440" t="s">
        <v>23541</v>
      </c>
      <c r="X1440" t="s">
        <v>23542</v>
      </c>
      <c r="Y1440" t="s">
        <v>23543</v>
      </c>
      <c r="Z1440" t="s">
        <v>23544</v>
      </c>
      <c r="AA1440" t="s">
        <v>23545</v>
      </c>
      <c r="AB1440" t="s">
        <v>23546</v>
      </c>
      <c r="AC1440" t="s">
        <v>23547</v>
      </c>
      <c r="AD1440" t="s">
        <v>23548</v>
      </c>
      <c r="AE1440" t="s">
        <v>23549</v>
      </c>
      <c r="AG1440">
        <v>71</v>
      </c>
      <c r="AH1440">
        <v>1</v>
      </c>
      <c r="AI1440">
        <v>1</v>
      </c>
      <c r="AJ1440">
        <v>5</v>
      </c>
      <c r="AK1440">
        <v>5</v>
      </c>
      <c r="AL1440" t="s">
        <v>136</v>
      </c>
      <c r="AM1440" t="s">
        <v>137</v>
      </c>
      <c r="AN1440" t="s">
        <v>138</v>
      </c>
      <c r="AO1440" t="s">
        <v>240</v>
      </c>
      <c r="AP1440" t="s">
        <v>241</v>
      </c>
      <c r="AR1440" t="s">
        <v>242</v>
      </c>
      <c r="AS1440" t="s">
        <v>243</v>
      </c>
      <c r="AT1440" t="s">
        <v>93</v>
      </c>
      <c r="AU1440">
        <v>2024</v>
      </c>
      <c r="AV1440">
        <v>201</v>
      </c>
      <c r="BD1440">
        <v>116086</v>
      </c>
      <c r="BE1440" t="s">
        <v>23550</v>
      </c>
      <c r="BF1440" t="s">
        <v>23551</v>
      </c>
      <c r="BH1440" t="s">
        <v>2782</v>
      </c>
      <c r="BI1440">
        <v>11</v>
      </c>
      <c r="BJ1440" t="s">
        <v>247</v>
      </c>
      <c r="BK1440" t="s">
        <v>96</v>
      </c>
      <c r="BL1440" t="s">
        <v>248</v>
      </c>
      <c r="BM1440" t="s">
        <v>23552</v>
      </c>
      <c r="BN1440">
        <v>38387219</v>
      </c>
      <c r="BR1440" t="s">
        <v>98</v>
      </c>
      <c r="BS1440" t="s">
        <v>23553</v>
      </c>
      <c r="BT1440" t="s">
        <v>16602</v>
      </c>
    </row>
    <row r="1441" spans="1:72">
      <c r="A1441" t="s">
        <v>72</v>
      </c>
      <c r="B1441" t="s">
        <v>296</v>
      </c>
      <c r="F1441" t="s">
        <v>296</v>
      </c>
      <c r="I1441" t="s">
        <v>23554</v>
      </c>
      <c r="J1441" t="s">
        <v>232</v>
      </c>
      <c r="M1441" t="s">
        <v>78</v>
      </c>
      <c r="N1441" t="s">
        <v>79</v>
      </c>
      <c r="T1441" t="s">
        <v>23555</v>
      </c>
      <c r="U1441" t="s">
        <v>23556</v>
      </c>
      <c r="V1441" t="s">
        <v>23557</v>
      </c>
      <c r="W1441" t="s">
        <v>23558</v>
      </c>
      <c r="X1441" t="s">
        <v>302</v>
      </c>
      <c r="Y1441" t="s">
        <v>23559</v>
      </c>
      <c r="Z1441" t="s">
        <v>304</v>
      </c>
      <c r="AG1441">
        <v>36</v>
      </c>
      <c r="AH1441">
        <v>14</v>
      </c>
      <c r="AI1441">
        <v>18</v>
      </c>
      <c r="AJ1441">
        <v>0</v>
      </c>
      <c r="AK1441">
        <v>4</v>
      </c>
      <c r="AL1441" t="s">
        <v>136</v>
      </c>
      <c r="AM1441" t="s">
        <v>137</v>
      </c>
      <c r="AN1441" t="s">
        <v>138</v>
      </c>
      <c r="AO1441" t="s">
        <v>240</v>
      </c>
      <c r="AP1441" t="s">
        <v>241</v>
      </c>
      <c r="AR1441" t="s">
        <v>242</v>
      </c>
      <c r="AS1441" t="s">
        <v>243</v>
      </c>
      <c r="AT1441" t="s">
        <v>951</v>
      </c>
      <c r="AU1441">
        <v>2001</v>
      </c>
      <c r="AV1441">
        <v>42</v>
      </c>
      <c r="AW1441">
        <v>11</v>
      </c>
      <c r="BB1441">
        <v>1161</v>
      </c>
      <c r="BC1441">
        <v>1168</v>
      </c>
      <c r="BE1441" t="s">
        <v>23560</v>
      </c>
      <c r="BF1441" t="s">
        <v>23561</v>
      </c>
      <c r="BI1441">
        <v>8</v>
      </c>
      <c r="BJ1441" t="s">
        <v>247</v>
      </c>
      <c r="BK1441" t="s">
        <v>96</v>
      </c>
      <c r="BL1441" t="s">
        <v>248</v>
      </c>
      <c r="BM1441" t="s">
        <v>23562</v>
      </c>
      <c r="BN1441">
        <v>11763230</v>
      </c>
      <c r="BR1441" t="s">
        <v>98</v>
      </c>
      <c r="BS1441" t="s">
        <v>23563</v>
      </c>
      <c r="BT1441" t="s">
        <v>16602</v>
      </c>
    </row>
    <row r="1442" spans="1:72">
      <c r="A1442" t="s">
        <v>72</v>
      </c>
      <c r="B1442" t="s">
        <v>23564</v>
      </c>
      <c r="F1442" t="s">
        <v>23565</v>
      </c>
      <c r="I1442" t="s">
        <v>23566</v>
      </c>
      <c r="J1442" t="s">
        <v>253</v>
      </c>
      <c r="M1442" t="s">
        <v>78</v>
      </c>
      <c r="N1442" t="s">
        <v>151</v>
      </c>
      <c r="O1442" t="s">
        <v>23567</v>
      </c>
      <c r="P1442" t="s">
        <v>23568</v>
      </c>
      <c r="Q1442" t="s">
        <v>23569</v>
      </c>
      <c r="U1442" t="s">
        <v>23570</v>
      </c>
      <c r="V1442" t="s">
        <v>23571</v>
      </c>
      <c r="W1442" t="s">
        <v>23572</v>
      </c>
      <c r="X1442" t="s">
        <v>23573</v>
      </c>
      <c r="Y1442" t="s">
        <v>23574</v>
      </c>
      <c r="AG1442">
        <v>65</v>
      </c>
      <c r="AH1442">
        <v>13</v>
      </c>
      <c r="AI1442">
        <v>14</v>
      </c>
      <c r="AJ1442">
        <v>1</v>
      </c>
      <c r="AK1442">
        <v>9</v>
      </c>
      <c r="AL1442" t="s">
        <v>261</v>
      </c>
      <c r="AM1442" t="s">
        <v>262</v>
      </c>
      <c r="AN1442" t="s">
        <v>19471</v>
      </c>
      <c r="AO1442" t="s">
        <v>264</v>
      </c>
      <c r="AP1442" t="s">
        <v>20119</v>
      </c>
      <c r="AR1442" t="s">
        <v>265</v>
      </c>
      <c r="AS1442" t="s">
        <v>266</v>
      </c>
      <c r="AU1442">
        <v>2006</v>
      </c>
      <c r="AV1442">
        <v>8</v>
      </c>
      <c r="AW1442">
        <v>8</v>
      </c>
      <c r="BB1442">
        <v>824</v>
      </c>
      <c r="BC1442">
        <v>834</v>
      </c>
      <c r="BE1442" t="s">
        <v>23575</v>
      </c>
      <c r="BF1442" t="s">
        <v>23576</v>
      </c>
      <c r="BI1442">
        <v>11</v>
      </c>
      <c r="BJ1442" t="s">
        <v>269</v>
      </c>
      <c r="BK1442" t="s">
        <v>172</v>
      </c>
      <c r="BL1442" t="s">
        <v>270</v>
      </c>
      <c r="BM1442" t="s">
        <v>23577</v>
      </c>
      <c r="BN1442">
        <v>16896466</v>
      </c>
      <c r="BR1442" t="s">
        <v>98</v>
      </c>
      <c r="BS1442" t="s">
        <v>23578</v>
      </c>
      <c r="BT1442" t="s">
        <v>16602</v>
      </c>
    </row>
    <row r="1443" spans="1:72">
      <c r="A1443" t="s">
        <v>72</v>
      </c>
      <c r="B1443" t="s">
        <v>23579</v>
      </c>
      <c r="F1443" t="s">
        <v>23580</v>
      </c>
      <c r="I1443" t="s">
        <v>23581</v>
      </c>
      <c r="J1443" t="s">
        <v>641</v>
      </c>
      <c r="M1443" t="s">
        <v>78</v>
      </c>
      <c r="N1443" t="s">
        <v>79</v>
      </c>
      <c r="T1443" t="s">
        <v>23582</v>
      </c>
      <c r="U1443" t="s">
        <v>23583</v>
      </c>
      <c r="V1443" t="s">
        <v>23584</v>
      </c>
      <c r="W1443" t="s">
        <v>23585</v>
      </c>
      <c r="X1443" t="s">
        <v>18273</v>
      </c>
      <c r="Y1443" t="s">
        <v>5488</v>
      </c>
      <c r="AA1443" t="s">
        <v>5490</v>
      </c>
      <c r="AB1443" t="s">
        <v>5491</v>
      </c>
      <c r="AC1443" t="s">
        <v>23586</v>
      </c>
      <c r="AD1443" t="s">
        <v>7537</v>
      </c>
      <c r="AE1443" t="s">
        <v>23587</v>
      </c>
      <c r="AG1443">
        <v>105</v>
      </c>
      <c r="AH1443">
        <v>69</v>
      </c>
      <c r="AI1443">
        <v>74</v>
      </c>
      <c r="AJ1443">
        <v>2</v>
      </c>
      <c r="AK1443">
        <v>53</v>
      </c>
      <c r="AL1443" t="s">
        <v>650</v>
      </c>
      <c r="AM1443" t="s">
        <v>651</v>
      </c>
      <c r="AN1443" t="s">
        <v>652</v>
      </c>
      <c r="AO1443" t="s">
        <v>653</v>
      </c>
      <c r="AP1443" t="s">
        <v>654</v>
      </c>
      <c r="AR1443" t="s">
        <v>655</v>
      </c>
      <c r="AS1443" t="s">
        <v>656</v>
      </c>
      <c r="AT1443" t="s">
        <v>3237</v>
      </c>
      <c r="AU1443">
        <v>2010</v>
      </c>
      <c r="AV1443">
        <v>99</v>
      </c>
      <c r="AW1443">
        <v>3</v>
      </c>
      <c r="BB1443">
        <v>330</v>
      </c>
      <c r="BC1443">
        <v>342</v>
      </c>
      <c r="BE1443" t="s">
        <v>23588</v>
      </c>
      <c r="BF1443" t="s">
        <v>23589</v>
      </c>
      <c r="BI1443">
        <v>13</v>
      </c>
      <c r="BJ1443" t="s">
        <v>659</v>
      </c>
      <c r="BK1443" t="s">
        <v>96</v>
      </c>
      <c r="BL1443" t="s">
        <v>659</v>
      </c>
      <c r="BM1443" t="s">
        <v>23590</v>
      </c>
      <c r="BN1443">
        <v>20538354</v>
      </c>
      <c r="BR1443" t="s">
        <v>98</v>
      </c>
      <c r="BS1443" t="s">
        <v>23591</v>
      </c>
      <c r="BT1443" t="s">
        <v>16602</v>
      </c>
    </row>
    <row r="1444" spans="1:72">
      <c r="A1444" t="s">
        <v>72</v>
      </c>
      <c r="B1444" t="s">
        <v>23592</v>
      </c>
      <c r="F1444" t="s">
        <v>23593</v>
      </c>
      <c r="I1444" t="s">
        <v>23594</v>
      </c>
      <c r="J1444" t="s">
        <v>232</v>
      </c>
      <c r="M1444" t="s">
        <v>78</v>
      </c>
      <c r="N1444" t="s">
        <v>79</v>
      </c>
      <c r="T1444" t="s">
        <v>23595</v>
      </c>
      <c r="U1444" t="s">
        <v>23596</v>
      </c>
      <c r="V1444" t="s">
        <v>23597</v>
      </c>
      <c r="W1444" t="s">
        <v>23598</v>
      </c>
      <c r="X1444" t="s">
        <v>23599</v>
      </c>
      <c r="Y1444" t="s">
        <v>23600</v>
      </c>
      <c r="Z1444" t="s">
        <v>23601</v>
      </c>
      <c r="AA1444" t="s">
        <v>23602</v>
      </c>
      <c r="AB1444" t="s">
        <v>23603</v>
      </c>
      <c r="AC1444" t="s">
        <v>23604</v>
      </c>
      <c r="AD1444" t="s">
        <v>23605</v>
      </c>
      <c r="AE1444" t="s">
        <v>23606</v>
      </c>
      <c r="AG1444">
        <v>54</v>
      </c>
      <c r="AH1444">
        <v>6</v>
      </c>
      <c r="AI1444">
        <v>6</v>
      </c>
      <c r="AJ1444">
        <v>4</v>
      </c>
      <c r="AK1444">
        <v>46</v>
      </c>
      <c r="AL1444" t="s">
        <v>136</v>
      </c>
      <c r="AM1444" t="s">
        <v>137</v>
      </c>
      <c r="AN1444" t="s">
        <v>138</v>
      </c>
      <c r="AO1444" t="s">
        <v>240</v>
      </c>
      <c r="AP1444" t="s">
        <v>241</v>
      </c>
      <c r="AR1444" t="s">
        <v>242</v>
      </c>
      <c r="AS1444" t="s">
        <v>243</v>
      </c>
      <c r="AT1444" t="s">
        <v>197</v>
      </c>
      <c r="AU1444">
        <v>2019</v>
      </c>
      <c r="AV1444">
        <v>149</v>
      </c>
      <c r="BD1444">
        <v>110615</v>
      </c>
      <c r="BE1444" t="s">
        <v>23607</v>
      </c>
      <c r="BF1444" t="s">
        <v>23608</v>
      </c>
      <c r="BI1444">
        <v>10</v>
      </c>
      <c r="BJ1444" t="s">
        <v>247</v>
      </c>
      <c r="BK1444" t="s">
        <v>96</v>
      </c>
      <c r="BL1444" t="s">
        <v>248</v>
      </c>
      <c r="BM1444" t="s">
        <v>23609</v>
      </c>
      <c r="BR1444" t="s">
        <v>98</v>
      </c>
      <c r="BS1444" t="s">
        <v>23610</v>
      </c>
      <c r="BT1444" t="s">
        <v>16602</v>
      </c>
    </row>
    <row r="1445" spans="1:72">
      <c r="A1445" t="s">
        <v>72</v>
      </c>
      <c r="B1445" t="s">
        <v>23611</v>
      </c>
      <c r="F1445" t="s">
        <v>23611</v>
      </c>
      <c r="I1445" t="s">
        <v>23612</v>
      </c>
      <c r="J1445" t="s">
        <v>554</v>
      </c>
      <c r="M1445" t="s">
        <v>78</v>
      </c>
      <c r="N1445" t="s">
        <v>79</v>
      </c>
      <c r="V1445" t="s">
        <v>23613</v>
      </c>
      <c r="Y1445" t="s">
        <v>23614</v>
      </c>
      <c r="AG1445">
        <v>10</v>
      </c>
      <c r="AH1445">
        <v>13</v>
      </c>
      <c r="AI1445">
        <v>13</v>
      </c>
      <c r="AJ1445">
        <v>0</v>
      </c>
      <c r="AK1445">
        <v>3</v>
      </c>
      <c r="AL1445" t="s">
        <v>564</v>
      </c>
      <c r="AM1445" t="s">
        <v>113</v>
      </c>
      <c r="AN1445" t="s">
        <v>565</v>
      </c>
      <c r="AO1445" t="s">
        <v>566</v>
      </c>
      <c r="AP1445" t="s">
        <v>567</v>
      </c>
      <c r="AR1445" t="s">
        <v>568</v>
      </c>
      <c r="AS1445" t="s">
        <v>569</v>
      </c>
      <c r="AU1445">
        <v>1991</v>
      </c>
      <c r="AV1445">
        <v>100</v>
      </c>
      <c r="AW1445" t="s">
        <v>326</v>
      </c>
      <c r="BB1445">
        <v>89</v>
      </c>
      <c r="BC1445">
        <v>93</v>
      </c>
      <c r="BE1445" t="s">
        <v>23615</v>
      </c>
      <c r="BF1445" t="s">
        <v>23616</v>
      </c>
      <c r="BI1445">
        <v>5</v>
      </c>
      <c r="BJ1445" t="s">
        <v>571</v>
      </c>
      <c r="BK1445" t="s">
        <v>96</v>
      </c>
      <c r="BL1445" t="s">
        <v>571</v>
      </c>
      <c r="BM1445" t="s">
        <v>23617</v>
      </c>
      <c r="BN1445">
        <v>1677880</v>
      </c>
      <c r="BR1445" t="s">
        <v>98</v>
      </c>
      <c r="BS1445" t="s">
        <v>23618</v>
      </c>
      <c r="BT1445" t="s">
        <v>16602</v>
      </c>
    </row>
    <row r="1446" spans="1:72">
      <c r="A1446" t="s">
        <v>72</v>
      </c>
      <c r="B1446" t="s">
        <v>23619</v>
      </c>
      <c r="F1446" t="s">
        <v>23620</v>
      </c>
      <c r="I1446" t="s">
        <v>23621</v>
      </c>
      <c r="J1446" t="s">
        <v>204</v>
      </c>
      <c r="M1446" t="s">
        <v>78</v>
      </c>
      <c r="N1446" t="s">
        <v>79</v>
      </c>
      <c r="T1446" t="s">
        <v>23622</v>
      </c>
      <c r="U1446" t="s">
        <v>23623</v>
      </c>
      <c r="V1446" t="s">
        <v>23624</v>
      </c>
      <c r="W1446" t="s">
        <v>23625</v>
      </c>
      <c r="X1446" t="s">
        <v>23393</v>
      </c>
      <c r="Y1446" t="s">
        <v>23626</v>
      </c>
      <c r="Z1446" t="s">
        <v>2638</v>
      </c>
      <c r="AA1446" t="s">
        <v>23627</v>
      </c>
      <c r="AB1446" t="s">
        <v>23628</v>
      </c>
      <c r="AG1446">
        <v>68</v>
      </c>
      <c r="AH1446">
        <v>1</v>
      </c>
      <c r="AI1446">
        <v>1</v>
      </c>
      <c r="AJ1446">
        <v>0</v>
      </c>
      <c r="AK1446">
        <v>2</v>
      </c>
      <c r="AL1446" t="s">
        <v>217</v>
      </c>
      <c r="AM1446" t="s">
        <v>218</v>
      </c>
      <c r="AN1446" t="s">
        <v>219</v>
      </c>
      <c r="AO1446" t="s">
        <v>220</v>
      </c>
      <c r="AP1446" t="s">
        <v>221</v>
      </c>
      <c r="AR1446" t="s">
        <v>222</v>
      </c>
      <c r="AS1446" t="s">
        <v>223</v>
      </c>
      <c r="AT1446" t="s">
        <v>197</v>
      </c>
      <c r="AU1446">
        <v>2023</v>
      </c>
      <c r="AV1446">
        <v>30</v>
      </c>
      <c r="AW1446">
        <v>59</v>
      </c>
      <c r="BB1446">
        <v>123214</v>
      </c>
      <c r="BC1446">
        <v>123225</v>
      </c>
      <c r="BE1446" t="s">
        <v>23629</v>
      </c>
      <c r="BF1446" t="s">
        <v>23630</v>
      </c>
      <c r="BH1446" t="s">
        <v>7992</v>
      </c>
      <c r="BI1446">
        <v>12</v>
      </c>
      <c r="BJ1446" t="s">
        <v>144</v>
      </c>
      <c r="BK1446" t="s">
        <v>96</v>
      </c>
      <c r="BL1446" t="s">
        <v>145</v>
      </c>
      <c r="BM1446" t="s">
        <v>23631</v>
      </c>
      <c r="BN1446">
        <v>37981609</v>
      </c>
      <c r="BR1446" t="s">
        <v>98</v>
      </c>
      <c r="BS1446" t="s">
        <v>23632</v>
      </c>
      <c r="BT1446" t="s">
        <v>16602</v>
      </c>
    </row>
    <row r="1447" spans="1:72">
      <c r="A1447" t="s">
        <v>72</v>
      </c>
      <c r="B1447" t="s">
        <v>23633</v>
      </c>
      <c r="F1447" t="s">
        <v>23633</v>
      </c>
      <c r="I1447" t="s">
        <v>23634</v>
      </c>
      <c r="J1447" t="s">
        <v>1202</v>
      </c>
      <c r="M1447" t="s">
        <v>78</v>
      </c>
      <c r="N1447" t="s">
        <v>79</v>
      </c>
      <c r="T1447" t="s">
        <v>23635</v>
      </c>
      <c r="U1447" t="s">
        <v>23636</v>
      </c>
      <c r="V1447" t="s">
        <v>23637</v>
      </c>
      <c r="Y1447" t="s">
        <v>23638</v>
      </c>
      <c r="AG1447">
        <v>64</v>
      </c>
      <c r="AH1447">
        <v>26</v>
      </c>
      <c r="AI1447">
        <v>27</v>
      </c>
      <c r="AJ1447">
        <v>0</v>
      </c>
      <c r="AK1447">
        <v>61</v>
      </c>
      <c r="AL1447" t="s">
        <v>716</v>
      </c>
      <c r="AM1447" t="s">
        <v>191</v>
      </c>
      <c r="AN1447" t="s">
        <v>717</v>
      </c>
      <c r="AO1447" t="s">
        <v>1207</v>
      </c>
      <c r="AR1447" t="s">
        <v>1202</v>
      </c>
      <c r="AS1447" t="s">
        <v>1208</v>
      </c>
      <c r="AT1447" t="s">
        <v>23639</v>
      </c>
      <c r="AU1447">
        <v>1991</v>
      </c>
      <c r="AV1447">
        <v>219</v>
      </c>
      <c r="BB1447">
        <v>269</v>
      </c>
      <c r="BC1447">
        <v>279</v>
      </c>
      <c r="BE1447" t="s">
        <v>23640</v>
      </c>
      <c r="BF1447" t="s">
        <v>23641</v>
      </c>
      <c r="BI1447">
        <v>11</v>
      </c>
      <c r="BJ1447" t="s">
        <v>680</v>
      </c>
      <c r="BK1447" t="s">
        <v>96</v>
      </c>
      <c r="BL1447" t="s">
        <v>680</v>
      </c>
      <c r="BM1447" t="s">
        <v>23642</v>
      </c>
      <c r="BR1447" t="s">
        <v>98</v>
      </c>
      <c r="BS1447" t="s">
        <v>23643</v>
      </c>
      <c r="BT1447" t="s">
        <v>16602</v>
      </c>
    </row>
    <row r="1448" spans="1:72">
      <c r="A1448" t="s">
        <v>72</v>
      </c>
      <c r="B1448" t="s">
        <v>23644</v>
      </c>
      <c r="F1448" t="s">
        <v>23645</v>
      </c>
      <c r="I1448" t="s">
        <v>23646</v>
      </c>
      <c r="J1448" t="s">
        <v>1230</v>
      </c>
      <c r="M1448" t="s">
        <v>78</v>
      </c>
      <c r="N1448" t="s">
        <v>2873</v>
      </c>
      <c r="T1448" t="s">
        <v>23647</v>
      </c>
      <c r="U1448" t="s">
        <v>23648</v>
      </c>
      <c r="V1448" t="s">
        <v>23649</v>
      </c>
      <c r="W1448" t="s">
        <v>23650</v>
      </c>
      <c r="X1448" t="s">
        <v>23651</v>
      </c>
      <c r="Y1448" t="s">
        <v>23652</v>
      </c>
      <c r="Z1448" t="s">
        <v>23653</v>
      </c>
      <c r="AA1448" t="s">
        <v>23654</v>
      </c>
      <c r="AG1448">
        <v>96</v>
      </c>
      <c r="AH1448">
        <v>0</v>
      </c>
      <c r="AI1448">
        <v>0</v>
      </c>
      <c r="AJ1448">
        <v>1</v>
      </c>
      <c r="AK1448">
        <v>1</v>
      </c>
      <c r="AL1448" t="s">
        <v>1241</v>
      </c>
      <c r="AM1448" t="s">
        <v>1242</v>
      </c>
      <c r="AN1448" t="s">
        <v>1243</v>
      </c>
      <c r="AO1448" t="s">
        <v>1244</v>
      </c>
      <c r="AP1448" t="s">
        <v>1245</v>
      </c>
      <c r="AR1448" t="s">
        <v>1246</v>
      </c>
      <c r="AS1448" t="s">
        <v>1247</v>
      </c>
      <c r="AT1448" t="s">
        <v>23655</v>
      </c>
      <c r="AU1448">
        <v>2024</v>
      </c>
      <c r="BE1448" t="s">
        <v>23656</v>
      </c>
      <c r="BF1448" t="s">
        <v>23657</v>
      </c>
      <c r="BH1448" t="s">
        <v>11425</v>
      </c>
      <c r="BI1448">
        <v>32</v>
      </c>
      <c r="BJ1448" t="s">
        <v>1249</v>
      </c>
      <c r="BK1448" t="s">
        <v>96</v>
      </c>
      <c r="BL1448" t="s">
        <v>145</v>
      </c>
      <c r="BM1448" t="s">
        <v>23658</v>
      </c>
      <c r="BO1448" t="s">
        <v>873</v>
      </c>
      <c r="BR1448" t="s">
        <v>98</v>
      </c>
      <c r="BS1448" t="s">
        <v>23659</v>
      </c>
      <c r="BT1448" t="s">
        <v>16602</v>
      </c>
    </row>
    <row r="1449" spans="1:72">
      <c r="A1449" t="s">
        <v>72</v>
      </c>
      <c r="B1449" t="s">
        <v>23660</v>
      </c>
      <c r="F1449" t="s">
        <v>23660</v>
      </c>
      <c r="I1449" t="s">
        <v>23661</v>
      </c>
      <c r="J1449" t="s">
        <v>10129</v>
      </c>
      <c r="M1449" t="s">
        <v>78</v>
      </c>
      <c r="N1449" t="s">
        <v>79</v>
      </c>
      <c r="T1449" t="s">
        <v>23662</v>
      </c>
      <c r="U1449" t="s">
        <v>23663</v>
      </c>
      <c r="V1449" t="s">
        <v>23664</v>
      </c>
      <c r="W1449" t="s">
        <v>23665</v>
      </c>
      <c r="X1449" t="s">
        <v>23666</v>
      </c>
      <c r="Y1449" t="s">
        <v>23667</v>
      </c>
      <c r="Z1449" t="s">
        <v>12718</v>
      </c>
      <c r="AA1449" t="s">
        <v>23668</v>
      </c>
      <c r="AB1449" t="s">
        <v>23669</v>
      </c>
      <c r="AG1449">
        <v>43</v>
      </c>
      <c r="AH1449">
        <v>63</v>
      </c>
      <c r="AI1449">
        <v>64</v>
      </c>
      <c r="AJ1449">
        <v>0</v>
      </c>
      <c r="AK1449">
        <v>2</v>
      </c>
      <c r="AL1449" t="s">
        <v>3362</v>
      </c>
      <c r="AM1449" t="s">
        <v>3363</v>
      </c>
      <c r="AN1449" t="s">
        <v>3364</v>
      </c>
      <c r="AO1449" t="s">
        <v>10137</v>
      </c>
      <c r="AP1449" t="s">
        <v>10138</v>
      </c>
      <c r="AR1449" t="s">
        <v>10139</v>
      </c>
      <c r="AS1449" t="s">
        <v>10140</v>
      </c>
      <c r="AT1449" t="s">
        <v>224</v>
      </c>
      <c r="AU1449">
        <v>2004</v>
      </c>
      <c r="AV1449">
        <v>94</v>
      </c>
      <c r="AW1449">
        <v>2</v>
      </c>
      <c r="BB1449">
        <v>211</v>
      </c>
      <c r="BC1449">
        <v>220</v>
      </c>
      <c r="BE1449" t="s">
        <v>23670</v>
      </c>
      <c r="BF1449" t="s">
        <v>23671</v>
      </c>
      <c r="BI1449">
        <v>10</v>
      </c>
      <c r="BJ1449" t="s">
        <v>10142</v>
      </c>
      <c r="BK1449" t="s">
        <v>96</v>
      </c>
      <c r="BL1449" t="s">
        <v>10143</v>
      </c>
      <c r="BM1449" t="s">
        <v>19403</v>
      </c>
      <c r="BN1449">
        <v>14757384</v>
      </c>
      <c r="BR1449" t="s">
        <v>98</v>
      </c>
      <c r="BS1449" t="s">
        <v>23672</v>
      </c>
      <c r="BT1449" t="s">
        <v>16602</v>
      </c>
    </row>
    <row r="1450" spans="1:72">
      <c r="A1450" t="s">
        <v>72</v>
      </c>
      <c r="B1450" t="s">
        <v>23673</v>
      </c>
      <c r="F1450" t="s">
        <v>23673</v>
      </c>
      <c r="I1450" t="s">
        <v>23674</v>
      </c>
      <c r="J1450" t="s">
        <v>752</v>
      </c>
      <c r="M1450" t="s">
        <v>78</v>
      </c>
      <c r="N1450" t="s">
        <v>151</v>
      </c>
      <c r="O1450" t="s">
        <v>23675</v>
      </c>
      <c r="P1450" t="s">
        <v>9549</v>
      </c>
      <c r="Q1450" t="s">
        <v>23676</v>
      </c>
      <c r="S1450" t="s">
        <v>9551</v>
      </c>
      <c r="T1450" t="s">
        <v>23677</v>
      </c>
      <c r="U1450" t="s">
        <v>23678</v>
      </c>
      <c r="V1450" t="s">
        <v>23679</v>
      </c>
      <c r="W1450" t="s">
        <v>23680</v>
      </c>
      <c r="X1450" t="s">
        <v>23681</v>
      </c>
      <c r="Y1450" t="s">
        <v>23682</v>
      </c>
      <c r="Z1450" t="s">
        <v>23683</v>
      </c>
      <c r="AG1450">
        <v>13</v>
      </c>
      <c r="AH1450">
        <v>69</v>
      </c>
      <c r="AI1450">
        <v>84</v>
      </c>
      <c r="AJ1450">
        <v>0</v>
      </c>
      <c r="AK1450">
        <v>7</v>
      </c>
      <c r="AL1450" t="s">
        <v>430</v>
      </c>
      <c r="AM1450" t="s">
        <v>137</v>
      </c>
      <c r="AN1450" t="s">
        <v>431</v>
      </c>
      <c r="AO1450" t="s">
        <v>761</v>
      </c>
      <c r="AR1450" t="s">
        <v>763</v>
      </c>
      <c r="AS1450" t="s">
        <v>764</v>
      </c>
      <c r="AT1450" t="s">
        <v>5113</v>
      </c>
      <c r="AU1450">
        <v>2000</v>
      </c>
      <c r="AV1450">
        <v>50</v>
      </c>
      <c r="AW1450" t="s">
        <v>9558</v>
      </c>
      <c r="BB1450">
        <v>457</v>
      </c>
      <c r="BC1450">
        <v>463</v>
      </c>
      <c r="BE1450" t="s">
        <v>23684</v>
      </c>
      <c r="BF1450" t="s">
        <v>23685</v>
      </c>
      <c r="BI1450">
        <v>7</v>
      </c>
      <c r="BJ1450" t="s">
        <v>768</v>
      </c>
      <c r="BK1450" t="s">
        <v>172</v>
      </c>
      <c r="BL1450" t="s">
        <v>769</v>
      </c>
      <c r="BM1450" t="s">
        <v>9560</v>
      </c>
      <c r="BN1450">
        <v>11460734</v>
      </c>
      <c r="BR1450" t="s">
        <v>98</v>
      </c>
      <c r="BS1450" t="s">
        <v>23686</v>
      </c>
      <c r="BT1450" t="s">
        <v>16602</v>
      </c>
    </row>
    <row r="1451" spans="1:72">
      <c r="A1451" t="s">
        <v>72</v>
      </c>
      <c r="B1451" t="s">
        <v>23687</v>
      </c>
      <c r="F1451" t="s">
        <v>23688</v>
      </c>
      <c r="I1451" t="s">
        <v>23689</v>
      </c>
      <c r="J1451" t="s">
        <v>1730</v>
      </c>
      <c r="M1451" t="s">
        <v>78</v>
      </c>
      <c r="N1451" t="s">
        <v>79</v>
      </c>
      <c r="T1451" t="s">
        <v>23690</v>
      </c>
      <c r="U1451" t="s">
        <v>23691</v>
      </c>
      <c r="V1451" t="s">
        <v>23692</v>
      </c>
      <c r="W1451" t="s">
        <v>23693</v>
      </c>
      <c r="X1451" t="s">
        <v>14338</v>
      </c>
      <c r="Y1451" t="s">
        <v>14339</v>
      </c>
      <c r="Z1451" t="s">
        <v>14340</v>
      </c>
      <c r="AC1451" t="s">
        <v>23694</v>
      </c>
      <c r="AD1451" t="s">
        <v>23695</v>
      </c>
      <c r="AE1451" t="s">
        <v>23696</v>
      </c>
      <c r="AG1451">
        <v>38</v>
      </c>
      <c r="AH1451">
        <v>41</v>
      </c>
      <c r="AI1451">
        <v>52</v>
      </c>
      <c r="AJ1451">
        <v>4</v>
      </c>
      <c r="AK1451">
        <v>19</v>
      </c>
      <c r="AL1451" t="s">
        <v>1743</v>
      </c>
      <c r="AM1451" t="s">
        <v>1744</v>
      </c>
      <c r="AN1451" t="s">
        <v>1745</v>
      </c>
      <c r="AO1451" t="s">
        <v>1746</v>
      </c>
      <c r="AP1451" t="s">
        <v>1747</v>
      </c>
      <c r="AR1451" t="s">
        <v>1748</v>
      </c>
      <c r="AS1451" t="s">
        <v>1749</v>
      </c>
      <c r="AU1451">
        <v>2009</v>
      </c>
      <c r="AV1451">
        <v>5</v>
      </c>
      <c r="AW1451">
        <v>5</v>
      </c>
      <c r="BB1451">
        <v>451</v>
      </c>
      <c r="BC1451">
        <v>461</v>
      </c>
      <c r="BE1451" t="s">
        <v>23697</v>
      </c>
      <c r="BF1451" t="s">
        <v>23698</v>
      </c>
      <c r="BI1451">
        <v>11</v>
      </c>
      <c r="BJ1451" t="s">
        <v>1292</v>
      </c>
      <c r="BK1451" t="s">
        <v>96</v>
      </c>
      <c r="BL1451" t="s">
        <v>248</v>
      </c>
      <c r="BM1451" t="s">
        <v>10724</v>
      </c>
      <c r="BR1451" t="s">
        <v>98</v>
      </c>
      <c r="BS1451" t="s">
        <v>23699</v>
      </c>
      <c r="BT1451" t="s">
        <v>16602</v>
      </c>
    </row>
    <row r="1452" spans="1:72">
      <c r="A1452" t="s">
        <v>72</v>
      </c>
      <c r="B1452" t="s">
        <v>23700</v>
      </c>
      <c r="F1452" t="s">
        <v>23700</v>
      </c>
      <c r="I1452" t="s">
        <v>23701</v>
      </c>
      <c r="J1452" t="s">
        <v>421</v>
      </c>
      <c r="M1452" t="s">
        <v>78</v>
      </c>
      <c r="N1452" t="s">
        <v>79</v>
      </c>
      <c r="T1452" t="s">
        <v>23702</v>
      </c>
      <c r="U1452" t="s">
        <v>23703</v>
      </c>
      <c r="V1452" t="s">
        <v>23704</v>
      </c>
      <c r="W1452" t="s">
        <v>23705</v>
      </c>
      <c r="X1452" t="s">
        <v>23706</v>
      </c>
      <c r="Y1452" t="s">
        <v>23707</v>
      </c>
      <c r="Z1452" t="s">
        <v>23708</v>
      </c>
      <c r="AA1452" t="s">
        <v>23709</v>
      </c>
      <c r="AB1452" t="s">
        <v>5392</v>
      </c>
      <c r="AG1452">
        <v>47</v>
      </c>
      <c r="AH1452">
        <v>50</v>
      </c>
      <c r="AI1452">
        <v>57</v>
      </c>
      <c r="AJ1452">
        <v>0</v>
      </c>
      <c r="AK1452">
        <v>23</v>
      </c>
      <c r="AL1452" t="s">
        <v>430</v>
      </c>
      <c r="AM1452" t="s">
        <v>137</v>
      </c>
      <c r="AN1452" t="s">
        <v>431</v>
      </c>
      <c r="AO1452" t="s">
        <v>432</v>
      </c>
      <c r="AP1452" t="s">
        <v>1394</v>
      </c>
      <c r="AR1452" t="s">
        <v>433</v>
      </c>
      <c r="AS1452" t="s">
        <v>434</v>
      </c>
      <c r="AT1452" t="s">
        <v>1470</v>
      </c>
      <c r="AU1452">
        <v>2006</v>
      </c>
      <c r="AV1452">
        <v>139</v>
      </c>
      <c r="AW1452">
        <v>1</v>
      </c>
      <c r="BB1452">
        <v>70</v>
      </c>
      <c r="BC1452">
        <v>78</v>
      </c>
      <c r="BE1452" t="s">
        <v>23710</v>
      </c>
      <c r="BF1452" t="s">
        <v>23711</v>
      </c>
      <c r="BI1452">
        <v>9</v>
      </c>
      <c r="BJ1452" t="s">
        <v>144</v>
      </c>
      <c r="BK1452" t="s">
        <v>96</v>
      </c>
      <c r="BL1452" t="s">
        <v>145</v>
      </c>
      <c r="BM1452" t="s">
        <v>6473</v>
      </c>
      <c r="BN1452">
        <v>16023775</v>
      </c>
      <c r="BR1452" t="s">
        <v>98</v>
      </c>
      <c r="BS1452" t="s">
        <v>23712</v>
      </c>
      <c r="BT1452" t="s">
        <v>16602</v>
      </c>
    </row>
    <row r="1453" spans="1:72">
      <c r="A1453" t="s">
        <v>72</v>
      </c>
      <c r="B1453" t="s">
        <v>23713</v>
      </c>
      <c r="F1453" t="s">
        <v>23713</v>
      </c>
      <c r="I1453" t="s">
        <v>23714</v>
      </c>
      <c r="J1453" t="s">
        <v>17233</v>
      </c>
      <c r="M1453" t="s">
        <v>78</v>
      </c>
      <c r="N1453" t="s">
        <v>79</v>
      </c>
      <c r="U1453" t="s">
        <v>23715</v>
      </c>
      <c r="V1453" t="s">
        <v>23716</v>
      </c>
      <c r="W1453" t="s">
        <v>23717</v>
      </c>
      <c r="X1453" t="s">
        <v>23718</v>
      </c>
      <c r="Y1453" t="s">
        <v>23719</v>
      </c>
      <c r="Z1453" t="s">
        <v>23720</v>
      </c>
      <c r="AB1453" t="s">
        <v>23721</v>
      </c>
      <c r="AG1453">
        <v>36</v>
      </c>
      <c r="AH1453">
        <v>34</v>
      </c>
      <c r="AI1453">
        <v>37</v>
      </c>
      <c r="AJ1453">
        <v>0</v>
      </c>
      <c r="AK1453">
        <v>6</v>
      </c>
      <c r="AL1453" t="s">
        <v>112</v>
      </c>
      <c r="AM1453" t="s">
        <v>113</v>
      </c>
      <c r="AN1453" t="s">
        <v>114</v>
      </c>
      <c r="AO1453" t="s">
        <v>17246</v>
      </c>
      <c r="AP1453" t="s">
        <v>17247</v>
      </c>
      <c r="AR1453" t="s">
        <v>17248</v>
      </c>
      <c r="AS1453" t="s">
        <v>17249</v>
      </c>
      <c r="AT1453" t="s">
        <v>951</v>
      </c>
      <c r="AU1453">
        <v>2001</v>
      </c>
      <c r="AV1453">
        <v>24</v>
      </c>
      <c r="AW1453">
        <v>11</v>
      </c>
      <c r="BB1453">
        <v>808</v>
      </c>
      <c r="BC1453">
        <v>817</v>
      </c>
      <c r="BE1453" t="s">
        <v>23722</v>
      </c>
      <c r="BF1453" t="s">
        <v>23723</v>
      </c>
      <c r="BI1453">
        <v>10</v>
      </c>
      <c r="BJ1453" t="s">
        <v>17252</v>
      </c>
      <c r="BK1453" t="s">
        <v>96</v>
      </c>
      <c r="BL1453" t="s">
        <v>4924</v>
      </c>
      <c r="BM1453" t="s">
        <v>23724</v>
      </c>
      <c r="BR1453" t="s">
        <v>98</v>
      </c>
      <c r="BS1453" t="s">
        <v>23725</v>
      </c>
      <c r="BT1453" t="s">
        <v>16602</v>
      </c>
    </row>
    <row r="1454" spans="1:72">
      <c r="A1454" t="s">
        <v>72</v>
      </c>
      <c r="B1454" t="s">
        <v>23726</v>
      </c>
      <c r="F1454" t="s">
        <v>23727</v>
      </c>
      <c r="I1454" t="s">
        <v>23728</v>
      </c>
      <c r="J1454" t="s">
        <v>4747</v>
      </c>
      <c r="M1454" t="s">
        <v>78</v>
      </c>
      <c r="N1454" t="s">
        <v>79</v>
      </c>
      <c r="T1454" t="s">
        <v>23729</v>
      </c>
      <c r="U1454" t="s">
        <v>23730</v>
      </c>
      <c r="V1454" t="s">
        <v>23731</v>
      </c>
      <c r="W1454" t="s">
        <v>23732</v>
      </c>
      <c r="X1454" t="s">
        <v>23733</v>
      </c>
      <c r="Y1454" t="s">
        <v>23734</v>
      </c>
      <c r="Z1454" t="s">
        <v>23735</v>
      </c>
      <c r="AA1454" t="s">
        <v>23736</v>
      </c>
      <c r="AC1454" t="s">
        <v>23737</v>
      </c>
      <c r="AD1454" t="s">
        <v>23738</v>
      </c>
      <c r="AE1454" t="s">
        <v>23739</v>
      </c>
      <c r="AG1454">
        <v>33</v>
      </c>
      <c r="AH1454">
        <v>233</v>
      </c>
      <c r="AI1454">
        <v>244</v>
      </c>
      <c r="AJ1454">
        <v>23</v>
      </c>
      <c r="AK1454">
        <v>651</v>
      </c>
      <c r="AL1454" t="s">
        <v>919</v>
      </c>
      <c r="AM1454" t="s">
        <v>651</v>
      </c>
      <c r="AN1454" t="s">
        <v>920</v>
      </c>
      <c r="AO1454" t="s">
        <v>4758</v>
      </c>
      <c r="AP1454" t="s">
        <v>11139</v>
      </c>
      <c r="AR1454" t="s">
        <v>4759</v>
      </c>
      <c r="AS1454" t="s">
        <v>4760</v>
      </c>
      <c r="AT1454" t="s">
        <v>1507</v>
      </c>
      <c r="AU1454">
        <v>2014</v>
      </c>
      <c r="AV1454">
        <v>270</v>
      </c>
      <c r="BB1454">
        <v>27</v>
      </c>
      <c r="BC1454">
        <v>34</v>
      </c>
      <c r="BE1454" t="s">
        <v>23740</v>
      </c>
      <c r="BF1454" t="s">
        <v>23741</v>
      </c>
      <c r="BI1454">
        <v>8</v>
      </c>
      <c r="BJ1454" t="s">
        <v>415</v>
      </c>
      <c r="BK1454" t="s">
        <v>96</v>
      </c>
      <c r="BL1454" t="s">
        <v>416</v>
      </c>
      <c r="BM1454" t="s">
        <v>23742</v>
      </c>
      <c r="BN1454">
        <v>24525161</v>
      </c>
      <c r="BR1454" t="s">
        <v>98</v>
      </c>
      <c r="BS1454" t="s">
        <v>23743</v>
      </c>
      <c r="BT1454" t="s">
        <v>16602</v>
      </c>
    </row>
    <row r="1455" spans="1:72">
      <c r="A1455" t="s">
        <v>72</v>
      </c>
      <c r="B1455" t="s">
        <v>23744</v>
      </c>
      <c r="F1455" t="s">
        <v>23745</v>
      </c>
      <c r="I1455" t="s">
        <v>23746</v>
      </c>
      <c r="J1455" t="s">
        <v>421</v>
      </c>
      <c r="M1455" t="s">
        <v>78</v>
      </c>
      <c r="N1455" t="s">
        <v>79</v>
      </c>
      <c r="T1455" t="s">
        <v>23747</v>
      </c>
      <c r="U1455" t="s">
        <v>23748</v>
      </c>
      <c r="V1455" t="s">
        <v>23749</v>
      </c>
      <c r="W1455" t="s">
        <v>23750</v>
      </c>
      <c r="X1455" t="s">
        <v>4386</v>
      </c>
      <c r="Y1455" t="s">
        <v>23751</v>
      </c>
      <c r="Z1455" t="s">
        <v>23752</v>
      </c>
      <c r="AA1455" t="s">
        <v>23753</v>
      </c>
      <c r="AG1455">
        <v>60</v>
      </c>
      <c r="AH1455">
        <v>35</v>
      </c>
      <c r="AI1455">
        <v>36</v>
      </c>
      <c r="AJ1455">
        <v>4</v>
      </c>
      <c r="AK1455">
        <v>101</v>
      </c>
      <c r="AL1455" t="s">
        <v>430</v>
      </c>
      <c r="AM1455" t="s">
        <v>7361</v>
      </c>
      <c r="AN1455" t="s">
        <v>7362</v>
      </c>
      <c r="AO1455" t="s">
        <v>432</v>
      </c>
      <c r="AP1455" t="s">
        <v>1394</v>
      </c>
      <c r="AR1455" t="s">
        <v>433</v>
      </c>
      <c r="AS1455" t="s">
        <v>434</v>
      </c>
      <c r="AT1455" t="s">
        <v>305</v>
      </c>
      <c r="AU1455">
        <v>2017</v>
      </c>
      <c r="AV1455">
        <v>228</v>
      </c>
      <c r="BB1455">
        <v>82</v>
      </c>
      <c r="BC1455">
        <v>91</v>
      </c>
      <c r="BE1455" t="s">
        <v>23754</v>
      </c>
      <c r="BF1455" t="s">
        <v>23755</v>
      </c>
      <c r="BI1455">
        <v>10</v>
      </c>
      <c r="BJ1455" t="s">
        <v>144</v>
      </c>
      <c r="BK1455" t="s">
        <v>96</v>
      </c>
      <c r="BL1455" t="s">
        <v>145</v>
      </c>
      <c r="BM1455" t="s">
        <v>23756</v>
      </c>
      <c r="BN1455">
        <v>28525787</v>
      </c>
      <c r="BO1455" t="s">
        <v>1270</v>
      </c>
      <c r="BR1455" t="s">
        <v>98</v>
      </c>
      <c r="BS1455" t="s">
        <v>23757</v>
      </c>
      <c r="BT1455" t="s">
        <v>16602</v>
      </c>
    </row>
    <row r="1456" spans="1:72">
      <c r="A1456" t="s">
        <v>72</v>
      </c>
      <c r="B1456" t="s">
        <v>23758</v>
      </c>
      <c r="F1456" t="s">
        <v>23758</v>
      </c>
      <c r="I1456" t="s">
        <v>23759</v>
      </c>
      <c r="J1456" t="s">
        <v>232</v>
      </c>
      <c r="M1456" t="s">
        <v>78</v>
      </c>
      <c r="N1456" t="s">
        <v>79</v>
      </c>
      <c r="U1456" t="s">
        <v>23760</v>
      </c>
      <c r="V1456" t="s">
        <v>23761</v>
      </c>
      <c r="W1456" t="s">
        <v>23762</v>
      </c>
      <c r="X1456" t="s">
        <v>23763</v>
      </c>
      <c r="Z1456" t="s">
        <v>23764</v>
      </c>
      <c r="AA1456" t="s">
        <v>23765</v>
      </c>
      <c r="AG1456">
        <v>17</v>
      </c>
      <c r="AH1456">
        <v>68</v>
      </c>
      <c r="AI1456">
        <v>74</v>
      </c>
      <c r="AJ1456">
        <v>0</v>
      </c>
      <c r="AK1456">
        <v>29</v>
      </c>
      <c r="AL1456" t="s">
        <v>136</v>
      </c>
      <c r="AM1456" t="s">
        <v>137</v>
      </c>
      <c r="AN1456" t="s">
        <v>138</v>
      </c>
      <c r="AO1456" t="s">
        <v>240</v>
      </c>
      <c r="AP1456" t="s">
        <v>241</v>
      </c>
      <c r="AR1456" t="s">
        <v>242</v>
      </c>
      <c r="AS1456" t="s">
        <v>243</v>
      </c>
      <c r="AT1456" t="s">
        <v>93</v>
      </c>
      <c r="AU1456">
        <v>2002</v>
      </c>
      <c r="AV1456">
        <v>44</v>
      </c>
      <c r="AW1456">
        <v>4</v>
      </c>
      <c r="BB1456">
        <v>340</v>
      </c>
      <c r="BC1456">
        <v>345</v>
      </c>
      <c r="BD1456" t="s">
        <v>23766</v>
      </c>
      <c r="BE1456" t="s">
        <v>23767</v>
      </c>
      <c r="BF1456" t="s">
        <v>23768</v>
      </c>
      <c r="BI1456">
        <v>6</v>
      </c>
      <c r="BJ1456" t="s">
        <v>247</v>
      </c>
      <c r="BK1456" t="s">
        <v>96</v>
      </c>
      <c r="BL1456" t="s">
        <v>248</v>
      </c>
      <c r="BM1456" t="s">
        <v>23769</v>
      </c>
      <c r="BN1456">
        <v>12139324</v>
      </c>
      <c r="BR1456" t="s">
        <v>98</v>
      </c>
      <c r="BS1456" t="s">
        <v>23770</v>
      </c>
      <c r="BT1456" t="s">
        <v>16602</v>
      </c>
    </row>
    <row r="1457" spans="1:72">
      <c r="A1457" t="s">
        <v>72</v>
      </c>
      <c r="B1457" t="s">
        <v>23771</v>
      </c>
      <c r="F1457" t="s">
        <v>23772</v>
      </c>
      <c r="I1457" t="s">
        <v>23773</v>
      </c>
      <c r="J1457" t="s">
        <v>4909</v>
      </c>
      <c r="M1457" t="s">
        <v>78</v>
      </c>
      <c r="N1457" t="s">
        <v>79</v>
      </c>
      <c r="T1457" t="s">
        <v>23774</v>
      </c>
      <c r="U1457" t="s">
        <v>23775</v>
      </c>
      <c r="V1457" t="s">
        <v>23776</v>
      </c>
      <c r="W1457" t="s">
        <v>23777</v>
      </c>
      <c r="X1457" t="s">
        <v>15061</v>
      </c>
      <c r="Y1457" t="s">
        <v>23778</v>
      </c>
      <c r="Z1457" t="s">
        <v>6404</v>
      </c>
      <c r="AA1457" t="s">
        <v>23779</v>
      </c>
      <c r="AB1457" t="s">
        <v>23780</v>
      </c>
      <c r="AC1457" t="s">
        <v>23781</v>
      </c>
      <c r="AD1457" t="s">
        <v>23782</v>
      </c>
      <c r="AE1457" t="s">
        <v>23783</v>
      </c>
      <c r="AG1457">
        <v>47</v>
      </c>
      <c r="AH1457">
        <v>14</v>
      </c>
      <c r="AI1457">
        <v>17</v>
      </c>
      <c r="AJ1457">
        <v>1</v>
      </c>
      <c r="AK1457">
        <v>35</v>
      </c>
      <c r="AL1457" t="s">
        <v>408</v>
      </c>
      <c r="AM1457" t="s">
        <v>409</v>
      </c>
      <c r="AN1457" t="s">
        <v>1188</v>
      </c>
      <c r="AO1457" t="s">
        <v>4917</v>
      </c>
      <c r="AP1457" t="s">
        <v>4918</v>
      </c>
      <c r="AR1457" t="s">
        <v>4919</v>
      </c>
      <c r="AS1457" t="s">
        <v>4920</v>
      </c>
      <c r="AU1457">
        <v>2018</v>
      </c>
      <c r="AV1457">
        <v>24</v>
      </c>
      <c r="AW1457">
        <v>3</v>
      </c>
      <c r="BB1457">
        <v>754</v>
      </c>
      <c r="BC1457">
        <v>766</v>
      </c>
      <c r="BE1457" t="s">
        <v>23784</v>
      </c>
      <c r="BF1457" t="s">
        <v>23785</v>
      </c>
      <c r="BI1457">
        <v>13</v>
      </c>
      <c r="BJ1457" t="s">
        <v>4923</v>
      </c>
      <c r="BK1457" t="s">
        <v>96</v>
      </c>
      <c r="BL1457" t="s">
        <v>4924</v>
      </c>
      <c r="BM1457" t="s">
        <v>23786</v>
      </c>
      <c r="BR1457" t="s">
        <v>98</v>
      </c>
      <c r="BS1457" t="s">
        <v>23787</v>
      </c>
      <c r="BT1457" t="s">
        <v>16602</v>
      </c>
    </row>
    <row r="1458" spans="1:72">
      <c r="A1458" t="s">
        <v>72</v>
      </c>
      <c r="B1458" t="s">
        <v>23788</v>
      </c>
      <c r="F1458" t="s">
        <v>23788</v>
      </c>
      <c r="I1458" t="s">
        <v>23789</v>
      </c>
      <c r="J1458" t="s">
        <v>232</v>
      </c>
      <c r="M1458" t="s">
        <v>78</v>
      </c>
      <c r="N1458" t="s">
        <v>151</v>
      </c>
      <c r="O1458" t="s">
        <v>233</v>
      </c>
      <c r="P1458" t="s">
        <v>234</v>
      </c>
      <c r="Q1458" t="s">
        <v>235</v>
      </c>
      <c r="U1458" t="s">
        <v>23790</v>
      </c>
      <c r="V1458" t="s">
        <v>23791</v>
      </c>
      <c r="Y1458" t="s">
        <v>23792</v>
      </c>
      <c r="AA1458" t="s">
        <v>11470</v>
      </c>
      <c r="AB1458" t="s">
        <v>23793</v>
      </c>
      <c r="AG1458">
        <v>35</v>
      </c>
      <c r="AH1458">
        <v>29</v>
      </c>
      <c r="AI1458">
        <v>34</v>
      </c>
      <c r="AJ1458">
        <v>0</v>
      </c>
      <c r="AK1458">
        <v>16</v>
      </c>
      <c r="AL1458" t="s">
        <v>136</v>
      </c>
      <c r="AM1458" t="s">
        <v>137</v>
      </c>
      <c r="AN1458" t="s">
        <v>138</v>
      </c>
      <c r="AO1458" t="s">
        <v>240</v>
      </c>
      <c r="AP1458" t="s">
        <v>241</v>
      </c>
      <c r="AR1458" t="s">
        <v>242</v>
      </c>
      <c r="AS1458" t="s">
        <v>243</v>
      </c>
      <c r="AT1458" t="s">
        <v>244</v>
      </c>
      <c r="AU1458">
        <v>1995</v>
      </c>
      <c r="AV1458">
        <v>31</v>
      </c>
      <c r="AW1458" t="s">
        <v>245</v>
      </c>
      <c r="BB1458">
        <v>471</v>
      </c>
      <c r="BC1458">
        <v>478</v>
      </c>
      <c r="BE1458" t="s">
        <v>23794</v>
      </c>
      <c r="BF1458" t="s">
        <v>23795</v>
      </c>
      <c r="BI1458">
        <v>8</v>
      </c>
      <c r="BJ1458" t="s">
        <v>247</v>
      </c>
      <c r="BK1458" t="s">
        <v>172</v>
      </c>
      <c r="BL1458" t="s">
        <v>248</v>
      </c>
      <c r="BM1458" t="s">
        <v>249</v>
      </c>
      <c r="BR1458" t="s">
        <v>98</v>
      </c>
      <c r="BS1458" t="s">
        <v>23796</v>
      </c>
      <c r="BT1458" t="s">
        <v>16602</v>
      </c>
    </row>
    <row r="1459" spans="1:72">
      <c r="A1459" t="s">
        <v>72</v>
      </c>
      <c r="B1459" t="s">
        <v>23797</v>
      </c>
      <c r="F1459" t="s">
        <v>23798</v>
      </c>
      <c r="I1459" t="s">
        <v>23799</v>
      </c>
      <c r="J1459" t="s">
        <v>6814</v>
      </c>
      <c r="M1459" t="s">
        <v>78</v>
      </c>
      <c r="N1459" t="s">
        <v>79</v>
      </c>
      <c r="T1459" t="s">
        <v>23800</v>
      </c>
      <c r="U1459" t="s">
        <v>23801</v>
      </c>
      <c r="V1459" t="s">
        <v>23802</v>
      </c>
      <c r="W1459" t="s">
        <v>23803</v>
      </c>
      <c r="X1459" t="s">
        <v>23804</v>
      </c>
      <c r="Y1459" t="s">
        <v>23805</v>
      </c>
      <c r="Z1459" t="s">
        <v>9288</v>
      </c>
      <c r="AA1459" t="s">
        <v>23806</v>
      </c>
      <c r="AB1459" t="s">
        <v>23807</v>
      </c>
      <c r="AC1459" t="s">
        <v>23808</v>
      </c>
      <c r="AD1459" t="s">
        <v>23809</v>
      </c>
      <c r="AE1459" t="s">
        <v>23810</v>
      </c>
      <c r="AG1459">
        <v>128</v>
      </c>
      <c r="AH1459">
        <v>28</v>
      </c>
      <c r="AI1459">
        <v>29</v>
      </c>
      <c r="AJ1459">
        <v>1</v>
      </c>
      <c r="AK1459">
        <v>25</v>
      </c>
      <c r="AL1459" t="s">
        <v>564</v>
      </c>
      <c r="AM1459" t="s">
        <v>113</v>
      </c>
      <c r="AN1459" t="s">
        <v>807</v>
      </c>
      <c r="AO1459" t="s">
        <v>5318</v>
      </c>
      <c r="AP1459" t="s">
        <v>6827</v>
      </c>
      <c r="AR1459" t="s">
        <v>5319</v>
      </c>
      <c r="AS1459" t="s">
        <v>5320</v>
      </c>
      <c r="AT1459" t="s">
        <v>170</v>
      </c>
      <c r="AU1459">
        <v>2020</v>
      </c>
      <c r="AV1459">
        <v>243</v>
      </c>
      <c r="BD1459">
        <v>110674</v>
      </c>
      <c r="BE1459" t="s">
        <v>23811</v>
      </c>
      <c r="BF1459" t="s">
        <v>23812</v>
      </c>
      <c r="BI1459">
        <v>15</v>
      </c>
      <c r="BJ1459" t="s">
        <v>5322</v>
      </c>
      <c r="BK1459" t="s">
        <v>96</v>
      </c>
      <c r="BL1459" t="s">
        <v>5322</v>
      </c>
      <c r="BM1459" t="s">
        <v>23813</v>
      </c>
      <c r="BN1459">
        <v>32058044</v>
      </c>
      <c r="BO1459" t="s">
        <v>1752</v>
      </c>
      <c r="BR1459" t="s">
        <v>98</v>
      </c>
      <c r="BS1459" t="s">
        <v>23814</v>
      </c>
      <c r="BT1459" t="s">
        <v>16602</v>
      </c>
    </row>
    <row r="1460" spans="1:72">
      <c r="A1460" t="s">
        <v>72</v>
      </c>
      <c r="B1460" t="s">
        <v>23815</v>
      </c>
      <c r="F1460" t="s">
        <v>23815</v>
      </c>
      <c r="I1460" t="s">
        <v>23816</v>
      </c>
      <c r="J1460" t="s">
        <v>23817</v>
      </c>
      <c r="M1460" t="s">
        <v>78</v>
      </c>
      <c r="N1460" t="s">
        <v>151</v>
      </c>
      <c r="O1460" t="s">
        <v>23818</v>
      </c>
      <c r="P1460" t="s">
        <v>23819</v>
      </c>
      <c r="Q1460" t="s">
        <v>579</v>
      </c>
      <c r="T1460" t="s">
        <v>23820</v>
      </c>
      <c r="V1460" t="s">
        <v>23821</v>
      </c>
      <c r="W1460" t="s">
        <v>9236</v>
      </c>
      <c r="X1460" t="s">
        <v>23822</v>
      </c>
      <c r="Y1460" t="s">
        <v>23823</v>
      </c>
      <c r="AA1460" t="s">
        <v>23824</v>
      </c>
      <c r="AG1460">
        <v>15</v>
      </c>
      <c r="AH1460">
        <v>70</v>
      </c>
      <c r="AI1460">
        <v>90</v>
      </c>
      <c r="AJ1460">
        <v>0</v>
      </c>
      <c r="AK1460">
        <v>36</v>
      </c>
      <c r="AL1460" t="s">
        <v>23825</v>
      </c>
      <c r="AM1460" t="s">
        <v>23826</v>
      </c>
      <c r="AN1460" t="s">
        <v>23827</v>
      </c>
      <c r="AO1460" t="s">
        <v>23828</v>
      </c>
      <c r="AR1460" t="s">
        <v>23829</v>
      </c>
      <c r="AS1460" t="s">
        <v>23830</v>
      </c>
      <c r="AT1460" t="s">
        <v>23831</v>
      </c>
      <c r="AU1460">
        <v>2003</v>
      </c>
      <c r="AV1460">
        <v>140</v>
      </c>
      <c r="AZ1460" t="s">
        <v>225</v>
      </c>
      <c r="BB1460">
        <v>403</v>
      </c>
      <c r="BC1460">
        <v>410</v>
      </c>
      <c r="BE1460" t="s">
        <v>23832</v>
      </c>
      <c r="BF1460" t="s">
        <v>23833</v>
      </c>
      <c r="BI1460">
        <v>8</v>
      </c>
      <c r="BJ1460" t="s">
        <v>95</v>
      </c>
      <c r="BK1460" t="s">
        <v>588</v>
      </c>
      <c r="BL1460" t="s">
        <v>95</v>
      </c>
      <c r="BM1460" t="s">
        <v>23834</v>
      </c>
      <c r="BN1460">
        <v>12676488</v>
      </c>
      <c r="BR1460" t="s">
        <v>98</v>
      </c>
      <c r="BS1460" t="s">
        <v>23835</v>
      </c>
      <c r="BT1460" t="s">
        <v>16602</v>
      </c>
    </row>
    <row r="1461" spans="1:72">
      <c r="A1461" t="s">
        <v>72</v>
      </c>
      <c r="B1461" t="s">
        <v>23836</v>
      </c>
      <c r="F1461" t="s">
        <v>23837</v>
      </c>
      <c r="I1461" t="s">
        <v>23838</v>
      </c>
      <c r="J1461" t="s">
        <v>232</v>
      </c>
      <c r="M1461" t="s">
        <v>78</v>
      </c>
      <c r="N1461" t="s">
        <v>79</v>
      </c>
      <c r="T1461" t="s">
        <v>23839</v>
      </c>
      <c r="U1461" t="s">
        <v>23840</v>
      </c>
      <c r="V1461" t="s">
        <v>23841</v>
      </c>
      <c r="W1461" t="s">
        <v>23842</v>
      </c>
      <c r="X1461" t="s">
        <v>23843</v>
      </c>
      <c r="Y1461" t="s">
        <v>23844</v>
      </c>
      <c r="Z1461" t="s">
        <v>23845</v>
      </c>
      <c r="AA1461" t="s">
        <v>23846</v>
      </c>
      <c r="AB1461" t="s">
        <v>23847</v>
      </c>
      <c r="AC1461" t="s">
        <v>23848</v>
      </c>
      <c r="AD1461" t="s">
        <v>23849</v>
      </c>
      <c r="AE1461" t="s">
        <v>23850</v>
      </c>
      <c r="AG1461">
        <v>74</v>
      </c>
      <c r="AH1461">
        <v>34</v>
      </c>
      <c r="AI1461">
        <v>34</v>
      </c>
      <c r="AJ1461">
        <v>0</v>
      </c>
      <c r="AK1461">
        <v>50</v>
      </c>
      <c r="AL1461" t="s">
        <v>136</v>
      </c>
      <c r="AM1461" t="s">
        <v>137</v>
      </c>
      <c r="AN1461" t="s">
        <v>138</v>
      </c>
      <c r="AO1461" t="s">
        <v>240</v>
      </c>
      <c r="AP1461" t="s">
        <v>241</v>
      </c>
      <c r="AR1461" t="s">
        <v>242</v>
      </c>
      <c r="AS1461" t="s">
        <v>243</v>
      </c>
      <c r="AU1461">
        <v>2010</v>
      </c>
      <c r="AV1461">
        <v>61</v>
      </c>
      <c r="AW1461" t="s">
        <v>5114</v>
      </c>
      <c r="AZ1461" t="s">
        <v>225</v>
      </c>
      <c r="BB1461">
        <v>542</v>
      </c>
      <c r="BC1461">
        <v>553</v>
      </c>
      <c r="BE1461" t="s">
        <v>23851</v>
      </c>
      <c r="BF1461" t="s">
        <v>23852</v>
      </c>
      <c r="BI1461">
        <v>12</v>
      </c>
      <c r="BJ1461" t="s">
        <v>247</v>
      </c>
      <c r="BK1461" t="s">
        <v>96</v>
      </c>
      <c r="BL1461" t="s">
        <v>248</v>
      </c>
      <c r="BM1461" t="s">
        <v>23853</v>
      </c>
      <c r="BN1461">
        <v>20638084</v>
      </c>
      <c r="BR1461" t="s">
        <v>98</v>
      </c>
      <c r="BS1461" t="s">
        <v>23854</v>
      </c>
      <c r="BT1461" t="s">
        <v>16602</v>
      </c>
    </row>
    <row r="1462" spans="1:72">
      <c r="A1462" t="s">
        <v>72</v>
      </c>
      <c r="B1462" t="s">
        <v>23855</v>
      </c>
      <c r="F1462" t="s">
        <v>23856</v>
      </c>
      <c r="I1462" t="s">
        <v>23857</v>
      </c>
      <c r="J1462" t="s">
        <v>7854</v>
      </c>
      <c r="M1462" t="s">
        <v>78</v>
      </c>
      <c r="N1462" t="s">
        <v>79</v>
      </c>
      <c r="T1462" t="s">
        <v>23858</v>
      </c>
      <c r="U1462" t="s">
        <v>23859</v>
      </c>
      <c r="V1462" t="s">
        <v>23860</v>
      </c>
      <c r="W1462" t="s">
        <v>23861</v>
      </c>
      <c r="X1462" t="s">
        <v>23862</v>
      </c>
      <c r="Y1462" t="s">
        <v>23863</v>
      </c>
      <c r="Z1462" t="s">
        <v>23864</v>
      </c>
      <c r="AA1462" t="s">
        <v>23865</v>
      </c>
      <c r="AB1462" t="s">
        <v>23866</v>
      </c>
      <c r="AC1462" t="s">
        <v>23867</v>
      </c>
      <c r="AD1462" t="s">
        <v>23868</v>
      </c>
      <c r="AE1462" t="s">
        <v>23869</v>
      </c>
      <c r="AG1462">
        <v>33</v>
      </c>
      <c r="AH1462">
        <v>35</v>
      </c>
      <c r="AI1462">
        <v>36</v>
      </c>
      <c r="AJ1462">
        <v>0</v>
      </c>
      <c r="AK1462">
        <v>10</v>
      </c>
      <c r="AL1462" t="s">
        <v>112</v>
      </c>
      <c r="AM1462" t="s">
        <v>113</v>
      </c>
      <c r="AN1462" t="s">
        <v>114</v>
      </c>
      <c r="AO1462" t="s">
        <v>7867</v>
      </c>
      <c r="AP1462" t="s">
        <v>7868</v>
      </c>
      <c r="AR1462" t="s">
        <v>7869</v>
      </c>
      <c r="AS1462" t="s">
        <v>7870</v>
      </c>
      <c r="AT1462" t="s">
        <v>765</v>
      </c>
      <c r="AU1462">
        <v>2010</v>
      </c>
      <c r="AV1462">
        <v>61</v>
      </c>
      <c r="AW1462">
        <v>2</v>
      </c>
      <c r="BB1462">
        <v>275</v>
      </c>
      <c r="BC1462">
        <v>286</v>
      </c>
      <c r="BE1462" t="s">
        <v>23870</v>
      </c>
      <c r="BF1462" t="s">
        <v>23871</v>
      </c>
      <c r="BI1462">
        <v>12</v>
      </c>
      <c r="BJ1462" t="s">
        <v>7872</v>
      </c>
      <c r="BK1462" t="s">
        <v>96</v>
      </c>
      <c r="BL1462" t="s">
        <v>7873</v>
      </c>
      <c r="BM1462" t="s">
        <v>23872</v>
      </c>
      <c r="BR1462" t="s">
        <v>98</v>
      </c>
      <c r="BS1462" t="s">
        <v>23873</v>
      </c>
      <c r="BT1462" t="s">
        <v>16602</v>
      </c>
    </row>
    <row r="1463" spans="1:72">
      <c r="A1463" t="s">
        <v>72</v>
      </c>
      <c r="B1463" t="s">
        <v>23874</v>
      </c>
      <c r="F1463" t="s">
        <v>23875</v>
      </c>
      <c r="I1463" t="s">
        <v>23876</v>
      </c>
      <c r="J1463" t="s">
        <v>1607</v>
      </c>
      <c r="M1463" t="s">
        <v>78</v>
      </c>
      <c r="N1463" t="s">
        <v>79</v>
      </c>
      <c r="T1463" t="s">
        <v>23877</v>
      </c>
      <c r="U1463" t="s">
        <v>23878</v>
      </c>
      <c r="V1463" t="s">
        <v>23879</v>
      </c>
      <c r="W1463" t="s">
        <v>23880</v>
      </c>
      <c r="X1463" t="s">
        <v>13785</v>
      </c>
      <c r="Y1463" t="s">
        <v>23881</v>
      </c>
      <c r="Z1463" t="s">
        <v>23882</v>
      </c>
      <c r="AG1463">
        <v>34</v>
      </c>
      <c r="AH1463">
        <v>8</v>
      </c>
      <c r="AI1463">
        <v>12</v>
      </c>
      <c r="AJ1463">
        <v>1</v>
      </c>
      <c r="AK1463">
        <v>14</v>
      </c>
      <c r="AL1463" t="s">
        <v>1620</v>
      </c>
      <c r="AM1463" t="s">
        <v>1621</v>
      </c>
      <c r="AN1463" t="s">
        <v>1622</v>
      </c>
      <c r="AO1463" t="s">
        <v>1623</v>
      </c>
      <c r="AP1463" t="s">
        <v>1624</v>
      </c>
      <c r="AR1463" t="s">
        <v>1607</v>
      </c>
      <c r="AS1463" t="s">
        <v>1625</v>
      </c>
      <c r="AT1463" t="s">
        <v>267</v>
      </c>
      <c r="AU1463">
        <v>2007</v>
      </c>
      <c r="AV1463">
        <v>33</v>
      </c>
      <c r="AW1463">
        <v>5</v>
      </c>
      <c r="BB1463">
        <v>709</v>
      </c>
      <c r="BC1463">
        <v>715</v>
      </c>
      <c r="BI1463">
        <v>7</v>
      </c>
      <c r="BJ1463" t="s">
        <v>1626</v>
      </c>
      <c r="BK1463" t="s">
        <v>96</v>
      </c>
      <c r="BL1463" t="s">
        <v>1626</v>
      </c>
      <c r="BM1463" t="s">
        <v>23883</v>
      </c>
      <c r="BR1463" t="s">
        <v>98</v>
      </c>
      <c r="BS1463" t="s">
        <v>23884</v>
      </c>
      <c r="BT1463" t="s">
        <v>16602</v>
      </c>
    </row>
    <row r="1464" spans="1:72">
      <c r="A1464" t="s">
        <v>72</v>
      </c>
      <c r="B1464" t="s">
        <v>23885</v>
      </c>
      <c r="F1464" t="s">
        <v>23885</v>
      </c>
      <c r="I1464" t="s">
        <v>23886</v>
      </c>
      <c r="J1464" t="s">
        <v>18304</v>
      </c>
      <c r="M1464" t="s">
        <v>78</v>
      </c>
      <c r="N1464" t="s">
        <v>79</v>
      </c>
      <c r="U1464" t="s">
        <v>23887</v>
      </c>
      <c r="V1464" t="s">
        <v>23888</v>
      </c>
      <c r="W1464" t="s">
        <v>23889</v>
      </c>
      <c r="X1464" t="s">
        <v>23890</v>
      </c>
      <c r="Y1464" t="s">
        <v>23891</v>
      </c>
      <c r="Z1464" t="s">
        <v>23892</v>
      </c>
      <c r="AG1464">
        <v>20</v>
      </c>
      <c r="AH1464">
        <v>43</v>
      </c>
      <c r="AI1464">
        <v>52</v>
      </c>
      <c r="AJ1464">
        <v>0</v>
      </c>
      <c r="AK1464">
        <v>14</v>
      </c>
      <c r="AL1464" t="s">
        <v>112</v>
      </c>
      <c r="AM1464" t="s">
        <v>191</v>
      </c>
      <c r="AN1464" t="s">
        <v>192</v>
      </c>
      <c r="AO1464" t="s">
        <v>16275</v>
      </c>
      <c r="AP1464" t="s">
        <v>23893</v>
      </c>
      <c r="AR1464" t="s">
        <v>18311</v>
      </c>
      <c r="AS1464" t="s">
        <v>18312</v>
      </c>
      <c r="AU1464">
        <v>2004</v>
      </c>
      <c r="AV1464">
        <v>259</v>
      </c>
      <c r="AW1464">
        <v>1</v>
      </c>
      <c r="BB1464">
        <v>119</v>
      </c>
      <c r="BC1464">
        <v>127</v>
      </c>
      <c r="BE1464" t="s">
        <v>23894</v>
      </c>
      <c r="BF1464" t="s">
        <v>23895</v>
      </c>
      <c r="BI1464">
        <v>9</v>
      </c>
      <c r="BJ1464" t="s">
        <v>16279</v>
      </c>
      <c r="BK1464" t="s">
        <v>96</v>
      </c>
      <c r="BL1464" t="s">
        <v>16280</v>
      </c>
      <c r="BM1464" t="s">
        <v>23896</v>
      </c>
      <c r="BR1464" t="s">
        <v>98</v>
      </c>
      <c r="BS1464" t="s">
        <v>23897</v>
      </c>
      <c r="BT1464" t="s">
        <v>16602</v>
      </c>
    </row>
    <row r="1465" spans="1:72">
      <c r="A1465" t="s">
        <v>72</v>
      </c>
      <c r="B1465" t="s">
        <v>23898</v>
      </c>
      <c r="F1465" t="s">
        <v>23899</v>
      </c>
      <c r="I1465" t="s">
        <v>23900</v>
      </c>
      <c r="J1465" t="s">
        <v>204</v>
      </c>
      <c r="M1465" t="s">
        <v>78</v>
      </c>
      <c r="N1465" t="s">
        <v>79</v>
      </c>
      <c r="T1465" t="s">
        <v>23901</v>
      </c>
      <c r="U1465" t="s">
        <v>23902</v>
      </c>
      <c r="V1465" t="s">
        <v>23903</v>
      </c>
      <c r="W1465" t="s">
        <v>23904</v>
      </c>
      <c r="X1465" t="s">
        <v>23905</v>
      </c>
      <c r="Y1465" t="s">
        <v>23906</v>
      </c>
      <c r="Z1465" t="s">
        <v>9288</v>
      </c>
      <c r="AA1465" t="s">
        <v>23907</v>
      </c>
      <c r="AB1465" t="s">
        <v>23908</v>
      </c>
      <c r="AC1465" t="s">
        <v>23909</v>
      </c>
      <c r="AD1465" t="s">
        <v>23910</v>
      </c>
      <c r="AE1465" t="s">
        <v>23911</v>
      </c>
      <c r="AG1465">
        <v>127</v>
      </c>
      <c r="AH1465">
        <v>5</v>
      </c>
      <c r="AI1465">
        <v>5</v>
      </c>
      <c r="AJ1465">
        <v>2</v>
      </c>
      <c r="AK1465">
        <v>15</v>
      </c>
      <c r="AL1465" t="s">
        <v>217</v>
      </c>
      <c r="AM1465" t="s">
        <v>218</v>
      </c>
      <c r="AN1465" t="s">
        <v>219</v>
      </c>
      <c r="AO1465" t="s">
        <v>220</v>
      </c>
      <c r="AP1465" t="s">
        <v>221</v>
      </c>
      <c r="AR1465" t="s">
        <v>222</v>
      </c>
      <c r="AS1465" t="s">
        <v>223</v>
      </c>
      <c r="AT1465" t="s">
        <v>170</v>
      </c>
      <c r="AU1465">
        <v>2022</v>
      </c>
      <c r="AV1465">
        <v>29</v>
      </c>
      <c r="AW1465">
        <v>22</v>
      </c>
      <c r="BB1465">
        <v>32967</v>
      </c>
      <c r="BC1465">
        <v>32987</v>
      </c>
      <c r="BE1465" t="s">
        <v>23912</v>
      </c>
      <c r="BF1465" t="s">
        <v>23913</v>
      </c>
      <c r="BH1465" t="s">
        <v>227</v>
      </c>
      <c r="BI1465">
        <v>21</v>
      </c>
      <c r="BJ1465" t="s">
        <v>144</v>
      </c>
      <c r="BK1465" t="s">
        <v>96</v>
      </c>
      <c r="BL1465" t="s">
        <v>145</v>
      </c>
      <c r="BM1465" t="s">
        <v>23914</v>
      </c>
      <c r="BN1465">
        <v>35022978</v>
      </c>
      <c r="BR1465" t="s">
        <v>98</v>
      </c>
      <c r="BS1465" t="s">
        <v>23915</v>
      </c>
      <c r="BT1465" t="s">
        <v>16602</v>
      </c>
    </row>
    <row r="1466" spans="1:72">
      <c r="A1466" t="s">
        <v>72</v>
      </c>
      <c r="B1466" t="s">
        <v>23916</v>
      </c>
      <c r="F1466" t="s">
        <v>23917</v>
      </c>
      <c r="I1466" t="s">
        <v>23918</v>
      </c>
      <c r="J1466" t="s">
        <v>23919</v>
      </c>
      <c r="M1466" t="s">
        <v>78</v>
      </c>
      <c r="N1466" t="s">
        <v>79</v>
      </c>
      <c r="T1466" t="s">
        <v>23920</v>
      </c>
      <c r="V1466" t="s">
        <v>23921</v>
      </c>
      <c r="W1466" t="s">
        <v>23922</v>
      </c>
      <c r="X1466" t="s">
        <v>23923</v>
      </c>
      <c r="Y1466" t="s">
        <v>23924</v>
      </c>
      <c r="Z1466" t="s">
        <v>23925</v>
      </c>
      <c r="AA1466" t="s">
        <v>23926</v>
      </c>
      <c r="AB1466" t="s">
        <v>23927</v>
      </c>
      <c r="AC1466" t="s">
        <v>23928</v>
      </c>
      <c r="AD1466" t="s">
        <v>23929</v>
      </c>
      <c r="AE1466" t="s">
        <v>23930</v>
      </c>
      <c r="AG1466">
        <v>8</v>
      </c>
      <c r="AH1466">
        <v>53</v>
      </c>
      <c r="AI1466">
        <v>63</v>
      </c>
      <c r="AJ1466">
        <v>1</v>
      </c>
      <c r="AK1466">
        <v>27</v>
      </c>
      <c r="AL1466" t="s">
        <v>4368</v>
      </c>
      <c r="AM1466" t="s">
        <v>4369</v>
      </c>
      <c r="AN1466" t="s">
        <v>4370</v>
      </c>
      <c r="AO1466" t="s">
        <v>23931</v>
      </c>
      <c r="AP1466" t="s">
        <v>23932</v>
      </c>
      <c r="AR1466" t="s">
        <v>23933</v>
      </c>
      <c r="AS1466" t="s">
        <v>23934</v>
      </c>
      <c r="AT1466" t="s">
        <v>119</v>
      </c>
      <c r="AU1466">
        <v>2000</v>
      </c>
      <c r="AV1466">
        <v>1</v>
      </c>
      <c r="AY1466">
        <v>1</v>
      </c>
      <c r="BB1466" t="s">
        <v>23935</v>
      </c>
      <c r="BC1466" t="s">
        <v>23936</v>
      </c>
      <c r="BD1466" t="s">
        <v>23937</v>
      </c>
      <c r="BE1466" t="s">
        <v>23938</v>
      </c>
      <c r="BF1466" t="s">
        <v>23939</v>
      </c>
      <c r="BI1466">
        <v>9</v>
      </c>
      <c r="BJ1466" t="s">
        <v>23940</v>
      </c>
      <c r="BK1466" t="s">
        <v>23941</v>
      </c>
      <c r="BL1466" t="s">
        <v>23942</v>
      </c>
      <c r="BM1466" t="s">
        <v>23943</v>
      </c>
      <c r="BR1466" t="s">
        <v>98</v>
      </c>
      <c r="BS1466" t="s">
        <v>23944</v>
      </c>
      <c r="BT1466" t="s">
        <v>16602</v>
      </c>
    </row>
    <row r="1467" spans="1:72">
      <c r="A1467" t="s">
        <v>72</v>
      </c>
      <c r="B1467" t="s">
        <v>23945</v>
      </c>
      <c r="F1467" t="s">
        <v>23945</v>
      </c>
      <c r="I1467" t="s">
        <v>23946</v>
      </c>
      <c r="J1467" t="s">
        <v>4463</v>
      </c>
      <c r="M1467" t="s">
        <v>78</v>
      </c>
      <c r="N1467" t="s">
        <v>79</v>
      </c>
      <c r="U1467" t="s">
        <v>23947</v>
      </c>
      <c r="V1467" t="s">
        <v>23948</v>
      </c>
      <c r="W1467" t="s">
        <v>23949</v>
      </c>
      <c r="X1467" t="s">
        <v>23950</v>
      </c>
      <c r="Y1467" t="s">
        <v>23951</v>
      </c>
      <c r="Z1467" t="s">
        <v>23952</v>
      </c>
      <c r="AA1467" t="s">
        <v>23953</v>
      </c>
      <c r="AB1467" t="s">
        <v>23954</v>
      </c>
      <c r="AG1467">
        <v>44</v>
      </c>
      <c r="AH1467">
        <v>39</v>
      </c>
      <c r="AI1467">
        <v>47</v>
      </c>
      <c r="AJ1467">
        <v>1</v>
      </c>
      <c r="AK1467">
        <v>16</v>
      </c>
      <c r="AL1467" t="s">
        <v>4471</v>
      </c>
      <c r="AM1467" t="s">
        <v>4472</v>
      </c>
      <c r="AN1467" t="s">
        <v>4473</v>
      </c>
      <c r="AO1467" t="s">
        <v>4474</v>
      </c>
      <c r="AP1467" t="s">
        <v>4475</v>
      </c>
      <c r="AR1467" t="s">
        <v>4476</v>
      </c>
      <c r="AS1467" t="s">
        <v>4477</v>
      </c>
      <c r="AT1467" t="s">
        <v>4761</v>
      </c>
      <c r="AU1467">
        <v>2005</v>
      </c>
      <c r="AV1467">
        <v>39</v>
      </c>
      <c r="AW1467">
        <v>6</v>
      </c>
      <c r="BB1467">
        <v>1455</v>
      </c>
      <c r="BC1467">
        <v>1462</v>
      </c>
      <c r="BE1467" t="s">
        <v>23955</v>
      </c>
      <c r="BF1467" t="s">
        <v>23956</v>
      </c>
      <c r="BI1467">
        <v>8</v>
      </c>
      <c r="BJ1467" t="s">
        <v>415</v>
      </c>
      <c r="BK1467" t="s">
        <v>96</v>
      </c>
      <c r="BL1467" t="s">
        <v>416</v>
      </c>
      <c r="BM1467" t="s">
        <v>23957</v>
      </c>
      <c r="BN1467">
        <v>15819197</v>
      </c>
      <c r="BO1467" t="s">
        <v>1270</v>
      </c>
      <c r="BR1467" t="s">
        <v>98</v>
      </c>
      <c r="BS1467" t="s">
        <v>23958</v>
      </c>
      <c r="BT1467" t="s">
        <v>16602</v>
      </c>
    </row>
    <row r="1468" spans="1:72">
      <c r="A1468" t="s">
        <v>72</v>
      </c>
      <c r="B1468" t="s">
        <v>23959</v>
      </c>
      <c r="F1468" t="s">
        <v>23960</v>
      </c>
      <c r="I1468" t="s">
        <v>23961</v>
      </c>
      <c r="J1468" t="s">
        <v>22801</v>
      </c>
      <c r="M1468" t="s">
        <v>78</v>
      </c>
      <c r="N1468" t="s">
        <v>79</v>
      </c>
      <c r="T1468" t="s">
        <v>23962</v>
      </c>
      <c r="U1468" t="s">
        <v>23963</v>
      </c>
      <c r="V1468" t="s">
        <v>23964</v>
      </c>
      <c r="W1468" t="s">
        <v>23965</v>
      </c>
      <c r="X1468" t="s">
        <v>9919</v>
      </c>
      <c r="Y1468" t="s">
        <v>23966</v>
      </c>
      <c r="Z1468" t="s">
        <v>20827</v>
      </c>
      <c r="AA1468" t="s">
        <v>9921</v>
      </c>
      <c r="AB1468" t="s">
        <v>23967</v>
      </c>
      <c r="AC1468" t="s">
        <v>23968</v>
      </c>
      <c r="AD1468" t="s">
        <v>23968</v>
      </c>
      <c r="AE1468" t="s">
        <v>23969</v>
      </c>
      <c r="AG1468">
        <v>100</v>
      </c>
      <c r="AH1468">
        <v>3</v>
      </c>
      <c r="AI1468">
        <v>3</v>
      </c>
      <c r="AJ1468">
        <v>2</v>
      </c>
      <c r="AK1468">
        <v>10</v>
      </c>
      <c r="AL1468" t="s">
        <v>650</v>
      </c>
      <c r="AM1468" t="s">
        <v>651</v>
      </c>
      <c r="AN1468" t="s">
        <v>652</v>
      </c>
      <c r="AO1468" t="s">
        <v>22808</v>
      </c>
      <c r="AP1468" t="s">
        <v>22809</v>
      </c>
      <c r="AR1468" t="s">
        <v>22810</v>
      </c>
      <c r="AS1468" t="s">
        <v>22811</v>
      </c>
      <c r="AT1468" t="s">
        <v>224</v>
      </c>
      <c r="AU1468">
        <v>2023</v>
      </c>
      <c r="AV1468">
        <v>191</v>
      </c>
      <c r="BD1468">
        <v>102334</v>
      </c>
      <c r="BE1468" t="s">
        <v>23970</v>
      </c>
      <c r="BF1468" t="s">
        <v>23971</v>
      </c>
      <c r="BH1468" t="s">
        <v>2057</v>
      </c>
      <c r="BI1468">
        <v>9</v>
      </c>
      <c r="BJ1468" t="s">
        <v>4241</v>
      </c>
      <c r="BK1468" t="s">
        <v>96</v>
      </c>
      <c r="BL1468" t="s">
        <v>4241</v>
      </c>
      <c r="BM1468" t="s">
        <v>23972</v>
      </c>
      <c r="BO1468" t="s">
        <v>2155</v>
      </c>
      <c r="BR1468" t="s">
        <v>98</v>
      </c>
      <c r="BS1468" t="s">
        <v>23973</v>
      </c>
      <c r="BT1468" t="s">
        <v>16602</v>
      </c>
    </row>
    <row r="1469" spans="1:72">
      <c r="A1469" t="s">
        <v>72</v>
      </c>
      <c r="B1469" t="s">
        <v>23974</v>
      </c>
      <c r="F1469" t="s">
        <v>23975</v>
      </c>
      <c r="I1469" t="s">
        <v>23976</v>
      </c>
      <c r="J1469" t="s">
        <v>127</v>
      </c>
      <c r="M1469" t="s">
        <v>78</v>
      </c>
      <c r="N1469" t="s">
        <v>79</v>
      </c>
      <c r="T1469" t="s">
        <v>23977</v>
      </c>
      <c r="U1469" t="s">
        <v>23978</v>
      </c>
      <c r="V1469" t="s">
        <v>23979</v>
      </c>
      <c r="W1469" t="s">
        <v>23980</v>
      </c>
      <c r="X1469" t="s">
        <v>23981</v>
      </c>
      <c r="Y1469" t="s">
        <v>23982</v>
      </c>
      <c r="Z1469" t="s">
        <v>23983</v>
      </c>
      <c r="AG1469">
        <v>44</v>
      </c>
      <c r="AH1469">
        <v>40</v>
      </c>
      <c r="AI1469">
        <v>49</v>
      </c>
      <c r="AJ1469">
        <v>1</v>
      </c>
      <c r="AK1469">
        <v>34</v>
      </c>
      <c r="AL1469" t="s">
        <v>136</v>
      </c>
      <c r="AM1469" t="s">
        <v>137</v>
      </c>
      <c r="AN1469" t="s">
        <v>138</v>
      </c>
      <c r="AO1469" t="s">
        <v>139</v>
      </c>
      <c r="AP1469" t="s">
        <v>140</v>
      </c>
      <c r="AR1469" t="s">
        <v>127</v>
      </c>
      <c r="AS1469" t="s">
        <v>141</v>
      </c>
      <c r="AT1469" t="s">
        <v>267</v>
      </c>
      <c r="AU1469">
        <v>2007</v>
      </c>
      <c r="AV1469">
        <v>69</v>
      </c>
      <c r="AW1469">
        <v>6</v>
      </c>
      <c r="BB1469">
        <v>972</v>
      </c>
      <c r="BC1469">
        <v>978</v>
      </c>
      <c r="BE1469" t="s">
        <v>23984</v>
      </c>
      <c r="BF1469" t="s">
        <v>23985</v>
      </c>
      <c r="BI1469">
        <v>7</v>
      </c>
      <c r="BJ1469" t="s">
        <v>144</v>
      </c>
      <c r="BK1469" t="s">
        <v>96</v>
      </c>
      <c r="BL1469" t="s">
        <v>145</v>
      </c>
      <c r="BM1469" t="s">
        <v>23986</v>
      </c>
      <c r="BN1469">
        <v>17604811</v>
      </c>
      <c r="BR1469" t="s">
        <v>98</v>
      </c>
      <c r="BS1469" t="s">
        <v>23987</v>
      </c>
      <c r="BT1469" t="s">
        <v>16602</v>
      </c>
    </row>
    <row r="1470" spans="1:72">
      <c r="A1470" t="s">
        <v>72</v>
      </c>
      <c r="B1470" t="s">
        <v>23988</v>
      </c>
      <c r="F1470" t="s">
        <v>23989</v>
      </c>
      <c r="I1470" t="s">
        <v>23990</v>
      </c>
      <c r="J1470" t="s">
        <v>204</v>
      </c>
      <c r="M1470" t="s">
        <v>78</v>
      </c>
      <c r="N1470" t="s">
        <v>79</v>
      </c>
      <c r="T1470" t="s">
        <v>23991</v>
      </c>
      <c r="U1470" t="s">
        <v>23992</v>
      </c>
      <c r="V1470" t="s">
        <v>23993</v>
      </c>
      <c r="W1470" t="s">
        <v>23994</v>
      </c>
      <c r="X1470" t="s">
        <v>23995</v>
      </c>
      <c r="Y1470" t="s">
        <v>23805</v>
      </c>
      <c r="Z1470" t="s">
        <v>9288</v>
      </c>
      <c r="AA1470" t="s">
        <v>23996</v>
      </c>
      <c r="AB1470" t="s">
        <v>23997</v>
      </c>
      <c r="AC1470" t="s">
        <v>23998</v>
      </c>
      <c r="AD1470" t="s">
        <v>23999</v>
      </c>
      <c r="AE1470" t="s">
        <v>24000</v>
      </c>
      <c r="AG1470">
        <v>104</v>
      </c>
      <c r="AH1470">
        <v>31</v>
      </c>
      <c r="AI1470">
        <v>34</v>
      </c>
      <c r="AJ1470">
        <v>0</v>
      </c>
      <c r="AK1470">
        <v>42</v>
      </c>
      <c r="AL1470" t="s">
        <v>217</v>
      </c>
      <c r="AM1470" t="s">
        <v>218</v>
      </c>
      <c r="AN1470" t="s">
        <v>219</v>
      </c>
      <c r="AO1470" t="s">
        <v>220</v>
      </c>
      <c r="AP1470" t="s">
        <v>221</v>
      </c>
      <c r="AR1470" t="s">
        <v>222</v>
      </c>
      <c r="AS1470" t="s">
        <v>223</v>
      </c>
      <c r="AT1470" t="s">
        <v>119</v>
      </c>
      <c r="AU1470">
        <v>2015</v>
      </c>
      <c r="AV1470">
        <v>22</v>
      </c>
      <c r="AW1470">
        <v>15</v>
      </c>
      <c r="BB1470">
        <v>11890</v>
      </c>
      <c r="BC1470">
        <v>11904</v>
      </c>
      <c r="BE1470" t="s">
        <v>24001</v>
      </c>
      <c r="BF1470" t="s">
        <v>24002</v>
      </c>
      <c r="BI1470">
        <v>15</v>
      </c>
      <c r="BJ1470" t="s">
        <v>144</v>
      </c>
      <c r="BK1470" t="s">
        <v>96</v>
      </c>
      <c r="BL1470" t="s">
        <v>145</v>
      </c>
      <c r="BM1470" t="s">
        <v>24003</v>
      </c>
      <c r="BN1470">
        <v>25869429</v>
      </c>
      <c r="BR1470" t="s">
        <v>98</v>
      </c>
      <c r="BS1470" t="s">
        <v>24004</v>
      </c>
      <c r="BT1470" t="s">
        <v>16602</v>
      </c>
    </row>
    <row r="1471" spans="1:72">
      <c r="A1471" t="s">
        <v>72</v>
      </c>
      <c r="B1471" t="s">
        <v>24005</v>
      </c>
      <c r="F1471" t="s">
        <v>24006</v>
      </c>
      <c r="I1471" t="s">
        <v>24007</v>
      </c>
      <c r="J1471" t="s">
        <v>127</v>
      </c>
      <c r="M1471" t="s">
        <v>78</v>
      </c>
      <c r="N1471" t="s">
        <v>79</v>
      </c>
      <c r="T1471" t="s">
        <v>24008</v>
      </c>
      <c r="U1471" t="s">
        <v>24009</v>
      </c>
      <c r="V1471" t="s">
        <v>24010</v>
      </c>
      <c r="W1471" t="s">
        <v>24011</v>
      </c>
      <c r="X1471" t="s">
        <v>24012</v>
      </c>
      <c r="Y1471" t="s">
        <v>24013</v>
      </c>
      <c r="Z1471" t="s">
        <v>24014</v>
      </c>
      <c r="AA1471" t="s">
        <v>24015</v>
      </c>
      <c r="AB1471" t="s">
        <v>24016</v>
      </c>
      <c r="AC1471" t="s">
        <v>24017</v>
      </c>
      <c r="AD1471" t="s">
        <v>24018</v>
      </c>
      <c r="AE1471" t="s">
        <v>24019</v>
      </c>
      <c r="AG1471">
        <v>59</v>
      </c>
      <c r="AH1471">
        <v>62</v>
      </c>
      <c r="AI1471">
        <v>69</v>
      </c>
      <c r="AJ1471">
        <v>2</v>
      </c>
      <c r="AK1471">
        <v>51</v>
      </c>
      <c r="AL1471" t="s">
        <v>136</v>
      </c>
      <c r="AM1471" t="s">
        <v>137</v>
      </c>
      <c r="AN1471" t="s">
        <v>138</v>
      </c>
      <c r="AO1471" t="s">
        <v>139</v>
      </c>
      <c r="AP1471" t="s">
        <v>140</v>
      </c>
      <c r="AR1471" t="s">
        <v>127</v>
      </c>
      <c r="AS1471" t="s">
        <v>141</v>
      </c>
      <c r="AT1471" t="s">
        <v>1470</v>
      </c>
      <c r="AU1471">
        <v>2013</v>
      </c>
      <c r="AV1471">
        <v>90</v>
      </c>
      <c r="AW1471">
        <v>3</v>
      </c>
      <c r="BB1471">
        <v>917</v>
      </c>
      <c r="BC1471">
        <v>928</v>
      </c>
      <c r="BE1471" t="s">
        <v>24020</v>
      </c>
      <c r="BF1471" t="s">
        <v>24021</v>
      </c>
      <c r="BI1471">
        <v>12</v>
      </c>
      <c r="BJ1471" t="s">
        <v>144</v>
      </c>
      <c r="BK1471" t="s">
        <v>96</v>
      </c>
      <c r="BL1471" t="s">
        <v>145</v>
      </c>
      <c r="BM1471" t="s">
        <v>24022</v>
      </c>
      <c r="BN1471">
        <v>22840538</v>
      </c>
      <c r="BR1471" t="s">
        <v>98</v>
      </c>
      <c r="BS1471" t="s">
        <v>24023</v>
      </c>
      <c r="BT1471" t="s">
        <v>16602</v>
      </c>
    </row>
    <row r="1472" spans="1:72">
      <c r="A1472" t="s">
        <v>72</v>
      </c>
      <c r="B1472" t="s">
        <v>24024</v>
      </c>
      <c r="F1472" t="s">
        <v>24024</v>
      </c>
      <c r="I1472" t="s">
        <v>24025</v>
      </c>
      <c r="J1472" t="s">
        <v>1756</v>
      </c>
      <c r="M1472" t="s">
        <v>78</v>
      </c>
      <c r="N1472" t="s">
        <v>79</v>
      </c>
      <c r="T1472" t="s">
        <v>24026</v>
      </c>
      <c r="U1472" t="s">
        <v>24027</v>
      </c>
      <c r="V1472" t="s">
        <v>24028</v>
      </c>
      <c r="W1472" t="s">
        <v>24029</v>
      </c>
      <c r="X1472" t="s">
        <v>24030</v>
      </c>
      <c r="AG1472">
        <v>57</v>
      </c>
      <c r="AH1472">
        <v>77</v>
      </c>
      <c r="AI1472">
        <v>86</v>
      </c>
      <c r="AJ1472">
        <v>2</v>
      </c>
      <c r="AK1472">
        <v>35</v>
      </c>
      <c r="AL1472" t="s">
        <v>24031</v>
      </c>
      <c r="AM1472" t="s">
        <v>24032</v>
      </c>
      <c r="AN1472" t="s">
        <v>24033</v>
      </c>
      <c r="AO1472" t="s">
        <v>1764</v>
      </c>
      <c r="AR1472" t="s">
        <v>1766</v>
      </c>
      <c r="AS1472" t="s">
        <v>1767</v>
      </c>
      <c r="AU1472">
        <v>1991</v>
      </c>
      <c r="AV1472">
        <v>10</v>
      </c>
      <c r="AW1472">
        <v>4</v>
      </c>
      <c r="BB1472">
        <v>539</v>
      </c>
      <c r="BC1472">
        <v>546</v>
      </c>
      <c r="BE1472" t="s">
        <v>24034</v>
      </c>
      <c r="BF1472" t="s">
        <v>24035</v>
      </c>
      <c r="BI1472">
        <v>8</v>
      </c>
      <c r="BJ1472" t="s">
        <v>121</v>
      </c>
      <c r="BK1472" t="s">
        <v>96</v>
      </c>
      <c r="BL1472" t="s">
        <v>122</v>
      </c>
      <c r="BM1472" t="s">
        <v>24036</v>
      </c>
      <c r="BR1472" t="s">
        <v>98</v>
      </c>
      <c r="BS1472" t="s">
        <v>24037</v>
      </c>
      <c r="BT1472" t="s">
        <v>16602</v>
      </c>
    </row>
    <row r="1473" spans="1:72">
      <c r="A1473" t="s">
        <v>72</v>
      </c>
      <c r="B1473" t="s">
        <v>24038</v>
      </c>
      <c r="F1473" t="s">
        <v>24039</v>
      </c>
      <c r="I1473" t="s">
        <v>24040</v>
      </c>
      <c r="J1473" t="s">
        <v>7097</v>
      </c>
      <c r="M1473" t="s">
        <v>78</v>
      </c>
      <c r="N1473" t="s">
        <v>79</v>
      </c>
      <c r="T1473" t="s">
        <v>24041</v>
      </c>
      <c r="U1473" t="s">
        <v>24042</v>
      </c>
      <c r="V1473" t="s">
        <v>24043</v>
      </c>
      <c r="W1473" t="s">
        <v>24044</v>
      </c>
      <c r="X1473" t="s">
        <v>16379</v>
      </c>
      <c r="Y1473" t="s">
        <v>24045</v>
      </c>
      <c r="Z1473" t="s">
        <v>24046</v>
      </c>
      <c r="AA1473" t="s">
        <v>24047</v>
      </c>
      <c r="AB1473" t="s">
        <v>24048</v>
      </c>
      <c r="AC1473" t="s">
        <v>24049</v>
      </c>
      <c r="AD1473" t="s">
        <v>24050</v>
      </c>
      <c r="AE1473" t="s">
        <v>24051</v>
      </c>
      <c r="AG1473">
        <v>81</v>
      </c>
      <c r="AH1473">
        <v>30</v>
      </c>
      <c r="AI1473">
        <v>32</v>
      </c>
      <c r="AJ1473">
        <v>0</v>
      </c>
      <c r="AK1473">
        <v>20</v>
      </c>
      <c r="AL1473" t="s">
        <v>650</v>
      </c>
      <c r="AM1473" t="s">
        <v>651</v>
      </c>
      <c r="AN1473" t="s">
        <v>652</v>
      </c>
      <c r="AO1473" t="s">
        <v>7110</v>
      </c>
      <c r="AP1473" t="s">
        <v>7111</v>
      </c>
      <c r="AR1473" t="s">
        <v>7112</v>
      </c>
      <c r="AS1473" t="s">
        <v>7113</v>
      </c>
      <c r="AT1473" t="s">
        <v>170</v>
      </c>
      <c r="AU1473">
        <v>2010</v>
      </c>
      <c r="AV1473">
        <v>10</v>
      </c>
      <c r="AW1473">
        <v>3</v>
      </c>
      <c r="BB1473">
        <v>734</v>
      </c>
      <c r="BC1473">
        <v>743</v>
      </c>
      <c r="BE1473" t="s">
        <v>24052</v>
      </c>
      <c r="BF1473" t="s">
        <v>24053</v>
      </c>
      <c r="BI1473">
        <v>10</v>
      </c>
      <c r="BJ1473" t="s">
        <v>4923</v>
      </c>
      <c r="BK1473" t="s">
        <v>96</v>
      </c>
      <c r="BL1473" t="s">
        <v>4924</v>
      </c>
      <c r="BM1473" t="s">
        <v>24054</v>
      </c>
      <c r="BR1473" t="s">
        <v>98</v>
      </c>
      <c r="BS1473" t="s">
        <v>24055</v>
      </c>
      <c r="BT1473" t="s">
        <v>16602</v>
      </c>
    </row>
    <row r="1474" spans="1:72">
      <c r="A1474" t="s">
        <v>72</v>
      </c>
      <c r="B1474" t="s">
        <v>24056</v>
      </c>
      <c r="F1474" t="s">
        <v>24056</v>
      </c>
      <c r="I1474" t="s">
        <v>24057</v>
      </c>
      <c r="J1474" t="s">
        <v>232</v>
      </c>
      <c r="M1474" t="s">
        <v>78</v>
      </c>
      <c r="N1474" t="s">
        <v>79</v>
      </c>
      <c r="T1474" t="s">
        <v>24058</v>
      </c>
      <c r="U1474" t="s">
        <v>24059</v>
      </c>
      <c r="V1474" t="s">
        <v>24060</v>
      </c>
      <c r="W1474" t="s">
        <v>24061</v>
      </c>
      <c r="X1474" t="s">
        <v>24062</v>
      </c>
      <c r="Y1474" t="s">
        <v>24063</v>
      </c>
      <c r="Z1474" t="s">
        <v>24064</v>
      </c>
      <c r="AA1474" t="s">
        <v>24065</v>
      </c>
      <c r="AB1474" t="s">
        <v>24066</v>
      </c>
      <c r="AG1474">
        <v>46</v>
      </c>
      <c r="AH1474">
        <v>35</v>
      </c>
      <c r="AI1474">
        <v>39</v>
      </c>
      <c r="AJ1474">
        <v>0</v>
      </c>
      <c r="AK1474">
        <v>11</v>
      </c>
      <c r="AL1474" t="s">
        <v>136</v>
      </c>
      <c r="AM1474" t="s">
        <v>137</v>
      </c>
      <c r="AN1474" t="s">
        <v>138</v>
      </c>
      <c r="AO1474" t="s">
        <v>240</v>
      </c>
      <c r="AP1474" t="s">
        <v>241</v>
      </c>
      <c r="AR1474" t="s">
        <v>242</v>
      </c>
      <c r="AS1474" t="s">
        <v>243</v>
      </c>
      <c r="AT1474" t="s">
        <v>93</v>
      </c>
      <c r="AU1474">
        <v>2005</v>
      </c>
      <c r="AV1474">
        <v>50</v>
      </c>
      <c r="AW1474">
        <v>4</v>
      </c>
      <c r="BB1474">
        <v>446</v>
      </c>
      <c r="BC1474">
        <v>459</v>
      </c>
      <c r="BE1474" t="s">
        <v>24067</v>
      </c>
      <c r="BF1474" t="s">
        <v>24068</v>
      </c>
      <c r="BI1474">
        <v>14</v>
      </c>
      <c r="BJ1474" t="s">
        <v>247</v>
      </c>
      <c r="BK1474" t="s">
        <v>96</v>
      </c>
      <c r="BL1474" t="s">
        <v>248</v>
      </c>
      <c r="BM1474" t="s">
        <v>20288</v>
      </c>
      <c r="BN1474">
        <v>15823307</v>
      </c>
      <c r="BR1474" t="s">
        <v>98</v>
      </c>
      <c r="BS1474" t="s">
        <v>24069</v>
      </c>
      <c r="BT1474" t="s">
        <v>16602</v>
      </c>
    </row>
    <row r="1475" spans="1:72">
      <c r="A1475" t="s">
        <v>72</v>
      </c>
      <c r="B1475" t="s">
        <v>24070</v>
      </c>
      <c r="F1475" t="s">
        <v>24071</v>
      </c>
      <c r="I1475" t="s">
        <v>24072</v>
      </c>
      <c r="J1475" t="s">
        <v>7895</v>
      </c>
      <c r="M1475" t="s">
        <v>78</v>
      </c>
      <c r="N1475" t="s">
        <v>79</v>
      </c>
      <c r="T1475" t="s">
        <v>24073</v>
      </c>
      <c r="U1475" t="s">
        <v>24074</v>
      </c>
      <c r="V1475" t="s">
        <v>24075</v>
      </c>
      <c r="W1475" t="s">
        <v>24076</v>
      </c>
      <c r="X1475" t="s">
        <v>24077</v>
      </c>
      <c r="Y1475" t="s">
        <v>24078</v>
      </c>
      <c r="Z1475" t="s">
        <v>24079</v>
      </c>
      <c r="AC1475" t="s">
        <v>24080</v>
      </c>
      <c r="AD1475" t="s">
        <v>24081</v>
      </c>
      <c r="AE1475" t="s">
        <v>24082</v>
      </c>
      <c r="AG1475">
        <v>101</v>
      </c>
      <c r="AH1475">
        <v>0</v>
      </c>
      <c r="AI1475">
        <v>0</v>
      </c>
      <c r="AJ1475">
        <v>12</v>
      </c>
      <c r="AK1475">
        <v>12</v>
      </c>
      <c r="AL1475" t="s">
        <v>650</v>
      </c>
      <c r="AM1475" t="s">
        <v>651</v>
      </c>
      <c r="AN1475" t="s">
        <v>652</v>
      </c>
      <c r="AO1475" t="s">
        <v>7907</v>
      </c>
      <c r="AP1475" t="s">
        <v>7908</v>
      </c>
      <c r="AR1475" t="s">
        <v>7909</v>
      </c>
      <c r="AS1475" t="s">
        <v>7910</v>
      </c>
      <c r="AT1475" t="s">
        <v>170</v>
      </c>
      <c r="AU1475">
        <v>2024</v>
      </c>
      <c r="AV1475">
        <v>17</v>
      </c>
      <c r="AW1475">
        <v>5</v>
      </c>
      <c r="BD1475">
        <v>105732</v>
      </c>
      <c r="BE1475" t="s">
        <v>24083</v>
      </c>
      <c r="BF1475" t="s">
        <v>24084</v>
      </c>
      <c r="BH1475" t="s">
        <v>2888</v>
      </c>
      <c r="BI1475">
        <v>21</v>
      </c>
      <c r="BJ1475" t="s">
        <v>3919</v>
      </c>
      <c r="BK1475" t="s">
        <v>96</v>
      </c>
      <c r="BL1475" t="s">
        <v>1197</v>
      </c>
      <c r="BM1475" t="s">
        <v>24085</v>
      </c>
      <c r="BO1475" t="s">
        <v>873</v>
      </c>
      <c r="BR1475" t="s">
        <v>98</v>
      </c>
      <c r="BS1475" t="s">
        <v>24086</v>
      </c>
      <c r="BT1475" t="s">
        <v>16602</v>
      </c>
    </row>
    <row r="1476" spans="1:72">
      <c r="A1476" t="s">
        <v>72</v>
      </c>
      <c r="B1476" t="s">
        <v>24087</v>
      </c>
      <c r="F1476" t="s">
        <v>24087</v>
      </c>
      <c r="I1476" t="s">
        <v>24088</v>
      </c>
      <c r="J1476" t="s">
        <v>2265</v>
      </c>
      <c r="M1476" t="s">
        <v>78</v>
      </c>
      <c r="N1476" t="s">
        <v>79</v>
      </c>
      <c r="T1476" t="s">
        <v>24089</v>
      </c>
      <c r="U1476" t="s">
        <v>24090</v>
      </c>
      <c r="V1476" t="s">
        <v>24091</v>
      </c>
      <c r="W1476" t="s">
        <v>24092</v>
      </c>
      <c r="X1476" t="s">
        <v>24093</v>
      </c>
      <c r="Y1476" t="s">
        <v>24094</v>
      </c>
      <c r="Z1476" t="s">
        <v>2699</v>
      </c>
      <c r="AA1476" t="s">
        <v>24095</v>
      </c>
      <c r="AB1476" t="s">
        <v>24096</v>
      </c>
      <c r="AG1476">
        <v>59</v>
      </c>
      <c r="AH1476">
        <v>28</v>
      </c>
      <c r="AI1476">
        <v>30</v>
      </c>
      <c r="AJ1476">
        <v>0</v>
      </c>
      <c r="AK1476">
        <v>14</v>
      </c>
      <c r="AL1476" t="s">
        <v>2074</v>
      </c>
      <c r="AM1476" t="s">
        <v>2075</v>
      </c>
      <c r="AN1476" t="s">
        <v>2076</v>
      </c>
      <c r="AO1476" t="s">
        <v>2275</v>
      </c>
      <c r="AP1476" t="s">
        <v>2276</v>
      </c>
      <c r="AR1476" t="s">
        <v>2265</v>
      </c>
      <c r="AS1476" t="s">
        <v>2277</v>
      </c>
      <c r="AT1476" t="s">
        <v>24097</v>
      </c>
      <c r="AU1476">
        <v>2005</v>
      </c>
      <c r="AV1476">
        <v>10</v>
      </c>
      <c r="AW1476">
        <v>5</v>
      </c>
      <c r="BB1476">
        <v>342</v>
      </c>
      <c r="BC1476">
        <v>359</v>
      </c>
      <c r="BE1476" t="s">
        <v>24098</v>
      </c>
      <c r="BF1476" t="s">
        <v>24099</v>
      </c>
      <c r="BI1476">
        <v>18</v>
      </c>
      <c r="BJ1476" t="s">
        <v>2279</v>
      </c>
      <c r="BK1476" t="s">
        <v>96</v>
      </c>
      <c r="BL1476" t="s">
        <v>2279</v>
      </c>
      <c r="BM1476" t="s">
        <v>24100</v>
      </c>
      <c r="BN1476">
        <v>16243720</v>
      </c>
      <c r="BR1476" t="s">
        <v>98</v>
      </c>
      <c r="BS1476" t="s">
        <v>24101</v>
      </c>
      <c r="BT1476" t="s">
        <v>16602</v>
      </c>
    </row>
    <row r="1477" spans="1:72">
      <c r="A1477" t="s">
        <v>72</v>
      </c>
      <c r="B1477" t="s">
        <v>24102</v>
      </c>
      <c r="F1477" t="s">
        <v>24102</v>
      </c>
      <c r="I1477" t="s">
        <v>24103</v>
      </c>
      <c r="J1477" t="s">
        <v>232</v>
      </c>
      <c r="M1477" t="s">
        <v>78</v>
      </c>
      <c r="N1477" t="s">
        <v>79</v>
      </c>
      <c r="U1477" t="s">
        <v>24104</v>
      </c>
      <c r="V1477" t="s">
        <v>24105</v>
      </c>
      <c r="W1477" t="s">
        <v>24106</v>
      </c>
      <c r="X1477" t="s">
        <v>24107</v>
      </c>
      <c r="Y1477" t="s">
        <v>24108</v>
      </c>
      <c r="AG1477">
        <v>31</v>
      </c>
      <c r="AH1477">
        <v>33</v>
      </c>
      <c r="AI1477">
        <v>34</v>
      </c>
      <c r="AJ1477">
        <v>0</v>
      </c>
      <c r="AK1477">
        <v>10</v>
      </c>
      <c r="AL1477" t="s">
        <v>136</v>
      </c>
      <c r="AM1477" t="s">
        <v>137</v>
      </c>
      <c r="AN1477" t="s">
        <v>138</v>
      </c>
      <c r="AO1477" t="s">
        <v>240</v>
      </c>
      <c r="AP1477" t="s">
        <v>241</v>
      </c>
      <c r="AR1477" t="s">
        <v>242</v>
      </c>
      <c r="AS1477" t="s">
        <v>243</v>
      </c>
      <c r="AT1477" t="s">
        <v>197</v>
      </c>
      <c r="AU1477">
        <v>1998</v>
      </c>
      <c r="AV1477">
        <v>36</v>
      </c>
      <c r="AW1477">
        <v>12</v>
      </c>
      <c r="BB1477">
        <v>971</v>
      </c>
      <c r="BC1477">
        <v>979</v>
      </c>
      <c r="BE1477" t="s">
        <v>24109</v>
      </c>
      <c r="BF1477" t="s">
        <v>24110</v>
      </c>
      <c r="BI1477">
        <v>9</v>
      </c>
      <c r="BJ1477" t="s">
        <v>247</v>
      </c>
      <c r="BK1477" t="s">
        <v>96</v>
      </c>
      <c r="BL1477" t="s">
        <v>248</v>
      </c>
      <c r="BM1477" t="s">
        <v>24111</v>
      </c>
      <c r="BR1477" t="s">
        <v>98</v>
      </c>
      <c r="BS1477" t="s">
        <v>24112</v>
      </c>
      <c r="BT1477" t="s">
        <v>16602</v>
      </c>
    </row>
    <row r="1478" spans="1:72">
      <c r="A1478" t="s">
        <v>72</v>
      </c>
      <c r="B1478" t="s">
        <v>24113</v>
      </c>
      <c r="F1478" t="s">
        <v>24114</v>
      </c>
      <c r="I1478" t="s">
        <v>24115</v>
      </c>
      <c r="J1478" t="s">
        <v>421</v>
      </c>
      <c r="M1478" t="s">
        <v>78</v>
      </c>
      <c r="N1478" t="s">
        <v>79</v>
      </c>
      <c r="T1478" t="s">
        <v>24116</v>
      </c>
      <c r="U1478" t="s">
        <v>24117</v>
      </c>
      <c r="V1478" t="s">
        <v>24118</v>
      </c>
      <c r="W1478" t="s">
        <v>24119</v>
      </c>
      <c r="X1478" t="s">
        <v>24120</v>
      </c>
      <c r="Y1478" t="s">
        <v>24121</v>
      </c>
      <c r="Z1478" t="s">
        <v>24122</v>
      </c>
      <c r="AA1478" t="s">
        <v>24123</v>
      </c>
      <c r="AB1478" t="s">
        <v>2183</v>
      </c>
      <c r="AC1478" t="s">
        <v>24124</v>
      </c>
      <c r="AD1478" t="s">
        <v>24125</v>
      </c>
      <c r="AE1478" t="s">
        <v>24126</v>
      </c>
      <c r="AG1478">
        <v>87</v>
      </c>
      <c r="AH1478">
        <v>14</v>
      </c>
      <c r="AI1478">
        <v>14</v>
      </c>
      <c r="AJ1478">
        <v>2</v>
      </c>
      <c r="AK1478">
        <v>52</v>
      </c>
      <c r="AL1478" t="s">
        <v>430</v>
      </c>
      <c r="AM1478" t="s">
        <v>137</v>
      </c>
      <c r="AN1478" t="s">
        <v>431</v>
      </c>
      <c r="AO1478" t="s">
        <v>432</v>
      </c>
      <c r="AP1478" t="s">
        <v>1394</v>
      </c>
      <c r="AR1478" t="s">
        <v>433</v>
      </c>
      <c r="AS1478" t="s">
        <v>434</v>
      </c>
      <c r="AT1478" t="s">
        <v>10334</v>
      </c>
      <c r="AU1478">
        <v>2021</v>
      </c>
      <c r="AV1478">
        <v>276</v>
      </c>
      <c r="BD1478">
        <v>116706</v>
      </c>
      <c r="BE1478" t="s">
        <v>24127</v>
      </c>
      <c r="BF1478" t="s">
        <v>24128</v>
      </c>
      <c r="BH1478" t="s">
        <v>4518</v>
      </c>
      <c r="BI1478">
        <v>13</v>
      </c>
      <c r="BJ1478" t="s">
        <v>144</v>
      </c>
      <c r="BK1478" t="s">
        <v>96</v>
      </c>
      <c r="BL1478" t="s">
        <v>145</v>
      </c>
      <c r="BM1478" t="s">
        <v>24129</v>
      </c>
      <c r="BN1478">
        <v>33592447</v>
      </c>
      <c r="BR1478" t="s">
        <v>98</v>
      </c>
      <c r="BS1478" t="s">
        <v>24130</v>
      </c>
      <c r="BT1478" t="s">
        <v>16602</v>
      </c>
    </row>
    <row r="1479" spans="1:72">
      <c r="A1479" t="s">
        <v>72</v>
      </c>
      <c r="B1479" t="s">
        <v>24131</v>
      </c>
      <c r="F1479" t="s">
        <v>24131</v>
      </c>
      <c r="I1479" t="s">
        <v>24132</v>
      </c>
      <c r="J1479" t="s">
        <v>13100</v>
      </c>
      <c r="M1479" t="s">
        <v>78</v>
      </c>
      <c r="N1479" t="s">
        <v>79</v>
      </c>
      <c r="T1479" t="s">
        <v>24133</v>
      </c>
      <c r="U1479" t="s">
        <v>24134</v>
      </c>
      <c r="V1479" t="s">
        <v>24135</v>
      </c>
      <c r="W1479" t="s">
        <v>24136</v>
      </c>
      <c r="X1479" t="s">
        <v>24137</v>
      </c>
      <c r="Y1479" t="s">
        <v>24138</v>
      </c>
      <c r="Z1479" t="s">
        <v>10918</v>
      </c>
      <c r="AA1479" t="s">
        <v>2334</v>
      </c>
      <c r="AB1479" t="s">
        <v>24139</v>
      </c>
      <c r="AG1479">
        <v>28</v>
      </c>
      <c r="AH1479">
        <v>45</v>
      </c>
      <c r="AI1479">
        <v>52</v>
      </c>
      <c r="AJ1479">
        <v>1</v>
      </c>
      <c r="AK1479">
        <v>13</v>
      </c>
      <c r="AL1479" t="s">
        <v>430</v>
      </c>
      <c r="AM1479" t="s">
        <v>137</v>
      </c>
      <c r="AN1479" t="s">
        <v>431</v>
      </c>
      <c r="AO1479" t="s">
        <v>13107</v>
      </c>
      <c r="AP1479" t="s">
        <v>24140</v>
      </c>
      <c r="AR1479" t="s">
        <v>13108</v>
      </c>
      <c r="AS1479" t="s">
        <v>13109</v>
      </c>
      <c r="AT1479" t="s">
        <v>1470</v>
      </c>
      <c r="AU1479">
        <v>2003</v>
      </c>
      <c r="AV1479">
        <v>33</v>
      </c>
      <c r="AW1479">
        <v>1</v>
      </c>
      <c r="BB1479">
        <v>65</v>
      </c>
      <c r="BC1479">
        <v>70</v>
      </c>
      <c r="BE1479" t="s">
        <v>24141</v>
      </c>
      <c r="BF1479" t="s">
        <v>24142</v>
      </c>
      <c r="BI1479">
        <v>6</v>
      </c>
      <c r="BJ1479" t="s">
        <v>2340</v>
      </c>
      <c r="BK1479" t="s">
        <v>96</v>
      </c>
      <c r="BL1479" t="s">
        <v>2340</v>
      </c>
      <c r="BM1479" t="s">
        <v>24143</v>
      </c>
      <c r="BN1479">
        <v>12547347</v>
      </c>
      <c r="BR1479" t="s">
        <v>98</v>
      </c>
      <c r="BS1479" t="s">
        <v>24144</v>
      </c>
      <c r="BT1479" t="s">
        <v>16602</v>
      </c>
    </row>
    <row r="1480" spans="1:72">
      <c r="A1480" t="s">
        <v>72</v>
      </c>
      <c r="B1480" t="s">
        <v>24145</v>
      </c>
      <c r="F1480" t="s">
        <v>24146</v>
      </c>
      <c r="I1480" t="s">
        <v>24147</v>
      </c>
      <c r="J1480" t="s">
        <v>127</v>
      </c>
      <c r="M1480" t="s">
        <v>78</v>
      </c>
      <c r="N1480" t="s">
        <v>79</v>
      </c>
      <c r="T1480" t="s">
        <v>24148</v>
      </c>
      <c r="U1480" t="s">
        <v>24149</v>
      </c>
      <c r="V1480" t="s">
        <v>24150</v>
      </c>
      <c r="W1480" t="s">
        <v>24151</v>
      </c>
      <c r="X1480" t="s">
        <v>24152</v>
      </c>
      <c r="Y1480" t="s">
        <v>24153</v>
      </c>
      <c r="Z1480" t="s">
        <v>24154</v>
      </c>
      <c r="AA1480" t="s">
        <v>24155</v>
      </c>
      <c r="AB1480" t="s">
        <v>24156</v>
      </c>
      <c r="AC1480" t="s">
        <v>24157</v>
      </c>
      <c r="AD1480" t="s">
        <v>24158</v>
      </c>
      <c r="AE1480" t="s">
        <v>24159</v>
      </c>
      <c r="AG1480">
        <v>116</v>
      </c>
      <c r="AH1480">
        <v>5</v>
      </c>
      <c r="AI1480">
        <v>5</v>
      </c>
      <c r="AJ1480">
        <v>0</v>
      </c>
      <c r="AK1480">
        <v>30</v>
      </c>
      <c r="AL1480" t="s">
        <v>136</v>
      </c>
      <c r="AM1480" t="s">
        <v>137</v>
      </c>
      <c r="AN1480" t="s">
        <v>138</v>
      </c>
      <c r="AO1480" t="s">
        <v>139</v>
      </c>
      <c r="AP1480" t="s">
        <v>140</v>
      </c>
      <c r="AR1480" t="s">
        <v>127</v>
      </c>
      <c r="AS1480" t="s">
        <v>141</v>
      </c>
      <c r="AT1480" t="s">
        <v>119</v>
      </c>
      <c r="AU1480">
        <v>2021</v>
      </c>
      <c r="AV1480">
        <v>277</v>
      </c>
      <c r="BD1480">
        <v>130160</v>
      </c>
      <c r="BE1480" t="s">
        <v>24160</v>
      </c>
      <c r="BF1480" t="s">
        <v>24161</v>
      </c>
      <c r="BH1480" t="s">
        <v>992</v>
      </c>
      <c r="BI1480">
        <v>12</v>
      </c>
      <c r="BJ1480" t="s">
        <v>144</v>
      </c>
      <c r="BK1480" t="s">
        <v>96</v>
      </c>
      <c r="BL1480" t="s">
        <v>145</v>
      </c>
      <c r="BM1480" t="s">
        <v>24162</v>
      </c>
      <c r="BN1480">
        <v>33794434</v>
      </c>
      <c r="BO1480" t="s">
        <v>24163</v>
      </c>
      <c r="BR1480" t="s">
        <v>98</v>
      </c>
      <c r="BS1480" t="s">
        <v>24164</v>
      </c>
      <c r="BT1480" t="s">
        <v>16602</v>
      </c>
    </row>
    <row r="1481" spans="1:72">
      <c r="A1481" t="s">
        <v>72</v>
      </c>
      <c r="B1481" t="s">
        <v>24165</v>
      </c>
      <c r="F1481" t="s">
        <v>24165</v>
      </c>
      <c r="I1481" t="s">
        <v>24166</v>
      </c>
      <c r="J1481" t="s">
        <v>909</v>
      </c>
      <c r="M1481" t="s">
        <v>78</v>
      </c>
      <c r="N1481" t="s">
        <v>79</v>
      </c>
      <c r="T1481" t="s">
        <v>24167</v>
      </c>
      <c r="U1481" t="s">
        <v>24168</v>
      </c>
      <c r="V1481" t="s">
        <v>24169</v>
      </c>
      <c r="Y1481" t="s">
        <v>24170</v>
      </c>
      <c r="AG1481">
        <v>23</v>
      </c>
      <c r="AH1481">
        <v>13</v>
      </c>
      <c r="AI1481">
        <v>14</v>
      </c>
      <c r="AJ1481">
        <v>0</v>
      </c>
      <c r="AK1481">
        <v>9</v>
      </c>
      <c r="AL1481" t="s">
        <v>919</v>
      </c>
      <c r="AM1481" t="s">
        <v>651</v>
      </c>
      <c r="AN1481" t="s">
        <v>920</v>
      </c>
      <c r="AO1481" t="s">
        <v>921</v>
      </c>
      <c r="AP1481" t="s">
        <v>922</v>
      </c>
      <c r="AR1481" t="s">
        <v>923</v>
      </c>
      <c r="AS1481" t="s">
        <v>924</v>
      </c>
      <c r="AT1481" t="s">
        <v>17756</v>
      </c>
      <c r="AU1481">
        <v>1992</v>
      </c>
      <c r="AV1481">
        <v>120</v>
      </c>
      <c r="AW1481">
        <v>3</v>
      </c>
      <c r="BB1481">
        <v>185</v>
      </c>
      <c r="BC1481">
        <v>204</v>
      </c>
      <c r="BE1481" t="s">
        <v>24171</v>
      </c>
      <c r="BF1481" t="s">
        <v>24172</v>
      </c>
      <c r="BI1481">
        <v>20</v>
      </c>
      <c r="BJ1481" t="s">
        <v>144</v>
      </c>
      <c r="BK1481" t="s">
        <v>96</v>
      </c>
      <c r="BL1481" t="s">
        <v>145</v>
      </c>
      <c r="BM1481" t="s">
        <v>24173</v>
      </c>
      <c r="BN1481">
        <v>1641646</v>
      </c>
      <c r="BR1481" t="s">
        <v>98</v>
      </c>
      <c r="BS1481" t="s">
        <v>24174</v>
      </c>
      <c r="BT1481" t="s">
        <v>16602</v>
      </c>
    </row>
    <row r="1482" spans="1:72">
      <c r="A1482" t="s">
        <v>72</v>
      </c>
      <c r="B1482" t="s">
        <v>24175</v>
      </c>
      <c r="F1482" t="s">
        <v>24175</v>
      </c>
      <c r="I1482" t="s">
        <v>24176</v>
      </c>
      <c r="J1482" t="s">
        <v>421</v>
      </c>
      <c r="M1482" t="s">
        <v>78</v>
      </c>
      <c r="N1482" t="s">
        <v>79</v>
      </c>
      <c r="T1482" t="s">
        <v>24177</v>
      </c>
      <c r="U1482" t="s">
        <v>24178</v>
      </c>
      <c r="V1482" t="s">
        <v>24179</v>
      </c>
      <c r="W1482" t="s">
        <v>24180</v>
      </c>
      <c r="X1482" t="s">
        <v>16093</v>
      </c>
      <c r="Y1482" t="s">
        <v>24181</v>
      </c>
      <c r="Z1482" t="s">
        <v>1483</v>
      </c>
      <c r="AA1482" t="s">
        <v>2900</v>
      </c>
      <c r="AB1482" t="s">
        <v>2183</v>
      </c>
      <c r="AG1482">
        <v>44</v>
      </c>
      <c r="AH1482">
        <v>56</v>
      </c>
      <c r="AI1482">
        <v>62</v>
      </c>
      <c r="AJ1482">
        <v>0</v>
      </c>
      <c r="AK1482">
        <v>61</v>
      </c>
      <c r="AL1482" t="s">
        <v>430</v>
      </c>
      <c r="AM1482" t="s">
        <v>137</v>
      </c>
      <c r="AN1482" t="s">
        <v>431</v>
      </c>
      <c r="AO1482" t="s">
        <v>432</v>
      </c>
      <c r="AP1482" t="s">
        <v>1394</v>
      </c>
      <c r="AR1482" t="s">
        <v>433</v>
      </c>
      <c r="AS1482" t="s">
        <v>434</v>
      </c>
      <c r="AT1482" t="s">
        <v>170</v>
      </c>
      <c r="AU1482">
        <v>2006</v>
      </c>
      <c r="AV1482">
        <v>141</v>
      </c>
      <c r="AW1482">
        <v>2</v>
      </c>
      <c r="BB1482">
        <v>343</v>
      </c>
      <c r="BC1482">
        <v>352</v>
      </c>
      <c r="BE1482" t="s">
        <v>24182</v>
      </c>
      <c r="BF1482" t="s">
        <v>24183</v>
      </c>
      <c r="BI1482">
        <v>10</v>
      </c>
      <c r="BJ1482" t="s">
        <v>144</v>
      </c>
      <c r="BK1482" t="s">
        <v>96</v>
      </c>
      <c r="BL1482" t="s">
        <v>145</v>
      </c>
      <c r="BM1482" t="s">
        <v>24184</v>
      </c>
      <c r="BN1482">
        <v>16202491</v>
      </c>
      <c r="BR1482" t="s">
        <v>98</v>
      </c>
      <c r="BS1482" t="s">
        <v>24185</v>
      </c>
      <c r="BT1482" t="s">
        <v>16602</v>
      </c>
    </row>
    <row r="1483" spans="1:72">
      <c r="A1483" t="s">
        <v>72</v>
      </c>
      <c r="B1483" t="s">
        <v>24186</v>
      </c>
      <c r="F1483" t="s">
        <v>24186</v>
      </c>
      <c r="I1483" t="s">
        <v>24187</v>
      </c>
      <c r="J1483" t="s">
        <v>232</v>
      </c>
      <c r="M1483" t="s">
        <v>78</v>
      </c>
      <c r="N1483" t="s">
        <v>151</v>
      </c>
      <c r="O1483" t="s">
        <v>233</v>
      </c>
      <c r="P1483" t="s">
        <v>234</v>
      </c>
      <c r="Q1483" t="s">
        <v>235</v>
      </c>
      <c r="U1483" t="s">
        <v>24188</v>
      </c>
      <c r="V1483" t="s">
        <v>24189</v>
      </c>
      <c r="Y1483" t="s">
        <v>24190</v>
      </c>
      <c r="AA1483" t="s">
        <v>24191</v>
      </c>
      <c r="AB1483" t="s">
        <v>24192</v>
      </c>
      <c r="AG1483">
        <v>28</v>
      </c>
      <c r="AH1483">
        <v>23</v>
      </c>
      <c r="AI1483">
        <v>25</v>
      </c>
      <c r="AJ1483">
        <v>0</v>
      </c>
      <c r="AK1483">
        <v>2</v>
      </c>
      <c r="AL1483" t="s">
        <v>136</v>
      </c>
      <c r="AM1483" t="s">
        <v>137</v>
      </c>
      <c r="AN1483" t="s">
        <v>138</v>
      </c>
      <c r="AO1483" t="s">
        <v>240</v>
      </c>
      <c r="AP1483" t="s">
        <v>241</v>
      </c>
      <c r="AR1483" t="s">
        <v>242</v>
      </c>
      <c r="AS1483" t="s">
        <v>243</v>
      </c>
      <c r="AT1483" t="s">
        <v>244</v>
      </c>
      <c r="AU1483">
        <v>1995</v>
      </c>
      <c r="AV1483">
        <v>31</v>
      </c>
      <c r="AW1483" t="s">
        <v>245</v>
      </c>
      <c r="BB1483">
        <v>416</v>
      </c>
      <c r="BC1483">
        <v>419</v>
      </c>
      <c r="BE1483" t="s">
        <v>24193</v>
      </c>
      <c r="BF1483" t="s">
        <v>24194</v>
      </c>
      <c r="BI1483">
        <v>4</v>
      </c>
      <c r="BJ1483" t="s">
        <v>247</v>
      </c>
      <c r="BK1483" t="s">
        <v>172</v>
      </c>
      <c r="BL1483" t="s">
        <v>248</v>
      </c>
      <c r="BM1483" t="s">
        <v>249</v>
      </c>
      <c r="BR1483" t="s">
        <v>98</v>
      </c>
      <c r="BS1483" t="s">
        <v>24195</v>
      </c>
      <c r="BT1483" t="s">
        <v>16602</v>
      </c>
    </row>
    <row r="1484" spans="1:72">
      <c r="A1484" t="s">
        <v>72</v>
      </c>
      <c r="B1484" t="s">
        <v>24196</v>
      </c>
      <c r="F1484" t="s">
        <v>24197</v>
      </c>
      <c r="I1484" t="s">
        <v>24198</v>
      </c>
      <c r="J1484" t="s">
        <v>8125</v>
      </c>
      <c r="M1484" t="s">
        <v>78</v>
      </c>
      <c r="N1484" t="s">
        <v>79</v>
      </c>
      <c r="T1484" t="s">
        <v>24199</v>
      </c>
      <c r="U1484" t="s">
        <v>24200</v>
      </c>
      <c r="V1484" t="s">
        <v>24201</v>
      </c>
      <c r="W1484" t="s">
        <v>24202</v>
      </c>
      <c r="X1484" t="s">
        <v>6872</v>
      </c>
      <c r="Y1484" t="s">
        <v>6873</v>
      </c>
      <c r="Z1484" t="s">
        <v>24203</v>
      </c>
      <c r="AA1484" t="s">
        <v>24204</v>
      </c>
      <c r="AC1484" t="s">
        <v>24205</v>
      </c>
      <c r="AD1484" t="s">
        <v>24206</v>
      </c>
      <c r="AE1484" t="s">
        <v>24207</v>
      </c>
      <c r="AG1484">
        <v>38</v>
      </c>
      <c r="AH1484">
        <v>30</v>
      </c>
      <c r="AI1484">
        <v>33</v>
      </c>
      <c r="AJ1484">
        <v>0</v>
      </c>
      <c r="AK1484">
        <v>25</v>
      </c>
      <c r="AL1484" t="s">
        <v>8138</v>
      </c>
      <c r="AM1484" t="s">
        <v>8139</v>
      </c>
      <c r="AN1484" t="s">
        <v>8140</v>
      </c>
      <c r="AO1484" t="s">
        <v>8141</v>
      </c>
      <c r="AR1484" t="s">
        <v>8142</v>
      </c>
      <c r="AS1484" t="s">
        <v>8143</v>
      </c>
      <c r="AU1484">
        <v>2012</v>
      </c>
      <c r="AV1484">
        <v>77</v>
      </c>
      <c r="AW1484">
        <v>1</v>
      </c>
      <c r="BB1484">
        <v>105</v>
      </c>
      <c r="BC1484">
        <v>117</v>
      </c>
      <c r="BE1484" t="s">
        <v>24208</v>
      </c>
      <c r="BF1484" t="s">
        <v>24209</v>
      </c>
      <c r="BI1484">
        <v>13</v>
      </c>
      <c r="BJ1484" t="s">
        <v>3919</v>
      </c>
      <c r="BK1484" t="s">
        <v>96</v>
      </c>
      <c r="BL1484" t="s">
        <v>1197</v>
      </c>
      <c r="BM1484" t="s">
        <v>24210</v>
      </c>
      <c r="BO1484" t="s">
        <v>2155</v>
      </c>
      <c r="BR1484" t="s">
        <v>98</v>
      </c>
      <c r="BS1484" t="s">
        <v>24211</v>
      </c>
      <c r="BT1484" t="s">
        <v>16602</v>
      </c>
    </row>
    <row r="1485" spans="1:72">
      <c r="A1485" t="s">
        <v>72</v>
      </c>
      <c r="B1485" t="s">
        <v>24212</v>
      </c>
      <c r="F1485" t="s">
        <v>24212</v>
      </c>
      <c r="I1485" t="s">
        <v>24213</v>
      </c>
      <c r="J1485" t="s">
        <v>554</v>
      </c>
      <c r="M1485" t="s">
        <v>78</v>
      </c>
      <c r="N1485" t="s">
        <v>79</v>
      </c>
      <c r="T1485" t="s">
        <v>24214</v>
      </c>
      <c r="U1485" t="s">
        <v>24215</v>
      </c>
      <c r="V1485" t="s">
        <v>24216</v>
      </c>
      <c r="W1485" t="s">
        <v>24217</v>
      </c>
      <c r="X1485" t="s">
        <v>24218</v>
      </c>
      <c r="Y1485" t="s">
        <v>24219</v>
      </c>
      <c r="Z1485" t="s">
        <v>24220</v>
      </c>
      <c r="AA1485" t="s">
        <v>24221</v>
      </c>
      <c r="AB1485" t="s">
        <v>13812</v>
      </c>
      <c r="AG1485">
        <v>44</v>
      </c>
      <c r="AH1485">
        <v>51</v>
      </c>
      <c r="AI1485">
        <v>59</v>
      </c>
      <c r="AJ1485">
        <v>0</v>
      </c>
      <c r="AK1485">
        <v>19</v>
      </c>
      <c r="AL1485" t="s">
        <v>564</v>
      </c>
      <c r="AM1485" t="s">
        <v>113</v>
      </c>
      <c r="AN1485" t="s">
        <v>807</v>
      </c>
      <c r="AO1485" t="s">
        <v>566</v>
      </c>
      <c r="AP1485" t="s">
        <v>567</v>
      </c>
      <c r="AR1485" t="s">
        <v>568</v>
      </c>
      <c r="AS1485" t="s">
        <v>569</v>
      </c>
      <c r="AT1485" t="s">
        <v>765</v>
      </c>
      <c r="AU1485">
        <v>2002</v>
      </c>
      <c r="AV1485">
        <v>132</v>
      </c>
      <c r="AW1485">
        <v>3</v>
      </c>
      <c r="BB1485">
        <v>355</v>
      </c>
      <c r="BC1485">
        <v>363</v>
      </c>
      <c r="BD1485" t="s">
        <v>24222</v>
      </c>
      <c r="BE1485" t="s">
        <v>24223</v>
      </c>
      <c r="BF1485" t="s">
        <v>24224</v>
      </c>
      <c r="BI1485">
        <v>9</v>
      </c>
      <c r="BJ1485" t="s">
        <v>571</v>
      </c>
      <c r="BK1485" t="s">
        <v>96</v>
      </c>
      <c r="BL1485" t="s">
        <v>571</v>
      </c>
      <c r="BM1485" t="s">
        <v>24225</v>
      </c>
      <c r="BN1485">
        <v>12161169</v>
      </c>
      <c r="BR1485" t="s">
        <v>98</v>
      </c>
      <c r="BS1485" t="s">
        <v>24226</v>
      </c>
      <c r="BT1485" t="s">
        <v>16602</v>
      </c>
    </row>
    <row r="1486" spans="1:72">
      <c r="A1486" t="s">
        <v>72</v>
      </c>
      <c r="B1486" t="s">
        <v>24227</v>
      </c>
      <c r="F1486" t="s">
        <v>24228</v>
      </c>
      <c r="I1486" t="s">
        <v>24229</v>
      </c>
      <c r="J1486" t="s">
        <v>4747</v>
      </c>
      <c r="M1486" t="s">
        <v>78</v>
      </c>
      <c r="N1486" t="s">
        <v>79</v>
      </c>
      <c r="T1486" t="s">
        <v>24230</v>
      </c>
      <c r="U1486" t="s">
        <v>24231</v>
      </c>
      <c r="V1486" t="s">
        <v>24232</v>
      </c>
      <c r="W1486" t="s">
        <v>24233</v>
      </c>
      <c r="X1486" t="s">
        <v>24234</v>
      </c>
      <c r="Y1486" t="s">
        <v>24235</v>
      </c>
      <c r="Z1486" t="s">
        <v>24236</v>
      </c>
      <c r="AA1486" t="s">
        <v>24237</v>
      </c>
      <c r="AB1486" t="s">
        <v>24238</v>
      </c>
      <c r="AC1486" t="s">
        <v>24239</v>
      </c>
      <c r="AD1486" t="s">
        <v>24240</v>
      </c>
      <c r="AE1486" t="s">
        <v>24241</v>
      </c>
      <c r="AG1486">
        <v>53</v>
      </c>
      <c r="AH1486">
        <v>19</v>
      </c>
      <c r="AI1486">
        <v>19</v>
      </c>
      <c r="AJ1486">
        <v>1</v>
      </c>
      <c r="AK1486">
        <v>44</v>
      </c>
      <c r="AL1486" t="s">
        <v>650</v>
      </c>
      <c r="AM1486" t="s">
        <v>651</v>
      </c>
      <c r="AN1486" t="s">
        <v>652</v>
      </c>
      <c r="AO1486" t="s">
        <v>4758</v>
      </c>
      <c r="AP1486" t="s">
        <v>11139</v>
      </c>
      <c r="AR1486" t="s">
        <v>4759</v>
      </c>
      <c r="AS1486" t="s">
        <v>4760</v>
      </c>
      <c r="AT1486" t="s">
        <v>24242</v>
      </c>
      <c r="AU1486">
        <v>2019</v>
      </c>
      <c r="AV1486">
        <v>371</v>
      </c>
      <c r="BB1486">
        <v>558</v>
      </c>
      <c r="BC1486">
        <v>565</v>
      </c>
      <c r="BE1486" t="s">
        <v>24243</v>
      </c>
      <c r="BF1486" t="s">
        <v>24244</v>
      </c>
      <c r="BI1486">
        <v>8</v>
      </c>
      <c r="BJ1486" t="s">
        <v>415</v>
      </c>
      <c r="BK1486" t="s">
        <v>96</v>
      </c>
      <c r="BL1486" t="s">
        <v>416</v>
      </c>
      <c r="BM1486" t="s">
        <v>24245</v>
      </c>
      <c r="BN1486">
        <v>30878906</v>
      </c>
      <c r="BO1486" t="s">
        <v>18961</v>
      </c>
      <c r="BR1486" t="s">
        <v>98</v>
      </c>
      <c r="BS1486" t="s">
        <v>24246</v>
      </c>
      <c r="BT1486" t="s">
        <v>16602</v>
      </c>
    </row>
    <row r="1487" spans="1:72">
      <c r="A1487" t="s">
        <v>72</v>
      </c>
      <c r="B1487" t="s">
        <v>24247</v>
      </c>
      <c r="F1487" t="s">
        <v>24247</v>
      </c>
      <c r="I1487" t="s">
        <v>24248</v>
      </c>
      <c r="J1487" t="s">
        <v>1097</v>
      </c>
      <c r="M1487" t="s">
        <v>78</v>
      </c>
      <c r="N1487" t="s">
        <v>79</v>
      </c>
      <c r="V1487" t="s">
        <v>24249</v>
      </c>
      <c r="Y1487" t="s">
        <v>23340</v>
      </c>
      <c r="AG1487">
        <v>39</v>
      </c>
      <c r="AH1487">
        <v>49</v>
      </c>
      <c r="AI1487">
        <v>50</v>
      </c>
      <c r="AJ1487">
        <v>0</v>
      </c>
      <c r="AK1487">
        <v>3</v>
      </c>
      <c r="AL1487" t="s">
        <v>217</v>
      </c>
      <c r="AM1487" t="s">
        <v>218</v>
      </c>
      <c r="AN1487" t="s">
        <v>219</v>
      </c>
      <c r="AO1487" t="s">
        <v>1100</v>
      </c>
      <c r="AP1487" t="s">
        <v>1101</v>
      </c>
      <c r="AR1487" t="s">
        <v>1102</v>
      </c>
      <c r="AS1487" t="s">
        <v>1103</v>
      </c>
      <c r="AU1487">
        <v>1980</v>
      </c>
      <c r="AV1487">
        <v>58</v>
      </c>
      <c r="AW1487">
        <v>4</v>
      </c>
      <c r="BB1487">
        <v>275</v>
      </c>
      <c r="BC1487">
        <v>284</v>
      </c>
      <c r="BE1487" t="s">
        <v>24250</v>
      </c>
      <c r="BF1487" t="s">
        <v>24251</v>
      </c>
      <c r="BI1487">
        <v>10</v>
      </c>
      <c r="BJ1487" t="s">
        <v>680</v>
      </c>
      <c r="BK1487" t="s">
        <v>96</v>
      </c>
      <c r="BL1487" t="s">
        <v>680</v>
      </c>
      <c r="BM1487" t="s">
        <v>24252</v>
      </c>
      <c r="BR1487" t="s">
        <v>98</v>
      </c>
      <c r="BS1487" t="s">
        <v>24253</v>
      </c>
      <c r="BT1487" t="s">
        <v>16602</v>
      </c>
    </row>
    <row r="1488" spans="1:72">
      <c r="A1488" t="s">
        <v>72</v>
      </c>
      <c r="B1488" t="s">
        <v>24254</v>
      </c>
      <c r="F1488" t="s">
        <v>24255</v>
      </c>
      <c r="I1488" t="s">
        <v>24256</v>
      </c>
      <c r="J1488" t="s">
        <v>909</v>
      </c>
      <c r="M1488" t="s">
        <v>78</v>
      </c>
      <c r="N1488" t="s">
        <v>79</v>
      </c>
      <c r="T1488" t="s">
        <v>24257</v>
      </c>
      <c r="U1488" t="s">
        <v>24258</v>
      </c>
      <c r="V1488" t="s">
        <v>24259</v>
      </c>
      <c r="W1488" t="s">
        <v>24260</v>
      </c>
      <c r="X1488" t="s">
        <v>24261</v>
      </c>
      <c r="Y1488" t="s">
        <v>24262</v>
      </c>
      <c r="Z1488" t="s">
        <v>24263</v>
      </c>
      <c r="AA1488" t="s">
        <v>24264</v>
      </c>
      <c r="AB1488" t="s">
        <v>24265</v>
      </c>
      <c r="AC1488" t="s">
        <v>24266</v>
      </c>
      <c r="AD1488" t="s">
        <v>24266</v>
      </c>
      <c r="AE1488" t="s">
        <v>24267</v>
      </c>
      <c r="AG1488">
        <v>68</v>
      </c>
      <c r="AH1488">
        <v>14</v>
      </c>
      <c r="AI1488">
        <v>15</v>
      </c>
      <c r="AJ1488">
        <v>0</v>
      </c>
      <c r="AK1488">
        <v>63</v>
      </c>
      <c r="AL1488" t="s">
        <v>650</v>
      </c>
      <c r="AM1488" t="s">
        <v>651</v>
      </c>
      <c r="AN1488" t="s">
        <v>652</v>
      </c>
      <c r="AO1488" t="s">
        <v>921</v>
      </c>
      <c r="AP1488" t="s">
        <v>922</v>
      </c>
      <c r="AR1488" t="s">
        <v>923</v>
      </c>
      <c r="AS1488" t="s">
        <v>924</v>
      </c>
      <c r="AT1488" t="s">
        <v>4612</v>
      </c>
      <c r="AU1488">
        <v>2018</v>
      </c>
      <c r="AV1488">
        <v>619</v>
      </c>
      <c r="BB1488">
        <v>460</v>
      </c>
      <c r="BC1488">
        <v>469</v>
      </c>
      <c r="BE1488" t="s">
        <v>24268</v>
      </c>
      <c r="BF1488" t="s">
        <v>24269</v>
      </c>
      <c r="BI1488">
        <v>10</v>
      </c>
      <c r="BJ1488" t="s">
        <v>144</v>
      </c>
      <c r="BK1488" t="s">
        <v>96</v>
      </c>
      <c r="BL1488" t="s">
        <v>145</v>
      </c>
      <c r="BM1488" t="s">
        <v>24270</v>
      </c>
      <c r="BN1488">
        <v>29156266</v>
      </c>
      <c r="BO1488" t="s">
        <v>18961</v>
      </c>
      <c r="BR1488" t="s">
        <v>98</v>
      </c>
      <c r="BS1488" t="s">
        <v>24271</v>
      </c>
      <c r="BT1488" t="s">
        <v>16602</v>
      </c>
    </row>
    <row r="1489" spans="1:72">
      <c r="A1489" t="s">
        <v>72</v>
      </c>
      <c r="B1489" t="s">
        <v>24272</v>
      </c>
      <c r="F1489" t="s">
        <v>24272</v>
      </c>
      <c r="I1489" t="s">
        <v>24273</v>
      </c>
      <c r="J1489" t="s">
        <v>421</v>
      </c>
      <c r="M1489" t="s">
        <v>78</v>
      </c>
      <c r="N1489" t="s">
        <v>79</v>
      </c>
      <c r="T1489" t="s">
        <v>24274</v>
      </c>
      <c r="U1489" t="s">
        <v>24275</v>
      </c>
      <c r="V1489" t="s">
        <v>24276</v>
      </c>
      <c r="W1489" t="s">
        <v>24277</v>
      </c>
      <c r="X1489" t="s">
        <v>24278</v>
      </c>
      <c r="Y1489" t="s">
        <v>24279</v>
      </c>
      <c r="AA1489" t="s">
        <v>24280</v>
      </c>
      <c r="AB1489" t="s">
        <v>24281</v>
      </c>
      <c r="AG1489">
        <v>57</v>
      </c>
      <c r="AH1489">
        <v>73</v>
      </c>
      <c r="AI1489">
        <v>83</v>
      </c>
      <c r="AJ1489">
        <v>0</v>
      </c>
      <c r="AK1489">
        <v>29</v>
      </c>
      <c r="AL1489" t="s">
        <v>430</v>
      </c>
      <c r="AM1489" t="s">
        <v>137</v>
      </c>
      <c r="AN1489" t="s">
        <v>431</v>
      </c>
      <c r="AO1489" t="s">
        <v>432</v>
      </c>
      <c r="AP1489" t="s">
        <v>1394</v>
      </c>
      <c r="AR1489" t="s">
        <v>433</v>
      </c>
      <c r="AS1489" t="s">
        <v>434</v>
      </c>
      <c r="AU1489">
        <v>1998</v>
      </c>
      <c r="AV1489">
        <v>99</v>
      </c>
      <c r="AW1489">
        <v>1</v>
      </c>
      <c r="BB1489">
        <v>1</v>
      </c>
      <c r="BC1489">
        <v>11</v>
      </c>
      <c r="BE1489" t="s">
        <v>24282</v>
      </c>
      <c r="BF1489" t="s">
        <v>24283</v>
      </c>
      <c r="BI1489">
        <v>11</v>
      </c>
      <c r="BJ1489" t="s">
        <v>144</v>
      </c>
      <c r="BK1489" t="s">
        <v>96</v>
      </c>
      <c r="BL1489" t="s">
        <v>145</v>
      </c>
      <c r="BM1489" t="s">
        <v>24284</v>
      </c>
      <c r="BN1489">
        <v>15093324</v>
      </c>
      <c r="BR1489" t="s">
        <v>98</v>
      </c>
      <c r="BS1489" t="s">
        <v>24285</v>
      </c>
      <c r="BT1489" t="s">
        <v>16602</v>
      </c>
    </row>
    <row r="1490" spans="1:72">
      <c r="A1490" t="s">
        <v>72</v>
      </c>
      <c r="B1490" t="s">
        <v>24286</v>
      </c>
      <c r="F1490" t="s">
        <v>24287</v>
      </c>
      <c r="I1490" t="s">
        <v>24288</v>
      </c>
      <c r="J1490" t="s">
        <v>127</v>
      </c>
      <c r="M1490" t="s">
        <v>78</v>
      </c>
      <c r="N1490" t="s">
        <v>79</v>
      </c>
      <c r="T1490" t="s">
        <v>24289</v>
      </c>
      <c r="U1490" t="s">
        <v>24290</v>
      </c>
      <c r="V1490" t="s">
        <v>24291</v>
      </c>
      <c r="W1490" t="s">
        <v>24292</v>
      </c>
      <c r="X1490" t="s">
        <v>24293</v>
      </c>
      <c r="Y1490" t="s">
        <v>24294</v>
      </c>
      <c r="Z1490" t="s">
        <v>8595</v>
      </c>
      <c r="AA1490" t="s">
        <v>24295</v>
      </c>
      <c r="AB1490" t="s">
        <v>24296</v>
      </c>
      <c r="AG1490">
        <v>35</v>
      </c>
      <c r="AH1490">
        <v>102</v>
      </c>
      <c r="AI1490">
        <v>107</v>
      </c>
      <c r="AJ1490">
        <v>0</v>
      </c>
      <c r="AK1490">
        <v>38</v>
      </c>
      <c r="AL1490" t="s">
        <v>136</v>
      </c>
      <c r="AM1490" t="s">
        <v>137</v>
      </c>
      <c r="AN1490" t="s">
        <v>138</v>
      </c>
      <c r="AO1490" t="s">
        <v>139</v>
      </c>
      <c r="AP1490" t="s">
        <v>140</v>
      </c>
      <c r="AR1490" t="s">
        <v>127</v>
      </c>
      <c r="AS1490" t="s">
        <v>141</v>
      </c>
      <c r="AT1490" t="s">
        <v>119</v>
      </c>
      <c r="AU1490">
        <v>2008</v>
      </c>
      <c r="AV1490">
        <v>72</v>
      </c>
      <c r="AW1490">
        <v>10</v>
      </c>
      <c r="BB1490">
        <v>1524</v>
      </c>
      <c r="BC1490">
        <v>1533</v>
      </c>
      <c r="BE1490" t="s">
        <v>24297</v>
      </c>
      <c r="BF1490" t="s">
        <v>24298</v>
      </c>
      <c r="BI1490">
        <v>10</v>
      </c>
      <c r="BJ1490" t="s">
        <v>144</v>
      </c>
      <c r="BK1490" t="s">
        <v>96</v>
      </c>
      <c r="BL1490" t="s">
        <v>145</v>
      </c>
      <c r="BM1490" t="s">
        <v>24299</v>
      </c>
      <c r="BN1490">
        <v>18556045</v>
      </c>
      <c r="BR1490" t="s">
        <v>98</v>
      </c>
      <c r="BS1490" t="s">
        <v>24300</v>
      </c>
      <c r="BT1490" t="s">
        <v>16602</v>
      </c>
    </row>
    <row r="1491" spans="1:72">
      <c r="A1491" t="s">
        <v>72</v>
      </c>
      <c r="B1491" t="s">
        <v>24301</v>
      </c>
      <c r="F1491" t="s">
        <v>24302</v>
      </c>
      <c r="I1491" t="s">
        <v>24303</v>
      </c>
      <c r="J1491" t="s">
        <v>4747</v>
      </c>
      <c r="M1491" t="s">
        <v>78</v>
      </c>
      <c r="N1491" t="s">
        <v>79</v>
      </c>
      <c r="T1491" t="s">
        <v>24304</v>
      </c>
      <c r="U1491" t="s">
        <v>24305</v>
      </c>
      <c r="V1491" t="s">
        <v>24306</v>
      </c>
      <c r="W1491" t="s">
        <v>24307</v>
      </c>
      <c r="X1491" t="s">
        <v>24308</v>
      </c>
      <c r="Y1491" t="s">
        <v>24309</v>
      </c>
      <c r="Z1491" t="s">
        <v>24310</v>
      </c>
      <c r="AA1491" t="s">
        <v>24311</v>
      </c>
      <c r="AC1491" t="s">
        <v>24312</v>
      </c>
      <c r="AD1491" t="s">
        <v>24313</v>
      </c>
      <c r="AE1491" t="s">
        <v>24314</v>
      </c>
      <c r="AG1491">
        <v>109</v>
      </c>
      <c r="AH1491">
        <v>0</v>
      </c>
      <c r="AI1491">
        <v>0</v>
      </c>
      <c r="AJ1491">
        <v>25</v>
      </c>
      <c r="AK1491">
        <v>25</v>
      </c>
      <c r="AL1491" t="s">
        <v>650</v>
      </c>
      <c r="AM1491" t="s">
        <v>651</v>
      </c>
      <c r="AN1491" t="s">
        <v>652</v>
      </c>
      <c r="AO1491" t="s">
        <v>4758</v>
      </c>
      <c r="AP1491" t="s">
        <v>11139</v>
      </c>
      <c r="AR1491" t="s">
        <v>4759</v>
      </c>
      <c r="AS1491" t="s">
        <v>4760</v>
      </c>
      <c r="AT1491" t="s">
        <v>344</v>
      </c>
      <c r="AU1491">
        <v>2024</v>
      </c>
      <c r="AV1491">
        <v>473</v>
      </c>
      <c r="BD1491">
        <v>134612</v>
      </c>
      <c r="BE1491" t="s">
        <v>24315</v>
      </c>
      <c r="BF1491" t="s">
        <v>24316</v>
      </c>
      <c r="BH1491" t="s">
        <v>11425</v>
      </c>
      <c r="BI1491">
        <v>13</v>
      </c>
      <c r="BJ1491" t="s">
        <v>415</v>
      </c>
      <c r="BK1491" t="s">
        <v>96</v>
      </c>
      <c r="BL1491" t="s">
        <v>416</v>
      </c>
      <c r="BM1491" t="s">
        <v>24317</v>
      </c>
      <c r="BN1491">
        <v>38761766</v>
      </c>
      <c r="BR1491" t="s">
        <v>98</v>
      </c>
      <c r="BS1491" t="s">
        <v>24318</v>
      </c>
      <c r="BT1491" t="s">
        <v>16602</v>
      </c>
    </row>
    <row r="1492" spans="1:72">
      <c r="A1492" t="s">
        <v>72</v>
      </c>
      <c r="B1492" t="s">
        <v>24319</v>
      </c>
      <c r="F1492" t="s">
        <v>24320</v>
      </c>
      <c r="I1492" t="s">
        <v>24321</v>
      </c>
      <c r="J1492" t="s">
        <v>127</v>
      </c>
      <c r="M1492" t="s">
        <v>78</v>
      </c>
      <c r="N1492" t="s">
        <v>79</v>
      </c>
      <c r="T1492" t="s">
        <v>24322</v>
      </c>
      <c r="U1492" t="s">
        <v>24323</v>
      </c>
      <c r="V1492" t="s">
        <v>24324</v>
      </c>
      <c r="W1492" t="s">
        <v>24325</v>
      </c>
      <c r="X1492" t="s">
        <v>24326</v>
      </c>
      <c r="Y1492" t="s">
        <v>24327</v>
      </c>
      <c r="Z1492" t="s">
        <v>24328</v>
      </c>
      <c r="AA1492" t="s">
        <v>24329</v>
      </c>
      <c r="AB1492" t="s">
        <v>24330</v>
      </c>
      <c r="AG1492">
        <v>44</v>
      </c>
      <c r="AH1492">
        <v>83</v>
      </c>
      <c r="AI1492">
        <v>91</v>
      </c>
      <c r="AJ1492">
        <v>2</v>
      </c>
      <c r="AK1492">
        <v>16</v>
      </c>
      <c r="AL1492" t="s">
        <v>136</v>
      </c>
      <c r="AM1492" t="s">
        <v>137</v>
      </c>
      <c r="AN1492" t="s">
        <v>138</v>
      </c>
      <c r="AO1492" t="s">
        <v>139</v>
      </c>
      <c r="AP1492" t="s">
        <v>140</v>
      </c>
      <c r="AR1492" t="s">
        <v>127</v>
      </c>
      <c r="AS1492" t="s">
        <v>141</v>
      </c>
      <c r="AT1492" t="s">
        <v>1223</v>
      </c>
      <c r="AU1492">
        <v>2010</v>
      </c>
      <c r="AV1492">
        <v>79</v>
      </c>
      <c r="AW1492">
        <v>1</v>
      </c>
      <c r="BB1492">
        <v>40</v>
      </c>
      <c r="BC1492">
        <v>46</v>
      </c>
      <c r="BE1492" t="s">
        <v>24331</v>
      </c>
      <c r="BF1492" t="s">
        <v>24332</v>
      </c>
      <c r="BI1492">
        <v>7</v>
      </c>
      <c r="BJ1492" t="s">
        <v>144</v>
      </c>
      <c r="BK1492" t="s">
        <v>96</v>
      </c>
      <c r="BL1492" t="s">
        <v>145</v>
      </c>
      <c r="BM1492" t="s">
        <v>24333</v>
      </c>
      <c r="BN1492">
        <v>20163818</v>
      </c>
      <c r="BR1492" t="s">
        <v>98</v>
      </c>
      <c r="BS1492" t="s">
        <v>24334</v>
      </c>
      <c r="BT1492" t="s">
        <v>16602</v>
      </c>
    </row>
    <row r="1493" spans="1:72">
      <c r="A1493" t="s">
        <v>72</v>
      </c>
      <c r="B1493" t="s">
        <v>24335</v>
      </c>
      <c r="F1493" t="s">
        <v>24336</v>
      </c>
      <c r="I1493" t="s">
        <v>24337</v>
      </c>
      <c r="J1493" t="s">
        <v>4549</v>
      </c>
      <c r="M1493" t="s">
        <v>78</v>
      </c>
      <c r="N1493" t="s">
        <v>79</v>
      </c>
      <c r="T1493" t="s">
        <v>24338</v>
      </c>
      <c r="U1493" t="s">
        <v>24339</v>
      </c>
      <c r="V1493" t="s">
        <v>24340</v>
      </c>
      <c r="W1493" t="s">
        <v>24341</v>
      </c>
      <c r="X1493" t="s">
        <v>19618</v>
      </c>
      <c r="Y1493" t="s">
        <v>24342</v>
      </c>
      <c r="Z1493" t="s">
        <v>24343</v>
      </c>
      <c r="AA1493" t="s">
        <v>24344</v>
      </c>
      <c r="AB1493" t="s">
        <v>24345</v>
      </c>
      <c r="AC1493" t="s">
        <v>24346</v>
      </c>
      <c r="AD1493" t="s">
        <v>24347</v>
      </c>
      <c r="AE1493" t="s">
        <v>24348</v>
      </c>
      <c r="AG1493">
        <v>67</v>
      </c>
      <c r="AH1493">
        <v>0</v>
      </c>
      <c r="AI1493">
        <v>0</v>
      </c>
      <c r="AJ1493">
        <v>4</v>
      </c>
      <c r="AK1493">
        <v>5</v>
      </c>
      <c r="AL1493" t="s">
        <v>136</v>
      </c>
      <c r="AM1493" t="s">
        <v>137</v>
      </c>
      <c r="AN1493" t="s">
        <v>138</v>
      </c>
      <c r="AO1493" t="s">
        <v>4559</v>
      </c>
      <c r="AP1493" t="s">
        <v>4560</v>
      </c>
      <c r="AR1493" t="s">
        <v>4561</v>
      </c>
      <c r="AS1493" t="s">
        <v>4562</v>
      </c>
      <c r="AT1493" t="s">
        <v>93</v>
      </c>
      <c r="AU1493">
        <v>2024</v>
      </c>
      <c r="AV1493">
        <v>186</v>
      </c>
      <c r="BD1493">
        <v>114558</v>
      </c>
      <c r="BE1493" t="s">
        <v>24349</v>
      </c>
      <c r="BF1493" t="s">
        <v>24350</v>
      </c>
      <c r="BH1493" t="s">
        <v>2888</v>
      </c>
      <c r="BI1493">
        <v>9</v>
      </c>
      <c r="BJ1493" t="s">
        <v>4564</v>
      </c>
      <c r="BK1493" t="s">
        <v>96</v>
      </c>
      <c r="BL1493" t="s">
        <v>4564</v>
      </c>
      <c r="BM1493" t="s">
        <v>24351</v>
      </c>
      <c r="BN1493">
        <v>38432438</v>
      </c>
      <c r="BR1493" t="s">
        <v>98</v>
      </c>
      <c r="BS1493" t="s">
        <v>24352</v>
      </c>
      <c r="BT1493" t="s">
        <v>16602</v>
      </c>
    </row>
    <row r="1494" spans="1:72">
      <c r="A1494" t="s">
        <v>72</v>
      </c>
      <c r="B1494" t="s">
        <v>24353</v>
      </c>
      <c r="F1494" t="s">
        <v>24354</v>
      </c>
      <c r="I1494" t="s">
        <v>24355</v>
      </c>
      <c r="J1494" t="s">
        <v>595</v>
      </c>
      <c r="M1494" t="s">
        <v>78</v>
      </c>
      <c r="N1494" t="s">
        <v>79</v>
      </c>
      <c r="T1494" t="s">
        <v>24356</v>
      </c>
      <c r="U1494" t="s">
        <v>24357</v>
      </c>
      <c r="V1494" t="s">
        <v>24358</v>
      </c>
      <c r="W1494" t="s">
        <v>24359</v>
      </c>
      <c r="Y1494" t="s">
        <v>24360</v>
      </c>
      <c r="Z1494" t="s">
        <v>24361</v>
      </c>
      <c r="AA1494" t="s">
        <v>24362</v>
      </c>
      <c r="AB1494" t="s">
        <v>24363</v>
      </c>
      <c r="AC1494" t="s">
        <v>24364</v>
      </c>
      <c r="AD1494" t="s">
        <v>24365</v>
      </c>
      <c r="AE1494" t="s">
        <v>24366</v>
      </c>
      <c r="AG1494">
        <v>51</v>
      </c>
      <c r="AH1494">
        <v>34</v>
      </c>
      <c r="AI1494">
        <v>37</v>
      </c>
      <c r="AJ1494">
        <v>1</v>
      </c>
      <c r="AK1494">
        <v>24</v>
      </c>
      <c r="AL1494" t="s">
        <v>112</v>
      </c>
      <c r="AM1494" t="s">
        <v>191</v>
      </c>
      <c r="AN1494" t="s">
        <v>192</v>
      </c>
      <c r="AO1494" t="s">
        <v>608</v>
      </c>
      <c r="AP1494" t="s">
        <v>609</v>
      </c>
      <c r="AR1494" t="s">
        <v>595</v>
      </c>
      <c r="AS1494" t="s">
        <v>610</v>
      </c>
      <c r="AT1494" t="s">
        <v>93</v>
      </c>
      <c r="AU1494">
        <v>2010</v>
      </c>
      <c r="AV1494">
        <v>19</v>
      </c>
      <c r="AW1494">
        <v>4</v>
      </c>
      <c r="BB1494">
        <v>819</v>
      </c>
      <c r="BC1494">
        <v>825</v>
      </c>
      <c r="BE1494" t="s">
        <v>24367</v>
      </c>
      <c r="BF1494" t="s">
        <v>24368</v>
      </c>
      <c r="BI1494">
        <v>7</v>
      </c>
      <c r="BJ1494" t="s">
        <v>612</v>
      </c>
      <c r="BK1494" t="s">
        <v>96</v>
      </c>
      <c r="BL1494" t="s">
        <v>122</v>
      </c>
      <c r="BM1494" t="s">
        <v>24369</v>
      </c>
      <c r="BN1494">
        <v>20091118</v>
      </c>
      <c r="BR1494" t="s">
        <v>98</v>
      </c>
      <c r="BS1494" t="s">
        <v>24370</v>
      </c>
      <c r="BT1494" t="s">
        <v>16602</v>
      </c>
    </row>
    <row r="1495" spans="1:72">
      <c r="A1495" t="s">
        <v>72</v>
      </c>
      <c r="B1495" t="s">
        <v>24371</v>
      </c>
      <c r="F1495" t="s">
        <v>24371</v>
      </c>
      <c r="I1495" t="s">
        <v>24372</v>
      </c>
      <c r="J1495" t="s">
        <v>24373</v>
      </c>
      <c r="M1495" t="s">
        <v>78</v>
      </c>
      <c r="N1495" t="s">
        <v>79</v>
      </c>
      <c r="U1495" t="s">
        <v>24374</v>
      </c>
      <c r="V1495" t="s">
        <v>24375</v>
      </c>
      <c r="W1495" t="s">
        <v>24376</v>
      </c>
      <c r="X1495" t="s">
        <v>24377</v>
      </c>
      <c r="Y1495" t="s">
        <v>24378</v>
      </c>
      <c r="AA1495" t="s">
        <v>24379</v>
      </c>
      <c r="AG1495">
        <v>18</v>
      </c>
      <c r="AH1495">
        <v>23</v>
      </c>
      <c r="AI1495">
        <v>23</v>
      </c>
      <c r="AJ1495">
        <v>0</v>
      </c>
      <c r="AK1495">
        <v>5</v>
      </c>
      <c r="AL1495" t="s">
        <v>24380</v>
      </c>
      <c r="AM1495" t="s">
        <v>24381</v>
      </c>
      <c r="AN1495" t="s">
        <v>24382</v>
      </c>
      <c r="AO1495" t="s">
        <v>24383</v>
      </c>
      <c r="AR1495" t="s">
        <v>24384</v>
      </c>
      <c r="AS1495" t="s">
        <v>24385</v>
      </c>
      <c r="AT1495" t="s">
        <v>510</v>
      </c>
      <c r="AU1495">
        <v>2001</v>
      </c>
      <c r="AV1495">
        <v>84</v>
      </c>
      <c r="AW1495">
        <v>6</v>
      </c>
      <c r="BB1495">
        <v>1909</v>
      </c>
      <c r="BC1495">
        <v>1913</v>
      </c>
      <c r="BI1495">
        <v>5</v>
      </c>
      <c r="BJ1495" t="s">
        <v>24386</v>
      </c>
      <c r="BK1495" t="s">
        <v>96</v>
      </c>
      <c r="BL1495" t="s">
        <v>22662</v>
      </c>
      <c r="BM1495" t="s">
        <v>24387</v>
      </c>
      <c r="BN1495">
        <v>11767161</v>
      </c>
      <c r="BR1495" t="s">
        <v>98</v>
      </c>
      <c r="BS1495" t="s">
        <v>24388</v>
      </c>
      <c r="BT1495" t="s">
        <v>16602</v>
      </c>
    </row>
    <row r="1496" spans="1:72">
      <c r="A1496" t="s">
        <v>72</v>
      </c>
      <c r="B1496" t="s">
        <v>24389</v>
      </c>
      <c r="F1496" t="s">
        <v>24389</v>
      </c>
      <c r="I1496" t="s">
        <v>24390</v>
      </c>
      <c r="J1496" t="s">
        <v>704</v>
      </c>
      <c r="M1496" t="s">
        <v>78</v>
      </c>
      <c r="N1496" t="s">
        <v>79</v>
      </c>
      <c r="Y1496" t="s">
        <v>24391</v>
      </c>
      <c r="AG1496">
        <v>29</v>
      </c>
      <c r="AH1496">
        <v>15</v>
      </c>
      <c r="AI1496">
        <v>19</v>
      </c>
      <c r="AJ1496">
        <v>0</v>
      </c>
      <c r="AK1496">
        <v>5</v>
      </c>
      <c r="AL1496" t="s">
        <v>716</v>
      </c>
      <c r="AM1496" t="s">
        <v>191</v>
      </c>
      <c r="AN1496" t="s">
        <v>717</v>
      </c>
      <c r="AO1496" t="s">
        <v>718</v>
      </c>
      <c r="AR1496" t="s">
        <v>719</v>
      </c>
      <c r="AS1496" t="s">
        <v>720</v>
      </c>
      <c r="AT1496" t="s">
        <v>224</v>
      </c>
      <c r="AU1496">
        <v>1988</v>
      </c>
      <c r="AV1496">
        <v>37</v>
      </c>
      <c r="AW1496" t="s">
        <v>1070</v>
      </c>
      <c r="BB1496">
        <v>281</v>
      </c>
      <c r="BC1496">
        <v>292</v>
      </c>
      <c r="BE1496" t="s">
        <v>24392</v>
      </c>
      <c r="BF1496" t="s">
        <v>24393</v>
      </c>
      <c r="BI1496">
        <v>12</v>
      </c>
      <c r="BJ1496" t="s">
        <v>722</v>
      </c>
      <c r="BK1496" t="s">
        <v>96</v>
      </c>
      <c r="BL1496" t="s">
        <v>723</v>
      </c>
      <c r="BM1496" t="s">
        <v>24394</v>
      </c>
      <c r="BR1496" t="s">
        <v>98</v>
      </c>
      <c r="BS1496" t="s">
        <v>24395</v>
      </c>
      <c r="BT1496" t="s">
        <v>16602</v>
      </c>
    </row>
    <row r="1497" spans="1:72">
      <c r="A1497" t="s">
        <v>72</v>
      </c>
      <c r="B1497" t="s">
        <v>24396</v>
      </c>
      <c r="F1497" t="s">
        <v>24397</v>
      </c>
      <c r="I1497" t="s">
        <v>24398</v>
      </c>
      <c r="J1497" t="s">
        <v>6608</v>
      </c>
      <c r="M1497" t="s">
        <v>78</v>
      </c>
      <c r="N1497" t="s">
        <v>79</v>
      </c>
      <c r="T1497" t="s">
        <v>24399</v>
      </c>
      <c r="U1497" t="s">
        <v>24400</v>
      </c>
      <c r="V1497" t="s">
        <v>24401</v>
      </c>
      <c r="W1497" t="s">
        <v>24402</v>
      </c>
      <c r="X1497" t="s">
        <v>24403</v>
      </c>
      <c r="Y1497" t="s">
        <v>24404</v>
      </c>
      <c r="Z1497" t="s">
        <v>24405</v>
      </c>
      <c r="AA1497" t="s">
        <v>24406</v>
      </c>
      <c r="AB1497" t="s">
        <v>24407</v>
      </c>
      <c r="AC1497" t="s">
        <v>24408</v>
      </c>
      <c r="AD1497" t="s">
        <v>24409</v>
      </c>
      <c r="AE1497" t="s">
        <v>24410</v>
      </c>
      <c r="AG1497">
        <v>70</v>
      </c>
      <c r="AH1497">
        <v>4</v>
      </c>
      <c r="AI1497">
        <v>4</v>
      </c>
      <c r="AJ1497">
        <v>11</v>
      </c>
      <c r="AK1497">
        <v>43</v>
      </c>
      <c r="AL1497" t="s">
        <v>1566</v>
      </c>
      <c r="AM1497" t="s">
        <v>1567</v>
      </c>
      <c r="AN1497" t="s">
        <v>1568</v>
      </c>
      <c r="AP1497" t="s">
        <v>6619</v>
      </c>
      <c r="AR1497" t="s">
        <v>6620</v>
      </c>
      <c r="AS1497" t="s">
        <v>6621</v>
      </c>
      <c r="AT1497" t="s">
        <v>119</v>
      </c>
      <c r="AU1497">
        <v>2022</v>
      </c>
      <c r="AV1497">
        <v>14</v>
      </c>
      <c r="AW1497">
        <v>16</v>
      </c>
      <c r="BD1497">
        <v>2532</v>
      </c>
      <c r="BE1497" t="s">
        <v>24411</v>
      </c>
      <c r="BF1497" t="s">
        <v>24412</v>
      </c>
      <c r="BI1497">
        <v>18</v>
      </c>
      <c r="BJ1497" t="s">
        <v>6623</v>
      </c>
      <c r="BK1497" t="s">
        <v>96</v>
      </c>
      <c r="BL1497" t="s">
        <v>6624</v>
      </c>
      <c r="BM1497" t="s">
        <v>24413</v>
      </c>
      <c r="BO1497" t="s">
        <v>873</v>
      </c>
      <c r="BR1497" t="s">
        <v>98</v>
      </c>
      <c r="BS1497" t="s">
        <v>24414</v>
      </c>
      <c r="BT1497" t="s">
        <v>16602</v>
      </c>
    </row>
    <row r="1498" spans="1:72">
      <c r="A1498" t="s">
        <v>72</v>
      </c>
      <c r="B1498" t="s">
        <v>24415</v>
      </c>
      <c r="F1498" t="s">
        <v>24416</v>
      </c>
      <c r="I1498" t="s">
        <v>24417</v>
      </c>
      <c r="J1498" t="s">
        <v>3349</v>
      </c>
      <c r="M1498" t="s">
        <v>78</v>
      </c>
      <c r="N1498" t="s">
        <v>79</v>
      </c>
      <c r="T1498" t="s">
        <v>24418</v>
      </c>
      <c r="U1498" t="s">
        <v>24419</v>
      </c>
      <c r="V1498" t="s">
        <v>24420</v>
      </c>
      <c r="W1498" t="s">
        <v>24421</v>
      </c>
      <c r="X1498" t="s">
        <v>24422</v>
      </c>
      <c r="Y1498" t="s">
        <v>24423</v>
      </c>
      <c r="Z1498" t="s">
        <v>24424</v>
      </c>
      <c r="AC1498" t="s">
        <v>24425</v>
      </c>
      <c r="AD1498" t="s">
        <v>24426</v>
      </c>
      <c r="AE1498" t="s">
        <v>24427</v>
      </c>
      <c r="AG1498">
        <v>81</v>
      </c>
      <c r="AH1498">
        <v>1</v>
      </c>
      <c r="AI1498">
        <v>1</v>
      </c>
      <c r="AJ1498">
        <v>8</v>
      </c>
      <c r="AK1498">
        <v>8</v>
      </c>
      <c r="AL1498" t="s">
        <v>3362</v>
      </c>
      <c r="AM1498" t="s">
        <v>3363</v>
      </c>
      <c r="AN1498" t="s">
        <v>3364</v>
      </c>
      <c r="AO1498" t="s">
        <v>3365</v>
      </c>
      <c r="AP1498" t="s">
        <v>3366</v>
      </c>
      <c r="AR1498" t="s">
        <v>3367</v>
      </c>
      <c r="AS1498" t="s">
        <v>3368</v>
      </c>
      <c r="AT1498" t="s">
        <v>3506</v>
      </c>
      <c r="AU1498">
        <v>2024</v>
      </c>
      <c r="AV1498">
        <v>283</v>
      </c>
      <c r="BD1498">
        <v>116788</v>
      </c>
      <c r="BE1498" t="s">
        <v>24428</v>
      </c>
      <c r="BF1498" t="s">
        <v>24429</v>
      </c>
      <c r="BH1498" t="s">
        <v>5962</v>
      </c>
      <c r="BI1498">
        <v>11</v>
      </c>
      <c r="BJ1498" t="s">
        <v>121</v>
      </c>
      <c r="BK1498" t="s">
        <v>96</v>
      </c>
      <c r="BL1498" t="s">
        <v>122</v>
      </c>
      <c r="BM1498" t="s">
        <v>24430</v>
      </c>
      <c r="BN1498">
        <v>39067073</v>
      </c>
      <c r="BR1498" t="s">
        <v>98</v>
      </c>
      <c r="BS1498" t="s">
        <v>24431</v>
      </c>
      <c r="BT1498" t="s">
        <v>16602</v>
      </c>
    </row>
    <row r="1499" spans="1:72">
      <c r="A1499" t="s">
        <v>72</v>
      </c>
      <c r="B1499" t="s">
        <v>24432</v>
      </c>
      <c r="F1499" t="s">
        <v>24432</v>
      </c>
      <c r="I1499" t="s">
        <v>24433</v>
      </c>
      <c r="J1499" t="s">
        <v>6211</v>
      </c>
      <c r="M1499" t="s">
        <v>78</v>
      </c>
      <c r="N1499" t="s">
        <v>79</v>
      </c>
      <c r="V1499" t="s">
        <v>24434</v>
      </c>
      <c r="Y1499" t="s">
        <v>24435</v>
      </c>
      <c r="AG1499">
        <v>0</v>
      </c>
      <c r="AH1499">
        <v>59</v>
      </c>
      <c r="AI1499">
        <v>60</v>
      </c>
      <c r="AJ1499">
        <v>0</v>
      </c>
      <c r="AK1499">
        <v>4</v>
      </c>
      <c r="AL1499" t="s">
        <v>112</v>
      </c>
      <c r="AM1499" t="s">
        <v>191</v>
      </c>
      <c r="AN1499" t="s">
        <v>192</v>
      </c>
      <c r="AO1499" t="s">
        <v>6219</v>
      </c>
      <c r="AP1499" t="s">
        <v>6220</v>
      </c>
      <c r="AR1499" t="s">
        <v>6211</v>
      </c>
      <c r="AS1499" t="s">
        <v>6221</v>
      </c>
      <c r="AU1499">
        <v>1978</v>
      </c>
      <c r="AV1499">
        <v>7</v>
      </c>
      <c r="AW1499">
        <v>3</v>
      </c>
      <c r="BB1499">
        <v>122</v>
      </c>
      <c r="BC1499">
        <v>125</v>
      </c>
      <c r="BI1499">
        <v>4</v>
      </c>
      <c r="BJ1499" t="s">
        <v>415</v>
      </c>
      <c r="BK1499" t="s">
        <v>96</v>
      </c>
      <c r="BL1499" t="s">
        <v>416</v>
      </c>
      <c r="BM1499" t="s">
        <v>24436</v>
      </c>
      <c r="BR1499" t="s">
        <v>98</v>
      </c>
      <c r="BS1499" t="s">
        <v>24437</v>
      </c>
      <c r="BT1499" t="s">
        <v>16602</v>
      </c>
    </row>
    <row r="1500" spans="1:72">
      <c r="A1500" t="s">
        <v>72</v>
      </c>
      <c r="B1500" t="s">
        <v>24438</v>
      </c>
      <c r="F1500" t="s">
        <v>24438</v>
      </c>
      <c r="I1500" t="s">
        <v>24439</v>
      </c>
      <c r="J1500" t="s">
        <v>1097</v>
      </c>
      <c r="M1500" t="s">
        <v>78</v>
      </c>
      <c r="N1500" t="s">
        <v>79</v>
      </c>
      <c r="V1500" t="s">
        <v>24440</v>
      </c>
      <c r="W1500" t="s">
        <v>24441</v>
      </c>
      <c r="AA1500" t="s">
        <v>14196</v>
      </c>
      <c r="AB1500" t="s">
        <v>14197</v>
      </c>
      <c r="AG1500">
        <v>12</v>
      </c>
      <c r="AH1500">
        <v>54</v>
      </c>
      <c r="AI1500">
        <v>55</v>
      </c>
      <c r="AJ1500">
        <v>0</v>
      </c>
      <c r="AK1500">
        <v>3</v>
      </c>
      <c r="AL1500" t="s">
        <v>217</v>
      </c>
      <c r="AM1500" t="s">
        <v>218</v>
      </c>
      <c r="AN1500" t="s">
        <v>219</v>
      </c>
      <c r="AO1500" t="s">
        <v>1100</v>
      </c>
      <c r="AP1500" t="s">
        <v>1101</v>
      </c>
      <c r="AR1500" t="s">
        <v>1102</v>
      </c>
      <c r="AS1500" t="s">
        <v>1103</v>
      </c>
      <c r="AU1500">
        <v>1982</v>
      </c>
      <c r="AV1500">
        <v>68</v>
      </c>
      <c r="AW1500">
        <v>1</v>
      </c>
      <c r="BB1500">
        <v>25</v>
      </c>
      <c r="BC1500">
        <v>29</v>
      </c>
      <c r="BE1500" t="s">
        <v>24442</v>
      </c>
      <c r="BF1500" t="s">
        <v>24443</v>
      </c>
      <c r="BI1500">
        <v>5</v>
      </c>
      <c r="BJ1500" t="s">
        <v>680</v>
      </c>
      <c r="BK1500" t="s">
        <v>96</v>
      </c>
      <c r="BL1500" t="s">
        <v>680</v>
      </c>
      <c r="BM1500" t="s">
        <v>24444</v>
      </c>
      <c r="BR1500" t="s">
        <v>98</v>
      </c>
      <c r="BS1500" t="s">
        <v>24445</v>
      </c>
      <c r="BT1500" t="s">
        <v>16602</v>
      </c>
    </row>
    <row r="1501" spans="1:72">
      <c r="A1501" t="s">
        <v>72</v>
      </c>
      <c r="B1501" t="s">
        <v>24446</v>
      </c>
      <c r="F1501" t="s">
        <v>24446</v>
      </c>
      <c r="I1501" t="s">
        <v>24447</v>
      </c>
      <c r="J1501" t="s">
        <v>232</v>
      </c>
      <c r="M1501" t="s">
        <v>78</v>
      </c>
      <c r="N1501" t="s">
        <v>79</v>
      </c>
      <c r="V1501" t="s">
        <v>24448</v>
      </c>
      <c r="W1501" t="s">
        <v>24449</v>
      </c>
      <c r="AA1501" t="s">
        <v>14196</v>
      </c>
      <c r="AB1501" t="s">
        <v>14197</v>
      </c>
      <c r="AG1501">
        <v>12</v>
      </c>
      <c r="AH1501">
        <v>17</v>
      </c>
      <c r="AI1501">
        <v>17</v>
      </c>
      <c r="AJ1501">
        <v>0</v>
      </c>
      <c r="AK1501">
        <v>8</v>
      </c>
      <c r="AL1501" t="s">
        <v>136</v>
      </c>
      <c r="AM1501" t="s">
        <v>137</v>
      </c>
      <c r="AN1501" t="s">
        <v>138</v>
      </c>
      <c r="AO1501" t="s">
        <v>240</v>
      </c>
      <c r="AP1501" t="s">
        <v>241</v>
      </c>
      <c r="AR1501" t="s">
        <v>242</v>
      </c>
      <c r="AS1501" t="s">
        <v>243</v>
      </c>
      <c r="AU1501">
        <v>1984</v>
      </c>
      <c r="AV1501">
        <v>15</v>
      </c>
      <c r="AW1501">
        <v>4</v>
      </c>
      <c r="BB1501">
        <v>129</v>
      </c>
      <c r="BC1501">
        <v>133</v>
      </c>
      <c r="BE1501" t="s">
        <v>24450</v>
      </c>
      <c r="BF1501" t="s">
        <v>24451</v>
      </c>
      <c r="BI1501">
        <v>5</v>
      </c>
      <c r="BJ1501" t="s">
        <v>247</v>
      </c>
      <c r="BK1501" t="s">
        <v>96</v>
      </c>
      <c r="BL1501" t="s">
        <v>248</v>
      </c>
      <c r="BM1501" t="s">
        <v>24452</v>
      </c>
      <c r="BR1501" t="s">
        <v>98</v>
      </c>
      <c r="BS1501" t="s">
        <v>24453</v>
      </c>
      <c r="BT1501" t="s">
        <v>16602</v>
      </c>
    </row>
    <row r="1502" spans="1:72">
      <c r="A1502" t="s">
        <v>72</v>
      </c>
      <c r="B1502" t="s">
        <v>24454</v>
      </c>
      <c r="F1502" t="s">
        <v>24455</v>
      </c>
      <c r="I1502" t="s">
        <v>24456</v>
      </c>
      <c r="J1502" t="s">
        <v>6608</v>
      </c>
      <c r="M1502" t="s">
        <v>78</v>
      </c>
      <c r="N1502" t="s">
        <v>79</v>
      </c>
      <c r="T1502" t="s">
        <v>24457</v>
      </c>
      <c r="U1502" t="s">
        <v>24458</v>
      </c>
      <c r="V1502" t="s">
        <v>24459</v>
      </c>
      <c r="W1502" t="s">
        <v>24460</v>
      </c>
      <c r="X1502" t="s">
        <v>24461</v>
      </c>
      <c r="Y1502" t="s">
        <v>9287</v>
      </c>
      <c r="Z1502" t="s">
        <v>24462</v>
      </c>
      <c r="AA1502" t="s">
        <v>24463</v>
      </c>
      <c r="AB1502" t="s">
        <v>24464</v>
      </c>
      <c r="AC1502" t="s">
        <v>24465</v>
      </c>
      <c r="AD1502" t="s">
        <v>24466</v>
      </c>
      <c r="AE1502" t="s">
        <v>24467</v>
      </c>
      <c r="AG1502">
        <v>88</v>
      </c>
      <c r="AH1502">
        <v>9</v>
      </c>
      <c r="AI1502">
        <v>10</v>
      </c>
      <c r="AJ1502">
        <v>0</v>
      </c>
      <c r="AK1502">
        <v>12</v>
      </c>
      <c r="AL1502" t="s">
        <v>1566</v>
      </c>
      <c r="AM1502" t="s">
        <v>1567</v>
      </c>
      <c r="AN1502" t="s">
        <v>1568</v>
      </c>
      <c r="AP1502" t="s">
        <v>6619</v>
      </c>
      <c r="AR1502" t="s">
        <v>6620</v>
      </c>
      <c r="AS1502" t="s">
        <v>6621</v>
      </c>
      <c r="AT1502" t="s">
        <v>119</v>
      </c>
      <c r="AU1502">
        <v>2020</v>
      </c>
      <c r="AV1502">
        <v>12</v>
      </c>
      <c r="AW1502">
        <v>8</v>
      </c>
      <c r="BD1502">
        <v>2148</v>
      </c>
      <c r="BE1502" t="s">
        <v>24468</v>
      </c>
      <c r="BF1502" t="s">
        <v>24469</v>
      </c>
      <c r="BI1502">
        <v>17</v>
      </c>
      <c r="BJ1502" t="s">
        <v>6623</v>
      </c>
      <c r="BK1502" t="s">
        <v>96</v>
      </c>
      <c r="BL1502" t="s">
        <v>6624</v>
      </c>
      <c r="BM1502" t="s">
        <v>24470</v>
      </c>
      <c r="BO1502" t="s">
        <v>2155</v>
      </c>
      <c r="BR1502" t="s">
        <v>98</v>
      </c>
      <c r="BS1502" t="s">
        <v>24471</v>
      </c>
      <c r="BT1502" t="s">
        <v>16602</v>
      </c>
    </row>
    <row r="1503" spans="1:72">
      <c r="A1503" t="s">
        <v>72</v>
      </c>
      <c r="B1503" t="s">
        <v>24472</v>
      </c>
      <c r="F1503" t="s">
        <v>24472</v>
      </c>
      <c r="I1503" t="s">
        <v>24473</v>
      </c>
      <c r="J1503" t="s">
        <v>752</v>
      </c>
      <c r="M1503" t="s">
        <v>78</v>
      </c>
      <c r="N1503" t="s">
        <v>79</v>
      </c>
      <c r="U1503" t="s">
        <v>24474</v>
      </c>
      <c r="V1503" t="s">
        <v>24475</v>
      </c>
      <c r="Y1503" t="s">
        <v>24476</v>
      </c>
      <c r="AA1503" t="s">
        <v>24477</v>
      </c>
      <c r="AB1503" t="s">
        <v>5392</v>
      </c>
      <c r="AG1503">
        <v>14</v>
      </c>
      <c r="AH1503">
        <v>6</v>
      </c>
      <c r="AI1503">
        <v>10</v>
      </c>
      <c r="AJ1503">
        <v>0</v>
      </c>
      <c r="AK1503">
        <v>2</v>
      </c>
      <c r="AL1503" t="s">
        <v>430</v>
      </c>
      <c r="AM1503" t="s">
        <v>137</v>
      </c>
      <c r="AN1503" t="s">
        <v>1600</v>
      </c>
      <c r="AO1503" t="s">
        <v>761</v>
      </c>
      <c r="AR1503" t="s">
        <v>763</v>
      </c>
      <c r="AS1503" t="s">
        <v>764</v>
      </c>
      <c r="AU1503">
        <v>1994</v>
      </c>
      <c r="AV1503">
        <v>38</v>
      </c>
      <c r="AW1503">
        <v>4</v>
      </c>
      <c r="BB1503">
        <v>303</v>
      </c>
      <c r="BC1503">
        <v>312</v>
      </c>
      <c r="BE1503" t="s">
        <v>24478</v>
      </c>
      <c r="BF1503" t="s">
        <v>24479</v>
      </c>
      <c r="BI1503">
        <v>10</v>
      </c>
      <c r="BJ1503" t="s">
        <v>768</v>
      </c>
      <c r="BK1503" t="s">
        <v>96</v>
      </c>
      <c r="BL1503" t="s">
        <v>769</v>
      </c>
      <c r="BM1503" t="s">
        <v>24480</v>
      </c>
      <c r="BR1503" t="s">
        <v>98</v>
      </c>
      <c r="BS1503" t="s">
        <v>24481</v>
      </c>
      <c r="BT1503" t="s">
        <v>16602</v>
      </c>
    </row>
    <row r="1504" spans="1:72">
      <c r="A1504" t="s">
        <v>72</v>
      </c>
      <c r="B1504" t="s">
        <v>24482</v>
      </c>
      <c r="F1504" t="s">
        <v>24483</v>
      </c>
      <c r="I1504" t="s">
        <v>24484</v>
      </c>
      <c r="J1504" t="s">
        <v>1948</v>
      </c>
      <c r="M1504" t="s">
        <v>78</v>
      </c>
      <c r="N1504" t="s">
        <v>79</v>
      </c>
      <c r="T1504" t="s">
        <v>24485</v>
      </c>
      <c r="U1504" t="s">
        <v>24486</v>
      </c>
      <c r="V1504" t="s">
        <v>24487</v>
      </c>
      <c r="W1504" t="s">
        <v>24488</v>
      </c>
      <c r="X1504" t="s">
        <v>24489</v>
      </c>
      <c r="Y1504" t="s">
        <v>24490</v>
      </c>
      <c r="Z1504" t="s">
        <v>24491</v>
      </c>
      <c r="AA1504" t="s">
        <v>24492</v>
      </c>
      <c r="AB1504" t="s">
        <v>24493</v>
      </c>
      <c r="AG1504">
        <v>65</v>
      </c>
      <c r="AH1504">
        <v>29</v>
      </c>
      <c r="AI1504">
        <v>31</v>
      </c>
      <c r="AJ1504">
        <v>1</v>
      </c>
      <c r="AK1504">
        <v>87</v>
      </c>
      <c r="AL1504" t="s">
        <v>430</v>
      </c>
      <c r="AM1504" t="s">
        <v>137</v>
      </c>
      <c r="AN1504" t="s">
        <v>431</v>
      </c>
      <c r="AO1504" t="s">
        <v>1961</v>
      </c>
      <c r="AP1504" t="s">
        <v>1962</v>
      </c>
      <c r="AR1504" t="s">
        <v>1963</v>
      </c>
      <c r="AS1504" t="s">
        <v>1964</v>
      </c>
      <c r="AT1504" t="s">
        <v>24494</v>
      </c>
      <c r="AU1504">
        <v>2016</v>
      </c>
      <c r="AV1504">
        <v>121</v>
      </c>
      <c r="BB1504">
        <v>159</v>
      </c>
      <c r="BC1504">
        <v>168</v>
      </c>
      <c r="BE1504" t="s">
        <v>24495</v>
      </c>
      <c r="BF1504" t="s">
        <v>24496</v>
      </c>
      <c r="BI1504">
        <v>10</v>
      </c>
      <c r="BJ1504" t="s">
        <v>1967</v>
      </c>
      <c r="BK1504" t="s">
        <v>96</v>
      </c>
      <c r="BL1504" t="s">
        <v>1968</v>
      </c>
      <c r="BM1504" t="s">
        <v>24497</v>
      </c>
      <c r="BR1504" t="s">
        <v>98</v>
      </c>
      <c r="BS1504" t="s">
        <v>24498</v>
      </c>
      <c r="BT1504" t="s">
        <v>16602</v>
      </c>
    </row>
    <row r="1505" spans="1:72">
      <c r="A1505" t="s">
        <v>72</v>
      </c>
      <c r="B1505" t="s">
        <v>24499</v>
      </c>
      <c r="F1505" t="s">
        <v>24500</v>
      </c>
      <c r="I1505" t="s">
        <v>24501</v>
      </c>
      <c r="J1505" t="s">
        <v>204</v>
      </c>
      <c r="M1505" t="s">
        <v>78</v>
      </c>
      <c r="N1505" t="s">
        <v>79</v>
      </c>
      <c r="T1505" t="s">
        <v>24502</v>
      </c>
      <c r="U1505" t="s">
        <v>24503</v>
      </c>
      <c r="V1505" t="s">
        <v>24504</v>
      </c>
      <c r="W1505" t="s">
        <v>24505</v>
      </c>
      <c r="X1505" t="s">
        <v>24506</v>
      </c>
      <c r="Y1505" t="s">
        <v>24507</v>
      </c>
      <c r="Z1505" t="s">
        <v>24508</v>
      </c>
      <c r="AA1505" t="s">
        <v>24509</v>
      </c>
      <c r="AB1505" t="s">
        <v>24510</v>
      </c>
      <c r="AC1505" t="s">
        <v>24511</v>
      </c>
      <c r="AD1505" t="s">
        <v>24511</v>
      </c>
      <c r="AE1505" t="s">
        <v>24511</v>
      </c>
      <c r="AG1505">
        <v>74</v>
      </c>
      <c r="AH1505">
        <v>0</v>
      </c>
      <c r="AI1505">
        <v>0</v>
      </c>
      <c r="AJ1505">
        <v>3</v>
      </c>
      <c r="AK1505">
        <v>22</v>
      </c>
      <c r="AL1505" t="s">
        <v>217</v>
      </c>
      <c r="AM1505" t="s">
        <v>218</v>
      </c>
      <c r="AN1505" t="s">
        <v>219</v>
      </c>
      <c r="AO1505" t="s">
        <v>220</v>
      </c>
      <c r="AP1505" t="s">
        <v>221</v>
      </c>
      <c r="AR1505" t="s">
        <v>222</v>
      </c>
      <c r="AS1505" t="s">
        <v>223</v>
      </c>
      <c r="AT1505" t="s">
        <v>267</v>
      </c>
      <c r="AU1505">
        <v>2023</v>
      </c>
      <c r="AV1505">
        <v>30</v>
      </c>
      <c r="AW1505">
        <v>50</v>
      </c>
      <c r="BB1505">
        <v>109810</v>
      </c>
      <c r="BC1505">
        <v>109824</v>
      </c>
      <c r="BE1505" t="s">
        <v>24512</v>
      </c>
      <c r="BF1505" t="s">
        <v>24513</v>
      </c>
      <c r="BH1505" t="s">
        <v>2000</v>
      </c>
      <c r="BI1505">
        <v>15</v>
      </c>
      <c r="BJ1505" t="s">
        <v>144</v>
      </c>
      <c r="BK1505" t="s">
        <v>96</v>
      </c>
      <c r="BL1505" t="s">
        <v>145</v>
      </c>
      <c r="BM1505" t="s">
        <v>24514</v>
      </c>
      <c r="BN1505">
        <v>37777705</v>
      </c>
      <c r="BR1505" t="s">
        <v>98</v>
      </c>
      <c r="BS1505" t="s">
        <v>24515</v>
      </c>
      <c r="BT1505" t="s">
        <v>16602</v>
      </c>
    </row>
    <row r="1506" spans="1:72">
      <c r="A1506" t="s">
        <v>72</v>
      </c>
      <c r="B1506" t="s">
        <v>24516</v>
      </c>
      <c r="F1506" t="s">
        <v>24517</v>
      </c>
      <c r="I1506" t="s">
        <v>24518</v>
      </c>
      <c r="J1506" t="s">
        <v>24519</v>
      </c>
      <c r="M1506" t="s">
        <v>78</v>
      </c>
      <c r="N1506" t="s">
        <v>79</v>
      </c>
      <c r="T1506" t="s">
        <v>24520</v>
      </c>
      <c r="V1506" t="s">
        <v>24521</v>
      </c>
      <c r="W1506" t="s">
        <v>24522</v>
      </c>
      <c r="X1506" t="s">
        <v>24523</v>
      </c>
      <c r="Y1506" t="s">
        <v>24524</v>
      </c>
      <c r="Z1506" t="s">
        <v>24525</v>
      </c>
      <c r="AC1506" t="s">
        <v>24526</v>
      </c>
      <c r="AD1506" t="s">
        <v>24527</v>
      </c>
      <c r="AE1506" t="s">
        <v>24528</v>
      </c>
      <c r="AG1506">
        <v>39</v>
      </c>
      <c r="AH1506">
        <v>1</v>
      </c>
      <c r="AI1506">
        <v>1</v>
      </c>
      <c r="AJ1506">
        <v>0</v>
      </c>
      <c r="AK1506">
        <v>2</v>
      </c>
      <c r="AL1506" t="s">
        <v>1433</v>
      </c>
      <c r="AM1506" t="s">
        <v>1434</v>
      </c>
      <c r="AN1506" t="s">
        <v>1435</v>
      </c>
      <c r="AO1506" t="s">
        <v>24529</v>
      </c>
      <c r="AP1506" t="s">
        <v>24530</v>
      </c>
      <c r="AR1506" t="s">
        <v>24531</v>
      </c>
      <c r="AS1506" t="s">
        <v>24532</v>
      </c>
      <c r="AT1506" t="s">
        <v>197</v>
      </c>
      <c r="AU1506">
        <v>2019</v>
      </c>
      <c r="AV1506">
        <v>57</v>
      </c>
      <c r="AW1506">
        <v>12</v>
      </c>
      <c r="BB1506">
        <v>949</v>
      </c>
      <c r="BC1506">
        <v>955</v>
      </c>
      <c r="BI1506">
        <v>7</v>
      </c>
      <c r="BJ1506" t="s">
        <v>171</v>
      </c>
      <c r="BK1506" t="s">
        <v>96</v>
      </c>
      <c r="BL1506" t="s">
        <v>173</v>
      </c>
      <c r="BM1506" t="s">
        <v>24533</v>
      </c>
      <c r="BR1506" t="s">
        <v>98</v>
      </c>
      <c r="BS1506" t="s">
        <v>24534</v>
      </c>
      <c r="BT1506" t="s">
        <v>16602</v>
      </c>
    </row>
    <row r="1507" spans="1:72">
      <c r="A1507" t="s">
        <v>72</v>
      </c>
      <c r="B1507" t="s">
        <v>24535</v>
      </c>
      <c r="F1507" t="s">
        <v>24535</v>
      </c>
      <c r="I1507" t="s">
        <v>24536</v>
      </c>
      <c r="J1507" t="s">
        <v>20957</v>
      </c>
      <c r="M1507" t="s">
        <v>78</v>
      </c>
      <c r="N1507" t="s">
        <v>79</v>
      </c>
      <c r="U1507" t="s">
        <v>24537</v>
      </c>
      <c r="V1507" t="s">
        <v>24538</v>
      </c>
      <c r="W1507" t="s">
        <v>24539</v>
      </c>
      <c r="X1507" t="s">
        <v>24540</v>
      </c>
      <c r="Y1507" t="s">
        <v>24541</v>
      </c>
      <c r="Z1507" t="s">
        <v>24542</v>
      </c>
      <c r="AA1507" t="s">
        <v>24543</v>
      </c>
      <c r="AB1507" t="s">
        <v>24544</v>
      </c>
      <c r="AG1507">
        <v>42</v>
      </c>
      <c r="AH1507">
        <v>103</v>
      </c>
      <c r="AI1507">
        <v>113</v>
      </c>
      <c r="AJ1507">
        <v>0</v>
      </c>
      <c r="AK1507">
        <v>13</v>
      </c>
      <c r="AL1507" t="s">
        <v>24545</v>
      </c>
      <c r="AM1507" t="s">
        <v>13247</v>
      </c>
      <c r="AN1507" t="s">
        <v>24546</v>
      </c>
      <c r="AO1507" t="s">
        <v>20966</v>
      </c>
      <c r="AP1507" t="s">
        <v>24547</v>
      </c>
      <c r="AR1507" t="s">
        <v>20967</v>
      </c>
      <c r="AS1507" t="s">
        <v>20968</v>
      </c>
      <c r="AT1507" t="s">
        <v>224</v>
      </c>
      <c r="AU1507">
        <v>2000</v>
      </c>
      <c r="AV1507">
        <v>57</v>
      </c>
      <c r="AW1507">
        <v>2</v>
      </c>
      <c r="BB1507">
        <v>441</v>
      </c>
      <c r="BC1507">
        <v>450</v>
      </c>
      <c r="BE1507" t="s">
        <v>24548</v>
      </c>
      <c r="BF1507" t="s">
        <v>24549</v>
      </c>
      <c r="BI1507">
        <v>10</v>
      </c>
      <c r="BJ1507" t="s">
        <v>2391</v>
      </c>
      <c r="BK1507" t="s">
        <v>96</v>
      </c>
      <c r="BL1507" t="s">
        <v>2391</v>
      </c>
      <c r="BM1507" t="s">
        <v>24550</v>
      </c>
      <c r="BR1507" t="s">
        <v>98</v>
      </c>
      <c r="BS1507" t="s">
        <v>24551</v>
      </c>
      <c r="BT1507" t="s">
        <v>16602</v>
      </c>
    </row>
    <row r="1508" spans="1:72">
      <c r="A1508" t="s">
        <v>72</v>
      </c>
      <c r="B1508" t="s">
        <v>24552</v>
      </c>
      <c r="F1508" t="s">
        <v>24552</v>
      </c>
      <c r="I1508" t="s">
        <v>24553</v>
      </c>
      <c r="J1508" t="s">
        <v>3349</v>
      </c>
      <c r="M1508" t="s">
        <v>78</v>
      </c>
      <c r="N1508" t="s">
        <v>79</v>
      </c>
      <c r="T1508" t="s">
        <v>24554</v>
      </c>
      <c r="U1508" t="s">
        <v>24555</v>
      </c>
      <c r="V1508" t="s">
        <v>24556</v>
      </c>
      <c r="W1508" t="s">
        <v>24557</v>
      </c>
      <c r="X1508" t="s">
        <v>24558</v>
      </c>
      <c r="Y1508" t="s">
        <v>24559</v>
      </c>
      <c r="AA1508" t="s">
        <v>24560</v>
      </c>
      <c r="AB1508" t="s">
        <v>24561</v>
      </c>
      <c r="AG1508">
        <v>25</v>
      </c>
      <c r="AH1508">
        <v>12</v>
      </c>
      <c r="AI1508">
        <v>14</v>
      </c>
      <c r="AJ1508">
        <v>0</v>
      </c>
      <c r="AK1508">
        <v>12</v>
      </c>
      <c r="AL1508" t="s">
        <v>24562</v>
      </c>
      <c r="AM1508" t="s">
        <v>3363</v>
      </c>
      <c r="AN1508" t="s">
        <v>3364</v>
      </c>
      <c r="AO1508" t="s">
        <v>3365</v>
      </c>
      <c r="AR1508" t="s">
        <v>3367</v>
      </c>
      <c r="AS1508" t="s">
        <v>3368</v>
      </c>
      <c r="AT1508" t="s">
        <v>170</v>
      </c>
      <c r="AU1508">
        <v>2000</v>
      </c>
      <c r="AV1508">
        <v>46</v>
      </c>
      <c r="AW1508">
        <v>1</v>
      </c>
      <c r="BB1508">
        <v>23</v>
      </c>
      <c r="BC1508">
        <v>28</v>
      </c>
      <c r="BE1508" t="s">
        <v>24563</v>
      </c>
      <c r="BF1508" t="s">
        <v>24564</v>
      </c>
      <c r="BI1508">
        <v>6</v>
      </c>
      <c r="BJ1508" t="s">
        <v>121</v>
      </c>
      <c r="BK1508" t="s">
        <v>96</v>
      </c>
      <c r="BL1508" t="s">
        <v>122</v>
      </c>
      <c r="BM1508" t="s">
        <v>24565</v>
      </c>
      <c r="BN1508">
        <v>10805989</v>
      </c>
      <c r="BR1508" t="s">
        <v>98</v>
      </c>
      <c r="BS1508" t="s">
        <v>24566</v>
      </c>
      <c r="BT1508" t="s">
        <v>16602</v>
      </c>
    </row>
    <row r="1509" spans="1:72">
      <c r="A1509" t="s">
        <v>72</v>
      </c>
      <c r="B1509" t="s">
        <v>24567</v>
      </c>
      <c r="F1509" t="s">
        <v>24568</v>
      </c>
      <c r="I1509" t="s">
        <v>24569</v>
      </c>
      <c r="J1509" t="s">
        <v>17677</v>
      </c>
      <c r="M1509" t="s">
        <v>78</v>
      </c>
      <c r="N1509" t="s">
        <v>79</v>
      </c>
      <c r="T1509" t="s">
        <v>24570</v>
      </c>
      <c r="U1509" t="s">
        <v>24571</v>
      </c>
      <c r="V1509" t="s">
        <v>24572</v>
      </c>
      <c r="W1509" t="s">
        <v>24573</v>
      </c>
      <c r="X1509" t="s">
        <v>24574</v>
      </c>
      <c r="Y1509" t="s">
        <v>24575</v>
      </c>
      <c r="Z1509" t="s">
        <v>24576</v>
      </c>
      <c r="AB1509" t="s">
        <v>24577</v>
      </c>
      <c r="AG1509">
        <v>46</v>
      </c>
      <c r="AH1509">
        <v>15</v>
      </c>
      <c r="AI1509">
        <v>16</v>
      </c>
      <c r="AJ1509">
        <v>0</v>
      </c>
      <c r="AK1509">
        <v>23</v>
      </c>
      <c r="AL1509" t="s">
        <v>24578</v>
      </c>
      <c r="AM1509" t="s">
        <v>17685</v>
      </c>
      <c r="AN1509" t="s">
        <v>24579</v>
      </c>
      <c r="AO1509" t="s">
        <v>17687</v>
      </c>
      <c r="AP1509" t="s">
        <v>17688</v>
      </c>
      <c r="AR1509" t="s">
        <v>17689</v>
      </c>
      <c r="AS1509" t="s">
        <v>17690</v>
      </c>
      <c r="AT1509" t="s">
        <v>93</v>
      </c>
      <c r="AU1509">
        <v>2012</v>
      </c>
      <c r="AV1509">
        <v>47</v>
      </c>
      <c r="AW1509">
        <v>1</v>
      </c>
      <c r="BB1509">
        <v>99</v>
      </c>
      <c r="BC1509">
        <v>107</v>
      </c>
      <c r="BE1509" t="s">
        <v>24580</v>
      </c>
      <c r="BF1509" t="s">
        <v>24581</v>
      </c>
      <c r="BI1509">
        <v>9</v>
      </c>
      <c r="BJ1509" t="s">
        <v>4241</v>
      </c>
      <c r="BK1509" t="s">
        <v>96</v>
      </c>
      <c r="BL1509" t="s">
        <v>4241</v>
      </c>
      <c r="BM1509" t="s">
        <v>24582</v>
      </c>
      <c r="BO1509" t="s">
        <v>8692</v>
      </c>
      <c r="BR1509" t="s">
        <v>98</v>
      </c>
      <c r="BS1509" t="s">
        <v>24583</v>
      </c>
      <c r="BT1509" t="s">
        <v>16602</v>
      </c>
    </row>
    <row r="1510" spans="1:72">
      <c r="A1510" t="s">
        <v>72</v>
      </c>
      <c r="B1510" t="s">
        <v>24584</v>
      </c>
      <c r="F1510" t="s">
        <v>24585</v>
      </c>
      <c r="I1510" t="s">
        <v>24586</v>
      </c>
      <c r="J1510" t="s">
        <v>6753</v>
      </c>
      <c r="M1510" t="s">
        <v>78</v>
      </c>
      <c r="N1510" t="s">
        <v>79</v>
      </c>
      <c r="T1510" t="s">
        <v>24587</v>
      </c>
      <c r="U1510" t="s">
        <v>24588</v>
      </c>
      <c r="V1510" t="s">
        <v>24589</v>
      </c>
      <c r="W1510" t="s">
        <v>24590</v>
      </c>
      <c r="X1510" t="s">
        <v>24591</v>
      </c>
      <c r="Y1510" t="s">
        <v>24592</v>
      </c>
      <c r="Z1510" t="s">
        <v>24593</v>
      </c>
      <c r="AA1510" t="s">
        <v>24594</v>
      </c>
      <c r="AB1510" t="s">
        <v>24595</v>
      </c>
      <c r="AC1510" t="s">
        <v>24596</v>
      </c>
      <c r="AD1510" t="s">
        <v>24597</v>
      </c>
      <c r="AE1510" t="s">
        <v>24598</v>
      </c>
      <c r="AG1510">
        <v>57</v>
      </c>
      <c r="AH1510">
        <v>5</v>
      </c>
      <c r="AI1510">
        <v>6</v>
      </c>
      <c r="AJ1510">
        <v>0</v>
      </c>
      <c r="AK1510">
        <v>23</v>
      </c>
      <c r="AL1510" t="s">
        <v>6763</v>
      </c>
      <c r="AM1510" t="s">
        <v>6764</v>
      </c>
      <c r="AN1510" t="s">
        <v>6765</v>
      </c>
      <c r="AO1510" t="s">
        <v>6766</v>
      </c>
      <c r="AR1510" t="s">
        <v>6768</v>
      </c>
      <c r="AS1510" t="s">
        <v>6769</v>
      </c>
      <c r="AT1510" t="s">
        <v>305</v>
      </c>
      <c r="AU1510">
        <v>2014</v>
      </c>
      <c r="AV1510">
        <v>14</v>
      </c>
      <c r="AW1510">
        <v>3</v>
      </c>
      <c r="BB1510">
        <v>591</v>
      </c>
      <c r="BC1510">
        <v>603</v>
      </c>
      <c r="BE1510" t="s">
        <v>24599</v>
      </c>
      <c r="BF1510" t="s">
        <v>24600</v>
      </c>
      <c r="BI1510">
        <v>13</v>
      </c>
      <c r="BJ1510" t="s">
        <v>2391</v>
      </c>
      <c r="BK1510" t="s">
        <v>96</v>
      </c>
      <c r="BL1510" t="s">
        <v>2391</v>
      </c>
      <c r="BM1510" t="s">
        <v>24601</v>
      </c>
      <c r="BO1510" t="s">
        <v>370</v>
      </c>
      <c r="BR1510" t="s">
        <v>98</v>
      </c>
      <c r="BS1510" t="s">
        <v>24602</v>
      </c>
      <c r="BT1510" t="s">
        <v>16602</v>
      </c>
    </row>
    <row r="1511" spans="1:72">
      <c r="A1511" t="s">
        <v>72</v>
      </c>
      <c r="B1511" t="s">
        <v>24603</v>
      </c>
      <c r="F1511" t="s">
        <v>24604</v>
      </c>
      <c r="I1511" t="s">
        <v>24605</v>
      </c>
      <c r="J1511" t="s">
        <v>24606</v>
      </c>
      <c r="M1511" t="s">
        <v>78</v>
      </c>
      <c r="N1511" t="s">
        <v>79</v>
      </c>
      <c r="T1511" t="s">
        <v>24607</v>
      </c>
      <c r="U1511" t="s">
        <v>24608</v>
      </c>
      <c r="V1511" t="s">
        <v>24609</v>
      </c>
      <c r="W1511" t="s">
        <v>24610</v>
      </c>
      <c r="X1511" t="s">
        <v>24611</v>
      </c>
      <c r="Y1511" t="s">
        <v>24612</v>
      </c>
      <c r="Z1511" t="s">
        <v>24613</v>
      </c>
      <c r="AA1511" t="s">
        <v>24614</v>
      </c>
      <c r="AB1511" t="s">
        <v>24615</v>
      </c>
      <c r="AC1511" t="s">
        <v>24616</v>
      </c>
      <c r="AD1511" t="s">
        <v>24617</v>
      </c>
      <c r="AE1511" t="s">
        <v>24618</v>
      </c>
      <c r="AG1511">
        <v>90</v>
      </c>
      <c r="AH1511">
        <v>7</v>
      </c>
      <c r="AI1511">
        <v>7</v>
      </c>
      <c r="AJ1511">
        <v>4</v>
      </c>
      <c r="AK1511">
        <v>30</v>
      </c>
      <c r="AL1511" t="s">
        <v>1566</v>
      </c>
      <c r="AM1511" t="s">
        <v>1567</v>
      </c>
      <c r="AN1511" t="s">
        <v>1568</v>
      </c>
      <c r="AP1511" t="s">
        <v>24619</v>
      </c>
      <c r="AR1511" t="s">
        <v>24620</v>
      </c>
      <c r="AS1511" t="s">
        <v>24621</v>
      </c>
      <c r="AT1511" t="s">
        <v>224</v>
      </c>
      <c r="AU1511">
        <v>2022</v>
      </c>
      <c r="AV1511">
        <v>11</v>
      </c>
      <c r="AW1511">
        <v>2</v>
      </c>
      <c r="BD1511">
        <v>369</v>
      </c>
      <c r="BE1511" t="s">
        <v>24622</v>
      </c>
      <c r="BF1511" t="s">
        <v>24623</v>
      </c>
      <c r="BI1511">
        <v>18</v>
      </c>
      <c r="BJ1511" t="s">
        <v>24624</v>
      </c>
      <c r="BK1511" t="s">
        <v>96</v>
      </c>
      <c r="BL1511" t="s">
        <v>24625</v>
      </c>
      <c r="BM1511" t="s">
        <v>24626</v>
      </c>
      <c r="BN1511">
        <v>35204251</v>
      </c>
      <c r="BO1511" t="s">
        <v>550</v>
      </c>
      <c r="BR1511" t="s">
        <v>98</v>
      </c>
      <c r="BS1511" t="s">
        <v>24627</v>
      </c>
      <c r="BT1511" t="s">
        <v>16602</v>
      </c>
    </row>
    <row r="1512" spans="1:72">
      <c r="A1512" t="s">
        <v>72</v>
      </c>
      <c r="B1512" t="s">
        <v>24628</v>
      </c>
      <c r="F1512" t="s">
        <v>24629</v>
      </c>
      <c r="I1512" t="s">
        <v>24630</v>
      </c>
      <c r="J1512" t="s">
        <v>421</v>
      </c>
      <c r="M1512" t="s">
        <v>78</v>
      </c>
      <c r="N1512" t="s">
        <v>79</v>
      </c>
      <c r="T1512" t="s">
        <v>24631</v>
      </c>
      <c r="U1512" t="s">
        <v>24632</v>
      </c>
      <c r="V1512" t="s">
        <v>24633</v>
      </c>
      <c r="W1512" t="s">
        <v>24634</v>
      </c>
      <c r="X1512" t="s">
        <v>24635</v>
      </c>
      <c r="Y1512" t="s">
        <v>24636</v>
      </c>
      <c r="Z1512" t="s">
        <v>24637</v>
      </c>
      <c r="AA1512" t="s">
        <v>24638</v>
      </c>
      <c r="AB1512" t="s">
        <v>24639</v>
      </c>
      <c r="AG1512">
        <v>20</v>
      </c>
      <c r="AH1512">
        <v>24</v>
      </c>
      <c r="AI1512">
        <v>25</v>
      </c>
      <c r="AJ1512">
        <v>2</v>
      </c>
      <c r="AK1512">
        <v>25</v>
      </c>
      <c r="AL1512" t="s">
        <v>430</v>
      </c>
      <c r="AM1512" t="s">
        <v>137</v>
      </c>
      <c r="AN1512" t="s">
        <v>431</v>
      </c>
      <c r="AO1512" t="s">
        <v>432</v>
      </c>
      <c r="AR1512" t="s">
        <v>433</v>
      </c>
      <c r="AS1512" t="s">
        <v>434</v>
      </c>
      <c r="AT1512" t="s">
        <v>1470</v>
      </c>
      <c r="AU1512">
        <v>2009</v>
      </c>
      <c r="AV1512">
        <v>157</v>
      </c>
      <c r="AW1512">
        <v>1</v>
      </c>
      <c r="BB1512">
        <v>215</v>
      </c>
      <c r="BC1512">
        <v>220</v>
      </c>
      <c r="BE1512" t="s">
        <v>24640</v>
      </c>
      <c r="BF1512" t="s">
        <v>24641</v>
      </c>
      <c r="BI1512">
        <v>6</v>
      </c>
      <c r="BJ1512" t="s">
        <v>144</v>
      </c>
      <c r="BK1512" t="s">
        <v>96</v>
      </c>
      <c r="BL1512" t="s">
        <v>145</v>
      </c>
      <c r="BM1512" t="s">
        <v>24642</v>
      </c>
      <c r="BN1512">
        <v>18774207</v>
      </c>
      <c r="BR1512" t="s">
        <v>98</v>
      </c>
      <c r="BS1512" t="s">
        <v>24643</v>
      </c>
      <c r="BT1512" t="s">
        <v>16602</v>
      </c>
    </row>
    <row r="1513" spans="1:72">
      <c r="A1513" t="s">
        <v>72</v>
      </c>
      <c r="B1513" t="s">
        <v>24644</v>
      </c>
      <c r="F1513" t="s">
        <v>24645</v>
      </c>
      <c r="I1513" t="s">
        <v>24646</v>
      </c>
      <c r="J1513" t="s">
        <v>3792</v>
      </c>
      <c r="M1513" t="s">
        <v>78</v>
      </c>
      <c r="N1513" t="s">
        <v>79</v>
      </c>
      <c r="T1513" t="s">
        <v>24647</v>
      </c>
      <c r="U1513" t="s">
        <v>24648</v>
      </c>
      <c r="V1513" t="s">
        <v>24649</v>
      </c>
      <c r="W1513" t="s">
        <v>24650</v>
      </c>
      <c r="X1513" t="s">
        <v>24651</v>
      </c>
      <c r="Y1513" t="s">
        <v>24652</v>
      </c>
      <c r="Z1513" t="s">
        <v>24653</v>
      </c>
      <c r="AA1513" t="s">
        <v>24654</v>
      </c>
      <c r="AB1513" t="s">
        <v>24655</v>
      </c>
      <c r="AC1513" t="s">
        <v>24656</v>
      </c>
      <c r="AD1513" t="s">
        <v>24656</v>
      </c>
      <c r="AE1513" t="s">
        <v>24657</v>
      </c>
      <c r="AG1513">
        <v>68</v>
      </c>
      <c r="AH1513">
        <v>0</v>
      </c>
      <c r="AI1513">
        <v>0</v>
      </c>
      <c r="AJ1513">
        <v>1</v>
      </c>
      <c r="AK1513">
        <v>6</v>
      </c>
      <c r="AL1513" t="s">
        <v>1566</v>
      </c>
      <c r="AM1513" t="s">
        <v>1567</v>
      </c>
      <c r="AN1513" t="s">
        <v>1568</v>
      </c>
      <c r="AP1513" t="s">
        <v>3802</v>
      </c>
      <c r="AR1513" t="s">
        <v>3792</v>
      </c>
      <c r="AS1513" t="s">
        <v>3803</v>
      </c>
      <c r="AT1513" t="s">
        <v>765</v>
      </c>
      <c r="AU1513">
        <v>2023</v>
      </c>
      <c r="AV1513">
        <v>13</v>
      </c>
      <c r="AW1513">
        <v>7</v>
      </c>
      <c r="BD1513">
        <v>869</v>
      </c>
      <c r="BE1513" t="s">
        <v>24658</v>
      </c>
      <c r="BF1513" t="s">
        <v>24659</v>
      </c>
      <c r="BI1513">
        <v>25</v>
      </c>
      <c r="BJ1513" t="s">
        <v>3805</v>
      </c>
      <c r="BK1513" t="s">
        <v>96</v>
      </c>
      <c r="BL1513" t="s">
        <v>3805</v>
      </c>
      <c r="BM1513" t="s">
        <v>24660</v>
      </c>
      <c r="BN1513">
        <v>37512576</v>
      </c>
      <c r="BO1513" t="s">
        <v>5306</v>
      </c>
      <c r="BR1513" t="s">
        <v>98</v>
      </c>
      <c r="BS1513" t="s">
        <v>24661</v>
      </c>
      <c r="BT1513" t="s">
        <v>16602</v>
      </c>
    </row>
    <row r="1514" spans="1:72">
      <c r="A1514" t="s">
        <v>72</v>
      </c>
      <c r="B1514" t="s">
        <v>24662</v>
      </c>
      <c r="F1514" t="s">
        <v>24662</v>
      </c>
      <c r="I1514" t="s">
        <v>24663</v>
      </c>
      <c r="J1514" t="s">
        <v>752</v>
      </c>
      <c r="M1514" t="s">
        <v>78</v>
      </c>
      <c r="N1514" t="s">
        <v>79</v>
      </c>
      <c r="T1514" t="s">
        <v>24664</v>
      </c>
      <c r="U1514" t="s">
        <v>24665</v>
      </c>
      <c r="V1514" t="s">
        <v>24666</v>
      </c>
      <c r="W1514" t="s">
        <v>24667</v>
      </c>
      <c r="X1514" t="s">
        <v>24668</v>
      </c>
      <c r="Y1514" t="s">
        <v>24669</v>
      </c>
      <c r="Z1514" t="s">
        <v>24670</v>
      </c>
      <c r="AA1514" t="s">
        <v>24671</v>
      </c>
      <c r="AB1514" t="s">
        <v>24672</v>
      </c>
      <c r="AG1514">
        <v>56</v>
      </c>
      <c r="AH1514">
        <v>143</v>
      </c>
      <c r="AI1514">
        <v>156</v>
      </c>
      <c r="AJ1514">
        <v>3</v>
      </c>
      <c r="AK1514">
        <v>45</v>
      </c>
      <c r="AL1514" t="s">
        <v>430</v>
      </c>
      <c r="AM1514" t="s">
        <v>137</v>
      </c>
      <c r="AN1514" t="s">
        <v>431</v>
      </c>
      <c r="AO1514" t="s">
        <v>761</v>
      </c>
      <c r="AP1514" t="s">
        <v>762</v>
      </c>
      <c r="AR1514" t="s">
        <v>763</v>
      </c>
      <c r="AS1514" t="s">
        <v>764</v>
      </c>
      <c r="AT1514" t="s">
        <v>267</v>
      </c>
      <c r="AU1514">
        <v>2003</v>
      </c>
      <c r="AV1514">
        <v>56</v>
      </c>
      <c r="AW1514">
        <v>4</v>
      </c>
      <c r="BB1514">
        <v>531</v>
      </c>
      <c r="BC1514">
        <v>553</v>
      </c>
      <c r="BE1514" t="s">
        <v>24673</v>
      </c>
      <c r="BF1514" t="s">
        <v>24674</v>
      </c>
      <c r="BI1514">
        <v>23</v>
      </c>
      <c r="BJ1514" t="s">
        <v>768</v>
      </c>
      <c r="BK1514" t="s">
        <v>96</v>
      </c>
      <c r="BL1514" t="s">
        <v>769</v>
      </c>
      <c r="BM1514" t="s">
        <v>24675</v>
      </c>
      <c r="BN1514">
        <v>12860437</v>
      </c>
      <c r="BR1514" t="s">
        <v>98</v>
      </c>
      <c r="BS1514" t="s">
        <v>24676</v>
      </c>
      <c r="BT1514" t="s">
        <v>16602</v>
      </c>
    </row>
    <row r="1515" spans="1:72">
      <c r="A1515" t="s">
        <v>72</v>
      </c>
      <c r="B1515" t="s">
        <v>24677</v>
      </c>
      <c r="F1515" t="s">
        <v>24678</v>
      </c>
      <c r="I1515" t="s">
        <v>24679</v>
      </c>
      <c r="J1515" t="s">
        <v>909</v>
      </c>
      <c r="M1515" t="s">
        <v>78</v>
      </c>
      <c r="N1515" t="s">
        <v>79</v>
      </c>
      <c r="T1515" t="s">
        <v>24680</v>
      </c>
      <c r="U1515" t="s">
        <v>24681</v>
      </c>
      <c r="V1515" t="s">
        <v>24682</v>
      </c>
      <c r="W1515" t="s">
        <v>24683</v>
      </c>
      <c r="X1515" t="s">
        <v>24684</v>
      </c>
      <c r="Y1515" t="s">
        <v>24685</v>
      </c>
      <c r="Z1515" t="s">
        <v>9288</v>
      </c>
      <c r="AA1515" t="s">
        <v>24686</v>
      </c>
      <c r="AB1515" t="s">
        <v>24687</v>
      </c>
      <c r="AC1515" t="s">
        <v>24688</v>
      </c>
      <c r="AD1515" t="s">
        <v>24689</v>
      </c>
      <c r="AE1515" t="s">
        <v>24690</v>
      </c>
      <c r="AG1515">
        <v>93</v>
      </c>
      <c r="AH1515">
        <v>5</v>
      </c>
      <c r="AI1515">
        <v>5</v>
      </c>
      <c r="AJ1515">
        <v>9</v>
      </c>
      <c r="AK1515">
        <v>49</v>
      </c>
      <c r="AL1515" t="s">
        <v>650</v>
      </c>
      <c r="AM1515" t="s">
        <v>651</v>
      </c>
      <c r="AN1515" t="s">
        <v>652</v>
      </c>
      <c r="AO1515" t="s">
        <v>921</v>
      </c>
      <c r="AP1515" t="s">
        <v>922</v>
      </c>
      <c r="AR1515" t="s">
        <v>923</v>
      </c>
      <c r="AS1515" t="s">
        <v>924</v>
      </c>
      <c r="AT1515" t="s">
        <v>2303</v>
      </c>
      <c r="AU1515">
        <v>2023</v>
      </c>
      <c r="AV1515">
        <v>902</v>
      </c>
      <c r="BD1515">
        <v>165786</v>
      </c>
      <c r="BE1515" t="s">
        <v>24691</v>
      </c>
      <c r="BF1515" t="s">
        <v>24692</v>
      </c>
      <c r="BH1515" t="s">
        <v>6411</v>
      </c>
      <c r="BI1515">
        <v>12</v>
      </c>
      <c r="BJ1515" t="s">
        <v>144</v>
      </c>
      <c r="BK1515" t="s">
        <v>96</v>
      </c>
      <c r="BL1515" t="s">
        <v>145</v>
      </c>
      <c r="BM1515" t="s">
        <v>24693</v>
      </c>
      <c r="BN1515">
        <v>37499837</v>
      </c>
      <c r="BO1515" t="s">
        <v>476</v>
      </c>
      <c r="BR1515" t="s">
        <v>98</v>
      </c>
      <c r="BS1515" t="s">
        <v>24694</v>
      </c>
      <c r="BT1515" t="s">
        <v>16602</v>
      </c>
    </row>
    <row r="1516" spans="1:72">
      <c r="A1516" t="s">
        <v>72</v>
      </c>
      <c r="B1516" t="s">
        <v>24695</v>
      </c>
      <c r="F1516" t="s">
        <v>24696</v>
      </c>
      <c r="I1516" t="s">
        <v>24697</v>
      </c>
      <c r="J1516" t="s">
        <v>3349</v>
      </c>
      <c r="M1516" t="s">
        <v>78</v>
      </c>
      <c r="N1516" t="s">
        <v>79</v>
      </c>
      <c r="T1516" t="s">
        <v>24698</v>
      </c>
      <c r="U1516" t="s">
        <v>24699</v>
      </c>
      <c r="V1516" t="s">
        <v>24700</v>
      </c>
      <c r="W1516" t="s">
        <v>24701</v>
      </c>
      <c r="X1516" t="s">
        <v>16481</v>
      </c>
      <c r="Y1516" t="s">
        <v>24702</v>
      </c>
      <c r="Z1516" t="s">
        <v>16483</v>
      </c>
      <c r="AC1516" t="s">
        <v>24703</v>
      </c>
      <c r="AD1516" t="s">
        <v>24703</v>
      </c>
      <c r="AE1516" t="s">
        <v>24704</v>
      </c>
      <c r="AG1516">
        <v>46</v>
      </c>
      <c r="AH1516">
        <v>22</v>
      </c>
      <c r="AI1516">
        <v>25</v>
      </c>
      <c r="AJ1516">
        <v>0</v>
      </c>
      <c r="AK1516">
        <v>28</v>
      </c>
      <c r="AL1516" t="s">
        <v>3362</v>
      </c>
      <c r="AM1516" t="s">
        <v>3363</v>
      </c>
      <c r="AN1516" t="s">
        <v>3364</v>
      </c>
      <c r="AO1516" t="s">
        <v>3365</v>
      </c>
      <c r="AP1516" t="s">
        <v>3366</v>
      </c>
      <c r="AR1516" t="s">
        <v>3367</v>
      </c>
      <c r="AS1516" t="s">
        <v>3368</v>
      </c>
      <c r="AT1516" t="s">
        <v>170</v>
      </c>
      <c r="AU1516">
        <v>2009</v>
      </c>
      <c r="AV1516">
        <v>72</v>
      </c>
      <c r="AW1516">
        <v>4</v>
      </c>
      <c r="BB1516">
        <v>1271</v>
      </c>
      <c r="BC1516">
        <v>1277</v>
      </c>
      <c r="BE1516" t="s">
        <v>24705</v>
      </c>
      <c r="BF1516" t="s">
        <v>24706</v>
      </c>
      <c r="BI1516">
        <v>7</v>
      </c>
      <c r="BJ1516" t="s">
        <v>121</v>
      </c>
      <c r="BK1516" t="s">
        <v>96</v>
      </c>
      <c r="BL1516" t="s">
        <v>122</v>
      </c>
      <c r="BM1516" t="s">
        <v>24707</v>
      </c>
      <c r="BN1516">
        <v>19181381</v>
      </c>
      <c r="BR1516" t="s">
        <v>98</v>
      </c>
      <c r="BS1516" t="s">
        <v>24708</v>
      </c>
      <c r="BT1516" t="s">
        <v>16602</v>
      </c>
    </row>
    <row r="1517" spans="1:72">
      <c r="A1517" t="s">
        <v>72</v>
      </c>
      <c r="B1517" t="s">
        <v>24709</v>
      </c>
      <c r="F1517" t="s">
        <v>24710</v>
      </c>
      <c r="I1517" t="s">
        <v>24711</v>
      </c>
      <c r="J1517" t="s">
        <v>752</v>
      </c>
      <c r="M1517" t="s">
        <v>78</v>
      </c>
      <c r="N1517" t="s">
        <v>79</v>
      </c>
      <c r="T1517" t="s">
        <v>24712</v>
      </c>
      <c r="U1517" t="s">
        <v>24713</v>
      </c>
      <c r="V1517" t="s">
        <v>24714</v>
      </c>
      <c r="W1517" t="s">
        <v>24715</v>
      </c>
      <c r="X1517" t="s">
        <v>24716</v>
      </c>
      <c r="Y1517" t="s">
        <v>24717</v>
      </c>
      <c r="Z1517" t="s">
        <v>24718</v>
      </c>
      <c r="AA1517" t="s">
        <v>24719</v>
      </c>
      <c r="AB1517" t="s">
        <v>24720</v>
      </c>
      <c r="AG1517">
        <v>58</v>
      </c>
      <c r="AH1517">
        <v>7</v>
      </c>
      <c r="AI1517">
        <v>7</v>
      </c>
      <c r="AJ1517">
        <v>3</v>
      </c>
      <c r="AK1517">
        <v>50</v>
      </c>
      <c r="AL1517" t="s">
        <v>430</v>
      </c>
      <c r="AM1517" t="s">
        <v>137</v>
      </c>
      <c r="AN1517" t="s">
        <v>431</v>
      </c>
      <c r="AO1517" t="s">
        <v>761</v>
      </c>
      <c r="AP1517" t="s">
        <v>762</v>
      </c>
      <c r="AR1517" t="s">
        <v>763</v>
      </c>
      <c r="AS1517" t="s">
        <v>764</v>
      </c>
      <c r="AT1517" t="s">
        <v>197</v>
      </c>
      <c r="AU1517">
        <v>2020</v>
      </c>
      <c r="AV1517">
        <v>162</v>
      </c>
      <c r="BD1517">
        <v>105091</v>
      </c>
      <c r="BE1517" t="s">
        <v>24721</v>
      </c>
      <c r="BF1517" t="s">
        <v>24722</v>
      </c>
      <c r="BI1517">
        <v>10</v>
      </c>
      <c r="BJ1517" t="s">
        <v>768</v>
      </c>
      <c r="BK1517" t="s">
        <v>96</v>
      </c>
      <c r="BL1517" t="s">
        <v>769</v>
      </c>
      <c r="BM1517" t="s">
        <v>24723</v>
      </c>
      <c r="BN1517">
        <v>32798697</v>
      </c>
      <c r="BR1517" t="s">
        <v>98</v>
      </c>
      <c r="BS1517" t="s">
        <v>24724</v>
      </c>
      <c r="BT1517" t="s">
        <v>16602</v>
      </c>
    </row>
    <row r="1518" spans="1:72">
      <c r="A1518" t="s">
        <v>72</v>
      </c>
      <c r="B1518" t="s">
        <v>24725</v>
      </c>
      <c r="F1518" t="s">
        <v>24726</v>
      </c>
      <c r="I1518" t="s">
        <v>24727</v>
      </c>
      <c r="J1518" t="s">
        <v>909</v>
      </c>
      <c r="M1518" t="s">
        <v>78</v>
      </c>
      <c r="N1518" t="s">
        <v>79</v>
      </c>
      <c r="T1518" t="s">
        <v>24728</v>
      </c>
      <c r="U1518" t="s">
        <v>24729</v>
      </c>
      <c r="V1518" t="s">
        <v>24730</v>
      </c>
      <c r="W1518" t="s">
        <v>24731</v>
      </c>
      <c r="X1518" t="s">
        <v>12585</v>
      </c>
      <c r="Y1518" t="s">
        <v>9287</v>
      </c>
      <c r="Z1518" t="s">
        <v>9288</v>
      </c>
      <c r="AA1518" t="s">
        <v>24732</v>
      </c>
      <c r="AB1518" t="s">
        <v>24733</v>
      </c>
      <c r="AC1518" t="s">
        <v>24734</v>
      </c>
      <c r="AD1518" t="s">
        <v>24735</v>
      </c>
      <c r="AE1518" t="s">
        <v>24736</v>
      </c>
      <c r="AG1518">
        <v>115</v>
      </c>
      <c r="AH1518">
        <v>8</v>
      </c>
      <c r="AI1518">
        <v>8</v>
      </c>
      <c r="AJ1518">
        <v>3</v>
      </c>
      <c r="AK1518">
        <v>7</v>
      </c>
      <c r="AL1518" t="s">
        <v>650</v>
      </c>
      <c r="AM1518" t="s">
        <v>651</v>
      </c>
      <c r="AN1518" t="s">
        <v>652</v>
      </c>
      <c r="AO1518" t="s">
        <v>921</v>
      </c>
      <c r="AP1518" t="s">
        <v>922</v>
      </c>
      <c r="AR1518" t="s">
        <v>923</v>
      </c>
      <c r="AS1518" t="s">
        <v>924</v>
      </c>
      <c r="AT1518" t="s">
        <v>24737</v>
      </c>
      <c r="AU1518">
        <v>2023</v>
      </c>
      <c r="AV1518">
        <v>881</v>
      </c>
      <c r="BD1518">
        <v>163165</v>
      </c>
      <c r="BE1518" t="s">
        <v>24738</v>
      </c>
      <c r="BF1518" t="s">
        <v>24739</v>
      </c>
      <c r="BH1518" t="s">
        <v>2540</v>
      </c>
      <c r="BI1518">
        <v>12</v>
      </c>
      <c r="BJ1518" t="s">
        <v>144</v>
      </c>
      <c r="BK1518" t="s">
        <v>96</v>
      </c>
      <c r="BL1518" t="s">
        <v>145</v>
      </c>
      <c r="BM1518" t="s">
        <v>24740</v>
      </c>
      <c r="BN1518">
        <v>37003315</v>
      </c>
      <c r="BO1518" t="s">
        <v>476</v>
      </c>
      <c r="BR1518" t="s">
        <v>98</v>
      </c>
      <c r="BS1518" t="s">
        <v>24741</v>
      </c>
      <c r="BT1518" t="s">
        <v>16602</v>
      </c>
    </row>
    <row r="1519" spans="1:72">
      <c r="A1519" t="s">
        <v>72</v>
      </c>
      <c r="B1519" t="s">
        <v>24742</v>
      </c>
      <c r="F1519" t="s">
        <v>24743</v>
      </c>
      <c r="I1519" t="s">
        <v>24744</v>
      </c>
      <c r="J1519" t="s">
        <v>24745</v>
      </c>
      <c r="M1519" t="s">
        <v>78</v>
      </c>
      <c r="N1519" t="s">
        <v>79</v>
      </c>
      <c r="T1519" t="s">
        <v>24746</v>
      </c>
      <c r="U1519" t="s">
        <v>24747</v>
      </c>
      <c r="V1519" t="s">
        <v>24748</v>
      </c>
      <c r="W1519" t="s">
        <v>24749</v>
      </c>
      <c r="X1519" t="s">
        <v>24750</v>
      </c>
      <c r="Y1519" t="s">
        <v>24751</v>
      </c>
      <c r="Z1519" t="s">
        <v>24752</v>
      </c>
      <c r="AC1519" t="s">
        <v>24753</v>
      </c>
      <c r="AD1519" t="s">
        <v>24754</v>
      </c>
      <c r="AE1519" t="s">
        <v>24753</v>
      </c>
      <c r="AG1519">
        <v>58</v>
      </c>
      <c r="AH1519">
        <v>9</v>
      </c>
      <c r="AI1519">
        <v>10</v>
      </c>
      <c r="AJ1519">
        <v>1</v>
      </c>
      <c r="AK1519">
        <v>22</v>
      </c>
      <c r="AL1519" t="s">
        <v>86</v>
      </c>
      <c r="AM1519" t="s">
        <v>87</v>
      </c>
      <c r="AN1519" t="s">
        <v>88</v>
      </c>
      <c r="AO1519" t="s">
        <v>24755</v>
      </c>
      <c r="AP1519" t="s">
        <v>24756</v>
      </c>
      <c r="AR1519" t="s">
        <v>24757</v>
      </c>
      <c r="AS1519" t="s">
        <v>24758</v>
      </c>
      <c r="AT1519" t="s">
        <v>12689</v>
      </c>
      <c r="AU1519">
        <v>2021</v>
      </c>
      <c r="AV1519">
        <v>138</v>
      </c>
      <c r="AW1519">
        <v>9</v>
      </c>
      <c r="BD1519" t="s">
        <v>24759</v>
      </c>
      <c r="BE1519" t="s">
        <v>24760</v>
      </c>
      <c r="BF1519" t="s">
        <v>24761</v>
      </c>
      <c r="BH1519" t="s">
        <v>11230</v>
      </c>
      <c r="BI1519">
        <v>14</v>
      </c>
      <c r="BJ1519" t="s">
        <v>24762</v>
      </c>
      <c r="BK1519" t="s">
        <v>96</v>
      </c>
      <c r="BL1519" t="s">
        <v>24762</v>
      </c>
      <c r="BM1519" t="s">
        <v>24763</v>
      </c>
      <c r="BR1519" t="s">
        <v>98</v>
      </c>
      <c r="BS1519" t="s">
        <v>24764</v>
      </c>
      <c r="BT1519" t="s">
        <v>16602</v>
      </c>
    </row>
    <row r="1520" spans="1:72">
      <c r="A1520" t="s">
        <v>72</v>
      </c>
      <c r="B1520" t="s">
        <v>24765</v>
      </c>
      <c r="F1520" t="s">
        <v>24766</v>
      </c>
      <c r="I1520" t="s">
        <v>24767</v>
      </c>
      <c r="J1520" t="s">
        <v>24768</v>
      </c>
      <c r="M1520" t="s">
        <v>78</v>
      </c>
      <c r="N1520" t="s">
        <v>79</v>
      </c>
      <c r="T1520" t="s">
        <v>24769</v>
      </c>
      <c r="U1520" t="s">
        <v>24770</v>
      </c>
      <c r="V1520" t="s">
        <v>24771</v>
      </c>
      <c r="W1520" t="s">
        <v>24772</v>
      </c>
      <c r="X1520" t="s">
        <v>24773</v>
      </c>
      <c r="Y1520" t="s">
        <v>24774</v>
      </c>
      <c r="Z1520" t="s">
        <v>24775</v>
      </c>
      <c r="AA1520" t="s">
        <v>24776</v>
      </c>
      <c r="AB1520" t="s">
        <v>24777</v>
      </c>
      <c r="AG1520">
        <v>24</v>
      </c>
      <c r="AH1520">
        <v>15</v>
      </c>
      <c r="AI1520">
        <v>16</v>
      </c>
      <c r="AJ1520">
        <v>0</v>
      </c>
      <c r="AK1520">
        <v>14</v>
      </c>
      <c r="AL1520" t="s">
        <v>24778</v>
      </c>
      <c r="AM1520" t="s">
        <v>24779</v>
      </c>
      <c r="AN1520" t="s">
        <v>24780</v>
      </c>
      <c r="AO1520" t="s">
        <v>24781</v>
      </c>
      <c r="AR1520" t="s">
        <v>24782</v>
      </c>
      <c r="AS1520" t="s">
        <v>24783</v>
      </c>
      <c r="AT1520" t="s">
        <v>4410</v>
      </c>
      <c r="AU1520">
        <v>2009</v>
      </c>
      <c r="AV1520">
        <v>6</v>
      </c>
      <c r="AW1520">
        <v>1</v>
      </c>
      <c r="BB1520">
        <v>213</v>
      </c>
      <c r="BC1520">
        <v>222</v>
      </c>
      <c r="BE1520" t="s">
        <v>24784</v>
      </c>
      <c r="BF1520" t="s">
        <v>24785</v>
      </c>
      <c r="BI1520">
        <v>10</v>
      </c>
      <c r="BJ1520" t="s">
        <v>3919</v>
      </c>
      <c r="BK1520" t="s">
        <v>96</v>
      </c>
      <c r="BL1520" t="s">
        <v>1197</v>
      </c>
      <c r="BM1520" t="s">
        <v>24786</v>
      </c>
      <c r="BO1520" t="s">
        <v>873</v>
      </c>
      <c r="BR1520" t="s">
        <v>98</v>
      </c>
      <c r="BS1520" t="s">
        <v>24787</v>
      </c>
      <c r="BT1520" t="s">
        <v>16602</v>
      </c>
    </row>
    <row r="1521" spans="1:72">
      <c r="A1521" t="s">
        <v>72</v>
      </c>
      <c r="B1521" t="s">
        <v>24788</v>
      </c>
      <c r="F1521" t="s">
        <v>24789</v>
      </c>
      <c r="I1521" t="s">
        <v>24790</v>
      </c>
      <c r="J1521" t="s">
        <v>24791</v>
      </c>
      <c r="M1521" t="s">
        <v>78</v>
      </c>
      <c r="N1521" t="s">
        <v>79</v>
      </c>
      <c r="T1521" t="s">
        <v>24792</v>
      </c>
      <c r="U1521" t="s">
        <v>24793</v>
      </c>
      <c r="V1521" t="s">
        <v>24794</v>
      </c>
      <c r="W1521" t="s">
        <v>24795</v>
      </c>
      <c r="X1521" t="s">
        <v>24796</v>
      </c>
      <c r="Y1521" t="s">
        <v>24797</v>
      </c>
      <c r="Z1521" t="s">
        <v>24798</v>
      </c>
      <c r="AA1521" t="s">
        <v>24799</v>
      </c>
      <c r="AB1521" t="s">
        <v>24800</v>
      </c>
      <c r="AC1521" t="s">
        <v>24801</v>
      </c>
      <c r="AD1521" t="s">
        <v>24802</v>
      </c>
      <c r="AE1521" t="s">
        <v>24803</v>
      </c>
      <c r="AG1521">
        <v>28</v>
      </c>
      <c r="AH1521">
        <v>20</v>
      </c>
      <c r="AI1521">
        <v>20</v>
      </c>
      <c r="AJ1521">
        <v>0</v>
      </c>
      <c r="AK1521">
        <v>21</v>
      </c>
      <c r="AL1521" t="s">
        <v>919</v>
      </c>
      <c r="AM1521" t="s">
        <v>651</v>
      </c>
      <c r="AN1521" t="s">
        <v>920</v>
      </c>
      <c r="AO1521" t="s">
        <v>24804</v>
      </c>
      <c r="AP1521" t="s">
        <v>24805</v>
      </c>
      <c r="AR1521" t="s">
        <v>24806</v>
      </c>
      <c r="AS1521" t="s">
        <v>24807</v>
      </c>
      <c r="AT1521" t="s">
        <v>24808</v>
      </c>
      <c r="AU1521">
        <v>2009</v>
      </c>
      <c r="AV1521">
        <v>650</v>
      </c>
      <c r="AW1521">
        <v>2</v>
      </c>
      <c r="BB1521">
        <v>234</v>
      </c>
      <c r="BC1521">
        <v>240</v>
      </c>
      <c r="BE1521" t="s">
        <v>24809</v>
      </c>
      <c r="BF1521" t="s">
        <v>24810</v>
      </c>
      <c r="BI1521">
        <v>7</v>
      </c>
      <c r="BJ1521" t="s">
        <v>1196</v>
      </c>
      <c r="BK1521" t="s">
        <v>96</v>
      </c>
      <c r="BL1521" t="s">
        <v>1197</v>
      </c>
      <c r="BM1521" t="s">
        <v>24811</v>
      </c>
      <c r="BN1521">
        <v>19720198</v>
      </c>
      <c r="BR1521" t="s">
        <v>98</v>
      </c>
      <c r="BS1521" t="s">
        <v>24812</v>
      </c>
      <c r="BT1521" t="s">
        <v>16602</v>
      </c>
    </row>
    <row r="1522" spans="1:72">
      <c r="A1522" t="s">
        <v>72</v>
      </c>
      <c r="B1522" t="s">
        <v>24813</v>
      </c>
      <c r="F1522" t="s">
        <v>24814</v>
      </c>
      <c r="I1522" t="s">
        <v>24815</v>
      </c>
      <c r="J1522" t="s">
        <v>421</v>
      </c>
      <c r="M1522" t="s">
        <v>78</v>
      </c>
      <c r="N1522" t="s">
        <v>79</v>
      </c>
      <c r="T1522" t="s">
        <v>24816</v>
      </c>
      <c r="U1522" t="s">
        <v>24817</v>
      </c>
      <c r="V1522" t="s">
        <v>24818</v>
      </c>
      <c r="W1522" t="s">
        <v>24819</v>
      </c>
      <c r="X1522" t="s">
        <v>24820</v>
      </c>
      <c r="Y1522" t="s">
        <v>24821</v>
      </c>
      <c r="Z1522" t="s">
        <v>24822</v>
      </c>
      <c r="AA1522" t="s">
        <v>24823</v>
      </c>
      <c r="AB1522" t="s">
        <v>24824</v>
      </c>
      <c r="AG1522">
        <v>72</v>
      </c>
      <c r="AH1522">
        <v>7</v>
      </c>
      <c r="AI1522">
        <v>7</v>
      </c>
      <c r="AJ1522">
        <v>7</v>
      </c>
      <c r="AK1522">
        <v>36</v>
      </c>
      <c r="AL1522" t="s">
        <v>430</v>
      </c>
      <c r="AM1522" t="s">
        <v>137</v>
      </c>
      <c r="AN1522" t="s">
        <v>431</v>
      </c>
      <c r="AO1522" t="s">
        <v>432</v>
      </c>
      <c r="AP1522" t="s">
        <v>1394</v>
      </c>
      <c r="AR1522" t="s">
        <v>433</v>
      </c>
      <c r="AS1522" t="s">
        <v>434</v>
      </c>
      <c r="AT1522" t="s">
        <v>11873</v>
      </c>
      <c r="AU1522">
        <v>2023</v>
      </c>
      <c r="AV1522">
        <v>316</v>
      </c>
      <c r="AX1522">
        <v>1</v>
      </c>
      <c r="BD1522">
        <v>120725</v>
      </c>
      <c r="BE1522" t="s">
        <v>24825</v>
      </c>
      <c r="BF1522" t="s">
        <v>24826</v>
      </c>
      <c r="BH1522" t="s">
        <v>699</v>
      </c>
      <c r="BI1522">
        <v>8</v>
      </c>
      <c r="BJ1522" t="s">
        <v>144</v>
      </c>
      <c r="BK1522" t="s">
        <v>96</v>
      </c>
      <c r="BL1522" t="s">
        <v>145</v>
      </c>
      <c r="BM1522" t="s">
        <v>24827</v>
      </c>
      <c r="BN1522">
        <v>36427827</v>
      </c>
      <c r="BO1522" t="s">
        <v>370</v>
      </c>
      <c r="BR1522" t="s">
        <v>98</v>
      </c>
      <c r="BS1522" t="s">
        <v>24828</v>
      </c>
      <c r="BT1522" t="s">
        <v>16602</v>
      </c>
    </row>
    <row r="1523" spans="1:72">
      <c r="A1523" t="s">
        <v>72</v>
      </c>
      <c r="B1523" t="s">
        <v>24829</v>
      </c>
      <c r="F1523" t="s">
        <v>24830</v>
      </c>
      <c r="I1523" t="s">
        <v>24831</v>
      </c>
      <c r="J1523" t="s">
        <v>232</v>
      </c>
      <c r="M1523" t="s">
        <v>78</v>
      </c>
      <c r="N1523" t="s">
        <v>79</v>
      </c>
      <c r="T1523" t="s">
        <v>24832</v>
      </c>
      <c r="U1523" t="s">
        <v>24833</v>
      </c>
      <c r="V1523" t="s">
        <v>24834</v>
      </c>
      <c r="W1523" t="s">
        <v>24835</v>
      </c>
      <c r="X1523" t="s">
        <v>10809</v>
      </c>
      <c r="Y1523" t="s">
        <v>24836</v>
      </c>
      <c r="Z1523" t="s">
        <v>24837</v>
      </c>
      <c r="AA1523" t="s">
        <v>24838</v>
      </c>
      <c r="AB1523" t="s">
        <v>24839</v>
      </c>
      <c r="AC1523" t="s">
        <v>24840</v>
      </c>
      <c r="AD1523" t="s">
        <v>24841</v>
      </c>
      <c r="AE1523" t="s">
        <v>24842</v>
      </c>
      <c r="AG1523">
        <v>50</v>
      </c>
      <c r="AH1523">
        <v>44</v>
      </c>
      <c r="AI1523">
        <v>55</v>
      </c>
      <c r="AJ1523">
        <v>1</v>
      </c>
      <c r="AK1523">
        <v>42</v>
      </c>
      <c r="AL1523" t="s">
        <v>136</v>
      </c>
      <c r="AM1523" t="s">
        <v>137</v>
      </c>
      <c r="AN1523" t="s">
        <v>138</v>
      </c>
      <c r="AO1523" t="s">
        <v>240</v>
      </c>
      <c r="AP1523" t="s">
        <v>241</v>
      </c>
      <c r="AR1523" t="s">
        <v>242</v>
      </c>
      <c r="AS1523" t="s">
        <v>243</v>
      </c>
      <c r="AT1523" t="s">
        <v>13998</v>
      </c>
      <c r="AU1523">
        <v>2014</v>
      </c>
      <c r="AV1523">
        <v>81</v>
      </c>
      <c r="AW1523">
        <v>2</v>
      </c>
      <c r="AZ1523" t="s">
        <v>225</v>
      </c>
      <c r="BB1523">
        <v>291</v>
      </c>
      <c r="BC1523">
        <v>302</v>
      </c>
      <c r="BE1523" t="s">
        <v>24843</v>
      </c>
      <c r="BF1523" t="s">
        <v>24844</v>
      </c>
      <c r="BI1523">
        <v>12</v>
      </c>
      <c r="BJ1523" t="s">
        <v>247</v>
      </c>
      <c r="BK1523" t="s">
        <v>96</v>
      </c>
      <c r="BL1523" t="s">
        <v>248</v>
      </c>
      <c r="BM1523" t="s">
        <v>24845</v>
      </c>
      <c r="BN1523">
        <v>23711838</v>
      </c>
      <c r="BR1523" t="s">
        <v>98</v>
      </c>
      <c r="BS1523" t="s">
        <v>24846</v>
      </c>
      <c r="BT1523" t="s">
        <v>16602</v>
      </c>
    </row>
    <row r="1524" spans="1:72">
      <c r="A1524" t="s">
        <v>72</v>
      </c>
      <c r="B1524" t="s">
        <v>24847</v>
      </c>
      <c r="F1524" t="s">
        <v>24848</v>
      </c>
      <c r="I1524" t="s">
        <v>24849</v>
      </c>
      <c r="J1524" t="s">
        <v>1756</v>
      </c>
      <c r="M1524" t="s">
        <v>78</v>
      </c>
      <c r="N1524" t="s">
        <v>79</v>
      </c>
      <c r="T1524" t="s">
        <v>24850</v>
      </c>
      <c r="U1524" t="s">
        <v>24851</v>
      </c>
      <c r="V1524" t="s">
        <v>24852</v>
      </c>
      <c r="W1524" t="s">
        <v>24853</v>
      </c>
      <c r="X1524" t="s">
        <v>24854</v>
      </c>
      <c r="Y1524" t="s">
        <v>24855</v>
      </c>
      <c r="Z1524" t="s">
        <v>24856</v>
      </c>
      <c r="AB1524" t="s">
        <v>24857</v>
      </c>
      <c r="AC1524" t="s">
        <v>24858</v>
      </c>
      <c r="AD1524" t="s">
        <v>24859</v>
      </c>
      <c r="AE1524" t="s">
        <v>24860</v>
      </c>
      <c r="AG1524">
        <v>50</v>
      </c>
      <c r="AH1524">
        <v>5</v>
      </c>
      <c r="AI1524">
        <v>5</v>
      </c>
      <c r="AJ1524">
        <v>0</v>
      </c>
      <c r="AK1524">
        <v>10</v>
      </c>
      <c r="AL1524" t="s">
        <v>86</v>
      </c>
      <c r="AM1524" t="s">
        <v>87</v>
      </c>
      <c r="AN1524" t="s">
        <v>88</v>
      </c>
      <c r="AO1524" t="s">
        <v>1764</v>
      </c>
      <c r="AP1524" t="s">
        <v>1765</v>
      </c>
      <c r="AR1524" t="s">
        <v>1766</v>
      </c>
      <c r="AS1524" t="s">
        <v>1767</v>
      </c>
      <c r="AT1524" t="s">
        <v>197</v>
      </c>
      <c r="AU1524">
        <v>2017</v>
      </c>
      <c r="AV1524">
        <v>36</v>
      </c>
      <c r="AW1524">
        <v>12</v>
      </c>
      <c r="BB1524">
        <v>3314</v>
      </c>
      <c r="BC1524">
        <v>3323</v>
      </c>
      <c r="BE1524" t="s">
        <v>24861</v>
      </c>
      <c r="BF1524" t="s">
        <v>24862</v>
      </c>
      <c r="BI1524">
        <v>10</v>
      </c>
      <c r="BJ1524" t="s">
        <v>121</v>
      </c>
      <c r="BK1524" t="s">
        <v>96</v>
      </c>
      <c r="BL1524" t="s">
        <v>122</v>
      </c>
      <c r="BM1524" t="s">
        <v>24863</v>
      </c>
      <c r="BN1524">
        <v>28691780</v>
      </c>
      <c r="BR1524" t="s">
        <v>98</v>
      </c>
      <c r="BS1524" t="s">
        <v>24864</v>
      </c>
      <c r="BT1524" t="s">
        <v>16602</v>
      </c>
    </row>
    <row r="1525" spans="1:72">
      <c r="A1525" t="s">
        <v>72</v>
      </c>
      <c r="B1525" t="s">
        <v>24865</v>
      </c>
      <c r="F1525" t="s">
        <v>24866</v>
      </c>
      <c r="I1525" t="s">
        <v>24867</v>
      </c>
      <c r="J1525" t="s">
        <v>204</v>
      </c>
      <c r="M1525" t="s">
        <v>78</v>
      </c>
      <c r="N1525" t="s">
        <v>79</v>
      </c>
      <c r="T1525" t="s">
        <v>24868</v>
      </c>
      <c r="U1525" t="s">
        <v>24869</v>
      </c>
      <c r="V1525" t="s">
        <v>24870</v>
      </c>
      <c r="W1525" t="s">
        <v>24871</v>
      </c>
      <c r="X1525" t="s">
        <v>3483</v>
      </c>
      <c r="Y1525" t="s">
        <v>6613</v>
      </c>
      <c r="Z1525" t="s">
        <v>1955</v>
      </c>
      <c r="AA1525" t="s">
        <v>24872</v>
      </c>
      <c r="AB1525" t="s">
        <v>24873</v>
      </c>
      <c r="AC1525" t="s">
        <v>1958</v>
      </c>
      <c r="AD1525" t="s">
        <v>24874</v>
      </c>
      <c r="AE1525" t="s">
        <v>24875</v>
      </c>
      <c r="AG1525">
        <v>38</v>
      </c>
      <c r="AH1525">
        <v>6</v>
      </c>
      <c r="AI1525">
        <v>7</v>
      </c>
      <c r="AJ1525">
        <v>0</v>
      </c>
      <c r="AK1525">
        <v>22</v>
      </c>
      <c r="AL1525" t="s">
        <v>217</v>
      </c>
      <c r="AM1525" t="s">
        <v>218</v>
      </c>
      <c r="AN1525" t="s">
        <v>219</v>
      </c>
      <c r="AO1525" t="s">
        <v>220</v>
      </c>
      <c r="AP1525" t="s">
        <v>221</v>
      </c>
      <c r="AR1525" t="s">
        <v>222</v>
      </c>
      <c r="AS1525" t="s">
        <v>223</v>
      </c>
      <c r="AT1525" t="s">
        <v>1470</v>
      </c>
      <c r="AU1525">
        <v>2017</v>
      </c>
      <c r="AV1525">
        <v>24</v>
      </c>
      <c r="AW1525">
        <v>1</v>
      </c>
      <c r="BB1525">
        <v>1051</v>
      </c>
      <c r="BC1525">
        <v>1059</v>
      </c>
      <c r="BE1525" t="s">
        <v>24876</v>
      </c>
      <c r="BF1525" t="s">
        <v>24877</v>
      </c>
      <c r="BI1525">
        <v>9</v>
      </c>
      <c r="BJ1525" t="s">
        <v>144</v>
      </c>
      <c r="BK1525" t="s">
        <v>96</v>
      </c>
      <c r="BL1525" t="s">
        <v>145</v>
      </c>
      <c r="BM1525" t="s">
        <v>10696</v>
      </c>
      <c r="BN1525">
        <v>27822690</v>
      </c>
      <c r="BR1525" t="s">
        <v>98</v>
      </c>
      <c r="BS1525" t="s">
        <v>24878</v>
      </c>
      <c r="BT1525" t="s">
        <v>16602</v>
      </c>
    </row>
    <row r="1526" spans="1:72">
      <c r="A1526" t="s">
        <v>72</v>
      </c>
      <c r="B1526" t="s">
        <v>24879</v>
      </c>
      <c r="F1526" t="s">
        <v>24880</v>
      </c>
      <c r="I1526" t="s">
        <v>24881</v>
      </c>
      <c r="J1526" t="s">
        <v>103</v>
      </c>
      <c r="M1526" t="s">
        <v>78</v>
      </c>
      <c r="N1526" t="s">
        <v>79</v>
      </c>
      <c r="T1526" t="s">
        <v>24882</v>
      </c>
      <c r="U1526" t="s">
        <v>24883</v>
      </c>
      <c r="V1526" t="s">
        <v>24884</v>
      </c>
      <c r="W1526" t="s">
        <v>24885</v>
      </c>
      <c r="X1526" t="s">
        <v>24886</v>
      </c>
      <c r="Y1526" t="s">
        <v>24887</v>
      </c>
      <c r="Z1526" t="s">
        <v>24888</v>
      </c>
      <c r="AA1526" t="s">
        <v>20314</v>
      </c>
      <c r="AB1526" t="s">
        <v>13552</v>
      </c>
      <c r="AC1526" t="s">
        <v>24889</v>
      </c>
      <c r="AD1526" t="s">
        <v>24890</v>
      </c>
      <c r="AE1526" t="s">
        <v>24891</v>
      </c>
      <c r="AG1526">
        <v>50</v>
      </c>
      <c r="AH1526">
        <v>13</v>
      </c>
      <c r="AI1526">
        <v>14</v>
      </c>
      <c r="AJ1526">
        <v>1</v>
      </c>
      <c r="AK1526">
        <v>24</v>
      </c>
      <c r="AL1526" t="s">
        <v>112</v>
      </c>
      <c r="AM1526" t="s">
        <v>113</v>
      </c>
      <c r="AN1526" t="s">
        <v>114</v>
      </c>
      <c r="AO1526" t="s">
        <v>115</v>
      </c>
      <c r="AP1526" t="s">
        <v>116</v>
      </c>
      <c r="AR1526" t="s">
        <v>117</v>
      </c>
      <c r="AS1526" t="s">
        <v>118</v>
      </c>
      <c r="AT1526" t="s">
        <v>142</v>
      </c>
      <c r="AU1526">
        <v>2015</v>
      </c>
      <c r="AV1526">
        <v>94</v>
      </c>
      <c r="AW1526">
        <v>6</v>
      </c>
      <c r="BB1526">
        <v>738</v>
      </c>
      <c r="BC1526">
        <v>743</v>
      </c>
      <c r="BE1526" t="s">
        <v>24892</v>
      </c>
      <c r="BF1526" t="s">
        <v>24893</v>
      </c>
      <c r="BI1526">
        <v>6</v>
      </c>
      <c r="BJ1526" t="s">
        <v>121</v>
      </c>
      <c r="BK1526" t="s">
        <v>96</v>
      </c>
      <c r="BL1526" t="s">
        <v>122</v>
      </c>
      <c r="BM1526" t="s">
        <v>846</v>
      </c>
      <c r="BN1526">
        <v>25899572</v>
      </c>
      <c r="BR1526" t="s">
        <v>98</v>
      </c>
      <c r="BS1526" t="s">
        <v>24894</v>
      </c>
      <c r="BT1526" t="s">
        <v>16602</v>
      </c>
    </row>
    <row r="1527" spans="1:72">
      <c r="A1527" t="s">
        <v>72</v>
      </c>
      <c r="B1527" t="s">
        <v>24895</v>
      </c>
      <c r="F1527" t="s">
        <v>24895</v>
      </c>
      <c r="I1527" t="s">
        <v>24896</v>
      </c>
      <c r="J1527" t="s">
        <v>232</v>
      </c>
      <c r="M1527" t="s">
        <v>78</v>
      </c>
      <c r="N1527" t="s">
        <v>79</v>
      </c>
      <c r="T1527" t="s">
        <v>24897</v>
      </c>
      <c r="U1527" t="s">
        <v>24898</v>
      </c>
      <c r="V1527" t="s">
        <v>24899</v>
      </c>
      <c r="W1527" t="s">
        <v>24900</v>
      </c>
      <c r="X1527" t="s">
        <v>24901</v>
      </c>
      <c r="Y1527" t="s">
        <v>24902</v>
      </c>
      <c r="Z1527" t="s">
        <v>24903</v>
      </c>
      <c r="AG1527">
        <v>49</v>
      </c>
      <c r="AH1527">
        <v>43</v>
      </c>
      <c r="AI1527">
        <v>48</v>
      </c>
      <c r="AJ1527">
        <v>0</v>
      </c>
      <c r="AK1527">
        <v>27</v>
      </c>
      <c r="AL1527" t="s">
        <v>136</v>
      </c>
      <c r="AM1527" t="s">
        <v>137</v>
      </c>
      <c r="AN1527" t="s">
        <v>138</v>
      </c>
      <c r="AO1527" t="s">
        <v>240</v>
      </c>
      <c r="AP1527" t="s">
        <v>241</v>
      </c>
      <c r="AR1527" t="s">
        <v>242</v>
      </c>
      <c r="AS1527" t="s">
        <v>243</v>
      </c>
      <c r="AT1527" t="s">
        <v>5113</v>
      </c>
      <c r="AU1527">
        <v>2000</v>
      </c>
      <c r="AV1527">
        <v>41</v>
      </c>
      <c r="AW1527" t="s">
        <v>5114</v>
      </c>
      <c r="BB1527">
        <v>367</v>
      </c>
      <c r="BC1527">
        <v>376</v>
      </c>
      <c r="BE1527" t="s">
        <v>24904</v>
      </c>
      <c r="BF1527" t="s">
        <v>24905</v>
      </c>
      <c r="BI1527">
        <v>10</v>
      </c>
      <c r="BJ1527" t="s">
        <v>247</v>
      </c>
      <c r="BK1527" t="s">
        <v>96</v>
      </c>
      <c r="BL1527" t="s">
        <v>248</v>
      </c>
      <c r="BM1527" t="s">
        <v>5116</v>
      </c>
      <c r="BR1527" t="s">
        <v>98</v>
      </c>
      <c r="BS1527" t="s">
        <v>24906</v>
      </c>
      <c r="BT1527" t="s">
        <v>16602</v>
      </c>
    </row>
    <row r="1528" spans="1:72">
      <c r="A1528" t="s">
        <v>72</v>
      </c>
      <c r="B1528" t="s">
        <v>24907</v>
      </c>
      <c r="F1528" t="s">
        <v>24907</v>
      </c>
      <c r="I1528" t="s">
        <v>24908</v>
      </c>
      <c r="J1528" t="s">
        <v>641</v>
      </c>
      <c r="M1528" t="s">
        <v>78</v>
      </c>
      <c r="N1528" t="s">
        <v>79</v>
      </c>
      <c r="T1528" t="s">
        <v>24909</v>
      </c>
      <c r="U1528" t="s">
        <v>24910</v>
      </c>
      <c r="V1528" t="s">
        <v>24911</v>
      </c>
      <c r="W1528" t="s">
        <v>24912</v>
      </c>
      <c r="X1528" t="s">
        <v>8593</v>
      </c>
      <c r="Y1528" t="s">
        <v>24913</v>
      </c>
      <c r="AA1528" t="s">
        <v>14454</v>
      </c>
      <c r="AB1528" t="s">
        <v>24914</v>
      </c>
      <c r="AG1528">
        <v>71</v>
      </c>
      <c r="AH1528">
        <v>528</v>
      </c>
      <c r="AI1528">
        <v>588</v>
      </c>
      <c r="AJ1528">
        <v>1</v>
      </c>
      <c r="AK1528">
        <v>79</v>
      </c>
      <c r="AL1528" t="s">
        <v>919</v>
      </c>
      <c r="AM1528" t="s">
        <v>651</v>
      </c>
      <c r="AN1528" t="s">
        <v>920</v>
      </c>
      <c r="AO1528" t="s">
        <v>653</v>
      </c>
      <c r="AP1528" t="s">
        <v>654</v>
      </c>
      <c r="AR1528" t="s">
        <v>655</v>
      </c>
      <c r="AS1528" t="s">
        <v>656</v>
      </c>
      <c r="AT1528" t="s">
        <v>224</v>
      </c>
      <c r="AU1528">
        <v>1995</v>
      </c>
      <c r="AV1528">
        <v>31</v>
      </c>
      <c r="AW1528">
        <v>2</v>
      </c>
      <c r="BB1528">
        <v>143</v>
      </c>
      <c r="BC1528">
        <v>164</v>
      </c>
      <c r="BE1528" t="s">
        <v>24915</v>
      </c>
      <c r="BF1528" t="s">
        <v>24916</v>
      </c>
      <c r="BI1528">
        <v>22</v>
      </c>
      <c r="BJ1528" t="s">
        <v>659</v>
      </c>
      <c r="BK1528" t="s">
        <v>96</v>
      </c>
      <c r="BL1528" t="s">
        <v>659</v>
      </c>
      <c r="BM1528" t="s">
        <v>24917</v>
      </c>
      <c r="BR1528" t="s">
        <v>98</v>
      </c>
      <c r="BS1528" t="s">
        <v>24918</v>
      </c>
      <c r="BT1528" t="s">
        <v>16602</v>
      </c>
    </row>
    <row r="1529" spans="1:72">
      <c r="A1529" t="s">
        <v>72</v>
      </c>
      <c r="B1529" t="s">
        <v>24919</v>
      </c>
      <c r="F1529" t="s">
        <v>24919</v>
      </c>
      <c r="I1529" t="s">
        <v>24920</v>
      </c>
      <c r="J1529" t="s">
        <v>704</v>
      </c>
      <c r="M1529" t="s">
        <v>78</v>
      </c>
      <c r="N1529" t="s">
        <v>79</v>
      </c>
      <c r="V1529" t="s">
        <v>24921</v>
      </c>
      <c r="Y1529" t="s">
        <v>21627</v>
      </c>
      <c r="AG1529">
        <v>12</v>
      </c>
      <c r="AH1529">
        <v>19</v>
      </c>
      <c r="AI1529">
        <v>20</v>
      </c>
      <c r="AJ1529">
        <v>0</v>
      </c>
      <c r="AK1529">
        <v>5</v>
      </c>
      <c r="AL1529" t="s">
        <v>1166</v>
      </c>
      <c r="AM1529" t="s">
        <v>1167</v>
      </c>
      <c r="AN1529" t="s">
        <v>1168</v>
      </c>
      <c r="AO1529" t="s">
        <v>718</v>
      </c>
      <c r="AP1529" t="s">
        <v>1169</v>
      </c>
      <c r="AR1529" t="s">
        <v>719</v>
      </c>
      <c r="AS1529" t="s">
        <v>720</v>
      </c>
      <c r="AU1529">
        <v>1984</v>
      </c>
      <c r="AV1529">
        <v>22</v>
      </c>
      <c r="AW1529">
        <v>4</v>
      </c>
      <c r="BB1529">
        <v>395</v>
      </c>
      <c r="BC1529">
        <v>402</v>
      </c>
      <c r="BI1529">
        <v>8</v>
      </c>
      <c r="BJ1529" t="s">
        <v>722</v>
      </c>
      <c r="BK1529" t="s">
        <v>96</v>
      </c>
      <c r="BL1529" t="s">
        <v>723</v>
      </c>
      <c r="BM1529" t="s">
        <v>24922</v>
      </c>
      <c r="BR1529" t="s">
        <v>98</v>
      </c>
      <c r="BS1529" t="s">
        <v>24923</v>
      </c>
      <c r="BT1529" t="s">
        <v>16602</v>
      </c>
    </row>
    <row r="1530" spans="1:72">
      <c r="A1530" t="s">
        <v>72</v>
      </c>
      <c r="B1530" t="s">
        <v>24924</v>
      </c>
      <c r="F1530" t="s">
        <v>24925</v>
      </c>
      <c r="I1530" t="s">
        <v>24926</v>
      </c>
      <c r="J1530" t="s">
        <v>127</v>
      </c>
      <c r="M1530" t="s">
        <v>78</v>
      </c>
      <c r="N1530" t="s">
        <v>79</v>
      </c>
      <c r="T1530" t="s">
        <v>24927</v>
      </c>
      <c r="U1530" t="s">
        <v>24928</v>
      </c>
      <c r="V1530" t="s">
        <v>24929</v>
      </c>
      <c r="W1530" t="s">
        <v>24930</v>
      </c>
      <c r="X1530" t="s">
        <v>2947</v>
      </c>
      <c r="Y1530" t="s">
        <v>4653</v>
      </c>
      <c r="Z1530" t="s">
        <v>2949</v>
      </c>
      <c r="AA1530" t="s">
        <v>24931</v>
      </c>
      <c r="AC1530" t="s">
        <v>24932</v>
      </c>
      <c r="AD1530" t="s">
        <v>24933</v>
      </c>
      <c r="AE1530" t="s">
        <v>24934</v>
      </c>
      <c r="AG1530">
        <v>51</v>
      </c>
      <c r="AH1530">
        <v>21</v>
      </c>
      <c r="AI1530">
        <v>23</v>
      </c>
      <c r="AJ1530">
        <v>7</v>
      </c>
      <c r="AK1530">
        <v>65</v>
      </c>
      <c r="AL1530" t="s">
        <v>136</v>
      </c>
      <c r="AM1530" t="s">
        <v>137</v>
      </c>
      <c r="AN1530" t="s">
        <v>138</v>
      </c>
      <c r="AO1530" t="s">
        <v>139</v>
      </c>
      <c r="AP1530" t="s">
        <v>140</v>
      </c>
      <c r="AR1530" t="s">
        <v>127</v>
      </c>
      <c r="AS1530" t="s">
        <v>141</v>
      </c>
      <c r="AT1530" t="s">
        <v>142</v>
      </c>
      <c r="AU1530">
        <v>2020</v>
      </c>
      <c r="AV1530">
        <v>248</v>
      </c>
      <c r="BD1530">
        <v>125974</v>
      </c>
      <c r="BE1530" t="s">
        <v>24935</v>
      </c>
      <c r="BF1530" t="s">
        <v>24936</v>
      </c>
      <c r="BI1530">
        <v>10</v>
      </c>
      <c r="BJ1530" t="s">
        <v>144</v>
      </c>
      <c r="BK1530" t="s">
        <v>96</v>
      </c>
      <c r="BL1530" t="s">
        <v>145</v>
      </c>
      <c r="BM1530" t="s">
        <v>24937</v>
      </c>
      <c r="BN1530">
        <v>32004885</v>
      </c>
      <c r="BR1530" t="s">
        <v>98</v>
      </c>
      <c r="BS1530" t="s">
        <v>24938</v>
      </c>
      <c r="BT1530" t="s">
        <v>16602</v>
      </c>
    </row>
    <row r="1531" spans="1:72">
      <c r="A1531" t="s">
        <v>72</v>
      </c>
      <c r="B1531" t="s">
        <v>24939</v>
      </c>
      <c r="F1531" t="s">
        <v>24940</v>
      </c>
      <c r="I1531" t="s">
        <v>24941</v>
      </c>
      <c r="J1531" t="s">
        <v>4463</v>
      </c>
      <c r="M1531" t="s">
        <v>78</v>
      </c>
      <c r="N1531" t="s">
        <v>79</v>
      </c>
      <c r="U1531" t="s">
        <v>24942</v>
      </c>
      <c r="V1531" t="s">
        <v>24943</v>
      </c>
      <c r="W1531" t="s">
        <v>24944</v>
      </c>
      <c r="X1531" t="s">
        <v>24945</v>
      </c>
      <c r="Y1531" t="s">
        <v>24946</v>
      </c>
      <c r="Z1531" t="s">
        <v>24947</v>
      </c>
      <c r="AA1531" t="s">
        <v>24948</v>
      </c>
      <c r="AB1531" t="s">
        <v>24949</v>
      </c>
      <c r="AC1531" t="s">
        <v>24950</v>
      </c>
      <c r="AD1531" t="s">
        <v>24951</v>
      </c>
      <c r="AE1531" t="s">
        <v>24952</v>
      </c>
      <c r="AG1531">
        <v>64</v>
      </c>
      <c r="AH1531">
        <v>39</v>
      </c>
      <c r="AI1531">
        <v>43</v>
      </c>
      <c r="AJ1531">
        <v>6</v>
      </c>
      <c r="AK1531">
        <v>96</v>
      </c>
      <c r="AL1531" t="s">
        <v>4471</v>
      </c>
      <c r="AM1531" t="s">
        <v>4472</v>
      </c>
      <c r="AN1531" t="s">
        <v>4473</v>
      </c>
      <c r="AO1531" t="s">
        <v>4474</v>
      </c>
      <c r="AP1531" t="s">
        <v>4475</v>
      </c>
      <c r="AR1531" t="s">
        <v>4476</v>
      </c>
      <c r="AS1531" t="s">
        <v>4477</v>
      </c>
      <c r="AT1531" t="s">
        <v>24953</v>
      </c>
      <c r="AU1531">
        <v>2017</v>
      </c>
      <c r="AV1531">
        <v>51</v>
      </c>
      <c r="AW1531">
        <v>10</v>
      </c>
      <c r="BB1531">
        <v>5820</v>
      </c>
      <c r="BC1531">
        <v>5831</v>
      </c>
      <c r="BE1531" t="s">
        <v>24954</v>
      </c>
      <c r="BF1531" t="s">
        <v>24955</v>
      </c>
      <c r="BI1531">
        <v>12</v>
      </c>
      <c r="BJ1531" t="s">
        <v>415</v>
      </c>
      <c r="BK1531" t="s">
        <v>96</v>
      </c>
      <c r="BL1531" t="s">
        <v>416</v>
      </c>
      <c r="BM1531" t="s">
        <v>24956</v>
      </c>
      <c r="BN1531">
        <v>28414453</v>
      </c>
      <c r="BR1531" t="s">
        <v>98</v>
      </c>
      <c r="BS1531" t="s">
        <v>24957</v>
      </c>
      <c r="BT1531" t="s">
        <v>16602</v>
      </c>
    </row>
    <row r="1532" spans="1:72">
      <c r="A1532" t="s">
        <v>72</v>
      </c>
      <c r="B1532" t="s">
        <v>24958</v>
      </c>
      <c r="F1532" t="s">
        <v>24959</v>
      </c>
      <c r="I1532" t="s">
        <v>24960</v>
      </c>
      <c r="J1532" t="s">
        <v>24961</v>
      </c>
      <c r="M1532" t="s">
        <v>78</v>
      </c>
      <c r="N1532" t="s">
        <v>79</v>
      </c>
      <c r="T1532" t="s">
        <v>24962</v>
      </c>
      <c r="U1532" t="s">
        <v>24963</v>
      </c>
      <c r="V1532" t="s">
        <v>24964</v>
      </c>
      <c r="W1532" t="s">
        <v>24965</v>
      </c>
      <c r="X1532" t="s">
        <v>24966</v>
      </c>
      <c r="Y1532" t="s">
        <v>24967</v>
      </c>
      <c r="Z1532" t="s">
        <v>24968</v>
      </c>
      <c r="AG1532">
        <v>3</v>
      </c>
      <c r="AH1532">
        <v>4</v>
      </c>
      <c r="AI1532">
        <v>4</v>
      </c>
      <c r="AJ1532">
        <v>0</v>
      </c>
      <c r="AK1532">
        <v>7</v>
      </c>
      <c r="AL1532" t="s">
        <v>24969</v>
      </c>
      <c r="AM1532" t="s">
        <v>24970</v>
      </c>
      <c r="AN1532" t="s">
        <v>24971</v>
      </c>
      <c r="AO1532" t="s">
        <v>24972</v>
      </c>
      <c r="AR1532" t="s">
        <v>24973</v>
      </c>
      <c r="AS1532" t="s">
        <v>24974</v>
      </c>
      <c r="AU1532">
        <v>2008</v>
      </c>
      <c r="AV1532">
        <v>67</v>
      </c>
      <c r="AW1532">
        <v>1</v>
      </c>
      <c r="BB1532">
        <v>70</v>
      </c>
      <c r="BC1532">
        <v>74</v>
      </c>
      <c r="BE1532" t="s">
        <v>24975</v>
      </c>
      <c r="BF1532" t="s">
        <v>24976</v>
      </c>
      <c r="BI1532">
        <v>5</v>
      </c>
      <c r="BJ1532" t="s">
        <v>14249</v>
      </c>
      <c r="BK1532" t="s">
        <v>96</v>
      </c>
      <c r="BL1532" t="s">
        <v>680</v>
      </c>
      <c r="BM1532" t="s">
        <v>24977</v>
      </c>
      <c r="BO1532" t="s">
        <v>12986</v>
      </c>
      <c r="BR1532" t="s">
        <v>98</v>
      </c>
      <c r="BS1532" t="s">
        <v>24978</v>
      </c>
      <c r="BT1532" t="s">
        <v>16602</v>
      </c>
    </row>
    <row r="1533" spans="1:72">
      <c r="A1533" t="s">
        <v>72</v>
      </c>
      <c r="B1533" t="s">
        <v>24979</v>
      </c>
      <c r="F1533" t="s">
        <v>24980</v>
      </c>
      <c r="I1533" t="s">
        <v>24981</v>
      </c>
      <c r="J1533" t="s">
        <v>6814</v>
      </c>
      <c r="M1533" t="s">
        <v>78</v>
      </c>
      <c r="N1533" t="s">
        <v>151</v>
      </c>
      <c r="O1533" t="s">
        <v>24982</v>
      </c>
      <c r="P1533" t="s">
        <v>24983</v>
      </c>
      <c r="Q1533" t="s">
        <v>24984</v>
      </c>
      <c r="S1533" t="s">
        <v>24985</v>
      </c>
      <c r="T1533" t="s">
        <v>24986</v>
      </c>
      <c r="U1533" t="s">
        <v>24987</v>
      </c>
      <c r="V1533" t="s">
        <v>24988</v>
      </c>
      <c r="W1533" t="s">
        <v>24989</v>
      </c>
      <c r="X1533" t="s">
        <v>24990</v>
      </c>
      <c r="Y1533" t="s">
        <v>24991</v>
      </c>
      <c r="Z1533" t="s">
        <v>24992</v>
      </c>
      <c r="AA1533" t="s">
        <v>24993</v>
      </c>
      <c r="AB1533" t="s">
        <v>24994</v>
      </c>
      <c r="AG1533">
        <v>42</v>
      </c>
      <c r="AH1533">
        <v>13</v>
      </c>
      <c r="AI1533">
        <v>14</v>
      </c>
      <c r="AJ1533">
        <v>0</v>
      </c>
      <c r="AK1533">
        <v>21</v>
      </c>
      <c r="AL1533" t="s">
        <v>564</v>
      </c>
      <c r="AM1533" t="s">
        <v>113</v>
      </c>
      <c r="AN1533" t="s">
        <v>807</v>
      </c>
      <c r="AO1533" t="s">
        <v>5318</v>
      </c>
      <c r="AP1533" t="s">
        <v>6827</v>
      </c>
      <c r="AR1533" t="s">
        <v>5319</v>
      </c>
      <c r="AS1533" t="s">
        <v>5320</v>
      </c>
      <c r="AT1533" t="s">
        <v>119</v>
      </c>
      <c r="AU1533">
        <v>2013</v>
      </c>
      <c r="AV1533">
        <v>165</v>
      </c>
      <c r="AW1533">
        <v>4</v>
      </c>
      <c r="BB1533">
        <v>476</v>
      </c>
      <c r="BC1533">
        <v>482</v>
      </c>
      <c r="BE1533" t="s">
        <v>24995</v>
      </c>
      <c r="BF1533" t="s">
        <v>24996</v>
      </c>
      <c r="BI1533">
        <v>7</v>
      </c>
      <c r="BJ1533" t="s">
        <v>5322</v>
      </c>
      <c r="BK1533" t="s">
        <v>172</v>
      </c>
      <c r="BL1533" t="s">
        <v>5322</v>
      </c>
      <c r="BM1533" t="s">
        <v>24997</v>
      </c>
      <c r="BN1533">
        <v>23500622</v>
      </c>
      <c r="BR1533" t="s">
        <v>98</v>
      </c>
      <c r="BS1533" t="s">
        <v>24998</v>
      </c>
      <c r="BT1533" t="s">
        <v>16602</v>
      </c>
    </row>
    <row r="1534" spans="1:72">
      <c r="A1534" t="s">
        <v>72</v>
      </c>
      <c r="B1534" t="s">
        <v>24999</v>
      </c>
      <c r="F1534" t="s">
        <v>25000</v>
      </c>
      <c r="I1534" t="s">
        <v>25001</v>
      </c>
      <c r="J1534" t="s">
        <v>421</v>
      </c>
      <c r="M1534" t="s">
        <v>78</v>
      </c>
      <c r="N1534" t="s">
        <v>79</v>
      </c>
      <c r="T1534" t="s">
        <v>25002</v>
      </c>
      <c r="U1534" t="s">
        <v>25003</v>
      </c>
      <c r="V1534" t="s">
        <v>25004</v>
      </c>
      <c r="W1534" t="s">
        <v>25005</v>
      </c>
      <c r="X1534" t="s">
        <v>25006</v>
      </c>
      <c r="Y1534" t="s">
        <v>25007</v>
      </c>
      <c r="Z1534" t="s">
        <v>25008</v>
      </c>
      <c r="AA1534" t="s">
        <v>25009</v>
      </c>
      <c r="AB1534" t="s">
        <v>25010</v>
      </c>
      <c r="AG1534">
        <v>45</v>
      </c>
      <c r="AH1534">
        <v>61</v>
      </c>
      <c r="AI1534">
        <v>66</v>
      </c>
      <c r="AJ1534">
        <v>1</v>
      </c>
      <c r="AK1534">
        <v>14</v>
      </c>
      <c r="AL1534" t="s">
        <v>430</v>
      </c>
      <c r="AM1534" t="s">
        <v>137</v>
      </c>
      <c r="AN1534" t="s">
        <v>431</v>
      </c>
      <c r="AO1534" t="s">
        <v>432</v>
      </c>
      <c r="AP1534" t="s">
        <v>1394</v>
      </c>
      <c r="AR1534" t="s">
        <v>433</v>
      </c>
      <c r="AS1534" t="s">
        <v>434</v>
      </c>
      <c r="AT1534" t="s">
        <v>765</v>
      </c>
      <c r="AU1534">
        <v>2006</v>
      </c>
      <c r="AV1534">
        <v>142</v>
      </c>
      <c r="AW1534">
        <v>1</v>
      </c>
      <c r="BB1534">
        <v>65</v>
      </c>
      <c r="BC1534">
        <v>72</v>
      </c>
      <c r="BE1534" t="s">
        <v>25011</v>
      </c>
      <c r="BF1534" t="s">
        <v>25012</v>
      </c>
      <c r="BI1534">
        <v>8</v>
      </c>
      <c r="BJ1534" t="s">
        <v>144</v>
      </c>
      <c r="BK1534" t="s">
        <v>96</v>
      </c>
      <c r="BL1534" t="s">
        <v>145</v>
      </c>
      <c r="BM1534" t="s">
        <v>2404</v>
      </c>
      <c r="BN1534">
        <v>16289776</v>
      </c>
      <c r="BR1534" t="s">
        <v>98</v>
      </c>
      <c r="BS1534" t="s">
        <v>25013</v>
      </c>
      <c r="BT1534" t="s">
        <v>16602</v>
      </c>
    </row>
    <row r="1535" spans="1:72">
      <c r="A1535" t="s">
        <v>72</v>
      </c>
      <c r="B1535" t="s">
        <v>19378</v>
      </c>
      <c r="F1535" t="s">
        <v>19378</v>
      </c>
      <c r="I1535" t="s">
        <v>25014</v>
      </c>
      <c r="J1535" t="s">
        <v>25015</v>
      </c>
      <c r="M1535" t="s">
        <v>78</v>
      </c>
      <c r="N1535" t="s">
        <v>151</v>
      </c>
      <c r="O1535" t="s">
        <v>25016</v>
      </c>
      <c r="P1535" t="s">
        <v>25017</v>
      </c>
      <c r="Q1535" t="s">
        <v>25018</v>
      </c>
      <c r="T1535" t="s">
        <v>25019</v>
      </c>
      <c r="U1535" t="s">
        <v>25020</v>
      </c>
      <c r="V1535" t="s">
        <v>25021</v>
      </c>
      <c r="W1535" t="s">
        <v>19383</v>
      </c>
      <c r="X1535" t="s">
        <v>9614</v>
      </c>
      <c r="Y1535" t="s">
        <v>25022</v>
      </c>
      <c r="Z1535" t="s">
        <v>10918</v>
      </c>
      <c r="AA1535" t="s">
        <v>2334</v>
      </c>
      <c r="AB1535" t="s">
        <v>9616</v>
      </c>
      <c r="AG1535">
        <v>34</v>
      </c>
      <c r="AH1535">
        <v>15</v>
      </c>
      <c r="AI1535">
        <v>16</v>
      </c>
      <c r="AJ1535">
        <v>1</v>
      </c>
      <c r="AK1535">
        <v>23</v>
      </c>
      <c r="AL1535" t="s">
        <v>25023</v>
      </c>
      <c r="AM1535" t="s">
        <v>25024</v>
      </c>
      <c r="AN1535" t="s">
        <v>25025</v>
      </c>
      <c r="AO1535" t="s">
        <v>25026</v>
      </c>
      <c r="AP1535" t="s">
        <v>25027</v>
      </c>
      <c r="AR1535" t="s">
        <v>25028</v>
      </c>
      <c r="AS1535" t="s">
        <v>25029</v>
      </c>
      <c r="AU1535">
        <v>2004</v>
      </c>
      <c r="AV1535">
        <v>116</v>
      </c>
      <c r="AY1535">
        <v>4</v>
      </c>
      <c r="BB1535">
        <v>19</v>
      </c>
      <c r="BC1535">
        <v>23</v>
      </c>
      <c r="BI1535">
        <v>5</v>
      </c>
      <c r="BJ1535" t="s">
        <v>25030</v>
      </c>
      <c r="BK1535" t="s">
        <v>172</v>
      </c>
      <c r="BL1535" t="s">
        <v>25031</v>
      </c>
      <c r="BM1535" t="s">
        <v>25032</v>
      </c>
      <c r="BN1535">
        <v>15683038</v>
      </c>
      <c r="BR1535" t="s">
        <v>98</v>
      </c>
      <c r="BS1535" t="s">
        <v>25033</v>
      </c>
      <c r="BT1535" t="s">
        <v>16602</v>
      </c>
    </row>
    <row r="1536" spans="1:72">
      <c r="A1536" t="s">
        <v>72</v>
      </c>
      <c r="B1536" t="s">
        <v>25034</v>
      </c>
      <c r="F1536" t="s">
        <v>25035</v>
      </c>
      <c r="I1536" t="s">
        <v>25036</v>
      </c>
      <c r="J1536" t="s">
        <v>3405</v>
      </c>
      <c r="M1536" t="s">
        <v>78</v>
      </c>
      <c r="N1536" t="s">
        <v>79</v>
      </c>
      <c r="T1536" t="s">
        <v>25037</v>
      </c>
      <c r="U1536" t="s">
        <v>25038</v>
      </c>
      <c r="V1536" t="s">
        <v>25039</v>
      </c>
      <c r="W1536" t="s">
        <v>25040</v>
      </c>
      <c r="X1536" t="s">
        <v>25041</v>
      </c>
      <c r="Y1536" t="s">
        <v>25042</v>
      </c>
      <c r="Z1536" t="s">
        <v>25043</v>
      </c>
      <c r="AG1536">
        <v>80</v>
      </c>
      <c r="AH1536">
        <v>3</v>
      </c>
      <c r="AI1536">
        <v>3</v>
      </c>
      <c r="AJ1536">
        <v>0</v>
      </c>
      <c r="AK1536">
        <v>9</v>
      </c>
      <c r="AL1536" t="s">
        <v>3418</v>
      </c>
      <c r="AM1536" t="s">
        <v>3419</v>
      </c>
      <c r="AN1536" t="s">
        <v>3420</v>
      </c>
      <c r="AO1536" t="s">
        <v>3421</v>
      </c>
      <c r="AP1536" t="s">
        <v>3422</v>
      </c>
      <c r="AR1536" t="s">
        <v>3423</v>
      </c>
      <c r="AS1536" t="s">
        <v>3424</v>
      </c>
      <c r="AT1536" t="s">
        <v>224</v>
      </c>
      <c r="AU1536">
        <v>2022</v>
      </c>
      <c r="AV1536">
        <v>248</v>
      </c>
      <c r="BB1536">
        <v>111</v>
      </c>
      <c r="BC1536">
        <v>123</v>
      </c>
      <c r="BE1536" t="s">
        <v>25044</v>
      </c>
      <c r="BF1536" t="s">
        <v>25045</v>
      </c>
      <c r="BI1536">
        <v>13</v>
      </c>
      <c r="BJ1536" t="s">
        <v>3426</v>
      </c>
      <c r="BK1536" t="s">
        <v>96</v>
      </c>
      <c r="BL1536" t="s">
        <v>3427</v>
      </c>
      <c r="BM1536" t="s">
        <v>25046</v>
      </c>
      <c r="BR1536" t="s">
        <v>98</v>
      </c>
      <c r="BS1536" t="s">
        <v>25047</v>
      </c>
      <c r="BT1536" t="s">
        <v>16602</v>
      </c>
    </row>
    <row r="1537" spans="1:72">
      <c r="A1537" t="s">
        <v>72</v>
      </c>
      <c r="B1537" t="s">
        <v>25048</v>
      </c>
      <c r="F1537" t="s">
        <v>25048</v>
      </c>
      <c r="I1537" t="s">
        <v>25049</v>
      </c>
      <c r="J1537" t="s">
        <v>127</v>
      </c>
      <c r="M1537" t="s">
        <v>78</v>
      </c>
      <c r="N1537" t="s">
        <v>79</v>
      </c>
      <c r="T1537" t="s">
        <v>25050</v>
      </c>
      <c r="U1537" t="s">
        <v>25051</v>
      </c>
      <c r="V1537" t="s">
        <v>25052</v>
      </c>
      <c r="W1537" t="s">
        <v>25053</v>
      </c>
      <c r="X1537" t="s">
        <v>25054</v>
      </c>
      <c r="Y1537" t="s">
        <v>25055</v>
      </c>
      <c r="AA1537" t="s">
        <v>25056</v>
      </c>
      <c r="AB1537" t="s">
        <v>25057</v>
      </c>
      <c r="AG1537">
        <v>26</v>
      </c>
      <c r="AH1537">
        <v>71</v>
      </c>
      <c r="AI1537">
        <v>83</v>
      </c>
      <c r="AJ1537">
        <v>3</v>
      </c>
      <c r="AK1537">
        <v>30</v>
      </c>
      <c r="AL1537" t="s">
        <v>136</v>
      </c>
      <c r="AM1537" t="s">
        <v>137</v>
      </c>
      <c r="AN1537" t="s">
        <v>138</v>
      </c>
      <c r="AO1537" t="s">
        <v>139</v>
      </c>
      <c r="AR1537" t="s">
        <v>127</v>
      </c>
      <c r="AS1537" t="s">
        <v>141</v>
      </c>
      <c r="AT1537" t="s">
        <v>765</v>
      </c>
      <c r="AU1537">
        <v>2003</v>
      </c>
      <c r="AV1537">
        <v>52</v>
      </c>
      <c r="AW1537">
        <v>4</v>
      </c>
      <c r="BB1537">
        <v>717</v>
      </c>
      <c r="BC1537">
        <v>723</v>
      </c>
      <c r="BE1537" t="s">
        <v>25058</v>
      </c>
      <c r="BF1537" t="s">
        <v>25059</v>
      </c>
      <c r="BI1537">
        <v>7</v>
      </c>
      <c r="BJ1537" t="s">
        <v>144</v>
      </c>
      <c r="BK1537" t="s">
        <v>96</v>
      </c>
      <c r="BL1537" t="s">
        <v>145</v>
      </c>
      <c r="BM1537" t="s">
        <v>25060</v>
      </c>
      <c r="BN1537">
        <v>12738285</v>
      </c>
      <c r="BR1537" t="s">
        <v>98</v>
      </c>
      <c r="BS1537" t="s">
        <v>25061</v>
      </c>
      <c r="BT1537" t="s">
        <v>16602</v>
      </c>
    </row>
    <row r="1538" spans="1:72">
      <c r="A1538" t="s">
        <v>72</v>
      </c>
      <c r="B1538" t="s">
        <v>25062</v>
      </c>
      <c r="F1538" t="s">
        <v>25063</v>
      </c>
      <c r="I1538" t="s">
        <v>25064</v>
      </c>
      <c r="J1538" t="s">
        <v>5592</v>
      </c>
      <c r="M1538" t="s">
        <v>78</v>
      </c>
      <c r="N1538" t="s">
        <v>79</v>
      </c>
      <c r="T1538" t="s">
        <v>25065</v>
      </c>
      <c r="U1538" t="s">
        <v>25066</v>
      </c>
      <c r="V1538" t="s">
        <v>25067</v>
      </c>
      <c r="W1538" t="s">
        <v>25068</v>
      </c>
      <c r="X1538" t="s">
        <v>10674</v>
      </c>
      <c r="Y1538" t="s">
        <v>25069</v>
      </c>
      <c r="Z1538" t="s">
        <v>25070</v>
      </c>
      <c r="AA1538" t="s">
        <v>25071</v>
      </c>
      <c r="AB1538" t="s">
        <v>25072</v>
      </c>
      <c r="AG1538">
        <v>67</v>
      </c>
      <c r="AH1538">
        <v>39</v>
      </c>
      <c r="AI1538">
        <v>40</v>
      </c>
      <c r="AJ1538">
        <v>0</v>
      </c>
      <c r="AK1538">
        <v>13</v>
      </c>
      <c r="AL1538" t="s">
        <v>285</v>
      </c>
      <c r="AM1538" t="s">
        <v>286</v>
      </c>
      <c r="AN1538" t="s">
        <v>287</v>
      </c>
      <c r="AO1538" t="s">
        <v>5605</v>
      </c>
      <c r="AR1538" t="s">
        <v>5607</v>
      </c>
      <c r="AS1538" t="s">
        <v>5608</v>
      </c>
      <c r="AT1538" t="s">
        <v>951</v>
      </c>
      <c r="AU1538">
        <v>2006</v>
      </c>
      <c r="AV1538">
        <v>70</v>
      </c>
      <c r="AW1538">
        <v>3</v>
      </c>
      <c r="BB1538">
        <v>507</v>
      </c>
      <c r="BC1538">
        <v>521</v>
      </c>
      <c r="BE1538" t="s">
        <v>25073</v>
      </c>
      <c r="BF1538" t="s">
        <v>25074</v>
      </c>
      <c r="BI1538">
        <v>15</v>
      </c>
      <c r="BJ1538" t="s">
        <v>4241</v>
      </c>
      <c r="BK1538" t="s">
        <v>96</v>
      </c>
      <c r="BL1538" t="s">
        <v>4241</v>
      </c>
      <c r="BM1538" t="s">
        <v>25075</v>
      </c>
      <c r="BR1538" t="s">
        <v>98</v>
      </c>
      <c r="BS1538" t="s">
        <v>25076</v>
      </c>
      <c r="BT1538" t="s">
        <v>16602</v>
      </c>
    </row>
    <row r="1539" spans="1:72">
      <c r="A1539" t="s">
        <v>72</v>
      </c>
      <c r="B1539" t="s">
        <v>25077</v>
      </c>
      <c r="F1539" t="s">
        <v>25078</v>
      </c>
      <c r="I1539" t="s">
        <v>25079</v>
      </c>
      <c r="J1539" t="s">
        <v>9383</v>
      </c>
      <c r="M1539" t="s">
        <v>78</v>
      </c>
      <c r="N1539" t="s">
        <v>79</v>
      </c>
      <c r="T1539" t="s">
        <v>25080</v>
      </c>
      <c r="U1539" t="s">
        <v>25081</v>
      </c>
      <c r="V1539" t="s">
        <v>25082</v>
      </c>
      <c r="W1539" t="s">
        <v>25083</v>
      </c>
      <c r="X1539" t="s">
        <v>25084</v>
      </c>
      <c r="Y1539" t="s">
        <v>25085</v>
      </c>
      <c r="Z1539" t="s">
        <v>25086</v>
      </c>
      <c r="AA1539" t="s">
        <v>25087</v>
      </c>
      <c r="AC1539" t="s">
        <v>25088</v>
      </c>
      <c r="AD1539" t="s">
        <v>25089</v>
      </c>
      <c r="AE1539" t="s">
        <v>25090</v>
      </c>
      <c r="AG1539">
        <v>78</v>
      </c>
      <c r="AH1539">
        <v>2</v>
      </c>
      <c r="AI1539">
        <v>2</v>
      </c>
      <c r="AJ1539">
        <v>8</v>
      </c>
      <c r="AK1539">
        <v>8</v>
      </c>
      <c r="AL1539" t="s">
        <v>9394</v>
      </c>
      <c r="AM1539" t="s">
        <v>9395</v>
      </c>
      <c r="AN1539" t="s">
        <v>9396</v>
      </c>
      <c r="AO1539" t="s">
        <v>9397</v>
      </c>
      <c r="AR1539" t="s">
        <v>9398</v>
      </c>
      <c r="AS1539" t="s">
        <v>9399</v>
      </c>
      <c r="AT1539" t="s">
        <v>25091</v>
      </c>
      <c r="AU1539">
        <v>2024</v>
      </c>
      <c r="AV1539">
        <v>14</v>
      </c>
      <c r="AW1539">
        <v>1</v>
      </c>
      <c r="BD1539">
        <v>11627</v>
      </c>
      <c r="BE1539" t="s">
        <v>25092</v>
      </c>
      <c r="BF1539" t="s">
        <v>25093</v>
      </c>
      <c r="BI1539">
        <v>17</v>
      </c>
      <c r="BJ1539" t="s">
        <v>3202</v>
      </c>
      <c r="BK1539" t="s">
        <v>96</v>
      </c>
      <c r="BL1539" t="s">
        <v>3203</v>
      </c>
      <c r="BM1539" t="s">
        <v>25094</v>
      </c>
      <c r="BN1539">
        <v>38773279</v>
      </c>
      <c r="BO1539" t="s">
        <v>873</v>
      </c>
      <c r="BR1539" t="s">
        <v>98</v>
      </c>
      <c r="BS1539" t="s">
        <v>25095</v>
      </c>
      <c r="BT1539" t="s">
        <v>16602</v>
      </c>
    </row>
    <row r="1540" spans="1:72">
      <c r="A1540" t="s">
        <v>72</v>
      </c>
      <c r="B1540" t="s">
        <v>25096</v>
      </c>
      <c r="F1540" t="s">
        <v>25097</v>
      </c>
      <c r="I1540" t="s">
        <v>25098</v>
      </c>
      <c r="J1540" t="s">
        <v>11276</v>
      </c>
      <c r="M1540" t="s">
        <v>78</v>
      </c>
      <c r="N1540" t="s">
        <v>79</v>
      </c>
      <c r="T1540" t="s">
        <v>25099</v>
      </c>
      <c r="U1540" t="s">
        <v>25100</v>
      </c>
      <c r="V1540" t="s">
        <v>25101</v>
      </c>
      <c r="W1540" t="s">
        <v>25102</v>
      </c>
      <c r="X1540" t="s">
        <v>25103</v>
      </c>
      <c r="Y1540" t="s">
        <v>25104</v>
      </c>
      <c r="Z1540" t="s">
        <v>17000</v>
      </c>
      <c r="AA1540" t="s">
        <v>25105</v>
      </c>
      <c r="AB1540" t="s">
        <v>25106</v>
      </c>
      <c r="AC1540" t="s">
        <v>25107</v>
      </c>
      <c r="AD1540" t="s">
        <v>25108</v>
      </c>
      <c r="AE1540" t="s">
        <v>25109</v>
      </c>
      <c r="AG1540">
        <v>86</v>
      </c>
      <c r="AH1540">
        <v>12</v>
      </c>
      <c r="AI1540">
        <v>13</v>
      </c>
      <c r="AJ1540">
        <v>3</v>
      </c>
      <c r="AK1540">
        <v>78</v>
      </c>
      <c r="AL1540" t="s">
        <v>430</v>
      </c>
      <c r="AM1540" t="s">
        <v>137</v>
      </c>
      <c r="AN1540" t="s">
        <v>431</v>
      </c>
      <c r="AO1540" t="s">
        <v>11284</v>
      </c>
      <c r="AP1540" t="s">
        <v>25110</v>
      </c>
      <c r="AR1540" t="s">
        <v>11285</v>
      </c>
      <c r="AS1540" t="s">
        <v>11286</v>
      </c>
      <c r="AT1540" t="s">
        <v>267</v>
      </c>
      <c r="AU1540">
        <v>2018</v>
      </c>
      <c r="AV1540">
        <v>190</v>
      </c>
      <c r="BB1540">
        <v>20</v>
      </c>
      <c r="BC1540">
        <v>30</v>
      </c>
      <c r="BE1540" t="s">
        <v>25111</v>
      </c>
      <c r="BF1540" t="s">
        <v>25112</v>
      </c>
      <c r="BI1540">
        <v>11</v>
      </c>
      <c r="BJ1540" t="s">
        <v>144</v>
      </c>
      <c r="BK1540" t="s">
        <v>96</v>
      </c>
      <c r="BL1540" t="s">
        <v>145</v>
      </c>
      <c r="BM1540" t="s">
        <v>25113</v>
      </c>
      <c r="BN1540">
        <v>29738950</v>
      </c>
      <c r="BO1540" t="s">
        <v>810</v>
      </c>
      <c r="BR1540" t="s">
        <v>98</v>
      </c>
      <c r="BS1540" t="s">
        <v>25114</v>
      </c>
      <c r="BT1540" t="s">
        <v>16602</v>
      </c>
    </row>
    <row r="1541" spans="1:72">
      <c r="A1541" t="s">
        <v>72</v>
      </c>
      <c r="B1541" t="s">
        <v>25115</v>
      </c>
      <c r="F1541" t="s">
        <v>25116</v>
      </c>
      <c r="I1541" t="s">
        <v>25117</v>
      </c>
      <c r="J1541" t="s">
        <v>421</v>
      </c>
      <c r="M1541" t="s">
        <v>78</v>
      </c>
      <c r="N1541" t="s">
        <v>79</v>
      </c>
      <c r="T1541" t="s">
        <v>25118</v>
      </c>
      <c r="U1541" t="s">
        <v>25119</v>
      </c>
      <c r="V1541" t="s">
        <v>25120</v>
      </c>
      <c r="W1541" t="s">
        <v>25121</v>
      </c>
      <c r="X1541" t="s">
        <v>25122</v>
      </c>
      <c r="Y1541" t="s">
        <v>25123</v>
      </c>
      <c r="Z1541" t="s">
        <v>25124</v>
      </c>
      <c r="AA1541" t="s">
        <v>25125</v>
      </c>
      <c r="AC1541" t="s">
        <v>25126</v>
      </c>
      <c r="AD1541" t="s">
        <v>25127</v>
      </c>
      <c r="AE1541" t="s">
        <v>25128</v>
      </c>
      <c r="AG1541">
        <v>40</v>
      </c>
      <c r="AH1541">
        <v>16</v>
      </c>
      <c r="AI1541">
        <v>18</v>
      </c>
      <c r="AJ1541">
        <v>5</v>
      </c>
      <c r="AK1541">
        <v>68</v>
      </c>
      <c r="AL1541" t="s">
        <v>430</v>
      </c>
      <c r="AM1541" t="s">
        <v>137</v>
      </c>
      <c r="AN1541" t="s">
        <v>431</v>
      </c>
      <c r="AO1541" t="s">
        <v>432</v>
      </c>
      <c r="AP1541" t="s">
        <v>1394</v>
      </c>
      <c r="AR1541" t="s">
        <v>433</v>
      </c>
      <c r="AS1541" t="s">
        <v>434</v>
      </c>
      <c r="AT1541" t="s">
        <v>93</v>
      </c>
      <c r="AU1541">
        <v>2020</v>
      </c>
      <c r="AV1541">
        <v>259</v>
      </c>
      <c r="BD1541">
        <v>113821</v>
      </c>
      <c r="BE1541" t="s">
        <v>25129</v>
      </c>
      <c r="BF1541" t="s">
        <v>25130</v>
      </c>
      <c r="BI1541">
        <v>10</v>
      </c>
      <c r="BJ1541" t="s">
        <v>144</v>
      </c>
      <c r="BK1541" t="s">
        <v>96</v>
      </c>
      <c r="BL1541" t="s">
        <v>145</v>
      </c>
      <c r="BM1541" t="s">
        <v>25131</v>
      </c>
      <c r="BN1541">
        <v>31884212</v>
      </c>
      <c r="BR1541" t="s">
        <v>98</v>
      </c>
      <c r="BS1541" t="s">
        <v>25132</v>
      </c>
      <c r="BT1541" t="s">
        <v>16602</v>
      </c>
    </row>
    <row r="1542" spans="1:72">
      <c r="A1542" t="s">
        <v>72</v>
      </c>
      <c r="B1542" t="s">
        <v>25133</v>
      </c>
      <c r="F1542" t="s">
        <v>25134</v>
      </c>
      <c r="I1542" t="s">
        <v>25135</v>
      </c>
      <c r="J1542" t="s">
        <v>127</v>
      </c>
      <c r="M1542" t="s">
        <v>78</v>
      </c>
      <c r="N1542" t="s">
        <v>79</v>
      </c>
      <c r="T1542" t="s">
        <v>25136</v>
      </c>
      <c r="U1542" t="s">
        <v>25137</v>
      </c>
      <c r="V1542" t="s">
        <v>25138</v>
      </c>
      <c r="W1542" t="s">
        <v>25139</v>
      </c>
      <c r="X1542" t="s">
        <v>25140</v>
      </c>
      <c r="Y1542" t="s">
        <v>25141</v>
      </c>
      <c r="Z1542" t="s">
        <v>25142</v>
      </c>
      <c r="AA1542" t="s">
        <v>25143</v>
      </c>
      <c r="AB1542" t="s">
        <v>25144</v>
      </c>
      <c r="AC1542" t="s">
        <v>25145</v>
      </c>
      <c r="AD1542" t="s">
        <v>25146</v>
      </c>
      <c r="AE1542" t="s">
        <v>25147</v>
      </c>
      <c r="AG1542">
        <v>55</v>
      </c>
      <c r="AH1542">
        <v>9</v>
      </c>
      <c r="AI1542">
        <v>9</v>
      </c>
      <c r="AJ1542">
        <v>0</v>
      </c>
      <c r="AK1542">
        <v>17</v>
      </c>
      <c r="AL1542" t="s">
        <v>136</v>
      </c>
      <c r="AM1542" t="s">
        <v>137</v>
      </c>
      <c r="AN1542" t="s">
        <v>138</v>
      </c>
      <c r="AO1542" t="s">
        <v>139</v>
      </c>
      <c r="AP1542" t="s">
        <v>140</v>
      </c>
      <c r="AR1542" t="s">
        <v>127</v>
      </c>
      <c r="AS1542" t="s">
        <v>141</v>
      </c>
      <c r="AT1542" t="s">
        <v>1470</v>
      </c>
      <c r="AU1542">
        <v>2020</v>
      </c>
      <c r="AV1542">
        <v>239</v>
      </c>
      <c r="BD1542">
        <v>124767</v>
      </c>
      <c r="BE1542" t="s">
        <v>25148</v>
      </c>
      <c r="BF1542" t="s">
        <v>25149</v>
      </c>
      <c r="BI1542">
        <v>12</v>
      </c>
      <c r="BJ1542" t="s">
        <v>144</v>
      </c>
      <c r="BK1542" t="s">
        <v>96</v>
      </c>
      <c r="BL1542" t="s">
        <v>145</v>
      </c>
      <c r="BM1542" t="s">
        <v>25150</v>
      </c>
      <c r="BN1542">
        <v>31518925</v>
      </c>
      <c r="BR1542" t="s">
        <v>98</v>
      </c>
      <c r="BS1542" t="s">
        <v>25151</v>
      </c>
      <c r="BT1542" t="s">
        <v>16602</v>
      </c>
    </row>
    <row r="1543" spans="1:72">
      <c r="A1543" t="s">
        <v>72</v>
      </c>
      <c r="B1543" t="s">
        <v>25152</v>
      </c>
      <c r="F1543" t="s">
        <v>25153</v>
      </c>
      <c r="I1543" t="s">
        <v>25154</v>
      </c>
      <c r="J1543" t="s">
        <v>3349</v>
      </c>
      <c r="M1543" t="s">
        <v>78</v>
      </c>
      <c r="N1543" t="s">
        <v>79</v>
      </c>
      <c r="T1543" t="s">
        <v>25155</v>
      </c>
      <c r="U1543" t="s">
        <v>25156</v>
      </c>
      <c r="V1543" t="s">
        <v>25157</v>
      </c>
      <c r="W1543" t="s">
        <v>25158</v>
      </c>
      <c r="X1543" t="s">
        <v>4668</v>
      </c>
      <c r="Y1543" t="s">
        <v>25159</v>
      </c>
      <c r="Z1543" t="s">
        <v>25160</v>
      </c>
      <c r="AA1543" t="s">
        <v>25161</v>
      </c>
      <c r="AB1543" t="s">
        <v>25162</v>
      </c>
      <c r="AC1543" t="s">
        <v>23380</v>
      </c>
      <c r="AD1543" t="s">
        <v>23380</v>
      </c>
      <c r="AE1543" t="s">
        <v>25163</v>
      </c>
      <c r="AG1543">
        <v>49</v>
      </c>
      <c r="AH1543">
        <v>17</v>
      </c>
      <c r="AI1543">
        <v>17</v>
      </c>
      <c r="AJ1543">
        <v>0</v>
      </c>
      <c r="AK1543">
        <v>11</v>
      </c>
      <c r="AL1543" t="s">
        <v>3362</v>
      </c>
      <c r="AM1543" t="s">
        <v>3363</v>
      </c>
      <c r="AN1543" t="s">
        <v>3364</v>
      </c>
      <c r="AO1543" t="s">
        <v>3365</v>
      </c>
      <c r="AP1543" t="s">
        <v>3366</v>
      </c>
      <c r="AR1543" t="s">
        <v>3367</v>
      </c>
      <c r="AS1543" t="s">
        <v>3368</v>
      </c>
      <c r="AT1543" t="s">
        <v>1223</v>
      </c>
      <c r="AU1543">
        <v>2011</v>
      </c>
      <c r="AV1543">
        <v>74</v>
      </c>
      <c r="AW1543">
        <v>3</v>
      </c>
      <c r="BB1543">
        <v>366</v>
      </c>
      <c r="BC1543">
        <v>372</v>
      </c>
      <c r="BE1543" t="s">
        <v>25164</v>
      </c>
      <c r="BF1543" t="s">
        <v>25165</v>
      </c>
      <c r="BI1543">
        <v>7</v>
      </c>
      <c r="BJ1543" t="s">
        <v>121</v>
      </c>
      <c r="BK1543" t="s">
        <v>96</v>
      </c>
      <c r="BL1543" t="s">
        <v>122</v>
      </c>
      <c r="BM1543" t="s">
        <v>16561</v>
      </c>
      <c r="BN1543">
        <v>21247635</v>
      </c>
      <c r="BR1543" t="s">
        <v>98</v>
      </c>
      <c r="BS1543" t="s">
        <v>25166</v>
      </c>
      <c r="BT1543" t="s">
        <v>16602</v>
      </c>
    </row>
    <row r="1544" spans="1:72">
      <c r="A1544" t="s">
        <v>72</v>
      </c>
      <c r="B1544" t="s">
        <v>25167</v>
      </c>
      <c r="F1544" t="s">
        <v>25168</v>
      </c>
      <c r="I1544" t="s">
        <v>25169</v>
      </c>
      <c r="J1544" t="s">
        <v>5592</v>
      </c>
      <c r="M1544" t="s">
        <v>78</v>
      </c>
      <c r="N1544" t="s">
        <v>79</v>
      </c>
      <c r="T1544" t="s">
        <v>25170</v>
      </c>
      <c r="U1544" t="s">
        <v>25171</v>
      </c>
      <c r="V1544" t="s">
        <v>25172</v>
      </c>
      <c r="W1544" t="s">
        <v>25173</v>
      </c>
      <c r="X1544" t="s">
        <v>11435</v>
      </c>
      <c r="Y1544" t="s">
        <v>23805</v>
      </c>
      <c r="Z1544" t="s">
        <v>9288</v>
      </c>
      <c r="AA1544" t="s">
        <v>25174</v>
      </c>
      <c r="AB1544" t="s">
        <v>25175</v>
      </c>
      <c r="AC1544" t="s">
        <v>25176</v>
      </c>
      <c r="AD1544" t="s">
        <v>25176</v>
      </c>
      <c r="AE1544" t="s">
        <v>25177</v>
      </c>
      <c r="AG1544">
        <v>81</v>
      </c>
      <c r="AH1544">
        <v>52</v>
      </c>
      <c r="AI1544">
        <v>55</v>
      </c>
      <c r="AJ1544">
        <v>0</v>
      </c>
      <c r="AK1544">
        <v>50</v>
      </c>
      <c r="AL1544" t="s">
        <v>285</v>
      </c>
      <c r="AM1544" t="s">
        <v>286</v>
      </c>
      <c r="AN1544" t="s">
        <v>287</v>
      </c>
      <c r="AO1544" t="s">
        <v>5605</v>
      </c>
      <c r="AP1544" t="s">
        <v>5606</v>
      </c>
      <c r="AR1544" t="s">
        <v>5607</v>
      </c>
      <c r="AS1544" t="s">
        <v>5608</v>
      </c>
      <c r="AT1544" t="s">
        <v>18988</v>
      </c>
      <c r="AU1544">
        <v>2012</v>
      </c>
      <c r="AV1544">
        <v>110</v>
      </c>
      <c r="AZ1544" t="s">
        <v>225</v>
      </c>
      <c r="BB1544">
        <v>43</v>
      </c>
      <c r="BC1544">
        <v>53</v>
      </c>
      <c r="BE1544" t="s">
        <v>25178</v>
      </c>
      <c r="BF1544" t="s">
        <v>25179</v>
      </c>
      <c r="BI1544">
        <v>11</v>
      </c>
      <c r="BJ1544" t="s">
        <v>4241</v>
      </c>
      <c r="BK1544" t="s">
        <v>96</v>
      </c>
      <c r="BL1544" t="s">
        <v>4241</v>
      </c>
      <c r="BM1544" t="s">
        <v>25180</v>
      </c>
      <c r="BR1544" t="s">
        <v>98</v>
      </c>
      <c r="BS1544" t="s">
        <v>25181</v>
      </c>
      <c r="BT1544" t="s">
        <v>16602</v>
      </c>
    </row>
    <row r="1545" spans="1:72">
      <c r="A1545" t="s">
        <v>72</v>
      </c>
      <c r="B1545" t="s">
        <v>25182</v>
      </c>
      <c r="F1545" t="s">
        <v>25183</v>
      </c>
      <c r="I1545" t="s">
        <v>25184</v>
      </c>
      <c r="J1545" t="s">
        <v>3349</v>
      </c>
      <c r="M1545" t="s">
        <v>78</v>
      </c>
      <c r="N1545" t="s">
        <v>79</v>
      </c>
      <c r="T1545" t="s">
        <v>25185</v>
      </c>
      <c r="U1545" t="s">
        <v>25186</v>
      </c>
      <c r="V1545" t="s">
        <v>25187</v>
      </c>
      <c r="W1545" t="s">
        <v>25188</v>
      </c>
      <c r="X1545" t="s">
        <v>14726</v>
      </c>
      <c r="Y1545" t="s">
        <v>25189</v>
      </c>
      <c r="Z1545" t="s">
        <v>25190</v>
      </c>
      <c r="AA1545" t="s">
        <v>25191</v>
      </c>
      <c r="AC1545" t="s">
        <v>25192</v>
      </c>
      <c r="AD1545" t="s">
        <v>25193</v>
      </c>
      <c r="AE1545" t="s">
        <v>25194</v>
      </c>
      <c r="AG1545">
        <v>49</v>
      </c>
      <c r="AH1545">
        <v>32</v>
      </c>
      <c r="AI1545">
        <v>37</v>
      </c>
      <c r="AJ1545">
        <v>1</v>
      </c>
      <c r="AK1545">
        <v>30</v>
      </c>
      <c r="AL1545" t="s">
        <v>3362</v>
      </c>
      <c r="AM1545" t="s">
        <v>3363</v>
      </c>
      <c r="AN1545" t="s">
        <v>3364</v>
      </c>
      <c r="AO1545" t="s">
        <v>3365</v>
      </c>
      <c r="AP1545" t="s">
        <v>3366</v>
      </c>
      <c r="AR1545" t="s">
        <v>3367</v>
      </c>
      <c r="AS1545" t="s">
        <v>3368</v>
      </c>
      <c r="AT1545" t="s">
        <v>267</v>
      </c>
      <c r="AU1545">
        <v>2009</v>
      </c>
      <c r="AV1545">
        <v>72</v>
      </c>
      <c r="AW1545">
        <v>7</v>
      </c>
      <c r="BB1545">
        <v>1887</v>
      </c>
      <c r="BC1545">
        <v>1892</v>
      </c>
      <c r="BE1545" t="s">
        <v>25195</v>
      </c>
      <c r="BF1545" t="s">
        <v>25196</v>
      </c>
      <c r="BI1545">
        <v>6</v>
      </c>
      <c r="BJ1545" t="s">
        <v>121</v>
      </c>
      <c r="BK1545" t="s">
        <v>96</v>
      </c>
      <c r="BL1545" t="s">
        <v>122</v>
      </c>
      <c r="BM1545" t="s">
        <v>20934</v>
      </c>
      <c r="BN1545">
        <v>19477012</v>
      </c>
      <c r="BR1545" t="s">
        <v>98</v>
      </c>
      <c r="BS1545" t="s">
        <v>25197</v>
      </c>
      <c r="BT1545" t="s">
        <v>16602</v>
      </c>
    </row>
    <row r="1546" spans="1:72">
      <c r="A1546" t="s">
        <v>72</v>
      </c>
      <c r="B1546" t="s">
        <v>25198</v>
      </c>
      <c r="F1546" t="s">
        <v>25199</v>
      </c>
      <c r="I1546" t="s">
        <v>25200</v>
      </c>
      <c r="J1546" t="s">
        <v>232</v>
      </c>
      <c r="M1546" t="s">
        <v>78</v>
      </c>
      <c r="N1546" t="s">
        <v>79</v>
      </c>
      <c r="T1546" t="s">
        <v>25201</v>
      </c>
      <c r="U1546" t="s">
        <v>25202</v>
      </c>
      <c r="V1546" t="s">
        <v>25203</v>
      </c>
      <c r="W1546" t="s">
        <v>25204</v>
      </c>
      <c r="X1546" t="s">
        <v>2754</v>
      </c>
      <c r="Y1546" t="s">
        <v>25205</v>
      </c>
      <c r="Z1546" t="s">
        <v>25206</v>
      </c>
      <c r="AA1546" t="s">
        <v>25207</v>
      </c>
      <c r="AC1546" t="s">
        <v>25208</v>
      </c>
      <c r="AD1546" t="s">
        <v>25209</v>
      </c>
      <c r="AE1546" t="s">
        <v>25210</v>
      </c>
      <c r="AG1546">
        <v>59</v>
      </c>
      <c r="AH1546">
        <v>8</v>
      </c>
      <c r="AI1546">
        <v>8</v>
      </c>
      <c r="AJ1546">
        <v>1</v>
      </c>
      <c r="AK1546">
        <v>18</v>
      </c>
      <c r="AL1546" t="s">
        <v>136</v>
      </c>
      <c r="AM1546" t="s">
        <v>137</v>
      </c>
      <c r="AN1546" t="s">
        <v>138</v>
      </c>
      <c r="AO1546" t="s">
        <v>240</v>
      </c>
      <c r="AP1546" t="s">
        <v>241</v>
      </c>
      <c r="AR1546" t="s">
        <v>242</v>
      </c>
      <c r="AS1546" t="s">
        <v>243</v>
      </c>
      <c r="AT1546" t="s">
        <v>267</v>
      </c>
      <c r="AU1546">
        <v>2018</v>
      </c>
      <c r="AV1546">
        <v>135</v>
      </c>
      <c r="BB1546">
        <v>418</v>
      </c>
      <c r="BC1546">
        <v>426</v>
      </c>
      <c r="BE1546" t="s">
        <v>25211</v>
      </c>
      <c r="BF1546" t="s">
        <v>25212</v>
      </c>
      <c r="BI1546">
        <v>9</v>
      </c>
      <c r="BJ1546" t="s">
        <v>247</v>
      </c>
      <c r="BK1546" t="s">
        <v>96</v>
      </c>
      <c r="BL1546" t="s">
        <v>248</v>
      </c>
      <c r="BM1546" t="s">
        <v>9841</v>
      </c>
      <c r="BN1546">
        <v>30301054</v>
      </c>
      <c r="BR1546" t="s">
        <v>98</v>
      </c>
      <c r="BS1546" t="s">
        <v>25213</v>
      </c>
      <c r="BT1546" t="s">
        <v>16602</v>
      </c>
    </row>
    <row r="1547" spans="1:72">
      <c r="A1547" t="s">
        <v>72</v>
      </c>
      <c r="B1547" t="s">
        <v>25214</v>
      </c>
      <c r="F1547" t="s">
        <v>25215</v>
      </c>
      <c r="I1547" t="s">
        <v>25216</v>
      </c>
      <c r="J1547" t="s">
        <v>595</v>
      </c>
      <c r="M1547" t="s">
        <v>78</v>
      </c>
      <c r="N1547" t="s">
        <v>79</v>
      </c>
      <c r="T1547" t="s">
        <v>25217</v>
      </c>
      <c r="U1547" t="s">
        <v>25218</v>
      </c>
      <c r="V1547" t="s">
        <v>25219</v>
      </c>
      <c r="W1547" t="s">
        <v>25220</v>
      </c>
      <c r="X1547" t="s">
        <v>25221</v>
      </c>
      <c r="Y1547" t="s">
        <v>25222</v>
      </c>
      <c r="Z1547" t="s">
        <v>25223</v>
      </c>
      <c r="AA1547" t="s">
        <v>25224</v>
      </c>
      <c r="AB1547" t="s">
        <v>25225</v>
      </c>
      <c r="AC1547" t="s">
        <v>25226</v>
      </c>
      <c r="AD1547" t="s">
        <v>25227</v>
      </c>
      <c r="AE1547" t="s">
        <v>25228</v>
      </c>
      <c r="AG1547">
        <v>44</v>
      </c>
      <c r="AH1547">
        <v>15</v>
      </c>
      <c r="AI1547">
        <v>17</v>
      </c>
      <c r="AJ1547">
        <v>1</v>
      </c>
      <c r="AK1547">
        <v>24</v>
      </c>
      <c r="AL1547" t="s">
        <v>112</v>
      </c>
      <c r="AM1547" t="s">
        <v>191</v>
      </c>
      <c r="AN1547" t="s">
        <v>192</v>
      </c>
      <c r="AO1547" t="s">
        <v>608</v>
      </c>
      <c r="AP1547" t="s">
        <v>609</v>
      </c>
      <c r="AR1547" t="s">
        <v>595</v>
      </c>
      <c r="AS1547" t="s">
        <v>610</v>
      </c>
      <c r="AT1547" t="s">
        <v>951</v>
      </c>
      <c r="AU1547">
        <v>2015</v>
      </c>
      <c r="AV1547">
        <v>24</v>
      </c>
      <c r="AW1547">
        <v>9</v>
      </c>
      <c r="BB1547">
        <v>2009</v>
      </c>
      <c r="BC1547">
        <v>2016</v>
      </c>
      <c r="BE1547" t="s">
        <v>25229</v>
      </c>
      <c r="BF1547" t="s">
        <v>25230</v>
      </c>
      <c r="BI1547">
        <v>8</v>
      </c>
      <c r="BJ1547" t="s">
        <v>612</v>
      </c>
      <c r="BK1547" t="s">
        <v>96</v>
      </c>
      <c r="BL1547" t="s">
        <v>122</v>
      </c>
      <c r="BM1547" t="s">
        <v>25231</v>
      </c>
      <c r="BN1547">
        <v>26438356</v>
      </c>
      <c r="BR1547" t="s">
        <v>98</v>
      </c>
      <c r="BS1547" t="s">
        <v>25232</v>
      </c>
      <c r="BT1547" t="s">
        <v>16602</v>
      </c>
    </row>
    <row r="1548" spans="1:72">
      <c r="A1548" t="s">
        <v>72</v>
      </c>
      <c r="B1548" t="s">
        <v>25233</v>
      </c>
      <c r="F1548" t="s">
        <v>25234</v>
      </c>
      <c r="I1548" t="s">
        <v>25235</v>
      </c>
      <c r="J1548" t="s">
        <v>12106</v>
      </c>
      <c r="M1548" t="s">
        <v>78</v>
      </c>
      <c r="N1548" t="s">
        <v>79</v>
      </c>
      <c r="T1548" t="s">
        <v>25236</v>
      </c>
      <c r="U1548" t="s">
        <v>25237</v>
      </c>
      <c r="V1548" t="s">
        <v>25238</v>
      </c>
      <c r="W1548" t="s">
        <v>25239</v>
      </c>
      <c r="X1548" t="s">
        <v>25240</v>
      </c>
      <c r="Y1548" t="s">
        <v>25241</v>
      </c>
      <c r="Z1548" t="s">
        <v>8611</v>
      </c>
      <c r="AA1548" t="s">
        <v>25242</v>
      </c>
      <c r="AB1548" t="s">
        <v>25243</v>
      </c>
      <c r="AC1548" t="s">
        <v>25244</v>
      </c>
      <c r="AD1548" t="s">
        <v>25244</v>
      </c>
      <c r="AE1548" t="s">
        <v>25245</v>
      </c>
      <c r="AG1548">
        <v>48</v>
      </c>
      <c r="AH1548">
        <v>26</v>
      </c>
      <c r="AI1548">
        <v>26</v>
      </c>
      <c r="AJ1548">
        <v>0</v>
      </c>
      <c r="AK1548">
        <v>53</v>
      </c>
      <c r="AL1548" t="s">
        <v>4010</v>
      </c>
      <c r="AM1548" t="s">
        <v>1167</v>
      </c>
      <c r="AN1548" t="s">
        <v>1168</v>
      </c>
      <c r="AO1548" t="s">
        <v>12119</v>
      </c>
      <c r="AP1548" t="s">
        <v>12120</v>
      </c>
      <c r="AR1548" t="s">
        <v>12121</v>
      </c>
      <c r="AS1548" t="s">
        <v>12122</v>
      </c>
      <c r="AT1548" t="s">
        <v>119</v>
      </c>
      <c r="AU1548">
        <v>2017</v>
      </c>
      <c r="AV1548">
        <v>11</v>
      </c>
      <c r="AW1548">
        <v>3</v>
      </c>
      <c r="BB1548">
        <v>349</v>
      </c>
      <c r="BC1548">
        <v>358</v>
      </c>
      <c r="BE1548" t="s">
        <v>25246</v>
      </c>
      <c r="BF1548" t="s">
        <v>25247</v>
      </c>
      <c r="BI1548">
        <v>10</v>
      </c>
      <c r="BJ1548" t="s">
        <v>144</v>
      </c>
      <c r="BK1548" t="s">
        <v>96</v>
      </c>
      <c r="BL1548" t="s">
        <v>145</v>
      </c>
      <c r="BM1548" t="s">
        <v>25248</v>
      </c>
      <c r="BR1548" t="s">
        <v>98</v>
      </c>
      <c r="BS1548" t="s">
        <v>25249</v>
      </c>
      <c r="BT1548" t="s">
        <v>16602</v>
      </c>
    </row>
    <row r="1549" spans="1:72">
      <c r="A1549" t="s">
        <v>72</v>
      </c>
      <c r="B1549" t="s">
        <v>25250</v>
      </c>
      <c r="F1549" t="s">
        <v>25251</v>
      </c>
      <c r="I1549" t="s">
        <v>25252</v>
      </c>
      <c r="J1549" t="s">
        <v>232</v>
      </c>
      <c r="M1549" t="s">
        <v>78</v>
      </c>
      <c r="N1549" t="s">
        <v>79</v>
      </c>
      <c r="T1549" t="s">
        <v>25253</v>
      </c>
      <c r="U1549" t="s">
        <v>25254</v>
      </c>
      <c r="V1549" t="s">
        <v>25255</v>
      </c>
      <c r="W1549" t="s">
        <v>25256</v>
      </c>
      <c r="X1549" t="s">
        <v>25257</v>
      </c>
      <c r="Y1549" t="s">
        <v>25258</v>
      </c>
      <c r="Z1549" t="s">
        <v>25259</v>
      </c>
      <c r="AG1549">
        <v>15</v>
      </c>
      <c r="AH1549">
        <v>12</v>
      </c>
      <c r="AI1549">
        <v>13</v>
      </c>
      <c r="AJ1549">
        <v>0</v>
      </c>
      <c r="AK1549">
        <v>15</v>
      </c>
      <c r="AL1549" t="s">
        <v>136</v>
      </c>
      <c r="AM1549" t="s">
        <v>137</v>
      </c>
      <c r="AN1549" t="s">
        <v>138</v>
      </c>
      <c r="AO1549" t="s">
        <v>240</v>
      </c>
      <c r="AP1549" t="s">
        <v>241</v>
      </c>
      <c r="AR1549" t="s">
        <v>242</v>
      </c>
      <c r="AS1549" t="s">
        <v>243</v>
      </c>
      <c r="AT1549" t="s">
        <v>1470</v>
      </c>
      <c r="AU1549">
        <v>2012</v>
      </c>
      <c r="AV1549">
        <v>64</v>
      </c>
      <c r="AW1549">
        <v>1</v>
      </c>
      <c r="BB1549">
        <v>169</v>
      </c>
      <c r="BC1549">
        <v>173</v>
      </c>
      <c r="BE1549" t="s">
        <v>25260</v>
      </c>
      <c r="BF1549" t="s">
        <v>25261</v>
      </c>
      <c r="BI1549">
        <v>5</v>
      </c>
      <c r="BJ1549" t="s">
        <v>247</v>
      </c>
      <c r="BK1549" t="s">
        <v>96</v>
      </c>
      <c r="BL1549" t="s">
        <v>248</v>
      </c>
      <c r="BM1549" t="s">
        <v>22423</v>
      </c>
      <c r="BN1549">
        <v>22114951</v>
      </c>
      <c r="BR1549" t="s">
        <v>98</v>
      </c>
      <c r="BS1549" t="s">
        <v>25262</v>
      </c>
      <c r="BT1549" t="s">
        <v>16602</v>
      </c>
    </row>
    <row r="1550" spans="1:72">
      <c r="A1550" t="s">
        <v>72</v>
      </c>
      <c r="B1550" t="s">
        <v>25263</v>
      </c>
      <c r="F1550" t="s">
        <v>25264</v>
      </c>
      <c r="I1550" t="s">
        <v>25265</v>
      </c>
      <c r="J1550" t="s">
        <v>554</v>
      </c>
      <c r="M1550" t="s">
        <v>78</v>
      </c>
      <c r="N1550" t="s">
        <v>79</v>
      </c>
      <c r="T1550" t="s">
        <v>25266</v>
      </c>
      <c r="U1550" t="s">
        <v>25267</v>
      </c>
      <c r="V1550" t="s">
        <v>25268</v>
      </c>
      <c r="W1550" t="s">
        <v>25269</v>
      </c>
      <c r="X1550" t="s">
        <v>25270</v>
      </c>
      <c r="Y1550" t="s">
        <v>25271</v>
      </c>
      <c r="Z1550" t="s">
        <v>25272</v>
      </c>
      <c r="AA1550" t="s">
        <v>6355</v>
      </c>
      <c r="AB1550" t="s">
        <v>6356</v>
      </c>
      <c r="AG1550">
        <v>47</v>
      </c>
      <c r="AH1550">
        <v>12</v>
      </c>
      <c r="AI1550">
        <v>14</v>
      </c>
      <c r="AJ1550">
        <v>0</v>
      </c>
      <c r="AK1550">
        <v>6</v>
      </c>
      <c r="AL1550" t="s">
        <v>564</v>
      </c>
      <c r="AM1550" t="s">
        <v>113</v>
      </c>
      <c r="AN1550" t="s">
        <v>565</v>
      </c>
      <c r="AO1550" t="s">
        <v>566</v>
      </c>
      <c r="AR1550" t="s">
        <v>568</v>
      </c>
      <c r="AS1550" t="s">
        <v>569</v>
      </c>
      <c r="AT1550" t="s">
        <v>119</v>
      </c>
      <c r="AU1550">
        <v>2008</v>
      </c>
      <c r="AV1550">
        <v>148</v>
      </c>
      <c r="AW1550">
        <v>2</v>
      </c>
      <c r="BB1550">
        <v>101</v>
      </c>
      <c r="BC1550">
        <v>106</v>
      </c>
      <c r="BE1550" t="s">
        <v>25273</v>
      </c>
      <c r="BF1550" t="s">
        <v>25274</v>
      </c>
      <c r="BI1550">
        <v>6</v>
      </c>
      <c r="BJ1550" t="s">
        <v>571</v>
      </c>
      <c r="BK1550" t="s">
        <v>96</v>
      </c>
      <c r="BL1550" t="s">
        <v>571</v>
      </c>
      <c r="BM1550" t="s">
        <v>25275</v>
      </c>
      <c r="BN1550">
        <v>18502694</v>
      </c>
      <c r="BR1550" t="s">
        <v>98</v>
      </c>
      <c r="BS1550" t="s">
        <v>25276</v>
      </c>
      <c r="BT1550" t="s">
        <v>16602</v>
      </c>
    </row>
    <row r="1551" spans="1:72">
      <c r="A1551" t="s">
        <v>72</v>
      </c>
      <c r="B1551" t="s">
        <v>17170</v>
      </c>
      <c r="F1551" t="s">
        <v>17170</v>
      </c>
      <c r="I1551" t="s">
        <v>25277</v>
      </c>
      <c r="J1551" t="s">
        <v>232</v>
      </c>
      <c r="M1551" t="s">
        <v>78</v>
      </c>
      <c r="N1551" t="s">
        <v>79</v>
      </c>
      <c r="V1551" t="s">
        <v>25278</v>
      </c>
      <c r="Y1551" t="s">
        <v>25279</v>
      </c>
      <c r="AG1551">
        <v>0</v>
      </c>
      <c r="AH1551">
        <v>38</v>
      </c>
      <c r="AI1551">
        <v>40</v>
      </c>
      <c r="AJ1551">
        <v>0</v>
      </c>
      <c r="AK1551">
        <v>0</v>
      </c>
      <c r="AL1551" t="s">
        <v>136</v>
      </c>
      <c r="AM1551" t="s">
        <v>137</v>
      </c>
      <c r="AN1551" t="s">
        <v>138</v>
      </c>
      <c r="AO1551" t="s">
        <v>240</v>
      </c>
      <c r="AP1551" t="s">
        <v>241</v>
      </c>
      <c r="AR1551" t="s">
        <v>242</v>
      </c>
      <c r="AS1551" t="s">
        <v>243</v>
      </c>
      <c r="AU1551">
        <v>1978</v>
      </c>
      <c r="AV1551">
        <v>9</v>
      </c>
      <c r="AW1551">
        <v>5</v>
      </c>
      <c r="BB1551">
        <v>128</v>
      </c>
      <c r="BC1551">
        <v>132</v>
      </c>
      <c r="BE1551" t="s">
        <v>25280</v>
      </c>
      <c r="BF1551" t="s">
        <v>25281</v>
      </c>
      <c r="BI1551">
        <v>5</v>
      </c>
      <c r="BJ1551" t="s">
        <v>247</v>
      </c>
      <c r="BK1551" t="s">
        <v>96</v>
      </c>
      <c r="BL1551" t="s">
        <v>248</v>
      </c>
      <c r="BM1551" t="s">
        <v>25282</v>
      </c>
      <c r="BR1551" t="s">
        <v>98</v>
      </c>
      <c r="BS1551" t="s">
        <v>25283</v>
      </c>
      <c r="BT1551" t="s">
        <v>16602</v>
      </c>
    </row>
    <row r="1552" spans="1:72">
      <c r="A1552" t="s">
        <v>72</v>
      </c>
      <c r="B1552" t="s">
        <v>25284</v>
      </c>
      <c r="F1552" t="s">
        <v>25285</v>
      </c>
      <c r="I1552" t="s">
        <v>25286</v>
      </c>
      <c r="J1552" t="s">
        <v>7097</v>
      </c>
      <c r="M1552" t="s">
        <v>78</v>
      </c>
      <c r="N1552" t="s">
        <v>79</v>
      </c>
      <c r="T1552" t="s">
        <v>25287</v>
      </c>
      <c r="U1552" t="s">
        <v>25288</v>
      </c>
      <c r="V1552" t="s">
        <v>25289</v>
      </c>
      <c r="W1552" t="s">
        <v>25290</v>
      </c>
      <c r="X1552" t="s">
        <v>25291</v>
      </c>
      <c r="Y1552" t="s">
        <v>25292</v>
      </c>
      <c r="Z1552" t="s">
        <v>25293</v>
      </c>
      <c r="AA1552" t="s">
        <v>25294</v>
      </c>
      <c r="AC1552" t="s">
        <v>25295</v>
      </c>
      <c r="AD1552" t="s">
        <v>25296</v>
      </c>
      <c r="AE1552" t="s">
        <v>25297</v>
      </c>
      <c r="AG1552">
        <v>48</v>
      </c>
      <c r="AH1552">
        <v>1</v>
      </c>
      <c r="AI1552">
        <v>2</v>
      </c>
      <c r="AJ1552">
        <v>0</v>
      </c>
      <c r="AK1552">
        <v>6</v>
      </c>
      <c r="AL1552" t="s">
        <v>650</v>
      </c>
      <c r="AM1552" t="s">
        <v>651</v>
      </c>
      <c r="AN1552" t="s">
        <v>652</v>
      </c>
      <c r="AO1552" t="s">
        <v>7110</v>
      </c>
      <c r="AP1552" t="s">
        <v>7111</v>
      </c>
      <c r="AR1552" t="s">
        <v>7112</v>
      </c>
      <c r="AS1552" t="s">
        <v>7113</v>
      </c>
      <c r="AT1552" t="s">
        <v>1470</v>
      </c>
      <c r="AU1552">
        <v>2022</v>
      </c>
      <c r="AV1552">
        <v>134</v>
      </c>
      <c r="BD1552">
        <v>108482</v>
      </c>
      <c r="BE1552" t="s">
        <v>25298</v>
      </c>
      <c r="BF1552" t="s">
        <v>25299</v>
      </c>
      <c r="BI1552">
        <v>9</v>
      </c>
      <c r="BJ1552" t="s">
        <v>4923</v>
      </c>
      <c r="BK1552" t="s">
        <v>96</v>
      </c>
      <c r="BL1552" t="s">
        <v>4924</v>
      </c>
      <c r="BM1552" t="s">
        <v>25300</v>
      </c>
      <c r="BO1552" t="s">
        <v>873</v>
      </c>
      <c r="BR1552" t="s">
        <v>98</v>
      </c>
      <c r="BS1552" t="s">
        <v>25301</v>
      </c>
      <c r="BT1552" t="s">
        <v>16602</v>
      </c>
    </row>
    <row r="1553" spans="1:72">
      <c r="A1553" t="s">
        <v>72</v>
      </c>
      <c r="B1553" t="s">
        <v>25302</v>
      </c>
      <c r="F1553" t="s">
        <v>25303</v>
      </c>
      <c r="I1553" t="s">
        <v>25304</v>
      </c>
      <c r="J1553" t="s">
        <v>554</v>
      </c>
      <c r="M1553" t="s">
        <v>78</v>
      </c>
      <c r="N1553" t="s">
        <v>79</v>
      </c>
      <c r="T1553" t="s">
        <v>25305</v>
      </c>
      <c r="U1553" t="s">
        <v>25306</v>
      </c>
      <c r="V1553" t="s">
        <v>25307</v>
      </c>
      <c r="W1553" t="s">
        <v>25308</v>
      </c>
      <c r="X1553" t="s">
        <v>25309</v>
      </c>
      <c r="Y1553" t="s">
        <v>25310</v>
      </c>
      <c r="Z1553" t="s">
        <v>25311</v>
      </c>
      <c r="AB1553" t="s">
        <v>25312</v>
      </c>
      <c r="AC1553" t="s">
        <v>25313</v>
      </c>
      <c r="AD1553" t="s">
        <v>25313</v>
      </c>
      <c r="AE1553" t="s">
        <v>25314</v>
      </c>
      <c r="AG1553">
        <v>44</v>
      </c>
      <c r="AH1553">
        <v>21</v>
      </c>
      <c r="AI1553">
        <v>22</v>
      </c>
      <c r="AJ1553">
        <v>0</v>
      </c>
      <c r="AK1553">
        <v>13</v>
      </c>
      <c r="AL1553" t="s">
        <v>564</v>
      </c>
      <c r="AM1553" t="s">
        <v>113</v>
      </c>
      <c r="AN1553" t="s">
        <v>565</v>
      </c>
      <c r="AO1553" t="s">
        <v>566</v>
      </c>
      <c r="AP1553" t="s">
        <v>567</v>
      </c>
      <c r="AR1553" t="s">
        <v>568</v>
      </c>
      <c r="AS1553" t="s">
        <v>569</v>
      </c>
      <c r="AT1553" t="s">
        <v>305</v>
      </c>
      <c r="AU1553">
        <v>2008</v>
      </c>
      <c r="AV1553">
        <v>148</v>
      </c>
      <c r="AW1553">
        <v>3</v>
      </c>
      <c r="BB1553">
        <v>211</v>
      </c>
      <c r="BC1553">
        <v>216</v>
      </c>
      <c r="BE1553" t="s">
        <v>25315</v>
      </c>
      <c r="BF1553" t="s">
        <v>25316</v>
      </c>
      <c r="BI1553">
        <v>6</v>
      </c>
      <c r="BJ1553" t="s">
        <v>571</v>
      </c>
      <c r="BK1553" t="s">
        <v>96</v>
      </c>
      <c r="BL1553" t="s">
        <v>571</v>
      </c>
      <c r="BM1553" t="s">
        <v>25317</v>
      </c>
      <c r="BN1553">
        <v>18619914</v>
      </c>
      <c r="BR1553" t="s">
        <v>98</v>
      </c>
      <c r="BS1553" t="s">
        <v>25318</v>
      </c>
      <c r="BT1553" t="s">
        <v>16602</v>
      </c>
    </row>
    <row r="1554" spans="1:72">
      <c r="A1554" t="s">
        <v>72</v>
      </c>
      <c r="B1554" t="s">
        <v>25319</v>
      </c>
      <c r="F1554" t="s">
        <v>25320</v>
      </c>
      <c r="I1554" t="s">
        <v>25321</v>
      </c>
      <c r="J1554" t="s">
        <v>204</v>
      </c>
      <c r="M1554" t="s">
        <v>78</v>
      </c>
      <c r="N1554" t="s">
        <v>79</v>
      </c>
      <c r="T1554" t="s">
        <v>25322</v>
      </c>
      <c r="U1554" t="s">
        <v>25323</v>
      </c>
      <c r="V1554" t="s">
        <v>25324</v>
      </c>
      <c r="W1554" t="s">
        <v>25325</v>
      </c>
      <c r="X1554" t="s">
        <v>25326</v>
      </c>
      <c r="Y1554" t="s">
        <v>25327</v>
      </c>
      <c r="Z1554" t="s">
        <v>25328</v>
      </c>
      <c r="AA1554" t="s">
        <v>25329</v>
      </c>
      <c r="AB1554" t="s">
        <v>25330</v>
      </c>
      <c r="AC1554" t="s">
        <v>25331</v>
      </c>
      <c r="AD1554" t="s">
        <v>525</v>
      </c>
      <c r="AE1554" t="s">
        <v>25332</v>
      </c>
      <c r="AG1554">
        <v>42</v>
      </c>
      <c r="AH1554">
        <v>10</v>
      </c>
      <c r="AI1554">
        <v>12</v>
      </c>
      <c r="AJ1554">
        <v>4</v>
      </c>
      <c r="AK1554">
        <v>68</v>
      </c>
      <c r="AL1554" t="s">
        <v>217</v>
      </c>
      <c r="AM1554" t="s">
        <v>218</v>
      </c>
      <c r="AN1554" t="s">
        <v>219</v>
      </c>
      <c r="AO1554" t="s">
        <v>220</v>
      </c>
      <c r="AP1554" t="s">
        <v>221</v>
      </c>
      <c r="AR1554" t="s">
        <v>222</v>
      </c>
      <c r="AS1554" t="s">
        <v>223</v>
      </c>
      <c r="AT1554" t="s">
        <v>224</v>
      </c>
      <c r="AU1554">
        <v>2017</v>
      </c>
      <c r="AV1554">
        <v>24</v>
      </c>
      <c r="AW1554">
        <v>4</v>
      </c>
      <c r="BB1554">
        <v>3572</v>
      </c>
      <c r="BC1554">
        <v>3581</v>
      </c>
      <c r="BE1554" t="s">
        <v>25333</v>
      </c>
      <c r="BF1554" t="s">
        <v>25334</v>
      </c>
      <c r="BI1554">
        <v>10</v>
      </c>
      <c r="BJ1554" t="s">
        <v>144</v>
      </c>
      <c r="BK1554" t="s">
        <v>96</v>
      </c>
      <c r="BL1554" t="s">
        <v>145</v>
      </c>
      <c r="BM1554" t="s">
        <v>25335</v>
      </c>
      <c r="BN1554">
        <v>27882492</v>
      </c>
      <c r="BR1554" t="s">
        <v>98</v>
      </c>
      <c r="BS1554" t="s">
        <v>25336</v>
      </c>
      <c r="BT1554" t="s">
        <v>16602</v>
      </c>
    </row>
    <row r="1555" spans="1:72">
      <c r="A1555" t="s">
        <v>72</v>
      </c>
      <c r="B1555" t="s">
        <v>25337</v>
      </c>
      <c r="F1555" t="s">
        <v>25338</v>
      </c>
      <c r="I1555" t="s">
        <v>25339</v>
      </c>
      <c r="J1555" t="s">
        <v>2408</v>
      </c>
      <c r="M1555" t="s">
        <v>78</v>
      </c>
      <c r="N1555" t="s">
        <v>79</v>
      </c>
      <c r="T1555" t="s">
        <v>25340</v>
      </c>
      <c r="U1555" t="s">
        <v>25341</v>
      </c>
      <c r="V1555" t="s">
        <v>25342</v>
      </c>
      <c r="W1555" t="s">
        <v>25343</v>
      </c>
      <c r="X1555" t="s">
        <v>25344</v>
      </c>
      <c r="Y1555" t="s">
        <v>25345</v>
      </c>
      <c r="Z1555" t="s">
        <v>21699</v>
      </c>
      <c r="AA1555" t="s">
        <v>25346</v>
      </c>
      <c r="AB1555" t="s">
        <v>25347</v>
      </c>
      <c r="AC1555" t="s">
        <v>25348</v>
      </c>
      <c r="AD1555" t="s">
        <v>25349</v>
      </c>
      <c r="AE1555" t="s">
        <v>25350</v>
      </c>
      <c r="AG1555">
        <v>52</v>
      </c>
      <c r="AH1555">
        <v>8</v>
      </c>
      <c r="AI1555">
        <v>8</v>
      </c>
      <c r="AJ1555">
        <v>0</v>
      </c>
      <c r="AK1555">
        <v>12</v>
      </c>
      <c r="AL1555" t="s">
        <v>2421</v>
      </c>
      <c r="AM1555" t="s">
        <v>2422</v>
      </c>
      <c r="AN1555" t="s">
        <v>2423</v>
      </c>
      <c r="AO1555" t="s">
        <v>2424</v>
      </c>
      <c r="AP1555" t="s">
        <v>2425</v>
      </c>
      <c r="AR1555" t="s">
        <v>2426</v>
      </c>
      <c r="AS1555" t="s">
        <v>2427</v>
      </c>
      <c r="AT1555" t="s">
        <v>197</v>
      </c>
      <c r="AU1555">
        <v>2017</v>
      </c>
      <c r="AV1555">
        <v>36</v>
      </c>
      <c r="AW1555">
        <v>3</v>
      </c>
      <c r="BB1555">
        <v>593</v>
      </c>
      <c r="BC1555">
        <v>599</v>
      </c>
      <c r="BE1555" t="s">
        <v>25351</v>
      </c>
      <c r="BF1555" t="s">
        <v>25352</v>
      </c>
      <c r="BI1555">
        <v>7</v>
      </c>
      <c r="BJ1555" t="s">
        <v>2391</v>
      </c>
      <c r="BK1555" t="s">
        <v>96</v>
      </c>
      <c r="BL1555" t="s">
        <v>2391</v>
      </c>
      <c r="BM1555" t="s">
        <v>25353</v>
      </c>
      <c r="BR1555" t="s">
        <v>98</v>
      </c>
      <c r="BS1555" t="s">
        <v>25354</v>
      </c>
      <c r="BT1555" t="s">
        <v>16602</v>
      </c>
    </row>
    <row r="1556" spans="1:72">
      <c r="A1556" t="s">
        <v>72</v>
      </c>
      <c r="B1556" t="s">
        <v>25355</v>
      </c>
      <c r="F1556" t="s">
        <v>25356</v>
      </c>
      <c r="I1556" t="s">
        <v>25357</v>
      </c>
      <c r="J1556" t="s">
        <v>11898</v>
      </c>
      <c r="M1556" t="s">
        <v>78</v>
      </c>
      <c r="N1556" t="s">
        <v>79</v>
      </c>
      <c r="T1556" t="s">
        <v>25358</v>
      </c>
      <c r="U1556" t="s">
        <v>25359</v>
      </c>
      <c r="V1556" t="s">
        <v>25360</v>
      </c>
      <c r="W1556" t="s">
        <v>25361</v>
      </c>
      <c r="X1556" t="s">
        <v>25362</v>
      </c>
      <c r="Y1556" t="s">
        <v>25363</v>
      </c>
      <c r="Z1556" t="s">
        <v>25364</v>
      </c>
      <c r="AA1556" t="s">
        <v>25365</v>
      </c>
      <c r="AB1556" t="s">
        <v>25366</v>
      </c>
      <c r="AC1556" t="s">
        <v>25367</v>
      </c>
      <c r="AD1556" t="s">
        <v>25368</v>
      </c>
      <c r="AE1556" t="s">
        <v>25369</v>
      </c>
      <c r="AG1556">
        <v>75</v>
      </c>
      <c r="AH1556">
        <v>24</v>
      </c>
      <c r="AI1556">
        <v>24</v>
      </c>
      <c r="AJ1556">
        <v>14</v>
      </c>
      <c r="AK1556">
        <v>94</v>
      </c>
      <c r="AL1556" t="s">
        <v>1566</v>
      </c>
      <c r="AM1556" t="s">
        <v>1567</v>
      </c>
      <c r="AN1556" t="s">
        <v>1568</v>
      </c>
      <c r="AO1556" t="s">
        <v>25370</v>
      </c>
      <c r="AP1556" t="s">
        <v>11911</v>
      </c>
      <c r="AR1556" t="s">
        <v>11912</v>
      </c>
      <c r="AS1556" t="s">
        <v>11913</v>
      </c>
      <c r="AT1556" t="s">
        <v>25371</v>
      </c>
      <c r="AU1556">
        <v>2019</v>
      </c>
      <c r="AV1556">
        <v>16</v>
      </c>
      <c r="AW1556">
        <v>10</v>
      </c>
      <c r="BD1556">
        <v>1823</v>
      </c>
      <c r="BE1556" t="s">
        <v>25372</v>
      </c>
      <c r="BF1556" t="s">
        <v>25373</v>
      </c>
      <c r="BI1556">
        <v>17</v>
      </c>
      <c r="BJ1556" t="s">
        <v>10142</v>
      </c>
      <c r="BK1556" t="s">
        <v>11915</v>
      </c>
      <c r="BL1556" t="s">
        <v>10143</v>
      </c>
      <c r="BM1556" t="s">
        <v>25374</v>
      </c>
      <c r="BN1556">
        <v>31126009</v>
      </c>
      <c r="BO1556" t="s">
        <v>5306</v>
      </c>
      <c r="BR1556" t="s">
        <v>98</v>
      </c>
      <c r="BS1556" t="s">
        <v>25375</v>
      </c>
      <c r="BT1556" t="s">
        <v>16602</v>
      </c>
    </row>
    <row r="1557" spans="1:72">
      <c r="A1557" t="s">
        <v>72</v>
      </c>
      <c r="B1557" t="s">
        <v>25376</v>
      </c>
      <c r="F1557" t="s">
        <v>25376</v>
      </c>
      <c r="I1557" t="s">
        <v>25377</v>
      </c>
      <c r="J1557" t="s">
        <v>25378</v>
      </c>
      <c r="M1557" t="s">
        <v>78</v>
      </c>
      <c r="N1557" t="s">
        <v>79</v>
      </c>
      <c r="Y1557" t="s">
        <v>25379</v>
      </c>
      <c r="AG1557">
        <v>12</v>
      </c>
      <c r="AH1557">
        <v>2</v>
      </c>
      <c r="AI1557">
        <v>3</v>
      </c>
      <c r="AJ1557">
        <v>0</v>
      </c>
      <c r="AK1557">
        <v>1</v>
      </c>
      <c r="AL1557" t="s">
        <v>6584</v>
      </c>
      <c r="AM1557" t="s">
        <v>113</v>
      </c>
      <c r="AN1557" t="s">
        <v>6585</v>
      </c>
      <c r="AO1557" t="s">
        <v>25380</v>
      </c>
      <c r="AR1557" t="s">
        <v>25381</v>
      </c>
      <c r="AS1557" t="s">
        <v>25382</v>
      </c>
      <c r="AU1557">
        <v>1979</v>
      </c>
      <c r="AV1557">
        <v>168</v>
      </c>
      <c r="AW1557">
        <v>3</v>
      </c>
      <c r="BB1557">
        <v>181</v>
      </c>
      <c r="BC1557">
        <v>184</v>
      </c>
      <c r="BI1557">
        <v>4</v>
      </c>
      <c r="BJ1557" t="s">
        <v>2598</v>
      </c>
      <c r="BK1557" t="s">
        <v>96</v>
      </c>
      <c r="BL1557" t="s">
        <v>2598</v>
      </c>
      <c r="BM1557" t="s">
        <v>25383</v>
      </c>
      <c r="BN1557">
        <v>433456</v>
      </c>
      <c r="BR1557" t="s">
        <v>98</v>
      </c>
      <c r="BS1557" t="s">
        <v>25384</v>
      </c>
      <c r="BT1557" t="s">
        <v>16602</v>
      </c>
    </row>
    <row r="1558" spans="1:72">
      <c r="A1558" t="s">
        <v>72</v>
      </c>
      <c r="B1558" t="s">
        <v>25385</v>
      </c>
      <c r="F1558" t="s">
        <v>25386</v>
      </c>
      <c r="I1558" t="s">
        <v>25387</v>
      </c>
      <c r="J1558" t="s">
        <v>275</v>
      </c>
      <c r="M1558" t="s">
        <v>78</v>
      </c>
      <c r="N1558" t="s">
        <v>79</v>
      </c>
      <c r="T1558" t="s">
        <v>25388</v>
      </c>
      <c r="U1558" t="s">
        <v>25389</v>
      </c>
      <c r="V1558" t="s">
        <v>25390</v>
      </c>
      <c r="W1558" t="s">
        <v>25391</v>
      </c>
      <c r="X1558" t="s">
        <v>11884</v>
      </c>
      <c r="Y1558" t="s">
        <v>11885</v>
      </c>
      <c r="Z1558" t="s">
        <v>11886</v>
      </c>
      <c r="AA1558" t="s">
        <v>11887</v>
      </c>
      <c r="AB1558" t="s">
        <v>11888</v>
      </c>
      <c r="AC1558" t="s">
        <v>25392</v>
      </c>
      <c r="AD1558" t="s">
        <v>25393</v>
      </c>
      <c r="AE1558" t="s">
        <v>25394</v>
      </c>
      <c r="AG1558">
        <v>33</v>
      </c>
      <c r="AH1558">
        <v>15</v>
      </c>
      <c r="AI1558">
        <v>16</v>
      </c>
      <c r="AJ1558">
        <v>3</v>
      </c>
      <c r="AK1558">
        <v>29</v>
      </c>
      <c r="AL1558" t="s">
        <v>285</v>
      </c>
      <c r="AM1558" t="s">
        <v>286</v>
      </c>
      <c r="AN1558" t="s">
        <v>287</v>
      </c>
      <c r="AO1558" t="s">
        <v>288</v>
      </c>
      <c r="AR1558" t="s">
        <v>290</v>
      </c>
      <c r="AS1558" t="s">
        <v>291</v>
      </c>
      <c r="AT1558" t="s">
        <v>119</v>
      </c>
      <c r="AU1558">
        <v>2013</v>
      </c>
      <c r="AV1558">
        <v>35</v>
      </c>
      <c r="AW1558">
        <v>2</v>
      </c>
      <c r="BB1558">
        <v>271</v>
      </c>
      <c r="BC1558">
        <v>277</v>
      </c>
      <c r="BE1558" t="s">
        <v>25395</v>
      </c>
      <c r="BF1558" t="s">
        <v>25396</v>
      </c>
      <c r="BI1558">
        <v>7</v>
      </c>
      <c r="BJ1558" t="s">
        <v>293</v>
      </c>
      <c r="BK1558" t="s">
        <v>96</v>
      </c>
      <c r="BL1558" t="s">
        <v>293</v>
      </c>
      <c r="BM1558" t="s">
        <v>25397</v>
      </c>
      <c r="BN1558">
        <v>23664910</v>
      </c>
      <c r="BR1558" t="s">
        <v>98</v>
      </c>
      <c r="BS1558" t="s">
        <v>25398</v>
      </c>
      <c r="BT1558" t="s">
        <v>16602</v>
      </c>
    </row>
    <row r="1559" spans="1:72">
      <c r="A1559" t="s">
        <v>72</v>
      </c>
      <c r="B1559" t="s">
        <v>25399</v>
      </c>
      <c r="F1559" t="s">
        <v>25400</v>
      </c>
      <c r="I1559" t="s">
        <v>25401</v>
      </c>
      <c r="J1559" t="s">
        <v>421</v>
      </c>
      <c r="M1559" t="s">
        <v>78</v>
      </c>
      <c r="N1559" t="s">
        <v>79</v>
      </c>
      <c r="T1559" t="s">
        <v>25402</v>
      </c>
      <c r="U1559" t="s">
        <v>25403</v>
      </c>
      <c r="V1559" t="s">
        <v>25404</v>
      </c>
      <c r="W1559" t="s">
        <v>25405</v>
      </c>
      <c r="X1559" t="s">
        <v>25406</v>
      </c>
      <c r="Y1559" t="s">
        <v>25407</v>
      </c>
      <c r="Z1559" t="s">
        <v>25408</v>
      </c>
      <c r="AA1559" t="s">
        <v>25409</v>
      </c>
      <c r="AB1559" t="s">
        <v>25410</v>
      </c>
      <c r="AG1559">
        <v>62</v>
      </c>
      <c r="AH1559">
        <v>26</v>
      </c>
      <c r="AI1559">
        <v>30</v>
      </c>
      <c r="AJ1559">
        <v>5</v>
      </c>
      <c r="AK1559">
        <v>75</v>
      </c>
      <c r="AL1559" t="s">
        <v>430</v>
      </c>
      <c r="AM1559" t="s">
        <v>137</v>
      </c>
      <c r="AN1559" t="s">
        <v>431</v>
      </c>
      <c r="AO1559" t="s">
        <v>432</v>
      </c>
      <c r="AP1559" t="s">
        <v>1394</v>
      </c>
      <c r="AR1559" t="s">
        <v>433</v>
      </c>
      <c r="AS1559" t="s">
        <v>434</v>
      </c>
      <c r="AT1559" t="s">
        <v>4612</v>
      </c>
      <c r="AU1559">
        <v>2022</v>
      </c>
      <c r="AV1559">
        <v>298</v>
      </c>
      <c r="BD1559">
        <v>118850</v>
      </c>
      <c r="BE1559" t="s">
        <v>25411</v>
      </c>
      <c r="BF1559" t="s">
        <v>25412</v>
      </c>
      <c r="BH1559" t="s">
        <v>227</v>
      </c>
      <c r="BI1559">
        <v>9</v>
      </c>
      <c r="BJ1559" t="s">
        <v>144</v>
      </c>
      <c r="BK1559" t="s">
        <v>96</v>
      </c>
      <c r="BL1559" t="s">
        <v>145</v>
      </c>
      <c r="BM1559" t="s">
        <v>25413</v>
      </c>
      <c r="BN1559">
        <v>35041899</v>
      </c>
      <c r="BR1559" t="s">
        <v>98</v>
      </c>
      <c r="BS1559" t="s">
        <v>25414</v>
      </c>
      <c r="BT1559" t="s">
        <v>16602</v>
      </c>
    </row>
    <row r="1560" spans="1:72">
      <c r="A1560" t="s">
        <v>72</v>
      </c>
      <c r="B1560" t="s">
        <v>25415</v>
      </c>
      <c r="F1560" t="s">
        <v>25416</v>
      </c>
      <c r="I1560" t="s">
        <v>25417</v>
      </c>
      <c r="J1560" t="s">
        <v>232</v>
      </c>
      <c r="M1560" t="s">
        <v>78</v>
      </c>
      <c r="N1560" t="s">
        <v>79</v>
      </c>
      <c r="T1560" t="s">
        <v>25418</v>
      </c>
      <c r="U1560" t="s">
        <v>25419</v>
      </c>
      <c r="V1560" t="s">
        <v>25420</v>
      </c>
      <c r="W1560" t="s">
        <v>25421</v>
      </c>
      <c r="X1560" t="s">
        <v>25422</v>
      </c>
      <c r="Y1560" t="s">
        <v>25423</v>
      </c>
      <c r="Z1560" t="s">
        <v>25424</v>
      </c>
      <c r="AC1560" t="s">
        <v>25425</v>
      </c>
      <c r="AD1560" t="s">
        <v>25426</v>
      </c>
      <c r="AE1560" t="s">
        <v>25427</v>
      </c>
      <c r="AG1560">
        <v>110</v>
      </c>
      <c r="AH1560">
        <v>12</v>
      </c>
      <c r="AI1560">
        <v>14</v>
      </c>
      <c r="AJ1560">
        <v>7</v>
      </c>
      <c r="AK1560">
        <v>43</v>
      </c>
      <c r="AL1560" t="s">
        <v>136</v>
      </c>
      <c r="AM1560" t="s">
        <v>137</v>
      </c>
      <c r="AN1560" t="s">
        <v>138</v>
      </c>
      <c r="AO1560" t="s">
        <v>240</v>
      </c>
      <c r="AP1560" t="s">
        <v>241</v>
      </c>
      <c r="AR1560" t="s">
        <v>242</v>
      </c>
      <c r="AS1560" t="s">
        <v>243</v>
      </c>
      <c r="AT1560" t="s">
        <v>1470</v>
      </c>
      <c r="AU1560">
        <v>2022</v>
      </c>
      <c r="AV1560">
        <v>174</v>
      </c>
      <c r="BD1560">
        <v>113132</v>
      </c>
      <c r="BE1560" t="s">
        <v>25428</v>
      </c>
      <c r="BF1560" t="s">
        <v>25429</v>
      </c>
      <c r="BH1560" t="s">
        <v>4701</v>
      </c>
      <c r="BI1560">
        <v>15</v>
      </c>
      <c r="BJ1560" t="s">
        <v>247</v>
      </c>
      <c r="BK1560" t="s">
        <v>96</v>
      </c>
      <c r="BL1560" t="s">
        <v>248</v>
      </c>
      <c r="BM1560" t="s">
        <v>25430</v>
      </c>
      <c r="BN1560">
        <v>34863070</v>
      </c>
      <c r="BO1560" t="s">
        <v>476</v>
      </c>
      <c r="BR1560" t="s">
        <v>98</v>
      </c>
      <c r="BS1560" t="s">
        <v>25431</v>
      </c>
      <c r="BT1560" t="s">
        <v>16602</v>
      </c>
    </row>
    <row r="1561" spans="1:72">
      <c r="A1561" t="s">
        <v>72</v>
      </c>
      <c r="B1561" t="s">
        <v>25432</v>
      </c>
      <c r="F1561" t="s">
        <v>25433</v>
      </c>
      <c r="I1561" t="s">
        <v>25434</v>
      </c>
      <c r="J1561" t="s">
        <v>998</v>
      </c>
      <c r="M1561" t="s">
        <v>78</v>
      </c>
      <c r="N1561" t="s">
        <v>79</v>
      </c>
      <c r="U1561" t="s">
        <v>25435</v>
      </c>
      <c r="V1561" t="s">
        <v>25436</v>
      </c>
      <c r="W1561" t="s">
        <v>25437</v>
      </c>
      <c r="X1561" t="s">
        <v>25438</v>
      </c>
      <c r="Y1561" t="s">
        <v>25439</v>
      </c>
      <c r="Z1561" t="s">
        <v>24014</v>
      </c>
      <c r="AA1561" t="s">
        <v>25440</v>
      </c>
      <c r="AG1561">
        <v>47</v>
      </c>
      <c r="AH1561">
        <v>36</v>
      </c>
      <c r="AI1561">
        <v>39</v>
      </c>
      <c r="AJ1561">
        <v>1</v>
      </c>
      <c r="AK1561">
        <v>14</v>
      </c>
      <c r="AL1561" t="s">
        <v>112</v>
      </c>
      <c r="AM1561" t="s">
        <v>113</v>
      </c>
      <c r="AN1561" t="s">
        <v>114</v>
      </c>
      <c r="AO1561" t="s">
        <v>1009</v>
      </c>
      <c r="AP1561" t="s">
        <v>5996</v>
      </c>
      <c r="AR1561" t="s">
        <v>1010</v>
      </c>
      <c r="AS1561" t="s">
        <v>1011</v>
      </c>
      <c r="AT1561" t="s">
        <v>267</v>
      </c>
      <c r="AU1561">
        <v>2006</v>
      </c>
      <c r="AV1561">
        <v>51</v>
      </c>
      <c r="AW1561">
        <v>3</v>
      </c>
      <c r="BB1561">
        <v>392</v>
      </c>
      <c r="BC1561">
        <v>399</v>
      </c>
      <c r="BE1561" t="s">
        <v>25441</v>
      </c>
      <c r="BF1561" t="s">
        <v>25442</v>
      </c>
      <c r="BI1561">
        <v>8</v>
      </c>
      <c r="BJ1561" t="s">
        <v>121</v>
      </c>
      <c r="BK1561" t="s">
        <v>96</v>
      </c>
      <c r="BL1561" t="s">
        <v>122</v>
      </c>
      <c r="BM1561" t="s">
        <v>25443</v>
      </c>
      <c r="BN1561">
        <v>16823522</v>
      </c>
      <c r="BR1561" t="s">
        <v>98</v>
      </c>
      <c r="BS1561" t="s">
        <v>25444</v>
      </c>
      <c r="BT1561" t="s">
        <v>16602</v>
      </c>
    </row>
    <row r="1562" spans="1:72">
      <c r="A1562" t="s">
        <v>72</v>
      </c>
      <c r="B1562" t="s">
        <v>25445</v>
      </c>
      <c r="F1562" t="s">
        <v>25446</v>
      </c>
      <c r="I1562" t="s">
        <v>25447</v>
      </c>
      <c r="J1562" t="s">
        <v>1756</v>
      </c>
      <c r="M1562" t="s">
        <v>78</v>
      </c>
      <c r="N1562" t="s">
        <v>79</v>
      </c>
      <c r="T1562" t="s">
        <v>25448</v>
      </c>
      <c r="U1562" t="s">
        <v>25449</v>
      </c>
      <c r="V1562" t="s">
        <v>25450</v>
      </c>
      <c r="W1562" t="s">
        <v>25451</v>
      </c>
      <c r="X1562" t="s">
        <v>25452</v>
      </c>
      <c r="Y1562" t="s">
        <v>25453</v>
      </c>
      <c r="Z1562" t="s">
        <v>5524</v>
      </c>
      <c r="AC1562" t="s">
        <v>25454</v>
      </c>
      <c r="AD1562" t="s">
        <v>25455</v>
      </c>
      <c r="AE1562" t="s">
        <v>25456</v>
      </c>
      <c r="AG1562">
        <v>40</v>
      </c>
      <c r="AH1562">
        <v>5</v>
      </c>
      <c r="AI1562">
        <v>5</v>
      </c>
      <c r="AJ1562">
        <v>0</v>
      </c>
      <c r="AK1562">
        <v>14</v>
      </c>
      <c r="AL1562" t="s">
        <v>86</v>
      </c>
      <c r="AM1562" t="s">
        <v>87</v>
      </c>
      <c r="AN1562" t="s">
        <v>88</v>
      </c>
      <c r="AO1562" t="s">
        <v>1764</v>
      </c>
      <c r="AP1562" t="s">
        <v>1765</v>
      </c>
      <c r="AR1562" t="s">
        <v>1766</v>
      </c>
      <c r="AS1562" t="s">
        <v>1767</v>
      </c>
      <c r="AT1562" t="s">
        <v>951</v>
      </c>
      <c r="AU1562">
        <v>2009</v>
      </c>
      <c r="AV1562">
        <v>28</v>
      </c>
      <c r="AW1562">
        <v>11</v>
      </c>
      <c r="BB1562">
        <v>2333</v>
      </c>
      <c r="BC1562">
        <v>2340</v>
      </c>
      <c r="BE1562" t="s">
        <v>25457</v>
      </c>
      <c r="BF1562" t="s">
        <v>25458</v>
      </c>
      <c r="BI1562">
        <v>8</v>
      </c>
      <c r="BJ1562" t="s">
        <v>121</v>
      </c>
      <c r="BK1562" t="s">
        <v>96</v>
      </c>
      <c r="BL1562" t="s">
        <v>122</v>
      </c>
      <c r="BM1562" t="s">
        <v>25459</v>
      </c>
      <c r="BN1562">
        <v>19606913</v>
      </c>
      <c r="BR1562" t="s">
        <v>98</v>
      </c>
      <c r="BS1562" t="s">
        <v>25460</v>
      </c>
      <c r="BT1562" t="s">
        <v>16602</v>
      </c>
    </row>
    <row r="1563" spans="1:72">
      <c r="A1563" t="s">
        <v>72</v>
      </c>
      <c r="B1563" t="s">
        <v>25461</v>
      </c>
      <c r="F1563" t="s">
        <v>25461</v>
      </c>
      <c r="I1563" t="s">
        <v>25462</v>
      </c>
      <c r="J1563" t="s">
        <v>1097</v>
      </c>
      <c r="M1563" t="s">
        <v>78</v>
      </c>
      <c r="N1563" t="s">
        <v>79</v>
      </c>
      <c r="V1563" t="s">
        <v>25463</v>
      </c>
      <c r="W1563" t="s">
        <v>25464</v>
      </c>
      <c r="Y1563" t="s">
        <v>25465</v>
      </c>
      <c r="AA1563" t="s">
        <v>25466</v>
      </c>
      <c r="AB1563" t="s">
        <v>25467</v>
      </c>
      <c r="AG1563">
        <v>31</v>
      </c>
      <c r="AH1563">
        <v>55</v>
      </c>
      <c r="AI1563">
        <v>58</v>
      </c>
      <c r="AJ1563">
        <v>1</v>
      </c>
      <c r="AK1563">
        <v>4</v>
      </c>
      <c r="AL1563" t="s">
        <v>217</v>
      </c>
      <c r="AM1563" t="s">
        <v>218</v>
      </c>
      <c r="AN1563" t="s">
        <v>219</v>
      </c>
      <c r="AO1563" t="s">
        <v>1100</v>
      </c>
      <c r="AP1563" t="s">
        <v>1101</v>
      </c>
      <c r="AR1563" t="s">
        <v>1102</v>
      </c>
      <c r="AS1563" t="s">
        <v>1103</v>
      </c>
      <c r="AU1563">
        <v>1985</v>
      </c>
      <c r="AV1563">
        <v>86</v>
      </c>
      <c r="AW1563">
        <v>1</v>
      </c>
      <c r="BB1563">
        <v>55</v>
      </c>
      <c r="BC1563">
        <v>62</v>
      </c>
      <c r="BE1563" t="s">
        <v>25468</v>
      </c>
      <c r="BF1563" t="s">
        <v>25469</v>
      </c>
      <c r="BI1563">
        <v>8</v>
      </c>
      <c r="BJ1563" t="s">
        <v>680</v>
      </c>
      <c r="BK1563" t="s">
        <v>96</v>
      </c>
      <c r="BL1563" t="s">
        <v>680</v>
      </c>
      <c r="BM1563" t="s">
        <v>25470</v>
      </c>
      <c r="BR1563" t="s">
        <v>98</v>
      </c>
      <c r="BS1563" t="s">
        <v>25471</v>
      </c>
      <c r="BT1563" t="s">
        <v>16602</v>
      </c>
    </row>
    <row r="1564" spans="1:72">
      <c r="A1564" t="s">
        <v>72</v>
      </c>
      <c r="B1564" t="s">
        <v>25472</v>
      </c>
      <c r="F1564" t="s">
        <v>25472</v>
      </c>
      <c r="I1564" t="s">
        <v>25473</v>
      </c>
      <c r="J1564" t="s">
        <v>2894</v>
      </c>
      <c r="M1564" t="s">
        <v>78</v>
      </c>
      <c r="N1564" t="s">
        <v>79</v>
      </c>
      <c r="T1564" t="s">
        <v>25474</v>
      </c>
      <c r="U1564" t="s">
        <v>25475</v>
      </c>
      <c r="V1564" t="s">
        <v>25476</v>
      </c>
      <c r="W1564" t="s">
        <v>25477</v>
      </c>
      <c r="X1564" t="s">
        <v>25478</v>
      </c>
      <c r="Y1564" t="s">
        <v>25479</v>
      </c>
      <c r="Z1564" t="s">
        <v>25480</v>
      </c>
      <c r="AB1564" t="s">
        <v>15955</v>
      </c>
      <c r="AG1564">
        <v>27</v>
      </c>
      <c r="AH1564">
        <v>102</v>
      </c>
      <c r="AI1564">
        <v>108</v>
      </c>
      <c r="AJ1564">
        <v>0</v>
      </c>
      <c r="AK1564">
        <v>21</v>
      </c>
      <c r="AL1564" t="s">
        <v>2904</v>
      </c>
      <c r="AM1564" t="s">
        <v>2905</v>
      </c>
      <c r="AN1564" t="s">
        <v>2906</v>
      </c>
      <c r="AO1564" t="s">
        <v>2907</v>
      </c>
      <c r="AR1564" t="s">
        <v>2908</v>
      </c>
      <c r="AS1564" t="s">
        <v>2909</v>
      </c>
      <c r="AU1564">
        <v>1998</v>
      </c>
      <c r="AV1564">
        <v>166</v>
      </c>
      <c r="BB1564">
        <v>163</v>
      </c>
      <c r="BC1564">
        <v>171</v>
      </c>
      <c r="BE1564" t="s">
        <v>25481</v>
      </c>
      <c r="BF1564" t="s">
        <v>25482</v>
      </c>
      <c r="BI1564">
        <v>9</v>
      </c>
      <c r="BJ1564" t="s">
        <v>2911</v>
      </c>
      <c r="BK1564" t="s">
        <v>96</v>
      </c>
      <c r="BL1564" t="s">
        <v>2912</v>
      </c>
      <c r="BM1564" t="s">
        <v>25483</v>
      </c>
      <c r="BO1564" t="s">
        <v>370</v>
      </c>
      <c r="BR1564" t="s">
        <v>98</v>
      </c>
      <c r="BS1564" t="s">
        <v>25484</v>
      </c>
      <c r="BT1564" t="s">
        <v>16602</v>
      </c>
    </row>
    <row r="1565" spans="1:72">
      <c r="A1565" t="s">
        <v>72</v>
      </c>
      <c r="B1565" t="s">
        <v>25485</v>
      </c>
      <c r="F1565" t="s">
        <v>25485</v>
      </c>
      <c r="I1565" t="s">
        <v>25486</v>
      </c>
      <c r="J1565" t="s">
        <v>554</v>
      </c>
      <c r="M1565" t="s">
        <v>78</v>
      </c>
      <c r="N1565" t="s">
        <v>79</v>
      </c>
      <c r="T1565" t="s">
        <v>25487</v>
      </c>
      <c r="U1565" t="s">
        <v>25488</v>
      </c>
      <c r="V1565" t="s">
        <v>25489</v>
      </c>
      <c r="W1565" t="s">
        <v>25490</v>
      </c>
      <c r="X1565" t="s">
        <v>2697</v>
      </c>
      <c r="Y1565" t="s">
        <v>25491</v>
      </c>
      <c r="Z1565" t="s">
        <v>25492</v>
      </c>
      <c r="AA1565" t="s">
        <v>25493</v>
      </c>
      <c r="AB1565" t="s">
        <v>25494</v>
      </c>
      <c r="AG1565">
        <v>39</v>
      </c>
      <c r="AH1565">
        <v>50</v>
      </c>
      <c r="AI1565">
        <v>54</v>
      </c>
      <c r="AJ1565">
        <v>3</v>
      </c>
      <c r="AK1565">
        <v>15</v>
      </c>
      <c r="AL1565" t="s">
        <v>564</v>
      </c>
      <c r="AM1565" t="s">
        <v>113</v>
      </c>
      <c r="AN1565" t="s">
        <v>565</v>
      </c>
      <c r="AO1565" t="s">
        <v>566</v>
      </c>
      <c r="AP1565" t="s">
        <v>567</v>
      </c>
      <c r="AR1565" t="s">
        <v>568</v>
      </c>
      <c r="AS1565" t="s">
        <v>569</v>
      </c>
      <c r="AT1565" t="s">
        <v>142</v>
      </c>
      <c r="AU1565">
        <v>2005</v>
      </c>
      <c r="AV1565">
        <v>141</v>
      </c>
      <c r="AW1565">
        <v>2</v>
      </c>
      <c r="BB1565">
        <v>188</v>
      </c>
      <c r="BC1565">
        <v>193</v>
      </c>
      <c r="BE1565" t="s">
        <v>25495</v>
      </c>
      <c r="BF1565" t="s">
        <v>25496</v>
      </c>
      <c r="BI1565">
        <v>6</v>
      </c>
      <c r="BJ1565" t="s">
        <v>571</v>
      </c>
      <c r="BK1565" t="s">
        <v>96</v>
      </c>
      <c r="BL1565" t="s">
        <v>571</v>
      </c>
      <c r="BM1565" t="s">
        <v>25497</v>
      </c>
      <c r="BN1565">
        <v>16014341</v>
      </c>
      <c r="BR1565" t="s">
        <v>98</v>
      </c>
      <c r="BS1565" t="s">
        <v>25498</v>
      </c>
      <c r="BT1565" t="s">
        <v>16602</v>
      </c>
    </row>
    <row r="1566" spans="1:72">
      <c r="A1566" t="s">
        <v>72</v>
      </c>
      <c r="B1566" t="s">
        <v>25499</v>
      </c>
      <c r="F1566" t="s">
        <v>25499</v>
      </c>
      <c r="I1566" t="s">
        <v>25500</v>
      </c>
      <c r="J1566" t="s">
        <v>5141</v>
      </c>
      <c r="M1566" t="s">
        <v>78</v>
      </c>
      <c r="N1566" t="s">
        <v>79</v>
      </c>
      <c r="T1566" t="s">
        <v>25501</v>
      </c>
      <c r="U1566" t="s">
        <v>25502</v>
      </c>
      <c r="V1566" t="s">
        <v>25503</v>
      </c>
      <c r="W1566" t="s">
        <v>25504</v>
      </c>
      <c r="X1566" t="s">
        <v>25505</v>
      </c>
      <c r="Y1566" t="s">
        <v>14206</v>
      </c>
      <c r="Z1566" t="s">
        <v>8189</v>
      </c>
      <c r="AA1566" t="s">
        <v>25506</v>
      </c>
      <c r="AB1566" t="s">
        <v>25507</v>
      </c>
      <c r="AG1566">
        <v>30</v>
      </c>
      <c r="AH1566">
        <v>20</v>
      </c>
      <c r="AI1566">
        <v>20</v>
      </c>
      <c r="AJ1566">
        <v>1</v>
      </c>
      <c r="AK1566">
        <v>22</v>
      </c>
      <c r="AL1566" t="s">
        <v>5154</v>
      </c>
      <c r="AM1566" t="s">
        <v>5155</v>
      </c>
      <c r="AN1566" t="s">
        <v>5156</v>
      </c>
      <c r="AO1566" t="s">
        <v>5157</v>
      </c>
      <c r="AP1566" t="s">
        <v>5158</v>
      </c>
      <c r="AR1566" t="s">
        <v>5159</v>
      </c>
      <c r="AS1566" t="s">
        <v>5160</v>
      </c>
      <c r="AT1566" t="s">
        <v>951</v>
      </c>
      <c r="AU1566">
        <v>2004</v>
      </c>
      <c r="AV1566">
        <v>112</v>
      </c>
      <c r="AW1566">
        <v>15</v>
      </c>
      <c r="BB1566">
        <v>1467</v>
      </c>
      <c r="BC1566">
        <v>1471</v>
      </c>
      <c r="BE1566" t="s">
        <v>25508</v>
      </c>
      <c r="BF1566" t="s">
        <v>25509</v>
      </c>
      <c r="BI1566">
        <v>5</v>
      </c>
      <c r="BJ1566" t="s">
        <v>5162</v>
      </c>
      <c r="BK1566" t="s">
        <v>96</v>
      </c>
      <c r="BL1566" t="s">
        <v>5163</v>
      </c>
      <c r="BM1566" t="s">
        <v>25510</v>
      </c>
      <c r="BN1566">
        <v>15531429</v>
      </c>
      <c r="BO1566" t="s">
        <v>2155</v>
      </c>
      <c r="BR1566" t="s">
        <v>98</v>
      </c>
      <c r="BS1566" t="s">
        <v>25511</v>
      </c>
      <c r="BT1566" t="s">
        <v>16602</v>
      </c>
    </row>
    <row r="1567" spans="1:72">
      <c r="A1567" t="s">
        <v>72</v>
      </c>
      <c r="B1567" t="s">
        <v>25512</v>
      </c>
      <c r="F1567" t="s">
        <v>25513</v>
      </c>
      <c r="I1567" t="s">
        <v>25514</v>
      </c>
      <c r="J1567" t="s">
        <v>25515</v>
      </c>
      <c r="M1567" t="s">
        <v>78</v>
      </c>
      <c r="N1567" t="s">
        <v>79</v>
      </c>
      <c r="T1567" t="s">
        <v>25516</v>
      </c>
      <c r="U1567" t="s">
        <v>25517</v>
      </c>
      <c r="V1567" t="s">
        <v>25518</v>
      </c>
      <c r="W1567" t="s">
        <v>25519</v>
      </c>
      <c r="X1567" t="s">
        <v>25520</v>
      </c>
      <c r="Y1567" t="s">
        <v>25521</v>
      </c>
      <c r="Z1567" t="s">
        <v>25522</v>
      </c>
      <c r="AA1567" t="s">
        <v>25523</v>
      </c>
      <c r="AB1567" t="s">
        <v>25524</v>
      </c>
      <c r="AC1567" t="s">
        <v>25525</v>
      </c>
      <c r="AD1567" t="s">
        <v>25526</v>
      </c>
      <c r="AE1567" t="s">
        <v>25527</v>
      </c>
      <c r="AG1567">
        <v>50</v>
      </c>
      <c r="AH1567">
        <v>20</v>
      </c>
      <c r="AI1567">
        <v>20</v>
      </c>
      <c r="AJ1567">
        <v>3</v>
      </c>
      <c r="AK1567">
        <v>53</v>
      </c>
      <c r="AL1567" t="s">
        <v>4471</v>
      </c>
      <c r="AM1567" t="s">
        <v>4472</v>
      </c>
      <c r="AN1567" t="s">
        <v>4473</v>
      </c>
      <c r="AO1567" t="s">
        <v>25528</v>
      </c>
      <c r="AR1567" t="s">
        <v>25529</v>
      </c>
      <c r="AS1567" t="s">
        <v>25530</v>
      </c>
      <c r="AT1567" t="s">
        <v>765</v>
      </c>
      <c r="AU1567">
        <v>2019</v>
      </c>
      <c r="AV1567">
        <v>1</v>
      </c>
      <c r="AW1567">
        <v>7</v>
      </c>
      <c r="BB1567">
        <v>1887</v>
      </c>
      <c r="BC1567">
        <v>1895</v>
      </c>
      <c r="BE1567" t="s">
        <v>25531</v>
      </c>
      <c r="BF1567" t="s">
        <v>25532</v>
      </c>
      <c r="BI1567">
        <v>17</v>
      </c>
      <c r="BJ1567" t="s">
        <v>25533</v>
      </c>
      <c r="BK1567" t="s">
        <v>96</v>
      </c>
      <c r="BL1567" t="s">
        <v>25534</v>
      </c>
      <c r="BM1567" t="s">
        <v>25535</v>
      </c>
      <c r="BO1567" t="s">
        <v>25536</v>
      </c>
      <c r="BR1567" t="s">
        <v>98</v>
      </c>
      <c r="BS1567" t="s">
        <v>25537</v>
      </c>
      <c r="BT1567" t="s">
        <v>16602</v>
      </c>
    </row>
    <row r="1568" spans="1:72">
      <c r="A1568" t="s">
        <v>72</v>
      </c>
      <c r="B1568" t="s">
        <v>25538</v>
      </c>
      <c r="F1568" t="s">
        <v>25539</v>
      </c>
      <c r="I1568" t="s">
        <v>25540</v>
      </c>
      <c r="J1568" t="s">
        <v>25541</v>
      </c>
      <c r="M1568" t="s">
        <v>78</v>
      </c>
      <c r="N1568" t="s">
        <v>79</v>
      </c>
      <c r="T1568" t="s">
        <v>25542</v>
      </c>
      <c r="U1568" t="s">
        <v>25543</v>
      </c>
      <c r="V1568" t="s">
        <v>25544</v>
      </c>
      <c r="W1568" t="s">
        <v>25545</v>
      </c>
      <c r="X1568" t="s">
        <v>25546</v>
      </c>
      <c r="Y1568" t="s">
        <v>25547</v>
      </c>
      <c r="Z1568" t="s">
        <v>25548</v>
      </c>
      <c r="AA1568" t="s">
        <v>25549</v>
      </c>
      <c r="AB1568" t="s">
        <v>25550</v>
      </c>
      <c r="AC1568" t="s">
        <v>25551</v>
      </c>
      <c r="AD1568" t="s">
        <v>25551</v>
      </c>
      <c r="AE1568" t="s">
        <v>25552</v>
      </c>
      <c r="AG1568">
        <v>19</v>
      </c>
      <c r="AH1568">
        <v>16</v>
      </c>
      <c r="AI1568">
        <v>20</v>
      </c>
      <c r="AJ1568">
        <v>0</v>
      </c>
      <c r="AK1568">
        <v>19</v>
      </c>
      <c r="AL1568" t="s">
        <v>25553</v>
      </c>
      <c r="AM1568" t="s">
        <v>25554</v>
      </c>
      <c r="AN1568" t="s">
        <v>25555</v>
      </c>
      <c r="AO1568" t="s">
        <v>25556</v>
      </c>
      <c r="AR1568" t="s">
        <v>25557</v>
      </c>
      <c r="AS1568" t="s">
        <v>25558</v>
      </c>
      <c r="AT1568" t="s">
        <v>197</v>
      </c>
      <c r="AU1568">
        <v>2015</v>
      </c>
      <c r="AV1568">
        <v>22</v>
      </c>
      <c r="AW1568">
        <v>4</v>
      </c>
      <c r="BB1568">
        <v>489</v>
      </c>
      <c r="BC1568">
        <v>498</v>
      </c>
      <c r="BE1568" t="s">
        <v>25559</v>
      </c>
      <c r="BF1568" t="s">
        <v>25560</v>
      </c>
      <c r="BI1568">
        <v>10</v>
      </c>
      <c r="BJ1568" t="s">
        <v>144</v>
      </c>
      <c r="BK1568" t="s">
        <v>96</v>
      </c>
      <c r="BL1568" t="s">
        <v>145</v>
      </c>
      <c r="BM1568" t="s">
        <v>25561</v>
      </c>
      <c r="BO1568" t="s">
        <v>873</v>
      </c>
      <c r="BR1568" t="s">
        <v>98</v>
      </c>
      <c r="BS1568" t="s">
        <v>25562</v>
      </c>
      <c r="BT1568" t="s">
        <v>16602</v>
      </c>
    </row>
    <row r="1569" spans="1:72">
      <c r="A1569" t="s">
        <v>72</v>
      </c>
      <c r="B1569" t="s">
        <v>25563</v>
      </c>
      <c r="F1569" t="s">
        <v>25564</v>
      </c>
      <c r="I1569" t="s">
        <v>25565</v>
      </c>
      <c r="J1569" t="s">
        <v>25566</v>
      </c>
      <c r="M1569" t="s">
        <v>78</v>
      </c>
      <c r="N1569" t="s">
        <v>79</v>
      </c>
      <c r="T1569" t="s">
        <v>25567</v>
      </c>
      <c r="U1569" t="s">
        <v>25568</v>
      </c>
      <c r="V1569" t="s">
        <v>25569</v>
      </c>
      <c r="W1569" t="s">
        <v>25570</v>
      </c>
      <c r="X1569" t="s">
        <v>3262</v>
      </c>
      <c r="Y1569" t="s">
        <v>25571</v>
      </c>
      <c r="Z1569" t="s">
        <v>25572</v>
      </c>
      <c r="AB1569" t="s">
        <v>25573</v>
      </c>
      <c r="AG1569">
        <v>40</v>
      </c>
      <c r="AH1569">
        <v>6</v>
      </c>
      <c r="AI1569">
        <v>6</v>
      </c>
      <c r="AJ1569">
        <v>0</v>
      </c>
      <c r="AK1569">
        <v>7</v>
      </c>
      <c r="AL1569" t="s">
        <v>86</v>
      </c>
      <c r="AM1569" t="s">
        <v>87</v>
      </c>
      <c r="AN1569" t="s">
        <v>88</v>
      </c>
      <c r="AO1569" t="s">
        <v>25574</v>
      </c>
      <c r="AP1569" t="s">
        <v>25575</v>
      </c>
      <c r="AR1569" t="s">
        <v>25576</v>
      </c>
      <c r="AS1569" t="s">
        <v>25577</v>
      </c>
      <c r="AT1569" t="s">
        <v>170</v>
      </c>
      <c r="AU1569">
        <v>2015</v>
      </c>
      <c r="AV1569">
        <v>87</v>
      </c>
      <c r="AW1569">
        <v>5</v>
      </c>
      <c r="BB1569">
        <v>470</v>
      </c>
      <c r="BC1569">
        <v>479</v>
      </c>
      <c r="BE1569" t="s">
        <v>25578</v>
      </c>
      <c r="BF1569" t="s">
        <v>25579</v>
      </c>
      <c r="BI1569">
        <v>10</v>
      </c>
      <c r="BJ1569" t="s">
        <v>25580</v>
      </c>
      <c r="BK1569" t="s">
        <v>96</v>
      </c>
      <c r="BL1569" t="s">
        <v>25581</v>
      </c>
      <c r="BM1569" t="s">
        <v>25582</v>
      </c>
      <c r="BN1569">
        <v>26460467</v>
      </c>
      <c r="BR1569" t="s">
        <v>98</v>
      </c>
      <c r="BS1569" t="s">
        <v>25583</v>
      </c>
      <c r="BT1569" t="s">
        <v>16602</v>
      </c>
    </row>
    <row r="1570" spans="1:72">
      <c r="A1570" t="s">
        <v>72</v>
      </c>
      <c r="B1570" t="s">
        <v>25584</v>
      </c>
      <c r="F1570" t="s">
        <v>25585</v>
      </c>
      <c r="I1570" t="s">
        <v>25586</v>
      </c>
      <c r="J1570" t="s">
        <v>421</v>
      </c>
      <c r="M1570" t="s">
        <v>78</v>
      </c>
      <c r="N1570" t="s">
        <v>79</v>
      </c>
      <c r="T1570" t="s">
        <v>25587</v>
      </c>
      <c r="U1570" t="s">
        <v>25588</v>
      </c>
      <c r="V1570" t="s">
        <v>25589</v>
      </c>
      <c r="W1570" t="s">
        <v>25590</v>
      </c>
      <c r="X1570" t="s">
        <v>25591</v>
      </c>
      <c r="Y1570" t="s">
        <v>25592</v>
      </c>
      <c r="Z1570" t="s">
        <v>25593</v>
      </c>
      <c r="AA1570" t="s">
        <v>25594</v>
      </c>
      <c r="AB1570" t="s">
        <v>25595</v>
      </c>
      <c r="AC1570" t="s">
        <v>25596</v>
      </c>
      <c r="AD1570" t="s">
        <v>25597</v>
      </c>
      <c r="AE1570" t="s">
        <v>25598</v>
      </c>
      <c r="AG1570">
        <v>103</v>
      </c>
      <c r="AH1570">
        <v>0</v>
      </c>
      <c r="AI1570">
        <v>0</v>
      </c>
      <c r="AJ1570">
        <v>3</v>
      </c>
      <c r="AK1570">
        <v>17</v>
      </c>
      <c r="AL1570" t="s">
        <v>430</v>
      </c>
      <c r="AM1570" t="s">
        <v>137</v>
      </c>
      <c r="AN1570" t="s">
        <v>431</v>
      </c>
      <c r="AO1570" t="s">
        <v>432</v>
      </c>
      <c r="AP1570" t="s">
        <v>1394</v>
      </c>
      <c r="AR1570" t="s">
        <v>433</v>
      </c>
      <c r="AS1570" t="s">
        <v>434</v>
      </c>
      <c r="AT1570" t="s">
        <v>325</v>
      </c>
      <c r="AU1570">
        <v>2023</v>
      </c>
      <c r="AV1570">
        <v>335</v>
      </c>
      <c r="BD1570">
        <v>122294</v>
      </c>
      <c r="BE1570" t="s">
        <v>25599</v>
      </c>
      <c r="BF1570" t="s">
        <v>25600</v>
      </c>
      <c r="BH1570" t="s">
        <v>6411</v>
      </c>
      <c r="BI1570">
        <v>10</v>
      </c>
      <c r="BJ1570" t="s">
        <v>144</v>
      </c>
      <c r="BK1570" t="s">
        <v>96</v>
      </c>
      <c r="BL1570" t="s">
        <v>145</v>
      </c>
      <c r="BM1570" t="s">
        <v>25601</v>
      </c>
      <c r="BN1570">
        <v>37544404</v>
      </c>
      <c r="BR1570" t="s">
        <v>98</v>
      </c>
      <c r="BS1570" t="s">
        <v>25602</v>
      </c>
      <c r="BT1570" t="s">
        <v>16602</v>
      </c>
    </row>
    <row r="1571" spans="1:72">
      <c r="A1571" t="s">
        <v>72</v>
      </c>
      <c r="B1571" t="s">
        <v>25603</v>
      </c>
      <c r="F1571" t="s">
        <v>25604</v>
      </c>
      <c r="I1571" t="s">
        <v>25605</v>
      </c>
      <c r="J1571" t="s">
        <v>25606</v>
      </c>
      <c r="M1571" t="s">
        <v>78</v>
      </c>
      <c r="N1571" t="s">
        <v>79</v>
      </c>
      <c r="T1571" t="s">
        <v>25607</v>
      </c>
      <c r="U1571" t="s">
        <v>25608</v>
      </c>
      <c r="V1571" t="s">
        <v>25609</v>
      </c>
      <c r="W1571" t="s">
        <v>25610</v>
      </c>
      <c r="X1571" t="s">
        <v>25611</v>
      </c>
      <c r="Y1571" t="s">
        <v>25612</v>
      </c>
      <c r="Z1571" t="s">
        <v>25613</v>
      </c>
      <c r="AA1571" t="s">
        <v>25614</v>
      </c>
      <c r="AB1571" t="s">
        <v>25615</v>
      </c>
      <c r="AC1571" t="s">
        <v>25616</v>
      </c>
      <c r="AD1571" t="s">
        <v>25617</v>
      </c>
      <c r="AE1571" t="s">
        <v>25618</v>
      </c>
      <c r="AG1571">
        <v>63</v>
      </c>
      <c r="AH1571">
        <v>0</v>
      </c>
      <c r="AI1571">
        <v>0</v>
      </c>
      <c r="AJ1571">
        <v>1</v>
      </c>
      <c r="AK1571">
        <v>1</v>
      </c>
      <c r="AL1571" t="s">
        <v>650</v>
      </c>
      <c r="AM1571" t="s">
        <v>651</v>
      </c>
      <c r="AN1571" t="s">
        <v>652</v>
      </c>
      <c r="AO1571" t="s">
        <v>25619</v>
      </c>
      <c r="AR1571" t="s">
        <v>25620</v>
      </c>
      <c r="AS1571" t="s">
        <v>25621</v>
      </c>
      <c r="AT1571" t="s">
        <v>119</v>
      </c>
      <c r="AU1571">
        <v>2024</v>
      </c>
      <c r="AV1571">
        <v>51</v>
      </c>
      <c r="BD1571">
        <v>104752</v>
      </c>
      <c r="BE1571" t="s">
        <v>25622</v>
      </c>
      <c r="BF1571" t="s">
        <v>25623</v>
      </c>
      <c r="BH1571" t="s">
        <v>5962</v>
      </c>
      <c r="BI1571">
        <v>14</v>
      </c>
      <c r="BJ1571" t="s">
        <v>7287</v>
      </c>
      <c r="BK1571" t="s">
        <v>96</v>
      </c>
      <c r="BL1571" t="s">
        <v>7288</v>
      </c>
      <c r="BM1571" t="s">
        <v>25624</v>
      </c>
      <c r="BR1571" t="s">
        <v>98</v>
      </c>
      <c r="BS1571" t="s">
        <v>25625</v>
      </c>
      <c r="BT1571" t="s">
        <v>16602</v>
      </c>
    </row>
    <row r="1572" spans="1:72">
      <c r="A1572" t="s">
        <v>72</v>
      </c>
      <c r="B1572" t="s">
        <v>25626</v>
      </c>
      <c r="F1572" t="s">
        <v>25627</v>
      </c>
      <c r="I1572" t="s">
        <v>25628</v>
      </c>
      <c r="J1572" t="s">
        <v>11045</v>
      </c>
      <c r="M1572" t="s">
        <v>78</v>
      </c>
      <c r="N1572" t="s">
        <v>79</v>
      </c>
      <c r="U1572" t="s">
        <v>25629</v>
      </c>
      <c r="V1572" t="s">
        <v>25630</v>
      </c>
      <c r="W1572" t="s">
        <v>25631</v>
      </c>
      <c r="X1572" t="s">
        <v>20148</v>
      </c>
      <c r="Y1572" t="s">
        <v>25632</v>
      </c>
      <c r="Z1572" t="s">
        <v>25633</v>
      </c>
      <c r="AC1572" t="s">
        <v>25634</v>
      </c>
      <c r="AD1572" t="s">
        <v>25634</v>
      </c>
      <c r="AE1572" t="s">
        <v>25635</v>
      </c>
      <c r="AG1572">
        <v>48</v>
      </c>
      <c r="AH1572">
        <v>6</v>
      </c>
      <c r="AI1572">
        <v>6</v>
      </c>
      <c r="AJ1572">
        <v>1</v>
      </c>
      <c r="AK1572">
        <v>36</v>
      </c>
      <c r="AL1572" t="s">
        <v>11056</v>
      </c>
      <c r="AM1572" t="s">
        <v>11057</v>
      </c>
      <c r="AN1572" t="s">
        <v>11058</v>
      </c>
      <c r="AO1572" t="s">
        <v>11059</v>
      </c>
      <c r="AR1572" t="s">
        <v>11045</v>
      </c>
      <c r="AS1572" t="s">
        <v>11060</v>
      </c>
      <c r="AT1572" t="s">
        <v>25636</v>
      </c>
      <c r="AU1572">
        <v>2014</v>
      </c>
      <c r="AV1572">
        <v>9</v>
      </c>
      <c r="AW1572">
        <v>3</v>
      </c>
      <c r="BD1572" t="s">
        <v>25637</v>
      </c>
      <c r="BE1572" t="s">
        <v>25638</v>
      </c>
      <c r="BF1572" t="s">
        <v>25639</v>
      </c>
      <c r="BI1572">
        <v>13</v>
      </c>
      <c r="BJ1572" t="s">
        <v>3202</v>
      </c>
      <c r="BK1572" t="s">
        <v>96</v>
      </c>
      <c r="BL1572" t="s">
        <v>3203</v>
      </c>
      <c r="BM1572" t="s">
        <v>25640</v>
      </c>
      <c r="BN1572">
        <v>24663964</v>
      </c>
      <c r="BO1572" t="s">
        <v>5306</v>
      </c>
      <c r="BR1572" t="s">
        <v>98</v>
      </c>
      <c r="BS1572" t="s">
        <v>25641</v>
      </c>
      <c r="BT1572" t="s">
        <v>16602</v>
      </c>
    </row>
    <row r="1573" spans="1:72">
      <c r="A1573" t="s">
        <v>72</v>
      </c>
      <c r="B1573" t="s">
        <v>25642</v>
      </c>
      <c r="F1573" t="s">
        <v>25643</v>
      </c>
      <c r="I1573" t="s">
        <v>25644</v>
      </c>
      <c r="J1573" t="s">
        <v>752</v>
      </c>
      <c r="M1573" t="s">
        <v>78</v>
      </c>
      <c r="N1573" t="s">
        <v>79</v>
      </c>
      <c r="T1573" t="s">
        <v>25645</v>
      </c>
      <c r="U1573" t="s">
        <v>25646</v>
      </c>
      <c r="V1573" t="s">
        <v>25647</v>
      </c>
      <c r="W1573" t="s">
        <v>25648</v>
      </c>
      <c r="X1573" t="s">
        <v>25649</v>
      </c>
      <c r="Y1573" t="s">
        <v>25650</v>
      </c>
      <c r="Z1573" t="s">
        <v>25651</v>
      </c>
      <c r="AA1573" t="s">
        <v>25652</v>
      </c>
      <c r="AC1573" t="s">
        <v>25653</v>
      </c>
      <c r="AD1573" t="s">
        <v>25654</v>
      </c>
      <c r="AE1573" t="s">
        <v>25655</v>
      </c>
      <c r="AG1573">
        <v>78</v>
      </c>
      <c r="AH1573">
        <v>7</v>
      </c>
      <c r="AI1573">
        <v>7</v>
      </c>
      <c r="AJ1573">
        <v>1</v>
      </c>
      <c r="AK1573">
        <v>25</v>
      </c>
      <c r="AL1573" t="s">
        <v>430</v>
      </c>
      <c r="AM1573" t="s">
        <v>137</v>
      </c>
      <c r="AN1573" t="s">
        <v>431</v>
      </c>
      <c r="AO1573" t="s">
        <v>761</v>
      </c>
      <c r="AP1573" t="s">
        <v>762</v>
      </c>
      <c r="AR1573" t="s">
        <v>763</v>
      </c>
      <c r="AS1573" t="s">
        <v>764</v>
      </c>
      <c r="AT1573" t="s">
        <v>224</v>
      </c>
      <c r="AU1573">
        <v>2020</v>
      </c>
      <c r="AV1573">
        <v>154</v>
      </c>
      <c r="BD1573">
        <v>104848</v>
      </c>
      <c r="BE1573" t="s">
        <v>25656</v>
      </c>
      <c r="BF1573" t="s">
        <v>25657</v>
      </c>
      <c r="BI1573">
        <v>11</v>
      </c>
      <c r="BJ1573" t="s">
        <v>768</v>
      </c>
      <c r="BK1573" t="s">
        <v>96</v>
      </c>
      <c r="BL1573" t="s">
        <v>769</v>
      </c>
      <c r="BM1573" t="s">
        <v>25658</v>
      </c>
      <c r="BN1573">
        <v>32056703</v>
      </c>
      <c r="BR1573" t="s">
        <v>98</v>
      </c>
      <c r="BS1573" t="s">
        <v>25659</v>
      </c>
      <c r="BT1573" t="s">
        <v>16602</v>
      </c>
    </row>
    <row r="1574" spans="1:72">
      <c r="A1574" t="s">
        <v>72</v>
      </c>
      <c r="B1574" t="s">
        <v>25660</v>
      </c>
      <c r="F1574" t="s">
        <v>25660</v>
      </c>
      <c r="I1574" t="s">
        <v>25661</v>
      </c>
      <c r="J1574" t="s">
        <v>1097</v>
      </c>
      <c r="M1574" t="s">
        <v>78</v>
      </c>
      <c r="N1574" t="s">
        <v>79</v>
      </c>
      <c r="V1574" t="s">
        <v>25662</v>
      </c>
      <c r="W1574" t="s">
        <v>25663</v>
      </c>
      <c r="AG1574">
        <v>31</v>
      </c>
      <c r="AH1574">
        <v>72</v>
      </c>
      <c r="AI1574">
        <v>76</v>
      </c>
      <c r="AJ1574">
        <v>0</v>
      </c>
      <c r="AK1574">
        <v>1</v>
      </c>
      <c r="AL1574" t="s">
        <v>217</v>
      </c>
      <c r="AM1574" t="s">
        <v>218</v>
      </c>
      <c r="AN1574" t="s">
        <v>219</v>
      </c>
      <c r="AO1574" t="s">
        <v>1100</v>
      </c>
      <c r="AP1574" t="s">
        <v>1101</v>
      </c>
      <c r="AR1574" t="s">
        <v>1102</v>
      </c>
      <c r="AS1574" t="s">
        <v>1103</v>
      </c>
      <c r="AU1574">
        <v>1979</v>
      </c>
      <c r="AV1574">
        <v>55</v>
      </c>
      <c r="AW1574">
        <v>2</v>
      </c>
      <c r="BB1574">
        <v>133</v>
      </c>
      <c r="BC1574">
        <v>141</v>
      </c>
      <c r="BE1574" t="s">
        <v>25664</v>
      </c>
      <c r="BF1574" t="s">
        <v>25665</v>
      </c>
      <c r="BI1574">
        <v>9</v>
      </c>
      <c r="BJ1574" t="s">
        <v>680</v>
      </c>
      <c r="BK1574" t="s">
        <v>96</v>
      </c>
      <c r="BL1574" t="s">
        <v>680</v>
      </c>
      <c r="BM1574" t="s">
        <v>25666</v>
      </c>
      <c r="BR1574" t="s">
        <v>98</v>
      </c>
      <c r="BS1574" t="s">
        <v>25667</v>
      </c>
      <c r="BT1574" t="s">
        <v>16602</v>
      </c>
    </row>
    <row r="1575" spans="1:72">
      <c r="A1575" t="s">
        <v>72</v>
      </c>
      <c r="B1575" t="s">
        <v>25668</v>
      </c>
      <c r="F1575" t="s">
        <v>25669</v>
      </c>
      <c r="I1575" t="s">
        <v>25670</v>
      </c>
      <c r="J1575" t="s">
        <v>704</v>
      </c>
      <c r="M1575" t="s">
        <v>78</v>
      </c>
      <c r="N1575" t="s">
        <v>79</v>
      </c>
      <c r="T1575" t="s">
        <v>25671</v>
      </c>
      <c r="U1575" t="s">
        <v>25672</v>
      </c>
      <c r="V1575" t="s">
        <v>25673</v>
      </c>
      <c r="W1575" t="s">
        <v>25674</v>
      </c>
      <c r="Y1575" t="s">
        <v>25675</v>
      </c>
      <c r="Z1575" t="s">
        <v>25676</v>
      </c>
      <c r="AA1575" t="s">
        <v>25677</v>
      </c>
      <c r="AB1575" t="s">
        <v>25678</v>
      </c>
      <c r="AC1575" t="s">
        <v>25679</v>
      </c>
      <c r="AD1575" t="s">
        <v>25679</v>
      </c>
      <c r="AE1575" t="s">
        <v>25680</v>
      </c>
      <c r="AG1575">
        <v>41</v>
      </c>
      <c r="AH1575">
        <v>5</v>
      </c>
      <c r="AI1575">
        <v>5</v>
      </c>
      <c r="AJ1575">
        <v>1</v>
      </c>
      <c r="AK1575">
        <v>27</v>
      </c>
      <c r="AL1575" t="s">
        <v>112</v>
      </c>
      <c r="AM1575" t="s">
        <v>191</v>
      </c>
      <c r="AN1575" t="s">
        <v>192</v>
      </c>
      <c r="AO1575" t="s">
        <v>718</v>
      </c>
      <c r="AP1575" t="s">
        <v>1169</v>
      </c>
      <c r="AR1575" t="s">
        <v>719</v>
      </c>
      <c r="AS1575" t="s">
        <v>720</v>
      </c>
      <c r="AT1575" t="s">
        <v>1223</v>
      </c>
      <c r="AU1575">
        <v>2014</v>
      </c>
      <c r="AV1575">
        <v>225</v>
      </c>
      <c r="AW1575">
        <v>3</v>
      </c>
      <c r="BD1575">
        <v>1885</v>
      </c>
      <c r="BE1575" t="s">
        <v>25681</v>
      </c>
      <c r="BF1575" t="s">
        <v>25682</v>
      </c>
      <c r="BI1575">
        <v>11</v>
      </c>
      <c r="BJ1575" t="s">
        <v>722</v>
      </c>
      <c r="BK1575" t="s">
        <v>96</v>
      </c>
      <c r="BL1575" t="s">
        <v>723</v>
      </c>
      <c r="BM1575" t="s">
        <v>25683</v>
      </c>
      <c r="BR1575" t="s">
        <v>98</v>
      </c>
      <c r="BS1575" t="s">
        <v>25684</v>
      </c>
      <c r="BT1575" t="s">
        <v>16602</v>
      </c>
    </row>
    <row r="1576" spans="1:72">
      <c r="A1576" t="s">
        <v>72</v>
      </c>
      <c r="B1576" t="s">
        <v>25685</v>
      </c>
      <c r="F1576" t="s">
        <v>25685</v>
      </c>
      <c r="I1576" t="s">
        <v>25686</v>
      </c>
      <c r="J1576" t="s">
        <v>25687</v>
      </c>
      <c r="M1576" t="s">
        <v>78</v>
      </c>
      <c r="N1576" t="s">
        <v>151</v>
      </c>
      <c r="O1576" t="s">
        <v>25688</v>
      </c>
      <c r="P1576" t="s">
        <v>25689</v>
      </c>
      <c r="Q1576" t="s">
        <v>25690</v>
      </c>
      <c r="U1576" t="s">
        <v>25691</v>
      </c>
      <c r="V1576" t="s">
        <v>25692</v>
      </c>
      <c r="W1576" t="s">
        <v>25693</v>
      </c>
      <c r="X1576" t="s">
        <v>25694</v>
      </c>
      <c r="Y1576" t="s">
        <v>25695</v>
      </c>
      <c r="Z1576" t="s">
        <v>25696</v>
      </c>
      <c r="AA1576" t="s">
        <v>25697</v>
      </c>
      <c r="AB1576" t="s">
        <v>25698</v>
      </c>
      <c r="AG1576">
        <v>39</v>
      </c>
      <c r="AH1576">
        <v>30</v>
      </c>
      <c r="AI1576">
        <v>37</v>
      </c>
      <c r="AJ1576">
        <v>0</v>
      </c>
      <c r="AK1576">
        <v>20</v>
      </c>
      <c r="AL1576" t="s">
        <v>25699</v>
      </c>
      <c r="AM1576" t="s">
        <v>25700</v>
      </c>
      <c r="AN1576" t="s">
        <v>25701</v>
      </c>
      <c r="AO1576" t="s">
        <v>25702</v>
      </c>
      <c r="AP1576" t="s">
        <v>25703</v>
      </c>
      <c r="AR1576" t="s">
        <v>25704</v>
      </c>
      <c r="AS1576" t="s">
        <v>25705</v>
      </c>
      <c r="AT1576" t="s">
        <v>224</v>
      </c>
      <c r="AU1576">
        <v>2005</v>
      </c>
      <c r="AV1576">
        <v>45</v>
      </c>
      <c r="AW1576">
        <v>1</v>
      </c>
      <c r="BB1576">
        <v>72</v>
      </c>
      <c r="BC1576">
        <v>80</v>
      </c>
      <c r="BE1576" t="s">
        <v>25706</v>
      </c>
      <c r="BF1576" t="s">
        <v>25707</v>
      </c>
      <c r="BI1576">
        <v>9</v>
      </c>
      <c r="BJ1576" t="s">
        <v>2210</v>
      </c>
      <c r="BK1576" t="s">
        <v>172</v>
      </c>
      <c r="BL1576" t="s">
        <v>2210</v>
      </c>
      <c r="BM1576" t="s">
        <v>25708</v>
      </c>
      <c r="BN1576">
        <v>21676747</v>
      </c>
      <c r="BO1576" t="s">
        <v>370</v>
      </c>
      <c r="BR1576" t="s">
        <v>98</v>
      </c>
      <c r="BS1576" t="s">
        <v>25709</v>
      </c>
      <c r="BT1576" t="s">
        <v>16602</v>
      </c>
    </row>
    <row r="1577" spans="1:72">
      <c r="A1577" t="s">
        <v>72</v>
      </c>
      <c r="B1577" t="s">
        <v>25710</v>
      </c>
      <c r="F1577" t="s">
        <v>25710</v>
      </c>
      <c r="I1577" t="s">
        <v>25711</v>
      </c>
      <c r="J1577" t="s">
        <v>421</v>
      </c>
      <c r="M1577" t="s">
        <v>78</v>
      </c>
      <c r="N1577" t="s">
        <v>79</v>
      </c>
      <c r="T1577" t="s">
        <v>25712</v>
      </c>
      <c r="U1577" t="s">
        <v>25713</v>
      </c>
      <c r="V1577" t="s">
        <v>25714</v>
      </c>
      <c r="W1577" t="s">
        <v>25715</v>
      </c>
      <c r="X1577" t="s">
        <v>25716</v>
      </c>
      <c r="Y1577" t="s">
        <v>25717</v>
      </c>
      <c r="Z1577" t="s">
        <v>25718</v>
      </c>
      <c r="AA1577" t="s">
        <v>25719</v>
      </c>
      <c r="AG1577">
        <v>46</v>
      </c>
      <c r="AH1577">
        <v>46</v>
      </c>
      <c r="AI1577">
        <v>53</v>
      </c>
      <c r="AJ1577">
        <v>1</v>
      </c>
      <c r="AK1577">
        <v>13</v>
      </c>
      <c r="AL1577" t="s">
        <v>430</v>
      </c>
      <c r="AM1577" t="s">
        <v>137</v>
      </c>
      <c r="AN1577" t="s">
        <v>431</v>
      </c>
      <c r="AO1577" t="s">
        <v>432</v>
      </c>
      <c r="AP1577" t="s">
        <v>1394</v>
      </c>
      <c r="AR1577" t="s">
        <v>433</v>
      </c>
      <c r="AS1577" t="s">
        <v>434</v>
      </c>
      <c r="AU1577">
        <v>2002</v>
      </c>
      <c r="AV1577">
        <v>120</v>
      </c>
      <c r="AW1577">
        <v>3</v>
      </c>
      <c r="BB1577">
        <v>595</v>
      </c>
      <c r="BC1577">
        <v>608</v>
      </c>
      <c r="BD1577" t="s">
        <v>25720</v>
      </c>
      <c r="BE1577" t="s">
        <v>25721</v>
      </c>
      <c r="BF1577" t="s">
        <v>25722</v>
      </c>
      <c r="BI1577">
        <v>14</v>
      </c>
      <c r="BJ1577" t="s">
        <v>144</v>
      </c>
      <c r="BK1577" t="s">
        <v>96</v>
      </c>
      <c r="BL1577" t="s">
        <v>145</v>
      </c>
      <c r="BM1577" t="s">
        <v>25723</v>
      </c>
      <c r="BN1577">
        <v>12442783</v>
      </c>
      <c r="BR1577" t="s">
        <v>98</v>
      </c>
      <c r="BS1577" t="s">
        <v>25724</v>
      </c>
      <c r="BT1577" t="s">
        <v>16602</v>
      </c>
    </row>
    <row r="1578" spans="1:72">
      <c r="A1578" t="s">
        <v>72</v>
      </c>
      <c r="B1578" t="s">
        <v>25725</v>
      </c>
      <c r="F1578" t="s">
        <v>25725</v>
      </c>
      <c r="I1578" t="s">
        <v>25726</v>
      </c>
      <c r="J1578" t="s">
        <v>554</v>
      </c>
      <c r="M1578" t="s">
        <v>78</v>
      </c>
      <c r="N1578" t="s">
        <v>79</v>
      </c>
      <c r="T1578" t="s">
        <v>25727</v>
      </c>
      <c r="U1578" t="s">
        <v>25728</v>
      </c>
      <c r="V1578" t="s">
        <v>25729</v>
      </c>
      <c r="W1578" t="s">
        <v>25730</v>
      </c>
      <c r="X1578" t="s">
        <v>25731</v>
      </c>
      <c r="Y1578" t="s">
        <v>25732</v>
      </c>
      <c r="Z1578" t="s">
        <v>3249</v>
      </c>
      <c r="AA1578" t="s">
        <v>3250</v>
      </c>
      <c r="AB1578" t="s">
        <v>3251</v>
      </c>
      <c r="AG1578">
        <v>29</v>
      </c>
      <c r="AH1578">
        <v>146</v>
      </c>
      <c r="AI1578">
        <v>162</v>
      </c>
      <c r="AJ1578">
        <v>0</v>
      </c>
      <c r="AK1578">
        <v>10</v>
      </c>
      <c r="AL1578" t="s">
        <v>564</v>
      </c>
      <c r="AM1578" t="s">
        <v>113</v>
      </c>
      <c r="AN1578" t="s">
        <v>807</v>
      </c>
      <c r="AO1578" t="s">
        <v>566</v>
      </c>
      <c r="AP1578" t="s">
        <v>567</v>
      </c>
      <c r="AR1578" t="s">
        <v>568</v>
      </c>
      <c r="AS1578" t="s">
        <v>569</v>
      </c>
      <c r="AT1578" t="s">
        <v>267</v>
      </c>
      <c r="AU1578">
        <v>2001</v>
      </c>
      <c r="AV1578">
        <v>130</v>
      </c>
      <c r="AW1578">
        <v>2</v>
      </c>
      <c r="BB1578">
        <v>227</v>
      </c>
      <c r="BC1578">
        <v>235</v>
      </c>
      <c r="BE1578" t="s">
        <v>25733</v>
      </c>
      <c r="BF1578" t="s">
        <v>25734</v>
      </c>
      <c r="BI1578">
        <v>9</v>
      </c>
      <c r="BJ1578" t="s">
        <v>571</v>
      </c>
      <c r="BK1578" t="s">
        <v>96</v>
      </c>
      <c r="BL1578" t="s">
        <v>571</v>
      </c>
      <c r="BM1578" t="s">
        <v>25735</v>
      </c>
      <c r="BN1578">
        <v>11574292</v>
      </c>
      <c r="BR1578" t="s">
        <v>98</v>
      </c>
      <c r="BS1578" t="s">
        <v>25736</v>
      </c>
      <c r="BT1578" t="s">
        <v>16602</v>
      </c>
    </row>
    <row r="1579" spans="1:72">
      <c r="A1579" t="s">
        <v>72</v>
      </c>
      <c r="B1579" t="s">
        <v>25737</v>
      </c>
      <c r="F1579" t="s">
        <v>25738</v>
      </c>
      <c r="I1579" t="s">
        <v>25739</v>
      </c>
      <c r="J1579" t="s">
        <v>1811</v>
      </c>
      <c r="M1579" t="s">
        <v>78</v>
      </c>
      <c r="N1579" t="s">
        <v>79</v>
      </c>
      <c r="T1579" t="s">
        <v>25740</v>
      </c>
      <c r="U1579" t="s">
        <v>25741</v>
      </c>
      <c r="V1579" t="s">
        <v>25742</v>
      </c>
      <c r="W1579" t="s">
        <v>25743</v>
      </c>
      <c r="X1579" t="s">
        <v>25744</v>
      </c>
      <c r="Y1579" t="s">
        <v>25745</v>
      </c>
      <c r="Z1579" t="s">
        <v>25746</v>
      </c>
      <c r="AA1579" t="s">
        <v>8133</v>
      </c>
      <c r="AB1579" t="s">
        <v>8134</v>
      </c>
      <c r="AC1579" t="s">
        <v>25747</v>
      </c>
      <c r="AD1579" t="s">
        <v>25748</v>
      </c>
      <c r="AE1579" t="s">
        <v>25749</v>
      </c>
      <c r="AG1579">
        <v>39</v>
      </c>
      <c r="AH1579">
        <v>89</v>
      </c>
      <c r="AI1579">
        <v>90</v>
      </c>
      <c r="AJ1579">
        <v>0</v>
      </c>
      <c r="AK1579">
        <v>31</v>
      </c>
      <c r="AL1579" t="s">
        <v>430</v>
      </c>
      <c r="AM1579" t="s">
        <v>137</v>
      </c>
      <c r="AN1579" t="s">
        <v>431</v>
      </c>
      <c r="AO1579" t="s">
        <v>1820</v>
      </c>
      <c r="AR1579" t="s">
        <v>1821</v>
      </c>
      <c r="AS1579" t="s">
        <v>1822</v>
      </c>
      <c r="AT1579" t="s">
        <v>344</v>
      </c>
      <c r="AU1579">
        <v>2011</v>
      </c>
      <c r="AV1579">
        <v>127</v>
      </c>
      <c r="AW1579">
        <v>2</v>
      </c>
      <c r="BB1579">
        <v>632</v>
      </c>
      <c r="BC1579">
        <v>637</v>
      </c>
      <c r="BE1579" t="s">
        <v>25750</v>
      </c>
      <c r="BF1579" t="s">
        <v>25751</v>
      </c>
      <c r="BI1579">
        <v>6</v>
      </c>
      <c r="BJ1579" t="s">
        <v>1825</v>
      </c>
      <c r="BK1579" t="s">
        <v>96</v>
      </c>
      <c r="BL1579" t="s">
        <v>1826</v>
      </c>
      <c r="BM1579" t="s">
        <v>25752</v>
      </c>
      <c r="BN1579">
        <v>23140710</v>
      </c>
      <c r="BR1579" t="s">
        <v>98</v>
      </c>
      <c r="BS1579" t="s">
        <v>25753</v>
      </c>
      <c r="BT1579" t="s">
        <v>16602</v>
      </c>
    </row>
    <row r="1580" spans="1:72">
      <c r="A1580" t="s">
        <v>72</v>
      </c>
      <c r="B1580" t="s">
        <v>25754</v>
      </c>
      <c r="F1580" t="s">
        <v>25754</v>
      </c>
      <c r="I1580" t="s">
        <v>25755</v>
      </c>
      <c r="J1580" t="s">
        <v>232</v>
      </c>
      <c r="M1580" t="s">
        <v>78</v>
      </c>
      <c r="N1580" t="s">
        <v>79</v>
      </c>
      <c r="V1580" t="s">
        <v>25756</v>
      </c>
      <c r="W1580" t="s">
        <v>25757</v>
      </c>
      <c r="X1580" t="s">
        <v>9644</v>
      </c>
      <c r="Y1580" t="s">
        <v>25758</v>
      </c>
      <c r="AG1580">
        <v>20</v>
      </c>
      <c r="AH1580">
        <v>53</v>
      </c>
      <c r="AI1580">
        <v>57</v>
      </c>
      <c r="AJ1580">
        <v>0</v>
      </c>
      <c r="AK1580">
        <v>0</v>
      </c>
      <c r="AL1580" t="s">
        <v>136</v>
      </c>
      <c r="AM1580" t="s">
        <v>137</v>
      </c>
      <c r="AN1580" t="s">
        <v>138</v>
      </c>
      <c r="AO1580" t="s">
        <v>240</v>
      </c>
      <c r="AP1580" t="s">
        <v>241</v>
      </c>
      <c r="AR1580" t="s">
        <v>242</v>
      </c>
      <c r="AS1580" t="s">
        <v>243</v>
      </c>
      <c r="AU1580">
        <v>1982</v>
      </c>
      <c r="AV1580">
        <v>13</v>
      </c>
      <c r="AW1580">
        <v>9</v>
      </c>
      <c r="BB1580">
        <v>320</v>
      </c>
      <c r="BC1580">
        <v>323</v>
      </c>
      <c r="BE1580" t="s">
        <v>25759</v>
      </c>
      <c r="BF1580" t="s">
        <v>25760</v>
      </c>
      <c r="BI1580">
        <v>4</v>
      </c>
      <c r="BJ1580" t="s">
        <v>247</v>
      </c>
      <c r="BK1580" t="s">
        <v>96</v>
      </c>
      <c r="BL1580" t="s">
        <v>248</v>
      </c>
      <c r="BM1580" t="s">
        <v>25761</v>
      </c>
      <c r="BR1580" t="s">
        <v>98</v>
      </c>
      <c r="BS1580" t="s">
        <v>25762</v>
      </c>
      <c r="BT1580" t="s">
        <v>16602</v>
      </c>
    </row>
    <row r="1581" spans="1:72">
      <c r="A1581" t="s">
        <v>72</v>
      </c>
      <c r="B1581" t="s">
        <v>25763</v>
      </c>
      <c r="F1581" t="s">
        <v>25764</v>
      </c>
      <c r="I1581" t="s">
        <v>25765</v>
      </c>
      <c r="J1581" t="s">
        <v>421</v>
      </c>
      <c r="M1581" t="s">
        <v>78</v>
      </c>
      <c r="N1581" t="s">
        <v>79</v>
      </c>
      <c r="T1581" t="s">
        <v>25766</v>
      </c>
      <c r="U1581" t="s">
        <v>25767</v>
      </c>
      <c r="V1581" t="s">
        <v>25768</v>
      </c>
      <c r="W1581" t="s">
        <v>25769</v>
      </c>
      <c r="X1581" t="s">
        <v>25770</v>
      </c>
      <c r="Y1581" t="s">
        <v>25771</v>
      </c>
      <c r="Z1581" t="s">
        <v>25772</v>
      </c>
      <c r="AG1581">
        <v>55</v>
      </c>
      <c r="AH1581">
        <v>45</v>
      </c>
      <c r="AI1581">
        <v>52</v>
      </c>
      <c r="AJ1581">
        <v>6</v>
      </c>
      <c r="AK1581">
        <v>56</v>
      </c>
      <c r="AL1581" t="s">
        <v>430</v>
      </c>
      <c r="AM1581" t="s">
        <v>137</v>
      </c>
      <c r="AN1581" t="s">
        <v>431</v>
      </c>
      <c r="AO1581" t="s">
        <v>432</v>
      </c>
      <c r="AP1581" t="s">
        <v>1394</v>
      </c>
      <c r="AR1581" t="s">
        <v>433</v>
      </c>
      <c r="AS1581" t="s">
        <v>434</v>
      </c>
      <c r="AT1581" t="s">
        <v>305</v>
      </c>
      <c r="AU1581">
        <v>2007</v>
      </c>
      <c r="AV1581">
        <v>149</v>
      </c>
      <c r="AW1581">
        <v>2</v>
      </c>
      <c r="BB1581">
        <v>209</v>
      </c>
      <c r="BC1581">
        <v>215</v>
      </c>
      <c r="BE1581" t="s">
        <v>25773</v>
      </c>
      <c r="BF1581" t="s">
        <v>25774</v>
      </c>
      <c r="BI1581">
        <v>7</v>
      </c>
      <c r="BJ1581" t="s">
        <v>144</v>
      </c>
      <c r="BK1581" t="s">
        <v>96</v>
      </c>
      <c r="BL1581" t="s">
        <v>145</v>
      </c>
      <c r="BM1581" t="s">
        <v>25775</v>
      </c>
      <c r="BN1581">
        <v>17321653</v>
      </c>
      <c r="BR1581" t="s">
        <v>98</v>
      </c>
      <c r="BS1581" t="s">
        <v>25776</v>
      </c>
      <c r="BT1581" t="s">
        <v>16602</v>
      </c>
    </row>
    <row r="1582" spans="1:72">
      <c r="A1582" t="s">
        <v>72</v>
      </c>
      <c r="B1582" t="s">
        <v>25777</v>
      </c>
      <c r="F1582" t="s">
        <v>25777</v>
      </c>
      <c r="I1582" t="s">
        <v>25778</v>
      </c>
      <c r="J1582" t="s">
        <v>232</v>
      </c>
      <c r="M1582" t="s">
        <v>78</v>
      </c>
      <c r="N1582" t="s">
        <v>79</v>
      </c>
      <c r="V1582" t="s">
        <v>25779</v>
      </c>
      <c r="Y1582" t="s">
        <v>25780</v>
      </c>
      <c r="AA1582" t="s">
        <v>25781</v>
      </c>
      <c r="AG1582">
        <v>0</v>
      </c>
      <c r="AH1582">
        <v>16</v>
      </c>
      <c r="AI1582">
        <v>16</v>
      </c>
      <c r="AJ1582">
        <v>0</v>
      </c>
      <c r="AK1582">
        <v>2</v>
      </c>
      <c r="AL1582" t="s">
        <v>136</v>
      </c>
      <c r="AM1582" t="s">
        <v>137</v>
      </c>
      <c r="AN1582" t="s">
        <v>138</v>
      </c>
      <c r="AO1582" t="s">
        <v>240</v>
      </c>
      <c r="AP1582" t="s">
        <v>241</v>
      </c>
      <c r="AR1582" t="s">
        <v>242</v>
      </c>
      <c r="AS1582" t="s">
        <v>243</v>
      </c>
      <c r="AU1582">
        <v>1978</v>
      </c>
      <c r="AV1582">
        <v>9</v>
      </c>
      <c r="AW1582">
        <v>8</v>
      </c>
      <c r="BB1582">
        <v>214</v>
      </c>
      <c r="BC1582">
        <v>217</v>
      </c>
      <c r="BE1582" t="s">
        <v>25782</v>
      </c>
      <c r="BF1582" t="s">
        <v>25783</v>
      </c>
      <c r="BI1582">
        <v>4</v>
      </c>
      <c r="BJ1582" t="s">
        <v>247</v>
      </c>
      <c r="BK1582" t="s">
        <v>96</v>
      </c>
      <c r="BL1582" t="s">
        <v>248</v>
      </c>
      <c r="BM1582" t="s">
        <v>25784</v>
      </c>
      <c r="BR1582" t="s">
        <v>98</v>
      </c>
      <c r="BS1582" t="s">
        <v>25785</v>
      </c>
      <c r="BT1582" t="s">
        <v>16602</v>
      </c>
    </row>
    <row r="1583" spans="1:72">
      <c r="A1583" t="s">
        <v>72</v>
      </c>
      <c r="B1583" t="s">
        <v>25786</v>
      </c>
      <c r="F1583" t="s">
        <v>25787</v>
      </c>
      <c r="I1583" t="s">
        <v>25788</v>
      </c>
      <c r="J1583" t="s">
        <v>2562</v>
      </c>
      <c r="M1583" t="s">
        <v>78</v>
      </c>
      <c r="N1583" t="s">
        <v>79</v>
      </c>
      <c r="T1583" t="s">
        <v>25789</v>
      </c>
      <c r="U1583" t="s">
        <v>25790</v>
      </c>
      <c r="V1583" t="s">
        <v>25791</v>
      </c>
      <c r="W1583" t="s">
        <v>25792</v>
      </c>
      <c r="X1583" t="s">
        <v>16379</v>
      </c>
      <c r="Y1583" t="s">
        <v>25793</v>
      </c>
      <c r="Z1583" t="s">
        <v>25794</v>
      </c>
      <c r="AA1583" t="s">
        <v>25795</v>
      </c>
      <c r="AB1583" t="s">
        <v>25796</v>
      </c>
      <c r="AC1583" t="s">
        <v>25797</v>
      </c>
      <c r="AD1583" t="s">
        <v>25798</v>
      </c>
      <c r="AE1583" t="s">
        <v>25799</v>
      </c>
      <c r="AG1583">
        <v>31</v>
      </c>
      <c r="AH1583">
        <v>17</v>
      </c>
      <c r="AI1583">
        <v>18</v>
      </c>
      <c r="AJ1583">
        <v>0</v>
      </c>
      <c r="AK1583">
        <v>14</v>
      </c>
      <c r="AL1583" t="s">
        <v>2074</v>
      </c>
      <c r="AM1583" t="s">
        <v>2075</v>
      </c>
      <c r="AN1583" t="s">
        <v>2076</v>
      </c>
      <c r="AO1583" t="s">
        <v>2569</v>
      </c>
      <c r="AP1583" t="s">
        <v>2570</v>
      </c>
      <c r="AR1583" t="s">
        <v>2571</v>
      </c>
      <c r="AS1583" t="s">
        <v>2572</v>
      </c>
      <c r="AU1583">
        <v>2008</v>
      </c>
      <c r="AV1583">
        <v>20</v>
      </c>
      <c r="AW1583">
        <v>4</v>
      </c>
      <c r="BB1583">
        <v>227</v>
      </c>
      <c r="BC1583">
        <v>237</v>
      </c>
      <c r="BE1583" t="s">
        <v>25800</v>
      </c>
      <c r="BF1583" t="s">
        <v>25801</v>
      </c>
      <c r="BI1583">
        <v>11</v>
      </c>
      <c r="BJ1583" t="s">
        <v>2574</v>
      </c>
      <c r="BK1583" t="s">
        <v>96</v>
      </c>
      <c r="BL1583" t="s">
        <v>2575</v>
      </c>
      <c r="BM1583" t="s">
        <v>25802</v>
      </c>
      <c r="BO1583" t="s">
        <v>25803</v>
      </c>
      <c r="BR1583" t="s">
        <v>98</v>
      </c>
      <c r="BS1583" t="s">
        <v>25804</v>
      </c>
      <c r="BT1583" t="s">
        <v>16602</v>
      </c>
    </row>
    <row r="1584" spans="1:72">
      <c r="A1584" t="s">
        <v>72</v>
      </c>
      <c r="B1584" t="s">
        <v>25805</v>
      </c>
      <c r="F1584" t="s">
        <v>25806</v>
      </c>
      <c r="I1584" t="s">
        <v>25807</v>
      </c>
      <c r="J1584" t="s">
        <v>3349</v>
      </c>
      <c r="M1584" t="s">
        <v>78</v>
      </c>
      <c r="N1584" t="s">
        <v>79</v>
      </c>
      <c r="T1584" t="s">
        <v>25808</v>
      </c>
      <c r="U1584" t="s">
        <v>25809</v>
      </c>
      <c r="V1584" t="s">
        <v>25810</v>
      </c>
      <c r="W1584" t="s">
        <v>25811</v>
      </c>
      <c r="X1584" t="s">
        <v>25812</v>
      </c>
      <c r="Y1584" t="s">
        <v>25813</v>
      </c>
      <c r="Z1584" t="s">
        <v>25814</v>
      </c>
      <c r="AA1584" t="s">
        <v>25815</v>
      </c>
      <c r="AC1584" t="s">
        <v>25816</v>
      </c>
      <c r="AD1584" t="s">
        <v>25817</v>
      </c>
      <c r="AE1584" t="s">
        <v>25818</v>
      </c>
      <c r="AG1584">
        <v>29</v>
      </c>
      <c r="AH1584">
        <v>28</v>
      </c>
      <c r="AI1584">
        <v>34</v>
      </c>
      <c r="AJ1584">
        <v>0</v>
      </c>
      <c r="AK1584">
        <v>45</v>
      </c>
      <c r="AL1584" t="s">
        <v>3362</v>
      </c>
      <c r="AM1584" t="s">
        <v>3363</v>
      </c>
      <c r="AN1584" t="s">
        <v>3364</v>
      </c>
      <c r="AO1584" t="s">
        <v>3365</v>
      </c>
      <c r="AP1584" t="s">
        <v>3366</v>
      </c>
      <c r="AR1584" t="s">
        <v>3367</v>
      </c>
      <c r="AS1584" t="s">
        <v>3368</v>
      </c>
      <c r="AT1584" t="s">
        <v>119</v>
      </c>
      <c r="AU1584">
        <v>2015</v>
      </c>
      <c r="AV1584">
        <v>118</v>
      </c>
      <c r="BB1584">
        <v>47</v>
      </c>
      <c r="BC1584">
        <v>54</v>
      </c>
      <c r="BE1584" t="s">
        <v>25819</v>
      </c>
      <c r="BF1584" t="s">
        <v>25820</v>
      </c>
      <c r="BI1584">
        <v>8</v>
      </c>
      <c r="BJ1584" t="s">
        <v>121</v>
      </c>
      <c r="BK1584" t="s">
        <v>96</v>
      </c>
      <c r="BL1584" t="s">
        <v>122</v>
      </c>
      <c r="BM1584" t="s">
        <v>25821</v>
      </c>
      <c r="BN1584">
        <v>25910687</v>
      </c>
      <c r="BR1584" t="s">
        <v>98</v>
      </c>
      <c r="BS1584" t="s">
        <v>25822</v>
      </c>
      <c r="BT1584" t="s">
        <v>16602</v>
      </c>
    </row>
    <row r="1585" spans="1:72">
      <c r="A1585" t="s">
        <v>72</v>
      </c>
      <c r="B1585" t="s">
        <v>25823</v>
      </c>
      <c r="F1585" t="s">
        <v>25824</v>
      </c>
      <c r="I1585" t="s">
        <v>25825</v>
      </c>
      <c r="J1585" t="s">
        <v>421</v>
      </c>
      <c r="M1585" t="s">
        <v>78</v>
      </c>
      <c r="N1585" t="s">
        <v>79</v>
      </c>
      <c r="T1585" t="s">
        <v>25826</v>
      </c>
      <c r="U1585" t="s">
        <v>25827</v>
      </c>
      <c r="V1585" t="s">
        <v>25828</v>
      </c>
      <c r="W1585" t="s">
        <v>25829</v>
      </c>
      <c r="X1585" t="s">
        <v>25830</v>
      </c>
      <c r="Y1585" t="s">
        <v>25831</v>
      </c>
      <c r="Z1585" t="s">
        <v>14843</v>
      </c>
      <c r="AA1585" t="s">
        <v>25832</v>
      </c>
      <c r="AB1585" t="s">
        <v>25833</v>
      </c>
      <c r="AC1585" t="s">
        <v>25834</v>
      </c>
      <c r="AD1585" t="s">
        <v>25835</v>
      </c>
      <c r="AE1585" t="s">
        <v>25836</v>
      </c>
      <c r="AG1585">
        <v>111</v>
      </c>
      <c r="AH1585">
        <v>6</v>
      </c>
      <c r="AI1585">
        <v>6</v>
      </c>
      <c r="AJ1585">
        <v>11</v>
      </c>
      <c r="AK1585">
        <v>82</v>
      </c>
      <c r="AL1585" t="s">
        <v>430</v>
      </c>
      <c r="AM1585" t="s">
        <v>137</v>
      </c>
      <c r="AN1585" t="s">
        <v>431</v>
      </c>
      <c r="AO1585" t="s">
        <v>432</v>
      </c>
      <c r="AP1585" t="s">
        <v>1394</v>
      </c>
      <c r="AR1585" t="s">
        <v>433</v>
      </c>
      <c r="AS1585" t="s">
        <v>434</v>
      </c>
      <c r="AT1585" t="s">
        <v>3237</v>
      </c>
      <c r="AU1585">
        <v>2021</v>
      </c>
      <c r="AV1585">
        <v>284</v>
      </c>
      <c r="BD1585">
        <v>117533</v>
      </c>
      <c r="BE1585" t="s">
        <v>25837</v>
      </c>
      <c r="BF1585" t="s">
        <v>25838</v>
      </c>
      <c r="BH1585" t="s">
        <v>4940</v>
      </c>
      <c r="BI1585">
        <v>12</v>
      </c>
      <c r="BJ1585" t="s">
        <v>144</v>
      </c>
      <c r="BK1585" t="s">
        <v>96</v>
      </c>
      <c r="BL1585" t="s">
        <v>145</v>
      </c>
      <c r="BM1585" t="s">
        <v>25839</v>
      </c>
      <c r="BN1585">
        <v>34261227</v>
      </c>
      <c r="BR1585" t="s">
        <v>98</v>
      </c>
      <c r="BS1585" t="s">
        <v>25840</v>
      </c>
      <c r="BT1585" t="s">
        <v>16602</v>
      </c>
    </row>
    <row r="1586" spans="1:72">
      <c r="A1586" t="s">
        <v>72</v>
      </c>
      <c r="B1586" t="s">
        <v>25841</v>
      </c>
      <c r="F1586" t="s">
        <v>25842</v>
      </c>
      <c r="I1586" t="s">
        <v>25843</v>
      </c>
      <c r="J1586" t="s">
        <v>16746</v>
      </c>
      <c r="M1586" t="s">
        <v>78</v>
      </c>
      <c r="N1586" t="s">
        <v>79</v>
      </c>
      <c r="T1586" t="s">
        <v>25844</v>
      </c>
      <c r="U1586" t="s">
        <v>25845</v>
      </c>
      <c r="V1586" t="s">
        <v>25846</v>
      </c>
      <c r="W1586" t="s">
        <v>25847</v>
      </c>
      <c r="X1586" t="s">
        <v>25848</v>
      </c>
      <c r="Y1586" t="s">
        <v>25849</v>
      </c>
      <c r="Z1586" t="s">
        <v>25850</v>
      </c>
      <c r="AA1586" t="s">
        <v>25851</v>
      </c>
      <c r="AC1586" t="s">
        <v>25852</v>
      </c>
      <c r="AD1586" t="s">
        <v>25853</v>
      </c>
      <c r="AE1586" t="s">
        <v>25854</v>
      </c>
      <c r="AG1586">
        <v>33</v>
      </c>
      <c r="AH1586">
        <v>9</v>
      </c>
      <c r="AI1586">
        <v>9</v>
      </c>
      <c r="AJ1586">
        <v>0</v>
      </c>
      <c r="AK1586">
        <v>9</v>
      </c>
      <c r="AL1586" t="s">
        <v>16746</v>
      </c>
      <c r="AM1586" t="s">
        <v>16754</v>
      </c>
      <c r="AN1586" t="s">
        <v>16755</v>
      </c>
      <c r="AO1586" t="s">
        <v>16756</v>
      </c>
      <c r="AP1586" t="s">
        <v>16757</v>
      </c>
      <c r="AR1586" t="s">
        <v>16758</v>
      </c>
      <c r="AS1586" t="s">
        <v>16759</v>
      </c>
      <c r="AU1586">
        <v>2017</v>
      </c>
      <c r="AV1586">
        <v>58</v>
      </c>
      <c r="AW1586">
        <v>2</v>
      </c>
      <c r="BB1586">
        <v>123</v>
      </c>
      <c r="BC1586">
        <v>135</v>
      </c>
      <c r="BE1586" t="s">
        <v>25855</v>
      </c>
      <c r="BF1586" t="s">
        <v>25856</v>
      </c>
      <c r="BI1586">
        <v>13</v>
      </c>
      <c r="BJ1586" t="s">
        <v>680</v>
      </c>
      <c r="BK1586" t="s">
        <v>96</v>
      </c>
      <c r="BL1586" t="s">
        <v>680</v>
      </c>
      <c r="BM1586" t="s">
        <v>25857</v>
      </c>
      <c r="BR1586" t="s">
        <v>98</v>
      </c>
      <c r="BS1586" t="s">
        <v>25858</v>
      </c>
      <c r="BT1586" t="s">
        <v>16602</v>
      </c>
    </row>
    <row r="1587" spans="1:72">
      <c r="A1587" t="s">
        <v>72</v>
      </c>
      <c r="B1587" t="s">
        <v>25859</v>
      </c>
      <c r="F1587" t="s">
        <v>25860</v>
      </c>
      <c r="I1587" t="s">
        <v>25861</v>
      </c>
      <c r="J1587" t="s">
        <v>7097</v>
      </c>
      <c r="M1587" t="s">
        <v>78</v>
      </c>
      <c r="N1587" t="s">
        <v>79</v>
      </c>
      <c r="T1587" t="s">
        <v>25862</v>
      </c>
      <c r="U1587" t="s">
        <v>25863</v>
      </c>
      <c r="V1587" t="s">
        <v>25864</v>
      </c>
      <c r="W1587" t="s">
        <v>25865</v>
      </c>
      <c r="X1587" t="s">
        <v>23221</v>
      </c>
      <c r="Y1587" t="s">
        <v>25866</v>
      </c>
      <c r="Z1587" t="s">
        <v>23223</v>
      </c>
      <c r="AB1587" t="s">
        <v>23224</v>
      </c>
      <c r="AC1587" t="s">
        <v>25867</v>
      </c>
      <c r="AD1587" t="s">
        <v>25868</v>
      </c>
      <c r="AE1587" t="s">
        <v>25869</v>
      </c>
      <c r="AG1587">
        <v>81</v>
      </c>
      <c r="AH1587">
        <v>7</v>
      </c>
      <c r="AI1587">
        <v>7</v>
      </c>
      <c r="AJ1587">
        <v>2</v>
      </c>
      <c r="AK1587">
        <v>14</v>
      </c>
      <c r="AL1587" t="s">
        <v>650</v>
      </c>
      <c r="AM1587" t="s">
        <v>651</v>
      </c>
      <c r="AN1587" t="s">
        <v>652</v>
      </c>
      <c r="AO1587" t="s">
        <v>7110</v>
      </c>
      <c r="AP1587" t="s">
        <v>7111</v>
      </c>
      <c r="AR1587" t="s">
        <v>7112</v>
      </c>
      <c r="AS1587" t="s">
        <v>7113</v>
      </c>
      <c r="AT1587" t="s">
        <v>305</v>
      </c>
      <c r="AU1587">
        <v>2019</v>
      </c>
      <c r="AV1587">
        <v>104</v>
      </c>
      <c r="BB1587">
        <v>296</v>
      </c>
      <c r="BC1587">
        <v>305</v>
      </c>
      <c r="BE1587" t="s">
        <v>25870</v>
      </c>
      <c r="BF1587" t="s">
        <v>25871</v>
      </c>
      <c r="BI1587">
        <v>10</v>
      </c>
      <c r="BJ1587" t="s">
        <v>4923</v>
      </c>
      <c r="BK1587" t="s">
        <v>96</v>
      </c>
      <c r="BL1587" t="s">
        <v>4924</v>
      </c>
      <c r="BM1587" t="s">
        <v>25872</v>
      </c>
      <c r="BO1587" t="s">
        <v>1752</v>
      </c>
      <c r="BR1587" t="s">
        <v>98</v>
      </c>
      <c r="BS1587" t="s">
        <v>25873</v>
      </c>
      <c r="BT1587" t="s">
        <v>16602</v>
      </c>
    </row>
    <row r="1588" spans="1:72">
      <c r="A1588" t="s">
        <v>72</v>
      </c>
      <c r="B1588" t="s">
        <v>25874</v>
      </c>
      <c r="F1588" t="s">
        <v>25875</v>
      </c>
      <c r="I1588" t="s">
        <v>25876</v>
      </c>
      <c r="J1588" t="s">
        <v>7369</v>
      </c>
      <c r="M1588" t="s">
        <v>78</v>
      </c>
      <c r="N1588" t="s">
        <v>79</v>
      </c>
      <c r="T1588" t="s">
        <v>25877</v>
      </c>
      <c r="U1588" t="s">
        <v>25878</v>
      </c>
      <c r="V1588" t="s">
        <v>25879</v>
      </c>
      <c r="W1588" t="s">
        <v>25880</v>
      </c>
      <c r="X1588" t="s">
        <v>25881</v>
      </c>
      <c r="Y1588" t="s">
        <v>25882</v>
      </c>
      <c r="Z1588" t="s">
        <v>25883</v>
      </c>
      <c r="AA1588" t="s">
        <v>25884</v>
      </c>
      <c r="AB1588" t="s">
        <v>25885</v>
      </c>
      <c r="AC1588" t="s">
        <v>25886</v>
      </c>
      <c r="AD1588" t="s">
        <v>25887</v>
      </c>
      <c r="AE1588" t="s">
        <v>25888</v>
      </c>
      <c r="AG1588">
        <v>197</v>
      </c>
      <c r="AH1588">
        <v>12</v>
      </c>
      <c r="AI1588">
        <v>12</v>
      </c>
      <c r="AJ1588">
        <v>0</v>
      </c>
      <c r="AK1588">
        <v>18</v>
      </c>
      <c r="AL1588" t="s">
        <v>1566</v>
      </c>
      <c r="AM1588" t="s">
        <v>1567</v>
      </c>
      <c r="AN1588" t="s">
        <v>1568</v>
      </c>
      <c r="AP1588" t="s">
        <v>7378</v>
      </c>
      <c r="AR1588" t="s">
        <v>7369</v>
      </c>
      <c r="AS1588" t="s">
        <v>7379</v>
      </c>
      <c r="AT1588" t="s">
        <v>197</v>
      </c>
      <c r="AU1588">
        <v>2020</v>
      </c>
      <c r="AV1588">
        <v>9</v>
      </c>
      <c r="AW1588">
        <v>12</v>
      </c>
      <c r="BD1588">
        <v>416</v>
      </c>
      <c r="BE1588" t="s">
        <v>25889</v>
      </c>
      <c r="BF1588" t="s">
        <v>25890</v>
      </c>
      <c r="BI1588">
        <v>38</v>
      </c>
      <c r="BJ1588" t="s">
        <v>171</v>
      </c>
      <c r="BK1588" t="s">
        <v>96</v>
      </c>
      <c r="BL1588" t="s">
        <v>173</v>
      </c>
      <c r="BM1588" t="s">
        <v>25891</v>
      </c>
      <c r="BN1588">
        <v>33255637</v>
      </c>
      <c r="BO1588" t="s">
        <v>25892</v>
      </c>
      <c r="BR1588" t="s">
        <v>98</v>
      </c>
      <c r="BS1588" t="s">
        <v>25893</v>
      </c>
      <c r="BT1588" t="s">
        <v>16602</v>
      </c>
    </row>
    <row r="1589" spans="1:72">
      <c r="A1589" t="s">
        <v>72</v>
      </c>
      <c r="B1589" t="s">
        <v>25894</v>
      </c>
      <c r="F1589" t="s">
        <v>25894</v>
      </c>
      <c r="I1589" t="s">
        <v>25895</v>
      </c>
      <c r="J1589" t="s">
        <v>7584</v>
      </c>
      <c r="M1589" t="s">
        <v>78</v>
      </c>
      <c r="N1589" t="s">
        <v>79</v>
      </c>
      <c r="W1589" t="s">
        <v>25896</v>
      </c>
      <c r="X1589" t="s">
        <v>17710</v>
      </c>
      <c r="AG1589">
        <v>4</v>
      </c>
      <c r="AH1589">
        <v>53</v>
      </c>
      <c r="AI1589">
        <v>57</v>
      </c>
      <c r="AJ1589">
        <v>0</v>
      </c>
      <c r="AK1589">
        <v>4</v>
      </c>
      <c r="AL1589" t="s">
        <v>136</v>
      </c>
      <c r="AM1589" t="s">
        <v>137</v>
      </c>
      <c r="AN1589" t="s">
        <v>583</v>
      </c>
      <c r="AO1589" t="s">
        <v>7589</v>
      </c>
      <c r="AR1589" t="s">
        <v>7591</v>
      </c>
      <c r="AS1589" t="s">
        <v>7592</v>
      </c>
      <c r="AU1589">
        <v>1973</v>
      </c>
      <c r="AV1589">
        <v>7</v>
      </c>
      <c r="AW1589">
        <v>3</v>
      </c>
      <c r="BB1589">
        <v>451</v>
      </c>
      <c r="BC1589">
        <v>460</v>
      </c>
      <c r="BE1589" t="s">
        <v>25897</v>
      </c>
      <c r="BF1589" t="s">
        <v>25898</v>
      </c>
      <c r="BI1589">
        <v>10</v>
      </c>
      <c r="BJ1589" t="s">
        <v>587</v>
      </c>
      <c r="BK1589" t="s">
        <v>96</v>
      </c>
      <c r="BL1589" t="s">
        <v>589</v>
      </c>
      <c r="BM1589" t="s">
        <v>25899</v>
      </c>
      <c r="BR1589" t="s">
        <v>98</v>
      </c>
      <c r="BS1589" t="s">
        <v>25900</v>
      </c>
      <c r="BT1589" t="s">
        <v>16602</v>
      </c>
    </row>
    <row r="1590" spans="1:72">
      <c r="A1590" t="s">
        <v>72</v>
      </c>
      <c r="B1590" t="s">
        <v>25901</v>
      </c>
      <c r="F1590" t="s">
        <v>25901</v>
      </c>
      <c r="I1590" t="s">
        <v>25902</v>
      </c>
      <c r="J1590" t="s">
        <v>704</v>
      </c>
      <c r="M1590" t="s">
        <v>78</v>
      </c>
      <c r="N1590" t="s">
        <v>79</v>
      </c>
      <c r="U1590" t="s">
        <v>25903</v>
      </c>
      <c r="V1590" t="s">
        <v>25904</v>
      </c>
      <c r="W1590" t="s">
        <v>25905</v>
      </c>
      <c r="X1590" t="s">
        <v>25906</v>
      </c>
      <c r="Y1590" t="s">
        <v>25907</v>
      </c>
      <c r="AG1590">
        <v>19</v>
      </c>
      <c r="AH1590">
        <v>24</v>
      </c>
      <c r="AI1590">
        <v>26</v>
      </c>
      <c r="AJ1590">
        <v>1</v>
      </c>
      <c r="AK1590">
        <v>10</v>
      </c>
      <c r="AL1590" t="s">
        <v>716</v>
      </c>
      <c r="AM1590" t="s">
        <v>191</v>
      </c>
      <c r="AN1590" t="s">
        <v>717</v>
      </c>
      <c r="AO1590" t="s">
        <v>718</v>
      </c>
      <c r="AR1590" t="s">
        <v>719</v>
      </c>
      <c r="AS1590" t="s">
        <v>720</v>
      </c>
      <c r="AT1590" t="s">
        <v>267</v>
      </c>
      <c r="AU1590">
        <v>1992</v>
      </c>
      <c r="AV1590">
        <v>65</v>
      </c>
      <c r="AW1590" t="s">
        <v>326</v>
      </c>
      <c r="BB1590">
        <v>175</v>
      </c>
      <c r="BC1590">
        <v>190</v>
      </c>
      <c r="BE1590" t="s">
        <v>25908</v>
      </c>
      <c r="BF1590" t="s">
        <v>25909</v>
      </c>
      <c r="BI1590">
        <v>16</v>
      </c>
      <c r="BJ1590" t="s">
        <v>722</v>
      </c>
      <c r="BK1590" t="s">
        <v>96</v>
      </c>
      <c r="BL1590" t="s">
        <v>723</v>
      </c>
      <c r="BM1590" t="s">
        <v>25910</v>
      </c>
      <c r="BR1590" t="s">
        <v>98</v>
      </c>
      <c r="BS1590" t="s">
        <v>25911</v>
      </c>
      <c r="BT1590" t="s">
        <v>16602</v>
      </c>
    </row>
    <row r="1591" spans="1:72">
      <c r="A1591" t="s">
        <v>72</v>
      </c>
      <c r="B1591" t="s">
        <v>25912</v>
      </c>
      <c r="F1591" t="s">
        <v>25913</v>
      </c>
      <c r="I1591" t="s">
        <v>25914</v>
      </c>
      <c r="J1591" t="s">
        <v>8398</v>
      </c>
      <c r="M1591" t="s">
        <v>78</v>
      </c>
      <c r="N1591" t="s">
        <v>79</v>
      </c>
      <c r="T1591" t="s">
        <v>25915</v>
      </c>
      <c r="U1591" t="s">
        <v>25916</v>
      </c>
      <c r="V1591" t="s">
        <v>25917</v>
      </c>
      <c r="W1591" t="s">
        <v>25918</v>
      </c>
      <c r="X1591" t="s">
        <v>25919</v>
      </c>
      <c r="Y1591" t="s">
        <v>25920</v>
      </c>
      <c r="Z1591" t="s">
        <v>25921</v>
      </c>
      <c r="AA1591" t="s">
        <v>25922</v>
      </c>
      <c r="AB1591" t="s">
        <v>25923</v>
      </c>
      <c r="AC1591" t="s">
        <v>25924</v>
      </c>
      <c r="AD1591" t="s">
        <v>25925</v>
      </c>
      <c r="AE1591" t="s">
        <v>25926</v>
      </c>
      <c r="AG1591">
        <v>69</v>
      </c>
      <c r="AH1591">
        <v>0</v>
      </c>
      <c r="AI1591">
        <v>0</v>
      </c>
      <c r="AJ1591">
        <v>1</v>
      </c>
      <c r="AK1591">
        <v>1</v>
      </c>
      <c r="AL1591" t="s">
        <v>1566</v>
      </c>
      <c r="AM1591" t="s">
        <v>1567</v>
      </c>
      <c r="AN1591" t="s">
        <v>1568</v>
      </c>
      <c r="AP1591" t="s">
        <v>8411</v>
      </c>
      <c r="AR1591" t="s">
        <v>8412</v>
      </c>
      <c r="AS1591" t="s">
        <v>8413</v>
      </c>
      <c r="AT1591" t="s">
        <v>765</v>
      </c>
      <c r="AU1591">
        <v>2024</v>
      </c>
      <c r="AV1591">
        <v>9</v>
      </c>
      <c r="AW1591">
        <v>7</v>
      </c>
      <c r="BD1591">
        <v>274</v>
      </c>
      <c r="BE1591" t="s">
        <v>25927</v>
      </c>
      <c r="BF1591" t="s">
        <v>25928</v>
      </c>
      <c r="BI1591">
        <v>32</v>
      </c>
      <c r="BJ1591" t="s">
        <v>2391</v>
      </c>
      <c r="BK1591" t="s">
        <v>96</v>
      </c>
      <c r="BL1591" t="s">
        <v>2391</v>
      </c>
      <c r="BM1591" t="s">
        <v>25929</v>
      </c>
      <c r="BO1591" t="s">
        <v>873</v>
      </c>
      <c r="BR1591" t="s">
        <v>98</v>
      </c>
      <c r="BS1591" t="s">
        <v>25930</v>
      </c>
      <c r="BT1591" t="s">
        <v>16602</v>
      </c>
    </row>
    <row r="1592" spans="1:72">
      <c r="A1592" t="s">
        <v>72</v>
      </c>
      <c r="B1592" t="s">
        <v>25931</v>
      </c>
      <c r="F1592" t="s">
        <v>25932</v>
      </c>
      <c r="I1592" t="s">
        <v>25933</v>
      </c>
      <c r="J1592" t="s">
        <v>204</v>
      </c>
      <c r="M1592" t="s">
        <v>78</v>
      </c>
      <c r="N1592" t="s">
        <v>79</v>
      </c>
      <c r="T1592" t="s">
        <v>25934</v>
      </c>
      <c r="U1592" t="s">
        <v>25935</v>
      </c>
      <c r="V1592" t="s">
        <v>25936</v>
      </c>
      <c r="W1592" t="s">
        <v>25937</v>
      </c>
      <c r="X1592" t="s">
        <v>10795</v>
      </c>
      <c r="Y1592" t="s">
        <v>10796</v>
      </c>
      <c r="Z1592" t="s">
        <v>3174</v>
      </c>
      <c r="AB1592" t="s">
        <v>25938</v>
      </c>
      <c r="AC1592" t="s">
        <v>25939</v>
      </c>
      <c r="AD1592" t="s">
        <v>25940</v>
      </c>
      <c r="AE1592" t="s">
        <v>25941</v>
      </c>
      <c r="AG1592">
        <v>76</v>
      </c>
      <c r="AH1592">
        <v>0</v>
      </c>
      <c r="AI1592">
        <v>0</v>
      </c>
      <c r="AJ1592">
        <v>3</v>
      </c>
      <c r="AK1592">
        <v>10</v>
      </c>
      <c r="AL1592" t="s">
        <v>217</v>
      </c>
      <c r="AM1592" t="s">
        <v>218</v>
      </c>
      <c r="AN1592" t="s">
        <v>219</v>
      </c>
      <c r="AO1592" t="s">
        <v>220</v>
      </c>
      <c r="AP1592" t="s">
        <v>221</v>
      </c>
      <c r="AR1592" t="s">
        <v>222</v>
      </c>
      <c r="AS1592" t="s">
        <v>223</v>
      </c>
      <c r="AT1592" t="s">
        <v>305</v>
      </c>
      <c r="AU1592">
        <v>2023</v>
      </c>
      <c r="AV1592">
        <v>30</v>
      </c>
      <c r="AW1592">
        <v>41</v>
      </c>
      <c r="BB1592">
        <v>93686</v>
      </c>
      <c r="BC1592">
        <v>93696</v>
      </c>
      <c r="BE1592" t="s">
        <v>25942</v>
      </c>
      <c r="BF1592" t="s">
        <v>25943</v>
      </c>
      <c r="BH1592" t="s">
        <v>1121</v>
      </c>
      <c r="BI1592">
        <v>11</v>
      </c>
      <c r="BJ1592" t="s">
        <v>144</v>
      </c>
      <c r="BK1592" t="s">
        <v>96</v>
      </c>
      <c r="BL1592" t="s">
        <v>145</v>
      </c>
      <c r="BM1592" t="s">
        <v>5878</v>
      </c>
      <c r="BN1592">
        <v>37515620</v>
      </c>
      <c r="BO1592" t="s">
        <v>810</v>
      </c>
      <c r="BR1592" t="s">
        <v>98</v>
      </c>
      <c r="BS1592" t="s">
        <v>25944</v>
      </c>
      <c r="BT1592" t="s">
        <v>16602</v>
      </c>
    </row>
    <row r="1593" spans="1:72">
      <c r="A1593" t="s">
        <v>72</v>
      </c>
      <c r="B1593" t="s">
        <v>25945</v>
      </c>
      <c r="F1593" t="s">
        <v>25945</v>
      </c>
      <c r="I1593" t="s">
        <v>25946</v>
      </c>
      <c r="J1593" t="s">
        <v>232</v>
      </c>
      <c r="M1593" t="s">
        <v>78</v>
      </c>
      <c r="N1593" t="s">
        <v>79</v>
      </c>
      <c r="T1593" t="s">
        <v>25947</v>
      </c>
      <c r="U1593" t="s">
        <v>25948</v>
      </c>
      <c r="V1593" t="s">
        <v>25949</v>
      </c>
      <c r="W1593" t="s">
        <v>25950</v>
      </c>
      <c r="X1593" t="s">
        <v>9919</v>
      </c>
      <c r="Y1593" t="s">
        <v>25951</v>
      </c>
      <c r="Z1593" t="s">
        <v>25952</v>
      </c>
      <c r="AA1593" t="s">
        <v>2808</v>
      </c>
      <c r="AB1593" t="s">
        <v>2809</v>
      </c>
      <c r="AG1593">
        <v>37</v>
      </c>
      <c r="AH1593">
        <v>204</v>
      </c>
      <c r="AI1593">
        <v>215</v>
      </c>
      <c r="AJ1593">
        <v>1</v>
      </c>
      <c r="AK1593">
        <v>56</v>
      </c>
      <c r="AL1593" t="s">
        <v>136</v>
      </c>
      <c r="AM1593" t="s">
        <v>137</v>
      </c>
      <c r="AN1593" t="s">
        <v>138</v>
      </c>
      <c r="AO1593" t="s">
        <v>240</v>
      </c>
      <c r="AP1593" t="s">
        <v>241</v>
      </c>
      <c r="AR1593" t="s">
        <v>242</v>
      </c>
      <c r="AS1593" t="s">
        <v>243</v>
      </c>
      <c r="AT1593" t="s">
        <v>951</v>
      </c>
      <c r="AU1593">
        <v>2004</v>
      </c>
      <c r="AV1593">
        <v>49</v>
      </c>
      <c r="AW1593" t="s">
        <v>14188</v>
      </c>
      <c r="BB1593">
        <v>704</v>
      </c>
      <c r="BC1593">
        <v>712</v>
      </c>
      <c r="BE1593" t="s">
        <v>25953</v>
      </c>
      <c r="BF1593" t="s">
        <v>25954</v>
      </c>
      <c r="BI1593">
        <v>9</v>
      </c>
      <c r="BJ1593" t="s">
        <v>247</v>
      </c>
      <c r="BK1593" t="s">
        <v>96</v>
      </c>
      <c r="BL1593" t="s">
        <v>248</v>
      </c>
      <c r="BM1593" t="s">
        <v>25955</v>
      </c>
      <c r="BN1593">
        <v>15530513</v>
      </c>
      <c r="BR1593" t="s">
        <v>98</v>
      </c>
      <c r="BS1593" t="s">
        <v>25956</v>
      </c>
      <c r="BT1593" t="s">
        <v>16602</v>
      </c>
    </row>
    <row r="1594" spans="1:72">
      <c r="A1594" t="s">
        <v>72</v>
      </c>
      <c r="B1594" t="s">
        <v>25957</v>
      </c>
      <c r="F1594" t="s">
        <v>25958</v>
      </c>
      <c r="I1594" t="s">
        <v>25959</v>
      </c>
      <c r="J1594" t="s">
        <v>204</v>
      </c>
      <c r="M1594" t="s">
        <v>78</v>
      </c>
      <c r="N1594" t="s">
        <v>79</v>
      </c>
      <c r="T1594" t="s">
        <v>25960</v>
      </c>
      <c r="U1594" t="s">
        <v>25961</v>
      </c>
      <c r="V1594" t="s">
        <v>25962</v>
      </c>
      <c r="W1594" t="s">
        <v>25963</v>
      </c>
      <c r="X1594" t="s">
        <v>25964</v>
      </c>
      <c r="Y1594" t="s">
        <v>25965</v>
      </c>
      <c r="Z1594" t="s">
        <v>25966</v>
      </c>
      <c r="AA1594" t="s">
        <v>25967</v>
      </c>
      <c r="AB1594" t="s">
        <v>25968</v>
      </c>
      <c r="AC1594" t="s">
        <v>25969</v>
      </c>
      <c r="AD1594" t="s">
        <v>25970</v>
      </c>
      <c r="AE1594" t="s">
        <v>25971</v>
      </c>
      <c r="AG1594">
        <v>61</v>
      </c>
      <c r="AH1594">
        <v>9</v>
      </c>
      <c r="AI1594">
        <v>9</v>
      </c>
      <c r="AJ1594">
        <v>1</v>
      </c>
      <c r="AK1594">
        <v>14</v>
      </c>
      <c r="AL1594" t="s">
        <v>217</v>
      </c>
      <c r="AM1594" t="s">
        <v>218</v>
      </c>
      <c r="AN1594" t="s">
        <v>219</v>
      </c>
      <c r="AO1594" t="s">
        <v>220</v>
      </c>
      <c r="AP1594" t="s">
        <v>221</v>
      </c>
      <c r="AR1594" t="s">
        <v>222</v>
      </c>
      <c r="AS1594" t="s">
        <v>223</v>
      </c>
      <c r="AT1594" t="s">
        <v>197</v>
      </c>
      <c r="AU1594">
        <v>2021</v>
      </c>
      <c r="AV1594">
        <v>28</v>
      </c>
      <c r="AW1594">
        <v>48</v>
      </c>
      <c r="BB1594">
        <v>69416</v>
      </c>
      <c r="BC1594">
        <v>69425</v>
      </c>
      <c r="BE1594" t="s">
        <v>25972</v>
      </c>
      <c r="BF1594" t="s">
        <v>25973</v>
      </c>
      <c r="BH1594" t="s">
        <v>12797</v>
      </c>
      <c r="BI1594">
        <v>10</v>
      </c>
      <c r="BJ1594" t="s">
        <v>144</v>
      </c>
      <c r="BK1594" t="s">
        <v>96</v>
      </c>
      <c r="BL1594" t="s">
        <v>145</v>
      </c>
      <c r="BM1594" t="s">
        <v>25974</v>
      </c>
      <c r="BN1594">
        <v>34302239</v>
      </c>
      <c r="BO1594" t="s">
        <v>810</v>
      </c>
      <c r="BR1594" t="s">
        <v>98</v>
      </c>
      <c r="BS1594" t="s">
        <v>25975</v>
      </c>
      <c r="BT1594" t="s">
        <v>16602</v>
      </c>
    </row>
    <row r="1595" spans="1:72">
      <c r="A1595" t="s">
        <v>72</v>
      </c>
      <c r="B1595" t="s">
        <v>25976</v>
      </c>
      <c r="F1595" t="s">
        <v>25977</v>
      </c>
      <c r="I1595" t="s">
        <v>25978</v>
      </c>
      <c r="J1595" t="s">
        <v>179</v>
      </c>
      <c r="M1595" t="s">
        <v>78</v>
      </c>
      <c r="N1595" t="s">
        <v>79</v>
      </c>
      <c r="T1595" t="s">
        <v>25979</v>
      </c>
      <c r="U1595" t="s">
        <v>25980</v>
      </c>
      <c r="V1595" t="s">
        <v>25981</v>
      </c>
      <c r="W1595" t="s">
        <v>25982</v>
      </c>
      <c r="X1595" t="s">
        <v>25983</v>
      </c>
      <c r="Y1595" t="s">
        <v>25984</v>
      </c>
      <c r="Z1595" t="s">
        <v>25985</v>
      </c>
      <c r="AA1595" t="s">
        <v>25986</v>
      </c>
      <c r="AB1595" t="s">
        <v>25987</v>
      </c>
      <c r="AC1595" t="s">
        <v>25988</v>
      </c>
      <c r="AD1595" t="s">
        <v>25989</v>
      </c>
      <c r="AE1595" t="s">
        <v>25990</v>
      </c>
      <c r="AG1595">
        <v>42</v>
      </c>
      <c r="AH1595">
        <v>4</v>
      </c>
      <c r="AI1595">
        <v>4</v>
      </c>
      <c r="AJ1595">
        <v>0</v>
      </c>
      <c r="AK1595">
        <v>10</v>
      </c>
      <c r="AL1595" t="s">
        <v>112</v>
      </c>
      <c r="AM1595" t="s">
        <v>191</v>
      </c>
      <c r="AN1595" t="s">
        <v>192</v>
      </c>
      <c r="AO1595" t="s">
        <v>193</v>
      </c>
      <c r="AP1595" t="s">
        <v>194</v>
      </c>
      <c r="AR1595" t="s">
        <v>195</v>
      </c>
      <c r="AS1595" t="s">
        <v>196</v>
      </c>
      <c r="AT1595" t="s">
        <v>951</v>
      </c>
      <c r="AU1595">
        <v>2021</v>
      </c>
      <c r="AV1595">
        <v>193</v>
      </c>
      <c r="AW1595">
        <v>11</v>
      </c>
      <c r="BD1595">
        <v>753</v>
      </c>
      <c r="BE1595" t="s">
        <v>25991</v>
      </c>
      <c r="BF1595" t="s">
        <v>25992</v>
      </c>
      <c r="BI1595">
        <v>9</v>
      </c>
      <c r="BJ1595" t="s">
        <v>144</v>
      </c>
      <c r="BK1595" t="s">
        <v>96</v>
      </c>
      <c r="BL1595" t="s">
        <v>145</v>
      </c>
      <c r="BM1595" t="s">
        <v>25993</v>
      </c>
      <c r="BN1595">
        <v>34709461</v>
      </c>
      <c r="BR1595" t="s">
        <v>98</v>
      </c>
      <c r="BS1595" t="s">
        <v>25994</v>
      </c>
      <c r="BT1595" t="s">
        <v>16602</v>
      </c>
    </row>
    <row r="1596" spans="1:72">
      <c r="A1596" t="s">
        <v>72</v>
      </c>
      <c r="B1596" t="s">
        <v>25995</v>
      </c>
      <c r="F1596" t="s">
        <v>25995</v>
      </c>
      <c r="I1596" t="s">
        <v>25996</v>
      </c>
      <c r="J1596" t="s">
        <v>127</v>
      </c>
      <c r="M1596" t="s">
        <v>78</v>
      </c>
      <c r="N1596" t="s">
        <v>79</v>
      </c>
      <c r="T1596" t="s">
        <v>25997</v>
      </c>
      <c r="V1596" t="s">
        <v>25998</v>
      </c>
      <c r="W1596" t="s">
        <v>25999</v>
      </c>
      <c r="X1596" t="s">
        <v>26000</v>
      </c>
      <c r="Y1596" t="s">
        <v>26001</v>
      </c>
      <c r="Z1596" t="s">
        <v>26002</v>
      </c>
      <c r="AA1596" t="s">
        <v>26003</v>
      </c>
      <c r="AG1596">
        <v>8</v>
      </c>
      <c r="AH1596">
        <v>13</v>
      </c>
      <c r="AI1596">
        <v>13</v>
      </c>
      <c r="AJ1596">
        <v>0</v>
      </c>
      <c r="AK1596">
        <v>9</v>
      </c>
      <c r="AL1596" t="s">
        <v>136</v>
      </c>
      <c r="AM1596" t="s">
        <v>137</v>
      </c>
      <c r="AN1596" t="s">
        <v>138</v>
      </c>
      <c r="AO1596" t="s">
        <v>139</v>
      </c>
      <c r="AP1596" t="s">
        <v>140</v>
      </c>
      <c r="AR1596" t="s">
        <v>127</v>
      </c>
      <c r="AS1596" t="s">
        <v>141</v>
      </c>
      <c r="AT1596" t="s">
        <v>197</v>
      </c>
      <c r="AU1596">
        <v>2004</v>
      </c>
      <c r="AV1596">
        <v>57</v>
      </c>
      <c r="AW1596">
        <v>11</v>
      </c>
      <c r="BB1596">
        <v>1707</v>
      </c>
      <c r="BC1596">
        <v>1711</v>
      </c>
      <c r="BE1596" t="s">
        <v>26004</v>
      </c>
      <c r="BF1596" t="s">
        <v>26005</v>
      </c>
      <c r="BI1596">
        <v>5</v>
      </c>
      <c r="BJ1596" t="s">
        <v>144</v>
      </c>
      <c r="BK1596" t="s">
        <v>96</v>
      </c>
      <c r="BL1596" t="s">
        <v>145</v>
      </c>
      <c r="BM1596" t="s">
        <v>26006</v>
      </c>
      <c r="BN1596">
        <v>15519417</v>
      </c>
      <c r="BR1596" t="s">
        <v>98</v>
      </c>
      <c r="BS1596" t="s">
        <v>26007</v>
      </c>
      <c r="BT1596" t="s">
        <v>16602</v>
      </c>
    </row>
    <row r="1597" spans="1:72">
      <c r="A1597" t="s">
        <v>72</v>
      </c>
      <c r="B1597" t="s">
        <v>26008</v>
      </c>
      <c r="F1597" t="s">
        <v>26009</v>
      </c>
      <c r="I1597" t="s">
        <v>26010</v>
      </c>
      <c r="J1597" t="s">
        <v>26011</v>
      </c>
      <c r="M1597" t="s">
        <v>78</v>
      </c>
      <c r="N1597" t="s">
        <v>79</v>
      </c>
      <c r="T1597" t="s">
        <v>26012</v>
      </c>
      <c r="V1597" t="s">
        <v>26013</v>
      </c>
      <c r="W1597" t="s">
        <v>26014</v>
      </c>
      <c r="X1597" t="s">
        <v>26015</v>
      </c>
      <c r="Y1597" t="s">
        <v>26016</v>
      </c>
      <c r="Z1597" t="s">
        <v>26017</v>
      </c>
      <c r="AA1597" t="s">
        <v>26018</v>
      </c>
      <c r="AB1597" t="s">
        <v>26019</v>
      </c>
      <c r="AC1597" t="s">
        <v>26020</v>
      </c>
      <c r="AD1597" t="s">
        <v>26021</v>
      </c>
      <c r="AE1597" t="s">
        <v>26022</v>
      </c>
      <c r="AG1597">
        <v>24</v>
      </c>
      <c r="AH1597">
        <v>2</v>
      </c>
      <c r="AI1597">
        <v>2</v>
      </c>
      <c r="AJ1597">
        <v>0</v>
      </c>
      <c r="AK1597">
        <v>5</v>
      </c>
      <c r="AL1597" t="s">
        <v>26023</v>
      </c>
      <c r="AM1597" t="s">
        <v>26024</v>
      </c>
      <c r="AN1597" t="s">
        <v>26025</v>
      </c>
      <c r="AO1597" t="s">
        <v>26026</v>
      </c>
      <c r="AP1597" t="s">
        <v>26027</v>
      </c>
      <c r="AR1597" t="s">
        <v>26028</v>
      </c>
      <c r="AS1597" t="s">
        <v>26029</v>
      </c>
      <c r="AT1597" t="s">
        <v>510</v>
      </c>
      <c r="AU1597">
        <v>2019</v>
      </c>
      <c r="AV1597">
        <v>40</v>
      </c>
      <c r="AW1597">
        <v>6</v>
      </c>
      <c r="BB1597">
        <v>2783</v>
      </c>
      <c r="BC1597">
        <v>2793</v>
      </c>
      <c r="BE1597" t="s">
        <v>26030</v>
      </c>
      <c r="BF1597" t="s">
        <v>26031</v>
      </c>
      <c r="BI1597">
        <v>11</v>
      </c>
      <c r="BJ1597" t="s">
        <v>4120</v>
      </c>
      <c r="BK1597" t="s">
        <v>96</v>
      </c>
      <c r="BL1597" t="s">
        <v>4121</v>
      </c>
      <c r="BM1597" t="s">
        <v>26032</v>
      </c>
      <c r="BO1597" t="s">
        <v>550</v>
      </c>
      <c r="BR1597" t="s">
        <v>98</v>
      </c>
      <c r="BS1597" t="s">
        <v>26033</v>
      </c>
      <c r="BT1597" t="s">
        <v>16602</v>
      </c>
    </row>
    <row r="1598" spans="1:72">
      <c r="A1598" t="s">
        <v>72</v>
      </c>
      <c r="B1598" t="s">
        <v>26034</v>
      </c>
      <c r="F1598" t="s">
        <v>26035</v>
      </c>
      <c r="I1598" t="s">
        <v>26036</v>
      </c>
      <c r="J1598" t="s">
        <v>421</v>
      </c>
      <c r="M1598" t="s">
        <v>78</v>
      </c>
      <c r="N1598" t="s">
        <v>79</v>
      </c>
      <c r="T1598" t="s">
        <v>26037</v>
      </c>
      <c r="U1598" t="s">
        <v>26038</v>
      </c>
      <c r="V1598" t="s">
        <v>26039</v>
      </c>
      <c r="W1598" t="s">
        <v>26040</v>
      </c>
      <c r="X1598" t="s">
        <v>26041</v>
      </c>
      <c r="Y1598" t="s">
        <v>26042</v>
      </c>
      <c r="Z1598" t="s">
        <v>8478</v>
      </c>
      <c r="AA1598" t="s">
        <v>26043</v>
      </c>
      <c r="AB1598" t="s">
        <v>26044</v>
      </c>
      <c r="AC1598" t="s">
        <v>26045</v>
      </c>
      <c r="AD1598" t="s">
        <v>26046</v>
      </c>
      <c r="AE1598" t="s">
        <v>26047</v>
      </c>
      <c r="AG1598">
        <v>54</v>
      </c>
      <c r="AH1598">
        <v>85</v>
      </c>
      <c r="AI1598">
        <v>88</v>
      </c>
      <c r="AJ1598">
        <v>2</v>
      </c>
      <c r="AK1598">
        <v>73</v>
      </c>
      <c r="AL1598" t="s">
        <v>430</v>
      </c>
      <c r="AM1598" t="s">
        <v>7361</v>
      </c>
      <c r="AN1598" t="s">
        <v>7362</v>
      </c>
      <c r="AO1598" t="s">
        <v>432</v>
      </c>
      <c r="AP1598" t="s">
        <v>1394</v>
      </c>
      <c r="AR1598" t="s">
        <v>433</v>
      </c>
      <c r="AS1598" t="s">
        <v>434</v>
      </c>
      <c r="AT1598" t="s">
        <v>119</v>
      </c>
      <c r="AU1598">
        <v>2016</v>
      </c>
      <c r="AV1598">
        <v>215</v>
      </c>
      <c r="BB1598">
        <v>77</v>
      </c>
      <c r="BC1598">
        <v>83</v>
      </c>
      <c r="BE1598" t="s">
        <v>26048</v>
      </c>
      <c r="BF1598" t="s">
        <v>26049</v>
      </c>
      <c r="BI1598">
        <v>7</v>
      </c>
      <c r="BJ1598" t="s">
        <v>144</v>
      </c>
      <c r="BK1598" t="s">
        <v>96</v>
      </c>
      <c r="BL1598" t="s">
        <v>145</v>
      </c>
      <c r="BM1598" t="s">
        <v>9175</v>
      </c>
      <c r="BN1598">
        <v>27179326</v>
      </c>
      <c r="BR1598" t="s">
        <v>98</v>
      </c>
      <c r="BS1598" t="s">
        <v>26050</v>
      </c>
      <c r="BT1598" t="s">
        <v>16602</v>
      </c>
    </row>
    <row r="1599" spans="1:72">
      <c r="A1599" t="s">
        <v>72</v>
      </c>
      <c r="B1599" t="s">
        <v>26051</v>
      </c>
      <c r="F1599" t="s">
        <v>26051</v>
      </c>
      <c r="I1599" t="s">
        <v>26052</v>
      </c>
      <c r="J1599" t="s">
        <v>1097</v>
      </c>
      <c r="M1599" t="s">
        <v>78</v>
      </c>
      <c r="N1599" t="s">
        <v>79</v>
      </c>
      <c r="V1599" t="s">
        <v>26053</v>
      </c>
      <c r="Y1599" t="s">
        <v>26054</v>
      </c>
      <c r="AG1599">
        <v>22</v>
      </c>
      <c r="AH1599">
        <v>20</v>
      </c>
      <c r="AI1599">
        <v>20</v>
      </c>
      <c r="AJ1599">
        <v>0</v>
      </c>
      <c r="AK1599">
        <v>2</v>
      </c>
      <c r="AL1599" t="s">
        <v>217</v>
      </c>
      <c r="AM1599" t="s">
        <v>218</v>
      </c>
      <c r="AN1599" t="s">
        <v>219</v>
      </c>
      <c r="AO1599" t="s">
        <v>1100</v>
      </c>
      <c r="AP1599" t="s">
        <v>1101</v>
      </c>
      <c r="AR1599" t="s">
        <v>1102</v>
      </c>
      <c r="AS1599" t="s">
        <v>1103</v>
      </c>
      <c r="AU1599">
        <v>1979</v>
      </c>
      <c r="AV1599">
        <v>52</v>
      </c>
      <c r="AW1599">
        <v>2</v>
      </c>
      <c r="BB1599">
        <v>189</v>
      </c>
      <c r="BC1599">
        <v>196</v>
      </c>
      <c r="BE1599" t="s">
        <v>26055</v>
      </c>
      <c r="BF1599" t="s">
        <v>26056</v>
      </c>
      <c r="BI1599">
        <v>8</v>
      </c>
      <c r="BJ1599" t="s">
        <v>680</v>
      </c>
      <c r="BK1599" t="s">
        <v>96</v>
      </c>
      <c r="BL1599" t="s">
        <v>680</v>
      </c>
      <c r="BM1599" t="s">
        <v>26057</v>
      </c>
      <c r="BR1599" t="s">
        <v>98</v>
      </c>
      <c r="BS1599" t="s">
        <v>26058</v>
      </c>
      <c r="BT1599" t="s">
        <v>16602</v>
      </c>
    </row>
    <row r="1600" spans="1:72">
      <c r="A1600" t="s">
        <v>72</v>
      </c>
      <c r="B1600" t="s">
        <v>26059</v>
      </c>
      <c r="F1600" t="s">
        <v>26060</v>
      </c>
      <c r="I1600" t="s">
        <v>26061</v>
      </c>
      <c r="J1600" t="s">
        <v>22642</v>
      </c>
      <c r="M1600" t="s">
        <v>78</v>
      </c>
      <c r="N1600" t="s">
        <v>79</v>
      </c>
      <c r="T1600" t="s">
        <v>26062</v>
      </c>
      <c r="U1600" t="s">
        <v>26063</v>
      </c>
      <c r="V1600" t="s">
        <v>26064</v>
      </c>
      <c r="W1600" t="s">
        <v>26065</v>
      </c>
      <c r="X1600" t="s">
        <v>26066</v>
      </c>
      <c r="Y1600" t="s">
        <v>26067</v>
      </c>
      <c r="Z1600" t="s">
        <v>26068</v>
      </c>
      <c r="AA1600" t="s">
        <v>26069</v>
      </c>
      <c r="AC1600" t="s">
        <v>26070</v>
      </c>
      <c r="AD1600" t="s">
        <v>26071</v>
      </c>
      <c r="AE1600" t="s">
        <v>26072</v>
      </c>
      <c r="AG1600">
        <v>64</v>
      </c>
      <c r="AH1600">
        <v>0</v>
      </c>
      <c r="AI1600">
        <v>0</v>
      </c>
      <c r="AJ1600">
        <v>3</v>
      </c>
      <c r="AK1600">
        <v>3</v>
      </c>
      <c r="AL1600" t="s">
        <v>3362</v>
      </c>
      <c r="AM1600" t="s">
        <v>3363</v>
      </c>
      <c r="AN1600" t="s">
        <v>3364</v>
      </c>
      <c r="AO1600" t="s">
        <v>22655</v>
      </c>
      <c r="AP1600" t="s">
        <v>22656</v>
      </c>
      <c r="AR1600" t="s">
        <v>22657</v>
      </c>
      <c r="AS1600" t="s">
        <v>22658</v>
      </c>
      <c r="AT1600" t="s">
        <v>119</v>
      </c>
      <c r="AU1600">
        <v>2024</v>
      </c>
      <c r="AV1600">
        <v>132</v>
      </c>
      <c r="BD1600">
        <v>106288</v>
      </c>
      <c r="BE1600" t="s">
        <v>26073</v>
      </c>
      <c r="BF1600" t="s">
        <v>26074</v>
      </c>
      <c r="BH1600" t="s">
        <v>11425</v>
      </c>
      <c r="BI1600">
        <v>11</v>
      </c>
      <c r="BJ1600" t="s">
        <v>22661</v>
      </c>
      <c r="BK1600" t="s">
        <v>96</v>
      </c>
      <c r="BL1600" t="s">
        <v>22662</v>
      </c>
      <c r="BM1600" t="s">
        <v>26075</v>
      </c>
      <c r="BR1600" t="s">
        <v>98</v>
      </c>
      <c r="BS1600" t="s">
        <v>26076</v>
      </c>
      <c r="BT1600" t="s">
        <v>16602</v>
      </c>
    </row>
    <row r="1601" spans="1:72">
      <c r="A1601" t="s">
        <v>72</v>
      </c>
      <c r="B1601" t="s">
        <v>26077</v>
      </c>
      <c r="F1601" t="s">
        <v>26078</v>
      </c>
      <c r="I1601" t="s">
        <v>26079</v>
      </c>
      <c r="J1601" t="s">
        <v>421</v>
      </c>
      <c r="M1601" t="s">
        <v>78</v>
      </c>
      <c r="N1601" t="s">
        <v>79</v>
      </c>
      <c r="T1601" t="s">
        <v>26080</v>
      </c>
      <c r="U1601" t="s">
        <v>26081</v>
      </c>
      <c r="V1601" t="s">
        <v>26082</v>
      </c>
      <c r="W1601" t="s">
        <v>26083</v>
      </c>
      <c r="X1601" t="s">
        <v>26084</v>
      </c>
      <c r="Y1601" t="s">
        <v>26085</v>
      </c>
      <c r="Z1601" t="s">
        <v>26086</v>
      </c>
      <c r="AA1601" t="s">
        <v>26087</v>
      </c>
      <c r="AB1601" t="s">
        <v>26088</v>
      </c>
      <c r="AC1601" t="s">
        <v>26089</v>
      </c>
      <c r="AD1601" t="s">
        <v>26090</v>
      </c>
      <c r="AE1601" t="s">
        <v>26091</v>
      </c>
      <c r="AG1601">
        <v>47</v>
      </c>
      <c r="AH1601">
        <v>20</v>
      </c>
      <c r="AI1601">
        <v>20</v>
      </c>
      <c r="AJ1601">
        <v>2</v>
      </c>
      <c r="AK1601">
        <v>60</v>
      </c>
      <c r="AL1601" t="s">
        <v>430</v>
      </c>
      <c r="AM1601" t="s">
        <v>137</v>
      </c>
      <c r="AN1601" t="s">
        <v>431</v>
      </c>
      <c r="AO1601" t="s">
        <v>432</v>
      </c>
      <c r="AP1601" t="s">
        <v>1394</v>
      </c>
      <c r="AR1601" t="s">
        <v>433</v>
      </c>
      <c r="AS1601" t="s">
        <v>434</v>
      </c>
      <c r="AT1601" t="s">
        <v>267</v>
      </c>
      <c r="AU1601">
        <v>2018</v>
      </c>
      <c r="AV1601">
        <v>241</v>
      </c>
      <c r="BB1601">
        <v>451</v>
      </c>
      <c r="BC1601">
        <v>458</v>
      </c>
      <c r="BE1601" t="s">
        <v>26092</v>
      </c>
      <c r="BF1601" t="s">
        <v>26093</v>
      </c>
      <c r="BI1601">
        <v>8</v>
      </c>
      <c r="BJ1601" t="s">
        <v>144</v>
      </c>
      <c r="BK1601" t="s">
        <v>96</v>
      </c>
      <c r="BL1601" t="s">
        <v>145</v>
      </c>
      <c r="BM1601" t="s">
        <v>26094</v>
      </c>
      <c r="BN1601">
        <v>29864748</v>
      </c>
      <c r="BO1601" t="s">
        <v>2914</v>
      </c>
      <c r="BR1601" t="s">
        <v>98</v>
      </c>
      <c r="BS1601" t="s">
        <v>26095</v>
      </c>
      <c r="BT1601" t="s">
        <v>16602</v>
      </c>
    </row>
    <row r="1602" spans="1:72">
      <c r="A1602" t="s">
        <v>72</v>
      </c>
      <c r="B1602" t="s">
        <v>26096</v>
      </c>
      <c r="F1602" t="s">
        <v>26097</v>
      </c>
      <c r="I1602" t="s">
        <v>26098</v>
      </c>
      <c r="J1602" t="s">
        <v>26099</v>
      </c>
      <c r="M1602" t="s">
        <v>78</v>
      </c>
      <c r="N1602" t="s">
        <v>79</v>
      </c>
      <c r="T1602" t="s">
        <v>26100</v>
      </c>
      <c r="U1602" t="s">
        <v>26101</v>
      </c>
      <c r="V1602" t="s">
        <v>26102</v>
      </c>
      <c r="W1602" t="s">
        <v>26103</v>
      </c>
      <c r="X1602" t="s">
        <v>26104</v>
      </c>
      <c r="Y1602" t="s">
        <v>26105</v>
      </c>
      <c r="Z1602" t="s">
        <v>26106</v>
      </c>
      <c r="AA1602" t="s">
        <v>26107</v>
      </c>
      <c r="AB1602" t="s">
        <v>26108</v>
      </c>
      <c r="AG1602">
        <v>69</v>
      </c>
      <c r="AH1602">
        <v>4</v>
      </c>
      <c r="AI1602">
        <v>4</v>
      </c>
      <c r="AJ1602">
        <v>2</v>
      </c>
      <c r="AK1602">
        <v>9</v>
      </c>
      <c r="AL1602" t="s">
        <v>1350</v>
      </c>
      <c r="AM1602" t="s">
        <v>1351</v>
      </c>
      <c r="AN1602" t="s">
        <v>1352</v>
      </c>
      <c r="AP1602" t="s">
        <v>26109</v>
      </c>
      <c r="AR1602" t="s">
        <v>26110</v>
      </c>
      <c r="AS1602" t="s">
        <v>26111</v>
      </c>
      <c r="AT1602" t="s">
        <v>24808</v>
      </c>
      <c r="AU1602">
        <v>2022</v>
      </c>
      <c r="AV1602">
        <v>10</v>
      </c>
      <c r="BD1602">
        <v>968296</v>
      </c>
      <c r="BE1602" t="s">
        <v>26112</v>
      </c>
      <c r="BF1602" t="s">
        <v>26113</v>
      </c>
      <c r="BI1602">
        <v>15</v>
      </c>
      <c r="BJ1602" t="s">
        <v>12691</v>
      </c>
      <c r="BK1602" t="s">
        <v>11915</v>
      </c>
      <c r="BL1602" t="s">
        <v>12691</v>
      </c>
      <c r="BM1602" t="s">
        <v>26114</v>
      </c>
      <c r="BN1602">
        <v>36211646</v>
      </c>
      <c r="BO1602" t="s">
        <v>2155</v>
      </c>
      <c r="BR1602" t="s">
        <v>98</v>
      </c>
      <c r="BS1602" t="s">
        <v>26115</v>
      </c>
      <c r="BT1602" t="s">
        <v>16602</v>
      </c>
    </row>
    <row r="1603" spans="1:72">
      <c r="A1603" t="s">
        <v>72</v>
      </c>
      <c r="B1603" t="s">
        <v>26116</v>
      </c>
      <c r="F1603" t="s">
        <v>26116</v>
      </c>
      <c r="I1603" t="s">
        <v>26117</v>
      </c>
      <c r="J1603" t="s">
        <v>421</v>
      </c>
      <c r="M1603" t="s">
        <v>78</v>
      </c>
      <c r="N1603" t="s">
        <v>79</v>
      </c>
      <c r="T1603" t="s">
        <v>26118</v>
      </c>
      <c r="U1603" t="s">
        <v>26119</v>
      </c>
      <c r="V1603" t="s">
        <v>26120</v>
      </c>
      <c r="W1603" t="s">
        <v>26121</v>
      </c>
      <c r="X1603" t="s">
        <v>26122</v>
      </c>
      <c r="Y1603" t="s">
        <v>26123</v>
      </c>
      <c r="AG1603">
        <v>51</v>
      </c>
      <c r="AH1603">
        <v>70</v>
      </c>
      <c r="AI1603">
        <v>78</v>
      </c>
      <c r="AJ1603">
        <v>0</v>
      </c>
      <c r="AK1603">
        <v>12</v>
      </c>
      <c r="AL1603" t="s">
        <v>430</v>
      </c>
      <c r="AM1603" t="s">
        <v>137</v>
      </c>
      <c r="AN1603" t="s">
        <v>431</v>
      </c>
      <c r="AO1603" t="s">
        <v>432</v>
      </c>
      <c r="AR1603" t="s">
        <v>433</v>
      </c>
      <c r="AS1603" t="s">
        <v>434</v>
      </c>
      <c r="AU1603">
        <v>2001</v>
      </c>
      <c r="AV1603">
        <v>115</v>
      </c>
      <c r="AW1603">
        <v>2</v>
      </c>
      <c r="BB1603">
        <v>149</v>
      </c>
      <c r="BC1603">
        <v>160</v>
      </c>
      <c r="BE1603" t="s">
        <v>26124</v>
      </c>
      <c r="BF1603" t="s">
        <v>26125</v>
      </c>
      <c r="BI1603">
        <v>12</v>
      </c>
      <c r="BJ1603" t="s">
        <v>144</v>
      </c>
      <c r="BK1603" t="s">
        <v>96</v>
      </c>
      <c r="BL1603" t="s">
        <v>145</v>
      </c>
      <c r="BM1603" t="s">
        <v>26126</v>
      </c>
      <c r="BN1603">
        <v>11706788</v>
      </c>
      <c r="BR1603" t="s">
        <v>98</v>
      </c>
      <c r="BS1603" t="s">
        <v>26127</v>
      </c>
      <c r="BT1603" t="s">
        <v>16602</v>
      </c>
    </row>
    <row r="1604" spans="1:72">
      <c r="A1604" t="s">
        <v>72</v>
      </c>
      <c r="B1604" t="s">
        <v>26128</v>
      </c>
      <c r="F1604" t="s">
        <v>26129</v>
      </c>
      <c r="I1604" t="s">
        <v>26130</v>
      </c>
      <c r="J1604" t="s">
        <v>232</v>
      </c>
      <c r="M1604" t="s">
        <v>78</v>
      </c>
      <c r="N1604" t="s">
        <v>79</v>
      </c>
      <c r="T1604" t="s">
        <v>26131</v>
      </c>
      <c r="U1604" t="s">
        <v>26132</v>
      </c>
      <c r="V1604" t="s">
        <v>26133</v>
      </c>
      <c r="W1604" t="s">
        <v>26134</v>
      </c>
      <c r="X1604" t="s">
        <v>26135</v>
      </c>
      <c r="Y1604" t="s">
        <v>26136</v>
      </c>
      <c r="Z1604" t="s">
        <v>26137</v>
      </c>
      <c r="AA1604" t="s">
        <v>26138</v>
      </c>
      <c r="AC1604" t="s">
        <v>26139</v>
      </c>
      <c r="AD1604" t="s">
        <v>26139</v>
      </c>
      <c r="AE1604" t="s">
        <v>26140</v>
      </c>
      <c r="AG1604">
        <v>52</v>
      </c>
      <c r="AH1604">
        <v>0</v>
      </c>
      <c r="AI1604">
        <v>0</v>
      </c>
      <c r="AJ1604">
        <v>0</v>
      </c>
      <c r="AK1604">
        <v>1</v>
      </c>
      <c r="AL1604" t="s">
        <v>136</v>
      </c>
      <c r="AM1604" t="s">
        <v>137</v>
      </c>
      <c r="AN1604" t="s">
        <v>138</v>
      </c>
      <c r="AO1604" t="s">
        <v>240</v>
      </c>
      <c r="AP1604" t="s">
        <v>241</v>
      </c>
      <c r="AR1604" t="s">
        <v>242</v>
      </c>
      <c r="AS1604" t="s">
        <v>243</v>
      </c>
      <c r="AT1604" t="s">
        <v>951</v>
      </c>
      <c r="AU1604">
        <v>2023</v>
      </c>
      <c r="AV1604">
        <v>196</v>
      </c>
      <c r="BD1604">
        <v>115656</v>
      </c>
      <c r="BE1604" t="s">
        <v>26141</v>
      </c>
      <c r="BF1604" t="s">
        <v>26142</v>
      </c>
      <c r="BH1604" t="s">
        <v>26143</v>
      </c>
      <c r="BI1604">
        <v>9</v>
      </c>
      <c r="BJ1604" t="s">
        <v>247</v>
      </c>
      <c r="BK1604" t="s">
        <v>96</v>
      </c>
      <c r="BL1604" t="s">
        <v>248</v>
      </c>
      <c r="BM1604" t="s">
        <v>26144</v>
      </c>
      <c r="BN1604">
        <v>37864864</v>
      </c>
      <c r="BR1604" t="s">
        <v>98</v>
      </c>
      <c r="BS1604" t="s">
        <v>26145</v>
      </c>
      <c r="BT1604" t="s">
        <v>16602</v>
      </c>
    </row>
    <row r="1605" spans="1:72">
      <c r="A1605" t="s">
        <v>72</v>
      </c>
      <c r="B1605" t="s">
        <v>26146</v>
      </c>
      <c r="F1605" t="s">
        <v>26146</v>
      </c>
      <c r="I1605" t="s">
        <v>26147</v>
      </c>
      <c r="J1605" t="s">
        <v>127</v>
      </c>
      <c r="M1605" t="s">
        <v>78</v>
      </c>
      <c r="N1605" t="s">
        <v>79</v>
      </c>
      <c r="T1605" t="s">
        <v>26148</v>
      </c>
      <c r="U1605" t="s">
        <v>26149</v>
      </c>
      <c r="V1605" t="s">
        <v>26150</v>
      </c>
      <c r="W1605" t="s">
        <v>26151</v>
      </c>
      <c r="X1605" t="s">
        <v>9493</v>
      </c>
      <c r="Y1605" t="s">
        <v>26152</v>
      </c>
      <c r="AA1605" t="s">
        <v>26153</v>
      </c>
      <c r="AB1605" t="s">
        <v>26154</v>
      </c>
      <c r="AG1605">
        <v>24</v>
      </c>
      <c r="AH1605">
        <v>47</v>
      </c>
      <c r="AI1605">
        <v>53</v>
      </c>
      <c r="AJ1605">
        <v>0</v>
      </c>
      <c r="AK1605">
        <v>8</v>
      </c>
      <c r="AL1605" t="s">
        <v>136</v>
      </c>
      <c r="AM1605" t="s">
        <v>137</v>
      </c>
      <c r="AN1605" t="s">
        <v>138</v>
      </c>
      <c r="AO1605" t="s">
        <v>139</v>
      </c>
      <c r="AR1605" t="s">
        <v>127</v>
      </c>
      <c r="AS1605" t="s">
        <v>141</v>
      </c>
      <c r="AT1605" t="s">
        <v>224</v>
      </c>
      <c r="AU1605">
        <v>2002</v>
      </c>
      <c r="AV1605">
        <v>46</v>
      </c>
      <c r="AW1605">
        <v>7</v>
      </c>
      <c r="BB1605">
        <v>1033</v>
      </c>
      <c r="BC1605">
        <v>1043</v>
      </c>
      <c r="BE1605" t="s">
        <v>26155</v>
      </c>
      <c r="BF1605" t="s">
        <v>26156</v>
      </c>
      <c r="BI1605">
        <v>11</v>
      </c>
      <c r="BJ1605" t="s">
        <v>144</v>
      </c>
      <c r="BK1605" t="s">
        <v>96</v>
      </c>
      <c r="BL1605" t="s">
        <v>145</v>
      </c>
      <c r="BM1605" t="s">
        <v>26157</v>
      </c>
      <c r="BN1605">
        <v>11999767</v>
      </c>
      <c r="BR1605" t="s">
        <v>98</v>
      </c>
      <c r="BS1605" t="s">
        <v>26158</v>
      </c>
      <c r="BT1605" t="s">
        <v>16602</v>
      </c>
    </row>
    <row r="1606" spans="1:72">
      <c r="A1606" t="s">
        <v>72</v>
      </c>
      <c r="B1606" t="s">
        <v>26159</v>
      </c>
      <c r="F1606" t="s">
        <v>26159</v>
      </c>
      <c r="I1606" t="s">
        <v>26160</v>
      </c>
      <c r="J1606" t="s">
        <v>232</v>
      </c>
      <c r="M1606" t="s">
        <v>78</v>
      </c>
      <c r="N1606" t="s">
        <v>79</v>
      </c>
      <c r="U1606" t="s">
        <v>26161</v>
      </c>
      <c r="W1606" t="s">
        <v>2842</v>
      </c>
      <c r="X1606" t="s">
        <v>2843</v>
      </c>
      <c r="Y1606" t="s">
        <v>2844</v>
      </c>
      <c r="Z1606" t="s">
        <v>21225</v>
      </c>
      <c r="AG1606">
        <v>17</v>
      </c>
      <c r="AH1606">
        <v>14</v>
      </c>
      <c r="AI1606">
        <v>15</v>
      </c>
      <c r="AJ1606">
        <v>0</v>
      </c>
      <c r="AK1606">
        <v>4</v>
      </c>
      <c r="AL1606" t="s">
        <v>136</v>
      </c>
      <c r="AM1606" t="s">
        <v>137</v>
      </c>
      <c r="AN1606" t="s">
        <v>138</v>
      </c>
      <c r="AO1606" t="s">
        <v>240</v>
      </c>
      <c r="AP1606" t="s">
        <v>241</v>
      </c>
      <c r="AR1606" t="s">
        <v>242</v>
      </c>
      <c r="AS1606" t="s">
        <v>243</v>
      </c>
      <c r="AT1606" t="s">
        <v>170</v>
      </c>
      <c r="AU1606">
        <v>2000</v>
      </c>
      <c r="AV1606">
        <v>40</v>
      </c>
      <c r="AW1606">
        <v>5</v>
      </c>
      <c r="BB1606">
        <v>457</v>
      </c>
      <c r="BC1606">
        <v>460</v>
      </c>
      <c r="BE1606" t="s">
        <v>26162</v>
      </c>
      <c r="BF1606" t="s">
        <v>26163</v>
      </c>
      <c r="BI1606">
        <v>4</v>
      </c>
      <c r="BJ1606" t="s">
        <v>247</v>
      </c>
      <c r="BK1606" t="s">
        <v>96</v>
      </c>
      <c r="BL1606" t="s">
        <v>248</v>
      </c>
      <c r="BM1606" t="s">
        <v>26164</v>
      </c>
      <c r="BR1606" t="s">
        <v>98</v>
      </c>
      <c r="BS1606" t="s">
        <v>26165</v>
      </c>
      <c r="BT1606" t="s">
        <v>16602</v>
      </c>
    </row>
    <row r="1607" spans="1:72">
      <c r="A1607" t="s">
        <v>72</v>
      </c>
      <c r="B1607" t="s">
        <v>26166</v>
      </c>
      <c r="F1607" t="s">
        <v>26167</v>
      </c>
      <c r="I1607" t="s">
        <v>26168</v>
      </c>
      <c r="J1607" t="s">
        <v>421</v>
      </c>
      <c r="M1607" t="s">
        <v>78</v>
      </c>
      <c r="N1607" t="s">
        <v>79</v>
      </c>
      <c r="T1607" t="s">
        <v>26169</v>
      </c>
      <c r="U1607" t="s">
        <v>26170</v>
      </c>
      <c r="V1607" t="s">
        <v>26171</v>
      </c>
      <c r="W1607" t="s">
        <v>26172</v>
      </c>
      <c r="X1607" t="s">
        <v>26173</v>
      </c>
      <c r="Y1607" t="s">
        <v>26174</v>
      </c>
      <c r="Z1607" t="s">
        <v>26175</v>
      </c>
      <c r="AA1607" t="s">
        <v>21166</v>
      </c>
      <c r="AB1607" t="s">
        <v>26176</v>
      </c>
      <c r="AC1607" t="s">
        <v>26177</v>
      </c>
      <c r="AD1607" t="s">
        <v>26178</v>
      </c>
      <c r="AE1607" t="s">
        <v>26179</v>
      </c>
      <c r="AG1607">
        <v>52</v>
      </c>
      <c r="AH1607">
        <v>25</v>
      </c>
      <c r="AI1607">
        <v>27</v>
      </c>
      <c r="AJ1607">
        <v>6</v>
      </c>
      <c r="AK1607">
        <v>85</v>
      </c>
      <c r="AL1607" t="s">
        <v>430</v>
      </c>
      <c r="AM1607" t="s">
        <v>137</v>
      </c>
      <c r="AN1607" t="s">
        <v>431</v>
      </c>
      <c r="AO1607" t="s">
        <v>432</v>
      </c>
      <c r="AP1607" t="s">
        <v>1394</v>
      </c>
      <c r="AR1607" t="s">
        <v>433</v>
      </c>
      <c r="AS1607" t="s">
        <v>434</v>
      </c>
      <c r="AT1607" t="s">
        <v>197</v>
      </c>
      <c r="AU1607">
        <v>2018</v>
      </c>
      <c r="AV1607">
        <v>243</v>
      </c>
      <c r="AX1607" t="s">
        <v>13570</v>
      </c>
      <c r="BB1607">
        <v>862</v>
      </c>
      <c r="BC1607">
        <v>871</v>
      </c>
      <c r="BE1607" t="s">
        <v>26180</v>
      </c>
      <c r="BF1607" t="s">
        <v>26181</v>
      </c>
      <c r="BI1607">
        <v>10</v>
      </c>
      <c r="BJ1607" t="s">
        <v>144</v>
      </c>
      <c r="BK1607" t="s">
        <v>96</v>
      </c>
      <c r="BL1607" t="s">
        <v>145</v>
      </c>
      <c r="BM1607" t="s">
        <v>26182</v>
      </c>
      <c r="BN1607">
        <v>30245448</v>
      </c>
      <c r="BO1607" t="s">
        <v>1270</v>
      </c>
      <c r="BR1607" t="s">
        <v>98</v>
      </c>
      <c r="BS1607" t="s">
        <v>26183</v>
      </c>
      <c r="BT1607" t="s">
        <v>16602</v>
      </c>
    </row>
    <row r="1608" spans="1:72">
      <c r="A1608" t="s">
        <v>72</v>
      </c>
      <c r="B1608" t="s">
        <v>26184</v>
      </c>
      <c r="F1608" t="s">
        <v>26185</v>
      </c>
      <c r="I1608" t="s">
        <v>26186</v>
      </c>
      <c r="J1608" t="s">
        <v>421</v>
      </c>
      <c r="M1608" t="s">
        <v>78</v>
      </c>
      <c r="N1608" t="s">
        <v>79</v>
      </c>
      <c r="T1608" t="s">
        <v>26187</v>
      </c>
      <c r="U1608" t="s">
        <v>26188</v>
      </c>
      <c r="V1608" t="s">
        <v>26189</v>
      </c>
      <c r="W1608" t="s">
        <v>26190</v>
      </c>
      <c r="X1608" t="s">
        <v>26191</v>
      </c>
      <c r="Y1608" t="s">
        <v>26192</v>
      </c>
      <c r="Z1608" t="s">
        <v>26193</v>
      </c>
      <c r="AA1608" t="s">
        <v>26194</v>
      </c>
      <c r="AB1608" t="s">
        <v>26195</v>
      </c>
      <c r="AC1608" t="s">
        <v>26196</v>
      </c>
      <c r="AD1608" t="s">
        <v>26197</v>
      </c>
      <c r="AE1608" t="s">
        <v>26198</v>
      </c>
      <c r="AG1608">
        <v>78</v>
      </c>
      <c r="AH1608">
        <v>6</v>
      </c>
      <c r="AI1608">
        <v>7</v>
      </c>
      <c r="AJ1608">
        <v>0</v>
      </c>
      <c r="AK1608">
        <v>47</v>
      </c>
      <c r="AL1608" t="s">
        <v>430</v>
      </c>
      <c r="AM1608" t="s">
        <v>137</v>
      </c>
      <c r="AN1608" t="s">
        <v>431</v>
      </c>
      <c r="AO1608" t="s">
        <v>432</v>
      </c>
      <c r="AP1608" t="s">
        <v>1394</v>
      </c>
      <c r="AR1608" t="s">
        <v>433</v>
      </c>
      <c r="AS1608" t="s">
        <v>434</v>
      </c>
      <c r="AT1608" t="s">
        <v>951</v>
      </c>
      <c r="AU1608">
        <v>2019</v>
      </c>
      <c r="AV1608">
        <v>254</v>
      </c>
      <c r="AX1608" t="s">
        <v>489</v>
      </c>
      <c r="BD1608">
        <v>112976</v>
      </c>
      <c r="BE1608" t="s">
        <v>26199</v>
      </c>
      <c r="BF1608" t="s">
        <v>26200</v>
      </c>
      <c r="BI1608">
        <v>10</v>
      </c>
      <c r="BJ1608" t="s">
        <v>144</v>
      </c>
      <c r="BK1608" t="s">
        <v>96</v>
      </c>
      <c r="BL1608" t="s">
        <v>145</v>
      </c>
      <c r="BM1608" t="s">
        <v>26201</v>
      </c>
      <c r="BN1608">
        <v>31404732</v>
      </c>
      <c r="BO1608" t="s">
        <v>18961</v>
      </c>
      <c r="BR1608" t="s">
        <v>98</v>
      </c>
      <c r="BS1608" t="s">
        <v>26202</v>
      </c>
      <c r="BT1608" t="s">
        <v>16602</v>
      </c>
    </row>
    <row r="1609" spans="1:72">
      <c r="A1609" t="s">
        <v>72</v>
      </c>
      <c r="B1609" t="s">
        <v>26203</v>
      </c>
      <c r="F1609" t="s">
        <v>26204</v>
      </c>
      <c r="I1609" t="s">
        <v>26205</v>
      </c>
      <c r="J1609" t="s">
        <v>1202</v>
      </c>
      <c r="M1609" t="s">
        <v>78</v>
      </c>
      <c r="N1609" t="s">
        <v>79</v>
      </c>
      <c r="T1609" t="s">
        <v>26206</v>
      </c>
      <c r="U1609" t="s">
        <v>26207</v>
      </c>
      <c r="V1609" t="s">
        <v>26208</v>
      </c>
      <c r="W1609" t="s">
        <v>26209</v>
      </c>
      <c r="X1609" t="s">
        <v>26210</v>
      </c>
      <c r="Y1609" t="s">
        <v>26211</v>
      </c>
      <c r="Z1609" t="s">
        <v>26212</v>
      </c>
      <c r="AB1609" t="s">
        <v>26213</v>
      </c>
      <c r="AC1609" t="s">
        <v>26214</v>
      </c>
      <c r="AD1609" t="s">
        <v>26215</v>
      </c>
      <c r="AE1609" t="s">
        <v>26216</v>
      </c>
      <c r="AG1609">
        <v>47</v>
      </c>
      <c r="AH1609">
        <v>1</v>
      </c>
      <c r="AI1609">
        <v>1</v>
      </c>
      <c r="AJ1609">
        <v>0</v>
      </c>
      <c r="AK1609">
        <v>9</v>
      </c>
      <c r="AL1609" t="s">
        <v>112</v>
      </c>
      <c r="AM1609" t="s">
        <v>191</v>
      </c>
      <c r="AN1609" t="s">
        <v>192</v>
      </c>
      <c r="AO1609" t="s">
        <v>1207</v>
      </c>
      <c r="AP1609" t="s">
        <v>4902</v>
      </c>
      <c r="AR1609" t="s">
        <v>1202</v>
      </c>
      <c r="AS1609" t="s">
        <v>1208</v>
      </c>
      <c r="AT1609" t="s">
        <v>170</v>
      </c>
      <c r="AU1609">
        <v>2022</v>
      </c>
      <c r="AV1609">
        <v>849</v>
      </c>
      <c r="AW1609">
        <v>9</v>
      </c>
      <c r="BB1609">
        <v>2029</v>
      </c>
      <c r="BC1609">
        <v>2041</v>
      </c>
      <c r="BE1609" t="s">
        <v>26217</v>
      </c>
      <c r="BF1609" t="s">
        <v>26218</v>
      </c>
      <c r="BH1609" t="s">
        <v>5038</v>
      </c>
      <c r="BI1609">
        <v>13</v>
      </c>
      <c r="BJ1609" t="s">
        <v>680</v>
      </c>
      <c r="BK1609" t="s">
        <v>96</v>
      </c>
      <c r="BL1609" t="s">
        <v>680</v>
      </c>
      <c r="BM1609" t="s">
        <v>26219</v>
      </c>
      <c r="BR1609" t="s">
        <v>98</v>
      </c>
      <c r="BS1609" t="s">
        <v>26220</v>
      </c>
      <c r="BT1609" t="s">
        <v>16602</v>
      </c>
    </row>
    <row r="1610" spans="1:72">
      <c r="A1610" t="s">
        <v>72</v>
      </c>
      <c r="B1610" t="s">
        <v>26221</v>
      </c>
      <c r="F1610" t="s">
        <v>26222</v>
      </c>
      <c r="I1610" t="s">
        <v>26223</v>
      </c>
      <c r="J1610" t="s">
        <v>909</v>
      </c>
      <c r="M1610" t="s">
        <v>78</v>
      </c>
      <c r="N1610" t="s">
        <v>79</v>
      </c>
      <c r="T1610" t="s">
        <v>26224</v>
      </c>
      <c r="U1610" t="s">
        <v>26225</v>
      </c>
      <c r="V1610" t="s">
        <v>26226</v>
      </c>
      <c r="W1610" t="s">
        <v>26227</v>
      </c>
      <c r="X1610" t="s">
        <v>26228</v>
      </c>
      <c r="Y1610" t="s">
        <v>26229</v>
      </c>
      <c r="Z1610" t="s">
        <v>26230</v>
      </c>
      <c r="AA1610" t="s">
        <v>10196</v>
      </c>
      <c r="AB1610" t="s">
        <v>26231</v>
      </c>
      <c r="AG1610">
        <v>62</v>
      </c>
      <c r="AH1610">
        <v>4</v>
      </c>
      <c r="AI1610">
        <v>4</v>
      </c>
      <c r="AJ1610">
        <v>2</v>
      </c>
      <c r="AK1610">
        <v>14</v>
      </c>
      <c r="AL1610" t="s">
        <v>650</v>
      </c>
      <c r="AM1610" t="s">
        <v>651</v>
      </c>
      <c r="AN1610" t="s">
        <v>652</v>
      </c>
      <c r="AO1610" t="s">
        <v>921</v>
      </c>
      <c r="AP1610" t="s">
        <v>922</v>
      </c>
      <c r="AR1610" t="s">
        <v>923</v>
      </c>
      <c r="AS1610" t="s">
        <v>924</v>
      </c>
      <c r="AT1610" t="s">
        <v>15610</v>
      </c>
      <c r="AU1610">
        <v>2023</v>
      </c>
      <c r="AV1610">
        <v>858</v>
      </c>
      <c r="AX1610">
        <v>3</v>
      </c>
      <c r="BD1610">
        <v>160018</v>
      </c>
      <c r="BE1610" t="s">
        <v>26232</v>
      </c>
      <c r="BF1610" t="s">
        <v>26233</v>
      </c>
      <c r="BH1610" t="s">
        <v>699</v>
      </c>
      <c r="BI1610">
        <v>11</v>
      </c>
      <c r="BJ1610" t="s">
        <v>144</v>
      </c>
      <c r="BK1610" t="s">
        <v>96</v>
      </c>
      <c r="BL1610" t="s">
        <v>145</v>
      </c>
      <c r="BM1610" t="s">
        <v>26234</v>
      </c>
      <c r="BN1610">
        <v>36356744</v>
      </c>
      <c r="BR1610" t="s">
        <v>98</v>
      </c>
      <c r="BS1610" t="s">
        <v>26235</v>
      </c>
      <c r="BT1610" t="s">
        <v>16602</v>
      </c>
    </row>
    <row r="1611" spans="1:72">
      <c r="A1611" t="s">
        <v>72</v>
      </c>
      <c r="B1611" t="s">
        <v>26236</v>
      </c>
      <c r="F1611" t="s">
        <v>26236</v>
      </c>
      <c r="I1611" t="s">
        <v>26237</v>
      </c>
      <c r="J1611" t="s">
        <v>232</v>
      </c>
      <c r="M1611" t="s">
        <v>78</v>
      </c>
      <c r="N1611" t="s">
        <v>79</v>
      </c>
      <c r="T1611" t="s">
        <v>26238</v>
      </c>
      <c r="U1611" t="s">
        <v>26239</v>
      </c>
      <c r="V1611" t="s">
        <v>26240</v>
      </c>
      <c r="W1611" t="s">
        <v>26241</v>
      </c>
      <c r="X1611" t="s">
        <v>26242</v>
      </c>
      <c r="Y1611" t="s">
        <v>26243</v>
      </c>
      <c r="Z1611" t="s">
        <v>26244</v>
      </c>
      <c r="AA1611" t="s">
        <v>26153</v>
      </c>
      <c r="AB1611" t="s">
        <v>26245</v>
      </c>
      <c r="AG1611">
        <v>18</v>
      </c>
      <c r="AH1611">
        <v>33</v>
      </c>
      <c r="AI1611">
        <v>33</v>
      </c>
      <c r="AJ1611">
        <v>0</v>
      </c>
      <c r="AK1611">
        <v>3</v>
      </c>
      <c r="AL1611" t="s">
        <v>136</v>
      </c>
      <c r="AM1611" t="s">
        <v>137</v>
      </c>
      <c r="AN1611" t="s">
        <v>138</v>
      </c>
      <c r="AO1611" t="s">
        <v>240</v>
      </c>
      <c r="AP1611" t="s">
        <v>241</v>
      </c>
      <c r="AR1611" t="s">
        <v>242</v>
      </c>
      <c r="AS1611" t="s">
        <v>243</v>
      </c>
      <c r="AT1611" t="s">
        <v>1470</v>
      </c>
      <c r="AU1611">
        <v>2004</v>
      </c>
      <c r="AV1611">
        <v>48</v>
      </c>
      <c r="AW1611" t="s">
        <v>326</v>
      </c>
      <c r="BB1611">
        <v>153</v>
      </c>
      <c r="BC1611">
        <v>163</v>
      </c>
      <c r="BE1611" t="s">
        <v>26246</v>
      </c>
      <c r="BF1611" t="s">
        <v>26247</v>
      </c>
      <c r="BI1611">
        <v>11</v>
      </c>
      <c r="BJ1611" t="s">
        <v>247</v>
      </c>
      <c r="BK1611" t="s">
        <v>96</v>
      </c>
      <c r="BL1611" t="s">
        <v>248</v>
      </c>
      <c r="BM1611" t="s">
        <v>26248</v>
      </c>
      <c r="BN1611">
        <v>14725887</v>
      </c>
      <c r="BR1611" t="s">
        <v>98</v>
      </c>
      <c r="BS1611" t="s">
        <v>26249</v>
      </c>
      <c r="BT1611" t="s">
        <v>16602</v>
      </c>
    </row>
    <row r="1612" spans="1:72">
      <c r="A1612" t="s">
        <v>72</v>
      </c>
      <c r="B1612" t="s">
        <v>26250</v>
      </c>
      <c r="F1612" t="s">
        <v>26251</v>
      </c>
      <c r="I1612" t="s">
        <v>26252</v>
      </c>
      <c r="J1612" t="s">
        <v>421</v>
      </c>
      <c r="M1612" t="s">
        <v>78</v>
      </c>
      <c r="N1612" t="s">
        <v>79</v>
      </c>
      <c r="T1612" t="s">
        <v>26253</v>
      </c>
      <c r="U1612" t="s">
        <v>26254</v>
      </c>
      <c r="V1612" t="s">
        <v>26255</v>
      </c>
      <c r="W1612" t="s">
        <v>26256</v>
      </c>
      <c r="X1612" t="s">
        <v>15864</v>
      </c>
      <c r="Y1612" t="s">
        <v>26257</v>
      </c>
      <c r="Z1612" t="s">
        <v>6919</v>
      </c>
      <c r="AG1612">
        <v>28</v>
      </c>
      <c r="AH1612">
        <v>22</v>
      </c>
      <c r="AI1612">
        <v>27</v>
      </c>
      <c r="AJ1612">
        <v>0</v>
      </c>
      <c r="AK1612">
        <v>6</v>
      </c>
      <c r="AL1612" t="s">
        <v>430</v>
      </c>
      <c r="AM1612" t="s">
        <v>137</v>
      </c>
      <c r="AN1612" t="s">
        <v>431</v>
      </c>
      <c r="AO1612" t="s">
        <v>432</v>
      </c>
      <c r="AP1612" t="s">
        <v>1394</v>
      </c>
      <c r="AR1612" t="s">
        <v>433</v>
      </c>
      <c r="AS1612" t="s">
        <v>434</v>
      </c>
      <c r="AT1612" t="s">
        <v>8920</v>
      </c>
      <c r="AU1612">
        <v>2006</v>
      </c>
      <c r="AV1612">
        <v>144</v>
      </c>
      <c r="AW1612">
        <v>1</v>
      </c>
      <c r="BB1612">
        <v>172</v>
      </c>
      <c r="BC1612">
        <v>183</v>
      </c>
      <c r="BE1612" t="s">
        <v>26258</v>
      </c>
      <c r="BF1612" t="s">
        <v>26259</v>
      </c>
      <c r="BI1612">
        <v>12</v>
      </c>
      <c r="BJ1612" t="s">
        <v>144</v>
      </c>
      <c r="BK1612" t="s">
        <v>96</v>
      </c>
      <c r="BL1612" t="s">
        <v>145</v>
      </c>
      <c r="BM1612" t="s">
        <v>22543</v>
      </c>
      <c r="BN1612">
        <v>16515830</v>
      </c>
      <c r="BO1612" t="s">
        <v>1752</v>
      </c>
      <c r="BR1612" t="s">
        <v>98</v>
      </c>
      <c r="BS1612" t="s">
        <v>26260</v>
      </c>
      <c r="BT1612" t="s">
        <v>16602</v>
      </c>
    </row>
    <row r="1613" spans="1:72">
      <c r="A1613" t="s">
        <v>72</v>
      </c>
      <c r="B1613" t="s">
        <v>26261</v>
      </c>
      <c r="F1613" t="s">
        <v>26262</v>
      </c>
      <c r="I1613" t="s">
        <v>26263</v>
      </c>
      <c r="J1613" t="s">
        <v>554</v>
      </c>
      <c r="M1613" t="s">
        <v>78</v>
      </c>
      <c r="N1613" t="s">
        <v>79</v>
      </c>
      <c r="T1613" t="s">
        <v>26264</v>
      </c>
      <c r="U1613" t="s">
        <v>26265</v>
      </c>
      <c r="V1613" t="s">
        <v>26266</v>
      </c>
      <c r="W1613" t="s">
        <v>26267</v>
      </c>
      <c r="X1613" t="s">
        <v>26268</v>
      </c>
      <c r="Y1613" t="s">
        <v>26269</v>
      </c>
      <c r="Z1613" t="s">
        <v>26270</v>
      </c>
      <c r="AA1613" t="s">
        <v>26271</v>
      </c>
      <c r="AG1613">
        <v>43</v>
      </c>
      <c r="AH1613">
        <v>47</v>
      </c>
      <c r="AI1613">
        <v>50</v>
      </c>
      <c r="AJ1613">
        <v>1</v>
      </c>
      <c r="AK1613">
        <v>33</v>
      </c>
      <c r="AL1613" t="s">
        <v>564</v>
      </c>
      <c r="AM1613" t="s">
        <v>113</v>
      </c>
      <c r="AN1613" t="s">
        <v>565</v>
      </c>
      <c r="AO1613" t="s">
        <v>566</v>
      </c>
      <c r="AR1613" t="s">
        <v>568</v>
      </c>
      <c r="AS1613" t="s">
        <v>569</v>
      </c>
      <c r="AT1613" t="s">
        <v>170</v>
      </c>
      <c r="AU1613">
        <v>2007</v>
      </c>
      <c r="AV1613">
        <v>145</v>
      </c>
      <c r="AW1613">
        <v>4</v>
      </c>
      <c r="BB1613">
        <v>542</v>
      </c>
      <c r="BC1613">
        <v>552</v>
      </c>
      <c r="BE1613" t="s">
        <v>26272</v>
      </c>
      <c r="BF1613" t="s">
        <v>26273</v>
      </c>
      <c r="BI1613">
        <v>11</v>
      </c>
      <c r="BJ1613" t="s">
        <v>571</v>
      </c>
      <c r="BK1613" t="s">
        <v>96</v>
      </c>
      <c r="BL1613" t="s">
        <v>571</v>
      </c>
      <c r="BM1613" t="s">
        <v>26274</v>
      </c>
      <c r="BN1613">
        <v>17383941</v>
      </c>
      <c r="BR1613" t="s">
        <v>98</v>
      </c>
      <c r="BS1613" t="s">
        <v>26275</v>
      </c>
      <c r="BT1613" t="s">
        <v>16602</v>
      </c>
    </row>
    <row r="1614" spans="1:72">
      <c r="A1614" t="s">
        <v>72</v>
      </c>
      <c r="B1614" t="s">
        <v>26276</v>
      </c>
      <c r="F1614" t="s">
        <v>26277</v>
      </c>
      <c r="I1614" t="s">
        <v>26278</v>
      </c>
      <c r="J1614" t="s">
        <v>232</v>
      </c>
      <c r="M1614" t="s">
        <v>78</v>
      </c>
      <c r="N1614" t="s">
        <v>79</v>
      </c>
      <c r="T1614" t="s">
        <v>26279</v>
      </c>
      <c r="U1614" t="s">
        <v>26280</v>
      </c>
      <c r="V1614" t="s">
        <v>26281</v>
      </c>
      <c r="W1614" t="s">
        <v>26282</v>
      </c>
      <c r="X1614" t="s">
        <v>13541</v>
      </c>
      <c r="Y1614" t="s">
        <v>26283</v>
      </c>
      <c r="Z1614" t="s">
        <v>26284</v>
      </c>
      <c r="AA1614" t="s">
        <v>26285</v>
      </c>
      <c r="AB1614" t="s">
        <v>26286</v>
      </c>
      <c r="AC1614" t="s">
        <v>26287</v>
      </c>
      <c r="AD1614" t="s">
        <v>26288</v>
      </c>
      <c r="AE1614" t="s">
        <v>26289</v>
      </c>
      <c r="AG1614">
        <v>53</v>
      </c>
      <c r="AH1614">
        <v>21</v>
      </c>
      <c r="AI1614">
        <v>22</v>
      </c>
      <c r="AJ1614">
        <v>0</v>
      </c>
      <c r="AK1614">
        <v>17</v>
      </c>
      <c r="AL1614" t="s">
        <v>136</v>
      </c>
      <c r="AM1614" t="s">
        <v>137</v>
      </c>
      <c r="AN1614" t="s">
        <v>138</v>
      </c>
      <c r="AO1614" t="s">
        <v>240</v>
      </c>
      <c r="AP1614" t="s">
        <v>241</v>
      </c>
      <c r="AR1614" t="s">
        <v>242</v>
      </c>
      <c r="AS1614" t="s">
        <v>243</v>
      </c>
      <c r="AT1614" t="s">
        <v>1965</v>
      </c>
      <c r="AU1614">
        <v>2013</v>
      </c>
      <c r="AV1614">
        <v>77</v>
      </c>
      <c r="AW1614" t="s">
        <v>326</v>
      </c>
      <c r="BB1614">
        <v>71</v>
      </c>
      <c r="BC1614">
        <v>81</v>
      </c>
      <c r="BE1614" t="s">
        <v>26290</v>
      </c>
      <c r="BF1614" t="s">
        <v>26291</v>
      </c>
      <c r="BI1614">
        <v>11</v>
      </c>
      <c r="BJ1614" t="s">
        <v>247</v>
      </c>
      <c r="BK1614" t="s">
        <v>96</v>
      </c>
      <c r="BL1614" t="s">
        <v>248</v>
      </c>
      <c r="BM1614" t="s">
        <v>26292</v>
      </c>
      <c r="BN1614">
        <v>24237993</v>
      </c>
      <c r="BR1614" t="s">
        <v>98</v>
      </c>
      <c r="BS1614" t="s">
        <v>26293</v>
      </c>
      <c r="BT1614" t="s">
        <v>16602</v>
      </c>
    </row>
    <row r="1615" spans="1:72">
      <c r="A1615" t="s">
        <v>72</v>
      </c>
      <c r="B1615" t="s">
        <v>26294</v>
      </c>
      <c r="F1615" t="s">
        <v>26295</v>
      </c>
      <c r="I1615" t="s">
        <v>26296</v>
      </c>
      <c r="J1615" t="s">
        <v>7097</v>
      </c>
      <c r="M1615" t="s">
        <v>78</v>
      </c>
      <c r="N1615" t="s">
        <v>79</v>
      </c>
      <c r="T1615" t="s">
        <v>26297</v>
      </c>
      <c r="U1615" t="s">
        <v>26298</v>
      </c>
      <c r="V1615" t="s">
        <v>26299</v>
      </c>
      <c r="W1615" t="s">
        <v>26300</v>
      </c>
      <c r="X1615" t="s">
        <v>26301</v>
      </c>
      <c r="Y1615" t="s">
        <v>23805</v>
      </c>
      <c r="Z1615" t="s">
        <v>9288</v>
      </c>
      <c r="AA1615" t="s">
        <v>26302</v>
      </c>
      <c r="AB1615" t="s">
        <v>26303</v>
      </c>
      <c r="AC1615" t="s">
        <v>26304</v>
      </c>
      <c r="AD1615" t="s">
        <v>26305</v>
      </c>
      <c r="AE1615" t="s">
        <v>26306</v>
      </c>
      <c r="AG1615">
        <v>81</v>
      </c>
      <c r="AH1615">
        <v>29</v>
      </c>
      <c r="AI1615">
        <v>30</v>
      </c>
      <c r="AJ1615">
        <v>1</v>
      </c>
      <c r="AK1615">
        <v>23</v>
      </c>
      <c r="AL1615" t="s">
        <v>650</v>
      </c>
      <c r="AM1615" t="s">
        <v>651</v>
      </c>
      <c r="AN1615" t="s">
        <v>652</v>
      </c>
      <c r="AO1615" t="s">
        <v>7110</v>
      </c>
      <c r="AP1615" t="s">
        <v>7111</v>
      </c>
      <c r="AR1615" t="s">
        <v>7112</v>
      </c>
      <c r="AS1615" t="s">
        <v>7113</v>
      </c>
      <c r="AT1615" t="s">
        <v>267</v>
      </c>
      <c r="AU1615">
        <v>2018</v>
      </c>
      <c r="AV1615">
        <v>93</v>
      </c>
      <c r="BB1615">
        <v>1060</v>
      </c>
      <c r="BC1615">
        <v>1069</v>
      </c>
      <c r="BE1615" t="s">
        <v>26307</v>
      </c>
      <c r="BF1615" t="s">
        <v>26308</v>
      </c>
      <c r="BI1615">
        <v>10</v>
      </c>
      <c r="BJ1615" t="s">
        <v>4923</v>
      </c>
      <c r="BK1615" t="s">
        <v>96</v>
      </c>
      <c r="BL1615" t="s">
        <v>4924</v>
      </c>
      <c r="BM1615" t="s">
        <v>26309</v>
      </c>
      <c r="BR1615" t="s">
        <v>98</v>
      </c>
      <c r="BS1615" t="s">
        <v>26310</v>
      </c>
      <c r="BT1615" t="s">
        <v>16602</v>
      </c>
    </row>
    <row r="1616" spans="1:72">
      <c r="A1616" t="s">
        <v>72</v>
      </c>
      <c r="B1616" t="s">
        <v>26311</v>
      </c>
      <c r="F1616" t="s">
        <v>26312</v>
      </c>
      <c r="I1616" t="s">
        <v>26313</v>
      </c>
      <c r="J1616" t="s">
        <v>232</v>
      </c>
      <c r="M1616" t="s">
        <v>78</v>
      </c>
      <c r="N1616" t="s">
        <v>79</v>
      </c>
      <c r="T1616" t="s">
        <v>26314</v>
      </c>
      <c r="U1616" t="s">
        <v>26315</v>
      </c>
      <c r="V1616" t="s">
        <v>26316</v>
      </c>
      <c r="W1616" t="s">
        <v>26317</v>
      </c>
      <c r="X1616" t="s">
        <v>26318</v>
      </c>
      <c r="Y1616" t="s">
        <v>26319</v>
      </c>
      <c r="Z1616" t="s">
        <v>26320</v>
      </c>
      <c r="AA1616" t="s">
        <v>26321</v>
      </c>
      <c r="AB1616" t="s">
        <v>26322</v>
      </c>
      <c r="AC1616" t="s">
        <v>26323</v>
      </c>
      <c r="AD1616" t="s">
        <v>26323</v>
      </c>
      <c r="AE1616" t="s">
        <v>26324</v>
      </c>
      <c r="AG1616">
        <v>36</v>
      </c>
      <c r="AH1616">
        <v>75</v>
      </c>
      <c r="AI1616">
        <v>83</v>
      </c>
      <c r="AJ1616">
        <v>0</v>
      </c>
      <c r="AK1616">
        <v>42</v>
      </c>
      <c r="AL1616" t="s">
        <v>136</v>
      </c>
      <c r="AM1616" t="s">
        <v>137</v>
      </c>
      <c r="AN1616" t="s">
        <v>138</v>
      </c>
      <c r="AO1616" t="s">
        <v>240</v>
      </c>
      <c r="AP1616" t="s">
        <v>241</v>
      </c>
      <c r="AR1616" t="s">
        <v>242</v>
      </c>
      <c r="AS1616" t="s">
        <v>243</v>
      </c>
      <c r="AT1616" t="s">
        <v>1223</v>
      </c>
      <c r="AU1616">
        <v>2012</v>
      </c>
      <c r="AV1616">
        <v>64</v>
      </c>
      <c r="AW1616">
        <v>3</v>
      </c>
      <c r="BB1616">
        <v>521</v>
      </c>
      <c r="BC1616">
        <v>531</v>
      </c>
      <c r="BE1616" t="s">
        <v>26325</v>
      </c>
      <c r="BF1616" t="s">
        <v>26326</v>
      </c>
      <c r="BI1616">
        <v>11</v>
      </c>
      <c r="BJ1616" t="s">
        <v>247</v>
      </c>
      <c r="BK1616" t="s">
        <v>96</v>
      </c>
      <c r="BL1616" t="s">
        <v>248</v>
      </c>
      <c r="BM1616" t="s">
        <v>26327</v>
      </c>
      <c r="BN1616">
        <v>22248646</v>
      </c>
      <c r="BO1616" t="s">
        <v>1752</v>
      </c>
      <c r="BR1616" t="s">
        <v>98</v>
      </c>
      <c r="BS1616" t="s">
        <v>26328</v>
      </c>
      <c r="BT1616" t="s">
        <v>16602</v>
      </c>
    </row>
    <row r="1617" spans="1:72">
      <c r="A1617" t="s">
        <v>72</v>
      </c>
      <c r="B1617" t="s">
        <v>26329</v>
      </c>
      <c r="F1617" t="s">
        <v>26330</v>
      </c>
      <c r="I1617" t="s">
        <v>26331</v>
      </c>
      <c r="J1617" t="s">
        <v>4909</v>
      </c>
      <c r="M1617" t="s">
        <v>78</v>
      </c>
      <c r="N1617" t="s">
        <v>79</v>
      </c>
      <c r="T1617" t="s">
        <v>26332</v>
      </c>
      <c r="U1617" t="s">
        <v>26333</v>
      </c>
      <c r="V1617" t="s">
        <v>26334</v>
      </c>
      <c r="W1617" t="s">
        <v>26335</v>
      </c>
      <c r="X1617" t="s">
        <v>26336</v>
      </c>
      <c r="Y1617" t="s">
        <v>26337</v>
      </c>
      <c r="Z1617" t="s">
        <v>6404</v>
      </c>
      <c r="AA1617" t="s">
        <v>26338</v>
      </c>
      <c r="AB1617" t="s">
        <v>26339</v>
      </c>
      <c r="AC1617" t="s">
        <v>26340</v>
      </c>
      <c r="AD1617" t="s">
        <v>26341</v>
      </c>
      <c r="AE1617" t="s">
        <v>26342</v>
      </c>
      <c r="AG1617">
        <v>47</v>
      </c>
      <c r="AH1617">
        <v>12</v>
      </c>
      <c r="AI1617">
        <v>14</v>
      </c>
      <c r="AJ1617">
        <v>0</v>
      </c>
      <c r="AK1617">
        <v>17</v>
      </c>
      <c r="AL1617" t="s">
        <v>408</v>
      </c>
      <c r="AM1617" t="s">
        <v>409</v>
      </c>
      <c r="AN1617" t="s">
        <v>1188</v>
      </c>
      <c r="AO1617" t="s">
        <v>4917</v>
      </c>
      <c r="AP1617" t="s">
        <v>4918</v>
      </c>
      <c r="AR1617" t="s">
        <v>4919</v>
      </c>
      <c r="AS1617" t="s">
        <v>4920</v>
      </c>
      <c r="AT1617" t="s">
        <v>6805</v>
      </c>
      <c r="AU1617">
        <v>2019</v>
      </c>
      <c r="AV1617">
        <v>25</v>
      </c>
      <c r="AW1617">
        <v>5</v>
      </c>
      <c r="BB1617">
        <v>1176</v>
      </c>
      <c r="BC1617">
        <v>1188</v>
      </c>
      <c r="BE1617" t="s">
        <v>26343</v>
      </c>
      <c r="BF1617" t="s">
        <v>26344</v>
      </c>
      <c r="BI1617">
        <v>13</v>
      </c>
      <c r="BJ1617" t="s">
        <v>4923</v>
      </c>
      <c r="BK1617" t="s">
        <v>96</v>
      </c>
      <c r="BL1617" t="s">
        <v>4924</v>
      </c>
      <c r="BM1617" t="s">
        <v>26345</v>
      </c>
      <c r="BR1617" t="s">
        <v>98</v>
      </c>
      <c r="BS1617" t="s">
        <v>26346</v>
      </c>
      <c r="BT1617" t="s">
        <v>16602</v>
      </c>
    </row>
    <row r="1618" spans="1:72">
      <c r="A1618" t="s">
        <v>72</v>
      </c>
      <c r="B1618" t="s">
        <v>26347</v>
      </c>
      <c r="F1618" t="s">
        <v>26348</v>
      </c>
      <c r="I1618" t="s">
        <v>26349</v>
      </c>
      <c r="J1618" t="s">
        <v>421</v>
      </c>
      <c r="M1618" t="s">
        <v>78</v>
      </c>
      <c r="N1618" t="s">
        <v>79</v>
      </c>
      <c r="T1618" t="s">
        <v>26350</v>
      </c>
      <c r="U1618" t="s">
        <v>26351</v>
      </c>
      <c r="V1618" t="s">
        <v>26352</v>
      </c>
      <c r="W1618" t="s">
        <v>26353</v>
      </c>
      <c r="X1618" t="s">
        <v>26354</v>
      </c>
      <c r="Y1618" t="s">
        <v>26355</v>
      </c>
      <c r="Z1618" t="s">
        <v>8858</v>
      </c>
      <c r="AA1618" t="s">
        <v>26356</v>
      </c>
      <c r="AB1618" t="s">
        <v>26357</v>
      </c>
      <c r="AC1618" t="s">
        <v>26358</v>
      </c>
      <c r="AD1618" t="s">
        <v>525</v>
      </c>
      <c r="AE1618" t="s">
        <v>26359</v>
      </c>
      <c r="AG1618">
        <v>41</v>
      </c>
      <c r="AH1618">
        <v>22</v>
      </c>
      <c r="AI1618">
        <v>23</v>
      </c>
      <c r="AJ1618">
        <v>7</v>
      </c>
      <c r="AK1618">
        <v>84</v>
      </c>
      <c r="AL1618" t="s">
        <v>430</v>
      </c>
      <c r="AM1618" t="s">
        <v>137</v>
      </c>
      <c r="AN1618" t="s">
        <v>431</v>
      </c>
      <c r="AO1618" t="s">
        <v>432</v>
      </c>
      <c r="AP1618" t="s">
        <v>1394</v>
      </c>
      <c r="AR1618" t="s">
        <v>433</v>
      </c>
      <c r="AS1618" t="s">
        <v>434</v>
      </c>
      <c r="AT1618" t="s">
        <v>1223</v>
      </c>
      <c r="AU1618">
        <v>2017</v>
      </c>
      <c r="AV1618">
        <v>222</v>
      </c>
      <c r="BB1618">
        <v>323</v>
      </c>
      <c r="BC1618">
        <v>330</v>
      </c>
      <c r="BE1618" t="s">
        <v>26360</v>
      </c>
      <c r="BF1618" t="s">
        <v>26361</v>
      </c>
      <c r="BI1618">
        <v>8</v>
      </c>
      <c r="BJ1618" t="s">
        <v>144</v>
      </c>
      <c r="BK1618" t="s">
        <v>96</v>
      </c>
      <c r="BL1618" t="s">
        <v>145</v>
      </c>
      <c r="BM1618" t="s">
        <v>26362</v>
      </c>
      <c r="BN1618">
        <v>28024811</v>
      </c>
      <c r="BR1618" t="s">
        <v>98</v>
      </c>
      <c r="BS1618" t="s">
        <v>26363</v>
      </c>
      <c r="BT1618" t="s">
        <v>16602</v>
      </c>
    </row>
    <row r="1619" spans="1:72">
      <c r="A1619" t="s">
        <v>72</v>
      </c>
      <c r="B1619" t="s">
        <v>26364</v>
      </c>
      <c r="F1619" t="s">
        <v>26364</v>
      </c>
      <c r="I1619" t="s">
        <v>26365</v>
      </c>
      <c r="J1619" t="s">
        <v>421</v>
      </c>
      <c r="M1619" t="s">
        <v>78</v>
      </c>
      <c r="N1619" t="s">
        <v>79</v>
      </c>
      <c r="V1619" t="s">
        <v>26366</v>
      </c>
      <c r="W1619" t="s">
        <v>26367</v>
      </c>
      <c r="AG1619">
        <v>31</v>
      </c>
      <c r="AH1619">
        <v>63</v>
      </c>
      <c r="AI1619">
        <v>68</v>
      </c>
      <c r="AJ1619">
        <v>0</v>
      </c>
      <c r="AK1619">
        <v>4</v>
      </c>
      <c r="AL1619" t="s">
        <v>430</v>
      </c>
      <c r="AM1619" t="s">
        <v>7361</v>
      </c>
      <c r="AN1619" t="s">
        <v>7362</v>
      </c>
      <c r="AO1619" t="s">
        <v>432</v>
      </c>
      <c r="AP1619" t="s">
        <v>1394</v>
      </c>
      <c r="AR1619" t="s">
        <v>433</v>
      </c>
      <c r="AS1619" t="s">
        <v>434</v>
      </c>
      <c r="AU1619">
        <v>1977</v>
      </c>
      <c r="AV1619">
        <v>14</v>
      </c>
      <c r="AW1619">
        <v>2</v>
      </c>
      <c r="BB1619">
        <v>139</v>
      </c>
      <c r="BC1619">
        <v>154</v>
      </c>
      <c r="BE1619" t="s">
        <v>26368</v>
      </c>
      <c r="BF1619" t="s">
        <v>26369</v>
      </c>
      <c r="BI1619">
        <v>16</v>
      </c>
      <c r="BJ1619" t="s">
        <v>144</v>
      </c>
      <c r="BK1619" t="s">
        <v>96</v>
      </c>
      <c r="BL1619" t="s">
        <v>145</v>
      </c>
      <c r="BM1619" t="s">
        <v>26370</v>
      </c>
      <c r="BR1619" t="s">
        <v>98</v>
      </c>
      <c r="BS1619" t="s">
        <v>26371</v>
      </c>
      <c r="BT1619" t="s">
        <v>16602</v>
      </c>
    </row>
    <row r="1620" spans="1:72">
      <c r="A1620" t="s">
        <v>72</v>
      </c>
      <c r="B1620" t="s">
        <v>26372</v>
      </c>
      <c r="F1620" t="s">
        <v>26373</v>
      </c>
      <c r="I1620" t="s">
        <v>26374</v>
      </c>
      <c r="J1620" t="s">
        <v>26375</v>
      </c>
      <c r="M1620" t="s">
        <v>78</v>
      </c>
      <c r="N1620" t="s">
        <v>79</v>
      </c>
      <c r="T1620" t="s">
        <v>26376</v>
      </c>
      <c r="U1620" t="s">
        <v>26377</v>
      </c>
      <c r="V1620" t="s">
        <v>26378</v>
      </c>
      <c r="W1620" t="s">
        <v>26379</v>
      </c>
      <c r="X1620" t="s">
        <v>26380</v>
      </c>
      <c r="Y1620" t="s">
        <v>26381</v>
      </c>
      <c r="Z1620" t="s">
        <v>26382</v>
      </c>
      <c r="AA1620" t="s">
        <v>26383</v>
      </c>
      <c r="AB1620" t="s">
        <v>26384</v>
      </c>
      <c r="AG1620">
        <v>34</v>
      </c>
      <c r="AH1620">
        <v>185</v>
      </c>
      <c r="AI1620">
        <v>216</v>
      </c>
      <c r="AJ1620">
        <v>1</v>
      </c>
      <c r="AK1620">
        <v>43</v>
      </c>
      <c r="AL1620" t="s">
        <v>26385</v>
      </c>
      <c r="AM1620" t="s">
        <v>23826</v>
      </c>
      <c r="AN1620" t="s">
        <v>26386</v>
      </c>
      <c r="AO1620" t="s">
        <v>26387</v>
      </c>
      <c r="AP1620" t="s">
        <v>26388</v>
      </c>
      <c r="AR1620" t="s">
        <v>26389</v>
      </c>
      <c r="AS1620" t="s">
        <v>26390</v>
      </c>
      <c r="AT1620" t="s">
        <v>10334</v>
      </c>
      <c r="AU1620">
        <v>2007</v>
      </c>
      <c r="AV1620">
        <v>167</v>
      </c>
      <c r="AW1620">
        <v>3</v>
      </c>
      <c r="BB1620">
        <v>219</v>
      </c>
      <c r="BC1620">
        <v>226</v>
      </c>
      <c r="BE1620" t="s">
        <v>26391</v>
      </c>
      <c r="BF1620" t="s">
        <v>26392</v>
      </c>
      <c r="BI1620">
        <v>8</v>
      </c>
      <c r="BJ1620" t="s">
        <v>26393</v>
      </c>
      <c r="BK1620" t="s">
        <v>96</v>
      </c>
      <c r="BL1620" t="s">
        <v>26393</v>
      </c>
      <c r="BM1620" t="s">
        <v>26394</v>
      </c>
      <c r="BN1620">
        <v>17418111</v>
      </c>
      <c r="BR1620" t="s">
        <v>98</v>
      </c>
      <c r="BS1620" t="s">
        <v>26395</v>
      </c>
      <c r="BT1620" t="s">
        <v>16602</v>
      </c>
    </row>
    <row r="1621" spans="1:72">
      <c r="A1621" t="s">
        <v>72</v>
      </c>
      <c r="B1621" t="s">
        <v>26396</v>
      </c>
      <c r="F1621" t="s">
        <v>26397</v>
      </c>
      <c r="I1621" t="s">
        <v>26398</v>
      </c>
      <c r="J1621" t="s">
        <v>275</v>
      </c>
      <c r="M1621" t="s">
        <v>78</v>
      </c>
      <c r="N1621" t="s">
        <v>79</v>
      </c>
      <c r="T1621" t="s">
        <v>26399</v>
      </c>
      <c r="U1621" t="s">
        <v>26400</v>
      </c>
      <c r="V1621" t="s">
        <v>26401</v>
      </c>
      <c r="W1621" t="s">
        <v>26402</v>
      </c>
      <c r="X1621" t="s">
        <v>26403</v>
      </c>
      <c r="Y1621" t="s">
        <v>26404</v>
      </c>
      <c r="Z1621" t="s">
        <v>26405</v>
      </c>
      <c r="AA1621" t="s">
        <v>26406</v>
      </c>
      <c r="AB1621" t="s">
        <v>26407</v>
      </c>
      <c r="AC1621" t="s">
        <v>26408</v>
      </c>
      <c r="AD1621" t="s">
        <v>26409</v>
      </c>
      <c r="AE1621" t="s">
        <v>26410</v>
      </c>
      <c r="AG1621">
        <v>59</v>
      </c>
      <c r="AH1621">
        <v>8</v>
      </c>
      <c r="AI1621">
        <v>10</v>
      </c>
      <c r="AJ1621">
        <v>0</v>
      </c>
      <c r="AK1621">
        <v>22</v>
      </c>
      <c r="AL1621" t="s">
        <v>285</v>
      </c>
      <c r="AM1621" t="s">
        <v>286</v>
      </c>
      <c r="AN1621" t="s">
        <v>287</v>
      </c>
      <c r="AO1621" t="s">
        <v>288</v>
      </c>
      <c r="AP1621" t="s">
        <v>289</v>
      </c>
      <c r="AR1621" t="s">
        <v>290</v>
      </c>
      <c r="AS1621" t="s">
        <v>291</v>
      </c>
      <c r="AT1621" t="s">
        <v>142</v>
      </c>
      <c r="AU1621">
        <v>2019</v>
      </c>
      <c r="AV1621">
        <v>89</v>
      </c>
      <c r="BB1621">
        <v>595</v>
      </c>
      <c r="BC1621">
        <v>602</v>
      </c>
      <c r="BE1621" t="s">
        <v>26411</v>
      </c>
      <c r="BF1621" t="s">
        <v>26412</v>
      </c>
      <c r="BI1621">
        <v>8</v>
      </c>
      <c r="BJ1621" t="s">
        <v>293</v>
      </c>
      <c r="BK1621" t="s">
        <v>96</v>
      </c>
      <c r="BL1621" t="s">
        <v>293</v>
      </c>
      <c r="BM1621" t="s">
        <v>26413</v>
      </c>
      <c r="BN1621">
        <v>30991153</v>
      </c>
      <c r="BR1621" t="s">
        <v>98</v>
      </c>
      <c r="BS1621" t="s">
        <v>26414</v>
      </c>
      <c r="BT1621" t="s">
        <v>16602</v>
      </c>
    </row>
    <row r="1622" spans="1:72">
      <c r="A1622" t="s">
        <v>72</v>
      </c>
      <c r="B1622" t="s">
        <v>6539</v>
      </c>
      <c r="F1622" t="s">
        <v>6540</v>
      </c>
      <c r="I1622" t="s">
        <v>26415</v>
      </c>
      <c r="J1622" t="s">
        <v>6542</v>
      </c>
      <c r="M1622" t="s">
        <v>78</v>
      </c>
      <c r="N1622" t="s">
        <v>79</v>
      </c>
      <c r="U1622" t="s">
        <v>26416</v>
      </c>
      <c r="V1622" t="s">
        <v>26417</v>
      </c>
      <c r="W1622" t="s">
        <v>26418</v>
      </c>
      <c r="X1622" t="s">
        <v>6546</v>
      </c>
      <c r="Y1622" t="s">
        <v>6547</v>
      </c>
      <c r="AA1622" t="s">
        <v>6549</v>
      </c>
      <c r="AB1622" t="s">
        <v>6550</v>
      </c>
      <c r="AG1622">
        <v>22</v>
      </c>
      <c r="AH1622">
        <v>6</v>
      </c>
      <c r="AI1622">
        <v>8</v>
      </c>
      <c r="AJ1622">
        <v>0</v>
      </c>
      <c r="AK1622">
        <v>5</v>
      </c>
      <c r="AL1622" t="s">
        <v>6554</v>
      </c>
      <c r="AM1622" t="s">
        <v>113</v>
      </c>
      <c r="AN1622" t="s">
        <v>6555</v>
      </c>
      <c r="AO1622" t="s">
        <v>6556</v>
      </c>
      <c r="AR1622" t="s">
        <v>6558</v>
      </c>
      <c r="AS1622" t="s">
        <v>6559</v>
      </c>
      <c r="AT1622" t="s">
        <v>93</v>
      </c>
      <c r="AU1622">
        <v>2007</v>
      </c>
      <c r="AV1622">
        <v>47</v>
      </c>
      <c r="AW1622">
        <v>2</v>
      </c>
      <c r="BB1622">
        <v>213</v>
      </c>
      <c r="BC1622">
        <v>220</v>
      </c>
      <c r="BE1622" t="s">
        <v>26419</v>
      </c>
      <c r="BF1622" t="s">
        <v>26420</v>
      </c>
      <c r="BI1622">
        <v>8</v>
      </c>
      <c r="BJ1622" t="s">
        <v>1439</v>
      </c>
      <c r="BK1622" t="s">
        <v>96</v>
      </c>
      <c r="BL1622" t="s">
        <v>1439</v>
      </c>
      <c r="BM1622" t="s">
        <v>26421</v>
      </c>
      <c r="BR1622" t="s">
        <v>98</v>
      </c>
      <c r="BS1622" t="s">
        <v>26422</v>
      </c>
      <c r="BT1622" t="s">
        <v>16602</v>
      </c>
    </row>
    <row r="1623" spans="1:72">
      <c r="A1623" t="s">
        <v>72</v>
      </c>
      <c r="B1623" t="s">
        <v>26423</v>
      </c>
      <c r="F1623" t="s">
        <v>26423</v>
      </c>
      <c r="I1623" t="s">
        <v>26424</v>
      </c>
      <c r="J1623" t="s">
        <v>232</v>
      </c>
      <c r="M1623" t="s">
        <v>78</v>
      </c>
      <c r="N1623" t="s">
        <v>79</v>
      </c>
      <c r="W1623" t="s">
        <v>26425</v>
      </c>
      <c r="X1623" t="s">
        <v>26426</v>
      </c>
      <c r="Y1623" t="s">
        <v>18804</v>
      </c>
      <c r="AG1623">
        <v>6</v>
      </c>
      <c r="AH1623">
        <v>8</v>
      </c>
      <c r="AI1623">
        <v>8</v>
      </c>
      <c r="AJ1623">
        <v>0</v>
      </c>
      <c r="AK1623">
        <v>0</v>
      </c>
      <c r="AL1623" t="s">
        <v>136</v>
      </c>
      <c r="AM1623" t="s">
        <v>137</v>
      </c>
      <c r="AN1623" t="s">
        <v>138</v>
      </c>
      <c r="AO1623" t="s">
        <v>240</v>
      </c>
      <c r="AP1623" t="s">
        <v>241</v>
      </c>
      <c r="AR1623" t="s">
        <v>242</v>
      </c>
      <c r="AS1623" t="s">
        <v>243</v>
      </c>
      <c r="AU1623">
        <v>1981</v>
      </c>
      <c r="AV1623">
        <v>12</v>
      </c>
      <c r="AW1623">
        <v>12</v>
      </c>
      <c r="BB1623">
        <v>410</v>
      </c>
      <c r="BC1623">
        <v>411</v>
      </c>
      <c r="BE1623" t="s">
        <v>26427</v>
      </c>
      <c r="BF1623" t="s">
        <v>26428</v>
      </c>
      <c r="BI1623">
        <v>2</v>
      </c>
      <c r="BJ1623" t="s">
        <v>247</v>
      </c>
      <c r="BK1623" t="s">
        <v>96</v>
      </c>
      <c r="BL1623" t="s">
        <v>248</v>
      </c>
      <c r="BM1623" t="s">
        <v>26429</v>
      </c>
      <c r="BR1623" t="s">
        <v>98</v>
      </c>
      <c r="BS1623" t="s">
        <v>26430</v>
      </c>
      <c r="BT1623" t="s">
        <v>16602</v>
      </c>
    </row>
    <row r="1624" spans="1:72">
      <c r="A1624" t="s">
        <v>72</v>
      </c>
      <c r="B1624" t="s">
        <v>26431</v>
      </c>
      <c r="F1624" t="s">
        <v>26432</v>
      </c>
      <c r="I1624" t="s">
        <v>26433</v>
      </c>
      <c r="J1624" t="s">
        <v>26434</v>
      </c>
      <c r="M1624" t="s">
        <v>78</v>
      </c>
      <c r="N1624" t="s">
        <v>79</v>
      </c>
      <c r="T1624" t="s">
        <v>26435</v>
      </c>
      <c r="U1624" t="s">
        <v>26436</v>
      </c>
      <c r="V1624" t="s">
        <v>26437</v>
      </c>
      <c r="W1624" t="s">
        <v>26438</v>
      </c>
      <c r="X1624" t="s">
        <v>26439</v>
      </c>
      <c r="Y1624" t="s">
        <v>26440</v>
      </c>
      <c r="Z1624" t="s">
        <v>26441</v>
      </c>
      <c r="AA1624" t="s">
        <v>26442</v>
      </c>
      <c r="AC1624" t="s">
        <v>26443</v>
      </c>
      <c r="AD1624" t="s">
        <v>26444</v>
      </c>
      <c r="AE1624" t="s">
        <v>26445</v>
      </c>
      <c r="AG1624">
        <v>50</v>
      </c>
      <c r="AH1624">
        <v>32</v>
      </c>
      <c r="AI1624">
        <v>34</v>
      </c>
      <c r="AJ1624">
        <v>2</v>
      </c>
      <c r="AK1624">
        <v>96</v>
      </c>
      <c r="AL1624" t="s">
        <v>2297</v>
      </c>
      <c r="AM1624" t="s">
        <v>1786</v>
      </c>
      <c r="AN1624" t="s">
        <v>2298</v>
      </c>
      <c r="AO1624" t="s">
        <v>26446</v>
      </c>
      <c r="AP1624" t="s">
        <v>26447</v>
      </c>
      <c r="AR1624" t="s">
        <v>26448</v>
      </c>
      <c r="AS1624" t="s">
        <v>26449</v>
      </c>
      <c r="AT1624" t="s">
        <v>3506</v>
      </c>
      <c r="AU1624">
        <v>2017</v>
      </c>
      <c r="AV1624">
        <v>62</v>
      </c>
      <c r="AW1624">
        <v>17</v>
      </c>
      <c r="BB1624">
        <v>1216</v>
      </c>
      <c r="BC1624">
        <v>1226</v>
      </c>
      <c r="BE1624" t="s">
        <v>26450</v>
      </c>
      <c r="BF1624" t="s">
        <v>26451</v>
      </c>
      <c r="BI1624">
        <v>11</v>
      </c>
      <c r="BJ1624" t="s">
        <v>3202</v>
      </c>
      <c r="BK1624" t="s">
        <v>96</v>
      </c>
      <c r="BL1624" t="s">
        <v>3203</v>
      </c>
      <c r="BM1624" t="s">
        <v>26452</v>
      </c>
      <c r="BN1624">
        <v>36659516</v>
      </c>
      <c r="BR1624" t="s">
        <v>98</v>
      </c>
      <c r="BS1624" t="s">
        <v>26453</v>
      </c>
      <c r="BT1624" t="s">
        <v>16602</v>
      </c>
    </row>
    <row r="1625" spans="1:72">
      <c r="A1625" t="s">
        <v>72</v>
      </c>
      <c r="B1625" t="s">
        <v>26454</v>
      </c>
      <c r="F1625" t="s">
        <v>26454</v>
      </c>
      <c r="I1625" t="s">
        <v>26455</v>
      </c>
      <c r="J1625" t="s">
        <v>26456</v>
      </c>
      <c r="M1625" t="s">
        <v>78</v>
      </c>
      <c r="N1625" t="s">
        <v>79</v>
      </c>
      <c r="U1625" t="s">
        <v>26457</v>
      </c>
      <c r="V1625" t="s">
        <v>26458</v>
      </c>
      <c r="W1625" t="s">
        <v>26459</v>
      </c>
      <c r="X1625" t="s">
        <v>26460</v>
      </c>
      <c r="Y1625" t="s">
        <v>26461</v>
      </c>
      <c r="Z1625" t="s">
        <v>26462</v>
      </c>
      <c r="AG1625">
        <v>23</v>
      </c>
      <c r="AH1625">
        <v>208</v>
      </c>
      <c r="AI1625">
        <v>235</v>
      </c>
      <c r="AJ1625">
        <v>2</v>
      </c>
      <c r="AK1625">
        <v>99</v>
      </c>
      <c r="AL1625" t="s">
        <v>26463</v>
      </c>
      <c r="AM1625" t="s">
        <v>4472</v>
      </c>
      <c r="AN1625" t="s">
        <v>26464</v>
      </c>
      <c r="AO1625" t="s">
        <v>26465</v>
      </c>
      <c r="AP1625" t="s">
        <v>26466</v>
      </c>
      <c r="AR1625" t="s">
        <v>26456</v>
      </c>
      <c r="AS1625" t="s">
        <v>26467</v>
      </c>
      <c r="AT1625" t="s">
        <v>26468</v>
      </c>
      <c r="AU1625">
        <v>2000</v>
      </c>
      <c r="AV1625">
        <v>287</v>
      </c>
      <c r="AW1625">
        <v>5451</v>
      </c>
      <c r="BB1625">
        <v>282</v>
      </c>
      <c r="BC1625">
        <v>284</v>
      </c>
      <c r="BE1625" t="s">
        <v>26469</v>
      </c>
      <c r="BF1625" t="s">
        <v>26470</v>
      </c>
      <c r="BI1625">
        <v>3</v>
      </c>
      <c r="BJ1625" t="s">
        <v>3202</v>
      </c>
      <c r="BK1625" t="s">
        <v>96</v>
      </c>
      <c r="BL1625" t="s">
        <v>3203</v>
      </c>
      <c r="BM1625" t="s">
        <v>26471</v>
      </c>
      <c r="BN1625">
        <v>10634777</v>
      </c>
      <c r="BR1625" t="s">
        <v>98</v>
      </c>
      <c r="BS1625" t="s">
        <v>26472</v>
      </c>
      <c r="BT1625" t="s">
        <v>16602</v>
      </c>
    </row>
    <row r="1626" spans="1:72">
      <c r="A1626" t="s">
        <v>72</v>
      </c>
      <c r="B1626" t="s">
        <v>26473</v>
      </c>
      <c r="F1626" t="s">
        <v>26474</v>
      </c>
      <c r="I1626" t="s">
        <v>26475</v>
      </c>
      <c r="J1626" t="s">
        <v>15579</v>
      </c>
      <c r="M1626" t="s">
        <v>78</v>
      </c>
      <c r="N1626" t="s">
        <v>79</v>
      </c>
      <c r="T1626" t="s">
        <v>26476</v>
      </c>
      <c r="U1626" t="s">
        <v>26477</v>
      </c>
      <c r="V1626" t="s">
        <v>26478</v>
      </c>
      <c r="W1626" t="s">
        <v>26479</v>
      </c>
      <c r="X1626" t="s">
        <v>26480</v>
      </c>
      <c r="Y1626" t="s">
        <v>26481</v>
      </c>
      <c r="Z1626" t="s">
        <v>26482</v>
      </c>
      <c r="AA1626" t="s">
        <v>26483</v>
      </c>
      <c r="AB1626" t="s">
        <v>26484</v>
      </c>
      <c r="AC1626" t="s">
        <v>26485</v>
      </c>
      <c r="AD1626" t="s">
        <v>26486</v>
      </c>
      <c r="AE1626" t="s">
        <v>26487</v>
      </c>
      <c r="AG1626">
        <v>73</v>
      </c>
      <c r="AH1626">
        <v>17</v>
      </c>
      <c r="AI1626">
        <v>17</v>
      </c>
      <c r="AJ1626">
        <v>2</v>
      </c>
      <c r="AK1626">
        <v>42</v>
      </c>
      <c r="AL1626" t="s">
        <v>1566</v>
      </c>
      <c r="AM1626" t="s">
        <v>1567</v>
      </c>
      <c r="AN1626" t="s">
        <v>1568</v>
      </c>
      <c r="AO1626" t="s">
        <v>15587</v>
      </c>
      <c r="AR1626" t="s">
        <v>15588</v>
      </c>
      <c r="AS1626" t="s">
        <v>15589</v>
      </c>
      <c r="AT1626" t="s">
        <v>119</v>
      </c>
      <c r="AU1626">
        <v>2021</v>
      </c>
      <c r="AV1626">
        <v>11</v>
      </c>
      <c r="AW1626">
        <v>8</v>
      </c>
      <c r="BD1626">
        <v>2317</v>
      </c>
      <c r="BE1626" t="s">
        <v>26488</v>
      </c>
      <c r="BF1626" t="s">
        <v>26489</v>
      </c>
      <c r="BI1626">
        <v>13</v>
      </c>
      <c r="BJ1626" t="s">
        <v>15591</v>
      </c>
      <c r="BK1626" t="s">
        <v>96</v>
      </c>
      <c r="BL1626" t="s">
        <v>15592</v>
      </c>
      <c r="BM1626" t="s">
        <v>26490</v>
      </c>
      <c r="BN1626">
        <v>34438773</v>
      </c>
      <c r="BO1626" t="s">
        <v>550</v>
      </c>
      <c r="BR1626" t="s">
        <v>98</v>
      </c>
      <c r="BS1626" t="s">
        <v>26491</v>
      </c>
      <c r="BT1626" t="s">
        <v>16602</v>
      </c>
    </row>
    <row r="1627" spans="1:72">
      <c r="A1627" t="s">
        <v>72</v>
      </c>
      <c r="B1627" t="s">
        <v>26492</v>
      </c>
      <c r="F1627" t="s">
        <v>26493</v>
      </c>
      <c r="I1627" t="s">
        <v>26494</v>
      </c>
      <c r="J1627" t="s">
        <v>26495</v>
      </c>
      <c r="M1627" t="s">
        <v>78</v>
      </c>
      <c r="N1627" t="s">
        <v>79</v>
      </c>
      <c r="T1627" t="s">
        <v>26496</v>
      </c>
      <c r="U1627" t="s">
        <v>26497</v>
      </c>
      <c r="V1627" t="s">
        <v>26498</v>
      </c>
      <c r="W1627" t="s">
        <v>26499</v>
      </c>
      <c r="X1627" t="s">
        <v>26500</v>
      </c>
      <c r="Y1627" t="s">
        <v>26501</v>
      </c>
      <c r="Z1627" t="s">
        <v>4753</v>
      </c>
      <c r="AA1627" t="s">
        <v>26502</v>
      </c>
      <c r="AB1627" t="s">
        <v>26503</v>
      </c>
      <c r="AC1627" t="s">
        <v>26504</v>
      </c>
      <c r="AD1627" t="s">
        <v>26505</v>
      </c>
      <c r="AE1627" t="s">
        <v>26506</v>
      </c>
      <c r="AG1627">
        <v>38</v>
      </c>
      <c r="AH1627">
        <v>17</v>
      </c>
      <c r="AI1627">
        <v>18</v>
      </c>
      <c r="AJ1627">
        <v>1</v>
      </c>
      <c r="AK1627">
        <v>59</v>
      </c>
      <c r="AL1627" t="s">
        <v>650</v>
      </c>
      <c r="AM1627" t="s">
        <v>651</v>
      </c>
      <c r="AN1627" t="s">
        <v>652</v>
      </c>
      <c r="AO1627" t="s">
        <v>26507</v>
      </c>
      <c r="AP1627" t="s">
        <v>26508</v>
      </c>
      <c r="AR1627" t="s">
        <v>26495</v>
      </c>
      <c r="AS1627" t="s">
        <v>26509</v>
      </c>
      <c r="AT1627" t="s">
        <v>951</v>
      </c>
      <c r="AU1627">
        <v>2014</v>
      </c>
      <c r="AV1627">
        <v>232</v>
      </c>
      <c r="BB1627">
        <v>300</v>
      </c>
      <c r="BC1627">
        <v>308</v>
      </c>
      <c r="BE1627" t="s">
        <v>26510</v>
      </c>
      <c r="BF1627" t="s">
        <v>26511</v>
      </c>
      <c r="BI1627">
        <v>9</v>
      </c>
      <c r="BJ1627" t="s">
        <v>5135</v>
      </c>
      <c r="BK1627" t="s">
        <v>96</v>
      </c>
      <c r="BL1627" t="s">
        <v>4121</v>
      </c>
      <c r="BM1627" t="s">
        <v>26512</v>
      </c>
      <c r="BR1627" t="s">
        <v>98</v>
      </c>
      <c r="BS1627" t="s">
        <v>26513</v>
      </c>
      <c r="BT1627" t="s">
        <v>16602</v>
      </c>
    </row>
    <row r="1628" spans="1:72">
      <c r="A1628" t="s">
        <v>72</v>
      </c>
      <c r="B1628" t="s">
        <v>26514</v>
      </c>
      <c r="F1628" t="s">
        <v>26515</v>
      </c>
      <c r="I1628" t="s">
        <v>26516</v>
      </c>
      <c r="J1628" t="s">
        <v>232</v>
      </c>
      <c r="M1628" t="s">
        <v>78</v>
      </c>
      <c r="N1628" t="s">
        <v>79</v>
      </c>
      <c r="U1628" t="s">
        <v>26517</v>
      </c>
      <c r="W1628" t="s">
        <v>26518</v>
      </c>
      <c r="X1628" t="s">
        <v>24377</v>
      </c>
      <c r="Y1628" t="s">
        <v>26519</v>
      </c>
      <c r="Z1628" t="s">
        <v>26520</v>
      </c>
      <c r="AA1628" t="s">
        <v>24379</v>
      </c>
      <c r="AG1628">
        <v>23</v>
      </c>
      <c r="AH1628">
        <v>16</v>
      </c>
      <c r="AI1628">
        <v>18</v>
      </c>
      <c r="AJ1628">
        <v>1</v>
      </c>
      <c r="AK1628">
        <v>10</v>
      </c>
      <c r="AL1628" t="s">
        <v>136</v>
      </c>
      <c r="AM1628" t="s">
        <v>137</v>
      </c>
      <c r="AN1628" t="s">
        <v>138</v>
      </c>
      <c r="AO1628" t="s">
        <v>240</v>
      </c>
      <c r="AP1628" t="s">
        <v>241</v>
      </c>
      <c r="AR1628" t="s">
        <v>242</v>
      </c>
      <c r="AS1628" t="s">
        <v>243</v>
      </c>
      <c r="AT1628" t="s">
        <v>93</v>
      </c>
      <c r="AU1628">
        <v>2006</v>
      </c>
      <c r="AV1628">
        <v>52</v>
      </c>
      <c r="AW1628">
        <v>4</v>
      </c>
      <c r="BB1628">
        <v>453</v>
      </c>
      <c r="BC1628">
        <v>458</v>
      </c>
      <c r="BE1628" t="s">
        <v>26521</v>
      </c>
      <c r="BF1628" t="s">
        <v>26522</v>
      </c>
      <c r="BI1628">
        <v>6</v>
      </c>
      <c r="BJ1628" t="s">
        <v>247</v>
      </c>
      <c r="BK1628" t="s">
        <v>96</v>
      </c>
      <c r="BL1628" t="s">
        <v>248</v>
      </c>
      <c r="BM1628" t="s">
        <v>26523</v>
      </c>
      <c r="BN1628">
        <v>16480746</v>
      </c>
      <c r="BR1628" t="s">
        <v>98</v>
      </c>
      <c r="BS1628" t="s">
        <v>26524</v>
      </c>
      <c r="BT1628" t="s">
        <v>16602</v>
      </c>
    </row>
    <row r="1629" spans="1:72">
      <c r="A1629" t="s">
        <v>72</v>
      </c>
      <c r="B1629" t="s">
        <v>26525</v>
      </c>
      <c r="F1629" t="s">
        <v>26526</v>
      </c>
      <c r="I1629" t="s">
        <v>26527</v>
      </c>
      <c r="J1629" t="s">
        <v>127</v>
      </c>
      <c r="M1629" t="s">
        <v>78</v>
      </c>
      <c r="N1629" t="s">
        <v>79</v>
      </c>
      <c r="T1629" t="s">
        <v>26528</v>
      </c>
      <c r="U1629" t="s">
        <v>26529</v>
      </c>
      <c r="V1629" t="s">
        <v>26530</v>
      </c>
      <c r="W1629" t="s">
        <v>26531</v>
      </c>
      <c r="X1629" t="s">
        <v>26532</v>
      </c>
      <c r="Y1629" t="s">
        <v>26533</v>
      </c>
      <c r="Z1629" t="s">
        <v>26534</v>
      </c>
      <c r="AA1629" t="s">
        <v>26535</v>
      </c>
      <c r="AB1629" t="s">
        <v>26536</v>
      </c>
      <c r="AC1629" t="s">
        <v>26537</v>
      </c>
      <c r="AD1629" t="s">
        <v>525</v>
      </c>
      <c r="AE1629" t="s">
        <v>26538</v>
      </c>
      <c r="AG1629">
        <v>72</v>
      </c>
      <c r="AH1629">
        <v>7</v>
      </c>
      <c r="AI1629">
        <v>8</v>
      </c>
      <c r="AJ1629">
        <v>9</v>
      </c>
      <c r="AK1629">
        <v>90</v>
      </c>
      <c r="AL1629" t="s">
        <v>136</v>
      </c>
      <c r="AM1629" t="s">
        <v>137</v>
      </c>
      <c r="AN1629" t="s">
        <v>138</v>
      </c>
      <c r="AO1629" t="s">
        <v>139</v>
      </c>
      <c r="AP1629" t="s">
        <v>140</v>
      </c>
      <c r="AR1629" t="s">
        <v>127</v>
      </c>
      <c r="AS1629" t="s">
        <v>141</v>
      </c>
      <c r="AT1629" t="s">
        <v>951</v>
      </c>
      <c r="AU1629">
        <v>2022</v>
      </c>
      <c r="AV1629">
        <v>307</v>
      </c>
      <c r="AX1629">
        <v>4</v>
      </c>
      <c r="BD1629">
        <v>136150</v>
      </c>
      <c r="BE1629" t="s">
        <v>26539</v>
      </c>
      <c r="BF1629" t="s">
        <v>26540</v>
      </c>
      <c r="BH1629" t="s">
        <v>13858</v>
      </c>
      <c r="BI1629">
        <v>10</v>
      </c>
      <c r="BJ1629" t="s">
        <v>144</v>
      </c>
      <c r="BK1629" t="s">
        <v>96</v>
      </c>
      <c r="BL1629" t="s">
        <v>145</v>
      </c>
      <c r="BM1629" t="s">
        <v>26541</v>
      </c>
      <c r="BN1629">
        <v>36028131</v>
      </c>
      <c r="BR1629" t="s">
        <v>98</v>
      </c>
      <c r="BS1629" t="s">
        <v>26542</v>
      </c>
      <c r="BT1629" t="s">
        <v>16602</v>
      </c>
    </row>
    <row r="1630" spans="1:72">
      <c r="A1630" t="s">
        <v>72</v>
      </c>
      <c r="B1630" t="s">
        <v>26543</v>
      </c>
      <c r="F1630" t="s">
        <v>26544</v>
      </c>
      <c r="I1630" t="s">
        <v>26545</v>
      </c>
      <c r="J1630" t="s">
        <v>909</v>
      </c>
      <c r="M1630" t="s">
        <v>78</v>
      </c>
      <c r="N1630" t="s">
        <v>79</v>
      </c>
      <c r="T1630" t="s">
        <v>26546</v>
      </c>
      <c r="U1630" t="s">
        <v>26547</v>
      </c>
      <c r="V1630" t="s">
        <v>26548</v>
      </c>
      <c r="W1630" t="s">
        <v>26549</v>
      </c>
      <c r="X1630" t="s">
        <v>20943</v>
      </c>
      <c r="Y1630" t="s">
        <v>20944</v>
      </c>
      <c r="Z1630" t="s">
        <v>20945</v>
      </c>
      <c r="AA1630" t="s">
        <v>26550</v>
      </c>
      <c r="AB1630" t="s">
        <v>26551</v>
      </c>
      <c r="AC1630" t="s">
        <v>26552</v>
      </c>
      <c r="AD1630" t="s">
        <v>26553</v>
      </c>
      <c r="AE1630" t="s">
        <v>26554</v>
      </c>
      <c r="AG1630">
        <v>71</v>
      </c>
      <c r="AH1630">
        <v>14</v>
      </c>
      <c r="AI1630">
        <v>16</v>
      </c>
      <c r="AJ1630">
        <v>1</v>
      </c>
      <c r="AK1630">
        <v>45</v>
      </c>
      <c r="AL1630" t="s">
        <v>650</v>
      </c>
      <c r="AM1630" t="s">
        <v>651</v>
      </c>
      <c r="AN1630" t="s">
        <v>652</v>
      </c>
      <c r="AO1630" t="s">
        <v>921</v>
      </c>
      <c r="AP1630" t="s">
        <v>922</v>
      </c>
      <c r="AR1630" t="s">
        <v>923</v>
      </c>
      <c r="AS1630" t="s">
        <v>924</v>
      </c>
      <c r="AT1630" t="s">
        <v>3891</v>
      </c>
      <c r="AU1630">
        <v>2017</v>
      </c>
      <c r="AV1630">
        <v>576</v>
      </c>
      <c r="BB1630">
        <v>807</v>
      </c>
      <c r="BC1630">
        <v>816</v>
      </c>
      <c r="BE1630" t="s">
        <v>26555</v>
      </c>
      <c r="BF1630" t="s">
        <v>26556</v>
      </c>
      <c r="BI1630">
        <v>10</v>
      </c>
      <c r="BJ1630" t="s">
        <v>144</v>
      </c>
      <c r="BK1630" t="s">
        <v>96</v>
      </c>
      <c r="BL1630" t="s">
        <v>145</v>
      </c>
      <c r="BM1630" t="s">
        <v>26557</v>
      </c>
      <c r="BN1630">
        <v>27810765</v>
      </c>
      <c r="BR1630" t="s">
        <v>98</v>
      </c>
      <c r="BS1630" t="s">
        <v>26558</v>
      </c>
      <c r="BT1630" t="s">
        <v>16602</v>
      </c>
    </row>
    <row r="1631" spans="1:72">
      <c r="A1631" t="s">
        <v>72</v>
      </c>
      <c r="B1631" t="s">
        <v>26559</v>
      </c>
      <c r="F1631" t="s">
        <v>26560</v>
      </c>
      <c r="I1631" t="s">
        <v>26561</v>
      </c>
      <c r="J1631" t="s">
        <v>2323</v>
      </c>
      <c r="M1631" t="s">
        <v>78</v>
      </c>
      <c r="N1631" t="s">
        <v>79</v>
      </c>
      <c r="T1631" t="s">
        <v>26562</v>
      </c>
      <c r="U1631" t="s">
        <v>26563</v>
      </c>
      <c r="V1631" t="s">
        <v>26564</v>
      </c>
      <c r="W1631" t="s">
        <v>26565</v>
      </c>
      <c r="X1631" t="s">
        <v>26566</v>
      </c>
      <c r="Y1631" t="s">
        <v>26567</v>
      </c>
      <c r="Z1631" t="s">
        <v>26568</v>
      </c>
      <c r="AA1631" t="s">
        <v>26569</v>
      </c>
      <c r="AB1631" t="s">
        <v>26570</v>
      </c>
      <c r="AC1631" t="s">
        <v>26571</v>
      </c>
      <c r="AD1631" t="s">
        <v>26571</v>
      </c>
      <c r="AE1631" t="s">
        <v>26572</v>
      </c>
      <c r="AG1631">
        <v>39</v>
      </c>
      <c r="AH1631">
        <v>27</v>
      </c>
      <c r="AI1631">
        <v>31</v>
      </c>
      <c r="AJ1631">
        <v>1</v>
      </c>
      <c r="AK1631">
        <v>28</v>
      </c>
      <c r="AL1631" t="s">
        <v>2336</v>
      </c>
      <c r="AM1631" t="s">
        <v>113</v>
      </c>
      <c r="AN1631" t="s">
        <v>2337</v>
      </c>
      <c r="AO1631" t="s">
        <v>2338</v>
      </c>
      <c r="AP1631" t="s">
        <v>2339</v>
      </c>
      <c r="AR1631" t="s">
        <v>2323</v>
      </c>
      <c r="AS1631" t="s">
        <v>2340</v>
      </c>
      <c r="AT1631" t="s">
        <v>765</v>
      </c>
      <c r="AU1631">
        <v>2010</v>
      </c>
      <c r="AV1631">
        <v>137</v>
      </c>
      <c r="AW1631">
        <v>8</v>
      </c>
      <c r="BB1631">
        <v>1239</v>
      </c>
      <c r="BC1631">
        <v>1248</v>
      </c>
      <c r="BE1631" t="s">
        <v>26573</v>
      </c>
      <c r="BF1631" t="s">
        <v>26574</v>
      </c>
      <c r="BI1631">
        <v>10</v>
      </c>
      <c r="BJ1631" t="s">
        <v>2340</v>
      </c>
      <c r="BK1631" t="s">
        <v>96</v>
      </c>
      <c r="BL1631" t="s">
        <v>2340</v>
      </c>
      <c r="BM1631" t="s">
        <v>26575</v>
      </c>
      <c r="BN1631">
        <v>20380766</v>
      </c>
      <c r="BR1631" t="s">
        <v>98</v>
      </c>
      <c r="BS1631" t="s">
        <v>26576</v>
      </c>
      <c r="BT1631" t="s">
        <v>16602</v>
      </c>
    </row>
    <row r="1632" spans="1:72">
      <c r="A1632" t="s">
        <v>72</v>
      </c>
      <c r="B1632" t="s">
        <v>26577</v>
      </c>
      <c r="F1632" t="s">
        <v>26578</v>
      </c>
      <c r="I1632" t="s">
        <v>26579</v>
      </c>
      <c r="J1632" t="s">
        <v>5592</v>
      </c>
      <c r="M1632" t="s">
        <v>78</v>
      </c>
      <c r="N1632" t="s">
        <v>151</v>
      </c>
      <c r="O1632" t="s">
        <v>26580</v>
      </c>
      <c r="P1632" t="s">
        <v>26581</v>
      </c>
      <c r="Q1632" t="s">
        <v>10608</v>
      </c>
      <c r="S1632" t="s">
        <v>10609</v>
      </c>
      <c r="T1632" t="s">
        <v>26582</v>
      </c>
      <c r="U1632" t="s">
        <v>26583</v>
      </c>
      <c r="V1632" t="s">
        <v>26584</v>
      </c>
      <c r="W1632" t="s">
        <v>26585</v>
      </c>
      <c r="X1632" t="s">
        <v>26586</v>
      </c>
      <c r="Y1632" t="s">
        <v>26587</v>
      </c>
      <c r="Z1632" t="s">
        <v>26588</v>
      </c>
      <c r="AA1632" t="s">
        <v>26589</v>
      </c>
      <c r="AB1632" t="s">
        <v>26590</v>
      </c>
      <c r="AG1632">
        <v>41</v>
      </c>
      <c r="AH1632">
        <v>8</v>
      </c>
      <c r="AI1632">
        <v>8</v>
      </c>
      <c r="AJ1632">
        <v>1</v>
      </c>
      <c r="AK1632">
        <v>26</v>
      </c>
      <c r="AL1632" t="s">
        <v>285</v>
      </c>
      <c r="AM1632" t="s">
        <v>286</v>
      </c>
      <c r="AN1632" t="s">
        <v>287</v>
      </c>
      <c r="AO1632" t="s">
        <v>5605</v>
      </c>
      <c r="AP1632" t="s">
        <v>5606</v>
      </c>
      <c r="AR1632" t="s">
        <v>5607</v>
      </c>
      <c r="AS1632" t="s">
        <v>5608</v>
      </c>
      <c r="AT1632" t="s">
        <v>26591</v>
      </c>
      <c r="AU1632">
        <v>2016</v>
      </c>
      <c r="AV1632">
        <v>179</v>
      </c>
      <c r="BB1632">
        <v>135</v>
      </c>
      <c r="BC1632">
        <v>144</v>
      </c>
      <c r="BE1632" t="s">
        <v>26592</v>
      </c>
      <c r="BF1632" t="s">
        <v>26593</v>
      </c>
      <c r="BI1632">
        <v>10</v>
      </c>
      <c r="BJ1632" t="s">
        <v>4241</v>
      </c>
      <c r="BK1632" t="s">
        <v>172</v>
      </c>
      <c r="BL1632" t="s">
        <v>4241</v>
      </c>
      <c r="BM1632" t="s">
        <v>26594</v>
      </c>
      <c r="BR1632" t="s">
        <v>98</v>
      </c>
      <c r="BS1632" t="s">
        <v>26595</v>
      </c>
      <c r="BT1632" t="s">
        <v>16602</v>
      </c>
    </row>
    <row r="1633" spans="1:72">
      <c r="A1633" t="s">
        <v>72</v>
      </c>
      <c r="B1633" t="s">
        <v>26596</v>
      </c>
      <c r="F1633" t="s">
        <v>26596</v>
      </c>
      <c r="I1633" t="s">
        <v>26597</v>
      </c>
      <c r="J1633" t="s">
        <v>704</v>
      </c>
      <c r="M1633" t="s">
        <v>78</v>
      </c>
      <c r="N1633" t="s">
        <v>79</v>
      </c>
      <c r="Y1633" t="s">
        <v>26598</v>
      </c>
      <c r="AG1633">
        <v>48</v>
      </c>
      <c r="AH1633">
        <v>59</v>
      </c>
      <c r="AI1633">
        <v>59</v>
      </c>
      <c r="AJ1633">
        <v>0</v>
      </c>
      <c r="AK1633">
        <v>8</v>
      </c>
      <c r="AL1633" t="s">
        <v>716</v>
      </c>
      <c r="AM1633" t="s">
        <v>191</v>
      </c>
      <c r="AN1633" t="s">
        <v>717</v>
      </c>
      <c r="AO1633" t="s">
        <v>718</v>
      </c>
      <c r="AR1633" t="s">
        <v>719</v>
      </c>
      <c r="AS1633" t="s">
        <v>720</v>
      </c>
      <c r="AT1633" t="s">
        <v>1223</v>
      </c>
      <c r="AU1633">
        <v>1987</v>
      </c>
      <c r="AV1633">
        <v>33</v>
      </c>
      <c r="AW1633" t="s">
        <v>326</v>
      </c>
      <c r="BB1633">
        <v>205</v>
      </c>
      <c r="BC1633">
        <v>219</v>
      </c>
      <c r="BE1633" t="s">
        <v>26599</v>
      </c>
      <c r="BF1633" t="s">
        <v>26600</v>
      </c>
      <c r="BI1633">
        <v>15</v>
      </c>
      <c r="BJ1633" t="s">
        <v>722</v>
      </c>
      <c r="BK1633" t="s">
        <v>96</v>
      </c>
      <c r="BL1633" t="s">
        <v>723</v>
      </c>
      <c r="BM1633" t="s">
        <v>26601</v>
      </c>
      <c r="BR1633" t="s">
        <v>98</v>
      </c>
      <c r="BS1633" t="s">
        <v>26602</v>
      </c>
      <c r="BT1633" t="s">
        <v>16602</v>
      </c>
    </row>
    <row r="1634" spans="1:72">
      <c r="A1634" t="s">
        <v>72</v>
      </c>
      <c r="B1634" t="s">
        <v>26603</v>
      </c>
      <c r="F1634" t="s">
        <v>26603</v>
      </c>
      <c r="I1634" t="s">
        <v>26604</v>
      </c>
      <c r="J1634" t="s">
        <v>421</v>
      </c>
      <c r="M1634" t="s">
        <v>78</v>
      </c>
      <c r="N1634" t="s">
        <v>79</v>
      </c>
      <c r="V1634" t="s">
        <v>26605</v>
      </c>
      <c r="W1634" t="s">
        <v>26606</v>
      </c>
      <c r="X1634" t="s">
        <v>6656</v>
      </c>
      <c r="AG1634">
        <v>24</v>
      </c>
      <c r="AH1634">
        <v>4</v>
      </c>
      <c r="AI1634">
        <v>4</v>
      </c>
      <c r="AJ1634">
        <v>0</v>
      </c>
      <c r="AK1634">
        <v>3</v>
      </c>
      <c r="AL1634" t="s">
        <v>430</v>
      </c>
      <c r="AM1634" t="s">
        <v>7361</v>
      </c>
      <c r="AN1634" t="s">
        <v>7362</v>
      </c>
      <c r="AO1634" t="s">
        <v>432</v>
      </c>
      <c r="AP1634" t="s">
        <v>1394</v>
      </c>
      <c r="AR1634" t="s">
        <v>433</v>
      </c>
      <c r="AS1634" t="s">
        <v>434</v>
      </c>
      <c r="AU1634">
        <v>1987</v>
      </c>
      <c r="AV1634">
        <v>43</v>
      </c>
      <c r="AW1634">
        <v>4</v>
      </c>
      <c r="BB1634">
        <v>301</v>
      </c>
      <c r="BC1634">
        <v>311</v>
      </c>
      <c r="BE1634" t="s">
        <v>26607</v>
      </c>
      <c r="BF1634" t="s">
        <v>26608</v>
      </c>
      <c r="BI1634">
        <v>11</v>
      </c>
      <c r="BJ1634" t="s">
        <v>144</v>
      </c>
      <c r="BK1634" t="s">
        <v>96</v>
      </c>
      <c r="BL1634" t="s">
        <v>145</v>
      </c>
      <c r="BM1634" t="s">
        <v>26609</v>
      </c>
      <c r="BN1634">
        <v>15092793</v>
      </c>
      <c r="BR1634" t="s">
        <v>98</v>
      </c>
      <c r="BS1634" t="s">
        <v>26610</v>
      </c>
      <c r="BT1634" t="s">
        <v>16602</v>
      </c>
    </row>
    <row r="1635" spans="1:72">
      <c r="A1635" t="s">
        <v>72</v>
      </c>
      <c r="B1635" t="s">
        <v>26611</v>
      </c>
      <c r="F1635" t="s">
        <v>26611</v>
      </c>
      <c r="I1635" t="s">
        <v>26612</v>
      </c>
      <c r="J1635" t="s">
        <v>232</v>
      </c>
      <c r="M1635" t="s">
        <v>78</v>
      </c>
      <c r="N1635" t="s">
        <v>79</v>
      </c>
      <c r="T1635" t="s">
        <v>26613</v>
      </c>
      <c r="U1635" t="s">
        <v>26614</v>
      </c>
      <c r="V1635" t="s">
        <v>26615</v>
      </c>
      <c r="W1635" t="s">
        <v>26616</v>
      </c>
      <c r="X1635" t="s">
        <v>10012</v>
      </c>
      <c r="Y1635" t="s">
        <v>26617</v>
      </c>
      <c r="Z1635" t="s">
        <v>26618</v>
      </c>
      <c r="AA1635" t="s">
        <v>17491</v>
      </c>
      <c r="AB1635" t="s">
        <v>26619</v>
      </c>
      <c r="AG1635">
        <v>50</v>
      </c>
      <c r="AH1635">
        <v>90</v>
      </c>
      <c r="AI1635">
        <v>96</v>
      </c>
      <c r="AJ1635">
        <v>1</v>
      </c>
      <c r="AK1635">
        <v>55</v>
      </c>
      <c r="AL1635" t="s">
        <v>136</v>
      </c>
      <c r="AM1635" t="s">
        <v>137</v>
      </c>
      <c r="AN1635" t="s">
        <v>138</v>
      </c>
      <c r="AO1635" t="s">
        <v>240</v>
      </c>
      <c r="AP1635" t="s">
        <v>241</v>
      </c>
      <c r="AR1635" t="s">
        <v>242</v>
      </c>
      <c r="AS1635" t="s">
        <v>243</v>
      </c>
      <c r="AT1635" t="s">
        <v>765</v>
      </c>
      <c r="AU1635">
        <v>1998</v>
      </c>
      <c r="AV1635">
        <v>36</v>
      </c>
      <c r="AW1635">
        <v>7</v>
      </c>
      <c r="BB1635">
        <v>509</v>
      </c>
      <c r="BC1635">
        <v>518</v>
      </c>
      <c r="BE1635" t="s">
        <v>26620</v>
      </c>
      <c r="BF1635" t="s">
        <v>26621</v>
      </c>
      <c r="BI1635">
        <v>10</v>
      </c>
      <c r="BJ1635" t="s">
        <v>247</v>
      </c>
      <c r="BK1635" t="s">
        <v>96</v>
      </c>
      <c r="BL1635" t="s">
        <v>248</v>
      </c>
      <c r="BM1635" t="s">
        <v>23096</v>
      </c>
      <c r="BR1635" t="s">
        <v>98</v>
      </c>
      <c r="BS1635" t="s">
        <v>26622</v>
      </c>
      <c r="BT1635" t="s">
        <v>16602</v>
      </c>
    </row>
    <row r="1636" spans="1:72">
      <c r="A1636" t="s">
        <v>72</v>
      </c>
      <c r="B1636" t="s">
        <v>26623</v>
      </c>
      <c r="F1636" t="s">
        <v>26623</v>
      </c>
      <c r="I1636" t="s">
        <v>26624</v>
      </c>
      <c r="J1636" t="s">
        <v>5141</v>
      </c>
      <c r="M1636" t="s">
        <v>78</v>
      </c>
      <c r="N1636" t="s">
        <v>151</v>
      </c>
      <c r="O1636" t="s">
        <v>26625</v>
      </c>
      <c r="P1636" t="s">
        <v>26626</v>
      </c>
      <c r="Q1636" t="s">
        <v>26627</v>
      </c>
      <c r="T1636" t="s">
        <v>26628</v>
      </c>
      <c r="U1636" t="s">
        <v>26629</v>
      </c>
      <c r="V1636" t="s">
        <v>26630</v>
      </c>
      <c r="W1636" t="s">
        <v>26631</v>
      </c>
      <c r="X1636" t="s">
        <v>12390</v>
      </c>
      <c r="Y1636" t="s">
        <v>26632</v>
      </c>
      <c r="AA1636" t="s">
        <v>8702</v>
      </c>
      <c r="AG1636">
        <v>15</v>
      </c>
      <c r="AH1636">
        <v>10</v>
      </c>
      <c r="AI1636">
        <v>10</v>
      </c>
      <c r="AJ1636">
        <v>1</v>
      </c>
      <c r="AK1636">
        <v>9</v>
      </c>
      <c r="AL1636" t="s">
        <v>26633</v>
      </c>
      <c r="AM1636" t="s">
        <v>5155</v>
      </c>
      <c r="AN1636" t="s">
        <v>26634</v>
      </c>
      <c r="AO1636" t="s">
        <v>5157</v>
      </c>
      <c r="AR1636" t="s">
        <v>5159</v>
      </c>
      <c r="AS1636" t="s">
        <v>5160</v>
      </c>
      <c r="AT1636" t="s">
        <v>224</v>
      </c>
      <c r="AU1636">
        <v>1995</v>
      </c>
      <c r="AV1636">
        <v>103</v>
      </c>
      <c r="AY1636">
        <v>1</v>
      </c>
      <c r="BB1636">
        <v>33</v>
      </c>
      <c r="BC1636">
        <v>34</v>
      </c>
      <c r="BE1636" t="s">
        <v>26635</v>
      </c>
      <c r="BF1636" t="s">
        <v>26636</v>
      </c>
      <c r="BI1636">
        <v>2</v>
      </c>
      <c r="BJ1636" t="s">
        <v>5162</v>
      </c>
      <c r="BK1636" t="s">
        <v>588</v>
      </c>
      <c r="BL1636" t="s">
        <v>5163</v>
      </c>
      <c r="BM1636" t="s">
        <v>26637</v>
      </c>
      <c r="BN1636">
        <v>7621796</v>
      </c>
      <c r="BO1636" t="s">
        <v>2155</v>
      </c>
      <c r="BR1636" t="s">
        <v>98</v>
      </c>
      <c r="BS1636" t="s">
        <v>26638</v>
      </c>
      <c r="BT1636" t="s">
        <v>16602</v>
      </c>
    </row>
    <row r="1637" spans="1:72">
      <c r="A1637" t="s">
        <v>72</v>
      </c>
      <c r="B1637" t="s">
        <v>26639</v>
      </c>
      <c r="F1637" t="s">
        <v>26640</v>
      </c>
      <c r="I1637" t="s">
        <v>26641</v>
      </c>
      <c r="J1637" t="s">
        <v>7584</v>
      </c>
      <c r="M1637" t="s">
        <v>78</v>
      </c>
      <c r="N1637" t="s">
        <v>79</v>
      </c>
      <c r="T1637" t="s">
        <v>26642</v>
      </c>
      <c r="U1637" t="s">
        <v>26643</v>
      </c>
      <c r="V1637" t="s">
        <v>26644</v>
      </c>
      <c r="W1637" t="s">
        <v>26645</v>
      </c>
      <c r="X1637" t="s">
        <v>26646</v>
      </c>
      <c r="Y1637" t="s">
        <v>26647</v>
      </c>
      <c r="Z1637" t="s">
        <v>26648</v>
      </c>
      <c r="AA1637" t="s">
        <v>26649</v>
      </c>
      <c r="AB1637" t="s">
        <v>26650</v>
      </c>
      <c r="AC1637" t="s">
        <v>26651</v>
      </c>
      <c r="AD1637" t="s">
        <v>26652</v>
      </c>
      <c r="AE1637" t="s">
        <v>26653</v>
      </c>
      <c r="AG1637">
        <v>54</v>
      </c>
      <c r="AH1637">
        <v>1</v>
      </c>
      <c r="AI1637">
        <v>1</v>
      </c>
      <c r="AJ1637">
        <v>5</v>
      </c>
      <c r="AK1637">
        <v>37</v>
      </c>
      <c r="AL1637" t="s">
        <v>136</v>
      </c>
      <c r="AM1637" t="s">
        <v>137</v>
      </c>
      <c r="AN1637" t="s">
        <v>138</v>
      </c>
      <c r="AO1637" t="s">
        <v>7589</v>
      </c>
      <c r="AP1637" t="s">
        <v>7590</v>
      </c>
      <c r="AR1637" t="s">
        <v>7591</v>
      </c>
      <c r="AS1637" t="s">
        <v>7592</v>
      </c>
      <c r="AT1637" t="s">
        <v>10334</v>
      </c>
      <c r="AU1637">
        <v>2023</v>
      </c>
      <c r="AV1637">
        <v>234</v>
      </c>
      <c r="BD1637">
        <v>119793</v>
      </c>
      <c r="BE1637" t="s">
        <v>26654</v>
      </c>
      <c r="BF1637" t="s">
        <v>26655</v>
      </c>
      <c r="BH1637" t="s">
        <v>6536</v>
      </c>
      <c r="BI1637">
        <v>10</v>
      </c>
      <c r="BJ1637" t="s">
        <v>587</v>
      </c>
      <c r="BK1637" t="s">
        <v>96</v>
      </c>
      <c r="BL1637" t="s">
        <v>589</v>
      </c>
      <c r="BM1637" t="s">
        <v>26656</v>
      </c>
      <c r="BN1637">
        <v>36889092</v>
      </c>
      <c r="BO1637" t="s">
        <v>2784</v>
      </c>
      <c r="BR1637" t="s">
        <v>98</v>
      </c>
      <c r="BS1637" t="s">
        <v>26657</v>
      </c>
      <c r="BT1637" t="s">
        <v>16602</v>
      </c>
    </row>
    <row r="1638" spans="1:72">
      <c r="A1638" t="s">
        <v>72</v>
      </c>
      <c r="B1638" t="s">
        <v>26658</v>
      </c>
      <c r="F1638" t="s">
        <v>26658</v>
      </c>
      <c r="I1638" t="s">
        <v>26659</v>
      </c>
      <c r="J1638" t="s">
        <v>232</v>
      </c>
      <c r="M1638" t="s">
        <v>78</v>
      </c>
      <c r="N1638" t="s">
        <v>79</v>
      </c>
      <c r="U1638" t="s">
        <v>26660</v>
      </c>
      <c r="W1638" t="s">
        <v>26661</v>
      </c>
      <c r="X1638" t="s">
        <v>26662</v>
      </c>
      <c r="Y1638" t="s">
        <v>26663</v>
      </c>
      <c r="AA1638" t="s">
        <v>22432</v>
      </c>
      <c r="AB1638" t="s">
        <v>22433</v>
      </c>
      <c r="AG1638">
        <v>10</v>
      </c>
      <c r="AH1638">
        <v>24</v>
      </c>
      <c r="AI1638">
        <v>26</v>
      </c>
      <c r="AJ1638">
        <v>0</v>
      </c>
      <c r="AK1638">
        <v>10</v>
      </c>
      <c r="AL1638" t="s">
        <v>136</v>
      </c>
      <c r="AM1638" t="s">
        <v>137</v>
      </c>
      <c r="AN1638" t="s">
        <v>138</v>
      </c>
      <c r="AO1638" t="s">
        <v>240</v>
      </c>
      <c r="AP1638" t="s">
        <v>241</v>
      </c>
      <c r="AR1638" t="s">
        <v>242</v>
      </c>
      <c r="AS1638" t="s">
        <v>243</v>
      </c>
      <c r="AT1638" t="s">
        <v>951</v>
      </c>
      <c r="AU1638">
        <v>1998</v>
      </c>
      <c r="AV1638">
        <v>36</v>
      </c>
      <c r="AW1638">
        <v>11</v>
      </c>
      <c r="BB1638">
        <v>925</v>
      </c>
      <c r="BC1638">
        <v>929</v>
      </c>
      <c r="BE1638" t="s">
        <v>26664</v>
      </c>
      <c r="BF1638" t="s">
        <v>26665</v>
      </c>
      <c r="BI1638">
        <v>5</v>
      </c>
      <c r="BJ1638" t="s">
        <v>247</v>
      </c>
      <c r="BK1638" t="s">
        <v>96</v>
      </c>
      <c r="BL1638" t="s">
        <v>248</v>
      </c>
      <c r="BM1638" t="s">
        <v>26666</v>
      </c>
      <c r="BR1638" t="s">
        <v>98</v>
      </c>
      <c r="BS1638" t="s">
        <v>26667</v>
      </c>
      <c r="BT1638" t="s">
        <v>16602</v>
      </c>
    </row>
    <row r="1639" spans="1:72">
      <c r="A1639" t="s">
        <v>72</v>
      </c>
      <c r="B1639" t="s">
        <v>26668</v>
      </c>
      <c r="F1639" t="s">
        <v>26668</v>
      </c>
      <c r="I1639" t="s">
        <v>26669</v>
      </c>
      <c r="J1639" t="s">
        <v>2894</v>
      </c>
      <c r="M1639" t="s">
        <v>78</v>
      </c>
      <c r="N1639" t="s">
        <v>79</v>
      </c>
      <c r="T1639" t="s">
        <v>26670</v>
      </c>
      <c r="U1639" t="s">
        <v>26671</v>
      </c>
      <c r="V1639" t="s">
        <v>26672</v>
      </c>
      <c r="W1639" t="s">
        <v>26673</v>
      </c>
      <c r="X1639" t="s">
        <v>26674</v>
      </c>
      <c r="Y1639" t="s">
        <v>26675</v>
      </c>
      <c r="Z1639" t="s">
        <v>26676</v>
      </c>
      <c r="AB1639" t="s">
        <v>26677</v>
      </c>
      <c r="AG1639">
        <v>63</v>
      </c>
      <c r="AH1639">
        <v>40</v>
      </c>
      <c r="AI1639">
        <v>45</v>
      </c>
      <c r="AJ1639">
        <v>0</v>
      </c>
      <c r="AK1639">
        <v>10</v>
      </c>
      <c r="AL1639" t="s">
        <v>2904</v>
      </c>
      <c r="AM1639" t="s">
        <v>2905</v>
      </c>
      <c r="AN1639" t="s">
        <v>2906</v>
      </c>
      <c r="AO1639" t="s">
        <v>2907</v>
      </c>
      <c r="AP1639" t="s">
        <v>5406</v>
      </c>
      <c r="AR1639" t="s">
        <v>2908</v>
      </c>
      <c r="AS1639" t="s">
        <v>2909</v>
      </c>
      <c r="AU1639">
        <v>2002</v>
      </c>
      <c r="AV1639">
        <v>233</v>
      </c>
      <c r="BB1639">
        <v>131</v>
      </c>
      <c r="BC1639">
        <v>142</v>
      </c>
      <c r="BE1639" t="s">
        <v>26678</v>
      </c>
      <c r="BF1639" t="s">
        <v>26679</v>
      </c>
      <c r="BI1639">
        <v>12</v>
      </c>
      <c r="BJ1639" t="s">
        <v>2911</v>
      </c>
      <c r="BK1639" t="s">
        <v>96</v>
      </c>
      <c r="BL1639" t="s">
        <v>2912</v>
      </c>
      <c r="BM1639" t="s">
        <v>26680</v>
      </c>
      <c r="BO1639" t="s">
        <v>2914</v>
      </c>
      <c r="BR1639" t="s">
        <v>98</v>
      </c>
      <c r="BS1639" t="s">
        <v>26681</v>
      </c>
      <c r="BT1639" t="s">
        <v>16602</v>
      </c>
    </row>
    <row r="1640" spans="1:72">
      <c r="A1640" t="s">
        <v>72</v>
      </c>
      <c r="B1640" t="s">
        <v>26682</v>
      </c>
      <c r="F1640" t="s">
        <v>26683</v>
      </c>
      <c r="I1640" t="s">
        <v>26684</v>
      </c>
      <c r="J1640" t="s">
        <v>204</v>
      </c>
      <c r="M1640" t="s">
        <v>78</v>
      </c>
      <c r="N1640" t="s">
        <v>79</v>
      </c>
      <c r="T1640" t="s">
        <v>26685</v>
      </c>
      <c r="U1640" t="s">
        <v>26686</v>
      </c>
      <c r="V1640" t="s">
        <v>26687</v>
      </c>
      <c r="W1640" t="s">
        <v>26688</v>
      </c>
      <c r="X1640" t="s">
        <v>26689</v>
      </c>
      <c r="Y1640" t="s">
        <v>26690</v>
      </c>
      <c r="Z1640" t="s">
        <v>14911</v>
      </c>
      <c r="AA1640" t="s">
        <v>26691</v>
      </c>
      <c r="AB1640" t="s">
        <v>26692</v>
      </c>
      <c r="AC1640" t="s">
        <v>26693</v>
      </c>
      <c r="AD1640" t="s">
        <v>26694</v>
      </c>
      <c r="AE1640" t="s">
        <v>26695</v>
      </c>
      <c r="AG1640">
        <v>66</v>
      </c>
      <c r="AH1640">
        <v>10</v>
      </c>
      <c r="AI1640">
        <v>10</v>
      </c>
      <c r="AJ1640">
        <v>1</v>
      </c>
      <c r="AK1640">
        <v>7</v>
      </c>
      <c r="AL1640" t="s">
        <v>217</v>
      </c>
      <c r="AM1640" t="s">
        <v>218</v>
      </c>
      <c r="AN1640" t="s">
        <v>219</v>
      </c>
      <c r="AO1640" t="s">
        <v>220</v>
      </c>
      <c r="AP1640" t="s">
        <v>221</v>
      </c>
      <c r="AR1640" t="s">
        <v>222</v>
      </c>
      <c r="AS1640" t="s">
        <v>223</v>
      </c>
      <c r="AT1640" t="s">
        <v>224</v>
      </c>
      <c r="AU1640">
        <v>2022</v>
      </c>
      <c r="AV1640">
        <v>29</v>
      </c>
      <c r="AW1640">
        <v>10</v>
      </c>
      <c r="BB1640">
        <v>14131</v>
      </c>
      <c r="BC1640">
        <v>14142</v>
      </c>
      <c r="BE1640" t="s">
        <v>26696</v>
      </c>
      <c r="BF1640" t="s">
        <v>26697</v>
      </c>
      <c r="BH1640" t="s">
        <v>2170</v>
      </c>
      <c r="BI1640">
        <v>12</v>
      </c>
      <c r="BJ1640" t="s">
        <v>144</v>
      </c>
      <c r="BK1640" t="s">
        <v>96</v>
      </c>
      <c r="BL1640" t="s">
        <v>145</v>
      </c>
      <c r="BM1640" t="s">
        <v>26698</v>
      </c>
      <c r="BN1640">
        <v>34601683</v>
      </c>
      <c r="BO1640" t="s">
        <v>25803</v>
      </c>
      <c r="BR1640" t="s">
        <v>98</v>
      </c>
      <c r="BS1640" t="s">
        <v>26699</v>
      </c>
      <c r="BT1640" t="s">
        <v>16602</v>
      </c>
    </row>
    <row r="1641" spans="1:72">
      <c r="A1641" t="s">
        <v>72</v>
      </c>
      <c r="B1641" t="s">
        <v>26700</v>
      </c>
      <c r="F1641" t="s">
        <v>26701</v>
      </c>
      <c r="I1641" t="s">
        <v>26702</v>
      </c>
      <c r="J1641" t="s">
        <v>998</v>
      </c>
      <c r="M1641" t="s">
        <v>78</v>
      </c>
      <c r="N1641" t="s">
        <v>79</v>
      </c>
      <c r="U1641" t="s">
        <v>26703</v>
      </c>
      <c r="V1641" t="s">
        <v>26704</v>
      </c>
      <c r="W1641" t="s">
        <v>26705</v>
      </c>
      <c r="X1641" t="s">
        <v>26706</v>
      </c>
      <c r="Y1641" t="s">
        <v>26707</v>
      </c>
      <c r="Z1641" t="s">
        <v>26708</v>
      </c>
      <c r="AC1641" t="s">
        <v>26709</v>
      </c>
      <c r="AD1641" t="s">
        <v>26709</v>
      </c>
      <c r="AE1641" t="s">
        <v>26710</v>
      </c>
      <c r="AG1641">
        <v>32</v>
      </c>
      <c r="AH1641">
        <v>14</v>
      </c>
      <c r="AI1641">
        <v>18</v>
      </c>
      <c r="AJ1641">
        <v>2</v>
      </c>
      <c r="AK1641">
        <v>53</v>
      </c>
      <c r="AL1641" t="s">
        <v>112</v>
      </c>
      <c r="AM1641" t="s">
        <v>113</v>
      </c>
      <c r="AN1641" t="s">
        <v>114</v>
      </c>
      <c r="AO1641" t="s">
        <v>1009</v>
      </c>
      <c r="AP1641" t="s">
        <v>5996</v>
      </c>
      <c r="AR1641" t="s">
        <v>1010</v>
      </c>
      <c r="AS1641" t="s">
        <v>1011</v>
      </c>
      <c r="AT1641" t="s">
        <v>267</v>
      </c>
      <c r="AU1641">
        <v>2011</v>
      </c>
      <c r="AV1641">
        <v>61</v>
      </c>
      <c r="AW1641">
        <v>3</v>
      </c>
      <c r="BB1641">
        <v>461</v>
      </c>
      <c r="BC1641">
        <v>471</v>
      </c>
      <c r="BE1641" t="s">
        <v>26711</v>
      </c>
      <c r="BF1641" t="s">
        <v>26712</v>
      </c>
      <c r="BI1641">
        <v>11</v>
      </c>
      <c r="BJ1641" t="s">
        <v>121</v>
      </c>
      <c r="BK1641" t="s">
        <v>96</v>
      </c>
      <c r="BL1641" t="s">
        <v>122</v>
      </c>
      <c r="BM1641" t="s">
        <v>26713</v>
      </c>
      <c r="BN1641">
        <v>21221963</v>
      </c>
      <c r="BR1641" t="s">
        <v>98</v>
      </c>
      <c r="BS1641" t="s">
        <v>26714</v>
      </c>
      <c r="BT1641" t="s">
        <v>16602</v>
      </c>
    </row>
    <row r="1642" spans="1:72">
      <c r="A1642" t="s">
        <v>72</v>
      </c>
      <c r="B1642" t="s">
        <v>26715</v>
      </c>
      <c r="F1642" t="s">
        <v>26715</v>
      </c>
      <c r="I1642" t="s">
        <v>26716</v>
      </c>
      <c r="J1642" t="s">
        <v>704</v>
      </c>
      <c r="M1642" t="s">
        <v>78</v>
      </c>
      <c r="N1642" t="s">
        <v>79</v>
      </c>
      <c r="T1642" t="s">
        <v>26717</v>
      </c>
      <c r="U1642" t="s">
        <v>26718</v>
      </c>
      <c r="V1642" t="s">
        <v>26719</v>
      </c>
      <c r="W1642" t="s">
        <v>26720</v>
      </c>
      <c r="X1642" t="s">
        <v>26721</v>
      </c>
      <c r="Y1642" t="s">
        <v>26722</v>
      </c>
      <c r="AA1642" t="s">
        <v>26723</v>
      </c>
      <c r="AB1642" t="s">
        <v>26724</v>
      </c>
      <c r="AG1642">
        <v>30</v>
      </c>
      <c r="AH1642">
        <v>15</v>
      </c>
      <c r="AI1642">
        <v>23</v>
      </c>
      <c r="AJ1642">
        <v>1</v>
      </c>
      <c r="AK1642">
        <v>8</v>
      </c>
      <c r="AL1642" t="s">
        <v>716</v>
      </c>
      <c r="AM1642" t="s">
        <v>191</v>
      </c>
      <c r="AN1642" t="s">
        <v>192</v>
      </c>
      <c r="AO1642" t="s">
        <v>718</v>
      </c>
      <c r="AR1642" t="s">
        <v>719</v>
      </c>
      <c r="AS1642" t="s">
        <v>720</v>
      </c>
      <c r="AT1642" t="s">
        <v>170</v>
      </c>
      <c r="AU1642">
        <v>2003</v>
      </c>
      <c r="AV1642">
        <v>145</v>
      </c>
      <c r="AW1642">
        <v>1</v>
      </c>
      <c r="BB1642">
        <v>53</v>
      </c>
      <c r="BC1642">
        <v>65</v>
      </c>
      <c r="BE1642" t="s">
        <v>26725</v>
      </c>
      <c r="BF1642" t="s">
        <v>26726</v>
      </c>
      <c r="BI1642">
        <v>13</v>
      </c>
      <c r="BJ1642" t="s">
        <v>722</v>
      </c>
      <c r="BK1642" t="s">
        <v>96</v>
      </c>
      <c r="BL1642" t="s">
        <v>723</v>
      </c>
      <c r="BM1642" t="s">
        <v>26727</v>
      </c>
      <c r="BR1642" t="s">
        <v>98</v>
      </c>
      <c r="BS1642" t="s">
        <v>26728</v>
      </c>
      <c r="BT1642" t="s">
        <v>16602</v>
      </c>
    </row>
    <row r="1643" spans="1:72">
      <c r="A1643" t="s">
        <v>72</v>
      </c>
      <c r="B1643" t="s">
        <v>26729</v>
      </c>
      <c r="F1643" t="s">
        <v>26730</v>
      </c>
      <c r="I1643" t="s">
        <v>26731</v>
      </c>
      <c r="J1643" t="s">
        <v>2984</v>
      </c>
      <c r="M1643" t="s">
        <v>78</v>
      </c>
      <c r="N1643" t="s">
        <v>79</v>
      </c>
      <c r="T1643" t="s">
        <v>26732</v>
      </c>
      <c r="U1643" t="s">
        <v>26733</v>
      </c>
      <c r="V1643" t="s">
        <v>26734</v>
      </c>
      <c r="W1643" t="s">
        <v>26735</v>
      </c>
      <c r="X1643" t="s">
        <v>26736</v>
      </c>
      <c r="Y1643" t="s">
        <v>26737</v>
      </c>
      <c r="Z1643" t="s">
        <v>26738</v>
      </c>
      <c r="AA1643" t="s">
        <v>26739</v>
      </c>
      <c r="AC1643" t="s">
        <v>26740</v>
      </c>
      <c r="AD1643" t="s">
        <v>26740</v>
      </c>
      <c r="AE1643" t="s">
        <v>26741</v>
      </c>
      <c r="AG1643">
        <v>70</v>
      </c>
      <c r="AH1643">
        <v>8</v>
      </c>
      <c r="AI1643">
        <v>8</v>
      </c>
      <c r="AJ1643">
        <v>1</v>
      </c>
      <c r="AK1643">
        <v>21</v>
      </c>
      <c r="AL1643" t="s">
        <v>112</v>
      </c>
      <c r="AM1643" t="s">
        <v>191</v>
      </c>
      <c r="AN1643" t="s">
        <v>192</v>
      </c>
      <c r="AO1643" t="s">
        <v>2994</v>
      </c>
      <c r="AP1643" t="s">
        <v>2995</v>
      </c>
      <c r="AR1643" t="s">
        <v>2996</v>
      </c>
      <c r="AS1643" t="s">
        <v>2997</v>
      </c>
      <c r="AT1643" t="s">
        <v>267</v>
      </c>
      <c r="AU1643">
        <v>2019</v>
      </c>
      <c r="AV1643">
        <v>41</v>
      </c>
      <c r="AW1643">
        <v>5</v>
      </c>
      <c r="BB1643">
        <v>1967</v>
      </c>
      <c r="BC1643">
        <v>1985</v>
      </c>
      <c r="BE1643" t="s">
        <v>26742</v>
      </c>
      <c r="BF1643" t="s">
        <v>26743</v>
      </c>
      <c r="BI1643">
        <v>19</v>
      </c>
      <c r="BJ1643" t="s">
        <v>2999</v>
      </c>
      <c r="BK1643" t="s">
        <v>96</v>
      </c>
      <c r="BL1643" t="s">
        <v>3000</v>
      </c>
      <c r="BM1643" t="s">
        <v>26744</v>
      </c>
      <c r="BN1643">
        <v>30771113</v>
      </c>
      <c r="BR1643" t="s">
        <v>98</v>
      </c>
      <c r="BS1643" t="s">
        <v>26745</v>
      </c>
      <c r="BT1643" t="s">
        <v>16602</v>
      </c>
    </row>
    <row r="1644" spans="1:72">
      <c r="A1644" t="s">
        <v>72</v>
      </c>
      <c r="B1644" t="s">
        <v>26746</v>
      </c>
      <c r="F1644" t="s">
        <v>26747</v>
      </c>
      <c r="I1644" t="s">
        <v>26748</v>
      </c>
      <c r="J1644" t="s">
        <v>421</v>
      </c>
      <c r="M1644" t="s">
        <v>78</v>
      </c>
      <c r="N1644" t="s">
        <v>79</v>
      </c>
      <c r="T1644" t="s">
        <v>26749</v>
      </c>
      <c r="U1644" t="s">
        <v>26750</v>
      </c>
      <c r="V1644" t="s">
        <v>26751</v>
      </c>
      <c r="W1644" t="s">
        <v>26752</v>
      </c>
      <c r="X1644" t="s">
        <v>26753</v>
      </c>
      <c r="Y1644" t="s">
        <v>26754</v>
      </c>
      <c r="Z1644" t="s">
        <v>23160</v>
      </c>
      <c r="AA1644" t="s">
        <v>26755</v>
      </c>
      <c r="AB1644" t="s">
        <v>26756</v>
      </c>
      <c r="AC1644" t="s">
        <v>26757</v>
      </c>
      <c r="AD1644" t="s">
        <v>26758</v>
      </c>
      <c r="AE1644" t="s">
        <v>26759</v>
      </c>
      <c r="AG1644">
        <v>54</v>
      </c>
      <c r="AH1644">
        <v>30</v>
      </c>
      <c r="AI1644">
        <v>30</v>
      </c>
      <c r="AJ1644">
        <v>0</v>
      </c>
      <c r="AK1644">
        <v>68</v>
      </c>
      <c r="AL1644" t="s">
        <v>430</v>
      </c>
      <c r="AM1644" t="s">
        <v>137</v>
      </c>
      <c r="AN1644" t="s">
        <v>431</v>
      </c>
      <c r="AO1644" t="s">
        <v>432</v>
      </c>
      <c r="AP1644" t="s">
        <v>1394</v>
      </c>
      <c r="AR1644" t="s">
        <v>433</v>
      </c>
      <c r="AS1644" t="s">
        <v>434</v>
      </c>
      <c r="AT1644" t="s">
        <v>197</v>
      </c>
      <c r="AU1644">
        <v>2018</v>
      </c>
      <c r="AV1644">
        <v>243</v>
      </c>
      <c r="AX1644" t="s">
        <v>489</v>
      </c>
      <c r="BB1644">
        <v>197</v>
      </c>
      <c r="BC1644">
        <v>205</v>
      </c>
      <c r="BE1644" t="s">
        <v>26760</v>
      </c>
      <c r="BF1644" t="s">
        <v>26761</v>
      </c>
      <c r="BI1644">
        <v>9</v>
      </c>
      <c r="BJ1644" t="s">
        <v>144</v>
      </c>
      <c r="BK1644" t="s">
        <v>96</v>
      </c>
      <c r="BL1644" t="s">
        <v>145</v>
      </c>
      <c r="BM1644" t="s">
        <v>5215</v>
      </c>
      <c r="BN1644">
        <v>30172989</v>
      </c>
      <c r="BR1644" t="s">
        <v>98</v>
      </c>
      <c r="BS1644" t="s">
        <v>26762</v>
      </c>
      <c r="BT1644" t="s">
        <v>16602</v>
      </c>
    </row>
    <row r="1645" spans="1:72">
      <c r="A1645" t="s">
        <v>72</v>
      </c>
      <c r="B1645" t="s">
        <v>26763</v>
      </c>
      <c r="F1645" t="s">
        <v>26764</v>
      </c>
      <c r="I1645" t="s">
        <v>26765</v>
      </c>
      <c r="J1645" t="s">
        <v>3405</v>
      </c>
      <c r="M1645" t="s">
        <v>78</v>
      </c>
      <c r="N1645" t="s">
        <v>79</v>
      </c>
      <c r="T1645" t="s">
        <v>26766</v>
      </c>
      <c r="U1645" t="s">
        <v>26767</v>
      </c>
      <c r="V1645" t="s">
        <v>26768</v>
      </c>
      <c r="W1645" t="s">
        <v>26769</v>
      </c>
      <c r="X1645" t="s">
        <v>26770</v>
      </c>
      <c r="Y1645" t="s">
        <v>26771</v>
      </c>
      <c r="Z1645" t="s">
        <v>26772</v>
      </c>
      <c r="AA1645" t="s">
        <v>26773</v>
      </c>
      <c r="AB1645" t="s">
        <v>26774</v>
      </c>
      <c r="AG1645">
        <v>17</v>
      </c>
      <c r="AH1645">
        <v>8</v>
      </c>
      <c r="AI1645">
        <v>8</v>
      </c>
      <c r="AJ1645">
        <v>0</v>
      </c>
      <c r="AK1645">
        <v>21</v>
      </c>
      <c r="AL1645" t="s">
        <v>3418</v>
      </c>
      <c r="AM1645" t="s">
        <v>3419</v>
      </c>
      <c r="AN1645" t="s">
        <v>3420</v>
      </c>
      <c r="AO1645" t="s">
        <v>3421</v>
      </c>
      <c r="AP1645" t="s">
        <v>3422</v>
      </c>
      <c r="AR1645" t="s">
        <v>3423</v>
      </c>
      <c r="AS1645" t="s">
        <v>3424</v>
      </c>
      <c r="AT1645" t="s">
        <v>1470</v>
      </c>
      <c r="AU1645">
        <v>2011</v>
      </c>
      <c r="AV1645">
        <v>25</v>
      </c>
      <c r="AW1645" t="s">
        <v>2847</v>
      </c>
      <c r="BB1645">
        <v>106</v>
      </c>
      <c r="BC1645">
        <v>112</v>
      </c>
      <c r="BE1645" t="s">
        <v>26775</v>
      </c>
      <c r="BF1645" t="s">
        <v>26776</v>
      </c>
      <c r="BI1645">
        <v>7</v>
      </c>
      <c r="BJ1645" t="s">
        <v>3426</v>
      </c>
      <c r="BK1645" t="s">
        <v>96</v>
      </c>
      <c r="BL1645" t="s">
        <v>3427</v>
      </c>
      <c r="BM1645" t="s">
        <v>26777</v>
      </c>
      <c r="BR1645" t="s">
        <v>98</v>
      </c>
      <c r="BS1645" t="s">
        <v>26778</v>
      </c>
      <c r="BT1645" t="s">
        <v>16602</v>
      </c>
    </row>
    <row r="1646" spans="1:72">
      <c r="A1646" t="s">
        <v>72</v>
      </c>
      <c r="B1646" t="s">
        <v>26779</v>
      </c>
      <c r="F1646" t="s">
        <v>26779</v>
      </c>
      <c r="I1646" t="s">
        <v>26780</v>
      </c>
      <c r="J1646" t="s">
        <v>641</v>
      </c>
      <c r="M1646" t="s">
        <v>78</v>
      </c>
      <c r="N1646" t="s">
        <v>79</v>
      </c>
      <c r="T1646" t="s">
        <v>26781</v>
      </c>
      <c r="U1646" t="s">
        <v>26782</v>
      </c>
      <c r="V1646" t="s">
        <v>26783</v>
      </c>
      <c r="W1646" t="s">
        <v>26784</v>
      </c>
      <c r="X1646" t="s">
        <v>8002</v>
      </c>
      <c r="AA1646" t="s">
        <v>26785</v>
      </c>
      <c r="AB1646" t="s">
        <v>26786</v>
      </c>
      <c r="AG1646">
        <v>38</v>
      </c>
      <c r="AH1646">
        <v>359</v>
      </c>
      <c r="AI1646">
        <v>395</v>
      </c>
      <c r="AJ1646">
        <v>4</v>
      </c>
      <c r="AK1646">
        <v>53</v>
      </c>
      <c r="AL1646" t="s">
        <v>919</v>
      </c>
      <c r="AM1646" t="s">
        <v>651</v>
      </c>
      <c r="AN1646" t="s">
        <v>920</v>
      </c>
      <c r="AO1646" t="s">
        <v>653</v>
      </c>
      <c r="AR1646" t="s">
        <v>655</v>
      </c>
      <c r="AS1646" t="s">
        <v>656</v>
      </c>
      <c r="AT1646" t="s">
        <v>305</v>
      </c>
      <c r="AU1646">
        <v>1997</v>
      </c>
      <c r="AV1646">
        <v>39</v>
      </c>
      <c r="AW1646">
        <v>2</v>
      </c>
      <c r="BB1646">
        <v>93</v>
      </c>
      <c r="BC1646">
        <v>110</v>
      </c>
      <c r="BE1646" t="s">
        <v>26787</v>
      </c>
      <c r="BF1646" t="s">
        <v>26788</v>
      </c>
      <c r="BI1646">
        <v>18</v>
      </c>
      <c r="BJ1646" t="s">
        <v>659</v>
      </c>
      <c r="BK1646" t="s">
        <v>96</v>
      </c>
      <c r="BL1646" t="s">
        <v>659</v>
      </c>
      <c r="BM1646" t="s">
        <v>26789</v>
      </c>
      <c r="BR1646" t="s">
        <v>98</v>
      </c>
      <c r="BS1646" t="s">
        <v>26790</v>
      </c>
      <c r="BT1646" t="s">
        <v>16602</v>
      </c>
    </row>
    <row r="1647" spans="1:72">
      <c r="A1647" t="s">
        <v>72</v>
      </c>
      <c r="B1647" t="s">
        <v>26791</v>
      </c>
      <c r="F1647" t="s">
        <v>26792</v>
      </c>
      <c r="I1647" t="s">
        <v>26793</v>
      </c>
      <c r="J1647" t="s">
        <v>3857</v>
      </c>
      <c r="M1647" t="s">
        <v>78</v>
      </c>
      <c r="N1647" t="s">
        <v>79</v>
      </c>
      <c r="T1647" t="s">
        <v>26794</v>
      </c>
      <c r="U1647" t="s">
        <v>26795</v>
      </c>
      <c r="V1647" t="s">
        <v>26796</v>
      </c>
      <c r="W1647" t="s">
        <v>26797</v>
      </c>
      <c r="X1647" t="s">
        <v>26798</v>
      </c>
      <c r="Y1647" t="s">
        <v>26799</v>
      </c>
      <c r="Z1647" t="s">
        <v>26800</v>
      </c>
      <c r="AA1647" t="s">
        <v>26801</v>
      </c>
      <c r="AC1647" t="s">
        <v>26802</v>
      </c>
      <c r="AD1647" t="s">
        <v>26803</v>
      </c>
      <c r="AE1647" t="s">
        <v>26804</v>
      </c>
      <c r="AG1647">
        <v>45</v>
      </c>
      <c r="AH1647">
        <v>14</v>
      </c>
      <c r="AI1647">
        <v>17</v>
      </c>
      <c r="AJ1647">
        <v>0</v>
      </c>
      <c r="AK1647">
        <v>39</v>
      </c>
      <c r="AL1647" t="s">
        <v>919</v>
      </c>
      <c r="AM1647" t="s">
        <v>651</v>
      </c>
      <c r="AN1647" t="s">
        <v>920</v>
      </c>
      <c r="AO1647" t="s">
        <v>3868</v>
      </c>
      <c r="AP1647" t="s">
        <v>3869</v>
      </c>
      <c r="AR1647" t="s">
        <v>3857</v>
      </c>
      <c r="AS1647" t="s">
        <v>3870</v>
      </c>
      <c r="AT1647" t="s">
        <v>344</v>
      </c>
      <c r="AU1647">
        <v>2018</v>
      </c>
      <c r="AV1647">
        <v>663</v>
      </c>
      <c r="BB1647">
        <v>189</v>
      </c>
      <c r="BC1647">
        <v>195</v>
      </c>
      <c r="BE1647" t="s">
        <v>26805</v>
      </c>
      <c r="BF1647" t="s">
        <v>26806</v>
      </c>
      <c r="BI1647">
        <v>7</v>
      </c>
      <c r="BJ1647" t="s">
        <v>3873</v>
      </c>
      <c r="BK1647" t="s">
        <v>96</v>
      </c>
      <c r="BL1647" t="s">
        <v>3873</v>
      </c>
      <c r="BM1647" t="s">
        <v>26807</v>
      </c>
      <c r="BN1647">
        <v>29679757</v>
      </c>
      <c r="BR1647" t="s">
        <v>98</v>
      </c>
      <c r="BS1647" t="s">
        <v>26808</v>
      </c>
      <c r="BT1647" t="s">
        <v>16602</v>
      </c>
    </row>
    <row r="1648" spans="1:72">
      <c r="A1648" t="s">
        <v>72</v>
      </c>
      <c r="B1648" t="s">
        <v>26809</v>
      </c>
      <c r="F1648" t="s">
        <v>26809</v>
      </c>
      <c r="I1648" t="s">
        <v>26810</v>
      </c>
      <c r="J1648" t="s">
        <v>103</v>
      </c>
      <c r="M1648" t="s">
        <v>78</v>
      </c>
      <c r="N1648" t="s">
        <v>79</v>
      </c>
      <c r="Y1648" t="s">
        <v>26811</v>
      </c>
      <c r="AG1648">
        <v>13</v>
      </c>
      <c r="AH1648">
        <v>21</v>
      </c>
      <c r="AI1648">
        <v>21</v>
      </c>
      <c r="AJ1648">
        <v>0</v>
      </c>
      <c r="AK1648">
        <v>4</v>
      </c>
      <c r="AL1648" t="s">
        <v>6584</v>
      </c>
      <c r="AM1648" t="s">
        <v>113</v>
      </c>
      <c r="AN1648" t="s">
        <v>6585</v>
      </c>
      <c r="AO1648" t="s">
        <v>115</v>
      </c>
      <c r="AR1648" t="s">
        <v>117</v>
      </c>
      <c r="AS1648" t="s">
        <v>118</v>
      </c>
      <c r="AT1648" t="s">
        <v>93</v>
      </c>
      <c r="AU1648">
        <v>1987</v>
      </c>
      <c r="AV1648">
        <v>38</v>
      </c>
      <c r="AW1648">
        <v>4</v>
      </c>
      <c r="BB1648">
        <v>641</v>
      </c>
      <c r="BC1648">
        <v>646</v>
      </c>
      <c r="BE1648" t="s">
        <v>26812</v>
      </c>
      <c r="BF1648" t="s">
        <v>26813</v>
      </c>
      <c r="BI1648">
        <v>6</v>
      </c>
      <c r="BJ1648" t="s">
        <v>121</v>
      </c>
      <c r="BK1648" t="s">
        <v>96</v>
      </c>
      <c r="BL1648" t="s">
        <v>122</v>
      </c>
      <c r="BM1648" t="s">
        <v>26814</v>
      </c>
      <c r="BN1648">
        <v>3567402</v>
      </c>
      <c r="BR1648" t="s">
        <v>98</v>
      </c>
      <c r="BS1648" t="s">
        <v>26815</v>
      </c>
      <c r="BT1648" t="s">
        <v>16602</v>
      </c>
    </row>
    <row r="1649" spans="1:72">
      <c r="A1649" t="s">
        <v>72</v>
      </c>
      <c r="B1649" t="s">
        <v>26816</v>
      </c>
      <c r="F1649" t="s">
        <v>26817</v>
      </c>
      <c r="I1649" t="s">
        <v>26818</v>
      </c>
      <c r="J1649" t="s">
        <v>127</v>
      </c>
      <c r="M1649" t="s">
        <v>78</v>
      </c>
      <c r="N1649" t="s">
        <v>79</v>
      </c>
      <c r="T1649" t="s">
        <v>26819</v>
      </c>
      <c r="U1649" t="s">
        <v>26820</v>
      </c>
      <c r="V1649" t="s">
        <v>26821</v>
      </c>
      <c r="W1649" t="s">
        <v>26822</v>
      </c>
      <c r="X1649" t="s">
        <v>26823</v>
      </c>
      <c r="Y1649" t="s">
        <v>26824</v>
      </c>
      <c r="Z1649" t="s">
        <v>26825</v>
      </c>
      <c r="AB1649" t="s">
        <v>26826</v>
      </c>
      <c r="AC1649" t="s">
        <v>26827</v>
      </c>
      <c r="AD1649" t="s">
        <v>26827</v>
      </c>
      <c r="AE1649" t="s">
        <v>26828</v>
      </c>
      <c r="AG1649">
        <v>62</v>
      </c>
      <c r="AH1649">
        <v>4</v>
      </c>
      <c r="AI1649">
        <v>4</v>
      </c>
      <c r="AJ1649">
        <v>4</v>
      </c>
      <c r="AK1649">
        <v>46</v>
      </c>
      <c r="AL1649" t="s">
        <v>136</v>
      </c>
      <c r="AM1649" t="s">
        <v>137</v>
      </c>
      <c r="AN1649" t="s">
        <v>138</v>
      </c>
      <c r="AO1649" t="s">
        <v>139</v>
      </c>
      <c r="AP1649" t="s">
        <v>140</v>
      </c>
      <c r="AR1649" t="s">
        <v>127</v>
      </c>
      <c r="AS1649" t="s">
        <v>141</v>
      </c>
      <c r="AT1649" t="s">
        <v>1470</v>
      </c>
      <c r="AU1649">
        <v>2020</v>
      </c>
      <c r="AV1649">
        <v>238</v>
      </c>
      <c r="BD1649">
        <v>124569</v>
      </c>
      <c r="BE1649" t="s">
        <v>26829</v>
      </c>
      <c r="BF1649" t="s">
        <v>26830</v>
      </c>
      <c r="BI1649">
        <v>10</v>
      </c>
      <c r="BJ1649" t="s">
        <v>144</v>
      </c>
      <c r="BK1649" t="s">
        <v>96</v>
      </c>
      <c r="BL1649" t="s">
        <v>145</v>
      </c>
      <c r="BM1649" t="s">
        <v>26831</v>
      </c>
      <c r="BN1649">
        <v>31442777</v>
      </c>
      <c r="BO1649" t="s">
        <v>18961</v>
      </c>
      <c r="BR1649" t="s">
        <v>98</v>
      </c>
      <c r="BS1649" t="s">
        <v>26832</v>
      </c>
      <c r="BT1649" t="s">
        <v>16602</v>
      </c>
    </row>
    <row r="1650" spans="1:72">
      <c r="A1650" t="s">
        <v>72</v>
      </c>
      <c r="B1650" t="s">
        <v>26833</v>
      </c>
      <c r="F1650" t="s">
        <v>26833</v>
      </c>
      <c r="I1650" t="s">
        <v>26834</v>
      </c>
      <c r="J1650" t="s">
        <v>1756</v>
      </c>
      <c r="M1650" t="s">
        <v>78</v>
      </c>
      <c r="N1650" t="s">
        <v>79</v>
      </c>
      <c r="T1650" t="s">
        <v>26835</v>
      </c>
      <c r="U1650" t="s">
        <v>26836</v>
      </c>
      <c r="V1650" t="s">
        <v>26837</v>
      </c>
      <c r="W1650" t="s">
        <v>26838</v>
      </c>
      <c r="X1650" t="s">
        <v>26839</v>
      </c>
      <c r="Y1650" t="s">
        <v>26840</v>
      </c>
      <c r="Z1650" t="s">
        <v>26841</v>
      </c>
      <c r="AG1650">
        <v>60</v>
      </c>
      <c r="AH1650">
        <v>32</v>
      </c>
      <c r="AI1650">
        <v>38</v>
      </c>
      <c r="AJ1650">
        <v>1</v>
      </c>
      <c r="AK1650">
        <v>41</v>
      </c>
      <c r="AL1650" t="s">
        <v>4153</v>
      </c>
      <c r="AM1650" t="s">
        <v>87</v>
      </c>
      <c r="AN1650" t="s">
        <v>88</v>
      </c>
      <c r="AO1650" t="s">
        <v>1764</v>
      </c>
      <c r="AP1650" t="s">
        <v>1765</v>
      </c>
      <c r="AR1650" t="s">
        <v>1766</v>
      </c>
      <c r="AS1650" t="s">
        <v>1767</v>
      </c>
      <c r="AT1650" t="s">
        <v>93</v>
      </c>
      <c r="AU1650">
        <v>2005</v>
      </c>
      <c r="AV1650">
        <v>24</v>
      </c>
      <c r="AW1650">
        <v>4</v>
      </c>
      <c r="BB1650">
        <v>942</v>
      </c>
      <c r="BC1650">
        <v>953</v>
      </c>
      <c r="BE1650" t="s">
        <v>26842</v>
      </c>
      <c r="BF1650" t="s">
        <v>26843</v>
      </c>
      <c r="BI1650">
        <v>12</v>
      </c>
      <c r="BJ1650" t="s">
        <v>121</v>
      </c>
      <c r="BK1650" t="s">
        <v>96</v>
      </c>
      <c r="BL1650" t="s">
        <v>122</v>
      </c>
      <c r="BM1650" t="s">
        <v>26844</v>
      </c>
      <c r="BN1650">
        <v>15839570</v>
      </c>
      <c r="BR1650" t="s">
        <v>98</v>
      </c>
      <c r="BS1650" t="s">
        <v>26845</v>
      </c>
      <c r="BT1650" t="s">
        <v>16602</v>
      </c>
    </row>
    <row r="1651" spans="1:72">
      <c r="A1651" t="s">
        <v>72</v>
      </c>
      <c r="B1651" t="s">
        <v>26846</v>
      </c>
      <c r="F1651" t="s">
        <v>26846</v>
      </c>
      <c r="I1651" t="s">
        <v>26847</v>
      </c>
      <c r="J1651" t="s">
        <v>421</v>
      </c>
      <c r="M1651" t="s">
        <v>78</v>
      </c>
      <c r="N1651" t="s">
        <v>79</v>
      </c>
      <c r="T1651" t="s">
        <v>26848</v>
      </c>
      <c r="U1651" t="s">
        <v>26849</v>
      </c>
      <c r="V1651" t="s">
        <v>26850</v>
      </c>
      <c r="W1651" t="s">
        <v>26851</v>
      </c>
      <c r="X1651" t="s">
        <v>26852</v>
      </c>
      <c r="Y1651" t="s">
        <v>26853</v>
      </c>
      <c r="Z1651" t="s">
        <v>26854</v>
      </c>
      <c r="AG1651">
        <v>26</v>
      </c>
      <c r="AH1651">
        <v>12</v>
      </c>
      <c r="AI1651">
        <v>14</v>
      </c>
      <c r="AJ1651">
        <v>1</v>
      </c>
      <c r="AK1651">
        <v>8</v>
      </c>
      <c r="AL1651" t="s">
        <v>430</v>
      </c>
      <c r="AM1651" t="s">
        <v>137</v>
      </c>
      <c r="AN1651" t="s">
        <v>431</v>
      </c>
      <c r="AO1651" t="s">
        <v>432</v>
      </c>
      <c r="AR1651" t="s">
        <v>433</v>
      </c>
      <c r="AS1651" t="s">
        <v>434</v>
      </c>
      <c r="AU1651">
        <v>1999</v>
      </c>
      <c r="AV1651">
        <v>106</v>
      </c>
      <c r="AW1651">
        <v>1</v>
      </c>
      <c r="BB1651">
        <v>115</v>
      </c>
      <c r="BC1651">
        <v>121</v>
      </c>
      <c r="BE1651" t="s">
        <v>26855</v>
      </c>
      <c r="BF1651" t="s">
        <v>26856</v>
      </c>
      <c r="BI1651">
        <v>7</v>
      </c>
      <c r="BJ1651" t="s">
        <v>144</v>
      </c>
      <c r="BK1651" t="s">
        <v>96</v>
      </c>
      <c r="BL1651" t="s">
        <v>145</v>
      </c>
      <c r="BM1651" t="s">
        <v>26857</v>
      </c>
      <c r="BN1651">
        <v>15093066</v>
      </c>
      <c r="BR1651" t="s">
        <v>98</v>
      </c>
      <c r="BS1651" t="s">
        <v>26858</v>
      </c>
      <c r="BT1651" t="s">
        <v>16602</v>
      </c>
    </row>
    <row r="1652" spans="1:72">
      <c r="A1652" t="s">
        <v>72</v>
      </c>
      <c r="B1652" t="s">
        <v>26859</v>
      </c>
      <c r="F1652" t="s">
        <v>26860</v>
      </c>
      <c r="I1652" t="s">
        <v>26861</v>
      </c>
      <c r="J1652" t="s">
        <v>10129</v>
      </c>
      <c r="M1652" t="s">
        <v>78</v>
      </c>
      <c r="N1652" t="s">
        <v>151</v>
      </c>
      <c r="O1652" t="s">
        <v>26862</v>
      </c>
      <c r="P1652" t="s">
        <v>26863</v>
      </c>
      <c r="Q1652" t="s">
        <v>26864</v>
      </c>
      <c r="T1652" t="s">
        <v>26865</v>
      </c>
      <c r="U1652" t="s">
        <v>26866</v>
      </c>
      <c r="V1652" t="s">
        <v>26867</v>
      </c>
      <c r="W1652" t="s">
        <v>26868</v>
      </c>
      <c r="X1652" t="s">
        <v>26869</v>
      </c>
      <c r="Y1652" t="s">
        <v>26870</v>
      </c>
      <c r="Z1652" t="s">
        <v>8326</v>
      </c>
      <c r="AG1652">
        <v>40</v>
      </c>
      <c r="AH1652">
        <v>9</v>
      </c>
      <c r="AI1652">
        <v>11</v>
      </c>
      <c r="AJ1652">
        <v>1</v>
      </c>
      <c r="AK1652">
        <v>17</v>
      </c>
      <c r="AL1652" t="s">
        <v>3362</v>
      </c>
      <c r="AM1652" t="s">
        <v>3363</v>
      </c>
      <c r="AN1652" t="s">
        <v>3364</v>
      </c>
      <c r="AO1652" t="s">
        <v>10137</v>
      </c>
      <c r="AP1652" t="s">
        <v>10138</v>
      </c>
      <c r="AR1652" t="s">
        <v>10139</v>
      </c>
      <c r="AS1652" t="s">
        <v>10140</v>
      </c>
      <c r="AT1652" t="s">
        <v>119</v>
      </c>
      <c r="AU1652">
        <v>2013</v>
      </c>
      <c r="AV1652">
        <v>125</v>
      </c>
      <c r="AZ1652" t="s">
        <v>225</v>
      </c>
      <c r="BB1652">
        <v>188</v>
      </c>
      <c r="BC1652">
        <v>196</v>
      </c>
      <c r="BE1652" t="s">
        <v>26871</v>
      </c>
      <c r="BF1652" t="s">
        <v>26872</v>
      </c>
      <c r="BI1652">
        <v>9</v>
      </c>
      <c r="BJ1652" t="s">
        <v>10142</v>
      </c>
      <c r="BK1652" t="s">
        <v>172</v>
      </c>
      <c r="BL1652" t="s">
        <v>10143</v>
      </c>
      <c r="BM1652" t="s">
        <v>26873</v>
      </c>
      <c r="BN1652">
        <v>23398778</v>
      </c>
      <c r="BR1652" t="s">
        <v>98</v>
      </c>
      <c r="BS1652" t="s">
        <v>26874</v>
      </c>
      <c r="BT1652" t="s">
        <v>16602</v>
      </c>
    </row>
    <row r="1653" spans="1:72">
      <c r="A1653" t="s">
        <v>72</v>
      </c>
      <c r="B1653" t="s">
        <v>26875</v>
      </c>
      <c r="F1653" t="s">
        <v>26875</v>
      </c>
      <c r="I1653" t="s">
        <v>26876</v>
      </c>
      <c r="J1653" t="s">
        <v>1254</v>
      </c>
      <c r="M1653" t="s">
        <v>78</v>
      </c>
      <c r="N1653" t="s">
        <v>79</v>
      </c>
      <c r="T1653" t="s">
        <v>26877</v>
      </c>
      <c r="U1653" t="s">
        <v>26878</v>
      </c>
      <c r="V1653" t="s">
        <v>26879</v>
      </c>
      <c r="W1653" t="s">
        <v>26880</v>
      </c>
      <c r="X1653" t="s">
        <v>26881</v>
      </c>
      <c r="Y1653" t="s">
        <v>26882</v>
      </c>
      <c r="AA1653" t="s">
        <v>14657</v>
      </c>
      <c r="AB1653" t="s">
        <v>7486</v>
      </c>
      <c r="AG1653">
        <v>38</v>
      </c>
      <c r="AH1653">
        <v>101</v>
      </c>
      <c r="AI1653">
        <v>122</v>
      </c>
      <c r="AJ1653">
        <v>0</v>
      </c>
      <c r="AK1653">
        <v>26</v>
      </c>
      <c r="AL1653" t="s">
        <v>136</v>
      </c>
      <c r="AM1653" t="s">
        <v>137</v>
      </c>
      <c r="AN1653" t="s">
        <v>138</v>
      </c>
      <c r="AO1653" t="s">
        <v>1264</v>
      </c>
      <c r="AR1653" t="s">
        <v>1266</v>
      </c>
      <c r="AS1653" t="s">
        <v>1267</v>
      </c>
      <c r="AT1653" t="s">
        <v>765</v>
      </c>
      <c r="AU1653">
        <v>2003</v>
      </c>
      <c r="AV1653">
        <v>29</v>
      </c>
      <c r="AW1653">
        <v>4</v>
      </c>
      <c r="BB1653">
        <v>493</v>
      </c>
      <c r="BC1653">
        <v>502</v>
      </c>
      <c r="BE1653" t="s">
        <v>26883</v>
      </c>
      <c r="BF1653" t="s">
        <v>26884</v>
      </c>
      <c r="BI1653">
        <v>10</v>
      </c>
      <c r="BJ1653" t="s">
        <v>144</v>
      </c>
      <c r="BK1653" t="s">
        <v>96</v>
      </c>
      <c r="BL1653" t="s">
        <v>145</v>
      </c>
      <c r="BM1653" t="s">
        <v>17829</v>
      </c>
      <c r="BN1653">
        <v>12705947</v>
      </c>
      <c r="BR1653" t="s">
        <v>98</v>
      </c>
      <c r="BS1653" t="s">
        <v>26885</v>
      </c>
      <c r="BT1653" t="s">
        <v>16602</v>
      </c>
    </row>
    <row r="1654" spans="1:72">
      <c r="A1654" t="s">
        <v>72</v>
      </c>
      <c r="B1654" t="s">
        <v>26886</v>
      </c>
      <c r="F1654" t="s">
        <v>26887</v>
      </c>
      <c r="I1654" t="s">
        <v>26888</v>
      </c>
      <c r="J1654" t="s">
        <v>232</v>
      </c>
      <c r="M1654" t="s">
        <v>78</v>
      </c>
      <c r="N1654" t="s">
        <v>79</v>
      </c>
      <c r="T1654" t="s">
        <v>26889</v>
      </c>
      <c r="U1654" t="s">
        <v>26890</v>
      </c>
      <c r="V1654" t="s">
        <v>26891</v>
      </c>
      <c r="W1654" t="s">
        <v>26892</v>
      </c>
      <c r="X1654" t="s">
        <v>26893</v>
      </c>
      <c r="Y1654" t="s">
        <v>26894</v>
      </c>
      <c r="Z1654" t="s">
        <v>26895</v>
      </c>
      <c r="AA1654" t="s">
        <v>26896</v>
      </c>
      <c r="AB1654" t="s">
        <v>26897</v>
      </c>
      <c r="AC1654" t="s">
        <v>26898</v>
      </c>
      <c r="AD1654" t="s">
        <v>26899</v>
      </c>
      <c r="AE1654" t="s">
        <v>26900</v>
      </c>
      <c r="AG1654">
        <v>51</v>
      </c>
      <c r="AH1654">
        <v>7</v>
      </c>
      <c r="AI1654">
        <v>8</v>
      </c>
      <c r="AJ1654">
        <v>0</v>
      </c>
      <c r="AK1654">
        <v>14</v>
      </c>
      <c r="AL1654" t="s">
        <v>136</v>
      </c>
      <c r="AM1654" t="s">
        <v>137</v>
      </c>
      <c r="AN1654" t="s">
        <v>138</v>
      </c>
      <c r="AO1654" t="s">
        <v>240</v>
      </c>
      <c r="AP1654" t="s">
        <v>241</v>
      </c>
      <c r="AR1654" t="s">
        <v>242</v>
      </c>
      <c r="AS1654" t="s">
        <v>243</v>
      </c>
      <c r="AT1654" t="s">
        <v>546</v>
      </c>
      <c r="AU1654">
        <v>2015</v>
      </c>
      <c r="AV1654">
        <v>100</v>
      </c>
      <c r="AW1654">
        <v>1</v>
      </c>
      <c r="BB1654">
        <v>495</v>
      </c>
      <c r="BC1654">
        <v>500</v>
      </c>
      <c r="BE1654" t="s">
        <v>26901</v>
      </c>
      <c r="BF1654" t="s">
        <v>26902</v>
      </c>
      <c r="BI1654">
        <v>6</v>
      </c>
      <c r="BJ1654" t="s">
        <v>247</v>
      </c>
      <c r="BK1654" t="s">
        <v>96</v>
      </c>
      <c r="BL1654" t="s">
        <v>248</v>
      </c>
      <c r="BM1654" t="s">
        <v>26903</v>
      </c>
      <c r="BN1654">
        <v>26362457</v>
      </c>
      <c r="BO1654" t="s">
        <v>1752</v>
      </c>
      <c r="BR1654" t="s">
        <v>98</v>
      </c>
      <c r="BS1654" t="s">
        <v>26904</v>
      </c>
      <c r="BT1654" t="s">
        <v>16602</v>
      </c>
    </row>
    <row r="1655" spans="1:72">
      <c r="A1655" t="s">
        <v>72</v>
      </c>
      <c r="B1655" t="s">
        <v>26905</v>
      </c>
      <c r="F1655" t="s">
        <v>26905</v>
      </c>
      <c r="I1655" t="s">
        <v>26906</v>
      </c>
      <c r="J1655" t="s">
        <v>752</v>
      </c>
      <c r="M1655" t="s">
        <v>78</v>
      </c>
      <c r="N1655" t="s">
        <v>79</v>
      </c>
      <c r="T1655" t="s">
        <v>26907</v>
      </c>
      <c r="U1655" t="s">
        <v>26908</v>
      </c>
      <c r="V1655" t="s">
        <v>26909</v>
      </c>
      <c r="W1655" t="s">
        <v>26910</v>
      </c>
      <c r="X1655" t="s">
        <v>26911</v>
      </c>
      <c r="Y1655" t="s">
        <v>26912</v>
      </c>
      <c r="Z1655" t="s">
        <v>26913</v>
      </c>
      <c r="AA1655" t="s">
        <v>26914</v>
      </c>
      <c r="AB1655" t="s">
        <v>26915</v>
      </c>
      <c r="AG1655">
        <v>27</v>
      </c>
      <c r="AH1655">
        <v>27</v>
      </c>
      <c r="AI1655">
        <v>32</v>
      </c>
      <c r="AJ1655">
        <v>2</v>
      </c>
      <c r="AK1655">
        <v>14</v>
      </c>
      <c r="AL1655" t="s">
        <v>430</v>
      </c>
      <c r="AM1655" t="s">
        <v>137</v>
      </c>
      <c r="AN1655" t="s">
        <v>431</v>
      </c>
      <c r="AO1655" t="s">
        <v>761</v>
      </c>
      <c r="AP1655" t="s">
        <v>762</v>
      </c>
      <c r="AR1655" t="s">
        <v>763</v>
      </c>
      <c r="AS1655" t="s">
        <v>764</v>
      </c>
      <c r="AT1655" t="s">
        <v>170</v>
      </c>
      <c r="AU1655">
        <v>2000</v>
      </c>
      <c r="AV1655">
        <v>49</v>
      </c>
      <c r="AW1655">
        <v>4</v>
      </c>
      <c r="BB1655">
        <v>307</v>
      </c>
      <c r="BC1655">
        <v>317</v>
      </c>
      <c r="BE1655" t="s">
        <v>26916</v>
      </c>
      <c r="BF1655" t="s">
        <v>26917</v>
      </c>
      <c r="BI1655">
        <v>11</v>
      </c>
      <c r="BJ1655" t="s">
        <v>768</v>
      </c>
      <c r="BK1655" t="s">
        <v>96</v>
      </c>
      <c r="BL1655" t="s">
        <v>769</v>
      </c>
      <c r="BM1655" t="s">
        <v>26918</v>
      </c>
      <c r="BN1655">
        <v>11285732</v>
      </c>
      <c r="BR1655" t="s">
        <v>98</v>
      </c>
      <c r="BS1655" t="s">
        <v>26919</v>
      </c>
      <c r="BT1655" t="s">
        <v>16602</v>
      </c>
    </row>
    <row r="1656" spans="1:72">
      <c r="A1656" t="s">
        <v>72</v>
      </c>
      <c r="B1656" t="s">
        <v>26920</v>
      </c>
      <c r="F1656" t="s">
        <v>26920</v>
      </c>
      <c r="I1656" t="s">
        <v>26921</v>
      </c>
      <c r="J1656" t="s">
        <v>232</v>
      </c>
      <c r="M1656" t="s">
        <v>78</v>
      </c>
      <c r="N1656" t="s">
        <v>79</v>
      </c>
      <c r="V1656" t="s">
        <v>26922</v>
      </c>
      <c r="W1656" t="s">
        <v>26923</v>
      </c>
      <c r="X1656" t="s">
        <v>26924</v>
      </c>
      <c r="Y1656" t="s">
        <v>26925</v>
      </c>
      <c r="AG1656">
        <v>14</v>
      </c>
      <c r="AH1656">
        <v>30</v>
      </c>
      <c r="AI1656">
        <v>34</v>
      </c>
      <c r="AJ1656">
        <v>0</v>
      </c>
      <c r="AK1656">
        <v>4</v>
      </c>
      <c r="AL1656" t="s">
        <v>136</v>
      </c>
      <c r="AM1656" t="s">
        <v>137</v>
      </c>
      <c r="AN1656" t="s">
        <v>138</v>
      </c>
      <c r="AO1656" t="s">
        <v>240</v>
      </c>
      <c r="AP1656" t="s">
        <v>241</v>
      </c>
      <c r="AR1656" t="s">
        <v>242</v>
      </c>
      <c r="AS1656" t="s">
        <v>243</v>
      </c>
      <c r="AU1656">
        <v>1983</v>
      </c>
      <c r="AV1656">
        <v>14</v>
      </c>
      <c r="AW1656">
        <v>12</v>
      </c>
      <c r="BB1656">
        <v>452</v>
      </c>
      <c r="BC1656">
        <v>455</v>
      </c>
      <c r="BE1656" t="s">
        <v>26926</v>
      </c>
      <c r="BF1656" t="s">
        <v>26927</v>
      </c>
      <c r="BI1656">
        <v>4</v>
      </c>
      <c r="BJ1656" t="s">
        <v>247</v>
      </c>
      <c r="BK1656" t="s">
        <v>96</v>
      </c>
      <c r="BL1656" t="s">
        <v>248</v>
      </c>
      <c r="BM1656" t="s">
        <v>26928</v>
      </c>
      <c r="BR1656" t="s">
        <v>98</v>
      </c>
      <c r="BS1656" t="s">
        <v>26929</v>
      </c>
      <c r="BT1656" t="s">
        <v>16602</v>
      </c>
    </row>
    <row r="1657" spans="1:72">
      <c r="A1657" t="s">
        <v>72</v>
      </c>
      <c r="B1657" t="s">
        <v>26930</v>
      </c>
      <c r="F1657" t="s">
        <v>26931</v>
      </c>
      <c r="I1657" t="s">
        <v>26932</v>
      </c>
      <c r="J1657" t="s">
        <v>8125</v>
      </c>
      <c r="M1657" t="s">
        <v>78</v>
      </c>
      <c r="N1657" t="s">
        <v>79</v>
      </c>
      <c r="T1657" t="s">
        <v>26933</v>
      </c>
      <c r="U1657" t="s">
        <v>26934</v>
      </c>
      <c r="V1657" t="s">
        <v>26935</v>
      </c>
      <c r="W1657" t="s">
        <v>26936</v>
      </c>
      <c r="X1657" t="s">
        <v>26937</v>
      </c>
      <c r="Y1657" t="s">
        <v>26938</v>
      </c>
      <c r="Z1657" t="s">
        <v>26939</v>
      </c>
      <c r="AA1657" t="s">
        <v>26940</v>
      </c>
      <c r="AB1657" t="s">
        <v>26941</v>
      </c>
      <c r="AC1657" t="s">
        <v>26942</v>
      </c>
      <c r="AD1657" t="s">
        <v>24206</v>
      </c>
      <c r="AE1657" t="s">
        <v>26943</v>
      </c>
      <c r="AG1657">
        <v>31</v>
      </c>
      <c r="AH1657">
        <v>48</v>
      </c>
      <c r="AI1657">
        <v>53</v>
      </c>
      <c r="AJ1657">
        <v>1</v>
      </c>
      <c r="AK1657">
        <v>23</v>
      </c>
      <c r="AL1657" t="s">
        <v>8138</v>
      </c>
      <c r="AM1657" t="s">
        <v>8139</v>
      </c>
      <c r="AN1657" t="s">
        <v>8140</v>
      </c>
      <c r="AO1657" t="s">
        <v>8141</v>
      </c>
      <c r="AR1657" t="s">
        <v>8142</v>
      </c>
      <c r="AS1657" t="s">
        <v>8143</v>
      </c>
      <c r="AU1657">
        <v>2011</v>
      </c>
      <c r="AV1657">
        <v>76</v>
      </c>
      <c r="AW1657">
        <v>6</v>
      </c>
      <c r="BB1657">
        <v>933</v>
      </c>
      <c r="BC1657">
        <v>946</v>
      </c>
      <c r="BE1657" t="s">
        <v>26944</v>
      </c>
      <c r="BF1657" t="s">
        <v>26945</v>
      </c>
      <c r="BI1657">
        <v>14</v>
      </c>
      <c r="BJ1657" t="s">
        <v>3919</v>
      </c>
      <c r="BK1657" t="s">
        <v>96</v>
      </c>
      <c r="BL1657" t="s">
        <v>1197</v>
      </c>
      <c r="BM1657" t="s">
        <v>26946</v>
      </c>
      <c r="BO1657" t="s">
        <v>20619</v>
      </c>
      <c r="BR1657" t="s">
        <v>98</v>
      </c>
      <c r="BS1657" t="s">
        <v>26947</v>
      </c>
      <c r="BT1657" t="s">
        <v>16602</v>
      </c>
    </row>
    <row r="1658" spans="1:72">
      <c r="A1658" t="s">
        <v>72</v>
      </c>
      <c r="B1658" t="s">
        <v>26948</v>
      </c>
      <c r="F1658" t="s">
        <v>26948</v>
      </c>
      <c r="I1658" t="s">
        <v>26949</v>
      </c>
      <c r="J1658" t="s">
        <v>26950</v>
      </c>
      <c r="M1658" t="s">
        <v>78</v>
      </c>
      <c r="N1658" t="s">
        <v>79</v>
      </c>
      <c r="T1658" t="s">
        <v>26951</v>
      </c>
      <c r="U1658" t="s">
        <v>26952</v>
      </c>
      <c r="V1658" t="s">
        <v>26953</v>
      </c>
      <c r="W1658" t="s">
        <v>26954</v>
      </c>
      <c r="X1658" t="s">
        <v>26955</v>
      </c>
      <c r="Y1658" t="s">
        <v>26956</v>
      </c>
      <c r="AA1658" t="s">
        <v>26957</v>
      </c>
      <c r="AB1658" t="s">
        <v>26958</v>
      </c>
      <c r="AG1658">
        <v>29</v>
      </c>
      <c r="AH1658">
        <v>5</v>
      </c>
      <c r="AI1658">
        <v>5</v>
      </c>
      <c r="AJ1658">
        <v>0</v>
      </c>
      <c r="AK1658">
        <v>8</v>
      </c>
      <c r="AL1658" t="s">
        <v>26959</v>
      </c>
      <c r="AM1658" t="s">
        <v>26960</v>
      </c>
      <c r="AN1658" t="s">
        <v>26961</v>
      </c>
      <c r="AO1658" t="s">
        <v>26962</v>
      </c>
      <c r="AR1658" t="s">
        <v>26963</v>
      </c>
      <c r="AS1658" t="s">
        <v>26964</v>
      </c>
      <c r="AT1658" t="s">
        <v>197</v>
      </c>
      <c r="AU1658">
        <v>2000</v>
      </c>
      <c r="AV1658">
        <v>45</v>
      </c>
      <c r="AW1658">
        <v>4</v>
      </c>
      <c r="BB1658">
        <v>551</v>
      </c>
      <c r="BC1658">
        <v>561</v>
      </c>
      <c r="BI1658">
        <v>11</v>
      </c>
      <c r="BJ1658" t="s">
        <v>3919</v>
      </c>
      <c r="BK1658" t="s">
        <v>96</v>
      </c>
      <c r="BL1658" t="s">
        <v>1197</v>
      </c>
      <c r="BM1658" t="s">
        <v>26965</v>
      </c>
      <c r="BR1658" t="s">
        <v>98</v>
      </c>
      <c r="BS1658" t="s">
        <v>26966</v>
      </c>
      <c r="BT1658" t="s">
        <v>16602</v>
      </c>
    </row>
    <row r="1659" spans="1:72">
      <c r="A1659" t="s">
        <v>72</v>
      </c>
      <c r="B1659" t="s">
        <v>3430</v>
      </c>
      <c r="F1659" t="s">
        <v>3430</v>
      </c>
      <c r="I1659" t="s">
        <v>26967</v>
      </c>
      <c r="J1659" t="s">
        <v>909</v>
      </c>
      <c r="M1659" t="s">
        <v>78</v>
      </c>
      <c r="N1659" t="s">
        <v>79</v>
      </c>
      <c r="T1659" t="s">
        <v>26968</v>
      </c>
      <c r="U1659" t="s">
        <v>26969</v>
      </c>
      <c r="V1659" t="s">
        <v>26970</v>
      </c>
      <c r="W1659" t="s">
        <v>26971</v>
      </c>
      <c r="X1659" t="s">
        <v>3435</v>
      </c>
      <c r="Y1659" t="s">
        <v>26972</v>
      </c>
      <c r="Z1659" t="s">
        <v>3437</v>
      </c>
      <c r="AA1659" t="s">
        <v>3438</v>
      </c>
      <c r="AB1659" t="s">
        <v>3439</v>
      </c>
      <c r="AG1659">
        <v>35</v>
      </c>
      <c r="AH1659">
        <v>60</v>
      </c>
      <c r="AI1659">
        <v>63</v>
      </c>
      <c r="AJ1659">
        <v>0</v>
      </c>
      <c r="AK1659">
        <v>19</v>
      </c>
      <c r="AL1659" t="s">
        <v>919</v>
      </c>
      <c r="AM1659" t="s">
        <v>651</v>
      </c>
      <c r="AN1659" t="s">
        <v>920</v>
      </c>
      <c r="AO1659" t="s">
        <v>921</v>
      </c>
      <c r="AR1659" t="s">
        <v>923</v>
      </c>
      <c r="AS1659" t="s">
        <v>924</v>
      </c>
      <c r="AT1659" t="s">
        <v>17535</v>
      </c>
      <c r="AU1659">
        <v>2004</v>
      </c>
      <c r="AV1659">
        <v>318</v>
      </c>
      <c r="AW1659" t="s">
        <v>2847</v>
      </c>
      <c r="BB1659">
        <v>115</v>
      </c>
      <c r="BC1659">
        <v>124</v>
      </c>
      <c r="BE1659" t="s">
        <v>26973</v>
      </c>
      <c r="BF1659" t="s">
        <v>26974</v>
      </c>
      <c r="BI1659">
        <v>10</v>
      </c>
      <c r="BJ1659" t="s">
        <v>144</v>
      </c>
      <c r="BK1659" t="s">
        <v>96</v>
      </c>
      <c r="BL1659" t="s">
        <v>145</v>
      </c>
      <c r="BM1659" t="s">
        <v>26975</v>
      </c>
      <c r="BN1659">
        <v>14654279</v>
      </c>
      <c r="BR1659" t="s">
        <v>98</v>
      </c>
      <c r="BS1659" t="s">
        <v>26976</v>
      </c>
      <c r="BT1659" t="s">
        <v>16602</v>
      </c>
    </row>
    <row r="1660" spans="1:72">
      <c r="A1660" t="s">
        <v>72</v>
      </c>
      <c r="B1660" t="s">
        <v>26977</v>
      </c>
      <c r="F1660" t="s">
        <v>26978</v>
      </c>
      <c r="I1660" t="s">
        <v>26979</v>
      </c>
      <c r="J1660" t="s">
        <v>1202</v>
      </c>
      <c r="M1660" t="s">
        <v>78</v>
      </c>
      <c r="N1660" t="s">
        <v>79</v>
      </c>
      <c r="T1660" t="s">
        <v>26980</v>
      </c>
      <c r="U1660" t="s">
        <v>26981</v>
      </c>
      <c r="V1660" t="s">
        <v>26982</v>
      </c>
      <c r="W1660" t="s">
        <v>26983</v>
      </c>
      <c r="X1660" t="s">
        <v>26984</v>
      </c>
      <c r="Y1660" t="s">
        <v>26985</v>
      </c>
      <c r="Z1660" t="s">
        <v>26986</v>
      </c>
      <c r="AA1660" t="s">
        <v>26987</v>
      </c>
      <c r="AB1660" t="s">
        <v>26988</v>
      </c>
      <c r="AC1660" t="s">
        <v>26989</v>
      </c>
      <c r="AD1660" t="s">
        <v>26989</v>
      </c>
      <c r="AE1660" t="s">
        <v>26990</v>
      </c>
      <c r="AG1660">
        <v>116</v>
      </c>
      <c r="AH1660">
        <v>12</v>
      </c>
      <c r="AI1660">
        <v>12</v>
      </c>
      <c r="AJ1660">
        <v>2</v>
      </c>
      <c r="AK1660">
        <v>11</v>
      </c>
      <c r="AL1660" t="s">
        <v>112</v>
      </c>
      <c r="AM1660" t="s">
        <v>191</v>
      </c>
      <c r="AN1660" t="s">
        <v>192</v>
      </c>
      <c r="AO1660" t="s">
        <v>1207</v>
      </c>
      <c r="AP1660" t="s">
        <v>4902</v>
      </c>
      <c r="AR1660" t="s">
        <v>1202</v>
      </c>
      <c r="AS1660" t="s">
        <v>1208</v>
      </c>
      <c r="AT1660" t="s">
        <v>765</v>
      </c>
      <c r="AU1660">
        <v>2021</v>
      </c>
      <c r="AV1660">
        <v>848</v>
      </c>
      <c r="AW1660" t="s">
        <v>26991</v>
      </c>
      <c r="AZ1660" t="s">
        <v>225</v>
      </c>
      <c r="BB1660">
        <v>2977</v>
      </c>
      <c r="BC1660">
        <v>2992</v>
      </c>
      <c r="BE1660" t="s">
        <v>26992</v>
      </c>
      <c r="BF1660" t="s">
        <v>26993</v>
      </c>
      <c r="BH1660" t="s">
        <v>1588</v>
      </c>
      <c r="BI1660">
        <v>16</v>
      </c>
      <c r="BJ1660" t="s">
        <v>680</v>
      </c>
      <c r="BK1660" t="s">
        <v>96</v>
      </c>
      <c r="BL1660" t="s">
        <v>680</v>
      </c>
      <c r="BM1660" t="s">
        <v>26994</v>
      </c>
      <c r="BR1660" t="s">
        <v>98</v>
      </c>
      <c r="BS1660" t="s">
        <v>26995</v>
      </c>
      <c r="BT1660" t="s">
        <v>16602</v>
      </c>
    </row>
    <row r="1661" spans="1:72">
      <c r="A1661" t="s">
        <v>72</v>
      </c>
      <c r="B1661" t="s">
        <v>26996</v>
      </c>
      <c r="F1661" t="s">
        <v>26997</v>
      </c>
      <c r="I1661" t="s">
        <v>26998</v>
      </c>
      <c r="J1661" t="s">
        <v>641</v>
      </c>
      <c r="M1661" t="s">
        <v>78</v>
      </c>
      <c r="N1661" t="s">
        <v>79</v>
      </c>
      <c r="T1661" t="s">
        <v>26999</v>
      </c>
      <c r="U1661" t="s">
        <v>27000</v>
      </c>
      <c r="V1661" t="s">
        <v>27001</v>
      </c>
      <c r="W1661" t="s">
        <v>27002</v>
      </c>
      <c r="X1661" t="s">
        <v>14546</v>
      </c>
      <c r="Y1661" t="s">
        <v>27003</v>
      </c>
      <c r="Z1661" t="s">
        <v>27004</v>
      </c>
      <c r="AB1661" t="s">
        <v>27005</v>
      </c>
      <c r="AG1661">
        <v>44</v>
      </c>
      <c r="AH1661">
        <v>18</v>
      </c>
      <c r="AI1661">
        <v>19</v>
      </c>
      <c r="AJ1661">
        <v>1</v>
      </c>
      <c r="AK1661">
        <v>12</v>
      </c>
      <c r="AL1661" t="s">
        <v>650</v>
      </c>
      <c r="AM1661" t="s">
        <v>651</v>
      </c>
      <c r="AN1661" t="s">
        <v>652</v>
      </c>
      <c r="AO1661" t="s">
        <v>653</v>
      </c>
      <c r="AP1661" t="s">
        <v>654</v>
      </c>
      <c r="AR1661" t="s">
        <v>655</v>
      </c>
      <c r="AS1661" t="s">
        <v>656</v>
      </c>
      <c r="AT1661" t="s">
        <v>5542</v>
      </c>
      <c r="AU1661">
        <v>2006</v>
      </c>
      <c r="AV1661">
        <v>78</v>
      </c>
      <c r="AY1661">
        <v>1</v>
      </c>
      <c r="BB1661" t="s">
        <v>5758</v>
      </c>
      <c r="BC1661" t="s">
        <v>27006</v>
      </c>
      <c r="BE1661" t="s">
        <v>27007</v>
      </c>
      <c r="BF1661" t="s">
        <v>27008</v>
      </c>
      <c r="BI1661">
        <v>7</v>
      </c>
      <c r="BJ1661" t="s">
        <v>659</v>
      </c>
      <c r="BK1661" t="s">
        <v>96</v>
      </c>
      <c r="BL1661" t="s">
        <v>659</v>
      </c>
      <c r="BM1661" t="s">
        <v>14553</v>
      </c>
      <c r="BN1661">
        <v>16580746</v>
      </c>
      <c r="BR1661" t="s">
        <v>98</v>
      </c>
      <c r="BS1661" t="s">
        <v>27009</v>
      </c>
      <c r="BT1661" t="s">
        <v>16602</v>
      </c>
    </row>
    <row r="1662" spans="1:72">
      <c r="A1662" t="s">
        <v>72</v>
      </c>
      <c r="B1662" t="s">
        <v>27010</v>
      </c>
      <c r="F1662" t="s">
        <v>27010</v>
      </c>
      <c r="I1662" t="s">
        <v>27011</v>
      </c>
      <c r="J1662" t="s">
        <v>232</v>
      </c>
      <c r="M1662" t="s">
        <v>78</v>
      </c>
      <c r="N1662" t="s">
        <v>79</v>
      </c>
      <c r="V1662" t="s">
        <v>27012</v>
      </c>
      <c r="W1662" t="s">
        <v>27013</v>
      </c>
      <c r="Y1662" t="s">
        <v>27014</v>
      </c>
      <c r="AG1662">
        <v>21</v>
      </c>
      <c r="AH1662">
        <v>16</v>
      </c>
      <c r="AI1662">
        <v>16</v>
      </c>
      <c r="AJ1662">
        <v>0</v>
      </c>
      <c r="AK1662">
        <v>4</v>
      </c>
      <c r="AL1662" t="s">
        <v>136</v>
      </c>
      <c r="AM1662" t="s">
        <v>137</v>
      </c>
      <c r="AN1662" t="s">
        <v>138</v>
      </c>
      <c r="AO1662" t="s">
        <v>240</v>
      </c>
      <c r="AP1662" t="s">
        <v>241</v>
      </c>
      <c r="AR1662" t="s">
        <v>242</v>
      </c>
      <c r="AS1662" t="s">
        <v>243</v>
      </c>
      <c r="AU1662">
        <v>1984</v>
      </c>
      <c r="AV1662">
        <v>15</v>
      </c>
      <c r="AW1662">
        <v>7</v>
      </c>
      <c r="BB1662">
        <v>259</v>
      </c>
      <c r="BC1662">
        <v>266</v>
      </c>
      <c r="BE1662" t="s">
        <v>27015</v>
      </c>
      <c r="BF1662" t="s">
        <v>27016</v>
      </c>
      <c r="BI1662">
        <v>8</v>
      </c>
      <c r="BJ1662" t="s">
        <v>247</v>
      </c>
      <c r="BK1662" t="s">
        <v>96</v>
      </c>
      <c r="BL1662" t="s">
        <v>248</v>
      </c>
      <c r="BM1662" t="s">
        <v>27017</v>
      </c>
      <c r="BR1662" t="s">
        <v>98</v>
      </c>
      <c r="BS1662" t="s">
        <v>27018</v>
      </c>
      <c r="BT1662" t="s">
        <v>16602</v>
      </c>
    </row>
    <row r="1663" spans="1:72">
      <c r="A1663" t="s">
        <v>72</v>
      </c>
      <c r="B1663" t="s">
        <v>27019</v>
      </c>
      <c r="F1663" t="s">
        <v>27020</v>
      </c>
      <c r="I1663" t="s">
        <v>27021</v>
      </c>
      <c r="J1663" t="s">
        <v>704</v>
      </c>
      <c r="M1663" t="s">
        <v>78</v>
      </c>
      <c r="N1663" t="s">
        <v>79</v>
      </c>
      <c r="T1663" t="s">
        <v>27022</v>
      </c>
      <c r="U1663" t="s">
        <v>27023</v>
      </c>
      <c r="V1663" t="s">
        <v>27024</v>
      </c>
      <c r="W1663" t="s">
        <v>27025</v>
      </c>
      <c r="X1663" t="s">
        <v>27026</v>
      </c>
      <c r="Y1663" t="s">
        <v>27027</v>
      </c>
      <c r="Z1663" t="s">
        <v>27028</v>
      </c>
      <c r="AA1663" t="s">
        <v>27029</v>
      </c>
      <c r="AB1663" t="s">
        <v>27030</v>
      </c>
      <c r="AC1663" t="s">
        <v>27031</v>
      </c>
      <c r="AD1663" t="s">
        <v>27032</v>
      </c>
      <c r="AE1663" t="s">
        <v>27033</v>
      </c>
      <c r="AG1663">
        <v>91</v>
      </c>
      <c r="AH1663">
        <v>12</v>
      </c>
      <c r="AI1663">
        <v>12</v>
      </c>
      <c r="AJ1663">
        <v>0</v>
      </c>
      <c r="AK1663">
        <v>49</v>
      </c>
      <c r="AL1663" t="s">
        <v>1166</v>
      </c>
      <c r="AM1663" t="s">
        <v>1167</v>
      </c>
      <c r="AN1663" t="s">
        <v>1168</v>
      </c>
      <c r="AO1663" t="s">
        <v>718</v>
      </c>
      <c r="AP1663" t="s">
        <v>1169</v>
      </c>
      <c r="AR1663" t="s">
        <v>719</v>
      </c>
      <c r="AS1663" t="s">
        <v>720</v>
      </c>
      <c r="AT1663" t="s">
        <v>1223</v>
      </c>
      <c r="AU1663">
        <v>2013</v>
      </c>
      <c r="AV1663">
        <v>224</v>
      </c>
      <c r="AW1663">
        <v>3</v>
      </c>
      <c r="BD1663">
        <v>1458</v>
      </c>
      <c r="BE1663" t="s">
        <v>27034</v>
      </c>
      <c r="BF1663" t="s">
        <v>27035</v>
      </c>
      <c r="BI1663">
        <v>13</v>
      </c>
      <c r="BJ1663" t="s">
        <v>722</v>
      </c>
      <c r="BK1663" t="s">
        <v>96</v>
      </c>
      <c r="BL1663" t="s">
        <v>723</v>
      </c>
      <c r="BM1663" t="s">
        <v>27036</v>
      </c>
      <c r="BR1663" t="s">
        <v>98</v>
      </c>
      <c r="BS1663" t="s">
        <v>27037</v>
      </c>
      <c r="BT1663" t="s">
        <v>16602</v>
      </c>
    </row>
    <row r="1664" spans="1:72">
      <c r="A1664" t="s">
        <v>72</v>
      </c>
      <c r="B1664" t="s">
        <v>27038</v>
      </c>
      <c r="F1664" t="s">
        <v>27039</v>
      </c>
      <c r="I1664" t="s">
        <v>27040</v>
      </c>
      <c r="J1664" t="s">
        <v>204</v>
      </c>
      <c r="M1664" t="s">
        <v>78</v>
      </c>
      <c r="N1664" t="s">
        <v>79</v>
      </c>
      <c r="T1664" t="s">
        <v>27041</v>
      </c>
      <c r="U1664" t="s">
        <v>27042</v>
      </c>
      <c r="V1664" t="s">
        <v>27043</v>
      </c>
      <c r="W1664" t="s">
        <v>27044</v>
      </c>
      <c r="X1664" t="s">
        <v>27045</v>
      </c>
      <c r="Y1664" t="s">
        <v>10779</v>
      </c>
      <c r="Z1664" t="s">
        <v>10780</v>
      </c>
      <c r="AA1664" t="s">
        <v>27046</v>
      </c>
      <c r="AB1664" t="s">
        <v>27047</v>
      </c>
      <c r="AC1664" t="s">
        <v>17877</v>
      </c>
      <c r="AD1664" t="s">
        <v>17878</v>
      </c>
      <c r="AE1664" t="s">
        <v>27048</v>
      </c>
      <c r="AG1664">
        <v>31</v>
      </c>
      <c r="AH1664">
        <v>28</v>
      </c>
      <c r="AI1664">
        <v>30</v>
      </c>
      <c r="AJ1664">
        <v>2</v>
      </c>
      <c r="AK1664">
        <v>78</v>
      </c>
      <c r="AL1664" t="s">
        <v>217</v>
      </c>
      <c r="AM1664" t="s">
        <v>218</v>
      </c>
      <c r="AN1664" t="s">
        <v>219</v>
      </c>
      <c r="AO1664" t="s">
        <v>220</v>
      </c>
      <c r="AP1664" t="s">
        <v>221</v>
      </c>
      <c r="AR1664" t="s">
        <v>222</v>
      </c>
      <c r="AS1664" t="s">
        <v>223</v>
      </c>
      <c r="AT1664" t="s">
        <v>224</v>
      </c>
      <c r="AU1664">
        <v>2016</v>
      </c>
      <c r="AV1664">
        <v>23</v>
      </c>
      <c r="AW1664">
        <v>3</v>
      </c>
      <c r="BB1664">
        <v>2362</v>
      </c>
      <c r="BC1664">
        <v>2370</v>
      </c>
      <c r="BE1664" t="s">
        <v>27049</v>
      </c>
      <c r="BF1664" t="s">
        <v>27050</v>
      </c>
      <c r="BI1664">
        <v>9</v>
      </c>
      <c r="BJ1664" t="s">
        <v>144</v>
      </c>
      <c r="BK1664" t="s">
        <v>96</v>
      </c>
      <c r="BL1664" t="s">
        <v>145</v>
      </c>
      <c r="BM1664" t="s">
        <v>27051</v>
      </c>
      <c r="BN1664">
        <v>26411449</v>
      </c>
      <c r="BR1664" t="s">
        <v>98</v>
      </c>
      <c r="BS1664" t="s">
        <v>27052</v>
      </c>
      <c r="BT1664" t="s">
        <v>16602</v>
      </c>
    </row>
    <row r="1665" spans="1:72">
      <c r="A1665" t="s">
        <v>72</v>
      </c>
      <c r="B1665" t="s">
        <v>27053</v>
      </c>
      <c r="F1665" t="s">
        <v>27053</v>
      </c>
      <c r="I1665" t="s">
        <v>27054</v>
      </c>
      <c r="J1665" t="s">
        <v>232</v>
      </c>
      <c r="M1665" t="s">
        <v>78</v>
      </c>
      <c r="N1665" t="s">
        <v>151</v>
      </c>
      <c r="O1665" t="s">
        <v>233</v>
      </c>
      <c r="P1665" t="s">
        <v>234</v>
      </c>
      <c r="Q1665" t="s">
        <v>235</v>
      </c>
      <c r="U1665" t="s">
        <v>27055</v>
      </c>
      <c r="V1665" t="s">
        <v>27056</v>
      </c>
      <c r="W1665" t="s">
        <v>27057</v>
      </c>
      <c r="X1665" t="s">
        <v>11335</v>
      </c>
      <c r="Y1665" t="s">
        <v>27058</v>
      </c>
      <c r="AA1665" t="s">
        <v>27059</v>
      </c>
      <c r="AB1665" t="s">
        <v>27060</v>
      </c>
      <c r="AG1665">
        <v>36</v>
      </c>
      <c r="AH1665">
        <v>49</v>
      </c>
      <c r="AI1665">
        <v>51</v>
      </c>
      <c r="AJ1665">
        <v>0</v>
      </c>
      <c r="AK1665">
        <v>5</v>
      </c>
      <c r="AL1665" t="s">
        <v>136</v>
      </c>
      <c r="AM1665" t="s">
        <v>137</v>
      </c>
      <c r="AN1665" t="s">
        <v>138</v>
      </c>
      <c r="AO1665" t="s">
        <v>240</v>
      </c>
      <c r="AP1665" t="s">
        <v>241</v>
      </c>
      <c r="AR1665" t="s">
        <v>242</v>
      </c>
      <c r="AS1665" t="s">
        <v>243</v>
      </c>
      <c r="AT1665" t="s">
        <v>244</v>
      </c>
      <c r="AU1665">
        <v>1995</v>
      </c>
      <c r="AV1665">
        <v>31</v>
      </c>
      <c r="AW1665" t="s">
        <v>245</v>
      </c>
      <c r="BB1665">
        <v>390</v>
      </c>
      <c r="BC1665">
        <v>393</v>
      </c>
      <c r="BE1665" t="s">
        <v>27061</v>
      </c>
      <c r="BF1665" t="s">
        <v>27062</v>
      </c>
      <c r="BI1665">
        <v>4</v>
      </c>
      <c r="BJ1665" t="s">
        <v>247</v>
      </c>
      <c r="BK1665" t="s">
        <v>172</v>
      </c>
      <c r="BL1665" t="s">
        <v>248</v>
      </c>
      <c r="BM1665" t="s">
        <v>249</v>
      </c>
      <c r="BR1665" t="s">
        <v>98</v>
      </c>
      <c r="BS1665" t="s">
        <v>27063</v>
      </c>
      <c r="BT1665" t="s">
        <v>16602</v>
      </c>
    </row>
    <row r="1666" spans="1:72">
      <c r="A1666" t="s">
        <v>72</v>
      </c>
      <c r="B1666" t="s">
        <v>27064</v>
      </c>
      <c r="F1666" t="s">
        <v>27064</v>
      </c>
      <c r="I1666" t="s">
        <v>27065</v>
      </c>
      <c r="J1666" t="s">
        <v>103</v>
      </c>
      <c r="M1666" t="s">
        <v>78</v>
      </c>
      <c r="N1666" t="s">
        <v>79</v>
      </c>
      <c r="Y1666" t="s">
        <v>27066</v>
      </c>
      <c r="AG1666">
        <v>12</v>
      </c>
      <c r="AH1666">
        <v>9</v>
      </c>
      <c r="AI1666">
        <v>10</v>
      </c>
      <c r="AJ1666">
        <v>1</v>
      </c>
      <c r="AK1666">
        <v>5</v>
      </c>
      <c r="AL1666" t="s">
        <v>6584</v>
      </c>
      <c r="AM1666" t="s">
        <v>113</v>
      </c>
      <c r="AN1666" t="s">
        <v>6585</v>
      </c>
      <c r="AO1666" t="s">
        <v>115</v>
      </c>
      <c r="AR1666" t="s">
        <v>117</v>
      </c>
      <c r="AS1666" t="s">
        <v>118</v>
      </c>
      <c r="AT1666" t="s">
        <v>197</v>
      </c>
      <c r="AU1666">
        <v>1988</v>
      </c>
      <c r="AV1666">
        <v>41</v>
      </c>
      <c r="AW1666">
        <v>6</v>
      </c>
      <c r="BB1666">
        <v>910</v>
      </c>
      <c r="BC1666">
        <v>914</v>
      </c>
      <c r="BE1666" t="s">
        <v>27067</v>
      </c>
      <c r="BF1666" t="s">
        <v>27068</v>
      </c>
      <c r="BI1666">
        <v>5</v>
      </c>
      <c r="BJ1666" t="s">
        <v>121</v>
      </c>
      <c r="BK1666" t="s">
        <v>96</v>
      </c>
      <c r="BL1666" t="s">
        <v>122</v>
      </c>
      <c r="BM1666" t="s">
        <v>27069</v>
      </c>
      <c r="BN1666">
        <v>3233388</v>
      </c>
      <c r="BR1666" t="s">
        <v>98</v>
      </c>
      <c r="BS1666" t="s">
        <v>27070</v>
      </c>
      <c r="BT1666" t="s">
        <v>16602</v>
      </c>
    </row>
    <row r="1667" spans="1:72">
      <c r="A1667" t="s">
        <v>72</v>
      </c>
      <c r="B1667" t="s">
        <v>27071</v>
      </c>
      <c r="F1667" t="s">
        <v>27071</v>
      </c>
      <c r="I1667" t="s">
        <v>27072</v>
      </c>
      <c r="J1667" t="s">
        <v>232</v>
      </c>
      <c r="M1667" t="s">
        <v>78</v>
      </c>
      <c r="N1667" t="s">
        <v>79</v>
      </c>
      <c r="V1667" t="s">
        <v>27073</v>
      </c>
      <c r="Y1667" t="s">
        <v>27074</v>
      </c>
      <c r="AG1667">
        <v>24</v>
      </c>
      <c r="AH1667">
        <v>21</v>
      </c>
      <c r="AI1667">
        <v>23</v>
      </c>
      <c r="AJ1667">
        <v>0</v>
      </c>
      <c r="AK1667">
        <v>0</v>
      </c>
      <c r="AL1667" t="s">
        <v>136</v>
      </c>
      <c r="AM1667" t="s">
        <v>137</v>
      </c>
      <c r="AN1667" t="s">
        <v>138</v>
      </c>
      <c r="AO1667" t="s">
        <v>240</v>
      </c>
      <c r="AP1667" t="s">
        <v>241</v>
      </c>
      <c r="AR1667" t="s">
        <v>242</v>
      </c>
      <c r="AS1667" t="s">
        <v>243</v>
      </c>
      <c r="AU1667">
        <v>1980</v>
      </c>
      <c r="AV1667">
        <v>11</v>
      </c>
      <c r="AW1667">
        <v>12</v>
      </c>
      <c r="BB1667">
        <v>359</v>
      </c>
      <c r="BC1667">
        <v>362</v>
      </c>
      <c r="BE1667" t="s">
        <v>27075</v>
      </c>
      <c r="BF1667" t="s">
        <v>27076</v>
      </c>
      <c r="BI1667">
        <v>4</v>
      </c>
      <c r="BJ1667" t="s">
        <v>247</v>
      </c>
      <c r="BK1667" t="s">
        <v>96</v>
      </c>
      <c r="BL1667" t="s">
        <v>248</v>
      </c>
      <c r="BM1667" t="s">
        <v>27077</v>
      </c>
      <c r="BR1667" t="s">
        <v>98</v>
      </c>
      <c r="BS1667" t="s">
        <v>27078</v>
      </c>
      <c r="BT1667" t="s">
        <v>16602</v>
      </c>
    </row>
    <row r="1668" spans="1:72">
      <c r="A1668" t="s">
        <v>72</v>
      </c>
      <c r="B1668" t="s">
        <v>27079</v>
      </c>
      <c r="F1668" t="s">
        <v>27080</v>
      </c>
      <c r="I1668" t="s">
        <v>27081</v>
      </c>
      <c r="J1668" t="s">
        <v>204</v>
      </c>
      <c r="M1668" t="s">
        <v>78</v>
      </c>
      <c r="N1668" t="s">
        <v>79</v>
      </c>
      <c r="T1668" t="s">
        <v>27082</v>
      </c>
      <c r="U1668" t="s">
        <v>27083</v>
      </c>
      <c r="V1668" t="s">
        <v>27084</v>
      </c>
      <c r="W1668" t="s">
        <v>27085</v>
      </c>
      <c r="X1668" t="s">
        <v>27086</v>
      </c>
      <c r="Y1668" t="s">
        <v>27087</v>
      </c>
      <c r="Z1668" t="s">
        <v>27088</v>
      </c>
      <c r="AA1668" t="s">
        <v>27089</v>
      </c>
      <c r="AB1668" t="s">
        <v>27090</v>
      </c>
      <c r="AG1668">
        <v>45</v>
      </c>
      <c r="AH1668">
        <v>8</v>
      </c>
      <c r="AI1668">
        <v>8</v>
      </c>
      <c r="AJ1668">
        <v>2</v>
      </c>
      <c r="AK1668">
        <v>118</v>
      </c>
      <c r="AL1668" t="s">
        <v>217</v>
      </c>
      <c r="AM1668" t="s">
        <v>218</v>
      </c>
      <c r="AN1668" t="s">
        <v>219</v>
      </c>
      <c r="AO1668" t="s">
        <v>220</v>
      </c>
      <c r="AP1668" t="s">
        <v>221</v>
      </c>
      <c r="AR1668" t="s">
        <v>222</v>
      </c>
      <c r="AS1668" t="s">
        <v>223</v>
      </c>
      <c r="AT1668" t="s">
        <v>765</v>
      </c>
      <c r="AU1668">
        <v>2016</v>
      </c>
      <c r="AV1668">
        <v>23</v>
      </c>
      <c r="AW1668">
        <v>14</v>
      </c>
      <c r="BB1668">
        <v>14580</v>
      </c>
      <c r="BC1668">
        <v>14588</v>
      </c>
      <c r="BE1668" t="s">
        <v>27091</v>
      </c>
      <c r="BF1668" t="s">
        <v>27092</v>
      </c>
      <c r="BI1668">
        <v>9</v>
      </c>
      <c r="BJ1668" t="s">
        <v>144</v>
      </c>
      <c r="BK1668" t="s">
        <v>96</v>
      </c>
      <c r="BL1668" t="s">
        <v>145</v>
      </c>
      <c r="BM1668" t="s">
        <v>3269</v>
      </c>
      <c r="BN1668">
        <v>27068916</v>
      </c>
      <c r="BR1668" t="s">
        <v>98</v>
      </c>
      <c r="BS1668" t="s">
        <v>27093</v>
      </c>
      <c r="BT1668" t="s">
        <v>16602</v>
      </c>
    </row>
    <row r="1669" spans="1:72">
      <c r="A1669" t="s">
        <v>72</v>
      </c>
      <c r="B1669" t="s">
        <v>27094</v>
      </c>
      <c r="F1669" t="s">
        <v>27095</v>
      </c>
      <c r="I1669" t="s">
        <v>27096</v>
      </c>
      <c r="J1669" t="s">
        <v>232</v>
      </c>
      <c r="M1669" t="s">
        <v>78</v>
      </c>
      <c r="N1669" t="s">
        <v>79</v>
      </c>
      <c r="T1669" t="s">
        <v>27097</v>
      </c>
      <c r="U1669" t="s">
        <v>27098</v>
      </c>
      <c r="V1669" t="s">
        <v>27099</v>
      </c>
      <c r="W1669" t="s">
        <v>27100</v>
      </c>
      <c r="X1669" t="s">
        <v>9746</v>
      </c>
      <c r="Y1669" t="s">
        <v>21757</v>
      </c>
      <c r="Z1669" t="s">
        <v>21758</v>
      </c>
      <c r="AA1669" t="s">
        <v>27101</v>
      </c>
      <c r="AB1669" t="s">
        <v>27102</v>
      </c>
      <c r="AC1669" t="s">
        <v>27103</v>
      </c>
      <c r="AD1669" t="s">
        <v>27103</v>
      </c>
      <c r="AE1669" t="s">
        <v>27104</v>
      </c>
      <c r="AG1669">
        <v>39</v>
      </c>
      <c r="AH1669">
        <v>6</v>
      </c>
      <c r="AI1669">
        <v>6</v>
      </c>
      <c r="AJ1669">
        <v>3</v>
      </c>
      <c r="AK1669">
        <v>49</v>
      </c>
      <c r="AL1669" t="s">
        <v>136</v>
      </c>
      <c r="AM1669" t="s">
        <v>137</v>
      </c>
      <c r="AN1669" t="s">
        <v>138</v>
      </c>
      <c r="AO1669" t="s">
        <v>240</v>
      </c>
      <c r="AP1669" t="s">
        <v>241</v>
      </c>
      <c r="AR1669" t="s">
        <v>242</v>
      </c>
      <c r="AS1669" t="s">
        <v>243</v>
      </c>
      <c r="AT1669" t="s">
        <v>765</v>
      </c>
      <c r="AU1669">
        <v>2020</v>
      </c>
      <c r="AV1669">
        <v>156</v>
      </c>
      <c r="BD1669">
        <v>111203</v>
      </c>
      <c r="BE1669" t="s">
        <v>27105</v>
      </c>
      <c r="BF1669" t="s">
        <v>27106</v>
      </c>
      <c r="BI1669">
        <v>4</v>
      </c>
      <c r="BJ1669" t="s">
        <v>247</v>
      </c>
      <c r="BK1669" t="s">
        <v>96</v>
      </c>
      <c r="BL1669" t="s">
        <v>248</v>
      </c>
      <c r="BM1669" t="s">
        <v>6014</v>
      </c>
      <c r="BN1669">
        <v>32510362</v>
      </c>
      <c r="BR1669" t="s">
        <v>98</v>
      </c>
      <c r="BS1669" t="s">
        <v>27107</v>
      </c>
      <c r="BT1669" t="s">
        <v>16602</v>
      </c>
    </row>
    <row r="1670" spans="1:72">
      <c r="A1670" t="s">
        <v>72</v>
      </c>
      <c r="B1670" t="s">
        <v>27108</v>
      </c>
      <c r="F1670" t="s">
        <v>27109</v>
      </c>
      <c r="I1670" t="s">
        <v>27110</v>
      </c>
      <c r="J1670" t="s">
        <v>179</v>
      </c>
      <c r="M1670" t="s">
        <v>78</v>
      </c>
      <c r="N1670" t="s">
        <v>79</v>
      </c>
      <c r="T1670" t="s">
        <v>27111</v>
      </c>
      <c r="U1670" t="s">
        <v>27112</v>
      </c>
      <c r="V1670" t="s">
        <v>27113</v>
      </c>
      <c r="W1670" t="s">
        <v>27114</v>
      </c>
      <c r="X1670" t="s">
        <v>11347</v>
      </c>
      <c r="Y1670" t="s">
        <v>27115</v>
      </c>
      <c r="Z1670" t="s">
        <v>27116</v>
      </c>
      <c r="AA1670" t="s">
        <v>27117</v>
      </c>
      <c r="AB1670" t="s">
        <v>27118</v>
      </c>
      <c r="AG1670">
        <v>28</v>
      </c>
      <c r="AH1670">
        <v>11</v>
      </c>
      <c r="AI1670">
        <v>12</v>
      </c>
      <c r="AJ1670">
        <v>0</v>
      </c>
      <c r="AK1670">
        <v>15</v>
      </c>
      <c r="AL1670" t="s">
        <v>112</v>
      </c>
      <c r="AM1670" t="s">
        <v>191</v>
      </c>
      <c r="AN1670" t="s">
        <v>192</v>
      </c>
      <c r="AO1670" t="s">
        <v>193</v>
      </c>
      <c r="AR1670" t="s">
        <v>195</v>
      </c>
      <c r="AS1670" t="s">
        <v>196</v>
      </c>
      <c r="AT1670" t="s">
        <v>119</v>
      </c>
      <c r="AU1670">
        <v>2011</v>
      </c>
      <c r="AV1670">
        <v>179</v>
      </c>
      <c r="AW1670" t="s">
        <v>721</v>
      </c>
      <c r="BB1670">
        <v>155</v>
      </c>
      <c r="BC1670">
        <v>162</v>
      </c>
      <c r="BE1670" t="s">
        <v>27119</v>
      </c>
      <c r="BF1670" t="s">
        <v>27120</v>
      </c>
      <c r="BI1670">
        <v>8</v>
      </c>
      <c r="BJ1670" t="s">
        <v>144</v>
      </c>
      <c r="BK1670" t="s">
        <v>96</v>
      </c>
      <c r="BL1670" t="s">
        <v>145</v>
      </c>
      <c r="BM1670" t="s">
        <v>27121</v>
      </c>
      <c r="BN1670">
        <v>20976552</v>
      </c>
      <c r="BR1670" t="s">
        <v>98</v>
      </c>
      <c r="BS1670" t="s">
        <v>27122</v>
      </c>
      <c r="BT1670" t="s">
        <v>16602</v>
      </c>
    </row>
    <row r="1671" spans="1:72">
      <c r="A1671" t="s">
        <v>72</v>
      </c>
      <c r="B1671" t="s">
        <v>27123</v>
      </c>
      <c r="F1671" t="s">
        <v>27123</v>
      </c>
      <c r="I1671" t="s">
        <v>27124</v>
      </c>
      <c r="J1671" t="s">
        <v>27125</v>
      </c>
      <c r="M1671" t="s">
        <v>78</v>
      </c>
      <c r="N1671" t="s">
        <v>79</v>
      </c>
      <c r="T1671" t="s">
        <v>27126</v>
      </c>
      <c r="U1671" t="s">
        <v>27127</v>
      </c>
      <c r="V1671" t="s">
        <v>27128</v>
      </c>
      <c r="W1671" t="s">
        <v>27129</v>
      </c>
      <c r="X1671" t="s">
        <v>27130</v>
      </c>
      <c r="Y1671" t="s">
        <v>27131</v>
      </c>
      <c r="AB1671" t="s">
        <v>27132</v>
      </c>
      <c r="AG1671">
        <v>42</v>
      </c>
      <c r="AH1671">
        <v>22</v>
      </c>
      <c r="AI1671">
        <v>22</v>
      </c>
      <c r="AJ1671">
        <v>0</v>
      </c>
      <c r="AK1671">
        <v>13</v>
      </c>
      <c r="AL1671" t="s">
        <v>2336</v>
      </c>
      <c r="AM1671" t="s">
        <v>113</v>
      </c>
      <c r="AN1671" t="s">
        <v>27133</v>
      </c>
      <c r="AO1671" t="s">
        <v>27134</v>
      </c>
      <c r="AR1671" t="s">
        <v>27135</v>
      </c>
      <c r="AS1671" t="s">
        <v>27136</v>
      </c>
      <c r="AT1671" t="s">
        <v>197</v>
      </c>
      <c r="AU1671">
        <v>2001</v>
      </c>
      <c r="AV1671">
        <v>28</v>
      </c>
      <c r="AW1671">
        <v>4</v>
      </c>
      <c r="BB1671">
        <v>333</v>
      </c>
      <c r="BC1671">
        <v>344</v>
      </c>
      <c r="BE1671" t="s">
        <v>27137</v>
      </c>
      <c r="BF1671" t="s">
        <v>27138</v>
      </c>
      <c r="BI1671">
        <v>12</v>
      </c>
      <c r="BJ1671" t="s">
        <v>4923</v>
      </c>
      <c r="BK1671" t="s">
        <v>96</v>
      </c>
      <c r="BL1671" t="s">
        <v>4924</v>
      </c>
      <c r="BM1671" t="s">
        <v>27139</v>
      </c>
      <c r="BR1671" t="s">
        <v>98</v>
      </c>
      <c r="BS1671" t="s">
        <v>27140</v>
      </c>
      <c r="BT1671" t="s">
        <v>16602</v>
      </c>
    </row>
    <row r="1672" spans="1:72">
      <c r="A1672" t="s">
        <v>72</v>
      </c>
      <c r="B1672" t="s">
        <v>27141</v>
      </c>
      <c r="F1672" t="s">
        <v>27142</v>
      </c>
      <c r="I1672" t="s">
        <v>27143</v>
      </c>
      <c r="J1672" t="s">
        <v>1275</v>
      </c>
      <c r="M1672" t="s">
        <v>78</v>
      </c>
      <c r="N1672" t="s">
        <v>79</v>
      </c>
      <c r="T1672" t="s">
        <v>27144</v>
      </c>
      <c r="U1672" t="s">
        <v>27145</v>
      </c>
      <c r="V1672" t="s">
        <v>27146</v>
      </c>
      <c r="W1672" t="s">
        <v>27147</v>
      </c>
      <c r="X1672" t="s">
        <v>27148</v>
      </c>
      <c r="Y1672" t="s">
        <v>27149</v>
      </c>
      <c r="Z1672" t="s">
        <v>27150</v>
      </c>
      <c r="AA1672" t="s">
        <v>25986</v>
      </c>
      <c r="AB1672" t="s">
        <v>27151</v>
      </c>
      <c r="AC1672" t="s">
        <v>27152</v>
      </c>
      <c r="AD1672" t="s">
        <v>27153</v>
      </c>
      <c r="AE1672" t="s">
        <v>27154</v>
      </c>
      <c r="AG1672">
        <v>61</v>
      </c>
      <c r="AH1672">
        <v>5</v>
      </c>
      <c r="AI1672">
        <v>5</v>
      </c>
      <c r="AJ1672">
        <v>1</v>
      </c>
      <c r="AK1672">
        <v>7</v>
      </c>
      <c r="AL1672" t="s">
        <v>650</v>
      </c>
      <c r="AM1672" t="s">
        <v>651</v>
      </c>
      <c r="AN1672" t="s">
        <v>652</v>
      </c>
      <c r="AO1672" t="s">
        <v>1287</v>
      </c>
      <c r="AR1672" t="s">
        <v>1288</v>
      </c>
      <c r="AS1672" t="s">
        <v>1289</v>
      </c>
      <c r="AT1672" t="s">
        <v>951</v>
      </c>
      <c r="AU1672">
        <v>2021</v>
      </c>
      <c r="AV1672">
        <v>48</v>
      </c>
      <c r="BD1672">
        <v>102045</v>
      </c>
      <c r="BE1672" t="s">
        <v>27155</v>
      </c>
      <c r="BF1672" t="s">
        <v>27156</v>
      </c>
      <c r="BH1672" t="s">
        <v>2170</v>
      </c>
      <c r="BI1672">
        <v>7</v>
      </c>
      <c r="BJ1672" t="s">
        <v>1292</v>
      </c>
      <c r="BK1672" t="s">
        <v>96</v>
      </c>
      <c r="BL1672" t="s">
        <v>248</v>
      </c>
      <c r="BM1672" t="s">
        <v>27157</v>
      </c>
      <c r="BR1672" t="s">
        <v>98</v>
      </c>
      <c r="BS1672" t="s">
        <v>27158</v>
      </c>
      <c r="BT1672" t="s">
        <v>16602</v>
      </c>
    </row>
    <row r="1673" spans="1:72">
      <c r="A1673" t="s">
        <v>72</v>
      </c>
      <c r="B1673" t="s">
        <v>27159</v>
      </c>
      <c r="F1673" t="s">
        <v>27160</v>
      </c>
      <c r="I1673" t="s">
        <v>27161</v>
      </c>
      <c r="J1673" t="s">
        <v>10300</v>
      </c>
      <c r="M1673" t="s">
        <v>78</v>
      </c>
      <c r="N1673" t="s">
        <v>79</v>
      </c>
      <c r="T1673" t="s">
        <v>27162</v>
      </c>
      <c r="U1673" t="s">
        <v>27163</v>
      </c>
      <c r="V1673" t="s">
        <v>27164</v>
      </c>
      <c r="W1673" t="s">
        <v>27165</v>
      </c>
      <c r="X1673" t="s">
        <v>27166</v>
      </c>
      <c r="Y1673" t="s">
        <v>27167</v>
      </c>
      <c r="Z1673" t="s">
        <v>27168</v>
      </c>
      <c r="AA1673" t="s">
        <v>27169</v>
      </c>
      <c r="AB1673" t="s">
        <v>27170</v>
      </c>
      <c r="AC1673" t="s">
        <v>27171</v>
      </c>
      <c r="AD1673" t="s">
        <v>27172</v>
      </c>
      <c r="AE1673" t="s">
        <v>27173</v>
      </c>
      <c r="AG1673">
        <v>64</v>
      </c>
      <c r="AH1673">
        <v>10</v>
      </c>
      <c r="AI1673">
        <v>11</v>
      </c>
      <c r="AJ1673">
        <v>4</v>
      </c>
      <c r="AK1673">
        <v>50</v>
      </c>
      <c r="AL1673" t="s">
        <v>408</v>
      </c>
      <c r="AM1673" t="s">
        <v>409</v>
      </c>
      <c r="AN1673" t="s">
        <v>1188</v>
      </c>
      <c r="AO1673" t="s">
        <v>10312</v>
      </c>
      <c r="AP1673" t="s">
        <v>10313</v>
      </c>
      <c r="AR1673" t="s">
        <v>10314</v>
      </c>
      <c r="AS1673" t="s">
        <v>10315</v>
      </c>
      <c r="AU1673">
        <v>2016</v>
      </c>
      <c r="AV1673">
        <v>25</v>
      </c>
      <c r="AW1673">
        <v>5</v>
      </c>
      <c r="BB1673">
        <v>489</v>
      </c>
      <c r="BC1673">
        <v>504</v>
      </c>
      <c r="BE1673" t="s">
        <v>27174</v>
      </c>
      <c r="BF1673" t="s">
        <v>27175</v>
      </c>
      <c r="BI1673">
        <v>16</v>
      </c>
      <c r="BJ1673" t="s">
        <v>144</v>
      </c>
      <c r="BK1673" t="s">
        <v>96</v>
      </c>
      <c r="BL1673" t="s">
        <v>145</v>
      </c>
      <c r="BM1673" t="s">
        <v>27176</v>
      </c>
      <c r="BR1673" t="s">
        <v>98</v>
      </c>
      <c r="BS1673" t="s">
        <v>27177</v>
      </c>
      <c r="BT1673" t="s">
        <v>16602</v>
      </c>
    </row>
    <row r="1674" spans="1:72">
      <c r="A1674" t="s">
        <v>72</v>
      </c>
      <c r="B1674" t="s">
        <v>27178</v>
      </c>
      <c r="F1674" t="s">
        <v>27179</v>
      </c>
      <c r="I1674" t="s">
        <v>27180</v>
      </c>
      <c r="J1674" t="s">
        <v>103</v>
      </c>
      <c r="M1674" t="s">
        <v>78</v>
      </c>
      <c r="N1674" t="s">
        <v>79</v>
      </c>
      <c r="T1674" t="s">
        <v>27181</v>
      </c>
      <c r="U1674" t="s">
        <v>27182</v>
      </c>
      <c r="V1674" t="s">
        <v>27183</v>
      </c>
      <c r="W1674" t="s">
        <v>27184</v>
      </c>
      <c r="X1674" t="s">
        <v>27185</v>
      </c>
      <c r="Y1674" t="s">
        <v>27186</v>
      </c>
      <c r="Z1674" t="s">
        <v>27187</v>
      </c>
      <c r="AA1674" t="s">
        <v>27188</v>
      </c>
      <c r="AB1674" t="s">
        <v>27189</v>
      </c>
      <c r="AC1674" t="s">
        <v>27190</v>
      </c>
      <c r="AD1674" t="s">
        <v>27191</v>
      </c>
      <c r="AE1674" t="s">
        <v>27192</v>
      </c>
      <c r="AG1674">
        <v>25</v>
      </c>
      <c r="AH1674">
        <v>2</v>
      </c>
      <c r="AI1674">
        <v>2</v>
      </c>
      <c r="AJ1674">
        <v>4</v>
      </c>
      <c r="AK1674">
        <v>46</v>
      </c>
      <c r="AL1674" t="s">
        <v>112</v>
      </c>
      <c r="AM1674" t="s">
        <v>113</v>
      </c>
      <c r="AN1674" t="s">
        <v>114</v>
      </c>
      <c r="AO1674" t="s">
        <v>115</v>
      </c>
      <c r="AP1674" t="s">
        <v>116</v>
      </c>
      <c r="AR1674" t="s">
        <v>117</v>
      </c>
      <c r="AS1674" t="s">
        <v>118</v>
      </c>
      <c r="AT1674" t="s">
        <v>93</v>
      </c>
      <c r="AU1674">
        <v>2022</v>
      </c>
      <c r="AV1674">
        <v>108</v>
      </c>
      <c r="AW1674">
        <v>4</v>
      </c>
      <c r="BB1674">
        <v>702</v>
      </c>
      <c r="BC1674">
        <v>707</v>
      </c>
      <c r="BE1674" t="s">
        <v>27193</v>
      </c>
      <c r="BF1674" t="s">
        <v>27194</v>
      </c>
      <c r="BH1674" t="s">
        <v>10880</v>
      </c>
      <c r="BI1674">
        <v>6</v>
      </c>
      <c r="BJ1674" t="s">
        <v>121</v>
      </c>
      <c r="BK1674" t="s">
        <v>96</v>
      </c>
      <c r="BL1674" t="s">
        <v>122</v>
      </c>
      <c r="BM1674" t="s">
        <v>27195</v>
      </c>
      <c r="BN1674">
        <v>34748045</v>
      </c>
      <c r="BR1674" t="s">
        <v>98</v>
      </c>
      <c r="BS1674" t="s">
        <v>27196</v>
      </c>
      <c r="BT1674" t="s">
        <v>16602</v>
      </c>
    </row>
    <row r="1675" spans="1:72">
      <c r="A1675" t="s">
        <v>72</v>
      </c>
      <c r="B1675" t="s">
        <v>27197</v>
      </c>
      <c r="F1675" t="s">
        <v>27198</v>
      </c>
      <c r="I1675" t="s">
        <v>27199</v>
      </c>
      <c r="J1675" t="s">
        <v>27200</v>
      </c>
      <c r="M1675" t="s">
        <v>78</v>
      </c>
      <c r="N1675" t="s">
        <v>79</v>
      </c>
      <c r="T1675" t="s">
        <v>27201</v>
      </c>
      <c r="U1675" t="s">
        <v>27202</v>
      </c>
      <c r="V1675" t="s">
        <v>27203</v>
      </c>
      <c r="W1675" t="s">
        <v>27204</v>
      </c>
      <c r="X1675" t="s">
        <v>27205</v>
      </c>
      <c r="Y1675" t="s">
        <v>27206</v>
      </c>
      <c r="Z1675" t="s">
        <v>27207</v>
      </c>
      <c r="AC1675" t="s">
        <v>27208</v>
      </c>
      <c r="AD1675" t="s">
        <v>525</v>
      </c>
      <c r="AE1675" t="s">
        <v>27209</v>
      </c>
      <c r="AG1675">
        <v>29</v>
      </c>
      <c r="AH1675">
        <v>24</v>
      </c>
      <c r="AI1675">
        <v>26</v>
      </c>
      <c r="AJ1675">
        <v>0</v>
      </c>
      <c r="AK1675">
        <v>105</v>
      </c>
      <c r="AL1675" t="s">
        <v>3910</v>
      </c>
      <c r="AM1675" t="s">
        <v>3911</v>
      </c>
      <c r="AN1675" t="s">
        <v>3912</v>
      </c>
      <c r="AO1675" t="s">
        <v>27210</v>
      </c>
      <c r="AP1675" t="s">
        <v>27211</v>
      </c>
      <c r="AR1675" t="s">
        <v>27212</v>
      </c>
      <c r="AS1675" t="s">
        <v>27213</v>
      </c>
      <c r="AT1675" t="s">
        <v>1470</v>
      </c>
      <c r="AU1675">
        <v>2015</v>
      </c>
      <c r="AV1675">
        <v>38</v>
      </c>
      <c r="AW1675">
        <v>1</v>
      </c>
      <c r="BB1675">
        <v>115</v>
      </c>
      <c r="BC1675">
        <v>120</v>
      </c>
      <c r="BE1675" t="s">
        <v>27214</v>
      </c>
      <c r="BF1675" t="s">
        <v>27215</v>
      </c>
      <c r="BI1675">
        <v>6</v>
      </c>
      <c r="BJ1675" t="s">
        <v>1196</v>
      </c>
      <c r="BK1675" t="s">
        <v>96</v>
      </c>
      <c r="BL1675" t="s">
        <v>1197</v>
      </c>
      <c r="BM1675" t="s">
        <v>27216</v>
      </c>
      <c r="BN1675">
        <v>25394992</v>
      </c>
      <c r="BR1675" t="s">
        <v>98</v>
      </c>
      <c r="BS1675" t="s">
        <v>27217</v>
      </c>
      <c r="BT1675" t="s">
        <v>16602</v>
      </c>
    </row>
    <row r="1676" spans="1:72">
      <c r="A1676" t="s">
        <v>72</v>
      </c>
      <c r="B1676" t="s">
        <v>27218</v>
      </c>
      <c r="F1676" t="s">
        <v>27219</v>
      </c>
      <c r="I1676" t="s">
        <v>27220</v>
      </c>
      <c r="J1676" t="s">
        <v>554</v>
      </c>
      <c r="M1676" t="s">
        <v>78</v>
      </c>
      <c r="N1676" t="s">
        <v>79</v>
      </c>
      <c r="T1676" t="s">
        <v>27221</v>
      </c>
      <c r="U1676" t="s">
        <v>27222</v>
      </c>
      <c r="V1676" t="s">
        <v>27223</v>
      </c>
      <c r="W1676" t="s">
        <v>27224</v>
      </c>
      <c r="X1676" t="s">
        <v>27225</v>
      </c>
      <c r="Y1676" t="s">
        <v>27226</v>
      </c>
      <c r="Z1676" t="s">
        <v>27227</v>
      </c>
      <c r="AA1676" t="s">
        <v>27228</v>
      </c>
      <c r="AB1676" t="s">
        <v>27229</v>
      </c>
      <c r="AC1676" t="s">
        <v>27230</v>
      </c>
      <c r="AD1676" t="s">
        <v>27230</v>
      </c>
      <c r="AE1676" t="s">
        <v>27231</v>
      </c>
      <c r="AG1676">
        <v>52</v>
      </c>
      <c r="AH1676">
        <v>15</v>
      </c>
      <c r="AI1676">
        <v>15</v>
      </c>
      <c r="AJ1676">
        <v>0</v>
      </c>
      <c r="AK1676">
        <v>15</v>
      </c>
      <c r="AL1676" t="s">
        <v>564</v>
      </c>
      <c r="AM1676" t="s">
        <v>113</v>
      </c>
      <c r="AN1676" t="s">
        <v>807</v>
      </c>
      <c r="AO1676" t="s">
        <v>566</v>
      </c>
      <c r="AP1676" t="s">
        <v>567</v>
      </c>
      <c r="AR1676" t="s">
        <v>568</v>
      </c>
      <c r="AS1676" t="s">
        <v>569</v>
      </c>
      <c r="AT1676" t="s">
        <v>305</v>
      </c>
      <c r="AU1676">
        <v>2017</v>
      </c>
      <c r="AV1676">
        <v>199</v>
      </c>
      <c r="BB1676">
        <v>28</v>
      </c>
      <c r="BC1676">
        <v>37</v>
      </c>
      <c r="BE1676" t="s">
        <v>27232</v>
      </c>
      <c r="BF1676" t="s">
        <v>27233</v>
      </c>
      <c r="BI1676">
        <v>10</v>
      </c>
      <c r="BJ1676" t="s">
        <v>571</v>
      </c>
      <c r="BK1676" t="s">
        <v>96</v>
      </c>
      <c r="BL1676" t="s">
        <v>571</v>
      </c>
      <c r="BM1676" t="s">
        <v>27234</v>
      </c>
      <c r="BN1676">
        <v>28232231</v>
      </c>
      <c r="BO1676" t="s">
        <v>1752</v>
      </c>
      <c r="BR1676" t="s">
        <v>98</v>
      </c>
      <c r="BS1676" t="s">
        <v>27235</v>
      </c>
      <c r="BT1676" t="s">
        <v>16602</v>
      </c>
    </row>
    <row r="1677" spans="1:72">
      <c r="A1677" t="s">
        <v>72</v>
      </c>
      <c r="B1677" t="s">
        <v>27236</v>
      </c>
      <c r="F1677" t="s">
        <v>27237</v>
      </c>
      <c r="I1677" t="s">
        <v>27238</v>
      </c>
      <c r="J1677" t="s">
        <v>909</v>
      </c>
      <c r="M1677" t="s">
        <v>78</v>
      </c>
      <c r="N1677" t="s">
        <v>79</v>
      </c>
      <c r="T1677" t="s">
        <v>27239</v>
      </c>
      <c r="U1677" t="s">
        <v>27240</v>
      </c>
      <c r="V1677" t="s">
        <v>27241</v>
      </c>
      <c r="W1677" t="s">
        <v>27242</v>
      </c>
      <c r="X1677" t="s">
        <v>27243</v>
      </c>
      <c r="Y1677" t="s">
        <v>27244</v>
      </c>
      <c r="Z1677" t="s">
        <v>27245</v>
      </c>
      <c r="AA1677" t="s">
        <v>27246</v>
      </c>
      <c r="AB1677" t="s">
        <v>27247</v>
      </c>
      <c r="AC1677" t="s">
        <v>27248</v>
      </c>
      <c r="AD1677" t="s">
        <v>27249</v>
      </c>
      <c r="AE1677" t="s">
        <v>27250</v>
      </c>
      <c r="AG1677">
        <v>117</v>
      </c>
      <c r="AH1677">
        <v>50</v>
      </c>
      <c r="AI1677">
        <v>55</v>
      </c>
      <c r="AJ1677">
        <v>1</v>
      </c>
      <c r="AK1677">
        <v>29</v>
      </c>
      <c r="AL1677" t="s">
        <v>650</v>
      </c>
      <c r="AM1677" t="s">
        <v>651</v>
      </c>
      <c r="AN1677" t="s">
        <v>652</v>
      </c>
      <c r="AO1677" t="s">
        <v>921</v>
      </c>
      <c r="AP1677" t="s">
        <v>922</v>
      </c>
      <c r="AR1677" t="s">
        <v>923</v>
      </c>
      <c r="AS1677" t="s">
        <v>924</v>
      </c>
      <c r="AT1677" t="s">
        <v>11873</v>
      </c>
      <c r="AU1677">
        <v>2020</v>
      </c>
      <c r="AV1677">
        <v>698</v>
      </c>
      <c r="BD1677">
        <v>134268</v>
      </c>
      <c r="BE1677" t="s">
        <v>27251</v>
      </c>
      <c r="BF1677" t="s">
        <v>27252</v>
      </c>
      <c r="BI1677">
        <v>14</v>
      </c>
      <c r="BJ1677" t="s">
        <v>144</v>
      </c>
      <c r="BK1677" t="s">
        <v>96</v>
      </c>
      <c r="BL1677" t="s">
        <v>145</v>
      </c>
      <c r="BM1677" t="s">
        <v>27253</v>
      </c>
      <c r="BN1677">
        <v>31783446</v>
      </c>
      <c r="BO1677" t="s">
        <v>27254</v>
      </c>
      <c r="BR1677" t="s">
        <v>98</v>
      </c>
      <c r="BS1677" t="s">
        <v>27255</v>
      </c>
      <c r="BT1677" t="s">
        <v>16602</v>
      </c>
    </row>
    <row r="1678" spans="1:72">
      <c r="A1678" t="s">
        <v>72</v>
      </c>
      <c r="B1678" t="s">
        <v>27256</v>
      </c>
      <c r="F1678" t="s">
        <v>27256</v>
      </c>
      <c r="I1678" t="s">
        <v>27257</v>
      </c>
      <c r="J1678" t="s">
        <v>2894</v>
      </c>
      <c r="M1678" t="s">
        <v>78</v>
      </c>
      <c r="N1678" t="s">
        <v>79</v>
      </c>
      <c r="T1678" t="s">
        <v>27258</v>
      </c>
      <c r="U1678" t="s">
        <v>27259</v>
      </c>
      <c r="V1678" t="s">
        <v>27260</v>
      </c>
      <c r="W1678" t="s">
        <v>27261</v>
      </c>
      <c r="X1678" t="s">
        <v>27262</v>
      </c>
      <c r="Y1678" t="s">
        <v>27263</v>
      </c>
      <c r="Z1678" t="s">
        <v>27264</v>
      </c>
      <c r="AA1678" t="s">
        <v>27265</v>
      </c>
      <c r="AB1678" t="s">
        <v>27266</v>
      </c>
      <c r="AG1678">
        <v>32</v>
      </c>
      <c r="AH1678">
        <v>60</v>
      </c>
      <c r="AI1678">
        <v>72</v>
      </c>
      <c r="AJ1678">
        <v>0</v>
      </c>
      <c r="AK1678">
        <v>18</v>
      </c>
      <c r="AL1678" t="s">
        <v>2904</v>
      </c>
      <c r="AM1678" t="s">
        <v>2905</v>
      </c>
      <c r="AN1678" t="s">
        <v>2906</v>
      </c>
      <c r="AO1678" t="s">
        <v>2907</v>
      </c>
      <c r="AR1678" t="s">
        <v>2908</v>
      </c>
      <c r="AS1678" t="s">
        <v>2909</v>
      </c>
      <c r="AU1678">
        <v>2001</v>
      </c>
      <c r="AV1678">
        <v>211</v>
      </c>
      <c r="BB1678">
        <v>157</v>
      </c>
      <c r="BC1678">
        <v>167</v>
      </c>
      <c r="BE1678" t="s">
        <v>27267</v>
      </c>
      <c r="BF1678" t="s">
        <v>27268</v>
      </c>
      <c r="BI1678">
        <v>11</v>
      </c>
      <c r="BJ1678" t="s">
        <v>2911</v>
      </c>
      <c r="BK1678" t="s">
        <v>96</v>
      </c>
      <c r="BL1678" t="s">
        <v>2912</v>
      </c>
      <c r="BM1678" t="s">
        <v>27269</v>
      </c>
      <c r="BO1678" t="s">
        <v>370</v>
      </c>
      <c r="BR1678" t="s">
        <v>98</v>
      </c>
      <c r="BS1678" t="s">
        <v>27270</v>
      </c>
      <c r="BT1678" t="s">
        <v>16602</v>
      </c>
    </row>
    <row r="1679" spans="1:72">
      <c r="A1679" t="s">
        <v>72</v>
      </c>
      <c r="B1679" t="s">
        <v>27271</v>
      </c>
      <c r="F1679" t="s">
        <v>27272</v>
      </c>
      <c r="I1679" t="s">
        <v>27273</v>
      </c>
      <c r="J1679" t="s">
        <v>10565</v>
      </c>
      <c r="M1679" t="s">
        <v>78</v>
      </c>
      <c r="N1679" t="s">
        <v>79</v>
      </c>
      <c r="T1679" t="s">
        <v>27274</v>
      </c>
      <c r="U1679" t="s">
        <v>27275</v>
      </c>
      <c r="V1679" t="s">
        <v>27276</v>
      </c>
      <c r="W1679" t="s">
        <v>27277</v>
      </c>
      <c r="X1679" t="s">
        <v>7900</v>
      </c>
      <c r="Y1679" t="s">
        <v>7901</v>
      </c>
      <c r="Z1679" t="s">
        <v>7902</v>
      </c>
      <c r="AA1679" t="s">
        <v>27278</v>
      </c>
      <c r="AB1679" t="s">
        <v>7903</v>
      </c>
      <c r="AC1679" t="s">
        <v>27279</v>
      </c>
      <c r="AD1679" t="s">
        <v>27280</v>
      </c>
      <c r="AE1679" t="s">
        <v>27281</v>
      </c>
      <c r="AG1679">
        <v>60</v>
      </c>
      <c r="AH1679">
        <v>1</v>
      </c>
      <c r="AI1679">
        <v>1</v>
      </c>
      <c r="AJ1679">
        <v>1</v>
      </c>
      <c r="AK1679">
        <v>1</v>
      </c>
      <c r="AL1679" t="s">
        <v>136</v>
      </c>
      <c r="AM1679" t="s">
        <v>137</v>
      </c>
      <c r="AN1679" t="s">
        <v>138</v>
      </c>
      <c r="AO1679" t="s">
        <v>10577</v>
      </c>
      <c r="AP1679" t="s">
        <v>10578</v>
      </c>
      <c r="AR1679" t="s">
        <v>10579</v>
      </c>
      <c r="AS1679" t="s">
        <v>10580</v>
      </c>
      <c r="AT1679" t="s">
        <v>1223</v>
      </c>
      <c r="AU1679">
        <v>2024</v>
      </c>
      <c r="AV1679">
        <v>211</v>
      </c>
      <c r="BD1679">
        <v>105186</v>
      </c>
      <c r="BE1679" t="s">
        <v>27282</v>
      </c>
      <c r="BF1679" t="s">
        <v>27283</v>
      </c>
      <c r="BH1679" t="s">
        <v>2782</v>
      </c>
      <c r="BI1679">
        <v>7</v>
      </c>
      <c r="BJ1679" t="s">
        <v>10582</v>
      </c>
      <c r="BK1679" t="s">
        <v>96</v>
      </c>
      <c r="BL1679" t="s">
        <v>7739</v>
      </c>
      <c r="BM1679" t="s">
        <v>27284</v>
      </c>
      <c r="BR1679" t="s">
        <v>98</v>
      </c>
      <c r="BS1679" t="s">
        <v>27285</v>
      </c>
      <c r="BT1679" t="s">
        <v>16602</v>
      </c>
    </row>
    <row r="1680" spans="1:72">
      <c r="A1680" t="s">
        <v>72</v>
      </c>
      <c r="B1680" t="s">
        <v>27286</v>
      </c>
      <c r="F1680" t="s">
        <v>27287</v>
      </c>
      <c r="I1680" t="s">
        <v>27288</v>
      </c>
      <c r="J1680" t="s">
        <v>554</v>
      </c>
      <c r="M1680" t="s">
        <v>78</v>
      </c>
      <c r="N1680" t="s">
        <v>79</v>
      </c>
      <c r="T1680" t="s">
        <v>27289</v>
      </c>
      <c r="U1680" t="s">
        <v>27290</v>
      </c>
      <c r="V1680" t="s">
        <v>27291</v>
      </c>
      <c r="W1680" t="s">
        <v>27292</v>
      </c>
      <c r="X1680" t="s">
        <v>6300</v>
      </c>
      <c r="Y1680" t="s">
        <v>27293</v>
      </c>
      <c r="Z1680" t="s">
        <v>27294</v>
      </c>
      <c r="AA1680" t="s">
        <v>6303</v>
      </c>
      <c r="AB1680" t="s">
        <v>27295</v>
      </c>
      <c r="AC1680" t="s">
        <v>27296</v>
      </c>
      <c r="AD1680" t="s">
        <v>27297</v>
      </c>
      <c r="AE1680" t="s">
        <v>27298</v>
      </c>
      <c r="AG1680">
        <v>61</v>
      </c>
      <c r="AH1680">
        <v>20</v>
      </c>
      <c r="AI1680">
        <v>20</v>
      </c>
      <c r="AJ1680">
        <v>3</v>
      </c>
      <c r="AK1680">
        <v>21</v>
      </c>
      <c r="AL1680" t="s">
        <v>564</v>
      </c>
      <c r="AM1680" t="s">
        <v>113</v>
      </c>
      <c r="AN1680" t="s">
        <v>807</v>
      </c>
      <c r="AO1680" t="s">
        <v>566</v>
      </c>
      <c r="AP1680" t="s">
        <v>567</v>
      </c>
      <c r="AR1680" t="s">
        <v>568</v>
      </c>
      <c r="AS1680" t="s">
        <v>569</v>
      </c>
      <c r="AT1680" t="s">
        <v>224</v>
      </c>
      <c r="AU1680">
        <v>2021</v>
      </c>
      <c r="AV1680">
        <v>240</v>
      </c>
      <c r="BD1680">
        <v>108909</v>
      </c>
      <c r="BE1680" t="s">
        <v>27299</v>
      </c>
      <c r="BF1680" t="s">
        <v>27300</v>
      </c>
      <c r="BI1680">
        <v>8</v>
      </c>
      <c r="BJ1680" t="s">
        <v>571</v>
      </c>
      <c r="BK1680" t="s">
        <v>96</v>
      </c>
      <c r="BL1680" t="s">
        <v>571</v>
      </c>
      <c r="BM1680" t="s">
        <v>27301</v>
      </c>
      <c r="BN1680">
        <v>33022382</v>
      </c>
      <c r="BR1680" t="s">
        <v>98</v>
      </c>
      <c r="BS1680" t="s">
        <v>27302</v>
      </c>
      <c r="BT1680" t="s">
        <v>16602</v>
      </c>
    </row>
    <row r="1681" spans="1:72">
      <c r="A1681" t="s">
        <v>72</v>
      </c>
      <c r="B1681" t="s">
        <v>27303</v>
      </c>
      <c r="F1681" t="s">
        <v>27304</v>
      </c>
      <c r="I1681" t="s">
        <v>27305</v>
      </c>
      <c r="J1681" t="s">
        <v>752</v>
      </c>
      <c r="M1681" t="s">
        <v>78</v>
      </c>
      <c r="N1681" t="s">
        <v>151</v>
      </c>
      <c r="O1681" t="s">
        <v>14635</v>
      </c>
      <c r="P1681" t="s">
        <v>14636</v>
      </c>
      <c r="Q1681" t="s">
        <v>14637</v>
      </c>
      <c r="T1681" t="s">
        <v>27306</v>
      </c>
      <c r="U1681" t="s">
        <v>27307</v>
      </c>
      <c r="V1681" t="s">
        <v>27308</v>
      </c>
      <c r="W1681" t="s">
        <v>27309</v>
      </c>
      <c r="X1681" t="s">
        <v>27310</v>
      </c>
      <c r="Y1681" t="s">
        <v>8839</v>
      </c>
      <c r="Z1681" t="s">
        <v>8840</v>
      </c>
      <c r="AA1681" t="s">
        <v>27311</v>
      </c>
      <c r="AB1681" t="s">
        <v>27312</v>
      </c>
      <c r="AG1681">
        <v>10</v>
      </c>
      <c r="AH1681">
        <v>35</v>
      </c>
      <c r="AI1681">
        <v>39</v>
      </c>
      <c r="AJ1681">
        <v>3</v>
      </c>
      <c r="AK1681">
        <v>21</v>
      </c>
      <c r="AL1681" t="s">
        <v>430</v>
      </c>
      <c r="AM1681" t="s">
        <v>137</v>
      </c>
      <c r="AN1681" t="s">
        <v>431</v>
      </c>
      <c r="AO1681" t="s">
        <v>761</v>
      </c>
      <c r="AP1681" t="s">
        <v>762</v>
      </c>
      <c r="AR1681" t="s">
        <v>763</v>
      </c>
      <c r="AS1681" t="s">
        <v>764</v>
      </c>
      <c r="AT1681" t="s">
        <v>765</v>
      </c>
      <c r="AU1681">
        <v>2008</v>
      </c>
      <c r="AV1681">
        <v>66</v>
      </c>
      <c r="AW1681">
        <v>1</v>
      </c>
      <c r="BB1681">
        <v>95</v>
      </c>
      <c r="BC1681">
        <v>97</v>
      </c>
      <c r="BE1681" t="s">
        <v>27313</v>
      </c>
      <c r="BF1681" t="s">
        <v>27314</v>
      </c>
      <c r="BI1681">
        <v>3</v>
      </c>
      <c r="BJ1681" t="s">
        <v>768</v>
      </c>
      <c r="BK1681" t="s">
        <v>172</v>
      </c>
      <c r="BL1681" t="s">
        <v>769</v>
      </c>
      <c r="BM1681" t="s">
        <v>14648</v>
      </c>
      <c r="BN1681">
        <v>18403005</v>
      </c>
      <c r="BO1681" t="s">
        <v>14649</v>
      </c>
      <c r="BR1681" t="s">
        <v>98</v>
      </c>
      <c r="BS1681" t="s">
        <v>27315</v>
      </c>
      <c r="BT1681" t="s">
        <v>16602</v>
      </c>
    </row>
    <row r="1682" spans="1:72">
      <c r="A1682" t="s">
        <v>72</v>
      </c>
      <c r="B1682" t="s">
        <v>27316</v>
      </c>
      <c r="F1682" t="s">
        <v>27316</v>
      </c>
      <c r="I1682" t="s">
        <v>27317</v>
      </c>
      <c r="J1682" t="s">
        <v>576</v>
      </c>
      <c r="M1682" t="s">
        <v>78</v>
      </c>
      <c r="N1682" t="s">
        <v>151</v>
      </c>
      <c r="O1682" t="s">
        <v>27318</v>
      </c>
      <c r="P1682" t="s">
        <v>27319</v>
      </c>
      <c r="Q1682" t="s">
        <v>27320</v>
      </c>
      <c r="T1682" t="s">
        <v>27321</v>
      </c>
      <c r="U1682" t="s">
        <v>27322</v>
      </c>
      <c r="V1682" t="s">
        <v>27323</v>
      </c>
      <c r="W1682" t="s">
        <v>27324</v>
      </c>
      <c r="Y1682" t="s">
        <v>27325</v>
      </c>
      <c r="AG1682">
        <v>18</v>
      </c>
      <c r="AH1682">
        <v>8</v>
      </c>
      <c r="AI1682">
        <v>15</v>
      </c>
      <c r="AJ1682">
        <v>0</v>
      </c>
      <c r="AK1682">
        <v>10</v>
      </c>
      <c r="AL1682" t="s">
        <v>136</v>
      </c>
      <c r="AM1682" t="s">
        <v>137</v>
      </c>
      <c r="AN1682" t="s">
        <v>138</v>
      </c>
      <c r="AO1682" t="s">
        <v>584</v>
      </c>
      <c r="AR1682" t="s">
        <v>585</v>
      </c>
      <c r="AS1682" t="s">
        <v>586</v>
      </c>
      <c r="AU1682">
        <v>1999</v>
      </c>
      <c r="AV1682">
        <v>39</v>
      </c>
      <c r="AW1682">
        <v>12</v>
      </c>
      <c r="BB1682">
        <v>233</v>
      </c>
      <c r="BC1682">
        <v>240</v>
      </c>
      <c r="BE1682" t="s">
        <v>27326</v>
      </c>
      <c r="BF1682" t="s">
        <v>27327</v>
      </c>
      <c r="BI1682">
        <v>8</v>
      </c>
      <c r="BJ1682" t="s">
        <v>587</v>
      </c>
      <c r="BK1682" t="s">
        <v>588</v>
      </c>
      <c r="BL1682" t="s">
        <v>589</v>
      </c>
      <c r="BM1682" t="s">
        <v>27328</v>
      </c>
      <c r="BR1682" t="s">
        <v>98</v>
      </c>
      <c r="BS1682" t="s">
        <v>27329</v>
      </c>
      <c r="BT1682" t="s">
        <v>16602</v>
      </c>
    </row>
    <row r="1683" spans="1:72">
      <c r="A1683" t="s">
        <v>72</v>
      </c>
      <c r="B1683" t="s">
        <v>27330</v>
      </c>
      <c r="F1683" t="s">
        <v>27331</v>
      </c>
      <c r="I1683" t="s">
        <v>27332</v>
      </c>
      <c r="J1683" t="s">
        <v>27333</v>
      </c>
      <c r="M1683" t="s">
        <v>78</v>
      </c>
      <c r="N1683" t="s">
        <v>79</v>
      </c>
      <c r="T1683" t="s">
        <v>27334</v>
      </c>
      <c r="U1683" t="s">
        <v>27335</v>
      </c>
      <c r="V1683" t="s">
        <v>27336</v>
      </c>
      <c r="W1683" t="s">
        <v>27337</v>
      </c>
      <c r="X1683" t="s">
        <v>5402</v>
      </c>
      <c r="Y1683" t="s">
        <v>27338</v>
      </c>
      <c r="Z1683" t="s">
        <v>27339</v>
      </c>
      <c r="AG1683">
        <v>89</v>
      </c>
      <c r="AH1683">
        <v>60</v>
      </c>
      <c r="AI1683">
        <v>69</v>
      </c>
      <c r="AJ1683">
        <v>1</v>
      </c>
      <c r="AK1683">
        <v>40</v>
      </c>
      <c r="AL1683" t="s">
        <v>112</v>
      </c>
      <c r="AM1683" t="s">
        <v>113</v>
      </c>
      <c r="AN1683" t="s">
        <v>114</v>
      </c>
      <c r="AO1683" t="s">
        <v>27340</v>
      </c>
      <c r="AP1683" t="s">
        <v>27341</v>
      </c>
      <c r="AR1683" t="s">
        <v>27342</v>
      </c>
      <c r="AS1683" t="s">
        <v>27343</v>
      </c>
      <c r="AT1683" t="s">
        <v>305</v>
      </c>
      <c r="AU1683">
        <v>2010</v>
      </c>
      <c r="AV1683">
        <v>2</v>
      </c>
      <c r="AW1683">
        <v>3</v>
      </c>
      <c r="AZ1683" t="s">
        <v>225</v>
      </c>
      <c r="BB1683">
        <v>136</v>
      </c>
      <c r="BC1683">
        <v>145</v>
      </c>
      <c r="BE1683" t="s">
        <v>27344</v>
      </c>
      <c r="BF1683" t="s">
        <v>27345</v>
      </c>
      <c r="BI1683">
        <v>10</v>
      </c>
      <c r="BJ1683" t="s">
        <v>27346</v>
      </c>
      <c r="BK1683" t="s">
        <v>96</v>
      </c>
      <c r="BL1683" t="s">
        <v>27347</v>
      </c>
      <c r="BM1683" t="s">
        <v>27348</v>
      </c>
      <c r="BR1683" t="s">
        <v>98</v>
      </c>
      <c r="BS1683" t="s">
        <v>27349</v>
      </c>
      <c r="BT1683" t="s">
        <v>16602</v>
      </c>
    </row>
    <row r="1684" spans="1:72">
      <c r="A1684" t="s">
        <v>72</v>
      </c>
      <c r="B1684" t="s">
        <v>27350</v>
      </c>
      <c r="F1684" t="s">
        <v>27351</v>
      </c>
      <c r="I1684" t="s">
        <v>27352</v>
      </c>
      <c r="J1684" t="s">
        <v>6630</v>
      </c>
      <c r="M1684" t="s">
        <v>78</v>
      </c>
      <c r="N1684" t="s">
        <v>79</v>
      </c>
      <c r="U1684" t="s">
        <v>27353</v>
      </c>
      <c r="V1684" t="s">
        <v>27354</v>
      </c>
      <c r="W1684" t="s">
        <v>27355</v>
      </c>
      <c r="X1684" t="s">
        <v>1219</v>
      </c>
      <c r="Y1684" t="s">
        <v>27356</v>
      </c>
      <c r="Z1684" t="s">
        <v>27357</v>
      </c>
      <c r="AA1684" t="s">
        <v>27358</v>
      </c>
      <c r="AB1684" t="s">
        <v>27359</v>
      </c>
      <c r="AC1684" t="s">
        <v>27360</v>
      </c>
      <c r="AD1684" t="s">
        <v>27361</v>
      </c>
      <c r="AE1684" t="s">
        <v>27362</v>
      </c>
      <c r="AG1684">
        <v>71</v>
      </c>
      <c r="AH1684">
        <v>12</v>
      </c>
      <c r="AI1684">
        <v>12</v>
      </c>
      <c r="AJ1684">
        <v>0</v>
      </c>
      <c r="AK1684">
        <v>43</v>
      </c>
      <c r="AL1684" t="s">
        <v>408</v>
      </c>
      <c r="AM1684" t="s">
        <v>409</v>
      </c>
      <c r="AN1684" t="s">
        <v>27363</v>
      </c>
      <c r="AO1684" t="s">
        <v>6642</v>
      </c>
      <c r="AP1684" t="s">
        <v>6643</v>
      </c>
      <c r="AR1684" t="s">
        <v>6644</v>
      </c>
      <c r="AS1684" t="s">
        <v>6645</v>
      </c>
      <c r="AT1684" t="s">
        <v>27364</v>
      </c>
      <c r="AU1684">
        <v>2014</v>
      </c>
      <c r="AV1684">
        <v>77</v>
      </c>
      <c r="AW1684">
        <v>6</v>
      </c>
      <c r="BB1684">
        <v>346</v>
      </c>
      <c r="BC1684">
        <v>365</v>
      </c>
      <c r="BE1684" t="s">
        <v>27365</v>
      </c>
      <c r="BF1684" t="s">
        <v>27366</v>
      </c>
      <c r="BI1684">
        <v>20</v>
      </c>
      <c r="BJ1684" t="s">
        <v>5162</v>
      </c>
      <c r="BK1684" t="s">
        <v>96</v>
      </c>
      <c r="BL1684" t="s">
        <v>5163</v>
      </c>
      <c r="BM1684" t="s">
        <v>27367</v>
      </c>
      <c r="BN1684">
        <v>24593147</v>
      </c>
      <c r="BR1684" t="s">
        <v>98</v>
      </c>
      <c r="BS1684" t="s">
        <v>27368</v>
      </c>
      <c r="BT1684" t="s">
        <v>16602</v>
      </c>
    </row>
    <row r="1685" spans="1:72">
      <c r="A1685" t="s">
        <v>72</v>
      </c>
      <c r="B1685" t="s">
        <v>27369</v>
      </c>
      <c r="F1685" t="s">
        <v>27370</v>
      </c>
      <c r="I1685" t="s">
        <v>27371</v>
      </c>
      <c r="J1685" t="s">
        <v>275</v>
      </c>
      <c r="M1685" t="s">
        <v>78</v>
      </c>
      <c r="N1685" t="s">
        <v>79</v>
      </c>
      <c r="T1685" t="s">
        <v>27372</v>
      </c>
      <c r="U1685" t="s">
        <v>27373</v>
      </c>
      <c r="V1685" t="s">
        <v>27374</v>
      </c>
      <c r="W1685" t="s">
        <v>27375</v>
      </c>
      <c r="X1685" t="s">
        <v>27376</v>
      </c>
      <c r="Y1685" t="s">
        <v>27377</v>
      </c>
      <c r="Z1685" t="s">
        <v>27378</v>
      </c>
      <c r="AA1685" t="s">
        <v>27379</v>
      </c>
      <c r="AB1685" t="s">
        <v>27380</v>
      </c>
      <c r="AG1685">
        <v>38</v>
      </c>
      <c r="AH1685">
        <v>13</v>
      </c>
      <c r="AI1685">
        <v>13</v>
      </c>
      <c r="AJ1685">
        <v>0</v>
      </c>
      <c r="AK1685">
        <v>12</v>
      </c>
      <c r="AL1685" t="s">
        <v>285</v>
      </c>
      <c r="AM1685" t="s">
        <v>286</v>
      </c>
      <c r="AN1685" t="s">
        <v>287</v>
      </c>
      <c r="AO1685" t="s">
        <v>288</v>
      </c>
      <c r="AP1685" t="s">
        <v>289</v>
      </c>
      <c r="AR1685" t="s">
        <v>290</v>
      </c>
      <c r="AS1685" t="s">
        <v>291</v>
      </c>
      <c r="AT1685" t="s">
        <v>1470</v>
      </c>
      <c r="AU1685">
        <v>2021</v>
      </c>
      <c r="AV1685">
        <v>108</v>
      </c>
      <c r="BB1685">
        <v>142</v>
      </c>
      <c r="BC1685">
        <v>146</v>
      </c>
      <c r="BE1685" t="s">
        <v>27381</v>
      </c>
      <c r="BF1685" t="s">
        <v>27382</v>
      </c>
      <c r="BI1685">
        <v>5</v>
      </c>
      <c r="BJ1685" t="s">
        <v>293</v>
      </c>
      <c r="BK1685" t="s">
        <v>96</v>
      </c>
      <c r="BL1685" t="s">
        <v>293</v>
      </c>
      <c r="BM1685" t="s">
        <v>27383</v>
      </c>
      <c r="BN1685">
        <v>33271318</v>
      </c>
      <c r="BR1685" t="s">
        <v>98</v>
      </c>
      <c r="BS1685" t="s">
        <v>27384</v>
      </c>
      <c r="BT1685" t="s">
        <v>16602</v>
      </c>
    </row>
    <row r="1686" spans="1:72">
      <c r="A1686" t="s">
        <v>72</v>
      </c>
      <c r="B1686" t="s">
        <v>27385</v>
      </c>
      <c r="F1686" t="s">
        <v>27385</v>
      </c>
      <c r="I1686" t="s">
        <v>27386</v>
      </c>
      <c r="J1686" t="s">
        <v>24791</v>
      </c>
      <c r="M1686" t="s">
        <v>78</v>
      </c>
      <c r="N1686" t="s">
        <v>79</v>
      </c>
      <c r="T1686" t="s">
        <v>27387</v>
      </c>
      <c r="V1686" t="s">
        <v>27388</v>
      </c>
      <c r="W1686" t="s">
        <v>27389</v>
      </c>
      <c r="X1686" t="s">
        <v>712</v>
      </c>
      <c r="Y1686" t="s">
        <v>27390</v>
      </c>
      <c r="AA1686" t="s">
        <v>27391</v>
      </c>
      <c r="AB1686" t="s">
        <v>27392</v>
      </c>
      <c r="AG1686">
        <v>12</v>
      </c>
      <c r="AH1686">
        <v>17</v>
      </c>
      <c r="AI1686">
        <v>18</v>
      </c>
      <c r="AJ1686">
        <v>0</v>
      </c>
      <c r="AK1686">
        <v>1</v>
      </c>
      <c r="AL1686" t="s">
        <v>919</v>
      </c>
      <c r="AM1686" t="s">
        <v>651</v>
      </c>
      <c r="AN1686" t="s">
        <v>920</v>
      </c>
      <c r="AO1686" t="s">
        <v>24804</v>
      </c>
      <c r="AR1686" t="s">
        <v>24806</v>
      </c>
      <c r="AS1686" t="s">
        <v>24807</v>
      </c>
      <c r="AT1686" t="s">
        <v>27393</v>
      </c>
      <c r="AU1686">
        <v>1997</v>
      </c>
      <c r="AV1686">
        <v>344</v>
      </c>
      <c r="AW1686">
        <v>3</v>
      </c>
      <c r="BB1686">
        <v>251</v>
      </c>
      <c r="BC1686">
        <v>259</v>
      </c>
      <c r="BE1686" t="s">
        <v>27394</v>
      </c>
      <c r="BF1686" t="s">
        <v>27395</v>
      </c>
      <c r="BI1686">
        <v>9</v>
      </c>
      <c r="BJ1686" t="s">
        <v>1196</v>
      </c>
      <c r="BK1686" t="s">
        <v>96</v>
      </c>
      <c r="BL1686" t="s">
        <v>1197</v>
      </c>
      <c r="BM1686" t="s">
        <v>27396</v>
      </c>
      <c r="BR1686" t="s">
        <v>98</v>
      </c>
      <c r="BS1686" t="s">
        <v>27397</v>
      </c>
      <c r="BT1686" t="s">
        <v>16602</v>
      </c>
    </row>
    <row r="1687" spans="1:72">
      <c r="A1687" t="s">
        <v>72</v>
      </c>
      <c r="B1687" t="s">
        <v>27398</v>
      </c>
      <c r="F1687" t="s">
        <v>27399</v>
      </c>
      <c r="I1687" t="s">
        <v>27400</v>
      </c>
      <c r="J1687" t="s">
        <v>421</v>
      </c>
      <c r="M1687" t="s">
        <v>78</v>
      </c>
      <c r="N1687" t="s">
        <v>79</v>
      </c>
      <c r="T1687" t="s">
        <v>27401</v>
      </c>
      <c r="U1687" t="s">
        <v>27402</v>
      </c>
      <c r="V1687" t="s">
        <v>27403</v>
      </c>
      <c r="W1687" t="s">
        <v>27404</v>
      </c>
      <c r="X1687" t="s">
        <v>27405</v>
      </c>
      <c r="Y1687" t="s">
        <v>27406</v>
      </c>
      <c r="Z1687" t="s">
        <v>27407</v>
      </c>
      <c r="AB1687" t="s">
        <v>27408</v>
      </c>
      <c r="AC1687" t="s">
        <v>27409</v>
      </c>
      <c r="AD1687" t="s">
        <v>27410</v>
      </c>
      <c r="AE1687" t="s">
        <v>27411</v>
      </c>
      <c r="AG1687">
        <v>51</v>
      </c>
      <c r="AH1687">
        <v>2</v>
      </c>
      <c r="AI1687">
        <v>2</v>
      </c>
      <c r="AJ1687">
        <v>0</v>
      </c>
      <c r="AK1687">
        <v>35</v>
      </c>
      <c r="AL1687" t="s">
        <v>430</v>
      </c>
      <c r="AM1687" t="s">
        <v>137</v>
      </c>
      <c r="AN1687" t="s">
        <v>431</v>
      </c>
      <c r="AO1687" t="s">
        <v>432</v>
      </c>
      <c r="AP1687" t="s">
        <v>1394</v>
      </c>
      <c r="AR1687" t="s">
        <v>433</v>
      </c>
      <c r="AS1687" t="s">
        <v>434</v>
      </c>
      <c r="AT1687" t="s">
        <v>170</v>
      </c>
      <c r="AU1687">
        <v>2013</v>
      </c>
      <c r="AV1687">
        <v>176</v>
      </c>
      <c r="BB1687">
        <v>261</v>
      </c>
      <c r="BC1687">
        <v>266</v>
      </c>
      <c r="BE1687" t="s">
        <v>27412</v>
      </c>
      <c r="BF1687" t="s">
        <v>27413</v>
      </c>
      <c r="BI1687">
        <v>6</v>
      </c>
      <c r="BJ1687" t="s">
        <v>144</v>
      </c>
      <c r="BK1687" t="s">
        <v>96</v>
      </c>
      <c r="BL1687" t="s">
        <v>145</v>
      </c>
      <c r="BM1687" t="s">
        <v>27414</v>
      </c>
      <c r="BN1687">
        <v>23454588</v>
      </c>
      <c r="BR1687" t="s">
        <v>98</v>
      </c>
      <c r="BS1687" t="s">
        <v>27415</v>
      </c>
      <c r="BT1687" t="s">
        <v>16602</v>
      </c>
    </row>
    <row r="1688" spans="1:72">
      <c r="A1688" t="s">
        <v>72</v>
      </c>
      <c r="B1688" t="s">
        <v>27416</v>
      </c>
      <c r="F1688" t="s">
        <v>27416</v>
      </c>
      <c r="I1688" t="s">
        <v>27417</v>
      </c>
      <c r="J1688" t="s">
        <v>9112</v>
      </c>
      <c r="M1688" t="s">
        <v>78</v>
      </c>
      <c r="N1688" t="s">
        <v>79</v>
      </c>
      <c r="T1688" t="s">
        <v>27418</v>
      </c>
      <c r="U1688" t="s">
        <v>27419</v>
      </c>
      <c r="V1688" t="s">
        <v>27420</v>
      </c>
      <c r="W1688" t="s">
        <v>27421</v>
      </c>
      <c r="X1688" t="s">
        <v>27422</v>
      </c>
      <c r="Y1688" t="s">
        <v>27423</v>
      </c>
      <c r="Z1688" t="s">
        <v>27424</v>
      </c>
      <c r="AA1688" t="s">
        <v>27425</v>
      </c>
      <c r="AB1688" t="s">
        <v>27426</v>
      </c>
      <c r="AG1688">
        <v>34</v>
      </c>
      <c r="AH1688">
        <v>24</v>
      </c>
      <c r="AI1688">
        <v>27</v>
      </c>
      <c r="AJ1688">
        <v>1</v>
      </c>
      <c r="AK1688">
        <v>11</v>
      </c>
      <c r="AL1688" t="s">
        <v>9124</v>
      </c>
      <c r="AM1688" t="s">
        <v>9125</v>
      </c>
      <c r="AN1688" t="s">
        <v>9126</v>
      </c>
      <c r="AO1688" t="s">
        <v>9127</v>
      </c>
      <c r="AP1688" t="s">
        <v>9128</v>
      </c>
      <c r="AR1688" t="s">
        <v>9129</v>
      </c>
      <c r="AS1688" t="s">
        <v>9130</v>
      </c>
      <c r="AU1688">
        <v>2006</v>
      </c>
      <c r="AV1688">
        <v>26</v>
      </c>
      <c r="AW1688" t="s">
        <v>2847</v>
      </c>
      <c r="BB1688">
        <v>129</v>
      </c>
      <c r="BC1688">
        <v>141</v>
      </c>
      <c r="BE1688" t="s">
        <v>27427</v>
      </c>
      <c r="BF1688" t="s">
        <v>27428</v>
      </c>
      <c r="BI1688">
        <v>13</v>
      </c>
      <c r="BJ1688" t="s">
        <v>144</v>
      </c>
      <c r="BK1688" t="s">
        <v>96</v>
      </c>
      <c r="BL1688" t="s">
        <v>145</v>
      </c>
      <c r="BM1688" t="s">
        <v>27429</v>
      </c>
      <c r="BR1688" t="s">
        <v>98</v>
      </c>
      <c r="BS1688" t="s">
        <v>27430</v>
      </c>
      <c r="BT1688" t="s">
        <v>16602</v>
      </c>
    </row>
    <row r="1689" spans="1:72">
      <c r="A1689" t="s">
        <v>72</v>
      </c>
      <c r="B1689" t="s">
        <v>27431</v>
      </c>
      <c r="F1689" t="s">
        <v>27431</v>
      </c>
      <c r="I1689" t="s">
        <v>27432</v>
      </c>
      <c r="J1689" t="s">
        <v>752</v>
      </c>
      <c r="M1689" t="s">
        <v>78</v>
      </c>
      <c r="N1689" t="s">
        <v>151</v>
      </c>
      <c r="O1689" t="s">
        <v>2433</v>
      </c>
      <c r="P1689" t="s">
        <v>2434</v>
      </c>
      <c r="Q1689" t="s">
        <v>2435</v>
      </c>
      <c r="T1689" t="s">
        <v>27433</v>
      </c>
      <c r="U1689" t="s">
        <v>27434</v>
      </c>
      <c r="V1689" t="s">
        <v>27435</v>
      </c>
      <c r="W1689" t="s">
        <v>27436</v>
      </c>
      <c r="X1689" t="s">
        <v>4641</v>
      </c>
      <c r="Y1689" t="s">
        <v>27437</v>
      </c>
      <c r="Z1689" t="s">
        <v>27438</v>
      </c>
      <c r="AG1689">
        <v>12</v>
      </c>
      <c r="AH1689">
        <v>46</v>
      </c>
      <c r="AI1689">
        <v>52</v>
      </c>
      <c r="AJ1689">
        <v>2</v>
      </c>
      <c r="AK1689">
        <v>12</v>
      </c>
      <c r="AL1689" t="s">
        <v>430</v>
      </c>
      <c r="AM1689" t="s">
        <v>137</v>
      </c>
      <c r="AN1689" t="s">
        <v>431</v>
      </c>
      <c r="AO1689" t="s">
        <v>761</v>
      </c>
      <c r="AP1689" t="s">
        <v>762</v>
      </c>
      <c r="AR1689" t="s">
        <v>763</v>
      </c>
      <c r="AS1689" t="s">
        <v>764</v>
      </c>
      <c r="AT1689" t="s">
        <v>2445</v>
      </c>
      <c r="AU1689">
        <v>2004</v>
      </c>
      <c r="AV1689">
        <v>58</v>
      </c>
      <c r="AW1689" t="s">
        <v>2446</v>
      </c>
      <c r="BB1689">
        <v>603</v>
      </c>
      <c r="BC1689">
        <v>607</v>
      </c>
      <c r="BE1689" t="s">
        <v>27439</v>
      </c>
      <c r="BF1689" t="s">
        <v>27440</v>
      </c>
      <c r="BI1689">
        <v>5</v>
      </c>
      <c r="BJ1689" t="s">
        <v>768</v>
      </c>
      <c r="BK1689" t="s">
        <v>172</v>
      </c>
      <c r="BL1689" t="s">
        <v>769</v>
      </c>
      <c r="BM1689" t="s">
        <v>2448</v>
      </c>
      <c r="BN1689">
        <v>15178086</v>
      </c>
      <c r="BR1689" t="s">
        <v>98</v>
      </c>
      <c r="BS1689" t="s">
        <v>27441</v>
      </c>
      <c r="BT1689" t="s">
        <v>16602</v>
      </c>
    </row>
    <row r="1690" spans="1:72">
      <c r="A1690" t="s">
        <v>72</v>
      </c>
      <c r="B1690" t="s">
        <v>27442</v>
      </c>
      <c r="F1690" t="s">
        <v>27442</v>
      </c>
      <c r="I1690" t="s">
        <v>27443</v>
      </c>
      <c r="J1690" t="s">
        <v>232</v>
      </c>
      <c r="M1690" t="s">
        <v>78</v>
      </c>
      <c r="N1690" t="s">
        <v>79</v>
      </c>
      <c r="U1690" t="s">
        <v>27444</v>
      </c>
      <c r="W1690" t="s">
        <v>27445</v>
      </c>
      <c r="Y1690" t="s">
        <v>27446</v>
      </c>
      <c r="AA1690" t="s">
        <v>27447</v>
      </c>
      <c r="AG1690">
        <v>21</v>
      </c>
      <c r="AH1690">
        <v>14</v>
      </c>
      <c r="AI1690">
        <v>16</v>
      </c>
      <c r="AJ1690">
        <v>1</v>
      </c>
      <c r="AK1690">
        <v>10</v>
      </c>
      <c r="AL1690" t="s">
        <v>136</v>
      </c>
      <c r="AM1690" t="s">
        <v>137</v>
      </c>
      <c r="AN1690" t="s">
        <v>138</v>
      </c>
      <c r="AO1690" t="s">
        <v>240</v>
      </c>
      <c r="AP1690" t="s">
        <v>241</v>
      </c>
      <c r="AR1690" t="s">
        <v>242</v>
      </c>
      <c r="AS1690" t="s">
        <v>243</v>
      </c>
      <c r="AT1690" t="s">
        <v>170</v>
      </c>
      <c r="AU1690">
        <v>1998</v>
      </c>
      <c r="AV1690">
        <v>36</v>
      </c>
      <c r="AW1690">
        <v>5</v>
      </c>
      <c r="BB1690">
        <v>396</v>
      </c>
      <c r="BC1690">
        <v>399</v>
      </c>
      <c r="BE1690" t="s">
        <v>27448</v>
      </c>
      <c r="BF1690" t="s">
        <v>27449</v>
      </c>
      <c r="BI1690">
        <v>4</v>
      </c>
      <c r="BJ1690" t="s">
        <v>247</v>
      </c>
      <c r="BK1690" t="s">
        <v>96</v>
      </c>
      <c r="BL1690" t="s">
        <v>248</v>
      </c>
      <c r="BM1690" t="s">
        <v>27450</v>
      </c>
      <c r="BR1690" t="s">
        <v>98</v>
      </c>
      <c r="BS1690" t="s">
        <v>27451</v>
      </c>
      <c r="BT1690" t="s">
        <v>16602</v>
      </c>
    </row>
    <row r="1691" spans="1:72">
      <c r="A1691" t="s">
        <v>72</v>
      </c>
      <c r="B1691" t="s">
        <v>27452</v>
      </c>
      <c r="F1691" t="s">
        <v>27453</v>
      </c>
      <c r="I1691" t="s">
        <v>27454</v>
      </c>
      <c r="J1691" t="s">
        <v>204</v>
      </c>
      <c r="M1691" t="s">
        <v>78</v>
      </c>
      <c r="N1691" t="s">
        <v>79</v>
      </c>
      <c r="T1691" t="s">
        <v>27455</v>
      </c>
      <c r="U1691" t="s">
        <v>27456</v>
      </c>
      <c r="V1691" t="s">
        <v>27457</v>
      </c>
      <c r="W1691" t="s">
        <v>27458</v>
      </c>
      <c r="X1691" t="s">
        <v>27459</v>
      </c>
      <c r="Y1691" t="s">
        <v>27460</v>
      </c>
      <c r="Z1691" t="s">
        <v>27461</v>
      </c>
      <c r="AA1691" t="s">
        <v>27462</v>
      </c>
      <c r="AB1691" t="s">
        <v>27463</v>
      </c>
      <c r="AC1691" t="s">
        <v>27464</v>
      </c>
      <c r="AD1691" t="s">
        <v>27465</v>
      </c>
      <c r="AE1691" t="s">
        <v>27466</v>
      </c>
      <c r="AG1691">
        <v>70</v>
      </c>
      <c r="AH1691">
        <v>8</v>
      </c>
      <c r="AI1691">
        <v>8</v>
      </c>
      <c r="AJ1691">
        <v>2</v>
      </c>
      <c r="AK1691">
        <v>25</v>
      </c>
      <c r="AL1691" t="s">
        <v>217</v>
      </c>
      <c r="AM1691" t="s">
        <v>218</v>
      </c>
      <c r="AN1691" t="s">
        <v>219</v>
      </c>
      <c r="AO1691" t="s">
        <v>220</v>
      </c>
      <c r="AP1691" t="s">
        <v>221</v>
      </c>
      <c r="AR1691" t="s">
        <v>222</v>
      </c>
      <c r="AS1691" t="s">
        <v>223</v>
      </c>
      <c r="AT1691" t="s">
        <v>119</v>
      </c>
      <c r="AU1691">
        <v>2016</v>
      </c>
      <c r="AV1691">
        <v>23</v>
      </c>
      <c r="AW1691">
        <v>16</v>
      </c>
      <c r="BB1691">
        <v>16067</v>
      </c>
      <c r="BC1691">
        <v>16078</v>
      </c>
      <c r="BE1691" t="s">
        <v>27467</v>
      </c>
      <c r="BF1691" t="s">
        <v>27468</v>
      </c>
      <c r="BI1691">
        <v>12</v>
      </c>
      <c r="BJ1691" t="s">
        <v>144</v>
      </c>
      <c r="BK1691" t="s">
        <v>96</v>
      </c>
      <c r="BL1691" t="s">
        <v>145</v>
      </c>
      <c r="BM1691" t="s">
        <v>3458</v>
      </c>
      <c r="BN1691">
        <v>27146544</v>
      </c>
      <c r="BR1691" t="s">
        <v>98</v>
      </c>
      <c r="BS1691" t="s">
        <v>27469</v>
      </c>
      <c r="BT1691" t="s">
        <v>16602</v>
      </c>
    </row>
    <row r="1692" spans="1:72">
      <c r="A1692" t="s">
        <v>72</v>
      </c>
      <c r="B1692" t="s">
        <v>27470</v>
      </c>
      <c r="F1692" t="s">
        <v>27471</v>
      </c>
      <c r="I1692" t="s">
        <v>27472</v>
      </c>
      <c r="J1692" t="s">
        <v>27473</v>
      </c>
      <c r="M1692" t="s">
        <v>78</v>
      </c>
      <c r="N1692" t="s">
        <v>79</v>
      </c>
      <c r="T1692" t="s">
        <v>27474</v>
      </c>
      <c r="U1692" t="s">
        <v>27475</v>
      </c>
      <c r="V1692" t="s">
        <v>27476</v>
      </c>
      <c r="W1692" t="s">
        <v>27477</v>
      </c>
      <c r="X1692" t="s">
        <v>27478</v>
      </c>
      <c r="Y1692" t="s">
        <v>27479</v>
      </c>
      <c r="Z1692" t="s">
        <v>24798</v>
      </c>
      <c r="AB1692" t="s">
        <v>27480</v>
      </c>
      <c r="AG1692">
        <v>38</v>
      </c>
      <c r="AH1692">
        <v>25</v>
      </c>
      <c r="AI1692">
        <v>26</v>
      </c>
      <c r="AJ1692">
        <v>0</v>
      </c>
      <c r="AK1692">
        <v>42</v>
      </c>
      <c r="AL1692" t="s">
        <v>919</v>
      </c>
      <c r="AM1692" t="s">
        <v>651</v>
      </c>
      <c r="AN1692" t="s">
        <v>920</v>
      </c>
      <c r="AO1692" t="s">
        <v>27481</v>
      </c>
      <c r="AP1692" t="s">
        <v>27482</v>
      </c>
      <c r="AR1692" t="s">
        <v>27473</v>
      </c>
      <c r="AS1692" t="s">
        <v>27483</v>
      </c>
      <c r="AT1692" t="s">
        <v>1091</v>
      </c>
      <c r="AU1692">
        <v>2006</v>
      </c>
      <c r="AV1692">
        <v>69</v>
      </c>
      <c r="AW1692">
        <v>4</v>
      </c>
      <c r="BB1692">
        <v>963</v>
      </c>
      <c r="BC1692">
        <v>969</v>
      </c>
      <c r="BE1692" t="s">
        <v>27484</v>
      </c>
      <c r="BF1692" t="s">
        <v>27485</v>
      </c>
      <c r="BI1692">
        <v>7</v>
      </c>
      <c r="BJ1692" t="s">
        <v>1196</v>
      </c>
      <c r="BK1692" t="s">
        <v>96</v>
      </c>
      <c r="BL1692" t="s">
        <v>1197</v>
      </c>
      <c r="BM1692" t="s">
        <v>27486</v>
      </c>
      <c r="BN1692">
        <v>18970665</v>
      </c>
      <c r="BR1692" t="s">
        <v>98</v>
      </c>
      <c r="BS1692" t="s">
        <v>27487</v>
      </c>
      <c r="BT1692" t="s">
        <v>16602</v>
      </c>
    </row>
    <row r="1693" spans="1:72">
      <c r="A1693" t="s">
        <v>72</v>
      </c>
      <c r="B1693" t="s">
        <v>27488</v>
      </c>
      <c r="F1693" t="s">
        <v>27489</v>
      </c>
      <c r="I1693" t="s">
        <v>27490</v>
      </c>
      <c r="J1693" t="s">
        <v>909</v>
      </c>
      <c r="M1693" t="s">
        <v>78</v>
      </c>
      <c r="N1693" t="s">
        <v>79</v>
      </c>
      <c r="T1693" t="s">
        <v>27491</v>
      </c>
      <c r="U1693" t="s">
        <v>27492</v>
      </c>
      <c r="V1693" t="s">
        <v>27493</v>
      </c>
      <c r="W1693" t="s">
        <v>27494</v>
      </c>
      <c r="X1693" t="s">
        <v>27495</v>
      </c>
      <c r="Y1693" t="s">
        <v>27496</v>
      </c>
      <c r="Z1693" t="s">
        <v>8858</v>
      </c>
      <c r="AA1693" t="s">
        <v>27497</v>
      </c>
      <c r="AB1693" t="s">
        <v>27498</v>
      </c>
      <c r="AC1693" t="s">
        <v>27499</v>
      </c>
      <c r="AD1693" t="s">
        <v>525</v>
      </c>
      <c r="AE1693" t="s">
        <v>27500</v>
      </c>
      <c r="AG1693">
        <v>51</v>
      </c>
      <c r="AH1693">
        <v>5</v>
      </c>
      <c r="AI1693">
        <v>5</v>
      </c>
      <c r="AJ1693">
        <v>10</v>
      </c>
      <c r="AK1693">
        <v>37</v>
      </c>
      <c r="AL1693" t="s">
        <v>650</v>
      </c>
      <c r="AM1693" t="s">
        <v>651</v>
      </c>
      <c r="AN1693" t="s">
        <v>652</v>
      </c>
      <c r="AO1693" t="s">
        <v>921</v>
      </c>
      <c r="AP1693" t="s">
        <v>922</v>
      </c>
      <c r="AR1693" t="s">
        <v>923</v>
      </c>
      <c r="AS1693" t="s">
        <v>924</v>
      </c>
      <c r="AT1693" t="s">
        <v>13306</v>
      </c>
      <c r="AU1693">
        <v>2023</v>
      </c>
      <c r="AV1693">
        <v>883</v>
      </c>
      <c r="BD1693">
        <v>163703</v>
      </c>
      <c r="BE1693" t="s">
        <v>27501</v>
      </c>
      <c r="BF1693" t="s">
        <v>27502</v>
      </c>
      <c r="BH1693" t="s">
        <v>2540</v>
      </c>
      <c r="BI1693">
        <v>9</v>
      </c>
      <c r="BJ1693" t="s">
        <v>144</v>
      </c>
      <c r="BK1693" t="s">
        <v>96</v>
      </c>
      <c r="BL1693" t="s">
        <v>145</v>
      </c>
      <c r="BM1693" t="s">
        <v>27503</v>
      </c>
      <c r="BN1693">
        <v>37105479</v>
      </c>
      <c r="BR1693" t="s">
        <v>98</v>
      </c>
      <c r="BS1693" t="s">
        <v>27504</v>
      </c>
      <c r="BT1693" t="s">
        <v>16602</v>
      </c>
    </row>
    <row r="1694" spans="1:72">
      <c r="A1694" t="s">
        <v>72</v>
      </c>
      <c r="B1694" t="s">
        <v>27505</v>
      </c>
      <c r="F1694" t="s">
        <v>27506</v>
      </c>
      <c r="I1694" t="s">
        <v>27507</v>
      </c>
      <c r="J1694" t="s">
        <v>12129</v>
      </c>
      <c r="M1694" t="s">
        <v>78</v>
      </c>
      <c r="N1694" t="s">
        <v>79</v>
      </c>
      <c r="T1694" t="s">
        <v>27508</v>
      </c>
      <c r="U1694" t="s">
        <v>27509</v>
      </c>
      <c r="V1694" t="s">
        <v>27510</v>
      </c>
      <c r="W1694" t="s">
        <v>27511</v>
      </c>
      <c r="X1694" t="s">
        <v>4868</v>
      </c>
      <c r="Y1694" t="s">
        <v>27512</v>
      </c>
      <c r="Z1694" t="s">
        <v>22020</v>
      </c>
      <c r="AA1694" t="s">
        <v>22021</v>
      </c>
      <c r="AG1694">
        <v>32</v>
      </c>
      <c r="AH1694">
        <v>10</v>
      </c>
      <c r="AI1694">
        <v>10</v>
      </c>
      <c r="AJ1694">
        <v>0</v>
      </c>
      <c r="AK1694">
        <v>5</v>
      </c>
      <c r="AL1694" t="s">
        <v>1433</v>
      </c>
      <c r="AM1694" t="s">
        <v>1434</v>
      </c>
      <c r="AN1694" t="s">
        <v>1435</v>
      </c>
      <c r="AO1694" t="s">
        <v>1436</v>
      </c>
      <c r="AP1694" t="s">
        <v>12141</v>
      </c>
      <c r="AR1694" t="s">
        <v>12142</v>
      </c>
      <c r="AS1694" t="s">
        <v>12143</v>
      </c>
      <c r="AT1694" t="s">
        <v>142</v>
      </c>
      <c r="AU1694">
        <v>2011</v>
      </c>
      <c r="AV1694">
        <v>40</v>
      </c>
      <c r="AW1694">
        <v>3</v>
      </c>
      <c r="BB1694">
        <v>424</v>
      </c>
      <c r="BC1694">
        <v>429</v>
      </c>
      <c r="BI1694">
        <v>6</v>
      </c>
      <c r="BJ1694" t="s">
        <v>1439</v>
      </c>
      <c r="BK1694" t="s">
        <v>96</v>
      </c>
      <c r="BL1694" t="s">
        <v>1439</v>
      </c>
      <c r="BM1694" t="s">
        <v>27513</v>
      </c>
      <c r="BR1694" t="s">
        <v>98</v>
      </c>
      <c r="BS1694" t="s">
        <v>27514</v>
      </c>
      <c r="BT1694" t="s">
        <v>16602</v>
      </c>
    </row>
    <row r="1695" spans="1:72">
      <c r="A1695" t="s">
        <v>72</v>
      </c>
      <c r="B1695" t="s">
        <v>27515</v>
      </c>
      <c r="F1695" t="s">
        <v>27516</v>
      </c>
      <c r="I1695" t="s">
        <v>27517</v>
      </c>
      <c r="J1695" t="s">
        <v>127</v>
      </c>
      <c r="M1695" t="s">
        <v>78</v>
      </c>
      <c r="N1695" t="s">
        <v>79</v>
      </c>
      <c r="T1695" t="s">
        <v>27518</v>
      </c>
      <c r="U1695" t="s">
        <v>27519</v>
      </c>
      <c r="V1695" t="s">
        <v>27520</v>
      </c>
      <c r="W1695" t="s">
        <v>27521</v>
      </c>
      <c r="X1695" t="s">
        <v>23380</v>
      </c>
      <c r="Y1695" t="s">
        <v>27522</v>
      </c>
      <c r="Z1695" t="s">
        <v>27523</v>
      </c>
      <c r="AB1695" t="s">
        <v>27524</v>
      </c>
      <c r="AG1695">
        <v>25</v>
      </c>
      <c r="AH1695">
        <v>10</v>
      </c>
      <c r="AI1695">
        <v>10</v>
      </c>
      <c r="AJ1695">
        <v>0</v>
      </c>
      <c r="AK1695">
        <v>4</v>
      </c>
      <c r="AL1695" t="s">
        <v>136</v>
      </c>
      <c r="AM1695" t="s">
        <v>137</v>
      </c>
      <c r="AN1695" t="s">
        <v>138</v>
      </c>
      <c r="AO1695" t="s">
        <v>139</v>
      </c>
      <c r="AR1695" t="s">
        <v>127</v>
      </c>
      <c r="AS1695" t="s">
        <v>141</v>
      </c>
      <c r="AT1695" t="s">
        <v>267</v>
      </c>
      <c r="AU1695">
        <v>2006</v>
      </c>
      <c r="AV1695">
        <v>65</v>
      </c>
      <c r="AW1695">
        <v>4</v>
      </c>
      <c r="BB1695">
        <v>627</v>
      </c>
      <c r="BC1695">
        <v>633</v>
      </c>
      <c r="BE1695" t="s">
        <v>27525</v>
      </c>
      <c r="BF1695" t="s">
        <v>27526</v>
      </c>
      <c r="BI1695">
        <v>7</v>
      </c>
      <c r="BJ1695" t="s">
        <v>144</v>
      </c>
      <c r="BK1695" t="s">
        <v>96</v>
      </c>
      <c r="BL1695" t="s">
        <v>145</v>
      </c>
      <c r="BM1695" t="s">
        <v>1421</v>
      </c>
      <c r="BN1695">
        <v>16540148</v>
      </c>
      <c r="BR1695" t="s">
        <v>98</v>
      </c>
      <c r="BS1695" t="s">
        <v>27527</v>
      </c>
      <c r="BT1695" t="s">
        <v>16602</v>
      </c>
    </row>
    <row r="1696" spans="1:72">
      <c r="A1696" t="s">
        <v>72</v>
      </c>
      <c r="B1696" t="s">
        <v>27528</v>
      </c>
      <c r="F1696" t="s">
        <v>27528</v>
      </c>
      <c r="I1696" t="s">
        <v>27529</v>
      </c>
      <c r="J1696" t="s">
        <v>2894</v>
      </c>
      <c r="M1696" t="s">
        <v>78</v>
      </c>
      <c r="N1696" t="s">
        <v>79</v>
      </c>
      <c r="T1696" t="s">
        <v>27530</v>
      </c>
      <c r="U1696" t="s">
        <v>27531</v>
      </c>
      <c r="V1696" t="s">
        <v>27532</v>
      </c>
      <c r="Y1696" t="s">
        <v>27533</v>
      </c>
      <c r="AG1696">
        <v>23</v>
      </c>
      <c r="AH1696">
        <v>18</v>
      </c>
      <c r="AI1696">
        <v>20</v>
      </c>
      <c r="AJ1696">
        <v>1</v>
      </c>
      <c r="AK1696">
        <v>3</v>
      </c>
      <c r="AL1696" t="s">
        <v>2904</v>
      </c>
      <c r="AM1696" t="s">
        <v>2905</v>
      </c>
      <c r="AN1696" t="s">
        <v>2906</v>
      </c>
      <c r="AO1696" t="s">
        <v>2907</v>
      </c>
      <c r="AR1696" t="s">
        <v>2908</v>
      </c>
      <c r="AS1696" t="s">
        <v>2909</v>
      </c>
      <c r="AT1696" t="s">
        <v>1470</v>
      </c>
      <c r="AU1696">
        <v>1994</v>
      </c>
      <c r="AV1696">
        <v>103</v>
      </c>
      <c r="AW1696" t="s">
        <v>326</v>
      </c>
      <c r="BB1696">
        <v>103</v>
      </c>
      <c r="BC1696">
        <v>109</v>
      </c>
      <c r="BE1696" t="s">
        <v>27534</v>
      </c>
      <c r="BF1696" t="s">
        <v>27535</v>
      </c>
      <c r="BI1696">
        <v>7</v>
      </c>
      <c r="BJ1696" t="s">
        <v>2911</v>
      </c>
      <c r="BK1696" t="s">
        <v>96</v>
      </c>
      <c r="BL1696" t="s">
        <v>2912</v>
      </c>
      <c r="BM1696" t="s">
        <v>27536</v>
      </c>
      <c r="BO1696" t="s">
        <v>370</v>
      </c>
      <c r="BR1696" t="s">
        <v>98</v>
      </c>
      <c r="BS1696" t="s">
        <v>27537</v>
      </c>
      <c r="BT1696" t="s">
        <v>16602</v>
      </c>
    </row>
    <row r="1697" spans="1:72">
      <c r="A1697" t="s">
        <v>72</v>
      </c>
      <c r="B1697" t="s">
        <v>27538</v>
      </c>
      <c r="F1697" t="s">
        <v>27538</v>
      </c>
      <c r="I1697" t="s">
        <v>27539</v>
      </c>
      <c r="J1697" t="s">
        <v>421</v>
      </c>
      <c r="M1697" t="s">
        <v>78</v>
      </c>
      <c r="N1697" t="s">
        <v>79</v>
      </c>
      <c r="T1697" t="s">
        <v>27540</v>
      </c>
      <c r="U1697" t="s">
        <v>27541</v>
      </c>
      <c r="V1697" t="s">
        <v>27542</v>
      </c>
      <c r="Y1697" t="s">
        <v>27543</v>
      </c>
      <c r="AA1697" t="s">
        <v>11730</v>
      </c>
      <c r="AG1697">
        <v>33</v>
      </c>
      <c r="AH1697">
        <v>49</v>
      </c>
      <c r="AI1697">
        <v>58</v>
      </c>
      <c r="AJ1697">
        <v>1</v>
      </c>
      <c r="AK1697">
        <v>22</v>
      </c>
      <c r="AL1697" t="s">
        <v>430</v>
      </c>
      <c r="AM1697" t="s">
        <v>137</v>
      </c>
      <c r="AN1697" t="s">
        <v>1600</v>
      </c>
      <c r="AO1697" t="s">
        <v>432</v>
      </c>
      <c r="AR1697" t="s">
        <v>433</v>
      </c>
      <c r="AS1697" t="s">
        <v>434</v>
      </c>
      <c r="AU1697">
        <v>1994</v>
      </c>
      <c r="AV1697">
        <v>84</v>
      </c>
      <c r="AW1697">
        <v>2</v>
      </c>
      <c r="BB1697">
        <v>139</v>
      </c>
      <c r="BC1697">
        <v>143</v>
      </c>
      <c r="BE1697" t="s">
        <v>27544</v>
      </c>
      <c r="BF1697" t="s">
        <v>27545</v>
      </c>
      <c r="BI1697">
        <v>5</v>
      </c>
      <c r="BJ1697" t="s">
        <v>144</v>
      </c>
      <c r="BK1697" t="s">
        <v>96</v>
      </c>
      <c r="BL1697" t="s">
        <v>145</v>
      </c>
      <c r="BM1697" t="s">
        <v>27546</v>
      </c>
      <c r="BN1697">
        <v>15091709</v>
      </c>
      <c r="BO1697" t="s">
        <v>1752</v>
      </c>
      <c r="BR1697" t="s">
        <v>98</v>
      </c>
      <c r="BS1697" t="s">
        <v>27547</v>
      </c>
      <c r="BT1697" t="s">
        <v>16602</v>
      </c>
    </row>
    <row r="1698" spans="1:72">
      <c r="A1698" t="s">
        <v>72</v>
      </c>
      <c r="B1698" t="s">
        <v>27548</v>
      </c>
      <c r="F1698" t="s">
        <v>27549</v>
      </c>
      <c r="I1698" t="s">
        <v>27550</v>
      </c>
      <c r="J1698" t="s">
        <v>232</v>
      </c>
      <c r="M1698" t="s">
        <v>78</v>
      </c>
      <c r="N1698" t="s">
        <v>79</v>
      </c>
      <c r="T1698" t="s">
        <v>27551</v>
      </c>
      <c r="U1698" t="s">
        <v>27552</v>
      </c>
      <c r="V1698" t="s">
        <v>27553</v>
      </c>
      <c r="W1698" t="s">
        <v>27554</v>
      </c>
      <c r="X1698" t="s">
        <v>27555</v>
      </c>
      <c r="Y1698" t="s">
        <v>10571</v>
      </c>
      <c r="Z1698" t="s">
        <v>27556</v>
      </c>
      <c r="AA1698" t="s">
        <v>27557</v>
      </c>
      <c r="AB1698" t="s">
        <v>27558</v>
      </c>
      <c r="AC1698" t="s">
        <v>27559</v>
      </c>
      <c r="AD1698" t="s">
        <v>27560</v>
      </c>
      <c r="AE1698" t="s">
        <v>27561</v>
      </c>
      <c r="AG1698">
        <v>35</v>
      </c>
      <c r="AH1698">
        <v>47</v>
      </c>
      <c r="AI1698">
        <v>50</v>
      </c>
      <c r="AJ1698">
        <v>1</v>
      </c>
      <c r="AK1698">
        <v>34</v>
      </c>
      <c r="AL1698" t="s">
        <v>136</v>
      </c>
      <c r="AM1698" t="s">
        <v>137</v>
      </c>
      <c r="AN1698" t="s">
        <v>138</v>
      </c>
      <c r="AO1698" t="s">
        <v>240</v>
      </c>
      <c r="AP1698" t="s">
        <v>241</v>
      </c>
      <c r="AR1698" t="s">
        <v>242</v>
      </c>
      <c r="AS1698" t="s">
        <v>243</v>
      </c>
      <c r="AT1698" t="s">
        <v>13897</v>
      </c>
      <c r="AU1698">
        <v>2015</v>
      </c>
      <c r="AV1698">
        <v>101</v>
      </c>
      <c r="AW1698">
        <v>2</v>
      </c>
      <c r="BB1698">
        <v>867</v>
      </c>
      <c r="BC1698">
        <v>871</v>
      </c>
      <c r="BE1698" t="s">
        <v>27562</v>
      </c>
      <c r="BF1698" t="s">
        <v>27563</v>
      </c>
      <c r="BI1698">
        <v>5</v>
      </c>
      <c r="BJ1698" t="s">
        <v>247</v>
      </c>
      <c r="BK1698" t="s">
        <v>96</v>
      </c>
      <c r="BL1698" t="s">
        <v>248</v>
      </c>
      <c r="BM1698" t="s">
        <v>27564</v>
      </c>
      <c r="BN1698">
        <v>26563548</v>
      </c>
      <c r="BR1698" t="s">
        <v>98</v>
      </c>
      <c r="BS1698" t="s">
        <v>27565</v>
      </c>
      <c r="BT1698" t="s">
        <v>16602</v>
      </c>
    </row>
    <row r="1699" spans="1:72">
      <c r="A1699" t="s">
        <v>72</v>
      </c>
      <c r="B1699" t="s">
        <v>27566</v>
      </c>
      <c r="F1699" t="s">
        <v>27567</v>
      </c>
      <c r="I1699" t="s">
        <v>27568</v>
      </c>
      <c r="J1699" t="s">
        <v>554</v>
      </c>
      <c r="M1699" t="s">
        <v>78</v>
      </c>
      <c r="N1699" t="s">
        <v>79</v>
      </c>
      <c r="T1699" t="s">
        <v>27569</v>
      </c>
      <c r="U1699" t="s">
        <v>27570</v>
      </c>
      <c r="V1699" t="s">
        <v>27571</v>
      </c>
      <c r="W1699" t="s">
        <v>27572</v>
      </c>
      <c r="X1699" t="s">
        <v>27573</v>
      </c>
      <c r="Y1699" t="s">
        <v>27574</v>
      </c>
      <c r="Z1699" t="s">
        <v>3249</v>
      </c>
      <c r="AA1699" t="s">
        <v>2443</v>
      </c>
      <c r="AB1699" t="s">
        <v>8841</v>
      </c>
      <c r="AG1699">
        <v>42</v>
      </c>
      <c r="AH1699">
        <v>87</v>
      </c>
      <c r="AI1699">
        <v>107</v>
      </c>
      <c r="AJ1699">
        <v>0</v>
      </c>
      <c r="AK1699">
        <v>12</v>
      </c>
      <c r="AL1699" t="s">
        <v>564</v>
      </c>
      <c r="AM1699" t="s">
        <v>113</v>
      </c>
      <c r="AN1699" t="s">
        <v>807</v>
      </c>
      <c r="AO1699" t="s">
        <v>566</v>
      </c>
      <c r="AP1699" t="s">
        <v>567</v>
      </c>
      <c r="AR1699" t="s">
        <v>568</v>
      </c>
      <c r="AS1699" t="s">
        <v>569</v>
      </c>
      <c r="AT1699" t="s">
        <v>142</v>
      </c>
      <c r="AU1699">
        <v>2006</v>
      </c>
      <c r="AV1699">
        <v>143</v>
      </c>
      <c r="AW1699">
        <v>2</v>
      </c>
      <c r="BB1699">
        <v>196</v>
      </c>
      <c r="BC1699">
        <v>203</v>
      </c>
      <c r="BE1699" t="s">
        <v>27575</v>
      </c>
      <c r="BF1699" t="s">
        <v>27576</v>
      </c>
      <c r="BI1699">
        <v>8</v>
      </c>
      <c r="BJ1699" t="s">
        <v>571</v>
      </c>
      <c r="BK1699" t="s">
        <v>96</v>
      </c>
      <c r="BL1699" t="s">
        <v>571</v>
      </c>
      <c r="BM1699" t="s">
        <v>14013</v>
      </c>
      <c r="BN1699">
        <v>16603416</v>
      </c>
      <c r="BR1699" t="s">
        <v>98</v>
      </c>
      <c r="BS1699" t="s">
        <v>27577</v>
      </c>
      <c r="BT1699" t="s">
        <v>16602</v>
      </c>
    </row>
    <row r="1700" spans="1:72">
      <c r="A1700" t="s">
        <v>72</v>
      </c>
      <c r="B1700" t="s">
        <v>27578</v>
      </c>
      <c r="F1700" t="s">
        <v>27579</v>
      </c>
      <c r="I1700" t="s">
        <v>27580</v>
      </c>
      <c r="J1700" t="s">
        <v>421</v>
      </c>
      <c r="M1700" t="s">
        <v>78</v>
      </c>
      <c r="N1700" t="s">
        <v>79</v>
      </c>
      <c r="T1700" t="s">
        <v>27581</v>
      </c>
      <c r="U1700" t="s">
        <v>27582</v>
      </c>
      <c r="V1700" t="s">
        <v>27583</v>
      </c>
      <c r="W1700" t="s">
        <v>27584</v>
      </c>
      <c r="X1700" t="s">
        <v>27585</v>
      </c>
      <c r="Y1700" t="s">
        <v>27586</v>
      </c>
      <c r="Z1700" t="s">
        <v>1483</v>
      </c>
      <c r="AA1700" t="s">
        <v>27587</v>
      </c>
      <c r="AB1700" t="s">
        <v>27588</v>
      </c>
      <c r="AC1700" t="s">
        <v>27589</v>
      </c>
      <c r="AD1700" t="s">
        <v>27590</v>
      </c>
      <c r="AE1700" t="s">
        <v>27591</v>
      </c>
      <c r="AG1700">
        <v>56</v>
      </c>
      <c r="AH1700">
        <v>18</v>
      </c>
      <c r="AI1700">
        <v>19</v>
      </c>
      <c r="AJ1700">
        <v>4</v>
      </c>
      <c r="AK1700">
        <v>73</v>
      </c>
      <c r="AL1700" t="s">
        <v>430</v>
      </c>
      <c r="AM1700" t="s">
        <v>137</v>
      </c>
      <c r="AN1700" t="s">
        <v>431</v>
      </c>
      <c r="AO1700" t="s">
        <v>432</v>
      </c>
      <c r="AP1700" t="s">
        <v>1394</v>
      </c>
      <c r="AR1700" t="s">
        <v>433</v>
      </c>
      <c r="AS1700" t="s">
        <v>434</v>
      </c>
      <c r="AT1700" t="s">
        <v>765</v>
      </c>
      <c r="AU1700">
        <v>2019</v>
      </c>
      <c r="AV1700">
        <v>250</v>
      </c>
      <c r="BB1700">
        <v>87</v>
      </c>
      <c r="BC1700">
        <v>96</v>
      </c>
      <c r="BE1700" t="s">
        <v>27592</v>
      </c>
      <c r="BF1700" t="s">
        <v>27593</v>
      </c>
      <c r="BI1700">
        <v>10</v>
      </c>
      <c r="BJ1700" t="s">
        <v>144</v>
      </c>
      <c r="BK1700" t="s">
        <v>96</v>
      </c>
      <c r="BL1700" t="s">
        <v>145</v>
      </c>
      <c r="BM1700" t="s">
        <v>27594</v>
      </c>
      <c r="BN1700">
        <v>30986618</v>
      </c>
      <c r="BR1700" t="s">
        <v>98</v>
      </c>
      <c r="BS1700" t="s">
        <v>27595</v>
      </c>
      <c r="BT1700" t="s">
        <v>16602</v>
      </c>
    </row>
    <row r="1701" spans="1:72">
      <c r="A1701" t="s">
        <v>72</v>
      </c>
      <c r="B1701" t="s">
        <v>27596</v>
      </c>
      <c r="F1701" t="s">
        <v>27597</v>
      </c>
      <c r="I1701" t="s">
        <v>27598</v>
      </c>
      <c r="J1701" t="s">
        <v>909</v>
      </c>
      <c r="M1701" t="s">
        <v>78</v>
      </c>
      <c r="N1701" t="s">
        <v>79</v>
      </c>
      <c r="T1701" t="s">
        <v>27599</v>
      </c>
      <c r="U1701" t="s">
        <v>27600</v>
      </c>
      <c r="V1701" t="s">
        <v>27601</v>
      </c>
      <c r="W1701" t="s">
        <v>27602</v>
      </c>
      <c r="X1701" t="s">
        <v>12807</v>
      </c>
      <c r="Y1701" t="s">
        <v>12808</v>
      </c>
      <c r="Z1701" t="s">
        <v>12809</v>
      </c>
      <c r="AA1701" t="s">
        <v>13028</v>
      </c>
      <c r="AB1701" t="s">
        <v>27603</v>
      </c>
      <c r="AC1701" t="s">
        <v>27604</v>
      </c>
      <c r="AD1701" t="s">
        <v>27605</v>
      </c>
      <c r="AE1701" t="s">
        <v>27606</v>
      </c>
      <c r="AG1701">
        <v>79</v>
      </c>
      <c r="AH1701">
        <v>15</v>
      </c>
      <c r="AI1701">
        <v>17</v>
      </c>
      <c r="AJ1701">
        <v>0</v>
      </c>
      <c r="AK1701">
        <v>53</v>
      </c>
      <c r="AL1701" t="s">
        <v>650</v>
      </c>
      <c r="AM1701" t="s">
        <v>651</v>
      </c>
      <c r="AN1701" t="s">
        <v>652</v>
      </c>
      <c r="AO1701" t="s">
        <v>921</v>
      </c>
      <c r="AP1701" t="s">
        <v>922</v>
      </c>
      <c r="AR1701" t="s">
        <v>923</v>
      </c>
      <c r="AS1701" t="s">
        <v>924</v>
      </c>
      <c r="AT1701" t="s">
        <v>10334</v>
      </c>
      <c r="AU1701">
        <v>2019</v>
      </c>
      <c r="AV1701">
        <v>663</v>
      </c>
      <c r="BB1701">
        <v>351</v>
      </c>
      <c r="BC1701">
        <v>360</v>
      </c>
      <c r="BE1701" t="s">
        <v>27607</v>
      </c>
      <c r="BF1701" t="s">
        <v>27608</v>
      </c>
      <c r="BI1701">
        <v>10</v>
      </c>
      <c r="BJ1701" t="s">
        <v>144</v>
      </c>
      <c r="BK1701" t="s">
        <v>96</v>
      </c>
      <c r="BL1701" t="s">
        <v>145</v>
      </c>
      <c r="BM1701" t="s">
        <v>27609</v>
      </c>
      <c r="BN1701">
        <v>30716625</v>
      </c>
      <c r="BR1701" t="s">
        <v>98</v>
      </c>
      <c r="BS1701" t="s">
        <v>27610</v>
      </c>
      <c r="BT1701" t="s">
        <v>16602</v>
      </c>
    </row>
    <row r="1702" spans="1:72">
      <c r="A1702" t="s">
        <v>72</v>
      </c>
      <c r="B1702" t="s">
        <v>27611</v>
      </c>
      <c r="F1702" t="s">
        <v>27612</v>
      </c>
      <c r="I1702" t="s">
        <v>27613</v>
      </c>
      <c r="J1702" t="s">
        <v>204</v>
      </c>
      <c r="M1702" t="s">
        <v>78</v>
      </c>
      <c r="N1702" t="s">
        <v>79</v>
      </c>
      <c r="T1702" t="s">
        <v>27614</v>
      </c>
      <c r="U1702" t="s">
        <v>27615</v>
      </c>
      <c r="V1702" t="s">
        <v>27616</v>
      </c>
      <c r="W1702" t="s">
        <v>27617</v>
      </c>
      <c r="X1702" t="s">
        <v>8307</v>
      </c>
      <c r="Y1702" t="s">
        <v>27618</v>
      </c>
      <c r="Z1702" t="s">
        <v>27619</v>
      </c>
      <c r="AA1702" t="s">
        <v>27620</v>
      </c>
      <c r="AB1702" t="s">
        <v>27621</v>
      </c>
      <c r="AC1702" t="s">
        <v>27622</v>
      </c>
      <c r="AD1702" t="s">
        <v>27622</v>
      </c>
      <c r="AE1702" t="s">
        <v>27623</v>
      </c>
      <c r="AG1702">
        <v>38</v>
      </c>
      <c r="AH1702">
        <v>2</v>
      </c>
      <c r="AI1702">
        <v>3</v>
      </c>
      <c r="AJ1702">
        <v>2</v>
      </c>
      <c r="AK1702">
        <v>12</v>
      </c>
      <c r="AL1702" t="s">
        <v>217</v>
      </c>
      <c r="AM1702" t="s">
        <v>218</v>
      </c>
      <c r="AN1702" t="s">
        <v>219</v>
      </c>
      <c r="AO1702" t="s">
        <v>220</v>
      </c>
      <c r="AP1702" t="s">
        <v>221</v>
      </c>
      <c r="AR1702" t="s">
        <v>222</v>
      </c>
      <c r="AS1702" t="s">
        <v>223</v>
      </c>
      <c r="AT1702" t="s">
        <v>142</v>
      </c>
      <c r="AU1702">
        <v>2020</v>
      </c>
      <c r="AV1702">
        <v>27</v>
      </c>
      <c r="AW1702">
        <v>16</v>
      </c>
      <c r="AZ1702" t="s">
        <v>225</v>
      </c>
      <c r="BB1702">
        <v>20259</v>
      </c>
      <c r="BC1702">
        <v>20272</v>
      </c>
      <c r="BE1702" t="s">
        <v>27624</v>
      </c>
      <c r="BF1702" t="s">
        <v>27625</v>
      </c>
      <c r="BH1702" t="s">
        <v>2641</v>
      </c>
      <c r="BI1702">
        <v>14</v>
      </c>
      <c r="BJ1702" t="s">
        <v>144</v>
      </c>
      <c r="BK1702" t="s">
        <v>96</v>
      </c>
      <c r="BL1702" t="s">
        <v>145</v>
      </c>
      <c r="BM1702" t="s">
        <v>27626</v>
      </c>
      <c r="BN1702">
        <v>32240510</v>
      </c>
      <c r="BR1702" t="s">
        <v>98</v>
      </c>
      <c r="BS1702" t="s">
        <v>27627</v>
      </c>
      <c r="BT1702" t="s">
        <v>16602</v>
      </c>
    </row>
    <row r="1703" spans="1:72">
      <c r="A1703" t="s">
        <v>72</v>
      </c>
      <c r="B1703" t="s">
        <v>27628</v>
      </c>
      <c r="F1703" t="s">
        <v>27629</v>
      </c>
      <c r="I1703" t="s">
        <v>27630</v>
      </c>
      <c r="J1703" t="s">
        <v>232</v>
      </c>
      <c r="M1703" t="s">
        <v>78</v>
      </c>
      <c r="N1703" t="s">
        <v>79</v>
      </c>
      <c r="T1703" t="s">
        <v>27631</v>
      </c>
      <c r="U1703" t="s">
        <v>27632</v>
      </c>
      <c r="V1703" t="s">
        <v>27633</v>
      </c>
      <c r="W1703" t="s">
        <v>27634</v>
      </c>
      <c r="X1703" t="s">
        <v>27635</v>
      </c>
      <c r="Y1703" t="s">
        <v>27636</v>
      </c>
      <c r="Z1703" t="s">
        <v>27637</v>
      </c>
      <c r="AA1703" t="s">
        <v>27638</v>
      </c>
      <c r="AB1703" t="s">
        <v>27639</v>
      </c>
      <c r="AC1703" t="s">
        <v>27640</v>
      </c>
      <c r="AD1703" t="s">
        <v>27641</v>
      </c>
      <c r="AE1703" t="s">
        <v>27642</v>
      </c>
      <c r="AG1703">
        <v>34</v>
      </c>
      <c r="AH1703">
        <v>12</v>
      </c>
      <c r="AI1703">
        <v>15</v>
      </c>
      <c r="AJ1703">
        <v>1</v>
      </c>
      <c r="AK1703">
        <v>5</v>
      </c>
      <c r="AL1703" t="s">
        <v>136</v>
      </c>
      <c r="AM1703" t="s">
        <v>137</v>
      </c>
      <c r="AN1703" t="s">
        <v>138</v>
      </c>
      <c r="AO1703" t="s">
        <v>240</v>
      </c>
      <c r="AP1703" t="s">
        <v>241</v>
      </c>
      <c r="AR1703" t="s">
        <v>242</v>
      </c>
      <c r="AS1703" t="s">
        <v>243</v>
      </c>
      <c r="AT1703" t="s">
        <v>1470</v>
      </c>
      <c r="AU1703">
        <v>2009</v>
      </c>
      <c r="AV1703">
        <v>58</v>
      </c>
      <c r="AW1703">
        <v>1</v>
      </c>
      <c r="BB1703">
        <v>64</v>
      </c>
      <c r="BC1703">
        <v>71</v>
      </c>
      <c r="BE1703" t="s">
        <v>27643</v>
      </c>
      <c r="BF1703" t="s">
        <v>27644</v>
      </c>
      <c r="BI1703">
        <v>8</v>
      </c>
      <c r="BJ1703" t="s">
        <v>247</v>
      </c>
      <c r="BK1703" t="s">
        <v>96</v>
      </c>
      <c r="BL1703" t="s">
        <v>248</v>
      </c>
      <c r="BM1703" t="s">
        <v>27645</v>
      </c>
      <c r="BN1703">
        <v>18945456</v>
      </c>
      <c r="BR1703" t="s">
        <v>98</v>
      </c>
      <c r="BS1703" t="s">
        <v>27646</v>
      </c>
      <c r="BT1703" t="s">
        <v>16602</v>
      </c>
    </row>
    <row r="1704" spans="1:72">
      <c r="A1704" t="s">
        <v>72</v>
      </c>
      <c r="B1704" t="s">
        <v>27647</v>
      </c>
      <c r="F1704" t="s">
        <v>27647</v>
      </c>
      <c r="I1704" t="s">
        <v>27648</v>
      </c>
      <c r="J1704" t="s">
        <v>998</v>
      </c>
      <c r="M1704" t="s">
        <v>78</v>
      </c>
      <c r="N1704" t="s">
        <v>79</v>
      </c>
      <c r="U1704" t="s">
        <v>27649</v>
      </c>
      <c r="V1704" t="s">
        <v>27650</v>
      </c>
      <c r="W1704" t="s">
        <v>27651</v>
      </c>
      <c r="X1704" t="s">
        <v>27652</v>
      </c>
      <c r="Y1704" t="s">
        <v>27653</v>
      </c>
      <c r="AA1704" t="s">
        <v>27654</v>
      </c>
      <c r="AB1704" t="s">
        <v>27655</v>
      </c>
      <c r="AG1704">
        <v>46</v>
      </c>
      <c r="AH1704">
        <v>59</v>
      </c>
      <c r="AI1704">
        <v>64</v>
      </c>
      <c r="AJ1704">
        <v>0</v>
      </c>
      <c r="AK1704">
        <v>18</v>
      </c>
      <c r="AL1704" t="s">
        <v>112</v>
      </c>
      <c r="AM1704" t="s">
        <v>113</v>
      </c>
      <c r="AN1704" t="s">
        <v>469</v>
      </c>
      <c r="AO1704" t="s">
        <v>1009</v>
      </c>
      <c r="AP1704" t="s">
        <v>5996</v>
      </c>
      <c r="AR1704" t="s">
        <v>1010</v>
      </c>
      <c r="AS1704" t="s">
        <v>1011</v>
      </c>
      <c r="AT1704" t="s">
        <v>951</v>
      </c>
      <c r="AU1704">
        <v>1998</v>
      </c>
      <c r="AV1704">
        <v>35</v>
      </c>
      <c r="AW1704">
        <v>4</v>
      </c>
      <c r="BB1704">
        <v>594</v>
      </c>
      <c r="BC1704">
        <v>601</v>
      </c>
      <c r="BE1704" t="s">
        <v>27656</v>
      </c>
      <c r="BF1704" t="s">
        <v>27657</v>
      </c>
      <c r="BI1704">
        <v>8</v>
      </c>
      <c r="BJ1704" t="s">
        <v>121</v>
      </c>
      <c r="BK1704" t="s">
        <v>96</v>
      </c>
      <c r="BL1704" t="s">
        <v>122</v>
      </c>
      <c r="BM1704" t="s">
        <v>16142</v>
      </c>
      <c r="BN1704">
        <v>9776777</v>
      </c>
      <c r="BR1704" t="s">
        <v>98</v>
      </c>
      <c r="BS1704" t="s">
        <v>27658</v>
      </c>
      <c r="BT1704" t="s">
        <v>16602</v>
      </c>
    </row>
    <row r="1705" spans="1:72">
      <c r="A1705" t="s">
        <v>72</v>
      </c>
      <c r="B1705" t="s">
        <v>27659</v>
      </c>
      <c r="F1705" t="s">
        <v>27659</v>
      </c>
      <c r="I1705" t="s">
        <v>27660</v>
      </c>
      <c r="J1705" t="s">
        <v>421</v>
      </c>
      <c r="M1705" t="s">
        <v>78</v>
      </c>
      <c r="N1705" t="s">
        <v>79</v>
      </c>
      <c r="T1705" t="s">
        <v>27661</v>
      </c>
      <c r="U1705" t="s">
        <v>27662</v>
      </c>
      <c r="V1705" t="s">
        <v>27663</v>
      </c>
      <c r="W1705" t="s">
        <v>27664</v>
      </c>
      <c r="X1705" t="s">
        <v>9569</v>
      </c>
      <c r="Y1705" t="s">
        <v>27665</v>
      </c>
      <c r="Z1705" t="s">
        <v>27666</v>
      </c>
      <c r="AA1705" t="s">
        <v>27667</v>
      </c>
      <c r="AB1705" t="s">
        <v>27668</v>
      </c>
      <c r="AG1705">
        <v>33</v>
      </c>
      <c r="AH1705">
        <v>37</v>
      </c>
      <c r="AI1705">
        <v>45</v>
      </c>
      <c r="AJ1705">
        <v>0</v>
      </c>
      <c r="AK1705">
        <v>14</v>
      </c>
      <c r="AL1705" t="s">
        <v>430</v>
      </c>
      <c r="AM1705" t="s">
        <v>137</v>
      </c>
      <c r="AN1705" t="s">
        <v>431</v>
      </c>
      <c r="AO1705" t="s">
        <v>432</v>
      </c>
      <c r="AP1705" t="s">
        <v>1394</v>
      </c>
      <c r="AR1705" t="s">
        <v>433</v>
      </c>
      <c r="AS1705" t="s">
        <v>434</v>
      </c>
      <c r="AT1705" t="s">
        <v>951</v>
      </c>
      <c r="AU1705">
        <v>2005</v>
      </c>
      <c r="AV1705">
        <v>138</v>
      </c>
      <c r="AW1705">
        <v>1</v>
      </c>
      <c r="BB1705">
        <v>109</v>
      </c>
      <c r="BC1705">
        <v>120</v>
      </c>
      <c r="BE1705" t="s">
        <v>27669</v>
      </c>
      <c r="BF1705" t="s">
        <v>27670</v>
      </c>
      <c r="BI1705">
        <v>12</v>
      </c>
      <c r="BJ1705" t="s">
        <v>144</v>
      </c>
      <c r="BK1705" t="s">
        <v>96</v>
      </c>
      <c r="BL1705" t="s">
        <v>145</v>
      </c>
      <c r="BM1705" t="s">
        <v>27671</v>
      </c>
      <c r="BN1705">
        <v>15921835</v>
      </c>
      <c r="BO1705" t="s">
        <v>810</v>
      </c>
      <c r="BR1705" t="s">
        <v>98</v>
      </c>
      <c r="BS1705" t="s">
        <v>27672</v>
      </c>
      <c r="BT1705" t="s">
        <v>16602</v>
      </c>
    </row>
    <row r="1706" spans="1:72">
      <c r="A1706" t="s">
        <v>72</v>
      </c>
      <c r="B1706" t="s">
        <v>27673</v>
      </c>
      <c r="F1706" t="s">
        <v>27674</v>
      </c>
      <c r="I1706" t="s">
        <v>27675</v>
      </c>
      <c r="J1706" t="s">
        <v>704</v>
      </c>
      <c r="M1706" t="s">
        <v>78</v>
      </c>
      <c r="N1706" t="s">
        <v>79</v>
      </c>
      <c r="T1706" t="s">
        <v>27676</v>
      </c>
      <c r="U1706" t="s">
        <v>27677</v>
      </c>
      <c r="V1706" t="s">
        <v>27678</v>
      </c>
      <c r="W1706" t="s">
        <v>27679</v>
      </c>
      <c r="X1706" t="s">
        <v>27680</v>
      </c>
      <c r="Y1706" t="s">
        <v>27681</v>
      </c>
      <c r="Z1706" t="s">
        <v>27682</v>
      </c>
      <c r="AA1706" t="s">
        <v>27683</v>
      </c>
      <c r="AB1706" t="s">
        <v>27684</v>
      </c>
      <c r="AC1706" t="s">
        <v>27685</v>
      </c>
      <c r="AD1706" t="s">
        <v>27686</v>
      </c>
      <c r="AE1706" t="s">
        <v>27687</v>
      </c>
      <c r="AG1706">
        <v>27</v>
      </c>
      <c r="AH1706">
        <v>2</v>
      </c>
      <c r="AI1706">
        <v>2</v>
      </c>
      <c r="AJ1706">
        <v>2</v>
      </c>
      <c r="AK1706">
        <v>22</v>
      </c>
      <c r="AL1706" t="s">
        <v>1166</v>
      </c>
      <c r="AM1706" t="s">
        <v>1167</v>
      </c>
      <c r="AN1706" t="s">
        <v>1168</v>
      </c>
      <c r="AO1706" t="s">
        <v>718</v>
      </c>
      <c r="AP1706" t="s">
        <v>1169</v>
      </c>
      <c r="AR1706" t="s">
        <v>719</v>
      </c>
      <c r="AS1706" t="s">
        <v>720</v>
      </c>
      <c r="AT1706" t="s">
        <v>224</v>
      </c>
      <c r="AU1706">
        <v>2022</v>
      </c>
      <c r="AV1706">
        <v>233</v>
      </c>
      <c r="AW1706">
        <v>2</v>
      </c>
      <c r="BD1706">
        <v>64</v>
      </c>
      <c r="BE1706" t="s">
        <v>27688</v>
      </c>
      <c r="BF1706" t="s">
        <v>27689</v>
      </c>
      <c r="BI1706">
        <v>10</v>
      </c>
      <c r="BJ1706" t="s">
        <v>722</v>
      </c>
      <c r="BK1706" t="s">
        <v>96</v>
      </c>
      <c r="BL1706" t="s">
        <v>723</v>
      </c>
      <c r="BM1706" t="s">
        <v>27690</v>
      </c>
      <c r="BR1706" t="s">
        <v>98</v>
      </c>
      <c r="BS1706" t="s">
        <v>27691</v>
      </c>
      <c r="BT1706" t="s">
        <v>16602</v>
      </c>
    </row>
    <row r="1707" spans="1:72">
      <c r="A1707" t="s">
        <v>72</v>
      </c>
      <c r="B1707" t="s">
        <v>27692</v>
      </c>
      <c r="F1707" t="s">
        <v>27692</v>
      </c>
      <c r="I1707" t="s">
        <v>27693</v>
      </c>
      <c r="J1707" t="s">
        <v>998</v>
      </c>
      <c r="M1707" t="s">
        <v>78</v>
      </c>
      <c r="N1707" t="s">
        <v>79</v>
      </c>
      <c r="U1707" t="s">
        <v>27694</v>
      </c>
      <c r="V1707" t="s">
        <v>27695</v>
      </c>
      <c r="W1707" t="s">
        <v>27696</v>
      </c>
      <c r="X1707" t="s">
        <v>27697</v>
      </c>
      <c r="Y1707" t="s">
        <v>27698</v>
      </c>
      <c r="AG1707">
        <v>30</v>
      </c>
      <c r="AH1707">
        <v>63</v>
      </c>
      <c r="AI1707">
        <v>67</v>
      </c>
      <c r="AJ1707">
        <v>1</v>
      </c>
      <c r="AK1707">
        <v>4</v>
      </c>
      <c r="AL1707" t="s">
        <v>2718</v>
      </c>
      <c r="AM1707" t="s">
        <v>113</v>
      </c>
      <c r="AN1707" t="s">
        <v>2719</v>
      </c>
      <c r="AO1707" t="s">
        <v>1009</v>
      </c>
      <c r="AR1707" t="s">
        <v>1010</v>
      </c>
      <c r="AS1707" t="s">
        <v>1011</v>
      </c>
      <c r="AT1707" t="s">
        <v>224</v>
      </c>
      <c r="AU1707">
        <v>2001</v>
      </c>
      <c r="AV1707">
        <v>40</v>
      </c>
      <c r="AW1707">
        <v>2</v>
      </c>
      <c r="BB1707">
        <v>222</v>
      </c>
      <c r="BC1707">
        <v>229</v>
      </c>
      <c r="BI1707">
        <v>8</v>
      </c>
      <c r="BJ1707" t="s">
        <v>121</v>
      </c>
      <c r="BK1707" t="s">
        <v>96</v>
      </c>
      <c r="BL1707" t="s">
        <v>122</v>
      </c>
      <c r="BM1707" t="s">
        <v>27699</v>
      </c>
      <c r="BN1707">
        <v>11243324</v>
      </c>
      <c r="BR1707" t="s">
        <v>98</v>
      </c>
      <c r="BS1707" t="s">
        <v>27700</v>
      </c>
      <c r="BT1707" t="s">
        <v>16602</v>
      </c>
    </row>
    <row r="1708" spans="1:72">
      <c r="A1708" t="s">
        <v>72</v>
      </c>
      <c r="B1708" t="s">
        <v>27701</v>
      </c>
      <c r="F1708" t="s">
        <v>27701</v>
      </c>
      <c r="I1708" t="s">
        <v>27702</v>
      </c>
      <c r="J1708" t="s">
        <v>13525</v>
      </c>
      <c r="M1708" t="s">
        <v>78</v>
      </c>
      <c r="N1708" t="s">
        <v>79</v>
      </c>
      <c r="V1708" t="s">
        <v>27703</v>
      </c>
      <c r="Y1708" t="s">
        <v>27704</v>
      </c>
      <c r="AG1708">
        <v>11</v>
      </c>
      <c r="AH1708">
        <v>67</v>
      </c>
      <c r="AI1708">
        <v>70</v>
      </c>
      <c r="AJ1708">
        <v>0</v>
      </c>
      <c r="AK1708">
        <v>3</v>
      </c>
      <c r="AL1708" t="s">
        <v>2336</v>
      </c>
      <c r="AM1708" t="s">
        <v>262</v>
      </c>
      <c r="AN1708" t="s">
        <v>15117</v>
      </c>
      <c r="AO1708" t="s">
        <v>13529</v>
      </c>
      <c r="AP1708" t="s">
        <v>21660</v>
      </c>
      <c r="AR1708" t="s">
        <v>13530</v>
      </c>
      <c r="AS1708" t="s">
        <v>13531</v>
      </c>
      <c r="AU1708">
        <v>1978</v>
      </c>
      <c r="AV1708">
        <v>58</v>
      </c>
      <c r="AW1708">
        <v>4</v>
      </c>
      <c r="BB1708">
        <v>843</v>
      </c>
      <c r="BC1708">
        <v>850</v>
      </c>
      <c r="BE1708" t="s">
        <v>27705</v>
      </c>
      <c r="BF1708" t="s">
        <v>27706</v>
      </c>
      <c r="BI1708">
        <v>8</v>
      </c>
      <c r="BJ1708" t="s">
        <v>680</v>
      </c>
      <c r="BK1708" t="s">
        <v>96</v>
      </c>
      <c r="BL1708" t="s">
        <v>680</v>
      </c>
      <c r="BM1708" t="s">
        <v>27707</v>
      </c>
      <c r="BR1708" t="s">
        <v>98</v>
      </c>
      <c r="BS1708" t="s">
        <v>27708</v>
      </c>
      <c r="BT1708" t="s">
        <v>16602</v>
      </c>
    </row>
    <row r="1709" spans="1:72">
      <c r="A1709" t="s">
        <v>72</v>
      </c>
      <c r="B1709" t="s">
        <v>4720</v>
      </c>
      <c r="F1709" t="s">
        <v>4720</v>
      </c>
      <c r="I1709" t="s">
        <v>27709</v>
      </c>
      <c r="J1709" t="s">
        <v>1097</v>
      </c>
      <c r="M1709" t="s">
        <v>78</v>
      </c>
      <c r="N1709" t="s">
        <v>79</v>
      </c>
      <c r="V1709" t="s">
        <v>27710</v>
      </c>
      <c r="W1709" t="s">
        <v>27711</v>
      </c>
      <c r="X1709" t="s">
        <v>1800</v>
      </c>
      <c r="AG1709">
        <v>30</v>
      </c>
      <c r="AH1709">
        <v>60</v>
      </c>
      <c r="AI1709">
        <v>64</v>
      </c>
      <c r="AJ1709">
        <v>0</v>
      </c>
      <c r="AK1709">
        <v>3</v>
      </c>
      <c r="AL1709" t="s">
        <v>217</v>
      </c>
      <c r="AM1709" t="s">
        <v>218</v>
      </c>
      <c r="AN1709" t="s">
        <v>219</v>
      </c>
      <c r="AO1709" t="s">
        <v>1100</v>
      </c>
      <c r="AP1709" t="s">
        <v>1101</v>
      </c>
      <c r="AR1709" t="s">
        <v>1102</v>
      </c>
      <c r="AS1709" t="s">
        <v>1103</v>
      </c>
      <c r="AU1709">
        <v>1977</v>
      </c>
      <c r="AV1709">
        <v>41</v>
      </c>
      <c r="AW1709">
        <v>1</v>
      </c>
      <c r="BB1709">
        <v>79</v>
      </c>
      <c r="BC1709">
        <v>88</v>
      </c>
      <c r="BE1709" t="s">
        <v>27712</v>
      </c>
      <c r="BF1709" t="s">
        <v>27713</v>
      </c>
      <c r="BI1709">
        <v>10</v>
      </c>
      <c r="BJ1709" t="s">
        <v>680</v>
      </c>
      <c r="BK1709" t="s">
        <v>96</v>
      </c>
      <c r="BL1709" t="s">
        <v>680</v>
      </c>
      <c r="BM1709" t="s">
        <v>27714</v>
      </c>
      <c r="BR1709" t="s">
        <v>98</v>
      </c>
      <c r="BS1709" t="s">
        <v>27715</v>
      </c>
      <c r="BT1709" t="s">
        <v>16602</v>
      </c>
    </row>
    <row r="1710" spans="1:72">
      <c r="A1710" t="s">
        <v>72</v>
      </c>
      <c r="B1710" t="s">
        <v>27716</v>
      </c>
      <c r="F1710" t="s">
        <v>27717</v>
      </c>
      <c r="I1710" t="s">
        <v>27718</v>
      </c>
      <c r="J1710" t="s">
        <v>27719</v>
      </c>
      <c r="M1710" t="s">
        <v>78</v>
      </c>
      <c r="N1710" t="s">
        <v>79</v>
      </c>
      <c r="T1710" t="s">
        <v>27720</v>
      </c>
      <c r="U1710" t="s">
        <v>27721</v>
      </c>
      <c r="V1710" t="s">
        <v>27722</v>
      </c>
      <c r="W1710" t="s">
        <v>27723</v>
      </c>
      <c r="X1710" t="s">
        <v>27724</v>
      </c>
      <c r="Y1710" t="s">
        <v>27725</v>
      </c>
      <c r="Z1710" t="s">
        <v>4076</v>
      </c>
      <c r="AA1710" t="s">
        <v>27726</v>
      </c>
      <c r="AC1710" t="s">
        <v>27727</v>
      </c>
      <c r="AD1710" t="s">
        <v>27728</v>
      </c>
      <c r="AE1710" t="s">
        <v>27729</v>
      </c>
      <c r="AG1710">
        <v>76</v>
      </c>
      <c r="AH1710">
        <v>19</v>
      </c>
      <c r="AI1710">
        <v>21</v>
      </c>
      <c r="AJ1710">
        <v>1</v>
      </c>
      <c r="AK1710">
        <v>63</v>
      </c>
      <c r="AL1710" t="s">
        <v>650</v>
      </c>
      <c r="AM1710" t="s">
        <v>651</v>
      </c>
      <c r="AN1710" t="s">
        <v>652</v>
      </c>
      <c r="AO1710" t="s">
        <v>27730</v>
      </c>
      <c r="AP1710" t="s">
        <v>27731</v>
      </c>
      <c r="AR1710" t="s">
        <v>27732</v>
      </c>
      <c r="AS1710" t="s">
        <v>27733</v>
      </c>
      <c r="AT1710" t="s">
        <v>13375</v>
      </c>
      <c r="AU1710">
        <v>2013</v>
      </c>
      <c r="AV1710">
        <v>94</v>
      </c>
      <c r="BB1710">
        <v>37</v>
      </c>
      <c r="BC1710">
        <v>53</v>
      </c>
      <c r="BE1710" t="s">
        <v>27734</v>
      </c>
      <c r="BF1710" t="s">
        <v>27735</v>
      </c>
      <c r="BI1710">
        <v>17</v>
      </c>
      <c r="BJ1710" t="s">
        <v>27736</v>
      </c>
      <c r="BK1710" t="s">
        <v>96</v>
      </c>
      <c r="BL1710" t="s">
        <v>3805</v>
      </c>
      <c r="BM1710" t="s">
        <v>27737</v>
      </c>
      <c r="BN1710">
        <v>24012530</v>
      </c>
      <c r="BR1710" t="s">
        <v>98</v>
      </c>
      <c r="BS1710" t="s">
        <v>27738</v>
      </c>
      <c r="BT1710" t="s">
        <v>16602</v>
      </c>
    </row>
    <row r="1711" spans="1:72">
      <c r="A1711" t="s">
        <v>72</v>
      </c>
      <c r="B1711" t="s">
        <v>27739</v>
      </c>
      <c r="F1711" t="s">
        <v>27739</v>
      </c>
      <c r="I1711" t="s">
        <v>27740</v>
      </c>
      <c r="J1711" t="s">
        <v>704</v>
      </c>
      <c r="M1711" t="s">
        <v>78</v>
      </c>
      <c r="N1711" t="s">
        <v>79</v>
      </c>
      <c r="T1711" t="s">
        <v>27741</v>
      </c>
      <c r="U1711" t="s">
        <v>27742</v>
      </c>
      <c r="V1711" t="s">
        <v>27743</v>
      </c>
      <c r="W1711" t="s">
        <v>27744</v>
      </c>
      <c r="X1711" t="s">
        <v>1259</v>
      </c>
      <c r="Y1711" t="s">
        <v>27745</v>
      </c>
      <c r="Z1711" t="s">
        <v>1261</v>
      </c>
      <c r="AA1711" t="s">
        <v>1262</v>
      </c>
      <c r="AB1711" t="s">
        <v>27746</v>
      </c>
      <c r="AG1711">
        <v>46</v>
      </c>
      <c r="AH1711">
        <v>36</v>
      </c>
      <c r="AI1711">
        <v>40</v>
      </c>
      <c r="AJ1711">
        <v>0</v>
      </c>
      <c r="AK1711">
        <v>11</v>
      </c>
      <c r="AL1711" t="s">
        <v>4010</v>
      </c>
      <c r="AM1711" t="s">
        <v>1167</v>
      </c>
      <c r="AN1711" t="s">
        <v>1168</v>
      </c>
      <c r="AO1711" t="s">
        <v>718</v>
      </c>
      <c r="AP1711" t="s">
        <v>1169</v>
      </c>
      <c r="AR1711" t="s">
        <v>719</v>
      </c>
      <c r="AS1711" t="s">
        <v>720</v>
      </c>
      <c r="AT1711" t="s">
        <v>1223</v>
      </c>
      <c r="AU1711">
        <v>2004</v>
      </c>
      <c r="AV1711">
        <v>153</v>
      </c>
      <c r="AW1711" t="s">
        <v>721</v>
      </c>
      <c r="BB1711">
        <v>253</v>
      </c>
      <c r="BC1711">
        <v>268</v>
      </c>
      <c r="BE1711" t="s">
        <v>27747</v>
      </c>
      <c r="BF1711" t="s">
        <v>27748</v>
      </c>
      <c r="BI1711">
        <v>16</v>
      </c>
      <c r="BJ1711" t="s">
        <v>722</v>
      </c>
      <c r="BK1711" t="s">
        <v>96</v>
      </c>
      <c r="BL1711" t="s">
        <v>723</v>
      </c>
      <c r="BM1711" t="s">
        <v>27749</v>
      </c>
      <c r="BR1711" t="s">
        <v>98</v>
      </c>
      <c r="BS1711" t="s">
        <v>27750</v>
      </c>
      <c r="BT1711" t="s">
        <v>16602</v>
      </c>
    </row>
    <row r="1712" spans="1:72">
      <c r="A1712" t="s">
        <v>72</v>
      </c>
      <c r="B1712" t="s">
        <v>27751</v>
      </c>
      <c r="F1712" t="s">
        <v>27752</v>
      </c>
      <c r="I1712" t="s">
        <v>27753</v>
      </c>
      <c r="J1712" t="s">
        <v>909</v>
      </c>
      <c r="M1712" t="s">
        <v>78</v>
      </c>
      <c r="N1712" t="s">
        <v>79</v>
      </c>
      <c r="T1712" t="s">
        <v>27754</v>
      </c>
      <c r="U1712" t="s">
        <v>27755</v>
      </c>
      <c r="V1712" t="s">
        <v>27756</v>
      </c>
      <c r="W1712" t="s">
        <v>27757</v>
      </c>
      <c r="X1712" t="s">
        <v>27758</v>
      </c>
      <c r="Y1712" t="s">
        <v>27759</v>
      </c>
      <c r="Z1712" t="s">
        <v>27760</v>
      </c>
      <c r="AA1712" t="s">
        <v>27761</v>
      </c>
      <c r="AB1712" t="s">
        <v>27762</v>
      </c>
      <c r="AG1712">
        <v>51</v>
      </c>
      <c r="AH1712">
        <v>8</v>
      </c>
      <c r="AI1712">
        <v>10</v>
      </c>
      <c r="AJ1712">
        <v>0</v>
      </c>
      <c r="AK1712">
        <v>7</v>
      </c>
      <c r="AL1712" t="s">
        <v>919</v>
      </c>
      <c r="AM1712" t="s">
        <v>651</v>
      </c>
      <c r="AN1712" t="s">
        <v>920</v>
      </c>
      <c r="AO1712" t="s">
        <v>921</v>
      </c>
      <c r="AP1712" t="s">
        <v>922</v>
      </c>
      <c r="AR1712" t="s">
        <v>923</v>
      </c>
      <c r="AS1712" t="s">
        <v>924</v>
      </c>
      <c r="AT1712" t="s">
        <v>2303</v>
      </c>
      <c r="AU1712">
        <v>2006</v>
      </c>
      <c r="AV1712">
        <v>371</v>
      </c>
      <c r="AW1712" t="s">
        <v>2847</v>
      </c>
      <c r="BB1712">
        <v>156</v>
      </c>
      <c r="BC1712">
        <v>167</v>
      </c>
      <c r="BE1712" t="s">
        <v>27763</v>
      </c>
      <c r="BF1712" t="s">
        <v>27764</v>
      </c>
      <c r="BI1712">
        <v>12</v>
      </c>
      <c r="BJ1712" t="s">
        <v>144</v>
      </c>
      <c r="BK1712" t="s">
        <v>96</v>
      </c>
      <c r="BL1712" t="s">
        <v>145</v>
      </c>
      <c r="BM1712" t="s">
        <v>27765</v>
      </c>
      <c r="BN1712">
        <v>17052744</v>
      </c>
      <c r="BR1712" t="s">
        <v>98</v>
      </c>
      <c r="BS1712" t="s">
        <v>27766</v>
      </c>
      <c r="BT1712" t="s">
        <v>16602</v>
      </c>
    </row>
    <row r="1713" spans="1:72">
      <c r="A1713" t="s">
        <v>72</v>
      </c>
      <c r="B1713" t="s">
        <v>27767</v>
      </c>
      <c r="F1713" t="s">
        <v>27768</v>
      </c>
      <c r="I1713" t="s">
        <v>27769</v>
      </c>
      <c r="J1713" t="s">
        <v>232</v>
      </c>
      <c r="M1713" t="s">
        <v>78</v>
      </c>
      <c r="N1713" t="s">
        <v>79</v>
      </c>
      <c r="T1713" t="s">
        <v>27770</v>
      </c>
      <c r="U1713" t="s">
        <v>27771</v>
      </c>
      <c r="V1713" t="s">
        <v>27772</v>
      </c>
      <c r="W1713" t="s">
        <v>27773</v>
      </c>
      <c r="X1713" t="s">
        <v>27774</v>
      </c>
      <c r="Y1713" t="s">
        <v>27775</v>
      </c>
      <c r="Z1713" t="s">
        <v>27776</v>
      </c>
      <c r="AA1713" t="s">
        <v>27777</v>
      </c>
      <c r="AB1713" t="s">
        <v>27778</v>
      </c>
      <c r="AC1713" t="s">
        <v>27779</v>
      </c>
      <c r="AD1713" t="s">
        <v>27780</v>
      </c>
      <c r="AE1713" t="s">
        <v>27781</v>
      </c>
      <c r="AG1713">
        <v>51</v>
      </c>
      <c r="AH1713">
        <v>60</v>
      </c>
      <c r="AI1713">
        <v>61</v>
      </c>
      <c r="AJ1713">
        <v>0</v>
      </c>
      <c r="AK1713">
        <v>16</v>
      </c>
      <c r="AL1713" t="s">
        <v>136</v>
      </c>
      <c r="AM1713" t="s">
        <v>137</v>
      </c>
      <c r="AN1713" t="s">
        <v>138</v>
      </c>
      <c r="AO1713" t="s">
        <v>240</v>
      </c>
      <c r="AP1713" t="s">
        <v>241</v>
      </c>
      <c r="AR1713" t="s">
        <v>242</v>
      </c>
      <c r="AS1713" t="s">
        <v>243</v>
      </c>
      <c r="AT1713" t="s">
        <v>267</v>
      </c>
      <c r="AU1713">
        <v>2010</v>
      </c>
      <c r="AV1713">
        <v>60</v>
      </c>
      <c r="AW1713">
        <v>10</v>
      </c>
      <c r="BB1713">
        <v>1879</v>
      </c>
      <c r="BC1713">
        <v>1889</v>
      </c>
      <c r="BE1713" t="s">
        <v>27782</v>
      </c>
      <c r="BF1713" t="s">
        <v>27783</v>
      </c>
      <c r="BI1713">
        <v>11</v>
      </c>
      <c r="BJ1713" t="s">
        <v>247</v>
      </c>
      <c r="BK1713" t="s">
        <v>96</v>
      </c>
      <c r="BL1713" t="s">
        <v>248</v>
      </c>
      <c r="BM1713" t="s">
        <v>27784</v>
      </c>
      <c r="BN1713">
        <v>20696441</v>
      </c>
      <c r="BR1713" t="s">
        <v>98</v>
      </c>
      <c r="BS1713" t="s">
        <v>27785</v>
      </c>
      <c r="BT1713" t="s">
        <v>16602</v>
      </c>
    </row>
    <row r="1714" spans="1:72">
      <c r="A1714" t="s">
        <v>72</v>
      </c>
      <c r="B1714" t="s">
        <v>27786</v>
      </c>
      <c r="F1714" t="s">
        <v>27787</v>
      </c>
      <c r="I1714" t="s">
        <v>27788</v>
      </c>
      <c r="J1714" t="s">
        <v>27789</v>
      </c>
      <c r="M1714" t="s">
        <v>78</v>
      </c>
      <c r="N1714" t="s">
        <v>79</v>
      </c>
      <c r="T1714" t="s">
        <v>27790</v>
      </c>
      <c r="U1714" t="s">
        <v>27791</v>
      </c>
      <c r="V1714" t="s">
        <v>27792</v>
      </c>
      <c r="W1714" t="s">
        <v>27793</v>
      </c>
      <c r="X1714" t="s">
        <v>27794</v>
      </c>
      <c r="Y1714" t="s">
        <v>27795</v>
      </c>
      <c r="Z1714" t="s">
        <v>27796</v>
      </c>
      <c r="AA1714" t="s">
        <v>27797</v>
      </c>
      <c r="AB1714" t="s">
        <v>27798</v>
      </c>
      <c r="AC1714" t="s">
        <v>27799</v>
      </c>
      <c r="AD1714" t="s">
        <v>27799</v>
      </c>
      <c r="AE1714" t="s">
        <v>27800</v>
      </c>
      <c r="AG1714">
        <v>76</v>
      </c>
      <c r="AH1714">
        <v>4</v>
      </c>
      <c r="AI1714">
        <v>4</v>
      </c>
      <c r="AJ1714">
        <v>1</v>
      </c>
      <c r="AK1714">
        <v>4</v>
      </c>
      <c r="AL1714" t="s">
        <v>27801</v>
      </c>
      <c r="AM1714" t="s">
        <v>27802</v>
      </c>
      <c r="AN1714" t="s">
        <v>27803</v>
      </c>
      <c r="AO1714" t="s">
        <v>27804</v>
      </c>
      <c r="AR1714" t="s">
        <v>27805</v>
      </c>
      <c r="AS1714" t="s">
        <v>27806</v>
      </c>
      <c r="AT1714" t="s">
        <v>27807</v>
      </c>
      <c r="AU1714">
        <v>2022</v>
      </c>
      <c r="AV1714">
        <v>10</v>
      </c>
      <c r="AW1714">
        <v>7</v>
      </c>
      <c r="BB1714">
        <v>501</v>
      </c>
      <c r="BC1714">
        <v>514</v>
      </c>
      <c r="BE1714" t="s">
        <v>27808</v>
      </c>
      <c r="BF1714" t="s">
        <v>27809</v>
      </c>
      <c r="BI1714">
        <v>14</v>
      </c>
      <c r="BJ1714" t="s">
        <v>27810</v>
      </c>
      <c r="BK1714" t="s">
        <v>96</v>
      </c>
      <c r="BL1714" t="s">
        <v>3992</v>
      </c>
      <c r="BM1714" t="s">
        <v>27811</v>
      </c>
      <c r="BR1714" t="s">
        <v>98</v>
      </c>
      <c r="BS1714" t="s">
        <v>27812</v>
      </c>
      <c r="BT1714" t="s">
        <v>16602</v>
      </c>
    </row>
    <row r="1715" spans="1:72">
      <c r="A1715" t="s">
        <v>72</v>
      </c>
      <c r="B1715" t="s">
        <v>27813</v>
      </c>
      <c r="F1715" t="s">
        <v>27813</v>
      </c>
      <c r="I1715" t="s">
        <v>27814</v>
      </c>
      <c r="J1715" t="s">
        <v>641</v>
      </c>
      <c r="M1715" t="s">
        <v>78</v>
      </c>
      <c r="N1715" t="s">
        <v>79</v>
      </c>
      <c r="T1715" t="s">
        <v>27815</v>
      </c>
      <c r="U1715" t="s">
        <v>27816</v>
      </c>
      <c r="V1715" t="s">
        <v>27817</v>
      </c>
      <c r="W1715" t="s">
        <v>27818</v>
      </c>
      <c r="X1715" t="s">
        <v>27819</v>
      </c>
      <c r="Y1715" t="s">
        <v>27820</v>
      </c>
      <c r="AB1715" t="s">
        <v>27821</v>
      </c>
      <c r="AG1715">
        <v>38</v>
      </c>
      <c r="AH1715">
        <v>16</v>
      </c>
      <c r="AI1715">
        <v>17</v>
      </c>
      <c r="AJ1715">
        <v>0</v>
      </c>
      <c r="AK1715">
        <v>1</v>
      </c>
      <c r="AL1715" t="s">
        <v>919</v>
      </c>
      <c r="AM1715" t="s">
        <v>651</v>
      </c>
      <c r="AN1715" t="s">
        <v>920</v>
      </c>
      <c r="AO1715" t="s">
        <v>653</v>
      </c>
      <c r="AR1715" t="s">
        <v>655</v>
      </c>
      <c r="AS1715" t="s">
        <v>656</v>
      </c>
      <c r="AT1715" t="s">
        <v>142</v>
      </c>
      <c r="AU1715">
        <v>2001</v>
      </c>
      <c r="AV1715">
        <v>53</v>
      </c>
      <c r="AW1715">
        <v>1</v>
      </c>
      <c r="BB1715">
        <v>1</v>
      </c>
      <c r="BC1715">
        <v>7</v>
      </c>
      <c r="BE1715" t="s">
        <v>27822</v>
      </c>
      <c r="BF1715" t="s">
        <v>27823</v>
      </c>
      <c r="BI1715">
        <v>7</v>
      </c>
      <c r="BJ1715" t="s">
        <v>659</v>
      </c>
      <c r="BK1715" t="s">
        <v>96</v>
      </c>
      <c r="BL1715" t="s">
        <v>659</v>
      </c>
      <c r="BM1715" t="s">
        <v>27824</v>
      </c>
      <c r="BN1715">
        <v>11254942</v>
      </c>
      <c r="BR1715" t="s">
        <v>98</v>
      </c>
      <c r="BS1715" t="s">
        <v>27825</v>
      </c>
      <c r="BT1715" t="s">
        <v>16602</v>
      </c>
    </row>
    <row r="1716" spans="1:72">
      <c r="A1716" t="s">
        <v>72</v>
      </c>
      <c r="B1716" t="s">
        <v>27826</v>
      </c>
      <c r="F1716" t="s">
        <v>27826</v>
      </c>
      <c r="I1716" t="s">
        <v>27827</v>
      </c>
      <c r="J1716" t="s">
        <v>752</v>
      </c>
      <c r="M1716" t="s">
        <v>78</v>
      </c>
      <c r="N1716" t="s">
        <v>151</v>
      </c>
      <c r="O1716" t="s">
        <v>5658</v>
      </c>
      <c r="P1716">
        <v>1993</v>
      </c>
      <c r="Q1716" t="s">
        <v>5659</v>
      </c>
      <c r="U1716" t="s">
        <v>27828</v>
      </c>
      <c r="V1716" t="s">
        <v>27829</v>
      </c>
      <c r="Y1716" t="s">
        <v>27830</v>
      </c>
      <c r="AG1716">
        <v>8</v>
      </c>
      <c r="AH1716">
        <v>14</v>
      </c>
      <c r="AI1716">
        <v>16</v>
      </c>
      <c r="AJ1716">
        <v>0</v>
      </c>
      <c r="AK1716">
        <v>3</v>
      </c>
      <c r="AL1716" t="s">
        <v>430</v>
      </c>
      <c r="AM1716" t="s">
        <v>137</v>
      </c>
      <c r="AN1716" t="s">
        <v>1600</v>
      </c>
      <c r="AO1716" t="s">
        <v>761</v>
      </c>
      <c r="AR1716" t="s">
        <v>763</v>
      </c>
      <c r="AS1716" t="s">
        <v>764</v>
      </c>
      <c r="AU1716">
        <v>1995</v>
      </c>
      <c r="AV1716">
        <v>39</v>
      </c>
      <c r="AW1716" t="s">
        <v>721</v>
      </c>
      <c r="BB1716">
        <v>321</v>
      </c>
      <c r="BC1716">
        <v>324</v>
      </c>
      <c r="BI1716">
        <v>4</v>
      </c>
      <c r="BJ1716" t="s">
        <v>768</v>
      </c>
      <c r="BK1716" t="s">
        <v>588</v>
      </c>
      <c r="BL1716" t="s">
        <v>769</v>
      </c>
      <c r="BM1716" t="s">
        <v>5666</v>
      </c>
      <c r="BR1716" t="s">
        <v>98</v>
      </c>
      <c r="BS1716" t="s">
        <v>27831</v>
      </c>
      <c r="BT1716" t="s">
        <v>16602</v>
      </c>
    </row>
    <row r="1717" spans="1:72">
      <c r="A1717" t="s">
        <v>72</v>
      </c>
      <c r="B1717" t="s">
        <v>27832</v>
      </c>
      <c r="F1717" t="s">
        <v>27832</v>
      </c>
      <c r="I1717" t="s">
        <v>27833</v>
      </c>
      <c r="J1717" t="s">
        <v>127</v>
      </c>
      <c r="M1717" t="s">
        <v>78</v>
      </c>
      <c r="N1717" t="s">
        <v>79</v>
      </c>
      <c r="U1717" t="s">
        <v>27834</v>
      </c>
      <c r="V1717" t="s">
        <v>27835</v>
      </c>
      <c r="W1717" t="s">
        <v>12908</v>
      </c>
      <c r="X1717" t="s">
        <v>5454</v>
      </c>
      <c r="Y1717" t="s">
        <v>27836</v>
      </c>
      <c r="AG1717">
        <v>37</v>
      </c>
      <c r="AH1717">
        <v>18</v>
      </c>
      <c r="AI1717">
        <v>18</v>
      </c>
      <c r="AJ1717">
        <v>0</v>
      </c>
      <c r="AK1717">
        <v>5</v>
      </c>
      <c r="AL1717" t="s">
        <v>136</v>
      </c>
      <c r="AM1717" t="s">
        <v>137</v>
      </c>
      <c r="AN1717" t="s">
        <v>583</v>
      </c>
      <c r="AO1717" t="s">
        <v>139</v>
      </c>
      <c r="AR1717" t="s">
        <v>127</v>
      </c>
      <c r="AS1717" t="s">
        <v>141</v>
      </c>
      <c r="AT1717" t="s">
        <v>765</v>
      </c>
      <c r="AU1717">
        <v>1996</v>
      </c>
      <c r="AV1717">
        <v>33</v>
      </c>
      <c r="AW1717">
        <v>1</v>
      </c>
      <c r="BB1717">
        <v>147</v>
      </c>
      <c r="BC1717">
        <v>158</v>
      </c>
      <c r="BE1717" t="s">
        <v>27837</v>
      </c>
      <c r="BF1717" t="s">
        <v>27838</v>
      </c>
      <c r="BI1717">
        <v>12</v>
      </c>
      <c r="BJ1717" t="s">
        <v>144</v>
      </c>
      <c r="BK1717" t="s">
        <v>96</v>
      </c>
      <c r="BL1717" t="s">
        <v>145</v>
      </c>
      <c r="BM1717" t="s">
        <v>27839</v>
      </c>
      <c r="BR1717" t="s">
        <v>98</v>
      </c>
      <c r="BS1717" t="s">
        <v>27840</v>
      </c>
      <c r="BT1717" t="s">
        <v>16602</v>
      </c>
    </row>
    <row r="1718" spans="1:72">
      <c r="A1718" t="s">
        <v>72</v>
      </c>
      <c r="B1718" t="s">
        <v>27841</v>
      </c>
      <c r="F1718" t="s">
        <v>27842</v>
      </c>
      <c r="I1718" t="s">
        <v>27843</v>
      </c>
      <c r="J1718" t="s">
        <v>204</v>
      </c>
      <c r="M1718" t="s">
        <v>78</v>
      </c>
      <c r="N1718" t="s">
        <v>79</v>
      </c>
      <c r="T1718" t="s">
        <v>27844</v>
      </c>
      <c r="U1718" t="s">
        <v>27845</v>
      </c>
      <c r="V1718" t="s">
        <v>27846</v>
      </c>
      <c r="W1718" t="s">
        <v>27847</v>
      </c>
      <c r="X1718" t="s">
        <v>27848</v>
      </c>
      <c r="Y1718" t="s">
        <v>27849</v>
      </c>
      <c r="Z1718" t="s">
        <v>27850</v>
      </c>
      <c r="AA1718" t="s">
        <v>27851</v>
      </c>
      <c r="AB1718" t="s">
        <v>27852</v>
      </c>
      <c r="AG1718">
        <v>105</v>
      </c>
      <c r="AH1718">
        <v>1</v>
      </c>
      <c r="AI1718">
        <v>1</v>
      </c>
      <c r="AJ1718">
        <v>0</v>
      </c>
      <c r="AK1718">
        <v>28</v>
      </c>
      <c r="AL1718" t="s">
        <v>217</v>
      </c>
      <c r="AM1718" t="s">
        <v>218</v>
      </c>
      <c r="AN1718" t="s">
        <v>219</v>
      </c>
      <c r="AO1718" t="s">
        <v>220</v>
      </c>
      <c r="AP1718" t="s">
        <v>221</v>
      </c>
      <c r="AR1718" t="s">
        <v>222</v>
      </c>
      <c r="AS1718" t="s">
        <v>223</v>
      </c>
      <c r="AT1718" t="s">
        <v>1470</v>
      </c>
      <c r="AU1718">
        <v>2020</v>
      </c>
      <c r="AV1718">
        <v>27</v>
      </c>
      <c r="AW1718">
        <v>3</v>
      </c>
      <c r="BB1718">
        <v>3361</v>
      </c>
      <c r="BC1718">
        <v>3383</v>
      </c>
      <c r="BE1718" t="s">
        <v>27853</v>
      </c>
      <c r="BF1718" t="s">
        <v>27854</v>
      </c>
      <c r="BI1718">
        <v>23</v>
      </c>
      <c r="BJ1718" t="s">
        <v>144</v>
      </c>
      <c r="BK1718" t="s">
        <v>96</v>
      </c>
      <c r="BL1718" t="s">
        <v>145</v>
      </c>
      <c r="BM1718" t="s">
        <v>27855</v>
      </c>
      <c r="BN1718">
        <v>31845271</v>
      </c>
      <c r="BR1718" t="s">
        <v>98</v>
      </c>
      <c r="BS1718" t="s">
        <v>27856</v>
      </c>
      <c r="BT1718" t="s">
        <v>16602</v>
      </c>
    </row>
    <row r="1719" spans="1:72">
      <c r="A1719" t="s">
        <v>72</v>
      </c>
      <c r="B1719" t="s">
        <v>27857</v>
      </c>
      <c r="F1719" t="s">
        <v>27858</v>
      </c>
      <c r="I1719" t="s">
        <v>27859</v>
      </c>
      <c r="J1719" t="s">
        <v>2063</v>
      </c>
      <c r="M1719" t="s">
        <v>78</v>
      </c>
      <c r="N1719" t="s">
        <v>79</v>
      </c>
      <c r="T1719" t="s">
        <v>27860</v>
      </c>
      <c r="V1719" t="s">
        <v>27861</v>
      </c>
      <c r="W1719" t="s">
        <v>27862</v>
      </c>
      <c r="X1719" t="s">
        <v>27863</v>
      </c>
      <c r="Y1719" t="s">
        <v>27864</v>
      </c>
      <c r="Z1719" t="s">
        <v>27865</v>
      </c>
      <c r="AA1719" t="s">
        <v>27866</v>
      </c>
      <c r="AB1719" t="s">
        <v>27867</v>
      </c>
      <c r="AC1719" t="s">
        <v>27868</v>
      </c>
      <c r="AD1719" t="s">
        <v>27869</v>
      </c>
      <c r="AE1719" t="s">
        <v>27870</v>
      </c>
      <c r="AG1719">
        <v>50</v>
      </c>
      <c r="AH1719">
        <v>26</v>
      </c>
      <c r="AI1719">
        <v>30</v>
      </c>
      <c r="AJ1719">
        <v>0</v>
      </c>
      <c r="AK1719">
        <v>6</v>
      </c>
      <c r="AL1719" t="s">
        <v>2074</v>
      </c>
      <c r="AM1719" t="s">
        <v>2075</v>
      </c>
      <c r="AN1719" t="s">
        <v>5365</v>
      </c>
      <c r="AO1719" t="s">
        <v>2077</v>
      </c>
      <c r="AP1719" t="s">
        <v>2078</v>
      </c>
      <c r="AR1719" t="s">
        <v>2079</v>
      </c>
      <c r="AS1719" t="s">
        <v>2080</v>
      </c>
      <c r="AU1719">
        <v>2004</v>
      </c>
      <c r="AV1719">
        <v>20</v>
      </c>
      <c r="AY1719">
        <v>1</v>
      </c>
      <c r="BB1719" t="s">
        <v>27871</v>
      </c>
      <c r="BC1719" t="s">
        <v>27872</v>
      </c>
      <c r="BE1719" t="s">
        <v>27873</v>
      </c>
      <c r="BF1719" t="s">
        <v>27874</v>
      </c>
      <c r="BI1719">
        <v>11</v>
      </c>
      <c r="BJ1719" t="s">
        <v>2083</v>
      </c>
      <c r="BK1719" t="s">
        <v>96</v>
      </c>
      <c r="BL1719" t="s">
        <v>2084</v>
      </c>
      <c r="BM1719" t="s">
        <v>27875</v>
      </c>
      <c r="BR1719" t="s">
        <v>98</v>
      </c>
      <c r="BS1719" t="s">
        <v>27876</v>
      </c>
      <c r="BT1719" t="s">
        <v>16602</v>
      </c>
    </row>
    <row r="1720" spans="1:72">
      <c r="A1720" t="s">
        <v>72</v>
      </c>
      <c r="B1720" t="s">
        <v>27877</v>
      </c>
      <c r="F1720" t="s">
        <v>27878</v>
      </c>
      <c r="I1720" t="s">
        <v>27879</v>
      </c>
      <c r="J1720" t="s">
        <v>909</v>
      </c>
      <c r="M1720" t="s">
        <v>78</v>
      </c>
      <c r="N1720" t="s">
        <v>79</v>
      </c>
      <c r="T1720" t="s">
        <v>27880</v>
      </c>
      <c r="U1720" t="s">
        <v>27881</v>
      </c>
      <c r="V1720" t="s">
        <v>27882</v>
      </c>
      <c r="W1720" t="s">
        <v>27883</v>
      </c>
      <c r="X1720" t="s">
        <v>27884</v>
      </c>
      <c r="Y1720" t="s">
        <v>27885</v>
      </c>
      <c r="Z1720" t="s">
        <v>27886</v>
      </c>
      <c r="AA1720" t="s">
        <v>27887</v>
      </c>
      <c r="AB1720" t="s">
        <v>27888</v>
      </c>
      <c r="AC1720" t="s">
        <v>27889</v>
      </c>
      <c r="AD1720" t="s">
        <v>27890</v>
      </c>
      <c r="AE1720" t="s">
        <v>27891</v>
      </c>
      <c r="AG1720">
        <v>37</v>
      </c>
      <c r="AH1720">
        <v>27</v>
      </c>
      <c r="AI1720">
        <v>30</v>
      </c>
      <c r="AJ1720">
        <v>0</v>
      </c>
      <c r="AK1720">
        <v>38</v>
      </c>
      <c r="AL1720" t="s">
        <v>650</v>
      </c>
      <c r="AM1720" t="s">
        <v>651</v>
      </c>
      <c r="AN1720" t="s">
        <v>652</v>
      </c>
      <c r="AO1720" t="s">
        <v>921</v>
      </c>
      <c r="AP1720" t="s">
        <v>922</v>
      </c>
      <c r="AR1720" t="s">
        <v>923</v>
      </c>
      <c r="AS1720" t="s">
        <v>924</v>
      </c>
      <c r="AT1720" t="s">
        <v>15610</v>
      </c>
      <c r="AU1720">
        <v>2011</v>
      </c>
      <c r="AV1720">
        <v>409</v>
      </c>
      <c r="AW1720">
        <v>5</v>
      </c>
      <c r="BB1720">
        <v>898</v>
      </c>
      <c r="BC1720">
        <v>904</v>
      </c>
      <c r="BE1720" t="s">
        <v>27892</v>
      </c>
      <c r="BF1720" t="s">
        <v>27893</v>
      </c>
      <c r="BI1720">
        <v>7</v>
      </c>
      <c r="BJ1720" t="s">
        <v>144</v>
      </c>
      <c r="BK1720" t="s">
        <v>96</v>
      </c>
      <c r="BL1720" t="s">
        <v>145</v>
      </c>
      <c r="BM1720" t="s">
        <v>27894</v>
      </c>
      <c r="BN1720">
        <v>21176943</v>
      </c>
      <c r="BR1720" t="s">
        <v>98</v>
      </c>
      <c r="BS1720" t="s">
        <v>27895</v>
      </c>
      <c r="BT1720" t="s">
        <v>16602</v>
      </c>
    </row>
    <row r="1721" spans="1:72">
      <c r="A1721" t="s">
        <v>72</v>
      </c>
      <c r="B1721" t="s">
        <v>27896</v>
      </c>
      <c r="F1721" t="s">
        <v>27897</v>
      </c>
      <c r="I1721" t="s">
        <v>27898</v>
      </c>
      <c r="J1721" t="s">
        <v>421</v>
      </c>
      <c r="M1721" t="s">
        <v>78</v>
      </c>
      <c r="N1721" t="s">
        <v>79</v>
      </c>
      <c r="T1721" t="s">
        <v>27899</v>
      </c>
      <c r="U1721" t="s">
        <v>27900</v>
      </c>
      <c r="V1721" t="s">
        <v>27901</v>
      </c>
      <c r="W1721" t="s">
        <v>27902</v>
      </c>
      <c r="X1721" t="s">
        <v>4386</v>
      </c>
      <c r="Y1721" t="s">
        <v>27903</v>
      </c>
      <c r="Z1721" t="s">
        <v>27904</v>
      </c>
      <c r="AA1721" t="s">
        <v>27905</v>
      </c>
      <c r="AG1721">
        <v>60</v>
      </c>
      <c r="AH1721">
        <v>25</v>
      </c>
      <c r="AI1721">
        <v>29</v>
      </c>
      <c r="AJ1721">
        <v>0</v>
      </c>
      <c r="AK1721">
        <v>21</v>
      </c>
      <c r="AL1721" t="s">
        <v>430</v>
      </c>
      <c r="AM1721" t="s">
        <v>137</v>
      </c>
      <c r="AN1721" t="s">
        <v>431</v>
      </c>
      <c r="AO1721" t="s">
        <v>432</v>
      </c>
      <c r="AP1721" t="s">
        <v>1394</v>
      </c>
      <c r="AR1721" t="s">
        <v>433</v>
      </c>
      <c r="AS1721" t="s">
        <v>434</v>
      </c>
      <c r="AT1721" t="s">
        <v>224</v>
      </c>
      <c r="AU1721">
        <v>2007</v>
      </c>
      <c r="AV1721">
        <v>145</v>
      </c>
      <c r="AW1721">
        <v>3</v>
      </c>
      <c r="BB1721">
        <v>905</v>
      </c>
      <c r="BC1721">
        <v>914</v>
      </c>
      <c r="BE1721" t="s">
        <v>27906</v>
      </c>
      <c r="BF1721" t="s">
        <v>27907</v>
      </c>
      <c r="BI1721">
        <v>10</v>
      </c>
      <c r="BJ1721" t="s">
        <v>144</v>
      </c>
      <c r="BK1721" t="s">
        <v>96</v>
      </c>
      <c r="BL1721" t="s">
        <v>145</v>
      </c>
      <c r="BM1721" t="s">
        <v>27908</v>
      </c>
      <c r="BN1721">
        <v>16764974</v>
      </c>
      <c r="BR1721" t="s">
        <v>98</v>
      </c>
      <c r="BS1721" t="s">
        <v>27909</v>
      </c>
      <c r="BT1721" t="s">
        <v>16602</v>
      </c>
    </row>
    <row r="1722" spans="1:72">
      <c r="A1722" t="s">
        <v>72</v>
      </c>
      <c r="B1722" t="s">
        <v>27910</v>
      </c>
      <c r="F1722" t="s">
        <v>27911</v>
      </c>
      <c r="I1722" t="s">
        <v>27912</v>
      </c>
      <c r="J1722" t="s">
        <v>909</v>
      </c>
      <c r="M1722" t="s">
        <v>78</v>
      </c>
      <c r="N1722" t="s">
        <v>79</v>
      </c>
      <c r="T1722" t="s">
        <v>27913</v>
      </c>
      <c r="U1722" t="s">
        <v>27914</v>
      </c>
      <c r="V1722" t="s">
        <v>27915</v>
      </c>
      <c r="W1722" t="s">
        <v>27916</v>
      </c>
      <c r="X1722" t="s">
        <v>27917</v>
      </c>
      <c r="Y1722" t="s">
        <v>27918</v>
      </c>
      <c r="Z1722" t="s">
        <v>27919</v>
      </c>
      <c r="AA1722" t="s">
        <v>27920</v>
      </c>
      <c r="AB1722" t="s">
        <v>27921</v>
      </c>
      <c r="AC1722" t="s">
        <v>27922</v>
      </c>
      <c r="AD1722" t="s">
        <v>27922</v>
      </c>
      <c r="AE1722" t="s">
        <v>27923</v>
      </c>
      <c r="AG1722">
        <v>73</v>
      </c>
      <c r="AH1722">
        <v>15</v>
      </c>
      <c r="AI1722">
        <v>16</v>
      </c>
      <c r="AJ1722">
        <v>3</v>
      </c>
      <c r="AK1722">
        <v>100</v>
      </c>
      <c r="AL1722" t="s">
        <v>650</v>
      </c>
      <c r="AM1722" t="s">
        <v>651</v>
      </c>
      <c r="AN1722" t="s">
        <v>652</v>
      </c>
      <c r="AO1722" t="s">
        <v>921</v>
      </c>
      <c r="AP1722" t="s">
        <v>922</v>
      </c>
      <c r="AR1722" t="s">
        <v>923</v>
      </c>
      <c r="AS1722" t="s">
        <v>924</v>
      </c>
      <c r="AT1722" t="s">
        <v>8920</v>
      </c>
      <c r="AU1722">
        <v>2018</v>
      </c>
      <c r="AV1722">
        <v>640</v>
      </c>
      <c r="BB1722">
        <v>662</v>
      </c>
      <c r="BC1722">
        <v>670</v>
      </c>
      <c r="BE1722" t="s">
        <v>27924</v>
      </c>
      <c r="BF1722" t="s">
        <v>27925</v>
      </c>
      <c r="BI1722">
        <v>9</v>
      </c>
      <c r="BJ1722" t="s">
        <v>144</v>
      </c>
      <c r="BK1722" t="s">
        <v>96</v>
      </c>
      <c r="BL1722" t="s">
        <v>145</v>
      </c>
      <c r="BM1722" t="s">
        <v>27926</v>
      </c>
      <c r="BN1722">
        <v>29870942</v>
      </c>
      <c r="BO1722" t="s">
        <v>810</v>
      </c>
      <c r="BR1722" t="s">
        <v>98</v>
      </c>
      <c r="BS1722" t="s">
        <v>27927</v>
      </c>
      <c r="BT1722" t="s">
        <v>16602</v>
      </c>
    </row>
    <row r="1723" spans="1:72">
      <c r="A1723" t="s">
        <v>72</v>
      </c>
      <c r="B1723" t="s">
        <v>27928</v>
      </c>
      <c r="F1723" t="s">
        <v>27929</v>
      </c>
      <c r="I1723" t="s">
        <v>27930</v>
      </c>
      <c r="J1723" t="s">
        <v>1254</v>
      </c>
      <c r="M1723" t="s">
        <v>78</v>
      </c>
      <c r="N1723" t="s">
        <v>151</v>
      </c>
      <c r="O1723" t="s">
        <v>27931</v>
      </c>
      <c r="P1723" t="s">
        <v>27932</v>
      </c>
      <c r="Q1723" t="s">
        <v>27933</v>
      </c>
      <c r="T1723" t="s">
        <v>27934</v>
      </c>
      <c r="U1723" t="s">
        <v>27935</v>
      </c>
      <c r="V1723" t="s">
        <v>27936</v>
      </c>
      <c r="W1723" t="s">
        <v>27937</v>
      </c>
      <c r="X1723" t="s">
        <v>27938</v>
      </c>
      <c r="Y1723" t="s">
        <v>27939</v>
      </c>
      <c r="Z1723" t="s">
        <v>27940</v>
      </c>
      <c r="AA1723" t="s">
        <v>27941</v>
      </c>
      <c r="AG1723">
        <v>43</v>
      </c>
      <c r="AH1723">
        <v>11</v>
      </c>
      <c r="AI1723">
        <v>12</v>
      </c>
      <c r="AJ1723">
        <v>0</v>
      </c>
      <c r="AK1723">
        <v>7</v>
      </c>
      <c r="AL1723" t="s">
        <v>136</v>
      </c>
      <c r="AM1723" t="s">
        <v>137</v>
      </c>
      <c r="AN1723" t="s">
        <v>138</v>
      </c>
      <c r="AO1723" t="s">
        <v>1264</v>
      </c>
      <c r="AP1723" t="s">
        <v>1265</v>
      </c>
      <c r="AR1723" t="s">
        <v>1266</v>
      </c>
      <c r="AS1723" t="s">
        <v>1267</v>
      </c>
      <c r="AT1723" t="s">
        <v>170</v>
      </c>
      <c r="AU1723">
        <v>2007</v>
      </c>
      <c r="AV1723">
        <v>33</v>
      </c>
      <c r="AW1723">
        <v>4</v>
      </c>
      <c r="BB1723">
        <v>589</v>
      </c>
      <c r="BC1723">
        <v>595</v>
      </c>
      <c r="BE1723" t="s">
        <v>27942</v>
      </c>
      <c r="BF1723" t="s">
        <v>27943</v>
      </c>
      <c r="BI1723">
        <v>7</v>
      </c>
      <c r="BJ1723" t="s">
        <v>144</v>
      </c>
      <c r="BK1723" t="s">
        <v>172</v>
      </c>
      <c r="BL1723" t="s">
        <v>145</v>
      </c>
      <c r="BM1723" t="s">
        <v>27944</v>
      </c>
      <c r="BN1723">
        <v>17064777</v>
      </c>
      <c r="BO1723" t="s">
        <v>1752</v>
      </c>
      <c r="BR1723" t="s">
        <v>98</v>
      </c>
      <c r="BS1723" t="s">
        <v>27945</v>
      </c>
      <c r="BT1723" t="s">
        <v>16602</v>
      </c>
    </row>
    <row r="1724" spans="1:72">
      <c r="A1724" t="s">
        <v>72</v>
      </c>
      <c r="B1724" t="s">
        <v>27946</v>
      </c>
      <c r="F1724" t="s">
        <v>27947</v>
      </c>
      <c r="I1724" t="s">
        <v>27948</v>
      </c>
      <c r="J1724" t="s">
        <v>204</v>
      </c>
      <c r="M1724" t="s">
        <v>78</v>
      </c>
      <c r="N1724" t="s">
        <v>151</v>
      </c>
      <c r="O1724" t="s">
        <v>27949</v>
      </c>
      <c r="P1724" t="s">
        <v>27950</v>
      </c>
      <c r="Q1724" t="s">
        <v>27951</v>
      </c>
      <c r="S1724" t="s">
        <v>27952</v>
      </c>
      <c r="T1724" t="s">
        <v>27953</v>
      </c>
      <c r="U1724" t="s">
        <v>27954</v>
      </c>
      <c r="V1724" t="s">
        <v>27955</v>
      </c>
      <c r="W1724" t="s">
        <v>27956</v>
      </c>
      <c r="X1724" t="s">
        <v>27957</v>
      </c>
      <c r="Y1724" t="s">
        <v>9874</v>
      </c>
      <c r="Z1724" t="s">
        <v>27958</v>
      </c>
      <c r="AA1724" t="s">
        <v>27959</v>
      </c>
      <c r="AB1724" t="s">
        <v>27960</v>
      </c>
      <c r="AG1724">
        <v>50</v>
      </c>
      <c r="AH1724">
        <v>16</v>
      </c>
      <c r="AI1724">
        <v>18</v>
      </c>
      <c r="AJ1724">
        <v>0</v>
      </c>
      <c r="AK1724">
        <v>29</v>
      </c>
      <c r="AL1724" t="s">
        <v>217</v>
      </c>
      <c r="AM1724" t="s">
        <v>218</v>
      </c>
      <c r="AN1724" t="s">
        <v>219</v>
      </c>
      <c r="AO1724" t="s">
        <v>220</v>
      </c>
      <c r="AP1724" t="s">
        <v>221</v>
      </c>
      <c r="AR1724" t="s">
        <v>222</v>
      </c>
      <c r="AS1724" t="s">
        <v>223</v>
      </c>
      <c r="AT1724" t="s">
        <v>119</v>
      </c>
      <c r="AU1724">
        <v>2012</v>
      </c>
      <c r="AV1724">
        <v>19</v>
      </c>
      <c r="AW1724">
        <v>7</v>
      </c>
      <c r="BB1724">
        <v>2570</v>
      </c>
      <c r="BC1724">
        <v>2580</v>
      </c>
      <c r="BE1724" t="s">
        <v>27961</v>
      </c>
      <c r="BF1724" t="s">
        <v>27962</v>
      </c>
      <c r="BI1724">
        <v>11</v>
      </c>
      <c r="BJ1724" t="s">
        <v>144</v>
      </c>
      <c r="BK1724" t="s">
        <v>172</v>
      </c>
      <c r="BL1724" t="s">
        <v>145</v>
      </c>
      <c r="BM1724" t="s">
        <v>27963</v>
      </c>
      <c r="BN1724">
        <v>22739769</v>
      </c>
      <c r="BR1724" t="s">
        <v>98</v>
      </c>
      <c r="BS1724" t="s">
        <v>27964</v>
      </c>
      <c r="BT1724" t="s">
        <v>16602</v>
      </c>
    </row>
    <row r="1725" spans="1:72">
      <c r="A1725" t="s">
        <v>72</v>
      </c>
      <c r="B1725" t="s">
        <v>27965</v>
      </c>
      <c r="F1725" t="s">
        <v>27965</v>
      </c>
      <c r="I1725" t="s">
        <v>27966</v>
      </c>
      <c r="J1725" t="s">
        <v>232</v>
      </c>
      <c r="M1725" t="s">
        <v>78</v>
      </c>
      <c r="N1725" t="s">
        <v>151</v>
      </c>
      <c r="O1725" t="s">
        <v>11672</v>
      </c>
      <c r="P1725" t="s">
        <v>11673</v>
      </c>
      <c r="Q1725" t="s">
        <v>11674</v>
      </c>
      <c r="T1725" t="s">
        <v>27967</v>
      </c>
      <c r="U1725" t="s">
        <v>27968</v>
      </c>
      <c r="V1725" t="s">
        <v>27969</v>
      </c>
      <c r="W1725" t="s">
        <v>27970</v>
      </c>
      <c r="X1725" t="s">
        <v>27971</v>
      </c>
      <c r="Y1725" t="s">
        <v>27972</v>
      </c>
      <c r="Z1725" t="s">
        <v>8986</v>
      </c>
      <c r="AA1725" t="s">
        <v>27973</v>
      </c>
      <c r="AB1725" t="s">
        <v>27974</v>
      </c>
      <c r="AG1725">
        <v>18</v>
      </c>
      <c r="AH1725">
        <v>115</v>
      </c>
      <c r="AI1725">
        <v>131</v>
      </c>
      <c r="AJ1725">
        <v>0</v>
      </c>
      <c r="AK1725">
        <v>36</v>
      </c>
      <c r="AL1725" t="s">
        <v>136</v>
      </c>
      <c r="AM1725" t="s">
        <v>137</v>
      </c>
      <c r="AN1725" t="s">
        <v>138</v>
      </c>
      <c r="AO1725" t="s">
        <v>240</v>
      </c>
      <c r="AP1725" t="s">
        <v>241</v>
      </c>
      <c r="AR1725" t="s">
        <v>242</v>
      </c>
      <c r="AS1725" t="s">
        <v>243</v>
      </c>
      <c r="AU1725">
        <v>2005</v>
      </c>
      <c r="AV1725">
        <v>51</v>
      </c>
      <c r="AW1725" t="s">
        <v>11681</v>
      </c>
      <c r="BB1725">
        <v>896</v>
      </c>
      <c r="BC1725">
        <v>911</v>
      </c>
      <c r="BE1725" t="s">
        <v>27975</v>
      </c>
      <c r="BF1725" t="s">
        <v>27976</v>
      </c>
      <c r="BI1725">
        <v>16</v>
      </c>
      <c r="BJ1725" t="s">
        <v>247</v>
      </c>
      <c r="BK1725" t="s">
        <v>172</v>
      </c>
      <c r="BL1725" t="s">
        <v>248</v>
      </c>
      <c r="BM1725" t="s">
        <v>11683</v>
      </c>
      <c r="BN1725">
        <v>16023148</v>
      </c>
      <c r="BO1725" t="s">
        <v>1270</v>
      </c>
      <c r="BR1725" t="s">
        <v>98</v>
      </c>
      <c r="BS1725" t="s">
        <v>27977</v>
      </c>
      <c r="BT1725" t="s">
        <v>16602</v>
      </c>
    </row>
    <row r="1726" spans="1:72">
      <c r="A1726" t="s">
        <v>72</v>
      </c>
      <c r="B1726" t="s">
        <v>27978</v>
      </c>
      <c r="F1726" t="s">
        <v>27979</v>
      </c>
      <c r="I1726" t="s">
        <v>27980</v>
      </c>
      <c r="J1726" t="s">
        <v>5592</v>
      </c>
      <c r="M1726" t="s">
        <v>78</v>
      </c>
      <c r="N1726" t="s">
        <v>79</v>
      </c>
      <c r="T1726" t="s">
        <v>27981</v>
      </c>
      <c r="U1726" t="s">
        <v>27982</v>
      </c>
      <c r="V1726" t="s">
        <v>27983</v>
      </c>
      <c r="W1726" t="s">
        <v>27984</v>
      </c>
      <c r="X1726" t="s">
        <v>27985</v>
      </c>
      <c r="Y1726" t="s">
        <v>23805</v>
      </c>
      <c r="Z1726" t="s">
        <v>9288</v>
      </c>
      <c r="AA1726" t="s">
        <v>27986</v>
      </c>
      <c r="AB1726" t="s">
        <v>27987</v>
      </c>
      <c r="AC1726" t="s">
        <v>27988</v>
      </c>
      <c r="AD1726" t="s">
        <v>27989</v>
      </c>
      <c r="AE1726" t="s">
        <v>27990</v>
      </c>
      <c r="AG1726">
        <v>82</v>
      </c>
      <c r="AH1726">
        <v>7</v>
      </c>
      <c r="AI1726">
        <v>7</v>
      </c>
      <c r="AJ1726">
        <v>3</v>
      </c>
      <c r="AK1726">
        <v>35</v>
      </c>
      <c r="AL1726" t="s">
        <v>285</v>
      </c>
      <c r="AM1726" t="s">
        <v>286</v>
      </c>
      <c r="AN1726" t="s">
        <v>287</v>
      </c>
      <c r="AO1726" t="s">
        <v>5605</v>
      </c>
      <c r="AP1726" t="s">
        <v>5606</v>
      </c>
      <c r="AR1726" t="s">
        <v>5607</v>
      </c>
      <c r="AS1726" t="s">
        <v>5608</v>
      </c>
      <c r="AT1726" t="s">
        <v>27991</v>
      </c>
      <c r="AU1726">
        <v>2020</v>
      </c>
      <c r="AV1726">
        <v>243</v>
      </c>
      <c r="BD1726">
        <v>106883</v>
      </c>
      <c r="BE1726" t="s">
        <v>27992</v>
      </c>
      <c r="BF1726" t="s">
        <v>27993</v>
      </c>
      <c r="BI1726">
        <v>10</v>
      </c>
      <c r="BJ1726" t="s">
        <v>4241</v>
      </c>
      <c r="BK1726" t="s">
        <v>96</v>
      </c>
      <c r="BL1726" t="s">
        <v>4241</v>
      </c>
      <c r="BM1726" t="s">
        <v>27994</v>
      </c>
      <c r="BR1726" t="s">
        <v>98</v>
      </c>
      <c r="BS1726" t="s">
        <v>27995</v>
      </c>
      <c r="BT1726" t="s">
        <v>16602</v>
      </c>
    </row>
    <row r="1727" spans="1:72">
      <c r="A1727" t="s">
        <v>72</v>
      </c>
      <c r="B1727" t="s">
        <v>27996</v>
      </c>
      <c r="F1727" t="s">
        <v>27997</v>
      </c>
      <c r="I1727" t="s">
        <v>27998</v>
      </c>
      <c r="J1727" t="s">
        <v>6542</v>
      </c>
      <c r="M1727" t="s">
        <v>78</v>
      </c>
      <c r="N1727" t="s">
        <v>79</v>
      </c>
      <c r="U1727" t="s">
        <v>27999</v>
      </c>
      <c r="V1727" t="s">
        <v>28000</v>
      </c>
      <c r="W1727" t="s">
        <v>28001</v>
      </c>
      <c r="X1727" t="s">
        <v>28002</v>
      </c>
      <c r="Y1727" t="s">
        <v>28003</v>
      </c>
      <c r="Z1727" t="s">
        <v>28004</v>
      </c>
      <c r="AA1727" t="s">
        <v>28005</v>
      </c>
      <c r="AB1727" t="s">
        <v>6550</v>
      </c>
      <c r="AC1727" t="s">
        <v>28006</v>
      </c>
      <c r="AD1727" t="s">
        <v>6552</v>
      </c>
      <c r="AE1727" t="s">
        <v>28007</v>
      </c>
      <c r="AG1727">
        <v>40</v>
      </c>
      <c r="AH1727">
        <v>5</v>
      </c>
      <c r="AI1727">
        <v>6</v>
      </c>
      <c r="AJ1727">
        <v>0</v>
      </c>
      <c r="AK1727">
        <v>5</v>
      </c>
      <c r="AL1727" t="s">
        <v>6554</v>
      </c>
      <c r="AM1727" t="s">
        <v>113</v>
      </c>
      <c r="AN1727" t="s">
        <v>6555</v>
      </c>
      <c r="AO1727" t="s">
        <v>6556</v>
      </c>
      <c r="AP1727" t="s">
        <v>6557</v>
      </c>
      <c r="AR1727" t="s">
        <v>6558</v>
      </c>
      <c r="AS1727" t="s">
        <v>6559</v>
      </c>
      <c r="AT1727" t="s">
        <v>1223</v>
      </c>
      <c r="AU1727">
        <v>2013</v>
      </c>
      <c r="AV1727">
        <v>53</v>
      </c>
      <c r="AW1727">
        <v>2</v>
      </c>
      <c r="BB1727">
        <v>169</v>
      </c>
      <c r="BC1727">
        <v>175</v>
      </c>
      <c r="BE1727" t="s">
        <v>28008</v>
      </c>
      <c r="BF1727" t="s">
        <v>28009</v>
      </c>
      <c r="BI1727">
        <v>7</v>
      </c>
      <c r="BJ1727" t="s">
        <v>1439</v>
      </c>
      <c r="BK1727" t="s">
        <v>96</v>
      </c>
      <c r="BL1727" t="s">
        <v>1439</v>
      </c>
      <c r="BM1727" t="s">
        <v>28010</v>
      </c>
      <c r="BR1727" t="s">
        <v>98</v>
      </c>
      <c r="BS1727" t="s">
        <v>28011</v>
      </c>
      <c r="BT1727" t="s">
        <v>16602</v>
      </c>
    </row>
    <row r="1728" spans="1:72">
      <c r="A1728" t="s">
        <v>72</v>
      </c>
      <c r="B1728" t="s">
        <v>28012</v>
      </c>
      <c r="F1728" t="s">
        <v>28013</v>
      </c>
      <c r="I1728" t="s">
        <v>28014</v>
      </c>
      <c r="J1728" t="s">
        <v>9360</v>
      </c>
      <c r="M1728" t="s">
        <v>78</v>
      </c>
      <c r="N1728" t="s">
        <v>79</v>
      </c>
      <c r="T1728" t="s">
        <v>28015</v>
      </c>
      <c r="U1728" t="s">
        <v>28016</v>
      </c>
      <c r="V1728" t="s">
        <v>28017</v>
      </c>
      <c r="W1728" t="s">
        <v>28018</v>
      </c>
      <c r="X1728" t="s">
        <v>28019</v>
      </c>
      <c r="Y1728" t="s">
        <v>28020</v>
      </c>
      <c r="Z1728" t="s">
        <v>28021</v>
      </c>
      <c r="AA1728" t="s">
        <v>28022</v>
      </c>
      <c r="AB1728" t="s">
        <v>28023</v>
      </c>
      <c r="AC1728" t="s">
        <v>28024</v>
      </c>
      <c r="AD1728" t="s">
        <v>28025</v>
      </c>
      <c r="AE1728" t="s">
        <v>28026</v>
      </c>
      <c r="AG1728">
        <v>34</v>
      </c>
      <c r="AH1728">
        <v>16</v>
      </c>
      <c r="AI1728">
        <v>16</v>
      </c>
      <c r="AJ1728">
        <v>0</v>
      </c>
      <c r="AK1728">
        <v>36</v>
      </c>
      <c r="AL1728" t="s">
        <v>112</v>
      </c>
      <c r="AM1728" t="s">
        <v>191</v>
      </c>
      <c r="AN1728" t="s">
        <v>192</v>
      </c>
      <c r="AO1728" t="s">
        <v>9373</v>
      </c>
      <c r="AP1728" t="s">
        <v>9374</v>
      </c>
      <c r="AR1728" t="s">
        <v>9375</v>
      </c>
      <c r="AS1728" t="s">
        <v>9376</v>
      </c>
      <c r="AT1728" t="s">
        <v>93</v>
      </c>
      <c r="AU1728">
        <v>2013</v>
      </c>
      <c r="AV1728">
        <v>40</v>
      </c>
      <c r="AW1728">
        <v>4</v>
      </c>
      <c r="BB1728">
        <v>3321</v>
      </c>
      <c r="BC1728">
        <v>3331</v>
      </c>
      <c r="BE1728" t="s">
        <v>28027</v>
      </c>
      <c r="BF1728" t="s">
        <v>28028</v>
      </c>
      <c r="BI1728">
        <v>11</v>
      </c>
      <c r="BJ1728" t="s">
        <v>3805</v>
      </c>
      <c r="BK1728" t="s">
        <v>96</v>
      </c>
      <c r="BL1728" t="s">
        <v>3805</v>
      </c>
      <c r="BM1728" t="s">
        <v>28029</v>
      </c>
      <c r="BN1728">
        <v>23271123</v>
      </c>
      <c r="BR1728" t="s">
        <v>98</v>
      </c>
      <c r="BS1728" t="s">
        <v>28030</v>
      </c>
      <c r="BT1728" t="s">
        <v>16602</v>
      </c>
    </row>
    <row r="1729" spans="1:72">
      <c r="A1729" t="s">
        <v>72</v>
      </c>
      <c r="B1729" t="s">
        <v>28031</v>
      </c>
      <c r="F1729" t="s">
        <v>28032</v>
      </c>
      <c r="I1729" t="s">
        <v>28033</v>
      </c>
      <c r="J1729" t="s">
        <v>1275</v>
      </c>
      <c r="M1729" t="s">
        <v>78</v>
      </c>
      <c r="N1729" t="s">
        <v>79</v>
      </c>
      <c r="T1729" t="s">
        <v>28034</v>
      </c>
      <c r="U1729" t="s">
        <v>28035</v>
      </c>
      <c r="V1729" t="s">
        <v>28036</v>
      </c>
      <c r="W1729" t="s">
        <v>28037</v>
      </c>
      <c r="X1729" t="s">
        <v>28038</v>
      </c>
      <c r="Y1729" t="s">
        <v>28039</v>
      </c>
      <c r="Z1729" t="s">
        <v>28040</v>
      </c>
      <c r="AA1729" t="s">
        <v>28041</v>
      </c>
      <c r="AB1729" t="s">
        <v>28042</v>
      </c>
      <c r="AC1729" t="s">
        <v>28043</v>
      </c>
      <c r="AD1729" t="s">
        <v>28043</v>
      </c>
      <c r="AE1729" t="s">
        <v>28044</v>
      </c>
      <c r="AG1729">
        <v>110</v>
      </c>
      <c r="AH1729">
        <v>5</v>
      </c>
      <c r="AI1729">
        <v>5</v>
      </c>
      <c r="AJ1729">
        <v>2</v>
      </c>
      <c r="AK1729">
        <v>7</v>
      </c>
      <c r="AL1729" t="s">
        <v>650</v>
      </c>
      <c r="AM1729" t="s">
        <v>651</v>
      </c>
      <c r="AN1729" t="s">
        <v>652</v>
      </c>
      <c r="AO1729" t="s">
        <v>1287</v>
      </c>
      <c r="AR1729" t="s">
        <v>1288</v>
      </c>
      <c r="AS1729" t="s">
        <v>1289</v>
      </c>
      <c r="AT1729" t="s">
        <v>16690</v>
      </c>
      <c r="AU1729">
        <v>2023</v>
      </c>
      <c r="AV1729">
        <v>65</v>
      </c>
      <c r="BD1729">
        <v>103106</v>
      </c>
      <c r="BE1729" t="s">
        <v>28045</v>
      </c>
      <c r="BF1729" t="s">
        <v>28046</v>
      </c>
      <c r="BH1729" t="s">
        <v>1121</v>
      </c>
      <c r="BI1729">
        <v>11</v>
      </c>
      <c r="BJ1729" t="s">
        <v>1292</v>
      </c>
      <c r="BK1729" t="s">
        <v>96</v>
      </c>
      <c r="BL1729" t="s">
        <v>248</v>
      </c>
      <c r="BM1729" t="s">
        <v>28047</v>
      </c>
      <c r="BR1729" t="s">
        <v>98</v>
      </c>
      <c r="BS1729" t="s">
        <v>28048</v>
      </c>
      <c r="BT1729" t="s">
        <v>16602</v>
      </c>
    </row>
    <row r="1730" spans="1:72">
      <c r="A1730" t="s">
        <v>72</v>
      </c>
      <c r="B1730" t="s">
        <v>28049</v>
      </c>
      <c r="F1730" t="s">
        <v>28050</v>
      </c>
      <c r="I1730" t="s">
        <v>28051</v>
      </c>
      <c r="J1730" t="s">
        <v>179</v>
      </c>
      <c r="M1730" t="s">
        <v>78</v>
      </c>
      <c r="N1730" t="s">
        <v>79</v>
      </c>
      <c r="T1730" t="s">
        <v>28052</v>
      </c>
      <c r="U1730" t="s">
        <v>28053</v>
      </c>
      <c r="V1730" t="s">
        <v>28054</v>
      </c>
      <c r="W1730" t="s">
        <v>28055</v>
      </c>
      <c r="X1730" t="s">
        <v>28056</v>
      </c>
      <c r="Y1730" t="s">
        <v>28057</v>
      </c>
      <c r="Z1730" t="s">
        <v>28058</v>
      </c>
      <c r="AA1730" t="s">
        <v>28059</v>
      </c>
      <c r="AB1730" t="s">
        <v>28060</v>
      </c>
      <c r="AC1730" t="s">
        <v>28061</v>
      </c>
      <c r="AD1730" t="s">
        <v>28061</v>
      </c>
      <c r="AE1730" t="s">
        <v>28062</v>
      </c>
      <c r="AG1730">
        <v>83</v>
      </c>
      <c r="AH1730">
        <v>16</v>
      </c>
      <c r="AI1730">
        <v>17</v>
      </c>
      <c r="AJ1730">
        <v>3</v>
      </c>
      <c r="AK1730">
        <v>36</v>
      </c>
      <c r="AL1730" t="s">
        <v>112</v>
      </c>
      <c r="AM1730" t="s">
        <v>191</v>
      </c>
      <c r="AN1730" t="s">
        <v>192</v>
      </c>
      <c r="AO1730" t="s">
        <v>193</v>
      </c>
      <c r="AP1730" t="s">
        <v>194</v>
      </c>
      <c r="AR1730" t="s">
        <v>195</v>
      </c>
      <c r="AS1730" t="s">
        <v>196</v>
      </c>
      <c r="AT1730" t="s">
        <v>765</v>
      </c>
      <c r="AU1730">
        <v>2016</v>
      </c>
      <c r="AV1730">
        <v>188</v>
      </c>
      <c r="AW1730">
        <v>7</v>
      </c>
      <c r="BD1730">
        <v>426</v>
      </c>
      <c r="BE1730" t="s">
        <v>28063</v>
      </c>
      <c r="BF1730" t="s">
        <v>28064</v>
      </c>
      <c r="BI1730">
        <v>14</v>
      </c>
      <c r="BJ1730" t="s">
        <v>144</v>
      </c>
      <c r="BK1730" t="s">
        <v>96</v>
      </c>
      <c r="BL1730" t="s">
        <v>145</v>
      </c>
      <c r="BM1730" t="s">
        <v>28065</v>
      </c>
      <c r="BN1730">
        <v>27329477</v>
      </c>
      <c r="BO1730" t="s">
        <v>1270</v>
      </c>
      <c r="BR1730" t="s">
        <v>98</v>
      </c>
      <c r="BS1730" t="s">
        <v>28066</v>
      </c>
      <c r="BT1730" t="s">
        <v>16602</v>
      </c>
    </row>
    <row r="1731" spans="1:72">
      <c r="A1731" t="s">
        <v>72</v>
      </c>
      <c r="B1731" t="s">
        <v>28067</v>
      </c>
      <c r="F1731" t="s">
        <v>28068</v>
      </c>
      <c r="I1731" t="s">
        <v>28069</v>
      </c>
      <c r="J1731" t="s">
        <v>1811</v>
      </c>
      <c r="M1731" t="s">
        <v>78</v>
      </c>
      <c r="N1731" t="s">
        <v>79</v>
      </c>
      <c r="T1731" t="s">
        <v>28070</v>
      </c>
      <c r="U1731" t="s">
        <v>28071</v>
      </c>
      <c r="V1731" t="s">
        <v>28072</v>
      </c>
      <c r="W1731" t="s">
        <v>28073</v>
      </c>
      <c r="X1731" t="s">
        <v>28074</v>
      </c>
      <c r="Y1731" t="s">
        <v>28075</v>
      </c>
      <c r="Z1731" t="s">
        <v>22779</v>
      </c>
      <c r="AA1731" t="s">
        <v>625</v>
      </c>
      <c r="AB1731" t="s">
        <v>28076</v>
      </c>
      <c r="AG1731">
        <v>30</v>
      </c>
      <c r="AH1731">
        <v>44</v>
      </c>
      <c r="AI1731">
        <v>48</v>
      </c>
      <c r="AJ1731">
        <v>0</v>
      </c>
      <c r="AK1731">
        <v>13</v>
      </c>
      <c r="AL1731" t="s">
        <v>430</v>
      </c>
      <c r="AM1731" t="s">
        <v>137</v>
      </c>
      <c r="AN1731" t="s">
        <v>431</v>
      </c>
      <c r="AO1731" t="s">
        <v>1820</v>
      </c>
      <c r="AR1731" t="s">
        <v>1821</v>
      </c>
      <c r="AS1731" t="s">
        <v>1822</v>
      </c>
      <c r="AT1731" t="s">
        <v>4761</v>
      </c>
      <c r="AU1731">
        <v>2008</v>
      </c>
      <c r="AV1731">
        <v>107</v>
      </c>
      <c r="AW1731">
        <v>2</v>
      </c>
      <c r="BB1731">
        <v>890</v>
      </c>
      <c r="BC1731">
        <v>896</v>
      </c>
      <c r="BE1731" t="s">
        <v>28077</v>
      </c>
      <c r="BF1731" t="s">
        <v>28078</v>
      </c>
      <c r="BI1731">
        <v>7</v>
      </c>
      <c r="BJ1731" t="s">
        <v>1825</v>
      </c>
      <c r="BK1731" t="s">
        <v>96</v>
      </c>
      <c r="BL1731" t="s">
        <v>1826</v>
      </c>
      <c r="BM1731" t="s">
        <v>28079</v>
      </c>
      <c r="BR1731" t="s">
        <v>98</v>
      </c>
      <c r="BS1731" t="s">
        <v>28080</v>
      </c>
      <c r="BT1731" t="s">
        <v>16602</v>
      </c>
    </row>
    <row r="1732" spans="1:72">
      <c r="A1732" t="s">
        <v>72</v>
      </c>
      <c r="B1732" t="s">
        <v>28081</v>
      </c>
      <c r="F1732" t="s">
        <v>28082</v>
      </c>
      <c r="I1732" t="s">
        <v>28083</v>
      </c>
      <c r="J1732" t="s">
        <v>28084</v>
      </c>
      <c r="M1732" t="s">
        <v>78</v>
      </c>
      <c r="N1732" t="s">
        <v>79</v>
      </c>
      <c r="U1732" t="s">
        <v>28085</v>
      </c>
      <c r="V1732" t="s">
        <v>28086</v>
      </c>
      <c r="W1732" t="s">
        <v>28087</v>
      </c>
      <c r="X1732" t="s">
        <v>28088</v>
      </c>
      <c r="Y1732" t="s">
        <v>28089</v>
      </c>
      <c r="Z1732" t="s">
        <v>28090</v>
      </c>
      <c r="AA1732" t="s">
        <v>15564</v>
      </c>
      <c r="AB1732" t="s">
        <v>28091</v>
      </c>
      <c r="AC1732" t="s">
        <v>28092</v>
      </c>
      <c r="AD1732" t="s">
        <v>28093</v>
      </c>
      <c r="AE1732" t="s">
        <v>28094</v>
      </c>
      <c r="AG1732">
        <v>99</v>
      </c>
      <c r="AH1732">
        <v>58</v>
      </c>
      <c r="AI1732">
        <v>60</v>
      </c>
      <c r="AJ1732">
        <v>2</v>
      </c>
      <c r="AK1732">
        <v>65</v>
      </c>
      <c r="AL1732" t="s">
        <v>9394</v>
      </c>
      <c r="AM1732" t="s">
        <v>9395</v>
      </c>
      <c r="AN1732" t="s">
        <v>9396</v>
      </c>
      <c r="AO1732" t="s">
        <v>28095</v>
      </c>
      <c r="AR1732" t="s">
        <v>28096</v>
      </c>
      <c r="AS1732" t="s">
        <v>28097</v>
      </c>
      <c r="AT1732" t="s">
        <v>1223</v>
      </c>
      <c r="AU1732">
        <v>2019</v>
      </c>
      <c r="AV1732">
        <v>2</v>
      </c>
      <c r="AW1732">
        <v>3</v>
      </c>
      <c r="BB1732">
        <v>223</v>
      </c>
      <c r="BC1732">
        <v>232</v>
      </c>
      <c r="BE1732" t="s">
        <v>28098</v>
      </c>
      <c r="BF1732" t="s">
        <v>28099</v>
      </c>
      <c r="BI1732">
        <v>10</v>
      </c>
      <c r="BJ1732" t="s">
        <v>28100</v>
      </c>
      <c r="BK1732" t="s">
        <v>11915</v>
      </c>
      <c r="BL1732" t="s">
        <v>28101</v>
      </c>
      <c r="BM1732" t="s">
        <v>28102</v>
      </c>
      <c r="BR1732" t="s">
        <v>98</v>
      </c>
      <c r="BS1732" t="s">
        <v>28103</v>
      </c>
      <c r="BT1732" t="s">
        <v>16602</v>
      </c>
    </row>
    <row r="1733" spans="1:72">
      <c r="A1733" t="s">
        <v>72</v>
      </c>
      <c r="B1733" t="s">
        <v>28104</v>
      </c>
      <c r="F1733" t="s">
        <v>28105</v>
      </c>
      <c r="I1733" t="s">
        <v>28106</v>
      </c>
      <c r="J1733" t="s">
        <v>3405</v>
      </c>
      <c r="M1733" t="s">
        <v>78</v>
      </c>
      <c r="N1733" t="s">
        <v>79</v>
      </c>
      <c r="T1733" t="s">
        <v>28107</v>
      </c>
      <c r="U1733" t="s">
        <v>28108</v>
      </c>
      <c r="V1733" t="s">
        <v>28109</v>
      </c>
      <c r="W1733" t="s">
        <v>28110</v>
      </c>
      <c r="X1733" t="s">
        <v>28111</v>
      </c>
      <c r="Y1733" t="s">
        <v>28112</v>
      </c>
      <c r="Z1733" t="s">
        <v>28113</v>
      </c>
      <c r="AA1733" t="s">
        <v>28114</v>
      </c>
      <c r="AC1733" t="s">
        <v>28115</v>
      </c>
      <c r="AD1733" t="s">
        <v>28116</v>
      </c>
      <c r="AE1733" t="s">
        <v>28117</v>
      </c>
      <c r="AG1733">
        <v>66</v>
      </c>
      <c r="AH1733">
        <v>0</v>
      </c>
      <c r="AI1733">
        <v>0</v>
      </c>
      <c r="AJ1733">
        <v>0</v>
      </c>
      <c r="AK1733">
        <v>0</v>
      </c>
      <c r="AL1733" t="s">
        <v>564</v>
      </c>
      <c r="AM1733" t="s">
        <v>113</v>
      </c>
      <c r="AN1733" t="s">
        <v>807</v>
      </c>
      <c r="AO1733" t="s">
        <v>3421</v>
      </c>
      <c r="AP1733" t="s">
        <v>3422</v>
      </c>
      <c r="AR1733" t="s">
        <v>3423</v>
      </c>
      <c r="AS1733" t="s">
        <v>3424</v>
      </c>
      <c r="AT1733" t="s">
        <v>765</v>
      </c>
      <c r="AU1733">
        <v>2024</v>
      </c>
      <c r="AV1733">
        <v>319</v>
      </c>
      <c r="BD1733">
        <v>100537</v>
      </c>
      <c r="BE1733" t="s">
        <v>28118</v>
      </c>
      <c r="BF1733" t="s">
        <v>28119</v>
      </c>
      <c r="BI1733">
        <v>10</v>
      </c>
      <c r="BJ1733" t="s">
        <v>3426</v>
      </c>
      <c r="BK1733" t="s">
        <v>96</v>
      </c>
      <c r="BL1733" t="s">
        <v>3427</v>
      </c>
      <c r="BM1733" t="s">
        <v>28120</v>
      </c>
      <c r="BO1733" t="s">
        <v>476</v>
      </c>
      <c r="BR1733" t="s">
        <v>98</v>
      </c>
      <c r="BS1733" t="s">
        <v>28121</v>
      </c>
      <c r="BT1733" t="s">
        <v>16602</v>
      </c>
    </row>
    <row r="1734" spans="1:72">
      <c r="A1734" t="s">
        <v>72</v>
      </c>
      <c r="B1734" t="s">
        <v>28122</v>
      </c>
      <c r="F1734" t="s">
        <v>28123</v>
      </c>
      <c r="I1734" t="s">
        <v>28124</v>
      </c>
      <c r="J1734" t="s">
        <v>232</v>
      </c>
      <c r="M1734" t="s">
        <v>78</v>
      </c>
      <c r="N1734" t="s">
        <v>79</v>
      </c>
      <c r="T1734" t="s">
        <v>28125</v>
      </c>
      <c r="U1734" t="s">
        <v>28126</v>
      </c>
      <c r="V1734" t="s">
        <v>28127</v>
      </c>
      <c r="W1734" t="s">
        <v>28128</v>
      </c>
      <c r="X1734" t="s">
        <v>28129</v>
      </c>
      <c r="Y1734" t="s">
        <v>28130</v>
      </c>
      <c r="Z1734" t="s">
        <v>28131</v>
      </c>
      <c r="AB1734" t="s">
        <v>28132</v>
      </c>
      <c r="AC1734" t="s">
        <v>28133</v>
      </c>
      <c r="AD1734" t="s">
        <v>28134</v>
      </c>
      <c r="AE1734" t="s">
        <v>28135</v>
      </c>
      <c r="AG1734">
        <v>58</v>
      </c>
      <c r="AH1734">
        <v>2</v>
      </c>
      <c r="AI1734">
        <v>3</v>
      </c>
      <c r="AJ1734">
        <v>0</v>
      </c>
      <c r="AK1734">
        <v>9</v>
      </c>
      <c r="AL1734" t="s">
        <v>136</v>
      </c>
      <c r="AM1734" t="s">
        <v>137</v>
      </c>
      <c r="AN1734" t="s">
        <v>138</v>
      </c>
      <c r="AO1734" t="s">
        <v>240</v>
      </c>
      <c r="AP1734" t="s">
        <v>241</v>
      </c>
      <c r="AR1734" t="s">
        <v>242</v>
      </c>
      <c r="AS1734" t="s">
        <v>243</v>
      </c>
      <c r="AT1734" t="s">
        <v>1856</v>
      </c>
      <c r="AU1734">
        <v>2016</v>
      </c>
      <c r="AV1734">
        <v>109</v>
      </c>
      <c r="AW1734">
        <v>1</v>
      </c>
      <c r="BB1734">
        <v>495</v>
      </c>
      <c r="BC1734">
        <v>506</v>
      </c>
      <c r="BE1734" t="s">
        <v>28136</v>
      </c>
      <c r="BF1734" t="s">
        <v>28137</v>
      </c>
      <c r="BI1734">
        <v>12</v>
      </c>
      <c r="BJ1734" t="s">
        <v>247</v>
      </c>
      <c r="BK1734" t="s">
        <v>96</v>
      </c>
      <c r="BL1734" t="s">
        <v>248</v>
      </c>
      <c r="BM1734" t="s">
        <v>28138</v>
      </c>
      <c r="BN1734">
        <v>27251444</v>
      </c>
      <c r="BR1734" t="s">
        <v>98</v>
      </c>
      <c r="BS1734" t="s">
        <v>28139</v>
      </c>
      <c r="BT1734" t="s">
        <v>16602</v>
      </c>
    </row>
    <row r="1735" spans="1:72">
      <c r="A1735" t="s">
        <v>72</v>
      </c>
      <c r="B1735" t="s">
        <v>28140</v>
      </c>
      <c r="F1735" t="s">
        <v>28141</v>
      </c>
      <c r="I1735" t="s">
        <v>28142</v>
      </c>
      <c r="J1735" t="s">
        <v>103</v>
      </c>
      <c r="M1735" t="s">
        <v>78</v>
      </c>
      <c r="N1735" t="s">
        <v>79</v>
      </c>
      <c r="T1735" t="s">
        <v>28143</v>
      </c>
      <c r="U1735" t="s">
        <v>28144</v>
      </c>
      <c r="V1735" t="s">
        <v>28145</v>
      </c>
      <c r="W1735" t="s">
        <v>28146</v>
      </c>
      <c r="X1735" t="s">
        <v>14909</v>
      </c>
      <c r="Y1735" t="s">
        <v>28147</v>
      </c>
      <c r="Z1735" t="s">
        <v>28148</v>
      </c>
      <c r="AA1735" t="s">
        <v>28149</v>
      </c>
      <c r="AB1735" t="s">
        <v>28150</v>
      </c>
      <c r="AC1735" t="s">
        <v>28151</v>
      </c>
      <c r="AD1735" t="s">
        <v>14915</v>
      </c>
      <c r="AE1735" t="s">
        <v>28152</v>
      </c>
      <c r="AG1735">
        <v>47</v>
      </c>
      <c r="AH1735">
        <v>3</v>
      </c>
      <c r="AI1735">
        <v>3</v>
      </c>
      <c r="AJ1735">
        <v>0</v>
      </c>
      <c r="AK1735">
        <v>9</v>
      </c>
      <c r="AL1735" t="s">
        <v>112</v>
      </c>
      <c r="AM1735" t="s">
        <v>113</v>
      </c>
      <c r="AN1735" t="s">
        <v>114</v>
      </c>
      <c r="AO1735" t="s">
        <v>115</v>
      </c>
      <c r="AP1735" t="s">
        <v>116</v>
      </c>
      <c r="AR1735" t="s">
        <v>117</v>
      </c>
      <c r="AS1735" t="s">
        <v>118</v>
      </c>
      <c r="AT1735" t="s">
        <v>765</v>
      </c>
      <c r="AU1735">
        <v>2020</v>
      </c>
      <c r="AV1735">
        <v>105</v>
      </c>
      <c r="AW1735">
        <v>1</v>
      </c>
      <c r="BB1735">
        <v>67</v>
      </c>
      <c r="BC1735">
        <v>75</v>
      </c>
      <c r="BE1735" t="s">
        <v>28153</v>
      </c>
      <c r="BF1735" t="s">
        <v>28154</v>
      </c>
      <c r="BH1735" t="s">
        <v>1588</v>
      </c>
      <c r="BI1735">
        <v>9</v>
      </c>
      <c r="BJ1735" t="s">
        <v>121</v>
      </c>
      <c r="BK1735" t="s">
        <v>96</v>
      </c>
      <c r="BL1735" t="s">
        <v>122</v>
      </c>
      <c r="BM1735" t="s">
        <v>28155</v>
      </c>
      <c r="BN1735">
        <v>32409854</v>
      </c>
      <c r="BR1735" t="s">
        <v>98</v>
      </c>
      <c r="BS1735" t="s">
        <v>28156</v>
      </c>
      <c r="BT1735" t="s">
        <v>16602</v>
      </c>
    </row>
    <row r="1736" spans="1:72">
      <c r="A1736" t="s">
        <v>72</v>
      </c>
      <c r="B1736" t="s">
        <v>28157</v>
      </c>
      <c r="F1736" t="s">
        <v>28158</v>
      </c>
      <c r="I1736" t="s">
        <v>28159</v>
      </c>
      <c r="J1736" t="s">
        <v>232</v>
      </c>
      <c r="M1736" t="s">
        <v>78</v>
      </c>
      <c r="N1736" t="s">
        <v>79</v>
      </c>
      <c r="T1736" t="s">
        <v>28160</v>
      </c>
      <c r="U1736" t="s">
        <v>28161</v>
      </c>
      <c r="V1736" t="s">
        <v>28162</v>
      </c>
      <c r="W1736" t="s">
        <v>28163</v>
      </c>
      <c r="X1736" t="s">
        <v>28164</v>
      </c>
      <c r="Y1736" t="s">
        <v>28165</v>
      </c>
      <c r="Z1736" t="s">
        <v>28166</v>
      </c>
      <c r="AA1736" t="s">
        <v>28167</v>
      </c>
      <c r="AG1736">
        <v>56</v>
      </c>
      <c r="AH1736">
        <v>18</v>
      </c>
      <c r="AI1736">
        <v>18</v>
      </c>
      <c r="AJ1736">
        <v>4</v>
      </c>
      <c r="AK1736">
        <v>20</v>
      </c>
      <c r="AL1736" t="s">
        <v>136</v>
      </c>
      <c r="AM1736" t="s">
        <v>137</v>
      </c>
      <c r="AN1736" t="s">
        <v>138</v>
      </c>
      <c r="AO1736" t="s">
        <v>240</v>
      </c>
      <c r="AP1736" t="s">
        <v>241</v>
      </c>
      <c r="AR1736" t="s">
        <v>242</v>
      </c>
      <c r="AS1736" t="s">
        <v>243</v>
      </c>
      <c r="AT1736" t="s">
        <v>197</v>
      </c>
      <c r="AU1736">
        <v>2021</v>
      </c>
      <c r="AV1736">
        <v>173</v>
      </c>
      <c r="AX1736" t="s">
        <v>13570</v>
      </c>
      <c r="BD1736">
        <v>113061</v>
      </c>
      <c r="BE1736" t="s">
        <v>28168</v>
      </c>
      <c r="BF1736" t="s">
        <v>28169</v>
      </c>
      <c r="BH1736" t="s">
        <v>2170</v>
      </c>
      <c r="BI1736">
        <v>10</v>
      </c>
      <c r="BJ1736" t="s">
        <v>247</v>
      </c>
      <c r="BK1736" t="s">
        <v>96</v>
      </c>
      <c r="BL1736" t="s">
        <v>248</v>
      </c>
      <c r="BM1736" t="s">
        <v>28170</v>
      </c>
      <c r="BN1736">
        <v>34688085</v>
      </c>
      <c r="BR1736" t="s">
        <v>98</v>
      </c>
      <c r="BS1736" t="s">
        <v>28171</v>
      </c>
      <c r="BT1736" t="s">
        <v>16602</v>
      </c>
    </row>
    <row r="1737" spans="1:72">
      <c r="A1737" t="s">
        <v>72</v>
      </c>
      <c r="B1737" t="s">
        <v>28172</v>
      </c>
      <c r="F1737" t="s">
        <v>28172</v>
      </c>
      <c r="I1737" t="s">
        <v>28173</v>
      </c>
      <c r="J1737" t="s">
        <v>28174</v>
      </c>
      <c r="M1737" t="s">
        <v>78</v>
      </c>
      <c r="N1737" t="s">
        <v>79</v>
      </c>
      <c r="T1737" t="s">
        <v>28175</v>
      </c>
      <c r="U1737" t="s">
        <v>28176</v>
      </c>
      <c r="V1737" t="s">
        <v>28177</v>
      </c>
      <c r="W1737" t="s">
        <v>28178</v>
      </c>
      <c r="X1737" t="s">
        <v>28179</v>
      </c>
      <c r="Y1737" t="s">
        <v>28180</v>
      </c>
      <c r="Z1737" t="s">
        <v>28181</v>
      </c>
      <c r="AA1737" t="s">
        <v>28182</v>
      </c>
      <c r="AB1737" t="s">
        <v>28183</v>
      </c>
      <c r="AG1737">
        <v>94</v>
      </c>
      <c r="AH1737">
        <v>192</v>
      </c>
      <c r="AI1737">
        <v>227</v>
      </c>
      <c r="AJ1737">
        <v>2</v>
      </c>
      <c r="AK1737">
        <v>79</v>
      </c>
      <c r="AL1737" t="s">
        <v>86</v>
      </c>
      <c r="AM1737" t="s">
        <v>87</v>
      </c>
      <c r="AN1737" t="s">
        <v>88</v>
      </c>
      <c r="AO1737" t="s">
        <v>28184</v>
      </c>
      <c r="AP1737" t="s">
        <v>28185</v>
      </c>
      <c r="AR1737" t="s">
        <v>28186</v>
      </c>
      <c r="AS1737" t="s">
        <v>28187</v>
      </c>
      <c r="AT1737" t="s">
        <v>170</v>
      </c>
      <c r="AU1737">
        <v>1999</v>
      </c>
      <c r="AV1737">
        <v>9</v>
      </c>
      <c r="AW1737">
        <v>2</v>
      </c>
      <c r="BB1737">
        <v>431</v>
      </c>
      <c r="BC1737">
        <v>440</v>
      </c>
      <c r="BE1737" t="s">
        <v>28188</v>
      </c>
      <c r="BF1737" t="s">
        <v>28189</v>
      </c>
      <c r="BI1737">
        <v>10</v>
      </c>
      <c r="BJ1737" t="s">
        <v>1249</v>
      </c>
      <c r="BK1737" t="s">
        <v>96</v>
      </c>
      <c r="BL1737" t="s">
        <v>145</v>
      </c>
      <c r="BM1737" t="s">
        <v>28190</v>
      </c>
      <c r="BO1737" t="s">
        <v>370</v>
      </c>
      <c r="BR1737" t="s">
        <v>98</v>
      </c>
      <c r="BS1737" t="s">
        <v>28191</v>
      </c>
      <c r="BT1737" t="s">
        <v>16602</v>
      </c>
    </row>
    <row r="1738" spans="1:72">
      <c r="A1738" t="s">
        <v>72</v>
      </c>
      <c r="B1738" t="s">
        <v>28192</v>
      </c>
      <c r="F1738" t="s">
        <v>28193</v>
      </c>
      <c r="I1738" t="s">
        <v>28194</v>
      </c>
      <c r="J1738" t="s">
        <v>232</v>
      </c>
      <c r="M1738" t="s">
        <v>78</v>
      </c>
      <c r="N1738" t="s">
        <v>79</v>
      </c>
      <c r="T1738" t="s">
        <v>28195</v>
      </c>
      <c r="U1738" t="s">
        <v>28196</v>
      </c>
      <c r="V1738" t="s">
        <v>28197</v>
      </c>
      <c r="W1738" t="s">
        <v>28198</v>
      </c>
      <c r="X1738" t="s">
        <v>28199</v>
      </c>
      <c r="Y1738" t="s">
        <v>28200</v>
      </c>
      <c r="Z1738" t="s">
        <v>28201</v>
      </c>
      <c r="AC1738" t="s">
        <v>28202</v>
      </c>
      <c r="AD1738" t="s">
        <v>28203</v>
      </c>
      <c r="AE1738" t="s">
        <v>28204</v>
      </c>
      <c r="AG1738">
        <v>68</v>
      </c>
      <c r="AH1738">
        <v>29</v>
      </c>
      <c r="AI1738">
        <v>31</v>
      </c>
      <c r="AJ1738">
        <v>2</v>
      </c>
      <c r="AK1738">
        <v>38</v>
      </c>
      <c r="AL1738" t="s">
        <v>136</v>
      </c>
      <c r="AM1738" t="s">
        <v>137</v>
      </c>
      <c r="AN1738" t="s">
        <v>138</v>
      </c>
      <c r="AO1738" t="s">
        <v>240</v>
      </c>
      <c r="AP1738" t="s">
        <v>241</v>
      </c>
      <c r="AR1738" t="s">
        <v>242</v>
      </c>
      <c r="AS1738" t="s">
        <v>243</v>
      </c>
      <c r="AT1738" t="s">
        <v>951</v>
      </c>
      <c r="AU1738">
        <v>2020</v>
      </c>
      <c r="AV1738">
        <v>160</v>
      </c>
      <c r="BD1738">
        <v>111554</v>
      </c>
      <c r="BE1738" t="s">
        <v>28205</v>
      </c>
      <c r="BF1738" t="s">
        <v>28206</v>
      </c>
      <c r="BI1738">
        <v>10</v>
      </c>
      <c r="BJ1738" t="s">
        <v>247</v>
      </c>
      <c r="BK1738" t="s">
        <v>96</v>
      </c>
      <c r="BL1738" t="s">
        <v>248</v>
      </c>
      <c r="BM1738" t="s">
        <v>28207</v>
      </c>
      <c r="BN1738">
        <v>32810672</v>
      </c>
      <c r="BR1738" t="s">
        <v>98</v>
      </c>
      <c r="BS1738" t="s">
        <v>28208</v>
      </c>
      <c r="BT1738" t="s">
        <v>16602</v>
      </c>
    </row>
    <row r="1739" spans="1:72">
      <c r="A1739" t="s">
        <v>72</v>
      </c>
      <c r="B1739" t="s">
        <v>28209</v>
      </c>
      <c r="F1739" t="s">
        <v>28210</v>
      </c>
      <c r="I1739" t="s">
        <v>28211</v>
      </c>
      <c r="J1739" t="s">
        <v>275</v>
      </c>
      <c r="M1739" t="s">
        <v>78</v>
      </c>
      <c r="N1739" t="s">
        <v>79</v>
      </c>
      <c r="T1739" t="s">
        <v>28212</v>
      </c>
      <c r="U1739" t="s">
        <v>28213</v>
      </c>
      <c r="V1739" t="s">
        <v>28214</v>
      </c>
      <c r="W1739" t="s">
        <v>28215</v>
      </c>
      <c r="X1739" t="s">
        <v>18795</v>
      </c>
      <c r="Y1739" t="s">
        <v>28216</v>
      </c>
      <c r="Z1739" t="s">
        <v>28217</v>
      </c>
      <c r="AA1739" t="s">
        <v>28218</v>
      </c>
      <c r="AC1739" t="s">
        <v>28219</v>
      </c>
      <c r="AD1739" t="s">
        <v>28220</v>
      </c>
      <c r="AE1739" t="s">
        <v>28221</v>
      </c>
      <c r="AG1739">
        <v>30</v>
      </c>
      <c r="AH1739">
        <v>32</v>
      </c>
      <c r="AI1739">
        <v>38</v>
      </c>
      <c r="AJ1739">
        <v>0</v>
      </c>
      <c r="AK1739">
        <v>34</v>
      </c>
      <c r="AL1739" t="s">
        <v>285</v>
      </c>
      <c r="AM1739" t="s">
        <v>286</v>
      </c>
      <c r="AN1739" t="s">
        <v>287</v>
      </c>
      <c r="AO1739" t="s">
        <v>288</v>
      </c>
      <c r="AP1739" t="s">
        <v>289</v>
      </c>
      <c r="AR1739" t="s">
        <v>290</v>
      </c>
      <c r="AS1739" t="s">
        <v>291</v>
      </c>
      <c r="AT1739" t="s">
        <v>1223</v>
      </c>
      <c r="AU1739">
        <v>2013</v>
      </c>
      <c r="AV1739">
        <v>34</v>
      </c>
      <c r="AW1739">
        <v>3</v>
      </c>
      <c r="BB1739">
        <v>946</v>
      </c>
      <c r="BC1739">
        <v>950</v>
      </c>
      <c r="BE1739" t="s">
        <v>28222</v>
      </c>
      <c r="BF1739" t="s">
        <v>28223</v>
      </c>
      <c r="BI1739">
        <v>5</v>
      </c>
      <c r="BJ1739" t="s">
        <v>293</v>
      </c>
      <c r="BK1739" t="s">
        <v>96</v>
      </c>
      <c r="BL1739" t="s">
        <v>293</v>
      </c>
      <c r="BM1739" t="s">
        <v>28224</v>
      </c>
      <c r="BN1739">
        <v>23318997</v>
      </c>
      <c r="BO1739" t="s">
        <v>1270</v>
      </c>
      <c r="BR1739" t="s">
        <v>98</v>
      </c>
      <c r="BS1739" t="s">
        <v>28225</v>
      </c>
      <c r="BT1739" t="s">
        <v>16602</v>
      </c>
    </row>
    <row r="1740" spans="1:72">
      <c r="A1740" t="s">
        <v>72</v>
      </c>
      <c r="B1740" t="s">
        <v>28226</v>
      </c>
      <c r="F1740" t="s">
        <v>28226</v>
      </c>
      <c r="I1740" t="s">
        <v>28227</v>
      </c>
      <c r="J1740" t="s">
        <v>909</v>
      </c>
      <c r="M1740" t="s">
        <v>78</v>
      </c>
      <c r="N1740" t="s">
        <v>79</v>
      </c>
      <c r="T1740" t="s">
        <v>28228</v>
      </c>
      <c r="U1740" t="s">
        <v>28229</v>
      </c>
      <c r="V1740" t="s">
        <v>28230</v>
      </c>
      <c r="W1740" t="s">
        <v>28231</v>
      </c>
      <c r="X1740" t="s">
        <v>28232</v>
      </c>
      <c r="Y1740" t="s">
        <v>28233</v>
      </c>
      <c r="Z1740" t="s">
        <v>28234</v>
      </c>
      <c r="AA1740" t="s">
        <v>28235</v>
      </c>
      <c r="AB1740" t="s">
        <v>28236</v>
      </c>
      <c r="AG1740">
        <v>82</v>
      </c>
      <c r="AH1740">
        <v>24</v>
      </c>
      <c r="AI1740">
        <v>25</v>
      </c>
      <c r="AJ1740">
        <v>0</v>
      </c>
      <c r="AK1740">
        <v>8</v>
      </c>
      <c r="AL1740" t="s">
        <v>650</v>
      </c>
      <c r="AM1740" t="s">
        <v>651</v>
      </c>
      <c r="AN1740" t="s">
        <v>652</v>
      </c>
      <c r="AO1740" t="s">
        <v>921</v>
      </c>
      <c r="AP1740" t="s">
        <v>922</v>
      </c>
      <c r="AR1740" t="s">
        <v>923</v>
      </c>
      <c r="AS1740" t="s">
        <v>924</v>
      </c>
      <c r="AT1740" t="s">
        <v>2846</v>
      </c>
      <c r="AU1740">
        <v>2005</v>
      </c>
      <c r="AV1740">
        <v>340</v>
      </c>
      <c r="AW1740" t="s">
        <v>2847</v>
      </c>
      <c r="BB1740">
        <v>149</v>
      </c>
      <c r="BC1740">
        <v>176</v>
      </c>
      <c r="BE1740" t="s">
        <v>28237</v>
      </c>
      <c r="BF1740" t="s">
        <v>28238</v>
      </c>
      <c r="BI1740">
        <v>28</v>
      </c>
      <c r="BJ1740" t="s">
        <v>144</v>
      </c>
      <c r="BK1740" t="s">
        <v>96</v>
      </c>
      <c r="BL1740" t="s">
        <v>145</v>
      </c>
      <c r="BM1740" t="s">
        <v>19590</v>
      </c>
      <c r="BN1740">
        <v>15752499</v>
      </c>
      <c r="BR1740" t="s">
        <v>98</v>
      </c>
      <c r="BS1740" t="s">
        <v>28239</v>
      </c>
      <c r="BT1740" t="s">
        <v>16602</v>
      </c>
    </row>
    <row r="1741" spans="1:72">
      <c r="A1741" t="s">
        <v>72</v>
      </c>
      <c r="B1741" t="s">
        <v>28240</v>
      </c>
      <c r="F1741" t="s">
        <v>28240</v>
      </c>
      <c r="I1741" t="s">
        <v>28241</v>
      </c>
      <c r="J1741" t="s">
        <v>752</v>
      </c>
      <c r="M1741" t="s">
        <v>78</v>
      </c>
      <c r="N1741" t="s">
        <v>151</v>
      </c>
      <c r="O1741" t="s">
        <v>9548</v>
      </c>
      <c r="P1741" t="s">
        <v>9549</v>
      </c>
      <c r="Q1741" t="s">
        <v>9550</v>
      </c>
      <c r="S1741" t="s">
        <v>9551</v>
      </c>
      <c r="T1741" t="s">
        <v>28242</v>
      </c>
      <c r="V1741" t="s">
        <v>28243</v>
      </c>
      <c r="W1741" t="s">
        <v>18936</v>
      </c>
      <c r="X1741" t="s">
        <v>18937</v>
      </c>
      <c r="Y1741" t="s">
        <v>28244</v>
      </c>
      <c r="AG1741">
        <v>8</v>
      </c>
      <c r="AH1741">
        <v>27</v>
      </c>
      <c r="AI1741">
        <v>31</v>
      </c>
      <c r="AJ1741">
        <v>0</v>
      </c>
      <c r="AK1741">
        <v>10</v>
      </c>
      <c r="AL1741" t="s">
        <v>430</v>
      </c>
      <c r="AM1741" t="s">
        <v>137</v>
      </c>
      <c r="AN1741" t="s">
        <v>431</v>
      </c>
      <c r="AO1741" t="s">
        <v>761</v>
      </c>
      <c r="AR1741" t="s">
        <v>763</v>
      </c>
      <c r="AS1741" t="s">
        <v>764</v>
      </c>
      <c r="AT1741" t="s">
        <v>5113</v>
      </c>
      <c r="AU1741">
        <v>2000</v>
      </c>
      <c r="AV1741">
        <v>50</v>
      </c>
      <c r="AW1741" t="s">
        <v>9558</v>
      </c>
      <c r="BB1741">
        <v>379</v>
      </c>
      <c r="BC1741">
        <v>384</v>
      </c>
      <c r="BE1741" t="s">
        <v>28245</v>
      </c>
      <c r="BF1741" t="s">
        <v>28246</v>
      </c>
      <c r="BI1741">
        <v>6</v>
      </c>
      <c r="BJ1741" t="s">
        <v>768</v>
      </c>
      <c r="BK1741" t="s">
        <v>588</v>
      </c>
      <c r="BL1741" t="s">
        <v>769</v>
      </c>
      <c r="BM1741" t="s">
        <v>9560</v>
      </c>
      <c r="BN1741">
        <v>11460722</v>
      </c>
      <c r="BR1741" t="s">
        <v>98</v>
      </c>
      <c r="BS1741" t="s">
        <v>28247</v>
      </c>
      <c r="BT1741" t="s">
        <v>16602</v>
      </c>
    </row>
    <row r="1742" spans="1:72">
      <c r="A1742" t="s">
        <v>72</v>
      </c>
      <c r="B1742" t="s">
        <v>28248</v>
      </c>
      <c r="F1742" t="s">
        <v>28249</v>
      </c>
      <c r="I1742" t="s">
        <v>28250</v>
      </c>
      <c r="J1742" t="s">
        <v>641</v>
      </c>
      <c r="M1742" t="s">
        <v>78</v>
      </c>
      <c r="N1742" t="s">
        <v>79</v>
      </c>
      <c r="T1742" t="s">
        <v>28251</v>
      </c>
      <c r="U1742" t="s">
        <v>28252</v>
      </c>
      <c r="V1742" t="s">
        <v>28253</v>
      </c>
      <c r="W1742" t="s">
        <v>28254</v>
      </c>
      <c r="X1742" t="s">
        <v>28255</v>
      </c>
      <c r="Y1742" t="s">
        <v>28256</v>
      </c>
      <c r="Z1742" t="s">
        <v>8223</v>
      </c>
      <c r="AB1742" t="s">
        <v>28257</v>
      </c>
      <c r="AC1742" t="s">
        <v>28258</v>
      </c>
      <c r="AD1742" t="s">
        <v>28258</v>
      </c>
      <c r="AE1742" t="s">
        <v>28259</v>
      </c>
      <c r="AG1742">
        <v>47</v>
      </c>
      <c r="AH1742">
        <v>10</v>
      </c>
      <c r="AI1742">
        <v>10</v>
      </c>
      <c r="AJ1742">
        <v>0</v>
      </c>
      <c r="AK1742">
        <v>10</v>
      </c>
      <c r="AL1742" t="s">
        <v>650</v>
      </c>
      <c r="AM1742" t="s">
        <v>651</v>
      </c>
      <c r="AN1742" t="s">
        <v>652</v>
      </c>
      <c r="AO1742" t="s">
        <v>653</v>
      </c>
      <c r="AP1742" t="s">
        <v>654</v>
      </c>
      <c r="AR1742" t="s">
        <v>655</v>
      </c>
      <c r="AS1742" t="s">
        <v>656</v>
      </c>
      <c r="AT1742" t="s">
        <v>119</v>
      </c>
      <c r="AU1742">
        <v>2022</v>
      </c>
      <c r="AV1742">
        <v>249</v>
      </c>
      <c r="BD1742">
        <v>106223</v>
      </c>
      <c r="BE1742" t="s">
        <v>28260</v>
      </c>
      <c r="BF1742" t="s">
        <v>28261</v>
      </c>
      <c r="BI1742">
        <v>11</v>
      </c>
      <c r="BJ1742" t="s">
        <v>659</v>
      </c>
      <c r="BK1742" t="s">
        <v>96</v>
      </c>
      <c r="BL1742" t="s">
        <v>659</v>
      </c>
      <c r="BM1742" t="s">
        <v>28262</v>
      </c>
      <c r="BN1742">
        <v>35751942</v>
      </c>
      <c r="BO1742" t="s">
        <v>370</v>
      </c>
      <c r="BR1742" t="s">
        <v>98</v>
      </c>
      <c r="BS1742" t="s">
        <v>28263</v>
      </c>
      <c r="BT1742" t="s">
        <v>16602</v>
      </c>
    </row>
    <row r="1743" spans="1:72">
      <c r="A1743" t="s">
        <v>72</v>
      </c>
      <c r="B1743" t="s">
        <v>28264</v>
      </c>
      <c r="F1743" t="s">
        <v>28265</v>
      </c>
      <c r="I1743" t="s">
        <v>28266</v>
      </c>
      <c r="J1743" t="s">
        <v>28267</v>
      </c>
      <c r="M1743" t="s">
        <v>78</v>
      </c>
      <c r="N1743" t="s">
        <v>79</v>
      </c>
      <c r="T1743" t="s">
        <v>28268</v>
      </c>
      <c r="U1743" t="s">
        <v>28269</v>
      </c>
      <c r="V1743" t="s">
        <v>28270</v>
      </c>
      <c r="W1743" t="s">
        <v>28271</v>
      </c>
      <c r="X1743" t="s">
        <v>28272</v>
      </c>
      <c r="Y1743" t="s">
        <v>28273</v>
      </c>
      <c r="Z1743" t="s">
        <v>28274</v>
      </c>
      <c r="AA1743" t="s">
        <v>28275</v>
      </c>
      <c r="AB1743" t="s">
        <v>28276</v>
      </c>
      <c r="AC1743" t="s">
        <v>28277</v>
      </c>
      <c r="AD1743" t="s">
        <v>28277</v>
      </c>
      <c r="AE1743" t="s">
        <v>28278</v>
      </c>
      <c r="AG1743">
        <v>37</v>
      </c>
      <c r="AH1743">
        <v>1</v>
      </c>
      <c r="AI1743">
        <v>1</v>
      </c>
      <c r="AJ1743">
        <v>1</v>
      </c>
      <c r="AK1743">
        <v>37</v>
      </c>
      <c r="AL1743" t="s">
        <v>2074</v>
      </c>
      <c r="AM1743" t="s">
        <v>2075</v>
      </c>
      <c r="AN1743" t="s">
        <v>2076</v>
      </c>
      <c r="AO1743" t="s">
        <v>28279</v>
      </c>
      <c r="AP1743" t="s">
        <v>28280</v>
      </c>
      <c r="AR1743" t="s">
        <v>28281</v>
      </c>
      <c r="AS1743" t="s">
        <v>28282</v>
      </c>
      <c r="AT1743" t="s">
        <v>1223</v>
      </c>
      <c r="AU1743">
        <v>2016</v>
      </c>
      <c r="AV1743">
        <v>50</v>
      </c>
      <c r="AW1743">
        <v>1</v>
      </c>
      <c r="AZ1743" t="s">
        <v>225</v>
      </c>
      <c r="BB1743">
        <v>115</v>
      </c>
      <c r="BC1743">
        <v>130</v>
      </c>
      <c r="BE1743" t="s">
        <v>28283</v>
      </c>
      <c r="BF1743" t="s">
        <v>28284</v>
      </c>
      <c r="BI1743">
        <v>16</v>
      </c>
      <c r="BJ1743" t="s">
        <v>3117</v>
      </c>
      <c r="BK1743" t="s">
        <v>96</v>
      </c>
      <c r="BL1743" t="s">
        <v>3117</v>
      </c>
      <c r="BM1743" t="s">
        <v>28285</v>
      </c>
      <c r="BR1743" t="s">
        <v>98</v>
      </c>
      <c r="BS1743" t="s">
        <v>28286</v>
      </c>
      <c r="BT1743" t="s">
        <v>16602</v>
      </c>
    </row>
    <row r="1744" spans="1:72">
      <c r="A1744" t="s">
        <v>72</v>
      </c>
      <c r="B1744" t="s">
        <v>28287</v>
      </c>
      <c r="F1744" t="s">
        <v>28288</v>
      </c>
      <c r="I1744" t="s">
        <v>28289</v>
      </c>
      <c r="J1744" t="s">
        <v>232</v>
      </c>
      <c r="M1744" t="s">
        <v>78</v>
      </c>
      <c r="N1744" t="s">
        <v>79</v>
      </c>
      <c r="T1744" t="s">
        <v>28290</v>
      </c>
      <c r="U1744" t="s">
        <v>28291</v>
      </c>
      <c r="V1744" t="s">
        <v>28292</v>
      </c>
      <c r="W1744" t="s">
        <v>28293</v>
      </c>
      <c r="X1744" t="s">
        <v>1538</v>
      </c>
      <c r="Y1744" t="s">
        <v>28294</v>
      </c>
      <c r="AA1744" t="s">
        <v>28295</v>
      </c>
      <c r="AB1744" t="s">
        <v>28296</v>
      </c>
      <c r="AC1744" t="s">
        <v>28297</v>
      </c>
      <c r="AD1744" t="s">
        <v>28298</v>
      </c>
      <c r="AE1744" t="s">
        <v>28299</v>
      </c>
      <c r="AG1744">
        <v>62</v>
      </c>
      <c r="AH1744">
        <v>0</v>
      </c>
      <c r="AI1744">
        <v>0</v>
      </c>
      <c r="AJ1744">
        <v>1</v>
      </c>
      <c r="AK1744">
        <v>1</v>
      </c>
      <c r="AL1744" t="s">
        <v>136</v>
      </c>
      <c r="AM1744" t="s">
        <v>137</v>
      </c>
      <c r="AN1744" t="s">
        <v>138</v>
      </c>
      <c r="AO1744" t="s">
        <v>240</v>
      </c>
      <c r="AP1744" t="s">
        <v>241</v>
      </c>
      <c r="AR1744" t="s">
        <v>242</v>
      </c>
      <c r="AS1744" t="s">
        <v>243</v>
      </c>
      <c r="AT1744" t="s">
        <v>305</v>
      </c>
      <c r="AU1744">
        <v>2024</v>
      </c>
      <c r="AV1744">
        <v>206</v>
      </c>
      <c r="BD1744">
        <v>116757</v>
      </c>
      <c r="BE1744" t="s">
        <v>28300</v>
      </c>
      <c r="BF1744" t="s">
        <v>28301</v>
      </c>
      <c r="BH1744" t="s">
        <v>5962</v>
      </c>
      <c r="BI1744">
        <v>10</v>
      </c>
      <c r="BJ1744" t="s">
        <v>247</v>
      </c>
      <c r="BK1744" t="s">
        <v>96</v>
      </c>
      <c r="BL1744" t="s">
        <v>248</v>
      </c>
      <c r="BM1744" t="s">
        <v>28302</v>
      </c>
      <c r="BN1744">
        <v>39059224</v>
      </c>
      <c r="BO1744" t="s">
        <v>476</v>
      </c>
      <c r="BR1744" t="s">
        <v>98</v>
      </c>
      <c r="BS1744" t="s">
        <v>28303</v>
      </c>
      <c r="BT1744" t="s">
        <v>16602</v>
      </c>
    </row>
    <row r="1745" spans="1:72">
      <c r="A1745" t="s">
        <v>72</v>
      </c>
      <c r="B1745" t="s">
        <v>28304</v>
      </c>
      <c r="F1745" t="s">
        <v>28305</v>
      </c>
      <c r="I1745" t="s">
        <v>28306</v>
      </c>
      <c r="J1745" t="s">
        <v>641</v>
      </c>
      <c r="M1745" t="s">
        <v>78</v>
      </c>
      <c r="N1745" t="s">
        <v>79</v>
      </c>
      <c r="T1745" t="s">
        <v>28307</v>
      </c>
      <c r="U1745" t="s">
        <v>28308</v>
      </c>
      <c r="V1745" t="s">
        <v>28309</v>
      </c>
      <c r="W1745" t="s">
        <v>28310</v>
      </c>
      <c r="X1745" t="s">
        <v>2697</v>
      </c>
      <c r="Y1745" t="s">
        <v>28311</v>
      </c>
      <c r="Z1745" t="s">
        <v>19077</v>
      </c>
      <c r="AA1745" t="s">
        <v>19078</v>
      </c>
      <c r="AB1745" t="s">
        <v>28312</v>
      </c>
      <c r="AG1745">
        <v>54</v>
      </c>
      <c r="AH1745">
        <v>30</v>
      </c>
      <c r="AI1745">
        <v>30</v>
      </c>
      <c r="AJ1745">
        <v>1</v>
      </c>
      <c r="AK1745">
        <v>27</v>
      </c>
      <c r="AL1745" t="s">
        <v>919</v>
      </c>
      <c r="AM1745" t="s">
        <v>651</v>
      </c>
      <c r="AN1745" t="s">
        <v>920</v>
      </c>
      <c r="AO1745" t="s">
        <v>653</v>
      </c>
      <c r="AR1745" t="s">
        <v>655</v>
      </c>
      <c r="AS1745" t="s">
        <v>656</v>
      </c>
      <c r="AT1745" t="s">
        <v>5542</v>
      </c>
      <c r="AU1745">
        <v>2006</v>
      </c>
      <c r="AV1745">
        <v>78</v>
      </c>
      <c r="AY1745">
        <v>1</v>
      </c>
      <c r="BB1745" t="s">
        <v>28313</v>
      </c>
      <c r="BC1745" t="s">
        <v>28314</v>
      </c>
      <c r="BE1745" t="s">
        <v>28315</v>
      </c>
      <c r="BF1745" t="s">
        <v>28316</v>
      </c>
      <c r="BI1745">
        <v>7</v>
      </c>
      <c r="BJ1745" t="s">
        <v>659</v>
      </c>
      <c r="BK1745" t="s">
        <v>96</v>
      </c>
      <c r="BL1745" t="s">
        <v>659</v>
      </c>
      <c r="BM1745" t="s">
        <v>14553</v>
      </c>
      <c r="BN1745">
        <v>16600397</v>
      </c>
      <c r="BR1745" t="s">
        <v>98</v>
      </c>
      <c r="BS1745" t="s">
        <v>28317</v>
      </c>
      <c r="BT1745" t="s">
        <v>16602</v>
      </c>
    </row>
    <row r="1746" spans="1:72">
      <c r="A1746" t="s">
        <v>72</v>
      </c>
      <c r="B1746" t="s">
        <v>28318</v>
      </c>
      <c r="F1746" t="s">
        <v>28319</v>
      </c>
      <c r="I1746" t="s">
        <v>28320</v>
      </c>
      <c r="J1746" t="s">
        <v>421</v>
      </c>
      <c r="M1746" t="s">
        <v>78</v>
      </c>
      <c r="N1746" t="s">
        <v>79</v>
      </c>
      <c r="T1746" t="s">
        <v>28321</v>
      </c>
      <c r="U1746" t="s">
        <v>28322</v>
      </c>
      <c r="V1746" t="s">
        <v>28323</v>
      </c>
      <c r="W1746" t="s">
        <v>28324</v>
      </c>
      <c r="X1746" t="s">
        <v>28325</v>
      </c>
      <c r="Y1746" t="s">
        <v>28326</v>
      </c>
      <c r="Z1746" t="s">
        <v>1483</v>
      </c>
      <c r="AA1746" t="s">
        <v>2900</v>
      </c>
      <c r="AB1746" t="s">
        <v>28327</v>
      </c>
      <c r="AC1746" t="s">
        <v>28328</v>
      </c>
      <c r="AD1746" t="s">
        <v>28329</v>
      </c>
      <c r="AE1746" t="s">
        <v>28330</v>
      </c>
      <c r="AG1746">
        <v>81</v>
      </c>
      <c r="AH1746">
        <v>20</v>
      </c>
      <c r="AI1746">
        <v>23</v>
      </c>
      <c r="AJ1746">
        <v>3</v>
      </c>
      <c r="AK1746">
        <v>64</v>
      </c>
      <c r="AL1746" t="s">
        <v>430</v>
      </c>
      <c r="AM1746" t="s">
        <v>137</v>
      </c>
      <c r="AN1746" t="s">
        <v>431</v>
      </c>
      <c r="AO1746" t="s">
        <v>432</v>
      </c>
      <c r="AP1746" t="s">
        <v>1394</v>
      </c>
      <c r="AR1746" t="s">
        <v>433</v>
      </c>
      <c r="AS1746" t="s">
        <v>434</v>
      </c>
      <c r="AT1746" t="s">
        <v>119</v>
      </c>
      <c r="AU1746">
        <v>2019</v>
      </c>
      <c r="AV1746">
        <v>251</v>
      </c>
      <c r="BB1746">
        <v>264</v>
      </c>
      <c r="BC1746">
        <v>276</v>
      </c>
      <c r="BE1746" t="s">
        <v>28331</v>
      </c>
      <c r="BF1746" t="s">
        <v>28332</v>
      </c>
      <c r="BI1746">
        <v>13</v>
      </c>
      <c r="BJ1746" t="s">
        <v>144</v>
      </c>
      <c r="BK1746" t="s">
        <v>96</v>
      </c>
      <c r="BL1746" t="s">
        <v>145</v>
      </c>
      <c r="BM1746" t="s">
        <v>10936</v>
      </c>
      <c r="BN1746">
        <v>31082611</v>
      </c>
      <c r="BR1746" t="s">
        <v>98</v>
      </c>
      <c r="BS1746" t="s">
        <v>28333</v>
      </c>
      <c r="BT1746" t="s">
        <v>16602</v>
      </c>
    </row>
    <row r="1747" spans="1:72">
      <c r="A1747" t="s">
        <v>72</v>
      </c>
      <c r="B1747" t="s">
        <v>28334</v>
      </c>
      <c r="F1747" t="s">
        <v>28335</v>
      </c>
      <c r="I1747" t="s">
        <v>28336</v>
      </c>
      <c r="J1747" t="s">
        <v>232</v>
      </c>
      <c r="M1747" t="s">
        <v>78</v>
      </c>
      <c r="N1747" t="s">
        <v>79</v>
      </c>
      <c r="T1747" t="s">
        <v>28337</v>
      </c>
      <c r="U1747" t="s">
        <v>28338</v>
      </c>
      <c r="V1747" t="s">
        <v>28339</v>
      </c>
      <c r="W1747" t="s">
        <v>28340</v>
      </c>
      <c r="X1747" t="s">
        <v>28341</v>
      </c>
      <c r="Y1747" t="s">
        <v>28342</v>
      </c>
      <c r="Z1747" t="s">
        <v>22927</v>
      </c>
      <c r="AA1747" t="s">
        <v>4408</v>
      </c>
      <c r="AB1747" t="s">
        <v>28343</v>
      </c>
      <c r="AC1747" t="s">
        <v>16921</v>
      </c>
      <c r="AD1747" t="s">
        <v>16922</v>
      </c>
      <c r="AE1747" t="s">
        <v>28344</v>
      </c>
      <c r="AG1747">
        <v>71</v>
      </c>
      <c r="AH1747">
        <v>58</v>
      </c>
      <c r="AI1747">
        <v>63</v>
      </c>
      <c r="AJ1747">
        <v>0</v>
      </c>
      <c r="AK1747">
        <v>32</v>
      </c>
      <c r="AL1747" t="s">
        <v>136</v>
      </c>
      <c r="AM1747" t="s">
        <v>137</v>
      </c>
      <c r="AN1747" t="s">
        <v>138</v>
      </c>
      <c r="AO1747" t="s">
        <v>240</v>
      </c>
      <c r="AP1747" t="s">
        <v>241</v>
      </c>
      <c r="AR1747" t="s">
        <v>242</v>
      </c>
      <c r="AS1747" t="s">
        <v>243</v>
      </c>
      <c r="AT1747" t="s">
        <v>93</v>
      </c>
      <c r="AU1747">
        <v>2010</v>
      </c>
      <c r="AV1747">
        <v>60</v>
      </c>
      <c r="AW1747">
        <v>4</v>
      </c>
      <c r="BB1747">
        <v>515</v>
      </c>
      <c r="BC1747">
        <v>525</v>
      </c>
      <c r="BE1747" t="s">
        <v>28345</v>
      </c>
      <c r="BF1747" t="s">
        <v>28346</v>
      </c>
      <c r="BI1747">
        <v>11</v>
      </c>
      <c r="BJ1747" t="s">
        <v>247</v>
      </c>
      <c r="BK1747" t="s">
        <v>96</v>
      </c>
      <c r="BL1747" t="s">
        <v>248</v>
      </c>
      <c r="BM1747" t="s">
        <v>28347</v>
      </c>
      <c r="BN1747">
        <v>20031177</v>
      </c>
      <c r="BR1747" t="s">
        <v>98</v>
      </c>
      <c r="BS1747" t="s">
        <v>28348</v>
      </c>
      <c r="BT1747" t="s">
        <v>16602</v>
      </c>
    </row>
    <row r="1748" spans="1:72">
      <c r="A1748" t="s">
        <v>72</v>
      </c>
      <c r="B1748" t="s">
        <v>28349</v>
      </c>
      <c r="F1748" t="s">
        <v>28350</v>
      </c>
      <c r="I1748" t="s">
        <v>28351</v>
      </c>
      <c r="J1748" t="s">
        <v>204</v>
      </c>
      <c r="M1748" t="s">
        <v>78</v>
      </c>
      <c r="N1748" t="s">
        <v>79</v>
      </c>
      <c r="T1748" t="s">
        <v>28352</v>
      </c>
      <c r="U1748" t="s">
        <v>28353</v>
      </c>
      <c r="V1748" t="s">
        <v>28354</v>
      </c>
      <c r="W1748" t="s">
        <v>28355</v>
      </c>
      <c r="X1748" t="s">
        <v>28356</v>
      </c>
      <c r="Y1748" t="s">
        <v>28357</v>
      </c>
      <c r="Z1748" t="s">
        <v>18463</v>
      </c>
      <c r="AA1748" t="s">
        <v>28358</v>
      </c>
      <c r="AG1748">
        <v>69</v>
      </c>
      <c r="AH1748">
        <v>6</v>
      </c>
      <c r="AI1748">
        <v>7</v>
      </c>
      <c r="AJ1748">
        <v>4</v>
      </c>
      <c r="AK1748">
        <v>23</v>
      </c>
      <c r="AL1748" t="s">
        <v>217</v>
      </c>
      <c r="AM1748" t="s">
        <v>218</v>
      </c>
      <c r="AN1748" t="s">
        <v>219</v>
      </c>
      <c r="AO1748" t="s">
        <v>220</v>
      </c>
      <c r="AP1748" t="s">
        <v>221</v>
      </c>
      <c r="AR1748" t="s">
        <v>222</v>
      </c>
      <c r="AS1748" t="s">
        <v>223</v>
      </c>
      <c r="AT1748" t="s">
        <v>1223</v>
      </c>
      <c r="AU1748">
        <v>2022</v>
      </c>
      <c r="AV1748">
        <v>29</v>
      </c>
      <c r="AW1748">
        <v>11</v>
      </c>
      <c r="BB1748">
        <v>15800</v>
      </c>
      <c r="BC1748">
        <v>15815</v>
      </c>
      <c r="BE1748" t="s">
        <v>28359</v>
      </c>
      <c r="BF1748" t="s">
        <v>28360</v>
      </c>
      <c r="BH1748" t="s">
        <v>2170</v>
      </c>
      <c r="BI1748">
        <v>16</v>
      </c>
      <c r="BJ1748" t="s">
        <v>144</v>
      </c>
      <c r="BK1748" t="s">
        <v>96</v>
      </c>
      <c r="BL1748" t="s">
        <v>145</v>
      </c>
      <c r="BM1748" t="s">
        <v>8744</v>
      </c>
      <c r="BN1748">
        <v>34632550</v>
      </c>
      <c r="BR1748" t="s">
        <v>98</v>
      </c>
      <c r="BS1748" t="s">
        <v>28361</v>
      </c>
      <c r="BT1748" t="s">
        <v>16602</v>
      </c>
    </row>
    <row r="1749" spans="1:72">
      <c r="A1749" t="s">
        <v>72</v>
      </c>
      <c r="B1749" t="s">
        <v>28362</v>
      </c>
      <c r="F1749" t="s">
        <v>28363</v>
      </c>
      <c r="I1749" t="s">
        <v>28364</v>
      </c>
      <c r="J1749" t="s">
        <v>22642</v>
      </c>
      <c r="M1749" t="s">
        <v>78</v>
      </c>
      <c r="N1749" t="s">
        <v>79</v>
      </c>
      <c r="T1749" t="s">
        <v>28365</v>
      </c>
      <c r="U1749" t="s">
        <v>28366</v>
      </c>
      <c r="V1749" t="s">
        <v>28367</v>
      </c>
      <c r="W1749" t="s">
        <v>28368</v>
      </c>
      <c r="X1749" t="s">
        <v>28369</v>
      </c>
      <c r="Y1749" t="s">
        <v>28370</v>
      </c>
      <c r="Z1749" t="s">
        <v>28371</v>
      </c>
      <c r="AC1749" t="s">
        <v>28372</v>
      </c>
      <c r="AD1749" t="s">
        <v>28373</v>
      </c>
      <c r="AE1749" t="s">
        <v>28374</v>
      </c>
      <c r="AG1749">
        <v>26</v>
      </c>
      <c r="AH1749">
        <v>26</v>
      </c>
      <c r="AI1749">
        <v>29</v>
      </c>
      <c r="AJ1749">
        <v>0</v>
      </c>
      <c r="AK1749">
        <v>31</v>
      </c>
      <c r="AL1749" t="s">
        <v>3362</v>
      </c>
      <c r="AM1749" t="s">
        <v>3363</v>
      </c>
      <c r="AN1749" t="s">
        <v>3364</v>
      </c>
      <c r="AO1749" t="s">
        <v>22655</v>
      </c>
      <c r="AP1749" t="s">
        <v>22656</v>
      </c>
      <c r="AR1749" t="s">
        <v>22657</v>
      </c>
      <c r="AS1749" t="s">
        <v>22658</v>
      </c>
      <c r="AT1749" t="s">
        <v>93</v>
      </c>
      <c r="AU1749">
        <v>2017</v>
      </c>
      <c r="AV1749">
        <v>57</v>
      </c>
      <c r="BB1749">
        <v>49</v>
      </c>
      <c r="BC1749">
        <v>55</v>
      </c>
      <c r="BE1749" t="s">
        <v>28375</v>
      </c>
      <c r="BF1749" t="s">
        <v>28376</v>
      </c>
      <c r="BI1749">
        <v>7</v>
      </c>
      <c r="BJ1749" t="s">
        <v>22661</v>
      </c>
      <c r="BK1749" t="s">
        <v>96</v>
      </c>
      <c r="BL1749" t="s">
        <v>22662</v>
      </c>
      <c r="BM1749" t="s">
        <v>28377</v>
      </c>
      <c r="BR1749" t="s">
        <v>98</v>
      </c>
      <c r="BS1749" t="s">
        <v>28378</v>
      </c>
      <c r="BT1749" t="s">
        <v>16602</v>
      </c>
    </row>
    <row r="1750" spans="1:72">
      <c r="A1750" t="s">
        <v>72</v>
      </c>
      <c r="B1750" t="s">
        <v>28379</v>
      </c>
      <c r="F1750" t="s">
        <v>28379</v>
      </c>
      <c r="I1750" t="s">
        <v>28380</v>
      </c>
      <c r="J1750" t="s">
        <v>232</v>
      </c>
      <c r="M1750" t="s">
        <v>78</v>
      </c>
      <c r="N1750" t="s">
        <v>79</v>
      </c>
      <c r="T1750" t="s">
        <v>28381</v>
      </c>
      <c r="U1750" t="s">
        <v>28382</v>
      </c>
      <c r="V1750" t="s">
        <v>28383</v>
      </c>
      <c r="W1750" t="s">
        <v>28384</v>
      </c>
      <c r="X1750" t="s">
        <v>25716</v>
      </c>
      <c r="Y1750" t="s">
        <v>28385</v>
      </c>
      <c r="Z1750" t="s">
        <v>25718</v>
      </c>
      <c r="AA1750" t="s">
        <v>28386</v>
      </c>
      <c r="AB1750" t="s">
        <v>26286</v>
      </c>
      <c r="AG1750">
        <v>43</v>
      </c>
      <c r="AH1750">
        <v>12</v>
      </c>
      <c r="AI1750">
        <v>12</v>
      </c>
      <c r="AJ1750">
        <v>0</v>
      </c>
      <c r="AK1750">
        <v>10</v>
      </c>
      <c r="AL1750" t="s">
        <v>136</v>
      </c>
      <c r="AM1750" t="s">
        <v>137</v>
      </c>
      <c r="AN1750" t="s">
        <v>138</v>
      </c>
      <c r="AO1750" t="s">
        <v>240</v>
      </c>
      <c r="AP1750" t="s">
        <v>241</v>
      </c>
      <c r="AR1750" t="s">
        <v>242</v>
      </c>
      <c r="AS1750" t="s">
        <v>243</v>
      </c>
      <c r="AT1750" t="s">
        <v>951</v>
      </c>
      <c r="AU1750">
        <v>2005</v>
      </c>
      <c r="AV1750">
        <v>50</v>
      </c>
      <c r="AW1750">
        <v>11</v>
      </c>
      <c r="BB1750">
        <v>1373</v>
      </c>
      <c r="BC1750">
        <v>1381</v>
      </c>
      <c r="BE1750" t="s">
        <v>28387</v>
      </c>
      <c r="BF1750" t="s">
        <v>28388</v>
      </c>
      <c r="BI1750">
        <v>9</v>
      </c>
      <c r="BJ1750" t="s">
        <v>247</v>
      </c>
      <c r="BK1750" t="s">
        <v>96</v>
      </c>
      <c r="BL1750" t="s">
        <v>248</v>
      </c>
      <c r="BM1750" t="s">
        <v>12668</v>
      </c>
      <c r="BN1750">
        <v>16005907</v>
      </c>
      <c r="BR1750" t="s">
        <v>98</v>
      </c>
      <c r="BS1750" t="s">
        <v>28389</v>
      </c>
      <c r="BT1750" t="s">
        <v>16602</v>
      </c>
    </row>
    <row r="1751" spans="1:72">
      <c r="A1751" t="s">
        <v>72</v>
      </c>
      <c r="B1751" t="s">
        <v>28390</v>
      </c>
      <c r="F1751" t="s">
        <v>28390</v>
      </c>
      <c r="I1751" t="s">
        <v>28391</v>
      </c>
      <c r="J1751" t="s">
        <v>232</v>
      </c>
      <c r="M1751" t="s">
        <v>78</v>
      </c>
      <c r="N1751" t="s">
        <v>79</v>
      </c>
      <c r="W1751" t="s">
        <v>28392</v>
      </c>
      <c r="X1751" t="s">
        <v>10674</v>
      </c>
      <c r="Y1751" t="s">
        <v>28393</v>
      </c>
      <c r="Z1751" t="s">
        <v>24670</v>
      </c>
      <c r="AA1751" t="s">
        <v>28394</v>
      </c>
      <c r="AB1751" t="s">
        <v>28395</v>
      </c>
      <c r="AG1751">
        <v>17</v>
      </c>
      <c r="AH1751">
        <v>33</v>
      </c>
      <c r="AI1751">
        <v>34</v>
      </c>
      <c r="AJ1751">
        <v>0</v>
      </c>
      <c r="AK1751">
        <v>10</v>
      </c>
      <c r="AL1751" t="s">
        <v>136</v>
      </c>
      <c r="AM1751" t="s">
        <v>137</v>
      </c>
      <c r="AN1751" t="s">
        <v>138</v>
      </c>
      <c r="AO1751" t="s">
        <v>240</v>
      </c>
      <c r="AP1751" t="s">
        <v>241</v>
      </c>
      <c r="AR1751" t="s">
        <v>242</v>
      </c>
      <c r="AS1751" t="s">
        <v>243</v>
      </c>
      <c r="AT1751" t="s">
        <v>93</v>
      </c>
      <c r="AU1751">
        <v>2002</v>
      </c>
      <c r="AV1751">
        <v>44</v>
      </c>
      <c r="AW1751">
        <v>4</v>
      </c>
      <c r="BB1751">
        <v>345</v>
      </c>
      <c r="BC1751">
        <v>349</v>
      </c>
      <c r="BD1751" t="s">
        <v>28396</v>
      </c>
      <c r="BE1751" t="s">
        <v>28397</v>
      </c>
      <c r="BF1751" t="s">
        <v>28398</v>
      </c>
      <c r="BI1751">
        <v>5</v>
      </c>
      <c r="BJ1751" t="s">
        <v>247</v>
      </c>
      <c r="BK1751" t="s">
        <v>96</v>
      </c>
      <c r="BL1751" t="s">
        <v>248</v>
      </c>
      <c r="BM1751" t="s">
        <v>23769</v>
      </c>
      <c r="BN1751">
        <v>12139325</v>
      </c>
      <c r="BR1751" t="s">
        <v>98</v>
      </c>
      <c r="BS1751" t="s">
        <v>28399</v>
      </c>
      <c r="BT1751" t="s">
        <v>16602</v>
      </c>
    </row>
    <row r="1752" spans="1:72">
      <c r="A1752" t="s">
        <v>72</v>
      </c>
      <c r="B1752" t="s">
        <v>28400</v>
      </c>
      <c r="F1752" t="s">
        <v>28401</v>
      </c>
      <c r="I1752" t="s">
        <v>28402</v>
      </c>
      <c r="J1752" t="s">
        <v>103</v>
      </c>
      <c r="M1752" t="s">
        <v>78</v>
      </c>
      <c r="N1752" t="s">
        <v>79</v>
      </c>
      <c r="T1752" t="s">
        <v>28403</v>
      </c>
      <c r="U1752" t="s">
        <v>28404</v>
      </c>
      <c r="V1752" t="s">
        <v>28405</v>
      </c>
      <c r="W1752" t="s">
        <v>28406</v>
      </c>
      <c r="X1752" t="s">
        <v>28407</v>
      </c>
      <c r="Y1752" t="s">
        <v>28408</v>
      </c>
      <c r="Z1752" t="s">
        <v>28409</v>
      </c>
      <c r="AG1752">
        <v>33</v>
      </c>
      <c r="AH1752">
        <v>23</v>
      </c>
      <c r="AI1752">
        <v>28</v>
      </c>
      <c r="AJ1752">
        <v>5</v>
      </c>
      <c r="AK1752">
        <v>32</v>
      </c>
      <c r="AL1752" t="s">
        <v>112</v>
      </c>
      <c r="AM1752" t="s">
        <v>113</v>
      </c>
      <c r="AN1752" t="s">
        <v>1008</v>
      </c>
      <c r="AO1752" t="s">
        <v>115</v>
      </c>
      <c r="AR1752" t="s">
        <v>117</v>
      </c>
      <c r="AS1752" t="s">
        <v>118</v>
      </c>
      <c r="AT1752" t="s">
        <v>197</v>
      </c>
      <c r="AU1752">
        <v>2007</v>
      </c>
      <c r="AV1752">
        <v>79</v>
      </c>
      <c r="AW1752">
        <v>6</v>
      </c>
      <c r="BB1752">
        <v>622</v>
      </c>
      <c r="BC1752">
        <v>627</v>
      </c>
      <c r="BE1752" t="s">
        <v>28410</v>
      </c>
      <c r="BF1752" t="s">
        <v>28411</v>
      </c>
      <c r="BI1752">
        <v>6</v>
      </c>
      <c r="BJ1752" t="s">
        <v>121</v>
      </c>
      <c r="BK1752" t="s">
        <v>96</v>
      </c>
      <c r="BL1752" t="s">
        <v>122</v>
      </c>
      <c r="BM1752" t="s">
        <v>28412</v>
      </c>
      <c r="BN1752">
        <v>17999017</v>
      </c>
      <c r="BR1752" t="s">
        <v>98</v>
      </c>
      <c r="BS1752" t="s">
        <v>28413</v>
      </c>
      <c r="BT1752" t="s">
        <v>16602</v>
      </c>
    </row>
    <row r="1753" spans="1:72">
      <c r="A1753" t="s">
        <v>72</v>
      </c>
      <c r="B1753" t="s">
        <v>28414</v>
      </c>
      <c r="F1753" t="s">
        <v>28414</v>
      </c>
      <c r="I1753" t="s">
        <v>28415</v>
      </c>
      <c r="J1753" t="s">
        <v>232</v>
      </c>
      <c r="M1753" t="s">
        <v>78</v>
      </c>
      <c r="N1753" t="s">
        <v>79</v>
      </c>
      <c r="U1753" t="s">
        <v>28416</v>
      </c>
      <c r="W1753" t="s">
        <v>28417</v>
      </c>
      <c r="X1753" t="s">
        <v>28418</v>
      </c>
      <c r="Y1753" t="s">
        <v>28419</v>
      </c>
      <c r="AG1753">
        <v>30</v>
      </c>
      <c r="AH1753">
        <v>16</v>
      </c>
      <c r="AI1753">
        <v>18</v>
      </c>
      <c r="AJ1753">
        <v>0</v>
      </c>
      <c r="AK1753">
        <v>7</v>
      </c>
      <c r="AL1753" t="s">
        <v>136</v>
      </c>
      <c r="AM1753" t="s">
        <v>137</v>
      </c>
      <c r="AN1753" t="s">
        <v>138</v>
      </c>
      <c r="AO1753" t="s">
        <v>240</v>
      </c>
      <c r="AP1753" t="s">
        <v>241</v>
      </c>
      <c r="AR1753" t="s">
        <v>242</v>
      </c>
      <c r="AS1753" t="s">
        <v>243</v>
      </c>
      <c r="AT1753" t="s">
        <v>93</v>
      </c>
      <c r="AU1753">
        <v>1999</v>
      </c>
      <c r="AV1753">
        <v>38</v>
      </c>
      <c r="AW1753">
        <v>4</v>
      </c>
      <c r="BB1753">
        <v>324</v>
      </c>
      <c r="BC1753">
        <v>327</v>
      </c>
      <c r="BE1753" t="s">
        <v>28420</v>
      </c>
      <c r="BF1753" t="s">
        <v>28421</v>
      </c>
      <c r="BI1753">
        <v>4</v>
      </c>
      <c r="BJ1753" t="s">
        <v>247</v>
      </c>
      <c r="BK1753" t="s">
        <v>96</v>
      </c>
      <c r="BL1753" t="s">
        <v>248</v>
      </c>
      <c r="BM1753" t="s">
        <v>28422</v>
      </c>
      <c r="BR1753" t="s">
        <v>98</v>
      </c>
      <c r="BS1753" t="s">
        <v>28423</v>
      </c>
      <c r="BT1753" t="s">
        <v>16602</v>
      </c>
    </row>
    <row r="1754" spans="1:72">
      <c r="A1754" t="s">
        <v>72</v>
      </c>
      <c r="B1754" t="s">
        <v>28424</v>
      </c>
      <c r="F1754" t="s">
        <v>28425</v>
      </c>
      <c r="I1754" t="s">
        <v>28426</v>
      </c>
      <c r="J1754" t="s">
        <v>204</v>
      </c>
      <c r="M1754" t="s">
        <v>78</v>
      </c>
      <c r="N1754" t="s">
        <v>28427</v>
      </c>
      <c r="T1754" t="s">
        <v>28428</v>
      </c>
      <c r="U1754" t="s">
        <v>28429</v>
      </c>
      <c r="V1754" t="s">
        <v>28430</v>
      </c>
      <c r="W1754" t="s">
        <v>28431</v>
      </c>
      <c r="X1754" t="s">
        <v>28432</v>
      </c>
      <c r="Y1754" t="s">
        <v>28433</v>
      </c>
      <c r="Z1754" t="s">
        <v>28434</v>
      </c>
      <c r="AA1754" t="s">
        <v>28435</v>
      </c>
      <c r="AG1754">
        <v>66</v>
      </c>
      <c r="AH1754">
        <v>18</v>
      </c>
      <c r="AI1754">
        <v>18</v>
      </c>
      <c r="AJ1754">
        <v>1</v>
      </c>
      <c r="AK1754">
        <v>23</v>
      </c>
      <c r="AL1754" t="s">
        <v>217</v>
      </c>
      <c r="AM1754" t="s">
        <v>218</v>
      </c>
      <c r="AN1754" t="s">
        <v>219</v>
      </c>
      <c r="AO1754" t="s">
        <v>220</v>
      </c>
      <c r="AP1754" t="s">
        <v>221</v>
      </c>
      <c r="AR1754" t="s">
        <v>222</v>
      </c>
      <c r="AS1754" t="s">
        <v>223</v>
      </c>
      <c r="AT1754" t="s">
        <v>142</v>
      </c>
      <c r="AU1754">
        <v>2018</v>
      </c>
      <c r="AV1754">
        <v>25</v>
      </c>
      <c r="AW1754">
        <v>16</v>
      </c>
      <c r="BB1754">
        <v>15943</v>
      </c>
      <c r="BC1754">
        <v>15953</v>
      </c>
      <c r="BE1754" t="s">
        <v>28436</v>
      </c>
      <c r="BF1754" t="s">
        <v>28437</v>
      </c>
      <c r="BI1754">
        <v>11</v>
      </c>
      <c r="BJ1754" t="s">
        <v>144</v>
      </c>
      <c r="BK1754" t="s">
        <v>96</v>
      </c>
      <c r="BL1754" t="s">
        <v>145</v>
      </c>
      <c r="BM1754" t="s">
        <v>28438</v>
      </c>
      <c r="BN1754">
        <v>29589240</v>
      </c>
      <c r="BO1754" t="s">
        <v>810</v>
      </c>
      <c r="BR1754" t="s">
        <v>98</v>
      </c>
      <c r="BS1754" t="s">
        <v>28439</v>
      </c>
      <c r="BT1754" t="s">
        <v>16602</v>
      </c>
    </row>
    <row r="1755" spans="1:72">
      <c r="A1755" t="s">
        <v>72</v>
      </c>
      <c r="B1755" t="s">
        <v>28440</v>
      </c>
      <c r="F1755" t="s">
        <v>28441</v>
      </c>
      <c r="I1755" t="s">
        <v>28442</v>
      </c>
      <c r="J1755" t="s">
        <v>232</v>
      </c>
      <c r="M1755" t="s">
        <v>78</v>
      </c>
      <c r="N1755" t="s">
        <v>79</v>
      </c>
      <c r="T1755" t="s">
        <v>28443</v>
      </c>
      <c r="U1755" t="s">
        <v>28444</v>
      </c>
      <c r="V1755" t="s">
        <v>28445</v>
      </c>
      <c r="W1755" t="s">
        <v>28446</v>
      </c>
      <c r="X1755" t="s">
        <v>28447</v>
      </c>
      <c r="Y1755" t="s">
        <v>28448</v>
      </c>
      <c r="Z1755" t="s">
        <v>28449</v>
      </c>
      <c r="AB1755" t="s">
        <v>10415</v>
      </c>
      <c r="AC1755" t="s">
        <v>28450</v>
      </c>
      <c r="AD1755" t="s">
        <v>28450</v>
      </c>
      <c r="AE1755" t="s">
        <v>28451</v>
      </c>
      <c r="AG1755">
        <v>62</v>
      </c>
      <c r="AH1755">
        <v>1</v>
      </c>
      <c r="AI1755">
        <v>1</v>
      </c>
      <c r="AJ1755">
        <v>0</v>
      </c>
      <c r="AK1755">
        <v>9</v>
      </c>
      <c r="AL1755" t="s">
        <v>136</v>
      </c>
      <c r="AM1755" t="s">
        <v>137</v>
      </c>
      <c r="AN1755" t="s">
        <v>138</v>
      </c>
      <c r="AO1755" t="s">
        <v>240</v>
      </c>
      <c r="AP1755" t="s">
        <v>241</v>
      </c>
      <c r="AR1755" t="s">
        <v>242</v>
      </c>
      <c r="AS1755" t="s">
        <v>243</v>
      </c>
      <c r="AT1755" t="s">
        <v>765</v>
      </c>
      <c r="AU1755">
        <v>2022</v>
      </c>
      <c r="AV1755">
        <v>180</v>
      </c>
      <c r="BD1755">
        <v>113762</v>
      </c>
      <c r="BE1755" t="s">
        <v>28452</v>
      </c>
      <c r="BF1755" t="s">
        <v>28453</v>
      </c>
      <c r="BH1755" t="s">
        <v>2765</v>
      </c>
      <c r="BI1755">
        <v>12</v>
      </c>
      <c r="BJ1755" t="s">
        <v>247</v>
      </c>
      <c r="BK1755" t="s">
        <v>96</v>
      </c>
      <c r="BL1755" t="s">
        <v>248</v>
      </c>
      <c r="BM1755" t="s">
        <v>28454</v>
      </c>
      <c r="BN1755">
        <v>35605377</v>
      </c>
      <c r="BR1755" t="s">
        <v>98</v>
      </c>
      <c r="BS1755" t="s">
        <v>28455</v>
      </c>
      <c r="BT1755" t="s">
        <v>16602</v>
      </c>
    </row>
    <row r="1756" spans="1:72">
      <c r="A1756" t="s">
        <v>72</v>
      </c>
      <c r="B1756" t="s">
        <v>28456</v>
      </c>
      <c r="F1756" t="s">
        <v>28457</v>
      </c>
      <c r="I1756" t="s">
        <v>28458</v>
      </c>
      <c r="J1756" t="s">
        <v>28459</v>
      </c>
      <c r="M1756" t="s">
        <v>78</v>
      </c>
      <c r="N1756" t="s">
        <v>79</v>
      </c>
      <c r="T1756" t="s">
        <v>28460</v>
      </c>
      <c r="U1756" t="s">
        <v>28461</v>
      </c>
      <c r="V1756" t="s">
        <v>28462</v>
      </c>
      <c r="W1756" t="s">
        <v>28463</v>
      </c>
      <c r="X1756" t="s">
        <v>28464</v>
      </c>
      <c r="Y1756" t="s">
        <v>28465</v>
      </c>
      <c r="Z1756" t="s">
        <v>7748</v>
      </c>
      <c r="AA1756" t="s">
        <v>28466</v>
      </c>
      <c r="AB1756" t="s">
        <v>28467</v>
      </c>
      <c r="AC1756" t="s">
        <v>28468</v>
      </c>
      <c r="AD1756" t="s">
        <v>28469</v>
      </c>
      <c r="AE1756" t="s">
        <v>28470</v>
      </c>
      <c r="AG1756">
        <v>40</v>
      </c>
      <c r="AH1756">
        <v>64</v>
      </c>
      <c r="AI1756">
        <v>68</v>
      </c>
      <c r="AJ1756">
        <v>0</v>
      </c>
      <c r="AK1756">
        <v>34</v>
      </c>
      <c r="AL1756" t="s">
        <v>28471</v>
      </c>
      <c r="AM1756" t="s">
        <v>1786</v>
      </c>
      <c r="AN1756" t="s">
        <v>28472</v>
      </c>
      <c r="AO1756" t="s">
        <v>28473</v>
      </c>
      <c r="AR1756" t="s">
        <v>28474</v>
      </c>
      <c r="AS1756" t="s">
        <v>28475</v>
      </c>
      <c r="AT1756" t="s">
        <v>1223</v>
      </c>
      <c r="AU1756">
        <v>2014</v>
      </c>
      <c r="AV1756">
        <v>29</v>
      </c>
      <c r="AW1756">
        <v>1</v>
      </c>
      <c r="BB1756">
        <v>1</v>
      </c>
      <c r="BC1756">
        <v>10</v>
      </c>
      <c r="BE1756" t="s">
        <v>28476</v>
      </c>
      <c r="BF1756" t="s">
        <v>28477</v>
      </c>
      <c r="BI1756">
        <v>10</v>
      </c>
      <c r="BJ1756" t="s">
        <v>6623</v>
      </c>
      <c r="BK1756" t="s">
        <v>96</v>
      </c>
      <c r="BL1756" t="s">
        <v>6624</v>
      </c>
      <c r="BM1756" t="s">
        <v>28478</v>
      </c>
      <c r="BR1756" t="s">
        <v>98</v>
      </c>
      <c r="BS1756" t="s">
        <v>28479</v>
      </c>
      <c r="BT1756" t="s">
        <v>16602</v>
      </c>
    </row>
    <row r="1757" spans="1:72">
      <c r="A1757" t="s">
        <v>72</v>
      </c>
      <c r="B1757" t="s">
        <v>28480</v>
      </c>
      <c r="F1757" t="s">
        <v>28480</v>
      </c>
      <c r="I1757" t="s">
        <v>28481</v>
      </c>
      <c r="J1757" t="s">
        <v>17604</v>
      </c>
      <c r="M1757" t="s">
        <v>78</v>
      </c>
      <c r="N1757" t="s">
        <v>79</v>
      </c>
      <c r="T1757" t="s">
        <v>28482</v>
      </c>
      <c r="U1757" t="s">
        <v>28483</v>
      </c>
      <c r="V1757" t="s">
        <v>28484</v>
      </c>
      <c r="W1757" t="s">
        <v>28485</v>
      </c>
      <c r="X1757" t="s">
        <v>28486</v>
      </c>
      <c r="Y1757" t="s">
        <v>28487</v>
      </c>
      <c r="AA1757" t="s">
        <v>5391</v>
      </c>
      <c r="AB1757" t="s">
        <v>5392</v>
      </c>
      <c r="AG1757">
        <v>42</v>
      </c>
      <c r="AH1757">
        <v>39</v>
      </c>
      <c r="AI1757">
        <v>41</v>
      </c>
      <c r="AJ1757">
        <v>0</v>
      </c>
      <c r="AK1757">
        <v>8</v>
      </c>
      <c r="AL1757" t="s">
        <v>919</v>
      </c>
      <c r="AM1757" t="s">
        <v>651</v>
      </c>
      <c r="AN1757" t="s">
        <v>920</v>
      </c>
      <c r="AO1757" t="s">
        <v>17613</v>
      </c>
      <c r="AP1757" t="s">
        <v>17614</v>
      </c>
      <c r="AR1757" t="s">
        <v>17615</v>
      </c>
      <c r="AS1757" t="s">
        <v>17616</v>
      </c>
      <c r="AT1757" t="s">
        <v>28488</v>
      </c>
      <c r="AU1757">
        <v>1995</v>
      </c>
      <c r="AV1757">
        <v>191</v>
      </c>
      <c r="AW1757">
        <v>2</v>
      </c>
      <c r="BB1757">
        <v>133</v>
      </c>
      <c r="BC1757">
        <v>150</v>
      </c>
      <c r="BE1757" t="s">
        <v>28489</v>
      </c>
      <c r="BF1757" t="s">
        <v>28490</v>
      </c>
      <c r="BI1757">
        <v>18</v>
      </c>
      <c r="BJ1757" t="s">
        <v>1292</v>
      </c>
      <c r="BK1757" t="s">
        <v>96</v>
      </c>
      <c r="BL1757" t="s">
        <v>248</v>
      </c>
      <c r="BM1757" t="s">
        <v>28491</v>
      </c>
      <c r="BR1757" t="s">
        <v>98</v>
      </c>
      <c r="BS1757" t="s">
        <v>28492</v>
      </c>
      <c r="BT1757" t="s">
        <v>16602</v>
      </c>
    </row>
    <row r="1758" spans="1:72">
      <c r="A1758" t="s">
        <v>72</v>
      </c>
      <c r="B1758" t="s">
        <v>28493</v>
      </c>
      <c r="F1758" t="s">
        <v>28493</v>
      </c>
      <c r="I1758" t="s">
        <v>28494</v>
      </c>
      <c r="J1758" t="s">
        <v>752</v>
      </c>
      <c r="M1758" t="s">
        <v>78</v>
      </c>
      <c r="N1758" t="s">
        <v>79</v>
      </c>
      <c r="V1758" t="s">
        <v>28495</v>
      </c>
      <c r="W1758" t="s">
        <v>28496</v>
      </c>
      <c r="X1758" t="s">
        <v>28497</v>
      </c>
      <c r="AB1758" t="s">
        <v>28498</v>
      </c>
      <c r="AG1758">
        <v>44</v>
      </c>
      <c r="AH1758">
        <v>36</v>
      </c>
      <c r="AI1758">
        <v>37</v>
      </c>
      <c r="AJ1758">
        <v>0</v>
      </c>
      <c r="AK1758">
        <v>2</v>
      </c>
      <c r="AL1758" t="s">
        <v>430</v>
      </c>
      <c r="AM1758" t="s">
        <v>7361</v>
      </c>
      <c r="AN1758" t="s">
        <v>7362</v>
      </c>
      <c r="AO1758" t="s">
        <v>761</v>
      </c>
      <c r="AP1758" t="s">
        <v>762</v>
      </c>
      <c r="AR1758" t="s">
        <v>763</v>
      </c>
      <c r="AS1758" t="s">
        <v>764</v>
      </c>
      <c r="AU1758">
        <v>1985</v>
      </c>
      <c r="AV1758">
        <v>15</v>
      </c>
      <c r="AW1758">
        <v>2</v>
      </c>
      <c r="BB1758">
        <v>115</v>
      </c>
      <c r="BC1758">
        <v>135</v>
      </c>
      <c r="BE1758" t="s">
        <v>28499</v>
      </c>
      <c r="BF1758" t="s">
        <v>28500</v>
      </c>
      <c r="BI1758">
        <v>21</v>
      </c>
      <c r="BJ1758" t="s">
        <v>768</v>
      </c>
      <c r="BK1758" t="s">
        <v>96</v>
      </c>
      <c r="BL1758" t="s">
        <v>769</v>
      </c>
      <c r="BM1758" t="s">
        <v>28501</v>
      </c>
      <c r="BR1758" t="s">
        <v>98</v>
      </c>
      <c r="BS1758" t="s">
        <v>28502</v>
      </c>
      <c r="BT1758" t="s">
        <v>16602</v>
      </c>
    </row>
    <row r="1759" spans="1:72">
      <c r="A1759" t="s">
        <v>72</v>
      </c>
      <c r="B1759" t="s">
        <v>28503</v>
      </c>
      <c r="F1759" t="s">
        <v>28503</v>
      </c>
      <c r="I1759" t="s">
        <v>28504</v>
      </c>
      <c r="J1759" t="s">
        <v>232</v>
      </c>
      <c r="M1759" t="s">
        <v>78</v>
      </c>
      <c r="N1759" t="s">
        <v>79</v>
      </c>
      <c r="V1759" t="s">
        <v>28505</v>
      </c>
      <c r="Y1759" t="s">
        <v>28506</v>
      </c>
      <c r="AG1759">
        <v>16</v>
      </c>
      <c r="AH1759">
        <v>18</v>
      </c>
      <c r="AI1759">
        <v>21</v>
      </c>
      <c r="AJ1759">
        <v>0</v>
      </c>
      <c r="AK1759">
        <v>0</v>
      </c>
      <c r="AL1759" t="s">
        <v>136</v>
      </c>
      <c r="AM1759" t="s">
        <v>137</v>
      </c>
      <c r="AN1759" t="s">
        <v>138</v>
      </c>
      <c r="AO1759" t="s">
        <v>240</v>
      </c>
      <c r="AP1759" t="s">
        <v>241</v>
      </c>
      <c r="AR1759" t="s">
        <v>242</v>
      </c>
      <c r="AS1759" t="s">
        <v>243</v>
      </c>
      <c r="AU1759">
        <v>1980</v>
      </c>
      <c r="AV1759">
        <v>11</v>
      </c>
      <c r="AW1759">
        <v>7</v>
      </c>
      <c r="BB1759">
        <v>188</v>
      </c>
      <c r="BC1759">
        <v>191</v>
      </c>
      <c r="BE1759" t="s">
        <v>28507</v>
      </c>
      <c r="BF1759" t="s">
        <v>28508</v>
      </c>
      <c r="BI1759">
        <v>4</v>
      </c>
      <c r="BJ1759" t="s">
        <v>247</v>
      </c>
      <c r="BK1759" t="s">
        <v>96</v>
      </c>
      <c r="BL1759" t="s">
        <v>248</v>
      </c>
      <c r="BM1759" t="s">
        <v>28509</v>
      </c>
      <c r="BR1759" t="s">
        <v>98</v>
      </c>
      <c r="BS1759" t="s">
        <v>28510</v>
      </c>
      <c r="BT1759" t="s">
        <v>16602</v>
      </c>
    </row>
    <row r="1760" spans="1:72">
      <c r="A1760" t="s">
        <v>72</v>
      </c>
      <c r="B1760" t="s">
        <v>28511</v>
      </c>
      <c r="F1760" t="s">
        <v>28511</v>
      </c>
      <c r="I1760" t="s">
        <v>28512</v>
      </c>
      <c r="J1760" t="s">
        <v>752</v>
      </c>
      <c r="M1760" t="s">
        <v>78</v>
      </c>
      <c r="N1760" t="s">
        <v>151</v>
      </c>
      <c r="O1760" t="s">
        <v>16463</v>
      </c>
      <c r="P1760" t="s">
        <v>16464</v>
      </c>
      <c r="Q1760" t="s">
        <v>16465</v>
      </c>
      <c r="U1760" t="s">
        <v>28513</v>
      </c>
      <c r="V1760" t="s">
        <v>28514</v>
      </c>
      <c r="W1760" t="s">
        <v>28515</v>
      </c>
      <c r="X1760" t="s">
        <v>16457</v>
      </c>
      <c r="Y1760" t="s">
        <v>28516</v>
      </c>
      <c r="AA1760" t="s">
        <v>6355</v>
      </c>
      <c r="AB1760" t="s">
        <v>6356</v>
      </c>
      <c r="AG1760">
        <v>8</v>
      </c>
      <c r="AH1760">
        <v>8</v>
      </c>
      <c r="AI1760">
        <v>8</v>
      </c>
      <c r="AJ1760">
        <v>0</v>
      </c>
      <c r="AK1760">
        <v>2</v>
      </c>
      <c r="AL1760" t="s">
        <v>430</v>
      </c>
      <c r="AM1760" t="s">
        <v>137</v>
      </c>
      <c r="AN1760" t="s">
        <v>431</v>
      </c>
      <c r="AO1760" t="s">
        <v>761</v>
      </c>
      <c r="AR1760" t="s">
        <v>763</v>
      </c>
      <c r="AS1760" t="s">
        <v>764</v>
      </c>
      <c r="AT1760" t="s">
        <v>5113</v>
      </c>
      <c r="AU1760">
        <v>1998</v>
      </c>
      <c r="AV1760">
        <v>46</v>
      </c>
      <c r="AW1760" t="s">
        <v>9558</v>
      </c>
      <c r="BB1760">
        <v>397</v>
      </c>
      <c r="BC1760">
        <v>400</v>
      </c>
      <c r="BE1760" t="s">
        <v>28517</v>
      </c>
      <c r="BF1760" t="s">
        <v>28518</v>
      </c>
      <c r="BI1760">
        <v>4</v>
      </c>
      <c r="BJ1760" t="s">
        <v>768</v>
      </c>
      <c r="BK1760" t="s">
        <v>588</v>
      </c>
      <c r="BL1760" t="s">
        <v>769</v>
      </c>
      <c r="BM1760" t="s">
        <v>16472</v>
      </c>
      <c r="BR1760" t="s">
        <v>98</v>
      </c>
      <c r="BS1760" t="s">
        <v>28519</v>
      </c>
      <c r="BT1760" t="s">
        <v>16602</v>
      </c>
    </row>
    <row r="1761" spans="1:72">
      <c r="A1761" t="s">
        <v>72</v>
      </c>
      <c r="B1761" t="s">
        <v>28520</v>
      </c>
      <c r="F1761" t="s">
        <v>28521</v>
      </c>
      <c r="I1761" t="s">
        <v>28522</v>
      </c>
      <c r="J1761" t="s">
        <v>752</v>
      </c>
      <c r="M1761" t="s">
        <v>78</v>
      </c>
      <c r="N1761" t="s">
        <v>79</v>
      </c>
      <c r="T1761" t="s">
        <v>28523</v>
      </c>
      <c r="U1761" t="s">
        <v>28524</v>
      </c>
      <c r="V1761" t="s">
        <v>28525</v>
      </c>
      <c r="W1761" t="s">
        <v>28526</v>
      </c>
      <c r="X1761" t="s">
        <v>19092</v>
      </c>
      <c r="Y1761" t="s">
        <v>28527</v>
      </c>
      <c r="Z1761" t="s">
        <v>19094</v>
      </c>
      <c r="AA1761" t="s">
        <v>28528</v>
      </c>
      <c r="AB1761" t="s">
        <v>28529</v>
      </c>
      <c r="AC1761" t="s">
        <v>28530</v>
      </c>
      <c r="AD1761" t="s">
        <v>28531</v>
      </c>
      <c r="AE1761" t="s">
        <v>28532</v>
      </c>
      <c r="AG1761">
        <v>52</v>
      </c>
      <c r="AH1761">
        <v>66</v>
      </c>
      <c r="AI1761">
        <v>70</v>
      </c>
      <c r="AJ1761">
        <v>5</v>
      </c>
      <c r="AK1761">
        <v>144</v>
      </c>
      <c r="AL1761" t="s">
        <v>430</v>
      </c>
      <c r="AM1761" t="s">
        <v>137</v>
      </c>
      <c r="AN1761" t="s">
        <v>431</v>
      </c>
      <c r="AO1761" t="s">
        <v>761</v>
      </c>
      <c r="AP1761" t="s">
        <v>762</v>
      </c>
      <c r="AR1761" t="s">
        <v>763</v>
      </c>
      <c r="AS1761" t="s">
        <v>764</v>
      </c>
      <c r="AT1761" t="s">
        <v>267</v>
      </c>
      <c r="AU1761">
        <v>2015</v>
      </c>
      <c r="AV1761">
        <v>111</v>
      </c>
      <c r="AZ1761" t="s">
        <v>225</v>
      </c>
      <c r="BB1761">
        <v>128</v>
      </c>
      <c r="BC1761">
        <v>134</v>
      </c>
      <c r="BE1761" t="s">
        <v>28533</v>
      </c>
      <c r="BF1761" t="s">
        <v>28534</v>
      </c>
      <c r="BI1761">
        <v>7</v>
      </c>
      <c r="BJ1761" t="s">
        <v>768</v>
      </c>
      <c r="BK1761" t="s">
        <v>96</v>
      </c>
      <c r="BL1761" t="s">
        <v>769</v>
      </c>
      <c r="BM1761" t="s">
        <v>22841</v>
      </c>
      <c r="BN1761">
        <v>25842999</v>
      </c>
      <c r="BR1761" t="s">
        <v>98</v>
      </c>
      <c r="BS1761" t="s">
        <v>28535</v>
      </c>
      <c r="BT1761" t="s">
        <v>16602</v>
      </c>
    </row>
    <row r="1762" spans="1:72">
      <c r="A1762" t="s">
        <v>72</v>
      </c>
      <c r="B1762" t="s">
        <v>28536</v>
      </c>
      <c r="F1762" t="s">
        <v>28537</v>
      </c>
      <c r="I1762" t="s">
        <v>28538</v>
      </c>
      <c r="J1762" t="s">
        <v>204</v>
      </c>
      <c r="M1762" t="s">
        <v>78</v>
      </c>
      <c r="N1762" t="s">
        <v>79</v>
      </c>
      <c r="T1762" t="s">
        <v>28539</v>
      </c>
      <c r="U1762" t="s">
        <v>28540</v>
      </c>
      <c r="V1762" t="s">
        <v>28541</v>
      </c>
      <c r="W1762" t="s">
        <v>28542</v>
      </c>
      <c r="X1762" t="s">
        <v>28543</v>
      </c>
      <c r="Y1762" t="s">
        <v>28544</v>
      </c>
      <c r="Z1762" t="s">
        <v>28545</v>
      </c>
      <c r="AA1762" t="s">
        <v>23315</v>
      </c>
      <c r="AB1762" t="s">
        <v>28546</v>
      </c>
      <c r="AG1762">
        <v>65</v>
      </c>
      <c r="AH1762">
        <v>7</v>
      </c>
      <c r="AI1762">
        <v>7</v>
      </c>
      <c r="AJ1762">
        <v>3</v>
      </c>
      <c r="AK1762">
        <v>23</v>
      </c>
      <c r="AL1762" t="s">
        <v>217</v>
      </c>
      <c r="AM1762" t="s">
        <v>218</v>
      </c>
      <c r="AN1762" t="s">
        <v>219</v>
      </c>
      <c r="AO1762" t="s">
        <v>220</v>
      </c>
      <c r="AP1762" t="s">
        <v>221</v>
      </c>
      <c r="AR1762" t="s">
        <v>222</v>
      </c>
      <c r="AS1762" t="s">
        <v>223</v>
      </c>
      <c r="AT1762" t="s">
        <v>951</v>
      </c>
      <c r="AU1762">
        <v>2016</v>
      </c>
      <c r="AV1762">
        <v>23</v>
      </c>
      <c r="AW1762">
        <v>22</v>
      </c>
      <c r="BB1762">
        <v>23281</v>
      </c>
      <c r="BC1762">
        <v>23290</v>
      </c>
      <c r="BE1762" t="s">
        <v>28547</v>
      </c>
      <c r="BF1762" t="s">
        <v>28548</v>
      </c>
      <c r="BI1762">
        <v>10</v>
      </c>
      <c r="BJ1762" t="s">
        <v>144</v>
      </c>
      <c r="BK1762" t="s">
        <v>96</v>
      </c>
      <c r="BL1762" t="s">
        <v>145</v>
      </c>
      <c r="BM1762" t="s">
        <v>28549</v>
      </c>
      <c r="BN1762">
        <v>27638791</v>
      </c>
      <c r="BR1762" t="s">
        <v>98</v>
      </c>
      <c r="BS1762" t="s">
        <v>28550</v>
      </c>
      <c r="BT1762" t="s">
        <v>16602</v>
      </c>
    </row>
    <row r="1763" spans="1:72">
      <c r="A1763" t="s">
        <v>72</v>
      </c>
      <c r="B1763" t="s">
        <v>28551</v>
      </c>
      <c r="F1763" t="s">
        <v>28552</v>
      </c>
      <c r="I1763" t="s">
        <v>28553</v>
      </c>
      <c r="J1763" t="s">
        <v>232</v>
      </c>
      <c r="M1763" t="s">
        <v>78</v>
      </c>
      <c r="N1763" t="s">
        <v>79</v>
      </c>
      <c r="T1763" t="s">
        <v>28554</v>
      </c>
      <c r="U1763" t="s">
        <v>28555</v>
      </c>
      <c r="V1763" t="s">
        <v>28556</v>
      </c>
      <c r="W1763" t="s">
        <v>28557</v>
      </c>
      <c r="X1763" t="s">
        <v>28558</v>
      </c>
      <c r="Y1763" t="s">
        <v>28559</v>
      </c>
      <c r="Z1763" t="s">
        <v>15063</v>
      </c>
      <c r="AA1763" t="s">
        <v>28560</v>
      </c>
      <c r="AB1763" t="s">
        <v>28561</v>
      </c>
      <c r="AC1763" t="s">
        <v>12776</v>
      </c>
      <c r="AD1763" t="s">
        <v>12777</v>
      </c>
      <c r="AE1763" t="s">
        <v>28562</v>
      </c>
      <c r="AG1763">
        <v>53</v>
      </c>
      <c r="AH1763">
        <v>40</v>
      </c>
      <c r="AI1763">
        <v>43</v>
      </c>
      <c r="AJ1763">
        <v>0</v>
      </c>
      <c r="AK1763">
        <v>45</v>
      </c>
      <c r="AL1763" t="s">
        <v>136</v>
      </c>
      <c r="AM1763" t="s">
        <v>137</v>
      </c>
      <c r="AN1763" t="s">
        <v>138</v>
      </c>
      <c r="AO1763" t="s">
        <v>240</v>
      </c>
      <c r="AP1763" t="s">
        <v>241</v>
      </c>
      <c r="AR1763" t="s">
        <v>242</v>
      </c>
      <c r="AS1763" t="s">
        <v>243</v>
      </c>
      <c r="AT1763" t="s">
        <v>3506</v>
      </c>
      <c r="AU1763">
        <v>2017</v>
      </c>
      <c r="AV1763">
        <v>122</v>
      </c>
      <c r="AW1763" t="s">
        <v>326</v>
      </c>
      <c r="BB1763">
        <v>475</v>
      </c>
      <c r="BC1763">
        <v>482</v>
      </c>
      <c r="BE1763" t="s">
        <v>28563</v>
      </c>
      <c r="BF1763" t="s">
        <v>28564</v>
      </c>
      <c r="BI1763">
        <v>8</v>
      </c>
      <c r="BJ1763" t="s">
        <v>247</v>
      </c>
      <c r="BK1763" t="s">
        <v>96</v>
      </c>
      <c r="BL1763" t="s">
        <v>248</v>
      </c>
      <c r="BM1763" t="s">
        <v>28565</v>
      </c>
      <c r="BN1763">
        <v>28662979</v>
      </c>
      <c r="BR1763" t="s">
        <v>98</v>
      </c>
      <c r="BS1763" t="s">
        <v>28566</v>
      </c>
      <c r="BT1763" t="s">
        <v>16602</v>
      </c>
    </row>
    <row r="1764" spans="1:72">
      <c r="A1764" t="s">
        <v>72</v>
      </c>
      <c r="B1764" t="s">
        <v>28567</v>
      </c>
      <c r="F1764" t="s">
        <v>28568</v>
      </c>
      <c r="I1764" t="s">
        <v>28569</v>
      </c>
      <c r="J1764" t="s">
        <v>275</v>
      </c>
      <c r="M1764" t="s">
        <v>78</v>
      </c>
      <c r="N1764" t="s">
        <v>79</v>
      </c>
      <c r="T1764" t="s">
        <v>28570</v>
      </c>
      <c r="U1764" t="s">
        <v>28571</v>
      </c>
      <c r="V1764" t="s">
        <v>28572</v>
      </c>
      <c r="W1764" t="s">
        <v>28573</v>
      </c>
      <c r="X1764" t="s">
        <v>28574</v>
      </c>
      <c r="Y1764" t="s">
        <v>28575</v>
      </c>
      <c r="Z1764" t="s">
        <v>28576</v>
      </c>
      <c r="AA1764" t="s">
        <v>28577</v>
      </c>
      <c r="AB1764" t="s">
        <v>28578</v>
      </c>
      <c r="AC1764" t="s">
        <v>28579</v>
      </c>
      <c r="AD1764" t="s">
        <v>28580</v>
      </c>
      <c r="AE1764" t="s">
        <v>28581</v>
      </c>
      <c r="AG1764">
        <v>70</v>
      </c>
      <c r="AH1764">
        <v>15</v>
      </c>
      <c r="AI1764">
        <v>15</v>
      </c>
      <c r="AJ1764">
        <v>3</v>
      </c>
      <c r="AK1764">
        <v>42</v>
      </c>
      <c r="AL1764" t="s">
        <v>285</v>
      </c>
      <c r="AM1764" t="s">
        <v>286</v>
      </c>
      <c r="AN1764" t="s">
        <v>287</v>
      </c>
      <c r="AO1764" t="s">
        <v>288</v>
      </c>
      <c r="AP1764" t="s">
        <v>289</v>
      </c>
      <c r="AR1764" t="s">
        <v>290</v>
      </c>
      <c r="AS1764" t="s">
        <v>291</v>
      </c>
      <c r="AT1764" t="s">
        <v>765</v>
      </c>
      <c r="AU1764">
        <v>2014</v>
      </c>
      <c r="AV1764">
        <v>39</v>
      </c>
      <c r="AW1764">
        <v>1</v>
      </c>
      <c r="BB1764">
        <v>42</v>
      </c>
      <c r="BC1764">
        <v>50</v>
      </c>
      <c r="BE1764" t="s">
        <v>28582</v>
      </c>
      <c r="BF1764" t="s">
        <v>28583</v>
      </c>
      <c r="BI1764">
        <v>9</v>
      </c>
      <c r="BJ1764" t="s">
        <v>293</v>
      </c>
      <c r="BK1764" t="s">
        <v>96</v>
      </c>
      <c r="BL1764" t="s">
        <v>293</v>
      </c>
      <c r="BM1764" t="s">
        <v>28584</v>
      </c>
      <c r="BN1764">
        <v>24795081</v>
      </c>
      <c r="BR1764" t="s">
        <v>98</v>
      </c>
      <c r="BS1764" t="s">
        <v>28585</v>
      </c>
      <c r="BT1764" t="s">
        <v>16602</v>
      </c>
    </row>
    <row r="1765" spans="1:72">
      <c r="A1765" t="s">
        <v>72</v>
      </c>
      <c r="B1765" t="s">
        <v>28586</v>
      </c>
      <c r="F1765" t="s">
        <v>28586</v>
      </c>
      <c r="I1765" t="s">
        <v>28587</v>
      </c>
      <c r="J1765" t="s">
        <v>103</v>
      </c>
      <c r="M1765" t="s">
        <v>78</v>
      </c>
      <c r="N1765" t="s">
        <v>79</v>
      </c>
      <c r="U1765" t="s">
        <v>28588</v>
      </c>
      <c r="W1765" t="s">
        <v>28589</v>
      </c>
      <c r="Y1765" t="s">
        <v>28590</v>
      </c>
      <c r="AG1765">
        <v>27</v>
      </c>
      <c r="AH1765">
        <v>0</v>
      </c>
      <c r="AI1765">
        <v>0</v>
      </c>
      <c r="AJ1765">
        <v>0</v>
      </c>
      <c r="AK1765">
        <v>6</v>
      </c>
      <c r="AL1765" t="s">
        <v>112</v>
      </c>
      <c r="AM1765" t="s">
        <v>113</v>
      </c>
      <c r="AN1765" t="s">
        <v>114</v>
      </c>
      <c r="AO1765" t="s">
        <v>115</v>
      </c>
      <c r="AP1765" t="s">
        <v>116</v>
      </c>
      <c r="AR1765" t="s">
        <v>117</v>
      </c>
      <c r="AS1765" t="s">
        <v>118</v>
      </c>
      <c r="AT1765" t="s">
        <v>197</v>
      </c>
      <c r="AU1765">
        <v>2004</v>
      </c>
      <c r="AV1765">
        <v>73</v>
      </c>
      <c r="AW1765">
        <v>6</v>
      </c>
      <c r="BB1765">
        <v>1049</v>
      </c>
      <c r="BC1765">
        <v>1056</v>
      </c>
      <c r="BE1765" t="s">
        <v>28591</v>
      </c>
      <c r="BF1765" t="s">
        <v>28592</v>
      </c>
      <c r="BI1765">
        <v>8</v>
      </c>
      <c r="BJ1765" t="s">
        <v>121</v>
      </c>
      <c r="BK1765" t="s">
        <v>96</v>
      </c>
      <c r="BL1765" t="s">
        <v>122</v>
      </c>
      <c r="BM1765" t="s">
        <v>28593</v>
      </c>
      <c r="BN1765">
        <v>15674719</v>
      </c>
      <c r="BR1765" t="s">
        <v>98</v>
      </c>
      <c r="BS1765" t="s">
        <v>28594</v>
      </c>
      <c r="BT1765" t="s">
        <v>16602</v>
      </c>
    </row>
    <row r="1766" spans="1:72">
      <c r="A1766" t="s">
        <v>72</v>
      </c>
      <c r="B1766" t="s">
        <v>28595</v>
      </c>
      <c r="F1766" t="s">
        <v>28596</v>
      </c>
      <c r="I1766" t="s">
        <v>28597</v>
      </c>
      <c r="J1766" t="s">
        <v>641</v>
      </c>
      <c r="M1766" t="s">
        <v>78</v>
      </c>
      <c r="N1766" t="s">
        <v>79</v>
      </c>
      <c r="T1766" t="s">
        <v>28598</v>
      </c>
      <c r="U1766" t="s">
        <v>28599</v>
      </c>
      <c r="V1766" t="s">
        <v>28600</v>
      </c>
      <c r="W1766" t="s">
        <v>28601</v>
      </c>
      <c r="X1766" t="s">
        <v>2697</v>
      </c>
      <c r="Y1766" t="s">
        <v>28602</v>
      </c>
      <c r="Z1766" t="s">
        <v>28603</v>
      </c>
      <c r="AA1766" t="s">
        <v>28604</v>
      </c>
      <c r="AB1766" t="s">
        <v>28605</v>
      </c>
      <c r="AC1766" t="s">
        <v>28606</v>
      </c>
      <c r="AD1766" t="s">
        <v>28607</v>
      </c>
      <c r="AE1766" t="s">
        <v>28608</v>
      </c>
      <c r="AG1766">
        <v>106</v>
      </c>
      <c r="AH1766">
        <v>60</v>
      </c>
      <c r="AI1766">
        <v>62</v>
      </c>
      <c r="AJ1766">
        <v>5</v>
      </c>
      <c r="AK1766">
        <v>65</v>
      </c>
      <c r="AL1766" t="s">
        <v>919</v>
      </c>
      <c r="AM1766" t="s">
        <v>651</v>
      </c>
      <c r="AN1766" t="s">
        <v>920</v>
      </c>
      <c r="AO1766" t="s">
        <v>653</v>
      </c>
      <c r="AP1766" t="s">
        <v>654</v>
      </c>
      <c r="AR1766" t="s">
        <v>655</v>
      </c>
      <c r="AS1766" t="s">
        <v>656</v>
      </c>
      <c r="AT1766" t="s">
        <v>93</v>
      </c>
      <c r="AU1766">
        <v>2014</v>
      </c>
      <c r="AV1766">
        <v>149</v>
      </c>
      <c r="BB1766">
        <v>145</v>
      </c>
      <c r="BC1766">
        <v>156</v>
      </c>
      <c r="BE1766" t="s">
        <v>28609</v>
      </c>
      <c r="BF1766" t="s">
        <v>28610</v>
      </c>
      <c r="BI1766">
        <v>12</v>
      </c>
      <c r="BJ1766" t="s">
        <v>659</v>
      </c>
      <c r="BK1766" t="s">
        <v>96</v>
      </c>
      <c r="BL1766" t="s">
        <v>659</v>
      </c>
      <c r="BM1766" t="s">
        <v>12219</v>
      </c>
      <c r="BN1766">
        <v>24656323</v>
      </c>
      <c r="BR1766" t="s">
        <v>98</v>
      </c>
      <c r="BS1766" t="s">
        <v>28611</v>
      </c>
      <c r="BT1766" t="s">
        <v>16602</v>
      </c>
    </row>
    <row r="1767" spans="1:72">
      <c r="A1767" t="s">
        <v>72</v>
      </c>
      <c r="B1767" t="s">
        <v>28612</v>
      </c>
      <c r="F1767" t="s">
        <v>28613</v>
      </c>
      <c r="I1767" t="s">
        <v>28614</v>
      </c>
      <c r="J1767" t="s">
        <v>127</v>
      </c>
      <c r="M1767" t="s">
        <v>78</v>
      </c>
      <c r="N1767" t="s">
        <v>79</v>
      </c>
      <c r="T1767" t="s">
        <v>28615</v>
      </c>
      <c r="U1767" t="s">
        <v>28616</v>
      </c>
      <c r="V1767" t="s">
        <v>28617</v>
      </c>
      <c r="W1767" t="s">
        <v>28618</v>
      </c>
      <c r="X1767" t="s">
        <v>28619</v>
      </c>
      <c r="Y1767" t="s">
        <v>28620</v>
      </c>
      <c r="Z1767" t="s">
        <v>28621</v>
      </c>
      <c r="AA1767" t="s">
        <v>28622</v>
      </c>
      <c r="AC1767" t="s">
        <v>28623</v>
      </c>
      <c r="AD1767" t="s">
        <v>28624</v>
      </c>
      <c r="AE1767" t="s">
        <v>28625</v>
      </c>
      <c r="AG1767">
        <v>29</v>
      </c>
      <c r="AH1767">
        <v>9</v>
      </c>
      <c r="AI1767">
        <v>9</v>
      </c>
      <c r="AJ1767">
        <v>2</v>
      </c>
      <c r="AK1767">
        <v>34</v>
      </c>
      <c r="AL1767" t="s">
        <v>136</v>
      </c>
      <c r="AM1767" t="s">
        <v>137</v>
      </c>
      <c r="AN1767" t="s">
        <v>138</v>
      </c>
      <c r="AO1767" t="s">
        <v>139</v>
      </c>
      <c r="AP1767" t="s">
        <v>140</v>
      </c>
      <c r="AR1767" t="s">
        <v>127</v>
      </c>
      <c r="AS1767" t="s">
        <v>141</v>
      </c>
      <c r="AT1767" t="s">
        <v>305</v>
      </c>
      <c r="AU1767">
        <v>2021</v>
      </c>
      <c r="AV1767">
        <v>279</v>
      </c>
      <c r="BD1767">
        <v>130523</v>
      </c>
      <c r="BE1767" t="s">
        <v>28626</v>
      </c>
      <c r="BF1767" t="s">
        <v>28627</v>
      </c>
      <c r="BH1767" t="s">
        <v>14421</v>
      </c>
      <c r="BI1767">
        <v>9</v>
      </c>
      <c r="BJ1767" t="s">
        <v>144</v>
      </c>
      <c r="BK1767" t="s">
        <v>96</v>
      </c>
      <c r="BL1767" t="s">
        <v>145</v>
      </c>
      <c r="BM1767" t="s">
        <v>14422</v>
      </c>
      <c r="BN1767">
        <v>33865163</v>
      </c>
      <c r="BR1767" t="s">
        <v>98</v>
      </c>
      <c r="BS1767" t="s">
        <v>28628</v>
      </c>
      <c r="BT1767" t="s">
        <v>16602</v>
      </c>
    </row>
    <row r="1768" spans="1:72">
      <c r="A1768" t="s">
        <v>72</v>
      </c>
      <c r="B1768" t="s">
        <v>28629</v>
      </c>
      <c r="F1768" t="s">
        <v>28629</v>
      </c>
      <c r="I1768" t="s">
        <v>28630</v>
      </c>
      <c r="J1768" t="s">
        <v>19357</v>
      </c>
      <c r="M1768" t="s">
        <v>78</v>
      </c>
      <c r="N1768" t="s">
        <v>151</v>
      </c>
      <c r="O1768" t="s">
        <v>28631</v>
      </c>
      <c r="P1768" t="s">
        <v>28632</v>
      </c>
      <c r="Q1768" t="s">
        <v>28633</v>
      </c>
      <c r="S1768" t="s">
        <v>28634</v>
      </c>
      <c r="U1768" t="s">
        <v>28635</v>
      </c>
      <c r="V1768" t="s">
        <v>28636</v>
      </c>
      <c r="W1768" t="s">
        <v>28637</v>
      </c>
      <c r="X1768" t="s">
        <v>712</v>
      </c>
      <c r="Y1768" t="s">
        <v>28638</v>
      </c>
      <c r="AA1768" t="s">
        <v>28639</v>
      </c>
      <c r="AG1768">
        <v>15</v>
      </c>
      <c r="AH1768">
        <v>23</v>
      </c>
      <c r="AI1768">
        <v>23</v>
      </c>
      <c r="AJ1768">
        <v>0</v>
      </c>
      <c r="AK1768">
        <v>2</v>
      </c>
      <c r="AL1768" t="s">
        <v>6584</v>
      </c>
      <c r="AM1768" t="s">
        <v>113</v>
      </c>
      <c r="AN1768" t="s">
        <v>6585</v>
      </c>
      <c r="AO1768" t="s">
        <v>19363</v>
      </c>
      <c r="AR1768" t="s">
        <v>19364</v>
      </c>
      <c r="AS1768" t="s">
        <v>19365</v>
      </c>
      <c r="AT1768" t="s">
        <v>1223</v>
      </c>
      <c r="AU1768">
        <v>1996</v>
      </c>
      <c r="AV1768">
        <v>354</v>
      </c>
      <c r="AW1768" t="s">
        <v>2706</v>
      </c>
      <c r="BB1768">
        <v>729</v>
      </c>
      <c r="BC1768">
        <v>734</v>
      </c>
      <c r="BI1768">
        <v>6</v>
      </c>
      <c r="BJ1768" t="s">
        <v>1196</v>
      </c>
      <c r="BK1768" t="s">
        <v>588</v>
      </c>
      <c r="BL1768" t="s">
        <v>1197</v>
      </c>
      <c r="BM1768" t="s">
        <v>28640</v>
      </c>
      <c r="BN1768">
        <v>15067481</v>
      </c>
      <c r="BR1768" t="s">
        <v>98</v>
      </c>
      <c r="BS1768" t="s">
        <v>28641</v>
      </c>
      <c r="BT1768" t="s">
        <v>16602</v>
      </c>
    </row>
    <row r="1769" spans="1:72">
      <c r="A1769" t="s">
        <v>72</v>
      </c>
      <c r="B1769" t="s">
        <v>28642</v>
      </c>
      <c r="F1769" t="s">
        <v>28643</v>
      </c>
      <c r="I1769" t="s">
        <v>28644</v>
      </c>
      <c r="J1769" t="s">
        <v>752</v>
      </c>
      <c r="M1769" t="s">
        <v>78</v>
      </c>
      <c r="N1769" t="s">
        <v>79</v>
      </c>
      <c r="T1769" t="s">
        <v>28645</v>
      </c>
      <c r="U1769" t="s">
        <v>28646</v>
      </c>
      <c r="V1769" t="s">
        <v>28647</v>
      </c>
      <c r="W1769" t="s">
        <v>28648</v>
      </c>
      <c r="X1769" t="s">
        <v>28649</v>
      </c>
      <c r="Y1769" t="s">
        <v>28650</v>
      </c>
      <c r="Z1769" t="s">
        <v>28651</v>
      </c>
      <c r="AA1769" t="s">
        <v>28652</v>
      </c>
      <c r="AB1769" t="s">
        <v>28653</v>
      </c>
      <c r="AC1769" t="s">
        <v>28654</v>
      </c>
      <c r="AD1769" t="s">
        <v>28654</v>
      </c>
      <c r="AE1769" t="s">
        <v>28655</v>
      </c>
      <c r="AG1769">
        <v>87</v>
      </c>
      <c r="AH1769">
        <v>0</v>
      </c>
      <c r="AI1769">
        <v>0</v>
      </c>
      <c r="AJ1769">
        <v>10</v>
      </c>
      <c r="AK1769">
        <v>13</v>
      </c>
      <c r="AL1769" t="s">
        <v>430</v>
      </c>
      <c r="AM1769" t="s">
        <v>137</v>
      </c>
      <c r="AN1769" t="s">
        <v>431</v>
      </c>
      <c r="AO1769" t="s">
        <v>761</v>
      </c>
      <c r="AP1769" t="s">
        <v>762</v>
      </c>
      <c r="AR1769" t="s">
        <v>763</v>
      </c>
      <c r="AS1769" t="s">
        <v>764</v>
      </c>
      <c r="AT1769" t="s">
        <v>765</v>
      </c>
      <c r="AU1769">
        <v>2023</v>
      </c>
      <c r="AV1769">
        <v>189</v>
      </c>
      <c r="BD1769">
        <v>106065</v>
      </c>
      <c r="BE1769" t="s">
        <v>28656</v>
      </c>
      <c r="BF1769" t="s">
        <v>28657</v>
      </c>
      <c r="BH1769" t="s">
        <v>767</v>
      </c>
      <c r="BI1769">
        <v>11</v>
      </c>
      <c r="BJ1769" t="s">
        <v>768</v>
      </c>
      <c r="BK1769" t="s">
        <v>96</v>
      </c>
      <c r="BL1769" t="s">
        <v>769</v>
      </c>
      <c r="BM1769" t="s">
        <v>28658</v>
      </c>
      <c r="BN1769">
        <v>37352823</v>
      </c>
      <c r="BO1769" t="s">
        <v>476</v>
      </c>
      <c r="BR1769" t="s">
        <v>98</v>
      </c>
      <c r="BS1769" t="s">
        <v>28659</v>
      </c>
      <c r="BT1769" t="s">
        <v>16602</v>
      </c>
    </row>
    <row r="1770" spans="1:72">
      <c r="A1770" t="s">
        <v>72</v>
      </c>
      <c r="B1770" t="s">
        <v>28660</v>
      </c>
      <c r="F1770" t="s">
        <v>28661</v>
      </c>
      <c r="I1770" t="s">
        <v>28662</v>
      </c>
      <c r="J1770" t="s">
        <v>909</v>
      </c>
      <c r="M1770" t="s">
        <v>78</v>
      </c>
      <c r="N1770" t="s">
        <v>79</v>
      </c>
      <c r="T1770" t="s">
        <v>28663</v>
      </c>
      <c r="U1770" t="s">
        <v>28664</v>
      </c>
      <c r="V1770" t="s">
        <v>28665</v>
      </c>
      <c r="W1770" t="s">
        <v>28666</v>
      </c>
      <c r="X1770" t="s">
        <v>28667</v>
      </c>
      <c r="Y1770" t="s">
        <v>28668</v>
      </c>
      <c r="Z1770" t="s">
        <v>28669</v>
      </c>
      <c r="AA1770" t="s">
        <v>28670</v>
      </c>
      <c r="AB1770" t="s">
        <v>28671</v>
      </c>
      <c r="AC1770" t="s">
        <v>28672</v>
      </c>
      <c r="AD1770" t="s">
        <v>28673</v>
      </c>
      <c r="AE1770" t="s">
        <v>28674</v>
      </c>
      <c r="AG1770">
        <v>66</v>
      </c>
      <c r="AH1770">
        <v>4</v>
      </c>
      <c r="AI1770">
        <v>4</v>
      </c>
      <c r="AJ1770">
        <v>4</v>
      </c>
      <c r="AK1770">
        <v>21</v>
      </c>
      <c r="AL1770" t="s">
        <v>650</v>
      </c>
      <c r="AM1770" t="s">
        <v>651</v>
      </c>
      <c r="AN1770" t="s">
        <v>652</v>
      </c>
      <c r="AO1770" t="s">
        <v>921</v>
      </c>
      <c r="AP1770" t="s">
        <v>922</v>
      </c>
      <c r="AR1770" t="s">
        <v>923</v>
      </c>
      <c r="AS1770" t="s">
        <v>924</v>
      </c>
      <c r="AT1770" t="s">
        <v>24737</v>
      </c>
      <c r="AU1770">
        <v>2023</v>
      </c>
      <c r="AV1770">
        <v>881</v>
      </c>
      <c r="BD1770">
        <v>163380</v>
      </c>
      <c r="BE1770" t="s">
        <v>28675</v>
      </c>
      <c r="BF1770" t="s">
        <v>28676</v>
      </c>
      <c r="BH1770" t="s">
        <v>2540</v>
      </c>
      <c r="BI1770">
        <v>10</v>
      </c>
      <c r="BJ1770" t="s">
        <v>144</v>
      </c>
      <c r="BK1770" t="s">
        <v>96</v>
      </c>
      <c r="BL1770" t="s">
        <v>145</v>
      </c>
      <c r="BM1770" t="s">
        <v>28677</v>
      </c>
      <c r="BN1770">
        <v>37044328</v>
      </c>
      <c r="BR1770" t="s">
        <v>98</v>
      </c>
      <c r="BS1770" t="s">
        <v>28678</v>
      </c>
      <c r="BT1770" t="s">
        <v>16602</v>
      </c>
    </row>
    <row r="1771" spans="1:72">
      <c r="A1771" t="s">
        <v>72</v>
      </c>
      <c r="B1771" t="s">
        <v>17967</v>
      </c>
      <c r="F1771" t="s">
        <v>17967</v>
      </c>
      <c r="I1771" t="s">
        <v>28679</v>
      </c>
      <c r="J1771" t="s">
        <v>9914</v>
      </c>
      <c r="M1771" t="s">
        <v>78</v>
      </c>
      <c r="N1771" t="s">
        <v>79</v>
      </c>
      <c r="U1771" t="s">
        <v>28680</v>
      </c>
      <c r="V1771" t="s">
        <v>28681</v>
      </c>
      <c r="W1771" t="s">
        <v>28682</v>
      </c>
      <c r="X1771" t="s">
        <v>28683</v>
      </c>
      <c r="Y1771" t="s">
        <v>28684</v>
      </c>
      <c r="AG1771">
        <v>41</v>
      </c>
      <c r="AH1771">
        <v>27</v>
      </c>
      <c r="AI1771">
        <v>27</v>
      </c>
      <c r="AJ1771">
        <v>0</v>
      </c>
      <c r="AK1771">
        <v>6</v>
      </c>
      <c r="AL1771" t="s">
        <v>136</v>
      </c>
      <c r="AM1771" t="s">
        <v>137</v>
      </c>
      <c r="AN1771" t="s">
        <v>138</v>
      </c>
      <c r="AO1771" t="s">
        <v>9925</v>
      </c>
      <c r="AR1771" t="s">
        <v>9926</v>
      </c>
      <c r="AS1771" t="s">
        <v>9927</v>
      </c>
      <c r="AT1771" t="s">
        <v>305</v>
      </c>
      <c r="AU1771">
        <v>1998</v>
      </c>
      <c r="AV1771">
        <v>13</v>
      </c>
      <c r="AW1771">
        <v>7</v>
      </c>
      <c r="BB1771">
        <v>885</v>
      </c>
      <c r="BC1771">
        <v>892</v>
      </c>
      <c r="BE1771" t="s">
        <v>28685</v>
      </c>
      <c r="BF1771" t="s">
        <v>28686</v>
      </c>
      <c r="BI1771">
        <v>8</v>
      </c>
      <c r="BJ1771" t="s">
        <v>9863</v>
      </c>
      <c r="BK1771" t="s">
        <v>96</v>
      </c>
      <c r="BL1771" t="s">
        <v>9863</v>
      </c>
      <c r="BM1771" t="s">
        <v>28687</v>
      </c>
      <c r="BR1771" t="s">
        <v>98</v>
      </c>
      <c r="BS1771" t="s">
        <v>28688</v>
      </c>
      <c r="BT1771" t="s">
        <v>16602</v>
      </c>
    </row>
    <row r="1772" spans="1:72">
      <c r="A1772" t="s">
        <v>72</v>
      </c>
      <c r="B1772" t="s">
        <v>28689</v>
      </c>
      <c r="F1772" t="s">
        <v>28690</v>
      </c>
      <c r="I1772" t="s">
        <v>28691</v>
      </c>
      <c r="J1772" t="s">
        <v>11045</v>
      </c>
      <c r="M1772" t="s">
        <v>78</v>
      </c>
      <c r="N1772" t="s">
        <v>79</v>
      </c>
      <c r="U1772" t="s">
        <v>28692</v>
      </c>
      <c r="V1772" t="s">
        <v>28693</v>
      </c>
      <c r="W1772" t="s">
        <v>28694</v>
      </c>
      <c r="X1772" t="s">
        <v>28695</v>
      </c>
      <c r="Y1772" t="s">
        <v>28696</v>
      </c>
      <c r="Z1772" t="s">
        <v>28697</v>
      </c>
      <c r="AA1772" t="s">
        <v>28698</v>
      </c>
      <c r="AB1772" t="s">
        <v>28699</v>
      </c>
      <c r="AC1772" t="s">
        <v>28700</v>
      </c>
      <c r="AD1772" t="s">
        <v>28701</v>
      </c>
      <c r="AE1772" t="s">
        <v>28702</v>
      </c>
      <c r="AG1772">
        <v>64</v>
      </c>
      <c r="AH1772">
        <v>18</v>
      </c>
      <c r="AI1772">
        <v>20</v>
      </c>
      <c r="AJ1772">
        <v>3</v>
      </c>
      <c r="AK1772">
        <v>26</v>
      </c>
      <c r="AL1772" t="s">
        <v>11056</v>
      </c>
      <c r="AM1772" t="s">
        <v>11057</v>
      </c>
      <c r="AN1772" t="s">
        <v>11058</v>
      </c>
      <c r="AO1772" t="s">
        <v>11059</v>
      </c>
      <c r="AR1772" t="s">
        <v>11045</v>
      </c>
      <c r="AS1772" t="s">
        <v>11060</v>
      </c>
      <c r="AT1772" t="s">
        <v>28703</v>
      </c>
      <c r="AU1772">
        <v>2018</v>
      </c>
      <c r="AV1772">
        <v>13</v>
      </c>
      <c r="AW1772">
        <v>4</v>
      </c>
      <c r="BD1772" t="s">
        <v>28704</v>
      </c>
      <c r="BE1772" t="s">
        <v>28705</v>
      </c>
      <c r="BF1772" t="s">
        <v>28706</v>
      </c>
      <c r="BI1772">
        <v>21</v>
      </c>
      <c r="BJ1772" t="s">
        <v>3202</v>
      </c>
      <c r="BK1772" t="s">
        <v>96</v>
      </c>
      <c r="BL1772" t="s">
        <v>3203</v>
      </c>
      <c r="BM1772" t="s">
        <v>28707</v>
      </c>
      <c r="BN1772">
        <v>29617387</v>
      </c>
      <c r="BO1772" t="s">
        <v>5306</v>
      </c>
      <c r="BR1772" t="s">
        <v>98</v>
      </c>
      <c r="BS1772" t="s">
        <v>28708</v>
      </c>
      <c r="BT1772" t="s">
        <v>16602</v>
      </c>
    </row>
    <row r="1773" spans="1:72">
      <c r="A1773" t="s">
        <v>72</v>
      </c>
      <c r="B1773" t="s">
        <v>28709</v>
      </c>
      <c r="F1773" t="s">
        <v>28710</v>
      </c>
      <c r="I1773" t="s">
        <v>28711</v>
      </c>
      <c r="J1773" t="s">
        <v>5413</v>
      </c>
      <c r="M1773" t="s">
        <v>78</v>
      </c>
      <c r="N1773" t="s">
        <v>79</v>
      </c>
      <c r="T1773" t="s">
        <v>28712</v>
      </c>
      <c r="U1773" t="s">
        <v>28713</v>
      </c>
      <c r="V1773" t="s">
        <v>28714</v>
      </c>
      <c r="W1773" t="s">
        <v>28715</v>
      </c>
      <c r="X1773" t="s">
        <v>28716</v>
      </c>
      <c r="Y1773" t="s">
        <v>28717</v>
      </c>
      <c r="Z1773" t="s">
        <v>28718</v>
      </c>
      <c r="AA1773" t="s">
        <v>28719</v>
      </c>
      <c r="AB1773" t="s">
        <v>28720</v>
      </c>
      <c r="AC1773" t="s">
        <v>28721</v>
      </c>
      <c r="AD1773" t="s">
        <v>28721</v>
      </c>
      <c r="AE1773" t="s">
        <v>28722</v>
      </c>
      <c r="AG1773">
        <v>67</v>
      </c>
      <c r="AH1773">
        <v>2</v>
      </c>
      <c r="AI1773">
        <v>2</v>
      </c>
      <c r="AJ1773">
        <v>0</v>
      </c>
      <c r="AK1773">
        <v>11</v>
      </c>
      <c r="AL1773" t="s">
        <v>650</v>
      </c>
      <c r="AM1773" t="s">
        <v>651</v>
      </c>
      <c r="AN1773" t="s">
        <v>652</v>
      </c>
      <c r="AO1773" t="s">
        <v>5426</v>
      </c>
      <c r="AP1773" t="s">
        <v>5427</v>
      </c>
      <c r="AR1773" t="s">
        <v>5428</v>
      </c>
      <c r="AS1773" t="s">
        <v>5429</v>
      </c>
      <c r="AT1773" t="s">
        <v>224</v>
      </c>
      <c r="AU1773">
        <v>2022</v>
      </c>
      <c r="AV1773">
        <v>90</v>
      </c>
      <c r="BD1773">
        <v>103795</v>
      </c>
      <c r="BE1773" t="s">
        <v>28723</v>
      </c>
      <c r="BF1773" t="s">
        <v>28724</v>
      </c>
      <c r="BH1773" t="s">
        <v>227</v>
      </c>
      <c r="BI1773">
        <v>11</v>
      </c>
      <c r="BJ1773" t="s">
        <v>5431</v>
      </c>
      <c r="BK1773" t="s">
        <v>96</v>
      </c>
      <c r="BL1773" t="s">
        <v>5432</v>
      </c>
      <c r="BM1773" t="s">
        <v>28725</v>
      </c>
      <c r="BN1773">
        <v>34971800</v>
      </c>
      <c r="BO1773" t="s">
        <v>2784</v>
      </c>
      <c r="BR1773" t="s">
        <v>98</v>
      </c>
      <c r="BS1773" t="s">
        <v>28726</v>
      </c>
      <c r="BT1773" t="s">
        <v>16602</v>
      </c>
    </row>
    <row r="1774" spans="1:72">
      <c r="A1774" t="s">
        <v>72</v>
      </c>
      <c r="B1774" t="s">
        <v>28727</v>
      </c>
      <c r="F1774" t="s">
        <v>28728</v>
      </c>
      <c r="I1774" t="s">
        <v>28729</v>
      </c>
      <c r="J1774" t="s">
        <v>127</v>
      </c>
      <c r="M1774" t="s">
        <v>78</v>
      </c>
      <c r="N1774" t="s">
        <v>79</v>
      </c>
      <c r="T1774" t="s">
        <v>28730</v>
      </c>
      <c r="U1774" t="s">
        <v>28731</v>
      </c>
      <c r="V1774" t="s">
        <v>28732</v>
      </c>
      <c r="W1774" t="s">
        <v>28733</v>
      </c>
      <c r="Y1774" t="s">
        <v>28734</v>
      </c>
      <c r="Z1774" t="s">
        <v>28735</v>
      </c>
      <c r="AB1774" t="s">
        <v>28736</v>
      </c>
      <c r="AG1774">
        <v>50</v>
      </c>
      <c r="AH1774">
        <v>10</v>
      </c>
      <c r="AI1774">
        <v>10</v>
      </c>
      <c r="AJ1774">
        <v>9</v>
      </c>
      <c r="AK1774">
        <v>40</v>
      </c>
      <c r="AL1774" t="s">
        <v>136</v>
      </c>
      <c r="AM1774" t="s">
        <v>137</v>
      </c>
      <c r="AN1774" t="s">
        <v>138</v>
      </c>
      <c r="AO1774" t="s">
        <v>139</v>
      </c>
      <c r="AP1774" t="s">
        <v>140</v>
      </c>
      <c r="AR1774" t="s">
        <v>127</v>
      </c>
      <c r="AS1774" t="s">
        <v>141</v>
      </c>
      <c r="AT1774" t="s">
        <v>1470</v>
      </c>
      <c r="AU1774">
        <v>2023</v>
      </c>
      <c r="AV1774">
        <v>312</v>
      </c>
      <c r="AX1774">
        <v>1</v>
      </c>
      <c r="BD1774">
        <v>137183</v>
      </c>
      <c r="BE1774" t="s">
        <v>28737</v>
      </c>
      <c r="BF1774" t="s">
        <v>28738</v>
      </c>
      <c r="BH1774" t="s">
        <v>699</v>
      </c>
      <c r="BI1774">
        <v>6</v>
      </c>
      <c r="BJ1774" t="s">
        <v>144</v>
      </c>
      <c r="BK1774" t="s">
        <v>96</v>
      </c>
      <c r="BL1774" t="s">
        <v>145</v>
      </c>
      <c r="BM1774" t="s">
        <v>28739</v>
      </c>
      <c r="BN1774">
        <v>36356818</v>
      </c>
      <c r="BR1774" t="s">
        <v>98</v>
      </c>
      <c r="BS1774" t="s">
        <v>28740</v>
      </c>
      <c r="BT1774" t="s">
        <v>16602</v>
      </c>
    </row>
    <row r="1775" spans="1:72">
      <c r="A1775" t="s">
        <v>72</v>
      </c>
      <c r="B1775" t="s">
        <v>28741</v>
      </c>
      <c r="F1775" t="s">
        <v>28742</v>
      </c>
      <c r="I1775" t="s">
        <v>28743</v>
      </c>
      <c r="J1775" t="s">
        <v>909</v>
      </c>
      <c r="M1775" t="s">
        <v>78</v>
      </c>
      <c r="N1775" t="s">
        <v>79</v>
      </c>
      <c r="T1775" t="s">
        <v>28744</v>
      </c>
      <c r="U1775" t="s">
        <v>28745</v>
      </c>
      <c r="V1775" t="s">
        <v>28746</v>
      </c>
      <c r="W1775" t="s">
        <v>28747</v>
      </c>
      <c r="X1775" t="s">
        <v>28748</v>
      </c>
      <c r="Y1775" t="s">
        <v>28749</v>
      </c>
      <c r="Z1775" t="s">
        <v>28750</v>
      </c>
      <c r="AA1775" t="s">
        <v>13613</v>
      </c>
      <c r="AB1775" t="s">
        <v>28751</v>
      </c>
      <c r="AG1775">
        <v>74</v>
      </c>
      <c r="AH1775">
        <v>12</v>
      </c>
      <c r="AI1775">
        <v>12</v>
      </c>
      <c r="AJ1775">
        <v>4</v>
      </c>
      <c r="AK1775">
        <v>30</v>
      </c>
      <c r="AL1775" t="s">
        <v>650</v>
      </c>
      <c r="AM1775" t="s">
        <v>651</v>
      </c>
      <c r="AN1775" t="s">
        <v>652</v>
      </c>
      <c r="AO1775" t="s">
        <v>921</v>
      </c>
      <c r="AP1775" t="s">
        <v>922</v>
      </c>
      <c r="AR1775" t="s">
        <v>923</v>
      </c>
      <c r="AS1775" t="s">
        <v>924</v>
      </c>
      <c r="AT1775" t="s">
        <v>27393</v>
      </c>
      <c r="AU1775">
        <v>2020</v>
      </c>
      <c r="AV1775">
        <v>720</v>
      </c>
      <c r="BD1775">
        <v>137733</v>
      </c>
      <c r="BE1775" t="s">
        <v>28752</v>
      </c>
      <c r="BF1775" t="s">
        <v>28753</v>
      </c>
      <c r="BI1775">
        <v>11</v>
      </c>
      <c r="BJ1775" t="s">
        <v>144</v>
      </c>
      <c r="BK1775" t="s">
        <v>96</v>
      </c>
      <c r="BL1775" t="s">
        <v>145</v>
      </c>
      <c r="BM1775" t="s">
        <v>28754</v>
      </c>
      <c r="BN1775">
        <v>32325610</v>
      </c>
      <c r="BR1775" t="s">
        <v>98</v>
      </c>
      <c r="BS1775" t="s">
        <v>28755</v>
      </c>
      <c r="BT1775" t="s">
        <v>16602</v>
      </c>
    </row>
    <row r="1776" spans="1:72">
      <c r="A1776" t="s">
        <v>72</v>
      </c>
      <c r="B1776" t="s">
        <v>28756</v>
      </c>
      <c r="F1776" t="s">
        <v>28757</v>
      </c>
      <c r="I1776" t="s">
        <v>28758</v>
      </c>
      <c r="J1776" t="s">
        <v>704</v>
      </c>
      <c r="M1776" t="s">
        <v>78</v>
      </c>
      <c r="N1776" t="s">
        <v>79</v>
      </c>
      <c r="T1776" t="s">
        <v>28759</v>
      </c>
      <c r="U1776" t="s">
        <v>28760</v>
      </c>
      <c r="V1776" t="s">
        <v>28761</v>
      </c>
      <c r="W1776" t="s">
        <v>28762</v>
      </c>
      <c r="X1776" t="s">
        <v>28763</v>
      </c>
      <c r="Y1776" t="s">
        <v>28764</v>
      </c>
      <c r="Z1776" t="s">
        <v>28765</v>
      </c>
      <c r="AB1776" t="s">
        <v>28766</v>
      </c>
      <c r="AC1776" t="s">
        <v>28767</v>
      </c>
      <c r="AD1776" t="s">
        <v>28768</v>
      </c>
      <c r="AE1776" t="s">
        <v>28769</v>
      </c>
      <c r="AG1776">
        <v>58</v>
      </c>
      <c r="AH1776">
        <v>8</v>
      </c>
      <c r="AI1776">
        <v>8</v>
      </c>
      <c r="AJ1776">
        <v>0</v>
      </c>
      <c r="AK1776">
        <v>26</v>
      </c>
      <c r="AL1776" t="s">
        <v>4010</v>
      </c>
      <c r="AM1776" t="s">
        <v>1167</v>
      </c>
      <c r="AN1776" t="s">
        <v>1168</v>
      </c>
      <c r="AO1776" t="s">
        <v>718</v>
      </c>
      <c r="AP1776" t="s">
        <v>1169</v>
      </c>
      <c r="AR1776" t="s">
        <v>719</v>
      </c>
      <c r="AS1776" t="s">
        <v>720</v>
      </c>
      <c r="AT1776" t="s">
        <v>224</v>
      </c>
      <c r="AU1776">
        <v>2019</v>
      </c>
      <c r="AV1776">
        <v>230</v>
      </c>
      <c r="AW1776">
        <v>2</v>
      </c>
      <c r="BD1776">
        <v>27</v>
      </c>
      <c r="BE1776" t="s">
        <v>28770</v>
      </c>
      <c r="BF1776" t="s">
        <v>28771</v>
      </c>
      <c r="BI1776">
        <v>15</v>
      </c>
      <c r="BJ1776" t="s">
        <v>722</v>
      </c>
      <c r="BK1776" t="s">
        <v>96</v>
      </c>
      <c r="BL1776" t="s">
        <v>723</v>
      </c>
      <c r="BM1776" t="s">
        <v>28772</v>
      </c>
      <c r="BR1776" t="s">
        <v>98</v>
      </c>
      <c r="BS1776" t="s">
        <v>28773</v>
      </c>
      <c r="BT1776" t="s">
        <v>16602</v>
      </c>
    </row>
    <row r="1777" spans="1:72">
      <c r="A1777" t="s">
        <v>72</v>
      </c>
      <c r="B1777" t="s">
        <v>28774</v>
      </c>
      <c r="F1777" t="s">
        <v>28775</v>
      </c>
      <c r="I1777" t="s">
        <v>28776</v>
      </c>
      <c r="J1777" t="s">
        <v>127</v>
      </c>
      <c r="M1777" t="s">
        <v>78</v>
      </c>
      <c r="N1777" t="s">
        <v>79</v>
      </c>
      <c r="T1777" t="s">
        <v>28777</v>
      </c>
      <c r="U1777" t="s">
        <v>28778</v>
      </c>
      <c r="V1777" t="s">
        <v>28779</v>
      </c>
      <c r="W1777" t="s">
        <v>28780</v>
      </c>
      <c r="X1777" t="s">
        <v>28781</v>
      </c>
      <c r="Y1777" t="s">
        <v>28782</v>
      </c>
      <c r="Z1777" t="s">
        <v>28783</v>
      </c>
      <c r="AA1777" t="s">
        <v>28784</v>
      </c>
      <c r="AB1777" t="s">
        <v>28785</v>
      </c>
      <c r="AC1777" t="s">
        <v>28786</v>
      </c>
      <c r="AD1777" t="s">
        <v>28787</v>
      </c>
      <c r="AE1777" t="s">
        <v>28788</v>
      </c>
      <c r="AG1777">
        <v>42</v>
      </c>
      <c r="AH1777">
        <v>10</v>
      </c>
      <c r="AI1777">
        <v>10</v>
      </c>
      <c r="AJ1777">
        <v>0</v>
      </c>
      <c r="AK1777">
        <v>11</v>
      </c>
      <c r="AL1777" t="s">
        <v>136</v>
      </c>
      <c r="AM1777" t="s">
        <v>137</v>
      </c>
      <c r="AN1777" t="s">
        <v>138</v>
      </c>
      <c r="AO1777" t="s">
        <v>139</v>
      </c>
      <c r="AP1777" t="s">
        <v>140</v>
      </c>
      <c r="AR1777" t="s">
        <v>127</v>
      </c>
      <c r="AS1777" t="s">
        <v>141</v>
      </c>
      <c r="AT1777" t="s">
        <v>119</v>
      </c>
      <c r="AU1777">
        <v>2019</v>
      </c>
      <c r="AV1777">
        <v>228</v>
      </c>
      <c r="BB1777">
        <v>756</v>
      </c>
      <c r="BC1777">
        <v>761</v>
      </c>
      <c r="BE1777" t="s">
        <v>28789</v>
      </c>
      <c r="BF1777" t="s">
        <v>28790</v>
      </c>
      <c r="BI1777">
        <v>6</v>
      </c>
      <c r="BJ1777" t="s">
        <v>144</v>
      </c>
      <c r="BK1777" t="s">
        <v>96</v>
      </c>
      <c r="BL1777" t="s">
        <v>145</v>
      </c>
      <c r="BM1777" t="s">
        <v>28791</v>
      </c>
      <c r="BN1777">
        <v>31071562</v>
      </c>
      <c r="BR1777" t="s">
        <v>98</v>
      </c>
      <c r="BS1777" t="s">
        <v>28792</v>
      </c>
      <c r="BT1777" t="s">
        <v>16602</v>
      </c>
    </row>
    <row r="1778" spans="1:72">
      <c r="A1778" t="s">
        <v>72</v>
      </c>
      <c r="B1778" t="s">
        <v>28793</v>
      </c>
      <c r="F1778" t="s">
        <v>28793</v>
      </c>
      <c r="I1778" t="s">
        <v>28794</v>
      </c>
      <c r="J1778" t="s">
        <v>641</v>
      </c>
      <c r="M1778" t="s">
        <v>78</v>
      </c>
      <c r="N1778" t="s">
        <v>79</v>
      </c>
      <c r="T1778" t="s">
        <v>28795</v>
      </c>
      <c r="U1778" t="s">
        <v>28796</v>
      </c>
      <c r="V1778" t="s">
        <v>28797</v>
      </c>
      <c r="W1778" t="s">
        <v>28798</v>
      </c>
      <c r="X1778" t="s">
        <v>28799</v>
      </c>
      <c r="Y1778" t="s">
        <v>28800</v>
      </c>
      <c r="Z1778" t="s">
        <v>28801</v>
      </c>
      <c r="AA1778" t="s">
        <v>14454</v>
      </c>
      <c r="AB1778" t="s">
        <v>14455</v>
      </c>
      <c r="AG1778">
        <v>63</v>
      </c>
      <c r="AH1778">
        <v>172</v>
      </c>
      <c r="AI1778">
        <v>182</v>
      </c>
      <c r="AJ1778">
        <v>0</v>
      </c>
      <c r="AK1778">
        <v>18</v>
      </c>
      <c r="AL1778" t="s">
        <v>919</v>
      </c>
      <c r="AM1778" t="s">
        <v>651</v>
      </c>
      <c r="AN1778" t="s">
        <v>920</v>
      </c>
      <c r="AO1778" t="s">
        <v>653</v>
      </c>
      <c r="AP1778" t="s">
        <v>654</v>
      </c>
      <c r="AR1778" t="s">
        <v>655</v>
      </c>
      <c r="AS1778" t="s">
        <v>656</v>
      </c>
      <c r="AT1778" t="s">
        <v>224</v>
      </c>
      <c r="AU1778">
        <v>1998</v>
      </c>
      <c r="AV1778">
        <v>40</v>
      </c>
      <c r="AW1778">
        <v>4</v>
      </c>
      <c r="BB1778">
        <v>375</v>
      </c>
      <c r="BC1778">
        <v>392</v>
      </c>
      <c r="BE1778" t="s">
        <v>28802</v>
      </c>
      <c r="BF1778" t="s">
        <v>28803</v>
      </c>
      <c r="BI1778">
        <v>18</v>
      </c>
      <c r="BJ1778" t="s">
        <v>659</v>
      </c>
      <c r="BK1778" t="s">
        <v>96</v>
      </c>
      <c r="BL1778" t="s">
        <v>659</v>
      </c>
      <c r="BM1778" t="s">
        <v>18439</v>
      </c>
      <c r="BR1778" t="s">
        <v>98</v>
      </c>
      <c r="BS1778" t="s">
        <v>28804</v>
      </c>
      <c r="BT1778" t="s">
        <v>16602</v>
      </c>
    </row>
    <row r="1779" spans="1:72">
      <c r="A1779" t="s">
        <v>72</v>
      </c>
      <c r="B1779" t="s">
        <v>28805</v>
      </c>
      <c r="F1779" t="s">
        <v>28806</v>
      </c>
      <c r="I1779" t="s">
        <v>28807</v>
      </c>
      <c r="J1779" t="s">
        <v>232</v>
      </c>
      <c r="M1779" t="s">
        <v>78</v>
      </c>
      <c r="N1779" t="s">
        <v>79</v>
      </c>
      <c r="T1779" t="s">
        <v>28808</v>
      </c>
      <c r="U1779" t="s">
        <v>28809</v>
      </c>
      <c r="V1779" t="s">
        <v>28810</v>
      </c>
      <c r="W1779" t="s">
        <v>28811</v>
      </c>
      <c r="X1779" t="s">
        <v>28812</v>
      </c>
      <c r="Y1779" t="s">
        <v>28813</v>
      </c>
      <c r="Z1779" t="s">
        <v>28814</v>
      </c>
      <c r="AA1779" t="s">
        <v>28815</v>
      </c>
      <c r="AC1779" t="s">
        <v>28816</v>
      </c>
      <c r="AD1779" t="s">
        <v>28817</v>
      </c>
      <c r="AE1779" t="s">
        <v>28818</v>
      </c>
      <c r="AG1779">
        <v>47</v>
      </c>
      <c r="AH1779">
        <v>1</v>
      </c>
      <c r="AI1779">
        <v>1</v>
      </c>
      <c r="AJ1779">
        <v>0</v>
      </c>
      <c r="AK1779">
        <v>10</v>
      </c>
      <c r="AL1779" t="s">
        <v>136</v>
      </c>
      <c r="AM1779" t="s">
        <v>137</v>
      </c>
      <c r="AN1779" t="s">
        <v>138</v>
      </c>
      <c r="AO1779" t="s">
        <v>240</v>
      </c>
      <c r="AP1779" t="s">
        <v>241</v>
      </c>
      <c r="AR1779" t="s">
        <v>242</v>
      </c>
      <c r="AS1779" t="s">
        <v>243</v>
      </c>
      <c r="AT1779" t="s">
        <v>119</v>
      </c>
      <c r="AU1779">
        <v>2023</v>
      </c>
      <c r="AV1779">
        <v>193</v>
      </c>
      <c r="BD1779">
        <v>115230</v>
      </c>
      <c r="BE1779" t="s">
        <v>28819</v>
      </c>
      <c r="BF1779" t="s">
        <v>28820</v>
      </c>
      <c r="BH1779" t="s">
        <v>1121</v>
      </c>
      <c r="BI1779">
        <v>8</v>
      </c>
      <c r="BJ1779" t="s">
        <v>247</v>
      </c>
      <c r="BK1779" t="s">
        <v>96</v>
      </c>
      <c r="BL1779" t="s">
        <v>248</v>
      </c>
      <c r="BM1779" t="s">
        <v>28821</v>
      </c>
      <c r="BN1779">
        <v>37406401</v>
      </c>
      <c r="BR1779" t="s">
        <v>98</v>
      </c>
      <c r="BS1779" t="s">
        <v>28822</v>
      </c>
      <c r="BT1779" t="s">
        <v>16602</v>
      </c>
    </row>
    <row r="1780" spans="1:72">
      <c r="A1780" t="s">
        <v>72</v>
      </c>
      <c r="B1780" t="s">
        <v>28823</v>
      </c>
      <c r="F1780" t="s">
        <v>28824</v>
      </c>
      <c r="I1780" t="s">
        <v>28825</v>
      </c>
      <c r="J1780" t="s">
        <v>909</v>
      </c>
      <c r="M1780" t="s">
        <v>78</v>
      </c>
      <c r="N1780" t="s">
        <v>79</v>
      </c>
      <c r="T1780" t="s">
        <v>28826</v>
      </c>
      <c r="U1780" t="s">
        <v>28827</v>
      </c>
      <c r="V1780" t="s">
        <v>28828</v>
      </c>
      <c r="W1780" t="s">
        <v>28829</v>
      </c>
      <c r="X1780" t="s">
        <v>28830</v>
      </c>
      <c r="Y1780" t="s">
        <v>28831</v>
      </c>
      <c r="Z1780" t="s">
        <v>28832</v>
      </c>
      <c r="AA1780" t="s">
        <v>28833</v>
      </c>
      <c r="AB1780" t="s">
        <v>28834</v>
      </c>
      <c r="AC1780" t="s">
        <v>28835</v>
      </c>
      <c r="AD1780" t="s">
        <v>28836</v>
      </c>
      <c r="AE1780" t="s">
        <v>28837</v>
      </c>
      <c r="AG1780">
        <v>62</v>
      </c>
      <c r="AH1780">
        <v>12</v>
      </c>
      <c r="AI1780">
        <v>14</v>
      </c>
      <c r="AJ1780">
        <v>13</v>
      </c>
      <c r="AK1780">
        <v>76</v>
      </c>
      <c r="AL1780" t="s">
        <v>650</v>
      </c>
      <c r="AM1780" t="s">
        <v>651</v>
      </c>
      <c r="AN1780" t="s">
        <v>652</v>
      </c>
      <c r="AO1780" t="s">
        <v>921</v>
      </c>
      <c r="AP1780" t="s">
        <v>922</v>
      </c>
      <c r="AR1780" t="s">
        <v>923</v>
      </c>
      <c r="AS1780" t="s">
        <v>924</v>
      </c>
      <c r="AT1780" t="s">
        <v>4761</v>
      </c>
      <c r="AU1780">
        <v>2022</v>
      </c>
      <c r="AV1780">
        <v>812</v>
      </c>
      <c r="BD1780">
        <v>152370</v>
      </c>
      <c r="BE1780" t="s">
        <v>28838</v>
      </c>
      <c r="BF1780" t="s">
        <v>28839</v>
      </c>
      <c r="BH1780" t="s">
        <v>4701</v>
      </c>
      <c r="BI1780">
        <v>9</v>
      </c>
      <c r="BJ1780" t="s">
        <v>144</v>
      </c>
      <c r="BK1780" t="s">
        <v>96</v>
      </c>
      <c r="BL1780" t="s">
        <v>145</v>
      </c>
      <c r="BM1780" t="s">
        <v>28840</v>
      </c>
      <c r="BN1780">
        <v>34915017</v>
      </c>
      <c r="BR1780" t="s">
        <v>98</v>
      </c>
      <c r="BS1780" t="s">
        <v>28841</v>
      </c>
      <c r="BT1780" t="s">
        <v>16602</v>
      </c>
    </row>
    <row r="1781" spans="1:72">
      <c r="A1781" t="s">
        <v>72</v>
      </c>
      <c r="B1781" t="s">
        <v>28842</v>
      </c>
      <c r="F1781" t="s">
        <v>28843</v>
      </c>
      <c r="I1781" t="s">
        <v>28844</v>
      </c>
      <c r="J1781" t="s">
        <v>28845</v>
      </c>
      <c r="M1781" t="s">
        <v>78</v>
      </c>
      <c r="N1781" t="s">
        <v>79</v>
      </c>
      <c r="T1781" t="s">
        <v>28846</v>
      </c>
      <c r="U1781" t="s">
        <v>28847</v>
      </c>
      <c r="V1781" t="s">
        <v>28848</v>
      </c>
      <c r="W1781" t="s">
        <v>28849</v>
      </c>
      <c r="X1781" t="s">
        <v>28850</v>
      </c>
      <c r="Y1781" t="s">
        <v>28851</v>
      </c>
      <c r="Z1781" t="s">
        <v>28852</v>
      </c>
      <c r="AA1781" t="s">
        <v>28853</v>
      </c>
      <c r="AB1781" t="s">
        <v>28854</v>
      </c>
      <c r="AC1781" t="s">
        <v>28855</v>
      </c>
      <c r="AD1781" t="s">
        <v>28856</v>
      </c>
      <c r="AE1781" t="s">
        <v>28857</v>
      </c>
      <c r="AG1781">
        <v>36</v>
      </c>
      <c r="AH1781">
        <v>8</v>
      </c>
      <c r="AI1781">
        <v>8</v>
      </c>
      <c r="AJ1781">
        <v>0</v>
      </c>
      <c r="AK1781">
        <v>12</v>
      </c>
      <c r="AL1781" t="s">
        <v>86</v>
      </c>
      <c r="AM1781" t="s">
        <v>87</v>
      </c>
      <c r="AN1781" t="s">
        <v>88</v>
      </c>
      <c r="AO1781" t="s">
        <v>28858</v>
      </c>
      <c r="AP1781" t="s">
        <v>28859</v>
      </c>
      <c r="AR1781" t="s">
        <v>28860</v>
      </c>
      <c r="AS1781" t="s">
        <v>28861</v>
      </c>
      <c r="AT1781" t="s">
        <v>170</v>
      </c>
      <c r="AU1781">
        <v>2016</v>
      </c>
      <c r="AV1781">
        <v>7</v>
      </c>
      <c r="AW1781">
        <v>5</v>
      </c>
      <c r="BB1781">
        <v>609</v>
      </c>
      <c r="BC1781">
        <v>618</v>
      </c>
      <c r="BE1781" t="s">
        <v>28862</v>
      </c>
      <c r="BF1781" t="s">
        <v>28863</v>
      </c>
      <c r="BI1781">
        <v>10</v>
      </c>
      <c r="BJ1781" t="s">
        <v>6054</v>
      </c>
      <c r="BK1781" t="s">
        <v>96</v>
      </c>
      <c r="BL1781" t="s">
        <v>145</v>
      </c>
      <c r="BM1781" t="s">
        <v>28864</v>
      </c>
      <c r="BO1781" t="s">
        <v>9583</v>
      </c>
      <c r="BR1781" t="s">
        <v>98</v>
      </c>
      <c r="BS1781" t="s">
        <v>28865</v>
      </c>
      <c r="BT1781" t="s">
        <v>16602</v>
      </c>
    </row>
    <row r="1782" spans="1:72">
      <c r="A1782" t="s">
        <v>72</v>
      </c>
      <c r="B1782" t="s">
        <v>28866</v>
      </c>
      <c r="F1782" t="s">
        <v>28866</v>
      </c>
      <c r="I1782" t="s">
        <v>28867</v>
      </c>
      <c r="J1782" t="s">
        <v>2894</v>
      </c>
      <c r="M1782" t="s">
        <v>78</v>
      </c>
      <c r="N1782" t="s">
        <v>79</v>
      </c>
      <c r="V1782" t="s">
        <v>28868</v>
      </c>
      <c r="Y1782" t="s">
        <v>28869</v>
      </c>
      <c r="AG1782">
        <v>46</v>
      </c>
      <c r="AH1782">
        <v>83</v>
      </c>
      <c r="AI1782">
        <v>96</v>
      </c>
      <c r="AJ1782">
        <v>0</v>
      </c>
      <c r="AK1782">
        <v>11</v>
      </c>
      <c r="AL1782" t="s">
        <v>2904</v>
      </c>
      <c r="AM1782" t="s">
        <v>2905</v>
      </c>
      <c r="AN1782" t="s">
        <v>2906</v>
      </c>
      <c r="AO1782" t="s">
        <v>2907</v>
      </c>
      <c r="AP1782" t="s">
        <v>5406</v>
      </c>
      <c r="AR1782" t="s">
        <v>2908</v>
      </c>
      <c r="AS1782" t="s">
        <v>2909</v>
      </c>
      <c r="AT1782" t="s">
        <v>1223</v>
      </c>
      <c r="AU1782">
        <v>1990</v>
      </c>
      <c r="AV1782">
        <v>61</v>
      </c>
      <c r="AW1782">
        <v>3</v>
      </c>
      <c r="BB1782">
        <v>253</v>
      </c>
      <c r="BC1782">
        <v>262</v>
      </c>
      <c r="BE1782" t="s">
        <v>28870</v>
      </c>
      <c r="BF1782" t="s">
        <v>28871</v>
      </c>
      <c r="BI1782">
        <v>10</v>
      </c>
      <c r="BJ1782" t="s">
        <v>2911</v>
      </c>
      <c r="BK1782" t="s">
        <v>96</v>
      </c>
      <c r="BL1782" t="s">
        <v>2912</v>
      </c>
      <c r="BM1782" t="s">
        <v>28872</v>
      </c>
      <c r="BO1782" t="s">
        <v>370</v>
      </c>
      <c r="BR1782" t="s">
        <v>98</v>
      </c>
      <c r="BS1782" t="s">
        <v>28873</v>
      </c>
      <c r="BT1782" t="s">
        <v>16602</v>
      </c>
    </row>
    <row r="1783" spans="1:72">
      <c r="A1783" t="s">
        <v>72</v>
      </c>
      <c r="B1783" t="s">
        <v>28874</v>
      </c>
      <c r="F1783" t="s">
        <v>28875</v>
      </c>
      <c r="I1783" t="s">
        <v>28876</v>
      </c>
      <c r="J1783" t="s">
        <v>909</v>
      </c>
      <c r="M1783" t="s">
        <v>78</v>
      </c>
      <c r="N1783" t="s">
        <v>79</v>
      </c>
      <c r="T1783" t="s">
        <v>28877</v>
      </c>
      <c r="U1783" t="s">
        <v>28878</v>
      </c>
      <c r="V1783" t="s">
        <v>28879</v>
      </c>
      <c r="W1783" t="s">
        <v>28880</v>
      </c>
      <c r="X1783" t="s">
        <v>28881</v>
      </c>
      <c r="Y1783" t="s">
        <v>28882</v>
      </c>
      <c r="Z1783" t="s">
        <v>1501</v>
      </c>
      <c r="AA1783" t="s">
        <v>1502</v>
      </c>
      <c r="AG1783">
        <v>227</v>
      </c>
      <c r="AH1783">
        <v>13</v>
      </c>
      <c r="AI1783">
        <v>14</v>
      </c>
      <c r="AJ1783">
        <v>30</v>
      </c>
      <c r="AK1783">
        <v>67</v>
      </c>
      <c r="AL1783" t="s">
        <v>650</v>
      </c>
      <c r="AM1783" t="s">
        <v>651</v>
      </c>
      <c r="AN1783" t="s">
        <v>652</v>
      </c>
      <c r="AO1783" t="s">
        <v>921</v>
      </c>
      <c r="AP1783" t="s">
        <v>922</v>
      </c>
      <c r="AR1783" t="s">
        <v>923</v>
      </c>
      <c r="AS1783" t="s">
        <v>924</v>
      </c>
      <c r="AT1783" t="s">
        <v>1965</v>
      </c>
      <c r="AU1783">
        <v>2023</v>
      </c>
      <c r="AV1783">
        <v>904</v>
      </c>
      <c r="BD1783">
        <v>166652</v>
      </c>
      <c r="BE1783" t="s">
        <v>28883</v>
      </c>
      <c r="BF1783" t="s">
        <v>28884</v>
      </c>
      <c r="BH1783" t="s">
        <v>2000</v>
      </c>
      <c r="BI1783">
        <v>37</v>
      </c>
      <c r="BJ1783" t="s">
        <v>144</v>
      </c>
      <c r="BK1783" t="s">
        <v>96</v>
      </c>
      <c r="BL1783" t="s">
        <v>145</v>
      </c>
      <c r="BM1783" t="s">
        <v>28885</v>
      </c>
      <c r="BN1783">
        <v>37652377</v>
      </c>
      <c r="BR1783" t="s">
        <v>98</v>
      </c>
      <c r="BS1783" t="s">
        <v>28886</v>
      </c>
      <c r="BT1783" t="s">
        <v>16602</v>
      </c>
    </row>
    <row r="1784" spans="1:72">
      <c r="A1784" t="s">
        <v>72</v>
      </c>
      <c r="B1784" t="s">
        <v>28887</v>
      </c>
      <c r="F1784" t="s">
        <v>28888</v>
      </c>
      <c r="I1784" t="s">
        <v>28889</v>
      </c>
      <c r="J1784" t="s">
        <v>28890</v>
      </c>
      <c r="M1784" t="s">
        <v>78</v>
      </c>
      <c r="N1784" t="s">
        <v>79</v>
      </c>
      <c r="T1784" t="s">
        <v>28891</v>
      </c>
      <c r="U1784" t="s">
        <v>28892</v>
      </c>
      <c r="V1784" t="s">
        <v>28893</v>
      </c>
      <c r="W1784" t="s">
        <v>28894</v>
      </c>
      <c r="X1784" t="s">
        <v>7900</v>
      </c>
      <c r="Y1784" t="s">
        <v>7901</v>
      </c>
      <c r="Z1784" t="s">
        <v>7902</v>
      </c>
      <c r="AA1784" t="s">
        <v>28895</v>
      </c>
      <c r="AC1784" t="s">
        <v>28896</v>
      </c>
      <c r="AD1784" t="s">
        <v>28897</v>
      </c>
      <c r="AE1784" t="s">
        <v>28898</v>
      </c>
      <c r="AG1784">
        <v>50</v>
      </c>
      <c r="AH1784">
        <v>23</v>
      </c>
      <c r="AI1784">
        <v>23</v>
      </c>
      <c r="AJ1784">
        <v>0</v>
      </c>
      <c r="AK1784">
        <v>2</v>
      </c>
      <c r="AL1784" t="s">
        <v>650</v>
      </c>
      <c r="AM1784" t="s">
        <v>651</v>
      </c>
      <c r="AN1784" t="s">
        <v>652</v>
      </c>
      <c r="AO1784" t="s">
        <v>28899</v>
      </c>
      <c r="AP1784" t="s">
        <v>28900</v>
      </c>
      <c r="AR1784" t="s">
        <v>28901</v>
      </c>
      <c r="AS1784" t="s">
        <v>28902</v>
      </c>
      <c r="AT1784" t="s">
        <v>224</v>
      </c>
      <c r="AU1784">
        <v>2023</v>
      </c>
      <c r="AV1784">
        <v>35</v>
      </c>
      <c r="AW1784">
        <v>2</v>
      </c>
      <c r="BD1784">
        <v>102509</v>
      </c>
      <c r="BE1784" t="s">
        <v>28903</v>
      </c>
      <c r="BF1784" t="s">
        <v>28904</v>
      </c>
      <c r="BH1784" t="s">
        <v>4283</v>
      </c>
      <c r="BI1784">
        <v>8</v>
      </c>
      <c r="BJ1784" t="s">
        <v>3202</v>
      </c>
      <c r="BK1784" t="s">
        <v>96</v>
      </c>
      <c r="BL1784" t="s">
        <v>3203</v>
      </c>
      <c r="BM1784" t="s">
        <v>28905</v>
      </c>
      <c r="BO1784" t="s">
        <v>873</v>
      </c>
      <c r="BR1784" t="s">
        <v>98</v>
      </c>
      <c r="BS1784" t="s">
        <v>28906</v>
      </c>
      <c r="BT1784" t="s">
        <v>16602</v>
      </c>
    </row>
    <row r="1785" spans="1:72">
      <c r="A1785" t="s">
        <v>72</v>
      </c>
      <c r="B1785" t="s">
        <v>28907</v>
      </c>
      <c r="F1785" t="s">
        <v>28908</v>
      </c>
      <c r="I1785" t="s">
        <v>28909</v>
      </c>
      <c r="J1785" t="s">
        <v>9914</v>
      </c>
      <c r="M1785" t="s">
        <v>78</v>
      </c>
      <c r="N1785" t="s">
        <v>79</v>
      </c>
      <c r="U1785" t="s">
        <v>28910</v>
      </c>
      <c r="V1785" t="s">
        <v>28911</v>
      </c>
      <c r="W1785" t="s">
        <v>28912</v>
      </c>
      <c r="Y1785" t="s">
        <v>28913</v>
      </c>
      <c r="Z1785" t="s">
        <v>28914</v>
      </c>
      <c r="AB1785" t="s">
        <v>28915</v>
      </c>
      <c r="AG1785">
        <v>71</v>
      </c>
      <c r="AH1785">
        <v>20</v>
      </c>
      <c r="AI1785">
        <v>22</v>
      </c>
      <c r="AJ1785">
        <v>0</v>
      </c>
      <c r="AK1785">
        <v>34</v>
      </c>
      <c r="AL1785" t="s">
        <v>136</v>
      </c>
      <c r="AM1785" t="s">
        <v>137</v>
      </c>
      <c r="AN1785" t="s">
        <v>138</v>
      </c>
      <c r="AO1785" t="s">
        <v>9925</v>
      </c>
      <c r="AR1785" t="s">
        <v>9926</v>
      </c>
      <c r="AS1785" t="s">
        <v>9927</v>
      </c>
      <c r="AT1785" t="s">
        <v>1470</v>
      </c>
      <c r="AU1785">
        <v>2012</v>
      </c>
      <c r="AV1785">
        <v>27</v>
      </c>
      <c r="AW1785">
        <v>1</v>
      </c>
      <c r="BB1785">
        <v>171</v>
      </c>
      <c r="BC1785">
        <v>185</v>
      </c>
      <c r="BE1785" t="s">
        <v>28916</v>
      </c>
      <c r="BF1785" t="s">
        <v>28917</v>
      </c>
      <c r="BI1785">
        <v>15</v>
      </c>
      <c r="BJ1785" t="s">
        <v>9863</v>
      </c>
      <c r="BK1785" t="s">
        <v>96</v>
      </c>
      <c r="BL1785" t="s">
        <v>9863</v>
      </c>
      <c r="BM1785" t="s">
        <v>28918</v>
      </c>
      <c r="BR1785" t="s">
        <v>98</v>
      </c>
      <c r="BS1785" t="s">
        <v>28919</v>
      </c>
      <c r="BT1785" t="s">
        <v>16602</v>
      </c>
    </row>
    <row r="1786" spans="1:72">
      <c r="A1786" t="s">
        <v>72</v>
      </c>
      <c r="B1786" t="s">
        <v>28920</v>
      </c>
      <c r="F1786" t="s">
        <v>28920</v>
      </c>
      <c r="I1786" t="s">
        <v>28921</v>
      </c>
      <c r="J1786" t="s">
        <v>1756</v>
      </c>
      <c r="M1786" t="s">
        <v>78</v>
      </c>
      <c r="N1786" t="s">
        <v>79</v>
      </c>
      <c r="T1786" t="s">
        <v>28922</v>
      </c>
      <c r="U1786" t="s">
        <v>28923</v>
      </c>
      <c r="V1786" t="s">
        <v>28924</v>
      </c>
      <c r="W1786" t="s">
        <v>28925</v>
      </c>
      <c r="X1786" t="s">
        <v>2198</v>
      </c>
      <c r="Y1786" t="s">
        <v>28926</v>
      </c>
      <c r="Z1786" t="s">
        <v>28927</v>
      </c>
      <c r="AA1786" t="s">
        <v>28928</v>
      </c>
      <c r="AB1786" t="s">
        <v>19191</v>
      </c>
      <c r="AG1786">
        <v>44</v>
      </c>
      <c r="AH1786">
        <v>67</v>
      </c>
      <c r="AI1786">
        <v>75</v>
      </c>
      <c r="AJ1786">
        <v>0</v>
      </c>
      <c r="AK1786">
        <v>32</v>
      </c>
      <c r="AL1786" t="s">
        <v>28929</v>
      </c>
      <c r="AM1786" t="s">
        <v>24032</v>
      </c>
      <c r="AN1786" t="s">
        <v>28930</v>
      </c>
      <c r="AO1786" t="s">
        <v>1764</v>
      </c>
      <c r="AR1786" t="s">
        <v>1766</v>
      </c>
      <c r="AS1786" t="s">
        <v>1767</v>
      </c>
      <c r="AT1786" t="s">
        <v>119</v>
      </c>
      <c r="AU1786">
        <v>2004</v>
      </c>
      <c r="AV1786">
        <v>23</v>
      </c>
      <c r="AW1786">
        <v>8</v>
      </c>
      <c r="BB1786">
        <v>1973</v>
      </c>
      <c r="BC1786">
        <v>1983</v>
      </c>
      <c r="BE1786" t="s">
        <v>28931</v>
      </c>
      <c r="BF1786" t="s">
        <v>28932</v>
      </c>
      <c r="BI1786">
        <v>11</v>
      </c>
      <c r="BJ1786" t="s">
        <v>121</v>
      </c>
      <c r="BK1786" t="s">
        <v>96</v>
      </c>
      <c r="BL1786" t="s">
        <v>122</v>
      </c>
      <c r="BM1786" t="s">
        <v>28933</v>
      </c>
      <c r="BN1786">
        <v>15352487</v>
      </c>
      <c r="BR1786" t="s">
        <v>98</v>
      </c>
      <c r="BS1786" t="s">
        <v>28934</v>
      </c>
      <c r="BT1786" t="s">
        <v>16602</v>
      </c>
    </row>
    <row r="1787" spans="1:72">
      <c r="A1787" t="s">
        <v>72</v>
      </c>
      <c r="B1787" t="s">
        <v>28935</v>
      </c>
      <c r="F1787" t="s">
        <v>28936</v>
      </c>
      <c r="I1787" t="s">
        <v>28937</v>
      </c>
      <c r="J1787" t="s">
        <v>4747</v>
      </c>
      <c r="M1787" t="s">
        <v>78</v>
      </c>
      <c r="N1787" t="s">
        <v>79</v>
      </c>
      <c r="T1787" t="s">
        <v>28938</v>
      </c>
      <c r="V1787" t="s">
        <v>28939</v>
      </c>
      <c r="W1787" t="s">
        <v>28940</v>
      </c>
      <c r="X1787" t="s">
        <v>28941</v>
      </c>
      <c r="Y1787" t="s">
        <v>28942</v>
      </c>
      <c r="Z1787" t="s">
        <v>28943</v>
      </c>
      <c r="AC1787" t="s">
        <v>28944</v>
      </c>
      <c r="AD1787" t="s">
        <v>28945</v>
      </c>
      <c r="AE1787" t="s">
        <v>28946</v>
      </c>
      <c r="AG1787">
        <v>59</v>
      </c>
      <c r="AH1787">
        <v>1</v>
      </c>
      <c r="AI1787">
        <v>1</v>
      </c>
      <c r="AJ1787">
        <v>14</v>
      </c>
      <c r="AK1787">
        <v>14</v>
      </c>
      <c r="AL1787" t="s">
        <v>650</v>
      </c>
      <c r="AM1787" t="s">
        <v>651</v>
      </c>
      <c r="AN1787" t="s">
        <v>652</v>
      </c>
      <c r="AO1787" t="s">
        <v>4758</v>
      </c>
      <c r="AP1787" t="s">
        <v>11139</v>
      </c>
      <c r="AR1787" t="s">
        <v>4759</v>
      </c>
      <c r="AS1787" t="s">
        <v>4760</v>
      </c>
      <c r="AT1787" t="s">
        <v>344</v>
      </c>
      <c r="AU1787">
        <v>2024</v>
      </c>
      <c r="AV1787">
        <v>473</v>
      </c>
      <c r="BD1787">
        <v>134588</v>
      </c>
      <c r="BE1787" t="s">
        <v>28947</v>
      </c>
      <c r="BF1787" t="s">
        <v>28948</v>
      </c>
      <c r="BH1787" t="s">
        <v>11425</v>
      </c>
      <c r="BI1787">
        <v>13</v>
      </c>
      <c r="BJ1787" t="s">
        <v>415</v>
      </c>
      <c r="BK1787" t="s">
        <v>96</v>
      </c>
      <c r="BL1787" t="s">
        <v>416</v>
      </c>
      <c r="BM1787" t="s">
        <v>28949</v>
      </c>
      <c r="BN1787">
        <v>38797072</v>
      </c>
      <c r="BR1787" t="s">
        <v>98</v>
      </c>
      <c r="BS1787" t="s">
        <v>28950</v>
      </c>
      <c r="BT1787" t="s">
        <v>16602</v>
      </c>
    </row>
    <row r="1788" spans="1:72">
      <c r="A1788" t="s">
        <v>72</v>
      </c>
      <c r="B1788" t="s">
        <v>28951</v>
      </c>
      <c r="F1788" t="s">
        <v>28951</v>
      </c>
      <c r="I1788" t="s">
        <v>28952</v>
      </c>
      <c r="J1788" t="s">
        <v>8554</v>
      </c>
      <c r="M1788" t="s">
        <v>78</v>
      </c>
      <c r="N1788" t="s">
        <v>79</v>
      </c>
      <c r="U1788" t="s">
        <v>28953</v>
      </c>
      <c r="V1788" t="s">
        <v>28954</v>
      </c>
      <c r="Y1788" t="s">
        <v>15454</v>
      </c>
      <c r="AG1788">
        <v>54</v>
      </c>
      <c r="AH1788">
        <v>13</v>
      </c>
      <c r="AI1788">
        <v>14</v>
      </c>
      <c r="AJ1788">
        <v>0</v>
      </c>
      <c r="AK1788">
        <v>10</v>
      </c>
      <c r="AL1788" t="s">
        <v>8560</v>
      </c>
      <c r="AM1788" t="s">
        <v>8561</v>
      </c>
      <c r="AN1788" t="s">
        <v>8562</v>
      </c>
      <c r="AO1788" t="s">
        <v>8563</v>
      </c>
      <c r="AR1788" t="s">
        <v>8554</v>
      </c>
      <c r="AS1788" t="s">
        <v>8564</v>
      </c>
      <c r="AT1788" t="s">
        <v>305</v>
      </c>
      <c r="AU1788">
        <v>1991</v>
      </c>
      <c r="AV1788">
        <v>14</v>
      </c>
      <c r="AW1788">
        <v>3</v>
      </c>
      <c r="BB1788">
        <v>332</v>
      </c>
      <c r="BC1788">
        <v>342</v>
      </c>
      <c r="BE1788" t="s">
        <v>28955</v>
      </c>
      <c r="BF1788" t="s">
        <v>28956</v>
      </c>
      <c r="BI1788">
        <v>11</v>
      </c>
      <c r="BJ1788" t="s">
        <v>247</v>
      </c>
      <c r="BK1788" t="s">
        <v>96</v>
      </c>
      <c r="BL1788" t="s">
        <v>248</v>
      </c>
      <c r="BM1788" t="s">
        <v>28957</v>
      </c>
      <c r="BR1788" t="s">
        <v>98</v>
      </c>
      <c r="BS1788" t="s">
        <v>28958</v>
      </c>
      <c r="BT1788" t="s">
        <v>16602</v>
      </c>
    </row>
    <row r="1789" spans="1:72">
      <c r="A1789" t="s">
        <v>72</v>
      </c>
      <c r="B1789" t="s">
        <v>28959</v>
      </c>
      <c r="F1789" t="s">
        <v>28959</v>
      </c>
      <c r="I1789" t="s">
        <v>28960</v>
      </c>
      <c r="J1789" t="s">
        <v>421</v>
      </c>
      <c r="M1789" t="s">
        <v>78</v>
      </c>
      <c r="N1789" t="s">
        <v>79</v>
      </c>
      <c r="T1789" t="s">
        <v>28961</v>
      </c>
      <c r="U1789" t="s">
        <v>28962</v>
      </c>
      <c r="V1789" t="s">
        <v>28963</v>
      </c>
      <c r="W1789" t="s">
        <v>28964</v>
      </c>
      <c r="Y1789" t="s">
        <v>28965</v>
      </c>
      <c r="Z1789" t="s">
        <v>28966</v>
      </c>
      <c r="AB1789" t="s">
        <v>17352</v>
      </c>
      <c r="AG1789">
        <v>31</v>
      </c>
      <c r="AH1789">
        <v>56</v>
      </c>
      <c r="AI1789">
        <v>59</v>
      </c>
      <c r="AJ1789">
        <v>0</v>
      </c>
      <c r="AK1789">
        <v>13</v>
      </c>
      <c r="AL1789" t="s">
        <v>430</v>
      </c>
      <c r="AM1789" t="s">
        <v>137</v>
      </c>
      <c r="AN1789" t="s">
        <v>431</v>
      </c>
      <c r="AO1789" t="s">
        <v>432</v>
      </c>
      <c r="AR1789" t="s">
        <v>433</v>
      </c>
      <c r="AS1789" t="s">
        <v>434</v>
      </c>
      <c r="AU1789">
        <v>1999</v>
      </c>
      <c r="AV1789">
        <v>105</v>
      </c>
      <c r="AW1789">
        <v>3</v>
      </c>
      <c r="BB1789">
        <v>437</v>
      </c>
      <c r="BC1789">
        <v>446</v>
      </c>
      <c r="BE1789" t="s">
        <v>28967</v>
      </c>
      <c r="BF1789" t="s">
        <v>28968</v>
      </c>
      <c r="BI1789">
        <v>10</v>
      </c>
      <c r="BJ1789" t="s">
        <v>144</v>
      </c>
      <c r="BK1789" t="s">
        <v>96</v>
      </c>
      <c r="BL1789" t="s">
        <v>145</v>
      </c>
      <c r="BM1789" t="s">
        <v>28969</v>
      </c>
      <c r="BR1789" t="s">
        <v>98</v>
      </c>
      <c r="BS1789" t="s">
        <v>28970</v>
      </c>
      <c r="BT1789" t="s">
        <v>16602</v>
      </c>
    </row>
    <row r="1790" spans="1:72">
      <c r="A1790" t="s">
        <v>72</v>
      </c>
      <c r="B1790" t="s">
        <v>28971</v>
      </c>
      <c r="F1790" t="s">
        <v>28971</v>
      </c>
      <c r="I1790" t="s">
        <v>28972</v>
      </c>
      <c r="J1790" t="s">
        <v>2894</v>
      </c>
      <c r="M1790" t="s">
        <v>78</v>
      </c>
      <c r="N1790" t="s">
        <v>79</v>
      </c>
      <c r="T1790" t="s">
        <v>28973</v>
      </c>
      <c r="U1790" t="s">
        <v>28974</v>
      </c>
      <c r="V1790" t="s">
        <v>28975</v>
      </c>
      <c r="Y1790" t="s">
        <v>28976</v>
      </c>
      <c r="AA1790" t="s">
        <v>20314</v>
      </c>
      <c r="AB1790" t="s">
        <v>20315</v>
      </c>
      <c r="AG1790">
        <v>42</v>
      </c>
      <c r="AH1790">
        <v>40</v>
      </c>
      <c r="AI1790">
        <v>43</v>
      </c>
      <c r="AJ1790">
        <v>0</v>
      </c>
      <c r="AK1790">
        <v>2</v>
      </c>
      <c r="AL1790" t="s">
        <v>2904</v>
      </c>
      <c r="AM1790" t="s">
        <v>2905</v>
      </c>
      <c r="AN1790" t="s">
        <v>2906</v>
      </c>
      <c r="AO1790" t="s">
        <v>2907</v>
      </c>
      <c r="AR1790" t="s">
        <v>2908</v>
      </c>
      <c r="AS1790" t="s">
        <v>2909</v>
      </c>
      <c r="AU1790">
        <v>1997</v>
      </c>
      <c r="AV1790">
        <v>156</v>
      </c>
      <c r="BB1790">
        <v>141</v>
      </c>
      <c r="BC1790">
        <v>150</v>
      </c>
      <c r="BE1790" t="s">
        <v>28977</v>
      </c>
      <c r="BF1790" t="s">
        <v>28978</v>
      </c>
      <c r="BI1790">
        <v>10</v>
      </c>
      <c r="BJ1790" t="s">
        <v>2911</v>
      </c>
      <c r="BK1790" t="s">
        <v>96</v>
      </c>
      <c r="BL1790" t="s">
        <v>2912</v>
      </c>
      <c r="BM1790" t="s">
        <v>28979</v>
      </c>
      <c r="BO1790" t="s">
        <v>370</v>
      </c>
      <c r="BR1790" t="s">
        <v>98</v>
      </c>
      <c r="BS1790" t="s">
        <v>28980</v>
      </c>
      <c r="BT1790" t="s">
        <v>16602</v>
      </c>
    </row>
    <row r="1791" spans="1:72">
      <c r="A1791" t="s">
        <v>72</v>
      </c>
      <c r="B1791" t="s">
        <v>28981</v>
      </c>
      <c r="F1791" t="s">
        <v>28982</v>
      </c>
      <c r="I1791" t="s">
        <v>28983</v>
      </c>
      <c r="J1791" t="s">
        <v>1607</v>
      </c>
      <c r="M1791" t="s">
        <v>78</v>
      </c>
      <c r="N1791" t="s">
        <v>79</v>
      </c>
      <c r="T1791" t="s">
        <v>28984</v>
      </c>
      <c r="U1791" t="s">
        <v>28985</v>
      </c>
      <c r="V1791" t="s">
        <v>28986</v>
      </c>
      <c r="W1791" t="s">
        <v>28987</v>
      </c>
      <c r="X1791" t="s">
        <v>6684</v>
      </c>
      <c r="Y1791" t="s">
        <v>28988</v>
      </c>
      <c r="Z1791" t="s">
        <v>28989</v>
      </c>
      <c r="AA1791" t="s">
        <v>28990</v>
      </c>
      <c r="AB1791" t="s">
        <v>28991</v>
      </c>
      <c r="AG1791">
        <v>41</v>
      </c>
      <c r="AH1791">
        <v>11</v>
      </c>
      <c r="AI1791">
        <v>11</v>
      </c>
      <c r="AJ1791">
        <v>1</v>
      </c>
      <c r="AK1791">
        <v>12</v>
      </c>
      <c r="AL1791" t="s">
        <v>1620</v>
      </c>
      <c r="AM1791" t="s">
        <v>1621</v>
      </c>
      <c r="AN1791" t="s">
        <v>1622</v>
      </c>
      <c r="AO1791" t="s">
        <v>1623</v>
      </c>
      <c r="AP1791" t="s">
        <v>1624</v>
      </c>
      <c r="AR1791" t="s">
        <v>1607</v>
      </c>
      <c r="AS1791" t="s">
        <v>1625</v>
      </c>
      <c r="AT1791" t="s">
        <v>93</v>
      </c>
      <c r="AU1791">
        <v>2017</v>
      </c>
      <c r="AV1791">
        <v>43</v>
      </c>
      <c r="AW1791">
        <v>2</v>
      </c>
      <c r="BB1791">
        <v>200</v>
      </c>
      <c r="BC1791">
        <v>208</v>
      </c>
      <c r="BE1791" t="s">
        <v>28992</v>
      </c>
      <c r="BF1791" t="s">
        <v>28993</v>
      </c>
      <c r="BI1791">
        <v>9</v>
      </c>
      <c r="BJ1791" t="s">
        <v>1626</v>
      </c>
      <c r="BK1791" t="s">
        <v>96</v>
      </c>
      <c r="BL1791" t="s">
        <v>1626</v>
      </c>
      <c r="BM1791" t="s">
        <v>28994</v>
      </c>
      <c r="BO1791" t="s">
        <v>637</v>
      </c>
      <c r="BR1791" t="s">
        <v>98</v>
      </c>
      <c r="BS1791" t="s">
        <v>28995</v>
      </c>
      <c r="BT1791" t="s">
        <v>16602</v>
      </c>
    </row>
    <row r="1792" spans="1:72">
      <c r="A1792" t="s">
        <v>72</v>
      </c>
      <c r="B1792" t="s">
        <v>28996</v>
      </c>
      <c r="F1792" t="s">
        <v>28997</v>
      </c>
      <c r="I1792" t="s">
        <v>28998</v>
      </c>
      <c r="J1792" t="s">
        <v>232</v>
      </c>
      <c r="M1792" t="s">
        <v>78</v>
      </c>
      <c r="N1792" t="s">
        <v>79</v>
      </c>
      <c r="T1792" t="s">
        <v>28999</v>
      </c>
      <c r="U1792" t="s">
        <v>29000</v>
      </c>
      <c r="V1792" t="s">
        <v>29001</v>
      </c>
      <c r="W1792" t="s">
        <v>29002</v>
      </c>
      <c r="X1792" t="s">
        <v>10674</v>
      </c>
      <c r="Y1792" t="s">
        <v>29003</v>
      </c>
      <c r="Z1792" t="s">
        <v>29004</v>
      </c>
      <c r="AA1792" t="s">
        <v>29005</v>
      </c>
      <c r="AB1792" t="s">
        <v>29006</v>
      </c>
      <c r="AC1792" t="s">
        <v>29007</v>
      </c>
      <c r="AD1792" t="s">
        <v>29008</v>
      </c>
      <c r="AE1792" t="s">
        <v>29009</v>
      </c>
      <c r="AG1792">
        <v>35</v>
      </c>
      <c r="AH1792">
        <v>24</v>
      </c>
      <c r="AI1792">
        <v>26</v>
      </c>
      <c r="AJ1792">
        <v>1</v>
      </c>
      <c r="AK1792">
        <v>15</v>
      </c>
      <c r="AL1792" t="s">
        <v>136</v>
      </c>
      <c r="AM1792" t="s">
        <v>137</v>
      </c>
      <c r="AN1792" t="s">
        <v>138</v>
      </c>
      <c r="AO1792" t="s">
        <v>240</v>
      </c>
      <c r="AP1792" t="s">
        <v>241</v>
      </c>
      <c r="AR1792" t="s">
        <v>242</v>
      </c>
      <c r="AS1792" t="s">
        <v>243</v>
      </c>
      <c r="AT1792" t="s">
        <v>93</v>
      </c>
      <c r="AU1792">
        <v>2009</v>
      </c>
      <c r="AV1792">
        <v>58</v>
      </c>
      <c r="AW1792">
        <v>4</v>
      </c>
      <c r="BB1792">
        <v>542</v>
      </c>
      <c r="BC1792">
        <v>551</v>
      </c>
      <c r="BE1792" t="s">
        <v>29010</v>
      </c>
      <c r="BF1792" t="s">
        <v>29011</v>
      </c>
      <c r="BI1792">
        <v>10</v>
      </c>
      <c r="BJ1792" t="s">
        <v>247</v>
      </c>
      <c r="BK1792" t="s">
        <v>96</v>
      </c>
      <c r="BL1792" t="s">
        <v>248</v>
      </c>
      <c r="BM1792" t="s">
        <v>29012</v>
      </c>
      <c r="BN1792">
        <v>19114282</v>
      </c>
      <c r="BR1792" t="s">
        <v>98</v>
      </c>
      <c r="BS1792" t="s">
        <v>29013</v>
      </c>
      <c r="BT1792" t="s">
        <v>16602</v>
      </c>
    </row>
    <row r="1793" spans="1:72">
      <c r="A1793" t="s">
        <v>72</v>
      </c>
      <c r="B1793" t="s">
        <v>29014</v>
      </c>
      <c r="F1793" t="s">
        <v>29015</v>
      </c>
      <c r="I1793" t="s">
        <v>29016</v>
      </c>
      <c r="J1793" t="s">
        <v>232</v>
      </c>
      <c r="M1793" t="s">
        <v>78</v>
      </c>
      <c r="N1793" t="s">
        <v>79</v>
      </c>
      <c r="T1793" t="s">
        <v>29017</v>
      </c>
      <c r="U1793" t="s">
        <v>29018</v>
      </c>
      <c r="V1793" t="s">
        <v>29019</v>
      </c>
      <c r="W1793" t="s">
        <v>29020</v>
      </c>
      <c r="X1793" t="s">
        <v>29021</v>
      </c>
      <c r="Y1793" t="s">
        <v>29022</v>
      </c>
      <c r="Z1793" t="s">
        <v>29023</v>
      </c>
      <c r="AB1793" t="s">
        <v>29024</v>
      </c>
      <c r="AC1793" t="s">
        <v>29025</v>
      </c>
      <c r="AD1793" t="s">
        <v>29025</v>
      </c>
      <c r="AE1793" t="s">
        <v>29026</v>
      </c>
      <c r="AG1793">
        <v>88</v>
      </c>
      <c r="AH1793">
        <v>21</v>
      </c>
      <c r="AI1793">
        <v>21</v>
      </c>
      <c r="AJ1793">
        <v>11</v>
      </c>
      <c r="AK1793">
        <v>72</v>
      </c>
      <c r="AL1793" t="s">
        <v>136</v>
      </c>
      <c r="AM1793" t="s">
        <v>137</v>
      </c>
      <c r="AN1793" t="s">
        <v>138</v>
      </c>
      <c r="AO1793" t="s">
        <v>240</v>
      </c>
      <c r="AP1793" t="s">
        <v>241</v>
      </c>
      <c r="AR1793" t="s">
        <v>242</v>
      </c>
      <c r="AS1793" t="s">
        <v>243</v>
      </c>
      <c r="AT1793" t="s">
        <v>197</v>
      </c>
      <c r="AU1793">
        <v>2021</v>
      </c>
      <c r="AV1793">
        <v>173</v>
      </c>
      <c r="AX1793" t="s">
        <v>489</v>
      </c>
      <c r="BD1793">
        <v>112929</v>
      </c>
      <c r="BE1793" t="s">
        <v>29027</v>
      </c>
      <c r="BF1793" t="s">
        <v>29028</v>
      </c>
      <c r="BH1793" t="s">
        <v>2955</v>
      </c>
      <c r="BI1793">
        <v>14</v>
      </c>
      <c r="BJ1793" t="s">
        <v>247</v>
      </c>
      <c r="BK1793" t="s">
        <v>96</v>
      </c>
      <c r="BL1793" t="s">
        <v>248</v>
      </c>
      <c r="BM1793" t="s">
        <v>29029</v>
      </c>
      <c r="BN1793">
        <v>34534935</v>
      </c>
      <c r="BO1793" t="s">
        <v>29030</v>
      </c>
      <c r="BR1793" t="s">
        <v>98</v>
      </c>
      <c r="BS1793" t="s">
        <v>29031</v>
      </c>
      <c r="BT1793" t="s">
        <v>16602</v>
      </c>
    </row>
    <row r="1794" spans="1:72">
      <c r="A1794" t="s">
        <v>72</v>
      </c>
      <c r="B1794" t="s">
        <v>29032</v>
      </c>
      <c r="F1794" t="s">
        <v>29033</v>
      </c>
      <c r="I1794" t="s">
        <v>29034</v>
      </c>
      <c r="J1794" t="s">
        <v>3349</v>
      </c>
      <c r="M1794" t="s">
        <v>78</v>
      </c>
      <c r="N1794" t="s">
        <v>79</v>
      </c>
      <c r="T1794" t="s">
        <v>29035</v>
      </c>
      <c r="U1794" t="s">
        <v>29036</v>
      </c>
      <c r="V1794" t="s">
        <v>29037</v>
      </c>
      <c r="W1794" t="s">
        <v>29038</v>
      </c>
      <c r="X1794" t="s">
        <v>29039</v>
      </c>
      <c r="Y1794" t="s">
        <v>29040</v>
      </c>
      <c r="Z1794" t="s">
        <v>29041</v>
      </c>
      <c r="AA1794" t="s">
        <v>29042</v>
      </c>
      <c r="AB1794" t="s">
        <v>29043</v>
      </c>
      <c r="AC1794" t="s">
        <v>29044</v>
      </c>
      <c r="AD1794" t="s">
        <v>29045</v>
      </c>
      <c r="AE1794" t="s">
        <v>29046</v>
      </c>
      <c r="AG1794">
        <v>85</v>
      </c>
      <c r="AH1794">
        <v>29</v>
      </c>
      <c r="AI1794">
        <v>30</v>
      </c>
      <c r="AJ1794">
        <v>0</v>
      </c>
      <c r="AK1794">
        <v>28</v>
      </c>
      <c r="AL1794" t="s">
        <v>3362</v>
      </c>
      <c r="AM1794" t="s">
        <v>3363</v>
      </c>
      <c r="AN1794" t="s">
        <v>3364</v>
      </c>
      <c r="AO1794" t="s">
        <v>3365</v>
      </c>
      <c r="AP1794" t="s">
        <v>3366</v>
      </c>
      <c r="AR1794" t="s">
        <v>3367</v>
      </c>
      <c r="AS1794" t="s">
        <v>3368</v>
      </c>
      <c r="AT1794" t="s">
        <v>1223</v>
      </c>
      <c r="AU1794">
        <v>2016</v>
      </c>
      <c r="AV1794">
        <v>125</v>
      </c>
      <c r="BB1794">
        <v>43</v>
      </c>
      <c r="BC1794">
        <v>54</v>
      </c>
      <c r="BE1794" t="s">
        <v>29047</v>
      </c>
      <c r="BF1794" t="s">
        <v>29048</v>
      </c>
      <c r="BI1794">
        <v>12</v>
      </c>
      <c r="BJ1794" t="s">
        <v>121</v>
      </c>
      <c r="BK1794" t="s">
        <v>96</v>
      </c>
      <c r="BL1794" t="s">
        <v>122</v>
      </c>
      <c r="BM1794" t="s">
        <v>29049</v>
      </c>
      <c r="BN1794">
        <v>26655232</v>
      </c>
      <c r="BR1794" t="s">
        <v>98</v>
      </c>
      <c r="BS1794" t="s">
        <v>29050</v>
      </c>
      <c r="BT1794" t="s">
        <v>16602</v>
      </c>
    </row>
    <row r="1795" spans="1:72">
      <c r="A1795" t="s">
        <v>72</v>
      </c>
      <c r="B1795" t="s">
        <v>29051</v>
      </c>
      <c r="F1795" t="s">
        <v>29051</v>
      </c>
      <c r="I1795" t="s">
        <v>29052</v>
      </c>
      <c r="J1795" t="s">
        <v>5592</v>
      </c>
      <c r="M1795" t="s">
        <v>78</v>
      </c>
      <c r="N1795" t="s">
        <v>79</v>
      </c>
      <c r="V1795" t="s">
        <v>29053</v>
      </c>
      <c r="Y1795" t="s">
        <v>29054</v>
      </c>
      <c r="AG1795">
        <v>13</v>
      </c>
      <c r="AH1795">
        <v>104</v>
      </c>
      <c r="AI1795">
        <v>114</v>
      </c>
      <c r="AJ1795">
        <v>0</v>
      </c>
      <c r="AK1795">
        <v>10</v>
      </c>
      <c r="AL1795" t="s">
        <v>285</v>
      </c>
      <c r="AM1795" t="s">
        <v>286</v>
      </c>
      <c r="AN1795" t="s">
        <v>287</v>
      </c>
      <c r="AO1795" t="s">
        <v>5605</v>
      </c>
      <c r="AP1795" t="s">
        <v>5606</v>
      </c>
      <c r="AR1795" t="s">
        <v>5607</v>
      </c>
      <c r="AS1795" t="s">
        <v>5608</v>
      </c>
      <c r="AU1795">
        <v>1982</v>
      </c>
      <c r="AV1795">
        <v>15</v>
      </c>
      <c r="AW1795">
        <v>6</v>
      </c>
      <c r="BB1795">
        <v>679</v>
      </c>
      <c r="BC1795">
        <v>695</v>
      </c>
      <c r="BE1795" t="s">
        <v>29055</v>
      </c>
      <c r="BF1795" t="s">
        <v>29056</v>
      </c>
      <c r="BI1795">
        <v>17</v>
      </c>
      <c r="BJ1795" t="s">
        <v>4241</v>
      </c>
      <c r="BK1795" t="s">
        <v>96</v>
      </c>
      <c r="BL1795" t="s">
        <v>4241</v>
      </c>
      <c r="BM1795" t="s">
        <v>29057</v>
      </c>
      <c r="BR1795" t="s">
        <v>98</v>
      </c>
      <c r="BS1795" t="s">
        <v>29058</v>
      </c>
      <c r="BT1795" t="s">
        <v>16602</v>
      </c>
    </row>
    <row r="1796" spans="1:72">
      <c r="A1796" t="s">
        <v>72</v>
      </c>
      <c r="B1796" t="s">
        <v>29059</v>
      </c>
      <c r="F1796" t="s">
        <v>29059</v>
      </c>
      <c r="I1796" t="s">
        <v>29060</v>
      </c>
      <c r="J1796" t="s">
        <v>1202</v>
      </c>
      <c r="M1796" t="s">
        <v>78</v>
      </c>
      <c r="N1796" t="s">
        <v>151</v>
      </c>
      <c r="O1796" t="s">
        <v>29061</v>
      </c>
      <c r="P1796" t="s">
        <v>29062</v>
      </c>
      <c r="Q1796" t="s">
        <v>29063</v>
      </c>
      <c r="T1796" t="s">
        <v>29064</v>
      </c>
      <c r="U1796" t="s">
        <v>29065</v>
      </c>
      <c r="V1796" t="s">
        <v>29066</v>
      </c>
      <c r="W1796" t="s">
        <v>29067</v>
      </c>
      <c r="X1796" t="s">
        <v>16171</v>
      </c>
      <c r="Y1796" t="s">
        <v>29068</v>
      </c>
      <c r="AA1796" t="s">
        <v>14454</v>
      </c>
      <c r="AB1796" t="s">
        <v>24914</v>
      </c>
      <c r="AG1796">
        <v>24</v>
      </c>
      <c r="AH1796">
        <v>62</v>
      </c>
      <c r="AI1796">
        <v>69</v>
      </c>
      <c r="AJ1796">
        <v>0</v>
      </c>
      <c r="AK1796">
        <v>13</v>
      </c>
      <c r="AL1796" t="s">
        <v>112</v>
      </c>
      <c r="AM1796" t="s">
        <v>191</v>
      </c>
      <c r="AN1796" t="s">
        <v>192</v>
      </c>
      <c r="AO1796" t="s">
        <v>1207</v>
      </c>
      <c r="AP1796" t="s">
        <v>4902</v>
      </c>
      <c r="AR1796" t="s">
        <v>1202</v>
      </c>
      <c r="AS1796" t="s">
        <v>1208</v>
      </c>
      <c r="AT1796" t="s">
        <v>29069</v>
      </c>
      <c r="AU1796">
        <v>1997</v>
      </c>
      <c r="AV1796">
        <v>355</v>
      </c>
      <c r="BB1796">
        <v>139</v>
      </c>
      <c r="BC1796">
        <v>144</v>
      </c>
      <c r="BE1796" t="s">
        <v>29070</v>
      </c>
      <c r="BF1796" t="s">
        <v>29071</v>
      </c>
      <c r="BI1796">
        <v>6</v>
      </c>
      <c r="BJ1796" t="s">
        <v>680</v>
      </c>
      <c r="BK1796" t="s">
        <v>172</v>
      </c>
      <c r="BL1796" t="s">
        <v>680</v>
      </c>
      <c r="BM1796" t="s">
        <v>29072</v>
      </c>
      <c r="BR1796" t="s">
        <v>98</v>
      </c>
      <c r="BS1796" t="s">
        <v>29073</v>
      </c>
      <c r="BT1796" t="s">
        <v>16602</v>
      </c>
    </row>
    <row r="1797" spans="1:72">
      <c r="A1797" t="s">
        <v>72</v>
      </c>
      <c r="B1797" t="s">
        <v>29074</v>
      </c>
      <c r="F1797" t="s">
        <v>29074</v>
      </c>
      <c r="I1797" t="s">
        <v>29075</v>
      </c>
      <c r="J1797" t="s">
        <v>554</v>
      </c>
      <c r="M1797" t="s">
        <v>78</v>
      </c>
      <c r="N1797" t="s">
        <v>79</v>
      </c>
      <c r="T1797" t="s">
        <v>29076</v>
      </c>
      <c r="U1797" t="s">
        <v>29077</v>
      </c>
      <c r="V1797" t="s">
        <v>29078</v>
      </c>
      <c r="W1797" t="s">
        <v>29079</v>
      </c>
      <c r="X1797" t="s">
        <v>947</v>
      </c>
      <c r="Y1797" t="s">
        <v>29080</v>
      </c>
      <c r="Z1797" t="s">
        <v>29081</v>
      </c>
      <c r="AG1797">
        <v>45</v>
      </c>
      <c r="AH1797">
        <v>21</v>
      </c>
      <c r="AI1797">
        <v>23</v>
      </c>
      <c r="AJ1797">
        <v>0</v>
      </c>
      <c r="AK1797">
        <v>10</v>
      </c>
      <c r="AL1797" t="s">
        <v>564</v>
      </c>
      <c r="AM1797" t="s">
        <v>113</v>
      </c>
      <c r="AN1797" t="s">
        <v>565</v>
      </c>
      <c r="AO1797" t="s">
        <v>566</v>
      </c>
      <c r="AP1797" t="s">
        <v>567</v>
      </c>
      <c r="AR1797" t="s">
        <v>568</v>
      </c>
      <c r="AS1797" t="s">
        <v>569</v>
      </c>
      <c r="AT1797" t="s">
        <v>18491</v>
      </c>
      <c r="AU1797">
        <v>2006</v>
      </c>
      <c r="AV1797">
        <v>142</v>
      </c>
      <c r="AW1797" t="s">
        <v>326</v>
      </c>
      <c r="BB1797">
        <v>12</v>
      </c>
      <c r="BC1797">
        <v>18</v>
      </c>
      <c r="BE1797" t="s">
        <v>29082</v>
      </c>
      <c r="BF1797" t="s">
        <v>29083</v>
      </c>
      <c r="BI1797">
        <v>7</v>
      </c>
      <c r="BJ1797" t="s">
        <v>571</v>
      </c>
      <c r="BK1797" t="s">
        <v>96</v>
      </c>
      <c r="BL1797" t="s">
        <v>571</v>
      </c>
      <c r="BM1797" t="s">
        <v>29084</v>
      </c>
      <c r="BN1797">
        <v>16326142</v>
      </c>
      <c r="BR1797" t="s">
        <v>98</v>
      </c>
      <c r="BS1797" t="s">
        <v>29085</v>
      </c>
      <c r="BT1797" t="s">
        <v>16602</v>
      </c>
    </row>
    <row r="1798" spans="1:72">
      <c r="A1798" t="s">
        <v>72</v>
      </c>
      <c r="B1798" t="s">
        <v>29086</v>
      </c>
      <c r="F1798" t="s">
        <v>29087</v>
      </c>
      <c r="I1798" t="s">
        <v>29088</v>
      </c>
      <c r="J1798" t="s">
        <v>29089</v>
      </c>
      <c r="M1798" t="s">
        <v>78</v>
      </c>
      <c r="N1798" t="s">
        <v>79</v>
      </c>
      <c r="U1798" t="s">
        <v>29090</v>
      </c>
      <c r="V1798" t="s">
        <v>29091</v>
      </c>
      <c r="W1798" t="s">
        <v>29092</v>
      </c>
      <c r="X1798" t="s">
        <v>6300</v>
      </c>
      <c r="Y1798" t="s">
        <v>29093</v>
      </c>
      <c r="Z1798" t="s">
        <v>29094</v>
      </c>
      <c r="AA1798" t="s">
        <v>29095</v>
      </c>
      <c r="AB1798" t="s">
        <v>29096</v>
      </c>
      <c r="AC1798" t="s">
        <v>29097</v>
      </c>
      <c r="AD1798" t="s">
        <v>29098</v>
      </c>
      <c r="AE1798" t="s">
        <v>29099</v>
      </c>
      <c r="AG1798">
        <v>35</v>
      </c>
      <c r="AH1798">
        <v>17</v>
      </c>
      <c r="AI1798">
        <v>21</v>
      </c>
      <c r="AJ1798">
        <v>1</v>
      </c>
      <c r="AK1798">
        <v>32</v>
      </c>
      <c r="AL1798" t="s">
        <v>29100</v>
      </c>
      <c r="AM1798" t="s">
        <v>29101</v>
      </c>
      <c r="AN1798" t="s">
        <v>29102</v>
      </c>
      <c r="AO1798" t="s">
        <v>29103</v>
      </c>
      <c r="AP1798" t="s">
        <v>29104</v>
      </c>
      <c r="AR1798" t="s">
        <v>29105</v>
      </c>
      <c r="AS1798" t="s">
        <v>29106</v>
      </c>
      <c r="AT1798" t="s">
        <v>142</v>
      </c>
      <c r="AU1798">
        <v>2013</v>
      </c>
      <c r="AV1798">
        <v>162</v>
      </c>
      <c r="AW1798">
        <v>2</v>
      </c>
      <c r="BB1798">
        <v>953</v>
      </c>
      <c r="BC1798">
        <v>964</v>
      </c>
      <c r="BE1798" t="s">
        <v>29107</v>
      </c>
      <c r="BF1798" t="s">
        <v>29108</v>
      </c>
      <c r="BI1798">
        <v>12</v>
      </c>
      <c r="BJ1798" t="s">
        <v>14176</v>
      </c>
      <c r="BK1798" t="s">
        <v>96</v>
      </c>
      <c r="BL1798" t="s">
        <v>14176</v>
      </c>
      <c r="BM1798" t="s">
        <v>29109</v>
      </c>
      <c r="BN1798">
        <v>23640756</v>
      </c>
      <c r="BO1798" t="s">
        <v>25803</v>
      </c>
      <c r="BR1798" t="s">
        <v>98</v>
      </c>
      <c r="BS1798" t="s">
        <v>29110</v>
      </c>
      <c r="BT1798" t="s">
        <v>16602</v>
      </c>
    </row>
    <row r="1799" spans="1:72">
      <c r="A1799" t="s">
        <v>72</v>
      </c>
      <c r="B1799" t="s">
        <v>29111</v>
      </c>
      <c r="F1799" t="s">
        <v>29111</v>
      </c>
      <c r="I1799" t="s">
        <v>29112</v>
      </c>
      <c r="J1799" t="s">
        <v>11293</v>
      </c>
      <c r="M1799" t="s">
        <v>78</v>
      </c>
      <c r="N1799" t="s">
        <v>151</v>
      </c>
      <c r="O1799" t="s">
        <v>29113</v>
      </c>
      <c r="P1799" t="s">
        <v>29114</v>
      </c>
      <c r="Q1799" t="s">
        <v>29115</v>
      </c>
      <c r="T1799" t="s">
        <v>29116</v>
      </c>
      <c r="U1799" t="s">
        <v>29117</v>
      </c>
      <c r="V1799" t="s">
        <v>29118</v>
      </c>
      <c r="W1799" t="s">
        <v>29119</v>
      </c>
      <c r="X1799" t="s">
        <v>29120</v>
      </c>
      <c r="Y1799" t="s">
        <v>29121</v>
      </c>
      <c r="Z1799" t="s">
        <v>29122</v>
      </c>
      <c r="AA1799" t="s">
        <v>29123</v>
      </c>
      <c r="AB1799" t="s">
        <v>29124</v>
      </c>
      <c r="AG1799">
        <v>28</v>
      </c>
      <c r="AH1799">
        <v>56</v>
      </c>
      <c r="AI1799">
        <v>64</v>
      </c>
      <c r="AJ1799">
        <v>1</v>
      </c>
      <c r="AK1799">
        <v>21</v>
      </c>
      <c r="AL1799" t="s">
        <v>136</v>
      </c>
      <c r="AM1799" t="s">
        <v>137</v>
      </c>
      <c r="AN1799" t="s">
        <v>138</v>
      </c>
      <c r="AO1799" t="s">
        <v>11305</v>
      </c>
      <c r="AP1799" t="s">
        <v>11306</v>
      </c>
      <c r="AR1799" t="s">
        <v>11307</v>
      </c>
      <c r="AS1799" t="s">
        <v>11308</v>
      </c>
      <c r="AT1799" t="s">
        <v>12517</v>
      </c>
      <c r="AU1799">
        <v>2004</v>
      </c>
      <c r="AV1799">
        <v>59</v>
      </c>
      <c r="AW1799">
        <v>8</v>
      </c>
      <c r="BB1799">
        <v>1125</v>
      </c>
      <c r="BC1799">
        <v>1132</v>
      </c>
      <c r="BE1799" t="s">
        <v>29125</v>
      </c>
      <c r="BF1799" t="s">
        <v>29126</v>
      </c>
      <c r="BI1799">
        <v>8</v>
      </c>
      <c r="BJ1799" t="s">
        <v>11310</v>
      </c>
      <c r="BK1799" t="s">
        <v>172</v>
      </c>
      <c r="BL1799" t="s">
        <v>11310</v>
      </c>
      <c r="BM1799" t="s">
        <v>29127</v>
      </c>
      <c r="BR1799" t="s">
        <v>98</v>
      </c>
      <c r="BS1799" t="s">
        <v>29128</v>
      </c>
      <c r="BT1799" t="s">
        <v>16602</v>
      </c>
    </row>
    <row r="1800" spans="1:72">
      <c r="A1800" t="s">
        <v>72</v>
      </c>
      <c r="B1800" t="s">
        <v>29129</v>
      </c>
      <c r="F1800" t="s">
        <v>29130</v>
      </c>
      <c r="I1800" t="s">
        <v>29131</v>
      </c>
      <c r="J1800" t="s">
        <v>6864</v>
      </c>
      <c r="M1800" t="s">
        <v>78</v>
      </c>
      <c r="N1800" t="s">
        <v>79</v>
      </c>
      <c r="T1800" t="s">
        <v>29132</v>
      </c>
      <c r="U1800" t="s">
        <v>29133</v>
      </c>
      <c r="V1800" t="s">
        <v>29134</v>
      </c>
      <c r="W1800" t="s">
        <v>29135</v>
      </c>
      <c r="X1800" t="s">
        <v>29136</v>
      </c>
      <c r="Y1800" t="s">
        <v>29137</v>
      </c>
      <c r="Z1800" t="s">
        <v>29138</v>
      </c>
      <c r="AA1800" t="s">
        <v>29139</v>
      </c>
      <c r="AB1800" t="s">
        <v>29140</v>
      </c>
      <c r="AG1800">
        <v>63</v>
      </c>
      <c r="AH1800">
        <v>16</v>
      </c>
      <c r="AI1800">
        <v>17</v>
      </c>
      <c r="AJ1800">
        <v>0</v>
      </c>
      <c r="AK1800">
        <v>12</v>
      </c>
      <c r="AL1800" t="s">
        <v>15756</v>
      </c>
      <c r="AM1800" t="s">
        <v>15757</v>
      </c>
      <c r="AN1800" t="s">
        <v>15758</v>
      </c>
      <c r="AO1800" t="s">
        <v>6881</v>
      </c>
      <c r="AR1800" t="s">
        <v>6882</v>
      </c>
      <c r="AS1800" t="s">
        <v>6883</v>
      </c>
      <c r="AU1800">
        <v>2018</v>
      </c>
      <c r="AV1800">
        <v>48</v>
      </c>
      <c r="BB1800">
        <v>30</v>
      </c>
      <c r="BC1800">
        <v>37</v>
      </c>
      <c r="BE1800" t="s">
        <v>29141</v>
      </c>
      <c r="BF1800" t="s">
        <v>29142</v>
      </c>
      <c r="BI1800">
        <v>8</v>
      </c>
      <c r="BJ1800" t="s">
        <v>795</v>
      </c>
      <c r="BK1800" t="s">
        <v>96</v>
      </c>
      <c r="BL1800" t="s">
        <v>795</v>
      </c>
      <c r="BM1800" t="s">
        <v>29143</v>
      </c>
      <c r="BN1800">
        <v>29773190</v>
      </c>
      <c r="BR1800" t="s">
        <v>98</v>
      </c>
      <c r="BS1800" t="s">
        <v>29144</v>
      </c>
      <c r="BT1800" t="s">
        <v>16602</v>
      </c>
    </row>
    <row r="1801" spans="1:72">
      <c r="A1801" t="s">
        <v>72</v>
      </c>
      <c r="B1801" t="s">
        <v>29145</v>
      </c>
      <c r="F1801" t="s">
        <v>29146</v>
      </c>
      <c r="I1801" t="s">
        <v>29147</v>
      </c>
      <c r="J1801" t="s">
        <v>204</v>
      </c>
      <c r="M1801" t="s">
        <v>78</v>
      </c>
      <c r="N1801" t="s">
        <v>79</v>
      </c>
      <c r="T1801" t="s">
        <v>29148</v>
      </c>
      <c r="U1801" t="s">
        <v>29149</v>
      </c>
      <c r="V1801" t="s">
        <v>29150</v>
      </c>
      <c r="W1801" t="s">
        <v>29151</v>
      </c>
      <c r="X1801" t="s">
        <v>3144</v>
      </c>
      <c r="Y1801" t="s">
        <v>29152</v>
      </c>
      <c r="Z1801" t="s">
        <v>10052</v>
      </c>
      <c r="AG1801">
        <v>59</v>
      </c>
      <c r="AH1801">
        <v>50</v>
      </c>
      <c r="AI1801">
        <v>52</v>
      </c>
      <c r="AJ1801">
        <v>0</v>
      </c>
      <c r="AK1801">
        <v>34</v>
      </c>
      <c r="AL1801" t="s">
        <v>217</v>
      </c>
      <c r="AM1801" t="s">
        <v>218</v>
      </c>
      <c r="AN1801" t="s">
        <v>219</v>
      </c>
      <c r="AO1801" t="s">
        <v>220</v>
      </c>
      <c r="AP1801" t="s">
        <v>221</v>
      </c>
      <c r="AR1801" t="s">
        <v>222</v>
      </c>
      <c r="AS1801" t="s">
        <v>223</v>
      </c>
      <c r="AT1801" t="s">
        <v>119</v>
      </c>
      <c r="AU1801">
        <v>2013</v>
      </c>
      <c r="AV1801">
        <v>20</v>
      </c>
      <c r="AW1801">
        <v>8</v>
      </c>
      <c r="BB1801">
        <v>5481</v>
      </c>
      <c r="BC1801">
        <v>5491</v>
      </c>
      <c r="BE1801" t="s">
        <v>29153</v>
      </c>
      <c r="BF1801" t="s">
        <v>29154</v>
      </c>
      <c r="BI1801">
        <v>11</v>
      </c>
      <c r="BJ1801" t="s">
        <v>144</v>
      </c>
      <c r="BK1801" t="s">
        <v>96</v>
      </c>
      <c r="BL1801" t="s">
        <v>145</v>
      </c>
      <c r="BM1801" t="s">
        <v>29155</v>
      </c>
      <c r="BN1801">
        <v>23430733</v>
      </c>
      <c r="BR1801" t="s">
        <v>98</v>
      </c>
      <c r="BS1801" t="s">
        <v>29156</v>
      </c>
      <c r="BT1801" t="s">
        <v>16602</v>
      </c>
    </row>
    <row r="1802" spans="1:72">
      <c r="A1802" t="s">
        <v>72</v>
      </c>
      <c r="B1802" t="s">
        <v>29157</v>
      </c>
      <c r="F1802" t="s">
        <v>29158</v>
      </c>
      <c r="I1802" t="s">
        <v>29159</v>
      </c>
      <c r="J1802" t="s">
        <v>29160</v>
      </c>
      <c r="M1802" t="s">
        <v>78</v>
      </c>
      <c r="N1802" t="s">
        <v>79</v>
      </c>
      <c r="T1802" t="s">
        <v>29161</v>
      </c>
      <c r="U1802" t="s">
        <v>29162</v>
      </c>
      <c r="V1802" t="s">
        <v>29163</v>
      </c>
      <c r="W1802" t="s">
        <v>29164</v>
      </c>
      <c r="X1802" t="s">
        <v>29165</v>
      </c>
      <c r="Y1802" t="s">
        <v>29166</v>
      </c>
      <c r="Z1802" t="s">
        <v>29167</v>
      </c>
      <c r="AA1802" t="s">
        <v>29168</v>
      </c>
      <c r="AB1802" t="s">
        <v>29169</v>
      </c>
      <c r="AC1802" t="s">
        <v>29170</v>
      </c>
      <c r="AD1802" t="s">
        <v>525</v>
      </c>
      <c r="AE1802" t="s">
        <v>29171</v>
      </c>
      <c r="AG1802">
        <v>65</v>
      </c>
      <c r="AH1802">
        <v>28</v>
      </c>
      <c r="AI1802">
        <v>29</v>
      </c>
      <c r="AJ1802">
        <v>3</v>
      </c>
      <c r="AK1802">
        <v>133</v>
      </c>
      <c r="AL1802" t="s">
        <v>3362</v>
      </c>
      <c r="AM1802" t="s">
        <v>3363</v>
      </c>
      <c r="AN1802" t="s">
        <v>3364</v>
      </c>
      <c r="AO1802" t="s">
        <v>29172</v>
      </c>
      <c r="AP1802" t="s">
        <v>29173</v>
      </c>
      <c r="AR1802" t="s">
        <v>29174</v>
      </c>
      <c r="AS1802" t="s">
        <v>29175</v>
      </c>
      <c r="AT1802" t="s">
        <v>5542</v>
      </c>
      <c r="AU1802">
        <v>2019</v>
      </c>
      <c r="AV1802">
        <v>545</v>
      </c>
      <c r="BB1802">
        <v>8</v>
      </c>
      <c r="BC1802">
        <v>15</v>
      </c>
      <c r="BE1802" t="s">
        <v>29176</v>
      </c>
      <c r="BF1802" t="s">
        <v>29177</v>
      </c>
      <c r="BI1802">
        <v>8</v>
      </c>
      <c r="BJ1802" t="s">
        <v>29178</v>
      </c>
      <c r="BK1802" t="s">
        <v>96</v>
      </c>
      <c r="BL1802" t="s">
        <v>1197</v>
      </c>
      <c r="BM1802" t="s">
        <v>29179</v>
      </c>
      <c r="BN1802">
        <v>30861481</v>
      </c>
      <c r="BR1802" t="s">
        <v>98</v>
      </c>
      <c r="BS1802" t="s">
        <v>29180</v>
      </c>
      <c r="BT1802" t="s">
        <v>16602</v>
      </c>
    </row>
    <row r="1803" spans="1:72">
      <c r="A1803" t="s">
        <v>72</v>
      </c>
      <c r="B1803" t="s">
        <v>29181</v>
      </c>
      <c r="F1803" t="s">
        <v>29182</v>
      </c>
      <c r="I1803" t="s">
        <v>29183</v>
      </c>
      <c r="J1803" t="s">
        <v>103</v>
      </c>
      <c r="M1803" t="s">
        <v>78</v>
      </c>
      <c r="N1803" t="s">
        <v>79</v>
      </c>
      <c r="T1803" t="s">
        <v>29184</v>
      </c>
      <c r="U1803" t="s">
        <v>29185</v>
      </c>
      <c r="V1803" t="s">
        <v>29186</v>
      </c>
      <c r="W1803" t="s">
        <v>29187</v>
      </c>
      <c r="X1803" t="s">
        <v>29188</v>
      </c>
      <c r="Y1803" t="s">
        <v>29189</v>
      </c>
      <c r="Z1803" t="s">
        <v>29190</v>
      </c>
      <c r="AA1803" t="s">
        <v>29191</v>
      </c>
      <c r="AB1803" t="s">
        <v>29192</v>
      </c>
      <c r="AC1803" t="s">
        <v>29193</v>
      </c>
      <c r="AD1803" t="s">
        <v>29193</v>
      </c>
      <c r="AE1803" t="s">
        <v>29194</v>
      </c>
      <c r="AG1803">
        <v>19</v>
      </c>
      <c r="AH1803">
        <v>17</v>
      </c>
      <c r="AI1803">
        <v>21</v>
      </c>
      <c r="AJ1803">
        <v>0</v>
      </c>
      <c r="AK1803">
        <v>31</v>
      </c>
      <c r="AL1803" t="s">
        <v>112</v>
      </c>
      <c r="AM1803" t="s">
        <v>113</v>
      </c>
      <c r="AN1803" t="s">
        <v>469</v>
      </c>
      <c r="AO1803" t="s">
        <v>115</v>
      </c>
      <c r="AP1803" t="s">
        <v>116</v>
      </c>
      <c r="AR1803" t="s">
        <v>117</v>
      </c>
      <c r="AS1803" t="s">
        <v>118</v>
      </c>
      <c r="AT1803" t="s">
        <v>1470</v>
      </c>
      <c r="AU1803">
        <v>2015</v>
      </c>
      <c r="AV1803">
        <v>94</v>
      </c>
      <c r="AW1803">
        <v>1</v>
      </c>
      <c r="BB1803">
        <v>52</v>
      </c>
      <c r="BC1803">
        <v>57</v>
      </c>
      <c r="BE1803" t="s">
        <v>29195</v>
      </c>
      <c r="BF1803" t="s">
        <v>29196</v>
      </c>
      <c r="BI1803">
        <v>6</v>
      </c>
      <c r="BJ1803" t="s">
        <v>121</v>
      </c>
      <c r="BK1803" t="s">
        <v>96</v>
      </c>
      <c r="BL1803" t="s">
        <v>122</v>
      </c>
      <c r="BM1803" t="s">
        <v>29197</v>
      </c>
      <c r="BN1803">
        <v>25432296</v>
      </c>
      <c r="BR1803" t="s">
        <v>98</v>
      </c>
      <c r="BS1803" t="s">
        <v>29198</v>
      </c>
      <c r="BT1803" t="s">
        <v>16602</v>
      </c>
    </row>
    <row r="1804" spans="1:72">
      <c r="A1804" t="s">
        <v>72</v>
      </c>
      <c r="B1804" t="s">
        <v>29199</v>
      </c>
      <c r="F1804" t="s">
        <v>29199</v>
      </c>
      <c r="I1804" t="s">
        <v>29200</v>
      </c>
      <c r="J1804" t="s">
        <v>17604</v>
      </c>
      <c r="M1804" t="s">
        <v>78</v>
      </c>
      <c r="N1804" t="s">
        <v>79</v>
      </c>
      <c r="T1804" t="s">
        <v>29201</v>
      </c>
      <c r="U1804" t="s">
        <v>29202</v>
      </c>
      <c r="V1804" t="s">
        <v>29203</v>
      </c>
      <c r="W1804" t="s">
        <v>29204</v>
      </c>
      <c r="Y1804" t="s">
        <v>29205</v>
      </c>
      <c r="AG1804">
        <v>37</v>
      </c>
      <c r="AH1804">
        <v>28</v>
      </c>
      <c r="AI1804">
        <v>29</v>
      </c>
      <c r="AJ1804">
        <v>1</v>
      </c>
      <c r="AK1804">
        <v>14</v>
      </c>
      <c r="AL1804" t="s">
        <v>650</v>
      </c>
      <c r="AM1804" t="s">
        <v>651</v>
      </c>
      <c r="AN1804" t="s">
        <v>652</v>
      </c>
      <c r="AO1804" t="s">
        <v>17613</v>
      </c>
      <c r="AP1804" t="s">
        <v>17614</v>
      </c>
      <c r="AR1804" t="s">
        <v>17615</v>
      </c>
      <c r="AS1804" t="s">
        <v>17616</v>
      </c>
      <c r="AU1804">
        <v>1992</v>
      </c>
      <c r="AV1804">
        <v>159</v>
      </c>
      <c r="AW1804">
        <v>2</v>
      </c>
      <c r="BB1804">
        <v>135</v>
      </c>
      <c r="BC1804">
        <v>156</v>
      </c>
      <c r="BE1804" t="s">
        <v>29206</v>
      </c>
      <c r="BF1804" t="s">
        <v>29207</v>
      </c>
      <c r="BI1804">
        <v>22</v>
      </c>
      <c r="BJ1804" t="s">
        <v>1292</v>
      </c>
      <c r="BK1804" t="s">
        <v>96</v>
      </c>
      <c r="BL1804" t="s">
        <v>248</v>
      </c>
      <c r="BM1804" t="s">
        <v>29208</v>
      </c>
      <c r="BR1804" t="s">
        <v>98</v>
      </c>
      <c r="BS1804" t="s">
        <v>29209</v>
      </c>
      <c r="BT1804" t="s">
        <v>16602</v>
      </c>
    </row>
    <row r="1805" spans="1:72">
      <c r="A1805" t="s">
        <v>72</v>
      </c>
      <c r="B1805" t="s">
        <v>29210</v>
      </c>
      <c r="F1805" t="s">
        <v>29211</v>
      </c>
      <c r="I1805" t="s">
        <v>29212</v>
      </c>
      <c r="J1805" t="s">
        <v>232</v>
      </c>
      <c r="M1805" t="s">
        <v>78</v>
      </c>
      <c r="N1805" t="s">
        <v>79</v>
      </c>
      <c r="T1805" t="s">
        <v>29213</v>
      </c>
      <c r="U1805" t="s">
        <v>29214</v>
      </c>
      <c r="V1805" t="s">
        <v>29215</v>
      </c>
      <c r="W1805" t="s">
        <v>29216</v>
      </c>
      <c r="X1805" t="s">
        <v>13785</v>
      </c>
      <c r="Y1805" t="s">
        <v>29217</v>
      </c>
      <c r="Z1805" t="s">
        <v>29218</v>
      </c>
      <c r="AA1805" t="s">
        <v>29219</v>
      </c>
      <c r="AB1805" t="s">
        <v>29220</v>
      </c>
      <c r="AG1805">
        <v>89</v>
      </c>
      <c r="AH1805">
        <v>2</v>
      </c>
      <c r="AI1805">
        <v>2</v>
      </c>
      <c r="AJ1805">
        <v>0</v>
      </c>
      <c r="AK1805">
        <v>4</v>
      </c>
      <c r="AL1805" t="s">
        <v>136</v>
      </c>
      <c r="AM1805" t="s">
        <v>137</v>
      </c>
      <c r="AN1805" t="s">
        <v>138</v>
      </c>
      <c r="AO1805" t="s">
        <v>240</v>
      </c>
      <c r="AP1805" t="s">
        <v>241</v>
      </c>
      <c r="AR1805" t="s">
        <v>242</v>
      </c>
      <c r="AS1805" t="s">
        <v>243</v>
      </c>
      <c r="AT1805" t="s">
        <v>197</v>
      </c>
      <c r="AU1805">
        <v>2022</v>
      </c>
      <c r="AV1805">
        <v>185</v>
      </c>
      <c r="BD1805">
        <v>114345</v>
      </c>
      <c r="BE1805" t="s">
        <v>29221</v>
      </c>
      <c r="BF1805" t="s">
        <v>29222</v>
      </c>
      <c r="BH1805" t="s">
        <v>699</v>
      </c>
      <c r="BI1805">
        <v>12</v>
      </c>
      <c r="BJ1805" t="s">
        <v>247</v>
      </c>
      <c r="BK1805" t="s">
        <v>96</v>
      </c>
      <c r="BL1805" t="s">
        <v>248</v>
      </c>
      <c r="BM1805" t="s">
        <v>29223</v>
      </c>
      <c r="BN1805">
        <v>36410201</v>
      </c>
      <c r="BR1805" t="s">
        <v>98</v>
      </c>
      <c r="BS1805" t="s">
        <v>29224</v>
      </c>
      <c r="BT1805" t="s">
        <v>16602</v>
      </c>
    </row>
    <row r="1806" spans="1:72">
      <c r="A1806" t="s">
        <v>72</v>
      </c>
      <c r="B1806" t="s">
        <v>29225</v>
      </c>
      <c r="F1806" t="s">
        <v>29226</v>
      </c>
      <c r="I1806" t="s">
        <v>29227</v>
      </c>
      <c r="J1806" t="s">
        <v>127</v>
      </c>
      <c r="M1806" t="s">
        <v>78</v>
      </c>
      <c r="N1806" t="s">
        <v>79</v>
      </c>
      <c r="T1806" t="s">
        <v>29228</v>
      </c>
      <c r="U1806" t="s">
        <v>29229</v>
      </c>
      <c r="V1806" t="s">
        <v>29230</v>
      </c>
      <c r="W1806" t="s">
        <v>29231</v>
      </c>
      <c r="X1806" t="s">
        <v>5402</v>
      </c>
      <c r="Y1806" t="s">
        <v>29232</v>
      </c>
      <c r="Z1806" t="s">
        <v>29233</v>
      </c>
      <c r="AA1806" t="s">
        <v>20133</v>
      </c>
      <c r="AB1806" t="s">
        <v>29234</v>
      </c>
      <c r="AG1806">
        <v>58</v>
      </c>
      <c r="AH1806">
        <v>144</v>
      </c>
      <c r="AI1806">
        <v>163</v>
      </c>
      <c r="AJ1806">
        <v>0</v>
      </c>
      <c r="AK1806">
        <v>54</v>
      </c>
      <c r="AL1806" t="s">
        <v>136</v>
      </c>
      <c r="AM1806" t="s">
        <v>137</v>
      </c>
      <c r="AN1806" t="s">
        <v>138</v>
      </c>
      <c r="AO1806" t="s">
        <v>139</v>
      </c>
      <c r="AP1806" t="s">
        <v>140</v>
      </c>
      <c r="AR1806" t="s">
        <v>127</v>
      </c>
      <c r="AS1806" t="s">
        <v>141</v>
      </c>
      <c r="AT1806" t="s">
        <v>119</v>
      </c>
      <c r="AU1806">
        <v>2007</v>
      </c>
      <c r="AV1806">
        <v>68</v>
      </c>
      <c r="AW1806">
        <v>11</v>
      </c>
      <c r="BB1806">
        <v>2033</v>
      </c>
      <c r="BC1806">
        <v>2039</v>
      </c>
      <c r="BE1806" t="s">
        <v>29235</v>
      </c>
      <c r="BF1806" t="s">
        <v>29236</v>
      </c>
      <c r="BI1806">
        <v>7</v>
      </c>
      <c r="BJ1806" t="s">
        <v>144</v>
      </c>
      <c r="BK1806" t="s">
        <v>96</v>
      </c>
      <c r="BL1806" t="s">
        <v>145</v>
      </c>
      <c r="BM1806" t="s">
        <v>29237</v>
      </c>
      <c r="BN1806">
        <v>17420038</v>
      </c>
      <c r="BO1806" t="s">
        <v>1752</v>
      </c>
      <c r="BR1806" t="s">
        <v>98</v>
      </c>
      <c r="BS1806" t="s">
        <v>29238</v>
      </c>
      <c r="BT1806" t="s">
        <v>16602</v>
      </c>
    </row>
    <row r="1807" spans="1:72">
      <c r="A1807" t="s">
        <v>72</v>
      </c>
      <c r="B1807" t="s">
        <v>29239</v>
      </c>
      <c r="F1807" t="s">
        <v>29240</v>
      </c>
      <c r="I1807" t="s">
        <v>29241</v>
      </c>
      <c r="J1807" t="s">
        <v>103</v>
      </c>
      <c r="M1807" t="s">
        <v>78</v>
      </c>
      <c r="N1807" t="s">
        <v>79</v>
      </c>
      <c r="T1807" t="s">
        <v>29242</v>
      </c>
      <c r="U1807" t="s">
        <v>29243</v>
      </c>
      <c r="V1807" t="s">
        <v>29244</v>
      </c>
      <c r="W1807" t="s">
        <v>29245</v>
      </c>
      <c r="X1807" t="s">
        <v>29246</v>
      </c>
      <c r="Y1807" t="s">
        <v>29247</v>
      </c>
      <c r="Z1807" t="s">
        <v>29248</v>
      </c>
      <c r="AA1807" t="s">
        <v>29249</v>
      </c>
      <c r="AB1807" t="s">
        <v>29250</v>
      </c>
      <c r="AG1807">
        <v>29</v>
      </c>
      <c r="AH1807">
        <v>6</v>
      </c>
      <c r="AI1807">
        <v>8</v>
      </c>
      <c r="AJ1807">
        <v>0</v>
      </c>
      <c r="AK1807">
        <v>5</v>
      </c>
      <c r="AL1807" t="s">
        <v>112</v>
      </c>
      <c r="AM1807" t="s">
        <v>113</v>
      </c>
      <c r="AN1807" t="s">
        <v>114</v>
      </c>
      <c r="AO1807" t="s">
        <v>115</v>
      </c>
      <c r="AP1807" t="s">
        <v>116</v>
      </c>
      <c r="AR1807" t="s">
        <v>117</v>
      </c>
      <c r="AS1807" t="s">
        <v>118</v>
      </c>
      <c r="AT1807" t="s">
        <v>142</v>
      </c>
      <c r="AU1807">
        <v>2012</v>
      </c>
      <c r="AV1807">
        <v>88</v>
      </c>
      <c r="AW1807">
        <v>6</v>
      </c>
      <c r="BB1807">
        <v>951</v>
      </c>
      <c r="BC1807">
        <v>955</v>
      </c>
      <c r="BE1807" t="s">
        <v>29251</v>
      </c>
      <c r="BF1807" t="s">
        <v>29252</v>
      </c>
      <c r="BI1807">
        <v>5</v>
      </c>
      <c r="BJ1807" t="s">
        <v>121</v>
      </c>
      <c r="BK1807" t="s">
        <v>96</v>
      </c>
      <c r="BL1807" t="s">
        <v>122</v>
      </c>
      <c r="BM1807" t="s">
        <v>29253</v>
      </c>
      <c r="BN1807">
        <v>22481208</v>
      </c>
      <c r="BR1807" t="s">
        <v>98</v>
      </c>
      <c r="BS1807" t="s">
        <v>29254</v>
      </c>
      <c r="BT1807" t="s">
        <v>16602</v>
      </c>
    </row>
    <row r="1808" spans="1:72">
      <c r="A1808" t="s">
        <v>72</v>
      </c>
      <c r="B1808" t="s">
        <v>11975</v>
      </c>
      <c r="F1808" t="s">
        <v>11976</v>
      </c>
      <c r="I1808" t="s">
        <v>29255</v>
      </c>
      <c r="J1808" t="s">
        <v>421</v>
      </c>
      <c r="M1808" t="s">
        <v>78</v>
      </c>
      <c r="N1808" t="s">
        <v>79</v>
      </c>
      <c r="T1808" t="s">
        <v>29256</v>
      </c>
      <c r="U1808" t="s">
        <v>29257</v>
      </c>
      <c r="V1808" t="s">
        <v>29258</v>
      </c>
      <c r="W1808" t="s">
        <v>29259</v>
      </c>
      <c r="X1808" t="s">
        <v>28325</v>
      </c>
      <c r="Y1808" t="s">
        <v>29260</v>
      </c>
      <c r="Z1808" t="s">
        <v>1483</v>
      </c>
      <c r="AA1808" t="s">
        <v>2900</v>
      </c>
      <c r="AB1808" t="s">
        <v>2183</v>
      </c>
      <c r="AC1808" t="s">
        <v>29261</v>
      </c>
      <c r="AD1808" t="s">
        <v>29262</v>
      </c>
      <c r="AE1808" t="s">
        <v>29263</v>
      </c>
      <c r="AG1808">
        <v>64</v>
      </c>
      <c r="AH1808">
        <v>32</v>
      </c>
      <c r="AI1808">
        <v>32</v>
      </c>
      <c r="AJ1808">
        <v>6</v>
      </c>
      <c r="AK1808">
        <v>74</v>
      </c>
      <c r="AL1808" t="s">
        <v>430</v>
      </c>
      <c r="AM1808" t="s">
        <v>137</v>
      </c>
      <c r="AN1808" t="s">
        <v>431</v>
      </c>
      <c r="AO1808" t="s">
        <v>432</v>
      </c>
      <c r="AP1808" t="s">
        <v>1394</v>
      </c>
      <c r="AR1808" t="s">
        <v>433</v>
      </c>
      <c r="AS1808" t="s">
        <v>434</v>
      </c>
      <c r="AT1808" t="s">
        <v>765</v>
      </c>
      <c r="AU1808">
        <v>2019</v>
      </c>
      <c r="AV1808">
        <v>250</v>
      </c>
      <c r="BB1808">
        <v>175</v>
      </c>
      <c r="BC1808">
        <v>185</v>
      </c>
      <c r="BE1808" t="s">
        <v>29264</v>
      </c>
      <c r="BF1808" t="s">
        <v>29265</v>
      </c>
      <c r="BI1808">
        <v>11</v>
      </c>
      <c r="BJ1808" t="s">
        <v>144</v>
      </c>
      <c r="BK1808" t="s">
        <v>96</v>
      </c>
      <c r="BL1808" t="s">
        <v>145</v>
      </c>
      <c r="BM1808" t="s">
        <v>27594</v>
      </c>
      <c r="BN1808">
        <v>30995571</v>
      </c>
      <c r="BR1808" t="s">
        <v>98</v>
      </c>
      <c r="BS1808" t="s">
        <v>29266</v>
      </c>
      <c r="BT1808" t="s">
        <v>16602</v>
      </c>
    </row>
    <row r="1809" spans="1:72">
      <c r="A1809" t="s">
        <v>72</v>
      </c>
      <c r="B1809" t="s">
        <v>29267</v>
      </c>
      <c r="F1809" t="s">
        <v>29268</v>
      </c>
      <c r="I1809" t="s">
        <v>29269</v>
      </c>
      <c r="J1809" t="s">
        <v>3349</v>
      </c>
      <c r="M1809" t="s">
        <v>78</v>
      </c>
      <c r="N1809" t="s">
        <v>79</v>
      </c>
      <c r="T1809" t="s">
        <v>29270</v>
      </c>
      <c r="U1809" t="s">
        <v>29271</v>
      </c>
      <c r="V1809" t="s">
        <v>29272</v>
      </c>
      <c r="W1809" t="s">
        <v>29273</v>
      </c>
      <c r="X1809" t="s">
        <v>2198</v>
      </c>
      <c r="Y1809" t="s">
        <v>28926</v>
      </c>
      <c r="Z1809" t="s">
        <v>28927</v>
      </c>
      <c r="AA1809" t="s">
        <v>29274</v>
      </c>
      <c r="AB1809" t="s">
        <v>29275</v>
      </c>
      <c r="AC1809" t="s">
        <v>29276</v>
      </c>
      <c r="AD1809" t="s">
        <v>29277</v>
      </c>
      <c r="AE1809" t="s">
        <v>29278</v>
      </c>
      <c r="AG1809">
        <v>45</v>
      </c>
      <c r="AH1809">
        <v>64</v>
      </c>
      <c r="AI1809">
        <v>82</v>
      </c>
      <c r="AJ1809">
        <v>0</v>
      </c>
      <c r="AK1809">
        <v>34</v>
      </c>
      <c r="AL1809" t="s">
        <v>3362</v>
      </c>
      <c r="AM1809" t="s">
        <v>3363</v>
      </c>
      <c r="AN1809" t="s">
        <v>3364</v>
      </c>
      <c r="AO1809" t="s">
        <v>3365</v>
      </c>
      <c r="AP1809" t="s">
        <v>3366</v>
      </c>
      <c r="AR1809" t="s">
        <v>3367</v>
      </c>
      <c r="AS1809" t="s">
        <v>3368</v>
      </c>
      <c r="AT1809" t="s">
        <v>1223</v>
      </c>
      <c r="AU1809">
        <v>2009</v>
      </c>
      <c r="AV1809">
        <v>72</v>
      </c>
      <c r="AW1809">
        <v>3</v>
      </c>
      <c r="BB1809">
        <v>720</v>
      </c>
      <c r="BC1809">
        <v>728</v>
      </c>
      <c r="BE1809" t="s">
        <v>29279</v>
      </c>
      <c r="BF1809" t="s">
        <v>29280</v>
      </c>
      <c r="BI1809">
        <v>9</v>
      </c>
      <c r="BJ1809" t="s">
        <v>121</v>
      </c>
      <c r="BK1809" t="s">
        <v>96</v>
      </c>
      <c r="BL1809" t="s">
        <v>122</v>
      </c>
      <c r="BM1809" t="s">
        <v>29281</v>
      </c>
      <c r="BN1809">
        <v>19038452</v>
      </c>
      <c r="BR1809" t="s">
        <v>98</v>
      </c>
      <c r="BS1809" t="s">
        <v>29282</v>
      </c>
      <c r="BT1809" t="s">
        <v>16602</v>
      </c>
    </row>
    <row r="1810" spans="1:72">
      <c r="A1810" t="s">
        <v>72</v>
      </c>
      <c r="B1810" t="s">
        <v>29283</v>
      </c>
      <c r="F1810" t="s">
        <v>29283</v>
      </c>
      <c r="I1810" t="s">
        <v>29284</v>
      </c>
      <c r="J1810" t="s">
        <v>6889</v>
      </c>
      <c r="M1810" t="s">
        <v>78</v>
      </c>
      <c r="N1810" t="s">
        <v>151</v>
      </c>
      <c r="O1810" t="s">
        <v>6890</v>
      </c>
      <c r="P1810" t="s">
        <v>6891</v>
      </c>
      <c r="Q1810" t="s">
        <v>6892</v>
      </c>
      <c r="T1810" t="s">
        <v>29285</v>
      </c>
      <c r="U1810" t="s">
        <v>29286</v>
      </c>
      <c r="V1810" t="s">
        <v>29287</v>
      </c>
      <c r="W1810" t="s">
        <v>9236</v>
      </c>
      <c r="X1810" t="s">
        <v>23822</v>
      </c>
      <c r="Y1810" t="s">
        <v>29288</v>
      </c>
      <c r="Z1810" t="s">
        <v>9239</v>
      </c>
      <c r="AG1810">
        <v>28</v>
      </c>
      <c r="AH1810">
        <v>13</v>
      </c>
      <c r="AI1810">
        <v>15</v>
      </c>
      <c r="AJ1810">
        <v>0</v>
      </c>
      <c r="AK1810">
        <v>5</v>
      </c>
      <c r="AL1810" t="s">
        <v>9241</v>
      </c>
      <c r="AM1810" t="s">
        <v>4215</v>
      </c>
      <c r="AN1810" t="s">
        <v>9242</v>
      </c>
      <c r="AO1810" t="s">
        <v>6904</v>
      </c>
      <c r="AP1810" t="s">
        <v>6905</v>
      </c>
      <c r="AR1810" t="s">
        <v>6906</v>
      </c>
      <c r="AS1810" t="s">
        <v>6907</v>
      </c>
      <c r="AU1810">
        <v>2000</v>
      </c>
      <c r="AV1810">
        <v>51</v>
      </c>
      <c r="AW1810" t="s">
        <v>6908</v>
      </c>
      <c r="BB1810">
        <v>287</v>
      </c>
      <c r="BC1810">
        <v>307</v>
      </c>
      <c r="BI1810">
        <v>21</v>
      </c>
      <c r="BJ1810" t="s">
        <v>171</v>
      </c>
      <c r="BK1810" t="s">
        <v>172</v>
      </c>
      <c r="BL1810" t="s">
        <v>173</v>
      </c>
      <c r="BM1810" t="s">
        <v>6909</v>
      </c>
      <c r="BN1810">
        <v>11034153</v>
      </c>
      <c r="BR1810" t="s">
        <v>98</v>
      </c>
      <c r="BS1810" t="s">
        <v>29289</v>
      </c>
      <c r="BT1810" t="s">
        <v>16602</v>
      </c>
    </row>
    <row r="1811" spans="1:72">
      <c r="A1811" t="s">
        <v>72</v>
      </c>
      <c r="B1811" t="s">
        <v>29290</v>
      </c>
      <c r="F1811" t="s">
        <v>29291</v>
      </c>
      <c r="I1811" t="s">
        <v>29292</v>
      </c>
      <c r="J1811" t="s">
        <v>6542</v>
      </c>
      <c r="M1811" t="s">
        <v>78</v>
      </c>
      <c r="N1811" t="s">
        <v>79</v>
      </c>
      <c r="U1811" t="s">
        <v>29293</v>
      </c>
      <c r="V1811" t="s">
        <v>29294</v>
      </c>
      <c r="W1811" t="s">
        <v>29295</v>
      </c>
      <c r="X1811" t="s">
        <v>29296</v>
      </c>
      <c r="Y1811" t="s">
        <v>29297</v>
      </c>
      <c r="Z1811" t="s">
        <v>6548</v>
      </c>
      <c r="AA1811" t="s">
        <v>29298</v>
      </c>
      <c r="AB1811" t="s">
        <v>29299</v>
      </c>
      <c r="AC1811" t="s">
        <v>29300</v>
      </c>
      <c r="AD1811" t="s">
        <v>14277</v>
      </c>
      <c r="AE1811" t="s">
        <v>29301</v>
      </c>
      <c r="AG1811">
        <v>43</v>
      </c>
      <c r="AH1811">
        <v>3</v>
      </c>
      <c r="AI1811">
        <v>3</v>
      </c>
      <c r="AJ1811">
        <v>0</v>
      </c>
      <c r="AK1811">
        <v>9</v>
      </c>
      <c r="AL1811" t="s">
        <v>6554</v>
      </c>
      <c r="AM1811" t="s">
        <v>113</v>
      </c>
      <c r="AN1811" t="s">
        <v>6555</v>
      </c>
      <c r="AO1811" t="s">
        <v>6556</v>
      </c>
      <c r="AP1811" t="s">
        <v>6557</v>
      </c>
      <c r="AR1811" t="s">
        <v>6558</v>
      </c>
      <c r="AS1811" t="s">
        <v>6559</v>
      </c>
      <c r="AT1811" t="s">
        <v>951</v>
      </c>
      <c r="AU1811">
        <v>2017</v>
      </c>
      <c r="AV1811">
        <v>57</v>
      </c>
      <c r="AW1811">
        <v>6</v>
      </c>
      <c r="BB1811">
        <v>828</v>
      </c>
      <c r="BC1811">
        <v>840</v>
      </c>
      <c r="BE1811" t="s">
        <v>29302</v>
      </c>
      <c r="BF1811" t="s">
        <v>29303</v>
      </c>
      <c r="BI1811">
        <v>13</v>
      </c>
      <c r="BJ1811" t="s">
        <v>1439</v>
      </c>
      <c r="BK1811" t="s">
        <v>96</v>
      </c>
      <c r="BL1811" t="s">
        <v>1439</v>
      </c>
      <c r="BM1811" t="s">
        <v>29304</v>
      </c>
      <c r="BR1811" t="s">
        <v>98</v>
      </c>
      <c r="BS1811" t="s">
        <v>29305</v>
      </c>
      <c r="BT1811" t="s">
        <v>16602</v>
      </c>
    </row>
    <row r="1812" spans="1:72">
      <c r="A1812" t="s">
        <v>72</v>
      </c>
      <c r="B1812" t="s">
        <v>29306</v>
      </c>
      <c r="F1812" t="s">
        <v>29307</v>
      </c>
      <c r="I1812" t="s">
        <v>29308</v>
      </c>
      <c r="J1812" t="s">
        <v>12129</v>
      </c>
      <c r="M1812" t="s">
        <v>78</v>
      </c>
      <c r="N1812" t="s">
        <v>79</v>
      </c>
      <c r="T1812" t="s">
        <v>29309</v>
      </c>
      <c r="U1812" t="s">
        <v>29310</v>
      </c>
      <c r="V1812" t="s">
        <v>29311</v>
      </c>
      <c r="W1812" t="s">
        <v>29312</v>
      </c>
      <c r="X1812" t="s">
        <v>29313</v>
      </c>
      <c r="Y1812" t="s">
        <v>12135</v>
      </c>
      <c r="Z1812" t="s">
        <v>12136</v>
      </c>
      <c r="AA1812" t="s">
        <v>12137</v>
      </c>
      <c r="AC1812" t="s">
        <v>29314</v>
      </c>
      <c r="AD1812" t="s">
        <v>29315</v>
      </c>
      <c r="AE1812" t="s">
        <v>29316</v>
      </c>
      <c r="AG1812">
        <v>40</v>
      </c>
      <c r="AH1812">
        <v>4</v>
      </c>
      <c r="AI1812">
        <v>4</v>
      </c>
      <c r="AJ1812">
        <v>0</v>
      </c>
      <c r="AK1812">
        <v>2</v>
      </c>
      <c r="AL1812" t="s">
        <v>1433</v>
      </c>
      <c r="AM1812" t="s">
        <v>1434</v>
      </c>
      <c r="AN1812" t="s">
        <v>1435</v>
      </c>
      <c r="AO1812" t="s">
        <v>1436</v>
      </c>
      <c r="AP1812" t="s">
        <v>12141</v>
      </c>
      <c r="AR1812" t="s">
        <v>12142</v>
      </c>
      <c r="AS1812" t="s">
        <v>12143</v>
      </c>
      <c r="AT1812" t="s">
        <v>951</v>
      </c>
      <c r="AU1812">
        <v>2017</v>
      </c>
      <c r="AV1812">
        <v>46</v>
      </c>
      <c r="AW1812">
        <v>11</v>
      </c>
      <c r="BB1812">
        <v>2339</v>
      </c>
      <c r="BC1812">
        <v>2349</v>
      </c>
      <c r="BI1812">
        <v>11</v>
      </c>
      <c r="BJ1812" t="s">
        <v>1439</v>
      </c>
      <c r="BK1812" t="s">
        <v>96</v>
      </c>
      <c r="BL1812" t="s">
        <v>1439</v>
      </c>
      <c r="BM1812" t="s">
        <v>29317</v>
      </c>
      <c r="BR1812" t="s">
        <v>98</v>
      </c>
      <c r="BS1812" t="s">
        <v>29318</v>
      </c>
      <c r="BT1812" t="s">
        <v>16602</v>
      </c>
    </row>
    <row r="1813" spans="1:72">
      <c r="A1813" t="s">
        <v>72</v>
      </c>
      <c r="B1813" t="s">
        <v>29319</v>
      </c>
      <c r="F1813" t="s">
        <v>29319</v>
      </c>
      <c r="I1813" t="s">
        <v>29320</v>
      </c>
      <c r="J1813" t="s">
        <v>752</v>
      </c>
      <c r="M1813" t="s">
        <v>78</v>
      </c>
      <c r="N1813" t="s">
        <v>151</v>
      </c>
      <c r="O1813" t="s">
        <v>9548</v>
      </c>
      <c r="P1813" t="s">
        <v>9549</v>
      </c>
      <c r="Q1813" t="s">
        <v>9550</v>
      </c>
      <c r="S1813" t="s">
        <v>9551</v>
      </c>
      <c r="T1813" t="s">
        <v>29321</v>
      </c>
      <c r="U1813" t="s">
        <v>29322</v>
      </c>
      <c r="V1813" t="s">
        <v>29323</v>
      </c>
      <c r="W1813" t="s">
        <v>29324</v>
      </c>
      <c r="X1813" t="s">
        <v>29325</v>
      </c>
      <c r="Y1813" t="s">
        <v>29326</v>
      </c>
      <c r="AA1813" t="s">
        <v>18785</v>
      </c>
      <c r="AB1813" t="s">
        <v>18786</v>
      </c>
      <c r="AG1813">
        <v>18</v>
      </c>
      <c r="AH1813">
        <v>49</v>
      </c>
      <c r="AI1813">
        <v>51</v>
      </c>
      <c r="AJ1813">
        <v>0</v>
      </c>
      <c r="AK1813">
        <v>10</v>
      </c>
      <c r="AL1813" t="s">
        <v>430</v>
      </c>
      <c r="AM1813" t="s">
        <v>137</v>
      </c>
      <c r="AN1813" t="s">
        <v>431</v>
      </c>
      <c r="AO1813" t="s">
        <v>761</v>
      </c>
      <c r="AR1813" t="s">
        <v>763</v>
      </c>
      <c r="AS1813" t="s">
        <v>764</v>
      </c>
      <c r="AT1813" t="s">
        <v>5113</v>
      </c>
      <c r="AU1813">
        <v>2000</v>
      </c>
      <c r="AV1813">
        <v>50</v>
      </c>
      <c r="AW1813" t="s">
        <v>9558</v>
      </c>
      <c r="BB1813">
        <v>417</v>
      </c>
      <c r="BC1813">
        <v>423</v>
      </c>
      <c r="BE1813" t="s">
        <v>29327</v>
      </c>
      <c r="BF1813" t="s">
        <v>29328</v>
      </c>
      <c r="BI1813">
        <v>7</v>
      </c>
      <c r="BJ1813" t="s">
        <v>768</v>
      </c>
      <c r="BK1813" t="s">
        <v>588</v>
      </c>
      <c r="BL1813" t="s">
        <v>769</v>
      </c>
      <c r="BM1813" t="s">
        <v>9560</v>
      </c>
      <c r="BN1813">
        <v>11460729</v>
      </c>
      <c r="BR1813" t="s">
        <v>98</v>
      </c>
      <c r="BS1813" t="s">
        <v>29329</v>
      </c>
      <c r="BT1813" t="s">
        <v>16602</v>
      </c>
    </row>
    <row r="1814" spans="1:72">
      <c r="A1814" t="s">
        <v>72</v>
      </c>
      <c r="B1814" t="s">
        <v>29330</v>
      </c>
      <c r="F1814" t="s">
        <v>29331</v>
      </c>
      <c r="I1814" t="s">
        <v>29332</v>
      </c>
      <c r="J1814" t="s">
        <v>29333</v>
      </c>
      <c r="M1814" t="s">
        <v>78</v>
      </c>
      <c r="N1814" t="s">
        <v>79</v>
      </c>
      <c r="T1814" t="s">
        <v>29334</v>
      </c>
      <c r="V1814" t="s">
        <v>29335</v>
      </c>
      <c r="W1814" t="s">
        <v>29336</v>
      </c>
      <c r="X1814" t="s">
        <v>29337</v>
      </c>
      <c r="Y1814" t="s">
        <v>15427</v>
      </c>
      <c r="Z1814" t="s">
        <v>29338</v>
      </c>
      <c r="AA1814" t="s">
        <v>29339</v>
      </c>
      <c r="AB1814" t="s">
        <v>29340</v>
      </c>
      <c r="AC1814" t="s">
        <v>29341</v>
      </c>
      <c r="AD1814" t="s">
        <v>29342</v>
      </c>
      <c r="AE1814" t="s">
        <v>29343</v>
      </c>
      <c r="AG1814">
        <v>57</v>
      </c>
      <c r="AH1814">
        <v>127</v>
      </c>
      <c r="AI1814">
        <v>131</v>
      </c>
      <c r="AJ1814">
        <v>2</v>
      </c>
      <c r="AK1814">
        <v>25</v>
      </c>
      <c r="AL1814" t="s">
        <v>217</v>
      </c>
      <c r="AM1814" t="s">
        <v>218</v>
      </c>
      <c r="AN1814" t="s">
        <v>219</v>
      </c>
      <c r="AO1814" t="s">
        <v>29344</v>
      </c>
      <c r="AP1814" t="s">
        <v>29345</v>
      </c>
      <c r="AR1814" t="s">
        <v>29346</v>
      </c>
      <c r="AS1814" t="s">
        <v>29347</v>
      </c>
      <c r="AT1814" t="s">
        <v>1223</v>
      </c>
      <c r="AU1814">
        <v>2004</v>
      </c>
      <c r="AV1814">
        <v>4</v>
      </c>
      <c r="AW1814">
        <v>1</v>
      </c>
      <c r="BB1814">
        <v>17</v>
      </c>
      <c r="BC1814">
        <v>27</v>
      </c>
      <c r="BE1814" t="s">
        <v>29348</v>
      </c>
      <c r="BF1814" t="s">
        <v>29349</v>
      </c>
      <c r="BI1814">
        <v>11</v>
      </c>
      <c r="BJ1814" t="s">
        <v>29350</v>
      </c>
      <c r="BK1814" t="s">
        <v>11915</v>
      </c>
      <c r="BL1814" t="s">
        <v>145</v>
      </c>
      <c r="BM1814" t="s">
        <v>29351</v>
      </c>
      <c r="BR1814" t="s">
        <v>98</v>
      </c>
      <c r="BS1814" t="s">
        <v>29352</v>
      </c>
      <c r="BT1814" t="s">
        <v>16602</v>
      </c>
    </row>
    <row r="1815" spans="1:72">
      <c r="A1815" t="s">
        <v>72</v>
      </c>
      <c r="B1815" t="s">
        <v>29353</v>
      </c>
      <c r="F1815" t="s">
        <v>29354</v>
      </c>
      <c r="I1815" t="s">
        <v>29355</v>
      </c>
      <c r="J1815" t="s">
        <v>752</v>
      </c>
      <c r="M1815" t="s">
        <v>78</v>
      </c>
      <c r="N1815" t="s">
        <v>79</v>
      </c>
      <c r="T1815" t="s">
        <v>29356</v>
      </c>
      <c r="U1815" t="s">
        <v>29357</v>
      </c>
      <c r="V1815" t="s">
        <v>29358</v>
      </c>
      <c r="W1815" t="s">
        <v>29359</v>
      </c>
      <c r="X1815" t="s">
        <v>29360</v>
      </c>
      <c r="Y1815" t="s">
        <v>29361</v>
      </c>
      <c r="Z1815" t="s">
        <v>29362</v>
      </c>
      <c r="AA1815" t="s">
        <v>29363</v>
      </c>
      <c r="AB1815" t="s">
        <v>29364</v>
      </c>
      <c r="AC1815" t="s">
        <v>29365</v>
      </c>
      <c r="AD1815" t="s">
        <v>29366</v>
      </c>
      <c r="AE1815" t="s">
        <v>29367</v>
      </c>
      <c r="AG1815">
        <v>47</v>
      </c>
      <c r="AH1815">
        <v>6</v>
      </c>
      <c r="AI1815">
        <v>6</v>
      </c>
      <c r="AJ1815">
        <v>0</v>
      </c>
      <c r="AK1815">
        <v>16</v>
      </c>
      <c r="AL1815" t="s">
        <v>430</v>
      </c>
      <c r="AM1815" t="s">
        <v>137</v>
      </c>
      <c r="AN1815" t="s">
        <v>431</v>
      </c>
      <c r="AO1815" t="s">
        <v>761</v>
      </c>
      <c r="AP1815" t="s">
        <v>762</v>
      </c>
      <c r="AR1815" t="s">
        <v>763</v>
      </c>
      <c r="AS1815" t="s">
        <v>764</v>
      </c>
      <c r="AT1815" t="s">
        <v>170</v>
      </c>
      <c r="AU1815">
        <v>2014</v>
      </c>
      <c r="AV1815">
        <v>96</v>
      </c>
      <c r="AZ1815" t="s">
        <v>225</v>
      </c>
      <c r="BB1815">
        <v>38</v>
      </c>
      <c r="BC1815">
        <v>44</v>
      </c>
      <c r="BE1815" t="s">
        <v>29368</v>
      </c>
      <c r="BF1815" t="s">
        <v>29369</v>
      </c>
      <c r="BI1815">
        <v>7</v>
      </c>
      <c r="BJ1815" t="s">
        <v>768</v>
      </c>
      <c r="BK1815" t="s">
        <v>96</v>
      </c>
      <c r="BL1815" t="s">
        <v>769</v>
      </c>
      <c r="BM1815" t="s">
        <v>29370</v>
      </c>
      <c r="BN1815">
        <v>24559608</v>
      </c>
      <c r="BR1815" t="s">
        <v>98</v>
      </c>
      <c r="BS1815" t="s">
        <v>29371</v>
      </c>
      <c r="BT1815" t="s">
        <v>16602</v>
      </c>
    </row>
    <row r="1816" spans="1:72">
      <c r="A1816" t="s">
        <v>72</v>
      </c>
      <c r="B1816" t="s">
        <v>28240</v>
      </c>
      <c r="F1816" t="s">
        <v>28240</v>
      </c>
      <c r="I1816" t="s">
        <v>29372</v>
      </c>
      <c r="J1816" t="s">
        <v>2265</v>
      </c>
      <c r="M1816" t="s">
        <v>78</v>
      </c>
      <c r="N1816" t="s">
        <v>79</v>
      </c>
      <c r="T1816" t="s">
        <v>29373</v>
      </c>
      <c r="U1816" t="s">
        <v>29374</v>
      </c>
      <c r="V1816" t="s">
        <v>29375</v>
      </c>
      <c r="W1816" t="s">
        <v>29376</v>
      </c>
      <c r="X1816" t="s">
        <v>18937</v>
      </c>
      <c r="Y1816" t="s">
        <v>29377</v>
      </c>
      <c r="AG1816">
        <v>47</v>
      </c>
      <c r="AH1816">
        <v>44</v>
      </c>
      <c r="AI1816">
        <v>47</v>
      </c>
      <c r="AJ1816">
        <v>0</v>
      </c>
      <c r="AK1816">
        <v>10</v>
      </c>
      <c r="AL1816" t="s">
        <v>2074</v>
      </c>
      <c r="AM1816" t="s">
        <v>286</v>
      </c>
      <c r="AN1816" t="s">
        <v>22530</v>
      </c>
      <c r="AO1816" t="s">
        <v>2275</v>
      </c>
      <c r="AR1816" t="s">
        <v>2265</v>
      </c>
      <c r="AS1816" t="s">
        <v>2277</v>
      </c>
      <c r="AT1816" t="s">
        <v>510</v>
      </c>
      <c r="AU1816">
        <v>1999</v>
      </c>
      <c r="AV1816">
        <v>4</v>
      </c>
      <c r="AW1816">
        <v>6</v>
      </c>
      <c r="BB1816">
        <v>473</v>
      </c>
      <c r="BC1816">
        <v>484</v>
      </c>
      <c r="BI1816">
        <v>12</v>
      </c>
      <c r="BJ1816" t="s">
        <v>2279</v>
      </c>
      <c r="BK1816" t="s">
        <v>96</v>
      </c>
      <c r="BL1816" t="s">
        <v>2279</v>
      </c>
      <c r="BM1816" t="s">
        <v>22531</v>
      </c>
      <c r="BN1816">
        <v>23902392</v>
      </c>
      <c r="BR1816" t="s">
        <v>98</v>
      </c>
      <c r="BS1816" t="s">
        <v>29378</v>
      </c>
      <c r="BT1816" t="s">
        <v>16602</v>
      </c>
    </row>
    <row r="1817" spans="1:72">
      <c r="A1817" t="s">
        <v>72</v>
      </c>
      <c r="B1817" t="s">
        <v>29379</v>
      </c>
      <c r="F1817" t="s">
        <v>29380</v>
      </c>
      <c r="I1817" t="s">
        <v>29381</v>
      </c>
      <c r="J1817" t="s">
        <v>204</v>
      </c>
      <c r="M1817" t="s">
        <v>78</v>
      </c>
      <c r="N1817" t="s">
        <v>79</v>
      </c>
      <c r="T1817" t="s">
        <v>29382</v>
      </c>
      <c r="U1817" t="s">
        <v>29383</v>
      </c>
      <c r="V1817" t="s">
        <v>29384</v>
      </c>
      <c r="W1817" t="s">
        <v>29385</v>
      </c>
      <c r="X1817" t="s">
        <v>22000</v>
      </c>
      <c r="Y1817" t="s">
        <v>29386</v>
      </c>
      <c r="Z1817" t="s">
        <v>29387</v>
      </c>
      <c r="AA1817" t="s">
        <v>29388</v>
      </c>
      <c r="AB1817" t="s">
        <v>29389</v>
      </c>
      <c r="AC1817" t="s">
        <v>29390</v>
      </c>
      <c r="AD1817" t="s">
        <v>29391</v>
      </c>
      <c r="AE1817" t="s">
        <v>29392</v>
      </c>
      <c r="AG1817">
        <v>63</v>
      </c>
      <c r="AH1817">
        <v>39</v>
      </c>
      <c r="AI1817">
        <v>40</v>
      </c>
      <c r="AJ1817">
        <v>0</v>
      </c>
      <c r="AK1817">
        <v>12</v>
      </c>
      <c r="AL1817" t="s">
        <v>217</v>
      </c>
      <c r="AM1817" t="s">
        <v>218</v>
      </c>
      <c r="AN1817" t="s">
        <v>219</v>
      </c>
      <c r="AO1817" t="s">
        <v>220</v>
      </c>
      <c r="AP1817" t="s">
        <v>221</v>
      </c>
      <c r="AR1817" t="s">
        <v>222</v>
      </c>
      <c r="AS1817" t="s">
        <v>223</v>
      </c>
      <c r="AT1817" t="s">
        <v>170</v>
      </c>
      <c r="AU1817">
        <v>2010</v>
      </c>
      <c r="AV1817">
        <v>17</v>
      </c>
      <c r="AW1817">
        <v>4</v>
      </c>
      <c r="BB1817">
        <v>999</v>
      </c>
      <c r="BC1817">
        <v>1008</v>
      </c>
      <c r="BE1817" t="s">
        <v>29393</v>
      </c>
      <c r="BF1817" t="s">
        <v>29394</v>
      </c>
      <c r="BI1817">
        <v>10</v>
      </c>
      <c r="BJ1817" t="s">
        <v>144</v>
      </c>
      <c r="BK1817" t="s">
        <v>96</v>
      </c>
      <c r="BL1817" t="s">
        <v>145</v>
      </c>
      <c r="BM1817" t="s">
        <v>15363</v>
      </c>
      <c r="BN1817">
        <v>20162372</v>
      </c>
      <c r="BR1817" t="s">
        <v>98</v>
      </c>
      <c r="BS1817" t="s">
        <v>29395</v>
      </c>
      <c r="BT1817" t="s">
        <v>16602</v>
      </c>
    </row>
    <row r="1818" spans="1:72">
      <c r="A1818" t="s">
        <v>72</v>
      </c>
      <c r="B1818" t="s">
        <v>29396</v>
      </c>
      <c r="F1818" t="s">
        <v>29397</v>
      </c>
      <c r="I1818" t="s">
        <v>29398</v>
      </c>
      <c r="J1818" t="s">
        <v>29399</v>
      </c>
      <c r="M1818" t="s">
        <v>78</v>
      </c>
      <c r="N1818" t="s">
        <v>79</v>
      </c>
      <c r="T1818" t="s">
        <v>29400</v>
      </c>
      <c r="U1818" t="s">
        <v>29401</v>
      </c>
      <c r="V1818" t="s">
        <v>29402</v>
      </c>
      <c r="W1818" t="s">
        <v>29403</v>
      </c>
      <c r="X1818" t="s">
        <v>3483</v>
      </c>
      <c r="Y1818" t="s">
        <v>29404</v>
      </c>
      <c r="Z1818" t="s">
        <v>29405</v>
      </c>
      <c r="AA1818" t="s">
        <v>29406</v>
      </c>
      <c r="AB1818" t="s">
        <v>29407</v>
      </c>
      <c r="AC1818" t="s">
        <v>29408</v>
      </c>
      <c r="AD1818" t="s">
        <v>29409</v>
      </c>
      <c r="AE1818" t="s">
        <v>29410</v>
      </c>
      <c r="AG1818">
        <v>86</v>
      </c>
      <c r="AH1818">
        <v>4</v>
      </c>
      <c r="AI1818">
        <v>4</v>
      </c>
      <c r="AJ1818">
        <v>0</v>
      </c>
      <c r="AK1818">
        <v>12</v>
      </c>
      <c r="AL1818" t="s">
        <v>1566</v>
      </c>
      <c r="AM1818" t="s">
        <v>1567</v>
      </c>
      <c r="AN1818" t="s">
        <v>1568</v>
      </c>
      <c r="AP1818" t="s">
        <v>29411</v>
      </c>
      <c r="AR1818" t="s">
        <v>29399</v>
      </c>
      <c r="AS1818" t="s">
        <v>29412</v>
      </c>
      <c r="AT1818" t="s">
        <v>765</v>
      </c>
      <c r="AU1818">
        <v>2022</v>
      </c>
      <c r="AV1818">
        <v>15</v>
      </c>
      <c r="AW1818">
        <v>14</v>
      </c>
      <c r="BD1818">
        <v>5023</v>
      </c>
      <c r="BE1818" t="s">
        <v>29413</v>
      </c>
      <c r="BF1818" t="s">
        <v>29414</v>
      </c>
      <c r="BI1818">
        <v>21</v>
      </c>
      <c r="BJ1818" t="s">
        <v>29415</v>
      </c>
      <c r="BK1818" t="s">
        <v>96</v>
      </c>
      <c r="BL1818" t="s">
        <v>29416</v>
      </c>
      <c r="BM1818" t="s">
        <v>29417</v>
      </c>
      <c r="BN1818">
        <v>35888489</v>
      </c>
      <c r="BO1818" t="s">
        <v>2155</v>
      </c>
      <c r="BR1818" t="s">
        <v>98</v>
      </c>
      <c r="BS1818" t="s">
        <v>29418</v>
      </c>
      <c r="BT1818" t="s">
        <v>16602</v>
      </c>
    </row>
    <row r="1819" spans="1:72">
      <c r="A1819" t="s">
        <v>72</v>
      </c>
      <c r="B1819" t="s">
        <v>29419</v>
      </c>
      <c r="F1819" t="s">
        <v>29419</v>
      </c>
      <c r="I1819" t="s">
        <v>29420</v>
      </c>
      <c r="J1819" t="s">
        <v>7755</v>
      </c>
      <c r="M1819" t="s">
        <v>78</v>
      </c>
      <c r="N1819" t="s">
        <v>151</v>
      </c>
      <c r="O1819" t="s">
        <v>29421</v>
      </c>
      <c r="P1819" t="s">
        <v>29422</v>
      </c>
      <c r="Q1819" t="s">
        <v>29423</v>
      </c>
      <c r="T1819" t="s">
        <v>29424</v>
      </c>
      <c r="U1819" t="s">
        <v>29425</v>
      </c>
      <c r="V1819" t="s">
        <v>29426</v>
      </c>
      <c r="W1819" t="s">
        <v>29427</v>
      </c>
      <c r="X1819" t="s">
        <v>29428</v>
      </c>
      <c r="Y1819" t="s">
        <v>29429</v>
      </c>
      <c r="AA1819" t="s">
        <v>29430</v>
      </c>
      <c r="AB1819" t="s">
        <v>29431</v>
      </c>
      <c r="AG1819">
        <v>34</v>
      </c>
      <c r="AH1819">
        <v>135</v>
      </c>
      <c r="AI1819">
        <v>158</v>
      </c>
      <c r="AJ1819">
        <v>0</v>
      </c>
      <c r="AK1819">
        <v>23</v>
      </c>
      <c r="AL1819" t="s">
        <v>3910</v>
      </c>
      <c r="AM1819" t="s">
        <v>3911</v>
      </c>
      <c r="AN1819" t="s">
        <v>29432</v>
      </c>
      <c r="AO1819" t="s">
        <v>7767</v>
      </c>
      <c r="AR1819" t="s">
        <v>7755</v>
      </c>
      <c r="AS1819" t="s">
        <v>7769</v>
      </c>
      <c r="AT1819" t="s">
        <v>119</v>
      </c>
      <c r="AU1819">
        <v>2003</v>
      </c>
      <c r="AV1819">
        <v>3</v>
      </c>
      <c r="AW1819">
        <v>8</v>
      </c>
      <c r="BB1819">
        <v>1535</v>
      </c>
      <c r="BC1819">
        <v>1543</v>
      </c>
      <c r="BE1819" t="s">
        <v>29433</v>
      </c>
      <c r="BF1819" t="s">
        <v>29434</v>
      </c>
      <c r="BI1819">
        <v>9</v>
      </c>
      <c r="BJ1819" t="s">
        <v>7771</v>
      </c>
      <c r="BK1819" t="s">
        <v>588</v>
      </c>
      <c r="BL1819" t="s">
        <v>3805</v>
      </c>
      <c r="BM1819" t="s">
        <v>29435</v>
      </c>
      <c r="BN1819">
        <v>12923779</v>
      </c>
      <c r="BR1819" t="s">
        <v>98</v>
      </c>
      <c r="BS1819" t="s">
        <v>29436</v>
      </c>
      <c r="BT1819" t="s">
        <v>16602</v>
      </c>
    </row>
    <row r="1820" spans="1:72">
      <c r="A1820" t="s">
        <v>72</v>
      </c>
      <c r="B1820" t="s">
        <v>29437</v>
      </c>
      <c r="F1820" t="s">
        <v>29438</v>
      </c>
      <c r="I1820" t="s">
        <v>29439</v>
      </c>
      <c r="J1820" t="s">
        <v>3349</v>
      </c>
      <c r="M1820" t="s">
        <v>78</v>
      </c>
      <c r="N1820" t="s">
        <v>79</v>
      </c>
      <c r="T1820" t="s">
        <v>29440</v>
      </c>
      <c r="U1820" t="s">
        <v>29441</v>
      </c>
      <c r="V1820" t="s">
        <v>29442</v>
      </c>
      <c r="W1820" t="s">
        <v>29443</v>
      </c>
      <c r="Y1820" t="s">
        <v>29444</v>
      </c>
      <c r="Z1820" t="s">
        <v>29445</v>
      </c>
      <c r="AA1820" t="s">
        <v>29446</v>
      </c>
      <c r="AG1820">
        <v>24</v>
      </c>
      <c r="AH1820">
        <v>14</v>
      </c>
      <c r="AI1820">
        <v>17</v>
      </c>
      <c r="AJ1820">
        <v>1</v>
      </c>
      <c r="AK1820">
        <v>8</v>
      </c>
      <c r="AL1820" t="s">
        <v>3362</v>
      </c>
      <c r="AM1820" t="s">
        <v>3363</v>
      </c>
      <c r="AN1820" t="s">
        <v>3364</v>
      </c>
      <c r="AO1820" t="s">
        <v>3365</v>
      </c>
      <c r="AR1820" t="s">
        <v>3367</v>
      </c>
      <c r="AS1820" t="s">
        <v>3368</v>
      </c>
      <c r="AT1820" t="s">
        <v>142</v>
      </c>
      <c r="AU1820">
        <v>2007</v>
      </c>
      <c r="AV1820">
        <v>67</v>
      </c>
      <c r="AW1820">
        <v>2</v>
      </c>
      <c r="BB1820">
        <v>212</v>
      </c>
      <c r="BC1820">
        <v>217</v>
      </c>
      <c r="BE1820" t="s">
        <v>29447</v>
      </c>
      <c r="BF1820" t="s">
        <v>29448</v>
      </c>
      <c r="BI1820">
        <v>6</v>
      </c>
      <c r="BJ1820" t="s">
        <v>121</v>
      </c>
      <c r="BK1820" t="s">
        <v>96</v>
      </c>
      <c r="BL1820" t="s">
        <v>122</v>
      </c>
      <c r="BM1820" t="s">
        <v>29449</v>
      </c>
      <c r="BN1820">
        <v>17052754</v>
      </c>
      <c r="BR1820" t="s">
        <v>98</v>
      </c>
      <c r="BS1820" t="s">
        <v>29450</v>
      </c>
      <c r="BT1820" t="s">
        <v>16602</v>
      </c>
    </row>
    <row r="1821" spans="1:72">
      <c r="A1821" t="s">
        <v>72</v>
      </c>
      <c r="B1821" t="s">
        <v>29451</v>
      </c>
      <c r="F1821" t="s">
        <v>29451</v>
      </c>
      <c r="I1821" t="s">
        <v>29452</v>
      </c>
      <c r="J1821" t="s">
        <v>4963</v>
      </c>
      <c r="M1821" t="s">
        <v>78</v>
      </c>
      <c r="N1821" t="s">
        <v>79</v>
      </c>
      <c r="T1821" t="s">
        <v>29453</v>
      </c>
      <c r="U1821" t="s">
        <v>29454</v>
      </c>
      <c r="V1821" t="s">
        <v>29455</v>
      </c>
      <c r="W1821" t="s">
        <v>29456</v>
      </c>
      <c r="X1821" t="s">
        <v>29457</v>
      </c>
      <c r="Y1821" t="s">
        <v>12227</v>
      </c>
      <c r="AA1821" t="s">
        <v>29458</v>
      </c>
      <c r="AB1821" t="s">
        <v>29459</v>
      </c>
      <c r="AG1821">
        <v>35</v>
      </c>
      <c r="AH1821">
        <v>35</v>
      </c>
      <c r="AI1821">
        <v>36</v>
      </c>
      <c r="AJ1821">
        <v>0</v>
      </c>
      <c r="AK1821">
        <v>10</v>
      </c>
      <c r="AL1821" t="s">
        <v>9707</v>
      </c>
      <c r="AM1821" t="s">
        <v>286</v>
      </c>
      <c r="AN1821" t="s">
        <v>9708</v>
      </c>
      <c r="AO1821" t="s">
        <v>4976</v>
      </c>
      <c r="AR1821" t="s">
        <v>4978</v>
      </c>
      <c r="AS1821" t="s">
        <v>4979</v>
      </c>
      <c r="AT1821" t="s">
        <v>951</v>
      </c>
      <c r="AU1821">
        <v>1993</v>
      </c>
      <c r="AV1821">
        <v>14</v>
      </c>
      <c r="AW1821">
        <v>11</v>
      </c>
      <c r="BB1821">
        <v>1027</v>
      </c>
      <c r="BC1821">
        <v>1036</v>
      </c>
      <c r="BE1821" t="s">
        <v>29460</v>
      </c>
      <c r="BF1821" t="s">
        <v>29461</v>
      </c>
      <c r="BI1821">
        <v>10</v>
      </c>
      <c r="BJ1821" t="s">
        <v>144</v>
      </c>
      <c r="BK1821" t="s">
        <v>96</v>
      </c>
      <c r="BL1821" t="s">
        <v>145</v>
      </c>
      <c r="BM1821" t="s">
        <v>29462</v>
      </c>
      <c r="BN1821">
        <v>29016272</v>
      </c>
      <c r="BR1821" t="s">
        <v>98</v>
      </c>
      <c r="BS1821" t="s">
        <v>29463</v>
      </c>
      <c r="BT1821" t="s">
        <v>16602</v>
      </c>
    </row>
    <row r="1822" spans="1:72">
      <c r="A1822" t="s">
        <v>72</v>
      </c>
      <c r="B1822" t="s">
        <v>29464</v>
      </c>
      <c r="F1822" t="s">
        <v>29465</v>
      </c>
      <c r="I1822" t="s">
        <v>29466</v>
      </c>
      <c r="J1822" t="s">
        <v>29467</v>
      </c>
      <c r="M1822" t="s">
        <v>78</v>
      </c>
      <c r="N1822" t="s">
        <v>79</v>
      </c>
      <c r="T1822" t="s">
        <v>29468</v>
      </c>
      <c r="U1822" t="s">
        <v>29469</v>
      </c>
      <c r="V1822" t="s">
        <v>29470</v>
      </c>
      <c r="W1822" t="s">
        <v>29471</v>
      </c>
      <c r="X1822" t="s">
        <v>29472</v>
      </c>
      <c r="Y1822" t="s">
        <v>29473</v>
      </c>
      <c r="Z1822" t="s">
        <v>29474</v>
      </c>
      <c r="AB1822" t="s">
        <v>29475</v>
      </c>
      <c r="AC1822" t="s">
        <v>29476</v>
      </c>
      <c r="AD1822" t="s">
        <v>7537</v>
      </c>
      <c r="AE1822" t="s">
        <v>29477</v>
      </c>
      <c r="AG1822">
        <v>65</v>
      </c>
      <c r="AH1822">
        <v>7</v>
      </c>
      <c r="AI1822">
        <v>9</v>
      </c>
      <c r="AJ1822">
        <v>1</v>
      </c>
      <c r="AK1822">
        <v>34</v>
      </c>
      <c r="AL1822" t="s">
        <v>86</v>
      </c>
      <c r="AM1822" t="s">
        <v>87</v>
      </c>
      <c r="AN1822" t="s">
        <v>88</v>
      </c>
      <c r="AO1822" t="s">
        <v>29478</v>
      </c>
      <c r="AR1822" t="s">
        <v>29467</v>
      </c>
      <c r="AS1822" t="s">
        <v>29479</v>
      </c>
      <c r="AT1822" t="s">
        <v>142</v>
      </c>
      <c r="AU1822">
        <v>2018</v>
      </c>
      <c r="AV1822">
        <v>9</v>
      </c>
      <c r="AW1822">
        <v>6</v>
      </c>
      <c r="BD1822" t="s">
        <v>29480</v>
      </c>
      <c r="BE1822" t="s">
        <v>29481</v>
      </c>
      <c r="BF1822" t="s">
        <v>29482</v>
      </c>
      <c r="BI1822">
        <v>14</v>
      </c>
      <c r="BJ1822" t="s">
        <v>6054</v>
      </c>
      <c r="BK1822" t="s">
        <v>96</v>
      </c>
      <c r="BL1822" t="s">
        <v>145</v>
      </c>
      <c r="BM1822" t="s">
        <v>29483</v>
      </c>
      <c r="BO1822" t="s">
        <v>2155</v>
      </c>
      <c r="BR1822" t="s">
        <v>98</v>
      </c>
      <c r="BS1822" t="s">
        <v>29484</v>
      </c>
      <c r="BT1822" t="s">
        <v>16602</v>
      </c>
    </row>
    <row r="1823" spans="1:72">
      <c r="A1823" t="s">
        <v>72</v>
      </c>
      <c r="B1823" t="s">
        <v>29485</v>
      </c>
      <c r="F1823" t="s">
        <v>29486</v>
      </c>
      <c r="I1823" t="s">
        <v>29487</v>
      </c>
      <c r="J1823" t="s">
        <v>4524</v>
      </c>
      <c r="M1823" t="s">
        <v>78</v>
      </c>
      <c r="N1823" t="s">
        <v>79</v>
      </c>
      <c r="T1823" t="s">
        <v>29488</v>
      </c>
      <c r="V1823" t="s">
        <v>29489</v>
      </c>
      <c r="W1823" t="s">
        <v>29490</v>
      </c>
      <c r="X1823" t="s">
        <v>29491</v>
      </c>
      <c r="Y1823" t="s">
        <v>29492</v>
      </c>
      <c r="Z1823" t="s">
        <v>29493</v>
      </c>
      <c r="AC1823" t="s">
        <v>29494</v>
      </c>
      <c r="AD1823" t="s">
        <v>29495</v>
      </c>
      <c r="AE1823" t="s">
        <v>29496</v>
      </c>
      <c r="AG1823">
        <v>19</v>
      </c>
      <c r="AH1823">
        <v>2</v>
      </c>
      <c r="AI1823">
        <v>2</v>
      </c>
      <c r="AJ1823">
        <v>0</v>
      </c>
      <c r="AK1823">
        <v>2</v>
      </c>
      <c r="AL1823" t="s">
        <v>4537</v>
      </c>
      <c r="AM1823" t="s">
        <v>4538</v>
      </c>
      <c r="AN1823" t="s">
        <v>4539</v>
      </c>
      <c r="AO1823" t="s">
        <v>4540</v>
      </c>
      <c r="AR1823" t="s">
        <v>4541</v>
      </c>
      <c r="AS1823" t="s">
        <v>4542</v>
      </c>
      <c r="AU1823">
        <v>2009</v>
      </c>
      <c r="AV1823">
        <v>6</v>
      </c>
      <c r="AW1823">
        <v>2</v>
      </c>
      <c r="BB1823">
        <v>144</v>
      </c>
      <c r="BC1823">
        <v>153</v>
      </c>
      <c r="BI1823">
        <v>10</v>
      </c>
      <c r="BJ1823" t="s">
        <v>4543</v>
      </c>
      <c r="BK1823" t="s">
        <v>96</v>
      </c>
      <c r="BL1823" t="s">
        <v>4543</v>
      </c>
      <c r="BM1823" t="s">
        <v>29497</v>
      </c>
      <c r="BR1823" t="s">
        <v>98</v>
      </c>
      <c r="BS1823" t="s">
        <v>29498</v>
      </c>
      <c r="BT1823" t="s">
        <v>16602</v>
      </c>
    </row>
    <row r="1824" spans="1:72">
      <c r="A1824" t="s">
        <v>72</v>
      </c>
      <c r="B1824" t="s">
        <v>29499</v>
      </c>
      <c r="F1824" t="s">
        <v>29500</v>
      </c>
      <c r="I1824" t="s">
        <v>29501</v>
      </c>
      <c r="J1824" t="s">
        <v>232</v>
      </c>
      <c r="M1824" t="s">
        <v>78</v>
      </c>
      <c r="N1824" t="s">
        <v>79</v>
      </c>
      <c r="T1824" t="s">
        <v>29502</v>
      </c>
      <c r="U1824" t="s">
        <v>29503</v>
      </c>
      <c r="V1824" t="s">
        <v>29504</v>
      </c>
      <c r="W1824" t="s">
        <v>29505</v>
      </c>
      <c r="X1824" t="s">
        <v>29506</v>
      </c>
      <c r="Y1824" t="s">
        <v>29507</v>
      </c>
      <c r="Z1824" t="s">
        <v>12648</v>
      </c>
      <c r="AA1824" t="s">
        <v>12649</v>
      </c>
      <c r="AB1824" t="s">
        <v>12650</v>
      </c>
      <c r="AC1824" t="s">
        <v>29508</v>
      </c>
      <c r="AD1824" t="s">
        <v>29509</v>
      </c>
      <c r="AE1824" t="s">
        <v>29510</v>
      </c>
      <c r="AG1824">
        <v>47</v>
      </c>
      <c r="AH1824">
        <v>3</v>
      </c>
      <c r="AI1824">
        <v>3</v>
      </c>
      <c r="AJ1824">
        <v>5</v>
      </c>
      <c r="AK1824">
        <v>25</v>
      </c>
      <c r="AL1824" t="s">
        <v>136</v>
      </c>
      <c r="AM1824" t="s">
        <v>137</v>
      </c>
      <c r="AN1824" t="s">
        <v>138</v>
      </c>
      <c r="AO1824" t="s">
        <v>240</v>
      </c>
      <c r="AP1824" t="s">
        <v>241</v>
      </c>
      <c r="AR1824" t="s">
        <v>242</v>
      </c>
      <c r="AS1824" t="s">
        <v>243</v>
      </c>
      <c r="AT1824" t="s">
        <v>305</v>
      </c>
      <c r="AU1824">
        <v>2023</v>
      </c>
      <c r="AV1824">
        <v>194</v>
      </c>
      <c r="AX1824" t="s">
        <v>13570</v>
      </c>
      <c r="BD1824">
        <v>115305</v>
      </c>
      <c r="BE1824" t="s">
        <v>29511</v>
      </c>
      <c r="BF1824" t="s">
        <v>29512</v>
      </c>
      <c r="BH1824" t="s">
        <v>1121</v>
      </c>
      <c r="BI1824">
        <v>10</v>
      </c>
      <c r="BJ1824" t="s">
        <v>247</v>
      </c>
      <c r="BK1824" t="s">
        <v>96</v>
      </c>
      <c r="BL1824" t="s">
        <v>248</v>
      </c>
      <c r="BM1824" t="s">
        <v>29513</v>
      </c>
      <c r="BN1824">
        <v>37516093</v>
      </c>
      <c r="BR1824" t="s">
        <v>98</v>
      </c>
      <c r="BS1824" t="s">
        <v>29514</v>
      </c>
      <c r="BT1824" t="s">
        <v>16602</v>
      </c>
    </row>
    <row r="1825" spans="1:72">
      <c r="A1825" t="s">
        <v>72</v>
      </c>
      <c r="B1825" t="s">
        <v>29515</v>
      </c>
      <c r="F1825" t="s">
        <v>29515</v>
      </c>
      <c r="I1825" t="s">
        <v>29516</v>
      </c>
      <c r="J1825" t="s">
        <v>232</v>
      </c>
      <c r="M1825" t="s">
        <v>78</v>
      </c>
      <c r="N1825" t="s">
        <v>79</v>
      </c>
      <c r="V1825" t="s">
        <v>29517</v>
      </c>
      <c r="W1825" t="s">
        <v>29518</v>
      </c>
      <c r="AA1825" t="s">
        <v>29519</v>
      </c>
      <c r="AB1825" t="s">
        <v>29520</v>
      </c>
      <c r="AG1825">
        <v>12</v>
      </c>
      <c r="AH1825">
        <v>24</v>
      </c>
      <c r="AI1825">
        <v>24</v>
      </c>
      <c r="AJ1825">
        <v>0</v>
      </c>
      <c r="AK1825">
        <v>7</v>
      </c>
      <c r="AL1825" t="s">
        <v>136</v>
      </c>
      <c r="AM1825" t="s">
        <v>137</v>
      </c>
      <c r="AN1825" t="s">
        <v>138</v>
      </c>
      <c r="AO1825" t="s">
        <v>240</v>
      </c>
      <c r="AP1825" t="s">
        <v>241</v>
      </c>
      <c r="AR1825" t="s">
        <v>242</v>
      </c>
      <c r="AS1825" t="s">
        <v>243</v>
      </c>
      <c r="AU1825">
        <v>1983</v>
      </c>
      <c r="AV1825">
        <v>14</v>
      </c>
      <c r="AW1825">
        <v>1</v>
      </c>
      <c r="BB1825">
        <v>21</v>
      </c>
      <c r="BC1825">
        <v>24</v>
      </c>
      <c r="BE1825" t="s">
        <v>29521</v>
      </c>
      <c r="BF1825" t="s">
        <v>29522</v>
      </c>
      <c r="BI1825">
        <v>4</v>
      </c>
      <c r="BJ1825" t="s">
        <v>247</v>
      </c>
      <c r="BK1825" t="s">
        <v>96</v>
      </c>
      <c r="BL1825" t="s">
        <v>248</v>
      </c>
      <c r="BM1825" t="s">
        <v>29523</v>
      </c>
      <c r="BR1825" t="s">
        <v>98</v>
      </c>
      <c r="BS1825" t="s">
        <v>29524</v>
      </c>
      <c r="BT1825" t="s">
        <v>16602</v>
      </c>
    </row>
    <row r="1826" spans="1:72">
      <c r="A1826" t="s">
        <v>72</v>
      </c>
      <c r="B1826" t="s">
        <v>29525</v>
      </c>
      <c r="F1826" t="s">
        <v>29526</v>
      </c>
      <c r="I1826" t="s">
        <v>29527</v>
      </c>
      <c r="J1826" t="s">
        <v>232</v>
      </c>
      <c r="M1826" t="s">
        <v>78</v>
      </c>
      <c r="N1826" t="s">
        <v>79</v>
      </c>
      <c r="T1826" t="s">
        <v>29528</v>
      </c>
      <c r="U1826" t="s">
        <v>29529</v>
      </c>
      <c r="V1826" t="s">
        <v>29530</v>
      </c>
      <c r="W1826" t="s">
        <v>29531</v>
      </c>
      <c r="X1826" t="s">
        <v>29532</v>
      </c>
      <c r="Y1826" t="s">
        <v>29533</v>
      </c>
      <c r="Z1826" t="s">
        <v>29534</v>
      </c>
      <c r="AA1826" t="s">
        <v>29535</v>
      </c>
      <c r="AB1826" t="s">
        <v>29536</v>
      </c>
      <c r="AC1826" t="s">
        <v>29537</v>
      </c>
      <c r="AD1826" t="s">
        <v>29538</v>
      </c>
      <c r="AE1826" t="s">
        <v>29539</v>
      </c>
      <c r="AG1826">
        <v>52</v>
      </c>
      <c r="AH1826">
        <v>2</v>
      </c>
      <c r="AI1826">
        <v>2</v>
      </c>
      <c r="AJ1826">
        <v>0</v>
      </c>
      <c r="AK1826">
        <v>2</v>
      </c>
      <c r="AL1826" t="s">
        <v>136</v>
      </c>
      <c r="AM1826" t="s">
        <v>137</v>
      </c>
      <c r="AN1826" t="s">
        <v>138</v>
      </c>
      <c r="AO1826" t="s">
        <v>240</v>
      </c>
      <c r="AP1826" t="s">
        <v>241</v>
      </c>
      <c r="AR1826" t="s">
        <v>242</v>
      </c>
      <c r="AS1826" t="s">
        <v>243</v>
      </c>
      <c r="AT1826" t="s">
        <v>170</v>
      </c>
      <c r="AU1826">
        <v>2023</v>
      </c>
      <c r="AV1826">
        <v>190</v>
      </c>
      <c r="BD1826">
        <v>114829</v>
      </c>
      <c r="BE1826" t="s">
        <v>29540</v>
      </c>
      <c r="BF1826" t="s">
        <v>29541</v>
      </c>
      <c r="BH1826" t="s">
        <v>6536</v>
      </c>
      <c r="BI1826">
        <v>8</v>
      </c>
      <c r="BJ1826" t="s">
        <v>247</v>
      </c>
      <c r="BK1826" t="s">
        <v>96</v>
      </c>
      <c r="BL1826" t="s">
        <v>248</v>
      </c>
      <c r="BM1826" t="s">
        <v>29542</v>
      </c>
      <c r="BN1826">
        <v>36958116</v>
      </c>
      <c r="BO1826" t="s">
        <v>2744</v>
      </c>
      <c r="BR1826" t="s">
        <v>98</v>
      </c>
      <c r="BS1826" t="s">
        <v>29543</v>
      </c>
      <c r="BT1826" t="s">
        <v>16602</v>
      </c>
    </row>
    <row r="1827" spans="1:72">
      <c r="A1827" t="s">
        <v>72</v>
      </c>
      <c r="B1827" t="s">
        <v>29544</v>
      </c>
      <c r="F1827" t="s">
        <v>29545</v>
      </c>
      <c r="I1827" t="s">
        <v>29546</v>
      </c>
      <c r="J1827" t="s">
        <v>421</v>
      </c>
      <c r="M1827" t="s">
        <v>78</v>
      </c>
      <c r="N1827" t="s">
        <v>79</v>
      </c>
      <c r="T1827" t="s">
        <v>29547</v>
      </c>
      <c r="U1827" t="s">
        <v>29548</v>
      </c>
      <c r="V1827" t="s">
        <v>29549</v>
      </c>
      <c r="W1827" t="s">
        <v>29550</v>
      </c>
      <c r="X1827" t="s">
        <v>29551</v>
      </c>
      <c r="Y1827" t="s">
        <v>25831</v>
      </c>
      <c r="Z1827" t="s">
        <v>14843</v>
      </c>
      <c r="AA1827" t="s">
        <v>29552</v>
      </c>
      <c r="AB1827" t="s">
        <v>29553</v>
      </c>
      <c r="AC1827" t="s">
        <v>29554</v>
      </c>
      <c r="AD1827" t="s">
        <v>29555</v>
      </c>
      <c r="AE1827" t="s">
        <v>29556</v>
      </c>
      <c r="AG1827">
        <v>57</v>
      </c>
      <c r="AH1827">
        <v>27</v>
      </c>
      <c r="AI1827">
        <v>28</v>
      </c>
      <c r="AJ1827">
        <v>3</v>
      </c>
      <c r="AK1827">
        <v>85</v>
      </c>
      <c r="AL1827" t="s">
        <v>430</v>
      </c>
      <c r="AM1827" t="s">
        <v>137</v>
      </c>
      <c r="AN1827" t="s">
        <v>431</v>
      </c>
      <c r="AO1827" t="s">
        <v>432</v>
      </c>
      <c r="AP1827" t="s">
        <v>1394</v>
      </c>
      <c r="AR1827" t="s">
        <v>433</v>
      </c>
      <c r="AS1827" t="s">
        <v>434</v>
      </c>
      <c r="AT1827" t="s">
        <v>305</v>
      </c>
      <c r="AU1827">
        <v>2020</v>
      </c>
      <c r="AV1827">
        <v>264</v>
      </c>
      <c r="BD1827">
        <v>114812</v>
      </c>
      <c r="BE1827" t="s">
        <v>29557</v>
      </c>
      <c r="BF1827" t="s">
        <v>29558</v>
      </c>
      <c r="BI1827">
        <v>11</v>
      </c>
      <c r="BJ1827" t="s">
        <v>144</v>
      </c>
      <c r="BK1827" t="s">
        <v>96</v>
      </c>
      <c r="BL1827" t="s">
        <v>145</v>
      </c>
      <c r="BM1827" t="s">
        <v>29559</v>
      </c>
      <c r="BN1827">
        <v>32559869</v>
      </c>
      <c r="BR1827" t="s">
        <v>98</v>
      </c>
      <c r="BS1827" t="s">
        <v>29560</v>
      </c>
      <c r="BT1827" t="s">
        <v>16602</v>
      </c>
    </row>
    <row r="1828" spans="1:72">
      <c r="A1828" t="s">
        <v>72</v>
      </c>
      <c r="B1828" t="s">
        <v>29561</v>
      </c>
      <c r="F1828" t="s">
        <v>29562</v>
      </c>
      <c r="I1828" t="s">
        <v>29563</v>
      </c>
      <c r="J1828" t="s">
        <v>204</v>
      </c>
      <c r="M1828" t="s">
        <v>78</v>
      </c>
      <c r="N1828" t="s">
        <v>79</v>
      </c>
      <c r="T1828" t="s">
        <v>29564</v>
      </c>
      <c r="U1828" t="s">
        <v>29565</v>
      </c>
      <c r="V1828" t="s">
        <v>29566</v>
      </c>
      <c r="W1828" t="s">
        <v>29567</v>
      </c>
      <c r="X1828" t="s">
        <v>29568</v>
      </c>
      <c r="Y1828" t="s">
        <v>29569</v>
      </c>
      <c r="Z1828" t="s">
        <v>29570</v>
      </c>
      <c r="AC1828" t="s">
        <v>29571</v>
      </c>
      <c r="AD1828" t="s">
        <v>29572</v>
      </c>
      <c r="AE1828" t="s">
        <v>29573</v>
      </c>
      <c r="AG1828">
        <v>64</v>
      </c>
      <c r="AH1828">
        <v>14</v>
      </c>
      <c r="AI1828">
        <v>14</v>
      </c>
      <c r="AJ1828">
        <v>1</v>
      </c>
      <c r="AK1828">
        <v>40</v>
      </c>
      <c r="AL1828" t="s">
        <v>217</v>
      </c>
      <c r="AM1828" t="s">
        <v>218</v>
      </c>
      <c r="AN1828" t="s">
        <v>219</v>
      </c>
      <c r="AO1828" t="s">
        <v>220</v>
      </c>
      <c r="AP1828" t="s">
        <v>221</v>
      </c>
      <c r="AR1828" t="s">
        <v>222</v>
      </c>
      <c r="AS1828" t="s">
        <v>223</v>
      </c>
      <c r="AT1828" t="s">
        <v>170</v>
      </c>
      <c r="AU1828">
        <v>2020</v>
      </c>
      <c r="AV1828">
        <v>27</v>
      </c>
      <c r="AW1828">
        <v>14</v>
      </c>
      <c r="BB1828">
        <v>16393</v>
      </c>
      <c r="BC1828">
        <v>16403</v>
      </c>
      <c r="BE1828" t="s">
        <v>29574</v>
      </c>
      <c r="BF1828" t="s">
        <v>29575</v>
      </c>
      <c r="BH1828" t="s">
        <v>4681</v>
      </c>
      <c r="BI1828">
        <v>11</v>
      </c>
      <c r="BJ1828" t="s">
        <v>144</v>
      </c>
      <c r="BK1828" t="s">
        <v>96</v>
      </c>
      <c r="BL1828" t="s">
        <v>145</v>
      </c>
      <c r="BM1828" t="s">
        <v>29576</v>
      </c>
      <c r="BN1828">
        <v>32124276</v>
      </c>
      <c r="BR1828" t="s">
        <v>98</v>
      </c>
      <c r="BS1828" t="s">
        <v>29577</v>
      </c>
      <c r="BT1828" t="s">
        <v>16602</v>
      </c>
    </row>
    <row r="1829" spans="1:72">
      <c r="A1829" t="s">
        <v>72</v>
      </c>
      <c r="B1829" t="s">
        <v>29578</v>
      </c>
      <c r="F1829" t="s">
        <v>29579</v>
      </c>
      <c r="I1829" t="s">
        <v>29580</v>
      </c>
      <c r="J1829" t="s">
        <v>421</v>
      </c>
      <c r="M1829" t="s">
        <v>78</v>
      </c>
      <c r="N1829" t="s">
        <v>79</v>
      </c>
      <c r="T1829" t="s">
        <v>29581</v>
      </c>
      <c r="U1829" t="s">
        <v>29582</v>
      </c>
      <c r="V1829" t="s">
        <v>29583</v>
      </c>
      <c r="W1829" t="s">
        <v>29584</v>
      </c>
      <c r="X1829" t="s">
        <v>29585</v>
      </c>
      <c r="Y1829" t="s">
        <v>29586</v>
      </c>
      <c r="Z1829" t="s">
        <v>29587</v>
      </c>
      <c r="AA1829" t="s">
        <v>29588</v>
      </c>
      <c r="AB1829" t="s">
        <v>29589</v>
      </c>
      <c r="AG1829">
        <v>54</v>
      </c>
      <c r="AH1829">
        <v>133</v>
      </c>
      <c r="AI1829">
        <v>144</v>
      </c>
      <c r="AJ1829">
        <v>2</v>
      </c>
      <c r="AK1829">
        <v>64</v>
      </c>
      <c r="AL1829" t="s">
        <v>430</v>
      </c>
      <c r="AM1829" t="s">
        <v>137</v>
      </c>
      <c r="AN1829" t="s">
        <v>431</v>
      </c>
      <c r="AO1829" t="s">
        <v>432</v>
      </c>
      <c r="AP1829" t="s">
        <v>1394</v>
      </c>
      <c r="AR1829" t="s">
        <v>433</v>
      </c>
      <c r="AS1829" t="s">
        <v>434</v>
      </c>
      <c r="AT1829" t="s">
        <v>267</v>
      </c>
      <c r="AU1829">
        <v>2006</v>
      </c>
      <c r="AV1829">
        <v>143</v>
      </c>
      <c r="AW1829">
        <v>3</v>
      </c>
      <c r="BB1829">
        <v>456</v>
      </c>
      <c r="BC1829">
        <v>467</v>
      </c>
      <c r="BE1829" t="s">
        <v>29590</v>
      </c>
      <c r="BF1829" t="s">
        <v>29591</v>
      </c>
      <c r="BI1829">
        <v>12</v>
      </c>
      <c r="BJ1829" t="s">
        <v>144</v>
      </c>
      <c r="BK1829" t="s">
        <v>96</v>
      </c>
      <c r="BL1829" t="s">
        <v>145</v>
      </c>
      <c r="BM1829" t="s">
        <v>29592</v>
      </c>
      <c r="BN1829">
        <v>16487638</v>
      </c>
      <c r="BR1829" t="s">
        <v>98</v>
      </c>
      <c r="BS1829" t="s">
        <v>29593</v>
      </c>
      <c r="BT1829" t="s">
        <v>16602</v>
      </c>
    </row>
    <row r="1830" spans="1:72">
      <c r="A1830" t="s">
        <v>72</v>
      </c>
      <c r="B1830" t="s">
        <v>29594</v>
      </c>
      <c r="F1830" t="s">
        <v>29594</v>
      </c>
      <c r="I1830" t="s">
        <v>29595</v>
      </c>
      <c r="J1830" t="s">
        <v>127</v>
      </c>
      <c r="M1830" t="s">
        <v>78</v>
      </c>
      <c r="N1830" t="s">
        <v>79</v>
      </c>
      <c r="U1830" t="s">
        <v>29596</v>
      </c>
      <c r="V1830" t="s">
        <v>29597</v>
      </c>
      <c r="W1830" t="s">
        <v>29598</v>
      </c>
      <c r="X1830" t="s">
        <v>4148</v>
      </c>
      <c r="Y1830" t="s">
        <v>29599</v>
      </c>
      <c r="AA1830" t="s">
        <v>29600</v>
      </c>
      <c r="AB1830" t="s">
        <v>29601</v>
      </c>
      <c r="AG1830">
        <v>48</v>
      </c>
      <c r="AH1830">
        <v>62</v>
      </c>
      <c r="AI1830">
        <v>67</v>
      </c>
      <c r="AJ1830">
        <v>0</v>
      </c>
      <c r="AK1830">
        <v>15</v>
      </c>
      <c r="AL1830" t="s">
        <v>136</v>
      </c>
      <c r="AM1830" t="s">
        <v>137</v>
      </c>
      <c r="AN1830" t="s">
        <v>138</v>
      </c>
      <c r="AO1830" t="s">
        <v>139</v>
      </c>
      <c r="AR1830" t="s">
        <v>127</v>
      </c>
      <c r="AS1830" t="s">
        <v>141</v>
      </c>
      <c r="AT1830" t="s">
        <v>142</v>
      </c>
      <c r="AU1830">
        <v>1998</v>
      </c>
      <c r="AV1830">
        <v>36</v>
      </c>
      <c r="AW1830">
        <v>14</v>
      </c>
      <c r="BB1830">
        <v>2949</v>
      </c>
      <c r="BC1830">
        <v>2968</v>
      </c>
      <c r="BE1830" t="s">
        <v>29602</v>
      </c>
      <c r="BF1830" t="s">
        <v>29603</v>
      </c>
      <c r="BI1830">
        <v>20</v>
      </c>
      <c r="BJ1830" t="s">
        <v>144</v>
      </c>
      <c r="BK1830" t="s">
        <v>96</v>
      </c>
      <c r="BL1830" t="s">
        <v>145</v>
      </c>
      <c r="BM1830" t="s">
        <v>29604</v>
      </c>
      <c r="BR1830" t="s">
        <v>98</v>
      </c>
      <c r="BS1830" t="s">
        <v>29605</v>
      </c>
      <c r="BT1830" t="s">
        <v>16602</v>
      </c>
    </row>
    <row r="1831" spans="1:72">
      <c r="A1831" t="s">
        <v>72</v>
      </c>
      <c r="B1831" t="s">
        <v>29606</v>
      </c>
      <c r="F1831" t="s">
        <v>29607</v>
      </c>
      <c r="I1831" t="s">
        <v>29608</v>
      </c>
      <c r="J1831" t="s">
        <v>10129</v>
      </c>
      <c r="M1831" t="s">
        <v>78</v>
      </c>
      <c r="N1831" t="s">
        <v>79</v>
      </c>
      <c r="T1831" t="s">
        <v>29609</v>
      </c>
      <c r="U1831" t="s">
        <v>29610</v>
      </c>
      <c r="V1831" t="s">
        <v>29611</v>
      </c>
      <c r="W1831" t="s">
        <v>29612</v>
      </c>
      <c r="X1831" t="s">
        <v>1880</v>
      </c>
      <c r="Y1831" t="s">
        <v>29613</v>
      </c>
      <c r="Z1831" t="s">
        <v>29614</v>
      </c>
      <c r="AA1831" t="s">
        <v>29615</v>
      </c>
      <c r="AB1831" t="s">
        <v>29616</v>
      </c>
      <c r="AC1831" t="s">
        <v>29617</v>
      </c>
      <c r="AD1831" t="s">
        <v>29618</v>
      </c>
      <c r="AE1831" t="s">
        <v>29619</v>
      </c>
      <c r="AG1831">
        <v>46</v>
      </c>
      <c r="AH1831">
        <v>21</v>
      </c>
      <c r="AI1831">
        <v>21</v>
      </c>
      <c r="AJ1831">
        <v>0</v>
      </c>
      <c r="AK1831">
        <v>21</v>
      </c>
      <c r="AL1831" t="s">
        <v>3362</v>
      </c>
      <c r="AM1831" t="s">
        <v>3363</v>
      </c>
      <c r="AN1831" t="s">
        <v>3364</v>
      </c>
      <c r="AO1831" t="s">
        <v>10137</v>
      </c>
      <c r="AP1831" t="s">
        <v>10138</v>
      </c>
      <c r="AR1831" t="s">
        <v>10139</v>
      </c>
      <c r="AS1831" t="s">
        <v>10140</v>
      </c>
      <c r="AT1831" t="s">
        <v>224</v>
      </c>
      <c r="AU1831">
        <v>2019</v>
      </c>
      <c r="AV1831">
        <v>169</v>
      </c>
      <c r="BB1831">
        <v>156</v>
      </c>
      <c r="BC1831">
        <v>162</v>
      </c>
      <c r="BE1831" t="s">
        <v>29620</v>
      </c>
      <c r="BF1831" t="s">
        <v>29621</v>
      </c>
      <c r="BI1831">
        <v>7</v>
      </c>
      <c r="BJ1831" t="s">
        <v>10142</v>
      </c>
      <c r="BK1831" t="s">
        <v>96</v>
      </c>
      <c r="BL1831" t="s">
        <v>10143</v>
      </c>
      <c r="BM1831" t="s">
        <v>29622</v>
      </c>
      <c r="BN1831">
        <v>30458351</v>
      </c>
      <c r="BR1831" t="s">
        <v>98</v>
      </c>
      <c r="BS1831" t="s">
        <v>29623</v>
      </c>
      <c r="BT1831" t="s">
        <v>16602</v>
      </c>
    </row>
    <row r="1832" spans="1:72">
      <c r="A1832" t="s">
        <v>72</v>
      </c>
      <c r="B1832" t="s">
        <v>29624</v>
      </c>
      <c r="F1832" t="s">
        <v>29625</v>
      </c>
      <c r="I1832" t="s">
        <v>29626</v>
      </c>
      <c r="J1832" t="s">
        <v>641</v>
      </c>
      <c r="M1832" t="s">
        <v>78</v>
      </c>
      <c r="N1832" t="s">
        <v>79</v>
      </c>
      <c r="T1832" t="s">
        <v>29627</v>
      </c>
      <c r="U1832" t="s">
        <v>29628</v>
      </c>
      <c r="V1832" t="s">
        <v>29629</v>
      </c>
      <c r="W1832" t="s">
        <v>29630</v>
      </c>
      <c r="X1832" t="s">
        <v>29631</v>
      </c>
      <c r="Y1832" t="s">
        <v>29632</v>
      </c>
      <c r="Z1832" t="s">
        <v>29633</v>
      </c>
      <c r="AB1832" t="s">
        <v>29634</v>
      </c>
      <c r="AG1832">
        <v>28</v>
      </c>
      <c r="AH1832">
        <v>23</v>
      </c>
      <c r="AI1832">
        <v>26</v>
      </c>
      <c r="AJ1832">
        <v>0</v>
      </c>
      <c r="AK1832">
        <v>11</v>
      </c>
      <c r="AL1832" t="s">
        <v>919</v>
      </c>
      <c r="AM1832" t="s">
        <v>651</v>
      </c>
      <c r="AN1832" t="s">
        <v>920</v>
      </c>
      <c r="AO1832" t="s">
        <v>653</v>
      </c>
      <c r="AR1832" t="s">
        <v>655</v>
      </c>
      <c r="AS1832" t="s">
        <v>656</v>
      </c>
      <c r="AT1832" t="s">
        <v>29635</v>
      </c>
      <c r="AU1832">
        <v>2007</v>
      </c>
      <c r="AV1832">
        <v>84</v>
      </c>
      <c r="AW1832">
        <v>4</v>
      </c>
      <c r="BB1832">
        <v>450</v>
      </c>
      <c r="BC1832">
        <v>456</v>
      </c>
      <c r="BE1832" t="s">
        <v>29636</v>
      </c>
      <c r="BF1832" t="s">
        <v>29637</v>
      </c>
      <c r="BI1832">
        <v>7</v>
      </c>
      <c r="BJ1832" t="s">
        <v>659</v>
      </c>
      <c r="BK1832" t="s">
        <v>96</v>
      </c>
      <c r="BL1832" t="s">
        <v>659</v>
      </c>
      <c r="BM1832" t="s">
        <v>29638</v>
      </c>
      <c r="BN1832">
        <v>17727974</v>
      </c>
      <c r="BO1832" t="s">
        <v>1752</v>
      </c>
      <c r="BR1832" t="s">
        <v>98</v>
      </c>
      <c r="BS1832" t="s">
        <v>29639</v>
      </c>
      <c r="BT1832" t="s">
        <v>16602</v>
      </c>
    </row>
    <row r="1833" spans="1:72">
      <c r="A1833" t="s">
        <v>72</v>
      </c>
      <c r="B1833" t="s">
        <v>29640</v>
      </c>
      <c r="F1833" t="s">
        <v>29641</v>
      </c>
      <c r="I1833" t="s">
        <v>29642</v>
      </c>
      <c r="J1833" t="s">
        <v>909</v>
      </c>
      <c r="M1833" t="s">
        <v>78</v>
      </c>
      <c r="N1833" t="s">
        <v>79</v>
      </c>
      <c r="T1833" t="s">
        <v>29643</v>
      </c>
      <c r="U1833" t="s">
        <v>29644</v>
      </c>
      <c r="V1833" t="s">
        <v>29645</v>
      </c>
      <c r="W1833" t="s">
        <v>29646</v>
      </c>
      <c r="X1833" t="s">
        <v>29647</v>
      </c>
      <c r="Y1833" t="s">
        <v>29648</v>
      </c>
      <c r="Z1833" t="s">
        <v>29649</v>
      </c>
      <c r="AB1833" t="s">
        <v>29650</v>
      </c>
      <c r="AG1833">
        <v>62</v>
      </c>
      <c r="AH1833">
        <v>23</v>
      </c>
      <c r="AI1833">
        <v>26</v>
      </c>
      <c r="AJ1833">
        <v>2</v>
      </c>
      <c r="AK1833">
        <v>30</v>
      </c>
      <c r="AL1833" t="s">
        <v>650</v>
      </c>
      <c r="AM1833" t="s">
        <v>651</v>
      </c>
      <c r="AN1833" t="s">
        <v>652</v>
      </c>
      <c r="AO1833" t="s">
        <v>921</v>
      </c>
      <c r="AP1833" t="s">
        <v>922</v>
      </c>
      <c r="AR1833" t="s">
        <v>923</v>
      </c>
      <c r="AS1833" t="s">
        <v>924</v>
      </c>
      <c r="AT1833" t="s">
        <v>5609</v>
      </c>
      <c r="AU1833">
        <v>2019</v>
      </c>
      <c r="AV1833">
        <v>697</v>
      </c>
      <c r="BD1833">
        <v>134121</v>
      </c>
      <c r="BE1833" t="s">
        <v>29651</v>
      </c>
      <c r="BF1833" t="s">
        <v>29652</v>
      </c>
      <c r="BI1833">
        <v>9</v>
      </c>
      <c r="BJ1833" t="s">
        <v>144</v>
      </c>
      <c r="BK1833" t="s">
        <v>96</v>
      </c>
      <c r="BL1833" t="s">
        <v>145</v>
      </c>
      <c r="BM1833" t="s">
        <v>29653</v>
      </c>
      <c r="BN1833">
        <v>32380612</v>
      </c>
      <c r="BR1833" t="s">
        <v>98</v>
      </c>
      <c r="BS1833" t="s">
        <v>29654</v>
      </c>
      <c r="BT1833" t="s">
        <v>16602</v>
      </c>
    </row>
    <row r="1834" spans="1:72">
      <c r="A1834" t="s">
        <v>72</v>
      </c>
      <c r="B1834" t="s">
        <v>29655</v>
      </c>
      <c r="F1834" t="s">
        <v>29656</v>
      </c>
      <c r="I1834" t="s">
        <v>29657</v>
      </c>
      <c r="J1834" t="s">
        <v>10565</v>
      </c>
      <c r="M1834" t="s">
        <v>78</v>
      </c>
      <c r="N1834" t="s">
        <v>79</v>
      </c>
      <c r="T1834" t="s">
        <v>29658</v>
      </c>
      <c r="U1834" t="s">
        <v>29659</v>
      </c>
      <c r="V1834" t="s">
        <v>29660</v>
      </c>
      <c r="W1834" t="s">
        <v>29661</v>
      </c>
      <c r="X1834" t="s">
        <v>27555</v>
      </c>
      <c r="Y1834" t="s">
        <v>10571</v>
      </c>
      <c r="Z1834" t="s">
        <v>27556</v>
      </c>
      <c r="AA1834" t="s">
        <v>29662</v>
      </c>
      <c r="AB1834" t="s">
        <v>29663</v>
      </c>
      <c r="AC1834" t="s">
        <v>29664</v>
      </c>
      <c r="AD1834" t="s">
        <v>989</v>
      </c>
      <c r="AE1834" t="s">
        <v>29665</v>
      </c>
      <c r="AG1834">
        <v>39</v>
      </c>
      <c r="AH1834">
        <v>18</v>
      </c>
      <c r="AI1834">
        <v>18</v>
      </c>
      <c r="AJ1834">
        <v>0</v>
      </c>
      <c r="AK1834">
        <v>8</v>
      </c>
      <c r="AL1834" t="s">
        <v>136</v>
      </c>
      <c r="AM1834" t="s">
        <v>137</v>
      </c>
      <c r="AN1834" t="s">
        <v>138</v>
      </c>
      <c r="AO1834" t="s">
        <v>10577</v>
      </c>
      <c r="AP1834" t="s">
        <v>10578</v>
      </c>
      <c r="AR1834" t="s">
        <v>10579</v>
      </c>
      <c r="AS1834" t="s">
        <v>10580</v>
      </c>
      <c r="AT1834" t="s">
        <v>267</v>
      </c>
      <c r="AU1834">
        <v>2019</v>
      </c>
      <c r="AV1834">
        <v>158</v>
      </c>
      <c r="BD1834">
        <v>103564</v>
      </c>
      <c r="BE1834" t="s">
        <v>29666</v>
      </c>
      <c r="BF1834" t="s">
        <v>29667</v>
      </c>
      <c r="BI1834">
        <v>8</v>
      </c>
      <c r="BJ1834" t="s">
        <v>10582</v>
      </c>
      <c r="BK1834" t="s">
        <v>96</v>
      </c>
      <c r="BL1834" t="s">
        <v>7739</v>
      </c>
      <c r="BM1834" t="s">
        <v>29668</v>
      </c>
      <c r="BR1834" t="s">
        <v>98</v>
      </c>
      <c r="BS1834" t="s">
        <v>29669</v>
      </c>
      <c r="BT1834" t="s">
        <v>16602</v>
      </c>
    </row>
    <row r="1835" spans="1:72">
      <c r="A1835" t="s">
        <v>72</v>
      </c>
      <c r="B1835" t="s">
        <v>29670</v>
      </c>
      <c r="F1835" t="s">
        <v>29671</v>
      </c>
      <c r="I1835" t="s">
        <v>29672</v>
      </c>
      <c r="J1835" t="s">
        <v>554</v>
      </c>
      <c r="M1835" t="s">
        <v>78</v>
      </c>
      <c r="N1835" t="s">
        <v>79</v>
      </c>
      <c r="T1835" t="s">
        <v>29673</v>
      </c>
      <c r="U1835" t="s">
        <v>29674</v>
      </c>
      <c r="V1835" t="s">
        <v>29675</v>
      </c>
      <c r="W1835" t="s">
        <v>29676</v>
      </c>
      <c r="X1835" t="s">
        <v>29677</v>
      </c>
      <c r="Y1835" t="s">
        <v>29678</v>
      </c>
      <c r="Z1835" t="s">
        <v>29679</v>
      </c>
      <c r="AB1835" t="s">
        <v>29680</v>
      </c>
      <c r="AC1835" t="s">
        <v>29681</v>
      </c>
      <c r="AD1835" t="s">
        <v>29682</v>
      </c>
      <c r="AE1835" t="s">
        <v>29683</v>
      </c>
      <c r="AG1835">
        <v>85</v>
      </c>
      <c r="AH1835">
        <v>0</v>
      </c>
      <c r="AI1835">
        <v>0</v>
      </c>
      <c r="AJ1835">
        <v>1</v>
      </c>
      <c r="AK1835">
        <v>7</v>
      </c>
      <c r="AL1835" t="s">
        <v>564</v>
      </c>
      <c r="AM1835" t="s">
        <v>113</v>
      </c>
      <c r="AN1835" t="s">
        <v>807</v>
      </c>
      <c r="AO1835" t="s">
        <v>566</v>
      </c>
      <c r="AP1835" t="s">
        <v>567</v>
      </c>
      <c r="AR1835" t="s">
        <v>568</v>
      </c>
      <c r="AS1835" t="s">
        <v>569</v>
      </c>
      <c r="AT1835" t="s">
        <v>1470</v>
      </c>
      <c r="AU1835">
        <v>2024</v>
      </c>
      <c r="AV1835">
        <v>275</v>
      </c>
      <c r="BD1835">
        <v>109764</v>
      </c>
      <c r="BE1835" t="s">
        <v>29684</v>
      </c>
      <c r="BF1835" t="s">
        <v>29685</v>
      </c>
      <c r="BH1835" t="s">
        <v>26143</v>
      </c>
      <c r="BI1835">
        <v>10</v>
      </c>
      <c r="BJ1835" t="s">
        <v>571</v>
      </c>
      <c r="BK1835" t="s">
        <v>96</v>
      </c>
      <c r="BL1835" t="s">
        <v>571</v>
      </c>
      <c r="BM1835" t="s">
        <v>29686</v>
      </c>
      <c r="BN1835">
        <v>37827393</v>
      </c>
      <c r="BR1835" t="s">
        <v>98</v>
      </c>
      <c r="BS1835" t="s">
        <v>29687</v>
      </c>
      <c r="BT1835" t="s">
        <v>16602</v>
      </c>
    </row>
    <row r="1836" spans="1:72">
      <c r="A1836" t="s">
        <v>72</v>
      </c>
      <c r="B1836" t="s">
        <v>29688</v>
      </c>
      <c r="F1836" t="s">
        <v>29689</v>
      </c>
      <c r="I1836" t="s">
        <v>29690</v>
      </c>
      <c r="J1836" t="s">
        <v>775</v>
      </c>
      <c r="M1836" t="s">
        <v>78</v>
      </c>
      <c r="N1836" t="s">
        <v>79</v>
      </c>
      <c r="T1836" t="s">
        <v>29691</v>
      </c>
      <c r="U1836" t="s">
        <v>29692</v>
      </c>
      <c r="V1836" t="s">
        <v>29693</v>
      </c>
      <c r="W1836" t="s">
        <v>29694</v>
      </c>
      <c r="X1836" t="s">
        <v>29695</v>
      </c>
      <c r="Y1836" t="s">
        <v>29696</v>
      </c>
      <c r="Z1836" t="s">
        <v>29697</v>
      </c>
      <c r="AC1836" t="s">
        <v>29698</v>
      </c>
      <c r="AD1836" t="s">
        <v>29698</v>
      </c>
      <c r="AE1836" t="s">
        <v>29699</v>
      </c>
      <c r="AG1836">
        <v>54</v>
      </c>
      <c r="AH1836">
        <v>73</v>
      </c>
      <c r="AI1836">
        <v>77</v>
      </c>
      <c r="AJ1836">
        <v>0</v>
      </c>
      <c r="AK1836">
        <v>10</v>
      </c>
      <c r="AL1836" t="s">
        <v>788</v>
      </c>
      <c r="AM1836" t="s">
        <v>789</v>
      </c>
      <c r="AN1836" t="s">
        <v>790</v>
      </c>
      <c r="AO1836" t="s">
        <v>791</v>
      </c>
      <c r="AP1836" t="s">
        <v>2885</v>
      </c>
      <c r="AR1836" t="s">
        <v>792</v>
      </c>
      <c r="AS1836" t="s">
        <v>793</v>
      </c>
      <c r="AT1836" t="s">
        <v>142</v>
      </c>
      <c r="AU1836">
        <v>2017</v>
      </c>
      <c r="AV1836">
        <v>177</v>
      </c>
      <c r="AW1836">
        <v>2</v>
      </c>
      <c r="BB1836">
        <v>384</v>
      </c>
      <c r="BC1836">
        <v>393</v>
      </c>
      <c r="BE1836" t="s">
        <v>29700</v>
      </c>
      <c r="BF1836" t="s">
        <v>29701</v>
      </c>
      <c r="BI1836">
        <v>10</v>
      </c>
      <c r="BJ1836" t="s">
        <v>795</v>
      </c>
      <c r="BK1836" t="s">
        <v>96</v>
      </c>
      <c r="BL1836" t="s">
        <v>795</v>
      </c>
      <c r="BM1836" t="s">
        <v>29702</v>
      </c>
      <c r="BN1836">
        <v>27826804</v>
      </c>
      <c r="BR1836" t="s">
        <v>98</v>
      </c>
      <c r="BS1836" t="s">
        <v>29703</v>
      </c>
      <c r="BT1836" t="s">
        <v>16602</v>
      </c>
    </row>
    <row r="1837" spans="1:72">
      <c r="A1837" t="s">
        <v>72</v>
      </c>
      <c r="B1837" t="s">
        <v>29704</v>
      </c>
      <c r="F1837" t="s">
        <v>29705</v>
      </c>
      <c r="I1837" t="s">
        <v>29706</v>
      </c>
      <c r="J1837" t="s">
        <v>204</v>
      </c>
      <c r="M1837" t="s">
        <v>78</v>
      </c>
      <c r="N1837" t="s">
        <v>2873</v>
      </c>
      <c r="T1837" t="s">
        <v>29707</v>
      </c>
      <c r="U1837" t="s">
        <v>29708</v>
      </c>
      <c r="V1837" t="s">
        <v>29709</v>
      </c>
      <c r="W1837" t="s">
        <v>29710</v>
      </c>
      <c r="X1837" t="s">
        <v>29711</v>
      </c>
      <c r="Y1837" t="s">
        <v>29712</v>
      </c>
      <c r="Z1837" t="s">
        <v>21699</v>
      </c>
      <c r="AA1837" t="s">
        <v>29713</v>
      </c>
      <c r="AB1837" t="s">
        <v>29714</v>
      </c>
      <c r="AG1837">
        <v>106</v>
      </c>
      <c r="AH1837">
        <v>5</v>
      </c>
      <c r="AI1837">
        <v>5</v>
      </c>
      <c r="AJ1837">
        <v>1</v>
      </c>
      <c r="AK1837">
        <v>7</v>
      </c>
      <c r="AL1837" t="s">
        <v>217</v>
      </c>
      <c r="AM1837" t="s">
        <v>218</v>
      </c>
      <c r="AN1837" t="s">
        <v>219</v>
      </c>
      <c r="AO1837" t="s">
        <v>220</v>
      </c>
      <c r="AP1837" t="s">
        <v>221</v>
      </c>
      <c r="AR1837" t="s">
        <v>222</v>
      </c>
      <c r="AS1837" t="s">
        <v>223</v>
      </c>
      <c r="AT1837" t="s">
        <v>29715</v>
      </c>
      <c r="AU1837">
        <v>2023</v>
      </c>
      <c r="BE1837" t="s">
        <v>29716</v>
      </c>
      <c r="BF1837" t="s">
        <v>29717</v>
      </c>
      <c r="BH1837" t="s">
        <v>10846</v>
      </c>
      <c r="BI1837">
        <v>19</v>
      </c>
      <c r="BJ1837" t="s">
        <v>144</v>
      </c>
      <c r="BK1837" t="s">
        <v>96</v>
      </c>
      <c r="BL1837" t="s">
        <v>145</v>
      </c>
      <c r="BM1837" t="s">
        <v>29718</v>
      </c>
      <c r="BN1837">
        <v>36811782</v>
      </c>
      <c r="BR1837" t="s">
        <v>98</v>
      </c>
      <c r="BS1837" t="s">
        <v>29719</v>
      </c>
      <c r="BT1837" t="s">
        <v>16602</v>
      </c>
    </row>
    <row r="1838" spans="1:72">
      <c r="A1838" t="s">
        <v>72</v>
      </c>
      <c r="B1838" t="s">
        <v>29720</v>
      </c>
      <c r="F1838" t="s">
        <v>29721</v>
      </c>
      <c r="I1838" t="s">
        <v>29722</v>
      </c>
      <c r="J1838" t="s">
        <v>909</v>
      </c>
      <c r="M1838" t="s">
        <v>78</v>
      </c>
      <c r="N1838" t="s">
        <v>79</v>
      </c>
      <c r="T1838" t="s">
        <v>29723</v>
      </c>
      <c r="U1838" t="s">
        <v>29724</v>
      </c>
      <c r="V1838" t="s">
        <v>29725</v>
      </c>
      <c r="W1838" t="s">
        <v>29726</v>
      </c>
      <c r="X1838" t="s">
        <v>29727</v>
      </c>
      <c r="Y1838" t="s">
        <v>29728</v>
      </c>
      <c r="Z1838" t="s">
        <v>29729</v>
      </c>
      <c r="AA1838" t="s">
        <v>29730</v>
      </c>
      <c r="AB1838" t="s">
        <v>29731</v>
      </c>
      <c r="AC1838" t="s">
        <v>29732</v>
      </c>
      <c r="AD1838" t="s">
        <v>29733</v>
      </c>
      <c r="AE1838" t="s">
        <v>29734</v>
      </c>
      <c r="AG1838">
        <v>77</v>
      </c>
      <c r="AH1838">
        <v>8</v>
      </c>
      <c r="AI1838">
        <v>10</v>
      </c>
      <c r="AJ1838">
        <v>1</v>
      </c>
      <c r="AK1838">
        <v>121</v>
      </c>
      <c r="AL1838" t="s">
        <v>650</v>
      </c>
      <c r="AM1838" t="s">
        <v>651</v>
      </c>
      <c r="AN1838" t="s">
        <v>652</v>
      </c>
      <c r="AO1838" t="s">
        <v>921</v>
      </c>
      <c r="AP1838" t="s">
        <v>922</v>
      </c>
      <c r="AR1838" t="s">
        <v>923</v>
      </c>
      <c r="AS1838" t="s">
        <v>924</v>
      </c>
      <c r="AT1838" t="s">
        <v>3237</v>
      </c>
      <c r="AU1838">
        <v>2018</v>
      </c>
      <c r="AV1838">
        <v>634</v>
      </c>
      <c r="BB1838">
        <v>116</v>
      </c>
      <c r="BC1838">
        <v>126</v>
      </c>
      <c r="BE1838" t="s">
        <v>29735</v>
      </c>
      <c r="BF1838" t="s">
        <v>29736</v>
      </c>
      <c r="BI1838">
        <v>11</v>
      </c>
      <c r="BJ1838" t="s">
        <v>144</v>
      </c>
      <c r="BK1838" t="s">
        <v>96</v>
      </c>
      <c r="BL1838" t="s">
        <v>145</v>
      </c>
      <c r="BM1838" t="s">
        <v>29737</v>
      </c>
      <c r="BN1838">
        <v>29627534</v>
      </c>
      <c r="BR1838" t="s">
        <v>98</v>
      </c>
      <c r="BS1838" t="s">
        <v>29738</v>
      </c>
      <c r="BT1838" t="s">
        <v>16602</v>
      </c>
    </row>
    <row r="1839" spans="1:72">
      <c r="A1839" t="s">
        <v>72</v>
      </c>
      <c r="B1839" t="s">
        <v>29739</v>
      </c>
      <c r="F1839" t="s">
        <v>29740</v>
      </c>
      <c r="I1839" t="s">
        <v>29741</v>
      </c>
      <c r="J1839" t="s">
        <v>7246</v>
      </c>
      <c r="M1839" t="s">
        <v>78</v>
      </c>
      <c r="N1839" t="s">
        <v>79</v>
      </c>
      <c r="T1839" t="s">
        <v>29742</v>
      </c>
      <c r="U1839" t="s">
        <v>29743</v>
      </c>
      <c r="V1839" t="s">
        <v>29744</v>
      </c>
      <c r="W1839" t="s">
        <v>29745</v>
      </c>
      <c r="X1839" t="s">
        <v>29746</v>
      </c>
      <c r="Y1839" t="s">
        <v>29747</v>
      </c>
      <c r="Z1839" t="s">
        <v>29748</v>
      </c>
      <c r="AA1839" t="s">
        <v>29749</v>
      </c>
      <c r="AB1839" t="s">
        <v>29750</v>
      </c>
      <c r="AG1839">
        <v>68</v>
      </c>
      <c r="AH1839">
        <v>4</v>
      </c>
      <c r="AI1839">
        <v>4</v>
      </c>
      <c r="AJ1839">
        <v>2</v>
      </c>
      <c r="AK1839">
        <v>12</v>
      </c>
      <c r="AL1839" t="s">
        <v>1566</v>
      </c>
      <c r="AM1839" t="s">
        <v>1567</v>
      </c>
      <c r="AN1839" t="s">
        <v>1568</v>
      </c>
      <c r="AP1839" t="s">
        <v>7258</v>
      </c>
      <c r="AR1839" t="s">
        <v>7259</v>
      </c>
      <c r="AS1839" t="s">
        <v>7260</v>
      </c>
      <c r="AT1839" t="s">
        <v>1470</v>
      </c>
      <c r="AU1839">
        <v>2023</v>
      </c>
      <c r="AV1839">
        <v>11</v>
      </c>
      <c r="AW1839">
        <v>1</v>
      </c>
      <c r="BD1839">
        <v>89</v>
      </c>
      <c r="BE1839" t="s">
        <v>29751</v>
      </c>
      <c r="BF1839" t="s">
        <v>29752</v>
      </c>
      <c r="BI1839">
        <v>16</v>
      </c>
      <c r="BJ1839" t="s">
        <v>7262</v>
      </c>
      <c r="BK1839" t="s">
        <v>96</v>
      </c>
      <c r="BL1839" t="s">
        <v>7263</v>
      </c>
      <c r="BM1839" t="s">
        <v>29753</v>
      </c>
      <c r="BO1839" t="s">
        <v>873</v>
      </c>
      <c r="BR1839" t="s">
        <v>98</v>
      </c>
      <c r="BS1839" t="s">
        <v>29754</v>
      </c>
      <c r="BT1839" t="s">
        <v>16602</v>
      </c>
    </row>
    <row r="1840" spans="1:72">
      <c r="A1840" t="s">
        <v>72</v>
      </c>
      <c r="B1840" t="s">
        <v>29755</v>
      </c>
      <c r="F1840" t="s">
        <v>29756</v>
      </c>
      <c r="I1840" t="s">
        <v>29757</v>
      </c>
      <c r="J1840" t="s">
        <v>127</v>
      </c>
      <c r="M1840" t="s">
        <v>78</v>
      </c>
      <c r="N1840" t="s">
        <v>79</v>
      </c>
      <c r="T1840" t="s">
        <v>29758</v>
      </c>
      <c r="U1840" t="s">
        <v>29759</v>
      </c>
      <c r="V1840" t="s">
        <v>29760</v>
      </c>
      <c r="W1840" t="s">
        <v>29761</v>
      </c>
      <c r="X1840" t="s">
        <v>29762</v>
      </c>
      <c r="Y1840" t="s">
        <v>29763</v>
      </c>
      <c r="Z1840" t="s">
        <v>3249</v>
      </c>
      <c r="AG1840">
        <v>47</v>
      </c>
      <c r="AH1840">
        <v>189</v>
      </c>
      <c r="AI1840">
        <v>212</v>
      </c>
      <c r="AJ1840">
        <v>2</v>
      </c>
      <c r="AK1840">
        <v>66</v>
      </c>
      <c r="AL1840" t="s">
        <v>136</v>
      </c>
      <c r="AM1840" t="s">
        <v>137</v>
      </c>
      <c r="AN1840" t="s">
        <v>138</v>
      </c>
      <c r="AO1840" t="s">
        <v>139</v>
      </c>
      <c r="AR1840" t="s">
        <v>127</v>
      </c>
      <c r="AS1840" t="s">
        <v>141</v>
      </c>
      <c r="AT1840" t="s">
        <v>1470</v>
      </c>
      <c r="AU1840">
        <v>2007</v>
      </c>
      <c r="AV1840">
        <v>66</v>
      </c>
      <c r="AW1840">
        <v>3</v>
      </c>
      <c r="BB1840">
        <v>574</v>
      </c>
      <c r="BC1840">
        <v>583</v>
      </c>
      <c r="BE1840" t="s">
        <v>29764</v>
      </c>
      <c r="BF1840" t="s">
        <v>29765</v>
      </c>
      <c r="BI1840">
        <v>10</v>
      </c>
      <c r="BJ1840" t="s">
        <v>144</v>
      </c>
      <c r="BK1840" t="s">
        <v>96</v>
      </c>
      <c r="BL1840" t="s">
        <v>145</v>
      </c>
      <c r="BM1840" t="s">
        <v>29766</v>
      </c>
      <c r="BN1840">
        <v>16828146</v>
      </c>
      <c r="BR1840" t="s">
        <v>98</v>
      </c>
      <c r="BS1840" t="s">
        <v>29767</v>
      </c>
      <c r="BT1840" t="s">
        <v>16602</v>
      </c>
    </row>
    <row r="1841" spans="1:72">
      <c r="A1841" t="s">
        <v>72</v>
      </c>
      <c r="B1841" t="s">
        <v>29768</v>
      </c>
      <c r="F1841" t="s">
        <v>29769</v>
      </c>
      <c r="I1841" t="s">
        <v>29770</v>
      </c>
      <c r="J1841" t="s">
        <v>179</v>
      </c>
      <c r="M1841" t="s">
        <v>78</v>
      </c>
      <c r="N1841" t="s">
        <v>79</v>
      </c>
      <c r="T1841" t="s">
        <v>29771</v>
      </c>
      <c r="U1841" t="s">
        <v>29772</v>
      </c>
      <c r="V1841" t="s">
        <v>29773</v>
      </c>
      <c r="W1841" t="s">
        <v>29774</v>
      </c>
      <c r="X1841" t="s">
        <v>445</v>
      </c>
      <c r="Y1841" t="s">
        <v>17223</v>
      </c>
      <c r="Z1841" t="s">
        <v>2609</v>
      </c>
      <c r="AA1841" t="s">
        <v>29775</v>
      </c>
      <c r="AB1841" t="s">
        <v>2611</v>
      </c>
      <c r="AG1841">
        <v>21</v>
      </c>
      <c r="AH1841">
        <v>13</v>
      </c>
      <c r="AI1841">
        <v>13</v>
      </c>
      <c r="AJ1841">
        <v>0</v>
      </c>
      <c r="AK1841">
        <v>36</v>
      </c>
      <c r="AL1841" t="s">
        <v>112</v>
      </c>
      <c r="AM1841" t="s">
        <v>191</v>
      </c>
      <c r="AN1841" t="s">
        <v>192</v>
      </c>
      <c r="AO1841" t="s">
        <v>193</v>
      </c>
      <c r="AP1841" t="s">
        <v>194</v>
      </c>
      <c r="AR1841" t="s">
        <v>195</v>
      </c>
      <c r="AS1841" t="s">
        <v>196</v>
      </c>
      <c r="AT1841" t="s">
        <v>119</v>
      </c>
      <c r="AU1841">
        <v>2013</v>
      </c>
      <c r="AV1841">
        <v>185</v>
      </c>
      <c r="AW1841">
        <v>8</v>
      </c>
      <c r="BB1841">
        <v>7025</v>
      </c>
      <c r="BC1841">
        <v>7035</v>
      </c>
      <c r="BE1841" t="s">
        <v>29776</v>
      </c>
      <c r="BF1841" t="s">
        <v>29777</v>
      </c>
      <c r="BI1841">
        <v>11</v>
      </c>
      <c r="BJ1841" t="s">
        <v>144</v>
      </c>
      <c r="BK1841" t="s">
        <v>96</v>
      </c>
      <c r="BL1841" t="s">
        <v>145</v>
      </c>
      <c r="BM1841" t="s">
        <v>10124</v>
      </c>
      <c r="BN1841">
        <v>23315154</v>
      </c>
      <c r="BR1841" t="s">
        <v>98</v>
      </c>
      <c r="BS1841" t="s">
        <v>29778</v>
      </c>
      <c r="BT1841" t="s">
        <v>16602</v>
      </c>
    </row>
    <row r="1842" spans="1:72">
      <c r="A1842" t="s">
        <v>72</v>
      </c>
      <c r="B1842" t="s">
        <v>29779</v>
      </c>
      <c r="F1842" t="s">
        <v>29780</v>
      </c>
      <c r="I1842" t="s">
        <v>29781</v>
      </c>
      <c r="J1842" t="s">
        <v>179</v>
      </c>
      <c r="M1842" t="s">
        <v>78</v>
      </c>
      <c r="N1842" t="s">
        <v>79</v>
      </c>
      <c r="T1842" t="s">
        <v>29782</v>
      </c>
      <c r="U1842" t="s">
        <v>29783</v>
      </c>
      <c r="V1842" t="s">
        <v>29784</v>
      </c>
      <c r="W1842" t="s">
        <v>29785</v>
      </c>
      <c r="X1842" t="s">
        <v>29786</v>
      </c>
      <c r="Y1842" t="s">
        <v>29787</v>
      </c>
      <c r="Z1842" t="s">
        <v>29788</v>
      </c>
      <c r="AC1842" t="s">
        <v>29789</v>
      </c>
      <c r="AD1842" t="s">
        <v>29789</v>
      </c>
      <c r="AE1842" t="s">
        <v>29790</v>
      </c>
      <c r="AG1842">
        <v>72</v>
      </c>
      <c r="AH1842">
        <v>10</v>
      </c>
      <c r="AI1842">
        <v>11</v>
      </c>
      <c r="AJ1842">
        <v>0</v>
      </c>
      <c r="AK1842">
        <v>37</v>
      </c>
      <c r="AL1842" t="s">
        <v>112</v>
      </c>
      <c r="AM1842" t="s">
        <v>191</v>
      </c>
      <c r="AN1842" t="s">
        <v>192</v>
      </c>
      <c r="AO1842" t="s">
        <v>193</v>
      </c>
      <c r="AP1842" t="s">
        <v>194</v>
      </c>
      <c r="AR1842" t="s">
        <v>195</v>
      </c>
      <c r="AS1842" t="s">
        <v>196</v>
      </c>
      <c r="AT1842" t="s">
        <v>170</v>
      </c>
      <c r="AU1842">
        <v>2016</v>
      </c>
      <c r="AV1842">
        <v>188</v>
      </c>
      <c r="AW1842">
        <v>5</v>
      </c>
      <c r="BD1842">
        <v>276</v>
      </c>
      <c r="BE1842" t="s">
        <v>29791</v>
      </c>
      <c r="BF1842" t="s">
        <v>29792</v>
      </c>
      <c r="BI1842">
        <v>17</v>
      </c>
      <c r="BJ1842" t="s">
        <v>144</v>
      </c>
      <c r="BK1842" t="s">
        <v>96</v>
      </c>
      <c r="BL1842" t="s">
        <v>145</v>
      </c>
      <c r="BM1842" t="s">
        <v>29793</v>
      </c>
      <c r="BN1842">
        <v>27059035</v>
      </c>
      <c r="BR1842" t="s">
        <v>98</v>
      </c>
      <c r="BS1842" t="s">
        <v>29794</v>
      </c>
      <c r="BT1842" t="s">
        <v>16602</v>
      </c>
    </row>
    <row r="1843" spans="1:72">
      <c r="A1843" t="s">
        <v>72</v>
      </c>
      <c r="B1843" t="s">
        <v>29795</v>
      </c>
      <c r="F1843" t="s">
        <v>29795</v>
      </c>
      <c r="I1843" t="s">
        <v>29796</v>
      </c>
      <c r="J1843" t="s">
        <v>232</v>
      </c>
      <c r="M1843" t="s">
        <v>78</v>
      </c>
      <c r="N1843" t="s">
        <v>79</v>
      </c>
      <c r="V1843" t="s">
        <v>29797</v>
      </c>
      <c r="Y1843" t="s">
        <v>29798</v>
      </c>
      <c r="AG1843">
        <v>17</v>
      </c>
      <c r="AH1843">
        <v>24</v>
      </c>
      <c r="AI1843">
        <v>27</v>
      </c>
      <c r="AJ1843">
        <v>0</v>
      </c>
      <c r="AK1843">
        <v>2</v>
      </c>
      <c r="AL1843" t="s">
        <v>136</v>
      </c>
      <c r="AM1843" t="s">
        <v>137</v>
      </c>
      <c r="AN1843" t="s">
        <v>138</v>
      </c>
      <c r="AO1843" t="s">
        <v>240</v>
      </c>
      <c r="AP1843" t="s">
        <v>241</v>
      </c>
      <c r="AR1843" t="s">
        <v>242</v>
      </c>
      <c r="AS1843" t="s">
        <v>243</v>
      </c>
      <c r="AU1843">
        <v>1983</v>
      </c>
      <c r="AV1843">
        <v>14</v>
      </c>
      <c r="AW1843">
        <v>9</v>
      </c>
      <c r="BB1843">
        <v>342</v>
      </c>
      <c r="BC1843">
        <v>346</v>
      </c>
      <c r="BE1843" t="s">
        <v>29799</v>
      </c>
      <c r="BF1843" t="s">
        <v>29800</v>
      </c>
      <c r="BI1843">
        <v>5</v>
      </c>
      <c r="BJ1843" t="s">
        <v>247</v>
      </c>
      <c r="BK1843" t="s">
        <v>96</v>
      </c>
      <c r="BL1843" t="s">
        <v>248</v>
      </c>
      <c r="BM1843" t="s">
        <v>29801</v>
      </c>
      <c r="BR1843" t="s">
        <v>98</v>
      </c>
      <c r="BS1843" t="s">
        <v>29802</v>
      </c>
      <c r="BT1843" t="s">
        <v>16602</v>
      </c>
    </row>
    <row r="1844" spans="1:72">
      <c r="A1844" t="s">
        <v>72</v>
      </c>
      <c r="B1844" t="s">
        <v>7494</v>
      </c>
      <c r="F1844" t="s">
        <v>7495</v>
      </c>
      <c r="I1844" t="s">
        <v>29803</v>
      </c>
      <c r="J1844" t="s">
        <v>704</v>
      </c>
      <c r="M1844" t="s">
        <v>78</v>
      </c>
      <c r="N1844" t="s">
        <v>79</v>
      </c>
      <c r="T1844" t="s">
        <v>29804</v>
      </c>
      <c r="U1844" t="s">
        <v>29805</v>
      </c>
      <c r="V1844" t="s">
        <v>29806</v>
      </c>
      <c r="W1844" t="s">
        <v>29807</v>
      </c>
      <c r="X1844" t="s">
        <v>7500</v>
      </c>
      <c r="Y1844" t="s">
        <v>7501</v>
      </c>
      <c r="Z1844" t="s">
        <v>7502</v>
      </c>
      <c r="AA1844" t="s">
        <v>7503</v>
      </c>
      <c r="AB1844" t="s">
        <v>7504</v>
      </c>
      <c r="AC1844" t="s">
        <v>29808</v>
      </c>
      <c r="AD1844" t="s">
        <v>29809</v>
      </c>
      <c r="AE1844" t="s">
        <v>29810</v>
      </c>
      <c r="AG1844">
        <v>50</v>
      </c>
      <c r="AH1844">
        <v>23</v>
      </c>
      <c r="AI1844">
        <v>26</v>
      </c>
      <c r="AJ1844">
        <v>1</v>
      </c>
      <c r="AK1844">
        <v>42</v>
      </c>
      <c r="AL1844" t="s">
        <v>4010</v>
      </c>
      <c r="AM1844" t="s">
        <v>1167</v>
      </c>
      <c r="AN1844" t="s">
        <v>1168</v>
      </c>
      <c r="AO1844" t="s">
        <v>718</v>
      </c>
      <c r="AP1844" t="s">
        <v>1169</v>
      </c>
      <c r="AR1844" t="s">
        <v>719</v>
      </c>
      <c r="AS1844" t="s">
        <v>720</v>
      </c>
      <c r="AT1844" t="s">
        <v>142</v>
      </c>
      <c r="AU1844">
        <v>2012</v>
      </c>
      <c r="AV1844">
        <v>223</v>
      </c>
      <c r="AW1844">
        <v>5</v>
      </c>
      <c r="BB1844">
        <v>2125</v>
      </c>
      <c r="BC1844">
        <v>2136</v>
      </c>
      <c r="BE1844" t="s">
        <v>29811</v>
      </c>
      <c r="BF1844" t="s">
        <v>29812</v>
      </c>
      <c r="BI1844">
        <v>12</v>
      </c>
      <c r="BJ1844" t="s">
        <v>722</v>
      </c>
      <c r="BK1844" t="s">
        <v>96</v>
      </c>
      <c r="BL1844" t="s">
        <v>723</v>
      </c>
      <c r="BM1844" t="s">
        <v>29813</v>
      </c>
      <c r="BR1844" t="s">
        <v>98</v>
      </c>
      <c r="BS1844" t="s">
        <v>29814</v>
      </c>
      <c r="BT1844" t="s">
        <v>16602</v>
      </c>
    </row>
    <row r="1845" spans="1:72">
      <c r="A1845" t="s">
        <v>72</v>
      </c>
      <c r="B1845" t="s">
        <v>29815</v>
      </c>
      <c r="F1845" t="s">
        <v>29816</v>
      </c>
      <c r="I1845" t="s">
        <v>29817</v>
      </c>
      <c r="J1845" t="s">
        <v>204</v>
      </c>
      <c r="M1845" t="s">
        <v>78</v>
      </c>
      <c r="N1845" t="s">
        <v>79</v>
      </c>
      <c r="T1845" t="s">
        <v>29818</v>
      </c>
      <c r="U1845" t="s">
        <v>29819</v>
      </c>
      <c r="V1845" t="s">
        <v>29820</v>
      </c>
      <c r="W1845" t="s">
        <v>29821</v>
      </c>
      <c r="X1845" t="s">
        <v>29822</v>
      </c>
      <c r="Y1845" t="s">
        <v>29823</v>
      </c>
      <c r="Z1845" t="s">
        <v>29824</v>
      </c>
      <c r="AA1845" t="s">
        <v>29825</v>
      </c>
      <c r="AB1845" t="s">
        <v>29826</v>
      </c>
      <c r="AC1845" t="s">
        <v>29827</v>
      </c>
      <c r="AD1845" t="s">
        <v>29828</v>
      </c>
      <c r="AE1845" t="s">
        <v>29829</v>
      </c>
      <c r="AG1845">
        <v>105</v>
      </c>
      <c r="AH1845">
        <v>26</v>
      </c>
      <c r="AI1845">
        <v>28</v>
      </c>
      <c r="AJ1845">
        <v>1</v>
      </c>
      <c r="AK1845">
        <v>25</v>
      </c>
      <c r="AL1845" t="s">
        <v>217</v>
      </c>
      <c r="AM1845" t="s">
        <v>218</v>
      </c>
      <c r="AN1845" t="s">
        <v>219</v>
      </c>
      <c r="AO1845" t="s">
        <v>220</v>
      </c>
      <c r="AP1845" t="s">
        <v>221</v>
      </c>
      <c r="AR1845" t="s">
        <v>222</v>
      </c>
      <c r="AS1845" t="s">
        <v>223</v>
      </c>
      <c r="AT1845" t="s">
        <v>142</v>
      </c>
      <c r="AU1845">
        <v>2020</v>
      </c>
      <c r="AV1845">
        <v>27</v>
      </c>
      <c r="AW1845">
        <v>16</v>
      </c>
      <c r="AZ1845" t="s">
        <v>225</v>
      </c>
      <c r="BB1845">
        <v>19955</v>
      </c>
      <c r="BC1845">
        <v>19969</v>
      </c>
      <c r="BE1845" t="s">
        <v>29830</v>
      </c>
      <c r="BF1845" t="s">
        <v>29831</v>
      </c>
      <c r="BH1845" t="s">
        <v>4681</v>
      </c>
      <c r="BI1845">
        <v>15</v>
      </c>
      <c r="BJ1845" t="s">
        <v>144</v>
      </c>
      <c r="BK1845" t="s">
        <v>96</v>
      </c>
      <c r="BL1845" t="s">
        <v>145</v>
      </c>
      <c r="BM1845" t="s">
        <v>27626</v>
      </c>
      <c r="BN1845">
        <v>32232757</v>
      </c>
      <c r="BR1845" t="s">
        <v>98</v>
      </c>
      <c r="BS1845" t="s">
        <v>29832</v>
      </c>
      <c r="BT1845" t="s">
        <v>16602</v>
      </c>
    </row>
    <row r="1846" spans="1:72">
      <c r="A1846" t="s">
        <v>72</v>
      </c>
      <c r="B1846" t="s">
        <v>29833</v>
      </c>
      <c r="F1846" t="s">
        <v>29834</v>
      </c>
      <c r="I1846" t="s">
        <v>29835</v>
      </c>
      <c r="J1846" t="s">
        <v>1756</v>
      </c>
      <c r="M1846" t="s">
        <v>78</v>
      </c>
      <c r="N1846" t="s">
        <v>79</v>
      </c>
      <c r="T1846" t="s">
        <v>29836</v>
      </c>
      <c r="U1846" t="s">
        <v>29837</v>
      </c>
      <c r="V1846" t="s">
        <v>29838</v>
      </c>
      <c r="W1846" t="s">
        <v>29839</v>
      </c>
      <c r="X1846" t="s">
        <v>29840</v>
      </c>
      <c r="Y1846" t="s">
        <v>29841</v>
      </c>
      <c r="Z1846" t="s">
        <v>29842</v>
      </c>
      <c r="AG1846">
        <v>35</v>
      </c>
      <c r="AH1846">
        <v>12</v>
      </c>
      <c r="AI1846">
        <v>15</v>
      </c>
      <c r="AJ1846">
        <v>1</v>
      </c>
      <c r="AK1846">
        <v>36</v>
      </c>
      <c r="AL1846" t="s">
        <v>86</v>
      </c>
      <c r="AM1846" t="s">
        <v>87</v>
      </c>
      <c r="AN1846" t="s">
        <v>88</v>
      </c>
      <c r="AO1846" t="s">
        <v>1764</v>
      </c>
      <c r="AP1846" t="s">
        <v>1765</v>
      </c>
      <c r="AR1846" t="s">
        <v>1766</v>
      </c>
      <c r="AS1846" t="s">
        <v>1767</v>
      </c>
      <c r="AT1846" t="s">
        <v>267</v>
      </c>
      <c r="AU1846">
        <v>2007</v>
      </c>
      <c r="AV1846">
        <v>26</v>
      </c>
      <c r="AW1846">
        <v>10</v>
      </c>
      <c r="BB1846">
        <v>2075</v>
      </c>
      <c r="BC1846">
        <v>2085</v>
      </c>
      <c r="BE1846" t="s">
        <v>29843</v>
      </c>
      <c r="BF1846" t="s">
        <v>29844</v>
      </c>
      <c r="BI1846">
        <v>11</v>
      </c>
      <c r="BJ1846" t="s">
        <v>121</v>
      </c>
      <c r="BK1846" t="s">
        <v>96</v>
      </c>
      <c r="BL1846" t="s">
        <v>122</v>
      </c>
      <c r="BM1846" t="s">
        <v>29845</v>
      </c>
      <c r="BN1846">
        <v>17867877</v>
      </c>
      <c r="BR1846" t="s">
        <v>98</v>
      </c>
      <c r="BS1846" t="s">
        <v>29846</v>
      </c>
      <c r="BT1846" t="s">
        <v>16602</v>
      </c>
    </row>
    <row r="1847" spans="1:72">
      <c r="A1847" t="s">
        <v>72</v>
      </c>
      <c r="B1847" t="s">
        <v>29847</v>
      </c>
      <c r="F1847" t="s">
        <v>29847</v>
      </c>
      <c r="I1847" t="s">
        <v>29848</v>
      </c>
      <c r="J1847" t="s">
        <v>232</v>
      </c>
      <c r="M1847" t="s">
        <v>78</v>
      </c>
      <c r="N1847" t="s">
        <v>79</v>
      </c>
      <c r="V1847" t="s">
        <v>29849</v>
      </c>
      <c r="W1847" t="s">
        <v>29850</v>
      </c>
      <c r="X1847" t="s">
        <v>29851</v>
      </c>
      <c r="Y1847" t="s">
        <v>29852</v>
      </c>
      <c r="AA1847" t="s">
        <v>7184</v>
      </c>
      <c r="AG1847">
        <v>26</v>
      </c>
      <c r="AH1847">
        <v>72</v>
      </c>
      <c r="AI1847">
        <v>73</v>
      </c>
      <c r="AJ1847">
        <v>0</v>
      </c>
      <c r="AK1847">
        <v>2</v>
      </c>
      <c r="AL1847" t="s">
        <v>136</v>
      </c>
      <c r="AM1847" t="s">
        <v>137</v>
      </c>
      <c r="AN1847" t="s">
        <v>138</v>
      </c>
      <c r="AO1847" t="s">
        <v>240</v>
      </c>
      <c r="AP1847" t="s">
        <v>241</v>
      </c>
      <c r="AR1847" t="s">
        <v>242</v>
      </c>
      <c r="AS1847" t="s">
        <v>243</v>
      </c>
      <c r="AU1847">
        <v>1982</v>
      </c>
      <c r="AV1847">
        <v>13</v>
      </c>
      <c r="AW1847">
        <v>7</v>
      </c>
      <c r="BB1847">
        <v>240</v>
      </c>
      <c r="BC1847">
        <v>247</v>
      </c>
      <c r="BE1847" t="s">
        <v>29853</v>
      </c>
      <c r="BF1847" t="s">
        <v>29854</v>
      </c>
      <c r="BI1847">
        <v>8</v>
      </c>
      <c r="BJ1847" t="s">
        <v>247</v>
      </c>
      <c r="BK1847" t="s">
        <v>96</v>
      </c>
      <c r="BL1847" t="s">
        <v>248</v>
      </c>
      <c r="BM1847" t="s">
        <v>21991</v>
      </c>
      <c r="BR1847" t="s">
        <v>98</v>
      </c>
      <c r="BS1847" t="s">
        <v>29855</v>
      </c>
      <c r="BT1847" t="s">
        <v>16602</v>
      </c>
    </row>
    <row r="1848" spans="1:72">
      <c r="A1848" t="s">
        <v>72</v>
      </c>
      <c r="B1848" t="s">
        <v>29856</v>
      </c>
      <c r="F1848" t="s">
        <v>29857</v>
      </c>
      <c r="I1848" t="s">
        <v>29858</v>
      </c>
      <c r="J1848" t="s">
        <v>204</v>
      </c>
      <c r="M1848" t="s">
        <v>78</v>
      </c>
      <c r="N1848" t="s">
        <v>79</v>
      </c>
      <c r="T1848" t="s">
        <v>29859</v>
      </c>
      <c r="U1848" t="s">
        <v>29860</v>
      </c>
      <c r="V1848" t="s">
        <v>29861</v>
      </c>
      <c r="W1848" t="s">
        <v>29862</v>
      </c>
      <c r="X1848" t="s">
        <v>29863</v>
      </c>
      <c r="Y1848" t="s">
        <v>29864</v>
      </c>
      <c r="Z1848" t="s">
        <v>29865</v>
      </c>
      <c r="AA1848" t="s">
        <v>29866</v>
      </c>
      <c r="AB1848" t="s">
        <v>29867</v>
      </c>
      <c r="AC1848" t="s">
        <v>29868</v>
      </c>
      <c r="AD1848" t="s">
        <v>29869</v>
      </c>
      <c r="AE1848" t="s">
        <v>29870</v>
      </c>
      <c r="AG1848">
        <v>45</v>
      </c>
      <c r="AH1848">
        <v>17</v>
      </c>
      <c r="AI1848">
        <v>21</v>
      </c>
      <c r="AJ1848">
        <v>3</v>
      </c>
      <c r="AK1848">
        <v>59</v>
      </c>
      <c r="AL1848" t="s">
        <v>217</v>
      </c>
      <c r="AM1848" t="s">
        <v>218</v>
      </c>
      <c r="AN1848" t="s">
        <v>219</v>
      </c>
      <c r="AO1848" t="s">
        <v>220</v>
      </c>
      <c r="AP1848" t="s">
        <v>221</v>
      </c>
      <c r="AR1848" t="s">
        <v>222</v>
      </c>
      <c r="AS1848" t="s">
        <v>223</v>
      </c>
      <c r="AT1848" t="s">
        <v>765</v>
      </c>
      <c r="AU1848">
        <v>2018</v>
      </c>
      <c r="AV1848">
        <v>25</v>
      </c>
      <c r="AW1848">
        <v>21</v>
      </c>
      <c r="AZ1848" t="s">
        <v>225</v>
      </c>
      <c r="BB1848">
        <v>21127</v>
      </c>
      <c r="BC1848">
        <v>21137</v>
      </c>
      <c r="BE1848" t="s">
        <v>29871</v>
      </c>
      <c r="BF1848" t="s">
        <v>29872</v>
      </c>
      <c r="BI1848">
        <v>11</v>
      </c>
      <c r="BJ1848" t="s">
        <v>144</v>
      </c>
      <c r="BK1848" t="s">
        <v>96</v>
      </c>
      <c r="BL1848" t="s">
        <v>145</v>
      </c>
      <c r="BM1848" t="s">
        <v>21384</v>
      </c>
      <c r="BN1848">
        <v>29770938</v>
      </c>
      <c r="BR1848" t="s">
        <v>98</v>
      </c>
      <c r="BS1848" t="s">
        <v>29873</v>
      </c>
      <c r="BT1848" t="s">
        <v>16602</v>
      </c>
    </row>
    <row r="1849" spans="1:72">
      <c r="A1849" t="s">
        <v>72</v>
      </c>
      <c r="B1849" t="s">
        <v>29874</v>
      </c>
      <c r="F1849" t="s">
        <v>29875</v>
      </c>
      <c r="I1849" t="s">
        <v>29876</v>
      </c>
      <c r="J1849" t="s">
        <v>232</v>
      </c>
      <c r="M1849" t="s">
        <v>78</v>
      </c>
      <c r="N1849" t="s">
        <v>79</v>
      </c>
      <c r="T1849" t="s">
        <v>29877</v>
      </c>
      <c r="U1849" t="s">
        <v>29878</v>
      </c>
      <c r="V1849" t="s">
        <v>29879</v>
      </c>
      <c r="W1849" t="s">
        <v>29880</v>
      </c>
      <c r="X1849" t="s">
        <v>29881</v>
      </c>
      <c r="Y1849" t="s">
        <v>23844</v>
      </c>
      <c r="Z1849" t="s">
        <v>23845</v>
      </c>
      <c r="AA1849" t="s">
        <v>29882</v>
      </c>
      <c r="AB1849" t="s">
        <v>29883</v>
      </c>
      <c r="AC1849" t="s">
        <v>29884</v>
      </c>
      <c r="AD1849" t="s">
        <v>29885</v>
      </c>
      <c r="AE1849" t="s">
        <v>29886</v>
      </c>
      <c r="AG1849">
        <v>77</v>
      </c>
      <c r="AH1849">
        <v>17</v>
      </c>
      <c r="AI1849">
        <v>18</v>
      </c>
      <c r="AJ1849">
        <v>1</v>
      </c>
      <c r="AK1849">
        <v>33</v>
      </c>
      <c r="AL1849" t="s">
        <v>136</v>
      </c>
      <c r="AM1849" t="s">
        <v>137</v>
      </c>
      <c r="AN1849" t="s">
        <v>138</v>
      </c>
      <c r="AO1849" t="s">
        <v>240</v>
      </c>
      <c r="AP1849" t="s">
        <v>241</v>
      </c>
      <c r="AR1849" t="s">
        <v>242</v>
      </c>
      <c r="AS1849" t="s">
        <v>243</v>
      </c>
      <c r="AU1849">
        <v>2010</v>
      </c>
      <c r="AV1849">
        <v>61</v>
      </c>
      <c r="AW1849" t="s">
        <v>5114</v>
      </c>
      <c r="AZ1849" t="s">
        <v>225</v>
      </c>
      <c r="BB1849">
        <v>554</v>
      </c>
      <c r="BC1849">
        <v>567</v>
      </c>
      <c r="BE1849" t="s">
        <v>29887</v>
      </c>
      <c r="BF1849" t="s">
        <v>29888</v>
      </c>
      <c r="BI1849">
        <v>14</v>
      </c>
      <c r="BJ1849" t="s">
        <v>247</v>
      </c>
      <c r="BK1849" t="s">
        <v>96</v>
      </c>
      <c r="BL1849" t="s">
        <v>248</v>
      </c>
      <c r="BM1849" t="s">
        <v>23853</v>
      </c>
      <c r="BN1849">
        <v>20638085</v>
      </c>
      <c r="BR1849" t="s">
        <v>98</v>
      </c>
      <c r="BS1849" t="s">
        <v>29889</v>
      </c>
      <c r="BT1849" t="s">
        <v>16602</v>
      </c>
    </row>
    <row r="1850" spans="1:72">
      <c r="A1850" t="s">
        <v>72</v>
      </c>
      <c r="B1850" t="s">
        <v>29890</v>
      </c>
      <c r="F1850" t="s">
        <v>29891</v>
      </c>
      <c r="I1850" t="s">
        <v>29892</v>
      </c>
      <c r="J1850" t="s">
        <v>998</v>
      </c>
      <c r="M1850" t="s">
        <v>78</v>
      </c>
      <c r="N1850" t="s">
        <v>79</v>
      </c>
      <c r="V1850" t="s">
        <v>29893</v>
      </c>
      <c r="W1850" t="s">
        <v>29894</v>
      </c>
      <c r="X1850" t="s">
        <v>9919</v>
      </c>
      <c r="Y1850" t="s">
        <v>4798</v>
      </c>
      <c r="Z1850" t="s">
        <v>18721</v>
      </c>
      <c r="AB1850" t="s">
        <v>29895</v>
      </c>
      <c r="AG1850">
        <v>50</v>
      </c>
      <c r="AH1850">
        <v>19</v>
      </c>
      <c r="AI1850">
        <v>19</v>
      </c>
      <c r="AJ1850">
        <v>2</v>
      </c>
      <c r="AK1850">
        <v>20</v>
      </c>
      <c r="AL1850" t="s">
        <v>112</v>
      </c>
      <c r="AM1850" t="s">
        <v>113</v>
      </c>
      <c r="AN1850" t="s">
        <v>114</v>
      </c>
      <c r="AO1850" t="s">
        <v>1009</v>
      </c>
      <c r="AP1850" t="s">
        <v>5996</v>
      </c>
      <c r="AR1850" t="s">
        <v>1010</v>
      </c>
      <c r="AS1850" t="s">
        <v>1011</v>
      </c>
      <c r="AT1850" t="s">
        <v>951</v>
      </c>
      <c r="AU1850">
        <v>2021</v>
      </c>
      <c r="AV1850">
        <v>81</v>
      </c>
      <c r="AW1850">
        <v>4</v>
      </c>
      <c r="AZ1850" t="s">
        <v>225</v>
      </c>
      <c r="BB1850">
        <v>600</v>
      </c>
      <c r="BC1850">
        <v>611</v>
      </c>
      <c r="BE1850" t="s">
        <v>29896</v>
      </c>
      <c r="BF1850" t="s">
        <v>29897</v>
      </c>
      <c r="BH1850" t="s">
        <v>992</v>
      </c>
      <c r="BI1850">
        <v>12</v>
      </c>
      <c r="BJ1850" t="s">
        <v>121</v>
      </c>
      <c r="BK1850" t="s">
        <v>96</v>
      </c>
      <c r="BL1850" t="s">
        <v>122</v>
      </c>
      <c r="BM1850" t="s">
        <v>29898</v>
      </c>
      <c r="BN1850">
        <v>33710402</v>
      </c>
      <c r="BR1850" t="s">
        <v>98</v>
      </c>
      <c r="BS1850" t="s">
        <v>29899</v>
      </c>
      <c r="BT1850" t="s">
        <v>16602</v>
      </c>
    </row>
    <row r="1851" spans="1:72">
      <c r="A1851" t="s">
        <v>72</v>
      </c>
      <c r="B1851" t="s">
        <v>29900</v>
      </c>
      <c r="F1851" t="s">
        <v>29900</v>
      </c>
      <c r="I1851" t="s">
        <v>29901</v>
      </c>
      <c r="J1851" t="s">
        <v>998</v>
      </c>
      <c r="M1851" t="s">
        <v>78</v>
      </c>
      <c r="N1851" t="s">
        <v>79</v>
      </c>
      <c r="U1851" t="s">
        <v>29902</v>
      </c>
      <c r="V1851" t="s">
        <v>29903</v>
      </c>
      <c r="W1851" t="s">
        <v>29904</v>
      </c>
      <c r="X1851" t="s">
        <v>29905</v>
      </c>
      <c r="Y1851" t="s">
        <v>29906</v>
      </c>
      <c r="AA1851" t="s">
        <v>29907</v>
      </c>
      <c r="AB1851" t="s">
        <v>29908</v>
      </c>
      <c r="AG1851">
        <v>36</v>
      </c>
      <c r="AH1851">
        <v>28</v>
      </c>
      <c r="AI1851">
        <v>32</v>
      </c>
      <c r="AJ1851">
        <v>0</v>
      </c>
      <c r="AK1851">
        <v>12</v>
      </c>
      <c r="AL1851" t="s">
        <v>6584</v>
      </c>
      <c r="AM1851" t="s">
        <v>113</v>
      </c>
      <c r="AN1851" t="s">
        <v>2719</v>
      </c>
      <c r="AO1851" t="s">
        <v>1009</v>
      </c>
      <c r="AR1851" t="s">
        <v>1010</v>
      </c>
      <c r="AS1851" t="s">
        <v>1011</v>
      </c>
      <c r="AT1851" t="s">
        <v>1470</v>
      </c>
      <c r="AU1851">
        <v>2000</v>
      </c>
      <c r="AV1851">
        <v>38</v>
      </c>
      <c r="AW1851">
        <v>1</v>
      </c>
      <c r="BB1851">
        <v>83</v>
      </c>
      <c r="BC1851">
        <v>92</v>
      </c>
      <c r="BE1851" t="s">
        <v>29909</v>
      </c>
      <c r="BF1851" t="s">
        <v>29910</v>
      </c>
      <c r="BI1851">
        <v>10</v>
      </c>
      <c r="BJ1851" t="s">
        <v>121</v>
      </c>
      <c r="BK1851" t="s">
        <v>96</v>
      </c>
      <c r="BL1851" t="s">
        <v>122</v>
      </c>
      <c r="BM1851" t="s">
        <v>29911</v>
      </c>
      <c r="BN1851">
        <v>10556375</v>
      </c>
      <c r="BR1851" t="s">
        <v>98</v>
      </c>
      <c r="BS1851" t="s">
        <v>29912</v>
      </c>
      <c r="BT1851" t="s">
        <v>16602</v>
      </c>
    </row>
    <row r="1852" spans="1:72">
      <c r="A1852" t="s">
        <v>72</v>
      </c>
      <c r="B1852" t="s">
        <v>29913</v>
      </c>
      <c r="F1852" t="s">
        <v>29914</v>
      </c>
      <c r="I1852" t="s">
        <v>29915</v>
      </c>
      <c r="J1852" t="s">
        <v>204</v>
      </c>
      <c r="M1852" t="s">
        <v>78</v>
      </c>
      <c r="N1852" t="s">
        <v>79</v>
      </c>
      <c r="T1852" t="s">
        <v>29916</v>
      </c>
      <c r="U1852" t="s">
        <v>29917</v>
      </c>
      <c r="V1852" t="s">
        <v>29918</v>
      </c>
      <c r="W1852" t="s">
        <v>29919</v>
      </c>
      <c r="X1852" t="s">
        <v>29920</v>
      </c>
      <c r="Y1852" t="s">
        <v>29921</v>
      </c>
      <c r="Z1852" t="s">
        <v>29922</v>
      </c>
      <c r="AA1852" t="s">
        <v>29923</v>
      </c>
      <c r="AB1852" t="s">
        <v>29924</v>
      </c>
      <c r="AC1852" t="s">
        <v>29925</v>
      </c>
      <c r="AD1852" t="s">
        <v>29926</v>
      </c>
      <c r="AE1852" t="s">
        <v>29927</v>
      </c>
      <c r="AG1852">
        <v>69</v>
      </c>
      <c r="AH1852">
        <v>23</v>
      </c>
      <c r="AI1852">
        <v>24</v>
      </c>
      <c r="AJ1852">
        <v>4</v>
      </c>
      <c r="AK1852">
        <v>35</v>
      </c>
      <c r="AL1852" t="s">
        <v>217</v>
      </c>
      <c r="AM1852" t="s">
        <v>218</v>
      </c>
      <c r="AN1852" t="s">
        <v>219</v>
      </c>
      <c r="AO1852" t="s">
        <v>220</v>
      </c>
      <c r="AP1852" t="s">
        <v>221</v>
      </c>
      <c r="AR1852" t="s">
        <v>222</v>
      </c>
      <c r="AS1852" t="s">
        <v>223</v>
      </c>
      <c r="AT1852" t="s">
        <v>224</v>
      </c>
      <c r="AU1852">
        <v>2017</v>
      </c>
      <c r="AV1852">
        <v>24</v>
      </c>
      <c r="AW1852">
        <v>4</v>
      </c>
      <c r="BB1852">
        <v>4174</v>
      </c>
      <c r="BC1852">
        <v>4184</v>
      </c>
      <c r="BE1852" t="s">
        <v>29928</v>
      </c>
      <c r="BF1852" t="s">
        <v>29929</v>
      </c>
      <c r="BI1852">
        <v>11</v>
      </c>
      <c r="BJ1852" t="s">
        <v>144</v>
      </c>
      <c r="BK1852" t="s">
        <v>96</v>
      </c>
      <c r="BL1852" t="s">
        <v>145</v>
      </c>
      <c r="BM1852" t="s">
        <v>25335</v>
      </c>
      <c r="BN1852">
        <v>27943138</v>
      </c>
      <c r="BR1852" t="s">
        <v>98</v>
      </c>
      <c r="BS1852" t="s">
        <v>29930</v>
      </c>
      <c r="BT1852" t="s">
        <v>16602</v>
      </c>
    </row>
    <row r="1853" spans="1:72">
      <c r="A1853" t="s">
        <v>72</v>
      </c>
      <c r="B1853" t="s">
        <v>29931</v>
      </c>
      <c r="F1853" t="s">
        <v>29932</v>
      </c>
      <c r="I1853" t="s">
        <v>29933</v>
      </c>
      <c r="J1853" t="s">
        <v>232</v>
      </c>
      <c r="M1853" t="s">
        <v>78</v>
      </c>
      <c r="N1853" t="s">
        <v>79</v>
      </c>
      <c r="T1853" t="s">
        <v>29934</v>
      </c>
      <c r="V1853" t="s">
        <v>29935</v>
      </c>
      <c r="W1853" t="s">
        <v>29936</v>
      </c>
      <c r="X1853" t="s">
        <v>29937</v>
      </c>
      <c r="Y1853" t="s">
        <v>29938</v>
      </c>
      <c r="Z1853" t="s">
        <v>29939</v>
      </c>
      <c r="AB1853" t="s">
        <v>10415</v>
      </c>
      <c r="AC1853" t="s">
        <v>29940</v>
      </c>
      <c r="AD1853" t="s">
        <v>29940</v>
      </c>
      <c r="AE1853" t="s">
        <v>29941</v>
      </c>
      <c r="AG1853">
        <v>35</v>
      </c>
      <c r="AH1853">
        <v>1</v>
      </c>
      <c r="AI1853">
        <v>1</v>
      </c>
      <c r="AJ1853">
        <v>0</v>
      </c>
      <c r="AK1853">
        <v>12</v>
      </c>
      <c r="AL1853" t="s">
        <v>136</v>
      </c>
      <c r="AM1853" t="s">
        <v>137</v>
      </c>
      <c r="AN1853" t="s">
        <v>138</v>
      </c>
      <c r="AO1853" t="s">
        <v>240</v>
      </c>
      <c r="AP1853" t="s">
        <v>241</v>
      </c>
      <c r="AR1853" t="s">
        <v>242</v>
      </c>
      <c r="AS1853" t="s">
        <v>243</v>
      </c>
      <c r="AT1853" t="s">
        <v>1223</v>
      </c>
      <c r="AU1853">
        <v>2021</v>
      </c>
      <c r="AV1853">
        <v>164</v>
      </c>
      <c r="BD1853">
        <v>112034</v>
      </c>
      <c r="BE1853" t="s">
        <v>29942</v>
      </c>
      <c r="BF1853" t="s">
        <v>29943</v>
      </c>
      <c r="BH1853" t="s">
        <v>2597</v>
      </c>
      <c r="BI1853">
        <v>12</v>
      </c>
      <c r="BJ1853" t="s">
        <v>247</v>
      </c>
      <c r="BK1853" t="s">
        <v>96</v>
      </c>
      <c r="BL1853" t="s">
        <v>248</v>
      </c>
      <c r="BM1853" t="s">
        <v>14599</v>
      </c>
      <c r="BN1853">
        <v>33517092</v>
      </c>
      <c r="BR1853" t="s">
        <v>98</v>
      </c>
      <c r="BS1853" t="s">
        <v>29944</v>
      </c>
      <c r="BT1853" t="s">
        <v>16602</v>
      </c>
    </row>
    <row r="1854" spans="1:72">
      <c r="A1854" t="s">
        <v>72</v>
      </c>
      <c r="B1854" t="s">
        <v>29945</v>
      </c>
      <c r="F1854" t="s">
        <v>29945</v>
      </c>
      <c r="I1854" t="s">
        <v>29946</v>
      </c>
      <c r="J1854" t="s">
        <v>752</v>
      </c>
      <c r="M1854" t="s">
        <v>78</v>
      </c>
      <c r="N1854" t="s">
        <v>151</v>
      </c>
      <c r="O1854" t="s">
        <v>2433</v>
      </c>
      <c r="P1854" t="s">
        <v>2434</v>
      </c>
      <c r="Q1854" t="s">
        <v>2435</v>
      </c>
      <c r="T1854" t="s">
        <v>29947</v>
      </c>
      <c r="U1854" t="s">
        <v>29948</v>
      </c>
      <c r="V1854" t="s">
        <v>29949</v>
      </c>
      <c r="W1854" t="s">
        <v>29950</v>
      </c>
      <c r="X1854" t="s">
        <v>29951</v>
      </c>
      <c r="Y1854" t="s">
        <v>29952</v>
      </c>
      <c r="Z1854" t="s">
        <v>29953</v>
      </c>
      <c r="AA1854" t="s">
        <v>29954</v>
      </c>
      <c r="AB1854" t="s">
        <v>29955</v>
      </c>
      <c r="AG1854">
        <v>10</v>
      </c>
      <c r="AH1854">
        <v>64</v>
      </c>
      <c r="AI1854">
        <v>69</v>
      </c>
      <c r="AJ1854">
        <v>0</v>
      </c>
      <c r="AK1854">
        <v>15</v>
      </c>
      <c r="AL1854" t="s">
        <v>430</v>
      </c>
      <c r="AM1854" t="s">
        <v>137</v>
      </c>
      <c r="AN1854" t="s">
        <v>431</v>
      </c>
      <c r="AO1854" t="s">
        <v>761</v>
      </c>
      <c r="AP1854" t="s">
        <v>762</v>
      </c>
      <c r="AR1854" t="s">
        <v>763</v>
      </c>
      <c r="AS1854" t="s">
        <v>764</v>
      </c>
      <c r="AT1854" t="s">
        <v>2445</v>
      </c>
      <c r="AU1854">
        <v>2004</v>
      </c>
      <c r="AV1854">
        <v>58</v>
      </c>
      <c r="AW1854" t="s">
        <v>2446</v>
      </c>
      <c r="BB1854">
        <v>245</v>
      </c>
      <c r="BC1854">
        <v>250</v>
      </c>
      <c r="BE1854" t="s">
        <v>29956</v>
      </c>
      <c r="BF1854" t="s">
        <v>29957</v>
      </c>
      <c r="BI1854">
        <v>6</v>
      </c>
      <c r="BJ1854" t="s">
        <v>768</v>
      </c>
      <c r="BK1854" t="s">
        <v>172</v>
      </c>
      <c r="BL1854" t="s">
        <v>769</v>
      </c>
      <c r="BM1854" t="s">
        <v>2448</v>
      </c>
      <c r="BN1854">
        <v>15178039</v>
      </c>
      <c r="BR1854" t="s">
        <v>98</v>
      </c>
      <c r="BS1854" t="s">
        <v>29958</v>
      </c>
      <c r="BT1854" t="s">
        <v>16602</v>
      </c>
    </row>
    <row r="1855" spans="1:72">
      <c r="A1855" t="s">
        <v>72</v>
      </c>
      <c r="B1855" t="s">
        <v>29959</v>
      </c>
      <c r="F1855" t="s">
        <v>29960</v>
      </c>
      <c r="I1855" t="s">
        <v>29961</v>
      </c>
      <c r="J1855" t="s">
        <v>4663</v>
      </c>
      <c r="M1855" t="s">
        <v>78</v>
      </c>
      <c r="N1855" t="s">
        <v>151</v>
      </c>
      <c r="O1855" t="s">
        <v>29962</v>
      </c>
      <c r="P1855" t="s">
        <v>29963</v>
      </c>
      <c r="Q1855" t="s">
        <v>29964</v>
      </c>
      <c r="T1855" t="s">
        <v>29965</v>
      </c>
      <c r="U1855" t="s">
        <v>29966</v>
      </c>
      <c r="V1855" t="s">
        <v>29967</v>
      </c>
      <c r="W1855" t="s">
        <v>29968</v>
      </c>
      <c r="Y1855" t="s">
        <v>29969</v>
      </c>
      <c r="Z1855" t="s">
        <v>29970</v>
      </c>
      <c r="AA1855" t="s">
        <v>29971</v>
      </c>
      <c r="AB1855" t="s">
        <v>29972</v>
      </c>
      <c r="AG1855">
        <v>12</v>
      </c>
      <c r="AH1855">
        <v>5</v>
      </c>
      <c r="AI1855">
        <v>5</v>
      </c>
      <c r="AJ1855">
        <v>0</v>
      </c>
      <c r="AK1855">
        <v>19</v>
      </c>
      <c r="AL1855" t="s">
        <v>2074</v>
      </c>
      <c r="AM1855" t="s">
        <v>2075</v>
      </c>
      <c r="AN1855" t="s">
        <v>5365</v>
      </c>
      <c r="AO1855" t="s">
        <v>4675</v>
      </c>
      <c r="AR1855" t="s">
        <v>4677</v>
      </c>
      <c r="AS1855" t="s">
        <v>4678</v>
      </c>
      <c r="AU1855">
        <v>2009</v>
      </c>
      <c r="AV1855">
        <v>89</v>
      </c>
      <c r="AW1855" t="s">
        <v>11681</v>
      </c>
      <c r="BB1855">
        <v>559</v>
      </c>
      <c r="BC1855">
        <v>568</v>
      </c>
      <c r="BD1855" t="s">
        <v>29973</v>
      </c>
      <c r="BE1855" t="s">
        <v>29974</v>
      </c>
      <c r="BF1855" t="s">
        <v>29975</v>
      </c>
      <c r="BI1855">
        <v>10</v>
      </c>
      <c r="BJ1855" t="s">
        <v>269</v>
      </c>
      <c r="BK1855" t="s">
        <v>172</v>
      </c>
      <c r="BL1855" t="s">
        <v>270</v>
      </c>
      <c r="BM1855" t="s">
        <v>29976</v>
      </c>
      <c r="BR1855" t="s">
        <v>98</v>
      </c>
      <c r="BS1855" t="s">
        <v>29977</v>
      </c>
      <c r="BT1855" t="s">
        <v>16602</v>
      </c>
    </row>
    <row r="1856" spans="1:72">
      <c r="A1856" t="s">
        <v>72</v>
      </c>
      <c r="B1856" t="s">
        <v>29978</v>
      </c>
      <c r="F1856" t="s">
        <v>29979</v>
      </c>
      <c r="I1856" t="s">
        <v>29980</v>
      </c>
      <c r="J1856" t="s">
        <v>29981</v>
      </c>
      <c r="M1856" t="s">
        <v>78</v>
      </c>
      <c r="N1856" t="s">
        <v>79</v>
      </c>
      <c r="T1856" t="s">
        <v>29982</v>
      </c>
      <c r="U1856" t="s">
        <v>29983</v>
      </c>
      <c r="V1856" t="s">
        <v>29984</v>
      </c>
      <c r="W1856" t="s">
        <v>29985</v>
      </c>
      <c r="X1856" t="s">
        <v>29986</v>
      </c>
      <c r="Y1856" t="s">
        <v>29987</v>
      </c>
      <c r="Z1856" t="s">
        <v>29988</v>
      </c>
      <c r="AA1856" t="s">
        <v>29989</v>
      </c>
      <c r="AB1856" t="s">
        <v>29990</v>
      </c>
      <c r="AC1856" t="s">
        <v>29991</v>
      </c>
      <c r="AD1856" t="s">
        <v>29992</v>
      </c>
      <c r="AE1856" t="s">
        <v>29993</v>
      </c>
      <c r="AG1856">
        <v>72</v>
      </c>
      <c r="AH1856">
        <v>2</v>
      </c>
      <c r="AI1856">
        <v>2</v>
      </c>
      <c r="AJ1856">
        <v>8</v>
      </c>
      <c r="AK1856">
        <v>17</v>
      </c>
      <c r="AL1856" t="s">
        <v>217</v>
      </c>
      <c r="AM1856" t="s">
        <v>218</v>
      </c>
      <c r="AN1856" t="s">
        <v>219</v>
      </c>
      <c r="AO1856" t="s">
        <v>29994</v>
      </c>
      <c r="AP1856" t="s">
        <v>29995</v>
      </c>
      <c r="AR1856" t="s">
        <v>29996</v>
      </c>
      <c r="AS1856" t="s">
        <v>29997</v>
      </c>
      <c r="AT1856" t="s">
        <v>224</v>
      </c>
      <c r="AU1856">
        <v>2024</v>
      </c>
      <c r="AV1856">
        <v>24</v>
      </c>
      <c r="AW1856">
        <v>2</v>
      </c>
      <c r="BB1856">
        <v>1030</v>
      </c>
      <c r="BC1856">
        <v>1038</v>
      </c>
      <c r="BE1856" t="s">
        <v>29998</v>
      </c>
      <c r="BF1856" t="s">
        <v>29999</v>
      </c>
      <c r="BH1856" t="s">
        <v>26143</v>
      </c>
      <c r="BI1856">
        <v>9</v>
      </c>
      <c r="BJ1856" t="s">
        <v>16511</v>
      </c>
      <c r="BK1856" t="s">
        <v>96</v>
      </c>
      <c r="BL1856" t="s">
        <v>16512</v>
      </c>
      <c r="BM1856" t="s">
        <v>30000</v>
      </c>
      <c r="BR1856" t="s">
        <v>98</v>
      </c>
      <c r="BS1856" t="s">
        <v>30001</v>
      </c>
      <c r="BT1856" t="s">
        <v>16602</v>
      </c>
    </row>
    <row r="1857" spans="1:72">
      <c r="A1857" t="s">
        <v>72</v>
      </c>
      <c r="B1857" t="s">
        <v>30002</v>
      </c>
      <c r="F1857" t="s">
        <v>30003</v>
      </c>
      <c r="I1857" t="s">
        <v>30004</v>
      </c>
      <c r="J1857" t="s">
        <v>179</v>
      </c>
      <c r="M1857" t="s">
        <v>78</v>
      </c>
      <c r="N1857" t="s">
        <v>79</v>
      </c>
      <c r="T1857" t="s">
        <v>30005</v>
      </c>
      <c r="U1857" t="s">
        <v>30006</v>
      </c>
      <c r="V1857" t="s">
        <v>30007</v>
      </c>
      <c r="W1857" t="s">
        <v>30008</v>
      </c>
      <c r="X1857" t="s">
        <v>30009</v>
      </c>
      <c r="Y1857" t="s">
        <v>30010</v>
      </c>
      <c r="Z1857" t="s">
        <v>30011</v>
      </c>
      <c r="AA1857" t="s">
        <v>30012</v>
      </c>
      <c r="AB1857" t="s">
        <v>30013</v>
      </c>
      <c r="AC1857" t="s">
        <v>30014</v>
      </c>
      <c r="AD1857" t="s">
        <v>30014</v>
      </c>
      <c r="AE1857" t="s">
        <v>30015</v>
      </c>
      <c r="AG1857">
        <v>69</v>
      </c>
      <c r="AH1857">
        <v>36</v>
      </c>
      <c r="AI1857">
        <v>39</v>
      </c>
      <c r="AJ1857">
        <v>0</v>
      </c>
      <c r="AK1857">
        <v>22</v>
      </c>
      <c r="AL1857" t="s">
        <v>112</v>
      </c>
      <c r="AM1857" t="s">
        <v>191</v>
      </c>
      <c r="AN1857" t="s">
        <v>192</v>
      </c>
      <c r="AO1857" t="s">
        <v>193</v>
      </c>
      <c r="AP1857" t="s">
        <v>194</v>
      </c>
      <c r="AR1857" t="s">
        <v>195</v>
      </c>
      <c r="AS1857" t="s">
        <v>196</v>
      </c>
      <c r="AT1857" t="s">
        <v>142</v>
      </c>
      <c r="AU1857">
        <v>2011</v>
      </c>
      <c r="AV1857">
        <v>177</v>
      </c>
      <c r="AW1857" t="s">
        <v>721</v>
      </c>
      <c r="BB1857">
        <v>649</v>
      </c>
      <c r="BC1857">
        <v>663</v>
      </c>
      <c r="BE1857" t="s">
        <v>30016</v>
      </c>
      <c r="BF1857" t="s">
        <v>30017</v>
      </c>
      <c r="BI1857">
        <v>15</v>
      </c>
      <c r="BJ1857" t="s">
        <v>144</v>
      </c>
      <c r="BK1857" t="s">
        <v>96</v>
      </c>
      <c r="BL1857" t="s">
        <v>145</v>
      </c>
      <c r="BM1857" t="s">
        <v>30018</v>
      </c>
      <c r="BN1857">
        <v>20811943</v>
      </c>
      <c r="BR1857" t="s">
        <v>98</v>
      </c>
      <c r="BS1857" t="s">
        <v>30019</v>
      </c>
      <c r="BT1857" t="s">
        <v>16602</v>
      </c>
    </row>
    <row r="1858" spans="1:72">
      <c r="A1858" t="s">
        <v>72</v>
      </c>
      <c r="B1858" t="s">
        <v>30020</v>
      </c>
      <c r="F1858" t="s">
        <v>30021</v>
      </c>
      <c r="I1858" t="s">
        <v>30022</v>
      </c>
      <c r="J1858" t="s">
        <v>204</v>
      </c>
      <c r="M1858" t="s">
        <v>78</v>
      </c>
      <c r="N1858" t="s">
        <v>79</v>
      </c>
      <c r="T1858" t="s">
        <v>30023</v>
      </c>
      <c r="U1858" t="s">
        <v>30024</v>
      </c>
      <c r="V1858" t="s">
        <v>30025</v>
      </c>
      <c r="W1858" t="s">
        <v>30026</v>
      </c>
      <c r="X1858" t="s">
        <v>30027</v>
      </c>
      <c r="Y1858" t="s">
        <v>30028</v>
      </c>
      <c r="Z1858" t="s">
        <v>30029</v>
      </c>
      <c r="AA1858" t="s">
        <v>30030</v>
      </c>
      <c r="AB1858" t="s">
        <v>30031</v>
      </c>
      <c r="AC1858" t="s">
        <v>30032</v>
      </c>
      <c r="AD1858" t="s">
        <v>30033</v>
      </c>
      <c r="AE1858" t="s">
        <v>30034</v>
      </c>
      <c r="AG1858">
        <v>37</v>
      </c>
      <c r="AH1858">
        <v>5</v>
      </c>
      <c r="AI1858">
        <v>5</v>
      </c>
      <c r="AJ1858">
        <v>1</v>
      </c>
      <c r="AK1858">
        <v>10</v>
      </c>
      <c r="AL1858" t="s">
        <v>217</v>
      </c>
      <c r="AM1858" t="s">
        <v>218</v>
      </c>
      <c r="AN1858" t="s">
        <v>219</v>
      </c>
      <c r="AO1858" t="s">
        <v>220</v>
      </c>
      <c r="AP1858" t="s">
        <v>221</v>
      </c>
      <c r="AR1858" t="s">
        <v>222</v>
      </c>
      <c r="AS1858" t="s">
        <v>223</v>
      </c>
      <c r="AT1858" t="s">
        <v>951</v>
      </c>
      <c r="AU1858">
        <v>2017</v>
      </c>
      <c r="AV1858">
        <v>24</v>
      </c>
      <c r="AW1858">
        <v>32</v>
      </c>
      <c r="BB1858">
        <v>24896</v>
      </c>
      <c r="BC1858">
        <v>24906</v>
      </c>
      <c r="BE1858" t="s">
        <v>30035</v>
      </c>
      <c r="BF1858" t="s">
        <v>30036</v>
      </c>
      <c r="BI1858">
        <v>11</v>
      </c>
      <c r="BJ1858" t="s">
        <v>144</v>
      </c>
      <c r="BK1858" t="s">
        <v>96</v>
      </c>
      <c r="BL1858" t="s">
        <v>145</v>
      </c>
      <c r="BM1858" t="s">
        <v>30037</v>
      </c>
      <c r="BN1858">
        <v>28918583</v>
      </c>
      <c r="BR1858" t="s">
        <v>98</v>
      </c>
      <c r="BS1858" t="s">
        <v>30038</v>
      </c>
      <c r="BT1858" t="s">
        <v>16602</v>
      </c>
    </row>
    <row r="1859" spans="1:72">
      <c r="A1859" t="s">
        <v>72</v>
      </c>
      <c r="B1859" t="s">
        <v>30039</v>
      </c>
      <c r="F1859" t="s">
        <v>30040</v>
      </c>
      <c r="I1859" t="s">
        <v>30041</v>
      </c>
      <c r="J1859" t="s">
        <v>11177</v>
      </c>
      <c r="M1859" t="s">
        <v>78</v>
      </c>
      <c r="N1859" t="s">
        <v>79</v>
      </c>
      <c r="T1859" t="s">
        <v>30042</v>
      </c>
      <c r="U1859" t="s">
        <v>30043</v>
      </c>
      <c r="V1859" t="s">
        <v>30044</v>
      </c>
      <c r="W1859" t="s">
        <v>30045</v>
      </c>
      <c r="X1859" t="s">
        <v>29165</v>
      </c>
      <c r="Y1859" t="s">
        <v>30046</v>
      </c>
      <c r="Z1859" t="s">
        <v>29167</v>
      </c>
      <c r="AA1859" t="s">
        <v>30047</v>
      </c>
      <c r="AB1859" t="s">
        <v>30048</v>
      </c>
      <c r="AC1859" t="s">
        <v>30049</v>
      </c>
      <c r="AD1859" t="s">
        <v>525</v>
      </c>
      <c r="AE1859" t="s">
        <v>30050</v>
      </c>
      <c r="AG1859">
        <v>65</v>
      </c>
      <c r="AH1859">
        <v>17</v>
      </c>
      <c r="AI1859">
        <v>19</v>
      </c>
      <c r="AJ1859">
        <v>0</v>
      </c>
      <c r="AK1859">
        <v>64</v>
      </c>
      <c r="AL1859" t="s">
        <v>430</v>
      </c>
      <c r="AM1859" t="s">
        <v>137</v>
      </c>
      <c r="AN1859" t="s">
        <v>431</v>
      </c>
      <c r="AP1859" t="s">
        <v>11188</v>
      </c>
      <c r="AR1859" t="s">
        <v>11189</v>
      </c>
      <c r="AS1859" t="s">
        <v>11190</v>
      </c>
      <c r="AT1859" t="s">
        <v>142</v>
      </c>
      <c r="AU1859">
        <v>2020</v>
      </c>
      <c r="AV1859">
        <v>8</v>
      </c>
      <c r="AW1859">
        <v>3</v>
      </c>
      <c r="BD1859">
        <v>103721</v>
      </c>
      <c r="BE1859" t="s">
        <v>30051</v>
      </c>
      <c r="BF1859" t="s">
        <v>30052</v>
      </c>
      <c r="BI1859">
        <v>9</v>
      </c>
      <c r="BJ1859" t="s">
        <v>3991</v>
      </c>
      <c r="BK1859" t="s">
        <v>96</v>
      </c>
      <c r="BL1859" t="s">
        <v>3992</v>
      </c>
      <c r="BM1859" t="s">
        <v>30053</v>
      </c>
      <c r="BR1859" t="s">
        <v>98</v>
      </c>
      <c r="BS1859" t="s">
        <v>30054</v>
      </c>
      <c r="BT1859" t="s">
        <v>16602</v>
      </c>
    </row>
    <row r="1860" spans="1:72">
      <c r="A1860" t="s">
        <v>72</v>
      </c>
      <c r="B1860" t="s">
        <v>30055</v>
      </c>
      <c r="F1860" t="s">
        <v>30056</v>
      </c>
      <c r="I1860" t="s">
        <v>30057</v>
      </c>
      <c r="J1860" t="s">
        <v>11898</v>
      </c>
      <c r="M1860" t="s">
        <v>78</v>
      </c>
      <c r="N1860" t="s">
        <v>79</v>
      </c>
      <c r="T1860" t="s">
        <v>30058</v>
      </c>
      <c r="U1860" t="s">
        <v>30059</v>
      </c>
      <c r="V1860" t="s">
        <v>30060</v>
      </c>
      <c r="W1860" t="s">
        <v>30061</v>
      </c>
      <c r="X1860" t="s">
        <v>15238</v>
      </c>
      <c r="Y1860" t="s">
        <v>30062</v>
      </c>
      <c r="Z1860" t="s">
        <v>30063</v>
      </c>
      <c r="AA1860" t="s">
        <v>30064</v>
      </c>
      <c r="AB1860" t="s">
        <v>17683</v>
      </c>
      <c r="AC1860" t="s">
        <v>2239</v>
      </c>
      <c r="AD1860" t="s">
        <v>2240</v>
      </c>
      <c r="AE1860" t="s">
        <v>30065</v>
      </c>
      <c r="AG1860">
        <v>81</v>
      </c>
      <c r="AH1860">
        <v>10</v>
      </c>
      <c r="AI1860">
        <v>10</v>
      </c>
      <c r="AJ1860">
        <v>2</v>
      </c>
      <c r="AK1860">
        <v>34</v>
      </c>
      <c r="AL1860" t="s">
        <v>1566</v>
      </c>
      <c r="AM1860" t="s">
        <v>1567</v>
      </c>
      <c r="AN1860" t="s">
        <v>1568</v>
      </c>
      <c r="AP1860" t="s">
        <v>11911</v>
      </c>
      <c r="AR1860" t="s">
        <v>11912</v>
      </c>
      <c r="AS1860" t="s">
        <v>11913</v>
      </c>
      <c r="AT1860" t="s">
        <v>93</v>
      </c>
      <c r="AU1860">
        <v>2021</v>
      </c>
      <c r="AV1860">
        <v>18</v>
      </c>
      <c r="AW1860">
        <v>7</v>
      </c>
      <c r="BD1860">
        <v>3599</v>
      </c>
      <c r="BE1860" t="s">
        <v>30066</v>
      </c>
      <c r="BF1860" t="s">
        <v>30067</v>
      </c>
      <c r="BI1860">
        <v>11</v>
      </c>
      <c r="BJ1860" t="s">
        <v>10142</v>
      </c>
      <c r="BK1860" t="s">
        <v>11915</v>
      </c>
      <c r="BL1860" t="s">
        <v>10143</v>
      </c>
      <c r="BM1860" t="s">
        <v>30068</v>
      </c>
      <c r="BN1860">
        <v>33808473</v>
      </c>
      <c r="BO1860" t="s">
        <v>2155</v>
      </c>
      <c r="BR1860" t="s">
        <v>98</v>
      </c>
      <c r="BS1860" t="s">
        <v>30069</v>
      </c>
      <c r="BT1860" t="s">
        <v>16602</v>
      </c>
    </row>
    <row r="1861" spans="1:72">
      <c r="A1861" t="s">
        <v>72</v>
      </c>
      <c r="B1861" t="s">
        <v>30070</v>
      </c>
      <c r="F1861" t="s">
        <v>30071</v>
      </c>
      <c r="I1861" t="s">
        <v>30072</v>
      </c>
      <c r="J1861" t="s">
        <v>7477</v>
      </c>
      <c r="M1861" t="s">
        <v>78</v>
      </c>
      <c r="N1861" t="s">
        <v>79</v>
      </c>
      <c r="T1861" t="s">
        <v>30073</v>
      </c>
      <c r="U1861" t="s">
        <v>30074</v>
      </c>
      <c r="V1861" t="s">
        <v>30075</v>
      </c>
      <c r="W1861" t="s">
        <v>30076</v>
      </c>
      <c r="X1861" t="s">
        <v>20790</v>
      </c>
      <c r="Y1861" t="s">
        <v>30077</v>
      </c>
      <c r="Z1861" t="s">
        <v>17018</v>
      </c>
      <c r="AA1861" t="s">
        <v>30078</v>
      </c>
      <c r="AB1861" t="s">
        <v>30079</v>
      </c>
      <c r="AC1861" t="s">
        <v>30080</v>
      </c>
      <c r="AD1861" t="s">
        <v>14277</v>
      </c>
      <c r="AE1861" t="s">
        <v>30081</v>
      </c>
      <c r="AG1861">
        <v>33</v>
      </c>
      <c r="AH1861">
        <v>3</v>
      </c>
      <c r="AI1861">
        <v>3</v>
      </c>
      <c r="AJ1861">
        <v>0</v>
      </c>
      <c r="AK1861">
        <v>13</v>
      </c>
      <c r="AL1861" t="s">
        <v>6554</v>
      </c>
      <c r="AM1861" t="s">
        <v>113</v>
      </c>
      <c r="AN1861" t="s">
        <v>6555</v>
      </c>
      <c r="AO1861" t="s">
        <v>7487</v>
      </c>
      <c r="AP1861" t="s">
        <v>7488</v>
      </c>
      <c r="AR1861" t="s">
        <v>7489</v>
      </c>
      <c r="AS1861" t="s">
        <v>7490</v>
      </c>
      <c r="AT1861" t="s">
        <v>1470</v>
      </c>
      <c r="AU1861">
        <v>2016</v>
      </c>
      <c r="AV1861">
        <v>42</v>
      </c>
      <c r="AW1861">
        <v>1</v>
      </c>
      <c r="BB1861">
        <v>65</v>
      </c>
      <c r="BC1861">
        <v>72</v>
      </c>
      <c r="BE1861" t="s">
        <v>30082</v>
      </c>
      <c r="BF1861" t="s">
        <v>30083</v>
      </c>
      <c r="BI1861">
        <v>8</v>
      </c>
      <c r="BJ1861" t="s">
        <v>680</v>
      </c>
      <c r="BK1861" t="s">
        <v>96</v>
      </c>
      <c r="BL1861" t="s">
        <v>680</v>
      </c>
      <c r="BM1861" t="s">
        <v>30084</v>
      </c>
      <c r="BR1861" t="s">
        <v>98</v>
      </c>
      <c r="BS1861" t="s">
        <v>30085</v>
      </c>
      <c r="BT1861" t="s">
        <v>16602</v>
      </c>
    </row>
    <row r="1862" spans="1:72">
      <c r="A1862" t="s">
        <v>72</v>
      </c>
      <c r="B1862" t="s">
        <v>30086</v>
      </c>
      <c r="F1862" t="s">
        <v>30086</v>
      </c>
      <c r="I1862" t="s">
        <v>30087</v>
      </c>
      <c r="J1862" t="s">
        <v>30088</v>
      </c>
      <c r="M1862" t="s">
        <v>78</v>
      </c>
      <c r="N1862" t="s">
        <v>79</v>
      </c>
      <c r="U1862" t="s">
        <v>30089</v>
      </c>
      <c r="V1862" t="s">
        <v>30090</v>
      </c>
      <c r="W1862" t="s">
        <v>30091</v>
      </c>
      <c r="X1862" t="s">
        <v>30092</v>
      </c>
      <c r="Y1862" t="s">
        <v>30093</v>
      </c>
      <c r="AA1862" t="s">
        <v>30094</v>
      </c>
      <c r="AB1862" t="s">
        <v>30095</v>
      </c>
      <c r="AG1862">
        <v>46</v>
      </c>
      <c r="AH1862">
        <v>56</v>
      </c>
      <c r="AI1862">
        <v>59</v>
      </c>
      <c r="AJ1862">
        <v>0</v>
      </c>
      <c r="AK1862">
        <v>9</v>
      </c>
      <c r="AL1862" t="s">
        <v>112</v>
      </c>
      <c r="AM1862" t="s">
        <v>191</v>
      </c>
      <c r="AN1862" t="s">
        <v>192</v>
      </c>
      <c r="AO1862" t="s">
        <v>30096</v>
      </c>
      <c r="AR1862" t="s">
        <v>30097</v>
      </c>
      <c r="AS1862" t="s">
        <v>30098</v>
      </c>
      <c r="AT1862" t="s">
        <v>30099</v>
      </c>
      <c r="AU1862">
        <v>2002</v>
      </c>
      <c r="AV1862">
        <v>34</v>
      </c>
      <c r="AW1862" t="s">
        <v>30100</v>
      </c>
      <c r="BB1862">
        <v>273</v>
      </c>
      <c r="BC1862">
        <v>280</v>
      </c>
      <c r="BE1862" t="s">
        <v>30101</v>
      </c>
      <c r="BF1862" t="s">
        <v>30102</v>
      </c>
      <c r="BI1862">
        <v>8</v>
      </c>
      <c r="BJ1862" t="s">
        <v>12307</v>
      </c>
      <c r="BK1862" t="s">
        <v>96</v>
      </c>
      <c r="BL1862" t="s">
        <v>12307</v>
      </c>
      <c r="BM1862" t="s">
        <v>30103</v>
      </c>
      <c r="BN1862">
        <v>12769258</v>
      </c>
      <c r="BR1862" t="s">
        <v>98</v>
      </c>
      <c r="BS1862" t="s">
        <v>30104</v>
      </c>
      <c r="BT1862" t="s">
        <v>16602</v>
      </c>
    </row>
    <row r="1863" spans="1:72">
      <c r="A1863" t="s">
        <v>72</v>
      </c>
      <c r="B1863" t="s">
        <v>30105</v>
      </c>
      <c r="F1863" t="s">
        <v>30106</v>
      </c>
      <c r="I1863" t="s">
        <v>30107</v>
      </c>
      <c r="J1863" t="s">
        <v>30108</v>
      </c>
      <c r="M1863" t="s">
        <v>78</v>
      </c>
      <c r="N1863" t="s">
        <v>79</v>
      </c>
      <c r="T1863" t="s">
        <v>30109</v>
      </c>
      <c r="U1863" t="s">
        <v>30110</v>
      </c>
      <c r="V1863" t="s">
        <v>30111</v>
      </c>
      <c r="W1863" t="s">
        <v>30112</v>
      </c>
      <c r="X1863" t="s">
        <v>30113</v>
      </c>
      <c r="Y1863" t="s">
        <v>30114</v>
      </c>
      <c r="Z1863" t="s">
        <v>30115</v>
      </c>
      <c r="AC1863" t="s">
        <v>30116</v>
      </c>
      <c r="AD1863" t="s">
        <v>30116</v>
      </c>
      <c r="AE1863" t="s">
        <v>30117</v>
      </c>
      <c r="AG1863">
        <v>52</v>
      </c>
      <c r="AH1863">
        <v>40</v>
      </c>
      <c r="AI1863">
        <v>50</v>
      </c>
      <c r="AJ1863">
        <v>0</v>
      </c>
      <c r="AK1863">
        <v>48</v>
      </c>
      <c r="AL1863" t="s">
        <v>112</v>
      </c>
      <c r="AM1863" t="s">
        <v>113</v>
      </c>
      <c r="AN1863" t="s">
        <v>469</v>
      </c>
      <c r="AO1863" t="s">
        <v>30118</v>
      </c>
      <c r="AP1863" t="s">
        <v>30119</v>
      </c>
      <c r="AR1863" t="s">
        <v>30120</v>
      </c>
      <c r="AS1863" t="s">
        <v>30121</v>
      </c>
      <c r="AT1863" t="s">
        <v>1223</v>
      </c>
      <c r="AU1863">
        <v>2009</v>
      </c>
      <c r="AV1863">
        <v>32</v>
      </c>
      <c r="AW1863">
        <v>2</v>
      </c>
      <c r="BB1863">
        <v>298</v>
      </c>
      <c r="BC1863">
        <v>308</v>
      </c>
      <c r="BE1863" t="s">
        <v>30122</v>
      </c>
      <c r="BF1863" t="s">
        <v>30123</v>
      </c>
      <c r="BI1863">
        <v>11</v>
      </c>
      <c r="BJ1863" t="s">
        <v>247</v>
      </c>
      <c r="BK1863" t="s">
        <v>96</v>
      </c>
      <c r="BL1863" t="s">
        <v>248</v>
      </c>
      <c r="BM1863" t="s">
        <v>30124</v>
      </c>
      <c r="BR1863" t="s">
        <v>98</v>
      </c>
      <c r="BS1863" t="s">
        <v>30125</v>
      </c>
      <c r="BT1863" t="s">
        <v>16602</v>
      </c>
    </row>
    <row r="1864" spans="1:72">
      <c r="A1864" t="s">
        <v>72</v>
      </c>
      <c r="B1864" t="s">
        <v>30126</v>
      </c>
      <c r="F1864" t="s">
        <v>30127</v>
      </c>
      <c r="I1864" t="s">
        <v>30128</v>
      </c>
      <c r="J1864" t="s">
        <v>30129</v>
      </c>
      <c r="M1864" t="s">
        <v>78</v>
      </c>
      <c r="N1864" t="s">
        <v>79</v>
      </c>
      <c r="T1864" t="s">
        <v>30130</v>
      </c>
      <c r="U1864" t="s">
        <v>30131</v>
      </c>
      <c r="V1864" t="s">
        <v>30132</v>
      </c>
      <c r="W1864" t="s">
        <v>30133</v>
      </c>
      <c r="X1864" t="s">
        <v>30134</v>
      </c>
      <c r="Y1864" t="s">
        <v>30135</v>
      </c>
      <c r="Z1864" t="s">
        <v>30136</v>
      </c>
      <c r="AA1864" t="s">
        <v>30137</v>
      </c>
      <c r="AC1864" t="s">
        <v>30138</v>
      </c>
      <c r="AD1864" t="s">
        <v>30139</v>
      </c>
      <c r="AE1864" t="s">
        <v>30140</v>
      </c>
      <c r="AG1864">
        <v>21</v>
      </c>
      <c r="AH1864">
        <v>6</v>
      </c>
      <c r="AI1864">
        <v>6</v>
      </c>
      <c r="AJ1864">
        <v>0</v>
      </c>
      <c r="AK1864">
        <v>22</v>
      </c>
      <c r="AL1864" t="s">
        <v>30129</v>
      </c>
      <c r="AM1864" t="s">
        <v>30141</v>
      </c>
      <c r="AN1864" t="s">
        <v>30142</v>
      </c>
      <c r="AO1864" t="s">
        <v>30143</v>
      </c>
      <c r="AR1864" t="s">
        <v>30144</v>
      </c>
      <c r="AS1864" t="s">
        <v>30145</v>
      </c>
      <c r="AT1864" t="s">
        <v>1470</v>
      </c>
      <c r="AU1864">
        <v>2013</v>
      </c>
      <c r="AV1864">
        <v>25</v>
      </c>
      <c r="AW1864">
        <v>1</v>
      </c>
      <c r="BB1864">
        <v>450</v>
      </c>
      <c r="BC1864">
        <v>454</v>
      </c>
      <c r="BE1864" t="s">
        <v>30146</v>
      </c>
      <c r="BF1864" t="s">
        <v>30147</v>
      </c>
      <c r="BI1864">
        <v>5</v>
      </c>
      <c r="BJ1864" t="s">
        <v>3919</v>
      </c>
      <c r="BK1864" t="s">
        <v>96</v>
      </c>
      <c r="BL1864" t="s">
        <v>1197</v>
      </c>
      <c r="BM1864" t="s">
        <v>30148</v>
      </c>
      <c r="BO1864" t="s">
        <v>370</v>
      </c>
      <c r="BR1864" t="s">
        <v>98</v>
      </c>
      <c r="BS1864" t="s">
        <v>30149</v>
      </c>
      <c r="BT1864" t="s">
        <v>16602</v>
      </c>
    </row>
    <row r="1865" spans="1:72">
      <c r="A1865" t="s">
        <v>72</v>
      </c>
      <c r="B1865" t="s">
        <v>30150</v>
      </c>
      <c r="F1865" t="s">
        <v>30151</v>
      </c>
      <c r="I1865" t="s">
        <v>30152</v>
      </c>
      <c r="J1865" t="s">
        <v>2063</v>
      </c>
      <c r="M1865" t="s">
        <v>78</v>
      </c>
      <c r="N1865" t="s">
        <v>79</v>
      </c>
      <c r="T1865" t="s">
        <v>30153</v>
      </c>
      <c r="U1865" t="s">
        <v>30154</v>
      </c>
      <c r="V1865" t="s">
        <v>30155</v>
      </c>
      <c r="W1865" t="s">
        <v>30156</v>
      </c>
      <c r="X1865" t="s">
        <v>30157</v>
      </c>
      <c r="Y1865" t="s">
        <v>30158</v>
      </c>
      <c r="Z1865" t="s">
        <v>30159</v>
      </c>
      <c r="AA1865" t="s">
        <v>2808</v>
      </c>
      <c r="AB1865" t="s">
        <v>2809</v>
      </c>
      <c r="AG1865">
        <v>34</v>
      </c>
      <c r="AH1865">
        <v>18</v>
      </c>
      <c r="AI1865">
        <v>19</v>
      </c>
      <c r="AJ1865">
        <v>0</v>
      </c>
      <c r="AK1865">
        <v>27</v>
      </c>
      <c r="AL1865" t="s">
        <v>2074</v>
      </c>
      <c r="AM1865" t="s">
        <v>2075</v>
      </c>
      <c r="AN1865" t="s">
        <v>2076</v>
      </c>
      <c r="AO1865" t="s">
        <v>2077</v>
      </c>
      <c r="AP1865" t="s">
        <v>2078</v>
      </c>
      <c r="AR1865" t="s">
        <v>2079</v>
      </c>
      <c r="AS1865" t="s">
        <v>2080</v>
      </c>
      <c r="AT1865" t="s">
        <v>119</v>
      </c>
      <c r="AU1865">
        <v>2006</v>
      </c>
      <c r="AV1865">
        <v>22</v>
      </c>
      <c r="AW1865">
        <v>4</v>
      </c>
      <c r="BB1865">
        <v>299</v>
      </c>
      <c r="BC1865">
        <v>312</v>
      </c>
      <c r="BE1865" t="s">
        <v>30160</v>
      </c>
      <c r="BF1865" t="s">
        <v>30161</v>
      </c>
      <c r="BI1865">
        <v>14</v>
      </c>
      <c r="BJ1865" t="s">
        <v>2083</v>
      </c>
      <c r="BK1865" t="s">
        <v>96</v>
      </c>
      <c r="BL1865" t="s">
        <v>2084</v>
      </c>
      <c r="BM1865" t="s">
        <v>30162</v>
      </c>
      <c r="BO1865" t="s">
        <v>1752</v>
      </c>
      <c r="BR1865" t="s">
        <v>98</v>
      </c>
      <c r="BS1865" t="s">
        <v>30163</v>
      </c>
      <c r="BT1865" t="s">
        <v>16602</v>
      </c>
    </row>
    <row r="1866" spans="1:72">
      <c r="A1866" t="s">
        <v>72</v>
      </c>
      <c r="B1866" t="s">
        <v>30164</v>
      </c>
      <c r="F1866" t="s">
        <v>30165</v>
      </c>
      <c r="I1866" t="s">
        <v>30166</v>
      </c>
      <c r="J1866" t="s">
        <v>5592</v>
      </c>
      <c r="M1866" t="s">
        <v>78</v>
      </c>
      <c r="N1866" t="s">
        <v>79</v>
      </c>
      <c r="T1866" t="s">
        <v>30167</v>
      </c>
      <c r="U1866" t="s">
        <v>30168</v>
      </c>
      <c r="V1866" t="s">
        <v>30169</v>
      </c>
      <c r="W1866" t="s">
        <v>30170</v>
      </c>
      <c r="X1866" t="s">
        <v>30171</v>
      </c>
      <c r="Y1866" t="s">
        <v>8325</v>
      </c>
      <c r="Z1866" t="s">
        <v>8326</v>
      </c>
      <c r="AA1866" t="s">
        <v>30172</v>
      </c>
      <c r="AB1866" t="s">
        <v>30173</v>
      </c>
      <c r="AC1866" t="s">
        <v>30174</v>
      </c>
      <c r="AD1866" t="s">
        <v>30174</v>
      </c>
      <c r="AE1866" t="s">
        <v>30175</v>
      </c>
      <c r="AG1866">
        <v>43</v>
      </c>
      <c r="AH1866">
        <v>8</v>
      </c>
      <c r="AI1866">
        <v>8</v>
      </c>
      <c r="AJ1866">
        <v>0</v>
      </c>
      <c r="AK1866">
        <v>24</v>
      </c>
      <c r="AL1866" t="s">
        <v>285</v>
      </c>
      <c r="AM1866" t="s">
        <v>286</v>
      </c>
      <c r="AN1866" t="s">
        <v>287</v>
      </c>
      <c r="AO1866" t="s">
        <v>5605</v>
      </c>
      <c r="AP1866" t="s">
        <v>5606</v>
      </c>
      <c r="AR1866" t="s">
        <v>5607</v>
      </c>
      <c r="AS1866" t="s">
        <v>5608</v>
      </c>
      <c r="AT1866" t="s">
        <v>8329</v>
      </c>
      <c r="AU1866">
        <v>2012</v>
      </c>
      <c r="AV1866">
        <v>113</v>
      </c>
      <c r="AZ1866" t="s">
        <v>225</v>
      </c>
      <c r="BB1866">
        <v>96</v>
      </c>
      <c r="BC1866">
        <v>104</v>
      </c>
      <c r="BE1866" t="s">
        <v>30176</v>
      </c>
      <c r="BF1866" t="s">
        <v>30177</v>
      </c>
      <c r="BI1866">
        <v>9</v>
      </c>
      <c r="BJ1866" t="s">
        <v>4241</v>
      </c>
      <c r="BK1866" t="s">
        <v>96</v>
      </c>
      <c r="BL1866" t="s">
        <v>4241</v>
      </c>
      <c r="BM1866" t="s">
        <v>8331</v>
      </c>
      <c r="BR1866" t="s">
        <v>98</v>
      </c>
      <c r="BS1866" t="s">
        <v>30178</v>
      </c>
      <c r="BT1866" t="s">
        <v>16602</v>
      </c>
    </row>
    <row r="1867" spans="1:72">
      <c r="A1867" t="s">
        <v>72</v>
      </c>
      <c r="B1867" t="s">
        <v>30179</v>
      </c>
      <c r="F1867" t="s">
        <v>30180</v>
      </c>
      <c r="I1867" t="s">
        <v>30181</v>
      </c>
      <c r="J1867" t="s">
        <v>641</v>
      </c>
      <c r="M1867" t="s">
        <v>78</v>
      </c>
      <c r="N1867" t="s">
        <v>79</v>
      </c>
      <c r="T1867" t="s">
        <v>30182</v>
      </c>
      <c r="U1867" t="s">
        <v>30183</v>
      </c>
      <c r="V1867" t="s">
        <v>30184</v>
      </c>
      <c r="W1867" t="s">
        <v>30185</v>
      </c>
      <c r="X1867" t="s">
        <v>18401</v>
      </c>
      <c r="Y1867" t="s">
        <v>30186</v>
      </c>
      <c r="Z1867" t="s">
        <v>30187</v>
      </c>
      <c r="AA1867" t="s">
        <v>30188</v>
      </c>
      <c r="AB1867" t="s">
        <v>30189</v>
      </c>
      <c r="AG1867">
        <v>20</v>
      </c>
      <c r="AH1867">
        <v>9</v>
      </c>
      <c r="AI1867">
        <v>11</v>
      </c>
      <c r="AJ1867">
        <v>0</v>
      </c>
      <c r="AK1867">
        <v>7</v>
      </c>
      <c r="AL1867" t="s">
        <v>919</v>
      </c>
      <c r="AM1867" t="s">
        <v>651</v>
      </c>
      <c r="AN1867" t="s">
        <v>920</v>
      </c>
      <c r="AO1867" t="s">
        <v>653</v>
      </c>
      <c r="AP1867" t="s">
        <v>654</v>
      </c>
      <c r="AR1867" t="s">
        <v>655</v>
      </c>
      <c r="AS1867" t="s">
        <v>656</v>
      </c>
      <c r="AT1867" t="s">
        <v>30190</v>
      </c>
      <c r="AU1867">
        <v>2008</v>
      </c>
      <c r="AV1867">
        <v>86</v>
      </c>
      <c r="AW1867">
        <v>4</v>
      </c>
      <c r="BB1867">
        <v>508</v>
      </c>
      <c r="BC1867">
        <v>513</v>
      </c>
      <c r="BE1867" t="s">
        <v>30191</v>
      </c>
      <c r="BF1867" t="s">
        <v>30192</v>
      </c>
      <c r="BI1867">
        <v>6</v>
      </c>
      <c r="BJ1867" t="s">
        <v>659</v>
      </c>
      <c r="BK1867" t="s">
        <v>96</v>
      </c>
      <c r="BL1867" t="s">
        <v>659</v>
      </c>
      <c r="BM1867" t="s">
        <v>30193</v>
      </c>
      <c r="BN1867">
        <v>18276021</v>
      </c>
      <c r="BR1867" t="s">
        <v>98</v>
      </c>
      <c r="BS1867" t="s">
        <v>30194</v>
      </c>
      <c r="BT1867" t="s">
        <v>16602</v>
      </c>
    </row>
    <row r="1868" spans="1:72">
      <c r="A1868" t="s">
        <v>72</v>
      </c>
      <c r="B1868" t="s">
        <v>30195</v>
      </c>
      <c r="F1868" t="s">
        <v>30196</v>
      </c>
      <c r="I1868" t="s">
        <v>30197</v>
      </c>
      <c r="J1868" t="s">
        <v>30198</v>
      </c>
      <c r="M1868" t="s">
        <v>78</v>
      </c>
      <c r="N1868" t="s">
        <v>79</v>
      </c>
      <c r="T1868" t="s">
        <v>30199</v>
      </c>
      <c r="U1868" t="s">
        <v>1364</v>
      </c>
      <c r="V1868" t="s">
        <v>30200</v>
      </c>
      <c r="W1868" t="s">
        <v>30201</v>
      </c>
      <c r="Y1868" t="s">
        <v>30202</v>
      </c>
      <c r="Z1868" t="s">
        <v>30203</v>
      </c>
      <c r="AG1868">
        <v>21</v>
      </c>
      <c r="AH1868">
        <v>0</v>
      </c>
      <c r="AI1868">
        <v>0</v>
      </c>
      <c r="AJ1868">
        <v>0</v>
      </c>
      <c r="AK1868">
        <v>0</v>
      </c>
      <c r="AL1868" t="s">
        <v>30204</v>
      </c>
      <c r="AM1868" t="s">
        <v>30205</v>
      </c>
      <c r="AN1868" t="s">
        <v>30206</v>
      </c>
      <c r="AO1868" t="s">
        <v>30207</v>
      </c>
      <c r="AR1868" t="s">
        <v>30208</v>
      </c>
      <c r="AS1868" t="s">
        <v>30209</v>
      </c>
      <c r="AT1868" t="s">
        <v>4410</v>
      </c>
      <c r="AU1868">
        <v>2009</v>
      </c>
      <c r="AV1868">
        <v>56</v>
      </c>
      <c r="AW1868">
        <v>1</v>
      </c>
      <c r="BB1868">
        <v>27</v>
      </c>
      <c r="BC1868">
        <v>32</v>
      </c>
      <c r="BI1868">
        <v>6</v>
      </c>
      <c r="BJ1868" t="s">
        <v>746</v>
      </c>
      <c r="BK1868" t="s">
        <v>96</v>
      </c>
      <c r="BL1868" t="s">
        <v>746</v>
      </c>
      <c r="BM1868" t="s">
        <v>30210</v>
      </c>
      <c r="BR1868" t="s">
        <v>98</v>
      </c>
      <c r="BS1868" t="s">
        <v>30211</v>
      </c>
      <c r="BT1868" t="s">
        <v>16602</v>
      </c>
    </row>
    <row r="1869" spans="1:72">
      <c r="A1869" t="s">
        <v>72</v>
      </c>
      <c r="B1869" t="s">
        <v>30212</v>
      </c>
      <c r="F1869" t="s">
        <v>30212</v>
      </c>
      <c r="I1869" t="s">
        <v>30213</v>
      </c>
      <c r="J1869" t="s">
        <v>495</v>
      </c>
      <c r="M1869" t="s">
        <v>78</v>
      </c>
      <c r="N1869" t="s">
        <v>79</v>
      </c>
      <c r="T1869" t="s">
        <v>30214</v>
      </c>
      <c r="U1869" t="s">
        <v>30215</v>
      </c>
      <c r="V1869" t="s">
        <v>30216</v>
      </c>
      <c r="W1869" t="s">
        <v>30217</v>
      </c>
      <c r="X1869" t="s">
        <v>30218</v>
      </c>
      <c r="Y1869" t="s">
        <v>30219</v>
      </c>
      <c r="AG1869">
        <v>11</v>
      </c>
      <c r="AH1869">
        <v>0</v>
      </c>
      <c r="AI1869">
        <v>0</v>
      </c>
      <c r="AJ1869">
        <v>0</v>
      </c>
      <c r="AK1869">
        <v>6</v>
      </c>
      <c r="AL1869" t="s">
        <v>504</v>
      </c>
      <c r="AM1869" t="s">
        <v>505</v>
      </c>
      <c r="AN1869" t="s">
        <v>506</v>
      </c>
      <c r="AO1869" t="s">
        <v>507</v>
      </c>
      <c r="AR1869" t="s">
        <v>508</v>
      </c>
      <c r="AS1869" t="s">
        <v>509</v>
      </c>
      <c r="AT1869" t="s">
        <v>197</v>
      </c>
      <c r="AU1869">
        <v>2002</v>
      </c>
      <c r="AV1869">
        <v>11</v>
      </c>
      <c r="AW1869" t="s">
        <v>30220</v>
      </c>
      <c r="AZ1869" t="s">
        <v>225</v>
      </c>
      <c r="BB1869">
        <v>1042</v>
      </c>
      <c r="BC1869">
        <v>1047</v>
      </c>
      <c r="BI1869">
        <v>6</v>
      </c>
      <c r="BJ1869" t="s">
        <v>144</v>
      </c>
      <c r="BK1869" t="s">
        <v>96</v>
      </c>
      <c r="BL1869" t="s">
        <v>145</v>
      </c>
      <c r="BM1869" t="s">
        <v>30221</v>
      </c>
      <c r="BR1869" t="s">
        <v>98</v>
      </c>
      <c r="BS1869" t="s">
        <v>30222</v>
      </c>
      <c r="BT1869" t="s">
        <v>16602</v>
      </c>
    </row>
    <row r="1870" spans="1:72">
      <c r="A1870" t="s">
        <v>72</v>
      </c>
      <c r="B1870" t="s">
        <v>30223</v>
      </c>
      <c r="F1870" t="s">
        <v>30224</v>
      </c>
      <c r="I1870" t="s">
        <v>30225</v>
      </c>
      <c r="J1870" t="s">
        <v>14296</v>
      </c>
      <c r="M1870" t="s">
        <v>78</v>
      </c>
      <c r="N1870" t="s">
        <v>79</v>
      </c>
      <c r="T1870" t="s">
        <v>30226</v>
      </c>
      <c r="U1870" t="s">
        <v>30227</v>
      </c>
      <c r="V1870" t="s">
        <v>30228</v>
      </c>
      <c r="W1870" t="s">
        <v>30229</v>
      </c>
      <c r="X1870" t="s">
        <v>30230</v>
      </c>
      <c r="Y1870" t="s">
        <v>30231</v>
      </c>
      <c r="Z1870" t="s">
        <v>30232</v>
      </c>
      <c r="AA1870" t="s">
        <v>30233</v>
      </c>
      <c r="AB1870" t="s">
        <v>30234</v>
      </c>
      <c r="AC1870" t="s">
        <v>30235</v>
      </c>
      <c r="AD1870" t="s">
        <v>30236</v>
      </c>
      <c r="AE1870" t="s">
        <v>30237</v>
      </c>
      <c r="AG1870">
        <v>55</v>
      </c>
      <c r="AH1870">
        <v>14</v>
      </c>
      <c r="AI1870">
        <v>14</v>
      </c>
      <c r="AJ1870">
        <v>0</v>
      </c>
      <c r="AK1870">
        <v>32</v>
      </c>
      <c r="AL1870" t="s">
        <v>14308</v>
      </c>
      <c r="AM1870" t="s">
        <v>14309</v>
      </c>
      <c r="AN1870" t="s">
        <v>14310</v>
      </c>
      <c r="AO1870" t="s">
        <v>14311</v>
      </c>
      <c r="AP1870" t="s">
        <v>14312</v>
      </c>
      <c r="AR1870" t="s">
        <v>14313</v>
      </c>
      <c r="AS1870" t="s">
        <v>14314</v>
      </c>
      <c r="AT1870" t="s">
        <v>1223</v>
      </c>
      <c r="AU1870">
        <v>2016</v>
      </c>
      <c r="AV1870">
        <v>80</v>
      </c>
      <c r="AW1870">
        <v>1</v>
      </c>
      <c r="BB1870">
        <v>111</v>
      </c>
      <c r="BC1870">
        <v>122</v>
      </c>
      <c r="BE1870" t="s">
        <v>30238</v>
      </c>
      <c r="BF1870" t="s">
        <v>30239</v>
      </c>
      <c r="BI1870">
        <v>12</v>
      </c>
      <c r="BJ1870" t="s">
        <v>680</v>
      </c>
      <c r="BK1870" t="s">
        <v>96</v>
      </c>
      <c r="BL1870" t="s">
        <v>680</v>
      </c>
      <c r="BM1870" t="s">
        <v>30240</v>
      </c>
      <c r="BO1870" t="s">
        <v>5306</v>
      </c>
      <c r="BR1870" t="s">
        <v>98</v>
      </c>
      <c r="BS1870" t="s">
        <v>30241</v>
      </c>
      <c r="BT1870" t="s">
        <v>16602</v>
      </c>
    </row>
    <row r="1871" spans="1:72">
      <c r="A1871" t="s">
        <v>72</v>
      </c>
      <c r="B1871" t="s">
        <v>30242</v>
      </c>
      <c r="F1871" t="s">
        <v>30242</v>
      </c>
      <c r="I1871" t="s">
        <v>30243</v>
      </c>
      <c r="J1871" t="s">
        <v>1097</v>
      </c>
      <c r="M1871" t="s">
        <v>78</v>
      </c>
      <c r="N1871" t="s">
        <v>79</v>
      </c>
      <c r="U1871" t="s">
        <v>30244</v>
      </c>
      <c r="V1871" t="s">
        <v>30245</v>
      </c>
      <c r="Y1871" t="s">
        <v>30246</v>
      </c>
      <c r="AG1871">
        <v>49</v>
      </c>
      <c r="AH1871">
        <v>41</v>
      </c>
      <c r="AI1871">
        <v>44</v>
      </c>
      <c r="AJ1871">
        <v>1</v>
      </c>
      <c r="AK1871">
        <v>13</v>
      </c>
      <c r="AL1871" t="s">
        <v>6584</v>
      </c>
      <c r="AM1871" t="s">
        <v>113</v>
      </c>
      <c r="AN1871" t="s">
        <v>6585</v>
      </c>
      <c r="AO1871" t="s">
        <v>1100</v>
      </c>
      <c r="AR1871" t="s">
        <v>1102</v>
      </c>
      <c r="AS1871" t="s">
        <v>1103</v>
      </c>
      <c r="AT1871" t="s">
        <v>1223</v>
      </c>
      <c r="AU1871">
        <v>1993</v>
      </c>
      <c r="AV1871">
        <v>115</v>
      </c>
      <c r="AW1871">
        <v>3</v>
      </c>
      <c r="BB1871">
        <v>435</v>
      </c>
      <c r="BC1871">
        <v>444</v>
      </c>
      <c r="BE1871" t="s">
        <v>30247</v>
      </c>
      <c r="BF1871" t="s">
        <v>30248</v>
      </c>
      <c r="BI1871">
        <v>10</v>
      </c>
      <c r="BJ1871" t="s">
        <v>680</v>
      </c>
      <c r="BK1871" t="s">
        <v>96</v>
      </c>
      <c r="BL1871" t="s">
        <v>680</v>
      </c>
      <c r="BM1871" t="s">
        <v>30249</v>
      </c>
      <c r="BR1871" t="s">
        <v>98</v>
      </c>
      <c r="BS1871" t="s">
        <v>30250</v>
      </c>
      <c r="BT1871" t="s">
        <v>16602</v>
      </c>
    </row>
    <row r="1872" spans="1:72">
      <c r="A1872" t="s">
        <v>72</v>
      </c>
      <c r="B1872" t="s">
        <v>30251</v>
      </c>
      <c r="F1872" t="s">
        <v>30252</v>
      </c>
      <c r="I1872" t="s">
        <v>30253</v>
      </c>
      <c r="J1872" t="s">
        <v>641</v>
      </c>
      <c r="M1872" t="s">
        <v>78</v>
      </c>
      <c r="N1872" t="s">
        <v>79</v>
      </c>
      <c r="T1872" t="s">
        <v>30254</v>
      </c>
      <c r="U1872" t="s">
        <v>30255</v>
      </c>
      <c r="V1872" t="s">
        <v>30256</v>
      </c>
      <c r="W1872" t="s">
        <v>30257</v>
      </c>
      <c r="X1872" t="s">
        <v>9919</v>
      </c>
      <c r="Y1872" t="s">
        <v>30258</v>
      </c>
      <c r="Z1872" t="s">
        <v>30259</v>
      </c>
      <c r="AA1872" t="s">
        <v>30260</v>
      </c>
      <c r="AB1872" t="s">
        <v>30261</v>
      </c>
      <c r="AC1872" t="s">
        <v>30262</v>
      </c>
      <c r="AD1872" t="s">
        <v>30263</v>
      </c>
      <c r="AE1872" t="s">
        <v>30264</v>
      </c>
      <c r="AG1872">
        <v>70</v>
      </c>
      <c r="AH1872">
        <v>18</v>
      </c>
      <c r="AI1872">
        <v>19</v>
      </c>
      <c r="AJ1872">
        <v>3</v>
      </c>
      <c r="AK1872">
        <v>47</v>
      </c>
      <c r="AL1872" t="s">
        <v>919</v>
      </c>
      <c r="AM1872" t="s">
        <v>651</v>
      </c>
      <c r="AN1872" t="s">
        <v>920</v>
      </c>
      <c r="AO1872" t="s">
        <v>653</v>
      </c>
      <c r="AP1872" t="s">
        <v>654</v>
      </c>
      <c r="AR1872" t="s">
        <v>655</v>
      </c>
      <c r="AS1872" t="s">
        <v>656</v>
      </c>
      <c r="AT1872" t="s">
        <v>224</v>
      </c>
      <c r="AU1872">
        <v>2015</v>
      </c>
      <c r="AV1872">
        <v>159</v>
      </c>
      <c r="BB1872">
        <v>36</v>
      </c>
      <c r="BC1872">
        <v>43</v>
      </c>
      <c r="BE1872" t="s">
        <v>30265</v>
      </c>
      <c r="BF1872" t="s">
        <v>30266</v>
      </c>
      <c r="BI1872">
        <v>8</v>
      </c>
      <c r="BJ1872" t="s">
        <v>659</v>
      </c>
      <c r="BK1872" t="s">
        <v>96</v>
      </c>
      <c r="BL1872" t="s">
        <v>659</v>
      </c>
      <c r="BM1872" t="s">
        <v>30267</v>
      </c>
      <c r="BN1872">
        <v>25498420</v>
      </c>
      <c r="BR1872" t="s">
        <v>98</v>
      </c>
      <c r="BS1872" t="s">
        <v>30268</v>
      </c>
      <c r="BT1872" t="s">
        <v>16602</v>
      </c>
    </row>
    <row r="1873" spans="1:72">
      <c r="A1873" t="s">
        <v>72</v>
      </c>
      <c r="B1873" t="s">
        <v>30269</v>
      </c>
      <c r="F1873" t="s">
        <v>30269</v>
      </c>
      <c r="I1873" t="s">
        <v>30270</v>
      </c>
      <c r="J1873" t="s">
        <v>232</v>
      </c>
      <c r="M1873" t="s">
        <v>78</v>
      </c>
      <c r="N1873" t="s">
        <v>79</v>
      </c>
      <c r="V1873" t="s">
        <v>30271</v>
      </c>
      <c r="W1873" t="s">
        <v>30272</v>
      </c>
      <c r="X1873" t="s">
        <v>30273</v>
      </c>
      <c r="Y1873" t="s">
        <v>30274</v>
      </c>
      <c r="AG1873">
        <v>7</v>
      </c>
      <c r="AH1873">
        <v>85</v>
      </c>
      <c r="AI1873">
        <v>90</v>
      </c>
      <c r="AJ1873">
        <v>0</v>
      </c>
      <c r="AK1873">
        <v>2</v>
      </c>
      <c r="AL1873" t="s">
        <v>136</v>
      </c>
      <c r="AM1873" t="s">
        <v>137</v>
      </c>
      <c r="AN1873" t="s">
        <v>138</v>
      </c>
      <c r="AO1873" t="s">
        <v>240</v>
      </c>
      <c r="AP1873" t="s">
        <v>241</v>
      </c>
      <c r="AR1873" t="s">
        <v>242</v>
      </c>
      <c r="AS1873" t="s">
        <v>243</v>
      </c>
      <c r="AU1873">
        <v>1979</v>
      </c>
      <c r="AV1873">
        <v>10</v>
      </c>
      <c r="AW1873">
        <v>6</v>
      </c>
      <c r="BB1873">
        <v>174</v>
      </c>
      <c r="BC1873">
        <v>176</v>
      </c>
      <c r="BE1873" t="s">
        <v>30275</v>
      </c>
      <c r="BF1873" t="s">
        <v>30276</v>
      </c>
      <c r="BI1873">
        <v>3</v>
      </c>
      <c r="BJ1873" t="s">
        <v>247</v>
      </c>
      <c r="BK1873" t="s">
        <v>96</v>
      </c>
      <c r="BL1873" t="s">
        <v>248</v>
      </c>
      <c r="BM1873" t="s">
        <v>30277</v>
      </c>
      <c r="BR1873" t="s">
        <v>98</v>
      </c>
      <c r="BS1873" t="s">
        <v>30278</v>
      </c>
      <c r="BT1873" t="s">
        <v>16602</v>
      </c>
    </row>
    <row r="1874" spans="1:72">
      <c r="A1874" t="s">
        <v>72</v>
      </c>
      <c r="B1874" t="s">
        <v>30279</v>
      </c>
      <c r="F1874" t="s">
        <v>30280</v>
      </c>
      <c r="I1874" t="s">
        <v>30281</v>
      </c>
      <c r="J1874" t="s">
        <v>12919</v>
      </c>
      <c r="M1874" t="s">
        <v>78</v>
      </c>
      <c r="N1874" t="s">
        <v>79</v>
      </c>
      <c r="T1874" t="s">
        <v>30282</v>
      </c>
      <c r="U1874" t="s">
        <v>30283</v>
      </c>
      <c r="V1874" t="s">
        <v>30284</v>
      </c>
      <c r="W1874" t="s">
        <v>30285</v>
      </c>
      <c r="X1874" t="s">
        <v>30286</v>
      </c>
      <c r="Y1874" t="s">
        <v>30287</v>
      </c>
      <c r="Z1874" t="s">
        <v>30288</v>
      </c>
      <c r="AA1874" t="s">
        <v>30289</v>
      </c>
      <c r="AB1874" t="s">
        <v>30290</v>
      </c>
      <c r="AC1874" t="s">
        <v>30291</v>
      </c>
      <c r="AD1874" t="s">
        <v>30292</v>
      </c>
      <c r="AE1874" t="s">
        <v>30293</v>
      </c>
      <c r="AG1874">
        <v>69</v>
      </c>
      <c r="AH1874">
        <v>2</v>
      </c>
      <c r="AI1874">
        <v>2</v>
      </c>
      <c r="AJ1874">
        <v>0</v>
      </c>
      <c r="AK1874">
        <v>27</v>
      </c>
      <c r="AL1874" t="s">
        <v>112</v>
      </c>
      <c r="AM1874" t="s">
        <v>113</v>
      </c>
      <c r="AN1874" t="s">
        <v>114</v>
      </c>
      <c r="AO1874" t="s">
        <v>12928</v>
      </c>
      <c r="AP1874" t="s">
        <v>12929</v>
      </c>
      <c r="AR1874" t="s">
        <v>12930</v>
      </c>
      <c r="AS1874" t="s">
        <v>12931</v>
      </c>
      <c r="AT1874" t="s">
        <v>142</v>
      </c>
      <c r="AU1874">
        <v>2020</v>
      </c>
      <c r="AV1874">
        <v>22</v>
      </c>
      <c r="AW1874">
        <v>3</v>
      </c>
      <c r="BB1874">
        <v>411</v>
      </c>
      <c r="BC1874">
        <v>422</v>
      </c>
      <c r="BE1874" t="s">
        <v>30294</v>
      </c>
      <c r="BF1874" t="s">
        <v>30295</v>
      </c>
      <c r="BH1874" t="s">
        <v>2641</v>
      </c>
      <c r="BI1874">
        <v>12</v>
      </c>
      <c r="BJ1874" t="s">
        <v>12933</v>
      </c>
      <c r="BK1874" t="s">
        <v>96</v>
      </c>
      <c r="BL1874" t="s">
        <v>12933</v>
      </c>
      <c r="BM1874" t="s">
        <v>30296</v>
      </c>
      <c r="BN1874">
        <v>32240431</v>
      </c>
      <c r="BR1874" t="s">
        <v>98</v>
      </c>
      <c r="BS1874" t="s">
        <v>30297</v>
      </c>
      <c r="BT1874" t="s">
        <v>16602</v>
      </c>
    </row>
    <row r="1875" spans="1:72">
      <c r="A1875" t="s">
        <v>72</v>
      </c>
      <c r="B1875" t="s">
        <v>30298</v>
      </c>
      <c r="F1875" t="s">
        <v>30299</v>
      </c>
      <c r="I1875" t="s">
        <v>30300</v>
      </c>
      <c r="J1875" t="s">
        <v>30301</v>
      </c>
      <c r="M1875" t="s">
        <v>78</v>
      </c>
      <c r="N1875" t="s">
        <v>79</v>
      </c>
      <c r="T1875" t="s">
        <v>30302</v>
      </c>
      <c r="U1875" t="s">
        <v>30303</v>
      </c>
      <c r="V1875" t="s">
        <v>30304</v>
      </c>
      <c r="W1875" t="s">
        <v>30305</v>
      </c>
      <c r="X1875" t="s">
        <v>30306</v>
      </c>
      <c r="Y1875" t="s">
        <v>30307</v>
      </c>
      <c r="Z1875" t="s">
        <v>985</v>
      </c>
      <c r="AA1875" t="s">
        <v>30308</v>
      </c>
      <c r="AB1875" t="s">
        <v>30309</v>
      </c>
      <c r="AC1875" t="s">
        <v>30310</v>
      </c>
      <c r="AD1875" t="s">
        <v>30311</v>
      </c>
      <c r="AE1875" t="s">
        <v>30312</v>
      </c>
      <c r="AG1875">
        <v>76</v>
      </c>
      <c r="AH1875">
        <v>13</v>
      </c>
      <c r="AI1875">
        <v>13</v>
      </c>
      <c r="AJ1875">
        <v>0</v>
      </c>
      <c r="AK1875">
        <v>20</v>
      </c>
      <c r="AL1875" t="s">
        <v>650</v>
      </c>
      <c r="AM1875" t="s">
        <v>651</v>
      </c>
      <c r="AN1875" t="s">
        <v>652</v>
      </c>
      <c r="AO1875" t="s">
        <v>30313</v>
      </c>
      <c r="AP1875" t="s">
        <v>30314</v>
      </c>
      <c r="AR1875" t="s">
        <v>30315</v>
      </c>
      <c r="AS1875" t="s">
        <v>30316</v>
      </c>
      <c r="AT1875" t="s">
        <v>951</v>
      </c>
      <c r="AU1875">
        <v>2021</v>
      </c>
      <c r="AV1875">
        <v>28</v>
      </c>
      <c r="AW1875">
        <v>11</v>
      </c>
      <c r="BB1875">
        <v>6365</v>
      </c>
      <c r="BC1875">
        <v>6374</v>
      </c>
      <c r="BE1875" t="s">
        <v>30317</v>
      </c>
      <c r="BF1875" t="s">
        <v>30318</v>
      </c>
      <c r="BH1875" t="s">
        <v>2170</v>
      </c>
      <c r="BI1875">
        <v>10</v>
      </c>
      <c r="BJ1875" t="s">
        <v>171</v>
      </c>
      <c r="BK1875" t="s">
        <v>96</v>
      </c>
      <c r="BL1875" t="s">
        <v>173</v>
      </c>
      <c r="BM1875" t="s">
        <v>30319</v>
      </c>
      <c r="BN1875">
        <v>34764754</v>
      </c>
      <c r="BO1875" t="s">
        <v>2155</v>
      </c>
      <c r="BR1875" t="s">
        <v>98</v>
      </c>
      <c r="BS1875" t="s">
        <v>30320</v>
      </c>
      <c r="BT1875" t="s">
        <v>16602</v>
      </c>
    </row>
    <row r="1876" spans="1:72">
      <c r="A1876" t="s">
        <v>72</v>
      </c>
      <c r="B1876" t="s">
        <v>30321</v>
      </c>
      <c r="F1876" t="s">
        <v>30321</v>
      </c>
      <c r="I1876" t="s">
        <v>30322</v>
      </c>
      <c r="J1876" t="s">
        <v>554</v>
      </c>
      <c r="M1876" t="s">
        <v>78</v>
      </c>
      <c r="N1876" t="s">
        <v>79</v>
      </c>
      <c r="T1876" t="s">
        <v>30323</v>
      </c>
      <c r="U1876" t="s">
        <v>30324</v>
      </c>
      <c r="V1876" t="s">
        <v>30325</v>
      </c>
      <c r="W1876" t="s">
        <v>30326</v>
      </c>
      <c r="X1876" t="s">
        <v>30327</v>
      </c>
      <c r="Y1876" t="s">
        <v>30328</v>
      </c>
      <c r="Z1876" t="s">
        <v>3619</v>
      </c>
      <c r="AA1876" t="s">
        <v>30329</v>
      </c>
      <c r="AB1876" t="s">
        <v>30330</v>
      </c>
      <c r="AG1876">
        <v>41</v>
      </c>
      <c r="AH1876">
        <v>74</v>
      </c>
      <c r="AI1876">
        <v>88</v>
      </c>
      <c r="AJ1876">
        <v>0</v>
      </c>
      <c r="AK1876">
        <v>11</v>
      </c>
      <c r="AL1876" t="s">
        <v>564</v>
      </c>
      <c r="AM1876" t="s">
        <v>113</v>
      </c>
      <c r="AN1876" t="s">
        <v>807</v>
      </c>
      <c r="AO1876" t="s">
        <v>566</v>
      </c>
      <c r="AP1876" t="s">
        <v>567</v>
      </c>
      <c r="AR1876" t="s">
        <v>568</v>
      </c>
      <c r="AS1876" t="s">
        <v>569</v>
      </c>
      <c r="AT1876" t="s">
        <v>170</v>
      </c>
      <c r="AU1876">
        <v>2006</v>
      </c>
      <c r="AV1876">
        <v>143</v>
      </c>
      <c r="AW1876">
        <v>1</v>
      </c>
      <c r="BB1876">
        <v>23</v>
      </c>
      <c r="BC1876">
        <v>29</v>
      </c>
      <c r="BE1876" t="s">
        <v>30331</v>
      </c>
      <c r="BF1876" t="s">
        <v>30332</v>
      </c>
      <c r="BI1876">
        <v>7</v>
      </c>
      <c r="BJ1876" t="s">
        <v>571</v>
      </c>
      <c r="BK1876" t="s">
        <v>96</v>
      </c>
      <c r="BL1876" t="s">
        <v>571</v>
      </c>
      <c r="BM1876" t="s">
        <v>30333</v>
      </c>
      <c r="BN1876">
        <v>16413830</v>
      </c>
      <c r="BR1876" t="s">
        <v>98</v>
      </c>
      <c r="BS1876" t="s">
        <v>30334</v>
      </c>
      <c r="BT1876" t="s">
        <v>16602</v>
      </c>
    </row>
    <row r="1877" spans="1:72">
      <c r="A1877" t="s">
        <v>72</v>
      </c>
      <c r="B1877" t="s">
        <v>30335</v>
      </c>
      <c r="F1877" t="s">
        <v>30336</v>
      </c>
      <c r="I1877" t="s">
        <v>30337</v>
      </c>
      <c r="J1877" t="s">
        <v>909</v>
      </c>
      <c r="M1877" t="s">
        <v>78</v>
      </c>
      <c r="N1877" t="s">
        <v>79</v>
      </c>
      <c r="T1877" t="s">
        <v>30338</v>
      </c>
      <c r="U1877" t="s">
        <v>30339</v>
      </c>
      <c r="V1877" t="s">
        <v>30340</v>
      </c>
      <c r="W1877" t="s">
        <v>30341</v>
      </c>
      <c r="X1877" t="s">
        <v>30342</v>
      </c>
      <c r="Y1877" t="s">
        <v>28527</v>
      </c>
      <c r="Z1877" t="s">
        <v>19094</v>
      </c>
      <c r="AA1877" t="s">
        <v>30343</v>
      </c>
      <c r="AB1877" t="s">
        <v>30344</v>
      </c>
      <c r="AC1877" t="s">
        <v>30345</v>
      </c>
      <c r="AD1877" t="s">
        <v>22837</v>
      </c>
      <c r="AE1877" t="s">
        <v>30346</v>
      </c>
      <c r="AG1877">
        <v>34</v>
      </c>
      <c r="AH1877">
        <v>79</v>
      </c>
      <c r="AI1877">
        <v>87</v>
      </c>
      <c r="AJ1877">
        <v>1</v>
      </c>
      <c r="AK1877">
        <v>121</v>
      </c>
      <c r="AL1877" t="s">
        <v>919</v>
      </c>
      <c r="AM1877" t="s">
        <v>651</v>
      </c>
      <c r="AN1877" t="s">
        <v>920</v>
      </c>
      <c r="AO1877" t="s">
        <v>921</v>
      </c>
      <c r="AP1877" t="s">
        <v>922</v>
      </c>
      <c r="AR1877" t="s">
        <v>923</v>
      </c>
      <c r="AS1877" t="s">
        <v>924</v>
      </c>
      <c r="AT1877" t="s">
        <v>3506</v>
      </c>
      <c r="AU1877">
        <v>2014</v>
      </c>
      <c r="AV1877">
        <v>493</v>
      </c>
      <c r="BB1877">
        <v>355</v>
      </c>
      <c r="BC1877">
        <v>364</v>
      </c>
      <c r="BE1877" t="s">
        <v>30347</v>
      </c>
      <c r="BF1877" t="s">
        <v>30348</v>
      </c>
      <c r="BI1877">
        <v>10</v>
      </c>
      <c r="BJ1877" t="s">
        <v>144</v>
      </c>
      <c r="BK1877" t="s">
        <v>96</v>
      </c>
      <c r="BL1877" t="s">
        <v>145</v>
      </c>
      <c r="BM1877" t="s">
        <v>20276</v>
      </c>
      <c r="BN1877">
        <v>24951893</v>
      </c>
      <c r="BR1877" t="s">
        <v>98</v>
      </c>
      <c r="BS1877" t="s">
        <v>30349</v>
      </c>
      <c r="BT1877" t="s">
        <v>16602</v>
      </c>
    </row>
    <row r="1878" spans="1:72">
      <c r="A1878" t="s">
        <v>72</v>
      </c>
      <c r="B1878" t="s">
        <v>30350</v>
      </c>
      <c r="F1878" t="s">
        <v>30351</v>
      </c>
      <c r="I1878" t="s">
        <v>30352</v>
      </c>
      <c r="J1878" t="s">
        <v>232</v>
      </c>
      <c r="M1878" t="s">
        <v>78</v>
      </c>
      <c r="N1878" t="s">
        <v>79</v>
      </c>
      <c r="U1878" t="s">
        <v>30353</v>
      </c>
      <c r="W1878" t="s">
        <v>30354</v>
      </c>
      <c r="X1878" t="s">
        <v>30355</v>
      </c>
      <c r="Y1878" t="s">
        <v>30356</v>
      </c>
      <c r="Z1878" t="s">
        <v>30357</v>
      </c>
      <c r="AA1878" t="s">
        <v>30358</v>
      </c>
      <c r="AB1878" t="s">
        <v>30359</v>
      </c>
      <c r="AG1878">
        <v>73</v>
      </c>
      <c r="AH1878">
        <v>77</v>
      </c>
      <c r="AI1878">
        <v>89</v>
      </c>
      <c r="AJ1878">
        <v>2</v>
      </c>
      <c r="AK1878">
        <v>46</v>
      </c>
      <c r="AL1878" t="s">
        <v>136</v>
      </c>
      <c r="AM1878" t="s">
        <v>137</v>
      </c>
      <c r="AN1878" t="s">
        <v>138</v>
      </c>
      <c r="AO1878" t="s">
        <v>240</v>
      </c>
      <c r="AP1878" t="s">
        <v>241</v>
      </c>
      <c r="AR1878" t="s">
        <v>242</v>
      </c>
      <c r="AS1878" t="s">
        <v>243</v>
      </c>
      <c r="AT1878" t="s">
        <v>1470</v>
      </c>
      <c r="AU1878">
        <v>2008</v>
      </c>
      <c r="AV1878">
        <v>56</v>
      </c>
      <c r="AW1878">
        <v>1</v>
      </c>
      <c r="BB1878">
        <v>136</v>
      </c>
      <c r="BC1878">
        <v>149</v>
      </c>
      <c r="BE1878" t="s">
        <v>30360</v>
      </c>
      <c r="BF1878" t="s">
        <v>30361</v>
      </c>
      <c r="BI1878">
        <v>14</v>
      </c>
      <c r="BJ1878" t="s">
        <v>247</v>
      </c>
      <c r="BK1878" t="s">
        <v>96</v>
      </c>
      <c r="BL1878" t="s">
        <v>248</v>
      </c>
      <c r="BM1878" t="s">
        <v>30362</v>
      </c>
      <c r="BN1878">
        <v>18068734</v>
      </c>
      <c r="BR1878" t="s">
        <v>98</v>
      </c>
      <c r="BS1878" t="s">
        <v>30363</v>
      </c>
      <c r="BT1878" t="s">
        <v>16602</v>
      </c>
    </row>
    <row r="1879" spans="1:72">
      <c r="A1879" t="s">
        <v>72</v>
      </c>
      <c r="B1879" t="s">
        <v>30364</v>
      </c>
      <c r="F1879" t="s">
        <v>30365</v>
      </c>
      <c r="I1879" t="s">
        <v>30366</v>
      </c>
      <c r="J1879" t="s">
        <v>204</v>
      </c>
      <c r="M1879" t="s">
        <v>78</v>
      </c>
      <c r="N1879" t="s">
        <v>79</v>
      </c>
      <c r="T1879" t="s">
        <v>30367</v>
      </c>
      <c r="U1879" t="s">
        <v>30368</v>
      </c>
      <c r="V1879" t="s">
        <v>30369</v>
      </c>
      <c r="W1879" t="s">
        <v>30370</v>
      </c>
      <c r="X1879" t="s">
        <v>30371</v>
      </c>
      <c r="Y1879" t="s">
        <v>30372</v>
      </c>
      <c r="Z1879" t="s">
        <v>30373</v>
      </c>
      <c r="AA1879" t="s">
        <v>30374</v>
      </c>
      <c r="AB1879" t="s">
        <v>30375</v>
      </c>
      <c r="AC1879" t="s">
        <v>30376</v>
      </c>
      <c r="AD1879" t="s">
        <v>30377</v>
      </c>
      <c r="AE1879" t="s">
        <v>30378</v>
      </c>
      <c r="AG1879">
        <v>41</v>
      </c>
      <c r="AH1879">
        <v>7</v>
      </c>
      <c r="AI1879">
        <v>7</v>
      </c>
      <c r="AJ1879">
        <v>2</v>
      </c>
      <c r="AK1879">
        <v>25</v>
      </c>
      <c r="AL1879" t="s">
        <v>217</v>
      </c>
      <c r="AM1879" t="s">
        <v>218</v>
      </c>
      <c r="AN1879" t="s">
        <v>219</v>
      </c>
      <c r="AO1879" t="s">
        <v>220</v>
      </c>
      <c r="AP1879" t="s">
        <v>221</v>
      </c>
      <c r="AR1879" t="s">
        <v>222</v>
      </c>
      <c r="AS1879" t="s">
        <v>223</v>
      </c>
      <c r="AT1879" t="s">
        <v>765</v>
      </c>
      <c r="AU1879">
        <v>2019</v>
      </c>
      <c r="AV1879">
        <v>26</v>
      </c>
      <c r="AW1879">
        <v>20</v>
      </c>
      <c r="AZ1879" t="s">
        <v>225</v>
      </c>
      <c r="BB1879">
        <v>20428</v>
      </c>
      <c r="BC1879">
        <v>20438</v>
      </c>
      <c r="BE1879" t="s">
        <v>30379</v>
      </c>
      <c r="BF1879" t="s">
        <v>30380</v>
      </c>
      <c r="BI1879">
        <v>11</v>
      </c>
      <c r="BJ1879" t="s">
        <v>144</v>
      </c>
      <c r="BK1879" t="s">
        <v>96</v>
      </c>
      <c r="BL1879" t="s">
        <v>145</v>
      </c>
      <c r="BM1879" t="s">
        <v>30381</v>
      </c>
      <c r="BN1879">
        <v>31102221</v>
      </c>
      <c r="BR1879" t="s">
        <v>98</v>
      </c>
      <c r="BS1879" t="s">
        <v>30382</v>
      </c>
      <c r="BT1879" t="s">
        <v>16602</v>
      </c>
    </row>
    <row r="1880" spans="1:72">
      <c r="A1880" t="s">
        <v>72</v>
      </c>
      <c r="B1880" t="s">
        <v>30383</v>
      </c>
      <c r="F1880" t="s">
        <v>30384</v>
      </c>
      <c r="I1880" t="s">
        <v>30385</v>
      </c>
      <c r="J1880" t="s">
        <v>232</v>
      </c>
      <c r="M1880" t="s">
        <v>78</v>
      </c>
      <c r="N1880" t="s">
        <v>79</v>
      </c>
      <c r="T1880" t="s">
        <v>30386</v>
      </c>
      <c r="U1880" t="s">
        <v>30387</v>
      </c>
      <c r="V1880" t="s">
        <v>30388</v>
      </c>
      <c r="W1880" t="s">
        <v>30389</v>
      </c>
      <c r="X1880" t="s">
        <v>30390</v>
      </c>
      <c r="Y1880" t="s">
        <v>30391</v>
      </c>
      <c r="Z1880" t="s">
        <v>30392</v>
      </c>
      <c r="AA1880" t="s">
        <v>30393</v>
      </c>
      <c r="AC1880" t="s">
        <v>2757</v>
      </c>
      <c r="AD1880" t="s">
        <v>2757</v>
      </c>
      <c r="AE1880" t="s">
        <v>30394</v>
      </c>
      <c r="AG1880">
        <v>70</v>
      </c>
      <c r="AH1880">
        <v>10</v>
      </c>
      <c r="AI1880">
        <v>10</v>
      </c>
      <c r="AJ1880">
        <v>2</v>
      </c>
      <c r="AK1880">
        <v>18</v>
      </c>
      <c r="AL1880" t="s">
        <v>136</v>
      </c>
      <c r="AM1880" t="s">
        <v>137</v>
      </c>
      <c r="AN1880" t="s">
        <v>138</v>
      </c>
      <c r="AO1880" t="s">
        <v>240</v>
      </c>
      <c r="AP1880" t="s">
        <v>241</v>
      </c>
      <c r="AR1880" t="s">
        <v>242</v>
      </c>
      <c r="AS1880" t="s">
        <v>243</v>
      </c>
      <c r="AT1880" t="s">
        <v>951</v>
      </c>
      <c r="AU1880">
        <v>2021</v>
      </c>
      <c r="AV1880">
        <v>172</v>
      </c>
      <c r="BD1880">
        <v>112877</v>
      </c>
      <c r="BE1880" t="s">
        <v>30395</v>
      </c>
      <c r="BF1880" t="s">
        <v>30396</v>
      </c>
      <c r="BH1880" t="s">
        <v>30397</v>
      </c>
      <c r="BI1880">
        <v>8</v>
      </c>
      <c r="BJ1880" t="s">
        <v>247</v>
      </c>
      <c r="BK1880" t="s">
        <v>96</v>
      </c>
      <c r="BL1880" t="s">
        <v>248</v>
      </c>
      <c r="BM1880" t="s">
        <v>30398</v>
      </c>
      <c r="BN1880">
        <v>34428624</v>
      </c>
      <c r="BR1880" t="s">
        <v>98</v>
      </c>
      <c r="BS1880" t="s">
        <v>30399</v>
      </c>
      <c r="BT1880" t="s">
        <v>16602</v>
      </c>
    </row>
    <row r="1881" spans="1:72">
      <c r="A1881" t="s">
        <v>72</v>
      </c>
      <c r="B1881" t="s">
        <v>30400</v>
      </c>
      <c r="F1881" t="s">
        <v>30400</v>
      </c>
      <c r="I1881" t="s">
        <v>30401</v>
      </c>
      <c r="J1881" t="s">
        <v>30402</v>
      </c>
      <c r="M1881" t="s">
        <v>78</v>
      </c>
      <c r="N1881" t="s">
        <v>79</v>
      </c>
      <c r="T1881" t="s">
        <v>30403</v>
      </c>
      <c r="U1881" t="s">
        <v>30404</v>
      </c>
      <c r="V1881" t="s">
        <v>30405</v>
      </c>
      <c r="Y1881" t="s">
        <v>30406</v>
      </c>
      <c r="AA1881" t="s">
        <v>2808</v>
      </c>
      <c r="AB1881" t="s">
        <v>2809</v>
      </c>
      <c r="AG1881">
        <v>38</v>
      </c>
      <c r="AH1881">
        <v>65</v>
      </c>
      <c r="AI1881">
        <v>68</v>
      </c>
      <c r="AJ1881">
        <v>0</v>
      </c>
      <c r="AK1881">
        <v>8</v>
      </c>
      <c r="AL1881" t="s">
        <v>919</v>
      </c>
      <c r="AM1881" t="s">
        <v>651</v>
      </c>
      <c r="AN1881" t="s">
        <v>920</v>
      </c>
      <c r="AO1881" t="s">
        <v>30407</v>
      </c>
      <c r="AR1881" t="s">
        <v>30408</v>
      </c>
      <c r="AS1881" t="s">
        <v>30409</v>
      </c>
      <c r="AT1881" t="s">
        <v>93</v>
      </c>
      <c r="AU1881">
        <v>1995</v>
      </c>
      <c r="AV1881">
        <v>342</v>
      </c>
      <c r="AW1881" t="s">
        <v>1070</v>
      </c>
      <c r="BB1881">
        <v>125</v>
      </c>
      <c r="BC1881">
        <v>140</v>
      </c>
      <c r="BE1881" t="s">
        <v>30410</v>
      </c>
      <c r="BF1881" t="s">
        <v>30411</v>
      </c>
      <c r="BI1881">
        <v>16</v>
      </c>
      <c r="BJ1881" t="s">
        <v>30412</v>
      </c>
      <c r="BK1881" t="s">
        <v>96</v>
      </c>
      <c r="BL1881" t="s">
        <v>30412</v>
      </c>
      <c r="BM1881" t="s">
        <v>30413</v>
      </c>
      <c r="BN1881">
        <v>7715614</v>
      </c>
      <c r="BR1881" t="s">
        <v>98</v>
      </c>
      <c r="BS1881" t="s">
        <v>30414</v>
      </c>
      <c r="BT1881" t="s">
        <v>16602</v>
      </c>
    </row>
    <row r="1882" spans="1:72">
      <c r="A1882" t="s">
        <v>72</v>
      </c>
      <c r="B1882" t="s">
        <v>30415</v>
      </c>
      <c r="F1882" t="s">
        <v>30416</v>
      </c>
      <c r="I1882" t="s">
        <v>30417</v>
      </c>
      <c r="J1882" t="s">
        <v>232</v>
      </c>
      <c r="M1882" t="s">
        <v>78</v>
      </c>
      <c r="N1882" t="s">
        <v>79</v>
      </c>
      <c r="T1882" t="s">
        <v>30418</v>
      </c>
      <c r="U1882" t="s">
        <v>30419</v>
      </c>
      <c r="V1882" t="s">
        <v>30420</v>
      </c>
      <c r="W1882" t="s">
        <v>30421</v>
      </c>
      <c r="X1882" t="s">
        <v>30422</v>
      </c>
      <c r="Y1882" t="s">
        <v>30423</v>
      </c>
      <c r="Z1882" t="s">
        <v>30424</v>
      </c>
      <c r="AA1882" t="s">
        <v>30425</v>
      </c>
      <c r="AB1882" t="s">
        <v>30426</v>
      </c>
      <c r="AC1882" t="s">
        <v>30427</v>
      </c>
      <c r="AD1882" t="s">
        <v>30428</v>
      </c>
      <c r="AE1882" t="s">
        <v>30429</v>
      </c>
      <c r="AG1882">
        <v>73</v>
      </c>
      <c r="AH1882">
        <v>42</v>
      </c>
      <c r="AI1882">
        <v>42</v>
      </c>
      <c r="AJ1882">
        <v>2</v>
      </c>
      <c r="AK1882">
        <v>36</v>
      </c>
      <c r="AL1882" t="s">
        <v>136</v>
      </c>
      <c r="AM1882" t="s">
        <v>137</v>
      </c>
      <c r="AN1882" t="s">
        <v>138</v>
      </c>
      <c r="AO1882" t="s">
        <v>240</v>
      </c>
      <c r="AP1882" t="s">
        <v>241</v>
      </c>
      <c r="AR1882" t="s">
        <v>242</v>
      </c>
      <c r="AS1882" t="s">
        <v>243</v>
      </c>
      <c r="AT1882" t="s">
        <v>1856</v>
      </c>
      <c r="AU1882">
        <v>2016</v>
      </c>
      <c r="AV1882">
        <v>109</v>
      </c>
      <c r="AW1882">
        <v>1</v>
      </c>
      <c r="BB1882">
        <v>435</v>
      </c>
      <c r="BC1882">
        <v>445</v>
      </c>
      <c r="BE1882" t="s">
        <v>30430</v>
      </c>
      <c r="BF1882" t="s">
        <v>30431</v>
      </c>
      <c r="BI1882">
        <v>11</v>
      </c>
      <c r="BJ1882" t="s">
        <v>247</v>
      </c>
      <c r="BK1882" t="s">
        <v>96</v>
      </c>
      <c r="BL1882" t="s">
        <v>248</v>
      </c>
      <c r="BM1882" t="s">
        <v>28138</v>
      </c>
      <c r="BN1882">
        <v>27210562</v>
      </c>
      <c r="BO1882" t="s">
        <v>1752</v>
      </c>
      <c r="BR1882" t="s">
        <v>98</v>
      </c>
      <c r="BS1882" t="s">
        <v>30432</v>
      </c>
      <c r="BT1882" t="s">
        <v>16602</v>
      </c>
    </row>
    <row r="1883" spans="1:72">
      <c r="A1883" t="s">
        <v>72</v>
      </c>
      <c r="B1883" t="s">
        <v>30433</v>
      </c>
      <c r="F1883" t="s">
        <v>30434</v>
      </c>
      <c r="I1883" t="s">
        <v>30435</v>
      </c>
      <c r="J1883" t="s">
        <v>752</v>
      </c>
      <c r="M1883" t="s">
        <v>78</v>
      </c>
      <c r="N1883" t="s">
        <v>79</v>
      </c>
      <c r="T1883" t="s">
        <v>30436</v>
      </c>
      <c r="U1883" t="s">
        <v>30437</v>
      </c>
      <c r="V1883" t="s">
        <v>30438</v>
      </c>
      <c r="W1883" t="s">
        <v>30439</v>
      </c>
      <c r="X1883" t="s">
        <v>30440</v>
      </c>
      <c r="Y1883" t="s">
        <v>30441</v>
      </c>
      <c r="Z1883" t="s">
        <v>30442</v>
      </c>
      <c r="AA1883" t="s">
        <v>30443</v>
      </c>
      <c r="AC1883" t="s">
        <v>30444</v>
      </c>
      <c r="AD1883" t="s">
        <v>30445</v>
      </c>
      <c r="AE1883" t="s">
        <v>30446</v>
      </c>
      <c r="AG1883">
        <v>174</v>
      </c>
      <c r="AH1883">
        <v>0</v>
      </c>
      <c r="AI1883">
        <v>0</v>
      </c>
      <c r="AJ1883">
        <v>10</v>
      </c>
      <c r="AK1883">
        <v>10</v>
      </c>
      <c r="AL1883" t="s">
        <v>430</v>
      </c>
      <c r="AM1883" t="s">
        <v>7361</v>
      </c>
      <c r="AN1883" t="s">
        <v>7362</v>
      </c>
      <c r="AO1883" t="s">
        <v>761</v>
      </c>
      <c r="AP1883" t="s">
        <v>762</v>
      </c>
      <c r="AR1883" t="s">
        <v>763</v>
      </c>
      <c r="AS1883" t="s">
        <v>764</v>
      </c>
      <c r="AT1883" t="s">
        <v>765</v>
      </c>
      <c r="AU1883">
        <v>2024</v>
      </c>
      <c r="AV1883">
        <v>199</v>
      </c>
      <c r="BD1883">
        <v>106628</v>
      </c>
      <c r="BE1883" t="s">
        <v>30447</v>
      </c>
      <c r="BF1883" t="s">
        <v>30448</v>
      </c>
      <c r="BH1883" t="s">
        <v>5962</v>
      </c>
      <c r="BI1883">
        <v>17</v>
      </c>
      <c r="BJ1883" t="s">
        <v>768</v>
      </c>
      <c r="BK1883" t="s">
        <v>96</v>
      </c>
      <c r="BL1883" t="s">
        <v>769</v>
      </c>
      <c r="BM1883" t="s">
        <v>30449</v>
      </c>
      <c r="BN1883">
        <v>38968804</v>
      </c>
      <c r="BR1883" t="s">
        <v>98</v>
      </c>
      <c r="BS1883" t="s">
        <v>30450</v>
      </c>
      <c r="BT1883" t="s">
        <v>16602</v>
      </c>
    </row>
    <row r="1884" spans="1:72">
      <c r="A1884" t="s">
        <v>72</v>
      </c>
      <c r="B1884" t="s">
        <v>30451</v>
      </c>
      <c r="F1884" t="s">
        <v>30451</v>
      </c>
      <c r="I1884" t="s">
        <v>30452</v>
      </c>
      <c r="J1884" t="s">
        <v>232</v>
      </c>
      <c r="M1884" t="s">
        <v>78</v>
      </c>
      <c r="N1884" t="s">
        <v>79</v>
      </c>
      <c r="U1884" t="s">
        <v>30453</v>
      </c>
      <c r="W1884" t="s">
        <v>30454</v>
      </c>
      <c r="X1884" t="s">
        <v>14304</v>
      </c>
      <c r="Y1884" t="s">
        <v>30455</v>
      </c>
      <c r="Z1884" t="s">
        <v>30456</v>
      </c>
      <c r="AA1884" t="s">
        <v>30457</v>
      </c>
      <c r="AB1884" t="s">
        <v>30458</v>
      </c>
      <c r="AG1884">
        <v>14</v>
      </c>
      <c r="AH1884">
        <v>52</v>
      </c>
      <c r="AI1884">
        <v>57</v>
      </c>
      <c r="AJ1884">
        <v>1</v>
      </c>
      <c r="AK1884">
        <v>7</v>
      </c>
      <c r="AL1884" t="s">
        <v>136</v>
      </c>
      <c r="AM1884" t="s">
        <v>137</v>
      </c>
      <c r="AN1884" t="s">
        <v>138</v>
      </c>
      <c r="AO1884" t="s">
        <v>240</v>
      </c>
      <c r="AP1884" t="s">
        <v>241</v>
      </c>
      <c r="AR1884" t="s">
        <v>242</v>
      </c>
      <c r="AS1884" t="s">
        <v>243</v>
      </c>
      <c r="AT1884" t="s">
        <v>305</v>
      </c>
      <c r="AU1884">
        <v>2002</v>
      </c>
      <c r="AV1884">
        <v>44</v>
      </c>
      <c r="AW1884">
        <v>9</v>
      </c>
      <c r="BB1884">
        <v>973</v>
      </c>
      <c r="BC1884">
        <v>976</v>
      </c>
      <c r="BD1884" t="s">
        <v>30459</v>
      </c>
      <c r="BE1884" t="s">
        <v>30460</v>
      </c>
      <c r="BF1884" t="s">
        <v>30461</v>
      </c>
      <c r="BI1884">
        <v>4</v>
      </c>
      <c r="BJ1884" t="s">
        <v>247</v>
      </c>
      <c r="BK1884" t="s">
        <v>96</v>
      </c>
      <c r="BL1884" t="s">
        <v>248</v>
      </c>
      <c r="BM1884" t="s">
        <v>308</v>
      </c>
      <c r="BN1884">
        <v>12405223</v>
      </c>
      <c r="BR1884" t="s">
        <v>98</v>
      </c>
      <c r="BS1884" t="s">
        <v>30462</v>
      </c>
      <c r="BT1884" t="s">
        <v>16602</v>
      </c>
    </row>
    <row r="1885" spans="1:72">
      <c r="A1885" t="s">
        <v>72</v>
      </c>
      <c r="B1885" t="s">
        <v>30463</v>
      </c>
      <c r="F1885" t="s">
        <v>30464</v>
      </c>
      <c r="I1885" t="s">
        <v>30465</v>
      </c>
      <c r="J1885" t="s">
        <v>20957</v>
      </c>
      <c r="M1885" t="s">
        <v>78</v>
      </c>
      <c r="N1885" t="s">
        <v>79</v>
      </c>
      <c r="T1885" t="s">
        <v>30466</v>
      </c>
      <c r="U1885" t="s">
        <v>30467</v>
      </c>
      <c r="V1885" t="s">
        <v>30468</v>
      </c>
      <c r="W1885" t="s">
        <v>30469</v>
      </c>
      <c r="X1885" t="s">
        <v>30470</v>
      </c>
      <c r="Y1885" t="s">
        <v>30471</v>
      </c>
      <c r="Z1885" t="s">
        <v>30472</v>
      </c>
      <c r="AC1885" t="s">
        <v>30473</v>
      </c>
      <c r="AD1885" t="s">
        <v>30474</v>
      </c>
      <c r="AE1885" t="s">
        <v>30475</v>
      </c>
      <c r="AG1885">
        <v>81</v>
      </c>
      <c r="AH1885">
        <v>4</v>
      </c>
      <c r="AI1885">
        <v>4</v>
      </c>
      <c r="AJ1885">
        <v>0</v>
      </c>
      <c r="AK1885">
        <v>7</v>
      </c>
      <c r="AL1885" t="s">
        <v>24545</v>
      </c>
      <c r="AM1885" t="s">
        <v>13247</v>
      </c>
      <c r="AN1885" t="s">
        <v>24546</v>
      </c>
      <c r="AO1885" t="s">
        <v>20966</v>
      </c>
      <c r="AP1885" t="s">
        <v>24547</v>
      </c>
      <c r="AR1885" t="s">
        <v>20967</v>
      </c>
      <c r="AS1885" t="s">
        <v>20968</v>
      </c>
      <c r="AT1885" t="s">
        <v>1223</v>
      </c>
      <c r="AU1885">
        <v>2022</v>
      </c>
      <c r="AV1885">
        <v>79</v>
      </c>
      <c r="AW1885">
        <v>3</v>
      </c>
      <c r="BB1885">
        <v>367</v>
      </c>
      <c r="BC1885">
        <v>379</v>
      </c>
      <c r="BE1885" t="s">
        <v>30476</v>
      </c>
      <c r="BF1885" t="s">
        <v>30477</v>
      </c>
      <c r="BI1885">
        <v>13</v>
      </c>
      <c r="BJ1885" t="s">
        <v>2391</v>
      </c>
      <c r="BK1885" t="s">
        <v>96</v>
      </c>
      <c r="BL1885" t="s">
        <v>2391</v>
      </c>
      <c r="BM1885" t="s">
        <v>30478</v>
      </c>
      <c r="BO1885" t="s">
        <v>30479</v>
      </c>
      <c r="BR1885" t="s">
        <v>98</v>
      </c>
      <c r="BS1885" t="s">
        <v>30480</v>
      </c>
      <c r="BT1885" t="s">
        <v>16602</v>
      </c>
    </row>
    <row r="1886" spans="1:72">
      <c r="A1886" t="s">
        <v>72</v>
      </c>
      <c r="B1886" t="s">
        <v>30481</v>
      </c>
      <c r="F1886" t="s">
        <v>30481</v>
      </c>
      <c r="I1886" t="s">
        <v>30482</v>
      </c>
      <c r="J1886" t="s">
        <v>752</v>
      </c>
      <c r="M1886" t="s">
        <v>78</v>
      </c>
      <c r="N1886" t="s">
        <v>151</v>
      </c>
      <c r="O1886" t="s">
        <v>2433</v>
      </c>
      <c r="P1886" t="s">
        <v>2434</v>
      </c>
      <c r="Q1886" t="s">
        <v>2435</v>
      </c>
      <c r="T1886" t="s">
        <v>30483</v>
      </c>
      <c r="V1886" t="s">
        <v>30484</v>
      </c>
      <c r="W1886" t="s">
        <v>30485</v>
      </c>
      <c r="X1886" t="s">
        <v>30486</v>
      </c>
      <c r="Y1886" t="s">
        <v>30487</v>
      </c>
      <c r="Z1886" t="s">
        <v>8840</v>
      </c>
      <c r="AA1886" t="s">
        <v>2443</v>
      </c>
      <c r="AB1886" t="s">
        <v>30488</v>
      </c>
      <c r="AG1886">
        <v>5</v>
      </c>
      <c r="AH1886">
        <v>18</v>
      </c>
      <c r="AI1886">
        <v>21</v>
      </c>
      <c r="AJ1886">
        <v>1</v>
      </c>
      <c r="AK1886">
        <v>12</v>
      </c>
      <c r="AL1886" t="s">
        <v>430</v>
      </c>
      <c r="AM1886" t="s">
        <v>137</v>
      </c>
      <c r="AN1886" t="s">
        <v>431</v>
      </c>
      <c r="AO1886" t="s">
        <v>761</v>
      </c>
      <c r="AP1886" t="s">
        <v>762</v>
      </c>
      <c r="AR1886" t="s">
        <v>763</v>
      </c>
      <c r="AS1886" t="s">
        <v>764</v>
      </c>
      <c r="AT1886" t="s">
        <v>2445</v>
      </c>
      <c r="AU1886">
        <v>2004</v>
      </c>
      <c r="AV1886">
        <v>58</v>
      </c>
      <c r="AW1886" t="s">
        <v>2446</v>
      </c>
      <c r="BB1886">
        <v>619</v>
      </c>
      <c r="BC1886">
        <v>623</v>
      </c>
      <c r="BE1886" t="s">
        <v>30489</v>
      </c>
      <c r="BF1886" t="s">
        <v>30490</v>
      </c>
      <c r="BI1886">
        <v>5</v>
      </c>
      <c r="BJ1886" t="s">
        <v>768</v>
      </c>
      <c r="BK1886" t="s">
        <v>172</v>
      </c>
      <c r="BL1886" t="s">
        <v>769</v>
      </c>
      <c r="BM1886" t="s">
        <v>2448</v>
      </c>
      <c r="BN1886">
        <v>15178089</v>
      </c>
      <c r="BR1886" t="s">
        <v>98</v>
      </c>
      <c r="BS1886" t="s">
        <v>30491</v>
      </c>
      <c r="BT1886" t="s">
        <v>16602</v>
      </c>
    </row>
    <row r="1887" spans="1:72">
      <c r="A1887" t="s">
        <v>72</v>
      </c>
      <c r="B1887" t="s">
        <v>30492</v>
      </c>
      <c r="F1887" t="s">
        <v>30492</v>
      </c>
      <c r="I1887" t="s">
        <v>30493</v>
      </c>
      <c r="J1887" t="s">
        <v>232</v>
      </c>
      <c r="M1887" t="s">
        <v>78</v>
      </c>
      <c r="N1887" t="s">
        <v>79</v>
      </c>
      <c r="T1887" t="s">
        <v>30494</v>
      </c>
      <c r="U1887" t="s">
        <v>30495</v>
      </c>
      <c r="V1887" t="s">
        <v>30496</v>
      </c>
      <c r="W1887" t="s">
        <v>30497</v>
      </c>
      <c r="X1887" t="s">
        <v>1022</v>
      </c>
      <c r="Y1887" t="s">
        <v>30498</v>
      </c>
      <c r="Z1887" t="s">
        <v>30499</v>
      </c>
      <c r="AA1887" t="s">
        <v>30500</v>
      </c>
      <c r="AB1887" t="s">
        <v>30501</v>
      </c>
      <c r="AG1887">
        <v>25</v>
      </c>
      <c r="AH1887">
        <v>103</v>
      </c>
      <c r="AI1887">
        <v>111</v>
      </c>
      <c r="AJ1887">
        <v>1</v>
      </c>
      <c r="AK1887">
        <v>10</v>
      </c>
      <c r="AL1887" t="s">
        <v>136</v>
      </c>
      <c r="AM1887" t="s">
        <v>137</v>
      </c>
      <c r="AN1887" t="s">
        <v>138</v>
      </c>
      <c r="AO1887" t="s">
        <v>240</v>
      </c>
      <c r="AP1887" t="s">
        <v>241</v>
      </c>
      <c r="AR1887" t="s">
        <v>242</v>
      </c>
      <c r="AS1887" t="s">
        <v>243</v>
      </c>
      <c r="AT1887" t="s">
        <v>197</v>
      </c>
      <c r="AU1887">
        <v>2001</v>
      </c>
      <c r="AV1887">
        <v>42</v>
      </c>
      <c r="AW1887">
        <v>12</v>
      </c>
      <c r="BB1887">
        <v>1373</v>
      </c>
      <c r="BC1887">
        <v>1378</v>
      </c>
      <c r="BE1887" t="s">
        <v>30502</v>
      </c>
      <c r="BF1887" t="s">
        <v>30503</v>
      </c>
      <c r="BI1887">
        <v>6</v>
      </c>
      <c r="BJ1887" t="s">
        <v>247</v>
      </c>
      <c r="BK1887" t="s">
        <v>96</v>
      </c>
      <c r="BL1887" t="s">
        <v>248</v>
      </c>
      <c r="BM1887" t="s">
        <v>30504</v>
      </c>
      <c r="BN1887">
        <v>11827125</v>
      </c>
      <c r="BR1887" t="s">
        <v>98</v>
      </c>
      <c r="BS1887" t="s">
        <v>30505</v>
      </c>
      <c r="BT1887" t="s">
        <v>16602</v>
      </c>
    </row>
    <row r="1888" spans="1:72">
      <c r="A1888" t="s">
        <v>72</v>
      </c>
      <c r="B1888" t="s">
        <v>30506</v>
      </c>
      <c r="F1888" t="s">
        <v>30507</v>
      </c>
      <c r="I1888" t="s">
        <v>30508</v>
      </c>
      <c r="J1888" t="s">
        <v>30509</v>
      </c>
      <c r="M1888" t="s">
        <v>78</v>
      </c>
      <c r="N1888" t="s">
        <v>79</v>
      </c>
      <c r="U1888" t="s">
        <v>30510</v>
      </c>
      <c r="V1888" t="s">
        <v>30511</v>
      </c>
      <c r="W1888" t="s">
        <v>30512</v>
      </c>
      <c r="Y1888" t="s">
        <v>30513</v>
      </c>
      <c r="Z1888" t="s">
        <v>30514</v>
      </c>
      <c r="AC1888" t="s">
        <v>30515</v>
      </c>
      <c r="AD1888" t="s">
        <v>30515</v>
      </c>
      <c r="AE1888" t="s">
        <v>30516</v>
      </c>
      <c r="AG1888">
        <v>30</v>
      </c>
      <c r="AH1888">
        <v>3</v>
      </c>
      <c r="AI1888">
        <v>5</v>
      </c>
      <c r="AJ1888">
        <v>0</v>
      </c>
      <c r="AK1888">
        <v>18</v>
      </c>
      <c r="AL1888" t="s">
        <v>30517</v>
      </c>
      <c r="AM1888" t="s">
        <v>30518</v>
      </c>
      <c r="AN1888" t="s">
        <v>30519</v>
      </c>
      <c r="AO1888" t="s">
        <v>30520</v>
      </c>
      <c r="AP1888" t="s">
        <v>30521</v>
      </c>
      <c r="AR1888" t="s">
        <v>30522</v>
      </c>
      <c r="AS1888" t="s">
        <v>30523</v>
      </c>
      <c r="AT1888" t="s">
        <v>267</v>
      </c>
      <c r="AU1888">
        <v>2015</v>
      </c>
      <c r="AV1888">
        <v>14</v>
      </c>
      <c r="AZ1888">
        <v>7</v>
      </c>
      <c r="BB1888">
        <v>261</v>
      </c>
      <c r="BC1888">
        <v>275</v>
      </c>
      <c r="BE1888" t="s">
        <v>30524</v>
      </c>
      <c r="BF1888" t="s">
        <v>30525</v>
      </c>
      <c r="BI1888">
        <v>15</v>
      </c>
      <c r="BJ1888" t="s">
        <v>17252</v>
      </c>
      <c r="BK1888" t="s">
        <v>96</v>
      </c>
      <c r="BL1888" t="s">
        <v>4924</v>
      </c>
      <c r="BM1888" t="s">
        <v>30526</v>
      </c>
      <c r="BR1888" t="s">
        <v>98</v>
      </c>
      <c r="BS1888" t="s">
        <v>30527</v>
      </c>
      <c r="BT1888" t="s">
        <v>16602</v>
      </c>
    </row>
    <row r="1889" spans="1:72">
      <c r="A1889" t="s">
        <v>72</v>
      </c>
      <c r="B1889" t="s">
        <v>30528</v>
      </c>
      <c r="F1889" t="s">
        <v>30529</v>
      </c>
      <c r="I1889" t="s">
        <v>30530</v>
      </c>
      <c r="J1889" t="s">
        <v>752</v>
      </c>
      <c r="M1889" t="s">
        <v>78</v>
      </c>
      <c r="N1889" t="s">
        <v>79</v>
      </c>
      <c r="T1889" t="s">
        <v>30531</v>
      </c>
      <c r="U1889" t="s">
        <v>30532</v>
      </c>
      <c r="V1889" t="s">
        <v>30533</v>
      </c>
      <c r="W1889" t="s">
        <v>30534</v>
      </c>
      <c r="X1889" t="s">
        <v>30535</v>
      </c>
      <c r="Y1889" t="s">
        <v>30536</v>
      </c>
      <c r="Z1889" t="s">
        <v>30537</v>
      </c>
      <c r="AA1889" t="s">
        <v>30538</v>
      </c>
      <c r="AB1889" t="s">
        <v>30539</v>
      </c>
      <c r="AC1889" t="s">
        <v>30540</v>
      </c>
      <c r="AD1889" t="s">
        <v>30541</v>
      </c>
      <c r="AE1889" t="s">
        <v>30542</v>
      </c>
      <c r="AG1889">
        <v>38</v>
      </c>
      <c r="AH1889">
        <v>16</v>
      </c>
      <c r="AI1889">
        <v>18</v>
      </c>
      <c r="AJ1889">
        <v>2</v>
      </c>
      <c r="AK1889">
        <v>55</v>
      </c>
      <c r="AL1889" t="s">
        <v>430</v>
      </c>
      <c r="AM1889" t="s">
        <v>137</v>
      </c>
      <c r="AN1889" t="s">
        <v>431</v>
      </c>
      <c r="AO1889" t="s">
        <v>761</v>
      </c>
      <c r="AP1889" t="s">
        <v>762</v>
      </c>
      <c r="AR1889" t="s">
        <v>763</v>
      </c>
      <c r="AS1889" t="s">
        <v>764</v>
      </c>
      <c r="AT1889" t="s">
        <v>267</v>
      </c>
      <c r="AU1889">
        <v>2015</v>
      </c>
      <c r="AV1889">
        <v>111</v>
      </c>
      <c r="AZ1889" t="s">
        <v>225</v>
      </c>
      <c r="BB1889">
        <v>158</v>
      </c>
      <c r="BC1889">
        <v>161</v>
      </c>
      <c r="BE1889" t="s">
        <v>30543</v>
      </c>
      <c r="BF1889" t="s">
        <v>30544</v>
      </c>
      <c r="BI1889">
        <v>4</v>
      </c>
      <c r="BJ1889" t="s">
        <v>768</v>
      </c>
      <c r="BK1889" t="s">
        <v>96</v>
      </c>
      <c r="BL1889" t="s">
        <v>769</v>
      </c>
      <c r="BM1889" t="s">
        <v>22841</v>
      </c>
      <c r="BN1889">
        <v>26065811</v>
      </c>
      <c r="BO1889" t="s">
        <v>30545</v>
      </c>
      <c r="BR1889" t="s">
        <v>98</v>
      </c>
      <c r="BS1889" t="s">
        <v>30546</v>
      </c>
      <c r="BT1889" t="s">
        <v>16602</v>
      </c>
    </row>
    <row r="1890" spans="1:72">
      <c r="A1890" t="s">
        <v>72</v>
      </c>
      <c r="B1890" t="s">
        <v>30547</v>
      </c>
      <c r="F1890" t="s">
        <v>30547</v>
      </c>
      <c r="I1890" t="s">
        <v>30548</v>
      </c>
      <c r="J1890" t="s">
        <v>1756</v>
      </c>
      <c r="M1890" t="s">
        <v>78</v>
      </c>
      <c r="N1890" t="s">
        <v>79</v>
      </c>
      <c r="T1890" t="s">
        <v>30549</v>
      </c>
      <c r="U1890" t="s">
        <v>30550</v>
      </c>
      <c r="V1890" t="s">
        <v>30551</v>
      </c>
      <c r="W1890" t="s">
        <v>30552</v>
      </c>
      <c r="X1890" t="s">
        <v>30553</v>
      </c>
      <c r="Z1890" t="s">
        <v>30554</v>
      </c>
      <c r="AA1890" t="s">
        <v>30555</v>
      </c>
      <c r="AB1890" t="s">
        <v>30556</v>
      </c>
      <c r="AG1890">
        <v>41</v>
      </c>
      <c r="AH1890">
        <v>33</v>
      </c>
      <c r="AI1890">
        <v>34</v>
      </c>
      <c r="AJ1890">
        <v>0</v>
      </c>
      <c r="AK1890">
        <v>12</v>
      </c>
      <c r="AL1890" t="s">
        <v>86</v>
      </c>
      <c r="AM1890" t="s">
        <v>87</v>
      </c>
      <c r="AN1890" t="s">
        <v>88</v>
      </c>
      <c r="AO1890" t="s">
        <v>1764</v>
      </c>
      <c r="AP1890" t="s">
        <v>1765</v>
      </c>
      <c r="AR1890" t="s">
        <v>1766</v>
      </c>
      <c r="AS1890" t="s">
        <v>1767</v>
      </c>
      <c r="AT1890" t="s">
        <v>1470</v>
      </c>
      <c r="AU1890">
        <v>2003</v>
      </c>
      <c r="AV1890">
        <v>22</v>
      </c>
      <c r="AW1890">
        <v>1</v>
      </c>
      <c r="BB1890">
        <v>92</v>
      </c>
      <c r="BC1890">
        <v>100</v>
      </c>
      <c r="BE1890" t="s">
        <v>30557</v>
      </c>
      <c r="BF1890" t="s">
        <v>30558</v>
      </c>
      <c r="BI1890">
        <v>9</v>
      </c>
      <c r="BJ1890" t="s">
        <v>121</v>
      </c>
      <c r="BK1890" t="s">
        <v>96</v>
      </c>
      <c r="BL1890" t="s">
        <v>122</v>
      </c>
      <c r="BM1890" t="s">
        <v>30559</v>
      </c>
      <c r="BN1890">
        <v>12503751</v>
      </c>
      <c r="BR1890" t="s">
        <v>98</v>
      </c>
      <c r="BS1890" t="s">
        <v>30560</v>
      </c>
      <c r="BT1890" t="s">
        <v>16602</v>
      </c>
    </row>
    <row r="1891" spans="1:72">
      <c r="A1891" t="s">
        <v>72</v>
      </c>
      <c r="B1891" t="s">
        <v>30561</v>
      </c>
      <c r="F1891" t="s">
        <v>30562</v>
      </c>
      <c r="I1891" t="s">
        <v>30563</v>
      </c>
      <c r="J1891" t="s">
        <v>30564</v>
      </c>
      <c r="M1891" t="s">
        <v>78</v>
      </c>
      <c r="N1891" t="s">
        <v>79</v>
      </c>
      <c r="T1891" t="s">
        <v>30565</v>
      </c>
      <c r="U1891" t="s">
        <v>30566</v>
      </c>
      <c r="V1891" t="s">
        <v>30567</v>
      </c>
      <c r="W1891" t="s">
        <v>30568</v>
      </c>
      <c r="X1891" t="s">
        <v>30569</v>
      </c>
      <c r="Y1891" t="s">
        <v>30570</v>
      </c>
      <c r="Z1891" t="s">
        <v>30571</v>
      </c>
      <c r="AA1891" t="s">
        <v>30572</v>
      </c>
      <c r="AB1891" t="s">
        <v>30573</v>
      </c>
      <c r="AC1891" t="s">
        <v>30574</v>
      </c>
      <c r="AD1891" t="s">
        <v>30575</v>
      </c>
      <c r="AE1891" t="s">
        <v>30576</v>
      </c>
      <c r="AG1891">
        <v>38</v>
      </c>
      <c r="AH1891">
        <v>3</v>
      </c>
      <c r="AI1891">
        <v>3</v>
      </c>
      <c r="AJ1891">
        <v>0</v>
      </c>
      <c r="AK1891">
        <v>1</v>
      </c>
      <c r="AL1891" t="s">
        <v>30577</v>
      </c>
      <c r="AM1891" t="s">
        <v>30578</v>
      </c>
      <c r="AN1891" t="s">
        <v>30579</v>
      </c>
      <c r="AO1891" t="s">
        <v>30580</v>
      </c>
      <c r="AR1891" t="s">
        <v>30581</v>
      </c>
      <c r="AS1891" t="s">
        <v>30582</v>
      </c>
      <c r="AT1891" t="s">
        <v>170</v>
      </c>
      <c r="AU1891">
        <v>2018</v>
      </c>
      <c r="AV1891">
        <v>52</v>
      </c>
      <c r="AW1891">
        <v>5</v>
      </c>
      <c r="BB1891">
        <v>658</v>
      </c>
      <c r="BC1891">
        <v>663</v>
      </c>
      <c r="BD1891" t="s">
        <v>30583</v>
      </c>
      <c r="BE1891" t="s">
        <v>30584</v>
      </c>
      <c r="BF1891" t="s">
        <v>30585</v>
      </c>
      <c r="BI1891">
        <v>6</v>
      </c>
      <c r="BJ1891" t="s">
        <v>30586</v>
      </c>
      <c r="BK1891" t="s">
        <v>96</v>
      </c>
      <c r="BL1891" t="s">
        <v>4121</v>
      </c>
      <c r="BM1891" t="s">
        <v>30587</v>
      </c>
      <c r="BO1891" t="s">
        <v>370</v>
      </c>
      <c r="BR1891" t="s">
        <v>98</v>
      </c>
      <c r="BS1891" t="s">
        <v>30588</v>
      </c>
      <c r="BT1891" t="s">
        <v>16602</v>
      </c>
    </row>
    <row r="1892" spans="1:72">
      <c r="A1892" t="s">
        <v>72</v>
      </c>
      <c r="B1892" t="s">
        <v>30589</v>
      </c>
      <c r="F1892" t="s">
        <v>30590</v>
      </c>
      <c r="I1892" t="s">
        <v>30591</v>
      </c>
      <c r="J1892" t="s">
        <v>752</v>
      </c>
      <c r="M1892" t="s">
        <v>78</v>
      </c>
      <c r="N1892" t="s">
        <v>79</v>
      </c>
      <c r="T1892" t="s">
        <v>30592</v>
      </c>
      <c r="U1892" t="s">
        <v>30593</v>
      </c>
      <c r="V1892" t="s">
        <v>30594</v>
      </c>
      <c r="W1892" t="s">
        <v>30595</v>
      </c>
      <c r="X1892" t="s">
        <v>30596</v>
      </c>
      <c r="Y1892" t="s">
        <v>30597</v>
      </c>
      <c r="Z1892" t="s">
        <v>30598</v>
      </c>
      <c r="AA1892" t="s">
        <v>30599</v>
      </c>
      <c r="AB1892" t="s">
        <v>30600</v>
      </c>
      <c r="AC1892" t="s">
        <v>30601</v>
      </c>
      <c r="AD1892" t="s">
        <v>30602</v>
      </c>
      <c r="AE1892" t="s">
        <v>30603</v>
      </c>
      <c r="AG1892">
        <v>117</v>
      </c>
      <c r="AH1892">
        <v>12</v>
      </c>
      <c r="AI1892">
        <v>12</v>
      </c>
      <c r="AJ1892">
        <v>3</v>
      </c>
      <c r="AK1892">
        <v>24</v>
      </c>
      <c r="AL1892" t="s">
        <v>430</v>
      </c>
      <c r="AM1892" t="s">
        <v>137</v>
      </c>
      <c r="AN1892" t="s">
        <v>431</v>
      </c>
      <c r="AO1892" t="s">
        <v>761</v>
      </c>
      <c r="AP1892" t="s">
        <v>762</v>
      </c>
      <c r="AR1892" t="s">
        <v>763</v>
      </c>
      <c r="AS1892" t="s">
        <v>764</v>
      </c>
      <c r="AT1892" t="s">
        <v>142</v>
      </c>
      <c r="AU1892">
        <v>2020</v>
      </c>
      <c r="AV1892">
        <v>158</v>
      </c>
      <c r="BD1892">
        <v>104950</v>
      </c>
      <c r="BE1892" t="s">
        <v>30604</v>
      </c>
      <c r="BF1892" t="s">
        <v>30605</v>
      </c>
      <c r="BI1892">
        <v>13</v>
      </c>
      <c r="BJ1892" t="s">
        <v>768</v>
      </c>
      <c r="BK1892" t="s">
        <v>96</v>
      </c>
      <c r="BL1892" t="s">
        <v>769</v>
      </c>
      <c r="BM1892" t="s">
        <v>30606</v>
      </c>
      <c r="BN1892">
        <v>32217300</v>
      </c>
      <c r="BR1892" t="s">
        <v>98</v>
      </c>
      <c r="BS1892" t="s">
        <v>30607</v>
      </c>
      <c r="BT1892" t="s">
        <v>16602</v>
      </c>
    </row>
    <row r="1893" spans="1:72">
      <c r="A1893" t="s">
        <v>72</v>
      </c>
      <c r="B1893" t="s">
        <v>30608</v>
      </c>
      <c r="F1893" t="s">
        <v>30608</v>
      </c>
      <c r="I1893" t="s">
        <v>30609</v>
      </c>
      <c r="J1893" t="s">
        <v>103</v>
      </c>
      <c r="M1893" t="s">
        <v>78</v>
      </c>
      <c r="N1893" t="s">
        <v>79</v>
      </c>
      <c r="U1893" t="s">
        <v>30610</v>
      </c>
      <c r="W1893" t="s">
        <v>30611</v>
      </c>
      <c r="X1893" t="s">
        <v>30612</v>
      </c>
      <c r="Y1893" t="s">
        <v>30613</v>
      </c>
      <c r="AB1893" t="s">
        <v>2507</v>
      </c>
      <c r="AG1893">
        <v>22</v>
      </c>
      <c r="AH1893">
        <v>62</v>
      </c>
      <c r="AI1893">
        <v>68</v>
      </c>
      <c r="AJ1893">
        <v>0</v>
      </c>
      <c r="AK1893">
        <v>4</v>
      </c>
      <c r="AL1893" t="s">
        <v>6584</v>
      </c>
      <c r="AM1893" t="s">
        <v>113</v>
      </c>
      <c r="AN1893" t="s">
        <v>2719</v>
      </c>
      <c r="AO1893" t="s">
        <v>115</v>
      </c>
      <c r="AR1893" t="s">
        <v>117</v>
      </c>
      <c r="AS1893" t="s">
        <v>118</v>
      </c>
      <c r="AT1893" t="s">
        <v>305</v>
      </c>
      <c r="AU1893">
        <v>1998</v>
      </c>
      <c r="AV1893">
        <v>61</v>
      </c>
      <c r="AW1893">
        <v>3</v>
      </c>
      <c r="BB1893">
        <v>397</v>
      </c>
      <c r="BC1893">
        <v>404</v>
      </c>
      <c r="BE1893" t="s">
        <v>30614</v>
      </c>
      <c r="BF1893" t="s">
        <v>30615</v>
      </c>
      <c r="BI1893">
        <v>8</v>
      </c>
      <c r="BJ1893" t="s">
        <v>121</v>
      </c>
      <c r="BK1893" t="s">
        <v>96</v>
      </c>
      <c r="BL1893" t="s">
        <v>122</v>
      </c>
      <c r="BM1893" t="s">
        <v>30616</v>
      </c>
      <c r="BN1893">
        <v>9724365</v>
      </c>
      <c r="BR1893" t="s">
        <v>98</v>
      </c>
      <c r="BS1893" t="s">
        <v>30617</v>
      </c>
      <c r="BT1893" t="s">
        <v>16602</v>
      </c>
    </row>
    <row r="1894" spans="1:72">
      <c r="A1894" t="s">
        <v>72</v>
      </c>
      <c r="B1894" t="s">
        <v>30618</v>
      </c>
      <c r="F1894" t="s">
        <v>30619</v>
      </c>
      <c r="I1894" t="s">
        <v>30620</v>
      </c>
      <c r="J1894" t="s">
        <v>909</v>
      </c>
      <c r="M1894" t="s">
        <v>78</v>
      </c>
      <c r="N1894" t="s">
        <v>79</v>
      </c>
      <c r="T1894" t="s">
        <v>30621</v>
      </c>
      <c r="U1894" t="s">
        <v>30622</v>
      </c>
      <c r="V1894" t="s">
        <v>30623</v>
      </c>
      <c r="W1894" t="s">
        <v>30624</v>
      </c>
      <c r="X1894" t="s">
        <v>30625</v>
      </c>
      <c r="Y1894" t="s">
        <v>30626</v>
      </c>
      <c r="Z1894" t="s">
        <v>30627</v>
      </c>
      <c r="AA1894" t="s">
        <v>30628</v>
      </c>
      <c r="AB1894" t="s">
        <v>30629</v>
      </c>
      <c r="AC1894" t="s">
        <v>30630</v>
      </c>
      <c r="AD1894" t="s">
        <v>30631</v>
      </c>
      <c r="AE1894" t="s">
        <v>30632</v>
      </c>
      <c r="AG1894">
        <v>120</v>
      </c>
      <c r="AH1894">
        <v>94</v>
      </c>
      <c r="AI1894">
        <v>102</v>
      </c>
      <c r="AJ1894">
        <v>3</v>
      </c>
      <c r="AK1894">
        <v>109</v>
      </c>
      <c r="AL1894" t="s">
        <v>650</v>
      </c>
      <c r="AM1894" t="s">
        <v>651</v>
      </c>
      <c r="AN1894" t="s">
        <v>652</v>
      </c>
      <c r="AO1894" t="s">
        <v>921</v>
      </c>
      <c r="AP1894" t="s">
        <v>922</v>
      </c>
      <c r="AR1894" t="s">
        <v>923</v>
      </c>
      <c r="AS1894" t="s">
        <v>924</v>
      </c>
      <c r="AT1894" t="s">
        <v>15610</v>
      </c>
      <c r="AU1894">
        <v>2016</v>
      </c>
      <c r="AV1894">
        <v>543</v>
      </c>
      <c r="AX1894" t="s">
        <v>489</v>
      </c>
      <c r="BB1894">
        <v>449</v>
      </c>
      <c r="BC1894">
        <v>459</v>
      </c>
      <c r="BE1894" t="s">
        <v>30633</v>
      </c>
      <c r="BF1894" t="s">
        <v>30634</v>
      </c>
      <c r="BI1894">
        <v>11</v>
      </c>
      <c r="BJ1894" t="s">
        <v>144</v>
      </c>
      <c r="BK1894" t="s">
        <v>96</v>
      </c>
      <c r="BL1894" t="s">
        <v>145</v>
      </c>
      <c r="BM1894" t="s">
        <v>30635</v>
      </c>
      <c r="BN1894">
        <v>26599145</v>
      </c>
      <c r="BR1894" t="s">
        <v>98</v>
      </c>
      <c r="BS1894" t="s">
        <v>30636</v>
      </c>
      <c r="BT1894" t="s">
        <v>16602</v>
      </c>
    </row>
    <row r="1895" spans="1:72">
      <c r="A1895" t="s">
        <v>72</v>
      </c>
      <c r="B1895" t="s">
        <v>30637</v>
      </c>
      <c r="F1895" t="s">
        <v>30637</v>
      </c>
      <c r="I1895" t="s">
        <v>30638</v>
      </c>
      <c r="J1895" t="s">
        <v>6889</v>
      </c>
      <c r="M1895" t="s">
        <v>78</v>
      </c>
      <c r="N1895" t="s">
        <v>79</v>
      </c>
      <c r="T1895" t="s">
        <v>30639</v>
      </c>
      <c r="U1895" t="s">
        <v>30640</v>
      </c>
      <c r="V1895" t="s">
        <v>30641</v>
      </c>
      <c r="W1895" t="s">
        <v>9236</v>
      </c>
      <c r="X1895" t="s">
        <v>9237</v>
      </c>
      <c r="Y1895" t="s">
        <v>30642</v>
      </c>
      <c r="AA1895" t="s">
        <v>30643</v>
      </c>
      <c r="AG1895">
        <v>27</v>
      </c>
      <c r="AH1895">
        <v>6</v>
      </c>
      <c r="AI1895">
        <v>8</v>
      </c>
      <c r="AJ1895">
        <v>0</v>
      </c>
      <c r="AK1895">
        <v>4</v>
      </c>
      <c r="AL1895" t="s">
        <v>16273</v>
      </c>
      <c r="AM1895" t="s">
        <v>4215</v>
      </c>
      <c r="AN1895" t="s">
        <v>16274</v>
      </c>
      <c r="AO1895" t="s">
        <v>6904</v>
      </c>
      <c r="AR1895" t="s">
        <v>6906</v>
      </c>
      <c r="AS1895" t="s">
        <v>6907</v>
      </c>
      <c r="AU1895">
        <v>1999</v>
      </c>
      <c r="AV1895">
        <v>50</v>
      </c>
      <c r="AW1895" t="s">
        <v>2847</v>
      </c>
      <c r="BB1895">
        <v>99</v>
      </c>
      <c r="BC1895">
        <v>116</v>
      </c>
      <c r="BI1895">
        <v>18</v>
      </c>
      <c r="BJ1895" t="s">
        <v>171</v>
      </c>
      <c r="BK1895" t="s">
        <v>96</v>
      </c>
      <c r="BL1895" t="s">
        <v>173</v>
      </c>
      <c r="BM1895" t="s">
        <v>30644</v>
      </c>
      <c r="BN1895">
        <v>10574433</v>
      </c>
      <c r="BR1895" t="s">
        <v>98</v>
      </c>
      <c r="BS1895" t="s">
        <v>30645</v>
      </c>
      <c r="BT1895" t="s">
        <v>16602</v>
      </c>
    </row>
    <row r="1896" spans="1:72">
      <c r="A1896" t="s">
        <v>72</v>
      </c>
      <c r="B1896" t="s">
        <v>30646</v>
      </c>
      <c r="F1896" t="s">
        <v>30647</v>
      </c>
      <c r="I1896" t="s">
        <v>30648</v>
      </c>
      <c r="J1896" t="s">
        <v>998</v>
      </c>
      <c r="M1896" t="s">
        <v>78</v>
      </c>
      <c r="N1896" t="s">
        <v>79</v>
      </c>
      <c r="T1896" t="s">
        <v>30649</v>
      </c>
      <c r="U1896" t="s">
        <v>30650</v>
      </c>
      <c r="V1896" t="s">
        <v>30651</v>
      </c>
      <c r="W1896" t="s">
        <v>30652</v>
      </c>
      <c r="X1896" t="s">
        <v>30653</v>
      </c>
      <c r="Y1896" t="s">
        <v>30654</v>
      </c>
      <c r="Z1896" t="s">
        <v>30655</v>
      </c>
      <c r="AB1896" t="s">
        <v>30656</v>
      </c>
      <c r="AG1896">
        <v>61</v>
      </c>
      <c r="AH1896">
        <v>34</v>
      </c>
      <c r="AI1896">
        <v>35</v>
      </c>
      <c r="AJ1896">
        <v>0</v>
      </c>
      <c r="AK1896">
        <v>16</v>
      </c>
      <c r="AL1896" t="s">
        <v>112</v>
      </c>
      <c r="AM1896" t="s">
        <v>113</v>
      </c>
      <c r="AN1896" t="s">
        <v>114</v>
      </c>
      <c r="AO1896" t="s">
        <v>1009</v>
      </c>
      <c r="AP1896" t="s">
        <v>5996</v>
      </c>
      <c r="AR1896" t="s">
        <v>1010</v>
      </c>
      <c r="AS1896" t="s">
        <v>1011</v>
      </c>
      <c r="AT1896" t="s">
        <v>765</v>
      </c>
      <c r="AU1896">
        <v>2007</v>
      </c>
      <c r="AV1896">
        <v>53</v>
      </c>
      <c r="AW1896">
        <v>1</v>
      </c>
      <c r="BB1896">
        <v>57</v>
      </c>
      <c r="BC1896">
        <v>65</v>
      </c>
      <c r="BE1896" t="s">
        <v>30657</v>
      </c>
      <c r="BF1896" t="s">
        <v>30658</v>
      </c>
      <c r="BI1896">
        <v>9</v>
      </c>
      <c r="BJ1896" t="s">
        <v>121</v>
      </c>
      <c r="BK1896" t="s">
        <v>96</v>
      </c>
      <c r="BL1896" t="s">
        <v>122</v>
      </c>
      <c r="BM1896" t="s">
        <v>30659</v>
      </c>
      <c r="BN1896">
        <v>17464440</v>
      </c>
      <c r="BR1896" t="s">
        <v>98</v>
      </c>
      <c r="BS1896" t="s">
        <v>30660</v>
      </c>
      <c r="BT1896" t="s">
        <v>16602</v>
      </c>
    </row>
    <row r="1897" spans="1:72">
      <c r="A1897" t="s">
        <v>72</v>
      </c>
      <c r="B1897" t="s">
        <v>30661</v>
      </c>
      <c r="F1897" t="s">
        <v>30662</v>
      </c>
      <c r="I1897" t="s">
        <v>30663</v>
      </c>
      <c r="J1897" t="s">
        <v>232</v>
      </c>
      <c r="M1897" t="s">
        <v>78</v>
      </c>
      <c r="N1897" t="s">
        <v>79</v>
      </c>
      <c r="T1897" t="s">
        <v>30664</v>
      </c>
      <c r="U1897" t="s">
        <v>30665</v>
      </c>
      <c r="V1897" t="s">
        <v>30666</v>
      </c>
      <c r="W1897" t="s">
        <v>30667</v>
      </c>
      <c r="X1897" t="s">
        <v>30668</v>
      </c>
      <c r="Y1897" t="s">
        <v>30669</v>
      </c>
      <c r="Z1897" t="s">
        <v>30670</v>
      </c>
      <c r="AA1897" t="s">
        <v>30671</v>
      </c>
      <c r="AB1897" t="s">
        <v>30672</v>
      </c>
      <c r="AC1897" t="s">
        <v>21379</v>
      </c>
      <c r="AD1897" t="s">
        <v>21380</v>
      </c>
      <c r="AE1897" t="s">
        <v>30673</v>
      </c>
      <c r="AG1897">
        <v>76</v>
      </c>
      <c r="AH1897">
        <v>14</v>
      </c>
      <c r="AI1897">
        <v>14</v>
      </c>
      <c r="AJ1897">
        <v>1</v>
      </c>
      <c r="AK1897">
        <v>30</v>
      </c>
      <c r="AL1897" t="s">
        <v>136</v>
      </c>
      <c r="AM1897" t="s">
        <v>137</v>
      </c>
      <c r="AN1897" t="s">
        <v>138</v>
      </c>
      <c r="AO1897" t="s">
        <v>240</v>
      </c>
      <c r="AP1897" t="s">
        <v>241</v>
      </c>
      <c r="AR1897" t="s">
        <v>242</v>
      </c>
      <c r="AS1897" t="s">
        <v>243</v>
      </c>
      <c r="AT1897" t="s">
        <v>305</v>
      </c>
      <c r="AU1897">
        <v>2020</v>
      </c>
      <c r="AV1897">
        <v>158</v>
      </c>
      <c r="BD1897">
        <v>111415</v>
      </c>
      <c r="BE1897" t="s">
        <v>30674</v>
      </c>
      <c r="BF1897" t="s">
        <v>30675</v>
      </c>
      <c r="BI1897">
        <v>11</v>
      </c>
      <c r="BJ1897" t="s">
        <v>247</v>
      </c>
      <c r="BK1897" t="s">
        <v>96</v>
      </c>
      <c r="BL1897" t="s">
        <v>248</v>
      </c>
      <c r="BM1897" t="s">
        <v>20307</v>
      </c>
      <c r="BN1897">
        <v>32753199</v>
      </c>
      <c r="BR1897" t="s">
        <v>98</v>
      </c>
      <c r="BS1897" t="s">
        <v>30676</v>
      </c>
      <c r="BT1897" t="s">
        <v>16602</v>
      </c>
    </row>
    <row r="1898" spans="1:72">
      <c r="A1898" t="s">
        <v>72</v>
      </c>
      <c r="B1898" t="s">
        <v>30677</v>
      </c>
      <c r="F1898" t="s">
        <v>30678</v>
      </c>
      <c r="I1898" t="s">
        <v>30679</v>
      </c>
      <c r="J1898" t="s">
        <v>232</v>
      </c>
      <c r="M1898" t="s">
        <v>78</v>
      </c>
      <c r="N1898" t="s">
        <v>79</v>
      </c>
      <c r="T1898" t="s">
        <v>30680</v>
      </c>
      <c r="U1898" t="s">
        <v>30681</v>
      </c>
      <c r="V1898" t="s">
        <v>30682</v>
      </c>
      <c r="W1898" t="s">
        <v>30683</v>
      </c>
      <c r="X1898" t="s">
        <v>30684</v>
      </c>
      <c r="Y1898" t="s">
        <v>30685</v>
      </c>
      <c r="Z1898" t="s">
        <v>26230</v>
      </c>
      <c r="AA1898" t="s">
        <v>10196</v>
      </c>
      <c r="AB1898" t="s">
        <v>26231</v>
      </c>
      <c r="AG1898">
        <v>70</v>
      </c>
      <c r="AH1898">
        <v>3</v>
      </c>
      <c r="AI1898">
        <v>3</v>
      </c>
      <c r="AJ1898">
        <v>0</v>
      </c>
      <c r="AK1898">
        <v>3</v>
      </c>
      <c r="AL1898" t="s">
        <v>136</v>
      </c>
      <c r="AM1898" t="s">
        <v>137</v>
      </c>
      <c r="AN1898" t="s">
        <v>138</v>
      </c>
      <c r="AO1898" t="s">
        <v>240</v>
      </c>
      <c r="AP1898" t="s">
        <v>241</v>
      </c>
      <c r="AR1898" t="s">
        <v>242</v>
      </c>
      <c r="AS1898" t="s">
        <v>243</v>
      </c>
      <c r="AT1898" t="s">
        <v>197</v>
      </c>
      <c r="AU1898">
        <v>2023</v>
      </c>
      <c r="AV1898">
        <v>197</v>
      </c>
      <c r="BD1898">
        <v>115718</v>
      </c>
      <c r="BE1898" t="s">
        <v>30686</v>
      </c>
      <c r="BF1898" t="s">
        <v>30687</v>
      </c>
      <c r="BH1898" t="s">
        <v>7992</v>
      </c>
      <c r="BI1898">
        <v>12</v>
      </c>
      <c r="BJ1898" t="s">
        <v>247</v>
      </c>
      <c r="BK1898" t="s">
        <v>96</v>
      </c>
      <c r="BL1898" t="s">
        <v>248</v>
      </c>
      <c r="BM1898" t="s">
        <v>30688</v>
      </c>
      <c r="BN1898">
        <v>37922749</v>
      </c>
      <c r="BR1898" t="s">
        <v>98</v>
      </c>
      <c r="BS1898" t="s">
        <v>30689</v>
      </c>
      <c r="BT1898" t="s">
        <v>16602</v>
      </c>
    </row>
    <row r="1899" spans="1:72">
      <c r="A1899" t="s">
        <v>72</v>
      </c>
      <c r="B1899" t="s">
        <v>30690</v>
      </c>
      <c r="F1899" t="s">
        <v>30691</v>
      </c>
      <c r="I1899" t="s">
        <v>30692</v>
      </c>
      <c r="J1899" t="s">
        <v>19334</v>
      </c>
      <c r="M1899" t="s">
        <v>78</v>
      </c>
      <c r="N1899" t="s">
        <v>79</v>
      </c>
      <c r="T1899" t="s">
        <v>30693</v>
      </c>
      <c r="U1899" t="s">
        <v>30694</v>
      </c>
      <c r="V1899" t="s">
        <v>30695</v>
      </c>
      <c r="W1899" t="s">
        <v>30696</v>
      </c>
      <c r="X1899" t="s">
        <v>30697</v>
      </c>
      <c r="Y1899" t="s">
        <v>30698</v>
      </c>
      <c r="Z1899" t="s">
        <v>30699</v>
      </c>
      <c r="AA1899" t="s">
        <v>30700</v>
      </c>
      <c r="AB1899" t="s">
        <v>30701</v>
      </c>
      <c r="AC1899" t="s">
        <v>30702</v>
      </c>
      <c r="AD1899" t="s">
        <v>30703</v>
      </c>
      <c r="AE1899" t="s">
        <v>30704</v>
      </c>
      <c r="AG1899">
        <v>75</v>
      </c>
      <c r="AH1899">
        <v>52</v>
      </c>
      <c r="AI1899">
        <v>53</v>
      </c>
      <c r="AJ1899">
        <v>18</v>
      </c>
      <c r="AK1899">
        <v>139</v>
      </c>
      <c r="AL1899" t="s">
        <v>19345</v>
      </c>
      <c r="AM1899" t="s">
        <v>1351</v>
      </c>
      <c r="AN1899" t="s">
        <v>19346</v>
      </c>
      <c r="AO1899" t="s">
        <v>19347</v>
      </c>
      <c r="AP1899" t="s">
        <v>19348</v>
      </c>
      <c r="AR1899" t="s">
        <v>19349</v>
      </c>
      <c r="AS1899" t="s">
        <v>19350</v>
      </c>
      <c r="AT1899" t="s">
        <v>11873</v>
      </c>
      <c r="AU1899">
        <v>2022</v>
      </c>
      <c r="AV1899">
        <v>427</v>
      </c>
      <c r="BD1899">
        <v>131920</v>
      </c>
      <c r="BE1899" t="s">
        <v>30705</v>
      </c>
      <c r="BF1899" t="s">
        <v>30706</v>
      </c>
      <c r="BH1899" t="s">
        <v>30397</v>
      </c>
      <c r="BI1899">
        <v>12</v>
      </c>
      <c r="BJ1899" t="s">
        <v>3991</v>
      </c>
      <c r="BK1899" t="s">
        <v>96</v>
      </c>
      <c r="BL1899" t="s">
        <v>3992</v>
      </c>
      <c r="BM1899" t="s">
        <v>30707</v>
      </c>
      <c r="BR1899" t="s">
        <v>98</v>
      </c>
      <c r="BS1899" t="s">
        <v>30708</v>
      </c>
      <c r="BT1899" t="s">
        <v>16602</v>
      </c>
    </row>
    <row r="1900" spans="1:72">
      <c r="A1900" t="s">
        <v>72</v>
      </c>
      <c r="B1900" t="s">
        <v>30709</v>
      </c>
      <c r="F1900" t="s">
        <v>30710</v>
      </c>
      <c r="I1900" t="s">
        <v>30711</v>
      </c>
      <c r="J1900" t="s">
        <v>30712</v>
      </c>
      <c r="M1900" t="s">
        <v>78</v>
      </c>
      <c r="N1900" t="s">
        <v>79</v>
      </c>
      <c r="T1900" t="s">
        <v>30713</v>
      </c>
      <c r="U1900" t="s">
        <v>30714</v>
      </c>
      <c r="V1900" t="s">
        <v>30715</v>
      </c>
      <c r="W1900" t="s">
        <v>30716</v>
      </c>
      <c r="X1900" t="s">
        <v>30717</v>
      </c>
      <c r="Y1900" t="s">
        <v>30718</v>
      </c>
      <c r="Z1900" t="s">
        <v>5420</v>
      </c>
      <c r="AA1900" t="s">
        <v>5421</v>
      </c>
      <c r="AB1900" t="s">
        <v>10931</v>
      </c>
      <c r="AC1900" t="s">
        <v>30719</v>
      </c>
      <c r="AD1900" t="s">
        <v>30720</v>
      </c>
      <c r="AE1900" t="s">
        <v>30721</v>
      </c>
      <c r="AG1900">
        <v>50</v>
      </c>
      <c r="AH1900">
        <v>0</v>
      </c>
      <c r="AI1900">
        <v>0</v>
      </c>
      <c r="AJ1900">
        <v>2</v>
      </c>
      <c r="AK1900">
        <v>27</v>
      </c>
      <c r="AL1900" t="s">
        <v>2297</v>
      </c>
      <c r="AM1900" t="s">
        <v>1786</v>
      </c>
      <c r="AN1900" t="s">
        <v>4234</v>
      </c>
      <c r="AO1900" t="s">
        <v>30722</v>
      </c>
      <c r="AP1900" t="s">
        <v>30723</v>
      </c>
      <c r="AR1900" t="s">
        <v>30724</v>
      </c>
      <c r="AS1900" t="s">
        <v>30725</v>
      </c>
      <c r="AT1900" t="s">
        <v>1223</v>
      </c>
      <c r="AU1900">
        <v>2019</v>
      </c>
      <c r="AV1900">
        <v>37</v>
      </c>
      <c r="AW1900">
        <v>2</v>
      </c>
      <c r="BB1900">
        <v>685</v>
      </c>
      <c r="BC1900">
        <v>693</v>
      </c>
      <c r="BE1900" t="s">
        <v>30726</v>
      </c>
      <c r="BF1900" t="s">
        <v>30727</v>
      </c>
      <c r="BI1900">
        <v>9</v>
      </c>
      <c r="BJ1900" t="s">
        <v>4240</v>
      </c>
      <c r="BK1900" t="s">
        <v>96</v>
      </c>
      <c r="BL1900" t="s">
        <v>4241</v>
      </c>
      <c r="BM1900" t="s">
        <v>30728</v>
      </c>
      <c r="BR1900" t="s">
        <v>98</v>
      </c>
      <c r="BS1900" t="s">
        <v>30729</v>
      </c>
      <c r="BT1900" t="s">
        <v>16602</v>
      </c>
    </row>
    <row r="1901" spans="1:72">
      <c r="A1901" t="s">
        <v>72</v>
      </c>
      <c r="B1901" t="s">
        <v>30730</v>
      </c>
      <c r="F1901" t="s">
        <v>30731</v>
      </c>
      <c r="I1901" t="s">
        <v>30732</v>
      </c>
      <c r="J1901" t="s">
        <v>1337</v>
      </c>
      <c r="M1901" t="s">
        <v>78</v>
      </c>
      <c r="N1901" t="s">
        <v>30733</v>
      </c>
      <c r="T1901" t="s">
        <v>30734</v>
      </c>
      <c r="U1901" t="s">
        <v>30735</v>
      </c>
      <c r="W1901" t="s">
        <v>30736</v>
      </c>
      <c r="X1901" t="s">
        <v>3535</v>
      </c>
      <c r="Y1901" t="s">
        <v>30737</v>
      </c>
      <c r="Z1901" t="s">
        <v>30738</v>
      </c>
      <c r="AA1901" t="s">
        <v>30739</v>
      </c>
      <c r="AC1901" t="s">
        <v>30740</v>
      </c>
      <c r="AD1901" t="s">
        <v>30740</v>
      </c>
      <c r="AE1901" t="s">
        <v>30741</v>
      </c>
      <c r="AG1901">
        <v>40</v>
      </c>
      <c r="AH1901">
        <v>0</v>
      </c>
      <c r="AI1901">
        <v>0</v>
      </c>
      <c r="AJ1901">
        <v>0</v>
      </c>
      <c r="AK1901">
        <v>10</v>
      </c>
      <c r="AL1901" t="s">
        <v>1350</v>
      </c>
      <c r="AM1901" t="s">
        <v>1351</v>
      </c>
      <c r="AN1901" t="s">
        <v>1352</v>
      </c>
      <c r="AP1901" t="s">
        <v>1353</v>
      </c>
      <c r="AR1901" t="s">
        <v>1354</v>
      </c>
      <c r="AS1901" t="s">
        <v>1355</v>
      </c>
      <c r="AT1901" t="s">
        <v>30742</v>
      </c>
      <c r="AU1901">
        <v>2022</v>
      </c>
      <c r="AV1901">
        <v>9</v>
      </c>
      <c r="BD1901">
        <v>969589</v>
      </c>
      <c r="BE1901" t="s">
        <v>30743</v>
      </c>
      <c r="BF1901" t="s">
        <v>30744</v>
      </c>
      <c r="BI1901">
        <v>7</v>
      </c>
      <c r="BJ1901" t="s">
        <v>247</v>
      </c>
      <c r="BK1901" t="s">
        <v>96</v>
      </c>
      <c r="BL1901" t="s">
        <v>248</v>
      </c>
      <c r="BM1901" t="s">
        <v>30745</v>
      </c>
      <c r="BO1901" t="s">
        <v>873</v>
      </c>
      <c r="BR1901" t="s">
        <v>98</v>
      </c>
      <c r="BS1901" t="s">
        <v>30746</v>
      </c>
      <c r="BT1901" t="s">
        <v>16602</v>
      </c>
    </row>
    <row r="1902" spans="1:72">
      <c r="A1902" t="s">
        <v>72</v>
      </c>
      <c r="B1902" t="s">
        <v>30747</v>
      </c>
      <c r="F1902" t="s">
        <v>30747</v>
      </c>
      <c r="I1902" t="s">
        <v>30748</v>
      </c>
      <c r="J1902" t="s">
        <v>2894</v>
      </c>
      <c r="M1902" t="s">
        <v>78</v>
      </c>
      <c r="N1902" t="s">
        <v>79</v>
      </c>
      <c r="U1902" t="s">
        <v>30749</v>
      </c>
      <c r="V1902" t="s">
        <v>30750</v>
      </c>
      <c r="W1902" t="s">
        <v>30751</v>
      </c>
      <c r="X1902" t="s">
        <v>30752</v>
      </c>
      <c r="Y1902" t="s">
        <v>30753</v>
      </c>
      <c r="AG1902">
        <v>40</v>
      </c>
      <c r="AH1902">
        <v>27</v>
      </c>
      <c r="AI1902">
        <v>28</v>
      </c>
      <c r="AJ1902">
        <v>0</v>
      </c>
      <c r="AK1902">
        <v>5</v>
      </c>
      <c r="AL1902" t="s">
        <v>2904</v>
      </c>
      <c r="AM1902" t="s">
        <v>2905</v>
      </c>
      <c r="AN1902" t="s">
        <v>2906</v>
      </c>
      <c r="AO1902" t="s">
        <v>2907</v>
      </c>
      <c r="AR1902" t="s">
        <v>2908</v>
      </c>
      <c r="AS1902" t="s">
        <v>2909</v>
      </c>
      <c r="AT1902" t="s">
        <v>224</v>
      </c>
      <c r="AU1902">
        <v>1991</v>
      </c>
      <c r="AV1902">
        <v>70</v>
      </c>
      <c r="AW1902">
        <v>2</v>
      </c>
      <c r="BB1902">
        <v>165</v>
      </c>
      <c r="BC1902">
        <v>174</v>
      </c>
      <c r="BE1902" t="s">
        <v>30754</v>
      </c>
      <c r="BF1902" t="s">
        <v>30755</v>
      </c>
      <c r="BI1902">
        <v>10</v>
      </c>
      <c r="BJ1902" t="s">
        <v>2911</v>
      </c>
      <c r="BK1902" t="s">
        <v>96</v>
      </c>
      <c r="BL1902" t="s">
        <v>2912</v>
      </c>
      <c r="BM1902" t="s">
        <v>30756</v>
      </c>
      <c r="BO1902" t="s">
        <v>370</v>
      </c>
      <c r="BR1902" t="s">
        <v>98</v>
      </c>
      <c r="BS1902" t="s">
        <v>30757</v>
      </c>
      <c r="BT1902" t="s">
        <v>16602</v>
      </c>
    </row>
    <row r="1903" spans="1:72">
      <c r="A1903" t="s">
        <v>72</v>
      </c>
      <c r="B1903" t="s">
        <v>30758</v>
      </c>
      <c r="F1903" t="s">
        <v>30758</v>
      </c>
      <c r="I1903" t="s">
        <v>30759</v>
      </c>
      <c r="J1903" t="s">
        <v>10129</v>
      </c>
      <c r="M1903" t="s">
        <v>78</v>
      </c>
      <c r="N1903" t="s">
        <v>79</v>
      </c>
      <c r="T1903" t="s">
        <v>30760</v>
      </c>
      <c r="U1903" t="s">
        <v>30761</v>
      </c>
      <c r="V1903" t="s">
        <v>30762</v>
      </c>
      <c r="W1903" t="s">
        <v>30763</v>
      </c>
      <c r="X1903" t="s">
        <v>30764</v>
      </c>
      <c r="Y1903" t="s">
        <v>30765</v>
      </c>
      <c r="AB1903" t="s">
        <v>23224</v>
      </c>
      <c r="AG1903">
        <v>45</v>
      </c>
      <c r="AH1903">
        <v>205</v>
      </c>
      <c r="AI1903">
        <v>224</v>
      </c>
      <c r="AJ1903">
        <v>1</v>
      </c>
      <c r="AK1903">
        <v>55</v>
      </c>
      <c r="AL1903" t="s">
        <v>3362</v>
      </c>
      <c r="AM1903" t="s">
        <v>3363</v>
      </c>
      <c r="AN1903" t="s">
        <v>3364</v>
      </c>
      <c r="AO1903" t="s">
        <v>10137</v>
      </c>
      <c r="AR1903" t="s">
        <v>10139</v>
      </c>
      <c r="AS1903" t="s">
        <v>10140</v>
      </c>
      <c r="AT1903" t="s">
        <v>305</v>
      </c>
      <c r="AU1903">
        <v>2003</v>
      </c>
      <c r="AV1903">
        <v>93</v>
      </c>
      <c r="AW1903">
        <v>1</v>
      </c>
      <c r="BB1903">
        <v>99</v>
      </c>
      <c r="BC1903">
        <v>112</v>
      </c>
      <c r="BE1903" t="s">
        <v>30766</v>
      </c>
      <c r="BF1903" t="s">
        <v>30767</v>
      </c>
      <c r="BI1903">
        <v>14</v>
      </c>
      <c r="BJ1903" t="s">
        <v>10142</v>
      </c>
      <c r="BK1903" t="s">
        <v>96</v>
      </c>
      <c r="BL1903" t="s">
        <v>10143</v>
      </c>
      <c r="BM1903" t="s">
        <v>30768</v>
      </c>
      <c r="BN1903">
        <v>12865053</v>
      </c>
      <c r="BR1903" t="s">
        <v>98</v>
      </c>
      <c r="BS1903" t="s">
        <v>30769</v>
      </c>
      <c r="BT1903" t="s">
        <v>16602</v>
      </c>
    </row>
    <row r="1904" spans="1:72">
      <c r="A1904" t="s">
        <v>72</v>
      </c>
      <c r="B1904" t="s">
        <v>30770</v>
      </c>
      <c r="F1904" t="s">
        <v>30771</v>
      </c>
      <c r="I1904" t="s">
        <v>30772</v>
      </c>
      <c r="J1904" t="s">
        <v>909</v>
      </c>
      <c r="M1904" t="s">
        <v>78</v>
      </c>
      <c r="N1904" t="s">
        <v>79</v>
      </c>
      <c r="T1904" t="s">
        <v>30773</v>
      </c>
      <c r="U1904" t="s">
        <v>30774</v>
      </c>
      <c r="V1904" t="s">
        <v>30775</v>
      </c>
      <c r="W1904" t="s">
        <v>30776</v>
      </c>
      <c r="X1904" t="s">
        <v>30777</v>
      </c>
      <c r="Y1904" t="s">
        <v>30778</v>
      </c>
      <c r="Z1904" t="s">
        <v>14843</v>
      </c>
      <c r="AA1904" t="s">
        <v>29552</v>
      </c>
      <c r="AB1904" t="s">
        <v>29553</v>
      </c>
      <c r="AC1904" t="s">
        <v>30779</v>
      </c>
      <c r="AD1904" t="s">
        <v>30780</v>
      </c>
      <c r="AE1904" t="s">
        <v>30781</v>
      </c>
      <c r="AG1904">
        <v>78</v>
      </c>
      <c r="AH1904">
        <v>2</v>
      </c>
      <c r="AI1904">
        <v>2</v>
      </c>
      <c r="AJ1904">
        <v>4</v>
      </c>
      <c r="AK1904">
        <v>21</v>
      </c>
      <c r="AL1904" t="s">
        <v>650</v>
      </c>
      <c r="AM1904" t="s">
        <v>651</v>
      </c>
      <c r="AN1904" t="s">
        <v>652</v>
      </c>
      <c r="AO1904" t="s">
        <v>921</v>
      </c>
      <c r="AP1904" t="s">
        <v>922</v>
      </c>
      <c r="AR1904" t="s">
        <v>923</v>
      </c>
      <c r="AS1904" t="s">
        <v>924</v>
      </c>
      <c r="AT1904" t="s">
        <v>17812</v>
      </c>
      <c r="AU1904">
        <v>2023</v>
      </c>
      <c r="AV1904">
        <v>868</v>
      </c>
      <c r="BD1904">
        <v>161598</v>
      </c>
      <c r="BE1904" t="s">
        <v>30782</v>
      </c>
      <c r="BF1904" t="s">
        <v>30783</v>
      </c>
      <c r="BH1904" t="s">
        <v>2057</v>
      </c>
      <c r="BI1904">
        <v>12</v>
      </c>
      <c r="BJ1904" t="s">
        <v>144</v>
      </c>
      <c r="BK1904" t="s">
        <v>96</v>
      </c>
      <c r="BL1904" t="s">
        <v>145</v>
      </c>
      <c r="BM1904" t="s">
        <v>30784</v>
      </c>
      <c r="BN1904">
        <v>36646227</v>
      </c>
      <c r="BR1904" t="s">
        <v>98</v>
      </c>
      <c r="BS1904" t="s">
        <v>30785</v>
      </c>
      <c r="BT1904" t="s">
        <v>16602</v>
      </c>
    </row>
    <row r="1905" spans="1:72">
      <c r="A1905" t="s">
        <v>72</v>
      </c>
      <c r="B1905" t="s">
        <v>30786</v>
      </c>
      <c r="F1905" t="s">
        <v>30787</v>
      </c>
      <c r="I1905" t="s">
        <v>30788</v>
      </c>
      <c r="J1905" t="s">
        <v>232</v>
      </c>
      <c r="M1905" t="s">
        <v>78</v>
      </c>
      <c r="N1905" t="s">
        <v>79</v>
      </c>
      <c r="T1905" t="s">
        <v>30789</v>
      </c>
      <c r="U1905" t="s">
        <v>30790</v>
      </c>
      <c r="V1905" t="s">
        <v>30791</v>
      </c>
      <c r="W1905" t="s">
        <v>30792</v>
      </c>
      <c r="X1905" t="s">
        <v>30793</v>
      </c>
      <c r="Y1905" t="s">
        <v>30794</v>
      </c>
      <c r="Z1905" t="s">
        <v>17057</v>
      </c>
      <c r="AA1905" t="s">
        <v>19868</v>
      </c>
      <c r="AB1905" t="s">
        <v>30795</v>
      </c>
      <c r="AC1905" t="s">
        <v>17060</v>
      </c>
      <c r="AD1905" t="s">
        <v>17061</v>
      </c>
      <c r="AE1905" t="s">
        <v>30796</v>
      </c>
      <c r="AG1905">
        <v>67</v>
      </c>
      <c r="AH1905">
        <v>5</v>
      </c>
      <c r="AI1905">
        <v>5</v>
      </c>
      <c r="AJ1905">
        <v>1</v>
      </c>
      <c r="AK1905">
        <v>11</v>
      </c>
      <c r="AL1905" t="s">
        <v>136</v>
      </c>
      <c r="AM1905" t="s">
        <v>137</v>
      </c>
      <c r="AN1905" t="s">
        <v>138</v>
      </c>
      <c r="AO1905" t="s">
        <v>240</v>
      </c>
      <c r="AP1905" t="s">
        <v>241</v>
      </c>
      <c r="AR1905" t="s">
        <v>242</v>
      </c>
      <c r="AS1905" t="s">
        <v>243</v>
      </c>
      <c r="AT1905" t="s">
        <v>119</v>
      </c>
      <c r="AU1905">
        <v>2022</v>
      </c>
      <c r="AV1905">
        <v>181</v>
      </c>
      <c r="BD1905">
        <v>113827</v>
      </c>
      <c r="BE1905" t="s">
        <v>30797</v>
      </c>
      <c r="BF1905" t="s">
        <v>30798</v>
      </c>
      <c r="BH1905" t="s">
        <v>18991</v>
      </c>
      <c r="BI1905">
        <v>10</v>
      </c>
      <c r="BJ1905" t="s">
        <v>247</v>
      </c>
      <c r="BK1905" t="s">
        <v>96</v>
      </c>
      <c r="BL1905" t="s">
        <v>248</v>
      </c>
      <c r="BM1905" t="s">
        <v>30799</v>
      </c>
      <c r="BN1905">
        <v>35716490</v>
      </c>
      <c r="BR1905" t="s">
        <v>98</v>
      </c>
      <c r="BS1905" t="s">
        <v>30800</v>
      </c>
      <c r="BT1905" t="s">
        <v>16602</v>
      </c>
    </row>
    <row r="1906" spans="1:72">
      <c r="A1906" t="s">
        <v>72</v>
      </c>
      <c r="B1906" t="s">
        <v>30801</v>
      </c>
      <c r="F1906" t="s">
        <v>30802</v>
      </c>
      <c r="I1906" t="s">
        <v>30803</v>
      </c>
      <c r="J1906" t="s">
        <v>909</v>
      </c>
      <c r="M1906" t="s">
        <v>78</v>
      </c>
      <c r="N1906" t="s">
        <v>79</v>
      </c>
      <c r="T1906" t="s">
        <v>30804</v>
      </c>
      <c r="U1906" t="s">
        <v>30805</v>
      </c>
      <c r="V1906" t="s">
        <v>30806</v>
      </c>
      <c r="W1906" t="s">
        <v>30807</v>
      </c>
      <c r="X1906" t="s">
        <v>30808</v>
      </c>
      <c r="Y1906" t="s">
        <v>30809</v>
      </c>
      <c r="Z1906" t="s">
        <v>30810</v>
      </c>
      <c r="AA1906" t="s">
        <v>30811</v>
      </c>
      <c r="AC1906" t="s">
        <v>30812</v>
      </c>
      <c r="AD1906" t="s">
        <v>30813</v>
      </c>
      <c r="AE1906" t="s">
        <v>30814</v>
      </c>
      <c r="AG1906">
        <v>46</v>
      </c>
      <c r="AH1906">
        <v>2</v>
      </c>
      <c r="AI1906">
        <v>2</v>
      </c>
      <c r="AJ1906">
        <v>4</v>
      </c>
      <c r="AK1906">
        <v>9</v>
      </c>
      <c r="AL1906" t="s">
        <v>650</v>
      </c>
      <c r="AM1906" t="s">
        <v>651</v>
      </c>
      <c r="AN1906" t="s">
        <v>652</v>
      </c>
      <c r="AO1906" t="s">
        <v>921</v>
      </c>
      <c r="AP1906" t="s">
        <v>922</v>
      </c>
      <c r="AR1906" t="s">
        <v>923</v>
      </c>
      <c r="AS1906" t="s">
        <v>924</v>
      </c>
      <c r="AT1906" t="s">
        <v>6052</v>
      </c>
      <c r="AU1906">
        <v>2024</v>
      </c>
      <c r="AV1906">
        <v>914</v>
      </c>
      <c r="BD1906">
        <v>169816</v>
      </c>
      <c r="BE1906" t="s">
        <v>30815</v>
      </c>
      <c r="BF1906" t="s">
        <v>30816</v>
      </c>
      <c r="BH1906" t="s">
        <v>5287</v>
      </c>
      <c r="BI1906">
        <v>7</v>
      </c>
      <c r="BJ1906" t="s">
        <v>144</v>
      </c>
      <c r="BK1906" t="s">
        <v>96</v>
      </c>
      <c r="BL1906" t="s">
        <v>145</v>
      </c>
      <c r="BM1906" t="s">
        <v>30817</v>
      </c>
      <c r="BN1906">
        <v>38181965</v>
      </c>
      <c r="BR1906" t="s">
        <v>98</v>
      </c>
      <c r="BS1906" t="s">
        <v>30818</v>
      </c>
      <c r="BT1906" t="s">
        <v>16602</v>
      </c>
    </row>
    <row r="1907" spans="1:72">
      <c r="A1907" t="s">
        <v>72</v>
      </c>
      <c r="B1907" t="s">
        <v>30819</v>
      </c>
      <c r="F1907" t="s">
        <v>30820</v>
      </c>
      <c r="I1907" t="s">
        <v>30821</v>
      </c>
      <c r="J1907" t="s">
        <v>998</v>
      </c>
      <c r="M1907" t="s">
        <v>78</v>
      </c>
      <c r="N1907" t="s">
        <v>79</v>
      </c>
      <c r="U1907" t="s">
        <v>30822</v>
      </c>
      <c r="V1907" t="s">
        <v>30823</v>
      </c>
      <c r="W1907" t="s">
        <v>30824</v>
      </c>
      <c r="X1907" t="s">
        <v>30825</v>
      </c>
      <c r="Y1907" t="s">
        <v>30826</v>
      </c>
      <c r="Z1907" t="s">
        <v>30827</v>
      </c>
      <c r="AA1907" t="s">
        <v>30828</v>
      </c>
      <c r="AB1907" t="s">
        <v>30829</v>
      </c>
      <c r="AC1907" t="s">
        <v>30830</v>
      </c>
      <c r="AD1907" t="s">
        <v>30831</v>
      </c>
      <c r="AE1907" t="s">
        <v>30832</v>
      </c>
      <c r="AG1907">
        <v>77</v>
      </c>
      <c r="AH1907">
        <v>20</v>
      </c>
      <c r="AI1907">
        <v>20</v>
      </c>
      <c r="AJ1907">
        <v>0</v>
      </c>
      <c r="AK1907">
        <v>25</v>
      </c>
      <c r="AL1907" t="s">
        <v>112</v>
      </c>
      <c r="AM1907" t="s">
        <v>113</v>
      </c>
      <c r="AN1907" t="s">
        <v>469</v>
      </c>
      <c r="AO1907" t="s">
        <v>1009</v>
      </c>
      <c r="AP1907" t="s">
        <v>5996</v>
      </c>
      <c r="AR1907" t="s">
        <v>1010</v>
      </c>
      <c r="AS1907" t="s">
        <v>1011</v>
      </c>
      <c r="AT1907" t="s">
        <v>224</v>
      </c>
      <c r="AU1907">
        <v>2016</v>
      </c>
      <c r="AV1907">
        <v>70</v>
      </c>
      <c r="AW1907">
        <v>2</v>
      </c>
      <c r="BB1907">
        <v>241</v>
      </c>
      <c r="BC1907">
        <v>256</v>
      </c>
      <c r="BE1907" t="s">
        <v>30833</v>
      </c>
      <c r="BF1907" t="s">
        <v>30834</v>
      </c>
      <c r="BI1907">
        <v>16</v>
      </c>
      <c r="BJ1907" t="s">
        <v>121</v>
      </c>
      <c r="BK1907" t="s">
        <v>96</v>
      </c>
      <c r="BL1907" t="s">
        <v>122</v>
      </c>
      <c r="BM1907" t="s">
        <v>30835</v>
      </c>
      <c r="BN1907">
        <v>26077924</v>
      </c>
      <c r="BR1907" t="s">
        <v>98</v>
      </c>
      <c r="BS1907" t="s">
        <v>30836</v>
      </c>
      <c r="BT1907" t="s">
        <v>16602</v>
      </c>
    </row>
    <row r="1908" spans="1:72">
      <c r="A1908" t="s">
        <v>72</v>
      </c>
      <c r="B1908" t="s">
        <v>10803</v>
      </c>
      <c r="F1908" t="s">
        <v>10803</v>
      </c>
      <c r="I1908" t="s">
        <v>30837</v>
      </c>
      <c r="J1908" t="s">
        <v>752</v>
      </c>
      <c r="M1908" t="s">
        <v>78</v>
      </c>
      <c r="N1908" t="s">
        <v>79</v>
      </c>
      <c r="T1908" t="s">
        <v>30838</v>
      </c>
      <c r="U1908" t="s">
        <v>30839</v>
      </c>
      <c r="V1908" t="s">
        <v>30840</v>
      </c>
      <c r="W1908" t="s">
        <v>30841</v>
      </c>
      <c r="X1908" t="s">
        <v>10809</v>
      </c>
      <c r="Y1908" t="s">
        <v>30842</v>
      </c>
      <c r="AG1908">
        <v>38</v>
      </c>
      <c r="AH1908">
        <v>162</v>
      </c>
      <c r="AI1908">
        <v>182</v>
      </c>
      <c r="AJ1908">
        <v>0</v>
      </c>
      <c r="AK1908">
        <v>31</v>
      </c>
      <c r="AL1908" t="s">
        <v>430</v>
      </c>
      <c r="AM1908" t="s">
        <v>137</v>
      </c>
      <c r="AN1908" t="s">
        <v>431</v>
      </c>
      <c r="AO1908" t="s">
        <v>761</v>
      </c>
      <c r="AR1908" t="s">
        <v>763</v>
      </c>
      <c r="AS1908" t="s">
        <v>764</v>
      </c>
      <c r="AT1908" t="s">
        <v>1223</v>
      </c>
      <c r="AU1908">
        <v>2002</v>
      </c>
      <c r="AV1908">
        <v>53</v>
      </c>
      <c r="AW1908">
        <v>2</v>
      </c>
      <c r="BB1908">
        <v>117</v>
      </c>
      <c r="BC1908">
        <v>143</v>
      </c>
      <c r="BE1908" t="s">
        <v>30843</v>
      </c>
      <c r="BF1908" t="s">
        <v>30844</v>
      </c>
      <c r="BI1908">
        <v>27</v>
      </c>
      <c r="BJ1908" t="s">
        <v>768</v>
      </c>
      <c r="BK1908" t="s">
        <v>96</v>
      </c>
      <c r="BL1908" t="s">
        <v>769</v>
      </c>
      <c r="BM1908" t="s">
        <v>30845</v>
      </c>
      <c r="BN1908">
        <v>11824825</v>
      </c>
      <c r="BR1908" t="s">
        <v>98</v>
      </c>
      <c r="BS1908" t="s">
        <v>30846</v>
      </c>
      <c r="BT1908" t="s">
        <v>16602</v>
      </c>
    </row>
    <row r="1909" spans="1:72">
      <c r="A1909" t="s">
        <v>72</v>
      </c>
      <c r="B1909" t="s">
        <v>30847</v>
      </c>
      <c r="F1909" t="s">
        <v>30848</v>
      </c>
      <c r="I1909" t="s">
        <v>30849</v>
      </c>
      <c r="J1909" t="s">
        <v>204</v>
      </c>
      <c r="M1909" t="s">
        <v>78</v>
      </c>
      <c r="N1909" t="s">
        <v>79</v>
      </c>
      <c r="T1909" t="s">
        <v>30850</v>
      </c>
      <c r="U1909" t="s">
        <v>30851</v>
      </c>
      <c r="V1909" t="s">
        <v>30852</v>
      </c>
      <c r="W1909" t="s">
        <v>30853</v>
      </c>
      <c r="X1909" t="s">
        <v>30854</v>
      </c>
      <c r="Y1909" t="s">
        <v>30855</v>
      </c>
      <c r="Z1909" t="s">
        <v>30856</v>
      </c>
      <c r="AA1909" t="s">
        <v>30857</v>
      </c>
      <c r="AB1909" t="s">
        <v>30858</v>
      </c>
      <c r="AC1909" t="s">
        <v>30859</v>
      </c>
      <c r="AD1909" t="s">
        <v>30860</v>
      </c>
      <c r="AE1909" t="s">
        <v>30861</v>
      </c>
      <c r="AG1909">
        <v>37</v>
      </c>
      <c r="AH1909">
        <v>28</v>
      </c>
      <c r="AI1909">
        <v>33</v>
      </c>
      <c r="AJ1909">
        <v>3</v>
      </c>
      <c r="AK1909">
        <v>68</v>
      </c>
      <c r="AL1909" t="s">
        <v>217</v>
      </c>
      <c r="AM1909" t="s">
        <v>218</v>
      </c>
      <c r="AN1909" t="s">
        <v>219</v>
      </c>
      <c r="AO1909" t="s">
        <v>220</v>
      </c>
      <c r="AP1909" t="s">
        <v>221</v>
      </c>
      <c r="AR1909" t="s">
        <v>222</v>
      </c>
      <c r="AS1909" t="s">
        <v>223</v>
      </c>
      <c r="AT1909" t="s">
        <v>197</v>
      </c>
      <c r="AU1909">
        <v>2014</v>
      </c>
      <c r="AV1909">
        <v>21</v>
      </c>
      <c r="AW1909">
        <v>23</v>
      </c>
      <c r="BB1909">
        <v>13315</v>
      </c>
      <c r="BC1909">
        <v>13323</v>
      </c>
      <c r="BE1909" t="s">
        <v>30862</v>
      </c>
      <c r="BF1909" t="s">
        <v>30863</v>
      </c>
      <c r="BI1909">
        <v>9</v>
      </c>
      <c r="BJ1909" t="s">
        <v>144</v>
      </c>
      <c r="BK1909" t="s">
        <v>96</v>
      </c>
      <c r="BL1909" t="s">
        <v>145</v>
      </c>
      <c r="BM1909" t="s">
        <v>30864</v>
      </c>
      <c r="BN1909">
        <v>24756666</v>
      </c>
      <c r="BR1909" t="s">
        <v>98</v>
      </c>
      <c r="BS1909" t="s">
        <v>30865</v>
      </c>
      <c r="BT1909" t="s">
        <v>16602</v>
      </c>
    </row>
    <row r="1910" spans="1:72">
      <c r="A1910" t="s">
        <v>72</v>
      </c>
      <c r="B1910" t="s">
        <v>30866</v>
      </c>
      <c r="F1910" t="s">
        <v>30867</v>
      </c>
      <c r="I1910" t="s">
        <v>30868</v>
      </c>
      <c r="J1910" t="s">
        <v>14858</v>
      </c>
      <c r="M1910" t="s">
        <v>78</v>
      </c>
      <c r="N1910" t="s">
        <v>79</v>
      </c>
      <c r="T1910" t="s">
        <v>30869</v>
      </c>
      <c r="U1910" t="s">
        <v>30870</v>
      </c>
      <c r="V1910" t="s">
        <v>30871</v>
      </c>
      <c r="W1910" t="s">
        <v>30872</v>
      </c>
      <c r="X1910" t="s">
        <v>30873</v>
      </c>
      <c r="Y1910" t="s">
        <v>30874</v>
      </c>
      <c r="Z1910" t="s">
        <v>30875</v>
      </c>
      <c r="AA1910" t="s">
        <v>30876</v>
      </c>
      <c r="AB1910" t="s">
        <v>30877</v>
      </c>
      <c r="AC1910" t="s">
        <v>30878</v>
      </c>
      <c r="AD1910" t="s">
        <v>30879</v>
      </c>
      <c r="AE1910" t="s">
        <v>30880</v>
      </c>
      <c r="AG1910">
        <v>81</v>
      </c>
      <c r="AH1910">
        <v>15</v>
      </c>
      <c r="AI1910">
        <v>17</v>
      </c>
      <c r="AJ1910">
        <v>2</v>
      </c>
      <c r="AK1910">
        <v>39</v>
      </c>
      <c r="AL1910" t="s">
        <v>1350</v>
      </c>
      <c r="AM1910" t="s">
        <v>1351</v>
      </c>
      <c r="AN1910" t="s">
        <v>1352</v>
      </c>
      <c r="AO1910" t="s">
        <v>14870</v>
      </c>
      <c r="AR1910" t="s">
        <v>14871</v>
      </c>
      <c r="AS1910" t="s">
        <v>14872</v>
      </c>
      <c r="AT1910" t="s">
        <v>325</v>
      </c>
      <c r="AU1910">
        <v>2018</v>
      </c>
      <c r="AV1910">
        <v>9</v>
      </c>
      <c r="BD1910">
        <v>1349</v>
      </c>
      <c r="BE1910" t="s">
        <v>30881</v>
      </c>
      <c r="BF1910" t="s">
        <v>30882</v>
      </c>
      <c r="BI1910">
        <v>12</v>
      </c>
      <c r="BJ1910" t="s">
        <v>7548</v>
      </c>
      <c r="BK1910" t="s">
        <v>96</v>
      </c>
      <c r="BL1910" t="s">
        <v>7548</v>
      </c>
      <c r="BM1910" t="s">
        <v>30883</v>
      </c>
      <c r="BN1910">
        <v>30374307</v>
      </c>
      <c r="BO1910" t="s">
        <v>2155</v>
      </c>
      <c r="BR1910" t="s">
        <v>98</v>
      </c>
      <c r="BS1910" t="s">
        <v>30884</v>
      </c>
      <c r="BT1910" t="s">
        <v>16602</v>
      </c>
    </row>
    <row r="1911" spans="1:72">
      <c r="A1911" t="s">
        <v>72</v>
      </c>
      <c r="B1911" t="s">
        <v>30885</v>
      </c>
      <c r="F1911" t="s">
        <v>30885</v>
      </c>
      <c r="I1911" t="s">
        <v>30886</v>
      </c>
      <c r="J1911" t="s">
        <v>232</v>
      </c>
      <c r="M1911" t="s">
        <v>78</v>
      </c>
      <c r="N1911" t="s">
        <v>79</v>
      </c>
      <c r="V1911" t="s">
        <v>30887</v>
      </c>
      <c r="W1911" t="s">
        <v>30888</v>
      </c>
      <c r="X1911" t="s">
        <v>30889</v>
      </c>
      <c r="Y1911" t="s">
        <v>30890</v>
      </c>
      <c r="AA1911" t="s">
        <v>25781</v>
      </c>
      <c r="AG1911">
        <v>19</v>
      </c>
      <c r="AH1911">
        <v>56</v>
      </c>
      <c r="AI1911">
        <v>61</v>
      </c>
      <c r="AJ1911">
        <v>0</v>
      </c>
      <c r="AK1911">
        <v>5</v>
      </c>
      <c r="AL1911" t="s">
        <v>136</v>
      </c>
      <c r="AM1911" t="s">
        <v>137</v>
      </c>
      <c r="AN1911" t="s">
        <v>138</v>
      </c>
      <c r="AO1911" t="s">
        <v>240</v>
      </c>
      <c r="AP1911" t="s">
        <v>241</v>
      </c>
      <c r="AR1911" t="s">
        <v>242</v>
      </c>
      <c r="AS1911" t="s">
        <v>243</v>
      </c>
      <c r="AU1911">
        <v>1979</v>
      </c>
      <c r="AV1911">
        <v>10</v>
      </c>
      <c r="AW1911">
        <v>2</v>
      </c>
      <c r="BB1911">
        <v>50</v>
      </c>
      <c r="BC1911">
        <v>56</v>
      </c>
      <c r="BE1911" t="s">
        <v>30891</v>
      </c>
      <c r="BF1911" t="s">
        <v>30892</v>
      </c>
      <c r="BI1911">
        <v>7</v>
      </c>
      <c r="BJ1911" t="s">
        <v>247</v>
      </c>
      <c r="BK1911" t="s">
        <v>96</v>
      </c>
      <c r="BL1911" t="s">
        <v>248</v>
      </c>
      <c r="BM1911" t="s">
        <v>30893</v>
      </c>
      <c r="BR1911" t="s">
        <v>98</v>
      </c>
      <c r="BS1911" t="s">
        <v>30894</v>
      </c>
      <c r="BT1911" t="s">
        <v>16602</v>
      </c>
    </row>
    <row r="1912" spans="1:72">
      <c r="A1912" t="s">
        <v>72</v>
      </c>
      <c r="B1912" t="s">
        <v>30895</v>
      </c>
      <c r="F1912" t="s">
        <v>30896</v>
      </c>
      <c r="I1912" t="s">
        <v>30897</v>
      </c>
      <c r="J1912" t="s">
        <v>4963</v>
      </c>
      <c r="M1912" t="s">
        <v>78</v>
      </c>
      <c r="N1912" t="s">
        <v>79</v>
      </c>
      <c r="T1912" t="s">
        <v>30898</v>
      </c>
      <c r="U1912" t="s">
        <v>30899</v>
      </c>
      <c r="V1912" t="s">
        <v>30900</v>
      </c>
      <c r="W1912" t="s">
        <v>30901</v>
      </c>
      <c r="X1912" t="s">
        <v>30902</v>
      </c>
      <c r="Y1912" t="s">
        <v>30903</v>
      </c>
      <c r="Z1912" t="s">
        <v>30904</v>
      </c>
      <c r="AA1912" t="s">
        <v>30905</v>
      </c>
      <c r="AG1912">
        <v>87</v>
      </c>
      <c r="AH1912">
        <v>3</v>
      </c>
      <c r="AI1912">
        <v>3</v>
      </c>
      <c r="AJ1912">
        <v>2</v>
      </c>
      <c r="AK1912">
        <v>19</v>
      </c>
      <c r="AL1912" t="s">
        <v>2074</v>
      </c>
      <c r="AM1912" t="s">
        <v>2075</v>
      </c>
      <c r="AN1912" t="s">
        <v>2076</v>
      </c>
      <c r="AO1912" t="s">
        <v>4976</v>
      </c>
      <c r="AP1912" t="s">
        <v>4977</v>
      </c>
      <c r="AR1912" t="s">
        <v>4978</v>
      </c>
      <c r="AS1912" t="s">
        <v>4979</v>
      </c>
      <c r="AT1912" t="s">
        <v>325</v>
      </c>
      <c r="AU1912">
        <v>2021</v>
      </c>
      <c r="AV1912">
        <v>42</v>
      </c>
      <c r="AW1912">
        <v>23</v>
      </c>
      <c r="BB1912">
        <v>3651</v>
      </c>
      <c r="BC1912">
        <v>3662</v>
      </c>
      <c r="BE1912" t="s">
        <v>30906</v>
      </c>
      <c r="BF1912" t="s">
        <v>30907</v>
      </c>
      <c r="BH1912" t="s">
        <v>4681</v>
      </c>
      <c r="BI1912">
        <v>12</v>
      </c>
      <c r="BJ1912" t="s">
        <v>144</v>
      </c>
      <c r="BK1912" t="s">
        <v>96</v>
      </c>
      <c r="BL1912" t="s">
        <v>145</v>
      </c>
      <c r="BM1912" t="s">
        <v>30908</v>
      </c>
      <c r="BN1912">
        <v>32149584</v>
      </c>
      <c r="BR1912" t="s">
        <v>98</v>
      </c>
      <c r="BS1912" t="s">
        <v>30909</v>
      </c>
      <c r="BT1912" t="s">
        <v>16602</v>
      </c>
    </row>
    <row r="1913" spans="1:72">
      <c r="A1913" t="s">
        <v>72</v>
      </c>
      <c r="B1913" t="s">
        <v>30910</v>
      </c>
      <c r="F1913" t="s">
        <v>30910</v>
      </c>
      <c r="I1913" t="s">
        <v>30911</v>
      </c>
      <c r="J1913" t="s">
        <v>3349</v>
      </c>
      <c r="M1913" t="s">
        <v>78</v>
      </c>
      <c r="N1913" t="s">
        <v>79</v>
      </c>
      <c r="T1913" t="s">
        <v>30912</v>
      </c>
      <c r="U1913" t="s">
        <v>30913</v>
      </c>
      <c r="V1913" t="s">
        <v>30914</v>
      </c>
      <c r="W1913" t="s">
        <v>30915</v>
      </c>
      <c r="X1913" t="s">
        <v>25054</v>
      </c>
      <c r="Y1913" t="s">
        <v>30916</v>
      </c>
      <c r="Z1913" t="s">
        <v>30917</v>
      </c>
      <c r="AA1913" t="s">
        <v>30918</v>
      </c>
      <c r="AB1913" t="s">
        <v>30919</v>
      </c>
      <c r="AG1913">
        <v>40</v>
      </c>
      <c r="AH1913">
        <v>44</v>
      </c>
      <c r="AI1913">
        <v>48</v>
      </c>
      <c r="AJ1913">
        <v>1</v>
      </c>
      <c r="AK1913">
        <v>18</v>
      </c>
      <c r="AL1913" t="s">
        <v>3362</v>
      </c>
      <c r="AM1913" t="s">
        <v>3363</v>
      </c>
      <c r="AN1913" t="s">
        <v>3364</v>
      </c>
      <c r="AO1913" t="s">
        <v>3365</v>
      </c>
      <c r="AR1913" t="s">
        <v>3367</v>
      </c>
      <c r="AS1913" t="s">
        <v>3368</v>
      </c>
      <c r="AT1913" t="s">
        <v>1223</v>
      </c>
      <c r="AU1913">
        <v>2006</v>
      </c>
      <c r="AV1913">
        <v>63</v>
      </c>
      <c r="AW1913">
        <v>3</v>
      </c>
      <c r="BB1913">
        <v>406</v>
      </c>
      <c r="BC1913">
        <v>412</v>
      </c>
      <c r="BE1913" t="s">
        <v>30920</v>
      </c>
      <c r="BF1913" t="s">
        <v>30921</v>
      </c>
      <c r="BI1913">
        <v>7</v>
      </c>
      <c r="BJ1913" t="s">
        <v>121</v>
      </c>
      <c r="BK1913" t="s">
        <v>96</v>
      </c>
      <c r="BL1913" t="s">
        <v>122</v>
      </c>
      <c r="BM1913" t="s">
        <v>30922</v>
      </c>
      <c r="BN1913">
        <v>16406590</v>
      </c>
      <c r="BR1913" t="s">
        <v>98</v>
      </c>
      <c r="BS1913" t="s">
        <v>30923</v>
      </c>
      <c r="BT1913" t="s">
        <v>16602</v>
      </c>
    </row>
    <row r="1914" spans="1:72">
      <c r="A1914" t="s">
        <v>72</v>
      </c>
      <c r="B1914" t="s">
        <v>30924</v>
      </c>
      <c r="F1914" t="s">
        <v>30924</v>
      </c>
      <c r="I1914" t="s">
        <v>30925</v>
      </c>
      <c r="J1914" t="s">
        <v>127</v>
      </c>
      <c r="M1914" t="s">
        <v>78</v>
      </c>
      <c r="N1914" t="s">
        <v>151</v>
      </c>
      <c r="O1914" t="s">
        <v>30926</v>
      </c>
      <c r="P1914" t="s">
        <v>30927</v>
      </c>
      <c r="Q1914" t="s">
        <v>30928</v>
      </c>
      <c r="S1914" t="s">
        <v>30929</v>
      </c>
      <c r="V1914" t="s">
        <v>30930</v>
      </c>
      <c r="W1914" t="s">
        <v>30931</v>
      </c>
      <c r="X1914" t="s">
        <v>30932</v>
      </c>
      <c r="Y1914" t="s">
        <v>30933</v>
      </c>
      <c r="AA1914" t="s">
        <v>30934</v>
      </c>
      <c r="AG1914">
        <v>8</v>
      </c>
      <c r="AH1914">
        <v>20</v>
      </c>
      <c r="AI1914">
        <v>20</v>
      </c>
      <c r="AJ1914">
        <v>0</v>
      </c>
      <c r="AK1914">
        <v>3</v>
      </c>
      <c r="AL1914" t="s">
        <v>136</v>
      </c>
      <c r="AM1914" t="s">
        <v>137</v>
      </c>
      <c r="AN1914" t="s">
        <v>138</v>
      </c>
      <c r="AO1914" t="s">
        <v>139</v>
      </c>
      <c r="AR1914" t="s">
        <v>127</v>
      </c>
      <c r="AS1914" t="s">
        <v>141</v>
      </c>
      <c r="AT1914" t="s">
        <v>170</v>
      </c>
      <c r="AU1914">
        <v>1997</v>
      </c>
      <c r="AV1914">
        <v>34</v>
      </c>
      <c r="AW1914" t="s">
        <v>14188</v>
      </c>
      <c r="BB1914">
        <v>2143</v>
      </c>
      <c r="BC1914">
        <v>2151</v>
      </c>
      <c r="BE1914" t="s">
        <v>30935</v>
      </c>
      <c r="BF1914" t="s">
        <v>30936</v>
      </c>
      <c r="BI1914">
        <v>9</v>
      </c>
      <c r="BJ1914" t="s">
        <v>144</v>
      </c>
      <c r="BK1914" t="s">
        <v>172</v>
      </c>
      <c r="BL1914" t="s">
        <v>145</v>
      </c>
      <c r="BM1914" t="s">
        <v>30937</v>
      </c>
      <c r="BN1914">
        <v>9159910</v>
      </c>
      <c r="BR1914" t="s">
        <v>98</v>
      </c>
      <c r="BS1914" t="s">
        <v>30938</v>
      </c>
      <c r="BT1914" t="s">
        <v>16602</v>
      </c>
    </row>
    <row r="1915" spans="1:72">
      <c r="A1915" t="s">
        <v>72</v>
      </c>
      <c r="B1915" t="s">
        <v>30939</v>
      </c>
      <c r="F1915" t="s">
        <v>30940</v>
      </c>
      <c r="I1915" t="s">
        <v>30941</v>
      </c>
      <c r="J1915" t="s">
        <v>7854</v>
      </c>
      <c r="M1915" t="s">
        <v>78</v>
      </c>
      <c r="N1915" t="s">
        <v>79</v>
      </c>
      <c r="T1915" t="s">
        <v>30942</v>
      </c>
      <c r="U1915" t="s">
        <v>30943</v>
      </c>
      <c r="V1915" t="s">
        <v>30944</v>
      </c>
      <c r="W1915" t="s">
        <v>30945</v>
      </c>
      <c r="X1915" t="s">
        <v>10570</v>
      </c>
      <c r="Y1915" t="s">
        <v>30946</v>
      </c>
      <c r="Z1915" t="s">
        <v>27556</v>
      </c>
      <c r="AA1915" t="s">
        <v>30947</v>
      </c>
      <c r="AB1915" t="s">
        <v>7903</v>
      </c>
      <c r="AC1915" t="s">
        <v>30948</v>
      </c>
      <c r="AD1915" t="s">
        <v>30949</v>
      </c>
      <c r="AE1915" t="s">
        <v>30950</v>
      </c>
      <c r="AG1915">
        <v>69</v>
      </c>
      <c r="AH1915">
        <v>28</v>
      </c>
      <c r="AI1915">
        <v>28</v>
      </c>
      <c r="AJ1915">
        <v>4</v>
      </c>
      <c r="AK1915">
        <v>16</v>
      </c>
      <c r="AL1915" t="s">
        <v>112</v>
      </c>
      <c r="AM1915" t="s">
        <v>113</v>
      </c>
      <c r="AN1915" t="s">
        <v>469</v>
      </c>
      <c r="AO1915" t="s">
        <v>7867</v>
      </c>
      <c r="AP1915" t="s">
        <v>7868</v>
      </c>
      <c r="AR1915" t="s">
        <v>7869</v>
      </c>
      <c r="AS1915" t="s">
        <v>7870</v>
      </c>
      <c r="AT1915" t="s">
        <v>267</v>
      </c>
      <c r="AU1915">
        <v>2016</v>
      </c>
      <c r="AV1915">
        <v>75</v>
      </c>
      <c r="AW1915">
        <v>19</v>
      </c>
      <c r="BD1915">
        <v>1336</v>
      </c>
      <c r="BE1915" t="s">
        <v>30951</v>
      </c>
      <c r="BF1915" t="s">
        <v>30952</v>
      </c>
      <c r="BI1915">
        <v>14</v>
      </c>
      <c r="BJ1915" t="s">
        <v>7872</v>
      </c>
      <c r="BK1915" t="s">
        <v>96</v>
      </c>
      <c r="BL1915" t="s">
        <v>7873</v>
      </c>
      <c r="BM1915" t="s">
        <v>30953</v>
      </c>
      <c r="BR1915" t="s">
        <v>98</v>
      </c>
      <c r="BS1915" t="s">
        <v>30954</v>
      </c>
      <c r="BT1915" t="s">
        <v>16602</v>
      </c>
    </row>
    <row r="1916" spans="1:72">
      <c r="A1916" t="s">
        <v>72</v>
      </c>
      <c r="B1916" t="s">
        <v>30955</v>
      </c>
      <c r="F1916" t="s">
        <v>30956</v>
      </c>
      <c r="I1916" t="s">
        <v>30957</v>
      </c>
      <c r="J1916" t="s">
        <v>554</v>
      </c>
      <c r="M1916" t="s">
        <v>78</v>
      </c>
      <c r="N1916" t="s">
        <v>79</v>
      </c>
      <c r="T1916" t="s">
        <v>30958</v>
      </c>
      <c r="U1916" t="s">
        <v>30959</v>
      </c>
      <c r="V1916" t="s">
        <v>30960</v>
      </c>
      <c r="W1916" t="s">
        <v>30961</v>
      </c>
      <c r="X1916" t="s">
        <v>30962</v>
      </c>
      <c r="Y1916" t="s">
        <v>30963</v>
      </c>
      <c r="Z1916" t="s">
        <v>26270</v>
      </c>
      <c r="AC1916" t="s">
        <v>30964</v>
      </c>
      <c r="AD1916" t="s">
        <v>30965</v>
      </c>
      <c r="AE1916" t="s">
        <v>30966</v>
      </c>
      <c r="AG1916">
        <v>38</v>
      </c>
      <c r="AH1916">
        <v>14</v>
      </c>
      <c r="AI1916">
        <v>18</v>
      </c>
      <c r="AJ1916">
        <v>1</v>
      </c>
      <c r="AK1916">
        <v>15</v>
      </c>
      <c r="AL1916" t="s">
        <v>564</v>
      </c>
      <c r="AM1916" t="s">
        <v>113</v>
      </c>
      <c r="AN1916" t="s">
        <v>807</v>
      </c>
      <c r="AO1916" t="s">
        <v>566</v>
      </c>
      <c r="AP1916" t="s">
        <v>567</v>
      </c>
      <c r="AR1916" t="s">
        <v>568</v>
      </c>
      <c r="AS1916" t="s">
        <v>569</v>
      </c>
      <c r="AT1916" t="s">
        <v>119</v>
      </c>
      <c r="AU1916">
        <v>2011</v>
      </c>
      <c r="AV1916">
        <v>154</v>
      </c>
      <c r="AW1916">
        <v>2</v>
      </c>
      <c r="BB1916">
        <v>100</v>
      </c>
      <c r="BC1916">
        <v>107</v>
      </c>
      <c r="BE1916" t="s">
        <v>30967</v>
      </c>
      <c r="BF1916" t="s">
        <v>30968</v>
      </c>
      <c r="BI1916">
        <v>8</v>
      </c>
      <c r="BJ1916" t="s">
        <v>571</v>
      </c>
      <c r="BK1916" t="s">
        <v>96</v>
      </c>
      <c r="BL1916" t="s">
        <v>571</v>
      </c>
      <c r="BM1916" t="s">
        <v>30969</v>
      </c>
      <c r="BN1916">
        <v>21466858</v>
      </c>
      <c r="BR1916" t="s">
        <v>98</v>
      </c>
      <c r="BS1916" t="s">
        <v>30970</v>
      </c>
      <c r="BT1916" t="s">
        <v>16602</v>
      </c>
    </row>
    <row r="1917" spans="1:72">
      <c r="A1917" t="s">
        <v>72</v>
      </c>
      <c r="B1917" t="s">
        <v>30971</v>
      </c>
      <c r="F1917" t="s">
        <v>30972</v>
      </c>
      <c r="I1917" t="s">
        <v>30973</v>
      </c>
      <c r="J1917" t="s">
        <v>2984</v>
      </c>
      <c r="M1917" t="s">
        <v>78</v>
      </c>
      <c r="N1917" t="s">
        <v>79</v>
      </c>
      <c r="T1917" t="s">
        <v>30974</v>
      </c>
      <c r="U1917" t="s">
        <v>30975</v>
      </c>
      <c r="V1917" t="s">
        <v>30976</v>
      </c>
      <c r="W1917" t="s">
        <v>30977</v>
      </c>
      <c r="X1917" t="s">
        <v>30978</v>
      </c>
      <c r="Y1917" t="s">
        <v>30979</v>
      </c>
      <c r="Z1917" t="s">
        <v>30980</v>
      </c>
      <c r="AA1917" t="s">
        <v>30981</v>
      </c>
      <c r="AB1917" t="s">
        <v>30982</v>
      </c>
      <c r="AC1917" t="s">
        <v>30983</v>
      </c>
      <c r="AD1917" t="s">
        <v>30984</v>
      </c>
      <c r="AE1917" t="s">
        <v>30985</v>
      </c>
      <c r="AG1917">
        <v>109</v>
      </c>
      <c r="AH1917">
        <v>7</v>
      </c>
      <c r="AI1917">
        <v>7</v>
      </c>
      <c r="AJ1917">
        <v>0</v>
      </c>
      <c r="AK1917">
        <v>8</v>
      </c>
      <c r="AL1917" t="s">
        <v>112</v>
      </c>
      <c r="AM1917" t="s">
        <v>191</v>
      </c>
      <c r="AN1917" t="s">
        <v>192</v>
      </c>
      <c r="AO1917" t="s">
        <v>2994</v>
      </c>
      <c r="AP1917" t="s">
        <v>2995</v>
      </c>
      <c r="AR1917" t="s">
        <v>2996</v>
      </c>
      <c r="AS1917" t="s">
        <v>2997</v>
      </c>
      <c r="AT1917" t="s">
        <v>142</v>
      </c>
      <c r="AU1917">
        <v>2019</v>
      </c>
      <c r="AV1917">
        <v>41</v>
      </c>
      <c r="AW1917">
        <v>3</v>
      </c>
      <c r="BB1917">
        <v>1321</v>
      </c>
      <c r="BC1917">
        <v>1338</v>
      </c>
      <c r="BE1917" t="s">
        <v>30986</v>
      </c>
      <c r="BF1917" t="s">
        <v>30987</v>
      </c>
      <c r="BI1917">
        <v>18</v>
      </c>
      <c r="BJ1917" t="s">
        <v>2999</v>
      </c>
      <c r="BK1917" t="s">
        <v>96</v>
      </c>
      <c r="BL1917" t="s">
        <v>3000</v>
      </c>
      <c r="BM1917" t="s">
        <v>30988</v>
      </c>
      <c r="BN1917">
        <v>30446862</v>
      </c>
      <c r="BR1917" t="s">
        <v>98</v>
      </c>
      <c r="BS1917" t="s">
        <v>30989</v>
      </c>
      <c r="BT1917" t="s">
        <v>16602</v>
      </c>
    </row>
    <row r="1918" spans="1:72">
      <c r="A1918" t="s">
        <v>72</v>
      </c>
      <c r="B1918" t="s">
        <v>30990</v>
      </c>
      <c r="F1918" t="s">
        <v>30991</v>
      </c>
      <c r="I1918" t="s">
        <v>30992</v>
      </c>
      <c r="J1918" t="s">
        <v>641</v>
      </c>
      <c r="M1918" t="s">
        <v>78</v>
      </c>
      <c r="N1918" t="s">
        <v>79</v>
      </c>
      <c r="T1918" t="s">
        <v>30993</v>
      </c>
      <c r="U1918" t="s">
        <v>30994</v>
      </c>
      <c r="V1918" t="s">
        <v>30995</v>
      </c>
      <c r="W1918" t="s">
        <v>30996</v>
      </c>
      <c r="X1918" t="s">
        <v>2697</v>
      </c>
      <c r="Y1918" t="s">
        <v>30997</v>
      </c>
      <c r="Z1918" t="s">
        <v>30998</v>
      </c>
      <c r="AA1918" t="s">
        <v>30999</v>
      </c>
      <c r="AB1918" t="s">
        <v>31000</v>
      </c>
      <c r="AC1918" t="s">
        <v>31001</v>
      </c>
      <c r="AD1918" t="s">
        <v>31002</v>
      </c>
      <c r="AE1918" t="s">
        <v>31003</v>
      </c>
      <c r="AG1918">
        <v>68</v>
      </c>
      <c r="AH1918">
        <v>17</v>
      </c>
      <c r="AI1918">
        <v>17</v>
      </c>
      <c r="AJ1918">
        <v>2</v>
      </c>
      <c r="AK1918">
        <v>23</v>
      </c>
      <c r="AL1918" t="s">
        <v>919</v>
      </c>
      <c r="AM1918" t="s">
        <v>651</v>
      </c>
      <c r="AN1918" t="s">
        <v>920</v>
      </c>
      <c r="AO1918" t="s">
        <v>653</v>
      </c>
      <c r="AP1918" t="s">
        <v>654</v>
      </c>
      <c r="AR1918" t="s">
        <v>655</v>
      </c>
      <c r="AS1918" t="s">
        <v>656</v>
      </c>
      <c r="AT1918" t="s">
        <v>765</v>
      </c>
      <c r="AU1918">
        <v>2015</v>
      </c>
      <c r="AV1918">
        <v>164</v>
      </c>
      <c r="BB1918">
        <v>99</v>
      </c>
      <c r="BC1918">
        <v>107</v>
      </c>
      <c r="BE1918" t="s">
        <v>31004</v>
      </c>
      <c r="BF1918" t="s">
        <v>31005</v>
      </c>
      <c r="BI1918">
        <v>9</v>
      </c>
      <c r="BJ1918" t="s">
        <v>659</v>
      </c>
      <c r="BK1918" t="s">
        <v>96</v>
      </c>
      <c r="BL1918" t="s">
        <v>659</v>
      </c>
      <c r="BM1918" t="s">
        <v>31006</v>
      </c>
      <c r="BN1918">
        <v>25938980</v>
      </c>
      <c r="BR1918" t="s">
        <v>98</v>
      </c>
      <c r="BS1918" t="s">
        <v>31007</v>
      </c>
      <c r="BT1918" t="s">
        <v>16602</v>
      </c>
    </row>
    <row r="1919" spans="1:72">
      <c r="A1919" t="s">
        <v>72</v>
      </c>
      <c r="B1919" t="s">
        <v>31008</v>
      </c>
      <c r="F1919" t="s">
        <v>31009</v>
      </c>
      <c r="I1919" t="s">
        <v>31010</v>
      </c>
      <c r="J1919" t="s">
        <v>179</v>
      </c>
      <c r="M1919" t="s">
        <v>78</v>
      </c>
      <c r="N1919" t="s">
        <v>79</v>
      </c>
      <c r="T1919" t="s">
        <v>31011</v>
      </c>
      <c r="U1919" t="s">
        <v>31012</v>
      </c>
      <c r="V1919" t="s">
        <v>31013</v>
      </c>
      <c r="W1919" t="s">
        <v>31014</v>
      </c>
      <c r="X1919" t="s">
        <v>24326</v>
      </c>
      <c r="Y1919" t="s">
        <v>31015</v>
      </c>
      <c r="Z1919" t="s">
        <v>31016</v>
      </c>
      <c r="AA1919" t="s">
        <v>31017</v>
      </c>
      <c r="AB1919" t="s">
        <v>31018</v>
      </c>
      <c r="AG1919">
        <v>68</v>
      </c>
      <c r="AH1919">
        <v>4</v>
      </c>
      <c r="AI1919">
        <v>4</v>
      </c>
      <c r="AJ1919">
        <v>0</v>
      </c>
      <c r="AK1919">
        <v>2</v>
      </c>
      <c r="AL1919" t="s">
        <v>112</v>
      </c>
      <c r="AM1919" t="s">
        <v>191</v>
      </c>
      <c r="AN1919" t="s">
        <v>192</v>
      </c>
      <c r="AO1919" t="s">
        <v>193</v>
      </c>
      <c r="AP1919" t="s">
        <v>194</v>
      </c>
      <c r="AR1919" t="s">
        <v>195</v>
      </c>
      <c r="AS1919" t="s">
        <v>196</v>
      </c>
      <c r="AT1919" t="s">
        <v>142</v>
      </c>
      <c r="AU1919">
        <v>2019</v>
      </c>
      <c r="AV1919">
        <v>191</v>
      </c>
      <c r="AW1919">
        <v>6</v>
      </c>
      <c r="BD1919">
        <v>372</v>
      </c>
      <c r="BE1919" t="s">
        <v>31019</v>
      </c>
      <c r="BF1919" t="s">
        <v>31020</v>
      </c>
      <c r="BI1919">
        <v>16</v>
      </c>
      <c r="BJ1919" t="s">
        <v>144</v>
      </c>
      <c r="BK1919" t="s">
        <v>96</v>
      </c>
      <c r="BL1919" t="s">
        <v>145</v>
      </c>
      <c r="BM1919" t="s">
        <v>31021</v>
      </c>
      <c r="BN1919">
        <v>31101990</v>
      </c>
      <c r="BR1919" t="s">
        <v>98</v>
      </c>
      <c r="BS1919" t="s">
        <v>31022</v>
      </c>
      <c r="BT1919" t="s">
        <v>16602</v>
      </c>
    </row>
    <row r="1920" spans="1:72">
      <c r="A1920" t="s">
        <v>72</v>
      </c>
      <c r="B1920" t="s">
        <v>10714</v>
      </c>
      <c r="F1920" t="s">
        <v>10715</v>
      </c>
      <c r="I1920" t="s">
        <v>31023</v>
      </c>
      <c r="J1920" t="s">
        <v>179</v>
      </c>
      <c r="M1920" t="s">
        <v>78</v>
      </c>
      <c r="N1920" t="s">
        <v>79</v>
      </c>
      <c r="T1920" t="s">
        <v>31024</v>
      </c>
      <c r="U1920" t="s">
        <v>31025</v>
      </c>
      <c r="V1920" t="s">
        <v>31026</v>
      </c>
      <c r="W1920" t="s">
        <v>31027</v>
      </c>
      <c r="X1920" t="s">
        <v>10721</v>
      </c>
      <c r="Y1920" t="s">
        <v>31028</v>
      </c>
      <c r="Z1920" t="s">
        <v>7796</v>
      </c>
      <c r="AB1920" t="s">
        <v>7797</v>
      </c>
      <c r="AG1920">
        <v>110</v>
      </c>
      <c r="AH1920">
        <v>22</v>
      </c>
      <c r="AI1920">
        <v>24</v>
      </c>
      <c r="AJ1920">
        <v>1</v>
      </c>
      <c r="AK1920">
        <v>30</v>
      </c>
      <c r="AL1920" t="s">
        <v>112</v>
      </c>
      <c r="AM1920" t="s">
        <v>191</v>
      </c>
      <c r="AN1920" t="s">
        <v>192</v>
      </c>
      <c r="AO1920" t="s">
        <v>193</v>
      </c>
      <c r="AP1920" t="s">
        <v>194</v>
      </c>
      <c r="AR1920" t="s">
        <v>195</v>
      </c>
      <c r="AS1920" t="s">
        <v>196</v>
      </c>
      <c r="AT1920" t="s">
        <v>93</v>
      </c>
      <c r="AU1920">
        <v>2012</v>
      </c>
      <c r="AV1920">
        <v>184</v>
      </c>
      <c r="AW1920">
        <v>4</v>
      </c>
      <c r="BB1920">
        <v>2177</v>
      </c>
      <c r="BC1920">
        <v>2192</v>
      </c>
      <c r="BE1920" t="s">
        <v>31029</v>
      </c>
      <c r="BF1920" t="s">
        <v>31030</v>
      </c>
      <c r="BI1920">
        <v>16</v>
      </c>
      <c r="BJ1920" t="s">
        <v>144</v>
      </c>
      <c r="BK1920" t="s">
        <v>96</v>
      </c>
      <c r="BL1920" t="s">
        <v>145</v>
      </c>
      <c r="BM1920" t="s">
        <v>31031</v>
      </c>
      <c r="BN1920">
        <v>21611846</v>
      </c>
      <c r="BR1920" t="s">
        <v>98</v>
      </c>
      <c r="BS1920" t="s">
        <v>31032</v>
      </c>
      <c r="BT1920" t="s">
        <v>16602</v>
      </c>
    </row>
    <row r="1921" spans="1:72">
      <c r="A1921" t="s">
        <v>72</v>
      </c>
      <c r="B1921" t="s">
        <v>31033</v>
      </c>
      <c r="F1921" t="s">
        <v>31034</v>
      </c>
      <c r="I1921" t="s">
        <v>31035</v>
      </c>
      <c r="J1921" t="s">
        <v>11177</v>
      </c>
      <c r="M1921" t="s">
        <v>78</v>
      </c>
      <c r="N1921" t="s">
        <v>79</v>
      </c>
      <c r="T1921" t="s">
        <v>31036</v>
      </c>
      <c r="U1921" t="s">
        <v>31037</v>
      </c>
      <c r="V1921" t="s">
        <v>31038</v>
      </c>
      <c r="W1921" t="s">
        <v>31039</v>
      </c>
      <c r="X1921" t="s">
        <v>31040</v>
      </c>
      <c r="Y1921" t="s">
        <v>31041</v>
      </c>
      <c r="Z1921" t="s">
        <v>31042</v>
      </c>
      <c r="AA1921" t="s">
        <v>31043</v>
      </c>
      <c r="AB1921" t="s">
        <v>31044</v>
      </c>
      <c r="AG1921">
        <v>101</v>
      </c>
      <c r="AH1921">
        <v>21</v>
      </c>
      <c r="AI1921">
        <v>21</v>
      </c>
      <c r="AJ1921">
        <v>12</v>
      </c>
      <c r="AK1921">
        <v>97</v>
      </c>
      <c r="AL1921" t="s">
        <v>430</v>
      </c>
      <c r="AM1921" t="s">
        <v>137</v>
      </c>
      <c r="AN1921" t="s">
        <v>431</v>
      </c>
      <c r="AO1921" t="s">
        <v>11187</v>
      </c>
      <c r="AP1921" t="s">
        <v>11188</v>
      </c>
      <c r="AR1921" t="s">
        <v>11189</v>
      </c>
      <c r="AS1921" t="s">
        <v>11190</v>
      </c>
      <c r="AT1921" t="s">
        <v>142</v>
      </c>
      <c r="AU1921">
        <v>2022</v>
      </c>
      <c r="AV1921">
        <v>10</v>
      </c>
      <c r="AW1921">
        <v>3</v>
      </c>
      <c r="BD1921">
        <v>107725</v>
      </c>
      <c r="BE1921" t="s">
        <v>31045</v>
      </c>
      <c r="BF1921" t="s">
        <v>31046</v>
      </c>
      <c r="BH1921" t="s">
        <v>1291</v>
      </c>
      <c r="BI1921">
        <v>12</v>
      </c>
      <c r="BJ1921" t="s">
        <v>3991</v>
      </c>
      <c r="BK1921" t="s">
        <v>96</v>
      </c>
      <c r="BL1921" t="s">
        <v>3992</v>
      </c>
      <c r="BM1921" t="s">
        <v>31047</v>
      </c>
      <c r="BR1921" t="s">
        <v>98</v>
      </c>
      <c r="BS1921" t="s">
        <v>31048</v>
      </c>
      <c r="BT1921" t="s">
        <v>16602</v>
      </c>
    </row>
    <row r="1922" spans="1:72">
      <c r="A1922" t="s">
        <v>72</v>
      </c>
      <c r="B1922" t="s">
        <v>31049</v>
      </c>
      <c r="F1922" t="s">
        <v>31050</v>
      </c>
      <c r="I1922" t="s">
        <v>31051</v>
      </c>
      <c r="J1922" t="s">
        <v>31052</v>
      </c>
      <c r="M1922" t="s">
        <v>78</v>
      </c>
      <c r="N1922" t="s">
        <v>79</v>
      </c>
      <c r="T1922" t="s">
        <v>31053</v>
      </c>
      <c r="U1922" t="s">
        <v>31054</v>
      </c>
      <c r="V1922" t="s">
        <v>31055</v>
      </c>
      <c r="W1922" t="s">
        <v>31056</v>
      </c>
      <c r="X1922" t="s">
        <v>30009</v>
      </c>
      <c r="Y1922" t="s">
        <v>31057</v>
      </c>
      <c r="Z1922" t="s">
        <v>31058</v>
      </c>
      <c r="AA1922" t="s">
        <v>30012</v>
      </c>
      <c r="AB1922" t="s">
        <v>30013</v>
      </c>
      <c r="AC1922" t="s">
        <v>31059</v>
      </c>
      <c r="AD1922" t="s">
        <v>31059</v>
      </c>
      <c r="AE1922" t="s">
        <v>31060</v>
      </c>
      <c r="AG1922">
        <v>43</v>
      </c>
      <c r="AH1922">
        <v>6</v>
      </c>
      <c r="AI1922">
        <v>7</v>
      </c>
      <c r="AJ1922">
        <v>0</v>
      </c>
      <c r="AK1922">
        <v>20</v>
      </c>
      <c r="AL1922" t="s">
        <v>112</v>
      </c>
      <c r="AM1922" t="s">
        <v>191</v>
      </c>
      <c r="AN1922" t="s">
        <v>192</v>
      </c>
      <c r="AO1922" t="s">
        <v>31061</v>
      </c>
      <c r="AP1922" t="s">
        <v>31062</v>
      </c>
      <c r="AR1922" t="s">
        <v>31063</v>
      </c>
      <c r="AS1922" t="s">
        <v>31064</v>
      </c>
      <c r="AT1922" t="s">
        <v>93</v>
      </c>
      <c r="AU1922">
        <v>2010</v>
      </c>
      <c r="AV1922">
        <v>18</v>
      </c>
      <c r="AW1922">
        <v>3</v>
      </c>
      <c r="BB1922">
        <v>327</v>
      </c>
      <c r="BC1922">
        <v>337</v>
      </c>
      <c r="BE1922" t="s">
        <v>31065</v>
      </c>
      <c r="BF1922" t="s">
        <v>31066</v>
      </c>
      <c r="BI1922">
        <v>11</v>
      </c>
      <c r="BJ1922" t="s">
        <v>746</v>
      </c>
      <c r="BK1922" t="s">
        <v>96</v>
      </c>
      <c r="BL1922" t="s">
        <v>746</v>
      </c>
      <c r="BM1922" t="s">
        <v>31067</v>
      </c>
      <c r="BR1922" t="s">
        <v>98</v>
      </c>
      <c r="BS1922" t="s">
        <v>31068</v>
      </c>
      <c r="BT1922" t="s">
        <v>16602</v>
      </c>
    </row>
    <row r="1923" spans="1:72">
      <c r="A1923" t="s">
        <v>72</v>
      </c>
      <c r="B1923" t="s">
        <v>31069</v>
      </c>
      <c r="F1923" t="s">
        <v>31069</v>
      </c>
      <c r="I1923" t="s">
        <v>31070</v>
      </c>
      <c r="J1923" t="s">
        <v>2265</v>
      </c>
      <c r="M1923" t="s">
        <v>78</v>
      </c>
      <c r="N1923" t="s">
        <v>79</v>
      </c>
      <c r="T1923" t="s">
        <v>31071</v>
      </c>
      <c r="U1923" t="s">
        <v>31072</v>
      </c>
      <c r="V1923" t="s">
        <v>31073</v>
      </c>
      <c r="W1923" t="s">
        <v>31074</v>
      </c>
      <c r="X1923" t="s">
        <v>31075</v>
      </c>
      <c r="Y1923" t="s">
        <v>31076</v>
      </c>
      <c r="Z1923" t="s">
        <v>12809</v>
      </c>
      <c r="AA1923" t="s">
        <v>31077</v>
      </c>
      <c r="AB1923" t="s">
        <v>31078</v>
      </c>
      <c r="AG1923">
        <v>23</v>
      </c>
      <c r="AH1923">
        <v>72</v>
      </c>
      <c r="AI1923">
        <v>82</v>
      </c>
      <c r="AJ1923">
        <v>0</v>
      </c>
      <c r="AK1923">
        <v>12</v>
      </c>
      <c r="AL1923" t="s">
        <v>2074</v>
      </c>
      <c r="AM1923" t="s">
        <v>2075</v>
      </c>
      <c r="AN1923" t="s">
        <v>5365</v>
      </c>
      <c r="AO1923" t="s">
        <v>2275</v>
      </c>
      <c r="AP1923" t="s">
        <v>2276</v>
      </c>
      <c r="AR1923" t="s">
        <v>2265</v>
      </c>
      <c r="AS1923" t="s">
        <v>2277</v>
      </c>
      <c r="AT1923" t="s">
        <v>31079</v>
      </c>
      <c r="AU1923">
        <v>2005</v>
      </c>
      <c r="AV1923">
        <v>10</v>
      </c>
      <c r="AW1923" t="s">
        <v>1723</v>
      </c>
      <c r="BB1923">
        <v>105</v>
      </c>
      <c r="BC1923">
        <v>116</v>
      </c>
      <c r="BE1923" t="s">
        <v>31080</v>
      </c>
      <c r="BF1923" t="s">
        <v>31081</v>
      </c>
      <c r="BI1923">
        <v>12</v>
      </c>
      <c r="BJ1923" t="s">
        <v>2279</v>
      </c>
      <c r="BK1923" t="s">
        <v>96</v>
      </c>
      <c r="BL1923" t="s">
        <v>2279</v>
      </c>
      <c r="BM1923" t="s">
        <v>31082</v>
      </c>
      <c r="BN1923">
        <v>16076726</v>
      </c>
      <c r="BR1923" t="s">
        <v>98</v>
      </c>
      <c r="BS1923" t="s">
        <v>31083</v>
      </c>
      <c r="BT1923" t="s">
        <v>16602</v>
      </c>
    </row>
    <row r="1924" spans="1:72">
      <c r="A1924" t="s">
        <v>72</v>
      </c>
      <c r="B1924" t="s">
        <v>31084</v>
      </c>
      <c r="F1924" t="s">
        <v>31085</v>
      </c>
      <c r="I1924" t="s">
        <v>31086</v>
      </c>
      <c r="J1924" t="s">
        <v>232</v>
      </c>
      <c r="M1924" t="s">
        <v>78</v>
      </c>
      <c r="N1924" t="s">
        <v>79</v>
      </c>
      <c r="T1924" t="s">
        <v>31087</v>
      </c>
      <c r="U1924" t="s">
        <v>31088</v>
      </c>
      <c r="V1924" t="s">
        <v>31089</v>
      </c>
      <c r="W1924" t="s">
        <v>31090</v>
      </c>
      <c r="X1924" t="s">
        <v>4489</v>
      </c>
      <c r="Y1924" t="s">
        <v>9141</v>
      </c>
      <c r="Z1924" t="s">
        <v>3709</v>
      </c>
      <c r="AA1924" t="s">
        <v>31091</v>
      </c>
      <c r="AB1924" t="s">
        <v>4533</v>
      </c>
      <c r="AC1924" t="s">
        <v>31092</v>
      </c>
      <c r="AD1924" t="s">
        <v>31093</v>
      </c>
      <c r="AE1924" t="s">
        <v>31094</v>
      </c>
      <c r="AG1924">
        <v>19</v>
      </c>
      <c r="AH1924">
        <v>23</v>
      </c>
      <c r="AI1924">
        <v>25</v>
      </c>
      <c r="AJ1924">
        <v>2</v>
      </c>
      <c r="AK1924">
        <v>64</v>
      </c>
      <c r="AL1924" t="s">
        <v>136</v>
      </c>
      <c r="AM1924" t="s">
        <v>137</v>
      </c>
      <c r="AN1924" t="s">
        <v>138</v>
      </c>
      <c r="AO1924" t="s">
        <v>240</v>
      </c>
      <c r="AP1924" t="s">
        <v>241</v>
      </c>
      <c r="AR1924" t="s">
        <v>242</v>
      </c>
      <c r="AS1924" t="s">
        <v>243</v>
      </c>
      <c r="AT1924" t="s">
        <v>387</v>
      </c>
      <c r="AU1924">
        <v>2016</v>
      </c>
      <c r="AV1924">
        <v>106</v>
      </c>
      <c r="AW1924" t="s">
        <v>326</v>
      </c>
      <c r="BB1924">
        <v>372</v>
      </c>
      <c r="BC1924">
        <v>376</v>
      </c>
      <c r="BE1924" t="s">
        <v>31095</v>
      </c>
      <c r="BF1924" t="s">
        <v>31096</v>
      </c>
      <c r="BI1924">
        <v>5</v>
      </c>
      <c r="BJ1924" t="s">
        <v>247</v>
      </c>
      <c r="BK1924" t="s">
        <v>96</v>
      </c>
      <c r="BL1924" t="s">
        <v>248</v>
      </c>
      <c r="BM1924" t="s">
        <v>31097</v>
      </c>
      <c r="BN1924">
        <v>26920426</v>
      </c>
      <c r="BR1924" t="s">
        <v>98</v>
      </c>
      <c r="BS1924" t="s">
        <v>31098</v>
      </c>
      <c r="BT1924" t="s">
        <v>16602</v>
      </c>
    </row>
    <row r="1925" spans="1:72">
      <c r="A1925" t="s">
        <v>72</v>
      </c>
      <c r="B1925" t="s">
        <v>31099</v>
      </c>
      <c r="F1925" t="s">
        <v>31099</v>
      </c>
      <c r="I1925" t="s">
        <v>31100</v>
      </c>
      <c r="J1925" t="s">
        <v>232</v>
      </c>
      <c r="M1925" t="s">
        <v>78</v>
      </c>
      <c r="N1925" t="s">
        <v>79</v>
      </c>
      <c r="T1925" t="s">
        <v>31101</v>
      </c>
      <c r="U1925" t="s">
        <v>31102</v>
      </c>
      <c r="V1925" t="s">
        <v>31103</v>
      </c>
      <c r="Y1925" t="s">
        <v>31104</v>
      </c>
      <c r="AG1925">
        <v>45</v>
      </c>
      <c r="AH1925">
        <v>43</v>
      </c>
      <c r="AI1925">
        <v>48</v>
      </c>
      <c r="AJ1925">
        <v>0</v>
      </c>
      <c r="AK1925">
        <v>4</v>
      </c>
      <c r="AL1925" t="s">
        <v>136</v>
      </c>
      <c r="AM1925" t="s">
        <v>137</v>
      </c>
      <c r="AN1925" t="s">
        <v>138</v>
      </c>
      <c r="AO1925" t="s">
        <v>240</v>
      </c>
      <c r="AP1925" t="s">
        <v>241</v>
      </c>
      <c r="AR1925" t="s">
        <v>242</v>
      </c>
      <c r="AS1925" t="s">
        <v>243</v>
      </c>
      <c r="AT1925" t="s">
        <v>1470</v>
      </c>
      <c r="AU1925">
        <v>2000</v>
      </c>
      <c r="AV1925">
        <v>40</v>
      </c>
      <c r="AW1925">
        <v>1</v>
      </c>
      <c r="BB1925">
        <v>22</v>
      </c>
      <c r="BC1925">
        <v>35</v>
      </c>
      <c r="BE1925" t="s">
        <v>31105</v>
      </c>
      <c r="BF1925" t="s">
        <v>31106</v>
      </c>
      <c r="BI1925">
        <v>14</v>
      </c>
      <c r="BJ1925" t="s">
        <v>247</v>
      </c>
      <c r="BK1925" t="s">
        <v>96</v>
      </c>
      <c r="BL1925" t="s">
        <v>248</v>
      </c>
      <c r="BM1925" t="s">
        <v>31107</v>
      </c>
      <c r="BR1925" t="s">
        <v>98</v>
      </c>
      <c r="BS1925" t="s">
        <v>31108</v>
      </c>
      <c r="BT1925" t="s">
        <v>16602</v>
      </c>
    </row>
    <row r="1926" spans="1:72">
      <c r="A1926" t="s">
        <v>72</v>
      </c>
      <c r="B1926" t="s">
        <v>31109</v>
      </c>
      <c r="F1926" t="s">
        <v>31110</v>
      </c>
      <c r="I1926" t="s">
        <v>31111</v>
      </c>
      <c r="J1926" t="s">
        <v>909</v>
      </c>
      <c r="M1926" t="s">
        <v>78</v>
      </c>
      <c r="N1926" t="s">
        <v>79</v>
      </c>
      <c r="T1926" t="s">
        <v>31112</v>
      </c>
      <c r="U1926" t="s">
        <v>31113</v>
      </c>
      <c r="V1926" t="s">
        <v>31114</v>
      </c>
      <c r="W1926" t="s">
        <v>31115</v>
      </c>
      <c r="X1926" t="s">
        <v>31116</v>
      </c>
      <c r="Y1926" t="s">
        <v>23805</v>
      </c>
      <c r="Z1926" t="s">
        <v>9288</v>
      </c>
      <c r="AA1926" t="s">
        <v>31117</v>
      </c>
      <c r="AB1926" t="s">
        <v>31118</v>
      </c>
      <c r="AC1926" t="s">
        <v>31119</v>
      </c>
      <c r="AD1926" t="s">
        <v>31120</v>
      </c>
      <c r="AE1926" t="s">
        <v>31121</v>
      </c>
      <c r="AG1926">
        <v>117</v>
      </c>
      <c r="AH1926">
        <v>10</v>
      </c>
      <c r="AI1926">
        <v>10</v>
      </c>
      <c r="AJ1926">
        <v>2</v>
      </c>
      <c r="AK1926">
        <v>17</v>
      </c>
      <c r="AL1926" t="s">
        <v>650</v>
      </c>
      <c r="AM1926" t="s">
        <v>651</v>
      </c>
      <c r="AN1926" t="s">
        <v>652</v>
      </c>
      <c r="AO1926" t="s">
        <v>921</v>
      </c>
      <c r="AP1926" t="s">
        <v>922</v>
      </c>
      <c r="AR1926" t="s">
        <v>923</v>
      </c>
      <c r="AS1926" t="s">
        <v>924</v>
      </c>
      <c r="AT1926" t="s">
        <v>11423</v>
      </c>
      <c r="AU1926">
        <v>2020</v>
      </c>
      <c r="AV1926">
        <v>723</v>
      </c>
      <c r="BD1926">
        <v>137798</v>
      </c>
      <c r="BE1926" t="s">
        <v>31122</v>
      </c>
      <c r="BF1926" t="s">
        <v>31123</v>
      </c>
      <c r="BI1926">
        <v>13</v>
      </c>
      <c r="BJ1926" t="s">
        <v>144</v>
      </c>
      <c r="BK1926" t="s">
        <v>96</v>
      </c>
      <c r="BL1926" t="s">
        <v>145</v>
      </c>
      <c r="BM1926" t="s">
        <v>31124</v>
      </c>
      <c r="BN1926">
        <v>32392676</v>
      </c>
      <c r="BO1926" t="s">
        <v>1752</v>
      </c>
      <c r="BR1926" t="s">
        <v>98</v>
      </c>
      <c r="BS1926" t="s">
        <v>31125</v>
      </c>
      <c r="BT1926" t="s">
        <v>16602</v>
      </c>
    </row>
    <row r="1927" spans="1:72">
      <c r="A1927" t="s">
        <v>72</v>
      </c>
      <c r="B1927" t="s">
        <v>31126</v>
      </c>
      <c r="F1927" t="s">
        <v>31127</v>
      </c>
      <c r="I1927" t="s">
        <v>31128</v>
      </c>
      <c r="J1927" t="s">
        <v>3349</v>
      </c>
      <c r="M1927" t="s">
        <v>78</v>
      </c>
      <c r="N1927" t="s">
        <v>79</v>
      </c>
      <c r="T1927" t="s">
        <v>31129</v>
      </c>
      <c r="U1927" t="s">
        <v>31130</v>
      </c>
      <c r="V1927" t="s">
        <v>31131</v>
      </c>
      <c r="W1927" t="s">
        <v>31132</v>
      </c>
      <c r="X1927" t="s">
        <v>31133</v>
      </c>
      <c r="Y1927" t="s">
        <v>31134</v>
      </c>
      <c r="Z1927" t="s">
        <v>31135</v>
      </c>
      <c r="AA1927" t="s">
        <v>31136</v>
      </c>
      <c r="AB1927" t="s">
        <v>31137</v>
      </c>
      <c r="AC1927" t="s">
        <v>31138</v>
      </c>
      <c r="AD1927" t="s">
        <v>31139</v>
      </c>
      <c r="AE1927" t="s">
        <v>31140</v>
      </c>
      <c r="AG1927">
        <v>40</v>
      </c>
      <c r="AH1927">
        <v>92</v>
      </c>
      <c r="AI1927">
        <v>96</v>
      </c>
      <c r="AJ1927">
        <v>2</v>
      </c>
      <c r="AK1927">
        <v>38</v>
      </c>
      <c r="AL1927" t="s">
        <v>3362</v>
      </c>
      <c r="AM1927" t="s">
        <v>3363</v>
      </c>
      <c r="AN1927" t="s">
        <v>3364</v>
      </c>
      <c r="AO1927" t="s">
        <v>3365</v>
      </c>
      <c r="AP1927" t="s">
        <v>3366</v>
      </c>
      <c r="AR1927" t="s">
        <v>3367</v>
      </c>
      <c r="AS1927" t="s">
        <v>3368</v>
      </c>
      <c r="AT1927" t="s">
        <v>119</v>
      </c>
      <c r="AU1927">
        <v>2017</v>
      </c>
      <c r="AV1927">
        <v>142</v>
      </c>
      <c r="BB1927">
        <v>417</v>
      </c>
      <c r="BC1927">
        <v>422</v>
      </c>
      <c r="BE1927" t="s">
        <v>31141</v>
      </c>
      <c r="BF1927" t="s">
        <v>31142</v>
      </c>
      <c r="BI1927">
        <v>6</v>
      </c>
      <c r="BJ1927" t="s">
        <v>121</v>
      </c>
      <c r="BK1927" t="s">
        <v>96</v>
      </c>
      <c r="BL1927" t="s">
        <v>122</v>
      </c>
      <c r="BM1927" t="s">
        <v>31143</v>
      </c>
      <c r="BN1927">
        <v>28454054</v>
      </c>
      <c r="BR1927" t="s">
        <v>98</v>
      </c>
      <c r="BS1927" t="s">
        <v>31144</v>
      </c>
      <c r="BT1927" t="s">
        <v>16602</v>
      </c>
    </row>
    <row r="1928" spans="1:72">
      <c r="A1928" t="s">
        <v>72</v>
      </c>
      <c r="B1928" t="s">
        <v>31145</v>
      </c>
      <c r="F1928" t="s">
        <v>31146</v>
      </c>
      <c r="I1928" t="s">
        <v>31147</v>
      </c>
      <c r="J1928" t="s">
        <v>232</v>
      </c>
      <c r="M1928" t="s">
        <v>78</v>
      </c>
      <c r="N1928" t="s">
        <v>79</v>
      </c>
      <c r="T1928" t="s">
        <v>31148</v>
      </c>
      <c r="U1928" t="s">
        <v>31149</v>
      </c>
      <c r="V1928" t="s">
        <v>31150</v>
      </c>
      <c r="W1928" t="s">
        <v>31151</v>
      </c>
      <c r="X1928" t="s">
        <v>19550</v>
      </c>
      <c r="Y1928" t="s">
        <v>31152</v>
      </c>
      <c r="Z1928" t="s">
        <v>19552</v>
      </c>
      <c r="AG1928">
        <v>49</v>
      </c>
      <c r="AH1928">
        <v>35</v>
      </c>
      <c r="AI1928">
        <v>39</v>
      </c>
      <c r="AJ1928">
        <v>0</v>
      </c>
      <c r="AK1928">
        <v>6</v>
      </c>
      <c r="AL1928" t="s">
        <v>136</v>
      </c>
      <c r="AM1928" t="s">
        <v>137</v>
      </c>
      <c r="AN1928" t="s">
        <v>138</v>
      </c>
      <c r="AO1928" t="s">
        <v>240</v>
      </c>
      <c r="AP1928" t="s">
        <v>241</v>
      </c>
      <c r="AR1928" t="s">
        <v>242</v>
      </c>
      <c r="AS1928" t="s">
        <v>243</v>
      </c>
      <c r="AT1928" t="s">
        <v>170</v>
      </c>
      <c r="AU1928">
        <v>2008</v>
      </c>
      <c r="AV1928">
        <v>56</v>
      </c>
      <c r="AW1928">
        <v>5</v>
      </c>
      <c r="BB1928">
        <v>941</v>
      </c>
      <c r="BC1928">
        <v>949</v>
      </c>
      <c r="BE1928" t="s">
        <v>31153</v>
      </c>
      <c r="BF1928" t="s">
        <v>31154</v>
      </c>
      <c r="BI1928">
        <v>9</v>
      </c>
      <c r="BJ1928" t="s">
        <v>247</v>
      </c>
      <c r="BK1928" t="s">
        <v>96</v>
      </c>
      <c r="BL1928" t="s">
        <v>248</v>
      </c>
      <c r="BM1928" t="s">
        <v>31155</v>
      </c>
      <c r="BN1928">
        <v>18336842</v>
      </c>
      <c r="BR1928" t="s">
        <v>98</v>
      </c>
      <c r="BS1928" t="s">
        <v>31156</v>
      </c>
      <c r="BT1928" t="s">
        <v>16602</v>
      </c>
    </row>
    <row r="1929" spans="1:72">
      <c r="A1929" t="s">
        <v>72</v>
      </c>
      <c r="B1929" t="s">
        <v>31157</v>
      </c>
      <c r="F1929" t="s">
        <v>31158</v>
      </c>
      <c r="I1929" t="s">
        <v>31159</v>
      </c>
      <c r="J1929" t="s">
        <v>595</v>
      </c>
      <c r="M1929" t="s">
        <v>78</v>
      </c>
      <c r="N1929" t="s">
        <v>79</v>
      </c>
      <c r="T1929" t="s">
        <v>31160</v>
      </c>
      <c r="U1929" t="s">
        <v>31161</v>
      </c>
      <c r="V1929" t="s">
        <v>31162</v>
      </c>
      <c r="W1929" t="s">
        <v>31163</v>
      </c>
      <c r="X1929" t="s">
        <v>31164</v>
      </c>
      <c r="Y1929" t="s">
        <v>31165</v>
      </c>
      <c r="Z1929" t="s">
        <v>31166</v>
      </c>
      <c r="AA1929" t="s">
        <v>31167</v>
      </c>
      <c r="AB1929" t="s">
        <v>31168</v>
      </c>
      <c r="AC1929" t="s">
        <v>31169</v>
      </c>
      <c r="AD1929" t="s">
        <v>31170</v>
      </c>
      <c r="AE1929" t="s">
        <v>31171</v>
      </c>
      <c r="AG1929">
        <v>32</v>
      </c>
      <c r="AH1929">
        <v>46</v>
      </c>
      <c r="AI1929">
        <v>48</v>
      </c>
      <c r="AJ1929">
        <v>1</v>
      </c>
      <c r="AK1929">
        <v>66</v>
      </c>
      <c r="AL1929" t="s">
        <v>112</v>
      </c>
      <c r="AM1929" t="s">
        <v>191</v>
      </c>
      <c r="AN1929" t="s">
        <v>192</v>
      </c>
      <c r="AO1929" t="s">
        <v>608</v>
      </c>
      <c r="AP1929" t="s">
        <v>609</v>
      </c>
      <c r="AR1929" t="s">
        <v>595</v>
      </c>
      <c r="AS1929" t="s">
        <v>610</v>
      </c>
      <c r="AT1929" t="s">
        <v>1470</v>
      </c>
      <c r="AU1929">
        <v>2010</v>
      </c>
      <c r="AV1929">
        <v>19</v>
      </c>
      <c r="AW1929">
        <v>1</v>
      </c>
      <c r="BB1929">
        <v>48</v>
      </c>
      <c r="BC1929">
        <v>60</v>
      </c>
      <c r="BE1929" t="s">
        <v>31172</v>
      </c>
      <c r="BF1929" t="s">
        <v>31173</v>
      </c>
      <c r="BI1929">
        <v>13</v>
      </c>
      <c r="BJ1929" t="s">
        <v>612</v>
      </c>
      <c r="BK1929" t="s">
        <v>96</v>
      </c>
      <c r="BL1929" t="s">
        <v>122</v>
      </c>
      <c r="BM1929" t="s">
        <v>31174</v>
      </c>
      <c r="BN1929">
        <v>19633955</v>
      </c>
      <c r="BO1929" t="s">
        <v>31175</v>
      </c>
      <c r="BR1929" t="s">
        <v>98</v>
      </c>
      <c r="BS1929" t="s">
        <v>31176</v>
      </c>
      <c r="BT1929" t="s">
        <v>16602</v>
      </c>
    </row>
    <row r="1930" spans="1:72">
      <c r="A1930" t="s">
        <v>72</v>
      </c>
      <c r="B1930" t="s">
        <v>31177</v>
      </c>
      <c r="F1930" t="s">
        <v>31178</v>
      </c>
      <c r="I1930" t="s">
        <v>31179</v>
      </c>
      <c r="J1930" t="s">
        <v>204</v>
      </c>
      <c r="M1930" t="s">
        <v>78</v>
      </c>
      <c r="N1930" t="s">
        <v>79</v>
      </c>
      <c r="T1930" t="s">
        <v>31180</v>
      </c>
      <c r="U1930" t="s">
        <v>31181</v>
      </c>
      <c r="V1930" t="s">
        <v>31182</v>
      </c>
      <c r="W1930" t="s">
        <v>31183</v>
      </c>
      <c r="X1930" t="s">
        <v>31184</v>
      </c>
      <c r="Y1930" t="s">
        <v>31185</v>
      </c>
      <c r="Z1930" t="s">
        <v>31186</v>
      </c>
      <c r="AA1930" t="s">
        <v>31187</v>
      </c>
      <c r="AB1930" t="s">
        <v>31188</v>
      </c>
      <c r="AC1930" t="s">
        <v>31189</v>
      </c>
      <c r="AD1930" t="s">
        <v>31190</v>
      </c>
      <c r="AE1930" t="s">
        <v>31191</v>
      </c>
      <c r="AG1930">
        <v>72</v>
      </c>
      <c r="AH1930">
        <v>8</v>
      </c>
      <c r="AI1930">
        <v>8</v>
      </c>
      <c r="AJ1930">
        <v>2</v>
      </c>
      <c r="AK1930">
        <v>23</v>
      </c>
      <c r="AL1930" t="s">
        <v>217</v>
      </c>
      <c r="AM1930" t="s">
        <v>218</v>
      </c>
      <c r="AN1930" t="s">
        <v>219</v>
      </c>
      <c r="AO1930" t="s">
        <v>220</v>
      </c>
      <c r="AP1930" t="s">
        <v>221</v>
      </c>
      <c r="AR1930" t="s">
        <v>222</v>
      </c>
      <c r="AS1930" t="s">
        <v>223</v>
      </c>
      <c r="AT1930" t="s">
        <v>267</v>
      </c>
      <c r="AU1930">
        <v>2021</v>
      </c>
      <c r="AV1930">
        <v>28</v>
      </c>
      <c r="AW1930">
        <v>38</v>
      </c>
      <c r="BB1930">
        <v>53629</v>
      </c>
      <c r="BC1930">
        <v>53652</v>
      </c>
      <c r="BE1930" t="s">
        <v>31192</v>
      </c>
      <c r="BF1930" t="s">
        <v>31193</v>
      </c>
      <c r="BH1930" t="s">
        <v>3508</v>
      </c>
      <c r="BI1930">
        <v>24</v>
      </c>
      <c r="BJ1930" t="s">
        <v>144</v>
      </c>
      <c r="BK1930" t="s">
        <v>96</v>
      </c>
      <c r="BL1930" t="s">
        <v>145</v>
      </c>
      <c r="BM1930" t="s">
        <v>31194</v>
      </c>
      <c r="BN1930">
        <v>34031837</v>
      </c>
      <c r="BR1930" t="s">
        <v>98</v>
      </c>
      <c r="BS1930" t="s">
        <v>31195</v>
      </c>
      <c r="BT1930" t="s">
        <v>16602</v>
      </c>
    </row>
    <row r="1931" spans="1:72">
      <c r="A1931" t="s">
        <v>72</v>
      </c>
      <c r="B1931" t="s">
        <v>31196</v>
      </c>
      <c r="F1931" t="s">
        <v>31197</v>
      </c>
      <c r="I1931" t="s">
        <v>31198</v>
      </c>
      <c r="J1931" t="s">
        <v>179</v>
      </c>
      <c r="M1931" t="s">
        <v>78</v>
      </c>
      <c r="N1931" t="s">
        <v>79</v>
      </c>
      <c r="T1931" t="s">
        <v>31199</v>
      </c>
      <c r="U1931" t="s">
        <v>31200</v>
      </c>
      <c r="V1931" t="s">
        <v>31201</v>
      </c>
      <c r="W1931" t="s">
        <v>31202</v>
      </c>
      <c r="X1931" t="s">
        <v>5972</v>
      </c>
      <c r="Y1931" t="s">
        <v>31203</v>
      </c>
      <c r="Z1931" t="s">
        <v>31204</v>
      </c>
      <c r="AB1931" t="s">
        <v>31205</v>
      </c>
      <c r="AG1931">
        <v>26</v>
      </c>
      <c r="AH1931">
        <v>47</v>
      </c>
      <c r="AI1931">
        <v>54</v>
      </c>
      <c r="AJ1931">
        <v>1</v>
      </c>
      <c r="AK1931">
        <v>30</v>
      </c>
      <c r="AL1931" t="s">
        <v>112</v>
      </c>
      <c r="AM1931" t="s">
        <v>191</v>
      </c>
      <c r="AN1931" t="s">
        <v>192</v>
      </c>
      <c r="AO1931" t="s">
        <v>193</v>
      </c>
      <c r="AP1931" t="s">
        <v>194</v>
      </c>
      <c r="AR1931" t="s">
        <v>195</v>
      </c>
      <c r="AS1931" t="s">
        <v>196</v>
      </c>
      <c r="AT1931" t="s">
        <v>267</v>
      </c>
      <c r="AU1931">
        <v>2006</v>
      </c>
      <c r="AV1931">
        <v>121</v>
      </c>
      <c r="AW1931" t="s">
        <v>2847</v>
      </c>
      <c r="BB1931">
        <v>491</v>
      </c>
      <c r="BC1931">
        <v>501</v>
      </c>
      <c r="BE1931" t="s">
        <v>31206</v>
      </c>
      <c r="BF1931" t="s">
        <v>31207</v>
      </c>
      <c r="BI1931">
        <v>11</v>
      </c>
      <c r="BJ1931" t="s">
        <v>144</v>
      </c>
      <c r="BK1931" t="s">
        <v>96</v>
      </c>
      <c r="BL1931" t="s">
        <v>145</v>
      </c>
      <c r="BM1931" t="s">
        <v>31208</v>
      </c>
      <c r="BN1931">
        <v>16738770</v>
      </c>
      <c r="BR1931" t="s">
        <v>98</v>
      </c>
      <c r="BS1931" t="s">
        <v>31209</v>
      </c>
      <c r="BT1931" t="s">
        <v>16602</v>
      </c>
    </row>
    <row r="1932" spans="1:72">
      <c r="A1932" t="s">
        <v>72</v>
      </c>
      <c r="B1932" t="s">
        <v>31210</v>
      </c>
      <c r="F1932" t="s">
        <v>31210</v>
      </c>
      <c r="I1932" t="s">
        <v>31211</v>
      </c>
      <c r="J1932" t="s">
        <v>20413</v>
      </c>
      <c r="M1932" t="s">
        <v>78</v>
      </c>
      <c r="N1932" t="s">
        <v>79</v>
      </c>
      <c r="V1932" t="s">
        <v>31212</v>
      </c>
      <c r="Y1932" t="s">
        <v>31213</v>
      </c>
      <c r="AG1932">
        <v>22</v>
      </c>
      <c r="AH1932">
        <v>6</v>
      </c>
      <c r="AI1932">
        <v>7</v>
      </c>
      <c r="AJ1932">
        <v>0</v>
      </c>
      <c r="AK1932">
        <v>3</v>
      </c>
      <c r="AL1932" t="s">
        <v>430</v>
      </c>
      <c r="AM1932" t="s">
        <v>7361</v>
      </c>
      <c r="AN1932" t="s">
        <v>7362</v>
      </c>
      <c r="AO1932" t="s">
        <v>20418</v>
      </c>
      <c r="AR1932" t="s">
        <v>20419</v>
      </c>
      <c r="AU1932">
        <v>1983</v>
      </c>
      <c r="AV1932">
        <v>30</v>
      </c>
      <c r="AW1932">
        <v>4</v>
      </c>
      <c r="BB1932">
        <v>293</v>
      </c>
      <c r="BC1932">
        <v>308</v>
      </c>
      <c r="BE1932" t="s">
        <v>31214</v>
      </c>
      <c r="BF1932" t="s">
        <v>31215</v>
      </c>
      <c r="BI1932">
        <v>16</v>
      </c>
      <c r="BJ1932" t="s">
        <v>1249</v>
      </c>
      <c r="BK1932" t="s">
        <v>96</v>
      </c>
      <c r="BL1932" t="s">
        <v>145</v>
      </c>
      <c r="BM1932" t="s">
        <v>31216</v>
      </c>
      <c r="BR1932" t="s">
        <v>98</v>
      </c>
      <c r="BS1932" t="s">
        <v>31217</v>
      </c>
      <c r="BT1932" t="s">
        <v>16602</v>
      </c>
    </row>
    <row r="1933" spans="1:72">
      <c r="A1933" t="s">
        <v>72</v>
      </c>
      <c r="B1933" t="s">
        <v>31218</v>
      </c>
      <c r="F1933" t="s">
        <v>31219</v>
      </c>
      <c r="I1933" t="s">
        <v>31220</v>
      </c>
      <c r="J1933" t="s">
        <v>275</v>
      </c>
      <c r="M1933" t="s">
        <v>78</v>
      </c>
      <c r="N1933" t="s">
        <v>79</v>
      </c>
      <c r="T1933" t="s">
        <v>31221</v>
      </c>
      <c r="U1933" t="s">
        <v>31222</v>
      </c>
      <c r="V1933" t="s">
        <v>31223</v>
      </c>
      <c r="W1933" t="s">
        <v>31224</v>
      </c>
      <c r="X1933" t="s">
        <v>5402</v>
      </c>
      <c r="Y1933" t="s">
        <v>31225</v>
      </c>
      <c r="Z1933" t="s">
        <v>282</v>
      </c>
      <c r="AA1933" t="s">
        <v>31226</v>
      </c>
      <c r="AG1933">
        <v>47</v>
      </c>
      <c r="AH1933">
        <v>86</v>
      </c>
      <c r="AI1933">
        <v>92</v>
      </c>
      <c r="AJ1933">
        <v>1</v>
      </c>
      <c r="AK1933">
        <v>116</v>
      </c>
      <c r="AL1933" t="s">
        <v>285</v>
      </c>
      <c r="AM1933" t="s">
        <v>286</v>
      </c>
      <c r="AN1933" t="s">
        <v>287</v>
      </c>
      <c r="AO1933" t="s">
        <v>288</v>
      </c>
      <c r="AP1933" t="s">
        <v>289</v>
      </c>
      <c r="AR1933" t="s">
        <v>290</v>
      </c>
      <c r="AS1933" t="s">
        <v>291</v>
      </c>
      <c r="AT1933" t="s">
        <v>305</v>
      </c>
      <c r="AU1933">
        <v>2015</v>
      </c>
      <c r="AV1933">
        <v>46</v>
      </c>
      <c r="AW1933">
        <v>1</v>
      </c>
      <c r="AZ1933" t="s">
        <v>225</v>
      </c>
      <c r="BB1933">
        <v>88</v>
      </c>
      <c r="BC1933">
        <v>93</v>
      </c>
      <c r="BE1933" t="s">
        <v>31227</v>
      </c>
      <c r="BF1933" t="s">
        <v>31228</v>
      </c>
      <c r="BI1933">
        <v>6</v>
      </c>
      <c r="BJ1933" t="s">
        <v>293</v>
      </c>
      <c r="BK1933" t="s">
        <v>96</v>
      </c>
      <c r="BL1933" t="s">
        <v>293</v>
      </c>
      <c r="BM1933" t="s">
        <v>31229</v>
      </c>
      <c r="BN1933">
        <v>25907642</v>
      </c>
      <c r="BR1933" t="s">
        <v>98</v>
      </c>
      <c r="BS1933" t="s">
        <v>31230</v>
      </c>
      <c r="BT1933" t="s">
        <v>16602</v>
      </c>
    </row>
    <row r="1934" spans="1:72">
      <c r="A1934" t="s">
        <v>72</v>
      </c>
      <c r="B1934" t="s">
        <v>27442</v>
      </c>
      <c r="F1934" t="s">
        <v>27442</v>
      </c>
      <c r="I1934" t="s">
        <v>31231</v>
      </c>
      <c r="J1934" t="s">
        <v>232</v>
      </c>
      <c r="M1934" t="s">
        <v>78</v>
      </c>
      <c r="N1934" t="s">
        <v>79</v>
      </c>
      <c r="U1934" t="s">
        <v>31232</v>
      </c>
      <c r="Y1934" t="s">
        <v>31233</v>
      </c>
      <c r="AA1934" t="s">
        <v>27447</v>
      </c>
      <c r="AG1934">
        <v>27</v>
      </c>
      <c r="AH1934">
        <v>7</v>
      </c>
      <c r="AI1934">
        <v>8</v>
      </c>
      <c r="AJ1934">
        <v>0</v>
      </c>
      <c r="AK1934">
        <v>3</v>
      </c>
      <c r="AL1934" t="s">
        <v>136</v>
      </c>
      <c r="AM1934" t="s">
        <v>137</v>
      </c>
      <c r="AN1934" t="s">
        <v>138</v>
      </c>
      <c r="AO1934" t="s">
        <v>240</v>
      </c>
      <c r="AP1934" t="s">
        <v>241</v>
      </c>
      <c r="AR1934" t="s">
        <v>242</v>
      </c>
      <c r="AS1934" t="s">
        <v>243</v>
      </c>
      <c r="AT1934" t="s">
        <v>197</v>
      </c>
      <c r="AU1934">
        <v>1995</v>
      </c>
      <c r="AV1934">
        <v>30</v>
      </c>
      <c r="AW1934">
        <v>12</v>
      </c>
      <c r="BB1934">
        <v>885</v>
      </c>
      <c r="BC1934">
        <v>891</v>
      </c>
      <c r="BE1934" t="s">
        <v>31234</v>
      </c>
      <c r="BF1934" t="s">
        <v>31235</v>
      </c>
      <c r="BI1934">
        <v>7</v>
      </c>
      <c r="BJ1934" t="s">
        <v>247</v>
      </c>
      <c r="BK1934" t="s">
        <v>96</v>
      </c>
      <c r="BL1934" t="s">
        <v>248</v>
      </c>
      <c r="BM1934" t="s">
        <v>22436</v>
      </c>
      <c r="BR1934" t="s">
        <v>98</v>
      </c>
      <c r="BS1934" t="s">
        <v>31236</v>
      </c>
      <c r="BT1934" t="s">
        <v>16602</v>
      </c>
    </row>
    <row r="1935" spans="1:72">
      <c r="A1935" t="s">
        <v>72</v>
      </c>
      <c r="B1935" t="s">
        <v>31237</v>
      </c>
      <c r="F1935" t="s">
        <v>31238</v>
      </c>
      <c r="I1935" t="s">
        <v>31239</v>
      </c>
      <c r="J1935" t="s">
        <v>204</v>
      </c>
      <c r="M1935" t="s">
        <v>78</v>
      </c>
      <c r="N1935" t="s">
        <v>79</v>
      </c>
      <c r="T1935" t="s">
        <v>31240</v>
      </c>
      <c r="U1935" t="s">
        <v>31241</v>
      </c>
      <c r="V1935" t="s">
        <v>31242</v>
      </c>
      <c r="W1935" t="s">
        <v>31243</v>
      </c>
      <c r="X1935" t="s">
        <v>16171</v>
      </c>
      <c r="Y1935" t="s">
        <v>31244</v>
      </c>
      <c r="Z1935" t="s">
        <v>8595</v>
      </c>
      <c r="AA1935" t="s">
        <v>31245</v>
      </c>
      <c r="AB1935" t="s">
        <v>31246</v>
      </c>
      <c r="AG1935">
        <v>44</v>
      </c>
      <c r="AH1935">
        <v>29</v>
      </c>
      <c r="AI1935">
        <v>31</v>
      </c>
      <c r="AJ1935">
        <v>0</v>
      </c>
      <c r="AK1935">
        <v>23</v>
      </c>
      <c r="AL1935" t="s">
        <v>217</v>
      </c>
      <c r="AM1935" t="s">
        <v>218</v>
      </c>
      <c r="AN1935" t="s">
        <v>219</v>
      </c>
      <c r="AO1935" t="s">
        <v>220</v>
      </c>
      <c r="AP1935" t="s">
        <v>221</v>
      </c>
      <c r="AR1935" t="s">
        <v>222</v>
      </c>
      <c r="AS1935" t="s">
        <v>223</v>
      </c>
      <c r="AT1935" t="s">
        <v>1470</v>
      </c>
      <c r="AU1935">
        <v>2010</v>
      </c>
      <c r="AV1935">
        <v>17</v>
      </c>
      <c r="AW1935">
        <v>1</v>
      </c>
      <c r="BB1935">
        <v>220</v>
      </c>
      <c r="BC1935">
        <v>228</v>
      </c>
      <c r="BE1935" t="s">
        <v>31247</v>
      </c>
      <c r="BF1935" t="s">
        <v>31248</v>
      </c>
      <c r="BI1935">
        <v>9</v>
      </c>
      <c r="BJ1935" t="s">
        <v>144</v>
      </c>
      <c r="BK1935" t="s">
        <v>96</v>
      </c>
      <c r="BL1935" t="s">
        <v>145</v>
      </c>
      <c r="BM1935" t="s">
        <v>31249</v>
      </c>
      <c r="BN1935">
        <v>19820975</v>
      </c>
      <c r="BR1935" t="s">
        <v>98</v>
      </c>
      <c r="BS1935" t="s">
        <v>31250</v>
      </c>
      <c r="BT1935" t="s">
        <v>16602</v>
      </c>
    </row>
    <row r="1936" spans="1:72">
      <c r="A1936" t="s">
        <v>72</v>
      </c>
      <c r="B1936" t="s">
        <v>31251</v>
      </c>
      <c r="F1936" t="s">
        <v>31252</v>
      </c>
      <c r="I1936" t="s">
        <v>31253</v>
      </c>
      <c r="J1936" t="s">
        <v>31254</v>
      </c>
      <c r="M1936" t="s">
        <v>78</v>
      </c>
      <c r="N1936" t="s">
        <v>79</v>
      </c>
      <c r="T1936" t="s">
        <v>31255</v>
      </c>
      <c r="V1936" t="s">
        <v>31256</v>
      </c>
      <c r="W1936" t="s">
        <v>31257</v>
      </c>
      <c r="X1936" t="s">
        <v>31258</v>
      </c>
      <c r="Y1936" t="s">
        <v>31259</v>
      </c>
      <c r="Z1936" t="s">
        <v>31260</v>
      </c>
      <c r="AA1936" t="s">
        <v>31261</v>
      </c>
      <c r="AB1936" t="s">
        <v>31262</v>
      </c>
      <c r="AC1936" t="s">
        <v>31263</v>
      </c>
      <c r="AD1936" t="s">
        <v>31263</v>
      </c>
      <c r="AE1936" t="s">
        <v>31264</v>
      </c>
      <c r="AG1936">
        <v>4</v>
      </c>
      <c r="AH1936">
        <v>10</v>
      </c>
      <c r="AI1936">
        <v>11</v>
      </c>
      <c r="AJ1936">
        <v>4</v>
      </c>
      <c r="AK1936">
        <v>165</v>
      </c>
      <c r="AL1936" t="s">
        <v>4153</v>
      </c>
      <c r="AM1936" t="s">
        <v>87</v>
      </c>
      <c r="AN1936" t="s">
        <v>88</v>
      </c>
      <c r="AO1936" t="s">
        <v>31265</v>
      </c>
      <c r="AP1936" t="s">
        <v>31266</v>
      </c>
      <c r="AR1936" t="s">
        <v>31267</v>
      </c>
      <c r="AS1936" t="s">
        <v>31268</v>
      </c>
      <c r="AT1936" t="s">
        <v>765</v>
      </c>
      <c r="AU1936">
        <v>2015</v>
      </c>
      <c r="AV1936">
        <v>11</v>
      </c>
      <c r="AW1936">
        <v>3</v>
      </c>
      <c r="BB1936">
        <v>355</v>
      </c>
      <c r="BC1936">
        <v>369</v>
      </c>
      <c r="BE1936" t="s">
        <v>31269</v>
      </c>
      <c r="BF1936" t="s">
        <v>31270</v>
      </c>
      <c r="BI1936">
        <v>15</v>
      </c>
      <c r="BJ1936" t="s">
        <v>121</v>
      </c>
      <c r="BK1936" t="s">
        <v>96</v>
      </c>
      <c r="BL1936" t="s">
        <v>122</v>
      </c>
      <c r="BM1936" t="s">
        <v>31271</v>
      </c>
      <c r="BN1936">
        <v>25556986</v>
      </c>
      <c r="BO1936" t="s">
        <v>18961</v>
      </c>
      <c r="BR1936" t="s">
        <v>98</v>
      </c>
      <c r="BS1936" t="s">
        <v>31272</v>
      </c>
      <c r="BT1936" t="s">
        <v>16602</v>
      </c>
    </row>
    <row r="1937" spans="1:72">
      <c r="A1937" t="s">
        <v>72</v>
      </c>
      <c r="B1937" t="s">
        <v>31273</v>
      </c>
      <c r="F1937" t="s">
        <v>31273</v>
      </c>
      <c r="I1937" t="s">
        <v>31274</v>
      </c>
      <c r="J1937" t="s">
        <v>31275</v>
      </c>
      <c r="M1937" t="s">
        <v>78</v>
      </c>
      <c r="N1937" t="s">
        <v>79</v>
      </c>
      <c r="T1937" t="s">
        <v>31276</v>
      </c>
      <c r="U1937" t="s">
        <v>31277</v>
      </c>
      <c r="V1937" t="s">
        <v>31278</v>
      </c>
      <c r="W1937" t="s">
        <v>31279</v>
      </c>
      <c r="X1937" t="s">
        <v>16751</v>
      </c>
      <c r="Y1937" t="s">
        <v>31280</v>
      </c>
      <c r="Z1937" t="s">
        <v>31281</v>
      </c>
      <c r="AG1937">
        <v>24</v>
      </c>
      <c r="AH1937">
        <v>29</v>
      </c>
      <c r="AI1937">
        <v>31</v>
      </c>
      <c r="AJ1937">
        <v>0</v>
      </c>
      <c r="AK1937">
        <v>5</v>
      </c>
      <c r="AL1937" t="s">
        <v>31282</v>
      </c>
      <c r="AM1937" t="s">
        <v>12301</v>
      </c>
      <c r="AN1937" t="s">
        <v>31283</v>
      </c>
      <c r="AO1937" t="s">
        <v>31284</v>
      </c>
      <c r="AR1937" t="s">
        <v>31285</v>
      </c>
      <c r="AS1937" t="s">
        <v>31286</v>
      </c>
      <c r="AT1937" t="s">
        <v>27991</v>
      </c>
      <c r="AU1937">
        <v>2001</v>
      </c>
      <c r="AV1937">
        <v>333</v>
      </c>
      <c r="AW1937">
        <v>6</v>
      </c>
      <c r="BB1937">
        <v>337</v>
      </c>
      <c r="BC1937">
        <v>341</v>
      </c>
      <c r="BE1937" t="s">
        <v>31287</v>
      </c>
      <c r="BF1937" t="s">
        <v>31288</v>
      </c>
      <c r="BI1937">
        <v>5</v>
      </c>
      <c r="BJ1937" t="s">
        <v>10582</v>
      </c>
      <c r="BK1937" t="s">
        <v>96</v>
      </c>
      <c r="BL1937" t="s">
        <v>7739</v>
      </c>
      <c r="BM1937" t="s">
        <v>31289</v>
      </c>
      <c r="BR1937" t="s">
        <v>98</v>
      </c>
      <c r="BS1937" t="s">
        <v>31290</v>
      </c>
      <c r="BT1937" t="s">
        <v>16602</v>
      </c>
    </row>
    <row r="1938" spans="1:72">
      <c r="A1938" t="s">
        <v>72</v>
      </c>
      <c r="B1938" t="s">
        <v>31291</v>
      </c>
      <c r="F1938" t="s">
        <v>31292</v>
      </c>
      <c r="I1938" t="s">
        <v>31293</v>
      </c>
      <c r="J1938" t="s">
        <v>232</v>
      </c>
      <c r="M1938" t="s">
        <v>78</v>
      </c>
      <c r="N1938" t="s">
        <v>79</v>
      </c>
      <c r="T1938" t="s">
        <v>31294</v>
      </c>
      <c r="U1938" t="s">
        <v>31295</v>
      </c>
      <c r="V1938" t="s">
        <v>31296</v>
      </c>
      <c r="W1938" t="s">
        <v>31297</v>
      </c>
      <c r="Y1938" t="s">
        <v>31298</v>
      </c>
      <c r="Z1938" t="s">
        <v>31299</v>
      </c>
      <c r="AB1938" t="s">
        <v>31300</v>
      </c>
      <c r="AG1938">
        <v>21</v>
      </c>
      <c r="AH1938">
        <v>5</v>
      </c>
      <c r="AI1938">
        <v>5</v>
      </c>
      <c r="AJ1938">
        <v>1</v>
      </c>
      <c r="AK1938">
        <v>14</v>
      </c>
      <c r="AL1938" t="s">
        <v>136</v>
      </c>
      <c r="AM1938" t="s">
        <v>137</v>
      </c>
      <c r="AN1938" t="s">
        <v>138</v>
      </c>
      <c r="AO1938" t="s">
        <v>240</v>
      </c>
      <c r="AP1938" t="s">
        <v>241</v>
      </c>
      <c r="AR1938" t="s">
        <v>242</v>
      </c>
      <c r="AS1938" t="s">
        <v>243</v>
      </c>
      <c r="AT1938" t="s">
        <v>325</v>
      </c>
      <c r="AU1938">
        <v>2015</v>
      </c>
      <c r="AV1938">
        <v>99</v>
      </c>
      <c r="AW1938" t="s">
        <v>326</v>
      </c>
      <c r="BB1938">
        <v>328</v>
      </c>
      <c r="BC1938">
        <v>331</v>
      </c>
      <c r="BE1938" t="s">
        <v>31301</v>
      </c>
      <c r="BF1938" t="s">
        <v>31302</v>
      </c>
      <c r="BI1938">
        <v>4</v>
      </c>
      <c r="BJ1938" t="s">
        <v>247</v>
      </c>
      <c r="BK1938" t="s">
        <v>96</v>
      </c>
      <c r="BL1938" t="s">
        <v>248</v>
      </c>
      <c r="BM1938" t="s">
        <v>31303</v>
      </c>
      <c r="BN1938">
        <v>26228069</v>
      </c>
      <c r="BR1938" t="s">
        <v>98</v>
      </c>
      <c r="BS1938" t="s">
        <v>31304</v>
      </c>
      <c r="BT1938" t="s">
        <v>16602</v>
      </c>
    </row>
    <row r="1939" spans="1:72">
      <c r="A1939" t="s">
        <v>72</v>
      </c>
      <c r="B1939" t="s">
        <v>31305</v>
      </c>
      <c r="F1939" t="s">
        <v>31305</v>
      </c>
      <c r="I1939" t="s">
        <v>31306</v>
      </c>
      <c r="J1939" t="s">
        <v>641</v>
      </c>
      <c r="M1939" t="s">
        <v>78</v>
      </c>
      <c r="N1939" t="s">
        <v>79</v>
      </c>
      <c r="T1939" t="s">
        <v>31307</v>
      </c>
      <c r="U1939" t="s">
        <v>31308</v>
      </c>
      <c r="V1939" t="s">
        <v>31309</v>
      </c>
      <c r="W1939" t="s">
        <v>31310</v>
      </c>
      <c r="X1939" t="s">
        <v>31311</v>
      </c>
      <c r="Y1939" t="s">
        <v>31312</v>
      </c>
      <c r="AG1939">
        <v>49</v>
      </c>
      <c r="AH1939">
        <v>24</v>
      </c>
      <c r="AI1939">
        <v>28</v>
      </c>
      <c r="AJ1939">
        <v>0</v>
      </c>
      <c r="AK1939">
        <v>10</v>
      </c>
      <c r="AL1939" t="s">
        <v>919</v>
      </c>
      <c r="AM1939" t="s">
        <v>651</v>
      </c>
      <c r="AN1939" t="s">
        <v>920</v>
      </c>
      <c r="AO1939" t="s">
        <v>653</v>
      </c>
      <c r="AR1939" t="s">
        <v>655</v>
      </c>
      <c r="AS1939" t="s">
        <v>656</v>
      </c>
      <c r="AT1939" t="s">
        <v>31313</v>
      </c>
      <c r="AU1939">
        <v>2001</v>
      </c>
      <c r="AV1939">
        <v>55</v>
      </c>
      <c r="AW1939" t="s">
        <v>1070</v>
      </c>
      <c r="BB1939">
        <v>191</v>
      </c>
      <c r="BC1939">
        <v>201</v>
      </c>
      <c r="BE1939" t="s">
        <v>31314</v>
      </c>
      <c r="BF1939" t="s">
        <v>31315</v>
      </c>
      <c r="BI1939">
        <v>11</v>
      </c>
      <c r="BJ1939" t="s">
        <v>659</v>
      </c>
      <c r="BK1939" t="s">
        <v>96</v>
      </c>
      <c r="BL1939" t="s">
        <v>659</v>
      </c>
      <c r="BM1939" t="s">
        <v>31316</v>
      </c>
      <c r="BN1939">
        <v>11595309</v>
      </c>
      <c r="BR1939" t="s">
        <v>98</v>
      </c>
      <c r="BS1939" t="s">
        <v>31317</v>
      </c>
      <c r="BT1939" t="s">
        <v>16602</v>
      </c>
    </row>
    <row r="1940" spans="1:72">
      <c r="A1940" t="s">
        <v>72</v>
      </c>
      <c r="B1940" t="s">
        <v>31318</v>
      </c>
      <c r="F1940" t="s">
        <v>31319</v>
      </c>
      <c r="I1940" t="s">
        <v>31320</v>
      </c>
      <c r="J1940" t="s">
        <v>421</v>
      </c>
      <c r="M1940" t="s">
        <v>78</v>
      </c>
      <c r="N1940" t="s">
        <v>79</v>
      </c>
      <c r="T1940" t="s">
        <v>31321</v>
      </c>
      <c r="U1940" t="s">
        <v>31322</v>
      </c>
      <c r="V1940" t="s">
        <v>31323</v>
      </c>
      <c r="W1940" t="s">
        <v>31324</v>
      </c>
      <c r="X1940" t="s">
        <v>31325</v>
      </c>
      <c r="Y1940" t="s">
        <v>31326</v>
      </c>
      <c r="Z1940" t="s">
        <v>14843</v>
      </c>
      <c r="AA1940" t="s">
        <v>2900</v>
      </c>
      <c r="AB1940" t="s">
        <v>2183</v>
      </c>
      <c r="AC1940" t="s">
        <v>31327</v>
      </c>
      <c r="AD1940" t="s">
        <v>31328</v>
      </c>
      <c r="AE1940" t="s">
        <v>31329</v>
      </c>
      <c r="AG1940">
        <v>53</v>
      </c>
      <c r="AH1940">
        <v>1</v>
      </c>
      <c r="AI1940">
        <v>1</v>
      </c>
      <c r="AJ1940">
        <v>7</v>
      </c>
      <c r="AK1940">
        <v>19</v>
      </c>
      <c r="AL1940" t="s">
        <v>430</v>
      </c>
      <c r="AM1940" t="s">
        <v>137</v>
      </c>
      <c r="AN1940" t="s">
        <v>431</v>
      </c>
      <c r="AO1940" t="s">
        <v>432</v>
      </c>
      <c r="AP1940" t="s">
        <v>1394</v>
      </c>
      <c r="AR1940" t="s">
        <v>433</v>
      </c>
      <c r="AS1940" t="s">
        <v>434</v>
      </c>
      <c r="AT1940" t="s">
        <v>3506</v>
      </c>
      <c r="AU1940">
        <v>2023</v>
      </c>
      <c r="AV1940">
        <v>333</v>
      </c>
      <c r="BD1940">
        <v>122101</v>
      </c>
      <c r="BE1940" t="s">
        <v>31330</v>
      </c>
      <c r="BF1940" t="s">
        <v>31331</v>
      </c>
      <c r="BH1940" t="s">
        <v>767</v>
      </c>
      <c r="BI1940">
        <v>12</v>
      </c>
      <c r="BJ1940" t="s">
        <v>144</v>
      </c>
      <c r="BK1940" t="s">
        <v>96</v>
      </c>
      <c r="BL1940" t="s">
        <v>145</v>
      </c>
      <c r="BM1940" t="s">
        <v>31332</v>
      </c>
      <c r="BN1940">
        <v>37364753</v>
      </c>
      <c r="BR1940" t="s">
        <v>98</v>
      </c>
      <c r="BS1940" t="s">
        <v>31333</v>
      </c>
      <c r="BT1940" t="s">
        <v>16602</v>
      </c>
    </row>
    <row r="1941" spans="1:72">
      <c r="A1941" t="s">
        <v>72</v>
      </c>
      <c r="B1941" t="s">
        <v>31334</v>
      </c>
      <c r="F1941" t="s">
        <v>31334</v>
      </c>
      <c r="I1941" t="s">
        <v>31335</v>
      </c>
      <c r="J1941" t="s">
        <v>232</v>
      </c>
      <c r="M1941" t="s">
        <v>78</v>
      </c>
      <c r="N1941" t="s">
        <v>79</v>
      </c>
      <c r="T1941" t="s">
        <v>31336</v>
      </c>
      <c r="U1941" t="s">
        <v>31337</v>
      </c>
      <c r="V1941" t="s">
        <v>31338</v>
      </c>
      <c r="W1941" t="s">
        <v>31339</v>
      </c>
      <c r="X1941" t="s">
        <v>31340</v>
      </c>
      <c r="Y1941" t="s">
        <v>31341</v>
      </c>
      <c r="Z1941" t="s">
        <v>31342</v>
      </c>
      <c r="AG1941">
        <v>25</v>
      </c>
      <c r="AH1941">
        <v>15</v>
      </c>
      <c r="AI1941">
        <v>18</v>
      </c>
      <c r="AJ1941">
        <v>1</v>
      </c>
      <c r="AK1941">
        <v>8</v>
      </c>
      <c r="AL1941" t="s">
        <v>136</v>
      </c>
      <c r="AM1941" t="s">
        <v>137</v>
      </c>
      <c r="AN1941" t="s">
        <v>138</v>
      </c>
      <c r="AO1941" t="s">
        <v>240</v>
      </c>
      <c r="AP1941" t="s">
        <v>241</v>
      </c>
      <c r="AR1941" t="s">
        <v>242</v>
      </c>
      <c r="AS1941" t="s">
        <v>243</v>
      </c>
      <c r="AT1941" t="s">
        <v>142</v>
      </c>
      <c r="AU1941">
        <v>2002</v>
      </c>
      <c r="AV1941">
        <v>44</v>
      </c>
      <c r="AW1941">
        <v>6</v>
      </c>
      <c r="BB1941">
        <v>504</v>
      </c>
      <c r="BC1941">
        <v>510</v>
      </c>
      <c r="BD1941" t="s">
        <v>31343</v>
      </c>
      <c r="BE1941" t="s">
        <v>31344</v>
      </c>
      <c r="BF1941" t="s">
        <v>31345</v>
      </c>
      <c r="BI1941">
        <v>7</v>
      </c>
      <c r="BJ1941" t="s">
        <v>247</v>
      </c>
      <c r="BK1941" t="s">
        <v>96</v>
      </c>
      <c r="BL1941" t="s">
        <v>248</v>
      </c>
      <c r="BM1941" t="s">
        <v>31346</v>
      </c>
      <c r="BN1941">
        <v>12146833</v>
      </c>
      <c r="BR1941" t="s">
        <v>98</v>
      </c>
      <c r="BS1941" t="s">
        <v>31347</v>
      </c>
      <c r="BT1941" t="s">
        <v>16602</v>
      </c>
    </row>
    <row r="1942" spans="1:72">
      <c r="A1942" t="s">
        <v>72</v>
      </c>
      <c r="B1942" t="s">
        <v>31348</v>
      </c>
      <c r="F1942" t="s">
        <v>31348</v>
      </c>
      <c r="I1942" t="s">
        <v>31349</v>
      </c>
      <c r="J1942" t="s">
        <v>752</v>
      </c>
      <c r="M1942" t="s">
        <v>78</v>
      </c>
      <c r="N1942" t="s">
        <v>151</v>
      </c>
      <c r="O1942" t="s">
        <v>5658</v>
      </c>
      <c r="P1942">
        <v>1993</v>
      </c>
      <c r="Q1942" t="s">
        <v>5659</v>
      </c>
      <c r="U1942" t="s">
        <v>31350</v>
      </c>
      <c r="V1942" t="s">
        <v>31351</v>
      </c>
      <c r="W1942" t="s">
        <v>31352</v>
      </c>
      <c r="X1942" t="s">
        <v>12879</v>
      </c>
      <c r="Y1942" t="s">
        <v>31353</v>
      </c>
      <c r="AA1942" t="s">
        <v>6355</v>
      </c>
      <c r="AB1942" t="s">
        <v>6356</v>
      </c>
      <c r="AG1942">
        <v>9</v>
      </c>
      <c r="AH1942">
        <v>27</v>
      </c>
      <c r="AI1942">
        <v>31</v>
      </c>
      <c r="AJ1942">
        <v>0</v>
      </c>
      <c r="AK1942">
        <v>9</v>
      </c>
      <c r="AL1942" t="s">
        <v>430</v>
      </c>
      <c r="AM1942" t="s">
        <v>137</v>
      </c>
      <c r="AN1942" t="s">
        <v>1600</v>
      </c>
      <c r="AO1942" t="s">
        <v>761</v>
      </c>
      <c r="AR1942" t="s">
        <v>763</v>
      </c>
      <c r="AS1942" t="s">
        <v>764</v>
      </c>
      <c r="AU1942">
        <v>1995</v>
      </c>
      <c r="AV1942">
        <v>39</v>
      </c>
      <c r="AW1942" t="s">
        <v>721</v>
      </c>
      <c r="BB1942">
        <v>181</v>
      </c>
      <c r="BC1942">
        <v>184</v>
      </c>
      <c r="BE1942" t="s">
        <v>31354</v>
      </c>
      <c r="BF1942" t="s">
        <v>31355</v>
      </c>
      <c r="BI1942">
        <v>4</v>
      </c>
      <c r="BJ1942" t="s">
        <v>768</v>
      </c>
      <c r="BK1942" t="s">
        <v>588</v>
      </c>
      <c r="BL1942" t="s">
        <v>769</v>
      </c>
      <c r="BM1942" t="s">
        <v>5666</v>
      </c>
      <c r="BR1942" t="s">
        <v>98</v>
      </c>
      <c r="BS1942" t="s">
        <v>31356</v>
      </c>
      <c r="BT1942" t="s">
        <v>16602</v>
      </c>
    </row>
    <row r="1943" spans="1:72">
      <c r="A1943" t="s">
        <v>72</v>
      </c>
      <c r="B1943" t="s">
        <v>31357</v>
      </c>
      <c r="F1943" t="s">
        <v>31358</v>
      </c>
      <c r="I1943" t="s">
        <v>31359</v>
      </c>
      <c r="J1943" t="s">
        <v>232</v>
      </c>
      <c r="M1943" t="s">
        <v>78</v>
      </c>
      <c r="N1943" t="s">
        <v>79</v>
      </c>
      <c r="T1943" t="s">
        <v>31360</v>
      </c>
      <c r="U1943" t="s">
        <v>31361</v>
      </c>
      <c r="V1943" t="s">
        <v>31362</v>
      </c>
      <c r="W1943" t="s">
        <v>31363</v>
      </c>
      <c r="X1943" t="s">
        <v>31364</v>
      </c>
      <c r="Y1943" t="s">
        <v>31365</v>
      </c>
      <c r="Z1943" t="s">
        <v>31366</v>
      </c>
      <c r="AB1943" t="s">
        <v>31367</v>
      </c>
      <c r="AG1943">
        <v>48</v>
      </c>
      <c r="AH1943">
        <v>34</v>
      </c>
      <c r="AI1943">
        <v>38</v>
      </c>
      <c r="AJ1943">
        <v>1</v>
      </c>
      <c r="AK1943">
        <v>39</v>
      </c>
      <c r="AL1943" t="s">
        <v>136</v>
      </c>
      <c r="AM1943" t="s">
        <v>137</v>
      </c>
      <c r="AN1943" t="s">
        <v>138</v>
      </c>
      <c r="AO1943" t="s">
        <v>240</v>
      </c>
      <c r="AP1943" t="s">
        <v>241</v>
      </c>
      <c r="AR1943" t="s">
        <v>242</v>
      </c>
      <c r="AS1943" t="s">
        <v>243</v>
      </c>
      <c r="AT1943" t="s">
        <v>13998</v>
      </c>
      <c r="AU1943">
        <v>2014</v>
      </c>
      <c r="AV1943">
        <v>81</v>
      </c>
      <c r="AW1943">
        <v>2</v>
      </c>
      <c r="AZ1943" t="s">
        <v>225</v>
      </c>
      <c r="BB1943">
        <v>303</v>
      </c>
      <c r="BC1943">
        <v>316</v>
      </c>
      <c r="BE1943" t="s">
        <v>31368</v>
      </c>
      <c r="BF1943" t="s">
        <v>31369</v>
      </c>
      <c r="BI1943">
        <v>14</v>
      </c>
      <c r="BJ1943" t="s">
        <v>247</v>
      </c>
      <c r="BK1943" t="s">
        <v>96</v>
      </c>
      <c r="BL1943" t="s">
        <v>248</v>
      </c>
      <c r="BM1943" t="s">
        <v>24845</v>
      </c>
      <c r="BN1943">
        <v>24655944</v>
      </c>
      <c r="BR1943" t="s">
        <v>98</v>
      </c>
      <c r="BS1943" t="s">
        <v>31370</v>
      </c>
      <c r="BT1943" t="s">
        <v>16602</v>
      </c>
    </row>
    <row r="1944" spans="1:72">
      <c r="A1944" t="s">
        <v>72</v>
      </c>
      <c r="B1944" t="s">
        <v>31371</v>
      </c>
      <c r="F1944" t="s">
        <v>31372</v>
      </c>
      <c r="I1944" t="s">
        <v>31373</v>
      </c>
      <c r="J1944" t="s">
        <v>232</v>
      </c>
      <c r="M1944" t="s">
        <v>78</v>
      </c>
      <c r="N1944" t="s">
        <v>79</v>
      </c>
      <c r="T1944" t="s">
        <v>31374</v>
      </c>
      <c r="U1944" t="s">
        <v>31375</v>
      </c>
      <c r="V1944" t="s">
        <v>31376</v>
      </c>
      <c r="W1944" t="s">
        <v>31377</v>
      </c>
      <c r="X1944" t="s">
        <v>31378</v>
      </c>
      <c r="Y1944" t="s">
        <v>31379</v>
      </c>
      <c r="Z1944" t="s">
        <v>31380</v>
      </c>
      <c r="AC1944" t="s">
        <v>31381</v>
      </c>
      <c r="AD1944" t="s">
        <v>9838</v>
      </c>
      <c r="AE1944" t="s">
        <v>31382</v>
      </c>
      <c r="AG1944">
        <v>29</v>
      </c>
      <c r="AH1944">
        <v>8</v>
      </c>
      <c r="AI1944">
        <v>9</v>
      </c>
      <c r="AJ1944">
        <v>1</v>
      </c>
      <c r="AK1944">
        <v>8</v>
      </c>
      <c r="AL1944" t="s">
        <v>136</v>
      </c>
      <c r="AM1944" t="s">
        <v>137</v>
      </c>
      <c r="AN1944" t="s">
        <v>138</v>
      </c>
      <c r="AO1944" t="s">
        <v>240</v>
      </c>
      <c r="AP1944" t="s">
        <v>241</v>
      </c>
      <c r="AR1944" t="s">
        <v>242</v>
      </c>
      <c r="AS1944" t="s">
        <v>243</v>
      </c>
      <c r="AT1944" t="s">
        <v>7041</v>
      </c>
      <c r="AU1944">
        <v>2017</v>
      </c>
      <c r="AV1944">
        <v>115</v>
      </c>
      <c r="AW1944" t="s">
        <v>326</v>
      </c>
      <c r="BB1944">
        <v>369</v>
      </c>
      <c r="BC1944">
        <v>375</v>
      </c>
      <c r="BE1944" t="s">
        <v>31383</v>
      </c>
      <c r="BF1944" t="s">
        <v>31384</v>
      </c>
      <c r="BI1944">
        <v>7</v>
      </c>
      <c r="BJ1944" t="s">
        <v>247</v>
      </c>
      <c r="BK1944" t="s">
        <v>96</v>
      </c>
      <c r="BL1944" t="s">
        <v>248</v>
      </c>
      <c r="BM1944" t="s">
        <v>7043</v>
      </c>
      <c r="BN1944">
        <v>27998547</v>
      </c>
      <c r="BR1944" t="s">
        <v>98</v>
      </c>
      <c r="BS1944" t="s">
        <v>31385</v>
      </c>
      <c r="BT1944" t="s">
        <v>16602</v>
      </c>
    </row>
    <row r="1945" spans="1:72">
      <c r="A1945" t="s">
        <v>72</v>
      </c>
      <c r="B1945" t="s">
        <v>31386</v>
      </c>
      <c r="F1945" t="s">
        <v>31387</v>
      </c>
      <c r="I1945" t="s">
        <v>31388</v>
      </c>
      <c r="J1945" t="s">
        <v>275</v>
      </c>
      <c r="M1945" t="s">
        <v>78</v>
      </c>
      <c r="N1945" t="s">
        <v>79</v>
      </c>
      <c r="T1945" t="s">
        <v>31389</v>
      </c>
      <c r="U1945" t="s">
        <v>31390</v>
      </c>
      <c r="V1945" t="s">
        <v>31391</v>
      </c>
      <c r="W1945" t="s">
        <v>31392</v>
      </c>
      <c r="X1945" t="s">
        <v>31393</v>
      </c>
      <c r="Y1945" t="s">
        <v>31394</v>
      </c>
      <c r="Z1945" t="s">
        <v>31395</v>
      </c>
      <c r="AB1945" t="s">
        <v>31396</v>
      </c>
      <c r="AC1945" t="s">
        <v>31397</v>
      </c>
      <c r="AD1945" t="s">
        <v>31398</v>
      </c>
      <c r="AE1945" t="s">
        <v>31399</v>
      </c>
      <c r="AG1945">
        <v>55</v>
      </c>
      <c r="AH1945">
        <v>0</v>
      </c>
      <c r="AI1945">
        <v>0</v>
      </c>
      <c r="AJ1945">
        <v>4</v>
      </c>
      <c r="AK1945">
        <v>4</v>
      </c>
      <c r="AL1945" t="s">
        <v>285</v>
      </c>
      <c r="AM1945" t="s">
        <v>286</v>
      </c>
      <c r="AN1945" t="s">
        <v>287</v>
      </c>
      <c r="AO1945" t="s">
        <v>288</v>
      </c>
      <c r="AP1945" t="s">
        <v>289</v>
      </c>
      <c r="AR1945" t="s">
        <v>290</v>
      </c>
      <c r="AS1945" t="s">
        <v>291</v>
      </c>
      <c r="AT1945" t="s">
        <v>765</v>
      </c>
      <c r="AU1945">
        <v>2024</v>
      </c>
      <c r="AV1945">
        <v>150</v>
      </c>
      <c r="BD1945">
        <v>109645</v>
      </c>
      <c r="BE1945" t="s">
        <v>31400</v>
      </c>
      <c r="BF1945" t="s">
        <v>31401</v>
      </c>
      <c r="BH1945" t="s">
        <v>11425</v>
      </c>
      <c r="BI1945">
        <v>10</v>
      </c>
      <c r="BJ1945" t="s">
        <v>293</v>
      </c>
      <c r="BK1945" t="s">
        <v>96</v>
      </c>
      <c r="BL1945" t="s">
        <v>293</v>
      </c>
      <c r="BM1945" t="s">
        <v>31402</v>
      </c>
      <c r="BN1945">
        <v>38777254</v>
      </c>
      <c r="BR1945" t="s">
        <v>98</v>
      </c>
      <c r="BS1945" t="s">
        <v>31403</v>
      </c>
      <c r="BT1945" t="s">
        <v>16602</v>
      </c>
    </row>
    <row r="1946" spans="1:72">
      <c r="A1946" t="s">
        <v>72</v>
      </c>
      <c r="B1946" t="s">
        <v>31404</v>
      </c>
      <c r="F1946" t="s">
        <v>31405</v>
      </c>
      <c r="I1946" t="s">
        <v>31406</v>
      </c>
      <c r="J1946" t="s">
        <v>641</v>
      </c>
      <c r="M1946" t="s">
        <v>78</v>
      </c>
      <c r="N1946" t="s">
        <v>79</v>
      </c>
      <c r="T1946" t="s">
        <v>31407</v>
      </c>
      <c r="U1946" t="s">
        <v>31408</v>
      </c>
      <c r="V1946" t="s">
        <v>31409</v>
      </c>
      <c r="W1946" t="s">
        <v>31410</v>
      </c>
      <c r="X1946" t="s">
        <v>31411</v>
      </c>
      <c r="Y1946" t="s">
        <v>31412</v>
      </c>
      <c r="Z1946" t="s">
        <v>27438</v>
      </c>
      <c r="AB1946" t="s">
        <v>31413</v>
      </c>
      <c r="AC1946" t="s">
        <v>31414</v>
      </c>
      <c r="AD1946" t="s">
        <v>31415</v>
      </c>
      <c r="AG1946">
        <v>91</v>
      </c>
      <c r="AH1946">
        <v>123</v>
      </c>
      <c r="AI1946">
        <v>134</v>
      </c>
      <c r="AJ1946">
        <v>1</v>
      </c>
      <c r="AK1946">
        <v>42</v>
      </c>
      <c r="AL1946" t="s">
        <v>650</v>
      </c>
      <c r="AM1946" t="s">
        <v>651</v>
      </c>
      <c r="AN1946" t="s">
        <v>652</v>
      </c>
      <c r="AO1946" t="s">
        <v>653</v>
      </c>
      <c r="AP1946" t="s">
        <v>654</v>
      </c>
      <c r="AR1946" t="s">
        <v>655</v>
      </c>
      <c r="AS1946" t="s">
        <v>656</v>
      </c>
      <c r="AT1946" t="s">
        <v>1856</v>
      </c>
      <c r="AU1946">
        <v>2007</v>
      </c>
      <c r="AV1946">
        <v>84</v>
      </c>
      <c r="AW1946">
        <v>1</v>
      </c>
      <c r="BB1946">
        <v>80</v>
      </c>
      <c r="BC1946">
        <v>91</v>
      </c>
      <c r="BE1946" t="s">
        <v>31416</v>
      </c>
      <c r="BF1946" t="s">
        <v>31417</v>
      </c>
      <c r="BI1946">
        <v>12</v>
      </c>
      <c r="BJ1946" t="s">
        <v>659</v>
      </c>
      <c r="BK1946" t="s">
        <v>96</v>
      </c>
      <c r="BL1946" t="s">
        <v>659</v>
      </c>
      <c r="BM1946" t="s">
        <v>31418</v>
      </c>
      <c r="BN1946">
        <v>17659356</v>
      </c>
      <c r="BR1946" t="s">
        <v>98</v>
      </c>
      <c r="BS1946" t="s">
        <v>31419</v>
      </c>
      <c r="BT1946" t="s">
        <v>16602</v>
      </c>
    </row>
    <row r="1947" spans="1:72">
      <c r="A1947" t="s">
        <v>72</v>
      </c>
      <c r="B1947" t="s">
        <v>31420</v>
      </c>
      <c r="F1947" t="s">
        <v>31421</v>
      </c>
      <c r="I1947" t="s">
        <v>31422</v>
      </c>
      <c r="J1947" t="s">
        <v>31423</v>
      </c>
      <c r="M1947" t="s">
        <v>78</v>
      </c>
      <c r="N1947" t="s">
        <v>79</v>
      </c>
      <c r="U1947" t="s">
        <v>31424</v>
      </c>
      <c r="V1947" t="s">
        <v>31425</v>
      </c>
      <c r="W1947" t="s">
        <v>31426</v>
      </c>
      <c r="X1947" t="s">
        <v>31427</v>
      </c>
      <c r="Y1947" t="s">
        <v>31428</v>
      </c>
      <c r="Z1947" t="s">
        <v>31429</v>
      </c>
      <c r="AA1947" t="s">
        <v>31430</v>
      </c>
      <c r="AB1947" t="s">
        <v>31431</v>
      </c>
      <c r="AC1947" t="s">
        <v>31432</v>
      </c>
      <c r="AD1947" t="s">
        <v>31433</v>
      </c>
      <c r="AE1947" t="s">
        <v>31434</v>
      </c>
      <c r="AG1947">
        <v>13</v>
      </c>
      <c r="AH1947">
        <v>22</v>
      </c>
      <c r="AI1947">
        <v>22</v>
      </c>
      <c r="AJ1947">
        <v>1</v>
      </c>
      <c r="AK1947">
        <v>10</v>
      </c>
      <c r="AL1947" t="s">
        <v>86</v>
      </c>
      <c r="AM1947" t="s">
        <v>87</v>
      </c>
      <c r="AN1947" t="s">
        <v>88</v>
      </c>
      <c r="AO1947" t="s">
        <v>31435</v>
      </c>
      <c r="AR1947" t="s">
        <v>31436</v>
      </c>
      <c r="AS1947" t="s">
        <v>31437</v>
      </c>
      <c r="AT1947" t="s">
        <v>224</v>
      </c>
      <c r="AU1947">
        <v>2011</v>
      </c>
      <c r="AV1947">
        <v>9</v>
      </c>
      <c r="BB1947">
        <v>42</v>
      </c>
      <c r="BC1947">
        <v>49</v>
      </c>
      <c r="BE1947" t="s">
        <v>31438</v>
      </c>
      <c r="BF1947" t="s">
        <v>31439</v>
      </c>
      <c r="BI1947">
        <v>8</v>
      </c>
      <c r="BJ1947" t="s">
        <v>4240</v>
      </c>
      <c r="BK1947" t="s">
        <v>96</v>
      </c>
      <c r="BL1947" t="s">
        <v>4241</v>
      </c>
      <c r="BM1947" t="s">
        <v>31440</v>
      </c>
      <c r="BO1947" t="s">
        <v>1752</v>
      </c>
      <c r="BR1947" t="s">
        <v>98</v>
      </c>
      <c r="BS1947" t="s">
        <v>31441</v>
      </c>
      <c r="BT1947" t="s">
        <v>16602</v>
      </c>
    </row>
    <row r="1948" spans="1:72">
      <c r="A1948" t="s">
        <v>72</v>
      </c>
      <c r="B1948" t="s">
        <v>31442</v>
      </c>
      <c r="F1948" t="s">
        <v>31443</v>
      </c>
      <c r="I1948" t="s">
        <v>31444</v>
      </c>
      <c r="J1948" t="s">
        <v>5220</v>
      </c>
      <c r="M1948" t="s">
        <v>78</v>
      </c>
      <c r="N1948" t="s">
        <v>79</v>
      </c>
      <c r="T1948" t="s">
        <v>31445</v>
      </c>
      <c r="U1948" t="s">
        <v>31446</v>
      </c>
      <c r="V1948" t="s">
        <v>31447</v>
      </c>
      <c r="W1948" t="s">
        <v>31448</v>
      </c>
      <c r="X1948" t="s">
        <v>31449</v>
      </c>
      <c r="Y1948" t="s">
        <v>31450</v>
      </c>
      <c r="Z1948" t="s">
        <v>31451</v>
      </c>
      <c r="AA1948" t="s">
        <v>31452</v>
      </c>
      <c r="AB1948" t="s">
        <v>31453</v>
      </c>
      <c r="AC1948" t="s">
        <v>31454</v>
      </c>
      <c r="AD1948" t="s">
        <v>31455</v>
      </c>
      <c r="AE1948" t="s">
        <v>31456</v>
      </c>
      <c r="AG1948">
        <v>38</v>
      </c>
      <c r="AH1948">
        <v>20</v>
      </c>
      <c r="AI1948">
        <v>20</v>
      </c>
      <c r="AJ1948">
        <v>0</v>
      </c>
      <c r="AK1948">
        <v>23</v>
      </c>
      <c r="AL1948" t="s">
        <v>5232</v>
      </c>
      <c r="AM1948" t="s">
        <v>286</v>
      </c>
      <c r="AN1948" t="s">
        <v>5233</v>
      </c>
      <c r="AO1948" t="s">
        <v>5234</v>
      </c>
      <c r="AR1948" t="s">
        <v>5235</v>
      </c>
      <c r="AS1948" t="s">
        <v>5236</v>
      </c>
      <c r="AT1948" t="s">
        <v>21675</v>
      </c>
      <c r="AU1948">
        <v>2016</v>
      </c>
      <c r="AV1948">
        <v>14</v>
      </c>
      <c r="BD1948">
        <v>16</v>
      </c>
      <c r="BE1948" t="s">
        <v>31457</v>
      </c>
      <c r="BF1948" t="s">
        <v>31458</v>
      </c>
      <c r="BI1948">
        <v>12</v>
      </c>
      <c r="BJ1948" t="s">
        <v>415</v>
      </c>
      <c r="BK1948" t="s">
        <v>96</v>
      </c>
      <c r="BL1948" t="s">
        <v>416</v>
      </c>
      <c r="BM1948" t="s">
        <v>31459</v>
      </c>
      <c r="BN1948">
        <v>27766159</v>
      </c>
      <c r="BO1948" t="s">
        <v>2784</v>
      </c>
      <c r="BR1948" t="s">
        <v>98</v>
      </c>
      <c r="BS1948" t="s">
        <v>31460</v>
      </c>
      <c r="BT1948" t="s">
        <v>16602</v>
      </c>
    </row>
    <row r="1949" spans="1:72">
      <c r="A1949" t="s">
        <v>72</v>
      </c>
      <c r="B1949" t="s">
        <v>31461</v>
      </c>
      <c r="F1949" t="s">
        <v>31462</v>
      </c>
      <c r="I1949" t="s">
        <v>31463</v>
      </c>
      <c r="J1949" t="s">
        <v>232</v>
      </c>
      <c r="M1949" t="s">
        <v>78</v>
      </c>
      <c r="N1949" t="s">
        <v>79</v>
      </c>
      <c r="T1949" t="s">
        <v>31464</v>
      </c>
      <c r="U1949" t="s">
        <v>31465</v>
      </c>
      <c r="V1949" t="s">
        <v>31466</v>
      </c>
      <c r="W1949" t="s">
        <v>31467</v>
      </c>
      <c r="X1949" t="s">
        <v>31468</v>
      </c>
      <c r="Y1949" t="s">
        <v>31469</v>
      </c>
      <c r="Z1949" t="s">
        <v>2638</v>
      </c>
      <c r="AA1949" t="s">
        <v>31470</v>
      </c>
      <c r="AB1949" t="s">
        <v>31471</v>
      </c>
      <c r="AG1949">
        <v>60</v>
      </c>
      <c r="AH1949">
        <v>7</v>
      </c>
      <c r="AI1949">
        <v>7</v>
      </c>
      <c r="AJ1949">
        <v>0</v>
      </c>
      <c r="AK1949">
        <v>10</v>
      </c>
      <c r="AL1949" t="s">
        <v>136</v>
      </c>
      <c r="AM1949" t="s">
        <v>137</v>
      </c>
      <c r="AN1949" t="s">
        <v>138</v>
      </c>
      <c r="AO1949" t="s">
        <v>240</v>
      </c>
      <c r="AP1949" t="s">
        <v>241</v>
      </c>
      <c r="AR1949" t="s">
        <v>242</v>
      </c>
      <c r="AS1949" t="s">
        <v>243</v>
      </c>
      <c r="AT1949" t="s">
        <v>197</v>
      </c>
      <c r="AU1949">
        <v>2021</v>
      </c>
      <c r="AV1949">
        <v>173</v>
      </c>
      <c r="AX1949" t="s">
        <v>489</v>
      </c>
      <c r="BD1949">
        <v>113006</v>
      </c>
      <c r="BE1949" t="s">
        <v>31472</v>
      </c>
      <c r="BF1949" t="s">
        <v>31473</v>
      </c>
      <c r="BH1949" t="s">
        <v>2170</v>
      </c>
      <c r="BI1949">
        <v>10</v>
      </c>
      <c r="BJ1949" t="s">
        <v>247</v>
      </c>
      <c r="BK1949" t="s">
        <v>96</v>
      </c>
      <c r="BL1949" t="s">
        <v>248</v>
      </c>
      <c r="BM1949" t="s">
        <v>31474</v>
      </c>
      <c r="BN1949">
        <v>34634628</v>
      </c>
      <c r="BR1949" t="s">
        <v>98</v>
      </c>
      <c r="BS1949" t="s">
        <v>31475</v>
      </c>
      <c r="BT1949" t="s">
        <v>16602</v>
      </c>
    </row>
    <row r="1950" spans="1:72">
      <c r="A1950" t="s">
        <v>72</v>
      </c>
      <c r="B1950" t="s">
        <v>31476</v>
      </c>
      <c r="F1950" t="s">
        <v>31477</v>
      </c>
      <c r="I1950" t="s">
        <v>31478</v>
      </c>
      <c r="J1950" t="s">
        <v>31479</v>
      </c>
      <c r="M1950" t="s">
        <v>78</v>
      </c>
      <c r="N1950" t="s">
        <v>79</v>
      </c>
      <c r="T1950" t="s">
        <v>31480</v>
      </c>
      <c r="U1950" t="s">
        <v>31481</v>
      </c>
      <c r="V1950" t="s">
        <v>31482</v>
      </c>
      <c r="W1950" t="s">
        <v>31483</v>
      </c>
      <c r="X1950" t="s">
        <v>31484</v>
      </c>
      <c r="Y1950" t="s">
        <v>31485</v>
      </c>
      <c r="Z1950" t="s">
        <v>31486</v>
      </c>
      <c r="AA1950" t="s">
        <v>31487</v>
      </c>
      <c r="AB1950" t="s">
        <v>31488</v>
      </c>
      <c r="AC1950" t="s">
        <v>31489</v>
      </c>
      <c r="AD1950" t="s">
        <v>31490</v>
      </c>
      <c r="AE1950" t="s">
        <v>31491</v>
      </c>
      <c r="AG1950">
        <v>66</v>
      </c>
      <c r="AH1950">
        <v>29</v>
      </c>
      <c r="AI1950">
        <v>32</v>
      </c>
      <c r="AJ1950">
        <v>0</v>
      </c>
      <c r="AK1950">
        <v>17</v>
      </c>
      <c r="AL1950" t="s">
        <v>4368</v>
      </c>
      <c r="AM1950" t="s">
        <v>4369</v>
      </c>
      <c r="AN1950" t="s">
        <v>4370</v>
      </c>
      <c r="AO1950" t="s">
        <v>31492</v>
      </c>
      <c r="AP1950" t="s">
        <v>31493</v>
      </c>
      <c r="AR1950" t="s">
        <v>31494</v>
      </c>
      <c r="AS1950" t="s">
        <v>31495</v>
      </c>
      <c r="AT1950" t="s">
        <v>2493</v>
      </c>
      <c r="AU1950">
        <v>2018</v>
      </c>
      <c r="AV1950">
        <v>350</v>
      </c>
      <c r="AW1950">
        <v>4</v>
      </c>
      <c r="BB1950">
        <v>173</v>
      </c>
      <c r="BC1950">
        <v>179</v>
      </c>
      <c r="BE1950" t="s">
        <v>31496</v>
      </c>
      <c r="BF1950" t="s">
        <v>31497</v>
      </c>
      <c r="BI1950">
        <v>7</v>
      </c>
      <c r="BJ1950" t="s">
        <v>10582</v>
      </c>
      <c r="BK1950" t="s">
        <v>96</v>
      </c>
      <c r="BL1950" t="s">
        <v>7739</v>
      </c>
      <c r="BM1950" t="s">
        <v>31498</v>
      </c>
      <c r="BO1950" t="s">
        <v>1752</v>
      </c>
      <c r="BR1950" t="s">
        <v>98</v>
      </c>
      <c r="BS1950" t="s">
        <v>31499</v>
      </c>
      <c r="BT1950" t="s">
        <v>16602</v>
      </c>
    </row>
    <row r="1951" spans="1:72">
      <c r="A1951" t="s">
        <v>72</v>
      </c>
      <c r="B1951" t="s">
        <v>31500</v>
      </c>
      <c r="F1951" t="s">
        <v>31501</v>
      </c>
      <c r="I1951" t="s">
        <v>31502</v>
      </c>
      <c r="J1951" t="s">
        <v>204</v>
      </c>
      <c r="M1951" t="s">
        <v>78</v>
      </c>
      <c r="N1951" t="s">
        <v>79</v>
      </c>
      <c r="T1951" t="s">
        <v>31503</v>
      </c>
      <c r="U1951" t="s">
        <v>31504</v>
      </c>
      <c r="V1951" t="s">
        <v>31505</v>
      </c>
      <c r="W1951" t="s">
        <v>31506</v>
      </c>
      <c r="X1951" t="s">
        <v>31507</v>
      </c>
      <c r="Y1951" t="s">
        <v>31508</v>
      </c>
      <c r="Z1951" t="s">
        <v>11349</v>
      </c>
      <c r="AA1951" t="s">
        <v>31509</v>
      </c>
      <c r="AB1951" t="s">
        <v>31510</v>
      </c>
      <c r="AC1951" t="s">
        <v>31511</v>
      </c>
      <c r="AD1951" t="s">
        <v>31512</v>
      </c>
      <c r="AG1951">
        <v>36</v>
      </c>
      <c r="AH1951">
        <v>13</v>
      </c>
      <c r="AI1951">
        <v>13</v>
      </c>
      <c r="AJ1951">
        <v>2</v>
      </c>
      <c r="AK1951">
        <v>26</v>
      </c>
      <c r="AL1951" t="s">
        <v>217</v>
      </c>
      <c r="AM1951" t="s">
        <v>218</v>
      </c>
      <c r="AN1951" t="s">
        <v>219</v>
      </c>
      <c r="AO1951" t="s">
        <v>220</v>
      </c>
      <c r="AP1951" t="s">
        <v>221</v>
      </c>
      <c r="AR1951" t="s">
        <v>222</v>
      </c>
      <c r="AS1951" t="s">
        <v>223</v>
      </c>
      <c r="AT1951" t="s">
        <v>267</v>
      </c>
      <c r="AU1951">
        <v>2019</v>
      </c>
      <c r="AV1951">
        <v>26</v>
      </c>
      <c r="AW1951">
        <v>30</v>
      </c>
      <c r="BB1951">
        <v>31198</v>
      </c>
      <c r="BC1951">
        <v>31206</v>
      </c>
      <c r="BE1951" t="s">
        <v>31513</v>
      </c>
      <c r="BF1951" t="s">
        <v>31514</v>
      </c>
      <c r="BI1951">
        <v>9</v>
      </c>
      <c r="BJ1951" t="s">
        <v>144</v>
      </c>
      <c r="BK1951" t="s">
        <v>96</v>
      </c>
      <c r="BL1951" t="s">
        <v>145</v>
      </c>
      <c r="BM1951" t="s">
        <v>31515</v>
      </c>
      <c r="BN1951">
        <v>31463750</v>
      </c>
      <c r="BR1951" t="s">
        <v>98</v>
      </c>
      <c r="BS1951" t="s">
        <v>31516</v>
      </c>
      <c r="BT1951" t="s">
        <v>16602</v>
      </c>
    </row>
    <row r="1952" spans="1:72">
      <c r="A1952" t="s">
        <v>72</v>
      </c>
      <c r="B1952" t="s">
        <v>31517</v>
      </c>
      <c r="F1952" t="s">
        <v>31518</v>
      </c>
      <c r="I1952" t="s">
        <v>31519</v>
      </c>
      <c r="J1952" t="s">
        <v>232</v>
      </c>
      <c r="M1952" t="s">
        <v>78</v>
      </c>
      <c r="N1952" t="s">
        <v>79</v>
      </c>
      <c r="T1952" t="s">
        <v>31520</v>
      </c>
      <c r="U1952" t="s">
        <v>31521</v>
      </c>
      <c r="V1952" t="s">
        <v>31522</v>
      </c>
      <c r="W1952" t="s">
        <v>31523</v>
      </c>
      <c r="X1952" t="s">
        <v>31524</v>
      </c>
      <c r="Y1952" t="s">
        <v>31525</v>
      </c>
      <c r="Z1952" t="s">
        <v>31526</v>
      </c>
      <c r="AA1952" t="s">
        <v>31527</v>
      </c>
      <c r="AB1952" t="s">
        <v>31528</v>
      </c>
      <c r="AG1952">
        <v>50</v>
      </c>
      <c r="AH1952">
        <v>21</v>
      </c>
      <c r="AI1952">
        <v>21</v>
      </c>
      <c r="AJ1952">
        <v>2</v>
      </c>
      <c r="AK1952">
        <v>48</v>
      </c>
      <c r="AL1952" t="s">
        <v>136</v>
      </c>
      <c r="AM1952" t="s">
        <v>137</v>
      </c>
      <c r="AN1952" t="s">
        <v>138</v>
      </c>
      <c r="AO1952" t="s">
        <v>240</v>
      </c>
      <c r="AP1952" t="s">
        <v>241</v>
      </c>
      <c r="AR1952" t="s">
        <v>242</v>
      </c>
      <c r="AS1952" t="s">
        <v>243</v>
      </c>
      <c r="AT1952" t="s">
        <v>7041</v>
      </c>
      <c r="AU1952">
        <v>2013</v>
      </c>
      <c r="AV1952">
        <v>67</v>
      </c>
      <c r="AW1952" t="s">
        <v>326</v>
      </c>
      <c r="BB1952">
        <v>26</v>
      </c>
      <c r="BC1952">
        <v>35</v>
      </c>
      <c r="BE1952" t="s">
        <v>31529</v>
      </c>
      <c r="BF1952" t="s">
        <v>31530</v>
      </c>
      <c r="BI1952">
        <v>10</v>
      </c>
      <c r="BJ1952" t="s">
        <v>247</v>
      </c>
      <c r="BK1952" t="s">
        <v>96</v>
      </c>
      <c r="BL1952" t="s">
        <v>248</v>
      </c>
      <c r="BM1952" t="s">
        <v>31531</v>
      </c>
      <c r="BN1952">
        <v>23279998</v>
      </c>
      <c r="BR1952" t="s">
        <v>98</v>
      </c>
      <c r="BS1952" t="s">
        <v>31532</v>
      </c>
      <c r="BT1952" t="s">
        <v>16602</v>
      </c>
    </row>
    <row r="1953" spans="1:72">
      <c r="A1953" t="s">
        <v>72</v>
      </c>
      <c r="B1953" t="s">
        <v>31533</v>
      </c>
      <c r="F1953" t="s">
        <v>31533</v>
      </c>
      <c r="I1953" t="s">
        <v>31534</v>
      </c>
      <c r="J1953" t="s">
        <v>179</v>
      </c>
      <c r="M1953" t="s">
        <v>78</v>
      </c>
      <c r="N1953" t="s">
        <v>79</v>
      </c>
      <c r="T1953" t="s">
        <v>31535</v>
      </c>
      <c r="U1953" t="s">
        <v>31536</v>
      </c>
      <c r="V1953" t="s">
        <v>31537</v>
      </c>
      <c r="W1953" t="s">
        <v>31538</v>
      </c>
      <c r="X1953" t="s">
        <v>31539</v>
      </c>
      <c r="Y1953" t="s">
        <v>31540</v>
      </c>
      <c r="Z1953" t="s">
        <v>31541</v>
      </c>
      <c r="AA1953" t="s">
        <v>31542</v>
      </c>
      <c r="AB1953" t="s">
        <v>31543</v>
      </c>
      <c r="AG1953">
        <v>51</v>
      </c>
      <c r="AH1953">
        <v>56</v>
      </c>
      <c r="AI1953">
        <v>72</v>
      </c>
      <c r="AJ1953">
        <v>0</v>
      </c>
      <c r="AK1953">
        <v>50</v>
      </c>
      <c r="AL1953" t="s">
        <v>112</v>
      </c>
      <c r="AM1953" t="s">
        <v>191</v>
      </c>
      <c r="AN1953" t="s">
        <v>192</v>
      </c>
      <c r="AO1953" t="s">
        <v>193</v>
      </c>
      <c r="AR1953" t="s">
        <v>195</v>
      </c>
      <c r="AS1953" t="s">
        <v>196</v>
      </c>
      <c r="AT1953" t="s">
        <v>31544</v>
      </c>
      <c r="AU1953">
        <v>2003</v>
      </c>
      <c r="AV1953">
        <v>88</v>
      </c>
      <c r="AW1953" t="s">
        <v>2847</v>
      </c>
      <c r="BB1953">
        <v>193</v>
      </c>
      <c r="BC1953">
        <v>219</v>
      </c>
      <c r="BE1953" t="s">
        <v>31545</v>
      </c>
      <c r="BF1953" t="s">
        <v>31546</v>
      </c>
      <c r="BI1953">
        <v>27</v>
      </c>
      <c r="BJ1953" t="s">
        <v>144</v>
      </c>
      <c r="BK1953" t="s">
        <v>96</v>
      </c>
      <c r="BL1953" t="s">
        <v>145</v>
      </c>
      <c r="BM1953" t="s">
        <v>31547</v>
      </c>
      <c r="BN1953">
        <v>14570416</v>
      </c>
      <c r="BR1953" t="s">
        <v>98</v>
      </c>
      <c r="BS1953" t="s">
        <v>31548</v>
      </c>
      <c r="BT1953" t="s">
        <v>16602</v>
      </c>
    </row>
    <row r="1954" spans="1:72">
      <c r="A1954" t="s">
        <v>72</v>
      </c>
      <c r="B1954" t="s">
        <v>31549</v>
      </c>
      <c r="F1954" t="s">
        <v>31549</v>
      </c>
      <c r="I1954" t="s">
        <v>31550</v>
      </c>
      <c r="J1954" t="s">
        <v>641</v>
      </c>
      <c r="M1954" t="s">
        <v>78</v>
      </c>
      <c r="N1954" t="s">
        <v>79</v>
      </c>
      <c r="V1954" t="s">
        <v>31551</v>
      </c>
      <c r="Y1954" t="s">
        <v>31552</v>
      </c>
      <c r="AG1954">
        <v>0</v>
      </c>
      <c r="AH1954">
        <v>41</v>
      </c>
      <c r="AI1954">
        <v>45</v>
      </c>
      <c r="AJ1954">
        <v>0</v>
      </c>
      <c r="AK1954">
        <v>1</v>
      </c>
      <c r="AL1954" t="s">
        <v>650</v>
      </c>
      <c r="AM1954" t="s">
        <v>651</v>
      </c>
      <c r="AN1954" t="s">
        <v>652</v>
      </c>
      <c r="AO1954" t="s">
        <v>653</v>
      </c>
      <c r="AP1954" t="s">
        <v>654</v>
      </c>
      <c r="AR1954" t="s">
        <v>655</v>
      </c>
      <c r="AS1954" t="s">
        <v>656</v>
      </c>
      <c r="AU1954">
        <v>1981</v>
      </c>
      <c r="AV1954">
        <v>1</v>
      </c>
      <c r="AW1954" t="s">
        <v>1070</v>
      </c>
      <c r="BB1954">
        <v>187</v>
      </c>
      <c r="BC1954">
        <v>195</v>
      </c>
      <c r="BI1954">
        <v>9</v>
      </c>
      <c r="BJ1954" t="s">
        <v>659</v>
      </c>
      <c r="BK1954" t="s">
        <v>96</v>
      </c>
      <c r="BL1954" t="s">
        <v>659</v>
      </c>
      <c r="BM1954" t="s">
        <v>31553</v>
      </c>
      <c r="BR1954" t="s">
        <v>98</v>
      </c>
      <c r="BS1954" t="s">
        <v>31554</v>
      </c>
      <c r="BT1954" t="s">
        <v>16602</v>
      </c>
    </row>
    <row r="1955" spans="1:72">
      <c r="A1955" t="s">
        <v>72</v>
      </c>
      <c r="B1955" t="s">
        <v>31555</v>
      </c>
      <c r="F1955" t="s">
        <v>31555</v>
      </c>
      <c r="I1955" t="s">
        <v>31556</v>
      </c>
      <c r="J1955" t="s">
        <v>4463</v>
      </c>
      <c r="M1955" t="s">
        <v>78</v>
      </c>
      <c r="N1955" t="s">
        <v>79</v>
      </c>
      <c r="U1955" t="s">
        <v>31557</v>
      </c>
      <c r="V1955" t="s">
        <v>31558</v>
      </c>
      <c r="W1955" t="s">
        <v>31559</v>
      </c>
      <c r="X1955" t="s">
        <v>31560</v>
      </c>
      <c r="Y1955" t="s">
        <v>31561</v>
      </c>
      <c r="Z1955" t="s">
        <v>31562</v>
      </c>
      <c r="AG1955">
        <v>46</v>
      </c>
      <c r="AH1955">
        <v>12</v>
      </c>
      <c r="AI1955">
        <v>14</v>
      </c>
      <c r="AJ1955">
        <v>0</v>
      </c>
      <c r="AK1955">
        <v>18</v>
      </c>
      <c r="AL1955" t="s">
        <v>4471</v>
      </c>
      <c r="AM1955" t="s">
        <v>4472</v>
      </c>
      <c r="AN1955" t="s">
        <v>4473</v>
      </c>
      <c r="AO1955" t="s">
        <v>4474</v>
      </c>
      <c r="AP1955" t="s">
        <v>4475</v>
      </c>
      <c r="AR1955" t="s">
        <v>4476</v>
      </c>
      <c r="AS1955" t="s">
        <v>4477</v>
      </c>
      <c r="AT1955" t="s">
        <v>1965</v>
      </c>
      <c r="AU1955">
        <v>2003</v>
      </c>
      <c r="AV1955">
        <v>37</v>
      </c>
      <c r="AW1955">
        <v>24</v>
      </c>
      <c r="BB1955">
        <v>5739</v>
      </c>
      <c r="BC1955">
        <v>5744</v>
      </c>
      <c r="BE1955" t="s">
        <v>31563</v>
      </c>
      <c r="BF1955" t="s">
        <v>31564</v>
      </c>
      <c r="BI1955">
        <v>6</v>
      </c>
      <c r="BJ1955" t="s">
        <v>415</v>
      </c>
      <c r="BK1955" t="s">
        <v>96</v>
      </c>
      <c r="BL1955" t="s">
        <v>416</v>
      </c>
      <c r="BM1955" t="s">
        <v>31565</v>
      </c>
      <c r="BN1955">
        <v>14717188</v>
      </c>
      <c r="BR1955" t="s">
        <v>98</v>
      </c>
      <c r="BS1955" t="s">
        <v>31566</v>
      </c>
      <c r="BT1955" t="s">
        <v>16602</v>
      </c>
    </row>
    <row r="1956" spans="1:72">
      <c r="A1956" t="s">
        <v>72</v>
      </c>
      <c r="B1956" t="s">
        <v>31567</v>
      </c>
      <c r="F1956" t="s">
        <v>31568</v>
      </c>
      <c r="I1956" t="s">
        <v>31569</v>
      </c>
      <c r="J1956" t="s">
        <v>204</v>
      </c>
      <c r="M1956" t="s">
        <v>78</v>
      </c>
      <c r="N1956" t="s">
        <v>79</v>
      </c>
      <c r="T1956" t="s">
        <v>31570</v>
      </c>
      <c r="U1956" t="s">
        <v>31571</v>
      </c>
      <c r="V1956" t="s">
        <v>31572</v>
      </c>
      <c r="W1956" t="s">
        <v>31573</v>
      </c>
      <c r="X1956" t="s">
        <v>31574</v>
      </c>
      <c r="Y1956" t="s">
        <v>31575</v>
      </c>
      <c r="Z1956" t="s">
        <v>31576</v>
      </c>
      <c r="AA1956" t="s">
        <v>31577</v>
      </c>
      <c r="AB1956" t="s">
        <v>31578</v>
      </c>
      <c r="AC1956" t="s">
        <v>31579</v>
      </c>
      <c r="AD1956" t="s">
        <v>31579</v>
      </c>
      <c r="AE1956" t="s">
        <v>31580</v>
      </c>
      <c r="AG1956">
        <v>77</v>
      </c>
      <c r="AH1956">
        <v>10</v>
      </c>
      <c r="AI1956">
        <v>10</v>
      </c>
      <c r="AJ1956">
        <v>0</v>
      </c>
      <c r="AK1956">
        <v>6</v>
      </c>
      <c r="AL1956" t="s">
        <v>217</v>
      </c>
      <c r="AM1956" t="s">
        <v>218</v>
      </c>
      <c r="AN1956" t="s">
        <v>219</v>
      </c>
      <c r="AO1956" t="s">
        <v>220</v>
      </c>
      <c r="AP1956" t="s">
        <v>221</v>
      </c>
      <c r="AR1956" t="s">
        <v>222</v>
      </c>
      <c r="AS1956" t="s">
        <v>223</v>
      </c>
      <c r="AT1956" t="s">
        <v>197</v>
      </c>
      <c r="AU1956">
        <v>2021</v>
      </c>
      <c r="AV1956">
        <v>28</v>
      </c>
      <c r="AW1956">
        <v>48</v>
      </c>
      <c r="BB1956">
        <v>68338</v>
      </c>
      <c r="BC1956">
        <v>68348</v>
      </c>
      <c r="BE1956" t="s">
        <v>31581</v>
      </c>
      <c r="BF1956" t="s">
        <v>31582</v>
      </c>
      <c r="BH1956" t="s">
        <v>12797</v>
      </c>
      <c r="BI1956">
        <v>11</v>
      </c>
      <c r="BJ1956" t="s">
        <v>144</v>
      </c>
      <c r="BK1956" t="s">
        <v>96</v>
      </c>
      <c r="BL1956" t="s">
        <v>145</v>
      </c>
      <c r="BM1956" t="s">
        <v>25974</v>
      </c>
      <c r="BN1956">
        <v>34272665</v>
      </c>
      <c r="BO1956" t="s">
        <v>810</v>
      </c>
      <c r="BR1956" t="s">
        <v>98</v>
      </c>
      <c r="BS1956" t="s">
        <v>31583</v>
      </c>
      <c r="BT1956" t="s">
        <v>16602</v>
      </c>
    </row>
    <row r="1957" spans="1:72">
      <c r="A1957" t="s">
        <v>72</v>
      </c>
      <c r="B1957" t="s">
        <v>31584</v>
      </c>
      <c r="F1957" t="s">
        <v>31585</v>
      </c>
      <c r="I1957" t="s">
        <v>31586</v>
      </c>
      <c r="J1957" t="s">
        <v>24519</v>
      </c>
      <c r="M1957" t="s">
        <v>78</v>
      </c>
      <c r="N1957" t="s">
        <v>79</v>
      </c>
      <c r="T1957" t="s">
        <v>31587</v>
      </c>
      <c r="U1957" t="s">
        <v>31588</v>
      </c>
      <c r="V1957" t="s">
        <v>31589</v>
      </c>
      <c r="W1957" t="s">
        <v>31590</v>
      </c>
      <c r="X1957" t="s">
        <v>31591</v>
      </c>
      <c r="Y1957" t="s">
        <v>31592</v>
      </c>
      <c r="Z1957" t="s">
        <v>31593</v>
      </c>
      <c r="AG1957">
        <v>38</v>
      </c>
      <c r="AH1957">
        <v>2</v>
      </c>
      <c r="AI1957">
        <v>2</v>
      </c>
      <c r="AJ1957">
        <v>11</v>
      </c>
      <c r="AK1957">
        <v>14</v>
      </c>
      <c r="AL1957" t="s">
        <v>1433</v>
      </c>
      <c r="AM1957" t="s">
        <v>1434</v>
      </c>
      <c r="AN1957" t="s">
        <v>1435</v>
      </c>
      <c r="AO1957" t="s">
        <v>24529</v>
      </c>
      <c r="AP1957" t="s">
        <v>24530</v>
      </c>
      <c r="AR1957" t="s">
        <v>24531</v>
      </c>
      <c r="AS1957" t="s">
        <v>24532</v>
      </c>
      <c r="AT1957" t="s">
        <v>119</v>
      </c>
      <c r="AU1957">
        <v>2018</v>
      </c>
      <c r="AV1957">
        <v>56</v>
      </c>
      <c r="AW1957">
        <v>8</v>
      </c>
      <c r="BB1957">
        <v>611</v>
      </c>
      <c r="BC1957">
        <v>615</v>
      </c>
      <c r="BI1957">
        <v>5</v>
      </c>
      <c r="BJ1957" t="s">
        <v>171</v>
      </c>
      <c r="BK1957" t="s">
        <v>96</v>
      </c>
      <c r="BL1957" t="s">
        <v>173</v>
      </c>
      <c r="BM1957" t="s">
        <v>31594</v>
      </c>
      <c r="BR1957" t="s">
        <v>98</v>
      </c>
      <c r="BS1957" t="s">
        <v>31595</v>
      </c>
      <c r="BT1957" t="s">
        <v>16602</v>
      </c>
    </row>
    <row r="1958" spans="1:72">
      <c r="A1958" t="s">
        <v>72</v>
      </c>
      <c r="B1958" t="s">
        <v>31596</v>
      </c>
      <c r="F1958" t="s">
        <v>31597</v>
      </c>
      <c r="I1958" t="s">
        <v>31598</v>
      </c>
      <c r="J1958" t="s">
        <v>7097</v>
      </c>
      <c r="M1958" t="s">
        <v>78</v>
      </c>
      <c r="N1958" t="s">
        <v>79</v>
      </c>
      <c r="T1958" t="s">
        <v>31599</v>
      </c>
      <c r="U1958" t="s">
        <v>31600</v>
      </c>
      <c r="V1958" t="s">
        <v>31601</v>
      </c>
      <c r="W1958" t="s">
        <v>31602</v>
      </c>
      <c r="X1958" t="s">
        <v>31603</v>
      </c>
      <c r="Y1958" t="s">
        <v>31604</v>
      </c>
      <c r="Z1958" t="s">
        <v>31605</v>
      </c>
      <c r="AA1958" t="s">
        <v>31606</v>
      </c>
      <c r="AB1958" t="s">
        <v>31607</v>
      </c>
      <c r="AC1958" t="s">
        <v>31608</v>
      </c>
      <c r="AD1958" t="s">
        <v>31609</v>
      </c>
      <c r="AE1958" t="s">
        <v>31610</v>
      </c>
      <c r="AG1958">
        <v>260</v>
      </c>
      <c r="AH1958">
        <v>5</v>
      </c>
      <c r="AI1958">
        <v>5</v>
      </c>
      <c r="AJ1958">
        <v>2</v>
      </c>
      <c r="AK1958">
        <v>24</v>
      </c>
      <c r="AL1958" t="s">
        <v>650</v>
      </c>
      <c r="AM1958" t="s">
        <v>651</v>
      </c>
      <c r="AN1958" t="s">
        <v>652</v>
      </c>
      <c r="AO1958" t="s">
        <v>7110</v>
      </c>
      <c r="AP1958" t="s">
        <v>7111</v>
      </c>
      <c r="AR1958" t="s">
        <v>7112</v>
      </c>
      <c r="AS1958" t="s">
        <v>7113</v>
      </c>
      <c r="AT1958" t="s">
        <v>142</v>
      </c>
      <c r="AU1958">
        <v>2022</v>
      </c>
      <c r="AV1958">
        <v>139</v>
      </c>
      <c r="BD1958">
        <v>108899</v>
      </c>
      <c r="BE1958" t="s">
        <v>31611</v>
      </c>
      <c r="BF1958" t="s">
        <v>31612</v>
      </c>
      <c r="BH1958" t="s">
        <v>2765</v>
      </c>
      <c r="BI1958">
        <v>24</v>
      </c>
      <c r="BJ1958" t="s">
        <v>4923</v>
      </c>
      <c r="BK1958" t="s">
        <v>96</v>
      </c>
      <c r="BL1958" t="s">
        <v>4924</v>
      </c>
      <c r="BM1958" t="s">
        <v>31613</v>
      </c>
      <c r="BO1958" t="s">
        <v>5306</v>
      </c>
      <c r="BR1958" t="s">
        <v>98</v>
      </c>
      <c r="BS1958" t="s">
        <v>31614</v>
      </c>
      <c r="BT1958" t="s">
        <v>16602</v>
      </c>
    </row>
    <row r="1959" spans="1:72">
      <c r="A1959" t="s">
        <v>72</v>
      </c>
      <c r="B1959" t="s">
        <v>31615</v>
      </c>
      <c r="F1959" t="s">
        <v>31616</v>
      </c>
      <c r="I1959" t="s">
        <v>31617</v>
      </c>
      <c r="J1959" t="s">
        <v>30108</v>
      </c>
      <c r="M1959" t="s">
        <v>78</v>
      </c>
      <c r="N1959" t="s">
        <v>79</v>
      </c>
      <c r="T1959" t="s">
        <v>31618</v>
      </c>
      <c r="U1959" t="s">
        <v>31619</v>
      </c>
      <c r="V1959" t="s">
        <v>31620</v>
      </c>
      <c r="W1959" t="s">
        <v>31621</v>
      </c>
      <c r="X1959" t="s">
        <v>31622</v>
      </c>
      <c r="Y1959" t="s">
        <v>31623</v>
      </c>
      <c r="Z1959" t="s">
        <v>31624</v>
      </c>
      <c r="AB1959" t="s">
        <v>31625</v>
      </c>
      <c r="AC1959" t="s">
        <v>31626</v>
      </c>
      <c r="AD1959" t="s">
        <v>31627</v>
      </c>
      <c r="AE1959" t="s">
        <v>31628</v>
      </c>
      <c r="AG1959">
        <v>52</v>
      </c>
      <c r="AH1959">
        <v>2</v>
      </c>
      <c r="AI1959">
        <v>4</v>
      </c>
      <c r="AJ1959">
        <v>0</v>
      </c>
      <c r="AK1959">
        <v>6</v>
      </c>
      <c r="AL1959" t="s">
        <v>112</v>
      </c>
      <c r="AM1959" t="s">
        <v>113</v>
      </c>
      <c r="AN1959" t="s">
        <v>469</v>
      </c>
      <c r="AO1959" t="s">
        <v>30118</v>
      </c>
      <c r="AP1959" t="s">
        <v>30119</v>
      </c>
      <c r="AR1959" t="s">
        <v>30120</v>
      </c>
      <c r="AS1959" t="s">
        <v>30121</v>
      </c>
      <c r="AT1959" t="s">
        <v>1470</v>
      </c>
      <c r="AU1959">
        <v>2019</v>
      </c>
      <c r="AV1959">
        <v>42</v>
      </c>
      <c r="AW1959">
        <v>1</v>
      </c>
      <c r="BB1959">
        <v>237</v>
      </c>
      <c r="BC1959">
        <v>249</v>
      </c>
      <c r="BE1959" t="s">
        <v>31629</v>
      </c>
      <c r="BF1959" t="s">
        <v>31630</v>
      </c>
      <c r="BI1959">
        <v>13</v>
      </c>
      <c r="BJ1959" t="s">
        <v>247</v>
      </c>
      <c r="BK1959" t="s">
        <v>96</v>
      </c>
      <c r="BL1959" t="s">
        <v>248</v>
      </c>
      <c r="BM1959" t="s">
        <v>31631</v>
      </c>
      <c r="BR1959" t="s">
        <v>98</v>
      </c>
      <c r="BS1959" t="s">
        <v>31632</v>
      </c>
      <c r="BT1959" t="s">
        <v>16602</v>
      </c>
    </row>
    <row r="1960" spans="1:72">
      <c r="A1960" t="s">
        <v>72</v>
      </c>
      <c r="B1960" t="s">
        <v>31633</v>
      </c>
      <c r="F1960" t="s">
        <v>31634</v>
      </c>
      <c r="I1960" t="s">
        <v>31635</v>
      </c>
      <c r="J1960" t="s">
        <v>2894</v>
      </c>
      <c r="M1960" t="s">
        <v>78</v>
      </c>
      <c r="N1960" t="s">
        <v>79</v>
      </c>
      <c r="T1960" t="s">
        <v>31636</v>
      </c>
      <c r="U1960" t="s">
        <v>31637</v>
      </c>
      <c r="V1960" t="s">
        <v>31638</v>
      </c>
      <c r="W1960" t="s">
        <v>31639</v>
      </c>
      <c r="X1960" t="s">
        <v>31640</v>
      </c>
      <c r="Y1960" t="s">
        <v>31641</v>
      </c>
      <c r="Z1960" t="s">
        <v>31642</v>
      </c>
      <c r="AA1960" t="s">
        <v>31643</v>
      </c>
      <c r="AB1960" t="s">
        <v>31644</v>
      </c>
      <c r="AC1960" t="s">
        <v>31645</v>
      </c>
      <c r="AD1960" t="s">
        <v>31646</v>
      </c>
      <c r="AE1960" t="s">
        <v>31647</v>
      </c>
      <c r="AG1960">
        <v>58</v>
      </c>
      <c r="AH1960">
        <v>33</v>
      </c>
      <c r="AI1960">
        <v>41</v>
      </c>
      <c r="AJ1960">
        <v>2</v>
      </c>
      <c r="AK1960">
        <v>118</v>
      </c>
      <c r="AL1960" t="s">
        <v>2904</v>
      </c>
      <c r="AM1960" t="s">
        <v>2905</v>
      </c>
      <c r="AN1960" t="s">
        <v>2906</v>
      </c>
      <c r="AO1960" t="s">
        <v>2907</v>
      </c>
      <c r="AP1960" t="s">
        <v>5406</v>
      </c>
      <c r="AR1960" t="s">
        <v>2908</v>
      </c>
      <c r="AS1960" t="s">
        <v>2909</v>
      </c>
      <c r="AU1960">
        <v>2013</v>
      </c>
      <c r="AV1960">
        <v>473</v>
      </c>
      <c r="BB1960">
        <v>133</v>
      </c>
      <c r="BC1960" t="s">
        <v>2936</v>
      </c>
      <c r="BE1960" t="s">
        <v>31648</v>
      </c>
      <c r="BF1960" t="s">
        <v>31649</v>
      </c>
      <c r="BI1960">
        <v>19</v>
      </c>
      <c r="BJ1960" t="s">
        <v>2911</v>
      </c>
      <c r="BK1960" t="s">
        <v>96</v>
      </c>
      <c r="BL1960" t="s">
        <v>2912</v>
      </c>
      <c r="BM1960" t="s">
        <v>31650</v>
      </c>
      <c r="BO1960" t="s">
        <v>9583</v>
      </c>
      <c r="BR1960" t="s">
        <v>98</v>
      </c>
      <c r="BS1960" t="s">
        <v>31651</v>
      </c>
      <c r="BT1960" t="s">
        <v>16602</v>
      </c>
    </row>
    <row r="1961" spans="1:72">
      <c r="A1961" t="s">
        <v>72</v>
      </c>
      <c r="B1961" t="s">
        <v>31652</v>
      </c>
      <c r="F1961" t="s">
        <v>31653</v>
      </c>
      <c r="I1961" t="s">
        <v>31654</v>
      </c>
      <c r="J1961" t="s">
        <v>31655</v>
      </c>
      <c r="M1961" t="s">
        <v>78</v>
      </c>
      <c r="N1961" t="s">
        <v>79</v>
      </c>
      <c r="T1961" t="s">
        <v>31656</v>
      </c>
      <c r="U1961" t="s">
        <v>31657</v>
      </c>
      <c r="V1961" t="s">
        <v>31658</v>
      </c>
      <c r="W1961" t="s">
        <v>31659</v>
      </c>
      <c r="X1961" t="s">
        <v>31660</v>
      </c>
      <c r="Y1961" t="s">
        <v>31661</v>
      </c>
      <c r="Z1961" t="s">
        <v>31662</v>
      </c>
      <c r="AA1961" t="s">
        <v>31663</v>
      </c>
      <c r="AB1961" t="s">
        <v>31664</v>
      </c>
      <c r="AC1961" t="s">
        <v>31665</v>
      </c>
      <c r="AD1961" t="s">
        <v>31666</v>
      </c>
      <c r="AE1961" t="s">
        <v>31667</v>
      </c>
      <c r="AG1961">
        <v>61</v>
      </c>
      <c r="AH1961">
        <v>3</v>
      </c>
      <c r="AI1961">
        <v>3</v>
      </c>
      <c r="AJ1961">
        <v>1</v>
      </c>
      <c r="AK1961">
        <v>40</v>
      </c>
      <c r="AL1961" t="s">
        <v>112</v>
      </c>
      <c r="AM1961" t="s">
        <v>113</v>
      </c>
      <c r="AN1961" t="s">
        <v>469</v>
      </c>
      <c r="AO1961" t="s">
        <v>31668</v>
      </c>
      <c r="AP1961" t="s">
        <v>31669</v>
      </c>
      <c r="AR1961" t="s">
        <v>31655</v>
      </c>
      <c r="AS1961" t="s">
        <v>31670</v>
      </c>
      <c r="AT1961" t="s">
        <v>93</v>
      </c>
      <c r="AU1961">
        <v>2015</v>
      </c>
      <c r="AV1961">
        <v>70</v>
      </c>
      <c r="AW1961">
        <v>4</v>
      </c>
      <c r="BB1961">
        <v>486</v>
      </c>
      <c r="BC1961">
        <v>494</v>
      </c>
      <c r="BE1961" t="s">
        <v>31671</v>
      </c>
      <c r="BF1961" t="s">
        <v>31672</v>
      </c>
      <c r="BI1961">
        <v>9</v>
      </c>
      <c r="BJ1961" t="s">
        <v>171</v>
      </c>
      <c r="BK1961" t="s">
        <v>96</v>
      </c>
      <c r="BL1961" t="s">
        <v>173</v>
      </c>
      <c r="BM1961" t="s">
        <v>31673</v>
      </c>
      <c r="BR1961" t="s">
        <v>98</v>
      </c>
      <c r="BS1961" t="s">
        <v>31674</v>
      </c>
      <c r="BT1961" t="s">
        <v>16602</v>
      </c>
    </row>
    <row r="1962" spans="1:72">
      <c r="A1962" t="s">
        <v>72</v>
      </c>
      <c r="B1962" t="s">
        <v>31675</v>
      </c>
      <c r="F1962" t="s">
        <v>31675</v>
      </c>
      <c r="I1962" t="s">
        <v>31676</v>
      </c>
      <c r="J1962" t="s">
        <v>909</v>
      </c>
      <c r="M1962" t="s">
        <v>78</v>
      </c>
      <c r="N1962" t="s">
        <v>79</v>
      </c>
      <c r="T1962" t="s">
        <v>31677</v>
      </c>
      <c r="U1962" t="s">
        <v>31678</v>
      </c>
      <c r="V1962" t="s">
        <v>31679</v>
      </c>
      <c r="W1962" t="s">
        <v>31680</v>
      </c>
      <c r="X1962" t="s">
        <v>21287</v>
      </c>
      <c r="Y1962" t="s">
        <v>31681</v>
      </c>
      <c r="AA1962" t="s">
        <v>20314</v>
      </c>
      <c r="AB1962" t="s">
        <v>20315</v>
      </c>
      <c r="AG1962">
        <v>62</v>
      </c>
      <c r="AH1962">
        <v>30</v>
      </c>
      <c r="AI1962">
        <v>32</v>
      </c>
      <c r="AJ1962">
        <v>1</v>
      </c>
      <c r="AK1962">
        <v>9</v>
      </c>
      <c r="AL1962" t="s">
        <v>919</v>
      </c>
      <c r="AM1962" t="s">
        <v>651</v>
      </c>
      <c r="AN1962" t="s">
        <v>920</v>
      </c>
      <c r="AO1962" t="s">
        <v>921</v>
      </c>
      <c r="AR1962" t="s">
        <v>923</v>
      </c>
      <c r="AS1962" t="s">
        <v>924</v>
      </c>
      <c r="AT1962" t="s">
        <v>31682</v>
      </c>
      <c r="AU1962">
        <v>1997</v>
      </c>
      <c r="AV1962">
        <v>198</v>
      </c>
      <c r="AW1962">
        <v>2</v>
      </c>
      <c r="BB1962">
        <v>135</v>
      </c>
      <c r="BC1962">
        <v>147</v>
      </c>
      <c r="BE1962" t="s">
        <v>31683</v>
      </c>
      <c r="BF1962" t="s">
        <v>31684</v>
      </c>
      <c r="BI1962">
        <v>13</v>
      </c>
      <c r="BJ1962" t="s">
        <v>144</v>
      </c>
      <c r="BK1962" t="s">
        <v>96</v>
      </c>
      <c r="BL1962" t="s">
        <v>145</v>
      </c>
      <c r="BM1962" t="s">
        <v>31685</v>
      </c>
      <c r="BR1962" t="s">
        <v>98</v>
      </c>
      <c r="BS1962" t="s">
        <v>31686</v>
      </c>
      <c r="BT1962" t="s">
        <v>16602</v>
      </c>
    </row>
    <row r="1963" spans="1:72">
      <c r="A1963" t="s">
        <v>72</v>
      </c>
      <c r="B1963" t="s">
        <v>31687</v>
      </c>
      <c r="F1963" t="s">
        <v>31688</v>
      </c>
      <c r="I1963" t="s">
        <v>31689</v>
      </c>
      <c r="J1963" t="s">
        <v>232</v>
      </c>
      <c r="M1963" t="s">
        <v>78</v>
      </c>
      <c r="N1963" t="s">
        <v>151</v>
      </c>
      <c r="O1963" t="s">
        <v>31690</v>
      </c>
      <c r="P1963" t="s">
        <v>31691</v>
      </c>
      <c r="Q1963" t="s">
        <v>27951</v>
      </c>
      <c r="S1963" t="s">
        <v>27952</v>
      </c>
      <c r="T1963" t="s">
        <v>31692</v>
      </c>
      <c r="U1963" t="s">
        <v>31693</v>
      </c>
      <c r="V1963" t="s">
        <v>31694</v>
      </c>
      <c r="W1963" t="s">
        <v>31695</v>
      </c>
      <c r="X1963" t="s">
        <v>31696</v>
      </c>
      <c r="Y1963" t="s">
        <v>31697</v>
      </c>
      <c r="Z1963" t="s">
        <v>31698</v>
      </c>
      <c r="AA1963" t="s">
        <v>31699</v>
      </c>
      <c r="AB1963" t="s">
        <v>31700</v>
      </c>
      <c r="AG1963">
        <v>30</v>
      </c>
      <c r="AH1963">
        <v>67</v>
      </c>
      <c r="AI1963">
        <v>75</v>
      </c>
      <c r="AJ1963">
        <v>2</v>
      </c>
      <c r="AK1963">
        <v>36</v>
      </c>
      <c r="AL1963" t="s">
        <v>136</v>
      </c>
      <c r="AM1963" t="s">
        <v>137</v>
      </c>
      <c r="AN1963" t="s">
        <v>138</v>
      </c>
      <c r="AO1963" t="s">
        <v>240</v>
      </c>
      <c r="AP1963" t="s">
        <v>241</v>
      </c>
      <c r="AR1963" t="s">
        <v>242</v>
      </c>
      <c r="AS1963" t="s">
        <v>243</v>
      </c>
      <c r="AU1963">
        <v>2008</v>
      </c>
      <c r="AV1963">
        <v>57</v>
      </c>
      <c r="AW1963" t="s">
        <v>31701</v>
      </c>
      <c r="BB1963">
        <v>832</v>
      </c>
      <c r="BC1963">
        <v>837</v>
      </c>
      <c r="BE1963" t="s">
        <v>31702</v>
      </c>
      <c r="BF1963" t="s">
        <v>31703</v>
      </c>
      <c r="BI1963">
        <v>6</v>
      </c>
      <c r="BJ1963" t="s">
        <v>247</v>
      </c>
      <c r="BK1963" t="s">
        <v>172</v>
      </c>
      <c r="BL1963" t="s">
        <v>248</v>
      </c>
      <c r="BM1963" t="s">
        <v>31704</v>
      </c>
      <c r="BN1963">
        <v>18396298</v>
      </c>
      <c r="BR1963" t="s">
        <v>98</v>
      </c>
      <c r="BS1963" t="s">
        <v>31705</v>
      </c>
      <c r="BT1963" t="s">
        <v>16602</v>
      </c>
    </row>
    <row r="1964" spans="1:72">
      <c r="A1964" t="s">
        <v>72</v>
      </c>
      <c r="B1964" t="s">
        <v>31706</v>
      </c>
      <c r="F1964" t="s">
        <v>31707</v>
      </c>
      <c r="I1964" t="s">
        <v>31708</v>
      </c>
      <c r="J1964" t="s">
        <v>1275</v>
      </c>
      <c r="M1964" t="s">
        <v>78</v>
      </c>
      <c r="N1964" t="s">
        <v>79</v>
      </c>
      <c r="T1964" t="s">
        <v>31709</v>
      </c>
      <c r="U1964" t="s">
        <v>31710</v>
      </c>
      <c r="V1964" t="s">
        <v>31711</v>
      </c>
      <c r="W1964" t="s">
        <v>31712</v>
      </c>
      <c r="X1964" t="s">
        <v>31713</v>
      </c>
      <c r="Y1964" t="s">
        <v>31714</v>
      </c>
      <c r="Z1964" t="s">
        <v>31715</v>
      </c>
      <c r="AA1964" t="s">
        <v>31716</v>
      </c>
      <c r="AB1964" t="s">
        <v>31717</v>
      </c>
      <c r="AC1964" t="s">
        <v>31718</v>
      </c>
      <c r="AD1964" t="s">
        <v>31719</v>
      </c>
      <c r="AE1964" t="s">
        <v>31720</v>
      </c>
      <c r="AG1964">
        <v>62</v>
      </c>
      <c r="AH1964">
        <v>11</v>
      </c>
      <c r="AI1964">
        <v>13</v>
      </c>
      <c r="AJ1964">
        <v>0</v>
      </c>
      <c r="AK1964">
        <v>1</v>
      </c>
      <c r="AL1964" t="s">
        <v>919</v>
      </c>
      <c r="AM1964" t="s">
        <v>651</v>
      </c>
      <c r="AN1964" t="s">
        <v>920</v>
      </c>
      <c r="AO1964" t="s">
        <v>1287</v>
      </c>
      <c r="AR1964" t="s">
        <v>1288</v>
      </c>
      <c r="AS1964" t="s">
        <v>1289</v>
      </c>
      <c r="AT1964" t="s">
        <v>1223</v>
      </c>
      <c r="AU1964">
        <v>2017</v>
      </c>
      <c r="AV1964">
        <v>11</v>
      </c>
      <c r="BB1964">
        <v>23</v>
      </c>
      <c r="BC1964">
        <v>31</v>
      </c>
      <c r="BE1964" t="s">
        <v>31721</v>
      </c>
      <c r="BF1964" t="s">
        <v>31722</v>
      </c>
      <c r="BI1964">
        <v>9</v>
      </c>
      <c r="BJ1964" t="s">
        <v>1292</v>
      </c>
      <c r="BK1964" t="s">
        <v>96</v>
      </c>
      <c r="BL1964" t="s">
        <v>248</v>
      </c>
      <c r="BM1964" t="s">
        <v>31723</v>
      </c>
      <c r="BR1964" t="s">
        <v>98</v>
      </c>
      <c r="BS1964" t="s">
        <v>31724</v>
      </c>
      <c r="BT1964" t="s">
        <v>16602</v>
      </c>
    </row>
    <row r="1965" spans="1:72">
      <c r="A1965" t="s">
        <v>72</v>
      </c>
      <c r="B1965" t="s">
        <v>31725</v>
      </c>
      <c r="F1965" t="s">
        <v>31725</v>
      </c>
      <c r="I1965" t="s">
        <v>31726</v>
      </c>
      <c r="J1965" t="s">
        <v>576</v>
      </c>
      <c r="M1965" t="s">
        <v>78</v>
      </c>
      <c r="N1965" t="s">
        <v>151</v>
      </c>
      <c r="O1965" t="s">
        <v>31727</v>
      </c>
      <c r="P1965" t="s">
        <v>31728</v>
      </c>
      <c r="Q1965" t="s">
        <v>31729</v>
      </c>
      <c r="T1965" t="s">
        <v>31730</v>
      </c>
      <c r="U1965" t="s">
        <v>31731</v>
      </c>
      <c r="V1965" t="s">
        <v>31732</v>
      </c>
      <c r="W1965" t="s">
        <v>31733</v>
      </c>
      <c r="X1965" t="s">
        <v>9507</v>
      </c>
      <c r="Y1965" t="s">
        <v>31734</v>
      </c>
      <c r="AA1965" t="s">
        <v>31735</v>
      </c>
      <c r="AG1965">
        <v>18</v>
      </c>
      <c r="AH1965">
        <v>5</v>
      </c>
      <c r="AI1965">
        <v>10</v>
      </c>
      <c r="AJ1965">
        <v>0</v>
      </c>
      <c r="AK1965">
        <v>3</v>
      </c>
      <c r="AL1965" t="s">
        <v>31736</v>
      </c>
      <c r="AM1965" t="s">
        <v>286</v>
      </c>
      <c r="AN1965" t="s">
        <v>14828</v>
      </c>
      <c r="AO1965" t="s">
        <v>584</v>
      </c>
      <c r="AR1965" t="s">
        <v>585</v>
      </c>
      <c r="AS1965" t="s">
        <v>586</v>
      </c>
      <c r="AU1965">
        <v>2001</v>
      </c>
      <c r="AV1965">
        <v>44</v>
      </c>
      <c r="AW1965" t="s">
        <v>1723</v>
      </c>
      <c r="BB1965">
        <v>305</v>
      </c>
      <c r="BC1965">
        <v>312</v>
      </c>
      <c r="BE1965" t="s">
        <v>31737</v>
      </c>
      <c r="BF1965" t="s">
        <v>31738</v>
      </c>
      <c r="BI1965">
        <v>8</v>
      </c>
      <c r="BJ1965" t="s">
        <v>587</v>
      </c>
      <c r="BK1965" t="s">
        <v>588</v>
      </c>
      <c r="BL1965" t="s">
        <v>589</v>
      </c>
      <c r="BM1965" t="s">
        <v>31739</v>
      </c>
      <c r="BN1965">
        <v>11547998</v>
      </c>
      <c r="BR1965" t="s">
        <v>98</v>
      </c>
      <c r="BS1965" t="s">
        <v>31740</v>
      </c>
      <c r="BT1965" t="s">
        <v>16602</v>
      </c>
    </row>
    <row r="1966" spans="1:72">
      <c r="A1966" t="s">
        <v>72</v>
      </c>
      <c r="B1966" t="s">
        <v>31741</v>
      </c>
      <c r="F1966" t="s">
        <v>31742</v>
      </c>
      <c r="I1966" t="s">
        <v>31743</v>
      </c>
      <c r="J1966" t="s">
        <v>31744</v>
      </c>
      <c r="M1966" t="s">
        <v>78</v>
      </c>
      <c r="N1966" t="s">
        <v>79</v>
      </c>
      <c r="T1966" t="s">
        <v>31745</v>
      </c>
      <c r="U1966" t="s">
        <v>31746</v>
      </c>
      <c r="V1966" t="s">
        <v>31747</v>
      </c>
      <c r="W1966" t="s">
        <v>31748</v>
      </c>
      <c r="X1966" t="s">
        <v>31749</v>
      </c>
      <c r="Y1966" t="s">
        <v>31750</v>
      </c>
      <c r="Z1966" t="s">
        <v>11506</v>
      </c>
      <c r="AA1966" t="s">
        <v>31751</v>
      </c>
      <c r="AB1966" t="s">
        <v>31752</v>
      </c>
      <c r="AG1966">
        <v>44</v>
      </c>
      <c r="AH1966">
        <v>7</v>
      </c>
      <c r="AI1966">
        <v>9</v>
      </c>
      <c r="AJ1966">
        <v>0</v>
      </c>
      <c r="AK1966">
        <v>7</v>
      </c>
      <c r="AL1966" t="s">
        <v>6554</v>
      </c>
      <c r="AM1966" t="s">
        <v>113</v>
      </c>
      <c r="AN1966" t="s">
        <v>6555</v>
      </c>
      <c r="AO1966" t="s">
        <v>31753</v>
      </c>
      <c r="AP1966" t="s">
        <v>31754</v>
      </c>
      <c r="AR1966" t="s">
        <v>31755</v>
      </c>
      <c r="AS1966" t="s">
        <v>31756</v>
      </c>
      <c r="AT1966" t="s">
        <v>1223</v>
      </c>
      <c r="AU1966">
        <v>2019</v>
      </c>
      <c r="AV1966">
        <v>46</v>
      </c>
      <c r="AW1966">
        <v>2</v>
      </c>
      <c r="BB1966">
        <v>249</v>
      </c>
      <c r="BC1966">
        <v>257</v>
      </c>
      <c r="BE1966" t="s">
        <v>31757</v>
      </c>
      <c r="BF1966" t="s">
        <v>31758</v>
      </c>
      <c r="BI1966">
        <v>9</v>
      </c>
      <c r="BJ1966" t="s">
        <v>1626</v>
      </c>
      <c r="BK1966" t="s">
        <v>96</v>
      </c>
      <c r="BL1966" t="s">
        <v>1626</v>
      </c>
      <c r="BM1966" t="s">
        <v>31759</v>
      </c>
      <c r="BR1966" t="s">
        <v>98</v>
      </c>
      <c r="BS1966" t="s">
        <v>31760</v>
      </c>
      <c r="BT1966" t="s">
        <v>16602</v>
      </c>
    </row>
    <row r="1967" spans="1:72">
      <c r="A1967" t="s">
        <v>72</v>
      </c>
      <c r="B1967" t="s">
        <v>31761</v>
      </c>
      <c r="F1967" t="s">
        <v>31762</v>
      </c>
      <c r="I1967" t="s">
        <v>31763</v>
      </c>
      <c r="J1967" t="s">
        <v>7097</v>
      </c>
      <c r="M1967" t="s">
        <v>78</v>
      </c>
      <c r="N1967" t="s">
        <v>79</v>
      </c>
      <c r="T1967" t="s">
        <v>31764</v>
      </c>
      <c r="U1967" t="s">
        <v>31765</v>
      </c>
      <c r="V1967" t="s">
        <v>31766</v>
      </c>
      <c r="W1967" t="s">
        <v>31767</v>
      </c>
      <c r="X1967" t="s">
        <v>1612</v>
      </c>
      <c r="Y1967" t="s">
        <v>20573</v>
      </c>
      <c r="Z1967" t="s">
        <v>20574</v>
      </c>
      <c r="AA1967" t="s">
        <v>20575</v>
      </c>
      <c r="AB1967" t="s">
        <v>31768</v>
      </c>
      <c r="AC1967" t="s">
        <v>31769</v>
      </c>
      <c r="AD1967" t="s">
        <v>31769</v>
      </c>
      <c r="AE1967" t="s">
        <v>31770</v>
      </c>
      <c r="AG1967">
        <v>28</v>
      </c>
      <c r="AH1967">
        <v>16</v>
      </c>
      <c r="AI1967">
        <v>21</v>
      </c>
      <c r="AJ1967">
        <v>0</v>
      </c>
      <c r="AK1967">
        <v>21</v>
      </c>
      <c r="AL1967" t="s">
        <v>919</v>
      </c>
      <c r="AM1967" t="s">
        <v>651</v>
      </c>
      <c r="AN1967" t="s">
        <v>920</v>
      </c>
      <c r="AO1967" t="s">
        <v>7110</v>
      </c>
      <c r="AP1967" t="s">
        <v>7111</v>
      </c>
      <c r="AR1967" t="s">
        <v>7112</v>
      </c>
      <c r="AS1967" t="s">
        <v>7113</v>
      </c>
      <c r="AT1967" t="s">
        <v>1470</v>
      </c>
      <c r="AU1967">
        <v>2016</v>
      </c>
      <c r="AV1967">
        <v>60</v>
      </c>
      <c r="BB1967">
        <v>940</v>
      </c>
      <c r="BC1967">
        <v>946</v>
      </c>
      <c r="BE1967" t="s">
        <v>31771</v>
      </c>
      <c r="BF1967" t="s">
        <v>31772</v>
      </c>
      <c r="BI1967">
        <v>7</v>
      </c>
      <c r="BJ1967" t="s">
        <v>4923</v>
      </c>
      <c r="BK1967" t="s">
        <v>96</v>
      </c>
      <c r="BL1967" t="s">
        <v>4924</v>
      </c>
      <c r="BM1967" t="s">
        <v>31773</v>
      </c>
      <c r="BR1967" t="s">
        <v>98</v>
      </c>
      <c r="BS1967" t="s">
        <v>31774</v>
      </c>
      <c r="BT1967" t="s">
        <v>16602</v>
      </c>
    </row>
    <row r="1968" spans="1:72">
      <c r="A1968" t="s">
        <v>72</v>
      </c>
      <c r="B1968" t="s">
        <v>31775</v>
      </c>
      <c r="F1968" t="s">
        <v>31776</v>
      </c>
      <c r="I1968" t="s">
        <v>31777</v>
      </c>
      <c r="J1968" t="s">
        <v>204</v>
      </c>
      <c r="M1968" t="s">
        <v>78</v>
      </c>
      <c r="N1968" t="s">
        <v>79</v>
      </c>
      <c r="T1968" t="s">
        <v>31778</v>
      </c>
      <c r="U1968" t="s">
        <v>31779</v>
      </c>
      <c r="V1968" t="s">
        <v>31780</v>
      </c>
      <c r="W1968" t="s">
        <v>31781</v>
      </c>
      <c r="X1968" t="s">
        <v>31782</v>
      </c>
      <c r="Y1968" t="s">
        <v>31783</v>
      </c>
      <c r="Z1968" t="s">
        <v>31784</v>
      </c>
      <c r="AA1968" t="s">
        <v>31785</v>
      </c>
      <c r="AB1968" t="s">
        <v>31786</v>
      </c>
      <c r="AC1968" t="s">
        <v>31787</v>
      </c>
      <c r="AD1968" t="s">
        <v>31788</v>
      </c>
      <c r="AE1968" t="s">
        <v>31789</v>
      </c>
      <c r="AG1968">
        <v>124</v>
      </c>
      <c r="AH1968">
        <v>8</v>
      </c>
      <c r="AI1968">
        <v>8</v>
      </c>
      <c r="AJ1968">
        <v>4</v>
      </c>
      <c r="AK1968">
        <v>15</v>
      </c>
      <c r="AL1968" t="s">
        <v>217</v>
      </c>
      <c r="AM1968" t="s">
        <v>218</v>
      </c>
      <c r="AN1968" t="s">
        <v>219</v>
      </c>
      <c r="AO1968" t="s">
        <v>220</v>
      </c>
      <c r="AP1968" t="s">
        <v>221</v>
      </c>
      <c r="AR1968" t="s">
        <v>222</v>
      </c>
      <c r="AS1968" t="s">
        <v>223</v>
      </c>
      <c r="AT1968" t="s">
        <v>93</v>
      </c>
      <c r="AU1968">
        <v>2022</v>
      </c>
      <c r="AV1968">
        <v>29</v>
      </c>
      <c r="AW1968">
        <v>17</v>
      </c>
      <c r="BB1968">
        <v>25157</v>
      </c>
      <c r="BC1968">
        <v>25183</v>
      </c>
      <c r="BE1968" t="s">
        <v>31790</v>
      </c>
      <c r="BF1968" t="s">
        <v>31791</v>
      </c>
      <c r="BH1968" t="s">
        <v>10880</v>
      </c>
      <c r="BI1968">
        <v>27</v>
      </c>
      <c r="BJ1968" t="s">
        <v>144</v>
      </c>
      <c r="BK1968" t="s">
        <v>96</v>
      </c>
      <c r="BL1968" t="s">
        <v>145</v>
      </c>
      <c r="BM1968" t="s">
        <v>31792</v>
      </c>
      <c r="BN1968">
        <v>34837617</v>
      </c>
      <c r="BR1968" t="s">
        <v>98</v>
      </c>
      <c r="BS1968" t="s">
        <v>31793</v>
      </c>
      <c r="BT1968" t="s">
        <v>16602</v>
      </c>
    </row>
    <row r="1969" spans="1:72">
      <c r="A1969" t="s">
        <v>72</v>
      </c>
      <c r="B1969" t="s">
        <v>31794</v>
      </c>
      <c r="F1969" t="s">
        <v>31795</v>
      </c>
      <c r="I1969" t="s">
        <v>31796</v>
      </c>
      <c r="J1969" t="s">
        <v>958</v>
      </c>
      <c r="M1969" t="s">
        <v>78</v>
      </c>
      <c r="N1969" t="s">
        <v>79</v>
      </c>
      <c r="T1969" t="s">
        <v>31797</v>
      </c>
      <c r="U1969" t="s">
        <v>31798</v>
      </c>
      <c r="V1969" t="s">
        <v>31799</v>
      </c>
      <c r="W1969" t="s">
        <v>31800</v>
      </c>
      <c r="X1969" t="s">
        <v>31801</v>
      </c>
      <c r="Y1969" t="s">
        <v>31802</v>
      </c>
      <c r="Z1969" t="s">
        <v>31803</v>
      </c>
      <c r="AB1969" t="s">
        <v>31804</v>
      </c>
      <c r="AG1969">
        <v>36</v>
      </c>
      <c r="AH1969">
        <v>5</v>
      </c>
      <c r="AI1969">
        <v>6</v>
      </c>
      <c r="AJ1969">
        <v>1</v>
      </c>
      <c r="AK1969">
        <v>23</v>
      </c>
      <c r="AL1969" t="s">
        <v>86</v>
      </c>
      <c r="AM1969" t="s">
        <v>87</v>
      </c>
      <c r="AN1969" t="s">
        <v>88</v>
      </c>
      <c r="AO1969" t="s">
        <v>967</v>
      </c>
      <c r="AP1969" t="s">
        <v>968</v>
      </c>
      <c r="AR1969" t="s">
        <v>969</v>
      </c>
      <c r="AS1969" t="s">
        <v>970</v>
      </c>
      <c r="AT1969" t="s">
        <v>119</v>
      </c>
      <c r="AU1969">
        <v>2008</v>
      </c>
      <c r="AV1969">
        <v>23</v>
      </c>
      <c r="AW1969">
        <v>4</v>
      </c>
      <c r="BB1969">
        <v>539</v>
      </c>
      <c r="BC1969">
        <v>547</v>
      </c>
      <c r="BE1969" t="s">
        <v>31805</v>
      </c>
      <c r="BF1969" t="s">
        <v>31806</v>
      </c>
      <c r="BI1969">
        <v>9</v>
      </c>
      <c r="BJ1969" t="s">
        <v>972</v>
      </c>
      <c r="BK1969" t="s">
        <v>96</v>
      </c>
      <c r="BL1969" t="s">
        <v>973</v>
      </c>
      <c r="BM1969" t="s">
        <v>31807</v>
      </c>
      <c r="BN1969">
        <v>18214938</v>
      </c>
      <c r="BR1969" t="s">
        <v>98</v>
      </c>
      <c r="BS1969" t="s">
        <v>31808</v>
      </c>
      <c r="BT1969" t="s">
        <v>16602</v>
      </c>
    </row>
    <row r="1970" spans="1:72">
      <c r="A1970" t="s">
        <v>72</v>
      </c>
      <c r="B1970" t="s">
        <v>31809</v>
      </c>
      <c r="F1970" t="s">
        <v>31810</v>
      </c>
      <c r="I1970" t="s">
        <v>31811</v>
      </c>
      <c r="J1970" t="s">
        <v>6608</v>
      </c>
      <c r="M1970" t="s">
        <v>78</v>
      </c>
      <c r="N1970" t="s">
        <v>79</v>
      </c>
      <c r="T1970" t="s">
        <v>31812</v>
      </c>
      <c r="U1970" t="s">
        <v>31813</v>
      </c>
      <c r="V1970" t="s">
        <v>31814</v>
      </c>
      <c r="W1970" t="s">
        <v>31815</v>
      </c>
      <c r="X1970" t="s">
        <v>31816</v>
      </c>
      <c r="Y1970" t="s">
        <v>31817</v>
      </c>
      <c r="Z1970" t="s">
        <v>31818</v>
      </c>
      <c r="AA1970" t="s">
        <v>31819</v>
      </c>
      <c r="AB1970" t="s">
        <v>31820</v>
      </c>
      <c r="AC1970" t="s">
        <v>31821</v>
      </c>
      <c r="AD1970" t="s">
        <v>31822</v>
      </c>
      <c r="AE1970" t="s">
        <v>31823</v>
      </c>
      <c r="AG1970">
        <v>69</v>
      </c>
      <c r="AH1970">
        <v>5</v>
      </c>
      <c r="AI1970">
        <v>5</v>
      </c>
      <c r="AJ1970">
        <v>0</v>
      </c>
      <c r="AK1970">
        <v>26</v>
      </c>
      <c r="AL1970" t="s">
        <v>1566</v>
      </c>
      <c r="AM1970" t="s">
        <v>1567</v>
      </c>
      <c r="AN1970" t="s">
        <v>1568</v>
      </c>
      <c r="AP1970" t="s">
        <v>6619</v>
      </c>
      <c r="AR1970" t="s">
        <v>6620</v>
      </c>
      <c r="AS1970" t="s">
        <v>6621</v>
      </c>
      <c r="AT1970" t="s">
        <v>951</v>
      </c>
      <c r="AU1970">
        <v>2021</v>
      </c>
      <c r="AV1970">
        <v>13</v>
      </c>
      <c r="AW1970">
        <v>22</v>
      </c>
      <c r="BD1970">
        <v>3302</v>
      </c>
      <c r="BE1970" t="s">
        <v>31824</v>
      </c>
      <c r="BF1970" t="s">
        <v>31825</v>
      </c>
      <c r="BI1970">
        <v>13</v>
      </c>
      <c r="BJ1970" t="s">
        <v>6623</v>
      </c>
      <c r="BK1970" t="s">
        <v>96</v>
      </c>
      <c r="BL1970" t="s">
        <v>6624</v>
      </c>
      <c r="BM1970" t="s">
        <v>31826</v>
      </c>
      <c r="BO1970" t="s">
        <v>873</v>
      </c>
      <c r="BR1970" t="s">
        <v>98</v>
      </c>
      <c r="BS1970" t="s">
        <v>31827</v>
      </c>
      <c r="BT1970" t="s">
        <v>16602</v>
      </c>
    </row>
    <row r="1971" spans="1:72">
      <c r="A1971" t="s">
        <v>72</v>
      </c>
      <c r="B1971" t="s">
        <v>31828</v>
      </c>
      <c r="F1971" t="s">
        <v>31829</v>
      </c>
      <c r="I1971" t="s">
        <v>31830</v>
      </c>
      <c r="J1971" t="s">
        <v>11045</v>
      </c>
      <c r="M1971" t="s">
        <v>78</v>
      </c>
      <c r="N1971" t="s">
        <v>79</v>
      </c>
      <c r="U1971" t="s">
        <v>31831</v>
      </c>
      <c r="V1971" t="s">
        <v>31832</v>
      </c>
      <c r="W1971" t="s">
        <v>31833</v>
      </c>
      <c r="X1971" t="s">
        <v>31834</v>
      </c>
      <c r="Y1971" t="s">
        <v>31835</v>
      </c>
      <c r="Z1971" t="s">
        <v>31836</v>
      </c>
      <c r="AA1971" t="s">
        <v>31837</v>
      </c>
      <c r="AB1971" t="s">
        <v>31838</v>
      </c>
      <c r="AC1971" t="s">
        <v>31839</v>
      </c>
      <c r="AD1971" t="s">
        <v>31839</v>
      </c>
      <c r="AE1971" t="s">
        <v>31840</v>
      </c>
      <c r="AG1971">
        <v>84</v>
      </c>
      <c r="AH1971">
        <v>27</v>
      </c>
      <c r="AI1971">
        <v>28</v>
      </c>
      <c r="AJ1971">
        <v>2</v>
      </c>
      <c r="AK1971">
        <v>49</v>
      </c>
      <c r="AL1971" t="s">
        <v>11056</v>
      </c>
      <c r="AM1971" t="s">
        <v>11057</v>
      </c>
      <c r="AN1971" t="s">
        <v>11058</v>
      </c>
      <c r="AO1971" t="s">
        <v>11059</v>
      </c>
      <c r="AR1971" t="s">
        <v>11045</v>
      </c>
      <c r="AS1971" t="s">
        <v>11060</v>
      </c>
      <c r="AT1971" t="s">
        <v>3060</v>
      </c>
      <c r="AU1971">
        <v>2016</v>
      </c>
      <c r="AV1971">
        <v>11</v>
      </c>
      <c r="AW1971">
        <v>5</v>
      </c>
      <c r="BD1971" t="s">
        <v>31841</v>
      </c>
      <c r="BE1971" t="s">
        <v>31842</v>
      </c>
      <c r="BF1971" t="s">
        <v>31843</v>
      </c>
      <c r="BI1971">
        <v>28</v>
      </c>
      <c r="BJ1971" t="s">
        <v>3202</v>
      </c>
      <c r="BK1971" t="s">
        <v>96</v>
      </c>
      <c r="BL1971" t="s">
        <v>3203</v>
      </c>
      <c r="BM1971" t="s">
        <v>31844</v>
      </c>
      <c r="BN1971">
        <v>27213644</v>
      </c>
      <c r="BO1971" t="s">
        <v>20619</v>
      </c>
      <c r="BR1971" t="s">
        <v>98</v>
      </c>
      <c r="BS1971" t="s">
        <v>31845</v>
      </c>
      <c r="BT1971" t="s">
        <v>16602</v>
      </c>
    </row>
    <row r="1972" spans="1:72">
      <c r="A1972" t="s">
        <v>72</v>
      </c>
      <c r="B1972" t="s">
        <v>31846</v>
      </c>
      <c r="F1972" t="s">
        <v>31847</v>
      </c>
      <c r="I1972" t="s">
        <v>31848</v>
      </c>
      <c r="J1972" t="s">
        <v>6608</v>
      </c>
      <c r="M1972" t="s">
        <v>78</v>
      </c>
      <c r="N1972" t="s">
        <v>79</v>
      </c>
      <c r="T1972" t="s">
        <v>31849</v>
      </c>
      <c r="U1972" t="s">
        <v>31850</v>
      </c>
      <c r="V1972" t="s">
        <v>31851</v>
      </c>
      <c r="W1972" t="s">
        <v>31852</v>
      </c>
      <c r="X1972" t="s">
        <v>31853</v>
      </c>
      <c r="Y1972" t="s">
        <v>31854</v>
      </c>
      <c r="Z1972" t="s">
        <v>31855</v>
      </c>
      <c r="AA1972" t="s">
        <v>31856</v>
      </c>
      <c r="AB1972" t="s">
        <v>31857</v>
      </c>
      <c r="AC1972" t="s">
        <v>31858</v>
      </c>
      <c r="AD1972" t="s">
        <v>31859</v>
      </c>
      <c r="AE1972" t="s">
        <v>31860</v>
      </c>
      <c r="AG1972">
        <v>65</v>
      </c>
      <c r="AH1972">
        <v>1</v>
      </c>
      <c r="AI1972">
        <v>1</v>
      </c>
      <c r="AJ1972">
        <v>1</v>
      </c>
      <c r="AK1972">
        <v>4</v>
      </c>
      <c r="AL1972" t="s">
        <v>1566</v>
      </c>
      <c r="AM1972" t="s">
        <v>1567</v>
      </c>
      <c r="AN1972" t="s">
        <v>1568</v>
      </c>
      <c r="AP1972" t="s">
        <v>6619</v>
      </c>
      <c r="AR1972" t="s">
        <v>6620</v>
      </c>
      <c r="AS1972" t="s">
        <v>6621</v>
      </c>
      <c r="AT1972" t="s">
        <v>305</v>
      </c>
      <c r="AU1972">
        <v>2023</v>
      </c>
      <c r="AV1972">
        <v>15</v>
      </c>
      <c r="AW1972">
        <v>18</v>
      </c>
      <c r="BD1972">
        <v>3258</v>
      </c>
      <c r="BE1972" t="s">
        <v>31861</v>
      </c>
      <c r="BF1972" t="s">
        <v>31862</v>
      </c>
      <c r="BI1972">
        <v>19</v>
      </c>
      <c r="BJ1972" t="s">
        <v>6623</v>
      </c>
      <c r="BK1972" t="s">
        <v>96</v>
      </c>
      <c r="BL1972" t="s">
        <v>6624</v>
      </c>
      <c r="BM1972" t="s">
        <v>31863</v>
      </c>
      <c r="BO1972" t="s">
        <v>550</v>
      </c>
      <c r="BR1972" t="s">
        <v>98</v>
      </c>
      <c r="BS1972" t="s">
        <v>31864</v>
      </c>
      <c r="BT1972" t="s">
        <v>16602</v>
      </c>
    </row>
    <row r="1973" spans="1:72">
      <c r="A1973" t="s">
        <v>72</v>
      </c>
      <c r="B1973" t="s">
        <v>31865</v>
      </c>
      <c r="F1973" t="s">
        <v>31866</v>
      </c>
      <c r="I1973" t="s">
        <v>31867</v>
      </c>
      <c r="J1973" t="s">
        <v>31868</v>
      </c>
      <c r="M1973" t="s">
        <v>78</v>
      </c>
      <c r="N1973" t="s">
        <v>79</v>
      </c>
      <c r="U1973" t="s">
        <v>31869</v>
      </c>
      <c r="V1973" t="s">
        <v>31870</v>
      </c>
      <c r="W1973" t="s">
        <v>31871</v>
      </c>
      <c r="X1973" t="s">
        <v>31872</v>
      </c>
      <c r="Y1973" t="s">
        <v>31873</v>
      </c>
      <c r="Z1973" t="s">
        <v>31874</v>
      </c>
      <c r="AB1973" t="s">
        <v>31875</v>
      </c>
      <c r="AC1973" t="s">
        <v>31876</v>
      </c>
      <c r="AD1973" t="s">
        <v>31877</v>
      </c>
      <c r="AE1973" t="s">
        <v>31878</v>
      </c>
      <c r="AG1973">
        <v>88</v>
      </c>
      <c r="AH1973">
        <v>5</v>
      </c>
      <c r="AI1973">
        <v>6</v>
      </c>
      <c r="AJ1973">
        <v>1</v>
      </c>
      <c r="AK1973">
        <v>12</v>
      </c>
      <c r="AL1973" t="s">
        <v>31879</v>
      </c>
      <c r="AM1973" t="s">
        <v>137</v>
      </c>
      <c r="AN1973" t="s">
        <v>31880</v>
      </c>
      <c r="AO1973" t="s">
        <v>31881</v>
      </c>
      <c r="AP1973" t="s">
        <v>31882</v>
      </c>
      <c r="AR1973" t="s">
        <v>31883</v>
      </c>
      <c r="AS1973" t="s">
        <v>31884</v>
      </c>
      <c r="AT1973" t="s">
        <v>224</v>
      </c>
      <c r="AU1973">
        <v>2019</v>
      </c>
      <c r="AV1973">
        <v>85</v>
      </c>
      <c r="AX1973">
        <v>1</v>
      </c>
      <c r="BB1973">
        <v>143</v>
      </c>
      <c r="BC1973">
        <v>153</v>
      </c>
      <c r="BE1973" t="s">
        <v>31885</v>
      </c>
      <c r="BF1973" t="s">
        <v>31886</v>
      </c>
      <c r="BI1973">
        <v>11</v>
      </c>
      <c r="BJ1973" t="s">
        <v>7993</v>
      </c>
      <c r="BK1973" t="s">
        <v>96</v>
      </c>
      <c r="BL1973" t="s">
        <v>7993</v>
      </c>
      <c r="BM1973" t="s">
        <v>31887</v>
      </c>
      <c r="BO1973" t="s">
        <v>17672</v>
      </c>
      <c r="BR1973" t="s">
        <v>98</v>
      </c>
      <c r="BS1973" t="s">
        <v>31888</v>
      </c>
      <c r="BT1973" t="s">
        <v>16602</v>
      </c>
    </row>
    <row r="1974" spans="1:72">
      <c r="A1974" t="s">
        <v>72</v>
      </c>
      <c r="B1974" t="s">
        <v>31889</v>
      </c>
      <c r="F1974" t="s">
        <v>31889</v>
      </c>
      <c r="I1974" t="s">
        <v>31890</v>
      </c>
      <c r="J1974" t="s">
        <v>2265</v>
      </c>
      <c r="M1974" t="s">
        <v>78</v>
      </c>
      <c r="N1974" t="s">
        <v>79</v>
      </c>
      <c r="T1974" t="s">
        <v>31891</v>
      </c>
      <c r="U1974" t="s">
        <v>31892</v>
      </c>
      <c r="V1974" t="s">
        <v>31893</v>
      </c>
      <c r="W1974" t="s">
        <v>31894</v>
      </c>
      <c r="X1974" t="s">
        <v>6257</v>
      </c>
      <c r="Y1974" t="s">
        <v>31895</v>
      </c>
      <c r="AG1974">
        <v>29</v>
      </c>
      <c r="AH1974">
        <v>84</v>
      </c>
      <c r="AI1974">
        <v>91</v>
      </c>
      <c r="AJ1974">
        <v>0</v>
      </c>
      <c r="AK1974">
        <v>27</v>
      </c>
      <c r="AL1974" t="s">
        <v>2074</v>
      </c>
      <c r="AM1974" t="s">
        <v>286</v>
      </c>
      <c r="AN1974" t="s">
        <v>22530</v>
      </c>
      <c r="AO1974" t="s">
        <v>2275</v>
      </c>
      <c r="AR1974" t="s">
        <v>2265</v>
      </c>
      <c r="AS1974" t="s">
        <v>2277</v>
      </c>
      <c r="AT1974" t="s">
        <v>510</v>
      </c>
      <c r="AU1974">
        <v>1999</v>
      </c>
      <c r="AV1974">
        <v>4</v>
      </c>
      <c r="AW1974">
        <v>6</v>
      </c>
      <c r="BB1974">
        <v>415</v>
      </c>
      <c r="BC1974">
        <v>424</v>
      </c>
      <c r="BI1974">
        <v>10</v>
      </c>
      <c r="BJ1974" t="s">
        <v>2279</v>
      </c>
      <c r="BK1974" t="s">
        <v>96</v>
      </c>
      <c r="BL1974" t="s">
        <v>2279</v>
      </c>
      <c r="BM1974" t="s">
        <v>22531</v>
      </c>
      <c r="BN1974">
        <v>23902387</v>
      </c>
      <c r="BR1974" t="s">
        <v>98</v>
      </c>
      <c r="BS1974" t="s">
        <v>31896</v>
      </c>
      <c r="BT1974" t="s">
        <v>16602</v>
      </c>
    </row>
    <row r="1975" spans="1:72">
      <c r="A1975" t="s">
        <v>72</v>
      </c>
      <c r="B1975" t="s">
        <v>31897</v>
      </c>
      <c r="F1975" t="s">
        <v>31897</v>
      </c>
      <c r="I1975" t="s">
        <v>31898</v>
      </c>
      <c r="J1975" t="s">
        <v>127</v>
      </c>
      <c r="M1975" t="s">
        <v>78</v>
      </c>
      <c r="N1975" t="s">
        <v>79</v>
      </c>
      <c r="U1975" t="s">
        <v>31899</v>
      </c>
      <c r="V1975" t="s">
        <v>31900</v>
      </c>
      <c r="W1975" t="s">
        <v>31901</v>
      </c>
      <c r="X1975" t="s">
        <v>14358</v>
      </c>
      <c r="Y1975" t="s">
        <v>31902</v>
      </c>
      <c r="AG1975">
        <v>31</v>
      </c>
      <c r="AH1975">
        <v>15</v>
      </c>
      <c r="AI1975">
        <v>17</v>
      </c>
      <c r="AJ1975">
        <v>0</v>
      </c>
      <c r="AK1975">
        <v>5</v>
      </c>
      <c r="AL1975" t="s">
        <v>136</v>
      </c>
      <c r="AM1975" t="s">
        <v>137</v>
      </c>
      <c r="AN1975" t="s">
        <v>583</v>
      </c>
      <c r="AO1975" t="s">
        <v>139</v>
      </c>
      <c r="AR1975" t="s">
        <v>127</v>
      </c>
      <c r="AS1975" t="s">
        <v>141</v>
      </c>
      <c r="AT1975" t="s">
        <v>142</v>
      </c>
      <c r="AU1975">
        <v>1997</v>
      </c>
      <c r="AV1975">
        <v>34</v>
      </c>
      <c r="AW1975">
        <v>12</v>
      </c>
      <c r="BB1975">
        <v>2673</v>
      </c>
      <c r="BC1975">
        <v>2682</v>
      </c>
      <c r="BE1975" t="s">
        <v>31903</v>
      </c>
      <c r="BF1975" t="s">
        <v>31904</v>
      </c>
      <c r="BI1975">
        <v>10</v>
      </c>
      <c r="BJ1975" t="s">
        <v>144</v>
      </c>
      <c r="BK1975" t="s">
        <v>96</v>
      </c>
      <c r="BL1975" t="s">
        <v>145</v>
      </c>
      <c r="BM1975" t="s">
        <v>31905</v>
      </c>
      <c r="BR1975" t="s">
        <v>98</v>
      </c>
      <c r="BS1975" t="s">
        <v>31906</v>
      </c>
      <c r="BT1975" t="s">
        <v>16602</v>
      </c>
    </row>
    <row r="1976" spans="1:72">
      <c r="A1976" t="s">
        <v>72</v>
      </c>
      <c r="B1976" t="s">
        <v>31907</v>
      </c>
      <c r="F1976" t="s">
        <v>31908</v>
      </c>
      <c r="I1976" t="s">
        <v>31909</v>
      </c>
      <c r="J1976" t="s">
        <v>704</v>
      </c>
      <c r="M1976" t="s">
        <v>78</v>
      </c>
      <c r="N1976" t="s">
        <v>79</v>
      </c>
      <c r="T1976" t="s">
        <v>31910</v>
      </c>
      <c r="U1976" t="s">
        <v>31911</v>
      </c>
      <c r="V1976" t="s">
        <v>31912</v>
      </c>
      <c r="W1976" t="s">
        <v>31913</v>
      </c>
      <c r="X1976" t="s">
        <v>31914</v>
      </c>
      <c r="Y1976" t="s">
        <v>31915</v>
      </c>
      <c r="Z1976" t="s">
        <v>31916</v>
      </c>
      <c r="AC1976" t="s">
        <v>31917</v>
      </c>
      <c r="AD1976" t="s">
        <v>31918</v>
      </c>
      <c r="AE1976" t="s">
        <v>31919</v>
      </c>
      <c r="AG1976">
        <v>23</v>
      </c>
      <c r="AH1976">
        <v>1</v>
      </c>
      <c r="AI1976">
        <v>1</v>
      </c>
      <c r="AJ1976">
        <v>1</v>
      </c>
      <c r="AK1976">
        <v>5</v>
      </c>
      <c r="AL1976" t="s">
        <v>1166</v>
      </c>
      <c r="AM1976" t="s">
        <v>1167</v>
      </c>
      <c r="AN1976" t="s">
        <v>1168</v>
      </c>
      <c r="AO1976" t="s">
        <v>718</v>
      </c>
      <c r="AP1976" t="s">
        <v>1169</v>
      </c>
      <c r="AR1976" t="s">
        <v>719</v>
      </c>
      <c r="AS1976" t="s">
        <v>720</v>
      </c>
      <c r="AT1976" t="s">
        <v>1223</v>
      </c>
      <c r="AU1976">
        <v>2022</v>
      </c>
      <c r="AV1976">
        <v>233</v>
      </c>
      <c r="AW1976">
        <v>3</v>
      </c>
      <c r="BD1976">
        <v>95</v>
      </c>
      <c r="BE1976" t="s">
        <v>31920</v>
      </c>
      <c r="BF1976" t="s">
        <v>31921</v>
      </c>
      <c r="BI1976">
        <v>10</v>
      </c>
      <c r="BJ1976" t="s">
        <v>722</v>
      </c>
      <c r="BK1976" t="s">
        <v>96</v>
      </c>
      <c r="BL1976" t="s">
        <v>723</v>
      </c>
      <c r="BM1976" t="s">
        <v>31922</v>
      </c>
      <c r="BR1976" t="s">
        <v>98</v>
      </c>
      <c r="BS1976" t="s">
        <v>31923</v>
      </c>
      <c r="BT1976" t="s">
        <v>16602</v>
      </c>
    </row>
    <row r="1977" spans="1:72">
      <c r="A1977" t="s">
        <v>72</v>
      </c>
      <c r="B1977" t="s">
        <v>31924</v>
      </c>
      <c r="F1977" t="s">
        <v>31924</v>
      </c>
      <c r="I1977" t="s">
        <v>31925</v>
      </c>
      <c r="J1977" t="s">
        <v>421</v>
      </c>
      <c r="M1977" t="s">
        <v>78</v>
      </c>
      <c r="N1977" t="s">
        <v>79</v>
      </c>
      <c r="T1977" t="s">
        <v>31926</v>
      </c>
      <c r="U1977" t="s">
        <v>31927</v>
      </c>
      <c r="V1977" t="s">
        <v>31928</v>
      </c>
      <c r="W1977" t="s">
        <v>31929</v>
      </c>
      <c r="X1977" t="s">
        <v>13470</v>
      </c>
      <c r="Y1977" t="s">
        <v>31930</v>
      </c>
      <c r="AG1977">
        <v>32</v>
      </c>
      <c r="AH1977">
        <v>105</v>
      </c>
      <c r="AI1977">
        <v>116</v>
      </c>
      <c r="AJ1977">
        <v>0</v>
      </c>
      <c r="AK1977">
        <v>15</v>
      </c>
      <c r="AL1977" t="s">
        <v>430</v>
      </c>
      <c r="AM1977" t="s">
        <v>137</v>
      </c>
      <c r="AN1977" t="s">
        <v>431</v>
      </c>
      <c r="AO1977" t="s">
        <v>432</v>
      </c>
      <c r="AR1977" t="s">
        <v>433</v>
      </c>
      <c r="AS1977" t="s">
        <v>434</v>
      </c>
      <c r="AU1977">
        <v>1998</v>
      </c>
      <c r="AV1977">
        <v>99</v>
      </c>
      <c r="AW1977">
        <v>3</v>
      </c>
      <c r="BB1977">
        <v>339</v>
      </c>
      <c r="BC1977">
        <v>345</v>
      </c>
      <c r="BE1977" t="s">
        <v>31931</v>
      </c>
      <c r="BF1977" t="s">
        <v>31932</v>
      </c>
      <c r="BI1977">
        <v>7</v>
      </c>
      <c r="BJ1977" t="s">
        <v>144</v>
      </c>
      <c r="BK1977" t="s">
        <v>96</v>
      </c>
      <c r="BL1977" t="s">
        <v>145</v>
      </c>
      <c r="BM1977" t="s">
        <v>31933</v>
      </c>
      <c r="BN1977">
        <v>15093298</v>
      </c>
      <c r="BR1977" t="s">
        <v>98</v>
      </c>
      <c r="BS1977" t="s">
        <v>31934</v>
      </c>
      <c r="BT1977" t="s">
        <v>16602</v>
      </c>
    </row>
    <row r="1978" spans="1:72">
      <c r="A1978" t="s">
        <v>72</v>
      </c>
      <c r="B1978" t="s">
        <v>31935</v>
      </c>
      <c r="F1978" t="s">
        <v>31936</v>
      </c>
      <c r="I1978" t="s">
        <v>31937</v>
      </c>
      <c r="J1978" t="s">
        <v>179</v>
      </c>
      <c r="M1978" t="s">
        <v>78</v>
      </c>
      <c r="N1978" t="s">
        <v>79</v>
      </c>
      <c r="T1978" t="s">
        <v>31938</v>
      </c>
      <c r="U1978" t="s">
        <v>31939</v>
      </c>
      <c r="V1978" t="s">
        <v>31940</v>
      </c>
      <c r="W1978" t="s">
        <v>31941</v>
      </c>
      <c r="X1978" t="s">
        <v>31942</v>
      </c>
      <c r="Y1978" t="s">
        <v>31943</v>
      </c>
      <c r="Z1978" t="s">
        <v>28166</v>
      </c>
      <c r="AA1978" t="s">
        <v>31944</v>
      </c>
      <c r="AC1978" t="s">
        <v>31945</v>
      </c>
      <c r="AD1978" t="s">
        <v>31946</v>
      </c>
      <c r="AE1978" t="s">
        <v>31947</v>
      </c>
      <c r="AG1978">
        <v>36</v>
      </c>
      <c r="AH1978">
        <v>15</v>
      </c>
      <c r="AI1978">
        <v>18</v>
      </c>
      <c r="AJ1978">
        <v>0</v>
      </c>
      <c r="AK1978">
        <v>26</v>
      </c>
      <c r="AL1978" t="s">
        <v>112</v>
      </c>
      <c r="AM1978" t="s">
        <v>191</v>
      </c>
      <c r="AN1978" t="s">
        <v>192</v>
      </c>
      <c r="AO1978" t="s">
        <v>193</v>
      </c>
      <c r="AP1978" t="s">
        <v>194</v>
      </c>
      <c r="AR1978" t="s">
        <v>195</v>
      </c>
      <c r="AS1978" t="s">
        <v>196</v>
      </c>
      <c r="AT1978" t="s">
        <v>119</v>
      </c>
      <c r="AU1978">
        <v>2016</v>
      </c>
      <c r="AV1978">
        <v>188</v>
      </c>
      <c r="AW1978">
        <v>8</v>
      </c>
      <c r="BD1978">
        <v>478</v>
      </c>
      <c r="BE1978" t="s">
        <v>31948</v>
      </c>
      <c r="BF1978" t="s">
        <v>31949</v>
      </c>
      <c r="BI1978">
        <v>10</v>
      </c>
      <c r="BJ1978" t="s">
        <v>144</v>
      </c>
      <c r="BK1978" t="s">
        <v>96</v>
      </c>
      <c r="BL1978" t="s">
        <v>145</v>
      </c>
      <c r="BM1978" t="s">
        <v>31950</v>
      </c>
      <c r="BN1978">
        <v>27450372</v>
      </c>
      <c r="BR1978" t="s">
        <v>98</v>
      </c>
      <c r="BS1978" t="s">
        <v>31951</v>
      </c>
      <c r="BT1978" t="s">
        <v>16602</v>
      </c>
    </row>
    <row r="1979" spans="1:72">
      <c r="A1979" t="s">
        <v>72</v>
      </c>
      <c r="B1979" t="s">
        <v>31952</v>
      </c>
      <c r="F1979" t="s">
        <v>31952</v>
      </c>
      <c r="I1979" t="s">
        <v>31953</v>
      </c>
      <c r="J1979" t="s">
        <v>4463</v>
      </c>
      <c r="M1979" t="s">
        <v>78</v>
      </c>
      <c r="N1979" t="s">
        <v>79</v>
      </c>
      <c r="U1979" t="s">
        <v>31954</v>
      </c>
      <c r="V1979" t="s">
        <v>31955</v>
      </c>
      <c r="W1979" t="s">
        <v>31956</v>
      </c>
      <c r="X1979" t="s">
        <v>31957</v>
      </c>
      <c r="Y1979" t="s">
        <v>31958</v>
      </c>
      <c r="AA1979" t="s">
        <v>31959</v>
      </c>
      <c r="AG1979">
        <v>43</v>
      </c>
      <c r="AH1979">
        <v>14</v>
      </c>
      <c r="AI1979">
        <v>15</v>
      </c>
      <c r="AJ1979">
        <v>1</v>
      </c>
      <c r="AK1979">
        <v>5</v>
      </c>
      <c r="AL1979" t="s">
        <v>4471</v>
      </c>
      <c r="AM1979" t="s">
        <v>4472</v>
      </c>
      <c r="AN1979" t="s">
        <v>31960</v>
      </c>
      <c r="AO1979" t="s">
        <v>4474</v>
      </c>
      <c r="AR1979" t="s">
        <v>4476</v>
      </c>
      <c r="AS1979" t="s">
        <v>4477</v>
      </c>
      <c r="AT1979" t="s">
        <v>224</v>
      </c>
      <c r="AU1979">
        <v>1996</v>
      </c>
      <c r="AV1979">
        <v>30</v>
      </c>
      <c r="AW1979">
        <v>2</v>
      </c>
      <c r="BB1979">
        <v>499</v>
      </c>
      <c r="BC1979">
        <v>508</v>
      </c>
      <c r="BE1979" t="s">
        <v>31961</v>
      </c>
      <c r="BF1979" t="s">
        <v>31962</v>
      </c>
      <c r="BI1979">
        <v>10</v>
      </c>
      <c r="BJ1979" t="s">
        <v>415</v>
      </c>
      <c r="BK1979" t="s">
        <v>96</v>
      </c>
      <c r="BL1979" t="s">
        <v>416</v>
      </c>
      <c r="BM1979" t="s">
        <v>31963</v>
      </c>
      <c r="BR1979" t="s">
        <v>98</v>
      </c>
      <c r="BS1979" t="s">
        <v>31964</v>
      </c>
      <c r="BT1979" t="s">
        <v>16602</v>
      </c>
    </row>
    <row r="1980" spans="1:72">
      <c r="A1980" t="s">
        <v>72</v>
      </c>
      <c r="B1980" t="s">
        <v>31965</v>
      </c>
      <c r="F1980" t="s">
        <v>31965</v>
      </c>
      <c r="I1980" t="s">
        <v>31966</v>
      </c>
      <c r="J1980" t="s">
        <v>232</v>
      </c>
      <c r="M1980" t="s">
        <v>78</v>
      </c>
      <c r="N1980" t="s">
        <v>79</v>
      </c>
      <c r="T1980" t="s">
        <v>31967</v>
      </c>
      <c r="U1980" t="s">
        <v>31968</v>
      </c>
      <c r="V1980" t="s">
        <v>31969</v>
      </c>
      <c r="W1980" t="s">
        <v>31970</v>
      </c>
      <c r="X1980" t="s">
        <v>31971</v>
      </c>
      <c r="Y1980" t="s">
        <v>31972</v>
      </c>
      <c r="Z1980" t="s">
        <v>31973</v>
      </c>
      <c r="AA1980" t="s">
        <v>31974</v>
      </c>
      <c r="AG1980">
        <v>75</v>
      </c>
      <c r="AH1980">
        <v>129</v>
      </c>
      <c r="AI1980">
        <v>144</v>
      </c>
      <c r="AJ1980">
        <v>0</v>
      </c>
      <c r="AK1980">
        <v>30</v>
      </c>
      <c r="AL1980" t="s">
        <v>136</v>
      </c>
      <c r="AM1980" t="s">
        <v>137</v>
      </c>
      <c r="AN1980" t="s">
        <v>138</v>
      </c>
      <c r="AO1980" t="s">
        <v>240</v>
      </c>
      <c r="AP1980" t="s">
        <v>241</v>
      </c>
      <c r="AR1980" t="s">
        <v>242</v>
      </c>
      <c r="AS1980" t="s">
        <v>243</v>
      </c>
      <c r="AT1980" t="s">
        <v>142</v>
      </c>
      <c r="AU1980">
        <v>2001</v>
      </c>
      <c r="AV1980">
        <v>42</v>
      </c>
      <c r="AW1980">
        <v>6</v>
      </c>
      <c r="BB1980">
        <v>491</v>
      </c>
      <c r="BC1980">
        <v>505</v>
      </c>
      <c r="BI1980">
        <v>15</v>
      </c>
      <c r="BJ1980" t="s">
        <v>247</v>
      </c>
      <c r="BK1980" t="s">
        <v>96</v>
      </c>
      <c r="BL1980" t="s">
        <v>248</v>
      </c>
      <c r="BM1980" t="s">
        <v>31975</v>
      </c>
      <c r="BN1980">
        <v>11468927</v>
      </c>
      <c r="BR1980" t="s">
        <v>98</v>
      </c>
      <c r="BS1980" t="s">
        <v>31976</v>
      </c>
      <c r="BT1980" t="s">
        <v>16602</v>
      </c>
    </row>
    <row r="1981" spans="1:72">
      <c r="A1981" t="s">
        <v>72</v>
      </c>
      <c r="B1981" t="s">
        <v>31977</v>
      </c>
      <c r="F1981" t="s">
        <v>31978</v>
      </c>
      <c r="I1981" t="s">
        <v>31979</v>
      </c>
      <c r="J1981" t="s">
        <v>1202</v>
      </c>
      <c r="M1981" t="s">
        <v>78</v>
      </c>
      <c r="N1981" t="s">
        <v>79</v>
      </c>
      <c r="T1981" t="s">
        <v>31980</v>
      </c>
      <c r="U1981" t="s">
        <v>31981</v>
      </c>
      <c r="V1981" t="s">
        <v>31982</v>
      </c>
      <c r="W1981" t="s">
        <v>31983</v>
      </c>
      <c r="X1981" t="s">
        <v>31984</v>
      </c>
      <c r="Y1981" t="s">
        <v>31985</v>
      </c>
      <c r="Z1981" t="s">
        <v>31986</v>
      </c>
      <c r="AA1981" t="s">
        <v>31987</v>
      </c>
      <c r="AB1981" t="s">
        <v>31988</v>
      </c>
      <c r="AC1981" t="s">
        <v>31989</v>
      </c>
      <c r="AD1981" t="s">
        <v>31990</v>
      </c>
      <c r="AE1981" t="s">
        <v>31991</v>
      </c>
      <c r="AG1981">
        <v>76</v>
      </c>
      <c r="AH1981">
        <v>6</v>
      </c>
      <c r="AI1981">
        <v>6</v>
      </c>
      <c r="AJ1981">
        <v>1</v>
      </c>
      <c r="AK1981">
        <v>50</v>
      </c>
      <c r="AL1981" t="s">
        <v>112</v>
      </c>
      <c r="AM1981" t="s">
        <v>191</v>
      </c>
      <c r="AN1981" t="s">
        <v>192</v>
      </c>
      <c r="AO1981" t="s">
        <v>1207</v>
      </c>
      <c r="AP1981" t="s">
        <v>4902</v>
      </c>
      <c r="AR1981" t="s">
        <v>1202</v>
      </c>
      <c r="AS1981" t="s">
        <v>1208</v>
      </c>
      <c r="AT1981" t="s">
        <v>765</v>
      </c>
      <c r="AU1981">
        <v>2018</v>
      </c>
      <c r="AV1981">
        <v>816</v>
      </c>
      <c r="AW1981">
        <v>1</v>
      </c>
      <c r="BB1981">
        <v>179</v>
      </c>
      <c r="BC1981">
        <v>196</v>
      </c>
      <c r="BE1981" t="s">
        <v>31992</v>
      </c>
      <c r="BF1981" t="s">
        <v>31993</v>
      </c>
      <c r="BI1981">
        <v>18</v>
      </c>
      <c r="BJ1981" t="s">
        <v>680</v>
      </c>
      <c r="BK1981" t="s">
        <v>96</v>
      </c>
      <c r="BL1981" t="s">
        <v>680</v>
      </c>
      <c r="BM1981" t="s">
        <v>31994</v>
      </c>
      <c r="BR1981" t="s">
        <v>98</v>
      </c>
      <c r="BS1981" t="s">
        <v>31995</v>
      </c>
      <c r="BT1981" t="s">
        <v>16602</v>
      </c>
    </row>
    <row r="1982" spans="1:72">
      <c r="A1982" t="s">
        <v>72</v>
      </c>
      <c r="B1982" t="s">
        <v>31996</v>
      </c>
      <c r="F1982" t="s">
        <v>31996</v>
      </c>
      <c r="I1982" t="s">
        <v>31997</v>
      </c>
      <c r="J1982" t="s">
        <v>16711</v>
      </c>
      <c r="M1982" t="s">
        <v>78</v>
      </c>
      <c r="N1982" t="s">
        <v>79</v>
      </c>
      <c r="T1982" t="s">
        <v>31998</v>
      </c>
      <c r="U1982" t="s">
        <v>31999</v>
      </c>
      <c r="V1982" t="s">
        <v>32000</v>
      </c>
      <c r="Y1982" t="s">
        <v>32001</v>
      </c>
      <c r="AG1982">
        <v>42</v>
      </c>
      <c r="AH1982">
        <v>7</v>
      </c>
      <c r="AI1982">
        <v>7</v>
      </c>
      <c r="AJ1982">
        <v>0</v>
      </c>
      <c r="AK1982">
        <v>5</v>
      </c>
      <c r="AL1982" t="s">
        <v>32002</v>
      </c>
      <c r="AM1982" t="s">
        <v>32003</v>
      </c>
      <c r="AN1982" t="s">
        <v>32004</v>
      </c>
      <c r="AO1982" t="s">
        <v>16721</v>
      </c>
      <c r="AR1982" t="s">
        <v>16723</v>
      </c>
      <c r="AS1982" t="s">
        <v>16724</v>
      </c>
      <c r="AT1982" t="s">
        <v>170</v>
      </c>
      <c r="AU1982">
        <v>1996</v>
      </c>
      <c r="AV1982">
        <v>42</v>
      </c>
      <c r="AW1982">
        <v>3</v>
      </c>
      <c r="BB1982">
        <v>361</v>
      </c>
      <c r="BC1982">
        <v>383</v>
      </c>
      <c r="BI1982">
        <v>23</v>
      </c>
      <c r="BJ1982" t="s">
        <v>16725</v>
      </c>
      <c r="BK1982" t="s">
        <v>96</v>
      </c>
      <c r="BL1982" t="s">
        <v>16725</v>
      </c>
      <c r="BM1982" t="s">
        <v>32005</v>
      </c>
      <c r="BN1982">
        <v>8793191</v>
      </c>
      <c r="BR1982" t="s">
        <v>98</v>
      </c>
      <c r="BS1982" t="s">
        <v>32006</v>
      </c>
      <c r="BT1982" t="s">
        <v>16602</v>
      </c>
    </row>
    <row r="1983" spans="1:72">
      <c r="A1983" t="s">
        <v>72</v>
      </c>
      <c r="B1983" t="s">
        <v>32007</v>
      </c>
      <c r="F1983" t="s">
        <v>32007</v>
      </c>
      <c r="I1983" t="s">
        <v>32008</v>
      </c>
      <c r="J1983" t="s">
        <v>421</v>
      </c>
      <c r="M1983" t="s">
        <v>78</v>
      </c>
      <c r="N1983" t="s">
        <v>79</v>
      </c>
      <c r="T1983" t="s">
        <v>32009</v>
      </c>
      <c r="U1983" t="s">
        <v>32010</v>
      </c>
      <c r="V1983" t="s">
        <v>32011</v>
      </c>
      <c r="W1983" t="s">
        <v>32012</v>
      </c>
      <c r="X1983" t="s">
        <v>32013</v>
      </c>
      <c r="Y1983" t="s">
        <v>32014</v>
      </c>
      <c r="AA1983" t="s">
        <v>32015</v>
      </c>
      <c r="AB1983" t="s">
        <v>32016</v>
      </c>
      <c r="AG1983">
        <v>43</v>
      </c>
      <c r="AH1983">
        <v>124</v>
      </c>
      <c r="AI1983">
        <v>139</v>
      </c>
      <c r="AJ1983">
        <v>5</v>
      </c>
      <c r="AK1983">
        <v>86</v>
      </c>
      <c r="AL1983" t="s">
        <v>430</v>
      </c>
      <c r="AM1983" t="s">
        <v>137</v>
      </c>
      <c r="AN1983" t="s">
        <v>431</v>
      </c>
      <c r="AO1983" t="s">
        <v>432</v>
      </c>
      <c r="AR1983" t="s">
        <v>433</v>
      </c>
      <c r="AS1983" t="s">
        <v>434</v>
      </c>
      <c r="AU1983">
        <v>2004</v>
      </c>
      <c r="AV1983">
        <v>127</v>
      </c>
      <c r="AW1983">
        <v>2</v>
      </c>
      <c r="BB1983">
        <v>203</v>
      </c>
      <c r="BC1983">
        <v>216</v>
      </c>
      <c r="BE1983" t="s">
        <v>32017</v>
      </c>
      <c r="BF1983" t="s">
        <v>32018</v>
      </c>
      <c r="BI1983">
        <v>14</v>
      </c>
      <c r="BJ1983" t="s">
        <v>144</v>
      </c>
      <c r="BK1983" t="s">
        <v>96</v>
      </c>
      <c r="BL1983" t="s">
        <v>145</v>
      </c>
      <c r="BM1983" t="s">
        <v>32019</v>
      </c>
      <c r="BN1983">
        <v>14568720</v>
      </c>
      <c r="BR1983" t="s">
        <v>98</v>
      </c>
      <c r="BS1983" t="s">
        <v>32020</v>
      </c>
      <c r="BT1983" t="s">
        <v>16602</v>
      </c>
    </row>
    <row r="1984" spans="1:72">
      <c r="A1984" t="s">
        <v>72</v>
      </c>
      <c r="B1984" t="s">
        <v>32021</v>
      </c>
      <c r="F1984" t="s">
        <v>32022</v>
      </c>
      <c r="I1984" t="s">
        <v>32023</v>
      </c>
      <c r="J1984" t="s">
        <v>32024</v>
      </c>
      <c r="M1984" t="s">
        <v>78</v>
      </c>
      <c r="N1984" t="s">
        <v>79</v>
      </c>
      <c r="T1984" t="s">
        <v>32025</v>
      </c>
      <c r="U1984" t="s">
        <v>32026</v>
      </c>
      <c r="V1984" t="s">
        <v>32027</v>
      </c>
      <c r="W1984" t="s">
        <v>32028</v>
      </c>
      <c r="X1984" t="s">
        <v>32029</v>
      </c>
      <c r="Y1984" t="s">
        <v>32030</v>
      </c>
      <c r="Z1984" t="s">
        <v>32031</v>
      </c>
      <c r="AA1984" t="s">
        <v>32032</v>
      </c>
      <c r="AB1984" t="s">
        <v>32033</v>
      </c>
      <c r="AC1984" t="s">
        <v>32034</v>
      </c>
      <c r="AD1984" t="s">
        <v>32035</v>
      </c>
      <c r="AE1984" t="s">
        <v>32036</v>
      </c>
      <c r="AG1984">
        <v>40</v>
      </c>
      <c r="AH1984">
        <v>68</v>
      </c>
      <c r="AI1984">
        <v>84</v>
      </c>
      <c r="AJ1984">
        <v>0</v>
      </c>
      <c r="AK1984">
        <v>64</v>
      </c>
      <c r="AL1984" t="s">
        <v>31879</v>
      </c>
      <c r="AM1984" t="s">
        <v>137</v>
      </c>
      <c r="AN1984" t="s">
        <v>31880</v>
      </c>
      <c r="AO1984" t="s">
        <v>32037</v>
      </c>
      <c r="AP1984" t="s">
        <v>32038</v>
      </c>
      <c r="AR1984" t="s">
        <v>32039</v>
      </c>
      <c r="AS1984" t="s">
        <v>32040</v>
      </c>
      <c r="AT1984" t="s">
        <v>142</v>
      </c>
      <c r="AU1984">
        <v>2010</v>
      </c>
      <c r="AV1984">
        <v>115</v>
      </c>
      <c r="AW1984">
        <v>2</v>
      </c>
      <c r="BB1984">
        <v>369</v>
      </c>
      <c r="BC1984">
        <v>378</v>
      </c>
      <c r="BE1984" t="s">
        <v>32041</v>
      </c>
      <c r="BF1984" t="s">
        <v>32042</v>
      </c>
      <c r="BI1984">
        <v>10</v>
      </c>
      <c r="BJ1984" t="s">
        <v>95</v>
      </c>
      <c r="BK1984" t="s">
        <v>96</v>
      </c>
      <c r="BL1984" t="s">
        <v>95</v>
      </c>
      <c r="BM1984" t="s">
        <v>32043</v>
      </c>
      <c r="BN1984">
        <v>20064833</v>
      </c>
      <c r="BR1984" t="s">
        <v>98</v>
      </c>
      <c r="BS1984" t="s">
        <v>32044</v>
      </c>
      <c r="BT1984" t="s">
        <v>16602</v>
      </c>
    </row>
    <row r="1985" spans="1:72">
      <c r="A1985" t="s">
        <v>72</v>
      </c>
      <c r="B1985" t="s">
        <v>32045</v>
      </c>
      <c r="F1985" t="s">
        <v>32046</v>
      </c>
      <c r="I1985" t="s">
        <v>32047</v>
      </c>
      <c r="J1985" t="s">
        <v>421</v>
      </c>
      <c r="M1985" t="s">
        <v>78</v>
      </c>
      <c r="N1985" t="s">
        <v>79</v>
      </c>
      <c r="T1985" t="s">
        <v>32048</v>
      </c>
      <c r="U1985" t="s">
        <v>32049</v>
      </c>
      <c r="V1985" t="s">
        <v>32050</v>
      </c>
      <c r="W1985" t="s">
        <v>32051</v>
      </c>
      <c r="X1985" t="s">
        <v>32052</v>
      </c>
      <c r="Y1985" t="s">
        <v>23805</v>
      </c>
      <c r="Z1985" t="s">
        <v>9288</v>
      </c>
      <c r="AA1985" t="s">
        <v>32053</v>
      </c>
      <c r="AB1985" t="s">
        <v>32054</v>
      </c>
      <c r="AC1985" t="s">
        <v>32055</v>
      </c>
      <c r="AD1985" t="s">
        <v>32056</v>
      </c>
      <c r="AE1985" t="s">
        <v>32057</v>
      </c>
      <c r="AG1985">
        <v>77</v>
      </c>
      <c r="AH1985">
        <v>42</v>
      </c>
      <c r="AI1985">
        <v>43</v>
      </c>
      <c r="AJ1985">
        <v>1</v>
      </c>
      <c r="AK1985">
        <v>52</v>
      </c>
      <c r="AL1985" t="s">
        <v>430</v>
      </c>
      <c r="AM1985" t="s">
        <v>137</v>
      </c>
      <c r="AN1985" t="s">
        <v>431</v>
      </c>
      <c r="AO1985" t="s">
        <v>432</v>
      </c>
      <c r="AP1985" t="s">
        <v>1394</v>
      </c>
      <c r="AR1985" t="s">
        <v>433</v>
      </c>
      <c r="AS1985" t="s">
        <v>434</v>
      </c>
      <c r="AT1985" t="s">
        <v>765</v>
      </c>
      <c r="AU1985">
        <v>2015</v>
      </c>
      <c r="AV1985">
        <v>202</v>
      </c>
      <c r="BB1985">
        <v>205</v>
      </c>
      <c r="BC1985">
        <v>214</v>
      </c>
      <c r="BE1985" t="s">
        <v>32058</v>
      </c>
      <c r="BF1985" t="s">
        <v>32059</v>
      </c>
      <c r="BI1985">
        <v>10</v>
      </c>
      <c r="BJ1985" t="s">
        <v>144</v>
      </c>
      <c r="BK1985" t="s">
        <v>96</v>
      </c>
      <c r="BL1985" t="s">
        <v>145</v>
      </c>
      <c r="BM1985" t="s">
        <v>32060</v>
      </c>
      <c r="BN1985">
        <v>25847886</v>
      </c>
      <c r="BR1985" t="s">
        <v>98</v>
      </c>
      <c r="BS1985" t="s">
        <v>32061</v>
      </c>
      <c r="BT1985" t="s">
        <v>16602</v>
      </c>
    </row>
    <row r="1986" spans="1:72">
      <c r="A1986" t="s">
        <v>72</v>
      </c>
      <c r="B1986" t="s">
        <v>32062</v>
      </c>
      <c r="F1986" t="s">
        <v>32063</v>
      </c>
      <c r="I1986" t="s">
        <v>32064</v>
      </c>
      <c r="J1986" t="s">
        <v>32065</v>
      </c>
      <c r="M1986" t="s">
        <v>78</v>
      </c>
      <c r="N1986" t="s">
        <v>79</v>
      </c>
      <c r="T1986" t="s">
        <v>32066</v>
      </c>
      <c r="V1986" t="s">
        <v>32067</v>
      </c>
      <c r="W1986" t="s">
        <v>32068</v>
      </c>
      <c r="X1986" t="s">
        <v>18448</v>
      </c>
      <c r="Y1986" t="s">
        <v>32069</v>
      </c>
      <c r="AC1986" t="s">
        <v>32070</v>
      </c>
      <c r="AD1986" t="s">
        <v>32070</v>
      </c>
      <c r="AE1986" t="s">
        <v>32071</v>
      </c>
      <c r="AG1986">
        <v>57</v>
      </c>
      <c r="AH1986">
        <v>3</v>
      </c>
      <c r="AI1986">
        <v>3</v>
      </c>
      <c r="AJ1986">
        <v>0</v>
      </c>
      <c r="AK1986">
        <v>9</v>
      </c>
      <c r="AL1986" t="s">
        <v>32072</v>
      </c>
      <c r="AM1986" t="s">
        <v>32073</v>
      </c>
      <c r="AN1986" t="s">
        <v>32074</v>
      </c>
      <c r="AO1986" t="s">
        <v>32075</v>
      </c>
      <c r="AR1986" t="s">
        <v>32076</v>
      </c>
      <c r="AS1986" t="s">
        <v>32077</v>
      </c>
      <c r="AT1986" t="s">
        <v>197</v>
      </c>
      <c r="AU1986">
        <v>1997</v>
      </c>
      <c r="AV1986">
        <v>47</v>
      </c>
      <c r="AW1986">
        <v>4</v>
      </c>
      <c r="BB1986">
        <v>355</v>
      </c>
      <c r="BC1986">
        <v>365</v>
      </c>
      <c r="BI1986">
        <v>11</v>
      </c>
      <c r="BJ1986" t="s">
        <v>1292</v>
      </c>
      <c r="BK1986" t="s">
        <v>96</v>
      </c>
      <c r="BL1986" t="s">
        <v>248</v>
      </c>
      <c r="BM1986" t="s">
        <v>32078</v>
      </c>
      <c r="BR1986" t="s">
        <v>98</v>
      </c>
      <c r="BS1986" t="s">
        <v>32079</v>
      </c>
      <c r="BT1986" t="s">
        <v>16602</v>
      </c>
    </row>
    <row r="1987" spans="1:72">
      <c r="A1987" t="s">
        <v>72</v>
      </c>
      <c r="B1987" t="s">
        <v>32080</v>
      </c>
      <c r="F1987" t="s">
        <v>32081</v>
      </c>
      <c r="I1987" t="s">
        <v>32082</v>
      </c>
      <c r="J1987" t="s">
        <v>179</v>
      </c>
      <c r="M1987" t="s">
        <v>78</v>
      </c>
      <c r="N1987" t="s">
        <v>79</v>
      </c>
      <c r="T1987" t="s">
        <v>32083</v>
      </c>
      <c r="U1987" t="s">
        <v>32084</v>
      </c>
      <c r="V1987" t="s">
        <v>32085</v>
      </c>
      <c r="W1987" t="s">
        <v>32086</v>
      </c>
      <c r="X1987" t="s">
        <v>9493</v>
      </c>
      <c r="Y1987" t="s">
        <v>32087</v>
      </c>
      <c r="Z1987" t="s">
        <v>9495</v>
      </c>
      <c r="AA1987" t="s">
        <v>32088</v>
      </c>
      <c r="AB1987" t="s">
        <v>32089</v>
      </c>
      <c r="AG1987">
        <v>16</v>
      </c>
      <c r="AH1987">
        <v>9</v>
      </c>
      <c r="AI1987">
        <v>9</v>
      </c>
      <c r="AJ1987">
        <v>1</v>
      </c>
      <c r="AK1987">
        <v>9</v>
      </c>
      <c r="AL1987" t="s">
        <v>112</v>
      </c>
      <c r="AM1987" t="s">
        <v>191</v>
      </c>
      <c r="AN1987" t="s">
        <v>192</v>
      </c>
      <c r="AO1987" t="s">
        <v>193</v>
      </c>
      <c r="AP1987" t="s">
        <v>194</v>
      </c>
      <c r="AR1987" t="s">
        <v>195</v>
      </c>
      <c r="AS1987" t="s">
        <v>196</v>
      </c>
      <c r="AT1987" t="s">
        <v>119</v>
      </c>
      <c r="AU1987">
        <v>2007</v>
      </c>
      <c r="AV1987">
        <v>131</v>
      </c>
      <c r="AW1987" t="s">
        <v>2847</v>
      </c>
      <c r="BB1987">
        <v>27</v>
      </c>
      <c r="BC1987">
        <v>35</v>
      </c>
      <c r="BE1987" t="s">
        <v>32090</v>
      </c>
      <c r="BF1987" t="s">
        <v>32091</v>
      </c>
      <c r="BI1987">
        <v>9</v>
      </c>
      <c r="BJ1987" t="s">
        <v>144</v>
      </c>
      <c r="BK1987" t="s">
        <v>96</v>
      </c>
      <c r="BL1987" t="s">
        <v>145</v>
      </c>
      <c r="BM1987" t="s">
        <v>11821</v>
      </c>
      <c r="BN1987">
        <v>17072544</v>
      </c>
      <c r="BR1987" t="s">
        <v>98</v>
      </c>
      <c r="BS1987" t="s">
        <v>32092</v>
      </c>
      <c r="BT1987" t="s">
        <v>16602</v>
      </c>
    </row>
    <row r="1988" spans="1:72">
      <c r="A1988" t="s">
        <v>72</v>
      </c>
      <c r="B1988" t="s">
        <v>32093</v>
      </c>
      <c r="F1988" t="s">
        <v>32094</v>
      </c>
      <c r="I1988" t="s">
        <v>32095</v>
      </c>
      <c r="J1988" t="s">
        <v>232</v>
      </c>
      <c r="M1988" t="s">
        <v>78</v>
      </c>
      <c r="N1988" t="s">
        <v>79</v>
      </c>
      <c r="T1988" t="s">
        <v>32096</v>
      </c>
      <c r="U1988" t="s">
        <v>32097</v>
      </c>
      <c r="V1988" t="s">
        <v>32098</v>
      </c>
      <c r="W1988" t="s">
        <v>32099</v>
      </c>
      <c r="X1988" t="s">
        <v>32100</v>
      </c>
      <c r="Y1988" t="s">
        <v>32101</v>
      </c>
      <c r="Z1988" t="s">
        <v>32102</v>
      </c>
      <c r="AA1988" t="s">
        <v>32103</v>
      </c>
      <c r="AB1988" t="s">
        <v>32104</v>
      </c>
      <c r="AC1988" t="s">
        <v>32105</v>
      </c>
      <c r="AD1988" t="s">
        <v>32106</v>
      </c>
      <c r="AE1988" t="s">
        <v>32107</v>
      </c>
      <c r="AG1988">
        <v>49</v>
      </c>
      <c r="AH1988">
        <v>68</v>
      </c>
      <c r="AI1988">
        <v>76</v>
      </c>
      <c r="AJ1988">
        <v>14</v>
      </c>
      <c r="AK1988">
        <v>199</v>
      </c>
      <c r="AL1988" t="s">
        <v>136</v>
      </c>
      <c r="AM1988" t="s">
        <v>137</v>
      </c>
      <c r="AN1988" t="s">
        <v>138</v>
      </c>
      <c r="AO1988" t="s">
        <v>240</v>
      </c>
      <c r="AP1988" t="s">
        <v>241</v>
      </c>
      <c r="AR1988" t="s">
        <v>242</v>
      </c>
      <c r="AS1988" t="s">
        <v>243</v>
      </c>
      <c r="AT1988" t="s">
        <v>170</v>
      </c>
      <c r="AU1988">
        <v>2020</v>
      </c>
      <c r="AV1988">
        <v>154</v>
      </c>
      <c r="BD1988">
        <v>111079</v>
      </c>
      <c r="BE1988" t="s">
        <v>32108</v>
      </c>
      <c r="BF1988" t="s">
        <v>32109</v>
      </c>
      <c r="BI1988">
        <v>8</v>
      </c>
      <c r="BJ1988" t="s">
        <v>247</v>
      </c>
      <c r="BK1988" t="s">
        <v>96</v>
      </c>
      <c r="BL1988" t="s">
        <v>248</v>
      </c>
      <c r="BM1988" t="s">
        <v>15381</v>
      </c>
      <c r="BN1988">
        <v>32319912</v>
      </c>
      <c r="BR1988" t="s">
        <v>98</v>
      </c>
      <c r="BS1988" t="s">
        <v>32110</v>
      </c>
      <c r="BT1988" t="s">
        <v>16602</v>
      </c>
    </row>
    <row r="1989" spans="1:72">
      <c r="A1989" t="s">
        <v>72</v>
      </c>
      <c r="B1989" t="s">
        <v>32111</v>
      </c>
      <c r="F1989" t="s">
        <v>32112</v>
      </c>
      <c r="I1989" t="s">
        <v>32113</v>
      </c>
      <c r="J1989" t="s">
        <v>5592</v>
      </c>
      <c r="M1989" t="s">
        <v>78</v>
      </c>
      <c r="N1989" t="s">
        <v>79</v>
      </c>
      <c r="T1989" t="s">
        <v>32114</v>
      </c>
      <c r="U1989" t="s">
        <v>32115</v>
      </c>
      <c r="V1989" t="s">
        <v>32116</v>
      </c>
      <c r="W1989" t="s">
        <v>32117</v>
      </c>
      <c r="X1989" t="s">
        <v>32118</v>
      </c>
      <c r="Y1989" t="s">
        <v>32119</v>
      </c>
      <c r="Z1989" t="s">
        <v>32120</v>
      </c>
      <c r="AA1989" t="s">
        <v>32121</v>
      </c>
      <c r="AB1989" t="s">
        <v>32122</v>
      </c>
      <c r="AC1989" t="s">
        <v>32123</v>
      </c>
      <c r="AD1989" t="s">
        <v>32124</v>
      </c>
      <c r="AE1989" t="s">
        <v>32125</v>
      </c>
      <c r="AG1989">
        <v>57</v>
      </c>
      <c r="AH1989">
        <v>16</v>
      </c>
      <c r="AI1989">
        <v>19</v>
      </c>
      <c r="AJ1989">
        <v>1</v>
      </c>
      <c r="AK1989">
        <v>31</v>
      </c>
      <c r="AL1989" t="s">
        <v>285</v>
      </c>
      <c r="AM1989" t="s">
        <v>286</v>
      </c>
      <c r="AN1989" t="s">
        <v>287</v>
      </c>
      <c r="AO1989" t="s">
        <v>5605</v>
      </c>
      <c r="AP1989" t="s">
        <v>5606</v>
      </c>
      <c r="AR1989" t="s">
        <v>5607</v>
      </c>
      <c r="AS1989" t="s">
        <v>5608</v>
      </c>
      <c r="AT1989" t="s">
        <v>6052</v>
      </c>
      <c r="AU1989">
        <v>2012</v>
      </c>
      <c r="AV1989">
        <v>99</v>
      </c>
      <c r="BB1989">
        <v>121</v>
      </c>
      <c r="BC1989">
        <v>131</v>
      </c>
      <c r="BE1989" t="s">
        <v>32126</v>
      </c>
      <c r="BF1989" t="s">
        <v>32127</v>
      </c>
      <c r="BI1989">
        <v>11</v>
      </c>
      <c r="BJ1989" t="s">
        <v>4241</v>
      </c>
      <c r="BK1989" t="s">
        <v>96</v>
      </c>
      <c r="BL1989" t="s">
        <v>4241</v>
      </c>
      <c r="BM1989" t="s">
        <v>32128</v>
      </c>
      <c r="BR1989" t="s">
        <v>98</v>
      </c>
      <c r="BS1989" t="s">
        <v>32129</v>
      </c>
      <c r="BT1989" t="s">
        <v>16602</v>
      </c>
    </row>
    <row r="1990" spans="1:72">
      <c r="A1990" t="s">
        <v>72</v>
      </c>
      <c r="B1990" t="s">
        <v>32130</v>
      </c>
      <c r="F1990" t="s">
        <v>32131</v>
      </c>
      <c r="I1990" t="s">
        <v>32132</v>
      </c>
      <c r="J1990" t="s">
        <v>3926</v>
      </c>
      <c r="M1990" t="s">
        <v>78</v>
      </c>
      <c r="N1990" t="s">
        <v>79</v>
      </c>
      <c r="T1990" t="s">
        <v>32133</v>
      </c>
      <c r="U1990" t="s">
        <v>32134</v>
      </c>
      <c r="V1990" t="s">
        <v>32135</v>
      </c>
      <c r="W1990" t="s">
        <v>32136</v>
      </c>
      <c r="X1990" t="s">
        <v>32137</v>
      </c>
      <c r="Y1990" t="s">
        <v>32138</v>
      </c>
      <c r="Z1990" t="s">
        <v>32139</v>
      </c>
      <c r="AA1990" t="s">
        <v>32140</v>
      </c>
      <c r="AB1990" t="s">
        <v>32141</v>
      </c>
      <c r="AC1990" t="s">
        <v>32142</v>
      </c>
      <c r="AD1990" t="s">
        <v>32143</v>
      </c>
      <c r="AE1990" t="s">
        <v>32144</v>
      </c>
      <c r="AG1990">
        <v>84</v>
      </c>
      <c r="AH1990">
        <v>3</v>
      </c>
      <c r="AI1990">
        <v>3</v>
      </c>
      <c r="AJ1990">
        <v>1</v>
      </c>
      <c r="AK1990">
        <v>13</v>
      </c>
      <c r="AL1990" t="s">
        <v>650</v>
      </c>
      <c r="AM1990" t="s">
        <v>651</v>
      </c>
      <c r="AN1990" t="s">
        <v>652</v>
      </c>
      <c r="AO1990" t="s">
        <v>3939</v>
      </c>
      <c r="AP1990" t="s">
        <v>3940</v>
      </c>
      <c r="AR1990" t="s">
        <v>3926</v>
      </c>
      <c r="AS1990" t="s">
        <v>3941</v>
      </c>
      <c r="AT1990" t="s">
        <v>32145</v>
      </c>
      <c r="AU1990">
        <v>2022</v>
      </c>
      <c r="AV1990">
        <v>551</v>
      </c>
      <c r="BD1990">
        <v>737922</v>
      </c>
      <c r="BE1990" t="s">
        <v>32146</v>
      </c>
      <c r="BF1990" t="s">
        <v>32147</v>
      </c>
      <c r="BH1990" t="s">
        <v>227</v>
      </c>
      <c r="BI1990">
        <v>10</v>
      </c>
      <c r="BJ1990" t="s">
        <v>2391</v>
      </c>
      <c r="BK1990" t="s">
        <v>96</v>
      </c>
      <c r="BL1990" t="s">
        <v>2391</v>
      </c>
      <c r="BM1990" t="s">
        <v>32148</v>
      </c>
      <c r="BR1990" t="s">
        <v>98</v>
      </c>
      <c r="BS1990" t="s">
        <v>32149</v>
      </c>
      <c r="BT1990" t="s">
        <v>16602</v>
      </c>
    </row>
    <row r="1991" spans="1:72">
      <c r="A1991" t="s">
        <v>72</v>
      </c>
      <c r="B1991" t="s">
        <v>32150</v>
      </c>
      <c r="F1991" t="s">
        <v>32151</v>
      </c>
      <c r="I1991" t="s">
        <v>32152</v>
      </c>
      <c r="J1991" t="s">
        <v>909</v>
      </c>
      <c r="M1991" t="s">
        <v>78</v>
      </c>
      <c r="N1991" t="s">
        <v>79</v>
      </c>
      <c r="T1991" t="s">
        <v>32153</v>
      </c>
      <c r="U1991" t="s">
        <v>32154</v>
      </c>
      <c r="V1991" t="s">
        <v>32155</v>
      </c>
      <c r="W1991" t="s">
        <v>32156</v>
      </c>
      <c r="X1991" t="s">
        <v>32157</v>
      </c>
      <c r="Y1991" t="s">
        <v>32158</v>
      </c>
      <c r="Z1991" t="s">
        <v>32159</v>
      </c>
      <c r="AA1991" t="s">
        <v>32160</v>
      </c>
      <c r="AB1991" t="s">
        <v>32161</v>
      </c>
      <c r="AC1991" t="s">
        <v>32162</v>
      </c>
      <c r="AD1991" t="s">
        <v>32163</v>
      </c>
      <c r="AE1991" t="s">
        <v>32164</v>
      </c>
      <c r="AG1991">
        <v>94</v>
      </c>
      <c r="AH1991">
        <v>31</v>
      </c>
      <c r="AI1991">
        <v>31</v>
      </c>
      <c r="AJ1991">
        <v>0</v>
      </c>
      <c r="AK1991">
        <v>71</v>
      </c>
      <c r="AL1991" t="s">
        <v>650</v>
      </c>
      <c r="AM1991" t="s">
        <v>651</v>
      </c>
      <c r="AN1991" t="s">
        <v>652</v>
      </c>
      <c r="AO1991" t="s">
        <v>921</v>
      </c>
      <c r="AP1991" t="s">
        <v>922</v>
      </c>
      <c r="AR1991" t="s">
        <v>923</v>
      </c>
      <c r="AS1991" t="s">
        <v>924</v>
      </c>
      <c r="AT1991" t="s">
        <v>8329</v>
      </c>
      <c r="AU1991">
        <v>2019</v>
      </c>
      <c r="AV1991">
        <v>690</v>
      </c>
      <c r="BB1991">
        <v>140</v>
      </c>
      <c r="BC1991">
        <v>150</v>
      </c>
      <c r="BE1991" t="s">
        <v>32165</v>
      </c>
      <c r="BF1991" t="s">
        <v>32166</v>
      </c>
      <c r="BI1991">
        <v>11</v>
      </c>
      <c r="BJ1991" t="s">
        <v>144</v>
      </c>
      <c r="BK1991" t="s">
        <v>96</v>
      </c>
      <c r="BL1991" t="s">
        <v>145</v>
      </c>
      <c r="BM1991" t="s">
        <v>32167</v>
      </c>
      <c r="BN1991">
        <v>31284188</v>
      </c>
      <c r="BR1991" t="s">
        <v>98</v>
      </c>
      <c r="BS1991" t="s">
        <v>32168</v>
      </c>
      <c r="BT1991" t="s">
        <v>16602</v>
      </c>
    </row>
    <row r="1992" spans="1:72">
      <c r="A1992" t="s">
        <v>72</v>
      </c>
      <c r="B1992" t="s">
        <v>32169</v>
      </c>
      <c r="F1992" t="s">
        <v>32169</v>
      </c>
      <c r="I1992" t="s">
        <v>32170</v>
      </c>
      <c r="J1992" t="s">
        <v>103</v>
      </c>
      <c r="M1992" t="s">
        <v>78</v>
      </c>
      <c r="N1992" t="s">
        <v>79</v>
      </c>
      <c r="U1992" t="s">
        <v>32171</v>
      </c>
      <c r="W1992" t="s">
        <v>32172</v>
      </c>
      <c r="X1992" t="s">
        <v>32173</v>
      </c>
      <c r="Y1992" t="s">
        <v>32174</v>
      </c>
      <c r="AA1992" t="s">
        <v>32175</v>
      </c>
      <c r="AB1992" t="s">
        <v>32176</v>
      </c>
      <c r="AG1992">
        <v>26</v>
      </c>
      <c r="AH1992">
        <v>4</v>
      </c>
      <c r="AI1992">
        <v>4</v>
      </c>
      <c r="AJ1992">
        <v>0</v>
      </c>
      <c r="AK1992">
        <v>2</v>
      </c>
      <c r="AL1992" t="s">
        <v>112</v>
      </c>
      <c r="AM1992" t="s">
        <v>113</v>
      </c>
      <c r="AN1992" t="s">
        <v>469</v>
      </c>
      <c r="AO1992" t="s">
        <v>115</v>
      </c>
      <c r="AR1992" t="s">
        <v>117</v>
      </c>
      <c r="AS1992" t="s">
        <v>118</v>
      </c>
      <c r="AT1992" t="s">
        <v>119</v>
      </c>
      <c r="AU1992">
        <v>2004</v>
      </c>
      <c r="AV1992">
        <v>73</v>
      </c>
      <c r="AW1992">
        <v>2</v>
      </c>
      <c r="BB1992">
        <v>398</v>
      </c>
      <c r="BC1992">
        <v>403</v>
      </c>
      <c r="BE1992" t="s">
        <v>32177</v>
      </c>
      <c r="BF1992" t="s">
        <v>32178</v>
      </c>
      <c r="BI1992">
        <v>6</v>
      </c>
      <c r="BJ1992" t="s">
        <v>121</v>
      </c>
      <c r="BK1992" t="s">
        <v>96</v>
      </c>
      <c r="BL1992" t="s">
        <v>122</v>
      </c>
      <c r="BM1992" t="s">
        <v>32179</v>
      </c>
      <c r="BN1992">
        <v>15386058</v>
      </c>
      <c r="BR1992" t="s">
        <v>98</v>
      </c>
      <c r="BS1992" t="s">
        <v>32180</v>
      </c>
      <c r="BT1992" t="s">
        <v>16602</v>
      </c>
    </row>
    <row r="1993" spans="1:72">
      <c r="A1993" t="s">
        <v>72</v>
      </c>
      <c r="B1993" t="s">
        <v>32181</v>
      </c>
      <c r="F1993" t="s">
        <v>32182</v>
      </c>
      <c r="I1993" t="s">
        <v>32183</v>
      </c>
      <c r="J1993" t="s">
        <v>22801</v>
      </c>
      <c r="M1993" t="s">
        <v>78</v>
      </c>
      <c r="N1993" t="s">
        <v>151</v>
      </c>
      <c r="O1993" t="s">
        <v>32184</v>
      </c>
      <c r="P1993" t="s">
        <v>32185</v>
      </c>
      <c r="Q1993" t="s">
        <v>32186</v>
      </c>
      <c r="T1993" t="s">
        <v>32187</v>
      </c>
      <c r="U1993" t="s">
        <v>32188</v>
      </c>
      <c r="V1993" t="s">
        <v>32189</v>
      </c>
      <c r="W1993" t="s">
        <v>32190</v>
      </c>
      <c r="X1993" t="s">
        <v>32191</v>
      </c>
      <c r="Y1993" t="s">
        <v>32192</v>
      </c>
      <c r="Z1993" t="s">
        <v>32193</v>
      </c>
      <c r="AA1993" t="s">
        <v>32194</v>
      </c>
      <c r="AB1993" t="s">
        <v>32195</v>
      </c>
      <c r="AC1993" t="s">
        <v>32196</v>
      </c>
      <c r="AD1993" t="s">
        <v>32197</v>
      </c>
      <c r="AE1993" t="s">
        <v>32198</v>
      </c>
      <c r="AG1993">
        <v>72</v>
      </c>
      <c r="AH1993">
        <v>6</v>
      </c>
      <c r="AI1993">
        <v>7</v>
      </c>
      <c r="AJ1993">
        <v>0</v>
      </c>
      <c r="AK1993">
        <v>16</v>
      </c>
      <c r="AL1993" t="s">
        <v>919</v>
      </c>
      <c r="AM1993" t="s">
        <v>651</v>
      </c>
      <c r="AN1993" t="s">
        <v>920</v>
      </c>
      <c r="AO1993" t="s">
        <v>22808</v>
      </c>
      <c r="AP1993" t="s">
        <v>22809</v>
      </c>
      <c r="AR1993" t="s">
        <v>22810</v>
      </c>
      <c r="AS1993" t="s">
        <v>22811</v>
      </c>
      <c r="AT1993" t="s">
        <v>197</v>
      </c>
      <c r="AU1993">
        <v>2017</v>
      </c>
      <c r="AV1993">
        <v>130</v>
      </c>
      <c r="AZ1993" t="s">
        <v>225</v>
      </c>
      <c r="BB1993">
        <v>229</v>
      </c>
      <c r="BC1993">
        <v>238</v>
      </c>
      <c r="BE1993" t="s">
        <v>32199</v>
      </c>
      <c r="BF1993" t="s">
        <v>32200</v>
      </c>
      <c r="BI1993">
        <v>10</v>
      </c>
      <c r="BJ1993" t="s">
        <v>4241</v>
      </c>
      <c r="BK1993" t="s">
        <v>172</v>
      </c>
      <c r="BL1993" t="s">
        <v>4241</v>
      </c>
      <c r="BM1993" t="s">
        <v>32201</v>
      </c>
      <c r="BR1993" t="s">
        <v>98</v>
      </c>
      <c r="BS1993" t="s">
        <v>32202</v>
      </c>
      <c r="BT1993" t="s">
        <v>16602</v>
      </c>
    </row>
    <row r="1994" spans="1:72">
      <c r="A1994" t="s">
        <v>72</v>
      </c>
      <c r="B1994" t="s">
        <v>32203</v>
      </c>
      <c r="F1994" t="s">
        <v>32203</v>
      </c>
      <c r="I1994" t="s">
        <v>32204</v>
      </c>
      <c r="J1994" t="s">
        <v>5830</v>
      </c>
      <c r="M1994" t="s">
        <v>78</v>
      </c>
      <c r="N1994" t="s">
        <v>79</v>
      </c>
      <c r="T1994" t="s">
        <v>32205</v>
      </c>
      <c r="U1994" t="s">
        <v>32206</v>
      </c>
      <c r="V1994" t="s">
        <v>32207</v>
      </c>
      <c r="W1994" t="s">
        <v>32208</v>
      </c>
      <c r="X1994" t="s">
        <v>32209</v>
      </c>
      <c r="Z1994" t="s">
        <v>30554</v>
      </c>
      <c r="AA1994" t="s">
        <v>32210</v>
      </c>
      <c r="AB1994" t="s">
        <v>32211</v>
      </c>
      <c r="AG1994">
        <v>52</v>
      </c>
      <c r="AH1994">
        <v>3</v>
      </c>
      <c r="AI1994">
        <v>3</v>
      </c>
      <c r="AJ1994">
        <v>0</v>
      </c>
      <c r="AK1994">
        <v>5</v>
      </c>
      <c r="AL1994" t="s">
        <v>86</v>
      </c>
      <c r="AM1994" t="s">
        <v>87</v>
      </c>
      <c r="AN1994" t="s">
        <v>88</v>
      </c>
      <c r="AO1994" t="s">
        <v>5841</v>
      </c>
      <c r="AP1994" t="s">
        <v>32212</v>
      </c>
      <c r="AR1994" t="s">
        <v>5842</v>
      </c>
      <c r="AS1994" t="s">
        <v>5843</v>
      </c>
      <c r="AU1994">
        <v>2003</v>
      </c>
      <c r="AV1994">
        <v>41</v>
      </c>
      <c r="AW1994">
        <v>1</v>
      </c>
      <c r="BB1994">
        <v>55</v>
      </c>
      <c r="BC1994">
        <v>63</v>
      </c>
      <c r="BE1994" t="s">
        <v>32213</v>
      </c>
      <c r="BF1994" t="s">
        <v>32214</v>
      </c>
      <c r="BI1994">
        <v>9</v>
      </c>
      <c r="BJ1994" t="s">
        <v>5845</v>
      </c>
      <c r="BK1994" t="s">
        <v>96</v>
      </c>
      <c r="BL1994" t="s">
        <v>5846</v>
      </c>
      <c r="BM1994" t="s">
        <v>32215</v>
      </c>
      <c r="BN1994">
        <v>12552592</v>
      </c>
      <c r="BR1994" t="s">
        <v>98</v>
      </c>
      <c r="BS1994" t="s">
        <v>32216</v>
      </c>
      <c r="BT1994" t="s">
        <v>16602</v>
      </c>
    </row>
    <row r="1995" spans="1:72">
      <c r="A1995" t="s">
        <v>72</v>
      </c>
      <c r="B1995" t="s">
        <v>32217</v>
      </c>
      <c r="F1995" t="s">
        <v>32218</v>
      </c>
      <c r="I1995" t="s">
        <v>32219</v>
      </c>
      <c r="J1995" t="s">
        <v>27473</v>
      </c>
      <c r="M1995" t="s">
        <v>78</v>
      </c>
      <c r="N1995" t="s">
        <v>79</v>
      </c>
      <c r="T1995" t="s">
        <v>32220</v>
      </c>
      <c r="U1995" t="s">
        <v>32221</v>
      </c>
      <c r="V1995" t="s">
        <v>32222</v>
      </c>
      <c r="W1995" t="s">
        <v>32223</v>
      </c>
      <c r="X1995" t="s">
        <v>32224</v>
      </c>
      <c r="Y1995" t="s">
        <v>32225</v>
      </c>
      <c r="Z1995" t="s">
        <v>32226</v>
      </c>
      <c r="AA1995" t="s">
        <v>32227</v>
      </c>
      <c r="AB1995" t="s">
        <v>32228</v>
      </c>
      <c r="AC1995" t="s">
        <v>32229</v>
      </c>
      <c r="AD1995" t="s">
        <v>32230</v>
      </c>
      <c r="AE1995" t="s">
        <v>32231</v>
      </c>
      <c r="AG1995">
        <v>29</v>
      </c>
      <c r="AH1995">
        <v>2</v>
      </c>
      <c r="AI1995">
        <v>2</v>
      </c>
      <c r="AJ1995">
        <v>8</v>
      </c>
      <c r="AK1995">
        <v>39</v>
      </c>
      <c r="AL1995" t="s">
        <v>650</v>
      </c>
      <c r="AM1995" t="s">
        <v>651</v>
      </c>
      <c r="AN1995" t="s">
        <v>652</v>
      </c>
      <c r="AO1995" t="s">
        <v>27481</v>
      </c>
      <c r="AP1995" t="s">
        <v>27482</v>
      </c>
      <c r="AR1995" t="s">
        <v>27473</v>
      </c>
      <c r="AS1995" t="s">
        <v>27483</v>
      </c>
      <c r="AT1995" t="s">
        <v>15610</v>
      </c>
      <c r="AU1995">
        <v>2023</v>
      </c>
      <c r="AV1995">
        <v>253</v>
      </c>
      <c r="BD1995">
        <v>123984</v>
      </c>
      <c r="BE1995" t="s">
        <v>32232</v>
      </c>
      <c r="BF1995" t="s">
        <v>32233</v>
      </c>
      <c r="BH1995" t="s">
        <v>19875</v>
      </c>
      <c r="BI1995">
        <v>8</v>
      </c>
      <c r="BJ1995" t="s">
        <v>1196</v>
      </c>
      <c r="BK1995" t="s">
        <v>96</v>
      </c>
      <c r="BL1995" t="s">
        <v>1197</v>
      </c>
      <c r="BM1995" t="s">
        <v>32234</v>
      </c>
      <c r="BR1995" t="s">
        <v>98</v>
      </c>
      <c r="BS1995" t="s">
        <v>32235</v>
      </c>
      <c r="BT1995" t="s">
        <v>16602</v>
      </c>
    </row>
    <row r="1996" spans="1:72">
      <c r="A1996" t="s">
        <v>72</v>
      </c>
      <c r="B1996" t="s">
        <v>32236</v>
      </c>
      <c r="F1996" t="s">
        <v>32236</v>
      </c>
      <c r="I1996" t="s">
        <v>32237</v>
      </c>
      <c r="J1996" t="s">
        <v>1202</v>
      </c>
      <c r="M1996" t="s">
        <v>78</v>
      </c>
      <c r="N1996" t="s">
        <v>79</v>
      </c>
      <c r="T1996" t="s">
        <v>32238</v>
      </c>
      <c r="U1996" t="s">
        <v>32239</v>
      </c>
      <c r="V1996" t="s">
        <v>32240</v>
      </c>
      <c r="W1996" t="s">
        <v>32241</v>
      </c>
      <c r="X1996" t="s">
        <v>32242</v>
      </c>
      <c r="Y1996" t="s">
        <v>32243</v>
      </c>
      <c r="Z1996" t="s">
        <v>32244</v>
      </c>
      <c r="AA1996" t="s">
        <v>32245</v>
      </c>
      <c r="AB1996" t="s">
        <v>32246</v>
      </c>
      <c r="AG1996">
        <v>63</v>
      </c>
      <c r="AH1996">
        <v>48</v>
      </c>
      <c r="AI1996">
        <v>68</v>
      </c>
      <c r="AJ1996">
        <v>1</v>
      </c>
      <c r="AK1996">
        <v>64</v>
      </c>
      <c r="AL1996" t="s">
        <v>112</v>
      </c>
      <c r="AM1996" t="s">
        <v>191</v>
      </c>
      <c r="AN1996" t="s">
        <v>192</v>
      </c>
      <c r="AO1996" t="s">
        <v>1207</v>
      </c>
      <c r="AP1996" t="s">
        <v>4902</v>
      </c>
      <c r="AR1996" t="s">
        <v>1202</v>
      </c>
      <c r="AS1996" t="s">
        <v>1208</v>
      </c>
      <c r="AT1996" t="s">
        <v>16894</v>
      </c>
      <c r="AU1996">
        <v>2005</v>
      </c>
      <c r="AV1996">
        <v>542</v>
      </c>
      <c r="BB1996">
        <v>275</v>
      </c>
      <c r="BC1996">
        <v>286</v>
      </c>
      <c r="BE1996" t="s">
        <v>32247</v>
      </c>
      <c r="BF1996" t="s">
        <v>32248</v>
      </c>
      <c r="BI1996">
        <v>12</v>
      </c>
      <c r="BJ1996" t="s">
        <v>680</v>
      </c>
      <c r="BK1996" t="s">
        <v>96</v>
      </c>
      <c r="BL1996" t="s">
        <v>680</v>
      </c>
      <c r="BM1996" t="s">
        <v>32249</v>
      </c>
      <c r="BR1996" t="s">
        <v>98</v>
      </c>
      <c r="BS1996" t="s">
        <v>32250</v>
      </c>
      <c r="BT1996" t="s">
        <v>16602</v>
      </c>
    </row>
    <row r="1997" spans="1:72">
      <c r="A1997" t="s">
        <v>72</v>
      </c>
      <c r="B1997" t="s">
        <v>32251</v>
      </c>
      <c r="F1997" t="s">
        <v>32252</v>
      </c>
      <c r="I1997" t="s">
        <v>32253</v>
      </c>
      <c r="J1997" t="s">
        <v>275</v>
      </c>
      <c r="M1997" t="s">
        <v>78</v>
      </c>
      <c r="N1997" t="s">
        <v>79</v>
      </c>
      <c r="T1997" t="s">
        <v>32254</v>
      </c>
      <c r="U1997" t="s">
        <v>32255</v>
      </c>
      <c r="V1997" t="s">
        <v>32256</v>
      </c>
      <c r="W1997" t="s">
        <v>32257</v>
      </c>
      <c r="X1997" t="s">
        <v>32258</v>
      </c>
      <c r="Y1997" t="s">
        <v>32259</v>
      </c>
      <c r="Z1997" t="s">
        <v>32260</v>
      </c>
      <c r="AA1997" t="s">
        <v>32261</v>
      </c>
      <c r="AB1997" t="s">
        <v>32262</v>
      </c>
      <c r="AC1997" t="s">
        <v>32263</v>
      </c>
      <c r="AD1997" t="s">
        <v>32263</v>
      </c>
      <c r="AE1997" t="s">
        <v>32264</v>
      </c>
      <c r="AG1997">
        <v>50</v>
      </c>
      <c r="AH1997">
        <v>3</v>
      </c>
      <c r="AI1997">
        <v>3</v>
      </c>
      <c r="AJ1997">
        <v>4</v>
      </c>
      <c r="AK1997">
        <v>11</v>
      </c>
      <c r="AL1997" t="s">
        <v>285</v>
      </c>
      <c r="AM1997" t="s">
        <v>286</v>
      </c>
      <c r="AN1997" t="s">
        <v>287</v>
      </c>
      <c r="AO1997" t="s">
        <v>288</v>
      </c>
      <c r="AP1997" t="s">
        <v>289</v>
      </c>
      <c r="AR1997" t="s">
        <v>290</v>
      </c>
      <c r="AS1997" t="s">
        <v>291</v>
      </c>
      <c r="AT1997" t="s">
        <v>93</v>
      </c>
      <c r="AU1997">
        <v>2023</v>
      </c>
      <c r="AV1997">
        <v>135</v>
      </c>
      <c r="BD1997">
        <v>108654</v>
      </c>
      <c r="BE1997" t="s">
        <v>32265</v>
      </c>
      <c r="BF1997" t="s">
        <v>32266</v>
      </c>
      <c r="BH1997" t="s">
        <v>6536</v>
      </c>
      <c r="BI1997">
        <v>11</v>
      </c>
      <c r="BJ1997" t="s">
        <v>293</v>
      </c>
      <c r="BK1997" t="s">
        <v>96</v>
      </c>
      <c r="BL1997" t="s">
        <v>293</v>
      </c>
      <c r="BM1997" t="s">
        <v>32267</v>
      </c>
      <c r="BN1997">
        <v>36868539</v>
      </c>
      <c r="BO1997" t="s">
        <v>370</v>
      </c>
      <c r="BR1997" t="s">
        <v>98</v>
      </c>
      <c r="BS1997" t="s">
        <v>32268</v>
      </c>
      <c r="BT1997" t="s">
        <v>16602</v>
      </c>
    </row>
    <row r="1998" spans="1:72">
      <c r="A1998" t="s">
        <v>72</v>
      </c>
      <c r="B1998" t="s">
        <v>32269</v>
      </c>
      <c r="F1998" t="s">
        <v>32270</v>
      </c>
      <c r="I1998" t="s">
        <v>32271</v>
      </c>
      <c r="J1998" t="s">
        <v>7584</v>
      </c>
      <c r="M1998" t="s">
        <v>78</v>
      </c>
      <c r="N1998" t="s">
        <v>79</v>
      </c>
      <c r="T1998" t="s">
        <v>32272</v>
      </c>
      <c r="U1998" t="s">
        <v>32273</v>
      </c>
      <c r="V1998" t="s">
        <v>32274</v>
      </c>
      <c r="W1998" t="s">
        <v>32275</v>
      </c>
      <c r="X1998" t="s">
        <v>32276</v>
      </c>
      <c r="Y1998" t="s">
        <v>32277</v>
      </c>
      <c r="Z1998" t="s">
        <v>32278</v>
      </c>
      <c r="AA1998" t="s">
        <v>32279</v>
      </c>
      <c r="AB1998" t="s">
        <v>32280</v>
      </c>
      <c r="AC1998" t="s">
        <v>32281</v>
      </c>
      <c r="AD1998" t="s">
        <v>8547</v>
      </c>
      <c r="AE1998" t="s">
        <v>32282</v>
      </c>
      <c r="AG1998">
        <v>82</v>
      </c>
      <c r="AH1998">
        <v>61</v>
      </c>
      <c r="AI1998">
        <v>63</v>
      </c>
      <c r="AJ1998">
        <v>47</v>
      </c>
      <c r="AK1998">
        <v>307</v>
      </c>
      <c r="AL1998" t="s">
        <v>136</v>
      </c>
      <c r="AM1998" t="s">
        <v>137</v>
      </c>
      <c r="AN1998" t="s">
        <v>138</v>
      </c>
      <c r="AO1998" t="s">
        <v>7589</v>
      </c>
      <c r="AP1998" t="s">
        <v>7590</v>
      </c>
      <c r="AR1998" t="s">
        <v>7591</v>
      </c>
      <c r="AS1998" t="s">
        <v>7592</v>
      </c>
      <c r="AT1998" t="s">
        <v>16894</v>
      </c>
      <c r="AU1998">
        <v>2022</v>
      </c>
      <c r="AV1998">
        <v>219</v>
      </c>
      <c r="BD1998">
        <v>118582</v>
      </c>
      <c r="BE1998" t="s">
        <v>32283</v>
      </c>
      <c r="BF1998" t="s">
        <v>32284</v>
      </c>
      <c r="BH1998" t="s">
        <v>2765</v>
      </c>
      <c r="BI1998">
        <v>10</v>
      </c>
      <c r="BJ1998" t="s">
        <v>587</v>
      </c>
      <c r="BK1998" t="s">
        <v>96</v>
      </c>
      <c r="BL1998" t="s">
        <v>589</v>
      </c>
      <c r="BM1998" t="s">
        <v>32285</v>
      </c>
      <c r="BN1998">
        <v>35580390</v>
      </c>
      <c r="BR1998" t="s">
        <v>98</v>
      </c>
      <c r="BS1998" t="s">
        <v>32286</v>
      </c>
      <c r="BT1998" t="s">
        <v>16602</v>
      </c>
    </row>
    <row r="1999" spans="1:72">
      <c r="A1999" t="s">
        <v>72</v>
      </c>
      <c r="B1999" t="s">
        <v>32287</v>
      </c>
      <c r="F1999" t="s">
        <v>32287</v>
      </c>
      <c r="I1999" t="s">
        <v>32288</v>
      </c>
      <c r="J1999" t="s">
        <v>1202</v>
      </c>
      <c r="M1999" t="s">
        <v>78</v>
      </c>
      <c r="N1999" t="s">
        <v>79</v>
      </c>
      <c r="T1999" t="s">
        <v>32289</v>
      </c>
      <c r="U1999" t="s">
        <v>32290</v>
      </c>
      <c r="V1999" t="s">
        <v>32291</v>
      </c>
      <c r="W1999" t="s">
        <v>32292</v>
      </c>
      <c r="X1999" t="s">
        <v>32293</v>
      </c>
      <c r="Y1999" t="s">
        <v>32294</v>
      </c>
      <c r="AA1999" t="s">
        <v>32295</v>
      </c>
      <c r="AB1999" t="s">
        <v>32296</v>
      </c>
      <c r="AG1999">
        <v>53</v>
      </c>
      <c r="AH1999">
        <v>13</v>
      </c>
      <c r="AI1999">
        <v>14</v>
      </c>
      <c r="AJ1999">
        <v>0</v>
      </c>
      <c r="AK1999">
        <v>10</v>
      </c>
      <c r="AL1999" t="s">
        <v>716</v>
      </c>
      <c r="AM1999" t="s">
        <v>191</v>
      </c>
      <c r="AN1999" t="s">
        <v>717</v>
      </c>
      <c r="AO1999" t="s">
        <v>1207</v>
      </c>
      <c r="AR1999" t="s">
        <v>1202</v>
      </c>
      <c r="AS1999" t="s">
        <v>1208</v>
      </c>
      <c r="AU1999">
        <v>1999</v>
      </c>
      <c r="AV1999">
        <v>392</v>
      </c>
      <c r="AW1999">
        <v>2</v>
      </c>
      <c r="BB1999">
        <v>143</v>
      </c>
      <c r="BC1999">
        <v>158</v>
      </c>
      <c r="BE1999" t="s">
        <v>32297</v>
      </c>
      <c r="BF1999" t="s">
        <v>32298</v>
      </c>
      <c r="BI1999">
        <v>16</v>
      </c>
      <c r="BJ1999" t="s">
        <v>680</v>
      </c>
      <c r="BK1999" t="s">
        <v>96</v>
      </c>
      <c r="BL1999" t="s">
        <v>680</v>
      </c>
      <c r="BM1999" t="s">
        <v>32299</v>
      </c>
      <c r="BR1999" t="s">
        <v>98</v>
      </c>
      <c r="BS1999" t="s">
        <v>32300</v>
      </c>
      <c r="BT1999" t="s">
        <v>16602</v>
      </c>
    </row>
    <row r="2000" spans="1:72">
      <c r="A2000" t="s">
        <v>72</v>
      </c>
      <c r="B2000" t="s">
        <v>32301</v>
      </c>
      <c r="F2000" t="s">
        <v>32302</v>
      </c>
      <c r="I2000" t="s">
        <v>32303</v>
      </c>
      <c r="J2000" t="s">
        <v>11276</v>
      </c>
      <c r="M2000" t="s">
        <v>78</v>
      </c>
      <c r="N2000" t="s">
        <v>79</v>
      </c>
      <c r="T2000" t="s">
        <v>32304</v>
      </c>
      <c r="U2000" t="s">
        <v>32305</v>
      </c>
      <c r="V2000" t="s">
        <v>32306</v>
      </c>
      <c r="W2000" t="s">
        <v>32307</v>
      </c>
      <c r="X2000" t="s">
        <v>32308</v>
      </c>
      <c r="Y2000" t="s">
        <v>32309</v>
      </c>
      <c r="Z2000" t="s">
        <v>32310</v>
      </c>
      <c r="AA2000" t="s">
        <v>32311</v>
      </c>
      <c r="AB2000" t="s">
        <v>32312</v>
      </c>
      <c r="AG2000">
        <v>48</v>
      </c>
      <c r="AH2000">
        <v>49</v>
      </c>
      <c r="AI2000">
        <v>51</v>
      </c>
      <c r="AJ2000">
        <v>1</v>
      </c>
      <c r="AK2000">
        <v>25</v>
      </c>
      <c r="AL2000" t="s">
        <v>430</v>
      </c>
      <c r="AM2000" t="s">
        <v>137</v>
      </c>
      <c r="AN2000" t="s">
        <v>431</v>
      </c>
      <c r="AO2000" t="s">
        <v>11284</v>
      </c>
      <c r="AR2000" t="s">
        <v>11285</v>
      </c>
      <c r="AS2000" t="s">
        <v>11286</v>
      </c>
      <c r="AT2000" t="s">
        <v>224</v>
      </c>
      <c r="AU2000">
        <v>2011</v>
      </c>
      <c r="AV2000">
        <v>102</v>
      </c>
      <c r="AW2000">
        <v>2</v>
      </c>
      <c r="BB2000">
        <v>128</v>
      </c>
      <c r="BC2000">
        <v>137</v>
      </c>
      <c r="BE2000" t="s">
        <v>32313</v>
      </c>
      <c r="BF2000" t="s">
        <v>32314</v>
      </c>
      <c r="BI2000">
        <v>10</v>
      </c>
      <c r="BJ2000" t="s">
        <v>144</v>
      </c>
      <c r="BK2000" t="s">
        <v>96</v>
      </c>
      <c r="BL2000" t="s">
        <v>145</v>
      </c>
      <c r="BM2000" t="s">
        <v>32315</v>
      </c>
      <c r="BN2000">
        <v>21145143</v>
      </c>
      <c r="BR2000" t="s">
        <v>98</v>
      </c>
      <c r="BS2000" t="s">
        <v>32316</v>
      </c>
      <c r="BT2000" t="s">
        <v>16602</v>
      </c>
    </row>
    <row r="2001" spans="1:74">
      <c r="A2001" t="s">
        <v>72</v>
      </c>
      <c r="B2001" t="s">
        <v>32317</v>
      </c>
      <c r="F2001" t="s">
        <v>32318</v>
      </c>
      <c r="I2001" t="s">
        <v>32319</v>
      </c>
      <c r="J2001" t="s">
        <v>232</v>
      </c>
      <c r="M2001" t="s">
        <v>78</v>
      </c>
      <c r="N2001" t="s">
        <v>79</v>
      </c>
      <c r="T2001" t="s">
        <v>32320</v>
      </c>
      <c r="U2001" t="s">
        <v>32321</v>
      </c>
      <c r="V2001" t="s">
        <v>32322</v>
      </c>
      <c r="W2001" t="s">
        <v>32323</v>
      </c>
      <c r="X2001" t="s">
        <v>32324</v>
      </c>
      <c r="Y2001" t="s">
        <v>32325</v>
      </c>
      <c r="Z2001" t="s">
        <v>32326</v>
      </c>
      <c r="AA2001" t="s">
        <v>32327</v>
      </c>
      <c r="AB2001" t="s">
        <v>32328</v>
      </c>
      <c r="AC2001" t="s">
        <v>32329</v>
      </c>
      <c r="AD2001" t="s">
        <v>32330</v>
      </c>
      <c r="AE2001" t="s">
        <v>32331</v>
      </c>
      <c r="AG2001">
        <v>40</v>
      </c>
      <c r="AH2001">
        <v>109</v>
      </c>
      <c r="AI2001">
        <v>120</v>
      </c>
      <c r="AJ2001">
        <v>2</v>
      </c>
      <c r="AK2001">
        <v>110</v>
      </c>
      <c r="AL2001" t="s">
        <v>136</v>
      </c>
      <c r="AM2001" t="s">
        <v>137</v>
      </c>
      <c r="AN2001" t="s">
        <v>138</v>
      </c>
      <c r="AO2001" t="s">
        <v>240</v>
      </c>
      <c r="AP2001" t="s">
        <v>241</v>
      </c>
      <c r="AR2001" t="s">
        <v>242</v>
      </c>
      <c r="AS2001" t="s">
        <v>243</v>
      </c>
      <c r="AT2001" t="s">
        <v>387</v>
      </c>
      <c r="AU2001">
        <v>2014</v>
      </c>
      <c r="AV2001">
        <v>82</v>
      </c>
      <c r="AW2001" t="s">
        <v>326</v>
      </c>
      <c r="BB2001">
        <v>137</v>
      </c>
      <c r="BC2001">
        <v>143</v>
      </c>
      <c r="BE2001" t="s">
        <v>32332</v>
      </c>
      <c r="BF2001" t="s">
        <v>32333</v>
      </c>
      <c r="BI2001">
        <v>7</v>
      </c>
      <c r="BJ2001" t="s">
        <v>247</v>
      </c>
      <c r="BK2001" t="s">
        <v>96</v>
      </c>
      <c r="BL2001" t="s">
        <v>248</v>
      </c>
      <c r="BM2001" t="s">
        <v>32334</v>
      </c>
      <c r="BN2001">
        <v>24673831</v>
      </c>
      <c r="BR2001" t="s">
        <v>98</v>
      </c>
      <c r="BS2001" t="s">
        <v>32335</v>
      </c>
      <c r="BT2001" t="s">
        <v>16602</v>
      </c>
    </row>
    <row r="2002" spans="1:74">
      <c r="A2002" s="1" t="s">
        <v>72</v>
      </c>
      <c r="B2002" s="1" t="s">
        <v>32336</v>
      </c>
      <c r="C2002" s="1" t="s">
        <v>74</v>
      </c>
      <c r="D2002" s="1" t="s">
        <v>74</v>
      </c>
      <c r="E2002" s="1" t="s">
        <v>74</v>
      </c>
      <c r="F2002" s="1" t="s">
        <v>32337</v>
      </c>
      <c r="G2002" s="1" t="s">
        <v>74</v>
      </c>
      <c r="H2002" s="1" t="s">
        <v>74</v>
      </c>
      <c r="I2002" s="1" t="s">
        <v>32338</v>
      </c>
      <c r="J2002" s="1" t="s">
        <v>595</v>
      </c>
      <c r="K2002" s="1" t="s">
        <v>74</v>
      </c>
      <c r="L2002" s="1" t="s">
        <v>74</v>
      </c>
      <c r="M2002" s="1" t="s">
        <v>78</v>
      </c>
      <c r="N2002" s="1" t="s">
        <v>79</v>
      </c>
      <c r="O2002" s="1" t="s">
        <v>74</v>
      </c>
      <c r="P2002" s="1" t="s">
        <v>74</v>
      </c>
      <c r="Q2002" s="1" t="s">
        <v>74</v>
      </c>
      <c r="R2002" s="1" t="s">
        <v>74</v>
      </c>
      <c r="S2002" s="1" t="s">
        <v>74</v>
      </c>
      <c r="T2002" s="1" t="s">
        <v>32339</v>
      </c>
      <c r="U2002" s="1" t="s">
        <v>32340</v>
      </c>
      <c r="V2002" s="1" t="s">
        <v>32341</v>
      </c>
      <c r="W2002" s="1" t="s">
        <v>32342</v>
      </c>
      <c r="X2002" s="1" t="s">
        <v>9952</v>
      </c>
      <c r="Y2002" s="1" t="s">
        <v>32343</v>
      </c>
      <c r="Z2002" s="1" t="s">
        <v>21443</v>
      </c>
      <c r="AA2002" s="1" t="s">
        <v>74</v>
      </c>
      <c r="AB2002" s="1" t="s">
        <v>74</v>
      </c>
      <c r="AC2002" s="1" t="s">
        <v>32344</v>
      </c>
      <c r="AD2002" s="1" t="s">
        <v>32345</v>
      </c>
      <c r="AE2002" s="1" t="s">
        <v>32346</v>
      </c>
      <c r="AF2002" s="1" t="s">
        <v>74</v>
      </c>
      <c r="AG2002" s="1">
        <v>49</v>
      </c>
      <c r="AH2002" s="1">
        <v>23</v>
      </c>
      <c r="AI2002" s="1">
        <v>24</v>
      </c>
      <c r="AJ2002" s="1">
        <v>0</v>
      </c>
      <c r="AK2002" s="1">
        <v>39</v>
      </c>
      <c r="AL2002" s="1" t="s">
        <v>112</v>
      </c>
      <c r="AM2002" s="1" t="s">
        <v>191</v>
      </c>
      <c r="AN2002" s="1" t="s">
        <v>192</v>
      </c>
      <c r="AO2002" s="1" t="s">
        <v>608</v>
      </c>
      <c r="AP2002" s="1" t="s">
        <v>609</v>
      </c>
      <c r="AQ2002" s="1" t="s">
        <v>74</v>
      </c>
      <c r="AR2002" s="1" t="s">
        <v>595</v>
      </c>
      <c r="AS2002" s="1" t="s">
        <v>610</v>
      </c>
      <c r="AT2002" s="1" t="s">
        <v>1223</v>
      </c>
      <c r="AU2002" s="1">
        <v>2014</v>
      </c>
      <c r="AV2002" s="1">
        <v>23</v>
      </c>
      <c r="AW2002" s="1">
        <v>2</v>
      </c>
      <c r="AX2002" s="1" t="s">
        <v>74</v>
      </c>
      <c r="AY2002" s="1" t="s">
        <v>74</v>
      </c>
      <c r="AZ2002" s="1" t="s">
        <v>74</v>
      </c>
      <c r="BA2002" s="1" t="s">
        <v>74</v>
      </c>
      <c r="BB2002" s="1">
        <v>122</v>
      </c>
      <c r="BC2002" s="1">
        <v>132</v>
      </c>
      <c r="BD2002" s="1" t="s">
        <v>74</v>
      </c>
      <c r="BE2002" s="1" t="s">
        <v>32347</v>
      </c>
      <c r="BF2002" s="1" t="str">
        <f>HYPERLINK("http://dx.doi.org/10.1007/s10646-013-1157-7","http://dx.doi.org/10.1007/s10646-013-1157-7")</f>
        <v>http://dx.doi.org/10.1007/s10646-013-1157-7</v>
      </c>
      <c r="BG2002" s="1" t="s">
        <v>74</v>
      </c>
      <c r="BH2002" s="1" t="s">
        <v>74</v>
      </c>
      <c r="BI2002" s="1">
        <v>11</v>
      </c>
      <c r="BJ2002" s="1" t="s">
        <v>612</v>
      </c>
      <c r="BK2002" s="1" t="s">
        <v>96</v>
      </c>
      <c r="BL2002" s="1" t="s">
        <v>122</v>
      </c>
      <c r="BM2002" s="1" t="s">
        <v>32348</v>
      </c>
      <c r="BN2002" s="1">
        <v>24370816</v>
      </c>
      <c r="BO2002" s="1" t="s">
        <v>74</v>
      </c>
      <c r="BP2002" s="1" t="s">
        <v>74</v>
      </c>
      <c r="BQ2002" s="1" t="s">
        <v>74</v>
      </c>
      <c r="BR2002" s="1" t="s">
        <v>98</v>
      </c>
      <c r="BS2002" s="1" t="s">
        <v>32349</v>
      </c>
      <c r="BT2002" s="1" t="str">
        <f>HYPERLINK("https%3A%2F%2Fwww.webofscience.com%2Fwos%2Fwoscc%2Ffull-record%2FWOS:000330966000002","View Full Record in Web of Science")</f>
        <v>View Full Record in Web of Science</v>
      </c>
      <c r="BU2002" s="1"/>
      <c r="BV2002" s="1"/>
    </row>
    <row r="2003" spans="1:74">
      <c r="A2003" s="1" t="s">
        <v>72</v>
      </c>
      <c r="B2003" s="1" t="s">
        <v>32350</v>
      </c>
      <c r="C2003" s="1" t="s">
        <v>74</v>
      </c>
      <c r="D2003" s="1" t="s">
        <v>74</v>
      </c>
      <c r="E2003" s="1" t="s">
        <v>74</v>
      </c>
      <c r="F2003" s="1" t="s">
        <v>32350</v>
      </c>
      <c r="G2003" s="1" t="s">
        <v>74</v>
      </c>
      <c r="H2003" s="1" t="s">
        <v>74</v>
      </c>
      <c r="I2003" s="1" t="s">
        <v>32351</v>
      </c>
      <c r="J2003" s="1" t="s">
        <v>232</v>
      </c>
      <c r="K2003" s="1" t="s">
        <v>74</v>
      </c>
      <c r="L2003" s="1" t="s">
        <v>74</v>
      </c>
      <c r="M2003" s="1" t="s">
        <v>78</v>
      </c>
      <c r="N2003" s="1" t="s">
        <v>79</v>
      </c>
      <c r="O2003" s="1" t="s">
        <v>74</v>
      </c>
      <c r="P2003" s="1" t="s">
        <v>74</v>
      </c>
      <c r="Q2003" s="1" t="s">
        <v>74</v>
      </c>
      <c r="R2003" s="1" t="s">
        <v>74</v>
      </c>
      <c r="S2003" s="1" t="s">
        <v>74</v>
      </c>
      <c r="T2003" s="1" t="s">
        <v>32352</v>
      </c>
      <c r="U2003" s="1" t="s">
        <v>32353</v>
      </c>
      <c r="V2003" s="1" t="s">
        <v>32354</v>
      </c>
      <c r="W2003" s="1" t="s">
        <v>32355</v>
      </c>
      <c r="X2003" s="1" t="s">
        <v>32356</v>
      </c>
      <c r="Y2003" s="1" t="s">
        <v>32357</v>
      </c>
      <c r="Z2003" s="1" t="s">
        <v>32358</v>
      </c>
      <c r="AA2003" s="1" t="s">
        <v>32359</v>
      </c>
      <c r="AB2003" s="1" t="s">
        <v>32360</v>
      </c>
      <c r="AC2003" s="1" t="s">
        <v>74</v>
      </c>
      <c r="AD2003" s="1" t="s">
        <v>74</v>
      </c>
      <c r="AE2003" s="1" t="s">
        <v>74</v>
      </c>
      <c r="AF2003" s="1" t="s">
        <v>74</v>
      </c>
      <c r="AG2003" s="1">
        <v>47</v>
      </c>
      <c r="AH2003" s="1">
        <v>25</v>
      </c>
      <c r="AI2003" s="1">
        <v>26</v>
      </c>
      <c r="AJ2003" s="1">
        <v>0</v>
      </c>
      <c r="AK2003" s="1">
        <v>27</v>
      </c>
      <c r="AL2003" s="1" t="s">
        <v>136</v>
      </c>
      <c r="AM2003" s="1" t="s">
        <v>137</v>
      </c>
      <c r="AN2003" s="1" t="s">
        <v>138</v>
      </c>
      <c r="AO2003" s="1" t="s">
        <v>240</v>
      </c>
      <c r="AP2003" s="1" t="s">
        <v>241</v>
      </c>
      <c r="AQ2003" s="1" t="s">
        <v>74</v>
      </c>
      <c r="AR2003" s="1" t="s">
        <v>242</v>
      </c>
      <c r="AS2003" s="1" t="s">
        <v>243</v>
      </c>
      <c r="AT2003" s="1" t="s">
        <v>1470</v>
      </c>
      <c r="AU2003" s="1">
        <v>2005</v>
      </c>
      <c r="AV2003" s="1">
        <v>50</v>
      </c>
      <c r="AW2003" s="1">
        <v>1</v>
      </c>
      <c r="AX2003" s="1" t="s">
        <v>74</v>
      </c>
      <c r="AY2003" s="1" t="s">
        <v>74</v>
      </c>
      <c r="AZ2003" s="1" t="s">
        <v>74</v>
      </c>
      <c r="BA2003" s="1" t="s">
        <v>74</v>
      </c>
      <c r="BB2003" s="1">
        <v>20</v>
      </c>
      <c r="BC2003" s="1">
        <v>29</v>
      </c>
      <c r="BD2003" s="1" t="s">
        <v>74</v>
      </c>
      <c r="BE2003" s="1" t="s">
        <v>32361</v>
      </c>
      <c r="BF2003" s="1" t="str">
        <f>HYPERLINK("http://dx.doi.org/10.1016/j.marpolbul.2004.08.015","http://dx.doi.org/10.1016/j.marpolbul.2004.08.015")</f>
        <v>http://dx.doi.org/10.1016/j.marpolbul.2004.08.015</v>
      </c>
      <c r="BG2003" s="1" t="s">
        <v>74</v>
      </c>
      <c r="BH2003" s="1" t="s">
        <v>74</v>
      </c>
      <c r="BI2003" s="1">
        <v>10</v>
      </c>
      <c r="BJ2003" s="1" t="s">
        <v>247</v>
      </c>
      <c r="BK2003" s="1" t="s">
        <v>96</v>
      </c>
      <c r="BL2003" s="1" t="s">
        <v>248</v>
      </c>
      <c r="BM2003" s="1" t="s">
        <v>32362</v>
      </c>
      <c r="BN2003" s="1">
        <v>15664030</v>
      </c>
      <c r="BO2003" s="1" t="s">
        <v>74</v>
      </c>
      <c r="BP2003" s="1" t="s">
        <v>74</v>
      </c>
      <c r="BQ2003" s="1" t="s">
        <v>74</v>
      </c>
      <c r="BR2003" s="1" t="s">
        <v>98</v>
      </c>
      <c r="BS2003" s="1" t="s">
        <v>32363</v>
      </c>
      <c r="BT2003" s="1" t="str">
        <f>HYPERLINK("https%3A%2F%2Fwww.webofscience.com%2Fwos%2Fwoscc%2Ffull-record%2FWOS:000226944900013","View Full Record in Web of Science")</f>
        <v>View Full Record in Web of Science</v>
      </c>
      <c r="BU2003" s="1"/>
      <c r="BV2003" s="1"/>
    </row>
    <row r="2004" spans="1:74">
      <c r="A2004" s="1" t="s">
        <v>72</v>
      </c>
      <c r="B2004" s="1" t="s">
        <v>32364</v>
      </c>
      <c r="C2004" s="1" t="s">
        <v>74</v>
      </c>
      <c r="D2004" s="1" t="s">
        <v>74</v>
      </c>
      <c r="E2004" s="1" t="s">
        <v>74</v>
      </c>
      <c r="F2004" s="1" t="s">
        <v>32365</v>
      </c>
      <c r="G2004" s="1" t="s">
        <v>74</v>
      </c>
      <c r="H2004" s="1" t="s">
        <v>74</v>
      </c>
      <c r="I2004" s="1" t="s">
        <v>32366</v>
      </c>
      <c r="J2004" s="1" t="s">
        <v>32367</v>
      </c>
      <c r="K2004" s="1" t="s">
        <v>74</v>
      </c>
      <c r="L2004" s="1" t="s">
        <v>74</v>
      </c>
      <c r="M2004" s="1" t="s">
        <v>78</v>
      </c>
      <c r="N2004" s="1" t="s">
        <v>79</v>
      </c>
      <c r="O2004" s="1" t="s">
        <v>74</v>
      </c>
      <c r="P2004" s="1" t="s">
        <v>74</v>
      </c>
      <c r="Q2004" s="1" t="s">
        <v>74</v>
      </c>
      <c r="R2004" s="1" t="s">
        <v>74</v>
      </c>
      <c r="S2004" s="1" t="s">
        <v>74</v>
      </c>
      <c r="T2004" s="1" t="s">
        <v>32368</v>
      </c>
      <c r="U2004" s="1" t="s">
        <v>32369</v>
      </c>
      <c r="V2004" s="1" t="s">
        <v>32370</v>
      </c>
      <c r="W2004" s="1" t="s">
        <v>32371</v>
      </c>
      <c r="X2004" s="1" t="s">
        <v>32372</v>
      </c>
      <c r="Y2004" s="1" t="s">
        <v>32373</v>
      </c>
      <c r="Z2004" s="1" t="s">
        <v>32374</v>
      </c>
      <c r="AA2004" s="1" t="s">
        <v>32375</v>
      </c>
      <c r="AB2004" s="1" t="s">
        <v>32376</v>
      </c>
      <c r="AC2004" s="1" t="s">
        <v>32377</v>
      </c>
      <c r="AD2004" s="1" t="s">
        <v>32377</v>
      </c>
      <c r="AE2004" s="1" t="s">
        <v>32378</v>
      </c>
      <c r="AF2004" s="1" t="s">
        <v>74</v>
      </c>
      <c r="AG2004" s="1">
        <v>38</v>
      </c>
      <c r="AH2004" s="1">
        <v>1</v>
      </c>
      <c r="AI2004" s="1">
        <v>1</v>
      </c>
      <c r="AJ2004" s="1">
        <v>0</v>
      </c>
      <c r="AK2004" s="1">
        <v>23</v>
      </c>
      <c r="AL2004" s="1" t="s">
        <v>2074</v>
      </c>
      <c r="AM2004" s="1" t="s">
        <v>2075</v>
      </c>
      <c r="AN2004" s="1" t="s">
        <v>5365</v>
      </c>
      <c r="AO2004" s="1" t="s">
        <v>32379</v>
      </c>
      <c r="AP2004" s="1" t="s">
        <v>74</v>
      </c>
      <c r="AQ2004" s="1" t="s">
        <v>74</v>
      </c>
      <c r="AR2004" s="1" t="s">
        <v>32380</v>
      </c>
      <c r="AS2004" s="1" t="s">
        <v>32381</v>
      </c>
      <c r="AT2004" s="1" t="s">
        <v>32382</v>
      </c>
      <c r="AU2004" s="1">
        <v>2013</v>
      </c>
      <c r="AV2004" s="1">
        <v>14</v>
      </c>
      <c r="AW2004" s="1">
        <v>2</v>
      </c>
      <c r="AX2004" s="1" t="s">
        <v>74</v>
      </c>
      <c r="AY2004" s="1" t="s">
        <v>74</v>
      </c>
      <c r="AZ2004" s="1" t="s">
        <v>74</v>
      </c>
      <c r="BA2004" s="1" t="s">
        <v>74</v>
      </c>
      <c r="BB2004" s="1">
        <v>163</v>
      </c>
      <c r="BC2004" s="1">
        <v>168</v>
      </c>
      <c r="BD2004" s="1" t="s">
        <v>74</v>
      </c>
      <c r="BE2004" s="1" t="s">
        <v>32383</v>
      </c>
      <c r="BF2004" s="1" t="str">
        <f>HYPERLINK("http://dx.doi.org/10.1080/15275922.2013.781076","http://dx.doi.org/10.1080/15275922.2013.781076")</f>
        <v>http://dx.doi.org/10.1080/15275922.2013.781076</v>
      </c>
      <c r="BG2004" s="1" t="s">
        <v>74</v>
      </c>
      <c r="BH2004" s="1" t="s">
        <v>74</v>
      </c>
      <c r="BI2004" s="1">
        <v>6</v>
      </c>
      <c r="BJ2004" s="1" t="s">
        <v>144</v>
      </c>
      <c r="BK2004" s="1" t="s">
        <v>96</v>
      </c>
      <c r="BL2004" s="1" t="s">
        <v>145</v>
      </c>
      <c r="BM2004" s="1" t="s">
        <v>32384</v>
      </c>
      <c r="BN2004" s="1" t="s">
        <v>74</v>
      </c>
      <c r="BO2004" s="1" t="s">
        <v>74</v>
      </c>
      <c r="BP2004" s="1" t="s">
        <v>74</v>
      </c>
      <c r="BQ2004" s="1" t="s">
        <v>74</v>
      </c>
      <c r="BR2004" s="1" t="s">
        <v>98</v>
      </c>
      <c r="BS2004" s="1" t="s">
        <v>32385</v>
      </c>
      <c r="BT2004" s="1" t="str">
        <f>HYPERLINK("https%3A%2F%2Fwww.webofscience.com%2Fwos%2Fwoscc%2Ffull-record%2FWOS:000320360900010","View Full Record in Web of Science")</f>
        <v>View Full Record in Web of Science</v>
      </c>
      <c r="BU2004" s="1"/>
      <c r="BV2004" s="1"/>
    </row>
    <row r="2005" spans="1:74">
      <c r="A2005" s="1" t="s">
        <v>72</v>
      </c>
      <c r="B2005" s="1" t="s">
        <v>32386</v>
      </c>
      <c r="C2005" s="1" t="s">
        <v>74</v>
      </c>
      <c r="D2005" s="1" t="s">
        <v>74</v>
      </c>
      <c r="E2005" s="1" t="s">
        <v>74</v>
      </c>
      <c r="F2005" s="1" t="s">
        <v>32387</v>
      </c>
      <c r="G2005" s="1" t="s">
        <v>74</v>
      </c>
      <c r="H2005" s="1" t="s">
        <v>74</v>
      </c>
      <c r="I2005" s="1" t="s">
        <v>32388</v>
      </c>
      <c r="J2005" s="1" t="s">
        <v>421</v>
      </c>
      <c r="K2005" s="1" t="s">
        <v>74</v>
      </c>
      <c r="L2005" s="1" t="s">
        <v>74</v>
      </c>
      <c r="M2005" s="1" t="s">
        <v>78</v>
      </c>
      <c r="N2005" s="1" t="s">
        <v>79</v>
      </c>
      <c r="O2005" s="1" t="s">
        <v>74</v>
      </c>
      <c r="P2005" s="1" t="s">
        <v>74</v>
      </c>
      <c r="Q2005" s="1" t="s">
        <v>74</v>
      </c>
      <c r="R2005" s="1" t="s">
        <v>74</v>
      </c>
      <c r="S2005" s="1" t="s">
        <v>74</v>
      </c>
      <c r="T2005" s="1" t="s">
        <v>32389</v>
      </c>
      <c r="U2005" s="1" t="s">
        <v>32390</v>
      </c>
      <c r="V2005" s="1" t="s">
        <v>32391</v>
      </c>
      <c r="W2005" s="1" t="s">
        <v>32392</v>
      </c>
      <c r="X2005" s="1" t="s">
        <v>32393</v>
      </c>
      <c r="Y2005" s="1" t="s">
        <v>20876</v>
      </c>
      <c r="Z2005" s="1" t="s">
        <v>13012</v>
      </c>
      <c r="AA2005" s="1" t="s">
        <v>32394</v>
      </c>
      <c r="AB2005" s="1" t="s">
        <v>32395</v>
      </c>
      <c r="AC2005" s="1" t="s">
        <v>32396</v>
      </c>
      <c r="AD2005" s="1" t="s">
        <v>32397</v>
      </c>
      <c r="AE2005" s="1" t="s">
        <v>32398</v>
      </c>
      <c r="AF2005" s="1" t="s">
        <v>74</v>
      </c>
      <c r="AG2005" s="1">
        <v>86</v>
      </c>
      <c r="AH2005" s="1">
        <v>0</v>
      </c>
      <c r="AI2005" s="1">
        <v>0</v>
      </c>
      <c r="AJ2005" s="1">
        <v>0</v>
      </c>
      <c r="AK2005" s="1">
        <v>0</v>
      </c>
      <c r="AL2005" s="1" t="s">
        <v>430</v>
      </c>
      <c r="AM2005" s="1" t="s">
        <v>7361</v>
      </c>
      <c r="AN2005" s="1" t="s">
        <v>7362</v>
      </c>
      <c r="AO2005" s="1" t="s">
        <v>432</v>
      </c>
      <c r="AP2005" s="1" t="s">
        <v>1394</v>
      </c>
      <c r="AQ2005" s="1" t="s">
        <v>74</v>
      </c>
      <c r="AR2005" s="1" t="s">
        <v>433</v>
      </c>
      <c r="AS2005" s="1" t="s">
        <v>434</v>
      </c>
      <c r="AT2005" s="1" t="s">
        <v>1091</v>
      </c>
      <c r="AU2005" s="1">
        <v>2024</v>
      </c>
      <c r="AV2005" s="1">
        <v>351</v>
      </c>
      <c r="AW2005" s="1" t="s">
        <v>74</v>
      </c>
      <c r="AX2005" s="1" t="s">
        <v>74</v>
      </c>
      <c r="AY2005" s="1" t="s">
        <v>74</v>
      </c>
      <c r="AZ2005" s="1" t="s">
        <v>74</v>
      </c>
      <c r="BA2005" s="1" t="s">
        <v>74</v>
      </c>
      <c r="BB2005" s="1" t="s">
        <v>74</v>
      </c>
      <c r="BC2005" s="1" t="s">
        <v>74</v>
      </c>
      <c r="BD2005" s="1">
        <v>124112</v>
      </c>
      <c r="BE2005" s="1" t="s">
        <v>32399</v>
      </c>
      <c r="BF2005" s="1" t="str">
        <f>HYPERLINK("http://dx.doi.org/10.1016/j.envpol.2024.124112","http://dx.doi.org/10.1016/j.envpol.2024.124112")</f>
        <v>http://dx.doi.org/10.1016/j.envpol.2024.124112</v>
      </c>
      <c r="BG2005" s="1" t="s">
        <v>74</v>
      </c>
      <c r="BH2005" s="1" t="s">
        <v>11425</v>
      </c>
      <c r="BI2005" s="1">
        <v>13</v>
      </c>
      <c r="BJ2005" s="1" t="s">
        <v>144</v>
      </c>
      <c r="BK2005" s="1" t="s">
        <v>96</v>
      </c>
      <c r="BL2005" s="1" t="s">
        <v>145</v>
      </c>
      <c r="BM2005" s="1" t="s">
        <v>32400</v>
      </c>
      <c r="BN2005" s="1">
        <v>38705446</v>
      </c>
      <c r="BO2005" s="1" t="s">
        <v>476</v>
      </c>
      <c r="BP2005" s="1" t="s">
        <v>74</v>
      </c>
      <c r="BQ2005" s="1" t="s">
        <v>74</v>
      </c>
      <c r="BR2005" s="1" t="s">
        <v>98</v>
      </c>
      <c r="BS2005" s="1" t="s">
        <v>32401</v>
      </c>
      <c r="BT2005" s="1" t="str">
        <f>HYPERLINK("https%3A%2F%2Fwww.webofscience.com%2Fwos%2Fwoscc%2Ffull-record%2FWOS:001240549300001","View Full Record in Web of Science")</f>
        <v>View Full Record in Web of Science</v>
      </c>
      <c r="BU2005" s="1"/>
      <c r="BV2005" s="1"/>
    </row>
    <row r="2006" spans="1:74">
      <c r="A2006" s="1" t="s">
        <v>72</v>
      </c>
      <c r="B2006" s="1" t="s">
        <v>32402</v>
      </c>
      <c r="C2006" s="1" t="s">
        <v>74</v>
      </c>
      <c r="D2006" s="1" t="s">
        <v>74</v>
      </c>
      <c r="E2006" s="1" t="s">
        <v>74</v>
      </c>
      <c r="F2006" s="1" t="s">
        <v>32403</v>
      </c>
      <c r="G2006" s="1" t="s">
        <v>74</v>
      </c>
      <c r="H2006" s="1" t="s">
        <v>74</v>
      </c>
      <c r="I2006" s="1" t="s">
        <v>32404</v>
      </c>
      <c r="J2006" s="1" t="s">
        <v>752</v>
      </c>
      <c r="K2006" s="1" t="s">
        <v>74</v>
      </c>
      <c r="L2006" s="1" t="s">
        <v>74</v>
      </c>
      <c r="M2006" s="1" t="s">
        <v>78</v>
      </c>
      <c r="N2006" s="1" t="s">
        <v>79</v>
      </c>
      <c r="O2006" s="1" t="s">
        <v>74</v>
      </c>
      <c r="P2006" s="1" t="s">
        <v>74</v>
      </c>
      <c r="Q2006" s="1" t="s">
        <v>74</v>
      </c>
      <c r="R2006" s="1" t="s">
        <v>74</v>
      </c>
      <c r="S2006" s="1" t="s">
        <v>74</v>
      </c>
      <c r="T2006" s="1" t="s">
        <v>32405</v>
      </c>
      <c r="U2006" s="1" t="s">
        <v>32406</v>
      </c>
      <c r="V2006" s="1" t="s">
        <v>32407</v>
      </c>
      <c r="W2006" s="1" t="s">
        <v>32408</v>
      </c>
      <c r="X2006" s="1" t="s">
        <v>32409</v>
      </c>
      <c r="Y2006" s="1" t="s">
        <v>32410</v>
      </c>
      <c r="Z2006" s="1" t="s">
        <v>32411</v>
      </c>
      <c r="AA2006" s="1" t="s">
        <v>32412</v>
      </c>
      <c r="AB2006" s="1" t="s">
        <v>32413</v>
      </c>
      <c r="AC2006" s="1" t="s">
        <v>32414</v>
      </c>
      <c r="AD2006" s="1" t="s">
        <v>32415</v>
      </c>
      <c r="AE2006" s="1" t="s">
        <v>32416</v>
      </c>
      <c r="AF2006" s="1" t="s">
        <v>74</v>
      </c>
      <c r="AG2006" s="1">
        <v>75</v>
      </c>
      <c r="AH2006" s="1">
        <v>9</v>
      </c>
      <c r="AI2006" s="1">
        <v>10</v>
      </c>
      <c r="AJ2006" s="1">
        <v>0</v>
      </c>
      <c r="AK2006" s="1">
        <v>43</v>
      </c>
      <c r="AL2006" s="1" t="s">
        <v>430</v>
      </c>
      <c r="AM2006" s="1" t="s">
        <v>137</v>
      </c>
      <c r="AN2006" s="1" t="s">
        <v>431</v>
      </c>
      <c r="AO2006" s="1" t="s">
        <v>761</v>
      </c>
      <c r="AP2006" s="1" t="s">
        <v>762</v>
      </c>
      <c r="AQ2006" s="1" t="s">
        <v>74</v>
      </c>
      <c r="AR2006" s="1" t="s">
        <v>763</v>
      </c>
      <c r="AS2006" s="1" t="s">
        <v>764</v>
      </c>
      <c r="AT2006" s="1" t="s">
        <v>170</v>
      </c>
      <c r="AU2006" s="1">
        <v>2014</v>
      </c>
      <c r="AV2006" s="1">
        <v>96</v>
      </c>
      <c r="AW2006" s="1" t="s">
        <v>74</v>
      </c>
      <c r="AX2006" s="1" t="s">
        <v>74</v>
      </c>
      <c r="AY2006" s="1" t="s">
        <v>74</v>
      </c>
      <c r="AZ2006" s="1" t="s">
        <v>225</v>
      </c>
      <c r="BA2006" s="1" t="s">
        <v>74</v>
      </c>
      <c r="BB2006" s="1">
        <v>29</v>
      </c>
      <c r="BC2006" s="1">
        <v>37</v>
      </c>
      <c r="BD2006" s="1" t="s">
        <v>74</v>
      </c>
      <c r="BE2006" s="1" t="s">
        <v>32417</v>
      </c>
      <c r="BF2006" s="1" t="str">
        <f>HYPERLINK("http://dx.doi.org/10.1016/j.marenvres.2013.09.003","http://dx.doi.org/10.1016/j.marenvres.2013.09.003")</f>
        <v>http://dx.doi.org/10.1016/j.marenvres.2013.09.003</v>
      </c>
      <c r="BG2006" s="1" t="s">
        <v>74</v>
      </c>
      <c r="BH2006" s="1" t="s">
        <v>74</v>
      </c>
      <c r="BI2006" s="1">
        <v>9</v>
      </c>
      <c r="BJ2006" s="1" t="s">
        <v>768</v>
      </c>
      <c r="BK2006" s="1" t="s">
        <v>96</v>
      </c>
      <c r="BL2006" s="1" t="s">
        <v>769</v>
      </c>
      <c r="BM2006" s="1" t="s">
        <v>29370</v>
      </c>
      <c r="BN2006" s="1">
        <v>24080408</v>
      </c>
      <c r="BO2006" s="1" t="s">
        <v>1270</v>
      </c>
      <c r="BP2006" s="1" t="s">
        <v>74</v>
      </c>
      <c r="BQ2006" s="1" t="s">
        <v>74</v>
      </c>
      <c r="BR2006" s="1" t="s">
        <v>98</v>
      </c>
      <c r="BS2006" s="1" t="s">
        <v>32418</v>
      </c>
      <c r="BT2006" s="1" t="str">
        <f>HYPERLINK("https%3A%2F%2Fwww.webofscience.com%2Fwos%2Fwoscc%2Ffull-record%2FWOS:000334981600005","View Full Record in Web of Science")</f>
        <v>View Full Record in Web of Science</v>
      </c>
      <c r="BU2006" s="1"/>
      <c r="BV2006" s="1"/>
    </row>
    <row r="2007" spans="1:74">
      <c r="A2007" s="1" t="s">
        <v>72</v>
      </c>
      <c r="B2007" s="1" t="s">
        <v>32419</v>
      </c>
      <c r="C2007" s="1" t="s">
        <v>74</v>
      </c>
      <c r="D2007" s="1" t="s">
        <v>74</v>
      </c>
      <c r="E2007" s="1" t="s">
        <v>74</v>
      </c>
      <c r="F2007" s="1" t="s">
        <v>32420</v>
      </c>
      <c r="G2007" s="1" t="s">
        <v>74</v>
      </c>
      <c r="H2007" s="1" t="s">
        <v>74</v>
      </c>
      <c r="I2007" s="1" t="s">
        <v>32421</v>
      </c>
      <c r="J2007" s="1" t="s">
        <v>127</v>
      </c>
      <c r="K2007" s="1" t="s">
        <v>74</v>
      </c>
      <c r="L2007" s="1" t="s">
        <v>74</v>
      </c>
      <c r="M2007" s="1" t="s">
        <v>78</v>
      </c>
      <c r="N2007" s="1" t="s">
        <v>79</v>
      </c>
      <c r="O2007" s="1" t="s">
        <v>74</v>
      </c>
      <c r="P2007" s="1" t="s">
        <v>74</v>
      </c>
      <c r="Q2007" s="1" t="s">
        <v>74</v>
      </c>
      <c r="R2007" s="1" t="s">
        <v>74</v>
      </c>
      <c r="S2007" s="1" t="s">
        <v>74</v>
      </c>
      <c r="T2007" s="1" t="s">
        <v>32422</v>
      </c>
      <c r="U2007" s="1" t="s">
        <v>32423</v>
      </c>
      <c r="V2007" s="1" t="s">
        <v>32424</v>
      </c>
      <c r="W2007" s="1" t="s">
        <v>32425</v>
      </c>
      <c r="X2007" s="1" t="s">
        <v>32426</v>
      </c>
      <c r="Y2007" s="1" t="s">
        <v>32427</v>
      </c>
      <c r="Z2007" s="1" t="s">
        <v>32428</v>
      </c>
      <c r="AA2007" s="1" t="s">
        <v>32429</v>
      </c>
      <c r="AB2007" s="1" t="s">
        <v>32430</v>
      </c>
      <c r="AC2007" s="1" t="s">
        <v>32431</v>
      </c>
      <c r="AD2007" s="1" t="s">
        <v>32432</v>
      </c>
      <c r="AE2007" s="1" t="s">
        <v>32433</v>
      </c>
      <c r="AF2007" s="1" t="s">
        <v>74</v>
      </c>
      <c r="AG2007" s="1">
        <v>97</v>
      </c>
      <c r="AH2007" s="1">
        <v>17</v>
      </c>
      <c r="AI2007" s="1">
        <v>18</v>
      </c>
      <c r="AJ2007" s="1">
        <v>0</v>
      </c>
      <c r="AK2007" s="1">
        <v>39</v>
      </c>
      <c r="AL2007" s="1" t="s">
        <v>136</v>
      </c>
      <c r="AM2007" s="1" t="s">
        <v>137</v>
      </c>
      <c r="AN2007" s="1" t="s">
        <v>138</v>
      </c>
      <c r="AO2007" s="1" t="s">
        <v>139</v>
      </c>
      <c r="AP2007" s="1" t="s">
        <v>140</v>
      </c>
      <c r="AQ2007" s="1" t="s">
        <v>74</v>
      </c>
      <c r="AR2007" s="1" t="s">
        <v>127</v>
      </c>
      <c r="AS2007" s="1" t="s">
        <v>141</v>
      </c>
      <c r="AT2007" s="1" t="s">
        <v>224</v>
      </c>
      <c r="AU2007" s="1">
        <v>2018</v>
      </c>
      <c r="AV2007" s="1">
        <v>193</v>
      </c>
      <c r="AW2007" s="1" t="s">
        <v>74</v>
      </c>
      <c r="AX2007" s="1" t="s">
        <v>74</v>
      </c>
      <c r="AY2007" s="1" t="s">
        <v>74</v>
      </c>
      <c r="AZ2007" s="1" t="s">
        <v>74</v>
      </c>
      <c r="BA2007" s="1" t="s">
        <v>74</v>
      </c>
      <c r="BB2007" s="1">
        <v>1127</v>
      </c>
      <c r="BC2007" s="1">
        <v>1142</v>
      </c>
      <c r="BD2007" s="1" t="s">
        <v>74</v>
      </c>
      <c r="BE2007" s="1" t="s">
        <v>32434</v>
      </c>
      <c r="BF2007" s="1" t="str">
        <f>HYPERLINK("http://dx.doi.org/10.1016/j.chemosphere.2017.11.079","http://dx.doi.org/10.1016/j.chemosphere.2017.11.079")</f>
        <v>http://dx.doi.org/10.1016/j.chemosphere.2017.11.079</v>
      </c>
      <c r="BG2007" s="1" t="s">
        <v>74</v>
      </c>
      <c r="BH2007" s="1" t="s">
        <v>74</v>
      </c>
      <c r="BI2007" s="1">
        <v>16</v>
      </c>
      <c r="BJ2007" s="1" t="s">
        <v>144</v>
      </c>
      <c r="BK2007" s="1" t="s">
        <v>96</v>
      </c>
      <c r="BL2007" s="1" t="s">
        <v>145</v>
      </c>
      <c r="BM2007" s="1" t="s">
        <v>32435</v>
      </c>
      <c r="BN2007" s="1">
        <v>29874741</v>
      </c>
      <c r="BO2007" s="1" t="s">
        <v>74</v>
      </c>
      <c r="BP2007" s="1" t="s">
        <v>74</v>
      </c>
      <c r="BQ2007" s="1" t="s">
        <v>74</v>
      </c>
      <c r="BR2007" s="1" t="s">
        <v>98</v>
      </c>
      <c r="BS2007" s="1" t="s">
        <v>32436</v>
      </c>
      <c r="BT2007" s="1" t="str">
        <f>HYPERLINK("https%3A%2F%2Fwww.webofscience.com%2Fwos%2Fwoscc%2Ffull-record%2FWOS:000423890500132","View Full Record in Web of Science")</f>
        <v>View Full Record in Web of Science</v>
      </c>
      <c r="BU2007" s="1"/>
      <c r="BV2007" s="1"/>
    </row>
    <row r="2008" spans="1:74">
      <c r="A2008" s="1" t="s">
        <v>72</v>
      </c>
      <c r="B2008" s="1" t="s">
        <v>32437</v>
      </c>
      <c r="C2008" s="1" t="s">
        <v>74</v>
      </c>
      <c r="D2008" s="1" t="s">
        <v>74</v>
      </c>
      <c r="E2008" s="1" t="s">
        <v>74</v>
      </c>
      <c r="F2008" s="1" t="s">
        <v>32438</v>
      </c>
      <c r="G2008" s="1" t="s">
        <v>74</v>
      </c>
      <c r="H2008" s="1" t="s">
        <v>74</v>
      </c>
      <c r="I2008" s="1" t="s">
        <v>32439</v>
      </c>
      <c r="J2008" s="1" t="s">
        <v>3349</v>
      </c>
      <c r="K2008" s="1" t="s">
        <v>74</v>
      </c>
      <c r="L2008" s="1" t="s">
        <v>74</v>
      </c>
      <c r="M2008" s="1" t="s">
        <v>78</v>
      </c>
      <c r="N2008" s="1" t="s">
        <v>79</v>
      </c>
      <c r="O2008" s="1" t="s">
        <v>74</v>
      </c>
      <c r="P2008" s="1" t="s">
        <v>74</v>
      </c>
      <c r="Q2008" s="1" t="s">
        <v>74</v>
      </c>
      <c r="R2008" s="1" t="s">
        <v>74</v>
      </c>
      <c r="S2008" s="1" t="s">
        <v>74</v>
      </c>
      <c r="T2008" s="1" t="s">
        <v>32440</v>
      </c>
      <c r="U2008" s="1" t="s">
        <v>32441</v>
      </c>
      <c r="V2008" s="1" t="s">
        <v>32442</v>
      </c>
      <c r="W2008" s="1" t="s">
        <v>32443</v>
      </c>
      <c r="X2008" s="1" t="s">
        <v>32444</v>
      </c>
      <c r="Y2008" s="1" t="s">
        <v>32445</v>
      </c>
      <c r="Z2008" s="1" t="s">
        <v>32446</v>
      </c>
      <c r="AA2008" s="1" t="s">
        <v>32447</v>
      </c>
      <c r="AB2008" s="1" t="s">
        <v>32448</v>
      </c>
      <c r="AC2008" s="1" t="s">
        <v>32449</v>
      </c>
      <c r="AD2008" s="1" t="s">
        <v>32450</v>
      </c>
      <c r="AE2008" s="1" t="s">
        <v>32451</v>
      </c>
      <c r="AF2008" s="1" t="s">
        <v>74</v>
      </c>
      <c r="AG2008" s="1">
        <v>55</v>
      </c>
      <c r="AH2008" s="1">
        <v>25</v>
      </c>
      <c r="AI2008" s="1">
        <v>26</v>
      </c>
      <c r="AJ2008" s="1">
        <v>0</v>
      </c>
      <c r="AK2008" s="1">
        <v>21</v>
      </c>
      <c r="AL2008" s="1" t="s">
        <v>3362</v>
      </c>
      <c r="AM2008" s="1" t="s">
        <v>3363</v>
      </c>
      <c r="AN2008" s="1" t="s">
        <v>3364</v>
      </c>
      <c r="AO2008" s="1" t="s">
        <v>3365</v>
      </c>
      <c r="AP2008" s="1" t="s">
        <v>3366</v>
      </c>
      <c r="AQ2008" s="1" t="s">
        <v>74</v>
      </c>
      <c r="AR2008" s="1" t="s">
        <v>3367</v>
      </c>
      <c r="AS2008" s="1" t="s">
        <v>3368</v>
      </c>
      <c r="AT2008" s="1" t="s">
        <v>267</v>
      </c>
      <c r="AU2008" s="1">
        <v>2009</v>
      </c>
      <c r="AV2008" s="1">
        <v>72</v>
      </c>
      <c r="AW2008" s="1">
        <v>7</v>
      </c>
      <c r="AX2008" s="1" t="s">
        <v>74</v>
      </c>
      <c r="AY2008" s="1" t="s">
        <v>74</v>
      </c>
      <c r="AZ2008" s="1" t="s">
        <v>74</v>
      </c>
      <c r="BA2008" s="1" t="s">
        <v>74</v>
      </c>
      <c r="BB2008" s="1">
        <v>1871</v>
      </c>
      <c r="BC2008" s="1">
        <v>1880</v>
      </c>
      <c r="BD2008" s="1" t="s">
        <v>74</v>
      </c>
      <c r="BE2008" s="1" t="s">
        <v>32452</v>
      </c>
      <c r="BF2008" s="1" t="str">
        <f>HYPERLINK("http://dx.doi.org/10.1016/j.ecoenv.2009.07.001","http://dx.doi.org/10.1016/j.ecoenv.2009.07.001")</f>
        <v>http://dx.doi.org/10.1016/j.ecoenv.2009.07.001</v>
      </c>
      <c r="BG2008" s="1" t="s">
        <v>74</v>
      </c>
      <c r="BH2008" s="1" t="s">
        <v>74</v>
      </c>
      <c r="BI2008" s="1">
        <v>10</v>
      </c>
      <c r="BJ2008" s="1" t="s">
        <v>121</v>
      </c>
      <c r="BK2008" s="1" t="s">
        <v>96</v>
      </c>
      <c r="BL2008" s="1" t="s">
        <v>122</v>
      </c>
      <c r="BM2008" s="1" t="s">
        <v>20934</v>
      </c>
      <c r="BN2008" s="1">
        <v>19631986</v>
      </c>
      <c r="BO2008" s="1" t="s">
        <v>74</v>
      </c>
      <c r="BP2008" s="1" t="s">
        <v>74</v>
      </c>
      <c r="BQ2008" s="1" t="s">
        <v>74</v>
      </c>
      <c r="BR2008" s="1" t="s">
        <v>98</v>
      </c>
      <c r="BS2008" s="1" t="s">
        <v>32453</v>
      </c>
      <c r="BT2008" s="1" t="str">
        <f>HYPERLINK("https%3A%2F%2Fwww.webofscience.com%2Fwos%2Fwoscc%2Ffull-record%2FWOS:000270292200008","View Full Record in Web of Science")</f>
        <v>View Full Record in Web of Science</v>
      </c>
      <c r="BU2008" s="1"/>
      <c r="BV2008" s="1"/>
    </row>
    <row r="2009" spans="1:74">
      <c r="A2009" s="1" t="s">
        <v>72</v>
      </c>
      <c r="B2009" s="1" t="s">
        <v>32454</v>
      </c>
      <c r="C2009" s="1" t="s">
        <v>74</v>
      </c>
      <c r="D2009" s="1" t="s">
        <v>74</v>
      </c>
      <c r="E2009" s="1" t="s">
        <v>74</v>
      </c>
      <c r="F2009" s="1" t="s">
        <v>32455</v>
      </c>
      <c r="G2009" s="1" t="s">
        <v>74</v>
      </c>
      <c r="H2009" s="1" t="s">
        <v>74</v>
      </c>
      <c r="I2009" s="1" t="s">
        <v>32456</v>
      </c>
      <c r="J2009" s="1" t="s">
        <v>421</v>
      </c>
      <c r="K2009" s="1" t="s">
        <v>74</v>
      </c>
      <c r="L2009" s="1" t="s">
        <v>74</v>
      </c>
      <c r="M2009" s="1" t="s">
        <v>78</v>
      </c>
      <c r="N2009" s="1" t="s">
        <v>79</v>
      </c>
      <c r="O2009" s="1" t="s">
        <v>74</v>
      </c>
      <c r="P2009" s="1" t="s">
        <v>74</v>
      </c>
      <c r="Q2009" s="1" t="s">
        <v>74</v>
      </c>
      <c r="R2009" s="1" t="s">
        <v>74</v>
      </c>
      <c r="S2009" s="1" t="s">
        <v>74</v>
      </c>
      <c r="T2009" s="1" t="s">
        <v>32457</v>
      </c>
      <c r="U2009" s="1" t="s">
        <v>32458</v>
      </c>
      <c r="V2009" s="1" t="s">
        <v>32459</v>
      </c>
      <c r="W2009" s="1" t="s">
        <v>32460</v>
      </c>
      <c r="X2009" s="1" t="s">
        <v>32461</v>
      </c>
      <c r="Y2009" s="1" t="s">
        <v>32462</v>
      </c>
      <c r="Z2009" s="1" t="s">
        <v>14843</v>
      </c>
      <c r="AA2009" s="1" t="s">
        <v>2900</v>
      </c>
      <c r="AB2009" s="1" t="s">
        <v>2183</v>
      </c>
      <c r="AC2009" s="1" t="s">
        <v>32463</v>
      </c>
      <c r="AD2009" s="1" t="s">
        <v>32464</v>
      </c>
      <c r="AE2009" s="1" t="s">
        <v>32465</v>
      </c>
      <c r="AF2009" s="1" t="s">
        <v>74</v>
      </c>
      <c r="AG2009" s="1">
        <v>32</v>
      </c>
      <c r="AH2009" s="1">
        <v>2</v>
      </c>
      <c r="AI2009" s="1">
        <v>2</v>
      </c>
      <c r="AJ2009" s="1">
        <v>1</v>
      </c>
      <c r="AK2009" s="1">
        <v>21</v>
      </c>
      <c r="AL2009" s="1" t="s">
        <v>430</v>
      </c>
      <c r="AM2009" s="1" t="s">
        <v>137</v>
      </c>
      <c r="AN2009" s="1" t="s">
        <v>431</v>
      </c>
      <c r="AO2009" s="1" t="s">
        <v>432</v>
      </c>
      <c r="AP2009" s="1" t="s">
        <v>1394</v>
      </c>
      <c r="AQ2009" s="1" t="s">
        <v>74</v>
      </c>
      <c r="AR2009" s="1" t="s">
        <v>433</v>
      </c>
      <c r="AS2009" s="1" t="s">
        <v>434</v>
      </c>
      <c r="AT2009" s="1" t="s">
        <v>546</v>
      </c>
      <c r="AU2009" s="1">
        <v>2021</v>
      </c>
      <c r="AV2009" s="1">
        <v>289</v>
      </c>
      <c r="AW2009" s="1" t="s">
        <v>74</v>
      </c>
      <c r="AX2009" s="1" t="s">
        <v>74</v>
      </c>
      <c r="AY2009" s="1" t="s">
        <v>74</v>
      </c>
      <c r="AZ2009" s="1" t="s">
        <v>74</v>
      </c>
      <c r="BA2009" s="1" t="s">
        <v>74</v>
      </c>
      <c r="BB2009" s="1" t="s">
        <v>74</v>
      </c>
      <c r="BC2009" s="1" t="s">
        <v>74</v>
      </c>
      <c r="BD2009" s="1">
        <v>117941</v>
      </c>
      <c r="BE2009" s="1" t="s">
        <v>32466</v>
      </c>
      <c r="BF2009" s="1" t="str">
        <f>HYPERLINK("http://dx.doi.org/10.1016/j.envpol.2021.117941","http://dx.doi.org/10.1016/j.envpol.2021.117941")</f>
        <v>http://dx.doi.org/10.1016/j.envpol.2021.117941</v>
      </c>
      <c r="BG2009" s="1" t="s">
        <v>74</v>
      </c>
      <c r="BH2009" s="1" t="s">
        <v>30397</v>
      </c>
      <c r="BI2009" s="1">
        <v>8</v>
      </c>
      <c r="BJ2009" s="1" t="s">
        <v>144</v>
      </c>
      <c r="BK2009" s="1" t="s">
        <v>96</v>
      </c>
      <c r="BL2009" s="1" t="s">
        <v>145</v>
      </c>
      <c r="BM2009" s="1" t="s">
        <v>32467</v>
      </c>
      <c r="BN2009" s="1">
        <v>34426188</v>
      </c>
      <c r="BO2009" s="1" t="s">
        <v>74</v>
      </c>
      <c r="BP2009" s="1" t="s">
        <v>74</v>
      </c>
      <c r="BQ2009" s="1" t="s">
        <v>74</v>
      </c>
      <c r="BR2009" s="1" t="s">
        <v>98</v>
      </c>
      <c r="BS2009" s="1" t="s">
        <v>32468</v>
      </c>
      <c r="BT2009" s="1" t="str">
        <f>HYPERLINK("https%3A%2F%2Fwww.webofscience.com%2Fwos%2Fwoscc%2Ffull-record%2FWOS:000697048700001","View Full Record in Web of Science")</f>
        <v>View Full Record in Web of Science</v>
      </c>
      <c r="BU2009" s="1"/>
      <c r="BV2009" s="1"/>
    </row>
    <row r="2010" spans="1:74">
      <c r="A2010" s="1" t="s">
        <v>72</v>
      </c>
      <c r="B2010" s="1" t="s">
        <v>32469</v>
      </c>
      <c r="C2010" s="1" t="s">
        <v>74</v>
      </c>
      <c r="D2010" s="1" t="s">
        <v>74</v>
      </c>
      <c r="E2010" s="1" t="s">
        <v>74</v>
      </c>
      <c r="F2010" s="1" t="s">
        <v>32470</v>
      </c>
      <c r="G2010" s="1" t="s">
        <v>74</v>
      </c>
      <c r="H2010" s="1" t="s">
        <v>74</v>
      </c>
      <c r="I2010" s="1" t="s">
        <v>32471</v>
      </c>
      <c r="J2010" s="1" t="s">
        <v>232</v>
      </c>
      <c r="K2010" s="1" t="s">
        <v>74</v>
      </c>
      <c r="L2010" s="1" t="s">
        <v>74</v>
      </c>
      <c r="M2010" s="1" t="s">
        <v>78</v>
      </c>
      <c r="N2010" s="1" t="s">
        <v>79</v>
      </c>
      <c r="O2010" s="1" t="s">
        <v>74</v>
      </c>
      <c r="P2010" s="1" t="s">
        <v>74</v>
      </c>
      <c r="Q2010" s="1" t="s">
        <v>74</v>
      </c>
      <c r="R2010" s="1" t="s">
        <v>74</v>
      </c>
      <c r="S2010" s="1" t="s">
        <v>74</v>
      </c>
      <c r="T2010" s="1" t="s">
        <v>74</v>
      </c>
      <c r="U2010" s="1" t="s">
        <v>32472</v>
      </c>
      <c r="V2010" s="1" t="s">
        <v>74</v>
      </c>
      <c r="W2010" s="1" t="s">
        <v>32473</v>
      </c>
      <c r="X2010" s="1" t="s">
        <v>8787</v>
      </c>
      <c r="Y2010" s="1" t="s">
        <v>32474</v>
      </c>
      <c r="Z2010" s="1" t="s">
        <v>32475</v>
      </c>
      <c r="AA2010" s="1" t="s">
        <v>32476</v>
      </c>
      <c r="AB2010" s="1" t="s">
        <v>32477</v>
      </c>
      <c r="AC2010" s="1" t="s">
        <v>32478</v>
      </c>
      <c r="AD2010" s="1" t="s">
        <v>32479</v>
      </c>
      <c r="AE2010" s="1" t="s">
        <v>32480</v>
      </c>
      <c r="AF2010" s="1" t="s">
        <v>74</v>
      </c>
      <c r="AG2010" s="1">
        <v>30</v>
      </c>
      <c r="AH2010" s="1">
        <v>16</v>
      </c>
      <c r="AI2010" s="1">
        <v>16</v>
      </c>
      <c r="AJ2010" s="1">
        <v>0</v>
      </c>
      <c r="AK2010" s="1">
        <v>13</v>
      </c>
      <c r="AL2010" s="1" t="s">
        <v>136</v>
      </c>
      <c r="AM2010" s="1" t="s">
        <v>137</v>
      </c>
      <c r="AN2010" s="1" t="s">
        <v>138</v>
      </c>
      <c r="AO2010" s="1" t="s">
        <v>240</v>
      </c>
      <c r="AP2010" s="1" t="s">
        <v>241</v>
      </c>
      <c r="AQ2010" s="1" t="s">
        <v>74</v>
      </c>
      <c r="AR2010" s="1" t="s">
        <v>242</v>
      </c>
      <c r="AS2010" s="1" t="s">
        <v>243</v>
      </c>
      <c r="AT2010" s="1" t="s">
        <v>119</v>
      </c>
      <c r="AU2010" s="1">
        <v>2008</v>
      </c>
      <c r="AV2010" s="1">
        <v>56</v>
      </c>
      <c r="AW2010" s="1">
        <v>8</v>
      </c>
      <c r="AX2010" s="1" t="s">
        <v>74</v>
      </c>
      <c r="AY2010" s="1" t="s">
        <v>74</v>
      </c>
      <c r="AZ2010" s="1" t="s">
        <v>74</v>
      </c>
      <c r="BA2010" s="1" t="s">
        <v>74</v>
      </c>
      <c r="BB2010" s="1">
        <v>1486</v>
      </c>
      <c r="BC2010" s="1">
        <v>1491</v>
      </c>
      <c r="BD2010" s="1" t="s">
        <v>74</v>
      </c>
      <c r="BE2010" s="1" t="s">
        <v>32481</v>
      </c>
      <c r="BF2010" s="1" t="str">
        <f>HYPERLINK("http://dx.doi.org/10.1016/j.marpolbul.2008.05.001","http://dx.doi.org/10.1016/j.marpolbul.2008.05.001")</f>
        <v>http://dx.doi.org/10.1016/j.marpolbul.2008.05.001</v>
      </c>
      <c r="BG2010" s="1" t="s">
        <v>74</v>
      </c>
      <c r="BH2010" s="1" t="s">
        <v>74</v>
      </c>
      <c r="BI2010" s="1">
        <v>6</v>
      </c>
      <c r="BJ2010" s="1" t="s">
        <v>247</v>
      </c>
      <c r="BK2010" s="1" t="s">
        <v>96</v>
      </c>
      <c r="BL2010" s="1" t="s">
        <v>248</v>
      </c>
      <c r="BM2010" s="1" t="s">
        <v>32482</v>
      </c>
      <c r="BN2010" s="1">
        <v>18554668</v>
      </c>
      <c r="BO2010" s="1" t="s">
        <v>74</v>
      </c>
      <c r="BP2010" s="1" t="s">
        <v>74</v>
      </c>
      <c r="BQ2010" s="1" t="s">
        <v>74</v>
      </c>
      <c r="BR2010" s="1" t="s">
        <v>98</v>
      </c>
      <c r="BS2010" s="1" t="s">
        <v>32483</v>
      </c>
      <c r="BT2010" s="1" t="str">
        <f>HYPERLINK("https%3A%2F%2Fwww.webofscience.com%2Fwos%2Fwoscc%2Ffull-record%2FWOS:000258964800026","View Full Record in Web of Science")</f>
        <v>View Full Record in Web of Science</v>
      </c>
      <c r="BU2010" s="1"/>
      <c r="BV2010" s="1"/>
    </row>
    <row r="2011" spans="1:74">
      <c r="A2011" s="1" t="s">
        <v>72</v>
      </c>
      <c r="B2011" s="1" t="s">
        <v>32484</v>
      </c>
      <c r="C2011" s="1" t="s">
        <v>74</v>
      </c>
      <c r="D2011" s="1" t="s">
        <v>74</v>
      </c>
      <c r="E2011" s="1" t="s">
        <v>74</v>
      </c>
      <c r="F2011" s="1" t="s">
        <v>32485</v>
      </c>
      <c r="G2011" s="1" t="s">
        <v>74</v>
      </c>
      <c r="H2011" s="1" t="s">
        <v>74</v>
      </c>
      <c r="I2011" s="1" t="s">
        <v>32486</v>
      </c>
      <c r="J2011" s="1" t="s">
        <v>421</v>
      </c>
      <c r="K2011" s="1" t="s">
        <v>74</v>
      </c>
      <c r="L2011" s="1" t="s">
        <v>74</v>
      </c>
      <c r="M2011" s="1" t="s">
        <v>78</v>
      </c>
      <c r="N2011" s="1" t="s">
        <v>79</v>
      </c>
      <c r="O2011" s="1" t="s">
        <v>74</v>
      </c>
      <c r="P2011" s="1" t="s">
        <v>74</v>
      </c>
      <c r="Q2011" s="1" t="s">
        <v>74</v>
      </c>
      <c r="R2011" s="1" t="s">
        <v>74</v>
      </c>
      <c r="S2011" s="1" t="s">
        <v>74</v>
      </c>
      <c r="T2011" s="1" t="s">
        <v>32487</v>
      </c>
      <c r="U2011" s="1" t="s">
        <v>32488</v>
      </c>
      <c r="V2011" s="1" t="s">
        <v>32489</v>
      </c>
      <c r="W2011" s="1" t="s">
        <v>32490</v>
      </c>
      <c r="X2011" s="1" t="s">
        <v>32491</v>
      </c>
      <c r="Y2011" s="1" t="s">
        <v>32492</v>
      </c>
      <c r="Z2011" s="1" t="s">
        <v>32493</v>
      </c>
      <c r="AA2011" s="1" t="s">
        <v>32494</v>
      </c>
      <c r="AB2011" s="1" t="s">
        <v>32495</v>
      </c>
      <c r="AC2011" s="1" t="s">
        <v>32496</v>
      </c>
      <c r="AD2011" s="1" t="s">
        <v>32497</v>
      </c>
      <c r="AE2011" s="1" t="s">
        <v>32498</v>
      </c>
      <c r="AF2011" s="1" t="s">
        <v>74</v>
      </c>
      <c r="AG2011" s="1">
        <v>45</v>
      </c>
      <c r="AH2011" s="1">
        <v>15</v>
      </c>
      <c r="AI2011" s="1">
        <v>19</v>
      </c>
      <c r="AJ2011" s="1">
        <v>2</v>
      </c>
      <c r="AK2011" s="1">
        <v>57</v>
      </c>
      <c r="AL2011" s="1" t="s">
        <v>430</v>
      </c>
      <c r="AM2011" s="1" t="s">
        <v>137</v>
      </c>
      <c r="AN2011" s="1" t="s">
        <v>431</v>
      </c>
      <c r="AO2011" s="1" t="s">
        <v>432</v>
      </c>
      <c r="AP2011" s="1" t="s">
        <v>1394</v>
      </c>
      <c r="AQ2011" s="1" t="s">
        <v>74</v>
      </c>
      <c r="AR2011" s="1" t="s">
        <v>433</v>
      </c>
      <c r="AS2011" s="1" t="s">
        <v>434</v>
      </c>
      <c r="AT2011" s="1" t="s">
        <v>93</v>
      </c>
      <c r="AU2011" s="1">
        <v>2017</v>
      </c>
      <c r="AV2011" s="1">
        <v>223</v>
      </c>
      <c r="AW2011" s="1" t="s">
        <v>74</v>
      </c>
      <c r="AX2011" s="1" t="s">
        <v>74</v>
      </c>
      <c r="AY2011" s="1" t="s">
        <v>74</v>
      </c>
      <c r="AZ2011" s="1" t="s">
        <v>74</v>
      </c>
      <c r="BA2011" s="1" t="s">
        <v>74</v>
      </c>
      <c r="BB2011" s="1">
        <v>31</v>
      </c>
      <c r="BC2011" s="1">
        <v>41</v>
      </c>
      <c r="BD2011" s="1" t="s">
        <v>74</v>
      </c>
      <c r="BE2011" s="1" t="s">
        <v>32499</v>
      </c>
      <c r="BF2011" s="1" t="str">
        <f>HYPERLINK("http://dx.doi.org/10.1016/j.envpol.2016.12.007","http://dx.doi.org/10.1016/j.envpol.2016.12.007")</f>
        <v>http://dx.doi.org/10.1016/j.envpol.2016.12.007</v>
      </c>
      <c r="BG2011" s="1" t="s">
        <v>74</v>
      </c>
      <c r="BH2011" s="1" t="s">
        <v>74</v>
      </c>
      <c r="BI2011" s="1">
        <v>11</v>
      </c>
      <c r="BJ2011" s="1" t="s">
        <v>144</v>
      </c>
      <c r="BK2011" s="1" t="s">
        <v>96</v>
      </c>
      <c r="BL2011" s="1" t="s">
        <v>145</v>
      </c>
      <c r="BM2011" s="1" t="s">
        <v>12537</v>
      </c>
      <c r="BN2011" s="1">
        <v>28161269</v>
      </c>
      <c r="BO2011" s="1" t="s">
        <v>74</v>
      </c>
      <c r="BP2011" s="1" t="s">
        <v>74</v>
      </c>
      <c r="BQ2011" s="1" t="s">
        <v>74</v>
      </c>
      <c r="BR2011" s="1" t="s">
        <v>98</v>
      </c>
      <c r="BS2011" s="1" t="s">
        <v>32500</v>
      </c>
      <c r="BT2011" s="1" t="str">
        <f>HYPERLINK("https%3A%2F%2Fwww.webofscience.com%2Fwos%2Fwoscc%2Ffull-record%2FWOS:000397359500004","View Full Record in Web of Science")</f>
        <v>View Full Record in Web of Science</v>
      </c>
      <c r="BU2011" s="1"/>
      <c r="BV2011" s="1"/>
    </row>
    <row r="2012" spans="1:74">
      <c r="A2012" s="1" t="s">
        <v>72</v>
      </c>
      <c r="B2012" s="1" t="s">
        <v>32501</v>
      </c>
      <c r="C2012" s="1" t="s">
        <v>74</v>
      </c>
      <c r="D2012" s="1" t="s">
        <v>74</v>
      </c>
      <c r="E2012" s="1" t="s">
        <v>74</v>
      </c>
      <c r="F2012" s="1" t="s">
        <v>32502</v>
      </c>
      <c r="G2012" s="1" t="s">
        <v>74</v>
      </c>
      <c r="H2012" s="1" t="s">
        <v>74</v>
      </c>
      <c r="I2012" s="1" t="s">
        <v>32503</v>
      </c>
      <c r="J2012" s="1" t="s">
        <v>641</v>
      </c>
      <c r="K2012" s="1" t="s">
        <v>74</v>
      </c>
      <c r="L2012" s="1" t="s">
        <v>74</v>
      </c>
      <c r="M2012" s="1" t="s">
        <v>78</v>
      </c>
      <c r="N2012" s="1" t="s">
        <v>79</v>
      </c>
      <c r="O2012" s="1" t="s">
        <v>74</v>
      </c>
      <c r="P2012" s="1" t="s">
        <v>74</v>
      </c>
      <c r="Q2012" s="1" t="s">
        <v>74</v>
      </c>
      <c r="R2012" s="1" t="s">
        <v>74</v>
      </c>
      <c r="S2012" s="1" t="s">
        <v>74</v>
      </c>
      <c r="T2012" s="1" t="s">
        <v>32504</v>
      </c>
      <c r="U2012" s="1" t="s">
        <v>32505</v>
      </c>
      <c r="V2012" s="1" t="s">
        <v>32506</v>
      </c>
      <c r="W2012" s="1" t="s">
        <v>32507</v>
      </c>
      <c r="X2012" s="1" t="s">
        <v>32508</v>
      </c>
      <c r="Y2012" s="1" t="s">
        <v>32509</v>
      </c>
      <c r="Z2012" s="1" t="s">
        <v>74</v>
      </c>
      <c r="AA2012" s="1" t="s">
        <v>32510</v>
      </c>
      <c r="AB2012" s="1" t="s">
        <v>32511</v>
      </c>
      <c r="AC2012" s="1" t="s">
        <v>74</v>
      </c>
      <c r="AD2012" s="1" t="s">
        <v>74</v>
      </c>
      <c r="AE2012" s="1" t="s">
        <v>74</v>
      </c>
      <c r="AF2012" s="1" t="s">
        <v>74</v>
      </c>
      <c r="AG2012" s="1">
        <v>94</v>
      </c>
      <c r="AH2012" s="1">
        <v>68</v>
      </c>
      <c r="AI2012" s="1">
        <v>70</v>
      </c>
      <c r="AJ2012" s="1">
        <v>3</v>
      </c>
      <c r="AK2012" s="1">
        <v>45</v>
      </c>
      <c r="AL2012" s="1" t="s">
        <v>919</v>
      </c>
      <c r="AM2012" s="1" t="s">
        <v>651</v>
      </c>
      <c r="AN2012" s="1" t="s">
        <v>920</v>
      </c>
      <c r="AO2012" s="1" t="s">
        <v>653</v>
      </c>
      <c r="AP2012" s="1" t="s">
        <v>654</v>
      </c>
      <c r="AQ2012" s="1" t="s">
        <v>74</v>
      </c>
      <c r="AR2012" s="1" t="s">
        <v>655</v>
      </c>
      <c r="AS2012" s="1" t="s">
        <v>656</v>
      </c>
      <c r="AT2012" s="1" t="s">
        <v>1470</v>
      </c>
      <c r="AU2012" s="1">
        <v>2018</v>
      </c>
      <c r="AV2012" s="1">
        <v>194</v>
      </c>
      <c r="AW2012" s="1" t="s">
        <v>74</v>
      </c>
      <c r="AX2012" s="1" t="s">
        <v>74</v>
      </c>
      <c r="AY2012" s="1" t="s">
        <v>74</v>
      </c>
      <c r="AZ2012" s="1" t="s">
        <v>74</v>
      </c>
      <c r="BA2012" s="1" t="s">
        <v>74</v>
      </c>
      <c r="BB2012" s="1">
        <v>195</v>
      </c>
      <c r="BC2012" s="1">
        <v>207</v>
      </c>
      <c r="BD2012" s="1" t="s">
        <v>74</v>
      </c>
      <c r="BE2012" s="1" t="s">
        <v>32512</v>
      </c>
      <c r="BF2012" s="1" t="str">
        <f>HYPERLINK("http://dx.doi.org/10.1016/j.aquatox.2017.11.019","http://dx.doi.org/10.1016/j.aquatox.2017.11.019")</f>
        <v>http://dx.doi.org/10.1016/j.aquatox.2017.11.019</v>
      </c>
      <c r="BG2012" s="1" t="s">
        <v>74</v>
      </c>
      <c r="BH2012" s="1" t="s">
        <v>74</v>
      </c>
      <c r="BI2012" s="1">
        <v>13</v>
      </c>
      <c r="BJ2012" s="1" t="s">
        <v>659</v>
      </c>
      <c r="BK2012" s="1" t="s">
        <v>96</v>
      </c>
      <c r="BL2012" s="1" t="s">
        <v>659</v>
      </c>
      <c r="BM2012" s="1" t="s">
        <v>32513</v>
      </c>
      <c r="BN2012" s="1">
        <v>29202271</v>
      </c>
      <c r="BO2012" s="1" t="s">
        <v>74</v>
      </c>
      <c r="BP2012" s="1" t="s">
        <v>74</v>
      </c>
      <c r="BQ2012" s="1" t="s">
        <v>74</v>
      </c>
      <c r="BR2012" s="1" t="s">
        <v>98</v>
      </c>
      <c r="BS2012" s="1" t="s">
        <v>32514</v>
      </c>
      <c r="BT2012" s="1" t="str">
        <f>HYPERLINK("https%3A%2F%2Fwww.webofscience.com%2Fwos%2Fwoscc%2Ffull-record%2FWOS:000423644200022","View Full Record in Web of Science")</f>
        <v>View Full Record in Web of Science</v>
      </c>
      <c r="BU2012" s="1"/>
      <c r="BV2012" s="1"/>
    </row>
    <row r="2013" spans="1:74">
      <c r="A2013" s="1" t="s">
        <v>72</v>
      </c>
      <c r="B2013" s="1" t="s">
        <v>32515</v>
      </c>
      <c r="C2013" s="1" t="s">
        <v>74</v>
      </c>
      <c r="D2013" s="1" t="s">
        <v>74</v>
      </c>
      <c r="E2013" s="1" t="s">
        <v>74</v>
      </c>
      <c r="F2013" s="1" t="s">
        <v>32516</v>
      </c>
      <c r="G2013" s="1" t="s">
        <v>74</v>
      </c>
      <c r="H2013" s="1" t="s">
        <v>74</v>
      </c>
      <c r="I2013" s="1" t="s">
        <v>32517</v>
      </c>
      <c r="J2013" s="1" t="s">
        <v>32518</v>
      </c>
      <c r="K2013" s="1" t="s">
        <v>74</v>
      </c>
      <c r="L2013" s="1" t="s">
        <v>74</v>
      </c>
      <c r="M2013" s="1" t="s">
        <v>78</v>
      </c>
      <c r="N2013" s="1" t="s">
        <v>79</v>
      </c>
      <c r="O2013" s="1" t="s">
        <v>74</v>
      </c>
      <c r="P2013" s="1" t="s">
        <v>74</v>
      </c>
      <c r="Q2013" s="1" t="s">
        <v>74</v>
      </c>
      <c r="R2013" s="1" t="s">
        <v>74</v>
      </c>
      <c r="S2013" s="1" t="s">
        <v>74</v>
      </c>
      <c r="T2013" s="1" t="s">
        <v>32519</v>
      </c>
      <c r="U2013" s="1" t="s">
        <v>32520</v>
      </c>
      <c r="V2013" s="1" t="s">
        <v>32521</v>
      </c>
      <c r="W2013" s="1" t="s">
        <v>32522</v>
      </c>
      <c r="X2013" s="1" t="s">
        <v>32523</v>
      </c>
      <c r="Y2013" s="1" t="s">
        <v>32524</v>
      </c>
      <c r="Z2013" s="1" t="s">
        <v>32525</v>
      </c>
      <c r="AA2013" s="1" t="s">
        <v>32526</v>
      </c>
      <c r="AB2013" s="1" t="s">
        <v>32527</v>
      </c>
      <c r="AC2013" s="1" t="s">
        <v>32528</v>
      </c>
      <c r="AD2013" s="1" t="s">
        <v>32529</v>
      </c>
      <c r="AE2013" s="1" t="s">
        <v>32530</v>
      </c>
      <c r="AF2013" s="1" t="s">
        <v>74</v>
      </c>
      <c r="AG2013" s="1">
        <v>30</v>
      </c>
      <c r="AH2013" s="1">
        <v>11</v>
      </c>
      <c r="AI2013" s="1">
        <v>11</v>
      </c>
      <c r="AJ2013" s="1">
        <v>1</v>
      </c>
      <c r="AK2013" s="1">
        <v>51</v>
      </c>
      <c r="AL2013" s="1" t="s">
        <v>32531</v>
      </c>
      <c r="AM2013" s="1" t="s">
        <v>32532</v>
      </c>
      <c r="AN2013" s="1" t="s">
        <v>32533</v>
      </c>
      <c r="AO2013" s="1" t="s">
        <v>32534</v>
      </c>
      <c r="AP2013" s="1" t="s">
        <v>32535</v>
      </c>
      <c r="AQ2013" s="1" t="s">
        <v>74</v>
      </c>
      <c r="AR2013" s="1" t="s">
        <v>32536</v>
      </c>
      <c r="AS2013" s="1" t="s">
        <v>32537</v>
      </c>
      <c r="AT2013" s="1" t="s">
        <v>1223</v>
      </c>
      <c r="AU2013" s="1">
        <v>2016</v>
      </c>
      <c r="AV2013" s="1">
        <v>51</v>
      </c>
      <c r="AW2013" s="1">
        <v>2</v>
      </c>
      <c r="AX2013" s="1" t="s">
        <v>74</v>
      </c>
      <c r="AY2013" s="1" t="s">
        <v>74</v>
      </c>
      <c r="AZ2013" s="1" t="s">
        <v>74</v>
      </c>
      <c r="BA2013" s="1" t="s">
        <v>74</v>
      </c>
      <c r="BB2013" s="1">
        <v>169</v>
      </c>
      <c r="BC2013" s="1">
        <v>182</v>
      </c>
      <c r="BD2013" s="1" t="s">
        <v>74</v>
      </c>
      <c r="BE2013" s="1" t="s">
        <v>32538</v>
      </c>
      <c r="BF2013" s="1" t="str">
        <f>HYPERLINK("http://dx.doi.org/10.1007/s12601-016-0015-y","http://dx.doi.org/10.1007/s12601-016-0015-y")</f>
        <v>http://dx.doi.org/10.1007/s12601-016-0015-y</v>
      </c>
      <c r="BG2013" s="1" t="s">
        <v>74</v>
      </c>
      <c r="BH2013" s="1" t="s">
        <v>74</v>
      </c>
      <c r="BI2013" s="1">
        <v>14</v>
      </c>
      <c r="BJ2013" s="1" t="s">
        <v>4241</v>
      </c>
      <c r="BK2013" s="1" t="s">
        <v>96</v>
      </c>
      <c r="BL2013" s="1" t="s">
        <v>4241</v>
      </c>
      <c r="BM2013" s="1" t="s">
        <v>32539</v>
      </c>
      <c r="BN2013" s="1" t="s">
        <v>74</v>
      </c>
      <c r="BO2013" s="1" t="s">
        <v>74</v>
      </c>
      <c r="BP2013" s="1" t="s">
        <v>74</v>
      </c>
      <c r="BQ2013" s="1" t="s">
        <v>74</v>
      </c>
      <c r="BR2013" s="1" t="s">
        <v>98</v>
      </c>
      <c r="BS2013" s="1" t="s">
        <v>32540</v>
      </c>
      <c r="BT2013" s="1" t="str">
        <f>HYPERLINK("https%3A%2F%2Fwww.webofscience.com%2Fwos%2Fwoscc%2Ffull-record%2FWOS:000378275200002","View Full Record in Web of Science")</f>
        <v>View Full Record in Web of Science</v>
      </c>
      <c r="BU2013" s="1"/>
      <c r="BV2013" s="1"/>
    </row>
    <row r="2014" spans="1:74">
      <c r="A2014" s="1" t="s">
        <v>72</v>
      </c>
      <c r="B2014" s="1" t="s">
        <v>32541</v>
      </c>
      <c r="C2014" s="1" t="s">
        <v>74</v>
      </c>
      <c r="D2014" s="1" t="s">
        <v>74</v>
      </c>
      <c r="E2014" s="1" t="s">
        <v>74</v>
      </c>
      <c r="F2014" s="1" t="s">
        <v>32542</v>
      </c>
      <c r="G2014" s="1" t="s">
        <v>74</v>
      </c>
      <c r="H2014" s="1" t="s">
        <v>74</v>
      </c>
      <c r="I2014" s="1" t="s">
        <v>32543</v>
      </c>
      <c r="J2014" s="1" t="s">
        <v>909</v>
      </c>
      <c r="K2014" s="1" t="s">
        <v>74</v>
      </c>
      <c r="L2014" s="1" t="s">
        <v>74</v>
      </c>
      <c r="M2014" s="1" t="s">
        <v>78</v>
      </c>
      <c r="N2014" s="1" t="s">
        <v>79</v>
      </c>
      <c r="O2014" s="1" t="s">
        <v>74</v>
      </c>
      <c r="P2014" s="1" t="s">
        <v>74</v>
      </c>
      <c r="Q2014" s="1" t="s">
        <v>74</v>
      </c>
      <c r="R2014" s="1" t="s">
        <v>74</v>
      </c>
      <c r="S2014" s="1" t="s">
        <v>74</v>
      </c>
      <c r="T2014" s="1" t="s">
        <v>32544</v>
      </c>
      <c r="U2014" s="1" t="s">
        <v>32545</v>
      </c>
      <c r="V2014" s="1" t="s">
        <v>32546</v>
      </c>
      <c r="W2014" s="1" t="s">
        <v>32547</v>
      </c>
      <c r="X2014" s="1" t="s">
        <v>32548</v>
      </c>
      <c r="Y2014" s="1" t="s">
        <v>32549</v>
      </c>
      <c r="Z2014" s="1" t="s">
        <v>32550</v>
      </c>
      <c r="AA2014" s="1" t="s">
        <v>32551</v>
      </c>
      <c r="AB2014" s="1" t="s">
        <v>32552</v>
      </c>
      <c r="AC2014" s="1" t="s">
        <v>32553</v>
      </c>
      <c r="AD2014" s="1" t="s">
        <v>32553</v>
      </c>
      <c r="AE2014" s="1" t="s">
        <v>32554</v>
      </c>
      <c r="AF2014" s="1" t="s">
        <v>74</v>
      </c>
      <c r="AG2014" s="1">
        <v>103</v>
      </c>
      <c r="AH2014" s="1">
        <v>13</v>
      </c>
      <c r="AI2014" s="1">
        <v>14</v>
      </c>
      <c r="AJ2014" s="1">
        <v>0</v>
      </c>
      <c r="AK2014" s="1">
        <v>32</v>
      </c>
      <c r="AL2014" s="1" t="s">
        <v>650</v>
      </c>
      <c r="AM2014" s="1" t="s">
        <v>651</v>
      </c>
      <c r="AN2014" s="1" t="s">
        <v>652</v>
      </c>
      <c r="AO2014" s="1" t="s">
        <v>921</v>
      </c>
      <c r="AP2014" s="1" t="s">
        <v>922</v>
      </c>
      <c r="AQ2014" s="1" t="s">
        <v>74</v>
      </c>
      <c r="AR2014" s="1" t="s">
        <v>923</v>
      </c>
      <c r="AS2014" s="1" t="s">
        <v>924</v>
      </c>
      <c r="AT2014" s="1" t="s">
        <v>2303</v>
      </c>
      <c r="AU2014" s="1">
        <v>2018</v>
      </c>
      <c r="AV2014" s="1">
        <v>643</v>
      </c>
      <c r="AW2014" s="1" t="s">
        <v>74</v>
      </c>
      <c r="AX2014" s="1" t="s">
        <v>74</v>
      </c>
      <c r="AY2014" s="1" t="s">
        <v>74</v>
      </c>
      <c r="AZ2014" s="1" t="s">
        <v>74</v>
      </c>
      <c r="BA2014" s="1" t="s">
        <v>74</v>
      </c>
      <c r="BB2014" s="1">
        <v>579</v>
      </c>
      <c r="BC2014" s="1">
        <v>591</v>
      </c>
      <c r="BD2014" s="1" t="s">
        <v>74</v>
      </c>
      <c r="BE2014" s="1" t="s">
        <v>32555</v>
      </c>
      <c r="BF2014" s="1" t="str">
        <f>HYPERLINK("http://dx.doi.org/10.1016/j.scitotenv.2018.06.057","http://dx.doi.org/10.1016/j.scitotenv.2018.06.057")</f>
        <v>http://dx.doi.org/10.1016/j.scitotenv.2018.06.057</v>
      </c>
      <c r="BG2014" s="1" t="s">
        <v>74</v>
      </c>
      <c r="BH2014" s="1" t="s">
        <v>74</v>
      </c>
      <c r="BI2014" s="1">
        <v>13</v>
      </c>
      <c r="BJ2014" s="1" t="s">
        <v>144</v>
      </c>
      <c r="BK2014" s="1" t="s">
        <v>96</v>
      </c>
      <c r="BL2014" s="1" t="s">
        <v>145</v>
      </c>
      <c r="BM2014" s="1" t="s">
        <v>32556</v>
      </c>
      <c r="BN2014" s="1">
        <v>29957426</v>
      </c>
      <c r="BO2014" s="1" t="s">
        <v>74</v>
      </c>
      <c r="BP2014" s="1" t="s">
        <v>74</v>
      </c>
      <c r="BQ2014" s="1" t="s">
        <v>74</v>
      </c>
      <c r="BR2014" s="1" t="s">
        <v>98</v>
      </c>
      <c r="BS2014" s="1" t="s">
        <v>32557</v>
      </c>
      <c r="BT2014" s="1" t="str">
        <f>HYPERLINK("https%3A%2F%2Fwww.webofscience.com%2Fwos%2Fwoscc%2Ffull-record%2FWOS:000444625900055","View Full Record in Web of Science")</f>
        <v>View Full Record in Web of Science</v>
      </c>
      <c r="BU2014" s="1"/>
      <c r="BV2014" s="1"/>
    </row>
    <row r="2015" spans="1:74">
      <c r="A2015" s="1" t="s">
        <v>72</v>
      </c>
      <c r="B2015" s="1" t="s">
        <v>32558</v>
      </c>
      <c r="C2015" s="1" t="s">
        <v>74</v>
      </c>
      <c r="D2015" s="1" t="s">
        <v>74</v>
      </c>
      <c r="E2015" s="1" t="s">
        <v>74</v>
      </c>
      <c r="F2015" s="1" t="s">
        <v>32558</v>
      </c>
      <c r="G2015" s="1" t="s">
        <v>74</v>
      </c>
      <c r="H2015" s="1" t="s">
        <v>74</v>
      </c>
      <c r="I2015" s="1" t="s">
        <v>32559</v>
      </c>
      <c r="J2015" s="1" t="s">
        <v>421</v>
      </c>
      <c r="K2015" s="1" t="s">
        <v>74</v>
      </c>
      <c r="L2015" s="1" t="s">
        <v>74</v>
      </c>
      <c r="M2015" s="1" t="s">
        <v>78</v>
      </c>
      <c r="N2015" s="1" t="s">
        <v>79</v>
      </c>
      <c r="O2015" s="1" t="s">
        <v>74</v>
      </c>
      <c r="P2015" s="1" t="s">
        <v>74</v>
      </c>
      <c r="Q2015" s="1" t="s">
        <v>74</v>
      </c>
      <c r="R2015" s="1" t="s">
        <v>74</v>
      </c>
      <c r="S2015" s="1" t="s">
        <v>74</v>
      </c>
      <c r="T2015" s="1" t="s">
        <v>32560</v>
      </c>
      <c r="U2015" s="1" t="s">
        <v>32561</v>
      </c>
      <c r="V2015" s="1" t="s">
        <v>32562</v>
      </c>
      <c r="W2015" s="1" t="s">
        <v>32563</v>
      </c>
      <c r="X2015" s="1" t="s">
        <v>32564</v>
      </c>
      <c r="Y2015" s="1" t="s">
        <v>32565</v>
      </c>
      <c r="Z2015" s="1" t="s">
        <v>32566</v>
      </c>
      <c r="AA2015" s="1" t="s">
        <v>32567</v>
      </c>
      <c r="AB2015" s="1" t="s">
        <v>32568</v>
      </c>
      <c r="AC2015" s="1" t="s">
        <v>74</v>
      </c>
      <c r="AD2015" s="1" t="s">
        <v>74</v>
      </c>
      <c r="AE2015" s="1" t="s">
        <v>74</v>
      </c>
      <c r="AF2015" s="1" t="s">
        <v>74</v>
      </c>
      <c r="AG2015" s="1">
        <v>40</v>
      </c>
      <c r="AH2015" s="1">
        <v>86</v>
      </c>
      <c r="AI2015" s="1">
        <v>101</v>
      </c>
      <c r="AJ2015" s="1">
        <v>0</v>
      </c>
      <c r="AK2015" s="1">
        <v>26</v>
      </c>
      <c r="AL2015" s="1" t="s">
        <v>430</v>
      </c>
      <c r="AM2015" s="1" t="s">
        <v>137</v>
      </c>
      <c r="AN2015" s="1" t="s">
        <v>431</v>
      </c>
      <c r="AO2015" s="1" t="s">
        <v>432</v>
      </c>
      <c r="AP2015" s="1" t="s">
        <v>1394</v>
      </c>
      <c r="AQ2015" s="1" t="s">
        <v>74</v>
      </c>
      <c r="AR2015" s="1" t="s">
        <v>433</v>
      </c>
      <c r="AS2015" s="1" t="s">
        <v>434</v>
      </c>
      <c r="AT2015" s="1" t="s">
        <v>142</v>
      </c>
      <c r="AU2015" s="1">
        <v>2004</v>
      </c>
      <c r="AV2015" s="1">
        <v>129</v>
      </c>
      <c r="AW2015" s="1">
        <v>3</v>
      </c>
      <c r="AX2015" s="1" t="s">
        <v>74</v>
      </c>
      <c r="AY2015" s="1" t="s">
        <v>74</v>
      </c>
      <c r="AZ2015" s="1" t="s">
        <v>74</v>
      </c>
      <c r="BA2015" s="1" t="s">
        <v>74</v>
      </c>
      <c r="BB2015" s="1">
        <v>421</v>
      </c>
      <c r="BC2015" s="1">
        <v>429</v>
      </c>
      <c r="BD2015" s="1" t="s">
        <v>74</v>
      </c>
      <c r="BE2015" s="1" t="s">
        <v>32569</v>
      </c>
      <c r="BF2015" s="1" t="str">
        <f>HYPERLINK("http://dx.doi.org/10.1016/j.envpol.2003.11.011","http://dx.doi.org/10.1016/j.envpol.2003.11.011")</f>
        <v>http://dx.doi.org/10.1016/j.envpol.2003.11.011</v>
      </c>
      <c r="BG2015" s="1" t="s">
        <v>74</v>
      </c>
      <c r="BH2015" s="1" t="s">
        <v>74</v>
      </c>
      <c r="BI2015" s="1">
        <v>9</v>
      </c>
      <c r="BJ2015" s="1" t="s">
        <v>144</v>
      </c>
      <c r="BK2015" s="1" t="s">
        <v>96</v>
      </c>
      <c r="BL2015" s="1" t="s">
        <v>145</v>
      </c>
      <c r="BM2015" s="1" t="s">
        <v>32570</v>
      </c>
      <c r="BN2015" s="1">
        <v>15016463</v>
      </c>
      <c r="BO2015" s="1" t="s">
        <v>74</v>
      </c>
      <c r="BP2015" s="1" t="s">
        <v>74</v>
      </c>
      <c r="BQ2015" s="1" t="s">
        <v>74</v>
      </c>
      <c r="BR2015" s="1" t="s">
        <v>98</v>
      </c>
      <c r="BS2015" s="1" t="s">
        <v>32571</v>
      </c>
      <c r="BT2015" s="1" t="str">
        <f>HYPERLINK("https%3A%2F%2Fwww.webofscience.com%2Fwos%2Fwoscc%2Ffull-record%2FWOS:000221587400009","View Full Record in Web of Science")</f>
        <v>View Full Record in Web of Science</v>
      </c>
      <c r="BU2015" s="1"/>
      <c r="BV2015" s="1"/>
    </row>
    <row r="2016" spans="1:74">
      <c r="A2016" s="1" t="s">
        <v>72</v>
      </c>
      <c r="B2016" s="1" t="s">
        <v>32572</v>
      </c>
      <c r="C2016" s="1" t="s">
        <v>74</v>
      </c>
      <c r="D2016" s="1" t="s">
        <v>74</v>
      </c>
      <c r="E2016" s="1" t="s">
        <v>74</v>
      </c>
      <c r="F2016" s="1" t="s">
        <v>32572</v>
      </c>
      <c r="G2016" s="1" t="s">
        <v>74</v>
      </c>
      <c r="H2016" s="1" t="s">
        <v>74</v>
      </c>
      <c r="I2016" s="1" t="s">
        <v>32573</v>
      </c>
      <c r="J2016" s="1" t="s">
        <v>421</v>
      </c>
      <c r="K2016" s="1" t="s">
        <v>74</v>
      </c>
      <c r="L2016" s="1" t="s">
        <v>74</v>
      </c>
      <c r="M2016" s="1" t="s">
        <v>78</v>
      </c>
      <c r="N2016" s="1" t="s">
        <v>79</v>
      </c>
      <c r="O2016" s="1" t="s">
        <v>74</v>
      </c>
      <c r="P2016" s="1" t="s">
        <v>74</v>
      </c>
      <c r="Q2016" s="1" t="s">
        <v>74</v>
      </c>
      <c r="R2016" s="1" t="s">
        <v>74</v>
      </c>
      <c r="S2016" s="1" t="s">
        <v>74</v>
      </c>
      <c r="T2016" s="1" t="s">
        <v>32574</v>
      </c>
      <c r="U2016" s="1" t="s">
        <v>32575</v>
      </c>
      <c r="V2016" s="1" t="s">
        <v>32576</v>
      </c>
      <c r="W2016" s="1" t="s">
        <v>32577</v>
      </c>
      <c r="X2016" s="1" t="s">
        <v>32578</v>
      </c>
      <c r="Y2016" s="1" t="s">
        <v>32579</v>
      </c>
      <c r="Z2016" s="1" t="s">
        <v>74</v>
      </c>
      <c r="AA2016" s="1" t="s">
        <v>2334</v>
      </c>
      <c r="AB2016" s="1" t="s">
        <v>32580</v>
      </c>
      <c r="AC2016" s="1" t="s">
        <v>74</v>
      </c>
      <c r="AD2016" s="1" t="s">
        <v>74</v>
      </c>
      <c r="AE2016" s="1" t="s">
        <v>74</v>
      </c>
      <c r="AF2016" s="1" t="s">
        <v>74</v>
      </c>
      <c r="AG2016" s="1">
        <v>32</v>
      </c>
      <c r="AH2016" s="1">
        <v>37</v>
      </c>
      <c r="AI2016" s="1">
        <v>42</v>
      </c>
      <c r="AJ2016" s="1">
        <v>0</v>
      </c>
      <c r="AK2016" s="1">
        <v>24</v>
      </c>
      <c r="AL2016" s="1" t="s">
        <v>430</v>
      </c>
      <c r="AM2016" s="1" t="s">
        <v>137</v>
      </c>
      <c r="AN2016" s="1" t="s">
        <v>431</v>
      </c>
      <c r="AO2016" s="1" t="s">
        <v>432</v>
      </c>
      <c r="AP2016" s="1" t="s">
        <v>74</v>
      </c>
      <c r="AQ2016" s="1" t="s">
        <v>74</v>
      </c>
      <c r="AR2016" s="1" t="s">
        <v>433</v>
      </c>
      <c r="AS2016" s="1" t="s">
        <v>434</v>
      </c>
      <c r="AT2016" s="1" t="s">
        <v>74</v>
      </c>
      <c r="AU2016" s="1">
        <v>2003</v>
      </c>
      <c r="AV2016" s="1">
        <v>122</v>
      </c>
      <c r="AW2016" s="1">
        <v>3</v>
      </c>
      <c r="AX2016" s="1" t="s">
        <v>74</v>
      </c>
      <c r="AY2016" s="1" t="s">
        <v>74</v>
      </c>
      <c r="AZ2016" s="1" t="s">
        <v>74</v>
      </c>
      <c r="BA2016" s="1" t="s">
        <v>74</v>
      </c>
      <c r="BB2016" s="1">
        <v>401</v>
      </c>
      <c r="BC2016" s="1">
        <v>405</v>
      </c>
      <c r="BD2016" s="1" t="s">
        <v>32581</v>
      </c>
      <c r="BE2016" s="1" t="s">
        <v>32582</v>
      </c>
      <c r="BF2016" s="1" t="str">
        <f>HYPERLINK("http://dx.doi.org/10.1016/S0269-7491(02)00306-8","http://dx.doi.org/10.1016/S0269-7491(02)00306-8")</f>
        <v>http://dx.doi.org/10.1016/S0269-7491(02)00306-8</v>
      </c>
      <c r="BG2016" s="1" t="s">
        <v>74</v>
      </c>
      <c r="BH2016" s="1" t="s">
        <v>74</v>
      </c>
      <c r="BI2016" s="1">
        <v>5</v>
      </c>
      <c r="BJ2016" s="1" t="s">
        <v>144</v>
      </c>
      <c r="BK2016" s="1" t="s">
        <v>96</v>
      </c>
      <c r="BL2016" s="1" t="s">
        <v>145</v>
      </c>
      <c r="BM2016" s="1" t="s">
        <v>19130</v>
      </c>
      <c r="BN2016" s="1">
        <v>12547529</v>
      </c>
      <c r="BO2016" s="1" t="s">
        <v>74</v>
      </c>
      <c r="BP2016" s="1" t="s">
        <v>74</v>
      </c>
      <c r="BQ2016" s="1" t="s">
        <v>74</v>
      </c>
      <c r="BR2016" s="1" t="s">
        <v>98</v>
      </c>
      <c r="BS2016" s="1" t="s">
        <v>32583</v>
      </c>
      <c r="BT2016" s="1" t="str">
        <f>HYPERLINK("https%3A%2F%2Fwww.webofscience.com%2Fwos%2Fwoscc%2Ffull-record%2FWOS:000181539500009","View Full Record in Web of Science")</f>
        <v>View Full Record in Web of Science</v>
      </c>
      <c r="BU2016" s="1"/>
      <c r="BV2016" s="1"/>
    </row>
    <row r="2017" spans="1:74">
      <c r="A2017" s="1" t="s">
        <v>72</v>
      </c>
      <c r="B2017" s="1" t="s">
        <v>32584</v>
      </c>
      <c r="C2017" s="1" t="s">
        <v>74</v>
      </c>
      <c r="D2017" s="1" t="s">
        <v>74</v>
      </c>
      <c r="E2017" s="1" t="s">
        <v>74</v>
      </c>
      <c r="F2017" s="1" t="s">
        <v>32585</v>
      </c>
      <c r="G2017" s="1" t="s">
        <v>74</v>
      </c>
      <c r="H2017" s="1" t="s">
        <v>74</v>
      </c>
      <c r="I2017" s="1" t="s">
        <v>32586</v>
      </c>
      <c r="J2017" s="1" t="s">
        <v>1275</v>
      </c>
      <c r="K2017" s="1" t="s">
        <v>74</v>
      </c>
      <c r="L2017" s="1" t="s">
        <v>74</v>
      </c>
      <c r="M2017" s="1" t="s">
        <v>78</v>
      </c>
      <c r="N2017" s="1" t="s">
        <v>79</v>
      </c>
      <c r="O2017" s="1" t="s">
        <v>74</v>
      </c>
      <c r="P2017" s="1" t="s">
        <v>74</v>
      </c>
      <c r="Q2017" s="1" t="s">
        <v>74</v>
      </c>
      <c r="R2017" s="1" t="s">
        <v>74</v>
      </c>
      <c r="S2017" s="1" t="s">
        <v>74</v>
      </c>
      <c r="T2017" s="1" t="s">
        <v>32587</v>
      </c>
      <c r="U2017" s="1" t="s">
        <v>32588</v>
      </c>
      <c r="V2017" s="1" t="s">
        <v>32589</v>
      </c>
      <c r="W2017" s="1" t="s">
        <v>32590</v>
      </c>
      <c r="X2017" s="1" t="s">
        <v>32591</v>
      </c>
      <c r="Y2017" s="1" t="s">
        <v>32592</v>
      </c>
      <c r="Z2017" s="1" t="s">
        <v>32593</v>
      </c>
      <c r="AA2017" s="1" t="s">
        <v>32594</v>
      </c>
      <c r="AB2017" s="1" t="s">
        <v>32595</v>
      </c>
      <c r="AC2017" s="1" t="s">
        <v>32596</v>
      </c>
      <c r="AD2017" s="1" t="s">
        <v>32596</v>
      </c>
      <c r="AE2017" s="1" t="s">
        <v>32597</v>
      </c>
      <c r="AF2017" s="1" t="s">
        <v>74</v>
      </c>
      <c r="AG2017" s="1">
        <v>98</v>
      </c>
      <c r="AH2017" s="1">
        <v>14</v>
      </c>
      <c r="AI2017" s="1">
        <v>14</v>
      </c>
      <c r="AJ2017" s="1">
        <v>0</v>
      </c>
      <c r="AK2017" s="1">
        <v>15</v>
      </c>
      <c r="AL2017" s="1" t="s">
        <v>650</v>
      </c>
      <c r="AM2017" s="1" t="s">
        <v>651</v>
      </c>
      <c r="AN2017" s="1" t="s">
        <v>652</v>
      </c>
      <c r="AO2017" s="1" t="s">
        <v>1287</v>
      </c>
      <c r="AP2017" s="1" t="s">
        <v>74</v>
      </c>
      <c r="AQ2017" s="1" t="s">
        <v>74</v>
      </c>
      <c r="AR2017" s="1" t="s">
        <v>1288</v>
      </c>
      <c r="AS2017" s="1" t="s">
        <v>1289</v>
      </c>
      <c r="AT2017" s="1" t="s">
        <v>305</v>
      </c>
      <c r="AU2017" s="1">
        <v>2020</v>
      </c>
      <c r="AV2017" s="1">
        <v>39</v>
      </c>
      <c r="AW2017" s="1" t="s">
        <v>74</v>
      </c>
      <c r="AX2017" s="1" t="s">
        <v>74</v>
      </c>
      <c r="AY2017" s="1" t="s">
        <v>74</v>
      </c>
      <c r="AZ2017" s="1" t="s">
        <v>74</v>
      </c>
      <c r="BA2017" s="1" t="s">
        <v>74</v>
      </c>
      <c r="BB2017" s="1" t="s">
        <v>74</v>
      </c>
      <c r="BC2017" s="1" t="s">
        <v>74</v>
      </c>
      <c r="BD2017" s="1">
        <v>101478</v>
      </c>
      <c r="BE2017" s="1" t="s">
        <v>32598</v>
      </c>
      <c r="BF2017" s="1" t="str">
        <f>HYPERLINK("http://dx.doi.org/10.1016/j.rsma.2020.101478","http://dx.doi.org/10.1016/j.rsma.2020.101478")</f>
        <v>http://dx.doi.org/10.1016/j.rsma.2020.101478</v>
      </c>
      <c r="BG2017" s="1" t="s">
        <v>74</v>
      </c>
      <c r="BH2017" s="1" t="s">
        <v>74</v>
      </c>
      <c r="BI2017" s="1">
        <v>15</v>
      </c>
      <c r="BJ2017" s="1" t="s">
        <v>1292</v>
      </c>
      <c r="BK2017" s="1" t="s">
        <v>96</v>
      </c>
      <c r="BL2017" s="1" t="s">
        <v>248</v>
      </c>
      <c r="BM2017" s="1" t="s">
        <v>32599</v>
      </c>
      <c r="BN2017" s="1" t="s">
        <v>74</v>
      </c>
      <c r="BO2017" s="1" t="s">
        <v>18961</v>
      </c>
      <c r="BP2017" s="1" t="s">
        <v>74</v>
      </c>
      <c r="BQ2017" s="1" t="s">
        <v>74</v>
      </c>
      <c r="BR2017" s="1" t="s">
        <v>98</v>
      </c>
      <c r="BS2017" s="1" t="s">
        <v>32600</v>
      </c>
      <c r="BT2017" s="1" t="str">
        <f>HYPERLINK("https%3A%2F%2Fwww.webofscience.com%2Fwos%2Fwoscc%2Ffull-record%2FWOS:000579792200010","View Full Record in Web of Science")</f>
        <v>View Full Record in Web of Science</v>
      </c>
      <c r="BU2017" s="1"/>
      <c r="BV2017" s="1"/>
    </row>
    <row r="2018" spans="1:74">
      <c r="A2018" s="1" t="s">
        <v>72</v>
      </c>
      <c r="B2018" s="1" t="s">
        <v>32601</v>
      </c>
      <c r="C2018" s="1" t="s">
        <v>74</v>
      </c>
      <c r="D2018" s="1" t="s">
        <v>74</v>
      </c>
      <c r="E2018" s="1" t="s">
        <v>74</v>
      </c>
      <c r="F2018" s="1" t="s">
        <v>32602</v>
      </c>
      <c r="G2018" s="1" t="s">
        <v>74</v>
      </c>
      <c r="H2018" s="1" t="s">
        <v>74</v>
      </c>
      <c r="I2018" s="1" t="s">
        <v>32603</v>
      </c>
      <c r="J2018" s="1" t="s">
        <v>421</v>
      </c>
      <c r="K2018" s="1" t="s">
        <v>74</v>
      </c>
      <c r="L2018" s="1" t="s">
        <v>74</v>
      </c>
      <c r="M2018" s="1" t="s">
        <v>78</v>
      </c>
      <c r="N2018" s="1" t="s">
        <v>79</v>
      </c>
      <c r="O2018" s="1" t="s">
        <v>74</v>
      </c>
      <c r="P2018" s="1" t="s">
        <v>74</v>
      </c>
      <c r="Q2018" s="1" t="s">
        <v>74</v>
      </c>
      <c r="R2018" s="1" t="s">
        <v>74</v>
      </c>
      <c r="S2018" s="1" t="s">
        <v>74</v>
      </c>
      <c r="T2018" s="1" t="s">
        <v>32604</v>
      </c>
      <c r="U2018" s="1" t="s">
        <v>32605</v>
      </c>
      <c r="V2018" s="1" t="s">
        <v>32606</v>
      </c>
      <c r="W2018" s="1" t="s">
        <v>32607</v>
      </c>
      <c r="X2018" s="1" t="s">
        <v>32608</v>
      </c>
      <c r="Y2018" s="1" t="s">
        <v>32609</v>
      </c>
      <c r="Z2018" s="1" t="s">
        <v>32610</v>
      </c>
      <c r="AA2018" s="1" t="s">
        <v>32611</v>
      </c>
      <c r="AB2018" s="1" t="s">
        <v>32612</v>
      </c>
      <c r="AC2018" s="1" t="s">
        <v>32613</v>
      </c>
      <c r="AD2018" s="1" t="s">
        <v>32614</v>
      </c>
      <c r="AE2018" s="1" t="s">
        <v>32615</v>
      </c>
      <c r="AF2018" s="1" t="s">
        <v>74</v>
      </c>
      <c r="AG2018" s="1">
        <v>72</v>
      </c>
      <c r="AH2018" s="1">
        <v>64</v>
      </c>
      <c r="AI2018" s="1">
        <v>64</v>
      </c>
      <c r="AJ2018" s="1">
        <v>4</v>
      </c>
      <c r="AK2018" s="1">
        <v>46</v>
      </c>
      <c r="AL2018" s="1" t="s">
        <v>430</v>
      </c>
      <c r="AM2018" s="1" t="s">
        <v>137</v>
      </c>
      <c r="AN2018" s="1" t="s">
        <v>431</v>
      </c>
      <c r="AO2018" s="1" t="s">
        <v>432</v>
      </c>
      <c r="AP2018" s="1" t="s">
        <v>1394</v>
      </c>
      <c r="AQ2018" s="1" t="s">
        <v>74</v>
      </c>
      <c r="AR2018" s="1" t="s">
        <v>433</v>
      </c>
      <c r="AS2018" s="1" t="s">
        <v>434</v>
      </c>
      <c r="AT2018" s="1" t="s">
        <v>951</v>
      </c>
      <c r="AU2018" s="1">
        <v>2020</v>
      </c>
      <c r="AV2018" s="1">
        <v>266</v>
      </c>
      <c r="AW2018" s="1" t="s">
        <v>74</v>
      </c>
      <c r="AX2018" s="1">
        <v>1</v>
      </c>
      <c r="AY2018" s="1" t="s">
        <v>74</v>
      </c>
      <c r="AZ2018" s="1" t="s">
        <v>74</v>
      </c>
      <c r="BA2018" s="1" t="s">
        <v>74</v>
      </c>
      <c r="BB2018" s="1" t="s">
        <v>74</v>
      </c>
      <c r="BC2018" s="1" t="s">
        <v>74</v>
      </c>
      <c r="BD2018" s="1">
        <v>115219</v>
      </c>
      <c r="BE2018" s="1" t="s">
        <v>32616</v>
      </c>
      <c r="BF2018" s="1" t="str">
        <f>HYPERLINK("http://dx.doi.org/10.1016/j.envpol.2020.115219","http://dx.doi.org/10.1016/j.envpol.2020.115219")</f>
        <v>http://dx.doi.org/10.1016/j.envpol.2020.115219</v>
      </c>
      <c r="BG2018" s="1" t="s">
        <v>74</v>
      </c>
      <c r="BH2018" s="1" t="s">
        <v>74</v>
      </c>
      <c r="BI2018" s="1">
        <v>9</v>
      </c>
      <c r="BJ2018" s="1" t="s">
        <v>144</v>
      </c>
      <c r="BK2018" s="1" t="s">
        <v>96</v>
      </c>
      <c r="BL2018" s="1" t="s">
        <v>145</v>
      </c>
      <c r="BM2018" s="1" t="s">
        <v>32617</v>
      </c>
      <c r="BN2018" s="1">
        <v>32683232</v>
      </c>
      <c r="BO2018" s="1" t="s">
        <v>74</v>
      </c>
      <c r="BP2018" s="1" t="s">
        <v>74</v>
      </c>
      <c r="BQ2018" s="1" t="s">
        <v>74</v>
      </c>
      <c r="BR2018" s="1" t="s">
        <v>98</v>
      </c>
      <c r="BS2018" s="1" t="s">
        <v>32618</v>
      </c>
      <c r="BT2018" s="1" t="str">
        <f>HYPERLINK("https%3A%2F%2Fwww.webofscience.com%2Fwos%2Fwoscc%2Ffull-record%2FWOS:000572960600008","View Full Record in Web of Science")</f>
        <v>View Full Record in Web of Science</v>
      </c>
      <c r="BU2018" s="1"/>
      <c r="BV2018" s="1"/>
    </row>
    <row r="2019" spans="1:74">
      <c r="A2019" s="1" t="s">
        <v>72</v>
      </c>
      <c r="B2019" s="1" t="s">
        <v>32619</v>
      </c>
      <c r="C2019" s="1" t="s">
        <v>74</v>
      </c>
      <c r="D2019" s="1" t="s">
        <v>74</v>
      </c>
      <c r="E2019" s="1" t="s">
        <v>74</v>
      </c>
      <c r="F2019" s="1" t="s">
        <v>32620</v>
      </c>
      <c r="G2019" s="1" t="s">
        <v>74</v>
      </c>
      <c r="H2019" s="1" t="s">
        <v>74</v>
      </c>
      <c r="I2019" s="1" t="s">
        <v>32621</v>
      </c>
      <c r="J2019" s="1" t="s">
        <v>729</v>
      </c>
      <c r="K2019" s="1" t="s">
        <v>74</v>
      </c>
      <c r="L2019" s="1" t="s">
        <v>74</v>
      </c>
      <c r="M2019" s="1" t="s">
        <v>78</v>
      </c>
      <c r="N2019" s="1" t="s">
        <v>79</v>
      </c>
      <c r="O2019" s="1" t="s">
        <v>74</v>
      </c>
      <c r="P2019" s="1" t="s">
        <v>74</v>
      </c>
      <c r="Q2019" s="1" t="s">
        <v>74</v>
      </c>
      <c r="R2019" s="1" t="s">
        <v>74</v>
      </c>
      <c r="S2019" s="1" t="s">
        <v>74</v>
      </c>
      <c r="T2019" s="1" t="s">
        <v>32622</v>
      </c>
      <c r="U2019" s="1" t="s">
        <v>32623</v>
      </c>
      <c r="V2019" s="1" t="s">
        <v>32624</v>
      </c>
      <c r="W2019" s="1" t="s">
        <v>32625</v>
      </c>
      <c r="X2019" s="1" t="s">
        <v>32626</v>
      </c>
      <c r="Y2019" s="1" t="s">
        <v>32627</v>
      </c>
      <c r="Z2019" s="1" t="s">
        <v>32628</v>
      </c>
      <c r="AA2019" s="1" t="s">
        <v>32629</v>
      </c>
      <c r="AB2019" s="1" t="s">
        <v>32630</v>
      </c>
      <c r="AC2019" s="1" t="s">
        <v>32631</v>
      </c>
      <c r="AD2019" s="1" t="s">
        <v>32632</v>
      </c>
      <c r="AE2019" s="1" t="s">
        <v>32633</v>
      </c>
      <c r="AF2019" s="1" t="s">
        <v>74</v>
      </c>
      <c r="AG2019" s="1">
        <v>56</v>
      </c>
      <c r="AH2019" s="1">
        <v>2</v>
      </c>
      <c r="AI2019" s="1">
        <v>2</v>
      </c>
      <c r="AJ2019" s="1">
        <v>3</v>
      </c>
      <c r="AK2019" s="1">
        <v>47</v>
      </c>
      <c r="AL2019" s="1" t="s">
        <v>86</v>
      </c>
      <c r="AM2019" s="1" t="s">
        <v>87</v>
      </c>
      <c r="AN2019" s="1" t="s">
        <v>88</v>
      </c>
      <c r="AO2019" s="1" t="s">
        <v>741</v>
      </c>
      <c r="AP2019" s="1" t="s">
        <v>742</v>
      </c>
      <c r="AQ2019" s="1" t="s">
        <v>74</v>
      </c>
      <c r="AR2019" s="1" t="s">
        <v>743</v>
      </c>
      <c r="AS2019" s="1" t="s">
        <v>744</v>
      </c>
      <c r="AT2019" s="1" t="s">
        <v>267</v>
      </c>
      <c r="AU2019" s="1">
        <v>2020</v>
      </c>
      <c r="AV2019" s="1">
        <v>51</v>
      </c>
      <c r="AW2019" s="1">
        <v>10</v>
      </c>
      <c r="AX2019" s="1" t="s">
        <v>74</v>
      </c>
      <c r="AY2019" s="1" t="s">
        <v>74</v>
      </c>
      <c r="AZ2019" s="1" t="s">
        <v>74</v>
      </c>
      <c r="BA2019" s="1" t="s">
        <v>74</v>
      </c>
      <c r="BB2019" s="1">
        <v>4255</v>
      </c>
      <c r="BC2019" s="1">
        <v>4266</v>
      </c>
      <c r="BD2019" s="1" t="s">
        <v>74</v>
      </c>
      <c r="BE2019" s="1" t="s">
        <v>32634</v>
      </c>
      <c r="BF2019" s="1" t="str">
        <f>HYPERLINK("http://dx.doi.org/10.1111/are.14768","http://dx.doi.org/10.1111/are.14768")</f>
        <v>http://dx.doi.org/10.1111/are.14768</v>
      </c>
      <c r="BG2019" s="1" t="s">
        <v>74</v>
      </c>
      <c r="BH2019" s="1" t="s">
        <v>3851</v>
      </c>
      <c r="BI2019" s="1">
        <v>12</v>
      </c>
      <c r="BJ2019" s="1" t="s">
        <v>746</v>
      </c>
      <c r="BK2019" s="1" t="s">
        <v>96</v>
      </c>
      <c r="BL2019" s="1" t="s">
        <v>746</v>
      </c>
      <c r="BM2019" s="1" t="s">
        <v>32635</v>
      </c>
      <c r="BN2019" s="1" t="s">
        <v>74</v>
      </c>
      <c r="BO2019" s="1" t="s">
        <v>873</v>
      </c>
      <c r="BP2019" s="1" t="s">
        <v>74</v>
      </c>
      <c r="BQ2019" s="1" t="s">
        <v>74</v>
      </c>
      <c r="BR2019" s="1" t="s">
        <v>98</v>
      </c>
      <c r="BS2019" s="1" t="s">
        <v>32636</v>
      </c>
      <c r="BT2019" s="1" t="str">
        <f>HYPERLINK("https%3A%2F%2Fwww.webofscience.com%2Fwos%2Fwoscc%2Ffull-record%2FWOS:000558923900001","View Full Record in Web of Science")</f>
        <v>View Full Record in Web of Science</v>
      </c>
      <c r="BU2019" s="1"/>
      <c r="BV2019" s="1"/>
    </row>
    <row r="2020" spans="1:74">
      <c r="A2020" s="1" t="s">
        <v>72</v>
      </c>
      <c r="B2020" s="1" t="s">
        <v>32637</v>
      </c>
      <c r="C2020" s="1" t="s">
        <v>74</v>
      </c>
      <c r="D2020" s="1" t="s">
        <v>74</v>
      </c>
      <c r="E2020" s="1" t="s">
        <v>74</v>
      </c>
      <c r="F2020" s="1" t="s">
        <v>32637</v>
      </c>
      <c r="G2020" s="1" t="s">
        <v>74</v>
      </c>
      <c r="H2020" s="1" t="s">
        <v>74</v>
      </c>
      <c r="I2020" s="1" t="s">
        <v>32638</v>
      </c>
      <c r="J2020" s="1" t="s">
        <v>421</v>
      </c>
      <c r="K2020" s="1" t="s">
        <v>74</v>
      </c>
      <c r="L2020" s="1" t="s">
        <v>74</v>
      </c>
      <c r="M2020" s="1" t="s">
        <v>78</v>
      </c>
      <c r="N2020" s="1" t="s">
        <v>79</v>
      </c>
      <c r="O2020" s="1" t="s">
        <v>74</v>
      </c>
      <c r="P2020" s="1" t="s">
        <v>74</v>
      </c>
      <c r="Q2020" s="1" t="s">
        <v>74</v>
      </c>
      <c r="R2020" s="1" t="s">
        <v>74</v>
      </c>
      <c r="S2020" s="1" t="s">
        <v>74</v>
      </c>
      <c r="T2020" s="1" t="s">
        <v>32639</v>
      </c>
      <c r="U2020" s="1" t="s">
        <v>32640</v>
      </c>
      <c r="V2020" s="1" t="s">
        <v>32641</v>
      </c>
      <c r="W2020" s="1" t="s">
        <v>32642</v>
      </c>
      <c r="X2020" s="1" t="s">
        <v>6088</v>
      </c>
      <c r="Y2020" s="1" t="s">
        <v>32643</v>
      </c>
      <c r="Z2020" s="1" t="s">
        <v>32644</v>
      </c>
      <c r="AA2020" s="1" t="s">
        <v>6091</v>
      </c>
      <c r="AB2020" s="1" t="s">
        <v>6092</v>
      </c>
      <c r="AC2020" s="1" t="s">
        <v>74</v>
      </c>
      <c r="AD2020" s="1" t="s">
        <v>74</v>
      </c>
      <c r="AE2020" s="1" t="s">
        <v>74</v>
      </c>
      <c r="AF2020" s="1" t="s">
        <v>74</v>
      </c>
      <c r="AG2020" s="1">
        <v>56</v>
      </c>
      <c r="AH2020" s="1">
        <v>65</v>
      </c>
      <c r="AI2020" s="1">
        <v>71</v>
      </c>
      <c r="AJ2020" s="1">
        <v>0</v>
      </c>
      <c r="AK2020" s="1">
        <v>15</v>
      </c>
      <c r="AL2020" s="1" t="s">
        <v>430</v>
      </c>
      <c r="AM2020" s="1" t="s">
        <v>137</v>
      </c>
      <c r="AN2020" s="1" t="s">
        <v>431</v>
      </c>
      <c r="AO2020" s="1" t="s">
        <v>432</v>
      </c>
      <c r="AP2020" s="1" t="s">
        <v>74</v>
      </c>
      <c r="AQ2020" s="1" t="s">
        <v>74</v>
      </c>
      <c r="AR2020" s="1" t="s">
        <v>433</v>
      </c>
      <c r="AS2020" s="1" t="s">
        <v>434</v>
      </c>
      <c r="AT2020" s="1" t="s">
        <v>74</v>
      </c>
      <c r="AU2020" s="1">
        <v>2001</v>
      </c>
      <c r="AV2020" s="1">
        <v>114</v>
      </c>
      <c r="AW2020" s="1">
        <v>3</v>
      </c>
      <c r="AX2020" s="1" t="s">
        <v>74</v>
      </c>
      <c r="AY2020" s="1" t="s">
        <v>74</v>
      </c>
      <c r="AZ2020" s="1" t="s">
        <v>74</v>
      </c>
      <c r="BA2020" s="1" t="s">
        <v>74</v>
      </c>
      <c r="BB2020" s="1">
        <v>357</v>
      </c>
      <c r="BC2020" s="1">
        <v>370</v>
      </c>
      <c r="BD2020" s="1" t="s">
        <v>74</v>
      </c>
      <c r="BE2020" s="1" t="s">
        <v>32645</v>
      </c>
      <c r="BF2020" s="1" t="str">
        <f>HYPERLINK("http://dx.doi.org/10.1016/S0269-7491(00)00239-6","http://dx.doi.org/10.1016/S0269-7491(00)00239-6")</f>
        <v>http://dx.doi.org/10.1016/S0269-7491(00)00239-6</v>
      </c>
      <c r="BG2020" s="1" t="s">
        <v>74</v>
      </c>
      <c r="BH2020" s="1" t="s">
        <v>74</v>
      </c>
      <c r="BI2020" s="1">
        <v>14</v>
      </c>
      <c r="BJ2020" s="1" t="s">
        <v>144</v>
      </c>
      <c r="BK2020" s="1" t="s">
        <v>96</v>
      </c>
      <c r="BL2020" s="1" t="s">
        <v>145</v>
      </c>
      <c r="BM2020" s="1" t="s">
        <v>1702</v>
      </c>
      <c r="BN2020" s="1">
        <v>11584634</v>
      </c>
      <c r="BO2020" s="1" t="s">
        <v>74</v>
      </c>
      <c r="BP2020" s="1" t="s">
        <v>74</v>
      </c>
      <c r="BQ2020" s="1" t="s">
        <v>74</v>
      </c>
      <c r="BR2020" s="1" t="s">
        <v>98</v>
      </c>
      <c r="BS2020" s="1" t="s">
        <v>32646</v>
      </c>
      <c r="BT2020" s="1" t="str">
        <f>HYPERLINK("https%3A%2F%2Fwww.webofscience.com%2Fwos%2Fwoscc%2Ffull-record%2FWOS:000171001600007","View Full Record in Web of Science")</f>
        <v>View Full Record in Web of Science</v>
      </c>
      <c r="BU2020" s="1"/>
      <c r="BV2020" s="1"/>
    </row>
    <row r="2021" spans="1:74">
      <c r="A2021" s="1" t="s">
        <v>72</v>
      </c>
      <c r="B2021" s="1" t="s">
        <v>32647</v>
      </c>
      <c r="C2021" s="1" t="s">
        <v>74</v>
      </c>
      <c r="D2021" s="1" t="s">
        <v>74</v>
      </c>
      <c r="E2021" s="1" t="s">
        <v>74</v>
      </c>
      <c r="F2021" s="1" t="s">
        <v>32648</v>
      </c>
      <c r="G2021" s="1" t="s">
        <v>74</v>
      </c>
      <c r="H2021" s="1" t="s">
        <v>74</v>
      </c>
      <c r="I2021" s="1" t="s">
        <v>32649</v>
      </c>
      <c r="J2021" s="1" t="s">
        <v>641</v>
      </c>
      <c r="K2021" s="1" t="s">
        <v>74</v>
      </c>
      <c r="L2021" s="1" t="s">
        <v>74</v>
      </c>
      <c r="M2021" s="1" t="s">
        <v>78</v>
      </c>
      <c r="N2021" s="1" t="s">
        <v>79</v>
      </c>
      <c r="O2021" s="1" t="s">
        <v>74</v>
      </c>
      <c r="P2021" s="1" t="s">
        <v>74</v>
      </c>
      <c r="Q2021" s="1" t="s">
        <v>74</v>
      </c>
      <c r="R2021" s="1" t="s">
        <v>74</v>
      </c>
      <c r="S2021" s="1" t="s">
        <v>74</v>
      </c>
      <c r="T2021" s="1" t="s">
        <v>32650</v>
      </c>
      <c r="U2021" s="1" t="s">
        <v>32651</v>
      </c>
      <c r="V2021" s="1" t="s">
        <v>32652</v>
      </c>
      <c r="W2021" s="1" t="s">
        <v>32653</v>
      </c>
      <c r="X2021" s="1" t="s">
        <v>32654</v>
      </c>
      <c r="Y2021" s="1" t="s">
        <v>32655</v>
      </c>
      <c r="Z2021" s="1" t="s">
        <v>32656</v>
      </c>
      <c r="AA2021" s="1" t="s">
        <v>32657</v>
      </c>
      <c r="AB2021" s="1" t="s">
        <v>32658</v>
      </c>
      <c r="AC2021" s="1" t="s">
        <v>32659</v>
      </c>
      <c r="AD2021" s="1" t="s">
        <v>32660</v>
      </c>
      <c r="AE2021" s="1" t="s">
        <v>31140</v>
      </c>
      <c r="AF2021" s="1" t="s">
        <v>74</v>
      </c>
      <c r="AG2021" s="1">
        <v>61</v>
      </c>
      <c r="AH2021" s="1">
        <v>13</v>
      </c>
      <c r="AI2021" s="1">
        <v>13</v>
      </c>
      <c r="AJ2021" s="1">
        <v>3</v>
      </c>
      <c r="AK2021" s="1">
        <v>28</v>
      </c>
      <c r="AL2021" s="1" t="s">
        <v>650</v>
      </c>
      <c r="AM2021" s="1" t="s">
        <v>651</v>
      </c>
      <c r="AN2021" s="1" t="s">
        <v>652</v>
      </c>
      <c r="AO2021" s="1" t="s">
        <v>653</v>
      </c>
      <c r="AP2021" s="1" t="s">
        <v>654</v>
      </c>
      <c r="AQ2021" s="1" t="s">
        <v>74</v>
      </c>
      <c r="AR2021" s="1" t="s">
        <v>655</v>
      </c>
      <c r="AS2021" s="1" t="s">
        <v>656</v>
      </c>
      <c r="AT2021" s="1" t="s">
        <v>224</v>
      </c>
      <c r="AU2021" s="1">
        <v>2022</v>
      </c>
      <c r="AV2021" s="1">
        <v>243</v>
      </c>
      <c r="AW2021" s="1" t="s">
        <v>74</v>
      </c>
      <c r="AX2021" s="1" t="s">
        <v>74</v>
      </c>
      <c r="AY2021" s="1" t="s">
        <v>74</v>
      </c>
      <c r="AZ2021" s="1" t="s">
        <v>74</v>
      </c>
      <c r="BA2021" s="1" t="s">
        <v>74</v>
      </c>
      <c r="BB2021" s="1" t="s">
        <v>74</v>
      </c>
      <c r="BC2021" s="1" t="s">
        <v>74</v>
      </c>
      <c r="BD2021" s="1">
        <v>106059</v>
      </c>
      <c r="BE2021" s="1" t="s">
        <v>32661</v>
      </c>
      <c r="BF2021" s="1" t="str">
        <f>HYPERLINK("http://dx.doi.org/10.1016/j.aquatox.2021.106059","http://dx.doi.org/10.1016/j.aquatox.2021.106059")</f>
        <v>http://dx.doi.org/10.1016/j.aquatox.2021.106059</v>
      </c>
      <c r="BG2021" s="1" t="s">
        <v>74</v>
      </c>
      <c r="BH2021" s="1" t="s">
        <v>227</v>
      </c>
      <c r="BI2021" s="1">
        <v>9</v>
      </c>
      <c r="BJ2021" s="1" t="s">
        <v>659</v>
      </c>
      <c r="BK2021" s="1" t="s">
        <v>96</v>
      </c>
      <c r="BL2021" s="1" t="s">
        <v>659</v>
      </c>
      <c r="BM2021" s="1" t="s">
        <v>21086</v>
      </c>
      <c r="BN2021" s="1">
        <v>34991045</v>
      </c>
      <c r="BO2021" s="1" t="s">
        <v>74</v>
      </c>
      <c r="BP2021" s="1" t="s">
        <v>74</v>
      </c>
      <c r="BQ2021" s="1" t="s">
        <v>74</v>
      </c>
      <c r="BR2021" s="1" t="s">
        <v>98</v>
      </c>
      <c r="BS2021" s="1" t="s">
        <v>32662</v>
      </c>
      <c r="BT2021" s="1" t="str">
        <f>HYPERLINK("https%3A%2F%2Fwww.webofscience.com%2Fwos%2Fwoscc%2Ffull-record%2FWOS:000765528400006","View Full Record in Web of Science")</f>
        <v>View Full Record in Web of Science</v>
      </c>
      <c r="BU2021" s="1"/>
      <c r="BV2021" s="1"/>
    </row>
    <row r="2022" spans="1:74">
      <c r="A2022" s="1" t="s">
        <v>72</v>
      </c>
      <c r="B2022" s="1" t="s">
        <v>32663</v>
      </c>
      <c r="C2022" s="1" t="s">
        <v>74</v>
      </c>
      <c r="D2022" s="1" t="s">
        <v>74</v>
      </c>
      <c r="E2022" s="1" t="s">
        <v>74</v>
      </c>
      <c r="F2022" s="1" t="s">
        <v>32664</v>
      </c>
      <c r="G2022" s="1" t="s">
        <v>74</v>
      </c>
      <c r="H2022" s="1" t="s">
        <v>74</v>
      </c>
      <c r="I2022" s="1" t="s">
        <v>32665</v>
      </c>
      <c r="J2022" s="1" t="s">
        <v>179</v>
      </c>
      <c r="K2022" s="1" t="s">
        <v>74</v>
      </c>
      <c r="L2022" s="1" t="s">
        <v>74</v>
      </c>
      <c r="M2022" s="1" t="s">
        <v>78</v>
      </c>
      <c r="N2022" s="1" t="s">
        <v>79</v>
      </c>
      <c r="O2022" s="1" t="s">
        <v>74</v>
      </c>
      <c r="P2022" s="1" t="s">
        <v>74</v>
      </c>
      <c r="Q2022" s="1" t="s">
        <v>74</v>
      </c>
      <c r="R2022" s="1" t="s">
        <v>74</v>
      </c>
      <c r="S2022" s="1" t="s">
        <v>74</v>
      </c>
      <c r="T2022" s="1" t="s">
        <v>32666</v>
      </c>
      <c r="U2022" s="1" t="s">
        <v>32667</v>
      </c>
      <c r="V2022" s="1" t="s">
        <v>32668</v>
      </c>
      <c r="W2022" s="1" t="s">
        <v>32669</v>
      </c>
      <c r="X2022" s="1" t="s">
        <v>24635</v>
      </c>
      <c r="Y2022" s="1" t="s">
        <v>32670</v>
      </c>
      <c r="Z2022" s="1" t="s">
        <v>17770</v>
      </c>
      <c r="AA2022" s="1" t="s">
        <v>74</v>
      </c>
      <c r="AB2022" s="1" t="s">
        <v>32671</v>
      </c>
      <c r="AC2022" s="1" t="s">
        <v>32672</v>
      </c>
      <c r="AD2022" s="1" t="s">
        <v>32673</v>
      </c>
      <c r="AE2022" s="1" t="s">
        <v>32674</v>
      </c>
      <c r="AF2022" s="1" t="s">
        <v>74</v>
      </c>
      <c r="AG2022" s="1">
        <v>59</v>
      </c>
      <c r="AH2022" s="1">
        <v>24</v>
      </c>
      <c r="AI2022" s="1">
        <v>26</v>
      </c>
      <c r="AJ2022" s="1">
        <v>2</v>
      </c>
      <c r="AK2022" s="1">
        <v>54</v>
      </c>
      <c r="AL2022" s="1" t="s">
        <v>112</v>
      </c>
      <c r="AM2022" s="1" t="s">
        <v>191</v>
      </c>
      <c r="AN2022" s="1" t="s">
        <v>192</v>
      </c>
      <c r="AO2022" s="1" t="s">
        <v>193</v>
      </c>
      <c r="AP2022" s="1" t="s">
        <v>74</v>
      </c>
      <c r="AQ2022" s="1" t="s">
        <v>74</v>
      </c>
      <c r="AR2022" s="1" t="s">
        <v>195</v>
      </c>
      <c r="AS2022" s="1" t="s">
        <v>196</v>
      </c>
      <c r="AT2022" s="1" t="s">
        <v>93</v>
      </c>
      <c r="AU2022" s="1">
        <v>2013</v>
      </c>
      <c r="AV2022" s="1">
        <v>185</v>
      </c>
      <c r="AW2022" s="1">
        <v>4</v>
      </c>
      <c r="AX2022" s="1" t="s">
        <v>74</v>
      </c>
      <c r="AY2022" s="1" t="s">
        <v>74</v>
      </c>
      <c r="AZ2022" s="1" t="s">
        <v>74</v>
      </c>
      <c r="BA2022" s="1" t="s">
        <v>74</v>
      </c>
      <c r="BB2022" s="1">
        <v>3397</v>
      </c>
      <c r="BC2022" s="1">
        <v>3412</v>
      </c>
      <c r="BD2022" s="1" t="s">
        <v>74</v>
      </c>
      <c r="BE2022" s="1" t="s">
        <v>32675</v>
      </c>
      <c r="BF2022" s="1" t="str">
        <f>HYPERLINK("http://dx.doi.org/10.1007/s10661-012-2800-0","http://dx.doi.org/10.1007/s10661-012-2800-0")</f>
        <v>http://dx.doi.org/10.1007/s10661-012-2800-0</v>
      </c>
      <c r="BG2022" s="1" t="s">
        <v>74</v>
      </c>
      <c r="BH2022" s="1" t="s">
        <v>74</v>
      </c>
      <c r="BI2022" s="1">
        <v>16</v>
      </c>
      <c r="BJ2022" s="1" t="s">
        <v>144</v>
      </c>
      <c r="BK2022" s="1" t="s">
        <v>96</v>
      </c>
      <c r="BL2022" s="1" t="s">
        <v>145</v>
      </c>
      <c r="BM2022" s="1" t="s">
        <v>32676</v>
      </c>
      <c r="BN2022" s="1">
        <v>22890867</v>
      </c>
      <c r="BO2022" s="1" t="s">
        <v>74</v>
      </c>
      <c r="BP2022" s="1" t="s">
        <v>74</v>
      </c>
      <c r="BQ2022" s="1" t="s">
        <v>74</v>
      </c>
      <c r="BR2022" s="1" t="s">
        <v>98</v>
      </c>
      <c r="BS2022" s="1" t="s">
        <v>32677</v>
      </c>
      <c r="BT2022" s="1" t="str">
        <f>HYPERLINK("https%3A%2F%2Fwww.webofscience.com%2Fwos%2Fwoscc%2Ffull-record%2FWOS:000315736500042","View Full Record in Web of Science")</f>
        <v>View Full Record in Web of Science</v>
      </c>
      <c r="BU2022" s="1"/>
      <c r="BV2022" s="1"/>
    </row>
    <row r="2023" spans="1:74">
      <c r="A2023" s="1" t="s">
        <v>72</v>
      </c>
      <c r="B2023" s="1" t="s">
        <v>32678</v>
      </c>
      <c r="C2023" s="1" t="s">
        <v>74</v>
      </c>
      <c r="D2023" s="1" t="s">
        <v>74</v>
      </c>
      <c r="E2023" s="1" t="s">
        <v>74</v>
      </c>
      <c r="F2023" s="1" t="s">
        <v>32678</v>
      </c>
      <c r="G2023" s="1" t="s">
        <v>74</v>
      </c>
      <c r="H2023" s="1" t="s">
        <v>74</v>
      </c>
      <c r="I2023" s="1" t="s">
        <v>32679</v>
      </c>
      <c r="J2023" s="1" t="s">
        <v>232</v>
      </c>
      <c r="K2023" s="1" t="s">
        <v>74</v>
      </c>
      <c r="L2023" s="1" t="s">
        <v>74</v>
      </c>
      <c r="M2023" s="1" t="s">
        <v>78</v>
      </c>
      <c r="N2023" s="1" t="s">
        <v>79</v>
      </c>
      <c r="O2023" s="1" t="s">
        <v>74</v>
      </c>
      <c r="P2023" s="1" t="s">
        <v>74</v>
      </c>
      <c r="Q2023" s="1" t="s">
        <v>74</v>
      </c>
      <c r="R2023" s="1" t="s">
        <v>74</v>
      </c>
      <c r="S2023" s="1" t="s">
        <v>74</v>
      </c>
      <c r="T2023" s="1" t="s">
        <v>32680</v>
      </c>
      <c r="U2023" s="1" t="s">
        <v>32681</v>
      </c>
      <c r="V2023" s="1" t="s">
        <v>32682</v>
      </c>
      <c r="W2023" s="1" t="s">
        <v>32683</v>
      </c>
      <c r="X2023" s="1" t="s">
        <v>32684</v>
      </c>
      <c r="Y2023" s="1" t="s">
        <v>32685</v>
      </c>
      <c r="Z2023" s="1" t="s">
        <v>32686</v>
      </c>
      <c r="AA2023" s="1" t="s">
        <v>32687</v>
      </c>
      <c r="AB2023" s="1" t="s">
        <v>32688</v>
      </c>
      <c r="AC2023" s="1" t="s">
        <v>74</v>
      </c>
      <c r="AD2023" s="1" t="s">
        <v>74</v>
      </c>
      <c r="AE2023" s="1" t="s">
        <v>74</v>
      </c>
      <c r="AF2023" s="1" t="s">
        <v>74</v>
      </c>
      <c r="AG2023" s="1">
        <v>65</v>
      </c>
      <c r="AH2023" s="1">
        <v>32</v>
      </c>
      <c r="AI2023" s="1">
        <v>34</v>
      </c>
      <c r="AJ2023" s="1">
        <v>0</v>
      </c>
      <c r="AK2023" s="1">
        <v>11</v>
      </c>
      <c r="AL2023" s="1" t="s">
        <v>136</v>
      </c>
      <c r="AM2023" s="1" t="s">
        <v>137</v>
      </c>
      <c r="AN2023" s="1" t="s">
        <v>138</v>
      </c>
      <c r="AO2023" s="1" t="s">
        <v>240</v>
      </c>
      <c r="AP2023" s="1" t="s">
        <v>241</v>
      </c>
      <c r="AQ2023" s="1" t="s">
        <v>74</v>
      </c>
      <c r="AR2023" s="1" t="s">
        <v>242</v>
      </c>
      <c r="AS2023" s="1" t="s">
        <v>243</v>
      </c>
      <c r="AT2023" s="1" t="s">
        <v>197</v>
      </c>
      <c r="AU2023" s="1">
        <v>2004</v>
      </c>
      <c r="AV2023" s="1">
        <v>49</v>
      </c>
      <c r="AW2023" s="1" t="s">
        <v>511</v>
      </c>
      <c r="AX2023" s="1" t="s">
        <v>74</v>
      </c>
      <c r="AY2023" s="1" t="s">
        <v>74</v>
      </c>
      <c r="AZ2023" s="1" t="s">
        <v>74</v>
      </c>
      <c r="BA2023" s="1" t="s">
        <v>74</v>
      </c>
      <c r="BB2023" s="1">
        <v>1084</v>
      </c>
      <c r="BC2023" s="1">
        <v>1096</v>
      </c>
      <c r="BD2023" s="1" t="s">
        <v>74</v>
      </c>
      <c r="BE2023" s="1" t="s">
        <v>32689</v>
      </c>
      <c r="BF2023" s="1" t="str">
        <f>HYPERLINK("http://dx.doi.org/10.1016/j.marpolbul.2004.08.002","http://dx.doi.org/10.1016/j.marpolbul.2004.08.002")</f>
        <v>http://dx.doi.org/10.1016/j.marpolbul.2004.08.002</v>
      </c>
      <c r="BG2023" s="1" t="s">
        <v>74</v>
      </c>
      <c r="BH2023" s="1" t="s">
        <v>74</v>
      </c>
      <c r="BI2023" s="1">
        <v>13</v>
      </c>
      <c r="BJ2023" s="1" t="s">
        <v>247</v>
      </c>
      <c r="BK2023" s="1" t="s">
        <v>96</v>
      </c>
      <c r="BL2023" s="1" t="s">
        <v>248</v>
      </c>
      <c r="BM2023" s="1" t="s">
        <v>32690</v>
      </c>
      <c r="BN2023" s="1">
        <v>15556196</v>
      </c>
      <c r="BO2023" s="1" t="s">
        <v>74</v>
      </c>
      <c r="BP2023" s="1" t="s">
        <v>74</v>
      </c>
      <c r="BQ2023" s="1" t="s">
        <v>74</v>
      </c>
      <c r="BR2023" s="1" t="s">
        <v>98</v>
      </c>
      <c r="BS2023" s="1" t="s">
        <v>32691</v>
      </c>
      <c r="BT2023" s="1" t="str">
        <f>HYPERLINK("https%3A%2F%2Fwww.webofscience.com%2Fwos%2Fwoscc%2Ffull-record%2FWOS:000225926700036","View Full Record in Web of Science")</f>
        <v>View Full Record in Web of Science</v>
      </c>
      <c r="BU2023" s="1"/>
      <c r="BV2023" s="1"/>
    </row>
    <row r="2024" spans="1:74">
      <c r="A2024" s="1" t="s">
        <v>72</v>
      </c>
      <c r="B2024" s="1" t="s">
        <v>32692</v>
      </c>
      <c r="C2024" s="1" t="s">
        <v>74</v>
      </c>
      <c r="D2024" s="1" t="s">
        <v>74</v>
      </c>
      <c r="E2024" s="1" t="s">
        <v>74</v>
      </c>
      <c r="F2024" s="1" t="s">
        <v>32693</v>
      </c>
      <c r="G2024" s="1" t="s">
        <v>74</v>
      </c>
      <c r="H2024" s="1" t="s">
        <v>74</v>
      </c>
      <c r="I2024" s="1" t="s">
        <v>32694</v>
      </c>
      <c r="J2024" s="1" t="s">
        <v>32695</v>
      </c>
      <c r="K2024" s="1" t="s">
        <v>74</v>
      </c>
      <c r="L2024" s="1" t="s">
        <v>74</v>
      </c>
      <c r="M2024" s="1" t="s">
        <v>78</v>
      </c>
      <c r="N2024" s="1" t="s">
        <v>79</v>
      </c>
      <c r="O2024" s="1" t="s">
        <v>74</v>
      </c>
      <c r="P2024" s="1" t="s">
        <v>74</v>
      </c>
      <c r="Q2024" s="1" t="s">
        <v>74</v>
      </c>
      <c r="R2024" s="1" t="s">
        <v>74</v>
      </c>
      <c r="S2024" s="1" t="s">
        <v>74</v>
      </c>
      <c r="T2024" s="1" t="s">
        <v>32696</v>
      </c>
      <c r="U2024" s="1" t="s">
        <v>32697</v>
      </c>
      <c r="V2024" s="1" t="s">
        <v>32698</v>
      </c>
      <c r="W2024" s="1" t="s">
        <v>32699</v>
      </c>
      <c r="X2024" s="1" t="s">
        <v>32700</v>
      </c>
      <c r="Y2024" s="1" t="s">
        <v>32701</v>
      </c>
      <c r="Z2024" s="1" t="s">
        <v>32702</v>
      </c>
      <c r="AA2024" s="1" t="s">
        <v>32703</v>
      </c>
      <c r="AB2024" s="1" t="s">
        <v>32704</v>
      </c>
      <c r="AC2024" s="1" t="s">
        <v>74</v>
      </c>
      <c r="AD2024" s="1" t="s">
        <v>74</v>
      </c>
      <c r="AE2024" s="1" t="s">
        <v>74</v>
      </c>
      <c r="AF2024" s="1" t="s">
        <v>74</v>
      </c>
      <c r="AG2024" s="1">
        <v>31</v>
      </c>
      <c r="AH2024" s="1">
        <v>1</v>
      </c>
      <c r="AI2024" s="1">
        <v>1</v>
      </c>
      <c r="AJ2024" s="1">
        <v>0</v>
      </c>
      <c r="AK2024" s="1">
        <v>4</v>
      </c>
      <c r="AL2024" s="1" t="s">
        <v>12359</v>
      </c>
      <c r="AM2024" s="1" t="s">
        <v>9395</v>
      </c>
      <c r="AN2024" s="1" t="s">
        <v>12360</v>
      </c>
      <c r="AO2024" s="1" t="s">
        <v>32705</v>
      </c>
      <c r="AP2024" s="1" t="s">
        <v>32706</v>
      </c>
      <c r="AQ2024" s="1" t="s">
        <v>74</v>
      </c>
      <c r="AR2024" s="1" t="s">
        <v>32707</v>
      </c>
      <c r="AS2024" s="1" t="s">
        <v>32708</v>
      </c>
      <c r="AT2024" s="1" t="s">
        <v>1223</v>
      </c>
      <c r="AU2024" s="1">
        <v>2019</v>
      </c>
      <c r="AV2024" s="1">
        <v>48</v>
      </c>
      <c r="AW2024" s="1">
        <v>1</v>
      </c>
      <c r="AX2024" s="1" t="s">
        <v>74</v>
      </c>
      <c r="AY2024" s="1" t="s">
        <v>74</v>
      </c>
      <c r="AZ2024" s="1" t="s">
        <v>74</v>
      </c>
      <c r="BA2024" s="1" t="s">
        <v>74</v>
      </c>
      <c r="BB2024" s="1">
        <v>85</v>
      </c>
      <c r="BC2024" s="1">
        <v>89</v>
      </c>
      <c r="BD2024" s="1" t="s">
        <v>74</v>
      </c>
      <c r="BE2024" s="1" t="s">
        <v>32709</v>
      </c>
      <c r="BF2024" s="1" t="str">
        <f>HYPERLINK("http://dx.doi.org/10.1515/ohs-2019-0009","http://dx.doi.org/10.1515/ohs-2019-0009")</f>
        <v>http://dx.doi.org/10.1515/ohs-2019-0009</v>
      </c>
      <c r="BG2024" s="1" t="s">
        <v>74</v>
      </c>
      <c r="BH2024" s="1" t="s">
        <v>74</v>
      </c>
      <c r="BI2024" s="1">
        <v>5</v>
      </c>
      <c r="BJ2024" s="1" t="s">
        <v>4241</v>
      </c>
      <c r="BK2024" s="1" t="s">
        <v>96</v>
      </c>
      <c r="BL2024" s="1" t="s">
        <v>4241</v>
      </c>
      <c r="BM2024" s="1" t="s">
        <v>32710</v>
      </c>
      <c r="BN2024" s="1" t="s">
        <v>74</v>
      </c>
      <c r="BO2024" s="1" t="s">
        <v>873</v>
      </c>
      <c r="BP2024" s="1" t="s">
        <v>74</v>
      </c>
      <c r="BQ2024" s="1" t="s">
        <v>74</v>
      </c>
      <c r="BR2024" s="1" t="s">
        <v>98</v>
      </c>
      <c r="BS2024" s="1" t="s">
        <v>32711</v>
      </c>
      <c r="BT2024" s="1" t="str">
        <f>HYPERLINK("https%3A%2F%2Fwww.webofscience.com%2Fwos%2Fwoscc%2Ffull-record%2FWOS:000462053500009","View Full Record in Web of Science")</f>
        <v>View Full Record in Web of Science</v>
      </c>
      <c r="BU2024" s="1"/>
      <c r="BV2024" s="1"/>
    </row>
    <row r="2025" spans="1:74">
      <c r="A2025" s="1" t="s">
        <v>72</v>
      </c>
      <c r="B2025" s="1" t="s">
        <v>32712</v>
      </c>
      <c r="C2025" s="1" t="s">
        <v>74</v>
      </c>
      <c r="D2025" s="1" t="s">
        <v>74</v>
      </c>
      <c r="E2025" s="1" t="s">
        <v>74</v>
      </c>
      <c r="F2025" s="1" t="s">
        <v>32713</v>
      </c>
      <c r="G2025" s="1" t="s">
        <v>74</v>
      </c>
      <c r="H2025" s="1" t="s">
        <v>74</v>
      </c>
      <c r="I2025" s="1" t="s">
        <v>32714</v>
      </c>
      <c r="J2025" s="1" t="s">
        <v>909</v>
      </c>
      <c r="K2025" s="1" t="s">
        <v>74</v>
      </c>
      <c r="L2025" s="1" t="s">
        <v>74</v>
      </c>
      <c r="M2025" s="1" t="s">
        <v>78</v>
      </c>
      <c r="N2025" s="1" t="s">
        <v>79</v>
      </c>
      <c r="O2025" s="1" t="s">
        <v>74</v>
      </c>
      <c r="P2025" s="1" t="s">
        <v>74</v>
      </c>
      <c r="Q2025" s="1" t="s">
        <v>74</v>
      </c>
      <c r="R2025" s="1" t="s">
        <v>74</v>
      </c>
      <c r="S2025" s="1" t="s">
        <v>74</v>
      </c>
      <c r="T2025" s="1" t="s">
        <v>32715</v>
      </c>
      <c r="U2025" s="1" t="s">
        <v>32716</v>
      </c>
      <c r="V2025" s="1" t="s">
        <v>32717</v>
      </c>
      <c r="W2025" s="1" t="s">
        <v>32718</v>
      </c>
      <c r="X2025" s="1" t="s">
        <v>32719</v>
      </c>
      <c r="Y2025" s="1" t="s">
        <v>4093</v>
      </c>
      <c r="Z2025" s="1" t="s">
        <v>32720</v>
      </c>
      <c r="AA2025" s="1" t="s">
        <v>32721</v>
      </c>
      <c r="AB2025" s="1" t="s">
        <v>32722</v>
      </c>
      <c r="AC2025" s="1" t="s">
        <v>32723</v>
      </c>
      <c r="AD2025" s="1" t="s">
        <v>32724</v>
      </c>
      <c r="AE2025" s="1" t="s">
        <v>32725</v>
      </c>
      <c r="AF2025" s="1" t="s">
        <v>74</v>
      </c>
      <c r="AG2025" s="1">
        <v>78</v>
      </c>
      <c r="AH2025" s="1">
        <v>16</v>
      </c>
      <c r="AI2025" s="1">
        <v>16</v>
      </c>
      <c r="AJ2025" s="1">
        <v>1</v>
      </c>
      <c r="AK2025" s="1">
        <v>37</v>
      </c>
      <c r="AL2025" s="1" t="s">
        <v>650</v>
      </c>
      <c r="AM2025" s="1" t="s">
        <v>651</v>
      </c>
      <c r="AN2025" s="1" t="s">
        <v>652</v>
      </c>
      <c r="AO2025" s="1" t="s">
        <v>921</v>
      </c>
      <c r="AP2025" s="1" t="s">
        <v>922</v>
      </c>
      <c r="AQ2025" s="1" t="s">
        <v>74</v>
      </c>
      <c r="AR2025" s="1" t="s">
        <v>923</v>
      </c>
      <c r="AS2025" s="1" t="s">
        <v>924</v>
      </c>
      <c r="AT2025" s="1" t="s">
        <v>2846</v>
      </c>
      <c r="AU2025" s="1">
        <v>2020</v>
      </c>
      <c r="AV2025" s="1">
        <v>709</v>
      </c>
      <c r="AW2025" s="1" t="s">
        <v>74</v>
      </c>
      <c r="AX2025" s="1" t="s">
        <v>74</v>
      </c>
      <c r="AY2025" s="1" t="s">
        <v>74</v>
      </c>
      <c r="AZ2025" s="1" t="s">
        <v>74</v>
      </c>
      <c r="BA2025" s="1" t="s">
        <v>74</v>
      </c>
      <c r="BB2025" s="1" t="s">
        <v>74</v>
      </c>
      <c r="BC2025" s="1" t="s">
        <v>74</v>
      </c>
      <c r="BD2025" s="1">
        <v>136042</v>
      </c>
      <c r="BE2025" s="1" t="s">
        <v>32726</v>
      </c>
      <c r="BF2025" s="1" t="str">
        <f>HYPERLINK("http://dx.doi.org/10.1016/j.scitotenv.2019.136042","http://dx.doi.org/10.1016/j.scitotenv.2019.136042")</f>
        <v>http://dx.doi.org/10.1016/j.scitotenv.2019.136042</v>
      </c>
      <c r="BG2025" s="1" t="s">
        <v>74</v>
      </c>
      <c r="BH2025" s="1" t="s">
        <v>74</v>
      </c>
      <c r="BI2025" s="1">
        <v>13</v>
      </c>
      <c r="BJ2025" s="1" t="s">
        <v>144</v>
      </c>
      <c r="BK2025" s="1" t="s">
        <v>96</v>
      </c>
      <c r="BL2025" s="1" t="s">
        <v>145</v>
      </c>
      <c r="BM2025" s="1" t="s">
        <v>32727</v>
      </c>
      <c r="BN2025" s="1">
        <v>31905594</v>
      </c>
      <c r="BO2025" s="1" t="s">
        <v>74</v>
      </c>
      <c r="BP2025" s="1" t="s">
        <v>74</v>
      </c>
      <c r="BQ2025" s="1" t="s">
        <v>74</v>
      </c>
      <c r="BR2025" s="1" t="s">
        <v>98</v>
      </c>
      <c r="BS2025" s="1" t="s">
        <v>32728</v>
      </c>
      <c r="BT2025" s="1" t="str">
        <f>HYPERLINK("https%3A%2F%2Fwww.webofscience.com%2Fwos%2Fwoscc%2Ffull-record%2FWOS:000512281700048","View Full Record in Web of Science")</f>
        <v>View Full Record in Web of Science</v>
      </c>
      <c r="BU2025" s="1"/>
      <c r="BV2025" s="1"/>
    </row>
    <row r="2026" spans="1:74">
      <c r="A2026" s="1" t="s">
        <v>72</v>
      </c>
      <c r="B2026" s="1" t="s">
        <v>32729</v>
      </c>
      <c r="C2026" s="1" t="s">
        <v>74</v>
      </c>
      <c r="D2026" s="1" t="s">
        <v>74</v>
      </c>
      <c r="E2026" s="1" t="s">
        <v>74</v>
      </c>
      <c r="F2026" s="1" t="s">
        <v>32730</v>
      </c>
      <c r="G2026" s="1" t="s">
        <v>74</v>
      </c>
      <c r="H2026" s="1" t="s">
        <v>74</v>
      </c>
      <c r="I2026" s="1" t="s">
        <v>32731</v>
      </c>
      <c r="J2026" s="1" t="s">
        <v>421</v>
      </c>
      <c r="K2026" s="1" t="s">
        <v>74</v>
      </c>
      <c r="L2026" s="1" t="s">
        <v>74</v>
      </c>
      <c r="M2026" s="1" t="s">
        <v>78</v>
      </c>
      <c r="N2026" s="1" t="s">
        <v>79</v>
      </c>
      <c r="O2026" s="1" t="s">
        <v>74</v>
      </c>
      <c r="P2026" s="1" t="s">
        <v>74</v>
      </c>
      <c r="Q2026" s="1" t="s">
        <v>74</v>
      </c>
      <c r="R2026" s="1" t="s">
        <v>74</v>
      </c>
      <c r="S2026" s="1" t="s">
        <v>74</v>
      </c>
      <c r="T2026" s="1" t="s">
        <v>32732</v>
      </c>
      <c r="U2026" s="1" t="s">
        <v>32733</v>
      </c>
      <c r="V2026" s="1" t="s">
        <v>32734</v>
      </c>
      <c r="W2026" s="1" t="s">
        <v>32735</v>
      </c>
      <c r="X2026" s="1" t="s">
        <v>32736</v>
      </c>
      <c r="Y2026" s="1" t="s">
        <v>32737</v>
      </c>
      <c r="Z2026" s="1" t="s">
        <v>32738</v>
      </c>
      <c r="AA2026" s="1" t="s">
        <v>32739</v>
      </c>
      <c r="AB2026" s="1" t="s">
        <v>32740</v>
      </c>
      <c r="AC2026" s="1" t="s">
        <v>32741</v>
      </c>
      <c r="AD2026" s="1" t="s">
        <v>32742</v>
      </c>
      <c r="AE2026" s="1" t="s">
        <v>32743</v>
      </c>
      <c r="AF2026" s="1" t="s">
        <v>74</v>
      </c>
      <c r="AG2026" s="1">
        <v>24</v>
      </c>
      <c r="AH2026" s="1">
        <v>59</v>
      </c>
      <c r="AI2026" s="1">
        <v>66</v>
      </c>
      <c r="AJ2026" s="1">
        <v>0</v>
      </c>
      <c r="AK2026" s="1">
        <v>37</v>
      </c>
      <c r="AL2026" s="1" t="s">
        <v>430</v>
      </c>
      <c r="AM2026" s="1" t="s">
        <v>137</v>
      </c>
      <c r="AN2026" s="1" t="s">
        <v>431</v>
      </c>
      <c r="AO2026" s="1" t="s">
        <v>432</v>
      </c>
      <c r="AP2026" s="1" t="s">
        <v>1394</v>
      </c>
      <c r="AQ2026" s="1" t="s">
        <v>74</v>
      </c>
      <c r="AR2026" s="1" t="s">
        <v>433</v>
      </c>
      <c r="AS2026" s="1" t="s">
        <v>434</v>
      </c>
      <c r="AT2026" s="1" t="s">
        <v>32744</v>
      </c>
      <c r="AU2026" s="1">
        <v>2009</v>
      </c>
      <c r="AV2026" s="1">
        <v>157</v>
      </c>
      <c r="AW2026" s="1">
        <v>3</v>
      </c>
      <c r="AX2026" s="1" t="s">
        <v>74</v>
      </c>
      <c r="AY2026" s="1" t="s">
        <v>74</v>
      </c>
      <c r="AZ2026" s="1" t="s">
        <v>74</v>
      </c>
      <c r="BA2026" s="1" t="s">
        <v>74</v>
      </c>
      <c r="BB2026" s="1">
        <v>881</v>
      </c>
      <c r="BC2026" s="1">
        <v>886</v>
      </c>
      <c r="BD2026" s="1" t="s">
        <v>74</v>
      </c>
      <c r="BE2026" s="1" t="s">
        <v>32745</v>
      </c>
      <c r="BF2026" s="1" t="str">
        <f>HYPERLINK("http://dx.doi.org/10.1016/j.envpol.2008.11.005","http://dx.doi.org/10.1016/j.envpol.2008.11.005")</f>
        <v>http://dx.doi.org/10.1016/j.envpol.2008.11.005</v>
      </c>
      <c r="BG2026" s="1" t="s">
        <v>74</v>
      </c>
      <c r="BH2026" s="1" t="s">
        <v>74</v>
      </c>
      <c r="BI2026" s="1">
        <v>6</v>
      </c>
      <c r="BJ2026" s="1" t="s">
        <v>144</v>
      </c>
      <c r="BK2026" s="1" t="s">
        <v>96</v>
      </c>
      <c r="BL2026" s="1" t="s">
        <v>145</v>
      </c>
      <c r="BM2026" s="1" t="s">
        <v>32746</v>
      </c>
      <c r="BN2026" s="1">
        <v>19081658</v>
      </c>
      <c r="BO2026" s="1" t="s">
        <v>74</v>
      </c>
      <c r="BP2026" s="1" t="s">
        <v>74</v>
      </c>
      <c r="BQ2026" s="1" t="s">
        <v>74</v>
      </c>
      <c r="BR2026" s="1" t="s">
        <v>98</v>
      </c>
      <c r="BS2026" s="1" t="s">
        <v>32747</v>
      </c>
      <c r="BT2026" s="1" t="str">
        <f>HYPERLINK("https%3A%2F%2Fwww.webofscience.com%2Fwos%2Fwoscc%2Ffull-record%2FWOS:000263454100023","View Full Record in Web of Science")</f>
        <v>View Full Record in Web of Science</v>
      </c>
      <c r="BU2026" s="1"/>
      <c r="BV2026" s="1"/>
    </row>
    <row r="2027" spans="1:74">
      <c r="A2027" s="1" t="s">
        <v>72</v>
      </c>
      <c r="B2027" s="1" t="s">
        <v>32748</v>
      </c>
      <c r="C2027" s="1" t="s">
        <v>74</v>
      </c>
      <c r="D2027" s="1" t="s">
        <v>74</v>
      </c>
      <c r="E2027" s="1" t="s">
        <v>74</v>
      </c>
      <c r="F2027" s="1" t="s">
        <v>32749</v>
      </c>
      <c r="G2027" s="1" t="s">
        <v>74</v>
      </c>
      <c r="H2027" s="1" t="s">
        <v>74</v>
      </c>
      <c r="I2027" s="1" t="s">
        <v>32750</v>
      </c>
      <c r="J2027" s="1" t="s">
        <v>421</v>
      </c>
      <c r="K2027" s="1" t="s">
        <v>74</v>
      </c>
      <c r="L2027" s="1" t="s">
        <v>74</v>
      </c>
      <c r="M2027" s="1" t="s">
        <v>78</v>
      </c>
      <c r="N2027" s="1" t="s">
        <v>79</v>
      </c>
      <c r="O2027" s="1" t="s">
        <v>74</v>
      </c>
      <c r="P2027" s="1" t="s">
        <v>74</v>
      </c>
      <c r="Q2027" s="1" t="s">
        <v>74</v>
      </c>
      <c r="R2027" s="1" t="s">
        <v>74</v>
      </c>
      <c r="S2027" s="1" t="s">
        <v>74</v>
      </c>
      <c r="T2027" s="1" t="s">
        <v>32751</v>
      </c>
      <c r="U2027" s="1" t="s">
        <v>32752</v>
      </c>
      <c r="V2027" s="1" t="s">
        <v>32753</v>
      </c>
      <c r="W2027" s="1" t="s">
        <v>32754</v>
      </c>
      <c r="X2027" s="1" t="s">
        <v>25649</v>
      </c>
      <c r="Y2027" s="1" t="s">
        <v>32755</v>
      </c>
      <c r="Z2027" s="1" t="s">
        <v>32756</v>
      </c>
      <c r="AA2027" s="1" t="s">
        <v>32757</v>
      </c>
      <c r="AB2027" s="1" t="s">
        <v>32758</v>
      </c>
      <c r="AC2027" s="1" t="s">
        <v>32759</v>
      </c>
      <c r="AD2027" s="1" t="s">
        <v>32760</v>
      </c>
      <c r="AE2027" s="1" t="s">
        <v>32761</v>
      </c>
      <c r="AF2027" s="1" t="s">
        <v>74</v>
      </c>
      <c r="AG2027" s="1">
        <v>90</v>
      </c>
      <c r="AH2027" s="1">
        <v>5</v>
      </c>
      <c r="AI2027" s="1">
        <v>5</v>
      </c>
      <c r="AJ2027" s="1">
        <v>5</v>
      </c>
      <c r="AK2027" s="1">
        <v>25</v>
      </c>
      <c r="AL2027" s="1" t="s">
        <v>430</v>
      </c>
      <c r="AM2027" s="1" t="s">
        <v>137</v>
      </c>
      <c r="AN2027" s="1" t="s">
        <v>431</v>
      </c>
      <c r="AO2027" s="1" t="s">
        <v>432</v>
      </c>
      <c r="AP2027" s="1" t="s">
        <v>1394</v>
      </c>
      <c r="AQ2027" s="1" t="s">
        <v>74</v>
      </c>
      <c r="AR2027" s="1" t="s">
        <v>433</v>
      </c>
      <c r="AS2027" s="1" t="s">
        <v>434</v>
      </c>
      <c r="AT2027" s="1" t="s">
        <v>3542</v>
      </c>
      <c r="AU2027" s="1">
        <v>2023</v>
      </c>
      <c r="AV2027" s="1">
        <v>334</v>
      </c>
      <c r="AW2027" s="1" t="s">
        <v>74</v>
      </c>
      <c r="AX2027" s="1" t="s">
        <v>74</v>
      </c>
      <c r="AY2027" s="1" t="s">
        <v>74</v>
      </c>
      <c r="AZ2027" s="1" t="s">
        <v>74</v>
      </c>
      <c r="BA2027" s="1" t="s">
        <v>74</v>
      </c>
      <c r="BB2027" s="1" t="s">
        <v>74</v>
      </c>
      <c r="BC2027" s="1" t="s">
        <v>74</v>
      </c>
      <c r="BD2027" s="1">
        <v>122244</v>
      </c>
      <c r="BE2027" s="1" t="s">
        <v>32762</v>
      </c>
      <c r="BF2027" s="1" t="str">
        <f>HYPERLINK("http://dx.doi.org/10.1016/j.envpol.2023.122244","http://dx.doi.org/10.1016/j.envpol.2023.122244")</f>
        <v>http://dx.doi.org/10.1016/j.envpol.2023.122244</v>
      </c>
      <c r="BG2027" s="1" t="s">
        <v>74</v>
      </c>
      <c r="BH2027" s="1" t="s">
        <v>1121</v>
      </c>
      <c r="BI2027" s="1">
        <v>11</v>
      </c>
      <c r="BJ2027" s="1" t="s">
        <v>144</v>
      </c>
      <c r="BK2027" s="1" t="s">
        <v>96</v>
      </c>
      <c r="BL2027" s="1" t="s">
        <v>145</v>
      </c>
      <c r="BM2027" s="1" t="s">
        <v>32763</v>
      </c>
      <c r="BN2027" s="1">
        <v>37482340</v>
      </c>
      <c r="BO2027" s="1" t="s">
        <v>74</v>
      </c>
      <c r="BP2027" s="1" t="s">
        <v>74</v>
      </c>
      <c r="BQ2027" s="1" t="s">
        <v>74</v>
      </c>
      <c r="BR2027" s="1" t="s">
        <v>98</v>
      </c>
      <c r="BS2027" s="1" t="s">
        <v>32764</v>
      </c>
      <c r="BT2027" s="1" t="str">
        <f>HYPERLINK("https%3A%2F%2Fwww.webofscience.com%2Fwos%2Fwoscc%2Ffull-record%2FWOS:001048816500001","View Full Record in Web of Science")</f>
        <v>View Full Record in Web of Science</v>
      </c>
      <c r="BU2027" s="1"/>
      <c r="BV2027" s="1"/>
    </row>
    <row r="2028" spans="1:74">
      <c r="A2028" s="1" t="s">
        <v>72</v>
      </c>
      <c r="B2028" s="1" t="s">
        <v>32765</v>
      </c>
      <c r="C2028" s="1" t="s">
        <v>74</v>
      </c>
      <c r="D2028" s="1" t="s">
        <v>74</v>
      </c>
      <c r="E2028" s="1" t="s">
        <v>74</v>
      </c>
      <c r="F2028" s="1" t="s">
        <v>32766</v>
      </c>
      <c r="G2028" s="1" t="s">
        <v>74</v>
      </c>
      <c r="H2028" s="1" t="s">
        <v>74</v>
      </c>
      <c r="I2028" s="1" t="s">
        <v>32767</v>
      </c>
      <c r="J2028" s="1" t="s">
        <v>595</v>
      </c>
      <c r="K2028" s="1" t="s">
        <v>74</v>
      </c>
      <c r="L2028" s="1" t="s">
        <v>74</v>
      </c>
      <c r="M2028" s="1" t="s">
        <v>78</v>
      </c>
      <c r="N2028" s="1" t="s">
        <v>79</v>
      </c>
      <c r="O2028" s="1" t="s">
        <v>74</v>
      </c>
      <c r="P2028" s="1" t="s">
        <v>74</v>
      </c>
      <c r="Q2028" s="1" t="s">
        <v>74</v>
      </c>
      <c r="R2028" s="1" t="s">
        <v>74</v>
      </c>
      <c r="S2028" s="1" t="s">
        <v>74</v>
      </c>
      <c r="T2028" s="1" t="s">
        <v>32768</v>
      </c>
      <c r="U2028" s="1" t="s">
        <v>32769</v>
      </c>
      <c r="V2028" s="1" t="s">
        <v>32770</v>
      </c>
      <c r="W2028" s="1" t="s">
        <v>32771</v>
      </c>
      <c r="X2028" s="1" t="s">
        <v>32772</v>
      </c>
      <c r="Y2028" s="1" t="s">
        <v>32773</v>
      </c>
      <c r="Z2028" s="1" t="s">
        <v>3709</v>
      </c>
      <c r="AA2028" s="1" t="s">
        <v>603</v>
      </c>
      <c r="AB2028" s="1" t="s">
        <v>604</v>
      </c>
      <c r="AC2028" s="1" t="s">
        <v>32774</v>
      </c>
      <c r="AD2028" s="1" t="s">
        <v>32775</v>
      </c>
      <c r="AE2028" s="1" t="s">
        <v>32776</v>
      </c>
      <c r="AF2028" s="1" t="s">
        <v>74</v>
      </c>
      <c r="AG2028" s="1">
        <v>35</v>
      </c>
      <c r="AH2028" s="1">
        <v>19</v>
      </c>
      <c r="AI2028" s="1">
        <v>20</v>
      </c>
      <c r="AJ2028" s="1">
        <v>0</v>
      </c>
      <c r="AK2028" s="1">
        <v>48</v>
      </c>
      <c r="AL2028" s="1" t="s">
        <v>112</v>
      </c>
      <c r="AM2028" s="1" t="s">
        <v>191</v>
      </c>
      <c r="AN2028" s="1" t="s">
        <v>192</v>
      </c>
      <c r="AO2028" s="1" t="s">
        <v>608</v>
      </c>
      <c r="AP2028" s="1" t="s">
        <v>74</v>
      </c>
      <c r="AQ2028" s="1" t="s">
        <v>74</v>
      </c>
      <c r="AR2028" s="1" t="s">
        <v>595</v>
      </c>
      <c r="AS2028" s="1" t="s">
        <v>610</v>
      </c>
      <c r="AT2028" s="1" t="s">
        <v>1470</v>
      </c>
      <c r="AU2028" s="1">
        <v>2012</v>
      </c>
      <c r="AV2028" s="1">
        <v>21</v>
      </c>
      <c r="AW2028" s="1">
        <v>1</v>
      </c>
      <c r="AX2028" s="1" t="s">
        <v>74</v>
      </c>
      <c r="AY2028" s="1" t="s">
        <v>74</v>
      </c>
      <c r="AZ2028" s="1" t="s">
        <v>74</v>
      </c>
      <c r="BA2028" s="1" t="s">
        <v>74</v>
      </c>
      <c r="BB2028" s="1">
        <v>104</v>
      </c>
      <c r="BC2028" s="1">
        <v>110</v>
      </c>
      <c r="BD2028" s="1" t="s">
        <v>74</v>
      </c>
      <c r="BE2028" s="1" t="s">
        <v>32777</v>
      </c>
      <c r="BF2028" s="1" t="str">
        <f>HYPERLINK("http://dx.doi.org/10.1007/s10646-011-0770-6","http://dx.doi.org/10.1007/s10646-011-0770-6")</f>
        <v>http://dx.doi.org/10.1007/s10646-011-0770-6</v>
      </c>
      <c r="BG2028" s="1" t="s">
        <v>74</v>
      </c>
      <c r="BH2028" s="1" t="s">
        <v>74</v>
      </c>
      <c r="BI2028" s="1">
        <v>7</v>
      </c>
      <c r="BJ2028" s="1" t="s">
        <v>612</v>
      </c>
      <c r="BK2028" s="1" t="s">
        <v>96</v>
      </c>
      <c r="BL2028" s="1" t="s">
        <v>122</v>
      </c>
      <c r="BM2028" s="1" t="s">
        <v>32778</v>
      </c>
      <c r="BN2028" s="1">
        <v>21858512</v>
      </c>
      <c r="BO2028" s="1" t="s">
        <v>74</v>
      </c>
      <c r="BP2028" s="1" t="s">
        <v>74</v>
      </c>
      <c r="BQ2028" s="1" t="s">
        <v>74</v>
      </c>
      <c r="BR2028" s="1" t="s">
        <v>98</v>
      </c>
      <c r="BS2028" s="1" t="s">
        <v>32779</v>
      </c>
      <c r="BT2028" s="1" t="str">
        <f>HYPERLINK("https%3A%2F%2Fwww.webofscience.com%2Fwos%2Fwoscc%2Ffull-record%2FWOS:000298996900012","View Full Record in Web of Science")</f>
        <v>View Full Record in Web of Science</v>
      </c>
      <c r="BU2028" s="1"/>
      <c r="BV2028" s="1"/>
    </row>
    <row r="2029" spans="1:74">
      <c r="A2029" s="1" t="s">
        <v>72</v>
      </c>
      <c r="B2029" s="1" t="s">
        <v>32780</v>
      </c>
      <c r="C2029" s="1" t="s">
        <v>74</v>
      </c>
      <c r="D2029" s="1" t="s">
        <v>74</v>
      </c>
      <c r="E2029" s="1" t="s">
        <v>74</v>
      </c>
      <c r="F2029" s="1" t="s">
        <v>32781</v>
      </c>
      <c r="G2029" s="1" t="s">
        <v>74</v>
      </c>
      <c r="H2029" s="1" t="s">
        <v>74</v>
      </c>
      <c r="I2029" s="1" t="s">
        <v>32782</v>
      </c>
      <c r="J2029" s="1" t="s">
        <v>2581</v>
      </c>
      <c r="K2029" s="1" t="s">
        <v>74</v>
      </c>
      <c r="L2029" s="1" t="s">
        <v>74</v>
      </c>
      <c r="M2029" s="1" t="s">
        <v>78</v>
      </c>
      <c r="N2029" s="1" t="s">
        <v>79</v>
      </c>
      <c r="O2029" s="1" t="s">
        <v>74</v>
      </c>
      <c r="P2029" s="1" t="s">
        <v>74</v>
      </c>
      <c r="Q2029" s="1" t="s">
        <v>74</v>
      </c>
      <c r="R2029" s="1" t="s">
        <v>74</v>
      </c>
      <c r="S2029" s="1" t="s">
        <v>74</v>
      </c>
      <c r="T2029" s="1" t="s">
        <v>32783</v>
      </c>
      <c r="U2029" s="1" t="s">
        <v>32784</v>
      </c>
      <c r="V2029" s="1" t="s">
        <v>32785</v>
      </c>
      <c r="W2029" s="1" t="s">
        <v>32786</v>
      </c>
      <c r="X2029" s="1" t="s">
        <v>32787</v>
      </c>
      <c r="Y2029" s="1" t="s">
        <v>32788</v>
      </c>
      <c r="Z2029" s="1" t="s">
        <v>15750</v>
      </c>
      <c r="AA2029" s="1" t="s">
        <v>32789</v>
      </c>
      <c r="AB2029" s="1" t="s">
        <v>32790</v>
      </c>
      <c r="AC2029" s="1" t="s">
        <v>74</v>
      </c>
      <c r="AD2029" s="1" t="s">
        <v>74</v>
      </c>
      <c r="AE2029" s="1" t="s">
        <v>74</v>
      </c>
      <c r="AF2029" s="1" t="s">
        <v>74</v>
      </c>
      <c r="AG2029" s="1">
        <v>115</v>
      </c>
      <c r="AH2029" s="1">
        <v>0</v>
      </c>
      <c r="AI2029" s="1">
        <v>0</v>
      </c>
      <c r="AJ2029" s="1">
        <v>1</v>
      </c>
      <c r="AK2029" s="1">
        <v>1</v>
      </c>
      <c r="AL2029" s="1" t="s">
        <v>430</v>
      </c>
      <c r="AM2029" s="1" t="s">
        <v>7361</v>
      </c>
      <c r="AN2029" s="1" t="s">
        <v>7362</v>
      </c>
      <c r="AO2029" s="1" t="s">
        <v>2593</v>
      </c>
      <c r="AP2029" s="1" t="s">
        <v>2594</v>
      </c>
      <c r="AQ2029" s="1" t="s">
        <v>74</v>
      </c>
      <c r="AR2029" s="1" t="s">
        <v>2581</v>
      </c>
      <c r="AS2029" s="1" t="s">
        <v>2595</v>
      </c>
      <c r="AT2029" s="1" t="s">
        <v>197</v>
      </c>
      <c r="AU2029" s="1">
        <v>2024</v>
      </c>
      <c r="AV2029" s="1">
        <v>166</v>
      </c>
      <c r="AW2029" s="1" t="s">
        <v>74</v>
      </c>
      <c r="AX2029" s="1" t="s">
        <v>74</v>
      </c>
      <c r="AY2029" s="1" t="s">
        <v>74</v>
      </c>
      <c r="AZ2029" s="1" t="s">
        <v>74</v>
      </c>
      <c r="BA2029" s="1" t="s">
        <v>74</v>
      </c>
      <c r="BB2029" s="1" t="s">
        <v>74</v>
      </c>
      <c r="BC2029" s="1" t="s">
        <v>74</v>
      </c>
      <c r="BD2029" s="1">
        <v>110700</v>
      </c>
      <c r="BE2029" s="1" t="s">
        <v>32791</v>
      </c>
      <c r="BF2029" s="1" t="str">
        <f>HYPERLINK("http://dx.doi.org/10.1016/j.foodcont.2024.110700","http://dx.doi.org/10.1016/j.foodcont.2024.110700")</f>
        <v>http://dx.doi.org/10.1016/j.foodcont.2024.110700</v>
      </c>
      <c r="BG2029" s="1" t="s">
        <v>74</v>
      </c>
      <c r="BH2029" s="1" t="s">
        <v>5962</v>
      </c>
      <c r="BI2029" s="1">
        <v>13</v>
      </c>
      <c r="BJ2029" s="1" t="s">
        <v>2598</v>
      </c>
      <c r="BK2029" s="1" t="s">
        <v>96</v>
      </c>
      <c r="BL2029" s="1" t="s">
        <v>2598</v>
      </c>
      <c r="BM2029" s="1" t="s">
        <v>32792</v>
      </c>
      <c r="BN2029" s="1" t="s">
        <v>74</v>
      </c>
      <c r="BO2029" s="1" t="s">
        <v>74</v>
      </c>
      <c r="BP2029" s="1" t="s">
        <v>74</v>
      </c>
      <c r="BQ2029" s="1" t="s">
        <v>74</v>
      </c>
      <c r="BR2029" s="1" t="s">
        <v>98</v>
      </c>
      <c r="BS2029" s="1" t="s">
        <v>32793</v>
      </c>
      <c r="BT2029" s="1" t="str">
        <f>HYPERLINK("https%3A%2F%2Fwww.webofscience.com%2Fwos%2Fwoscc%2Ffull-record%2FWOS:001270703000001","View Full Record in Web of Science")</f>
        <v>View Full Record in Web of Science</v>
      </c>
      <c r="BU2029" s="1"/>
      <c r="BV2029" s="1"/>
    </row>
    <row r="2030" spans="1:74">
      <c r="A2030" s="1" t="s">
        <v>72</v>
      </c>
      <c r="B2030" s="1" t="s">
        <v>32794</v>
      </c>
      <c r="C2030" s="1" t="s">
        <v>74</v>
      </c>
      <c r="D2030" s="1" t="s">
        <v>74</v>
      </c>
      <c r="E2030" s="1" t="s">
        <v>74</v>
      </c>
      <c r="F2030" s="1" t="s">
        <v>32795</v>
      </c>
      <c r="G2030" s="1" t="s">
        <v>74</v>
      </c>
      <c r="H2030" s="1" t="s">
        <v>74</v>
      </c>
      <c r="I2030" s="1" t="s">
        <v>32796</v>
      </c>
      <c r="J2030" s="1" t="s">
        <v>641</v>
      </c>
      <c r="K2030" s="1" t="s">
        <v>74</v>
      </c>
      <c r="L2030" s="1" t="s">
        <v>74</v>
      </c>
      <c r="M2030" s="1" t="s">
        <v>78</v>
      </c>
      <c r="N2030" s="1" t="s">
        <v>79</v>
      </c>
      <c r="O2030" s="1" t="s">
        <v>74</v>
      </c>
      <c r="P2030" s="1" t="s">
        <v>74</v>
      </c>
      <c r="Q2030" s="1" t="s">
        <v>74</v>
      </c>
      <c r="R2030" s="1" t="s">
        <v>74</v>
      </c>
      <c r="S2030" s="1" t="s">
        <v>74</v>
      </c>
      <c r="T2030" s="1" t="s">
        <v>32797</v>
      </c>
      <c r="U2030" s="1" t="s">
        <v>32798</v>
      </c>
      <c r="V2030" s="1" t="s">
        <v>32799</v>
      </c>
      <c r="W2030" s="1" t="s">
        <v>32800</v>
      </c>
      <c r="X2030" s="1" t="s">
        <v>32801</v>
      </c>
      <c r="Y2030" s="1" t="s">
        <v>32802</v>
      </c>
      <c r="Z2030" s="1" t="s">
        <v>32803</v>
      </c>
      <c r="AA2030" s="1" t="s">
        <v>32804</v>
      </c>
      <c r="AB2030" s="1" t="s">
        <v>32805</v>
      </c>
      <c r="AC2030" s="1" t="s">
        <v>32806</v>
      </c>
      <c r="AD2030" s="1" t="s">
        <v>32807</v>
      </c>
      <c r="AE2030" s="1" t="s">
        <v>32808</v>
      </c>
      <c r="AF2030" s="1" t="s">
        <v>74</v>
      </c>
      <c r="AG2030" s="1">
        <v>78</v>
      </c>
      <c r="AH2030" s="1">
        <v>29</v>
      </c>
      <c r="AI2030" s="1">
        <v>30</v>
      </c>
      <c r="AJ2030" s="1">
        <v>6</v>
      </c>
      <c r="AK2030" s="1">
        <v>66</v>
      </c>
      <c r="AL2030" s="1" t="s">
        <v>650</v>
      </c>
      <c r="AM2030" s="1" t="s">
        <v>651</v>
      </c>
      <c r="AN2030" s="1" t="s">
        <v>652</v>
      </c>
      <c r="AO2030" s="1" t="s">
        <v>653</v>
      </c>
      <c r="AP2030" s="1" t="s">
        <v>654</v>
      </c>
      <c r="AQ2030" s="1" t="s">
        <v>74</v>
      </c>
      <c r="AR2030" s="1" t="s">
        <v>655</v>
      </c>
      <c r="AS2030" s="1" t="s">
        <v>656</v>
      </c>
      <c r="AT2030" s="1" t="s">
        <v>1223</v>
      </c>
      <c r="AU2030" s="1">
        <v>2018</v>
      </c>
      <c r="AV2030" s="1">
        <v>196</v>
      </c>
      <c r="AW2030" s="1" t="s">
        <v>74</v>
      </c>
      <c r="AX2030" s="1" t="s">
        <v>74</v>
      </c>
      <c r="AY2030" s="1" t="s">
        <v>74</v>
      </c>
      <c r="AZ2030" s="1" t="s">
        <v>74</v>
      </c>
      <c r="BA2030" s="1" t="s">
        <v>74</v>
      </c>
      <c r="BB2030" s="1">
        <v>25</v>
      </c>
      <c r="BC2030" s="1">
        <v>34</v>
      </c>
      <c r="BD2030" s="1" t="s">
        <v>74</v>
      </c>
      <c r="BE2030" s="1" t="s">
        <v>32809</v>
      </c>
      <c r="BF2030" s="1" t="str">
        <f>HYPERLINK("http://dx.doi.org/10.1016/j.aquatox.2018.01.002","http://dx.doi.org/10.1016/j.aquatox.2018.01.002")</f>
        <v>http://dx.doi.org/10.1016/j.aquatox.2018.01.002</v>
      </c>
      <c r="BG2030" s="1" t="s">
        <v>74</v>
      </c>
      <c r="BH2030" s="1" t="s">
        <v>74</v>
      </c>
      <c r="BI2030" s="1">
        <v>10</v>
      </c>
      <c r="BJ2030" s="1" t="s">
        <v>659</v>
      </c>
      <c r="BK2030" s="1" t="s">
        <v>96</v>
      </c>
      <c r="BL2030" s="1" t="s">
        <v>659</v>
      </c>
      <c r="BM2030" s="1" t="s">
        <v>19058</v>
      </c>
      <c r="BN2030" s="1">
        <v>29328973</v>
      </c>
      <c r="BO2030" s="1" t="s">
        <v>74</v>
      </c>
      <c r="BP2030" s="1" t="s">
        <v>74</v>
      </c>
      <c r="BQ2030" s="1" t="s">
        <v>74</v>
      </c>
      <c r="BR2030" s="1" t="s">
        <v>98</v>
      </c>
      <c r="BS2030" s="1" t="s">
        <v>32810</v>
      </c>
      <c r="BT2030" s="1" t="str">
        <f>HYPERLINK("https%3A%2F%2Fwww.webofscience.com%2Fwos%2Fwoscc%2Ffull-record%2FWOS:000426411600004","View Full Record in Web of Science")</f>
        <v>View Full Record in Web of Science</v>
      </c>
      <c r="BU2030" s="1"/>
      <c r="BV2030" s="1"/>
    </row>
    <row r="2031" spans="1:74">
      <c r="A2031" s="1" t="s">
        <v>72</v>
      </c>
      <c r="B2031" s="1" t="s">
        <v>32811</v>
      </c>
      <c r="C2031" s="1" t="s">
        <v>74</v>
      </c>
      <c r="D2031" s="1" t="s">
        <v>74</v>
      </c>
      <c r="E2031" s="1" t="s">
        <v>74</v>
      </c>
      <c r="F2031" s="1" t="s">
        <v>32812</v>
      </c>
      <c r="G2031" s="1" t="s">
        <v>74</v>
      </c>
      <c r="H2031" s="1" t="s">
        <v>74</v>
      </c>
      <c r="I2031" s="1" t="s">
        <v>32813</v>
      </c>
      <c r="J2031" s="1" t="s">
        <v>421</v>
      </c>
      <c r="K2031" s="1" t="s">
        <v>74</v>
      </c>
      <c r="L2031" s="1" t="s">
        <v>74</v>
      </c>
      <c r="M2031" s="1" t="s">
        <v>78</v>
      </c>
      <c r="N2031" s="1" t="s">
        <v>79</v>
      </c>
      <c r="O2031" s="1" t="s">
        <v>74</v>
      </c>
      <c r="P2031" s="1" t="s">
        <v>74</v>
      </c>
      <c r="Q2031" s="1" t="s">
        <v>74</v>
      </c>
      <c r="R2031" s="1" t="s">
        <v>74</v>
      </c>
      <c r="S2031" s="1" t="s">
        <v>74</v>
      </c>
      <c r="T2031" s="1" t="s">
        <v>32814</v>
      </c>
      <c r="U2031" s="1" t="s">
        <v>32815</v>
      </c>
      <c r="V2031" s="1" t="s">
        <v>32816</v>
      </c>
      <c r="W2031" s="1" t="s">
        <v>32817</v>
      </c>
      <c r="X2031" s="1" t="s">
        <v>32818</v>
      </c>
      <c r="Y2031" s="1" t="s">
        <v>32819</v>
      </c>
      <c r="Z2031" s="1" t="s">
        <v>32820</v>
      </c>
      <c r="AA2031" s="1" t="s">
        <v>74</v>
      </c>
      <c r="AB2031" s="1" t="s">
        <v>32821</v>
      </c>
      <c r="AC2031" s="1" t="s">
        <v>74</v>
      </c>
      <c r="AD2031" s="1" t="s">
        <v>74</v>
      </c>
      <c r="AE2031" s="1" t="s">
        <v>74</v>
      </c>
      <c r="AF2031" s="1" t="s">
        <v>74</v>
      </c>
      <c r="AG2031" s="1">
        <v>64</v>
      </c>
      <c r="AH2031" s="1">
        <v>6</v>
      </c>
      <c r="AI2031" s="1">
        <v>6</v>
      </c>
      <c r="AJ2031" s="1">
        <v>2</v>
      </c>
      <c r="AK2031" s="1">
        <v>56</v>
      </c>
      <c r="AL2031" s="1" t="s">
        <v>430</v>
      </c>
      <c r="AM2031" s="1" t="s">
        <v>137</v>
      </c>
      <c r="AN2031" s="1" t="s">
        <v>431</v>
      </c>
      <c r="AO2031" s="1" t="s">
        <v>432</v>
      </c>
      <c r="AP2031" s="1" t="s">
        <v>1394</v>
      </c>
      <c r="AQ2031" s="1" t="s">
        <v>74</v>
      </c>
      <c r="AR2031" s="1" t="s">
        <v>433</v>
      </c>
      <c r="AS2031" s="1" t="s">
        <v>434</v>
      </c>
      <c r="AT2031" s="1" t="s">
        <v>11873</v>
      </c>
      <c r="AU2031" s="1">
        <v>2022</v>
      </c>
      <c r="AV2031" s="1">
        <v>292</v>
      </c>
      <c r="AW2031" s="1" t="s">
        <v>74</v>
      </c>
      <c r="AX2031" s="1" t="s">
        <v>489</v>
      </c>
      <c r="AY2031" s="1" t="s">
        <v>74</v>
      </c>
      <c r="AZ2031" s="1" t="s">
        <v>74</v>
      </c>
      <c r="BA2031" s="1" t="s">
        <v>74</v>
      </c>
      <c r="BB2031" s="1" t="s">
        <v>74</v>
      </c>
      <c r="BC2031" s="1" t="s">
        <v>74</v>
      </c>
      <c r="BD2031" s="1">
        <v>118330</v>
      </c>
      <c r="BE2031" s="1" t="s">
        <v>32822</v>
      </c>
      <c r="BF2031" s="1" t="str">
        <f>HYPERLINK("http://dx.doi.org/10.1016/j.envpol.2021.118330","http://dx.doi.org/10.1016/j.envpol.2021.118330")</f>
        <v>http://dx.doi.org/10.1016/j.envpol.2021.118330</v>
      </c>
      <c r="BG2031" s="1" t="s">
        <v>74</v>
      </c>
      <c r="BH2031" s="1" t="s">
        <v>2170</v>
      </c>
      <c r="BI2031" s="1">
        <v>11</v>
      </c>
      <c r="BJ2031" s="1" t="s">
        <v>144</v>
      </c>
      <c r="BK2031" s="1" t="s">
        <v>96</v>
      </c>
      <c r="BL2031" s="1" t="s">
        <v>145</v>
      </c>
      <c r="BM2031" s="1" t="s">
        <v>32823</v>
      </c>
      <c r="BN2031" s="1">
        <v>34634398</v>
      </c>
      <c r="BO2031" s="1" t="s">
        <v>74</v>
      </c>
      <c r="BP2031" s="1" t="s">
        <v>74</v>
      </c>
      <c r="BQ2031" s="1" t="s">
        <v>74</v>
      </c>
      <c r="BR2031" s="1" t="s">
        <v>98</v>
      </c>
      <c r="BS2031" s="1" t="s">
        <v>32824</v>
      </c>
      <c r="BT2031" s="1" t="str">
        <f>HYPERLINK("https%3A%2F%2Fwww.webofscience.com%2Fwos%2Fwoscc%2Ffull-record%2FWOS:000711693100008","View Full Record in Web of Science")</f>
        <v>View Full Record in Web of Science</v>
      </c>
      <c r="BU2031" s="1"/>
      <c r="BV2031" s="1"/>
    </row>
    <row r="2032" spans="1:74">
      <c r="A2032" s="1" t="s">
        <v>72</v>
      </c>
      <c r="B2032" s="1" t="s">
        <v>32825</v>
      </c>
      <c r="C2032" s="1" t="s">
        <v>74</v>
      </c>
      <c r="D2032" s="1" t="s">
        <v>74</v>
      </c>
      <c r="E2032" s="1" t="s">
        <v>74</v>
      </c>
      <c r="F2032" s="1" t="s">
        <v>32826</v>
      </c>
      <c r="G2032" s="1" t="s">
        <v>74</v>
      </c>
      <c r="H2032" s="1" t="s">
        <v>74</v>
      </c>
      <c r="I2032" s="1" t="s">
        <v>32827</v>
      </c>
      <c r="J2032" s="1" t="s">
        <v>7097</v>
      </c>
      <c r="K2032" s="1" t="s">
        <v>74</v>
      </c>
      <c r="L2032" s="1" t="s">
        <v>74</v>
      </c>
      <c r="M2032" s="1" t="s">
        <v>78</v>
      </c>
      <c r="N2032" s="1" t="s">
        <v>79</v>
      </c>
      <c r="O2032" s="1" t="s">
        <v>74</v>
      </c>
      <c r="P2032" s="1" t="s">
        <v>74</v>
      </c>
      <c r="Q2032" s="1" t="s">
        <v>74</v>
      </c>
      <c r="R2032" s="1" t="s">
        <v>74</v>
      </c>
      <c r="S2032" s="1" t="s">
        <v>74</v>
      </c>
      <c r="T2032" s="1" t="s">
        <v>32828</v>
      </c>
      <c r="U2032" s="1" t="s">
        <v>32829</v>
      </c>
      <c r="V2032" s="1" t="s">
        <v>32830</v>
      </c>
      <c r="W2032" s="1" t="s">
        <v>32831</v>
      </c>
      <c r="X2032" s="1" t="s">
        <v>3553</v>
      </c>
      <c r="Y2032" s="1" t="s">
        <v>32832</v>
      </c>
      <c r="Z2032" s="1" t="s">
        <v>32833</v>
      </c>
      <c r="AA2032" s="1" t="s">
        <v>32834</v>
      </c>
      <c r="AB2032" s="1" t="s">
        <v>32835</v>
      </c>
      <c r="AC2032" s="1" t="s">
        <v>32836</v>
      </c>
      <c r="AD2032" s="1" t="s">
        <v>32837</v>
      </c>
      <c r="AE2032" s="1" t="s">
        <v>32838</v>
      </c>
      <c r="AF2032" s="1" t="s">
        <v>74</v>
      </c>
      <c r="AG2032" s="1">
        <v>60</v>
      </c>
      <c r="AH2032" s="1">
        <v>30</v>
      </c>
      <c r="AI2032" s="1">
        <v>34</v>
      </c>
      <c r="AJ2032" s="1">
        <v>0</v>
      </c>
      <c r="AK2032" s="1">
        <v>56</v>
      </c>
      <c r="AL2032" s="1" t="s">
        <v>919</v>
      </c>
      <c r="AM2032" s="1" t="s">
        <v>651</v>
      </c>
      <c r="AN2032" s="1" t="s">
        <v>920</v>
      </c>
      <c r="AO2032" s="1" t="s">
        <v>7110</v>
      </c>
      <c r="AP2032" s="1" t="s">
        <v>7111</v>
      </c>
      <c r="AQ2032" s="1" t="s">
        <v>74</v>
      </c>
      <c r="AR2032" s="1" t="s">
        <v>7112</v>
      </c>
      <c r="AS2032" s="1" t="s">
        <v>7113</v>
      </c>
      <c r="AT2032" s="1" t="s">
        <v>305</v>
      </c>
      <c r="AU2032" s="1">
        <v>2013</v>
      </c>
      <c r="AV2032" s="1">
        <v>32</v>
      </c>
      <c r="AW2032" s="1" t="s">
        <v>74</v>
      </c>
      <c r="AX2032" s="1" t="s">
        <v>74</v>
      </c>
      <c r="AY2032" s="1" t="s">
        <v>74</v>
      </c>
      <c r="AZ2032" s="1" t="s">
        <v>74</v>
      </c>
      <c r="BA2032" s="1" t="s">
        <v>74</v>
      </c>
      <c r="BB2032" s="1">
        <v>212</v>
      </c>
      <c r="BC2032" s="1">
        <v>221</v>
      </c>
      <c r="BD2032" s="1" t="s">
        <v>74</v>
      </c>
      <c r="BE2032" s="1" t="s">
        <v>32839</v>
      </c>
      <c r="BF2032" s="1" t="str">
        <f>HYPERLINK("http://dx.doi.org/10.1016/j.ecolind.2013.03.024","http://dx.doi.org/10.1016/j.ecolind.2013.03.024")</f>
        <v>http://dx.doi.org/10.1016/j.ecolind.2013.03.024</v>
      </c>
      <c r="BG2032" s="1" t="s">
        <v>74</v>
      </c>
      <c r="BH2032" s="1" t="s">
        <v>74</v>
      </c>
      <c r="BI2032" s="1">
        <v>10</v>
      </c>
      <c r="BJ2032" s="1" t="s">
        <v>4923</v>
      </c>
      <c r="BK2032" s="1" t="s">
        <v>96</v>
      </c>
      <c r="BL2032" s="1" t="s">
        <v>4924</v>
      </c>
      <c r="BM2032" s="1" t="s">
        <v>32840</v>
      </c>
      <c r="BN2032" s="1" t="s">
        <v>74</v>
      </c>
      <c r="BO2032" s="1" t="s">
        <v>74</v>
      </c>
      <c r="BP2032" s="1" t="s">
        <v>74</v>
      </c>
      <c r="BQ2032" s="1" t="s">
        <v>74</v>
      </c>
      <c r="BR2032" s="1" t="s">
        <v>98</v>
      </c>
      <c r="BS2032" s="1" t="s">
        <v>32841</v>
      </c>
      <c r="BT2032" s="1" t="str">
        <f>HYPERLINK("https%3A%2F%2Fwww.webofscience.com%2Fwos%2Fwoscc%2Ffull-record%2FWOS:000319891900024","View Full Record in Web of Science")</f>
        <v>View Full Record in Web of Science</v>
      </c>
      <c r="BU2032" s="1"/>
      <c r="BV2032" s="1"/>
    </row>
    <row r="2033" spans="1:74">
      <c r="A2033" s="1" t="s">
        <v>72</v>
      </c>
      <c r="B2033" s="1" t="s">
        <v>32842</v>
      </c>
      <c r="C2033" s="1" t="s">
        <v>74</v>
      </c>
      <c r="D2033" s="1" t="s">
        <v>74</v>
      </c>
      <c r="E2033" s="1" t="s">
        <v>74</v>
      </c>
      <c r="F2033" s="1" t="s">
        <v>32843</v>
      </c>
      <c r="G2033" s="1" t="s">
        <v>74</v>
      </c>
      <c r="H2033" s="1" t="s">
        <v>74</v>
      </c>
      <c r="I2033" s="1" t="s">
        <v>32844</v>
      </c>
      <c r="J2033" s="1" t="s">
        <v>421</v>
      </c>
      <c r="K2033" s="1" t="s">
        <v>74</v>
      </c>
      <c r="L2033" s="1" t="s">
        <v>74</v>
      </c>
      <c r="M2033" s="1" t="s">
        <v>78</v>
      </c>
      <c r="N2033" s="1" t="s">
        <v>79</v>
      </c>
      <c r="O2033" s="1" t="s">
        <v>74</v>
      </c>
      <c r="P2033" s="1" t="s">
        <v>74</v>
      </c>
      <c r="Q2033" s="1" t="s">
        <v>74</v>
      </c>
      <c r="R2033" s="1" t="s">
        <v>74</v>
      </c>
      <c r="S2033" s="1" t="s">
        <v>74</v>
      </c>
      <c r="T2033" s="1" t="s">
        <v>32845</v>
      </c>
      <c r="U2033" s="1" t="s">
        <v>32846</v>
      </c>
      <c r="V2033" s="1" t="s">
        <v>32847</v>
      </c>
      <c r="W2033" s="1" t="s">
        <v>32848</v>
      </c>
      <c r="X2033" s="1" t="s">
        <v>32849</v>
      </c>
      <c r="Y2033" s="1" t="s">
        <v>32850</v>
      </c>
      <c r="Z2033" s="1" t="s">
        <v>32851</v>
      </c>
      <c r="AA2033" s="1" t="s">
        <v>32852</v>
      </c>
      <c r="AB2033" s="1" t="s">
        <v>74</v>
      </c>
      <c r="AC2033" s="1" t="s">
        <v>74</v>
      </c>
      <c r="AD2033" s="1" t="s">
        <v>74</v>
      </c>
      <c r="AE2033" s="1" t="s">
        <v>74</v>
      </c>
      <c r="AF2033" s="1" t="s">
        <v>74</v>
      </c>
      <c r="AG2033" s="1">
        <v>48</v>
      </c>
      <c r="AH2033" s="1">
        <v>25</v>
      </c>
      <c r="AI2033" s="1">
        <v>26</v>
      </c>
      <c r="AJ2033" s="1">
        <v>2</v>
      </c>
      <c r="AK2033" s="1">
        <v>45</v>
      </c>
      <c r="AL2033" s="1" t="s">
        <v>430</v>
      </c>
      <c r="AM2033" s="1" t="s">
        <v>7361</v>
      </c>
      <c r="AN2033" s="1" t="s">
        <v>7362</v>
      </c>
      <c r="AO2033" s="1" t="s">
        <v>432</v>
      </c>
      <c r="AP2033" s="1" t="s">
        <v>1394</v>
      </c>
      <c r="AQ2033" s="1" t="s">
        <v>74</v>
      </c>
      <c r="AR2033" s="1" t="s">
        <v>433</v>
      </c>
      <c r="AS2033" s="1" t="s">
        <v>434</v>
      </c>
      <c r="AT2033" s="1" t="s">
        <v>765</v>
      </c>
      <c r="AU2033" s="1">
        <v>2008</v>
      </c>
      <c r="AV2033" s="1">
        <v>154</v>
      </c>
      <c r="AW2033" s="1">
        <v>2</v>
      </c>
      <c r="AX2033" s="1" t="s">
        <v>74</v>
      </c>
      <c r="AY2033" s="1" t="s">
        <v>74</v>
      </c>
      <c r="AZ2033" s="1" t="s">
        <v>74</v>
      </c>
      <c r="BA2033" s="1" t="s">
        <v>74</v>
      </c>
      <c r="BB2033" s="1">
        <v>283</v>
      </c>
      <c r="BC2033" s="1">
        <v>290</v>
      </c>
      <c r="BD2033" s="1" t="s">
        <v>74</v>
      </c>
      <c r="BE2033" s="1" t="s">
        <v>32853</v>
      </c>
      <c r="BF2033" s="1" t="str">
        <f>HYPERLINK("http://dx.doi.org/10.1016/j.envpol.2007.10.004","http://dx.doi.org/10.1016/j.envpol.2007.10.004")</f>
        <v>http://dx.doi.org/10.1016/j.envpol.2007.10.004</v>
      </c>
      <c r="BG2033" s="1" t="s">
        <v>74</v>
      </c>
      <c r="BH2033" s="1" t="s">
        <v>74</v>
      </c>
      <c r="BI2033" s="1">
        <v>8</v>
      </c>
      <c r="BJ2033" s="1" t="s">
        <v>144</v>
      </c>
      <c r="BK2033" s="1" t="s">
        <v>96</v>
      </c>
      <c r="BL2033" s="1" t="s">
        <v>145</v>
      </c>
      <c r="BM2033" s="1" t="s">
        <v>32854</v>
      </c>
      <c r="BN2033" s="1">
        <v>18035461</v>
      </c>
      <c r="BO2033" s="1" t="s">
        <v>74</v>
      </c>
      <c r="BP2033" s="1" t="s">
        <v>74</v>
      </c>
      <c r="BQ2033" s="1" t="s">
        <v>74</v>
      </c>
      <c r="BR2033" s="1" t="s">
        <v>98</v>
      </c>
      <c r="BS2033" s="1" t="s">
        <v>32855</v>
      </c>
      <c r="BT2033" s="1" t="str">
        <f>HYPERLINK("https%3A%2F%2Fwww.webofscience.com%2Fwos%2Fwoscc%2Ffull-record%2FWOS:000257258700014","View Full Record in Web of Science")</f>
        <v>View Full Record in Web of Science</v>
      </c>
      <c r="BU2033" s="1"/>
      <c r="BV2033" s="1"/>
    </row>
    <row r="2034" spans="1:74">
      <c r="A2034" s="1" t="s">
        <v>72</v>
      </c>
      <c r="B2034" s="1" t="s">
        <v>32856</v>
      </c>
      <c r="C2034" s="1" t="s">
        <v>74</v>
      </c>
      <c r="D2034" s="1" t="s">
        <v>74</v>
      </c>
      <c r="E2034" s="1" t="s">
        <v>74</v>
      </c>
      <c r="F2034" s="1" t="s">
        <v>32856</v>
      </c>
      <c r="G2034" s="1" t="s">
        <v>74</v>
      </c>
      <c r="H2034" s="1" t="s">
        <v>74</v>
      </c>
      <c r="I2034" s="1" t="s">
        <v>32857</v>
      </c>
      <c r="J2034" s="1" t="s">
        <v>752</v>
      </c>
      <c r="K2034" s="1" t="s">
        <v>74</v>
      </c>
      <c r="L2034" s="1" t="s">
        <v>74</v>
      </c>
      <c r="M2034" s="1" t="s">
        <v>78</v>
      </c>
      <c r="N2034" s="1" t="s">
        <v>79</v>
      </c>
      <c r="O2034" s="1" t="s">
        <v>74</v>
      </c>
      <c r="P2034" s="1" t="s">
        <v>74</v>
      </c>
      <c r="Q2034" s="1" t="s">
        <v>74</v>
      </c>
      <c r="R2034" s="1" t="s">
        <v>74</v>
      </c>
      <c r="S2034" s="1" t="s">
        <v>74</v>
      </c>
      <c r="T2034" s="1" t="s">
        <v>74</v>
      </c>
      <c r="U2034" s="1" t="s">
        <v>74</v>
      </c>
      <c r="V2034" s="1" t="s">
        <v>32858</v>
      </c>
      <c r="W2034" s="1" t="s">
        <v>74</v>
      </c>
      <c r="X2034" s="1" t="s">
        <v>74</v>
      </c>
      <c r="Y2034" s="1" t="s">
        <v>32859</v>
      </c>
      <c r="Z2034" s="1" t="s">
        <v>74</v>
      </c>
      <c r="AA2034" s="1" t="s">
        <v>74</v>
      </c>
      <c r="AB2034" s="1" t="s">
        <v>74</v>
      </c>
      <c r="AC2034" s="1" t="s">
        <v>74</v>
      </c>
      <c r="AD2034" s="1" t="s">
        <v>74</v>
      </c>
      <c r="AE2034" s="1" t="s">
        <v>74</v>
      </c>
      <c r="AF2034" s="1" t="s">
        <v>74</v>
      </c>
      <c r="AG2034" s="1">
        <v>21</v>
      </c>
      <c r="AH2034" s="1">
        <v>20</v>
      </c>
      <c r="AI2034" s="1">
        <v>21</v>
      </c>
      <c r="AJ2034" s="1">
        <v>0</v>
      </c>
      <c r="AK2034" s="1">
        <v>0</v>
      </c>
      <c r="AL2034" s="1" t="s">
        <v>430</v>
      </c>
      <c r="AM2034" s="1" t="s">
        <v>7361</v>
      </c>
      <c r="AN2034" s="1" t="s">
        <v>7362</v>
      </c>
      <c r="AO2034" s="1" t="s">
        <v>761</v>
      </c>
      <c r="AP2034" s="1" t="s">
        <v>762</v>
      </c>
      <c r="AQ2034" s="1" t="s">
        <v>74</v>
      </c>
      <c r="AR2034" s="1" t="s">
        <v>763</v>
      </c>
      <c r="AS2034" s="1" t="s">
        <v>764</v>
      </c>
      <c r="AT2034" s="1" t="s">
        <v>74</v>
      </c>
      <c r="AU2034" s="1">
        <v>1981</v>
      </c>
      <c r="AV2034" s="1">
        <v>5</v>
      </c>
      <c r="AW2034" s="1">
        <v>2</v>
      </c>
      <c r="AX2034" s="1" t="s">
        <v>74</v>
      </c>
      <c r="AY2034" s="1" t="s">
        <v>74</v>
      </c>
      <c r="AZ2034" s="1" t="s">
        <v>74</v>
      </c>
      <c r="BA2034" s="1" t="s">
        <v>74</v>
      </c>
      <c r="BB2034" s="1">
        <v>109</v>
      </c>
      <c r="BC2034" s="1">
        <v>123</v>
      </c>
      <c r="BD2034" s="1" t="s">
        <v>74</v>
      </c>
      <c r="BE2034" s="1" t="s">
        <v>32860</v>
      </c>
      <c r="BF2034" s="1" t="str">
        <f>HYPERLINK("http://dx.doi.org/10.1016/0141-1136(81)90027-1","http://dx.doi.org/10.1016/0141-1136(81)90027-1")</f>
        <v>http://dx.doi.org/10.1016/0141-1136(81)90027-1</v>
      </c>
      <c r="BG2034" s="1" t="s">
        <v>74</v>
      </c>
      <c r="BH2034" s="1" t="s">
        <v>74</v>
      </c>
      <c r="BI2034" s="1">
        <v>15</v>
      </c>
      <c r="BJ2034" s="1" t="s">
        <v>768</v>
      </c>
      <c r="BK2034" s="1" t="s">
        <v>96</v>
      </c>
      <c r="BL2034" s="1" t="s">
        <v>769</v>
      </c>
      <c r="BM2034" s="1" t="s">
        <v>32861</v>
      </c>
      <c r="BN2034" s="1" t="s">
        <v>74</v>
      </c>
      <c r="BO2034" s="1" t="s">
        <v>74</v>
      </c>
      <c r="BP2034" s="1" t="s">
        <v>74</v>
      </c>
      <c r="BQ2034" s="1" t="s">
        <v>74</v>
      </c>
      <c r="BR2034" s="1" t="s">
        <v>98</v>
      </c>
      <c r="BS2034" s="1" t="s">
        <v>32862</v>
      </c>
      <c r="BT2034" s="1" t="str">
        <f>HYPERLINK("https%3A%2F%2Fwww.webofscience.com%2Fwos%2Fwoscc%2Ffull-record%2FWOS:A1981MF93100003","View Full Record in Web of Science")</f>
        <v>View Full Record in Web of Science</v>
      </c>
      <c r="BU2034" s="1"/>
      <c r="BV2034" s="1"/>
    </row>
    <row r="2035" spans="1:74">
      <c r="A2035" s="1" t="s">
        <v>72</v>
      </c>
      <c r="B2035" s="1" t="s">
        <v>32863</v>
      </c>
      <c r="C2035" s="1" t="s">
        <v>74</v>
      </c>
      <c r="D2035" s="1" t="s">
        <v>74</v>
      </c>
      <c r="E2035" s="1" t="s">
        <v>74</v>
      </c>
      <c r="F2035" s="1" t="s">
        <v>32864</v>
      </c>
      <c r="G2035" s="1" t="s">
        <v>74</v>
      </c>
      <c r="H2035" s="1" t="s">
        <v>74</v>
      </c>
      <c r="I2035" s="1" t="s">
        <v>32865</v>
      </c>
      <c r="J2035" s="1" t="s">
        <v>421</v>
      </c>
      <c r="K2035" s="1" t="s">
        <v>74</v>
      </c>
      <c r="L2035" s="1" t="s">
        <v>74</v>
      </c>
      <c r="M2035" s="1" t="s">
        <v>78</v>
      </c>
      <c r="N2035" s="1" t="s">
        <v>79</v>
      </c>
      <c r="O2035" s="1" t="s">
        <v>74</v>
      </c>
      <c r="P2035" s="1" t="s">
        <v>74</v>
      </c>
      <c r="Q2035" s="1" t="s">
        <v>74</v>
      </c>
      <c r="R2035" s="1" t="s">
        <v>74</v>
      </c>
      <c r="S2035" s="1" t="s">
        <v>74</v>
      </c>
      <c r="T2035" s="1" t="s">
        <v>32866</v>
      </c>
      <c r="U2035" s="1" t="s">
        <v>32867</v>
      </c>
      <c r="V2035" s="1" t="s">
        <v>32868</v>
      </c>
      <c r="W2035" s="1" t="s">
        <v>32869</v>
      </c>
      <c r="X2035" s="1" t="s">
        <v>32870</v>
      </c>
      <c r="Y2035" s="1" t="s">
        <v>32871</v>
      </c>
      <c r="Z2035" s="1" t="s">
        <v>17992</v>
      </c>
      <c r="AA2035" s="1" t="s">
        <v>27620</v>
      </c>
      <c r="AB2035" s="1" t="s">
        <v>32872</v>
      </c>
      <c r="AC2035" s="1" t="s">
        <v>32873</v>
      </c>
      <c r="AD2035" s="1" t="s">
        <v>32874</v>
      </c>
      <c r="AE2035" s="1" t="s">
        <v>32875</v>
      </c>
      <c r="AF2035" s="1" t="s">
        <v>74</v>
      </c>
      <c r="AG2035" s="1">
        <v>66</v>
      </c>
      <c r="AH2035" s="1">
        <v>66</v>
      </c>
      <c r="AI2035" s="1">
        <v>67</v>
      </c>
      <c r="AJ2035" s="1">
        <v>3</v>
      </c>
      <c r="AK2035" s="1">
        <v>69</v>
      </c>
      <c r="AL2035" s="1" t="s">
        <v>430</v>
      </c>
      <c r="AM2035" s="1" t="s">
        <v>137</v>
      </c>
      <c r="AN2035" s="1" t="s">
        <v>431</v>
      </c>
      <c r="AO2035" s="1" t="s">
        <v>432</v>
      </c>
      <c r="AP2035" s="1" t="s">
        <v>1394</v>
      </c>
      <c r="AQ2035" s="1" t="s">
        <v>74</v>
      </c>
      <c r="AR2035" s="1" t="s">
        <v>433</v>
      </c>
      <c r="AS2035" s="1" t="s">
        <v>434</v>
      </c>
      <c r="AT2035" s="1" t="s">
        <v>170</v>
      </c>
      <c r="AU2035" s="1">
        <v>2020</v>
      </c>
      <c r="AV2035" s="1">
        <v>260</v>
      </c>
      <c r="AW2035" s="1" t="s">
        <v>74</v>
      </c>
      <c r="AX2035" s="1" t="s">
        <v>74</v>
      </c>
      <c r="AY2035" s="1" t="s">
        <v>74</v>
      </c>
      <c r="AZ2035" s="1" t="s">
        <v>74</v>
      </c>
      <c r="BA2035" s="1" t="s">
        <v>74</v>
      </c>
      <c r="BB2035" s="1" t="s">
        <v>74</v>
      </c>
      <c r="BC2035" s="1" t="s">
        <v>74</v>
      </c>
      <c r="BD2035" s="1">
        <v>113978</v>
      </c>
      <c r="BE2035" s="1" t="s">
        <v>32876</v>
      </c>
      <c r="BF2035" s="1" t="str">
        <f>HYPERLINK("http://dx.doi.org/10.1016/j.envpol.2020.113978","http://dx.doi.org/10.1016/j.envpol.2020.113978")</f>
        <v>http://dx.doi.org/10.1016/j.envpol.2020.113978</v>
      </c>
      <c r="BG2035" s="1" t="s">
        <v>74</v>
      </c>
      <c r="BH2035" s="1" t="s">
        <v>74</v>
      </c>
      <c r="BI2035" s="1">
        <v>9</v>
      </c>
      <c r="BJ2035" s="1" t="s">
        <v>144</v>
      </c>
      <c r="BK2035" s="1" t="s">
        <v>96</v>
      </c>
      <c r="BL2035" s="1" t="s">
        <v>145</v>
      </c>
      <c r="BM2035" s="1" t="s">
        <v>6068</v>
      </c>
      <c r="BN2035" s="1">
        <v>31991353</v>
      </c>
      <c r="BO2035" s="1" t="s">
        <v>18961</v>
      </c>
      <c r="BP2035" s="1" t="s">
        <v>74</v>
      </c>
      <c r="BQ2035" s="1" t="s">
        <v>74</v>
      </c>
      <c r="BR2035" s="1" t="s">
        <v>98</v>
      </c>
      <c r="BS2035" s="1" t="s">
        <v>32877</v>
      </c>
      <c r="BT2035" s="1" t="str">
        <f>HYPERLINK("https%3A%2F%2Fwww.webofscience.com%2Fwos%2Fwoscc%2Ffull-record%2FWOS:000528537600090","View Full Record in Web of Science")</f>
        <v>View Full Record in Web of Science</v>
      </c>
      <c r="BU2035" s="1"/>
      <c r="BV2035" s="1"/>
    </row>
    <row r="2036" spans="1:74">
      <c r="A2036" s="1" t="s">
        <v>72</v>
      </c>
      <c r="B2036" s="1" t="s">
        <v>32878</v>
      </c>
      <c r="C2036" s="1" t="s">
        <v>74</v>
      </c>
      <c r="D2036" s="1" t="s">
        <v>74</v>
      </c>
      <c r="E2036" s="1" t="s">
        <v>74</v>
      </c>
      <c r="F2036" s="1" t="s">
        <v>32878</v>
      </c>
      <c r="G2036" s="1" t="s">
        <v>74</v>
      </c>
      <c r="H2036" s="1" t="s">
        <v>74</v>
      </c>
      <c r="I2036" s="1" t="s">
        <v>32879</v>
      </c>
      <c r="J2036" s="1" t="s">
        <v>2894</v>
      </c>
      <c r="K2036" s="1" t="s">
        <v>74</v>
      </c>
      <c r="L2036" s="1" t="s">
        <v>74</v>
      </c>
      <c r="M2036" s="1" t="s">
        <v>78</v>
      </c>
      <c r="N2036" s="1" t="s">
        <v>79</v>
      </c>
      <c r="O2036" s="1" t="s">
        <v>74</v>
      </c>
      <c r="P2036" s="1" t="s">
        <v>74</v>
      </c>
      <c r="Q2036" s="1" t="s">
        <v>74</v>
      </c>
      <c r="R2036" s="1" t="s">
        <v>74</v>
      </c>
      <c r="S2036" s="1" t="s">
        <v>74</v>
      </c>
      <c r="T2036" s="1" t="s">
        <v>32880</v>
      </c>
      <c r="U2036" s="1" t="s">
        <v>32881</v>
      </c>
      <c r="V2036" s="1" t="s">
        <v>32882</v>
      </c>
      <c r="W2036" s="1" t="s">
        <v>32883</v>
      </c>
      <c r="X2036" s="1" t="s">
        <v>32884</v>
      </c>
      <c r="Y2036" s="1" t="s">
        <v>74</v>
      </c>
      <c r="Z2036" s="1" t="s">
        <v>74</v>
      </c>
      <c r="AA2036" s="1" t="s">
        <v>74</v>
      </c>
      <c r="AB2036" s="1" t="s">
        <v>74</v>
      </c>
      <c r="AC2036" s="1" t="s">
        <v>74</v>
      </c>
      <c r="AD2036" s="1" t="s">
        <v>74</v>
      </c>
      <c r="AE2036" s="1" t="s">
        <v>74</v>
      </c>
      <c r="AF2036" s="1" t="s">
        <v>74</v>
      </c>
      <c r="AG2036" s="1">
        <v>40</v>
      </c>
      <c r="AH2036" s="1">
        <v>12</v>
      </c>
      <c r="AI2036" s="1">
        <v>13</v>
      </c>
      <c r="AJ2036" s="1">
        <v>0</v>
      </c>
      <c r="AK2036" s="1">
        <v>11</v>
      </c>
      <c r="AL2036" s="1" t="s">
        <v>2904</v>
      </c>
      <c r="AM2036" s="1" t="s">
        <v>2905</v>
      </c>
      <c r="AN2036" s="1" t="s">
        <v>2906</v>
      </c>
      <c r="AO2036" s="1" t="s">
        <v>2907</v>
      </c>
      <c r="AP2036" s="1" t="s">
        <v>74</v>
      </c>
      <c r="AQ2036" s="1" t="s">
        <v>74</v>
      </c>
      <c r="AR2036" s="1" t="s">
        <v>2908</v>
      </c>
      <c r="AS2036" s="1" t="s">
        <v>2909</v>
      </c>
      <c r="AT2036" s="1" t="s">
        <v>119</v>
      </c>
      <c r="AU2036" s="1">
        <v>1995</v>
      </c>
      <c r="AV2036" s="1">
        <v>124</v>
      </c>
      <c r="AW2036" s="1" t="s">
        <v>2847</v>
      </c>
      <c r="AX2036" s="1" t="s">
        <v>74</v>
      </c>
      <c r="AY2036" s="1" t="s">
        <v>74</v>
      </c>
      <c r="AZ2036" s="1" t="s">
        <v>74</v>
      </c>
      <c r="BA2036" s="1" t="s">
        <v>74</v>
      </c>
      <c r="BB2036" s="1">
        <v>143</v>
      </c>
      <c r="BC2036" s="1">
        <v>158</v>
      </c>
      <c r="BD2036" s="1" t="s">
        <v>74</v>
      </c>
      <c r="BE2036" s="1" t="s">
        <v>32885</v>
      </c>
      <c r="BF2036" s="1" t="str">
        <f>HYPERLINK("http://dx.doi.org/10.3354/meps124143","http://dx.doi.org/10.3354/meps124143")</f>
        <v>http://dx.doi.org/10.3354/meps124143</v>
      </c>
      <c r="BG2036" s="1" t="s">
        <v>74</v>
      </c>
      <c r="BH2036" s="1" t="s">
        <v>74</v>
      </c>
      <c r="BI2036" s="1">
        <v>16</v>
      </c>
      <c r="BJ2036" s="1" t="s">
        <v>2911</v>
      </c>
      <c r="BK2036" s="1" t="s">
        <v>96</v>
      </c>
      <c r="BL2036" s="1" t="s">
        <v>2912</v>
      </c>
      <c r="BM2036" s="1" t="s">
        <v>32886</v>
      </c>
      <c r="BN2036" s="1" t="s">
        <v>74</v>
      </c>
      <c r="BO2036" s="1" t="s">
        <v>370</v>
      </c>
      <c r="BP2036" s="1" t="s">
        <v>74</v>
      </c>
      <c r="BQ2036" s="1" t="s">
        <v>74</v>
      </c>
      <c r="BR2036" s="1" t="s">
        <v>98</v>
      </c>
      <c r="BS2036" s="1" t="s">
        <v>32887</v>
      </c>
      <c r="BT2036" s="1" t="str">
        <f>HYPERLINK("https%3A%2F%2Fwww.webofscience.com%2Fwos%2Fwoscc%2Ffull-record%2FWOS:A1995RW86700012","View Full Record in Web of Science")</f>
        <v>View Full Record in Web of Science</v>
      </c>
      <c r="BU2036" s="1"/>
      <c r="BV2036" s="1"/>
    </row>
    <row r="2037" spans="1:74">
      <c r="A2037" s="1" t="s">
        <v>72</v>
      </c>
      <c r="B2037" s="1" t="s">
        <v>32888</v>
      </c>
      <c r="C2037" s="1" t="s">
        <v>74</v>
      </c>
      <c r="D2037" s="1" t="s">
        <v>74</v>
      </c>
      <c r="E2037" s="1" t="s">
        <v>74</v>
      </c>
      <c r="F2037" s="1" t="s">
        <v>32889</v>
      </c>
      <c r="G2037" s="1" t="s">
        <v>74</v>
      </c>
      <c r="H2037" s="1" t="s">
        <v>74</v>
      </c>
      <c r="I2037" s="1" t="s">
        <v>32890</v>
      </c>
      <c r="J2037" s="1" t="s">
        <v>752</v>
      </c>
      <c r="K2037" s="1" t="s">
        <v>74</v>
      </c>
      <c r="L2037" s="1" t="s">
        <v>74</v>
      </c>
      <c r="M2037" s="1" t="s">
        <v>78</v>
      </c>
      <c r="N2037" s="1" t="s">
        <v>79</v>
      </c>
      <c r="O2037" s="1" t="s">
        <v>74</v>
      </c>
      <c r="P2037" s="1" t="s">
        <v>74</v>
      </c>
      <c r="Q2037" s="1" t="s">
        <v>74</v>
      </c>
      <c r="R2037" s="1" t="s">
        <v>74</v>
      </c>
      <c r="S2037" s="1" t="s">
        <v>74</v>
      </c>
      <c r="T2037" s="1" t="s">
        <v>32891</v>
      </c>
      <c r="U2037" s="1" t="s">
        <v>32892</v>
      </c>
      <c r="V2037" s="1" t="s">
        <v>32893</v>
      </c>
      <c r="W2037" s="1" t="s">
        <v>32894</v>
      </c>
      <c r="X2037" s="1" t="s">
        <v>32895</v>
      </c>
      <c r="Y2037" s="1" t="s">
        <v>31412</v>
      </c>
      <c r="Z2037" s="1" t="s">
        <v>27438</v>
      </c>
      <c r="AA2037" s="1" t="s">
        <v>74</v>
      </c>
      <c r="AB2037" s="1" t="s">
        <v>74</v>
      </c>
      <c r="AC2037" s="1" t="s">
        <v>32896</v>
      </c>
      <c r="AD2037" s="1" t="s">
        <v>32897</v>
      </c>
      <c r="AE2037" s="1" t="s">
        <v>32898</v>
      </c>
      <c r="AF2037" s="1" t="s">
        <v>74</v>
      </c>
      <c r="AG2037" s="1">
        <v>83</v>
      </c>
      <c r="AH2037" s="1">
        <v>25</v>
      </c>
      <c r="AI2037" s="1">
        <v>25</v>
      </c>
      <c r="AJ2037" s="1">
        <v>2</v>
      </c>
      <c r="AK2037" s="1">
        <v>56</v>
      </c>
      <c r="AL2037" s="1" t="s">
        <v>430</v>
      </c>
      <c r="AM2037" s="1" t="s">
        <v>137</v>
      </c>
      <c r="AN2037" s="1" t="s">
        <v>431</v>
      </c>
      <c r="AO2037" s="1" t="s">
        <v>761</v>
      </c>
      <c r="AP2037" s="1" t="s">
        <v>762</v>
      </c>
      <c r="AQ2037" s="1" t="s">
        <v>74</v>
      </c>
      <c r="AR2037" s="1" t="s">
        <v>763</v>
      </c>
      <c r="AS2037" s="1" t="s">
        <v>764</v>
      </c>
      <c r="AT2037" s="1" t="s">
        <v>197</v>
      </c>
      <c r="AU2037" s="1">
        <v>2019</v>
      </c>
      <c r="AV2037" s="1">
        <v>152</v>
      </c>
      <c r="AW2037" s="1" t="s">
        <v>74</v>
      </c>
      <c r="AX2037" s="1" t="s">
        <v>74</v>
      </c>
      <c r="AY2037" s="1" t="s">
        <v>74</v>
      </c>
      <c r="AZ2037" s="1" t="s">
        <v>74</v>
      </c>
      <c r="BA2037" s="1" t="s">
        <v>74</v>
      </c>
      <c r="BB2037" s="1" t="s">
        <v>74</v>
      </c>
      <c r="BC2037" s="1" t="s">
        <v>74</v>
      </c>
      <c r="BD2037" s="1">
        <v>104825</v>
      </c>
      <c r="BE2037" s="1" t="s">
        <v>32899</v>
      </c>
      <c r="BF2037" s="1" t="str">
        <f>HYPERLINK("http://dx.doi.org/10.1016/j.marenvres.2019.104825","http://dx.doi.org/10.1016/j.marenvres.2019.104825")</f>
        <v>http://dx.doi.org/10.1016/j.marenvres.2019.104825</v>
      </c>
      <c r="BG2037" s="1" t="s">
        <v>74</v>
      </c>
      <c r="BH2037" s="1" t="s">
        <v>74</v>
      </c>
      <c r="BI2037" s="1">
        <v>14</v>
      </c>
      <c r="BJ2037" s="1" t="s">
        <v>768</v>
      </c>
      <c r="BK2037" s="1" t="s">
        <v>96</v>
      </c>
      <c r="BL2037" s="1" t="s">
        <v>769</v>
      </c>
      <c r="BM2037" s="1" t="s">
        <v>32900</v>
      </c>
      <c r="BN2037" s="1">
        <v>31668363</v>
      </c>
      <c r="BO2037" s="1" t="s">
        <v>1270</v>
      </c>
      <c r="BP2037" s="1" t="s">
        <v>74</v>
      </c>
      <c r="BQ2037" s="1" t="s">
        <v>74</v>
      </c>
      <c r="BR2037" s="1" t="s">
        <v>98</v>
      </c>
      <c r="BS2037" s="1" t="s">
        <v>32901</v>
      </c>
      <c r="BT2037" s="1" t="str">
        <f>HYPERLINK("https%3A%2F%2Fwww.webofscience.com%2Fwos%2Fwoscc%2Ffull-record%2FWOS:000499736700008","View Full Record in Web of Science")</f>
        <v>View Full Record in Web of Science</v>
      </c>
      <c r="BU2037" s="1"/>
      <c r="BV2037" s="1"/>
    </row>
    <row r="2038" spans="1:74">
      <c r="A2038" s="1" t="s">
        <v>72</v>
      </c>
      <c r="B2038" s="1" t="s">
        <v>32902</v>
      </c>
      <c r="C2038" s="1" t="s">
        <v>74</v>
      </c>
      <c r="D2038" s="1" t="s">
        <v>74</v>
      </c>
      <c r="E2038" s="1" t="s">
        <v>74</v>
      </c>
      <c r="F2038" s="1" t="s">
        <v>32903</v>
      </c>
      <c r="G2038" s="1" t="s">
        <v>74</v>
      </c>
      <c r="H2038" s="1" t="s">
        <v>74</v>
      </c>
      <c r="I2038" s="1" t="s">
        <v>32904</v>
      </c>
      <c r="J2038" s="1" t="s">
        <v>275</v>
      </c>
      <c r="K2038" s="1" t="s">
        <v>74</v>
      </c>
      <c r="L2038" s="1" t="s">
        <v>74</v>
      </c>
      <c r="M2038" s="1" t="s">
        <v>78</v>
      </c>
      <c r="N2038" s="1" t="s">
        <v>79</v>
      </c>
      <c r="O2038" s="1" t="s">
        <v>74</v>
      </c>
      <c r="P2038" s="1" t="s">
        <v>74</v>
      </c>
      <c r="Q2038" s="1" t="s">
        <v>74</v>
      </c>
      <c r="R2038" s="1" t="s">
        <v>74</v>
      </c>
      <c r="S2038" s="1" t="s">
        <v>74</v>
      </c>
      <c r="T2038" s="1" t="s">
        <v>32905</v>
      </c>
      <c r="U2038" s="1" t="s">
        <v>32906</v>
      </c>
      <c r="V2038" s="1" t="s">
        <v>32907</v>
      </c>
      <c r="W2038" s="1" t="s">
        <v>32908</v>
      </c>
      <c r="X2038" s="1" t="s">
        <v>32909</v>
      </c>
      <c r="Y2038" s="1" t="s">
        <v>32910</v>
      </c>
      <c r="Z2038" s="1" t="s">
        <v>32911</v>
      </c>
      <c r="AA2038" s="1" t="s">
        <v>32912</v>
      </c>
      <c r="AB2038" s="1" t="s">
        <v>32913</v>
      </c>
      <c r="AC2038" s="1" t="s">
        <v>74</v>
      </c>
      <c r="AD2038" s="1" t="s">
        <v>74</v>
      </c>
      <c r="AE2038" s="1" t="s">
        <v>74</v>
      </c>
      <c r="AF2038" s="1" t="s">
        <v>74</v>
      </c>
      <c r="AG2038" s="1">
        <v>53</v>
      </c>
      <c r="AH2038" s="1">
        <v>27</v>
      </c>
      <c r="AI2038" s="1">
        <v>32</v>
      </c>
      <c r="AJ2038" s="1">
        <v>0</v>
      </c>
      <c r="AK2038" s="1">
        <v>21</v>
      </c>
      <c r="AL2038" s="1" t="s">
        <v>285</v>
      </c>
      <c r="AM2038" s="1" t="s">
        <v>286</v>
      </c>
      <c r="AN2038" s="1" t="s">
        <v>287</v>
      </c>
      <c r="AO2038" s="1" t="s">
        <v>288</v>
      </c>
      <c r="AP2038" s="1" t="s">
        <v>74</v>
      </c>
      <c r="AQ2038" s="1" t="s">
        <v>74</v>
      </c>
      <c r="AR2038" s="1" t="s">
        <v>290</v>
      </c>
      <c r="AS2038" s="1" t="s">
        <v>291</v>
      </c>
      <c r="AT2038" s="1" t="s">
        <v>765</v>
      </c>
      <c r="AU2038" s="1">
        <v>2012</v>
      </c>
      <c r="AV2038" s="1">
        <v>33</v>
      </c>
      <c r="AW2038" s="1">
        <v>1</v>
      </c>
      <c r="AX2038" s="1" t="s">
        <v>74</v>
      </c>
      <c r="AY2038" s="1" t="s">
        <v>74</v>
      </c>
      <c r="AZ2038" s="1" t="s">
        <v>74</v>
      </c>
      <c r="BA2038" s="1" t="s">
        <v>74</v>
      </c>
      <c r="BB2038" s="1">
        <v>138</v>
      </c>
      <c r="BC2038" s="1">
        <v>142</v>
      </c>
      <c r="BD2038" s="1" t="s">
        <v>74</v>
      </c>
      <c r="BE2038" s="1" t="s">
        <v>32914</v>
      </c>
      <c r="BF2038" s="1" t="str">
        <f>HYPERLINK("http://dx.doi.org/10.1016/j.fsi.2012.04.007","http://dx.doi.org/10.1016/j.fsi.2012.04.007")</f>
        <v>http://dx.doi.org/10.1016/j.fsi.2012.04.007</v>
      </c>
      <c r="BG2038" s="1" t="s">
        <v>74</v>
      </c>
      <c r="BH2038" s="1" t="s">
        <v>74</v>
      </c>
      <c r="BI2038" s="1">
        <v>5</v>
      </c>
      <c r="BJ2038" s="1" t="s">
        <v>293</v>
      </c>
      <c r="BK2038" s="1" t="s">
        <v>96</v>
      </c>
      <c r="BL2038" s="1" t="s">
        <v>293</v>
      </c>
      <c r="BM2038" s="1" t="s">
        <v>32915</v>
      </c>
      <c r="BN2038" s="1">
        <v>22562017</v>
      </c>
      <c r="BO2038" s="1" t="s">
        <v>74</v>
      </c>
      <c r="BP2038" s="1" t="s">
        <v>74</v>
      </c>
      <c r="BQ2038" s="1" t="s">
        <v>74</v>
      </c>
      <c r="BR2038" s="1" t="s">
        <v>98</v>
      </c>
      <c r="BS2038" s="1" t="s">
        <v>32916</v>
      </c>
      <c r="BT2038" s="1" t="str">
        <f>HYPERLINK("https%3A%2F%2Fwww.webofscience.com%2Fwos%2Fwoscc%2Ffull-record%2FWOS:000305378400018","View Full Record in Web of Science")</f>
        <v>View Full Record in Web of Science</v>
      </c>
      <c r="BU2038" s="1"/>
      <c r="BV2038" s="1"/>
    </row>
    <row r="2039" spans="1:74">
      <c r="A2039" s="1" t="s">
        <v>72</v>
      </c>
      <c r="B2039" s="1" t="s">
        <v>32917</v>
      </c>
      <c r="C2039" s="1" t="s">
        <v>74</v>
      </c>
      <c r="D2039" s="1" t="s">
        <v>74</v>
      </c>
      <c r="E2039" s="1" t="s">
        <v>74</v>
      </c>
      <c r="F2039" s="1" t="s">
        <v>32917</v>
      </c>
      <c r="G2039" s="1" t="s">
        <v>74</v>
      </c>
      <c r="H2039" s="1" t="s">
        <v>74</v>
      </c>
      <c r="I2039" s="1" t="s">
        <v>32918</v>
      </c>
      <c r="J2039" s="1" t="s">
        <v>232</v>
      </c>
      <c r="K2039" s="1" t="s">
        <v>74</v>
      </c>
      <c r="L2039" s="1" t="s">
        <v>74</v>
      </c>
      <c r="M2039" s="1" t="s">
        <v>78</v>
      </c>
      <c r="N2039" s="1" t="s">
        <v>79</v>
      </c>
      <c r="O2039" s="1" t="s">
        <v>74</v>
      </c>
      <c r="P2039" s="1" t="s">
        <v>74</v>
      </c>
      <c r="Q2039" s="1" t="s">
        <v>74</v>
      </c>
      <c r="R2039" s="1" t="s">
        <v>74</v>
      </c>
      <c r="S2039" s="1" t="s">
        <v>74</v>
      </c>
      <c r="T2039" s="1" t="s">
        <v>74</v>
      </c>
      <c r="U2039" s="1" t="s">
        <v>32919</v>
      </c>
      <c r="V2039" s="1" t="s">
        <v>32920</v>
      </c>
      <c r="W2039" s="1" t="s">
        <v>32921</v>
      </c>
      <c r="X2039" s="1" t="s">
        <v>32922</v>
      </c>
      <c r="Y2039" s="1" t="s">
        <v>32923</v>
      </c>
      <c r="Z2039" s="1" t="s">
        <v>32924</v>
      </c>
      <c r="AA2039" s="1" t="s">
        <v>74</v>
      </c>
      <c r="AB2039" s="1" t="s">
        <v>74</v>
      </c>
      <c r="AC2039" s="1" t="s">
        <v>74</v>
      </c>
      <c r="AD2039" s="1" t="s">
        <v>74</v>
      </c>
      <c r="AE2039" s="1" t="s">
        <v>74</v>
      </c>
      <c r="AF2039" s="1" t="s">
        <v>74</v>
      </c>
      <c r="AG2039" s="1">
        <v>51</v>
      </c>
      <c r="AH2039" s="1">
        <v>89</v>
      </c>
      <c r="AI2039" s="1">
        <v>109</v>
      </c>
      <c r="AJ2039" s="1">
        <v>0</v>
      </c>
      <c r="AK2039" s="1">
        <v>21</v>
      </c>
      <c r="AL2039" s="1" t="s">
        <v>136</v>
      </c>
      <c r="AM2039" s="1" t="s">
        <v>137</v>
      </c>
      <c r="AN2039" s="1" t="s">
        <v>138</v>
      </c>
      <c r="AO2039" s="1" t="s">
        <v>240</v>
      </c>
      <c r="AP2039" s="1" t="s">
        <v>241</v>
      </c>
      <c r="AQ2039" s="1" t="s">
        <v>74</v>
      </c>
      <c r="AR2039" s="1" t="s">
        <v>242</v>
      </c>
      <c r="AS2039" s="1" t="s">
        <v>243</v>
      </c>
      <c r="AT2039" s="1" t="s">
        <v>1223</v>
      </c>
      <c r="AU2039" s="1">
        <v>1999</v>
      </c>
      <c r="AV2039" s="1">
        <v>38</v>
      </c>
      <c r="AW2039" s="1">
        <v>3</v>
      </c>
      <c r="AX2039" s="1" t="s">
        <v>74</v>
      </c>
      <c r="AY2039" s="1" t="s">
        <v>74</v>
      </c>
      <c r="AZ2039" s="1" t="s">
        <v>74</v>
      </c>
      <c r="BA2039" s="1" t="s">
        <v>74</v>
      </c>
      <c r="BB2039" s="1">
        <v>170</v>
      </c>
      <c r="BC2039" s="1">
        <v>181</v>
      </c>
      <c r="BD2039" s="1" t="s">
        <v>74</v>
      </c>
      <c r="BE2039" s="1" t="s">
        <v>32925</v>
      </c>
      <c r="BF2039" s="1" t="str">
        <f>HYPERLINK("http://dx.doi.org/10.1016/S0025-326X(98)00185-4","http://dx.doi.org/10.1016/S0025-326X(98)00185-4")</f>
        <v>http://dx.doi.org/10.1016/S0025-326X(98)00185-4</v>
      </c>
      <c r="BG2039" s="1" t="s">
        <v>74</v>
      </c>
      <c r="BH2039" s="1" t="s">
        <v>74</v>
      </c>
      <c r="BI2039" s="1">
        <v>12</v>
      </c>
      <c r="BJ2039" s="1" t="s">
        <v>247</v>
      </c>
      <c r="BK2039" s="1" t="s">
        <v>96</v>
      </c>
      <c r="BL2039" s="1" t="s">
        <v>248</v>
      </c>
      <c r="BM2039" s="1" t="s">
        <v>1225</v>
      </c>
      <c r="BN2039" s="1" t="s">
        <v>74</v>
      </c>
      <c r="BO2039" s="1" t="s">
        <v>74</v>
      </c>
      <c r="BP2039" s="1" t="s">
        <v>74</v>
      </c>
      <c r="BQ2039" s="1" t="s">
        <v>74</v>
      </c>
      <c r="BR2039" s="1" t="s">
        <v>98</v>
      </c>
      <c r="BS2039" s="1" t="s">
        <v>32926</v>
      </c>
      <c r="BT2039" s="1" t="str">
        <f>HYPERLINK("https%3A%2F%2Fwww.webofscience.com%2Fwos%2Fwoscc%2Ffull-record%2FWOS:000079884500010","View Full Record in Web of Science")</f>
        <v>View Full Record in Web of Science</v>
      </c>
      <c r="BU2039" s="1"/>
      <c r="BV2039" s="1"/>
    </row>
    <row r="2040" spans="1:74">
      <c r="A2040" s="1" t="s">
        <v>72</v>
      </c>
      <c r="B2040" s="1" t="s">
        <v>32927</v>
      </c>
      <c r="C2040" s="1" t="s">
        <v>74</v>
      </c>
      <c r="D2040" s="1" t="s">
        <v>74</v>
      </c>
      <c r="E2040" s="1" t="s">
        <v>74</v>
      </c>
      <c r="F2040" s="1" t="s">
        <v>32928</v>
      </c>
      <c r="G2040" s="1" t="s">
        <v>74</v>
      </c>
      <c r="H2040" s="1" t="s">
        <v>74</v>
      </c>
      <c r="I2040" s="1" t="s">
        <v>32929</v>
      </c>
      <c r="J2040" s="1" t="s">
        <v>1337</v>
      </c>
      <c r="K2040" s="1" t="s">
        <v>74</v>
      </c>
      <c r="L2040" s="1" t="s">
        <v>74</v>
      </c>
      <c r="M2040" s="1" t="s">
        <v>78</v>
      </c>
      <c r="N2040" s="1" t="s">
        <v>79</v>
      </c>
      <c r="O2040" s="1" t="s">
        <v>74</v>
      </c>
      <c r="P2040" s="1" t="s">
        <v>74</v>
      </c>
      <c r="Q2040" s="1" t="s">
        <v>74</v>
      </c>
      <c r="R2040" s="1" t="s">
        <v>74</v>
      </c>
      <c r="S2040" s="1" t="s">
        <v>74</v>
      </c>
      <c r="T2040" s="1" t="s">
        <v>32930</v>
      </c>
      <c r="U2040" s="1" t="s">
        <v>32931</v>
      </c>
      <c r="V2040" s="1" t="s">
        <v>32932</v>
      </c>
      <c r="W2040" s="1" t="s">
        <v>32933</v>
      </c>
      <c r="X2040" s="1" t="s">
        <v>32934</v>
      </c>
      <c r="Y2040" s="1" t="s">
        <v>32935</v>
      </c>
      <c r="Z2040" s="1" t="s">
        <v>32936</v>
      </c>
      <c r="AA2040" s="1" t="s">
        <v>32937</v>
      </c>
      <c r="AB2040" s="1" t="s">
        <v>32938</v>
      </c>
      <c r="AC2040" s="1" t="s">
        <v>32939</v>
      </c>
      <c r="AD2040" s="1" t="s">
        <v>32939</v>
      </c>
      <c r="AE2040" s="1" t="s">
        <v>32940</v>
      </c>
      <c r="AF2040" s="1" t="s">
        <v>74</v>
      </c>
      <c r="AG2040" s="1">
        <v>62</v>
      </c>
      <c r="AH2040" s="1">
        <v>20</v>
      </c>
      <c r="AI2040" s="1">
        <v>21</v>
      </c>
      <c r="AJ2040" s="1">
        <v>0</v>
      </c>
      <c r="AK2040" s="1">
        <v>31</v>
      </c>
      <c r="AL2040" s="1" t="s">
        <v>1350</v>
      </c>
      <c r="AM2040" s="1" t="s">
        <v>1351</v>
      </c>
      <c r="AN2040" s="1" t="s">
        <v>1352</v>
      </c>
      <c r="AO2040" s="1" t="s">
        <v>74</v>
      </c>
      <c r="AP2040" s="1" t="s">
        <v>1353</v>
      </c>
      <c r="AQ2040" s="1" t="s">
        <v>74</v>
      </c>
      <c r="AR2040" s="1" t="s">
        <v>1354</v>
      </c>
      <c r="AS2040" s="1" t="s">
        <v>1355</v>
      </c>
      <c r="AT2040" s="1" t="s">
        <v>546</v>
      </c>
      <c r="AU2040" s="1">
        <v>2019</v>
      </c>
      <c r="AV2040" s="1">
        <v>6</v>
      </c>
      <c r="AW2040" s="1" t="s">
        <v>74</v>
      </c>
      <c r="AX2040" s="1" t="s">
        <v>74</v>
      </c>
      <c r="AY2040" s="1" t="s">
        <v>74</v>
      </c>
      <c r="AZ2040" s="1" t="s">
        <v>74</v>
      </c>
      <c r="BA2040" s="1" t="s">
        <v>74</v>
      </c>
      <c r="BB2040" s="1" t="s">
        <v>74</v>
      </c>
      <c r="BC2040" s="1" t="s">
        <v>74</v>
      </c>
      <c r="BD2040" s="1">
        <v>688</v>
      </c>
      <c r="BE2040" s="1" t="s">
        <v>32941</v>
      </c>
      <c r="BF2040" s="1" t="str">
        <f>HYPERLINK("http://dx.doi.org/10.3389/fmars.2019.00688","http://dx.doi.org/10.3389/fmars.2019.00688")</f>
        <v>http://dx.doi.org/10.3389/fmars.2019.00688</v>
      </c>
      <c r="BG2040" s="1" t="s">
        <v>74</v>
      </c>
      <c r="BH2040" s="1" t="s">
        <v>74</v>
      </c>
      <c r="BI2040" s="1">
        <v>17</v>
      </c>
      <c r="BJ2040" s="1" t="s">
        <v>247</v>
      </c>
      <c r="BK2040" s="1" t="s">
        <v>96</v>
      </c>
      <c r="BL2040" s="1" t="s">
        <v>248</v>
      </c>
      <c r="BM2040" s="1" t="s">
        <v>32942</v>
      </c>
      <c r="BN2040" s="1" t="s">
        <v>74</v>
      </c>
      <c r="BO2040" s="1" t="s">
        <v>2155</v>
      </c>
      <c r="BP2040" s="1" t="s">
        <v>74</v>
      </c>
      <c r="BQ2040" s="1" t="s">
        <v>74</v>
      </c>
      <c r="BR2040" s="1" t="s">
        <v>98</v>
      </c>
      <c r="BS2040" s="1" t="s">
        <v>32943</v>
      </c>
      <c r="BT2040" s="1" t="str">
        <f>HYPERLINK("https%3A%2F%2Fwww.webofscience.com%2Fwos%2Fwoscc%2Ffull-record%2FWOS:000496749000001","View Full Record in Web of Science")</f>
        <v>View Full Record in Web of Science</v>
      </c>
      <c r="BU2040" s="1"/>
      <c r="BV2040" s="1"/>
    </row>
    <row r="2041" spans="1:74">
      <c r="A2041" s="1" t="s">
        <v>72</v>
      </c>
      <c r="B2041" s="1" t="s">
        <v>32944</v>
      </c>
      <c r="C2041" s="1" t="s">
        <v>74</v>
      </c>
      <c r="D2041" s="1" t="s">
        <v>74</v>
      </c>
      <c r="E2041" s="1" t="s">
        <v>74</v>
      </c>
      <c r="F2041" s="1" t="s">
        <v>32945</v>
      </c>
      <c r="G2041" s="1" t="s">
        <v>74</v>
      </c>
      <c r="H2041" s="1" t="s">
        <v>74</v>
      </c>
      <c r="I2041" s="1" t="s">
        <v>32946</v>
      </c>
      <c r="J2041" s="1" t="s">
        <v>103</v>
      </c>
      <c r="K2041" s="1" t="s">
        <v>74</v>
      </c>
      <c r="L2041" s="1" t="s">
        <v>74</v>
      </c>
      <c r="M2041" s="1" t="s">
        <v>78</v>
      </c>
      <c r="N2041" s="1" t="s">
        <v>79</v>
      </c>
      <c r="O2041" s="1" t="s">
        <v>74</v>
      </c>
      <c r="P2041" s="1" t="s">
        <v>74</v>
      </c>
      <c r="Q2041" s="1" t="s">
        <v>74</v>
      </c>
      <c r="R2041" s="1" t="s">
        <v>74</v>
      </c>
      <c r="S2041" s="1" t="s">
        <v>74</v>
      </c>
      <c r="T2041" s="1" t="s">
        <v>32947</v>
      </c>
      <c r="U2041" s="1" t="s">
        <v>32948</v>
      </c>
      <c r="V2041" s="1" t="s">
        <v>32949</v>
      </c>
      <c r="W2041" s="1" t="s">
        <v>32950</v>
      </c>
      <c r="X2041" s="1" t="s">
        <v>11950</v>
      </c>
      <c r="Y2041" s="1" t="s">
        <v>32951</v>
      </c>
      <c r="Z2041" s="1" t="s">
        <v>32952</v>
      </c>
      <c r="AA2041" s="1" t="s">
        <v>32953</v>
      </c>
      <c r="AB2041" s="1" t="s">
        <v>74</v>
      </c>
      <c r="AC2041" s="1" t="s">
        <v>32954</v>
      </c>
      <c r="AD2041" s="1" t="s">
        <v>32955</v>
      </c>
      <c r="AE2041" s="1" t="s">
        <v>32956</v>
      </c>
      <c r="AF2041" s="1" t="s">
        <v>74</v>
      </c>
      <c r="AG2041" s="1">
        <v>82</v>
      </c>
      <c r="AH2041" s="1">
        <v>3</v>
      </c>
      <c r="AI2041" s="1">
        <v>4</v>
      </c>
      <c r="AJ2041" s="1">
        <v>45</v>
      </c>
      <c r="AK2041" s="1">
        <v>64</v>
      </c>
      <c r="AL2041" s="1" t="s">
        <v>112</v>
      </c>
      <c r="AM2041" s="1" t="s">
        <v>113</v>
      </c>
      <c r="AN2041" s="1" t="s">
        <v>114</v>
      </c>
      <c r="AO2041" s="1" t="s">
        <v>115</v>
      </c>
      <c r="AP2041" s="1" t="s">
        <v>116</v>
      </c>
      <c r="AQ2041" s="1" t="s">
        <v>74</v>
      </c>
      <c r="AR2041" s="1" t="s">
        <v>117</v>
      </c>
      <c r="AS2041" s="1" t="s">
        <v>118</v>
      </c>
      <c r="AT2041" s="1" t="s">
        <v>224</v>
      </c>
      <c r="AU2041" s="1">
        <v>2023</v>
      </c>
      <c r="AV2041" s="1">
        <v>110</v>
      </c>
      <c r="AW2041" s="1">
        <v>2</v>
      </c>
      <c r="AX2041" s="1" t="s">
        <v>74</v>
      </c>
      <c r="AY2041" s="1" t="s">
        <v>74</v>
      </c>
      <c r="AZ2041" s="1" t="s">
        <v>74</v>
      </c>
      <c r="BA2041" s="1" t="s">
        <v>74</v>
      </c>
      <c r="BB2041" s="1" t="s">
        <v>74</v>
      </c>
      <c r="BC2041" s="1" t="s">
        <v>74</v>
      </c>
      <c r="BD2041" s="1">
        <v>51</v>
      </c>
      <c r="BE2041" s="1" t="s">
        <v>32957</v>
      </c>
      <c r="BF2041" s="1" t="str">
        <f>HYPERLINK("http://dx.doi.org/10.1007/s00128-022-03677-2","http://dx.doi.org/10.1007/s00128-022-03677-2")</f>
        <v>http://dx.doi.org/10.1007/s00128-022-03677-2</v>
      </c>
      <c r="BG2041" s="1" t="s">
        <v>74</v>
      </c>
      <c r="BH2041" s="1" t="s">
        <v>74</v>
      </c>
      <c r="BI2041" s="1">
        <v>12</v>
      </c>
      <c r="BJ2041" s="1" t="s">
        <v>121</v>
      </c>
      <c r="BK2041" s="1" t="s">
        <v>96</v>
      </c>
      <c r="BL2041" s="1" t="s">
        <v>122</v>
      </c>
      <c r="BM2041" s="1" t="s">
        <v>32958</v>
      </c>
      <c r="BN2041" s="1">
        <v>36720730</v>
      </c>
      <c r="BO2041" s="1" t="s">
        <v>74</v>
      </c>
      <c r="BP2041" s="1" t="s">
        <v>74</v>
      </c>
      <c r="BQ2041" s="1" t="s">
        <v>74</v>
      </c>
      <c r="BR2041" s="1" t="s">
        <v>98</v>
      </c>
      <c r="BS2041" s="1" t="s">
        <v>32959</v>
      </c>
      <c r="BT2041" s="1" t="str">
        <f>HYPERLINK("https%3A%2F%2Fwww.webofscience.com%2Fwos%2Fwoscc%2Ffull-record%2FWOS:000926897900001","View Full Record in Web of Science")</f>
        <v>View Full Record in Web of Science</v>
      </c>
      <c r="BU2041" s="1"/>
      <c r="BV2041" s="1"/>
    </row>
    <row r="2042" spans="1:74">
      <c r="A2042" s="1" t="s">
        <v>72</v>
      </c>
      <c r="B2042" s="1" t="s">
        <v>32960</v>
      </c>
      <c r="C2042" s="1" t="s">
        <v>74</v>
      </c>
      <c r="D2042" s="1" t="s">
        <v>74</v>
      </c>
      <c r="E2042" s="1" t="s">
        <v>74</v>
      </c>
      <c r="F2042" s="1" t="s">
        <v>32961</v>
      </c>
      <c r="G2042" s="1" t="s">
        <v>74</v>
      </c>
      <c r="H2042" s="1" t="s">
        <v>74</v>
      </c>
      <c r="I2042" s="1" t="s">
        <v>32962</v>
      </c>
      <c r="J2042" s="1" t="s">
        <v>204</v>
      </c>
      <c r="K2042" s="1" t="s">
        <v>74</v>
      </c>
      <c r="L2042" s="1" t="s">
        <v>74</v>
      </c>
      <c r="M2042" s="1" t="s">
        <v>78</v>
      </c>
      <c r="N2042" s="1" t="s">
        <v>79</v>
      </c>
      <c r="O2042" s="1" t="s">
        <v>74</v>
      </c>
      <c r="P2042" s="1" t="s">
        <v>74</v>
      </c>
      <c r="Q2042" s="1" t="s">
        <v>74</v>
      </c>
      <c r="R2042" s="1" t="s">
        <v>74</v>
      </c>
      <c r="S2042" s="1" t="s">
        <v>74</v>
      </c>
      <c r="T2042" s="1" t="s">
        <v>32963</v>
      </c>
      <c r="U2042" s="1" t="s">
        <v>32964</v>
      </c>
      <c r="V2042" s="1" t="s">
        <v>32965</v>
      </c>
      <c r="W2042" s="1" t="s">
        <v>32966</v>
      </c>
      <c r="X2042" s="1" t="s">
        <v>9166</v>
      </c>
      <c r="Y2042" s="1" t="s">
        <v>32967</v>
      </c>
      <c r="Z2042" s="1" t="s">
        <v>29041</v>
      </c>
      <c r="AA2042" s="1" t="s">
        <v>32968</v>
      </c>
      <c r="AB2042" s="1" t="s">
        <v>32969</v>
      </c>
      <c r="AC2042" s="1" t="s">
        <v>32970</v>
      </c>
      <c r="AD2042" s="1" t="s">
        <v>32970</v>
      </c>
      <c r="AE2042" s="1" t="s">
        <v>32971</v>
      </c>
      <c r="AF2042" s="1" t="s">
        <v>74</v>
      </c>
      <c r="AG2042" s="1">
        <v>53</v>
      </c>
      <c r="AH2042" s="1">
        <v>29</v>
      </c>
      <c r="AI2042" s="1">
        <v>31</v>
      </c>
      <c r="AJ2042" s="1">
        <v>1</v>
      </c>
      <c r="AK2042" s="1">
        <v>34</v>
      </c>
      <c r="AL2042" s="1" t="s">
        <v>217</v>
      </c>
      <c r="AM2042" s="1" t="s">
        <v>218</v>
      </c>
      <c r="AN2042" s="1" t="s">
        <v>219</v>
      </c>
      <c r="AO2042" s="1" t="s">
        <v>220</v>
      </c>
      <c r="AP2042" s="1" t="s">
        <v>221</v>
      </c>
      <c r="AQ2042" s="1" t="s">
        <v>74</v>
      </c>
      <c r="AR2042" s="1" t="s">
        <v>222</v>
      </c>
      <c r="AS2042" s="1" t="s">
        <v>223</v>
      </c>
      <c r="AT2042" s="1" t="s">
        <v>119</v>
      </c>
      <c r="AU2042" s="1">
        <v>2013</v>
      </c>
      <c r="AV2042" s="1">
        <v>20</v>
      </c>
      <c r="AW2042" s="1">
        <v>8</v>
      </c>
      <c r="AX2042" s="1" t="s">
        <v>74</v>
      </c>
      <c r="AY2042" s="1" t="s">
        <v>74</v>
      </c>
      <c r="AZ2042" s="1" t="s">
        <v>74</v>
      </c>
      <c r="BA2042" s="1" t="s">
        <v>74</v>
      </c>
      <c r="BB2042" s="1">
        <v>5682</v>
      </c>
      <c r="BC2042" s="1">
        <v>5691</v>
      </c>
      <c r="BD2042" s="1" t="s">
        <v>74</v>
      </c>
      <c r="BE2042" s="1" t="s">
        <v>32972</v>
      </c>
      <c r="BF2042" s="1" t="str">
        <f>HYPERLINK("http://dx.doi.org/10.1007/s11356-013-1587-z","http://dx.doi.org/10.1007/s11356-013-1587-z")</f>
        <v>http://dx.doi.org/10.1007/s11356-013-1587-z</v>
      </c>
      <c r="BG2042" s="1" t="s">
        <v>74</v>
      </c>
      <c r="BH2042" s="1" t="s">
        <v>74</v>
      </c>
      <c r="BI2042" s="1">
        <v>10</v>
      </c>
      <c r="BJ2042" s="1" t="s">
        <v>144</v>
      </c>
      <c r="BK2042" s="1" t="s">
        <v>96</v>
      </c>
      <c r="BL2042" s="1" t="s">
        <v>145</v>
      </c>
      <c r="BM2042" s="1" t="s">
        <v>29155</v>
      </c>
      <c r="BN2042" s="1">
        <v>23456949</v>
      </c>
      <c r="BO2042" s="1" t="s">
        <v>74</v>
      </c>
      <c r="BP2042" s="1" t="s">
        <v>74</v>
      </c>
      <c r="BQ2042" s="1" t="s">
        <v>74</v>
      </c>
      <c r="BR2042" s="1" t="s">
        <v>98</v>
      </c>
      <c r="BS2042" s="1" t="s">
        <v>32973</v>
      </c>
      <c r="BT2042" s="1" t="str">
        <f>HYPERLINK("https%3A%2F%2Fwww.webofscience.com%2Fwos%2Fwoscc%2Ffull-record%2FWOS:000321908600057","View Full Record in Web of Science")</f>
        <v>View Full Record in Web of Science</v>
      </c>
      <c r="BU2042" s="1"/>
      <c r="BV2042" s="1"/>
    </row>
    <row r="2043" spans="1:74">
      <c r="A2043" s="1" t="s">
        <v>72</v>
      </c>
      <c r="B2043" s="1" t="s">
        <v>32974</v>
      </c>
      <c r="C2043" s="1" t="s">
        <v>74</v>
      </c>
      <c r="D2043" s="1" t="s">
        <v>74</v>
      </c>
      <c r="E2043" s="1" t="s">
        <v>74</v>
      </c>
      <c r="F2043" s="1" t="s">
        <v>32975</v>
      </c>
      <c r="G2043" s="1" t="s">
        <v>74</v>
      </c>
      <c r="H2043" s="1" t="s">
        <v>74</v>
      </c>
      <c r="I2043" s="1" t="s">
        <v>32976</v>
      </c>
      <c r="J2043" s="1" t="s">
        <v>204</v>
      </c>
      <c r="K2043" s="1" t="s">
        <v>74</v>
      </c>
      <c r="L2043" s="1" t="s">
        <v>74</v>
      </c>
      <c r="M2043" s="1" t="s">
        <v>78</v>
      </c>
      <c r="N2043" s="1" t="s">
        <v>79</v>
      </c>
      <c r="O2043" s="1" t="s">
        <v>74</v>
      </c>
      <c r="P2043" s="1" t="s">
        <v>74</v>
      </c>
      <c r="Q2043" s="1" t="s">
        <v>74</v>
      </c>
      <c r="R2043" s="1" t="s">
        <v>74</v>
      </c>
      <c r="S2043" s="1" t="s">
        <v>74</v>
      </c>
      <c r="T2043" s="1" t="s">
        <v>32977</v>
      </c>
      <c r="U2043" s="1" t="s">
        <v>32978</v>
      </c>
      <c r="V2043" s="1" t="s">
        <v>32979</v>
      </c>
      <c r="W2043" s="1" t="s">
        <v>32980</v>
      </c>
      <c r="X2043" s="1" t="s">
        <v>32981</v>
      </c>
      <c r="Y2043" s="1" t="s">
        <v>32982</v>
      </c>
      <c r="Z2043" s="1" t="s">
        <v>32983</v>
      </c>
      <c r="AA2043" s="1" t="s">
        <v>74</v>
      </c>
      <c r="AB2043" s="1" t="s">
        <v>32984</v>
      </c>
      <c r="AC2043" s="1" t="s">
        <v>32985</v>
      </c>
      <c r="AD2043" s="1" t="s">
        <v>32986</v>
      </c>
      <c r="AE2043" s="1" t="s">
        <v>32987</v>
      </c>
      <c r="AF2043" s="1" t="s">
        <v>74</v>
      </c>
      <c r="AG2043" s="1">
        <v>63</v>
      </c>
      <c r="AH2043" s="1">
        <v>22</v>
      </c>
      <c r="AI2043" s="1">
        <v>23</v>
      </c>
      <c r="AJ2043" s="1">
        <v>2</v>
      </c>
      <c r="AK2043" s="1">
        <v>62</v>
      </c>
      <c r="AL2043" s="1" t="s">
        <v>217</v>
      </c>
      <c r="AM2043" s="1" t="s">
        <v>218</v>
      </c>
      <c r="AN2043" s="1" t="s">
        <v>219</v>
      </c>
      <c r="AO2043" s="1" t="s">
        <v>220</v>
      </c>
      <c r="AP2043" s="1" t="s">
        <v>221</v>
      </c>
      <c r="AQ2043" s="1" t="s">
        <v>74</v>
      </c>
      <c r="AR2043" s="1" t="s">
        <v>222</v>
      </c>
      <c r="AS2043" s="1" t="s">
        <v>223</v>
      </c>
      <c r="AT2043" s="1" t="s">
        <v>224</v>
      </c>
      <c r="AU2043" s="1">
        <v>2017</v>
      </c>
      <c r="AV2043" s="1">
        <v>24</v>
      </c>
      <c r="AW2043" s="1">
        <v>4</v>
      </c>
      <c r="AX2043" s="1" t="s">
        <v>74</v>
      </c>
      <c r="AY2043" s="1" t="s">
        <v>74</v>
      </c>
      <c r="AZ2043" s="1" t="s">
        <v>74</v>
      </c>
      <c r="BA2043" s="1" t="s">
        <v>74</v>
      </c>
      <c r="BB2043" s="1">
        <v>3626</v>
      </c>
      <c r="BC2043" s="1">
        <v>3639</v>
      </c>
      <c r="BD2043" s="1" t="s">
        <v>74</v>
      </c>
      <c r="BE2043" s="1" t="s">
        <v>32988</v>
      </c>
      <c r="BF2043" s="1" t="str">
        <f>HYPERLINK("http://dx.doi.org/10.1007/s11356-016-8117-8","http://dx.doi.org/10.1007/s11356-016-8117-8")</f>
        <v>http://dx.doi.org/10.1007/s11356-016-8117-8</v>
      </c>
      <c r="BG2043" s="1" t="s">
        <v>74</v>
      </c>
      <c r="BH2043" s="1" t="s">
        <v>74</v>
      </c>
      <c r="BI2043" s="1">
        <v>14</v>
      </c>
      <c r="BJ2043" s="1" t="s">
        <v>144</v>
      </c>
      <c r="BK2043" s="1" t="s">
        <v>96</v>
      </c>
      <c r="BL2043" s="1" t="s">
        <v>145</v>
      </c>
      <c r="BM2043" s="1" t="s">
        <v>25335</v>
      </c>
      <c r="BN2043" s="1">
        <v>27885579</v>
      </c>
      <c r="BO2043" s="1" t="s">
        <v>74</v>
      </c>
      <c r="BP2043" s="1" t="s">
        <v>74</v>
      </c>
      <c r="BQ2043" s="1" t="s">
        <v>74</v>
      </c>
      <c r="BR2043" s="1" t="s">
        <v>98</v>
      </c>
      <c r="BS2043" s="1" t="s">
        <v>32989</v>
      </c>
      <c r="BT2043" s="1" t="str">
        <f>HYPERLINK("https%3A%2F%2Fwww.webofscience.com%2Fwos%2Fwoscc%2Ffull-record%2FWOS:000397004600036","View Full Record in Web of Science")</f>
        <v>View Full Record in Web of Science</v>
      </c>
      <c r="BU2043" s="1"/>
      <c r="BV2043" s="1"/>
    </row>
    <row r="2044" spans="1:74">
      <c r="A2044" s="1" t="s">
        <v>72</v>
      </c>
      <c r="B2044" s="1" t="s">
        <v>32990</v>
      </c>
      <c r="C2044" s="1" t="s">
        <v>74</v>
      </c>
      <c r="D2044" s="1" t="s">
        <v>74</v>
      </c>
      <c r="E2044" s="1" t="s">
        <v>74</v>
      </c>
      <c r="F2044" s="1" t="s">
        <v>32990</v>
      </c>
      <c r="G2044" s="1" t="s">
        <v>74</v>
      </c>
      <c r="H2044" s="1" t="s">
        <v>74</v>
      </c>
      <c r="I2044" s="1" t="s">
        <v>32991</v>
      </c>
      <c r="J2044" s="1" t="s">
        <v>958</v>
      </c>
      <c r="K2044" s="1" t="s">
        <v>74</v>
      </c>
      <c r="L2044" s="1" t="s">
        <v>74</v>
      </c>
      <c r="M2044" s="1" t="s">
        <v>78</v>
      </c>
      <c r="N2044" s="1" t="s">
        <v>151</v>
      </c>
      <c r="O2044" s="1" t="s">
        <v>21907</v>
      </c>
      <c r="P2044" s="1" t="s">
        <v>21908</v>
      </c>
      <c r="Q2044" s="1" t="s">
        <v>21909</v>
      </c>
      <c r="R2044" s="1" t="s">
        <v>74</v>
      </c>
      <c r="S2044" s="1" t="s">
        <v>74</v>
      </c>
      <c r="T2044" s="1" t="s">
        <v>32992</v>
      </c>
      <c r="U2044" s="1" t="s">
        <v>32993</v>
      </c>
      <c r="V2044" s="1" t="s">
        <v>32994</v>
      </c>
      <c r="W2044" s="1" t="s">
        <v>32995</v>
      </c>
      <c r="X2044" s="1" t="s">
        <v>32996</v>
      </c>
      <c r="Y2044" s="1" t="s">
        <v>32997</v>
      </c>
      <c r="Z2044" s="1" t="s">
        <v>21915</v>
      </c>
      <c r="AA2044" s="1" t="s">
        <v>74</v>
      </c>
      <c r="AB2044" s="1" t="s">
        <v>74</v>
      </c>
      <c r="AC2044" s="1" t="s">
        <v>74</v>
      </c>
      <c r="AD2044" s="1" t="s">
        <v>74</v>
      </c>
      <c r="AE2044" s="1" t="s">
        <v>74</v>
      </c>
      <c r="AF2044" s="1" t="s">
        <v>74</v>
      </c>
      <c r="AG2044" s="1">
        <v>65</v>
      </c>
      <c r="AH2044" s="1">
        <v>73</v>
      </c>
      <c r="AI2044" s="1">
        <v>88</v>
      </c>
      <c r="AJ2044" s="1">
        <v>0</v>
      </c>
      <c r="AK2044" s="1">
        <v>16</v>
      </c>
      <c r="AL2044" s="1" t="s">
        <v>86</v>
      </c>
      <c r="AM2044" s="1" t="s">
        <v>87</v>
      </c>
      <c r="AN2044" s="1" t="s">
        <v>88</v>
      </c>
      <c r="AO2044" s="1" t="s">
        <v>967</v>
      </c>
      <c r="AP2044" s="1" t="s">
        <v>968</v>
      </c>
      <c r="AQ2044" s="1" t="s">
        <v>74</v>
      </c>
      <c r="AR2044" s="1" t="s">
        <v>969</v>
      </c>
      <c r="AS2044" s="1" t="s">
        <v>970</v>
      </c>
      <c r="AT2044" s="1" t="s">
        <v>142</v>
      </c>
      <c r="AU2044" s="1">
        <v>2002</v>
      </c>
      <c r="AV2044" s="1">
        <v>17</v>
      </c>
      <c r="AW2044" s="1">
        <v>3</v>
      </c>
      <c r="AX2044" s="1" t="s">
        <v>74</v>
      </c>
      <c r="AY2044" s="1" t="s">
        <v>74</v>
      </c>
      <c r="AZ2044" s="1" t="s">
        <v>225</v>
      </c>
      <c r="BA2044" s="1" t="s">
        <v>74</v>
      </c>
      <c r="BB2044" s="1">
        <v>170</v>
      </c>
      <c r="BC2044" s="1">
        <v>186</v>
      </c>
      <c r="BD2044" s="1" t="s">
        <v>74</v>
      </c>
      <c r="BE2044" s="1" t="s">
        <v>32998</v>
      </c>
      <c r="BF2044" s="1" t="str">
        <f>HYPERLINK("http://dx.doi.org/10.1002/tox.10048","http://dx.doi.org/10.1002/tox.10048")</f>
        <v>http://dx.doi.org/10.1002/tox.10048</v>
      </c>
      <c r="BG2044" s="1" t="s">
        <v>74</v>
      </c>
      <c r="BH2044" s="1" t="s">
        <v>74</v>
      </c>
      <c r="BI2044" s="1">
        <v>17</v>
      </c>
      <c r="BJ2044" s="1" t="s">
        <v>972</v>
      </c>
      <c r="BK2044" s="1" t="s">
        <v>172</v>
      </c>
      <c r="BL2044" s="1" t="s">
        <v>973</v>
      </c>
      <c r="BM2044" s="1" t="s">
        <v>21918</v>
      </c>
      <c r="BN2044" s="1">
        <v>12112625</v>
      </c>
      <c r="BO2044" s="1" t="s">
        <v>74</v>
      </c>
      <c r="BP2044" s="1" t="s">
        <v>74</v>
      </c>
      <c r="BQ2044" s="1" t="s">
        <v>74</v>
      </c>
      <c r="BR2044" s="1" t="s">
        <v>98</v>
      </c>
      <c r="BS2044" s="1" t="s">
        <v>32999</v>
      </c>
      <c r="BT2044" s="1" t="str">
        <f>HYPERLINK("https%3A%2F%2Fwww.webofscience.com%2Fwos%2Fwoscc%2Ffull-record%2FWOS:000176717400004","View Full Record in Web of Science")</f>
        <v>View Full Record in Web of Science</v>
      </c>
      <c r="BU2044" s="1"/>
      <c r="BV2044" s="1"/>
    </row>
    <row r="2045" spans="1:74">
      <c r="A2045" s="1" t="s">
        <v>72</v>
      </c>
      <c r="B2045" s="1" t="s">
        <v>33000</v>
      </c>
      <c r="C2045" s="1" t="s">
        <v>74</v>
      </c>
      <c r="D2045" s="1" t="s">
        <v>74</v>
      </c>
      <c r="E2045" s="1" t="s">
        <v>74</v>
      </c>
      <c r="F2045" s="1" t="s">
        <v>33001</v>
      </c>
      <c r="G2045" s="1" t="s">
        <v>74</v>
      </c>
      <c r="H2045" s="1" t="s">
        <v>74</v>
      </c>
      <c r="I2045" s="1" t="s">
        <v>33002</v>
      </c>
      <c r="J2045" s="1" t="s">
        <v>752</v>
      </c>
      <c r="K2045" s="1" t="s">
        <v>74</v>
      </c>
      <c r="L2045" s="1" t="s">
        <v>74</v>
      </c>
      <c r="M2045" s="1" t="s">
        <v>78</v>
      </c>
      <c r="N2045" s="1" t="s">
        <v>79</v>
      </c>
      <c r="O2045" s="1" t="s">
        <v>74</v>
      </c>
      <c r="P2045" s="1" t="s">
        <v>74</v>
      </c>
      <c r="Q2045" s="1" t="s">
        <v>74</v>
      </c>
      <c r="R2045" s="1" t="s">
        <v>74</v>
      </c>
      <c r="S2045" s="1" t="s">
        <v>74</v>
      </c>
      <c r="T2045" s="1" t="s">
        <v>33003</v>
      </c>
      <c r="U2045" s="1" t="s">
        <v>33004</v>
      </c>
      <c r="V2045" s="1" t="s">
        <v>33005</v>
      </c>
      <c r="W2045" s="1" t="s">
        <v>33006</v>
      </c>
      <c r="X2045" s="1" t="s">
        <v>74</v>
      </c>
      <c r="Y2045" s="1" t="s">
        <v>33007</v>
      </c>
      <c r="Z2045" s="1" t="s">
        <v>33008</v>
      </c>
      <c r="AA2045" s="1" t="s">
        <v>33009</v>
      </c>
      <c r="AB2045" s="1" t="s">
        <v>33010</v>
      </c>
      <c r="AC2045" s="1" t="s">
        <v>33011</v>
      </c>
      <c r="AD2045" s="1" t="s">
        <v>33012</v>
      </c>
      <c r="AE2045" s="1" t="s">
        <v>33013</v>
      </c>
      <c r="AF2045" s="1" t="s">
        <v>74</v>
      </c>
      <c r="AG2045" s="1">
        <v>71</v>
      </c>
      <c r="AH2045" s="1">
        <v>0</v>
      </c>
      <c r="AI2045" s="1">
        <v>0</v>
      </c>
      <c r="AJ2045" s="1">
        <v>3</v>
      </c>
      <c r="AK2045" s="1">
        <v>3</v>
      </c>
      <c r="AL2045" s="1" t="s">
        <v>430</v>
      </c>
      <c r="AM2045" s="1" t="s">
        <v>7361</v>
      </c>
      <c r="AN2045" s="1" t="s">
        <v>7362</v>
      </c>
      <c r="AO2045" s="1" t="s">
        <v>761</v>
      </c>
      <c r="AP2045" s="1" t="s">
        <v>762</v>
      </c>
      <c r="AQ2045" s="1" t="s">
        <v>74</v>
      </c>
      <c r="AR2045" s="1" t="s">
        <v>763</v>
      </c>
      <c r="AS2045" s="1" t="s">
        <v>764</v>
      </c>
      <c r="AT2045" s="1" t="s">
        <v>142</v>
      </c>
      <c r="AU2045" s="1">
        <v>2024</v>
      </c>
      <c r="AV2045" s="1">
        <v>198</v>
      </c>
      <c r="AW2045" s="1" t="s">
        <v>74</v>
      </c>
      <c r="AX2045" s="1" t="s">
        <v>74</v>
      </c>
      <c r="AY2045" s="1" t="s">
        <v>74</v>
      </c>
      <c r="AZ2045" s="1" t="s">
        <v>74</v>
      </c>
      <c r="BA2045" s="1" t="s">
        <v>74</v>
      </c>
      <c r="BB2045" s="1" t="s">
        <v>74</v>
      </c>
      <c r="BC2045" s="1" t="s">
        <v>74</v>
      </c>
      <c r="BD2045" s="1">
        <v>106548</v>
      </c>
      <c r="BE2045" s="1" t="s">
        <v>33014</v>
      </c>
      <c r="BF2045" s="1" t="str">
        <f>HYPERLINK("http://dx.doi.org/10.1016/j.marenvres.2024.106548","http://dx.doi.org/10.1016/j.marenvres.2024.106548")</f>
        <v>http://dx.doi.org/10.1016/j.marenvres.2024.106548</v>
      </c>
      <c r="BG2045" s="1" t="s">
        <v>74</v>
      </c>
      <c r="BH2045" s="1" t="s">
        <v>11425</v>
      </c>
      <c r="BI2045" s="1">
        <v>7</v>
      </c>
      <c r="BJ2045" s="1" t="s">
        <v>768</v>
      </c>
      <c r="BK2045" s="1" t="s">
        <v>96</v>
      </c>
      <c r="BL2045" s="1" t="s">
        <v>769</v>
      </c>
      <c r="BM2045" s="1" t="s">
        <v>33015</v>
      </c>
      <c r="BN2045" s="1">
        <v>38733740</v>
      </c>
      <c r="BO2045" s="1" t="s">
        <v>74</v>
      </c>
      <c r="BP2045" s="1" t="s">
        <v>74</v>
      </c>
      <c r="BQ2045" s="1" t="s">
        <v>74</v>
      </c>
      <c r="BR2045" s="1" t="s">
        <v>98</v>
      </c>
      <c r="BS2045" s="1" t="s">
        <v>33016</v>
      </c>
      <c r="BT2045" s="1" t="str">
        <f>HYPERLINK("https%3A%2F%2Fwww.webofscience.com%2Fwos%2Fwoscc%2Ffull-record%2FWOS:001241205200001","View Full Record in Web of Science")</f>
        <v>View Full Record in Web of Science</v>
      </c>
      <c r="BU2045" s="1"/>
      <c r="BV2045" s="1"/>
    </row>
    <row r="2046" spans="1:74">
      <c r="A2046" s="1" t="s">
        <v>72</v>
      </c>
      <c r="B2046" s="1" t="s">
        <v>33017</v>
      </c>
      <c r="C2046" s="1" t="s">
        <v>74</v>
      </c>
      <c r="D2046" s="1" t="s">
        <v>74</v>
      </c>
      <c r="E2046" s="1" t="s">
        <v>74</v>
      </c>
      <c r="F2046" s="1" t="s">
        <v>33017</v>
      </c>
      <c r="G2046" s="1" t="s">
        <v>74</v>
      </c>
      <c r="H2046" s="1" t="s">
        <v>74</v>
      </c>
      <c r="I2046" s="1" t="s">
        <v>33018</v>
      </c>
      <c r="J2046" s="1" t="s">
        <v>1202</v>
      </c>
      <c r="K2046" s="1" t="s">
        <v>74</v>
      </c>
      <c r="L2046" s="1" t="s">
        <v>74</v>
      </c>
      <c r="M2046" s="1" t="s">
        <v>78</v>
      </c>
      <c r="N2046" s="1" t="s">
        <v>151</v>
      </c>
      <c r="O2046" s="1" t="s">
        <v>33019</v>
      </c>
      <c r="P2046" s="1" t="s">
        <v>33020</v>
      </c>
      <c r="Q2046" s="1" t="s">
        <v>33021</v>
      </c>
      <c r="R2046" s="1" t="s">
        <v>74</v>
      </c>
      <c r="S2046" s="1" t="s">
        <v>74</v>
      </c>
      <c r="T2046" s="1" t="s">
        <v>33022</v>
      </c>
      <c r="U2046" s="1" t="s">
        <v>33023</v>
      </c>
      <c r="V2046" s="1" t="s">
        <v>33024</v>
      </c>
      <c r="W2046" s="1" t="s">
        <v>33025</v>
      </c>
      <c r="X2046" s="1" t="s">
        <v>33026</v>
      </c>
      <c r="Y2046" s="1" t="s">
        <v>33027</v>
      </c>
      <c r="Z2046" s="1" t="s">
        <v>74</v>
      </c>
      <c r="AA2046" s="1" t="s">
        <v>33028</v>
      </c>
      <c r="AB2046" s="1" t="s">
        <v>20118</v>
      </c>
      <c r="AC2046" s="1" t="s">
        <v>74</v>
      </c>
      <c r="AD2046" s="1" t="s">
        <v>74</v>
      </c>
      <c r="AE2046" s="1" t="s">
        <v>74</v>
      </c>
      <c r="AF2046" s="1" t="s">
        <v>74</v>
      </c>
      <c r="AG2046" s="1">
        <v>66</v>
      </c>
      <c r="AH2046" s="1">
        <v>35</v>
      </c>
      <c r="AI2046" s="1">
        <v>40</v>
      </c>
      <c r="AJ2046" s="1">
        <v>0</v>
      </c>
      <c r="AK2046" s="1">
        <v>6</v>
      </c>
      <c r="AL2046" s="1" t="s">
        <v>112</v>
      </c>
      <c r="AM2046" s="1" t="s">
        <v>191</v>
      </c>
      <c r="AN2046" s="1" t="s">
        <v>192</v>
      </c>
      <c r="AO2046" s="1" t="s">
        <v>1207</v>
      </c>
      <c r="AP2046" s="1" t="s">
        <v>4902</v>
      </c>
      <c r="AQ2046" s="1" t="s">
        <v>74</v>
      </c>
      <c r="AR2046" s="1" t="s">
        <v>1202</v>
      </c>
      <c r="AS2046" s="1" t="s">
        <v>1208</v>
      </c>
      <c r="AT2046" s="1" t="s">
        <v>74</v>
      </c>
      <c r="AU2046" s="1">
        <v>1998</v>
      </c>
      <c r="AV2046" s="1">
        <v>374</v>
      </c>
      <c r="AW2046" s="1" t="s">
        <v>74</v>
      </c>
      <c r="AX2046" s="1" t="s">
        <v>74</v>
      </c>
      <c r="AY2046" s="1" t="s">
        <v>74</v>
      </c>
      <c r="AZ2046" s="1" t="s">
        <v>74</v>
      </c>
      <c r="BA2046" s="1" t="s">
        <v>74</v>
      </c>
      <c r="BB2046" s="1">
        <v>259</v>
      </c>
      <c r="BC2046" s="1">
        <v>279</v>
      </c>
      <c r="BD2046" s="1" t="s">
        <v>74</v>
      </c>
      <c r="BE2046" s="1" t="s">
        <v>74</v>
      </c>
      <c r="BF2046" s="1" t="s">
        <v>74</v>
      </c>
      <c r="BG2046" s="1" t="s">
        <v>74</v>
      </c>
      <c r="BH2046" s="1" t="s">
        <v>74</v>
      </c>
      <c r="BI2046" s="1">
        <v>21</v>
      </c>
      <c r="BJ2046" s="1" t="s">
        <v>680</v>
      </c>
      <c r="BK2046" s="1" t="s">
        <v>172</v>
      </c>
      <c r="BL2046" s="1" t="s">
        <v>680</v>
      </c>
      <c r="BM2046" s="1" t="s">
        <v>33029</v>
      </c>
      <c r="BN2046" s="1" t="s">
        <v>74</v>
      </c>
      <c r="BO2046" s="1" t="s">
        <v>74</v>
      </c>
      <c r="BP2046" s="1" t="s">
        <v>74</v>
      </c>
      <c r="BQ2046" s="1" t="s">
        <v>74</v>
      </c>
      <c r="BR2046" s="1" t="s">
        <v>98</v>
      </c>
      <c r="BS2046" s="1" t="s">
        <v>33030</v>
      </c>
      <c r="BT2046" s="1" t="str">
        <f>HYPERLINK("https%3A%2F%2Fwww.webofscience.com%2Fwos%2Fwoscc%2Ffull-record%2FWOS:000076609900022","View Full Record in Web of Science")</f>
        <v>View Full Record in Web of Science</v>
      </c>
      <c r="BU2046" s="1"/>
      <c r="BV2046" s="1"/>
    </row>
    <row r="2047" spans="1:74">
      <c r="A2047" s="1" t="s">
        <v>72</v>
      </c>
      <c r="B2047" s="1" t="s">
        <v>33031</v>
      </c>
      <c r="C2047" s="1" t="s">
        <v>74</v>
      </c>
      <c r="D2047" s="1" t="s">
        <v>74</v>
      </c>
      <c r="E2047" s="1" t="s">
        <v>74</v>
      </c>
      <c r="F2047" s="1" t="s">
        <v>33032</v>
      </c>
      <c r="G2047" s="1" t="s">
        <v>74</v>
      </c>
      <c r="H2047" s="1" t="s">
        <v>74</v>
      </c>
      <c r="I2047" s="1" t="s">
        <v>33033</v>
      </c>
      <c r="J2047" s="1" t="s">
        <v>232</v>
      </c>
      <c r="K2047" s="1" t="s">
        <v>74</v>
      </c>
      <c r="L2047" s="1" t="s">
        <v>74</v>
      </c>
      <c r="M2047" s="1" t="s">
        <v>78</v>
      </c>
      <c r="N2047" s="1" t="s">
        <v>79</v>
      </c>
      <c r="O2047" s="1" t="s">
        <v>74</v>
      </c>
      <c r="P2047" s="1" t="s">
        <v>74</v>
      </c>
      <c r="Q2047" s="1" t="s">
        <v>74</v>
      </c>
      <c r="R2047" s="1" t="s">
        <v>74</v>
      </c>
      <c r="S2047" s="1" t="s">
        <v>74</v>
      </c>
      <c r="T2047" s="1" t="s">
        <v>33034</v>
      </c>
      <c r="U2047" s="1" t="s">
        <v>33035</v>
      </c>
      <c r="V2047" s="1" t="s">
        <v>33036</v>
      </c>
      <c r="W2047" s="1" t="s">
        <v>33037</v>
      </c>
      <c r="X2047" s="1" t="s">
        <v>33038</v>
      </c>
      <c r="Y2047" s="1" t="s">
        <v>33039</v>
      </c>
      <c r="Z2047" s="1" t="s">
        <v>33040</v>
      </c>
      <c r="AA2047" s="1" t="s">
        <v>33041</v>
      </c>
      <c r="AB2047" s="1" t="s">
        <v>33042</v>
      </c>
      <c r="AC2047" s="1" t="s">
        <v>33043</v>
      </c>
      <c r="AD2047" s="1" t="s">
        <v>33043</v>
      </c>
      <c r="AE2047" s="1" t="s">
        <v>33044</v>
      </c>
      <c r="AF2047" s="1" t="s">
        <v>74</v>
      </c>
      <c r="AG2047" s="1">
        <v>35</v>
      </c>
      <c r="AH2047" s="1">
        <v>53</v>
      </c>
      <c r="AI2047" s="1">
        <v>59</v>
      </c>
      <c r="AJ2047" s="1">
        <v>1</v>
      </c>
      <c r="AK2047" s="1">
        <v>27</v>
      </c>
      <c r="AL2047" s="1" t="s">
        <v>136</v>
      </c>
      <c r="AM2047" s="1" t="s">
        <v>137</v>
      </c>
      <c r="AN2047" s="1" t="s">
        <v>138</v>
      </c>
      <c r="AO2047" s="1" t="s">
        <v>240</v>
      </c>
      <c r="AP2047" s="1" t="s">
        <v>241</v>
      </c>
      <c r="AQ2047" s="1" t="s">
        <v>74</v>
      </c>
      <c r="AR2047" s="1" t="s">
        <v>242</v>
      </c>
      <c r="AS2047" s="1" t="s">
        <v>243</v>
      </c>
      <c r="AT2047" s="1" t="s">
        <v>33045</v>
      </c>
      <c r="AU2047" s="1">
        <v>2015</v>
      </c>
      <c r="AV2047" s="1">
        <v>100</v>
      </c>
      <c r="AW2047" s="1">
        <v>2</v>
      </c>
      <c r="AX2047" s="1" t="s">
        <v>74</v>
      </c>
      <c r="AY2047" s="1" t="s">
        <v>74</v>
      </c>
      <c r="AZ2047" s="1" t="s">
        <v>74</v>
      </c>
      <c r="BA2047" s="1" t="s">
        <v>74</v>
      </c>
      <c r="BB2047" s="1">
        <v>629</v>
      </c>
      <c r="BC2047" s="1">
        <v>636</v>
      </c>
      <c r="BD2047" s="1" t="s">
        <v>74</v>
      </c>
      <c r="BE2047" s="1" t="s">
        <v>33046</v>
      </c>
      <c r="BF2047" s="1" t="str">
        <f>HYPERLINK("http://dx.doi.org/10.1016/j.marpolbul.2015.08.014","http://dx.doi.org/10.1016/j.marpolbul.2015.08.014")</f>
        <v>http://dx.doi.org/10.1016/j.marpolbul.2015.08.014</v>
      </c>
      <c r="BG2047" s="1" t="s">
        <v>74</v>
      </c>
      <c r="BH2047" s="1" t="s">
        <v>74</v>
      </c>
      <c r="BI2047" s="1">
        <v>8</v>
      </c>
      <c r="BJ2047" s="1" t="s">
        <v>247</v>
      </c>
      <c r="BK2047" s="1" t="s">
        <v>96</v>
      </c>
      <c r="BL2047" s="1" t="s">
        <v>248</v>
      </c>
      <c r="BM2047" s="1" t="s">
        <v>33047</v>
      </c>
      <c r="BN2047" s="1">
        <v>26344820</v>
      </c>
      <c r="BO2047" s="1" t="s">
        <v>27254</v>
      </c>
      <c r="BP2047" s="1" t="s">
        <v>74</v>
      </c>
      <c r="BQ2047" s="1" t="s">
        <v>74</v>
      </c>
      <c r="BR2047" s="1" t="s">
        <v>98</v>
      </c>
      <c r="BS2047" s="1" t="s">
        <v>33048</v>
      </c>
      <c r="BT2047" s="1" t="str">
        <f>HYPERLINK("https%3A%2F%2Fwww.webofscience.com%2Fwos%2Fwoscc%2Ffull-record%2FWOS:000367108100005","View Full Record in Web of Science")</f>
        <v>View Full Record in Web of Science</v>
      </c>
      <c r="BU2047" s="1"/>
      <c r="BV2047" s="1"/>
    </row>
    <row r="2048" spans="1:74">
      <c r="A2048" s="1" t="s">
        <v>72</v>
      </c>
      <c r="B2048" s="1" t="s">
        <v>33049</v>
      </c>
      <c r="C2048" s="1" t="s">
        <v>74</v>
      </c>
      <c r="D2048" s="1" t="s">
        <v>74</v>
      </c>
      <c r="E2048" s="1" t="s">
        <v>74</v>
      </c>
      <c r="F2048" s="1" t="s">
        <v>33049</v>
      </c>
      <c r="G2048" s="1" t="s">
        <v>74</v>
      </c>
      <c r="H2048" s="1" t="s">
        <v>74</v>
      </c>
      <c r="I2048" s="1" t="s">
        <v>33050</v>
      </c>
      <c r="J2048" s="1" t="s">
        <v>232</v>
      </c>
      <c r="K2048" s="1" t="s">
        <v>74</v>
      </c>
      <c r="L2048" s="1" t="s">
        <v>74</v>
      </c>
      <c r="M2048" s="1" t="s">
        <v>78</v>
      </c>
      <c r="N2048" s="1" t="s">
        <v>79</v>
      </c>
      <c r="O2048" s="1" t="s">
        <v>74</v>
      </c>
      <c r="P2048" s="1" t="s">
        <v>74</v>
      </c>
      <c r="Q2048" s="1" t="s">
        <v>74</v>
      </c>
      <c r="R2048" s="1" t="s">
        <v>74</v>
      </c>
      <c r="S2048" s="1" t="s">
        <v>74</v>
      </c>
      <c r="T2048" s="1" t="s">
        <v>74</v>
      </c>
      <c r="U2048" s="1" t="s">
        <v>33051</v>
      </c>
      <c r="V2048" s="1" t="s">
        <v>33052</v>
      </c>
      <c r="W2048" s="1" t="s">
        <v>33053</v>
      </c>
      <c r="X2048" s="1" t="s">
        <v>3144</v>
      </c>
      <c r="Y2048" s="1" t="s">
        <v>33054</v>
      </c>
      <c r="Z2048" s="1" t="s">
        <v>74</v>
      </c>
      <c r="AA2048" s="1" t="s">
        <v>33055</v>
      </c>
      <c r="AB2048" s="1" t="s">
        <v>74</v>
      </c>
      <c r="AC2048" s="1" t="s">
        <v>74</v>
      </c>
      <c r="AD2048" s="1" t="s">
        <v>74</v>
      </c>
      <c r="AE2048" s="1" t="s">
        <v>74</v>
      </c>
      <c r="AF2048" s="1" t="s">
        <v>74</v>
      </c>
      <c r="AG2048" s="1">
        <v>17</v>
      </c>
      <c r="AH2048" s="1">
        <v>29</v>
      </c>
      <c r="AI2048" s="1">
        <v>29</v>
      </c>
      <c r="AJ2048" s="1">
        <v>0</v>
      </c>
      <c r="AK2048" s="1">
        <v>7</v>
      </c>
      <c r="AL2048" s="1" t="s">
        <v>136</v>
      </c>
      <c r="AM2048" s="1" t="s">
        <v>137</v>
      </c>
      <c r="AN2048" s="1" t="s">
        <v>138</v>
      </c>
      <c r="AO2048" s="1" t="s">
        <v>240</v>
      </c>
      <c r="AP2048" s="1" t="s">
        <v>241</v>
      </c>
      <c r="AQ2048" s="1" t="s">
        <v>74</v>
      </c>
      <c r="AR2048" s="1" t="s">
        <v>242</v>
      </c>
      <c r="AS2048" s="1" t="s">
        <v>243</v>
      </c>
      <c r="AT2048" s="1" t="s">
        <v>224</v>
      </c>
      <c r="AU2048" s="1">
        <v>1993</v>
      </c>
      <c r="AV2048" s="1">
        <v>26</v>
      </c>
      <c r="AW2048" s="1">
        <v>2</v>
      </c>
      <c r="AX2048" s="1" t="s">
        <v>74</v>
      </c>
      <c r="AY2048" s="1" t="s">
        <v>74</v>
      </c>
      <c r="AZ2048" s="1" t="s">
        <v>74</v>
      </c>
      <c r="BA2048" s="1" t="s">
        <v>74</v>
      </c>
      <c r="BB2048" s="1">
        <v>96</v>
      </c>
      <c r="BC2048" s="1">
        <v>100</v>
      </c>
      <c r="BD2048" s="1" t="s">
        <v>74</v>
      </c>
      <c r="BE2048" s="1" t="s">
        <v>33056</v>
      </c>
      <c r="BF2048" s="1" t="str">
        <f>HYPERLINK("http://dx.doi.org/10.1016/0025-326X(93)90098-5","http://dx.doi.org/10.1016/0025-326X(93)90098-5")</f>
        <v>http://dx.doi.org/10.1016/0025-326X(93)90098-5</v>
      </c>
      <c r="BG2048" s="1" t="s">
        <v>74</v>
      </c>
      <c r="BH2048" s="1" t="s">
        <v>74</v>
      </c>
      <c r="BI2048" s="1">
        <v>5</v>
      </c>
      <c r="BJ2048" s="1" t="s">
        <v>247</v>
      </c>
      <c r="BK2048" s="1" t="s">
        <v>96</v>
      </c>
      <c r="BL2048" s="1" t="s">
        <v>248</v>
      </c>
      <c r="BM2048" s="1" t="s">
        <v>33057</v>
      </c>
      <c r="BN2048" s="1" t="s">
        <v>74</v>
      </c>
      <c r="BO2048" s="1" t="s">
        <v>74</v>
      </c>
      <c r="BP2048" s="1" t="s">
        <v>74</v>
      </c>
      <c r="BQ2048" s="1" t="s">
        <v>74</v>
      </c>
      <c r="BR2048" s="1" t="s">
        <v>98</v>
      </c>
      <c r="BS2048" s="1" t="s">
        <v>33058</v>
      </c>
      <c r="BT2048" s="1" t="str">
        <f>HYPERLINK("https%3A%2F%2Fwww.webofscience.com%2Fwos%2Fwoscc%2Ffull-record%2FWOS:A1993KP02000011","View Full Record in Web of Science")</f>
        <v>View Full Record in Web of Science</v>
      </c>
      <c r="BU2048" s="1"/>
      <c r="BV2048" s="1"/>
    </row>
    <row r="2049" spans="1:74">
      <c r="A2049" s="1" t="s">
        <v>72</v>
      </c>
      <c r="B2049" s="1" t="s">
        <v>33059</v>
      </c>
      <c r="C2049" s="1" t="s">
        <v>74</v>
      </c>
      <c r="D2049" s="1" t="s">
        <v>74</v>
      </c>
      <c r="E2049" s="1" t="s">
        <v>74</v>
      </c>
      <c r="F2049" s="1" t="s">
        <v>33059</v>
      </c>
      <c r="G2049" s="1" t="s">
        <v>74</v>
      </c>
      <c r="H2049" s="1" t="s">
        <v>74</v>
      </c>
      <c r="I2049" s="1" t="s">
        <v>33060</v>
      </c>
      <c r="J2049" s="1" t="s">
        <v>998</v>
      </c>
      <c r="K2049" s="1" t="s">
        <v>74</v>
      </c>
      <c r="L2049" s="1" t="s">
        <v>74</v>
      </c>
      <c r="M2049" s="1" t="s">
        <v>78</v>
      </c>
      <c r="N2049" s="1" t="s">
        <v>79</v>
      </c>
      <c r="O2049" s="1" t="s">
        <v>74</v>
      </c>
      <c r="P2049" s="1" t="s">
        <v>74</v>
      </c>
      <c r="Q2049" s="1" t="s">
        <v>74</v>
      </c>
      <c r="R2049" s="1" t="s">
        <v>74</v>
      </c>
      <c r="S2049" s="1" t="s">
        <v>74</v>
      </c>
      <c r="T2049" s="1" t="s">
        <v>74</v>
      </c>
      <c r="U2049" s="1" t="s">
        <v>33061</v>
      </c>
      <c r="V2049" s="1" t="s">
        <v>33062</v>
      </c>
      <c r="W2049" s="1" t="s">
        <v>74</v>
      </c>
      <c r="X2049" s="1" t="s">
        <v>74</v>
      </c>
      <c r="Y2049" s="1" t="s">
        <v>12227</v>
      </c>
      <c r="Z2049" s="1" t="s">
        <v>74</v>
      </c>
      <c r="AA2049" s="1" t="s">
        <v>74</v>
      </c>
      <c r="AB2049" s="1" t="s">
        <v>74</v>
      </c>
      <c r="AC2049" s="1" t="s">
        <v>74</v>
      </c>
      <c r="AD2049" s="1" t="s">
        <v>74</v>
      </c>
      <c r="AE2049" s="1" t="s">
        <v>74</v>
      </c>
      <c r="AF2049" s="1" t="s">
        <v>74</v>
      </c>
      <c r="AG2049" s="1">
        <v>40</v>
      </c>
      <c r="AH2049" s="1">
        <v>50</v>
      </c>
      <c r="AI2049" s="1">
        <v>54</v>
      </c>
      <c r="AJ2049" s="1">
        <v>0</v>
      </c>
      <c r="AK2049" s="1">
        <v>16</v>
      </c>
      <c r="AL2049" s="1" t="s">
        <v>6584</v>
      </c>
      <c r="AM2049" s="1" t="s">
        <v>113</v>
      </c>
      <c r="AN2049" s="1" t="s">
        <v>6585</v>
      </c>
      <c r="AO2049" s="1" t="s">
        <v>1009</v>
      </c>
      <c r="AP2049" s="1" t="s">
        <v>74</v>
      </c>
      <c r="AQ2049" s="1" t="s">
        <v>74</v>
      </c>
      <c r="AR2049" s="1" t="s">
        <v>1010</v>
      </c>
      <c r="AS2049" s="1" t="s">
        <v>1011</v>
      </c>
      <c r="AT2049" s="1" t="s">
        <v>305</v>
      </c>
      <c r="AU2049" s="1">
        <v>1993</v>
      </c>
      <c r="AV2049" s="1">
        <v>25</v>
      </c>
      <c r="AW2049" s="1">
        <v>3</v>
      </c>
      <c r="AX2049" s="1" t="s">
        <v>74</v>
      </c>
      <c r="AY2049" s="1" t="s">
        <v>74</v>
      </c>
      <c r="AZ2049" s="1" t="s">
        <v>74</v>
      </c>
      <c r="BA2049" s="1" t="s">
        <v>74</v>
      </c>
      <c r="BB2049" s="1">
        <v>353</v>
      </c>
      <c r="BC2049" s="1">
        <v>364</v>
      </c>
      <c r="BD2049" s="1" t="s">
        <v>74</v>
      </c>
      <c r="BE2049" s="1" t="s">
        <v>33063</v>
      </c>
      <c r="BF2049" s="1" t="str">
        <f>HYPERLINK("http://dx.doi.org/10.1007/BF00210727","http://dx.doi.org/10.1007/BF00210727")</f>
        <v>http://dx.doi.org/10.1007/BF00210727</v>
      </c>
      <c r="BG2049" s="1" t="s">
        <v>74</v>
      </c>
      <c r="BH2049" s="1" t="s">
        <v>74</v>
      </c>
      <c r="BI2049" s="1">
        <v>12</v>
      </c>
      <c r="BJ2049" s="1" t="s">
        <v>121</v>
      </c>
      <c r="BK2049" s="1" t="s">
        <v>96</v>
      </c>
      <c r="BL2049" s="1" t="s">
        <v>122</v>
      </c>
      <c r="BM2049" s="1" t="s">
        <v>33064</v>
      </c>
      <c r="BN2049" s="1" t="s">
        <v>74</v>
      </c>
      <c r="BO2049" s="1" t="s">
        <v>74</v>
      </c>
      <c r="BP2049" s="1" t="s">
        <v>74</v>
      </c>
      <c r="BQ2049" s="1" t="s">
        <v>74</v>
      </c>
      <c r="BR2049" s="1" t="s">
        <v>98</v>
      </c>
      <c r="BS2049" s="1" t="s">
        <v>33065</v>
      </c>
      <c r="BT2049" s="1" t="str">
        <f>HYPERLINK("https%3A%2F%2Fwww.webofscience.com%2Fwos%2Fwoscc%2Ffull-record%2FWOS:A1993LT32800008","View Full Record in Web of Science")</f>
        <v>View Full Record in Web of Science</v>
      </c>
      <c r="BU2049" s="1"/>
      <c r="BV2049" s="1"/>
    </row>
    <row r="2050" spans="1:74">
      <c r="A2050" s="1" t="s">
        <v>72</v>
      </c>
      <c r="B2050" s="1" t="s">
        <v>1694</v>
      </c>
      <c r="C2050" s="1" t="s">
        <v>74</v>
      </c>
      <c r="D2050" s="1" t="s">
        <v>74</v>
      </c>
      <c r="E2050" s="1" t="s">
        <v>74</v>
      </c>
      <c r="F2050" s="1" t="s">
        <v>1694</v>
      </c>
      <c r="G2050" s="1" t="s">
        <v>74</v>
      </c>
      <c r="H2050" s="1" t="s">
        <v>74</v>
      </c>
      <c r="I2050" s="1" t="s">
        <v>33066</v>
      </c>
      <c r="J2050" s="1" t="s">
        <v>909</v>
      </c>
      <c r="K2050" s="1" t="s">
        <v>74</v>
      </c>
      <c r="L2050" s="1" t="s">
        <v>74</v>
      </c>
      <c r="M2050" s="1" t="s">
        <v>78</v>
      </c>
      <c r="N2050" s="1" t="s">
        <v>79</v>
      </c>
      <c r="O2050" s="1" t="s">
        <v>74</v>
      </c>
      <c r="P2050" s="1" t="s">
        <v>74</v>
      </c>
      <c r="Q2050" s="1" t="s">
        <v>74</v>
      </c>
      <c r="R2050" s="1" t="s">
        <v>74</v>
      </c>
      <c r="S2050" s="1" t="s">
        <v>74</v>
      </c>
      <c r="T2050" s="1" t="s">
        <v>33067</v>
      </c>
      <c r="U2050" s="1" t="s">
        <v>33068</v>
      </c>
      <c r="V2050" s="1" t="s">
        <v>33069</v>
      </c>
      <c r="W2050" s="1" t="s">
        <v>33070</v>
      </c>
      <c r="X2050" s="1" t="s">
        <v>33071</v>
      </c>
      <c r="Y2050" s="1" t="s">
        <v>33072</v>
      </c>
      <c r="Z2050" s="1" t="s">
        <v>33073</v>
      </c>
      <c r="AA2050" s="1" t="s">
        <v>74</v>
      </c>
      <c r="AB2050" s="1" t="s">
        <v>74</v>
      </c>
      <c r="AC2050" s="1" t="s">
        <v>74</v>
      </c>
      <c r="AD2050" s="1" t="s">
        <v>74</v>
      </c>
      <c r="AE2050" s="1" t="s">
        <v>74</v>
      </c>
      <c r="AF2050" s="1" t="s">
        <v>74</v>
      </c>
      <c r="AG2050" s="1">
        <v>84</v>
      </c>
      <c r="AH2050" s="1">
        <v>110</v>
      </c>
      <c r="AI2050" s="1">
        <v>119</v>
      </c>
      <c r="AJ2050" s="1">
        <v>2</v>
      </c>
      <c r="AK2050" s="1">
        <v>49</v>
      </c>
      <c r="AL2050" s="1" t="s">
        <v>919</v>
      </c>
      <c r="AM2050" s="1" t="s">
        <v>651</v>
      </c>
      <c r="AN2050" s="1" t="s">
        <v>920</v>
      </c>
      <c r="AO2050" s="1" t="s">
        <v>921</v>
      </c>
      <c r="AP2050" s="1" t="s">
        <v>922</v>
      </c>
      <c r="AQ2050" s="1" t="s">
        <v>74</v>
      </c>
      <c r="AR2050" s="1" t="s">
        <v>923</v>
      </c>
      <c r="AS2050" s="1" t="s">
        <v>924</v>
      </c>
      <c r="AT2050" s="1" t="s">
        <v>17756</v>
      </c>
      <c r="AU2050" s="1">
        <v>1998</v>
      </c>
      <c r="AV2050" s="1">
        <v>214</v>
      </c>
      <c r="AW2050" s="1" t="s">
        <v>2847</v>
      </c>
      <c r="AX2050" s="1" t="s">
        <v>74</v>
      </c>
      <c r="AY2050" s="1" t="s">
        <v>74</v>
      </c>
      <c r="AZ2050" s="1" t="s">
        <v>74</v>
      </c>
      <c r="BA2050" s="1" t="s">
        <v>74</v>
      </c>
      <c r="BB2050" s="1">
        <v>21</v>
      </c>
      <c r="BC2050" s="1">
        <v>48</v>
      </c>
      <c r="BD2050" s="1" t="s">
        <v>74</v>
      </c>
      <c r="BE2050" s="1" t="s">
        <v>33074</v>
      </c>
      <c r="BF2050" s="1" t="str">
        <f>HYPERLINK("http://dx.doi.org/10.1016/S0048-9697(98)00052-7","http://dx.doi.org/10.1016/S0048-9697(98)00052-7")</f>
        <v>http://dx.doi.org/10.1016/S0048-9697(98)00052-7</v>
      </c>
      <c r="BG2050" s="1" t="s">
        <v>74</v>
      </c>
      <c r="BH2050" s="1" t="s">
        <v>74</v>
      </c>
      <c r="BI2050" s="1">
        <v>28</v>
      </c>
      <c r="BJ2050" s="1" t="s">
        <v>144</v>
      </c>
      <c r="BK2050" s="1" t="s">
        <v>96</v>
      </c>
      <c r="BL2050" s="1" t="s">
        <v>145</v>
      </c>
      <c r="BM2050" s="1" t="s">
        <v>17759</v>
      </c>
      <c r="BN2050" s="1">
        <v>9646516</v>
      </c>
      <c r="BO2050" s="1" t="s">
        <v>74</v>
      </c>
      <c r="BP2050" s="1" t="s">
        <v>74</v>
      </c>
      <c r="BQ2050" s="1" t="s">
        <v>74</v>
      </c>
      <c r="BR2050" s="1" t="s">
        <v>98</v>
      </c>
      <c r="BS2050" s="1" t="s">
        <v>33075</v>
      </c>
      <c r="BT2050" s="1" t="str">
        <f>HYPERLINK("https%3A%2F%2Fwww.webofscience.com%2Fwos%2Fwoscc%2Ffull-record%2FWOS:000074280500003","View Full Record in Web of Science")</f>
        <v>View Full Record in Web of Science</v>
      </c>
      <c r="BU2050" s="1"/>
      <c r="BV2050" s="1"/>
    </row>
    <row r="2051" spans="1:74">
      <c r="A2051" s="1" t="s">
        <v>72</v>
      </c>
      <c r="B2051" s="1" t="s">
        <v>33076</v>
      </c>
      <c r="C2051" s="1" t="s">
        <v>74</v>
      </c>
      <c r="D2051" s="1" t="s">
        <v>74</v>
      </c>
      <c r="E2051" s="1" t="s">
        <v>74</v>
      </c>
      <c r="F2051" s="1" t="s">
        <v>33077</v>
      </c>
      <c r="G2051" s="1" t="s">
        <v>74</v>
      </c>
      <c r="H2051" s="1" t="s">
        <v>74</v>
      </c>
      <c r="I2051" s="1" t="s">
        <v>33078</v>
      </c>
      <c r="J2051" s="1" t="s">
        <v>179</v>
      </c>
      <c r="K2051" s="1" t="s">
        <v>74</v>
      </c>
      <c r="L2051" s="1" t="s">
        <v>74</v>
      </c>
      <c r="M2051" s="1" t="s">
        <v>78</v>
      </c>
      <c r="N2051" s="1" t="s">
        <v>79</v>
      </c>
      <c r="O2051" s="1" t="s">
        <v>74</v>
      </c>
      <c r="P2051" s="1" t="s">
        <v>74</v>
      </c>
      <c r="Q2051" s="1" t="s">
        <v>74</v>
      </c>
      <c r="R2051" s="1" t="s">
        <v>74</v>
      </c>
      <c r="S2051" s="1" t="s">
        <v>74</v>
      </c>
      <c r="T2051" s="1" t="s">
        <v>33079</v>
      </c>
      <c r="U2051" s="1" t="s">
        <v>33080</v>
      </c>
      <c r="V2051" s="1" t="s">
        <v>33081</v>
      </c>
      <c r="W2051" s="1" t="s">
        <v>33082</v>
      </c>
      <c r="X2051" s="1" t="s">
        <v>33083</v>
      </c>
      <c r="Y2051" s="1" t="s">
        <v>33084</v>
      </c>
      <c r="Z2051" s="1" t="s">
        <v>33085</v>
      </c>
      <c r="AA2051" s="1" t="s">
        <v>33086</v>
      </c>
      <c r="AB2051" s="1" t="s">
        <v>33087</v>
      </c>
      <c r="AC2051" s="1" t="s">
        <v>74</v>
      </c>
      <c r="AD2051" s="1" t="s">
        <v>74</v>
      </c>
      <c r="AE2051" s="1" t="s">
        <v>74</v>
      </c>
      <c r="AF2051" s="1" t="s">
        <v>74</v>
      </c>
      <c r="AG2051" s="1">
        <v>32</v>
      </c>
      <c r="AH2051" s="1">
        <v>55</v>
      </c>
      <c r="AI2051" s="1">
        <v>61</v>
      </c>
      <c r="AJ2051" s="1">
        <v>0</v>
      </c>
      <c r="AK2051" s="1">
        <v>15</v>
      </c>
      <c r="AL2051" s="1" t="s">
        <v>112</v>
      </c>
      <c r="AM2051" s="1" t="s">
        <v>191</v>
      </c>
      <c r="AN2051" s="1" t="s">
        <v>192</v>
      </c>
      <c r="AO2051" s="1" t="s">
        <v>193</v>
      </c>
      <c r="AP2051" s="1" t="s">
        <v>194</v>
      </c>
      <c r="AQ2051" s="1" t="s">
        <v>74</v>
      </c>
      <c r="AR2051" s="1" t="s">
        <v>195</v>
      </c>
      <c r="AS2051" s="1" t="s">
        <v>196</v>
      </c>
      <c r="AT2051" s="1" t="s">
        <v>1470</v>
      </c>
      <c r="AU2051" s="1">
        <v>2007</v>
      </c>
      <c r="AV2051" s="1">
        <v>124</v>
      </c>
      <c r="AW2051" s="1" t="s">
        <v>2847</v>
      </c>
      <c r="AX2051" s="1" t="s">
        <v>74</v>
      </c>
      <c r="AY2051" s="1" t="s">
        <v>74</v>
      </c>
      <c r="AZ2051" s="1" t="s">
        <v>74</v>
      </c>
      <c r="BA2051" s="1" t="s">
        <v>74</v>
      </c>
      <c r="BB2051" s="1">
        <v>195</v>
      </c>
      <c r="BC2051" s="1">
        <v>200</v>
      </c>
      <c r="BD2051" s="1" t="s">
        <v>74</v>
      </c>
      <c r="BE2051" s="1" t="s">
        <v>33088</v>
      </c>
      <c r="BF2051" s="1" t="str">
        <f>HYPERLINK("http://dx.doi.org/10.1007/s10661-006-9217-6","http://dx.doi.org/10.1007/s10661-006-9217-6")</f>
        <v>http://dx.doi.org/10.1007/s10661-006-9217-6</v>
      </c>
      <c r="BG2051" s="1" t="s">
        <v>74</v>
      </c>
      <c r="BH2051" s="1" t="s">
        <v>74</v>
      </c>
      <c r="BI2051" s="1">
        <v>6</v>
      </c>
      <c r="BJ2051" s="1" t="s">
        <v>144</v>
      </c>
      <c r="BK2051" s="1" t="s">
        <v>96</v>
      </c>
      <c r="BL2051" s="1" t="s">
        <v>145</v>
      </c>
      <c r="BM2051" s="1" t="s">
        <v>33089</v>
      </c>
      <c r="BN2051" s="1">
        <v>16897518</v>
      </c>
      <c r="BO2051" s="1" t="s">
        <v>74</v>
      </c>
      <c r="BP2051" s="1" t="s">
        <v>74</v>
      </c>
      <c r="BQ2051" s="1" t="s">
        <v>74</v>
      </c>
      <c r="BR2051" s="1" t="s">
        <v>98</v>
      </c>
      <c r="BS2051" s="1" t="s">
        <v>33090</v>
      </c>
      <c r="BT2051" s="1" t="str">
        <f>HYPERLINK("https%3A%2F%2Fwww.webofscience.com%2Fwos%2Fwoscc%2Ffull-record%2FWOS:000244179400013","View Full Record in Web of Science")</f>
        <v>View Full Record in Web of Science</v>
      </c>
      <c r="BU2051" s="1"/>
      <c r="BV2051" s="1"/>
    </row>
    <row r="2052" spans="1:74">
      <c r="A2052" s="1" t="s">
        <v>72</v>
      </c>
      <c r="B2052" s="1" t="s">
        <v>33091</v>
      </c>
      <c r="C2052" s="1" t="s">
        <v>74</v>
      </c>
      <c r="D2052" s="1" t="s">
        <v>74</v>
      </c>
      <c r="E2052" s="1" t="s">
        <v>74</v>
      </c>
      <c r="F2052" s="1" t="s">
        <v>33092</v>
      </c>
      <c r="G2052" s="1" t="s">
        <v>74</v>
      </c>
      <c r="H2052" s="1" t="s">
        <v>74</v>
      </c>
      <c r="I2052" s="1" t="s">
        <v>33093</v>
      </c>
      <c r="J2052" s="1" t="s">
        <v>4484</v>
      </c>
      <c r="K2052" s="1" t="s">
        <v>74</v>
      </c>
      <c r="L2052" s="1" t="s">
        <v>74</v>
      </c>
      <c r="M2052" s="1" t="s">
        <v>78</v>
      </c>
      <c r="N2052" s="1" t="s">
        <v>79</v>
      </c>
      <c r="O2052" s="1" t="s">
        <v>74</v>
      </c>
      <c r="P2052" s="1" t="s">
        <v>74</v>
      </c>
      <c r="Q2052" s="1" t="s">
        <v>74</v>
      </c>
      <c r="R2052" s="1" t="s">
        <v>74</v>
      </c>
      <c r="S2052" s="1" t="s">
        <v>74</v>
      </c>
      <c r="T2052" s="1" t="s">
        <v>33094</v>
      </c>
      <c r="U2052" s="1" t="s">
        <v>33095</v>
      </c>
      <c r="V2052" s="1" t="s">
        <v>33096</v>
      </c>
      <c r="W2052" s="1" t="s">
        <v>33097</v>
      </c>
      <c r="X2052" s="1" t="s">
        <v>33098</v>
      </c>
      <c r="Y2052" s="1" t="s">
        <v>33099</v>
      </c>
      <c r="Z2052" s="1" t="s">
        <v>33100</v>
      </c>
      <c r="AA2052" s="1" t="s">
        <v>33101</v>
      </c>
      <c r="AB2052" s="1" t="s">
        <v>33102</v>
      </c>
      <c r="AC2052" s="1" t="s">
        <v>74</v>
      </c>
      <c r="AD2052" s="1" t="s">
        <v>74</v>
      </c>
      <c r="AE2052" s="1" t="s">
        <v>74</v>
      </c>
      <c r="AF2052" s="1" t="s">
        <v>74</v>
      </c>
      <c r="AG2052" s="1">
        <v>67</v>
      </c>
      <c r="AH2052" s="1">
        <v>9</v>
      </c>
      <c r="AI2052" s="1">
        <v>9</v>
      </c>
      <c r="AJ2052" s="1">
        <v>0</v>
      </c>
      <c r="AK2052" s="1">
        <v>21</v>
      </c>
      <c r="AL2052" s="1" t="s">
        <v>86</v>
      </c>
      <c r="AM2052" s="1" t="s">
        <v>87</v>
      </c>
      <c r="AN2052" s="1" t="s">
        <v>88</v>
      </c>
      <c r="AO2052" s="1" t="s">
        <v>4495</v>
      </c>
      <c r="AP2052" s="1" t="s">
        <v>4496</v>
      </c>
      <c r="AQ2052" s="1" t="s">
        <v>74</v>
      </c>
      <c r="AR2052" s="1" t="s">
        <v>4484</v>
      </c>
      <c r="AS2052" s="1" t="s">
        <v>4497</v>
      </c>
      <c r="AT2052" s="1" t="s">
        <v>224</v>
      </c>
      <c r="AU2052" s="1">
        <v>2013</v>
      </c>
      <c r="AV2052" s="1">
        <v>41</v>
      </c>
      <c r="AW2052" s="1">
        <v>2</v>
      </c>
      <c r="AX2052" s="1" t="s">
        <v>74</v>
      </c>
      <c r="AY2052" s="1" t="s">
        <v>74</v>
      </c>
      <c r="AZ2052" s="1" t="s">
        <v>74</v>
      </c>
      <c r="BA2052" s="1" t="s">
        <v>74</v>
      </c>
      <c r="BB2052" s="1">
        <v>166</v>
      </c>
      <c r="BC2052" s="1">
        <v>173</v>
      </c>
      <c r="BD2052" s="1" t="s">
        <v>74</v>
      </c>
      <c r="BE2052" s="1" t="s">
        <v>33103</v>
      </c>
      <c r="BF2052" s="1" t="str">
        <f>HYPERLINK("http://dx.doi.org/10.1002/clen.201100564","http://dx.doi.org/10.1002/clen.201100564")</f>
        <v>http://dx.doi.org/10.1002/clen.201100564</v>
      </c>
      <c r="BG2052" s="1" t="s">
        <v>74</v>
      </c>
      <c r="BH2052" s="1" t="s">
        <v>74</v>
      </c>
      <c r="BI2052" s="1">
        <v>8</v>
      </c>
      <c r="BJ2052" s="1" t="s">
        <v>4499</v>
      </c>
      <c r="BK2052" s="1" t="s">
        <v>96</v>
      </c>
      <c r="BL2052" s="1" t="s">
        <v>4500</v>
      </c>
      <c r="BM2052" s="1" t="s">
        <v>33104</v>
      </c>
      <c r="BN2052" s="1" t="s">
        <v>74</v>
      </c>
      <c r="BO2052" s="1" t="s">
        <v>74</v>
      </c>
      <c r="BP2052" s="1" t="s">
        <v>74</v>
      </c>
      <c r="BQ2052" s="1" t="s">
        <v>74</v>
      </c>
      <c r="BR2052" s="1" t="s">
        <v>98</v>
      </c>
      <c r="BS2052" s="1" t="s">
        <v>33105</v>
      </c>
      <c r="BT2052" s="1" t="str">
        <f>HYPERLINK("https%3A%2F%2Fwww.webofscience.com%2Fwos%2Fwoscc%2Ffull-record%2FWOS:000313880000011","View Full Record in Web of Science")</f>
        <v>View Full Record in Web of Science</v>
      </c>
      <c r="BU2052" s="1"/>
      <c r="BV2052" s="1"/>
    </row>
    <row r="2053" spans="1:74">
      <c r="A2053" s="1" t="s">
        <v>72</v>
      </c>
      <c r="B2053" s="1" t="s">
        <v>33106</v>
      </c>
      <c r="C2053" s="1" t="s">
        <v>74</v>
      </c>
      <c r="D2053" s="1" t="s">
        <v>74</v>
      </c>
      <c r="E2053" s="1" t="s">
        <v>74</v>
      </c>
      <c r="F2053" s="1" t="s">
        <v>33107</v>
      </c>
      <c r="G2053" s="1" t="s">
        <v>74</v>
      </c>
      <c r="H2053" s="1" t="s">
        <v>74</v>
      </c>
      <c r="I2053" s="1" t="s">
        <v>33108</v>
      </c>
      <c r="J2053" s="1" t="s">
        <v>3926</v>
      </c>
      <c r="K2053" s="1" t="s">
        <v>74</v>
      </c>
      <c r="L2053" s="1" t="s">
        <v>74</v>
      </c>
      <c r="M2053" s="1" t="s">
        <v>78</v>
      </c>
      <c r="N2053" s="1" t="s">
        <v>79</v>
      </c>
      <c r="O2053" s="1" t="s">
        <v>74</v>
      </c>
      <c r="P2053" s="1" t="s">
        <v>74</v>
      </c>
      <c r="Q2053" s="1" t="s">
        <v>74</v>
      </c>
      <c r="R2053" s="1" t="s">
        <v>74</v>
      </c>
      <c r="S2053" s="1" t="s">
        <v>74</v>
      </c>
      <c r="T2053" s="1" t="s">
        <v>33109</v>
      </c>
      <c r="U2053" s="1" t="s">
        <v>33110</v>
      </c>
      <c r="V2053" s="1" t="s">
        <v>33111</v>
      </c>
      <c r="W2053" s="1" t="s">
        <v>33112</v>
      </c>
      <c r="X2053" s="1" t="s">
        <v>33113</v>
      </c>
      <c r="Y2053" s="1" t="s">
        <v>33114</v>
      </c>
      <c r="Z2053" s="1" t="s">
        <v>33115</v>
      </c>
      <c r="AA2053" s="1" t="s">
        <v>33116</v>
      </c>
      <c r="AB2053" s="1" t="s">
        <v>33117</v>
      </c>
      <c r="AC2053" s="1" t="s">
        <v>33118</v>
      </c>
      <c r="AD2053" s="1" t="s">
        <v>33119</v>
      </c>
      <c r="AE2053" s="1" t="s">
        <v>33120</v>
      </c>
      <c r="AF2053" s="1" t="s">
        <v>74</v>
      </c>
      <c r="AG2053" s="1">
        <v>79</v>
      </c>
      <c r="AH2053" s="1">
        <v>15</v>
      </c>
      <c r="AI2053" s="1">
        <v>16</v>
      </c>
      <c r="AJ2053" s="1">
        <v>0</v>
      </c>
      <c r="AK2053" s="1">
        <v>33</v>
      </c>
      <c r="AL2053" s="1" t="s">
        <v>650</v>
      </c>
      <c r="AM2053" s="1" t="s">
        <v>651</v>
      </c>
      <c r="AN2053" s="1" t="s">
        <v>652</v>
      </c>
      <c r="AO2053" s="1" t="s">
        <v>3939</v>
      </c>
      <c r="AP2053" s="1" t="s">
        <v>3940</v>
      </c>
      <c r="AQ2053" s="1" t="s">
        <v>74</v>
      </c>
      <c r="AR2053" s="1" t="s">
        <v>3926</v>
      </c>
      <c r="AS2053" s="1" t="s">
        <v>3941</v>
      </c>
      <c r="AT2053" s="1" t="s">
        <v>3542</v>
      </c>
      <c r="AU2053" s="1">
        <v>2018</v>
      </c>
      <c r="AV2053" s="1">
        <v>495</v>
      </c>
      <c r="AW2053" s="1" t="s">
        <v>74</v>
      </c>
      <c r="AX2053" s="1" t="s">
        <v>74</v>
      </c>
      <c r="AY2053" s="1" t="s">
        <v>74</v>
      </c>
      <c r="AZ2053" s="1" t="s">
        <v>74</v>
      </c>
      <c r="BA2053" s="1" t="s">
        <v>74</v>
      </c>
      <c r="BB2053" s="1">
        <v>749</v>
      </c>
      <c r="BC2053" s="1">
        <v>756</v>
      </c>
      <c r="BD2053" s="1" t="s">
        <v>74</v>
      </c>
      <c r="BE2053" s="1" t="s">
        <v>33121</v>
      </c>
      <c r="BF2053" s="1" t="str">
        <f>HYPERLINK("http://dx.doi.org/10.1016/j.aquaculture.2018.04.008","http://dx.doi.org/10.1016/j.aquaculture.2018.04.008")</f>
        <v>http://dx.doi.org/10.1016/j.aquaculture.2018.04.008</v>
      </c>
      <c r="BG2053" s="1" t="s">
        <v>74</v>
      </c>
      <c r="BH2053" s="1" t="s">
        <v>74</v>
      </c>
      <c r="BI2053" s="1">
        <v>8</v>
      </c>
      <c r="BJ2053" s="1" t="s">
        <v>2391</v>
      </c>
      <c r="BK2053" s="1" t="s">
        <v>96</v>
      </c>
      <c r="BL2053" s="1" t="s">
        <v>2391</v>
      </c>
      <c r="BM2053" s="1" t="s">
        <v>33122</v>
      </c>
      <c r="BN2053" s="1" t="s">
        <v>74</v>
      </c>
      <c r="BO2053" s="1" t="s">
        <v>1752</v>
      </c>
      <c r="BP2053" s="1" t="s">
        <v>74</v>
      </c>
      <c r="BQ2053" s="1" t="s">
        <v>74</v>
      </c>
      <c r="BR2053" s="1" t="s">
        <v>98</v>
      </c>
      <c r="BS2053" s="1" t="s">
        <v>33123</v>
      </c>
      <c r="BT2053" s="1" t="str">
        <f>HYPERLINK("https%3A%2F%2Fwww.webofscience.com%2Fwos%2Fwoscc%2Ffull-record%2FWOS:000439123500090","View Full Record in Web of Science")</f>
        <v>View Full Record in Web of Science</v>
      </c>
      <c r="BU2053" s="1"/>
      <c r="BV2053" s="1"/>
    </row>
    <row r="2054" spans="1:74">
      <c r="A2054" s="1" t="s">
        <v>72</v>
      </c>
      <c r="B2054" s="1" t="s">
        <v>33124</v>
      </c>
      <c r="C2054" s="1" t="s">
        <v>74</v>
      </c>
      <c r="D2054" s="1" t="s">
        <v>74</v>
      </c>
      <c r="E2054" s="1" t="s">
        <v>74</v>
      </c>
      <c r="F2054" s="1" t="s">
        <v>33125</v>
      </c>
      <c r="G2054" s="1" t="s">
        <v>74</v>
      </c>
      <c r="H2054" s="1" t="s">
        <v>74</v>
      </c>
      <c r="I2054" s="1" t="s">
        <v>33126</v>
      </c>
      <c r="J2054" s="1" t="s">
        <v>33127</v>
      </c>
      <c r="K2054" s="1" t="s">
        <v>74</v>
      </c>
      <c r="L2054" s="1" t="s">
        <v>74</v>
      </c>
      <c r="M2054" s="1" t="s">
        <v>78</v>
      </c>
      <c r="N2054" s="1" t="s">
        <v>79</v>
      </c>
      <c r="O2054" s="1" t="s">
        <v>74</v>
      </c>
      <c r="P2054" s="1" t="s">
        <v>74</v>
      </c>
      <c r="Q2054" s="1" t="s">
        <v>74</v>
      </c>
      <c r="R2054" s="1" t="s">
        <v>74</v>
      </c>
      <c r="S2054" s="1" t="s">
        <v>74</v>
      </c>
      <c r="T2054" s="1" t="s">
        <v>33128</v>
      </c>
      <c r="U2054" s="1" t="s">
        <v>33129</v>
      </c>
      <c r="V2054" s="1" t="s">
        <v>33130</v>
      </c>
      <c r="W2054" s="1" t="s">
        <v>33131</v>
      </c>
      <c r="X2054" s="1" t="s">
        <v>22971</v>
      </c>
      <c r="Y2054" s="1" t="s">
        <v>33132</v>
      </c>
      <c r="Z2054" s="1" t="s">
        <v>33133</v>
      </c>
      <c r="AA2054" s="1" t="s">
        <v>33134</v>
      </c>
      <c r="AB2054" s="1" t="s">
        <v>33135</v>
      </c>
      <c r="AC2054" s="1" t="s">
        <v>33136</v>
      </c>
      <c r="AD2054" s="1" t="s">
        <v>33137</v>
      </c>
      <c r="AE2054" s="1" t="s">
        <v>33138</v>
      </c>
      <c r="AF2054" s="1" t="s">
        <v>74</v>
      </c>
      <c r="AG2054" s="1">
        <v>46</v>
      </c>
      <c r="AH2054" s="1">
        <v>6</v>
      </c>
      <c r="AI2054" s="1">
        <v>6</v>
      </c>
      <c r="AJ2054" s="1">
        <v>0</v>
      </c>
      <c r="AK2054" s="1">
        <v>28</v>
      </c>
      <c r="AL2054" s="1" t="s">
        <v>112</v>
      </c>
      <c r="AM2054" s="1" t="s">
        <v>113</v>
      </c>
      <c r="AN2054" s="1" t="s">
        <v>469</v>
      </c>
      <c r="AO2054" s="1" t="s">
        <v>33139</v>
      </c>
      <c r="AP2054" s="1" t="s">
        <v>33140</v>
      </c>
      <c r="AQ2054" s="1" t="s">
        <v>74</v>
      </c>
      <c r="AR2054" s="1" t="s">
        <v>33141</v>
      </c>
      <c r="AS2054" s="1" t="s">
        <v>33142</v>
      </c>
      <c r="AT2054" s="1" t="s">
        <v>142</v>
      </c>
      <c r="AU2054" s="1">
        <v>2019</v>
      </c>
      <c r="AV2054" s="1">
        <v>13</v>
      </c>
      <c r="AW2054" s="1">
        <v>2</v>
      </c>
      <c r="AX2054" s="1" t="s">
        <v>74</v>
      </c>
      <c r="AY2054" s="1" t="s">
        <v>74</v>
      </c>
      <c r="AZ2054" s="1" t="s">
        <v>74</v>
      </c>
      <c r="BA2054" s="1" t="s">
        <v>74</v>
      </c>
      <c r="BB2054" s="1">
        <v>361</v>
      </c>
      <c r="BC2054" s="1">
        <v>370</v>
      </c>
      <c r="BD2054" s="1" t="s">
        <v>74</v>
      </c>
      <c r="BE2054" s="1" t="s">
        <v>33143</v>
      </c>
      <c r="BF2054" s="1" t="str">
        <f>HYPERLINK("http://dx.doi.org/10.1007/s11707-018-0724-x","http://dx.doi.org/10.1007/s11707-018-0724-x")</f>
        <v>http://dx.doi.org/10.1007/s11707-018-0724-x</v>
      </c>
      <c r="BG2054" s="1" t="s">
        <v>74</v>
      </c>
      <c r="BH2054" s="1" t="s">
        <v>74</v>
      </c>
      <c r="BI2054" s="1">
        <v>10</v>
      </c>
      <c r="BJ2054" s="1" t="s">
        <v>10582</v>
      </c>
      <c r="BK2054" s="1" t="s">
        <v>96</v>
      </c>
      <c r="BL2054" s="1" t="s">
        <v>7739</v>
      </c>
      <c r="BM2054" s="1" t="s">
        <v>33144</v>
      </c>
      <c r="BN2054" s="1" t="s">
        <v>74</v>
      </c>
      <c r="BO2054" s="1" t="s">
        <v>74</v>
      </c>
      <c r="BP2054" s="1" t="s">
        <v>74</v>
      </c>
      <c r="BQ2054" s="1" t="s">
        <v>74</v>
      </c>
      <c r="BR2054" s="1" t="s">
        <v>98</v>
      </c>
      <c r="BS2054" s="1" t="s">
        <v>33145</v>
      </c>
      <c r="BT2054" s="1" t="str">
        <f>HYPERLINK("https%3A%2F%2Fwww.webofscience.com%2Fwos%2Fwoscc%2Ffull-record%2FWOS:000468328700010","View Full Record in Web of Science")</f>
        <v>View Full Record in Web of Science</v>
      </c>
      <c r="BU2054" s="1"/>
      <c r="BV2054" s="1"/>
    </row>
    <row r="2055" spans="1:74">
      <c r="A2055" s="1" t="s">
        <v>72</v>
      </c>
      <c r="B2055" s="1" t="s">
        <v>33146</v>
      </c>
      <c r="C2055" s="1" t="s">
        <v>74</v>
      </c>
      <c r="D2055" s="1" t="s">
        <v>74</v>
      </c>
      <c r="E2055" s="1" t="s">
        <v>74</v>
      </c>
      <c r="F2055" s="1" t="s">
        <v>33146</v>
      </c>
      <c r="G2055" s="1" t="s">
        <v>74</v>
      </c>
      <c r="H2055" s="1" t="s">
        <v>74</v>
      </c>
      <c r="I2055" s="1" t="s">
        <v>33147</v>
      </c>
      <c r="J2055" s="1" t="s">
        <v>641</v>
      </c>
      <c r="K2055" s="1" t="s">
        <v>74</v>
      </c>
      <c r="L2055" s="1" t="s">
        <v>74</v>
      </c>
      <c r="M2055" s="1" t="s">
        <v>78</v>
      </c>
      <c r="N2055" s="1" t="s">
        <v>79</v>
      </c>
      <c r="O2055" s="1" t="s">
        <v>74</v>
      </c>
      <c r="P2055" s="1" t="s">
        <v>74</v>
      </c>
      <c r="Q2055" s="1" t="s">
        <v>74</v>
      </c>
      <c r="R2055" s="1" t="s">
        <v>74</v>
      </c>
      <c r="S2055" s="1" t="s">
        <v>74</v>
      </c>
      <c r="T2055" s="1" t="s">
        <v>33148</v>
      </c>
      <c r="U2055" s="1" t="s">
        <v>33149</v>
      </c>
      <c r="V2055" s="1" t="s">
        <v>33150</v>
      </c>
      <c r="W2055" s="1" t="s">
        <v>33151</v>
      </c>
      <c r="X2055" s="1" t="s">
        <v>17710</v>
      </c>
      <c r="Y2055" s="1" t="s">
        <v>33152</v>
      </c>
      <c r="Z2055" s="1" t="s">
        <v>33153</v>
      </c>
      <c r="AA2055" s="1" t="s">
        <v>74</v>
      </c>
      <c r="AB2055" s="1" t="s">
        <v>74</v>
      </c>
      <c r="AC2055" s="1" t="s">
        <v>74</v>
      </c>
      <c r="AD2055" s="1" t="s">
        <v>74</v>
      </c>
      <c r="AE2055" s="1" t="s">
        <v>74</v>
      </c>
      <c r="AF2055" s="1" t="s">
        <v>74</v>
      </c>
      <c r="AG2055" s="1">
        <v>61</v>
      </c>
      <c r="AH2055" s="1">
        <v>69</v>
      </c>
      <c r="AI2055" s="1">
        <v>84</v>
      </c>
      <c r="AJ2055" s="1">
        <v>0</v>
      </c>
      <c r="AK2055" s="1">
        <v>12</v>
      </c>
      <c r="AL2055" s="1" t="s">
        <v>650</v>
      </c>
      <c r="AM2055" s="1" t="s">
        <v>651</v>
      </c>
      <c r="AN2055" s="1" t="s">
        <v>652</v>
      </c>
      <c r="AO2055" s="1" t="s">
        <v>653</v>
      </c>
      <c r="AP2055" s="1" t="s">
        <v>654</v>
      </c>
      <c r="AQ2055" s="1" t="s">
        <v>74</v>
      </c>
      <c r="AR2055" s="1" t="s">
        <v>655</v>
      </c>
      <c r="AS2055" s="1" t="s">
        <v>656</v>
      </c>
      <c r="AT2055" s="1" t="s">
        <v>29635</v>
      </c>
      <c r="AU2055" s="1">
        <v>2002</v>
      </c>
      <c r="AV2055" s="1">
        <v>60</v>
      </c>
      <c r="AW2055" s="1" t="s">
        <v>1070</v>
      </c>
      <c r="AX2055" s="1" t="s">
        <v>74</v>
      </c>
      <c r="AY2055" s="1" t="s">
        <v>74</v>
      </c>
      <c r="AZ2055" s="1" t="s">
        <v>74</v>
      </c>
      <c r="BA2055" s="1" t="s">
        <v>74</v>
      </c>
      <c r="BB2055" s="1">
        <v>157</v>
      </c>
      <c r="BC2055" s="1">
        <v>168</v>
      </c>
      <c r="BD2055" s="1" t="s">
        <v>33154</v>
      </c>
      <c r="BE2055" s="1" t="s">
        <v>33155</v>
      </c>
      <c r="BF2055" s="1" t="str">
        <f>HYPERLINK("http://dx.doi.org/10.1016/S0166-445X(02)00008-5","http://dx.doi.org/10.1016/S0166-445X(02)00008-5")</f>
        <v>http://dx.doi.org/10.1016/S0166-445X(02)00008-5</v>
      </c>
      <c r="BG2055" s="1" t="s">
        <v>74</v>
      </c>
      <c r="BH2055" s="1" t="s">
        <v>74</v>
      </c>
      <c r="BI2055" s="1">
        <v>12</v>
      </c>
      <c r="BJ2055" s="1" t="s">
        <v>659</v>
      </c>
      <c r="BK2055" s="1" t="s">
        <v>96</v>
      </c>
      <c r="BL2055" s="1" t="s">
        <v>659</v>
      </c>
      <c r="BM2055" s="1" t="s">
        <v>33156</v>
      </c>
      <c r="BN2055" s="1">
        <v>12200083</v>
      </c>
      <c r="BO2055" s="1" t="s">
        <v>74</v>
      </c>
      <c r="BP2055" s="1" t="s">
        <v>74</v>
      </c>
      <c r="BQ2055" s="1" t="s">
        <v>74</v>
      </c>
      <c r="BR2055" s="1" t="s">
        <v>98</v>
      </c>
      <c r="BS2055" s="1" t="s">
        <v>33157</v>
      </c>
      <c r="BT2055" s="1" t="str">
        <f>HYPERLINK("https%3A%2F%2Fwww.webofscience.com%2Fwos%2Fwoscc%2Ffull-record%2FWOS:000178068200001","View Full Record in Web of Science")</f>
        <v>View Full Record in Web of Science</v>
      </c>
      <c r="BU2055" s="1"/>
      <c r="BV2055" s="1"/>
    </row>
    <row r="2056" spans="1:74">
      <c r="A2056" s="1" t="s">
        <v>72</v>
      </c>
      <c r="B2056" s="1" t="s">
        <v>33158</v>
      </c>
      <c r="C2056" s="1" t="s">
        <v>74</v>
      </c>
      <c r="D2056" s="1" t="s">
        <v>74</v>
      </c>
      <c r="E2056" s="1" t="s">
        <v>74</v>
      </c>
      <c r="F2056" s="1" t="s">
        <v>33159</v>
      </c>
      <c r="G2056" s="1" t="s">
        <v>74</v>
      </c>
      <c r="H2056" s="1" t="s">
        <v>74</v>
      </c>
      <c r="I2056" s="1" t="s">
        <v>33160</v>
      </c>
      <c r="J2056" s="1" t="s">
        <v>554</v>
      </c>
      <c r="K2056" s="1" t="s">
        <v>74</v>
      </c>
      <c r="L2056" s="1" t="s">
        <v>74</v>
      </c>
      <c r="M2056" s="1" t="s">
        <v>78</v>
      </c>
      <c r="N2056" s="1" t="s">
        <v>79</v>
      </c>
      <c r="O2056" s="1" t="s">
        <v>74</v>
      </c>
      <c r="P2056" s="1" t="s">
        <v>74</v>
      </c>
      <c r="Q2056" s="1" t="s">
        <v>74</v>
      </c>
      <c r="R2056" s="1" t="s">
        <v>74</v>
      </c>
      <c r="S2056" s="1" t="s">
        <v>74</v>
      </c>
      <c r="T2056" s="1" t="s">
        <v>33161</v>
      </c>
      <c r="U2056" s="1" t="s">
        <v>33162</v>
      </c>
      <c r="V2056" s="1" t="s">
        <v>33163</v>
      </c>
      <c r="W2056" s="1" t="s">
        <v>33164</v>
      </c>
      <c r="X2056" s="1" t="s">
        <v>26268</v>
      </c>
      <c r="Y2056" s="1" t="s">
        <v>33165</v>
      </c>
      <c r="Z2056" s="1" t="s">
        <v>74</v>
      </c>
      <c r="AA2056" s="1" t="s">
        <v>74</v>
      </c>
      <c r="AB2056" s="1" t="s">
        <v>74</v>
      </c>
      <c r="AC2056" s="1" t="s">
        <v>33166</v>
      </c>
      <c r="AD2056" s="1" t="s">
        <v>33166</v>
      </c>
      <c r="AE2056" s="1" t="s">
        <v>33167</v>
      </c>
      <c r="AF2056" s="1" t="s">
        <v>74</v>
      </c>
      <c r="AG2056" s="1">
        <v>42</v>
      </c>
      <c r="AH2056" s="1">
        <v>0</v>
      </c>
      <c r="AI2056" s="1">
        <v>0</v>
      </c>
      <c r="AJ2056" s="1">
        <v>1</v>
      </c>
      <c r="AK2056" s="1">
        <v>3</v>
      </c>
      <c r="AL2056" s="1" t="s">
        <v>564</v>
      </c>
      <c r="AM2056" s="1" t="s">
        <v>113</v>
      </c>
      <c r="AN2056" s="1" t="s">
        <v>807</v>
      </c>
      <c r="AO2056" s="1" t="s">
        <v>566</v>
      </c>
      <c r="AP2056" s="1" t="s">
        <v>567</v>
      </c>
      <c r="AQ2056" s="1" t="s">
        <v>74</v>
      </c>
      <c r="AR2056" s="1" t="s">
        <v>568</v>
      </c>
      <c r="AS2056" s="1" t="s">
        <v>569</v>
      </c>
      <c r="AT2056" s="1" t="s">
        <v>1223</v>
      </c>
      <c r="AU2056" s="1">
        <v>2024</v>
      </c>
      <c r="AV2056" s="1">
        <v>277</v>
      </c>
      <c r="AW2056" s="1" t="s">
        <v>74</v>
      </c>
      <c r="AX2056" s="1" t="s">
        <v>74</v>
      </c>
      <c r="AY2056" s="1" t="s">
        <v>74</v>
      </c>
      <c r="AZ2056" s="1" t="s">
        <v>74</v>
      </c>
      <c r="BA2056" s="1" t="s">
        <v>74</v>
      </c>
      <c r="BB2056" s="1" t="s">
        <v>74</v>
      </c>
      <c r="BC2056" s="1" t="s">
        <v>74</v>
      </c>
      <c r="BD2056" s="1">
        <v>109842</v>
      </c>
      <c r="BE2056" s="1" t="s">
        <v>33168</v>
      </c>
      <c r="BF2056" s="1" t="str">
        <f>HYPERLINK("http://dx.doi.org/10.1016/j.cbpc.2024.109842","http://dx.doi.org/10.1016/j.cbpc.2024.109842")</f>
        <v>http://dx.doi.org/10.1016/j.cbpc.2024.109842</v>
      </c>
      <c r="BG2056" s="1" t="s">
        <v>74</v>
      </c>
      <c r="BH2056" s="1" t="s">
        <v>5287</v>
      </c>
      <c r="BI2056" s="1">
        <v>11</v>
      </c>
      <c r="BJ2056" s="1" t="s">
        <v>571</v>
      </c>
      <c r="BK2056" s="1" t="s">
        <v>96</v>
      </c>
      <c r="BL2056" s="1" t="s">
        <v>571</v>
      </c>
      <c r="BM2056" s="1" t="s">
        <v>33169</v>
      </c>
      <c r="BN2056" s="1">
        <v>38237842</v>
      </c>
      <c r="BO2056" s="1" t="s">
        <v>74</v>
      </c>
      <c r="BP2056" s="1" t="s">
        <v>74</v>
      </c>
      <c r="BQ2056" s="1" t="s">
        <v>74</v>
      </c>
      <c r="BR2056" s="1" t="s">
        <v>98</v>
      </c>
      <c r="BS2056" s="1" t="s">
        <v>33170</v>
      </c>
      <c r="BT2056" s="1" t="str">
        <f>HYPERLINK("https%3A%2F%2Fwww.webofscience.com%2Fwos%2Fwoscc%2Ffull-record%2FWOS:001167541200001","View Full Record in Web of Science")</f>
        <v>View Full Record in Web of Science</v>
      </c>
      <c r="BU2056" s="1"/>
      <c r="BV2056" s="1"/>
    </row>
    <row r="2057" spans="1:74">
      <c r="A2057" s="1" t="s">
        <v>72</v>
      </c>
      <c r="B2057" s="1" t="s">
        <v>33171</v>
      </c>
      <c r="C2057" s="1" t="s">
        <v>74</v>
      </c>
      <c r="D2057" s="1" t="s">
        <v>74</v>
      </c>
      <c r="E2057" s="1" t="s">
        <v>74</v>
      </c>
      <c r="F2057" s="1" t="s">
        <v>33172</v>
      </c>
      <c r="G2057" s="1" t="s">
        <v>74</v>
      </c>
      <c r="H2057" s="1" t="s">
        <v>74</v>
      </c>
      <c r="I2057" s="1" t="s">
        <v>33173</v>
      </c>
      <c r="J2057" s="1" t="s">
        <v>3349</v>
      </c>
      <c r="K2057" s="1" t="s">
        <v>74</v>
      </c>
      <c r="L2057" s="1" t="s">
        <v>74</v>
      </c>
      <c r="M2057" s="1" t="s">
        <v>78</v>
      </c>
      <c r="N2057" s="1" t="s">
        <v>79</v>
      </c>
      <c r="O2057" s="1" t="s">
        <v>74</v>
      </c>
      <c r="P2057" s="1" t="s">
        <v>74</v>
      </c>
      <c r="Q2057" s="1" t="s">
        <v>74</v>
      </c>
      <c r="R2057" s="1" t="s">
        <v>74</v>
      </c>
      <c r="S2057" s="1" t="s">
        <v>74</v>
      </c>
      <c r="T2057" s="1" t="s">
        <v>33174</v>
      </c>
      <c r="U2057" s="1" t="s">
        <v>33175</v>
      </c>
      <c r="V2057" s="1" t="s">
        <v>33176</v>
      </c>
      <c r="W2057" s="1" t="s">
        <v>33177</v>
      </c>
      <c r="X2057" s="1" t="s">
        <v>33178</v>
      </c>
      <c r="Y2057" s="1" t="s">
        <v>33179</v>
      </c>
      <c r="Z2057" s="1" t="s">
        <v>33180</v>
      </c>
      <c r="AA2057" s="1" t="s">
        <v>33181</v>
      </c>
      <c r="AB2057" s="1" t="s">
        <v>33182</v>
      </c>
      <c r="AC2057" s="1" t="s">
        <v>33183</v>
      </c>
      <c r="AD2057" s="1" t="s">
        <v>33184</v>
      </c>
      <c r="AE2057" s="1" t="s">
        <v>33185</v>
      </c>
      <c r="AF2057" s="1" t="s">
        <v>74</v>
      </c>
      <c r="AG2057" s="1">
        <v>44</v>
      </c>
      <c r="AH2057" s="1">
        <v>1</v>
      </c>
      <c r="AI2057" s="1">
        <v>1</v>
      </c>
      <c r="AJ2057" s="1">
        <v>3</v>
      </c>
      <c r="AK2057" s="1">
        <v>16</v>
      </c>
      <c r="AL2057" s="1" t="s">
        <v>3362</v>
      </c>
      <c r="AM2057" s="1" t="s">
        <v>3363</v>
      </c>
      <c r="AN2057" s="1" t="s">
        <v>3364</v>
      </c>
      <c r="AO2057" s="1" t="s">
        <v>3365</v>
      </c>
      <c r="AP2057" s="1" t="s">
        <v>3366</v>
      </c>
      <c r="AQ2057" s="1" t="s">
        <v>74</v>
      </c>
      <c r="AR2057" s="1" t="s">
        <v>3367</v>
      </c>
      <c r="AS2057" s="1" t="s">
        <v>3368</v>
      </c>
      <c r="AT2057" s="1" t="s">
        <v>1507</v>
      </c>
      <c r="AU2057" s="1">
        <v>2023</v>
      </c>
      <c r="AV2057" s="1">
        <v>255</v>
      </c>
      <c r="AW2057" s="1" t="s">
        <v>74</v>
      </c>
      <c r="AX2057" s="1" t="s">
        <v>74</v>
      </c>
      <c r="AY2057" s="1" t="s">
        <v>74</v>
      </c>
      <c r="AZ2057" s="1" t="s">
        <v>74</v>
      </c>
      <c r="BA2057" s="1" t="s">
        <v>74</v>
      </c>
      <c r="BB2057" s="1" t="s">
        <v>74</v>
      </c>
      <c r="BC2057" s="1" t="s">
        <v>74</v>
      </c>
      <c r="BD2057" s="1">
        <v>114793</v>
      </c>
      <c r="BE2057" s="1" t="s">
        <v>33186</v>
      </c>
      <c r="BF2057" s="1" t="str">
        <f>HYPERLINK("http://dx.doi.org/10.1016/j.ecoenv.2023.114793","http://dx.doi.org/10.1016/j.ecoenv.2023.114793")</f>
        <v>http://dx.doi.org/10.1016/j.ecoenv.2023.114793</v>
      </c>
      <c r="BG2057" s="1" t="s">
        <v>74</v>
      </c>
      <c r="BH2057" s="1" t="s">
        <v>6536</v>
      </c>
      <c r="BI2057" s="1">
        <v>11</v>
      </c>
      <c r="BJ2057" s="1" t="s">
        <v>121</v>
      </c>
      <c r="BK2057" s="1" t="s">
        <v>96</v>
      </c>
      <c r="BL2057" s="1" t="s">
        <v>122</v>
      </c>
      <c r="BM2057" s="1" t="s">
        <v>33187</v>
      </c>
      <c r="BN2057" s="1">
        <v>36963189</v>
      </c>
      <c r="BO2057" s="1" t="s">
        <v>873</v>
      </c>
      <c r="BP2057" s="1" t="s">
        <v>74</v>
      </c>
      <c r="BQ2057" s="1" t="s">
        <v>74</v>
      </c>
      <c r="BR2057" s="1" t="s">
        <v>98</v>
      </c>
      <c r="BS2057" s="1" t="s">
        <v>33188</v>
      </c>
      <c r="BT2057" s="1" t="str">
        <f>HYPERLINK("https%3A%2F%2Fwww.webofscience.com%2Fwos%2Fwoscc%2Ffull-record%2FWOS:000958566700001","View Full Record in Web of Science")</f>
        <v>View Full Record in Web of Science</v>
      </c>
      <c r="BU2057" s="1"/>
      <c r="BV2057" s="1"/>
    </row>
    <row r="2058" spans="1:74">
      <c r="A2058" s="1" t="s">
        <v>72</v>
      </c>
      <c r="B2058" s="1" t="s">
        <v>33189</v>
      </c>
      <c r="C2058" s="1" t="s">
        <v>74</v>
      </c>
      <c r="D2058" s="1" t="s">
        <v>74</v>
      </c>
      <c r="E2058" s="1" t="s">
        <v>74</v>
      </c>
      <c r="F2058" s="1" t="s">
        <v>33190</v>
      </c>
      <c r="G2058" s="1" t="s">
        <v>74</v>
      </c>
      <c r="H2058" s="1" t="s">
        <v>74</v>
      </c>
      <c r="I2058" s="1" t="s">
        <v>33191</v>
      </c>
      <c r="J2058" s="1" t="s">
        <v>9947</v>
      </c>
      <c r="K2058" s="1" t="s">
        <v>74</v>
      </c>
      <c r="L2058" s="1" t="s">
        <v>74</v>
      </c>
      <c r="M2058" s="1" t="s">
        <v>78</v>
      </c>
      <c r="N2058" s="1" t="s">
        <v>79</v>
      </c>
      <c r="O2058" s="1" t="s">
        <v>74</v>
      </c>
      <c r="P2058" s="1" t="s">
        <v>74</v>
      </c>
      <c r="Q2058" s="1" t="s">
        <v>74</v>
      </c>
      <c r="R2058" s="1" t="s">
        <v>74</v>
      </c>
      <c r="S2058" s="1" t="s">
        <v>74</v>
      </c>
      <c r="T2058" s="1" t="s">
        <v>33192</v>
      </c>
      <c r="U2058" s="1" t="s">
        <v>33193</v>
      </c>
      <c r="V2058" s="1" t="s">
        <v>33194</v>
      </c>
      <c r="W2058" s="1" t="s">
        <v>33195</v>
      </c>
      <c r="X2058" s="1" t="s">
        <v>10441</v>
      </c>
      <c r="Y2058" s="1" t="s">
        <v>33196</v>
      </c>
      <c r="Z2058" s="1" t="s">
        <v>33197</v>
      </c>
      <c r="AA2058" s="1" t="s">
        <v>33198</v>
      </c>
      <c r="AB2058" s="1" t="s">
        <v>33199</v>
      </c>
      <c r="AC2058" s="1" t="s">
        <v>74</v>
      </c>
      <c r="AD2058" s="1" t="s">
        <v>74</v>
      </c>
      <c r="AE2058" s="1" t="s">
        <v>74</v>
      </c>
      <c r="AF2058" s="1" t="s">
        <v>74</v>
      </c>
      <c r="AG2058" s="1">
        <v>31</v>
      </c>
      <c r="AH2058" s="1">
        <v>3</v>
      </c>
      <c r="AI2058" s="1">
        <v>4</v>
      </c>
      <c r="AJ2058" s="1">
        <v>1</v>
      </c>
      <c r="AK2058" s="1">
        <v>11</v>
      </c>
      <c r="AL2058" s="1" t="s">
        <v>9959</v>
      </c>
      <c r="AM2058" s="1" t="s">
        <v>9960</v>
      </c>
      <c r="AN2058" s="1" t="s">
        <v>9961</v>
      </c>
      <c r="AO2058" s="1" t="s">
        <v>9962</v>
      </c>
      <c r="AP2058" s="1" t="s">
        <v>9963</v>
      </c>
      <c r="AQ2058" s="1" t="s">
        <v>74</v>
      </c>
      <c r="AR2058" s="1" t="s">
        <v>9964</v>
      </c>
      <c r="AS2058" s="1" t="s">
        <v>9965</v>
      </c>
      <c r="AT2058" s="1" t="s">
        <v>224</v>
      </c>
      <c r="AU2058" s="1">
        <v>2019</v>
      </c>
      <c r="AV2058" s="1">
        <v>18</v>
      </c>
      <c r="AW2058" s="1">
        <v>1</v>
      </c>
      <c r="AX2058" s="1" t="s">
        <v>74</v>
      </c>
      <c r="AY2058" s="1" t="s">
        <v>74</v>
      </c>
      <c r="AZ2058" s="1" t="s">
        <v>74</v>
      </c>
      <c r="BA2058" s="1" t="s">
        <v>74</v>
      </c>
      <c r="BB2058" s="1">
        <v>159</v>
      </c>
      <c r="BC2058" s="1">
        <v>164</v>
      </c>
      <c r="BD2058" s="1" t="s">
        <v>74</v>
      </c>
      <c r="BE2058" s="1" t="s">
        <v>33200</v>
      </c>
      <c r="BF2058" s="1" t="str">
        <f>HYPERLINK("http://dx.doi.org/10.1007/s11802-019-3573-7","http://dx.doi.org/10.1007/s11802-019-3573-7")</f>
        <v>http://dx.doi.org/10.1007/s11802-019-3573-7</v>
      </c>
      <c r="BG2058" s="1" t="s">
        <v>74</v>
      </c>
      <c r="BH2058" s="1" t="s">
        <v>74</v>
      </c>
      <c r="BI2058" s="1">
        <v>6</v>
      </c>
      <c r="BJ2058" s="1" t="s">
        <v>1439</v>
      </c>
      <c r="BK2058" s="1" t="s">
        <v>96</v>
      </c>
      <c r="BL2058" s="1" t="s">
        <v>1439</v>
      </c>
      <c r="BM2058" s="1" t="s">
        <v>33201</v>
      </c>
      <c r="BN2058" s="1" t="s">
        <v>74</v>
      </c>
      <c r="BO2058" s="1" t="s">
        <v>74</v>
      </c>
      <c r="BP2058" s="1" t="s">
        <v>74</v>
      </c>
      <c r="BQ2058" s="1" t="s">
        <v>74</v>
      </c>
      <c r="BR2058" s="1" t="s">
        <v>98</v>
      </c>
      <c r="BS2058" s="1" t="s">
        <v>33202</v>
      </c>
      <c r="BT2058" s="1" t="str">
        <f>HYPERLINK("https%3A%2F%2Fwww.webofscience.com%2Fwos%2Fwoscc%2Ffull-record%2FWOS:000455483900015","View Full Record in Web of Science")</f>
        <v>View Full Record in Web of Science</v>
      </c>
      <c r="BU2058" s="1"/>
      <c r="BV2058" s="1"/>
    </row>
    <row r="2059" spans="1:74">
      <c r="A2059" s="1" t="s">
        <v>72</v>
      </c>
      <c r="B2059" s="1" t="s">
        <v>33203</v>
      </c>
      <c r="C2059" s="1" t="s">
        <v>74</v>
      </c>
      <c r="D2059" s="1" t="s">
        <v>74</v>
      </c>
      <c r="E2059" s="1" t="s">
        <v>74</v>
      </c>
      <c r="F2059" s="1" t="s">
        <v>33203</v>
      </c>
      <c r="G2059" s="1" t="s">
        <v>74</v>
      </c>
      <c r="H2059" s="1" t="s">
        <v>74</v>
      </c>
      <c r="I2059" s="1" t="s">
        <v>33204</v>
      </c>
      <c r="J2059" s="1" t="s">
        <v>24791</v>
      </c>
      <c r="K2059" s="1" t="s">
        <v>74</v>
      </c>
      <c r="L2059" s="1" t="s">
        <v>74</v>
      </c>
      <c r="M2059" s="1" t="s">
        <v>78</v>
      </c>
      <c r="N2059" s="1" t="s">
        <v>79</v>
      </c>
      <c r="O2059" s="1" t="s">
        <v>74</v>
      </c>
      <c r="P2059" s="1" t="s">
        <v>74</v>
      </c>
      <c r="Q2059" s="1" t="s">
        <v>74</v>
      </c>
      <c r="R2059" s="1" t="s">
        <v>74</v>
      </c>
      <c r="S2059" s="1" t="s">
        <v>74</v>
      </c>
      <c r="T2059" s="1" t="s">
        <v>33205</v>
      </c>
      <c r="U2059" s="1" t="s">
        <v>33206</v>
      </c>
      <c r="V2059" s="1" t="s">
        <v>33207</v>
      </c>
      <c r="W2059" s="1" t="s">
        <v>74</v>
      </c>
      <c r="X2059" s="1" t="s">
        <v>74</v>
      </c>
      <c r="Y2059" s="1" t="s">
        <v>33208</v>
      </c>
      <c r="Z2059" s="1" t="s">
        <v>74</v>
      </c>
      <c r="AA2059" s="1" t="s">
        <v>74</v>
      </c>
      <c r="AB2059" s="1" t="s">
        <v>33209</v>
      </c>
      <c r="AC2059" s="1" t="s">
        <v>74</v>
      </c>
      <c r="AD2059" s="1" t="s">
        <v>74</v>
      </c>
      <c r="AE2059" s="1" t="s">
        <v>74</v>
      </c>
      <c r="AF2059" s="1" t="s">
        <v>74</v>
      </c>
      <c r="AG2059" s="1">
        <v>22</v>
      </c>
      <c r="AH2059" s="1">
        <v>9</v>
      </c>
      <c r="AI2059" s="1">
        <v>9</v>
      </c>
      <c r="AJ2059" s="1">
        <v>0</v>
      </c>
      <c r="AK2059" s="1">
        <v>1</v>
      </c>
      <c r="AL2059" s="1" t="s">
        <v>919</v>
      </c>
      <c r="AM2059" s="1" t="s">
        <v>651</v>
      </c>
      <c r="AN2059" s="1" t="s">
        <v>920</v>
      </c>
      <c r="AO2059" s="1" t="s">
        <v>24804</v>
      </c>
      <c r="AP2059" s="1" t="s">
        <v>74</v>
      </c>
      <c r="AQ2059" s="1" t="s">
        <v>74</v>
      </c>
      <c r="AR2059" s="1" t="s">
        <v>24806</v>
      </c>
      <c r="AS2059" s="1" t="s">
        <v>24807</v>
      </c>
      <c r="AT2059" s="1" t="s">
        <v>344</v>
      </c>
      <c r="AU2059" s="1">
        <v>1991</v>
      </c>
      <c r="AV2059" s="1">
        <v>248</v>
      </c>
      <c r="AW2059" s="1">
        <v>1</v>
      </c>
      <c r="AX2059" s="1" t="s">
        <v>74</v>
      </c>
      <c r="AY2059" s="1" t="s">
        <v>74</v>
      </c>
      <c r="AZ2059" s="1" t="s">
        <v>74</v>
      </c>
      <c r="BA2059" s="1" t="s">
        <v>74</v>
      </c>
      <c r="BB2059" s="1">
        <v>51</v>
      </c>
      <c r="BC2059" s="1">
        <v>58</v>
      </c>
      <c r="BD2059" s="1" t="s">
        <v>74</v>
      </c>
      <c r="BE2059" s="1" t="s">
        <v>33210</v>
      </c>
      <c r="BF2059" s="1" t="str">
        <f>HYPERLINK("http://dx.doi.org/10.1016/S0003-2670(00)80868-5","http://dx.doi.org/10.1016/S0003-2670(00)80868-5")</f>
        <v>http://dx.doi.org/10.1016/S0003-2670(00)80868-5</v>
      </c>
      <c r="BG2059" s="1" t="s">
        <v>74</v>
      </c>
      <c r="BH2059" s="1" t="s">
        <v>74</v>
      </c>
      <c r="BI2059" s="1">
        <v>8</v>
      </c>
      <c r="BJ2059" s="1" t="s">
        <v>1196</v>
      </c>
      <c r="BK2059" s="1" t="s">
        <v>96</v>
      </c>
      <c r="BL2059" s="1" t="s">
        <v>1197</v>
      </c>
      <c r="BM2059" s="1" t="s">
        <v>33211</v>
      </c>
      <c r="BN2059" s="1" t="s">
        <v>74</v>
      </c>
      <c r="BO2059" s="1" t="s">
        <v>74</v>
      </c>
      <c r="BP2059" s="1" t="s">
        <v>74</v>
      </c>
      <c r="BQ2059" s="1" t="s">
        <v>74</v>
      </c>
      <c r="BR2059" s="1" t="s">
        <v>98</v>
      </c>
      <c r="BS2059" s="1" t="s">
        <v>33212</v>
      </c>
      <c r="BT2059" s="1" t="str">
        <f>HYPERLINK("https%3A%2F%2Fwww.webofscience.com%2Fwos%2Fwoscc%2Ffull-record%2FWOS:A1991FY56600004","View Full Record in Web of Science")</f>
        <v>View Full Record in Web of Science</v>
      </c>
      <c r="BU2059" s="1"/>
      <c r="BV2059" s="1"/>
    </row>
    <row r="2060" spans="1:74">
      <c r="A2060" s="1" t="s">
        <v>72</v>
      </c>
      <c r="B2060" s="1" t="s">
        <v>16319</v>
      </c>
      <c r="C2060" s="1" t="s">
        <v>74</v>
      </c>
      <c r="D2060" s="1" t="s">
        <v>74</v>
      </c>
      <c r="E2060" s="1" t="s">
        <v>74</v>
      </c>
      <c r="F2060" s="1" t="s">
        <v>16320</v>
      </c>
      <c r="G2060" s="1" t="s">
        <v>74</v>
      </c>
      <c r="H2060" s="1" t="s">
        <v>74</v>
      </c>
      <c r="I2060" s="1" t="s">
        <v>33213</v>
      </c>
      <c r="J2060" s="1" t="s">
        <v>909</v>
      </c>
      <c r="K2060" s="1" t="s">
        <v>74</v>
      </c>
      <c r="L2060" s="1" t="s">
        <v>74</v>
      </c>
      <c r="M2060" s="1" t="s">
        <v>78</v>
      </c>
      <c r="N2060" s="1" t="s">
        <v>79</v>
      </c>
      <c r="O2060" s="1" t="s">
        <v>74</v>
      </c>
      <c r="P2060" s="1" t="s">
        <v>74</v>
      </c>
      <c r="Q2060" s="1" t="s">
        <v>74</v>
      </c>
      <c r="R2060" s="1" t="s">
        <v>74</v>
      </c>
      <c r="S2060" s="1" t="s">
        <v>74</v>
      </c>
      <c r="T2060" s="1" t="s">
        <v>33214</v>
      </c>
      <c r="U2060" s="1" t="s">
        <v>33215</v>
      </c>
      <c r="V2060" s="1" t="s">
        <v>33216</v>
      </c>
      <c r="W2060" s="1" t="s">
        <v>33217</v>
      </c>
      <c r="X2060" s="1" t="s">
        <v>33218</v>
      </c>
      <c r="Y2060" s="1" t="s">
        <v>33219</v>
      </c>
      <c r="Z2060" s="1" t="s">
        <v>1483</v>
      </c>
      <c r="AA2060" s="1" t="s">
        <v>2900</v>
      </c>
      <c r="AB2060" s="1" t="s">
        <v>2183</v>
      </c>
      <c r="AC2060" s="1" t="s">
        <v>33220</v>
      </c>
      <c r="AD2060" s="1" t="s">
        <v>8547</v>
      </c>
      <c r="AE2060" s="1" t="s">
        <v>33221</v>
      </c>
      <c r="AF2060" s="1" t="s">
        <v>74</v>
      </c>
      <c r="AG2060" s="1">
        <v>40</v>
      </c>
      <c r="AH2060" s="1">
        <v>17</v>
      </c>
      <c r="AI2060" s="1">
        <v>18</v>
      </c>
      <c r="AJ2060" s="1">
        <v>3</v>
      </c>
      <c r="AK2060" s="1">
        <v>52</v>
      </c>
      <c r="AL2060" s="1" t="s">
        <v>919</v>
      </c>
      <c r="AM2060" s="1" t="s">
        <v>651</v>
      </c>
      <c r="AN2060" s="1" t="s">
        <v>920</v>
      </c>
      <c r="AO2060" s="1" t="s">
        <v>921</v>
      </c>
      <c r="AP2060" s="1" t="s">
        <v>922</v>
      </c>
      <c r="AQ2060" s="1" t="s">
        <v>74</v>
      </c>
      <c r="AR2060" s="1" t="s">
        <v>923</v>
      </c>
      <c r="AS2060" s="1" t="s">
        <v>924</v>
      </c>
      <c r="AT2060" s="1" t="s">
        <v>3506</v>
      </c>
      <c r="AU2060" s="1">
        <v>2018</v>
      </c>
      <c r="AV2060" s="1">
        <v>636</v>
      </c>
      <c r="AW2060" s="1" t="s">
        <v>74</v>
      </c>
      <c r="AX2060" s="1" t="s">
        <v>74</v>
      </c>
      <c r="AY2060" s="1" t="s">
        <v>74</v>
      </c>
      <c r="AZ2060" s="1" t="s">
        <v>74</v>
      </c>
      <c r="BA2060" s="1" t="s">
        <v>74</v>
      </c>
      <c r="BB2060" s="1">
        <v>829</v>
      </c>
      <c r="BC2060" s="1">
        <v>837</v>
      </c>
      <c r="BD2060" s="1" t="s">
        <v>74</v>
      </c>
      <c r="BE2060" s="1" t="s">
        <v>33222</v>
      </c>
      <c r="BF2060" s="1" t="str">
        <f>HYPERLINK("http://dx.doi.org/10.1016/j.scitotenv.2018.04.338","http://dx.doi.org/10.1016/j.scitotenv.2018.04.338")</f>
        <v>http://dx.doi.org/10.1016/j.scitotenv.2018.04.338</v>
      </c>
      <c r="BG2060" s="1" t="s">
        <v>74</v>
      </c>
      <c r="BH2060" s="1" t="s">
        <v>74</v>
      </c>
      <c r="BI2060" s="1">
        <v>9</v>
      </c>
      <c r="BJ2060" s="1" t="s">
        <v>144</v>
      </c>
      <c r="BK2060" s="1" t="s">
        <v>96</v>
      </c>
      <c r="BL2060" s="1" t="s">
        <v>145</v>
      </c>
      <c r="BM2060" s="1" t="s">
        <v>33223</v>
      </c>
      <c r="BN2060" s="1">
        <v>29727849</v>
      </c>
      <c r="BO2060" s="1" t="s">
        <v>74</v>
      </c>
      <c r="BP2060" s="1" t="s">
        <v>74</v>
      </c>
      <c r="BQ2060" s="1" t="s">
        <v>74</v>
      </c>
      <c r="BR2060" s="1" t="s">
        <v>98</v>
      </c>
      <c r="BS2060" s="1" t="s">
        <v>33224</v>
      </c>
      <c r="BT2060" s="1" t="str">
        <f>HYPERLINK("https%3A%2F%2Fwww.webofscience.com%2Fwos%2Fwoscc%2Ffull-record%2FWOS:000436599000080","View Full Record in Web of Science")</f>
        <v>View Full Record in Web of Science</v>
      </c>
      <c r="BU2060" s="1"/>
      <c r="BV2060" s="1"/>
    </row>
    <row r="2061" spans="1:74">
      <c r="A2061" s="1" t="s">
        <v>72</v>
      </c>
      <c r="B2061" s="1" t="s">
        <v>33225</v>
      </c>
      <c r="C2061" s="1" t="s">
        <v>74</v>
      </c>
      <c r="D2061" s="1" t="s">
        <v>74</v>
      </c>
      <c r="E2061" s="1" t="s">
        <v>74</v>
      </c>
      <c r="F2061" s="1" t="s">
        <v>33226</v>
      </c>
      <c r="G2061" s="1" t="s">
        <v>74</v>
      </c>
      <c r="H2061" s="1" t="s">
        <v>74</v>
      </c>
      <c r="I2061" s="1" t="s">
        <v>33227</v>
      </c>
      <c r="J2061" s="1" t="s">
        <v>232</v>
      </c>
      <c r="K2061" s="1" t="s">
        <v>74</v>
      </c>
      <c r="L2061" s="1" t="s">
        <v>74</v>
      </c>
      <c r="M2061" s="1" t="s">
        <v>78</v>
      </c>
      <c r="N2061" s="1" t="s">
        <v>79</v>
      </c>
      <c r="O2061" s="1" t="s">
        <v>74</v>
      </c>
      <c r="P2061" s="1" t="s">
        <v>74</v>
      </c>
      <c r="Q2061" s="1" t="s">
        <v>74</v>
      </c>
      <c r="R2061" s="1" t="s">
        <v>74</v>
      </c>
      <c r="S2061" s="1" t="s">
        <v>74</v>
      </c>
      <c r="T2061" s="1" t="s">
        <v>33228</v>
      </c>
      <c r="U2061" s="1" t="s">
        <v>33229</v>
      </c>
      <c r="V2061" s="1" t="s">
        <v>33230</v>
      </c>
      <c r="W2061" s="1" t="s">
        <v>33231</v>
      </c>
      <c r="X2061" s="1" t="s">
        <v>29920</v>
      </c>
      <c r="Y2061" s="1" t="s">
        <v>33232</v>
      </c>
      <c r="Z2061" s="1" t="s">
        <v>29922</v>
      </c>
      <c r="AA2061" s="1" t="s">
        <v>33233</v>
      </c>
      <c r="AB2061" s="1" t="s">
        <v>33234</v>
      </c>
      <c r="AC2061" s="1" t="s">
        <v>33235</v>
      </c>
      <c r="AD2061" s="1" t="s">
        <v>33236</v>
      </c>
      <c r="AE2061" s="1" t="s">
        <v>33237</v>
      </c>
      <c r="AF2061" s="1" t="s">
        <v>74</v>
      </c>
      <c r="AG2061" s="1">
        <v>93</v>
      </c>
      <c r="AH2061" s="1">
        <v>21</v>
      </c>
      <c r="AI2061" s="1">
        <v>24</v>
      </c>
      <c r="AJ2061" s="1">
        <v>3</v>
      </c>
      <c r="AK2061" s="1">
        <v>31</v>
      </c>
      <c r="AL2061" s="1" t="s">
        <v>136</v>
      </c>
      <c r="AM2061" s="1" t="s">
        <v>137</v>
      </c>
      <c r="AN2061" s="1" t="s">
        <v>138</v>
      </c>
      <c r="AO2061" s="1" t="s">
        <v>240</v>
      </c>
      <c r="AP2061" s="1" t="s">
        <v>241</v>
      </c>
      <c r="AQ2061" s="1" t="s">
        <v>74</v>
      </c>
      <c r="AR2061" s="1" t="s">
        <v>242</v>
      </c>
      <c r="AS2061" s="1" t="s">
        <v>243</v>
      </c>
      <c r="AT2061" s="1" t="s">
        <v>93</v>
      </c>
      <c r="AU2061" s="1">
        <v>2019</v>
      </c>
      <c r="AV2061" s="1">
        <v>141</v>
      </c>
      <c r="AW2061" s="1" t="s">
        <v>74</v>
      </c>
      <c r="AX2061" s="1" t="s">
        <v>74</v>
      </c>
      <c r="AY2061" s="1" t="s">
        <v>74</v>
      </c>
      <c r="AZ2061" s="1" t="s">
        <v>74</v>
      </c>
      <c r="BA2061" s="1" t="s">
        <v>74</v>
      </c>
      <c r="BB2061" s="1">
        <v>176</v>
      </c>
      <c r="BC2061" s="1">
        <v>186</v>
      </c>
      <c r="BD2061" s="1" t="s">
        <v>74</v>
      </c>
      <c r="BE2061" s="1" t="s">
        <v>33238</v>
      </c>
      <c r="BF2061" s="1" t="str">
        <f>HYPERLINK("http://dx.doi.org/10.1016/j.marpolbul.2019.02.035","http://dx.doi.org/10.1016/j.marpolbul.2019.02.035")</f>
        <v>http://dx.doi.org/10.1016/j.marpolbul.2019.02.035</v>
      </c>
      <c r="BG2061" s="1" t="s">
        <v>74</v>
      </c>
      <c r="BH2061" s="1" t="s">
        <v>74</v>
      </c>
      <c r="BI2061" s="1">
        <v>11</v>
      </c>
      <c r="BJ2061" s="1" t="s">
        <v>247</v>
      </c>
      <c r="BK2061" s="1" t="s">
        <v>96</v>
      </c>
      <c r="BL2061" s="1" t="s">
        <v>248</v>
      </c>
      <c r="BM2061" s="1" t="s">
        <v>9985</v>
      </c>
      <c r="BN2061" s="1">
        <v>30955723</v>
      </c>
      <c r="BO2061" s="1" t="s">
        <v>74</v>
      </c>
      <c r="BP2061" s="1" t="s">
        <v>74</v>
      </c>
      <c r="BQ2061" s="1" t="s">
        <v>74</v>
      </c>
      <c r="BR2061" s="1" t="s">
        <v>98</v>
      </c>
      <c r="BS2061" s="1" t="s">
        <v>33239</v>
      </c>
      <c r="BT2061" s="1" t="str">
        <f>HYPERLINK("https%3A%2F%2Fwww.webofscience.com%2Fwos%2Fwoscc%2Ffull-record%2FWOS:000465509700021","View Full Record in Web of Science")</f>
        <v>View Full Record in Web of Science</v>
      </c>
      <c r="BU2061" s="1"/>
      <c r="BV2061" s="1"/>
    </row>
    <row r="2062" spans="1:74">
      <c r="A2062" s="1" t="s">
        <v>72</v>
      </c>
      <c r="B2062" s="1" t="s">
        <v>33240</v>
      </c>
      <c r="C2062" s="1" t="s">
        <v>74</v>
      </c>
      <c r="D2062" s="1" t="s">
        <v>74</v>
      </c>
      <c r="E2062" s="1" t="s">
        <v>74</v>
      </c>
      <c r="F2062" s="1" t="s">
        <v>33241</v>
      </c>
      <c r="G2062" s="1" t="s">
        <v>74</v>
      </c>
      <c r="H2062" s="1" t="s">
        <v>74</v>
      </c>
      <c r="I2062" s="1" t="s">
        <v>33242</v>
      </c>
      <c r="J2062" s="1" t="s">
        <v>2581</v>
      </c>
      <c r="K2062" s="1" t="s">
        <v>74</v>
      </c>
      <c r="L2062" s="1" t="s">
        <v>74</v>
      </c>
      <c r="M2062" s="1" t="s">
        <v>78</v>
      </c>
      <c r="N2062" s="1" t="s">
        <v>79</v>
      </c>
      <c r="O2062" s="1" t="s">
        <v>74</v>
      </c>
      <c r="P2062" s="1" t="s">
        <v>74</v>
      </c>
      <c r="Q2062" s="1" t="s">
        <v>74</v>
      </c>
      <c r="R2062" s="1" t="s">
        <v>74</v>
      </c>
      <c r="S2062" s="1" t="s">
        <v>74</v>
      </c>
      <c r="T2062" s="1" t="s">
        <v>33243</v>
      </c>
      <c r="U2062" s="1" t="s">
        <v>33244</v>
      </c>
      <c r="V2062" s="1" t="s">
        <v>33245</v>
      </c>
      <c r="W2062" s="1" t="s">
        <v>33246</v>
      </c>
      <c r="X2062" s="1" t="s">
        <v>33247</v>
      </c>
      <c r="Y2062" s="1" t="s">
        <v>33248</v>
      </c>
      <c r="Z2062" s="1" t="s">
        <v>33249</v>
      </c>
      <c r="AA2062" s="1" t="s">
        <v>33250</v>
      </c>
      <c r="AB2062" s="1" t="s">
        <v>33251</v>
      </c>
      <c r="AC2062" s="1" t="s">
        <v>33252</v>
      </c>
      <c r="AD2062" s="1" t="s">
        <v>33253</v>
      </c>
      <c r="AE2062" s="1" t="s">
        <v>33254</v>
      </c>
      <c r="AF2062" s="1" t="s">
        <v>74</v>
      </c>
      <c r="AG2062" s="1">
        <v>74</v>
      </c>
      <c r="AH2062" s="1">
        <v>8</v>
      </c>
      <c r="AI2062" s="1">
        <v>8</v>
      </c>
      <c r="AJ2062" s="1">
        <v>5</v>
      </c>
      <c r="AK2062" s="1">
        <v>34</v>
      </c>
      <c r="AL2062" s="1" t="s">
        <v>430</v>
      </c>
      <c r="AM2062" s="1" t="s">
        <v>137</v>
      </c>
      <c r="AN2062" s="1" t="s">
        <v>431</v>
      </c>
      <c r="AO2062" s="1" t="s">
        <v>2593</v>
      </c>
      <c r="AP2062" s="1" t="s">
        <v>2594</v>
      </c>
      <c r="AQ2062" s="1" t="s">
        <v>74</v>
      </c>
      <c r="AR2062" s="1" t="s">
        <v>2581</v>
      </c>
      <c r="AS2062" s="1" t="s">
        <v>2595</v>
      </c>
      <c r="AT2062" s="1" t="s">
        <v>170</v>
      </c>
      <c r="AU2062" s="1">
        <v>2022</v>
      </c>
      <c r="AV2062" s="1">
        <v>135</v>
      </c>
      <c r="AW2062" s="1" t="s">
        <v>74</v>
      </c>
      <c r="AX2062" s="1" t="s">
        <v>74</v>
      </c>
      <c r="AY2062" s="1" t="s">
        <v>74</v>
      </c>
      <c r="AZ2062" s="1" t="s">
        <v>74</v>
      </c>
      <c r="BA2062" s="1" t="s">
        <v>74</v>
      </c>
      <c r="BB2062" s="1" t="s">
        <v>74</v>
      </c>
      <c r="BC2062" s="1" t="s">
        <v>74</v>
      </c>
      <c r="BD2062" s="1">
        <v>108785</v>
      </c>
      <c r="BE2062" s="1" t="s">
        <v>33255</v>
      </c>
      <c r="BF2062" s="1" t="str">
        <f>HYPERLINK("http://dx.doi.org/10.1016/j.foodcont.2021.108785","http://dx.doi.org/10.1016/j.foodcont.2021.108785")</f>
        <v>http://dx.doi.org/10.1016/j.foodcont.2021.108785</v>
      </c>
      <c r="BG2062" s="1" t="s">
        <v>74</v>
      </c>
      <c r="BH2062" s="1" t="s">
        <v>227</v>
      </c>
      <c r="BI2062" s="1">
        <v>10</v>
      </c>
      <c r="BJ2062" s="1" t="s">
        <v>2598</v>
      </c>
      <c r="BK2062" s="1" t="s">
        <v>96</v>
      </c>
      <c r="BL2062" s="1" t="s">
        <v>2598</v>
      </c>
      <c r="BM2062" s="1" t="s">
        <v>33256</v>
      </c>
      <c r="BN2062" s="1" t="s">
        <v>74</v>
      </c>
      <c r="BO2062" s="1" t="s">
        <v>74</v>
      </c>
      <c r="BP2062" s="1" t="s">
        <v>74</v>
      </c>
      <c r="BQ2062" s="1" t="s">
        <v>74</v>
      </c>
      <c r="BR2062" s="1" t="s">
        <v>98</v>
      </c>
      <c r="BS2062" s="1" t="s">
        <v>33257</v>
      </c>
      <c r="BT2062" s="1" t="str">
        <f>HYPERLINK("https%3A%2F%2Fwww.webofscience.com%2Fwos%2Fwoscc%2Ffull-record%2FWOS:000742852400001","View Full Record in Web of Science")</f>
        <v>View Full Record in Web of Science</v>
      </c>
      <c r="BU2062" s="1"/>
      <c r="BV2062" s="1"/>
    </row>
    <row r="2063" spans="1:74">
      <c r="A2063" s="1" t="s">
        <v>72</v>
      </c>
      <c r="B2063" s="1" t="s">
        <v>33258</v>
      </c>
      <c r="C2063" s="1" t="s">
        <v>74</v>
      </c>
      <c r="D2063" s="1" t="s">
        <v>74</v>
      </c>
      <c r="E2063" s="1" t="s">
        <v>74</v>
      </c>
      <c r="F2063" s="1" t="s">
        <v>33259</v>
      </c>
      <c r="G2063" s="1" t="s">
        <v>74</v>
      </c>
      <c r="H2063" s="1" t="s">
        <v>74</v>
      </c>
      <c r="I2063" s="1" t="s">
        <v>33260</v>
      </c>
      <c r="J2063" s="1" t="s">
        <v>103</v>
      </c>
      <c r="K2063" s="1" t="s">
        <v>74</v>
      </c>
      <c r="L2063" s="1" t="s">
        <v>74</v>
      </c>
      <c r="M2063" s="1" t="s">
        <v>78</v>
      </c>
      <c r="N2063" s="1" t="s">
        <v>79</v>
      </c>
      <c r="O2063" s="1" t="s">
        <v>74</v>
      </c>
      <c r="P2063" s="1" t="s">
        <v>74</v>
      </c>
      <c r="Q2063" s="1" t="s">
        <v>74</v>
      </c>
      <c r="R2063" s="1" t="s">
        <v>74</v>
      </c>
      <c r="S2063" s="1" t="s">
        <v>74</v>
      </c>
      <c r="T2063" s="1" t="s">
        <v>33261</v>
      </c>
      <c r="U2063" s="1" t="s">
        <v>33262</v>
      </c>
      <c r="V2063" s="1" t="s">
        <v>33263</v>
      </c>
      <c r="W2063" s="1" t="s">
        <v>33264</v>
      </c>
      <c r="X2063" s="1" t="s">
        <v>33265</v>
      </c>
      <c r="Y2063" s="1" t="s">
        <v>33266</v>
      </c>
      <c r="Z2063" s="1" t="s">
        <v>33267</v>
      </c>
      <c r="AA2063" s="1" t="s">
        <v>33268</v>
      </c>
      <c r="AB2063" s="1" t="s">
        <v>33269</v>
      </c>
      <c r="AC2063" s="1" t="s">
        <v>33270</v>
      </c>
      <c r="AD2063" s="1" t="s">
        <v>33271</v>
      </c>
      <c r="AE2063" s="1" t="s">
        <v>33272</v>
      </c>
      <c r="AF2063" s="1" t="s">
        <v>74</v>
      </c>
      <c r="AG2063" s="1">
        <v>32</v>
      </c>
      <c r="AH2063" s="1">
        <v>6</v>
      </c>
      <c r="AI2063" s="1">
        <v>6</v>
      </c>
      <c r="AJ2063" s="1">
        <v>0</v>
      </c>
      <c r="AK2063" s="1">
        <v>23</v>
      </c>
      <c r="AL2063" s="1" t="s">
        <v>112</v>
      </c>
      <c r="AM2063" s="1" t="s">
        <v>113</v>
      </c>
      <c r="AN2063" s="1" t="s">
        <v>114</v>
      </c>
      <c r="AO2063" s="1" t="s">
        <v>115</v>
      </c>
      <c r="AP2063" s="1" t="s">
        <v>116</v>
      </c>
      <c r="AQ2063" s="1" t="s">
        <v>74</v>
      </c>
      <c r="AR2063" s="1" t="s">
        <v>117</v>
      </c>
      <c r="AS2063" s="1" t="s">
        <v>118</v>
      </c>
      <c r="AT2063" s="1" t="s">
        <v>197</v>
      </c>
      <c r="AU2063" s="1">
        <v>2020</v>
      </c>
      <c r="AV2063" s="1">
        <v>105</v>
      </c>
      <c r="AW2063" s="1">
        <v>6</v>
      </c>
      <c r="AX2063" s="1" t="s">
        <v>74</v>
      </c>
      <c r="AY2063" s="1" t="s">
        <v>74</v>
      </c>
      <c r="AZ2063" s="1" t="s">
        <v>74</v>
      </c>
      <c r="BA2063" s="1" t="s">
        <v>74</v>
      </c>
      <c r="BB2063" s="1">
        <v>827</v>
      </c>
      <c r="BC2063" s="1">
        <v>834</v>
      </c>
      <c r="BD2063" s="1" t="s">
        <v>74</v>
      </c>
      <c r="BE2063" s="1" t="s">
        <v>33273</v>
      </c>
      <c r="BF2063" s="1" t="str">
        <f>HYPERLINK("http://dx.doi.org/10.1007/s00128-020-03038-x","http://dx.doi.org/10.1007/s00128-020-03038-x")</f>
        <v>http://dx.doi.org/10.1007/s00128-020-03038-x</v>
      </c>
      <c r="BG2063" s="1" t="s">
        <v>74</v>
      </c>
      <c r="BH2063" s="1" t="s">
        <v>17167</v>
      </c>
      <c r="BI2063" s="1">
        <v>8</v>
      </c>
      <c r="BJ2063" s="1" t="s">
        <v>121</v>
      </c>
      <c r="BK2063" s="1" t="s">
        <v>96</v>
      </c>
      <c r="BL2063" s="1" t="s">
        <v>122</v>
      </c>
      <c r="BM2063" s="1" t="s">
        <v>33274</v>
      </c>
      <c r="BN2063" s="1">
        <v>33156393</v>
      </c>
      <c r="BO2063" s="1" t="s">
        <v>74</v>
      </c>
      <c r="BP2063" s="1" t="s">
        <v>74</v>
      </c>
      <c r="BQ2063" s="1" t="s">
        <v>74</v>
      </c>
      <c r="BR2063" s="1" t="s">
        <v>98</v>
      </c>
      <c r="BS2063" s="1" t="s">
        <v>33275</v>
      </c>
      <c r="BT2063" s="1" t="str">
        <f>HYPERLINK("https%3A%2F%2Fwww.webofscience.com%2Fwos%2Fwoscc%2Ffull-record%2FWOS:000587101000001","View Full Record in Web of Science")</f>
        <v>View Full Record in Web of Science</v>
      </c>
      <c r="BU2063" s="1"/>
      <c r="BV2063" s="1"/>
    </row>
    <row r="2064" spans="1:74">
      <c r="A2064" s="1" t="s">
        <v>72</v>
      </c>
      <c r="B2064" s="1" t="s">
        <v>33276</v>
      </c>
      <c r="C2064" s="1" t="s">
        <v>74</v>
      </c>
      <c r="D2064" s="1" t="s">
        <v>74</v>
      </c>
      <c r="E2064" s="1" t="s">
        <v>74</v>
      </c>
      <c r="F2064" s="1" t="s">
        <v>33277</v>
      </c>
      <c r="G2064" s="1" t="s">
        <v>74</v>
      </c>
      <c r="H2064" s="1" t="s">
        <v>74</v>
      </c>
      <c r="I2064" s="1" t="s">
        <v>33278</v>
      </c>
      <c r="J2064" s="1" t="s">
        <v>576</v>
      </c>
      <c r="K2064" s="1" t="s">
        <v>74</v>
      </c>
      <c r="L2064" s="1" t="s">
        <v>74</v>
      </c>
      <c r="M2064" s="1" t="s">
        <v>78</v>
      </c>
      <c r="N2064" s="1" t="s">
        <v>79</v>
      </c>
      <c r="O2064" s="1" t="s">
        <v>74</v>
      </c>
      <c r="P2064" s="1" t="s">
        <v>74</v>
      </c>
      <c r="Q2064" s="1" t="s">
        <v>74</v>
      </c>
      <c r="R2064" s="1" t="s">
        <v>74</v>
      </c>
      <c r="S2064" s="1" t="s">
        <v>74</v>
      </c>
      <c r="T2064" s="1" t="s">
        <v>33279</v>
      </c>
      <c r="U2064" s="1" t="s">
        <v>74</v>
      </c>
      <c r="V2064" s="1" t="s">
        <v>33280</v>
      </c>
      <c r="W2064" s="1" t="s">
        <v>33281</v>
      </c>
      <c r="X2064" s="1" t="s">
        <v>33282</v>
      </c>
      <c r="Y2064" s="1" t="s">
        <v>33283</v>
      </c>
      <c r="Z2064" s="1" t="s">
        <v>33284</v>
      </c>
      <c r="AA2064" s="1" t="s">
        <v>33285</v>
      </c>
      <c r="AB2064" s="1" t="s">
        <v>33286</v>
      </c>
      <c r="AC2064" s="1" t="s">
        <v>33287</v>
      </c>
      <c r="AD2064" s="1" t="s">
        <v>33288</v>
      </c>
      <c r="AE2064" s="1" t="s">
        <v>33289</v>
      </c>
      <c r="AF2064" s="1" t="s">
        <v>74</v>
      </c>
      <c r="AG2064" s="1">
        <v>7</v>
      </c>
      <c r="AH2064" s="1">
        <v>7</v>
      </c>
      <c r="AI2064" s="1">
        <v>7</v>
      </c>
      <c r="AJ2064" s="1">
        <v>2</v>
      </c>
      <c r="AK2064" s="1">
        <v>46</v>
      </c>
      <c r="AL2064" s="1" t="s">
        <v>14827</v>
      </c>
      <c r="AM2064" s="1" t="s">
        <v>286</v>
      </c>
      <c r="AN2064" s="1" t="s">
        <v>14828</v>
      </c>
      <c r="AO2064" s="1" t="s">
        <v>584</v>
      </c>
      <c r="AP2064" s="1" t="s">
        <v>14829</v>
      </c>
      <c r="AQ2064" s="1" t="s">
        <v>74</v>
      </c>
      <c r="AR2064" s="1" t="s">
        <v>585</v>
      </c>
      <c r="AS2064" s="1" t="s">
        <v>586</v>
      </c>
      <c r="AT2064" s="1" t="s">
        <v>74</v>
      </c>
      <c r="AU2064" s="1">
        <v>2008</v>
      </c>
      <c r="AV2064" s="1">
        <v>58</v>
      </c>
      <c r="AW2064" s="1">
        <v>12</v>
      </c>
      <c r="AX2064" s="1" t="s">
        <v>74</v>
      </c>
      <c r="AY2064" s="1" t="s">
        <v>74</v>
      </c>
      <c r="AZ2064" s="1" t="s">
        <v>74</v>
      </c>
      <c r="BA2064" s="1" t="s">
        <v>74</v>
      </c>
      <c r="BB2064" s="1">
        <v>2303</v>
      </c>
      <c r="BC2064" s="1">
        <v>2311</v>
      </c>
      <c r="BD2064" s="1" t="s">
        <v>74</v>
      </c>
      <c r="BE2064" s="1" t="s">
        <v>33290</v>
      </c>
      <c r="BF2064" s="1" t="str">
        <f>HYPERLINK("http://dx.doi.org/10.2166/wst.2008.929","http://dx.doi.org/10.2166/wst.2008.929")</f>
        <v>http://dx.doi.org/10.2166/wst.2008.929</v>
      </c>
      <c r="BG2064" s="1" t="s">
        <v>74</v>
      </c>
      <c r="BH2064" s="1" t="s">
        <v>74</v>
      </c>
      <c r="BI2064" s="1">
        <v>9</v>
      </c>
      <c r="BJ2064" s="1" t="s">
        <v>587</v>
      </c>
      <c r="BK2064" s="1" t="s">
        <v>96</v>
      </c>
      <c r="BL2064" s="1" t="s">
        <v>589</v>
      </c>
      <c r="BM2064" s="1" t="s">
        <v>33291</v>
      </c>
      <c r="BN2064" s="1">
        <v>19092208</v>
      </c>
      <c r="BO2064" s="1" t="s">
        <v>74</v>
      </c>
      <c r="BP2064" s="1" t="s">
        <v>74</v>
      </c>
      <c r="BQ2064" s="1" t="s">
        <v>74</v>
      </c>
      <c r="BR2064" s="1" t="s">
        <v>98</v>
      </c>
      <c r="BS2064" s="1" t="s">
        <v>33292</v>
      </c>
      <c r="BT2064" s="1" t="str">
        <f>HYPERLINK("https%3A%2F%2Fwww.webofscience.com%2Fwos%2Fwoscc%2Ffull-record%2FWOS:000261930500004","View Full Record in Web of Science")</f>
        <v>View Full Record in Web of Science</v>
      </c>
      <c r="BU2064" s="1"/>
      <c r="BV2064" s="1"/>
    </row>
    <row r="2065" spans="1:74">
      <c r="A2065" s="1" t="s">
        <v>72</v>
      </c>
      <c r="B2065" s="1" t="s">
        <v>33293</v>
      </c>
      <c r="C2065" s="1" t="s">
        <v>74</v>
      </c>
      <c r="D2065" s="1" t="s">
        <v>74</v>
      </c>
      <c r="E2065" s="1" t="s">
        <v>74</v>
      </c>
      <c r="F2065" s="1" t="s">
        <v>33293</v>
      </c>
      <c r="G2065" s="1" t="s">
        <v>74</v>
      </c>
      <c r="H2065" s="1" t="s">
        <v>74</v>
      </c>
      <c r="I2065" s="1" t="s">
        <v>33294</v>
      </c>
      <c r="J2065" s="1" t="s">
        <v>421</v>
      </c>
      <c r="K2065" s="1" t="s">
        <v>74</v>
      </c>
      <c r="L2065" s="1" t="s">
        <v>74</v>
      </c>
      <c r="M2065" s="1" t="s">
        <v>78</v>
      </c>
      <c r="N2065" s="1" t="s">
        <v>79</v>
      </c>
      <c r="O2065" s="1" t="s">
        <v>74</v>
      </c>
      <c r="P2065" s="1" t="s">
        <v>74</v>
      </c>
      <c r="Q2065" s="1" t="s">
        <v>74</v>
      </c>
      <c r="R2065" s="1" t="s">
        <v>74</v>
      </c>
      <c r="S2065" s="1" t="s">
        <v>74</v>
      </c>
      <c r="T2065" s="1" t="s">
        <v>33295</v>
      </c>
      <c r="U2065" s="1" t="s">
        <v>33296</v>
      </c>
      <c r="V2065" s="1" t="s">
        <v>33297</v>
      </c>
      <c r="W2065" s="1" t="s">
        <v>33298</v>
      </c>
      <c r="X2065" s="1" t="s">
        <v>33299</v>
      </c>
      <c r="Y2065" s="1" t="s">
        <v>33300</v>
      </c>
      <c r="Z2065" s="1" t="s">
        <v>33301</v>
      </c>
      <c r="AA2065" s="1" t="s">
        <v>74</v>
      </c>
      <c r="AB2065" s="1" t="s">
        <v>74</v>
      </c>
      <c r="AC2065" s="1" t="s">
        <v>74</v>
      </c>
      <c r="AD2065" s="1" t="s">
        <v>74</v>
      </c>
      <c r="AE2065" s="1" t="s">
        <v>74</v>
      </c>
      <c r="AF2065" s="1" t="s">
        <v>74</v>
      </c>
      <c r="AG2065" s="1">
        <v>27</v>
      </c>
      <c r="AH2065" s="1">
        <v>44</v>
      </c>
      <c r="AI2065" s="1">
        <v>53</v>
      </c>
      <c r="AJ2065" s="1">
        <v>1</v>
      </c>
      <c r="AK2065" s="1">
        <v>16</v>
      </c>
      <c r="AL2065" s="1" t="s">
        <v>430</v>
      </c>
      <c r="AM2065" s="1" t="s">
        <v>137</v>
      </c>
      <c r="AN2065" s="1" t="s">
        <v>431</v>
      </c>
      <c r="AO2065" s="1" t="s">
        <v>432</v>
      </c>
      <c r="AP2065" s="1" t="s">
        <v>74</v>
      </c>
      <c r="AQ2065" s="1" t="s">
        <v>74</v>
      </c>
      <c r="AR2065" s="1" t="s">
        <v>433</v>
      </c>
      <c r="AS2065" s="1" t="s">
        <v>434</v>
      </c>
      <c r="AT2065" s="1" t="s">
        <v>170</v>
      </c>
      <c r="AU2065" s="1">
        <v>2004</v>
      </c>
      <c r="AV2065" s="1">
        <v>129</v>
      </c>
      <c r="AW2065" s="1">
        <v>1</v>
      </c>
      <c r="AX2065" s="1" t="s">
        <v>74</v>
      </c>
      <c r="AY2065" s="1" t="s">
        <v>74</v>
      </c>
      <c r="AZ2065" s="1" t="s">
        <v>74</v>
      </c>
      <c r="BA2065" s="1" t="s">
        <v>74</v>
      </c>
      <c r="BB2065" s="1">
        <v>39</v>
      </c>
      <c r="BC2065" s="1">
        <v>48</v>
      </c>
      <c r="BD2065" s="1" t="s">
        <v>74</v>
      </c>
      <c r="BE2065" s="1" t="s">
        <v>33302</v>
      </c>
      <c r="BF2065" s="1" t="str">
        <f>HYPERLINK("http://dx.doi.org/10.1016/j.envpol.2003.09.023","http://dx.doi.org/10.1016/j.envpol.2003.09.023")</f>
        <v>http://dx.doi.org/10.1016/j.envpol.2003.09.023</v>
      </c>
      <c r="BG2065" s="1" t="s">
        <v>74</v>
      </c>
      <c r="BH2065" s="1" t="s">
        <v>74</v>
      </c>
      <c r="BI2065" s="1">
        <v>10</v>
      </c>
      <c r="BJ2065" s="1" t="s">
        <v>144</v>
      </c>
      <c r="BK2065" s="1" t="s">
        <v>96</v>
      </c>
      <c r="BL2065" s="1" t="s">
        <v>145</v>
      </c>
      <c r="BM2065" s="1" t="s">
        <v>33303</v>
      </c>
      <c r="BN2065" s="1">
        <v>14749068</v>
      </c>
      <c r="BO2065" s="1" t="s">
        <v>74</v>
      </c>
      <c r="BP2065" s="1" t="s">
        <v>74</v>
      </c>
      <c r="BQ2065" s="1" t="s">
        <v>74</v>
      </c>
      <c r="BR2065" s="1" t="s">
        <v>98</v>
      </c>
      <c r="BS2065" s="1" t="s">
        <v>33304</v>
      </c>
      <c r="BT2065" s="1" t="str">
        <f>HYPERLINK("https%3A%2F%2Fwww.webofscience.com%2Fwos%2Fwoscc%2Ffull-record%2FWOS:000220248600006","View Full Record in Web of Science")</f>
        <v>View Full Record in Web of Science</v>
      </c>
      <c r="BU2065" s="1"/>
      <c r="BV2065" s="1"/>
    </row>
    <row r="2066" spans="1:74">
      <c r="A2066" s="1" t="s">
        <v>72</v>
      </c>
      <c r="B2066" s="1" t="s">
        <v>33305</v>
      </c>
      <c r="C2066" s="1" t="s">
        <v>74</v>
      </c>
      <c r="D2066" s="1" t="s">
        <v>74</v>
      </c>
      <c r="E2066" s="1" t="s">
        <v>74</v>
      </c>
      <c r="F2066" s="1" t="s">
        <v>33306</v>
      </c>
      <c r="G2066" s="1" t="s">
        <v>74</v>
      </c>
      <c r="H2066" s="1" t="s">
        <v>74</v>
      </c>
      <c r="I2066" s="1" t="s">
        <v>33307</v>
      </c>
      <c r="J2066" s="1" t="s">
        <v>6630</v>
      </c>
      <c r="K2066" s="1" t="s">
        <v>74</v>
      </c>
      <c r="L2066" s="1" t="s">
        <v>74</v>
      </c>
      <c r="M2066" s="1" t="s">
        <v>78</v>
      </c>
      <c r="N2066" s="1" t="s">
        <v>79</v>
      </c>
      <c r="O2066" s="1" t="s">
        <v>74</v>
      </c>
      <c r="P2066" s="1" t="s">
        <v>74</v>
      </c>
      <c r="Q2066" s="1" t="s">
        <v>74</v>
      </c>
      <c r="R2066" s="1" t="s">
        <v>74</v>
      </c>
      <c r="S2066" s="1" t="s">
        <v>74</v>
      </c>
      <c r="T2066" s="1" t="s">
        <v>74</v>
      </c>
      <c r="U2066" s="1" t="s">
        <v>33308</v>
      </c>
      <c r="V2066" s="1" t="s">
        <v>33309</v>
      </c>
      <c r="W2066" s="1" t="s">
        <v>33310</v>
      </c>
      <c r="X2066" s="1" t="s">
        <v>33311</v>
      </c>
      <c r="Y2066" s="1" t="s">
        <v>33312</v>
      </c>
      <c r="Z2066" s="1" t="s">
        <v>33313</v>
      </c>
      <c r="AA2066" s="1" t="s">
        <v>74</v>
      </c>
      <c r="AB2066" s="1" t="s">
        <v>74</v>
      </c>
      <c r="AC2066" s="1" t="s">
        <v>33314</v>
      </c>
      <c r="AD2066" s="1" t="s">
        <v>33315</v>
      </c>
      <c r="AE2066" s="1" t="s">
        <v>33316</v>
      </c>
      <c r="AF2066" s="1" t="s">
        <v>74</v>
      </c>
      <c r="AG2066" s="1">
        <v>23</v>
      </c>
      <c r="AH2066" s="1">
        <v>0</v>
      </c>
      <c r="AI2066" s="1">
        <v>1</v>
      </c>
      <c r="AJ2066" s="1">
        <v>0</v>
      </c>
      <c r="AK2066" s="1">
        <v>9</v>
      </c>
      <c r="AL2066" s="1" t="s">
        <v>408</v>
      </c>
      <c r="AM2066" s="1" t="s">
        <v>409</v>
      </c>
      <c r="AN2066" s="1" t="s">
        <v>1188</v>
      </c>
      <c r="AO2066" s="1" t="s">
        <v>6642</v>
      </c>
      <c r="AP2066" s="1" t="s">
        <v>6643</v>
      </c>
      <c r="AQ2066" s="1" t="s">
        <v>74</v>
      </c>
      <c r="AR2066" s="1" t="s">
        <v>6644</v>
      </c>
      <c r="AS2066" s="1" t="s">
        <v>6645</v>
      </c>
      <c r="AT2066" s="1" t="s">
        <v>74</v>
      </c>
      <c r="AU2066" s="1">
        <v>2017</v>
      </c>
      <c r="AV2066" s="1">
        <v>80</v>
      </c>
      <c r="AW2066" s="1">
        <v>2</v>
      </c>
      <c r="AX2066" s="1" t="s">
        <v>74</v>
      </c>
      <c r="AY2066" s="1" t="s">
        <v>74</v>
      </c>
      <c r="AZ2066" s="1" t="s">
        <v>74</v>
      </c>
      <c r="BA2066" s="1" t="s">
        <v>74</v>
      </c>
      <c r="BB2066" s="1">
        <v>129</v>
      </c>
      <c r="BC2066" s="1">
        <v>136</v>
      </c>
      <c r="BD2066" s="1" t="s">
        <v>74</v>
      </c>
      <c r="BE2066" s="1" t="s">
        <v>33317</v>
      </c>
      <c r="BF2066" s="1" t="str">
        <f>HYPERLINK("http://dx.doi.org/10.1080/15287394.2016.1261747","http://dx.doi.org/10.1080/15287394.2016.1261747")</f>
        <v>http://dx.doi.org/10.1080/15287394.2016.1261747</v>
      </c>
      <c r="BG2066" s="1" t="s">
        <v>74</v>
      </c>
      <c r="BH2066" s="1" t="s">
        <v>74</v>
      </c>
      <c r="BI2066" s="1">
        <v>8</v>
      </c>
      <c r="BJ2066" s="1" t="s">
        <v>5162</v>
      </c>
      <c r="BK2066" s="1" t="s">
        <v>96</v>
      </c>
      <c r="BL2066" s="1" t="s">
        <v>5163</v>
      </c>
      <c r="BM2066" s="1" t="s">
        <v>33318</v>
      </c>
      <c r="BN2066" s="1">
        <v>28095123</v>
      </c>
      <c r="BO2066" s="1" t="s">
        <v>74</v>
      </c>
      <c r="BP2066" s="1" t="s">
        <v>74</v>
      </c>
      <c r="BQ2066" s="1" t="s">
        <v>74</v>
      </c>
      <c r="BR2066" s="1" t="s">
        <v>98</v>
      </c>
      <c r="BS2066" s="1" t="s">
        <v>33319</v>
      </c>
      <c r="BT2066" s="1" t="str">
        <f>HYPERLINK("https%3A%2F%2Fwww.webofscience.com%2Fwos%2Fwoscc%2Ffull-record%2FWOS:000396789600005","View Full Record in Web of Science")</f>
        <v>View Full Record in Web of Science</v>
      </c>
      <c r="BU2066" s="1"/>
      <c r="BV2066" s="1"/>
    </row>
    <row r="2067" spans="1:74">
      <c r="A2067" s="1" t="s">
        <v>72</v>
      </c>
      <c r="B2067" s="1" t="s">
        <v>33320</v>
      </c>
      <c r="C2067" s="1" t="s">
        <v>74</v>
      </c>
      <c r="D2067" s="1" t="s">
        <v>74</v>
      </c>
      <c r="E2067" s="1" t="s">
        <v>74</v>
      </c>
      <c r="F2067" s="1" t="s">
        <v>33321</v>
      </c>
      <c r="G2067" s="1" t="s">
        <v>74</v>
      </c>
      <c r="H2067" s="1" t="s">
        <v>74</v>
      </c>
      <c r="I2067" s="1" t="s">
        <v>33322</v>
      </c>
      <c r="J2067" s="1" t="s">
        <v>232</v>
      </c>
      <c r="K2067" s="1" t="s">
        <v>74</v>
      </c>
      <c r="L2067" s="1" t="s">
        <v>74</v>
      </c>
      <c r="M2067" s="1" t="s">
        <v>78</v>
      </c>
      <c r="N2067" s="1" t="s">
        <v>79</v>
      </c>
      <c r="O2067" s="1" t="s">
        <v>74</v>
      </c>
      <c r="P2067" s="1" t="s">
        <v>74</v>
      </c>
      <c r="Q2067" s="1" t="s">
        <v>74</v>
      </c>
      <c r="R2067" s="1" t="s">
        <v>74</v>
      </c>
      <c r="S2067" s="1" t="s">
        <v>74</v>
      </c>
      <c r="T2067" s="1" t="s">
        <v>33323</v>
      </c>
      <c r="U2067" s="1" t="s">
        <v>33324</v>
      </c>
      <c r="V2067" s="1" t="s">
        <v>33325</v>
      </c>
      <c r="W2067" s="1" t="s">
        <v>33326</v>
      </c>
      <c r="X2067" s="1" t="s">
        <v>33327</v>
      </c>
      <c r="Y2067" s="1" t="s">
        <v>33328</v>
      </c>
      <c r="Z2067" s="1" t="s">
        <v>33329</v>
      </c>
      <c r="AA2067" s="1" t="s">
        <v>74</v>
      </c>
      <c r="AB2067" s="1" t="s">
        <v>74</v>
      </c>
      <c r="AC2067" s="1" t="s">
        <v>74</v>
      </c>
      <c r="AD2067" s="1" t="s">
        <v>74</v>
      </c>
      <c r="AE2067" s="1" t="s">
        <v>74</v>
      </c>
      <c r="AF2067" s="1" t="s">
        <v>74</v>
      </c>
      <c r="AG2067" s="1">
        <v>47</v>
      </c>
      <c r="AH2067" s="1">
        <v>6</v>
      </c>
      <c r="AI2067" s="1">
        <v>6</v>
      </c>
      <c r="AJ2067" s="1">
        <v>0</v>
      </c>
      <c r="AK2067" s="1">
        <v>16</v>
      </c>
      <c r="AL2067" s="1" t="s">
        <v>136</v>
      </c>
      <c r="AM2067" s="1" t="s">
        <v>137</v>
      </c>
      <c r="AN2067" s="1" t="s">
        <v>138</v>
      </c>
      <c r="AO2067" s="1" t="s">
        <v>240</v>
      </c>
      <c r="AP2067" s="1" t="s">
        <v>241</v>
      </c>
      <c r="AQ2067" s="1" t="s">
        <v>74</v>
      </c>
      <c r="AR2067" s="1" t="s">
        <v>242</v>
      </c>
      <c r="AS2067" s="1" t="s">
        <v>243</v>
      </c>
      <c r="AT2067" s="1" t="s">
        <v>1965</v>
      </c>
      <c r="AU2067" s="1">
        <v>2017</v>
      </c>
      <c r="AV2067" s="1">
        <v>125</v>
      </c>
      <c r="AW2067" s="1" t="s">
        <v>326</v>
      </c>
      <c r="AX2067" s="1" t="s">
        <v>74</v>
      </c>
      <c r="AY2067" s="1" t="s">
        <v>74</v>
      </c>
      <c r="AZ2067" s="1" t="s">
        <v>74</v>
      </c>
      <c r="BA2067" s="1" t="s">
        <v>74</v>
      </c>
      <c r="BB2067" s="1">
        <v>45</v>
      </c>
      <c r="BC2067" s="1">
        <v>55</v>
      </c>
      <c r="BD2067" s="1" t="s">
        <v>74</v>
      </c>
      <c r="BE2067" s="1" t="s">
        <v>33330</v>
      </c>
      <c r="BF2067" s="1" t="str">
        <f>HYPERLINK("http://dx.doi.org/10.1016/j.marpolbul.2017.07.046","http://dx.doi.org/10.1016/j.marpolbul.2017.07.046")</f>
        <v>http://dx.doi.org/10.1016/j.marpolbul.2017.07.046</v>
      </c>
      <c r="BG2067" s="1" t="s">
        <v>74</v>
      </c>
      <c r="BH2067" s="1" t="s">
        <v>74</v>
      </c>
      <c r="BI2067" s="1">
        <v>11</v>
      </c>
      <c r="BJ2067" s="1" t="s">
        <v>247</v>
      </c>
      <c r="BK2067" s="1" t="s">
        <v>96</v>
      </c>
      <c r="BL2067" s="1" t="s">
        <v>248</v>
      </c>
      <c r="BM2067" s="1" t="s">
        <v>12021</v>
      </c>
      <c r="BN2067" s="1">
        <v>28784270</v>
      </c>
      <c r="BO2067" s="1" t="s">
        <v>74</v>
      </c>
      <c r="BP2067" s="1" t="s">
        <v>74</v>
      </c>
      <c r="BQ2067" s="1" t="s">
        <v>74</v>
      </c>
      <c r="BR2067" s="1" t="s">
        <v>98</v>
      </c>
      <c r="BS2067" s="1" t="s">
        <v>33331</v>
      </c>
      <c r="BT2067" s="1" t="str">
        <f>HYPERLINK("https%3A%2F%2Fwww.webofscience.com%2Fwos%2Fwoscc%2Ffull-record%2FWOS:000418727000019","View Full Record in Web of Science")</f>
        <v>View Full Record in Web of Science</v>
      </c>
      <c r="BU2067" s="1"/>
      <c r="BV2067" s="1"/>
    </row>
    <row r="2068" spans="1:74">
      <c r="A2068" s="1" t="s">
        <v>72</v>
      </c>
      <c r="B2068" s="1" t="s">
        <v>33332</v>
      </c>
      <c r="C2068" s="1" t="s">
        <v>74</v>
      </c>
      <c r="D2068" s="1" t="s">
        <v>74</v>
      </c>
      <c r="E2068" s="1" t="s">
        <v>74</v>
      </c>
      <c r="F2068" s="1" t="s">
        <v>33332</v>
      </c>
      <c r="G2068" s="1" t="s">
        <v>74</v>
      </c>
      <c r="H2068" s="1" t="s">
        <v>74</v>
      </c>
      <c r="I2068" s="1" t="s">
        <v>33333</v>
      </c>
      <c r="J2068" s="1" t="s">
        <v>232</v>
      </c>
      <c r="K2068" s="1" t="s">
        <v>74</v>
      </c>
      <c r="L2068" s="1" t="s">
        <v>74</v>
      </c>
      <c r="M2068" s="1" t="s">
        <v>78</v>
      </c>
      <c r="N2068" s="1" t="s">
        <v>79</v>
      </c>
      <c r="O2068" s="1" t="s">
        <v>74</v>
      </c>
      <c r="P2068" s="1" t="s">
        <v>74</v>
      </c>
      <c r="Q2068" s="1" t="s">
        <v>74</v>
      </c>
      <c r="R2068" s="1" t="s">
        <v>74</v>
      </c>
      <c r="S2068" s="1" t="s">
        <v>74</v>
      </c>
      <c r="T2068" s="1" t="s">
        <v>33334</v>
      </c>
      <c r="U2068" s="1" t="s">
        <v>33335</v>
      </c>
      <c r="V2068" s="1" t="s">
        <v>33336</v>
      </c>
      <c r="W2068" s="1" t="s">
        <v>33337</v>
      </c>
      <c r="X2068" s="1" t="s">
        <v>33338</v>
      </c>
      <c r="Y2068" s="1" t="s">
        <v>26243</v>
      </c>
      <c r="Z2068" s="1" t="s">
        <v>26244</v>
      </c>
      <c r="AA2068" s="1" t="s">
        <v>33339</v>
      </c>
      <c r="AB2068" s="1" t="s">
        <v>33340</v>
      </c>
      <c r="AC2068" s="1" t="s">
        <v>74</v>
      </c>
      <c r="AD2068" s="1" t="s">
        <v>74</v>
      </c>
      <c r="AE2068" s="1" t="s">
        <v>74</v>
      </c>
      <c r="AF2068" s="1" t="s">
        <v>74</v>
      </c>
      <c r="AG2068" s="1">
        <v>26</v>
      </c>
      <c r="AH2068" s="1">
        <v>39</v>
      </c>
      <c r="AI2068" s="1">
        <v>40</v>
      </c>
      <c r="AJ2068" s="1">
        <v>1</v>
      </c>
      <c r="AK2068" s="1">
        <v>4</v>
      </c>
      <c r="AL2068" s="1" t="s">
        <v>136</v>
      </c>
      <c r="AM2068" s="1" t="s">
        <v>137</v>
      </c>
      <c r="AN2068" s="1" t="s">
        <v>138</v>
      </c>
      <c r="AO2068" s="1" t="s">
        <v>240</v>
      </c>
      <c r="AP2068" s="1" t="s">
        <v>241</v>
      </c>
      <c r="AQ2068" s="1" t="s">
        <v>74</v>
      </c>
      <c r="AR2068" s="1" t="s">
        <v>242</v>
      </c>
      <c r="AS2068" s="1" t="s">
        <v>243</v>
      </c>
      <c r="AT2068" s="1" t="s">
        <v>1470</v>
      </c>
      <c r="AU2068" s="1">
        <v>2004</v>
      </c>
      <c r="AV2068" s="1">
        <v>48</v>
      </c>
      <c r="AW2068" s="1" t="s">
        <v>326</v>
      </c>
      <c r="AX2068" s="1" t="s">
        <v>74</v>
      </c>
      <c r="AY2068" s="1" t="s">
        <v>74</v>
      </c>
      <c r="AZ2068" s="1" t="s">
        <v>74</v>
      </c>
      <c r="BA2068" s="1" t="s">
        <v>74</v>
      </c>
      <c r="BB2068" s="1">
        <v>144</v>
      </c>
      <c r="BC2068" s="1">
        <v>152</v>
      </c>
      <c r="BD2068" s="1" t="s">
        <v>74</v>
      </c>
      <c r="BE2068" s="1" t="s">
        <v>33341</v>
      </c>
      <c r="BF2068" s="1" t="str">
        <f>HYPERLINK("http://dx.doi.org/10.1016/S0025-326X(03)00391-6","http://dx.doi.org/10.1016/S0025-326X(03)00391-6")</f>
        <v>http://dx.doi.org/10.1016/S0025-326X(03)00391-6</v>
      </c>
      <c r="BG2068" s="1" t="s">
        <v>74</v>
      </c>
      <c r="BH2068" s="1" t="s">
        <v>74</v>
      </c>
      <c r="BI2068" s="1">
        <v>9</v>
      </c>
      <c r="BJ2068" s="1" t="s">
        <v>247</v>
      </c>
      <c r="BK2068" s="1" t="s">
        <v>96</v>
      </c>
      <c r="BL2068" s="1" t="s">
        <v>248</v>
      </c>
      <c r="BM2068" s="1" t="s">
        <v>26248</v>
      </c>
      <c r="BN2068" s="1">
        <v>14725886</v>
      </c>
      <c r="BO2068" s="1" t="s">
        <v>74</v>
      </c>
      <c r="BP2068" s="1" t="s">
        <v>74</v>
      </c>
      <c r="BQ2068" s="1" t="s">
        <v>74</v>
      </c>
      <c r="BR2068" s="1" t="s">
        <v>98</v>
      </c>
      <c r="BS2068" s="1" t="s">
        <v>33342</v>
      </c>
      <c r="BT2068" s="1" t="str">
        <f>HYPERLINK("https%3A%2F%2Fwww.webofscience.com%2Fwos%2Fwoscc%2Ffull-record%2FWOS:000188642800027","View Full Record in Web of Science")</f>
        <v>View Full Record in Web of Science</v>
      </c>
      <c r="BU2068" s="1"/>
      <c r="BV2068" s="1"/>
    </row>
    <row r="2069" spans="1:74">
      <c r="A2069" s="1" t="s">
        <v>72</v>
      </c>
      <c r="B2069" s="1" t="s">
        <v>33343</v>
      </c>
      <c r="C2069" s="1" t="s">
        <v>74</v>
      </c>
      <c r="D2069" s="1" t="s">
        <v>74</v>
      </c>
      <c r="E2069" s="1" t="s">
        <v>74</v>
      </c>
      <c r="F2069" s="1" t="s">
        <v>33344</v>
      </c>
      <c r="G2069" s="1" t="s">
        <v>74</v>
      </c>
      <c r="H2069" s="1" t="s">
        <v>74</v>
      </c>
      <c r="I2069" s="1" t="s">
        <v>33345</v>
      </c>
      <c r="J2069" s="1" t="s">
        <v>4596</v>
      </c>
      <c r="K2069" s="1" t="s">
        <v>74</v>
      </c>
      <c r="L2069" s="1" t="s">
        <v>74</v>
      </c>
      <c r="M2069" s="1" t="s">
        <v>78</v>
      </c>
      <c r="N2069" s="1" t="s">
        <v>79</v>
      </c>
      <c r="O2069" s="1" t="s">
        <v>74</v>
      </c>
      <c r="P2069" s="1" t="s">
        <v>74</v>
      </c>
      <c r="Q2069" s="1" t="s">
        <v>74</v>
      </c>
      <c r="R2069" s="1" t="s">
        <v>74</v>
      </c>
      <c r="S2069" s="1" t="s">
        <v>74</v>
      </c>
      <c r="T2069" s="1" t="s">
        <v>33346</v>
      </c>
      <c r="U2069" s="1" t="s">
        <v>33347</v>
      </c>
      <c r="V2069" s="1" t="s">
        <v>33348</v>
      </c>
      <c r="W2069" s="1" t="s">
        <v>33349</v>
      </c>
      <c r="X2069" s="1" t="s">
        <v>13908</v>
      </c>
      <c r="Y2069" s="1" t="s">
        <v>13909</v>
      </c>
      <c r="Z2069" s="1" t="s">
        <v>13910</v>
      </c>
      <c r="AA2069" s="1" t="s">
        <v>74</v>
      </c>
      <c r="AB2069" s="1" t="s">
        <v>74</v>
      </c>
      <c r="AC2069" s="1" t="s">
        <v>74</v>
      </c>
      <c r="AD2069" s="1" t="s">
        <v>74</v>
      </c>
      <c r="AE2069" s="1" t="s">
        <v>74</v>
      </c>
      <c r="AF2069" s="1" t="s">
        <v>74</v>
      </c>
      <c r="AG2069" s="1">
        <v>259</v>
      </c>
      <c r="AH2069" s="1">
        <v>16</v>
      </c>
      <c r="AI2069" s="1">
        <v>17</v>
      </c>
      <c r="AJ2069" s="1">
        <v>12</v>
      </c>
      <c r="AK2069" s="1">
        <v>24</v>
      </c>
      <c r="AL2069" s="1" t="s">
        <v>136</v>
      </c>
      <c r="AM2069" s="1" t="s">
        <v>137</v>
      </c>
      <c r="AN2069" s="1" t="s">
        <v>138</v>
      </c>
      <c r="AO2069" s="1" t="s">
        <v>4608</v>
      </c>
      <c r="AP2069" s="1" t="s">
        <v>4609</v>
      </c>
      <c r="AQ2069" s="1" t="s">
        <v>74</v>
      </c>
      <c r="AR2069" s="1" t="s">
        <v>4610</v>
      </c>
      <c r="AS2069" s="1" t="s">
        <v>4611</v>
      </c>
      <c r="AT2069" s="1" t="s">
        <v>344</v>
      </c>
      <c r="AU2069" s="1">
        <v>2023</v>
      </c>
      <c r="AV2069" s="1">
        <v>264</v>
      </c>
      <c r="AW2069" s="1" t="s">
        <v>74</v>
      </c>
      <c r="AX2069" s="1" t="s">
        <v>74</v>
      </c>
      <c r="AY2069" s="1" t="s">
        <v>74</v>
      </c>
      <c r="AZ2069" s="1" t="s">
        <v>74</v>
      </c>
      <c r="BA2069" s="1" t="s">
        <v>74</v>
      </c>
      <c r="BB2069" s="1" t="s">
        <v>74</v>
      </c>
      <c r="BC2069" s="1" t="s">
        <v>74</v>
      </c>
      <c r="BD2069" s="1">
        <v>105056</v>
      </c>
      <c r="BE2069" s="1" t="s">
        <v>33350</v>
      </c>
      <c r="BF2069" s="1" t="str">
        <f>HYPERLINK("http://dx.doi.org/10.1016/j.csr.2023.105056","http://dx.doi.org/10.1016/j.csr.2023.105056")</f>
        <v>http://dx.doi.org/10.1016/j.csr.2023.105056</v>
      </c>
      <c r="BG2069" s="1" t="s">
        <v>74</v>
      </c>
      <c r="BH2069" s="1" t="s">
        <v>767</v>
      </c>
      <c r="BI2069" s="1">
        <v>14</v>
      </c>
      <c r="BJ2069" s="1" t="s">
        <v>1439</v>
      </c>
      <c r="BK2069" s="1" t="s">
        <v>96</v>
      </c>
      <c r="BL2069" s="1" t="s">
        <v>1439</v>
      </c>
      <c r="BM2069" s="1" t="s">
        <v>33351</v>
      </c>
      <c r="BN2069" s="1" t="s">
        <v>74</v>
      </c>
      <c r="BO2069" s="1" t="s">
        <v>74</v>
      </c>
      <c r="BP2069" s="1" t="s">
        <v>74</v>
      </c>
      <c r="BQ2069" s="1" t="s">
        <v>74</v>
      </c>
      <c r="BR2069" s="1" t="s">
        <v>98</v>
      </c>
      <c r="BS2069" s="1" t="s">
        <v>33352</v>
      </c>
      <c r="BT2069" s="1" t="str">
        <f>HYPERLINK("https%3A%2F%2Fwww.webofscience.com%2Fwos%2Fwoscc%2Ffull-record%2FWOS:001027655600001","View Full Record in Web of Science")</f>
        <v>View Full Record in Web of Science</v>
      </c>
      <c r="BU2069" s="1"/>
      <c r="BV2069" s="1"/>
    </row>
    <row r="2070" spans="1:74">
      <c r="A2070" s="1" t="s">
        <v>72</v>
      </c>
      <c r="B2070" s="1" t="s">
        <v>33353</v>
      </c>
      <c r="C2070" s="1" t="s">
        <v>74</v>
      </c>
      <c r="D2070" s="1" t="s">
        <v>74</v>
      </c>
      <c r="E2070" s="1" t="s">
        <v>74</v>
      </c>
      <c r="F2070" s="1" t="s">
        <v>33354</v>
      </c>
      <c r="G2070" s="1" t="s">
        <v>74</v>
      </c>
      <c r="H2070" s="1" t="s">
        <v>74</v>
      </c>
      <c r="I2070" s="1" t="s">
        <v>33355</v>
      </c>
      <c r="J2070" s="1" t="s">
        <v>33356</v>
      </c>
      <c r="K2070" s="1" t="s">
        <v>74</v>
      </c>
      <c r="L2070" s="1" t="s">
        <v>74</v>
      </c>
      <c r="M2070" s="1" t="s">
        <v>78</v>
      </c>
      <c r="N2070" s="1" t="s">
        <v>79</v>
      </c>
      <c r="O2070" s="1" t="s">
        <v>74</v>
      </c>
      <c r="P2070" s="1" t="s">
        <v>74</v>
      </c>
      <c r="Q2070" s="1" t="s">
        <v>74</v>
      </c>
      <c r="R2070" s="1" t="s">
        <v>74</v>
      </c>
      <c r="S2070" s="1" t="s">
        <v>74</v>
      </c>
      <c r="T2070" s="1" t="s">
        <v>33357</v>
      </c>
      <c r="U2070" s="1" t="s">
        <v>33358</v>
      </c>
      <c r="V2070" s="1" t="s">
        <v>33359</v>
      </c>
      <c r="W2070" s="1" t="s">
        <v>33360</v>
      </c>
      <c r="X2070" s="1" t="s">
        <v>33361</v>
      </c>
      <c r="Y2070" s="1" t="s">
        <v>33362</v>
      </c>
      <c r="Z2070" s="1" t="s">
        <v>33363</v>
      </c>
      <c r="AA2070" s="1" t="s">
        <v>33364</v>
      </c>
      <c r="AB2070" s="1" t="s">
        <v>33365</v>
      </c>
      <c r="AC2070" s="1" t="s">
        <v>33366</v>
      </c>
      <c r="AD2070" s="1" t="s">
        <v>33367</v>
      </c>
      <c r="AE2070" s="1" t="s">
        <v>33368</v>
      </c>
      <c r="AF2070" s="1" t="s">
        <v>74</v>
      </c>
      <c r="AG2070" s="1">
        <v>34</v>
      </c>
      <c r="AH2070" s="1">
        <v>89</v>
      </c>
      <c r="AI2070" s="1">
        <v>92</v>
      </c>
      <c r="AJ2070" s="1">
        <v>6</v>
      </c>
      <c r="AK2070" s="1">
        <v>279</v>
      </c>
      <c r="AL2070" s="1" t="s">
        <v>919</v>
      </c>
      <c r="AM2070" s="1" t="s">
        <v>651</v>
      </c>
      <c r="AN2070" s="1" t="s">
        <v>920</v>
      </c>
      <c r="AO2070" s="1" t="s">
        <v>33369</v>
      </c>
      <c r="AP2070" s="1" t="s">
        <v>33370</v>
      </c>
      <c r="AQ2070" s="1" t="s">
        <v>74</v>
      </c>
      <c r="AR2070" s="1" t="s">
        <v>33371</v>
      </c>
      <c r="AS2070" s="1" t="s">
        <v>33372</v>
      </c>
      <c r="AT2070" s="1" t="s">
        <v>93</v>
      </c>
      <c r="AU2070" s="1">
        <v>2016</v>
      </c>
      <c r="AV2070" s="1">
        <v>61</v>
      </c>
      <c r="AW2070" s="1" t="s">
        <v>74</v>
      </c>
      <c r="AX2070" s="1" t="s">
        <v>74</v>
      </c>
      <c r="AY2070" s="1" t="s">
        <v>74</v>
      </c>
      <c r="AZ2070" s="1" t="s">
        <v>74</v>
      </c>
      <c r="BA2070" s="1" t="s">
        <v>74</v>
      </c>
      <c r="BB2070" s="1">
        <v>292</v>
      </c>
      <c r="BC2070" s="1">
        <v>298</v>
      </c>
      <c r="BD2070" s="1" t="s">
        <v>74</v>
      </c>
      <c r="BE2070" s="1" t="s">
        <v>33373</v>
      </c>
      <c r="BF2070" s="1" t="str">
        <f>HYPERLINK("http://dx.doi.org/10.1016/j.jtice.2016.01.008","http://dx.doi.org/10.1016/j.jtice.2016.01.008")</f>
        <v>http://dx.doi.org/10.1016/j.jtice.2016.01.008</v>
      </c>
      <c r="BG2070" s="1" t="s">
        <v>74</v>
      </c>
      <c r="BH2070" s="1" t="s">
        <v>74</v>
      </c>
      <c r="BI2070" s="1">
        <v>7</v>
      </c>
      <c r="BJ2070" s="1" t="s">
        <v>9771</v>
      </c>
      <c r="BK2070" s="1" t="s">
        <v>96</v>
      </c>
      <c r="BL2070" s="1" t="s">
        <v>3992</v>
      </c>
      <c r="BM2070" s="1" t="s">
        <v>33374</v>
      </c>
      <c r="BN2070" s="1" t="s">
        <v>74</v>
      </c>
      <c r="BO2070" s="1" t="s">
        <v>74</v>
      </c>
      <c r="BP2070" s="1" t="s">
        <v>74</v>
      </c>
      <c r="BQ2070" s="1" t="s">
        <v>74</v>
      </c>
      <c r="BR2070" s="1" t="s">
        <v>98</v>
      </c>
      <c r="BS2070" s="1" t="s">
        <v>33375</v>
      </c>
      <c r="BT2070" s="1" t="str">
        <f>HYPERLINK("https%3A%2F%2Fwww.webofscience.com%2Fwos%2Fwoscc%2Ffull-record%2FWOS:000373417400035","View Full Record in Web of Science")</f>
        <v>View Full Record in Web of Science</v>
      </c>
      <c r="BU2070" s="1"/>
      <c r="BV2070" s="1"/>
    </row>
    <row r="2071" spans="1:74">
      <c r="A2071" s="1" t="s">
        <v>72</v>
      </c>
      <c r="B2071" s="1" t="s">
        <v>33376</v>
      </c>
      <c r="C2071" s="1" t="s">
        <v>74</v>
      </c>
      <c r="D2071" s="1" t="s">
        <v>74</v>
      </c>
      <c r="E2071" s="1" t="s">
        <v>74</v>
      </c>
      <c r="F2071" s="1" t="s">
        <v>33377</v>
      </c>
      <c r="G2071" s="1" t="s">
        <v>74</v>
      </c>
      <c r="H2071" s="1" t="s">
        <v>74</v>
      </c>
      <c r="I2071" s="1" t="s">
        <v>33378</v>
      </c>
      <c r="J2071" s="1" t="s">
        <v>33379</v>
      </c>
      <c r="K2071" s="1" t="s">
        <v>74</v>
      </c>
      <c r="L2071" s="1" t="s">
        <v>74</v>
      </c>
      <c r="M2071" s="1" t="s">
        <v>78</v>
      </c>
      <c r="N2071" s="1" t="s">
        <v>79</v>
      </c>
      <c r="O2071" s="1" t="s">
        <v>74</v>
      </c>
      <c r="P2071" s="1" t="s">
        <v>74</v>
      </c>
      <c r="Q2071" s="1" t="s">
        <v>74</v>
      </c>
      <c r="R2071" s="1" t="s">
        <v>74</v>
      </c>
      <c r="S2071" s="1" t="s">
        <v>74</v>
      </c>
      <c r="T2071" s="1" t="s">
        <v>74</v>
      </c>
      <c r="U2071" s="1" t="s">
        <v>33380</v>
      </c>
      <c r="V2071" s="1" t="s">
        <v>33381</v>
      </c>
      <c r="W2071" s="1" t="s">
        <v>33382</v>
      </c>
      <c r="X2071" s="1" t="s">
        <v>33383</v>
      </c>
      <c r="Y2071" s="1" t="s">
        <v>33384</v>
      </c>
      <c r="Z2071" s="1" t="s">
        <v>33385</v>
      </c>
      <c r="AA2071" s="1" t="s">
        <v>33386</v>
      </c>
      <c r="AB2071" s="1" t="s">
        <v>33387</v>
      </c>
      <c r="AC2071" s="1" t="s">
        <v>33388</v>
      </c>
      <c r="AD2071" s="1" t="s">
        <v>33389</v>
      </c>
      <c r="AE2071" s="1" t="s">
        <v>33390</v>
      </c>
      <c r="AF2071" s="1" t="s">
        <v>74</v>
      </c>
      <c r="AG2071" s="1">
        <v>151</v>
      </c>
      <c r="AH2071" s="1">
        <v>14</v>
      </c>
      <c r="AI2071" s="1">
        <v>14</v>
      </c>
      <c r="AJ2071" s="1">
        <v>1</v>
      </c>
      <c r="AK2071" s="1">
        <v>7</v>
      </c>
      <c r="AL2071" s="1" t="s">
        <v>33391</v>
      </c>
      <c r="AM2071" s="1" t="s">
        <v>33392</v>
      </c>
      <c r="AN2071" s="1" t="s">
        <v>33393</v>
      </c>
      <c r="AO2071" s="1" t="s">
        <v>33394</v>
      </c>
      <c r="AP2071" s="1" t="s">
        <v>33395</v>
      </c>
      <c r="AQ2071" s="1" t="s">
        <v>74</v>
      </c>
      <c r="AR2071" s="1" t="s">
        <v>33379</v>
      </c>
      <c r="AS2071" s="1" t="s">
        <v>33396</v>
      </c>
      <c r="AT2071" s="1" t="s">
        <v>1223</v>
      </c>
      <c r="AU2071" s="1">
        <v>2019</v>
      </c>
      <c r="AV2071" s="1">
        <v>34</v>
      </c>
      <c r="AW2071" s="1">
        <v>3</v>
      </c>
      <c r="AX2071" s="1" t="s">
        <v>74</v>
      </c>
      <c r="AY2071" s="1" t="s">
        <v>74</v>
      </c>
      <c r="AZ2071" s="1" t="s">
        <v>74</v>
      </c>
      <c r="BA2071" s="1" t="s">
        <v>74</v>
      </c>
      <c r="BB2071" s="1">
        <v>121</v>
      </c>
      <c r="BC2071" s="1">
        <v>145</v>
      </c>
      <c r="BD2071" s="1" t="s">
        <v>74</v>
      </c>
      <c r="BE2071" s="1" t="s">
        <v>33397</v>
      </c>
      <c r="BF2071" s="1" t="str">
        <f>HYPERLINK("http://dx.doi.org/10.2110/palo.2018.068","http://dx.doi.org/10.2110/palo.2018.068")</f>
        <v>http://dx.doi.org/10.2110/palo.2018.068</v>
      </c>
      <c r="BG2071" s="1" t="s">
        <v>74</v>
      </c>
      <c r="BH2071" s="1" t="s">
        <v>74</v>
      </c>
      <c r="BI2071" s="1">
        <v>25</v>
      </c>
      <c r="BJ2071" s="1" t="s">
        <v>33398</v>
      </c>
      <c r="BK2071" s="1" t="s">
        <v>96</v>
      </c>
      <c r="BL2071" s="1" t="s">
        <v>33398</v>
      </c>
      <c r="BM2071" s="1" t="s">
        <v>33399</v>
      </c>
      <c r="BN2071" s="1" t="s">
        <v>74</v>
      </c>
      <c r="BO2071" s="1" t="s">
        <v>2784</v>
      </c>
      <c r="BP2071" s="1" t="s">
        <v>74</v>
      </c>
      <c r="BQ2071" s="1" t="s">
        <v>74</v>
      </c>
      <c r="BR2071" s="1" t="s">
        <v>98</v>
      </c>
      <c r="BS2071" s="1" t="s">
        <v>33400</v>
      </c>
      <c r="BT2071" s="1" t="str">
        <f>HYPERLINK("https%3A%2F%2Fwww.webofscience.com%2Fwos%2Fwoscc%2Ffull-record%2FWOS:000462846100001","View Full Record in Web of Science")</f>
        <v>View Full Record in Web of Science</v>
      </c>
      <c r="BU2071" s="1"/>
      <c r="BV2071" s="1"/>
    </row>
    <row r="2072" spans="1:74">
      <c r="A2072" s="1" t="s">
        <v>72</v>
      </c>
      <c r="B2072" s="1" t="s">
        <v>33401</v>
      </c>
      <c r="C2072" s="1" t="s">
        <v>74</v>
      </c>
      <c r="D2072" s="1" t="s">
        <v>74</v>
      </c>
      <c r="E2072" s="1" t="s">
        <v>74</v>
      </c>
      <c r="F2072" s="1" t="s">
        <v>33401</v>
      </c>
      <c r="G2072" s="1" t="s">
        <v>74</v>
      </c>
      <c r="H2072" s="1" t="s">
        <v>74</v>
      </c>
      <c r="I2072" s="1" t="s">
        <v>33402</v>
      </c>
      <c r="J2072" s="1" t="s">
        <v>641</v>
      </c>
      <c r="K2072" s="1" t="s">
        <v>74</v>
      </c>
      <c r="L2072" s="1" t="s">
        <v>74</v>
      </c>
      <c r="M2072" s="1" t="s">
        <v>78</v>
      </c>
      <c r="N2072" s="1" t="s">
        <v>79</v>
      </c>
      <c r="O2072" s="1" t="s">
        <v>74</v>
      </c>
      <c r="P2072" s="1" t="s">
        <v>74</v>
      </c>
      <c r="Q2072" s="1" t="s">
        <v>74</v>
      </c>
      <c r="R2072" s="1" t="s">
        <v>74</v>
      </c>
      <c r="S2072" s="1" t="s">
        <v>74</v>
      </c>
      <c r="T2072" s="1" t="s">
        <v>33403</v>
      </c>
      <c r="U2072" s="1" t="s">
        <v>33404</v>
      </c>
      <c r="V2072" s="1" t="s">
        <v>33405</v>
      </c>
      <c r="W2072" s="1" t="s">
        <v>33406</v>
      </c>
      <c r="X2072" s="1" t="s">
        <v>3144</v>
      </c>
      <c r="Y2072" s="1" t="s">
        <v>33407</v>
      </c>
      <c r="Z2072" s="1" t="s">
        <v>74</v>
      </c>
      <c r="AA2072" s="1" t="s">
        <v>74</v>
      </c>
      <c r="AB2072" s="1" t="s">
        <v>74</v>
      </c>
      <c r="AC2072" s="1" t="s">
        <v>74</v>
      </c>
      <c r="AD2072" s="1" t="s">
        <v>74</v>
      </c>
      <c r="AE2072" s="1" t="s">
        <v>74</v>
      </c>
      <c r="AF2072" s="1" t="s">
        <v>74</v>
      </c>
      <c r="AG2072" s="1">
        <v>55</v>
      </c>
      <c r="AH2072" s="1">
        <v>7</v>
      </c>
      <c r="AI2072" s="1">
        <v>9</v>
      </c>
      <c r="AJ2072" s="1">
        <v>0</v>
      </c>
      <c r="AK2072" s="1">
        <v>6</v>
      </c>
      <c r="AL2072" s="1" t="s">
        <v>919</v>
      </c>
      <c r="AM2072" s="1" t="s">
        <v>651</v>
      </c>
      <c r="AN2072" s="1" t="s">
        <v>920</v>
      </c>
      <c r="AO2072" s="1" t="s">
        <v>653</v>
      </c>
      <c r="AP2072" s="1" t="s">
        <v>74</v>
      </c>
      <c r="AQ2072" s="1" t="s">
        <v>74</v>
      </c>
      <c r="AR2072" s="1" t="s">
        <v>655</v>
      </c>
      <c r="AS2072" s="1" t="s">
        <v>656</v>
      </c>
      <c r="AT2072" s="1" t="s">
        <v>197</v>
      </c>
      <c r="AU2072" s="1">
        <v>1998</v>
      </c>
      <c r="AV2072" s="1">
        <v>44</v>
      </c>
      <c r="AW2072" s="1" t="s">
        <v>326</v>
      </c>
      <c r="AX2072" s="1" t="s">
        <v>74</v>
      </c>
      <c r="AY2072" s="1" t="s">
        <v>74</v>
      </c>
      <c r="AZ2072" s="1" t="s">
        <v>74</v>
      </c>
      <c r="BA2072" s="1" t="s">
        <v>74</v>
      </c>
      <c r="BB2072" s="1">
        <v>93</v>
      </c>
      <c r="BC2072" s="1">
        <v>102</v>
      </c>
      <c r="BD2072" s="1" t="s">
        <v>74</v>
      </c>
      <c r="BE2072" s="1" t="s">
        <v>33408</v>
      </c>
      <c r="BF2072" s="1" t="str">
        <f>HYPERLINK("http://dx.doi.org/10.1016/S0166-445X(98)00068-X","http://dx.doi.org/10.1016/S0166-445X(98)00068-X")</f>
        <v>http://dx.doi.org/10.1016/S0166-445X(98)00068-X</v>
      </c>
      <c r="BG2072" s="1" t="s">
        <v>74</v>
      </c>
      <c r="BH2072" s="1" t="s">
        <v>74</v>
      </c>
      <c r="BI2072" s="1">
        <v>10</v>
      </c>
      <c r="BJ2072" s="1" t="s">
        <v>659</v>
      </c>
      <c r="BK2072" s="1" t="s">
        <v>96</v>
      </c>
      <c r="BL2072" s="1" t="s">
        <v>659</v>
      </c>
      <c r="BM2072" s="1" t="s">
        <v>33409</v>
      </c>
      <c r="BN2072" s="1" t="s">
        <v>74</v>
      </c>
      <c r="BO2072" s="1" t="s">
        <v>74</v>
      </c>
      <c r="BP2072" s="1" t="s">
        <v>74</v>
      </c>
      <c r="BQ2072" s="1" t="s">
        <v>74</v>
      </c>
      <c r="BR2072" s="1" t="s">
        <v>98</v>
      </c>
      <c r="BS2072" s="1" t="s">
        <v>33410</v>
      </c>
      <c r="BT2072" s="1" t="str">
        <f>HYPERLINK("https%3A%2F%2Fwww.webofscience.com%2Fwos%2Fwoscc%2Ffull-record%2FWOS:000077850300007","View Full Record in Web of Science")</f>
        <v>View Full Record in Web of Science</v>
      </c>
      <c r="BU2072" s="1"/>
      <c r="BV2072" s="1"/>
    </row>
    <row r="2073" spans="1:74">
      <c r="A2073" s="1" t="s">
        <v>72</v>
      </c>
      <c r="B2073" s="1" t="s">
        <v>33411</v>
      </c>
      <c r="C2073" s="1" t="s">
        <v>74</v>
      </c>
      <c r="D2073" s="1" t="s">
        <v>74</v>
      </c>
      <c r="E2073" s="1" t="s">
        <v>74</v>
      </c>
      <c r="F2073" s="1" t="s">
        <v>33411</v>
      </c>
      <c r="G2073" s="1" t="s">
        <v>74</v>
      </c>
      <c r="H2073" s="1" t="s">
        <v>74</v>
      </c>
      <c r="I2073" s="1" t="s">
        <v>33412</v>
      </c>
      <c r="J2073" s="1" t="s">
        <v>5141</v>
      </c>
      <c r="K2073" s="1" t="s">
        <v>74</v>
      </c>
      <c r="L2073" s="1" t="s">
        <v>74</v>
      </c>
      <c r="M2073" s="1" t="s">
        <v>78</v>
      </c>
      <c r="N2073" s="1" t="s">
        <v>79</v>
      </c>
      <c r="O2073" s="1" t="s">
        <v>74</v>
      </c>
      <c r="P2073" s="1" t="s">
        <v>74</v>
      </c>
      <c r="Q2073" s="1" t="s">
        <v>74</v>
      </c>
      <c r="R2073" s="1" t="s">
        <v>74</v>
      </c>
      <c r="S2073" s="1" t="s">
        <v>74</v>
      </c>
      <c r="T2073" s="1" t="s">
        <v>74</v>
      </c>
      <c r="U2073" s="1" t="s">
        <v>33413</v>
      </c>
      <c r="V2073" s="1" t="s">
        <v>33414</v>
      </c>
      <c r="W2073" s="1" t="s">
        <v>33415</v>
      </c>
      <c r="X2073" s="1" t="s">
        <v>33416</v>
      </c>
      <c r="Y2073" s="1" t="s">
        <v>11572</v>
      </c>
      <c r="Z2073" s="1" t="s">
        <v>74</v>
      </c>
      <c r="AA2073" s="1" t="s">
        <v>74</v>
      </c>
      <c r="AB2073" s="1" t="s">
        <v>74</v>
      </c>
      <c r="AC2073" s="1" t="s">
        <v>33417</v>
      </c>
      <c r="AD2073" s="1" t="s">
        <v>33418</v>
      </c>
      <c r="AE2073" s="1" t="s">
        <v>74</v>
      </c>
      <c r="AF2073" s="1" t="s">
        <v>74</v>
      </c>
      <c r="AG2073" s="1">
        <v>47</v>
      </c>
      <c r="AH2073" s="1">
        <v>69</v>
      </c>
      <c r="AI2073" s="1">
        <v>79</v>
      </c>
      <c r="AJ2073" s="1">
        <v>0</v>
      </c>
      <c r="AK2073" s="1">
        <v>14</v>
      </c>
      <c r="AL2073" s="1" t="s">
        <v>5154</v>
      </c>
      <c r="AM2073" s="1" t="s">
        <v>5155</v>
      </c>
      <c r="AN2073" s="1" t="s">
        <v>5156</v>
      </c>
      <c r="AO2073" s="1" t="s">
        <v>5157</v>
      </c>
      <c r="AP2073" s="1" t="s">
        <v>5158</v>
      </c>
      <c r="AQ2073" s="1" t="s">
        <v>74</v>
      </c>
      <c r="AR2073" s="1" t="s">
        <v>5159</v>
      </c>
      <c r="AS2073" s="1" t="s">
        <v>5160</v>
      </c>
      <c r="AT2073" s="1" t="s">
        <v>1470</v>
      </c>
      <c r="AU2073" s="1">
        <v>1991</v>
      </c>
      <c r="AV2073" s="1">
        <v>90</v>
      </c>
      <c r="AW2073" s="1" t="s">
        <v>74</v>
      </c>
      <c r="AX2073" s="1" t="s">
        <v>74</v>
      </c>
      <c r="AY2073" s="1" t="s">
        <v>74</v>
      </c>
      <c r="AZ2073" s="1" t="s">
        <v>74</v>
      </c>
      <c r="BA2073" s="1" t="s">
        <v>74</v>
      </c>
      <c r="BB2073" s="1">
        <v>53</v>
      </c>
      <c r="BC2073" s="1">
        <v>66</v>
      </c>
      <c r="BD2073" s="1" t="s">
        <v>74</v>
      </c>
      <c r="BE2073" s="1" t="s">
        <v>33419</v>
      </c>
      <c r="BF2073" s="1" t="str">
        <f>HYPERLINK("http://dx.doi.org/10.2307/3430845","http://dx.doi.org/10.2307/3430845")</f>
        <v>http://dx.doi.org/10.2307/3430845</v>
      </c>
      <c r="BG2073" s="1" t="s">
        <v>74</v>
      </c>
      <c r="BH2073" s="1" t="s">
        <v>74</v>
      </c>
      <c r="BI2073" s="1">
        <v>14</v>
      </c>
      <c r="BJ2073" s="1" t="s">
        <v>5162</v>
      </c>
      <c r="BK2073" s="1" t="s">
        <v>96</v>
      </c>
      <c r="BL2073" s="1" t="s">
        <v>5163</v>
      </c>
      <c r="BM2073" s="1" t="s">
        <v>33420</v>
      </c>
      <c r="BN2073" s="1">
        <v>2050083</v>
      </c>
      <c r="BO2073" s="1" t="s">
        <v>2155</v>
      </c>
      <c r="BP2073" s="1" t="s">
        <v>74</v>
      </c>
      <c r="BQ2073" s="1" t="s">
        <v>74</v>
      </c>
      <c r="BR2073" s="1" t="s">
        <v>98</v>
      </c>
      <c r="BS2073" s="1" t="s">
        <v>33421</v>
      </c>
      <c r="BT2073" s="1" t="str">
        <f>HYPERLINK("https%3A%2F%2Fwww.webofscience.com%2Fwos%2Fwoscc%2Ffull-record%2FWOS:A1991FD60300008","View Full Record in Web of Science")</f>
        <v>View Full Record in Web of Science</v>
      </c>
      <c r="BU2073" s="1"/>
      <c r="BV2073" s="1"/>
    </row>
    <row r="2074" spans="1:74">
      <c r="A2074" s="1" t="s">
        <v>72</v>
      </c>
      <c r="B2074" s="1" t="s">
        <v>33422</v>
      </c>
      <c r="C2074" s="1" t="s">
        <v>74</v>
      </c>
      <c r="D2074" s="1" t="s">
        <v>74</v>
      </c>
      <c r="E2074" s="1" t="s">
        <v>74</v>
      </c>
      <c r="F2074" s="1" t="s">
        <v>33423</v>
      </c>
      <c r="G2074" s="1" t="s">
        <v>74</v>
      </c>
      <c r="H2074" s="1" t="s">
        <v>74</v>
      </c>
      <c r="I2074" s="1" t="s">
        <v>33424</v>
      </c>
      <c r="J2074" s="1" t="s">
        <v>204</v>
      </c>
      <c r="K2074" s="1" t="s">
        <v>74</v>
      </c>
      <c r="L2074" s="1" t="s">
        <v>74</v>
      </c>
      <c r="M2074" s="1" t="s">
        <v>78</v>
      </c>
      <c r="N2074" s="1" t="s">
        <v>79</v>
      </c>
      <c r="O2074" s="1" t="s">
        <v>74</v>
      </c>
      <c r="P2074" s="1" t="s">
        <v>74</v>
      </c>
      <c r="Q2074" s="1" t="s">
        <v>74</v>
      </c>
      <c r="R2074" s="1" t="s">
        <v>74</v>
      </c>
      <c r="S2074" s="1" t="s">
        <v>74</v>
      </c>
      <c r="T2074" s="1" t="s">
        <v>33425</v>
      </c>
      <c r="U2074" s="1" t="s">
        <v>33426</v>
      </c>
      <c r="V2074" s="1" t="s">
        <v>33427</v>
      </c>
      <c r="W2074" s="1" t="s">
        <v>33428</v>
      </c>
      <c r="X2074" s="1" t="s">
        <v>33429</v>
      </c>
      <c r="Y2074" s="1" t="s">
        <v>33430</v>
      </c>
      <c r="Z2074" s="1" t="s">
        <v>33431</v>
      </c>
      <c r="AA2074" s="1" t="s">
        <v>33432</v>
      </c>
      <c r="AB2074" s="1" t="s">
        <v>33433</v>
      </c>
      <c r="AC2074" s="1" t="s">
        <v>33434</v>
      </c>
      <c r="AD2074" s="1" t="s">
        <v>33435</v>
      </c>
      <c r="AE2074" s="1" t="s">
        <v>33436</v>
      </c>
      <c r="AF2074" s="1" t="s">
        <v>74</v>
      </c>
      <c r="AG2074" s="1">
        <v>90</v>
      </c>
      <c r="AH2074" s="1">
        <v>25</v>
      </c>
      <c r="AI2074" s="1">
        <v>26</v>
      </c>
      <c r="AJ2074" s="1">
        <v>1</v>
      </c>
      <c r="AK2074" s="1">
        <v>48</v>
      </c>
      <c r="AL2074" s="1" t="s">
        <v>217</v>
      </c>
      <c r="AM2074" s="1" t="s">
        <v>218</v>
      </c>
      <c r="AN2074" s="1" t="s">
        <v>219</v>
      </c>
      <c r="AO2074" s="1" t="s">
        <v>220</v>
      </c>
      <c r="AP2074" s="1" t="s">
        <v>221</v>
      </c>
      <c r="AQ2074" s="1" t="s">
        <v>74</v>
      </c>
      <c r="AR2074" s="1" t="s">
        <v>222</v>
      </c>
      <c r="AS2074" s="1" t="s">
        <v>223</v>
      </c>
      <c r="AT2074" s="1" t="s">
        <v>197</v>
      </c>
      <c r="AU2074" s="1">
        <v>2017</v>
      </c>
      <c r="AV2074" s="1">
        <v>24</v>
      </c>
      <c r="AW2074" s="1">
        <v>35</v>
      </c>
      <c r="AX2074" s="1" t="s">
        <v>74</v>
      </c>
      <c r="AY2074" s="1" t="s">
        <v>74</v>
      </c>
      <c r="AZ2074" s="1" t="s">
        <v>74</v>
      </c>
      <c r="BA2074" s="1" t="s">
        <v>74</v>
      </c>
      <c r="BB2074" s="1">
        <v>27145</v>
      </c>
      <c r="BC2074" s="1">
        <v>27159</v>
      </c>
      <c r="BD2074" s="1" t="s">
        <v>74</v>
      </c>
      <c r="BE2074" s="1" t="s">
        <v>33437</v>
      </c>
      <c r="BF2074" s="1" t="str">
        <f>HYPERLINK("http://dx.doi.org/10.1007/s11356-017-0294-6","http://dx.doi.org/10.1007/s11356-017-0294-6")</f>
        <v>http://dx.doi.org/10.1007/s11356-017-0294-6</v>
      </c>
      <c r="BG2074" s="1" t="s">
        <v>74</v>
      </c>
      <c r="BH2074" s="1" t="s">
        <v>74</v>
      </c>
      <c r="BI2074" s="1">
        <v>15</v>
      </c>
      <c r="BJ2074" s="1" t="s">
        <v>144</v>
      </c>
      <c r="BK2074" s="1" t="s">
        <v>96</v>
      </c>
      <c r="BL2074" s="1" t="s">
        <v>145</v>
      </c>
      <c r="BM2074" s="1" t="s">
        <v>4958</v>
      </c>
      <c r="BN2074" s="1">
        <v>28963680</v>
      </c>
      <c r="BO2074" s="1" t="s">
        <v>74</v>
      </c>
      <c r="BP2074" s="1" t="s">
        <v>74</v>
      </c>
      <c r="BQ2074" s="1" t="s">
        <v>74</v>
      </c>
      <c r="BR2074" s="1" t="s">
        <v>98</v>
      </c>
      <c r="BS2074" s="1" t="s">
        <v>33438</v>
      </c>
      <c r="BT2074" s="1" t="str">
        <f>HYPERLINK("https%3A%2F%2Fwww.webofscience.com%2Fwos%2Fwoscc%2Ffull-record%2FWOS:000417545800022","View Full Record in Web of Science")</f>
        <v>View Full Record in Web of Science</v>
      </c>
      <c r="BU2074" s="1"/>
      <c r="BV2074" s="1"/>
    </row>
    <row r="2075" spans="1:74">
      <c r="A2075" s="1" t="s">
        <v>72</v>
      </c>
      <c r="B2075" s="1" t="s">
        <v>33439</v>
      </c>
      <c r="C2075" s="1" t="s">
        <v>74</v>
      </c>
      <c r="D2075" s="1" t="s">
        <v>74</v>
      </c>
      <c r="E2075" s="1" t="s">
        <v>74</v>
      </c>
      <c r="F2075" s="1" t="s">
        <v>33440</v>
      </c>
      <c r="G2075" s="1" t="s">
        <v>74</v>
      </c>
      <c r="H2075" s="1" t="s">
        <v>74</v>
      </c>
      <c r="I2075" s="1" t="s">
        <v>33441</v>
      </c>
      <c r="J2075" s="1" t="s">
        <v>5413</v>
      </c>
      <c r="K2075" s="1" t="s">
        <v>74</v>
      </c>
      <c r="L2075" s="1" t="s">
        <v>74</v>
      </c>
      <c r="M2075" s="1" t="s">
        <v>78</v>
      </c>
      <c r="N2075" s="1" t="s">
        <v>79</v>
      </c>
      <c r="O2075" s="1" t="s">
        <v>74</v>
      </c>
      <c r="P2075" s="1" t="s">
        <v>74</v>
      </c>
      <c r="Q2075" s="1" t="s">
        <v>74</v>
      </c>
      <c r="R2075" s="1" t="s">
        <v>74</v>
      </c>
      <c r="S2075" s="1" t="s">
        <v>74</v>
      </c>
      <c r="T2075" s="1" t="s">
        <v>33442</v>
      </c>
      <c r="U2075" s="1" t="s">
        <v>33443</v>
      </c>
      <c r="V2075" s="1" t="s">
        <v>33444</v>
      </c>
      <c r="W2075" s="1" t="s">
        <v>33445</v>
      </c>
      <c r="X2075" s="1" t="s">
        <v>33446</v>
      </c>
      <c r="Y2075" s="1" t="s">
        <v>33447</v>
      </c>
      <c r="Z2075" s="1" t="s">
        <v>33448</v>
      </c>
      <c r="AA2075" s="1" t="s">
        <v>33449</v>
      </c>
      <c r="AB2075" s="1" t="s">
        <v>33450</v>
      </c>
      <c r="AC2075" s="1" t="s">
        <v>74</v>
      </c>
      <c r="AD2075" s="1" t="s">
        <v>74</v>
      </c>
      <c r="AE2075" s="1" t="s">
        <v>74</v>
      </c>
      <c r="AF2075" s="1" t="s">
        <v>74</v>
      </c>
      <c r="AG2075" s="1">
        <v>80</v>
      </c>
      <c r="AH2075" s="1">
        <v>13</v>
      </c>
      <c r="AI2075" s="1">
        <v>13</v>
      </c>
      <c r="AJ2075" s="1">
        <v>12</v>
      </c>
      <c r="AK2075" s="1">
        <v>42</v>
      </c>
      <c r="AL2075" s="1" t="s">
        <v>650</v>
      </c>
      <c r="AM2075" s="1" t="s">
        <v>651</v>
      </c>
      <c r="AN2075" s="1" t="s">
        <v>652</v>
      </c>
      <c r="AO2075" s="1" t="s">
        <v>5426</v>
      </c>
      <c r="AP2075" s="1" t="s">
        <v>5427</v>
      </c>
      <c r="AQ2075" s="1" t="s">
        <v>74</v>
      </c>
      <c r="AR2075" s="1" t="s">
        <v>5428</v>
      </c>
      <c r="AS2075" s="1" t="s">
        <v>5429</v>
      </c>
      <c r="AT2075" s="1" t="s">
        <v>142</v>
      </c>
      <c r="AU2075" s="1">
        <v>2023</v>
      </c>
      <c r="AV2075" s="1">
        <v>100</v>
      </c>
      <c r="AW2075" s="1" t="s">
        <v>74</v>
      </c>
      <c r="AX2075" s="1" t="s">
        <v>74</v>
      </c>
      <c r="AY2075" s="1" t="s">
        <v>74</v>
      </c>
      <c r="AZ2075" s="1" t="s">
        <v>74</v>
      </c>
      <c r="BA2075" s="1" t="s">
        <v>74</v>
      </c>
      <c r="BB2075" s="1" t="s">
        <v>74</v>
      </c>
      <c r="BC2075" s="1" t="s">
        <v>74</v>
      </c>
      <c r="BD2075" s="1">
        <v>104146</v>
      </c>
      <c r="BE2075" s="1" t="s">
        <v>33451</v>
      </c>
      <c r="BF2075" s="1" t="str">
        <f>HYPERLINK("http://dx.doi.org/10.1016/j.etap.2023.104146","http://dx.doi.org/10.1016/j.etap.2023.104146")</f>
        <v>http://dx.doi.org/10.1016/j.etap.2023.104146</v>
      </c>
      <c r="BG2075" s="1" t="s">
        <v>74</v>
      </c>
      <c r="BH2075" s="1" t="s">
        <v>2259</v>
      </c>
      <c r="BI2075" s="1">
        <v>7</v>
      </c>
      <c r="BJ2075" s="1" t="s">
        <v>5431</v>
      </c>
      <c r="BK2075" s="1" t="s">
        <v>96</v>
      </c>
      <c r="BL2075" s="1" t="s">
        <v>5432</v>
      </c>
      <c r="BM2075" s="1" t="s">
        <v>33452</v>
      </c>
      <c r="BN2075" s="1">
        <v>37164218</v>
      </c>
      <c r="BO2075" s="1" t="s">
        <v>476</v>
      </c>
      <c r="BP2075" s="1" t="s">
        <v>74</v>
      </c>
      <c r="BQ2075" s="1" t="s">
        <v>74</v>
      </c>
      <c r="BR2075" s="1" t="s">
        <v>98</v>
      </c>
      <c r="BS2075" s="1" t="s">
        <v>33453</v>
      </c>
      <c r="BT2075" s="1" t="str">
        <f>HYPERLINK("https%3A%2F%2Fwww.webofscience.com%2Fwos%2Fwoscc%2Ffull-record%2FWOS:001001813800001","View Full Record in Web of Science")</f>
        <v>View Full Record in Web of Science</v>
      </c>
      <c r="BU2075" s="1"/>
      <c r="BV2075" s="1"/>
    </row>
    <row r="2076" spans="1:74">
      <c r="A2076" s="1" t="s">
        <v>72</v>
      </c>
      <c r="B2076" s="1" t="s">
        <v>33454</v>
      </c>
      <c r="C2076" s="1" t="s">
        <v>74</v>
      </c>
      <c r="D2076" s="1" t="s">
        <v>74</v>
      </c>
      <c r="E2076" s="1" t="s">
        <v>74</v>
      </c>
      <c r="F2076" s="1" t="s">
        <v>33455</v>
      </c>
      <c r="G2076" s="1" t="s">
        <v>74</v>
      </c>
      <c r="H2076" s="1" t="s">
        <v>74</v>
      </c>
      <c r="I2076" s="1" t="s">
        <v>33456</v>
      </c>
      <c r="J2076" s="1" t="s">
        <v>204</v>
      </c>
      <c r="K2076" s="1" t="s">
        <v>74</v>
      </c>
      <c r="L2076" s="1" t="s">
        <v>74</v>
      </c>
      <c r="M2076" s="1" t="s">
        <v>78</v>
      </c>
      <c r="N2076" s="1" t="s">
        <v>79</v>
      </c>
      <c r="O2076" s="1" t="s">
        <v>74</v>
      </c>
      <c r="P2076" s="1" t="s">
        <v>74</v>
      </c>
      <c r="Q2076" s="1" t="s">
        <v>74</v>
      </c>
      <c r="R2076" s="1" t="s">
        <v>74</v>
      </c>
      <c r="S2076" s="1" t="s">
        <v>74</v>
      </c>
      <c r="T2076" s="1" t="s">
        <v>33457</v>
      </c>
      <c r="U2076" s="1" t="s">
        <v>33458</v>
      </c>
      <c r="V2076" s="1" t="s">
        <v>33459</v>
      </c>
      <c r="W2076" s="1" t="s">
        <v>33460</v>
      </c>
      <c r="X2076" s="1" t="s">
        <v>33461</v>
      </c>
      <c r="Y2076" s="1" t="s">
        <v>33462</v>
      </c>
      <c r="Z2076" s="1" t="s">
        <v>33463</v>
      </c>
      <c r="AA2076" s="1" t="s">
        <v>33464</v>
      </c>
      <c r="AB2076" s="1" t="s">
        <v>33465</v>
      </c>
      <c r="AC2076" s="1" t="s">
        <v>33466</v>
      </c>
      <c r="AD2076" s="1" t="s">
        <v>33467</v>
      </c>
      <c r="AE2076" s="1" t="s">
        <v>33468</v>
      </c>
      <c r="AF2076" s="1" t="s">
        <v>74</v>
      </c>
      <c r="AG2076" s="1">
        <v>81</v>
      </c>
      <c r="AH2076" s="1">
        <v>7</v>
      </c>
      <c r="AI2076" s="1">
        <v>8</v>
      </c>
      <c r="AJ2076" s="1">
        <v>2</v>
      </c>
      <c r="AK2076" s="1">
        <v>17</v>
      </c>
      <c r="AL2076" s="1" t="s">
        <v>217</v>
      </c>
      <c r="AM2076" s="1" t="s">
        <v>218</v>
      </c>
      <c r="AN2076" s="1" t="s">
        <v>219</v>
      </c>
      <c r="AO2076" s="1" t="s">
        <v>220</v>
      </c>
      <c r="AP2076" s="1" t="s">
        <v>221</v>
      </c>
      <c r="AQ2076" s="1" t="s">
        <v>74</v>
      </c>
      <c r="AR2076" s="1" t="s">
        <v>222</v>
      </c>
      <c r="AS2076" s="1" t="s">
        <v>223</v>
      </c>
      <c r="AT2076" s="1" t="s">
        <v>93</v>
      </c>
      <c r="AU2076" s="1">
        <v>2019</v>
      </c>
      <c r="AV2076" s="1">
        <v>26</v>
      </c>
      <c r="AW2076" s="1">
        <v>11</v>
      </c>
      <c r="AX2076" s="1" t="s">
        <v>74</v>
      </c>
      <c r="AY2076" s="1" t="s">
        <v>74</v>
      </c>
      <c r="AZ2076" s="1" t="s">
        <v>74</v>
      </c>
      <c r="BA2076" s="1" t="s">
        <v>74</v>
      </c>
      <c r="BB2076" s="1">
        <v>11342</v>
      </c>
      <c r="BC2076" s="1">
        <v>11354</v>
      </c>
      <c r="BD2076" s="1" t="s">
        <v>74</v>
      </c>
      <c r="BE2076" s="1" t="s">
        <v>33469</v>
      </c>
      <c r="BF2076" s="1" t="str">
        <f>HYPERLINK("http://dx.doi.org/10.1007/s11356-019-04564-w","http://dx.doi.org/10.1007/s11356-019-04564-w")</f>
        <v>http://dx.doi.org/10.1007/s11356-019-04564-w</v>
      </c>
      <c r="BG2076" s="1" t="s">
        <v>74</v>
      </c>
      <c r="BH2076" s="1" t="s">
        <v>74</v>
      </c>
      <c r="BI2076" s="1">
        <v>13</v>
      </c>
      <c r="BJ2076" s="1" t="s">
        <v>144</v>
      </c>
      <c r="BK2076" s="1" t="s">
        <v>96</v>
      </c>
      <c r="BL2076" s="1" t="s">
        <v>145</v>
      </c>
      <c r="BM2076" s="1" t="s">
        <v>33470</v>
      </c>
      <c r="BN2076" s="1">
        <v>30798497</v>
      </c>
      <c r="BO2076" s="1" t="s">
        <v>370</v>
      </c>
      <c r="BP2076" s="1" t="s">
        <v>74</v>
      </c>
      <c r="BQ2076" s="1" t="s">
        <v>74</v>
      </c>
      <c r="BR2076" s="1" t="s">
        <v>98</v>
      </c>
      <c r="BS2076" s="1" t="s">
        <v>33471</v>
      </c>
      <c r="BT2076" s="1" t="str">
        <f>HYPERLINK("https%3A%2F%2Fwww.webofscience.com%2Fwos%2Fwoscc%2Ffull-record%2FWOS:000464854500076","View Full Record in Web of Science")</f>
        <v>View Full Record in Web of Science</v>
      </c>
      <c r="BU2076" s="1"/>
      <c r="BV2076" s="1"/>
    </row>
    <row r="2077" spans="1:74">
      <c r="A2077" s="1" t="s">
        <v>72</v>
      </c>
      <c r="B2077" s="1" t="s">
        <v>33472</v>
      </c>
      <c r="C2077" s="1" t="s">
        <v>74</v>
      </c>
      <c r="D2077" s="1" t="s">
        <v>74</v>
      </c>
      <c r="E2077" s="1" t="s">
        <v>74</v>
      </c>
      <c r="F2077" s="1" t="s">
        <v>33473</v>
      </c>
      <c r="G2077" s="1" t="s">
        <v>74</v>
      </c>
      <c r="H2077" s="1" t="s">
        <v>74</v>
      </c>
      <c r="I2077" s="1" t="s">
        <v>33474</v>
      </c>
      <c r="J2077" s="1" t="s">
        <v>232</v>
      </c>
      <c r="K2077" s="1" t="s">
        <v>74</v>
      </c>
      <c r="L2077" s="1" t="s">
        <v>74</v>
      </c>
      <c r="M2077" s="1" t="s">
        <v>78</v>
      </c>
      <c r="N2077" s="1" t="s">
        <v>79</v>
      </c>
      <c r="O2077" s="1" t="s">
        <v>74</v>
      </c>
      <c r="P2077" s="1" t="s">
        <v>74</v>
      </c>
      <c r="Q2077" s="1" t="s">
        <v>74</v>
      </c>
      <c r="R2077" s="1" t="s">
        <v>74</v>
      </c>
      <c r="S2077" s="1" t="s">
        <v>74</v>
      </c>
      <c r="T2077" s="1" t="s">
        <v>33475</v>
      </c>
      <c r="U2077" s="1" t="s">
        <v>33476</v>
      </c>
      <c r="V2077" s="1" t="s">
        <v>33477</v>
      </c>
      <c r="W2077" s="1" t="s">
        <v>33478</v>
      </c>
      <c r="X2077" s="1" t="s">
        <v>33479</v>
      </c>
      <c r="Y2077" s="1" t="s">
        <v>33480</v>
      </c>
      <c r="Z2077" s="1" t="s">
        <v>8840</v>
      </c>
      <c r="AA2077" s="1" t="s">
        <v>33481</v>
      </c>
      <c r="AB2077" s="1" t="s">
        <v>33482</v>
      </c>
      <c r="AC2077" s="1" t="s">
        <v>33483</v>
      </c>
      <c r="AD2077" s="1" t="s">
        <v>33484</v>
      </c>
      <c r="AE2077" s="1" t="s">
        <v>33485</v>
      </c>
      <c r="AF2077" s="1" t="s">
        <v>74</v>
      </c>
      <c r="AG2077" s="1">
        <v>11</v>
      </c>
      <c r="AH2077" s="1">
        <v>22</v>
      </c>
      <c r="AI2077" s="1">
        <v>25</v>
      </c>
      <c r="AJ2077" s="1">
        <v>1</v>
      </c>
      <c r="AK2077" s="1">
        <v>31</v>
      </c>
      <c r="AL2077" s="1" t="s">
        <v>136</v>
      </c>
      <c r="AM2077" s="1" t="s">
        <v>137</v>
      </c>
      <c r="AN2077" s="1" t="s">
        <v>138</v>
      </c>
      <c r="AO2077" s="1" t="s">
        <v>240</v>
      </c>
      <c r="AP2077" s="1" t="s">
        <v>241</v>
      </c>
      <c r="AQ2077" s="1" t="s">
        <v>74</v>
      </c>
      <c r="AR2077" s="1" t="s">
        <v>242</v>
      </c>
      <c r="AS2077" s="1" t="s">
        <v>243</v>
      </c>
      <c r="AT2077" s="1" t="s">
        <v>74</v>
      </c>
      <c r="AU2077" s="1">
        <v>2011</v>
      </c>
      <c r="AV2077" s="1">
        <v>63</v>
      </c>
      <c r="AW2077" s="1" t="s">
        <v>9881</v>
      </c>
      <c r="AX2077" s="1" t="s">
        <v>74</v>
      </c>
      <c r="AY2077" s="1" t="s">
        <v>74</v>
      </c>
      <c r="AZ2077" s="1" t="s">
        <v>225</v>
      </c>
      <c r="BA2077" s="1" t="s">
        <v>74</v>
      </c>
      <c r="BB2077" s="1">
        <v>149</v>
      </c>
      <c r="BC2077" s="1">
        <v>153</v>
      </c>
      <c r="BD2077" s="1" t="s">
        <v>74</v>
      </c>
      <c r="BE2077" s="1" t="s">
        <v>33486</v>
      </c>
      <c r="BF2077" s="1" t="str">
        <f>HYPERLINK("http://dx.doi.org/10.1016/j.marpolbul.2010.12.007","http://dx.doi.org/10.1016/j.marpolbul.2010.12.007")</f>
        <v>http://dx.doi.org/10.1016/j.marpolbul.2010.12.007</v>
      </c>
      <c r="BG2077" s="1" t="s">
        <v>74</v>
      </c>
      <c r="BH2077" s="1" t="s">
        <v>74</v>
      </c>
      <c r="BI2077" s="1">
        <v>5</v>
      </c>
      <c r="BJ2077" s="1" t="s">
        <v>247</v>
      </c>
      <c r="BK2077" s="1" t="s">
        <v>96</v>
      </c>
      <c r="BL2077" s="1" t="s">
        <v>248</v>
      </c>
      <c r="BM2077" s="1" t="s">
        <v>9883</v>
      </c>
      <c r="BN2077" s="1">
        <v>21237472</v>
      </c>
      <c r="BO2077" s="1" t="s">
        <v>74</v>
      </c>
      <c r="BP2077" s="1" t="s">
        <v>74</v>
      </c>
      <c r="BQ2077" s="1" t="s">
        <v>74</v>
      </c>
      <c r="BR2077" s="1" t="s">
        <v>98</v>
      </c>
      <c r="BS2077" s="1" t="s">
        <v>33487</v>
      </c>
      <c r="BT2077" s="1" t="str">
        <f>HYPERLINK("https%3A%2F%2Fwww.webofscience.com%2Fwos%2Fwoscc%2Ffull-record%2FWOS:000294092700013","View Full Record in Web of Science")</f>
        <v>View Full Record in Web of Science</v>
      </c>
      <c r="BU2077" s="1"/>
      <c r="BV2077" s="1"/>
    </row>
    <row r="2078" spans="1:74">
      <c r="A2078" s="1" t="s">
        <v>72</v>
      </c>
      <c r="B2078" s="1" t="s">
        <v>33488</v>
      </c>
      <c r="C2078" s="1" t="s">
        <v>74</v>
      </c>
      <c r="D2078" s="1" t="s">
        <v>74</v>
      </c>
      <c r="E2078" s="1" t="s">
        <v>74</v>
      </c>
      <c r="F2078" s="1" t="s">
        <v>33488</v>
      </c>
      <c r="G2078" s="1" t="s">
        <v>74</v>
      </c>
      <c r="H2078" s="1" t="s">
        <v>74</v>
      </c>
      <c r="I2078" s="1" t="s">
        <v>33489</v>
      </c>
      <c r="J2078" s="1" t="s">
        <v>3349</v>
      </c>
      <c r="K2078" s="1" t="s">
        <v>74</v>
      </c>
      <c r="L2078" s="1" t="s">
        <v>74</v>
      </c>
      <c r="M2078" s="1" t="s">
        <v>78</v>
      </c>
      <c r="N2078" s="1" t="s">
        <v>79</v>
      </c>
      <c r="O2078" s="1" t="s">
        <v>74</v>
      </c>
      <c r="P2078" s="1" t="s">
        <v>74</v>
      </c>
      <c r="Q2078" s="1" t="s">
        <v>74</v>
      </c>
      <c r="R2078" s="1" t="s">
        <v>74</v>
      </c>
      <c r="S2078" s="1" t="s">
        <v>74</v>
      </c>
      <c r="T2078" s="1" t="s">
        <v>33490</v>
      </c>
      <c r="U2078" s="1" t="s">
        <v>33491</v>
      </c>
      <c r="V2078" s="1" t="s">
        <v>33492</v>
      </c>
      <c r="W2078" s="1" t="s">
        <v>33493</v>
      </c>
      <c r="X2078" s="1" t="s">
        <v>3157</v>
      </c>
      <c r="Y2078" s="1" t="s">
        <v>33494</v>
      </c>
      <c r="Z2078" s="1" t="s">
        <v>30655</v>
      </c>
      <c r="AA2078" s="1" t="s">
        <v>74</v>
      </c>
      <c r="AB2078" s="1" t="s">
        <v>18035</v>
      </c>
      <c r="AC2078" s="1" t="s">
        <v>74</v>
      </c>
      <c r="AD2078" s="1" t="s">
        <v>74</v>
      </c>
      <c r="AE2078" s="1" t="s">
        <v>74</v>
      </c>
      <c r="AF2078" s="1" t="s">
        <v>74</v>
      </c>
      <c r="AG2078" s="1">
        <v>51</v>
      </c>
      <c r="AH2078" s="1">
        <v>65</v>
      </c>
      <c r="AI2078" s="1">
        <v>83</v>
      </c>
      <c r="AJ2078" s="1">
        <v>0</v>
      </c>
      <c r="AK2078" s="1">
        <v>13</v>
      </c>
      <c r="AL2078" s="1" t="s">
        <v>3362</v>
      </c>
      <c r="AM2078" s="1" t="s">
        <v>3363</v>
      </c>
      <c r="AN2078" s="1" t="s">
        <v>3364</v>
      </c>
      <c r="AO2078" s="1" t="s">
        <v>3365</v>
      </c>
      <c r="AP2078" s="1" t="s">
        <v>3366</v>
      </c>
      <c r="AQ2078" s="1" t="s">
        <v>74</v>
      </c>
      <c r="AR2078" s="1" t="s">
        <v>3367</v>
      </c>
      <c r="AS2078" s="1" t="s">
        <v>3368</v>
      </c>
      <c r="AT2078" s="1" t="s">
        <v>142</v>
      </c>
      <c r="AU2078" s="1">
        <v>2005</v>
      </c>
      <c r="AV2078" s="1">
        <v>61</v>
      </c>
      <c r="AW2078" s="1">
        <v>2</v>
      </c>
      <c r="AX2078" s="1" t="s">
        <v>74</v>
      </c>
      <c r="AY2078" s="1" t="s">
        <v>74</v>
      </c>
      <c r="AZ2078" s="1" t="s">
        <v>74</v>
      </c>
      <c r="BA2078" s="1" t="s">
        <v>74</v>
      </c>
      <c r="BB2078" s="1">
        <v>209</v>
      </c>
      <c r="BC2078" s="1">
        <v>220</v>
      </c>
      <c r="BD2078" s="1" t="s">
        <v>74</v>
      </c>
      <c r="BE2078" s="1" t="s">
        <v>33495</v>
      </c>
      <c r="BF2078" s="1" t="str">
        <f>HYPERLINK("http://dx.doi.org/10.1016/j.ecoenv.2005.01.004","http://dx.doi.org/10.1016/j.ecoenv.2005.01.004")</f>
        <v>http://dx.doi.org/10.1016/j.ecoenv.2005.01.004</v>
      </c>
      <c r="BG2078" s="1" t="s">
        <v>74</v>
      </c>
      <c r="BH2078" s="1" t="s">
        <v>74</v>
      </c>
      <c r="BI2078" s="1">
        <v>12</v>
      </c>
      <c r="BJ2078" s="1" t="s">
        <v>121</v>
      </c>
      <c r="BK2078" s="1" t="s">
        <v>96</v>
      </c>
      <c r="BL2078" s="1" t="s">
        <v>122</v>
      </c>
      <c r="BM2078" s="1" t="s">
        <v>10516</v>
      </c>
      <c r="BN2078" s="1">
        <v>15883092</v>
      </c>
      <c r="BO2078" s="1" t="s">
        <v>74</v>
      </c>
      <c r="BP2078" s="1" t="s">
        <v>74</v>
      </c>
      <c r="BQ2078" s="1" t="s">
        <v>74</v>
      </c>
      <c r="BR2078" s="1" t="s">
        <v>98</v>
      </c>
      <c r="BS2078" s="1" t="s">
        <v>33496</v>
      </c>
      <c r="BT2078" s="1" t="str">
        <f>HYPERLINK("https%3A%2F%2Fwww.webofscience.com%2Fwos%2Fwoscc%2Ffull-record%2FWOS:000229385800006","View Full Record in Web of Science")</f>
        <v>View Full Record in Web of Science</v>
      </c>
      <c r="BU2078" s="1"/>
      <c r="BV2078" s="1"/>
    </row>
    <row r="2079" spans="1:74">
      <c r="A2079" s="1" t="s">
        <v>72</v>
      </c>
      <c r="B2079" s="1" t="s">
        <v>33497</v>
      </c>
      <c r="C2079" s="1" t="s">
        <v>74</v>
      </c>
      <c r="D2079" s="1" t="s">
        <v>74</v>
      </c>
      <c r="E2079" s="1" t="s">
        <v>74</v>
      </c>
      <c r="F2079" s="1" t="s">
        <v>33497</v>
      </c>
      <c r="G2079" s="1" t="s">
        <v>74</v>
      </c>
      <c r="H2079" s="1" t="s">
        <v>74</v>
      </c>
      <c r="I2079" s="1" t="s">
        <v>33498</v>
      </c>
      <c r="J2079" s="1" t="s">
        <v>127</v>
      </c>
      <c r="K2079" s="1" t="s">
        <v>74</v>
      </c>
      <c r="L2079" s="1" t="s">
        <v>74</v>
      </c>
      <c r="M2079" s="1" t="s">
        <v>78</v>
      </c>
      <c r="N2079" s="1" t="s">
        <v>79</v>
      </c>
      <c r="O2079" s="1" t="s">
        <v>74</v>
      </c>
      <c r="P2079" s="1" t="s">
        <v>74</v>
      </c>
      <c r="Q2079" s="1" t="s">
        <v>74</v>
      </c>
      <c r="R2079" s="1" t="s">
        <v>74</v>
      </c>
      <c r="S2079" s="1" t="s">
        <v>74</v>
      </c>
      <c r="T2079" s="1" t="s">
        <v>33499</v>
      </c>
      <c r="U2079" s="1" t="s">
        <v>33500</v>
      </c>
      <c r="V2079" s="1" t="s">
        <v>33501</v>
      </c>
      <c r="W2079" s="1" t="s">
        <v>33502</v>
      </c>
      <c r="X2079" s="1" t="s">
        <v>33503</v>
      </c>
      <c r="Y2079" s="1" t="s">
        <v>33504</v>
      </c>
      <c r="Z2079" s="1" t="s">
        <v>33505</v>
      </c>
      <c r="AA2079" s="1" t="s">
        <v>33506</v>
      </c>
      <c r="AB2079" s="1" t="s">
        <v>33507</v>
      </c>
      <c r="AC2079" s="1" t="s">
        <v>74</v>
      </c>
      <c r="AD2079" s="1" t="s">
        <v>74</v>
      </c>
      <c r="AE2079" s="1" t="s">
        <v>74</v>
      </c>
      <c r="AF2079" s="1" t="s">
        <v>74</v>
      </c>
      <c r="AG2079" s="1">
        <v>58</v>
      </c>
      <c r="AH2079" s="1">
        <v>74</v>
      </c>
      <c r="AI2079" s="1">
        <v>85</v>
      </c>
      <c r="AJ2079" s="1">
        <v>0</v>
      </c>
      <c r="AK2079" s="1">
        <v>11</v>
      </c>
      <c r="AL2079" s="1" t="s">
        <v>136</v>
      </c>
      <c r="AM2079" s="1" t="s">
        <v>137</v>
      </c>
      <c r="AN2079" s="1" t="s">
        <v>138</v>
      </c>
      <c r="AO2079" s="1" t="s">
        <v>139</v>
      </c>
      <c r="AP2079" s="1" t="s">
        <v>140</v>
      </c>
      <c r="AQ2079" s="1" t="s">
        <v>74</v>
      </c>
      <c r="AR2079" s="1" t="s">
        <v>127</v>
      </c>
      <c r="AS2079" s="1" t="s">
        <v>141</v>
      </c>
      <c r="AT2079" s="1" t="s">
        <v>170</v>
      </c>
      <c r="AU2079" s="1">
        <v>2002</v>
      </c>
      <c r="AV2079" s="1">
        <v>47</v>
      </c>
      <c r="AW2079" s="1">
        <v>5</v>
      </c>
      <c r="AX2079" s="1" t="s">
        <v>74</v>
      </c>
      <c r="AY2079" s="1" t="s">
        <v>74</v>
      </c>
      <c r="AZ2079" s="1" t="s">
        <v>74</v>
      </c>
      <c r="BA2079" s="1" t="s">
        <v>74</v>
      </c>
      <c r="BB2079" s="1">
        <v>485</v>
      </c>
      <c r="BC2079" s="1">
        <v>497</v>
      </c>
      <c r="BD2079" s="1" t="s">
        <v>33508</v>
      </c>
      <c r="BE2079" s="1" t="s">
        <v>33509</v>
      </c>
      <c r="BF2079" s="1" t="str">
        <f>HYPERLINK("http://dx.doi.org/10.1016/S0045-6535(01)00323-X","http://dx.doi.org/10.1016/S0045-6535(01)00323-X")</f>
        <v>http://dx.doi.org/10.1016/S0045-6535(01)00323-X</v>
      </c>
      <c r="BG2079" s="1" t="s">
        <v>74</v>
      </c>
      <c r="BH2079" s="1" t="s">
        <v>74</v>
      </c>
      <c r="BI2079" s="1">
        <v>13</v>
      </c>
      <c r="BJ2079" s="1" t="s">
        <v>144</v>
      </c>
      <c r="BK2079" s="1" t="s">
        <v>96</v>
      </c>
      <c r="BL2079" s="1" t="s">
        <v>145</v>
      </c>
      <c r="BM2079" s="1" t="s">
        <v>33510</v>
      </c>
      <c r="BN2079" s="1">
        <v>11996124</v>
      </c>
      <c r="BO2079" s="1" t="s">
        <v>74</v>
      </c>
      <c r="BP2079" s="1" t="s">
        <v>74</v>
      </c>
      <c r="BQ2079" s="1" t="s">
        <v>74</v>
      </c>
      <c r="BR2079" s="1" t="s">
        <v>98</v>
      </c>
      <c r="BS2079" s="1" t="s">
        <v>33511</v>
      </c>
      <c r="BT2079" s="1" t="str">
        <f>HYPERLINK("https%3A%2F%2Fwww.webofscience.com%2Fwos%2Fwoscc%2Ffull-record%2FWOS:000175339500003","View Full Record in Web of Science")</f>
        <v>View Full Record in Web of Science</v>
      </c>
      <c r="BU2079" s="1"/>
      <c r="BV2079" s="1"/>
    </row>
    <row r="2080" spans="1:74">
      <c r="A2080" s="1" t="s">
        <v>72</v>
      </c>
      <c r="B2080" s="1" t="s">
        <v>33512</v>
      </c>
      <c r="C2080" s="1" t="s">
        <v>74</v>
      </c>
      <c r="D2080" s="1" t="s">
        <v>74</v>
      </c>
      <c r="E2080" s="1" t="s">
        <v>74</v>
      </c>
      <c r="F2080" s="1" t="s">
        <v>33513</v>
      </c>
      <c r="G2080" s="1" t="s">
        <v>74</v>
      </c>
      <c r="H2080" s="1" t="s">
        <v>74</v>
      </c>
      <c r="I2080" s="1" t="s">
        <v>33514</v>
      </c>
      <c r="J2080" s="1" t="s">
        <v>179</v>
      </c>
      <c r="K2080" s="1" t="s">
        <v>74</v>
      </c>
      <c r="L2080" s="1" t="s">
        <v>74</v>
      </c>
      <c r="M2080" s="1" t="s">
        <v>78</v>
      </c>
      <c r="N2080" s="1" t="s">
        <v>79</v>
      </c>
      <c r="O2080" s="1" t="s">
        <v>74</v>
      </c>
      <c r="P2080" s="1" t="s">
        <v>74</v>
      </c>
      <c r="Q2080" s="1" t="s">
        <v>74</v>
      </c>
      <c r="R2080" s="1" t="s">
        <v>74</v>
      </c>
      <c r="S2080" s="1" t="s">
        <v>74</v>
      </c>
      <c r="T2080" s="1" t="s">
        <v>33515</v>
      </c>
      <c r="U2080" s="1" t="s">
        <v>33516</v>
      </c>
      <c r="V2080" s="1" t="s">
        <v>33517</v>
      </c>
      <c r="W2080" s="1" t="s">
        <v>33518</v>
      </c>
      <c r="X2080" s="1" t="s">
        <v>30390</v>
      </c>
      <c r="Y2080" s="1" t="s">
        <v>33519</v>
      </c>
      <c r="Z2080" s="1" t="s">
        <v>30392</v>
      </c>
      <c r="AA2080" s="1" t="s">
        <v>33520</v>
      </c>
      <c r="AB2080" s="1" t="s">
        <v>74</v>
      </c>
      <c r="AC2080" s="1" t="s">
        <v>2757</v>
      </c>
      <c r="AD2080" s="1" t="s">
        <v>2757</v>
      </c>
      <c r="AE2080" s="1" t="s">
        <v>33521</v>
      </c>
      <c r="AF2080" s="1" t="s">
        <v>74</v>
      </c>
      <c r="AG2080" s="1">
        <v>60</v>
      </c>
      <c r="AH2080" s="1">
        <v>8</v>
      </c>
      <c r="AI2080" s="1">
        <v>8</v>
      </c>
      <c r="AJ2080" s="1">
        <v>1</v>
      </c>
      <c r="AK2080" s="1">
        <v>15</v>
      </c>
      <c r="AL2080" s="1" t="s">
        <v>112</v>
      </c>
      <c r="AM2080" s="1" t="s">
        <v>191</v>
      </c>
      <c r="AN2080" s="1" t="s">
        <v>192</v>
      </c>
      <c r="AO2080" s="1" t="s">
        <v>193</v>
      </c>
      <c r="AP2080" s="1" t="s">
        <v>194</v>
      </c>
      <c r="AQ2080" s="1" t="s">
        <v>74</v>
      </c>
      <c r="AR2080" s="1" t="s">
        <v>195</v>
      </c>
      <c r="AS2080" s="1" t="s">
        <v>196</v>
      </c>
      <c r="AT2080" s="1" t="s">
        <v>33522</v>
      </c>
      <c r="AU2080" s="1">
        <v>2021</v>
      </c>
      <c r="AV2080" s="1">
        <v>193</v>
      </c>
      <c r="AW2080" s="1">
        <v>1</v>
      </c>
      <c r="AX2080" s="1" t="s">
        <v>74</v>
      </c>
      <c r="AY2080" s="1" t="s">
        <v>74</v>
      </c>
      <c r="AZ2080" s="1" t="s">
        <v>74</v>
      </c>
      <c r="BA2080" s="1" t="s">
        <v>74</v>
      </c>
      <c r="BB2080" s="1" t="s">
        <v>74</v>
      </c>
      <c r="BC2080" s="1" t="s">
        <v>74</v>
      </c>
      <c r="BD2080" s="1">
        <v>18</v>
      </c>
      <c r="BE2080" s="1" t="s">
        <v>33523</v>
      </c>
      <c r="BF2080" s="1" t="str">
        <f>HYPERLINK("http://dx.doi.org/10.1007/s10661-020-08809-x","http://dx.doi.org/10.1007/s10661-020-08809-x")</f>
        <v>http://dx.doi.org/10.1007/s10661-020-08809-x</v>
      </c>
      <c r="BG2080" s="1" t="s">
        <v>74</v>
      </c>
      <c r="BH2080" s="1" t="s">
        <v>74</v>
      </c>
      <c r="BI2080" s="1">
        <v>16</v>
      </c>
      <c r="BJ2080" s="1" t="s">
        <v>144</v>
      </c>
      <c r="BK2080" s="1" t="s">
        <v>96</v>
      </c>
      <c r="BL2080" s="1" t="s">
        <v>145</v>
      </c>
      <c r="BM2080" s="1" t="s">
        <v>33524</v>
      </c>
      <c r="BN2080" s="1">
        <v>33389181</v>
      </c>
      <c r="BO2080" s="1" t="s">
        <v>74</v>
      </c>
      <c r="BP2080" s="1" t="s">
        <v>74</v>
      </c>
      <c r="BQ2080" s="1" t="s">
        <v>74</v>
      </c>
      <c r="BR2080" s="1" t="s">
        <v>98</v>
      </c>
      <c r="BS2080" s="1" t="s">
        <v>33525</v>
      </c>
      <c r="BT2080" s="1" t="str">
        <f>HYPERLINK("https%3A%2F%2Fwww.webofscience.com%2Fwos%2Fwoscc%2Ffull-record%2FWOS:000606440900001","View Full Record in Web of Science")</f>
        <v>View Full Record in Web of Science</v>
      </c>
      <c r="BU2080" s="1"/>
      <c r="BV2080" s="1"/>
    </row>
    <row r="2081" spans="1:74">
      <c r="A2081" s="1" t="s">
        <v>72</v>
      </c>
      <c r="B2081" s="1" t="s">
        <v>33526</v>
      </c>
      <c r="C2081" s="1" t="s">
        <v>74</v>
      </c>
      <c r="D2081" s="1" t="s">
        <v>74</v>
      </c>
      <c r="E2081" s="1" t="s">
        <v>74</v>
      </c>
      <c r="F2081" s="1" t="s">
        <v>33527</v>
      </c>
      <c r="G2081" s="1" t="s">
        <v>74</v>
      </c>
      <c r="H2081" s="1" t="s">
        <v>74</v>
      </c>
      <c r="I2081" s="1" t="s">
        <v>33528</v>
      </c>
      <c r="J2081" s="1" t="s">
        <v>127</v>
      </c>
      <c r="K2081" s="1" t="s">
        <v>74</v>
      </c>
      <c r="L2081" s="1" t="s">
        <v>74</v>
      </c>
      <c r="M2081" s="1" t="s">
        <v>78</v>
      </c>
      <c r="N2081" s="1" t="s">
        <v>79</v>
      </c>
      <c r="O2081" s="1" t="s">
        <v>74</v>
      </c>
      <c r="P2081" s="1" t="s">
        <v>74</v>
      </c>
      <c r="Q2081" s="1" t="s">
        <v>74</v>
      </c>
      <c r="R2081" s="1" t="s">
        <v>74</v>
      </c>
      <c r="S2081" s="1" t="s">
        <v>74</v>
      </c>
      <c r="T2081" s="1" t="s">
        <v>33529</v>
      </c>
      <c r="U2081" s="1" t="s">
        <v>33530</v>
      </c>
      <c r="V2081" s="1" t="s">
        <v>33531</v>
      </c>
      <c r="W2081" s="1" t="s">
        <v>33532</v>
      </c>
      <c r="X2081" s="1" t="s">
        <v>33533</v>
      </c>
      <c r="Y2081" s="1" t="s">
        <v>33534</v>
      </c>
      <c r="Z2081" s="1" t="s">
        <v>33535</v>
      </c>
      <c r="AA2081" s="1" t="s">
        <v>33536</v>
      </c>
      <c r="AB2081" s="1" t="s">
        <v>33537</v>
      </c>
      <c r="AC2081" s="1" t="s">
        <v>33538</v>
      </c>
      <c r="AD2081" s="1" t="s">
        <v>33538</v>
      </c>
      <c r="AE2081" s="1" t="s">
        <v>33539</v>
      </c>
      <c r="AF2081" s="1" t="s">
        <v>74</v>
      </c>
      <c r="AG2081" s="1">
        <v>48</v>
      </c>
      <c r="AH2081" s="1">
        <v>11</v>
      </c>
      <c r="AI2081" s="1">
        <v>12</v>
      </c>
      <c r="AJ2081" s="1">
        <v>1</v>
      </c>
      <c r="AK2081" s="1">
        <v>63</v>
      </c>
      <c r="AL2081" s="1" t="s">
        <v>136</v>
      </c>
      <c r="AM2081" s="1" t="s">
        <v>137</v>
      </c>
      <c r="AN2081" s="1" t="s">
        <v>138</v>
      </c>
      <c r="AO2081" s="1" t="s">
        <v>139</v>
      </c>
      <c r="AP2081" s="1" t="s">
        <v>140</v>
      </c>
      <c r="AQ2081" s="1" t="s">
        <v>74</v>
      </c>
      <c r="AR2081" s="1" t="s">
        <v>127</v>
      </c>
      <c r="AS2081" s="1" t="s">
        <v>141</v>
      </c>
      <c r="AT2081" s="1" t="s">
        <v>197</v>
      </c>
      <c r="AU2081" s="1">
        <v>2017</v>
      </c>
      <c r="AV2081" s="1">
        <v>188</v>
      </c>
      <c r="AW2081" s="1" t="s">
        <v>74</v>
      </c>
      <c r="AX2081" s="1" t="s">
        <v>74</v>
      </c>
      <c r="AY2081" s="1" t="s">
        <v>74</v>
      </c>
      <c r="AZ2081" s="1" t="s">
        <v>74</v>
      </c>
      <c r="BA2081" s="1" t="s">
        <v>74</v>
      </c>
      <c r="BB2081" s="1">
        <v>548</v>
      </c>
      <c r="BC2081" s="1">
        <v>556</v>
      </c>
      <c r="BD2081" s="1" t="s">
        <v>74</v>
      </c>
      <c r="BE2081" s="1" t="s">
        <v>33540</v>
      </c>
      <c r="BF2081" s="1" t="str">
        <f>HYPERLINK("http://dx.doi.org/10.1016/j.chemosphere.2017.08.141","http://dx.doi.org/10.1016/j.chemosphere.2017.08.141")</f>
        <v>http://dx.doi.org/10.1016/j.chemosphere.2017.08.141</v>
      </c>
      <c r="BG2081" s="1" t="s">
        <v>74</v>
      </c>
      <c r="BH2081" s="1" t="s">
        <v>74</v>
      </c>
      <c r="BI2081" s="1">
        <v>9</v>
      </c>
      <c r="BJ2081" s="1" t="s">
        <v>144</v>
      </c>
      <c r="BK2081" s="1" t="s">
        <v>96</v>
      </c>
      <c r="BL2081" s="1" t="s">
        <v>145</v>
      </c>
      <c r="BM2081" s="1" t="s">
        <v>33541</v>
      </c>
      <c r="BN2081" s="1">
        <v>28915373</v>
      </c>
      <c r="BO2081" s="1" t="s">
        <v>14649</v>
      </c>
      <c r="BP2081" s="1" t="s">
        <v>74</v>
      </c>
      <c r="BQ2081" s="1" t="s">
        <v>74</v>
      </c>
      <c r="BR2081" s="1" t="s">
        <v>98</v>
      </c>
      <c r="BS2081" s="1" t="s">
        <v>33542</v>
      </c>
      <c r="BT2081" s="1" t="str">
        <f>HYPERLINK("https%3A%2F%2Fwww.webofscience.com%2Fwos%2Fwoscc%2Ffull-record%2FWOS:000413378400061","View Full Record in Web of Science")</f>
        <v>View Full Record in Web of Science</v>
      </c>
      <c r="BU2081" s="1"/>
      <c r="BV2081" s="1"/>
    </row>
    <row r="2082" spans="1:74">
      <c r="A2082" s="1" t="s">
        <v>72</v>
      </c>
      <c r="B2082" s="1" t="s">
        <v>33543</v>
      </c>
      <c r="C2082" s="1" t="s">
        <v>74</v>
      </c>
      <c r="D2082" s="1" t="s">
        <v>74</v>
      </c>
      <c r="E2082" s="1" t="s">
        <v>74</v>
      </c>
      <c r="F2082" s="1" t="s">
        <v>33544</v>
      </c>
      <c r="G2082" s="1" t="s">
        <v>74</v>
      </c>
      <c r="H2082" s="1" t="s">
        <v>74</v>
      </c>
      <c r="I2082" s="1" t="s">
        <v>33545</v>
      </c>
      <c r="J2082" s="1" t="s">
        <v>127</v>
      </c>
      <c r="K2082" s="1" t="s">
        <v>74</v>
      </c>
      <c r="L2082" s="1" t="s">
        <v>74</v>
      </c>
      <c r="M2082" s="1" t="s">
        <v>78</v>
      </c>
      <c r="N2082" s="1" t="s">
        <v>79</v>
      </c>
      <c r="O2082" s="1" t="s">
        <v>74</v>
      </c>
      <c r="P2082" s="1" t="s">
        <v>74</v>
      </c>
      <c r="Q2082" s="1" t="s">
        <v>74</v>
      </c>
      <c r="R2082" s="1" t="s">
        <v>74</v>
      </c>
      <c r="S2082" s="1" t="s">
        <v>74</v>
      </c>
      <c r="T2082" s="1" t="s">
        <v>33546</v>
      </c>
      <c r="U2082" s="1" t="s">
        <v>33547</v>
      </c>
      <c r="V2082" s="1" t="s">
        <v>33548</v>
      </c>
      <c r="W2082" s="1" t="s">
        <v>33549</v>
      </c>
      <c r="X2082" s="1" t="s">
        <v>9746</v>
      </c>
      <c r="Y2082" s="1" t="s">
        <v>33550</v>
      </c>
      <c r="Z2082" s="1" t="s">
        <v>21758</v>
      </c>
      <c r="AA2082" s="1" t="s">
        <v>9747</v>
      </c>
      <c r="AB2082" s="1" t="s">
        <v>33551</v>
      </c>
      <c r="AC2082" s="1" t="s">
        <v>33552</v>
      </c>
      <c r="AD2082" s="1" t="s">
        <v>4137</v>
      </c>
      <c r="AE2082" s="1" t="s">
        <v>33553</v>
      </c>
      <c r="AF2082" s="1" t="s">
        <v>74</v>
      </c>
      <c r="AG2082" s="1">
        <v>39</v>
      </c>
      <c r="AH2082" s="1">
        <v>58</v>
      </c>
      <c r="AI2082" s="1">
        <v>60</v>
      </c>
      <c r="AJ2082" s="1">
        <v>0</v>
      </c>
      <c r="AK2082" s="1">
        <v>59</v>
      </c>
      <c r="AL2082" s="1" t="s">
        <v>136</v>
      </c>
      <c r="AM2082" s="1" t="s">
        <v>137</v>
      </c>
      <c r="AN2082" s="1" t="s">
        <v>138</v>
      </c>
      <c r="AO2082" s="1" t="s">
        <v>139</v>
      </c>
      <c r="AP2082" s="1" t="s">
        <v>140</v>
      </c>
      <c r="AQ2082" s="1" t="s">
        <v>74</v>
      </c>
      <c r="AR2082" s="1" t="s">
        <v>127</v>
      </c>
      <c r="AS2082" s="1" t="s">
        <v>141</v>
      </c>
      <c r="AT2082" s="1" t="s">
        <v>224</v>
      </c>
      <c r="AU2082" s="1">
        <v>2016</v>
      </c>
      <c r="AV2082" s="1">
        <v>144</v>
      </c>
      <c r="AW2082" s="1" t="s">
        <v>74</v>
      </c>
      <c r="AX2082" s="1" t="s">
        <v>74</v>
      </c>
      <c r="AY2082" s="1" t="s">
        <v>74</v>
      </c>
      <c r="AZ2082" s="1" t="s">
        <v>74</v>
      </c>
      <c r="BA2082" s="1" t="s">
        <v>74</v>
      </c>
      <c r="BB2082" s="1">
        <v>1980</v>
      </c>
      <c r="BC2082" s="1">
        <v>1987</v>
      </c>
      <c r="BD2082" s="1" t="s">
        <v>74</v>
      </c>
      <c r="BE2082" s="1" t="s">
        <v>33554</v>
      </c>
      <c r="BF2082" s="1" t="str">
        <f>HYPERLINK("http://dx.doi.org/10.1016/j.chemosphere.2015.10.098","http://dx.doi.org/10.1016/j.chemosphere.2015.10.098")</f>
        <v>http://dx.doi.org/10.1016/j.chemosphere.2015.10.098</v>
      </c>
      <c r="BG2082" s="1" t="s">
        <v>74</v>
      </c>
      <c r="BH2082" s="1" t="s">
        <v>74</v>
      </c>
      <c r="BI2082" s="1">
        <v>8</v>
      </c>
      <c r="BJ2082" s="1" t="s">
        <v>144</v>
      </c>
      <c r="BK2082" s="1" t="s">
        <v>96</v>
      </c>
      <c r="BL2082" s="1" t="s">
        <v>145</v>
      </c>
      <c r="BM2082" s="1" t="s">
        <v>33555</v>
      </c>
      <c r="BN2082" s="1">
        <v>26547879</v>
      </c>
      <c r="BO2082" s="1" t="s">
        <v>74</v>
      </c>
      <c r="BP2082" s="1" t="s">
        <v>74</v>
      </c>
      <c r="BQ2082" s="1" t="s">
        <v>74</v>
      </c>
      <c r="BR2082" s="1" t="s">
        <v>98</v>
      </c>
      <c r="BS2082" s="1" t="s">
        <v>33556</v>
      </c>
      <c r="BT2082" s="1" t="str">
        <f>HYPERLINK("https%3A%2F%2Fwww.webofscience.com%2Fwos%2Fwoscc%2Ffull-record%2FWOS:000367774400251","View Full Record in Web of Science")</f>
        <v>View Full Record in Web of Science</v>
      </c>
      <c r="BU2082" s="1"/>
      <c r="BV2082" s="1"/>
    </row>
    <row r="2083" spans="1:74">
      <c r="A2083" s="1" t="s">
        <v>72</v>
      </c>
      <c r="B2083" s="1" t="s">
        <v>33557</v>
      </c>
      <c r="C2083" s="1" t="s">
        <v>74</v>
      </c>
      <c r="D2083" s="1" t="s">
        <v>74</v>
      </c>
      <c r="E2083" s="1" t="s">
        <v>74</v>
      </c>
      <c r="F2083" s="1" t="s">
        <v>33558</v>
      </c>
      <c r="G2083" s="1" t="s">
        <v>74</v>
      </c>
      <c r="H2083" s="1" t="s">
        <v>74</v>
      </c>
      <c r="I2083" s="1" t="s">
        <v>33559</v>
      </c>
      <c r="J2083" s="1" t="s">
        <v>232</v>
      </c>
      <c r="K2083" s="1" t="s">
        <v>74</v>
      </c>
      <c r="L2083" s="1" t="s">
        <v>74</v>
      </c>
      <c r="M2083" s="1" t="s">
        <v>78</v>
      </c>
      <c r="N2083" s="1" t="s">
        <v>79</v>
      </c>
      <c r="O2083" s="1" t="s">
        <v>74</v>
      </c>
      <c r="P2083" s="1" t="s">
        <v>74</v>
      </c>
      <c r="Q2083" s="1" t="s">
        <v>74</v>
      </c>
      <c r="R2083" s="1" t="s">
        <v>74</v>
      </c>
      <c r="S2083" s="1" t="s">
        <v>74</v>
      </c>
      <c r="T2083" s="1" t="s">
        <v>33560</v>
      </c>
      <c r="U2083" s="1" t="s">
        <v>33561</v>
      </c>
      <c r="V2083" s="1" t="s">
        <v>33562</v>
      </c>
      <c r="W2083" s="1" t="s">
        <v>33563</v>
      </c>
      <c r="X2083" s="1" t="s">
        <v>33564</v>
      </c>
      <c r="Y2083" s="1" t="s">
        <v>33565</v>
      </c>
      <c r="Z2083" s="1" t="s">
        <v>12615</v>
      </c>
      <c r="AA2083" s="1" t="s">
        <v>33566</v>
      </c>
      <c r="AB2083" s="1" t="s">
        <v>74</v>
      </c>
      <c r="AC2083" s="1" t="s">
        <v>33567</v>
      </c>
      <c r="AD2083" s="1" t="s">
        <v>33568</v>
      </c>
      <c r="AE2083" s="1" t="s">
        <v>33569</v>
      </c>
      <c r="AF2083" s="1" t="s">
        <v>74</v>
      </c>
      <c r="AG2083" s="1">
        <v>97</v>
      </c>
      <c r="AH2083" s="1">
        <v>7</v>
      </c>
      <c r="AI2083" s="1">
        <v>7</v>
      </c>
      <c r="AJ2083" s="1">
        <v>9</v>
      </c>
      <c r="AK2083" s="1">
        <v>38</v>
      </c>
      <c r="AL2083" s="1" t="s">
        <v>136</v>
      </c>
      <c r="AM2083" s="1" t="s">
        <v>137</v>
      </c>
      <c r="AN2083" s="1" t="s">
        <v>138</v>
      </c>
      <c r="AO2083" s="1" t="s">
        <v>240</v>
      </c>
      <c r="AP2083" s="1" t="s">
        <v>241</v>
      </c>
      <c r="AQ2083" s="1" t="s">
        <v>74</v>
      </c>
      <c r="AR2083" s="1" t="s">
        <v>242</v>
      </c>
      <c r="AS2083" s="1" t="s">
        <v>243</v>
      </c>
      <c r="AT2083" s="1" t="s">
        <v>197</v>
      </c>
      <c r="AU2083" s="1">
        <v>2022</v>
      </c>
      <c r="AV2083" s="1">
        <v>185</v>
      </c>
      <c r="AW2083" s="1" t="s">
        <v>74</v>
      </c>
      <c r="AX2083" s="1" t="s">
        <v>489</v>
      </c>
      <c r="AY2083" s="1" t="s">
        <v>74</v>
      </c>
      <c r="AZ2083" s="1" t="s">
        <v>74</v>
      </c>
      <c r="BA2083" s="1" t="s">
        <v>74</v>
      </c>
      <c r="BB2083" s="1" t="s">
        <v>74</v>
      </c>
      <c r="BC2083" s="1" t="s">
        <v>74</v>
      </c>
      <c r="BD2083" s="1">
        <v>114269</v>
      </c>
      <c r="BE2083" s="1" t="s">
        <v>33570</v>
      </c>
      <c r="BF2083" s="1" t="str">
        <f>HYPERLINK("http://dx.doi.org/10.1016/j.marpolbul.2022.114269","http://dx.doi.org/10.1016/j.marpolbul.2022.114269")</f>
        <v>http://dx.doi.org/10.1016/j.marpolbul.2022.114269</v>
      </c>
      <c r="BG2083" s="1" t="s">
        <v>74</v>
      </c>
      <c r="BH2083" s="1" t="s">
        <v>699</v>
      </c>
      <c r="BI2083" s="1">
        <v>10</v>
      </c>
      <c r="BJ2083" s="1" t="s">
        <v>247</v>
      </c>
      <c r="BK2083" s="1" t="s">
        <v>96</v>
      </c>
      <c r="BL2083" s="1" t="s">
        <v>248</v>
      </c>
      <c r="BM2083" s="1" t="s">
        <v>7150</v>
      </c>
      <c r="BN2083" s="1">
        <v>36368080</v>
      </c>
      <c r="BO2083" s="1" t="s">
        <v>74</v>
      </c>
      <c r="BP2083" s="1" t="s">
        <v>74</v>
      </c>
      <c r="BQ2083" s="1" t="s">
        <v>74</v>
      </c>
      <c r="BR2083" s="1" t="s">
        <v>98</v>
      </c>
      <c r="BS2083" s="1" t="s">
        <v>33571</v>
      </c>
      <c r="BT2083" s="1" t="str">
        <f>HYPERLINK("https%3A%2F%2Fwww.webofscience.com%2Fwos%2Fwoscc%2Ffull-record%2FWOS:000891759700007","View Full Record in Web of Science")</f>
        <v>View Full Record in Web of Science</v>
      </c>
      <c r="BU2083" s="1"/>
      <c r="BV2083" s="1"/>
    </row>
    <row r="2084" spans="1:74">
      <c r="A2084" s="1" t="s">
        <v>72</v>
      </c>
      <c r="B2084" s="1" t="s">
        <v>33572</v>
      </c>
      <c r="C2084" s="1" t="s">
        <v>74</v>
      </c>
      <c r="D2084" s="1" t="s">
        <v>74</v>
      </c>
      <c r="E2084" s="1" t="s">
        <v>74</v>
      </c>
      <c r="F2084" s="1" t="s">
        <v>33573</v>
      </c>
      <c r="G2084" s="1" t="s">
        <v>74</v>
      </c>
      <c r="H2084" s="1" t="s">
        <v>74</v>
      </c>
      <c r="I2084" s="1" t="s">
        <v>33574</v>
      </c>
      <c r="J2084" s="1" t="s">
        <v>179</v>
      </c>
      <c r="K2084" s="1" t="s">
        <v>74</v>
      </c>
      <c r="L2084" s="1" t="s">
        <v>74</v>
      </c>
      <c r="M2084" s="1" t="s">
        <v>78</v>
      </c>
      <c r="N2084" s="1" t="s">
        <v>79</v>
      </c>
      <c r="O2084" s="1" t="s">
        <v>74</v>
      </c>
      <c r="P2084" s="1" t="s">
        <v>74</v>
      </c>
      <c r="Q2084" s="1" t="s">
        <v>74</v>
      </c>
      <c r="R2084" s="1" t="s">
        <v>74</v>
      </c>
      <c r="S2084" s="1" t="s">
        <v>74</v>
      </c>
      <c r="T2084" s="1" t="s">
        <v>33575</v>
      </c>
      <c r="U2084" s="1" t="s">
        <v>33576</v>
      </c>
      <c r="V2084" s="1" t="s">
        <v>33577</v>
      </c>
      <c r="W2084" s="1" t="s">
        <v>33578</v>
      </c>
      <c r="X2084" s="1" t="s">
        <v>14358</v>
      </c>
      <c r="Y2084" s="1" t="s">
        <v>33579</v>
      </c>
      <c r="Z2084" s="1" t="s">
        <v>33580</v>
      </c>
      <c r="AA2084" s="1" t="s">
        <v>33581</v>
      </c>
      <c r="AB2084" s="1" t="s">
        <v>33582</v>
      </c>
      <c r="AC2084" s="1" t="s">
        <v>74</v>
      </c>
      <c r="AD2084" s="1" t="s">
        <v>74</v>
      </c>
      <c r="AE2084" s="1" t="s">
        <v>74</v>
      </c>
      <c r="AF2084" s="1" t="s">
        <v>74</v>
      </c>
      <c r="AG2084" s="1">
        <v>42</v>
      </c>
      <c r="AH2084" s="1">
        <v>19</v>
      </c>
      <c r="AI2084" s="1">
        <v>19</v>
      </c>
      <c r="AJ2084" s="1">
        <v>1</v>
      </c>
      <c r="AK2084" s="1">
        <v>27</v>
      </c>
      <c r="AL2084" s="1" t="s">
        <v>112</v>
      </c>
      <c r="AM2084" s="1" t="s">
        <v>191</v>
      </c>
      <c r="AN2084" s="1" t="s">
        <v>192</v>
      </c>
      <c r="AO2084" s="1" t="s">
        <v>193</v>
      </c>
      <c r="AP2084" s="1" t="s">
        <v>194</v>
      </c>
      <c r="AQ2084" s="1" t="s">
        <v>74</v>
      </c>
      <c r="AR2084" s="1" t="s">
        <v>195</v>
      </c>
      <c r="AS2084" s="1" t="s">
        <v>196</v>
      </c>
      <c r="AT2084" s="1" t="s">
        <v>765</v>
      </c>
      <c r="AU2084" s="1">
        <v>2013</v>
      </c>
      <c r="AV2084" s="1">
        <v>185</v>
      </c>
      <c r="AW2084" s="1">
        <v>7</v>
      </c>
      <c r="AX2084" s="1" t="s">
        <v>74</v>
      </c>
      <c r="AY2084" s="1" t="s">
        <v>74</v>
      </c>
      <c r="AZ2084" s="1" t="s">
        <v>74</v>
      </c>
      <c r="BA2084" s="1" t="s">
        <v>74</v>
      </c>
      <c r="BB2084" s="1">
        <v>6077</v>
      </c>
      <c r="BC2084" s="1">
        <v>6087</v>
      </c>
      <c r="BD2084" s="1" t="s">
        <v>74</v>
      </c>
      <c r="BE2084" s="1" t="s">
        <v>33583</v>
      </c>
      <c r="BF2084" s="1" t="str">
        <f>HYPERLINK("http://dx.doi.org/10.1007/s10661-012-3008-z","http://dx.doi.org/10.1007/s10661-012-3008-z")</f>
        <v>http://dx.doi.org/10.1007/s10661-012-3008-z</v>
      </c>
      <c r="BG2084" s="1" t="s">
        <v>74</v>
      </c>
      <c r="BH2084" s="1" t="s">
        <v>74</v>
      </c>
      <c r="BI2084" s="1">
        <v>11</v>
      </c>
      <c r="BJ2084" s="1" t="s">
        <v>144</v>
      </c>
      <c r="BK2084" s="1" t="s">
        <v>96</v>
      </c>
      <c r="BL2084" s="1" t="s">
        <v>145</v>
      </c>
      <c r="BM2084" s="1" t="s">
        <v>33584</v>
      </c>
      <c r="BN2084" s="1">
        <v>23224643</v>
      </c>
      <c r="BO2084" s="1" t="s">
        <v>74</v>
      </c>
      <c r="BP2084" s="1" t="s">
        <v>74</v>
      </c>
      <c r="BQ2084" s="1" t="s">
        <v>74</v>
      </c>
      <c r="BR2084" s="1" t="s">
        <v>98</v>
      </c>
      <c r="BS2084" s="1" t="s">
        <v>33585</v>
      </c>
      <c r="BT2084" s="1" t="str">
        <f>HYPERLINK("https%3A%2F%2Fwww.webofscience.com%2Fwos%2Fwoscc%2Ffull-record%2FWOS:000319753600058","View Full Record in Web of Science")</f>
        <v>View Full Record in Web of Science</v>
      </c>
      <c r="BU2084" s="1"/>
      <c r="BV2084" s="1"/>
    </row>
    <row r="2085" spans="1:74">
      <c r="A2085" s="1" t="s">
        <v>72</v>
      </c>
      <c r="B2085" s="1" t="s">
        <v>33586</v>
      </c>
      <c r="C2085" s="1" t="s">
        <v>74</v>
      </c>
      <c r="D2085" s="1" t="s">
        <v>74</v>
      </c>
      <c r="E2085" s="1" t="s">
        <v>74</v>
      </c>
      <c r="F2085" s="1" t="s">
        <v>33587</v>
      </c>
      <c r="G2085" s="1" t="s">
        <v>74</v>
      </c>
      <c r="H2085" s="1" t="s">
        <v>74</v>
      </c>
      <c r="I2085" s="1" t="s">
        <v>33588</v>
      </c>
      <c r="J2085" s="1" t="s">
        <v>33589</v>
      </c>
      <c r="K2085" s="1" t="s">
        <v>74</v>
      </c>
      <c r="L2085" s="1" t="s">
        <v>74</v>
      </c>
      <c r="M2085" s="1" t="s">
        <v>78</v>
      </c>
      <c r="N2085" s="1" t="s">
        <v>79</v>
      </c>
      <c r="O2085" s="1" t="s">
        <v>74</v>
      </c>
      <c r="P2085" s="1" t="s">
        <v>74</v>
      </c>
      <c r="Q2085" s="1" t="s">
        <v>74</v>
      </c>
      <c r="R2085" s="1" t="s">
        <v>74</v>
      </c>
      <c r="S2085" s="1" t="s">
        <v>74</v>
      </c>
      <c r="T2085" s="1" t="s">
        <v>74</v>
      </c>
      <c r="U2085" s="1" t="s">
        <v>33590</v>
      </c>
      <c r="V2085" s="1" t="s">
        <v>33591</v>
      </c>
      <c r="W2085" s="1" t="s">
        <v>33592</v>
      </c>
      <c r="X2085" s="1" t="s">
        <v>33593</v>
      </c>
      <c r="Y2085" s="1" t="s">
        <v>33594</v>
      </c>
      <c r="Z2085" s="1" t="s">
        <v>33595</v>
      </c>
      <c r="AA2085" s="1" t="s">
        <v>33596</v>
      </c>
      <c r="AB2085" s="1" t="s">
        <v>33597</v>
      </c>
      <c r="AC2085" s="1" t="s">
        <v>74</v>
      </c>
      <c r="AD2085" s="1" t="s">
        <v>74</v>
      </c>
      <c r="AE2085" s="1" t="s">
        <v>74</v>
      </c>
      <c r="AF2085" s="1" t="s">
        <v>74</v>
      </c>
      <c r="AG2085" s="1">
        <v>42</v>
      </c>
      <c r="AH2085" s="1">
        <v>3</v>
      </c>
      <c r="AI2085" s="1">
        <v>3</v>
      </c>
      <c r="AJ2085" s="1">
        <v>1</v>
      </c>
      <c r="AK2085" s="1">
        <v>61</v>
      </c>
      <c r="AL2085" s="1" t="s">
        <v>33598</v>
      </c>
      <c r="AM2085" s="1" t="s">
        <v>1434</v>
      </c>
      <c r="AN2085" s="1" t="s">
        <v>33599</v>
      </c>
      <c r="AO2085" s="1" t="s">
        <v>33600</v>
      </c>
      <c r="AP2085" s="1" t="s">
        <v>33601</v>
      </c>
      <c r="AQ2085" s="1" t="s">
        <v>74</v>
      </c>
      <c r="AR2085" s="1" t="s">
        <v>33602</v>
      </c>
      <c r="AS2085" s="1" t="s">
        <v>33603</v>
      </c>
      <c r="AT2085" s="1" t="s">
        <v>170</v>
      </c>
      <c r="AU2085" s="1">
        <v>2018</v>
      </c>
      <c r="AV2085" s="1">
        <v>91</v>
      </c>
      <c r="AW2085" s="1">
        <v>5</v>
      </c>
      <c r="AX2085" s="1" t="s">
        <v>74</v>
      </c>
      <c r="AY2085" s="1" t="s">
        <v>74</v>
      </c>
      <c r="AZ2085" s="1" t="s">
        <v>74</v>
      </c>
      <c r="BA2085" s="1" t="s">
        <v>74</v>
      </c>
      <c r="BB2085" s="1">
        <v>583</v>
      </c>
      <c r="BC2085" s="1">
        <v>588</v>
      </c>
      <c r="BD2085" s="1" t="s">
        <v>74</v>
      </c>
      <c r="BE2085" s="1" t="s">
        <v>33604</v>
      </c>
      <c r="BF2085" s="1" t="str">
        <f>HYPERLINK("http://dx.doi.org/10.1007/s12594-018-0908-8","http://dx.doi.org/10.1007/s12594-018-0908-8")</f>
        <v>http://dx.doi.org/10.1007/s12594-018-0908-8</v>
      </c>
      <c r="BG2085" s="1" t="s">
        <v>74</v>
      </c>
      <c r="BH2085" s="1" t="s">
        <v>74</v>
      </c>
      <c r="BI2085" s="1">
        <v>6</v>
      </c>
      <c r="BJ2085" s="1" t="s">
        <v>10582</v>
      </c>
      <c r="BK2085" s="1" t="s">
        <v>96</v>
      </c>
      <c r="BL2085" s="1" t="s">
        <v>7739</v>
      </c>
      <c r="BM2085" s="1" t="s">
        <v>33605</v>
      </c>
      <c r="BN2085" s="1" t="s">
        <v>74</v>
      </c>
      <c r="BO2085" s="1" t="s">
        <v>74</v>
      </c>
      <c r="BP2085" s="1" t="s">
        <v>74</v>
      </c>
      <c r="BQ2085" s="1" t="s">
        <v>74</v>
      </c>
      <c r="BR2085" s="1" t="s">
        <v>98</v>
      </c>
      <c r="BS2085" s="1" t="s">
        <v>33606</v>
      </c>
      <c r="BT2085" s="1" t="str">
        <f>HYPERLINK("https%3A%2F%2Fwww.webofscience.com%2Fwos%2Fwoscc%2Ffull-record%2FWOS:000433214300010","View Full Record in Web of Science")</f>
        <v>View Full Record in Web of Science</v>
      </c>
      <c r="BU2085" s="1"/>
      <c r="BV2085" s="1"/>
    </row>
    <row r="2086" spans="1:74">
      <c r="A2086" s="1" t="s">
        <v>72</v>
      </c>
      <c r="B2086" s="1" t="s">
        <v>33607</v>
      </c>
      <c r="C2086" s="1" t="s">
        <v>74</v>
      </c>
      <c r="D2086" s="1" t="s">
        <v>74</v>
      </c>
      <c r="E2086" s="1" t="s">
        <v>74</v>
      </c>
      <c r="F2086" s="1" t="s">
        <v>33607</v>
      </c>
      <c r="G2086" s="1" t="s">
        <v>74</v>
      </c>
      <c r="H2086" s="1" t="s">
        <v>74</v>
      </c>
      <c r="I2086" s="1" t="s">
        <v>33608</v>
      </c>
      <c r="J2086" s="1" t="s">
        <v>421</v>
      </c>
      <c r="K2086" s="1" t="s">
        <v>74</v>
      </c>
      <c r="L2086" s="1" t="s">
        <v>74</v>
      </c>
      <c r="M2086" s="1" t="s">
        <v>78</v>
      </c>
      <c r="N2086" s="1" t="s">
        <v>79</v>
      </c>
      <c r="O2086" s="1" t="s">
        <v>74</v>
      </c>
      <c r="P2086" s="1" t="s">
        <v>74</v>
      </c>
      <c r="Q2086" s="1" t="s">
        <v>74</v>
      </c>
      <c r="R2086" s="1" t="s">
        <v>74</v>
      </c>
      <c r="S2086" s="1" t="s">
        <v>74</v>
      </c>
      <c r="T2086" s="1" t="s">
        <v>33609</v>
      </c>
      <c r="U2086" s="1" t="s">
        <v>33610</v>
      </c>
      <c r="V2086" s="1" t="s">
        <v>33611</v>
      </c>
      <c r="W2086" s="1" t="s">
        <v>33612</v>
      </c>
      <c r="X2086" s="1" t="s">
        <v>33613</v>
      </c>
      <c r="Y2086" s="1" t="s">
        <v>33614</v>
      </c>
      <c r="Z2086" s="1" t="s">
        <v>33615</v>
      </c>
      <c r="AA2086" s="1" t="s">
        <v>33616</v>
      </c>
      <c r="AB2086" s="1" t="s">
        <v>33617</v>
      </c>
      <c r="AC2086" s="1" t="s">
        <v>74</v>
      </c>
      <c r="AD2086" s="1" t="s">
        <v>74</v>
      </c>
      <c r="AE2086" s="1" t="s">
        <v>74</v>
      </c>
      <c r="AF2086" s="1" t="s">
        <v>74</v>
      </c>
      <c r="AG2086" s="1">
        <v>40</v>
      </c>
      <c r="AH2086" s="1">
        <v>63</v>
      </c>
      <c r="AI2086" s="1">
        <v>78</v>
      </c>
      <c r="AJ2086" s="1">
        <v>1</v>
      </c>
      <c r="AK2086" s="1">
        <v>26</v>
      </c>
      <c r="AL2086" s="1" t="s">
        <v>430</v>
      </c>
      <c r="AM2086" s="1" t="s">
        <v>137</v>
      </c>
      <c r="AN2086" s="1" t="s">
        <v>431</v>
      </c>
      <c r="AO2086" s="1" t="s">
        <v>432</v>
      </c>
      <c r="AP2086" s="1" t="s">
        <v>1394</v>
      </c>
      <c r="AQ2086" s="1" t="s">
        <v>74</v>
      </c>
      <c r="AR2086" s="1" t="s">
        <v>433</v>
      </c>
      <c r="AS2086" s="1" t="s">
        <v>434</v>
      </c>
      <c r="AT2086" s="1" t="s">
        <v>74</v>
      </c>
      <c r="AU2086" s="1">
        <v>2001</v>
      </c>
      <c r="AV2086" s="1">
        <v>112</v>
      </c>
      <c r="AW2086" s="1">
        <v>3</v>
      </c>
      <c r="AX2086" s="1" t="s">
        <v>74</v>
      </c>
      <c r="AY2086" s="1" t="s">
        <v>74</v>
      </c>
      <c r="AZ2086" s="1" t="s">
        <v>74</v>
      </c>
      <c r="BA2086" s="1" t="s">
        <v>74</v>
      </c>
      <c r="BB2086" s="1">
        <v>379</v>
      </c>
      <c r="BC2086" s="1">
        <v>389</v>
      </c>
      <c r="BD2086" s="1" t="s">
        <v>74</v>
      </c>
      <c r="BE2086" s="1" t="s">
        <v>33618</v>
      </c>
      <c r="BF2086" s="1" t="str">
        <f>HYPERLINK("http://dx.doi.org/10.1016/S0269-7491(00)00145-7","http://dx.doi.org/10.1016/S0269-7491(00)00145-7")</f>
        <v>http://dx.doi.org/10.1016/S0269-7491(00)00145-7</v>
      </c>
      <c r="BG2086" s="1" t="s">
        <v>74</v>
      </c>
      <c r="BH2086" s="1" t="s">
        <v>74</v>
      </c>
      <c r="BI2086" s="1">
        <v>11</v>
      </c>
      <c r="BJ2086" s="1" t="s">
        <v>144</v>
      </c>
      <c r="BK2086" s="1" t="s">
        <v>96</v>
      </c>
      <c r="BL2086" s="1" t="s">
        <v>145</v>
      </c>
      <c r="BM2086" s="1" t="s">
        <v>33619</v>
      </c>
      <c r="BN2086" s="1">
        <v>11291444</v>
      </c>
      <c r="BO2086" s="1" t="s">
        <v>74</v>
      </c>
      <c r="BP2086" s="1" t="s">
        <v>74</v>
      </c>
      <c r="BQ2086" s="1" t="s">
        <v>74</v>
      </c>
      <c r="BR2086" s="1" t="s">
        <v>98</v>
      </c>
      <c r="BS2086" s="1" t="s">
        <v>33620</v>
      </c>
      <c r="BT2086" s="1" t="str">
        <f>HYPERLINK("https%3A%2F%2Fwww.webofscience.com%2Fwos%2Fwoscc%2Ffull-record%2FWOS:000167622400010","View Full Record in Web of Science")</f>
        <v>View Full Record in Web of Science</v>
      </c>
      <c r="BU2086" s="1"/>
      <c r="BV2086" s="1"/>
    </row>
    <row r="2087" spans="1:74">
      <c r="A2087" s="1" t="s">
        <v>72</v>
      </c>
      <c r="B2087" s="1" t="s">
        <v>33621</v>
      </c>
      <c r="C2087" s="1" t="s">
        <v>74</v>
      </c>
      <c r="D2087" s="1" t="s">
        <v>74</v>
      </c>
      <c r="E2087" s="1" t="s">
        <v>74</v>
      </c>
      <c r="F2087" s="1" t="s">
        <v>33622</v>
      </c>
      <c r="G2087" s="1" t="s">
        <v>74</v>
      </c>
      <c r="H2087" s="1" t="s">
        <v>74</v>
      </c>
      <c r="I2087" s="1" t="s">
        <v>33623</v>
      </c>
      <c r="J2087" s="1" t="s">
        <v>232</v>
      </c>
      <c r="K2087" s="1" t="s">
        <v>74</v>
      </c>
      <c r="L2087" s="1" t="s">
        <v>74</v>
      </c>
      <c r="M2087" s="1" t="s">
        <v>78</v>
      </c>
      <c r="N2087" s="1" t="s">
        <v>79</v>
      </c>
      <c r="O2087" s="1" t="s">
        <v>74</v>
      </c>
      <c r="P2087" s="1" t="s">
        <v>74</v>
      </c>
      <c r="Q2087" s="1" t="s">
        <v>74</v>
      </c>
      <c r="R2087" s="1" t="s">
        <v>74</v>
      </c>
      <c r="S2087" s="1" t="s">
        <v>74</v>
      </c>
      <c r="T2087" s="1" t="s">
        <v>33624</v>
      </c>
      <c r="U2087" s="1" t="s">
        <v>33625</v>
      </c>
      <c r="V2087" s="1" t="s">
        <v>33626</v>
      </c>
      <c r="W2087" s="1" t="s">
        <v>33627</v>
      </c>
      <c r="X2087" s="1" t="s">
        <v>33628</v>
      </c>
      <c r="Y2087" s="1" t="s">
        <v>33629</v>
      </c>
      <c r="Z2087" s="1" t="s">
        <v>33630</v>
      </c>
      <c r="AA2087" s="1" t="s">
        <v>33631</v>
      </c>
      <c r="AB2087" s="1" t="s">
        <v>74</v>
      </c>
      <c r="AC2087" s="1" t="s">
        <v>33632</v>
      </c>
      <c r="AD2087" s="1" t="s">
        <v>33633</v>
      </c>
      <c r="AE2087" s="1" t="s">
        <v>33634</v>
      </c>
      <c r="AF2087" s="1" t="s">
        <v>74</v>
      </c>
      <c r="AG2087" s="1">
        <v>69</v>
      </c>
      <c r="AH2087" s="1">
        <v>13</v>
      </c>
      <c r="AI2087" s="1">
        <v>14</v>
      </c>
      <c r="AJ2087" s="1">
        <v>0</v>
      </c>
      <c r="AK2087" s="1">
        <v>34</v>
      </c>
      <c r="AL2087" s="1" t="s">
        <v>136</v>
      </c>
      <c r="AM2087" s="1" t="s">
        <v>137</v>
      </c>
      <c r="AN2087" s="1" t="s">
        <v>138</v>
      </c>
      <c r="AO2087" s="1" t="s">
        <v>240</v>
      </c>
      <c r="AP2087" s="1" t="s">
        <v>241</v>
      </c>
      <c r="AQ2087" s="1" t="s">
        <v>74</v>
      </c>
      <c r="AR2087" s="1" t="s">
        <v>242</v>
      </c>
      <c r="AS2087" s="1" t="s">
        <v>243</v>
      </c>
      <c r="AT2087" s="1" t="s">
        <v>4761</v>
      </c>
      <c r="AU2087" s="1">
        <v>2016</v>
      </c>
      <c r="AV2087" s="1">
        <v>104</v>
      </c>
      <c r="AW2087" s="1" t="s">
        <v>326</v>
      </c>
      <c r="AX2087" s="1" t="s">
        <v>74</v>
      </c>
      <c r="AY2087" s="1" t="s">
        <v>74</v>
      </c>
      <c r="AZ2087" s="1" t="s">
        <v>74</v>
      </c>
      <c r="BA2087" s="1" t="s">
        <v>74</v>
      </c>
      <c r="BB2087" s="1">
        <v>190</v>
      </c>
      <c r="BC2087" s="1">
        <v>197</v>
      </c>
      <c r="BD2087" s="1" t="s">
        <v>74</v>
      </c>
      <c r="BE2087" s="1" t="s">
        <v>33635</v>
      </c>
      <c r="BF2087" s="1" t="str">
        <f>HYPERLINK("http://dx.doi.org/10.1016/j.marpolbul.2016.01.039","http://dx.doi.org/10.1016/j.marpolbul.2016.01.039")</f>
        <v>http://dx.doi.org/10.1016/j.marpolbul.2016.01.039</v>
      </c>
      <c r="BG2087" s="1" t="s">
        <v>74</v>
      </c>
      <c r="BH2087" s="1" t="s">
        <v>74</v>
      </c>
      <c r="BI2087" s="1">
        <v>8</v>
      </c>
      <c r="BJ2087" s="1" t="s">
        <v>247</v>
      </c>
      <c r="BK2087" s="1" t="s">
        <v>96</v>
      </c>
      <c r="BL2087" s="1" t="s">
        <v>248</v>
      </c>
      <c r="BM2087" s="1" t="s">
        <v>33636</v>
      </c>
      <c r="BN2087" s="1">
        <v>26849915</v>
      </c>
      <c r="BO2087" s="1" t="s">
        <v>74</v>
      </c>
      <c r="BP2087" s="1" t="s">
        <v>74</v>
      </c>
      <c r="BQ2087" s="1" t="s">
        <v>74</v>
      </c>
      <c r="BR2087" s="1" t="s">
        <v>98</v>
      </c>
      <c r="BS2087" s="1" t="s">
        <v>33637</v>
      </c>
      <c r="BT2087" s="1" t="str">
        <f>HYPERLINK("https%3A%2F%2Fwww.webofscience.com%2Fwos%2Fwoscc%2Ffull-record%2FWOS:000374198100034","View Full Record in Web of Science")</f>
        <v>View Full Record in Web of Science</v>
      </c>
      <c r="BU2087" s="1"/>
      <c r="BV2087" s="1"/>
    </row>
    <row r="2088" spans="1:74">
      <c r="A2088" s="1" t="s">
        <v>72</v>
      </c>
      <c r="B2088" s="1" t="s">
        <v>33638</v>
      </c>
      <c r="C2088" s="1" t="s">
        <v>74</v>
      </c>
      <c r="D2088" s="1" t="s">
        <v>74</v>
      </c>
      <c r="E2088" s="1" t="s">
        <v>74</v>
      </c>
      <c r="F2088" s="1" t="s">
        <v>33639</v>
      </c>
      <c r="G2088" s="1" t="s">
        <v>74</v>
      </c>
      <c r="H2088" s="1" t="s">
        <v>74</v>
      </c>
      <c r="I2088" s="1" t="s">
        <v>33640</v>
      </c>
      <c r="J2088" s="1" t="s">
        <v>232</v>
      </c>
      <c r="K2088" s="1" t="s">
        <v>74</v>
      </c>
      <c r="L2088" s="1" t="s">
        <v>74</v>
      </c>
      <c r="M2088" s="1" t="s">
        <v>78</v>
      </c>
      <c r="N2088" s="1" t="s">
        <v>151</v>
      </c>
      <c r="O2088" s="1" t="s">
        <v>31690</v>
      </c>
      <c r="P2088" s="1" t="s">
        <v>31691</v>
      </c>
      <c r="Q2088" s="1" t="s">
        <v>27951</v>
      </c>
      <c r="R2088" s="1" t="s">
        <v>74</v>
      </c>
      <c r="S2088" s="1" t="s">
        <v>27952</v>
      </c>
      <c r="T2088" s="1" t="s">
        <v>33641</v>
      </c>
      <c r="U2088" s="1" t="s">
        <v>33642</v>
      </c>
      <c r="V2088" s="1" t="s">
        <v>33643</v>
      </c>
      <c r="W2088" s="1" t="s">
        <v>33644</v>
      </c>
      <c r="X2088" s="1" t="s">
        <v>33645</v>
      </c>
      <c r="Y2088" s="1" t="s">
        <v>33646</v>
      </c>
      <c r="Z2088" s="1" t="s">
        <v>8527</v>
      </c>
      <c r="AA2088" s="1" t="s">
        <v>15981</v>
      </c>
      <c r="AB2088" s="1" t="s">
        <v>33647</v>
      </c>
      <c r="AC2088" s="1" t="s">
        <v>74</v>
      </c>
      <c r="AD2088" s="1" t="s">
        <v>74</v>
      </c>
      <c r="AE2088" s="1" t="s">
        <v>74</v>
      </c>
      <c r="AF2088" s="1" t="s">
        <v>74</v>
      </c>
      <c r="AG2088" s="1">
        <v>31</v>
      </c>
      <c r="AH2088" s="1">
        <v>25</v>
      </c>
      <c r="AI2088" s="1">
        <v>29</v>
      </c>
      <c r="AJ2088" s="1">
        <v>0</v>
      </c>
      <c r="AK2088" s="1">
        <v>16</v>
      </c>
      <c r="AL2088" s="1" t="s">
        <v>136</v>
      </c>
      <c r="AM2088" s="1" t="s">
        <v>137</v>
      </c>
      <c r="AN2088" s="1" t="s">
        <v>138</v>
      </c>
      <c r="AO2088" s="1" t="s">
        <v>240</v>
      </c>
      <c r="AP2088" s="1" t="s">
        <v>241</v>
      </c>
      <c r="AQ2088" s="1" t="s">
        <v>74</v>
      </c>
      <c r="AR2088" s="1" t="s">
        <v>242</v>
      </c>
      <c r="AS2088" s="1" t="s">
        <v>243</v>
      </c>
      <c r="AT2088" s="1" t="s">
        <v>74</v>
      </c>
      <c r="AU2088" s="1">
        <v>2008</v>
      </c>
      <c r="AV2088" s="1">
        <v>57</v>
      </c>
      <c r="AW2088" s="1" t="s">
        <v>31701</v>
      </c>
      <c r="AX2088" s="1" t="s">
        <v>74</v>
      </c>
      <c r="AY2088" s="1" t="s">
        <v>74</v>
      </c>
      <c r="AZ2088" s="1" t="s">
        <v>74</v>
      </c>
      <c r="BA2088" s="1" t="s">
        <v>74</v>
      </c>
      <c r="BB2088" s="1">
        <v>790</v>
      </c>
      <c r="BC2088" s="1">
        <v>800</v>
      </c>
      <c r="BD2088" s="1" t="s">
        <v>74</v>
      </c>
      <c r="BE2088" s="1" t="s">
        <v>33648</v>
      </c>
      <c r="BF2088" s="1" t="str">
        <f>HYPERLINK("http://dx.doi.org/10.1016/j.marpolbul.2008.01.033","http://dx.doi.org/10.1016/j.marpolbul.2008.01.033")</f>
        <v>http://dx.doi.org/10.1016/j.marpolbul.2008.01.033</v>
      </c>
      <c r="BG2088" s="1" t="s">
        <v>74</v>
      </c>
      <c r="BH2088" s="1" t="s">
        <v>74</v>
      </c>
      <c r="BI2088" s="1">
        <v>11</v>
      </c>
      <c r="BJ2088" s="1" t="s">
        <v>247</v>
      </c>
      <c r="BK2088" s="1" t="s">
        <v>172</v>
      </c>
      <c r="BL2088" s="1" t="s">
        <v>248</v>
      </c>
      <c r="BM2088" s="1" t="s">
        <v>31704</v>
      </c>
      <c r="BN2088" s="1">
        <v>18328506</v>
      </c>
      <c r="BO2088" s="1" t="s">
        <v>74</v>
      </c>
      <c r="BP2088" s="1" t="s">
        <v>74</v>
      </c>
      <c r="BQ2088" s="1" t="s">
        <v>74</v>
      </c>
      <c r="BR2088" s="1" t="s">
        <v>98</v>
      </c>
      <c r="BS2088" s="1" t="s">
        <v>33649</v>
      </c>
      <c r="BT2088" s="1" t="str">
        <f>HYPERLINK("https%3A%2F%2Fwww.webofscience.com%2Fwos%2Fwoscc%2Ffull-record%2FWOS:000257816300070","View Full Record in Web of Science")</f>
        <v>View Full Record in Web of Science</v>
      </c>
      <c r="BU2088" s="1"/>
      <c r="BV2088" s="1"/>
    </row>
    <row r="2089" spans="1:74">
      <c r="A2089" s="1" t="s">
        <v>72</v>
      </c>
      <c r="B2089" s="1" t="s">
        <v>33650</v>
      </c>
      <c r="C2089" s="1" t="s">
        <v>74</v>
      </c>
      <c r="D2089" s="1" t="s">
        <v>74</v>
      </c>
      <c r="E2089" s="1" t="s">
        <v>74</v>
      </c>
      <c r="F2089" s="1" t="s">
        <v>33650</v>
      </c>
      <c r="G2089" s="1" t="s">
        <v>74</v>
      </c>
      <c r="H2089" s="1" t="s">
        <v>74</v>
      </c>
      <c r="I2089" s="1" t="s">
        <v>33651</v>
      </c>
      <c r="J2089" s="1" t="s">
        <v>20218</v>
      </c>
      <c r="K2089" s="1" t="s">
        <v>74</v>
      </c>
      <c r="L2089" s="1" t="s">
        <v>74</v>
      </c>
      <c r="M2089" s="1" t="s">
        <v>78</v>
      </c>
      <c r="N2089" s="1" t="s">
        <v>79</v>
      </c>
      <c r="O2089" s="1" t="s">
        <v>74</v>
      </c>
      <c r="P2089" s="1" t="s">
        <v>74</v>
      </c>
      <c r="Q2089" s="1" t="s">
        <v>74</v>
      </c>
      <c r="R2089" s="1" t="s">
        <v>74</v>
      </c>
      <c r="S2089" s="1" t="s">
        <v>74</v>
      </c>
      <c r="T2089" s="1" t="s">
        <v>33652</v>
      </c>
      <c r="U2089" s="1" t="s">
        <v>33653</v>
      </c>
      <c r="V2089" s="1" t="s">
        <v>33654</v>
      </c>
      <c r="W2089" s="1" t="s">
        <v>33655</v>
      </c>
      <c r="X2089" s="1" t="s">
        <v>33656</v>
      </c>
      <c r="Y2089" s="1" t="s">
        <v>33657</v>
      </c>
      <c r="Z2089" s="1" t="s">
        <v>25008</v>
      </c>
      <c r="AA2089" s="1" t="s">
        <v>5837</v>
      </c>
      <c r="AB2089" s="1" t="s">
        <v>33658</v>
      </c>
      <c r="AC2089" s="1" t="s">
        <v>74</v>
      </c>
      <c r="AD2089" s="1" t="s">
        <v>74</v>
      </c>
      <c r="AE2089" s="1" t="s">
        <v>74</v>
      </c>
      <c r="AF2089" s="1" t="s">
        <v>74</v>
      </c>
      <c r="AG2089" s="1">
        <v>34</v>
      </c>
      <c r="AH2089" s="1">
        <v>91</v>
      </c>
      <c r="AI2089" s="1">
        <v>102</v>
      </c>
      <c r="AJ2089" s="1">
        <v>0</v>
      </c>
      <c r="AK2089" s="1">
        <v>17</v>
      </c>
      <c r="AL2089" s="1" t="s">
        <v>650</v>
      </c>
      <c r="AM2089" s="1" t="s">
        <v>651</v>
      </c>
      <c r="AN2089" s="1" t="s">
        <v>652</v>
      </c>
      <c r="AO2089" s="1" t="s">
        <v>20228</v>
      </c>
      <c r="AP2089" s="1" t="s">
        <v>20229</v>
      </c>
      <c r="AQ2089" s="1" t="s">
        <v>74</v>
      </c>
      <c r="AR2089" s="1" t="s">
        <v>20230</v>
      </c>
      <c r="AS2089" s="1" t="s">
        <v>20231</v>
      </c>
      <c r="AT2089" s="1" t="s">
        <v>22025</v>
      </c>
      <c r="AU2089" s="1">
        <v>2004</v>
      </c>
      <c r="AV2089" s="1">
        <v>552</v>
      </c>
      <c r="AW2089" s="1" t="s">
        <v>326</v>
      </c>
      <c r="AX2089" s="1" t="s">
        <v>74</v>
      </c>
      <c r="AY2089" s="1" t="s">
        <v>74</v>
      </c>
      <c r="AZ2089" s="1" t="s">
        <v>74</v>
      </c>
      <c r="BA2089" s="1" t="s">
        <v>74</v>
      </c>
      <c r="BB2089" s="1">
        <v>153</v>
      </c>
      <c r="BC2089" s="1">
        <v>162</v>
      </c>
      <c r="BD2089" s="1" t="s">
        <v>74</v>
      </c>
      <c r="BE2089" s="1" t="s">
        <v>33659</v>
      </c>
      <c r="BF2089" s="1" t="str">
        <f>HYPERLINK("http://dx.doi.org/10.1016/j.mrfmmm.2004.06.012","http://dx.doi.org/10.1016/j.mrfmmm.2004.06.012")</f>
        <v>http://dx.doi.org/10.1016/j.mrfmmm.2004.06.012</v>
      </c>
      <c r="BG2089" s="1" t="s">
        <v>74</v>
      </c>
      <c r="BH2089" s="1" t="s">
        <v>74</v>
      </c>
      <c r="BI2089" s="1">
        <v>10</v>
      </c>
      <c r="BJ2089" s="1" t="s">
        <v>16489</v>
      </c>
      <c r="BK2089" s="1" t="s">
        <v>96</v>
      </c>
      <c r="BL2089" s="1" t="s">
        <v>16489</v>
      </c>
      <c r="BM2089" s="1" t="s">
        <v>33660</v>
      </c>
      <c r="BN2089" s="1">
        <v>15288548</v>
      </c>
      <c r="BO2089" s="1" t="s">
        <v>74</v>
      </c>
      <c r="BP2089" s="1" t="s">
        <v>74</v>
      </c>
      <c r="BQ2089" s="1" t="s">
        <v>74</v>
      </c>
      <c r="BR2089" s="1" t="s">
        <v>98</v>
      </c>
      <c r="BS2089" s="1" t="s">
        <v>33661</v>
      </c>
      <c r="BT2089" s="1" t="str">
        <f>HYPERLINK("https%3A%2F%2Fwww.webofscience.com%2Fwos%2Fwoscc%2Ffull-record%2FWOS:000223376700011","View Full Record in Web of Science")</f>
        <v>View Full Record in Web of Science</v>
      </c>
      <c r="BU2089" s="1"/>
      <c r="BV2089" s="1"/>
    </row>
    <row r="2090" spans="1:74">
      <c r="A2090" s="1" t="s">
        <v>72</v>
      </c>
      <c r="B2090" s="1" t="s">
        <v>33662</v>
      </c>
      <c r="C2090" s="1" t="s">
        <v>74</v>
      </c>
      <c r="D2090" s="1" t="s">
        <v>74</v>
      </c>
      <c r="E2090" s="1" t="s">
        <v>74</v>
      </c>
      <c r="F2090" s="1" t="s">
        <v>33663</v>
      </c>
      <c r="G2090" s="1" t="s">
        <v>74</v>
      </c>
      <c r="H2090" s="1" t="s">
        <v>74</v>
      </c>
      <c r="I2090" s="1" t="s">
        <v>33664</v>
      </c>
      <c r="J2090" s="1" t="s">
        <v>909</v>
      </c>
      <c r="K2090" s="1" t="s">
        <v>74</v>
      </c>
      <c r="L2090" s="1" t="s">
        <v>74</v>
      </c>
      <c r="M2090" s="1" t="s">
        <v>78</v>
      </c>
      <c r="N2090" s="1" t="s">
        <v>79</v>
      </c>
      <c r="O2090" s="1" t="s">
        <v>74</v>
      </c>
      <c r="P2090" s="1" t="s">
        <v>74</v>
      </c>
      <c r="Q2090" s="1" t="s">
        <v>74</v>
      </c>
      <c r="R2090" s="1" t="s">
        <v>74</v>
      </c>
      <c r="S2090" s="1" t="s">
        <v>74</v>
      </c>
      <c r="T2090" s="1" t="s">
        <v>33665</v>
      </c>
      <c r="U2090" s="1" t="s">
        <v>33666</v>
      </c>
      <c r="V2090" s="1" t="s">
        <v>33667</v>
      </c>
      <c r="W2090" s="1" t="s">
        <v>33668</v>
      </c>
      <c r="X2090" s="1" t="s">
        <v>33669</v>
      </c>
      <c r="Y2090" s="1" t="s">
        <v>33670</v>
      </c>
      <c r="Z2090" s="1" t="s">
        <v>33671</v>
      </c>
      <c r="AA2090" s="1" t="s">
        <v>12810</v>
      </c>
      <c r="AB2090" s="1" t="s">
        <v>33672</v>
      </c>
      <c r="AC2090" s="1" t="s">
        <v>33673</v>
      </c>
      <c r="AD2090" s="1" t="s">
        <v>33674</v>
      </c>
      <c r="AE2090" s="1" t="s">
        <v>33675</v>
      </c>
      <c r="AF2090" s="1" t="s">
        <v>74</v>
      </c>
      <c r="AG2090" s="1">
        <v>56</v>
      </c>
      <c r="AH2090" s="1">
        <v>17</v>
      </c>
      <c r="AI2090" s="1">
        <v>18</v>
      </c>
      <c r="AJ2090" s="1">
        <v>1</v>
      </c>
      <c r="AK2090" s="1">
        <v>39</v>
      </c>
      <c r="AL2090" s="1" t="s">
        <v>650</v>
      </c>
      <c r="AM2090" s="1" t="s">
        <v>651</v>
      </c>
      <c r="AN2090" s="1" t="s">
        <v>652</v>
      </c>
      <c r="AO2090" s="1" t="s">
        <v>921</v>
      </c>
      <c r="AP2090" s="1" t="s">
        <v>922</v>
      </c>
      <c r="AQ2090" s="1" t="s">
        <v>74</v>
      </c>
      <c r="AR2090" s="1" t="s">
        <v>923</v>
      </c>
      <c r="AS2090" s="1" t="s">
        <v>924</v>
      </c>
      <c r="AT2090" s="1" t="s">
        <v>16894</v>
      </c>
      <c r="AU2090" s="1">
        <v>2018</v>
      </c>
      <c r="AV2090" s="1" t="s">
        <v>33676</v>
      </c>
      <c r="AW2090" s="1" t="s">
        <v>74</v>
      </c>
      <c r="AX2090" s="1" t="s">
        <v>74</v>
      </c>
      <c r="AY2090" s="1" t="s">
        <v>74</v>
      </c>
      <c r="AZ2090" s="1" t="s">
        <v>74</v>
      </c>
      <c r="BA2090" s="1" t="s">
        <v>74</v>
      </c>
      <c r="BB2090" s="1">
        <v>319</v>
      </c>
      <c r="BC2090" s="1">
        <v>328</v>
      </c>
      <c r="BD2090" s="1" t="s">
        <v>74</v>
      </c>
      <c r="BE2090" s="1" t="s">
        <v>33677</v>
      </c>
      <c r="BF2090" s="1" t="str">
        <f>HYPERLINK("http://dx.doi.org/10.1016/j.scitotenv.2018.01.293","http://dx.doi.org/10.1016/j.scitotenv.2018.01.293")</f>
        <v>http://dx.doi.org/10.1016/j.scitotenv.2018.01.293</v>
      </c>
      <c r="BG2090" s="1" t="s">
        <v>74</v>
      </c>
      <c r="BH2090" s="1" t="s">
        <v>74</v>
      </c>
      <c r="BI2090" s="1">
        <v>10</v>
      </c>
      <c r="BJ2090" s="1" t="s">
        <v>144</v>
      </c>
      <c r="BK2090" s="1" t="s">
        <v>96</v>
      </c>
      <c r="BL2090" s="1" t="s">
        <v>145</v>
      </c>
      <c r="BM2090" s="1" t="s">
        <v>33678</v>
      </c>
      <c r="BN2090" s="1">
        <v>29444484</v>
      </c>
      <c r="BO2090" s="1" t="s">
        <v>810</v>
      </c>
      <c r="BP2090" s="1" t="s">
        <v>74</v>
      </c>
      <c r="BQ2090" s="1" t="s">
        <v>74</v>
      </c>
      <c r="BR2090" s="1" t="s">
        <v>98</v>
      </c>
      <c r="BS2090" s="1" t="s">
        <v>33679</v>
      </c>
      <c r="BT2090" s="1" t="str">
        <f>HYPERLINK("https%3A%2F%2Fwww.webofscience.com%2Fwos%2Fwoscc%2Ffull-record%2FWOS:000432462000035","View Full Record in Web of Science")</f>
        <v>View Full Record in Web of Science</v>
      </c>
      <c r="BU2090" s="1"/>
      <c r="BV2090" s="1"/>
    </row>
    <row r="2091" spans="1:74">
      <c r="A2091" s="1" t="s">
        <v>72</v>
      </c>
      <c r="B2091" s="1" t="s">
        <v>33680</v>
      </c>
      <c r="C2091" s="1" t="s">
        <v>74</v>
      </c>
      <c r="D2091" s="1" t="s">
        <v>74</v>
      </c>
      <c r="E2091" s="1" t="s">
        <v>74</v>
      </c>
      <c r="F2091" s="1" t="s">
        <v>33681</v>
      </c>
      <c r="G2091" s="1" t="s">
        <v>74</v>
      </c>
      <c r="H2091" s="1" t="s">
        <v>74</v>
      </c>
      <c r="I2091" s="1" t="s">
        <v>33682</v>
      </c>
      <c r="J2091" s="1" t="s">
        <v>33683</v>
      </c>
      <c r="K2091" s="1" t="s">
        <v>74</v>
      </c>
      <c r="L2091" s="1" t="s">
        <v>74</v>
      </c>
      <c r="M2091" s="1" t="s">
        <v>78</v>
      </c>
      <c r="N2091" s="1" t="s">
        <v>79</v>
      </c>
      <c r="O2091" s="1" t="s">
        <v>74</v>
      </c>
      <c r="P2091" s="1" t="s">
        <v>74</v>
      </c>
      <c r="Q2091" s="1" t="s">
        <v>74</v>
      </c>
      <c r="R2091" s="1" t="s">
        <v>74</v>
      </c>
      <c r="S2091" s="1" t="s">
        <v>74</v>
      </c>
      <c r="T2091" s="1" t="s">
        <v>33684</v>
      </c>
      <c r="U2091" s="1" t="s">
        <v>33685</v>
      </c>
      <c r="V2091" s="1" t="s">
        <v>33686</v>
      </c>
      <c r="W2091" s="1" t="s">
        <v>33687</v>
      </c>
      <c r="X2091" s="1" t="s">
        <v>33688</v>
      </c>
      <c r="Y2091" s="1" t="s">
        <v>33689</v>
      </c>
      <c r="Z2091" s="1" t="s">
        <v>33690</v>
      </c>
      <c r="AA2091" s="1" t="s">
        <v>33691</v>
      </c>
      <c r="AB2091" s="1" t="s">
        <v>33692</v>
      </c>
      <c r="AC2091" s="1" t="s">
        <v>74</v>
      </c>
      <c r="AD2091" s="1" t="s">
        <v>74</v>
      </c>
      <c r="AE2091" s="1" t="s">
        <v>74</v>
      </c>
      <c r="AF2091" s="1" t="s">
        <v>74</v>
      </c>
      <c r="AG2091" s="1">
        <v>40</v>
      </c>
      <c r="AH2091" s="1">
        <v>5</v>
      </c>
      <c r="AI2091" s="1">
        <v>5</v>
      </c>
      <c r="AJ2091" s="1">
        <v>10</v>
      </c>
      <c r="AK2091" s="1">
        <v>32</v>
      </c>
      <c r="AL2091" s="1" t="s">
        <v>1566</v>
      </c>
      <c r="AM2091" s="1" t="s">
        <v>1567</v>
      </c>
      <c r="AN2091" s="1" t="s">
        <v>1568</v>
      </c>
      <c r="AO2091" s="1" t="s">
        <v>74</v>
      </c>
      <c r="AP2091" s="1" t="s">
        <v>33693</v>
      </c>
      <c r="AQ2091" s="1" t="s">
        <v>74</v>
      </c>
      <c r="AR2091" s="1" t="s">
        <v>33694</v>
      </c>
      <c r="AS2091" s="1" t="s">
        <v>33695</v>
      </c>
      <c r="AT2091" s="1" t="s">
        <v>1470</v>
      </c>
      <c r="AU2091" s="1">
        <v>2023</v>
      </c>
      <c r="AV2091" s="1">
        <v>15</v>
      </c>
      <c r="AW2091" s="1">
        <v>2</v>
      </c>
      <c r="AX2091" s="1" t="s">
        <v>74</v>
      </c>
      <c r="AY2091" s="1" t="s">
        <v>74</v>
      </c>
      <c r="AZ2091" s="1" t="s">
        <v>74</v>
      </c>
      <c r="BA2091" s="1" t="s">
        <v>74</v>
      </c>
      <c r="BB2091" s="1" t="s">
        <v>74</v>
      </c>
      <c r="BC2091" s="1" t="s">
        <v>74</v>
      </c>
      <c r="BD2091" s="1">
        <v>1422</v>
      </c>
      <c r="BE2091" s="1" t="s">
        <v>33696</v>
      </c>
      <c r="BF2091" s="1" t="str">
        <f>HYPERLINK("http://dx.doi.org/10.3390/su15021422","http://dx.doi.org/10.3390/su15021422")</f>
        <v>http://dx.doi.org/10.3390/su15021422</v>
      </c>
      <c r="BG2091" s="1" t="s">
        <v>74</v>
      </c>
      <c r="BH2091" s="1" t="s">
        <v>74</v>
      </c>
      <c r="BI2091" s="1">
        <v>10</v>
      </c>
      <c r="BJ2091" s="1" t="s">
        <v>28100</v>
      </c>
      <c r="BK2091" s="1" t="s">
        <v>11915</v>
      </c>
      <c r="BL2091" s="1" t="s">
        <v>28101</v>
      </c>
      <c r="BM2091" s="1" t="s">
        <v>33697</v>
      </c>
      <c r="BN2091" s="1" t="s">
        <v>74</v>
      </c>
      <c r="BO2091" s="1" t="s">
        <v>873</v>
      </c>
      <c r="BP2091" s="1" t="s">
        <v>74</v>
      </c>
      <c r="BQ2091" s="1" t="s">
        <v>74</v>
      </c>
      <c r="BR2091" s="1" t="s">
        <v>98</v>
      </c>
      <c r="BS2091" s="1" t="s">
        <v>33698</v>
      </c>
      <c r="BT2091" s="1" t="str">
        <f>HYPERLINK("https%3A%2F%2Fwww.webofscience.com%2Fwos%2Fwoscc%2Ffull-record%2FWOS:000927096000001","View Full Record in Web of Science")</f>
        <v>View Full Record in Web of Science</v>
      </c>
      <c r="BU2091" s="1"/>
      <c r="BV2091" s="1"/>
    </row>
    <row r="2092" spans="1:74">
      <c r="A2092" s="1" t="s">
        <v>72</v>
      </c>
      <c r="B2092" s="1" t="s">
        <v>33699</v>
      </c>
      <c r="C2092" s="1" t="s">
        <v>74</v>
      </c>
      <c r="D2092" s="1" t="s">
        <v>74</v>
      </c>
      <c r="E2092" s="1" t="s">
        <v>74</v>
      </c>
      <c r="F2092" s="1" t="s">
        <v>33700</v>
      </c>
      <c r="G2092" s="1" t="s">
        <v>74</v>
      </c>
      <c r="H2092" s="1" t="s">
        <v>74</v>
      </c>
      <c r="I2092" s="1" t="s">
        <v>33701</v>
      </c>
      <c r="J2092" s="1" t="s">
        <v>23817</v>
      </c>
      <c r="K2092" s="1" t="s">
        <v>74</v>
      </c>
      <c r="L2092" s="1" t="s">
        <v>74</v>
      </c>
      <c r="M2092" s="1" t="s">
        <v>78</v>
      </c>
      <c r="N2092" s="1" t="s">
        <v>79</v>
      </c>
      <c r="O2092" s="1" t="s">
        <v>74</v>
      </c>
      <c r="P2092" s="1" t="s">
        <v>74</v>
      </c>
      <c r="Q2092" s="1" t="s">
        <v>74</v>
      </c>
      <c r="R2092" s="1" t="s">
        <v>74</v>
      </c>
      <c r="S2092" s="1" t="s">
        <v>74</v>
      </c>
      <c r="T2092" s="1" t="s">
        <v>33702</v>
      </c>
      <c r="U2092" s="1" t="s">
        <v>33703</v>
      </c>
      <c r="V2092" s="1" t="s">
        <v>33704</v>
      </c>
      <c r="W2092" s="1" t="s">
        <v>33705</v>
      </c>
      <c r="X2092" s="1" t="s">
        <v>33706</v>
      </c>
      <c r="Y2092" s="1" t="s">
        <v>33707</v>
      </c>
      <c r="Z2092" s="1" t="s">
        <v>33708</v>
      </c>
      <c r="AA2092" s="1" t="s">
        <v>33709</v>
      </c>
      <c r="AB2092" s="1" t="s">
        <v>33710</v>
      </c>
      <c r="AC2092" s="1" t="s">
        <v>74</v>
      </c>
      <c r="AD2092" s="1" t="s">
        <v>74</v>
      </c>
      <c r="AE2092" s="1" t="s">
        <v>74</v>
      </c>
      <c r="AF2092" s="1" t="s">
        <v>74</v>
      </c>
      <c r="AG2092" s="1">
        <v>46</v>
      </c>
      <c r="AH2092" s="1">
        <v>21</v>
      </c>
      <c r="AI2092" s="1">
        <v>24</v>
      </c>
      <c r="AJ2092" s="1">
        <v>0</v>
      </c>
      <c r="AK2092" s="1">
        <v>12</v>
      </c>
      <c r="AL2092" s="1" t="s">
        <v>26385</v>
      </c>
      <c r="AM2092" s="1" t="s">
        <v>23826</v>
      </c>
      <c r="AN2092" s="1" t="s">
        <v>26386</v>
      </c>
      <c r="AO2092" s="1" t="s">
        <v>23828</v>
      </c>
      <c r="AP2092" s="1" t="s">
        <v>33711</v>
      </c>
      <c r="AQ2092" s="1" t="s">
        <v>74</v>
      </c>
      <c r="AR2092" s="1" t="s">
        <v>23829</v>
      </c>
      <c r="AS2092" s="1" t="s">
        <v>23830</v>
      </c>
      <c r="AT2092" s="1" t="s">
        <v>7041</v>
      </c>
      <c r="AU2092" s="1">
        <v>2008</v>
      </c>
      <c r="AV2092" s="1">
        <v>176</v>
      </c>
      <c r="AW2092" s="1">
        <v>3</v>
      </c>
      <c r="AX2092" s="1" t="s">
        <v>74</v>
      </c>
      <c r="AY2092" s="1" t="s">
        <v>74</v>
      </c>
      <c r="AZ2092" s="1" t="s">
        <v>74</v>
      </c>
      <c r="BA2092" s="1" t="s">
        <v>74</v>
      </c>
      <c r="BB2092" s="1">
        <v>215</v>
      </c>
      <c r="BC2092" s="1">
        <v>222</v>
      </c>
      <c r="BD2092" s="1" t="s">
        <v>74</v>
      </c>
      <c r="BE2092" s="1" t="s">
        <v>33712</v>
      </c>
      <c r="BF2092" s="1" t="str">
        <f>HYPERLINK("http://dx.doi.org/10.1016/j.toxlet.2007.11.008","http://dx.doi.org/10.1016/j.toxlet.2007.11.008")</f>
        <v>http://dx.doi.org/10.1016/j.toxlet.2007.11.008</v>
      </c>
      <c r="BG2092" s="1" t="s">
        <v>74</v>
      </c>
      <c r="BH2092" s="1" t="s">
        <v>74</v>
      </c>
      <c r="BI2092" s="1">
        <v>8</v>
      </c>
      <c r="BJ2092" s="1" t="s">
        <v>95</v>
      </c>
      <c r="BK2092" s="1" t="s">
        <v>96</v>
      </c>
      <c r="BL2092" s="1" t="s">
        <v>95</v>
      </c>
      <c r="BM2092" s="1" t="s">
        <v>33713</v>
      </c>
      <c r="BN2092" s="1">
        <v>18248923</v>
      </c>
      <c r="BO2092" s="1" t="s">
        <v>74</v>
      </c>
      <c r="BP2092" s="1" t="s">
        <v>74</v>
      </c>
      <c r="BQ2092" s="1" t="s">
        <v>74</v>
      </c>
      <c r="BR2092" s="1" t="s">
        <v>98</v>
      </c>
      <c r="BS2092" s="1" t="s">
        <v>33714</v>
      </c>
      <c r="BT2092" s="1" t="str">
        <f>HYPERLINK("https%3A%2F%2Fwww.webofscience.com%2Fwos%2Fwoscc%2Ffull-record%2FWOS:000254076700006","View Full Record in Web of Science")</f>
        <v>View Full Record in Web of Science</v>
      </c>
      <c r="BU2092" s="1"/>
      <c r="BV2092" s="1"/>
    </row>
    <row r="2093" spans="1:74">
      <c r="A2093" s="1" t="s">
        <v>72</v>
      </c>
      <c r="B2093" s="1" t="s">
        <v>33715</v>
      </c>
      <c r="C2093" s="1" t="s">
        <v>74</v>
      </c>
      <c r="D2093" s="1" t="s">
        <v>74</v>
      </c>
      <c r="E2093" s="1" t="s">
        <v>74</v>
      </c>
      <c r="F2093" s="1" t="s">
        <v>33715</v>
      </c>
      <c r="G2093" s="1" t="s">
        <v>74</v>
      </c>
      <c r="H2093" s="1" t="s">
        <v>74</v>
      </c>
      <c r="I2093" s="1" t="s">
        <v>33716</v>
      </c>
      <c r="J2093" s="1" t="s">
        <v>179</v>
      </c>
      <c r="K2093" s="1" t="s">
        <v>74</v>
      </c>
      <c r="L2093" s="1" t="s">
        <v>74</v>
      </c>
      <c r="M2093" s="1" t="s">
        <v>78</v>
      </c>
      <c r="N2093" s="1" t="s">
        <v>79</v>
      </c>
      <c r="O2093" s="1" t="s">
        <v>74</v>
      </c>
      <c r="P2093" s="1" t="s">
        <v>74</v>
      </c>
      <c r="Q2093" s="1" t="s">
        <v>74</v>
      </c>
      <c r="R2093" s="1" t="s">
        <v>74</v>
      </c>
      <c r="S2093" s="1" t="s">
        <v>74</v>
      </c>
      <c r="T2093" s="1" t="s">
        <v>74</v>
      </c>
      <c r="U2093" s="1" t="s">
        <v>74</v>
      </c>
      <c r="V2093" s="1" t="s">
        <v>33717</v>
      </c>
      <c r="W2093" s="1" t="s">
        <v>74</v>
      </c>
      <c r="X2093" s="1" t="s">
        <v>74</v>
      </c>
      <c r="Y2093" s="1" t="s">
        <v>33718</v>
      </c>
      <c r="Z2093" s="1" t="s">
        <v>74</v>
      </c>
      <c r="AA2093" s="1" t="s">
        <v>74</v>
      </c>
      <c r="AB2093" s="1" t="s">
        <v>74</v>
      </c>
      <c r="AC2093" s="1" t="s">
        <v>74</v>
      </c>
      <c r="AD2093" s="1" t="s">
        <v>74</v>
      </c>
      <c r="AE2093" s="1" t="s">
        <v>74</v>
      </c>
      <c r="AF2093" s="1" t="s">
        <v>74</v>
      </c>
      <c r="AG2093" s="1">
        <v>0</v>
      </c>
      <c r="AH2093" s="1">
        <v>82</v>
      </c>
      <c r="AI2093" s="1">
        <v>97</v>
      </c>
      <c r="AJ2093" s="1">
        <v>1</v>
      </c>
      <c r="AK2093" s="1">
        <v>15</v>
      </c>
      <c r="AL2093" s="1" t="s">
        <v>112</v>
      </c>
      <c r="AM2093" s="1" t="s">
        <v>191</v>
      </c>
      <c r="AN2093" s="1" t="s">
        <v>192</v>
      </c>
      <c r="AO2093" s="1" t="s">
        <v>193</v>
      </c>
      <c r="AP2093" s="1" t="s">
        <v>194</v>
      </c>
      <c r="AQ2093" s="1" t="s">
        <v>74</v>
      </c>
      <c r="AR2093" s="1" t="s">
        <v>195</v>
      </c>
      <c r="AS2093" s="1" t="s">
        <v>196</v>
      </c>
      <c r="AT2093" s="1" t="s">
        <v>305</v>
      </c>
      <c r="AU2093" s="1">
        <v>1990</v>
      </c>
      <c r="AV2093" s="1">
        <v>15</v>
      </c>
      <c r="AW2093" s="1">
        <v>2</v>
      </c>
      <c r="AX2093" s="1" t="s">
        <v>74</v>
      </c>
      <c r="AY2093" s="1" t="s">
        <v>74</v>
      </c>
      <c r="AZ2093" s="1" t="s">
        <v>74</v>
      </c>
      <c r="BA2093" s="1" t="s">
        <v>74</v>
      </c>
      <c r="BB2093" s="1">
        <v>143</v>
      </c>
      <c r="BC2093" s="1">
        <v>181</v>
      </c>
      <c r="BD2093" s="1" t="s">
        <v>74</v>
      </c>
      <c r="BE2093" s="1" t="s">
        <v>33719</v>
      </c>
      <c r="BF2093" s="1" t="str">
        <f>HYPERLINK("http://dx.doi.org/10.1007/BF00398912","http://dx.doi.org/10.1007/BF00398912")</f>
        <v>http://dx.doi.org/10.1007/BF00398912</v>
      </c>
      <c r="BG2093" s="1" t="s">
        <v>74</v>
      </c>
      <c r="BH2093" s="1" t="s">
        <v>74</v>
      </c>
      <c r="BI2093" s="1">
        <v>39</v>
      </c>
      <c r="BJ2093" s="1" t="s">
        <v>144</v>
      </c>
      <c r="BK2093" s="1" t="s">
        <v>96</v>
      </c>
      <c r="BL2093" s="1" t="s">
        <v>145</v>
      </c>
      <c r="BM2093" s="1" t="s">
        <v>33720</v>
      </c>
      <c r="BN2093" s="1">
        <v>24241559</v>
      </c>
      <c r="BO2093" s="1" t="s">
        <v>74</v>
      </c>
      <c r="BP2093" s="1" t="s">
        <v>74</v>
      </c>
      <c r="BQ2093" s="1" t="s">
        <v>74</v>
      </c>
      <c r="BR2093" s="1" t="s">
        <v>98</v>
      </c>
      <c r="BS2093" s="1" t="s">
        <v>33721</v>
      </c>
      <c r="BT2093" s="1" t="str">
        <f>HYPERLINK("https%3A%2F%2Fwww.webofscience.com%2Fwos%2Fwoscc%2Ffull-record%2FWOS:A1990DQ27100003","View Full Record in Web of Science")</f>
        <v>View Full Record in Web of Science</v>
      </c>
      <c r="BU2093" s="1"/>
      <c r="BV2093" s="1"/>
    </row>
    <row r="2094" spans="1:74">
      <c r="A2094" s="1" t="s">
        <v>72</v>
      </c>
      <c r="B2094" s="1" t="s">
        <v>23434</v>
      </c>
      <c r="C2094" s="1" t="s">
        <v>74</v>
      </c>
      <c r="D2094" s="1" t="s">
        <v>74</v>
      </c>
      <c r="E2094" s="1" t="s">
        <v>74</v>
      </c>
      <c r="F2094" s="1" t="s">
        <v>23435</v>
      </c>
      <c r="G2094" s="1" t="s">
        <v>74</v>
      </c>
      <c r="H2094" s="1" t="s">
        <v>74</v>
      </c>
      <c r="I2094" s="1" t="s">
        <v>33722</v>
      </c>
      <c r="J2094" s="1" t="s">
        <v>3349</v>
      </c>
      <c r="K2094" s="1" t="s">
        <v>74</v>
      </c>
      <c r="L2094" s="1" t="s">
        <v>74</v>
      </c>
      <c r="M2094" s="1" t="s">
        <v>78</v>
      </c>
      <c r="N2094" s="1" t="s">
        <v>79</v>
      </c>
      <c r="O2094" s="1" t="s">
        <v>74</v>
      </c>
      <c r="P2094" s="1" t="s">
        <v>74</v>
      </c>
      <c r="Q2094" s="1" t="s">
        <v>74</v>
      </c>
      <c r="R2094" s="1" t="s">
        <v>74</v>
      </c>
      <c r="S2094" s="1" t="s">
        <v>74</v>
      </c>
      <c r="T2094" s="1" t="s">
        <v>33723</v>
      </c>
      <c r="U2094" s="1" t="s">
        <v>33724</v>
      </c>
      <c r="V2094" s="1" t="s">
        <v>33725</v>
      </c>
      <c r="W2094" s="1" t="s">
        <v>33726</v>
      </c>
      <c r="X2094" s="1" t="s">
        <v>33727</v>
      </c>
      <c r="Y2094" s="1" t="s">
        <v>33728</v>
      </c>
      <c r="Z2094" s="1" t="s">
        <v>33729</v>
      </c>
      <c r="AA2094" s="1" t="s">
        <v>74</v>
      </c>
      <c r="AB2094" s="1" t="s">
        <v>8157</v>
      </c>
      <c r="AC2094" s="1" t="s">
        <v>33730</v>
      </c>
      <c r="AD2094" s="1" t="s">
        <v>33731</v>
      </c>
      <c r="AE2094" s="1" t="s">
        <v>33732</v>
      </c>
      <c r="AF2094" s="1" t="s">
        <v>74</v>
      </c>
      <c r="AG2094" s="1">
        <v>82</v>
      </c>
      <c r="AH2094" s="1">
        <v>19</v>
      </c>
      <c r="AI2094" s="1">
        <v>21</v>
      </c>
      <c r="AJ2094" s="1">
        <v>0</v>
      </c>
      <c r="AK2094" s="1">
        <v>15</v>
      </c>
      <c r="AL2094" s="1" t="s">
        <v>3362</v>
      </c>
      <c r="AM2094" s="1" t="s">
        <v>3363</v>
      </c>
      <c r="AN2094" s="1" t="s">
        <v>3364</v>
      </c>
      <c r="AO2094" s="1" t="s">
        <v>3365</v>
      </c>
      <c r="AP2094" s="1" t="s">
        <v>3366</v>
      </c>
      <c r="AQ2094" s="1" t="s">
        <v>74</v>
      </c>
      <c r="AR2094" s="1" t="s">
        <v>3367</v>
      </c>
      <c r="AS2094" s="1" t="s">
        <v>3368</v>
      </c>
      <c r="AT2094" s="1" t="s">
        <v>5542</v>
      </c>
      <c r="AU2094" s="1">
        <v>2013</v>
      </c>
      <c r="AV2094" s="1">
        <v>92</v>
      </c>
      <c r="AW2094" s="1" t="s">
        <v>74</v>
      </c>
      <c r="AX2094" s="1" t="s">
        <v>74</v>
      </c>
      <c r="AY2094" s="1" t="s">
        <v>74</v>
      </c>
      <c r="AZ2094" s="1" t="s">
        <v>74</v>
      </c>
      <c r="BA2094" s="1" t="s">
        <v>74</v>
      </c>
      <c r="BB2094" s="1">
        <v>39</v>
      </c>
      <c r="BC2094" s="1">
        <v>50</v>
      </c>
      <c r="BD2094" s="1" t="s">
        <v>74</v>
      </c>
      <c r="BE2094" s="1" t="s">
        <v>33733</v>
      </c>
      <c r="BF2094" s="1" t="str">
        <f>HYPERLINK("http://dx.doi.org/10.1016/j.ecoenv.2013.02.007","http://dx.doi.org/10.1016/j.ecoenv.2013.02.007")</f>
        <v>http://dx.doi.org/10.1016/j.ecoenv.2013.02.007</v>
      </c>
      <c r="BG2094" s="1" t="s">
        <v>74</v>
      </c>
      <c r="BH2094" s="1" t="s">
        <v>74</v>
      </c>
      <c r="BI2094" s="1">
        <v>12</v>
      </c>
      <c r="BJ2094" s="1" t="s">
        <v>121</v>
      </c>
      <c r="BK2094" s="1" t="s">
        <v>96</v>
      </c>
      <c r="BL2094" s="1" t="s">
        <v>122</v>
      </c>
      <c r="BM2094" s="1" t="s">
        <v>33734</v>
      </c>
      <c r="BN2094" s="1">
        <v>23474068</v>
      </c>
      <c r="BO2094" s="1" t="s">
        <v>1752</v>
      </c>
      <c r="BP2094" s="1" t="s">
        <v>74</v>
      </c>
      <c r="BQ2094" s="1" t="s">
        <v>74</v>
      </c>
      <c r="BR2094" s="1" t="s">
        <v>98</v>
      </c>
      <c r="BS2094" s="1" t="s">
        <v>33735</v>
      </c>
      <c r="BT2094" s="1" t="str">
        <f>HYPERLINK("https%3A%2F%2Fwww.webofscience.com%2Fwos%2Fwoscc%2Ffull-record%2FWOS:000319030700006","View Full Record in Web of Science")</f>
        <v>View Full Record in Web of Science</v>
      </c>
      <c r="BU2094" s="1"/>
      <c r="BV2094" s="1"/>
    </row>
    <row r="2095" spans="1:74">
      <c r="A2095" s="1" t="s">
        <v>72</v>
      </c>
      <c r="B2095" s="1" t="s">
        <v>33736</v>
      </c>
      <c r="C2095" s="1" t="s">
        <v>74</v>
      </c>
      <c r="D2095" s="1" t="s">
        <v>74</v>
      </c>
      <c r="E2095" s="1" t="s">
        <v>74</v>
      </c>
      <c r="F2095" s="1" t="s">
        <v>33736</v>
      </c>
      <c r="G2095" s="1" t="s">
        <v>74</v>
      </c>
      <c r="H2095" s="1" t="s">
        <v>74</v>
      </c>
      <c r="I2095" s="1" t="s">
        <v>33737</v>
      </c>
      <c r="J2095" s="1" t="s">
        <v>103</v>
      </c>
      <c r="K2095" s="1" t="s">
        <v>74</v>
      </c>
      <c r="L2095" s="1" t="s">
        <v>74</v>
      </c>
      <c r="M2095" s="1" t="s">
        <v>78</v>
      </c>
      <c r="N2095" s="1" t="s">
        <v>79</v>
      </c>
      <c r="O2095" s="1" t="s">
        <v>74</v>
      </c>
      <c r="P2095" s="1" t="s">
        <v>74</v>
      </c>
      <c r="Q2095" s="1" t="s">
        <v>74</v>
      </c>
      <c r="R2095" s="1" t="s">
        <v>74</v>
      </c>
      <c r="S2095" s="1" t="s">
        <v>74</v>
      </c>
      <c r="T2095" s="1" t="s">
        <v>74</v>
      </c>
      <c r="U2095" s="1" t="s">
        <v>33738</v>
      </c>
      <c r="V2095" s="1" t="s">
        <v>74</v>
      </c>
      <c r="W2095" s="1" t="s">
        <v>33739</v>
      </c>
      <c r="X2095" s="1" t="s">
        <v>33740</v>
      </c>
      <c r="Y2095" s="1" t="s">
        <v>33741</v>
      </c>
      <c r="Z2095" s="1" t="s">
        <v>74</v>
      </c>
      <c r="AA2095" s="1" t="s">
        <v>74</v>
      </c>
      <c r="AB2095" s="1" t="s">
        <v>74</v>
      </c>
      <c r="AC2095" s="1" t="s">
        <v>74</v>
      </c>
      <c r="AD2095" s="1" t="s">
        <v>74</v>
      </c>
      <c r="AE2095" s="1" t="s">
        <v>74</v>
      </c>
      <c r="AF2095" s="1" t="s">
        <v>74</v>
      </c>
      <c r="AG2095" s="1">
        <v>16</v>
      </c>
      <c r="AH2095" s="1">
        <v>24</v>
      </c>
      <c r="AI2095" s="1">
        <v>29</v>
      </c>
      <c r="AJ2095" s="1">
        <v>0</v>
      </c>
      <c r="AK2095" s="1">
        <v>10</v>
      </c>
      <c r="AL2095" s="1" t="s">
        <v>2718</v>
      </c>
      <c r="AM2095" s="1" t="s">
        <v>113</v>
      </c>
      <c r="AN2095" s="1" t="s">
        <v>2719</v>
      </c>
      <c r="AO2095" s="1" t="s">
        <v>115</v>
      </c>
      <c r="AP2095" s="1" t="s">
        <v>74</v>
      </c>
      <c r="AQ2095" s="1" t="s">
        <v>74</v>
      </c>
      <c r="AR2095" s="1" t="s">
        <v>117</v>
      </c>
      <c r="AS2095" s="1" t="s">
        <v>118</v>
      </c>
      <c r="AT2095" s="1" t="s">
        <v>170</v>
      </c>
      <c r="AU2095" s="1">
        <v>2001</v>
      </c>
      <c r="AV2095" s="1">
        <v>66</v>
      </c>
      <c r="AW2095" s="1">
        <v>5</v>
      </c>
      <c r="AX2095" s="1" t="s">
        <v>74</v>
      </c>
      <c r="AY2095" s="1" t="s">
        <v>74</v>
      </c>
      <c r="AZ2095" s="1" t="s">
        <v>74</v>
      </c>
      <c r="BA2095" s="1" t="s">
        <v>74</v>
      </c>
      <c r="BB2095" s="1">
        <v>576</v>
      </c>
      <c r="BC2095" s="1">
        <v>581</v>
      </c>
      <c r="BD2095" s="1" t="s">
        <v>74</v>
      </c>
      <c r="BE2095" s="1" t="s">
        <v>74</v>
      </c>
      <c r="BF2095" s="1" t="s">
        <v>74</v>
      </c>
      <c r="BG2095" s="1" t="s">
        <v>74</v>
      </c>
      <c r="BH2095" s="1" t="s">
        <v>74</v>
      </c>
      <c r="BI2095" s="1">
        <v>6</v>
      </c>
      <c r="BJ2095" s="1" t="s">
        <v>121</v>
      </c>
      <c r="BK2095" s="1" t="s">
        <v>96</v>
      </c>
      <c r="BL2095" s="1" t="s">
        <v>122</v>
      </c>
      <c r="BM2095" s="1" t="s">
        <v>33742</v>
      </c>
      <c r="BN2095" s="1">
        <v>11443326</v>
      </c>
      <c r="BO2095" s="1" t="s">
        <v>74</v>
      </c>
      <c r="BP2095" s="1" t="s">
        <v>74</v>
      </c>
      <c r="BQ2095" s="1" t="s">
        <v>74</v>
      </c>
      <c r="BR2095" s="1" t="s">
        <v>98</v>
      </c>
      <c r="BS2095" s="1" t="s">
        <v>33743</v>
      </c>
      <c r="BT2095" s="1" t="str">
        <f>HYPERLINK("https%3A%2F%2Fwww.webofscience.com%2Fwos%2Fwoscc%2Ffull-record%2FWOS:000168290300005","View Full Record in Web of Science")</f>
        <v>View Full Record in Web of Science</v>
      </c>
      <c r="BU2095" s="1"/>
      <c r="BV2095" s="1"/>
    </row>
    <row r="2096" spans="1:74">
      <c r="A2096" s="1" t="s">
        <v>72</v>
      </c>
      <c r="B2096" s="1" t="s">
        <v>33744</v>
      </c>
      <c r="C2096" s="1" t="s">
        <v>74</v>
      </c>
      <c r="D2096" s="1" t="s">
        <v>74</v>
      </c>
      <c r="E2096" s="1" t="s">
        <v>74</v>
      </c>
      <c r="F2096" s="1" t="s">
        <v>33745</v>
      </c>
      <c r="G2096" s="1" t="s">
        <v>74</v>
      </c>
      <c r="H2096" s="1" t="s">
        <v>74</v>
      </c>
      <c r="I2096" s="1" t="s">
        <v>33746</v>
      </c>
      <c r="J2096" s="1" t="s">
        <v>2818</v>
      </c>
      <c r="K2096" s="1" t="s">
        <v>74</v>
      </c>
      <c r="L2096" s="1" t="s">
        <v>74</v>
      </c>
      <c r="M2096" s="1" t="s">
        <v>78</v>
      </c>
      <c r="N2096" s="1" t="s">
        <v>79</v>
      </c>
      <c r="O2096" s="1" t="s">
        <v>74</v>
      </c>
      <c r="P2096" s="1" t="s">
        <v>74</v>
      </c>
      <c r="Q2096" s="1" t="s">
        <v>74</v>
      </c>
      <c r="R2096" s="1" t="s">
        <v>74</v>
      </c>
      <c r="S2096" s="1" t="s">
        <v>74</v>
      </c>
      <c r="T2096" s="1" t="s">
        <v>33747</v>
      </c>
      <c r="U2096" s="1" t="s">
        <v>33748</v>
      </c>
      <c r="V2096" s="1" t="s">
        <v>33749</v>
      </c>
      <c r="W2096" s="1" t="s">
        <v>33750</v>
      </c>
      <c r="X2096" s="1" t="s">
        <v>33751</v>
      </c>
      <c r="Y2096" s="1" t="s">
        <v>33752</v>
      </c>
      <c r="Z2096" s="1" t="s">
        <v>33753</v>
      </c>
      <c r="AA2096" s="1" t="s">
        <v>33754</v>
      </c>
      <c r="AB2096" s="1" t="s">
        <v>33755</v>
      </c>
      <c r="AC2096" s="1" t="s">
        <v>74</v>
      </c>
      <c r="AD2096" s="1" t="s">
        <v>74</v>
      </c>
      <c r="AE2096" s="1" t="s">
        <v>74</v>
      </c>
      <c r="AF2096" s="1" t="s">
        <v>74</v>
      </c>
      <c r="AG2096" s="1">
        <v>78</v>
      </c>
      <c r="AH2096" s="1">
        <v>0</v>
      </c>
      <c r="AI2096" s="1">
        <v>0</v>
      </c>
      <c r="AJ2096" s="1">
        <v>4</v>
      </c>
      <c r="AK2096" s="1">
        <v>4</v>
      </c>
      <c r="AL2096" s="1" t="s">
        <v>1566</v>
      </c>
      <c r="AM2096" s="1" t="s">
        <v>1567</v>
      </c>
      <c r="AN2096" s="1" t="s">
        <v>1568</v>
      </c>
      <c r="AO2096" s="1" t="s">
        <v>74</v>
      </c>
      <c r="AP2096" s="1" t="s">
        <v>2829</v>
      </c>
      <c r="AQ2096" s="1" t="s">
        <v>74</v>
      </c>
      <c r="AR2096" s="1" t="s">
        <v>2818</v>
      </c>
      <c r="AS2096" s="1" t="s">
        <v>2830</v>
      </c>
      <c r="AT2096" s="1" t="s">
        <v>224</v>
      </c>
      <c r="AU2096" s="1">
        <v>2024</v>
      </c>
      <c r="AV2096" s="1">
        <v>13</v>
      </c>
      <c r="AW2096" s="1">
        <v>4</v>
      </c>
      <c r="AX2096" s="1" t="s">
        <v>74</v>
      </c>
      <c r="AY2096" s="1" t="s">
        <v>74</v>
      </c>
      <c r="AZ2096" s="1" t="s">
        <v>74</v>
      </c>
      <c r="BA2096" s="1" t="s">
        <v>74</v>
      </c>
      <c r="BB2096" s="1" t="s">
        <v>74</v>
      </c>
      <c r="BC2096" s="1" t="s">
        <v>74</v>
      </c>
      <c r="BD2096" s="1">
        <v>552</v>
      </c>
      <c r="BE2096" s="1" t="s">
        <v>33756</v>
      </c>
      <c r="BF2096" s="1" t="str">
        <f>HYPERLINK("http://dx.doi.org/10.3390/foods13040552","http://dx.doi.org/10.3390/foods13040552")</f>
        <v>http://dx.doi.org/10.3390/foods13040552</v>
      </c>
      <c r="BG2096" s="1" t="s">
        <v>74</v>
      </c>
      <c r="BH2096" s="1" t="s">
        <v>74</v>
      </c>
      <c r="BI2096" s="1">
        <v>15</v>
      </c>
      <c r="BJ2096" s="1" t="s">
        <v>2598</v>
      </c>
      <c r="BK2096" s="1" t="s">
        <v>96</v>
      </c>
      <c r="BL2096" s="1" t="s">
        <v>2598</v>
      </c>
      <c r="BM2096" s="1" t="s">
        <v>33757</v>
      </c>
      <c r="BN2096" s="1">
        <v>38397529</v>
      </c>
      <c r="BO2096" s="1" t="s">
        <v>550</v>
      </c>
      <c r="BP2096" s="1" t="s">
        <v>74</v>
      </c>
      <c r="BQ2096" s="1" t="s">
        <v>74</v>
      </c>
      <c r="BR2096" s="1" t="s">
        <v>98</v>
      </c>
      <c r="BS2096" s="1" t="s">
        <v>33758</v>
      </c>
      <c r="BT2096" s="1" t="str">
        <f>HYPERLINK("https%3A%2F%2Fwww.webofscience.com%2Fwos%2Fwoscc%2Ffull-record%2FWOS:001172047900001","View Full Record in Web of Science")</f>
        <v>View Full Record in Web of Science</v>
      </c>
      <c r="BU2096" s="1"/>
      <c r="BV2096" s="1"/>
    </row>
    <row r="2097" spans="1:74">
      <c r="A2097" s="1" t="s">
        <v>72</v>
      </c>
      <c r="B2097" s="1" t="s">
        <v>33759</v>
      </c>
      <c r="C2097" s="1" t="s">
        <v>74</v>
      </c>
      <c r="D2097" s="1" t="s">
        <v>74</v>
      </c>
      <c r="E2097" s="1" t="s">
        <v>74</v>
      </c>
      <c r="F2097" s="1" t="s">
        <v>33760</v>
      </c>
      <c r="G2097" s="1" t="s">
        <v>74</v>
      </c>
      <c r="H2097" s="1" t="s">
        <v>74</v>
      </c>
      <c r="I2097" s="1" t="s">
        <v>33761</v>
      </c>
      <c r="J2097" s="1" t="s">
        <v>554</v>
      </c>
      <c r="K2097" s="1" t="s">
        <v>74</v>
      </c>
      <c r="L2097" s="1" t="s">
        <v>74</v>
      </c>
      <c r="M2097" s="1" t="s">
        <v>78</v>
      </c>
      <c r="N2097" s="1" t="s">
        <v>79</v>
      </c>
      <c r="O2097" s="1" t="s">
        <v>74</v>
      </c>
      <c r="P2097" s="1" t="s">
        <v>74</v>
      </c>
      <c r="Q2097" s="1" t="s">
        <v>74</v>
      </c>
      <c r="R2097" s="1" t="s">
        <v>74</v>
      </c>
      <c r="S2097" s="1" t="s">
        <v>74</v>
      </c>
      <c r="T2097" s="1" t="s">
        <v>33762</v>
      </c>
      <c r="U2097" s="1" t="s">
        <v>33763</v>
      </c>
      <c r="V2097" s="1" t="s">
        <v>33764</v>
      </c>
      <c r="W2097" s="1" t="s">
        <v>33765</v>
      </c>
      <c r="X2097" s="1" t="s">
        <v>33766</v>
      </c>
      <c r="Y2097" s="1" t="s">
        <v>33767</v>
      </c>
      <c r="Z2097" s="1" t="s">
        <v>33768</v>
      </c>
      <c r="AA2097" s="1" t="s">
        <v>74</v>
      </c>
      <c r="AB2097" s="1" t="s">
        <v>74</v>
      </c>
      <c r="AC2097" s="1" t="s">
        <v>74</v>
      </c>
      <c r="AD2097" s="1" t="s">
        <v>74</v>
      </c>
      <c r="AE2097" s="1" t="s">
        <v>74</v>
      </c>
      <c r="AF2097" s="1" t="s">
        <v>74</v>
      </c>
      <c r="AG2097" s="1">
        <v>48</v>
      </c>
      <c r="AH2097" s="1">
        <v>35</v>
      </c>
      <c r="AI2097" s="1">
        <v>48</v>
      </c>
      <c r="AJ2097" s="1">
        <v>0</v>
      </c>
      <c r="AK2097" s="1">
        <v>28</v>
      </c>
      <c r="AL2097" s="1" t="s">
        <v>564</v>
      </c>
      <c r="AM2097" s="1" t="s">
        <v>113</v>
      </c>
      <c r="AN2097" s="1" t="s">
        <v>565</v>
      </c>
      <c r="AO2097" s="1" t="s">
        <v>566</v>
      </c>
      <c r="AP2097" s="1" t="s">
        <v>74</v>
      </c>
      <c r="AQ2097" s="1" t="s">
        <v>74</v>
      </c>
      <c r="AR2097" s="1" t="s">
        <v>568</v>
      </c>
      <c r="AS2097" s="1" t="s">
        <v>569</v>
      </c>
      <c r="AT2097" s="1" t="s">
        <v>93</v>
      </c>
      <c r="AU2097" s="1">
        <v>2008</v>
      </c>
      <c r="AV2097" s="1">
        <v>147</v>
      </c>
      <c r="AW2097" s="1">
        <v>3</v>
      </c>
      <c r="AX2097" s="1" t="s">
        <v>74</v>
      </c>
      <c r="AY2097" s="1" t="s">
        <v>74</v>
      </c>
      <c r="AZ2097" s="1" t="s">
        <v>74</v>
      </c>
      <c r="BA2097" s="1" t="s">
        <v>74</v>
      </c>
      <c r="BB2097" s="1">
        <v>378</v>
      </c>
      <c r="BC2097" s="1">
        <v>385</v>
      </c>
      <c r="BD2097" s="1" t="s">
        <v>74</v>
      </c>
      <c r="BE2097" s="1" t="s">
        <v>33769</v>
      </c>
      <c r="BF2097" s="1" t="str">
        <f>HYPERLINK("http://dx.doi.org/10.1016/j.cbpc.2008.01.006","http://dx.doi.org/10.1016/j.cbpc.2008.01.006")</f>
        <v>http://dx.doi.org/10.1016/j.cbpc.2008.01.006</v>
      </c>
      <c r="BG2097" s="1" t="s">
        <v>74</v>
      </c>
      <c r="BH2097" s="1" t="s">
        <v>74</v>
      </c>
      <c r="BI2097" s="1">
        <v>8</v>
      </c>
      <c r="BJ2097" s="1" t="s">
        <v>571</v>
      </c>
      <c r="BK2097" s="1" t="s">
        <v>96</v>
      </c>
      <c r="BL2097" s="1" t="s">
        <v>571</v>
      </c>
      <c r="BM2097" s="1" t="s">
        <v>33770</v>
      </c>
      <c r="BN2097" s="1">
        <v>18276194</v>
      </c>
      <c r="BO2097" s="1" t="s">
        <v>74</v>
      </c>
      <c r="BP2097" s="1" t="s">
        <v>74</v>
      </c>
      <c r="BQ2097" s="1" t="s">
        <v>74</v>
      </c>
      <c r="BR2097" s="1" t="s">
        <v>98</v>
      </c>
      <c r="BS2097" s="1" t="s">
        <v>33771</v>
      </c>
      <c r="BT2097" s="1" t="str">
        <f>HYPERLINK("https%3A%2F%2Fwww.webofscience.com%2Fwos%2Fwoscc%2Ffull-record%2FWOS:000254792300016","View Full Record in Web of Science")</f>
        <v>View Full Record in Web of Science</v>
      </c>
      <c r="BU2097" s="1"/>
      <c r="BV2097" s="1"/>
    </row>
    <row r="2098" spans="1:74">
      <c r="A2098" s="1" t="s">
        <v>72</v>
      </c>
      <c r="B2098" s="1" t="s">
        <v>33772</v>
      </c>
      <c r="C2098" s="1" t="s">
        <v>74</v>
      </c>
      <c r="D2098" s="1" t="s">
        <v>74</v>
      </c>
      <c r="E2098" s="1" t="s">
        <v>74</v>
      </c>
      <c r="F2098" s="1" t="s">
        <v>33773</v>
      </c>
      <c r="G2098" s="1" t="s">
        <v>74</v>
      </c>
      <c r="H2098" s="1" t="s">
        <v>74</v>
      </c>
      <c r="I2098" s="1" t="s">
        <v>33774</v>
      </c>
      <c r="J2098" s="1" t="s">
        <v>4247</v>
      </c>
      <c r="K2098" s="1" t="s">
        <v>74</v>
      </c>
      <c r="L2098" s="1" t="s">
        <v>74</v>
      </c>
      <c r="M2098" s="1" t="s">
        <v>78</v>
      </c>
      <c r="N2098" s="1" t="s">
        <v>79</v>
      </c>
      <c r="O2098" s="1" t="s">
        <v>74</v>
      </c>
      <c r="P2098" s="1" t="s">
        <v>74</v>
      </c>
      <c r="Q2098" s="1" t="s">
        <v>74</v>
      </c>
      <c r="R2098" s="1" t="s">
        <v>74</v>
      </c>
      <c r="S2098" s="1" t="s">
        <v>74</v>
      </c>
      <c r="T2098" s="1" t="s">
        <v>33775</v>
      </c>
      <c r="U2098" s="1" t="s">
        <v>33776</v>
      </c>
      <c r="V2098" s="1" t="s">
        <v>33777</v>
      </c>
      <c r="W2098" s="1" t="s">
        <v>33778</v>
      </c>
      <c r="X2098" s="1" t="s">
        <v>33779</v>
      </c>
      <c r="Y2098" s="1" t="s">
        <v>33780</v>
      </c>
      <c r="Z2098" s="1" t="s">
        <v>33781</v>
      </c>
      <c r="AA2098" s="1" t="s">
        <v>33782</v>
      </c>
      <c r="AB2098" s="1" t="s">
        <v>33783</v>
      </c>
      <c r="AC2098" s="1" t="s">
        <v>33784</v>
      </c>
      <c r="AD2098" s="1" t="s">
        <v>33785</v>
      </c>
      <c r="AE2098" s="1" t="s">
        <v>33786</v>
      </c>
      <c r="AF2098" s="1" t="s">
        <v>74</v>
      </c>
      <c r="AG2098" s="1">
        <v>56</v>
      </c>
      <c r="AH2098" s="1">
        <v>1</v>
      </c>
      <c r="AI2098" s="1">
        <v>1</v>
      </c>
      <c r="AJ2098" s="1">
        <v>0</v>
      </c>
      <c r="AK2098" s="1">
        <v>7</v>
      </c>
      <c r="AL2098" s="1" t="s">
        <v>2074</v>
      </c>
      <c r="AM2098" s="1" t="s">
        <v>2075</v>
      </c>
      <c r="AN2098" s="1" t="s">
        <v>2076</v>
      </c>
      <c r="AO2098" s="1" t="s">
        <v>4260</v>
      </c>
      <c r="AP2098" s="1" t="s">
        <v>4261</v>
      </c>
      <c r="AQ2098" s="1" t="s">
        <v>74</v>
      </c>
      <c r="AR2098" s="1" t="s">
        <v>4262</v>
      </c>
      <c r="AS2098" s="1" t="s">
        <v>4263</v>
      </c>
      <c r="AT2098" s="1" t="s">
        <v>33787</v>
      </c>
      <c r="AU2098" s="1">
        <v>2023</v>
      </c>
      <c r="AV2098" s="1">
        <v>105</v>
      </c>
      <c r="AW2098" s="1" t="s">
        <v>33788</v>
      </c>
      <c r="AX2098" s="1" t="s">
        <v>74</v>
      </c>
      <c r="AY2098" s="1" t="s">
        <v>74</v>
      </c>
      <c r="AZ2098" s="1" t="s">
        <v>74</v>
      </c>
      <c r="BA2098" s="1" t="s">
        <v>74</v>
      </c>
      <c r="BB2098" s="1">
        <v>147</v>
      </c>
      <c r="BC2098" s="1">
        <v>164</v>
      </c>
      <c r="BD2098" s="1" t="s">
        <v>74</v>
      </c>
      <c r="BE2098" s="1" t="s">
        <v>33789</v>
      </c>
      <c r="BF2098" s="1" t="str">
        <f>HYPERLINK("http://dx.doi.org/10.1080/02772248.2023.2244108","http://dx.doi.org/10.1080/02772248.2023.2244108")</f>
        <v>http://dx.doi.org/10.1080/02772248.2023.2244108</v>
      </c>
      <c r="BG2098" s="1" t="s">
        <v>74</v>
      </c>
      <c r="BH2098" s="1" t="s">
        <v>6411</v>
      </c>
      <c r="BI2098" s="1">
        <v>18</v>
      </c>
      <c r="BJ2098" s="1" t="s">
        <v>121</v>
      </c>
      <c r="BK2098" s="1" t="s">
        <v>96</v>
      </c>
      <c r="BL2098" s="1" t="s">
        <v>122</v>
      </c>
      <c r="BM2098" s="1" t="s">
        <v>33790</v>
      </c>
      <c r="BN2098" s="1" t="s">
        <v>74</v>
      </c>
      <c r="BO2098" s="1" t="s">
        <v>74</v>
      </c>
      <c r="BP2098" s="1" t="s">
        <v>74</v>
      </c>
      <c r="BQ2098" s="1" t="s">
        <v>74</v>
      </c>
      <c r="BR2098" s="1" t="s">
        <v>98</v>
      </c>
      <c r="BS2098" s="1" t="s">
        <v>33791</v>
      </c>
      <c r="BT2098" s="1" t="str">
        <f>HYPERLINK("https%3A%2F%2Fwww.webofscience.com%2Fwos%2Fwoscc%2Ffull-record%2FWOS:001049847100001","View Full Record in Web of Science")</f>
        <v>View Full Record in Web of Science</v>
      </c>
      <c r="BU2098" s="1"/>
      <c r="BV2098" s="1"/>
    </row>
    <row r="2099" spans="1:74">
      <c r="A2099" s="1" t="s">
        <v>72</v>
      </c>
      <c r="B2099" s="1" t="s">
        <v>33792</v>
      </c>
      <c r="C2099" s="1" t="s">
        <v>74</v>
      </c>
      <c r="D2099" s="1" t="s">
        <v>74</v>
      </c>
      <c r="E2099" s="1" t="s">
        <v>74</v>
      </c>
      <c r="F2099" s="1" t="s">
        <v>33793</v>
      </c>
      <c r="G2099" s="1" t="s">
        <v>74</v>
      </c>
      <c r="H2099" s="1" t="s">
        <v>74</v>
      </c>
      <c r="I2099" s="1" t="s">
        <v>33794</v>
      </c>
      <c r="J2099" s="1" t="s">
        <v>752</v>
      </c>
      <c r="K2099" s="1" t="s">
        <v>74</v>
      </c>
      <c r="L2099" s="1" t="s">
        <v>74</v>
      </c>
      <c r="M2099" s="1" t="s">
        <v>78</v>
      </c>
      <c r="N2099" s="1" t="s">
        <v>79</v>
      </c>
      <c r="O2099" s="1" t="s">
        <v>74</v>
      </c>
      <c r="P2099" s="1" t="s">
        <v>74</v>
      </c>
      <c r="Q2099" s="1" t="s">
        <v>74</v>
      </c>
      <c r="R2099" s="1" t="s">
        <v>74</v>
      </c>
      <c r="S2099" s="1" t="s">
        <v>74</v>
      </c>
      <c r="T2099" s="1" t="s">
        <v>33795</v>
      </c>
      <c r="U2099" s="1" t="s">
        <v>33796</v>
      </c>
      <c r="V2099" s="1" t="s">
        <v>33797</v>
      </c>
      <c r="W2099" s="1" t="s">
        <v>33798</v>
      </c>
      <c r="X2099" s="1" t="s">
        <v>33799</v>
      </c>
      <c r="Y2099" s="1" t="s">
        <v>33800</v>
      </c>
      <c r="Z2099" s="1" t="s">
        <v>33801</v>
      </c>
      <c r="AA2099" s="1" t="s">
        <v>33802</v>
      </c>
      <c r="AB2099" s="1" t="s">
        <v>33803</v>
      </c>
      <c r="AC2099" s="1" t="s">
        <v>33804</v>
      </c>
      <c r="AD2099" s="1" t="s">
        <v>525</v>
      </c>
      <c r="AE2099" s="1" t="s">
        <v>33805</v>
      </c>
      <c r="AF2099" s="1" t="s">
        <v>74</v>
      </c>
      <c r="AG2099" s="1">
        <v>57</v>
      </c>
      <c r="AH2099" s="1">
        <v>4</v>
      </c>
      <c r="AI2099" s="1">
        <v>4</v>
      </c>
      <c r="AJ2099" s="1">
        <v>5</v>
      </c>
      <c r="AK2099" s="1">
        <v>27</v>
      </c>
      <c r="AL2099" s="1" t="s">
        <v>430</v>
      </c>
      <c r="AM2099" s="1" t="s">
        <v>137</v>
      </c>
      <c r="AN2099" s="1" t="s">
        <v>431</v>
      </c>
      <c r="AO2099" s="1" t="s">
        <v>761</v>
      </c>
      <c r="AP2099" s="1" t="s">
        <v>762</v>
      </c>
      <c r="AQ2099" s="1" t="s">
        <v>74</v>
      </c>
      <c r="AR2099" s="1" t="s">
        <v>763</v>
      </c>
      <c r="AS2099" s="1" t="s">
        <v>764</v>
      </c>
      <c r="AT2099" s="1" t="s">
        <v>93</v>
      </c>
      <c r="AU2099" s="1">
        <v>2022</v>
      </c>
      <c r="AV2099" s="1">
        <v>176</v>
      </c>
      <c r="AW2099" s="1" t="s">
        <v>74</v>
      </c>
      <c r="AX2099" s="1" t="s">
        <v>74</v>
      </c>
      <c r="AY2099" s="1" t="s">
        <v>74</v>
      </c>
      <c r="AZ2099" s="1" t="s">
        <v>74</v>
      </c>
      <c r="BA2099" s="1" t="s">
        <v>74</v>
      </c>
      <c r="BB2099" s="1" t="s">
        <v>74</v>
      </c>
      <c r="BC2099" s="1" t="s">
        <v>74</v>
      </c>
      <c r="BD2099" s="1">
        <v>105593</v>
      </c>
      <c r="BE2099" s="1" t="s">
        <v>33806</v>
      </c>
      <c r="BF2099" s="1" t="str">
        <f>HYPERLINK("http://dx.doi.org/10.1016/j.marenvres.2022.105593","http://dx.doi.org/10.1016/j.marenvres.2022.105593")</f>
        <v>http://dx.doi.org/10.1016/j.marenvres.2022.105593</v>
      </c>
      <c r="BG2099" s="1" t="s">
        <v>74</v>
      </c>
      <c r="BH2099" s="1" t="s">
        <v>5038</v>
      </c>
      <c r="BI2099" s="1">
        <v>11</v>
      </c>
      <c r="BJ2099" s="1" t="s">
        <v>768</v>
      </c>
      <c r="BK2099" s="1" t="s">
        <v>96</v>
      </c>
      <c r="BL2099" s="1" t="s">
        <v>769</v>
      </c>
      <c r="BM2099" s="1" t="s">
        <v>17864</v>
      </c>
      <c r="BN2099" s="1">
        <v>35303644</v>
      </c>
      <c r="BO2099" s="1" t="s">
        <v>74</v>
      </c>
      <c r="BP2099" s="1" t="s">
        <v>74</v>
      </c>
      <c r="BQ2099" s="1" t="s">
        <v>74</v>
      </c>
      <c r="BR2099" s="1" t="s">
        <v>98</v>
      </c>
      <c r="BS2099" s="1" t="s">
        <v>33807</v>
      </c>
      <c r="BT2099" s="1" t="str">
        <f>HYPERLINK("https%3A%2F%2Fwww.webofscience.com%2Fwos%2Fwoscc%2Ffull-record%2FWOS:000779963600005","View Full Record in Web of Science")</f>
        <v>View Full Record in Web of Science</v>
      </c>
      <c r="BU2099" s="1"/>
      <c r="BV2099" s="1"/>
    </row>
    <row r="2100" spans="1:74">
      <c r="A2100" s="1" t="s">
        <v>72</v>
      </c>
      <c r="B2100" s="1" t="s">
        <v>33808</v>
      </c>
      <c r="C2100" s="1" t="s">
        <v>74</v>
      </c>
      <c r="D2100" s="1" t="s">
        <v>74</v>
      </c>
      <c r="E2100" s="1" t="s">
        <v>74</v>
      </c>
      <c r="F2100" s="1" t="s">
        <v>33808</v>
      </c>
      <c r="G2100" s="1" t="s">
        <v>74</v>
      </c>
      <c r="H2100" s="1" t="s">
        <v>74</v>
      </c>
      <c r="I2100" s="1" t="s">
        <v>33809</v>
      </c>
      <c r="J2100" s="1" t="s">
        <v>909</v>
      </c>
      <c r="K2100" s="1" t="s">
        <v>74</v>
      </c>
      <c r="L2100" s="1" t="s">
        <v>74</v>
      </c>
      <c r="M2100" s="1" t="s">
        <v>78</v>
      </c>
      <c r="N2100" s="1" t="s">
        <v>79</v>
      </c>
      <c r="O2100" s="1" t="s">
        <v>74</v>
      </c>
      <c r="P2100" s="1" t="s">
        <v>74</v>
      </c>
      <c r="Q2100" s="1" t="s">
        <v>74</v>
      </c>
      <c r="R2100" s="1" t="s">
        <v>74</v>
      </c>
      <c r="S2100" s="1" t="s">
        <v>74</v>
      </c>
      <c r="T2100" s="1" t="s">
        <v>33810</v>
      </c>
      <c r="U2100" s="1" t="s">
        <v>33811</v>
      </c>
      <c r="V2100" s="1" t="s">
        <v>33812</v>
      </c>
      <c r="W2100" s="1" t="s">
        <v>33813</v>
      </c>
      <c r="X2100" s="1" t="s">
        <v>33814</v>
      </c>
      <c r="Y2100" s="1" t="s">
        <v>33815</v>
      </c>
      <c r="Z2100" s="1" t="s">
        <v>74</v>
      </c>
      <c r="AA2100" s="1" t="s">
        <v>33816</v>
      </c>
      <c r="AB2100" s="1" t="s">
        <v>74</v>
      </c>
      <c r="AC2100" s="1" t="s">
        <v>74</v>
      </c>
      <c r="AD2100" s="1" t="s">
        <v>74</v>
      </c>
      <c r="AE2100" s="1" t="s">
        <v>74</v>
      </c>
      <c r="AF2100" s="1" t="s">
        <v>74</v>
      </c>
      <c r="AG2100" s="1">
        <v>43</v>
      </c>
      <c r="AH2100" s="1">
        <v>45</v>
      </c>
      <c r="AI2100" s="1">
        <v>47</v>
      </c>
      <c r="AJ2100" s="1">
        <v>1</v>
      </c>
      <c r="AK2100" s="1">
        <v>30</v>
      </c>
      <c r="AL2100" s="1" t="s">
        <v>919</v>
      </c>
      <c r="AM2100" s="1" t="s">
        <v>651</v>
      </c>
      <c r="AN2100" s="1" t="s">
        <v>920</v>
      </c>
      <c r="AO2100" s="1" t="s">
        <v>921</v>
      </c>
      <c r="AP2100" s="1" t="s">
        <v>74</v>
      </c>
      <c r="AQ2100" s="1" t="s">
        <v>74</v>
      </c>
      <c r="AR2100" s="1" t="s">
        <v>923</v>
      </c>
      <c r="AS2100" s="1" t="s">
        <v>924</v>
      </c>
      <c r="AT2100" s="1" t="s">
        <v>13375</v>
      </c>
      <c r="AU2100" s="1">
        <v>1999</v>
      </c>
      <c r="AV2100" s="1">
        <v>242</v>
      </c>
      <c r="AW2100" s="1" t="s">
        <v>2847</v>
      </c>
      <c r="AX2100" s="1" t="s">
        <v>74</v>
      </c>
      <c r="AY2100" s="1" t="s">
        <v>74</v>
      </c>
      <c r="AZ2100" s="1" t="s">
        <v>74</v>
      </c>
      <c r="BA2100" s="1" t="s">
        <v>74</v>
      </c>
      <c r="BB2100" s="1">
        <v>231</v>
      </c>
      <c r="BC2100" s="1">
        <v>248</v>
      </c>
      <c r="BD2100" s="1" t="s">
        <v>74</v>
      </c>
      <c r="BE2100" s="1" t="s">
        <v>33817</v>
      </c>
      <c r="BF2100" s="1" t="str">
        <f>HYPERLINK("http://dx.doi.org/10.1016/S0048-9697(99)00393-9","http://dx.doi.org/10.1016/S0048-9697(99)00393-9")</f>
        <v>http://dx.doi.org/10.1016/S0048-9697(99)00393-9</v>
      </c>
      <c r="BG2100" s="1" t="s">
        <v>74</v>
      </c>
      <c r="BH2100" s="1" t="s">
        <v>74</v>
      </c>
      <c r="BI2100" s="1">
        <v>18</v>
      </c>
      <c r="BJ2100" s="1" t="s">
        <v>144</v>
      </c>
      <c r="BK2100" s="1" t="s">
        <v>96</v>
      </c>
      <c r="BL2100" s="1" t="s">
        <v>145</v>
      </c>
      <c r="BM2100" s="1" t="s">
        <v>13377</v>
      </c>
      <c r="BN2100" s="1">
        <v>10635582</v>
      </c>
      <c r="BO2100" s="1" t="s">
        <v>74</v>
      </c>
      <c r="BP2100" s="1" t="s">
        <v>74</v>
      </c>
      <c r="BQ2100" s="1" t="s">
        <v>74</v>
      </c>
      <c r="BR2100" s="1" t="s">
        <v>98</v>
      </c>
      <c r="BS2100" s="1" t="s">
        <v>33818</v>
      </c>
      <c r="BT2100" s="1" t="str">
        <f>HYPERLINK("https%3A%2F%2Fwww.webofscience.com%2Fwos%2Fwoscc%2Ffull-record%2FWOS:000084565400017","View Full Record in Web of Science")</f>
        <v>View Full Record in Web of Science</v>
      </c>
      <c r="BU2100" s="1"/>
      <c r="BV2100" s="1"/>
    </row>
    <row r="2101" spans="1:74">
      <c r="A2101" s="1" t="s">
        <v>72</v>
      </c>
      <c r="B2101" s="1" t="s">
        <v>33819</v>
      </c>
      <c r="C2101" s="1" t="s">
        <v>74</v>
      </c>
      <c r="D2101" s="1" t="s">
        <v>74</v>
      </c>
      <c r="E2101" s="1" t="s">
        <v>74</v>
      </c>
      <c r="F2101" s="1" t="s">
        <v>33820</v>
      </c>
      <c r="G2101" s="1" t="s">
        <v>74</v>
      </c>
      <c r="H2101" s="1" t="s">
        <v>74</v>
      </c>
      <c r="I2101" s="1" t="s">
        <v>33821</v>
      </c>
      <c r="J2101" s="1" t="s">
        <v>24519</v>
      </c>
      <c r="K2101" s="1" t="s">
        <v>74</v>
      </c>
      <c r="L2101" s="1" t="s">
        <v>74</v>
      </c>
      <c r="M2101" s="1" t="s">
        <v>78</v>
      </c>
      <c r="N2101" s="1" t="s">
        <v>79</v>
      </c>
      <c r="O2101" s="1" t="s">
        <v>74</v>
      </c>
      <c r="P2101" s="1" t="s">
        <v>74</v>
      </c>
      <c r="Q2101" s="1" t="s">
        <v>74</v>
      </c>
      <c r="R2101" s="1" t="s">
        <v>74</v>
      </c>
      <c r="S2101" s="1" t="s">
        <v>74</v>
      </c>
      <c r="T2101" s="1" t="s">
        <v>33822</v>
      </c>
      <c r="U2101" s="1" t="s">
        <v>33823</v>
      </c>
      <c r="V2101" s="1" t="s">
        <v>33824</v>
      </c>
      <c r="W2101" s="1" t="s">
        <v>33825</v>
      </c>
      <c r="X2101" s="1" t="s">
        <v>33826</v>
      </c>
      <c r="Y2101" s="1" t="s">
        <v>33827</v>
      </c>
      <c r="Z2101" s="1" t="s">
        <v>33828</v>
      </c>
      <c r="AA2101" s="1" t="s">
        <v>33829</v>
      </c>
      <c r="AB2101" s="1" t="s">
        <v>33830</v>
      </c>
      <c r="AC2101" s="1" t="s">
        <v>33831</v>
      </c>
      <c r="AD2101" s="1" t="s">
        <v>33832</v>
      </c>
      <c r="AE2101" s="1" t="s">
        <v>33833</v>
      </c>
      <c r="AF2101" s="1" t="s">
        <v>74</v>
      </c>
      <c r="AG2101" s="1">
        <v>33</v>
      </c>
      <c r="AH2101" s="1">
        <v>0</v>
      </c>
      <c r="AI2101" s="1">
        <v>0</v>
      </c>
      <c r="AJ2101" s="1">
        <v>0</v>
      </c>
      <c r="AK2101" s="1">
        <v>6</v>
      </c>
      <c r="AL2101" s="1" t="s">
        <v>1433</v>
      </c>
      <c r="AM2101" s="1" t="s">
        <v>1434</v>
      </c>
      <c r="AN2101" s="1" t="s">
        <v>1435</v>
      </c>
      <c r="AO2101" s="1" t="s">
        <v>24529</v>
      </c>
      <c r="AP2101" s="1" t="s">
        <v>24530</v>
      </c>
      <c r="AQ2101" s="1" t="s">
        <v>74</v>
      </c>
      <c r="AR2101" s="1" t="s">
        <v>24531</v>
      </c>
      <c r="AS2101" s="1" t="s">
        <v>24532</v>
      </c>
      <c r="AT2101" s="1" t="s">
        <v>197</v>
      </c>
      <c r="AU2101" s="1">
        <v>2016</v>
      </c>
      <c r="AV2101" s="1">
        <v>54</v>
      </c>
      <c r="AW2101" s="1">
        <v>12</v>
      </c>
      <c r="AX2101" s="1" t="s">
        <v>74</v>
      </c>
      <c r="AY2101" s="1" t="s">
        <v>74</v>
      </c>
      <c r="AZ2101" s="1" t="s">
        <v>74</v>
      </c>
      <c r="BA2101" s="1" t="s">
        <v>74</v>
      </c>
      <c r="BB2101" s="1">
        <v>816</v>
      </c>
      <c r="BC2101" s="1">
        <v>821</v>
      </c>
      <c r="BD2101" s="1" t="s">
        <v>74</v>
      </c>
      <c r="BE2101" s="1" t="s">
        <v>74</v>
      </c>
      <c r="BF2101" s="1" t="s">
        <v>74</v>
      </c>
      <c r="BG2101" s="1" t="s">
        <v>74</v>
      </c>
      <c r="BH2101" s="1" t="s">
        <v>74</v>
      </c>
      <c r="BI2101" s="1">
        <v>6</v>
      </c>
      <c r="BJ2101" s="1" t="s">
        <v>171</v>
      </c>
      <c r="BK2101" s="1" t="s">
        <v>96</v>
      </c>
      <c r="BL2101" s="1" t="s">
        <v>173</v>
      </c>
      <c r="BM2101" s="1" t="s">
        <v>33834</v>
      </c>
      <c r="BN2101" s="1">
        <v>30183177</v>
      </c>
      <c r="BO2101" s="1" t="s">
        <v>74</v>
      </c>
      <c r="BP2101" s="1" t="s">
        <v>74</v>
      </c>
      <c r="BQ2101" s="1" t="s">
        <v>74</v>
      </c>
      <c r="BR2101" s="1" t="s">
        <v>98</v>
      </c>
      <c r="BS2101" s="1" t="s">
        <v>33835</v>
      </c>
      <c r="BT2101" s="1" t="str">
        <f>HYPERLINK("https%3A%2F%2Fwww.webofscience.com%2Fwos%2Fwoscc%2Ffull-record%2FWOS:000389559000003","View Full Record in Web of Science")</f>
        <v>View Full Record in Web of Science</v>
      </c>
      <c r="BU2101" s="1"/>
      <c r="BV2101" s="1"/>
    </row>
    <row r="2102" spans="1:74">
      <c r="A2102" s="1" t="s">
        <v>72</v>
      </c>
      <c r="B2102" s="1" t="s">
        <v>33836</v>
      </c>
      <c r="C2102" s="1" t="s">
        <v>74</v>
      </c>
      <c r="D2102" s="1" t="s">
        <v>74</v>
      </c>
      <c r="E2102" s="1" t="s">
        <v>74</v>
      </c>
      <c r="F2102" s="1" t="s">
        <v>33836</v>
      </c>
      <c r="G2102" s="1" t="s">
        <v>74</v>
      </c>
      <c r="H2102" s="1" t="s">
        <v>74</v>
      </c>
      <c r="I2102" s="1" t="s">
        <v>33837</v>
      </c>
      <c r="J2102" s="1" t="s">
        <v>19357</v>
      </c>
      <c r="K2102" s="1" t="s">
        <v>74</v>
      </c>
      <c r="L2102" s="1" t="s">
        <v>74</v>
      </c>
      <c r="M2102" s="1" t="s">
        <v>78</v>
      </c>
      <c r="N2102" s="1" t="s">
        <v>151</v>
      </c>
      <c r="O2102" s="1" t="s">
        <v>33838</v>
      </c>
      <c r="P2102" s="1" t="s">
        <v>33839</v>
      </c>
      <c r="Q2102" s="1" t="s">
        <v>33840</v>
      </c>
      <c r="R2102" s="1" t="s">
        <v>74</v>
      </c>
      <c r="S2102" s="1" t="s">
        <v>74</v>
      </c>
      <c r="T2102" s="1" t="s">
        <v>74</v>
      </c>
      <c r="U2102" s="1" t="s">
        <v>33841</v>
      </c>
      <c r="V2102" s="1" t="s">
        <v>33842</v>
      </c>
      <c r="W2102" s="1" t="s">
        <v>33843</v>
      </c>
      <c r="X2102" s="1" t="s">
        <v>21287</v>
      </c>
      <c r="Y2102" s="1" t="s">
        <v>33844</v>
      </c>
      <c r="Z2102" s="1" t="s">
        <v>74</v>
      </c>
      <c r="AA2102" s="1" t="s">
        <v>33845</v>
      </c>
      <c r="AB2102" s="1" t="s">
        <v>21290</v>
      </c>
      <c r="AC2102" s="1" t="s">
        <v>74</v>
      </c>
      <c r="AD2102" s="1" t="s">
        <v>74</v>
      </c>
      <c r="AE2102" s="1" t="s">
        <v>74</v>
      </c>
      <c r="AF2102" s="1" t="s">
        <v>74</v>
      </c>
      <c r="AG2102" s="1">
        <v>19</v>
      </c>
      <c r="AH2102" s="1">
        <v>44</v>
      </c>
      <c r="AI2102" s="1">
        <v>49</v>
      </c>
      <c r="AJ2102" s="1">
        <v>0</v>
      </c>
      <c r="AK2102" s="1">
        <v>5</v>
      </c>
      <c r="AL2102" s="1" t="s">
        <v>112</v>
      </c>
      <c r="AM2102" s="1" t="s">
        <v>113</v>
      </c>
      <c r="AN2102" s="1" t="s">
        <v>469</v>
      </c>
      <c r="AO2102" s="1" t="s">
        <v>19363</v>
      </c>
      <c r="AP2102" s="1" t="s">
        <v>74</v>
      </c>
      <c r="AQ2102" s="1" t="s">
        <v>74</v>
      </c>
      <c r="AR2102" s="1" t="s">
        <v>19364</v>
      </c>
      <c r="AS2102" s="1" t="s">
        <v>19365</v>
      </c>
      <c r="AT2102" s="1" t="s">
        <v>119</v>
      </c>
      <c r="AU2102" s="1">
        <v>1996</v>
      </c>
      <c r="AV2102" s="1">
        <v>355</v>
      </c>
      <c r="AW2102" s="1" t="s">
        <v>6693</v>
      </c>
      <c r="AX2102" s="1" t="s">
        <v>74</v>
      </c>
      <c r="AY2102" s="1" t="s">
        <v>74</v>
      </c>
      <c r="AZ2102" s="1" t="s">
        <v>74</v>
      </c>
      <c r="BA2102" s="1" t="s">
        <v>74</v>
      </c>
      <c r="BB2102" s="1">
        <v>789</v>
      </c>
      <c r="BC2102" s="1">
        <v>792</v>
      </c>
      <c r="BD2102" s="1" t="s">
        <v>74</v>
      </c>
      <c r="BE2102" s="1" t="s">
        <v>74</v>
      </c>
      <c r="BF2102" s="1" t="s">
        <v>74</v>
      </c>
      <c r="BG2102" s="1" t="s">
        <v>74</v>
      </c>
      <c r="BH2102" s="1" t="s">
        <v>74</v>
      </c>
      <c r="BI2102" s="1">
        <v>4</v>
      </c>
      <c r="BJ2102" s="1" t="s">
        <v>1196</v>
      </c>
      <c r="BK2102" s="1" t="s">
        <v>172</v>
      </c>
      <c r="BL2102" s="1" t="s">
        <v>1197</v>
      </c>
      <c r="BM2102" s="1" t="s">
        <v>33846</v>
      </c>
      <c r="BN2102" s="1" t="s">
        <v>74</v>
      </c>
      <c r="BO2102" s="1" t="s">
        <v>74</v>
      </c>
      <c r="BP2102" s="1" t="s">
        <v>74</v>
      </c>
      <c r="BQ2102" s="1" t="s">
        <v>74</v>
      </c>
      <c r="BR2102" s="1" t="s">
        <v>98</v>
      </c>
      <c r="BS2102" s="1" t="s">
        <v>33847</v>
      </c>
      <c r="BT2102" s="1" t="str">
        <f>HYPERLINK("https%3A%2F%2Fwww.webofscience.com%2Fwos%2Fwoscc%2Ffull-record%2FWOS:A1996UY97500007","View Full Record in Web of Science")</f>
        <v>View Full Record in Web of Science</v>
      </c>
      <c r="BU2102" s="1"/>
      <c r="BV2102" s="1"/>
    </row>
    <row r="2103" spans="1:74">
      <c r="A2103" s="1" t="s">
        <v>72</v>
      </c>
      <c r="B2103" s="1" t="s">
        <v>33848</v>
      </c>
      <c r="C2103" s="1" t="s">
        <v>74</v>
      </c>
      <c r="D2103" s="1" t="s">
        <v>74</v>
      </c>
      <c r="E2103" s="1" t="s">
        <v>74</v>
      </c>
      <c r="F2103" s="1" t="s">
        <v>33849</v>
      </c>
      <c r="G2103" s="1" t="s">
        <v>74</v>
      </c>
      <c r="H2103" s="1" t="s">
        <v>74</v>
      </c>
      <c r="I2103" s="1" t="s">
        <v>33850</v>
      </c>
      <c r="J2103" s="1" t="s">
        <v>595</v>
      </c>
      <c r="K2103" s="1" t="s">
        <v>74</v>
      </c>
      <c r="L2103" s="1" t="s">
        <v>74</v>
      </c>
      <c r="M2103" s="1" t="s">
        <v>78</v>
      </c>
      <c r="N2103" s="1" t="s">
        <v>151</v>
      </c>
      <c r="O2103" s="1" t="s">
        <v>33851</v>
      </c>
      <c r="P2103" s="1" t="s">
        <v>33852</v>
      </c>
      <c r="Q2103" s="1" t="s">
        <v>33853</v>
      </c>
      <c r="R2103" s="1" t="s">
        <v>74</v>
      </c>
      <c r="S2103" s="1" t="s">
        <v>33854</v>
      </c>
      <c r="T2103" s="1" t="s">
        <v>33855</v>
      </c>
      <c r="U2103" s="1" t="s">
        <v>33856</v>
      </c>
      <c r="V2103" s="1" t="s">
        <v>33857</v>
      </c>
      <c r="W2103" s="1" t="s">
        <v>33858</v>
      </c>
      <c r="X2103" s="1" t="s">
        <v>33859</v>
      </c>
      <c r="Y2103" s="1" t="s">
        <v>33860</v>
      </c>
      <c r="Z2103" s="1" t="s">
        <v>33861</v>
      </c>
      <c r="AA2103" s="1" t="s">
        <v>74</v>
      </c>
      <c r="AB2103" s="1" t="s">
        <v>33862</v>
      </c>
      <c r="AC2103" s="1" t="s">
        <v>74</v>
      </c>
      <c r="AD2103" s="1" t="s">
        <v>74</v>
      </c>
      <c r="AE2103" s="1" t="s">
        <v>74</v>
      </c>
      <c r="AF2103" s="1" t="s">
        <v>74</v>
      </c>
      <c r="AG2103" s="1">
        <v>57</v>
      </c>
      <c r="AH2103" s="1">
        <v>253</v>
      </c>
      <c r="AI2103" s="1">
        <v>293</v>
      </c>
      <c r="AJ2103" s="1">
        <v>2</v>
      </c>
      <c r="AK2103" s="1">
        <v>223</v>
      </c>
      <c r="AL2103" s="1" t="s">
        <v>112</v>
      </c>
      <c r="AM2103" s="1" t="s">
        <v>191</v>
      </c>
      <c r="AN2103" s="1" t="s">
        <v>192</v>
      </c>
      <c r="AO2103" s="1" t="s">
        <v>608</v>
      </c>
      <c r="AP2103" s="1" t="s">
        <v>609</v>
      </c>
      <c r="AQ2103" s="1" t="s">
        <v>74</v>
      </c>
      <c r="AR2103" s="1" t="s">
        <v>595</v>
      </c>
      <c r="AS2103" s="1" t="s">
        <v>610</v>
      </c>
      <c r="AT2103" s="1" t="s">
        <v>170</v>
      </c>
      <c r="AU2103" s="1">
        <v>2006</v>
      </c>
      <c r="AV2103" s="1">
        <v>15</v>
      </c>
      <c r="AW2103" s="1">
        <v>4</v>
      </c>
      <c r="AX2103" s="1" t="s">
        <v>74</v>
      </c>
      <c r="AY2103" s="1" t="s">
        <v>74</v>
      </c>
      <c r="AZ2103" s="1" t="s">
        <v>74</v>
      </c>
      <c r="BA2103" s="1" t="s">
        <v>74</v>
      </c>
      <c r="BB2103" s="1">
        <v>333</v>
      </c>
      <c r="BC2103" s="1">
        <v>340</v>
      </c>
      <c r="BD2103" s="1" t="s">
        <v>74</v>
      </c>
      <c r="BE2103" s="1" t="s">
        <v>33863</v>
      </c>
      <c r="BF2103" s="1" t="str">
        <f>HYPERLINK("http://dx.doi.org/10.1007/s10646-006-0069-1","http://dx.doi.org/10.1007/s10646-006-0069-1")</f>
        <v>http://dx.doi.org/10.1007/s10646-006-0069-1</v>
      </c>
      <c r="BG2103" s="1" t="s">
        <v>74</v>
      </c>
      <c r="BH2103" s="1" t="s">
        <v>74</v>
      </c>
      <c r="BI2103" s="1">
        <v>8</v>
      </c>
      <c r="BJ2103" s="1" t="s">
        <v>612</v>
      </c>
      <c r="BK2103" s="1" t="s">
        <v>172</v>
      </c>
      <c r="BL2103" s="1" t="s">
        <v>122</v>
      </c>
      <c r="BM2103" s="1" t="s">
        <v>33864</v>
      </c>
      <c r="BN2103" s="1">
        <v>16676218</v>
      </c>
      <c r="BO2103" s="1" t="s">
        <v>74</v>
      </c>
      <c r="BP2103" s="1" t="s">
        <v>74</v>
      </c>
      <c r="BQ2103" s="1" t="s">
        <v>74</v>
      </c>
      <c r="BR2103" s="1" t="s">
        <v>98</v>
      </c>
      <c r="BS2103" s="1" t="s">
        <v>33865</v>
      </c>
      <c r="BT2103" s="1" t="str">
        <f>HYPERLINK("https%3A%2F%2Fwww.webofscience.com%2Fwos%2Fwoscc%2Ffull-record%2FWOS:000238518000003","View Full Record in Web of Science")</f>
        <v>View Full Record in Web of Science</v>
      </c>
      <c r="BU2103" s="1"/>
      <c r="BV2103" s="1"/>
    </row>
    <row r="2104" spans="1:74">
      <c r="A2104" s="1" t="s">
        <v>72</v>
      </c>
      <c r="B2104" s="1" t="s">
        <v>33866</v>
      </c>
      <c r="C2104" s="1" t="s">
        <v>74</v>
      </c>
      <c r="D2104" s="1" t="s">
        <v>74</v>
      </c>
      <c r="E2104" s="1" t="s">
        <v>74</v>
      </c>
      <c r="F2104" s="1" t="s">
        <v>33867</v>
      </c>
      <c r="G2104" s="1" t="s">
        <v>74</v>
      </c>
      <c r="H2104" s="1" t="s">
        <v>74</v>
      </c>
      <c r="I2104" s="1" t="s">
        <v>33868</v>
      </c>
      <c r="J2104" s="1" t="s">
        <v>26375</v>
      </c>
      <c r="K2104" s="1" t="s">
        <v>74</v>
      </c>
      <c r="L2104" s="1" t="s">
        <v>74</v>
      </c>
      <c r="M2104" s="1" t="s">
        <v>78</v>
      </c>
      <c r="N2104" s="1" t="s">
        <v>151</v>
      </c>
      <c r="O2104" s="1" t="s">
        <v>33869</v>
      </c>
      <c r="P2104" s="1" t="s">
        <v>33870</v>
      </c>
      <c r="Q2104" s="1" t="s">
        <v>33871</v>
      </c>
      <c r="R2104" s="1" t="s">
        <v>74</v>
      </c>
      <c r="S2104" s="1" t="s">
        <v>74</v>
      </c>
      <c r="T2104" s="1" t="s">
        <v>33872</v>
      </c>
      <c r="U2104" s="1" t="s">
        <v>33873</v>
      </c>
      <c r="V2104" s="1" t="s">
        <v>33874</v>
      </c>
      <c r="W2104" s="1" t="s">
        <v>33875</v>
      </c>
      <c r="X2104" s="1" t="s">
        <v>33876</v>
      </c>
      <c r="Y2104" s="1" t="s">
        <v>33877</v>
      </c>
      <c r="Z2104" s="1" t="s">
        <v>33878</v>
      </c>
      <c r="AA2104" s="1" t="s">
        <v>33879</v>
      </c>
      <c r="AB2104" s="1" t="s">
        <v>33880</v>
      </c>
      <c r="AC2104" s="1" t="s">
        <v>33881</v>
      </c>
      <c r="AD2104" s="1" t="s">
        <v>33882</v>
      </c>
      <c r="AE2104" s="1" t="s">
        <v>33883</v>
      </c>
      <c r="AF2104" s="1" t="s">
        <v>74</v>
      </c>
      <c r="AG2104" s="1">
        <v>27</v>
      </c>
      <c r="AH2104" s="1">
        <v>8</v>
      </c>
      <c r="AI2104" s="1">
        <v>8</v>
      </c>
      <c r="AJ2104" s="1">
        <v>1</v>
      </c>
      <c r="AK2104" s="1">
        <v>48</v>
      </c>
      <c r="AL2104" s="1" t="s">
        <v>26385</v>
      </c>
      <c r="AM2104" s="1" t="s">
        <v>23826</v>
      </c>
      <c r="AN2104" s="1" t="s">
        <v>26386</v>
      </c>
      <c r="AO2104" s="1" t="s">
        <v>26387</v>
      </c>
      <c r="AP2104" s="1" t="s">
        <v>26388</v>
      </c>
      <c r="AQ2104" s="1" t="s">
        <v>74</v>
      </c>
      <c r="AR2104" s="1" t="s">
        <v>26389</v>
      </c>
      <c r="AS2104" s="1" t="s">
        <v>26390</v>
      </c>
      <c r="AT2104" s="1" t="s">
        <v>33884</v>
      </c>
      <c r="AU2104" s="1">
        <v>2013</v>
      </c>
      <c r="AV2104" s="1">
        <v>203</v>
      </c>
      <c r="AW2104" s="1">
        <v>1</v>
      </c>
      <c r="AX2104" s="1" t="s">
        <v>74</v>
      </c>
      <c r="AY2104" s="1" t="s">
        <v>74</v>
      </c>
      <c r="AZ2104" s="1" t="s">
        <v>225</v>
      </c>
      <c r="BA2104" s="1" t="s">
        <v>74</v>
      </c>
      <c r="BB2104" s="1">
        <v>277</v>
      </c>
      <c r="BC2104" s="1">
        <v>281</v>
      </c>
      <c r="BD2104" s="1" t="s">
        <v>74</v>
      </c>
      <c r="BE2104" s="1" t="s">
        <v>33885</v>
      </c>
      <c r="BF2104" s="1" t="str">
        <f>HYPERLINK("http://dx.doi.org/10.1016/j.cbi.2012.09.005","http://dx.doi.org/10.1016/j.cbi.2012.09.005")</f>
        <v>http://dx.doi.org/10.1016/j.cbi.2012.09.005</v>
      </c>
      <c r="BG2104" s="1" t="s">
        <v>74</v>
      </c>
      <c r="BH2104" s="1" t="s">
        <v>74</v>
      </c>
      <c r="BI2104" s="1">
        <v>5</v>
      </c>
      <c r="BJ2104" s="1" t="s">
        <v>26393</v>
      </c>
      <c r="BK2104" s="1" t="s">
        <v>172</v>
      </c>
      <c r="BL2104" s="1" t="s">
        <v>26393</v>
      </c>
      <c r="BM2104" s="1" t="s">
        <v>33886</v>
      </c>
      <c r="BN2104" s="1">
        <v>23000449</v>
      </c>
      <c r="BO2104" s="1" t="s">
        <v>74</v>
      </c>
      <c r="BP2104" s="1" t="s">
        <v>74</v>
      </c>
      <c r="BQ2104" s="1" t="s">
        <v>74</v>
      </c>
      <c r="BR2104" s="1" t="s">
        <v>98</v>
      </c>
      <c r="BS2104" s="1" t="s">
        <v>33887</v>
      </c>
      <c r="BT2104" s="1" t="str">
        <f>HYPERLINK("https%3A%2F%2Fwww.webofscience.com%2Fwos%2Fwoscc%2Ffull-record%2FWOS:000318201800055","View Full Record in Web of Science")</f>
        <v>View Full Record in Web of Science</v>
      </c>
      <c r="BU2104" s="1"/>
      <c r="BV2104" s="1"/>
    </row>
    <row r="2105" spans="1:74">
      <c r="A2105" s="1" t="s">
        <v>72</v>
      </c>
      <c r="B2105" s="1" t="s">
        <v>16086</v>
      </c>
      <c r="C2105" s="1" t="s">
        <v>74</v>
      </c>
      <c r="D2105" s="1" t="s">
        <v>74</v>
      </c>
      <c r="E2105" s="1" t="s">
        <v>74</v>
      </c>
      <c r="F2105" s="1" t="s">
        <v>16087</v>
      </c>
      <c r="G2105" s="1" t="s">
        <v>74</v>
      </c>
      <c r="H2105" s="1" t="s">
        <v>74</v>
      </c>
      <c r="I2105" s="1" t="s">
        <v>33888</v>
      </c>
      <c r="J2105" s="1" t="s">
        <v>909</v>
      </c>
      <c r="K2105" s="1" t="s">
        <v>74</v>
      </c>
      <c r="L2105" s="1" t="s">
        <v>74</v>
      </c>
      <c r="M2105" s="1" t="s">
        <v>78</v>
      </c>
      <c r="N2105" s="1" t="s">
        <v>79</v>
      </c>
      <c r="O2105" s="1" t="s">
        <v>74</v>
      </c>
      <c r="P2105" s="1" t="s">
        <v>74</v>
      </c>
      <c r="Q2105" s="1" t="s">
        <v>74</v>
      </c>
      <c r="R2105" s="1" t="s">
        <v>74</v>
      </c>
      <c r="S2105" s="1" t="s">
        <v>74</v>
      </c>
      <c r="T2105" s="1" t="s">
        <v>33889</v>
      </c>
      <c r="U2105" s="1" t="s">
        <v>33890</v>
      </c>
      <c r="V2105" s="1" t="s">
        <v>33891</v>
      </c>
      <c r="W2105" s="1" t="s">
        <v>33892</v>
      </c>
      <c r="X2105" s="1" t="s">
        <v>1481</v>
      </c>
      <c r="Y2105" s="1" t="s">
        <v>11543</v>
      </c>
      <c r="Z2105" s="1" t="s">
        <v>1483</v>
      </c>
      <c r="AA2105" s="1" t="s">
        <v>2900</v>
      </c>
      <c r="AB2105" s="1" t="s">
        <v>2183</v>
      </c>
      <c r="AC2105" s="1" t="s">
        <v>16095</v>
      </c>
      <c r="AD2105" s="1" t="s">
        <v>16096</v>
      </c>
      <c r="AE2105" s="1" t="s">
        <v>33893</v>
      </c>
      <c r="AF2105" s="1" t="s">
        <v>74</v>
      </c>
      <c r="AG2105" s="1">
        <v>69</v>
      </c>
      <c r="AH2105" s="1">
        <v>37</v>
      </c>
      <c r="AI2105" s="1">
        <v>38</v>
      </c>
      <c r="AJ2105" s="1">
        <v>1</v>
      </c>
      <c r="AK2105" s="1">
        <v>40</v>
      </c>
      <c r="AL2105" s="1" t="s">
        <v>919</v>
      </c>
      <c r="AM2105" s="1" t="s">
        <v>651</v>
      </c>
      <c r="AN2105" s="1" t="s">
        <v>920</v>
      </c>
      <c r="AO2105" s="1" t="s">
        <v>921</v>
      </c>
      <c r="AP2105" s="1" t="s">
        <v>922</v>
      </c>
      <c r="AQ2105" s="1" t="s">
        <v>74</v>
      </c>
      <c r="AR2105" s="1" t="s">
        <v>923</v>
      </c>
      <c r="AS2105" s="1" t="s">
        <v>924</v>
      </c>
      <c r="AT2105" s="1" t="s">
        <v>7041</v>
      </c>
      <c r="AU2105" s="1">
        <v>2016</v>
      </c>
      <c r="AV2105" s="1">
        <v>544</v>
      </c>
      <c r="AW2105" s="1" t="s">
        <v>74</v>
      </c>
      <c r="AX2105" s="1" t="s">
        <v>74</v>
      </c>
      <c r="AY2105" s="1" t="s">
        <v>74</v>
      </c>
      <c r="AZ2105" s="1" t="s">
        <v>74</v>
      </c>
      <c r="BA2105" s="1" t="s">
        <v>74</v>
      </c>
      <c r="BB2105" s="1">
        <v>281</v>
      </c>
      <c r="BC2105" s="1">
        <v>290</v>
      </c>
      <c r="BD2105" s="1" t="s">
        <v>74</v>
      </c>
      <c r="BE2105" s="1" t="s">
        <v>33894</v>
      </c>
      <c r="BF2105" s="1" t="str">
        <f>HYPERLINK("http://dx.doi.org/10.1016/j.scitotenv.2015.11.120","http://dx.doi.org/10.1016/j.scitotenv.2015.11.120")</f>
        <v>http://dx.doi.org/10.1016/j.scitotenv.2015.11.120</v>
      </c>
      <c r="BG2105" s="1" t="s">
        <v>74</v>
      </c>
      <c r="BH2105" s="1" t="s">
        <v>74</v>
      </c>
      <c r="BI2105" s="1">
        <v>10</v>
      </c>
      <c r="BJ2105" s="1" t="s">
        <v>144</v>
      </c>
      <c r="BK2105" s="1" t="s">
        <v>96</v>
      </c>
      <c r="BL2105" s="1" t="s">
        <v>145</v>
      </c>
      <c r="BM2105" s="1" t="s">
        <v>33895</v>
      </c>
      <c r="BN2105" s="1">
        <v>26657374</v>
      </c>
      <c r="BO2105" s="1" t="s">
        <v>74</v>
      </c>
      <c r="BP2105" s="1" t="s">
        <v>74</v>
      </c>
      <c r="BQ2105" s="1" t="s">
        <v>74</v>
      </c>
      <c r="BR2105" s="1" t="s">
        <v>98</v>
      </c>
      <c r="BS2105" s="1" t="s">
        <v>33896</v>
      </c>
      <c r="BT2105" s="1" t="str">
        <f>HYPERLINK("https%3A%2F%2Fwww.webofscience.com%2Fwos%2Fwoscc%2Ffull-record%2FWOS:000369491500033","View Full Record in Web of Science")</f>
        <v>View Full Record in Web of Science</v>
      </c>
      <c r="BU2105" s="1"/>
      <c r="BV2105" s="1"/>
    </row>
    <row r="2106" spans="1:74">
      <c r="A2106" s="1" t="s">
        <v>72</v>
      </c>
      <c r="B2106" s="1" t="s">
        <v>33897</v>
      </c>
      <c r="C2106" s="1" t="s">
        <v>74</v>
      </c>
      <c r="D2106" s="1" t="s">
        <v>74</v>
      </c>
      <c r="E2106" s="1" t="s">
        <v>74</v>
      </c>
      <c r="F2106" s="1" t="s">
        <v>33898</v>
      </c>
      <c r="G2106" s="1" t="s">
        <v>74</v>
      </c>
      <c r="H2106" s="1" t="s">
        <v>74</v>
      </c>
      <c r="I2106" s="1" t="s">
        <v>33899</v>
      </c>
      <c r="J2106" s="1" t="s">
        <v>704</v>
      </c>
      <c r="K2106" s="1" t="s">
        <v>74</v>
      </c>
      <c r="L2106" s="1" t="s">
        <v>74</v>
      </c>
      <c r="M2106" s="1" t="s">
        <v>78</v>
      </c>
      <c r="N2106" s="1" t="s">
        <v>79</v>
      </c>
      <c r="O2106" s="1" t="s">
        <v>74</v>
      </c>
      <c r="P2106" s="1" t="s">
        <v>74</v>
      </c>
      <c r="Q2106" s="1" t="s">
        <v>74</v>
      </c>
      <c r="R2106" s="1" t="s">
        <v>74</v>
      </c>
      <c r="S2106" s="1" t="s">
        <v>74</v>
      </c>
      <c r="T2106" s="1" t="s">
        <v>33900</v>
      </c>
      <c r="U2106" s="1" t="s">
        <v>33901</v>
      </c>
      <c r="V2106" s="1" t="s">
        <v>33902</v>
      </c>
      <c r="W2106" s="1" t="s">
        <v>33903</v>
      </c>
      <c r="X2106" s="1" t="s">
        <v>33904</v>
      </c>
      <c r="Y2106" s="1" t="s">
        <v>33905</v>
      </c>
      <c r="Z2106" s="1" t="s">
        <v>9495</v>
      </c>
      <c r="AA2106" s="1" t="s">
        <v>33906</v>
      </c>
      <c r="AB2106" s="1" t="s">
        <v>33907</v>
      </c>
      <c r="AC2106" s="1" t="s">
        <v>74</v>
      </c>
      <c r="AD2106" s="1" t="s">
        <v>74</v>
      </c>
      <c r="AE2106" s="1" t="s">
        <v>74</v>
      </c>
      <c r="AF2106" s="1" t="s">
        <v>74</v>
      </c>
      <c r="AG2106" s="1">
        <v>24</v>
      </c>
      <c r="AH2106" s="1">
        <v>6</v>
      </c>
      <c r="AI2106" s="1">
        <v>7</v>
      </c>
      <c r="AJ2106" s="1">
        <v>0</v>
      </c>
      <c r="AK2106" s="1">
        <v>10</v>
      </c>
      <c r="AL2106" s="1" t="s">
        <v>4010</v>
      </c>
      <c r="AM2106" s="1" t="s">
        <v>1167</v>
      </c>
      <c r="AN2106" s="1" t="s">
        <v>1168</v>
      </c>
      <c r="AO2106" s="1" t="s">
        <v>718</v>
      </c>
      <c r="AP2106" s="1" t="s">
        <v>1169</v>
      </c>
      <c r="AQ2106" s="1" t="s">
        <v>74</v>
      </c>
      <c r="AR2106" s="1" t="s">
        <v>719</v>
      </c>
      <c r="AS2106" s="1" t="s">
        <v>720</v>
      </c>
      <c r="AT2106" s="1" t="s">
        <v>267</v>
      </c>
      <c r="AU2106" s="1">
        <v>2010</v>
      </c>
      <c r="AV2106" s="1">
        <v>212</v>
      </c>
      <c r="AW2106" s="1" t="s">
        <v>721</v>
      </c>
      <c r="AX2106" s="1" t="s">
        <v>74</v>
      </c>
      <c r="AY2106" s="1" t="s">
        <v>74</v>
      </c>
      <c r="AZ2106" s="1" t="s">
        <v>74</v>
      </c>
      <c r="BA2106" s="1" t="s">
        <v>74</v>
      </c>
      <c r="BB2106" s="1">
        <v>329</v>
      </c>
      <c r="BC2106" s="1">
        <v>336</v>
      </c>
      <c r="BD2106" s="1" t="s">
        <v>74</v>
      </c>
      <c r="BE2106" s="1" t="s">
        <v>33908</v>
      </c>
      <c r="BF2106" s="1" t="str">
        <f>HYPERLINK("http://dx.doi.org/10.1007/s11270-010-0346-8","http://dx.doi.org/10.1007/s11270-010-0346-8")</f>
        <v>http://dx.doi.org/10.1007/s11270-010-0346-8</v>
      </c>
      <c r="BG2106" s="1" t="s">
        <v>74</v>
      </c>
      <c r="BH2106" s="1" t="s">
        <v>74</v>
      </c>
      <c r="BI2106" s="1">
        <v>8</v>
      </c>
      <c r="BJ2106" s="1" t="s">
        <v>722</v>
      </c>
      <c r="BK2106" s="1" t="s">
        <v>96</v>
      </c>
      <c r="BL2106" s="1" t="s">
        <v>723</v>
      </c>
      <c r="BM2106" s="1" t="s">
        <v>33909</v>
      </c>
      <c r="BN2106" s="1" t="s">
        <v>74</v>
      </c>
      <c r="BO2106" s="1" t="s">
        <v>74</v>
      </c>
      <c r="BP2106" s="1" t="s">
        <v>74</v>
      </c>
      <c r="BQ2106" s="1" t="s">
        <v>74</v>
      </c>
      <c r="BR2106" s="1" t="s">
        <v>98</v>
      </c>
      <c r="BS2106" s="1" t="s">
        <v>33910</v>
      </c>
      <c r="BT2106" s="1" t="str">
        <f>HYPERLINK("https%3A%2F%2Fwww.webofscience.com%2Fwos%2Fwoscc%2Ffull-record%2FWOS:000281983900028","View Full Record in Web of Science")</f>
        <v>View Full Record in Web of Science</v>
      </c>
      <c r="BU2106" s="1"/>
      <c r="BV2106" s="1"/>
    </row>
    <row r="2107" spans="1:74">
      <c r="A2107" s="1" t="s">
        <v>72</v>
      </c>
      <c r="B2107" s="1" t="s">
        <v>33911</v>
      </c>
      <c r="C2107" s="1" t="s">
        <v>74</v>
      </c>
      <c r="D2107" s="1" t="s">
        <v>74</v>
      </c>
      <c r="E2107" s="1" t="s">
        <v>74</v>
      </c>
      <c r="F2107" s="1" t="s">
        <v>33912</v>
      </c>
      <c r="G2107" s="1" t="s">
        <v>74</v>
      </c>
      <c r="H2107" s="1" t="s">
        <v>74</v>
      </c>
      <c r="I2107" s="1" t="s">
        <v>33913</v>
      </c>
      <c r="J2107" s="1" t="s">
        <v>909</v>
      </c>
      <c r="K2107" s="1" t="s">
        <v>74</v>
      </c>
      <c r="L2107" s="1" t="s">
        <v>74</v>
      </c>
      <c r="M2107" s="1" t="s">
        <v>78</v>
      </c>
      <c r="N2107" s="1" t="s">
        <v>79</v>
      </c>
      <c r="O2107" s="1" t="s">
        <v>74</v>
      </c>
      <c r="P2107" s="1" t="s">
        <v>74</v>
      </c>
      <c r="Q2107" s="1" t="s">
        <v>74</v>
      </c>
      <c r="R2107" s="1" t="s">
        <v>74</v>
      </c>
      <c r="S2107" s="1" t="s">
        <v>74</v>
      </c>
      <c r="T2107" s="1" t="s">
        <v>33914</v>
      </c>
      <c r="U2107" s="1" t="s">
        <v>33915</v>
      </c>
      <c r="V2107" s="1" t="s">
        <v>33916</v>
      </c>
      <c r="W2107" s="1" t="s">
        <v>33917</v>
      </c>
      <c r="X2107" s="1" t="s">
        <v>7465</v>
      </c>
      <c r="Y2107" s="1" t="s">
        <v>33918</v>
      </c>
      <c r="Z2107" s="1" t="s">
        <v>15941</v>
      </c>
      <c r="AA2107" s="1" t="s">
        <v>15942</v>
      </c>
      <c r="AB2107" s="1" t="s">
        <v>33919</v>
      </c>
      <c r="AC2107" s="1" t="s">
        <v>33920</v>
      </c>
      <c r="AD2107" s="1" t="s">
        <v>6552</v>
      </c>
      <c r="AE2107" s="1" t="s">
        <v>33921</v>
      </c>
      <c r="AF2107" s="1" t="s">
        <v>74</v>
      </c>
      <c r="AG2107" s="1">
        <v>80</v>
      </c>
      <c r="AH2107" s="1">
        <v>7</v>
      </c>
      <c r="AI2107" s="1">
        <v>7</v>
      </c>
      <c r="AJ2107" s="1">
        <v>0</v>
      </c>
      <c r="AK2107" s="1">
        <v>44</v>
      </c>
      <c r="AL2107" s="1" t="s">
        <v>650</v>
      </c>
      <c r="AM2107" s="1" t="s">
        <v>651</v>
      </c>
      <c r="AN2107" s="1" t="s">
        <v>652</v>
      </c>
      <c r="AO2107" s="1" t="s">
        <v>921</v>
      </c>
      <c r="AP2107" s="1" t="s">
        <v>922</v>
      </c>
      <c r="AQ2107" s="1" t="s">
        <v>74</v>
      </c>
      <c r="AR2107" s="1" t="s">
        <v>923</v>
      </c>
      <c r="AS2107" s="1" t="s">
        <v>924</v>
      </c>
      <c r="AT2107" s="1" t="s">
        <v>18988</v>
      </c>
      <c r="AU2107" s="1">
        <v>2020</v>
      </c>
      <c r="AV2107" s="1">
        <v>734</v>
      </c>
      <c r="AW2107" s="1" t="s">
        <v>74</v>
      </c>
      <c r="AX2107" s="1" t="s">
        <v>74</v>
      </c>
      <c r="AY2107" s="1" t="s">
        <v>74</v>
      </c>
      <c r="AZ2107" s="1" t="s">
        <v>74</v>
      </c>
      <c r="BA2107" s="1" t="s">
        <v>74</v>
      </c>
      <c r="BB2107" s="1" t="s">
        <v>74</v>
      </c>
      <c r="BC2107" s="1" t="s">
        <v>74</v>
      </c>
      <c r="BD2107" s="1">
        <v>139015</v>
      </c>
      <c r="BE2107" s="1" t="s">
        <v>33922</v>
      </c>
      <c r="BF2107" s="1" t="str">
        <f>HYPERLINK("http://dx.doi.org/10.1016/j.scitotenv.2020.139015","http://dx.doi.org/10.1016/j.scitotenv.2020.139015")</f>
        <v>http://dx.doi.org/10.1016/j.scitotenv.2020.139015</v>
      </c>
      <c r="BG2107" s="1" t="s">
        <v>74</v>
      </c>
      <c r="BH2107" s="1" t="s">
        <v>74</v>
      </c>
      <c r="BI2107" s="1">
        <v>13</v>
      </c>
      <c r="BJ2107" s="1" t="s">
        <v>144</v>
      </c>
      <c r="BK2107" s="1" t="s">
        <v>96</v>
      </c>
      <c r="BL2107" s="1" t="s">
        <v>145</v>
      </c>
      <c r="BM2107" s="1" t="s">
        <v>33923</v>
      </c>
      <c r="BN2107" s="1">
        <v>32460065</v>
      </c>
      <c r="BO2107" s="1" t="s">
        <v>74</v>
      </c>
      <c r="BP2107" s="1" t="s">
        <v>74</v>
      </c>
      <c r="BQ2107" s="1" t="s">
        <v>74</v>
      </c>
      <c r="BR2107" s="1" t="s">
        <v>98</v>
      </c>
      <c r="BS2107" s="1" t="s">
        <v>33924</v>
      </c>
      <c r="BT2107" s="1" t="str">
        <f>HYPERLINK("https%3A%2F%2Fwww.webofscience.com%2Fwos%2Fwoscc%2Ffull-record%2FWOS:000540272000012","View Full Record in Web of Science")</f>
        <v>View Full Record in Web of Science</v>
      </c>
      <c r="BU2107" s="1"/>
      <c r="BV2107" s="1"/>
    </row>
    <row r="2108" spans="1:74">
      <c r="A2108" s="1" t="s">
        <v>72</v>
      </c>
      <c r="B2108" s="1" t="s">
        <v>33925</v>
      </c>
      <c r="C2108" s="1" t="s">
        <v>74</v>
      </c>
      <c r="D2108" s="1" t="s">
        <v>74</v>
      </c>
      <c r="E2108" s="1" t="s">
        <v>74</v>
      </c>
      <c r="F2108" s="1" t="s">
        <v>33926</v>
      </c>
      <c r="G2108" s="1" t="s">
        <v>74</v>
      </c>
      <c r="H2108" s="1" t="s">
        <v>74</v>
      </c>
      <c r="I2108" s="1" t="s">
        <v>33927</v>
      </c>
      <c r="J2108" s="1" t="s">
        <v>6814</v>
      </c>
      <c r="K2108" s="1" t="s">
        <v>74</v>
      </c>
      <c r="L2108" s="1" t="s">
        <v>74</v>
      </c>
      <c r="M2108" s="1" t="s">
        <v>78</v>
      </c>
      <c r="N2108" s="1" t="s">
        <v>151</v>
      </c>
      <c r="O2108" s="1" t="s">
        <v>9456</v>
      </c>
      <c r="P2108" s="1" t="s">
        <v>9457</v>
      </c>
      <c r="Q2108" s="1" t="s">
        <v>9458</v>
      </c>
      <c r="R2108" s="1" t="s">
        <v>74</v>
      </c>
      <c r="S2108" s="1" t="s">
        <v>9459</v>
      </c>
      <c r="T2108" s="1" t="s">
        <v>33928</v>
      </c>
      <c r="U2108" s="1" t="s">
        <v>33929</v>
      </c>
      <c r="V2108" s="1" t="s">
        <v>33930</v>
      </c>
      <c r="W2108" s="1" t="s">
        <v>33931</v>
      </c>
      <c r="X2108" s="1" t="s">
        <v>24990</v>
      </c>
      <c r="Y2108" s="1" t="s">
        <v>33932</v>
      </c>
      <c r="Z2108" s="1" t="s">
        <v>24992</v>
      </c>
      <c r="AA2108" s="1" t="s">
        <v>33933</v>
      </c>
      <c r="AB2108" s="1" t="s">
        <v>33934</v>
      </c>
      <c r="AC2108" s="1" t="s">
        <v>74</v>
      </c>
      <c r="AD2108" s="1" t="s">
        <v>74</v>
      </c>
      <c r="AE2108" s="1" t="s">
        <v>74</v>
      </c>
      <c r="AF2108" s="1" t="s">
        <v>74</v>
      </c>
      <c r="AG2108" s="1">
        <v>63</v>
      </c>
      <c r="AH2108" s="1">
        <v>14</v>
      </c>
      <c r="AI2108" s="1">
        <v>14</v>
      </c>
      <c r="AJ2108" s="1">
        <v>1</v>
      </c>
      <c r="AK2108" s="1">
        <v>22</v>
      </c>
      <c r="AL2108" s="1" t="s">
        <v>564</v>
      </c>
      <c r="AM2108" s="1" t="s">
        <v>113</v>
      </c>
      <c r="AN2108" s="1" t="s">
        <v>807</v>
      </c>
      <c r="AO2108" s="1" t="s">
        <v>5318</v>
      </c>
      <c r="AP2108" s="1" t="s">
        <v>6827</v>
      </c>
      <c r="AQ2108" s="1" t="s">
        <v>74</v>
      </c>
      <c r="AR2108" s="1" t="s">
        <v>5319</v>
      </c>
      <c r="AS2108" s="1" t="s">
        <v>5320</v>
      </c>
      <c r="AT2108" s="1" t="s">
        <v>267</v>
      </c>
      <c r="AU2108" s="1">
        <v>2016</v>
      </c>
      <c r="AV2108" s="1">
        <v>200</v>
      </c>
      <c r="AW2108" s="1" t="s">
        <v>74</v>
      </c>
      <c r="AX2108" s="1" t="s">
        <v>74</v>
      </c>
      <c r="AY2108" s="1" t="s">
        <v>74</v>
      </c>
      <c r="AZ2108" s="1" t="s">
        <v>74</v>
      </c>
      <c r="BA2108" s="1" t="s">
        <v>74</v>
      </c>
      <c r="BB2108" s="1">
        <v>47</v>
      </c>
      <c r="BC2108" s="1">
        <v>55</v>
      </c>
      <c r="BD2108" s="1" t="s">
        <v>74</v>
      </c>
      <c r="BE2108" s="1" t="s">
        <v>33935</v>
      </c>
      <c r="BF2108" s="1" t="str">
        <f>HYPERLINK("http://dx.doi.org/10.1016/j.cbpa.2016.05.003","http://dx.doi.org/10.1016/j.cbpa.2016.05.003")</f>
        <v>http://dx.doi.org/10.1016/j.cbpa.2016.05.003</v>
      </c>
      <c r="BG2108" s="1" t="s">
        <v>74</v>
      </c>
      <c r="BH2108" s="1" t="s">
        <v>74</v>
      </c>
      <c r="BI2108" s="1">
        <v>9</v>
      </c>
      <c r="BJ2108" s="1" t="s">
        <v>5322</v>
      </c>
      <c r="BK2108" s="1" t="s">
        <v>172</v>
      </c>
      <c r="BL2108" s="1" t="s">
        <v>5322</v>
      </c>
      <c r="BM2108" s="1" t="s">
        <v>9469</v>
      </c>
      <c r="BN2108" s="1">
        <v>27156678</v>
      </c>
      <c r="BO2108" s="1" t="s">
        <v>74</v>
      </c>
      <c r="BP2108" s="1" t="s">
        <v>74</v>
      </c>
      <c r="BQ2108" s="1" t="s">
        <v>74</v>
      </c>
      <c r="BR2108" s="1" t="s">
        <v>98</v>
      </c>
      <c r="BS2108" s="1" t="s">
        <v>33936</v>
      </c>
      <c r="BT2108" s="1" t="str">
        <f>HYPERLINK("https%3A%2F%2Fwww.webofscience.com%2Fwos%2Fwoscc%2Ffull-record%2FWOS:000383936700006","View Full Record in Web of Science")</f>
        <v>View Full Record in Web of Science</v>
      </c>
      <c r="BU2108" s="1"/>
      <c r="BV2108" s="1"/>
    </row>
    <row r="2109" spans="1:74">
      <c r="A2109" s="1" t="s">
        <v>72</v>
      </c>
      <c r="B2109" s="1" t="s">
        <v>33937</v>
      </c>
      <c r="C2109" s="1" t="s">
        <v>74</v>
      </c>
      <c r="D2109" s="1" t="s">
        <v>74</v>
      </c>
      <c r="E2109" s="1" t="s">
        <v>74</v>
      </c>
      <c r="F2109" s="1" t="s">
        <v>33938</v>
      </c>
      <c r="G2109" s="1" t="s">
        <v>74</v>
      </c>
      <c r="H2109" s="1" t="s">
        <v>74</v>
      </c>
      <c r="I2109" s="1" t="s">
        <v>33939</v>
      </c>
      <c r="J2109" s="1" t="s">
        <v>232</v>
      </c>
      <c r="K2109" s="1" t="s">
        <v>74</v>
      </c>
      <c r="L2109" s="1" t="s">
        <v>74</v>
      </c>
      <c r="M2109" s="1" t="s">
        <v>78</v>
      </c>
      <c r="N2109" s="1" t="s">
        <v>79</v>
      </c>
      <c r="O2109" s="1" t="s">
        <v>74</v>
      </c>
      <c r="P2109" s="1" t="s">
        <v>74</v>
      </c>
      <c r="Q2109" s="1" t="s">
        <v>74</v>
      </c>
      <c r="R2109" s="1" t="s">
        <v>74</v>
      </c>
      <c r="S2109" s="1" t="s">
        <v>74</v>
      </c>
      <c r="T2109" s="1" t="s">
        <v>33940</v>
      </c>
      <c r="U2109" s="1" t="s">
        <v>33941</v>
      </c>
      <c r="V2109" s="1" t="s">
        <v>33942</v>
      </c>
      <c r="W2109" s="1" t="s">
        <v>33943</v>
      </c>
      <c r="X2109" s="1" t="s">
        <v>33944</v>
      </c>
      <c r="Y2109" s="1" t="s">
        <v>33945</v>
      </c>
      <c r="Z2109" s="1" t="s">
        <v>9288</v>
      </c>
      <c r="AA2109" s="1" t="s">
        <v>33946</v>
      </c>
      <c r="AB2109" s="1" t="s">
        <v>33947</v>
      </c>
      <c r="AC2109" s="1" t="s">
        <v>33948</v>
      </c>
      <c r="AD2109" s="1" t="s">
        <v>33949</v>
      </c>
      <c r="AE2109" s="1" t="s">
        <v>33950</v>
      </c>
      <c r="AF2109" s="1" t="s">
        <v>74</v>
      </c>
      <c r="AG2109" s="1">
        <v>86</v>
      </c>
      <c r="AH2109" s="1">
        <v>19</v>
      </c>
      <c r="AI2109" s="1">
        <v>20</v>
      </c>
      <c r="AJ2109" s="1">
        <v>0</v>
      </c>
      <c r="AK2109" s="1">
        <v>13</v>
      </c>
      <c r="AL2109" s="1" t="s">
        <v>136</v>
      </c>
      <c r="AM2109" s="1" t="s">
        <v>137</v>
      </c>
      <c r="AN2109" s="1" t="s">
        <v>138</v>
      </c>
      <c r="AO2109" s="1" t="s">
        <v>240</v>
      </c>
      <c r="AP2109" s="1" t="s">
        <v>241</v>
      </c>
      <c r="AQ2109" s="1" t="s">
        <v>74</v>
      </c>
      <c r="AR2109" s="1" t="s">
        <v>242</v>
      </c>
      <c r="AS2109" s="1" t="s">
        <v>243</v>
      </c>
      <c r="AT2109" s="1" t="s">
        <v>1470</v>
      </c>
      <c r="AU2109" s="1">
        <v>2018</v>
      </c>
      <c r="AV2109" s="1">
        <v>126</v>
      </c>
      <c r="AW2109" s="1" t="s">
        <v>74</v>
      </c>
      <c r="AX2109" s="1" t="s">
        <v>74</v>
      </c>
      <c r="AY2109" s="1" t="s">
        <v>74</v>
      </c>
      <c r="AZ2109" s="1" t="s">
        <v>74</v>
      </c>
      <c r="BA2109" s="1" t="s">
        <v>74</v>
      </c>
      <c r="BB2109" s="1">
        <v>281</v>
      </c>
      <c r="BC2109" s="1">
        <v>292</v>
      </c>
      <c r="BD2109" s="1" t="s">
        <v>74</v>
      </c>
      <c r="BE2109" s="1" t="s">
        <v>33951</v>
      </c>
      <c r="BF2109" s="1" t="str">
        <f>HYPERLINK("http://dx.doi.org/10.1016/j.marpolbul.2017.10.088","http://dx.doi.org/10.1016/j.marpolbul.2017.10.088")</f>
        <v>http://dx.doi.org/10.1016/j.marpolbul.2017.10.088</v>
      </c>
      <c r="BG2109" s="1" t="s">
        <v>74</v>
      </c>
      <c r="BH2109" s="1" t="s">
        <v>74</v>
      </c>
      <c r="BI2109" s="1">
        <v>12</v>
      </c>
      <c r="BJ2109" s="1" t="s">
        <v>247</v>
      </c>
      <c r="BK2109" s="1" t="s">
        <v>96</v>
      </c>
      <c r="BL2109" s="1" t="s">
        <v>248</v>
      </c>
      <c r="BM2109" s="1" t="s">
        <v>8877</v>
      </c>
      <c r="BN2109" s="1">
        <v>29421099</v>
      </c>
      <c r="BO2109" s="1" t="s">
        <v>74</v>
      </c>
      <c r="BP2109" s="1" t="s">
        <v>74</v>
      </c>
      <c r="BQ2109" s="1" t="s">
        <v>74</v>
      </c>
      <c r="BR2109" s="1" t="s">
        <v>98</v>
      </c>
      <c r="BS2109" s="1" t="s">
        <v>33952</v>
      </c>
      <c r="BT2109" s="1" t="str">
        <f>HYPERLINK("https%3A%2F%2Fwww.webofscience.com%2Fwos%2Fwoscc%2Ffull-record%2FWOS:000425569400034","View Full Record in Web of Science")</f>
        <v>View Full Record in Web of Science</v>
      </c>
      <c r="BU2109" s="1"/>
      <c r="BV2109" s="1"/>
    </row>
    <row r="2110" spans="1:74">
      <c r="A2110" s="1" t="s">
        <v>72</v>
      </c>
      <c r="B2110" s="1" t="s">
        <v>33953</v>
      </c>
      <c r="C2110" s="1" t="s">
        <v>74</v>
      </c>
      <c r="D2110" s="1" t="s">
        <v>74</v>
      </c>
      <c r="E2110" s="1" t="s">
        <v>74</v>
      </c>
      <c r="F2110" s="1" t="s">
        <v>33954</v>
      </c>
      <c r="G2110" s="1" t="s">
        <v>74</v>
      </c>
      <c r="H2110" s="1" t="s">
        <v>74</v>
      </c>
      <c r="I2110" s="1" t="s">
        <v>33955</v>
      </c>
      <c r="J2110" s="1" t="s">
        <v>33956</v>
      </c>
      <c r="K2110" s="1" t="s">
        <v>74</v>
      </c>
      <c r="L2110" s="1" t="s">
        <v>74</v>
      </c>
      <c r="M2110" s="1" t="s">
        <v>78</v>
      </c>
      <c r="N2110" s="1" t="s">
        <v>79</v>
      </c>
      <c r="O2110" s="1" t="s">
        <v>74</v>
      </c>
      <c r="P2110" s="1" t="s">
        <v>74</v>
      </c>
      <c r="Q2110" s="1" t="s">
        <v>74</v>
      </c>
      <c r="R2110" s="1" t="s">
        <v>74</v>
      </c>
      <c r="S2110" s="1" t="s">
        <v>74</v>
      </c>
      <c r="T2110" s="1" t="s">
        <v>33957</v>
      </c>
      <c r="U2110" s="1" t="s">
        <v>33958</v>
      </c>
      <c r="V2110" s="1" t="s">
        <v>33959</v>
      </c>
      <c r="W2110" s="1" t="s">
        <v>33960</v>
      </c>
      <c r="X2110" s="1" t="s">
        <v>33961</v>
      </c>
      <c r="Y2110" s="1" t="s">
        <v>33962</v>
      </c>
      <c r="Z2110" s="1" t="s">
        <v>33963</v>
      </c>
      <c r="AA2110" s="1" t="s">
        <v>33964</v>
      </c>
      <c r="AB2110" s="1" t="s">
        <v>33965</v>
      </c>
      <c r="AC2110" s="1" t="s">
        <v>33966</v>
      </c>
      <c r="AD2110" s="1" t="s">
        <v>33967</v>
      </c>
      <c r="AE2110" s="1" t="s">
        <v>33968</v>
      </c>
      <c r="AF2110" s="1" t="s">
        <v>74</v>
      </c>
      <c r="AG2110" s="1">
        <v>73</v>
      </c>
      <c r="AH2110" s="1">
        <v>2</v>
      </c>
      <c r="AI2110" s="1">
        <v>2</v>
      </c>
      <c r="AJ2110" s="1">
        <v>0</v>
      </c>
      <c r="AK2110" s="1">
        <v>11</v>
      </c>
      <c r="AL2110" s="1" t="s">
        <v>86</v>
      </c>
      <c r="AM2110" s="1" t="s">
        <v>87</v>
      </c>
      <c r="AN2110" s="1" t="s">
        <v>88</v>
      </c>
      <c r="AO2110" s="1" t="s">
        <v>33969</v>
      </c>
      <c r="AP2110" s="1" t="s">
        <v>33970</v>
      </c>
      <c r="AQ2110" s="1" t="s">
        <v>74</v>
      </c>
      <c r="AR2110" s="1" t="s">
        <v>33971</v>
      </c>
      <c r="AS2110" s="1" t="s">
        <v>33972</v>
      </c>
      <c r="AT2110" s="1" t="s">
        <v>951</v>
      </c>
      <c r="AU2110" s="1">
        <v>2022</v>
      </c>
      <c r="AV2110" s="1">
        <v>32</v>
      </c>
      <c r="AW2110" s="1">
        <v>11</v>
      </c>
      <c r="AX2110" s="1" t="s">
        <v>74</v>
      </c>
      <c r="AY2110" s="1" t="s">
        <v>74</v>
      </c>
      <c r="AZ2110" s="1" t="s">
        <v>74</v>
      </c>
      <c r="BA2110" s="1" t="s">
        <v>74</v>
      </c>
      <c r="BB2110" s="1">
        <v>1797</v>
      </c>
      <c r="BC2110" s="1">
        <v>1808</v>
      </c>
      <c r="BD2110" s="1" t="s">
        <v>74</v>
      </c>
      <c r="BE2110" s="1" t="s">
        <v>33973</v>
      </c>
      <c r="BF2110" s="1" t="str">
        <f>HYPERLINK("http://dx.doi.org/10.1002/aqc.3879","http://dx.doi.org/10.1002/aqc.3879")</f>
        <v>http://dx.doi.org/10.1002/aqc.3879</v>
      </c>
      <c r="BG2110" s="1" t="s">
        <v>74</v>
      </c>
      <c r="BH2110" s="1" t="s">
        <v>13858</v>
      </c>
      <c r="BI2110" s="1">
        <v>12</v>
      </c>
      <c r="BJ2110" s="1" t="s">
        <v>33974</v>
      </c>
      <c r="BK2110" s="1" t="s">
        <v>96</v>
      </c>
      <c r="BL2110" s="1" t="s">
        <v>21250</v>
      </c>
      <c r="BM2110" s="1" t="s">
        <v>33975</v>
      </c>
      <c r="BN2110" s="1" t="s">
        <v>74</v>
      </c>
      <c r="BO2110" s="1" t="s">
        <v>74</v>
      </c>
      <c r="BP2110" s="1" t="s">
        <v>74</v>
      </c>
      <c r="BQ2110" s="1" t="s">
        <v>74</v>
      </c>
      <c r="BR2110" s="1" t="s">
        <v>98</v>
      </c>
      <c r="BS2110" s="1" t="s">
        <v>33976</v>
      </c>
      <c r="BT2110" s="1" t="str">
        <f>HYPERLINK("https%3A%2F%2Fwww.webofscience.com%2Fwos%2Fwoscc%2Ffull-record%2FWOS:000846455900001","View Full Record in Web of Science")</f>
        <v>View Full Record in Web of Science</v>
      </c>
      <c r="BU2110" s="1"/>
      <c r="BV2110" s="1"/>
    </row>
    <row r="2111" spans="1:74">
      <c r="A2111" s="1" t="s">
        <v>72</v>
      </c>
      <c r="B2111" s="1" t="s">
        <v>33977</v>
      </c>
      <c r="C2111" s="1" t="s">
        <v>74</v>
      </c>
      <c r="D2111" s="1" t="s">
        <v>74</v>
      </c>
      <c r="E2111" s="1" t="s">
        <v>74</v>
      </c>
      <c r="F2111" s="1" t="s">
        <v>33977</v>
      </c>
      <c r="G2111" s="1" t="s">
        <v>74</v>
      </c>
      <c r="H2111" s="1" t="s">
        <v>74</v>
      </c>
      <c r="I2111" s="1" t="s">
        <v>33978</v>
      </c>
      <c r="J2111" s="1" t="s">
        <v>909</v>
      </c>
      <c r="K2111" s="1" t="s">
        <v>74</v>
      </c>
      <c r="L2111" s="1" t="s">
        <v>74</v>
      </c>
      <c r="M2111" s="1" t="s">
        <v>78</v>
      </c>
      <c r="N2111" s="1" t="s">
        <v>79</v>
      </c>
      <c r="O2111" s="1" t="s">
        <v>74</v>
      </c>
      <c r="P2111" s="1" t="s">
        <v>74</v>
      </c>
      <c r="Q2111" s="1" t="s">
        <v>74</v>
      </c>
      <c r="R2111" s="1" t="s">
        <v>74</v>
      </c>
      <c r="S2111" s="1" t="s">
        <v>74</v>
      </c>
      <c r="T2111" s="1" t="s">
        <v>33979</v>
      </c>
      <c r="U2111" s="1" t="s">
        <v>33980</v>
      </c>
      <c r="V2111" s="1" t="s">
        <v>33981</v>
      </c>
      <c r="W2111" s="1" t="s">
        <v>33982</v>
      </c>
      <c r="X2111" s="1" t="s">
        <v>7080</v>
      </c>
      <c r="Y2111" s="1" t="s">
        <v>33983</v>
      </c>
      <c r="Z2111" s="1" t="s">
        <v>33984</v>
      </c>
      <c r="AA2111" s="1" t="s">
        <v>74</v>
      </c>
      <c r="AB2111" s="1" t="s">
        <v>33985</v>
      </c>
      <c r="AC2111" s="1" t="s">
        <v>74</v>
      </c>
      <c r="AD2111" s="1" t="s">
        <v>74</v>
      </c>
      <c r="AE2111" s="1" t="s">
        <v>74</v>
      </c>
      <c r="AF2111" s="1" t="s">
        <v>74</v>
      </c>
      <c r="AG2111" s="1">
        <v>40</v>
      </c>
      <c r="AH2111" s="1">
        <v>120</v>
      </c>
      <c r="AI2111" s="1">
        <v>126</v>
      </c>
      <c r="AJ2111" s="1">
        <v>1</v>
      </c>
      <c r="AK2111" s="1">
        <v>43</v>
      </c>
      <c r="AL2111" s="1" t="s">
        <v>919</v>
      </c>
      <c r="AM2111" s="1" t="s">
        <v>651</v>
      </c>
      <c r="AN2111" s="1" t="s">
        <v>920</v>
      </c>
      <c r="AO2111" s="1" t="s">
        <v>921</v>
      </c>
      <c r="AP2111" s="1" t="s">
        <v>922</v>
      </c>
      <c r="AQ2111" s="1" t="s">
        <v>74</v>
      </c>
      <c r="AR2111" s="1" t="s">
        <v>923</v>
      </c>
      <c r="AS2111" s="1" t="s">
        <v>924</v>
      </c>
      <c r="AT2111" s="1" t="s">
        <v>33986</v>
      </c>
      <c r="AU2111" s="1">
        <v>2005</v>
      </c>
      <c r="AV2111" s="1">
        <v>337</v>
      </c>
      <c r="AW2111" s="1" t="s">
        <v>2847</v>
      </c>
      <c r="AX2111" s="1" t="s">
        <v>74</v>
      </c>
      <c r="AY2111" s="1" t="s">
        <v>74</v>
      </c>
      <c r="AZ2111" s="1" t="s">
        <v>74</v>
      </c>
      <c r="BA2111" s="1" t="s">
        <v>74</v>
      </c>
      <c r="BB2111" s="1">
        <v>265</v>
      </c>
      <c r="BC2111" s="1">
        <v>280</v>
      </c>
      <c r="BD2111" s="1" t="s">
        <v>74</v>
      </c>
      <c r="BE2111" s="1" t="s">
        <v>33987</v>
      </c>
      <c r="BF2111" s="1" t="str">
        <f>HYPERLINK("http://dx.doi.org/10.1016/j.scitotenv.2004.07.009","http://dx.doi.org/10.1016/j.scitotenv.2004.07.009")</f>
        <v>http://dx.doi.org/10.1016/j.scitotenv.2004.07.009</v>
      </c>
      <c r="BG2111" s="1" t="s">
        <v>74</v>
      </c>
      <c r="BH2111" s="1" t="s">
        <v>74</v>
      </c>
      <c r="BI2111" s="1">
        <v>16</v>
      </c>
      <c r="BJ2111" s="1" t="s">
        <v>144</v>
      </c>
      <c r="BK2111" s="1" t="s">
        <v>96</v>
      </c>
      <c r="BL2111" s="1" t="s">
        <v>145</v>
      </c>
      <c r="BM2111" s="1" t="s">
        <v>33988</v>
      </c>
      <c r="BN2111" s="1">
        <v>15626396</v>
      </c>
      <c r="BO2111" s="1" t="s">
        <v>74</v>
      </c>
      <c r="BP2111" s="1" t="s">
        <v>74</v>
      </c>
      <c r="BQ2111" s="1" t="s">
        <v>74</v>
      </c>
      <c r="BR2111" s="1" t="s">
        <v>98</v>
      </c>
      <c r="BS2111" s="1" t="s">
        <v>33989</v>
      </c>
      <c r="BT2111" s="1" t="str">
        <f>HYPERLINK("https%3A%2F%2Fwww.webofscience.com%2Fwos%2Fwoscc%2Ffull-record%2FWOS:000226661700023","View Full Record in Web of Science")</f>
        <v>View Full Record in Web of Science</v>
      </c>
      <c r="BU2111" s="1"/>
      <c r="BV2111" s="1"/>
    </row>
    <row r="2112" spans="1:74">
      <c r="A2112" s="1" t="s">
        <v>72</v>
      </c>
      <c r="B2112" s="1" t="s">
        <v>33990</v>
      </c>
      <c r="C2112" s="1" t="s">
        <v>74</v>
      </c>
      <c r="D2112" s="1" t="s">
        <v>74</v>
      </c>
      <c r="E2112" s="1" t="s">
        <v>74</v>
      </c>
      <c r="F2112" s="1" t="s">
        <v>33991</v>
      </c>
      <c r="G2112" s="1" t="s">
        <v>74</v>
      </c>
      <c r="H2112" s="1" t="s">
        <v>74</v>
      </c>
      <c r="I2112" s="1" t="s">
        <v>33992</v>
      </c>
      <c r="J2112" s="1" t="s">
        <v>33993</v>
      </c>
      <c r="K2112" s="1" t="s">
        <v>74</v>
      </c>
      <c r="L2112" s="1" t="s">
        <v>74</v>
      </c>
      <c r="M2112" s="1" t="s">
        <v>78</v>
      </c>
      <c r="N2112" s="1" t="s">
        <v>79</v>
      </c>
      <c r="O2112" s="1" t="s">
        <v>74</v>
      </c>
      <c r="P2112" s="1" t="s">
        <v>74</v>
      </c>
      <c r="Q2112" s="1" t="s">
        <v>74</v>
      </c>
      <c r="R2112" s="1" t="s">
        <v>74</v>
      </c>
      <c r="S2112" s="1" t="s">
        <v>74</v>
      </c>
      <c r="T2112" s="1" t="s">
        <v>74</v>
      </c>
      <c r="U2112" s="1" t="s">
        <v>33994</v>
      </c>
      <c r="V2112" s="1" t="s">
        <v>33995</v>
      </c>
      <c r="W2112" s="1" t="s">
        <v>33996</v>
      </c>
      <c r="X2112" s="1" t="s">
        <v>33997</v>
      </c>
      <c r="Y2112" s="1" t="s">
        <v>33998</v>
      </c>
      <c r="Z2112" s="1" t="s">
        <v>33999</v>
      </c>
      <c r="AA2112" s="1" t="s">
        <v>74</v>
      </c>
      <c r="AB2112" s="1" t="s">
        <v>74</v>
      </c>
      <c r="AC2112" s="1" t="s">
        <v>34000</v>
      </c>
      <c r="AD2112" s="1" t="s">
        <v>34001</v>
      </c>
      <c r="AE2112" s="1" t="s">
        <v>34002</v>
      </c>
      <c r="AF2112" s="1" t="s">
        <v>74</v>
      </c>
      <c r="AG2112" s="1">
        <v>68</v>
      </c>
      <c r="AH2112" s="1">
        <v>9</v>
      </c>
      <c r="AI2112" s="1">
        <v>10</v>
      </c>
      <c r="AJ2112" s="1">
        <v>1</v>
      </c>
      <c r="AK2112" s="1">
        <v>20</v>
      </c>
      <c r="AL2112" s="1" t="s">
        <v>34003</v>
      </c>
      <c r="AM2112" s="1" t="s">
        <v>26960</v>
      </c>
      <c r="AN2112" s="1" t="s">
        <v>34004</v>
      </c>
      <c r="AO2112" s="1" t="s">
        <v>34005</v>
      </c>
      <c r="AP2112" s="1" t="s">
        <v>74</v>
      </c>
      <c r="AQ2112" s="1" t="s">
        <v>74</v>
      </c>
      <c r="AR2112" s="1" t="s">
        <v>34006</v>
      </c>
      <c r="AS2112" s="1" t="s">
        <v>34007</v>
      </c>
      <c r="AT2112" s="1" t="s">
        <v>142</v>
      </c>
      <c r="AU2112" s="1">
        <v>2012</v>
      </c>
      <c r="AV2112" s="1">
        <v>57</v>
      </c>
      <c r="AW2112" s="1">
        <v>2</v>
      </c>
      <c r="AX2112" s="1" t="s">
        <v>74</v>
      </c>
      <c r="AY2112" s="1" t="s">
        <v>74</v>
      </c>
      <c r="AZ2112" s="1" t="s">
        <v>74</v>
      </c>
      <c r="BA2112" s="1" t="s">
        <v>74</v>
      </c>
      <c r="BB2112" s="1">
        <v>1074</v>
      </c>
      <c r="BC2112" s="1">
        <v>1082</v>
      </c>
      <c r="BD2112" s="1" t="s">
        <v>74</v>
      </c>
      <c r="BE2112" s="1" t="s">
        <v>34008</v>
      </c>
      <c r="BF2112" s="1" t="str">
        <f>HYPERLINK("http://dx.doi.org/10.4067/S0717-97072012000200003","http://dx.doi.org/10.4067/S0717-97072012000200003")</f>
        <v>http://dx.doi.org/10.4067/S0717-97072012000200003</v>
      </c>
      <c r="BG2112" s="1" t="s">
        <v>74</v>
      </c>
      <c r="BH2112" s="1" t="s">
        <v>74</v>
      </c>
      <c r="BI2112" s="1">
        <v>9</v>
      </c>
      <c r="BJ2112" s="1" t="s">
        <v>3919</v>
      </c>
      <c r="BK2112" s="1" t="s">
        <v>96</v>
      </c>
      <c r="BL2112" s="1" t="s">
        <v>1197</v>
      </c>
      <c r="BM2112" s="1" t="s">
        <v>34009</v>
      </c>
      <c r="BN2112" s="1" t="s">
        <v>74</v>
      </c>
      <c r="BO2112" s="1" t="s">
        <v>12986</v>
      </c>
      <c r="BP2112" s="1" t="s">
        <v>74</v>
      </c>
      <c r="BQ2112" s="1" t="s">
        <v>74</v>
      </c>
      <c r="BR2112" s="1" t="s">
        <v>98</v>
      </c>
      <c r="BS2112" s="1" t="s">
        <v>34010</v>
      </c>
      <c r="BT2112" s="1" t="str">
        <f>HYPERLINK("https%3A%2F%2Fwww.webofscience.com%2Fwos%2Fwoscc%2Ffull-record%2FWOS:000305169800003","View Full Record in Web of Science")</f>
        <v>View Full Record in Web of Science</v>
      </c>
      <c r="BU2112" s="1"/>
      <c r="BV2112" s="1"/>
    </row>
    <row r="2113" spans="1:74">
      <c r="A2113" s="1" t="s">
        <v>72</v>
      </c>
      <c r="B2113" s="1" t="s">
        <v>34011</v>
      </c>
      <c r="C2113" s="1" t="s">
        <v>74</v>
      </c>
      <c r="D2113" s="1" t="s">
        <v>74</v>
      </c>
      <c r="E2113" s="1" t="s">
        <v>74</v>
      </c>
      <c r="F2113" s="1" t="s">
        <v>34012</v>
      </c>
      <c r="G2113" s="1" t="s">
        <v>74</v>
      </c>
      <c r="H2113" s="1" t="s">
        <v>74</v>
      </c>
      <c r="I2113" s="1" t="s">
        <v>34013</v>
      </c>
      <c r="J2113" s="1" t="s">
        <v>704</v>
      </c>
      <c r="K2113" s="1" t="s">
        <v>74</v>
      </c>
      <c r="L2113" s="1" t="s">
        <v>74</v>
      </c>
      <c r="M2113" s="1" t="s">
        <v>78</v>
      </c>
      <c r="N2113" s="1" t="s">
        <v>79</v>
      </c>
      <c r="O2113" s="1" t="s">
        <v>74</v>
      </c>
      <c r="P2113" s="1" t="s">
        <v>74</v>
      </c>
      <c r="Q2113" s="1" t="s">
        <v>74</v>
      </c>
      <c r="R2113" s="1" t="s">
        <v>74</v>
      </c>
      <c r="S2113" s="1" t="s">
        <v>74</v>
      </c>
      <c r="T2113" s="1" t="s">
        <v>34014</v>
      </c>
      <c r="U2113" s="1" t="s">
        <v>34015</v>
      </c>
      <c r="V2113" s="1" t="s">
        <v>34016</v>
      </c>
      <c r="W2113" s="1" t="s">
        <v>34017</v>
      </c>
      <c r="X2113" s="1" t="s">
        <v>34018</v>
      </c>
      <c r="Y2113" s="1" t="s">
        <v>34019</v>
      </c>
      <c r="Z2113" s="1" t="s">
        <v>34020</v>
      </c>
      <c r="AA2113" s="1" t="s">
        <v>34021</v>
      </c>
      <c r="AB2113" s="1" t="s">
        <v>34022</v>
      </c>
      <c r="AC2113" s="1" t="s">
        <v>34023</v>
      </c>
      <c r="AD2113" s="1" t="s">
        <v>1028</v>
      </c>
      <c r="AE2113" s="1" t="s">
        <v>34024</v>
      </c>
      <c r="AF2113" s="1" t="s">
        <v>74</v>
      </c>
      <c r="AG2113" s="1">
        <v>63</v>
      </c>
      <c r="AH2113" s="1">
        <v>3</v>
      </c>
      <c r="AI2113" s="1">
        <v>3</v>
      </c>
      <c r="AJ2113" s="1">
        <v>0</v>
      </c>
      <c r="AK2113" s="1">
        <v>37</v>
      </c>
      <c r="AL2113" s="1" t="s">
        <v>112</v>
      </c>
      <c r="AM2113" s="1" t="s">
        <v>191</v>
      </c>
      <c r="AN2113" s="1" t="s">
        <v>192</v>
      </c>
      <c r="AO2113" s="1" t="s">
        <v>718</v>
      </c>
      <c r="AP2113" s="1" t="s">
        <v>1169</v>
      </c>
      <c r="AQ2113" s="1" t="s">
        <v>74</v>
      </c>
      <c r="AR2113" s="1" t="s">
        <v>719</v>
      </c>
      <c r="AS2113" s="1" t="s">
        <v>720</v>
      </c>
      <c r="AT2113" s="1" t="s">
        <v>119</v>
      </c>
      <c r="AU2113" s="1">
        <v>2014</v>
      </c>
      <c r="AV2113" s="1">
        <v>225</v>
      </c>
      <c r="AW2113" s="1">
        <v>8</v>
      </c>
      <c r="AX2113" s="1" t="s">
        <v>74</v>
      </c>
      <c r="AY2113" s="1" t="s">
        <v>74</v>
      </c>
      <c r="AZ2113" s="1" t="s">
        <v>74</v>
      </c>
      <c r="BA2113" s="1" t="s">
        <v>74</v>
      </c>
      <c r="BB2113" s="1" t="s">
        <v>74</v>
      </c>
      <c r="BC2113" s="1" t="s">
        <v>74</v>
      </c>
      <c r="BD2113" s="1">
        <v>2073</v>
      </c>
      <c r="BE2113" s="1" t="s">
        <v>34025</v>
      </c>
      <c r="BF2113" s="1" t="str">
        <f>HYPERLINK("http://dx.doi.org/10.1007/s11270-014-2073-z","http://dx.doi.org/10.1007/s11270-014-2073-z")</f>
        <v>http://dx.doi.org/10.1007/s11270-014-2073-z</v>
      </c>
      <c r="BG2113" s="1" t="s">
        <v>74</v>
      </c>
      <c r="BH2113" s="1" t="s">
        <v>74</v>
      </c>
      <c r="BI2113" s="1">
        <v>13</v>
      </c>
      <c r="BJ2113" s="1" t="s">
        <v>722</v>
      </c>
      <c r="BK2113" s="1" t="s">
        <v>96</v>
      </c>
      <c r="BL2113" s="1" t="s">
        <v>723</v>
      </c>
      <c r="BM2113" s="1" t="s">
        <v>34026</v>
      </c>
      <c r="BN2113" s="1" t="s">
        <v>74</v>
      </c>
      <c r="BO2113" s="1" t="s">
        <v>74</v>
      </c>
      <c r="BP2113" s="1" t="s">
        <v>74</v>
      </c>
      <c r="BQ2113" s="1" t="s">
        <v>74</v>
      </c>
      <c r="BR2113" s="1" t="s">
        <v>98</v>
      </c>
      <c r="BS2113" s="1" t="s">
        <v>34027</v>
      </c>
      <c r="BT2113" s="1" t="str">
        <f>HYPERLINK("https%3A%2F%2Fwww.webofscience.com%2Fwos%2Fwoscc%2Ffull-record%2FWOS:000340527400037","View Full Record in Web of Science")</f>
        <v>View Full Record in Web of Science</v>
      </c>
      <c r="BU2113" s="1"/>
      <c r="BV2113" s="1"/>
    </row>
    <row r="2114" spans="1:74">
      <c r="A2114" s="1" t="s">
        <v>72</v>
      </c>
      <c r="B2114" s="1" t="s">
        <v>34028</v>
      </c>
      <c r="C2114" s="1" t="s">
        <v>74</v>
      </c>
      <c r="D2114" s="1" t="s">
        <v>74</v>
      </c>
      <c r="E2114" s="1" t="s">
        <v>74</v>
      </c>
      <c r="F2114" s="1" t="s">
        <v>34029</v>
      </c>
      <c r="G2114" s="1" t="s">
        <v>74</v>
      </c>
      <c r="H2114" s="1" t="s">
        <v>74</v>
      </c>
      <c r="I2114" s="1" t="s">
        <v>34030</v>
      </c>
      <c r="J2114" s="1" t="s">
        <v>909</v>
      </c>
      <c r="K2114" s="1" t="s">
        <v>74</v>
      </c>
      <c r="L2114" s="1" t="s">
        <v>74</v>
      </c>
      <c r="M2114" s="1" t="s">
        <v>78</v>
      </c>
      <c r="N2114" s="1" t="s">
        <v>79</v>
      </c>
      <c r="O2114" s="1" t="s">
        <v>74</v>
      </c>
      <c r="P2114" s="1" t="s">
        <v>74</v>
      </c>
      <c r="Q2114" s="1" t="s">
        <v>74</v>
      </c>
      <c r="R2114" s="1" t="s">
        <v>74</v>
      </c>
      <c r="S2114" s="1" t="s">
        <v>74</v>
      </c>
      <c r="T2114" s="1" t="s">
        <v>34031</v>
      </c>
      <c r="U2114" s="1" t="s">
        <v>34032</v>
      </c>
      <c r="V2114" s="1" t="s">
        <v>34033</v>
      </c>
      <c r="W2114" s="1" t="s">
        <v>34034</v>
      </c>
      <c r="X2114" s="1" t="s">
        <v>34035</v>
      </c>
      <c r="Y2114" s="1" t="s">
        <v>34036</v>
      </c>
      <c r="Z2114" s="1" t="s">
        <v>34037</v>
      </c>
      <c r="AA2114" s="1" t="s">
        <v>34038</v>
      </c>
      <c r="AB2114" s="1" t="s">
        <v>6485</v>
      </c>
      <c r="AC2114" s="1" t="s">
        <v>34039</v>
      </c>
      <c r="AD2114" s="1" t="s">
        <v>34040</v>
      </c>
      <c r="AE2114" s="1" t="s">
        <v>34041</v>
      </c>
      <c r="AF2114" s="1" t="s">
        <v>74</v>
      </c>
      <c r="AG2114" s="1">
        <v>68</v>
      </c>
      <c r="AH2114" s="1">
        <v>8</v>
      </c>
      <c r="AI2114" s="1">
        <v>8</v>
      </c>
      <c r="AJ2114" s="1">
        <v>10</v>
      </c>
      <c r="AK2114" s="1">
        <v>79</v>
      </c>
      <c r="AL2114" s="1" t="s">
        <v>650</v>
      </c>
      <c r="AM2114" s="1" t="s">
        <v>651</v>
      </c>
      <c r="AN2114" s="1" t="s">
        <v>652</v>
      </c>
      <c r="AO2114" s="1" t="s">
        <v>921</v>
      </c>
      <c r="AP2114" s="1" t="s">
        <v>922</v>
      </c>
      <c r="AQ2114" s="1" t="s">
        <v>74</v>
      </c>
      <c r="AR2114" s="1" t="s">
        <v>923</v>
      </c>
      <c r="AS2114" s="1" t="s">
        <v>924</v>
      </c>
      <c r="AT2114" s="1" t="s">
        <v>8920</v>
      </c>
      <c r="AU2114" s="1">
        <v>2021</v>
      </c>
      <c r="AV2114" s="1">
        <v>793</v>
      </c>
      <c r="AW2114" s="1" t="s">
        <v>74</v>
      </c>
      <c r="AX2114" s="1" t="s">
        <v>74</v>
      </c>
      <c r="AY2114" s="1" t="s">
        <v>74</v>
      </c>
      <c r="AZ2114" s="1" t="s">
        <v>74</v>
      </c>
      <c r="BA2114" s="1" t="s">
        <v>74</v>
      </c>
      <c r="BB2114" s="1" t="s">
        <v>74</v>
      </c>
      <c r="BC2114" s="1" t="s">
        <v>74</v>
      </c>
      <c r="BD2114" s="1">
        <v>148495</v>
      </c>
      <c r="BE2114" s="1" t="s">
        <v>34042</v>
      </c>
      <c r="BF2114" s="1" t="str">
        <f>HYPERLINK("http://dx.doi.org/10.1016/j.scitotenv.2021.148495","http://dx.doi.org/10.1016/j.scitotenv.2021.148495")</f>
        <v>http://dx.doi.org/10.1016/j.scitotenv.2021.148495</v>
      </c>
      <c r="BG2114" s="1" t="s">
        <v>74</v>
      </c>
      <c r="BH2114" s="1" t="s">
        <v>4940</v>
      </c>
      <c r="BI2114" s="1">
        <v>9</v>
      </c>
      <c r="BJ2114" s="1" t="s">
        <v>144</v>
      </c>
      <c r="BK2114" s="1" t="s">
        <v>96</v>
      </c>
      <c r="BL2114" s="1" t="s">
        <v>145</v>
      </c>
      <c r="BM2114" s="1" t="s">
        <v>34043</v>
      </c>
      <c r="BN2114" s="1">
        <v>34166900</v>
      </c>
      <c r="BO2114" s="1" t="s">
        <v>74</v>
      </c>
      <c r="BP2114" s="1" t="s">
        <v>74</v>
      </c>
      <c r="BQ2114" s="1" t="s">
        <v>74</v>
      </c>
      <c r="BR2114" s="1" t="s">
        <v>98</v>
      </c>
      <c r="BS2114" s="1" t="s">
        <v>34044</v>
      </c>
      <c r="BT2114" s="1" t="str">
        <f>HYPERLINK("https%3A%2F%2Fwww.webofscience.com%2Fwos%2Fwoscc%2Ffull-record%2FWOS:000691602900014","View Full Record in Web of Science")</f>
        <v>View Full Record in Web of Science</v>
      </c>
      <c r="BU2114" s="1"/>
      <c r="BV2114" s="1"/>
    </row>
    <row r="2115" spans="1:74">
      <c r="A2115" s="1" t="s">
        <v>72</v>
      </c>
      <c r="B2115" s="1" t="s">
        <v>34045</v>
      </c>
      <c r="C2115" s="1" t="s">
        <v>74</v>
      </c>
      <c r="D2115" s="1" t="s">
        <v>74</v>
      </c>
      <c r="E2115" s="1" t="s">
        <v>74</v>
      </c>
      <c r="F2115" s="1" t="s">
        <v>34046</v>
      </c>
      <c r="G2115" s="1" t="s">
        <v>74</v>
      </c>
      <c r="H2115" s="1" t="s">
        <v>74</v>
      </c>
      <c r="I2115" s="1" t="s">
        <v>34047</v>
      </c>
      <c r="J2115" s="1" t="s">
        <v>232</v>
      </c>
      <c r="K2115" s="1" t="s">
        <v>74</v>
      </c>
      <c r="L2115" s="1" t="s">
        <v>74</v>
      </c>
      <c r="M2115" s="1" t="s">
        <v>78</v>
      </c>
      <c r="N2115" s="1" t="s">
        <v>79</v>
      </c>
      <c r="O2115" s="1" t="s">
        <v>74</v>
      </c>
      <c r="P2115" s="1" t="s">
        <v>74</v>
      </c>
      <c r="Q2115" s="1" t="s">
        <v>74</v>
      </c>
      <c r="R2115" s="1" t="s">
        <v>74</v>
      </c>
      <c r="S2115" s="1" t="s">
        <v>74</v>
      </c>
      <c r="T2115" s="1" t="s">
        <v>34048</v>
      </c>
      <c r="U2115" s="1" t="s">
        <v>34049</v>
      </c>
      <c r="V2115" s="1" t="s">
        <v>34050</v>
      </c>
      <c r="W2115" s="1" t="s">
        <v>34051</v>
      </c>
      <c r="X2115" s="1" t="s">
        <v>11741</v>
      </c>
      <c r="Y2115" s="1" t="s">
        <v>34052</v>
      </c>
      <c r="Z2115" s="1" t="s">
        <v>11743</v>
      </c>
      <c r="AA2115" s="1" t="s">
        <v>11744</v>
      </c>
      <c r="AB2115" s="1" t="s">
        <v>74</v>
      </c>
      <c r="AC2115" s="1" t="s">
        <v>34053</v>
      </c>
      <c r="AD2115" s="1" t="s">
        <v>34054</v>
      </c>
      <c r="AE2115" s="1" t="s">
        <v>34055</v>
      </c>
      <c r="AF2115" s="1" t="s">
        <v>74</v>
      </c>
      <c r="AG2115" s="1">
        <v>116</v>
      </c>
      <c r="AH2115" s="1">
        <v>14</v>
      </c>
      <c r="AI2115" s="1">
        <v>15</v>
      </c>
      <c r="AJ2115" s="1">
        <v>2</v>
      </c>
      <c r="AK2115" s="1">
        <v>23</v>
      </c>
      <c r="AL2115" s="1" t="s">
        <v>136</v>
      </c>
      <c r="AM2115" s="1" t="s">
        <v>137</v>
      </c>
      <c r="AN2115" s="1" t="s">
        <v>138</v>
      </c>
      <c r="AO2115" s="1" t="s">
        <v>240</v>
      </c>
      <c r="AP2115" s="1" t="s">
        <v>241</v>
      </c>
      <c r="AQ2115" s="1" t="s">
        <v>74</v>
      </c>
      <c r="AR2115" s="1" t="s">
        <v>242</v>
      </c>
      <c r="AS2115" s="1" t="s">
        <v>243</v>
      </c>
      <c r="AT2115" s="1" t="s">
        <v>1223</v>
      </c>
      <c r="AU2115" s="1">
        <v>2022</v>
      </c>
      <c r="AV2115" s="1">
        <v>176</v>
      </c>
      <c r="AW2115" s="1" t="s">
        <v>74</v>
      </c>
      <c r="AX2115" s="1" t="s">
        <v>74</v>
      </c>
      <c r="AY2115" s="1" t="s">
        <v>74</v>
      </c>
      <c r="AZ2115" s="1" t="s">
        <v>74</v>
      </c>
      <c r="BA2115" s="1" t="s">
        <v>74</v>
      </c>
      <c r="BB2115" s="1" t="s">
        <v>74</v>
      </c>
      <c r="BC2115" s="1" t="s">
        <v>74</v>
      </c>
      <c r="BD2115" s="1">
        <v>113422</v>
      </c>
      <c r="BE2115" s="1" t="s">
        <v>34056</v>
      </c>
      <c r="BF2115" s="1" t="str">
        <f>HYPERLINK("http://dx.doi.org/10.1016/j.marpolbul.2022.113422","http://dx.doi.org/10.1016/j.marpolbul.2022.113422")</f>
        <v>http://dx.doi.org/10.1016/j.marpolbul.2022.113422</v>
      </c>
      <c r="BG2115" s="1" t="s">
        <v>74</v>
      </c>
      <c r="BH2115" s="1" t="s">
        <v>74</v>
      </c>
      <c r="BI2115" s="1">
        <v>18</v>
      </c>
      <c r="BJ2115" s="1" t="s">
        <v>247</v>
      </c>
      <c r="BK2115" s="1" t="s">
        <v>96</v>
      </c>
      <c r="BL2115" s="1" t="s">
        <v>248</v>
      </c>
      <c r="BM2115" s="1" t="s">
        <v>34057</v>
      </c>
      <c r="BN2115" s="1">
        <v>35150987</v>
      </c>
      <c r="BO2115" s="1" t="s">
        <v>74</v>
      </c>
      <c r="BP2115" s="1" t="s">
        <v>74</v>
      </c>
      <c r="BQ2115" s="1" t="s">
        <v>74</v>
      </c>
      <c r="BR2115" s="1" t="s">
        <v>98</v>
      </c>
      <c r="BS2115" s="1" t="s">
        <v>34058</v>
      </c>
      <c r="BT2115" s="1" t="str">
        <f>HYPERLINK("https%3A%2F%2Fwww.webofscience.com%2Fwos%2Fwoscc%2Ffull-record%2FWOS:000778940700010","View Full Record in Web of Science")</f>
        <v>View Full Record in Web of Science</v>
      </c>
      <c r="BU2115" s="1"/>
      <c r="BV2115" s="1"/>
    </row>
    <row r="2116" spans="1:74">
      <c r="A2116" s="1" t="s">
        <v>72</v>
      </c>
      <c r="B2116" s="1" t="s">
        <v>34059</v>
      </c>
      <c r="C2116" s="1" t="s">
        <v>74</v>
      </c>
      <c r="D2116" s="1" t="s">
        <v>74</v>
      </c>
      <c r="E2116" s="1" t="s">
        <v>74</v>
      </c>
      <c r="F2116" s="1" t="s">
        <v>34060</v>
      </c>
      <c r="G2116" s="1" t="s">
        <v>74</v>
      </c>
      <c r="H2116" s="1" t="s">
        <v>74</v>
      </c>
      <c r="I2116" s="1" t="s">
        <v>34061</v>
      </c>
      <c r="J2116" s="1" t="s">
        <v>1275</v>
      </c>
      <c r="K2116" s="1" t="s">
        <v>74</v>
      </c>
      <c r="L2116" s="1" t="s">
        <v>74</v>
      </c>
      <c r="M2116" s="1" t="s">
        <v>78</v>
      </c>
      <c r="N2116" s="1" t="s">
        <v>79</v>
      </c>
      <c r="O2116" s="1" t="s">
        <v>74</v>
      </c>
      <c r="P2116" s="1" t="s">
        <v>74</v>
      </c>
      <c r="Q2116" s="1" t="s">
        <v>74</v>
      </c>
      <c r="R2116" s="1" t="s">
        <v>74</v>
      </c>
      <c r="S2116" s="1" t="s">
        <v>74</v>
      </c>
      <c r="T2116" s="1" t="s">
        <v>34062</v>
      </c>
      <c r="U2116" s="1" t="s">
        <v>34063</v>
      </c>
      <c r="V2116" s="1" t="s">
        <v>34064</v>
      </c>
      <c r="W2116" s="1" t="s">
        <v>34065</v>
      </c>
      <c r="X2116" s="1" t="s">
        <v>34066</v>
      </c>
      <c r="Y2116" s="1" t="s">
        <v>34067</v>
      </c>
      <c r="Z2116" s="1" t="s">
        <v>34068</v>
      </c>
      <c r="AA2116" s="1" t="s">
        <v>34069</v>
      </c>
      <c r="AB2116" s="1" t="s">
        <v>34070</v>
      </c>
      <c r="AC2116" s="1" t="s">
        <v>74</v>
      </c>
      <c r="AD2116" s="1" t="s">
        <v>74</v>
      </c>
      <c r="AE2116" s="1" t="s">
        <v>74</v>
      </c>
      <c r="AF2116" s="1" t="s">
        <v>74</v>
      </c>
      <c r="AG2116" s="1">
        <v>59</v>
      </c>
      <c r="AH2116" s="1">
        <v>10</v>
      </c>
      <c r="AI2116" s="1">
        <v>10</v>
      </c>
      <c r="AJ2116" s="1">
        <v>3</v>
      </c>
      <c r="AK2116" s="1">
        <v>11</v>
      </c>
      <c r="AL2116" s="1" t="s">
        <v>650</v>
      </c>
      <c r="AM2116" s="1" t="s">
        <v>651</v>
      </c>
      <c r="AN2116" s="1" t="s">
        <v>652</v>
      </c>
      <c r="AO2116" s="1" t="s">
        <v>1287</v>
      </c>
      <c r="AP2116" s="1" t="s">
        <v>74</v>
      </c>
      <c r="AQ2116" s="1" t="s">
        <v>74</v>
      </c>
      <c r="AR2116" s="1" t="s">
        <v>1288</v>
      </c>
      <c r="AS2116" s="1" t="s">
        <v>1289</v>
      </c>
      <c r="AT2116" s="1" t="s">
        <v>224</v>
      </c>
      <c r="AU2116" s="1">
        <v>2023</v>
      </c>
      <c r="AV2116" s="1">
        <v>58</v>
      </c>
      <c r="AW2116" s="1" t="s">
        <v>74</v>
      </c>
      <c r="AX2116" s="1" t="s">
        <v>74</v>
      </c>
      <c r="AY2116" s="1" t="s">
        <v>74</v>
      </c>
      <c r="AZ2116" s="1" t="s">
        <v>74</v>
      </c>
      <c r="BA2116" s="1" t="s">
        <v>74</v>
      </c>
      <c r="BB2116" s="1" t="s">
        <v>74</v>
      </c>
      <c r="BC2116" s="1" t="s">
        <v>74</v>
      </c>
      <c r="BD2116" s="1">
        <v>102780</v>
      </c>
      <c r="BE2116" s="1" t="s">
        <v>34071</v>
      </c>
      <c r="BF2116" s="1" t="str">
        <f>HYPERLINK("http://dx.doi.org/10.1016/j.rsma.2022.102780","http://dx.doi.org/10.1016/j.rsma.2022.102780")</f>
        <v>http://dx.doi.org/10.1016/j.rsma.2022.102780</v>
      </c>
      <c r="BG2116" s="1" t="s">
        <v>74</v>
      </c>
      <c r="BH2116" s="1" t="s">
        <v>4283</v>
      </c>
      <c r="BI2116" s="1">
        <v>12</v>
      </c>
      <c r="BJ2116" s="1" t="s">
        <v>1292</v>
      </c>
      <c r="BK2116" s="1" t="s">
        <v>96</v>
      </c>
      <c r="BL2116" s="1" t="s">
        <v>248</v>
      </c>
      <c r="BM2116" s="1" t="s">
        <v>34072</v>
      </c>
      <c r="BN2116" s="1" t="s">
        <v>74</v>
      </c>
      <c r="BO2116" s="1" t="s">
        <v>74</v>
      </c>
      <c r="BP2116" s="1" t="s">
        <v>74</v>
      </c>
      <c r="BQ2116" s="1" t="s">
        <v>74</v>
      </c>
      <c r="BR2116" s="1" t="s">
        <v>98</v>
      </c>
      <c r="BS2116" s="1" t="s">
        <v>34073</v>
      </c>
      <c r="BT2116" s="1" t="str">
        <f>HYPERLINK("https%3A%2F%2Fwww.webofscience.com%2Fwos%2Fwoscc%2Ffull-record%2FWOS:000901998700001","View Full Record in Web of Science")</f>
        <v>View Full Record in Web of Science</v>
      </c>
      <c r="BU2116" s="1"/>
      <c r="BV2116" s="1"/>
    </row>
    <row r="2117" spans="1:74">
      <c r="A2117" s="1" t="s">
        <v>72</v>
      </c>
      <c r="B2117" s="1" t="s">
        <v>34074</v>
      </c>
      <c r="C2117" s="1" t="s">
        <v>74</v>
      </c>
      <c r="D2117" s="1" t="s">
        <v>74</v>
      </c>
      <c r="E2117" s="1" t="s">
        <v>74</v>
      </c>
      <c r="F2117" s="1" t="s">
        <v>34075</v>
      </c>
      <c r="G2117" s="1" t="s">
        <v>74</v>
      </c>
      <c r="H2117" s="1" t="s">
        <v>74</v>
      </c>
      <c r="I2117" s="1" t="s">
        <v>34076</v>
      </c>
      <c r="J2117" s="1" t="s">
        <v>34077</v>
      </c>
      <c r="K2117" s="1" t="s">
        <v>74</v>
      </c>
      <c r="L2117" s="1" t="s">
        <v>74</v>
      </c>
      <c r="M2117" s="1" t="s">
        <v>78</v>
      </c>
      <c r="N2117" s="1" t="s">
        <v>79</v>
      </c>
      <c r="O2117" s="1" t="s">
        <v>74</v>
      </c>
      <c r="P2117" s="1" t="s">
        <v>74</v>
      </c>
      <c r="Q2117" s="1" t="s">
        <v>74</v>
      </c>
      <c r="R2117" s="1" t="s">
        <v>74</v>
      </c>
      <c r="S2117" s="1" t="s">
        <v>74</v>
      </c>
      <c r="T2117" s="1" t="s">
        <v>34078</v>
      </c>
      <c r="U2117" s="1" t="s">
        <v>34079</v>
      </c>
      <c r="V2117" s="1" t="s">
        <v>34080</v>
      </c>
      <c r="W2117" s="1" t="s">
        <v>34081</v>
      </c>
      <c r="X2117" s="1" t="s">
        <v>4554</v>
      </c>
      <c r="Y2117" s="1" t="s">
        <v>34082</v>
      </c>
      <c r="Z2117" s="1" t="s">
        <v>34083</v>
      </c>
      <c r="AA2117" s="1" t="s">
        <v>34084</v>
      </c>
      <c r="AB2117" s="1" t="s">
        <v>34085</v>
      </c>
      <c r="AC2117" s="1" t="s">
        <v>74</v>
      </c>
      <c r="AD2117" s="1" t="s">
        <v>74</v>
      </c>
      <c r="AE2117" s="1" t="s">
        <v>74</v>
      </c>
      <c r="AF2117" s="1" t="s">
        <v>74</v>
      </c>
      <c r="AG2117" s="1">
        <v>71</v>
      </c>
      <c r="AH2117" s="1">
        <v>45</v>
      </c>
      <c r="AI2117" s="1">
        <v>45</v>
      </c>
      <c r="AJ2117" s="1">
        <v>0</v>
      </c>
      <c r="AK2117" s="1">
        <v>28</v>
      </c>
      <c r="AL2117" s="1" t="s">
        <v>2074</v>
      </c>
      <c r="AM2117" s="1" t="s">
        <v>2075</v>
      </c>
      <c r="AN2117" s="1" t="s">
        <v>2076</v>
      </c>
      <c r="AO2117" s="1" t="s">
        <v>34086</v>
      </c>
      <c r="AP2117" s="1" t="s">
        <v>34087</v>
      </c>
      <c r="AQ2117" s="1" t="s">
        <v>74</v>
      </c>
      <c r="AR2117" s="1" t="s">
        <v>34088</v>
      </c>
      <c r="AS2117" s="1" t="s">
        <v>34089</v>
      </c>
      <c r="AT2117" s="1" t="s">
        <v>2763</v>
      </c>
      <c r="AU2117" s="1">
        <v>2014</v>
      </c>
      <c r="AV2117" s="1">
        <v>81</v>
      </c>
      <c r="AW2117" s="1">
        <v>1</v>
      </c>
      <c r="AX2117" s="1" t="s">
        <v>74</v>
      </c>
      <c r="AY2117" s="1" t="s">
        <v>74</v>
      </c>
      <c r="AZ2117" s="1" t="s">
        <v>74</v>
      </c>
      <c r="BA2117" s="1" t="s">
        <v>74</v>
      </c>
      <c r="BB2117" s="1">
        <v>43</v>
      </c>
      <c r="BC2117" s="1">
        <v>54</v>
      </c>
      <c r="BD2117" s="1" t="s">
        <v>74</v>
      </c>
      <c r="BE2117" s="1" t="s">
        <v>34090</v>
      </c>
      <c r="BF2117" s="1" t="str">
        <f>HYPERLINK("http://dx.doi.org/10.1080/11250003.2013.878400","http://dx.doi.org/10.1080/11250003.2013.878400")</f>
        <v>http://dx.doi.org/10.1080/11250003.2013.878400</v>
      </c>
      <c r="BG2117" s="1" t="s">
        <v>74</v>
      </c>
      <c r="BH2117" s="1" t="s">
        <v>74</v>
      </c>
      <c r="BI2117" s="1">
        <v>12</v>
      </c>
      <c r="BJ2117" s="1" t="s">
        <v>2210</v>
      </c>
      <c r="BK2117" s="1" t="s">
        <v>96</v>
      </c>
      <c r="BL2117" s="1" t="s">
        <v>2210</v>
      </c>
      <c r="BM2117" s="1" t="s">
        <v>34091</v>
      </c>
      <c r="BN2117" s="1" t="s">
        <v>74</v>
      </c>
      <c r="BO2117" s="1" t="s">
        <v>370</v>
      </c>
      <c r="BP2117" s="1" t="s">
        <v>74</v>
      </c>
      <c r="BQ2117" s="1" t="s">
        <v>74</v>
      </c>
      <c r="BR2117" s="1" t="s">
        <v>98</v>
      </c>
      <c r="BS2117" s="1" t="s">
        <v>34092</v>
      </c>
      <c r="BT2117" s="1" t="str">
        <f>HYPERLINK("https%3A%2F%2Fwww.webofscience.com%2Fwos%2Fwoscc%2Ffull-record%2FWOS:000334827200006","View Full Record in Web of Science")</f>
        <v>View Full Record in Web of Science</v>
      </c>
      <c r="BU2117" s="1"/>
      <c r="BV2117" s="1"/>
    </row>
    <row r="2118" spans="1:74">
      <c r="A2118" s="1" t="s">
        <v>72</v>
      </c>
      <c r="B2118" s="1" t="s">
        <v>34093</v>
      </c>
      <c r="C2118" s="1" t="s">
        <v>74</v>
      </c>
      <c r="D2118" s="1" t="s">
        <v>74</v>
      </c>
      <c r="E2118" s="1" t="s">
        <v>74</v>
      </c>
      <c r="F2118" s="1" t="s">
        <v>34094</v>
      </c>
      <c r="G2118" s="1" t="s">
        <v>74</v>
      </c>
      <c r="H2118" s="1" t="s">
        <v>74</v>
      </c>
      <c r="I2118" s="1" t="s">
        <v>34095</v>
      </c>
      <c r="J2118" s="1" t="s">
        <v>3349</v>
      </c>
      <c r="K2118" s="1" t="s">
        <v>74</v>
      </c>
      <c r="L2118" s="1" t="s">
        <v>74</v>
      </c>
      <c r="M2118" s="1" t="s">
        <v>78</v>
      </c>
      <c r="N2118" s="1" t="s">
        <v>79</v>
      </c>
      <c r="O2118" s="1" t="s">
        <v>74</v>
      </c>
      <c r="P2118" s="1" t="s">
        <v>74</v>
      </c>
      <c r="Q2118" s="1" t="s">
        <v>74</v>
      </c>
      <c r="R2118" s="1" t="s">
        <v>74</v>
      </c>
      <c r="S2118" s="1" t="s">
        <v>74</v>
      </c>
      <c r="T2118" s="1" t="s">
        <v>34096</v>
      </c>
      <c r="U2118" s="1" t="s">
        <v>34097</v>
      </c>
      <c r="V2118" s="1" t="s">
        <v>34098</v>
      </c>
      <c r="W2118" s="1" t="s">
        <v>34099</v>
      </c>
      <c r="X2118" s="1" t="s">
        <v>34100</v>
      </c>
      <c r="Y2118" s="1" t="s">
        <v>34101</v>
      </c>
      <c r="Z2118" s="1" t="s">
        <v>34102</v>
      </c>
      <c r="AA2118" s="1" t="s">
        <v>3106</v>
      </c>
      <c r="AB2118" s="1" t="s">
        <v>34103</v>
      </c>
      <c r="AC2118" s="1" t="s">
        <v>34104</v>
      </c>
      <c r="AD2118" s="1" t="s">
        <v>34105</v>
      </c>
      <c r="AE2118" s="1" t="s">
        <v>34106</v>
      </c>
      <c r="AF2118" s="1" t="s">
        <v>74</v>
      </c>
      <c r="AG2118" s="1">
        <v>78</v>
      </c>
      <c r="AH2118" s="1">
        <v>7</v>
      </c>
      <c r="AI2118" s="1">
        <v>9</v>
      </c>
      <c r="AJ2118" s="1">
        <v>1</v>
      </c>
      <c r="AK2118" s="1">
        <v>20</v>
      </c>
      <c r="AL2118" s="1" t="s">
        <v>3362</v>
      </c>
      <c r="AM2118" s="1" t="s">
        <v>3363</v>
      </c>
      <c r="AN2118" s="1" t="s">
        <v>3364</v>
      </c>
      <c r="AO2118" s="1" t="s">
        <v>3365</v>
      </c>
      <c r="AP2118" s="1" t="s">
        <v>3366</v>
      </c>
      <c r="AQ2118" s="1" t="s">
        <v>74</v>
      </c>
      <c r="AR2118" s="1" t="s">
        <v>3367</v>
      </c>
      <c r="AS2118" s="1" t="s">
        <v>3368</v>
      </c>
      <c r="AT2118" s="1" t="s">
        <v>1507</v>
      </c>
      <c r="AU2118" s="1">
        <v>2020</v>
      </c>
      <c r="AV2118" s="1">
        <v>193</v>
      </c>
      <c r="AW2118" s="1" t="s">
        <v>74</v>
      </c>
      <c r="AX2118" s="1" t="s">
        <v>74</v>
      </c>
      <c r="AY2118" s="1" t="s">
        <v>74</v>
      </c>
      <c r="AZ2118" s="1" t="s">
        <v>74</v>
      </c>
      <c r="BA2118" s="1" t="s">
        <v>74</v>
      </c>
      <c r="BB2118" s="1" t="s">
        <v>74</v>
      </c>
      <c r="BC2118" s="1" t="s">
        <v>74</v>
      </c>
      <c r="BD2118" s="1">
        <v>110341</v>
      </c>
      <c r="BE2118" s="1" t="s">
        <v>34107</v>
      </c>
      <c r="BF2118" s="1" t="str">
        <f>HYPERLINK("http://dx.doi.org/10.1016/j.ecoenv.2020.110341","http://dx.doi.org/10.1016/j.ecoenv.2020.110341")</f>
        <v>http://dx.doi.org/10.1016/j.ecoenv.2020.110341</v>
      </c>
      <c r="BG2118" s="1" t="s">
        <v>74</v>
      </c>
      <c r="BH2118" s="1" t="s">
        <v>74</v>
      </c>
      <c r="BI2118" s="1">
        <v>11</v>
      </c>
      <c r="BJ2118" s="1" t="s">
        <v>121</v>
      </c>
      <c r="BK2118" s="1" t="s">
        <v>96</v>
      </c>
      <c r="BL2118" s="1" t="s">
        <v>122</v>
      </c>
      <c r="BM2118" s="1" t="s">
        <v>34108</v>
      </c>
      <c r="BN2118" s="1">
        <v>32092582</v>
      </c>
      <c r="BO2118" s="1" t="s">
        <v>1752</v>
      </c>
      <c r="BP2118" s="1" t="s">
        <v>74</v>
      </c>
      <c r="BQ2118" s="1" t="s">
        <v>74</v>
      </c>
      <c r="BR2118" s="1" t="s">
        <v>98</v>
      </c>
      <c r="BS2118" s="1" t="s">
        <v>34109</v>
      </c>
      <c r="BT2118" s="1" t="str">
        <f>HYPERLINK("https%3A%2F%2Fwww.webofscience.com%2Fwos%2Fwoscc%2Ffull-record%2FWOS:000521519900030","View Full Record in Web of Science")</f>
        <v>View Full Record in Web of Science</v>
      </c>
      <c r="BU2118" s="1"/>
      <c r="BV2118" s="1"/>
    </row>
    <row r="2119" spans="1:74">
      <c r="A2119" s="1" t="s">
        <v>72</v>
      </c>
      <c r="B2119" s="1" t="s">
        <v>34110</v>
      </c>
      <c r="C2119" s="1" t="s">
        <v>74</v>
      </c>
      <c r="D2119" s="1" t="s">
        <v>74</v>
      </c>
      <c r="E2119" s="1" t="s">
        <v>74</v>
      </c>
      <c r="F2119" s="1" t="s">
        <v>34110</v>
      </c>
      <c r="G2119" s="1" t="s">
        <v>74</v>
      </c>
      <c r="H2119" s="1" t="s">
        <v>74</v>
      </c>
      <c r="I2119" s="1" t="s">
        <v>34111</v>
      </c>
      <c r="J2119" s="1" t="s">
        <v>232</v>
      </c>
      <c r="K2119" s="1" t="s">
        <v>74</v>
      </c>
      <c r="L2119" s="1" t="s">
        <v>74</v>
      </c>
      <c r="M2119" s="1" t="s">
        <v>78</v>
      </c>
      <c r="N2119" s="1" t="s">
        <v>151</v>
      </c>
      <c r="O2119" s="1" t="s">
        <v>9266</v>
      </c>
      <c r="P2119" s="1" t="s">
        <v>9267</v>
      </c>
      <c r="Q2119" s="1" t="s">
        <v>9268</v>
      </c>
      <c r="R2119" s="1" t="s">
        <v>74</v>
      </c>
      <c r="S2119" s="1" t="s">
        <v>74</v>
      </c>
      <c r="T2119" s="1" t="s">
        <v>34112</v>
      </c>
      <c r="U2119" s="1" t="s">
        <v>34113</v>
      </c>
      <c r="V2119" s="1" t="s">
        <v>34114</v>
      </c>
      <c r="W2119" s="1" t="s">
        <v>34115</v>
      </c>
      <c r="X2119" s="1" t="s">
        <v>18677</v>
      </c>
      <c r="Y2119" s="1" t="s">
        <v>34116</v>
      </c>
      <c r="Z2119" s="1" t="s">
        <v>74</v>
      </c>
      <c r="AA2119" s="1" t="s">
        <v>34117</v>
      </c>
      <c r="AB2119" s="1" t="s">
        <v>34118</v>
      </c>
      <c r="AC2119" s="1" t="s">
        <v>74</v>
      </c>
      <c r="AD2119" s="1" t="s">
        <v>74</v>
      </c>
      <c r="AE2119" s="1" t="s">
        <v>74</v>
      </c>
      <c r="AF2119" s="1" t="s">
        <v>74</v>
      </c>
      <c r="AG2119" s="1">
        <v>40</v>
      </c>
      <c r="AH2119" s="1">
        <v>44</v>
      </c>
      <c r="AI2119" s="1">
        <v>52</v>
      </c>
      <c r="AJ2119" s="1">
        <v>1</v>
      </c>
      <c r="AK2119" s="1">
        <v>15</v>
      </c>
      <c r="AL2119" s="1" t="s">
        <v>136</v>
      </c>
      <c r="AM2119" s="1" t="s">
        <v>137</v>
      </c>
      <c r="AN2119" s="1" t="s">
        <v>138</v>
      </c>
      <c r="AO2119" s="1" t="s">
        <v>240</v>
      </c>
      <c r="AP2119" s="1" t="s">
        <v>241</v>
      </c>
      <c r="AQ2119" s="1" t="s">
        <v>74</v>
      </c>
      <c r="AR2119" s="1" t="s">
        <v>242</v>
      </c>
      <c r="AS2119" s="1" t="s">
        <v>243</v>
      </c>
      <c r="AT2119" s="1" t="s">
        <v>74</v>
      </c>
      <c r="AU2119" s="1">
        <v>2002</v>
      </c>
      <c r="AV2119" s="1">
        <v>45</v>
      </c>
      <c r="AW2119" s="1" t="s">
        <v>9275</v>
      </c>
      <c r="AX2119" s="1" t="s">
        <v>74</v>
      </c>
      <c r="AY2119" s="1" t="s">
        <v>74</v>
      </c>
      <c r="AZ2119" s="1" t="s">
        <v>225</v>
      </c>
      <c r="BA2119" s="1" t="s">
        <v>74</v>
      </c>
      <c r="BB2119" s="1">
        <v>133</v>
      </c>
      <c r="BC2119" s="1">
        <v>139</v>
      </c>
      <c r="BD2119" s="1" t="s">
        <v>34119</v>
      </c>
      <c r="BE2119" s="1" t="s">
        <v>34120</v>
      </c>
      <c r="BF2119" s="1" t="str">
        <f>HYPERLINK("http://dx.doi.org/10.1016/S0025-326X(01)00299-5","http://dx.doi.org/10.1016/S0025-326X(01)00299-5")</f>
        <v>http://dx.doi.org/10.1016/S0025-326X(01)00299-5</v>
      </c>
      <c r="BG2119" s="1" t="s">
        <v>74</v>
      </c>
      <c r="BH2119" s="1" t="s">
        <v>74</v>
      </c>
      <c r="BI2119" s="1">
        <v>7</v>
      </c>
      <c r="BJ2119" s="1" t="s">
        <v>247</v>
      </c>
      <c r="BK2119" s="1" t="s">
        <v>172</v>
      </c>
      <c r="BL2119" s="1" t="s">
        <v>248</v>
      </c>
      <c r="BM2119" s="1" t="s">
        <v>9277</v>
      </c>
      <c r="BN2119" s="1">
        <v>12398377</v>
      </c>
      <c r="BO2119" s="1" t="s">
        <v>74</v>
      </c>
      <c r="BP2119" s="1" t="s">
        <v>74</v>
      </c>
      <c r="BQ2119" s="1" t="s">
        <v>74</v>
      </c>
      <c r="BR2119" s="1" t="s">
        <v>98</v>
      </c>
      <c r="BS2119" s="1" t="s">
        <v>34121</v>
      </c>
      <c r="BT2119" s="1" t="str">
        <f>HYPERLINK("https%3A%2F%2Fwww.webofscience.com%2Fwos%2Fwoscc%2Ffull-record%2FWOS:000178336300017","View Full Record in Web of Science")</f>
        <v>View Full Record in Web of Science</v>
      </c>
      <c r="BU2119" s="1"/>
      <c r="BV2119" s="1"/>
    </row>
    <row r="2120" spans="1:74">
      <c r="A2120" s="1" t="s">
        <v>72</v>
      </c>
      <c r="B2120" s="1" t="s">
        <v>34122</v>
      </c>
      <c r="C2120" s="1" t="s">
        <v>74</v>
      </c>
      <c r="D2120" s="1" t="s">
        <v>74</v>
      </c>
      <c r="E2120" s="1" t="s">
        <v>74</v>
      </c>
      <c r="F2120" s="1" t="s">
        <v>34122</v>
      </c>
      <c r="G2120" s="1" t="s">
        <v>74</v>
      </c>
      <c r="H2120" s="1" t="s">
        <v>74</v>
      </c>
      <c r="I2120" s="1" t="s">
        <v>34123</v>
      </c>
      <c r="J2120" s="1" t="s">
        <v>1202</v>
      </c>
      <c r="K2120" s="1" t="s">
        <v>74</v>
      </c>
      <c r="L2120" s="1" t="s">
        <v>74</v>
      </c>
      <c r="M2120" s="1" t="s">
        <v>78</v>
      </c>
      <c r="N2120" s="1" t="s">
        <v>79</v>
      </c>
      <c r="O2120" s="1" t="s">
        <v>74</v>
      </c>
      <c r="P2120" s="1" t="s">
        <v>74</v>
      </c>
      <c r="Q2120" s="1" t="s">
        <v>74</v>
      </c>
      <c r="R2120" s="1" t="s">
        <v>74</v>
      </c>
      <c r="S2120" s="1" t="s">
        <v>74</v>
      </c>
      <c r="T2120" s="1" t="s">
        <v>34124</v>
      </c>
      <c r="U2120" s="1" t="s">
        <v>34125</v>
      </c>
      <c r="V2120" s="1" t="s">
        <v>34126</v>
      </c>
      <c r="W2120" s="1" t="s">
        <v>34127</v>
      </c>
      <c r="X2120" s="1" t="s">
        <v>74</v>
      </c>
      <c r="Y2120" s="1" t="s">
        <v>34128</v>
      </c>
      <c r="Z2120" s="1" t="s">
        <v>34129</v>
      </c>
      <c r="AA2120" s="1" t="s">
        <v>74</v>
      </c>
      <c r="AB2120" s="1" t="s">
        <v>74</v>
      </c>
      <c r="AC2120" s="1" t="s">
        <v>74</v>
      </c>
      <c r="AD2120" s="1" t="s">
        <v>74</v>
      </c>
      <c r="AE2120" s="1" t="s">
        <v>74</v>
      </c>
      <c r="AF2120" s="1" t="s">
        <v>74</v>
      </c>
      <c r="AG2120" s="1">
        <v>43</v>
      </c>
      <c r="AH2120" s="1">
        <v>36</v>
      </c>
      <c r="AI2120" s="1">
        <v>39</v>
      </c>
      <c r="AJ2120" s="1">
        <v>2</v>
      </c>
      <c r="AK2120" s="1">
        <v>21</v>
      </c>
      <c r="AL2120" s="1" t="s">
        <v>112</v>
      </c>
      <c r="AM2120" s="1" t="s">
        <v>191</v>
      </c>
      <c r="AN2120" s="1" t="s">
        <v>192</v>
      </c>
      <c r="AO2120" s="1" t="s">
        <v>1207</v>
      </c>
      <c r="AP2120" s="1" t="s">
        <v>4902</v>
      </c>
      <c r="AQ2120" s="1" t="s">
        <v>74</v>
      </c>
      <c r="AR2120" s="1" t="s">
        <v>1202</v>
      </c>
      <c r="AS2120" s="1" t="s">
        <v>1208</v>
      </c>
      <c r="AT2120" s="1" t="s">
        <v>197</v>
      </c>
      <c r="AU2120" s="1">
        <v>1999</v>
      </c>
      <c r="AV2120" s="1">
        <v>416</v>
      </c>
      <c r="AW2120" s="1" t="s">
        <v>74</v>
      </c>
      <c r="AX2120" s="1" t="s">
        <v>74</v>
      </c>
      <c r="AY2120" s="1" t="s">
        <v>74</v>
      </c>
      <c r="AZ2120" s="1" t="s">
        <v>74</v>
      </c>
      <c r="BA2120" s="1" t="s">
        <v>74</v>
      </c>
      <c r="BB2120" s="1">
        <v>41</v>
      </c>
      <c r="BC2120" s="1">
        <v>49</v>
      </c>
      <c r="BD2120" s="1" t="s">
        <v>74</v>
      </c>
      <c r="BE2120" s="1" t="s">
        <v>34130</v>
      </c>
      <c r="BF2120" s="1" t="str">
        <f>HYPERLINK("http://dx.doi.org/10.1023/A:1003811223880","http://dx.doi.org/10.1023/A:1003811223880")</f>
        <v>http://dx.doi.org/10.1023/A:1003811223880</v>
      </c>
      <c r="BG2120" s="1" t="s">
        <v>74</v>
      </c>
      <c r="BH2120" s="1" t="s">
        <v>74</v>
      </c>
      <c r="BI2120" s="1">
        <v>9</v>
      </c>
      <c r="BJ2120" s="1" t="s">
        <v>680</v>
      </c>
      <c r="BK2120" s="1" t="s">
        <v>96</v>
      </c>
      <c r="BL2120" s="1" t="s">
        <v>680</v>
      </c>
      <c r="BM2120" s="1" t="s">
        <v>34131</v>
      </c>
      <c r="BN2120" s="1" t="s">
        <v>74</v>
      </c>
      <c r="BO2120" s="1" t="s">
        <v>74</v>
      </c>
      <c r="BP2120" s="1" t="s">
        <v>74</v>
      </c>
      <c r="BQ2120" s="1" t="s">
        <v>74</v>
      </c>
      <c r="BR2120" s="1" t="s">
        <v>98</v>
      </c>
      <c r="BS2120" s="1" t="s">
        <v>34132</v>
      </c>
      <c r="BT2120" s="1" t="str">
        <f>HYPERLINK("https%3A%2F%2Fwww.webofscience.com%2Fwos%2Fwoscc%2Ffull-record%2FWOS:000085130100004","View Full Record in Web of Science")</f>
        <v>View Full Record in Web of Science</v>
      </c>
      <c r="BU2120" s="1"/>
      <c r="BV2120" s="1"/>
    </row>
    <row r="2121" spans="1:74">
      <c r="A2121" s="1" t="s">
        <v>72</v>
      </c>
      <c r="B2121" s="1" t="s">
        <v>34133</v>
      </c>
      <c r="C2121" s="1" t="s">
        <v>74</v>
      </c>
      <c r="D2121" s="1" t="s">
        <v>74</v>
      </c>
      <c r="E2121" s="1" t="s">
        <v>74</v>
      </c>
      <c r="F2121" s="1" t="s">
        <v>34133</v>
      </c>
      <c r="G2121" s="1" t="s">
        <v>74</v>
      </c>
      <c r="H2121" s="1" t="s">
        <v>74</v>
      </c>
      <c r="I2121" s="1" t="s">
        <v>34134</v>
      </c>
      <c r="J2121" s="1" t="s">
        <v>752</v>
      </c>
      <c r="K2121" s="1" t="s">
        <v>74</v>
      </c>
      <c r="L2121" s="1" t="s">
        <v>74</v>
      </c>
      <c r="M2121" s="1" t="s">
        <v>78</v>
      </c>
      <c r="N2121" s="1" t="s">
        <v>151</v>
      </c>
      <c r="O2121" s="1" t="s">
        <v>2433</v>
      </c>
      <c r="P2121" s="1" t="s">
        <v>2434</v>
      </c>
      <c r="Q2121" s="1" t="s">
        <v>2435</v>
      </c>
      <c r="R2121" s="1" t="s">
        <v>74</v>
      </c>
      <c r="S2121" s="1" t="s">
        <v>74</v>
      </c>
      <c r="T2121" s="1" t="s">
        <v>34135</v>
      </c>
      <c r="U2121" s="1" t="s">
        <v>74</v>
      </c>
      <c r="V2121" s="1" t="s">
        <v>34136</v>
      </c>
      <c r="W2121" s="1" t="s">
        <v>34137</v>
      </c>
      <c r="X2121" s="1" t="s">
        <v>23176</v>
      </c>
      <c r="Y2121" s="1" t="s">
        <v>34138</v>
      </c>
      <c r="Z2121" s="1" t="s">
        <v>34139</v>
      </c>
      <c r="AA2121" s="1" t="s">
        <v>34140</v>
      </c>
      <c r="AB2121" s="1" t="s">
        <v>34141</v>
      </c>
      <c r="AC2121" s="1" t="s">
        <v>74</v>
      </c>
      <c r="AD2121" s="1" t="s">
        <v>74</v>
      </c>
      <c r="AE2121" s="1" t="s">
        <v>74</v>
      </c>
      <c r="AF2121" s="1" t="s">
        <v>74</v>
      </c>
      <c r="AG2121" s="1">
        <v>8</v>
      </c>
      <c r="AH2121" s="1">
        <v>92</v>
      </c>
      <c r="AI2121" s="1">
        <v>112</v>
      </c>
      <c r="AJ2121" s="1">
        <v>0</v>
      </c>
      <c r="AK2121" s="1">
        <v>30</v>
      </c>
      <c r="AL2121" s="1" t="s">
        <v>430</v>
      </c>
      <c r="AM2121" s="1" t="s">
        <v>137</v>
      </c>
      <c r="AN2121" s="1" t="s">
        <v>431</v>
      </c>
      <c r="AO2121" s="1" t="s">
        <v>761</v>
      </c>
      <c r="AP2121" s="1" t="s">
        <v>762</v>
      </c>
      <c r="AQ2121" s="1" t="s">
        <v>74</v>
      </c>
      <c r="AR2121" s="1" t="s">
        <v>763</v>
      </c>
      <c r="AS2121" s="1" t="s">
        <v>764</v>
      </c>
      <c r="AT2121" s="1" t="s">
        <v>2445</v>
      </c>
      <c r="AU2121" s="1">
        <v>2004</v>
      </c>
      <c r="AV2121" s="1">
        <v>58</v>
      </c>
      <c r="AW2121" s="1" t="s">
        <v>2446</v>
      </c>
      <c r="AX2121" s="1" t="s">
        <v>74</v>
      </c>
      <c r="AY2121" s="1" t="s">
        <v>74</v>
      </c>
      <c r="AZ2121" s="1" t="s">
        <v>74</v>
      </c>
      <c r="BA2121" s="1" t="s">
        <v>74</v>
      </c>
      <c r="BB2121" s="1">
        <v>275</v>
      </c>
      <c r="BC2121" s="1">
        <v>279</v>
      </c>
      <c r="BD2121" s="1" t="s">
        <v>74</v>
      </c>
      <c r="BE2121" s="1" t="s">
        <v>34142</v>
      </c>
      <c r="BF2121" s="1" t="str">
        <f>HYPERLINK("http://dx.doi.org/10.1016/j.marenvres.2004.03.071","http://dx.doi.org/10.1016/j.marenvres.2004.03.071")</f>
        <v>http://dx.doi.org/10.1016/j.marenvres.2004.03.071</v>
      </c>
      <c r="BG2121" s="1" t="s">
        <v>74</v>
      </c>
      <c r="BH2121" s="1" t="s">
        <v>74</v>
      </c>
      <c r="BI2121" s="1">
        <v>5</v>
      </c>
      <c r="BJ2121" s="1" t="s">
        <v>768</v>
      </c>
      <c r="BK2121" s="1" t="s">
        <v>172</v>
      </c>
      <c r="BL2121" s="1" t="s">
        <v>769</v>
      </c>
      <c r="BM2121" s="1" t="s">
        <v>2448</v>
      </c>
      <c r="BN2121" s="1">
        <v>15178044</v>
      </c>
      <c r="BO2121" s="1" t="s">
        <v>74</v>
      </c>
      <c r="BP2121" s="1" t="s">
        <v>74</v>
      </c>
      <c r="BQ2121" s="1" t="s">
        <v>74</v>
      </c>
      <c r="BR2121" s="1" t="s">
        <v>98</v>
      </c>
      <c r="BS2121" s="1" t="s">
        <v>34143</v>
      </c>
      <c r="BT2121" s="1" t="str">
        <f>HYPERLINK("https%3A%2F%2Fwww.webofscience.com%2Fwos%2Fwoscc%2Ffull-record%2FWOS:000222199100028","View Full Record in Web of Science")</f>
        <v>View Full Record in Web of Science</v>
      </c>
      <c r="BU2121" s="1"/>
      <c r="BV2121" s="1"/>
    </row>
    <row r="2122" spans="1:74">
      <c r="A2122" s="1" t="s">
        <v>72</v>
      </c>
      <c r="B2122" s="1" t="s">
        <v>34144</v>
      </c>
      <c r="C2122" s="1" t="s">
        <v>74</v>
      </c>
      <c r="D2122" s="1" t="s">
        <v>74</v>
      </c>
      <c r="E2122" s="1" t="s">
        <v>74</v>
      </c>
      <c r="F2122" s="1" t="s">
        <v>34145</v>
      </c>
      <c r="G2122" s="1" t="s">
        <v>74</v>
      </c>
      <c r="H2122" s="1" t="s">
        <v>74</v>
      </c>
      <c r="I2122" s="1" t="s">
        <v>34146</v>
      </c>
      <c r="J2122" s="1" t="s">
        <v>3183</v>
      </c>
      <c r="K2122" s="1" t="s">
        <v>74</v>
      </c>
      <c r="L2122" s="1" t="s">
        <v>74</v>
      </c>
      <c r="M2122" s="1" t="s">
        <v>78</v>
      </c>
      <c r="N2122" s="1" t="s">
        <v>79</v>
      </c>
      <c r="O2122" s="1" t="s">
        <v>74</v>
      </c>
      <c r="P2122" s="1" t="s">
        <v>74</v>
      </c>
      <c r="Q2122" s="1" t="s">
        <v>74</v>
      </c>
      <c r="R2122" s="1" t="s">
        <v>74</v>
      </c>
      <c r="S2122" s="1" t="s">
        <v>74</v>
      </c>
      <c r="T2122" s="1" t="s">
        <v>34147</v>
      </c>
      <c r="U2122" s="1" t="s">
        <v>34148</v>
      </c>
      <c r="V2122" s="1" t="s">
        <v>34149</v>
      </c>
      <c r="W2122" s="1" t="s">
        <v>34150</v>
      </c>
      <c r="X2122" s="1" t="s">
        <v>34151</v>
      </c>
      <c r="Y2122" s="1" t="s">
        <v>34152</v>
      </c>
      <c r="Z2122" s="1" t="s">
        <v>34153</v>
      </c>
      <c r="AA2122" s="1" t="s">
        <v>34154</v>
      </c>
      <c r="AB2122" s="1" t="s">
        <v>34155</v>
      </c>
      <c r="AC2122" s="1" t="s">
        <v>74</v>
      </c>
      <c r="AD2122" s="1" t="s">
        <v>74</v>
      </c>
      <c r="AE2122" s="1" t="s">
        <v>74</v>
      </c>
      <c r="AF2122" s="1" t="s">
        <v>74</v>
      </c>
      <c r="AG2122" s="1">
        <v>157</v>
      </c>
      <c r="AH2122" s="1">
        <v>10</v>
      </c>
      <c r="AI2122" s="1">
        <v>12</v>
      </c>
      <c r="AJ2122" s="1">
        <v>3</v>
      </c>
      <c r="AK2122" s="1">
        <v>17</v>
      </c>
      <c r="AL2122" s="1" t="s">
        <v>3196</v>
      </c>
      <c r="AM2122" s="1" t="s">
        <v>262</v>
      </c>
      <c r="AN2122" s="1" t="s">
        <v>3197</v>
      </c>
      <c r="AO2122" s="1" t="s">
        <v>74</v>
      </c>
      <c r="AP2122" s="1" t="s">
        <v>3198</v>
      </c>
      <c r="AQ2122" s="1" t="s">
        <v>74</v>
      </c>
      <c r="AR2122" s="1" t="s">
        <v>3183</v>
      </c>
      <c r="AS2122" s="1" t="s">
        <v>3199</v>
      </c>
      <c r="AT2122" s="1" t="s">
        <v>1223</v>
      </c>
      <c r="AU2122" s="1">
        <v>2022</v>
      </c>
      <c r="AV2122" s="1">
        <v>8</v>
      </c>
      <c r="AW2122" s="1">
        <v>3</v>
      </c>
      <c r="AX2122" s="1" t="s">
        <v>74</v>
      </c>
      <c r="AY2122" s="1" t="s">
        <v>74</v>
      </c>
      <c r="AZ2122" s="1" t="s">
        <v>74</v>
      </c>
      <c r="BA2122" s="1" t="s">
        <v>74</v>
      </c>
      <c r="BB2122" s="1" t="s">
        <v>74</v>
      </c>
      <c r="BC2122" s="1" t="s">
        <v>74</v>
      </c>
      <c r="BD2122" s="1" t="s">
        <v>34156</v>
      </c>
      <c r="BE2122" s="1" t="s">
        <v>34157</v>
      </c>
      <c r="BF2122" s="1" t="str">
        <f>HYPERLINK("http://dx.doi.org/10.1016/j.heliyon.2022.e09069","http://dx.doi.org/10.1016/j.heliyon.2022.e09069")</f>
        <v>http://dx.doi.org/10.1016/j.heliyon.2022.e09069</v>
      </c>
      <c r="BG2122" s="1" t="s">
        <v>74</v>
      </c>
      <c r="BH2122" s="1" t="s">
        <v>5038</v>
      </c>
      <c r="BI2122" s="1">
        <v>14</v>
      </c>
      <c r="BJ2122" s="1" t="s">
        <v>3202</v>
      </c>
      <c r="BK2122" s="1" t="s">
        <v>96</v>
      </c>
      <c r="BL2122" s="1" t="s">
        <v>3203</v>
      </c>
      <c r="BM2122" s="1" t="s">
        <v>34158</v>
      </c>
      <c r="BN2122" s="1">
        <v>35284685</v>
      </c>
      <c r="BO2122" s="1" t="s">
        <v>550</v>
      </c>
      <c r="BP2122" s="1" t="s">
        <v>74</v>
      </c>
      <c r="BQ2122" s="1" t="s">
        <v>74</v>
      </c>
      <c r="BR2122" s="1" t="s">
        <v>98</v>
      </c>
      <c r="BS2122" s="1" t="s">
        <v>34159</v>
      </c>
      <c r="BT2122" s="1" t="str">
        <f>HYPERLINK("https%3A%2F%2Fwww.webofscience.com%2Fwos%2Fwoscc%2Ffull-record%2FWOS:000784250800008","View Full Record in Web of Science")</f>
        <v>View Full Record in Web of Science</v>
      </c>
      <c r="BU2122" s="1"/>
      <c r="BV2122" s="1"/>
    </row>
    <row r="2123" spans="1:74">
      <c r="A2123" s="1" t="s">
        <v>72</v>
      </c>
      <c r="B2123" s="1" t="s">
        <v>34160</v>
      </c>
      <c r="C2123" s="1" t="s">
        <v>74</v>
      </c>
      <c r="D2123" s="1" t="s">
        <v>74</v>
      </c>
      <c r="E2123" s="1" t="s">
        <v>74</v>
      </c>
      <c r="F2123" s="1" t="s">
        <v>34161</v>
      </c>
      <c r="G2123" s="1" t="s">
        <v>74</v>
      </c>
      <c r="H2123" s="1" t="s">
        <v>74</v>
      </c>
      <c r="I2123" s="1" t="s">
        <v>34162</v>
      </c>
      <c r="J2123" s="1" t="s">
        <v>34163</v>
      </c>
      <c r="K2123" s="1" t="s">
        <v>74</v>
      </c>
      <c r="L2123" s="1" t="s">
        <v>74</v>
      </c>
      <c r="M2123" s="1" t="s">
        <v>78</v>
      </c>
      <c r="N2123" s="1" t="s">
        <v>79</v>
      </c>
      <c r="O2123" s="1" t="s">
        <v>74</v>
      </c>
      <c r="P2123" s="1" t="s">
        <v>74</v>
      </c>
      <c r="Q2123" s="1" t="s">
        <v>74</v>
      </c>
      <c r="R2123" s="1" t="s">
        <v>74</v>
      </c>
      <c r="S2123" s="1" t="s">
        <v>74</v>
      </c>
      <c r="T2123" s="1" t="s">
        <v>34164</v>
      </c>
      <c r="U2123" s="1" t="s">
        <v>34165</v>
      </c>
      <c r="V2123" s="1" t="s">
        <v>34166</v>
      </c>
      <c r="W2123" s="1" t="s">
        <v>34167</v>
      </c>
      <c r="X2123" s="1" t="s">
        <v>34168</v>
      </c>
      <c r="Y2123" s="1" t="s">
        <v>34169</v>
      </c>
      <c r="Z2123" s="1" t="s">
        <v>34170</v>
      </c>
      <c r="AA2123" s="1" t="s">
        <v>34171</v>
      </c>
      <c r="AB2123" s="1" t="s">
        <v>34172</v>
      </c>
      <c r="AC2123" s="1" t="s">
        <v>34173</v>
      </c>
      <c r="AD2123" s="1" t="s">
        <v>34174</v>
      </c>
      <c r="AE2123" s="1" t="s">
        <v>34175</v>
      </c>
      <c r="AF2123" s="1" t="s">
        <v>74</v>
      </c>
      <c r="AG2123" s="1">
        <v>62</v>
      </c>
      <c r="AH2123" s="1">
        <v>25</v>
      </c>
      <c r="AI2123" s="1">
        <v>29</v>
      </c>
      <c r="AJ2123" s="1">
        <v>0</v>
      </c>
      <c r="AK2123" s="1">
        <v>14</v>
      </c>
      <c r="AL2123" s="1" t="s">
        <v>2904</v>
      </c>
      <c r="AM2123" s="1" t="s">
        <v>2905</v>
      </c>
      <c r="AN2123" s="1" t="s">
        <v>2906</v>
      </c>
      <c r="AO2123" s="1" t="s">
        <v>34176</v>
      </c>
      <c r="AP2123" s="1" t="s">
        <v>34177</v>
      </c>
      <c r="AQ2123" s="1" t="s">
        <v>74</v>
      </c>
      <c r="AR2123" s="1" t="s">
        <v>34178</v>
      </c>
      <c r="AS2123" s="1" t="s">
        <v>34179</v>
      </c>
      <c r="AT2123" s="1" t="s">
        <v>74</v>
      </c>
      <c r="AU2123" s="1">
        <v>2011</v>
      </c>
      <c r="AV2123" s="1">
        <v>14</v>
      </c>
      <c r="AW2123" s="1">
        <v>1</v>
      </c>
      <c r="AX2123" s="1" t="s">
        <v>74</v>
      </c>
      <c r="AY2123" s="1" t="s">
        <v>74</v>
      </c>
      <c r="AZ2123" s="1" t="s">
        <v>74</v>
      </c>
      <c r="BA2123" s="1" t="s">
        <v>74</v>
      </c>
      <c r="BB2123" s="1">
        <v>87</v>
      </c>
      <c r="BC2123" s="1">
        <v>98</v>
      </c>
      <c r="BD2123" s="1" t="s">
        <v>74</v>
      </c>
      <c r="BE2123" s="1" t="s">
        <v>34180</v>
      </c>
      <c r="BF2123" s="1" t="str">
        <f>HYPERLINK("http://dx.doi.org/10.3354/ab00377","http://dx.doi.org/10.3354/ab00377")</f>
        <v>http://dx.doi.org/10.3354/ab00377</v>
      </c>
      <c r="BG2123" s="1" t="s">
        <v>74</v>
      </c>
      <c r="BH2123" s="1" t="s">
        <v>74</v>
      </c>
      <c r="BI2123" s="1">
        <v>12</v>
      </c>
      <c r="BJ2123" s="1" t="s">
        <v>680</v>
      </c>
      <c r="BK2123" s="1" t="s">
        <v>96</v>
      </c>
      <c r="BL2123" s="1" t="s">
        <v>680</v>
      </c>
      <c r="BM2123" s="1" t="s">
        <v>34181</v>
      </c>
      <c r="BN2123" s="1" t="s">
        <v>74</v>
      </c>
      <c r="BO2123" s="1" t="s">
        <v>370</v>
      </c>
      <c r="BP2123" s="1" t="s">
        <v>74</v>
      </c>
      <c r="BQ2123" s="1" t="s">
        <v>74</v>
      </c>
      <c r="BR2123" s="1" t="s">
        <v>98</v>
      </c>
      <c r="BS2123" s="1" t="s">
        <v>34182</v>
      </c>
      <c r="BT2123" s="1" t="str">
        <f>HYPERLINK("https%3A%2F%2Fwww.webofscience.com%2Fwos%2Fwoscc%2Ffull-record%2FWOS:000297701500009","View Full Record in Web of Science")</f>
        <v>View Full Record in Web of Science</v>
      </c>
      <c r="BU2123" s="1"/>
      <c r="BV2123" s="1"/>
    </row>
    <row r="2124" spans="1:74">
      <c r="A2124" s="1" t="s">
        <v>72</v>
      </c>
      <c r="B2124" s="1" t="s">
        <v>34183</v>
      </c>
      <c r="C2124" s="1" t="s">
        <v>74</v>
      </c>
      <c r="D2124" s="1" t="s">
        <v>74</v>
      </c>
      <c r="E2124" s="1" t="s">
        <v>74</v>
      </c>
      <c r="F2124" s="1" t="s">
        <v>34184</v>
      </c>
      <c r="G2124" s="1" t="s">
        <v>74</v>
      </c>
      <c r="H2124" s="1" t="s">
        <v>74</v>
      </c>
      <c r="I2124" s="1" t="s">
        <v>34185</v>
      </c>
      <c r="J2124" s="1" t="s">
        <v>232</v>
      </c>
      <c r="K2124" s="1" t="s">
        <v>74</v>
      </c>
      <c r="L2124" s="1" t="s">
        <v>74</v>
      </c>
      <c r="M2124" s="1" t="s">
        <v>78</v>
      </c>
      <c r="N2124" s="1" t="s">
        <v>79</v>
      </c>
      <c r="O2124" s="1" t="s">
        <v>74</v>
      </c>
      <c r="P2124" s="1" t="s">
        <v>74</v>
      </c>
      <c r="Q2124" s="1" t="s">
        <v>74</v>
      </c>
      <c r="R2124" s="1" t="s">
        <v>74</v>
      </c>
      <c r="S2124" s="1" t="s">
        <v>74</v>
      </c>
      <c r="T2124" s="1" t="s">
        <v>34186</v>
      </c>
      <c r="U2124" s="1" t="s">
        <v>34187</v>
      </c>
      <c r="V2124" s="1" t="s">
        <v>34188</v>
      </c>
      <c r="W2124" s="1" t="s">
        <v>34189</v>
      </c>
      <c r="X2124" s="1" t="s">
        <v>34190</v>
      </c>
      <c r="Y2124" s="1" t="s">
        <v>34191</v>
      </c>
      <c r="Z2124" s="1" t="s">
        <v>34192</v>
      </c>
      <c r="AA2124" s="1" t="s">
        <v>74</v>
      </c>
      <c r="AB2124" s="1" t="s">
        <v>34193</v>
      </c>
      <c r="AC2124" s="1" t="s">
        <v>34194</v>
      </c>
      <c r="AD2124" s="1" t="s">
        <v>34195</v>
      </c>
      <c r="AE2124" s="1" t="s">
        <v>34196</v>
      </c>
      <c r="AF2124" s="1" t="s">
        <v>74</v>
      </c>
      <c r="AG2124" s="1">
        <v>55</v>
      </c>
      <c r="AH2124" s="1">
        <v>6</v>
      </c>
      <c r="AI2124" s="1">
        <v>6</v>
      </c>
      <c r="AJ2124" s="1">
        <v>1</v>
      </c>
      <c r="AK2124" s="1">
        <v>32</v>
      </c>
      <c r="AL2124" s="1" t="s">
        <v>136</v>
      </c>
      <c r="AM2124" s="1" t="s">
        <v>137</v>
      </c>
      <c r="AN2124" s="1" t="s">
        <v>138</v>
      </c>
      <c r="AO2124" s="1" t="s">
        <v>240</v>
      </c>
      <c r="AP2124" s="1" t="s">
        <v>241</v>
      </c>
      <c r="AQ2124" s="1" t="s">
        <v>74</v>
      </c>
      <c r="AR2124" s="1" t="s">
        <v>242</v>
      </c>
      <c r="AS2124" s="1" t="s">
        <v>243</v>
      </c>
      <c r="AT2124" s="1" t="s">
        <v>1091</v>
      </c>
      <c r="AU2124" s="1">
        <v>2016</v>
      </c>
      <c r="AV2124" s="1">
        <v>107</v>
      </c>
      <c r="AW2124" s="1">
        <v>1</v>
      </c>
      <c r="AX2124" s="1" t="s">
        <v>74</v>
      </c>
      <c r="AY2124" s="1" t="s">
        <v>74</v>
      </c>
      <c r="AZ2124" s="1" t="s">
        <v>74</v>
      </c>
      <c r="BA2124" s="1" t="s">
        <v>74</v>
      </c>
      <c r="BB2124" s="1">
        <v>92</v>
      </c>
      <c r="BC2124" s="1">
        <v>101</v>
      </c>
      <c r="BD2124" s="1" t="s">
        <v>74</v>
      </c>
      <c r="BE2124" s="1" t="s">
        <v>34197</v>
      </c>
      <c r="BF2124" s="1" t="str">
        <f>HYPERLINK("http://dx.doi.org/10.1016/j.marpolbul.2016.04.013","http://dx.doi.org/10.1016/j.marpolbul.2016.04.013")</f>
        <v>http://dx.doi.org/10.1016/j.marpolbul.2016.04.013</v>
      </c>
      <c r="BG2124" s="1" t="s">
        <v>74</v>
      </c>
      <c r="BH2124" s="1" t="s">
        <v>74</v>
      </c>
      <c r="BI2124" s="1">
        <v>10</v>
      </c>
      <c r="BJ2124" s="1" t="s">
        <v>247</v>
      </c>
      <c r="BK2124" s="1" t="s">
        <v>96</v>
      </c>
      <c r="BL2124" s="1" t="s">
        <v>248</v>
      </c>
      <c r="BM2124" s="1" t="s">
        <v>1093</v>
      </c>
      <c r="BN2124" s="1">
        <v>27105726</v>
      </c>
      <c r="BO2124" s="1" t="s">
        <v>74</v>
      </c>
      <c r="BP2124" s="1" t="s">
        <v>74</v>
      </c>
      <c r="BQ2124" s="1" t="s">
        <v>74</v>
      </c>
      <c r="BR2124" s="1" t="s">
        <v>98</v>
      </c>
      <c r="BS2124" s="1" t="s">
        <v>34198</v>
      </c>
      <c r="BT2124" s="1" t="str">
        <f>HYPERLINK("https%3A%2F%2Fwww.webofscience.com%2Fwos%2Fwoscc%2Ffull-record%2FWOS:000377726700025","View Full Record in Web of Science")</f>
        <v>View Full Record in Web of Science</v>
      </c>
      <c r="BU2124" s="1"/>
      <c r="BV2124" s="1"/>
    </row>
    <row r="2125" spans="1:74">
      <c r="A2125" s="1" t="s">
        <v>72</v>
      </c>
      <c r="B2125" s="1" t="s">
        <v>34199</v>
      </c>
      <c r="C2125" s="1" t="s">
        <v>74</v>
      </c>
      <c r="D2125" s="1" t="s">
        <v>74</v>
      </c>
      <c r="E2125" s="1" t="s">
        <v>74</v>
      </c>
      <c r="F2125" s="1" t="s">
        <v>34199</v>
      </c>
      <c r="G2125" s="1" t="s">
        <v>74</v>
      </c>
      <c r="H2125" s="1" t="s">
        <v>74</v>
      </c>
      <c r="I2125" s="1" t="s">
        <v>34200</v>
      </c>
      <c r="J2125" s="1" t="s">
        <v>909</v>
      </c>
      <c r="K2125" s="1" t="s">
        <v>74</v>
      </c>
      <c r="L2125" s="1" t="s">
        <v>74</v>
      </c>
      <c r="M2125" s="1" t="s">
        <v>78</v>
      </c>
      <c r="N2125" s="1" t="s">
        <v>151</v>
      </c>
      <c r="O2125" s="1" t="s">
        <v>10493</v>
      </c>
      <c r="P2125" s="1" t="s">
        <v>10494</v>
      </c>
      <c r="Q2125" s="1" t="s">
        <v>10495</v>
      </c>
      <c r="R2125" s="1" t="s">
        <v>74</v>
      </c>
      <c r="S2125" s="1" t="s">
        <v>10496</v>
      </c>
      <c r="T2125" s="1" t="s">
        <v>34201</v>
      </c>
      <c r="U2125" s="1" t="s">
        <v>34202</v>
      </c>
      <c r="V2125" s="1" t="s">
        <v>34203</v>
      </c>
      <c r="W2125" s="1" t="s">
        <v>34204</v>
      </c>
      <c r="X2125" s="1" t="s">
        <v>34205</v>
      </c>
      <c r="Y2125" s="1" t="s">
        <v>34206</v>
      </c>
      <c r="Z2125" s="1" t="s">
        <v>74</v>
      </c>
      <c r="AA2125" s="1" t="s">
        <v>74</v>
      </c>
      <c r="AB2125" s="1" t="s">
        <v>74</v>
      </c>
      <c r="AC2125" s="1" t="s">
        <v>74</v>
      </c>
      <c r="AD2125" s="1" t="s">
        <v>74</v>
      </c>
      <c r="AE2125" s="1" t="s">
        <v>74</v>
      </c>
      <c r="AF2125" s="1" t="s">
        <v>74</v>
      </c>
      <c r="AG2125" s="1">
        <v>32</v>
      </c>
      <c r="AH2125" s="1">
        <v>87</v>
      </c>
      <c r="AI2125" s="1">
        <v>97</v>
      </c>
      <c r="AJ2125" s="1">
        <v>1</v>
      </c>
      <c r="AK2125" s="1">
        <v>29</v>
      </c>
      <c r="AL2125" s="1" t="s">
        <v>919</v>
      </c>
      <c r="AM2125" s="1" t="s">
        <v>651</v>
      </c>
      <c r="AN2125" s="1" t="s">
        <v>920</v>
      </c>
      <c r="AO2125" s="1" t="s">
        <v>921</v>
      </c>
      <c r="AP2125" s="1" t="s">
        <v>74</v>
      </c>
      <c r="AQ2125" s="1" t="s">
        <v>74</v>
      </c>
      <c r="AR2125" s="1" t="s">
        <v>923</v>
      </c>
      <c r="AS2125" s="1" t="s">
        <v>924</v>
      </c>
      <c r="AT2125" s="1" t="s">
        <v>10502</v>
      </c>
      <c r="AU2125" s="1">
        <v>1992</v>
      </c>
      <c r="AV2125" s="1">
        <v>125</v>
      </c>
      <c r="AW2125" s="1" t="s">
        <v>74</v>
      </c>
      <c r="AX2125" s="1" t="s">
        <v>74</v>
      </c>
      <c r="AY2125" s="1" t="s">
        <v>74</v>
      </c>
      <c r="AZ2125" s="1" t="s">
        <v>74</v>
      </c>
      <c r="BA2125" s="1" t="s">
        <v>74</v>
      </c>
      <c r="BB2125" s="1">
        <v>97</v>
      </c>
      <c r="BC2125" s="1">
        <v>122</v>
      </c>
      <c r="BD2125" s="1" t="s">
        <v>74</v>
      </c>
      <c r="BE2125" s="1" t="s">
        <v>34207</v>
      </c>
      <c r="BF2125" s="1" t="str">
        <f>HYPERLINK("http://dx.doi.org/10.1016/0048-9697(92)90385-6","http://dx.doi.org/10.1016/0048-9697(92)90385-6")</f>
        <v>http://dx.doi.org/10.1016/0048-9697(92)90385-6</v>
      </c>
      <c r="BG2125" s="1" t="s">
        <v>74</v>
      </c>
      <c r="BH2125" s="1" t="s">
        <v>74</v>
      </c>
      <c r="BI2125" s="1">
        <v>26</v>
      </c>
      <c r="BJ2125" s="1" t="s">
        <v>144</v>
      </c>
      <c r="BK2125" s="1" t="s">
        <v>588</v>
      </c>
      <c r="BL2125" s="1" t="s">
        <v>145</v>
      </c>
      <c r="BM2125" s="1" t="s">
        <v>10504</v>
      </c>
      <c r="BN2125" s="1" t="s">
        <v>74</v>
      </c>
      <c r="BO2125" s="1" t="s">
        <v>74</v>
      </c>
      <c r="BP2125" s="1" t="s">
        <v>74</v>
      </c>
      <c r="BQ2125" s="1" t="s">
        <v>74</v>
      </c>
      <c r="BR2125" s="1" t="s">
        <v>98</v>
      </c>
      <c r="BS2125" s="1" t="s">
        <v>34208</v>
      </c>
      <c r="BT2125" s="1" t="str">
        <f>HYPERLINK("https%3A%2F%2Fwww.webofscience.com%2Fwos%2Fwoscc%2Ffull-record%2FWOS:A1992JR72300010","View Full Record in Web of Science")</f>
        <v>View Full Record in Web of Science</v>
      </c>
      <c r="BU2125" s="1"/>
      <c r="BV2125" s="1"/>
    </row>
    <row r="2126" spans="1:74">
      <c r="A2126" s="1" t="s">
        <v>72</v>
      </c>
      <c r="B2126" s="1" t="s">
        <v>34209</v>
      </c>
      <c r="C2126" s="1" t="s">
        <v>74</v>
      </c>
      <c r="D2126" s="1" t="s">
        <v>74</v>
      </c>
      <c r="E2126" s="1" t="s">
        <v>74</v>
      </c>
      <c r="F2126" s="1" t="s">
        <v>34209</v>
      </c>
      <c r="G2126" s="1" t="s">
        <v>74</v>
      </c>
      <c r="H2126" s="1" t="s">
        <v>74</v>
      </c>
      <c r="I2126" s="1" t="s">
        <v>34210</v>
      </c>
      <c r="J2126" s="1" t="s">
        <v>33993</v>
      </c>
      <c r="K2126" s="1" t="s">
        <v>74</v>
      </c>
      <c r="L2126" s="1" t="s">
        <v>74</v>
      </c>
      <c r="M2126" s="1" t="s">
        <v>78</v>
      </c>
      <c r="N2126" s="1" t="s">
        <v>79</v>
      </c>
      <c r="O2126" s="1" t="s">
        <v>74</v>
      </c>
      <c r="P2126" s="1" t="s">
        <v>74</v>
      </c>
      <c r="Q2126" s="1" t="s">
        <v>74</v>
      </c>
      <c r="R2126" s="1" t="s">
        <v>74</v>
      </c>
      <c r="S2126" s="1" t="s">
        <v>74</v>
      </c>
      <c r="T2126" s="1" t="s">
        <v>34211</v>
      </c>
      <c r="U2126" s="1" t="s">
        <v>34212</v>
      </c>
      <c r="V2126" s="1" t="s">
        <v>34213</v>
      </c>
      <c r="W2126" s="1" t="s">
        <v>34214</v>
      </c>
      <c r="X2126" s="1" t="s">
        <v>34215</v>
      </c>
      <c r="Y2126" s="1" t="s">
        <v>34216</v>
      </c>
      <c r="Z2126" s="1" t="s">
        <v>34217</v>
      </c>
      <c r="AA2126" s="1" t="s">
        <v>34218</v>
      </c>
      <c r="AB2126" s="1" t="s">
        <v>34219</v>
      </c>
      <c r="AC2126" s="1" t="s">
        <v>74</v>
      </c>
      <c r="AD2126" s="1" t="s">
        <v>74</v>
      </c>
      <c r="AE2126" s="1" t="s">
        <v>74</v>
      </c>
      <c r="AF2126" s="1" t="s">
        <v>74</v>
      </c>
      <c r="AG2126" s="1">
        <v>28</v>
      </c>
      <c r="AH2126" s="1">
        <v>17</v>
      </c>
      <c r="AI2126" s="1">
        <v>19</v>
      </c>
      <c r="AJ2126" s="1">
        <v>1</v>
      </c>
      <c r="AK2126" s="1">
        <v>26</v>
      </c>
      <c r="AL2126" s="1" t="s">
        <v>34003</v>
      </c>
      <c r="AM2126" s="1" t="s">
        <v>26960</v>
      </c>
      <c r="AN2126" s="1" t="s">
        <v>34004</v>
      </c>
      <c r="AO2126" s="1" t="s">
        <v>34005</v>
      </c>
      <c r="AP2126" s="1" t="s">
        <v>74</v>
      </c>
      <c r="AQ2126" s="1" t="s">
        <v>74</v>
      </c>
      <c r="AR2126" s="1" t="s">
        <v>34006</v>
      </c>
      <c r="AS2126" s="1" t="s">
        <v>34007</v>
      </c>
      <c r="AT2126" s="1" t="s">
        <v>197</v>
      </c>
      <c r="AU2126" s="1">
        <v>2004</v>
      </c>
      <c r="AV2126" s="1">
        <v>49</v>
      </c>
      <c r="AW2126" s="1">
        <v>4</v>
      </c>
      <c r="AX2126" s="1" t="s">
        <v>74</v>
      </c>
      <c r="AY2126" s="1" t="s">
        <v>74</v>
      </c>
      <c r="AZ2126" s="1" t="s">
        <v>74</v>
      </c>
      <c r="BA2126" s="1" t="s">
        <v>74</v>
      </c>
      <c r="BB2126" s="1">
        <v>333</v>
      </c>
      <c r="BC2126" s="1">
        <v>339</v>
      </c>
      <c r="BD2126" s="1" t="s">
        <v>74</v>
      </c>
      <c r="BE2126" s="1" t="s">
        <v>74</v>
      </c>
      <c r="BF2126" s="1" t="s">
        <v>74</v>
      </c>
      <c r="BG2126" s="1" t="s">
        <v>74</v>
      </c>
      <c r="BH2126" s="1" t="s">
        <v>74</v>
      </c>
      <c r="BI2126" s="1">
        <v>7</v>
      </c>
      <c r="BJ2126" s="1" t="s">
        <v>3919</v>
      </c>
      <c r="BK2126" s="1" t="s">
        <v>96</v>
      </c>
      <c r="BL2126" s="1" t="s">
        <v>1197</v>
      </c>
      <c r="BM2126" s="1" t="s">
        <v>34220</v>
      </c>
      <c r="BN2126" s="1" t="s">
        <v>74</v>
      </c>
      <c r="BO2126" s="1" t="s">
        <v>873</v>
      </c>
      <c r="BP2126" s="1" t="s">
        <v>74</v>
      </c>
      <c r="BQ2126" s="1" t="s">
        <v>74</v>
      </c>
      <c r="BR2126" s="1" t="s">
        <v>98</v>
      </c>
      <c r="BS2126" s="1" t="s">
        <v>34221</v>
      </c>
      <c r="BT2126" s="1" t="str">
        <f>HYPERLINK("https%3A%2F%2Fwww.webofscience.com%2Fwos%2Fwoscc%2Ffull-record%2FWOS:000225815900011","View Full Record in Web of Science")</f>
        <v>View Full Record in Web of Science</v>
      </c>
      <c r="BU2126" s="1"/>
      <c r="BV2126" s="1"/>
    </row>
    <row r="2127" spans="1:74">
      <c r="A2127" s="1" t="s">
        <v>72</v>
      </c>
      <c r="B2127" s="1" t="s">
        <v>34222</v>
      </c>
      <c r="C2127" s="1" t="s">
        <v>74</v>
      </c>
      <c r="D2127" s="1" t="s">
        <v>74</v>
      </c>
      <c r="E2127" s="1" t="s">
        <v>74</v>
      </c>
      <c r="F2127" s="1" t="s">
        <v>34222</v>
      </c>
      <c r="G2127" s="1" t="s">
        <v>74</v>
      </c>
      <c r="H2127" s="1" t="s">
        <v>74</v>
      </c>
      <c r="I2127" s="1" t="s">
        <v>34223</v>
      </c>
      <c r="J2127" s="1" t="s">
        <v>232</v>
      </c>
      <c r="K2127" s="1" t="s">
        <v>74</v>
      </c>
      <c r="L2127" s="1" t="s">
        <v>74</v>
      </c>
      <c r="M2127" s="1" t="s">
        <v>78</v>
      </c>
      <c r="N2127" s="1" t="s">
        <v>151</v>
      </c>
      <c r="O2127" s="1" t="s">
        <v>11672</v>
      </c>
      <c r="P2127" s="1" t="s">
        <v>11673</v>
      </c>
      <c r="Q2127" s="1" t="s">
        <v>11674</v>
      </c>
      <c r="R2127" s="1" t="s">
        <v>74</v>
      </c>
      <c r="S2127" s="1" t="s">
        <v>74</v>
      </c>
      <c r="T2127" s="1" t="s">
        <v>34224</v>
      </c>
      <c r="U2127" s="1" t="s">
        <v>34225</v>
      </c>
      <c r="V2127" s="1" t="s">
        <v>34226</v>
      </c>
      <c r="W2127" s="1" t="s">
        <v>34227</v>
      </c>
      <c r="X2127" s="1" t="s">
        <v>34228</v>
      </c>
      <c r="Y2127" s="1" t="s">
        <v>34229</v>
      </c>
      <c r="Z2127" s="1" t="s">
        <v>34230</v>
      </c>
      <c r="AA2127" s="1" t="s">
        <v>34231</v>
      </c>
      <c r="AB2127" s="1" t="s">
        <v>34232</v>
      </c>
      <c r="AC2127" s="1" t="s">
        <v>74</v>
      </c>
      <c r="AD2127" s="1" t="s">
        <v>74</v>
      </c>
      <c r="AE2127" s="1" t="s">
        <v>74</v>
      </c>
      <c r="AF2127" s="1" t="s">
        <v>74</v>
      </c>
      <c r="AG2127" s="1">
        <v>42</v>
      </c>
      <c r="AH2127" s="1">
        <v>10</v>
      </c>
      <c r="AI2127" s="1">
        <v>14</v>
      </c>
      <c r="AJ2127" s="1">
        <v>0</v>
      </c>
      <c r="AK2127" s="1">
        <v>14</v>
      </c>
      <c r="AL2127" s="1" t="s">
        <v>136</v>
      </c>
      <c r="AM2127" s="1" t="s">
        <v>137</v>
      </c>
      <c r="AN2127" s="1" t="s">
        <v>138</v>
      </c>
      <c r="AO2127" s="1" t="s">
        <v>240</v>
      </c>
      <c r="AP2127" s="1" t="s">
        <v>241</v>
      </c>
      <c r="AQ2127" s="1" t="s">
        <v>74</v>
      </c>
      <c r="AR2127" s="1" t="s">
        <v>242</v>
      </c>
      <c r="AS2127" s="1" t="s">
        <v>243</v>
      </c>
      <c r="AT2127" s="1" t="s">
        <v>74</v>
      </c>
      <c r="AU2127" s="1">
        <v>2005</v>
      </c>
      <c r="AV2127" s="1">
        <v>51</v>
      </c>
      <c r="AW2127" s="1" t="s">
        <v>11681</v>
      </c>
      <c r="AX2127" s="1" t="s">
        <v>74</v>
      </c>
      <c r="AY2127" s="1" t="s">
        <v>74</v>
      </c>
      <c r="AZ2127" s="1" t="s">
        <v>74</v>
      </c>
      <c r="BA2127" s="1" t="s">
        <v>74</v>
      </c>
      <c r="BB2127" s="1">
        <v>729</v>
      </c>
      <c r="BC2127" s="1">
        <v>737</v>
      </c>
      <c r="BD2127" s="1" t="s">
        <v>74</v>
      </c>
      <c r="BE2127" s="1" t="s">
        <v>34233</v>
      </c>
      <c r="BF2127" s="1" t="str">
        <f>HYPERLINK("http://dx.doi.org/10.1016/j.marpolbul.2005.04.013","http://dx.doi.org/10.1016/j.marpolbul.2005.04.013")</f>
        <v>http://dx.doi.org/10.1016/j.marpolbul.2005.04.013</v>
      </c>
      <c r="BG2127" s="1" t="s">
        <v>74</v>
      </c>
      <c r="BH2127" s="1" t="s">
        <v>74</v>
      </c>
      <c r="BI2127" s="1">
        <v>9</v>
      </c>
      <c r="BJ2127" s="1" t="s">
        <v>247</v>
      </c>
      <c r="BK2127" s="1" t="s">
        <v>172</v>
      </c>
      <c r="BL2127" s="1" t="s">
        <v>248</v>
      </c>
      <c r="BM2127" s="1" t="s">
        <v>11683</v>
      </c>
      <c r="BN2127" s="1">
        <v>15913665</v>
      </c>
      <c r="BO2127" s="1" t="s">
        <v>74</v>
      </c>
      <c r="BP2127" s="1" t="s">
        <v>74</v>
      </c>
      <c r="BQ2127" s="1" t="s">
        <v>74</v>
      </c>
      <c r="BR2127" s="1" t="s">
        <v>98</v>
      </c>
      <c r="BS2127" s="1" t="s">
        <v>34234</v>
      </c>
      <c r="BT2127" s="1" t="str">
        <f>HYPERLINK("https%3A%2F%2Fwww.webofscience.com%2Fwos%2Fwoscc%2Ffull-record%2FWOS:000234079700013","View Full Record in Web of Science")</f>
        <v>View Full Record in Web of Science</v>
      </c>
      <c r="BU2127" s="1"/>
      <c r="BV2127" s="1"/>
    </row>
    <row r="2128" spans="1:74">
      <c r="A2128" s="1" t="s">
        <v>72</v>
      </c>
      <c r="B2128" s="1" t="s">
        <v>34235</v>
      </c>
      <c r="C2128" s="1" t="s">
        <v>74</v>
      </c>
      <c r="D2128" s="1" t="s">
        <v>74</v>
      </c>
      <c r="E2128" s="1" t="s">
        <v>74</v>
      </c>
      <c r="F2128" s="1" t="s">
        <v>34236</v>
      </c>
      <c r="G2128" s="1" t="s">
        <v>74</v>
      </c>
      <c r="H2128" s="1" t="s">
        <v>74</v>
      </c>
      <c r="I2128" s="1" t="s">
        <v>34237</v>
      </c>
      <c r="J2128" s="1" t="s">
        <v>16200</v>
      </c>
      <c r="K2128" s="1" t="s">
        <v>74</v>
      </c>
      <c r="L2128" s="1" t="s">
        <v>74</v>
      </c>
      <c r="M2128" s="1" t="s">
        <v>78</v>
      </c>
      <c r="N2128" s="1" t="s">
        <v>79</v>
      </c>
      <c r="O2128" s="1" t="s">
        <v>74</v>
      </c>
      <c r="P2128" s="1" t="s">
        <v>74</v>
      </c>
      <c r="Q2128" s="1" t="s">
        <v>74</v>
      </c>
      <c r="R2128" s="1" t="s">
        <v>74</v>
      </c>
      <c r="S2128" s="1" t="s">
        <v>74</v>
      </c>
      <c r="T2128" s="1" t="s">
        <v>34238</v>
      </c>
      <c r="U2128" s="1" t="s">
        <v>34239</v>
      </c>
      <c r="V2128" s="1" t="s">
        <v>34240</v>
      </c>
      <c r="W2128" s="1" t="s">
        <v>34241</v>
      </c>
      <c r="X2128" s="1" t="s">
        <v>34242</v>
      </c>
      <c r="Y2128" s="1" t="s">
        <v>34243</v>
      </c>
      <c r="Z2128" s="1" t="s">
        <v>34244</v>
      </c>
      <c r="AA2128" s="1" t="s">
        <v>34245</v>
      </c>
      <c r="AB2128" s="1" t="s">
        <v>34246</v>
      </c>
      <c r="AC2128" s="1" t="s">
        <v>34247</v>
      </c>
      <c r="AD2128" s="1" t="s">
        <v>34248</v>
      </c>
      <c r="AE2128" s="1" t="s">
        <v>34249</v>
      </c>
      <c r="AF2128" s="1" t="s">
        <v>74</v>
      </c>
      <c r="AG2128" s="1">
        <v>58</v>
      </c>
      <c r="AH2128" s="1">
        <v>13</v>
      </c>
      <c r="AI2128" s="1">
        <v>13</v>
      </c>
      <c r="AJ2128" s="1">
        <v>0</v>
      </c>
      <c r="AK2128" s="1">
        <v>22</v>
      </c>
      <c r="AL2128" s="1" t="s">
        <v>136</v>
      </c>
      <c r="AM2128" s="1" t="s">
        <v>137</v>
      </c>
      <c r="AN2128" s="1" t="s">
        <v>138</v>
      </c>
      <c r="AO2128" s="1" t="s">
        <v>16209</v>
      </c>
      <c r="AP2128" s="1" t="s">
        <v>34250</v>
      </c>
      <c r="AQ2128" s="1" t="s">
        <v>74</v>
      </c>
      <c r="AR2128" s="1" t="s">
        <v>16210</v>
      </c>
      <c r="AS2128" s="1" t="s">
        <v>16211</v>
      </c>
      <c r="AT2128" s="1" t="s">
        <v>119</v>
      </c>
      <c r="AU2128" s="1">
        <v>2018</v>
      </c>
      <c r="AV2128" s="1">
        <v>79</v>
      </c>
      <c r="AW2128" s="1" t="s">
        <v>74</v>
      </c>
      <c r="AX2128" s="1" t="s">
        <v>74</v>
      </c>
      <c r="AY2128" s="1" t="s">
        <v>74</v>
      </c>
      <c r="AZ2128" s="1" t="s">
        <v>74</v>
      </c>
      <c r="BA2128" s="1" t="s">
        <v>74</v>
      </c>
      <c r="BB2128" s="1">
        <v>60</v>
      </c>
      <c r="BC2128" s="1">
        <v>68</v>
      </c>
      <c r="BD2128" s="1" t="s">
        <v>74</v>
      </c>
      <c r="BE2128" s="1" t="s">
        <v>34251</v>
      </c>
      <c r="BF2128" s="1" t="str">
        <f>HYPERLINK("http://dx.doi.org/10.1016/j.bse.2018.05.006","http://dx.doi.org/10.1016/j.bse.2018.05.006")</f>
        <v>http://dx.doi.org/10.1016/j.bse.2018.05.006</v>
      </c>
      <c r="BG2128" s="1" t="s">
        <v>74</v>
      </c>
      <c r="BH2128" s="1" t="s">
        <v>74</v>
      </c>
      <c r="BI2128" s="1">
        <v>9</v>
      </c>
      <c r="BJ2128" s="1" t="s">
        <v>16213</v>
      </c>
      <c r="BK2128" s="1" t="s">
        <v>96</v>
      </c>
      <c r="BL2128" s="1" t="s">
        <v>16214</v>
      </c>
      <c r="BM2128" s="1" t="s">
        <v>34252</v>
      </c>
      <c r="BN2128" s="1" t="s">
        <v>74</v>
      </c>
      <c r="BO2128" s="1" t="s">
        <v>74</v>
      </c>
      <c r="BP2128" s="1" t="s">
        <v>74</v>
      </c>
      <c r="BQ2128" s="1" t="s">
        <v>74</v>
      </c>
      <c r="BR2128" s="1" t="s">
        <v>98</v>
      </c>
      <c r="BS2128" s="1" t="s">
        <v>34253</v>
      </c>
      <c r="BT2128" s="1" t="str">
        <f>HYPERLINK("https%3A%2F%2Fwww.webofscience.com%2Fwos%2Fwoscc%2Ffull-record%2FWOS:000438321400012","View Full Record in Web of Science")</f>
        <v>View Full Record in Web of Science</v>
      </c>
      <c r="BU2128" s="1"/>
      <c r="BV2128" s="1"/>
    </row>
    <row r="2129" spans="1:74">
      <c r="A2129" s="1" t="s">
        <v>72</v>
      </c>
      <c r="B2129" s="1" t="s">
        <v>34254</v>
      </c>
      <c r="C2129" s="1" t="s">
        <v>74</v>
      </c>
      <c r="D2129" s="1" t="s">
        <v>74</v>
      </c>
      <c r="E2129" s="1" t="s">
        <v>74</v>
      </c>
      <c r="F2129" s="1" t="s">
        <v>34255</v>
      </c>
      <c r="G2129" s="1" t="s">
        <v>74</v>
      </c>
      <c r="H2129" s="1" t="s">
        <v>74</v>
      </c>
      <c r="I2129" s="1" t="s">
        <v>34256</v>
      </c>
      <c r="J2129" s="1" t="s">
        <v>20057</v>
      </c>
      <c r="K2129" s="1" t="s">
        <v>74</v>
      </c>
      <c r="L2129" s="1" t="s">
        <v>74</v>
      </c>
      <c r="M2129" s="1" t="s">
        <v>78</v>
      </c>
      <c r="N2129" s="1" t="s">
        <v>79</v>
      </c>
      <c r="O2129" s="1" t="s">
        <v>74</v>
      </c>
      <c r="P2129" s="1" t="s">
        <v>74</v>
      </c>
      <c r="Q2129" s="1" t="s">
        <v>74</v>
      </c>
      <c r="R2129" s="1" t="s">
        <v>74</v>
      </c>
      <c r="S2129" s="1" t="s">
        <v>74</v>
      </c>
      <c r="T2129" s="1" t="s">
        <v>34257</v>
      </c>
      <c r="U2129" s="1" t="s">
        <v>34258</v>
      </c>
      <c r="V2129" s="1" t="s">
        <v>34259</v>
      </c>
      <c r="W2129" s="1" t="s">
        <v>34260</v>
      </c>
      <c r="X2129" s="1" t="s">
        <v>34261</v>
      </c>
      <c r="Y2129" s="1" t="s">
        <v>34262</v>
      </c>
      <c r="Z2129" s="1" t="s">
        <v>34263</v>
      </c>
      <c r="AA2129" s="1" t="s">
        <v>34264</v>
      </c>
      <c r="AB2129" s="1" t="s">
        <v>34265</v>
      </c>
      <c r="AC2129" s="1" t="s">
        <v>34266</v>
      </c>
      <c r="AD2129" s="1" t="s">
        <v>34267</v>
      </c>
      <c r="AE2129" s="1" t="s">
        <v>34268</v>
      </c>
      <c r="AF2129" s="1" t="s">
        <v>74</v>
      </c>
      <c r="AG2129" s="1">
        <v>51</v>
      </c>
      <c r="AH2129" s="1">
        <v>7</v>
      </c>
      <c r="AI2129" s="1">
        <v>7</v>
      </c>
      <c r="AJ2129" s="1">
        <v>15</v>
      </c>
      <c r="AK2129" s="1">
        <v>41</v>
      </c>
      <c r="AL2129" s="1" t="s">
        <v>650</v>
      </c>
      <c r="AM2129" s="1" t="s">
        <v>651</v>
      </c>
      <c r="AN2129" s="1" t="s">
        <v>652</v>
      </c>
      <c r="AO2129" s="1" t="s">
        <v>20065</v>
      </c>
      <c r="AP2129" s="1" t="s">
        <v>34269</v>
      </c>
      <c r="AQ2129" s="1" t="s">
        <v>74</v>
      </c>
      <c r="AR2129" s="1" t="s">
        <v>20066</v>
      </c>
      <c r="AS2129" s="1" t="s">
        <v>20067</v>
      </c>
      <c r="AT2129" s="1" t="s">
        <v>1965</v>
      </c>
      <c r="AU2129" s="1">
        <v>2023</v>
      </c>
      <c r="AV2129" s="1">
        <v>206</v>
      </c>
      <c r="AW2129" s="1" t="s">
        <v>74</v>
      </c>
      <c r="AX2129" s="1" t="s">
        <v>74</v>
      </c>
      <c r="AY2129" s="1" t="s">
        <v>74</v>
      </c>
      <c r="AZ2129" s="1" t="s">
        <v>74</v>
      </c>
      <c r="BA2129" s="1" t="s">
        <v>74</v>
      </c>
      <c r="BB2129" s="1" t="s">
        <v>74</v>
      </c>
      <c r="BC2129" s="1" t="s">
        <v>74</v>
      </c>
      <c r="BD2129" s="1">
        <v>117735</v>
      </c>
      <c r="BE2129" s="1" t="s">
        <v>34270</v>
      </c>
      <c r="BF2129" s="1" t="str">
        <f>HYPERLINK("http://dx.doi.org/10.1016/j.indcrop.2023.117735","http://dx.doi.org/10.1016/j.indcrop.2023.117735")</f>
        <v>http://dx.doi.org/10.1016/j.indcrop.2023.117735</v>
      </c>
      <c r="BG2129" s="1" t="s">
        <v>74</v>
      </c>
      <c r="BH2129" s="1" t="s">
        <v>26143</v>
      </c>
      <c r="BI2129" s="1">
        <v>10</v>
      </c>
      <c r="BJ2129" s="1" t="s">
        <v>20071</v>
      </c>
      <c r="BK2129" s="1" t="s">
        <v>96</v>
      </c>
      <c r="BL2129" s="1" t="s">
        <v>4121</v>
      </c>
      <c r="BM2129" s="1" t="s">
        <v>34271</v>
      </c>
      <c r="BN2129" s="1" t="s">
        <v>74</v>
      </c>
      <c r="BO2129" s="1" t="s">
        <v>74</v>
      </c>
      <c r="BP2129" s="1" t="s">
        <v>74</v>
      </c>
      <c r="BQ2129" s="1" t="s">
        <v>74</v>
      </c>
      <c r="BR2129" s="1" t="s">
        <v>98</v>
      </c>
      <c r="BS2129" s="1" t="s">
        <v>34272</v>
      </c>
      <c r="BT2129" s="1" t="str">
        <f>HYPERLINK("https%3A%2F%2Fwww.webofscience.com%2Fwos%2Fwoscc%2Ffull-record%2FWOS:001107202100001","View Full Record in Web of Science")</f>
        <v>View Full Record in Web of Science</v>
      </c>
      <c r="BU2129" s="1"/>
      <c r="BV2129" s="1"/>
    </row>
    <row r="2130" spans="1:74">
      <c r="A2130" s="1" t="s">
        <v>72</v>
      </c>
      <c r="B2130" s="1" t="s">
        <v>34273</v>
      </c>
      <c r="C2130" s="1" t="s">
        <v>74</v>
      </c>
      <c r="D2130" s="1" t="s">
        <v>74</v>
      </c>
      <c r="E2130" s="1" t="s">
        <v>74</v>
      </c>
      <c r="F2130" s="1" t="s">
        <v>34273</v>
      </c>
      <c r="G2130" s="1" t="s">
        <v>74</v>
      </c>
      <c r="H2130" s="1" t="s">
        <v>74</v>
      </c>
      <c r="I2130" s="1" t="s">
        <v>34274</v>
      </c>
      <c r="J2130" s="1" t="s">
        <v>232</v>
      </c>
      <c r="K2130" s="1" t="s">
        <v>74</v>
      </c>
      <c r="L2130" s="1" t="s">
        <v>74</v>
      </c>
      <c r="M2130" s="1" t="s">
        <v>78</v>
      </c>
      <c r="N2130" s="1" t="s">
        <v>79</v>
      </c>
      <c r="O2130" s="1" t="s">
        <v>74</v>
      </c>
      <c r="P2130" s="1" t="s">
        <v>74</v>
      </c>
      <c r="Q2130" s="1" t="s">
        <v>74</v>
      </c>
      <c r="R2130" s="1" t="s">
        <v>74</v>
      </c>
      <c r="S2130" s="1" t="s">
        <v>74</v>
      </c>
      <c r="T2130" s="1" t="s">
        <v>34275</v>
      </c>
      <c r="U2130" s="1" t="s">
        <v>34276</v>
      </c>
      <c r="V2130" s="1" t="s">
        <v>34277</v>
      </c>
      <c r="W2130" s="1" t="s">
        <v>34278</v>
      </c>
      <c r="X2130" s="1" t="s">
        <v>18401</v>
      </c>
      <c r="Y2130" s="1" t="s">
        <v>34279</v>
      </c>
      <c r="Z2130" s="1" t="s">
        <v>34280</v>
      </c>
      <c r="AA2130" s="1" t="s">
        <v>15357</v>
      </c>
      <c r="AB2130" s="1" t="s">
        <v>34281</v>
      </c>
      <c r="AC2130" s="1" t="s">
        <v>74</v>
      </c>
      <c r="AD2130" s="1" t="s">
        <v>74</v>
      </c>
      <c r="AE2130" s="1" t="s">
        <v>74</v>
      </c>
      <c r="AF2130" s="1" t="s">
        <v>74</v>
      </c>
      <c r="AG2130" s="1">
        <v>47</v>
      </c>
      <c r="AH2130" s="1">
        <v>92</v>
      </c>
      <c r="AI2130" s="1">
        <v>101</v>
      </c>
      <c r="AJ2130" s="1">
        <v>2</v>
      </c>
      <c r="AK2130" s="1">
        <v>18</v>
      </c>
      <c r="AL2130" s="1" t="s">
        <v>136</v>
      </c>
      <c r="AM2130" s="1" t="s">
        <v>137</v>
      </c>
      <c r="AN2130" s="1" t="s">
        <v>138</v>
      </c>
      <c r="AO2130" s="1" t="s">
        <v>240</v>
      </c>
      <c r="AP2130" s="1" t="s">
        <v>241</v>
      </c>
      <c r="AQ2130" s="1" t="s">
        <v>74</v>
      </c>
      <c r="AR2130" s="1" t="s">
        <v>242</v>
      </c>
      <c r="AS2130" s="1" t="s">
        <v>243</v>
      </c>
      <c r="AT2130" s="1" t="s">
        <v>951</v>
      </c>
      <c r="AU2130" s="1">
        <v>2005</v>
      </c>
      <c r="AV2130" s="1">
        <v>50</v>
      </c>
      <c r="AW2130" s="1">
        <v>11</v>
      </c>
      <c r="AX2130" s="1" t="s">
        <v>74</v>
      </c>
      <c r="AY2130" s="1" t="s">
        <v>74</v>
      </c>
      <c r="AZ2130" s="1" t="s">
        <v>74</v>
      </c>
      <c r="BA2130" s="1" t="s">
        <v>74</v>
      </c>
      <c r="BB2130" s="1">
        <v>1303</v>
      </c>
      <c r="BC2130" s="1">
        <v>1313</v>
      </c>
      <c r="BD2130" s="1" t="s">
        <v>74</v>
      </c>
      <c r="BE2130" s="1" t="s">
        <v>34282</v>
      </c>
      <c r="BF2130" s="1" t="str">
        <f>HYPERLINK("http://dx.doi.org/10.1016/j.marpolbul.2005.04.039","http://dx.doi.org/10.1016/j.marpolbul.2005.04.039")</f>
        <v>http://dx.doi.org/10.1016/j.marpolbul.2005.04.039</v>
      </c>
      <c r="BG2130" s="1" t="s">
        <v>74</v>
      </c>
      <c r="BH2130" s="1" t="s">
        <v>74</v>
      </c>
      <c r="BI2130" s="1">
        <v>11</v>
      </c>
      <c r="BJ2130" s="1" t="s">
        <v>247</v>
      </c>
      <c r="BK2130" s="1" t="s">
        <v>96</v>
      </c>
      <c r="BL2130" s="1" t="s">
        <v>248</v>
      </c>
      <c r="BM2130" s="1" t="s">
        <v>12668</v>
      </c>
      <c r="BN2130" s="1">
        <v>15946700</v>
      </c>
      <c r="BO2130" s="1" t="s">
        <v>74</v>
      </c>
      <c r="BP2130" s="1" t="s">
        <v>74</v>
      </c>
      <c r="BQ2130" s="1" t="s">
        <v>74</v>
      </c>
      <c r="BR2130" s="1" t="s">
        <v>98</v>
      </c>
      <c r="BS2130" s="1" t="s">
        <v>34283</v>
      </c>
      <c r="BT2130" s="1" t="str">
        <f>HYPERLINK("https%3A%2F%2Fwww.webofscience.com%2Fwos%2Fwoscc%2Ffull-record%2FWOS:000234098200026","View Full Record in Web of Science")</f>
        <v>View Full Record in Web of Science</v>
      </c>
      <c r="BU2130" s="1"/>
      <c r="BV2130" s="1"/>
    </row>
    <row r="2131" spans="1:74">
      <c r="A2131" s="1" t="s">
        <v>72</v>
      </c>
      <c r="B2131" s="1" t="s">
        <v>34284</v>
      </c>
      <c r="C2131" s="1" t="s">
        <v>74</v>
      </c>
      <c r="D2131" s="1" t="s">
        <v>74</v>
      </c>
      <c r="E2131" s="1" t="s">
        <v>74</v>
      </c>
      <c r="F2131" s="1" t="s">
        <v>34285</v>
      </c>
      <c r="G2131" s="1" t="s">
        <v>74</v>
      </c>
      <c r="H2131" s="1" t="s">
        <v>74</v>
      </c>
      <c r="I2131" s="1" t="s">
        <v>34286</v>
      </c>
      <c r="J2131" s="1" t="s">
        <v>34287</v>
      </c>
      <c r="K2131" s="1" t="s">
        <v>74</v>
      </c>
      <c r="L2131" s="1" t="s">
        <v>74</v>
      </c>
      <c r="M2131" s="1" t="s">
        <v>78</v>
      </c>
      <c r="N2131" s="1" t="s">
        <v>79</v>
      </c>
      <c r="O2131" s="1" t="s">
        <v>74</v>
      </c>
      <c r="P2131" s="1" t="s">
        <v>74</v>
      </c>
      <c r="Q2131" s="1" t="s">
        <v>74</v>
      </c>
      <c r="R2131" s="1" t="s">
        <v>74</v>
      </c>
      <c r="S2131" s="1" t="s">
        <v>74</v>
      </c>
      <c r="T2131" s="1" t="s">
        <v>34288</v>
      </c>
      <c r="U2131" s="1" t="s">
        <v>34289</v>
      </c>
      <c r="V2131" s="1" t="s">
        <v>34290</v>
      </c>
      <c r="W2131" s="1" t="s">
        <v>34291</v>
      </c>
      <c r="X2131" s="1" t="s">
        <v>34292</v>
      </c>
      <c r="Y2131" s="1" t="s">
        <v>34293</v>
      </c>
      <c r="Z2131" s="1" t="s">
        <v>34294</v>
      </c>
      <c r="AA2131" s="1" t="s">
        <v>34295</v>
      </c>
      <c r="AB2131" s="1" t="s">
        <v>34296</v>
      </c>
      <c r="AC2131" s="1" t="s">
        <v>34297</v>
      </c>
      <c r="AD2131" s="1" t="s">
        <v>34298</v>
      </c>
      <c r="AE2131" s="1" t="s">
        <v>34299</v>
      </c>
      <c r="AF2131" s="1" t="s">
        <v>74</v>
      </c>
      <c r="AG2131" s="1">
        <v>55</v>
      </c>
      <c r="AH2131" s="1">
        <v>0</v>
      </c>
      <c r="AI2131" s="1">
        <v>0</v>
      </c>
      <c r="AJ2131" s="1">
        <v>2</v>
      </c>
      <c r="AK2131" s="1">
        <v>2</v>
      </c>
      <c r="AL2131" s="1" t="s">
        <v>34300</v>
      </c>
      <c r="AM2131" s="1" t="s">
        <v>34301</v>
      </c>
      <c r="AN2131" s="1" t="s">
        <v>34302</v>
      </c>
      <c r="AO2131" s="1" t="s">
        <v>34303</v>
      </c>
      <c r="AP2131" s="1" t="s">
        <v>34304</v>
      </c>
      <c r="AQ2131" s="1" t="s">
        <v>74</v>
      </c>
      <c r="AR2131" s="1" t="s">
        <v>34305</v>
      </c>
      <c r="AS2131" s="1" t="s">
        <v>34306</v>
      </c>
      <c r="AT2131" s="1" t="s">
        <v>4872</v>
      </c>
      <c r="AU2131" s="1">
        <v>2023</v>
      </c>
      <c r="AV2131" s="1">
        <v>28</v>
      </c>
      <c r="AW2131" s="1">
        <v>3</v>
      </c>
      <c r="AX2131" s="1" t="s">
        <v>74</v>
      </c>
      <c r="AY2131" s="1" t="s">
        <v>74</v>
      </c>
      <c r="AZ2131" s="1" t="s">
        <v>74</v>
      </c>
      <c r="BA2131" s="1" t="s">
        <v>74</v>
      </c>
      <c r="BB2131" s="1">
        <v>415</v>
      </c>
      <c r="BC2131" s="1">
        <v>427</v>
      </c>
      <c r="BD2131" s="1" t="s">
        <v>74</v>
      </c>
      <c r="BE2131" s="1" t="s">
        <v>34307</v>
      </c>
      <c r="BF2131" s="1" t="str">
        <f>HYPERLINK("http://dx.doi.org/10.15446/abc.v28n3.97227","http://dx.doi.org/10.15446/abc.v28n3.97227")</f>
        <v>http://dx.doi.org/10.15446/abc.v28n3.97227</v>
      </c>
      <c r="BG2131" s="1" t="s">
        <v>74</v>
      </c>
      <c r="BH2131" s="1" t="s">
        <v>74</v>
      </c>
      <c r="BI2131" s="1">
        <v>13</v>
      </c>
      <c r="BJ2131" s="1" t="s">
        <v>34308</v>
      </c>
      <c r="BK2131" s="1" t="s">
        <v>96</v>
      </c>
      <c r="BL2131" s="1" t="s">
        <v>34308</v>
      </c>
      <c r="BM2131" s="1" t="s">
        <v>34309</v>
      </c>
      <c r="BN2131" s="1" t="s">
        <v>74</v>
      </c>
      <c r="BO2131" s="1" t="s">
        <v>873</v>
      </c>
      <c r="BP2131" s="1" t="s">
        <v>74</v>
      </c>
      <c r="BQ2131" s="1" t="s">
        <v>74</v>
      </c>
      <c r="BR2131" s="1" t="s">
        <v>98</v>
      </c>
      <c r="BS2131" s="1" t="s">
        <v>34310</v>
      </c>
      <c r="BT2131" s="1" t="str">
        <f>HYPERLINK("https%3A%2F%2Fwww.webofscience.com%2Fwos%2Fwoscc%2Ffull-record%2FWOS:001153306000008","View Full Record in Web of Science")</f>
        <v>View Full Record in Web of Science</v>
      </c>
      <c r="BU2131" s="1"/>
      <c r="BV2131" s="1"/>
    </row>
    <row r="2132" spans="1:74">
      <c r="A2132" s="1" t="s">
        <v>72</v>
      </c>
      <c r="B2132" s="1" t="s">
        <v>34311</v>
      </c>
      <c r="C2132" s="1" t="s">
        <v>74</v>
      </c>
      <c r="D2132" s="1" t="s">
        <v>74</v>
      </c>
      <c r="E2132" s="1" t="s">
        <v>74</v>
      </c>
      <c r="F2132" s="1" t="s">
        <v>34312</v>
      </c>
      <c r="G2132" s="1" t="s">
        <v>74</v>
      </c>
      <c r="H2132" s="1" t="s">
        <v>74</v>
      </c>
      <c r="I2132" s="1" t="s">
        <v>34313</v>
      </c>
      <c r="J2132" s="1" t="s">
        <v>1337</v>
      </c>
      <c r="K2132" s="1" t="s">
        <v>74</v>
      </c>
      <c r="L2132" s="1" t="s">
        <v>74</v>
      </c>
      <c r="M2132" s="1" t="s">
        <v>78</v>
      </c>
      <c r="N2132" s="1" t="s">
        <v>79</v>
      </c>
      <c r="O2132" s="1" t="s">
        <v>74</v>
      </c>
      <c r="P2132" s="1" t="s">
        <v>74</v>
      </c>
      <c r="Q2132" s="1" t="s">
        <v>74</v>
      </c>
      <c r="R2132" s="1" t="s">
        <v>74</v>
      </c>
      <c r="S2132" s="1" t="s">
        <v>74</v>
      </c>
      <c r="T2132" s="1" t="s">
        <v>34314</v>
      </c>
      <c r="U2132" s="1" t="s">
        <v>34315</v>
      </c>
      <c r="V2132" s="1" t="s">
        <v>34316</v>
      </c>
      <c r="W2132" s="1" t="s">
        <v>34317</v>
      </c>
      <c r="X2132" s="1" t="s">
        <v>34318</v>
      </c>
      <c r="Y2132" s="1" t="s">
        <v>34319</v>
      </c>
      <c r="Z2132" s="1" t="s">
        <v>34320</v>
      </c>
      <c r="AA2132" s="1" t="s">
        <v>34321</v>
      </c>
      <c r="AB2132" s="1" t="s">
        <v>34322</v>
      </c>
      <c r="AC2132" s="1" t="s">
        <v>34323</v>
      </c>
      <c r="AD2132" s="1" t="s">
        <v>34323</v>
      </c>
      <c r="AE2132" s="1" t="s">
        <v>34324</v>
      </c>
      <c r="AF2132" s="1" t="s">
        <v>74</v>
      </c>
      <c r="AG2132" s="1">
        <v>96</v>
      </c>
      <c r="AH2132" s="1">
        <v>0</v>
      </c>
      <c r="AI2132" s="1">
        <v>0</v>
      </c>
      <c r="AJ2132" s="1">
        <v>4</v>
      </c>
      <c r="AK2132" s="1">
        <v>10</v>
      </c>
      <c r="AL2132" s="1" t="s">
        <v>1350</v>
      </c>
      <c r="AM2132" s="1" t="s">
        <v>1351</v>
      </c>
      <c r="AN2132" s="1" t="s">
        <v>1352</v>
      </c>
      <c r="AO2132" s="1" t="s">
        <v>74</v>
      </c>
      <c r="AP2132" s="1" t="s">
        <v>1353</v>
      </c>
      <c r="AQ2132" s="1" t="s">
        <v>74</v>
      </c>
      <c r="AR2132" s="1" t="s">
        <v>1354</v>
      </c>
      <c r="AS2132" s="1" t="s">
        <v>1355</v>
      </c>
      <c r="AT2132" s="1" t="s">
        <v>34325</v>
      </c>
      <c r="AU2132" s="1">
        <v>2023</v>
      </c>
      <c r="AV2132" s="1">
        <v>10</v>
      </c>
      <c r="AW2132" s="1" t="s">
        <v>74</v>
      </c>
      <c r="AX2132" s="1" t="s">
        <v>74</v>
      </c>
      <c r="AY2132" s="1" t="s">
        <v>74</v>
      </c>
      <c r="AZ2132" s="1" t="s">
        <v>74</v>
      </c>
      <c r="BA2132" s="1" t="s">
        <v>74</v>
      </c>
      <c r="BB2132" s="1" t="s">
        <v>74</v>
      </c>
      <c r="BC2132" s="1" t="s">
        <v>74</v>
      </c>
      <c r="BD2132" s="1">
        <v>1169677</v>
      </c>
      <c r="BE2132" s="1" t="s">
        <v>34326</v>
      </c>
      <c r="BF2132" s="1" t="str">
        <f>HYPERLINK("http://dx.doi.org/10.3389/fmars.2023.1169677","http://dx.doi.org/10.3389/fmars.2023.1169677")</f>
        <v>http://dx.doi.org/10.3389/fmars.2023.1169677</v>
      </c>
      <c r="BG2132" s="1" t="s">
        <v>74</v>
      </c>
      <c r="BH2132" s="1" t="s">
        <v>74</v>
      </c>
      <c r="BI2132" s="1">
        <v>12</v>
      </c>
      <c r="BJ2132" s="1" t="s">
        <v>247</v>
      </c>
      <c r="BK2132" s="1" t="s">
        <v>96</v>
      </c>
      <c r="BL2132" s="1" t="s">
        <v>248</v>
      </c>
      <c r="BM2132" s="1" t="s">
        <v>34327</v>
      </c>
      <c r="BN2132" s="1" t="s">
        <v>74</v>
      </c>
      <c r="BO2132" s="1" t="s">
        <v>2155</v>
      </c>
      <c r="BP2132" s="1" t="s">
        <v>74</v>
      </c>
      <c r="BQ2132" s="1" t="s">
        <v>74</v>
      </c>
      <c r="BR2132" s="1" t="s">
        <v>98</v>
      </c>
      <c r="BS2132" s="1" t="s">
        <v>34328</v>
      </c>
      <c r="BT2132" s="1" t="str">
        <f>HYPERLINK("https%3A%2F%2Fwww.webofscience.com%2Fwos%2Fwoscc%2Ffull-record%2FWOS:001068343500001","View Full Record in Web of Science")</f>
        <v>View Full Record in Web of Science</v>
      </c>
      <c r="BU2132" s="1"/>
      <c r="BV2132" s="1"/>
    </row>
    <row r="2133" spans="1:74">
      <c r="A2133" s="1" t="s">
        <v>72</v>
      </c>
      <c r="B2133" s="1" t="s">
        <v>34329</v>
      </c>
      <c r="C2133" s="1" t="s">
        <v>74</v>
      </c>
      <c r="D2133" s="1" t="s">
        <v>74</v>
      </c>
      <c r="E2133" s="1" t="s">
        <v>74</v>
      </c>
      <c r="F2133" s="1" t="s">
        <v>34329</v>
      </c>
      <c r="G2133" s="1" t="s">
        <v>74</v>
      </c>
      <c r="H2133" s="1" t="s">
        <v>74</v>
      </c>
      <c r="I2133" s="1" t="s">
        <v>34330</v>
      </c>
      <c r="J2133" s="1" t="s">
        <v>3349</v>
      </c>
      <c r="K2133" s="1" t="s">
        <v>74</v>
      </c>
      <c r="L2133" s="1" t="s">
        <v>74</v>
      </c>
      <c r="M2133" s="1" t="s">
        <v>78</v>
      </c>
      <c r="N2133" s="1" t="s">
        <v>79</v>
      </c>
      <c r="O2133" s="1" t="s">
        <v>74</v>
      </c>
      <c r="P2133" s="1" t="s">
        <v>74</v>
      </c>
      <c r="Q2133" s="1" t="s">
        <v>74</v>
      </c>
      <c r="R2133" s="1" t="s">
        <v>74</v>
      </c>
      <c r="S2133" s="1" t="s">
        <v>74</v>
      </c>
      <c r="T2133" s="1" t="s">
        <v>34331</v>
      </c>
      <c r="U2133" s="1" t="s">
        <v>34332</v>
      </c>
      <c r="V2133" s="1" t="s">
        <v>34333</v>
      </c>
      <c r="W2133" s="1" t="s">
        <v>34334</v>
      </c>
      <c r="X2133" s="1" t="s">
        <v>34335</v>
      </c>
      <c r="Y2133" s="1" t="s">
        <v>34336</v>
      </c>
      <c r="Z2133" s="1" t="s">
        <v>74</v>
      </c>
      <c r="AA2133" s="1" t="s">
        <v>26785</v>
      </c>
      <c r="AB2133" s="1" t="s">
        <v>26786</v>
      </c>
      <c r="AC2133" s="1" t="s">
        <v>74</v>
      </c>
      <c r="AD2133" s="1" t="s">
        <v>74</v>
      </c>
      <c r="AE2133" s="1" t="s">
        <v>74</v>
      </c>
      <c r="AF2133" s="1" t="s">
        <v>74</v>
      </c>
      <c r="AG2133" s="1">
        <v>62</v>
      </c>
      <c r="AH2133" s="1">
        <v>191</v>
      </c>
      <c r="AI2133" s="1">
        <v>227</v>
      </c>
      <c r="AJ2133" s="1">
        <v>0</v>
      </c>
      <c r="AK2133" s="1">
        <v>38</v>
      </c>
      <c r="AL2133" s="1" t="s">
        <v>3362</v>
      </c>
      <c r="AM2133" s="1" t="s">
        <v>3363</v>
      </c>
      <c r="AN2133" s="1" t="s">
        <v>3364</v>
      </c>
      <c r="AO2133" s="1" t="s">
        <v>3365</v>
      </c>
      <c r="AP2133" s="1" t="s">
        <v>74</v>
      </c>
      <c r="AQ2133" s="1" t="s">
        <v>74</v>
      </c>
      <c r="AR2133" s="1" t="s">
        <v>3367</v>
      </c>
      <c r="AS2133" s="1" t="s">
        <v>3368</v>
      </c>
      <c r="AT2133" s="1" t="s">
        <v>224</v>
      </c>
      <c r="AU2133" s="1">
        <v>2000</v>
      </c>
      <c r="AV2133" s="1">
        <v>45</v>
      </c>
      <c r="AW2133" s="1">
        <v>2</v>
      </c>
      <c r="AX2133" s="1" t="s">
        <v>74</v>
      </c>
      <c r="AY2133" s="1" t="s">
        <v>74</v>
      </c>
      <c r="AZ2133" s="1" t="s">
        <v>74</v>
      </c>
      <c r="BA2133" s="1" t="s">
        <v>74</v>
      </c>
      <c r="BB2133" s="1">
        <v>106</v>
      </c>
      <c r="BC2133" s="1">
        <v>121</v>
      </c>
      <c r="BD2133" s="1" t="s">
        <v>74</v>
      </c>
      <c r="BE2133" s="1" t="s">
        <v>34337</v>
      </c>
      <c r="BF2133" s="1" t="str">
        <f>HYPERLINK("http://dx.doi.org/10.1006/eesa.1999.1842","http://dx.doi.org/10.1006/eesa.1999.1842")</f>
        <v>http://dx.doi.org/10.1006/eesa.1999.1842</v>
      </c>
      <c r="BG2133" s="1" t="s">
        <v>74</v>
      </c>
      <c r="BH2133" s="1" t="s">
        <v>74</v>
      </c>
      <c r="BI2133" s="1">
        <v>16</v>
      </c>
      <c r="BJ2133" s="1" t="s">
        <v>121</v>
      </c>
      <c r="BK2133" s="1" t="s">
        <v>96</v>
      </c>
      <c r="BL2133" s="1" t="s">
        <v>122</v>
      </c>
      <c r="BM2133" s="1" t="s">
        <v>34338</v>
      </c>
      <c r="BN2133" s="1">
        <v>10648130</v>
      </c>
      <c r="BO2133" s="1" t="s">
        <v>74</v>
      </c>
      <c r="BP2133" s="1" t="s">
        <v>74</v>
      </c>
      <c r="BQ2133" s="1" t="s">
        <v>74</v>
      </c>
      <c r="BR2133" s="1" t="s">
        <v>98</v>
      </c>
      <c r="BS2133" s="1" t="s">
        <v>34339</v>
      </c>
      <c r="BT2133" s="1" t="str">
        <f>HYPERLINK("https%3A%2F%2Fwww.webofscience.com%2Fwos%2Fwoscc%2Ffull-record%2FWOS:000085231000002","View Full Record in Web of Science")</f>
        <v>View Full Record in Web of Science</v>
      </c>
      <c r="BU2133" s="1"/>
      <c r="BV2133" s="1"/>
    </row>
    <row r="2134" spans="1:74">
      <c r="A2134" s="1" t="s">
        <v>72</v>
      </c>
      <c r="B2134" s="1" t="s">
        <v>34340</v>
      </c>
      <c r="C2134" s="1" t="s">
        <v>74</v>
      </c>
      <c r="D2134" s="1" t="s">
        <v>74</v>
      </c>
      <c r="E2134" s="1" t="s">
        <v>74</v>
      </c>
      <c r="F2134" s="1" t="s">
        <v>34341</v>
      </c>
      <c r="G2134" s="1" t="s">
        <v>74</v>
      </c>
      <c r="H2134" s="1" t="s">
        <v>74</v>
      </c>
      <c r="I2134" s="1" t="s">
        <v>34342</v>
      </c>
      <c r="J2134" s="1" t="s">
        <v>11688</v>
      </c>
      <c r="K2134" s="1" t="s">
        <v>74</v>
      </c>
      <c r="L2134" s="1" t="s">
        <v>74</v>
      </c>
      <c r="M2134" s="1" t="s">
        <v>78</v>
      </c>
      <c r="N2134" s="1" t="s">
        <v>79</v>
      </c>
      <c r="O2134" s="1" t="s">
        <v>74</v>
      </c>
      <c r="P2134" s="1" t="s">
        <v>74</v>
      </c>
      <c r="Q2134" s="1" t="s">
        <v>74</v>
      </c>
      <c r="R2134" s="1" t="s">
        <v>74</v>
      </c>
      <c r="S2134" s="1" t="s">
        <v>74</v>
      </c>
      <c r="T2134" s="1" t="s">
        <v>34343</v>
      </c>
      <c r="U2134" s="1" t="s">
        <v>34344</v>
      </c>
      <c r="V2134" s="1" t="s">
        <v>34345</v>
      </c>
      <c r="W2134" s="1" t="s">
        <v>34346</v>
      </c>
      <c r="X2134" s="1" t="s">
        <v>34347</v>
      </c>
      <c r="Y2134" s="1" t="s">
        <v>34348</v>
      </c>
      <c r="Z2134" s="1" t="s">
        <v>840</v>
      </c>
      <c r="AA2134" s="1" t="s">
        <v>74</v>
      </c>
      <c r="AB2134" s="1" t="s">
        <v>74</v>
      </c>
      <c r="AC2134" s="1" t="s">
        <v>34349</v>
      </c>
      <c r="AD2134" s="1" t="s">
        <v>9838</v>
      </c>
      <c r="AE2134" s="1" t="s">
        <v>34350</v>
      </c>
      <c r="AF2134" s="1" t="s">
        <v>74</v>
      </c>
      <c r="AG2134" s="1">
        <v>30</v>
      </c>
      <c r="AH2134" s="1">
        <v>6</v>
      </c>
      <c r="AI2134" s="1">
        <v>6</v>
      </c>
      <c r="AJ2134" s="1">
        <v>1</v>
      </c>
      <c r="AK2134" s="1">
        <v>6</v>
      </c>
      <c r="AL2134" s="1" t="s">
        <v>4010</v>
      </c>
      <c r="AM2134" s="1" t="s">
        <v>1167</v>
      </c>
      <c r="AN2134" s="1" t="s">
        <v>1168</v>
      </c>
      <c r="AO2134" s="1" t="s">
        <v>11701</v>
      </c>
      <c r="AP2134" s="1" t="s">
        <v>74</v>
      </c>
      <c r="AQ2134" s="1" t="s">
        <v>74</v>
      </c>
      <c r="AR2134" s="1" t="s">
        <v>11688</v>
      </c>
      <c r="AS2134" s="1" t="s">
        <v>11702</v>
      </c>
      <c r="AT2134" s="1" t="s">
        <v>34351</v>
      </c>
      <c r="AU2134" s="1">
        <v>2016</v>
      </c>
      <c r="AV2134" s="1">
        <v>5</v>
      </c>
      <c r="AW2134" s="1" t="s">
        <v>74</v>
      </c>
      <c r="AX2134" s="1" t="s">
        <v>74</v>
      </c>
      <c r="AY2134" s="1" t="s">
        <v>74</v>
      </c>
      <c r="AZ2134" s="1" t="s">
        <v>74</v>
      </c>
      <c r="BA2134" s="1" t="s">
        <v>74</v>
      </c>
      <c r="BB2134" s="1" t="s">
        <v>74</v>
      </c>
      <c r="BC2134" s="1" t="s">
        <v>74</v>
      </c>
      <c r="BD2134" s="1">
        <v>1412</v>
      </c>
      <c r="BE2134" s="1" t="s">
        <v>34352</v>
      </c>
      <c r="BF2134" s="1" t="str">
        <f>HYPERLINK("http://dx.doi.org/10.1186/s40064-016-3049-9","http://dx.doi.org/10.1186/s40064-016-3049-9")</f>
        <v>http://dx.doi.org/10.1186/s40064-016-3049-9</v>
      </c>
      <c r="BG2134" s="1" t="s">
        <v>74</v>
      </c>
      <c r="BH2134" s="1" t="s">
        <v>74</v>
      </c>
      <c r="BI2134" s="1">
        <v>16</v>
      </c>
      <c r="BJ2134" s="1" t="s">
        <v>3202</v>
      </c>
      <c r="BK2134" s="1" t="s">
        <v>96</v>
      </c>
      <c r="BL2134" s="1" t="s">
        <v>3203</v>
      </c>
      <c r="BM2134" s="1" t="s">
        <v>34353</v>
      </c>
      <c r="BN2134" s="1">
        <v>27610330</v>
      </c>
      <c r="BO2134" s="1" t="s">
        <v>2155</v>
      </c>
      <c r="BP2134" s="1" t="s">
        <v>74</v>
      </c>
      <c r="BQ2134" s="1" t="s">
        <v>74</v>
      </c>
      <c r="BR2134" s="1" t="s">
        <v>98</v>
      </c>
      <c r="BS2134" s="1" t="s">
        <v>34354</v>
      </c>
      <c r="BT2134" s="1" t="str">
        <f>HYPERLINK("https%3A%2F%2Fwww.webofscience.com%2Fwos%2Fwoscc%2Ffull-record%2FWOS:000391789700011","View Full Record in Web of Science")</f>
        <v>View Full Record in Web of Science</v>
      </c>
      <c r="BU2134" s="1"/>
      <c r="BV2134" s="1"/>
    </row>
    <row r="2135" spans="1:74">
      <c r="A2135" s="1" t="s">
        <v>72</v>
      </c>
      <c r="B2135" s="1" t="s">
        <v>34355</v>
      </c>
      <c r="C2135" s="1" t="s">
        <v>74</v>
      </c>
      <c r="D2135" s="1" t="s">
        <v>74</v>
      </c>
      <c r="E2135" s="1" t="s">
        <v>74</v>
      </c>
      <c r="F2135" s="1" t="s">
        <v>34355</v>
      </c>
      <c r="G2135" s="1" t="s">
        <v>74</v>
      </c>
      <c r="H2135" s="1" t="s">
        <v>74</v>
      </c>
      <c r="I2135" s="1" t="s">
        <v>34356</v>
      </c>
      <c r="J2135" s="1" t="s">
        <v>7073</v>
      </c>
      <c r="K2135" s="1" t="s">
        <v>74</v>
      </c>
      <c r="L2135" s="1" t="s">
        <v>74</v>
      </c>
      <c r="M2135" s="1" t="s">
        <v>78</v>
      </c>
      <c r="N2135" s="1" t="s">
        <v>151</v>
      </c>
      <c r="O2135" s="1" t="s">
        <v>7074</v>
      </c>
      <c r="P2135" s="1" t="s">
        <v>7075</v>
      </c>
      <c r="Q2135" s="1" t="s">
        <v>7076</v>
      </c>
      <c r="R2135" s="1" t="s">
        <v>74</v>
      </c>
      <c r="S2135" s="1" t="s">
        <v>74</v>
      </c>
      <c r="T2135" s="1" t="s">
        <v>74</v>
      </c>
      <c r="U2135" s="1" t="s">
        <v>34357</v>
      </c>
      <c r="V2135" s="1" t="s">
        <v>34358</v>
      </c>
      <c r="W2135" s="1" t="s">
        <v>34359</v>
      </c>
      <c r="X2135" s="1" t="s">
        <v>34360</v>
      </c>
      <c r="Y2135" s="1" t="s">
        <v>34361</v>
      </c>
      <c r="Z2135" s="1" t="s">
        <v>74</v>
      </c>
      <c r="AA2135" s="1" t="s">
        <v>74</v>
      </c>
      <c r="AB2135" s="1" t="s">
        <v>649</v>
      </c>
      <c r="AC2135" s="1" t="s">
        <v>74</v>
      </c>
      <c r="AD2135" s="1" t="s">
        <v>74</v>
      </c>
      <c r="AE2135" s="1" t="s">
        <v>74</v>
      </c>
      <c r="AF2135" s="1" t="s">
        <v>74</v>
      </c>
      <c r="AG2135" s="1">
        <v>19</v>
      </c>
      <c r="AH2135" s="1">
        <v>12</v>
      </c>
      <c r="AI2135" s="1">
        <v>12</v>
      </c>
      <c r="AJ2135" s="1">
        <v>0</v>
      </c>
      <c r="AK2135" s="1">
        <v>12</v>
      </c>
      <c r="AL2135" s="1" t="s">
        <v>2383</v>
      </c>
      <c r="AM2135" s="1" t="s">
        <v>2384</v>
      </c>
      <c r="AN2135" s="1" t="s">
        <v>2385</v>
      </c>
      <c r="AO2135" s="1" t="s">
        <v>7086</v>
      </c>
      <c r="AP2135" s="1" t="s">
        <v>74</v>
      </c>
      <c r="AQ2135" s="1" t="s">
        <v>74</v>
      </c>
      <c r="AR2135" s="1" t="s">
        <v>7087</v>
      </c>
      <c r="AS2135" s="1" t="s">
        <v>7088</v>
      </c>
      <c r="AT2135" s="1" t="s">
        <v>170</v>
      </c>
      <c r="AU2135" s="1">
        <v>2003</v>
      </c>
      <c r="AV2135" s="1">
        <v>107</v>
      </c>
      <c r="AW2135" s="1" t="s">
        <v>74</v>
      </c>
      <c r="AX2135" s="1">
        <v>1</v>
      </c>
      <c r="AY2135" s="1" t="s">
        <v>74</v>
      </c>
      <c r="AZ2135" s="1" t="s">
        <v>74</v>
      </c>
      <c r="BA2135" s="1" t="s">
        <v>74</v>
      </c>
      <c r="BB2135" s="1">
        <v>131</v>
      </c>
      <c r="BC2135" s="1">
        <v>134</v>
      </c>
      <c r="BD2135" s="1" t="s">
        <v>74</v>
      </c>
      <c r="BE2135" s="1" t="s">
        <v>34362</v>
      </c>
      <c r="BF2135" s="1" t="str">
        <f>HYPERLINK("http://dx.doi.org/10.1051/jp4:20030260","http://dx.doi.org/10.1051/jp4:20030260")</f>
        <v>http://dx.doi.org/10.1051/jp4:20030260</v>
      </c>
      <c r="BG2135" s="1" t="s">
        <v>74</v>
      </c>
      <c r="BH2135" s="1" t="s">
        <v>74</v>
      </c>
      <c r="BI2135" s="1">
        <v>4</v>
      </c>
      <c r="BJ2135" s="1" t="s">
        <v>7090</v>
      </c>
      <c r="BK2135" s="1" t="s">
        <v>172</v>
      </c>
      <c r="BL2135" s="1" t="s">
        <v>7091</v>
      </c>
      <c r="BM2135" s="1" t="s">
        <v>7092</v>
      </c>
      <c r="BN2135" s="1" t="s">
        <v>74</v>
      </c>
      <c r="BO2135" s="1" t="s">
        <v>74</v>
      </c>
      <c r="BP2135" s="1" t="s">
        <v>74</v>
      </c>
      <c r="BQ2135" s="1" t="s">
        <v>74</v>
      </c>
      <c r="BR2135" s="1" t="s">
        <v>98</v>
      </c>
      <c r="BS2135" s="1" t="s">
        <v>34363</v>
      </c>
      <c r="BT2135" s="1" t="str">
        <f>HYPERLINK("https%3A%2F%2Fwww.webofscience.com%2Fwos%2Fwoscc%2Ffull-record%2FWOS:000183782300033","View Full Record in Web of Science")</f>
        <v>View Full Record in Web of Science</v>
      </c>
      <c r="BU2135" s="1"/>
      <c r="BV2135" s="1"/>
    </row>
    <row r="2136" spans="1:74">
      <c r="A2136" s="1" t="s">
        <v>72</v>
      </c>
      <c r="B2136" s="1" t="s">
        <v>34364</v>
      </c>
      <c r="C2136" s="1" t="s">
        <v>74</v>
      </c>
      <c r="D2136" s="1" t="s">
        <v>74</v>
      </c>
      <c r="E2136" s="1" t="s">
        <v>74</v>
      </c>
      <c r="F2136" s="1" t="s">
        <v>34365</v>
      </c>
      <c r="G2136" s="1" t="s">
        <v>74</v>
      </c>
      <c r="H2136" s="1" t="s">
        <v>74</v>
      </c>
      <c r="I2136" s="1" t="s">
        <v>34366</v>
      </c>
      <c r="J2136" s="1" t="s">
        <v>2726</v>
      </c>
      <c r="K2136" s="1" t="s">
        <v>74</v>
      </c>
      <c r="L2136" s="1" t="s">
        <v>74</v>
      </c>
      <c r="M2136" s="1" t="s">
        <v>78</v>
      </c>
      <c r="N2136" s="1" t="s">
        <v>79</v>
      </c>
      <c r="O2136" s="1" t="s">
        <v>74</v>
      </c>
      <c r="P2136" s="1" t="s">
        <v>74</v>
      </c>
      <c r="Q2136" s="1" t="s">
        <v>74</v>
      </c>
      <c r="R2136" s="1" t="s">
        <v>74</v>
      </c>
      <c r="S2136" s="1" t="s">
        <v>74</v>
      </c>
      <c r="T2136" s="1" t="s">
        <v>74</v>
      </c>
      <c r="U2136" s="1" t="s">
        <v>34367</v>
      </c>
      <c r="V2136" s="1" t="s">
        <v>34368</v>
      </c>
      <c r="W2136" s="1" t="s">
        <v>34369</v>
      </c>
      <c r="X2136" s="1" t="s">
        <v>34370</v>
      </c>
      <c r="Y2136" s="1" t="s">
        <v>34371</v>
      </c>
      <c r="Z2136" s="1" t="s">
        <v>34372</v>
      </c>
      <c r="AA2136" s="1" t="s">
        <v>34373</v>
      </c>
      <c r="AB2136" s="1" t="s">
        <v>34374</v>
      </c>
      <c r="AC2136" s="1" t="s">
        <v>74</v>
      </c>
      <c r="AD2136" s="1" t="s">
        <v>74</v>
      </c>
      <c r="AE2136" s="1" t="s">
        <v>74</v>
      </c>
      <c r="AF2136" s="1" t="s">
        <v>74</v>
      </c>
      <c r="AG2136" s="1">
        <v>46</v>
      </c>
      <c r="AH2136" s="1">
        <v>34</v>
      </c>
      <c r="AI2136" s="1">
        <v>38</v>
      </c>
      <c r="AJ2136" s="1">
        <v>2</v>
      </c>
      <c r="AK2136" s="1">
        <v>25</v>
      </c>
      <c r="AL2136" s="1" t="s">
        <v>112</v>
      </c>
      <c r="AM2136" s="1" t="s">
        <v>113</v>
      </c>
      <c r="AN2136" s="1" t="s">
        <v>469</v>
      </c>
      <c r="AO2136" s="1" t="s">
        <v>2738</v>
      </c>
      <c r="AP2136" s="1" t="s">
        <v>2739</v>
      </c>
      <c r="AQ2136" s="1" t="s">
        <v>74</v>
      </c>
      <c r="AR2136" s="1" t="s">
        <v>2740</v>
      </c>
      <c r="AS2136" s="1" t="s">
        <v>2741</v>
      </c>
      <c r="AT2136" s="1" t="s">
        <v>142</v>
      </c>
      <c r="AU2136" s="1">
        <v>2009</v>
      </c>
      <c r="AV2136" s="1">
        <v>104</v>
      </c>
      <c r="AW2136" s="1">
        <v>6</v>
      </c>
      <c r="AX2136" s="1" t="s">
        <v>74</v>
      </c>
      <c r="AY2136" s="1" t="s">
        <v>74</v>
      </c>
      <c r="AZ2136" s="1" t="s">
        <v>74</v>
      </c>
      <c r="BA2136" s="1" t="s">
        <v>74</v>
      </c>
      <c r="BB2136" s="1">
        <v>1497</v>
      </c>
      <c r="BC2136" s="1">
        <v>1506</v>
      </c>
      <c r="BD2136" s="1" t="s">
        <v>74</v>
      </c>
      <c r="BE2136" s="1" t="s">
        <v>34375</v>
      </c>
      <c r="BF2136" s="1" t="str">
        <f>HYPERLINK("http://dx.doi.org/10.1007/s00436-009-1356-6","http://dx.doi.org/10.1007/s00436-009-1356-6")</f>
        <v>http://dx.doi.org/10.1007/s00436-009-1356-6</v>
      </c>
      <c r="BG2136" s="1" t="s">
        <v>74</v>
      </c>
      <c r="BH2136" s="1" t="s">
        <v>74</v>
      </c>
      <c r="BI2136" s="1">
        <v>10</v>
      </c>
      <c r="BJ2136" s="1" t="s">
        <v>2340</v>
      </c>
      <c r="BK2136" s="1" t="s">
        <v>96</v>
      </c>
      <c r="BL2136" s="1" t="s">
        <v>2340</v>
      </c>
      <c r="BM2136" s="1" t="s">
        <v>34376</v>
      </c>
      <c r="BN2136" s="1">
        <v>19214574</v>
      </c>
      <c r="BO2136" s="1" t="s">
        <v>74</v>
      </c>
      <c r="BP2136" s="1" t="s">
        <v>74</v>
      </c>
      <c r="BQ2136" s="1" t="s">
        <v>74</v>
      </c>
      <c r="BR2136" s="1" t="s">
        <v>98</v>
      </c>
      <c r="BS2136" s="1" t="s">
        <v>34377</v>
      </c>
      <c r="BT2136" s="1" t="str">
        <f>HYPERLINK("https%3A%2F%2Fwww.webofscience.com%2Fwos%2Fwoscc%2Ffull-record%2FWOS:000265442600035","View Full Record in Web of Science")</f>
        <v>View Full Record in Web of Science</v>
      </c>
      <c r="BU2136" s="1"/>
      <c r="BV2136" s="1"/>
    </row>
    <row r="2137" spans="1:74">
      <c r="A2137" s="1" t="s">
        <v>72</v>
      </c>
      <c r="B2137" s="1" t="s">
        <v>34378</v>
      </c>
      <c r="C2137" s="1" t="s">
        <v>74</v>
      </c>
      <c r="D2137" s="1" t="s">
        <v>74</v>
      </c>
      <c r="E2137" s="1" t="s">
        <v>74</v>
      </c>
      <c r="F2137" s="1" t="s">
        <v>34378</v>
      </c>
      <c r="G2137" s="1" t="s">
        <v>74</v>
      </c>
      <c r="H2137" s="1" t="s">
        <v>74</v>
      </c>
      <c r="I2137" s="1" t="s">
        <v>34379</v>
      </c>
      <c r="J2137" s="1" t="s">
        <v>421</v>
      </c>
      <c r="K2137" s="1" t="s">
        <v>74</v>
      </c>
      <c r="L2137" s="1" t="s">
        <v>74</v>
      </c>
      <c r="M2137" s="1" t="s">
        <v>78</v>
      </c>
      <c r="N2137" s="1" t="s">
        <v>79</v>
      </c>
      <c r="O2137" s="1" t="s">
        <v>74</v>
      </c>
      <c r="P2137" s="1" t="s">
        <v>74</v>
      </c>
      <c r="Q2137" s="1" t="s">
        <v>74</v>
      </c>
      <c r="R2137" s="1" t="s">
        <v>74</v>
      </c>
      <c r="S2137" s="1" t="s">
        <v>74</v>
      </c>
      <c r="T2137" s="1" t="s">
        <v>34380</v>
      </c>
      <c r="U2137" s="1" t="s">
        <v>34381</v>
      </c>
      <c r="V2137" s="1" t="s">
        <v>34382</v>
      </c>
      <c r="W2137" s="1" t="s">
        <v>34383</v>
      </c>
      <c r="X2137" s="1" t="s">
        <v>34384</v>
      </c>
      <c r="Y2137" s="1" t="s">
        <v>34385</v>
      </c>
      <c r="Z2137" s="1" t="s">
        <v>34386</v>
      </c>
      <c r="AA2137" s="1" t="s">
        <v>13092</v>
      </c>
      <c r="AB2137" s="1" t="s">
        <v>74</v>
      </c>
      <c r="AC2137" s="1" t="s">
        <v>74</v>
      </c>
      <c r="AD2137" s="1" t="s">
        <v>74</v>
      </c>
      <c r="AE2137" s="1" t="s">
        <v>74</v>
      </c>
      <c r="AF2137" s="1" t="s">
        <v>74</v>
      </c>
      <c r="AG2137" s="1">
        <v>32</v>
      </c>
      <c r="AH2137" s="1">
        <v>63</v>
      </c>
      <c r="AI2137" s="1">
        <v>73</v>
      </c>
      <c r="AJ2137" s="1">
        <v>0</v>
      </c>
      <c r="AK2137" s="1">
        <v>22</v>
      </c>
      <c r="AL2137" s="1" t="s">
        <v>430</v>
      </c>
      <c r="AM2137" s="1" t="s">
        <v>137</v>
      </c>
      <c r="AN2137" s="1" t="s">
        <v>431</v>
      </c>
      <c r="AO2137" s="1" t="s">
        <v>432</v>
      </c>
      <c r="AP2137" s="1" t="s">
        <v>74</v>
      </c>
      <c r="AQ2137" s="1" t="s">
        <v>74</v>
      </c>
      <c r="AR2137" s="1" t="s">
        <v>433</v>
      </c>
      <c r="AS2137" s="1" t="s">
        <v>434</v>
      </c>
      <c r="AT2137" s="1" t="s">
        <v>170</v>
      </c>
      <c r="AU2137" s="1">
        <v>2005</v>
      </c>
      <c r="AV2137" s="1">
        <v>135</v>
      </c>
      <c r="AW2137" s="1">
        <v>2</v>
      </c>
      <c r="AX2137" s="1" t="s">
        <v>74</v>
      </c>
      <c r="AY2137" s="1" t="s">
        <v>74</v>
      </c>
      <c r="AZ2137" s="1" t="s">
        <v>74</v>
      </c>
      <c r="BA2137" s="1" t="s">
        <v>74</v>
      </c>
      <c r="BB2137" s="1">
        <v>195</v>
      </c>
      <c r="BC2137" s="1">
        <v>208</v>
      </c>
      <c r="BD2137" s="1" t="s">
        <v>74</v>
      </c>
      <c r="BE2137" s="1" t="s">
        <v>34387</v>
      </c>
      <c r="BF2137" s="1" t="str">
        <f>HYPERLINK("http://dx.doi.org/10.1016/j.envpol.2004.11.007","http://dx.doi.org/10.1016/j.envpol.2004.11.007")</f>
        <v>http://dx.doi.org/10.1016/j.envpol.2004.11.007</v>
      </c>
      <c r="BG2137" s="1" t="s">
        <v>74</v>
      </c>
      <c r="BH2137" s="1" t="s">
        <v>74</v>
      </c>
      <c r="BI2137" s="1">
        <v>14</v>
      </c>
      <c r="BJ2137" s="1" t="s">
        <v>144</v>
      </c>
      <c r="BK2137" s="1" t="s">
        <v>96</v>
      </c>
      <c r="BL2137" s="1" t="s">
        <v>145</v>
      </c>
      <c r="BM2137" s="1" t="s">
        <v>34388</v>
      </c>
      <c r="BN2137" s="1">
        <v>15734580</v>
      </c>
      <c r="BO2137" s="1" t="s">
        <v>74</v>
      </c>
      <c r="BP2137" s="1" t="s">
        <v>74</v>
      </c>
      <c r="BQ2137" s="1" t="s">
        <v>74</v>
      </c>
      <c r="BR2137" s="1" t="s">
        <v>98</v>
      </c>
      <c r="BS2137" s="1" t="s">
        <v>34389</v>
      </c>
      <c r="BT2137" s="1" t="str">
        <f>HYPERLINK("https%3A%2F%2Fwww.webofscience.com%2Fwos%2Fwoscc%2Ffull-record%2FWOS:000227695600002","View Full Record in Web of Science")</f>
        <v>View Full Record in Web of Science</v>
      </c>
      <c r="BU2137" s="1"/>
      <c r="BV2137" s="1"/>
    </row>
    <row r="2138" spans="1:74">
      <c r="A2138" s="1" t="s">
        <v>72</v>
      </c>
      <c r="B2138" s="1" t="s">
        <v>34390</v>
      </c>
      <c r="C2138" s="1" t="s">
        <v>74</v>
      </c>
      <c r="D2138" s="1" t="s">
        <v>74</v>
      </c>
      <c r="E2138" s="1" t="s">
        <v>74</v>
      </c>
      <c r="F2138" s="1" t="s">
        <v>34390</v>
      </c>
      <c r="G2138" s="1" t="s">
        <v>74</v>
      </c>
      <c r="H2138" s="1" t="s">
        <v>74</v>
      </c>
      <c r="I2138" s="1" t="s">
        <v>34391</v>
      </c>
      <c r="J2138" s="1" t="s">
        <v>998</v>
      </c>
      <c r="K2138" s="1" t="s">
        <v>74</v>
      </c>
      <c r="L2138" s="1" t="s">
        <v>74</v>
      </c>
      <c r="M2138" s="1" t="s">
        <v>78</v>
      </c>
      <c r="N2138" s="1" t="s">
        <v>79</v>
      </c>
      <c r="O2138" s="1" t="s">
        <v>74</v>
      </c>
      <c r="P2138" s="1" t="s">
        <v>74</v>
      </c>
      <c r="Q2138" s="1" t="s">
        <v>74</v>
      </c>
      <c r="R2138" s="1" t="s">
        <v>74</v>
      </c>
      <c r="S2138" s="1" t="s">
        <v>74</v>
      </c>
      <c r="T2138" s="1" t="s">
        <v>74</v>
      </c>
      <c r="U2138" s="1" t="s">
        <v>34392</v>
      </c>
      <c r="V2138" s="1" t="s">
        <v>34393</v>
      </c>
      <c r="W2138" s="1" t="s">
        <v>34394</v>
      </c>
      <c r="X2138" s="1" t="s">
        <v>34395</v>
      </c>
      <c r="Y2138" s="1" t="s">
        <v>34396</v>
      </c>
      <c r="Z2138" s="1" t="s">
        <v>74</v>
      </c>
      <c r="AA2138" s="1" t="s">
        <v>74</v>
      </c>
      <c r="AB2138" s="1" t="s">
        <v>74</v>
      </c>
      <c r="AC2138" s="1" t="s">
        <v>74</v>
      </c>
      <c r="AD2138" s="1" t="s">
        <v>74</v>
      </c>
      <c r="AE2138" s="1" t="s">
        <v>74</v>
      </c>
      <c r="AF2138" s="1" t="s">
        <v>74</v>
      </c>
      <c r="AG2138" s="1">
        <v>49</v>
      </c>
      <c r="AH2138" s="1">
        <v>10</v>
      </c>
      <c r="AI2138" s="1">
        <v>10</v>
      </c>
      <c r="AJ2138" s="1">
        <v>0</v>
      </c>
      <c r="AK2138" s="1">
        <v>8</v>
      </c>
      <c r="AL2138" s="1" t="s">
        <v>6584</v>
      </c>
      <c r="AM2138" s="1" t="s">
        <v>113</v>
      </c>
      <c r="AN2138" s="1" t="s">
        <v>2719</v>
      </c>
      <c r="AO2138" s="1" t="s">
        <v>1009</v>
      </c>
      <c r="AP2138" s="1" t="s">
        <v>74</v>
      </c>
      <c r="AQ2138" s="1" t="s">
        <v>74</v>
      </c>
      <c r="AR2138" s="1" t="s">
        <v>1010</v>
      </c>
      <c r="AS2138" s="1" t="s">
        <v>1011</v>
      </c>
      <c r="AT2138" s="1" t="s">
        <v>119</v>
      </c>
      <c r="AU2138" s="1">
        <v>1998</v>
      </c>
      <c r="AV2138" s="1">
        <v>35</v>
      </c>
      <c r="AW2138" s="1">
        <v>2</v>
      </c>
      <c r="AX2138" s="1" t="s">
        <v>74</v>
      </c>
      <c r="AY2138" s="1" t="s">
        <v>74</v>
      </c>
      <c r="AZ2138" s="1" t="s">
        <v>74</v>
      </c>
      <c r="BA2138" s="1" t="s">
        <v>74</v>
      </c>
      <c r="BB2138" s="1">
        <v>302</v>
      </c>
      <c r="BC2138" s="1">
        <v>308</v>
      </c>
      <c r="BD2138" s="1" t="s">
        <v>74</v>
      </c>
      <c r="BE2138" s="1" t="s">
        <v>34397</v>
      </c>
      <c r="BF2138" s="1" t="str">
        <f>HYPERLINK("http://dx.doi.org/10.1007/s002449900380","http://dx.doi.org/10.1007/s002449900380")</f>
        <v>http://dx.doi.org/10.1007/s002449900380</v>
      </c>
      <c r="BG2138" s="1" t="s">
        <v>74</v>
      </c>
      <c r="BH2138" s="1" t="s">
        <v>74</v>
      </c>
      <c r="BI2138" s="1">
        <v>7</v>
      </c>
      <c r="BJ2138" s="1" t="s">
        <v>121</v>
      </c>
      <c r="BK2138" s="1" t="s">
        <v>96</v>
      </c>
      <c r="BL2138" s="1" t="s">
        <v>122</v>
      </c>
      <c r="BM2138" s="1" t="s">
        <v>34398</v>
      </c>
      <c r="BN2138" s="1">
        <v>9680522</v>
      </c>
      <c r="BO2138" s="1" t="s">
        <v>74</v>
      </c>
      <c r="BP2138" s="1" t="s">
        <v>74</v>
      </c>
      <c r="BQ2138" s="1" t="s">
        <v>74</v>
      </c>
      <c r="BR2138" s="1" t="s">
        <v>98</v>
      </c>
      <c r="BS2138" s="1" t="s">
        <v>34399</v>
      </c>
      <c r="BT2138" s="1" t="str">
        <f>HYPERLINK("https%3A%2F%2Fwww.webofscience.com%2Fwos%2Fwoscc%2Ffull-record%2FWOS:000074691500015","View Full Record in Web of Science")</f>
        <v>View Full Record in Web of Science</v>
      </c>
      <c r="BU2138" s="1"/>
      <c r="BV2138" s="1"/>
    </row>
    <row r="2139" spans="1:74">
      <c r="A2139" s="1" t="s">
        <v>72</v>
      </c>
      <c r="B2139" s="1" t="s">
        <v>34400</v>
      </c>
      <c r="C2139" s="1" t="s">
        <v>74</v>
      </c>
      <c r="D2139" s="1" t="s">
        <v>74</v>
      </c>
      <c r="E2139" s="1" t="s">
        <v>74</v>
      </c>
      <c r="F2139" s="1" t="s">
        <v>34400</v>
      </c>
      <c r="G2139" s="1" t="s">
        <v>74</v>
      </c>
      <c r="H2139" s="1" t="s">
        <v>74</v>
      </c>
      <c r="I2139" s="1" t="s">
        <v>34401</v>
      </c>
      <c r="J2139" s="1" t="s">
        <v>554</v>
      </c>
      <c r="K2139" s="1" t="s">
        <v>74</v>
      </c>
      <c r="L2139" s="1" t="s">
        <v>74</v>
      </c>
      <c r="M2139" s="1" t="s">
        <v>78</v>
      </c>
      <c r="N2139" s="1" t="s">
        <v>79</v>
      </c>
      <c r="O2139" s="1" t="s">
        <v>74</v>
      </c>
      <c r="P2139" s="1" t="s">
        <v>74</v>
      </c>
      <c r="Q2139" s="1" t="s">
        <v>74</v>
      </c>
      <c r="R2139" s="1" t="s">
        <v>74</v>
      </c>
      <c r="S2139" s="1" t="s">
        <v>74</v>
      </c>
      <c r="T2139" s="1" t="s">
        <v>34402</v>
      </c>
      <c r="U2139" s="1" t="s">
        <v>34403</v>
      </c>
      <c r="V2139" s="1" t="s">
        <v>34404</v>
      </c>
      <c r="W2139" s="1" t="s">
        <v>34405</v>
      </c>
      <c r="X2139" s="1" t="s">
        <v>34406</v>
      </c>
      <c r="Y2139" s="1" t="s">
        <v>34407</v>
      </c>
      <c r="Z2139" s="1" t="s">
        <v>34408</v>
      </c>
      <c r="AA2139" s="1" t="s">
        <v>34409</v>
      </c>
      <c r="AB2139" s="1" t="s">
        <v>34410</v>
      </c>
      <c r="AC2139" s="1" t="s">
        <v>74</v>
      </c>
      <c r="AD2139" s="1" t="s">
        <v>74</v>
      </c>
      <c r="AE2139" s="1" t="s">
        <v>74</v>
      </c>
      <c r="AF2139" s="1" t="s">
        <v>74</v>
      </c>
      <c r="AG2139" s="1">
        <v>49</v>
      </c>
      <c r="AH2139" s="1">
        <v>129</v>
      </c>
      <c r="AI2139" s="1">
        <v>142</v>
      </c>
      <c r="AJ2139" s="1">
        <v>1</v>
      </c>
      <c r="AK2139" s="1">
        <v>42</v>
      </c>
      <c r="AL2139" s="1" t="s">
        <v>564</v>
      </c>
      <c r="AM2139" s="1" t="s">
        <v>113</v>
      </c>
      <c r="AN2139" s="1" t="s">
        <v>565</v>
      </c>
      <c r="AO2139" s="1" t="s">
        <v>566</v>
      </c>
      <c r="AP2139" s="1" t="s">
        <v>567</v>
      </c>
      <c r="AQ2139" s="1" t="s">
        <v>74</v>
      </c>
      <c r="AR2139" s="1" t="s">
        <v>568</v>
      </c>
      <c r="AS2139" s="1" t="s">
        <v>569</v>
      </c>
      <c r="AT2139" s="1" t="s">
        <v>119</v>
      </c>
      <c r="AU2139" s="1">
        <v>2004</v>
      </c>
      <c r="AV2139" s="1">
        <v>138</v>
      </c>
      <c r="AW2139" s="1">
        <v>4</v>
      </c>
      <c r="AX2139" s="1" t="s">
        <v>74</v>
      </c>
      <c r="AY2139" s="1" t="s">
        <v>74</v>
      </c>
      <c r="AZ2139" s="1" t="s">
        <v>74</v>
      </c>
      <c r="BA2139" s="1" t="s">
        <v>74</v>
      </c>
      <c r="BB2139" s="1">
        <v>411</v>
      </c>
      <c r="BC2139" s="1">
        <v>427</v>
      </c>
      <c r="BD2139" s="1" t="s">
        <v>74</v>
      </c>
      <c r="BE2139" s="1" t="s">
        <v>34411</v>
      </c>
      <c r="BF2139" s="1" t="str">
        <f>HYPERLINK("http://dx.doi.org/10.1016/j.cca.2004.04.009","http://dx.doi.org/10.1016/j.cca.2004.04.009")</f>
        <v>http://dx.doi.org/10.1016/j.cca.2004.04.009</v>
      </c>
      <c r="BG2139" s="1" t="s">
        <v>74</v>
      </c>
      <c r="BH2139" s="1" t="s">
        <v>74</v>
      </c>
      <c r="BI2139" s="1">
        <v>17</v>
      </c>
      <c r="BJ2139" s="1" t="s">
        <v>571</v>
      </c>
      <c r="BK2139" s="1" t="s">
        <v>96</v>
      </c>
      <c r="BL2139" s="1" t="s">
        <v>571</v>
      </c>
      <c r="BM2139" s="1" t="s">
        <v>34412</v>
      </c>
      <c r="BN2139" s="1">
        <v>15536049</v>
      </c>
      <c r="BO2139" s="1" t="s">
        <v>74</v>
      </c>
      <c r="BP2139" s="1" t="s">
        <v>74</v>
      </c>
      <c r="BQ2139" s="1" t="s">
        <v>74</v>
      </c>
      <c r="BR2139" s="1" t="s">
        <v>98</v>
      </c>
      <c r="BS2139" s="1" t="s">
        <v>34413</v>
      </c>
      <c r="BT2139" s="1" t="str">
        <f>HYPERLINK("https%3A%2F%2Fwww.webofscience.com%2Fwos%2Fwoscc%2Ffull-record%2FWOS:000225366800001","View Full Record in Web of Science")</f>
        <v>View Full Record in Web of Science</v>
      </c>
      <c r="BU2139" s="1"/>
      <c r="BV2139" s="1"/>
    </row>
    <row r="2140" spans="1:74">
      <c r="A2140" s="1" t="s">
        <v>72</v>
      </c>
      <c r="B2140" s="1" t="s">
        <v>34414</v>
      </c>
      <c r="C2140" s="1" t="s">
        <v>74</v>
      </c>
      <c r="D2140" s="1" t="s">
        <v>74</v>
      </c>
      <c r="E2140" s="1" t="s">
        <v>74</v>
      </c>
      <c r="F2140" s="1" t="s">
        <v>34415</v>
      </c>
      <c r="G2140" s="1" t="s">
        <v>74</v>
      </c>
      <c r="H2140" s="1" t="s">
        <v>74</v>
      </c>
      <c r="I2140" s="1" t="s">
        <v>34416</v>
      </c>
      <c r="J2140" s="1" t="s">
        <v>421</v>
      </c>
      <c r="K2140" s="1" t="s">
        <v>74</v>
      </c>
      <c r="L2140" s="1" t="s">
        <v>74</v>
      </c>
      <c r="M2140" s="1" t="s">
        <v>78</v>
      </c>
      <c r="N2140" s="1" t="s">
        <v>79</v>
      </c>
      <c r="O2140" s="1" t="s">
        <v>74</v>
      </c>
      <c r="P2140" s="1" t="s">
        <v>74</v>
      </c>
      <c r="Q2140" s="1" t="s">
        <v>74</v>
      </c>
      <c r="R2140" s="1" t="s">
        <v>74</v>
      </c>
      <c r="S2140" s="1" t="s">
        <v>74</v>
      </c>
      <c r="T2140" s="1" t="s">
        <v>34417</v>
      </c>
      <c r="U2140" s="1" t="s">
        <v>34418</v>
      </c>
      <c r="V2140" s="1" t="s">
        <v>34419</v>
      </c>
      <c r="W2140" s="1" t="s">
        <v>34420</v>
      </c>
      <c r="X2140" s="1" t="s">
        <v>34421</v>
      </c>
      <c r="Y2140" s="1" t="s">
        <v>34422</v>
      </c>
      <c r="Z2140" s="1" t="s">
        <v>34423</v>
      </c>
      <c r="AA2140" s="1" t="s">
        <v>34424</v>
      </c>
      <c r="AB2140" s="1" t="s">
        <v>34425</v>
      </c>
      <c r="AC2140" s="1" t="s">
        <v>74</v>
      </c>
      <c r="AD2140" s="1" t="s">
        <v>74</v>
      </c>
      <c r="AE2140" s="1" t="s">
        <v>74</v>
      </c>
      <c r="AF2140" s="1" t="s">
        <v>74</v>
      </c>
      <c r="AG2140" s="1">
        <v>36</v>
      </c>
      <c r="AH2140" s="1">
        <v>24</v>
      </c>
      <c r="AI2140" s="1">
        <v>25</v>
      </c>
      <c r="AJ2140" s="1">
        <v>1</v>
      </c>
      <c r="AK2140" s="1">
        <v>39</v>
      </c>
      <c r="AL2140" s="1" t="s">
        <v>430</v>
      </c>
      <c r="AM2140" s="1" t="s">
        <v>137</v>
      </c>
      <c r="AN2140" s="1" t="s">
        <v>431</v>
      </c>
      <c r="AO2140" s="1" t="s">
        <v>432</v>
      </c>
      <c r="AP2140" s="1" t="s">
        <v>1394</v>
      </c>
      <c r="AQ2140" s="1" t="s">
        <v>74</v>
      </c>
      <c r="AR2140" s="1" t="s">
        <v>433</v>
      </c>
      <c r="AS2140" s="1" t="s">
        <v>434</v>
      </c>
      <c r="AT2140" s="1" t="s">
        <v>305</v>
      </c>
      <c r="AU2140" s="1">
        <v>2019</v>
      </c>
      <c r="AV2140" s="1">
        <v>252</v>
      </c>
      <c r="AW2140" s="1" t="s">
        <v>74</v>
      </c>
      <c r="AX2140" s="1" t="s">
        <v>489</v>
      </c>
      <c r="AY2140" s="1" t="s">
        <v>74</v>
      </c>
      <c r="AZ2140" s="1" t="s">
        <v>74</v>
      </c>
      <c r="BA2140" s="1" t="s">
        <v>74</v>
      </c>
      <c r="BB2140" s="1">
        <v>591</v>
      </c>
      <c r="BC2140" s="1">
        <v>598</v>
      </c>
      <c r="BD2140" s="1" t="s">
        <v>74</v>
      </c>
      <c r="BE2140" s="1" t="s">
        <v>34426</v>
      </c>
      <c r="BF2140" s="1" t="str">
        <f>HYPERLINK("http://dx.doi.org/10.1016/j.envpol.2019.05.140","http://dx.doi.org/10.1016/j.envpol.2019.05.140")</f>
        <v>http://dx.doi.org/10.1016/j.envpol.2019.05.140</v>
      </c>
      <c r="BG2140" s="1" t="s">
        <v>74</v>
      </c>
      <c r="BH2140" s="1" t="s">
        <v>74</v>
      </c>
      <c r="BI2140" s="1">
        <v>8</v>
      </c>
      <c r="BJ2140" s="1" t="s">
        <v>144</v>
      </c>
      <c r="BK2140" s="1" t="s">
        <v>96</v>
      </c>
      <c r="BL2140" s="1" t="s">
        <v>145</v>
      </c>
      <c r="BM2140" s="1" t="s">
        <v>34427</v>
      </c>
      <c r="BN2140" s="1">
        <v>31185347</v>
      </c>
      <c r="BO2140" s="1" t="s">
        <v>74</v>
      </c>
      <c r="BP2140" s="1" t="s">
        <v>74</v>
      </c>
      <c r="BQ2140" s="1" t="s">
        <v>74</v>
      </c>
      <c r="BR2140" s="1" t="s">
        <v>98</v>
      </c>
      <c r="BS2140" s="1" t="s">
        <v>34428</v>
      </c>
      <c r="BT2140" s="1" t="str">
        <f>HYPERLINK("https%3A%2F%2Fwww.webofscience.com%2Fwos%2Fwoscc%2Ffull-record%2FWOS:000483005500062","View Full Record in Web of Science")</f>
        <v>View Full Record in Web of Science</v>
      </c>
      <c r="BU2140" s="1"/>
      <c r="BV2140" s="1"/>
    </row>
    <row r="2141" spans="1:74">
      <c r="A2141" s="1" t="s">
        <v>72</v>
      </c>
      <c r="B2141" s="1" t="s">
        <v>34429</v>
      </c>
      <c r="C2141" s="1" t="s">
        <v>74</v>
      </c>
      <c r="D2141" s="1" t="s">
        <v>74</v>
      </c>
      <c r="E2141" s="1" t="s">
        <v>74</v>
      </c>
      <c r="F2141" s="1" t="s">
        <v>34430</v>
      </c>
      <c r="G2141" s="1" t="s">
        <v>74</v>
      </c>
      <c r="H2141" s="1" t="s">
        <v>74</v>
      </c>
      <c r="I2141" s="1" t="s">
        <v>34431</v>
      </c>
      <c r="J2141" s="1" t="s">
        <v>204</v>
      </c>
      <c r="K2141" s="1" t="s">
        <v>74</v>
      </c>
      <c r="L2141" s="1" t="s">
        <v>74</v>
      </c>
      <c r="M2141" s="1" t="s">
        <v>78</v>
      </c>
      <c r="N2141" s="1" t="s">
        <v>79</v>
      </c>
      <c r="O2141" s="1" t="s">
        <v>74</v>
      </c>
      <c r="P2141" s="1" t="s">
        <v>74</v>
      </c>
      <c r="Q2141" s="1" t="s">
        <v>74</v>
      </c>
      <c r="R2141" s="1" t="s">
        <v>74</v>
      </c>
      <c r="S2141" s="1" t="s">
        <v>74</v>
      </c>
      <c r="T2141" s="1" t="s">
        <v>34432</v>
      </c>
      <c r="U2141" s="1" t="s">
        <v>34433</v>
      </c>
      <c r="V2141" s="1" t="s">
        <v>34434</v>
      </c>
      <c r="W2141" s="1" t="s">
        <v>34435</v>
      </c>
      <c r="X2141" s="1" t="s">
        <v>19904</v>
      </c>
      <c r="Y2141" s="1" t="s">
        <v>34436</v>
      </c>
      <c r="Z2141" s="1" t="s">
        <v>8132</v>
      </c>
      <c r="AA2141" s="1" t="s">
        <v>34437</v>
      </c>
      <c r="AB2141" s="1" t="s">
        <v>34438</v>
      </c>
      <c r="AC2141" s="1" t="s">
        <v>34439</v>
      </c>
      <c r="AD2141" s="1" t="s">
        <v>32837</v>
      </c>
      <c r="AE2141" s="1" t="s">
        <v>34440</v>
      </c>
      <c r="AF2141" s="1" t="s">
        <v>74</v>
      </c>
      <c r="AG2141" s="1">
        <v>40</v>
      </c>
      <c r="AH2141" s="1">
        <v>14</v>
      </c>
      <c r="AI2141" s="1">
        <v>15</v>
      </c>
      <c r="AJ2141" s="1">
        <v>0</v>
      </c>
      <c r="AK2141" s="1">
        <v>18</v>
      </c>
      <c r="AL2141" s="1" t="s">
        <v>217</v>
      </c>
      <c r="AM2141" s="1" t="s">
        <v>218</v>
      </c>
      <c r="AN2141" s="1" t="s">
        <v>219</v>
      </c>
      <c r="AO2141" s="1" t="s">
        <v>220</v>
      </c>
      <c r="AP2141" s="1" t="s">
        <v>221</v>
      </c>
      <c r="AQ2141" s="1" t="s">
        <v>74</v>
      </c>
      <c r="AR2141" s="1" t="s">
        <v>222</v>
      </c>
      <c r="AS2141" s="1" t="s">
        <v>223</v>
      </c>
      <c r="AT2141" s="1" t="s">
        <v>142</v>
      </c>
      <c r="AU2141" s="1">
        <v>2015</v>
      </c>
      <c r="AV2141" s="1">
        <v>22</v>
      </c>
      <c r="AW2141" s="1">
        <v>11</v>
      </c>
      <c r="AX2141" s="1" t="s">
        <v>74</v>
      </c>
      <c r="AY2141" s="1" t="s">
        <v>74</v>
      </c>
      <c r="AZ2141" s="1" t="s">
        <v>74</v>
      </c>
      <c r="BA2141" s="1" t="s">
        <v>74</v>
      </c>
      <c r="BB2141" s="1">
        <v>8253</v>
      </c>
      <c r="BC2141" s="1">
        <v>8263</v>
      </c>
      <c r="BD2141" s="1" t="s">
        <v>74</v>
      </c>
      <c r="BE2141" s="1" t="s">
        <v>34441</v>
      </c>
      <c r="BF2141" s="1" t="str">
        <f>HYPERLINK("http://dx.doi.org/10.1007/s11356-014-3953-x","http://dx.doi.org/10.1007/s11356-014-3953-x")</f>
        <v>http://dx.doi.org/10.1007/s11356-014-3953-x</v>
      </c>
      <c r="BG2141" s="1" t="s">
        <v>74</v>
      </c>
      <c r="BH2141" s="1" t="s">
        <v>74</v>
      </c>
      <c r="BI2141" s="1">
        <v>11</v>
      </c>
      <c r="BJ2141" s="1" t="s">
        <v>144</v>
      </c>
      <c r="BK2141" s="1" t="s">
        <v>96</v>
      </c>
      <c r="BL2141" s="1" t="s">
        <v>145</v>
      </c>
      <c r="BM2141" s="1" t="s">
        <v>34442</v>
      </c>
      <c r="BN2141" s="1">
        <v>25520203</v>
      </c>
      <c r="BO2141" s="1" t="s">
        <v>74</v>
      </c>
      <c r="BP2141" s="1" t="s">
        <v>74</v>
      </c>
      <c r="BQ2141" s="1" t="s">
        <v>74</v>
      </c>
      <c r="BR2141" s="1" t="s">
        <v>98</v>
      </c>
      <c r="BS2141" s="1" t="s">
        <v>34443</v>
      </c>
      <c r="BT2141" s="1" t="str">
        <f>HYPERLINK("https%3A%2F%2Fwww.webofscience.com%2Fwos%2Fwoscc%2Ffull-record%2FWOS:000354960300022","View Full Record in Web of Science")</f>
        <v>View Full Record in Web of Science</v>
      </c>
      <c r="BU2141" s="1"/>
      <c r="BV2141" s="1"/>
    </row>
    <row r="2142" spans="1:74">
      <c r="A2142" s="1" t="s">
        <v>72</v>
      </c>
      <c r="B2142" s="1" t="s">
        <v>34444</v>
      </c>
      <c r="C2142" s="1" t="s">
        <v>74</v>
      </c>
      <c r="D2142" s="1" t="s">
        <v>74</v>
      </c>
      <c r="E2142" s="1" t="s">
        <v>74</v>
      </c>
      <c r="F2142" s="1" t="s">
        <v>34445</v>
      </c>
      <c r="G2142" s="1" t="s">
        <v>74</v>
      </c>
      <c r="H2142" s="1" t="s">
        <v>74</v>
      </c>
      <c r="I2142" s="1" t="s">
        <v>34446</v>
      </c>
      <c r="J2142" s="1" t="s">
        <v>1948</v>
      </c>
      <c r="K2142" s="1" t="s">
        <v>74</v>
      </c>
      <c r="L2142" s="1" t="s">
        <v>74</v>
      </c>
      <c r="M2142" s="1" t="s">
        <v>78</v>
      </c>
      <c r="N2142" s="1" t="s">
        <v>79</v>
      </c>
      <c r="O2142" s="1" t="s">
        <v>74</v>
      </c>
      <c r="P2142" s="1" t="s">
        <v>74</v>
      </c>
      <c r="Q2142" s="1" t="s">
        <v>74</v>
      </c>
      <c r="R2142" s="1" t="s">
        <v>74</v>
      </c>
      <c r="S2142" s="1" t="s">
        <v>74</v>
      </c>
      <c r="T2142" s="1" t="s">
        <v>34447</v>
      </c>
      <c r="U2142" s="1" t="s">
        <v>34448</v>
      </c>
      <c r="V2142" s="1" t="s">
        <v>34449</v>
      </c>
      <c r="W2142" s="1" t="s">
        <v>34450</v>
      </c>
      <c r="X2142" s="1" t="s">
        <v>34451</v>
      </c>
      <c r="Y2142" s="1" t="s">
        <v>34452</v>
      </c>
      <c r="Z2142" s="1" t="s">
        <v>34453</v>
      </c>
      <c r="AA2142" s="1" t="s">
        <v>34454</v>
      </c>
      <c r="AB2142" s="1" t="s">
        <v>34455</v>
      </c>
      <c r="AC2142" s="1" t="s">
        <v>34456</v>
      </c>
      <c r="AD2142" s="1" t="s">
        <v>34457</v>
      </c>
      <c r="AE2142" s="1" t="s">
        <v>34458</v>
      </c>
      <c r="AF2142" s="1" t="s">
        <v>74</v>
      </c>
      <c r="AG2142" s="1">
        <v>50</v>
      </c>
      <c r="AH2142" s="1">
        <v>71</v>
      </c>
      <c r="AI2142" s="1">
        <v>79</v>
      </c>
      <c r="AJ2142" s="1">
        <v>9</v>
      </c>
      <c r="AK2142" s="1">
        <v>254</v>
      </c>
      <c r="AL2142" s="1" t="s">
        <v>430</v>
      </c>
      <c r="AM2142" s="1" t="s">
        <v>137</v>
      </c>
      <c r="AN2142" s="1" t="s">
        <v>431</v>
      </c>
      <c r="AO2142" s="1" t="s">
        <v>1961</v>
      </c>
      <c r="AP2142" s="1" t="s">
        <v>1962</v>
      </c>
      <c r="AQ2142" s="1" t="s">
        <v>74</v>
      </c>
      <c r="AR2142" s="1" t="s">
        <v>1963</v>
      </c>
      <c r="AS2142" s="1" t="s">
        <v>1964</v>
      </c>
      <c r="AT2142" s="1" t="s">
        <v>24494</v>
      </c>
      <c r="AU2142" s="1">
        <v>2020</v>
      </c>
      <c r="AV2142" s="1">
        <v>255</v>
      </c>
      <c r="AW2142" s="1" t="s">
        <v>74</v>
      </c>
      <c r="AX2142" s="1" t="s">
        <v>74</v>
      </c>
      <c r="AY2142" s="1" t="s">
        <v>74</v>
      </c>
      <c r="AZ2142" s="1" t="s">
        <v>74</v>
      </c>
      <c r="BA2142" s="1" t="s">
        <v>74</v>
      </c>
      <c r="BB2142" s="1" t="s">
        <v>74</v>
      </c>
      <c r="BC2142" s="1" t="s">
        <v>74</v>
      </c>
      <c r="BD2142" s="1">
        <v>120276</v>
      </c>
      <c r="BE2142" s="1" t="s">
        <v>34459</v>
      </c>
      <c r="BF2142" s="1" t="str">
        <f>HYPERLINK("http://dx.doi.org/10.1016/j.jclepro.2020.120276","http://dx.doi.org/10.1016/j.jclepro.2020.120276")</f>
        <v>http://dx.doi.org/10.1016/j.jclepro.2020.120276</v>
      </c>
      <c r="BG2142" s="1" t="s">
        <v>74</v>
      </c>
      <c r="BH2142" s="1" t="s">
        <v>74</v>
      </c>
      <c r="BI2142" s="1">
        <v>11</v>
      </c>
      <c r="BJ2142" s="1" t="s">
        <v>1967</v>
      </c>
      <c r="BK2142" s="1" t="s">
        <v>96</v>
      </c>
      <c r="BL2142" s="1" t="s">
        <v>1968</v>
      </c>
      <c r="BM2142" s="1" t="s">
        <v>34460</v>
      </c>
      <c r="BN2142" s="1" t="s">
        <v>74</v>
      </c>
      <c r="BO2142" s="1" t="s">
        <v>74</v>
      </c>
      <c r="BP2142" s="1" t="s">
        <v>74</v>
      </c>
      <c r="BQ2142" s="1" t="s">
        <v>74</v>
      </c>
      <c r="BR2142" s="1" t="s">
        <v>98</v>
      </c>
      <c r="BS2142" s="1" t="s">
        <v>34461</v>
      </c>
      <c r="BT2142" s="1" t="str">
        <f>HYPERLINK("https%3A%2F%2Fwww.webofscience.com%2Fwos%2Fwoscc%2Ffull-record%2FWOS:000520953200047","View Full Record in Web of Science")</f>
        <v>View Full Record in Web of Science</v>
      </c>
      <c r="BU2142" s="1"/>
      <c r="BV2142" s="1"/>
    </row>
    <row r="2143" spans="1:74">
      <c r="A2143" s="1" t="s">
        <v>72</v>
      </c>
      <c r="B2143" s="1" t="s">
        <v>34462</v>
      </c>
      <c r="C2143" s="1" t="s">
        <v>74</v>
      </c>
      <c r="D2143" s="1" t="s">
        <v>74</v>
      </c>
      <c r="E2143" s="1" t="s">
        <v>74</v>
      </c>
      <c r="F2143" s="1" t="s">
        <v>34463</v>
      </c>
      <c r="G2143" s="1" t="s">
        <v>74</v>
      </c>
      <c r="H2143" s="1" t="s">
        <v>74</v>
      </c>
      <c r="I2143" s="1" t="s">
        <v>34464</v>
      </c>
      <c r="J2143" s="1" t="s">
        <v>3349</v>
      </c>
      <c r="K2143" s="1" t="s">
        <v>74</v>
      </c>
      <c r="L2143" s="1" t="s">
        <v>74</v>
      </c>
      <c r="M2143" s="1" t="s">
        <v>78</v>
      </c>
      <c r="N2143" s="1" t="s">
        <v>79</v>
      </c>
      <c r="O2143" s="1" t="s">
        <v>74</v>
      </c>
      <c r="P2143" s="1" t="s">
        <v>74</v>
      </c>
      <c r="Q2143" s="1" t="s">
        <v>74</v>
      </c>
      <c r="R2143" s="1" t="s">
        <v>74</v>
      </c>
      <c r="S2143" s="1" t="s">
        <v>74</v>
      </c>
      <c r="T2143" s="1" t="s">
        <v>34465</v>
      </c>
      <c r="U2143" s="1" t="s">
        <v>34466</v>
      </c>
      <c r="V2143" s="1" t="s">
        <v>34467</v>
      </c>
      <c r="W2143" s="1" t="s">
        <v>34468</v>
      </c>
      <c r="X2143" s="1" t="s">
        <v>34469</v>
      </c>
      <c r="Y2143" s="1" t="s">
        <v>34470</v>
      </c>
      <c r="Z2143" s="1" t="s">
        <v>34471</v>
      </c>
      <c r="AA2143" s="1" t="s">
        <v>34472</v>
      </c>
      <c r="AB2143" s="1" t="s">
        <v>34473</v>
      </c>
      <c r="AC2143" s="1" t="s">
        <v>34474</v>
      </c>
      <c r="AD2143" s="1" t="s">
        <v>34474</v>
      </c>
      <c r="AE2143" s="1" t="s">
        <v>34475</v>
      </c>
      <c r="AF2143" s="1" t="s">
        <v>74</v>
      </c>
      <c r="AG2143" s="1">
        <v>84</v>
      </c>
      <c r="AH2143" s="1">
        <v>0</v>
      </c>
      <c r="AI2143" s="1">
        <v>0</v>
      </c>
      <c r="AJ2143" s="1">
        <v>3</v>
      </c>
      <c r="AK2143" s="1">
        <v>3</v>
      </c>
      <c r="AL2143" s="1" t="s">
        <v>3362</v>
      </c>
      <c r="AM2143" s="1" t="s">
        <v>3363</v>
      </c>
      <c r="AN2143" s="1" t="s">
        <v>3364</v>
      </c>
      <c r="AO2143" s="1" t="s">
        <v>3365</v>
      </c>
      <c r="AP2143" s="1" t="s">
        <v>3366</v>
      </c>
      <c r="AQ2143" s="1" t="s">
        <v>74</v>
      </c>
      <c r="AR2143" s="1" t="s">
        <v>3367</v>
      </c>
      <c r="AS2143" s="1" t="s">
        <v>3368</v>
      </c>
      <c r="AT2143" s="1" t="s">
        <v>3542</v>
      </c>
      <c r="AU2143" s="1">
        <v>2024</v>
      </c>
      <c r="AV2143" s="1">
        <v>284</v>
      </c>
      <c r="AW2143" s="1" t="s">
        <v>74</v>
      </c>
      <c r="AX2143" s="1" t="s">
        <v>74</v>
      </c>
      <c r="AY2143" s="1" t="s">
        <v>74</v>
      </c>
      <c r="AZ2143" s="1" t="s">
        <v>74</v>
      </c>
      <c r="BA2143" s="1" t="s">
        <v>74</v>
      </c>
      <c r="BB2143" s="1" t="s">
        <v>74</v>
      </c>
      <c r="BC2143" s="1" t="s">
        <v>74</v>
      </c>
      <c r="BD2143" s="1">
        <v>116873</v>
      </c>
      <c r="BE2143" s="1" t="s">
        <v>34476</v>
      </c>
      <c r="BF2143" s="1" t="str">
        <f>HYPERLINK("http://dx.doi.org/10.1016/j.ecoenv.2024.116873","http://dx.doi.org/10.1016/j.ecoenv.2024.116873")</f>
        <v>http://dx.doi.org/10.1016/j.ecoenv.2024.116873</v>
      </c>
      <c r="BG2143" s="1" t="s">
        <v>74</v>
      </c>
      <c r="BH2143" s="1" t="s">
        <v>10999</v>
      </c>
      <c r="BI2143" s="1">
        <v>11</v>
      </c>
      <c r="BJ2143" s="1" t="s">
        <v>121</v>
      </c>
      <c r="BK2143" s="1" t="s">
        <v>96</v>
      </c>
      <c r="BL2143" s="1" t="s">
        <v>122</v>
      </c>
      <c r="BM2143" s="1" t="s">
        <v>34477</v>
      </c>
      <c r="BN2143" s="1">
        <v>39151369</v>
      </c>
      <c r="BO2143" s="1" t="s">
        <v>74</v>
      </c>
      <c r="BP2143" s="1" t="s">
        <v>74</v>
      </c>
      <c r="BQ2143" s="1" t="s">
        <v>74</v>
      </c>
      <c r="BR2143" s="1" t="s">
        <v>98</v>
      </c>
      <c r="BS2143" s="1" t="s">
        <v>34478</v>
      </c>
      <c r="BT2143" s="1" t="str">
        <f>HYPERLINK("https%3A%2F%2Fwww.webofscience.com%2Fwos%2Fwoscc%2Ffull-record%2FWOS:001297204500001","View Full Record in Web of Science")</f>
        <v>View Full Record in Web of Science</v>
      </c>
      <c r="BU2143" s="1"/>
      <c r="BV2143" s="1"/>
    </row>
    <row r="2144" spans="1:74">
      <c r="A2144" s="1" t="s">
        <v>72</v>
      </c>
      <c r="B2144" s="1" t="s">
        <v>34479</v>
      </c>
      <c r="C2144" s="1" t="s">
        <v>74</v>
      </c>
      <c r="D2144" s="1" t="s">
        <v>74</v>
      </c>
      <c r="E2144" s="1" t="s">
        <v>74</v>
      </c>
      <c r="F2144" s="1" t="s">
        <v>34480</v>
      </c>
      <c r="G2144" s="1" t="s">
        <v>74</v>
      </c>
      <c r="H2144" s="1" t="s">
        <v>74</v>
      </c>
      <c r="I2144" s="1" t="s">
        <v>34481</v>
      </c>
      <c r="J2144" s="1" t="s">
        <v>275</v>
      </c>
      <c r="K2144" s="1" t="s">
        <v>74</v>
      </c>
      <c r="L2144" s="1" t="s">
        <v>74</v>
      </c>
      <c r="M2144" s="1" t="s">
        <v>78</v>
      </c>
      <c r="N2144" s="1" t="s">
        <v>79</v>
      </c>
      <c r="O2144" s="1" t="s">
        <v>74</v>
      </c>
      <c r="P2144" s="1" t="s">
        <v>74</v>
      </c>
      <c r="Q2144" s="1" t="s">
        <v>74</v>
      </c>
      <c r="R2144" s="1" t="s">
        <v>74</v>
      </c>
      <c r="S2144" s="1" t="s">
        <v>74</v>
      </c>
      <c r="T2144" s="1" t="s">
        <v>34482</v>
      </c>
      <c r="U2144" s="1" t="s">
        <v>34483</v>
      </c>
      <c r="V2144" s="1" t="s">
        <v>34484</v>
      </c>
      <c r="W2144" s="1" t="s">
        <v>34485</v>
      </c>
      <c r="X2144" s="1" t="s">
        <v>34486</v>
      </c>
      <c r="Y2144" s="1" t="s">
        <v>34487</v>
      </c>
      <c r="Z2144" s="1" t="s">
        <v>34488</v>
      </c>
      <c r="AA2144" s="1" t="s">
        <v>34489</v>
      </c>
      <c r="AB2144" s="1" t="s">
        <v>34490</v>
      </c>
      <c r="AC2144" s="1" t="s">
        <v>34491</v>
      </c>
      <c r="AD2144" s="1" t="s">
        <v>34492</v>
      </c>
      <c r="AE2144" s="1" t="s">
        <v>34493</v>
      </c>
      <c r="AF2144" s="1" t="s">
        <v>74</v>
      </c>
      <c r="AG2144" s="1">
        <v>80</v>
      </c>
      <c r="AH2144" s="1">
        <v>17</v>
      </c>
      <c r="AI2144" s="1">
        <v>17</v>
      </c>
      <c r="AJ2144" s="1">
        <v>2</v>
      </c>
      <c r="AK2144" s="1">
        <v>33</v>
      </c>
      <c r="AL2144" s="1" t="s">
        <v>285</v>
      </c>
      <c r="AM2144" s="1" t="s">
        <v>286</v>
      </c>
      <c r="AN2144" s="1" t="s">
        <v>287</v>
      </c>
      <c r="AO2144" s="1" t="s">
        <v>288</v>
      </c>
      <c r="AP2144" s="1" t="s">
        <v>289</v>
      </c>
      <c r="AQ2144" s="1" t="s">
        <v>74</v>
      </c>
      <c r="AR2144" s="1" t="s">
        <v>290</v>
      </c>
      <c r="AS2144" s="1" t="s">
        <v>291</v>
      </c>
      <c r="AT2144" s="1" t="s">
        <v>119</v>
      </c>
      <c r="AU2144" s="1">
        <v>2017</v>
      </c>
      <c r="AV2144" s="1">
        <v>67</v>
      </c>
      <c r="AW2144" s="1" t="s">
        <v>74</v>
      </c>
      <c r="AX2144" s="1" t="s">
        <v>74</v>
      </c>
      <c r="AY2144" s="1" t="s">
        <v>74</v>
      </c>
      <c r="AZ2144" s="1" t="s">
        <v>74</v>
      </c>
      <c r="BA2144" s="1" t="s">
        <v>74</v>
      </c>
      <c r="BB2144" s="1">
        <v>110</v>
      </c>
      <c r="BC2144" s="1">
        <v>118</v>
      </c>
      <c r="BD2144" s="1" t="s">
        <v>74</v>
      </c>
      <c r="BE2144" s="1" t="s">
        <v>34494</v>
      </c>
      <c r="BF2144" s="1" t="str">
        <f>HYPERLINK("http://dx.doi.org/10.1016/j.fsi.2017.06.008","http://dx.doi.org/10.1016/j.fsi.2017.06.008")</f>
        <v>http://dx.doi.org/10.1016/j.fsi.2017.06.008</v>
      </c>
      <c r="BG2144" s="1" t="s">
        <v>74</v>
      </c>
      <c r="BH2144" s="1" t="s">
        <v>74</v>
      </c>
      <c r="BI2144" s="1">
        <v>9</v>
      </c>
      <c r="BJ2144" s="1" t="s">
        <v>293</v>
      </c>
      <c r="BK2144" s="1" t="s">
        <v>96</v>
      </c>
      <c r="BL2144" s="1" t="s">
        <v>293</v>
      </c>
      <c r="BM2144" s="1" t="s">
        <v>34495</v>
      </c>
      <c r="BN2144" s="1">
        <v>28602678</v>
      </c>
      <c r="BO2144" s="1" t="s">
        <v>74</v>
      </c>
      <c r="BP2144" s="1" t="s">
        <v>74</v>
      </c>
      <c r="BQ2144" s="1" t="s">
        <v>74</v>
      </c>
      <c r="BR2144" s="1" t="s">
        <v>98</v>
      </c>
      <c r="BS2144" s="1" t="s">
        <v>34496</v>
      </c>
      <c r="BT2144" s="1" t="str">
        <f>HYPERLINK("https%3A%2F%2Fwww.webofscience.com%2Fwos%2Fwoscc%2Ffull-record%2FWOS:000406726300013","View Full Record in Web of Science")</f>
        <v>View Full Record in Web of Science</v>
      </c>
      <c r="BU2144" s="1"/>
      <c r="BV2144" s="1"/>
    </row>
    <row r="2145" spans="1:74">
      <c r="A2145" s="1" t="s">
        <v>72</v>
      </c>
      <c r="B2145" s="1" t="s">
        <v>34497</v>
      </c>
      <c r="C2145" s="1" t="s">
        <v>74</v>
      </c>
      <c r="D2145" s="1" t="s">
        <v>74</v>
      </c>
      <c r="E2145" s="1" t="s">
        <v>74</v>
      </c>
      <c r="F2145" s="1" t="s">
        <v>34498</v>
      </c>
      <c r="G2145" s="1" t="s">
        <v>74</v>
      </c>
      <c r="H2145" s="1" t="s">
        <v>74</v>
      </c>
      <c r="I2145" s="1" t="s">
        <v>34499</v>
      </c>
      <c r="J2145" s="1" t="s">
        <v>232</v>
      </c>
      <c r="K2145" s="1" t="s">
        <v>74</v>
      </c>
      <c r="L2145" s="1" t="s">
        <v>74</v>
      </c>
      <c r="M2145" s="1" t="s">
        <v>78</v>
      </c>
      <c r="N2145" s="1" t="s">
        <v>79</v>
      </c>
      <c r="O2145" s="1" t="s">
        <v>74</v>
      </c>
      <c r="P2145" s="1" t="s">
        <v>74</v>
      </c>
      <c r="Q2145" s="1" t="s">
        <v>74</v>
      </c>
      <c r="R2145" s="1" t="s">
        <v>74</v>
      </c>
      <c r="S2145" s="1" t="s">
        <v>74</v>
      </c>
      <c r="T2145" s="1" t="s">
        <v>34500</v>
      </c>
      <c r="U2145" s="1" t="s">
        <v>34501</v>
      </c>
      <c r="V2145" s="1" t="s">
        <v>34502</v>
      </c>
      <c r="W2145" s="1" t="s">
        <v>34503</v>
      </c>
      <c r="X2145" s="1" t="s">
        <v>34504</v>
      </c>
      <c r="Y2145" s="1" t="s">
        <v>34505</v>
      </c>
      <c r="Z2145" s="1" t="s">
        <v>34506</v>
      </c>
      <c r="AA2145" s="1" t="s">
        <v>74</v>
      </c>
      <c r="AB2145" s="1" t="s">
        <v>34507</v>
      </c>
      <c r="AC2145" s="1" t="s">
        <v>34508</v>
      </c>
      <c r="AD2145" s="1" t="s">
        <v>34509</v>
      </c>
      <c r="AE2145" s="1" t="s">
        <v>34510</v>
      </c>
      <c r="AF2145" s="1" t="s">
        <v>74</v>
      </c>
      <c r="AG2145" s="1">
        <v>43</v>
      </c>
      <c r="AH2145" s="1">
        <v>0</v>
      </c>
      <c r="AI2145" s="1">
        <v>0</v>
      </c>
      <c r="AJ2145" s="1">
        <v>0</v>
      </c>
      <c r="AK2145" s="1">
        <v>0</v>
      </c>
      <c r="AL2145" s="1" t="s">
        <v>136</v>
      </c>
      <c r="AM2145" s="1" t="s">
        <v>137</v>
      </c>
      <c r="AN2145" s="1" t="s">
        <v>138</v>
      </c>
      <c r="AO2145" s="1" t="s">
        <v>240</v>
      </c>
      <c r="AP2145" s="1" t="s">
        <v>241</v>
      </c>
      <c r="AQ2145" s="1" t="s">
        <v>74</v>
      </c>
      <c r="AR2145" s="1" t="s">
        <v>242</v>
      </c>
      <c r="AS2145" s="1" t="s">
        <v>243</v>
      </c>
      <c r="AT2145" s="1" t="s">
        <v>951</v>
      </c>
      <c r="AU2145" s="1">
        <v>2023</v>
      </c>
      <c r="AV2145" s="1">
        <v>196</v>
      </c>
      <c r="AW2145" s="1" t="s">
        <v>74</v>
      </c>
      <c r="AX2145" s="1" t="s">
        <v>74</v>
      </c>
      <c r="AY2145" s="1" t="s">
        <v>74</v>
      </c>
      <c r="AZ2145" s="1" t="s">
        <v>74</v>
      </c>
      <c r="BA2145" s="1" t="s">
        <v>74</v>
      </c>
      <c r="BB2145" s="1" t="s">
        <v>74</v>
      </c>
      <c r="BC2145" s="1" t="s">
        <v>74</v>
      </c>
      <c r="BD2145" s="1">
        <v>115623</v>
      </c>
      <c r="BE2145" s="1" t="s">
        <v>34511</v>
      </c>
      <c r="BF2145" s="1" t="str">
        <f>HYPERLINK("http://dx.doi.org/10.1016/j.marpolbul.2023.115623","http://dx.doi.org/10.1016/j.marpolbul.2023.115623")</f>
        <v>http://dx.doi.org/10.1016/j.marpolbul.2023.115623</v>
      </c>
      <c r="BG2145" s="1" t="s">
        <v>74</v>
      </c>
      <c r="BH2145" s="1" t="s">
        <v>26143</v>
      </c>
      <c r="BI2145" s="1">
        <v>11</v>
      </c>
      <c r="BJ2145" s="1" t="s">
        <v>247</v>
      </c>
      <c r="BK2145" s="1" t="s">
        <v>96</v>
      </c>
      <c r="BL2145" s="1" t="s">
        <v>248</v>
      </c>
      <c r="BM2145" s="1" t="s">
        <v>34512</v>
      </c>
      <c r="BN2145" s="1">
        <v>37864865</v>
      </c>
      <c r="BO2145" s="1" t="s">
        <v>74</v>
      </c>
      <c r="BP2145" s="1" t="s">
        <v>74</v>
      </c>
      <c r="BQ2145" s="1" t="s">
        <v>74</v>
      </c>
      <c r="BR2145" s="1" t="s">
        <v>98</v>
      </c>
      <c r="BS2145" s="1" t="s">
        <v>34513</v>
      </c>
      <c r="BT2145" s="1" t="str">
        <f>HYPERLINK("https%3A%2F%2Fwww.webofscience.com%2Fwos%2Fwoscc%2Ffull-record%2FWOS:001106783800001","View Full Record in Web of Science")</f>
        <v>View Full Record in Web of Science</v>
      </c>
      <c r="BU2145" s="1"/>
      <c r="BV2145" s="1"/>
    </row>
    <row r="2146" spans="1:74">
      <c r="A2146" s="1" t="s">
        <v>72</v>
      </c>
      <c r="B2146" s="1" t="s">
        <v>34514</v>
      </c>
      <c r="C2146" s="1" t="s">
        <v>74</v>
      </c>
      <c r="D2146" s="1" t="s">
        <v>74</v>
      </c>
      <c r="E2146" s="1" t="s">
        <v>74</v>
      </c>
      <c r="F2146" s="1" t="s">
        <v>34515</v>
      </c>
      <c r="G2146" s="1" t="s">
        <v>74</v>
      </c>
      <c r="H2146" s="1" t="s">
        <v>74</v>
      </c>
      <c r="I2146" s="1" t="s">
        <v>34516</v>
      </c>
      <c r="J2146" s="1" t="s">
        <v>34517</v>
      </c>
      <c r="K2146" s="1" t="s">
        <v>74</v>
      </c>
      <c r="L2146" s="1" t="s">
        <v>74</v>
      </c>
      <c r="M2146" s="1" t="s">
        <v>78</v>
      </c>
      <c r="N2146" s="1" t="s">
        <v>79</v>
      </c>
      <c r="O2146" s="1" t="s">
        <v>74</v>
      </c>
      <c r="P2146" s="1" t="s">
        <v>74</v>
      </c>
      <c r="Q2146" s="1" t="s">
        <v>74</v>
      </c>
      <c r="R2146" s="1" t="s">
        <v>74</v>
      </c>
      <c r="S2146" s="1" t="s">
        <v>74</v>
      </c>
      <c r="T2146" s="1" t="s">
        <v>34518</v>
      </c>
      <c r="U2146" s="1" t="s">
        <v>34519</v>
      </c>
      <c r="V2146" s="1" t="s">
        <v>34520</v>
      </c>
      <c r="W2146" s="1" t="s">
        <v>34521</v>
      </c>
      <c r="X2146" s="1" t="s">
        <v>34522</v>
      </c>
      <c r="Y2146" s="1" t="s">
        <v>34523</v>
      </c>
      <c r="Z2146" s="1" t="s">
        <v>34524</v>
      </c>
      <c r="AA2146" s="1" t="s">
        <v>34525</v>
      </c>
      <c r="AB2146" s="1" t="s">
        <v>34526</v>
      </c>
      <c r="AC2146" s="1" t="s">
        <v>34527</v>
      </c>
      <c r="AD2146" s="1" t="s">
        <v>34527</v>
      </c>
      <c r="AE2146" s="1" t="s">
        <v>34528</v>
      </c>
      <c r="AF2146" s="1" t="s">
        <v>74</v>
      </c>
      <c r="AG2146" s="1">
        <v>40</v>
      </c>
      <c r="AH2146" s="1">
        <v>8</v>
      </c>
      <c r="AI2146" s="1">
        <v>9</v>
      </c>
      <c r="AJ2146" s="1">
        <v>0</v>
      </c>
      <c r="AK2146" s="1">
        <v>16</v>
      </c>
      <c r="AL2146" s="1" t="s">
        <v>18255</v>
      </c>
      <c r="AM2146" s="1" t="s">
        <v>286</v>
      </c>
      <c r="AN2146" s="1" t="s">
        <v>18256</v>
      </c>
      <c r="AO2146" s="1" t="s">
        <v>34529</v>
      </c>
      <c r="AP2146" s="1" t="s">
        <v>74</v>
      </c>
      <c r="AQ2146" s="1" t="s">
        <v>74</v>
      </c>
      <c r="AR2146" s="1" t="s">
        <v>34530</v>
      </c>
      <c r="AS2146" s="1" t="s">
        <v>34531</v>
      </c>
      <c r="AT2146" s="1" t="s">
        <v>74</v>
      </c>
      <c r="AU2146" s="1">
        <v>2010</v>
      </c>
      <c r="AV2146" s="1">
        <v>10</v>
      </c>
      <c r="AW2146" s="1" t="s">
        <v>74</v>
      </c>
      <c r="AX2146" s="1" t="s">
        <v>74</v>
      </c>
      <c r="AY2146" s="1" t="s">
        <v>74</v>
      </c>
      <c r="AZ2146" s="1" t="s">
        <v>74</v>
      </c>
      <c r="BA2146" s="1" t="s">
        <v>74</v>
      </c>
      <c r="BB2146" s="1">
        <v>1971</v>
      </c>
      <c r="BC2146" s="1">
        <v>1987</v>
      </c>
      <c r="BD2146" s="1" t="s">
        <v>74</v>
      </c>
      <c r="BE2146" s="1" t="s">
        <v>34532</v>
      </c>
      <c r="BF2146" s="1" t="str">
        <f>HYPERLINK("http://dx.doi.org/10.1100/tsw.2010.197","http://dx.doi.org/10.1100/tsw.2010.197")</f>
        <v>http://dx.doi.org/10.1100/tsw.2010.197</v>
      </c>
      <c r="BG2146" s="1" t="s">
        <v>74</v>
      </c>
      <c r="BH2146" s="1" t="s">
        <v>74</v>
      </c>
      <c r="BI2146" s="1">
        <v>17</v>
      </c>
      <c r="BJ2146" s="1" t="s">
        <v>34533</v>
      </c>
      <c r="BK2146" s="1" t="s">
        <v>96</v>
      </c>
      <c r="BL2146" s="1" t="s">
        <v>34534</v>
      </c>
      <c r="BM2146" s="1" t="s">
        <v>34535</v>
      </c>
      <c r="BN2146" s="1">
        <v>20953547</v>
      </c>
      <c r="BO2146" s="1" t="s">
        <v>5306</v>
      </c>
      <c r="BP2146" s="1" t="s">
        <v>74</v>
      </c>
      <c r="BQ2146" s="1" t="s">
        <v>74</v>
      </c>
      <c r="BR2146" s="1" t="s">
        <v>98</v>
      </c>
      <c r="BS2146" s="1" t="s">
        <v>34536</v>
      </c>
      <c r="BT2146" s="1" t="str">
        <f>HYPERLINK("https%3A%2F%2Fwww.webofscience.com%2Fwos%2Fwoscc%2Ffull-record%2FWOS:000283072200001","View Full Record in Web of Science")</f>
        <v>View Full Record in Web of Science</v>
      </c>
      <c r="BU2146" s="1"/>
      <c r="BV2146" s="1"/>
    </row>
    <row r="2147" spans="1:74">
      <c r="A2147" s="1" t="s">
        <v>72</v>
      </c>
      <c r="B2147" s="1" t="s">
        <v>34537</v>
      </c>
      <c r="C2147" s="1" t="s">
        <v>74</v>
      </c>
      <c r="D2147" s="1" t="s">
        <v>74</v>
      </c>
      <c r="E2147" s="1" t="s">
        <v>74</v>
      </c>
      <c r="F2147" s="1" t="s">
        <v>34538</v>
      </c>
      <c r="G2147" s="1" t="s">
        <v>74</v>
      </c>
      <c r="H2147" s="1" t="s">
        <v>74</v>
      </c>
      <c r="I2147" s="1" t="s">
        <v>34539</v>
      </c>
      <c r="J2147" s="1" t="s">
        <v>103</v>
      </c>
      <c r="K2147" s="1" t="s">
        <v>74</v>
      </c>
      <c r="L2147" s="1" t="s">
        <v>74</v>
      </c>
      <c r="M2147" s="1" t="s">
        <v>78</v>
      </c>
      <c r="N2147" s="1" t="s">
        <v>79</v>
      </c>
      <c r="O2147" s="1" t="s">
        <v>74</v>
      </c>
      <c r="P2147" s="1" t="s">
        <v>74</v>
      </c>
      <c r="Q2147" s="1" t="s">
        <v>74</v>
      </c>
      <c r="R2147" s="1" t="s">
        <v>74</v>
      </c>
      <c r="S2147" s="1" t="s">
        <v>74</v>
      </c>
      <c r="T2147" s="1" t="s">
        <v>34540</v>
      </c>
      <c r="U2147" s="1" t="s">
        <v>34541</v>
      </c>
      <c r="V2147" s="1" t="s">
        <v>34542</v>
      </c>
      <c r="W2147" s="1" t="s">
        <v>34543</v>
      </c>
      <c r="X2147" s="1" t="s">
        <v>34544</v>
      </c>
      <c r="Y2147" s="1" t="s">
        <v>34545</v>
      </c>
      <c r="Z2147" s="1" t="s">
        <v>16125</v>
      </c>
      <c r="AA2147" s="1" t="s">
        <v>34546</v>
      </c>
      <c r="AB2147" s="1" t="s">
        <v>74</v>
      </c>
      <c r="AC2147" s="1" t="s">
        <v>34547</v>
      </c>
      <c r="AD2147" s="1" t="s">
        <v>34548</v>
      </c>
      <c r="AE2147" s="1" t="s">
        <v>34549</v>
      </c>
      <c r="AF2147" s="1" t="s">
        <v>74</v>
      </c>
      <c r="AG2147" s="1">
        <v>19</v>
      </c>
      <c r="AH2147" s="1">
        <v>0</v>
      </c>
      <c r="AI2147" s="1">
        <v>0</v>
      </c>
      <c r="AJ2147" s="1">
        <v>0</v>
      </c>
      <c r="AK2147" s="1">
        <v>0</v>
      </c>
      <c r="AL2147" s="1" t="s">
        <v>112</v>
      </c>
      <c r="AM2147" s="1" t="s">
        <v>113</v>
      </c>
      <c r="AN2147" s="1" t="s">
        <v>114</v>
      </c>
      <c r="AO2147" s="1" t="s">
        <v>115</v>
      </c>
      <c r="AP2147" s="1" t="s">
        <v>116</v>
      </c>
      <c r="AQ2147" s="1" t="s">
        <v>74</v>
      </c>
      <c r="AR2147" s="1" t="s">
        <v>117</v>
      </c>
      <c r="AS2147" s="1" t="s">
        <v>118</v>
      </c>
      <c r="AT2147" s="1" t="s">
        <v>142</v>
      </c>
      <c r="AU2147" s="1">
        <v>2024</v>
      </c>
      <c r="AV2147" s="1">
        <v>112</v>
      </c>
      <c r="AW2147" s="1">
        <v>6</v>
      </c>
      <c r="AX2147" s="1" t="s">
        <v>74</v>
      </c>
      <c r="AY2147" s="1" t="s">
        <v>74</v>
      </c>
      <c r="AZ2147" s="1" t="s">
        <v>74</v>
      </c>
      <c r="BA2147" s="1" t="s">
        <v>74</v>
      </c>
      <c r="BB2147" s="1" t="s">
        <v>74</v>
      </c>
      <c r="BC2147" s="1" t="s">
        <v>74</v>
      </c>
      <c r="BD2147" s="1">
        <v>78</v>
      </c>
      <c r="BE2147" s="1" t="s">
        <v>34550</v>
      </c>
      <c r="BF2147" s="1" t="str">
        <f>HYPERLINK("http://dx.doi.org/10.1007/s00128-024-03906-w","http://dx.doi.org/10.1007/s00128-024-03906-w")</f>
        <v>http://dx.doi.org/10.1007/s00128-024-03906-w</v>
      </c>
      <c r="BG2147" s="1" t="s">
        <v>74</v>
      </c>
      <c r="BH2147" s="1" t="s">
        <v>74</v>
      </c>
      <c r="BI2147" s="1">
        <v>6</v>
      </c>
      <c r="BJ2147" s="1" t="s">
        <v>121</v>
      </c>
      <c r="BK2147" s="1" t="s">
        <v>96</v>
      </c>
      <c r="BL2147" s="1" t="s">
        <v>122</v>
      </c>
      <c r="BM2147" s="1" t="s">
        <v>34551</v>
      </c>
      <c r="BN2147" s="1">
        <v>38796607</v>
      </c>
      <c r="BO2147" s="1" t="s">
        <v>74</v>
      </c>
      <c r="BP2147" s="1" t="s">
        <v>74</v>
      </c>
      <c r="BQ2147" s="1" t="s">
        <v>74</v>
      </c>
      <c r="BR2147" s="1" t="s">
        <v>98</v>
      </c>
      <c r="BS2147" s="1" t="s">
        <v>34552</v>
      </c>
      <c r="BT2147" s="1" t="str">
        <f>HYPERLINK("https%3A%2F%2Fwww.webofscience.com%2Fwos%2Fwoscc%2Ffull-record%2FWOS:001232539400001","View Full Record in Web of Science")</f>
        <v>View Full Record in Web of Science</v>
      </c>
      <c r="BU2147" s="1"/>
      <c r="BV2147" s="1"/>
    </row>
    <row r="2148" spans="1:74">
      <c r="A2148" s="1" t="s">
        <v>72</v>
      </c>
      <c r="B2148" s="1" t="s">
        <v>34553</v>
      </c>
      <c r="C2148" s="1" t="s">
        <v>74</v>
      </c>
      <c r="D2148" s="1" t="s">
        <v>74</v>
      </c>
      <c r="E2148" s="1" t="s">
        <v>74</v>
      </c>
      <c r="F2148" s="1" t="s">
        <v>34554</v>
      </c>
      <c r="G2148" s="1" t="s">
        <v>74</v>
      </c>
      <c r="H2148" s="1" t="s">
        <v>74</v>
      </c>
      <c r="I2148" s="1" t="s">
        <v>34555</v>
      </c>
      <c r="J2148" s="1" t="s">
        <v>3349</v>
      </c>
      <c r="K2148" s="1" t="s">
        <v>74</v>
      </c>
      <c r="L2148" s="1" t="s">
        <v>74</v>
      </c>
      <c r="M2148" s="1" t="s">
        <v>78</v>
      </c>
      <c r="N2148" s="1" t="s">
        <v>79</v>
      </c>
      <c r="O2148" s="1" t="s">
        <v>74</v>
      </c>
      <c r="P2148" s="1" t="s">
        <v>74</v>
      </c>
      <c r="Q2148" s="1" t="s">
        <v>74</v>
      </c>
      <c r="R2148" s="1" t="s">
        <v>74</v>
      </c>
      <c r="S2148" s="1" t="s">
        <v>74</v>
      </c>
      <c r="T2148" s="1" t="s">
        <v>34556</v>
      </c>
      <c r="U2148" s="1" t="s">
        <v>34557</v>
      </c>
      <c r="V2148" s="1" t="s">
        <v>34558</v>
      </c>
      <c r="W2148" s="1" t="s">
        <v>34559</v>
      </c>
      <c r="X2148" s="1" t="s">
        <v>34560</v>
      </c>
      <c r="Y2148" s="1" t="s">
        <v>34561</v>
      </c>
      <c r="Z2148" s="1" t="s">
        <v>15750</v>
      </c>
      <c r="AA2148" s="1" t="s">
        <v>34562</v>
      </c>
      <c r="AB2148" s="1" t="s">
        <v>34563</v>
      </c>
      <c r="AC2148" s="1" t="s">
        <v>34564</v>
      </c>
      <c r="AD2148" s="1" t="s">
        <v>34565</v>
      </c>
      <c r="AE2148" s="1" t="s">
        <v>34566</v>
      </c>
      <c r="AF2148" s="1" t="s">
        <v>74</v>
      </c>
      <c r="AG2148" s="1">
        <v>74</v>
      </c>
      <c r="AH2148" s="1">
        <v>35</v>
      </c>
      <c r="AI2148" s="1">
        <v>35</v>
      </c>
      <c r="AJ2148" s="1">
        <v>0</v>
      </c>
      <c r="AK2148" s="1">
        <v>49</v>
      </c>
      <c r="AL2148" s="1" t="s">
        <v>3362</v>
      </c>
      <c r="AM2148" s="1" t="s">
        <v>3363</v>
      </c>
      <c r="AN2148" s="1" t="s">
        <v>3364</v>
      </c>
      <c r="AO2148" s="1" t="s">
        <v>3365</v>
      </c>
      <c r="AP2148" s="1" t="s">
        <v>3366</v>
      </c>
      <c r="AQ2148" s="1" t="s">
        <v>74</v>
      </c>
      <c r="AR2148" s="1" t="s">
        <v>3367</v>
      </c>
      <c r="AS2148" s="1" t="s">
        <v>3368</v>
      </c>
      <c r="AT2148" s="1" t="s">
        <v>765</v>
      </c>
      <c r="AU2148" s="1">
        <v>2016</v>
      </c>
      <c r="AV2148" s="1">
        <v>129</v>
      </c>
      <c r="AW2148" s="1" t="s">
        <v>74</v>
      </c>
      <c r="AX2148" s="1" t="s">
        <v>74</v>
      </c>
      <c r="AY2148" s="1" t="s">
        <v>74</v>
      </c>
      <c r="AZ2148" s="1" t="s">
        <v>74</v>
      </c>
      <c r="BA2148" s="1" t="s">
        <v>74</v>
      </c>
      <c r="BB2148" s="1">
        <v>75</v>
      </c>
      <c r="BC2148" s="1">
        <v>84</v>
      </c>
      <c r="BD2148" s="1" t="s">
        <v>74</v>
      </c>
      <c r="BE2148" s="1" t="s">
        <v>34567</v>
      </c>
      <c r="BF2148" s="1" t="str">
        <f>HYPERLINK("http://dx.doi.org/10.1016/j.ecoenv.2016.03.011","http://dx.doi.org/10.1016/j.ecoenv.2016.03.011")</f>
        <v>http://dx.doi.org/10.1016/j.ecoenv.2016.03.011</v>
      </c>
      <c r="BG2148" s="1" t="s">
        <v>74</v>
      </c>
      <c r="BH2148" s="1" t="s">
        <v>74</v>
      </c>
      <c r="BI2148" s="1">
        <v>10</v>
      </c>
      <c r="BJ2148" s="1" t="s">
        <v>121</v>
      </c>
      <c r="BK2148" s="1" t="s">
        <v>96</v>
      </c>
      <c r="BL2148" s="1" t="s">
        <v>122</v>
      </c>
      <c r="BM2148" s="1" t="s">
        <v>7433</v>
      </c>
      <c r="BN2148" s="1">
        <v>26994306</v>
      </c>
      <c r="BO2148" s="1" t="s">
        <v>1752</v>
      </c>
      <c r="BP2148" s="1" t="s">
        <v>74</v>
      </c>
      <c r="BQ2148" s="1" t="s">
        <v>74</v>
      </c>
      <c r="BR2148" s="1" t="s">
        <v>98</v>
      </c>
      <c r="BS2148" s="1" t="s">
        <v>34568</v>
      </c>
      <c r="BT2148" s="1" t="str">
        <f>HYPERLINK("https%3A%2F%2Fwww.webofscience.com%2Fwos%2Fwoscc%2Ffull-record%2FWOS:000375166800010","View Full Record in Web of Science")</f>
        <v>View Full Record in Web of Science</v>
      </c>
      <c r="BU2148" s="1"/>
      <c r="BV2148" s="1"/>
    </row>
    <row r="2149" spans="1:74">
      <c r="A2149" s="1" t="s">
        <v>72</v>
      </c>
      <c r="B2149" s="1" t="s">
        <v>34569</v>
      </c>
      <c r="C2149" s="1" t="s">
        <v>74</v>
      </c>
      <c r="D2149" s="1" t="s">
        <v>74</v>
      </c>
      <c r="E2149" s="1" t="s">
        <v>74</v>
      </c>
      <c r="F2149" s="1" t="s">
        <v>34570</v>
      </c>
      <c r="G2149" s="1" t="s">
        <v>74</v>
      </c>
      <c r="H2149" s="1" t="s">
        <v>74</v>
      </c>
      <c r="I2149" s="1" t="s">
        <v>34571</v>
      </c>
      <c r="J2149" s="1" t="s">
        <v>9914</v>
      </c>
      <c r="K2149" s="1" t="s">
        <v>74</v>
      </c>
      <c r="L2149" s="1" t="s">
        <v>74</v>
      </c>
      <c r="M2149" s="1" t="s">
        <v>78</v>
      </c>
      <c r="N2149" s="1" t="s">
        <v>79</v>
      </c>
      <c r="O2149" s="1" t="s">
        <v>74</v>
      </c>
      <c r="P2149" s="1" t="s">
        <v>74</v>
      </c>
      <c r="Q2149" s="1" t="s">
        <v>74</v>
      </c>
      <c r="R2149" s="1" t="s">
        <v>74</v>
      </c>
      <c r="S2149" s="1" t="s">
        <v>74</v>
      </c>
      <c r="T2149" s="1" t="s">
        <v>34572</v>
      </c>
      <c r="U2149" s="1" t="s">
        <v>34573</v>
      </c>
      <c r="V2149" s="1" t="s">
        <v>34574</v>
      </c>
      <c r="W2149" s="1" t="s">
        <v>34575</v>
      </c>
      <c r="X2149" s="1" t="s">
        <v>34576</v>
      </c>
      <c r="Y2149" s="1" t="s">
        <v>34577</v>
      </c>
      <c r="Z2149" s="1" t="s">
        <v>34578</v>
      </c>
      <c r="AA2149" s="1" t="s">
        <v>34579</v>
      </c>
      <c r="AB2149" s="1" t="s">
        <v>34580</v>
      </c>
      <c r="AC2149" s="1" t="s">
        <v>34581</v>
      </c>
      <c r="AD2149" s="1" t="s">
        <v>34581</v>
      </c>
      <c r="AE2149" s="1" t="s">
        <v>34582</v>
      </c>
      <c r="AF2149" s="1" t="s">
        <v>74</v>
      </c>
      <c r="AG2149" s="1">
        <v>89</v>
      </c>
      <c r="AH2149" s="1">
        <v>1</v>
      </c>
      <c r="AI2149" s="1">
        <v>1</v>
      </c>
      <c r="AJ2149" s="1">
        <v>0</v>
      </c>
      <c r="AK2149" s="1">
        <v>0</v>
      </c>
      <c r="AL2149" s="1" t="s">
        <v>136</v>
      </c>
      <c r="AM2149" s="1" t="s">
        <v>137</v>
      </c>
      <c r="AN2149" s="1" t="s">
        <v>138</v>
      </c>
      <c r="AO2149" s="1" t="s">
        <v>9925</v>
      </c>
      <c r="AP2149" s="1" t="s">
        <v>34583</v>
      </c>
      <c r="AQ2149" s="1" t="s">
        <v>74</v>
      </c>
      <c r="AR2149" s="1" t="s">
        <v>9926</v>
      </c>
      <c r="AS2149" s="1" t="s">
        <v>9927</v>
      </c>
      <c r="AT2149" s="1" t="s">
        <v>765</v>
      </c>
      <c r="AU2149" s="1">
        <v>2024</v>
      </c>
      <c r="AV2149" s="1">
        <v>168</v>
      </c>
      <c r="AW2149" s="1" t="s">
        <v>74</v>
      </c>
      <c r="AX2149" s="1" t="s">
        <v>74</v>
      </c>
      <c r="AY2149" s="1" t="s">
        <v>74</v>
      </c>
      <c r="AZ2149" s="1" t="s">
        <v>74</v>
      </c>
      <c r="BA2149" s="1" t="s">
        <v>74</v>
      </c>
      <c r="BB2149" s="1" t="s">
        <v>74</v>
      </c>
      <c r="BC2149" s="1" t="s">
        <v>74</v>
      </c>
      <c r="BD2149" s="1">
        <v>106014</v>
      </c>
      <c r="BE2149" s="1" t="s">
        <v>34584</v>
      </c>
      <c r="BF2149" s="1" t="str">
        <f>HYPERLINK("http://dx.doi.org/10.1016/j.apgeochem.2024.106014","http://dx.doi.org/10.1016/j.apgeochem.2024.106014")</f>
        <v>http://dx.doi.org/10.1016/j.apgeochem.2024.106014</v>
      </c>
      <c r="BG2149" s="1" t="s">
        <v>74</v>
      </c>
      <c r="BH2149" s="1" t="s">
        <v>9434</v>
      </c>
      <c r="BI2149" s="1">
        <v>20</v>
      </c>
      <c r="BJ2149" s="1" t="s">
        <v>9863</v>
      </c>
      <c r="BK2149" s="1" t="s">
        <v>96</v>
      </c>
      <c r="BL2149" s="1" t="s">
        <v>9863</v>
      </c>
      <c r="BM2149" s="1" t="s">
        <v>34585</v>
      </c>
      <c r="BN2149" s="1" t="s">
        <v>74</v>
      </c>
      <c r="BO2149" s="1" t="s">
        <v>74</v>
      </c>
      <c r="BP2149" s="1" t="s">
        <v>74</v>
      </c>
      <c r="BQ2149" s="1" t="s">
        <v>74</v>
      </c>
      <c r="BR2149" s="1" t="s">
        <v>98</v>
      </c>
      <c r="BS2149" s="1" t="s">
        <v>34586</v>
      </c>
      <c r="BT2149" s="1" t="str">
        <f>HYPERLINK("https%3A%2F%2Fwww.webofscience.com%2Fwos%2Fwoscc%2Ffull-record%2FWOS:001236879200001","View Full Record in Web of Science")</f>
        <v>View Full Record in Web of Science</v>
      </c>
      <c r="BU2149" s="1"/>
      <c r="BV2149" s="1"/>
    </row>
    <row r="2150" spans="1:74">
      <c r="A2150" s="1" t="s">
        <v>72</v>
      </c>
      <c r="B2150" s="1" t="s">
        <v>34587</v>
      </c>
      <c r="C2150" s="1" t="s">
        <v>74</v>
      </c>
      <c r="D2150" s="1" t="s">
        <v>74</v>
      </c>
      <c r="E2150" s="1" t="s">
        <v>74</v>
      </c>
      <c r="F2150" s="1" t="s">
        <v>34588</v>
      </c>
      <c r="G2150" s="1" t="s">
        <v>74</v>
      </c>
      <c r="H2150" s="1" t="s">
        <v>74</v>
      </c>
      <c r="I2150" s="1" t="s">
        <v>34589</v>
      </c>
      <c r="J2150" s="1" t="s">
        <v>421</v>
      </c>
      <c r="K2150" s="1" t="s">
        <v>74</v>
      </c>
      <c r="L2150" s="1" t="s">
        <v>74</v>
      </c>
      <c r="M2150" s="1" t="s">
        <v>78</v>
      </c>
      <c r="N2150" s="1" t="s">
        <v>79</v>
      </c>
      <c r="O2150" s="1" t="s">
        <v>74</v>
      </c>
      <c r="P2150" s="1" t="s">
        <v>74</v>
      </c>
      <c r="Q2150" s="1" t="s">
        <v>74</v>
      </c>
      <c r="R2150" s="1" t="s">
        <v>74</v>
      </c>
      <c r="S2150" s="1" t="s">
        <v>74</v>
      </c>
      <c r="T2150" s="1" t="s">
        <v>34590</v>
      </c>
      <c r="U2150" s="1" t="s">
        <v>34591</v>
      </c>
      <c r="V2150" s="1" t="s">
        <v>34592</v>
      </c>
      <c r="W2150" s="1" t="s">
        <v>34593</v>
      </c>
      <c r="X2150" s="1" t="s">
        <v>34594</v>
      </c>
      <c r="Y2150" s="1" t="s">
        <v>34595</v>
      </c>
      <c r="Z2150" s="1" t="s">
        <v>34596</v>
      </c>
      <c r="AA2150" s="1" t="s">
        <v>34597</v>
      </c>
      <c r="AB2150" s="1" t="s">
        <v>34598</v>
      </c>
      <c r="AC2150" s="1" t="s">
        <v>74</v>
      </c>
      <c r="AD2150" s="1" t="s">
        <v>74</v>
      </c>
      <c r="AE2150" s="1" t="s">
        <v>74</v>
      </c>
      <c r="AF2150" s="1" t="s">
        <v>74</v>
      </c>
      <c r="AG2150" s="1">
        <v>47</v>
      </c>
      <c r="AH2150" s="1">
        <v>87</v>
      </c>
      <c r="AI2150" s="1">
        <v>95</v>
      </c>
      <c r="AJ2150" s="1">
        <v>0</v>
      </c>
      <c r="AK2150" s="1">
        <v>32</v>
      </c>
      <c r="AL2150" s="1" t="s">
        <v>430</v>
      </c>
      <c r="AM2150" s="1" t="s">
        <v>137</v>
      </c>
      <c r="AN2150" s="1" t="s">
        <v>431</v>
      </c>
      <c r="AO2150" s="1" t="s">
        <v>432</v>
      </c>
      <c r="AP2150" s="1" t="s">
        <v>1394</v>
      </c>
      <c r="AQ2150" s="1" t="s">
        <v>74</v>
      </c>
      <c r="AR2150" s="1" t="s">
        <v>433</v>
      </c>
      <c r="AS2150" s="1" t="s">
        <v>434</v>
      </c>
      <c r="AT2150" s="1" t="s">
        <v>93</v>
      </c>
      <c r="AU2150" s="1">
        <v>2008</v>
      </c>
      <c r="AV2150" s="1">
        <v>152</v>
      </c>
      <c r="AW2150" s="1">
        <v>3</v>
      </c>
      <c r="AX2150" s="1" t="s">
        <v>74</v>
      </c>
      <c r="AY2150" s="1" t="s">
        <v>74</v>
      </c>
      <c r="AZ2150" s="1" t="s">
        <v>74</v>
      </c>
      <c r="BA2150" s="1" t="s">
        <v>74</v>
      </c>
      <c r="BB2150" s="1">
        <v>543</v>
      </c>
      <c r="BC2150" s="1">
        <v>552</v>
      </c>
      <c r="BD2150" s="1" t="s">
        <v>74</v>
      </c>
      <c r="BE2150" s="1" t="s">
        <v>34599</v>
      </c>
      <c r="BF2150" s="1" t="str">
        <f>HYPERLINK("http://dx.doi.org/10.1016/j.envpol.2007.07.009","http://dx.doi.org/10.1016/j.envpol.2007.07.009")</f>
        <v>http://dx.doi.org/10.1016/j.envpol.2007.07.009</v>
      </c>
      <c r="BG2150" s="1" t="s">
        <v>74</v>
      </c>
      <c r="BH2150" s="1" t="s">
        <v>74</v>
      </c>
      <c r="BI2150" s="1">
        <v>10</v>
      </c>
      <c r="BJ2150" s="1" t="s">
        <v>144</v>
      </c>
      <c r="BK2150" s="1" t="s">
        <v>96</v>
      </c>
      <c r="BL2150" s="1" t="s">
        <v>145</v>
      </c>
      <c r="BM2150" s="1" t="s">
        <v>8062</v>
      </c>
      <c r="BN2150" s="1">
        <v>17703858</v>
      </c>
      <c r="BO2150" s="1" t="s">
        <v>14962</v>
      </c>
      <c r="BP2150" s="1" t="s">
        <v>74</v>
      </c>
      <c r="BQ2150" s="1" t="s">
        <v>74</v>
      </c>
      <c r="BR2150" s="1" t="s">
        <v>98</v>
      </c>
      <c r="BS2150" s="1" t="s">
        <v>34600</v>
      </c>
      <c r="BT2150" s="1" t="str">
        <f>HYPERLINK("https%3A%2F%2Fwww.webofscience.com%2Fwos%2Fwoscc%2Ffull-record%2FWOS:000255432400004","View Full Record in Web of Science")</f>
        <v>View Full Record in Web of Science</v>
      </c>
      <c r="BU2150" s="1"/>
      <c r="BV2150" s="1"/>
    </row>
    <row r="2151" spans="1:74">
      <c r="A2151" s="1" t="s">
        <v>72</v>
      </c>
      <c r="B2151" s="1" t="s">
        <v>34601</v>
      </c>
      <c r="C2151" s="1" t="s">
        <v>74</v>
      </c>
      <c r="D2151" s="1" t="s">
        <v>74</v>
      </c>
      <c r="E2151" s="1" t="s">
        <v>74</v>
      </c>
      <c r="F2151" s="1" t="s">
        <v>34602</v>
      </c>
      <c r="G2151" s="1" t="s">
        <v>74</v>
      </c>
      <c r="H2151" s="1" t="s">
        <v>74</v>
      </c>
      <c r="I2151" s="1" t="s">
        <v>34603</v>
      </c>
      <c r="J2151" s="1" t="s">
        <v>204</v>
      </c>
      <c r="K2151" s="1" t="s">
        <v>74</v>
      </c>
      <c r="L2151" s="1" t="s">
        <v>74</v>
      </c>
      <c r="M2151" s="1" t="s">
        <v>78</v>
      </c>
      <c r="N2151" s="1" t="s">
        <v>79</v>
      </c>
      <c r="O2151" s="1" t="s">
        <v>74</v>
      </c>
      <c r="P2151" s="1" t="s">
        <v>74</v>
      </c>
      <c r="Q2151" s="1" t="s">
        <v>74</v>
      </c>
      <c r="R2151" s="1" t="s">
        <v>74</v>
      </c>
      <c r="S2151" s="1" t="s">
        <v>74</v>
      </c>
      <c r="T2151" s="1" t="s">
        <v>34604</v>
      </c>
      <c r="U2151" s="1" t="s">
        <v>34605</v>
      </c>
      <c r="V2151" s="1" t="s">
        <v>34606</v>
      </c>
      <c r="W2151" s="1" t="s">
        <v>34607</v>
      </c>
      <c r="X2151" s="1" t="s">
        <v>34608</v>
      </c>
      <c r="Y2151" s="1" t="s">
        <v>34609</v>
      </c>
      <c r="Z2151" s="1" t="s">
        <v>34610</v>
      </c>
      <c r="AA2151" s="1" t="s">
        <v>13028</v>
      </c>
      <c r="AB2151" s="1" t="s">
        <v>34611</v>
      </c>
      <c r="AC2151" s="1" t="s">
        <v>74</v>
      </c>
      <c r="AD2151" s="1" t="s">
        <v>74</v>
      </c>
      <c r="AE2151" s="1" t="s">
        <v>74</v>
      </c>
      <c r="AF2151" s="1" t="s">
        <v>74</v>
      </c>
      <c r="AG2151" s="1">
        <v>89</v>
      </c>
      <c r="AH2151" s="1">
        <v>45</v>
      </c>
      <c r="AI2151" s="1">
        <v>46</v>
      </c>
      <c r="AJ2151" s="1">
        <v>1</v>
      </c>
      <c r="AK2151" s="1">
        <v>68</v>
      </c>
      <c r="AL2151" s="1" t="s">
        <v>217</v>
      </c>
      <c r="AM2151" s="1" t="s">
        <v>218</v>
      </c>
      <c r="AN2151" s="1" t="s">
        <v>219</v>
      </c>
      <c r="AO2151" s="1" t="s">
        <v>220</v>
      </c>
      <c r="AP2151" s="1" t="s">
        <v>221</v>
      </c>
      <c r="AQ2151" s="1" t="s">
        <v>74</v>
      </c>
      <c r="AR2151" s="1" t="s">
        <v>222</v>
      </c>
      <c r="AS2151" s="1" t="s">
        <v>223</v>
      </c>
      <c r="AT2151" s="1" t="s">
        <v>170</v>
      </c>
      <c r="AU2151" s="1">
        <v>2014</v>
      </c>
      <c r="AV2151" s="1">
        <v>21</v>
      </c>
      <c r="AW2151" s="1">
        <v>9</v>
      </c>
      <c r="AX2151" s="1" t="s">
        <v>74</v>
      </c>
      <c r="AY2151" s="1" t="s">
        <v>74</v>
      </c>
      <c r="AZ2151" s="1" t="s">
        <v>74</v>
      </c>
      <c r="BA2151" s="1" t="s">
        <v>74</v>
      </c>
      <c r="BB2151" s="1">
        <v>6108</v>
      </c>
      <c r="BC2151" s="1">
        <v>6123</v>
      </c>
      <c r="BD2151" s="1" t="s">
        <v>74</v>
      </c>
      <c r="BE2151" s="1" t="s">
        <v>34612</v>
      </c>
      <c r="BF2151" s="1" t="str">
        <f>HYPERLINK("http://dx.doi.org/10.1007/s11356-014-2540-5","http://dx.doi.org/10.1007/s11356-014-2540-5")</f>
        <v>http://dx.doi.org/10.1007/s11356-014-2540-5</v>
      </c>
      <c r="BG2151" s="1" t="s">
        <v>74</v>
      </c>
      <c r="BH2151" s="1" t="s">
        <v>74</v>
      </c>
      <c r="BI2151" s="1">
        <v>16</v>
      </c>
      <c r="BJ2151" s="1" t="s">
        <v>144</v>
      </c>
      <c r="BK2151" s="1" t="s">
        <v>96</v>
      </c>
      <c r="BL2151" s="1" t="s">
        <v>145</v>
      </c>
      <c r="BM2151" s="1" t="s">
        <v>34613</v>
      </c>
      <c r="BN2151" s="1">
        <v>24474562</v>
      </c>
      <c r="BO2151" s="1" t="s">
        <v>74</v>
      </c>
      <c r="BP2151" s="1" t="s">
        <v>74</v>
      </c>
      <c r="BQ2151" s="1" t="s">
        <v>74</v>
      </c>
      <c r="BR2151" s="1" t="s">
        <v>98</v>
      </c>
      <c r="BS2151" s="1" t="s">
        <v>34614</v>
      </c>
      <c r="BT2151" s="1" t="str">
        <f>HYPERLINK("https%3A%2F%2Fwww.webofscience.com%2Fwos%2Fwoscc%2Ffull-record%2FWOS:000334684700035","View Full Record in Web of Science")</f>
        <v>View Full Record in Web of Science</v>
      </c>
      <c r="BU2151" s="1"/>
      <c r="BV2151" s="1"/>
    </row>
    <row r="2152" spans="1:74">
      <c r="A2152" s="1" t="s">
        <v>72</v>
      </c>
      <c r="B2152" s="1" t="s">
        <v>34615</v>
      </c>
      <c r="C2152" s="1" t="s">
        <v>74</v>
      </c>
      <c r="D2152" s="1" t="s">
        <v>74</v>
      </c>
      <c r="E2152" s="1" t="s">
        <v>74</v>
      </c>
      <c r="F2152" s="1" t="s">
        <v>34616</v>
      </c>
      <c r="G2152" s="1" t="s">
        <v>74</v>
      </c>
      <c r="H2152" s="1" t="s">
        <v>74</v>
      </c>
      <c r="I2152" s="1" t="s">
        <v>34617</v>
      </c>
      <c r="J2152" s="1" t="s">
        <v>11045</v>
      </c>
      <c r="K2152" s="1" t="s">
        <v>74</v>
      </c>
      <c r="L2152" s="1" t="s">
        <v>74</v>
      </c>
      <c r="M2152" s="1" t="s">
        <v>78</v>
      </c>
      <c r="N2152" s="1" t="s">
        <v>79</v>
      </c>
      <c r="O2152" s="1" t="s">
        <v>74</v>
      </c>
      <c r="P2152" s="1" t="s">
        <v>74</v>
      </c>
      <c r="Q2152" s="1" t="s">
        <v>74</v>
      </c>
      <c r="R2152" s="1" t="s">
        <v>74</v>
      </c>
      <c r="S2152" s="1" t="s">
        <v>74</v>
      </c>
      <c r="T2152" s="1" t="s">
        <v>74</v>
      </c>
      <c r="U2152" s="1" t="s">
        <v>34618</v>
      </c>
      <c r="V2152" s="1" t="s">
        <v>34619</v>
      </c>
      <c r="W2152" s="1" t="s">
        <v>34620</v>
      </c>
      <c r="X2152" s="1" t="s">
        <v>22000</v>
      </c>
      <c r="Y2152" s="1" t="s">
        <v>34621</v>
      </c>
      <c r="Z2152" s="1" t="s">
        <v>34622</v>
      </c>
      <c r="AA2152" s="1" t="s">
        <v>34623</v>
      </c>
      <c r="AB2152" s="1" t="s">
        <v>34624</v>
      </c>
      <c r="AC2152" s="1" t="s">
        <v>34625</v>
      </c>
      <c r="AD2152" s="1" t="s">
        <v>34625</v>
      </c>
      <c r="AE2152" s="1" t="s">
        <v>34626</v>
      </c>
      <c r="AF2152" s="1" t="s">
        <v>74</v>
      </c>
      <c r="AG2152" s="1">
        <v>78</v>
      </c>
      <c r="AH2152" s="1">
        <v>39</v>
      </c>
      <c r="AI2152" s="1">
        <v>43</v>
      </c>
      <c r="AJ2152" s="1">
        <v>4</v>
      </c>
      <c r="AK2152" s="1">
        <v>55</v>
      </c>
      <c r="AL2152" s="1" t="s">
        <v>11056</v>
      </c>
      <c r="AM2152" s="1" t="s">
        <v>11057</v>
      </c>
      <c r="AN2152" s="1" t="s">
        <v>11058</v>
      </c>
      <c r="AO2152" s="1" t="s">
        <v>11059</v>
      </c>
      <c r="AP2152" s="1" t="s">
        <v>74</v>
      </c>
      <c r="AQ2152" s="1" t="s">
        <v>74</v>
      </c>
      <c r="AR2152" s="1" t="s">
        <v>11045</v>
      </c>
      <c r="AS2152" s="1" t="s">
        <v>11060</v>
      </c>
      <c r="AT2152" s="1" t="s">
        <v>32744</v>
      </c>
      <c r="AU2152" s="1">
        <v>2016</v>
      </c>
      <c r="AV2152" s="1">
        <v>11</v>
      </c>
      <c r="AW2152" s="1">
        <v>3</v>
      </c>
      <c r="AX2152" s="1" t="s">
        <v>74</v>
      </c>
      <c r="AY2152" s="1" t="s">
        <v>74</v>
      </c>
      <c r="AZ2152" s="1" t="s">
        <v>74</v>
      </c>
      <c r="BA2152" s="1" t="s">
        <v>74</v>
      </c>
      <c r="BB2152" s="1" t="s">
        <v>74</v>
      </c>
      <c r="BC2152" s="1" t="s">
        <v>74</v>
      </c>
      <c r="BD2152" s="1" t="s">
        <v>34627</v>
      </c>
      <c r="BE2152" s="1" t="s">
        <v>34628</v>
      </c>
      <c r="BF2152" s="1" t="str">
        <f>HYPERLINK("http://dx.doi.org/10.1371/journal.pone.0150184","http://dx.doi.org/10.1371/journal.pone.0150184")</f>
        <v>http://dx.doi.org/10.1371/journal.pone.0150184</v>
      </c>
      <c r="BG2152" s="1" t="s">
        <v>74</v>
      </c>
      <c r="BH2152" s="1" t="s">
        <v>74</v>
      </c>
      <c r="BI2152" s="1">
        <v>24</v>
      </c>
      <c r="BJ2152" s="1" t="s">
        <v>3202</v>
      </c>
      <c r="BK2152" s="1" t="s">
        <v>96</v>
      </c>
      <c r="BL2152" s="1" t="s">
        <v>3203</v>
      </c>
      <c r="BM2152" s="1" t="s">
        <v>34629</v>
      </c>
      <c r="BN2152" s="1">
        <v>26938082</v>
      </c>
      <c r="BO2152" s="1" t="s">
        <v>2155</v>
      </c>
      <c r="BP2152" s="1" t="s">
        <v>74</v>
      </c>
      <c r="BQ2152" s="1" t="s">
        <v>74</v>
      </c>
      <c r="BR2152" s="1" t="s">
        <v>98</v>
      </c>
      <c r="BS2152" s="1" t="s">
        <v>34630</v>
      </c>
      <c r="BT2152" s="1" t="str">
        <f>HYPERLINK("https%3A%2F%2Fwww.webofscience.com%2Fwos%2Fwoscc%2Ffull-record%2FWOS:000371735200060","View Full Record in Web of Science")</f>
        <v>View Full Record in Web of Science</v>
      </c>
      <c r="BU2152" s="1"/>
      <c r="BV2152" s="1"/>
    </row>
    <row r="2153" spans="1:74">
      <c r="A2153" s="1" t="s">
        <v>72</v>
      </c>
      <c r="B2153" s="1" t="s">
        <v>34631</v>
      </c>
      <c r="C2153" s="1" t="s">
        <v>74</v>
      </c>
      <c r="D2153" s="1" t="s">
        <v>74</v>
      </c>
      <c r="E2153" s="1" t="s">
        <v>74</v>
      </c>
      <c r="F2153" s="1" t="s">
        <v>34631</v>
      </c>
      <c r="G2153" s="1" t="s">
        <v>74</v>
      </c>
      <c r="H2153" s="1" t="s">
        <v>74</v>
      </c>
      <c r="I2153" s="1" t="s">
        <v>34632</v>
      </c>
      <c r="J2153" s="1" t="s">
        <v>28174</v>
      </c>
      <c r="K2153" s="1" t="s">
        <v>74</v>
      </c>
      <c r="L2153" s="1" t="s">
        <v>74</v>
      </c>
      <c r="M2153" s="1" t="s">
        <v>78</v>
      </c>
      <c r="N2153" s="1" t="s">
        <v>79</v>
      </c>
      <c r="O2153" s="1" t="s">
        <v>74</v>
      </c>
      <c r="P2153" s="1" t="s">
        <v>74</v>
      </c>
      <c r="Q2153" s="1" t="s">
        <v>74</v>
      </c>
      <c r="R2153" s="1" t="s">
        <v>74</v>
      </c>
      <c r="S2153" s="1" t="s">
        <v>74</v>
      </c>
      <c r="T2153" s="1" t="s">
        <v>34633</v>
      </c>
      <c r="U2153" s="1" t="s">
        <v>34634</v>
      </c>
      <c r="V2153" s="1" t="s">
        <v>34635</v>
      </c>
      <c r="W2153" s="1" t="s">
        <v>34636</v>
      </c>
      <c r="X2153" s="1" t="s">
        <v>5263</v>
      </c>
      <c r="Y2153" s="1" t="s">
        <v>74</v>
      </c>
      <c r="Z2153" s="1" t="s">
        <v>74</v>
      </c>
      <c r="AA2153" s="1" t="s">
        <v>74</v>
      </c>
      <c r="AB2153" s="1" t="s">
        <v>74</v>
      </c>
      <c r="AC2153" s="1" t="s">
        <v>74</v>
      </c>
      <c r="AD2153" s="1" t="s">
        <v>74</v>
      </c>
      <c r="AE2153" s="1" t="s">
        <v>74</v>
      </c>
      <c r="AF2153" s="1" t="s">
        <v>74</v>
      </c>
      <c r="AG2153" s="1">
        <v>72</v>
      </c>
      <c r="AH2153" s="1">
        <v>111</v>
      </c>
      <c r="AI2153" s="1">
        <v>117</v>
      </c>
      <c r="AJ2153" s="1">
        <v>0</v>
      </c>
      <c r="AK2153" s="1">
        <v>39</v>
      </c>
      <c r="AL2153" s="1" t="s">
        <v>34637</v>
      </c>
      <c r="AM2153" s="1" t="s">
        <v>34638</v>
      </c>
      <c r="AN2153" s="1" t="s">
        <v>34639</v>
      </c>
      <c r="AO2153" s="1" t="s">
        <v>28184</v>
      </c>
      <c r="AP2153" s="1" t="s">
        <v>74</v>
      </c>
      <c r="AQ2153" s="1" t="s">
        <v>74</v>
      </c>
      <c r="AR2153" s="1" t="s">
        <v>28186</v>
      </c>
      <c r="AS2153" s="1" t="s">
        <v>28187</v>
      </c>
      <c r="AT2153" s="1" t="s">
        <v>170</v>
      </c>
      <c r="AU2153" s="1">
        <v>1995</v>
      </c>
      <c r="AV2153" s="1">
        <v>5</v>
      </c>
      <c r="AW2153" s="1">
        <v>2</v>
      </c>
      <c r="AX2153" s="1" t="s">
        <v>74</v>
      </c>
      <c r="AY2153" s="1" t="s">
        <v>74</v>
      </c>
      <c r="AZ2153" s="1" t="s">
        <v>74</v>
      </c>
      <c r="BA2153" s="1" t="s">
        <v>74</v>
      </c>
      <c r="BB2153" s="1">
        <v>311</v>
      </c>
      <c r="BC2153" s="1">
        <v>326</v>
      </c>
      <c r="BD2153" s="1" t="s">
        <v>74</v>
      </c>
      <c r="BE2153" s="1" t="s">
        <v>34640</v>
      </c>
      <c r="BF2153" s="1" t="str">
        <f>HYPERLINK("http://dx.doi.org/10.2307/1942024","http://dx.doi.org/10.2307/1942024")</f>
        <v>http://dx.doi.org/10.2307/1942024</v>
      </c>
      <c r="BG2153" s="1" t="s">
        <v>74</v>
      </c>
      <c r="BH2153" s="1" t="s">
        <v>74</v>
      </c>
      <c r="BI2153" s="1">
        <v>16</v>
      </c>
      <c r="BJ2153" s="1" t="s">
        <v>1249</v>
      </c>
      <c r="BK2153" s="1" t="s">
        <v>96</v>
      </c>
      <c r="BL2153" s="1" t="s">
        <v>145</v>
      </c>
      <c r="BM2153" s="1" t="s">
        <v>34641</v>
      </c>
      <c r="BN2153" s="1" t="s">
        <v>74</v>
      </c>
      <c r="BO2153" s="1" t="s">
        <v>74</v>
      </c>
      <c r="BP2153" s="1" t="s">
        <v>74</v>
      </c>
      <c r="BQ2153" s="1" t="s">
        <v>74</v>
      </c>
      <c r="BR2153" s="1" t="s">
        <v>98</v>
      </c>
      <c r="BS2153" s="1" t="s">
        <v>34642</v>
      </c>
      <c r="BT2153" s="1" t="str">
        <f>HYPERLINK("https%3A%2F%2Fwww.webofscience.com%2Fwos%2Fwoscc%2Ffull-record%2FWOS:A1995QY37800010","View Full Record in Web of Science")</f>
        <v>View Full Record in Web of Science</v>
      </c>
      <c r="BU2153" s="1"/>
      <c r="BV2153" s="1"/>
    </row>
    <row r="2154" spans="1:74">
      <c r="A2154" s="1" t="s">
        <v>72</v>
      </c>
      <c r="B2154" s="1" t="s">
        <v>34643</v>
      </c>
      <c r="C2154" s="1" t="s">
        <v>74</v>
      </c>
      <c r="D2154" s="1" t="s">
        <v>74</v>
      </c>
      <c r="E2154" s="1" t="s">
        <v>74</v>
      </c>
      <c r="F2154" s="1" t="s">
        <v>34644</v>
      </c>
      <c r="G2154" s="1" t="s">
        <v>74</v>
      </c>
      <c r="H2154" s="1" t="s">
        <v>74</v>
      </c>
      <c r="I2154" s="1" t="s">
        <v>34645</v>
      </c>
      <c r="J2154" s="1" t="s">
        <v>1337</v>
      </c>
      <c r="K2154" s="1" t="s">
        <v>74</v>
      </c>
      <c r="L2154" s="1" t="s">
        <v>74</v>
      </c>
      <c r="M2154" s="1" t="s">
        <v>78</v>
      </c>
      <c r="N2154" s="1" t="s">
        <v>79</v>
      </c>
      <c r="O2154" s="1" t="s">
        <v>74</v>
      </c>
      <c r="P2154" s="1" t="s">
        <v>74</v>
      </c>
      <c r="Q2154" s="1" t="s">
        <v>74</v>
      </c>
      <c r="R2154" s="1" t="s">
        <v>74</v>
      </c>
      <c r="S2154" s="1" t="s">
        <v>74</v>
      </c>
      <c r="T2154" s="1" t="s">
        <v>34646</v>
      </c>
      <c r="U2154" s="1" t="s">
        <v>34647</v>
      </c>
      <c r="V2154" s="1" t="s">
        <v>34648</v>
      </c>
      <c r="W2154" s="1" t="s">
        <v>34649</v>
      </c>
      <c r="X2154" s="1" t="s">
        <v>34650</v>
      </c>
      <c r="Y2154" s="1" t="s">
        <v>34651</v>
      </c>
      <c r="Z2154" s="1" t="s">
        <v>34652</v>
      </c>
      <c r="AA2154" s="1" t="s">
        <v>34653</v>
      </c>
      <c r="AB2154" s="1" t="s">
        <v>74</v>
      </c>
      <c r="AC2154" s="1" t="s">
        <v>34654</v>
      </c>
      <c r="AD2154" s="1" t="s">
        <v>34655</v>
      </c>
      <c r="AE2154" s="1" t="s">
        <v>34656</v>
      </c>
      <c r="AF2154" s="1" t="s">
        <v>74</v>
      </c>
      <c r="AG2154" s="1">
        <v>52</v>
      </c>
      <c r="AH2154" s="1">
        <v>0</v>
      </c>
      <c r="AI2154" s="1">
        <v>0</v>
      </c>
      <c r="AJ2154" s="1">
        <v>2</v>
      </c>
      <c r="AK2154" s="1">
        <v>2</v>
      </c>
      <c r="AL2154" s="1" t="s">
        <v>1350</v>
      </c>
      <c r="AM2154" s="1" t="s">
        <v>1351</v>
      </c>
      <c r="AN2154" s="1" t="s">
        <v>1352</v>
      </c>
      <c r="AO2154" s="1" t="s">
        <v>74</v>
      </c>
      <c r="AP2154" s="1" t="s">
        <v>1353</v>
      </c>
      <c r="AQ2154" s="1" t="s">
        <v>74</v>
      </c>
      <c r="AR2154" s="1" t="s">
        <v>1354</v>
      </c>
      <c r="AS2154" s="1" t="s">
        <v>1355</v>
      </c>
      <c r="AT2154" s="1" t="s">
        <v>34657</v>
      </c>
      <c r="AU2154" s="1">
        <v>2024</v>
      </c>
      <c r="AV2154" s="1">
        <v>11</v>
      </c>
      <c r="AW2154" s="1" t="s">
        <v>74</v>
      </c>
      <c r="AX2154" s="1" t="s">
        <v>74</v>
      </c>
      <c r="AY2154" s="1" t="s">
        <v>74</v>
      </c>
      <c r="AZ2154" s="1" t="s">
        <v>74</v>
      </c>
      <c r="BA2154" s="1" t="s">
        <v>74</v>
      </c>
      <c r="BB2154" s="1" t="s">
        <v>74</v>
      </c>
      <c r="BC2154" s="1" t="s">
        <v>74</v>
      </c>
      <c r="BD2154" s="1">
        <v>1401552</v>
      </c>
      <c r="BE2154" s="1" t="s">
        <v>34658</v>
      </c>
      <c r="BF2154" s="1" t="str">
        <f>HYPERLINK("http://dx.doi.org/10.3389/fmars.2024.1401552","http://dx.doi.org/10.3389/fmars.2024.1401552")</f>
        <v>http://dx.doi.org/10.3389/fmars.2024.1401552</v>
      </c>
      <c r="BG2154" s="1" t="s">
        <v>74</v>
      </c>
      <c r="BH2154" s="1" t="s">
        <v>74</v>
      </c>
      <c r="BI2154" s="1">
        <v>9</v>
      </c>
      <c r="BJ2154" s="1" t="s">
        <v>247</v>
      </c>
      <c r="BK2154" s="1" t="s">
        <v>96</v>
      </c>
      <c r="BL2154" s="1" t="s">
        <v>248</v>
      </c>
      <c r="BM2154" s="1" t="s">
        <v>34659</v>
      </c>
      <c r="BN2154" s="1" t="s">
        <v>74</v>
      </c>
      <c r="BO2154" s="1" t="s">
        <v>873</v>
      </c>
      <c r="BP2154" s="1" t="s">
        <v>74</v>
      </c>
      <c r="BQ2154" s="1" t="s">
        <v>74</v>
      </c>
      <c r="BR2154" s="1" t="s">
        <v>98</v>
      </c>
      <c r="BS2154" s="1" t="s">
        <v>34660</v>
      </c>
      <c r="BT2154" s="1" t="str">
        <f>HYPERLINK("https%3A%2F%2Fwww.webofscience.com%2Fwos%2Fwoscc%2Ffull-record%2FWOS:001293859800001","View Full Record in Web of Science")</f>
        <v>View Full Record in Web of Science</v>
      </c>
      <c r="BU2154" s="1"/>
      <c r="BV2154" s="1"/>
    </row>
    <row r="2155" spans="1:74">
      <c r="A2155" s="1" t="s">
        <v>72</v>
      </c>
      <c r="B2155" s="1" t="s">
        <v>34661</v>
      </c>
      <c r="C2155" s="1" t="s">
        <v>74</v>
      </c>
      <c r="D2155" s="1" t="s">
        <v>74</v>
      </c>
      <c r="E2155" s="1" t="s">
        <v>74</v>
      </c>
      <c r="F2155" s="1" t="s">
        <v>34662</v>
      </c>
      <c r="G2155" s="1" t="s">
        <v>74</v>
      </c>
      <c r="H2155" s="1" t="s">
        <v>74</v>
      </c>
      <c r="I2155" s="1" t="s">
        <v>34663</v>
      </c>
      <c r="J2155" s="1" t="s">
        <v>2688</v>
      </c>
      <c r="K2155" s="1" t="s">
        <v>74</v>
      </c>
      <c r="L2155" s="1" t="s">
        <v>74</v>
      </c>
      <c r="M2155" s="1" t="s">
        <v>78</v>
      </c>
      <c r="N2155" s="1" t="s">
        <v>79</v>
      </c>
      <c r="O2155" s="1" t="s">
        <v>74</v>
      </c>
      <c r="P2155" s="1" t="s">
        <v>74</v>
      </c>
      <c r="Q2155" s="1" t="s">
        <v>74</v>
      </c>
      <c r="R2155" s="1" t="s">
        <v>74</v>
      </c>
      <c r="S2155" s="1" t="s">
        <v>74</v>
      </c>
      <c r="T2155" s="1" t="s">
        <v>34664</v>
      </c>
      <c r="U2155" s="1" t="s">
        <v>34665</v>
      </c>
      <c r="V2155" s="1" t="s">
        <v>34666</v>
      </c>
      <c r="W2155" s="1" t="s">
        <v>34667</v>
      </c>
      <c r="X2155" s="1" t="s">
        <v>34668</v>
      </c>
      <c r="Y2155" s="1" t="s">
        <v>34669</v>
      </c>
      <c r="Z2155" s="1" t="s">
        <v>34670</v>
      </c>
      <c r="AA2155" s="1" t="s">
        <v>34671</v>
      </c>
      <c r="AB2155" s="1" t="s">
        <v>34672</v>
      </c>
      <c r="AC2155" s="1" t="s">
        <v>74</v>
      </c>
      <c r="AD2155" s="1" t="s">
        <v>74</v>
      </c>
      <c r="AE2155" s="1" t="s">
        <v>74</v>
      </c>
      <c r="AF2155" s="1" t="s">
        <v>74</v>
      </c>
      <c r="AG2155" s="1">
        <v>41</v>
      </c>
      <c r="AH2155" s="1">
        <v>35</v>
      </c>
      <c r="AI2155" s="1">
        <v>42</v>
      </c>
      <c r="AJ2155" s="1">
        <v>2</v>
      </c>
      <c r="AK2155" s="1">
        <v>31</v>
      </c>
      <c r="AL2155" s="1" t="s">
        <v>136</v>
      </c>
      <c r="AM2155" s="1" t="s">
        <v>137</v>
      </c>
      <c r="AN2155" s="1" t="s">
        <v>138</v>
      </c>
      <c r="AO2155" s="1" t="s">
        <v>2702</v>
      </c>
      <c r="AP2155" s="1" t="s">
        <v>74</v>
      </c>
      <c r="AQ2155" s="1" t="s">
        <v>74</v>
      </c>
      <c r="AR2155" s="1" t="s">
        <v>2703</v>
      </c>
      <c r="AS2155" s="1" t="s">
        <v>2704</v>
      </c>
      <c r="AT2155" s="1" t="s">
        <v>224</v>
      </c>
      <c r="AU2155" s="1">
        <v>2007</v>
      </c>
      <c r="AV2155" s="1">
        <v>21</v>
      </c>
      <c r="AW2155" s="1">
        <v>1</v>
      </c>
      <c r="AX2155" s="1" t="s">
        <v>74</v>
      </c>
      <c r="AY2155" s="1" t="s">
        <v>74</v>
      </c>
      <c r="AZ2155" s="1" t="s">
        <v>74</v>
      </c>
      <c r="BA2155" s="1" t="s">
        <v>74</v>
      </c>
      <c r="BB2155" s="1">
        <v>146</v>
      </c>
      <c r="BC2155" s="1">
        <v>156</v>
      </c>
      <c r="BD2155" s="1" t="s">
        <v>74</v>
      </c>
      <c r="BE2155" s="1" t="s">
        <v>34673</v>
      </c>
      <c r="BF2155" s="1" t="str">
        <f>HYPERLINK("http://dx.doi.org/10.1016/j.tiv.2006.09.017","http://dx.doi.org/10.1016/j.tiv.2006.09.017")</f>
        <v>http://dx.doi.org/10.1016/j.tiv.2006.09.017</v>
      </c>
      <c r="BG2155" s="1" t="s">
        <v>74</v>
      </c>
      <c r="BH2155" s="1" t="s">
        <v>74</v>
      </c>
      <c r="BI2155" s="1">
        <v>11</v>
      </c>
      <c r="BJ2155" s="1" t="s">
        <v>95</v>
      </c>
      <c r="BK2155" s="1" t="s">
        <v>96</v>
      </c>
      <c r="BL2155" s="1" t="s">
        <v>95</v>
      </c>
      <c r="BM2155" s="1" t="s">
        <v>34674</v>
      </c>
      <c r="BN2155" s="1">
        <v>17084585</v>
      </c>
      <c r="BO2155" s="1" t="s">
        <v>74</v>
      </c>
      <c r="BP2155" s="1" t="s">
        <v>74</v>
      </c>
      <c r="BQ2155" s="1" t="s">
        <v>74</v>
      </c>
      <c r="BR2155" s="1" t="s">
        <v>98</v>
      </c>
      <c r="BS2155" s="1" t="s">
        <v>34675</v>
      </c>
      <c r="BT2155" s="1" t="str">
        <f>HYPERLINK("https%3A%2F%2Fwww.webofscience.com%2Fwos%2Fwoscc%2Ffull-record%2FWOS:000244169500019","View Full Record in Web of Science")</f>
        <v>View Full Record in Web of Science</v>
      </c>
      <c r="BU2155" s="1"/>
      <c r="BV2155" s="1"/>
    </row>
    <row r="2156" spans="1:74">
      <c r="A2156" s="1" t="s">
        <v>72</v>
      </c>
      <c r="B2156" s="1" t="s">
        <v>34676</v>
      </c>
      <c r="C2156" s="1" t="s">
        <v>74</v>
      </c>
      <c r="D2156" s="1" t="s">
        <v>74</v>
      </c>
      <c r="E2156" s="1" t="s">
        <v>74</v>
      </c>
      <c r="F2156" s="1" t="s">
        <v>34676</v>
      </c>
      <c r="G2156" s="1" t="s">
        <v>74</v>
      </c>
      <c r="H2156" s="1" t="s">
        <v>74</v>
      </c>
      <c r="I2156" s="1" t="s">
        <v>34677</v>
      </c>
      <c r="J2156" s="1" t="s">
        <v>752</v>
      </c>
      <c r="K2156" s="1" t="s">
        <v>74</v>
      </c>
      <c r="L2156" s="1" t="s">
        <v>74</v>
      </c>
      <c r="M2156" s="1" t="s">
        <v>78</v>
      </c>
      <c r="N2156" s="1" t="s">
        <v>151</v>
      </c>
      <c r="O2156" s="1" t="s">
        <v>2433</v>
      </c>
      <c r="P2156" s="1" t="s">
        <v>2434</v>
      </c>
      <c r="Q2156" s="1" t="s">
        <v>2435</v>
      </c>
      <c r="R2156" s="1" t="s">
        <v>74</v>
      </c>
      <c r="S2156" s="1" t="s">
        <v>74</v>
      </c>
      <c r="T2156" s="1" t="s">
        <v>34678</v>
      </c>
      <c r="U2156" s="1" t="s">
        <v>34679</v>
      </c>
      <c r="V2156" s="1" t="s">
        <v>34680</v>
      </c>
      <c r="W2156" s="1" t="s">
        <v>34681</v>
      </c>
      <c r="X2156" s="1" t="s">
        <v>34682</v>
      </c>
      <c r="Y2156" s="1" t="s">
        <v>34683</v>
      </c>
      <c r="Z2156" s="1" t="s">
        <v>34684</v>
      </c>
      <c r="AA2156" s="1" t="s">
        <v>74</v>
      </c>
      <c r="AB2156" s="1" t="s">
        <v>34685</v>
      </c>
      <c r="AC2156" s="1" t="s">
        <v>74</v>
      </c>
      <c r="AD2156" s="1" t="s">
        <v>74</v>
      </c>
      <c r="AE2156" s="1" t="s">
        <v>74</v>
      </c>
      <c r="AF2156" s="1" t="s">
        <v>74</v>
      </c>
      <c r="AG2156" s="1">
        <v>8</v>
      </c>
      <c r="AH2156" s="1">
        <v>20</v>
      </c>
      <c r="AI2156" s="1">
        <v>21</v>
      </c>
      <c r="AJ2156" s="1">
        <v>0</v>
      </c>
      <c r="AK2156" s="1">
        <v>6</v>
      </c>
      <c r="AL2156" s="1" t="s">
        <v>430</v>
      </c>
      <c r="AM2156" s="1" t="s">
        <v>137</v>
      </c>
      <c r="AN2156" s="1" t="s">
        <v>431</v>
      </c>
      <c r="AO2156" s="1" t="s">
        <v>761</v>
      </c>
      <c r="AP2156" s="1" t="s">
        <v>762</v>
      </c>
      <c r="AQ2156" s="1" t="s">
        <v>74</v>
      </c>
      <c r="AR2156" s="1" t="s">
        <v>763</v>
      </c>
      <c r="AS2156" s="1" t="s">
        <v>764</v>
      </c>
      <c r="AT2156" s="1" t="s">
        <v>2445</v>
      </c>
      <c r="AU2156" s="1">
        <v>2004</v>
      </c>
      <c r="AV2156" s="1">
        <v>58</v>
      </c>
      <c r="AW2156" s="1" t="s">
        <v>2446</v>
      </c>
      <c r="AX2156" s="1" t="s">
        <v>74</v>
      </c>
      <c r="AY2156" s="1" t="s">
        <v>74</v>
      </c>
      <c r="AZ2156" s="1" t="s">
        <v>74</v>
      </c>
      <c r="BA2156" s="1" t="s">
        <v>74</v>
      </c>
      <c r="BB2156" s="1">
        <v>753</v>
      </c>
      <c r="BC2156" s="1">
        <v>756</v>
      </c>
      <c r="BD2156" s="1" t="s">
        <v>74</v>
      </c>
      <c r="BE2156" s="1" t="s">
        <v>34686</v>
      </c>
      <c r="BF2156" s="1" t="str">
        <f>HYPERLINK("http://dx.doi.org/10.1016/j.marenvres.2004.03.090","http://dx.doi.org/10.1016/j.marenvres.2004.03.090")</f>
        <v>http://dx.doi.org/10.1016/j.marenvres.2004.03.090</v>
      </c>
      <c r="BG2156" s="1" t="s">
        <v>74</v>
      </c>
      <c r="BH2156" s="1" t="s">
        <v>74</v>
      </c>
      <c r="BI2156" s="1">
        <v>4</v>
      </c>
      <c r="BJ2156" s="1" t="s">
        <v>768</v>
      </c>
      <c r="BK2156" s="1" t="s">
        <v>172</v>
      </c>
      <c r="BL2156" s="1" t="s">
        <v>769</v>
      </c>
      <c r="BM2156" s="1" t="s">
        <v>2448</v>
      </c>
      <c r="BN2156" s="1">
        <v>15178110</v>
      </c>
      <c r="BO2156" s="1" t="s">
        <v>74</v>
      </c>
      <c r="BP2156" s="1" t="s">
        <v>74</v>
      </c>
      <c r="BQ2156" s="1" t="s">
        <v>74</v>
      </c>
      <c r="BR2156" s="1" t="s">
        <v>98</v>
      </c>
      <c r="BS2156" s="1" t="s">
        <v>34687</v>
      </c>
      <c r="BT2156" s="1" t="str">
        <f>HYPERLINK("https%3A%2F%2Fwww.webofscience.com%2Fwos%2Fwoscc%2Ffull-record%2FWOS:000222199100094","View Full Record in Web of Science")</f>
        <v>View Full Record in Web of Science</v>
      </c>
      <c r="BU2156" s="1"/>
      <c r="BV2156" s="1"/>
    </row>
    <row r="2157" spans="1:74">
      <c r="A2157" s="1" t="s">
        <v>72</v>
      </c>
      <c r="B2157" s="1" t="s">
        <v>34688</v>
      </c>
      <c r="C2157" s="1" t="s">
        <v>74</v>
      </c>
      <c r="D2157" s="1" t="s">
        <v>74</v>
      </c>
      <c r="E2157" s="1" t="s">
        <v>74</v>
      </c>
      <c r="F2157" s="1" t="s">
        <v>34688</v>
      </c>
      <c r="G2157" s="1" t="s">
        <v>74</v>
      </c>
      <c r="H2157" s="1" t="s">
        <v>74</v>
      </c>
      <c r="I2157" s="1" t="s">
        <v>34689</v>
      </c>
      <c r="J2157" s="1" t="s">
        <v>752</v>
      </c>
      <c r="K2157" s="1" t="s">
        <v>74</v>
      </c>
      <c r="L2157" s="1" t="s">
        <v>74</v>
      </c>
      <c r="M2157" s="1" t="s">
        <v>78</v>
      </c>
      <c r="N2157" s="1" t="s">
        <v>151</v>
      </c>
      <c r="O2157" s="1" t="s">
        <v>34690</v>
      </c>
      <c r="P2157" s="1" t="s">
        <v>15399</v>
      </c>
      <c r="Q2157" s="1" t="s">
        <v>15400</v>
      </c>
      <c r="R2157" s="1" t="s">
        <v>74</v>
      </c>
      <c r="S2157" s="1" t="s">
        <v>15401</v>
      </c>
      <c r="T2157" s="1" t="s">
        <v>74</v>
      </c>
      <c r="U2157" s="1" t="s">
        <v>34691</v>
      </c>
      <c r="V2157" s="1" t="s">
        <v>34692</v>
      </c>
      <c r="W2157" s="1" t="s">
        <v>34693</v>
      </c>
      <c r="X2157" s="1" t="s">
        <v>34694</v>
      </c>
      <c r="Y2157" s="1" t="s">
        <v>74</v>
      </c>
      <c r="Z2157" s="1" t="s">
        <v>74</v>
      </c>
      <c r="AA2157" s="1" t="s">
        <v>74</v>
      </c>
      <c r="AB2157" s="1" t="s">
        <v>34695</v>
      </c>
      <c r="AC2157" s="1" t="s">
        <v>74</v>
      </c>
      <c r="AD2157" s="1" t="s">
        <v>74</v>
      </c>
      <c r="AE2157" s="1" t="s">
        <v>74</v>
      </c>
      <c r="AF2157" s="1" t="s">
        <v>74</v>
      </c>
      <c r="AG2157" s="1">
        <v>15</v>
      </c>
      <c r="AH2157" s="1">
        <v>44</v>
      </c>
      <c r="AI2157" s="1">
        <v>48</v>
      </c>
      <c r="AJ2157" s="1">
        <v>0</v>
      </c>
      <c r="AK2157" s="1">
        <v>2</v>
      </c>
      <c r="AL2157" s="1" t="s">
        <v>430</v>
      </c>
      <c r="AM2157" s="1" t="s">
        <v>137</v>
      </c>
      <c r="AN2157" s="1" t="s">
        <v>1600</v>
      </c>
      <c r="AO2157" s="1" t="s">
        <v>761</v>
      </c>
      <c r="AP2157" s="1" t="s">
        <v>74</v>
      </c>
      <c r="AQ2157" s="1" t="s">
        <v>74</v>
      </c>
      <c r="AR2157" s="1" t="s">
        <v>763</v>
      </c>
      <c r="AS2157" s="1" t="s">
        <v>764</v>
      </c>
      <c r="AT2157" s="1" t="s">
        <v>74</v>
      </c>
      <c r="AU2157" s="1">
        <v>1992</v>
      </c>
      <c r="AV2157" s="1">
        <v>34</v>
      </c>
      <c r="AW2157" s="1" t="s">
        <v>721</v>
      </c>
      <c r="AX2157" s="1" t="s">
        <v>74</v>
      </c>
      <c r="AY2157" s="1" t="s">
        <v>74</v>
      </c>
      <c r="AZ2157" s="1" t="s">
        <v>74</v>
      </c>
      <c r="BA2157" s="1" t="s">
        <v>74</v>
      </c>
      <c r="BB2157" s="1">
        <v>315</v>
      </c>
      <c r="BC2157" s="1">
        <v>320</v>
      </c>
      <c r="BD2157" s="1" t="s">
        <v>74</v>
      </c>
      <c r="BE2157" s="1" t="s">
        <v>34696</v>
      </c>
      <c r="BF2157" s="1" t="str">
        <f>HYPERLINK("http://dx.doi.org/10.1016/0141-1136(92)90127-8","http://dx.doi.org/10.1016/0141-1136(92)90127-8")</f>
        <v>http://dx.doi.org/10.1016/0141-1136(92)90127-8</v>
      </c>
      <c r="BG2157" s="1" t="s">
        <v>74</v>
      </c>
      <c r="BH2157" s="1" t="s">
        <v>74</v>
      </c>
      <c r="BI2157" s="1">
        <v>6</v>
      </c>
      <c r="BJ2157" s="1" t="s">
        <v>768</v>
      </c>
      <c r="BK2157" s="1" t="s">
        <v>588</v>
      </c>
      <c r="BL2157" s="1" t="s">
        <v>769</v>
      </c>
      <c r="BM2157" s="1" t="s">
        <v>17201</v>
      </c>
      <c r="BN2157" s="1" t="s">
        <v>74</v>
      </c>
      <c r="BO2157" s="1" t="s">
        <v>74</v>
      </c>
      <c r="BP2157" s="1" t="s">
        <v>74</v>
      </c>
      <c r="BQ2157" s="1" t="s">
        <v>74</v>
      </c>
      <c r="BR2157" s="1" t="s">
        <v>98</v>
      </c>
      <c r="BS2157" s="1" t="s">
        <v>34697</v>
      </c>
      <c r="BT2157" s="1" t="str">
        <f>HYPERLINK("https%3A%2F%2Fwww.webofscience.com%2Fwos%2Fwoscc%2Ffull-record%2FWOS:A1992KB00500055","View Full Record in Web of Science")</f>
        <v>View Full Record in Web of Science</v>
      </c>
      <c r="BU2157" s="1"/>
      <c r="BV2157" s="1"/>
    </row>
    <row r="2158" spans="1:74">
      <c r="A2158" s="1" t="s">
        <v>72</v>
      </c>
      <c r="B2158" s="1" t="s">
        <v>34698</v>
      </c>
      <c r="C2158" s="1" t="s">
        <v>74</v>
      </c>
      <c r="D2158" s="1" t="s">
        <v>74</v>
      </c>
      <c r="E2158" s="1" t="s">
        <v>74</v>
      </c>
      <c r="F2158" s="1" t="s">
        <v>34699</v>
      </c>
      <c r="G2158" s="1" t="s">
        <v>74</v>
      </c>
      <c r="H2158" s="1" t="s">
        <v>74</v>
      </c>
      <c r="I2158" s="1" t="s">
        <v>34700</v>
      </c>
      <c r="J2158" s="1" t="s">
        <v>909</v>
      </c>
      <c r="K2158" s="1" t="s">
        <v>74</v>
      </c>
      <c r="L2158" s="1" t="s">
        <v>74</v>
      </c>
      <c r="M2158" s="1" t="s">
        <v>78</v>
      </c>
      <c r="N2158" s="1" t="s">
        <v>79</v>
      </c>
      <c r="O2158" s="1" t="s">
        <v>74</v>
      </c>
      <c r="P2158" s="1" t="s">
        <v>74</v>
      </c>
      <c r="Q2158" s="1" t="s">
        <v>74</v>
      </c>
      <c r="R2158" s="1" t="s">
        <v>74</v>
      </c>
      <c r="S2158" s="1" t="s">
        <v>74</v>
      </c>
      <c r="T2158" s="1" t="s">
        <v>34701</v>
      </c>
      <c r="U2158" s="1" t="s">
        <v>34702</v>
      </c>
      <c r="V2158" s="1" t="s">
        <v>34703</v>
      </c>
      <c r="W2158" s="1" t="s">
        <v>34704</v>
      </c>
      <c r="X2158" s="1" t="s">
        <v>34705</v>
      </c>
      <c r="Y2158" s="1" t="s">
        <v>34706</v>
      </c>
      <c r="Z2158" s="1" t="s">
        <v>34707</v>
      </c>
      <c r="AA2158" s="1" t="s">
        <v>34708</v>
      </c>
      <c r="AB2158" s="1" t="s">
        <v>34709</v>
      </c>
      <c r="AC2158" s="1" t="s">
        <v>34710</v>
      </c>
      <c r="AD2158" s="1" t="s">
        <v>34711</v>
      </c>
      <c r="AE2158" s="1" t="s">
        <v>34712</v>
      </c>
      <c r="AF2158" s="1" t="s">
        <v>74</v>
      </c>
      <c r="AG2158" s="1">
        <v>53</v>
      </c>
      <c r="AH2158" s="1">
        <v>20</v>
      </c>
      <c r="AI2158" s="1">
        <v>22</v>
      </c>
      <c r="AJ2158" s="1">
        <v>0</v>
      </c>
      <c r="AK2158" s="1">
        <v>62</v>
      </c>
      <c r="AL2158" s="1" t="s">
        <v>650</v>
      </c>
      <c r="AM2158" s="1" t="s">
        <v>651</v>
      </c>
      <c r="AN2158" s="1" t="s">
        <v>652</v>
      </c>
      <c r="AO2158" s="1" t="s">
        <v>921</v>
      </c>
      <c r="AP2158" s="1" t="s">
        <v>922</v>
      </c>
      <c r="AQ2158" s="1" t="s">
        <v>74</v>
      </c>
      <c r="AR2158" s="1" t="s">
        <v>923</v>
      </c>
      <c r="AS2158" s="1" t="s">
        <v>924</v>
      </c>
      <c r="AT2158" s="1" t="s">
        <v>16894</v>
      </c>
      <c r="AU2158" s="1">
        <v>2016</v>
      </c>
      <c r="AV2158" s="1">
        <v>557</v>
      </c>
      <c r="AW2158" s="1" t="s">
        <v>74</v>
      </c>
      <c r="AX2158" s="1" t="s">
        <v>74</v>
      </c>
      <c r="AY2158" s="1" t="s">
        <v>74</v>
      </c>
      <c r="AZ2158" s="1" t="s">
        <v>74</v>
      </c>
      <c r="BA2158" s="1" t="s">
        <v>74</v>
      </c>
      <c r="BB2158" s="1">
        <v>20</v>
      </c>
      <c r="BC2158" s="1">
        <v>30</v>
      </c>
      <c r="BD2158" s="1" t="s">
        <v>74</v>
      </c>
      <c r="BE2158" s="1" t="s">
        <v>34713</v>
      </c>
      <c r="BF2158" s="1" t="str">
        <f>HYPERLINK("http://dx.doi.org/10.1016/j.scitotenv.2016.03.014","http://dx.doi.org/10.1016/j.scitotenv.2016.03.014")</f>
        <v>http://dx.doi.org/10.1016/j.scitotenv.2016.03.014</v>
      </c>
      <c r="BG2158" s="1" t="s">
        <v>74</v>
      </c>
      <c r="BH2158" s="1" t="s">
        <v>74</v>
      </c>
      <c r="BI2158" s="1">
        <v>11</v>
      </c>
      <c r="BJ2158" s="1" t="s">
        <v>144</v>
      </c>
      <c r="BK2158" s="1" t="s">
        <v>96</v>
      </c>
      <c r="BL2158" s="1" t="s">
        <v>145</v>
      </c>
      <c r="BM2158" s="1" t="s">
        <v>34714</v>
      </c>
      <c r="BN2158" s="1">
        <v>26994790</v>
      </c>
      <c r="BO2158" s="1" t="s">
        <v>74</v>
      </c>
      <c r="BP2158" s="1" t="s">
        <v>74</v>
      </c>
      <c r="BQ2158" s="1" t="s">
        <v>74</v>
      </c>
      <c r="BR2158" s="1" t="s">
        <v>98</v>
      </c>
      <c r="BS2158" s="1" t="s">
        <v>34715</v>
      </c>
      <c r="BT2158" s="1" t="str">
        <f>HYPERLINK("https%3A%2F%2Fwww.webofscience.com%2Fwos%2Fwoscc%2Ffull-record%2FWOS:000375136200003","View Full Record in Web of Science")</f>
        <v>View Full Record in Web of Science</v>
      </c>
      <c r="BU2158" s="1"/>
      <c r="BV2158" s="1"/>
    </row>
    <row r="2159" spans="1:74">
      <c r="A2159" s="1" t="s">
        <v>72</v>
      </c>
      <c r="B2159" s="1" t="s">
        <v>34716</v>
      </c>
      <c r="C2159" s="1" t="s">
        <v>74</v>
      </c>
      <c r="D2159" s="1" t="s">
        <v>74</v>
      </c>
      <c r="E2159" s="1" t="s">
        <v>74</v>
      </c>
      <c r="F2159" s="1" t="s">
        <v>34717</v>
      </c>
      <c r="G2159" s="1" t="s">
        <v>74</v>
      </c>
      <c r="H2159" s="1" t="s">
        <v>74</v>
      </c>
      <c r="I2159" s="1" t="s">
        <v>34718</v>
      </c>
      <c r="J2159" s="1" t="s">
        <v>34719</v>
      </c>
      <c r="K2159" s="1" t="s">
        <v>74</v>
      </c>
      <c r="L2159" s="1" t="s">
        <v>74</v>
      </c>
      <c r="M2159" s="1" t="s">
        <v>78</v>
      </c>
      <c r="N2159" s="1" t="s">
        <v>79</v>
      </c>
      <c r="O2159" s="1" t="s">
        <v>74</v>
      </c>
      <c r="P2159" s="1" t="s">
        <v>74</v>
      </c>
      <c r="Q2159" s="1" t="s">
        <v>74</v>
      </c>
      <c r="R2159" s="1" t="s">
        <v>74</v>
      </c>
      <c r="S2159" s="1" t="s">
        <v>74</v>
      </c>
      <c r="T2159" s="1" t="s">
        <v>34720</v>
      </c>
      <c r="U2159" s="1" t="s">
        <v>34721</v>
      </c>
      <c r="V2159" s="1" t="s">
        <v>34722</v>
      </c>
      <c r="W2159" s="1" t="s">
        <v>34723</v>
      </c>
      <c r="X2159" s="1" t="s">
        <v>34724</v>
      </c>
      <c r="Y2159" s="1" t="s">
        <v>34725</v>
      </c>
      <c r="Z2159" s="1" t="s">
        <v>30537</v>
      </c>
      <c r="AA2159" s="1" t="s">
        <v>34726</v>
      </c>
      <c r="AB2159" s="1" t="s">
        <v>34727</v>
      </c>
      <c r="AC2159" s="1" t="s">
        <v>34728</v>
      </c>
      <c r="AD2159" s="1" t="s">
        <v>34728</v>
      </c>
      <c r="AE2159" s="1" t="s">
        <v>34729</v>
      </c>
      <c r="AF2159" s="1" t="s">
        <v>74</v>
      </c>
      <c r="AG2159" s="1">
        <v>61</v>
      </c>
      <c r="AH2159" s="1">
        <v>10</v>
      </c>
      <c r="AI2159" s="1">
        <v>11</v>
      </c>
      <c r="AJ2159" s="1">
        <v>1</v>
      </c>
      <c r="AK2159" s="1">
        <v>36</v>
      </c>
      <c r="AL2159" s="1" t="s">
        <v>86</v>
      </c>
      <c r="AM2159" s="1" t="s">
        <v>87</v>
      </c>
      <c r="AN2159" s="1" t="s">
        <v>88</v>
      </c>
      <c r="AO2159" s="1" t="s">
        <v>34730</v>
      </c>
      <c r="AP2159" s="1" t="s">
        <v>34731</v>
      </c>
      <c r="AQ2159" s="1" t="s">
        <v>74</v>
      </c>
      <c r="AR2159" s="1" t="s">
        <v>34732</v>
      </c>
      <c r="AS2159" s="1" t="s">
        <v>34733</v>
      </c>
      <c r="AT2159" s="1" t="s">
        <v>267</v>
      </c>
      <c r="AU2159" s="1">
        <v>2015</v>
      </c>
      <c r="AV2159" s="1">
        <v>7</v>
      </c>
      <c r="AW2159" s="1">
        <v>10</v>
      </c>
      <c r="AX2159" s="1" t="s">
        <v>74</v>
      </c>
      <c r="AY2159" s="1" t="s">
        <v>74</v>
      </c>
      <c r="AZ2159" s="1" t="s">
        <v>74</v>
      </c>
      <c r="BA2159" s="1" t="s">
        <v>74</v>
      </c>
      <c r="BB2159" s="1">
        <v>957</v>
      </c>
      <c r="BC2159" s="1">
        <v>966</v>
      </c>
      <c r="BD2159" s="1" t="s">
        <v>74</v>
      </c>
      <c r="BE2159" s="1" t="s">
        <v>34734</v>
      </c>
      <c r="BF2159" s="1" t="str">
        <f>HYPERLINK("http://dx.doi.org/10.1002/dta.1786","http://dx.doi.org/10.1002/dta.1786")</f>
        <v>http://dx.doi.org/10.1002/dta.1786</v>
      </c>
      <c r="BG2159" s="1" t="s">
        <v>74</v>
      </c>
      <c r="BH2159" s="1" t="s">
        <v>74</v>
      </c>
      <c r="BI2159" s="1">
        <v>10</v>
      </c>
      <c r="BJ2159" s="1" t="s">
        <v>34735</v>
      </c>
      <c r="BK2159" s="1" t="s">
        <v>96</v>
      </c>
      <c r="BL2159" s="1" t="s">
        <v>34736</v>
      </c>
      <c r="BM2159" s="1" t="s">
        <v>34737</v>
      </c>
      <c r="BN2159" s="1">
        <v>25833337</v>
      </c>
      <c r="BO2159" s="1" t="s">
        <v>74</v>
      </c>
      <c r="BP2159" s="1" t="s">
        <v>74</v>
      </c>
      <c r="BQ2159" s="1" t="s">
        <v>74</v>
      </c>
      <c r="BR2159" s="1" t="s">
        <v>98</v>
      </c>
      <c r="BS2159" s="1" t="s">
        <v>34738</v>
      </c>
      <c r="BT2159" s="1" t="str">
        <f>HYPERLINK("https%3A%2F%2Fwww.webofscience.com%2Fwos%2Fwoscc%2Ffull-record%2FWOS:000362691800012","View Full Record in Web of Science")</f>
        <v>View Full Record in Web of Science</v>
      </c>
      <c r="BU2159" s="1"/>
      <c r="BV2159" s="1"/>
    </row>
    <row r="2160" spans="1:74">
      <c r="A2160" s="1" t="s">
        <v>72</v>
      </c>
      <c r="B2160" s="1" t="s">
        <v>34739</v>
      </c>
      <c r="C2160" s="1" t="s">
        <v>74</v>
      </c>
      <c r="D2160" s="1" t="s">
        <v>74</v>
      </c>
      <c r="E2160" s="1" t="s">
        <v>74</v>
      </c>
      <c r="F2160" s="1" t="s">
        <v>34740</v>
      </c>
      <c r="G2160" s="1" t="s">
        <v>74</v>
      </c>
      <c r="H2160" s="1" t="s">
        <v>74</v>
      </c>
      <c r="I2160" s="1" t="s">
        <v>34741</v>
      </c>
      <c r="J2160" s="1" t="s">
        <v>204</v>
      </c>
      <c r="K2160" s="1" t="s">
        <v>74</v>
      </c>
      <c r="L2160" s="1" t="s">
        <v>74</v>
      </c>
      <c r="M2160" s="1" t="s">
        <v>78</v>
      </c>
      <c r="N2160" s="1" t="s">
        <v>79</v>
      </c>
      <c r="O2160" s="1" t="s">
        <v>74</v>
      </c>
      <c r="P2160" s="1" t="s">
        <v>74</v>
      </c>
      <c r="Q2160" s="1" t="s">
        <v>74</v>
      </c>
      <c r="R2160" s="1" t="s">
        <v>74</v>
      </c>
      <c r="S2160" s="1" t="s">
        <v>74</v>
      </c>
      <c r="T2160" s="1" t="s">
        <v>34742</v>
      </c>
      <c r="U2160" s="1" t="s">
        <v>34743</v>
      </c>
      <c r="V2160" s="1" t="s">
        <v>34744</v>
      </c>
      <c r="W2160" s="1" t="s">
        <v>34745</v>
      </c>
      <c r="X2160" s="1" t="s">
        <v>34746</v>
      </c>
      <c r="Y2160" s="1" t="s">
        <v>34747</v>
      </c>
      <c r="Z2160" s="1" t="s">
        <v>34748</v>
      </c>
      <c r="AA2160" s="1" t="s">
        <v>74</v>
      </c>
      <c r="AB2160" s="1" t="s">
        <v>74</v>
      </c>
      <c r="AC2160" s="1" t="s">
        <v>34749</v>
      </c>
      <c r="AD2160" s="1" t="s">
        <v>34750</v>
      </c>
      <c r="AE2160" s="1" t="s">
        <v>34751</v>
      </c>
      <c r="AF2160" s="1" t="s">
        <v>74</v>
      </c>
      <c r="AG2160" s="1">
        <v>35</v>
      </c>
      <c r="AH2160" s="1">
        <v>9</v>
      </c>
      <c r="AI2160" s="1">
        <v>9</v>
      </c>
      <c r="AJ2160" s="1">
        <v>3</v>
      </c>
      <c r="AK2160" s="1">
        <v>37</v>
      </c>
      <c r="AL2160" s="1" t="s">
        <v>217</v>
      </c>
      <c r="AM2160" s="1" t="s">
        <v>218</v>
      </c>
      <c r="AN2160" s="1" t="s">
        <v>219</v>
      </c>
      <c r="AO2160" s="1" t="s">
        <v>220</v>
      </c>
      <c r="AP2160" s="1" t="s">
        <v>221</v>
      </c>
      <c r="AQ2160" s="1" t="s">
        <v>74</v>
      </c>
      <c r="AR2160" s="1" t="s">
        <v>222</v>
      </c>
      <c r="AS2160" s="1" t="s">
        <v>223</v>
      </c>
      <c r="AT2160" s="1" t="s">
        <v>93</v>
      </c>
      <c r="AU2160" s="1">
        <v>2021</v>
      </c>
      <c r="AV2160" s="1">
        <v>28</v>
      </c>
      <c r="AW2160" s="1">
        <v>16</v>
      </c>
      <c r="AX2160" s="1" t="s">
        <v>74</v>
      </c>
      <c r="AY2160" s="1" t="s">
        <v>74</v>
      </c>
      <c r="AZ2160" s="1" t="s">
        <v>74</v>
      </c>
      <c r="BA2160" s="1" t="s">
        <v>74</v>
      </c>
      <c r="BB2160" s="1">
        <v>20682</v>
      </c>
      <c r="BC2160" s="1">
        <v>20689</v>
      </c>
      <c r="BD2160" s="1" t="s">
        <v>74</v>
      </c>
      <c r="BE2160" s="1" t="s">
        <v>34752</v>
      </c>
      <c r="BF2160" s="1" t="str">
        <f>HYPERLINK("http://dx.doi.org/10.1007/s11356-020-11968-6","http://dx.doi.org/10.1007/s11356-020-11968-6")</f>
        <v>http://dx.doi.org/10.1007/s11356-020-11968-6</v>
      </c>
      <c r="BG2160" s="1" t="s">
        <v>74</v>
      </c>
      <c r="BH2160" s="1" t="s">
        <v>2597</v>
      </c>
      <c r="BI2160" s="1">
        <v>8</v>
      </c>
      <c r="BJ2160" s="1" t="s">
        <v>144</v>
      </c>
      <c r="BK2160" s="1" t="s">
        <v>96</v>
      </c>
      <c r="BL2160" s="1" t="s">
        <v>145</v>
      </c>
      <c r="BM2160" s="1" t="s">
        <v>34753</v>
      </c>
      <c r="BN2160" s="1">
        <v>33410070</v>
      </c>
      <c r="BO2160" s="1" t="s">
        <v>2744</v>
      </c>
      <c r="BP2160" s="1" t="s">
        <v>74</v>
      </c>
      <c r="BQ2160" s="1" t="s">
        <v>74</v>
      </c>
      <c r="BR2160" s="1" t="s">
        <v>98</v>
      </c>
      <c r="BS2160" s="1" t="s">
        <v>34754</v>
      </c>
      <c r="BT2160" s="1" t="str">
        <f>HYPERLINK("https%3A%2F%2Fwww.webofscience.com%2Fwos%2Fwoscc%2Ffull-record%2FWOS:000605574200001","View Full Record in Web of Science")</f>
        <v>View Full Record in Web of Science</v>
      </c>
      <c r="BU2160" s="1"/>
      <c r="BV2160" s="1"/>
    </row>
    <row r="2161" spans="1:74">
      <c r="A2161" s="1" t="s">
        <v>72</v>
      </c>
      <c r="B2161" s="1" t="s">
        <v>34755</v>
      </c>
      <c r="C2161" s="1" t="s">
        <v>74</v>
      </c>
      <c r="D2161" s="1" t="s">
        <v>74</v>
      </c>
      <c r="E2161" s="1" t="s">
        <v>74</v>
      </c>
      <c r="F2161" s="1" t="s">
        <v>34756</v>
      </c>
      <c r="G2161" s="1" t="s">
        <v>74</v>
      </c>
      <c r="H2161" s="1" t="s">
        <v>74</v>
      </c>
      <c r="I2161" s="1" t="s">
        <v>34757</v>
      </c>
      <c r="J2161" s="1" t="s">
        <v>641</v>
      </c>
      <c r="K2161" s="1" t="s">
        <v>74</v>
      </c>
      <c r="L2161" s="1" t="s">
        <v>74</v>
      </c>
      <c r="M2161" s="1" t="s">
        <v>78</v>
      </c>
      <c r="N2161" s="1" t="s">
        <v>79</v>
      </c>
      <c r="O2161" s="1" t="s">
        <v>74</v>
      </c>
      <c r="P2161" s="1" t="s">
        <v>74</v>
      </c>
      <c r="Q2161" s="1" t="s">
        <v>74</v>
      </c>
      <c r="R2161" s="1" t="s">
        <v>74</v>
      </c>
      <c r="S2161" s="1" t="s">
        <v>74</v>
      </c>
      <c r="T2161" s="1" t="s">
        <v>34758</v>
      </c>
      <c r="U2161" s="1" t="s">
        <v>34759</v>
      </c>
      <c r="V2161" s="1" t="s">
        <v>34760</v>
      </c>
      <c r="W2161" s="1" t="s">
        <v>34761</v>
      </c>
      <c r="X2161" s="1" t="s">
        <v>34762</v>
      </c>
      <c r="Y2161" s="1" t="s">
        <v>23805</v>
      </c>
      <c r="Z2161" s="1" t="s">
        <v>9288</v>
      </c>
      <c r="AA2161" s="1" t="s">
        <v>34763</v>
      </c>
      <c r="AB2161" s="1" t="s">
        <v>34764</v>
      </c>
      <c r="AC2161" s="1" t="s">
        <v>34765</v>
      </c>
      <c r="AD2161" s="1" t="s">
        <v>34766</v>
      </c>
      <c r="AE2161" s="1" t="s">
        <v>34767</v>
      </c>
      <c r="AF2161" s="1" t="s">
        <v>74</v>
      </c>
      <c r="AG2161" s="1">
        <v>99</v>
      </c>
      <c r="AH2161" s="1">
        <v>92</v>
      </c>
      <c r="AI2161" s="1">
        <v>92</v>
      </c>
      <c r="AJ2161" s="1">
        <v>2</v>
      </c>
      <c r="AK2161" s="1">
        <v>69</v>
      </c>
      <c r="AL2161" s="1" t="s">
        <v>650</v>
      </c>
      <c r="AM2161" s="1" t="s">
        <v>651</v>
      </c>
      <c r="AN2161" s="1" t="s">
        <v>652</v>
      </c>
      <c r="AO2161" s="1" t="s">
        <v>653</v>
      </c>
      <c r="AP2161" s="1" t="s">
        <v>654</v>
      </c>
      <c r="AQ2161" s="1" t="s">
        <v>74</v>
      </c>
      <c r="AR2161" s="1" t="s">
        <v>655</v>
      </c>
      <c r="AS2161" s="1" t="s">
        <v>656</v>
      </c>
      <c r="AT2161" s="1" t="s">
        <v>142</v>
      </c>
      <c r="AU2161" s="1">
        <v>2019</v>
      </c>
      <c r="AV2161" s="1">
        <v>211</v>
      </c>
      <c r="AW2161" s="1" t="s">
        <v>74</v>
      </c>
      <c r="AX2161" s="1" t="s">
        <v>74</v>
      </c>
      <c r="AY2161" s="1" t="s">
        <v>74</v>
      </c>
      <c r="AZ2161" s="1" t="s">
        <v>74</v>
      </c>
      <c r="BA2161" s="1" t="s">
        <v>74</v>
      </c>
      <c r="BB2161" s="1">
        <v>181</v>
      </c>
      <c r="BC2161" s="1">
        <v>192</v>
      </c>
      <c r="BD2161" s="1" t="s">
        <v>74</v>
      </c>
      <c r="BE2161" s="1" t="s">
        <v>34768</v>
      </c>
      <c r="BF2161" s="1" t="str">
        <f>HYPERLINK("http://dx.doi.org/10.1016/j.aquatox.2019.03.017","http://dx.doi.org/10.1016/j.aquatox.2019.03.017")</f>
        <v>http://dx.doi.org/10.1016/j.aquatox.2019.03.017</v>
      </c>
      <c r="BG2161" s="1" t="s">
        <v>74</v>
      </c>
      <c r="BH2161" s="1" t="s">
        <v>74</v>
      </c>
      <c r="BI2161" s="1">
        <v>12</v>
      </c>
      <c r="BJ2161" s="1" t="s">
        <v>659</v>
      </c>
      <c r="BK2161" s="1" t="s">
        <v>96</v>
      </c>
      <c r="BL2161" s="1" t="s">
        <v>659</v>
      </c>
      <c r="BM2161" s="1" t="s">
        <v>34769</v>
      </c>
      <c r="BN2161" s="1">
        <v>31003043</v>
      </c>
      <c r="BO2161" s="1" t="s">
        <v>1270</v>
      </c>
      <c r="BP2161" s="1" t="s">
        <v>74</v>
      </c>
      <c r="BQ2161" s="1" t="s">
        <v>74</v>
      </c>
      <c r="BR2161" s="1" t="s">
        <v>98</v>
      </c>
      <c r="BS2161" s="1" t="s">
        <v>34770</v>
      </c>
      <c r="BT2161" s="1" t="str">
        <f>HYPERLINK("https%3A%2F%2Fwww.webofscience.com%2Fwos%2Fwoscc%2Ffull-record%2FWOS:000468708500019","View Full Record in Web of Science")</f>
        <v>View Full Record in Web of Science</v>
      </c>
      <c r="BU2161" s="1"/>
      <c r="BV2161" s="1"/>
    </row>
    <row r="2162" spans="1:74">
      <c r="A2162" s="1" t="s">
        <v>72</v>
      </c>
      <c r="B2162" s="1" t="s">
        <v>34771</v>
      </c>
      <c r="C2162" s="1" t="s">
        <v>74</v>
      </c>
      <c r="D2162" s="1" t="s">
        <v>74</v>
      </c>
      <c r="E2162" s="1" t="s">
        <v>74</v>
      </c>
      <c r="F2162" s="1" t="s">
        <v>34772</v>
      </c>
      <c r="G2162" s="1" t="s">
        <v>74</v>
      </c>
      <c r="H2162" s="1" t="s">
        <v>74</v>
      </c>
      <c r="I2162" s="1" t="s">
        <v>34773</v>
      </c>
      <c r="J2162" s="1" t="s">
        <v>1254</v>
      </c>
      <c r="K2162" s="1" t="s">
        <v>74</v>
      </c>
      <c r="L2162" s="1" t="s">
        <v>74</v>
      </c>
      <c r="M2162" s="1" t="s">
        <v>78</v>
      </c>
      <c r="N2162" s="1" t="s">
        <v>79</v>
      </c>
      <c r="O2162" s="1" t="s">
        <v>74</v>
      </c>
      <c r="P2162" s="1" t="s">
        <v>74</v>
      </c>
      <c r="Q2162" s="1" t="s">
        <v>74</v>
      </c>
      <c r="R2162" s="1" t="s">
        <v>74</v>
      </c>
      <c r="S2162" s="1" t="s">
        <v>74</v>
      </c>
      <c r="T2162" s="1" t="s">
        <v>34774</v>
      </c>
      <c r="U2162" s="1" t="s">
        <v>34775</v>
      </c>
      <c r="V2162" s="1" t="s">
        <v>34776</v>
      </c>
      <c r="W2162" s="1" t="s">
        <v>34777</v>
      </c>
      <c r="X2162" s="1" t="s">
        <v>34778</v>
      </c>
      <c r="Y2162" s="1" t="s">
        <v>34779</v>
      </c>
      <c r="Z2162" s="1" t="s">
        <v>34780</v>
      </c>
      <c r="AA2162" s="1" t="s">
        <v>34781</v>
      </c>
      <c r="AB2162" s="1" t="s">
        <v>34782</v>
      </c>
      <c r="AC2162" s="1" t="s">
        <v>74</v>
      </c>
      <c r="AD2162" s="1" t="s">
        <v>74</v>
      </c>
      <c r="AE2162" s="1" t="s">
        <v>74</v>
      </c>
      <c r="AF2162" s="1" t="s">
        <v>74</v>
      </c>
      <c r="AG2162" s="1">
        <v>47</v>
      </c>
      <c r="AH2162" s="1">
        <v>32</v>
      </c>
      <c r="AI2162" s="1">
        <v>35</v>
      </c>
      <c r="AJ2162" s="1">
        <v>1</v>
      </c>
      <c r="AK2162" s="1">
        <v>17</v>
      </c>
      <c r="AL2162" s="1" t="s">
        <v>136</v>
      </c>
      <c r="AM2162" s="1" t="s">
        <v>137</v>
      </c>
      <c r="AN2162" s="1" t="s">
        <v>138</v>
      </c>
      <c r="AO2162" s="1" t="s">
        <v>1264</v>
      </c>
      <c r="AP2162" s="1" t="s">
        <v>1265</v>
      </c>
      <c r="AQ2162" s="1" t="s">
        <v>74</v>
      </c>
      <c r="AR2162" s="1" t="s">
        <v>1266</v>
      </c>
      <c r="AS2162" s="1" t="s">
        <v>1267</v>
      </c>
      <c r="AT2162" s="1" t="s">
        <v>1470</v>
      </c>
      <c r="AU2162" s="1">
        <v>2008</v>
      </c>
      <c r="AV2162" s="1">
        <v>34</v>
      </c>
      <c r="AW2162" s="1">
        <v>1</v>
      </c>
      <c r="AX2162" s="1" t="s">
        <v>74</v>
      </c>
      <c r="AY2162" s="1" t="s">
        <v>74</v>
      </c>
      <c r="AZ2162" s="1" t="s">
        <v>74</v>
      </c>
      <c r="BA2162" s="1" t="s">
        <v>74</v>
      </c>
      <c r="BB2162" s="1">
        <v>94</v>
      </c>
      <c r="BC2162" s="1">
        <v>101</v>
      </c>
      <c r="BD2162" s="1" t="s">
        <v>74</v>
      </c>
      <c r="BE2162" s="1" t="s">
        <v>34783</v>
      </c>
      <c r="BF2162" s="1" t="str">
        <f>HYPERLINK("http://dx.doi.org/10.1016/j.envint.2007.07.007","http://dx.doi.org/10.1016/j.envint.2007.07.007")</f>
        <v>http://dx.doi.org/10.1016/j.envint.2007.07.007</v>
      </c>
      <c r="BG2162" s="1" t="s">
        <v>74</v>
      </c>
      <c r="BH2162" s="1" t="s">
        <v>74</v>
      </c>
      <c r="BI2162" s="1">
        <v>8</v>
      </c>
      <c r="BJ2162" s="1" t="s">
        <v>144</v>
      </c>
      <c r="BK2162" s="1" t="s">
        <v>96</v>
      </c>
      <c r="BL2162" s="1" t="s">
        <v>145</v>
      </c>
      <c r="BM2162" s="1" t="s">
        <v>34784</v>
      </c>
      <c r="BN2162" s="1">
        <v>17719633</v>
      </c>
      <c r="BO2162" s="1" t="s">
        <v>74</v>
      </c>
      <c r="BP2162" s="1" t="s">
        <v>74</v>
      </c>
      <c r="BQ2162" s="1" t="s">
        <v>74</v>
      </c>
      <c r="BR2162" s="1" t="s">
        <v>98</v>
      </c>
      <c r="BS2162" s="1" t="s">
        <v>34785</v>
      </c>
      <c r="BT2162" s="1" t="str">
        <f>HYPERLINK("https%3A%2F%2Fwww.webofscience.com%2Fwos%2Fwoscc%2Ffull-record%2FWOS:000252604900012","View Full Record in Web of Science")</f>
        <v>View Full Record in Web of Science</v>
      </c>
      <c r="BU2162" s="1"/>
      <c r="BV2162" s="1"/>
    </row>
    <row r="2163" spans="1:74">
      <c r="A2163" s="1" t="s">
        <v>72</v>
      </c>
      <c r="B2163" s="1" t="s">
        <v>34786</v>
      </c>
      <c r="C2163" s="1" t="s">
        <v>74</v>
      </c>
      <c r="D2163" s="1" t="s">
        <v>74</v>
      </c>
      <c r="E2163" s="1" t="s">
        <v>74</v>
      </c>
      <c r="F2163" s="1" t="s">
        <v>34787</v>
      </c>
      <c r="G2163" s="1" t="s">
        <v>74</v>
      </c>
      <c r="H2163" s="1" t="s">
        <v>74</v>
      </c>
      <c r="I2163" s="1" t="s">
        <v>34788</v>
      </c>
      <c r="J2163" s="1" t="s">
        <v>2265</v>
      </c>
      <c r="K2163" s="1" t="s">
        <v>74</v>
      </c>
      <c r="L2163" s="1" t="s">
        <v>74</v>
      </c>
      <c r="M2163" s="1" t="s">
        <v>78</v>
      </c>
      <c r="N2163" s="1" t="s">
        <v>79</v>
      </c>
      <c r="O2163" s="1" t="s">
        <v>74</v>
      </c>
      <c r="P2163" s="1" t="s">
        <v>74</v>
      </c>
      <c r="Q2163" s="1" t="s">
        <v>74</v>
      </c>
      <c r="R2163" s="1" t="s">
        <v>74</v>
      </c>
      <c r="S2163" s="1" t="s">
        <v>74</v>
      </c>
      <c r="T2163" s="1" t="s">
        <v>34789</v>
      </c>
      <c r="U2163" s="1" t="s">
        <v>34790</v>
      </c>
      <c r="V2163" s="1" t="s">
        <v>34791</v>
      </c>
      <c r="W2163" s="1" t="s">
        <v>34792</v>
      </c>
      <c r="X2163" s="1" t="s">
        <v>34793</v>
      </c>
      <c r="Y2163" s="1" t="s">
        <v>34794</v>
      </c>
      <c r="Z2163" s="1" t="s">
        <v>34795</v>
      </c>
      <c r="AA2163" s="1" t="s">
        <v>74</v>
      </c>
      <c r="AB2163" s="1" t="s">
        <v>34796</v>
      </c>
      <c r="AC2163" s="1" t="s">
        <v>74</v>
      </c>
      <c r="AD2163" s="1" t="s">
        <v>74</v>
      </c>
      <c r="AE2163" s="1" t="s">
        <v>74</v>
      </c>
      <c r="AF2163" s="1" t="s">
        <v>74</v>
      </c>
      <c r="AG2163" s="1">
        <v>72</v>
      </c>
      <c r="AH2163" s="1">
        <v>11</v>
      </c>
      <c r="AI2163" s="1">
        <v>13</v>
      </c>
      <c r="AJ2163" s="1">
        <v>7</v>
      </c>
      <c r="AK2163" s="1">
        <v>64</v>
      </c>
      <c r="AL2163" s="1" t="s">
        <v>2074</v>
      </c>
      <c r="AM2163" s="1" t="s">
        <v>2075</v>
      </c>
      <c r="AN2163" s="1" t="s">
        <v>2076</v>
      </c>
      <c r="AO2163" s="1" t="s">
        <v>2275</v>
      </c>
      <c r="AP2163" s="1" t="s">
        <v>2276</v>
      </c>
      <c r="AQ2163" s="1" t="s">
        <v>74</v>
      </c>
      <c r="AR2163" s="1" t="s">
        <v>2265</v>
      </c>
      <c r="AS2163" s="1" t="s">
        <v>2277</v>
      </c>
      <c r="AT2163" s="1" t="s">
        <v>34797</v>
      </c>
      <c r="AU2163" s="1">
        <v>2022</v>
      </c>
      <c r="AV2163" s="1">
        <v>27</v>
      </c>
      <c r="AW2163" s="1">
        <v>2</v>
      </c>
      <c r="AX2163" s="1" t="s">
        <v>74</v>
      </c>
      <c r="AY2163" s="1" t="s">
        <v>74</v>
      </c>
      <c r="AZ2163" s="1" t="s">
        <v>74</v>
      </c>
      <c r="BA2163" s="1" t="s">
        <v>74</v>
      </c>
      <c r="BB2163" s="1">
        <v>118</v>
      </c>
      <c r="BC2163" s="1">
        <v>126</v>
      </c>
      <c r="BD2163" s="1" t="s">
        <v>74</v>
      </c>
      <c r="BE2163" s="1" t="s">
        <v>34798</v>
      </c>
      <c r="BF2163" s="1" t="str">
        <f>HYPERLINK("http://dx.doi.org/10.1080/1354750X.2021.2020335","http://dx.doi.org/10.1080/1354750X.2021.2020335")</f>
        <v>http://dx.doi.org/10.1080/1354750X.2021.2020335</v>
      </c>
      <c r="BG2163" s="1" t="s">
        <v>74</v>
      </c>
      <c r="BH2163" s="1" t="s">
        <v>4701</v>
      </c>
      <c r="BI2163" s="1">
        <v>9</v>
      </c>
      <c r="BJ2163" s="1" t="s">
        <v>2279</v>
      </c>
      <c r="BK2163" s="1" t="s">
        <v>96</v>
      </c>
      <c r="BL2163" s="1" t="s">
        <v>2279</v>
      </c>
      <c r="BM2163" s="1" t="s">
        <v>34799</v>
      </c>
      <c r="BN2163" s="1">
        <v>34918612</v>
      </c>
      <c r="BO2163" s="1" t="s">
        <v>74</v>
      </c>
      <c r="BP2163" s="1" t="s">
        <v>74</v>
      </c>
      <c r="BQ2163" s="1" t="s">
        <v>74</v>
      </c>
      <c r="BR2163" s="1" t="s">
        <v>98</v>
      </c>
      <c r="BS2163" s="1" t="s">
        <v>34800</v>
      </c>
      <c r="BT2163" s="1" t="str">
        <f>HYPERLINK("https%3A%2F%2Fwww.webofscience.com%2Fwos%2Fwoscc%2Ffull-record%2FWOS:000734786800001","View Full Record in Web of Science")</f>
        <v>View Full Record in Web of Science</v>
      </c>
      <c r="BU2163" s="1"/>
      <c r="BV2163" s="1"/>
    </row>
    <row r="2164" spans="1:74">
      <c r="A2164" s="1" t="s">
        <v>72</v>
      </c>
      <c r="B2164" s="1" t="s">
        <v>34801</v>
      </c>
      <c r="C2164" s="1" t="s">
        <v>74</v>
      </c>
      <c r="D2164" s="1" t="s">
        <v>74</v>
      </c>
      <c r="E2164" s="1" t="s">
        <v>74</v>
      </c>
      <c r="F2164" s="1" t="s">
        <v>34802</v>
      </c>
      <c r="G2164" s="1" t="s">
        <v>74</v>
      </c>
      <c r="H2164" s="1" t="s">
        <v>74</v>
      </c>
      <c r="I2164" s="1" t="s">
        <v>34803</v>
      </c>
      <c r="J2164" s="1" t="s">
        <v>179</v>
      </c>
      <c r="K2164" s="1" t="s">
        <v>74</v>
      </c>
      <c r="L2164" s="1" t="s">
        <v>74</v>
      </c>
      <c r="M2164" s="1" t="s">
        <v>78</v>
      </c>
      <c r="N2164" s="1" t="s">
        <v>79</v>
      </c>
      <c r="O2164" s="1" t="s">
        <v>74</v>
      </c>
      <c r="P2164" s="1" t="s">
        <v>74</v>
      </c>
      <c r="Q2164" s="1" t="s">
        <v>74</v>
      </c>
      <c r="R2164" s="1" t="s">
        <v>74</v>
      </c>
      <c r="S2164" s="1" t="s">
        <v>74</v>
      </c>
      <c r="T2164" s="1" t="s">
        <v>34804</v>
      </c>
      <c r="U2164" s="1" t="s">
        <v>34805</v>
      </c>
      <c r="V2164" s="1" t="s">
        <v>34806</v>
      </c>
      <c r="W2164" s="1" t="s">
        <v>34807</v>
      </c>
      <c r="X2164" s="1" t="s">
        <v>9507</v>
      </c>
      <c r="Y2164" s="1" t="s">
        <v>34808</v>
      </c>
      <c r="Z2164" s="1" t="s">
        <v>12809</v>
      </c>
      <c r="AA2164" s="1" t="s">
        <v>34809</v>
      </c>
      <c r="AB2164" s="1" t="s">
        <v>34810</v>
      </c>
      <c r="AC2164" s="1" t="s">
        <v>34811</v>
      </c>
      <c r="AD2164" s="1" t="s">
        <v>34812</v>
      </c>
      <c r="AE2164" s="1" t="s">
        <v>34813</v>
      </c>
      <c r="AF2164" s="1" t="s">
        <v>74</v>
      </c>
      <c r="AG2164" s="1">
        <v>33</v>
      </c>
      <c r="AH2164" s="1">
        <v>33</v>
      </c>
      <c r="AI2164" s="1">
        <v>39</v>
      </c>
      <c r="AJ2164" s="1">
        <v>1</v>
      </c>
      <c r="AK2164" s="1">
        <v>12</v>
      </c>
      <c r="AL2164" s="1" t="s">
        <v>112</v>
      </c>
      <c r="AM2164" s="1" t="s">
        <v>191</v>
      </c>
      <c r="AN2164" s="1" t="s">
        <v>192</v>
      </c>
      <c r="AO2164" s="1" t="s">
        <v>193</v>
      </c>
      <c r="AP2164" s="1" t="s">
        <v>194</v>
      </c>
      <c r="AQ2164" s="1" t="s">
        <v>74</v>
      </c>
      <c r="AR2164" s="1" t="s">
        <v>195</v>
      </c>
      <c r="AS2164" s="1" t="s">
        <v>196</v>
      </c>
      <c r="AT2164" s="1" t="s">
        <v>119</v>
      </c>
      <c r="AU2164" s="1">
        <v>2009</v>
      </c>
      <c r="AV2164" s="1">
        <v>155</v>
      </c>
      <c r="AW2164" s="1" t="s">
        <v>721</v>
      </c>
      <c r="AX2164" s="1" t="s">
        <v>74</v>
      </c>
      <c r="AY2164" s="1" t="s">
        <v>74</v>
      </c>
      <c r="AZ2164" s="1" t="s">
        <v>74</v>
      </c>
      <c r="BA2164" s="1" t="s">
        <v>74</v>
      </c>
      <c r="BB2164" s="1">
        <v>119</v>
      </c>
      <c r="BC2164" s="1">
        <v>128</v>
      </c>
      <c r="BD2164" s="1" t="s">
        <v>74</v>
      </c>
      <c r="BE2164" s="1" t="s">
        <v>34814</v>
      </c>
      <c r="BF2164" s="1" t="str">
        <f>HYPERLINK("http://dx.doi.org/10.1007/s10661-008-0422-3","http://dx.doi.org/10.1007/s10661-008-0422-3")</f>
        <v>http://dx.doi.org/10.1007/s10661-008-0422-3</v>
      </c>
      <c r="BG2164" s="1" t="s">
        <v>74</v>
      </c>
      <c r="BH2164" s="1" t="s">
        <v>74</v>
      </c>
      <c r="BI2164" s="1">
        <v>10</v>
      </c>
      <c r="BJ2164" s="1" t="s">
        <v>144</v>
      </c>
      <c r="BK2164" s="1" t="s">
        <v>96</v>
      </c>
      <c r="BL2164" s="1" t="s">
        <v>145</v>
      </c>
      <c r="BM2164" s="1" t="s">
        <v>7306</v>
      </c>
      <c r="BN2164" s="1">
        <v>18594996</v>
      </c>
      <c r="BO2164" s="1" t="s">
        <v>74</v>
      </c>
      <c r="BP2164" s="1" t="s">
        <v>74</v>
      </c>
      <c r="BQ2164" s="1" t="s">
        <v>74</v>
      </c>
      <c r="BR2164" s="1" t="s">
        <v>98</v>
      </c>
      <c r="BS2164" s="1" t="s">
        <v>34815</v>
      </c>
      <c r="BT2164" s="1" t="str">
        <f>HYPERLINK("https%3A%2F%2Fwww.webofscience.com%2Fwos%2Fwoscc%2Ffull-record%2FWOS:000267887000010","View Full Record in Web of Science")</f>
        <v>View Full Record in Web of Science</v>
      </c>
      <c r="BU2164" s="1"/>
      <c r="BV2164" s="1"/>
    </row>
    <row r="2165" spans="1:74">
      <c r="A2165" s="1" t="s">
        <v>72</v>
      </c>
      <c r="B2165" s="1" t="s">
        <v>34816</v>
      </c>
      <c r="C2165" s="1" t="s">
        <v>74</v>
      </c>
      <c r="D2165" s="1" t="s">
        <v>74</v>
      </c>
      <c r="E2165" s="1" t="s">
        <v>74</v>
      </c>
      <c r="F2165" s="1" t="s">
        <v>34817</v>
      </c>
      <c r="G2165" s="1" t="s">
        <v>74</v>
      </c>
      <c r="H2165" s="1" t="s">
        <v>74</v>
      </c>
      <c r="I2165" s="1" t="s">
        <v>34818</v>
      </c>
      <c r="J2165" s="1" t="s">
        <v>204</v>
      </c>
      <c r="K2165" s="1" t="s">
        <v>74</v>
      </c>
      <c r="L2165" s="1" t="s">
        <v>74</v>
      </c>
      <c r="M2165" s="1" t="s">
        <v>78</v>
      </c>
      <c r="N2165" s="1" t="s">
        <v>79</v>
      </c>
      <c r="O2165" s="1" t="s">
        <v>74</v>
      </c>
      <c r="P2165" s="1" t="s">
        <v>74</v>
      </c>
      <c r="Q2165" s="1" t="s">
        <v>74</v>
      </c>
      <c r="R2165" s="1" t="s">
        <v>74</v>
      </c>
      <c r="S2165" s="1" t="s">
        <v>74</v>
      </c>
      <c r="T2165" s="1" t="s">
        <v>34819</v>
      </c>
      <c r="U2165" s="1" t="s">
        <v>34820</v>
      </c>
      <c r="V2165" s="1" t="s">
        <v>34821</v>
      </c>
      <c r="W2165" s="1" t="s">
        <v>34822</v>
      </c>
      <c r="X2165" s="1" t="s">
        <v>34823</v>
      </c>
      <c r="Y2165" s="1" t="s">
        <v>34824</v>
      </c>
      <c r="Z2165" s="1" t="s">
        <v>30998</v>
      </c>
      <c r="AA2165" s="1" t="s">
        <v>34825</v>
      </c>
      <c r="AB2165" s="1" t="s">
        <v>34826</v>
      </c>
      <c r="AC2165" s="1" t="s">
        <v>34827</v>
      </c>
      <c r="AD2165" s="1" t="s">
        <v>34828</v>
      </c>
      <c r="AE2165" s="1" t="s">
        <v>34829</v>
      </c>
      <c r="AF2165" s="1" t="s">
        <v>74</v>
      </c>
      <c r="AG2165" s="1">
        <v>104</v>
      </c>
      <c r="AH2165" s="1">
        <v>33</v>
      </c>
      <c r="AI2165" s="1">
        <v>34</v>
      </c>
      <c r="AJ2165" s="1">
        <v>5</v>
      </c>
      <c r="AK2165" s="1">
        <v>16</v>
      </c>
      <c r="AL2165" s="1" t="s">
        <v>217</v>
      </c>
      <c r="AM2165" s="1" t="s">
        <v>218</v>
      </c>
      <c r="AN2165" s="1" t="s">
        <v>219</v>
      </c>
      <c r="AO2165" s="1" t="s">
        <v>220</v>
      </c>
      <c r="AP2165" s="1" t="s">
        <v>221</v>
      </c>
      <c r="AQ2165" s="1" t="s">
        <v>74</v>
      </c>
      <c r="AR2165" s="1" t="s">
        <v>222</v>
      </c>
      <c r="AS2165" s="1" t="s">
        <v>223</v>
      </c>
      <c r="AT2165" s="1" t="s">
        <v>170</v>
      </c>
      <c r="AU2165" s="1">
        <v>2018</v>
      </c>
      <c r="AV2165" s="1">
        <v>25</v>
      </c>
      <c r="AW2165" s="1">
        <v>14</v>
      </c>
      <c r="AX2165" s="1" t="s">
        <v>74</v>
      </c>
      <c r="AY2165" s="1" t="s">
        <v>74</v>
      </c>
      <c r="AZ2165" s="1" t="s">
        <v>225</v>
      </c>
      <c r="BA2165" s="1" t="s">
        <v>74</v>
      </c>
      <c r="BB2165" s="1">
        <v>13396</v>
      </c>
      <c r="BC2165" s="1">
        <v>13415</v>
      </c>
      <c r="BD2165" s="1" t="s">
        <v>74</v>
      </c>
      <c r="BE2165" s="1" t="s">
        <v>34830</v>
      </c>
      <c r="BF2165" s="1" t="str">
        <f>HYPERLINK("http://dx.doi.org/10.1007/s11356-017-9159-2","http://dx.doi.org/10.1007/s11356-017-9159-2")</f>
        <v>http://dx.doi.org/10.1007/s11356-017-9159-2</v>
      </c>
      <c r="BG2165" s="1" t="s">
        <v>74</v>
      </c>
      <c r="BH2165" s="1" t="s">
        <v>74</v>
      </c>
      <c r="BI2165" s="1">
        <v>20</v>
      </c>
      <c r="BJ2165" s="1" t="s">
        <v>144</v>
      </c>
      <c r="BK2165" s="1" t="s">
        <v>96</v>
      </c>
      <c r="BL2165" s="1" t="s">
        <v>145</v>
      </c>
      <c r="BM2165" s="1" t="s">
        <v>34831</v>
      </c>
      <c r="BN2165" s="1">
        <v>28537030</v>
      </c>
      <c r="BO2165" s="1" t="s">
        <v>1270</v>
      </c>
      <c r="BP2165" s="1" t="s">
        <v>74</v>
      </c>
      <c r="BQ2165" s="1" t="s">
        <v>74</v>
      </c>
      <c r="BR2165" s="1" t="s">
        <v>98</v>
      </c>
      <c r="BS2165" s="1" t="s">
        <v>34832</v>
      </c>
      <c r="BT2165" s="1" t="str">
        <f>HYPERLINK("https%3A%2F%2Fwww.webofscience.com%2Fwos%2Fwoscc%2Ffull-record%2FWOS:000433038500018","View Full Record in Web of Science")</f>
        <v>View Full Record in Web of Science</v>
      </c>
      <c r="BU2165" s="1"/>
      <c r="BV2165" s="1"/>
    </row>
    <row r="2166" spans="1:74">
      <c r="A2166" s="1" t="s">
        <v>72</v>
      </c>
      <c r="B2166" s="1" t="s">
        <v>34833</v>
      </c>
      <c r="C2166" s="1" t="s">
        <v>74</v>
      </c>
      <c r="D2166" s="1" t="s">
        <v>74</v>
      </c>
      <c r="E2166" s="1" t="s">
        <v>74</v>
      </c>
      <c r="F2166" s="1" t="s">
        <v>34833</v>
      </c>
      <c r="G2166" s="1" t="s">
        <v>74</v>
      </c>
      <c r="H2166" s="1" t="s">
        <v>74</v>
      </c>
      <c r="I2166" s="1" t="s">
        <v>34834</v>
      </c>
      <c r="J2166" s="1" t="s">
        <v>664</v>
      </c>
      <c r="K2166" s="1" t="s">
        <v>74</v>
      </c>
      <c r="L2166" s="1" t="s">
        <v>74</v>
      </c>
      <c r="M2166" s="1" t="s">
        <v>78</v>
      </c>
      <c r="N2166" s="1" t="s">
        <v>79</v>
      </c>
      <c r="O2166" s="1" t="s">
        <v>74</v>
      </c>
      <c r="P2166" s="1" t="s">
        <v>74</v>
      </c>
      <c r="Q2166" s="1" t="s">
        <v>74</v>
      </c>
      <c r="R2166" s="1" t="s">
        <v>74</v>
      </c>
      <c r="S2166" s="1" t="s">
        <v>74</v>
      </c>
      <c r="T2166" s="1" t="s">
        <v>34835</v>
      </c>
      <c r="U2166" s="1" t="s">
        <v>34836</v>
      </c>
      <c r="V2166" s="1" t="s">
        <v>34837</v>
      </c>
      <c r="W2166" s="1" t="s">
        <v>34838</v>
      </c>
      <c r="X2166" s="1" t="s">
        <v>34839</v>
      </c>
      <c r="Y2166" s="1" t="s">
        <v>34840</v>
      </c>
      <c r="Z2166" s="1" t="s">
        <v>25718</v>
      </c>
      <c r="AA2166" s="1" t="s">
        <v>25719</v>
      </c>
      <c r="AB2166" s="1" t="s">
        <v>74</v>
      </c>
      <c r="AC2166" s="1" t="s">
        <v>74</v>
      </c>
      <c r="AD2166" s="1" t="s">
        <v>74</v>
      </c>
      <c r="AE2166" s="1" t="s">
        <v>74</v>
      </c>
      <c r="AF2166" s="1" t="s">
        <v>74</v>
      </c>
      <c r="AG2166" s="1">
        <v>13</v>
      </c>
      <c r="AH2166" s="1">
        <v>2</v>
      </c>
      <c r="AI2166" s="1">
        <v>3</v>
      </c>
      <c r="AJ2166" s="1">
        <v>0</v>
      </c>
      <c r="AK2166" s="1">
        <v>5</v>
      </c>
      <c r="AL2166" s="1" t="s">
        <v>673</v>
      </c>
      <c r="AM2166" s="1" t="s">
        <v>674</v>
      </c>
      <c r="AN2166" s="1" t="s">
        <v>675</v>
      </c>
      <c r="AO2166" s="1" t="s">
        <v>676</v>
      </c>
      <c r="AP2166" s="1" t="s">
        <v>74</v>
      </c>
      <c r="AQ2166" s="1" t="s">
        <v>74</v>
      </c>
      <c r="AR2166" s="1" t="s">
        <v>677</v>
      </c>
      <c r="AS2166" s="1" t="s">
        <v>678</v>
      </c>
      <c r="AT2166" s="1" t="s">
        <v>142</v>
      </c>
      <c r="AU2166" s="1">
        <v>2004</v>
      </c>
      <c r="AV2166" s="1">
        <v>30</v>
      </c>
      <c r="AW2166" s="1">
        <v>2</v>
      </c>
      <c r="AX2166" s="1" t="s">
        <v>74</v>
      </c>
      <c r="AY2166" s="1" t="s">
        <v>74</v>
      </c>
      <c r="AZ2166" s="1" t="s">
        <v>74</v>
      </c>
      <c r="BA2166" s="1" t="s">
        <v>74</v>
      </c>
      <c r="BB2166" s="1">
        <v>343</v>
      </c>
      <c r="BC2166" s="1">
        <v>347</v>
      </c>
      <c r="BD2166" s="1" t="s">
        <v>74</v>
      </c>
      <c r="BE2166" s="1" t="s">
        <v>34841</v>
      </c>
      <c r="BF2166" s="1" t="str">
        <f>HYPERLINK("http://dx.doi.org/10.7773/cm.v30i2.181","http://dx.doi.org/10.7773/cm.v30i2.181")</f>
        <v>http://dx.doi.org/10.7773/cm.v30i2.181</v>
      </c>
      <c r="BG2166" s="1" t="s">
        <v>74</v>
      </c>
      <c r="BH2166" s="1" t="s">
        <v>74</v>
      </c>
      <c r="BI2166" s="1">
        <v>5</v>
      </c>
      <c r="BJ2166" s="1" t="s">
        <v>680</v>
      </c>
      <c r="BK2166" s="1" t="s">
        <v>96</v>
      </c>
      <c r="BL2166" s="1" t="s">
        <v>680</v>
      </c>
      <c r="BM2166" s="1" t="s">
        <v>681</v>
      </c>
      <c r="BN2166" s="1" t="s">
        <v>74</v>
      </c>
      <c r="BO2166" s="1" t="s">
        <v>370</v>
      </c>
      <c r="BP2166" s="1" t="s">
        <v>74</v>
      </c>
      <c r="BQ2166" s="1" t="s">
        <v>74</v>
      </c>
      <c r="BR2166" s="1" t="s">
        <v>98</v>
      </c>
      <c r="BS2166" s="1" t="s">
        <v>34842</v>
      </c>
      <c r="BT2166" s="1" t="str">
        <f>HYPERLINK("https%3A%2F%2Fwww.webofscience.com%2Fwos%2Fwoscc%2Ffull-record%2FWOS:000221976100008","View Full Record in Web of Science")</f>
        <v>View Full Record in Web of Science</v>
      </c>
      <c r="BU2166" s="1"/>
      <c r="BV2166" s="1"/>
    </row>
    <row r="2167" spans="1:74">
      <c r="A2167" s="1" t="s">
        <v>72</v>
      </c>
      <c r="B2167" s="1" t="s">
        <v>34843</v>
      </c>
      <c r="C2167" s="1" t="s">
        <v>74</v>
      </c>
      <c r="D2167" s="1" t="s">
        <v>74</v>
      </c>
      <c r="E2167" s="1" t="s">
        <v>74</v>
      </c>
      <c r="F2167" s="1" t="s">
        <v>34844</v>
      </c>
      <c r="G2167" s="1" t="s">
        <v>74</v>
      </c>
      <c r="H2167" s="1" t="s">
        <v>74</v>
      </c>
      <c r="I2167" s="1" t="s">
        <v>34845</v>
      </c>
      <c r="J2167" s="1" t="s">
        <v>3926</v>
      </c>
      <c r="K2167" s="1" t="s">
        <v>74</v>
      </c>
      <c r="L2167" s="1" t="s">
        <v>74</v>
      </c>
      <c r="M2167" s="1" t="s">
        <v>78</v>
      </c>
      <c r="N2167" s="1" t="s">
        <v>79</v>
      </c>
      <c r="O2167" s="1" t="s">
        <v>74</v>
      </c>
      <c r="P2167" s="1" t="s">
        <v>74</v>
      </c>
      <c r="Q2167" s="1" t="s">
        <v>74</v>
      </c>
      <c r="R2167" s="1" t="s">
        <v>74</v>
      </c>
      <c r="S2167" s="1" t="s">
        <v>74</v>
      </c>
      <c r="T2167" s="1" t="s">
        <v>34846</v>
      </c>
      <c r="U2167" s="1" t="s">
        <v>34847</v>
      </c>
      <c r="V2167" s="1" t="s">
        <v>34848</v>
      </c>
      <c r="W2167" s="1" t="s">
        <v>34849</v>
      </c>
      <c r="X2167" s="1" t="s">
        <v>34850</v>
      </c>
      <c r="Y2167" s="1" t="s">
        <v>34851</v>
      </c>
      <c r="Z2167" s="1" t="s">
        <v>34852</v>
      </c>
      <c r="AA2167" s="1" t="s">
        <v>34853</v>
      </c>
      <c r="AB2167" s="1" t="s">
        <v>74</v>
      </c>
      <c r="AC2167" s="1" t="s">
        <v>34854</v>
      </c>
      <c r="AD2167" s="1" t="s">
        <v>34855</v>
      </c>
      <c r="AE2167" s="1" t="s">
        <v>34856</v>
      </c>
      <c r="AF2167" s="1" t="s">
        <v>74</v>
      </c>
      <c r="AG2167" s="1">
        <v>30</v>
      </c>
      <c r="AH2167" s="1">
        <v>14</v>
      </c>
      <c r="AI2167" s="1">
        <v>18</v>
      </c>
      <c r="AJ2167" s="1">
        <v>4</v>
      </c>
      <c r="AK2167" s="1">
        <v>51</v>
      </c>
      <c r="AL2167" s="1" t="s">
        <v>650</v>
      </c>
      <c r="AM2167" s="1" t="s">
        <v>651</v>
      </c>
      <c r="AN2167" s="1" t="s">
        <v>652</v>
      </c>
      <c r="AO2167" s="1" t="s">
        <v>3939</v>
      </c>
      <c r="AP2167" s="1" t="s">
        <v>3940</v>
      </c>
      <c r="AQ2167" s="1" t="s">
        <v>74</v>
      </c>
      <c r="AR2167" s="1" t="s">
        <v>3926</v>
      </c>
      <c r="AS2167" s="1" t="s">
        <v>3941</v>
      </c>
      <c r="AT2167" s="1" t="s">
        <v>34857</v>
      </c>
      <c r="AU2167" s="1">
        <v>2013</v>
      </c>
      <c r="AV2167" s="1">
        <v>406</v>
      </c>
      <c r="AW2167" s="1" t="s">
        <v>74</v>
      </c>
      <c r="AX2167" s="1" t="s">
        <v>74</v>
      </c>
      <c r="AY2167" s="1" t="s">
        <v>74</v>
      </c>
      <c r="AZ2167" s="1" t="s">
        <v>74</v>
      </c>
      <c r="BA2167" s="1" t="s">
        <v>74</v>
      </c>
      <c r="BB2167" s="1">
        <v>97</v>
      </c>
      <c r="BC2167" s="1">
        <v>104</v>
      </c>
      <c r="BD2167" s="1" t="s">
        <v>74</v>
      </c>
      <c r="BE2167" s="1" t="s">
        <v>34858</v>
      </c>
      <c r="BF2167" s="1" t="str">
        <f>HYPERLINK("http://dx.doi.org/10.1016/j.aquaculture.2013.05.009","http://dx.doi.org/10.1016/j.aquaculture.2013.05.009")</f>
        <v>http://dx.doi.org/10.1016/j.aquaculture.2013.05.009</v>
      </c>
      <c r="BG2167" s="1" t="s">
        <v>74</v>
      </c>
      <c r="BH2167" s="1" t="s">
        <v>74</v>
      </c>
      <c r="BI2167" s="1">
        <v>8</v>
      </c>
      <c r="BJ2167" s="1" t="s">
        <v>2391</v>
      </c>
      <c r="BK2167" s="1" t="s">
        <v>96</v>
      </c>
      <c r="BL2167" s="1" t="s">
        <v>2391</v>
      </c>
      <c r="BM2167" s="1" t="s">
        <v>34859</v>
      </c>
      <c r="BN2167" s="1" t="s">
        <v>74</v>
      </c>
      <c r="BO2167" s="1" t="s">
        <v>74</v>
      </c>
      <c r="BP2167" s="1" t="s">
        <v>74</v>
      </c>
      <c r="BQ2167" s="1" t="s">
        <v>74</v>
      </c>
      <c r="BR2167" s="1" t="s">
        <v>98</v>
      </c>
      <c r="BS2167" s="1" t="s">
        <v>34860</v>
      </c>
      <c r="BT2167" s="1" t="str">
        <f>HYPERLINK("https%3A%2F%2Fwww.webofscience.com%2Fwos%2Fwoscc%2Ffull-record%2FWOS:000322316400013","View Full Record in Web of Science")</f>
        <v>View Full Record in Web of Science</v>
      </c>
      <c r="BU2167" s="1"/>
      <c r="BV2167" s="1"/>
    </row>
    <row r="2168" spans="1:74">
      <c r="A2168" s="1" t="s">
        <v>72</v>
      </c>
      <c r="B2168" s="1" t="s">
        <v>34861</v>
      </c>
      <c r="C2168" s="1" t="s">
        <v>74</v>
      </c>
      <c r="D2168" s="1" t="s">
        <v>74</v>
      </c>
      <c r="E2168" s="1" t="s">
        <v>74</v>
      </c>
      <c r="F2168" s="1" t="s">
        <v>34862</v>
      </c>
      <c r="G2168" s="1" t="s">
        <v>74</v>
      </c>
      <c r="H2168" s="1" t="s">
        <v>74</v>
      </c>
      <c r="I2168" s="1" t="s">
        <v>34863</v>
      </c>
      <c r="J2168" s="1" t="s">
        <v>14385</v>
      </c>
      <c r="K2168" s="1" t="s">
        <v>74</v>
      </c>
      <c r="L2168" s="1" t="s">
        <v>74</v>
      </c>
      <c r="M2168" s="1" t="s">
        <v>78</v>
      </c>
      <c r="N2168" s="1" t="s">
        <v>79</v>
      </c>
      <c r="O2168" s="1" t="s">
        <v>74</v>
      </c>
      <c r="P2168" s="1" t="s">
        <v>74</v>
      </c>
      <c r="Q2168" s="1" t="s">
        <v>74</v>
      </c>
      <c r="R2168" s="1" t="s">
        <v>74</v>
      </c>
      <c r="S2168" s="1" t="s">
        <v>74</v>
      </c>
      <c r="T2168" s="1" t="s">
        <v>34864</v>
      </c>
      <c r="U2168" s="1" t="s">
        <v>34865</v>
      </c>
      <c r="V2168" s="1" t="s">
        <v>34866</v>
      </c>
      <c r="W2168" s="1" t="s">
        <v>34867</v>
      </c>
      <c r="X2168" s="1" t="s">
        <v>34868</v>
      </c>
      <c r="Y2168" s="1" t="s">
        <v>34869</v>
      </c>
      <c r="Z2168" s="1" t="s">
        <v>34870</v>
      </c>
      <c r="AA2168" s="1" t="s">
        <v>34871</v>
      </c>
      <c r="AB2168" s="1" t="s">
        <v>34872</v>
      </c>
      <c r="AC2168" s="1" t="s">
        <v>74</v>
      </c>
      <c r="AD2168" s="1" t="s">
        <v>74</v>
      </c>
      <c r="AE2168" s="1" t="s">
        <v>74</v>
      </c>
      <c r="AF2168" s="1" t="s">
        <v>74</v>
      </c>
      <c r="AG2168" s="1">
        <v>34</v>
      </c>
      <c r="AH2168" s="1">
        <v>0</v>
      </c>
      <c r="AI2168" s="1">
        <v>0</v>
      </c>
      <c r="AJ2168" s="1">
        <v>1</v>
      </c>
      <c r="AK2168" s="1">
        <v>3</v>
      </c>
      <c r="AL2168" s="1" t="s">
        <v>7923</v>
      </c>
      <c r="AM2168" s="1" t="s">
        <v>113</v>
      </c>
      <c r="AN2168" s="1" t="s">
        <v>7924</v>
      </c>
      <c r="AO2168" s="1" t="s">
        <v>14397</v>
      </c>
      <c r="AP2168" s="1" t="s">
        <v>14398</v>
      </c>
      <c r="AQ2168" s="1" t="s">
        <v>74</v>
      </c>
      <c r="AR2168" s="1" t="s">
        <v>14399</v>
      </c>
      <c r="AS2168" s="1" t="s">
        <v>14400</v>
      </c>
      <c r="AT2168" s="1" t="s">
        <v>1223</v>
      </c>
      <c r="AU2168" s="1">
        <v>2023</v>
      </c>
      <c r="AV2168" s="1">
        <v>59</v>
      </c>
      <c r="AW2168" s="1">
        <v>2</v>
      </c>
      <c r="AX2168" s="1" t="s">
        <v>74</v>
      </c>
      <c r="AY2168" s="1" t="s">
        <v>74</v>
      </c>
      <c r="AZ2168" s="1" t="s">
        <v>74</v>
      </c>
      <c r="BA2168" s="1" t="s">
        <v>74</v>
      </c>
      <c r="BB2168" s="1">
        <v>513</v>
      </c>
      <c r="BC2168" s="1">
        <v>521</v>
      </c>
      <c r="BD2168" s="1" t="s">
        <v>74</v>
      </c>
      <c r="BE2168" s="1" t="s">
        <v>34873</v>
      </c>
      <c r="BF2168" s="1" t="str">
        <f>HYPERLINK("http://dx.doi.org/10.1134/S0022093023020187","http://dx.doi.org/10.1134/S0022093023020187")</f>
        <v>http://dx.doi.org/10.1134/S0022093023020187</v>
      </c>
      <c r="BG2168" s="1" t="s">
        <v>74</v>
      </c>
      <c r="BH2168" s="1" t="s">
        <v>74</v>
      </c>
      <c r="BI2168" s="1">
        <v>9</v>
      </c>
      <c r="BJ2168" s="1" t="s">
        <v>14402</v>
      </c>
      <c r="BK2168" s="1" t="s">
        <v>96</v>
      </c>
      <c r="BL2168" s="1" t="s">
        <v>14402</v>
      </c>
      <c r="BM2168" s="1" t="s">
        <v>34874</v>
      </c>
      <c r="BN2168" s="1" t="s">
        <v>74</v>
      </c>
      <c r="BO2168" s="1" t="s">
        <v>74</v>
      </c>
      <c r="BP2168" s="1" t="s">
        <v>74</v>
      </c>
      <c r="BQ2168" s="1" t="s">
        <v>74</v>
      </c>
      <c r="BR2168" s="1" t="s">
        <v>98</v>
      </c>
      <c r="BS2168" s="1" t="s">
        <v>34875</v>
      </c>
      <c r="BT2168" s="1" t="str">
        <f>HYPERLINK("https%3A%2F%2Fwww.webofscience.com%2Fwos%2Fwoscc%2Ffull-record%2FWOS:000979487900018","View Full Record in Web of Science")</f>
        <v>View Full Record in Web of Science</v>
      </c>
      <c r="BU2168" s="1"/>
      <c r="BV2168" s="1"/>
    </row>
    <row r="2169" spans="1:74">
      <c r="A2169" s="1" t="s">
        <v>72</v>
      </c>
      <c r="B2169" s="1" t="s">
        <v>34876</v>
      </c>
      <c r="C2169" s="1" t="s">
        <v>74</v>
      </c>
      <c r="D2169" s="1" t="s">
        <v>74</v>
      </c>
      <c r="E2169" s="1" t="s">
        <v>74</v>
      </c>
      <c r="F2169" s="1" t="s">
        <v>34877</v>
      </c>
      <c r="G2169" s="1" t="s">
        <v>74</v>
      </c>
      <c r="H2169" s="1" t="s">
        <v>74</v>
      </c>
      <c r="I2169" s="1" t="s">
        <v>34878</v>
      </c>
      <c r="J2169" s="1" t="s">
        <v>103</v>
      </c>
      <c r="K2169" s="1" t="s">
        <v>74</v>
      </c>
      <c r="L2169" s="1" t="s">
        <v>74</v>
      </c>
      <c r="M2169" s="1" t="s">
        <v>78</v>
      </c>
      <c r="N2169" s="1" t="s">
        <v>79</v>
      </c>
      <c r="O2169" s="1" t="s">
        <v>74</v>
      </c>
      <c r="P2169" s="1" t="s">
        <v>74</v>
      </c>
      <c r="Q2169" s="1" t="s">
        <v>74</v>
      </c>
      <c r="R2169" s="1" t="s">
        <v>74</v>
      </c>
      <c r="S2169" s="1" t="s">
        <v>74</v>
      </c>
      <c r="T2169" s="1" t="s">
        <v>34879</v>
      </c>
      <c r="U2169" s="1" t="s">
        <v>74</v>
      </c>
      <c r="V2169" s="1" t="s">
        <v>34880</v>
      </c>
      <c r="W2169" s="1" t="s">
        <v>34881</v>
      </c>
      <c r="X2169" s="1" t="s">
        <v>34882</v>
      </c>
      <c r="Y2169" s="1" t="s">
        <v>34883</v>
      </c>
      <c r="Z2169" s="1" t="s">
        <v>7837</v>
      </c>
      <c r="AA2169" s="1" t="s">
        <v>74</v>
      </c>
      <c r="AB2169" s="1" t="s">
        <v>34884</v>
      </c>
      <c r="AC2169" s="1" t="s">
        <v>34885</v>
      </c>
      <c r="AD2169" s="1" t="s">
        <v>34886</v>
      </c>
      <c r="AE2169" s="1" t="s">
        <v>34887</v>
      </c>
      <c r="AF2169" s="1" t="s">
        <v>74</v>
      </c>
      <c r="AG2169" s="1">
        <v>31</v>
      </c>
      <c r="AH2169" s="1">
        <v>0</v>
      </c>
      <c r="AI2169" s="1">
        <v>0</v>
      </c>
      <c r="AJ2169" s="1">
        <v>0</v>
      </c>
      <c r="AK2169" s="1">
        <v>8</v>
      </c>
      <c r="AL2169" s="1" t="s">
        <v>112</v>
      </c>
      <c r="AM2169" s="1" t="s">
        <v>113</v>
      </c>
      <c r="AN2169" s="1" t="s">
        <v>114</v>
      </c>
      <c r="AO2169" s="1" t="s">
        <v>115</v>
      </c>
      <c r="AP2169" s="1" t="s">
        <v>116</v>
      </c>
      <c r="AQ2169" s="1" t="s">
        <v>74</v>
      </c>
      <c r="AR2169" s="1" t="s">
        <v>117</v>
      </c>
      <c r="AS2169" s="1" t="s">
        <v>118</v>
      </c>
      <c r="AT2169" s="1" t="s">
        <v>224</v>
      </c>
      <c r="AU2169" s="1">
        <v>2021</v>
      </c>
      <c r="AV2169" s="1">
        <v>106</v>
      </c>
      <c r="AW2169" s="1">
        <v>2</v>
      </c>
      <c r="AX2169" s="1" t="s">
        <v>74</v>
      </c>
      <c r="AY2169" s="1" t="s">
        <v>74</v>
      </c>
      <c r="AZ2169" s="1" t="s">
        <v>74</v>
      </c>
      <c r="BA2169" s="1" t="s">
        <v>74</v>
      </c>
      <c r="BB2169" s="1">
        <v>310</v>
      </c>
      <c r="BC2169" s="1">
        <v>317</v>
      </c>
      <c r="BD2169" s="1" t="s">
        <v>74</v>
      </c>
      <c r="BE2169" s="1" t="s">
        <v>34888</v>
      </c>
      <c r="BF2169" s="1" t="str">
        <f>HYPERLINK("http://dx.doi.org/10.1007/s00128-020-03083-6","http://dx.doi.org/10.1007/s00128-020-03083-6")</f>
        <v>http://dx.doi.org/10.1007/s00128-020-03083-6</v>
      </c>
      <c r="BG2169" s="1" t="s">
        <v>74</v>
      </c>
      <c r="BH2169" s="1" t="s">
        <v>2597</v>
      </c>
      <c r="BI2169" s="1">
        <v>8</v>
      </c>
      <c r="BJ2169" s="1" t="s">
        <v>121</v>
      </c>
      <c r="BK2169" s="1" t="s">
        <v>96</v>
      </c>
      <c r="BL2169" s="1" t="s">
        <v>122</v>
      </c>
      <c r="BM2169" s="1" t="s">
        <v>34889</v>
      </c>
      <c r="BN2169" s="1">
        <v>33433632</v>
      </c>
      <c r="BO2169" s="1" t="s">
        <v>74</v>
      </c>
      <c r="BP2169" s="1" t="s">
        <v>74</v>
      </c>
      <c r="BQ2169" s="1" t="s">
        <v>74</v>
      </c>
      <c r="BR2169" s="1" t="s">
        <v>98</v>
      </c>
      <c r="BS2169" s="1" t="s">
        <v>34890</v>
      </c>
      <c r="BT2169" s="1" t="str">
        <f>HYPERLINK("https%3A%2F%2Fwww.webofscience.com%2Fwos%2Fwoscc%2Ffull-record%2FWOS:000607371800001","View Full Record in Web of Science")</f>
        <v>View Full Record in Web of Science</v>
      </c>
      <c r="BU2169" s="1"/>
      <c r="BV2169" s="1"/>
    </row>
    <row r="2170" spans="1:74">
      <c r="A2170" s="1" t="s">
        <v>72</v>
      </c>
      <c r="B2170" s="1" t="s">
        <v>34891</v>
      </c>
      <c r="C2170" s="1" t="s">
        <v>74</v>
      </c>
      <c r="D2170" s="1" t="s">
        <v>74</v>
      </c>
      <c r="E2170" s="1" t="s">
        <v>74</v>
      </c>
      <c r="F2170" s="1" t="s">
        <v>34892</v>
      </c>
      <c r="G2170" s="1" t="s">
        <v>74</v>
      </c>
      <c r="H2170" s="1" t="s">
        <v>74</v>
      </c>
      <c r="I2170" s="1" t="s">
        <v>34893</v>
      </c>
      <c r="J2170" s="1" t="s">
        <v>232</v>
      </c>
      <c r="K2170" s="1" t="s">
        <v>74</v>
      </c>
      <c r="L2170" s="1" t="s">
        <v>74</v>
      </c>
      <c r="M2170" s="1" t="s">
        <v>78</v>
      </c>
      <c r="N2170" s="1" t="s">
        <v>79</v>
      </c>
      <c r="O2170" s="1" t="s">
        <v>74</v>
      </c>
      <c r="P2170" s="1" t="s">
        <v>74</v>
      </c>
      <c r="Q2170" s="1" t="s">
        <v>74</v>
      </c>
      <c r="R2170" s="1" t="s">
        <v>74</v>
      </c>
      <c r="S2170" s="1" t="s">
        <v>74</v>
      </c>
      <c r="T2170" s="1" t="s">
        <v>34894</v>
      </c>
      <c r="U2170" s="1" t="s">
        <v>34895</v>
      </c>
      <c r="V2170" s="1" t="s">
        <v>34896</v>
      </c>
      <c r="W2170" s="1" t="s">
        <v>34897</v>
      </c>
      <c r="X2170" s="1" t="s">
        <v>34898</v>
      </c>
      <c r="Y2170" s="1" t="s">
        <v>34899</v>
      </c>
      <c r="Z2170" s="1" t="s">
        <v>34900</v>
      </c>
      <c r="AA2170" s="1" t="s">
        <v>20164</v>
      </c>
      <c r="AB2170" s="1" t="s">
        <v>20165</v>
      </c>
      <c r="AC2170" s="1" t="s">
        <v>74</v>
      </c>
      <c r="AD2170" s="1" t="s">
        <v>74</v>
      </c>
      <c r="AE2170" s="1" t="s">
        <v>74</v>
      </c>
      <c r="AF2170" s="1" t="s">
        <v>74</v>
      </c>
      <c r="AG2170" s="1">
        <v>50</v>
      </c>
      <c r="AH2170" s="1">
        <v>26</v>
      </c>
      <c r="AI2170" s="1">
        <v>27</v>
      </c>
      <c r="AJ2170" s="1">
        <v>0</v>
      </c>
      <c r="AK2170" s="1">
        <v>15</v>
      </c>
      <c r="AL2170" s="1" t="s">
        <v>136</v>
      </c>
      <c r="AM2170" s="1" t="s">
        <v>137</v>
      </c>
      <c r="AN2170" s="1" t="s">
        <v>138</v>
      </c>
      <c r="AO2170" s="1" t="s">
        <v>240</v>
      </c>
      <c r="AP2170" s="1" t="s">
        <v>241</v>
      </c>
      <c r="AQ2170" s="1" t="s">
        <v>74</v>
      </c>
      <c r="AR2170" s="1" t="s">
        <v>242</v>
      </c>
      <c r="AS2170" s="1" t="s">
        <v>243</v>
      </c>
      <c r="AT2170" s="1" t="s">
        <v>224</v>
      </c>
      <c r="AU2170" s="1">
        <v>2020</v>
      </c>
      <c r="AV2170" s="1">
        <v>151</v>
      </c>
      <c r="AW2170" s="1" t="s">
        <v>74</v>
      </c>
      <c r="AX2170" s="1" t="s">
        <v>74</v>
      </c>
      <c r="AY2170" s="1" t="s">
        <v>74</v>
      </c>
      <c r="AZ2170" s="1" t="s">
        <v>74</v>
      </c>
      <c r="BA2170" s="1" t="s">
        <v>74</v>
      </c>
      <c r="BB2170" s="1" t="s">
        <v>74</v>
      </c>
      <c r="BC2170" s="1" t="s">
        <v>74</v>
      </c>
      <c r="BD2170" s="1">
        <v>110820</v>
      </c>
      <c r="BE2170" s="1" t="s">
        <v>34901</v>
      </c>
      <c r="BF2170" s="1" t="str">
        <f>HYPERLINK("http://dx.doi.org/10.1016/j.marpolbul.2019.110820","http://dx.doi.org/10.1016/j.marpolbul.2019.110820")</f>
        <v>http://dx.doi.org/10.1016/j.marpolbul.2019.110820</v>
      </c>
      <c r="BG2170" s="1" t="s">
        <v>74</v>
      </c>
      <c r="BH2170" s="1" t="s">
        <v>74</v>
      </c>
      <c r="BI2170" s="1">
        <v>8</v>
      </c>
      <c r="BJ2170" s="1" t="s">
        <v>247</v>
      </c>
      <c r="BK2170" s="1" t="s">
        <v>96</v>
      </c>
      <c r="BL2170" s="1" t="s">
        <v>248</v>
      </c>
      <c r="BM2170" s="1" t="s">
        <v>34902</v>
      </c>
      <c r="BN2170" s="1">
        <v>32056613</v>
      </c>
      <c r="BO2170" s="1" t="s">
        <v>74</v>
      </c>
      <c r="BP2170" s="1" t="s">
        <v>74</v>
      </c>
      <c r="BQ2170" s="1" t="s">
        <v>74</v>
      </c>
      <c r="BR2170" s="1" t="s">
        <v>98</v>
      </c>
      <c r="BS2170" s="1" t="s">
        <v>34903</v>
      </c>
      <c r="BT2170" s="1" t="str">
        <f>HYPERLINK("https%3A%2F%2Fwww.webofscience.com%2Fwos%2Fwoscc%2Ffull-record%2FWOS:000514758400071","View Full Record in Web of Science")</f>
        <v>View Full Record in Web of Science</v>
      </c>
      <c r="BU2170" s="1"/>
      <c r="BV2170" s="1"/>
    </row>
    <row r="2171" spans="1:74">
      <c r="A2171" s="1" t="s">
        <v>72</v>
      </c>
      <c r="B2171" s="1" t="s">
        <v>34904</v>
      </c>
      <c r="C2171" s="1" t="s">
        <v>74</v>
      </c>
      <c r="D2171" s="1" t="s">
        <v>74</v>
      </c>
      <c r="E2171" s="1" t="s">
        <v>74</v>
      </c>
      <c r="F2171" s="1" t="s">
        <v>34905</v>
      </c>
      <c r="G2171" s="1" t="s">
        <v>74</v>
      </c>
      <c r="H2171" s="1" t="s">
        <v>74</v>
      </c>
      <c r="I2171" s="1" t="s">
        <v>34906</v>
      </c>
      <c r="J2171" s="1" t="s">
        <v>34907</v>
      </c>
      <c r="K2171" s="1" t="s">
        <v>74</v>
      </c>
      <c r="L2171" s="1" t="s">
        <v>74</v>
      </c>
      <c r="M2171" s="1" t="s">
        <v>78</v>
      </c>
      <c r="N2171" s="1" t="s">
        <v>79</v>
      </c>
      <c r="O2171" s="1" t="s">
        <v>74</v>
      </c>
      <c r="P2171" s="1" t="s">
        <v>74</v>
      </c>
      <c r="Q2171" s="1" t="s">
        <v>74</v>
      </c>
      <c r="R2171" s="1" t="s">
        <v>74</v>
      </c>
      <c r="S2171" s="1" t="s">
        <v>74</v>
      </c>
      <c r="T2171" s="1" t="s">
        <v>34908</v>
      </c>
      <c r="U2171" s="1" t="s">
        <v>34909</v>
      </c>
      <c r="V2171" s="1" t="s">
        <v>34910</v>
      </c>
      <c r="W2171" s="1" t="s">
        <v>34911</v>
      </c>
      <c r="X2171" s="1" t="s">
        <v>34912</v>
      </c>
      <c r="Y2171" s="1" t="s">
        <v>34913</v>
      </c>
      <c r="Z2171" s="1" t="s">
        <v>34914</v>
      </c>
      <c r="AA2171" s="1" t="s">
        <v>34915</v>
      </c>
      <c r="AB2171" s="1" t="s">
        <v>74</v>
      </c>
      <c r="AC2171" s="1" t="s">
        <v>34916</v>
      </c>
      <c r="AD2171" s="1" t="s">
        <v>34917</v>
      </c>
      <c r="AE2171" s="1" t="s">
        <v>34918</v>
      </c>
      <c r="AF2171" s="1" t="s">
        <v>74</v>
      </c>
      <c r="AG2171" s="1">
        <v>56</v>
      </c>
      <c r="AH2171" s="1">
        <v>0</v>
      </c>
      <c r="AI2171" s="1">
        <v>0</v>
      </c>
      <c r="AJ2171" s="1">
        <v>3</v>
      </c>
      <c r="AK2171" s="1">
        <v>6</v>
      </c>
      <c r="AL2171" s="1" t="s">
        <v>1350</v>
      </c>
      <c r="AM2171" s="1" t="s">
        <v>1351</v>
      </c>
      <c r="AN2171" s="1" t="s">
        <v>1352</v>
      </c>
      <c r="AO2171" s="1" t="s">
        <v>74</v>
      </c>
      <c r="AP2171" s="1" t="s">
        <v>34919</v>
      </c>
      <c r="AQ2171" s="1" t="s">
        <v>74</v>
      </c>
      <c r="AR2171" s="1" t="s">
        <v>34920</v>
      </c>
      <c r="AS2171" s="1" t="s">
        <v>34921</v>
      </c>
      <c r="AT2171" s="1" t="s">
        <v>1091</v>
      </c>
      <c r="AU2171" s="1">
        <v>2023</v>
      </c>
      <c r="AV2171" s="1">
        <v>11</v>
      </c>
      <c r="AW2171" s="1" t="s">
        <v>74</v>
      </c>
      <c r="AX2171" s="1" t="s">
        <v>74</v>
      </c>
      <c r="AY2171" s="1" t="s">
        <v>74</v>
      </c>
      <c r="AZ2171" s="1" t="s">
        <v>74</v>
      </c>
      <c r="BA2171" s="1" t="s">
        <v>74</v>
      </c>
      <c r="BB2171" s="1" t="s">
        <v>74</v>
      </c>
      <c r="BC2171" s="1" t="s">
        <v>74</v>
      </c>
      <c r="BD2171" s="1">
        <v>1209118</v>
      </c>
      <c r="BE2171" s="1" t="s">
        <v>34922</v>
      </c>
      <c r="BF2171" s="1" t="str">
        <f>HYPERLINK("http://dx.doi.org/10.3389/fenvs.2023.1209118","http://dx.doi.org/10.3389/fenvs.2023.1209118")</f>
        <v>http://dx.doi.org/10.3389/fenvs.2023.1209118</v>
      </c>
      <c r="BG2171" s="1" t="s">
        <v>74</v>
      </c>
      <c r="BH2171" s="1" t="s">
        <v>74</v>
      </c>
      <c r="BI2171" s="1">
        <v>10</v>
      </c>
      <c r="BJ2171" s="1" t="s">
        <v>144</v>
      </c>
      <c r="BK2171" s="1" t="s">
        <v>96</v>
      </c>
      <c r="BL2171" s="1" t="s">
        <v>145</v>
      </c>
      <c r="BM2171" s="1" t="s">
        <v>34923</v>
      </c>
      <c r="BN2171" s="1" t="s">
        <v>74</v>
      </c>
      <c r="BO2171" s="1" t="s">
        <v>873</v>
      </c>
      <c r="BP2171" s="1" t="s">
        <v>74</v>
      </c>
      <c r="BQ2171" s="1" t="s">
        <v>74</v>
      </c>
      <c r="BR2171" s="1" t="s">
        <v>98</v>
      </c>
      <c r="BS2171" s="1" t="s">
        <v>34924</v>
      </c>
      <c r="BT2171" s="1" t="str">
        <f>HYPERLINK("https%3A%2F%2Fwww.webofscience.com%2Fwos%2Fwoscc%2Ffull-record%2FWOS:001021591800001","View Full Record in Web of Science")</f>
        <v>View Full Record in Web of Science</v>
      </c>
      <c r="BU2171" s="1"/>
      <c r="BV2171" s="1"/>
    </row>
    <row r="2172" spans="1:74">
      <c r="A2172" s="1" t="s">
        <v>72</v>
      </c>
      <c r="B2172" s="1" t="s">
        <v>34925</v>
      </c>
      <c r="C2172" s="1" t="s">
        <v>74</v>
      </c>
      <c r="D2172" s="1" t="s">
        <v>74</v>
      </c>
      <c r="E2172" s="1" t="s">
        <v>74</v>
      </c>
      <c r="F2172" s="1" t="s">
        <v>34925</v>
      </c>
      <c r="G2172" s="1" t="s">
        <v>74</v>
      </c>
      <c r="H2172" s="1" t="s">
        <v>74</v>
      </c>
      <c r="I2172" s="1" t="s">
        <v>34926</v>
      </c>
      <c r="J2172" s="1" t="s">
        <v>2371</v>
      </c>
      <c r="K2172" s="1" t="s">
        <v>74</v>
      </c>
      <c r="L2172" s="1" t="s">
        <v>74</v>
      </c>
      <c r="M2172" s="1" t="s">
        <v>78</v>
      </c>
      <c r="N2172" s="1" t="s">
        <v>79</v>
      </c>
      <c r="O2172" s="1" t="s">
        <v>74</v>
      </c>
      <c r="P2172" s="1" t="s">
        <v>74</v>
      </c>
      <c r="Q2172" s="1" t="s">
        <v>74</v>
      </c>
      <c r="R2172" s="1" t="s">
        <v>74</v>
      </c>
      <c r="S2172" s="1" t="s">
        <v>74</v>
      </c>
      <c r="T2172" s="1" t="s">
        <v>34927</v>
      </c>
      <c r="U2172" s="1" t="s">
        <v>34928</v>
      </c>
      <c r="V2172" s="1" t="s">
        <v>34929</v>
      </c>
      <c r="W2172" s="1" t="s">
        <v>34930</v>
      </c>
      <c r="X2172" s="1" t="s">
        <v>34931</v>
      </c>
      <c r="Y2172" s="1" t="s">
        <v>34932</v>
      </c>
      <c r="Z2172" s="1" t="s">
        <v>34933</v>
      </c>
      <c r="AA2172" s="1" t="s">
        <v>34934</v>
      </c>
      <c r="AB2172" s="1" t="s">
        <v>34935</v>
      </c>
      <c r="AC2172" s="1" t="s">
        <v>74</v>
      </c>
      <c r="AD2172" s="1" t="s">
        <v>74</v>
      </c>
      <c r="AE2172" s="1" t="s">
        <v>74</v>
      </c>
      <c r="AF2172" s="1" t="s">
        <v>74</v>
      </c>
      <c r="AG2172" s="1">
        <v>35</v>
      </c>
      <c r="AH2172" s="1">
        <v>7</v>
      </c>
      <c r="AI2172" s="1">
        <v>8</v>
      </c>
      <c r="AJ2172" s="1">
        <v>2</v>
      </c>
      <c r="AK2172" s="1">
        <v>23</v>
      </c>
      <c r="AL2172" s="1" t="s">
        <v>2383</v>
      </c>
      <c r="AM2172" s="1" t="s">
        <v>2384</v>
      </c>
      <c r="AN2172" s="1" t="s">
        <v>2385</v>
      </c>
      <c r="AO2172" s="1" t="s">
        <v>2386</v>
      </c>
      <c r="AP2172" s="1" t="s">
        <v>2387</v>
      </c>
      <c r="AQ2172" s="1" t="s">
        <v>74</v>
      </c>
      <c r="AR2172" s="1" t="s">
        <v>2388</v>
      </c>
      <c r="AS2172" s="1" t="s">
        <v>2389</v>
      </c>
      <c r="AT2172" s="1" t="s">
        <v>2935</v>
      </c>
      <c r="AU2172" s="1">
        <v>2004</v>
      </c>
      <c r="AV2172" s="1">
        <v>17</v>
      </c>
      <c r="AW2172" s="1">
        <v>2</v>
      </c>
      <c r="AX2172" s="1" t="s">
        <v>74</v>
      </c>
      <c r="AY2172" s="1" t="s">
        <v>74</v>
      </c>
      <c r="AZ2172" s="1" t="s">
        <v>74</v>
      </c>
      <c r="BA2172" s="1" t="s">
        <v>74</v>
      </c>
      <c r="BB2172" s="1">
        <v>195</v>
      </c>
      <c r="BC2172" s="1">
        <v>200</v>
      </c>
      <c r="BD2172" s="1" t="s">
        <v>74</v>
      </c>
      <c r="BE2172" s="1" t="s">
        <v>34936</v>
      </c>
      <c r="BF2172" s="1" t="str">
        <f>HYPERLINK("http://dx.doi.org/10.1051/alr:2004018","http://dx.doi.org/10.1051/alr:2004018")</f>
        <v>http://dx.doi.org/10.1051/alr:2004018</v>
      </c>
      <c r="BG2172" s="1" t="s">
        <v>74</v>
      </c>
      <c r="BH2172" s="1" t="s">
        <v>74</v>
      </c>
      <c r="BI2172" s="1">
        <v>6</v>
      </c>
      <c r="BJ2172" s="1" t="s">
        <v>2391</v>
      </c>
      <c r="BK2172" s="1" t="s">
        <v>96</v>
      </c>
      <c r="BL2172" s="1" t="s">
        <v>2391</v>
      </c>
      <c r="BM2172" s="1" t="s">
        <v>34937</v>
      </c>
      <c r="BN2172" s="1" t="s">
        <v>74</v>
      </c>
      <c r="BO2172" s="1" t="s">
        <v>2914</v>
      </c>
      <c r="BP2172" s="1" t="s">
        <v>74</v>
      </c>
      <c r="BQ2172" s="1" t="s">
        <v>74</v>
      </c>
      <c r="BR2172" s="1" t="s">
        <v>98</v>
      </c>
      <c r="BS2172" s="1" t="s">
        <v>34938</v>
      </c>
      <c r="BT2172" s="1" t="str">
        <f>HYPERLINK("https%3A%2F%2Fwww.webofscience.com%2Fwos%2Fwoscc%2Ffull-record%2FWOS:000222591000012","View Full Record in Web of Science")</f>
        <v>View Full Record in Web of Science</v>
      </c>
      <c r="BU2172" s="1"/>
      <c r="BV2172" s="1"/>
    </row>
    <row r="2173" spans="1:74">
      <c r="A2173" s="1" t="s">
        <v>72</v>
      </c>
      <c r="B2173" s="1" t="s">
        <v>34939</v>
      </c>
      <c r="C2173" s="1" t="s">
        <v>74</v>
      </c>
      <c r="D2173" s="1" t="s">
        <v>74</v>
      </c>
      <c r="E2173" s="1" t="s">
        <v>74</v>
      </c>
      <c r="F2173" s="1" t="s">
        <v>34939</v>
      </c>
      <c r="G2173" s="1" t="s">
        <v>74</v>
      </c>
      <c r="H2173" s="1" t="s">
        <v>74</v>
      </c>
      <c r="I2173" s="1" t="s">
        <v>34940</v>
      </c>
      <c r="J2173" s="1" t="s">
        <v>232</v>
      </c>
      <c r="K2173" s="1" t="s">
        <v>74</v>
      </c>
      <c r="L2173" s="1" t="s">
        <v>74</v>
      </c>
      <c r="M2173" s="1" t="s">
        <v>78</v>
      </c>
      <c r="N2173" s="1" t="s">
        <v>151</v>
      </c>
      <c r="O2173" s="1" t="s">
        <v>13803</v>
      </c>
      <c r="P2173" s="1" t="s">
        <v>13804</v>
      </c>
      <c r="Q2173" s="1" t="s">
        <v>235</v>
      </c>
      <c r="R2173" s="1" t="s">
        <v>74</v>
      </c>
      <c r="S2173" s="1" t="s">
        <v>74</v>
      </c>
      <c r="T2173" s="1" t="s">
        <v>74</v>
      </c>
      <c r="U2173" s="1" t="s">
        <v>74</v>
      </c>
      <c r="V2173" s="1" t="s">
        <v>34941</v>
      </c>
      <c r="W2173" s="1" t="s">
        <v>34942</v>
      </c>
      <c r="X2173" s="1" t="s">
        <v>34943</v>
      </c>
      <c r="Y2173" s="1" t="s">
        <v>34944</v>
      </c>
      <c r="Z2173" s="1" t="s">
        <v>74</v>
      </c>
      <c r="AA2173" s="1" t="s">
        <v>34945</v>
      </c>
      <c r="AB2173" s="1" t="s">
        <v>13789</v>
      </c>
      <c r="AC2173" s="1" t="s">
        <v>74</v>
      </c>
      <c r="AD2173" s="1" t="s">
        <v>74</v>
      </c>
      <c r="AE2173" s="1" t="s">
        <v>74</v>
      </c>
      <c r="AF2173" s="1" t="s">
        <v>74</v>
      </c>
      <c r="AG2173" s="1">
        <v>6</v>
      </c>
      <c r="AH2173" s="1">
        <v>20</v>
      </c>
      <c r="AI2173" s="1">
        <v>23</v>
      </c>
      <c r="AJ2173" s="1">
        <v>1</v>
      </c>
      <c r="AK2173" s="1">
        <v>6</v>
      </c>
      <c r="AL2173" s="1" t="s">
        <v>136</v>
      </c>
      <c r="AM2173" s="1" t="s">
        <v>137</v>
      </c>
      <c r="AN2173" s="1" t="s">
        <v>138</v>
      </c>
      <c r="AO2173" s="1" t="s">
        <v>240</v>
      </c>
      <c r="AP2173" s="1" t="s">
        <v>241</v>
      </c>
      <c r="AQ2173" s="1" t="s">
        <v>74</v>
      </c>
      <c r="AR2173" s="1" t="s">
        <v>242</v>
      </c>
      <c r="AS2173" s="1" t="s">
        <v>243</v>
      </c>
      <c r="AT2173" s="1" t="s">
        <v>13813</v>
      </c>
      <c r="AU2173" s="1">
        <v>1999</v>
      </c>
      <c r="AV2173" s="1">
        <v>39</v>
      </c>
      <c r="AW2173" s="1" t="s">
        <v>9275</v>
      </c>
      <c r="AX2173" s="1" t="s">
        <v>74</v>
      </c>
      <c r="AY2173" s="1" t="s">
        <v>74</v>
      </c>
      <c r="AZ2173" s="1" t="s">
        <v>74</v>
      </c>
      <c r="BA2173" s="1" t="s">
        <v>74</v>
      </c>
      <c r="BB2173" s="1">
        <v>304</v>
      </c>
      <c r="BC2173" s="1">
        <v>307</v>
      </c>
      <c r="BD2173" s="1" t="s">
        <v>74</v>
      </c>
      <c r="BE2173" s="1" t="s">
        <v>34946</v>
      </c>
      <c r="BF2173" s="1" t="str">
        <f>HYPERLINK("http://dx.doi.org/10.1016/S0025-326X(99)00083-1","http://dx.doi.org/10.1016/S0025-326X(99)00083-1")</f>
        <v>http://dx.doi.org/10.1016/S0025-326X(99)00083-1</v>
      </c>
      <c r="BG2173" s="1" t="s">
        <v>74</v>
      </c>
      <c r="BH2173" s="1" t="s">
        <v>74</v>
      </c>
      <c r="BI2173" s="1">
        <v>4</v>
      </c>
      <c r="BJ2173" s="1" t="s">
        <v>247</v>
      </c>
      <c r="BK2173" s="1" t="s">
        <v>172</v>
      </c>
      <c r="BL2173" s="1" t="s">
        <v>248</v>
      </c>
      <c r="BM2173" s="1" t="s">
        <v>13815</v>
      </c>
      <c r="BN2173" s="1" t="s">
        <v>74</v>
      </c>
      <c r="BO2173" s="1" t="s">
        <v>74</v>
      </c>
      <c r="BP2173" s="1" t="s">
        <v>74</v>
      </c>
      <c r="BQ2173" s="1" t="s">
        <v>74</v>
      </c>
      <c r="BR2173" s="1" t="s">
        <v>98</v>
      </c>
      <c r="BS2173" s="1" t="s">
        <v>34947</v>
      </c>
      <c r="BT2173" s="1" t="str">
        <f>HYPERLINK("https%3A%2F%2Fwww.webofscience.com%2Fwos%2Fwoscc%2Ffull-record%2FWOS:000083356500043","View Full Record in Web of Science")</f>
        <v>View Full Record in Web of Science</v>
      </c>
      <c r="BU2173" s="1"/>
      <c r="BV2173" s="1"/>
    </row>
    <row r="2174" spans="1:74">
      <c r="A2174" s="1" t="s">
        <v>72</v>
      </c>
      <c r="B2174" s="1" t="s">
        <v>34948</v>
      </c>
      <c r="C2174" s="1" t="s">
        <v>74</v>
      </c>
      <c r="D2174" s="1" t="s">
        <v>74</v>
      </c>
      <c r="E2174" s="1" t="s">
        <v>74</v>
      </c>
      <c r="F2174" s="1" t="s">
        <v>34949</v>
      </c>
      <c r="G2174" s="1" t="s">
        <v>74</v>
      </c>
      <c r="H2174" s="1" t="s">
        <v>74</v>
      </c>
      <c r="I2174" s="1" t="s">
        <v>34950</v>
      </c>
      <c r="J2174" s="1" t="s">
        <v>275</v>
      </c>
      <c r="K2174" s="1" t="s">
        <v>74</v>
      </c>
      <c r="L2174" s="1" t="s">
        <v>74</v>
      </c>
      <c r="M2174" s="1" t="s">
        <v>78</v>
      </c>
      <c r="N2174" s="1" t="s">
        <v>79</v>
      </c>
      <c r="O2174" s="1" t="s">
        <v>74</v>
      </c>
      <c r="P2174" s="1" t="s">
        <v>74</v>
      </c>
      <c r="Q2174" s="1" t="s">
        <v>74</v>
      </c>
      <c r="R2174" s="1" t="s">
        <v>74</v>
      </c>
      <c r="S2174" s="1" t="s">
        <v>74</v>
      </c>
      <c r="T2174" s="1" t="s">
        <v>34951</v>
      </c>
      <c r="U2174" s="1" t="s">
        <v>34952</v>
      </c>
      <c r="V2174" s="1" t="s">
        <v>34953</v>
      </c>
      <c r="W2174" s="1" t="s">
        <v>34954</v>
      </c>
      <c r="X2174" s="1" t="s">
        <v>9493</v>
      </c>
      <c r="Y2174" s="1" t="s">
        <v>34955</v>
      </c>
      <c r="Z2174" s="1" t="s">
        <v>34956</v>
      </c>
      <c r="AA2174" s="1" t="s">
        <v>34957</v>
      </c>
      <c r="AB2174" s="1" t="s">
        <v>34958</v>
      </c>
      <c r="AC2174" s="1" t="s">
        <v>34959</v>
      </c>
      <c r="AD2174" s="1" t="s">
        <v>34960</v>
      </c>
      <c r="AE2174" s="1" t="s">
        <v>34961</v>
      </c>
      <c r="AF2174" s="1" t="s">
        <v>74</v>
      </c>
      <c r="AG2174" s="1">
        <v>50</v>
      </c>
      <c r="AH2174" s="1">
        <v>8</v>
      </c>
      <c r="AI2174" s="1">
        <v>11</v>
      </c>
      <c r="AJ2174" s="1">
        <v>1</v>
      </c>
      <c r="AK2174" s="1">
        <v>24</v>
      </c>
      <c r="AL2174" s="1" t="s">
        <v>285</v>
      </c>
      <c r="AM2174" s="1" t="s">
        <v>286</v>
      </c>
      <c r="AN2174" s="1" t="s">
        <v>287</v>
      </c>
      <c r="AO2174" s="1" t="s">
        <v>288</v>
      </c>
      <c r="AP2174" s="1" t="s">
        <v>289</v>
      </c>
      <c r="AQ2174" s="1" t="s">
        <v>74</v>
      </c>
      <c r="AR2174" s="1" t="s">
        <v>290</v>
      </c>
      <c r="AS2174" s="1" t="s">
        <v>291</v>
      </c>
      <c r="AT2174" s="1" t="s">
        <v>197</v>
      </c>
      <c r="AU2174" s="1">
        <v>2014</v>
      </c>
      <c r="AV2174" s="1">
        <v>41</v>
      </c>
      <c r="AW2174" s="1">
        <v>2</v>
      </c>
      <c r="AX2174" s="1" t="s">
        <v>74</v>
      </c>
      <c r="AY2174" s="1" t="s">
        <v>74</v>
      </c>
      <c r="AZ2174" s="1" t="s">
        <v>74</v>
      </c>
      <c r="BA2174" s="1" t="s">
        <v>74</v>
      </c>
      <c r="BB2174" s="1">
        <v>618</v>
      </c>
      <c r="BC2174" s="1">
        <v>624</v>
      </c>
      <c r="BD2174" s="1" t="s">
        <v>74</v>
      </c>
      <c r="BE2174" s="1" t="s">
        <v>34962</v>
      </c>
      <c r="BF2174" s="1" t="str">
        <f>HYPERLINK("http://dx.doi.org/10.1016/j.fsi.2014.10.011","http://dx.doi.org/10.1016/j.fsi.2014.10.011")</f>
        <v>http://dx.doi.org/10.1016/j.fsi.2014.10.011</v>
      </c>
      <c r="BG2174" s="1" t="s">
        <v>74</v>
      </c>
      <c r="BH2174" s="1" t="s">
        <v>74</v>
      </c>
      <c r="BI2174" s="1">
        <v>7</v>
      </c>
      <c r="BJ2174" s="1" t="s">
        <v>293</v>
      </c>
      <c r="BK2174" s="1" t="s">
        <v>96</v>
      </c>
      <c r="BL2174" s="1" t="s">
        <v>293</v>
      </c>
      <c r="BM2174" s="1" t="s">
        <v>34963</v>
      </c>
      <c r="BN2174" s="1">
        <v>25462456</v>
      </c>
      <c r="BO2174" s="1" t="s">
        <v>74</v>
      </c>
      <c r="BP2174" s="1" t="s">
        <v>74</v>
      </c>
      <c r="BQ2174" s="1" t="s">
        <v>74</v>
      </c>
      <c r="BR2174" s="1" t="s">
        <v>98</v>
      </c>
      <c r="BS2174" s="1" t="s">
        <v>34964</v>
      </c>
      <c r="BT2174" s="1" t="str">
        <f>HYPERLINK("https%3A%2F%2Fwww.webofscience.com%2Fwos%2Fwoscc%2Ffull-record%2FWOS:000347017500060","View Full Record in Web of Science")</f>
        <v>View Full Record in Web of Science</v>
      </c>
      <c r="BU2174" s="1"/>
      <c r="BV2174" s="1"/>
    </row>
    <row r="2175" spans="1:74">
      <c r="A2175" s="1" t="s">
        <v>72</v>
      </c>
      <c r="B2175" s="1" t="s">
        <v>34965</v>
      </c>
      <c r="C2175" s="1" t="s">
        <v>74</v>
      </c>
      <c r="D2175" s="1" t="s">
        <v>74</v>
      </c>
      <c r="E2175" s="1" t="s">
        <v>74</v>
      </c>
      <c r="F2175" s="1" t="s">
        <v>34966</v>
      </c>
      <c r="G2175" s="1" t="s">
        <v>74</v>
      </c>
      <c r="H2175" s="1" t="s">
        <v>74</v>
      </c>
      <c r="I2175" s="1" t="s">
        <v>34967</v>
      </c>
      <c r="J2175" s="1" t="s">
        <v>232</v>
      </c>
      <c r="K2175" s="1" t="s">
        <v>74</v>
      </c>
      <c r="L2175" s="1" t="s">
        <v>74</v>
      </c>
      <c r="M2175" s="1" t="s">
        <v>78</v>
      </c>
      <c r="N2175" s="1" t="s">
        <v>79</v>
      </c>
      <c r="O2175" s="1" t="s">
        <v>74</v>
      </c>
      <c r="P2175" s="1" t="s">
        <v>74</v>
      </c>
      <c r="Q2175" s="1" t="s">
        <v>74</v>
      </c>
      <c r="R2175" s="1" t="s">
        <v>74</v>
      </c>
      <c r="S2175" s="1" t="s">
        <v>74</v>
      </c>
      <c r="T2175" s="1" t="s">
        <v>34968</v>
      </c>
      <c r="U2175" s="1" t="s">
        <v>34969</v>
      </c>
      <c r="V2175" s="1" t="s">
        <v>34970</v>
      </c>
      <c r="W2175" s="1" t="s">
        <v>34971</v>
      </c>
      <c r="X2175" s="1" t="s">
        <v>34972</v>
      </c>
      <c r="Y2175" s="1" t="s">
        <v>34973</v>
      </c>
      <c r="Z2175" s="1" t="s">
        <v>34974</v>
      </c>
      <c r="AA2175" s="1" t="s">
        <v>34975</v>
      </c>
      <c r="AB2175" s="1" t="s">
        <v>16852</v>
      </c>
      <c r="AC2175" s="1" t="s">
        <v>34976</v>
      </c>
      <c r="AD2175" s="1" t="s">
        <v>34977</v>
      </c>
      <c r="AE2175" s="1" t="s">
        <v>34978</v>
      </c>
      <c r="AF2175" s="1" t="s">
        <v>74</v>
      </c>
      <c r="AG2175" s="1">
        <v>81</v>
      </c>
      <c r="AH2175" s="1">
        <v>49</v>
      </c>
      <c r="AI2175" s="1">
        <v>50</v>
      </c>
      <c r="AJ2175" s="1">
        <v>0</v>
      </c>
      <c r="AK2175" s="1">
        <v>33</v>
      </c>
      <c r="AL2175" s="1" t="s">
        <v>136</v>
      </c>
      <c r="AM2175" s="1" t="s">
        <v>137</v>
      </c>
      <c r="AN2175" s="1" t="s">
        <v>138</v>
      </c>
      <c r="AO2175" s="1" t="s">
        <v>240</v>
      </c>
      <c r="AP2175" s="1" t="s">
        <v>241</v>
      </c>
      <c r="AQ2175" s="1" t="s">
        <v>74</v>
      </c>
      <c r="AR2175" s="1" t="s">
        <v>242</v>
      </c>
      <c r="AS2175" s="1" t="s">
        <v>243</v>
      </c>
      <c r="AT2175" s="1" t="s">
        <v>1965</v>
      </c>
      <c r="AU2175" s="1">
        <v>2014</v>
      </c>
      <c r="AV2175" s="1">
        <v>89</v>
      </c>
      <c r="AW2175" s="1" t="s">
        <v>326</v>
      </c>
      <c r="AX2175" s="1" t="s">
        <v>74</v>
      </c>
      <c r="AY2175" s="1" t="s">
        <v>74</v>
      </c>
      <c r="AZ2175" s="1" t="s">
        <v>74</v>
      </c>
      <c r="BA2175" s="1" t="s">
        <v>74</v>
      </c>
      <c r="BB2175" s="1">
        <v>390</v>
      </c>
      <c r="BC2175" s="1">
        <v>406</v>
      </c>
      <c r="BD2175" s="1" t="s">
        <v>74</v>
      </c>
      <c r="BE2175" s="1" t="s">
        <v>34979</v>
      </c>
      <c r="BF2175" s="1" t="str">
        <f>HYPERLINK("http://dx.doi.org/10.1016/j.marpolbul.2014.08.030","http://dx.doi.org/10.1016/j.marpolbul.2014.08.030")</f>
        <v>http://dx.doi.org/10.1016/j.marpolbul.2014.08.030</v>
      </c>
      <c r="BG2175" s="1" t="s">
        <v>74</v>
      </c>
      <c r="BH2175" s="1" t="s">
        <v>74</v>
      </c>
      <c r="BI2175" s="1">
        <v>17</v>
      </c>
      <c r="BJ2175" s="1" t="s">
        <v>247</v>
      </c>
      <c r="BK2175" s="1" t="s">
        <v>96</v>
      </c>
      <c r="BL2175" s="1" t="s">
        <v>248</v>
      </c>
      <c r="BM2175" s="1" t="s">
        <v>13708</v>
      </c>
      <c r="BN2175" s="1">
        <v>25440897</v>
      </c>
      <c r="BO2175" s="1" t="s">
        <v>1752</v>
      </c>
      <c r="BP2175" s="1" t="s">
        <v>74</v>
      </c>
      <c r="BQ2175" s="1" t="s">
        <v>74</v>
      </c>
      <c r="BR2175" s="1" t="s">
        <v>98</v>
      </c>
      <c r="BS2175" s="1" t="s">
        <v>34980</v>
      </c>
      <c r="BT2175" s="1" t="str">
        <f>HYPERLINK("https%3A%2F%2Fwww.webofscience.com%2Fwos%2Fwoscc%2Ffull-record%2FWOS:000347494700059","View Full Record in Web of Science")</f>
        <v>View Full Record in Web of Science</v>
      </c>
      <c r="BU2175" s="1"/>
      <c r="BV2175" s="1"/>
    </row>
    <row r="2176" spans="1:74">
      <c r="A2176" s="1" t="s">
        <v>72</v>
      </c>
      <c r="B2176" s="1" t="s">
        <v>34981</v>
      </c>
      <c r="C2176" s="1" t="s">
        <v>74</v>
      </c>
      <c r="D2176" s="1" t="s">
        <v>74</v>
      </c>
      <c r="E2176" s="1" t="s">
        <v>74</v>
      </c>
      <c r="F2176" s="1" t="s">
        <v>34982</v>
      </c>
      <c r="G2176" s="1" t="s">
        <v>74</v>
      </c>
      <c r="H2176" s="1" t="s">
        <v>74</v>
      </c>
      <c r="I2176" s="1" t="s">
        <v>34983</v>
      </c>
      <c r="J2176" s="1" t="s">
        <v>232</v>
      </c>
      <c r="K2176" s="1" t="s">
        <v>74</v>
      </c>
      <c r="L2176" s="1" t="s">
        <v>74</v>
      </c>
      <c r="M2176" s="1" t="s">
        <v>78</v>
      </c>
      <c r="N2176" s="1" t="s">
        <v>79</v>
      </c>
      <c r="O2176" s="1" t="s">
        <v>74</v>
      </c>
      <c r="P2176" s="1" t="s">
        <v>74</v>
      </c>
      <c r="Q2176" s="1" t="s">
        <v>74</v>
      </c>
      <c r="R2176" s="1" t="s">
        <v>74</v>
      </c>
      <c r="S2176" s="1" t="s">
        <v>74</v>
      </c>
      <c r="T2176" s="1" t="s">
        <v>34984</v>
      </c>
      <c r="U2176" s="1" t="s">
        <v>34985</v>
      </c>
      <c r="V2176" s="1" t="s">
        <v>34986</v>
      </c>
      <c r="W2176" s="1" t="s">
        <v>34987</v>
      </c>
      <c r="X2176" s="1" t="s">
        <v>34988</v>
      </c>
      <c r="Y2176" s="1" t="s">
        <v>34989</v>
      </c>
      <c r="Z2176" s="1" t="s">
        <v>34990</v>
      </c>
      <c r="AA2176" s="1" t="s">
        <v>74</v>
      </c>
      <c r="AB2176" s="1" t="s">
        <v>34991</v>
      </c>
      <c r="AC2176" s="1" t="s">
        <v>34992</v>
      </c>
      <c r="AD2176" s="1" t="s">
        <v>34993</v>
      </c>
      <c r="AE2176" s="1" t="s">
        <v>34994</v>
      </c>
      <c r="AF2176" s="1" t="s">
        <v>74</v>
      </c>
      <c r="AG2176" s="1">
        <v>109</v>
      </c>
      <c r="AH2176" s="1">
        <v>0</v>
      </c>
      <c r="AI2176" s="1">
        <v>0</v>
      </c>
      <c r="AJ2176" s="1">
        <v>2</v>
      </c>
      <c r="AK2176" s="1">
        <v>13</v>
      </c>
      <c r="AL2176" s="1" t="s">
        <v>136</v>
      </c>
      <c r="AM2176" s="1" t="s">
        <v>137</v>
      </c>
      <c r="AN2176" s="1" t="s">
        <v>138</v>
      </c>
      <c r="AO2176" s="1" t="s">
        <v>240</v>
      </c>
      <c r="AP2176" s="1" t="s">
        <v>241</v>
      </c>
      <c r="AQ2176" s="1" t="s">
        <v>74</v>
      </c>
      <c r="AR2176" s="1" t="s">
        <v>242</v>
      </c>
      <c r="AS2176" s="1" t="s">
        <v>243</v>
      </c>
      <c r="AT2176" s="1" t="s">
        <v>119</v>
      </c>
      <c r="AU2176" s="1">
        <v>2023</v>
      </c>
      <c r="AV2176" s="1">
        <v>193</v>
      </c>
      <c r="AW2176" s="1" t="s">
        <v>74</v>
      </c>
      <c r="AX2176" s="1" t="s">
        <v>74</v>
      </c>
      <c r="AY2176" s="1" t="s">
        <v>74</v>
      </c>
      <c r="AZ2176" s="1" t="s">
        <v>74</v>
      </c>
      <c r="BA2176" s="1" t="s">
        <v>74</v>
      </c>
      <c r="BB2176" s="1" t="s">
        <v>74</v>
      </c>
      <c r="BC2176" s="1" t="s">
        <v>74</v>
      </c>
      <c r="BD2176" s="1">
        <v>115251</v>
      </c>
      <c r="BE2176" s="1" t="s">
        <v>34995</v>
      </c>
      <c r="BF2176" s="1" t="str">
        <f>HYPERLINK("http://dx.doi.org/10.1016/j.marpolbul.2023.115251","http://dx.doi.org/10.1016/j.marpolbul.2023.115251")</f>
        <v>http://dx.doi.org/10.1016/j.marpolbul.2023.115251</v>
      </c>
      <c r="BG2176" s="1" t="s">
        <v>74</v>
      </c>
      <c r="BH2176" s="1" t="s">
        <v>1121</v>
      </c>
      <c r="BI2176" s="1">
        <v>13</v>
      </c>
      <c r="BJ2176" s="1" t="s">
        <v>247</v>
      </c>
      <c r="BK2176" s="1" t="s">
        <v>96</v>
      </c>
      <c r="BL2176" s="1" t="s">
        <v>248</v>
      </c>
      <c r="BM2176" s="1" t="s">
        <v>34996</v>
      </c>
      <c r="BN2176" s="1">
        <v>37421912</v>
      </c>
      <c r="BO2176" s="1" t="s">
        <v>27254</v>
      </c>
      <c r="BP2176" s="1" t="s">
        <v>74</v>
      </c>
      <c r="BQ2176" s="1" t="s">
        <v>74</v>
      </c>
      <c r="BR2176" s="1" t="s">
        <v>98</v>
      </c>
      <c r="BS2176" s="1" t="s">
        <v>34997</v>
      </c>
      <c r="BT2176" s="1" t="str">
        <f>HYPERLINK("https%3A%2F%2Fwww.webofscience.com%2Fwos%2Fwoscc%2Ffull-record%2FWOS:001041651700001","View Full Record in Web of Science")</f>
        <v>View Full Record in Web of Science</v>
      </c>
      <c r="BU2176" s="1"/>
      <c r="BV2176" s="1"/>
    </row>
    <row r="2177" spans="1:74">
      <c r="A2177" s="1" t="s">
        <v>72</v>
      </c>
      <c r="B2177" s="1" t="s">
        <v>34998</v>
      </c>
      <c r="C2177" s="1" t="s">
        <v>74</v>
      </c>
      <c r="D2177" s="1" t="s">
        <v>74</v>
      </c>
      <c r="E2177" s="1" t="s">
        <v>74</v>
      </c>
      <c r="F2177" s="1" t="s">
        <v>34999</v>
      </c>
      <c r="G2177" s="1" t="s">
        <v>74</v>
      </c>
      <c r="H2177" s="1" t="s">
        <v>74</v>
      </c>
      <c r="I2177" s="1" t="s">
        <v>35000</v>
      </c>
      <c r="J2177" s="1" t="s">
        <v>752</v>
      </c>
      <c r="K2177" s="1" t="s">
        <v>74</v>
      </c>
      <c r="L2177" s="1" t="s">
        <v>74</v>
      </c>
      <c r="M2177" s="1" t="s">
        <v>78</v>
      </c>
      <c r="N2177" s="1" t="s">
        <v>79</v>
      </c>
      <c r="O2177" s="1" t="s">
        <v>74</v>
      </c>
      <c r="P2177" s="1" t="s">
        <v>74</v>
      </c>
      <c r="Q2177" s="1" t="s">
        <v>74</v>
      </c>
      <c r="R2177" s="1" t="s">
        <v>74</v>
      </c>
      <c r="S2177" s="1" t="s">
        <v>74</v>
      </c>
      <c r="T2177" s="1" t="s">
        <v>35001</v>
      </c>
      <c r="U2177" s="1" t="s">
        <v>35002</v>
      </c>
      <c r="V2177" s="1" t="s">
        <v>35003</v>
      </c>
      <c r="W2177" s="1" t="s">
        <v>35004</v>
      </c>
      <c r="X2177" s="1" t="s">
        <v>35005</v>
      </c>
      <c r="Y2177" s="1" t="s">
        <v>35006</v>
      </c>
      <c r="Z2177" s="1" t="s">
        <v>35007</v>
      </c>
      <c r="AA2177" s="1" t="s">
        <v>35008</v>
      </c>
      <c r="AB2177" s="1" t="s">
        <v>35009</v>
      </c>
      <c r="AC2177" s="1" t="s">
        <v>35010</v>
      </c>
      <c r="AD2177" s="1" t="s">
        <v>35011</v>
      </c>
      <c r="AE2177" s="1" t="s">
        <v>35012</v>
      </c>
      <c r="AF2177" s="1" t="s">
        <v>74</v>
      </c>
      <c r="AG2177" s="1">
        <v>54</v>
      </c>
      <c r="AH2177" s="1">
        <v>16</v>
      </c>
      <c r="AI2177" s="1">
        <v>19</v>
      </c>
      <c r="AJ2177" s="1">
        <v>0</v>
      </c>
      <c r="AK2177" s="1">
        <v>36</v>
      </c>
      <c r="AL2177" s="1" t="s">
        <v>430</v>
      </c>
      <c r="AM2177" s="1" t="s">
        <v>137</v>
      </c>
      <c r="AN2177" s="1" t="s">
        <v>431</v>
      </c>
      <c r="AO2177" s="1" t="s">
        <v>761</v>
      </c>
      <c r="AP2177" s="1" t="s">
        <v>762</v>
      </c>
      <c r="AQ2177" s="1" t="s">
        <v>74</v>
      </c>
      <c r="AR2177" s="1" t="s">
        <v>763</v>
      </c>
      <c r="AS2177" s="1" t="s">
        <v>764</v>
      </c>
      <c r="AT2177" s="1" t="s">
        <v>224</v>
      </c>
      <c r="AU2177" s="1">
        <v>2019</v>
      </c>
      <c r="AV2177" s="1">
        <v>144</v>
      </c>
      <c r="AW2177" s="1" t="s">
        <v>74</v>
      </c>
      <c r="AX2177" s="1" t="s">
        <v>74</v>
      </c>
      <c r="AY2177" s="1" t="s">
        <v>74</v>
      </c>
      <c r="AZ2177" s="1" t="s">
        <v>74</v>
      </c>
      <c r="BA2177" s="1" t="s">
        <v>74</v>
      </c>
      <c r="BB2177" s="1">
        <v>194</v>
      </c>
      <c r="BC2177" s="1">
        <v>202</v>
      </c>
      <c r="BD2177" s="1" t="s">
        <v>74</v>
      </c>
      <c r="BE2177" s="1" t="s">
        <v>35013</v>
      </c>
      <c r="BF2177" s="1" t="str">
        <f>HYPERLINK("http://dx.doi.org/10.1016/j.marenvres.2019.01.012","http://dx.doi.org/10.1016/j.marenvres.2019.01.012")</f>
        <v>http://dx.doi.org/10.1016/j.marenvres.2019.01.012</v>
      </c>
      <c r="BG2177" s="1" t="s">
        <v>74</v>
      </c>
      <c r="BH2177" s="1" t="s">
        <v>74</v>
      </c>
      <c r="BI2177" s="1">
        <v>9</v>
      </c>
      <c r="BJ2177" s="1" t="s">
        <v>768</v>
      </c>
      <c r="BK2177" s="1" t="s">
        <v>96</v>
      </c>
      <c r="BL2177" s="1" t="s">
        <v>769</v>
      </c>
      <c r="BM2177" s="1" t="s">
        <v>35014</v>
      </c>
      <c r="BN2177" s="1">
        <v>30709639</v>
      </c>
      <c r="BO2177" s="1" t="s">
        <v>74</v>
      </c>
      <c r="BP2177" s="1" t="s">
        <v>74</v>
      </c>
      <c r="BQ2177" s="1" t="s">
        <v>74</v>
      </c>
      <c r="BR2177" s="1" t="s">
        <v>98</v>
      </c>
      <c r="BS2177" s="1" t="s">
        <v>35015</v>
      </c>
      <c r="BT2177" s="1" t="str">
        <f>HYPERLINK("https%3A%2F%2Fwww.webofscience.com%2Fwos%2Fwoscc%2Ffull-record%2FWOS:000461523500021","View Full Record in Web of Science")</f>
        <v>View Full Record in Web of Science</v>
      </c>
      <c r="BU2177" s="1"/>
      <c r="BV2177" s="1"/>
    </row>
    <row r="2178" spans="1:74">
      <c r="A2178" s="1" t="s">
        <v>72</v>
      </c>
      <c r="B2178" s="1" t="s">
        <v>35016</v>
      </c>
      <c r="C2178" s="1" t="s">
        <v>74</v>
      </c>
      <c r="D2178" s="1" t="s">
        <v>74</v>
      </c>
      <c r="E2178" s="1" t="s">
        <v>74</v>
      </c>
      <c r="F2178" s="1" t="s">
        <v>35017</v>
      </c>
      <c r="G2178" s="1" t="s">
        <v>74</v>
      </c>
      <c r="H2178" s="1" t="s">
        <v>74</v>
      </c>
      <c r="I2178" s="1" t="s">
        <v>35018</v>
      </c>
      <c r="J2178" s="1" t="s">
        <v>421</v>
      </c>
      <c r="K2178" s="1" t="s">
        <v>74</v>
      </c>
      <c r="L2178" s="1" t="s">
        <v>74</v>
      </c>
      <c r="M2178" s="1" t="s">
        <v>78</v>
      </c>
      <c r="N2178" s="1" t="s">
        <v>79</v>
      </c>
      <c r="O2178" s="1" t="s">
        <v>74</v>
      </c>
      <c r="P2178" s="1" t="s">
        <v>74</v>
      </c>
      <c r="Q2178" s="1" t="s">
        <v>74</v>
      </c>
      <c r="R2178" s="1" t="s">
        <v>74</v>
      </c>
      <c r="S2178" s="1" t="s">
        <v>74</v>
      </c>
      <c r="T2178" s="1" t="s">
        <v>35019</v>
      </c>
      <c r="U2178" s="1" t="s">
        <v>35020</v>
      </c>
      <c r="V2178" s="1" t="s">
        <v>35021</v>
      </c>
      <c r="W2178" s="1" t="s">
        <v>35022</v>
      </c>
      <c r="X2178" s="1" t="s">
        <v>6385</v>
      </c>
      <c r="Y2178" s="1" t="s">
        <v>35023</v>
      </c>
      <c r="Z2178" s="1" t="s">
        <v>22761</v>
      </c>
      <c r="AA2178" s="1" t="s">
        <v>35024</v>
      </c>
      <c r="AB2178" s="1" t="s">
        <v>35025</v>
      </c>
      <c r="AC2178" s="1" t="s">
        <v>35026</v>
      </c>
      <c r="AD2178" s="1" t="s">
        <v>35027</v>
      </c>
      <c r="AE2178" s="1" t="s">
        <v>35028</v>
      </c>
      <c r="AF2178" s="1" t="s">
        <v>74</v>
      </c>
      <c r="AG2178" s="1">
        <v>66</v>
      </c>
      <c r="AH2178" s="1">
        <v>59</v>
      </c>
      <c r="AI2178" s="1">
        <v>63</v>
      </c>
      <c r="AJ2178" s="1">
        <v>0</v>
      </c>
      <c r="AK2178" s="1">
        <v>39</v>
      </c>
      <c r="AL2178" s="1" t="s">
        <v>430</v>
      </c>
      <c r="AM2178" s="1" t="s">
        <v>137</v>
      </c>
      <c r="AN2178" s="1" t="s">
        <v>431</v>
      </c>
      <c r="AO2178" s="1" t="s">
        <v>432</v>
      </c>
      <c r="AP2178" s="1" t="s">
        <v>1394</v>
      </c>
      <c r="AQ2178" s="1" t="s">
        <v>74</v>
      </c>
      <c r="AR2178" s="1" t="s">
        <v>433</v>
      </c>
      <c r="AS2178" s="1" t="s">
        <v>434</v>
      </c>
      <c r="AT2178" s="1" t="s">
        <v>1470</v>
      </c>
      <c r="AU2178" s="1">
        <v>2011</v>
      </c>
      <c r="AV2178" s="1">
        <v>159</v>
      </c>
      <c r="AW2178" s="1">
        <v>1</v>
      </c>
      <c r="AX2178" s="1" t="s">
        <v>74</v>
      </c>
      <c r="AY2178" s="1" t="s">
        <v>74</v>
      </c>
      <c r="AZ2178" s="1" t="s">
        <v>74</v>
      </c>
      <c r="BA2178" s="1" t="s">
        <v>74</v>
      </c>
      <c r="BB2178" s="1">
        <v>100</v>
      </c>
      <c r="BC2178" s="1">
        <v>107</v>
      </c>
      <c r="BD2178" s="1" t="s">
        <v>74</v>
      </c>
      <c r="BE2178" s="1" t="s">
        <v>35029</v>
      </c>
      <c r="BF2178" s="1" t="str">
        <f>HYPERLINK("http://dx.doi.org/10.1016/j.envpol.2010.09.018","http://dx.doi.org/10.1016/j.envpol.2010.09.018")</f>
        <v>http://dx.doi.org/10.1016/j.envpol.2010.09.018</v>
      </c>
      <c r="BG2178" s="1" t="s">
        <v>74</v>
      </c>
      <c r="BH2178" s="1" t="s">
        <v>74</v>
      </c>
      <c r="BI2178" s="1">
        <v>8</v>
      </c>
      <c r="BJ2178" s="1" t="s">
        <v>144</v>
      </c>
      <c r="BK2178" s="1" t="s">
        <v>96</v>
      </c>
      <c r="BL2178" s="1" t="s">
        <v>145</v>
      </c>
      <c r="BM2178" s="1" t="s">
        <v>1925</v>
      </c>
      <c r="BN2178" s="1">
        <v>20952114</v>
      </c>
      <c r="BO2178" s="1" t="s">
        <v>810</v>
      </c>
      <c r="BP2178" s="1" t="s">
        <v>74</v>
      </c>
      <c r="BQ2178" s="1" t="s">
        <v>74</v>
      </c>
      <c r="BR2178" s="1" t="s">
        <v>98</v>
      </c>
      <c r="BS2178" s="1" t="s">
        <v>35030</v>
      </c>
      <c r="BT2178" s="1" t="str">
        <f>HYPERLINK("https%3A%2F%2Fwww.webofscience.com%2Fwos%2Fwoscc%2Ffull-record%2FWOS:000285129600014","View Full Record in Web of Science")</f>
        <v>View Full Record in Web of Science</v>
      </c>
      <c r="BU2178" s="1"/>
      <c r="BV2178" s="1"/>
    </row>
    <row r="2179" spans="1:74">
      <c r="A2179" s="1" t="s">
        <v>72</v>
      </c>
      <c r="B2179" s="1" t="s">
        <v>35031</v>
      </c>
      <c r="C2179" s="1" t="s">
        <v>74</v>
      </c>
      <c r="D2179" s="1" t="s">
        <v>74</v>
      </c>
      <c r="E2179" s="1" t="s">
        <v>74</v>
      </c>
      <c r="F2179" s="1" t="s">
        <v>35032</v>
      </c>
      <c r="G2179" s="1" t="s">
        <v>74</v>
      </c>
      <c r="H2179" s="1" t="s">
        <v>74</v>
      </c>
      <c r="I2179" s="1" t="s">
        <v>35033</v>
      </c>
      <c r="J2179" s="1" t="s">
        <v>421</v>
      </c>
      <c r="K2179" s="1" t="s">
        <v>74</v>
      </c>
      <c r="L2179" s="1" t="s">
        <v>74</v>
      </c>
      <c r="M2179" s="1" t="s">
        <v>78</v>
      </c>
      <c r="N2179" s="1" t="s">
        <v>79</v>
      </c>
      <c r="O2179" s="1" t="s">
        <v>74</v>
      </c>
      <c r="P2179" s="1" t="s">
        <v>74</v>
      </c>
      <c r="Q2179" s="1" t="s">
        <v>74</v>
      </c>
      <c r="R2179" s="1" t="s">
        <v>74</v>
      </c>
      <c r="S2179" s="1" t="s">
        <v>74</v>
      </c>
      <c r="T2179" s="1" t="s">
        <v>35034</v>
      </c>
      <c r="U2179" s="1" t="s">
        <v>35035</v>
      </c>
      <c r="V2179" s="1" t="s">
        <v>35036</v>
      </c>
      <c r="W2179" s="1" t="s">
        <v>35037</v>
      </c>
      <c r="X2179" s="1" t="s">
        <v>35038</v>
      </c>
      <c r="Y2179" s="1" t="s">
        <v>18197</v>
      </c>
      <c r="Z2179" s="1" t="s">
        <v>9446</v>
      </c>
      <c r="AA2179" s="1" t="s">
        <v>74</v>
      </c>
      <c r="AB2179" s="1" t="s">
        <v>35039</v>
      </c>
      <c r="AC2179" s="1" t="s">
        <v>35040</v>
      </c>
      <c r="AD2179" s="1" t="s">
        <v>35041</v>
      </c>
      <c r="AE2179" s="1" t="s">
        <v>35042</v>
      </c>
      <c r="AF2179" s="1" t="s">
        <v>74</v>
      </c>
      <c r="AG2179" s="1">
        <v>47</v>
      </c>
      <c r="AH2179" s="1">
        <v>22</v>
      </c>
      <c r="AI2179" s="1">
        <v>26</v>
      </c>
      <c r="AJ2179" s="1">
        <v>2</v>
      </c>
      <c r="AK2179" s="1">
        <v>32</v>
      </c>
      <c r="AL2179" s="1" t="s">
        <v>430</v>
      </c>
      <c r="AM2179" s="1" t="s">
        <v>137</v>
      </c>
      <c r="AN2179" s="1" t="s">
        <v>431</v>
      </c>
      <c r="AO2179" s="1" t="s">
        <v>432</v>
      </c>
      <c r="AP2179" s="1" t="s">
        <v>1394</v>
      </c>
      <c r="AQ2179" s="1" t="s">
        <v>74</v>
      </c>
      <c r="AR2179" s="1" t="s">
        <v>433</v>
      </c>
      <c r="AS2179" s="1" t="s">
        <v>434</v>
      </c>
      <c r="AT2179" s="1" t="s">
        <v>951</v>
      </c>
      <c r="AU2179" s="1">
        <v>2012</v>
      </c>
      <c r="AV2179" s="1">
        <v>170</v>
      </c>
      <c r="AW2179" s="1" t="s">
        <v>74</v>
      </c>
      <c r="AX2179" s="1" t="s">
        <v>74</v>
      </c>
      <c r="AY2179" s="1" t="s">
        <v>74</v>
      </c>
      <c r="AZ2179" s="1" t="s">
        <v>74</v>
      </c>
      <c r="BA2179" s="1" t="s">
        <v>74</v>
      </c>
      <c r="BB2179" s="1">
        <v>102</v>
      </c>
      <c r="BC2179" s="1">
        <v>112</v>
      </c>
      <c r="BD2179" s="1" t="s">
        <v>74</v>
      </c>
      <c r="BE2179" s="1" t="s">
        <v>35043</v>
      </c>
      <c r="BF2179" s="1" t="str">
        <f>HYPERLINK("http://dx.doi.org/10.1016/j.envpol.2012.06.015","http://dx.doi.org/10.1016/j.envpol.2012.06.015")</f>
        <v>http://dx.doi.org/10.1016/j.envpol.2012.06.015</v>
      </c>
      <c r="BG2179" s="1" t="s">
        <v>74</v>
      </c>
      <c r="BH2179" s="1" t="s">
        <v>74</v>
      </c>
      <c r="BI2179" s="1">
        <v>11</v>
      </c>
      <c r="BJ2179" s="1" t="s">
        <v>144</v>
      </c>
      <c r="BK2179" s="1" t="s">
        <v>96</v>
      </c>
      <c r="BL2179" s="1" t="s">
        <v>145</v>
      </c>
      <c r="BM2179" s="1" t="s">
        <v>35044</v>
      </c>
      <c r="BN2179" s="1">
        <v>22771357</v>
      </c>
      <c r="BO2179" s="1" t="s">
        <v>370</v>
      </c>
      <c r="BP2179" s="1" t="s">
        <v>74</v>
      </c>
      <c r="BQ2179" s="1" t="s">
        <v>74</v>
      </c>
      <c r="BR2179" s="1" t="s">
        <v>98</v>
      </c>
      <c r="BS2179" s="1" t="s">
        <v>35045</v>
      </c>
      <c r="BT2179" s="1" t="str">
        <f>HYPERLINK("https%3A%2F%2Fwww.webofscience.com%2Fwos%2Fwoscc%2Ffull-record%2FWOS:000308450100014","View Full Record in Web of Science")</f>
        <v>View Full Record in Web of Science</v>
      </c>
      <c r="BU2179" s="1"/>
      <c r="BV2179" s="1"/>
    </row>
    <row r="2180" spans="1:74">
      <c r="A2180" s="1" t="s">
        <v>72</v>
      </c>
      <c r="B2180" s="1" t="s">
        <v>35046</v>
      </c>
      <c r="C2180" s="1" t="s">
        <v>74</v>
      </c>
      <c r="D2180" s="1" t="s">
        <v>74</v>
      </c>
      <c r="E2180" s="1" t="s">
        <v>74</v>
      </c>
      <c r="F2180" s="1" t="s">
        <v>35047</v>
      </c>
      <c r="G2180" s="1" t="s">
        <v>74</v>
      </c>
      <c r="H2180" s="1" t="s">
        <v>74</v>
      </c>
      <c r="I2180" s="1" t="s">
        <v>35048</v>
      </c>
      <c r="J2180" s="1" t="s">
        <v>232</v>
      </c>
      <c r="K2180" s="1" t="s">
        <v>74</v>
      </c>
      <c r="L2180" s="1" t="s">
        <v>74</v>
      </c>
      <c r="M2180" s="1" t="s">
        <v>78</v>
      </c>
      <c r="N2180" s="1" t="s">
        <v>79</v>
      </c>
      <c r="O2180" s="1" t="s">
        <v>74</v>
      </c>
      <c r="P2180" s="1" t="s">
        <v>74</v>
      </c>
      <c r="Q2180" s="1" t="s">
        <v>74</v>
      </c>
      <c r="R2180" s="1" t="s">
        <v>74</v>
      </c>
      <c r="S2180" s="1" t="s">
        <v>74</v>
      </c>
      <c r="T2180" s="1" t="s">
        <v>35049</v>
      </c>
      <c r="U2180" s="1" t="s">
        <v>35050</v>
      </c>
      <c r="V2180" s="1" t="s">
        <v>35051</v>
      </c>
      <c r="W2180" s="1" t="s">
        <v>35052</v>
      </c>
      <c r="X2180" s="1" t="s">
        <v>35053</v>
      </c>
      <c r="Y2180" s="1" t="s">
        <v>35054</v>
      </c>
      <c r="Z2180" s="1" t="s">
        <v>35055</v>
      </c>
      <c r="AA2180" s="1" t="s">
        <v>35056</v>
      </c>
      <c r="AB2180" s="1" t="s">
        <v>35057</v>
      </c>
      <c r="AC2180" s="1" t="s">
        <v>35058</v>
      </c>
      <c r="AD2180" s="1" t="s">
        <v>35059</v>
      </c>
      <c r="AE2180" s="1" t="s">
        <v>35060</v>
      </c>
      <c r="AF2180" s="1" t="s">
        <v>74</v>
      </c>
      <c r="AG2180" s="1">
        <v>70</v>
      </c>
      <c r="AH2180" s="1">
        <v>29</v>
      </c>
      <c r="AI2180" s="1">
        <v>31</v>
      </c>
      <c r="AJ2180" s="1">
        <v>4</v>
      </c>
      <c r="AK2180" s="1">
        <v>28</v>
      </c>
      <c r="AL2180" s="1" t="s">
        <v>136</v>
      </c>
      <c r="AM2180" s="1" t="s">
        <v>137</v>
      </c>
      <c r="AN2180" s="1" t="s">
        <v>138</v>
      </c>
      <c r="AO2180" s="1" t="s">
        <v>240</v>
      </c>
      <c r="AP2180" s="1" t="s">
        <v>241</v>
      </c>
      <c r="AQ2180" s="1" t="s">
        <v>74</v>
      </c>
      <c r="AR2180" s="1" t="s">
        <v>242</v>
      </c>
      <c r="AS2180" s="1" t="s">
        <v>243</v>
      </c>
      <c r="AT2180" s="1" t="s">
        <v>197</v>
      </c>
      <c r="AU2180" s="1">
        <v>2019</v>
      </c>
      <c r="AV2180" s="1">
        <v>149</v>
      </c>
      <c r="AW2180" s="1" t="s">
        <v>74</v>
      </c>
      <c r="AX2180" s="1" t="s">
        <v>74</v>
      </c>
      <c r="AY2180" s="1" t="s">
        <v>74</v>
      </c>
      <c r="AZ2180" s="1" t="s">
        <v>74</v>
      </c>
      <c r="BA2180" s="1" t="s">
        <v>74</v>
      </c>
      <c r="BB2180" s="1" t="s">
        <v>74</v>
      </c>
      <c r="BC2180" s="1" t="s">
        <v>74</v>
      </c>
      <c r="BD2180" s="1">
        <v>110499</v>
      </c>
      <c r="BE2180" s="1" t="s">
        <v>35061</v>
      </c>
      <c r="BF2180" s="1" t="str">
        <f>HYPERLINK("http://dx.doi.org/10.1016/j.marpolbul.2019.110499","http://dx.doi.org/10.1016/j.marpolbul.2019.110499")</f>
        <v>http://dx.doi.org/10.1016/j.marpolbul.2019.110499</v>
      </c>
      <c r="BG2180" s="1" t="s">
        <v>74</v>
      </c>
      <c r="BH2180" s="1" t="s">
        <v>74</v>
      </c>
      <c r="BI2180" s="1">
        <v>11</v>
      </c>
      <c r="BJ2180" s="1" t="s">
        <v>247</v>
      </c>
      <c r="BK2180" s="1" t="s">
        <v>96</v>
      </c>
      <c r="BL2180" s="1" t="s">
        <v>248</v>
      </c>
      <c r="BM2180" s="1" t="s">
        <v>23609</v>
      </c>
      <c r="BN2180" s="1">
        <v>31430667</v>
      </c>
      <c r="BO2180" s="1" t="s">
        <v>74</v>
      </c>
      <c r="BP2180" s="1" t="s">
        <v>74</v>
      </c>
      <c r="BQ2180" s="1" t="s">
        <v>74</v>
      </c>
      <c r="BR2180" s="1" t="s">
        <v>98</v>
      </c>
      <c r="BS2180" s="1" t="s">
        <v>35062</v>
      </c>
      <c r="BT2180" s="1" t="str">
        <f>HYPERLINK("https%3A%2F%2Fwww.webofscience.com%2Fwos%2Fwoscc%2Ffull-record%2FWOS:000501387300116","View Full Record in Web of Science")</f>
        <v>View Full Record in Web of Science</v>
      </c>
      <c r="BU2180" s="1"/>
      <c r="BV2180" s="1"/>
    </row>
    <row r="2181" spans="1:74">
      <c r="A2181" s="1" t="s">
        <v>72</v>
      </c>
      <c r="B2181" s="1" t="s">
        <v>35063</v>
      </c>
      <c r="C2181" s="1" t="s">
        <v>74</v>
      </c>
      <c r="D2181" s="1" t="s">
        <v>74</v>
      </c>
      <c r="E2181" s="1" t="s">
        <v>74</v>
      </c>
      <c r="F2181" s="1" t="s">
        <v>35064</v>
      </c>
      <c r="G2181" s="1" t="s">
        <v>74</v>
      </c>
      <c r="H2181" s="1" t="s">
        <v>74</v>
      </c>
      <c r="I2181" s="1" t="s">
        <v>35065</v>
      </c>
      <c r="J2181" s="1" t="s">
        <v>232</v>
      </c>
      <c r="K2181" s="1" t="s">
        <v>74</v>
      </c>
      <c r="L2181" s="1" t="s">
        <v>74</v>
      </c>
      <c r="M2181" s="1" t="s">
        <v>78</v>
      </c>
      <c r="N2181" s="1" t="s">
        <v>79</v>
      </c>
      <c r="O2181" s="1" t="s">
        <v>74</v>
      </c>
      <c r="P2181" s="1" t="s">
        <v>74</v>
      </c>
      <c r="Q2181" s="1" t="s">
        <v>74</v>
      </c>
      <c r="R2181" s="1" t="s">
        <v>74</v>
      </c>
      <c r="S2181" s="1" t="s">
        <v>74</v>
      </c>
      <c r="T2181" s="1" t="s">
        <v>35066</v>
      </c>
      <c r="U2181" s="1" t="s">
        <v>35067</v>
      </c>
      <c r="V2181" s="1" t="s">
        <v>35068</v>
      </c>
      <c r="W2181" s="1" t="s">
        <v>35069</v>
      </c>
      <c r="X2181" s="1" t="s">
        <v>35070</v>
      </c>
      <c r="Y2181" s="1" t="s">
        <v>35071</v>
      </c>
      <c r="Z2181" s="1" t="s">
        <v>35072</v>
      </c>
      <c r="AA2181" s="1" t="s">
        <v>35073</v>
      </c>
      <c r="AB2181" s="1" t="s">
        <v>35074</v>
      </c>
      <c r="AC2181" s="1" t="s">
        <v>35075</v>
      </c>
      <c r="AD2181" s="1" t="s">
        <v>35076</v>
      </c>
      <c r="AE2181" s="1" t="s">
        <v>35077</v>
      </c>
      <c r="AF2181" s="1" t="s">
        <v>74</v>
      </c>
      <c r="AG2181" s="1">
        <v>55</v>
      </c>
      <c r="AH2181" s="1">
        <v>9</v>
      </c>
      <c r="AI2181" s="1">
        <v>10</v>
      </c>
      <c r="AJ2181" s="1">
        <v>0</v>
      </c>
      <c r="AK2181" s="1">
        <v>30</v>
      </c>
      <c r="AL2181" s="1" t="s">
        <v>136</v>
      </c>
      <c r="AM2181" s="1" t="s">
        <v>137</v>
      </c>
      <c r="AN2181" s="1" t="s">
        <v>138</v>
      </c>
      <c r="AO2181" s="1" t="s">
        <v>240</v>
      </c>
      <c r="AP2181" s="1" t="s">
        <v>241</v>
      </c>
      <c r="AQ2181" s="1" t="s">
        <v>74</v>
      </c>
      <c r="AR2181" s="1" t="s">
        <v>242</v>
      </c>
      <c r="AS2181" s="1" t="s">
        <v>243</v>
      </c>
      <c r="AT2181" s="1" t="s">
        <v>325</v>
      </c>
      <c r="AU2181" s="1">
        <v>2016</v>
      </c>
      <c r="AV2181" s="1">
        <v>111</v>
      </c>
      <c r="AW2181" s="1" t="s">
        <v>326</v>
      </c>
      <c r="AX2181" s="1" t="s">
        <v>74</v>
      </c>
      <c r="AY2181" s="1" t="s">
        <v>74</v>
      </c>
      <c r="AZ2181" s="1" t="s">
        <v>74</v>
      </c>
      <c r="BA2181" s="1" t="s">
        <v>74</v>
      </c>
      <c r="BB2181" s="1">
        <v>95</v>
      </c>
      <c r="BC2181" s="1">
        <v>105</v>
      </c>
      <c r="BD2181" s="1" t="s">
        <v>74</v>
      </c>
      <c r="BE2181" s="1" t="s">
        <v>35078</v>
      </c>
      <c r="BF2181" s="1" t="str">
        <f>HYPERLINK("http://dx.doi.org/10.1016/j.marpolbul.2016.07.025","http://dx.doi.org/10.1016/j.marpolbul.2016.07.025")</f>
        <v>http://dx.doi.org/10.1016/j.marpolbul.2016.07.025</v>
      </c>
      <c r="BG2181" s="1" t="s">
        <v>74</v>
      </c>
      <c r="BH2181" s="1" t="s">
        <v>74</v>
      </c>
      <c r="BI2181" s="1">
        <v>11</v>
      </c>
      <c r="BJ2181" s="1" t="s">
        <v>247</v>
      </c>
      <c r="BK2181" s="1" t="s">
        <v>96</v>
      </c>
      <c r="BL2181" s="1" t="s">
        <v>248</v>
      </c>
      <c r="BM2181" s="1" t="s">
        <v>7580</v>
      </c>
      <c r="BN2181" s="1">
        <v>27449829</v>
      </c>
      <c r="BO2181" s="1" t="s">
        <v>74</v>
      </c>
      <c r="BP2181" s="1" t="s">
        <v>74</v>
      </c>
      <c r="BQ2181" s="1" t="s">
        <v>74</v>
      </c>
      <c r="BR2181" s="1" t="s">
        <v>98</v>
      </c>
      <c r="BS2181" s="1" t="s">
        <v>35079</v>
      </c>
      <c r="BT2181" s="1" t="str">
        <f>HYPERLINK("https%3A%2F%2Fwww.webofscience.com%2Fwos%2Fwoscc%2Ffull-record%2FWOS:000384854100021","View Full Record in Web of Science")</f>
        <v>View Full Record in Web of Science</v>
      </c>
      <c r="BU2181" s="1"/>
      <c r="BV2181" s="1"/>
    </row>
    <row r="2182" spans="1:74">
      <c r="A2182" s="1" t="s">
        <v>72</v>
      </c>
      <c r="B2182" s="1" t="s">
        <v>35080</v>
      </c>
      <c r="C2182" s="1" t="s">
        <v>74</v>
      </c>
      <c r="D2182" s="1" t="s">
        <v>74</v>
      </c>
      <c r="E2182" s="1" t="s">
        <v>74</v>
      </c>
      <c r="F2182" s="1" t="s">
        <v>35080</v>
      </c>
      <c r="G2182" s="1" t="s">
        <v>74</v>
      </c>
      <c r="H2182" s="1" t="s">
        <v>74</v>
      </c>
      <c r="I2182" s="1" t="s">
        <v>35081</v>
      </c>
      <c r="J2182" s="1" t="s">
        <v>232</v>
      </c>
      <c r="K2182" s="1" t="s">
        <v>74</v>
      </c>
      <c r="L2182" s="1" t="s">
        <v>74</v>
      </c>
      <c r="M2182" s="1" t="s">
        <v>78</v>
      </c>
      <c r="N2182" s="1" t="s">
        <v>79</v>
      </c>
      <c r="O2182" s="1" t="s">
        <v>74</v>
      </c>
      <c r="P2182" s="1" t="s">
        <v>74</v>
      </c>
      <c r="Q2182" s="1" t="s">
        <v>74</v>
      </c>
      <c r="R2182" s="1" t="s">
        <v>74</v>
      </c>
      <c r="S2182" s="1" t="s">
        <v>74</v>
      </c>
      <c r="T2182" s="1" t="s">
        <v>74</v>
      </c>
      <c r="U2182" s="1" t="s">
        <v>74</v>
      </c>
      <c r="V2182" s="1" t="s">
        <v>35082</v>
      </c>
      <c r="W2182" s="1" t="s">
        <v>74</v>
      </c>
      <c r="X2182" s="1" t="s">
        <v>74</v>
      </c>
      <c r="Y2182" s="1" t="s">
        <v>35083</v>
      </c>
      <c r="Z2182" s="1" t="s">
        <v>74</v>
      </c>
      <c r="AA2182" s="1" t="s">
        <v>74</v>
      </c>
      <c r="AB2182" s="1" t="s">
        <v>74</v>
      </c>
      <c r="AC2182" s="1" t="s">
        <v>74</v>
      </c>
      <c r="AD2182" s="1" t="s">
        <v>74</v>
      </c>
      <c r="AE2182" s="1" t="s">
        <v>74</v>
      </c>
      <c r="AF2182" s="1" t="s">
        <v>74</v>
      </c>
      <c r="AG2182" s="1">
        <v>31</v>
      </c>
      <c r="AH2182" s="1">
        <v>14</v>
      </c>
      <c r="AI2182" s="1">
        <v>15</v>
      </c>
      <c r="AJ2182" s="1">
        <v>0</v>
      </c>
      <c r="AK2182" s="1">
        <v>5</v>
      </c>
      <c r="AL2182" s="1" t="s">
        <v>136</v>
      </c>
      <c r="AM2182" s="1" t="s">
        <v>137</v>
      </c>
      <c r="AN2182" s="1" t="s">
        <v>138</v>
      </c>
      <c r="AO2182" s="1" t="s">
        <v>240</v>
      </c>
      <c r="AP2182" s="1" t="s">
        <v>241</v>
      </c>
      <c r="AQ2182" s="1" t="s">
        <v>74</v>
      </c>
      <c r="AR2182" s="1" t="s">
        <v>242</v>
      </c>
      <c r="AS2182" s="1" t="s">
        <v>243</v>
      </c>
      <c r="AT2182" s="1" t="s">
        <v>170</v>
      </c>
      <c r="AU2182" s="1">
        <v>1988</v>
      </c>
      <c r="AV2182" s="1">
        <v>19</v>
      </c>
      <c r="AW2182" s="1">
        <v>5</v>
      </c>
      <c r="AX2182" s="1" t="s">
        <v>74</v>
      </c>
      <c r="AY2182" s="1" t="s">
        <v>74</v>
      </c>
      <c r="AZ2182" s="1" t="s">
        <v>74</v>
      </c>
      <c r="BA2182" s="1" t="s">
        <v>74</v>
      </c>
      <c r="BB2182" s="1">
        <v>213</v>
      </c>
      <c r="BC2182" s="1">
        <v>219</v>
      </c>
      <c r="BD2182" s="1" t="s">
        <v>74</v>
      </c>
      <c r="BE2182" s="1" t="s">
        <v>35084</v>
      </c>
      <c r="BF2182" s="1" t="str">
        <f>HYPERLINK("http://dx.doi.org/10.1016/0025-326X(88)90233-0","http://dx.doi.org/10.1016/0025-326X(88)90233-0")</f>
        <v>http://dx.doi.org/10.1016/0025-326X(88)90233-0</v>
      </c>
      <c r="BG2182" s="1" t="s">
        <v>74</v>
      </c>
      <c r="BH2182" s="1" t="s">
        <v>74</v>
      </c>
      <c r="BI2182" s="1">
        <v>7</v>
      </c>
      <c r="BJ2182" s="1" t="s">
        <v>247</v>
      </c>
      <c r="BK2182" s="1" t="s">
        <v>96</v>
      </c>
      <c r="BL2182" s="1" t="s">
        <v>248</v>
      </c>
      <c r="BM2182" s="1" t="s">
        <v>35085</v>
      </c>
      <c r="BN2182" s="1" t="s">
        <v>74</v>
      </c>
      <c r="BO2182" s="1" t="s">
        <v>74</v>
      </c>
      <c r="BP2182" s="1" t="s">
        <v>74</v>
      </c>
      <c r="BQ2182" s="1" t="s">
        <v>74</v>
      </c>
      <c r="BR2182" s="1" t="s">
        <v>98</v>
      </c>
      <c r="BS2182" s="1" t="s">
        <v>35086</v>
      </c>
      <c r="BT2182" s="1" t="str">
        <f>HYPERLINK("https%3A%2F%2Fwww.webofscience.com%2Fwos%2Fwoscc%2Ffull-record%2FWOS:A1988N668700022","View Full Record in Web of Science")</f>
        <v>View Full Record in Web of Science</v>
      </c>
      <c r="BU2182" s="1"/>
      <c r="BV2182" s="1"/>
    </row>
    <row r="2183" spans="1:74">
      <c r="A2183" s="1" t="s">
        <v>72</v>
      </c>
      <c r="B2183" s="1" t="s">
        <v>35087</v>
      </c>
      <c r="C2183" s="1" t="s">
        <v>74</v>
      </c>
      <c r="D2183" s="1" t="s">
        <v>74</v>
      </c>
      <c r="E2183" s="1" t="s">
        <v>74</v>
      </c>
      <c r="F2183" s="1" t="s">
        <v>35088</v>
      </c>
      <c r="G2183" s="1" t="s">
        <v>74</v>
      </c>
      <c r="H2183" s="1" t="s">
        <v>74</v>
      </c>
      <c r="I2183" s="1" t="s">
        <v>35089</v>
      </c>
      <c r="J2183" s="1" t="s">
        <v>704</v>
      </c>
      <c r="K2183" s="1" t="s">
        <v>74</v>
      </c>
      <c r="L2183" s="1" t="s">
        <v>74</v>
      </c>
      <c r="M2183" s="1" t="s">
        <v>78</v>
      </c>
      <c r="N2183" s="1" t="s">
        <v>79</v>
      </c>
      <c r="O2183" s="1" t="s">
        <v>74</v>
      </c>
      <c r="P2183" s="1" t="s">
        <v>74</v>
      </c>
      <c r="Q2183" s="1" t="s">
        <v>74</v>
      </c>
      <c r="R2183" s="1" t="s">
        <v>74</v>
      </c>
      <c r="S2183" s="1" t="s">
        <v>74</v>
      </c>
      <c r="T2183" s="1" t="s">
        <v>35090</v>
      </c>
      <c r="U2183" s="1" t="s">
        <v>35091</v>
      </c>
      <c r="V2183" s="1" t="s">
        <v>35092</v>
      </c>
      <c r="W2183" s="1" t="s">
        <v>35093</v>
      </c>
      <c r="X2183" s="1" t="s">
        <v>1259</v>
      </c>
      <c r="Y2183" s="1" t="s">
        <v>23652</v>
      </c>
      <c r="Z2183" s="1" t="s">
        <v>1261</v>
      </c>
      <c r="AA2183" s="1" t="s">
        <v>7376</v>
      </c>
      <c r="AB2183" s="1" t="s">
        <v>7377</v>
      </c>
      <c r="AC2183" s="1" t="s">
        <v>35094</v>
      </c>
      <c r="AD2183" s="1" t="s">
        <v>1259</v>
      </c>
      <c r="AE2183" s="1" t="s">
        <v>35095</v>
      </c>
      <c r="AF2183" s="1" t="s">
        <v>74</v>
      </c>
      <c r="AG2183" s="1">
        <v>43</v>
      </c>
      <c r="AH2183" s="1">
        <v>30</v>
      </c>
      <c r="AI2183" s="1">
        <v>30</v>
      </c>
      <c r="AJ2183" s="1">
        <v>2</v>
      </c>
      <c r="AK2183" s="1">
        <v>27</v>
      </c>
      <c r="AL2183" s="1" t="s">
        <v>112</v>
      </c>
      <c r="AM2183" s="1" t="s">
        <v>191</v>
      </c>
      <c r="AN2183" s="1" t="s">
        <v>192</v>
      </c>
      <c r="AO2183" s="1" t="s">
        <v>718</v>
      </c>
      <c r="AP2183" s="1" t="s">
        <v>74</v>
      </c>
      <c r="AQ2183" s="1" t="s">
        <v>74</v>
      </c>
      <c r="AR2183" s="1" t="s">
        <v>719</v>
      </c>
      <c r="AS2183" s="1" t="s">
        <v>720</v>
      </c>
      <c r="AT2183" s="1" t="s">
        <v>142</v>
      </c>
      <c r="AU2183" s="1">
        <v>2011</v>
      </c>
      <c r="AV2183" s="1">
        <v>218</v>
      </c>
      <c r="AW2183" s="1" t="s">
        <v>721</v>
      </c>
      <c r="AX2183" s="1" t="s">
        <v>74</v>
      </c>
      <c r="AY2183" s="1" t="s">
        <v>74</v>
      </c>
      <c r="AZ2183" s="1" t="s">
        <v>74</v>
      </c>
      <c r="BA2183" s="1" t="s">
        <v>74</v>
      </c>
      <c r="BB2183" s="1">
        <v>19</v>
      </c>
      <c r="BC2183" s="1">
        <v>36</v>
      </c>
      <c r="BD2183" s="1" t="s">
        <v>74</v>
      </c>
      <c r="BE2183" s="1" t="s">
        <v>35096</v>
      </c>
      <c r="BF2183" s="1" t="str">
        <f>HYPERLINK("http://dx.doi.org/10.1007/s11270-010-0621-8","http://dx.doi.org/10.1007/s11270-010-0621-8")</f>
        <v>http://dx.doi.org/10.1007/s11270-010-0621-8</v>
      </c>
      <c r="BG2183" s="1" t="s">
        <v>74</v>
      </c>
      <c r="BH2183" s="1" t="s">
        <v>74</v>
      </c>
      <c r="BI2183" s="1">
        <v>18</v>
      </c>
      <c r="BJ2183" s="1" t="s">
        <v>722</v>
      </c>
      <c r="BK2183" s="1" t="s">
        <v>96</v>
      </c>
      <c r="BL2183" s="1" t="s">
        <v>723</v>
      </c>
      <c r="BM2183" s="1" t="s">
        <v>35097</v>
      </c>
      <c r="BN2183" s="1" t="s">
        <v>74</v>
      </c>
      <c r="BO2183" s="1" t="s">
        <v>1270</v>
      </c>
      <c r="BP2183" s="1" t="s">
        <v>74</v>
      </c>
      <c r="BQ2183" s="1" t="s">
        <v>74</v>
      </c>
      <c r="BR2183" s="1" t="s">
        <v>98</v>
      </c>
      <c r="BS2183" s="1" t="s">
        <v>35098</v>
      </c>
      <c r="BT2183" s="1" t="str">
        <f>HYPERLINK("https%3A%2F%2Fwww.webofscience.com%2Fwos%2Fwoscc%2Ffull-record%2FWOS:000290724400005","View Full Record in Web of Science")</f>
        <v>View Full Record in Web of Science</v>
      </c>
      <c r="BU2183" s="1"/>
      <c r="BV2183" s="1"/>
    </row>
    <row r="2184" spans="1:74">
      <c r="A2184" s="1" t="s">
        <v>72</v>
      </c>
      <c r="B2184" s="1" t="s">
        <v>35099</v>
      </c>
      <c r="C2184" s="1" t="s">
        <v>74</v>
      </c>
      <c r="D2184" s="1" t="s">
        <v>74</v>
      </c>
      <c r="E2184" s="1" t="s">
        <v>74</v>
      </c>
      <c r="F2184" s="1" t="s">
        <v>35100</v>
      </c>
      <c r="G2184" s="1" t="s">
        <v>74</v>
      </c>
      <c r="H2184" s="1" t="s">
        <v>74</v>
      </c>
      <c r="I2184" s="1" t="s">
        <v>35101</v>
      </c>
      <c r="J2184" s="1" t="s">
        <v>232</v>
      </c>
      <c r="K2184" s="1" t="s">
        <v>74</v>
      </c>
      <c r="L2184" s="1" t="s">
        <v>74</v>
      </c>
      <c r="M2184" s="1" t="s">
        <v>78</v>
      </c>
      <c r="N2184" s="1" t="s">
        <v>79</v>
      </c>
      <c r="O2184" s="1" t="s">
        <v>74</v>
      </c>
      <c r="P2184" s="1" t="s">
        <v>74</v>
      </c>
      <c r="Q2184" s="1" t="s">
        <v>74</v>
      </c>
      <c r="R2184" s="1" t="s">
        <v>74</v>
      </c>
      <c r="S2184" s="1" t="s">
        <v>74</v>
      </c>
      <c r="T2184" s="1" t="s">
        <v>35102</v>
      </c>
      <c r="U2184" s="1" t="s">
        <v>35103</v>
      </c>
      <c r="V2184" s="1" t="s">
        <v>35104</v>
      </c>
      <c r="W2184" s="1" t="s">
        <v>35105</v>
      </c>
      <c r="X2184" s="1" t="s">
        <v>13489</v>
      </c>
      <c r="Y2184" s="1" t="s">
        <v>35106</v>
      </c>
      <c r="Z2184" s="1" t="s">
        <v>10615</v>
      </c>
      <c r="AA2184" s="1" t="s">
        <v>74</v>
      </c>
      <c r="AB2184" s="1" t="s">
        <v>35107</v>
      </c>
      <c r="AC2184" s="1" t="s">
        <v>35108</v>
      </c>
      <c r="AD2184" s="1" t="s">
        <v>35109</v>
      </c>
      <c r="AE2184" s="1" t="s">
        <v>35110</v>
      </c>
      <c r="AF2184" s="1" t="s">
        <v>74</v>
      </c>
      <c r="AG2184" s="1">
        <v>45</v>
      </c>
      <c r="AH2184" s="1">
        <v>6</v>
      </c>
      <c r="AI2184" s="1">
        <v>7</v>
      </c>
      <c r="AJ2184" s="1">
        <v>0</v>
      </c>
      <c r="AK2184" s="1">
        <v>10</v>
      </c>
      <c r="AL2184" s="1" t="s">
        <v>136</v>
      </c>
      <c r="AM2184" s="1" t="s">
        <v>137</v>
      </c>
      <c r="AN2184" s="1" t="s">
        <v>138</v>
      </c>
      <c r="AO2184" s="1" t="s">
        <v>240</v>
      </c>
      <c r="AP2184" s="1" t="s">
        <v>241</v>
      </c>
      <c r="AQ2184" s="1" t="s">
        <v>74</v>
      </c>
      <c r="AR2184" s="1" t="s">
        <v>242</v>
      </c>
      <c r="AS2184" s="1" t="s">
        <v>243</v>
      </c>
      <c r="AT2184" s="1" t="s">
        <v>325</v>
      </c>
      <c r="AU2184" s="1">
        <v>2016</v>
      </c>
      <c r="AV2184" s="1">
        <v>111</v>
      </c>
      <c r="AW2184" s="1" t="s">
        <v>326</v>
      </c>
      <c r="AX2184" s="1" t="s">
        <v>74</v>
      </c>
      <c r="AY2184" s="1" t="s">
        <v>74</v>
      </c>
      <c r="AZ2184" s="1" t="s">
        <v>74</v>
      </c>
      <c r="BA2184" s="1" t="s">
        <v>74</v>
      </c>
      <c r="BB2184" s="1">
        <v>184</v>
      </c>
      <c r="BC2184" s="1">
        <v>193</v>
      </c>
      <c r="BD2184" s="1" t="s">
        <v>74</v>
      </c>
      <c r="BE2184" s="1" t="s">
        <v>35111</v>
      </c>
      <c r="BF2184" s="1" t="str">
        <f>HYPERLINK("http://dx.doi.org/10.1016/j.marpolbul.2016.07.012","http://dx.doi.org/10.1016/j.marpolbul.2016.07.012")</f>
        <v>http://dx.doi.org/10.1016/j.marpolbul.2016.07.012</v>
      </c>
      <c r="BG2184" s="1" t="s">
        <v>74</v>
      </c>
      <c r="BH2184" s="1" t="s">
        <v>74</v>
      </c>
      <c r="BI2184" s="1">
        <v>10</v>
      </c>
      <c r="BJ2184" s="1" t="s">
        <v>247</v>
      </c>
      <c r="BK2184" s="1" t="s">
        <v>96</v>
      </c>
      <c r="BL2184" s="1" t="s">
        <v>248</v>
      </c>
      <c r="BM2184" s="1" t="s">
        <v>7580</v>
      </c>
      <c r="BN2184" s="1">
        <v>27423442</v>
      </c>
      <c r="BO2184" s="1" t="s">
        <v>74</v>
      </c>
      <c r="BP2184" s="1" t="s">
        <v>74</v>
      </c>
      <c r="BQ2184" s="1" t="s">
        <v>74</v>
      </c>
      <c r="BR2184" s="1" t="s">
        <v>98</v>
      </c>
      <c r="BS2184" s="1" t="s">
        <v>35112</v>
      </c>
      <c r="BT2184" s="1" t="str">
        <f>HYPERLINK("https%3A%2F%2Fwww.webofscience.com%2Fwos%2Fwoscc%2Ffull-record%2FWOS:000384854100030","View Full Record in Web of Science")</f>
        <v>View Full Record in Web of Science</v>
      </c>
      <c r="BU2184" s="1"/>
      <c r="BV2184" s="1"/>
    </row>
    <row r="2185" spans="1:74">
      <c r="A2185" s="1" t="s">
        <v>72</v>
      </c>
      <c r="B2185" s="1" t="s">
        <v>35113</v>
      </c>
      <c r="C2185" s="1" t="s">
        <v>74</v>
      </c>
      <c r="D2185" s="1" t="s">
        <v>74</v>
      </c>
      <c r="E2185" s="1" t="s">
        <v>74</v>
      </c>
      <c r="F2185" s="1" t="s">
        <v>35114</v>
      </c>
      <c r="G2185" s="1" t="s">
        <v>74</v>
      </c>
      <c r="H2185" s="1" t="s">
        <v>74</v>
      </c>
      <c r="I2185" s="1" t="s">
        <v>35115</v>
      </c>
      <c r="J2185" s="1" t="s">
        <v>232</v>
      </c>
      <c r="K2185" s="1" t="s">
        <v>74</v>
      </c>
      <c r="L2185" s="1" t="s">
        <v>74</v>
      </c>
      <c r="M2185" s="1" t="s">
        <v>78</v>
      </c>
      <c r="N2185" s="1" t="s">
        <v>79</v>
      </c>
      <c r="O2185" s="1" t="s">
        <v>74</v>
      </c>
      <c r="P2185" s="1" t="s">
        <v>74</v>
      </c>
      <c r="Q2185" s="1" t="s">
        <v>74</v>
      </c>
      <c r="R2185" s="1" t="s">
        <v>74</v>
      </c>
      <c r="S2185" s="1" t="s">
        <v>74</v>
      </c>
      <c r="T2185" s="1" t="s">
        <v>35116</v>
      </c>
      <c r="U2185" s="1" t="s">
        <v>35117</v>
      </c>
      <c r="V2185" s="1" t="s">
        <v>35118</v>
      </c>
      <c r="W2185" s="1" t="s">
        <v>35119</v>
      </c>
      <c r="X2185" s="1" t="s">
        <v>22235</v>
      </c>
      <c r="Y2185" s="1" t="s">
        <v>35120</v>
      </c>
      <c r="Z2185" s="1" t="s">
        <v>35121</v>
      </c>
      <c r="AA2185" s="1" t="s">
        <v>35122</v>
      </c>
      <c r="AB2185" s="1" t="s">
        <v>22239</v>
      </c>
      <c r="AC2185" s="1" t="s">
        <v>74</v>
      </c>
      <c r="AD2185" s="1" t="s">
        <v>74</v>
      </c>
      <c r="AE2185" s="1" t="s">
        <v>74</v>
      </c>
      <c r="AF2185" s="1" t="s">
        <v>74</v>
      </c>
      <c r="AG2185" s="1">
        <v>111</v>
      </c>
      <c r="AH2185" s="1">
        <v>15</v>
      </c>
      <c r="AI2185" s="1">
        <v>16</v>
      </c>
      <c r="AJ2185" s="1">
        <v>1</v>
      </c>
      <c r="AK2185" s="1">
        <v>12</v>
      </c>
      <c r="AL2185" s="1" t="s">
        <v>136</v>
      </c>
      <c r="AM2185" s="1" t="s">
        <v>137</v>
      </c>
      <c r="AN2185" s="1" t="s">
        <v>138</v>
      </c>
      <c r="AO2185" s="1" t="s">
        <v>240</v>
      </c>
      <c r="AP2185" s="1" t="s">
        <v>241</v>
      </c>
      <c r="AQ2185" s="1" t="s">
        <v>74</v>
      </c>
      <c r="AR2185" s="1" t="s">
        <v>242</v>
      </c>
      <c r="AS2185" s="1" t="s">
        <v>243</v>
      </c>
      <c r="AT2185" s="1" t="s">
        <v>142</v>
      </c>
      <c r="AU2185" s="1">
        <v>2022</v>
      </c>
      <c r="AV2185" s="1">
        <v>179</v>
      </c>
      <c r="AW2185" s="1" t="s">
        <v>74</v>
      </c>
      <c r="AX2185" s="1" t="s">
        <v>74</v>
      </c>
      <c r="AY2185" s="1" t="s">
        <v>74</v>
      </c>
      <c r="AZ2185" s="1" t="s">
        <v>74</v>
      </c>
      <c r="BA2185" s="1" t="s">
        <v>74</v>
      </c>
      <c r="BB2185" s="1" t="s">
        <v>74</v>
      </c>
      <c r="BC2185" s="1" t="s">
        <v>74</v>
      </c>
      <c r="BD2185" s="1">
        <v>113680</v>
      </c>
      <c r="BE2185" s="1" t="s">
        <v>35123</v>
      </c>
      <c r="BF2185" s="1" t="str">
        <f>HYPERLINK("http://dx.doi.org/10.1016/j.marpolbul.2022.113680","http://dx.doi.org/10.1016/j.marpolbul.2022.113680")</f>
        <v>http://dx.doi.org/10.1016/j.marpolbul.2022.113680</v>
      </c>
      <c r="BG2185" s="1" t="s">
        <v>74</v>
      </c>
      <c r="BH2185" s="1" t="s">
        <v>2765</v>
      </c>
      <c r="BI2185" s="1">
        <v>16</v>
      </c>
      <c r="BJ2185" s="1" t="s">
        <v>247</v>
      </c>
      <c r="BK2185" s="1" t="s">
        <v>96</v>
      </c>
      <c r="BL2185" s="1" t="s">
        <v>248</v>
      </c>
      <c r="BM2185" s="1" t="s">
        <v>35124</v>
      </c>
      <c r="BN2185" s="1">
        <v>35526376</v>
      </c>
      <c r="BO2185" s="1" t="s">
        <v>74</v>
      </c>
      <c r="BP2185" s="1" t="s">
        <v>74</v>
      </c>
      <c r="BQ2185" s="1" t="s">
        <v>74</v>
      </c>
      <c r="BR2185" s="1" t="s">
        <v>98</v>
      </c>
      <c r="BS2185" s="1" t="s">
        <v>35125</v>
      </c>
      <c r="BT2185" s="1" t="str">
        <f>HYPERLINK("https%3A%2F%2Fwww.webofscience.com%2Fwos%2Fwoscc%2Ffull-record%2FWOS:000872094100003","View Full Record in Web of Science")</f>
        <v>View Full Record in Web of Science</v>
      </c>
      <c r="BU2185" s="1"/>
      <c r="BV2185" s="1"/>
    </row>
    <row r="2186" spans="1:74">
      <c r="A2186" s="1" t="s">
        <v>72</v>
      </c>
      <c r="B2186" s="1" t="s">
        <v>35126</v>
      </c>
      <c r="C2186" s="1" t="s">
        <v>74</v>
      </c>
      <c r="D2186" s="1" t="s">
        <v>74</v>
      </c>
      <c r="E2186" s="1" t="s">
        <v>74</v>
      </c>
      <c r="F2186" s="1" t="s">
        <v>35127</v>
      </c>
      <c r="G2186" s="1" t="s">
        <v>74</v>
      </c>
      <c r="H2186" s="1" t="s">
        <v>74</v>
      </c>
      <c r="I2186" s="1" t="s">
        <v>35128</v>
      </c>
      <c r="J2186" s="1" t="s">
        <v>3349</v>
      </c>
      <c r="K2186" s="1" t="s">
        <v>74</v>
      </c>
      <c r="L2186" s="1" t="s">
        <v>74</v>
      </c>
      <c r="M2186" s="1" t="s">
        <v>78</v>
      </c>
      <c r="N2186" s="1" t="s">
        <v>79</v>
      </c>
      <c r="O2186" s="1" t="s">
        <v>74</v>
      </c>
      <c r="P2186" s="1" t="s">
        <v>74</v>
      </c>
      <c r="Q2186" s="1" t="s">
        <v>74</v>
      </c>
      <c r="R2186" s="1" t="s">
        <v>74</v>
      </c>
      <c r="S2186" s="1" t="s">
        <v>74</v>
      </c>
      <c r="T2186" s="1" t="s">
        <v>35129</v>
      </c>
      <c r="U2186" s="1" t="s">
        <v>35130</v>
      </c>
      <c r="V2186" s="1" t="s">
        <v>35131</v>
      </c>
      <c r="W2186" s="1" t="s">
        <v>35132</v>
      </c>
      <c r="X2186" s="1" t="s">
        <v>19962</v>
      </c>
      <c r="Y2186" s="1" t="s">
        <v>35133</v>
      </c>
      <c r="Z2186" s="1" t="s">
        <v>35134</v>
      </c>
      <c r="AA2186" s="1" t="s">
        <v>35135</v>
      </c>
      <c r="AB2186" s="1" t="s">
        <v>35136</v>
      </c>
      <c r="AC2186" s="1" t="s">
        <v>35137</v>
      </c>
      <c r="AD2186" s="1" t="s">
        <v>35138</v>
      </c>
      <c r="AE2186" s="1" t="s">
        <v>35139</v>
      </c>
      <c r="AF2186" s="1" t="s">
        <v>74</v>
      </c>
      <c r="AG2186" s="1">
        <v>71</v>
      </c>
      <c r="AH2186" s="1">
        <v>4</v>
      </c>
      <c r="AI2186" s="1">
        <v>4</v>
      </c>
      <c r="AJ2186" s="1">
        <v>3</v>
      </c>
      <c r="AK2186" s="1">
        <v>23</v>
      </c>
      <c r="AL2186" s="1" t="s">
        <v>3362</v>
      </c>
      <c r="AM2186" s="1" t="s">
        <v>3363</v>
      </c>
      <c r="AN2186" s="1" t="s">
        <v>3364</v>
      </c>
      <c r="AO2186" s="1" t="s">
        <v>3365</v>
      </c>
      <c r="AP2186" s="1" t="s">
        <v>3366</v>
      </c>
      <c r="AQ2186" s="1" t="s">
        <v>74</v>
      </c>
      <c r="AR2186" s="1" t="s">
        <v>3367</v>
      </c>
      <c r="AS2186" s="1" t="s">
        <v>3368</v>
      </c>
      <c r="AT2186" s="1" t="s">
        <v>765</v>
      </c>
      <c r="AU2186" s="1">
        <v>2017</v>
      </c>
      <c r="AV2186" s="1">
        <v>141</v>
      </c>
      <c r="AW2186" s="1" t="s">
        <v>74</v>
      </c>
      <c r="AX2186" s="1" t="s">
        <v>74</v>
      </c>
      <c r="AY2186" s="1" t="s">
        <v>74</v>
      </c>
      <c r="AZ2186" s="1" t="s">
        <v>74</v>
      </c>
      <c r="BA2186" s="1" t="s">
        <v>74</v>
      </c>
      <c r="BB2186" s="1">
        <v>280</v>
      </c>
      <c r="BC2186" s="1">
        <v>289</v>
      </c>
      <c r="BD2186" s="1" t="s">
        <v>74</v>
      </c>
      <c r="BE2186" s="1" t="s">
        <v>35140</v>
      </c>
      <c r="BF2186" s="1" t="str">
        <f>HYPERLINK("http://dx.doi.org/10.1016/j.ecoenv.2017.03.004","http://dx.doi.org/10.1016/j.ecoenv.2017.03.004")</f>
        <v>http://dx.doi.org/10.1016/j.ecoenv.2017.03.004</v>
      </c>
      <c r="BG2186" s="1" t="s">
        <v>74</v>
      </c>
      <c r="BH2186" s="1" t="s">
        <v>74</v>
      </c>
      <c r="BI2186" s="1">
        <v>10</v>
      </c>
      <c r="BJ2186" s="1" t="s">
        <v>121</v>
      </c>
      <c r="BK2186" s="1" t="s">
        <v>96</v>
      </c>
      <c r="BL2186" s="1" t="s">
        <v>122</v>
      </c>
      <c r="BM2186" s="1" t="s">
        <v>35141</v>
      </c>
      <c r="BN2186" s="1">
        <v>28359994</v>
      </c>
      <c r="BO2186" s="1" t="s">
        <v>370</v>
      </c>
      <c r="BP2186" s="1" t="s">
        <v>74</v>
      </c>
      <c r="BQ2186" s="1" t="s">
        <v>74</v>
      </c>
      <c r="BR2186" s="1" t="s">
        <v>98</v>
      </c>
      <c r="BS2186" s="1" t="s">
        <v>35142</v>
      </c>
      <c r="BT2186" s="1" t="str">
        <f>HYPERLINK("https%3A%2F%2Fwww.webofscience.com%2Fwos%2Fwoscc%2Ffull-record%2FWOS:000400880900036","View Full Record in Web of Science")</f>
        <v>View Full Record in Web of Science</v>
      </c>
      <c r="BU2186" s="1"/>
      <c r="BV2186" s="1"/>
    </row>
    <row r="2187" spans="1:74">
      <c r="A2187" s="1" t="s">
        <v>72</v>
      </c>
      <c r="B2187" s="1" t="s">
        <v>35143</v>
      </c>
      <c r="C2187" s="1" t="s">
        <v>74</v>
      </c>
      <c r="D2187" s="1" t="s">
        <v>74</v>
      </c>
      <c r="E2187" s="1" t="s">
        <v>74</v>
      </c>
      <c r="F2187" s="1" t="s">
        <v>35144</v>
      </c>
      <c r="G2187" s="1" t="s">
        <v>74</v>
      </c>
      <c r="H2187" s="1" t="s">
        <v>74</v>
      </c>
      <c r="I2187" s="1" t="s">
        <v>35145</v>
      </c>
      <c r="J2187" s="1" t="s">
        <v>6325</v>
      </c>
      <c r="K2187" s="1" t="s">
        <v>74</v>
      </c>
      <c r="L2187" s="1" t="s">
        <v>74</v>
      </c>
      <c r="M2187" s="1" t="s">
        <v>78</v>
      </c>
      <c r="N2187" s="1" t="s">
        <v>79</v>
      </c>
      <c r="O2187" s="1" t="s">
        <v>74</v>
      </c>
      <c r="P2187" s="1" t="s">
        <v>74</v>
      </c>
      <c r="Q2187" s="1" t="s">
        <v>74</v>
      </c>
      <c r="R2187" s="1" t="s">
        <v>74</v>
      </c>
      <c r="S2187" s="1" t="s">
        <v>74</v>
      </c>
      <c r="T2187" s="1" t="s">
        <v>35146</v>
      </c>
      <c r="U2187" s="1" t="s">
        <v>35147</v>
      </c>
      <c r="V2187" s="1" t="s">
        <v>35148</v>
      </c>
      <c r="W2187" s="1" t="s">
        <v>35149</v>
      </c>
      <c r="X2187" s="1" t="s">
        <v>11982</v>
      </c>
      <c r="Y2187" s="1" t="s">
        <v>35150</v>
      </c>
      <c r="Z2187" s="1" t="s">
        <v>1483</v>
      </c>
      <c r="AA2187" s="1" t="s">
        <v>2900</v>
      </c>
      <c r="AB2187" s="1" t="s">
        <v>2183</v>
      </c>
      <c r="AC2187" s="1" t="s">
        <v>35151</v>
      </c>
      <c r="AD2187" s="1" t="s">
        <v>35152</v>
      </c>
      <c r="AE2187" s="1" t="s">
        <v>35153</v>
      </c>
      <c r="AF2187" s="1" t="s">
        <v>74</v>
      </c>
      <c r="AG2187" s="1">
        <v>45</v>
      </c>
      <c r="AH2187" s="1">
        <v>47</v>
      </c>
      <c r="AI2187" s="1">
        <v>53</v>
      </c>
      <c r="AJ2187" s="1">
        <v>3</v>
      </c>
      <c r="AK2187" s="1">
        <v>79</v>
      </c>
      <c r="AL2187" s="1" t="s">
        <v>4471</v>
      </c>
      <c r="AM2187" s="1" t="s">
        <v>4472</v>
      </c>
      <c r="AN2187" s="1" t="s">
        <v>4473</v>
      </c>
      <c r="AO2187" s="1" t="s">
        <v>6334</v>
      </c>
      <c r="AP2187" s="1" t="s">
        <v>35154</v>
      </c>
      <c r="AQ2187" s="1" t="s">
        <v>74</v>
      </c>
      <c r="AR2187" s="1" t="s">
        <v>6335</v>
      </c>
      <c r="AS2187" s="1" t="s">
        <v>6336</v>
      </c>
      <c r="AT2187" s="1" t="s">
        <v>35155</v>
      </c>
      <c r="AU2187" s="1">
        <v>2011</v>
      </c>
      <c r="AV2187" s="1">
        <v>59</v>
      </c>
      <c r="AW2187" s="1">
        <v>13</v>
      </c>
      <c r="AX2187" s="1" t="s">
        <v>74</v>
      </c>
      <c r="AY2187" s="1" t="s">
        <v>74</v>
      </c>
      <c r="AZ2187" s="1" t="s">
        <v>74</v>
      </c>
      <c r="BA2187" s="1" t="s">
        <v>74</v>
      </c>
      <c r="BB2187" s="1">
        <v>7155</v>
      </c>
      <c r="BC2187" s="1">
        <v>7162</v>
      </c>
      <c r="BD2187" s="1" t="s">
        <v>74</v>
      </c>
      <c r="BE2187" s="1" t="s">
        <v>35156</v>
      </c>
      <c r="BF2187" s="1" t="str">
        <f>HYPERLINK("http://dx.doi.org/10.1021/jf201424g","http://dx.doi.org/10.1021/jf201424g")</f>
        <v>http://dx.doi.org/10.1021/jf201424g</v>
      </c>
      <c r="BG2187" s="1" t="s">
        <v>74</v>
      </c>
      <c r="BH2187" s="1" t="s">
        <v>74</v>
      </c>
      <c r="BI2187" s="1">
        <v>8</v>
      </c>
      <c r="BJ2187" s="1" t="s">
        <v>6339</v>
      </c>
      <c r="BK2187" s="1" t="s">
        <v>96</v>
      </c>
      <c r="BL2187" s="1" t="s">
        <v>6340</v>
      </c>
      <c r="BM2187" s="1" t="s">
        <v>35157</v>
      </c>
      <c r="BN2187" s="1">
        <v>21650469</v>
      </c>
      <c r="BO2187" s="1" t="s">
        <v>74</v>
      </c>
      <c r="BP2187" s="1" t="s">
        <v>74</v>
      </c>
      <c r="BQ2187" s="1" t="s">
        <v>74</v>
      </c>
      <c r="BR2187" s="1" t="s">
        <v>98</v>
      </c>
      <c r="BS2187" s="1" t="s">
        <v>35158</v>
      </c>
      <c r="BT2187" s="1" t="str">
        <f>HYPERLINK("https%3A%2F%2Fwww.webofscience.com%2Fwos%2Fwoscc%2Ffull-record%2FWOS:000292417700045","View Full Record in Web of Science")</f>
        <v>View Full Record in Web of Science</v>
      </c>
      <c r="BU2187" s="1"/>
      <c r="BV2187" s="1"/>
    </row>
    <row r="2188" spans="1:74">
      <c r="A2188" s="1" t="s">
        <v>72</v>
      </c>
      <c r="B2188" s="1" t="s">
        <v>35159</v>
      </c>
      <c r="C2188" s="1" t="s">
        <v>74</v>
      </c>
      <c r="D2188" s="1" t="s">
        <v>74</v>
      </c>
      <c r="E2188" s="1" t="s">
        <v>74</v>
      </c>
      <c r="F2188" s="1" t="s">
        <v>35160</v>
      </c>
      <c r="G2188" s="1" t="s">
        <v>74</v>
      </c>
      <c r="H2188" s="1" t="s">
        <v>74</v>
      </c>
      <c r="I2188" s="1" t="s">
        <v>35161</v>
      </c>
      <c r="J2188" s="1" t="s">
        <v>641</v>
      </c>
      <c r="K2188" s="1" t="s">
        <v>74</v>
      </c>
      <c r="L2188" s="1" t="s">
        <v>74</v>
      </c>
      <c r="M2188" s="1" t="s">
        <v>78</v>
      </c>
      <c r="N2188" s="1" t="s">
        <v>79</v>
      </c>
      <c r="O2188" s="1" t="s">
        <v>74</v>
      </c>
      <c r="P2188" s="1" t="s">
        <v>74</v>
      </c>
      <c r="Q2188" s="1" t="s">
        <v>74</v>
      </c>
      <c r="R2188" s="1" t="s">
        <v>74</v>
      </c>
      <c r="S2188" s="1" t="s">
        <v>74</v>
      </c>
      <c r="T2188" s="1" t="s">
        <v>35162</v>
      </c>
      <c r="U2188" s="1" t="s">
        <v>35163</v>
      </c>
      <c r="V2188" s="1" t="s">
        <v>35164</v>
      </c>
      <c r="W2188" s="1" t="s">
        <v>35165</v>
      </c>
      <c r="X2188" s="1" t="s">
        <v>35166</v>
      </c>
      <c r="Y2188" s="1" t="s">
        <v>35167</v>
      </c>
      <c r="Z2188" s="1" t="s">
        <v>35168</v>
      </c>
      <c r="AA2188" s="1" t="s">
        <v>74</v>
      </c>
      <c r="AB2188" s="1" t="s">
        <v>74</v>
      </c>
      <c r="AC2188" s="1" t="s">
        <v>74</v>
      </c>
      <c r="AD2188" s="1" t="s">
        <v>74</v>
      </c>
      <c r="AE2188" s="1" t="s">
        <v>74</v>
      </c>
      <c r="AF2188" s="1" t="s">
        <v>74</v>
      </c>
      <c r="AG2188" s="1">
        <v>51</v>
      </c>
      <c r="AH2188" s="1">
        <v>68</v>
      </c>
      <c r="AI2188" s="1">
        <v>74</v>
      </c>
      <c r="AJ2188" s="1">
        <v>0</v>
      </c>
      <c r="AK2188" s="1">
        <v>23</v>
      </c>
      <c r="AL2188" s="1" t="s">
        <v>919</v>
      </c>
      <c r="AM2188" s="1" t="s">
        <v>651</v>
      </c>
      <c r="AN2188" s="1" t="s">
        <v>920</v>
      </c>
      <c r="AO2188" s="1" t="s">
        <v>653</v>
      </c>
      <c r="AP2188" s="1" t="s">
        <v>654</v>
      </c>
      <c r="AQ2188" s="1" t="s">
        <v>74</v>
      </c>
      <c r="AR2188" s="1" t="s">
        <v>655</v>
      </c>
      <c r="AS2188" s="1" t="s">
        <v>656</v>
      </c>
      <c r="AT2188" s="1" t="s">
        <v>32145</v>
      </c>
      <c r="AU2188" s="1">
        <v>2007</v>
      </c>
      <c r="AV2188" s="1">
        <v>81</v>
      </c>
      <c r="AW2188" s="1">
        <v>4</v>
      </c>
      <c r="AX2188" s="1" t="s">
        <v>74</v>
      </c>
      <c r="AY2188" s="1" t="s">
        <v>74</v>
      </c>
      <c r="AZ2188" s="1" t="s">
        <v>74</v>
      </c>
      <c r="BA2188" s="1" t="s">
        <v>74</v>
      </c>
      <c r="BB2188" s="1">
        <v>377</v>
      </c>
      <c r="BC2188" s="1">
        <v>388</v>
      </c>
      <c r="BD2188" s="1" t="s">
        <v>74</v>
      </c>
      <c r="BE2188" s="1" t="s">
        <v>35169</v>
      </c>
      <c r="BF2188" s="1" t="str">
        <f>HYPERLINK("http://dx.doi.org/10.1016/j.aquatox.2006.12.016","http://dx.doi.org/10.1016/j.aquatox.2006.12.016")</f>
        <v>http://dx.doi.org/10.1016/j.aquatox.2006.12.016</v>
      </c>
      <c r="BG2188" s="1" t="s">
        <v>74</v>
      </c>
      <c r="BH2188" s="1" t="s">
        <v>74</v>
      </c>
      <c r="BI2188" s="1">
        <v>12</v>
      </c>
      <c r="BJ2188" s="1" t="s">
        <v>659</v>
      </c>
      <c r="BK2188" s="1" t="s">
        <v>96</v>
      </c>
      <c r="BL2188" s="1" t="s">
        <v>659</v>
      </c>
      <c r="BM2188" s="1" t="s">
        <v>35170</v>
      </c>
      <c r="BN2188" s="1">
        <v>17313981</v>
      </c>
      <c r="BO2188" s="1" t="s">
        <v>74</v>
      </c>
      <c r="BP2188" s="1" t="s">
        <v>74</v>
      </c>
      <c r="BQ2188" s="1" t="s">
        <v>74</v>
      </c>
      <c r="BR2188" s="1" t="s">
        <v>98</v>
      </c>
      <c r="BS2188" s="1" t="s">
        <v>35171</v>
      </c>
      <c r="BT2188" s="1" t="str">
        <f>HYPERLINK("https%3A%2F%2Fwww.webofscience.com%2Fwos%2Fwoscc%2Ffull-record%2FWOS:000245501200004","View Full Record in Web of Science")</f>
        <v>View Full Record in Web of Science</v>
      </c>
      <c r="BU2188" s="1"/>
      <c r="BV2188" s="1"/>
    </row>
    <row r="2189" spans="1:74">
      <c r="A2189" s="1" t="s">
        <v>72</v>
      </c>
      <c r="B2189" s="1" t="s">
        <v>11016</v>
      </c>
      <c r="C2189" s="1" t="s">
        <v>74</v>
      </c>
      <c r="D2189" s="1" t="s">
        <v>74</v>
      </c>
      <c r="E2189" s="1" t="s">
        <v>74</v>
      </c>
      <c r="F2189" s="1" t="s">
        <v>11017</v>
      </c>
      <c r="G2189" s="1" t="s">
        <v>74</v>
      </c>
      <c r="H2189" s="1" t="s">
        <v>74</v>
      </c>
      <c r="I2189" s="1" t="s">
        <v>35172</v>
      </c>
      <c r="J2189" s="1" t="s">
        <v>35173</v>
      </c>
      <c r="K2189" s="1" t="s">
        <v>74</v>
      </c>
      <c r="L2189" s="1" t="s">
        <v>74</v>
      </c>
      <c r="M2189" s="1" t="s">
        <v>78</v>
      </c>
      <c r="N2189" s="1" t="s">
        <v>79</v>
      </c>
      <c r="O2189" s="1" t="s">
        <v>74</v>
      </c>
      <c r="P2189" s="1" t="s">
        <v>74</v>
      </c>
      <c r="Q2189" s="1" t="s">
        <v>74</v>
      </c>
      <c r="R2189" s="1" t="s">
        <v>74</v>
      </c>
      <c r="S2189" s="1" t="s">
        <v>74</v>
      </c>
      <c r="T2189" s="1" t="s">
        <v>35174</v>
      </c>
      <c r="U2189" s="1" t="s">
        <v>35175</v>
      </c>
      <c r="V2189" s="1" t="s">
        <v>35176</v>
      </c>
      <c r="W2189" s="1" t="s">
        <v>35177</v>
      </c>
      <c r="X2189" s="1" t="s">
        <v>3724</v>
      </c>
      <c r="Y2189" s="1" t="s">
        <v>35178</v>
      </c>
      <c r="Z2189" s="1" t="s">
        <v>35179</v>
      </c>
      <c r="AA2189" s="1" t="s">
        <v>5490</v>
      </c>
      <c r="AB2189" s="1" t="s">
        <v>5491</v>
      </c>
      <c r="AC2189" s="1" t="s">
        <v>35180</v>
      </c>
      <c r="AD2189" s="1" t="s">
        <v>35181</v>
      </c>
      <c r="AE2189" s="1" t="s">
        <v>35182</v>
      </c>
      <c r="AF2189" s="1" t="s">
        <v>74</v>
      </c>
      <c r="AG2189" s="1">
        <v>132</v>
      </c>
      <c r="AH2189" s="1">
        <v>74</v>
      </c>
      <c r="AI2189" s="1">
        <v>79</v>
      </c>
      <c r="AJ2189" s="1">
        <v>4</v>
      </c>
      <c r="AK2189" s="1">
        <v>132</v>
      </c>
      <c r="AL2189" s="1" t="s">
        <v>31879</v>
      </c>
      <c r="AM2189" s="1" t="s">
        <v>137</v>
      </c>
      <c r="AN2189" s="1" t="s">
        <v>31880</v>
      </c>
      <c r="AO2189" s="1" t="s">
        <v>35183</v>
      </c>
      <c r="AP2189" s="1" t="s">
        <v>35184</v>
      </c>
      <c r="AQ2189" s="1" t="s">
        <v>74</v>
      </c>
      <c r="AR2189" s="1" t="s">
        <v>35185</v>
      </c>
      <c r="AS2189" s="1" t="s">
        <v>35186</v>
      </c>
      <c r="AT2189" s="1" t="s">
        <v>119</v>
      </c>
      <c r="AU2189" s="1">
        <v>2015</v>
      </c>
      <c r="AV2189" s="1">
        <v>61</v>
      </c>
      <c r="AW2189" s="1">
        <v>4</v>
      </c>
      <c r="AX2189" s="1" t="s">
        <v>74</v>
      </c>
      <c r="AY2189" s="1" t="s">
        <v>74</v>
      </c>
      <c r="AZ2189" s="1" t="s">
        <v>74</v>
      </c>
      <c r="BA2189" s="1" t="s">
        <v>74</v>
      </c>
      <c r="BB2189" s="1">
        <v>653</v>
      </c>
      <c r="BC2189" s="1">
        <v>668</v>
      </c>
      <c r="BD2189" s="1" t="s">
        <v>74</v>
      </c>
      <c r="BE2189" s="1" t="s">
        <v>35187</v>
      </c>
      <c r="BF2189" s="1" t="str">
        <f>HYPERLINK("http://dx.doi.org/10.1093/czoolo/61.4.653","http://dx.doi.org/10.1093/czoolo/61.4.653")</f>
        <v>http://dx.doi.org/10.1093/czoolo/61.4.653</v>
      </c>
      <c r="BG2189" s="1" t="s">
        <v>74</v>
      </c>
      <c r="BH2189" s="1" t="s">
        <v>74</v>
      </c>
      <c r="BI2189" s="1">
        <v>16</v>
      </c>
      <c r="BJ2189" s="1" t="s">
        <v>2210</v>
      </c>
      <c r="BK2189" s="1" t="s">
        <v>96</v>
      </c>
      <c r="BL2189" s="1" t="s">
        <v>2210</v>
      </c>
      <c r="BM2189" s="1" t="s">
        <v>35188</v>
      </c>
      <c r="BN2189" s="1" t="s">
        <v>74</v>
      </c>
      <c r="BO2189" s="1" t="s">
        <v>637</v>
      </c>
      <c r="BP2189" s="1" t="s">
        <v>74</v>
      </c>
      <c r="BQ2189" s="1" t="s">
        <v>74</v>
      </c>
      <c r="BR2189" s="1" t="s">
        <v>98</v>
      </c>
      <c r="BS2189" s="1" t="s">
        <v>35189</v>
      </c>
      <c r="BT2189" s="1" t="str">
        <f>HYPERLINK("https%3A%2F%2Fwww.webofscience.com%2Fwos%2Fwoscc%2Ffull-record%2FWOS:000360458000010","View Full Record in Web of Science")</f>
        <v>View Full Record in Web of Science</v>
      </c>
      <c r="BU2189" s="1"/>
      <c r="BV2189" s="1"/>
    </row>
    <row r="2190" spans="1:74">
      <c r="A2190" s="1" t="s">
        <v>72</v>
      </c>
      <c r="B2190" s="1" t="s">
        <v>35190</v>
      </c>
      <c r="C2190" s="1" t="s">
        <v>74</v>
      </c>
      <c r="D2190" s="1" t="s">
        <v>74</v>
      </c>
      <c r="E2190" s="1" t="s">
        <v>74</v>
      </c>
      <c r="F2190" s="1" t="s">
        <v>35191</v>
      </c>
      <c r="G2190" s="1" t="s">
        <v>74</v>
      </c>
      <c r="H2190" s="1" t="s">
        <v>74</v>
      </c>
      <c r="I2190" s="1" t="s">
        <v>35192</v>
      </c>
      <c r="J2190" s="1" t="s">
        <v>421</v>
      </c>
      <c r="K2190" s="1" t="s">
        <v>74</v>
      </c>
      <c r="L2190" s="1" t="s">
        <v>74</v>
      </c>
      <c r="M2190" s="1" t="s">
        <v>78</v>
      </c>
      <c r="N2190" s="1" t="s">
        <v>79</v>
      </c>
      <c r="O2190" s="1" t="s">
        <v>74</v>
      </c>
      <c r="P2190" s="1" t="s">
        <v>74</v>
      </c>
      <c r="Q2190" s="1" t="s">
        <v>74</v>
      </c>
      <c r="R2190" s="1" t="s">
        <v>74</v>
      </c>
      <c r="S2190" s="1" t="s">
        <v>74</v>
      </c>
      <c r="T2190" s="1" t="s">
        <v>35193</v>
      </c>
      <c r="U2190" s="1" t="s">
        <v>35194</v>
      </c>
      <c r="V2190" s="1" t="s">
        <v>35195</v>
      </c>
      <c r="W2190" s="1" t="s">
        <v>35196</v>
      </c>
      <c r="X2190" s="1" t="s">
        <v>35197</v>
      </c>
      <c r="Y2190" s="1" t="s">
        <v>35198</v>
      </c>
      <c r="Z2190" s="1" t="s">
        <v>35199</v>
      </c>
      <c r="AA2190" s="1" t="s">
        <v>35200</v>
      </c>
      <c r="AB2190" s="1" t="s">
        <v>35201</v>
      </c>
      <c r="AC2190" s="1" t="s">
        <v>35202</v>
      </c>
      <c r="AD2190" s="1" t="s">
        <v>35203</v>
      </c>
      <c r="AE2190" s="1" t="s">
        <v>35204</v>
      </c>
      <c r="AF2190" s="1" t="s">
        <v>74</v>
      </c>
      <c r="AG2190" s="1">
        <v>71</v>
      </c>
      <c r="AH2190" s="1">
        <v>479</v>
      </c>
      <c r="AI2190" s="1">
        <v>527</v>
      </c>
      <c r="AJ2190" s="1">
        <v>22</v>
      </c>
      <c r="AK2190" s="1">
        <v>546</v>
      </c>
      <c r="AL2190" s="1" t="s">
        <v>430</v>
      </c>
      <c r="AM2190" s="1" t="s">
        <v>137</v>
      </c>
      <c r="AN2190" s="1" t="s">
        <v>431</v>
      </c>
      <c r="AO2190" s="1" t="s">
        <v>432</v>
      </c>
      <c r="AP2190" s="1" t="s">
        <v>1394</v>
      </c>
      <c r="AQ2190" s="1" t="s">
        <v>74</v>
      </c>
      <c r="AR2190" s="1" t="s">
        <v>433</v>
      </c>
      <c r="AS2190" s="1" t="s">
        <v>434</v>
      </c>
      <c r="AT2190" s="1" t="s">
        <v>305</v>
      </c>
      <c r="AU2190" s="1">
        <v>2016</v>
      </c>
      <c r="AV2190" s="1">
        <v>216</v>
      </c>
      <c r="AW2190" s="1" t="s">
        <v>74</v>
      </c>
      <c r="AX2190" s="1" t="s">
        <v>74</v>
      </c>
      <c r="AY2190" s="1" t="s">
        <v>74</v>
      </c>
      <c r="AZ2190" s="1" t="s">
        <v>74</v>
      </c>
      <c r="BA2190" s="1" t="s">
        <v>74</v>
      </c>
      <c r="BB2190" s="1">
        <v>724</v>
      </c>
      <c r="BC2190" s="1">
        <v>737</v>
      </c>
      <c r="BD2190" s="1" t="s">
        <v>74</v>
      </c>
      <c r="BE2190" s="1" t="s">
        <v>35205</v>
      </c>
      <c r="BF2190" s="1" t="str">
        <f>HYPERLINK("http://dx.doi.org/10.1016/j.envpol.2016.06.039","http://dx.doi.org/10.1016/j.envpol.2016.06.039")</f>
        <v>http://dx.doi.org/10.1016/j.envpol.2016.06.039</v>
      </c>
      <c r="BG2190" s="1" t="s">
        <v>74</v>
      </c>
      <c r="BH2190" s="1" t="s">
        <v>74</v>
      </c>
      <c r="BI2190" s="1">
        <v>14</v>
      </c>
      <c r="BJ2190" s="1" t="s">
        <v>144</v>
      </c>
      <c r="BK2190" s="1" t="s">
        <v>96</v>
      </c>
      <c r="BL2190" s="1" t="s">
        <v>145</v>
      </c>
      <c r="BM2190" s="1" t="s">
        <v>35206</v>
      </c>
      <c r="BN2190" s="1">
        <v>27372385</v>
      </c>
      <c r="BO2190" s="1" t="s">
        <v>1752</v>
      </c>
      <c r="BP2190" s="1" t="s">
        <v>74</v>
      </c>
      <c r="BQ2190" s="1" t="s">
        <v>74</v>
      </c>
      <c r="BR2190" s="1" t="s">
        <v>98</v>
      </c>
      <c r="BS2190" s="1" t="s">
        <v>35207</v>
      </c>
      <c r="BT2190" s="1" t="str">
        <f>HYPERLINK("https%3A%2F%2Fwww.webofscience.com%2Fwos%2Fwoscc%2Ffull-record%2FWOS:000383930500078","View Full Record in Web of Science")</f>
        <v>View Full Record in Web of Science</v>
      </c>
      <c r="BU2190" s="1"/>
      <c r="BV2190" s="1"/>
    </row>
    <row r="2191" spans="1:74">
      <c r="A2191" s="1" t="s">
        <v>72</v>
      </c>
      <c r="B2191" s="1" t="s">
        <v>35208</v>
      </c>
      <c r="C2191" s="1" t="s">
        <v>74</v>
      </c>
      <c r="D2191" s="1" t="s">
        <v>74</v>
      </c>
      <c r="E2191" s="1" t="s">
        <v>74</v>
      </c>
      <c r="F2191" s="1" t="s">
        <v>35209</v>
      </c>
      <c r="G2191" s="1" t="s">
        <v>74</v>
      </c>
      <c r="H2191" s="1" t="s">
        <v>74</v>
      </c>
      <c r="I2191" s="1" t="s">
        <v>35210</v>
      </c>
      <c r="J2191" s="1" t="s">
        <v>35211</v>
      </c>
      <c r="K2191" s="1" t="s">
        <v>74</v>
      </c>
      <c r="L2191" s="1" t="s">
        <v>74</v>
      </c>
      <c r="M2191" s="1" t="s">
        <v>78</v>
      </c>
      <c r="N2191" s="1" t="s">
        <v>79</v>
      </c>
      <c r="O2191" s="1" t="s">
        <v>74</v>
      </c>
      <c r="P2191" s="1" t="s">
        <v>74</v>
      </c>
      <c r="Q2191" s="1" t="s">
        <v>74</v>
      </c>
      <c r="R2191" s="1" t="s">
        <v>74</v>
      </c>
      <c r="S2191" s="1" t="s">
        <v>74</v>
      </c>
      <c r="T2191" s="1" t="s">
        <v>74</v>
      </c>
      <c r="U2191" s="1" t="s">
        <v>35212</v>
      </c>
      <c r="V2191" s="1" t="s">
        <v>35213</v>
      </c>
      <c r="W2191" s="1" t="s">
        <v>35214</v>
      </c>
      <c r="X2191" s="1" t="s">
        <v>35215</v>
      </c>
      <c r="Y2191" s="1" t="s">
        <v>35216</v>
      </c>
      <c r="Z2191" s="1" t="s">
        <v>35217</v>
      </c>
      <c r="AA2191" s="1" t="s">
        <v>35218</v>
      </c>
      <c r="AB2191" s="1" t="s">
        <v>35219</v>
      </c>
      <c r="AC2191" s="1" t="s">
        <v>35220</v>
      </c>
      <c r="AD2191" s="1" t="s">
        <v>35221</v>
      </c>
      <c r="AE2191" s="1" t="s">
        <v>35222</v>
      </c>
      <c r="AF2191" s="1" t="s">
        <v>74</v>
      </c>
      <c r="AG2191" s="1">
        <v>50</v>
      </c>
      <c r="AH2191" s="1">
        <v>3</v>
      </c>
      <c r="AI2191" s="1">
        <v>3</v>
      </c>
      <c r="AJ2191" s="1">
        <v>12</v>
      </c>
      <c r="AK2191" s="1">
        <v>17</v>
      </c>
      <c r="AL2191" s="1" t="s">
        <v>4471</v>
      </c>
      <c r="AM2191" s="1" t="s">
        <v>4472</v>
      </c>
      <c r="AN2191" s="1" t="s">
        <v>4473</v>
      </c>
      <c r="AO2191" s="1" t="s">
        <v>35223</v>
      </c>
      <c r="AP2191" s="1" t="s">
        <v>35224</v>
      </c>
      <c r="AQ2191" s="1" t="s">
        <v>74</v>
      </c>
      <c r="AR2191" s="1" t="s">
        <v>35225</v>
      </c>
      <c r="AS2191" s="1" t="s">
        <v>35226</v>
      </c>
      <c r="AT2191" s="1" t="s">
        <v>20196</v>
      </c>
      <c r="AU2191" s="1">
        <v>2024</v>
      </c>
      <c r="AV2191" s="1">
        <v>63</v>
      </c>
      <c r="AW2191" s="1">
        <v>4</v>
      </c>
      <c r="AX2191" s="1" t="s">
        <v>74</v>
      </c>
      <c r="AY2191" s="1" t="s">
        <v>74</v>
      </c>
      <c r="AZ2191" s="1" t="s">
        <v>74</v>
      </c>
      <c r="BA2191" s="1" t="s">
        <v>74</v>
      </c>
      <c r="BB2191" s="1">
        <v>1853</v>
      </c>
      <c r="BC2191" s="1">
        <v>1863</v>
      </c>
      <c r="BD2191" s="1" t="s">
        <v>74</v>
      </c>
      <c r="BE2191" s="1" t="s">
        <v>35227</v>
      </c>
      <c r="BF2191" s="1" t="str">
        <f>HYPERLINK("http://dx.doi.org/10.1021/acs.iecr.3c03658","http://dx.doi.org/10.1021/acs.iecr.3c03658")</f>
        <v>http://dx.doi.org/10.1021/acs.iecr.3c03658</v>
      </c>
      <c r="BG2191" s="1" t="s">
        <v>74</v>
      </c>
      <c r="BH2191" s="1" t="s">
        <v>74</v>
      </c>
      <c r="BI2191" s="1">
        <v>11</v>
      </c>
      <c r="BJ2191" s="1" t="s">
        <v>9771</v>
      </c>
      <c r="BK2191" s="1" t="s">
        <v>96</v>
      </c>
      <c r="BL2191" s="1" t="s">
        <v>3992</v>
      </c>
      <c r="BM2191" s="1" t="s">
        <v>35228</v>
      </c>
      <c r="BN2191" s="1" t="s">
        <v>74</v>
      </c>
      <c r="BO2191" s="1" t="s">
        <v>74</v>
      </c>
      <c r="BP2191" s="1" t="s">
        <v>74</v>
      </c>
      <c r="BQ2191" s="1" t="s">
        <v>74</v>
      </c>
      <c r="BR2191" s="1" t="s">
        <v>98</v>
      </c>
      <c r="BS2191" s="1" t="s">
        <v>35229</v>
      </c>
      <c r="BT2191" s="1" t="str">
        <f>HYPERLINK("https%3A%2F%2Fwww.webofscience.com%2Fwos%2Fwoscc%2Ffull-record%2FWOS:001155550600001","View Full Record in Web of Science")</f>
        <v>View Full Record in Web of Science</v>
      </c>
      <c r="BU2191" s="1"/>
      <c r="BV2191" s="1"/>
    </row>
    <row r="2192" spans="1:74">
      <c r="A2192" s="1" t="s">
        <v>72</v>
      </c>
      <c r="B2192" s="1" t="s">
        <v>35230</v>
      </c>
      <c r="C2192" s="1" t="s">
        <v>74</v>
      </c>
      <c r="D2192" s="1" t="s">
        <v>74</v>
      </c>
      <c r="E2192" s="1" t="s">
        <v>74</v>
      </c>
      <c r="F2192" s="1" t="s">
        <v>35230</v>
      </c>
      <c r="G2192" s="1" t="s">
        <v>74</v>
      </c>
      <c r="H2192" s="1" t="s">
        <v>74</v>
      </c>
      <c r="I2192" s="1" t="s">
        <v>35231</v>
      </c>
      <c r="J2192" s="1" t="s">
        <v>35232</v>
      </c>
      <c r="K2192" s="1" t="s">
        <v>74</v>
      </c>
      <c r="L2192" s="1" t="s">
        <v>74</v>
      </c>
      <c r="M2192" s="1" t="s">
        <v>78</v>
      </c>
      <c r="N2192" s="1" t="s">
        <v>79</v>
      </c>
      <c r="O2192" s="1" t="s">
        <v>74</v>
      </c>
      <c r="P2192" s="1" t="s">
        <v>74</v>
      </c>
      <c r="Q2192" s="1" t="s">
        <v>74</v>
      </c>
      <c r="R2192" s="1" t="s">
        <v>74</v>
      </c>
      <c r="S2192" s="1" t="s">
        <v>74</v>
      </c>
      <c r="T2192" s="1" t="s">
        <v>74</v>
      </c>
      <c r="U2192" s="1" t="s">
        <v>74</v>
      </c>
      <c r="V2192" s="1" t="s">
        <v>35233</v>
      </c>
      <c r="W2192" s="1" t="s">
        <v>74</v>
      </c>
      <c r="X2192" s="1" t="s">
        <v>74</v>
      </c>
      <c r="Y2192" s="1" t="s">
        <v>35234</v>
      </c>
      <c r="Z2192" s="1" t="s">
        <v>74</v>
      </c>
      <c r="AA2192" s="1" t="s">
        <v>74</v>
      </c>
      <c r="AB2192" s="1" t="s">
        <v>74</v>
      </c>
      <c r="AC2192" s="1" t="s">
        <v>74</v>
      </c>
      <c r="AD2192" s="1" t="s">
        <v>74</v>
      </c>
      <c r="AE2192" s="1" t="s">
        <v>74</v>
      </c>
      <c r="AF2192" s="1" t="s">
        <v>74</v>
      </c>
      <c r="AG2192" s="1">
        <v>21</v>
      </c>
      <c r="AH2192" s="1">
        <v>23</v>
      </c>
      <c r="AI2192" s="1">
        <v>23</v>
      </c>
      <c r="AJ2192" s="1">
        <v>0</v>
      </c>
      <c r="AK2192" s="1">
        <v>0</v>
      </c>
      <c r="AL2192" s="1" t="s">
        <v>650</v>
      </c>
      <c r="AM2192" s="1" t="s">
        <v>651</v>
      </c>
      <c r="AN2192" s="1" t="s">
        <v>652</v>
      </c>
      <c r="AO2192" s="1" t="s">
        <v>35235</v>
      </c>
      <c r="AP2192" s="1" t="s">
        <v>74</v>
      </c>
      <c r="AQ2192" s="1" t="s">
        <v>74</v>
      </c>
      <c r="AR2192" s="1" t="s">
        <v>35236</v>
      </c>
      <c r="AS2192" s="1" t="s">
        <v>35237</v>
      </c>
      <c r="AT2192" s="1" t="s">
        <v>765</v>
      </c>
      <c r="AU2192" s="1">
        <v>1986</v>
      </c>
      <c r="AV2192" s="1">
        <v>174</v>
      </c>
      <c r="AW2192" s="1">
        <v>3</v>
      </c>
      <c r="AX2192" s="1" t="s">
        <v>74</v>
      </c>
      <c r="AY2192" s="1" t="s">
        <v>74</v>
      </c>
      <c r="AZ2192" s="1" t="s">
        <v>74</v>
      </c>
      <c r="BA2192" s="1" t="s">
        <v>74</v>
      </c>
      <c r="BB2192" s="1">
        <v>207</v>
      </c>
      <c r="BC2192" s="1">
        <v>211</v>
      </c>
      <c r="BD2192" s="1" t="s">
        <v>74</v>
      </c>
      <c r="BE2192" s="1" t="s">
        <v>35238</v>
      </c>
      <c r="BF2192" s="1" t="str">
        <f>HYPERLINK("http://dx.doi.org/10.1016/0165-7992(86)90153-3","http://dx.doi.org/10.1016/0165-7992(86)90153-3")</f>
        <v>http://dx.doi.org/10.1016/0165-7992(86)90153-3</v>
      </c>
      <c r="BG2192" s="1" t="s">
        <v>74</v>
      </c>
      <c r="BH2192" s="1" t="s">
        <v>74</v>
      </c>
      <c r="BI2192" s="1">
        <v>5</v>
      </c>
      <c r="BJ2192" s="1" t="s">
        <v>30412</v>
      </c>
      <c r="BK2192" s="1" t="s">
        <v>96</v>
      </c>
      <c r="BL2192" s="1" t="s">
        <v>30412</v>
      </c>
      <c r="BM2192" s="1" t="s">
        <v>35239</v>
      </c>
      <c r="BN2192" s="1" t="s">
        <v>74</v>
      </c>
      <c r="BO2192" s="1" t="s">
        <v>74</v>
      </c>
      <c r="BP2192" s="1" t="s">
        <v>74</v>
      </c>
      <c r="BQ2192" s="1" t="s">
        <v>74</v>
      </c>
      <c r="BR2192" s="1" t="s">
        <v>98</v>
      </c>
      <c r="BS2192" s="1" t="s">
        <v>35240</v>
      </c>
      <c r="BT2192" s="1" t="str">
        <f>HYPERLINK("https%3A%2F%2Fwww.webofscience.com%2Fwos%2Fwoscc%2Ffull-record%2FWOS:A1986D147000011","View Full Record in Web of Science")</f>
        <v>View Full Record in Web of Science</v>
      </c>
      <c r="BU2192" s="1"/>
      <c r="BV2192" s="1"/>
    </row>
    <row r="2193" spans="1:74">
      <c r="A2193" s="1" t="s">
        <v>72</v>
      </c>
      <c r="B2193" s="1" t="s">
        <v>35241</v>
      </c>
      <c r="C2193" s="1" t="s">
        <v>74</v>
      </c>
      <c r="D2193" s="1" t="s">
        <v>74</v>
      </c>
      <c r="E2193" s="1" t="s">
        <v>74</v>
      </c>
      <c r="F2193" s="1" t="s">
        <v>35242</v>
      </c>
      <c r="G2193" s="1" t="s">
        <v>74</v>
      </c>
      <c r="H2193" s="1" t="s">
        <v>74</v>
      </c>
      <c r="I2193" s="1" t="s">
        <v>35243</v>
      </c>
      <c r="J2193" s="1" t="s">
        <v>5021</v>
      </c>
      <c r="K2193" s="1" t="s">
        <v>74</v>
      </c>
      <c r="L2193" s="1" t="s">
        <v>74</v>
      </c>
      <c r="M2193" s="1" t="s">
        <v>78</v>
      </c>
      <c r="N2193" s="1" t="s">
        <v>151</v>
      </c>
      <c r="O2193" s="1" t="s">
        <v>35244</v>
      </c>
      <c r="P2193" s="1" t="s">
        <v>35245</v>
      </c>
      <c r="Q2193" s="1" t="s">
        <v>35246</v>
      </c>
      <c r="R2193" s="1" t="s">
        <v>74</v>
      </c>
      <c r="S2193" s="1" t="s">
        <v>74</v>
      </c>
      <c r="T2193" s="1" t="s">
        <v>35247</v>
      </c>
      <c r="U2193" s="1" t="s">
        <v>35248</v>
      </c>
      <c r="V2193" s="1" t="s">
        <v>35249</v>
      </c>
      <c r="W2193" s="1" t="s">
        <v>35250</v>
      </c>
      <c r="X2193" s="1" t="s">
        <v>35251</v>
      </c>
      <c r="Y2193" s="1" t="s">
        <v>35252</v>
      </c>
      <c r="Z2193" s="1" t="s">
        <v>35253</v>
      </c>
      <c r="AA2193" s="1" t="s">
        <v>35254</v>
      </c>
      <c r="AB2193" s="1" t="s">
        <v>74</v>
      </c>
      <c r="AC2193" s="1" t="s">
        <v>74</v>
      </c>
      <c r="AD2193" s="1" t="s">
        <v>74</v>
      </c>
      <c r="AE2193" s="1" t="s">
        <v>74</v>
      </c>
      <c r="AF2193" s="1" t="s">
        <v>74</v>
      </c>
      <c r="AG2193" s="1">
        <v>39</v>
      </c>
      <c r="AH2193" s="1">
        <v>39</v>
      </c>
      <c r="AI2193" s="1">
        <v>39</v>
      </c>
      <c r="AJ2193" s="1">
        <v>0</v>
      </c>
      <c r="AK2193" s="1">
        <v>41</v>
      </c>
      <c r="AL2193" s="1" t="s">
        <v>650</v>
      </c>
      <c r="AM2193" s="1" t="s">
        <v>651</v>
      </c>
      <c r="AN2193" s="1" t="s">
        <v>652</v>
      </c>
      <c r="AO2193" s="1" t="s">
        <v>5033</v>
      </c>
      <c r="AP2193" s="1" t="s">
        <v>5034</v>
      </c>
      <c r="AQ2193" s="1" t="s">
        <v>74</v>
      </c>
      <c r="AR2193" s="1" t="s">
        <v>5035</v>
      </c>
      <c r="AS2193" s="1" t="s">
        <v>5036</v>
      </c>
      <c r="AT2193" s="1" t="s">
        <v>305</v>
      </c>
      <c r="AU2193" s="1">
        <v>2010</v>
      </c>
      <c r="AV2193" s="1">
        <v>96</v>
      </c>
      <c r="AW2193" s="1">
        <v>1</v>
      </c>
      <c r="AX2193" s="1" t="s">
        <v>74</v>
      </c>
      <c r="AY2193" s="1" t="s">
        <v>74</v>
      </c>
      <c r="AZ2193" s="1" t="s">
        <v>225</v>
      </c>
      <c r="BA2193" s="1" t="s">
        <v>74</v>
      </c>
      <c r="BB2193" s="1">
        <v>172</v>
      </c>
      <c r="BC2193" s="1">
        <v>179</v>
      </c>
      <c r="BD2193" s="1" t="s">
        <v>74</v>
      </c>
      <c r="BE2193" s="1" t="s">
        <v>35255</v>
      </c>
      <c r="BF2193" s="1" t="str">
        <f>HYPERLINK("http://dx.doi.org/10.1016/j.microc.2010.03.001","http://dx.doi.org/10.1016/j.microc.2010.03.001")</f>
        <v>http://dx.doi.org/10.1016/j.microc.2010.03.001</v>
      </c>
      <c r="BG2193" s="1" t="s">
        <v>74</v>
      </c>
      <c r="BH2193" s="1" t="s">
        <v>74</v>
      </c>
      <c r="BI2193" s="1">
        <v>8</v>
      </c>
      <c r="BJ2193" s="1" t="s">
        <v>1196</v>
      </c>
      <c r="BK2193" s="1" t="s">
        <v>172</v>
      </c>
      <c r="BL2193" s="1" t="s">
        <v>1197</v>
      </c>
      <c r="BM2193" s="1" t="s">
        <v>35256</v>
      </c>
      <c r="BN2193" s="1" t="s">
        <v>74</v>
      </c>
      <c r="BO2193" s="1" t="s">
        <v>476</v>
      </c>
      <c r="BP2193" s="1" t="s">
        <v>74</v>
      </c>
      <c r="BQ2193" s="1" t="s">
        <v>74</v>
      </c>
      <c r="BR2193" s="1" t="s">
        <v>98</v>
      </c>
      <c r="BS2193" s="1" t="s">
        <v>35257</v>
      </c>
      <c r="BT2193" s="1" t="str">
        <f>HYPERLINK("https%3A%2F%2Fwww.webofscience.com%2Fwos%2Fwoscc%2Ffull-record%2FWOS:000279163200032","View Full Record in Web of Science")</f>
        <v>View Full Record in Web of Science</v>
      </c>
      <c r="BU2193" s="1"/>
      <c r="BV2193" s="1"/>
    </row>
    <row r="2194" spans="1:74">
      <c r="A2194" s="1" t="s">
        <v>72</v>
      </c>
      <c r="B2194" s="1" t="s">
        <v>35258</v>
      </c>
      <c r="C2194" s="1" t="s">
        <v>74</v>
      </c>
      <c r="D2194" s="1" t="s">
        <v>74</v>
      </c>
      <c r="E2194" s="1" t="s">
        <v>74</v>
      </c>
      <c r="F2194" s="1" t="s">
        <v>35258</v>
      </c>
      <c r="G2194" s="1" t="s">
        <v>74</v>
      </c>
      <c r="H2194" s="1" t="s">
        <v>74</v>
      </c>
      <c r="I2194" s="1" t="s">
        <v>35259</v>
      </c>
      <c r="J2194" s="1" t="s">
        <v>421</v>
      </c>
      <c r="K2194" s="1" t="s">
        <v>74</v>
      </c>
      <c r="L2194" s="1" t="s">
        <v>74</v>
      </c>
      <c r="M2194" s="1" t="s">
        <v>78</v>
      </c>
      <c r="N2194" s="1" t="s">
        <v>79</v>
      </c>
      <c r="O2194" s="1" t="s">
        <v>74</v>
      </c>
      <c r="P2194" s="1" t="s">
        <v>74</v>
      </c>
      <c r="Q2194" s="1" t="s">
        <v>74</v>
      </c>
      <c r="R2194" s="1" t="s">
        <v>74</v>
      </c>
      <c r="S2194" s="1" t="s">
        <v>74</v>
      </c>
      <c r="T2194" s="1" t="s">
        <v>35260</v>
      </c>
      <c r="U2194" s="1" t="s">
        <v>35261</v>
      </c>
      <c r="V2194" s="1" t="s">
        <v>35262</v>
      </c>
      <c r="W2194" s="1" t="s">
        <v>35263</v>
      </c>
      <c r="X2194" s="1" t="s">
        <v>19550</v>
      </c>
      <c r="Y2194" s="1" t="s">
        <v>23078</v>
      </c>
      <c r="Z2194" s="1" t="s">
        <v>74</v>
      </c>
      <c r="AA2194" s="1" t="s">
        <v>74</v>
      </c>
      <c r="AB2194" s="1" t="s">
        <v>74</v>
      </c>
      <c r="AC2194" s="1" t="s">
        <v>74</v>
      </c>
      <c r="AD2194" s="1" t="s">
        <v>74</v>
      </c>
      <c r="AE2194" s="1" t="s">
        <v>74</v>
      </c>
      <c r="AF2194" s="1" t="s">
        <v>74</v>
      </c>
      <c r="AG2194" s="1">
        <v>68</v>
      </c>
      <c r="AH2194" s="1">
        <v>22</v>
      </c>
      <c r="AI2194" s="1">
        <v>24</v>
      </c>
      <c r="AJ2194" s="1">
        <v>0</v>
      </c>
      <c r="AK2194" s="1">
        <v>6</v>
      </c>
      <c r="AL2194" s="1" t="s">
        <v>430</v>
      </c>
      <c r="AM2194" s="1" t="s">
        <v>137</v>
      </c>
      <c r="AN2194" s="1" t="s">
        <v>431</v>
      </c>
      <c r="AO2194" s="1" t="s">
        <v>432</v>
      </c>
      <c r="AP2194" s="1" t="s">
        <v>74</v>
      </c>
      <c r="AQ2194" s="1" t="s">
        <v>74</v>
      </c>
      <c r="AR2194" s="1" t="s">
        <v>433</v>
      </c>
      <c r="AS2194" s="1" t="s">
        <v>434</v>
      </c>
      <c r="AT2194" s="1" t="s">
        <v>74</v>
      </c>
      <c r="AU2194" s="1">
        <v>2003</v>
      </c>
      <c r="AV2194" s="1">
        <v>125</v>
      </c>
      <c r="AW2194" s="1">
        <v>3</v>
      </c>
      <c r="AX2194" s="1" t="s">
        <v>74</v>
      </c>
      <c r="AY2194" s="1" t="s">
        <v>74</v>
      </c>
      <c r="AZ2194" s="1" t="s">
        <v>74</v>
      </c>
      <c r="BA2194" s="1" t="s">
        <v>74</v>
      </c>
      <c r="BB2194" s="1">
        <v>345</v>
      </c>
      <c r="BC2194" s="1">
        <v>353</v>
      </c>
      <c r="BD2194" s="1" t="s">
        <v>74</v>
      </c>
      <c r="BE2194" s="1" t="s">
        <v>35264</v>
      </c>
      <c r="BF2194" s="1" t="str">
        <f>HYPERLINK("http://dx.doi.org/10.1016/S0269-7491(03)00122-2","http://dx.doi.org/10.1016/S0269-7491(03)00122-2")</f>
        <v>http://dx.doi.org/10.1016/S0269-7491(03)00122-2</v>
      </c>
      <c r="BG2194" s="1" t="s">
        <v>74</v>
      </c>
      <c r="BH2194" s="1" t="s">
        <v>74</v>
      </c>
      <c r="BI2194" s="1">
        <v>9</v>
      </c>
      <c r="BJ2194" s="1" t="s">
        <v>144</v>
      </c>
      <c r="BK2194" s="1" t="s">
        <v>96</v>
      </c>
      <c r="BL2194" s="1" t="s">
        <v>145</v>
      </c>
      <c r="BM2194" s="1" t="s">
        <v>35265</v>
      </c>
      <c r="BN2194" s="1">
        <v>12826412</v>
      </c>
      <c r="BO2194" s="1" t="s">
        <v>74</v>
      </c>
      <c r="BP2194" s="1" t="s">
        <v>74</v>
      </c>
      <c r="BQ2194" s="1" t="s">
        <v>74</v>
      </c>
      <c r="BR2194" s="1" t="s">
        <v>98</v>
      </c>
      <c r="BS2194" s="1" t="s">
        <v>35266</v>
      </c>
      <c r="BT2194" s="1" t="str">
        <f>HYPERLINK("https%3A%2F%2Fwww.webofscience.com%2Fwos%2Fwoscc%2Ffull-record%2FWOS:000184347400006","View Full Record in Web of Science")</f>
        <v>View Full Record in Web of Science</v>
      </c>
      <c r="BU2194" s="1"/>
      <c r="BV2194" s="1"/>
    </row>
    <row r="2195" spans="1:74">
      <c r="A2195" s="1" t="s">
        <v>72</v>
      </c>
      <c r="B2195" s="1" t="s">
        <v>35267</v>
      </c>
      <c r="C2195" s="1" t="s">
        <v>74</v>
      </c>
      <c r="D2195" s="1" t="s">
        <v>74</v>
      </c>
      <c r="E2195" s="1" t="s">
        <v>74</v>
      </c>
      <c r="F2195" s="1" t="s">
        <v>35268</v>
      </c>
      <c r="G2195" s="1" t="s">
        <v>74</v>
      </c>
      <c r="H2195" s="1" t="s">
        <v>74</v>
      </c>
      <c r="I2195" s="1" t="s">
        <v>35269</v>
      </c>
      <c r="J2195" s="1" t="s">
        <v>554</v>
      </c>
      <c r="K2195" s="1" t="s">
        <v>74</v>
      </c>
      <c r="L2195" s="1" t="s">
        <v>74</v>
      </c>
      <c r="M2195" s="1" t="s">
        <v>78</v>
      </c>
      <c r="N2195" s="1" t="s">
        <v>79</v>
      </c>
      <c r="O2195" s="1" t="s">
        <v>74</v>
      </c>
      <c r="P2195" s="1" t="s">
        <v>74</v>
      </c>
      <c r="Q2195" s="1" t="s">
        <v>74</v>
      </c>
      <c r="R2195" s="1" t="s">
        <v>74</v>
      </c>
      <c r="S2195" s="1" t="s">
        <v>74</v>
      </c>
      <c r="T2195" s="1" t="s">
        <v>35270</v>
      </c>
      <c r="U2195" s="1" t="s">
        <v>35271</v>
      </c>
      <c r="V2195" s="1" t="s">
        <v>35272</v>
      </c>
      <c r="W2195" s="1" t="s">
        <v>35273</v>
      </c>
      <c r="X2195" s="1" t="s">
        <v>35274</v>
      </c>
      <c r="Y2195" s="1" t="s">
        <v>35275</v>
      </c>
      <c r="Z2195" s="1" t="s">
        <v>5489</v>
      </c>
      <c r="AA2195" s="1" t="s">
        <v>5490</v>
      </c>
      <c r="AB2195" s="1" t="s">
        <v>5491</v>
      </c>
      <c r="AC2195" s="1" t="s">
        <v>35276</v>
      </c>
      <c r="AD2195" s="1" t="s">
        <v>35277</v>
      </c>
      <c r="AE2195" s="1" t="s">
        <v>35278</v>
      </c>
      <c r="AF2195" s="1" t="s">
        <v>74</v>
      </c>
      <c r="AG2195" s="1">
        <v>83</v>
      </c>
      <c r="AH2195" s="1">
        <v>33</v>
      </c>
      <c r="AI2195" s="1">
        <v>35</v>
      </c>
      <c r="AJ2195" s="1">
        <v>3</v>
      </c>
      <c r="AK2195" s="1">
        <v>77</v>
      </c>
      <c r="AL2195" s="1" t="s">
        <v>564</v>
      </c>
      <c r="AM2195" s="1" t="s">
        <v>113</v>
      </c>
      <c r="AN2195" s="1" t="s">
        <v>807</v>
      </c>
      <c r="AO2195" s="1" t="s">
        <v>566</v>
      </c>
      <c r="AP2195" s="1" t="s">
        <v>567</v>
      </c>
      <c r="AQ2195" s="1" t="s">
        <v>74</v>
      </c>
      <c r="AR2195" s="1" t="s">
        <v>568</v>
      </c>
      <c r="AS2195" s="1" t="s">
        <v>569</v>
      </c>
      <c r="AT2195" s="1" t="s">
        <v>15328</v>
      </c>
      <c r="AU2195" s="1">
        <v>2015</v>
      </c>
      <c r="AV2195" s="1">
        <v>174</v>
      </c>
      <c r="AW2195" s="1" t="s">
        <v>74</v>
      </c>
      <c r="AX2195" s="1" t="s">
        <v>74</v>
      </c>
      <c r="AY2195" s="1" t="s">
        <v>74</v>
      </c>
      <c r="AZ2195" s="1" t="s">
        <v>74</v>
      </c>
      <c r="BA2195" s="1" t="s">
        <v>74</v>
      </c>
      <c r="BB2195" s="1">
        <v>1</v>
      </c>
      <c r="BC2195" s="1">
        <v>12</v>
      </c>
      <c r="BD2195" s="1" t="s">
        <v>74</v>
      </c>
      <c r="BE2195" s="1" t="s">
        <v>35279</v>
      </c>
      <c r="BF2195" s="1" t="str">
        <f>HYPERLINK("http://dx.doi.org/10.1016/j.cbpc.2015.05.001","http://dx.doi.org/10.1016/j.cbpc.2015.05.001")</f>
        <v>http://dx.doi.org/10.1016/j.cbpc.2015.05.001</v>
      </c>
      <c r="BG2195" s="1" t="s">
        <v>74</v>
      </c>
      <c r="BH2195" s="1" t="s">
        <v>74</v>
      </c>
      <c r="BI2195" s="1">
        <v>12</v>
      </c>
      <c r="BJ2195" s="1" t="s">
        <v>571</v>
      </c>
      <c r="BK2195" s="1" t="s">
        <v>96</v>
      </c>
      <c r="BL2195" s="1" t="s">
        <v>571</v>
      </c>
      <c r="BM2195" s="1" t="s">
        <v>35280</v>
      </c>
      <c r="BN2195" s="1">
        <v>26008775</v>
      </c>
      <c r="BO2195" s="1" t="s">
        <v>370</v>
      </c>
      <c r="BP2195" s="1" t="s">
        <v>74</v>
      </c>
      <c r="BQ2195" s="1" t="s">
        <v>74</v>
      </c>
      <c r="BR2195" s="1" t="s">
        <v>98</v>
      </c>
      <c r="BS2195" s="1" t="s">
        <v>35281</v>
      </c>
      <c r="BT2195" s="1" t="str">
        <f>HYPERLINK("https%3A%2F%2Fwww.webofscience.com%2Fwos%2Fwoscc%2Ffull-record%2FWOS:000359275000001","View Full Record in Web of Science")</f>
        <v>View Full Record in Web of Science</v>
      </c>
      <c r="BU2195" s="1"/>
      <c r="BV2195" s="1"/>
    </row>
    <row r="2196" spans="1:74">
      <c r="A2196" s="1" t="s">
        <v>72</v>
      </c>
      <c r="B2196" s="1" t="s">
        <v>35282</v>
      </c>
      <c r="C2196" s="1" t="s">
        <v>74</v>
      </c>
      <c r="D2196" s="1" t="s">
        <v>74</v>
      </c>
      <c r="E2196" s="1" t="s">
        <v>74</v>
      </c>
      <c r="F2196" s="1" t="s">
        <v>35283</v>
      </c>
      <c r="G2196" s="1" t="s">
        <v>74</v>
      </c>
      <c r="H2196" s="1" t="s">
        <v>74</v>
      </c>
      <c r="I2196" s="1" t="s">
        <v>35284</v>
      </c>
      <c r="J2196" s="1" t="s">
        <v>2063</v>
      </c>
      <c r="K2196" s="1" t="s">
        <v>74</v>
      </c>
      <c r="L2196" s="1" t="s">
        <v>74</v>
      </c>
      <c r="M2196" s="1" t="s">
        <v>78</v>
      </c>
      <c r="N2196" s="1" t="s">
        <v>79</v>
      </c>
      <c r="O2196" s="1" t="s">
        <v>74</v>
      </c>
      <c r="P2196" s="1" t="s">
        <v>74</v>
      </c>
      <c r="Q2196" s="1" t="s">
        <v>74</v>
      </c>
      <c r="R2196" s="1" t="s">
        <v>74</v>
      </c>
      <c r="S2196" s="1" t="s">
        <v>74</v>
      </c>
      <c r="T2196" s="1" t="s">
        <v>35285</v>
      </c>
      <c r="U2196" s="1" t="s">
        <v>35286</v>
      </c>
      <c r="V2196" s="1" t="s">
        <v>35287</v>
      </c>
      <c r="W2196" s="1" t="s">
        <v>35288</v>
      </c>
      <c r="X2196" s="1" t="s">
        <v>35289</v>
      </c>
      <c r="Y2196" s="1" t="s">
        <v>35290</v>
      </c>
      <c r="Z2196" s="1" t="s">
        <v>35291</v>
      </c>
      <c r="AA2196" s="1" t="s">
        <v>35292</v>
      </c>
      <c r="AB2196" s="1" t="s">
        <v>35293</v>
      </c>
      <c r="AC2196" s="1" t="s">
        <v>74</v>
      </c>
      <c r="AD2196" s="1" t="s">
        <v>74</v>
      </c>
      <c r="AE2196" s="1" t="s">
        <v>74</v>
      </c>
      <c r="AF2196" s="1" t="s">
        <v>74</v>
      </c>
      <c r="AG2196" s="1">
        <v>63</v>
      </c>
      <c r="AH2196" s="1">
        <v>11</v>
      </c>
      <c r="AI2196" s="1">
        <v>11</v>
      </c>
      <c r="AJ2196" s="1">
        <v>2</v>
      </c>
      <c r="AK2196" s="1">
        <v>14</v>
      </c>
      <c r="AL2196" s="1" t="s">
        <v>2074</v>
      </c>
      <c r="AM2196" s="1" t="s">
        <v>2075</v>
      </c>
      <c r="AN2196" s="1" t="s">
        <v>2076</v>
      </c>
      <c r="AO2196" s="1" t="s">
        <v>2077</v>
      </c>
      <c r="AP2196" s="1" t="s">
        <v>2078</v>
      </c>
      <c r="AQ2196" s="1" t="s">
        <v>74</v>
      </c>
      <c r="AR2196" s="1" t="s">
        <v>2079</v>
      </c>
      <c r="AS2196" s="1" t="s">
        <v>2080</v>
      </c>
      <c r="AT2196" s="1" t="s">
        <v>74</v>
      </c>
      <c r="AU2196" s="1">
        <v>2018</v>
      </c>
      <c r="AV2196" s="1">
        <v>34</v>
      </c>
      <c r="AW2196" s="1">
        <v>8</v>
      </c>
      <c r="AX2196" s="1" t="s">
        <v>74</v>
      </c>
      <c r="AY2196" s="1" t="s">
        <v>74</v>
      </c>
      <c r="AZ2196" s="1" t="s">
        <v>74</v>
      </c>
      <c r="BA2196" s="1" t="s">
        <v>74</v>
      </c>
      <c r="BB2196" s="1">
        <v>727</v>
      </c>
      <c r="BC2196" s="1">
        <v>746</v>
      </c>
      <c r="BD2196" s="1" t="s">
        <v>74</v>
      </c>
      <c r="BE2196" s="1" t="s">
        <v>35294</v>
      </c>
      <c r="BF2196" s="1" t="str">
        <f>HYPERLINK("http://dx.doi.org/10.1080/02757540.2018.1491557","http://dx.doi.org/10.1080/02757540.2018.1491557")</f>
        <v>http://dx.doi.org/10.1080/02757540.2018.1491557</v>
      </c>
      <c r="BG2196" s="1" t="s">
        <v>74</v>
      </c>
      <c r="BH2196" s="1" t="s">
        <v>74</v>
      </c>
      <c r="BI2196" s="1">
        <v>20</v>
      </c>
      <c r="BJ2196" s="1" t="s">
        <v>2083</v>
      </c>
      <c r="BK2196" s="1" t="s">
        <v>96</v>
      </c>
      <c r="BL2196" s="1" t="s">
        <v>2084</v>
      </c>
      <c r="BM2196" s="1" t="s">
        <v>35295</v>
      </c>
      <c r="BN2196" s="1" t="s">
        <v>74</v>
      </c>
      <c r="BO2196" s="1" t="s">
        <v>74</v>
      </c>
      <c r="BP2196" s="1" t="s">
        <v>74</v>
      </c>
      <c r="BQ2196" s="1" t="s">
        <v>74</v>
      </c>
      <c r="BR2196" s="1" t="s">
        <v>98</v>
      </c>
      <c r="BS2196" s="1" t="s">
        <v>35296</v>
      </c>
      <c r="BT2196" s="1" t="str">
        <f>HYPERLINK("https%3A%2F%2Fwww.webofscience.com%2Fwos%2Fwoscc%2Ffull-record%2FWOS:000439715200003","View Full Record in Web of Science")</f>
        <v>View Full Record in Web of Science</v>
      </c>
      <c r="BU2196" s="1"/>
      <c r="BV2196" s="1"/>
    </row>
    <row r="2197" spans="1:74">
      <c r="A2197" s="1" t="s">
        <v>72</v>
      </c>
      <c r="B2197" s="1" t="s">
        <v>35297</v>
      </c>
      <c r="C2197" s="1" t="s">
        <v>74</v>
      </c>
      <c r="D2197" s="1" t="s">
        <v>74</v>
      </c>
      <c r="E2197" s="1" t="s">
        <v>74</v>
      </c>
      <c r="F2197" s="1" t="s">
        <v>35298</v>
      </c>
      <c r="G2197" s="1" t="s">
        <v>74</v>
      </c>
      <c r="H2197" s="1" t="s">
        <v>74</v>
      </c>
      <c r="I2197" s="1" t="s">
        <v>35299</v>
      </c>
      <c r="J2197" s="1" t="s">
        <v>232</v>
      </c>
      <c r="K2197" s="1" t="s">
        <v>74</v>
      </c>
      <c r="L2197" s="1" t="s">
        <v>74</v>
      </c>
      <c r="M2197" s="1" t="s">
        <v>78</v>
      </c>
      <c r="N2197" s="1" t="s">
        <v>79</v>
      </c>
      <c r="O2197" s="1" t="s">
        <v>74</v>
      </c>
      <c r="P2197" s="1" t="s">
        <v>74</v>
      </c>
      <c r="Q2197" s="1" t="s">
        <v>74</v>
      </c>
      <c r="R2197" s="1" t="s">
        <v>74</v>
      </c>
      <c r="S2197" s="1" t="s">
        <v>74</v>
      </c>
      <c r="T2197" s="1" t="s">
        <v>35300</v>
      </c>
      <c r="U2197" s="1" t="s">
        <v>35301</v>
      </c>
      <c r="V2197" s="1" t="s">
        <v>35302</v>
      </c>
      <c r="W2197" s="1" t="s">
        <v>35303</v>
      </c>
      <c r="X2197" s="1" t="s">
        <v>35304</v>
      </c>
      <c r="Y2197" s="1" t="s">
        <v>35305</v>
      </c>
      <c r="Z2197" s="1" t="s">
        <v>35306</v>
      </c>
      <c r="AA2197" s="1" t="s">
        <v>74</v>
      </c>
      <c r="AB2197" s="1" t="s">
        <v>35307</v>
      </c>
      <c r="AC2197" s="1" t="s">
        <v>35308</v>
      </c>
      <c r="AD2197" s="1" t="s">
        <v>35308</v>
      </c>
      <c r="AE2197" s="1" t="s">
        <v>35309</v>
      </c>
      <c r="AF2197" s="1" t="s">
        <v>74</v>
      </c>
      <c r="AG2197" s="1">
        <v>19</v>
      </c>
      <c r="AH2197" s="1">
        <v>12</v>
      </c>
      <c r="AI2197" s="1">
        <v>14</v>
      </c>
      <c r="AJ2197" s="1">
        <v>0</v>
      </c>
      <c r="AK2197" s="1">
        <v>29</v>
      </c>
      <c r="AL2197" s="1" t="s">
        <v>136</v>
      </c>
      <c r="AM2197" s="1" t="s">
        <v>137</v>
      </c>
      <c r="AN2197" s="1" t="s">
        <v>138</v>
      </c>
      <c r="AO2197" s="1" t="s">
        <v>240</v>
      </c>
      <c r="AP2197" s="1" t="s">
        <v>241</v>
      </c>
      <c r="AQ2197" s="1" t="s">
        <v>74</v>
      </c>
      <c r="AR2197" s="1" t="s">
        <v>242</v>
      </c>
      <c r="AS2197" s="1" t="s">
        <v>243</v>
      </c>
      <c r="AT2197" s="1" t="s">
        <v>197</v>
      </c>
      <c r="AU2197" s="1">
        <v>2010</v>
      </c>
      <c r="AV2197" s="1">
        <v>60</v>
      </c>
      <c r="AW2197" s="1">
        <v>12</v>
      </c>
      <c r="AX2197" s="1" t="s">
        <v>74</v>
      </c>
      <c r="AY2197" s="1" t="s">
        <v>74</v>
      </c>
      <c r="AZ2197" s="1" t="s">
        <v>74</v>
      </c>
      <c r="BA2197" s="1" t="s">
        <v>74</v>
      </c>
      <c r="BB2197" s="1">
        <v>2297</v>
      </c>
      <c r="BC2197" s="1">
        <v>2302</v>
      </c>
      <c r="BD2197" s="1" t="s">
        <v>74</v>
      </c>
      <c r="BE2197" s="1" t="s">
        <v>35310</v>
      </c>
      <c r="BF2197" s="1" t="str">
        <f>HYPERLINK("http://dx.doi.org/10.1016/j.marpolbul.2010.09.025","http://dx.doi.org/10.1016/j.marpolbul.2010.09.025")</f>
        <v>http://dx.doi.org/10.1016/j.marpolbul.2010.09.025</v>
      </c>
      <c r="BG2197" s="1" t="s">
        <v>74</v>
      </c>
      <c r="BH2197" s="1" t="s">
        <v>74</v>
      </c>
      <c r="BI2197" s="1">
        <v>6</v>
      </c>
      <c r="BJ2197" s="1" t="s">
        <v>247</v>
      </c>
      <c r="BK2197" s="1" t="s">
        <v>96</v>
      </c>
      <c r="BL2197" s="1" t="s">
        <v>248</v>
      </c>
      <c r="BM2197" s="1" t="s">
        <v>35311</v>
      </c>
      <c r="BN2197" s="1">
        <v>20970814</v>
      </c>
      <c r="BO2197" s="1" t="s">
        <v>74</v>
      </c>
      <c r="BP2197" s="1" t="s">
        <v>74</v>
      </c>
      <c r="BQ2197" s="1" t="s">
        <v>74</v>
      </c>
      <c r="BR2197" s="1" t="s">
        <v>98</v>
      </c>
      <c r="BS2197" s="1" t="s">
        <v>35312</v>
      </c>
      <c r="BT2197" s="1" t="str">
        <f>HYPERLINK("https%3A%2F%2Fwww.webofscience.com%2Fwos%2Fwoscc%2Ffull-record%2FWOS:000285735700030","View Full Record in Web of Science")</f>
        <v>View Full Record in Web of Science</v>
      </c>
      <c r="BU2197" s="1"/>
      <c r="BV2197" s="1"/>
    </row>
    <row r="2198" spans="1:74">
      <c r="A2198" s="1" t="s">
        <v>72</v>
      </c>
      <c r="B2198" s="1" t="s">
        <v>35313</v>
      </c>
      <c r="C2198" s="1" t="s">
        <v>74</v>
      </c>
      <c r="D2198" s="1" t="s">
        <v>74</v>
      </c>
      <c r="E2198" s="1" t="s">
        <v>74</v>
      </c>
      <c r="F2198" s="1" t="s">
        <v>35314</v>
      </c>
      <c r="G2198" s="1" t="s">
        <v>74</v>
      </c>
      <c r="H2198" s="1" t="s">
        <v>74</v>
      </c>
      <c r="I2198" s="1" t="s">
        <v>35315</v>
      </c>
      <c r="J2198" s="1" t="s">
        <v>21600</v>
      </c>
      <c r="K2198" s="1" t="s">
        <v>74</v>
      </c>
      <c r="L2198" s="1" t="s">
        <v>74</v>
      </c>
      <c r="M2198" s="1" t="s">
        <v>78</v>
      </c>
      <c r="N2198" s="1" t="s">
        <v>79</v>
      </c>
      <c r="O2198" s="1" t="s">
        <v>74</v>
      </c>
      <c r="P2198" s="1" t="s">
        <v>74</v>
      </c>
      <c r="Q2198" s="1" t="s">
        <v>74</v>
      </c>
      <c r="R2198" s="1" t="s">
        <v>74</v>
      </c>
      <c r="S2198" s="1" t="s">
        <v>74</v>
      </c>
      <c r="T2198" s="1" t="s">
        <v>35316</v>
      </c>
      <c r="U2198" s="1" t="s">
        <v>35317</v>
      </c>
      <c r="V2198" s="1" t="s">
        <v>35318</v>
      </c>
      <c r="W2198" s="1" t="s">
        <v>35319</v>
      </c>
      <c r="X2198" s="1" t="s">
        <v>35320</v>
      </c>
      <c r="Y2198" s="1" t="s">
        <v>35321</v>
      </c>
      <c r="Z2198" s="1" t="s">
        <v>35322</v>
      </c>
      <c r="AA2198" s="1" t="s">
        <v>35323</v>
      </c>
      <c r="AB2198" s="1" t="s">
        <v>74</v>
      </c>
      <c r="AC2198" s="1" t="s">
        <v>35324</v>
      </c>
      <c r="AD2198" s="1" t="s">
        <v>35325</v>
      </c>
      <c r="AE2198" s="1" t="s">
        <v>35326</v>
      </c>
      <c r="AF2198" s="1" t="s">
        <v>74</v>
      </c>
      <c r="AG2198" s="1">
        <v>67</v>
      </c>
      <c r="AH2198" s="1">
        <v>3</v>
      </c>
      <c r="AI2198" s="1">
        <v>3</v>
      </c>
      <c r="AJ2198" s="1">
        <v>18</v>
      </c>
      <c r="AK2198" s="1">
        <v>31</v>
      </c>
      <c r="AL2198" s="1" t="s">
        <v>650</v>
      </c>
      <c r="AM2198" s="1" t="s">
        <v>651</v>
      </c>
      <c r="AN2198" s="1" t="s">
        <v>652</v>
      </c>
      <c r="AO2198" s="1" t="s">
        <v>21612</v>
      </c>
      <c r="AP2198" s="1" t="s">
        <v>21613</v>
      </c>
      <c r="AQ2198" s="1" t="s">
        <v>74</v>
      </c>
      <c r="AR2198" s="1" t="s">
        <v>21614</v>
      </c>
      <c r="AS2198" s="1" t="s">
        <v>21615</v>
      </c>
      <c r="AT2198" s="1" t="s">
        <v>1223</v>
      </c>
      <c r="AU2198" s="1">
        <v>2024</v>
      </c>
      <c r="AV2198" s="1">
        <v>260</v>
      </c>
      <c r="AW2198" s="1" t="s">
        <v>74</v>
      </c>
      <c r="AX2198" s="1">
        <v>1</v>
      </c>
      <c r="AY2198" s="1" t="s">
        <v>74</v>
      </c>
      <c r="AZ2198" s="1" t="s">
        <v>74</v>
      </c>
      <c r="BA2198" s="1" t="s">
        <v>74</v>
      </c>
      <c r="BB2198" s="1" t="s">
        <v>74</v>
      </c>
      <c r="BC2198" s="1" t="s">
        <v>74</v>
      </c>
      <c r="BD2198" s="1">
        <v>129414</v>
      </c>
      <c r="BE2198" s="1" t="s">
        <v>35327</v>
      </c>
      <c r="BF2198" s="1" t="str">
        <f>HYPERLINK("http://dx.doi.org/10.1016/j.ijbiomac.2024.129414","http://dx.doi.org/10.1016/j.ijbiomac.2024.129414")</f>
        <v>http://dx.doi.org/10.1016/j.ijbiomac.2024.129414</v>
      </c>
      <c r="BG2198" s="1" t="s">
        <v>74</v>
      </c>
      <c r="BH2198" s="1" t="s">
        <v>5287</v>
      </c>
      <c r="BI2198" s="1">
        <v>15</v>
      </c>
      <c r="BJ2198" s="1" t="s">
        <v>21618</v>
      </c>
      <c r="BK2198" s="1" t="s">
        <v>96</v>
      </c>
      <c r="BL2198" s="1" t="s">
        <v>21619</v>
      </c>
      <c r="BM2198" s="1" t="s">
        <v>35328</v>
      </c>
      <c r="BN2198" s="1">
        <v>38224802</v>
      </c>
      <c r="BO2198" s="1" t="s">
        <v>74</v>
      </c>
      <c r="BP2198" s="1" t="s">
        <v>74</v>
      </c>
      <c r="BQ2198" s="1" t="s">
        <v>74</v>
      </c>
      <c r="BR2198" s="1" t="s">
        <v>98</v>
      </c>
      <c r="BS2198" s="1" t="s">
        <v>35329</v>
      </c>
      <c r="BT2198" s="1" t="str">
        <f>HYPERLINK("https%3A%2F%2Fwww.webofscience.com%2Fwos%2Fwoscc%2Ffull-record%2FWOS:001161316100001","View Full Record in Web of Science")</f>
        <v>View Full Record in Web of Science</v>
      </c>
      <c r="BU2198" s="1"/>
      <c r="BV2198" s="1"/>
    </row>
    <row r="2199" spans="1:74">
      <c r="A2199" s="1" t="s">
        <v>72</v>
      </c>
      <c r="B2199" s="1" t="s">
        <v>35330</v>
      </c>
      <c r="C2199" s="1" t="s">
        <v>74</v>
      </c>
      <c r="D2199" s="1" t="s">
        <v>74</v>
      </c>
      <c r="E2199" s="1" t="s">
        <v>74</v>
      </c>
      <c r="F2199" s="1" t="s">
        <v>35331</v>
      </c>
      <c r="G2199" s="1" t="s">
        <v>74</v>
      </c>
      <c r="H2199" s="1" t="s">
        <v>74</v>
      </c>
      <c r="I2199" s="1" t="s">
        <v>35332</v>
      </c>
      <c r="J2199" s="1" t="s">
        <v>232</v>
      </c>
      <c r="K2199" s="1" t="s">
        <v>74</v>
      </c>
      <c r="L2199" s="1" t="s">
        <v>74</v>
      </c>
      <c r="M2199" s="1" t="s">
        <v>78</v>
      </c>
      <c r="N2199" s="1" t="s">
        <v>79</v>
      </c>
      <c r="O2199" s="1" t="s">
        <v>74</v>
      </c>
      <c r="P2199" s="1" t="s">
        <v>74</v>
      </c>
      <c r="Q2199" s="1" t="s">
        <v>74</v>
      </c>
      <c r="R2199" s="1" t="s">
        <v>74</v>
      </c>
      <c r="S2199" s="1" t="s">
        <v>74</v>
      </c>
      <c r="T2199" s="1" t="s">
        <v>35333</v>
      </c>
      <c r="U2199" s="1" t="s">
        <v>35334</v>
      </c>
      <c r="V2199" s="1" t="s">
        <v>35335</v>
      </c>
      <c r="W2199" s="1" t="s">
        <v>35336</v>
      </c>
      <c r="X2199" s="1" t="s">
        <v>35337</v>
      </c>
      <c r="Y2199" s="1" t="s">
        <v>35338</v>
      </c>
      <c r="Z2199" s="1" t="s">
        <v>985</v>
      </c>
      <c r="AA2199" s="1" t="s">
        <v>35339</v>
      </c>
      <c r="AB2199" s="1" t="s">
        <v>74</v>
      </c>
      <c r="AC2199" s="1" t="s">
        <v>35340</v>
      </c>
      <c r="AD2199" s="1" t="s">
        <v>7905</v>
      </c>
      <c r="AE2199" s="1" t="s">
        <v>35341</v>
      </c>
      <c r="AF2199" s="1" t="s">
        <v>74</v>
      </c>
      <c r="AG2199" s="1">
        <v>109</v>
      </c>
      <c r="AH2199" s="1">
        <v>4</v>
      </c>
      <c r="AI2199" s="1">
        <v>4</v>
      </c>
      <c r="AJ2199" s="1">
        <v>3</v>
      </c>
      <c r="AK2199" s="1">
        <v>20</v>
      </c>
      <c r="AL2199" s="1" t="s">
        <v>136</v>
      </c>
      <c r="AM2199" s="1" t="s">
        <v>137</v>
      </c>
      <c r="AN2199" s="1" t="s">
        <v>138</v>
      </c>
      <c r="AO2199" s="1" t="s">
        <v>240</v>
      </c>
      <c r="AP2199" s="1" t="s">
        <v>241</v>
      </c>
      <c r="AQ2199" s="1" t="s">
        <v>74</v>
      </c>
      <c r="AR2199" s="1" t="s">
        <v>242</v>
      </c>
      <c r="AS2199" s="1" t="s">
        <v>243</v>
      </c>
      <c r="AT2199" s="1" t="s">
        <v>1223</v>
      </c>
      <c r="AU2199" s="1">
        <v>2023</v>
      </c>
      <c r="AV2199" s="1">
        <v>188</v>
      </c>
      <c r="AW2199" s="1" t="s">
        <v>74</v>
      </c>
      <c r="AX2199" s="1" t="s">
        <v>74</v>
      </c>
      <c r="AY2199" s="1" t="s">
        <v>74</v>
      </c>
      <c r="AZ2199" s="1" t="s">
        <v>74</v>
      </c>
      <c r="BA2199" s="1" t="s">
        <v>74</v>
      </c>
      <c r="BB2199" s="1" t="s">
        <v>74</v>
      </c>
      <c r="BC2199" s="1" t="s">
        <v>74</v>
      </c>
      <c r="BD2199" s="1">
        <v>114641</v>
      </c>
      <c r="BE2199" s="1" t="s">
        <v>35342</v>
      </c>
      <c r="BF2199" s="1" t="str">
        <f>HYPERLINK("http://dx.doi.org/10.1016/j.marpolbul.2023.114641","http://dx.doi.org/10.1016/j.marpolbul.2023.114641")</f>
        <v>http://dx.doi.org/10.1016/j.marpolbul.2023.114641</v>
      </c>
      <c r="BG2199" s="1" t="s">
        <v>74</v>
      </c>
      <c r="BH2199" s="1" t="s">
        <v>2057</v>
      </c>
      <c r="BI2199" s="1">
        <v>10</v>
      </c>
      <c r="BJ2199" s="1" t="s">
        <v>247</v>
      </c>
      <c r="BK2199" s="1" t="s">
        <v>96</v>
      </c>
      <c r="BL2199" s="1" t="s">
        <v>248</v>
      </c>
      <c r="BM2199" s="1" t="s">
        <v>35343</v>
      </c>
      <c r="BN2199" s="1">
        <v>36706550</v>
      </c>
      <c r="BO2199" s="1" t="s">
        <v>74</v>
      </c>
      <c r="BP2199" s="1" t="s">
        <v>74</v>
      </c>
      <c r="BQ2199" s="1" t="s">
        <v>74</v>
      </c>
      <c r="BR2199" s="1" t="s">
        <v>98</v>
      </c>
      <c r="BS2199" s="1" t="s">
        <v>35344</v>
      </c>
      <c r="BT2199" s="1" t="str">
        <f>HYPERLINK("https%3A%2F%2Fwww.webofscience.com%2Fwos%2Fwoscc%2Ffull-record%2FWOS:000924959100001","View Full Record in Web of Science")</f>
        <v>View Full Record in Web of Science</v>
      </c>
      <c r="BU2199" s="1"/>
      <c r="BV2199" s="1"/>
    </row>
    <row r="2200" spans="1:74">
      <c r="A2200" s="1" t="s">
        <v>72</v>
      </c>
      <c r="B2200" s="1" t="s">
        <v>35345</v>
      </c>
      <c r="C2200" s="1" t="s">
        <v>74</v>
      </c>
      <c r="D2200" s="1" t="s">
        <v>74</v>
      </c>
      <c r="E2200" s="1" t="s">
        <v>74</v>
      </c>
      <c r="F2200" s="1" t="s">
        <v>35345</v>
      </c>
      <c r="G2200" s="1" t="s">
        <v>74</v>
      </c>
      <c r="H2200" s="1" t="s">
        <v>74</v>
      </c>
      <c r="I2200" s="1" t="s">
        <v>35346</v>
      </c>
      <c r="J2200" s="1" t="s">
        <v>35347</v>
      </c>
      <c r="K2200" s="1" t="s">
        <v>74</v>
      </c>
      <c r="L2200" s="1" t="s">
        <v>74</v>
      </c>
      <c r="M2200" s="1" t="s">
        <v>78</v>
      </c>
      <c r="N2200" s="1" t="s">
        <v>79</v>
      </c>
      <c r="O2200" s="1" t="s">
        <v>74</v>
      </c>
      <c r="P2200" s="1" t="s">
        <v>74</v>
      </c>
      <c r="Q2200" s="1" t="s">
        <v>74</v>
      </c>
      <c r="R2200" s="1" t="s">
        <v>74</v>
      </c>
      <c r="S2200" s="1" t="s">
        <v>74</v>
      </c>
      <c r="T2200" s="1" t="s">
        <v>74</v>
      </c>
      <c r="U2200" s="1" t="s">
        <v>74</v>
      </c>
      <c r="V2200" s="1" t="s">
        <v>35348</v>
      </c>
      <c r="W2200" s="1" t="s">
        <v>35349</v>
      </c>
      <c r="X2200" s="1" t="s">
        <v>23265</v>
      </c>
      <c r="Y2200" s="1" t="s">
        <v>35350</v>
      </c>
      <c r="Z2200" s="1" t="s">
        <v>74</v>
      </c>
      <c r="AA2200" s="1" t="s">
        <v>74</v>
      </c>
      <c r="AB2200" s="1" t="s">
        <v>74</v>
      </c>
      <c r="AC2200" s="1" t="s">
        <v>74</v>
      </c>
      <c r="AD2200" s="1" t="s">
        <v>74</v>
      </c>
      <c r="AE2200" s="1" t="s">
        <v>74</v>
      </c>
      <c r="AF2200" s="1" t="s">
        <v>74</v>
      </c>
      <c r="AG2200" s="1">
        <v>30</v>
      </c>
      <c r="AH2200" s="1">
        <v>30</v>
      </c>
      <c r="AI2200" s="1">
        <v>30</v>
      </c>
      <c r="AJ2200" s="1">
        <v>0</v>
      </c>
      <c r="AK2200" s="1">
        <v>2</v>
      </c>
      <c r="AL2200" s="1" t="s">
        <v>35351</v>
      </c>
      <c r="AM2200" s="1" t="s">
        <v>35352</v>
      </c>
      <c r="AN2200" s="1" t="s">
        <v>35353</v>
      </c>
      <c r="AO2200" s="1" t="s">
        <v>35354</v>
      </c>
      <c r="AP2200" s="1" t="s">
        <v>74</v>
      </c>
      <c r="AQ2200" s="1" t="s">
        <v>74</v>
      </c>
      <c r="AR2200" s="1" t="s">
        <v>35355</v>
      </c>
      <c r="AS2200" s="1" t="s">
        <v>35356</v>
      </c>
      <c r="AT2200" s="1" t="s">
        <v>74</v>
      </c>
      <c r="AU2200" s="1">
        <v>1979</v>
      </c>
      <c r="AV2200" s="1">
        <v>91</v>
      </c>
      <c r="AW2200" s="1">
        <v>2</v>
      </c>
      <c r="AX2200" s="1" t="s">
        <v>74</v>
      </c>
      <c r="AY2200" s="1" t="s">
        <v>74</v>
      </c>
      <c r="AZ2200" s="1" t="s">
        <v>74</v>
      </c>
      <c r="BA2200" s="1" t="s">
        <v>74</v>
      </c>
      <c r="BB2200" s="1">
        <v>279</v>
      </c>
      <c r="BC2200" s="1">
        <v>287</v>
      </c>
      <c r="BD2200" s="1" t="s">
        <v>74</v>
      </c>
      <c r="BE2200" s="1" t="s">
        <v>74</v>
      </c>
      <c r="BF2200" s="1" t="s">
        <v>74</v>
      </c>
      <c r="BG2200" s="1" t="s">
        <v>74</v>
      </c>
      <c r="BH2200" s="1" t="s">
        <v>74</v>
      </c>
      <c r="BI2200" s="1">
        <v>9</v>
      </c>
      <c r="BJ2200" s="1" t="s">
        <v>4201</v>
      </c>
      <c r="BK2200" s="1" t="s">
        <v>96</v>
      </c>
      <c r="BL2200" s="1" t="s">
        <v>2210</v>
      </c>
      <c r="BM2200" s="1" t="s">
        <v>35357</v>
      </c>
      <c r="BN2200" s="1" t="s">
        <v>74</v>
      </c>
      <c r="BO2200" s="1" t="s">
        <v>74</v>
      </c>
      <c r="BP2200" s="1" t="s">
        <v>74</v>
      </c>
      <c r="BQ2200" s="1" t="s">
        <v>74</v>
      </c>
      <c r="BR2200" s="1" t="s">
        <v>98</v>
      </c>
      <c r="BS2200" s="1" t="s">
        <v>35358</v>
      </c>
      <c r="BT2200" s="1" t="str">
        <f>HYPERLINK("https%3A%2F%2Fwww.webofscience.com%2Fwos%2Fwoscc%2Ffull-record%2FWOS:A1979HF69400009","View Full Record in Web of Science")</f>
        <v>View Full Record in Web of Science</v>
      </c>
      <c r="BU2200" s="1"/>
      <c r="BV2200" s="1"/>
    </row>
    <row r="2201" spans="1:74">
      <c r="A2201" s="1" t="s">
        <v>72</v>
      </c>
      <c r="B2201" s="1" t="s">
        <v>35359</v>
      </c>
      <c r="C2201" s="1" t="s">
        <v>74</v>
      </c>
      <c r="D2201" s="1" t="s">
        <v>74</v>
      </c>
      <c r="E2201" s="1" t="s">
        <v>74</v>
      </c>
      <c r="F2201" s="1" t="s">
        <v>35360</v>
      </c>
      <c r="G2201" s="1" t="s">
        <v>74</v>
      </c>
      <c r="H2201" s="1" t="s">
        <v>74</v>
      </c>
      <c r="I2201" s="1" t="s">
        <v>35361</v>
      </c>
      <c r="J2201" s="1" t="s">
        <v>752</v>
      </c>
      <c r="K2201" s="1" t="s">
        <v>74</v>
      </c>
      <c r="L2201" s="1" t="s">
        <v>74</v>
      </c>
      <c r="M2201" s="1" t="s">
        <v>78</v>
      </c>
      <c r="N2201" s="1" t="s">
        <v>79</v>
      </c>
      <c r="O2201" s="1" t="s">
        <v>74</v>
      </c>
      <c r="P2201" s="1" t="s">
        <v>74</v>
      </c>
      <c r="Q2201" s="1" t="s">
        <v>74</v>
      </c>
      <c r="R2201" s="1" t="s">
        <v>74</v>
      </c>
      <c r="S2201" s="1" t="s">
        <v>74</v>
      </c>
      <c r="T2201" s="1" t="s">
        <v>35362</v>
      </c>
      <c r="U2201" s="1" t="s">
        <v>35363</v>
      </c>
      <c r="V2201" s="1" t="s">
        <v>35364</v>
      </c>
      <c r="W2201" s="1" t="s">
        <v>35365</v>
      </c>
      <c r="X2201" s="1" t="s">
        <v>35366</v>
      </c>
      <c r="Y2201" s="1" t="s">
        <v>35367</v>
      </c>
      <c r="Z2201" s="1" t="s">
        <v>35368</v>
      </c>
      <c r="AA2201" s="1" t="s">
        <v>74</v>
      </c>
      <c r="AB2201" s="1" t="s">
        <v>35369</v>
      </c>
      <c r="AC2201" s="1" t="s">
        <v>74</v>
      </c>
      <c r="AD2201" s="1" t="s">
        <v>74</v>
      </c>
      <c r="AE2201" s="1" t="s">
        <v>74</v>
      </c>
      <c r="AF2201" s="1" t="s">
        <v>74</v>
      </c>
      <c r="AG2201" s="1">
        <v>51</v>
      </c>
      <c r="AH2201" s="1">
        <v>15</v>
      </c>
      <c r="AI2201" s="1">
        <v>15</v>
      </c>
      <c r="AJ2201" s="1">
        <v>2</v>
      </c>
      <c r="AK2201" s="1">
        <v>29</v>
      </c>
      <c r="AL2201" s="1" t="s">
        <v>430</v>
      </c>
      <c r="AM2201" s="1" t="s">
        <v>137</v>
      </c>
      <c r="AN2201" s="1" t="s">
        <v>431</v>
      </c>
      <c r="AO2201" s="1" t="s">
        <v>761</v>
      </c>
      <c r="AP2201" s="1" t="s">
        <v>762</v>
      </c>
      <c r="AQ2201" s="1" t="s">
        <v>74</v>
      </c>
      <c r="AR2201" s="1" t="s">
        <v>763</v>
      </c>
      <c r="AS2201" s="1" t="s">
        <v>764</v>
      </c>
      <c r="AT2201" s="1" t="s">
        <v>305</v>
      </c>
      <c r="AU2201" s="1">
        <v>2017</v>
      </c>
      <c r="AV2201" s="1">
        <v>130</v>
      </c>
      <c r="AW2201" s="1" t="s">
        <v>74</v>
      </c>
      <c r="AX2201" s="1" t="s">
        <v>74</v>
      </c>
      <c r="AY2201" s="1" t="s">
        <v>74</v>
      </c>
      <c r="AZ2201" s="1" t="s">
        <v>74</v>
      </c>
      <c r="BA2201" s="1" t="s">
        <v>74</v>
      </c>
      <c r="BB2201" s="1">
        <v>60</v>
      </c>
      <c r="BC2201" s="1">
        <v>68</v>
      </c>
      <c r="BD2201" s="1" t="s">
        <v>74</v>
      </c>
      <c r="BE2201" s="1" t="s">
        <v>35370</v>
      </c>
      <c r="BF2201" s="1" t="str">
        <f>HYPERLINK("http://dx.doi.org/10.1016/j.marenvres.2017.05.010","http://dx.doi.org/10.1016/j.marenvres.2017.05.010")</f>
        <v>http://dx.doi.org/10.1016/j.marenvres.2017.05.010</v>
      </c>
      <c r="BG2201" s="1" t="s">
        <v>74</v>
      </c>
      <c r="BH2201" s="1" t="s">
        <v>74</v>
      </c>
      <c r="BI2201" s="1">
        <v>9</v>
      </c>
      <c r="BJ2201" s="1" t="s">
        <v>768</v>
      </c>
      <c r="BK2201" s="1" t="s">
        <v>96</v>
      </c>
      <c r="BL2201" s="1" t="s">
        <v>769</v>
      </c>
      <c r="BM2201" s="1" t="s">
        <v>35371</v>
      </c>
      <c r="BN2201" s="1">
        <v>28712825</v>
      </c>
      <c r="BO2201" s="1" t="s">
        <v>74</v>
      </c>
      <c r="BP2201" s="1" t="s">
        <v>74</v>
      </c>
      <c r="BQ2201" s="1" t="s">
        <v>74</v>
      </c>
      <c r="BR2201" s="1" t="s">
        <v>98</v>
      </c>
      <c r="BS2201" s="1" t="s">
        <v>35372</v>
      </c>
      <c r="BT2201" s="1" t="str">
        <f>HYPERLINK("https%3A%2F%2Fwww.webofscience.com%2Fwos%2Fwoscc%2Ffull-record%2FWOS:000413382600007","View Full Record in Web of Science")</f>
        <v>View Full Record in Web of Science</v>
      </c>
      <c r="BU2201" s="1"/>
      <c r="BV2201" s="1"/>
    </row>
    <row r="2202" spans="1:74">
      <c r="A2202" s="1" t="s">
        <v>72</v>
      </c>
      <c r="B2202" s="1" t="s">
        <v>35373</v>
      </c>
      <c r="C2202" s="1" t="s">
        <v>74</v>
      </c>
      <c r="D2202" s="1" t="s">
        <v>74</v>
      </c>
      <c r="E2202" s="1" t="s">
        <v>74</v>
      </c>
      <c r="F2202" s="1" t="s">
        <v>35373</v>
      </c>
      <c r="G2202" s="1" t="s">
        <v>74</v>
      </c>
      <c r="H2202" s="1" t="s">
        <v>74</v>
      </c>
      <c r="I2202" s="1" t="s">
        <v>35374</v>
      </c>
      <c r="J2202" s="1" t="s">
        <v>752</v>
      </c>
      <c r="K2202" s="1" t="s">
        <v>74</v>
      </c>
      <c r="L2202" s="1" t="s">
        <v>74</v>
      </c>
      <c r="M2202" s="1" t="s">
        <v>78</v>
      </c>
      <c r="N2202" s="1" t="s">
        <v>151</v>
      </c>
      <c r="O2202" s="1" t="s">
        <v>35375</v>
      </c>
      <c r="P2202" s="1" t="s">
        <v>35376</v>
      </c>
      <c r="Q2202" s="1" t="s">
        <v>35377</v>
      </c>
      <c r="R2202" s="1" t="s">
        <v>74</v>
      </c>
      <c r="S2202" s="1" t="s">
        <v>74</v>
      </c>
      <c r="T2202" s="1" t="s">
        <v>74</v>
      </c>
      <c r="U2202" s="1" t="s">
        <v>35378</v>
      </c>
      <c r="V2202" s="1" t="s">
        <v>35379</v>
      </c>
      <c r="W2202" s="1" t="s">
        <v>35380</v>
      </c>
      <c r="X2202" s="1" t="s">
        <v>35381</v>
      </c>
      <c r="Y2202" s="1" t="s">
        <v>35382</v>
      </c>
      <c r="Z2202" s="1" t="s">
        <v>74</v>
      </c>
      <c r="AA2202" s="1" t="s">
        <v>35383</v>
      </c>
      <c r="AB2202" s="1" t="s">
        <v>35384</v>
      </c>
      <c r="AC2202" s="1" t="s">
        <v>74</v>
      </c>
      <c r="AD2202" s="1" t="s">
        <v>74</v>
      </c>
      <c r="AE2202" s="1" t="s">
        <v>74</v>
      </c>
      <c r="AF2202" s="1" t="s">
        <v>74</v>
      </c>
      <c r="AG2202" s="1">
        <v>14</v>
      </c>
      <c r="AH2202" s="1">
        <v>7</v>
      </c>
      <c r="AI2202" s="1">
        <v>8</v>
      </c>
      <c r="AJ2202" s="1">
        <v>0</v>
      </c>
      <c r="AK2202" s="1">
        <v>3</v>
      </c>
      <c r="AL2202" s="1" t="s">
        <v>430</v>
      </c>
      <c r="AM2202" s="1" t="s">
        <v>137</v>
      </c>
      <c r="AN2202" s="1" t="s">
        <v>1600</v>
      </c>
      <c r="AO2202" s="1" t="s">
        <v>761</v>
      </c>
      <c r="AP2202" s="1" t="s">
        <v>74</v>
      </c>
      <c r="AQ2202" s="1" t="s">
        <v>74</v>
      </c>
      <c r="AR2202" s="1" t="s">
        <v>763</v>
      </c>
      <c r="AS2202" s="1" t="s">
        <v>764</v>
      </c>
      <c r="AT2202" s="1" t="s">
        <v>35385</v>
      </c>
      <c r="AU2202" s="1">
        <v>1996</v>
      </c>
      <c r="AV2202" s="1">
        <v>42</v>
      </c>
      <c r="AW2202" s="1" t="s">
        <v>721</v>
      </c>
      <c r="AX2202" s="1" t="s">
        <v>74</v>
      </c>
      <c r="AY2202" s="1" t="s">
        <v>74</v>
      </c>
      <c r="AZ2202" s="1" t="s">
        <v>74</v>
      </c>
      <c r="BA2202" s="1" t="s">
        <v>74</v>
      </c>
      <c r="BB2202" s="1">
        <v>209</v>
      </c>
      <c r="BC2202" s="1">
        <v>212</v>
      </c>
      <c r="BD2202" s="1" t="s">
        <v>74</v>
      </c>
      <c r="BE2202" s="1" t="s">
        <v>35386</v>
      </c>
      <c r="BF2202" s="1" t="str">
        <f>HYPERLINK("http://dx.doi.org/10.1016/0141-1136(95)00060-7","http://dx.doi.org/10.1016/0141-1136(95)00060-7")</f>
        <v>http://dx.doi.org/10.1016/0141-1136(95)00060-7</v>
      </c>
      <c r="BG2202" s="1" t="s">
        <v>74</v>
      </c>
      <c r="BH2202" s="1" t="s">
        <v>74</v>
      </c>
      <c r="BI2202" s="1">
        <v>4</v>
      </c>
      <c r="BJ2202" s="1" t="s">
        <v>768</v>
      </c>
      <c r="BK2202" s="1" t="s">
        <v>588</v>
      </c>
      <c r="BL2202" s="1" t="s">
        <v>769</v>
      </c>
      <c r="BM2202" s="1" t="s">
        <v>35387</v>
      </c>
      <c r="BN2202" s="1" t="s">
        <v>74</v>
      </c>
      <c r="BO2202" s="1" t="s">
        <v>74</v>
      </c>
      <c r="BP2202" s="1" t="s">
        <v>74</v>
      </c>
      <c r="BQ2202" s="1" t="s">
        <v>74</v>
      </c>
      <c r="BR2202" s="1" t="s">
        <v>98</v>
      </c>
      <c r="BS2202" s="1" t="s">
        <v>35388</v>
      </c>
      <c r="BT2202" s="1" t="str">
        <f>HYPERLINK("https%3A%2F%2Fwww.webofscience.com%2Fwos%2Fwoscc%2Ffull-record%2FWOS:A1996UU36900034","View Full Record in Web of Science")</f>
        <v>View Full Record in Web of Science</v>
      </c>
      <c r="BU2202" s="1"/>
      <c r="BV2202" s="1"/>
    </row>
    <row r="2203" spans="1:74">
      <c r="A2203" s="1" t="s">
        <v>72</v>
      </c>
      <c r="B2203" s="1" t="s">
        <v>35389</v>
      </c>
      <c r="C2203" s="1" t="s">
        <v>74</v>
      </c>
      <c r="D2203" s="1" t="s">
        <v>74</v>
      </c>
      <c r="E2203" s="1" t="s">
        <v>74</v>
      </c>
      <c r="F2203" s="1" t="s">
        <v>35390</v>
      </c>
      <c r="G2203" s="1" t="s">
        <v>74</v>
      </c>
      <c r="H2203" s="1" t="s">
        <v>74</v>
      </c>
      <c r="I2203" s="1" t="s">
        <v>35391</v>
      </c>
      <c r="J2203" s="1" t="s">
        <v>3349</v>
      </c>
      <c r="K2203" s="1" t="s">
        <v>74</v>
      </c>
      <c r="L2203" s="1" t="s">
        <v>74</v>
      </c>
      <c r="M2203" s="1" t="s">
        <v>78</v>
      </c>
      <c r="N2203" s="1" t="s">
        <v>79</v>
      </c>
      <c r="O2203" s="1" t="s">
        <v>74</v>
      </c>
      <c r="P2203" s="1" t="s">
        <v>74</v>
      </c>
      <c r="Q2203" s="1" t="s">
        <v>74</v>
      </c>
      <c r="R2203" s="1" t="s">
        <v>74</v>
      </c>
      <c r="S2203" s="1" t="s">
        <v>74</v>
      </c>
      <c r="T2203" s="1" t="s">
        <v>35392</v>
      </c>
      <c r="U2203" s="1" t="s">
        <v>35393</v>
      </c>
      <c r="V2203" s="1" t="s">
        <v>35394</v>
      </c>
      <c r="W2203" s="1" t="s">
        <v>35395</v>
      </c>
      <c r="X2203" s="1" t="s">
        <v>35396</v>
      </c>
      <c r="Y2203" s="1" t="s">
        <v>35397</v>
      </c>
      <c r="Z2203" s="1" t="s">
        <v>35398</v>
      </c>
      <c r="AA2203" s="1" t="s">
        <v>74</v>
      </c>
      <c r="AB2203" s="1" t="s">
        <v>35399</v>
      </c>
      <c r="AC2203" s="1" t="s">
        <v>35400</v>
      </c>
      <c r="AD2203" s="1" t="s">
        <v>35401</v>
      </c>
      <c r="AE2203" s="1" t="s">
        <v>35402</v>
      </c>
      <c r="AF2203" s="1" t="s">
        <v>74</v>
      </c>
      <c r="AG2203" s="1">
        <v>46</v>
      </c>
      <c r="AH2203" s="1">
        <v>16</v>
      </c>
      <c r="AI2203" s="1">
        <v>18</v>
      </c>
      <c r="AJ2203" s="1">
        <v>1</v>
      </c>
      <c r="AK2203" s="1">
        <v>36</v>
      </c>
      <c r="AL2203" s="1" t="s">
        <v>3362</v>
      </c>
      <c r="AM2203" s="1" t="s">
        <v>3363</v>
      </c>
      <c r="AN2203" s="1" t="s">
        <v>3364</v>
      </c>
      <c r="AO2203" s="1" t="s">
        <v>3365</v>
      </c>
      <c r="AP2203" s="1" t="s">
        <v>3366</v>
      </c>
      <c r="AQ2203" s="1" t="s">
        <v>74</v>
      </c>
      <c r="AR2203" s="1" t="s">
        <v>3367</v>
      </c>
      <c r="AS2203" s="1" t="s">
        <v>3368</v>
      </c>
      <c r="AT2203" s="1" t="s">
        <v>170</v>
      </c>
      <c r="AU2203" s="1">
        <v>2017</v>
      </c>
      <c r="AV2203" s="1">
        <v>139</v>
      </c>
      <c r="AW2203" s="1" t="s">
        <v>74</v>
      </c>
      <c r="AX2203" s="1" t="s">
        <v>74</v>
      </c>
      <c r="AY2203" s="1" t="s">
        <v>74</v>
      </c>
      <c r="AZ2203" s="1" t="s">
        <v>74</v>
      </c>
      <c r="BA2203" s="1" t="s">
        <v>74</v>
      </c>
      <c r="BB2203" s="1">
        <v>65</v>
      </c>
      <c r="BC2203" s="1">
        <v>72</v>
      </c>
      <c r="BD2203" s="1" t="s">
        <v>74</v>
      </c>
      <c r="BE2203" s="1" t="s">
        <v>35403</v>
      </c>
      <c r="BF2203" s="1" t="str">
        <f>HYPERLINK("http://dx.doi.org/10.1016/j.ecoenv.2017.01.014","http://dx.doi.org/10.1016/j.ecoenv.2017.01.014")</f>
        <v>http://dx.doi.org/10.1016/j.ecoenv.2017.01.014</v>
      </c>
      <c r="BG2203" s="1" t="s">
        <v>74</v>
      </c>
      <c r="BH2203" s="1" t="s">
        <v>74</v>
      </c>
      <c r="BI2203" s="1">
        <v>8</v>
      </c>
      <c r="BJ2203" s="1" t="s">
        <v>121</v>
      </c>
      <c r="BK2203" s="1" t="s">
        <v>96</v>
      </c>
      <c r="BL2203" s="1" t="s">
        <v>122</v>
      </c>
      <c r="BM2203" s="1" t="s">
        <v>35404</v>
      </c>
      <c r="BN2203" s="1">
        <v>28110047</v>
      </c>
      <c r="BO2203" s="1" t="s">
        <v>74</v>
      </c>
      <c r="BP2203" s="1" t="s">
        <v>74</v>
      </c>
      <c r="BQ2203" s="1" t="s">
        <v>74</v>
      </c>
      <c r="BR2203" s="1" t="s">
        <v>98</v>
      </c>
      <c r="BS2203" s="1" t="s">
        <v>35405</v>
      </c>
      <c r="BT2203" s="1" t="str">
        <f>HYPERLINK("https%3A%2F%2Fwww.webofscience.com%2Fwos%2Fwoscc%2Ffull-record%2FWOS:000396640600009","View Full Record in Web of Science")</f>
        <v>View Full Record in Web of Science</v>
      </c>
      <c r="BU2203" s="1"/>
      <c r="BV2203" s="1"/>
    </row>
    <row r="2204" spans="1:74">
      <c r="A2204" s="1" t="s">
        <v>72</v>
      </c>
      <c r="B2204" s="1" t="s">
        <v>35406</v>
      </c>
      <c r="C2204" s="1" t="s">
        <v>74</v>
      </c>
      <c r="D2204" s="1" t="s">
        <v>74</v>
      </c>
      <c r="E2204" s="1" t="s">
        <v>74</v>
      </c>
      <c r="F2204" s="1" t="s">
        <v>35406</v>
      </c>
      <c r="G2204" s="1" t="s">
        <v>74</v>
      </c>
      <c r="H2204" s="1" t="s">
        <v>74</v>
      </c>
      <c r="I2204" s="1" t="s">
        <v>35407</v>
      </c>
      <c r="J2204" s="1" t="s">
        <v>13525</v>
      </c>
      <c r="K2204" s="1" t="s">
        <v>74</v>
      </c>
      <c r="L2204" s="1" t="s">
        <v>74</v>
      </c>
      <c r="M2204" s="1" t="s">
        <v>78</v>
      </c>
      <c r="N2204" s="1" t="s">
        <v>79</v>
      </c>
      <c r="O2204" s="1" t="s">
        <v>74</v>
      </c>
      <c r="P2204" s="1" t="s">
        <v>74</v>
      </c>
      <c r="Q2204" s="1" t="s">
        <v>74</v>
      </c>
      <c r="R2204" s="1" t="s">
        <v>74</v>
      </c>
      <c r="S2204" s="1" t="s">
        <v>74</v>
      </c>
      <c r="T2204" s="1" t="s">
        <v>74</v>
      </c>
      <c r="U2204" s="1" t="s">
        <v>74</v>
      </c>
      <c r="V2204" s="1" t="s">
        <v>35408</v>
      </c>
      <c r="W2204" s="1" t="s">
        <v>35409</v>
      </c>
      <c r="X2204" s="1" t="s">
        <v>35410</v>
      </c>
      <c r="Y2204" s="1" t="s">
        <v>74</v>
      </c>
      <c r="Z2204" s="1" t="s">
        <v>74</v>
      </c>
      <c r="AA2204" s="1" t="s">
        <v>74</v>
      </c>
      <c r="AB2204" s="1" t="s">
        <v>74</v>
      </c>
      <c r="AC2204" s="1" t="s">
        <v>74</v>
      </c>
      <c r="AD2204" s="1" t="s">
        <v>74</v>
      </c>
      <c r="AE2204" s="1" t="s">
        <v>74</v>
      </c>
      <c r="AF2204" s="1" t="s">
        <v>74</v>
      </c>
      <c r="AG2204" s="1">
        <v>5</v>
      </c>
      <c r="AH2204" s="1">
        <v>101</v>
      </c>
      <c r="AI2204" s="1">
        <v>104</v>
      </c>
      <c r="AJ2204" s="1">
        <v>0</v>
      </c>
      <c r="AK2204" s="1">
        <v>1</v>
      </c>
      <c r="AL2204" s="1" t="s">
        <v>2336</v>
      </c>
      <c r="AM2204" s="1" t="s">
        <v>262</v>
      </c>
      <c r="AN2204" s="1" t="s">
        <v>15117</v>
      </c>
      <c r="AO2204" s="1" t="s">
        <v>13529</v>
      </c>
      <c r="AP2204" s="1" t="s">
        <v>21660</v>
      </c>
      <c r="AQ2204" s="1" t="s">
        <v>74</v>
      </c>
      <c r="AR2204" s="1" t="s">
        <v>13530</v>
      </c>
      <c r="AS2204" s="1" t="s">
        <v>13531</v>
      </c>
      <c r="AT2204" s="1" t="s">
        <v>74</v>
      </c>
      <c r="AU2204" s="1">
        <v>1977</v>
      </c>
      <c r="AV2204" s="1">
        <v>57</v>
      </c>
      <c r="AW2204" s="1">
        <v>1</v>
      </c>
      <c r="AX2204" s="1" t="s">
        <v>74</v>
      </c>
      <c r="AY2204" s="1" t="s">
        <v>74</v>
      </c>
      <c r="AZ2204" s="1" t="s">
        <v>74</v>
      </c>
      <c r="BA2204" s="1" t="s">
        <v>74</v>
      </c>
      <c r="BB2204" s="1">
        <v>63</v>
      </c>
      <c r="BC2204" s="1">
        <v>74</v>
      </c>
      <c r="BD2204" s="1" t="s">
        <v>74</v>
      </c>
      <c r="BE2204" s="1" t="s">
        <v>35411</v>
      </c>
      <c r="BF2204" s="1" t="str">
        <f>HYPERLINK("http://dx.doi.org/10.1017/S0025315400021238","http://dx.doi.org/10.1017/S0025315400021238")</f>
        <v>http://dx.doi.org/10.1017/S0025315400021238</v>
      </c>
      <c r="BG2204" s="1" t="s">
        <v>74</v>
      </c>
      <c r="BH2204" s="1" t="s">
        <v>74</v>
      </c>
      <c r="BI2204" s="1">
        <v>12</v>
      </c>
      <c r="BJ2204" s="1" t="s">
        <v>680</v>
      </c>
      <c r="BK2204" s="1" t="s">
        <v>96</v>
      </c>
      <c r="BL2204" s="1" t="s">
        <v>680</v>
      </c>
      <c r="BM2204" s="1" t="s">
        <v>35412</v>
      </c>
      <c r="BN2204" s="1" t="s">
        <v>74</v>
      </c>
      <c r="BO2204" s="1" t="s">
        <v>74</v>
      </c>
      <c r="BP2204" s="1" t="s">
        <v>74</v>
      </c>
      <c r="BQ2204" s="1" t="s">
        <v>74</v>
      </c>
      <c r="BR2204" s="1" t="s">
        <v>98</v>
      </c>
      <c r="BS2204" s="1" t="s">
        <v>35413</v>
      </c>
      <c r="BT2204" s="1" t="str">
        <f>HYPERLINK("https%3A%2F%2Fwww.webofscience.com%2Fwos%2Fwoscc%2Ffull-record%2FWOS:A1977DB34300007","View Full Record in Web of Science")</f>
        <v>View Full Record in Web of Science</v>
      </c>
      <c r="BU2204" s="1"/>
      <c r="BV2204" s="1"/>
    </row>
    <row r="2205" spans="1:74">
      <c r="A2205" s="1" t="s">
        <v>72</v>
      </c>
      <c r="B2205" s="1" t="s">
        <v>35414</v>
      </c>
      <c r="C2205" s="1" t="s">
        <v>74</v>
      </c>
      <c r="D2205" s="1" t="s">
        <v>74</v>
      </c>
      <c r="E2205" s="1" t="s">
        <v>74</v>
      </c>
      <c r="F2205" s="1" t="s">
        <v>35415</v>
      </c>
      <c r="G2205" s="1" t="s">
        <v>74</v>
      </c>
      <c r="H2205" s="1" t="s">
        <v>74</v>
      </c>
      <c r="I2205" s="1" t="s">
        <v>35416</v>
      </c>
      <c r="J2205" s="1" t="s">
        <v>641</v>
      </c>
      <c r="K2205" s="1" t="s">
        <v>74</v>
      </c>
      <c r="L2205" s="1" t="s">
        <v>74</v>
      </c>
      <c r="M2205" s="1" t="s">
        <v>78</v>
      </c>
      <c r="N2205" s="1" t="s">
        <v>79</v>
      </c>
      <c r="O2205" s="1" t="s">
        <v>74</v>
      </c>
      <c r="P2205" s="1" t="s">
        <v>74</v>
      </c>
      <c r="Q2205" s="1" t="s">
        <v>74</v>
      </c>
      <c r="R2205" s="1" t="s">
        <v>74</v>
      </c>
      <c r="S2205" s="1" t="s">
        <v>74</v>
      </c>
      <c r="T2205" s="1" t="s">
        <v>35417</v>
      </c>
      <c r="U2205" s="1" t="s">
        <v>35418</v>
      </c>
      <c r="V2205" s="1" t="s">
        <v>35419</v>
      </c>
      <c r="W2205" s="1" t="s">
        <v>35420</v>
      </c>
      <c r="X2205" s="1" t="s">
        <v>15156</v>
      </c>
      <c r="Y2205" s="1" t="s">
        <v>35421</v>
      </c>
      <c r="Z2205" s="1" t="s">
        <v>12718</v>
      </c>
      <c r="AA2205" s="1" t="s">
        <v>35422</v>
      </c>
      <c r="AB2205" s="1" t="s">
        <v>35423</v>
      </c>
      <c r="AC2205" s="1" t="s">
        <v>74</v>
      </c>
      <c r="AD2205" s="1" t="s">
        <v>74</v>
      </c>
      <c r="AE2205" s="1" t="s">
        <v>74</v>
      </c>
      <c r="AF2205" s="1" t="s">
        <v>74</v>
      </c>
      <c r="AG2205" s="1">
        <v>44</v>
      </c>
      <c r="AH2205" s="1">
        <v>27</v>
      </c>
      <c r="AI2205" s="1">
        <v>28</v>
      </c>
      <c r="AJ2205" s="1">
        <v>0</v>
      </c>
      <c r="AK2205" s="1">
        <v>12</v>
      </c>
      <c r="AL2205" s="1" t="s">
        <v>650</v>
      </c>
      <c r="AM2205" s="1" t="s">
        <v>651</v>
      </c>
      <c r="AN2205" s="1" t="s">
        <v>652</v>
      </c>
      <c r="AO2205" s="1" t="s">
        <v>653</v>
      </c>
      <c r="AP2205" s="1" t="s">
        <v>654</v>
      </c>
      <c r="AQ2205" s="1" t="s">
        <v>74</v>
      </c>
      <c r="AR2205" s="1" t="s">
        <v>655</v>
      </c>
      <c r="AS2205" s="1" t="s">
        <v>656</v>
      </c>
      <c r="AT2205" s="1" t="s">
        <v>27807</v>
      </c>
      <c r="AU2205" s="1">
        <v>2006</v>
      </c>
      <c r="AV2205" s="1">
        <v>80</v>
      </c>
      <c r="AW2205" s="1">
        <v>1</v>
      </c>
      <c r="AX2205" s="1" t="s">
        <v>74</v>
      </c>
      <c r="AY2205" s="1" t="s">
        <v>74</v>
      </c>
      <c r="AZ2205" s="1" t="s">
        <v>74</v>
      </c>
      <c r="BA2205" s="1" t="s">
        <v>74</v>
      </c>
      <c r="BB2205" s="1">
        <v>33</v>
      </c>
      <c r="BC2205" s="1">
        <v>41</v>
      </c>
      <c r="BD2205" s="1" t="s">
        <v>74</v>
      </c>
      <c r="BE2205" s="1" t="s">
        <v>35424</v>
      </c>
      <c r="BF2205" s="1" t="str">
        <f>HYPERLINK("http://dx.doi.org/10.1016/j.aquatox.2006.07.010","http://dx.doi.org/10.1016/j.aquatox.2006.07.010")</f>
        <v>http://dx.doi.org/10.1016/j.aquatox.2006.07.010</v>
      </c>
      <c r="BG2205" s="1" t="s">
        <v>74</v>
      </c>
      <c r="BH2205" s="1" t="s">
        <v>74</v>
      </c>
      <c r="BI2205" s="1">
        <v>9</v>
      </c>
      <c r="BJ2205" s="1" t="s">
        <v>659</v>
      </c>
      <c r="BK2205" s="1" t="s">
        <v>96</v>
      </c>
      <c r="BL2205" s="1" t="s">
        <v>659</v>
      </c>
      <c r="BM2205" s="1" t="s">
        <v>35425</v>
      </c>
      <c r="BN2205" s="1">
        <v>16930736</v>
      </c>
      <c r="BO2205" s="1" t="s">
        <v>74</v>
      </c>
      <c r="BP2205" s="1" t="s">
        <v>74</v>
      </c>
      <c r="BQ2205" s="1" t="s">
        <v>74</v>
      </c>
      <c r="BR2205" s="1" t="s">
        <v>98</v>
      </c>
      <c r="BS2205" s="1" t="s">
        <v>35426</v>
      </c>
      <c r="BT2205" s="1" t="str">
        <f>HYPERLINK("https%3A%2F%2Fwww.webofscience.com%2Fwos%2Fwoscc%2Ffull-record%2FWOS:000241313000003","View Full Record in Web of Science")</f>
        <v>View Full Record in Web of Science</v>
      </c>
      <c r="BU2205" s="1"/>
      <c r="BV2205" s="1"/>
    </row>
    <row r="2206" spans="1:74">
      <c r="A2206" s="1" t="s">
        <v>72</v>
      </c>
      <c r="B2206" s="1" t="s">
        <v>35427</v>
      </c>
      <c r="C2206" s="1" t="s">
        <v>74</v>
      </c>
      <c r="D2206" s="1" t="s">
        <v>74</v>
      </c>
      <c r="E2206" s="1" t="s">
        <v>74</v>
      </c>
      <c r="F2206" s="1" t="s">
        <v>35428</v>
      </c>
      <c r="G2206" s="1" t="s">
        <v>74</v>
      </c>
      <c r="H2206" s="1" t="s">
        <v>74</v>
      </c>
      <c r="I2206" s="1" t="s">
        <v>35429</v>
      </c>
      <c r="J2206" s="1" t="s">
        <v>232</v>
      </c>
      <c r="K2206" s="1" t="s">
        <v>74</v>
      </c>
      <c r="L2206" s="1" t="s">
        <v>74</v>
      </c>
      <c r="M2206" s="1" t="s">
        <v>78</v>
      </c>
      <c r="N2206" s="1" t="s">
        <v>79</v>
      </c>
      <c r="O2206" s="1" t="s">
        <v>74</v>
      </c>
      <c r="P2206" s="1" t="s">
        <v>74</v>
      </c>
      <c r="Q2206" s="1" t="s">
        <v>74</v>
      </c>
      <c r="R2206" s="1" t="s">
        <v>74</v>
      </c>
      <c r="S2206" s="1" t="s">
        <v>74</v>
      </c>
      <c r="T2206" s="1" t="s">
        <v>35430</v>
      </c>
      <c r="U2206" s="1" t="s">
        <v>35431</v>
      </c>
      <c r="V2206" s="1" t="s">
        <v>35432</v>
      </c>
      <c r="W2206" s="1" t="s">
        <v>35433</v>
      </c>
      <c r="X2206" s="1" t="s">
        <v>35434</v>
      </c>
      <c r="Y2206" s="1" t="s">
        <v>35435</v>
      </c>
      <c r="Z2206" s="1" t="s">
        <v>35436</v>
      </c>
      <c r="AA2206" s="1" t="s">
        <v>35437</v>
      </c>
      <c r="AB2206" s="1" t="s">
        <v>35438</v>
      </c>
      <c r="AC2206" s="1" t="s">
        <v>35439</v>
      </c>
      <c r="AD2206" s="1" t="s">
        <v>35440</v>
      </c>
      <c r="AE2206" s="1" t="s">
        <v>35441</v>
      </c>
      <c r="AF2206" s="1" t="s">
        <v>74</v>
      </c>
      <c r="AG2206" s="1">
        <v>68</v>
      </c>
      <c r="AH2206" s="1">
        <v>22</v>
      </c>
      <c r="AI2206" s="1">
        <v>23</v>
      </c>
      <c r="AJ2206" s="1">
        <v>0</v>
      </c>
      <c r="AK2206" s="1">
        <v>36</v>
      </c>
      <c r="AL2206" s="1" t="s">
        <v>136</v>
      </c>
      <c r="AM2206" s="1" t="s">
        <v>137</v>
      </c>
      <c r="AN2206" s="1" t="s">
        <v>138</v>
      </c>
      <c r="AO2206" s="1" t="s">
        <v>240</v>
      </c>
      <c r="AP2206" s="1" t="s">
        <v>241</v>
      </c>
      <c r="AQ2206" s="1" t="s">
        <v>74</v>
      </c>
      <c r="AR2206" s="1" t="s">
        <v>242</v>
      </c>
      <c r="AS2206" s="1" t="s">
        <v>243</v>
      </c>
      <c r="AT2206" s="1" t="s">
        <v>387</v>
      </c>
      <c r="AU2206" s="1">
        <v>2016</v>
      </c>
      <c r="AV2206" s="1">
        <v>106</v>
      </c>
      <c r="AW2206" s="1" t="s">
        <v>326</v>
      </c>
      <c r="AX2206" s="1" t="s">
        <v>74</v>
      </c>
      <c r="AY2206" s="1" t="s">
        <v>74</v>
      </c>
      <c r="AZ2206" s="1" t="s">
        <v>74</v>
      </c>
      <c r="BA2206" s="1" t="s">
        <v>74</v>
      </c>
      <c r="BB2206" s="1">
        <v>202</v>
      </c>
      <c r="BC2206" s="1">
        <v>214</v>
      </c>
      <c r="BD2206" s="1" t="s">
        <v>74</v>
      </c>
      <c r="BE2206" s="1" t="s">
        <v>35442</v>
      </c>
      <c r="BF2206" s="1" t="str">
        <f>HYPERLINK("http://dx.doi.org/10.1016/j.marpolbul.2016.02.068","http://dx.doi.org/10.1016/j.marpolbul.2016.02.068")</f>
        <v>http://dx.doi.org/10.1016/j.marpolbul.2016.02.068</v>
      </c>
      <c r="BG2206" s="1" t="s">
        <v>74</v>
      </c>
      <c r="BH2206" s="1" t="s">
        <v>74</v>
      </c>
      <c r="BI2206" s="1">
        <v>13</v>
      </c>
      <c r="BJ2206" s="1" t="s">
        <v>247</v>
      </c>
      <c r="BK2206" s="1" t="s">
        <v>96</v>
      </c>
      <c r="BL2206" s="1" t="s">
        <v>248</v>
      </c>
      <c r="BM2206" s="1" t="s">
        <v>31097</v>
      </c>
      <c r="BN2206" s="1">
        <v>26975610</v>
      </c>
      <c r="BO2206" s="1" t="s">
        <v>14962</v>
      </c>
      <c r="BP2206" s="1" t="s">
        <v>74</v>
      </c>
      <c r="BQ2206" s="1" t="s">
        <v>74</v>
      </c>
      <c r="BR2206" s="1" t="s">
        <v>98</v>
      </c>
      <c r="BS2206" s="1" t="s">
        <v>35443</v>
      </c>
      <c r="BT2206" s="1" t="str">
        <f>HYPERLINK("https%3A%2F%2Fwww.webofscience.com%2Fwos%2Fwoscc%2Ffull-record%2FWOS:000376545900038","View Full Record in Web of Science")</f>
        <v>View Full Record in Web of Science</v>
      </c>
      <c r="BU2206" s="1"/>
      <c r="BV2206" s="1"/>
    </row>
    <row r="2207" spans="1:74">
      <c r="A2207" s="1" t="s">
        <v>72</v>
      </c>
      <c r="B2207" s="1" t="s">
        <v>35444</v>
      </c>
      <c r="C2207" s="1" t="s">
        <v>74</v>
      </c>
      <c r="D2207" s="1" t="s">
        <v>74</v>
      </c>
      <c r="E2207" s="1" t="s">
        <v>74</v>
      </c>
      <c r="F2207" s="1" t="s">
        <v>35445</v>
      </c>
      <c r="G2207" s="1" t="s">
        <v>74</v>
      </c>
      <c r="H2207" s="1" t="s">
        <v>74</v>
      </c>
      <c r="I2207" s="1" t="s">
        <v>35446</v>
      </c>
      <c r="J2207" s="1" t="s">
        <v>752</v>
      </c>
      <c r="K2207" s="1" t="s">
        <v>74</v>
      </c>
      <c r="L2207" s="1" t="s">
        <v>74</v>
      </c>
      <c r="M2207" s="1" t="s">
        <v>78</v>
      </c>
      <c r="N2207" s="1" t="s">
        <v>79</v>
      </c>
      <c r="O2207" s="1" t="s">
        <v>74</v>
      </c>
      <c r="P2207" s="1" t="s">
        <v>74</v>
      </c>
      <c r="Q2207" s="1" t="s">
        <v>74</v>
      </c>
      <c r="R2207" s="1" t="s">
        <v>74</v>
      </c>
      <c r="S2207" s="1" t="s">
        <v>74</v>
      </c>
      <c r="T2207" s="1" t="s">
        <v>35447</v>
      </c>
      <c r="U2207" s="1" t="s">
        <v>35448</v>
      </c>
      <c r="V2207" s="1" t="s">
        <v>35449</v>
      </c>
      <c r="W2207" s="1" t="s">
        <v>35450</v>
      </c>
      <c r="X2207" s="1" t="s">
        <v>35451</v>
      </c>
      <c r="Y2207" s="1" t="s">
        <v>35452</v>
      </c>
      <c r="Z2207" s="1" t="s">
        <v>35453</v>
      </c>
      <c r="AA2207" s="1" t="s">
        <v>74</v>
      </c>
      <c r="AB2207" s="1" t="s">
        <v>35454</v>
      </c>
      <c r="AC2207" s="1" t="s">
        <v>35455</v>
      </c>
      <c r="AD2207" s="1" t="s">
        <v>35456</v>
      </c>
      <c r="AE2207" s="1" t="s">
        <v>35457</v>
      </c>
      <c r="AF2207" s="1" t="s">
        <v>74</v>
      </c>
      <c r="AG2207" s="1">
        <v>107</v>
      </c>
      <c r="AH2207" s="1">
        <v>9</v>
      </c>
      <c r="AI2207" s="1">
        <v>9</v>
      </c>
      <c r="AJ2207" s="1">
        <v>4</v>
      </c>
      <c r="AK2207" s="1">
        <v>11</v>
      </c>
      <c r="AL2207" s="1" t="s">
        <v>430</v>
      </c>
      <c r="AM2207" s="1" t="s">
        <v>137</v>
      </c>
      <c r="AN2207" s="1" t="s">
        <v>431</v>
      </c>
      <c r="AO2207" s="1" t="s">
        <v>761</v>
      </c>
      <c r="AP2207" s="1" t="s">
        <v>762</v>
      </c>
      <c r="AQ2207" s="1" t="s">
        <v>74</v>
      </c>
      <c r="AR2207" s="1" t="s">
        <v>763</v>
      </c>
      <c r="AS2207" s="1" t="s">
        <v>764</v>
      </c>
      <c r="AT2207" s="1" t="s">
        <v>765</v>
      </c>
      <c r="AU2207" s="1">
        <v>2022</v>
      </c>
      <c r="AV2207" s="1">
        <v>179</v>
      </c>
      <c r="AW2207" s="1" t="s">
        <v>74</v>
      </c>
      <c r="AX2207" s="1" t="s">
        <v>74</v>
      </c>
      <c r="AY2207" s="1" t="s">
        <v>74</v>
      </c>
      <c r="AZ2207" s="1" t="s">
        <v>74</v>
      </c>
      <c r="BA2207" s="1" t="s">
        <v>74</v>
      </c>
      <c r="BB2207" s="1" t="s">
        <v>74</v>
      </c>
      <c r="BC2207" s="1" t="s">
        <v>74</v>
      </c>
      <c r="BD2207" s="1">
        <v>105677</v>
      </c>
      <c r="BE2207" s="1" t="s">
        <v>35458</v>
      </c>
      <c r="BF2207" s="1" t="str">
        <f>HYPERLINK("http://dx.doi.org/10.1016/j.marenvres.2022.105677","http://dx.doi.org/10.1016/j.marenvres.2022.105677")</f>
        <v>http://dx.doi.org/10.1016/j.marenvres.2022.105677</v>
      </c>
      <c r="BG2207" s="1" t="s">
        <v>74</v>
      </c>
      <c r="BH2207" s="1" t="s">
        <v>74</v>
      </c>
      <c r="BI2207" s="1">
        <v>12</v>
      </c>
      <c r="BJ2207" s="1" t="s">
        <v>768</v>
      </c>
      <c r="BK2207" s="1" t="s">
        <v>96</v>
      </c>
      <c r="BL2207" s="1" t="s">
        <v>769</v>
      </c>
      <c r="BM2207" s="1" t="s">
        <v>35459</v>
      </c>
      <c r="BN2207" s="1">
        <v>35738152</v>
      </c>
      <c r="BO2207" s="1" t="s">
        <v>74</v>
      </c>
      <c r="BP2207" s="1" t="s">
        <v>74</v>
      </c>
      <c r="BQ2207" s="1" t="s">
        <v>74</v>
      </c>
      <c r="BR2207" s="1" t="s">
        <v>98</v>
      </c>
      <c r="BS2207" s="1" t="s">
        <v>35460</v>
      </c>
      <c r="BT2207" s="1" t="str">
        <f>HYPERLINK("https%3A%2F%2Fwww.webofscience.com%2Fwos%2Fwoscc%2Ffull-record%2FWOS:000827231600007","View Full Record in Web of Science")</f>
        <v>View Full Record in Web of Science</v>
      </c>
      <c r="BU2207" s="1"/>
      <c r="BV2207" s="1"/>
    </row>
    <row r="2208" spans="1:74">
      <c r="A2208" s="1" t="s">
        <v>72</v>
      </c>
      <c r="B2208" s="1" t="s">
        <v>35461</v>
      </c>
      <c r="C2208" s="1" t="s">
        <v>74</v>
      </c>
      <c r="D2208" s="1" t="s">
        <v>74</v>
      </c>
      <c r="E2208" s="1" t="s">
        <v>74</v>
      </c>
      <c r="F2208" s="1" t="s">
        <v>35461</v>
      </c>
      <c r="G2208" s="1" t="s">
        <v>74</v>
      </c>
      <c r="H2208" s="1" t="s">
        <v>74</v>
      </c>
      <c r="I2208" s="1" t="s">
        <v>35462</v>
      </c>
      <c r="J2208" s="1" t="s">
        <v>13235</v>
      </c>
      <c r="K2208" s="1" t="s">
        <v>74</v>
      </c>
      <c r="L2208" s="1" t="s">
        <v>74</v>
      </c>
      <c r="M2208" s="1" t="s">
        <v>78</v>
      </c>
      <c r="N2208" s="1" t="s">
        <v>79</v>
      </c>
      <c r="O2208" s="1" t="s">
        <v>74</v>
      </c>
      <c r="P2208" s="1" t="s">
        <v>74</v>
      </c>
      <c r="Q2208" s="1" t="s">
        <v>74</v>
      </c>
      <c r="R2208" s="1" t="s">
        <v>74</v>
      </c>
      <c r="S2208" s="1" t="s">
        <v>74</v>
      </c>
      <c r="T2208" s="1" t="s">
        <v>74</v>
      </c>
      <c r="U2208" s="1" t="s">
        <v>35463</v>
      </c>
      <c r="V2208" s="1" t="s">
        <v>35464</v>
      </c>
      <c r="W2208" s="1" t="s">
        <v>35465</v>
      </c>
      <c r="X2208" s="1" t="s">
        <v>35466</v>
      </c>
      <c r="Y2208" s="1" t="s">
        <v>35467</v>
      </c>
      <c r="Z2208" s="1" t="s">
        <v>74</v>
      </c>
      <c r="AA2208" s="1" t="s">
        <v>74</v>
      </c>
      <c r="AB2208" s="1" t="s">
        <v>74</v>
      </c>
      <c r="AC2208" s="1" t="s">
        <v>74</v>
      </c>
      <c r="AD2208" s="1" t="s">
        <v>74</v>
      </c>
      <c r="AE2208" s="1" t="s">
        <v>74</v>
      </c>
      <c r="AF2208" s="1" t="s">
        <v>74</v>
      </c>
      <c r="AG2208" s="1">
        <v>29</v>
      </c>
      <c r="AH2208" s="1">
        <v>13</v>
      </c>
      <c r="AI2208" s="1">
        <v>14</v>
      </c>
      <c r="AJ2208" s="1">
        <v>1</v>
      </c>
      <c r="AK2208" s="1">
        <v>11</v>
      </c>
      <c r="AL2208" s="1" t="s">
        <v>20964</v>
      </c>
      <c r="AM2208" s="1" t="s">
        <v>13247</v>
      </c>
      <c r="AN2208" s="1" t="s">
        <v>20965</v>
      </c>
      <c r="AO2208" s="1" t="s">
        <v>13249</v>
      </c>
      <c r="AP2208" s="1" t="s">
        <v>74</v>
      </c>
      <c r="AQ2208" s="1" t="s">
        <v>74</v>
      </c>
      <c r="AR2208" s="1" t="s">
        <v>13250</v>
      </c>
      <c r="AS2208" s="1" t="s">
        <v>13251</v>
      </c>
      <c r="AT2208" s="1" t="s">
        <v>765</v>
      </c>
      <c r="AU2208" s="1">
        <v>1992</v>
      </c>
      <c r="AV2208" s="1">
        <v>70</v>
      </c>
      <c r="AW2208" s="1">
        <v>7</v>
      </c>
      <c r="AX2208" s="1" t="s">
        <v>74</v>
      </c>
      <c r="AY2208" s="1" t="s">
        <v>74</v>
      </c>
      <c r="AZ2208" s="1" t="s">
        <v>74</v>
      </c>
      <c r="BA2208" s="1" t="s">
        <v>74</v>
      </c>
      <c r="BB2208" s="1">
        <v>1284</v>
      </c>
      <c r="BC2208" s="1">
        <v>1291</v>
      </c>
      <c r="BD2208" s="1" t="s">
        <v>74</v>
      </c>
      <c r="BE2208" s="1" t="s">
        <v>35468</v>
      </c>
      <c r="BF2208" s="1" t="str">
        <f>HYPERLINK("http://dx.doi.org/10.1139/z92-179","http://dx.doi.org/10.1139/z92-179")</f>
        <v>http://dx.doi.org/10.1139/z92-179</v>
      </c>
      <c r="BG2208" s="1" t="s">
        <v>74</v>
      </c>
      <c r="BH2208" s="1" t="s">
        <v>74</v>
      </c>
      <c r="BI2208" s="1">
        <v>8</v>
      </c>
      <c r="BJ2208" s="1" t="s">
        <v>2210</v>
      </c>
      <c r="BK2208" s="1" t="s">
        <v>96</v>
      </c>
      <c r="BL2208" s="1" t="s">
        <v>2210</v>
      </c>
      <c r="BM2208" s="1" t="s">
        <v>35469</v>
      </c>
      <c r="BN2208" s="1" t="s">
        <v>74</v>
      </c>
      <c r="BO2208" s="1" t="s">
        <v>74</v>
      </c>
      <c r="BP2208" s="1" t="s">
        <v>74</v>
      </c>
      <c r="BQ2208" s="1" t="s">
        <v>74</v>
      </c>
      <c r="BR2208" s="1" t="s">
        <v>98</v>
      </c>
      <c r="BS2208" s="1" t="s">
        <v>35470</v>
      </c>
      <c r="BT2208" s="1" t="str">
        <f>HYPERLINK("https%3A%2F%2Fwww.webofscience.com%2Fwos%2Fwoscc%2Ffull-record%2FWOS:A1992JL31100003","View Full Record in Web of Science")</f>
        <v>View Full Record in Web of Science</v>
      </c>
      <c r="BU2208" s="1"/>
      <c r="BV2208" s="1"/>
    </row>
    <row r="2209" spans="1:74">
      <c r="A2209" s="1" t="s">
        <v>72</v>
      </c>
      <c r="B2209" s="1" t="s">
        <v>28996</v>
      </c>
      <c r="C2209" s="1" t="s">
        <v>74</v>
      </c>
      <c r="D2209" s="1" t="s">
        <v>74</v>
      </c>
      <c r="E2209" s="1" t="s">
        <v>74</v>
      </c>
      <c r="F2209" s="1" t="s">
        <v>28997</v>
      </c>
      <c r="G2209" s="1" t="s">
        <v>74</v>
      </c>
      <c r="H2209" s="1" t="s">
        <v>74</v>
      </c>
      <c r="I2209" s="1" t="s">
        <v>35471</v>
      </c>
      <c r="J2209" s="1" t="s">
        <v>232</v>
      </c>
      <c r="K2209" s="1" t="s">
        <v>74</v>
      </c>
      <c r="L2209" s="1" t="s">
        <v>74</v>
      </c>
      <c r="M2209" s="1" t="s">
        <v>78</v>
      </c>
      <c r="N2209" s="1" t="s">
        <v>79</v>
      </c>
      <c r="O2209" s="1" t="s">
        <v>74</v>
      </c>
      <c r="P2209" s="1" t="s">
        <v>74</v>
      </c>
      <c r="Q2209" s="1" t="s">
        <v>74</v>
      </c>
      <c r="R2209" s="1" t="s">
        <v>74</v>
      </c>
      <c r="S2209" s="1" t="s">
        <v>74</v>
      </c>
      <c r="T2209" s="1" t="s">
        <v>35472</v>
      </c>
      <c r="U2209" s="1" t="s">
        <v>35473</v>
      </c>
      <c r="V2209" s="1" t="s">
        <v>35474</v>
      </c>
      <c r="W2209" s="1" t="s">
        <v>35475</v>
      </c>
      <c r="X2209" s="1" t="s">
        <v>10674</v>
      </c>
      <c r="Y2209" s="1" t="s">
        <v>35476</v>
      </c>
      <c r="Z2209" s="1" t="s">
        <v>29004</v>
      </c>
      <c r="AA2209" s="1" t="s">
        <v>35477</v>
      </c>
      <c r="AB2209" s="1" t="s">
        <v>29006</v>
      </c>
      <c r="AC2209" s="1" t="s">
        <v>74</v>
      </c>
      <c r="AD2209" s="1" t="s">
        <v>74</v>
      </c>
      <c r="AE2209" s="1" t="s">
        <v>74</v>
      </c>
      <c r="AF2209" s="1" t="s">
        <v>74</v>
      </c>
      <c r="AG2209" s="1">
        <v>42</v>
      </c>
      <c r="AH2209" s="1">
        <v>23</v>
      </c>
      <c r="AI2209" s="1">
        <v>25</v>
      </c>
      <c r="AJ2209" s="1">
        <v>0</v>
      </c>
      <c r="AK2209" s="1">
        <v>17</v>
      </c>
      <c r="AL2209" s="1" t="s">
        <v>136</v>
      </c>
      <c r="AM2209" s="1" t="s">
        <v>137</v>
      </c>
      <c r="AN2209" s="1" t="s">
        <v>138</v>
      </c>
      <c r="AO2209" s="1" t="s">
        <v>240</v>
      </c>
      <c r="AP2209" s="1" t="s">
        <v>241</v>
      </c>
      <c r="AQ2209" s="1" t="s">
        <v>74</v>
      </c>
      <c r="AR2209" s="1" t="s">
        <v>242</v>
      </c>
      <c r="AS2209" s="1" t="s">
        <v>243</v>
      </c>
      <c r="AT2209" s="1" t="s">
        <v>170</v>
      </c>
      <c r="AU2209" s="1">
        <v>2008</v>
      </c>
      <c r="AV2209" s="1">
        <v>56</v>
      </c>
      <c r="AW2209" s="1">
        <v>5</v>
      </c>
      <c r="AX2209" s="1" t="s">
        <v>74</v>
      </c>
      <c r="AY2209" s="1" t="s">
        <v>74</v>
      </c>
      <c r="AZ2209" s="1" t="s">
        <v>74</v>
      </c>
      <c r="BA2209" s="1" t="s">
        <v>74</v>
      </c>
      <c r="BB2209" s="1">
        <v>973</v>
      </c>
      <c r="BC2209" s="1">
        <v>983</v>
      </c>
      <c r="BD2209" s="1" t="s">
        <v>74</v>
      </c>
      <c r="BE2209" s="1" t="s">
        <v>35478</v>
      </c>
      <c r="BF2209" s="1" t="str">
        <f>HYPERLINK("http://dx.doi.org/10.1016/j.marpolbul.2008.01.026","http://dx.doi.org/10.1016/j.marpolbul.2008.01.026")</f>
        <v>http://dx.doi.org/10.1016/j.marpolbul.2008.01.026</v>
      </c>
      <c r="BG2209" s="1" t="s">
        <v>74</v>
      </c>
      <c r="BH2209" s="1" t="s">
        <v>74</v>
      </c>
      <c r="BI2209" s="1">
        <v>11</v>
      </c>
      <c r="BJ2209" s="1" t="s">
        <v>247</v>
      </c>
      <c r="BK2209" s="1" t="s">
        <v>96</v>
      </c>
      <c r="BL2209" s="1" t="s">
        <v>248</v>
      </c>
      <c r="BM2209" s="1" t="s">
        <v>31155</v>
      </c>
      <c r="BN2209" s="1">
        <v>18308341</v>
      </c>
      <c r="BO2209" s="1" t="s">
        <v>74</v>
      </c>
      <c r="BP2209" s="1" t="s">
        <v>74</v>
      </c>
      <c r="BQ2209" s="1" t="s">
        <v>74</v>
      </c>
      <c r="BR2209" s="1" t="s">
        <v>98</v>
      </c>
      <c r="BS2209" s="1" t="s">
        <v>35479</v>
      </c>
      <c r="BT2209" s="1" t="str">
        <f>HYPERLINK("https%3A%2F%2Fwww.webofscience.com%2Fwos%2Fwoscc%2Ffull-record%2FWOS:000256713500027","View Full Record in Web of Science")</f>
        <v>View Full Record in Web of Science</v>
      </c>
      <c r="BU2209" s="1"/>
      <c r="BV2209" s="1"/>
    </row>
    <row r="2210" spans="1:74">
      <c r="A2210" s="1" t="s">
        <v>72</v>
      </c>
      <c r="B2210" s="1" t="s">
        <v>35480</v>
      </c>
      <c r="C2210" s="1" t="s">
        <v>74</v>
      </c>
      <c r="D2210" s="1" t="s">
        <v>74</v>
      </c>
      <c r="E2210" s="1" t="s">
        <v>74</v>
      </c>
      <c r="F2210" s="1" t="s">
        <v>35481</v>
      </c>
      <c r="G2210" s="1" t="s">
        <v>74</v>
      </c>
      <c r="H2210" s="1" t="s">
        <v>74</v>
      </c>
      <c r="I2210" s="1" t="s">
        <v>35482</v>
      </c>
      <c r="J2210" s="1" t="s">
        <v>909</v>
      </c>
      <c r="K2210" s="1" t="s">
        <v>74</v>
      </c>
      <c r="L2210" s="1" t="s">
        <v>74</v>
      </c>
      <c r="M2210" s="1" t="s">
        <v>78</v>
      </c>
      <c r="N2210" s="1" t="s">
        <v>79</v>
      </c>
      <c r="O2210" s="1" t="s">
        <v>74</v>
      </c>
      <c r="P2210" s="1" t="s">
        <v>74</v>
      </c>
      <c r="Q2210" s="1" t="s">
        <v>74</v>
      </c>
      <c r="R2210" s="1" t="s">
        <v>74</v>
      </c>
      <c r="S2210" s="1" t="s">
        <v>74</v>
      </c>
      <c r="T2210" s="1" t="s">
        <v>35483</v>
      </c>
      <c r="U2210" s="1" t="s">
        <v>35484</v>
      </c>
      <c r="V2210" s="1" t="s">
        <v>35485</v>
      </c>
      <c r="W2210" s="1" t="s">
        <v>35486</v>
      </c>
      <c r="X2210" s="1" t="s">
        <v>35487</v>
      </c>
      <c r="Y2210" s="1" t="s">
        <v>35488</v>
      </c>
      <c r="Z2210" s="1" t="s">
        <v>29387</v>
      </c>
      <c r="AA2210" s="1" t="s">
        <v>35489</v>
      </c>
      <c r="AB2210" s="1" t="s">
        <v>35490</v>
      </c>
      <c r="AC2210" s="1" t="s">
        <v>35491</v>
      </c>
      <c r="AD2210" s="1" t="s">
        <v>35492</v>
      </c>
      <c r="AE2210" s="1" t="s">
        <v>35493</v>
      </c>
      <c r="AF2210" s="1" t="s">
        <v>74</v>
      </c>
      <c r="AG2210" s="1">
        <v>44</v>
      </c>
      <c r="AH2210" s="1">
        <v>26</v>
      </c>
      <c r="AI2210" s="1">
        <v>28</v>
      </c>
      <c r="AJ2210" s="1">
        <v>3</v>
      </c>
      <c r="AK2210" s="1">
        <v>81</v>
      </c>
      <c r="AL2210" s="1" t="s">
        <v>919</v>
      </c>
      <c r="AM2210" s="1" t="s">
        <v>651</v>
      </c>
      <c r="AN2210" s="1" t="s">
        <v>920</v>
      </c>
      <c r="AO2210" s="1" t="s">
        <v>921</v>
      </c>
      <c r="AP2210" s="1" t="s">
        <v>922</v>
      </c>
      <c r="AQ2210" s="1" t="s">
        <v>74</v>
      </c>
      <c r="AR2210" s="1" t="s">
        <v>923</v>
      </c>
      <c r="AS2210" s="1" t="s">
        <v>924</v>
      </c>
      <c r="AT2210" s="1" t="s">
        <v>10334</v>
      </c>
      <c r="AU2210" s="1">
        <v>2015</v>
      </c>
      <c r="AV2210" s="1">
        <v>514</v>
      </c>
      <c r="AW2210" s="1" t="s">
        <v>74</v>
      </c>
      <c r="AX2210" s="1" t="s">
        <v>74</v>
      </c>
      <c r="AY2210" s="1" t="s">
        <v>74</v>
      </c>
      <c r="AZ2210" s="1" t="s">
        <v>74</v>
      </c>
      <c r="BA2210" s="1" t="s">
        <v>74</v>
      </c>
      <c r="BB2210" s="1">
        <v>500</v>
      </c>
      <c r="BC2210" s="1">
        <v>510</v>
      </c>
      <c r="BD2210" s="1" t="s">
        <v>74</v>
      </c>
      <c r="BE2210" s="1" t="s">
        <v>35494</v>
      </c>
      <c r="BF2210" s="1" t="str">
        <f>HYPERLINK("http://dx.doi.org/10.1016/j.scitotenv.2014.08.071","http://dx.doi.org/10.1016/j.scitotenv.2014.08.071")</f>
        <v>http://dx.doi.org/10.1016/j.scitotenv.2014.08.071</v>
      </c>
      <c r="BG2210" s="1" t="s">
        <v>74</v>
      </c>
      <c r="BH2210" s="1" t="s">
        <v>74</v>
      </c>
      <c r="BI2210" s="1">
        <v>11</v>
      </c>
      <c r="BJ2210" s="1" t="s">
        <v>144</v>
      </c>
      <c r="BK2210" s="1" t="s">
        <v>96</v>
      </c>
      <c r="BL2210" s="1" t="s">
        <v>145</v>
      </c>
      <c r="BM2210" s="1" t="s">
        <v>35495</v>
      </c>
      <c r="BN2210" s="1">
        <v>25440063</v>
      </c>
      <c r="BO2210" s="1" t="s">
        <v>810</v>
      </c>
      <c r="BP2210" s="1" t="s">
        <v>74</v>
      </c>
      <c r="BQ2210" s="1" t="s">
        <v>74</v>
      </c>
      <c r="BR2210" s="1" t="s">
        <v>98</v>
      </c>
      <c r="BS2210" s="1" t="s">
        <v>35496</v>
      </c>
      <c r="BT2210" s="1" t="str">
        <f>HYPERLINK("https%3A%2F%2Fwww.webofscience.com%2Fwos%2Fwoscc%2Ffull-record%2FWOS:000352039500053","View Full Record in Web of Science")</f>
        <v>View Full Record in Web of Science</v>
      </c>
      <c r="BU2210" s="1"/>
      <c r="BV2210" s="1"/>
    </row>
    <row r="2211" spans="1:74">
      <c r="A2211" s="1" t="s">
        <v>72</v>
      </c>
      <c r="B2211" s="1" t="s">
        <v>35497</v>
      </c>
      <c r="C2211" s="1" t="s">
        <v>74</v>
      </c>
      <c r="D2211" s="1" t="s">
        <v>74</v>
      </c>
      <c r="E2211" s="1" t="s">
        <v>74</v>
      </c>
      <c r="F2211" s="1" t="s">
        <v>35498</v>
      </c>
      <c r="G2211" s="1" t="s">
        <v>74</v>
      </c>
      <c r="H2211" s="1" t="s">
        <v>74</v>
      </c>
      <c r="I2211" s="1" t="s">
        <v>35499</v>
      </c>
      <c r="J2211" s="1" t="s">
        <v>1337</v>
      </c>
      <c r="K2211" s="1" t="s">
        <v>74</v>
      </c>
      <c r="L2211" s="1" t="s">
        <v>74</v>
      </c>
      <c r="M2211" s="1" t="s">
        <v>78</v>
      </c>
      <c r="N2211" s="1" t="s">
        <v>79</v>
      </c>
      <c r="O2211" s="1" t="s">
        <v>74</v>
      </c>
      <c r="P2211" s="1" t="s">
        <v>74</v>
      </c>
      <c r="Q2211" s="1" t="s">
        <v>74</v>
      </c>
      <c r="R2211" s="1" t="s">
        <v>74</v>
      </c>
      <c r="S2211" s="1" t="s">
        <v>74</v>
      </c>
      <c r="T2211" s="1" t="s">
        <v>35500</v>
      </c>
      <c r="U2211" s="1" t="s">
        <v>35501</v>
      </c>
      <c r="V2211" s="1" t="s">
        <v>35502</v>
      </c>
      <c r="W2211" s="1" t="s">
        <v>35503</v>
      </c>
      <c r="X2211" s="1" t="s">
        <v>35504</v>
      </c>
      <c r="Y2211" s="1" t="s">
        <v>35505</v>
      </c>
      <c r="Z2211" s="1" t="s">
        <v>35506</v>
      </c>
      <c r="AA2211" s="1" t="s">
        <v>35507</v>
      </c>
      <c r="AB2211" s="1" t="s">
        <v>74</v>
      </c>
      <c r="AC2211" s="1" t="s">
        <v>35508</v>
      </c>
      <c r="AD2211" s="1" t="s">
        <v>35509</v>
      </c>
      <c r="AE2211" s="1" t="s">
        <v>35510</v>
      </c>
      <c r="AF2211" s="1" t="s">
        <v>74</v>
      </c>
      <c r="AG2211" s="1">
        <v>46</v>
      </c>
      <c r="AH2211" s="1">
        <v>0</v>
      </c>
      <c r="AI2211" s="1">
        <v>0</v>
      </c>
      <c r="AJ2211" s="1">
        <v>0</v>
      </c>
      <c r="AK2211" s="1">
        <v>0</v>
      </c>
      <c r="AL2211" s="1" t="s">
        <v>1350</v>
      </c>
      <c r="AM2211" s="1" t="s">
        <v>1351</v>
      </c>
      <c r="AN2211" s="1" t="s">
        <v>1352</v>
      </c>
      <c r="AO2211" s="1" t="s">
        <v>74</v>
      </c>
      <c r="AP2211" s="1" t="s">
        <v>1353</v>
      </c>
      <c r="AQ2211" s="1" t="s">
        <v>74</v>
      </c>
      <c r="AR2211" s="1" t="s">
        <v>1354</v>
      </c>
      <c r="AS2211" s="1" t="s">
        <v>1355</v>
      </c>
      <c r="AT2211" s="1" t="s">
        <v>21560</v>
      </c>
      <c r="AU2211" s="1">
        <v>2024</v>
      </c>
      <c r="AV2211" s="1">
        <v>11</v>
      </c>
      <c r="AW2211" s="1" t="s">
        <v>74</v>
      </c>
      <c r="AX2211" s="1" t="s">
        <v>74</v>
      </c>
      <c r="AY2211" s="1" t="s">
        <v>74</v>
      </c>
      <c r="AZ2211" s="1" t="s">
        <v>74</v>
      </c>
      <c r="BA2211" s="1" t="s">
        <v>74</v>
      </c>
      <c r="BB2211" s="1" t="s">
        <v>74</v>
      </c>
      <c r="BC2211" s="1" t="s">
        <v>74</v>
      </c>
      <c r="BD2211" s="1">
        <v>1425697</v>
      </c>
      <c r="BE2211" s="1" t="s">
        <v>35511</v>
      </c>
      <c r="BF2211" s="1" t="str">
        <f>HYPERLINK("http://dx.doi.org/10.3389/fmars.2024.1425697","http://dx.doi.org/10.3389/fmars.2024.1425697")</f>
        <v>http://dx.doi.org/10.3389/fmars.2024.1425697</v>
      </c>
      <c r="BG2211" s="1" t="s">
        <v>74</v>
      </c>
      <c r="BH2211" s="1" t="s">
        <v>74</v>
      </c>
      <c r="BI2211" s="1">
        <v>12</v>
      </c>
      <c r="BJ2211" s="1" t="s">
        <v>247</v>
      </c>
      <c r="BK2211" s="1" t="s">
        <v>96</v>
      </c>
      <c r="BL2211" s="1" t="s">
        <v>248</v>
      </c>
      <c r="BM2211" s="1" t="s">
        <v>35512</v>
      </c>
      <c r="BN2211" s="1" t="s">
        <v>74</v>
      </c>
      <c r="BO2211" s="1" t="s">
        <v>74</v>
      </c>
      <c r="BP2211" s="1" t="s">
        <v>74</v>
      </c>
      <c r="BQ2211" s="1" t="s">
        <v>74</v>
      </c>
      <c r="BR2211" s="1" t="s">
        <v>98</v>
      </c>
      <c r="BS2211" s="1" t="s">
        <v>35513</v>
      </c>
      <c r="BT2211" s="1" t="str">
        <f>HYPERLINK("https%3A%2F%2Fwww.webofscience.com%2Fwos%2Fwoscc%2Ffull-record%2FWOS:001271900400001","View Full Record in Web of Science")</f>
        <v>View Full Record in Web of Science</v>
      </c>
      <c r="BU2211" s="1"/>
      <c r="BV2211" s="1"/>
    </row>
    <row r="2212" spans="1:74">
      <c r="A2212" s="1" t="s">
        <v>72</v>
      </c>
      <c r="B2212" s="1" t="s">
        <v>35514</v>
      </c>
      <c r="C2212" s="1" t="s">
        <v>74</v>
      </c>
      <c r="D2212" s="1" t="s">
        <v>74</v>
      </c>
      <c r="E2212" s="1" t="s">
        <v>74</v>
      </c>
      <c r="F2212" s="1" t="s">
        <v>35514</v>
      </c>
      <c r="G2212" s="1" t="s">
        <v>74</v>
      </c>
      <c r="H2212" s="1" t="s">
        <v>74</v>
      </c>
      <c r="I2212" s="1" t="s">
        <v>35515</v>
      </c>
      <c r="J2212" s="1" t="s">
        <v>9112</v>
      </c>
      <c r="K2212" s="1" t="s">
        <v>74</v>
      </c>
      <c r="L2212" s="1" t="s">
        <v>74</v>
      </c>
      <c r="M2212" s="1" t="s">
        <v>78</v>
      </c>
      <c r="N2212" s="1" t="s">
        <v>79</v>
      </c>
      <c r="O2212" s="1" t="s">
        <v>74</v>
      </c>
      <c r="P2212" s="1" t="s">
        <v>74</v>
      </c>
      <c r="Q2212" s="1" t="s">
        <v>74</v>
      </c>
      <c r="R2212" s="1" t="s">
        <v>74</v>
      </c>
      <c r="S2212" s="1" t="s">
        <v>74</v>
      </c>
      <c r="T2212" s="1" t="s">
        <v>35516</v>
      </c>
      <c r="U2212" s="1" t="s">
        <v>35517</v>
      </c>
      <c r="V2212" s="1" t="s">
        <v>35518</v>
      </c>
      <c r="W2212" s="1" t="s">
        <v>35519</v>
      </c>
      <c r="X2212" s="1" t="s">
        <v>35520</v>
      </c>
      <c r="Y2212" s="1" t="s">
        <v>35521</v>
      </c>
      <c r="Z2212" s="1" t="s">
        <v>35522</v>
      </c>
      <c r="AA2212" s="1" t="s">
        <v>35523</v>
      </c>
      <c r="AB2212" s="1" t="s">
        <v>35524</v>
      </c>
      <c r="AC2212" s="1" t="s">
        <v>74</v>
      </c>
      <c r="AD2212" s="1" t="s">
        <v>74</v>
      </c>
      <c r="AE2212" s="1" t="s">
        <v>74</v>
      </c>
      <c r="AF2212" s="1" t="s">
        <v>74</v>
      </c>
      <c r="AG2212" s="1">
        <v>42</v>
      </c>
      <c r="AH2212" s="1">
        <v>0</v>
      </c>
      <c r="AI2212" s="1">
        <v>0</v>
      </c>
      <c r="AJ2212" s="1">
        <v>0</v>
      </c>
      <c r="AK2212" s="1">
        <v>12</v>
      </c>
      <c r="AL2212" s="1" t="s">
        <v>9124</v>
      </c>
      <c r="AM2212" s="1" t="s">
        <v>9125</v>
      </c>
      <c r="AN2212" s="1" t="s">
        <v>9126</v>
      </c>
      <c r="AO2212" s="1" t="s">
        <v>9127</v>
      </c>
      <c r="AP2212" s="1" t="s">
        <v>9128</v>
      </c>
      <c r="AQ2212" s="1" t="s">
        <v>74</v>
      </c>
      <c r="AR2212" s="1" t="s">
        <v>9129</v>
      </c>
      <c r="AS2212" s="1" t="s">
        <v>9130</v>
      </c>
      <c r="AT2212" s="1" t="s">
        <v>74</v>
      </c>
      <c r="AU2212" s="1">
        <v>2000</v>
      </c>
      <c r="AV2212" s="1">
        <v>13</v>
      </c>
      <c r="AW2212" s="1" t="s">
        <v>9648</v>
      </c>
      <c r="AX2212" s="1" t="s">
        <v>74</v>
      </c>
      <c r="AY2212" s="1" t="s">
        <v>74</v>
      </c>
      <c r="AZ2212" s="1" t="s">
        <v>74</v>
      </c>
      <c r="BA2212" s="1" t="s">
        <v>74</v>
      </c>
      <c r="BB2212" s="1">
        <v>326</v>
      </c>
      <c r="BC2212" s="1">
        <v>339</v>
      </c>
      <c r="BD2212" s="1" t="s">
        <v>74</v>
      </c>
      <c r="BE2212" s="1" t="s">
        <v>35525</v>
      </c>
      <c r="BF2212" s="1" t="str">
        <f>HYPERLINK("http://dx.doi.org/10.1504/IJEP.2000.002322","http://dx.doi.org/10.1504/IJEP.2000.002322")</f>
        <v>http://dx.doi.org/10.1504/IJEP.2000.002322</v>
      </c>
      <c r="BG2212" s="1" t="s">
        <v>74</v>
      </c>
      <c r="BH2212" s="1" t="s">
        <v>74</v>
      </c>
      <c r="BI2212" s="1">
        <v>14</v>
      </c>
      <c r="BJ2212" s="1" t="s">
        <v>144</v>
      </c>
      <c r="BK2212" s="1" t="s">
        <v>96</v>
      </c>
      <c r="BL2212" s="1" t="s">
        <v>145</v>
      </c>
      <c r="BM2212" s="1" t="s">
        <v>9650</v>
      </c>
      <c r="BN2212" s="1" t="s">
        <v>74</v>
      </c>
      <c r="BO2212" s="1" t="s">
        <v>74</v>
      </c>
      <c r="BP2212" s="1" t="s">
        <v>74</v>
      </c>
      <c r="BQ2212" s="1" t="s">
        <v>74</v>
      </c>
      <c r="BR2212" s="1" t="s">
        <v>98</v>
      </c>
      <c r="BS2212" s="1" t="s">
        <v>35526</v>
      </c>
      <c r="BT2212" s="1" t="str">
        <f>HYPERLINK("https%3A%2F%2Fwww.webofscience.com%2Fwos%2Fwoscc%2Ffull-record%2FWOS:000088280100017","View Full Record in Web of Science")</f>
        <v>View Full Record in Web of Science</v>
      </c>
      <c r="BU2212" s="1"/>
      <c r="BV2212" s="1"/>
    </row>
    <row r="2213" spans="1:74">
      <c r="A2213" s="1" t="s">
        <v>72</v>
      </c>
      <c r="B2213" s="1" t="s">
        <v>35527</v>
      </c>
      <c r="C2213" s="1" t="s">
        <v>74</v>
      </c>
      <c r="D2213" s="1" t="s">
        <v>74</v>
      </c>
      <c r="E2213" s="1" t="s">
        <v>74</v>
      </c>
      <c r="F2213" s="1" t="s">
        <v>35528</v>
      </c>
      <c r="G2213" s="1" t="s">
        <v>74</v>
      </c>
      <c r="H2213" s="1" t="s">
        <v>74</v>
      </c>
      <c r="I2213" s="1" t="s">
        <v>35529</v>
      </c>
      <c r="J2213" s="1" t="s">
        <v>6864</v>
      </c>
      <c r="K2213" s="1" t="s">
        <v>74</v>
      </c>
      <c r="L2213" s="1" t="s">
        <v>74</v>
      </c>
      <c r="M2213" s="1" t="s">
        <v>78</v>
      </c>
      <c r="N2213" s="1" t="s">
        <v>79</v>
      </c>
      <c r="O2213" s="1" t="s">
        <v>74</v>
      </c>
      <c r="P2213" s="1" t="s">
        <v>74</v>
      </c>
      <c r="Q2213" s="1" t="s">
        <v>74</v>
      </c>
      <c r="R2213" s="1" t="s">
        <v>74</v>
      </c>
      <c r="S2213" s="1" t="s">
        <v>74</v>
      </c>
      <c r="T2213" s="1" t="s">
        <v>35530</v>
      </c>
      <c r="U2213" s="1" t="s">
        <v>35531</v>
      </c>
      <c r="V2213" s="1" t="s">
        <v>35532</v>
      </c>
      <c r="W2213" s="1" t="s">
        <v>35533</v>
      </c>
      <c r="X2213" s="1" t="s">
        <v>35534</v>
      </c>
      <c r="Y2213" s="1" t="s">
        <v>35535</v>
      </c>
      <c r="Z2213" s="1" t="s">
        <v>35536</v>
      </c>
      <c r="AA2213" s="1" t="s">
        <v>35537</v>
      </c>
      <c r="AB2213" s="1" t="s">
        <v>74</v>
      </c>
      <c r="AC2213" s="1" t="s">
        <v>35538</v>
      </c>
      <c r="AD2213" s="1" t="s">
        <v>35539</v>
      </c>
      <c r="AE2213" s="1" t="s">
        <v>35540</v>
      </c>
      <c r="AF2213" s="1" t="s">
        <v>74</v>
      </c>
      <c r="AG2213" s="1">
        <v>50</v>
      </c>
      <c r="AH2213" s="1">
        <v>3</v>
      </c>
      <c r="AI2213" s="1">
        <v>3</v>
      </c>
      <c r="AJ2213" s="1">
        <v>0</v>
      </c>
      <c r="AK2213" s="1">
        <v>3</v>
      </c>
      <c r="AL2213" s="1" t="s">
        <v>6878</v>
      </c>
      <c r="AM2213" s="1" t="s">
        <v>6879</v>
      </c>
      <c r="AN2213" s="1" t="s">
        <v>6880</v>
      </c>
      <c r="AO2213" s="1" t="s">
        <v>6881</v>
      </c>
      <c r="AP2213" s="1" t="s">
        <v>35541</v>
      </c>
      <c r="AQ2213" s="1" t="s">
        <v>74</v>
      </c>
      <c r="AR2213" s="1" t="s">
        <v>6882</v>
      </c>
      <c r="AS2213" s="1" t="s">
        <v>6883</v>
      </c>
      <c r="AT2213" s="1" t="s">
        <v>197</v>
      </c>
      <c r="AU2213" s="1">
        <v>2022</v>
      </c>
      <c r="AV2213" s="1">
        <v>74</v>
      </c>
      <c r="AW2213" s="1" t="s">
        <v>74</v>
      </c>
      <c r="AX2213" s="1" t="s">
        <v>74</v>
      </c>
      <c r="AY2213" s="1" t="s">
        <v>74</v>
      </c>
      <c r="AZ2213" s="1" t="s">
        <v>74</v>
      </c>
      <c r="BA2213" s="1" t="s">
        <v>74</v>
      </c>
      <c r="BB2213" s="1" t="s">
        <v>74</v>
      </c>
      <c r="BC2213" s="1" t="s">
        <v>74</v>
      </c>
      <c r="BD2213" s="1">
        <v>127053</v>
      </c>
      <c r="BE2213" s="1" t="s">
        <v>35542</v>
      </c>
      <c r="BF2213" s="1" t="str">
        <f>HYPERLINK("http://dx.doi.org/10.1016/j.jtemb.2022.127053","http://dx.doi.org/10.1016/j.jtemb.2022.127053")</f>
        <v>http://dx.doi.org/10.1016/j.jtemb.2022.127053</v>
      </c>
      <c r="BG2213" s="1" t="s">
        <v>74</v>
      </c>
      <c r="BH2213" s="1" t="s">
        <v>74</v>
      </c>
      <c r="BI2213" s="1">
        <v>7</v>
      </c>
      <c r="BJ2213" s="1" t="s">
        <v>795</v>
      </c>
      <c r="BK2213" s="1" t="s">
        <v>96</v>
      </c>
      <c r="BL2213" s="1" t="s">
        <v>795</v>
      </c>
      <c r="BM2213" s="1" t="s">
        <v>35543</v>
      </c>
      <c r="BN2213" s="1">
        <v>35939924</v>
      </c>
      <c r="BO2213" s="1" t="s">
        <v>74</v>
      </c>
      <c r="BP2213" s="1" t="s">
        <v>74</v>
      </c>
      <c r="BQ2213" s="1" t="s">
        <v>74</v>
      </c>
      <c r="BR2213" s="1" t="s">
        <v>98</v>
      </c>
      <c r="BS2213" s="1" t="s">
        <v>35544</v>
      </c>
      <c r="BT2213" s="1" t="str">
        <f>HYPERLINK("https%3A%2F%2Fwww.webofscience.com%2Fwos%2Fwoscc%2Ffull-record%2FWOS:000931815000003","View Full Record in Web of Science")</f>
        <v>View Full Record in Web of Science</v>
      </c>
      <c r="BU2213" s="1"/>
      <c r="BV2213" s="1"/>
    </row>
    <row r="2214" spans="1:74">
      <c r="A2214" s="1" t="s">
        <v>72</v>
      </c>
      <c r="B2214" s="1" t="s">
        <v>35545</v>
      </c>
      <c r="C2214" s="1" t="s">
        <v>74</v>
      </c>
      <c r="D2214" s="1" t="s">
        <v>74</v>
      </c>
      <c r="E2214" s="1" t="s">
        <v>74</v>
      </c>
      <c r="F2214" s="1" t="s">
        <v>35546</v>
      </c>
      <c r="G2214" s="1" t="s">
        <v>74</v>
      </c>
      <c r="H2214" s="1" t="s">
        <v>74</v>
      </c>
      <c r="I2214" s="1" t="s">
        <v>35547</v>
      </c>
      <c r="J2214" s="1" t="s">
        <v>1254</v>
      </c>
      <c r="K2214" s="1" t="s">
        <v>74</v>
      </c>
      <c r="L2214" s="1" t="s">
        <v>74</v>
      </c>
      <c r="M2214" s="1" t="s">
        <v>78</v>
      </c>
      <c r="N2214" s="1" t="s">
        <v>79</v>
      </c>
      <c r="O2214" s="1" t="s">
        <v>74</v>
      </c>
      <c r="P2214" s="1" t="s">
        <v>74</v>
      </c>
      <c r="Q2214" s="1" t="s">
        <v>74</v>
      </c>
      <c r="R2214" s="1" t="s">
        <v>74</v>
      </c>
      <c r="S2214" s="1" t="s">
        <v>74</v>
      </c>
      <c r="T2214" s="1" t="s">
        <v>35548</v>
      </c>
      <c r="U2214" s="1" t="s">
        <v>35549</v>
      </c>
      <c r="V2214" s="1" t="s">
        <v>35550</v>
      </c>
      <c r="W2214" s="1" t="s">
        <v>35551</v>
      </c>
      <c r="X2214" s="1" t="s">
        <v>35552</v>
      </c>
      <c r="Y2214" s="1" t="s">
        <v>35553</v>
      </c>
      <c r="Z2214" s="1" t="s">
        <v>35554</v>
      </c>
      <c r="AA2214" s="1" t="s">
        <v>35555</v>
      </c>
      <c r="AB2214" s="1" t="s">
        <v>4605</v>
      </c>
      <c r="AC2214" s="1" t="s">
        <v>35556</v>
      </c>
      <c r="AD2214" s="1" t="s">
        <v>35556</v>
      </c>
      <c r="AE2214" s="1" t="s">
        <v>35557</v>
      </c>
      <c r="AF2214" s="1" t="s">
        <v>74</v>
      </c>
      <c r="AG2214" s="1">
        <v>88</v>
      </c>
      <c r="AH2214" s="1">
        <v>43</v>
      </c>
      <c r="AI2214" s="1">
        <v>43</v>
      </c>
      <c r="AJ2214" s="1">
        <v>0</v>
      </c>
      <c r="AK2214" s="1">
        <v>26</v>
      </c>
      <c r="AL2214" s="1" t="s">
        <v>136</v>
      </c>
      <c r="AM2214" s="1" t="s">
        <v>137</v>
      </c>
      <c r="AN2214" s="1" t="s">
        <v>138</v>
      </c>
      <c r="AO2214" s="1" t="s">
        <v>1264</v>
      </c>
      <c r="AP2214" s="1" t="s">
        <v>1265</v>
      </c>
      <c r="AQ2214" s="1" t="s">
        <v>74</v>
      </c>
      <c r="AR2214" s="1" t="s">
        <v>1266</v>
      </c>
      <c r="AS2214" s="1" t="s">
        <v>1267</v>
      </c>
      <c r="AT2214" s="1" t="s">
        <v>267</v>
      </c>
      <c r="AU2214" s="1">
        <v>2014</v>
      </c>
      <c r="AV2214" s="1">
        <v>71</v>
      </c>
      <c r="AW2214" s="1" t="s">
        <v>74</v>
      </c>
      <c r="AX2214" s="1" t="s">
        <v>74</v>
      </c>
      <c r="AY2214" s="1" t="s">
        <v>74</v>
      </c>
      <c r="AZ2214" s="1" t="s">
        <v>74</v>
      </c>
      <c r="BA2214" s="1" t="s">
        <v>74</v>
      </c>
      <c r="BB2214" s="1">
        <v>1</v>
      </c>
      <c r="BC2214" s="1">
        <v>12</v>
      </c>
      <c r="BD2214" s="1" t="s">
        <v>74</v>
      </c>
      <c r="BE2214" s="1" t="s">
        <v>35558</v>
      </c>
      <c r="BF2214" s="1" t="str">
        <f>HYPERLINK("http://dx.doi.org/10.1016/j.envint.2014.05.024","http://dx.doi.org/10.1016/j.envint.2014.05.024")</f>
        <v>http://dx.doi.org/10.1016/j.envint.2014.05.024</v>
      </c>
      <c r="BG2214" s="1" t="s">
        <v>74</v>
      </c>
      <c r="BH2214" s="1" t="s">
        <v>74</v>
      </c>
      <c r="BI2214" s="1">
        <v>12</v>
      </c>
      <c r="BJ2214" s="1" t="s">
        <v>144</v>
      </c>
      <c r="BK2214" s="1" t="s">
        <v>96</v>
      </c>
      <c r="BL2214" s="1" t="s">
        <v>145</v>
      </c>
      <c r="BM2214" s="1" t="s">
        <v>35559</v>
      </c>
      <c r="BN2214" s="1">
        <v>24946271</v>
      </c>
      <c r="BO2214" s="1" t="s">
        <v>74</v>
      </c>
      <c r="BP2214" s="1" t="s">
        <v>74</v>
      </c>
      <c r="BQ2214" s="1" t="s">
        <v>74</v>
      </c>
      <c r="BR2214" s="1" t="s">
        <v>98</v>
      </c>
      <c r="BS2214" s="1" t="s">
        <v>35560</v>
      </c>
      <c r="BT2214" s="1" t="str">
        <f>HYPERLINK("https%3A%2F%2Fwww.webofscience.com%2Fwos%2Fwoscc%2Ffull-record%2FWOS:000341745100001","View Full Record in Web of Science")</f>
        <v>View Full Record in Web of Science</v>
      </c>
      <c r="BU2214" s="1"/>
      <c r="BV2214" s="1"/>
    </row>
    <row r="2215" spans="1:74">
      <c r="A2215" s="1" t="s">
        <v>72</v>
      </c>
      <c r="B2215" s="1" t="s">
        <v>35561</v>
      </c>
      <c r="C2215" s="1" t="s">
        <v>74</v>
      </c>
      <c r="D2215" s="1" t="s">
        <v>74</v>
      </c>
      <c r="E2215" s="1" t="s">
        <v>74</v>
      </c>
      <c r="F2215" s="1" t="s">
        <v>35562</v>
      </c>
      <c r="G2215" s="1" t="s">
        <v>74</v>
      </c>
      <c r="H2215" s="1" t="s">
        <v>74</v>
      </c>
      <c r="I2215" s="1" t="s">
        <v>35563</v>
      </c>
      <c r="J2215" s="1" t="s">
        <v>204</v>
      </c>
      <c r="K2215" s="1" t="s">
        <v>74</v>
      </c>
      <c r="L2215" s="1" t="s">
        <v>74</v>
      </c>
      <c r="M2215" s="1" t="s">
        <v>78</v>
      </c>
      <c r="N2215" s="1" t="s">
        <v>79</v>
      </c>
      <c r="O2215" s="1" t="s">
        <v>74</v>
      </c>
      <c r="P2215" s="1" t="s">
        <v>74</v>
      </c>
      <c r="Q2215" s="1" t="s">
        <v>74</v>
      </c>
      <c r="R2215" s="1" t="s">
        <v>74</v>
      </c>
      <c r="S2215" s="1" t="s">
        <v>74</v>
      </c>
      <c r="T2215" s="1" t="s">
        <v>35564</v>
      </c>
      <c r="U2215" s="1" t="s">
        <v>35565</v>
      </c>
      <c r="V2215" s="1" t="s">
        <v>35566</v>
      </c>
      <c r="W2215" s="1" t="s">
        <v>35567</v>
      </c>
      <c r="X2215" s="1" t="s">
        <v>35568</v>
      </c>
      <c r="Y2215" s="1" t="s">
        <v>35569</v>
      </c>
      <c r="Z2215" s="1" t="s">
        <v>35570</v>
      </c>
      <c r="AA2215" s="1" t="s">
        <v>35571</v>
      </c>
      <c r="AB2215" s="1" t="s">
        <v>35572</v>
      </c>
      <c r="AC2215" s="1" t="s">
        <v>35573</v>
      </c>
      <c r="AD2215" s="1" t="s">
        <v>35574</v>
      </c>
      <c r="AE2215" s="1" t="s">
        <v>35575</v>
      </c>
      <c r="AF2215" s="1" t="s">
        <v>74</v>
      </c>
      <c r="AG2215" s="1">
        <v>118</v>
      </c>
      <c r="AH2215" s="1">
        <v>24</v>
      </c>
      <c r="AI2215" s="1">
        <v>25</v>
      </c>
      <c r="AJ2215" s="1">
        <v>2</v>
      </c>
      <c r="AK2215" s="1">
        <v>60</v>
      </c>
      <c r="AL2215" s="1" t="s">
        <v>217</v>
      </c>
      <c r="AM2215" s="1" t="s">
        <v>218</v>
      </c>
      <c r="AN2215" s="1" t="s">
        <v>219</v>
      </c>
      <c r="AO2215" s="1" t="s">
        <v>220</v>
      </c>
      <c r="AP2215" s="1" t="s">
        <v>221</v>
      </c>
      <c r="AQ2215" s="1" t="s">
        <v>74</v>
      </c>
      <c r="AR2215" s="1" t="s">
        <v>222</v>
      </c>
      <c r="AS2215" s="1" t="s">
        <v>223</v>
      </c>
      <c r="AT2215" s="1" t="s">
        <v>1470</v>
      </c>
      <c r="AU2215" s="1">
        <v>2017</v>
      </c>
      <c r="AV2215" s="1">
        <v>24</v>
      </c>
      <c r="AW2215" s="1">
        <v>1</v>
      </c>
      <c r="AX2215" s="1" t="s">
        <v>74</v>
      </c>
      <c r="AY2215" s="1" t="s">
        <v>74</v>
      </c>
      <c r="AZ2215" s="1" t="s">
        <v>74</v>
      </c>
      <c r="BA2215" s="1" t="s">
        <v>74</v>
      </c>
      <c r="BB2215" s="1">
        <v>765</v>
      </c>
      <c r="BC2215" s="1">
        <v>781</v>
      </c>
      <c r="BD2215" s="1" t="s">
        <v>74</v>
      </c>
      <c r="BE2215" s="1" t="s">
        <v>35576</v>
      </c>
      <c r="BF2215" s="1" t="str">
        <f>HYPERLINK("http://dx.doi.org/10.1007/s11356-016-7863-y","http://dx.doi.org/10.1007/s11356-016-7863-y")</f>
        <v>http://dx.doi.org/10.1007/s11356-016-7863-y</v>
      </c>
      <c r="BG2215" s="1" t="s">
        <v>74</v>
      </c>
      <c r="BH2215" s="1" t="s">
        <v>74</v>
      </c>
      <c r="BI2215" s="1">
        <v>17</v>
      </c>
      <c r="BJ2215" s="1" t="s">
        <v>144</v>
      </c>
      <c r="BK2215" s="1" t="s">
        <v>96</v>
      </c>
      <c r="BL2215" s="1" t="s">
        <v>145</v>
      </c>
      <c r="BM2215" s="1" t="s">
        <v>10696</v>
      </c>
      <c r="BN2215" s="1">
        <v>27752956</v>
      </c>
      <c r="BO2215" s="1" t="s">
        <v>74</v>
      </c>
      <c r="BP2215" s="1" t="s">
        <v>74</v>
      </c>
      <c r="BQ2215" s="1" t="s">
        <v>74</v>
      </c>
      <c r="BR2215" s="1" t="s">
        <v>98</v>
      </c>
      <c r="BS2215" s="1" t="s">
        <v>35577</v>
      </c>
      <c r="BT2215" s="1" t="str">
        <f>HYPERLINK("https%3A%2F%2Fwww.webofscience.com%2Fwos%2Fwoscc%2Ffull-record%2FWOS:000392105700072","View Full Record in Web of Science")</f>
        <v>View Full Record in Web of Science</v>
      </c>
      <c r="BU2215" s="1"/>
      <c r="BV2215" s="1"/>
    </row>
    <row r="2216" spans="1:74">
      <c r="A2216" s="1" t="s">
        <v>72</v>
      </c>
      <c r="B2216" s="1" t="s">
        <v>35578</v>
      </c>
      <c r="C2216" s="1" t="s">
        <v>74</v>
      </c>
      <c r="D2216" s="1" t="s">
        <v>74</v>
      </c>
      <c r="E2216" s="1" t="s">
        <v>74</v>
      </c>
      <c r="F2216" s="1" t="s">
        <v>35579</v>
      </c>
      <c r="G2216" s="1" t="s">
        <v>74</v>
      </c>
      <c r="H2216" s="1" t="s">
        <v>74</v>
      </c>
      <c r="I2216" s="1" t="s">
        <v>35580</v>
      </c>
      <c r="J2216" s="1" t="s">
        <v>6608</v>
      </c>
      <c r="K2216" s="1" t="s">
        <v>74</v>
      </c>
      <c r="L2216" s="1" t="s">
        <v>74</v>
      </c>
      <c r="M2216" s="1" t="s">
        <v>78</v>
      </c>
      <c r="N2216" s="1" t="s">
        <v>79</v>
      </c>
      <c r="O2216" s="1" t="s">
        <v>74</v>
      </c>
      <c r="P2216" s="1" t="s">
        <v>74</v>
      </c>
      <c r="Q2216" s="1" t="s">
        <v>74</v>
      </c>
      <c r="R2216" s="1" t="s">
        <v>74</v>
      </c>
      <c r="S2216" s="1" t="s">
        <v>74</v>
      </c>
      <c r="T2216" s="1" t="s">
        <v>35581</v>
      </c>
      <c r="U2216" s="1" t="s">
        <v>35582</v>
      </c>
      <c r="V2216" s="1" t="s">
        <v>35583</v>
      </c>
      <c r="W2216" s="1" t="s">
        <v>35584</v>
      </c>
      <c r="X2216" s="1" t="s">
        <v>35585</v>
      </c>
      <c r="Y2216" s="1" t="s">
        <v>35586</v>
      </c>
      <c r="Z2216" s="1" t="s">
        <v>35587</v>
      </c>
      <c r="AA2216" s="1" t="s">
        <v>35588</v>
      </c>
      <c r="AB2216" s="1" t="s">
        <v>35589</v>
      </c>
      <c r="AC2216" s="1" t="s">
        <v>35590</v>
      </c>
      <c r="AD2216" s="1" t="s">
        <v>35591</v>
      </c>
      <c r="AE2216" s="1" t="s">
        <v>35592</v>
      </c>
      <c r="AF2216" s="1" t="s">
        <v>74</v>
      </c>
      <c r="AG2216" s="1">
        <v>45</v>
      </c>
      <c r="AH2216" s="1">
        <v>8</v>
      </c>
      <c r="AI2216" s="1">
        <v>8</v>
      </c>
      <c r="AJ2216" s="1">
        <v>1</v>
      </c>
      <c r="AK2216" s="1">
        <v>12</v>
      </c>
      <c r="AL2216" s="1" t="s">
        <v>1566</v>
      </c>
      <c r="AM2216" s="1" t="s">
        <v>1567</v>
      </c>
      <c r="AN2216" s="1" t="s">
        <v>1568</v>
      </c>
      <c r="AO2216" s="1" t="s">
        <v>74</v>
      </c>
      <c r="AP2216" s="1" t="s">
        <v>6619</v>
      </c>
      <c r="AQ2216" s="1" t="s">
        <v>74</v>
      </c>
      <c r="AR2216" s="1" t="s">
        <v>6620</v>
      </c>
      <c r="AS2216" s="1" t="s">
        <v>6621</v>
      </c>
      <c r="AT2216" s="1" t="s">
        <v>1470</v>
      </c>
      <c r="AU2216" s="1">
        <v>2020</v>
      </c>
      <c r="AV2216" s="1">
        <v>12</v>
      </c>
      <c r="AW2216" s="1">
        <v>1</v>
      </c>
      <c r="AX2216" s="1" t="s">
        <v>74</v>
      </c>
      <c r="AY2216" s="1" t="s">
        <v>74</v>
      </c>
      <c r="AZ2216" s="1" t="s">
        <v>74</v>
      </c>
      <c r="BA2216" s="1" t="s">
        <v>74</v>
      </c>
      <c r="BB2216" s="1" t="s">
        <v>74</v>
      </c>
      <c r="BC2216" s="1" t="s">
        <v>74</v>
      </c>
      <c r="BD2216" s="1">
        <v>32</v>
      </c>
      <c r="BE2216" s="1" t="s">
        <v>35593</v>
      </c>
      <c r="BF2216" s="1" t="str">
        <f>HYPERLINK("http://dx.doi.org/10.3390/w12010032","http://dx.doi.org/10.3390/w12010032")</f>
        <v>http://dx.doi.org/10.3390/w12010032</v>
      </c>
      <c r="BG2216" s="1" t="s">
        <v>74</v>
      </c>
      <c r="BH2216" s="1" t="s">
        <v>74</v>
      </c>
      <c r="BI2216" s="1">
        <v>20</v>
      </c>
      <c r="BJ2216" s="1" t="s">
        <v>6623</v>
      </c>
      <c r="BK2216" s="1" t="s">
        <v>96</v>
      </c>
      <c r="BL2216" s="1" t="s">
        <v>6624</v>
      </c>
      <c r="BM2216" s="1" t="s">
        <v>35594</v>
      </c>
      <c r="BN2216" s="1" t="s">
        <v>74</v>
      </c>
      <c r="BO2216" s="1" t="s">
        <v>550</v>
      </c>
      <c r="BP2216" s="1" t="s">
        <v>74</v>
      </c>
      <c r="BQ2216" s="1" t="s">
        <v>74</v>
      </c>
      <c r="BR2216" s="1" t="s">
        <v>98</v>
      </c>
      <c r="BS2216" s="1" t="s">
        <v>35595</v>
      </c>
      <c r="BT2216" s="1" t="str">
        <f>HYPERLINK("https%3A%2F%2Fwww.webofscience.com%2Fwos%2Fwoscc%2Ffull-record%2FWOS:000519847200032","View Full Record in Web of Science")</f>
        <v>View Full Record in Web of Science</v>
      </c>
      <c r="BU2216" s="1"/>
      <c r="BV2216" s="1"/>
    </row>
    <row r="2217" spans="1:74">
      <c r="A2217" s="1" t="s">
        <v>72</v>
      </c>
      <c r="B2217" s="1" t="s">
        <v>35596</v>
      </c>
      <c r="C2217" s="1" t="s">
        <v>74</v>
      </c>
      <c r="D2217" s="1" t="s">
        <v>74</v>
      </c>
      <c r="E2217" s="1" t="s">
        <v>74</v>
      </c>
      <c r="F2217" s="1" t="s">
        <v>35597</v>
      </c>
      <c r="G2217" s="1" t="s">
        <v>74</v>
      </c>
      <c r="H2217" s="1" t="s">
        <v>74</v>
      </c>
      <c r="I2217" s="1" t="s">
        <v>35598</v>
      </c>
      <c r="J2217" s="1" t="s">
        <v>204</v>
      </c>
      <c r="K2217" s="1" t="s">
        <v>74</v>
      </c>
      <c r="L2217" s="1" t="s">
        <v>74</v>
      </c>
      <c r="M2217" s="1" t="s">
        <v>78</v>
      </c>
      <c r="N2217" s="1" t="s">
        <v>79</v>
      </c>
      <c r="O2217" s="1" t="s">
        <v>74</v>
      </c>
      <c r="P2217" s="1" t="s">
        <v>74</v>
      </c>
      <c r="Q2217" s="1" t="s">
        <v>74</v>
      </c>
      <c r="R2217" s="1" t="s">
        <v>74</v>
      </c>
      <c r="S2217" s="1" t="s">
        <v>74</v>
      </c>
      <c r="T2217" s="1" t="s">
        <v>35599</v>
      </c>
      <c r="U2217" s="1" t="s">
        <v>35600</v>
      </c>
      <c r="V2217" s="1" t="s">
        <v>35601</v>
      </c>
      <c r="W2217" s="1" t="s">
        <v>35602</v>
      </c>
      <c r="X2217" s="1" t="s">
        <v>35603</v>
      </c>
      <c r="Y2217" s="1" t="s">
        <v>35604</v>
      </c>
      <c r="Z2217" s="1" t="s">
        <v>35605</v>
      </c>
      <c r="AA2217" s="1" t="s">
        <v>35606</v>
      </c>
      <c r="AB2217" s="1" t="s">
        <v>35607</v>
      </c>
      <c r="AC2217" s="1" t="s">
        <v>35608</v>
      </c>
      <c r="AD2217" s="1" t="s">
        <v>35609</v>
      </c>
      <c r="AE2217" s="1" t="s">
        <v>6877</v>
      </c>
      <c r="AF2217" s="1" t="s">
        <v>74</v>
      </c>
      <c r="AG2217" s="1">
        <v>76</v>
      </c>
      <c r="AH2217" s="1">
        <v>16</v>
      </c>
      <c r="AI2217" s="1">
        <v>18</v>
      </c>
      <c r="AJ2217" s="1">
        <v>1</v>
      </c>
      <c r="AK2217" s="1">
        <v>19</v>
      </c>
      <c r="AL2217" s="1" t="s">
        <v>217</v>
      </c>
      <c r="AM2217" s="1" t="s">
        <v>218</v>
      </c>
      <c r="AN2217" s="1" t="s">
        <v>219</v>
      </c>
      <c r="AO2217" s="1" t="s">
        <v>220</v>
      </c>
      <c r="AP2217" s="1" t="s">
        <v>221</v>
      </c>
      <c r="AQ2217" s="1" t="s">
        <v>74</v>
      </c>
      <c r="AR2217" s="1" t="s">
        <v>222</v>
      </c>
      <c r="AS2217" s="1" t="s">
        <v>223</v>
      </c>
      <c r="AT2217" s="1" t="s">
        <v>267</v>
      </c>
      <c r="AU2217" s="1">
        <v>2018</v>
      </c>
      <c r="AV2217" s="1">
        <v>25</v>
      </c>
      <c r="AW2217" s="1">
        <v>28</v>
      </c>
      <c r="AX2217" s="1" t="s">
        <v>74</v>
      </c>
      <c r="AY2217" s="1" t="s">
        <v>74</v>
      </c>
      <c r="AZ2217" s="1" t="s">
        <v>225</v>
      </c>
      <c r="BA2217" s="1" t="s">
        <v>74</v>
      </c>
      <c r="BB2217" s="1">
        <v>28248</v>
      </c>
      <c r="BC2217" s="1">
        <v>28263</v>
      </c>
      <c r="BD2217" s="1" t="s">
        <v>74</v>
      </c>
      <c r="BE2217" s="1" t="s">
        <v>35610</v>
      </c>
      <c r="BF2217" s="1" t="str">
        <f>HYPERLINK("http://dx.doi.org/10.1007/s11356-018-2855-8","http://dx.doi.org/10.1007/s11356-018-2855-8")</f>
        <v>http://dx.doi.org/10.1007/s11356-018-2855-8</v>
      </c>
      <c r="BG2217" s="1" t="s">
        <v>74</v>
      </c>
      <c r="BH2217" s="1" t="s">
        <v>74</v>
      </c>
      <c r="BI2217" s="1">
        <v>16</v>
      </c>
      <c r="BJ2217" s="1" t="s">
        <v>144</v>
      </c>
      <c r="BK2217" s="1" t="s">
        <v>96</v>
      </c>
      <c r="BL2217" s="1" t="s">
        <v>145</v>
      </c>
      <c r="BM2217" s="1" t="s">
        <v>35611</v>
      </c>
      <c r="BN2217" s="1">
        <v>30076549</v>
      </c>
      <c r="BO2217" s="1" t="s">
        <v>74</v>
      </c>
      <c r="BP2217" s="1" t="s">
        <v>74</v>
      </c>
      <c r="BQ2217" s="1" t="s">
        <v>74</v>
      </c>
      <c r="BR2217" s="1" t="s">
        <v>98</v>
      </c>
      <c r="BS2217" s="1" t="s">
        <v>35612</v>
      </c>
      <c r="BT2217" s="1" t="str">
        <f>HYPERLINK("https%3A%2F%2Fwww.webofscience.com%2Fwos%2Fwoscc%2Ffull-record%2FWOS:000445215500050","View Full Record in Web of Science")</f>
        <v>View Full Record in Web of Science</v>
      </c>
      <c r="BU2217" s="1"/>
      <c r="BV2217" s="1"/>
    </row>
    <row r="2218" spans="1:74">
      <c r="A2218" s="1" t="s">
        <v>72</v>
      </c>
      <c r="B2218" s="1" t="s">
        <v>35613</v>
      </c>
      <c r="C2218" s="1" t="s">
        <v>74</v>
      </c>
      <c r="D2218" s="1" t="s">
        <v>74</v>
      </c>
      <c r="E2218" s="1" t="s">
        <v>74</v>
      </c>
      <c r="F2218" s="1" t="s">
        <v>35614</v>
      </c>
      <c r="G2218" s="1" t="s">
        <v>74</v>
      </c>
      <c r="H2218" s="1" t="s">
        <v>74</v>
      </c>
      <c r="I2218" s="1" t="s">
        <v>35615</v>
      </c>
      <c r="J2218" s="1" t="s">
        <v>179</v>
      </c>
      <c r="K2218" s="1" t="s">
        <v>74</v>
      </c>
      <c r="L2218" s="1" t="s">
        <v>74</v>
      </c>
      <c r="M2218" s="1" t="s">
        <v>78</v>
      </c>
      <c r="N2218" s="1" t="s">
        <v>79</v>
      </c>
      <c r="O2218" s="1" t="s">
        <v>74</v>
      </c>
      <c r="P2218" s="1" t="s">
        <v>74</v>
      </c>
      <c r="Q2218" s="1" t="s">
        <v>74</v>
      </c>
      <c r="R2218" s="1" t="s">
        <v>74</v>
      </c>
      <c r="S2218" s="1" t="s">
        <v>74</v>
      </c>
      <c r="T2218" s="1" t="s">
        <v>35616</v>
      </c>
      <c r="U2218" s="1" t="s">
        <v>35617</v>
      </c>
      <c r="V2218" s="1" t="s">
        <v>35618</v>
      </c>
      <c r="W2218" s="1" t="s">
        <v>35619</v>
      </c>
      <c r="X2218" s="1" t="s">
        <v>14228</v>
      </c>
      <c r="Y2218" s="1" t="s">
        <v>35620</v>
      </c>
      <c r="Z2218" s="1" t="s">
        <v>35621</v>
      </c>
      <c r="AA2218" s="1" t="s">
        <v>35622</v>
      </c>
      <c r="AB2218" s="1" t="s">
        <v>35623</v>
      </c>
      <c r="AC2218" s="1" t="s">
        <v>74</v>
      </c>
      <c r="AD2218" s="1" t="s">
        <v>74</v>
      </c>
      <c r="AE2218" s="1" t="s">
        <v>74</v>
      </c>
      <c r="AF2218" s="1" t="s">
        <v>74</v>
      </c>
      <c r="AG2218" s="1">
        <v>64</v>
      </c>
      <c r="AH2218" s="1">
        <v>4</v>
      </c>
      <c r="AI2218" s="1">
        <v>7</v>
      </c>
      <c r="AJ2218" s="1">
        <v>0</v>
      </c>
      <c r="AK2218" s="1">
        <v>9</v>
      </c>
      <c r="AL2218" s="1" t="s">
        <v>112</v>
      </c>
      <c r="AM2218" s="1" t="s">
        <v>191</v>
      </c>
      <c r="AN2218" s="1" t="s">
        <v>192</v>
      </c>
      <c r="AO2218" s="1" t="s">
        <v>193</v>
      </c>
      <c r="AP2218" s="1" t="s">
        <v>194</v>
      </c>
      <c r="AQ2218" s="1" t="s">
        <v>74</v>
      </c>
      <c r="AR2218" s="1" t="s">
        <v>195</v>
      </c>
      <c r="AS2218" s="1" t="s">
        <v>196</v>
      </c>
      <c r="AT2218" s="1" t="s">
        <v>224</v>
      </c>
      <c r="AU2218" s="1">
        <v>2019</v>
      </c>
      <c r="AV2218" s="1">
        <v>191</v>
      </c>
      <c r="AW2218" s="1">
        <v>2</v>
      </c>
      <c r="AX2218" s="1" t="s">
        <v>74</v>
      </c>
      <c r="AY2218" s="1" t="s">
        <v>74</v>
      </c>
      <c r="AZ2218" s="1" t="s">
        <v>74</v>
      </c>
      <c r="BA2218" s="1" t="s">
        <v>74</v>
      </c>
      <c r="BB2218" s="1" t="s">
        <v>74</v>
      </c>
      <c r="BC2218" s="1" t="s">
        <v>74</v>
      </c>
      <c r="BD2218" s="1">
        <v>60</v>
      </c>
      <c r="BE2218" s="1" t="s">
        <v>35624</v>
      </c>
      <c r="BF2218" s="1" t="str">
        <f>HYPERLINK("http://dx.doi.org/10.1007/s10661-019-7189-6","http://dx.doi.org/10.1007/s10661-019-7189-6")</f>
        <v>http://dx.doi.org/10.1007/s10661-019-7189-6</v>
      </c>
      <c r="BG2218" s="1" t="s">
        <v>74</v>
      </c>
      <c r="BH2218" s="1" t="s">
        <v>74</v>
      </c>
      <c r="BI2218" s="1">
        <v>10</v>
      </c>
      <c r="BJ2218" s="1" t="s">
        <v>144</v>
      </c>
      <c r="BK2218" s="1" t="s">
        <v>96</v>
      </c>
      <c r="BL2218" s="1" t="s">
        <v>145</v>
      </c>
      <c r="BM2218" s="1" t="s">
        <v>35625</v>
      </c>
      <c r="BN2218" s="1">
        <v>30631961</v>
      </c>
      <c r="BO2218" s="1" t="s">
        <v>74</v>
      </c>
      <c r="BP2218" s="1" t="s">
        <v>74</v>
      </c>
      <c r="BQ2218" s="1" t="s">
        <v>74</v>
      </c>
      <c r="BR2218" s="1" t="s">
        <v>98</v>
      </c>
      <c r="BS2218" s="1" t="s">
        <v>35626</v>
      </c>
      <c r="BT2218" s="1" t="str">
        <f>HYPERLINK("https%3A%2F%2Fwww.webofscience.com%2Fwos%2Fwoscc%2Ffull-record%2FWOS:000455508600001","View Full Record in Web of Science")</f>
        <v>View Full Record in Web of Science</v>
      </c>
      <c r="BU2218" s="1"/>
      <c r="BV2218" s="1"/>
    </row>
    <row r="2219" spans="1:74">
      <c r="A2219" s="1" t="s">
        <v>72</v>
      </c>
      <c r="B2219" s="1" t="s">
        <v>35627</v>
      </c>
      <c r="C2219" s="1" t="s">
        <v>74</v>
      </c>
      <c r="D2219" s="1" t="s">
        <v>74</v>
      </c>
      <c r="E2219" s="1" t="s">
        <v>74</v>
      </c>
      <c r="F2219" s="1" t="s">
        <v>35628</v>
      </c>
      <c r="G2219" s="1" t="s">
        <v>74</v>
      </c>
      <c r="H2219" s="1" t="s">
        <v>74</v>
      </c>
      <c r="I2219" s="1" t="s">
        <v>35629</v>
      </c>
      <c r="J2219" s="1" t="s">
        <v>3926</v>
      </c>
      <c r="K2219" s="1" t="s">
        <v>74</v>
      </c>
      <c r="L2219" s="1" t="s">
        <v>74</v>
      </c>
      <c r="M2219" s="1" t="s">
        <v>78</v>
      </c>
      <c r="N2219" s="1" t="s">
        <v>79</v>
      </c>
      <c r="O2219" s="1" t="s">
        <v>74</v>
      </c>
      <c r="P2219" s="1" t="s">
        <v>74</v>
      </c>
      <c r="Q2219" s="1" t="s">
        <v>74</v>
      </c>
      <c r="R2219" s="1" t="s">
        <v>74</v>
      </c>
      <c r="S2219" s="1" t="s">
        <v>74</v>
      </c>
      <c r="T2219" s="1" t="s">
        <v>35630</v>
      </c>
      <c r="U2219" s="1" t="s">
        <v>35631</v>
      </c>
      <c r="V2219" s="1" t="s">
        <v>35632</v>
      </c>
      <c r="W2219" s="1" t="s">
        <v>35633</v>
      </c>
      <c r="X2219" s="1" t="s">
        <v>35634</v>
      </c>
      <c r="Y2219" s="1" t="s">
        <v>35635</v>
      </c>
      <c r="Z2219" s="1" t="s">
        <v>6919</v>
      </c>
      <c r="AA2219" s="1" t="s">
        <v>35636</v>
      </c>
      <c r="AB2219" s="1" t="s">
        <v>35637</v>
      </c>
      <c r="AC2219" s="1" t="s">
        <v>74</v>
      </c>
      <c r="AD2219" s="1" t="s">
        <v>74</v>
      </c>
      <c r="AE2219" s="1" t="s">
        <v>74</v>
      </c>
      <c r="AF2219" s="1" t="s">
        <v>74</v>
      </c>
      <c r="AG2219" s="1">
        <v>32</v>
      </c>
      <c r="AH2219" s="1">
        <v>28</v>
      </c>
      <c r="AI2219" s="1">
        <v>30</v>
      </c>
      <c r="AJ2219" s="1">
        <v>1</v>
      </c>
      <c r="AK2219" s="1">
        <v>16</v>
      </c>
      <c r="AL2219" s="1" t="s">
        <v>650</v>
      </c>
      <c r="AM2219" s="1" t="s">
        <v>651</v>
      </c>
      <c r="AN2219" s="1" t="s">
        <v>652</v>
      </c>
      <c r="AO2219" s="1" t="s">
        <v>3939</v>
      </c>
      <c r="AP2219" s="1" t="s">
        <v>3940</v>
      </c>
      <c r="AQ2219" s="1" t="s">
        <v>74</v>
      </c>
      <c r="AR2219" s="1" t="s">
        <v>3926</v>
      </c>
      <c r="AS2219" s="1" t="s">
        <v>3941</v>
      </c>
      <c r="AT2219" s="1" t="s">
        <v>20087</v>
      </c>
      <c r="AU2219" s="1">
        <v>2006</v>
      </c>
      <c r="AV2219" s="1">
        <v>257</v>
      </c>
      <c r="AW2219" s="1" t="s">
        <v>721</v>
      </c>
      <c r="AX2219" s="1" t="s">
        <v>74</v>
      </c>
      <c r="AY2219" s="1" t="s">
        <v>74</v>
      </c>
      <c r="AZ2219" s="1" t="s">
        <v>74</v>
      </c>
      <c r="BA2219" s="1" t="s">
        <v>74</v>
      </c>
      <c r="BB2219" s="1">
        <v>321</v>
      </c>
      <c r="BC2219" s="1">
        <v>332</v>
      </c>
      <c r="BD2219" s="1" t="s">
        <v>74</v>
      </c>
      <c r="BE2219" s="1" t="s">
        <v>35638</v>
      </c>
      <c r="BF2219" s="1" t="str">
        <f>HYPERLINK("http://dx.doi.org/10.1016/j.aquaculture.2006.02.076","http://dx.doi.org/10.1016/j.aquaculture.2006.02.076")</f>
        <v>http://dx.doi.org/10.1016/j.aquaculture.2006.02.076</v>
      </c>
      <c r="BG2219" s="1" t="s">
        <v>74</v>
      </c>
      <c r="BH2219" s="1" t="s">
        <v>74</v>
      </c>
      <c r="BI2219" s="1">
        <v>12</v>
      </c>
      <c r="BJ2219" s="1" t="s">
        <v>2391</v>
      </c>
      <c r="BK2219" s="1" t="s">
        <v>96</v>
      </c>
      <c r="BL2219" s="1" t="s">
        <v>2391</v>
      </c>
      <c r="BM2219" s="1" t="s">
        <v>35639</v>
      </c>
      <c r="BN2219" s="1" t="s">
        <v>74</v>
      </c>
      <c r="BO2219" s="1" t="s">
        <v>1752</v>
      </c>
      <c r="BP2219" s="1" t="s">
        <v>74</v>
      </c>
      <c r="BQ2219" s="1" t="s">
        <v>74</v>
      </c>
      <c r="BR2219" s="1" t="s">
        <v>98</v>
      </c>
      <c r="BS2219" s="1" t="s">
        <v>35640</v>
      </c>
      <c r="BT2219" s="1" t="str">
        <f>HYPERLINK("https%3A%2F%2Fwww.webofscience.com%2Fwos%2Fwoscc%2Ffull-record%2FWOS:000238457000038","View Full Record in Web of Science")</f>
        <v>View Full Record in Web of Science</v>
      </c>
      <c r="BU2219" s="1"/>
      <c r="BV2219" s="1"/>
    </row>
    <row r="2220" spans="1:74">
      <c r="A2220" s="1" t="s">
        <v>72</v>
      </c>
      <c r="B2220" s="1" t="s">
        <v>35641</v>
      </c>
      <c r="C2220" s="1" t="s">
        <v>74</v>
      </c>
      <c r="D2220" s="1" t="s">
        <v>74</v>
      </c>
      <c r="E2220" s="1" t="s">
        <v>74</v>
      </c>
      <c r="F2220" s="1" t="s">
        <v>35642</v>
      </c>
      <c r="G2220" s="1" t="s">
        <v>74</v>
      </c>
      <c r="H2220" s="1" t="s">
        <v>74</v>
      </c>
      <c r="I2220" s="1" t="s">
        <v>35643</v>
      </c>
      <c r="J2220" s="1" t="s">
        <v>421</v>
      </c>
      <c r="K2220" s="1" t="s">
        <v>74</v>
      </c>
      <c r="L2220" s="1" t="s">
        <v>74</v>
      </c>
      <c r="M2220" s="1" t="s">
        <v>78</v>
      </c>
      <c r="N2220" s="1" t="s">
        <v>79</v>
      </c>
      <c r="O2220" s="1" t="s">
        <v>74</v>
      </c>
      <c r="P2220" s="1" t="s">
        <v>74</v>
      </c>
      <c r="Q2220" s="1" t="s">
        <v>74</v>
      </c>
      <c r="R2220" s="1" t="s">
        <v>74</v>
      </c>
      <c r="S2220" s="1" t="s">
        <v>74</v>
      </c>
      <c r="T2220" s="1" t="s">
        <v>35644</v>
      </c>
      <c r="U2220" s="1" t="s">
        <v>35645</v>
      </c>
      <c r="V2220" s="1" t="s">
        <v>35646</v>
      </c>
      <c r="W2220" s="1" t="s">
        <v>35647</v>
      </c>
      <c r="X2220" s="1" t="s">
        <v>31311</v>
      </c>
      <c r="Y2220" s="1" t="s">
        <v>35648</v>
      </c>
      <c r="Z2220" s="1" t="s">
        <v>35649</v>
      </c>
      <c r="AA2220" s="1" t="s">
        <v>74</v>
      </c>
      <c r="AB2220" s="1" t="s">
        <v>74</v>
      </c>
      <c r="AC2220" s="1" t="s">
        <v>74</v>
      </c>
      <c r="AD2220" s="1" t="s">
        <v>74</v>
      </c>
      <c r="AE2220" s="1" t="s">
        <v>74</v>
      </c>
      <c r="AF2220" s="1" t="s">
        <v>74</v>
      </c>
      <c r="AG2220" s="1">
        <v>95</v>
      </c>
      <c r="AH2220" s="1">
        <v>7</v>
      </c>
      <c r="AI2220" s="1">
        <v>7</v>
      </c>
      <c r="AJ2220" s="1">
        <v>1</v>
      </c>
      <c r="AK2220" s="1">
        <v>26</v>
      </c>
      <c r="AL2220" s="1" t="s">
        <v>430</v>
      </c>
      <c r="AM2220" s="1" t="s">
        <v>137</v>
      </c>
      <c r="AN2220" s="1" t="s">
        <v>431</v>
      </c>
      <c r="AO2220" s="1" t="s">
        <v>432</v>
      </c>
      <c r="AP2220" s="1" t="s">
        <v>1394</v>
      </c>
      <c r="AQ2220" s="1" t="s">
        <v>74</v>
      </c>
      <c r="AR2220" s="1" t="s">
        <v>433</v>
      </c>
      <c r="AS2220" s="1" t="s">
        <v>434</v>
      </c>
      <c r="AT2220" s="1" t="s">
        <v>305</v>
      </c>
      <c r="AU2220" s="1">
        <v>2019</v>
      </c>
      <c r="AV2220" s="1">
        <v>252</v>
      </c>
      <c r="AW2220" s="1" t="s">
        <v>74</v>
      </c>
      <c r="AX2220" s="1" t="s">
        <v>489</v>
      </c>
      <c r="AY2220" s="1" t="s">
        <v>74</v>
      </c>
      <c r="AZ2220" s="1" t="s">
        <v>74</v>
      </c>
      <c r="BA2220" s="1" t="s">
        <v>74</v>
      </c>
      <c r="BB2220" s="1">
        <v>813</v>
      </c>
      <c r="BC2220" s="1">
        <v>824</v>
      </c>
      <c r="BD2220" s="1" t="s">
        <v>74</v>
      </c>
      <c r="BE2220" s="1" t="s">
        <v>35650</v>
      </c>
      <c r="BF2220" s="1" t="str">
        <f>HYPERLINK("http://dx.doi.org/10.1016/j.envpol.2019.05.131","http://dx.doi.org/10.1016/j.envpol.2019.05.131")</f>
        <v>http://dx.doi.org/10.1016/j.envpol.2019.05.131</v>
      </c>
      <c r="BG2220" s="1" t="s">
        <v>74</v>
      </c>
      <c r="BH2220" s="1" t="s">
        <v>74</v>
      </c>
      <c r="BI2220" s="1">
        <v>12</v>
      </c>
      <c r="BJ2220" s="1" t="s">
        <v>144</v>
      </c>
      <c r="BK2220" s="1" t="s">
        <v>96</v>
      </c>
      <c r="BL2220" s="1" t="s">
        <v>145</v>
      </c>
      <c r="BM2220" s="1" t="s">
        <v>34427</v>
      </c>
      <c r="BN2220" s="1">
        <v>31200207</v>
      </c>
      <c r="BO2220" s="1" t="s">
        <v>74</v>
      </c>
      <c r="BP2220" s="1" t="s">
        <v>74</v>
      </c>
      <c r="BQ2220" s="1" t="s">
        <v>74</v>
      </c>
      <c r="BR2220" s="1" t="s">
        <v>98</v>
      </c>
      <c r="BS2220" s="1" t="s">
        <v>35651</v>
      </c>
      <c r="BT2220" s="1" t="str">
        <f>HYPERLINK("https%3A%2F%2Fwww.webofscience.com%2Fwos%2Fwoscc%2Ffull-record%2FWOS:000483005500087","View Full Record in Web of Science")</f>
        <v>View Full Record in Web of Science</v>
      </c>
      <c r="BU2220" s="1"/>
      <c r="BV2220" s="1"/>
    </row>
    <row r="2221" spans="1:74">
      <c r="A2221" s="1" t="s">
        <v>72</v>
      </c>
      <c r="B2221" s="1" t="s">
        <v>35652</v>
      </c>
      <c r="C2221" s="1" t="s">
        <v>74</v>
      </c>
      <c r="D2221" s="1" t="s">
        <v>74</v>
      </c>
      <c r="E2221" s="1" t="s">
        <v>74</v>
      </c>
      <c r="F2221" s="1" t="s">
        <v>35652</v>
      </c>
      <c r="G2221" s="1" t="s">
        <v>74</v>
      </c>
      <c r="H2221" s="1" t="s">
        <v>74</v>
      </c>
      <c r="I2221" s="1" t="s">
        <v>35653</v>
      </c>
      <c r="J2221" s="1" t="s">
        <v>998</v>
      </c>
      <c r="K2221" s="1" t="s">
        <v>74</v>
      </c>
      <c r="L2221" s="1" t="s">
        <v>74</v>
      </c>
      <c r="M2221" s="1" t="s">
        <v>78</v>
      </c>
      <c r="N2221" s="1" t="s">
        <v>79</v>
      </c>
      <c r="O2221" s="1" t="s">
        <v>74</v>
      </c>
      <c r="P2221" s="1" t="s">
        <v>74</v>
      </c>
      <c r="Q2221" s="1" t="s">
        <v>74</v>
      </c>
      <c r="R2221" s="1" t="s">
        <v>74</v>
      </c>
      <c r="S2221" s="1" t="s">
        <v>74</v>
      </c>
      <c r="T2221" s="1" t="s">
        <v>74</v>
      </c>
      <c r="U2221" s="1" t="s">
        <v>35654</v>
      </c>
      <c r="V2221" s="1" t="s">
        <v>35655</v>
      </c>
      <c r="W2221" s="1" t="s">
        <v>35656</v>
      </c>
      <c r="X2221" s="1" t="s">
        <v>35657</v>
      </c>
      <c r="Y2221" s="1" t="s">
        <v>35658</v>
      </c>
      <c r="Z2221" s="1" t="s">
        <v>74</v>
      </c>
      <c r="AA2221" s="1" t="s">
        <v>20314</v>
      </c>
      <c r="AB2221" s="1" t="s">
        <v>13552</v>
      </c>
      <c r="AC2221" s="1" t="s">
        <v>74</v>
      </c>
      <c r="AD2221" s="1" t="s">
        <v>74</v>
      </c>
      <c r="AE2221" s="1" t="s">
        <v>74</v>
      </c>
      <c r="AF2221" s="1" t="s">
        <v>74</v>
      </c>
      <c r="AG2221" s="1">
        <v>44</v>
      </c>
      <c r="AH2221" s="1">
        <v>45</v>
      </c>
      <c r="AI2221" s="1">
        <v>49</v>
      </c>
      <c r="AJ2221" s="1">
        <v>0</v>
      </c>
      <c r="AK2221" s="1">
        <v>9</v>
      </c>
      <c r="AL2221" s="1" t="s">
        <v>112</v>
      </c>
      <c r="AM2221" s="1" t="s">
        <v>113</v>
      </c>
      <c r="AN2221" s="1" t="s">
        <v>469</v>
      </c>
      <c r="AO2221" s="1" t="s">
        <v>1009</v>
      </c>
      <c r="AP2221" s="1" t="s">
        <v>74</v>
      </c>
      <c r="AQ2221" s="1" t="s">
        <v>74</v>
      </c>
      <c r="AR2221" s="1" t="s">
        <v>1010</v>
      </c>
      <c r="AS2221" s="1" t="s">
        <v>1011</v>
      </c>
      <c r="AT2221" s="1" t="s">
        <v>224</v>
      </c>
      <c r="AU2221" s="1">
        <v>1998</v>
      </c>
      <c r="AV2221" s="1">
        <v>34</v>
      </c>
      <c r="AW2221" s="1">
        <v>2</v>
      </c>
      <c r="AX2221" s="1" t="s">
        <v>74</v>
      </c>
      <c r="AY2221" s="1" t="s">
        <v>74</v>
      </c>
      <c r="AZ2221" s="1" t="s">
        <v>74</v>
      </c>
      <c r="BA2221" s="1" t="s">
        <v>74</v>
      </c>
      <c r="BB2221" s="1">
        <v>167</v>
      </c>
      <c r="BC2221" s="1">
        <v>176</v>
      </c>
      <c r="BD2221" s="1" t="s">
        <v>74</v>
      </c>
      <c r="BE2221" s="1" t="s">
        <v>35659</v>
      </c>
      <c r="BF2221" s="1" t="str">
        <f>HYPERLINK("http://dx.doi.org/10.1007/s002449900301","http://dx.doi.org/10.1007/s002449900301")</f>
        <v>http://dx.doi.org/10.1007/s002449900301</v>
      </c>
      <c r="BG2221" s="1" t="s">
        <v>74</v>
      </c>
      <c r="BH2221" s="1" t="s">
        <v>74</v>
      </c>
      <c r="BI2221" s="1">
        <v>10</v>
      </c>
      <c r="BJ2221" s="1" t="s">
        <v>121</v>
      </c>
      <c r="BK2221" s="1" t="s">
        <v>96</v>
      </c>
      <c r="BL2221" s="1" t="s">
        <v>122</v>
      </c>
      <c r="BM2221" s="1" t="s">
        <v>35660</v>
      </c>
      <c r="BN2221" s="1">
        <v>9469859</v>
      </c>
      <c r="BO2221" s="1" t="s">
        <v>74</v>
      </c>
      <c r="BP2221" s="1" t="s">
        <v>74</v>
      </c>
      <c r="BQ2221" s="1" t="s">
        <v>74</v>
      </c>
      <c r="BR2221" s="1" t="s">
        <v>98</v>
      </c>
      <c r="BS2221" s="1" t="s">
        <v>35661</v>
      </c>
      <c r="BT2221" s="1" t="str">
        <f>HYPERLINK("https%3A%2F%2Fwww.webofscience.com%2Fwos%2Fwoscc%2Ffull-record%2FWOS:000071702400008","View Full Record in Web of Science")</f>
        <v>View Full Record in Web of Science</v>
      </c>
      <c r="BU2221" s="1"/>
      <c r="BV2221" s="1"/>
    </row>
    <row r="2222" spans="1:74">
      <c r="A2222" s="1" t="s">
        <v>72</v>
      </c>
      <c r="B2222" s="1" t="s">
        <v>35662</v>
      </c>
      <c r="C2222" s="1" t="s">
        <v>74</v>
      </c>
      <c r="D2222" s="1" t="s">
        <v>74</v>
      </c>
      <c r="E2222" s="1" t="s">
        <v>74</v>
      </c>
      <c r="F2222" s="1" t="s">
        <v>35663</v>
      </c>
      <c r="G2222" s="1" t="s">
        <v>74</v>
      </c>
      <c r="H2222" s="1" t="s">
        <v>74</v>
      </c>
      <c r="I2222" s="1" t="s">
        <v>35664</v>
      </c>
      <c r="J2222" s="1" t="s">
        <v>395</v>
      </c>
      <c r="K2222" s="1" t="s">
        <v>74</v>
      </c>
      <c r="L2222" s="1" t="s">
        <v>74</v>
      </c>
      <c r="M2222" s="1" t="s">
        <v>78</v>
      </c>
      <c r="N2222" s="1" t="s">
        <v>79</v>
      </c>
      <c r="O2222" s="1" t="s">
        <v>74</v>
      </c>
      <c r="P2222" s="1" t="s">
        <v>74</v>
      </c>
      <c r="Q2222" s="1" t="s">
        <v>74</v>
      </c>
      <c r="R2222" s="1" t="s">
        <v>74</v>
      </c>
      <c r="S2222" s="1" t="s">
        <v>74</v>
      </c>
      <c r="T2222" s="1" t="s">
        <v>35665</v>
      </c>
      <c r="U2222" s="1" t="s">
        <v>35666</v>
      </c>
      <c r="V2222" s="1" t="s">
        <v>35667</v>
      </c>
      <c r="W2222" s="1" t="s">
        <v>35668</v>
      </c>
      <c r="X2222" s="1" t="s">
        <v>12390</v>
      </c>
      <c r="Y2222" s="1" t="s">
        <v>35669</v>
      </c>
      <c r="Z2222" s="1" t="s">
        <v>12392</v>
      </c>
      <c r="AA2222" s="1" t="s">
        <v>12635</v>
      </c>
      <c r="AB2222" s="1" t="s">
        <v>74</v>
      </c>
      <c r="AC2222" s="1" t="s">
        <v>35670</v>
      </c>
      <c r="AD2222" s="1" t="s">
        <v>35671</v>
      </c>
      <c r="AE2222" s="1" t="s">
        <v>35672</v>
      </c>
      <c r="AF2222" s="1" t="s">
        <v>74</v>
      </c>
      <c r="AG2222" s="1">
        <v>31</v>
      </c>
      <c r="AH2222" s="1">
        <v>7</v>
      </c>
      <c r="AI2222" s="1">
        <v>9</v>
      </c>
      <c r="AJ2222" s="1">
        <v>0</v>
      </c>
      <c r="AK2222" s="1">
        <v>21</v>
      </c>
      <c r="AL2222" s="1" t="s">
        <v>408</v>
      </c>
      <c r="AM2222" s="1" t="s">
        <v>409</v>
      </c>
      <c r="AN2222" s="1" t="s">
        <v>1188</v>
      </c>
      <c r="AO2222" s="1" t="s">
        <v>411</v>
      </c>
      <c r="AP2222" s="1" t="s">
        <v>6093</v>
      </c>
      <c r="AQ2222" s="1" t="s">
        <v>74</v>
      </c>
      <c r="AR2222" s="1" t="s">
        <v>412</v>
      </c>
      <c r="AS2222" s="1" t="s">
        <v>413</v>
      </c>
      <c r="AT2222" s="1" t="s">
        <v>74</v>
      </c>
      <c r="AU2222" s="1">
        <v>2009</v>
      </c>
      <c r="AV2222" s="1">
        <v>44</v>
      </c>
      <c r="AW2222" s="1">
        <v>14</v>
      </c>
      <c r="AX2222" s="1" t="s">
        <v>74</v>
      </c>
      <c r="AY2222" s="1" t="s">
        <v>74</v>
      </c>
      <c r="AZ2222" s="1" t="s">
        <v>74</v>
      </c>
      <c r="BA2222" s="1" t="s">
        <v>74</v>
      </c>
      <c r="BB2222" s="1">
        <v>1503</v>
      </c>
      <c r="BC2222" s="1">
        <v>1511</v>
      </c>
      <c r="BD2222" s="1" t="s">
        <v>74</v>
      </c>
      <c r="BE2222" s="1" t="s">
        <v>35673</v>
      </c>
      <c r="BF2222" s="1" t="str">
        <f>HYPERLINK("http://dx.doi.org/10.1080/10934520903263280","http://dx.doi.org/10.1080/10934520903263280")</f>
        <v>http://dx.doi.org/10.1080/10934520903263280</v>
      </c>
      <c r="BG2222" s="1" t="s">
        <v>74</v>
      </c>
      <c r="BH2222" s="1" t="s">
        <v>74</v>
      </c>
      <c r="BI2222" s="1">
        <v>9</v>
      </c>
      <c r="BJ2222" s="1" t="s">
        <v>415</v>
      </c>
      <c r="BK2222" s="1" t="s">
        <v>96</v>
      </c>
      <c r="BL2222" s="1" t="s">
        <v>416</v>
      </c>
      <c r="BM2222" s="1" t="s">
        <v>35674</v>
      </c>
      <c r="BN2222" s="1">
        <v>20183507</v>
      </c>
      <c r="BO2222" s="1" t="s">
        <v>74</v>
      </c>
      <c r="BP2222" s="1" t="s">
        <v>74</v>
      </c>
      <c r="BQ2222" s="1" t="s">
        <v>74</v>
      </c>
      <c r="BR2222" s="1" t="s">
        <v>98</v>
      </c>
      <c r="BS2222" s="1" t="s">
        <v>35675</v>
      </c>
      <c r="BT2222" s="1" t="str">
        <f>HYPERLINK("https%3A%2F%2Fwww.webofscience.com%2Fwos%2Fwoscc%2Ffull-record%2FWOS:000271611300003","View Full Record in Web of Science")</f>
        <v>View Full Record in Web of Science</v>
      </c>
      <c r="BU2222" s="1"/>
      <c r="BV2222" s="1"/>
    </row>
    <row r="2223" spans="1:74">
      <c r="A2223" s="1" t="s">
        <v>72</v>
      </c>
      <c r="B2223" s="1" t="s">
        <v>35676</v>
      </c>
      <c r="C2223" s="1" t="s">
        <v>74</v>
      </c>
      <c r="D2223" s="1" t="s">
        <v>74</v>
      </c>
      <c r="E2223" s="1" t="s">
        <v>74</v>
      </c>
      <c r="F2223" s="1" t="s">
        <v>35677</v>
      </c>
      <c r="G2223" s="1" t="s">
        <v>74</v>
      </c>
      <c r="H2223" s="1" t="s">
        <v>74</v>
      </c>
      <c r="I2223" s="1" t="s">
        <v>35678</v>
      </c>
      <c r="J2223" s="1" t="s">
        <v>3349</v>
      </c>
      <c r="K2223" s="1" t="s">
        <v>74</v>
      </c>
      <c r="L2223" s="1" t="s">
        <v>74</v>
      </c>
      <c r="M2223" s="1" t="s">
        <v>78</v>
      </c>
      <c r="N2223" s="1" t="s">
        <v>79</v>
      </c>
      <c r="O2223" s="1" t="s">
        <v>74</v>
      </c>
      <c r="P2223" s="1" t="s">
        <v>74</v>
      </c>
      <c r="Q2223" s="1" t="s">
        <v>74</v>
      </c>
      <c r="R2223" s="1" t="s">
        <v>74</v>
      </c>
      <c r="S2223" s="1" t="s">
        <v>74</v>
      </c>
      <c r="T2223" s="1" t="s">
        <v>35679</v>
      </c>
      <c r="U2223" s="1" t="s">
        <v>35680</v>
      </c>
      <c r="V2223" s="1" t="s">
        <v>35681</v>
      </c>
      <c r="W2223" s="1" t="s">
        <v>35682</v>
      </c>
      <c r="X2223" s="1" t="s">
        <v>35683</v>
      </c>
      <c r="Y2223" s="1" t="s">
        <v>35684</v>
      </c>
      <c r="Z2223" s="1" t="s">
        <v>33085</v>
      </c>
      <c r="AA2223" s="1" t="s">
        <v>35685</v>
      </c>
      <c r="AB2223" s="1" t="s">
        <v>31078</v>
      </c>
      <c r="AC2223" s="1" t="s">
        <v>35686</v>
      </c>
      <c r="AD2223" s="1" t="s">
        <v>35687</v>
      </c>
      <c r="AE2223" s="1" t="s">
        <v>35688</v>
      </c>
      <c r="AF2223" s="1" t="s">
        <v>74</v>
      </c>
      <c r="AG2223" s="1">
        <v>56</v>
      </c>
      <c r="AH2223" s="1">
        <v>37</v>
      </c>
      <c r="AI2223" s="1">
        <v>47</v>
      </c>
      <c r="AJ2223" s="1">
        <v>0</v>
      </c>
      <c r="AK2223" s="1">
        <v>24</v>
      </c>
      <c r="AL2223" s="1" t="s">
        <v>3362</v>
      </c>
      <c r="AM2223" s="1" t="s">
        <v>3363</v>
      </c>
      <c r="AN2223" s="1" t="s">
        <v>3364</v>
      </c>
      <c r="AO2223" s="1" t="s">
        <v>3365</v>
      </c>
      <c r="AP2223" s="1" t="s">
        <v>3366</v>
      </c>
      <c r="AQ2223" s="1" t="s">
        <v>74</v>
      </c>
      <c r="AR2223" s="1" t="s">
        <v>3367</v>
      </c>
      <c r="AS2223" s="1" t="s">
        <v>3368</v>
      </c>
      <c r="AT2223" s="1" t="s">
        <v>2257</v>
      </c>
      <c r="AU2223" s="1">
        <v>2012</v>
      </c>
      <c r="AV2223" s="1">
        <v>82</v>
      </c>
      <c r="AW2223" s="1" t="s">
        <v>74</v>
      </c>
      <c r="AX2223" s="1" t="s">
        <v>74</v>
      </c>
      <c r="AY2223" s="1" t="s">
        <v>74</v>
      </c>
      <c r="AZ2223" s="1" t="s">
        <v>74</v>
      </c>
      <c r="BA2223" s="1" t="s">
        <v>74</v>
      </c>
      <c r="BB2223" s="1">
        <v>40</v>
      </c>
      <c r="BC2223" s="1">
        <v>46</v>
      </c>
      <c r="BD2223" s="1" t="s">
        <v>74</v>
      </c>
      <c r="BE2223" s="1" t="s">
        <v>35689</v>
      </c>
      <c r="BF2223" s="1" t="str">
        <f>HYPERLINK("http://dx.doi.org/10.1016/j.ecoenv.2012.05.008","http://dx.doi.org/10.1016/j.ecoenv.2012.05.008")</f>
        <v>http://dx.doi.org/10.1016/j.ecoenv.2012.05.008</v>
      </c>
      <c r="BG2223" s="1" t="s">
        <v>74</v>
      </c>
      <c r="BH2223" s="1" t="s">
        <v>74</v>
      </c>
      <c r="BI2223" s="1">
        <v>7</v>
      </c>
      <c r="BJ2223" s="1" t="s">
        <v>121</v>
      </c>
      <c r="BK2223" s="1" t="s">
        <v>96</v>
      </c>
      <c r="BL2223" s="1" t="s">
        <v>122</v>
      </c>
      <c r="BM2223" s="1" t="s">
        <v>35690</v>
      </c>
      <c r="BN2223" s="1">
        <v>22664226</v>
      </c>
      <c r="BO2223" s="1" t="s">
        <v>74</v>
      </c>
      <c r="BP2223" s="1" t="s">
        <v>74</v>
      </c>
      <c r="BQ2223" s="1" t="s">
        <v>74</v>
      </c>
      <c r="BR2223" s="1" t="s">
        <v>98</v>
      </c>
      <c r="BS2223" s="1" t="s">
        <v>35691</v>
      </c>
      <c r="BT2223" s="1" t="str">
        <f>HYPERLINK("https%3A%2F%2Fwww.webofscience.com%2Fwos%2Fwoscc%2Ffull-record%2FWOS:000306616700006","View Full Record in Web of Science")</f>
        <v>View Full Record in Web of Science</v>
      </c>
      <c r="BU2223" s="1"/>
      <c r="BV2223" s="1"/>
    </row>
    <row r="2224" spans="1:74">
      <c r="A2224" s="1" t="s">
        <v>72</v>
      </c>
      <c r="B2224" s="1" t="s">
        <v>35692</v>
      </c>
      <c r="C2224" s="1" t="s">
        <v>74</v>
      </c>
      <c r="D2224" s="1" t="s">
        <v>74</v>
      </c>
      <c r="E2224" s="1" t="s">
        <v>74</v>
      </c>
      <c r="F2224" s="1" t="s">
        <v>35693</v>
      </c>
      <c r="G2224" s="1" t="s">
        <v>74</v>
      </c>
      <c r="H2224" s="1" t="s">
        <v>74</v>
      </c>
      <c r="I2224" s="1" t="s">
        <v>35694</v>
      </c>
      <c r="J2224" s="1" t="s">
        <v>15579</v>
      </c>
      <c r="K2224" s="1" t="s">
        <v>74</v>
      </c>
      <c r="L2224" s="1" t="s">
        <v>74</v>
      </c>
      <c r="M2224" s="1" t="s">
        <v>78</v>
      </c>
      <c r="N2224" s="1" t="s">
        <v>79</v>
      </c>
      <c r="O2224" s="1" t="s">
        <v>74</v>
      </c>
      <c r="P2224" s="1" t="s">
        <v>74</v>
      </c>
      <c r="Q2224" s="1" t="s">
        <v>74</v>
      </c>
      <c r="R2224" s="1" t="s">
        <v>74</v>
      </c>
      <c r="S2224" s="1" t="s">
        <v>74</v>
      </c>
      <c r="T2224" s="1" t="s">
        <v>35695</v>
      </c>
      <c r="U2224" s="1" t="s">
        <v>35696</v>
      </c>
      <c r="V2224" s="1" t="s">
        <v>35697</v>
      </c>
      <c r="W2224" s="1" t="s">
        <v>35698</v>
      </c>
      <c r="X2224" s="1" t="s">
        <v>35699</v>
      </c>
      <c r="Y2224" s="1" t="s">
        <v>35700</v>
      </c>
      <c r="Z2224" s="1" t="s">
        <v>35701</v>
      </c>
      <c r="AA2224" s="1" t="s">
        <v>35702</v>
      </c>
      <c r="AB2224" s="1" t="s">
        <v>35703</v>
      </c>
      <c r="AC2224" s="1" t="s">
        <v>35704</v>
      </c>
      <c r="AD2224" s="1" t="s">
        <v>35705</v>
      </c>
      <c r="AE2224" s="1" t="s">
        <v>35706</v>
      </c>
      <c r="AF2224" s="1" t="s">
        <v>74</v>
      </c>
      <c r="AG2224" s="1">
        <v>63</v>
      </c>
      <c r="AH2224" s="1">
        <v>2</v>
      </c>
      <c r="AI2224" s="1">
        <v>2</v>
      </c>
      <c r="AJ2224" s="1">
        <v>3</v>
      </c>
      <c r="AK2224" s="1">
        <v>10</v>
      </c>
      <c r="AL2224" s="1" t="s">
        <v>1566</v>
      </c>
      <c r="AM2224" s="1" t="s">
        <v>1567</v>
      </c>
      <c r="AN2224" s="1" t="s">
        <v>1568</v>
      </c>
      <c r="AO2224" s="1" t="s">
        <v>15587</v>
      </c>
      <c r="AP2224" s="1" t="s">
        <v>74</v>
      </c>
      <c r="AQ2224" s="1" t="s">
        <v>74</v>
      </c>
      <c r="AR2224" s="1" t="s">
        <v>15588</v>
      </c>
      <c r="AS2224" s="1" t="s">
        <v>15589</v>
      </c>
      <c r="AT2224" s="1" t="s">
        <v>267</v>
      </c>
      <c r="AU2224" s="1">
        <v>2023</v>
      </c>
      <c r="AV2224" s="1">
        <v>13</v>
      </c>
      <c r="AW2224" s="1">
        <v>20</v>
      </c>
      <c r="AX2224" s="1" t="s">
        <v>74</v>
      </c>
      <c r="AY2224" s="1" t="s">
        <v>74</v>
      </c>
      <c r="AZ2224" s="1" t="s">
        <v>74</v>
      </c>
      <c r="BA2224" s="1" t="s">
        <v>74</v>
      </c>
      <c r="BB2224" s="1" t="s">
        <v>74</v>
      </c>
      <c r="BC2224" s="1" t="s">
        <v>74</v>
      </c>
      <c r="BD2224" s="1">
        <v>3258</v>
      </c>
      <c r="BE2224" s="1" t="s">
        <v>35707</v>
      </c>
      <c r="BF2224" s="1" t="str">
        <f>HYPERLINK("http://dx.doi.org/10.3390/ani13203258","http://dx.doi.org/10.3390/ani13203258")</f>
        <v>http://dx.doi.org/10.3390/ani13203258</v>
      </c>
      <c r="BG2224" s="1" t="s">
        <v>74</v>
      </c>
      <c r="BH2224" s="1" t="s">
        <v>74</v>
      </c>
      <c r="BI2224" s="1">
        <v>19</v>
      </c>
      <c r="BJ2224" s="1" t="s">
        <v>15591</v>
      </c>
      <c r="BK2224" s="1" t="s">
        <v>96</v>
      </c>
      <c r="BL2224" s="1" t="s">
        <v>15592</v>
      </c>
      <c r="BM2224" s="1" t="s">
        <v>35708</v>
      </c>
      <c r="BN2224" s="1">
        <v>37893982</v>
      </c>
      <c r="BO2224" s="1" t="s">
        <v>2155</v>
      </c>
      <c r="BP2224" s="1" t="s">
        <v>74</v>
      </c>
      <c r="BQ2224" s="1" t="s">
        <v>74</v>
      </c>
      <c r="BR2224" s="1" t="s">
        <v>98</v>
      </c>
      <c r="BS2224" s="1" t="s">
        <v>35709</v>
      </c>
      <c r="BT2224" s="1" t="str">
        <f>HYPERLINK("https%3A%2F%2Fwww.webofscience.com%2Fwos%2Fwoscc%2Ffull-record%2FWOS:001094907900001","View Full Record in Web of Science")</f>
        <v>View Full Record in Web of Science</v>
      </c>
      <c r="BU2224" s="1"/>
      <c r="BV2224" s="1"/>
    </row>
    <row r="2225" spans="1:74">
      <c r="A2225" s="1" t="s">
        <v>72</v>
      </c>
      <c r="B2225" s="1" t="s">
        <v>35710</v>
      </c>
      <c r="C2225" s="1" t="s">
        <v>74</v>
      </c>
      <c r="D2225" s="1" t="s">
        <v>74</v>
      </c>
      <c r="E2225" s="1" t="s">
        <v>74</v>
      </c>
      <c r="F2225" s="1" t="s">
        <v>35711</v>
      </c>
      <c r="G2225" s="1" t="s">
        <v>74</v>
      </c>
      <c r="H2225" s="1" t="s">
        <v>74</v>
      </c>
      <c r="I2225" s="1" t="s">
        <v>35712</v>
      </c>
      <c r="J2225" s="1" t="s">
        <v>10300</v>
      </c>
      <c r="K2225" s="1" t="s">
        <v>74</v>
      </c>
      <c r="L2225" s="1" t="s">
        <v>74</v>
      </c>
      <c r="M2225" s="1" t="s">
        <v>78</v>
      </c>
      <c r="N2225" s="1" t="s">
        <v>79</v>
      </c>
      <c r="O2225" s="1" t="s">
        <v>74</v>
      </c>
      <c r="P2225" s="1" t="s">
        <v>74</v>
      </c>
      <c r="Q2225" s="1" t="s">
        <v>74</v>
      </c>
      <c r="R2225" s="1" t="s">
        <v>74</v>
      </c>
      <c r="S2225" s="1" t="s">
        <v>74</v>
      </c>
      <c r="T2225" s="1" t="s">
        <v>35713</v>
      </c>
      <c r="U2225" s="1" t="s">
        <v>35714</v>
      </c>
      <c r="V2225" s="1" t="s">
        <v>35715</v>
      </c>
      <c r="W2225" s="1" t="s">
        <v>35716</v>
      </c>
      <c r="X2225" s="1" t="s">
        <v>35717</v>
      </c>
      <c r="Y2225" s="1" t="s">
        <v>35718</v>
      </c>
      <c r="Z2225" s="1" t="s">
        <v>35719</v>
      </c>
      <c r="AA2225" s="1" t="s">
        <v>35720</v>
      </c>
      <c r="AB2225" s="1" t="s">
        <v>35721</v>
      </c>
      <c r="AC2225" s="1" t="s">
        <v>35722</v>
      </c>
      <c r="AD2225" s="1" t="s">
        <v>35723</v>
      </c>
      <c r="AE2225" s="1" t="s">
        <v>35724</v>
      </c>
      <c r="AF2225" s="1" t="s">
        <v>74</v>
      </c>
      <c r="AG2225" s="1">
        <v>123</v>
      </c>
      <c r="AH2225" s="1">
        <v>2</v>
      </c>
      <c r="AI2225" s="1">
        <v>2</v>
      </c>
      <c r="AJ2225" s="1">
        <v>0</v>
      </c>
      <c r="AK2225" s="1">
        <v>17</v>
      </c>
      <c r="AL2225" s="1" t="s">
        <v>408</v>
      </c>
      <c r="AM2225" s="1" t="s">
        <v>409</v>
      </c>
      <c r="AN2225" s="1" t="s">
        <v>1188</v>
      </c>
      <c r="AO2225" s="1" t="s">
        <v>10312</v>
      </c>
      <c r="AP2225" s="1" t="s">
        <v>10313</v>
      </c>
      <c r="AQ2225" s="1" t="s">
        <v>74</v>
      </c>
      <c r="AR2225" s="1" t="s">
        <v>10314</v>
      </c>
      <c r="AS2225" s="1" t="s">
        <v>10315</v>
      </c>
      <c r="AT2225" s="1" t="s">
        <v>35725</v>
      </c>
      <c r="AU2225" s="1">
        <v>2020</v>
      </c>
      <c r="AV2225" s="1">
        <v>29</v>
      </c>
      <c r="AW2225" s="1">
        <v>7</v>
      </c>
      <c r="AX2225" s="1" t="s">
        <v>74</v>
      </c>
      <c r="AY2225" s="1" t="s">
        <v>74</v>
      </c>
      <c r="AZ2225" s="1" t="s">
        <v>74</v>
      </c>
      <c r="BA2225" s="1" t="s">
        <v>74</v>
      </c>
      <c r="BB2225" s="1">
        <v>744</v>
      </c>
      <c r="BC2225" s="1">
        <v>769</v>
      </c>
      <c r="BD2225" s="1" t="s">
        <v>74</v>
      </c>
      <c r="BE2225" s="1" t="s">
        <v>35726</v>
      </c>
      <c r="BF2225" s="1" t="str">
        <f>HYPERLINK("http://dx.doi.org/10.1080/15320383.2020.1771275","http://dx.doi.org/10.1080/15320383.2020.1771275")</f>
        <v>http://dx.doi.org/10.1080/15320383.2020.1771275</v>
      </c>
      <c r="BG2225" s="1" t="s">
        <v>74</v>
      </c>
      <c r="BH2225" s="1" t="s">
        <v>74</v>
      </c>
      <c r="BI2225" s="1">
        <v>26</v>
      </c>
      <c r="BJ2225" s="1" t="s">
        <v>144</v>
      </c>
      <c r="BK2225" s="1" t="s">
        <v>96</v>
      </c>
      <c r="BL2225" s="1" t="s">
        <v>145</v>
      </c>
      <c r="BM2225" s="1" t="s">
        <v>35727</v>
      </c>
      <c r="BN2225" s="1" t="s">
        <v>74</v>
      </c>
      <c r="BO2225" s="1" t="s">
        <v>74</v>
      </c>
      <c r="BP2225" s="1" t="s">
        <v>74</v>
      </c>
      <c r="BQ2225" s="1" t="s">
        <v>74</v>
      </c>
      <c r="BR2225" s="1" t="s">
        <v>98</v>
      </c>
      <c r="BS2225" s="1" t="s">
        <v>35728</v>
      </c>
      <c r="BT2225" s="1" t="str">
        <f>HYPERLINK("https%3A%2F%2Fwww.webofscience.com%2Fwos%2Fwoscc%2Ffull-record%2FWOS:000552846000003","View Full Record in Web of Science")</f>
        <v>View Full Record in Web of Science</v>
      </c>
      <c r="BU2225" s="1"/>
      <c r="BV2225" s="1"/>
    </row>
    <row r="2226" spans="1:74">
      <c r="A2226" s="1" t="s">
        <v>72</v>
      </c>
      <c r="B2226" s="1" t="s">
        <v>35729</v>
      </c>
      <c r="C2226" s="1" t="s">
        <v>74</v>
      </c>
      <c r="D2226" s="1" t="s">
        <v>74</v>
      </c>
      <c r="E2226" s="1" t="s">
        <v>74</v>
      </c>
      <c r="F2226" s="1" t="s">
        <v>35730</v>
      </c>
      <c r="G2226" s="1" t="s">
        <v>74</v>
      </c>
      <c r="H2226" s="1" t="s">
        <v>74</v>
      </c>
      <c r="I2226" s="1" t="s">
        <v>35731</v>
      </c>
      <c r="J2226" s="1" t="s">
        <v>11045</v>
      </c>
      <c r="K2226" s="1" t="s">
        <v>74</v>
      </c>
      <c r="L2226" s="1" t="s">
        <v>74</v>
      </c>
      <c r="M2226" s="1" t="s">
        <v>78</v>
      </c>
      <c r="N2226" s="1" t="s">
        <v>79</v>
      </c>
      <c r="O2226" s="1" t="s">
        <v>74</v>
      </c>
      <c r="P2226" s="1" t="s">
        <v>74</v>
      </c>
      <c r="Q2226" s="1" t="s">
        <v>74</v>
      </c>
      <c r="R2226" s="1" t="s">
        <v>74</v>
      </c>
      <c r="S2226" s="1" t="s">
        <v>74</v>
      </c>
      <c r="T2226" s="1" t="s">
        <v>74</v>
      </c>
      <c r="U2226" s="1" t="s">
        <v>35732</v>
      </c>
      <c r="V2226" s="1" t="s">
        <v>35733</v>
      </c>
      <c r="W2226" s="1" t="s">
        <v>35734</v>
      </c>
      <c r="X2226" s="1" t="s">
        <v>35735</v>
      </c>
      <c r="Y2226" s="1" t="s">
        <v>35736</v>
      </c>
      <c r="Z2226" s="1" t="s">
        <v>35737</v>
      </c>
      <c r="AA2226" s="1" t="s">
        <v>35738</v>
      </c>
      <c r="AB2226" s="1" t="s">
        <v>35739</v>
      </c>
      <c r="AC2226" s="1" t="s">
        <v>35740</v>
      </c>
      <c r="AD2226" s="1" t="s">
        <v>35741</v>
      </c>
      <c r="AE2226" s="1" t="s">
        <v>35742</v>
      </c>
      <c r="AF2226" s="1" t="s">
        <v>74</v>
      </c>
      <c r="AG2226" s="1">
        <v>46</v>
      </c>
      <c r="AH2226" s="1">
        <v>32</v>
      </c>
      <c r="AI2226" s="1">
        <v>36</v>
      </c>
      <c r="AJ2226" s="1">
        <v>1</v>
      </c>
      <c r="AK2226" s="1">
        <v>75</v>
      </c>
      <c r="AL2226" s="1" t="s">
        <v>11056</v>
      </c>
      <c r="AM2226" s="1" t="s">
        <v>11057</v>
      </c>
      <c r="AN2226" s="1" t="s">
        <v>11058</v>
      </c>
      <c r="AO2226" s="1" t="s">
        <v>11059</v>
      </c>
      <c r="AP2226" s="1" t="s">
        <v>74</v>
      </c>
      <c r="AQ2226" s="1" t="s">
        <v>74</v>
      </c>
      <c r="AR2226" s="1" t="s">
        <v>11045</v>
      </c>
      <c r="AS2226" s="1" t="s">
        <v>11060</v>
      </c>
      <c r="AT2226" s="1" t="s">
        <v>35743</v>
      </c>
      <c r="AU2226" s="1">
        <v>2015</v>
      </c>
      <c r="AV2226" s="1">
        <v>10</v>
      </c>
      <c r="AW2226" s="1">
        <v>6</v>
      </c>
      <c r="AX2226" s="1" t="s">
        <v>74</v>
      </c>
      <c r="AY2226" s="1" t="s">
        <v>74</v>
      </c>
      <c r="AZ2226" s="1" t="s">
        <v>74</v>
      </c>
      <c r="BA2226" s="1" t="s">
        <v>74</v>
      </c>
      <c r="BB2226" s="1" t="s">
        <v>74</v>
      </c>
      <c r="BC2226" s="1" t="s">
        <v>74</v>
      </c>
      <c r="BD2226" s="1" t="s">
        <v>35744</v>
      </c>
      <c r="BE2226" s="1" t="s">
        <v>35745</v>
      </c>
      <c r="BF2226" s="1" t="str">
        <f>HYPERLINK("http://dx.doi.org/10.1371/journal.pone.0128488","http://dx.doi.org/10.1371/journal.pone.0128488")</f>
        <v>http://dx.doi.org/10.1371/journal.pone.0128488</v>
      </c>
      <c r="BG2226" s="1" t="s">
        <v>74</v>
      </c>
      <c r="BH2226" s="1" t="s">
        <v>74</v>
      </c>
      <c r="BI2226" s="1">
        <v>19</v>
      </c>
      <c r="BJ2226" s="1" t="s">
        <v>3202</v>
      </c>
      <c r="BK2226" s="1" t="s">
        <v>96</v>
      </c>
      <c r="BL2226" s="1" t="s">
        <v>3203</v>
      </c>
      <c r="BM2226" s="1" t="s">
        <v>35746</v>
      </c>
      <c r="BN2226" s="1">
        <v>26042840</v>
      </c>
      <c r="BO2226" s="1" t="s">
        <v>13965</v>
      </c>
      <c r="BP2226" s="1" t="s">
        <v>74</v>
      </c>
      <c r="BQ2226" s="1" t="s">
        <v>74</v>
      </c>
      <c r="BR2226" s="1" t="s">
        <v>98</v>
      </c>
      <c r="BS2226" s="1" t="s">
        <v>35747</v>
      </c>
      <c r="BT2226" s="1" t="str">
        <f>HYPERLINK("https%3A%2F%2Fwww.webofscience.com%2Fwos%2Fwoscc%2Ffull-record%2FWOS:000355701600050","View Full Record in Web of Science")</f>
        <v>View Full Record in Web of Science</v>
      </c>
      <c r="BU2226" s="1"/>
      <c r="BV2226" s="1"/>
    </row>
    <row r="2227" spans="1:74">
      <c r="A2227" s="1" t="s">
        <v>72</v>
      </c>
      <c r="B2227" s="1" t="s">
        <v>35748</v>
      </c>
      <c r="C2227" s="1" t="s">
        <v>74</v>
      </c>
      <c r="D2227" s="1" t="s">
        <v>74</v>
      </c>
      <c r="E2227" s="1" t="s">
        <v>74</v>
      </c>
      <c r="F2227" s="1" t="s">
        <v>35749</v>
      </c>
      <c r="G2227" s="1" t="s">
        <v>74</v>
      </c>
      <c r="H2227" s="1" t="s">
        <v>74</v>
      </c>
      <c r="I2227" s="1" t="s">
        <v>35750</v>
      </c>
      <c r="J2227" s="1" t="s">
        <v>10149</v>
      </c>
      <c r="K2227" s="1" t="s">
        <v>74</v>
      </c>
      <c r="L2227" s="1" t="s">
        <v>74</v>
      </c>
      <c r="M2227" s="1" t="s">
        <v>78</v>
      </c>
      <c r="N2227" s="1" t="s">
        <v>79</v>
      </c>
      <c r="O2227" s="1" t="s">
        <v>74</v>
      </c>
      <c r="P2227" s="1" t="s">
        <v>74</v>
      </c>
      <c r="Q2227" s="1" t="s">
        <v>74</v>
      </c>
      <c r="R2227" s="1" t="s">
        <v>74</v>
      </c>
      <c r="S2227" s="1" t="s">
        <v>74</v>
      </c>
      <c r="T2227" s="1" t="s">
        <v>35751</v>
      </c>
      <c r="U2227" s="1" t="s">
        <v>35752</v>
      </c>
      <c r="V2227" s="1" t="s">
        <v>35753</v>
      </c>
      <c r="W2227" s="1" t="s">
        <v>35754</v>
      </c>
      <c r="X2227" s="1" t="s">
        <v>22000</v>
      </c>
      <c r="Y2227" s="1" t="s">
        <v>35755</v>
      </c>
      <c r="Z2227" s="1" t="s">
        <v>35756</v>
      </c>
      <c r="AA2227" s="1" t="s">
        <v>74</v>
      </c>
      <c r="AB2227" s="1" t="s">
        <v>35757</v>
      </c>
      <c r="AC2227" s="1" t="s">
        <v>35758</v>
      </c>
      <c r="AD2227" s="1" t="s">
        <v>35758</v>
      </c>
      <c r="AE2227" s="1" t="s">
        <v>35759</v>
      </c>
      <c r="AF2227" s="1" t="s">
        <v>74</v>
      </c>
      <c r="AG2227" s="1">
        <v>24</v>
      </c>
      <c r="AH2227" s="1">
        <v>5</v>
      </c>
      <c r="AI2227" s="1">
        <v>5</v>
      </c>
      <c r="AJ2227" s="1">
        <v>3</v>
      </c>
      <c r="AK2227" s="1">
        <v>14</v>
      </c>
      <c r="AL2227" s="1" t="s">
        <v>919</v>
      </c>
      <c r="AM2227" s="1" t="s">
        <v>651</v>
      </c>
      <c r="AN2227" s="1" t="s">
        <v>920</v>
      </c>
      <c r="AO2227" s="1" t="s">
        <v>10161</v>
      </c>
      <c r="AP2227" s="1" t="s">
        <v>10162</v>
      </c>
      <c r="AQ2227" s="1" t="s">
        <v>74</v>
      </c>
      <c r="AR2227" s="1" t="s">
        <v>10163</v>
      </c>
      <c r="AS2227" s="1" t="s">
        <v>10164</v>
      </c>
      <c r="AT2227" s="1" t="s">
        <v>267</v>
      </c>
      <c r="AU2227" s="1">
        <v>2018</v>
      </c>
      <c r="AV2227" s="1">
        <v>41</v>
      </c>
      <c r="AW2227" s="1" t="s">
        <v>74</v>
      </c>
      <c r="AX2227" s="1" t="s">
        <v>74</v>
      </c>
      <c r="AY2227" s="1" t="s">
        <v>74</v>
      </c>
      <c r="AZ2227" s="1" t="s">
        <v>74</v>
      </c>
      <c r="BA2227" s="1" t="s">
        <v>74</v>
      </c>
      <c r="BB2227" s="1">
        <v>42</v>
      </c>
      <c r="BC2227" s="1">
        <v>45</v>
      </c>
      <c r="BD2227" s="1" t="s">
        <v>74</v>
      </c>
      <c r="BE2227" s="1" t="s">
        <v>35760</v>
      </c>
      <c r="BF2227" s="1" t="str">
        <f>HYPERLINK("http://dx.doi.org/10.1016/j.margen.2018.04.002","http://dx.doi.org/10.1016/j.margen.2018.04.002")</f>
        <v>http://dx.doi.org/10.1016/j.margen.2018.04.002</v>
      </c>
      <c r="BG2227" s="1" t="s">
        <v>74</v>
      </c>
      <c r="BH2227" s="1" t="s">
        <v>74</v>
      </c>
      <c r="BI2227" s="1">
        <v>4</v>
      </c>
      <c r="BJ2227" s="1" t="s">
        <v>10166</v>
      </c>
      <c r="BK2227" s="1" t="s">
        <v>96</v>
      </c>
      <c r="BL2227" s="1" t="s">
        <v>10166</v>
      </c>
      <c r="BM2227" s="1" t="s">
        <v>35761</v>
      </c>
      <c r="BN2227" s="1" t="s">
        <v>74</v>
      </c>
      <c r="BO2227" s="1" t="s">
        <v>810</v>
      </c>
      <c r="BP2227" s="1" t="s">
        <v>74</v>
      </c>
      <c r="BQ2227" s="1" t="s">
        <v>74</v>
      </c>
      <c r="BR2227" s="1" t="s">
        <v>98</v>
      </c>
      <c r="BS2227" s="1" t="s">
        <v>35762</v>
      </c>
      <c r="BT2227" s="1" t="str">
        <f>HYPERLINK("https%3A%2F%2Fwww.webofscience.com%2Fwos%2Fwoscc%2Ffull-record%2FWOS:000449900600006","View Full Record in Web of Science")</f>
        <v>View Full Record in Web of Science</v>
      </c>
      <c r="BU2227" s="1"/>
      <c r="BV2227" s="1"/>
    </row>
    <row r="2228" spans="1:74">
      <c r="A2228" s="1" t="s">
        <v>72</v>
      </c>
      <c r="B2228" s="1" t="s">
        <v>35763</v>
      </c>
      <c r="C2228" s="1" t="s">
        <v>74</v>
      </c>
      <c r="D2228" s="1" t="s">
        <v>74</v>
      </c>
      <c r="E2228" s="1" t="s">
        <v>74</v>
      </c>
      <c r="F2228" s="1" t="s">
        <v>15459</v>
      </c>
      <c r="G2228" s="1" t="s">
        <v>74</v>
      </c>
      <c r="H2228" s="1" t="s">
        <v>74</v>
      </c>
      <c r="I2228" s="1" t="s">
        <v>35764</v>
      </c>
      <c r="J2228" s="1" t="s">
        <v>775</v>
      </c>
      <c r="K2228" s="1" t="s">
        <v>74</v>
      </c>
      <c r="L2228" s="1" t="s">
        <v>74</v>
      </c>
      <c r="M2228" s="1" t="s">
        <v>78</v>
      </c>
      <c r="N2228" s="1" t="s">
        <v>79</v>
      </c>
      <c r="O2228" s="1" t="s">
        <v>74</v>
      </c>
      <c r="P2228" s="1" t="s">
        <v>74</v>
      </c>
      <c r="Q2228" s="1" t="s">
        <v>74</v>
      </c>
      <c r="R2228" s="1" t="s">
        <v>74</v>
      </c>
      <c r="S2228" s="1" t="s">
        <v>74</v>
      </c>
      <c r="T2228" s="1" t="s">
        <v>35765</v>
      </c>
      <c r="U2228" s="1" t="s">
        <v>35766</v>
      </c>
      <c r="V2228" s="1" t="s">
        <v>35767</v>
      </c>
      <c r="W2228" s="1" t="s">
        <v>15464</v>
      </c>
      <c r="X2228" s="1" t="s">
        <v>15465</v>
      </c>
      <c r="Y2228" s="1" t="s">
        <v>15466</v>
      </c>
      <c r="Z2228" s="1" t="s">
        <v>35768</v>
      </c>
      <c r="AA2228" s="1" t="s">
        <v>15468</v>
      </c>
      <c r="AB2228" s="1" t="s">
        <v>74</v>
      </c>
      <c r="AC2228" s="1" t="s">
        <v>35769</v>
      </c>
      <c r="AD2228" s="1" t="s">
        <v>35770</v>
      </c>
      <c r="AE2228" s="1" t="s">
        <v>35771</v>
      </c>
      <c r="AF2228" s="1" t="s">
        <v>74</v>
      </c>
      <c r="AG2228" s="1">
        <v>43</v>
      </c>
      <c r="AH2228" s="1">
        <v>30</v>
      </c>
      <c r="AI2228" s="1">
        <v>32</v>
      </c>
      <c r="AJ2228" s="1">
        <v>0</v>
      </c>
      <c r="AK2228" s="1">
        <v>22</v>
      </c>
      <c r="AL2228" s="1" t="s">
        <v>788</v>
      </c>
      <c r="AM2228" s="1" t="s">
        <v>789</v>
      </c>
      <c r="AN2228" s="1" t="s">
        <v>790</v>
      </c>
      <c r="AO2228" s="1" t="s">
        <v>791</v>
      </c>
      <c r="AP2228" s="1" t="s">
        <v>2885</v>
      </c>
      <c r="AQ2228" s="1" t="s">
        <v>74</v>
      </c>
      <c r="AR2228" s="1" t="s">
        <v>792</v>
      </c>
      <c r="AS2228" s="1" t="s">
        <v>793</v>
      </c>
      <c r="AT2228" s="1" t="s">
        <v>305</v>
      </c>
      <c r="AU2228" s="1">
        <v>2018</v>
      </c>
      <c r="AV2228" s="1">
        <v>185</v>
      </c>
      <c r="AW2228" s="1">
        <v>1</v>
      </c>
      <c r="AX2228" s="1" t="s">
        <v>74</v>
      </c>
      <c r="AY2228" s="1" t="s">
        <v>74</v>
      </c>
      <c r="AZ2228" s="1" t="s">
        <v>74</v>
      </c>
      <c r="BA2228" s="1" t="s">
        <v>74</v>
      </c>
      <c r="BB2228" s="1">
        <v>216</v>
      </c>
      <c r="BC2228" s="1">
        <v>224</v>
      </c>
      <c r="BD2228" s="1" t="s">
        <v>74</v>
      </c>
      <c r="BE2228" s="1" t="s">
        <v>35772</v>
      </c>
      <c r="BF2228" s="1" t="str">
        <f>HYPERLINK("http://dx.doi.org/10.1007/s12011-017-1238-1","http://dx.doi.org/10.1007/s12011-017-1238-1")</f>
        <v>http://dx.doi.org/10.1007/s12011-017-1238-1</v>
      </c>
      <c r="BG2228" s="1" t="s">
        <v>74</v>
      </c>
      <c r="BH2228" s="1" t="s">
        <v>74</v>
      </c>
      <c r="BI2228" s="1">
        <v>9</v>
      </c>
      <c r="BJ2228" s="1" t="s">
        <v>795</v>
      </c>
      <c r="BK2228" s="1" t="s">
        <v>96</v>
      </c>
      <c r="BL2228" s="1" t="s">
        <v>795</v>
      </c>
      <c r="BM2228" s="1" t="s">
        <v>35773</v>
      </c>
      <c r="BN2228" s="1">
        <v>29299829</v>
      </c>
      <c r="BO2228" s="1" t="s">
        <v>74</v>
      </c>
      <c r="BP2228" s="1" t="s">
        <v>74</v>
      </c>
      <c r="BQ2228" s="1" t="s">
        <v>74</v>
      </c>
      <c r="BR2228" s="1" t="s">
        <v>98</v>
      </c>
      <c r="BS2228" s="1" t="s">
        <v>35774</v>
      </c>
      <c r="BT2228" s="1" t="str">
        <f>HYPERLINK("https%3A%2F%2Fwww.webofscience.com%2Fwos%2Fwoscc%2Ffull-record%2FWOS:000441120100025","View Full Record in Web of Science")</f>
        <v>View Full Record in Web of Science</v>
      </c>
      <c r="BU2228" s="1"/>
      <c r="BV2228" s="1"/>
    </row>
    <row r="2229" spans="1:74">
      <c r="A2229" s="1" t="s">
        <v>72</v>
      </c>
      <c r="B2229" s="1" t="s">
        <v>35775</v>
      </c>
      <c r="C2229" s="1" t="s">
        <v>74</v>
      </c>
      <c r="D2229" s="1" t="s">
        <v>74</v>
      </c>
      <c r="E2229" s="1" t="s">
        <v>74</v>
      </c>
      <c r="F2229" s="1" t="s">
        <v>35776</v>
      </c>
      <c r="G2229" s="1" t="s">
        <v>74</v>
      </c>
      <c r="H2229" s="1" t="s">
        <v>74</v>
      </c>
      <c r="I2229" s="1" t="s">
        <v>35777</v>
      </c>
      <c r="J2229" s="1" t="s">
        <v>232</v>
      </c>
      <c r="K2229" s="1" t="s">
        <v>74</v>
      </c>
      <c r="L2229" s="1" t="s">
        <v>74</v>
      </c>
      <c r="M2229" s="1" t="s">
        <v>78</v>
      </c>
      <c r="N2229" s="1" t="s">
        <v>79</v>
      </c>
      <c r="O2229" s="1" t="s">
        <v>74</v>
      </c>
      <c r="P2229" s="1" t="s">
        <v>74</v>
      </c>
      <c r="Q2229" s="1" t="s">
        <v>74</v>
      </c>
      <c r="R2229" s="1" t="s">
        <v>74</v>
      </c>
      <c r="S2229" s="1" t="s">
        <v>74</v>
      </c>
      <c r="T2229" s="1" t="s">
        <v>35778</v>
      </c>
      <c r="U2229" s="1" t="s">
        <v>35779</v>
      </c>
      <c r="V2229" s="1" t="s">
        <v>35780</v>
      </c>
      <c r="W2229" s="1" t="s">
        <v>35781</v>
      </c>
      <c r="X2229" s="1" t="s">
        <v>74</v>
      </c>
      <c r="Y2229" s="1" t="s">
        <v>35782</v>
      </c>
      <c r="Z2229" s="1" t="s">
        <v>840</v>
      </c>
      <c r="AA2229" s="1" t="s">
        <v>74</v>
      </c>
      <c r="AB2229" s="1" t="s">
        <v>74</v>
      </c>
      <c r="AC2229" s="1" t="s">
        <v>31381</v>
      </c>
      <c r="AD2229" s="1" t="s">
        <v>9838</v>
      </c>
      <c r="AE2229" s="1" t="s">
        <v>31382</v>
      </c>
      <c r="AF2229" s="1" t="s">
        <v>74</v>
      </c>
      <c r="AG2229" s="1">
        <v>29</v>
      </c>
      <c r="AH2229" s="1">
        <v>26</v>
      </c>
      <c r="AI2229" s="1">
        <v>26</v>
      </c>
      <c r="AJ2229" s="1">
        <v>0</v>
      </c>
      <c r="AK2229" s="1">
        <v>9</v>
      </c>
      <c r="AL2229" s="1" t="s">
        <v>136</v>
      </c>
      <c r="AM2229" s="1" t="s">
        <v>137</v>
      </c>
      <c r="AN2229" s="1" t="s">
        <v>138</v>
      </c>
      <c r="AO2229" s="1" t="s">
        <v>240</v>
      </c>
      <c r="AP2229" s="1" t="s">
        <v>241</v>
      </c>
      <c r="AQ2229" s="1" t="s">
        <v>74</v>
      </c>
      <c r="AR2229" s="1" t="s">
        <v>242</v>
      </c>
      <c r="AS2229" s="1" t="s">
        <v>243</v>
      </c>
      <c r="AT2229" s="1" t="s">
        <v>344</v>
      </c>
      <c r="AU2229" s="1">
        <v>2016</v>
      </c>
      <c r="AV2229" s="1">
        <v>108</v>
      </c>
      <c r="AW2229" s="1" t="s">
        <v>326</v>
      </c>
      <c r="AX2229" s="1" t="s">
        <v>74</v>
      </c>
      <c r="AY2229" s="1" t="s">
        <v>74</v>
      </c>
      <c r="AZ2229" s="1" t="s">
        <v>74</v>
      </c>
      <c r="BA2229" s="1" t="s">
        <v>74</v>
      </c>
      <c r="BB2229" s="1">
        <v>147</v>
      </c>
      <c r="BC2229" s="1">
        <v>154</v>
      </c>
      <c r="BD2229" s="1" t="s">
        <v>74</v>
      </c>
      <c r="BE2229" s="1" t="s">
        <v>35783</v>
      </c>
      <c r="BF2229" s="1" t="str">
        <f>HYPERLINK("http://dx.doi.org/10.1016/j.marpolbul.2016.04.036","http://dx.doi.org/10.1016/j.marpolbul.2016.04.036")</f>
        <v>http://dx.doi.org/10.1016/j.marpolbul.2016.04.036</v>
      </c>
      <c r="BG2229" s="1" t="s">
        <v>74</v>
      </c>
      <c r="BH2229" s="1" t="s">
        <v>74</v>
      </c>
      <c r="BI2229" s="1">
        <v>8</v>
      </c>
      <c r="BJ2229" s="1" t="s">
        <v>247</v>
      </c>
      <c r="BK2229" s="1" t="s">
        <v>96</v>
      </c>
      <c r="BL2229" s="1" t="s">
        <v>248</v>
      </c>
      <c r="BM2229" s="1" t="s">
        <v>35784</v>
      </c>
      <c r="BN2229" s="1">
        <v>27113023</v>
      </c>
      <c r="BO2229" s="1" t="s">
        <v>74</v>
      </c>
      <c r="BP2229" s="1" t="s">
        <v>74</v>
      </c>
      <c r="BQ2229" s="1" t="s">
        <v>74</v>
      </c>
      <c r="BR2229" s="1" t="s">
        <v>98</v>
      </c>
      <c r="BS2229" s="1" t="s">
        <v>35785</v>
      </c>
      <c r="BT2229" s="1" t="str">
        <f>HYPERLINK("https%3A%2F%2Fwww.webofscience.com%2Fwos%2Fwoscc%2Ffull-record%2FWOS:000379102900030","View Full Record in Web of Science")</f>
        <v>View Full Record in Web of Science</v>
      </c>
      <c r="BU2229" s="1"/>
      <c r="BV2229" s="1"/>
    </row>
    <row r="2230" spans="1:74">
      <c r="A2230" s="1" t="s">
        <v>72</v>
      </c>
      <c r="B2230" s="1" t="s">
        <v>35786</v>
      </c>
      <c r="C2230" s="1" t="s">
        <v>74</v>
      </c>
      <c r="D2230" s="1" t="s">
        <v>74</v>
      </c>
      <c r="E2230" s="1" t="s">
        <v>74</v>
      </c>
      <c r="F2230" s="1" t="s">
        <v>35787</v>
      </c>
      <c r="G2230" s="1" t="s">
        <v>74</v>
      </c>
      <c r="H2230" s="1" t="s">
        <v>74</v>
      </c>
      <c r="I2230" s="1" t="s">
        <v>35788</v>
      </c>
      <c r="J2230" s="1" t="s">
        <v>24791</v>
      </c>
      <c r="K2230" s="1" t="s">
        <v>74</v>
      </c>
      <c r="L2230" s="1" t="s">
        <v>74</v>
      </c>
      <c r="M2230" s="1" t="s">
        <v>78</v>
      </c>
      <c r="N2230" s="1" t="s">
        <v>79</v>
      </c>
      <c r="O2230" s="1" t="s">
        <v>74</v>
      </c>
      <c r="P2230" s="1" t="s">
        <v>74</v>
      </c>
      <c r="Q2230" s="1" t="s">
        <v>74</v>
      </c>
      <c r="R2230" s="1" t="s">
        <v>74</v>
      </c>
      <c r="S2230" s="1" t="s">
        <v>74</v>
      </c>
      <c r="T2230" s="1" t="s">
        <v>35789</v>
      </c>
      <c r="U2230" s="1" t="s">
        <v>35790</v>
      </c>
      <c r="V2230" s="1" t="s">
        <v>35791</v>
      </c>
      <c r="W2230" s="1" t="s">
        <v>35792</v>
      </c>
      <c r="X2230" s="1" t="s">
        <v>35793</v>
      </c>
      <c r="Y2230" s="1" t="s">
        <v>35794</v>
      </c>
      <c r="Z2230" s="1" t="s">
        <v>74</v>
      </c>
      <c r="AA2230" s="1" t="s">
        <v>35795</v>
      </c>
      <c r="AB2230" s="1" t="s">
        <v>35796</v>
      </c>
      <c r="AC2230" s="1" t="s">
        <v>74</v>
      </c>
      <c r="AD2230" s="1" t="s">
        <v>74</v>
      </c>
      <c r="AE2230" s="1" t="s">
        <v>74</v>
      </c>
      <c r="AF2230" s="1" t="s">
        <v>74</v>
      </c>
      <c r="AG2230" s="1">
        <v>18</v>
      </c>
      <c r="AH2230" s="1">
        <v>24</v>
      </c>
      <c r="AI2230" s="1">
        <v>28</v>
      </c>
      <c r="AJ2230" s="1">
        <v>1</v>
      </c>
      <c r="AK2230" s="1">
        <v>29</v>
      </c>
      <c r="AL2230" s="1" t="s">
        <v>919</v>
      </c>
      <c r="AM2230" s="1" t="s">
        <v>651</v>
      </c>
      <c r="AN2230" s="1" t="s">
        <v>920</v>
      </c>
      <c r="AO2230" s="1" t="s">
        <v>24804</v>
      </c>
      <c r="AP2230" s="1" t="s">
        <v>74</v>
      </c>
      <c r="AQ2230" s="1" t="s">
        <v>74</v>
      </c>
      <c r="AR2230" s="1" t="s">
        <v>24806</v>
      </c>
      <c r="AS2230" s="1" t="s">
        <v>24807</v>
      </c>
      <c r="AT2230" s="1" t="s">
        <v>2257</v>
      </c>
      <c r="AU2230" s="1">
        <v>2008</v>
      </c>
      <c r="AV2230" s="1">
        <v>622</v>
      </c>
      <c r="AW2230" s="1" t="s">
        <v>326</v>
      </c>
      <c r="AX2230" s="1" t="s">
        <v>74</v>
      </c>
      <c r="AY2230" s="1" t="s">
        <v>74</v>
      </c>
      <c r="AZ2230" s="1" t="s">
        <v>74</v>
      </c>
      <c r="BA2230" s="1" t="s">
        <v>74</v>
      </c>
      <c r="BB2230" s="1">
        <v>126</v>
      </c>
      <c r="BC2230" s="1">
        <v>132</v>
      </c>
      <c r="BD2230" s="1" t="s">
        <v>74</v>
      </c>
      <c r="BE2230" s="1" t="s">
        <v>35797</v>
      </c>
      <c r="BF2230" s="1" t="str">
        <f>HYPERLINK("http://dx.doi.org/10.1016/j.aca.2008.05.052","http://dx.doi.org/10.1016/j.aca.2008.05.052")</f>
        <v>http://dx.doi.org/10.1016/j.aca.2008.05.052</v>
      </c>
      <c r="BG2230" s="1" t="s">
        <v>74</v>
      </c>
      <c r="BH2230" s="1" t="s">
        <v>74</v>
      </c>
      <c r="BI2230" s="1">
        <v>7</v>
      </c>
      <c r="BJ2230" s="1" t="s">
        <v>1196</v>
      </c>
      <c r="BK2230" s="1" t="s">
        <v>96</v>
      </c>
      <c r="BL2230" s="1" t="s">
        <v>1197</v>
      </c>
      <c r="BM2230" s="1" t="s">
        <v>35798</v>
      </c>
      <c r="BN2230" s="1">
        <v>18602543</v>
      </c>
      <c r="BO2230" s="1" t="s">
        <v>74</v>
      </c>
      <c r="BP2230" s="1" t="s">
        <v>74</v>
      </c>
      <c r="BQ2230" s="1" t="s">
        <v>74</v>
      </c>
      <c r="BR2230" s="1" t="s">
        <v>98</v>
      </c>
      <c r="BS2230" s="1" t="s">
        <v>35799</v>
      </c>
      <c r="BT2230" s="1" t="str">
        <f>HYPERLINK("https%3A%2F%2Fwww.webofscience.com%2Fwos%2Fwoscc%2Ffull-record%2FWOS:000257960700012","View Full Record in Web of Science")</f>
        <v>View Full Record in Web of Science</v>
      </c>
      <c r="BU2230" s="1"/>
      <c r="BV2230" s="1"/>
    </row>
    <row r="2231" spans="1:74">
      <c r="A2231" s="1" t="s">
        <v>72</v>
      </c>
      <c r="B2231" s="1" t="s">
        <v>35800</v>
      </c>
      <c r="C2231" s="1" t="s">
        <v>74</v>
      </c>
      <c r="D2231" s="1" t="s">
        <v>74</v>
      </c>
      <c r="E2231" s="1" t="s">
        <v>74</v>
      </c>
      <c r="F2231" s="1" t="s">
        <v>35801</v>
      </c>
      <c r="G2231" s="1" t="s">
        <v>74</v>
      </c>
      <c r="H2231" s="1" t="s">
        <v>74</v>
      </c>
      <c r="I2231" s="1" t="s">
        <v>35802</v>
      </c>
      <c r="J2231" s="1" t="s">
        <v>232</v>
      </c>
      <c r="K2231" s="1" t="s">
        <v>74</v>
      </c>
      <c r="L2231" s="1" t="s">
        <v>74</v>
      </c>
      <c r="M2231" s="1" t="s">
        <v>78</v>
      </c>
      <c r="N2231" s="1" t="s">
        <v>79</v>
      </c>
      <c r="O2231" s="1" t="s">
        <v>74</v>
      </c>
      <c r="P2231" s="1" t="s">
        <v>74</v>
      </c>
      <c r="Q2231" s="1" t="s">
        <v>74</v>
      </c>
      <c r="R2231" s="1" t="s">
        <v>74</v>
      </c>
      <c r="S2231" s="1" t="s">
        <v>74</v>
      </c>
      <c r="T2231" s="1" t="s">
        <v>35803</v>
      </c>
      <c r="U2231" s="1" t="s">
        <v>35804</v>
      </c>
      <c r="V2231" s="1" t="s">
        <v>35805</v>
      </c>
      <c r="W2231" s="1" t="s">
        <v>35806</v>
      </c>
      <c r="X2231" s="1" t="s">
        <v>74</v>
      </c>
      <c r="Y2231" s="1" t="s">
        <v>35807</v>
      </c>
      <c r="Z2231" s="1" t="s">
        <v>35808</v>
      </c>
      <c r="AA2231" s="1" t="s">
        <v>32611</v>
      </c>
      <c r="AB2231" s="1" t="s">
        <v>35809</v>
      </c>
      <c r="AC2231" s="1" t="s">
        <v>35810</v>
      </c>
      <c r="AD2231" s="1" t="s">
        <v>35810</v>
      </c>
      <c r="AE2231" s="1" t="s">
        <v>35811</v>
      </c>
      <c r="AF2231" s="1" t="s">
        <v>74</v>
      </c>
      <c r="AG2231" s="1">
        <v>82</v>
      </c>
      <c r="AH2231" s="1">
        <v>38</v>
      </c>
      <c r="AI2231" s="1">
        <v>39</v>
      </c>
      <c r="AJ2231" s="1">
        <v>6</v>
      </c>
      <c r="AK2231" s="1">
        <v>63</v>
      </c>
      <c r="AL2231" s="1" t="s">
        <v>136</v>
      </c>
      <c r="AM2231" s="1" t="s">
        <v>137</v>
      </c>
      <c r="AN2231" s="1" t="s">
        <v>138</v>
      </c>
      <c r="AO2231" s="1" t="s">
        <v>240</v>
      </c>
      <c r="AP2231" s="1" t="s">
        <v>241</v>
      </c>
      <c r="AQ2231" s="1" t="s">
        <v>74</v>
      </c>
      <c r="AR2231" s="1" t="s">
        <v>242</v>
      </c>
      <c r="AS2231" s="1" t="s">
        <v>243</v>
      </c>
      <c r="AT2231" s="1" t="s">
        <v>267</v>
      </c>
      <c r="AU2231" s="1">
        <v>2021</v>
      </c>
      <c r="AV2231" s="1">
        <v>171</v>
      </c>
      <c r="AW2231" s="1" t="s">
        <v>74</v>
      </c>
      <c r="AX2231" s="1" t="s">
        <v>74</v>
      </c>
      <c r="AY2231" s="1" t="s">
        <v>74</v>
      </c>
      <c r="AZ2231" s="1" t="s">
        <v>74</v>
      </c>
      <c r="BA2231" s="1" t="s">
        <v>74</v>
      </c>
      <c r="BB2231" s="1" t="s">
        <v>74</v>
      </c>
      <c r="BC2231" s="1" t="s">
        <v>74</v>
      </c>
      <c r="BD2231" s="1">
        <v>112678</v>
      </c>
      <c r="BE2231" s="1" t="s">
        <v>35812</v>
      </c>
      <c r="BF2231" s="1" t="str">
        <f>HYPERLINK("http://dx.doi.org/10.1016/j.marpolbul.2021.112678","http://dx.doi.org/10.1016/j.marpolbul.2021.112678")</f>
        <v>http://dx.doi.org/10.1016/j.marpolbul.2021.112678</v>
      </c>
      <c r="BG2231" s="1" t="s">
        <v>74</v>
      </c>
      <c r="BH2231" s="1" t="s">
        <v>12797</v>
      </c>
      <c r="BI2231" s="1">
        <v>13</v>
      </c>
      <c r="BJ2231" s="1" t="s">
        <v>247</v>
      </c>
      <c r="BK2231" s="1" t="s">
        <v>96</v>
      </c>
      <c r="BL2231" s="1" t="s">
        <v>248</v>
      </c>
      <c r="BM2231" s="1" t="s">
        <v>35813</v>
      </c>
      <c r="BN2231" s="1">
        <v>34242958</v>
      </c>
      <c r="BO2231" s="1" t="s">
        <v>74</v>
      </c>
      <c r="BP2231" s="1" t="s">
        <v>74</v>
      </c>
      <c r="BQ2231" s="1" t="s">
        <v>74</v>
      </c>
      <c r="BR2231" s="1" t="s">
        <v>98</v>
      </c>
      <c r="BS2231" s="1" t="s">
        <v>35814</v>
      </c>
      <c r="BT2231" s="1" t="str">
        <f>HYPERLINK("https%3A%2F%2Fwww.webofscience.com%2Fwos%2Fwoscc%2Ffull-record%2FWOS:000697484400006","View Full Record in Web of Science")</f>
        <v>View Full Record in Web of Science</v>
      </c>
      <c r="BU2231" s="1"/>
      <c r="BV2231" s="1"/>
    </row>
    <row r="2232" spans="1:74">
      <c r="A2232" s="1" t="s">
        <v>72</v>
      </c>
      <c r="B2232" s="1" t="s">
        <v>35815</v>
      </c>
      <c r="C2232" s="1" t="s">
        <v>74</v>
      </c>
      <c r="D2232" s="1" t="s">
        <v>74</v>
      </c>
      <c r="E2232" s="1" t="s">
        <v>74</v>
      </c>
      <c r="F2232" s="1" t="s">
        <v>35815</v>
      </c>
      <c r="G2232" s="1" t="s">
        <v>74</v>
      </c>
      <c r="H2232" s="1" t="s">
        <v>74</v>
      </c>
      <c r="I2232" s="1" t="s">
        <v>35816</v>
      </c>
      <c r="J2232" s="1" t="s">
        <v>232</v>
      </c>
      <c r="K2232" s="1" t="s">
        <v>74</v>
      </c>
      <c r="L2232" s="1" t="s">
        <v>74</v>
      </c>
      <c r="M2232" s="1" t="s">
        <v>78</v>
      </c>
      <c r="N2232" s="1" t="s">
        <v>79</v>
      </c>
      <c r="O2232" s="1" t="s">
        <v>74</v>
      </c>
      <c r="P2232" s="1" t="s">
        <v>74</v>
      </c>
      <c r="Q2232" s="1" t="s">
        <v>74</v>
      </c>
      <c r="R2232" s="1" t="s">
        <v>74</v>
      </c>
      <c r="S2232" s="1" t="s">
        <v>74</v>
      </c>
      <c r="T2232" s="1" t="s">
        <v>35817</v>
      </c>
      <c r="U2232" s="1" t="s">
        <v>35818</v>
      </c>
      <c r="V2232" s="1" t="s">
        <v>35819</v>
      </c>
      <c r="W2232" s="1" t="s">
        <v>35820</v>
      </c>
      <c r="X2232" s="1" t="s">
        <v>19064</v>
      </c>
      <c r="Y2232" s="1" t="s">
        <v>35821</v>
      </c>
      <c r="Z2232" s="1" t="s">
        <v>35822</v>
      </c>
      <c r="AA2232" s="1" t="s">
        <v>35823</v>
      </c>
      <c r="AB2232" s="1" t="s">
        <v>35824</v>
      </c>
      <c r="AC2232" s="1" t="s">
        <v>74</v>
      </c>
      <c r="AD2232" s="1" t="s">
        <v>74</v>
      </c>
      <c r="AE2232" s="1" t="s">
        <v>74</v>
      </c>
      <c r="AF2232" s="1" t="s">
        <v>74</v>
      </c>
      <c r="AG2232" s="1">
        <v>23</v>
      </c>
      <c r="AH2232" s="1">
        <v>10</v>
      </c>
      <c r="AI2232" s="1">
        <v>14</v>
      </c>
      <c r="AJ2232" s="1">
        <v>0</v>
      </c>
      <c r="AK2232" s="1">
        <v>25</v>
      </c>
      <c r="AL2232" s="1" t="s">
        <v>136</v>
      </c>
      <c r="AM2232" s="1" t="s">
        <v>137</v>
      </c>
      <c r="AN2232" s="1" t="s">
        <v>138</v>
      </c>
      <c r="AO2232" s="1" t="s">
        <v>240</v>
      </c>
      <c r="AP2232" s="1" t="s">
        <v>241</v>
      </c>
      <c r="AQ2232" s="1" t="s">
        <v>74</v>
      </c>
      <c r="AR2232" s="1" t="s">
        <v>242</v>
      </c>
      <c r="AS2232" s="1" t="s">
        <v>243</v>
      </c>
      <c r="AT2232" s="1" t="s">
        <v>142</v>
      </c>
      <c r="AU2232" s="1">
        <v>2004</v>
      </c>
      <c r="AV2232" s="1">
        <v>48</v>
      </c>
      <c r="AW2232" s="1" t="s">
        <v>511</v>
      </c>
      <c r="AX2232" s="1" t="s">
        <v>74</v>
      </c>
      <c r="AY2232" s="1" t="s">
        <v>74</v>
      </c>
      <c r="AZ2232" s="1" t="s">
        <v>74</v>
      </c>
      <c r="BA2232" s="1" t="s">
        <v>74</v>
      </c>
      <c r="BB2232" s="1">
        <v>1040</v>
      </c>
      <c r="BC2232" s="1">
        <v>1047</v>
      </c>
      <c r="BD2232" s="1" t="s">
        <v>74</v>
      </c>
      <c r="BE2232" s="1" t="s">
        <v>35825</v>
      </c>
      <c r="BF2232" s="1" t="str">
        <f>HYPERLINK("http://dx.doi.org/10.1016/j.marpolbul.2003.12.007","http://dx.doi.org/10.1016/j.marpolbul.2003.12.007")</f>
        <v>http://dx.doi.org/10.1016/j.marpolbul.2003.12.007</v>
      </c>
      <c r="BG2232" s="1" t="s">
        <v>74</v>
      </c>
      <c r="BH2232" s="1" t="s">
        <v>74</v>
      </c>
      <c r="BI2232" s="1">
        <v>8</v>
      </c>
      <c r="BJ2232" s="1" t="s">
        <v>247</v>
      </c>
      <c r="BK2232" s="1" t="s">
        <v>96</v>
      </c>
      <c r="BL2232" s="1" t="s">
        <v>248</v>
      </c>
      <c r="BM2232" s="1" t="s">
        <v>35826</v>
      </c>
      <c r="BN2232" s="1">
        <v>15172809</v>
      </c>
      <c r="BO2232" s="1" t="s">
        <v>74</v>
      </c>
      <c r="BP2232" s="1" t="s">
        <v>74</v>
      </c>
      <c r="BQ2232" s="1" t="s">
        <v>74</v>
      </c>
      <c r="BR2232" s="1" t="s">
        <v>98</v>
      </c>
      <c r="BS2232" s="1" t="s">
        <v>35827</v>
      </c>
      <c r="BT2232" s="1" t="str">
        <f>HYPERLINK("https%3A%2F%2Fwww.webofscience.com%2Fwos%2Fwoscc%2Ffull-record%2FWOS:000222230300015","View Full Record in Web of Science")</f>
        <v>View Full Record in Web of Science</v>
      </c>
      <c r="BU2232" s="1"/>
      <c r="BV2232" s="1"/>
    </row>
    <row r="2233" spans="1:74">
      <c r="A2233" s="1" t="s">
        <v>72</v>
      </c>
      <c r="B2233" s="1" t="s">
        <v>35828</v>
      </c>
      <c r="C2233" s="1" t="s">
        <v>74</v>
      </c>
      <c r="D2233" s="1" t="s">
        <v>74</v>
      </c>
      <c r="E2233" s="1" t="s">
        <v>74</v>
      </c>
      <c r="F2233" s="1" t="s">
        <v>35828</v>
      </c>
      <c r="G2233" s="1" t="s">
        <v>74</v>
      </c>
      <c r="H2233" s="1" t="s">
        <v>74</v>
      </c>
      <c r="I2233" s="1" t="s">
        <v>35829</v>
      </c>
      <c r="J2233" s="1" t="s">
        <v>421</v>
      </c>
      <c r="K2233" s="1" t="s">
        <v>74</v>
      </c>
      <c r="L2233" s="1" t="s">
        <v>74</v>
      </c>
      <c r="M2233" s="1" t="s">
        <v>78</v>
      </c>
      <c r="N2233" s="1" t="s">
        <v>79</v>
      </c>
      <c r="O2233" s="1" t="s">
        <v>74</v>
      </c>
      <c r="P2233" s="1" t="s">
        <v>74</v>
      </c>
      <c r="Q2233" s="1" t="s">
        <v>74</v>
      </c>
      <c r="R2233" s="1" t="s">
        <v>74</v>
      </c>
      <c r="S2233" s="1" t="s">
        <v>74</v>
      </c>
      <c r="T2233" s="1" t="s">
        <v>35830</v>
      </c>
      <c r="U2233" s="1" t="s">
        <v>35831</v>
      </c>
      <c r="V2233" s="1" t="s">
        <v>35832</v>
      </c>
      <c r="W2233" s="1" t="s">
        <v>1699</v>
      </c>
      <c r="X2233" s="1" t="s">
        <v>1481</v>
      </c>
      <c r="Y2233" s="1" t="s">
        <v>35833</v>
      </c>
      <c r="Z2233" s="1" t="s">
        <v>1483</v>
      </c>
      <c r="AA2233" s="1" t="s">
        <v>2900</v>
      </c>
      <c r="AB2233" s="1" t="s">
        <v>2183</v>
      </c>
      <c r="AC2233" s="1" t="s">
        <v>74</v>
      </c>
      <c r="AD2233" s="1" t="s">
        <v>74</v>
      </c>
      <c r="AE2233" s="1" t="s">
        <v>74</v>
      </c>
      <c r="AF2233" s="1" t="s">
        <v>74</v>
      </c>
      <c r="AG2233" s="1">
        <v>37</v>
      </c>
      <c r="AH2233" s="1">
        <v>38</v>
      </c>
      <c r="AI2233" s="1">
        <v>47</v>
      </c>
      <c r="AJ2233" s="1">
        <v>2</v>
      </c>
      <c r="AK2233" s="1">
        <v>44</v>
      </c>
      <c r="AL2233" s="1" t="s">
        <v>430</v>
      </c>
      <c r="AM2233" s="1" t="s">
        <v>137</v>
      </c>
      <c r="AN2233" s="1" t="s">
        <v>431</v>
      </c>
      <c r="AO2233" s="1" t="s">
        <v>432</v>
      </c>
      <c r="AP2233" s="1" t="s">
        <v>1394</v>
      </c>
      <c r="AQ2233" s="1" t="s">
        <v>74</v>
      </c>
      <c r="AR2233" s="1" t="s">
        <v>433</v>
      </c>
      <c r="AS2233" s="1" t="s">
        <v>434</v>
      </c>
      <c r="AT2233" s="1" t="s">
        <v>142</v>
      </c>
      <c r="AU2233" s="1">
        <v>2004</v>
      </c>
      <c r="AV2233" s="1">
        <v>129</v>
      </c>
      <c r="AW2233" s="1">
        <v>3</v>
      </c>
      <c r="AX2233" s="1" t="s">
        <v>74</v>
      </c>
      <c r="AY2233" s="1" t="s">
        <v>74</v>
      </c>
      <c r="AZ2233" s="1" t="s">
        <v>74</v>
      </c>
      <c r="BA2233" s="1" t="s">
        <v>74</v>
      </c>
      <c r="BB2233" s="1">
        <v>467</v>
      </c>
      <c r="BC2233" s="1">
        <v>477</v>
      </c>
      <c r="BD2233" s="1" t="s">
        <v>74</v>
      </c>
      <c r="BE2233" s="1" t="s">
        <v>35834</v>
      </c>
      <c r="BF2233" s="1" t="str">
        <f>HYPERLINK("http://dx.doi.org/10.1016/j.envpol.2003.11.015","http://dx.doi.org/10.1016/j.envpol.2003.11.015")</f>
        <v>http://dx.doi.org/10.1016/j.envpol.2003.11.015</v>
      </c>
      <c r="BG2233" s="1" t="s">
        <v>74</v>
      </c>
      <c r="BH2233" s="1" t="s">
        <v>74</v>
      </c>
      <c r="BI2233" s="1">
        <v>11</v>
      </c>
      <c r="BJ2233" s="1" t="s">
        <v>144</v>
      </c>
      <c r="BK2233" s="1" t="s">
        <v>96</v>
      </c>
      <c r="BL2233" s="1" t="s">
        <v>145</v>
      </c>
      <c r="BM2233" s="1" t="s">
        <v>32570</v>
      </c>
      <c r="BN2233" s="1">
        <v>15016467</v>
      </c>
      <c r="BO2233" s="1" t="s">
        <v>74</v>
      </c>
      <c r="BP2233" s="1" t="s">
        <v>74</v>
      </c>
      <c r="BQ2233" s="1" t="s">
        <v>74</v>
      </c>
      <c r="BR2233" s="1" t="s">
        <v>98</v>
      </c>
      <c r="BS2233" s="1" t="s">
        <v>35835</v>
      </c>
      <c r="BT2233" s="1" t="str">
        <f>HYPERLINK("https%3A%2F%2Fwww.webofscience.com%2Fwos%2Fwoscc%2Ffull-record%2FWOS:000221587400013","View Full Record in Web of Science")</f>
        <v>View Full Record in Web of Science</v>
      </c>
      <c r="BU2233" s="1"/>
      <c r="BV2233" s="1"/>
    </row>
    <row r="2234" spans="1:74">
      <c r="A2234" s="1" t="s">
        <v>72</v>
      </c>
      <c r="B2234" s="1" t="s">
        <v>35836</v>
      </c>
      <c r="C2234" s="1" t="s">
        <v>74</v>
      </c>
      <c r="D2234" s="1" t="s">
        <v>74</v>
      </c>
      <c r="E2234" s="1" t="s">
        <v>74</v>
      </c>
      <c r="F2234" s="1" t="s">
        <v>35837</v>
      </c>
      <c r="G2234" s="1" t="s">
        <v>74</v>
      </c>
      <c r="H2234" s="1" t="s">
        <v>74</v>
      </c>
      <c r="I2234" s="1" t="s">
        <v>35838</v>
      </c>
      <c r="J2234" s="1" t="s">
        <v>421</v>
      </c>
      <c r="K2234" s="1" t="s">
        <v>74</v>
      </c>
      <c r="L2234" s="1" t="s">
        <v>74</v>
      </c>
      <c r="M2234" s="1" t="s">
        <v>78</v>
      </c>
      <c r="N2234" s="1" t="s">
        <v>79</v>
      </c>
      <c r="O2234" s="1" t="s">
        <v>74</v>
      </c>
      <c r="P2234" s="1" t="s">
        <v>74</v>
      </c>
      <c r="Q2234" s="1" t="s">
        <v>74</v>
      </c>
      <c r="R2234" s="1" t="s">
        <v>74</v>
      </c>
      <c r="S2234" s="1" t="s">
        <v>74</v>
      </c>
      <c r="T2234" s="1" t="s">
        <v>35839</v>
      </c>
      <c r="U2234" s="1" t="s">
        <v>35840</v>
      </c>
      <c r="V2234" s="1" t="s">
        <v>35841</v>
      </c>
      <c r="W2234" s="1" t="s">
        <v>35842</v>
      </c>
      <c r="X2234" s="1" t="s">
        <v>35843</v>
      </c>
      <c r="Y2234" s="1" t="s">
        <v>35844</v>
      </c>
      <c r="Z2234" s="1" t="s">
        <v>8840</v>
      </c>
      <c r="AA2234" s="1" t="s">
        <v>35845</v>
      </c>
      <c r="AB2234" s="1" t="s">
        <v>35846</v>
      </c>
      <c r="AC2234" s="1" t="s">
        <v>35847</v>
      </c>
      <c r="AD2234" s="1" t="s">
        <v>35848</v>
      </c>
      <c r="AE2234" s="1" t="s">
        <v>35849</v>
      </c>
      <c r="AF2234" s="1" t="s">
        <v>74</v>
      </c>
      <c r="AG2234" s="1">
        <v>51</v>
      </c>
      <c r="AH2234" s="1">
        <v>10</v>
      </c>
      <c r="AI2234" s="1">
        <v>12</v>
      </c>
      <c r="AJ2234" s="1">
        <v>12</v>
      </c>
      <c r="AK2234" s="1">
        <v>30</v>
      </c>
      <c r="AL2234" s="1" t="s">
        <v>430</v>
      </c>
      <c r="AM2234" s="1" t="s">
        <v>137</v>
      </c>
      <c r="AN2234" s="1" t="s">
        <v>431</v>
      </c>
      <c r="AO2234" s="1" t="s">
        <v>432</v>
      </c>
      <c r="AP2234" s="1" t="s">
        <v>1394</v>
      </c>
      <c r="AQ2234" s="1" t="s">
        <v>74</v>
      </c>
      <c r="AR2234" s="1" t="s">
        <v>433</v>
      </c>
      <c r="AS2234" s="1" t="s">
        <v>434</v>
      </c>
      <c r="AT2234" s="1" t="s">
        <v>3506</v>
      </c>
      <c r="AU2234" s="1">
        <v>2023</v>
      </c>
      <c r="AV2234" s="1">
        <v>333</v>
      </c>
      <c r="AW2234" s="1" t="s">
        <v>74</v>
      </c>
      <c r="AX2234" s="1" t="s">
        <v>74</v>
      </c>
      <c r="AY2234" s="1" t="s">
        <v>74</v>
      </c>
      <c r="AZ2234" s="1" t="s">
        <v>74</v>
      </c>
      <c r="BA2234" s="1" t="s">
        <v>74</v>
      </c>
      <c r="BB2234" s="1" t="s">
        <v>74</v>
      </c>
      <c r="BC2234" s="1" t="s">
        <v>74</v>
      </c>
      <c r="BD2234" s="1">
        <v>122104</v>
      </c>
      <c r="BE2234" s="1" t="s">
        <v>35850</v>
      </c>
      <c r="BF2234" s="1" t="str">
        <f>HYPERLINK("http://dx.doi.org/10.1016/j.envpol.2023.122104","http://dx.doi.org/10.1016/j.envpol.2023.122104")</f>
        <v>http://dx.doi.org/10.1016/j.envpol.2023.122104</v>
      </c>
      <c r="BG2234" s="1" t="s">
        <v>74</v>
      </c>
      <c r="BH2234" s="1" t="s">
        <v>767</v>
      </c>
      <c r="BI2234" s="1">
        <v>8</v>
      </c>
      <c r="BJ2234" s="1" t="s">
        <v>144</v>
      </c>
      <c r="BK2234" s="1" t="s">
        <v>96</v>
      </c>
      <c r="BL2234" s="1" t="s">
        <v>145</v>
      </c>
      <c r="BM2234" s="1" t="s">
        <v>35851</v>
      </c>
      <c r="BN2234" s="1">
        <v>37379876</v>
      </c>
      <c r="BO2234" s="1" t="s">
        <v>74</v>
      </c>
      <c r="BP2234" s="1" t="s">
        <v>74</v>
      </c>
      <c r="BQ2234" s="1" t="s">
        <v>74</v>
      </c>
      <c r="BR2234" s="1" t="s">
        <v>98</v>
      </c>
      <c r="BS2234" s="1" t="s">
        <v>35852</v>
      </c>
      <c r="BT2234" s="1" t="str">
        <f>HYPERLINK("https%3A%2F%2Fwww.webofscience.com%2Fwos%2Fwoscc%2Ffull-record%2FWOS:001030605200001","View Full Record in Web of Science")</f>
        <v>View Full Record in Web of Science</v>
      </c>
      <c r="BU2234" s="1"/>
      <c r="BV2234" s="1"/>
    </row>
    <row r="2235" spans="1:74">
      <c r="A2235" s="1" t="s">
        <v>72</v>
      </c>
      <c r="B2235" s="1" t="s">
        <v>11975</v>
      </c>
      <c r="C2235" s="1" t="s">
        <v>74</v>
      </c>
      <c r="D2235" s="1" t="s">
        <v>74</v>
      </c>
      <c r="E2235" s="1" t="s">
        <v>74</v>
      </c>
      <c r="F2235" s="1" t="s">
        <v>11976</v>
      </c>
      <c r="G2235" s="1" t="s">
        <v>74</v>
      </c>
      <c r="H2235" s="1" t="s">
        <v>74</v>
      </c>
      <c r="I2235" s="1" t="s">
        <v>35853</v>
      </c>
      <c r="J2235" s="1" t="s">
        <v>909</v>
      </c>
      <c r="K2235" s="1" t="s">
        <v>74</v>
      </c>
      <c r="L2235" s="1" t="s">
        <v>74</v>
      </c>
      <c r="M2235" s="1" t="s">
        <v>78</v>
      </c>
      <c r="N2235" s="1" t="s">
        <v>79</v>
      </c>
      <c r="O2235" s="1" t="s">
        <v>74</v>
      </c>
      <c r="P2235" s="1" t="s">
        <v>74</v>
      </c>
      <c r="Q2235" s="1" t="s">
        <v>74</v>
      </c>
      <c r="R2235" s="1" t="s">
        <v>74</v>
      </c>
      <c r="S2235" s="1" t="s">
        <v>74</v>
      </c>
      <c r="T2235" s="1" t="s">
        <v>35854</v>
      </c>
      <c r="U2235" s="1" t="s">
        <v>35855</v>
      </c>
      <c r="V2235" s="1" t="s">
        <v>35856</v>
      </c>
      <c r="W2235" s="1" t="s">
        <v>35857</v>
      </c>
      <c r="X2235" s="1" t="s">
        <v>11982</v>
      </c>
      <c r="Y2235" s="1" t="s">
        <v>11543</v>
      </c>
      <c r="Z2235" s="1" t="s">
        <v>1483</v>
      </c>
      <c r="AA2235" s="1" t="s">
        <v>2900</v>
      </c>
      <c r="AB2235" s="1" t="s">
        <v>2183</v>
      </c>
      <c r="AC2235" s="1" t="s">
        <v>35858</v>
      </c>
      <c r="AD2235" s="1" t="s">
        <v>35859</v>
      </c>
      <c r="AE2235" s="1" t="s">
        <v>35860</v>
      </c>
      <c r="AF2235" s="1" t="s">
        <v>74</v>
      </c>
      <c r="AG2235" s="1">
        <v>61</v>
      </c>
      <c r="AH2235" s="1">
        <v>70</v>
      </c>
      <c r="AI2235" s="1">
        <v>76</v>
      </c>
      <c r="AJ2235" s="1">
        <v>3</v>
      </c>
      <c r="AK2235" s="1">
        <v>48</v>
      </c>
      <c r="AL2235" s="1" t="s">
        <v>650</v>
      </c>
      <c r="AM2235" s="1" t="s">
        <v>651</v>
      </c>
      <c r="AN2235" s="1" t="s">
        <v>652</v>
      </c>
      <c r="AO2235" s="1" t="s">
        <v>921</v>
      </c>
      <c r="AP2235" s="1" t="s">
        <v>922</v>
      </c>
      <c r="AQ2235" s="1" t="s">
        <v>74</v>
      </c>
      <c r="AR2235" s="1" t="s">
        <v>923</v>
      </c>
      <c r="AS2235" s="1" t="s">
        <v>924</v>
      </c>
      <c r="AT2235" s="1" t="s">
        <v>16894</v>
      </c>
      <c r="AU2235" s="1">
        <v>2014</v>
      </c>
      <c r="AV2235" s="1">
        <v>485</v>
      </c>
      <c r="AW2235" s="1" t="s">
        <v>74</v>
      </c>
      <c r="AX2235" s="1" t="s">
        <v>74</v>
      </c>
      <c r="AY2235" s="1" t="s">
        <v>74</v>
      </c>
      <c r="AZ2235" s="1" t="s">
        <v>74</v>
      </c>
      <c r="BA2235" s="1" t="s">
        <v>74</v>
      </c>
      <c r="BB2235" s="1">
        <v>604</v>
      </c>
      <c r="BC2235" s="1">
        <v>614</v>
      </c>
      <c r="BD2235" s="1" t="s">
        <v>74</v>
      </c>
      <c r="BE2235" s="1" t="s">
        <v>35861</v>
      </c>
      <c r="BF2235" s="1" t="str">
        <f>HYPERLINK("http://dx.doi.org/10.1016/j.scitotenv.2014.03.110","http://dx.doi.org/10.1016/j.scitotenv.2014.03.110")</f>
        <v>http://dx.doi.org/10.1016/j.scitotenv.2014.03.110</v>
      </c>
      <c r="BG2235" s="1" t="s">
        <v>74</v>
      </c>
      <c r="BH2235" s="1" t="s">
        <v>74</v>
      </c>
      <c r="BI2235" s="1">
        <v>11</v>
      </c>
      <c r="BJ2235" s="1" t="s">
        <v>144</v>
      </c>
      <c r="BK2235" s="1" t="s">
        <v>96</v>
      </c>
      <c r="BL2235" s="1" t="s">
        <v>145</v>
      </c>
      <c r="BM2235" s="1" t="s">
        <v>35862</v>
      </c>
      <c r="BN2235" s="1">
        <v>24747252</v>
      </c>
      <c r="BO2235" s="1" t="s">
        <v>74</v>
      </c>
      <c r="BP2235" s="1" t="s">
        <v>74</v>
      </c>
      <c r="BQ2235" s="1" t="s">
        <v>74</v>
      </c>
      <c r="BR2235" s="1" t="s">
        <v>98</v>
      </c>
      <c r="BS2235" s="1" t="s">
        <v>35863</v>
      </c>
      <c r="BT2235" s="1" t="str">
        <f>HYPERLINK("https%3A%2F%2Fwww.webofscience.com%2Fwos%2Fwoscc%2Ffull-record%2FWOS:000337259000063","View Full Record in Web of Science")</f>
        <v>View Full Record in Web of Science</v>
      </c>
      <c r="BU2235" s="1"/>
      <c r="BV2235" s="1"/>
    </row>
    <row r="2236" spans="1:74">
      <c r="A2236" s="1" t="s">
        <v>72</v>
      </c>
      <c r="B2236" s="1" t="s">
        <v>35864</v>
      </c>
      <c r="C2236" s="1" t="s">
        <v>74</v>
      </c>
      <c r="D2236" s="1" t="s">
        <v>74</v>
      </c>
      <c r="E2236" s="1" t="s">
        <v>74</v>
      </c>
      <c r="F2236" s="1" t="s">
        <v>35865</v>
      </c>
      <c r="G2236" s="1" t="s">
        <v>74</v>
      </c>
      <c r="H2236" s="1" t="s">
        <v>74</v>
      </c>
      <c r="I2236" s="1" t="s">
        <v>35866</v>
      </c>
      <c r="J2236" s="1" t="s">
        <v>127</v>
      </c>
      <c r="K2236" s="1" t="s">
        <v>74</v>
      </c>
      <c r="L2236" s="1" t="s">
        <v>74</v>
      </c>
      <c r="M2236" s="1" t="s">
        <v>78</v>
      </c>
      <c r="N2236" s="1" t="s">
        <v>79</v>
      </c>
      <c r="O2236" s="1" t="s">
        <v>74</v>
      </c>
      <c r="P2236" s="1" t="s">
        <v>74</v>
      </c>
      <c r="Q2236" s="1" t="s">
        <v>74</v>
      </c>
      <c r="R2236" s="1" t="s">
        <v>74</v>
      </c>
      <c r="S2236" s="1" t="s">
        <v>74</v>
      </c>
      <c r="T2236" s="1" t="s">
        <v>35867</v>
      </c>
      <c r="U2236" s="1" t="s">
        <v>35868</v>
      </c>
      <c r="V2236" s="1" t="s">
        <v>35869</v>
      </c>
      <c r="W2236" s="1" t="s">
        <v>35870</v>
      </c>
      <c r="X2236" s="1" t="s">
        <v>35871</v>
      </c>
      <c r="Y2236" s="1" t="s">
        <v>35872</v>
      </c>
      <c r="Z2236" s="1" t="s">
        <v>35873</v>
      </c>
      <c r="AA2236" s="1" t="s">
        <v>35874</v>
      </c>
      <c r="AB2236" s="1" t="s">
        <v>35875</v>
      </c>
      <c r="AC2236" s="1" t="s">
        <v>74</v>
      </c>
      <c r="AD2236" s="1" t="s">
        <v>74</v>
      </c>
      <c r="AE2236" s="1" t="s">
        <v>74</v>
      </c>
      <c r="AF2236" s="1" t="s">
        <v>74</v>
      </c>
      <c r="AG2236" s="1">
        <v>44</v>
      </c>
      <c r="AH2236" s="1">
        <v>14</v>
      </c>
      <c r="AI2236" s="1">
        <v>14</v>
      </c>
      <c r="AJ2236" s="1">
        <v>1</v>
      </c>
      <c r="AK2236" s="1">
        <v>24</v>
      </c>
      <c r="AL2236" s="1" t="s">
        <v>136</v>
      </c>
      <c r="AM2236" s="1" t="s">
        <v>137</v>
      </c>
      <c r="AN2236" s="1" t="s">
        <v>138</v>
      </c>
      <c r="AO2236" s="1" t="s">
        <v>139</v>
      </c>
      <c r="AP2236" s="1" t="s">
        <v>140</v>
      </c>
      <c r="AQ2236" s="1" t="s">
        <v>74</v>
      </c>
      <c r="AR2236" s="1" t="s">
        <v>127</v>
      </c>
      <c r="AS2236" s="1" t="s">
        <v>141</v>
      </c>
      <c r="AT2236" s="1" t="s">
        <v>142</v>
      </c>
      <c r="AU2236" s="1">
        <v>2020</v>
      </c>
      <c r="AV2236" s="1">
        <v>248</v>
      </c>
      <c r="AW2236" s="1" t="s">
        <v>74</v>
      </c>
      <c r="AX2236" s="1" t="s">
        <v>74</v>
      </c>
      <c r="AY2236" s="1" t="s">
        <v>74</v>
      </c>
      <c r="AZ2236" s="1" t="s">
        <v>74</v>
      </c>
      <c r="BA2236" s="1" t="s">
        <v>74</v>
      </c>
      <c r="BB2236" s="1" t="s">
        <v>74</v>
      </c>
      <c r="BC2236" s="1" t="s">
        <v>74</v>
      </c>
      <c r="BD2236" s="1">
        <v>126004</v>
      </c>
      <c r="BE2236" s="1" t="s">
        <v>35876</v>
      </c>
      <c r="BF2236" s="1" t="str">
        <f>HYPERLINK("http://dx.doi.org/10.1016/j.chemosphere.2020.126004","http://dx.doi.org/10.1016/j.chemosphere.2020.126004")</f>
        <v>http://dx.doi.org/10.1016/j.chemosphere.2020.126004</v>
      </c>
      <c r="BG2236" s="1" t="s">
        <v>74</v>
      </c>
      <c r="BH2236" s="1" t="s">
        <v>74</v>
      </c>
      <c r="BI2236" s="1">
        <v>12</v>
      </c>
      <c r="BJ2236" s="1" t="s">
        <v>144</v>
      </c>
      <c r="BK2236" s="1" t="s">
        <v>96</v>
      </c>
      <c r="BL2236" s="1" t="s">
        <v>145</v>
      </c>
      <c r="BM2236" s="1" t="s">
        <v>24937</v>
      </c>
      <c r="BN2236" s="1">
        <v>32041062</v>
      </c>
      <c r="BO2236" s="1" t="s">
        <v>74</v>
      </c>
      <c r="BP2236" s="1" t="s">
        <v>74</v>
      </c>
      <c r="BQ2236" s="1" t="s">
        <v>74</v>
      </c>
      <c r="BR2236" s="1" t="s">
        <v>98</v>
      </c>
      <c r="BS2236" s="1" t="s">
        <v>35877</v>
      </c>
      <c r="BT2236" s="1" t="str">
        <f>HYPERLINK("https%3A%2F%2Fwww.webofscience.com%2Fwos%2Fwoscc%2Ffull-record%2FWOS:000527930600053","View Full Record in Web of Science")</f>
        <v>View Full Record in Web of Science</v>
      </c>
      <c r="BU2236" s="1"/>
      <c r="BV2236" s="1"/>
    </row>
    <row r="2237" spans="1:74">
      <c r="A2237" s="1" t="s">
        <v>72</v>
      </c>
      <c r="B2237" s="1" t="s">
        <v>35878</v>
      </c>
      <c r="C2237" s="1" t="s">
        <v>74</v>
      </c>
      <c r="D2237" s="1" t="s">
        <v>74</v>
      </c>
      <c r="E2237" s="1" t="s">
        <v>74</v>
      </c>
      <c r="F2237" s="1" t="s">
        <v>35879</v>
      </c>
      <c r="G2237" s="1" t="s">
        <v>74</v>
      </c>
      <c r="H2237" s="1" t="s">
        <v>74</v>
      </c>
      <c r="I2237" s="1" t="s">
        <v>35880</v>
      </c>
      <c r="J2237" s="1" t="s">
        <v>24606</v>
      </c>
      <c r="K2237" s="1" t="s">
        <v>74</v>
      </c>
      <c r="L2237" s="1" t="s">
        <v>74</v>
      </c>
      <c r="M2237" s="1" t="s">
        <v>78</v>
      </c>
      <c r="N2237" s="1" t="s">
        <v>79</v>
      </c>
      <c r="O2237" s="1" t="s">
        <v>74</v>
      </c>
      <c r="P2237" s="1" t="s">
        <v>74</v>
      </c>
      <c r="Q2237" s="1" t="s">
        <v>74</v>
      </c>
      <c r="R2237" s="1" t="s">
        <v>74</v>
      </c>
      <c r="S2237" s="1" t="s">
        <v>74</v>
      </c>
      <c r="T2237" s="1" t="s">
        <v>35881</v>
      </c>
      <c r="U2237" s="1" t="s">
        <v>35882</v>
      </c>
      <c r="V2237" s="1" t="s">
        <v>35883</v>
      </c>
      <c r="W2237" s="1" t="s">
        <v>35884</v>
      </c>
      <c r="X2237" s="1" t="s">
        <v>19962</v>
      </c>
      <c r="Y2237" s="1" t="s">
        <v>35885</v>
      </c>
      <c r="Z2237" s="1" t="s">
        <v>35886</v>
      </c>
      <c r="AA2237" s="1" t="s">
        <v>35887</v>
      </c>
      <c r="AB2237" s="1" t="s">
        <v>35888</v>
      </c>
      <c r="AC2237" s="1" t="s">
        <v>35889</v>
      </c>
      <c r="AD2237" s="1" t="s">
        <v>35890</v>
      </c>
      <c r="AE2237" s="1" t="s">
        <v>35891</v>
      </c>
      <c r="AF2237" s="1" t="s">
        <v>74</v>
      </c>
      <c r="AG2237" s="1">
        <v>87</v>
      </c>
      <c r="AH2237" s="1">
        <v>4</v>
      </c>
      <c r="AI2237" s="1">
        <v>4</v>
      </c>
      <c r="AJ2237" s="1">
        <v>2</v>
      </c>
      <c r="AK2237" s="1">
        <v>4</v>
      </c>
      <c r="AL2237" s="1" t="s">
        <v>1566</v>
      </c>
      <c r="AM2237" s="1" t="s">
        <v>1567</v>
      </c>
      <c r="AN2237" s="1" t="s">
        <v>1568</v>
      </c>
      <c r="AO2237" s="1" t="s">
        <v>74</v>
      </c>
      <c r="AP2237" s="1" t="s">
        <v>24619</v>
      </c>
      <c r="AQ2237" s="1" t="s">
        <v>74</v>
      </c>
      <c r="AR2237" s="1" t="s">
        <v>24620</v>
      </c>
      <c r="AS2237" s="1" t="s">
        <v>24621</v>
      </c>
      <c r="AT2237" s="1" t="s">
        <v>305</v>
      </c>
      <c r="AU2237" s="1">
        <v>2023</v>
      </c>
      <c r="AV2237" s="1">
        <v>12</v>
      </c>
      <c r="AW2237" s="1">
        <v>9</v>
      </c>
      <c r="AX2237" s="1" t="s">
        <v>74</v>
      </c>
      <c r="AY2237" s="1" t="s">
        <v>74</v>
      </c>
      <c r="AZ2237" s="1" t="s">
        <v>74</v>
      </c>
      <c r="BA2237" s="1" t="s">
        <v>74</v>
      </c>
      <c r="BB2237" s="1" t="s">
        <v>74</v>
      </c>
      <c r="BC2237" s="1" t="s">
        <v>74</v>
      </c>
      <c r="BD2237" s="1">
        <v>1756</v>
      </c>
      <c r="BE2237" s="1" t="s">
        <v>35892</v>
      </c>
      <c r="BF2237" s="1" t="str">
        <f>HYPERLINK("http://dx.doi.org/10.3390/antiox12091756","http://dx.doi.org/10.3390/antiox12091756")</f>
        <v>http://dx.doi.org/10.3390/antiox12091756</v>
      </c>
      <c r="BG2237" s="1" t="s">
        <v>74</v>
      </c>
      <c r="BH2237" s="1" t="s">
        <v>74</v>
      </c>
      <c r="BI2237" s="1">
        <v>16</v>
      </c>
      <c r="BJ2237" s="1" t="s">
        <v>24624</v>
      </c>
      <c r="BK2237" s="1" t="s">
        <v>96</v>
      </c>
      <c r="BL2237" s="1" t="s">
        <v>24625</v>
      </c>
      <c r="BM2237" s="1" t="s">
        <v>35893</v>
      </c>
      <c r="BN2237" s="1">
        <v>37760058</v>
      </c>
      <c r="BO2237" s="1" t="s">
        <v>550</v>
      </c>
      <c r="BP2237" s="1" t="s">
        <v>74</v>
      </c>
      <c r="BQ2237" s="1" t="s">
        <v>74</v>
      </c>
      <c r="BR2237" s="1" t="s">
        <v>98</v>
      </c>
      <c r="BS2237" s="1" t="s">
        <v>35894</v>
      </c>
      <c r="BT2237" s="1" t="str">
        <f>HYPERLINK("https%3A%2F%2Fwww.webofscience.com%2Fwos%2Fwoscc%2Ffull-record%2FWOS:001075004500001","View Full Record in Web of Science")</f>
        <v>View Full Record in Web of Science</v>
      </c>
      <c r="BU2237" s="1"/>
      <c r="BV2237" s="1"/>
    </row>
    <row r="2238" spans="1:74">
      <c r="A2238" s="1" t="s">
        <v>72</v>
      </c>
      <c r="B2238" s="1" t="s">
        <v>35895</v>
      </c>
      <c r="C2238" s="1" t="s">
        <v>74</v>
      </c>
      <c r="D2238" s="1" t="s">
        <v>74</v>
      </c>
      <c r="E2238" s="1" t="s">
        <v>74</v>
      </c>
      <c r="F2238" s="1" t="s">
        <v>35896</v>
      </c>
      <c r="G2238" s="1" t="s">
        <v>74</v>
      </c>
      <c r="H2238" s="1" t="s">
        <v>74</v>
      </c>
      <c r="I2238" s="1" t="s">
        <v>35897</v>
      </c>
      <c r="J2238" s="1" t="s">
        <v>35898</v>
      </c>
      <c r="K2238" s="1" t="s">
        <v>74</v>
      </c>
      <c r="L2238" s="1" t="s">
        <v>74</v>
      </c>
      <c r="M2238" s="1" t="s">
        <v>78</v>
      </c>
      <c r="N2238" s="1" t="s">
        <v>79</v>
      </c>
      <c r="O2238" s="1" t="s">
        <v>74</v>
      </c>
      <c r="P2238" s="1" t="s">
        <v>74</v>
      </c>
      <c r="Q2238" s="1" t="s">
        <v>74</v>
      </c>
      <c r="R2238" s="1" t="s">
        <v>74</v>
      </c>
      <c r="S2238" s="1" t="s">
        <v>74</v>
      </c>
      <c r="T2238" s="1" t="s">
        <v>74</v>
      </c>
      <c r="U2238" s="1" t="s">
        <v>35899</v>
      </c>
      <c r="V2238" s="1" t="s">
        <v>35900</v>
      </c>
      <c r="W2238" s="1" t="s">
        <v>35901</v>
      </c>
      <c r="X2238" s="1" t="s">
        <v>35902</v>
      </c>
      <c r="Y2238" s="1" t="s">
        <v>35903</v>
      </c>
      <c r="Z2238" s="1" t="s">
        <v>35904</v>
      </c>
      <c r="AA2238" s="1" t="s">
        <v>35905</v>
      </c>
      <c r="AB2238" s="1" t="s">
        <v>35906</v>
      </c>
      <c r="AC2238" s="1" t="s">
        <v>35907</v>
      </c>
      <c r="AD2238" s="1" t="s">
        <v>35908</v>
      </c>
      <c r="AE2238" s="1" t="s">
        <v>35909</v>
      </c>
      <c r="AF2238" s="1" t="s">
        <v>74</v>
      </c>
      <c r="AG2238" s="1">
        <v>49</v>
      </c>
      <c r="AH2238" s="1">
        <v>7</v>
      </c>
      <c r="AI2238" s="1">
        <v>8</v>
      </c>
      <c r="AJ2238" s="1">
        <v>3</v>
      </c>
      <c r="AK2238" s="1">
        <v>16</v>
      </c>
      <c r="AL2238" s="1" t="s">
        <v>4471</v>
      </c>
      <c r="AM2238" s="1" t="s">
        <v>4472</v>
      </c>
      <c r="AN2238" s="1" t="s">
        <v>4473</v>
      </c>
      <c r="AO2238" s="1" t="s">
        <v>35910</v>
      </c>
      <c r="AP2238" s="1" t="s">
        <v>74</v>
      </c>
      <c r="AQ2238" s="1" t="s">
        <v>74</v>
      </c>
      <c r="AR2238" s="1" t="s">
        <v>35898</v>
      </c>
      <c r="AS2238" s="1" t="s">
        <v>35911</v>
      </c>
      <c r="AT2238" s="1" t="s">
        <v>35912</v>
      </c>
      <c r="AU2238" s="1">
        <v>2023</v>
      </c>
      <c r="AV2238" s="1">
        <v>8</v>
      </c>
      <c r="AW2238" s="1">
        <v>6</v>
      </c>
      <c r="AX2238" s="1" t="s">
        <v>74</v>
      </c>
      <c r="AY2238" s="1" t="s">
        <v>74</v>
      </c>
      <c r="AZ2238" s="1" t="s">
        <v>74</v>
      </c>
      <c r="BA2238" s="1" t="s">
        <v>74</v>
      </c>
      <c r="BB2238" s="1">
        <v>5361</v>
      </c>
      <c r="BC2238" s="1">
        <v>5376</v>
      </c>
      <c r="BD2238" s="1" t="s">
        <v>74</v>
      </c>
      <c r="BE2238" s="1" t="s">
        <v>35913</v>
      </c>
      <c r="BF2238" s="1" t="str">
        <f>HYPERLINK("http://dx.doi.org/10.1021/acsomega.2c06453","http://dx.doi.org/10.1021/acsomega.2c06453")</f>
        <v>http://dx.doi.org/10.1021/acsomega.2c06453</v>
      </c>
      <c r="BG2238" s="1" t="s">
        <v>74</v>
      </c>
      <c r="BH2238" s="1" t="s">
        <v>2057</v>
      </c>
      <c r="BI2238" s="1">
        <v>16</v>
      </c>
      <c r="BJ2238" s="1" t="s">
        <v>3919</v>
      </c>
      <c r="BK2238" s="1" t="s">
        <v>96</v>
      </c>
      <c r="BL2238" s="1" t="s">
        <v>1197</v>
      </c>
      <c r="BM2238" s="1" t="s">
        <v>35914</v>
      </c>
      <c r="BN2238" s="1">
        <v>36816655</v>
      </c>
      <c r="BO2238" s="1" t="s">
        <v>2155</v>
      </c>
      <c r="BP2238" s="1" t="s">
        <v>74</v>
      </c>
      <c r="BQ2238" s="1" t="s">
        <v>74</v>
      </c>
      <c r="BR2238" s="1" t="s">
        <v>98</v>
      </c>
      <c r="BS2238" s="1" t="s">
        <v>35915</v>
      </c>
      <c r="BT2238" s="1" t="str">
        <f>HYPERLINK("https%3A%2F%2Fwww.webofscience.com%2Fwos%2Fwoscc%2Ffull-record%2FWOS:000927011900001","View Full Record in Web of Science")</f>
        <v>View Full Record in Web of Science</v>
      </c>
      <c r="BU2238" s="1"/>
      <c r="BV2238" s="1"/>
    </row>
    <row r="2239" spans="1:74">
      <c r="A2239" s="1" t="s">
        <v>72</v>
      </c>
      <c r="B2239" s="1" t="s">
        <v>35916</v>
      </c>
      <c r="C2239" s="1" t="s">
        <v>74</v>
      </c>
      <c r="D2239" s="1" t="s">
        <v>74</v>
      </c>
      <c r="E2239" s="1" t="s">
        <v>74</v>
      </c>
      <c r="F2239" s="1" t="s">
        <v>35916</v>
      </c>
      <c r="G2239" s="1" t="s">
        <v>74</v>
      </c>
      <c r="H2239" s="1" t="s">
        <v>74</v>
      </c>
      <c r="I2239" s="1" t="s">
        <v>35917</v>
      </c>
      <c r="J2239" s="1" t="s">
        <v>232</v>
      </c>
      <c r="K2239" s="1" t="s">
        <v>74</v>
      </c>
      <c r="L2239" s="1" t="s">
        <v>74</v>
      </c>
      <c r="M2239" s="1" t="s">
        <v>78</v>
      </c>
      <c r="N2239" s="1" t="s">
        <v>79</v>
      </c>
      <c r="O2239" s="1" t="s">
        <v>74</v>
      </c>
      <c r="P2239" s="1" t="s">
        <v>74</v>
      </c>
      <c r="Q2239" s="1" t="s">
        <v>74</v>
      </c>
      <c r="R2239" s="1" t="s">
        <v>74</v>
      </c>
      <c r="S2239" s="1" t="s">
        <v>74</v>
      </c>
      <c r="T2239" s="1" t="s">
        <v>35918</v>
      </c>
      <c r="U2239" s="1" t="s">
        <v>35919</v>
      </c>
      <c r="V2239" s="1" t="s">
        <v>35920</v>
      </c>
      <c r="W2239" s="1" t="s">
        <v>35921</v>
      </c>
      <c r="X2239" s="1" t="s">
        <v>10012</v>
      </c>
      <c r="Y2239" s="1" t="s">
        <v>35922</v>
      </c>
      <c r="Z2239" s="1" t="s">
        <v>27666</v>
      </c>
      <c r="AA2239" s="1" t="s">
        <v>27667</v>
      </c>
      <c r="AB2239" s="1" t="s">
        <v>27668</v>
      </c>
      <c r="AC2239" s="1" t="s">
        <v>74</v>
      </c>
      <c r="AD2239" s="1" t="s">
        <v>74</v>
      </c>
      <c r="AE2239" s="1" t="s">
        <v>74</v>
      </c>
      <c r="AF2239" s="1" t="s">
        <v>74</v>
      </c>
      <c r="AG2239" s="1">
        <v>35</v>
      </c>
      <c r="AH2239" s="1">
        <v>49</v>
      </c>
      <c r="AI2239" s="1">
        <v>51</v>
      </c>
      <c r="AJ2239" s="1">
        <v>0</v>
      </c>
      <c r="AK2239" s="1">
        <v>9</v>
      </c>
      <c r="AL2239" s="1" t="s">
        <v>136</v>
      </c>
      <c r="AM2239" s="1" t="s">
        <v>137</v>
      </c>
      <c r="AN2239" s="1" t="s">
        <v>138</v>
      </c>
      <c r="AO2239" s="1" t="s">
        <v>240</v>
      </c>
      <c r="AP2239" s="1" t="s">
        <v>241</v>
      </c>
      <c r="AQ2239" s="1" t="s">
        <v>74</v>
      </c>
      <c r="AR2239" s="1" t="s">
        <v>242</v>
      </c>
      <c r="AS2239" s="1" t="s">
        <v>243</v>
      </c>
      <c r="AT2239" s="1" t="s">
        <v>267</v>
      </c>
      <c r="AU2239" s="1">
        <v>2002</v>
      </c>
      <c r="AV2239" s="1">
        <v>44</v>
      </c>
      <c r="AW2239" s="1">
        <v>10</v>
      </c>
      <c r="AX2239" s="1" t="s">
        <v>74</v>
      </c>
      <c r="AY2239" s="1" t="s">
        <v>74</v>
      </c>
      <c r="AZ2239" s="1" t="s">
        <v>74</v>
      </c>
      <c r="BA2239" s="1" t="s">
        <v>74</v>
      </c>
      <c r="BB2239" s="1">
        <v>997</v>
      </c>
      <c r="BC2239" s="1">
        <v>1002</v>
      </c>
      <c r="BD2239" s="1" t="s">
        <v>35923</v>
      </c>
      <c r="BE2239" s="1" t="s">
        <v>35924</v>
      </c>
      <c r="BF2239" s="1" t="str">
        <f>HYPERLINK("http://dx.doi.org/10.1016/S0025-326X(02)00135-2","http://dx.doi.org/10.1016/S0025-326X(02)00135-2")</f>
        <v>http://dx.doi.org/10.1016/S0025-326X(02)00135-2</v>
      </c>
      <c r="BG2239" s="1" t="s">
        <v>74</v>
      </c>
      <c r="BH2239" s="1" t="s">
        <v>74</v>
      </c>
      <c r="BI2239" s="1">
        <v>6</v>
      </c>
      <c r="BJ2239" s="1" t="s">
        <v>247</v>
      </c>
      <c r="BK2239" s="1" t="s">
        <v>96</v>
      </c>
      <c r="BL2239" s="1" t="s">
        <v>248</v>
      </c>
      <c r="BM2239" s="1" t="s">
        <v>15891</v>
      </c>
      <c r="BN2239" s="1">
        <v>12474958</v>
      </c>
      <c r="BO2239" s="1" t="s">
        <v>810</v>
      </c>
      <c r="BP2239" s="1" t="s">
        <v>74</v>
      </c>
      <c r="BQ2239" s="1" t="s">
        <v>74</v>
      </c>
      <c r="BR2239" s="1" t="s">
        <v>98</v>
      </c>
      <c r="BS2239" s="1" t="s">
        <v>35925</v>
      </c>
      <c r="BT2239" s="1" t="str">
        <f>HYPERLINK("https%3A%2F%2Fwww.webofscience.com%2Fwos%2Fwoscc%2Ffull-record%2FWOS:000179296900012","View Full Record in Web of Science")</f>
        <v>View Full Record in Web of Science</v>
      </c>
      <c r="BU2239" s="1"/>
      <c r="BV2239" s="1"/>
    </row>
    <row r="2240" spans="1:74">
      <c r="A2240" s="1" t="s">
        <v>72</v>
      </c>
      <c r="B2240" s="1" t="s">
        <v>35926</v>
      </c>
      <c r="C2240" s="1" t="s">
        <v>74</v>
      </c>
      <c r="D2240" s="1" t="s">
        <v>74</v>
      </c>
      <c r="E2240" s="1" t="s">
        <v>74</v>
      </c>
      <c r="F2240" s="1" t="s">
        <v>35927</v>
      </c>
      <c r="G2240" s="1" t="s">
        <v>74</v>
      </c>
      <c r="H2240" s="1" t="s">
        <v>74</v>
      </c>
      <c r="I2240" s="1" t="s">
        <v>35928</v>
      </c>
      <c r="J2240" s="1" t="s">
        <v>641</v>
      </c>
      <c r="K2240" s="1" t="s">
        <v>74</v>
      </c>
      <c r="L2240" s="1" t="s">
        <v>74</v>
      </c>
      <c r="M2240" s="1" t="s">
        <v>78</v>
      </c>
      <c r="N2240" s="1" t="s">
        <v>79</v>
      </c>
      <c r="O2240" s="1" t="s">
        <v>74</v>
      </c>
      <c r="P2240" s="1" t="s">
        <v>74</v>
      </c>
      <c r="Q2240" s="1" t="s">
        <v>74</v>
      </c>
      <c r="R2240" s="1" t="s">
        <v>74</v>
      </c>
      <c r="S2240" s="1" t="s">
        <v>74</v>
      </c>
      <c r="T2240" s="1" t="s">
        <v>35929</v>
      </c>
      <c r="U2240" s="1" t="s">
        <v>35930</v>
      </c>
      <c r="V2240" s="1" t="s">
        <v>35931</v>
      </c>
      <c r="W2240" s="1" t="s">
        <v>35932</v>
      </c>
      <c r="X2240" s="1" t="s">
        <v>35933</v>
      </c>
      <c r="Y2240" s="1" t="s">
        <v>35934</v>
      </c>
      <c r="Z2240" s="1" t="s">
        <v>35935</v>
      </c>
      <c r="AA2240" s="1" t="s">
        <v>35936</v>
      </c>
      <c r="AB2240" s="1" t="s">
        <v>35937</v>
      </c>
      <c r="AC2240" s="1" t="s">
        <v>35938</v>
      </c>
      <c r="AD2240" s="1" t="s">
        <v>35939</v>
      </c>
      <c r="AE2240" s="1" t="s">
        <v>35940</v>
      </c>
      <c r="AF2240" s="1" t="s">
        <v>74</v>
      </c>
      <c r="AG2240" s="1">
        <v>120</v>
      </c>
      <c r="AH2240" s="1">
        <v>53</v>
      </c>
      <c r="AI2240" s="1">
        <v>55</v>
      </c>
      <c r="AJ2240" s="1">
        <v>1</v>
      </c>
      <c r="AK2240" s="1">
        <v>51</v>
      </c>
      <c r="AL2240" s="1" t="s">
        <v>650</v>
      </c>
      <c r="AM2240" s="1" t="s">
        <v>651</v>
      </c>
      <c r="AN2240" s="1" t="s">
        <v>652</v>
      </c>
      <c r="AO2240" s="1" t="s">
        <v>653</v>
      </c>
      <c r="AP2240" s="1" t="s">
        <v>654</v>
      </c>
      <c r="AQ2240" s="1" t="s">
        <v>74</v>
      </c>
      <c r="AR2240" s="1" t="s">
        <v>655</v>
      </c>
      <c r="AS2240" s="1" t="s">
        <v>656</v>
      </c>
      <c r="AT2240" s="1" t="s">
        <v>1223</v>
      </c>
      <c r="AU2240" s="1">
        <v>2019</v>
      </c>
      <c r="AV2240" s="1">
        <v>208</v>
      </c>
      <c r="AW2240" s="1" t="s">
        <v>74</v>
      </c>
      <c r="AX2240" s="1" t="s">
        <v>74</v>
      </c>
      <c r="AY2240" s="1" t="s">
        <v>74</v>
      </c>
      <c r="AZ2240" s="1" t="s">
        <v>74</v>
      </c>
      <c r="BA2240" s="1" t="s">
        <v>74</v>
      </c>
      <c r="BB2240" s="1">
        <v>47</v>
      </c>
      <c r="BC2240" s="1">
        <v>61</v>
      </c>
      <c r="BD2240" s="1" t="s">
        <v>74</v>
      </c>
      <c r="BE2240" s="1" t="s">
        <v>35941</v>
      </c>
      <c r="BF2240" s="1" t="str">
        <f>HYPERLINK("http://dx.doi.org/10.1016/j.aquatox.2018.12.022","http://dx.doi.org/10.1016/j.aquatox.2018.12.022")</f>
        <v>http://dx.doi.org/10.1016/j.aquatox.2018.12.022</v>
      </c>
      <c r="BG2240" s="1" t="s">
        <v>74</v>
      </c>
      <c r="BH2240" s="1" t="s">
        <v>74</v>
      </c>
      <c r="BI2240" s="1">
        <v>15</v>
      </c>
      <c r="BJ2240" s="1" t="s">
        <v>659</v>
      </c>
      <c r="BK2240" s="1" t="s">
        <v>96</v>
      </c>
      <c r="BL2240" s="1" t="s">
        <v>659</v>
      </c>
      <c r="BM2240" s="1" t="s">
        <v>35942</v>
      </c>
      <c r="BN2240" s="1">
        <v>30610964</v>
      </c>
      <c r="BO2240" s="1" t="s">
        <v>74</v>
      </c>
      <c r="BP2240" s="1" t="s">
        <v>74</v>
      </c>
      <c r="BQ2240" s="1" t="s">
        <v>74</v>
      </c>
      <c r="BR2240" s="1" t="s">
        <v>98</v>
      </c>
      <c r="BS2240" s="1" t="s">
        <v>35943</v>
      </c>
      <c r="BT2240" s="1" t="str">
        <f>HYPERLINK("https%3A%2F%2Fwww.webofscience.com%2Fwos%2Fwoscc%2Ffull-record%2FWOS:000459950500006","View Full Record in Web of Science")</f>
        <v>View Full Record in Web of Science</v>
      </c>
      <c r="BU2240" s="1"/>
      <c r="BV2240" s="1"/>
    </row>
    <row r="2241" spans="1:74">
      <c r="A2241" s="1" t="s">
        <v>72</v>
      </c>
      <c r="B2241" s="1" t="s">
        <v>35944</v>
      </c>
      <c r="C2241" s="1" t="s">
        <v>74</v>
      </c>
      <c r="D2241" s="1" t="s">
        <v>74</v>
      </c>
      <c r="E2241" s="1" t="s">
        <v>74</v>
      </c>
      <c r="F2241" s="1" t="s">
        <v>35945</v>
      </c>
      <c r="G2241" s="1" t="s">
        <v>74</v>
      </c>
      <c r="H2241" s="1" t="s">
        <v>74</v>
      </c>
      <c r="I2241" s="1" t="s">
        <v>35946</v>
      </c>
      <c r="J2241" s="1" t="s">
        <v>232</v>
      </c>
      <c r="K2241" s="1" t="s">
        <v>74</v>
      </c>
      <c r="L2241" s="1" t="s">
        <v>74</v>
      </c>
      <c r="M2241" s="1" t="s">
        <v>78</v>
      </c>
      <c r="N2241" s="1" t="s">
        <v>79</v>
      </c>
      <c r="O2241" s="1" t="s">
        <v>74</v>
      </c>
      <c r="P2241" s="1" t="s">
        <v>74</v>
      </c>
      <c r="Q2241" s="1" t="s">
        <v>74</v>
      </c>
      <c r="R2241" s="1" t="s">
        <v>74</v>
      </c>
      <c r="S2241" s="1" t="s">
        <v>74</v>
      </c>
      <c r="T2241" s="1" t="s">
        <v>35947</v>
      </c>
      <c r="U2241" s="1" t="s">
        <v>35948</v>
      </c>
      <c r="V2241" s="1" t="s">
        <v>35949</v>
      </c>
      <c r="W2241" s="1" t="s">
        <v>35950</v>
      </c>
      <c r="X2241" s="1" t="s">
        <v>23843</v>
      </c>
      <c r="Y2241" s="1" t="s">
        <v>23844</v>
      </c>
      <c r="Z2241" s="1" t="s">
        <v>23845</v>
      </c>
      <c r="AA2241" s="1" t="s">
        <v>35951</v>
      </c>
      <c r="AB2241" s="1" t="s">
        <v>35952</v>
      </c>
      <c r="AC2241" s="1" t="s">
        <v>35953</v>
      </c>
      <c r="AD2241" s="1" t="s">
        <v>35954</v>
      </c>
      <c r="AE2241" s="1" t="s">
        <v>35955</v>
      </c>
      <c r="AF2241" s="1" t="s">
        <v>74</v>
      </c>
      <c r="AG2241" s="1">
        <v>65</v>
      </c>
      <c r="AH2241" s="1">
        <v>24</v>
      </c>
      <c r="AI2241" s="1">
        <v>25</v>
      </c>
      <c r="AJ2241" s="1">
        <v>0</v>
      </c>
      <c r="AK2241" s="1">
        <v>22</v>
      </c>
      <c r="AL2241" s="1" t="s">
        <v>136</v>
      </c>
      <c r="AM2241" s="1" t="s">
        <v>137</v>
      </c>
      <c r="AN2241" s="1" t="s">
        <v>138</v>
      </c>
      <c r="AO2241" s="1" t="s">
        <v>240</v>
      </c>
      <c r="AP2241" s="1" t="s">
        <v>241</v>
      </c>
      <c r="AQ2241" s="1" t="s">
        <v>74</v>
      </c>
      <c r="AR2241" s="1" t="s">
        <v>242</v>
      </c>
      <c r="AS2241" s="1" t="s">
        <v>243</v>
      </c>
      <c r="AT2241" s="1" t="s">
        <v>74</v>
      </c>
      <c r="AU2241" s="1">
        <v>2010</v>
      </c>
      <c r="AV2241" s="1">
        <v>61</v>
      </c>
      <c r="AW2241" s="1" t="s">
        <v>5114</v>
      </c>
      <c r="AX2241" s="1" t="s">
        <v>74</v>
      </c>
      <c r="AY2241" s="1" t="s">
        <v>74</v>
      </c>
      <c r="AZ2241" s="1" t="s">
        <v>225</v>
      </c>
      <c r="BA2241" s="1" t="s">
        <v>74</v>
      </c>
      <c r="BB2241" s="1">
        <v>568</v>
      </c>
      <c r="BC2241" s="1">
        <v>575</v>
      </c>
      <c r="BD2241" s="1" t="s">
        <v>74</v>
      </c>
      <c r="BE2241" s="1" t="s">
        <v>35956</v>
      </c>
      <c r="BF2241" s="1" t="str">
        <f>HYPERLINK("http://dx.doi.org/10.1016/j.marpolbul.2010.06.034","http://dx.doi.org/10.1016/j.marpolbul.2010.06.034")</f>
        <v>http://dx.doi.org/10.1016/j.marpolbul.2010.06.034</v>
      </c>
      <c r="BG2241" s="1" t="s">
        <v>74</v>
      </c>
      <c r="BH2241" s="1" t="s">
        <v>74</v>
      </c>
      <c r="BI2241" s="1">
        <v>8</v>
      </c>
      <c r="BJ2241" s="1" t="s">
        <v>247</v>
      </c>
      <c r="BK2241" s="1" t="s">
        <v>96</v>
      </c>
      <c r="BL2241" s="1" t="s">
        <v>248</v>
      </c>
      <c r="BM2241" s="1" t="s">
        <v>23853</v>
      </c>
      <c r="BN2241" s="1">
        <v>20638086</v>
      </c>
      <c r="BO2241" s="1" t="s">
        <v>810</v>
      </c>
      <c r="BP2241" s="1" t="s">
        <v>74</v>
      </c>
      <c r="BQ2241" s="1" t="s">
        <v>74</v>
      </c>
      <c r="BR2241" s="1" t="s">
        <v>98</v>
      </c>
      <c r="BS2241" s="1" t="s">
        <v>35957</v>
      </c>
      <c r="BT2241" s="1" t="str">
        <f>HYPERLINK("https%3A%2F%2Fwww.webofscience.com%2Fwos%2Fwoscc%2Ffull-record%2FWOS:000282113200023","View Full Record in Web of Science")</f>
        <v>View Full Record in Web of Science</v>
      </c>
      <c r="BU2241" s="1"/>
      <c r="BV2241" s="1"/>
    </row>
    <row r="2242" spans="1:74">
      <c r="A2242" s="1" t="s">
        <v>72</v>
      </c>
      <c r="B2242" s="1" t="s">
        <v>35958</v>
      </c>
      <c r="C2242" s="1" t="s">
        <v>74</v>
      </c>
      <c r="D2242" s="1" t="s">
        <v>74</v>
      </c>
      <c r="E2242" s="1" t="s">
        <v>74</v>
      </c>
      <c r="F2242" s="1" t="s">
        <v>35959</v>
      </c>
      <c r="G2242" s="1" t="s">
        <v>74</v>
      </c>
      <c r="H2242" s="1" t="s">
        <v>74</v>
      </c>
      <c r="I2242" s="1" t="s">
        <v>35960</v>
      </c>
      <c r="J2242" s="1" t="s">
        <v>641</v>
      </c>
      <c r="K2242" s="1" t="s">
        <v>74</v>
      </c>
      <c r="L2242" s="1" t="s">
        <v>74</v>
      </c>
      <c r="M2242" s="1" t="s">
        <v>78</v>
      </c>
      <c r="N2242" s="1" t="s">
        <v>79</v>
      </c>
      <c r="O2242" s="1" t="s">
        <v>74</v>
      </c>
      <c r="P2242" s="1" t="s">
        <v>74</v>
      </c>
      <c r="Q2242" s="1" t="s">
        <v>74</v>
      </c>
      <c r="R2242" s="1" t="s">
        <v>74</v>
      </c>
      <c r="S2242" s="1" t="s">
        <v>74</v>
      </c>
      <c r="T2242" s="1" t="s">
        <v>35961</v>
      </c>
      <c r="U2242" s="1" t="s">
        <v>35962</v>
      </c>
      <c r="V2242" s="1" t="s">
        <v>35963</v>
      </c>
      <c r="W2242" s="1" t="s">
        <v>35964</v>
      </c>
      <c r="X2242" s="1" t="s">
        <v>35965</v>
      </c>
      <c r="Y2242" s="1" t="s">
        <v>35966</v>
      </c>
      <c r="Z2242" s="1" t="s">
        <v>30288</v>
      </c>
      <c r="AA2242" s="1" t="s">
        <v>35967</v>
      </c>
      <c r="AB2242" s="1" t="s">
        <v>35968</v>
      </c>
      <c r="AC2242" s="1" t="s">
        <v>35969</v>
      </c>
      <c r="AD2242" s="1" t="s">
        <v>35970</v>
      </c>
      <c r="AE2242" s="1" t="s">
        <v>35971</v>
      </c>
      <c r="AF2242" s="1" t="s">
        <v>74</v>
      </c>
      <c r="AG2242" s="1">
        <v>56</v>
      </c>
      <c r="AH2242" s="1">
        <v>31</v>
      </c>
      <c r="AI2242" s="1">
        <v>34</v>
      </c>
      <c r="AJ2242" s="1">
        <v>0</v>
      </c>
      <c r="AK2242" s="1">
        <v>26</v>
      </c>
      <c r="AL2242" s="1" t="s">
        <v>919</v>
      </c>
      <c r="AM2242" s="1" t="s">
        <v>651</v>
      </c>
      <c r="AN2242" s="1" t="s">
        <v>920</v>
      </c>
      <c r="AO2242" s="1" t="s">
        <v>653</v>
      </c>
      <c r="AP2242" s="1" t="s">
        <v>654</v>
      </c>
      <c r="AQ2242" s="1" t="s">
        <v>74</v>
      </c>
      <c r="AR2242" s="1" t="s">
        <v>655</v>
      </c>
      <c r="AS2242" s="1" t="s">
        <v>656</v>
      </c>
      <c r="AT2242" s="1" t="s">
        <v>197</v>
      </c>
      <c r="AU2242" s="1">
        <v>2016</v>
      </c>
      <c r="AV2242" s="1">
        <v>181</v>
      </c>
      <c r="AW2242" s="1" t="s">
        <v>74</v>
      </c>
      <c r="AX2242" s="1" t="s">
        <v>74</v>
      </c>
      <c r="AY2242" s="1" t="s">
        <v>74</v>
      </c>
      <c r="AZ2242" s="1" t="s">
        <v>74</v>
      </c>
      <c r="BA2242" s="1" t="s">
        <v>74</v>
      </c>
      <c r="BB2242" s="1">
        <v>57</v>
      </c>
      <c r="BC2242" s="1">
        <v>66</v>
      </c>
      <c r="BD2242" s="1" t="s">
        <v>74</v>
      </c>
      <c r="BE2242" s="1" t="s">
        <v>35972</v>
      </c>
      <c r="BF2242" s="1" t="str">
        <f>HYPERLINK("http://dx.doi.org/10.1016/j.aquatox.2016.10.018","http://dx.doi.org/10.1016/j.aquatox.2016.10.018")</f>
        <v>http://dx.doi.org/10.1016/j.aquatox.2016.10.018</v>
      </c>
      <c r="BG2242" s="1" t="s">
        <v>74</v>
      </c>
      <c r="BH2242" s="1" t="s">
        <v>74</v>
      </c>
      <c r="BI2242" s="1">
        <v>10</v>
      </c>
      <c r="BJ2242" s="1" t="s">
        <v>659</v>
      </c>
      <c r="BK2242" s="1" t="s">
        <v>96</v>
      </c>
      <c r="BL2242" s="1" t="s">
        <v>659</v>
      </c>
      <c r="BM2242" s="1" t="s">
        <v>35973</v>
      </c>
      <c r="BN2242" s="1">
        <v>27810493</v>
      </c>
      <c r="BO2242" s="1" t="s">
        <v>2744</v>
      </c>
      <c r="BP2242" s="1" t="s">
        <v>74</v>
      </c>
      <c r="BQ2242" s="1" t="s">
        <v>74</v>
      </c>
      <c r="BR2242" s="1" t="s">
        <v>98</v>
      </c>
      <c r="BS2242" s="1" t="s">
        <v>35974</v>
      </c>
      <c r="BT2242" s="1" t="str">
        <f>HYPERLINK("https%3A%2F%2Fwww.webofscience.com%2Fwos%2Fwoscc%2Ffull-record%2FWOS:000389104900007","View Full Record in Web of Science")</f>
        <v>View Full Record in Web of Science</v>
      </c>
      <c r="BU2242" s="1"/>
      <c r="BV2242" s="1"/>
    </row>
    <row r="2243" spans="1:74">
      <c r="A2243" s="1" t="s">
        <v>72</v>
      </c>
      <c r="B2243" s="1" t="s">
        <v>35975</v>
      </c>
      <c r="C2243" s="1" t="s">
        <v>74</v>
      </c>
      <c r="D2243" s="1" t="s">
        <v>74</v>
      </c>
      <c r="E2243" s="1" t="s">
        <v>74</v>
      </c>
      <c r="F2243" s="1" t="s">
        <v>35976</v>
      </c>
      <c r="G2243" s="1" t="s">
        <v>74</v>
      </c>
      <c r="H2243" s="1" t="s">
        <v>74</v>
      </c>
      <c r="I2243" s="1" t="s">
        <v>35977</v>
      </c>
      <c r="J2243" s="1" t="s">
        <v>179</v>
      </c>
      <c r="K2243" s="1" t="s">
        <v>74</v>
      </c>
      <c r="L2243" s="1" t="s">
        <v>74</v>
      </c>
      <c r="M2243" s="1" t="s">
        <v>78</v>
      </c>
      <c r="N2243" s="1" t="s">
        <v>79</v>
      </c>
      <c r="O2243" s="1" t="s">
        <v>74</v>
      </c>
      <c r="P2243" s="1" t="s">
        <v>74</v>
      </c>
      <c r="Q2243" s="1" t="s">
        <v>74</v>
      </c>
      <c r="R2243" s="1" t="s">
        <v>74</v>
      </c>
      <c r="S2243" s="1" t="s">
        <v>74</v>
      </c>
      <c r="T2243" s="1" t="s">
        <v>35978</v>
      </c>
      <c r="U2243" s="1" t="s">
        <v>35979</v>
      </c>
      <c r="V2243" s="1" t="s">
        <v>35980</v>
      </c>
      <c r="W2243" s="1" t="s">
        <v>35981</v>
      </c>
      <c r="X2243" s="1" t="s">
        <v>35982</v>
      </c>
      <c r="Y2243" s="1" t="s">
        <v>35983</v>
      </c>
      <c r="Z2243" s="1" t="s">
        <v>35984</v>
      </c>
      <c r="AA2243" s="1" t="s">
        <v>35985</v>
      </c>
      <c r="AB2243" s="1" t="s">
        <v>20723</v>
      </c>
      <c r="AC2243" s="1" t="s">
        <v>35986</v>
      </c>
      <c r="AD2243" s="1" t="s">
        <v>35987</v>
      </c>
      <c r="AE2243" s="1" t="s">
        <v>35988</v>
      </c>
      <c r="AF2243" s="1" t="s">
        <v>74</v>
      </c>
      <c r="AG2243" s="1">
        <v>54</v>
      </c>
      <c r="AH2243" s="1">
        <v>21</v>
      </c>
      <c r="AI2243" s="1">
        <v>23</v>
      </c>
      <c r="AJ2243" s="1">
        <v>0</v>
      </c>
      <c r="AK2243" s="1">
        <v>38</v>
      </c>
      <c r="AL2243" s="1" t="s">
        <v>112</v>
      </c>
      <c r="AM2243" s="1" t="s">
        <v>191</v>
      </c>
      <c r="AN2243" s="1" t="s">
        <v>192</v>
      </c>
      <c r="AO2243" s="1" t="s">
        <v>193</v>
      </c>
      <c r="AP2243" s="1" t="s">
        <v>194</v>
      </c>
      <c r="AQ2243" s="1" t="s">
        <v>74</v>
      </c>
      <c r="AR2243" s="1" t="s">
        <v>195</v>
      </c>
      <c r="AS2243" s="1" t="s">
        <v>196</v>
      </c>
      <c r="AT2243" s="1" t="s">
        <v>765</v>
      </c>
      <c r="AU2243" s="1">
        <v>2010</v>
      </c>
      <c r="AV2243" s="1">
        <v>166</v>
      </c>
      <c r="AW2243" s="1" t="s">
        <v>721</v>
      </c>
      <c r="AX2243" s="1" t="s">
        <v>74</v>
      </c>
      <c r="AY2243" s="1" t="s">
        <v>74</v>
      </c>
      <c r="AZ2243" s="1" t="s">
        <v>74</v>
      </c>
      <c r="BA2243" s="1" t="s">
        <v>74</v>
      </c>
      <c r="BB2243" s="1">
        <v>461</v>
      </c>
      <c r="BC2243" s="1">
        <v>476</v>
      </c>
      <c r="BD2243" s="1" t="s">
        <v>74</v>
      </c>
      <c r="BE2243" s="1" t="s">
        <v>35989</v>
      </c>
      <c r="BF2243" s="1" t="str">
        <f>HYPERLINK("http://dx.doi.org/10.1007/s10661-009-1015-5","http://dx.doi.org/10.1007/s10661-009-1015-5")</f>
        <v>http://dx.doi.org/10.1007/s10661-009-1015-5</v>
      </c>
      <c r="BG2243" s="1" t="s">
        <v>74</v>
      </c>
      <c r="BH2243" s="1" t="s">
        <v>74</v>
      </c>
      <c r="BI2243" s="1">
        <v>16</v>
      </c>
      <c r="BJ2243" s="1" t="s">
        <v>144</v>
      </c>
      <c r="BK2243" s="1" t="s">
        <v>96</v>
      </c>
      <c r="BL2243" s="1" t="s">
        <v>145</v>
      </c>
      <c r="BM2243" s="1" t="s">
        <v>35990</v>
      </c>
      <c r="BN2243" s="1">
        <v>19484366</v>
      </c>
      <c r="BO2243" s="1" t="s">
        <v>74</v>
      </c>
      <c r="BP2243" s="1" t="s">
        <v>74</v>
      </c>
      <c r="BQ2243" s="1" t="s">
        <v>74</v>
      </c>
      <c r="BR2243" s="1" t="s">
        <v>98</v>
      </c>
      <c r="BS2243" s="1" t="s">
        <v>35991</v>
      </c>
      <c r="BT2243" s="1" t="str">
        <f>HYPERLINK("https%3A%2F%2Fwww.webofscience.com%2Fwos%2Fwoscc%2Ffull-record%2FWOS:000279129100036","View Full Record in Web of Science")</f>
        <v>View Full Record in Web of Science</v>
      </c>
      <c r="BU2243" s="1"/>
      <c r="BV2243" s="1"/>
    </row>
    <row r="2244" spans="1:74">
      <c r="A2244" s="1" t="s">
        <v>72</v>
      </c>
      <c r="B2244" s="1" t="s">
        <v>35992</v>
      </c>
      <c r="C2244" s="1" t="s">
        <v>74</v>
      </c>
      <c r="D2244" s="1" t="s">
        <v>74</v>
      </c>
      <c r="E2244" s="1" t="s">
        <v>74</v>
      </c>
      <c r="F2244" s="1" t="s">
        <v>35993</v>
      </c>
      <c r="G2244" s="1" t="s">
        <v>74</v>
      </c>
      <c r="H2244" s="1" t="s">
        <v>74</v>
      </c>
      <c r="I2244" s="1" t="s">
        <v>35994</v>
      </c>
      <c r="J2244" s="1" t="s">
        <v>664</v>
      </c>
      <c r="K2244" s="1" t="s">
        <v>74</v>
      </c>
      <c r="L2244" s="1" t="s">
        <v>74</v>
      </c>
      <c r="M2244" s="1" t="s">
        <v>78</v>
      </c>
      <c r="N2244" s="1" t="s">
        <v>79</v>
      </c>
      <c r="O2244" s="1" t="s">
        <v>74</v>
      </c>
      <c r="P2244" s="1" t="s">
        <v>74</v>
      </c>
      <c r="Q2244" s="1" t="s">
        <v>74</v>
      </c>
      <c r="R2244" s="1" t="s">
        <v>74</v>
      </c>
      <c r="S2244" s="1" t="s">
        <v>74</v>
      </c>
      <c r="T2244" s="1" t="s">
        <v>35995</v>
      </c>
      <c r="U2244" s="1" t="s">
        <v>35996</v>
      </c>
      <c r="V2244" s="1" t="s">
        <v>35997</v>
      </c>
      <c r="W2244" s="1" t="s">
        <v>35998</v>
      </c>
      <c r="X2244" s="1" t="s">
        <v>35999</v>
      </c>
      <c r="Y2244" s="1" t="s">
        <v>36000</v>
      </c>
      <c r="Z2244" s="1" t="s">
        <v>36001</v>
      </c>
      <c r="AA2244" s="1" t="s">
        <v>36002</v>
      </c>
      <c r="AB2244" s="1" t="s">
        <v>10678</v>
      </c>
      <c r="AC2244" s="1" t="s">
        <v>36003</v>
      </c>
      <c r="AD2244" s="1" t="s">
        <v>36004</v>
      </c>
      <c r="AE2244" s="1" t="s">
        <v>36005</v>
      </c>
      <c r="AF2244" s="1" t="s">
        <v>74</v>
      </c>
      <c r="AG2244" s="1">
        <v>30</v>
      </c>
      <c r="AH2244" s="1">
        <v>4</v>
      </c>
      <c r="AI2244" s="1">
        <v>4</v>
      </c>
      <c r="AJ2244" s="1">
        <v>0</v>
      </c>
      <c r="AK2244" s="1">
        <v>9</v>
      </c>
      <c r="AL2244" s="1" t="s">
        <v>673</v>
      </c>
      <c r="AM2244" s="1" t="s">
        <v>674</v>
      </c>
      <c r="AN2244" s="1" t="s">
        <v>675</v>
      </c>
      <c r="AO2244" s="1" t="s">
        <v>676</v>
      </c>
      <c r="AP2244" s="1" t="s">
        <v>74</v>
      </c>
      <c r="AQ2244" s="1" t="s">
        <v>74</v>
      </c>
      <c r="AR2244" s="1" t="s">
        <v>677</v>
      </c>
      <c r="AS2244" s="1" t="s">
        <v>678</v>
      </c>
      <c r="AT2244" s="1" t="s">
        <v>74</v>
      </c>
      <c r="AU2244" s="1">
        <v>2018</v>
      </c>
      <c r="AV2244" s="1">
        <v>44</v>
      </c>
      <c r="AW2244" s="1">
        <v>4</v>
      </c>
      <c r="AX2244" s="1" t="s">
        <v>74</v>
      </c>
      <c r="AY2244" s="1" t="s">
        <v>74</v>
      </c>
      <c r="AZ2244" s="1" t="s">
        <v>74</v>
      </c>
      <c r="BA2244" s="1" t="s">
        <v>74</v>
      </c>
      <c r="BB2244" s="1">
        <v>279</v>
      </c>
      <c r="BC2244" s="1">
        <v>294</v>
      </c>
      <c r="BD2244" s="1" t="s">
        <v>74</v>
      </c>
      <c r="BE2244" s="1" t="s">
        <v>36006</v>
      </c>
      <c r="BF2244" s="1" t="str">
        <f>HYPERLINK("http://dx.doi.org/10.7773/cm.v44i4.2861","http://dx.doi.org/10.7773/cm.v44i4.2861")</f>
        <v>http://dx.doi.org/10.7773/cm.v44i4.2861</v>
      </c>
      <c r="BG2244" s="1" t="s">
        <v>74</v>
      </c>
      <c r="BH2244" s="1" t="s">
        <v>74</v>
      </c>
      <c r="BI2244" s="1">
        <v>16</v>
      </c>
      <c r="BJ2244" s="1" t="s">
        <v>680</v>
      </c>
      <c r="BK2244" s="1" t="s">
        <v>96</v>
      </c>
      <c r="BL2244" s="1" t="s">
        <v>680</v>
      </c>
      <c r="BM2244" s="1" t="s">
        <v>36007</v>
      </c>
      <c r="BN2244" s="1" t="s">
        <v>74</v>
      </c>
      <c r="BO2244" s="1" t="s">
        <v>873</v>
      </c>
      <c r="BP2244" s="1" t="s">
        <v>74</v>
      </c>
      <c r="BQ2244" s="1" t="s">
        <v>74</v>
      </c>
      <c r="BR2244" s="1" t="s">
        <v>98</v>
      </c>
      <c r="BS2244" s="1" t="s">
        <v>36008</v>
      </c>
      <c r="BT2244" s="1" t="str">
        <f>HYPERLINK("https%3A%2F%2Fwww.webofscience.com%2Fwos%2Fwoscc%2Ffull-record%2FWOS:000454130300005","View Full Record in Web of Science")</f>
        <v>View Full Record in Web of Science</v>
      </c>
      <c r="BU2244" s="1"/>
      <c r="BV2244" s="1"/>
    </row>
    <row r="2245" spans="1:74">
      <c r="A2245" s="1" t="s">
        <v>72</v>
      </c>
      <c r="B2245" s="1" t="s">
        <v>36009</v>
      </c>
      <c r="C2245" s="1" t="s">
        <v>74</v>
      </c>
      <c r="D2245" s="1" t="s">
        <v>74</v>
      </c>
      <c r="E2245" s="1" t="s">
        <v>74</v>
      </c>
      <c r="F2245" s="1" t="s">
        <v>36010</v>
      </c>
      <c r="G2245" s="1" t="s">
        <v>74</v>
      </c>
      <c r="H2245" s="1" t="s">
        <v>74</v>
      </c>
      <c r="I2245" s="1" t="s">
        <v>36011</v>
      </c>
      <c r="J2245" s="1" t="s">
        <v>103</v>
      </c>
      <c r="K2245" s="1" t="s">
        <v>74</v>
      </c>
      <c r="L2245" s="1" t="s">
        <v>74</v>
      </c>
      <c r="M2245" s="1" t="s">
        <v>78</v>
      </c>
      <c r="N2245" s="1" t="s">
        <v>79</v>
      </c>
      <c r="O2245" s="1" t="s">
        <v>74</v>
      </c>
      <c r="P2245" s="1" t="s">
        <v>74</v>
      </c>
      <c r="Q2245" s="1" t="s">
        <v>74</v>
      </c>
      <c r="R2245" s="1" t="s">
        <v>74</v>
      </c>
      <c r="S2245" s="1" t="s">
        <v>74</v>
      </c>
      <c r="T2245" s="1" t="s">
        <v>36012</v>
      </c>
      <c r="U2245" s="1" t="s">
        <v>36013</v>
      </c>
      <c r="V2245" s="1" t="s">
        <v>36014</v>
      </c>
      <c r="W2245" s="1" t="s">
        <v>36015</v>
      </c>
      <c r="X2245" s="1" t="s">
        <v>36016</v>
      </c>
      <c r="Y2245" s="1" t="s">
        <v>36017</v>
      </c>
      <c r="Z2245" s="1" t="s">
        <v>36018</v>
      </c>
      <c r="AA2245" s="1" t="s">
        <v>36019</v>
      </c>
      <c r="AB2245" s="1" t="s">
        <v>36020</v>
      </c>
      <c r="AC2245" s="1" t="s">
        <v>36021</v>
      </c>
      <c r="AD2245" s="1" t="s">
        <v>36021</v>
      </c>
      <c r="AE2245" s="1" t="s">
        <v>36022</v>
      </c>
      <c r="AF2245" s="1" t="s">
        <v>74</v>
      </c>
      <c r="AG2245" s="1">
        <v>42</v>
      </c>
      <c r="AH2245" s="1">
        <v>14</v>
      </c>
      <c r="AI2245" s="1">
        <v>15</v>
      </c>
      <c r="AJ2245" s="1">
        <v>0</v>
      </c>
      <c r="AK2245" s="1">
        <v>14</v>
      </c>
      <c r="AL2245" s="1" t="s">
        <v>112</v>
      </c>
      <c r="AM2245" s="1" t="s">
        <v>113</v>
      </c>
      <c r="AN2245" s="1" t="s">
        <v>469</v>
      </c>
      <c r="AO2245" s="1" t="s">
        <v>115</v>
      </c>
      <c r="AP2245" s="1" t="s">
        <v>116</v>
      </c>
      <c r="AQ2245" s="1" t="s">
        <v>74</v>
      </c>
      <c r="AR2245" s="1" t="s">
        <v>117</v>
      </c>
      <c r="AS2245" s="1" t="s">
        <v>118</v>
      </c>
      <c r="AT2245" s="1" t="s">
        <v>951</v>
      </c>
      <c r="AU2245" s="1">
        <v>2015</v>
      </c>
      <c r="AV2245" s="1">
        <v>95</v>
      </c>
      <c r="AW2245" s="1">
        <v>5</v>
      </c>
      <c r="AX2245" s="1" t="s">
        <v>74</v>
      </c>
      <c r="AY2245" s="1" t="s">
        <v>74</v>
      </c>
      <c r="AZ2245" s="1" t="s">
        <v>74</v>
      </c>
      <c r="BA2245" s="1" t="s">
        <v>74</v>
      </c>
      <c r="BB2245" s="1">
        <v>599</v>
      </c>
      <c r="BC2245" s="1">
        <v>605</v>
      </c>
      <c r="BD2245" s="1" t="s">
        <v>74</v>
      </c>
      <c r="BE2245" s="1" t="s">
        <v>36023</v>
      </c>
      <c r="BF2245" s="1" t="str">
        <f>HYPERLINK("http://dx.doi.org/10.1007/s00128-015-1601-x","http://dx.doi.org/10.1007/s00128-015-1601-x")</f>
        <v>http://dx.doi.org/10.1007/s00128-015-1601-x</v>
      </c>
      <c r="BG2245" s="1" t="s">
        <v>74</v>
      </c>
      <c r="BH2245" s="1" t="s">
        <v>74</v>
      </c>
      <c r="BI2245" s="1">
        <v>7</v>
      </c>
      <c r="BJ2245" s="1" t="s">
        <v>121</v>
      </c>
      <c r="BK2245" s="1" t="s">
        <v>96</v>
      </c>
      <c r="BL2245" s="1" t="s">
        <v>122</v>
      </c>
      <c r="BM2245" s="1" t="s">
        <v>36024</v>
      </c>
      <c r="BN2245" s="1">
        <v>26347459</v>
      </c>
      <c r="BO2245" s="1" t="s">
        <v>74</v>
      </c>
      <c r="BP2245" s="1" t="s">
        <v>74</v>
      </c>
      <c r="BQ2245" s="1" t="s">
        <v>74</v>
      </c>
      <c r="BR2245" s="1" t="s">
        <v>98</v>
      </c>
      <c r="BS2245" s="1" t="s">
        <v>36025</v>
      </c>
      <c r="BT2245" s="1" t="str">
        <f>HYPERLINK("https%3A%2F%2Fwww.webofscience.com%2Fwos%2Fwoscc%2Ffull-record%2FWOS:000363026800010","View Full Record in Web of Science")</f>
        <v>View Full Record in Web of Science</v>
      </c>
      <c r="BU2245" s="1"/>
      <c r="BV2245" s="1"/>
    </row>
    <row r="2246" spans="1:74">
      <c r="A2246" s="1" t="s">
        <v>72</v>
      </c>
      <c r="B2246" s="1" t="s">
        <v>36026</v>
      </c>
      <c r="C2246" s="1" t="s">
        <v>74</v>
      </c>
      <c r="D2246" s="1" t="s">
        <v>74</v>
      </c>
      <c r="E2246" s="1" t="s">
        <v>74</v>
      </c>
      <c r="F2246" s="1" t="s">
        <v>36027</v>
      </c>
      <c r="G2246" s="1" t="s">
        <v>74</v>
      </c>
      <c r="H2246" s="1" t="s">
        <v>74</v>
      </c>
      <c r="I2246" s="1" t="s">
        <v>36028</v>
      </c>
      <c r="J2246" s="1" t="s">
        <v>909</v>
      </c>
      <c r="K2246" s="1" t="s">
        <v>74</v>
      </c>
      <c r="L2246" s="1" t="s">
        <v>74</v>
      </c>
      <c r="M2246" s="1" t="s">
        <v>78</v>
      </c>
      <c r="N2246" s="1" t="s">
        <v>79</v>
      </c>
      <c r="O2246" s="1" t="s">
        <v>74</v>
      </c>
      <c r="P2246" s="1" t="s">
        <v>74</v>
      </c>
      <c r="Q2246" s="1" t="s">
        <v>74</v>
      </c>
      <c r="R2246" s="1" t="s">
        <v>74</v>
      </c>
      <c r="S2246" s="1" t="s">
        <v>74</v>
      </c>
      <c r="T2246" s="1" t="s">
        <v>36029</v>
      </c>
      <c r="U2246" s="1" t="s">
        <v>36030</v>
      </c>
      <c r="V2246" s="1" t="s">
        <v>36031</v>
      </c>
      <c r="W2246" s="1" t="s">
        <v>36032</v>
      </c>
      <c r="X2246" s="1" t="s">
        <v>36033</v>
      </c>
      <c r="Y2246" s="1" t="s">
        <v>36034</v>
      </c>
      <c r="Z2246" s="1" t="s">
        <v>36035</v>
      </c>
      <c r="AA2246" s="1" t="s">
        <v>36036</v>
      </c>
      <c r="AB2246" s="1" t="s">
        <v>36037</v>
      </c>
      <c r="AC2246" s="1" t="s">
        <v>36038</v>
      </c>
      <c r="AD2246" s="1" t="s">
        <v>36039</v>
      </c>
      <c r="AE2246" s="1" t="s">
        <v>36040</v>
      </c>
      <c r="AF2246" s="1" t="s">
        <v>74</v>
      </c>
      <c r="AG2246" s="1">
        <v>56</v>
      </c>
      <c r="AH2246" s="1">
        <v>16</v>
      </c>
      <c r="AI2246" s="1">
        <v>16</v>
      </c>
      <c r="AJ2246" s="1">
        <v>1</v>
      </c>
      <c r="AK2246" s="1">
        <v>28</v>
      </c>
      <c r="AL2246" s="1" t="s">
        <v>650</v>
      </c>
      <c r="AM2246" s="1" t="s">
        <v>651</v>
      </c>
      <c r="AN2246" s="1" t="s">
        <v>652</v>
      </c>
      <c r="AO2246" s="1" t="s">
        <v>921</v>
      </c>
      <c r="AP2246" s="1" t="s">
        <v>922</v>
      </c>
      <c r="AQ2246" s="1" t="s">
        <v>74</v>
      </c>
      <c r="AR2246" s="1" t="s">
        <v>923</v>
      </c>
      <c r="AS2246" s="1" t="s">
        <v>924</v>
      </c>
      <c r="AT2246" s="1" t="s">
        <v>3891</v>
      </c>
      <c r="AU2246" s="1">
        <v>2014</v>
      </c>
      <c r="AV2246" s="1">
        <v>468</v>
      </c>
      <c r="AW2246" s="1" t="s">
        <v>74</v>
      </c>
      <c r="AX2246" s="1" t="s">
        <v>74</v>
      </c>
      <c r="AY2246" s="1" t="s">
        <v>74</v>
      </c>
      <c r="AZ2246" s="1" t="s">
        <v>74</v>
      </c>
      <c r="BA2246" s="1" t="s">
        <v>74</v>
      </c>
      <c r="BB2246" s="1">
        <v>495</v>
      </c>
      <c r="BC2246" s="1">
        <v>504</v>
      </c>
      <c r="BD2246" s="1" t="s">
        <v>74</v>
      </c>
      <c r="BE2246" s="1" t="s">
        <v>36041</v>
      </c>
      <c r="BF2246" s="1" t="str">
        <f>HYPERLINK("http://dx.doi.org/10.1016/j.scitotenv.2013.08.036","http://dx.doi.org/10.1016/j.scitotenv.2013.08.036")</f>
        <v>http://dx.doi.org/10.1016/j.scitotenv.2013.08.036</v>
      </c>
      <c r="BG2246" s="1" t="s">
        <v>74</v>
      </c>
      <c r="BH2246" s="1" t="s">
        <v>74</v>
      </c>
      <c r="BI2246" s="1">
        <v>10</v>
      </c>
      <c r="BJ2246" s="1" t="s">
        <v>144</v>
      </c>
      <c r="BK2246" s="1" t="s">
        <v>96</v>
      </c>
      <c r="BL2246" s="1" t="s">
        <v>145</v>
      </c>
      <c r="BM2246" s="1" t="s">
        <v>36042</v>
      </c>
      <c r="BN2246" s="1">
        <v>24055665</v>
      </c>
      <c r="BO2246" s="1" t="s">
        <v>810</v>
      </c>
      <c r="BP2246" s="1" t="s">
        <v>74</v>
      </c>
      <c r="BQ2246" s="1" t="s">
        <v>74</v>
      </c>
      <c r="BR2246" s="1" t="s">
        <v>98</v>
      </c>
      <c r="BS2246" s="1" t="s">
        <v>36043</v>
      </c>
      <c r="BT2246" s="1" t="str">
        <f>HYPERLINK("https%3A%2F%2Fwww.webofscience.com%2Fwos%2Fwoscc%2Ffull-record%2FWOS:000331776000054","View Full Record in Web of Science")</f>
        <v>View Full Record in Web of Science</v>
      </c>
      <c r="BU2246" s="1"/>
      <c r="BV2246" s="1"/>
    </row>
    <row r="2247" spans="1:74">
      <c r="A2247" s="1" t="s">
        <v>72</v>
      </c>
      <c r="B2247" s="1" t="s">
        <v>36044</v>
      </c>
      <c r="C2247" s="1" t="s">
        <v>74</v>
      </c>
      <c r="D2247" s="1" t="s">
        <v>74</v>
      </c>
      <c r="E2247" s="1" t="s">
        <v>74</v>
      </c>
      <c r="F2247" s="1" t="s">
        <v>36045</v>
      </c>
      <c r="G2247" s="1" t="s">
        <v>74</v>
      </c>
      <c r="H2247" s="1" t="s">
        <v>74</v>
      </c>
      <c r="I2247" s="1" t="s">
        <v>36046</v>
      </c>
      <c r="J2247" s="1" t="s">
        <v>36047</v>
      </c>
      <c r="K2247" s="1" t="s">
        <v>74</v>
      </c>
      <c r="L2247" s="1" t="s">
        <v>74</v>
      </c>
      <c r="M2247" s="1" t="s">
        <v>78</v>
      </c>
      <c r="N2247" s="1" t="s">
        <v>79</v>
      </c>
      <c r="O2247" s="1" t="s">
        <v>74</v>
      </c>
      <c r="P2247" s="1" t="s">
        <v>74</v>
      </c>
      <c r="Q2247" s="1" t="s">
        <v>74</v>
      </c>
      <c r="R2247" s="1" t="s">
        <v>74</v>
      </c>
      <c r="S2247" s="1" t="s">
        <v>74</v>
      </c>
      <c r="T2247" s="1" t="s">
        <v>36048</v>
      </c>
      <c r="U2247" s="1" t="s">
        <v>36049</v>
      </c>
      <c r="V2247" s="1" t="s">
        <v>36050</v>
      </c>
      <c r="W2247" s="1" t="s">
        <v>36051</v>
      </c>
      <c r="X2247" s="1" t="s">
        <v>36052</v>
      </c>
      <c r="Y2247" s="1" t="s">
        <v>36053</v>
      </c>
      <c r="Z2247" s="1" t="s">
        <v>36054</v>
      </c>
      <c r="AA2247" s="1" t="s">
        <v>36055</v>
      </c>
      <c r="AB2247" s="1" t="s">
        <v>36056</v>
      </c>
      <c r="AC2247" s="1" t="s">
        <v>36057</v>
      </c>
      <c r="AD2247" s="1" t="s">
        <v>36058</v>
      </c>
      <c r="AE2247" s="1" t="s">
        <v>36057</v>
      </c>
      <c r="AF2247" s="1" t="s">
        <v>74</v>
      </c>
      <c r="AG2247" s="1">
        <v>95</v>
      </c>
      <c r="AH2247" s="1">
        <v>6</v>
      </c>
      <c r="AI2247" s="1">
        <v>7</v>
      </c>
      <c r="AJ2247" s="1">
        <v>2</v>
      </c>
      <c r="AK2247" s="1">
        <v>16</v>
      </c>
      <c r="AL2247" s="1" t="s">
        <v>86</v>
      </c>
      <c r="AM2247" s="1" t="s">
        <v>87</v>
      </c>
      <c r="AN2247" s="1" t="s">
        <v>88</v>
      </c>
      <c r="AO2247" s="1" t="s">
        <v>36059</v>
      </c>
      <c r="AP2247" s="1" t="s">
        <v>74</v>
      </c>
      <c r="AQ2247" s="1" t="s">
        <v>74</v>
      </c>
      <c r="AR2247" s="1" t="s">
        <v>36060</v>
      </c>
      <c r="AS2247" s="1" t="s">
        <v>36061</v>
      </c>
      <c r="AT2247" s="1" t="s">
        <v>197</v>
      </c>
      <c r="AU2247" s="1">
        <v>2021</v>
      </c>
      <c r="AV2247" s="1">
        <v>14</v>
      </c>
      <c r="AW2247" s="1">
        <v>12</v>
      </c>
      <c r="AX2247" s="1" t="s">
        <v>74</v>
      </c>
      <c r="AY2247" s="1" t="s">
        <v>74</v>
      </c>
      <c r="AZ2247" s="1" t="s">
        <v>74</v>
      </c>
      <c r="BA2247" s="1" t="s">
        <v>74</v>
      </c>
      <c r="BB2247" s="1">
        <v>2864</v>
      </c>
      <c r="BC2247" s="1">
        <v>2880</v>
      </c>
      <c r="BD2247" s="1" t="s">
        <v>74</v>
      </c>
      <c r="BE2247" s="1" t="s">
        <v>36062</v>
      </c>
      <c r="BF2247" s="1" t="str">
        <f>HYPERLINK("http://dx.doi.org/10.1111/eva.13319","http://dx.doi.org/10.1111/eva.13319")</f>
        <v>http://dx.doi.org/10.1111/eva.13319</v>
      </c>
      <c r="BG2247" s="1" t="s">
        <v>74</v>
      </c>
      <c r="BH2247" s="1" t="s">
        <v>10880</v>
      </c>
      <c r="BI2247" s="1">
        <v>17</v>
      </c>
      <c r="BJ2247" s="1" t="s">
        <v>36063</v>
      </c>
      <c r="BK2247" s="1" t="s">
        <v>96</v>
      </c>
      <c r="BL2247" s="1" t="s">
        <v>36063</v>
      </c>
      <c r="BM2247" s="1" t="s">
        <v>36064</v>
      </c>
      <c r="BN2247" s="1">
        <v>34950234</v>
      </c>
      <c r="BO2247" s="1" t="s">
        <v>1752</v>
      </c>
      <c r="BP2247" s="1" t="s">
        <v>74</v>
      </c>
      <c r="BQ2247" s="1" t="s">
        <v>74</v>
      </c>
      <c r="BR2247" s="1" t="s">
        <v>98</v>
      </c>
      <c r="BS2247" s="1" t="s">
        <v>36065</v>
      </c>
      <c r="BT2247" s="1" t="str">
        <f>HYPERLINK("https%3A%2F%2Fwww.webofscience.com%2Fwos%2Fwoscc%2Ffull-record%2FWOS:000722884300001","View Full Record in Web of Science")</f>
        <v>View Full Record in Web of Science</v>
      </c>
      <c r="BU2247" s="1"/>
      <c r="BV2247" s="1"/>
    </row>
    <row r="2248" spans="1:74">
      <c r="A2248" s="1" t="s">
        <v>72</v>
      </c>
      <c r="B2248" s="1" t="s">
        <v>36066</v>
      </c>
      <c r="C2248" s="1" t="s">
        <v>74</v>
      </c>
      <c r="D2248" s="1" t="s">
        <v>74</v>
      </c>
      <c r="E2248" s="1" t="s">
        <v>74</v>
      </c>
      <c r="F2248" s="1" t="s">
        <v>36067</v>
      </c>
      <c r="G2248" s="1" t="s">
        <v>74</v>
      </c>
      <c r="H2248" s="1" t="s">
        <v>74</v>
      </c>
      <c r="I2248" s="1" t="s">
        <v>36068</v>
      </c>
      <c r="J2248" s="1" t="s">
        <v>275</v>
      </c>
      <c r="K2248" s="1" t="s">
        <v>74</v>
      </c>
      <c r="L2248" s="1" t="s">
        <v>74</v>
      </c>
      <c r="M2248" s="1" t="s">
        <v>78</v>
      </c>
      <c r="N2248" s="1" t="s">
        <v>79</v>
      </c>
      <c r="O2248" s="1" t="s">
        <v>74</v>
      </c>
      <c r="P2248" s="1" t="s">
        <v>74</v>
      </c>
      <c r="Q2248" s="1" t="s">
        <v>74</v>
      </c>
      <c r="R2248" s="1" t="s">
        <v>74</v>
      </c>
      <c r="S2248" s="1" t="s">
        <v>74</v>
      </c>
      <c r="T2248" s="1" t="s">
        <v>36069</v>
      </c>
      <c r="U2248" s="1" t="s">
        <v>36070</v>
      </c>
      <c r="V2248" s="1" t="s">
        <v>36071</v>
      </c>
      <c r="W2248" s="1" t="s">
        <v>36072</v>
      </c>
      <c r="X2248" s="1" t="s">
        <v>36073</v>
      </c>
      <c r="Y2248" s="1" t="s">
        <v>36074</v>
      </c>
      <c r="Z2248" s="1" t="s">
        <v>36075</v>
      </c>
      <c r="AA2248" s="1" t="s">
        <v>32261</v>
      </c>
      <c r="AB2248" s="1" t="s">
        <v>36076</v>
      </c>
      <c r="AC2248" s="1" t="s">
        <v>32263</v>
      </c>
      <c r="AD2248" s="1" t="s">
        <v>32263</v>
      </c>
      <c r="AE2248" s="1" t="s">
        <v>36077</v>
      </c>
      <c r="AF2248" s="1" t="s">
        <v>74</v>
      </c>
      <c r="AG2248" s="1">
        <v>44</v>
      </c>
      <c r="AH2248" s="1">
        <v>2</v>
      </c>
      <c r="AI2248" s="1">
        <v>2</v>
      </c>
      <c r="AJ2248" s="1">
        <v>3</v>
      </c>
      <c r="AK2248" s="1">
        <v>8</v>
      </c>
      <c r="AL2248" s="1" t="s">
        <v>285</v>
      </c>
      <c r="AM2248" s="1" t="s">
        <v>286</v>
      </c>
      <c r="AN2248" s="1" t="s">
        <v>287</v>
      </c>
      <c r="AO2248" s="1" t="s">
        <v>288</v>
      </c>
      <c r="AP2248" s="1" t="s">
        <v>289</v>
      </c>
      <c r="AQ2248" s="1" t="s">
        <v>74</v>
      </c>
      <c r="AR2248" s="1" t="s">
        <v>290</v>
      </c>
      <c r="AS2248" s="1" t="s">
        <v>291</v>
      </c>
      <c r="AT2248" s="1" t="s">
        <v>119</v>
      </c>
      <c r="AU2248" s="1">
        <v>2023</v>
      </c>
      <c r="AV2248" s="1">
        <v>139</v>
      </c>
      <c r="AW2248" s="1" t="s">
        <v>74</v>
      </c>
      <c r="AX2248" s="1" t="s">
        <v>74</v>
      </c>
      <c r="AY2248" s="1" t="s">
        <v>74</v>
      </c>
      <c r="AZ2248" s="1" t="s">
        <v>74</v>
      </c>
      <c r="BA2248" s="1" t="s">
        <v>74</v>
      </c>
      <c r="BB2248" s="1" t="s">
        <v>74</v>
      </c>
      <c r="BC2248" s="1" t="s">
        <v>74</v>
      </c>
      <c r="BD2248" s="1">
        <v>108919</v>
      </c>
      <c r="BE2248" s="1" t="s">
        <v>36078</v>
      </c>
      <c r="BF2248" s="1" t="str">
        <f>HYPERLINK("http://dx.doi.org/10.1016/j.fsi.2023.108919","http://dx.doi.org/10.1016/j.fsi.2023.108919")</f>
        <v>http://dx.doi.org/10.1016/j.fsi.2023.108919</v>
      </c>
      <c r="BG2248" s="1" t="s">
        <v>74</v>
      </c>
      <c r="BH2248" s="1" t="s">
        <v>1121</v>
      </c>
      <c r="BI2248" s="1">
        <v>10</v>
      </c>
      <c r="BJ2248" s="1" t="s">
        <v>293</v>
      </c>
      <c r="BK2248" s="1" t="s">
        <v>96</v>
      </c>
      <c r="BL2248" s="1" t="s">
        <v>293</v>
      </c>
      <c r="BM2248" s="1" t="s">
        <v>36079</v>
      </c>
      <c r="BN2248" s="1">
        <v>37422276</v>
      </c>
      <c r="BO2248" s="1" t="s">
        <v>74</v>
      </c>
      <c r="BP2248" s="1" t="s">
        <v>74</v>
      </c>
      <c r="BQ2248" s="1" t="s">
        <v>74</v>
      </c>
      <c r="BR2248" s="1" t="s">
        <v>98</v>
      </c>
      <c r="BS2248" s="1" t="s">
        <v>36080</v>
      </c>
      <c r="BT2248" s="1" t="str">
        <f>HYPERLINK("https%3A%2F%2Fwww.webofscience.com%2Fwos%2Fwoscc%2Ffull-record%2FWOS:001041155800001","View Full Record in Web of Science")</f>
        <v>View Full Record in Web of Science</v>
      </c>
      <c r="BU2248" s="1"/>
      <c r="BV2248" s="1"/>
    </row>
    <row r="2249" spans="1:74">
      <c r="A2249" s="1" t="s">
        <v>72</v>
      </c>
      <c r="B2249" s="1" t="s">
        <v>36081</v>
      </c>
      <c r="C2249" s="1" t="s">
        <v>74</v>
      </c>
      <c r="D2249" s="1" t="s">
        <v>74</v>
      </c>
      <c r="E2249" s="1" t="s">
        <v>74</v>
      </c>
      <c r="F2249" s="1" t="s">
        <v>36082</v>
      </c>
      <c r="G2249" s="1" t="s">
        <v>74</v>
      </c>
      <c r="H2249" s="1" t="s">
        <v>74</v>
      </c>
      <c r="I2249" s="1" t="s">
        <v>36083</v>
      </c>
      <c r="J2249" s="1" t="s">
        <v>232</v>
      </c>
      <c r="K2249" s="1" t="s">
        <v>74</v>
      </c>
      <c r="L2249" s="1" t="s">
        <v>74</v>
      </c>
      <c r="M2249" s="1" t="s">
        <v>78</v>
      </c>
      <c r="N2249" s="1" t="s">
        <v>79</v>
      </c>
      <c r="O2249" s="1" t="s">
        <v>74</v>
      </c>
      <c r="P2249" s="1" t="s">
        <v>74</v>
      </c>
      <c r="Q2249" s="1" t="s">
        <v>74</v>
      </c>
      <c r="R2249" s="1" t="s">
        <v>74</v>
      </c>
      <c r="S2249" s="1" t="s">
        <v>74</v>
      </c>
      <c r="T2249" s="1" t="s">
        <v>36084</v>
      </c>
      <c r="U2249" s="1" t="s">
        <v>36085</v>
      </c>
      <c r="V2249" s="1" t="s">
        <v>36086</v>
      </c>
      <c r="W2249" s="1" t="s">
        <v>36087</v>
      </c>
      <c r="X2249" s="1" t="s">
        <v>36088</v>
      </c>
      <c r="Y2249" s="1" t="s">
        <v>36089</v>
      </c>
      <c r="Z2249" s="1" t="s">
        <v>36090</v>
      </c>
      <c r="AA2249" s="1" t="s">
        <v>74</v>
      </c>
      <c r="AB2249" s="1" t="s">
        <v>74</v>
      </c>
      <c r="AC2249" s="1" t="s">
        <v>74</v>
      </c>
      <c r="AD2249" s="1" t="s">
        <v>74</v>
      </c>
      <c r="AE2249" s="1" t="s">
        <v>74</v>
      </c>
      <c r="AF2249" s="1" t="s">
        <v>74</v>
      </c>
      <c r="AG2249" s="1">
        <v>67</v>
      </c>
      <c r="AH2249" s="1">
        <v>1</v>
      </c>
      <c r="AI2249" s="1">
        <v>1</v>
      </c>
      <c r="AJ2249" s="1">
        <v>4</v>
      </c>
      <c r="AK2249" s="1">
        <v>8</v>
      </c>
      <c r="AL2249" s="1" t="s">
        <v>136</v>
      </c>
      <c r="AM2249" s="1" t="s">
        <v>137</v>
      </c>
      <c r="AN2249" s="1" t="s">
        <v>138</v>
      </c>
      <c r="AO2249" s="1" t="s">
        <v>240</v>
      </c>
      <c r="AP2249" s="1" t="s">
        <v>241</v>
      </c>
      <c r="AQ2249" s="1" t="s">
        <v>74</v>
      </c>
      <c r="AR2249" s="1" t="s">
        <v>242</v>
      </c>
      <c r="AS2249" s="1" t="s">
        <v>243</v>
      </c>
      <c r="AT2249" s="1" t="s">
        <v>305</v>
      </c>
      <c r="AU2249" s="1">
        <v>2023</v>
      </c>
      <c r="AV2249" s="1">
        <v>194</v>
      </c>
      <c r="AW2249" s="1" t="s">
        <v>74</v>
      </c>
      <c r="AX2249" s="1" t="s">
        <v>489</v>
      </c>
      <c r="AY2249" s="1" t="s">
        <v>74</v>
      </c>
      <c r="AZ2249" s="1" t="s">
        <v>74</v>
      </c>
      <c r="BA2249" s="1" t="s">
        <v>74</v>
      </c>
      <c r="BB2249" s="1" t="s">
        <v>74</v>
      </c>
      <c r="BC2249" s="1" t="s">
        <v>74</v>
      </c>
      <c r="BD2249" s="1">
        <v>115419</v>
      </c>
      <c r="BE2249" s="1" t="s">
        <v>36091</v>
      </c>
      <c r="BF2249" s="1" t="str">
        <f>HYPERLINK("http://dx.doi.org/10.1016/j.marpolbul.2023.115419","http://dx.doi.org/10.1016/j.marpolbul.2023.115419")</f>
        <v>http://dx.doi.org/10.1016/j.marpolbul.2023.115419</v>
      </c>
      <c r="BG2249" s="1" t="s">
        <v>74</v>
      </c>
      <c r="BH2249" s="1" t="s">
        <v>6411</v>
      </c>
      <c r="BI2249" s="1">
        <v>11</v>
      </c>
      <c r="BJ2249" s="1" t="s">
        <v>247</v>
      </c>
      <c r="BK2249" s="1" t="s">
        <v>96</v>
      </c>
      <c r="BL2249" s="1" t="s">
        <v>248</v>
      </c>
      <c r="BM2249" s="1" t="s">
        <v>36092</v>
      </c>
      <c r="BN2249" s="1">
        <v>37639867</v>
      </c>
      <c r="BO2249" s="1" t="s">
        <v>74</v>
      </c>
      <c r="BP2249" s="1" t="s">
        <v>74</v>
      </c>
      <c r="BQ2249" s="1" t="s">
        <v>74</v>
      </c>
      <c r="BR2249" s="1" t="s">
        <v>98</v>
      </c>
      <c r="BS2249" s="1" t="s">
        <v>36093</v>
      </c>
      <c r="BT2249" s="1" t="str">
        <f>HYPERLINK("https%3A%2F%2Fwww.webofscience.com%2Fwos%2Fwoscc%2Ffull-record%2FWOS:001080919800001","View Full Record in Web of Science")</f>
        <v>View Full Record in Web of Science</v>
      </c>
      <c r="BU2249" s="1"/>
      <c r="BV2249" s="1"/>
    </row>
    <row r="2250" spans="1:74">
      <c r="A2250" s="1" t="s">
        <v>72</v>
      </c>
      <c r="B2250" s="1" t="s">
        <v>36094</v>
      </c>
      <c r="C2250" s="1" t="s">
        <v>74</v>
      </c>
      <c r="D2250" s="1" t="s">
        <v>74</v>
      </c>
      <c r="E2250" s="1" t="s">
        <v>74</v>
      </c>
      <c r="F2250" s="1" t="s">
        <v>36095</v>
      </c>
      <c r="G2250" s="1" t="s">
        <v>74</v>
      </c>
      <c r="H2250" s="1" t="s">
        <v>74</v>
      </c>
      <c r="I2250" s="1" t="s">
        <v>36096</v>
      </c>
      <c r="J2250" s="1" t="s">
        <v>641</v>
      </c>
      <c r="K2250" s="1" t="s">
        <v>74</v>
      </c>
      <c r="L2250" s="1" t="s">
        <v>74</v>
      </c>
      <c r="M2250" s="1" t="s">
        <v>78</v>
      </c>
      <c r="N2250" s="1" t="s">
        <v>79</v>
      </c>
      <c r="O2250" s="1" t="s">
        <v>74</v>
      </c>
      <c r="P2250" s="1" t="s">
        <v>74</v>
      </c>
      <c r="Q2250" s="1" t="s">
        <v>74</v>
      </c>
      <c r="R2250" s="1" t="s">
        <v>74</v>
      </c>
      <c r="S2250" s="1" t="s">
        <v>74</v>
      </c>
      <c r="T2250" s="1" t="s">
        <v>36097</v>
      </c>
      <c r="U2250" s="1" t="s">
        <v>36098</v>
      </c>
      <c r="V2250" s="1" t="s">
        <v>36099</v>
      </c>
      <c r="W2250" s="1" t="s">
        <v>36100</v>
      </c>
      <c r="X2250" s="1" t="s">
        <v>36101</v>
      </c>
      <c r="Y2250" s="1" t="s">
        <v>36102</v>
      </c>
      <c r="Z2250" s="1" t="s">
        <v>36103</v>
      </c>
      <c r="AA2250" s="1" t="s">
        <v>14454</v>
      </c>
      <c r="AB2250" s="1" t="s">
        <v>14455</v>
      </c>
      <c r="AC2250" s="1" t="s">
        <v>74</v>
      </c>
      <c r="AD2250" s="1" t="s">
        <v>74</v>
      </c>
      <c r="AE2250" s="1" t="s">
        <v>74</v>
      </c>
      <c r="AF2250" s="1" t="s">
        <v>74</v>
      </c>
      <c r="AG2250" s="1">
        <v>42</v>
      </c>
      <c r="AH2250" s="1">
        <v>124</v>
      </c>
      <c r="AI2250" s="1">
        <v>130</v>
      </c>
      <c r="AJ2250" s="1">
        <v>0</v>
      </c>
      <c r="AK2250" s="1">
        <v>42</v>
      </c>
      <c r="AL2250" s="1" t="s">
        <v>650</v>
      </c>
      <c r="AM2250" s="1" t="s">
        <v>651</v>
      </c>
      <c r="AN2250" s="1" t="s">
        <v>652</v>
      </c>
      <c r="AO2250" s="1" t="s">
        <v>653</v>
      </c>
      <c r="AP2250" s="1" t="s">
        <v>654</v>
      </c>
      <c r="AQ2250" s="1" t="s">
        <v>74</v>
      </c>
      <c r="AR2250" s="1" t="s">
        <v>655</v>
      </c>
      <c r="AS2250" s="1" t="s">
        <v>656</v>
      </c>
      <c r="AT2250" s="1" t="s">
        <v>4349</v>
      </c>
      <c r="AU2250" s="1">
        <v>2006</v>
      </c>
      <c r="AV2250" s="1">
        <v>77</v>
      </c>
      <c r="AW2250" s="1">
        <v>4</v>
      </c>
      <c r="AX2250" s="1" t="s">
        <v>74</v>
      </c>
      <c r="AY2250" s="1" t="s">
        <v>74</v>
      </c>
      <c r="AZ2250" s="1" t="s">
        <v>74</v>
      </c>
      <c r="BA2250" s="1" t="s">
        <v>74</v>
      </c>
      <c r="BB2250" s="1">
        <v>339</v>
      </c>
      <c r="BC2250" s="1">
        <v>347</v>
      </c>
      <c r="BD2250" s="1" t="s">
        <v>74</v>
      </c>
      <c r="BE2250" s="1" t="s">
        <v>36104</v>
      </c>
      <c r="BF2250" s="1" t="str">
        <f>HYPERLINK("http://dx.doi.org/10.1016/j.aquatox.2005.12.013","http://dx.doi.org/10.1016/j.aquatox.2005.12.013")</f>
        <v>http://dx.doi.org/10.1016/j.aquatox.2005.12.013</v>
      </c>
      <c r="BG2250" s="1" t="s">
        <v>74</v>
      </c>
      <c r="BH2250" s="1" t="s">
        <v>74</v>
      </c>
      <c r="BI2250" s="1">
        <v>9</v>
      </c>
      <c r="BJ2250" s="1" t="s">
        <v>659</v>
      </c>
      <c r="BK2250" s="1" t="s">
        <v>96</v>
      </c>
      <c r="BL2250" s="1" t="s">
        <v>659</v>
      </c>
      <c r="BM2250" s="1" t="s">
        <v>36105</v>
      </c>
      <c r="BN2250" s="1">
        <v>16480782</v>
      </c>
      <c r="BO2250" s="1" t="s">
        <v>74</v>
      </c>
      <c r="BP2250" s="1" t="s">
        <v>74</v>
      </c>
      <c r="BQ2250" s="1" t="s">
        <v>74</v>
      </c>
      <c r="BR2250" s="1" t="s">
        <v>98</v>
      </c>
      <c r="BS2250" s="1" t="s">
        <v>36106</v>
      </c>
      <c r="BT2250" s="1" t="str">
        <f>HYPERLINK("https%3A%2F%2Fwww.webofscience.com%2Fwos%2Fwoscc%2Ffull-record%2FWOS:000237813400001","View Full Record in Web of Science")</f>
        <v>View Full Record in Web of Science</v>
      </c>
      <c r="BU2250" s="1"/>
      <c r="BV2250" s="1"/>
    </row>
    <row r="2251" spans="1:74">
      <c r="A2251" s="1" t="s">
        <v>72</v>
      </c>
      <c r="B2251" s="1" t="s">
        <v>36107</v>
      </c>
      <c r="C2251" s="1" t="s">
        <v>74</v>
      </c>
      <c r="D2251" s="1" t="s">
        <v>74</v>
      </c>
      <c r="E2251" s="1" t="s">
        <v>74</v>
      </c>
      <c r="F2251" s="1" t="s">
        <v>36108</v>
      </c>
      <c r="G2251" s="1" t="s">
        <v>74</v>
      </c>
      <c r="H2251" s="1" t="s">
        <v>74</v>
      </c>
      <c r="I2251" s="1" t="s">
        <v>36109</v>
      </c>
      <c r="J2251" s="1" t="s">
        <v>36110</v>
      </c>
      <c r="K2251" s="1" t="s">
        <v>74</v>
      </c>
      <c r="L2251" s="1" t="s">
        <v>74</v>
      </c>
      <c r="M2251" s="1" t="s">
        <v>78</v>
      </c>
      <c r="N2251" s="1" t="s">
        <v>79</v>
      </c>
      <c r="O2251" s="1" t="s">
        <v>74</v>
      </c>
      <c r="P2251" s="1" t="s">
        <v>74</v>
      </c>
      <c r="Q2251" s="1" t="s">
        <v>74</v>
      </c>
      <c r="R2251" s="1" t="s">
        <v>74</v>
      </c>
      <c r="S2251" s="1" t="s">
        <v>74</v>
      </c>
      <c r="T2251" s="1" t="s">
        <v>36111</v>
      </c>
      <c r="U2251" s="1" t="s">
        <v>36112</v>
      </c>
      <c r="V2251" s="1" t="s">
        <v>36113</v>
      </c>
      <c r="W2251" s="1" t="s">
        <v>36114</v>
      </c>
      <c r="X2251" s="1" t="s">
        <v>36115</v>
      </c>
      <c r="Y2251" s="1" t="s">
        <v>36116</v>
      </c>
      <c r="Z2251" s="1" t="s">
        <v>36117</v>
      </c>
      <c r="AA2251" s="1" t="s">
        <v>74</v>
      </c>
      <c r="AB2251" s="1" t="s">
        <v>36118</v>
      </c>
      <c r="AC2251" s="1" t="s">
        <v>36119</v>
      </c>
      <c r="AD2251" s="1" t="s">
        <v>36120</v>
      </c>
      <c r="AE2251" s="1" t="s">
        <v>36121</v>
      </c>
      <c r="AF2251" s="1" t="s">
        <v>74</v>
      </c>
      <c r="AG2251" s="1">
        <v>76</v>
      </c>
      <c r="AH2251" s="1">
        <v>2</v>
      </c>
      <c r="AI2251" s="1">
        <v>2</v>
      </c>
      <c r="AJ2251" s="1">
        <v>4</v>
      </c>
      <c r="AK2251" s="1">
        <v>36</v>
      </c>
      <c r="AL2251" s="1" t="s">
        <v>112</v>
      </c>
      <c r="AM2251" s="1" t="s">
        <v>191</v>
      </c>
      <c r="AN2251" s="1" t="s">
        <v>192</v>
      </c>
      <c r="AO2251" s="1" t="s">
        <v>36122</v>
      </c>
      <c r="AP2251" s="1" t="s">
        <v>36123</v>
      </c>
      <c r="AQ2251" s="1" t="s">
        <v>74</v>
      </c>
      <c r="AR2251" s="1" t="s">
        <v>36124</v>
      </c>
      <c r="AS2251" s="1" t="s">
        <v>36125</v>
      </c>
      <c r="AT2251" s="1" t="s">
        <v>170</v>
      </c>
      <c r="AU2251" s="1">
        <v>2021</v>
      </c>
      <c r="AV2251" s="1">
        <v>23</v>
      </c>
      <c r="AW2251" s="1">
        <v>5</v>
      </c>
      <c r="AX2251" s="1" t="s">
        <v>74</v>
      </c>
      <c r="AY2251" s="1" t="s">
        <v>74</v>
      </c>
      <c r="AZ2251" s="1" t="s">
        <v>74</v>
      </c>
      <c r="BA2251" s="1" t="s">
        <v>74</v>
      </c>
      <c r="BB2251" s="1">
        <v>1349</v>
      </c>
      <c r="BC2251" s="1">
        <v>1366</v>
      </c>
      <c r="BD2251" s="1" t="s">
        <v>74</v>
      </c>
      <c r="BE2251" s="1" t="s">
        <v>36126</v>
      </c>
      <c r="BF2251" s="1" t="str">
        <f>HYPERLINK("http://dx.doi.org/10.1007/s10530-020-02443-x","http://dx.doi.org/10.1007/s10530-020-02443-x")</f>
        <v>http://dx.doi.org/10.1007/s10530-020-02443-x</v>
      </c>
      <c r="BG2251" s="1" t="s">
        <v>74</v>
      </c>
      <c r="BH2251" s="1" t="s">
        <v>2597</v>
      </c>
      <c r="BI2251" s="1">
        <v>18</v>
      </c>
      <c r="BJ2251" s="1" t="s">
        <v>17252</v>
      </c>
      <c r="BK2251" s="1" t="s">
        <v>96</v>
      </c>
      <c r="BL2251" s="1" t="s">
        <v>4924</v>
      </c>
      <c r="BM2251" s="1" t="s">
        <v>36127</v>
      </c>
      <c r="BN2251" s="1" t="s">
        <v>74</v>
      </c>
      <c r="BO2251" s="1" t="s">
        <v>74</v>
      </c>
      <c r="BP2251" s="1" t="s">
        <v>74</v>
      </c>
      <c r="BQ2251" s="1" t="s">
        <v>74</v>
      </c>
      <c r="BR2251" s="1" t="s">
        <v>98</v>
      </c>
      <c r="BS2251" s="1" t="s">
        <v>36128</v>
      </c>
      <c r="BT2251" s="1" t="str">
        <f>HYPERLINK("https%3A%2F%2Fwww.webofscience.com%2Fwos%2Fwoscc%2Ffull-record%2FWOS:000604192800008","View Full Record in Web of Science")</f>
        <v>View Full Record in Web of Science</v>
      </c>
      <c r="BU2251" s="1"/>
      <c r="BV2251" s="1"/>
    </row>
    <row r="2252" spans="1:74">
      <c r="A2252" s="1" t="s">
        <v>72</v>
      </c>
      <c r="B2252" s="1" t="s">
        <v>36129</v>
      </c>
      <c r="C2252" s="1" t="s">
        <v>74</v>
      </c>
      <c r="D2252" s="1" t="s">
        <v>74</v>
      </c>
      <c r="E2252" s="1" t="s">
        <v>74</v>
      </c>
      <c r="F2252" s="1" t="s">
        <v>36130</v>
      </c>
      <c r="G2252" s="1" t="s">
        <v>74</v>
      </c>
      <c r="H2252" s="1" t="s">
        <v>74</v>
      </c>
      <c r="I2252" s="1" t="s">
        <v>36131</v>
      </c>
      <c r="J2252" s="1" t="s">
        <v>11276</v>
      </c>
      <c r="K2252" s="1" t="s">
        <v>74</v>
      </c>
      <c r="L2252" s="1" t="s">
        <v>74</v>
      </c>
      <c r="M2252" s="1" t="s">
        <v>78</v>
      </c>
      <c r="N2252" s="1" t="s">
        <v>79</v>
      </c>
      <c r="O2252" s="1" t="s">
        <v>74</v>
      </c>
      <c r="P2252" s="1" t="s">
        <v>74</v>
      </c>
      <c r="Q2252" s="1" t="s">
        <v>74</v>
      </c>
      <c r="R2252" s="1" t="s">
        <v>74</v>
      </c>
      <c r="S2252" s="1" t="s">
        <v>74</v>
      </c>
      <c r="T2252" s="1" t="s">
        <v>36132</v>
      </c>
      <c r="U2252" s="1" t="s">
        <v>36133</v>
      </c>
      <c r="V2252" s="1" t="s">
        <v>36134</v>
      </c>
      <c r="W2252" s="1" t="s">
        <v>36135</v>
      </c>
      <c r="X2252" s="1" t="s">
        <v>36136</v>
      </c>
      <c r="Y2252" s="1" t="s">
        <v>36137</v>
      </c>
      <c r="Z2252" s="1" t="s">
        <v>36138</v>
      </c>
      <c r="AA2252" s="1" t="s">
        <v>74</v>
      </c>
      <c r="AB2252" s="1" t="s">
        <v>74</v>
      </c>
      <c r="AC2252" s="1" t="s">
        <v>36139</v>
      </c>
      <c r="AD2252" s="1" t="s">
        <v>36140</v>
      </c>
      <c r="AE2252" s="1" t="s">
        <v>36141</v>
      </c>
      <c r="AF2252" s="1" t="s">
        <v>74</v>
      </c>
      <c r="AG2252" s="1">
        <v>31</v>
      </c>
      <c r="AH2252" s="1">
        <v>18</v>
      </c>
      <c r="AI2252" s="1">
        <v>20</v>
      </c>
      <c r="AJ2252" s="1">
        <v>1</v>
      </c>
      <c r="AK2252" s="1">
        <v>34</v>
      </c>
      <c r="AL2252" s="1" t="s">
        <v>430</v>
      </c>
      <c r="AM2252" s="1" t="s">
        <v>137</v>
      </c>
      <c r="AN2252" s="1" t="s">
        <v>431</v>
      </c>
      <c r="AO2252" s="1" t="s">
        <v>11284</v>
      </c>
      <c r="AP2252" s="1" t="s">
        <v>74</v>
      </c>
      <c r="AQ2252" s="1" t="s">
        <v>74</v>
      </c>
      <c r="AR2252" s="1" t="s">
        <v>11285</v>
      </c>
      <c r="AS2252" s="1" t="s">
        <v>11286</v>
      </c>
      <c r="AT2252" s="1" t="s">
        <v>93</v>
      </c>
      <c r="AU2252" s="1">
        <v>2009</v>
      </c>
      <c r="AV2252" s="1">
        <v>100</v>
      </c>
      <c r="AW2252" s="1">
        <v>4</v>
      </c>
      <c r="AX2252" s="1" t="s">
        <v>74</v>
      </c>
      <c r="AY2252" s="1" t="s">
        <v>74</v>
      </c>
      <c r="AZ2252" s="1" t="s">
        <v>74</v>
      </c>
      <c r="BA2252" s="1" t="s">
        <v>74</v>
      </c>
      <c r="BB2252" s="1">
        <v>333</v>
      </c>
      <c r="BC2252" s="1">
        <v>341</v>
      </c>
      <c r="BD2252" s="1" t="s">
        <v>74</v>
      </c>
      <c r="BE2252" s="1" t="s">
        <v>36142</v>
      </c>
      <c r="BF2252" s="1" t="str">
        <f>HYPERLINK("http://dx.doi.org/10.1016/j.jenvrad.2008.12.020","http://dx.doi.org/10.1016/j.jenvrad.2008.12.020")</f>
        <v>http://dx.doi.org/10.1016/j.jenvrad.2008.12.020</v>
      </c>
      <c r="BG2252" s="1" t="s">
        <v>74</v>
      </c>
      <c r="BH2252" s="1" t="s">
        <v>74</v>
      </c>
      <c r="BI2252" s="1">
        <v>9</v>
      </c>
      <c r="BJ2252" s="1" t="s">
        <v>144</v>
      </c>
      <c r="BK2252" s="1" t="s">
        <v>96</v>
      </c>
      <c r="BL2252" s="1" t="s">
        <v>145</v>
      </c>
      <c r="BM2252" s="1" t="s">
        <v>36143</v>
      </c>
      <c r="BN2252" s="1">
        <v>19223097</v>
      </c>
      <c r="BO2252" s="1" t="s">
        <v>74</v>
      </c>
      <c r="BP2252" s="1" t="s">
        <v>74</v>
      </c>
      <c r="BQ2252" s="1" t="s">
        <v>74</v>
      </c>
      <c r="BR2252" s="1" t="s">
        <v>98</v>
      </c>
      <c r="BS2252" s="1" t="s">
        <v>36144</v>
      </c>
      <c r="BT2252" s="1" t="str">
        <f>HYPERLINK("https%3A%2F%2Fwww.webofscience.com%2Fwos%2Fwoscc%2Ffull-record%2FWOS:000264649500009","View Full Record in Web of Science")</f>
        <v>View Full Record in Web of Science</v>
      </c>
      <c r="BU2252" s="1"/>
      <c r="BV2252" s="1"/>
    </row>
    <row r="2253" spans="1:74">
      <c r="A2253" s="1" t="s">
        <v>72</v>
      </c>
      <c r="B2253" s="1" t="s">
        <v>36145</v>
      </c>
      <c r="C2253" s="1" t="s">
        <v>74</v>
      </c>
      <c r="D2253" s="1" t="s">
        <v>74</v>
      </c>
      <c r="E2253" s="1" t="s">
        <v>74</v>
      </c>
      <c r="F2253" s="1" t="s">
        <v>36145</v>
      </c>
      <c r="G2253" s="1" t="s">
        <v>74</v>
      </c>
      <c r="H2253" s="1" t="s">
        <v>74</v>
      </c>
      <c r="I2253" s="1" t="s">
        <v>36146</v>
      </c>
      <c r="J2253" s="1" t="s">
        <v>1097</v>
      </c>
      <c r="K2253" s="1" t="s">
        <v>74</v>
      </c>
      <c r="L2253" s="1" t="s">
        <v>74</v>
      </c>
      <c r="M2253" s="1" t="s">
        <v>78</v>
      </c>
      <c r="N2253" s="1" t="s">
        <v>79</v>
      </c>
      <c r="O2253" s="1" t="s">
        <v>74</v>
      </c>
      <c r="P2253" s="1" t="s">
        <v>74</v>
      </c>
      <c r="Q2253" s="1" t="s">
        <v>74</v>
      </c>
      <c r="R2253" s="1" t="s">
        <v>74</v>
      </c>
      <c r="S2253" s="1" t="s">
        <v>74</v>
      </c>
      <c r="T2253" s="1" t="s">
        <v>74</v>
      </c>
      <c r="U2253" s="1" t="s">
        <v>74</v>
      </c>
      <c r="V2253" s="1" t="s">
        <v>36147</v>
      </c>
      <c r="W2253" s="1" t="s">
        <v>74</v>
      </c>
      <c r="X2253" s="1" t="s">
        <v>74</v>
      </c>
      <c r="Y2253" s="1" t="s">
        <v>16950</v>
      </c>
      <c r="Z2253" s="1" t="s">
        <v>74</v>
      </c>
      <c r="AA2253" s="1" t="s">
        <v>74</v>
      </c>
      <c r="AB2253" s="1" t="s">
        <v>74</v>
      </c>
      <c r="AC2253" s="1" t="s">
        <v>74</v>
      </c>
      <c r="AD2253" s="1" t="s">
        <v>74</v>
      </c>
      <c r="AE2253" s="1" t="s">
        <v>74</v>
      </c>
      <c r="AF2253" s="1" t="s">
        <v>74</v>
      </c>
      <c r="AG2253" s="1">
        <v>30</v>
      </c>
      <c r="AH2253" s="1">
        <v>7</v>
      </c>
      <c r="AI2253" s="1">
        <v>10</v>
      </c>
      <c r="AJ2253" s="1">
        <v>0</v>
      </c>
      <c r="AK2253" s="1">
        <v>5</v>
      </c>
      <c r="AL2253" s="1" t="s">
        <v>217</v>
      </c>
      <c r="AM2253" s="1" t="s">
        <v>218</v>
      </c>
      <c r="AN2253" s="1" t="s">
        <v>219</v>
      </c>
      <c r="AO2253" s="1" t="s">
        <v>1100</v>
      </c>
      <c r="AP2253" s="1" t="s">
        <v>1101</v>
      </c>
      <c r="AQ2253" s="1" t="s">
        <v>74</v>
      </c>
      <c r="AR2253" s="1" t="s">
        <v>1102</v>
      </c>
      <c r="AS2253" s="1" t="s">
        <v>1103</v>
      </c>
      <c r="AT2253" s="1" t="s">
        <v>74</v>
      </c>
      <c r="AU2253" s="1">
        <v>1985</v>
      </c>
      <c r="AV2253" s="1">
        <v>85</v>
      </c>
      <c r="AW2253" s="1">
        <v>3</v>
      </c>
      <c r="AX2253" s="1" t="s">
        <v>74</v>
      </c>
      <c r="AY2253" s="1" t="s">
        <v>74</v>
      </c>
      <c r="AZ2253" s="1" t="s">
        <v>74</v>
      </c>
      <c r="BA2253" s="1" t="s">
        <v>74</v>
      </c>
      <c r="BB2253" s="1">
        <v>245</v>
      </c>
      <c r="BC2253" s="1">
        <v>252</v>
      </c>
      <c r="BD2253" s="1" t="s">
        <v>74</v>
      </c>
      <c r="BE2253" s="1" t="s">
        <v>36148</v>
      </c>
      <c r="BF2253" s="1" t="str">
        <f>HYPERLINK("http://dx.doi.org/10.1007/BF00393244","http://dx.doi.org/10.1007/BF00393244")</f>
        <v>http://dx.doi.org/10.1007/BF00393244</v>
      </c>
      <c r="BG2253" s="1" t="s">
        <v>74</v>
      </c>
      <c r="BH2253" s="1" t="s">
        <v>74</v>
      </c>
      <c r="BI2253" s="1">
        <v>8</v>
      </c>
      <c r="BJ2253" s="1" t="s">
        <v>680</v>
      </c>
      <c r="BK2253" s="1" t="s">
        <v>96</v>
      </c>
      <c r="BL2253" s="1" t="s">
        <v>680</v>
      </c>
      <c r="BM2253" s="1" t="s">
        <v>36149</v>
      </c>
      <c r="BN2253" s="1" t="s">
        <v>74</v>
      </c>
      <c r="BO2253" s="1" t="s">
        <v>74</v>
      </c>
      <c r="BP2253" s="1" t="s">
        <v>74</v>
      </c>
      <c r="BQ2253" s="1" t="s">
        <v>74</v>
      </c>
      <c r="BR2253" s="1" t="s">
        <v>98</v>
      </c>
      <c r="BS2253" s="1" t="s">
        <v>36150</v>
      </c>
      <c r="BT2253" s="1" t="str">
        <f>HYPERLINK("https%3A%2F%2Fwww.webofscience.com%2Fwos%2Fwoscc%2Ffull-record%2FWOS:A1985AJR4500003","View Full Record in Web of Science")</f>
        <v>View Full Record in Web of Science</v>
      </c>
      <c r="BU2253" s="1"/>
      <c r="BV2253" s="1"/>
    </row>
    <row r="2254" spans="1:74">
      <c r="A2254" s="1" t="s">
        <v>72</v>
      </c>
      <c r="B2254" s="1" t="s">
        <v>36151</v>
      </c>
      <c r="C2254" s="1" t="s">
        <v>74</v>
      </c>
      <c r="D2254" s="1" t="s">
        <v>74</v>
      </c>
      <c r="E2254" s="1" t="s">
        <v>74</v>
      </c>
      <c r="F2254" s="1" t="s">
        <v>36151</v>
      </c>
      <c r="G2254" s="1" t="s">
        <v>74</v>
      </c>
      <c r="H2254" s="1" t="s">
        <v>74</v>
      </c>
      <c r="I2254" s="1" t="s">
        <v>36152</v>
      </c>
      <c r="J2254" s="1" t="s">
        <v>421</v>
      </c>
      <c r="K2254" s="1" t="s">
        <v>74</v>
      </c>
      <c r="L2254" s="1" t="s">
        <v>74</v>
      </c>
      <c r="M2254" s="1" t="s">
        <v>78</v>
      </c>
      <c r="N2254" s="1" t="s">
        <v>79</v>
      </c>
      <c r="O2254" s="1" t="s">
        <v>74</v>
      </c>
      <c r="P2254" s="1" t="s">
        <v>74</v>
      </c>
      <c r="Q2254" s="1" t="s">
        <v>74</v>
      </c>
      <c r="R2254" s="1" t="s">
        <v>74</v>
      </c>
      <c r="S2254" s="1" t="s">
        <v>74</v>
      </c>
      <c r="T2254" s="1" t="s">
        <v>36153</v>
      </c>
      <c r="U2254" s="1" t="s">
        <v>36154</v>
      </c>
      <c r="V2254" s="1" t="s">
        <v>36155</v>
      </c>
      <c r="W2254" s="1" t="s">
        <v>36156</v>
      </c>
      <c r="X2254" s="1" t="s">
        <v>7947</v>
      </c>
      <c r="Y2254" s="1" t="s">
        <v>36157</v>
      </c>
      <c r="Z2254" s="1" t="s">
        <v>74</v>
      </c>
      <c r="AA2254" s="1" t="s">
        <v>74</v>
      </c>
      <c r="AB2254" s="1" t="s">
        <v>74</v>
      </c>
      <c r="AC2254" s="1" t="s">
        <v>74</v>
      </c>
      <c r="AD2254" s="1" t="s">
        <v>74</v>
      </c>
      <c r="AE2254" s="1" t="s">
        <v>74</v>
      </c>
      <c r="AF2254" s="1" t="s">
        <v>74</v>
      </c>
      <c r="AG2254" s="1">
        <v>23</v>
      </c>
      <c r="AH2254" s="1">
        <v>38</v>
      </c>
      <c r="AI2254" s="1">
        <v>42</v>
      </c>
      <c r="AJ2254" s="1">
        <v>0</v>
      </c>
      <c r="AK2254" s="1">
        <v>19</v>
      </c>
      <c r="AL2254" s="1" t="s">
        <v>430</v>
      </c>
      <c r="AM2254" s="1" t="s">
        <v>137</v>
      </c>
      <c r="AN2254" s="1" t="s">
        <v>431</v>
      </c>
      <c r="AO2254" s="1" t="s">
        <v>432</v>
      </c>
      <c r="AP2254" s="1" t="s">
        <v>74</v>
      </c>
      <c r="AQ2254" s="1" t="s">
        <v>74</v>
      </c>
      <c r="AR2254" s="1" t="s">
        <v>433</v>
      </c>
      <c r="AS2254" s="1" t="s">
        <v>434</v>
      </c>
      <c r="AT2254" s="1" t="s">
        <v>74</v>
      </c>
      <c r="AU2254" s="1">
        <v>1997</v>
      </c>
      <c r="AV2254" s="1">
        <v>98</v>
      </c>
      <c r="AW2254" s="1">
        <v>2</v>
      </c>
      <c r="AX2254" s="1" t="s">
        <v>74</v>
      </c>
      <c r="AY2254" s="1" t="s">
        <v>74</v>
      </c>
      <c r="AZ2254" s="1" t="s">
        <v>74</v>
      </c>
      <c r="BA2254" s="1" t="s">
        <v>74</v>
      </c>
      <c r="BB2254" s="1">
        <v>209</v>
      </c>
      <c r="BC2254" s="1">
        <v>221</v>
      </c>
      <c r="BD2254" s="1" t="s">
        <v>74</v>
      </c>
      <c r="BE2254" s="1" t="s">
        <v>36158</v>
      </c>
      <c r="BF2254" s="1" t="str">
        <f>HYPERLINK("http://dx.doi.org/10.1016/S0269-7491(97)00137-1","http://dx.doi.org/10.1016/S0269-7491(97)00137-1")</f>
        <v>http://dx.doi.org/10.1016/S0269-7491(97)00137-1</v>
      </c>
      <c r="BG2254" s="1" t="s">
        <v>74</v>
      </c>
      <c r="BH2254" s="1" t="s">
        <v>74</v>
      </c>
      <c r="BI2254" s="1">
        <v>13</v>
      </c>
      <c r="BJ2254" s="1" t="s">
        <v>144</v>
      </c>
      <c r="BK2254" s="1" t="s">
        <v>96</v>
      </c>
      <c r="BL2254" s="1" t="s">
        <v>145</v>
      </c>
      <c r="BM2254" s="1" t="s">
        <v>36159</v>
      </c>
      <c r="BN2254" s="1" t="s">
        <v>74</v>
      </c>
      <c r="BO2254" s="1" t="s">
        <v>74</v>
      </c>
      <c r="BP2254" s="1" t="s">
        <v>74</v>
      </c>
      <c r="BQ2254" s="1" t="s">
        <v>74</v>
      </c>
      <c r="BR2254" s="1" t="s">
        <v>98</v>
      </c>
      <c r="BS2254" s="1" t="s">
        <v>36160</v>
      </c>
      <c r="BT2254" s="1" t="str">
        <f>HYPERLINK("https%3A%2F%2Fwww.webofscience.com%2Fwos%2Fwoscc%2Ffull-record%2FWOS:000072110500009","View Full Record in Web of Science")</f>
        <v>View Full Record in Web of Science</v>
      </c>
      <c r="BU2254" s="1"/>
      <c r="BV2254" s="1"/>
    </row>
    <row r="2255" spans="1:74">
      <c r="A2255" s="1" t="s">
        <v>72</v>
      </c>
      <c r="B2255" s="1" t="s">
        <v>36161</v>
      </c>
      <c r="C2255" s="1" t="s">
        <v>74</v>
      </c>
      <c r="D2255" s="1" t="s">
        <v>74</v>
      </c>
      <c r="E2255" s="1" t="s">
        <v>74</v>
      </c>
      <c r="F2255" s="1" t="s">
        <v>36162</v>
      </c>
      <c r="G2255" s="1" t="s">
        <v>74</v>
      </c>
      <c r="H2255" s="1" t="s">
        <v>74</v>
      </c>
      <c r="I2255" s="1" t="s">
        <v>36163</v>
      </c>
      <c r="J2255" s="1" t="s">
        <v>3857</v>
      </c>
      <c r="K2255" s="1" t="s">
        <v>74</v>
      </c>
      <c r="L2255" s="1" t="s">
        <v>74</v>
      </c>
      <c r="M2255" s="1" t="s">
        <v>78</v>
      </c>
      <c r="N2255" s="1" t="s">
        <v>79</v>
      </c>
      <c r="O2255" s="1" t="s">
        <v>74</v>
      </c>
      <c r="P2255" s="1" t="s">
        <v>74</v>
      </c>
      <c r="Q2255" s="1" t="s">
        <v>74</v>
      </c>
      <c r="R2255" s="1" t="s">
        <v>74</v>
      </c>
      <c r="S2255" s="1" t="s">
        <v>74</v>
      </c>
      <c r="T2255" s="1" t="s">
        <v>36164</v>
      </c>
      <c r="U2255" s="1" t="s">
        <v>36165</v>
      </c>
      <c r="V2255" s="1" t="s">
        <v>36166</v>
      </c>
      <c r="W2255" s="1" t="s">
        <v>36167</v>
      </c>
      <c r="X2255" s="1" t="s">
        <v>36168</v>
      </c>
      <c r="Y2255" s="1" t="s">
        <v>36169</v>
      </c>
      <c r="Z2255" s="1" t="s">
        <v>36170</v>
      </c>
      <c r="AA2255" s="1" t="s">
        <v>74</v>
      </c>
      <c r="AB2255" s="1" t="s">
        <v>74</v>
      </c>
      <c r="AC2255" s="1" t="s">
        <v>36171</v>
      </c>
      <c r="AD2255" s="1" t="s">
        <v>36172</v>
      </c>
      <c r="AE2255" s="1" t="s">
        <v>36173</v>
      </c>
      <c r="AF2255" s="1" t="s">
        <v>74</v>
      </c>
      <c r="AG2255" s="1">
        <v>54</v>
      </c>
      <c r="AH2255" s="1">
        <v>12</v>
      </c>
      <c r="AI2255" s="1">
        <v>13</v>
      </c>
      <c r="AJ2255" s="1">
        <v>0</v>
      </c>
      <c r="AK2255" s="1">
        <v>5</v>
      </c>
      <c r="AL2255" s="1" t="s">
        <v>650</v>
      </c>
      <c r="AM2255" s="1" t="s">
        <v>651</v>
      </c>
      <c r="AN2255" s="1" t="s">
        <v>652</v>
      </c>
      <c r="AO2255" s="1" t="s">
        <v>3868</v>
      </c>
      <c r="AP2255" s="1" t="s">
        <v>3869</v>
      </c>
      <c r="AQ2255" s="1" t="s">
        <v>74</v>
      </c>
      <c r="AR2255" s="1" t="s">
        <v>3857</v>
      </c>
      <c r="AS2255" s="1" t="s">
        <v>3870</v>
      </c>
      <c r="AT2255" s="1" t="s">
        <v>15610</v>
      </c>
      <c r="AU2255" s="1">
        <v>2009</v>
      </c>
      <c r="AV2255" s="1">
        <v>430</v>
      </c>
      <c r="AW2255" s="1" t="s">
        <v>326</v>
      </c>
      <c r="AX2255" s="1" t="s">
        <v>74</v>
      </c>
      <c r="AY2255" s="1" t="s">
        <v>74</v>
      </c>
      <c r="AZ2255" s="1" t="s">
        <v>74</v>
      </c>
      <c r="BA2255" s="1" t="s">
        <v>74</v>
      </c>
      <c r="BB2255" s="1">
        <v>77</v>
      </c>
      <c r="BC2255" s="1">
        <v>85</v>
      </c>
      <c r="BD2255" s="1" t="s">
        <v>74</v>
      </c>
      <c r="BE2255" s="1" t="s">
        <v>36174</v>
      </c>
      <c r="BF2255" s="1" t="str">
        <f>HYPERLINK("http://dx.doi.org/10.1016/j.gene.2008.10.024","http://dx.doi.org/10.1016/j.gene.2008.10.024")</f>
        <v>http://dx.doi.org/10.1016/j.gene.2008.10.024</v>
      </c>
      <c r="BG2255" s="1" t="s">
        <v>74</v>
      </c>
      <c r="BH2255" s="1" t="s">
        <v>74</v>
      </c>
      <c r="BI2255" s="1">
        <v>9</v>
      </c>
      <c r="BJ2255" s="1" t="s">
        <v>3873</v>
      </c>
      <c r="BK2255" s="1" t="s">
        <v>96</v>
      </c>
      <c r="BL2255" s="1" t="s">
        <v>3873</v>
      </c>
      <c r="BM2255" s="1" t="s">
        <v>36175</v>
      </c>
      <c r="BN2255" s="1">
        <v>19038317</v>
      </c>
      <c r="BO2255" s="1" t="s">
        <v>74</v>
      </c>
      <c r="BP2255" s="1" t="s">
        <v>74</v>
      </c>
      <c r="BQ2255" s="1" t="s">
        <v>74</v>
      </c>
      <c r="BR2255" s="1" t="s">
        <v>98</v>
      </c>
      <c r="BS2255" s="1" t="s">
        <v>36176</v>
      </c>
      <c r="BT2255" s="1" t="str">
        <f>HYPERLINK("https%3A%2F%2Fwww.webofscience.com%2Fwos%2Fwoscc%2Ffull-record%2FWOS:000262877600011","View Full Record in Web of Science")</f>
        <v>View Full Record in Web of Science</v>
      </c>
      <c r="BU2255" s="1"/>
      <c r="BV2255" s="1"/>
    </row>
    <row r="2256" spans="1:74">
      <c r="A2256" s="1" t="s">
        <v>72</v>
      </c>
      <c r="B2256" s="1" t="s">
        <v>36177</v>
      </c>
      <c r="C2256" s="1" t="s">
        <v>74</v>
      </c>
      <c r="D2256" s="1" t="s">
        <v>74</v>
      </c>
      <c r="E2256" s="1" t="s">
        <v>74</v>
      </c>
      <c r="F2256" s="1" t="s">
        <v>36177</v>
      </c>
      <c r="G2256" s="1" t="s">
        <v>74</v>
      </c>
      <c r="H2256" s="1" t="s">
        <v>74</v>
      </c>
      <c r="I2256" s="1" t="s">
        <v>36178</v>
      </c>
      <c r="J2256" s="1" t="s">
        <v>232</v>
      </c>
      <c r="K2256" s="1" t="s">
        <v>74</v>
      </c>
      <c r="L2256" s="1" t="s">
        <v>74</v>
      </c>
      <c r="M2256" s="1" t="s">
        <v>78</v>
      </c>
      <c r="N2256" s="1" t="s">
        <v>79</v>
      </c>
      <c r="O2256" s="1" t="s">
        <v>74</v>
      </c>
      <c r="P2256" s="1" t="s">
        <v>74</v>
      </c>
      <c r="Q2256" s="1" t="s">
        <v>74</v>
      </c>
      <c r="R2256" s="1" t="s">
        <v>74</v>
      </c>
      <c r="S2256" s="1" t="s">
        <v>74</v>
      </c>
      <c r="T2256" s="1" t="s">
        <v>36179</v>
      </c>
      <c r="U2256" s="1" t="s">
        <v>36180</v>
      </c>
      <c r="V2256" s="1" t="s">
        <v>36181</v>
      </c>
      <c r="W2256" s="1" t="s">
        <v>36182</v>
      </c>
      <c r="X2256" s="1" t="s">
        <v>25919</v>
      </c>
      <c r="Y2256" s="1" t="s">
        <v>36183</v>
      </c>
      <c r="Z2256" s="1" t="s">
        <v>36184</v>
      </c>
      <c r="AA2256" s="1" t="s">
        <v>74</v>
      </c>
      <c r="AB2256" s="1" t="s">
        <v>36185</v>
      </c>
      <c r="AC2256" s="1" t="s">
        <v>74</v>
      </c>
      <c r="AD2256" s="1" t="s">
        <v>74</v>
      </c>
      <c r="AE2256" s="1" t="s">
        <v>74</v>
      </c>
      <c r="AF2256" s="1" t="s">
        <v>74</v>
      </c>
      <c r="AG2256" s="1">
        <v>38</v>
      </c>
      <c r="AH2256" s="1">
        <v>35</v>
      </c>
      <c r="AI2256" s="1">
        <v>40</v>
      </c>
      <c r="AJ2256" s="1">
        <v>1</v>
      </c>
      <c r="AK2256" s="1">
        <v>10</v>
      </c>
      <c r="AL2256" s="1" t="s">
        <v>136</v>
      </c>
      <c r="AM2256" s="1" t="s">
        <v>137</v>
      </c>
      <c r="AN2256" s="1" t="s">
        <v>138</v>
      </c>
      <c r="AO2256" s="1" t="s">
        <v>240</v>
      </c>
      <c r="AP2256" s="1" t="s">
        <v>241</v>
      </c>
      <c r="AQ2256" s="1" t="s">
        <v>74</v>
      </c>
      <c r="AR2256" s="1" t="s">
        <v>242</v>
      </c>
      <c r="AS2256" s="1" t="s">
        <v>243</v>
      </c>
      <c r="AT2256" s="1" t="s">
        <v>951</v>
      </c>
      <c r="AU2256" s="1">
        <v>2005</v>
      </c>
      <c r="AV2256" s="1">
        <v>50</v>
      </c>
      <c r="AW2256" s="1">
        <v>11</v>
      </c>
      <c r="AX2256" s="1" t="s">
        <v>74</v>
      </c>
      <c r="AY2256" s="1" t="s">
        <v>74</v>
      </c>
      <c r="AZ2256" s="1" t="s">
        <v>74</v>
      </c>
      <c r="BA2256" s="1" t="s">
        <v>74</v>
      </c>
      <c r="BB2256" s="1">
        <v>1335</v>
      </c>
      <c r="BC2256" s="1">
        <v>1339</v>
      </c>
      <c r="BD2256" s="1" t="s">
        <v>74</v>
      </c>
      <c r="BE2256" s="1" t="s">
        <v>36186</v>
      </c>
      <c r="BF2256" s="1" t="str">
        <f>HYPERLINK("http://dx.doi.org/10.1016/j.marpolbul.2005.04.042","http://dx.doi.org/10.1016/j.marpolbul.2005.04.042")</f>
        <v>http://dx.doi.org/10.1016/j.marpolbul.2005.04.042</v>
      </c>
      <c r="BG2256" s="1" t="s">
        <v>74</v>
      </c>
      <c r="BH2256" s="1" t="s">
        <v>74</v>
      </c>
      <c r="BI2256" s="1">
        <v>5</v>
      </c>
      <c r="BJ2256" s="1" t="s">
        <v>247</v>
      </c>
      <c r="BK2256" s="1" t="s">
        <v>96</v>
      </c>
      <c r="BL2256" s="1" t="s">
        <v>248</v>
      </c>
      <c r="BM2256" s="1" t="s">
        <v>12668</v>
      </c>
      <c r="BN2256" s="1">
        <v>15946706</v>
      </c>
      <c r="BO2256" s="1" t="s">
        <v>810</v>
      </c>
      <c r="BP2256" s="1" t="s">
        <v>74</v>
      </c>
      <c r="BQ2256" s="1" t="s">
        <v>74</v>
      </c>
      <c r="BR2256" s="1" t="s">
        <v>98</v>
      </c>
      <c r="BS2256" s="1" t="s">
        <v>36187</v>
      </c>
      <c r="BT2256" s="1" t="str">
        <f>HYPERLINK("https%3A%2F%2Fwww.webofscience.com%2Fwos%2Fwoscc%2Ffull-record%2FWOS:000234098200029","View Full Record in Web of Science")</f>
        <v>View Full Record in Web of Science</v>
      </c>
      <c r="BU2256" s="1"/>
      <c r="BV2256" s="1"/>
    </row>
    <row r="2257" spans="1:74">
      <c r="A2257" s="1" t="s">
        <v>72</v>
      </c>
      <c r="B2257" s="1" t="s">
        <v>36188</v>
      </c>
      <c r="C2257" s="1" t="s">
        <v>74</v>
      </c>
      <c r="D2257" s="1" t="s">
        <v>74</v>
      </c>
      <c r="E2257" s="1" t="s">
        <v>74</v>
      </c>
      <c r="F2257" s="1" t="s">
        <v>36189</v>
      </c>
      <c r="G2257" s="1" t="s">
        <v>74</v>
      </c>
      <c r="H2257" s="1" t="s">
        <v>74</v>
      </c>
      <c r="I2257" s="1" t="s">
        <v>36190</v>
      </c>
      <c r="J2257" s="1" t="s">
        <v>752</v>
      </c>
      <c r="K2257" s="1" t="s">
        <v>74</v>
      </c>
      <c r="L2257" s="1" t="s">
        <v>74</v>
      </c>
      <c r="M2257" s="1" t="s">
        <v>78</v>
      </c>
      <c r="N2257" s="1" t="s">
        <v>151</v>
      </c>
      <c r="O2257" s="1" t="s">
        <v>36191</v>
      </c>
      <c r="P2257" s="1" t="s">
        <v>36192</v>
      </c>
      <c r="Q2257" s="1" t="s">
        <v>36193</v>
      </c>
      <c r="R2257" s="1" t="s">
        <v>74</v>
      </c>
      <c r="S2257" s="1" t="s">
        <v>74</v>
      </c>
      <c r="T2257" s="1" t="s">
        <v>36194</v>
      </c>
      <c r="U2257" s="1" t="s">
        <v>36195</v>
      </c>
      <c r="V2257" s="1" t="s">
        <v>36196</v>
      </c>
      <c r="W2257" s="1" t="s">
        <v>36197</v>
      </c>
      <c r="X2257" s="1" t="s">
        <v>36198</v>
      </c>
      <c r="Y2257" s="1" t="s">
        <v>36199</v>
      </c>
      <c r="Z2257" s="1" t="s">
        <v>36200</v>
      </c>
      <c r="AA2257" s="1" t="s">
        <v>36201</v>
      </c>
      <c r="AB2257" s="1" t="s">
        <v>36202</v>
      </c>
      <c r="AC2257" s="1" t="s">
        <v>31138</v>
      </c>
      <c r="AD2257" s="1" t="s">
        <v>31139</v>
      </c>
      <c r="AE2257" s="1" t="s">
        <v>31140</v>
      </c>
      <c r="AF2257" s="1" t="s">
        <v>74</v>
      </c>
      <c r="AG2257" s="1">
        <v>40</v>
      </c>
      <c r="AH2257" s="1">
        <v>99</v>
      </c>
      <c r="AI2257" s="1">
        <v>102</v>
      </c>
      <c r="AJ2257" s="1">
        <v>0</v>
      </c>
      <c r="AK2257" s="1">
        <v>46</v>
      </c>
      <c r="AL2257" s="1" t="s">
        <v>430</v>
      </c>
      <c r="AM2257" s="1" t="s">
        <v>137</v>
      </c>
      <c r="AN2257" s="1" t="s">
        <v>431</v>
      </c>
      <c r="AO2257" s="1" t="s">
        <v>761</v>
      </c>
      <c r="AP2257" s="1" t="s">
        <v>762</v>
      </c>
      <c r="AQ2257" s="1" t="s">
        <v>74</v>
      </c>
      <c r="AR2257" s="1" t="s">
        <v>763</v>
      </c>
      <c r="AS2257" s="1" t="s">
        <v>764</v>
      </c>
      <c r="AT2257" s="1" t="s">
        <v>765</v>
      </c>
      <c r="AU2257" s="1">
        <v>2017</v>
      </c>
      <c r="AV2257" s="1">
        <v>128</v>
      </c>
      <c r="AW2257" s="1" t="s">
        <v>74</v>
      </c>
      <c r="AX2257" s="1" t="s">
        <v>74</v>
      </c>
      <c r="AY2257" s="1" t="s">
        <v>74</v>
      </c>
      <c r="AZ2257" s="1" t="s">
        <v>225</v>
      </c>
      <c r="BA2257" s="1" t="s">
        <v>74</v>
      </c>
      <c r="BB2257" s="1">
        <v>114</v>
      </c>
      <c r="BC2257" s="1">
        <v>123</v>
      </c>
      <c r="BD2257" s="1" t="s">
        <v>74</v>
      </c>
      <c r="BE2257" s="1" t="s">
        <v>36203</v>
      </c>
      <c r="BF2257" s="1" t="str">
        <f>HYPERLINK("http://dx.doi.org/10.1016/j.marenvres.2016.03.008","http://dx.doi.org/10.1016/j.marenvres.2016.03.008")</f>
        <v>http://dx.doi.org/10.1016/j.marenvres.2016.03.008</v>
      </c>
      <c r="BG2257" s="1" t="s">
        <v>74</v>
      </c>
      <c r="BH2257" s="1" t="s">
        <v>74</v>
      </c>
      <c r="BI2257" s="1">
        <v>10</v>
      </c>
      <c r="BJ2257" s="1" t="s">
        <v>768</v>
      </c>
      <c r="BK2257" s="1" t="s">
        <v>172</v>
      </c>
      <c r="BL2257" s="1" t="s">
        <v>769</v>
      </c>
      <c r="BM2257" s="1" t="s">
        <v>36204</v>
      </c>
      <c r="BN2257" s="1">
        <v>27053509</v>
      </c>
      <c r="BO2257" s="1" t="s">
        <v>74</v>
      </c>
      <c r="BP2257" s="1" t="s">
        <v>74</v>
      </c>
      <c r="BQ2257" s="1" t="s">
        <v>74</v>
      </c>
      <c r="BR2257" s="1" t="s">
        <v>98</v>
      </c>
      <c r="BS2257" s="1" t="s">
        <v>36205</v>
      </c>
      <c r="BT2257" s="1" t="str">
        <f>HYPERLINK("https%3A%2F%2Fwww.webofscience.com%2Fwos%2Fwoscc%2Ffull-record%2FWOS:000403736800013","View Full Record in Web of Science")</f>
        <v>View Full Record in Web of Science</v>
      </c>
      <c r="BU2257" s="1"/>
      <c r="BV2257" s="1"/>
    </row>
    <row r="2258" spans="1:74">
      <c r="A2258" s="1" t="s">
        <v>72</v>
      </c>
      <c r="B2258" s="1" t="s">
        <v>36206</v>
      </c>
      <c r="C2258" s="1" t="s">
        <v>74</v>
      </c>
      <c r="D2258" s="1" t="s">
        <v>74</v>
      </c>
      <c r="E2258" s="1" t="s">
        <v>74</v>
      </c>
      <c r="F2258" s="1" t="s">
        <v>36207</v>
      </c>
      <c r="G2258" s="1" t="s">
        <v>74</v>
      </c>
      <c r="H2258" s="1" t="s">
        <v>74</v>
      </c>
      <c r="I2258" s="1" t="s">
        <v>36208</v>
      </c>
      <c r="J2258" s="1" t="s">
        <v>232</v>
      </c>
      <c r="K2258" s="1" t="s">
        <v>74</v>
      </c>
      <c r="L2258" s="1" t="s">
        <v>74</v>
      </c>
      <c r="M2258" s="1" t="s">
        <v>78</v>
      </c>
      <c r="N2258" s="1" t="s">
        <v>79</v>
      </c>
      <c r="O2258" s="1" t="s">
        <v>74</v>
      </c>
      <c r="P2258" s="1" t="s">
        <v>74</v>
      </c>
      <c r="Q2258" s="1" t="s">
        <v>74</v>
      </c>
      <c r="R2258" s="1" t="s">
        <v>74</v>
      </c>
      <c r="S2258" s="1" t="s">
        <v>74</v>
      </c>
      <c r="T2258" s="1" t="s">
        <v>36209</v>
      </c>
      <c r="U2258" s="1" t="s">
        <v>36210</v>
      </c>
      <c r="V2258" s="1" t="s">
        <v>36211</v>
      </c>
      <c r="W2258" s="1" t="s">
        <v>36212</v>
      </c>
      <c r="X2258" s="1" t="s">
        <v>36213</v>
      </c>
      <c r="Y2258" s="1" t="s">
        <v>36214</v>
      </c>
      <c r="Z2258" s="1" t="s">
        <v>36215</v>
      </c>
      <c r="AA2258" s="1" t="s">
        <v>36216</v>
      </c>
      <c r="AB2258" s="1" t="s">
        <v>36217</v>
      </c>
      <c r="AC2258" s="1" t="s">
        <v>36218</v>
      </c>
      <c r="AD2258" s="1" t="s">
        <v>36219</v>
      </c>
      <c r="AE2258" s="1" t="s">
        <v>36220</v>
      </c>
      <c r="AF2258" s="1" t="s">
        <v>74</v>
      </c>
      <c r="AG2258" s="1">
        <v>79</v>
      </c>
      <c r="AH2258" s="1">
        <v>16</v>
      </c>
      <c r="AI2258" s="1">
        <v>18</v>
      </c>
      <c r="AJ2258" s="1">
        <v>2</v>
      </c>
      <c r="AK2258" s="1">
        <v>20</v>
      </c>
      <c r="AL2258" s="1" t="s">
        <v>136</v>
      </c>
      <c r="AM2258" s="1" t="s">
        <v>137</v>
      </c>
      <c r="AN2258" s="1" t="s">
        <v>138</v>
      </c>
      <c r="AO2258" s="1" t="s">
        <v>240</v>
      </c>
      <c r="AP2258" s="1" t="s">
        <v>241</v>
      </c>
      <c r="AQ2258" s="1" t="s">
        <v>74</v>
      </c>
      <c r="AR2258" s="1" t="s">
        <v>242</v>
      </c>
      <c r="AS2258" s="1" t="s">
        <v>243</v>
      </c>
      <c r="AT2258" s="1" t="s">
        <v>1470</v>
      </c>
      <c r="AU2258" s="1">
        <v>2018</v>
      </c>
      <c r="AV2258" s="1">
        <v>126</v>
      </c>
      <c r="AW2258" s="1" t="s">
        <v>74</v>
      </c>
      <c r="AX2258" s="1" t="s">
        <v>74</v>
      </c>
      <c r="AY2258" s="1" t="s">
        <v>74</v>
      </c>
      <c r="AZ2258" s="1" t="s">
        <v>74</v>
      </c>
      <c r="BA2258" s="1" t="s">
        <v>74</v>
      </c>
      <c r="BB2258" s="1">
        <v>525</v>
      </c>
      <c r="BC2258" s="1">
        <v>534</v>
      </c>
      <c r="BD2258" s="1" t="s">
        <v>74</v>
      </c>
      <c r="BE2258" s="1" t="s">
        <v>36221</v>
      </c>
      <c r="BF2258" s="1" t="str">
        <f>HYPERLINK("http://dx.doi.org/10.1016/j.marpolbul.2017.09.052","http://dx.doi.org/10.1016/j.marpolbul.2017.09.052")</f>
        <v>http://dx.doi.org/10.1016/j.marpolbul.2017.09.052</v>
      </c>
      <c r="BG2258" s="1" t="s">
        <v>74</v>
      </c>
      <c r="BH2258" s="1" t="s">
        <v>74</v>
      </c>
      <c r="BI2258" s="1">
        <v>10</v>
      </c>
      <c r="BJ2258" s="1" t="s">
        <v>247</v>
      </c>
      <c r="BK2258" s="1" t="s">
        <v>96</v>
      </c>
      <c r="BL2258" s="1" t="s">
        <v>248</v>
      </c>
      <c r="BM2258" s="1" t="s">
        <v>8877</v>
      </c>
      <c r="BN2258" s="1">
        <v>28965924</v>
      </c>
      <c r="BO2258" s="1" t="s">
        <v>1270</v>
      </c>
      <c r="BP2258" s="1" t="s">
        <v>74</v>
      </c>
      <c r="BQ2258" s="1" t="s">
        <v>74</v>
      </c>
      <c r="BR2258" s="1" t="s">
        <v>98</v>
      </c>
      <c r="BS2258" s="1" t="s">
        <v>36222</v>
      </c>
      <c r="BT2258" s="1" t="str">
        <f>HYPERLINK("https%3A%2F%2Fwww.webofscience.com%2Fwos%2Fwoscc%2Ffull-record%2FWOS:000425569400066","View Full Record in Web of Science")</f>
        <v>View Full Record in Web of Science</v>
      </c>
      <c r="BU2258" s="1"/>
      <c r="BV2258" s="1"/>
    </row>
    <row r="2259" spans="1:74">
      <c r="A2259" s="1" t="s">
        <v>72</v>
      </c>
      <c r="B2259" s="1" t="s">
        <v>36223</v>
      </c>
      <c r="C2259" s="1" t="s">
        <v>74</v>
      </c>
      <c r="D2259" s="1" t="s">
        <v>74</v>
      </c>
      <c r="E2259" s="1" t="s">
        <v>74</v>
      </c>
      <c r="F2259" s="1" t="s">
        <v>36223</v>
      </c>
      <c r="G2259" s="1" t="s">
        <v>74</v>
      </c>
      <c r="H2259" s="1" t="s">
        <v>74</v>
      </c>
      <c r="I2259" s="1" t="s">
        <v>36224</v>
      </c>
      <c r="J2259" s="1" t="s">
        <v>3098</v>
      </c>
      <c r="K2259" s="1" t="s">
        <v>74</v>
      </c>
      <c r="L2259" s="1" t="s">
        <v>74</v>
      </c>
      <c r="M2259" s="1" t="s">
        <v>78</v>
      </c>
      <c r="N2259" s="1" t="s">
        <v>79</v>
      </c>
      <c r="O2259" s="1" t="s">
        <v>74</v>
      </c>
      <c r="P2259" s="1" t="s">
        <v>74</v>
      </c>
      <c r="Q2259" s="1" t="s">
        <v>74</v>
      </c>
      <c r="R2259" s="1" t="s">
        <v>74</v>
      </c>
      <c r="S2259" s="1" t="s">
        <v>74</v>
      </c>
      <c r="T2259" s="1" t="s">
        <v>36225</v>
      </c>
      <c r="U2259" s="1" t="s">
        <v>36226</v>
      </c>
      <c r="V2259" s="1" t="s">
        <v>36227</v>
      </c>
      <c r="W2259" s="1" t="s">
        <v>36228</v>
      </c>
      <c r="X2259" s="1" t="s">
        <v>3144</v>
      </c>
      <c r="Y2259" s="1" t="s">
        <v>36229</v>
      </c>
      <c r="Z2259" s="1" t="s">
        <v>74</v>
      </c>
      <c r="AA2259" s="1" t="s">
        <v>74</v>
      </c>
      <c r="AB2259" s="1" t="s">
        <v>17352</v>
      </c>
      <c r="AC2259" s="1" t="s">
        <v>74</v>
      </c>
      <c r="AD2259" s="1" t="s">
        <v>74</v>
      </c>
      <c r="AE2259" s="1" t="s">
        <v>74</v>
      </c>
      <c r="AF2259" s="1" t="s">
        <v>74</v>
      </c>
      <c r="AG2259" s="1">
        <v>24</v>
      </c>
      <c r="AH2259" s="1">
        <v>10</v>
      </c>
      <c r="AI2259" s="1">
        <v>10</v>
      </c>
      <c r="AJ2259" s="1">
        <v>0</v>
      </c>
      <c r="AK2259" s="1">
        <v>4</v>
      </c>
      <c r="AL2259" s="1" t="s">
        <v>36230</v>
      </c>
      <c r="AM2259" s="1" t="s">
        <v>4769</v>
      </c>
      <c r="AN2259" s="1" t="s">
        <v>36231</v>
      </c>
      <c r="AO2259" s="1" t="s">
        <v>3111</v>
      </c>
      <c r="AP2259" s="1" t="s">
        <v>74</v>
      </c>
      <c r="AQ2259" s="1" t="s">
        <v>74</v>
      </c>
      <c r="AR2259" s="1" t="s">
        <v>3113</v>
      </c>
      <c r="AS2259" s="1" t="s">
        <v>3114</v>
      </c>
      <c r="AT2259" s="1" t="s">
        <v>74</v>
      </c>
      <c r="AU2259" s="1">
        <v>1997</v>
      </c>
      <c r="AV2259" s="1">
        <v>48</v>
      </c>
      <c r="AW2259" s="1">
        <v>1</v>
      </c>
      <c r="AX2259" s="1" t="s">
        <v>74</v>
      </c>
      <c r="AY2259" s="1" t="s">
        <v>74</v>
      </c>
      <c r="AZ2259" s="1" t="s">
        <v>74</v>
      </c>
      <c r="BA2259" s="1" t="s">
        <v>74</v>
      </c>
      <c r="BB2259" s="1">
        <v>1</v>
      </c>
      <c r="BC2259" s="1">
        <v>6</v>
      </c>
      <c r="BD2259" s="1" t="s">
        <v>74</v>
      </c>
      <c r="BE2259" s="1" t="s">
        <v>36232</v>
      </c>
      <c r="BF2259" s="1" t="str">
        <f>HYPERLINK("http://dx.doi.org/10.1071/MF96043","http://dx.doi.org/10.1071/MF96043")</f>
        <v>http://dx.doi.org/10.1071/MF96043</v>
      </c>
      <c r="BG2259" s="1" t="s">
        <v>74</v>
      </c>
      <c r="BH2259" s="1" t="s">
        <v>74</v>
      </c>
      <c r="BI2259" s="1">
        <v>6</v>
      </c>
      <c r="BJ2259" s="1" t="s">
        <v>3116</v>
      </c>
      <c r="BK2259" s="1" t="s">
        <v>96</v>
      </c>
      <c r="BL2259" s="1" t="s">
        <v>3117</v>
      </c>
      <c r="BM2259" s="1" t="s">
        <v>36233</v>
      </c>
      <c r="BN2259" s="1" t="s">
        <v>74</v>
      </c>
      <c r="BO2259" s="1" t="s">
        <v>74</v>
      </c>
      <c r="BP2259" s="1" t="s">
        <v>74</v>
      </c>
      <c r="BQ2259" s="1" t="s">
        <v>74</v>
      </c>
      <c r="BR2259" s="1" t="s">
        <v>98</v>
      </c>
      <c r="BS2259" s="1" t="s">
        <v>36234</v>
      </c>
      <c r="BT2259" s="1" t="str">
        <f>HYPERLINK("https%3A%2F%2Fwww.webofscience.com%2Fwos%2Fwoscc%2Ffull-record%2FWOS:A1997WV93900001","View Full Record in Web of Science")</f>
        <v>View Full Record in Web of Science</v>
      </c>
      <c r="BU2259" s="1"/>
      <c r="BV2259" s="1"/>
    </row>
    <row r="2260" spans="1:74">
      <c r="A2260" s="1" t="s">
        <v>72</v>
      </c>
      <c r="B2260" s="1" t="s">
        <v>36235</v>
      </c>
      <c r="C2260" s="1" t="s">
        <v>74</v>
      </c>
      <c r="D2260" s="1" t="s">
        <v>74</v>
      </c>
      <c r="E2260" s="1" t="s">
        <v>74</v>
      </c>
      <c r="F2260" s="1" t="s">
        <v>36235</v>
      </c>
      <c r="G2260" s="1" t="s">
        <v>74</v>
      </c>
      <c r="H2260" s="1" t="s">
        <v>74</v>
      </c>
      <c r="I2260" s="1" t="s">
        <v>36236</v>
      </c>
      <c r="J2260" s="1" t="s">
        <v>2265</v>
      </c>
      <c r="K2260" s="1" t="s">
        <v>74</v>
      </c>
      <c r="L2260" s="1" t="s">
        <v>74</v>
      </c>
      <c r="M2260" s="1" t="s">
        <v>78</v>
      </c>
      <c r="N2260" s="1" t="s">
        <v>79</v>
      </c>
      <c r="O2260" s="1" t="s">
        <v>74</v>
      </c>
      <c r="P2260" s="1" t="s">
        <v>74</v>
      </c>
      <c r="Q2260" s="1" t="s">
        <v>74</v>
      </c>
      <c r="R2260" s="1" t="s">
        <v>74</v>
      </c>
      <c r="S2260" s="1" t="s">
        <v>74</v>
      </c>
      <c r="T2260" s="1" t="s">
        <v>36237</v>
      </c>
      <c r="U2260" s="1" t="s">
        <v>36238</v>
      </c>
      <c r="V2260" s="1" t="s">
        <v>36239</v>
      </c>
      <c r="W2260" s="1" t="s">
        <v>36240</v>
      </c>
      <c r="X2260" s="1" t="s">
        <v>9507</v>
      </c>
      <c r="Y2260" s="1" t="s">
        <v>36241</v>
      </c>
      <c r="Z2260" s="1" t="s">
        <v>36242</v>
      </c>
      <c r="AA2260" s="1" t="s">
        <v>74</v>
      </c>
      <c r="AB2260" s="1" t="s">
        <v>36243</v>
      </c>
      <c r="AC2260" s="1" t="s">
        <v>74</v>
      </c>
      <c r="AD2260" s="1" t="s">
        <v>74</v>
      </c>
      <c r="AE2260" s="1" t="s">
        <v>74</v>
      </c>
      <c r="AF2260" s="1" t="s">
        <v>74</v>
      </c>
      <c r="AG2260" s="1">
        <v>31</v>
      </c>
      <c r="AH2260" s="1">
        <v>60</v>
      </c>
      <c r="AI2260" s="1">
        <v>69</v>
      </c>
      <c r="AJ2260" s="1">
        <v>0</v>
      </c>
      <c r="AK2260" s="1">
        <v>17</v>
      </c>
      <c r="AL2260" s="1" t="s">
        <v>2074</v>
      </c>
      <c r="AM2260" s="1" t="s">
        <v>2075</v>
      </c>
      <c r="AN2260" s="1" t="s">
        <v>5365</v>
      </c>
      <c r="AO2260" s="1" t="s">
        <v>2275</v>
      </c>
      <c r="AP2260" s="1" t="s">
        <v>74</v>
      </c>
      <c r="AQ2260" s="1" t="s">
        <v>74</v>
      </c>
      <c r="AR2260" s="1" t="s">
        <v>2265</v>
      </c>
      <c r="AS2260" s="1" t="s">
        <v>2277</v>
      </c>
      <c r="AT2260" s="1" t="s">
        <v>18491</v>
      </c>
      <c r="AU2260" s="1">
        <v>2005</v>
      </c>
      <c r="AV2260" s="1">
        <v>10</v>
      </c>
      <c r="AW2260" s="1">
        <v>1</v>
      </c>
      <c r="AX2260" s="1" t="s">
        <v>74</v>
      </c>
      <c r="AY2260" s="1" t="s">
        <v>74</v>
      </c>
      <c r="AZ2260" s="1" t="s">
        <v>74</v>
      </c>
      <c r="BA2260" s="1" t="s">
        <v>74</v>
      </c>
      <c r="BB2260" s="1">
        <v>58</v>
      </c>
      <c r="BC2260" s="1">
        <v>71</v>
      </c>
      <c r="BD2260" s="1" t="s">
        <v>74</v>
      </c>
      <c r="BE2260" s="1" t="s">
        <v>36244</v>
      </c>
      <c r="BF2260" s="1" t="str">
        <f>HYPERLINK("http://dx.doi.org/10.1080/13547500500071339","http://dx.doi.org/10.1080/13547500500071339")</f>
        <v>http://dx.doi.org/10.1080/13547500500071339</v>
      </c>
      <c r="BG2260" s="1" t="s">
        <v>74</v>
      </c>
      <c r="BH2260" s="1" t="s">
        <v>74</v>
      </c>
      <c r="BI2260" s="1">
        <v>14</v>
      </c>
      <c r="BJ2260" s="1" t="s">
        <v>2279</v>
      </c>
      <c r="BK2260" s="1" t="s">
        <v>96</v>
      </c>
      <c r="BL2260" s="1" t="s">
        <v>2279</v>
      </c>
      <c r="BM2260" s="1" t="s">
        <v>36245</v>
      </c>
      <c r="BN2260" s="1">
        <v>16097393</v>
      </c>
      <c r="BO2260" s="1" t="s">
        <v>74</v>
      </c>
      <c r="BP2260" s="1" t="s">
        <v>74</v>
      </c>
      <c r="BQ2260" s="1" t="s">
        <v>74</v>
      </c>
      <c r="BR2260" s="1" t="s">
        <v>98</v>
      </c>
      <c r="BS2260" s="1" t="s">
        <v>36246</v>
      </c>
      <c r="BT2260" s="1" t="str">
        <f>HYPERLINK("https%3A%2F%2Fwww.webofscience.com%2Fwos%2Fwoscc%2Ffull-record%2FWOS:000229201500005","View Full Record in Web of Science")</f>
        <v>View Full Record in Web of Science</v>
      </c>
      <c r="BU2260" s="1"/>
      <c r="BV2260" s="1"/>
    </row>
    <row r="2261" spans="1:74">
      <c r="A2261" s="1" t="s">
        <v>72</v>
      </c>
      <c r="B2261" s="1" t="s">
        <v>36247</v>
      </c>
      <c r="C2261" s="1" t="s">
        <v>74</v>
      </c>
      <c r="D2261" s="1" t="s">
        <v>74</v>
      </c>
      <c r="E2261" s="1" t="s">
        <v>74</v>
      </c>
      <c r="F2261" s="1" t="s">
        <v>36248</v>
      </c>
      <c r="G2261" s="1" t="s">
        <v>74</v>
      </c>
      <c r="H2261" s="1" t="s">
        <v>74</v>
      </c>
      <c r="I2261" s="1" t="s">
        <v>36249</v>
      </c>
      <c r="J2261" s="1" t="s">
        <v>6608</v>
      </c>
      <c r="K2261" s="1" t="s">
        <v>74</v>
      </c>
      <c r="L2261" s="1" t="s">
        <v>74</v>
      </c>
      <c r="M2261" s="1" t="s">
        <v>78</v>
      </c>
      <c r="N2261" s="1" t="s">
        <v>79</v>
      </c>
      <c r="O2261" s="1" t="s">
        <v>74</v>
      </c>
      <c r="P2261" s="1" t="s">
        <v>74</v>
      </c>
      <c r="Q2261" s="1" t="s">
        <v>74</v>
      </c>
      <c r="R2261" s="1" t="s">
        <v>74</v>
      </c>
      <c r="S2261" s="1" t="s">
        <v>74</v>
      </c>
      <c r="T2261" s="1" t="s">
        <v>36250</v>
      </c>
      <c r="U2261" s="1" t="s">
        <v>36251</v>
      </c>
      <c r="V2261" s="1" t="s">
        <v>36252</v>
      </c>
      <c r="W2261" s="1" t="s">
        <v>36253</v>
      </c>
      <c r="X2261" s="1" t="s">
        <v>36254</v>
      </c>
      <c r="Y2261" s="1" t="s">
        <v>36255</v>
      </c>
      <c r="Z2261" s="1" t="s">
        <v>36256</v>
      </c>
      <c r="AA2261" s="1" t="s">
        <v>36257</v>
      </c>
      <c r="AB2261" s="1" t="s">
        <v>36258</v>
      </c>
      <c r="AC2261" s="1" t="s">
        <v>36259</v>
      </c>
      <c r="AD2261" s="1" t="s">
        <v>36259</v>
      </c>
      <c r="AE2261" s="1" t="s">
        <v>36260</v>
      </c>
      <c r="AF2261" s="1" t="s">
        <v>74</v>
      </c>
      <c r="AG2261" s="1">
        <v>43</v>
      </c>
      <c r="AH2261" s="1">
        <v>8</v>
      </c>
      <c r="AI2261" s="1">
        <v>9</v>
      </c>
      <c r="AJ2261" s="1">
        <v>1</v>
      </c>
      <c r="AK2261" s="1">
        <v>30</v>
      </c>
      <c r="AL2261" s="1" t="s">
        <v>1566</v>
      </c>
      <c r="AM2261" s="1" t="s">
        <v>1567</v>
      </c>
      <c r="AN2261" s="1" t="s">
        <v>1568</v>
      </c>
      <c r="AO2261" s="1" t="s">
        <v>74</v>
      </c>
      <c r="AP2261" s="1" t="s">
        <v>6619</v>
      </c>
      <c r="AQ2261" s="1" t="s">
        <v>74</v>
      </c>
      <c r="AR2261" s="1" t="s">
        <v>6620</v>
      </c>
      <c r="AS2261" s="1" t="s">
        <v>6621</v>
      </c>
      <c r="AT2261" s="1" t="s">
        <v>765</v>
      </c>
      <c r="AU2261" s="1">
        <v>2020</v>
      </c>
      <c r="AV2261" s="1">
        <v>12</v>
      </c>
      <c r="AW2261" s="1">
        <v>7</v>
      </c>
      <c r="AX2261" s="1" t="s">
        <v>74</v>
      </c>
      <c r="AY2261" s="1" t="s">
        <v>74</v>
      </c>
      <c r="AZ2261" s="1" t="s">
        <v>74</v>
      </c>
      <c r="BA2261" s="1" t="s">
        <v>74</v>
      </c>
      <c r="BB2261" s="1" t="s">
        <v>74</v>
      </c>
      <c r="BC2261" s="1" t="s">
        <v>74</v>
      </c>
      <c r="BD2261" s="1">
        <v>1886</v>
      </c>
      <c r="BE2261" s="1" t="s">
        <v>36261</v>
      </c>
      <c r="BF2261" s="1" t="str">
        <f>HYPERLINK("http://dx.doi.org/10.3390/w12071886","http://dx.doi.org/10.3390/w12071886")</f>
        <v>http://dx.doi.org/10.3390/w12071886</v>
      </c>
      <c r="BG2261" s="1" t="s">
        <v>74</v>
      </c>
      <c r="BH2261" s="1" t="s">
        <v>74</v>
      </c>
      <c r="BI2261" s="1">
        <v>14</v>
      </c>
      <c r="BJ2261" s="1" t="s">
        <v>6623</v>
      </c>
      <c r="BK2261" s="1" t="s">
        <v>96</v>
      </c>
      <c r="BL2261" s="1" t="s">
        <v>6624</v>
      </c>
      <c r="BM2261" s="1" t="s">
        <v>36262</v>
      </c>
      <c r="BN2261" s="1" t="s">
        <v>74</v>
      </c>
      <c r="BO2261" s="1" t="s">
        <v>873</v>
      </c>
      <c r="BP2261" s="1" t="s">
        <v>74</v>
      </c>
      <c r="BQ2261" s="1" t="s">
        <v>74</v>
      </c>
      <c r="BR2261" s="1" t="s">
        <v>98</v>
      </c>
      <c r="BS2261" s="1" t="s">
        <v>36263</v>
      </c>
      <c r="BT2261" s="1" t="str">
        <f>HYPERLINK("https%3A%2F%2Fwww.webofscience.com%2Fwos%2Fwoscc%2Ffull-record%2FWOS:000557169400001","View Full Record in Web of Science")</f>
        <v>View Full Record in Web of Science</v>
      </c>
      <c r="BU2261" s="1"/>
      <c r="BV2261" s="1"/>
    </row>
    <row r="2262" spans="1:74">
      <c r="A2262" s="1" t="s">
        <v>72</v>
      </c>
      <c r="B2262" s="1" t="s">
        <v>36264</v>
      </c>
      <c r="C2262" s="1" t="s">
        <v>74</v>
      </c>
      <c r="D2262" s="1" t="s">
        <v>74</v>
      </c>
      <c r="E2262" s="1" t="s">
        <v>74</v>
      </c>
      <c r="F2262" s="1" t="s">
        <v>36264</v>
      </c>
      <c r="G2262" s="1" t="s">
        <v>74</v>
      </c>
      <c r="H2262" s="1" t="s">
        <v>74</v>
      </c>
      <c r="I2262" s="1" t="s">
        <v>36265</v>
      </c>
      <c r="J2262" s="1" t="s">
        <v>2894</v>
      </c>
      <c r="K2262" s="1" t="s">
        <v>74</v>
      </c>
      <c r="L2262" s="1" t="s">
        <v>74</v>
      </c>
      <c r="M2262" s="1" t="s">
        <v>78</v>
      </c>
      <c r="N2262" s="1" t="s">
        <v>79</v>
      </c>
      <c r="O2262" s="1" t="s">
        <v>74</v>
      </c>
      <c r="P2262" s="1" t="s">
        <v>74</v>
      </c>
      <c r="Q2262" s="1" t="s">
        <v>74</v>
      </c>
      <c r="R2262" s="1" t="s">
        <v>74</v>
      </c>
      <c r="S2262" s="1" t="s">
        <v>74</v>
      </c>
      <c r="T2262" s="1" t="s">
        <v>36266</v>
      </c>
      <c r="U2262" s="1" t="s">
        <v>36267</v>
      </c>
      <c r="V2262" s="1" t="s">
        <v>36268</v>
      </c>
      <c r="W2262" s="1" t="s">
        <v>36269</v>
      </c>
      <c r="X2262" s="1" t="s">
        <v>74</v>
      </c>
      <c r="Y2262" s="1" t="s">
        <v>36270</v>
      </c>
      <c r="Z2262" s="1" t="s">
        <v>74</v>
      </c>
      <c r="AA2262" s="1" t="s">
        <v>74</v>
      </c>
      <c r="AB2262" s="1" t="s">
        <v>74</v>
      </c>
      <c r="AC2262" s="1" t="s">
        <v>74</v>
      </c>
      <c r="AD2262" s="1" t="s">
        <v>74</v>
      </c>
      <c r="AE2262" s="1" t="s">
        <v>74</v>
      </c>
      <c r="AF2262" s="1" t="s">
        <v>74</v>
      </c>
      <c r="AG2262" s="1">
        <v>45</v>
      </c>
      <c r="AH2262" s="1">
        <v>165</v>
      </c>
      <c r="AI2262" s="1">
        <v>180</v>
      </c>
      <c r="AJ2262" s="1">
        <v>1</v>
      </c>
      <c r="AK2262" s="1">
        <v>33</v>
      </c>
      <c r="AL2262" s="1" t="s">
        <v>2904</v>
      </c>
      <c r="AM2262" s="1" t="s">
        <v>2905</v>
      </c>
      <c r="AN2262" s="1" t="s">
        <v>2906</v>
      </c>
      <c r="AO2262" s="1" t="s">
        <v>2907</v>
      </c>
      <c r="AP2262" s="1" t="s">
        <v>74</v>
      </c>
      <c r="AQ2262" s="1" t="s">
        <v>74</v>
      </c>
      <c r="AR2262" s="1" t="s">
        <v>2908</v>
      </c>
      <c r="AS2262" s="1" t="s">
        <v>2909</v>
      </c>
      <c r="AT2262" s="1" t="s">
        <v>951</v>
      </c>
      <c r="AU2262" s="1">
        <v>1995</v>
      </c>
      <c r="AV2262" s="1">
        <v>127</v>
      </c>
      <c r="AW2262" s="1" t="s">
        <v>2847</v>
      </c>
      <c r="AX2262" s="1" t="s">
        <v>74</v>
      </c>
      <c r="AY2262" s="1" t="s">
        <v>74</v>
      </c>
      <c r="AZ2262" s="1" t="s">
        <v>74</v>
      </c>
      <c r="BA2262" s="1" t="s">
        <v>74</v>
      </c>
      <c r="BB2262" s="1">
        <v>131</v>
      </c>
      <c r="BC2262" s="1">
        <v>148</v>
      </c>
      <c r="BD2262" s="1" t="s">
        <v>74</v>
      </c>
      <c r="BE2262" s="1" t="s">
        <v>36271</v>
      </c>
      <c r="BF2262" s="1" t="str">
        <f>HYPERLINK("http://dx.doi.org/10.3354/meps127131","http://dx.doi.org/10.3354/meps127131")</f>
        <v>http://dx.doi.org/10.3354/meps127131</v>
      </c>
      <c r="BG2262" s="1" t="s">
        <v>74</v>
      </c>
      <c r="BH2262" s="1" t="s">
        <v>74</v>
      </c>
      <c r="BI2262" s="1">
        <v>18</v>
      </c>
      <c r="BJ2262" s="1" t="s">
        <v>2911</v>
      </c>
      <c r="BK2262" s="1" t="s">
        <v>96</v>
      </c>
      <c r="BL2262" s="1" t="s">
        <v>2912</v>
      </c>
      <c r="BM2262" s="1" t="s">
        <v>36272</v>
      </c>
      <c r="BN2262" s="1" t="s">
        <v>74</v>
      </c>
      <c r="BO2262" s="1" t="s">
        <v>370</v>
      </c>
      <c r="BP2262" s="1" t="s">
        <v>74</v>
      </c>
      <c r="BQ2262" s="1" t="s">
        <v>74</v>
      </c>
      <c r="BR2262" s="1" t="s">
        <v>98</v>
      </c>
      <c r="BS2262" s="1" t="s">
        <v>36273</v>
      </c>
      <c r="BT2262" s="1" t="str">
        <f>HYPERLINK("https%3A%2F%2Fwww.webofscience.com%2Fwos%2Fwoscc%2Ffull-record%2FWOS:A1995TG88000013","View Full Record in Web of Science")</f>
        <v>View Full Record in Web of Science</v>
      </c>
      <c r="BU2262" s="1"/>
      <c r="BV2262" s="1"/>
    </row>
    <row r="2263" spans="1:74">
      <c r="A2263" s="1" t="s">
        <v>72</v>
      </c>
      <c r="B2263" s="1" t="s">
        <v>36274</v>
      </c>
      <c r="C2263" s="1" t="s">
        <v>74</v>
      </c>
      <c r="D2263" s="1" t="s">
        <v>74</v>
      </c>
      <c r="E2263" s="1" t="s">
        <v>74</v>
      </c>
      <c r="F2263" s="1" t="s">
        <v>36275</v>
      </c>
      <c r="G2263" s="1" t="s">
        <v>74</v>
      </c>
      <c r="H2263" s="1" t="s">
        <v>74</v>
      </c>
      <c r="I2263" s="1" t="s">
        <v>36276</v>
      </c>
      <c r="J2263" s="1" t="s">
        <v>11045</v>
      </c>
      <c r="K2263" s="1" t="s">
        <v>74</v>
      </c>
      <c r="L2263" s="1" t="s">
        <v>74</v>
      </c>
      <c r="M2263" s="1" t="s">
        <v>78</v>
      </c>
      <c r="N2263" s="1" t="s">
        <v>79</v>
      </c>
      <c r="O2263" s="1" t="s">
        <v>74</v>
      </c>
      <c r="P2263" s="1" t="s">
        <v>74</v>
      </c>
      <c r="Q2263" s="1" t="s">
        <v>74</v>
      </c>
      <c r="R2263" s="1" t="s">
        <v>74</v>
      </c>
      <c r="S2263" s="1" t="s">
        <v>74</v>
      </c>
      <c r="T2263" s="1" t="s">
        <v>74</v>
      </c>
      <c r="U2263" s="1" t="s">
        <v>36277</v>
      </c>
      <c r="V2263" s="1" t="s">
        <v>36278</v>
      </c>
      <c r="W2263" s="1" t="s">
        <v>36279</v>
      </c>
      <c r="X2263" s="1" t="s">
        <v>36280</v>
      </c>
      <c r="Y2263" s="1" t="s">
        <v>36281</v>
      </c>
      <c r="Z2263" s="1" t="s">
        <v>36282</v>
      </c>
      <c r="AA2263" s="1" t="s">
        <v>74</v>
      </c>
      <c r="AB2263" s="1" t="s">
        <v>74</v>
      </c>
      <c r="AC2263" s="1" t="s">
        <v>36283</v>
      </c>
      <c r="AD2263" s="1" t="s">
        <v>36284</v>
      </c>
      <c r="AE2263" s="1" t="s">
        <v>36285</v>
      </c>
      <c r="AF2263" s="1" t="s">
        <v>74</v>
      </c>
      <c r="AG2263" s="1">
        <v>85</v>
      </c>
      <c r="AH2263" s="1">
        <v>25</v>
      </c>
      <c r="AI2263" s="1">
        <v>26</v>
      </c>
      <c r="AJ2263" s="1">
        <v>1</v>
      </c>
      <c r="AK2263" s="1">
        <v>42</v>
      </c>
      <c r="AL2263" s="1" t="s">
        <v>11056</v>
      </c>
      <c r="AM2263" s="1" t="s">
        <v>11057</v>
      </c>
      <c r="AN2263" s="1" t="s">
        <v>11058</v>
      </c>
      <c r="AO2263" s="1" t="s">
        <v>11059</v>
      </c>
      <c r="AP2263" s="1" t="s">
        <v>74</v>
      </c>
      <c r="AQ2263" s="1" t="s">
        <v>74</v>
      </c>
      <c r="AR2263" s="1" t="s">
        <v>11045</v>
      </c>
      <c r="AS2263" s="1" t="s">
        <v>11060</v>
      </c>
      <c r="AT2263" s="1" t="s">
        <v>36286</v>
      </c>
      <c r="AU2263" s="1">
        <v>2014</v>
      </c>
      <c r="AV2263" s="1">
        <v>9</v>
      </c>
      <c r="AW2263" s="1">
        <v>6</v>
      </c>
      <c r="AX2263" s="1" t="s">
        <v>74</v>
      </c>
      <c r="AY2263" s="1" t="s">
        <v>74</v>
      </c>
      <c r="AZ2263" s="1" t="s">
        <v>74</v>
      </c>
      <c r="BA2263" s="1" t="s">
        <v>74</v>
      </c>
      <c r="BB2263" s="1" t="s">
        <v>74</v>
      </c>
      <c r="BC2263" s="1" t="s">
        <v>74</v>
      </c>
      <c r="BD2263" s="1" t="s">
        <v>36287</v>
      </c>
      <c r="BE2263" s="1" t="s">
        <v>36288</v>
      </c>
      <c r="BF2263" s="1" t="str">
        <f>HYPERLINK("http://dx.doi.org/10.1371/journal.pone.0100872","http://dx.doi.org/10.1371/journal.pone.0100872")</f>
        <v>http://dx.doi.org/10.1371/journal.pone.0100872</v>
      </c>
      <c r="BG2263" s="1" t="s">
        <v>74</v>
      </c>
      <c r="BH2263" s="1" t="s">
        <v>74</v>
      </c>
      <c r="BI2263" s="1">
        <v>9</v>
      </c>
      <c r="BJ2263" s="1" t="s">
        <v>3202</v>
      </c>
      <c r="BK2263" s="1" t="s">
        <v>96</v>
      </c>
      <c r="BL2263" s="1" t="s">
        <v>3203</v>
      </c>
      <c r="BM2263" s="1" t="s">
        <v>36289</v>
      </c>
      <c r="BN2263" s="1" t="s">
        <v>74</v>
      </c>
      <c r="BO2263" s="1" t="s">
        <v>5306</v>
      </c>
      <c r="BP2263" s="1" t="s">
        <v>74</v>
      </c>
      <c r="BQ2263" s="1" t="s">
        <v>74</v>
      </c>
      <c r="BR2263" s="1" t="s">
        <v>98</v>
      </c>
      <c r="BS2263" s="1" t="s">
        <v>36290</v>
      </c>
      <c r="BT2263" s="1" t="str">
        <f>HYPERLINK("https%3A%2F%2Fwww.webofscience.com%2Fwos%2Fwoscc%2Ffull-record%2FWOS:000338917900103","View Full Record in Web of Science")</f>
        <v>View Full Record in Web of Science</v>
      </c>
      <c r="BU2263" s="1"/>
      <c r="BV2263" s="1"/>
    </row>
    <row r="2264" spans="1:74">
      <c r="A2264" s="1" t="s">
        <v>72</v>
      </c>
      <c r="B2264" s="1" t="s">
        <v>36291</v>
      </c>
      <c r="C2264" s="1" t="s">
        <v>74</v>
      </c>
      <c r="D2264" s="1" t="s">
        <v>74</v>
      </c>
      <c r="E2264" s="1" t="s">
        <v>74</v>
      </c>
      <c r="F2264" s="1" t="s">
        <v>36292</v>
      </c>
      <c r="G2264" s="1" t="s">
        <v>74</v>
      </c>
      <c r="H2264" s="1" t="s">
        <v>74</v>
      </c>
      <c r="I2264" s="1" t="s">
        <v>36293</v>
      </c>
      <c r="J2264" s="1" t="s">
        <v>909</v>
      </c>
      <c r="K2264" s="1" t="s">
        <v>74</v>
      </c>
      <c r="L2264" s="1" t="s">
        <v>74</v>
      </c>
      <c r="M2264" s="1" t="s">
        <v>78</v>
      </c>
      <c r="N2264" s="1" t="s">
        <v>79</v>
      </c>
      <c r="O2264" s="1" t="s">
        <v>74</v>
      </c>
      <c r="P2264" s="1" t="s">
        <v>74</v>
      </c>
      <c r="Q2264" s="1" t="s">
        <v>74</v>
      </c>
      <c r="R2264" s="1" t="s">
        <v>74</v>
      </c>
      <c r="S2264" s="1" t="s">
        <v>74</v>
      </c>
      <c r="T2264" s="1" t="s">
        <v>36294</v>
      </c>
      <c r="U2264" s="1" t="s">
        <v>36295</v>
      </c>
      <c r="V2264" s="1" t="s">
        <v>36296</v>
      </c>
      <c r="W2264" s="1" t="s">
        <v>36297</v>
      </c>
      <c r="X2264" s="1" t="s">
        <v>36298</v>
      </c>
      <c r="Y2264" s="1" t="s">
        <v>24685</v>
      </c>
      <c r="Z2264" s="1" t="s">
        <v>36299</v>
      </c>
      <c r="AA2264" s="1" t="s">
        <v>36300</v>
      </c>
      <c r="AB2264" s="1" t="s">
        <v>36301</v>
      </c>
      <c r="AC2264" s="1" t="s">
        <v>36302</v>
      </c>
      <c r="AD2264" s="1" t="s">
        <v>36303</v>
      </c>
      <c r="AE2264" s="1" t="s">
        <v>36304</v>
      </c>
      <c r="AF2264" s="1" t="s">
        <v>74</v>
      </c>
      <c r="AG2264" s="1">
        <v>95</v>
      </c>
      <c r="AH2264" s="1">
        <v>5</v>
      </c>
      <c r="AI2264" s="1">
        <v>5</v>
      </c>
      <c r="AJ2264" s="1">
        <v>3</v>
      </c>
      <c r="AK2264" s="1">
        <v>14</v>
      </c>
      <c r="AL2264" s="1" t="s">
        <v>650</v>
      </c>
      <c r="AM2264" s="1" t="s">
        <v>651</v>
      </c>
      <c r="AN2264" s="1" t="s">
        <v>652</v>
      </c>
      <c r="AO2264" s="1" t="s">
        <v>921</v>
      </c>
      <c r="AP2264" s="1" t="s">
        <v>922</v>
      </c>
      <c r="AQ2264" s="1" t="s">
        <v>74</v>
      </c>
      <c r="AR2264" s="1" t="s">
        <v>923</v>
      </c>
      <c r="AS2264" s="1" t="s">
        <v>924</v>
      </c>
      <c r="AT2264" s="1" t="s">
        <v>24494</v>
      </c>
      <c r="AU2264" s="1">
        <v>2023</v>
      </c>
      <c r="AV2264" s="1">
        <v>872</v>
      </c>
      <c r="AW2264" s="1" t="s">
        <v>74</v>
      </c>
      <c r="AX2264" s="1" t="s">
        <v>74</v>
      </c>
      <c r="AY2264" s="1" t="s">
        <v>74</v>
      </c>
      <c r="AZ2264" s="1" t="s">
        <v>74</v>
      </c>
      <c r="BA2264" s="1" t="s">
        <v>74</v>
      </c>
      <c r="BB2264" s="1" t="s">
        <v>74</v>
      </c>
      <c r="BC2264" s="1" t="s">
        <v>74</v>
      </c>
      <c r="BD2264" s="1">
        <v>162108</v>
      </c>
      <c r="BE2264" s="1" t="s">
        <v>36305</v>
      </c>
      <c r="BF2264" s="1" t="str">
        <f>HYPERLINK("http://dx.doi.org/10.1016/j.scitotenv.2023.162108","http://dx.doi.org/10.1016/j.scitotenv.2023.162108")</f>
        <v>http://dx.doi.org/10.1016/j.scitotenv.2023.162108</v>
      </c>
      <c r="BG2264" s="1" t="s">
        <v>74</v>
      </c>
      <c r="BH2264" s="1" t="s">
        <v>10846</v>
      </c>
      <c r="BI2264" s="1">
        <v>11</v>
      </c>
      <c r="BJ2264" s="1" t="s">
        <v>144</v>
      </c>
      <c r="BK2264" s="1" t="s">
        <v>96</v>
      </c>
      <c r="BL2264" s="1" t="s">
        <v>145</v>
      </c>
      <c r="BM2264" s="1" t="s">
        <v>36306</v>
      </c>
      <c r="BN2264" s="1">
        <v>36773902</v>
      </c>
      <c r="BO2264" s="1" t="s">
        <v>476</v>
      </c>
      <c r="BP2264" s="1" t="s">
        <v>74</v>
      </c>
      <c r="BQ2264" s="1" t="s">
        <v>74</v>
      </c>
      <c r="BR2264" s="1" t="s">
        <v>98</v>
      </c>
      <c r="BS2264" s="1" t="s">
        <v>36307</v>
      </c>
      <c r="BT2264" s="1" t="str">
        <f>HYPERLINK("https%3A%2F%2Fwww.webofscience.com%2Fwos%2Fwoscc%2Ffull-record%2FWOS:000953771100001","View Full Record in Web of Science")</f>
        <v>View Full Record in Web of Science</v>
      </c>
      <c r="BU2264" s="1"/>
      <c r="BV2264" s="1"/>
    </row>
    <row r="2265" spans="1:74">
      <c r="A2265" s="1" t="s">
        <v>72</v>
      </c>
      <c r="B2265" s="1" t="s">
        <v>36308</v>
      </c>
      <c r="C2265" s="1" t="s">
        <v>74</v>
      </c>
      <c r="D2265" s="1" t="s">
        <v>74</v>
      </c>
      <c r="E2265" s="1" t="s">
        <v>74</v>
      </c>
      <c r="F2265" s="1" t="s">
        <v>36308</v>
      </c>
      <c r="G2265" s="1" t="s">
        <v>74</v>
      </c>
      <c r="H2265" s="1" t="s">
        <v>74</v>
      </c>
      <c r="I2265" s="1" t="s">
        <v>36309</v>
      </c>
      <c r="J2265" s="1" t="s">
        <v>232</v>
      </c>
      <c r="K2265" s="1" t="s">
        <v>74</v>
      </c>
      <c r="L2265" s="1" t="s">
        <v>74</v>
      </c>
      <c r="M2265" s="1" t="s">
        <v>78</v>
      </c>
      <c r="N2265" s="1" t="s">
        <v>79</v>
      </c>
      <c r="O2265" s="1" t="s">
        <v>74</v>
      </c>
      <c r="P2265" s="1" t="s">
        <v>74</v>
      </c>
      <c r="Q2265" s="1" t="s">
        <v>74</v>
      </c>
      <c r="R2265" s="1" t="s">
        <v>74</v>
      </c>
      <c r="S2265" s="1" t="s">
        <v>74</v>
      </c>
      <c r="T2265" s="1" t="s">
        <v>74</v>
      </c>
      <c r="U2265" s="1" t="s">
        <v>36310</v>
      </c>
      <c r="V2265" s="1" t="s">
        <v>36311</v>
      </c>
      <c r="W2265" s="1" t="s">
        <v>74</v>
      </c>
      <c r="X2265" s="1" t="s">
        <v>74</v>
      </c>
      <c r="Y2265" s="1" t="s">
        <v>36312</v>
      </c>
      <c r="Z2265" s="1" t="s">
        <v>74</v>
      </c>
      <c r="AA2265" s="1" t="s">
        <v>74</v>
      </c>
      <c r="AB2265" s="1" t="s">
        <v>74</v>
      </c>
      <c r="AC2265" s="1" t="s">
        <v>74</v>
      </c>
      <c r="AD2265" s="1" t="s">
        <v>74</v>
      </c>
      <c r="AE2265" s="1" t="s">
        <v>74</v>
      </c>
      <c r="AF2265" s="1" t="s">
        <v>74</v>
      </c>
      <c r="AG2265" s="1">
        <v>41</v>
      </c>
      <c r="AH2265" s="1">
        <v>4</v>
      </c>
      <c r="AI2265" s="1">
        <v>5</v>
      </c>
      <c r="AJ2265" s="1">
        <v>0</v>
      </c>
      <c r="AK2265" s="1">
        <v>6</v>
      </c>
      <c r="AL2265" s="1" t="s">
        <v>136</v>
      </c>
      <c r="AM2265" s="1" t="s">
        <v>137</v>
      </c>
      <c r="AN2265" s="1" t="s">
        <v>138</v>
      </c>
      <c r="AO2265" s="1" t="s">
        <v>240</v>
      </c>
      <c r="AP2265" s="1" t="s">
        <v>241</v>
      </c>
      <c r="AQ2265" s="1" t="s">
        <v>74</v>
      </c>
      <c r="AR2265" s="1" t="s">
        <v>242</v>
      </c>
      <c r="AS2265" s="1" t="s">
        <v>243</v>
      </c>
      <c r="AT2265" s="1" t="s">
        <v>74</v>
      </c>
      <c r="AU2265" s="1">
        <v>1992</v>
      </c>
      <c r="AV2265" s="1">
        <v>25</v>
      </c>
      <c r="AW2265" s="1" t="s">
        <v>36313</v>
      </c>
      <c r="AX2265" s="1" t="s">
        <v>74</v>
      </c>
      <c r="AY2265" s="1" t="s">
        <v>74</v>
      </c>
      <c r="AZ2265" s="1" t="s">
        <v>74</v>
      </c>
      <c r="BA2265" s="1" t="s">
        <v>74</v>
      </c>
      <c r="BB2265" s="1">
        <v>134</v>
      </c>
      <c r="BC2265" s="1">
        <v>142</v>
      </c>
      <c r="BD2265" s="1" t="s">
        <v>74</v>
      </c>
      <c r="BE2265" s="1" t="s">
        <v>36314</v>
      </c>
      <c r="BF2265" s="1" t="str">
        <f>HYPERLINK("http://dx.doi.org/10.1016/0025-326X(92)90216-S","http://dx.doi.org/10.1016/0025-326X(92)90216-S")</f>
        <v>http://dx.doi.org/10.1016/0025-326X(92)90216-S</v>
      </c>
      <c r="BG2265" s="1" t="s">
        <v>74</v>
      </c>
      <c r="BH2265" s="1" t="s">
        <v>74</v>
      </c>
      <c r="BI2265" s="1">
        <v>9</v>
      </c>
      <c r="BJ2265" s="1" t="s">
        <v>247</v>
      </c>
      <c r="BK2265" s="1" t="s">
        <v>96</v>
      </c>
      <c r="BL2265" s="1" t="s">
        <v>248</v>
      </c>
      <c r="BM2265" s="1" t="s">
        <v>36315</v>
      </c>
      <c r="BN2265" s="1" t="s">
        <v>74</v>
      </c>
      <c r="BO2265" s="1" t="s">
        <v>74</v>
      </c>
      <c r="BP2265" s="1" t="s">
        <v>74</v>
      </c>
      <c r="BQ2265" s="1" t="s">
        <v>74</v>
      </c>
      <c r="BR2265" s="1" t="s">
        <v>98</v>
      </c>
      <c r="BS2265" s="1" t="s">
        <v>36316</v>
      </c>
      <c r="BT2265" s="1" t="str">
        <f>HYPERLINK("https%3A%2F%2Fwww.webofscience.com%2Fwos%2Fwoscc%2Ffull-record%2FWOS:A1992KJ81800003","View Full Record in Web of Science")</f>
        <v>View Full Record in Web of Science</v>
      </c>
      <c r="BU2265" s="1"/>
      <c r="BV2265" s="1"/>
    </row>
    <row r="2266" spans="1:74">
      <c r="A2266" s="1" t="s">
        <v>72</v>
      </c>
      <c r="B2266" s="1" t="s">
        <v>36317</v>
      </c>
      <c r="C2266" s="1" t="s">
        <v>74</v>
      </c>
      <c r="D2266" s="1" t="s">
        <v>74</v>
      </c>
      <c r="E2266" s="1" t="s">
        <v>74</v>
      </c>
      <c r="F2266" s="1" t="s">
        <v>36318</v>
      </c>
      <c r="G2266" s="1" t="s">
        <v>74</v>
      </c>
      <c r="H2266" s="1" t="s">
        <v>74</v>
      </c>
      <c r="I2266" s="1" t="s">
        <v>36319</v>
      </c>
      <c r="J2266" s="1" t="s">
        <v>421</v>
      </c>
      <c r="K2266" s="1" t="s">
        <v>74</v>
      </c>
      <c r="L2266" s="1" t="s">
        <v>74</v>
      </c>
      <c r="M2266" s="1" t="s">
        <v>78</v>
      </c>
      <c r="N2266" s="1" t="s">
        <v>79</v>
      </c>
      <c r="O2266" s="1" t="s">
        <v>74</v>
      </c>
      <c r="P2266" s="1" t="s">
        <v>74</v>
      </c>
      <c r="Q2266" s="1" t="s">
        <v>74</v>
      </c>
      <c r="R2266" s="1" t="s">
        <v>74</v>
      </c>
      <c r="S2266" s="1" t="s">
        <v>74</v>
      </c>
      <c r="T2266" s="1" t="s">
        <v>36320</v>
      </c>
      <c r="U2266" s="1" t="s">
        <v>36321</v>
      </c>
      <c r="V2266" s="1" t="s">
        <v>36322</v>
      </c>
      <c r="W2266" s="1" t="s">
        <v>36323</v>
      </c>
      <c r="X2266" s="1" t="s">
        <v>36324</v>
      </c>
      <c r="Y2266" s="1" t="s">
        <v>36325</v>
      </c>
      <c r="Z2266" s="1" t="s">
        <v>36326</v>
      </c>
      <c r="AA2266" s="1" t="s">
        <v>36327</v>
      </c>
      <c r="AB2266" s="1" t="s">
        <v>36328</v>
      </c>
      <c r="AC2266" s="1" t="s">
        <v>36329</v>
      </c>
      <c r="AD2266" s="1" t="s">
        <v>36329</v>
      </c>
      <c r="AE2266" s="1" t="s">
        <v>36330</v>
      </c>
      <c r="AF2266" s="1" t="s">
        <v>74</v>
      </c>
      <c r="AG2266" s="1">
        <v>95</v>
      </c>
      <c r="AH2266" s="1">
        <v>1</v>
      </c>
      <c r="AI2266" s="1">
        <v>1</v>
      </c>
      <c r="AJ2266" s="1">
        <v>1</v>
      </c>
      <c r="AK2266" s="1">
        <v>10</v>
      </c>
      <c r="AL2266" s="1" t="s">
        <v>430</v>
      </c>
      <c r="AM2266" s="1" t="s">
        <v>7361</v>
      </c>
      <c r="AN2266" s="1" t="s">
        <v>7362</v>
      </c>
      <c r="AO2266" s="1" t="s">
        <v>432</v>
      </c>
      <c r="AP2266" s="1" t="s">
        <v>1394</v>
      </c>
      <c r="AQ2266" s="1" t="s">
        <v>74</v>
      </c>
      <c r="AR2266" s="1" t="s">
        <v>433</v>
      </c>
      <c r="AS2266" s="1" t="s">
        <v>434</v>
      </c>
      <c r="AT2266" s="1" t="s">
        <v>8920</v>
      </c>
      <c r="AU2266" s="1">
        <v>2023</v>
      </c>
      <c r="AV2266" s="1">
        <v>336</v>
      </c>
      <c r="AW2266" s="1" t="s">
        <v>74</v>
      </c>
      <c r="AX2266" s="1" t="s">
        <v>74</v>
      </c>
      <c r="AY2266" s="1" t="s">
        <v>74</v>
      </c>
      <c r="AZ2266" s="1" t="s">
        <v>74</v>
      </c>
      <c r="BA2266" s="1" t="s">
        <v>74</v>
      </c>
      <c r="BB2266" s="1" t="s">
        <v>74</v>
      </c>
      <c r="BC2266" s="1" t="s">
        <v>74</v>
      </c>
      <c r="BD2266" s="1">
        <v>122490</v>
      </c>
      <c r="BE2266" s="1" t="s">
        <v>36331</v>
      </c>
      <c r="BF2266" s="1" t="str">
        <f>HYPERLINK("http://dx.doi.org/10.1016/j.envpol.2023.122490","http://dx.doi.org/10.1016/j.envpol.2023.122490")</f>
        <v>http://dx.doi.org/10.1016/j.envpol.2023.122490</v>
      </c>
      <c r="BG2266" s="1" t="s">
        <v>74</v>
      </c>
      <c r="BH2266" s="1" t="s">
        <v>2000</v>
      </c>
      <c r="BI2266" s="1">
        <v>12</v>
      </c>
      <c r="BJ2266" s="1" t="s">
        <v>144</v>
      </c>
      <c r="BK2266" s="1" t="s">
        <v>96</v>
      </c>
      <c r="BL2266" s="1" t="s">
        <v>145</v>
      </c>
      <c r="BM2266" s="1" t="s">
        <v>36332</v>
      </c>
      <c r="BN2266" s="1">
        <v>37660774</v>
      </c>
      <c r="BO2266" s="1" t="s">
        <v>74</v>
      </c>
      <c r="BP2266" s="1" t="s">
        <v>74</v>
      </c>
      <c r="BQ2266" s="1" t="s">
        <v>74</v>
      </c>
      <c r="BR2266" s="1" t="s">
        <v>98</v>
      </c>
      <c r="BS2266" s="1" t="s">
        <v>36333</v>
      </c>
      <c r="BT2266" s="1" t="str">
        <f>HYPERLINK("https%3A%2F%2Fwww.webofscience.com%2Fwos%2Fwoscc%2Ffull-record%2FWOS:001079875700001","View Full Record in Web of Science")</f>
        <v>View Full Record in Web of Science</v>
      </c>
      <c r="BU2266" s="1"/>
      <c r="BV2266" s="1"/>
    </row>
    <row r="2267" spans="1:74">
      <c r="A2267" s="1" t="s">
        <v>72</v>
      </c>
      <c r="B2267" s="1" t="s">
        <v>36334</v>
      </c>
      <c r="C2267" s="1" t="s">
        <v>74</v>
      </c>
      <c r="D2267" s="1" t="s">
        <v>74</v>
      </c>
      <c r="E2267" s="1" t="s">
        <v>74</v>
      </c>
      <c r="F2267" s="1" t="s">
        <v>36335</v>
      </c>
      <c r="G2267" s="1" t="s">
        <v>74</v>
      </c>
      <c r="H2267" s="1" t="s">
        <v>74</v>
      </c>
      <c r="I2267" s="1" t="s">
        <v>36336</v>
      </c>
      <c r="J2267" s="1" t="s">
        <v>36337</v>
      </c>
      <c r="K2267" s="1" t="s">
        <v>74</v>
      </c>
      <c r="L2267" s="1" t="s">
        <v>74</v>
      </c>
      <c r="M2267" s="1" t="s">
        <v>78</v>
      </c>
      <c r="N2267" s="1" t="s">
        <v>79</v>
      </c>
      <c r="O2267" s="1" t="s">
        <v>74</v>
      </c>
      <c r="P2267" s="1" t="s">
        <v>74</v>
      </c>
      <c r="Q2267" s="1" t="s">
        <v>74</v>
      </c>
      <c r="R2267" s="1" t="s">
        <v>74</v>
      </c>
      <c r="S2267" s="1" t="s">
        <v>74</v>
      </c>
      <c r="T2267" s="1" t="s">
        <v>74</v>
      </c>
      <c r="U2267" s="1" t="s">
        <v>36338</v>
      </c>
      <c r="V2267" s="1" t="s">
        <v>36339</v>
      </c>
      <c r="W2267" s="1" t="s">
        <v>36340</v>
      </c>
      <c r="X2267" s="1" t="s">
        <v>6582</v>
      </c>
      <c r="Y2267" s="1" t="s">
        <v>36341</v>
      </c>
      <c r="Z2267" s="1" t="s">
        <v>36342</v>
      </c>
      <c r="AA2267" s="1" t="s">
        <v>36343</v>
      </c>
      <c r="AB2267" s="1" t="s">
        <v>36344</v>
      </c>
      <c r="AC2267" s="1" t="s">
        <v>36345</v>
      </c>
      <c r="AD2267" s="1" t="s">
        <v>36346</v>
      </c>
      <c r="AE2267" s="1" t="s">
        <v>36347</v>
      </c>
      <c r="AF2267" s="1" t="s">
        <v>74</v>
      </c>
      <c r="AG2267" s="1">
        <v>81</v>
      </c>
      <c r="AH2267" s="1">
        <v>8</v>
      </c>
      <c r="AI2267" s="1">
        <v>9</v>
      </c>
      <c r="AJ2267" s="1">
        <v>2</v>
      </c>
      <c r="AK2267" s="1">
        <v>29</v>
      </c>
      <c r="AL2267" s="1" t="s">
        <v>21002</v>
      </c>
      <c r="AM2267" s="1" t="s">
        <v>21003</v>
      </c>
      <c r="AN2267" s="1" t="s">
        <v>21004</v>
      </c>
      <c r="AO2267" s="1" t="s">
        <v>36348</v>
      </c>
      <c r="AP2267" s="1" t="s">
        <v>36349</v>
      </c>
      <c r="AQ2267" s="1" t="s">
        <v>74</v>
      </c>
      <c r="AR2267" s="1" t="s">
        <v>36350</v>
      </c>
      <c r="AS2267" s="1" t="s">
        <v>36351</v>
      </c>
      <c r="AT2267" s="1" t="s">
        <v>74</v>
      </c>
      <c r="AU2267" s="1">
        <v>2016</v>
      </c>
      <c r="AV2267" s="1">
        <v>20</v>
      </c>
      <c r="AW2267" s="1">
        <v>7</v>
      </c>
      <c r="AX2267" s="1" t="s">
        <v>74</v>
      </c>
      <c r="AY2267" s="1" t="s">
        <v>74</v>
      </c>
      <c r="AZ2267" s="1" t="s">
        <v>74</v>
      </c>
      <c r="BA2267" s="1" t="s">
        <v>74</v>
      </c>
      <c r="BB2267" s="1">
        <v>2679</v>
      </c>
      <c r="BC2267" s="1">
        <v>2689</v>
      </c>
      <c r="BD2267" s="1" t="s">
        <v>74</v>
      </c>
      <c r="BE2267" s="1" t="s">
        <v>36352</v>
      </c>
      <c r="BF2267" s="1" t="str">
        <f>HYPERLINK("http://dx.doi.org/10.5194/hess-20-2679-2016","http://dx.doi.org/10.5194/hess-20-2679-2016")</f>
        <v>http://dx.doi.org/10.5194/hess-20-2679-2016</v>
      </c>
      <c r="BG2267" s="1" t="s">
        <v>74</v>
      </c>
      <c r="BH2267" s="1" t="s">
        <v>74</v>
      </c>
      <c r="BI2267" s="1">
        <v>11</v>
      </c>
      <c r="BJ2267" s="1" t="s">
        <v>36353</v>
      </c>
      <c r="BK2267" s="1" t="s">
        <v>96</v>
      </c>
      <c r="BL2267" s="1" t="s">
        <v>36354</v>
      </c>
      <c r="BM2267" s="1" t="s">
        <v>36355</v>
      </c>
      <c r="BN2267" s="1" t="s">
        <v>74</v>
      </c>
      <c r="BO2267" s="1" t="s">
        <v>637</v>
      </c>
      <c r="BP2267" s="1" t="s">
        <v>74</v>
      </c>
      <c r="BQ2267" s="1" t="s">
        <v>74</v>
      </c>
      <c r="BR2267" s="1" t="s">
        <v>98</v>
      </c>
      <c r="BS2267" s="1" t="s">
        <v>36356</v>
      </c>
      <c r="BT2267" s="1" t="str">
        <f>HYPERLINK("https%3A%2F%2Fwww.webofscience.com%2Fwos%2Fwoscc%2Ffull-record%2FWOS:000379420000007","View Full Record in Web of Science")</f>
        <v>View Full Record in Web of Science</v>
      </c>
      <c r="BU2267" s="1"/>
      <c r="BV2267" s="1"/>
    </row>
    <row r="2268" spans="1:74">
      <c r="A2268" s="1" t="s">
        <v>72</v>
      </c>
      <c r="B2268" s="1" t="s">
        <v>36357</v>
      </c>
      <c r="C2268" s="1" t="s">
        <v>74</v>
      </c>
      <c r="D2268" s="1" t="s">
        <v>74</v>
      </c>
      <c r="E2268" s="1" t="s">
        <v>74</v>
      </c>
      <c r="F2268" s="1" t="s">
        <v>36358</v>
      </c>
      <c r="G2268" s="1" t="s">
        <v>74</v>
      </c>
      <c r="H2268" s="1" t="s">
        <v>74</v>
      </c>
      <c r="I2268" s="1" t="s">
        <v>36359</v>
      </c>
      <c r="J2268" s="1" t="s">
        <v>204</v>
      </c>
      <c r="K2268" s="1" t="s">
        <v>74</v>
      </c>
      <c r="L2268" s="1" t="s">
        <v>74</v>
      </c>
      <c r="M2268" s="1" t="s">
        <v>78</v>
      </c>
      <c r="N2268" s="1" t="s">
        <v>79</v>
      </c>
      <c r="O2268" s="1" t="s">
        <v>74</v>
      </c>
      <c r="P2268" s="1" t="s">
        <v>74</v>
      </c>
      <c r="Q2268" s="1" t="s">
        <v>74</v>
      </c>
      <c r="R2268" s="1" t="s">
        <v>74</v>
      </c>
      <c r="S2268" s="1" t="s">
        <v>74</v>
      </c>
      <c r="T2268" s="1" t="s">
        <v>36360</v>
      </c>
      <c r="U2268" s="1" t="s">
        <v>36361</v>
      </c>
      <c r="V2268" s="1" t="s">
        <v>36362</v>
      </c>
      <c r="W2268" s="1" t="s">
        <v>36363</v>
      </c>
      <c r="X2268" s="1" t="s">
        <v>34868</v>
      </c>
      <c r="Y2268" s="1" t="s">
        <v>36364</v>
      </c>
      <c r="Z2268" s="1" t="s">
        <v>36365</v>
      </c>
      <c r="AA2268" s="1" t="s">
        <v>36366</v>
      </c>
      <c r="AB2268" s="1" t="s">
        <v>36367</v>
      </c>
      <c r="AC2268" s="1" t="s">
        <v>36368</v>
      </c>
      <c r="AD2268" s="1" t="s">
        <v>10121</v>
      </c>
      <c r="AE2268" s="1" t="s">
        <v>36369</v>
      </c>
      <c r="AF2268" s="1" t="s">
        <v>74</v>
      </c>
      <c r="AG2268" s="1">
        <v>121</v>
      </c>
      <c r="AH2268" s="1">
        <v>15</v>
      </c>
      <c r="AI2268" s="1">
        <v>16</v>
      </c>
      <c r="AJ2268" s="1">
        <v>0</v>
      </c>
      <c r="AK2268" s="1">
        <v>12</v>
      </c>
      <c r="AL2268" s="1" t="s">
        <v>217</v>
      </c>
      <c r="AM2268" s="1" t="s">
        <v>218</v>
      </c>
      <c r="AN2268" s="1" t="s">
        <v>219</v>
      </c>
      <c r="AO2268" s="1" t="s">
        <v>220</v>
      </c>
      <c r="AP2268" s="1" t="s">
        <v>221</v>
      </c>
      <c r="AQ2268" s="1" t="s">
        <v>74</v>
      </c>
      <c r="AR2268" s="1" t="s">
        <v>222</v>
      </c>
      <c r="AS2268" s="1" t="s">
        <v>223</v>
      </c>
      <c r="AT2268" s="1" t="s">
        <v>170</v>
      </c>
      <c r="AU2268" s="1">
        <v>2021</v>
      </c>
      <c r="AV2268" s="1">
        <v>28</v>
      </c>
      <c r="AW2268" s="1">
        <v>17</v>
      </c>
      <c r="AX2268" s="1" t="s">
        <v>74</v>
      </c>
      <c r="AY2268" s="1" t="s">
        <v>74</v>
      </c>
      <c r="AZ2268" s="1" t="s">
        <v>74</v>
      </c>
      <c r="BA2268" s="1" t="s">
        <v>74</v>
      </c>
      <c r="BB2268" s="1">
        <v>21553</v>
      </c>
      <c r="BC2268" s="1">
        <v>21576</v>
      </c>
      <c r="BD2268" s="1" t="s">
        <v>74</v>
      </c>
      <c r="BE2268" s="1" t="s">
        <v>36370</v>
      </c>
      <c r="BF2268" s="1" t="str">
        <f>HYPERLINK("http://dx.doi.org/10.1007/s11356-020-12024-z","http://dx.doi.org/10.1007/s11356-020-12024-z")</f>
        <v>http://dx.doi.org/10.1007/s11356-020-12024-z</v>
      </c>
      <c r="BG2268" s="1" t="s">
        <v>74</v>
      </c>
      <c r="BH2268" s="1" t="s">
        <v>2597</v>
      </c>
      <c r="BI2268" s="1">
        <v>24</v>
      </c>
      <c r="BJ2268" s="1" t="s">
        <v>144</v>
      </c>
      <c r="BK2268" s="1" t="s">
        <v>96</v>
      </c>
      <c r="BL2268" s="1" t="s">
        <v>145</v>
      </c>
      <c r="BM2268" s="1" t="s">
        <v>36371</v>
      </c>
      <c r="BN2268" s="1">
        <v>33411300</v>
      </c>
      <c r="BO2268" s="1" t="s">
        <v>74</v>
      </c>
      <c r="BP2268" s="1" t="s">
        <v>74</v>
      </c>
      <c r="BQ2268" s="1" t="s">
        <v>74</v>
      </c>
      <c r="BR2268" s="1" t="s">
        <v>98</v>
      </c>
      <c r="BS2268" s="1" t="s">
        <v>36372</v>
      </c>
      <c r="BT2268" s="1" t="str">
        <f>HYPERLINK("https%3A%2F%2Fwww.webofscience.com%2Fwos%2Fwoscc%2Ffull-record%2FWOS:000607298000005","View Full Record in Web of Science")</f>
        <v>View Full Record in Web of Science</v>
      </c>
      <c r="BU2268" s="1"/>
      <c r="BV2268" s="1"/>
    </row>
    <row r="2269" spans="1:74">
      <c r="A2269" s="1" t="s">
        <v>72</v>
      </c>
      <c r="B2269" s="1" t="s">
        <v>36373</v>
      </c>
      <c r="C2269" s="1" t="s">
        <v>74</v>
      </c>
      <c r="D2269" s="1" t="s">
        <v>74</v>
      </c>
      <c r="E2269" s="1" t="s">
        <v>74</v>
      </c>
      <c r="F2269" s="1" t="s">
        <v>36374</v>
      </c>
      <c r="G2269" s="1" t="s">
        <v>74</v>
      </c>
      <c r="H2269" s="1" t="s">
        <v>74</v>
      </c>
      <c r="I2269" s="1" t="s">
        <v>36375</v>
      </c>
      <c r="J2269" s="1" t="s">
        <v>909</v>
      </c>
      <c r="K2269" s="1" t="s">
        <v>74</v>
      </c>
      <c r="L2269" s="1" t="s">
        <v>74</v>
      </c>
      <c r="M2269" s="1" t="s">
        <v>78</v>
      </c>
      <c r="N2269" s="1" t="s">
        <v>79</v>
      </c>
      <c r="O2269" s="1" t="s">
        <v>74</v>
      </c>
      <c r="P2269" s="1" t="s">
        <v>74</v>
      </c>
      <c r="Q2269" s="1" t="s">
        <v>74</v>
      </c>
      <c r="R2269" s="1" t="s">
        <v>74</v>
      </c>
      <c r="S2269" s="1" t="s">
        <v>74</v>
      </c>
      <c r="T2269" s="1" t="s">
        <v>36376</v>
      </c>
      <c r="U2269" s="1" t="s">
        <v>36377</v>
      </c>
      <c r="V2269" s="1" t="s">
        <v>36378</v>
      </c>
      <c r="W2269" s="1" t="s">
        <v>36379</v>
      </c>
      <c r="X2269" s="1" t="s">
        <v>25649</v>
      </c>
      <c r="Y2269" s="1" t="s">
        <v>32755</v>
      </c>
      <c r="Z2269" s="1" t="s">
        <v>32756</v>
      </c>
      <c r="AA2269" s="1" t="s">
        <v>36380</v>
      </c>
      <c r="AB2269" s="1" t="s">
        <v>36381</v>
      </c>
      <c r="AC2269" s="1" t="s">
        <v>36382</v>
      </c>
      <c r="AD2269" s="1" t="s">
        <v>36383</v>
      </c>
      <c r="AE2269" s="1" t="s">
        <v>36384</v>
      </c>
      <c r="AF2269" s="1" t="s">
        <v>74</v>
      </c>
      <c r="AG2269" s="1">
        <v>90</v>
      </c>
      <c r="AH2269" s="1">
        <v>85</v>
      </c>
      <c r="AI2269" s="1">
        <v>90</v>
      </c>
      <c r="AJ2269" s="1">
        <v>8</v>
      </c>
      <c r="AK2269" s="1">
        <v>165</v>
      </c>
      <c r="AL2269" s="1" t="s">
        <v>650</v>
      </c>
      <c r="AM2269" s="1" t="s">
        <v>651</v>
      </c>
      <c r="AN2269" s="1" t="s">
        <v>652</v>
      </c>
      <c r="AO2269" s="1" t="s">
        <v>921</v>
      </c>
      <c r="AP2269" s="1" t="s">
        <v>922</v>
      </c>
      <c r="AQ2269" s="1" t="s">
        <v>74</v>
      </c>
      <c r="AR2269" s="1" t="s">
        <v>923</v>
      </c>
      <c r="AS2269" s="1" t="s">
        <v>924</v>
      </c>
      <c r="AT2269" s="1" t="s">
        <v>36385</v>
      </c>
      <c r="AU2269" s="1">
        <v>2021</v>
      </c>
      <c r="AV2269" s="1">
        <v>770</v>
      </c>
      <c r="AW2269" s="1" t="s">
        <v>74</v>
      </c>
      <c r="AX2269" s="1" t="s">
        <v>74</v>
      </c>
      <c r="AY2269" s="1" t="s">
        <v>74</v>
      </c>
      <c r="AZ2269" s="1" t="s">
        <v>74</v>
      </c>
      <c r="BA2269" s="1" t="s">
        <v>74</v>
      </c>
      <c r="BB2269" s="1" t="s">
        <v>74</v>
      </c>
      <c r="BC2269" s="1" t="s">
        <v>74</v>
      </c>
      <c r="BD2269" s="1">
        <v>145273</v>
      </c>
      <c r="BE2269" s="1" t="s">
        <v>36386</v>
      </c>
      <c r="BF2269" s="1" t="str">
        <f>HYPERLINK("http://dx.doi.org/10.1016/j.scitotenv.2021.145273","http://dx.doi.org/10.1016/j.scitotenv.2021.145273")</f>
        <v>http://dx.doi.org/10.1016/j.scitotenv.2021.145273</v>
      </c>
      <c r="BG2269" s="1" t="s">
        <v>74</v>
      </c>
      <c r="BH2269" s="1" t="s">
        <v>2597</v>
      </c>
      <c r="BI2269" s="1">
        <v>11</v>
      </c>
      <c r="BJ2269" s="1" t="s">
        <v>144</v>
      </c>
      <c r="BK2269" s="1" t="s">
        <v>96</v>
      </c>
      <c r="BL2269" s="1" t="s">
        <v>145</v>
      </c>
      <c r="BM2269" s="1" t="s">
        <v>36387</v>
      </c>
      <c r="BN2269" s="1">
        <v>33513513</v>
      </c>
      <c r="BO2269" s="1" t="s">
        <v>74</v>
      </c>
      <c r="BP2269" s="1" t="s">
        <v>74</v>
      </c>
      <c r="BQ2269" s="1" t="s">
        <v>74</v>
      </c>
      <c r="BR2269" s="1" t="s">
        <v>98</v>
      </c>
      <c r="BS2269" s="1" t="s">
        <v>36388</v>
      </c>
      <c r="BT2269" s="1" t="str">
        <f>HYPERLINK("https%3A%2F%2Fwww.webofscience.com%2Fwos%2Fwoscc%2Ffull-record%2FWOS:000627896100092","View Full Record in Web of Science")</f>
        <v>View Full Record in Web of Science</v>
      </c>
      <c r="BU2269" s="1"/>
      <c r="BV2269" s="1"/>
    </row>
    <row r="2270" spans="1:74">
      <c r="A2270" s="1" t="s">
        <v>72</v>
      </c>
      <c r="B2270" s="1" t="s">
        <v>36389</v>
      </c>
      <c r="C2270" s="1" t="s">
        <v>74</v>
      </c>
      <c r="D2270" s="1" t="s">
        <v>74</v>
      </c>
      <c r="E2270" s="1" t="s">
        <v>74</v>
      </c>
      <c r="F2270" s="1" t="s">
        <v>36390</v>
      </c>
      <c r="G2270" s="1" t="s">
        <v>74</v>
      </c>
      <c r="H2270" s="1" t="s">
        <v>74</v>
      </c>
      <c r="I2270" s="1" t="s">
        <v>36391</v>
      </c>
      <c r="J2270" s="1" t="s">
        <v>641</v>
      </c>
      <c r="K2270" s="1" t="s">
        <v>74</v>
      </c>
      <c r="L2270" s="1" t="s">
        <v>74</v>
      </c>
      <c r="M2270" s="1" t="s">
        <v>78</v>
      </c>
      <c r="N2270" s="1" t="s">
        <v>79</v>
      </c>
      <c r="O2270" s="1" t="s">
        <v>74</v>
      </c>
      <c r="P2270" s="1" t="s">
        <v>74</v>
      </c>
      <c r="Q2270" s="1" t="s">
        <v>74</v>
      </c>
      <c r="R2270" s="1" t="s">
        <v>74</v>
      </c>
      <c r="S2270" s="1" t="s">
        <v>74</v>
      </c>
      <c r="T2270" s="1" t="s">
        <v>36392</v>
      </c>
      <c r="U2270" s="1" t="s">
        <v>36393</v>
      </c>
      <c r="V2270" s="1" t="s">
        <v>36394</v>
      </c>
      <c r="W2270" s="1" t="s">
        <v>36395</v>
      </c>
      <c r="X2270" s="1" t="s">
        <v>36396</v>
      </c>
      <c r="Y2270" s="1" t="s">
        <v>36397</v>
      </c>
      <c r="Z2270" s="1" t="s">
        <v>36398</v>
      </c>
      <c r="AA2270" s="1" t="s">
        <v>74</v>
      </c>
      <c r="AB2270" s="1" t="s">
        <v>36399</v>
      </c>
      <c r="AC2270" s="1" t="s">
        <v>74</v>
      </c>
      <c r="AD2270" s="1" t="s">
        <v>74</v>
      </c>
      <c r="AE2270" s="1" t="s">
        <v>74</v>
      </c>
      <c r="AF2270" s="1" t="s">
        <v>74</v>
      </c>
      <c r="AG2270" s="1">
        <v>42</v>
      </c>
      <c r="AH2270" s="1">
        <v>8</v>
      </c>
      <c r="AI2270" s="1">
        <v>10</v>
      </c>
      <c r="AJ2270" s="1">
        <v>0</v>
      </c>
      <c r="AK2270" s="1">
        <v>30</v>
      </c>
      <c r="AL2270" s="1" t="s">
        <v>919</v>
      </c>
      <c r="AM2270" s="1" t="s">
        <v>651</v>
      </c>
      <c r="AN2270" s="1" t="s">
        <v>920</v>
      </c>
      <c r="AO2270" s="1" t="s">
        <v>653</v>
      </c>
      <c r="AP2270" s="1" t="s">
        <v>74</v>
      </c>
      <c r="AQ2270" s="1" t="s">
        <v>74</v>
      </c>
      <c r="AR2270" s="1" t="s">
        <v>655</v>
      </c>
      <c r="AS2270" s="1" t="s">
        <v>656</v>
      </c>
      <c r="AT2270" s="1" t="s">
        <v>305</v>
      </c>
      <c r="AU2270" s="1">
        <v>2011</v>
      </c>
      <c r="AV2270" s="1">
        <v>105</v>
      </c>
      <c r="AW2270" s="1" t="s">
        <v>326</v>
      </c>
      <c r="AX2270" s="1" t="s">
        <v>74</v>
      </c>
      <c r="AY2270" s="1" t="s">
        <v>74</v>
      </c>
      <c r="AZ2270" s="1" t="s">
        <v>74</v>
      </c>
      <c r="BA2270" s="1" t="s">
        <v>74</v>
      </c>
      <c r="BB2270" s="1">
        <v>119</v>
      </c>
      <c r="BC2270" s="1">
        <v>126</v>
      </c>
      <c r="BD2270" s="1" t="s">
        <v>74</v>
      </c>
      <c r="BE2270" s="1" t="s">
        <v>36400</v>
      </c>
      <c r="BF2270" s="1" t="str">
        <f>HYPERLINK("http://dx.doi.org/10.1016/j.aquatox.2011.05.020","http://dx.doi.org/10.1016/j.aquatox.2011.05.020")</f>
        <v>http://dx.doi.org/10.1016/j.aquatox.2011.05.020</v>
      </c>
      <c r="BG2270" s="1" t="s">
        <v>74</v>
      </c>
      <c r="BH2270" s="1" t="s">
        <v>74</v>
      </c>
      <c r="BI2270" s="1">
        <v>8</v>
      </c>
      <c r="BJ2270" s="1" t="s">
        <v>659</v>
      </c>
      <c r="BK2270" s="1" t="s">
        <v>96</v>
      </c>
      <c r="BL2270" s="1" t="s">
        <v>659</v>
      </c>
      <c r="BM2270" s="1" t="s">
        <v>8534</v>
      </c>
      <c r="BN2270" s="1">
        <v>21703980</v>
      </c>
      <c r="BO2270" s="1" t="s">
        <v>74</v>
      </c>
      <c r="BP2270" s="1" t="s">
        <v>74</v>
      </c>
      <c r="BQ2270" s="1" t="s">
        <v>74</v>
      </c>
      <c r="BR2270" s="1" t="s">
        <v>98</v>
      </c>
      <c r="BS2270" s="1" t="s">
        <v>36401</v>
      </c>
      <c r="BT2270" s="1" t="str">
        <f>HYPERLINK("https%3A%2F%2Fwww.webofscience.com%2Fwos%2Fwoscc%2Ffull-record%2FWOS:000294317500013","View Full Record in Web of Science")</f>
        <v>View Full Record in Web of Science</v>
      </c>
      <c r="BU2270" s="1"/>
      <c r="BV2270" s="1"/>
    </row>
    <row r="2271" spans="1:74">
      <c r="A2271" s="1" t="s">
        <v>72</v>
      </c>
      <c r="B2271" s="1" t="s">
        <v>36402</v>
      </c>
      <c r="C2271" s="1" t="s">
        <v>74</v>
      </c>
      <c r="D2271" s="1" t="s">
        <v>74</v>
      </c>
      <c r="E2271" s="1" t="s">
        <v>74</v>
      </c>
      <c r="F2271" s="1" t="s">
        <v>36403</v>
      </c>
      <c r="G2271" s="1" t="s">
        <v>74</v>
      </c>
      <c r="H2271" s="1" t="s">
        <v>74</v>
      </c>
      <c r="I2271" s="1" t="s">
        <v>36404</v>
      </c>
      <c r="J2271" s="1" t="s">
        <v>2063</v>
      </c>
      <c r="K2271" s="1" t="s">
        <v>74</v>
      </c>
      <c r="L2271" s="1" t="s">
        <v>74</v>
      </c>
      <c r="M2271" s="1" t="s">
        <v>78</v>
      </c>
      <c r="N2271" s="1" t="s">
        <v>79</v>
      </c>
      <c r="O2271" s="1" t="s">
        <v>74</v>
      </c>
      <c r="P2271" s="1" t="s">
        <v>74</v>
      </c>
      <c r="Q2271" s="1" t="s">
        <v>74</v>
      </c>
      <c r="R2271" s="1" t="s">
        <v>74</v>
      </c>
      <c r="S2271" s="1" t="s">
        <v>74</v>
      </c>
      <c r="T2271" s="1" t="s">
        <v>36405</v>
      </c>
      <c r="U2271" s="1" t="s">
        <v>36406</v>
      </c>
      <c r="V2271" s="1" t="s">
        <v>36407</v>
      </c>
      <c r="W2271" s="1" t="s">
        <v>36408</v>
      </c>
      <c r="X2271" s="1" t="s">
        <v>159</v>
      </c>
      <c r="Y2271" s="1" t="s">
        <v>36409</v>
      </c>
      <c r="Z2271" s="1" t="s">
        <v>6673</v>
      </c>
      <c r="AA2271" s="1" t="s">
        <v>6674</v>
      </c>
      <c r="AB2271" s="1" t="s">
        <v>74</v>
      </c>
      <c r="AC2271" s="1" t="s">
        <v>36410</v>
      </c>
      <c r="AD2271" s="1" t="s">
        <v>36410</v>
      </c>
      <c r="AE2271" s="1" t="s">
        <v>36411</v>
      </c>
      <c r="AF2271" s="1" t="s">
        <v>74</v>
      </c>
      <c r="AG2271" s="1">
        <v>38</v>
      </c>
      <c r="AH2271" s="1">
        <v>3</v>
      </c>
      <c r="AI2271" s="1">
        <v>3</v>
      </c>
      <c r="AJ2271" s="1">
        <v>0</v>
      </c>
      <c r="AK2271" s="1">
        <v>8</v>
      </c>
      <c r="AL2271" s="1" t="s">
        <v>2074</v>
      </c>
      <c r="AM2271" s="1" t="s">
        <v>2075</v>
      </c>
      <c r="AN2271" s="1" t="s">
        <v>2076</v>
      </c>
      <c r="AO2271" s="1" t="s">
        <v>2077</v>
      </c>
      <c r="AP2271" s="1" t="s">
        <v>2078</v>
      </c>
      <c r="AQ2271" s="1" t="s">
        <v>74</v>
      </c>
      <c r="AR2271" s="1" t="s">
        <v>2079</v>
      </c>
      <c r="AS2271" s="1" t="s">
        <v>2080</v>
      </c>
      <c r="AT2271" s="1" t="s">
        <v>74</v>
      </c>
      <c r="AU2271" s="1">
        <v>2018</v>
      </c>
      <c r="AV2271" s="1">
        <v>34</v>
      </c>
      <c r="AW2271" s="1">
        <v>3</v>
      </c>
      <c r="AX2271" s="1" t="s">
        <v>74</v>
      </c>
      <c r="AY2271" s="1" t="s">
        <v>74</v>
      </c>
      <c r="AZ2271" s="1" t="s">
        <v>74</v>
      </c>
      <c r="BA2271" s="1" t="s">
        <v>74</v>
      </c>
      <c r="BB2271" s="1">
        <v>241</v>
      </c>
      <c r="BC2271" s="1">
        <v>258</v>
      </c>
      <c r="BD2271" s="1" t="s">
        <v>74</v>
      </c>
      <c r="BE2271" s="1" t="s">
        <v>36412</v>
      </c>
      <c r="BF2271" s="1" t="str">
        <f>HYPERLINK("http://dx.doi.org/10.1080/02757540.2017.1420177","http://dx.doi.org/10.1080/02757540.2017.1420177")</f>
        <v>http://dx.doi.org/10.1080/02757540.2017.1420177</v>
      </c>
      <c r="BG2271" s="1" t="s">
        <v>74</v>
      </c>
      <c r="BH2271" s="1" t="s">
        <v>74</v>
      </c>
      <c r="BI2271" s="1">
        <v>18</v>
      </c>
      <c r="BJ2271" s="1" t="s">
        <v>2083</v>
      </c>
      <c r="BK2271" s="1" t="s">
        <v>96</v>
      </c>
      <c r="BL2271" s="1" t="s">
        <v>2084</v>
      </c>
      <c r="BM2271" s="1" t="s">
        <v>36413</v>
      </c>
      <c r="BN2271" s="1" t="s">
        <v>74</v>
      </c>
      <c r="BO2271" s="1" t="s">
        <v>74</v>
      </c>
      <c r="BP2271" s="1" t="s">
        <v>74</v>
      </c>
      <c r="BQ2271" s="1" t="s">
        <v>74</v>
      </c>
      <c r="BR2271" s="1" t="s">
        <v>98</v>
      </c>
      <c r="BS2271" s="1" t="s">
        <v>36414</v>
      </c>
      <c r="BT2271" s="1" t="str">
        <f>HYPERLINK("https%3A%2F%2Fwww.webofscience.com%2Fwos%2Fwoscc%2Ffull-record%2FWOS:000426133900004","View Full Record in Web of Science")</f>
        <v>View Full Record in Web of Science</v>
      </c>
      <c r="BU2271" s="1"/>
      <c r="BV2271" s="1"/>
    </row>
    <row r="2272" spans="1:74">
      <c r="A2272" s="1" t="s">
        <v>72</v>
      </c>
      <c r="B2272" s="1" t="s">
        <v>36415</v>
      </c>
      <c r="C2272" s="1" t="s">
        <v>74</v>
      </c>
      <c r="D2272" s="1" t="s">
        <v>74</v>
      </c>
      <c r="E2272" s="1" t="s">
        <v>74</v>
      </c>
      <c r="F2272" s="1" t="s">
        <v>36415</v>
      </c>
      <c r="G2272" s="1" t="s">
        <v>74</v>
      </c>
      <c r="H2272" s="1" t="s">
        <v>74</v>
      </c>
      <c r="I2272" s="1" t="s">
        <v>36416</v>
      </c>
      <c r="J2272" s="1" t="s">
        <v>232</v>
      </c>
      <c r="K2272" s="1" t="s">
        <v>74</v>
      </c>
      <c r="L2272" s="1" t="s">
        <v>74</v>
      </c>
      <c r="M2272" s="1" t="s">
        <v>78</v>
      </c>
      <c r="N2272" s="1" t="s">
        <v>79</v>
      </c>
      <c r="O2272" s="1" t="s">
        <v>74</v>
      </c>
      <c r="P2272" s="1" t="s">
        <v>74</v>
      </c>
      <c r="Q2272" s="1" t="s">
        <v>74</v>
      </c>
      <c r="R2272" s="1" t="s">
        <v>74</v>
      </c>
      <c r="S2272" s="1" t="s">
        <v>74</v>
      </c>
      <c r="T2272" s="1" t="s">
        <v>36417</v>
      </c>
      <c r="U2272" s="1" t="s">
        <v>36418</v>
      </c>
      <c r="V2272" s="1" t="s">
        <v>36419</v>
      </c>
      <c r="W2272" s="1" t="s">
        <v>36420</v>
      </c>
      <c r="X2272" s="1" t="s">
        <v>26268</v>
      </c>
      <c r="Y2272" s="1" t="s">
        <v>36421</v>
      </c>
      <c r="Z2272" s="1" t="s">
        <v>36422</v>
      </c>
      <c r="AA2272" s="1" t="s">
        <v>36423</v>
      </c>
      <c r="AB2272" s="1" t="s">
        <v>36424</v>
      </c>
      <c r="AC2272" s="1" t="s">
        <v>74</v>
      </c>
      <c r="AD2272" s="1" t="s">
        <v>74</v>
      </c>
      <c r="AE2272" s="1" t="s">
        <v>74</v>
      </c>
      <c r="AF2272" s="1" t="s">
        <v>74</v>
      </c>
      <c r="AG2272" s="1">
        <v>45</v>
      </c>
      <c r="AH2272" s="1">
        <v>24</v>
      </c>
      <c r="AI2272" s="1">
        <v>28</v>
      </c>
      <c r="AJ2272" s="1">
        <v>0</v>
      </c>
      <c r="AK2272" s="1">
        <v>13</v>
      </c>
      <c r="AL2272" s="1" t="s">
        <v>136</v>
      </c>
      <c r="AM2272" s="1" t="s">
        <v>137</v>
      </c>
      <c r="AN2272" s="1" t="s">
        <v>138</v>
      </c>
      <c r="AO2272" s="1" t="s">
        <v>240</v>
      </c>
      <c r="AP2272" s="1" t="s">
        <v>241</v>
      </c>
      <c r="AQ2272" s="1" t="s">
        <v>74</v>
      </c>
      <c r="AR2272" s="1" t="s">
        <v>242</v>
      </c>
      <c r="AS2272" s="1" t="s">
        <v>243</v>
      </c>
      <c r="AT2272" s="1" t="s">
        <v>74</v>
      </c>
      <c r="AU2272" s="1">
        <v>2005</v>
      </c>
      <c r="AV2272" s="1">
        <v>51</v>
      </c>
      <c r="AW2272" s="1" t="s">
        <v>36425</v>
      </c>
      <c r="AX2272" s="1" t="s">
        <v>74</v>
      </c>
      <c r="AY2272" s="1" t="s">
        <v>74</v>
      </c>
      <c r="AZ2272" s="1" t="s">
        <v>74</v>
      </c>
      <c r="BA2272" s="1" t="s">
        <v>74</v>
      </c>
      <c r="BB2272" s="1">
        <v>534</v>
      </c>
      <c r="BC2272" s="1">
        <v>544</v>
      </c>
      <c r="BD2272" s="1" t="s">
        <v>74</v>
      </c>
      <c r="BE2272" s="1" t="s">
        <v>36426</v>
      </c>
      <c r="BF2272" s="1" t="str">
        <f>HYPERLINK("http://dx.doi.org/10.1016/j.marpolbul.2005.07.019","http://dx.doi.org/10.1016/j.marpolbul.2005.07.019")</f>
        <v>http://dx.doi.org/10.1016/j.marpolbul.2005.07.019</v>
      </c>
      <c r="BG2272" s="1" t="s">
        <v>74</v>
      </c>
      <c r="BH2272" s="1" t="s">
        <v>74</v>
      </c>
      <c r="BI2272" s="1">
        <v>11</v>
      </c>
      <c r="BJ2272" s="1" t="s">
        <v>247</v>
      </c>
      <c r="BK2272" s="1" t="s">
        <v>96</v>
      </c>
      <c r="BL2272" s="1" t="s">
        <v>248</v>
      </c>
      <c r="BM2272" s="1" t="s">
        <v>36427</v>
      </c>
      <c r="BN2272" s="1">
        <v>16140343</v>
      </c>
      <c r="BO2272" s="1" t="s">
        <v>74</v>
      </c>
      <c r="BP2272" s="1" t="s">
        <v>74</v>
      </c>
      <c r="BQ2272" s="1" t="s">
        <v>74</v>
      </c>
      <c r="BR2272" s="1" t="s">
        <v>98</v>
      </c>
      <c r="BS2272" s="1" t="s">
        <v>36428</v>
      </c>
      <c r="BT2272" s="1" t="str">
        <f>HYPERLINK("https%3A%2F%2Fwww.webofscience.com%2Fwos%2Fwoscc%2Ffull-record%2FWOS:000234075200006","View Full Record in Web of Science")</f>
        <v>View Full Record in Web of Science</v>
      </c>
      <c r="BU2272" s="1"/>
      <c r="BV2272" s="1"/>
    </row>
    <row r="2273" spans="1:74">
      <c r="A2273" s="1" t="s">
        <v>72</v>
      </c>
      <c r="B2273" s="1" t="s">
        <v>36429</v>
      </c>
      <c r="C2273" s="1" t="s">
        <v>74</v>
      </c>
      <c r="D2273" s="1" t="s">
        <v>74</v>
      </c>
      <c r="E2273" s="1" t="s">
        <v>74</v>
      </c>
      <c r="F2273" s="1" t="s">
        <v>36430</v>
      </c>
      <c r="G2273" s="1" t="s">
        <v>74</v>
      </c>
      <c r="H2273" s="1" t="s">
        <v>74</v>
      </c>
      <c r="I2273" s="1" t="s">
        <v>36431</v>
      </c>
      <c r="J2273" s="1" t="s">
        <v>232</v>
      </c>
      <c r="K2273" s="1" t="s">
        <v>74</v>
      </c>
      <c r="L2273" s="1" t="s">
        <v>74</v>
      </c>
      <c r="M2273" s="1" t="s">
        <v>78</v>
      </c>
      <c r="N2273" s="1" t="s">
        <v>151</v>
      </c>
      <c r="O2273" s="1" t="s">
        <v>36432</v>
      </c>
      <c r="P2273" s="1" t="s">
        <v>36433</v>
      </c>
      <c r="Q2273" s="1" t="s">
        <v>36434</v>
      </c>
      <c r="R2273" s="1" t="s">
        <v>74</v>
      </c>
      <c r="S2273" s="1" t="s">
        <v>74</v>
      </c>
      <c r="T2273" s="1" t="s">
        <v>36435</v>
      </c>
      <c r="U2273" s="1" t="s">
        <v>36436</v>
      </c>
      <c r="V2273" s="1" t="s">
        <v>36437</v>
      </c>
      <c r="W2273" s="1" t="s">
        <v>36438</v>
      </c>
      <c r="X2273" s="1" t="s">
        <v>36439</v>
      </c>
      <c r="Y2273" s="1" t="s">
        <v>36440</v>
      </c>
      <c r="Z2273" s="1" t="s">
        <v>36441</v>
      </c>
      <c r="AA2273" s="1" t="s">
        <v>36442</v>
      </c>
      <c r="AB2273" s="1" t="s">
        <v>36443</v>
      </c>
      <c r="AC2273" s="1" t="s">
        <v>36444</v>
      </c>
      <c r="AD2273" s="1" t="s">
        <v>36445</v>
      </c>
      <c r="AE2273" s="1" t="s">
        <v>36446</v>
      </c>
      <c r="AF2273" s="1" t="s">
        <v>74</v>
      </c>
      <c r="AG2273" s="1">
        <v>41</v>
      </c>
      <c r="AH2273" s="1">
        <v>12</v>
      </c>
      <c r="AI2273" s="1">
        <v>14</v>
      </c>
      <c r="AJ2273" s="1">
        <v>1</v>
      </c>
      <c r="AK2273" s="1">
        <v>25</v>
      </c>
      <c r="AL2273" s="1" t="s">
        <v>136</v>
      </c>
      <c r="AM2273" s="1" t="s">
        <v>137</v>
      </c>
      <c r="AN2273" s="1" t="s">
        <v>138</v>
      </c>
      <c r="AO2273" s="1" t="s">
        <v>240</v>
      </c>
      <c r="AP2273" s="1" t="s">
        <v>241</v>
      </c>
      <c r="AQ2273" s="1" t="s">
        <v>74</v>
      </c>
      <c r="AR2273" s="1" t="s">
        <v>242</v>
      </c>
      <c r="AS2273" s="1" t="s">
        <v>243</v>
      </c>
      <c r="AT2273" s="1" t="s">
        <v>33045</v>
      </c>
      <c r="AU2273" s="1">
        <v>2017</v>
      </c>
      <c r="AV2273" s="1">
        <v>124</v>
      </c>
      <c r="AW2273" s="1">
        <v>2</v>
      </c>
      <c r="AX2273" s="1" t="s">
        <v>74</v>
      </c>
      <c r="AY2273" s="1" t="s">
        <v>74</v>
      </c>
      <c r="AZ2273" s="1" t="s">
        <v>225</v>
      </c>
      <c r="BA2273" s="1" t="s">
        <v>74</v>
      </c>
      <c r="BB2273" s="1">
        <v>694</v>
      </c>
      <c r="BC2273" s="1">
        <v>700</v>
      </c>
      <c r="BD2273" s="1" t="s">
        <v>74</v>
      </c>
      <c r="BE2273" s="1" t="s">
        <v>36447</v>
      </c>
      <c r="BF2273" s="1" t="str">
        <f>HYPERLINK("http://dx.doi.org/10.1016/j.marpolbul.2017.04.026","http://dx.doi.org/10.1016/j.marpolbul.2017.04.026")</f>
        <v>http://dx.doi.org/10.1016/j.marpolbul.2017.04.026</v>
      </c>
      <c r="BG2273" s="1" t="s">
        <v>74</v>
      </c>
      <c r="BH2273" s="1" t="s">
        <v>74</v>
      </c>
      <c r="BI2273" s="1">
        <v>7</v>
      </c>
      <c r="BJ2273" s="1" t="s">
        <v>247</v>
      </c>
      <c r="BK2273" s="1" t="s">
        <v>172</v>
      </c>
      <c r="BL2273" s="1" t="s">
        <v>248</v>
      </c>
      <c r="BM2273" s="1" t="s">
        <v>36448</v>
      </c>
      <c r="BN2273" s="1">
        <v>28442202</v>
      </c>
      <c r="BO2273" s="1" t="s">
        <v>74</v>
      </c>
      <c r="BP2273" s="1" t="s">
        <v>74</v>
      </c>
      <c r="BQ2273" s="1" t="s">
        <v>74</v>
      </c>
      <c r="BR2273" s="1" t="s">
        <v>98</v>
      </c>
      <c r="BS2273" s="1" t="s">
        <v>36449</v>
      </c>
      <c r="BT2273" s="1" t="str">
        <f>HYPERLINK("https%3A%2F%2Fwww.webofscience.com%2Fwos%2Fwoscc%2Ffull-record%2FWOS:000417964500016","View Full Record in Web of Science")</f>
        <v>View Full Record in Web of Science</v>
      </c>
      <c r="BU2273" s="1"/>
      <c r="BV2273" s="1"/>
    </row>
    <row r="2274" spans="1:74">
      <c r="A2274" s="1" t="s">
        <v>72</v>
      </c>
      <c r="B2274" s="1" t="s">
        <v>12694</v>
      </c>
      <c r="C2274" s="1" t="s">
        <v>74</v>
      </c>
      <c r="D2274" s="1" t="s">
        <v>74</v>
      </c>
      <c r="E2274" s="1" t="s">
        <v>74</v>
      </c>
      <c r="F2274" s="1" t="s">
        <v>12695</v>
      </c>
      <c r="G2274" s="1" t="s">
        <v>74</v>
      </c>
      <c r="H2274" s="1" t="s">
        <v>74</v>
      </c>
      <c r="I2274" s="1" t="s">
        <v>36450</v>
      </c>
      <c r="J2274" s="1" t="s">
        <v>421</v>
      </c>
      <c r="K2274" s="1" t="s">
        <v>74</v>
      </c>
      <c r="L2274" s="1" t="s">
        <v>74</v>
      </c>
      <c r="M2274" s="1" t="s">
        <v>78</v>
      </c>
      <c r="N2274" s="1" t="s">
        <v>79</v>
      </c>
      <c r="O2274" s="1" t="s">
        <v>74</v>
      </c>
      <c r="P2274" s="1" t="s">
        <v>74</v>
      </c>
      <c r="Q2274" s="1" t="s">
        <v>74</v>
      </c>
      <c r="R2274" s="1" t="s">
        <v>74</v>
      </c>
      <c r="S2274" s="1" t="s">
        <v>74</v>
      </c>
      <c r="T2274" s="1" t="s">
        <v>36451</v>
      </c>
      <c r="U2274" s="1" t="s">
        <v>36452</v>
      </c>
      <c r="V2274" s="1" t="s">
        <v>36453</v>
      </c>
      <c r="W2274" s="1" t="s">
        <v>36454</v>
      </c>
      <c r="X2274" s="1" t="s">
        <v>12701</v>
      </c>
      <c r="Y2274" s="1" t="s">
        <v>36455</v>
      </c>
      <c r="Z2274" s="1" t="s">
        <v>8628</v>
      </c>
      <c r="AA2274" s="1" t="s">
        <v>8629</v>
      </c>
      <c r="AB2274" s="1" t="s">
        <v>74</v>
      </c>
      <c r="AC2274" s="1" t="s">
        <v>36456</v>
      </c>
      <c r="AD2274" s="1" t="s">
        <v>36457</v>
      </c>
      <c r="AE2274" s="1" t="s">
        <v>36458</v>
      </c>
      <c r="AF2274" s="1" t="s">
        <v>74</v>
      </c>
      <c r="AG2274" s="1">
        <v>88</v>
      </c>
      <c r="AH2274" s="1">
        <v>33</v>
      </c>
      <c r="AI2274" s="1">
        <v>36</v>
      </c>
      <c r="AJ2274" s="1">
        <v>19</v>
      </c>
      <c r="AK2274" s="1">
        <v>183</v>
      </c>
      <c r="AL2274" s="1" t="s">
        <v>430</v>
      </c>
      <c r="AM2274" s="1" t="s">
        <v>137</v>
      </c>
      <c r="AN2274" s="1" t="s">
        <v>431</v>
      </c>
      <c r="AO2274" s="1" t="s">
        <v>432</v>
      </c>
      <c r="AP2274" s="1" t="s">
        <v>1394</v>
      </c>
      <c r="AQ2274" s="1" t="s">
        <v>74</v>
      </c>
      <c r="AR2274" s="1" t="s">
        <v>433</v>
      </c>
      <c r="AS2274" s="1" t="s">
        <v>434</v>
      </c>
      <c r="AT2274" s="1" t="s">
        <v>3891</v>
      </c>
      <c r="AU2274" s="1">
        <v>2022</v>
      </c>
      <c r="AV2274" s="1">
        <v>293</v>
      </c>
      <c r="AW2274" s="1" t="s">
        <v>74</v>
      </c>
      <c r="AX2274" s="1" t="s">
        <v>74</v>
      </c>
      <c r="AY2274" s="1" t="s">
        <v>74</v>
      </c>
      <c r="AZ2274" s="1" t="s">
        <v>74</v>
      </c>
      <c r="BA2274" s="1" t="s">
        <v>74</v>
      </c>
      <c r="BB2274" s="1" t="s">
        <v>74</v>
      </c>
      <c r="BC2274" s="1" t="s">
        <v>74</v>
      </c>
      <c r="BD2274" s="1">
        <v>118502</v>
      </c>
      <c r="BE2274" s="1" t="s">
        <v>36459</v>
      </c>
      <c r="BF2274" s="1" t="str">
        <f>HYPERLINK("http://dx.doi.org/10.1016/j.envpol.2021.118502","http://dx.doi.org/10.1016/j.envpol.2021.118502")</f>
        <v>http://dx.doi.org/10.1016/j.envpol.2021.118502</v>
      </c>
      <c r="BG2274" s="1" t="s">
        <v>74</v>
      </c>
      <c r="BH2274" s="1" t="s">
        <v>10880</v>
      </c>
      <c r="BI2274" s="1">
        <v>10</v>
      </c>
      <c r="BJ2274" s="1" t="s">
        <v>144</v>
      </c>
      <c r="BK2274" s="1" t="s">
        <v>96</v>
      </c>
      <c r="BL2274" s="1" t="s">
        <v>145</v>
      </c>
      <c r="BM2274" s="1" t="s">
        <v>36460</v>
      </c>
      <c r="BN2274" s="1">
        <v>34785287</v>
      </c>
      <c r="BO2274" s="1" t="s">
        <v>74</v>
      </c>
      <c r="BP2274" s="1" t="s">
        <v>74</v>
      </c>
      <c r="BQ2274" s="1" t="s">
        <v>74</v>
      </c>
      <c r="BR2274" s="1" t="s">
        <v>98</v>
      </c>
      <c r="BS2274" s="1" t="s">
        <v>36461</v>
      </c>
      <c r="BT2274" s="1" t="str">
        <f>HYPERLINK("https%3A%2F%2Fwww.webofscience.com%2Fwos%2Fwoscc%2Ffull-record%2FWOS:000744239600003","View Full Record in Web of Science")</f>
        <v>View Full Record in Web of Science</v>
      </c>
      <c r="BU2274" s="1"/>
      <c r="BV2274" s="1"/>
    </row>
    <row r="2275" spans="1:74">
      <c r="A2275" s="1" t="s">
        <v>72</v>
      </c>
      <c r="B2275" s="1" t="s">
        <v>36462</v>
      </c>
      <c r="C2275" s="1" t="s">
        <v>74</v>
      </c>
      <c r="D2275" s="1" t="s">
        <v>74</v>
      </c>
      <c r="E2275" s="1" t="s">
        <v>74</v>
      </c>
      <c r="F2275" s="1" t="s">
        <v>36463</v>
      </c>
      <c r="G2275" s="1" t="s">
        <v>74</v>
      </c>
      <c r="H2275" s="1" t="s">
        <v>74</v>
      </c>
      <c r="I2275" s="1" t="s">
        <v>36464</v>
      </c>
      <c r="J2275" s="1" t="s">
        <v>127</v>
      </c>
      <c r="K2275" s="1" t="s">
        <v>74</v>
      </c>
      <c r="L2275" s="1" t="s">
        <v>74</v>
      </c>
      <c r="M2275" s="1" t="s">
        <v>78</v>
      </c>
      <c r="N2275" s="1" t="s">
        <v>79</v>
      </c>
      <c r="O2275" s="1" t="s">
        <v>74</v>
      </c>
      <c r="P2275" s="1" t="s">
        <v>74</v>
      </c>
      <c r="Q2275" s="1" t="s">
        <v>74</v>
      </c>
      <c r="R2275" s="1" t="s">
        <v>74</v>
      </c>
      <c r="S2275" s="1" t="s">
        <v>74</v>
      </c>
      <c r="T2275" s="1" t="s">
        <v>36465</v>
      </c>
      <c r="U2275" s="1" t="s">
        <v>36466</v>
      </c>
      <c r="V2275" s="1" t="s">
        <v>36467</v>
      </c>
      <c r="W2275" s="1" t="s">
        <v>36468</v>
      </c>
      <c r="X2275" s="1" t="s">
        <v>36469</v>
      </c>
      <c r="Y2275" s="1" t="s">
        <v>36470</v>
      </c>
      <c r="Z2275" s="1" t="s">
        <v>36471</v>
      </c>
      <c r="AA2275" s="1" t="s">
        <v>36472</v>
      </c>
      <c r="AB2275" s="1" t="s">
        <v>36473</v>
      </c>
      <c r="AC2275" s="1" t="s">
        <v>36474</v>
      </c>
      <c r="AD2275" s="1" t="s">
        <v>36475</v>
      </c>
      <c r="AE2275" s="1" t="s">
        <v>36476</v>
      </c>
      <c r="AF2275" s="1" t="s">
        <v>74</v>
      </c>
      <c r="AG2275" s="1">
        <v>55</v>
      </c>
      <c r="AH2275" s="1">
        <v>20</v>
      </c>
      <c r="AI2275" s="1">
        <v>21</v>
      </c>
      <c r="AJ2275" s="1">
        <v>2</v>
      </c>
      <c r="AK2275" s="1">
        <v>42</v>
      </c>
      <c r="AL2275" s="1" t="s">
        <v>136</v>
      </c>
      <c r="AM2275" s="1" t="s">
        <v>137</v>
      </c>
      <c r="AN2275" s="1" t="s">
        <v>138</v>
      </c>
      <c r="AO2275" s="1" t="s">
        <v>139</v>
      </c>
      <c r="AP2275" s="1" t="s">
        <v>140</v>
      </c>
      <c r="AQ2275" s="1" t="s">
        <v>74</v>
      </c>
      <c r="AR2275" s="1" t="s">
        <v>127</v>
      </c>
      <c r="AS2275" s="1" t="s">
        <v>141</v>
      </c>
      <c r="AT2275" s="1" t="s">
        <v>1223</v>
      </c>
      <c r="AU2275" s="1">
        <v>2017</v>
      </c>
      <c r="AV2275" s="1">
        <v>171</v>
      </c>
      <c r="AW2275" s="1" t="s">
        <v>74</v>
      </c>
      <c r="AX2275" s="1" t="s">
        <v>74</v>
      </c>
      <c r="AY2275" s="1" t="s">
        <v>74</v>
      </c>
      <c r="AZ2275" s="1" t="s">
        <v>74</v>
      </c>
      <c r="BA2275" s="1" t="s">
        <v>74</v>
      </c>
      <c r="BB2275" s="1">
        <v>681</v>
      </c>
      <c r="BC2275" s="1">
        <v>691</v>
      </c>
      <c r="BD2275" s="1" t="s">
        <v>74</v>
      </c>
      <c r="BE2275" s="1" t="s">
        <v>36477</v>
      </c>
      <c r="BF2275" s="1" t="str">
        <f>HYPERLINK("http://dx.doi.org/10.1016/j.chemosphere.2016.12.112","http://dx.doi.org/10.1016/j.chemosphere.2016.12.112")</f>
        <v>http://dx.doi.org/10.1016/j.chemosphere.2016.12.112</v>
      </c>
      <c r="BG2275" s="1" t="s">
        <v>74</v>
      </c>
      <c r="BH2275" s="1" t="s">
        <v>74</v>
      </c>
      <c r="BI2275" s="1">
        <v>11</v>
      </c>
      <c r="BJ2275" s="1" t="s">
        <v>144</v>
      </c>
      <c r="BK2275" s="1" t="s">
        <v>96</v>
      </c>
      <c r="BL2275" s="1" t="s">
        <v>145</v>
      </c>
      <c r="BM2275" s="1" t="s">
        <v>36478</v>
      </c>
      <c r="BN2275" s="1">
        <v>28061426</v>
      </c>
      <c r="BO2275" s="1" t="s">
        <v>74</v>
      </c>
      <c r="BP2275" s="1" t="s">
        <v>74</v>
      </c>
      <c r="BQ2275" s="1" t="s">
        <v>74</v>
      </c>
      <c r="BR2275" s="1" t="s">
        <v>98</v>
      </c>
      <c r="BS2275" s="1" t="s">
        <v>36479</v>
      </c>
      <c r="BT2275" s="1" t="str">
        <f>HYPERLINK("https%3A%2F%2Fwww.webofscience.com%2Fwos%2Fwoscc%2Ffull-record%2FWOS:000393931100079","View Full Record in Web of Science")</f>
        <v>View Full Record in Web of Science</v>
      </c>
      <c r="BU2275" s="1"/>
      <c r="BV2275" s="1"/>
    </row>
    <row r="2276" spans="1:74">
      <c r="A2276" s="1" t="s">
        <v>72</v>
      </c>
      <c r="B2276" s="1" t="s">
        <v>36480</v>
      </c>
      <c r="C2276" s="1" t="s">
        <v>74</v>
      </c>
      <c r="D2276" s="1" t="s">
        <v>74</v>
      </c>
      <c r="E2276" s="1" t="s">
        <v>74</v>
      </c>
      <c r="F2276" s="1" t="s">
        <v>36481</v>
      </c>
      <c r="G2276" s="1" t="s">
        <v>74</v>
      </c>
      <c r="H2276" s="1" t="s">
        <v>74</v>
      </c>
      <c r="I2276" s="1" t="s">
        <v>36482</v>
      </c>
      <c r="J2276" s="1" t="s">
        <v>25515</v>
      </c>
      <c r="K2276" s="1" t="s">
        <v>74</v>
      </c>
      <c r="L2276" s="1" t="s">
        <v>74</v>
      </c>
      <c r="M2276" s="1" t="s">
        <v>78</v>
      </c>
      <c r="N2276" s="1" t="s">
        <v>79</v>
      </c>
      <c r="O2276" s="1" t="s">
        <v>74</v>
      </c>
      <c r="P2276" s="1" t="s">
        <v>74</v>
      </c>
      <c r="Q2276" s="1" t="s">
        <v>74</v>
      </c>
      <c r="R2276" s="1" t="s">
        <v>74</v>
      </c>
      <c r="S2276" s="1" t="s">
        <v>74</v>
      </c>
      <c r="T2276" s="1" t="s">
        <v>36483</v>
      </c>
      <c r="U2276" s="1" t="s">
        <v>36484</v>
      </c>
      <c r="V2276" s="1" t="s">
        <v>36485</v>
      </c>
      <c r="W2276" s="1" t="s">
        <v>36486</v>
      </c>
      <c r="X2276" s="1" t="s">
        <v>36487</v>
      </c>
      <c r="Y2276" s="1" t="s">
        <v>36488</v>
      </c>
      <c r="Z2276" s="1" t="s">
        <v>36489</v>
      </c>
      <c r="AA2276" s="1" t="s">
        <v>36490</v>
      </c>
      <c r="AB2276" s="1" t="s">
        <v>74</v>
      </c>
      <c r="AC2276" s="1" t="s">
        <v>36491</v>
      </c>
      <c r="AD2276" s="1" t="s">
        <v>36492</v>
      </c>
      <c r="AE2276" s="1" t="s">
        <v>36493</v>
      </c>
      <c r="AF2276" s="1" t="s">
        <v>74</v>
      </c>
      <c r="AG2276" s="1">
        <v>67</v>
      </c>
      <c r="AH2276" s="1">
        <v>1</v>
      </c>
      <c r="AI2276" s="1">
        <v>1</v>
      </c>
      <c r="AJ2276" s="1">
        <v>0</v>
      </c>
      <c r="AK2276" s="1">
        <v>0</v>
      </c>
      <c r="AL2276" s="1" t="s">
        <v>4471</v>
      </c>
      <c r="AM2276" s="1" t="s">
        <v>4472</v>
      </c>
      <c r="AN2276" s="1" t="s">
        <v>4473</v>
      </c>
      <c r="AO2276" s="1" t="s">
        <v>25528</v>
      </c>
      <c r="AP2276" s="1" t="s">
        <v>74</v>
      </c>
      <c r="AQ2276" s="1" t="s">
        <v>74</v>
      </c>
      <c r="AR2276" s="1" t="s">
        <v>25529</v>
      </c>
      <c r="AS2276" s="1" t="s">
        <v>25530</v>
      </c>
      <c r="AT2276" s="1" t="s">
        <v>36494</v>
      </c>
      <c r="AU2276" s="1">
        <v>2024</v>
      </c>
      <c r="AV2276" s="1">
        <v>6</v>
      </c>
      <c r="AW2276" s="1">
        <v>9</v>
      </c>
      <c r="AX2276" s="1" t="s">
        <v>74</v>
      </c>
      <c r="AY2276" s="1" t="s">
        <v>74</v>
      </c>
      <c r="AZ2276" s="1" t="s">
        <v>74</v>
      </c>
      <c r="BA2276" s="1" t="s">
        <v>74</v>
      </c>
      <c r="BB2276" s="1">
        <v>5530</v>
      </c>
      <c r="BC2276" s="1">
        <v>5543</v>
      </c>
      <c r="BD2276" s="1" t="s">
        <v>74</v>
      </c>
      <c r="BE2276" s="1" t="s">
        <v>36495</v>
      </c>
      <c r="BF2276" s="1" t="str">
        <f>HYPERLINK("http://dx.doi.org/10.1021/acsapm.4c00789","http://dx.doi.org/10.1021/acsapm.4c00789")</f>
        <v>http://dx.doi.org/10.1021/acsapm.4c00789</v>
      </c>
      <c r="BG2276" s="1" t="s">
        <v>74</v>
      </c>
      <c r="BH2276" s="1" t="s">
        <v>74</v>
      </c>
      <c r="BI2276" s="1">
        <v>14</v>
      </c>
      <c r="BJ2276" s="1" t="s">
        <v>25533</v>
      </c>
      <c r="BK2276" s="1" t="s">
        <v>96</v>
      </c>
      <c r="BL2276" s="1" t="s">
        <v>25534</v>
      </c>
      <c r="BM2276" s="1" t="s">
        <v>36496</v>
      </c>
      <c r="BN2276" s="1" t="s">
        <v>74</v>
      </c>
      <c r="BO2276" s="1" t="s">
        <v>74</v>
      </c>
      <c r="BP2276" s="1" t="s">
        <v>74</v>
      </c>
      <c r="BQ2276" s="1" t="s">
        <v>74</v>
      </c>
      <c r="BR2276" s="1" t="s">
        <v>98</v>
      </c>
      <c r="BS2276" s="1" t="s">
        <v>36497</v>
      </c>
      <c r="BT2276" s="1" t="str">
        <f>HYPERLINK("https%3A%2F%2Fwww.webofscience.com%2Fwos%2Fwoscc%2Ffull-record%2FWOS:001227932600001","View Full Record in Web of Science")</f>
        <v>View Full Record in Web of Science</v>
      </c>
      <c r="BU2276" s="1"/>
      <c r="BV2276" s="1"/>
    </row>
    <row r="2277" spans="1:74">
      <c r="A2277" s="1" t="s">
        <v>72</v>
      </c>
      <c r="B2277" s="1" t="s">
        <v>36498</v>
      </c>
      <c r="C2277" s="1" t="s">
        <v>74</v>
      </c>
      <c r="D2277" s="1" t="s">
        <v>74</v>
      </c>
      <c r="E2277" s="1" t="s">
        <v>74</v>
      </c>
      <c r="F2277" s="1" t="s">
        <v>36499</v>
      </c>
      <c r="G2277" s="1" t="s">
        <v>74</v>
      </c>
      <c r="H2277" s="1" t="s">
        <v>74</v>
      </c>
      <c r="I2277" s="1" t="s">
        <v>36500</v>
      </c>
      <c r="J2277" s="1" t="s">
        <v>232</v>
      </c>
      <c r="K2277" s="1" t="s">
        <v>74</v>
      </c>
      <c r="L2277" s="1" t="s">
        <v>74</v>
      </c>
      <c r="M2277" s="1" t="s">
        <v>78</v>
      </c>
      <c r="N2277" s="1" t="s">
        <v>79</v>
      </c>
      <c r="O2277" s="1" t="s">
        <v>74</v>
      </c>
      <c r="P2277" s="1" t="s">
        <v>74</v>
      </c>
      <c r="Q2277" s="1" t="s">
        <v>74</v>
      </c>
      <c r="R2277" s="1" t="s">
        <v>74</v>
      </c>
      <c r="S2277" s="1" t="s">
        <v>74</v>
      </c>
      <c r="T2277" s="1" t="s">
        <v>36501</v>
      </c>
      <c r="U2277" s="1" t="s">
        <v>36502</v>
      </c>
      <c r="V2277" s="1" t="s">
        <v>36503</v>
      </c>
      <c r="W2277" s="1" t="s">
        <v>36504</v>
      </c>
      <c r="X2277" s="1" t="s">
        <v>36088</v>
      </c>
      <c r="Y2277" s="1" t="s">
        <v>36505</v>
      </c>
      <c r="Z2277" s="1" t="s">
        <v>36090</v>
      </c>
      <c r="AA2277" s="1" t="s">
        <v>74</v>
      </c>
      <c r="AB2277" s="1" t="s">
        <v>74</v>
      </c>
      <c r="AC2277" s="1" t="s">
        <v>74</v>
      </c>
      <c r="AD2277" s="1" t="s">
        <v>74</v>
      </c>
      <c r="AE2277" s="1" t="s">
        <v>74</v>
      </c>
      <c r="AF2277" s="1" t="s">
        <v>74</v>
      </c>
      <c r="AG2277" s="1">
        <v>92</v>
      </c>
      <c r="AH2277" s="1">
        <v>0</v>
      </c>
      <c r="AI2277" s="1">
        <v>0</v>
      </c>
      <c r="AJ2277" s="1">
        <v>1</v>
      </c>
      <c r="AK2277" s="1">
        <v>1</v>
      </c>
      <c r="AL2277" s="1" t="s">
        <v>136</v>
      </c>
      <c r="AM2277" s="1" t="s">
        <v>137</v>
      </c>
      <c r="AN2277" s="1" t="s">
        <v>138</v>
      </c>
      <c r="AO2277" s="1" t="s">
        <v>240</v>
      </c>
      <c r="AP2277" s="1" t="s">
        <v>241</v>
      </c>
      <c r="AQ2277" s="1" t="s">
        <v>74</v>
      </c>
      <c r="AR2277" s="1" t="s">
        <v>242</v>
      </c>
      <c r="AS2277" s="1" t="s">
        <v>243</v>
      </c>
      <c r="AT2277" s="1" t="s">
        <v>305</v>
      </c>
      <c r="AU2277" s="1">
        <v>2023</v>
      </c>
      <c r="AV2277" s="1">
        <v>194</v>
      </c>
      <c r="AW2277" s="1" t="s">
        <v>74</v>
      </c>
      <c r="AX2277" s="1" t="s">
        <v>13570</v>
      </c>
      <c r="AY2277" s="1" t="s">
        <v>74</v>
      </c>
      <c r="AZ2277" s="1" t="s">
        <v>74</v>
      </c>
      <c r="BA2277" s="1" t="s">
        <v>74</v>
      </c>
      <c r="BB2277" s="1" t="s">
        <v>74</v>
      </c>
      <c r="BC2277" s="1" t="s">
        <v>74</v>
      </c>
      <c r="BD2277" s="1">
        <v>115455</v>
      </c>
      <c r="BE2277" s="1" t="s">
        <v>36506</v>
      </c>
      <c r="BF2277" s="1" t="str">
        <f>HYPERLINK("http://dx.doi.org/10.1016/j.marpolbul.2023.115455","http://dx.doi.org/10.1016/j.marpolbul.2023.115455")</f>
        <v>http://dx.doi.org/10.1016/j.marpolbul.2023.115455</v>
      </c>
      <c r="BG2277" s="1" t="s">
        <v>74</v>
      </c>
      <c r="BH2277" s="1" t="s">
        <v>6411</v>
      </c>
      <c r="BI2277" s="1">
        <v>14</v>
      </c>
      <c r="BJ2277" s="1" t="s">
        <v>247</v>
      </c>
      <c r="BK2277" s="1" t="s">
        <v>96</v>
      </c>
      <c r="BL2277" s="1" t="s">
        <v>248</v>
      </c>
      <c r="BM2277" s="1" t="s">
        <v>36507</v>
      </c>
      <c r="BN2277" s="1">
        <v>37651887</v>
      </c>
      <c r="BO2277" s="1" t="s">
        <v>74</v>
      </c>
      <c r="BP2277" s="1" t="s">
        <v>74</v>
      </c>
      <c r="BQ2277" s="1" t="s">
        <v>74</v>
      </c>
      <c r="BR2277" s="1" t="s">
        <v>98</v>
      </c>
      <c r="BS2277" s="1" t="s">
        <v>36508</v>
      </c>
      <c r="BT2277" s="1" t="str">
        <f>HYPERLINK("https%3A%2F%2Fwww.webofscience.com%2Fwos%2Fwoscc%2Ffull-record%2FWOS:001156224000001","View Full Record in Web of Science")</f>
        <v>View Full Record in Web of Science</v>
      </c>
      <c r="BU2277" s="1"/>
      <c r="BV2277" s="1"/>
    </row>
    <row r="2278" spans="1:74">
      <c r="A2278" s="1" t="s">
        <v>72</v>
      </c>
      <c r="B2278" s="1" t="s">
        <v>36509</v>
      </c>
      <c r="C2278" s="1" t="s">
        <v>74</v>
      </c>
      <c r="D2278" s="1" t="s">
        <v>74</v>
      </c>
      <c r="E2278" s="1" t="s">
        <v>74</v>
      </c>
      <c r="F2278" s="1" t="s">
        <v>36509</v>
      </c>
      <c r="G2278" s="1" t="s">
        <v>74</v>
      </c>
      <c r="H2278" s="1" t="s">
        <v>74</v>
      </c>
      <c r="I2278" s="1" t="s">
        <v>36510</v>
      </c>
      <c r="J2278" s="1" t="s">
        <v>909</v>
      </c>
      <c r="K2278" s="1" t="s">
        <v>74</v>
      </c>
      <c r="L2278" s="1" t="s">
        <v>74</v>
      </c>
      <c r="M2278" s="1" t="s">
        <v>78</v>
      </c>
      <c r="N2278" s="1" t="s">
        <v>151</v>
      </c>
      <c r="O2278" s="1" t="s">
        <v>23373</v>
      </c>
      <c r="P2278" s="1" t="s">
        <v>23374</v>
      </c>
      <c r="Q2278" s="1" t="s">
        <v>23375</v>
      </c>
      <c r="R2278" s="1" t="s">
        <v>74</v>
      </c>
      <c r="S2278" s="1" t="s">
        <v>74</v>
      </c>
      <c r="T2278" s="1" t="s">
        <v>36511</v>
      </c>
      <c r="U2278" s="1" t="s">
        <v>36512</v>
      </c>
      <c r="V2278" s="1" t="s">
        <v>36513</v>
      </c>
      <c r="W2278" s="1" t="s">
        <v>74</v>
      </c>
      <c r="X2278" s="1" t="s">
        <v>74</v>
      </c>
      <c r="Y2278" s="1" t="s">
        <v>36514</v>
      </c>
      <c r="Z2278" s="1" t="s">
        <v>74</v>
      </c>
      <c r="AA2278" s="1" t="s">
        <v>2443</v>
      </c>
      <c r="AB2278" s="1" t="s">
        <v>8841</v>
      </c>
      <c r="AC2278" s="1" t="s">
        <v>74</v>
      </c>
      <c r="AD2278" s="1" t="s">
        <v>74</v>
      </c>
      <c r="AE2278" s="1" t="s">
        <v>74</v>
      </c>
      <c r="AF2278" s="1" t="s">
        <v>74</v>
      </c>
      <c r="AG2278" s="1">
        <v>32</v>
      </c>
      <c r="AH2278" s="1">
        <v>60</v>
      </c>
      <c r="AI2278" s="1">
        <v>74</v>
      </c>
      <c r="AJ2278" s="1">
        <v>0</v>
      </c>
      <c r="AK2278" s="1">
        <v>24</v>
      </c>
      <c r="AL2278" s="1" t="s">
        <v>919</v>
      </c>
      <c r="AM2278" s="1" t="s">
        <v>651</v>
      </c>
      <c r="AN2278" s="1" t="s">
        <v>920</v>
      </c>
      <c r="AO2278" s="1" t="s">
        <v>921</v>
      </c>
      <c r="AP2278" s="1" t="s">
        <v>74</v>
      </c>
      <c r="AQ2278" s="1" t="s">
        <v>74</v>
      </c>
      <c r="AR2278" s="1" t="s">
        <v>923</v>
      </c>
      <c r="AS2278" s="1" t="s">
        <v>924</v>
      </c>
      <c r="AT2278" s="1" t="s">
        <v>23382</v>
      </c>
      <c r="AU2278" s="1">
        <v>1995</v>
      </c>
      <c r="AV2278" s="1">
        <v>171</v>
      </c>
      <c r="AW2278" s="1" t="s">
        <v>2847</v>
      </c>
      <c r="AX2278" s="1" t="s">
        <v>74</v>
      </c>
      <c r="AY2278" s="1" t="s">
        <v>74</v>
      </c>
      <c r="AZ2278" s="1" t="s">
        <v>74</v>
      </c>
      <c r="BA2278" s="1" t="s">
        <v>74</v>
      </c>
      <c r="BB2278" s="1">
        <v>107</v>
      </c>
      <c r="BC2278" s="1">
        <v>115</v>
      </c>
      <c r="BD2278" s="1" t="s">
        <v>74</v>
      </c>
      <c r="BE2278" s="1" t="s">
        <v>36515</v>
      </c>
      <c r="BF2278" s="1" t="str">
        <f>HYPERLINK("http://dx.doi.org/10.1016/0048-9697(95)04672-9","http://dx.doi.org/10.1016/0048-9697(95)04672-9")</f>
        <v>http://dx.doi.org/10.1016/0048-9697(95)04672-9</v>
      </c>
      <c r="BG2278" s="1" t="s">
        <v>74</v>
      </c>
      <c r="BH2278" s="1" t="s">
        <v>74</v>
      </c>
      <c r="BI2278" s="1">
        <v>9</v>
      </c>
      <c r="BJ2278" s="1" t="s">
        <v>144</v>
      </c>
      <c r="BK2278" s="1" t="s">
        <v>588</v>
      </c>
      <c r="BL2278" s="1" t="s">
        <v>145</v>
      </c>
      <c r="BM2278" s="1" t="s">
        <v>23385</v>
      </c>
      <c r="BN2278" s="1" t="s">
        <v>74</v>
      </c>
      <c r="BO2278" s="1" t="s">
        <v>74</v>
      </c>
      <c r="BP2278" s="1" t="s">
        <v>74</v>
      </c>
      <c r="BQ2278" s="1" t="s">
        <v>74</v>
      </c>
      <c r="BR2278" s="1" t="s">
        <v>98</v>
      </c>
      <c r="BS2278" s="1" t="s">
        <v>36516</v>
      </c>
      <c r="BT2278" s="1" t="str">
        <f>HYPERLINK("https%3A%2F%2Fwww.webofscience.com%2Fwos%2Fwoscc%2Ffull-record%2FWOS:A1995TB23600014","View Full Record in Web of Science")</f>
        <v>View Full Record in Web of Science</v>
      </c>
      <c r="BU2278" s="1"/>
      <c r="BV2278" s="1"/>
    </row>
    <row r="2279" spans="1:74">
      <c r="A2279" s="1" t="s">
        <v>72</v>
      </c>
      <c r="B2279" s="1" t="s">
        <v>36517</v>
      </c>
      <c r="C2279" s="1" t="s">
        <v>74</v>
      </c>
      <c r="D2279" s="1" t="s">
        <v>74</v>
      </c>
      <c r="E2279" s="1" t="s">
        <v>74</v>
      </c>
      <c r="F2279" s="1" t="s">
        <v>36518</v>
      </c>
      <c r="G2279" s="1" t="s">
        <v>74</v>
      </c>
      <c r="H2279" s="1" t="s">
        <v>74</v>
      </c>
      <c r="I2279" s="1" t="s">
        <v>36519</v>
      </c>
      <c r="J2279" s="1" t="s">
        <v>4747</v>
      </c>
      <c r="K2279" s="1" t="s">
        <v>74</v>
      </c>
      <c r="L2279" s="1" t="s">
        <v>74</v>
      </c>
      <c r="M2279" s="1" t="s">
        <v>78</v>
      </c>
      <c r="N2279" s="1" t="s">
        <v>79</v>
      </c>
      <c r="O2279" s="1" t="s">
        <v>74</v>
      </c>
      <c r="P2279" s="1" t="s">
        <v>74</v>
      </c>
      <c r="Q2279" s="1" t="s">
        <v>74</v>
      </c>
      <c r="R2279" s="1" t="s">
        <v>74</v>
      </c>
      <c r="S2279" s="1" t="s">
        <v>74</v>
      </c>
      <c r="T2279" s="1" t="s">
        <v>74</v>
      </c>
      <c r="U2279" s="1" t="s">
        <v>36520</v>
      </c>
      <c r="V2279" s="1" t="s">
        <v>36521</v>
      </c>
      <c r="W2279" s="1" t="s">
        <v>36522</v>
      </c>
      <c r="X2279" s="1" t="s">
        <v>11094</v>
      </c>
      <c r="Y2279" s="1" t="s">
        <v>36523</v>
      </c>
      <c r="Z2279" s="1" t="s">
        <v>36524</v>
      </c>
      <c r="AA2279" s="1" t="s">
        <v>36525</v>
      </c>
      <c r="AB2279" s="1" t="s">
        <v>36526</v>
      </c>
      <c r="AC2279" s="1" t="s">
        <v>36527</v>
      </c>
      <c r="AD2279" s="1" t="s">
        <v>36528</v>
      </c>
      <c r="AE2279" s="1" t="s">
        <v>36529</v>
      </c>
      <c r="AF2279" s="1" t="s">
        <v>74</v>
      </c>
      <c r="AG2279" s="1">
        <v>46</v>
      </c>
      <c r="AH2279" s="1">
        <v>21</v>
      </c>
      <c r="AI2279" s="1">
        <v>21</v>
      </c>
      <c r="AJ2279" s="1">
        <v>0</v>
      </c>
      <c r="AK2279" s="1">
        <v>24</v>
      </c>
      <c r="AL2279" s="1" t="s">
        <v>650</v>
      </c>
      <c r="AM2279" s="1" t="s">
        <v>651</v>
      </c>
      <c r="AN2279" s="1" t="s">
        <v>652</v>
      </c>
      <c r="AO2279" s="1" t="s">
        <v>4758</v>
      </c>
      <c r="AP2279" s="1" t="s">
        <v>11139</v>
      </c>
      <c r="AQ2279" s="1" t="s">
        <v>74</v>
      </c>
      <c r="AR2279" s="1" t="s">
        <v>4759</v>
      </c>
      <c r="AS2279" s="1" t="s">
        <v>4760</v>
      </c>
      <c r="AT2279" s="1" t="s">
        <v>1856</v>
      </c>
      <c r="AU2279" s="1">
        <v>2021</v>
      </c>
      <c r="AV2279" s="1">
        <v>416</v>
      </c>
      <c r="AW2279" s="1" t="s">
        <v>74</v>
      </c>
      <c r="AX2279" s="1" t="s">
        <v>74</v>
      </c>
      <c r="AY2279" s="1" t="s">
        <v>74</v>
      </c>
      <c r="AZ2279" s="1" t="s">
        <v>74</v>
      </c>
      <c r="BA2279" s="1" t="s">
        <v>74</v>
      </c>
      <c r="BB2279" s="1" t="s">
        <v>74</v>
      </c>
      <c r="BC2279" s="1" t="s">
        <v>74</v>
      </c>
      <c r="BD2279" s="1">
        <v>125816</v>
      </c>
      <c r="BE2279" s="1" t="s">
        <v>36530</v>
      </c>
      <c r="BF2279" s="1" t="str">
        <f>HYPERLINK("http://dx.doi.org/10.1016/j.jhazmat.2021.125816","http://dx.doi.org/10.1016/j.jhazmat.2021.125816")</f>
        <v>http://dx.doi.org/10.1016/j.jhazmat.2021.125816</v>
      </c>
      <c r="BG2279" s="1" t="s">
        <v>74</v>
      </c>
      <c r="BH2279" s="1" t="s">
        <v>14421</v>
      </c>
      <c r="BI2279" s="1">
        <v>10</v>
      </c>
      <c r="BJ2279" s="1" t="s">
        <v>415</v>
      </c>
      <c r="BK2279" s="1" t="s">
        <v>96</v>
      </c>
      <c r="BL2279" s="1" t="s">
        <v>416</v>
      </c>
      <c r="BM2279" s="1" t="s">
        <v>36531</v>
      </c>
      <c r="BN2279" s="1">
        <v>34492782</v>
      </c>
      <c r="BO2279" s="1" t="s">
        <v>1752</v>
      </c>
      <c r="BP2279" s="1" t="s">
        <v>74</v>
      </c>
      <c r="BQ2279" s="1" t="s">
        <v>74</v>
      </c>
      <c r="BR2279" s="1" t="s">
        <v>98</v>
      </c>
      <c r="BS2279" s="1" t="s">
        <v>36532</v>
      </c>
      <c r="BT2279" s="1" t="str">
        <f>HYPERLINK("https%3A%2F%2Fwww.webofscience.com%2Fwos%2Fwoscc%2Ffull-record%2FWOS:000664760300003","View Full Record in Web of Science")</f>
        <v>View Full Record in Web of Science</v>
      </c>
      <c r="BU2279" s="1"/>
      <c r="BV2279" s="1"/>
    </row>
    <row r="2280" spans="1:74">
      <c r="A2280" s="1" t="s">
        <v>72</v>
      </c>
      <c r="B2280" s="1" t="s">
        <v>36533</v>
      </c>
      <c r="C2280" s="1" t="s">
        <v>74</v>
      </c>
      <c r="D2280" s="1" t="s">
        <v>74</v>
      </c>
      <c r="E2280" s="1" t="s">
        <v>74</v>
      </c>
      <c r="F2280" s="1" t="s">
        <v>36533</v>
      </c>
      <c r="G2280" s="1" t="s">
        <v>74</v>
      </c>
      <c r="H2280" s="1" t="s">
        <v>74</v>
      </c>
      <c r="I2280" s="1" t="s">
        <v>36534</v>
      </c>
      <c r="J2280" s="1" t="s">
        <v>2894</v>
      </c>
      <c r="K2280" s="1" t="s">
        <v>74</v>
      </c>
      <c r="L2280" s="1" t="s">
        <v>74</v>
      </c>
      <c r="M2280" s="1" t="s">
        <v>78</v>
      </c>
      <c r="N2280" s="1" t="s">
        <v>79</v>
      </c>
      <c r="O2280" s="1" t="s">
        <v>74</v>
      </c>
      <c r="P2280" s="1" t="s">
        <v>74</v>
      </c>
      <c r="Q2280" s="1" t="s">
        <v>74</v>
      </c>
      <c r="R2280" s="1" t="s">
        <v>74</v>
      </c>
      <c r="S2280" s="1" t="s">
        <v>74</v>
      </c>
      <c r="T2280" s="1" t="s">
        <v>36535</v>
      </c>
      <c r="U2280" s="1" t="s">
        <v>36536</v>
      </c>
      <c r="V2280" s="1" t="s">
        <v>36537</v>
      </c>
      <c r="W2280" s="1" t="s">
        <v>74</v>
      </c>
      <c r="X2280" s="1" t="s">
        <v>74</v>
      </c>
      <c r="Y2280" s="1" t="s">
        <v>36538</v>
      </c>
      <c r="Z2280" s="1" t="s">
        <v>74</v>
      </c>
      <c r="AA2280" s="1" t="s">
        <v>74</v>
      </c>
      <c r="AB2280" s="1" t="s">
        <v>74</v>
      </c>
      <c r="AC2280" s="1" t="s">
        <v>74</v>
      </c>
      <c r="AD2280" s="1" t="s">
        <v>74</v>
      </c>
      <c r="AE2280" s="1" t="s">
        <v>74</v>
      </c>
      <c r="AF2280" s="1" t="s">
        <v>74</v>
      </c>
      <c r="AG2280" s="1">
        <v>53</v>
      </c>
      <c r="AH2280" s="1">
        <v>76</v>
      </c>
      <c r="AI2280" s="1">
        <v>82</v>
      </c>
      <c r="AJ2280" s="1">
        <v>0</v>
      </c>
      <c r="AK2280" s="1">
        <v>5</v>
      </c>
      <c r="AL2280" s="1" t="s">
        <v>2904</v>
      </c>
      <c r="AM2280" s="1" t="s">
        <v>2905</v>
      </c>
      <c r="AN2280" s="1" t="s">
        <v>2906</v>
      </c>
      <c r="AO2280" s="1" t="s">
        <v>2907</v>
      </c>
      <c r="AP2280" s="1" t="s">
        <v>74</v>
      </c>
      <c r="AQ2280" s="1" t="s">
        <v>74</v>
      </c>
      <c r="AR2280" s="1" t="s">
        <v>2908</v>
      </c>
      <c r="AS2280" s="1" t="s">
        <v>2909</v>
      </c>
      <c r="AT2280" s="1" t="s">
        <v>119</v>
      </c>
      <c r="AU2280" s="1">
        <v>1995</v>
      </c>
      <c r="AV2280" s="1">
        <v>124</v>
      </c>
      <c r="AW2280" s="1" t="s">
        <v>2847</v>
      </c>
      <c r="AX2280" s="1" t="s">
        <v>74</v>
      </c>
      <c r="AY2280" s="1" t="s">
        <v>74</v>
      </c>
      <c r="AZ2280" s="1" t="s">
        <v>74</v>
      </c>
      <c r="BA2280" s="1" t="s">
        <v>74</v>
      </c>
      <c r="BB2280" s="1">
        <v>129</v>
      </c>
      <c r="BC2280" s="1">
        <v>142</v>
      </c>
      <c r="BD2280" s="1" t="s">
        <v>74</v>
      </c>
      <c r="BE2280" s="1" t="s">
        <v>36539</v>
      </c>
      <c r="BF2280" s="1" t="str">
        <f>HYPERLINK("http://dx.doi.org/10.3354/meps124129","http://dx.doi.org/10.3354/meps124129")</f>
        <v>http://dx.doi.org/10.3354/meps124129</v>
      </c>
      <c r="BG2280" s="1" t="s">
        <v>74</v>
      </c>
      <c r="BH2280" s="1" t="s">
        <v>74</v>
      </c>
      <c r="BI2280" s="1">
        <v>14</v>
      </c>
      <c r="BJ2280" s="1" t="s">
        <v>2911</v>
      </c>
      <c r="BK2280" s="1" t="s">
        <v>96</v>
      </c>
      <c r="BL2280" s="1" t="s">
        <v>2912</v>
      </c>
      <c r="BM2280" s="1" t="s">
        <v>32886</v>
      </c>
      <c r="BN2280" s="1" t="s">
        <v>74</v>
      </c>
      <c r="BO2280" s="1" t="s">
        <v>370</v>
      </c>
      <c r="BP2280" s="1" t="s">
        <v>74</v>
      </c>
      <c r="BQ2280" s="1" t="s">
        <v>74</v>
      </c>
      <c r="BR2280" s="1" t="s">
        <v>98</v>
      </c>
      <c r="BS2280" s="1" t="s">
        <v>36540</v>
      </c>
      <c r="BT2280" s="1" t="str">
        <f>HYPERLINK("https%3A%2F%2Fwww.webofscience.com%2Fwos%2Fwoscc%2Ffull-record%2FWOS:A1995RW86700011","View Full Record in Web of Science")</f>
        <v>View Full Record in Web of Science</v>
      </c>
      <c r="BU2280" s="1"/>
      <c r="BV2280" s="1"/>
    </row>
    <row r="2281" spans="1:74">
      <c r="A2281" s="1" t="s">
        <v>72</v>
      </c>
      <c r="B2281" s="1" t="s">
        <v>36541</v>
      </c>
      <c r="C2281" s="1" t="s">
        <v>74</v>
      </c>
      <c r="D2281" s="1" t="s">
        <v>74</v>
      </c>
      <c r="E2281" s="1" t="s">
        <v>74</v>
      </c>
      <c r="F2281" s="1" t="s">
        <v>36541</v>
      </c>
      <c r="G2281" s="1" t="s">
        <v>74</v>
      </c>
      <c r="H2281" s="1" t="s">
        <v>74</v>
      </c>
      <c r="I2281" s="1" t="s">
        <v>36542</v>
      </c>
      <c r="J2281" s="1" t="s">
        <v>704</v>
      </c>
      <c r="K2281" s="1" t="s">
        <v>74</v>
      </c>
      <c r="L2281" s="1" t="s">
        <v>74</v>
      </c>
      <c r="M2281" s="1" t="s">
        <v>78</v>
      </c>
      <c r="N2281" s="1" t="s">
        <v>79</v>
      </c>
      <c r="O2281" s="1" t="s">
        <v>74</v>
      </c>
      <c r="P2281" s="1" t="s">
        <v>74</v>
      </c>
      <c r="Q2281" s="1" t="s">
        <v>74</v>
      </c>
      <c r="R2281" s="1" t="s">
        <v>74</v>
      </c>
      <c r="S2281" s="1" t="s">
        <v>74</v>
      </c>
      <c r="T2281" s="1" t="s">
        <v>36543</v>
      </c>
      <c r="U2281" s="1" t="s">
        <v>36544</v>
      </c>
      <c r="V2281" s="1" t="s">
        <v>36545</v>
      </c>
      <c r="W2281" s="1" t="s">
        <v>36546</v>
      </c>
      <c r="X2281" s="1" t="s">
        <v>36547</v>
      </c>
      <c r="Y2281" s="1" t="s">
        <v>36548</v>
      </c>
      <c r="Z2281" s="1" t="s">
        <v>74</v>
      </c>
      <c r="AA2281" s="1" t="s">
        <v>36549</v>
      </c>
      <c r="AB2281" s="1" t="s">
        <v>36550</v>
      </c>
      <c r="AC2281" s="1" t="s">
        <v>74</v>
      </c>
      <c r="AD2281" s="1" t="s">
        <v>74</v>
      </c>
      <c r="AE2281" s="1" t="s">
        <v>74</v>
      </c>
      <c r="AF2281" s="1" t="s">
        <v>74</v>
      </c>
      <c r="AG2281" s="1">
        <v>17</v>
      </c>
      <c r="AH2281" s="1">
        <v>24</v>
      </c>
      <c r="AI2281" s="1">
        <v>24</v>
      </c>
      <c r="AJ2281" s="1">
        <v>0</v>
      </c>
      <c r="AK2281" s="1">
        <v>4</v>
      </c>
      <c r="AL2281" s="1" t="s">
        <v>716</v>
      </c>
      <c r="AM2281" s="1" t="s">
        <v>191</v>
      </c>
      <c r="AN2281" s="1" t="s">
        <v>192</v>
      </c>
      <c r="AO2281" s="1" t="s">
        <v>718</v>
      </c>
      <c r="AP2281" s="1" t="s">
        <v>74</v>
      </c>
      <c r="AQ2281" s="1" t="s">
        <v>74</v>
      </c>
      <c r="AR2281" s="1" t="s">
        <v>719</v>
      </c>
      <c r="AS2281" s="1" t="s">
        <v>720</v>
      </c>
      <c r="AT2281" s="1" t="s">
        <v>170</v>
      </c>
      <c r="AU2281" s="1">
        <v>2003</v>
      </c>
      <c r="AV2281" s="1">
        <v>145</v>
      </c>
      <c r="AW2281" s="1">
        <v>1</v>
      </c>
      <c r="AX2281" s="1" t="s">
        <v>74</v>
      </c>
      <c r="AY2281" s="1" t="s">
        <v>74</v>
      </c>
      <c r="AZ2281" s="1" t="s">
        <v>74</v>
      </c>
      <c r="BA2281" s="1" t="s">
        <v>74</v>
      </c>
      <c r="BB2281" s="1">
        <v>205</v>
      </c>
      <c r="BC2281" s="1">
        <v>214</v>
      </c>
      <c r="BD2281" s="1" t="s">
        <v>74</v>
      </c>
      <c r="BE2281" s="1" t="s">
        <v>36551</v>
      </c>
      <c r="BF2281" s="1" t="str">
        <f>HYPERLINK("http://dx.doi.org/10.1023/A:1023614822121","http://dx.doi.org/10.1023/A:1023614822121")</f>
        <v>http://dx.doi.org/10.1023/A:1023614822121</v>
      </c>
      <c r="BG2281" s="1" t="s">
        <v>74</v>
      </c>
      <c r="BH2281" s="1" t="s">
        <v>74</v>
      </c>
      <c r="BI2281" s="1">
        <v>10</v>
      </c>
      <c r="BJ2281" s="1" t="s">
        <v>722</v>
      </c>
      <c r="BK2281" s="1" t="s">
        <v>96</v>
      </c>
      <c r="BL2281" s="1" t="s">
        <v>723</v>
      </c>
      <c r="BM2281" s="1" t="s">
        <v>26727</v>
      </c>
      <c r="BN2281" s="1" t="s">
        <v>74</v>
      </c>
      <c r="BO2281" s="1" t="s">
        <v>74</v>
      </c>
      <c r="BP2281" s="1" t="s">
        <v>74</v>
      </c>
      <c r="BQ2281" s="1" t="s">
        <v>74</v>
      </c>
      <c r="BR2281" s="1" t="s">
        <v>98</v>
      </c>
      <c r="BS2281" s="1" t="s">
        <v>36552</v>
      </c>
      <c r="BT2281" s="1" t="str">
        <f>HYPERLINK("https%3A%2F%2Fwww.webofscience.com%2Fwos%2Fwoscc%2Ffull-record%2FWOS:000182709500015","View Full Record in Web of Science")</f>
        <v>View Full Record in Web of Science</v>
      </c>
      <c r="BU2281" s="1"/>
      <c r="BV2281" s="1"/>
    </row>
    <row r="2282" spans="1:74">
      <c r="A2282" s="1" t="s">
        <v>72</v>
      </c>
      <c r="B2282" s="1" t="s">
        <v>36553</v>
      </c>
      <c r="C2282" s="1" t="s">
        <v>74</v>
      </c>
      <c r="D2282" s="1" t="s">
        <v>74</v>
      </c>
      <c r="E2282" s="1" t="s">
        <v>74</v>
      </c>
      <c r="F2282" s="1" t="s">
        <v>36553</v>
      </c>
      <c r="G2282" s="1" t="s">
        <v>74</v>
      </c>
      <c r="H2282" s="1" t="s">
        <v>74</v>
      </c>
      <c r="I2282" s="1" t="s">
        <v>36554</v>
      </c>
      <c r="J2282" s="1" t="s">
        <v>20715</v>
      </c>
      <c r="K2282" s="1" t="s">
        <v>74</v>
      </c>
      <c r="L2282" s="1" t="s">
        <v>74</v>
      </c>
      <c r="M2282" s="1" t="s">
        <v>78</v>
      </c>
      <c r="N2282" s="1" t="s">
        <v>79</v>
      </c>
      <c r="O2282" s="1" t="s">
        <v>74</v>
      </c>
      <c r="P2282" s="1" t="s">
        <v>74</v>
      </c>
      <c r="Q2282" s="1" t="s">
        <v>74</v>
      </c>
      <c r="R2282" s="1" t="s">
        <v>74</v>
      </c>
      <c r="S2282" s="1" t="s">
        <v>74</v>
      </c>
      <c r="T2282" s="1" t="s">
        <v>74</v>
      </c>
      <c r="U2282" s="1" t="s">
        <v>36555</v>
      </c>
      <c r="V2282" s="1" t="s">
        <v>36556</v>
      </c>
      <c r="W2282" s="1" t="s">
        <v>74</v>
      </c>
      <c r="X2282" s="1" t="s">
        <v>74</v>
      </c>
      <c r="Y2282" s="1" t="s">
        <v>36557</v>
      </c>
      <c r="Z2282" s="1" t="s">
        <v>74</v>
      </c>
      <c r="AA2282" s="1" t="s">
        <v>2808</v>
      </c>
      <c r="AB2282" s="1" t="s">
        <v>2809</v>
      </c>
      <c r="AC2282" s="1" t="s">
        <v>74</v>
      </c>
      <c r="AD2282" s="1" t="s">
        <v>74</v>
      </c>
      <c r="AE2282" s="1" t="s">
        <v>74</v>
      </c>
      <c r="AF2282" s="1" t="s">
        <v>74</v>
      </c>
      <c r="AG2282" s="1">
        <v>46</v>
      </c>
      <c r="AH2282" s="1">
        <v>42</v>
      </c>
      <c r="AI2282" s="1">
        <v>48</v>
      </c>
      <c r="AJ2282" s="1">
        <v>0</v>
      </c>
      <c r="AK2282" s="1">
        <v>4</v>
      </c>
      <c r="AL2282" s="1" t="s">
        <v>20724</v>
      </c>
      <c r="AM2282" s="1" t="s">
        <v>20725</v>
      </c>
      <c r="AN2282" s="1" t="s">
        <v>20726</v>
      </c>
      <c r="AO2282" s="1" t="s">
        <v>20727</v>
      </c>
      <c r="AP2282" s="1" t="s">
        <v>74</v>
      </c>
      <c r="AQ2282" s="1" t="s">
        <v>74</v>
      </c>
      <c r="AR2282" s="1" t="s">
        <v>20728</v>
      </c>
      <c r="AS2282" s="1" t="s">
        <v>20729</v>
      </c>
      <c r="AT2282" s="1" t="s">
        <v>74</v>
      </c>
      <c r="AU2282" s="1">
        <v>1992</v>
      </c>
      <c r="AV2282" s="1">
        <v>15</v>
      </c>
      <c r="AW2282" s="1">
        <v>4</v>
      </c>
      <c r="AX2282" s="1" t="s">
        <v>74</v>
      </c>
      <c r="AY2282" s="1" t="s">
        <v>74</v>
      </c>
      <c r="AZ2282" s="1" t="s">
        <v>74</v>
      </c>
      <c r="BA2282" s="1" t="s">
        <v>74</v>
      </c>
      <c r="BB2282" s="1">
        <v>355</v>
      </c>
      <c r="BC2282" s="1">
        <v>364</v>
      </c>
      <c r="BD2282" s="1" t="s">
        <v>74</v>
      </c>
      <c r="BE2282" s="1" t="s">
        <v>74</v>
      </c>
      <c r="BF2282" s="1" t="s">
        <v>74</v>
      </c>
      <c r="BG2282" s="1" t="s">
        <v>74</v>
      </c>
      <c r="BH2282" s="1" t="s">
        <v>74</v>
      </c>
      <c r="BI2282" s="1">
        <v>10</v>
      </c>
      <c r="BJ2282" s="1" t="s">
        <v>1439</v>
      </c>
      <c r="BK2282" s="1" t="s">
        <v>96</v>
      </c>
      <c r="BL2282" s="1" t="s">
        <v>1439</v>
      </c>
      <c r="BM2282" s="1" t="s">
        <v>36558</v>
      </c>
      <c r="BN2282" s="1" t="s">
        <v>74</v>
      </c>
      <c r="BO2282" s="1" t="s">
        <v>74</v>
      </c>
      <c r="BP2282" s="1" t="s">
        <v>74</v>
      </c>
      <c r="BQ2282" s="1" t="s">
        <v>74</v>
      </c>
      <c r="BR2282" s="1" t="s">
        <v>98</v>
      </c>
      <c r="BS2282" s="1" t="s">
        <v>36559</v>
      </c>
      <c r="BT2282" s="1" t="str">
        <f>HYPERLINK("https%3A%2F%2Fwww.webofscience.com%2Fwos%2Fwoscc%2Ffull-record%2FWOS:A1992JU56600004","View Full Record in Web of Science")</f>
        <v>View Full Record in Web of Science</v>
      </c>
      <c r="BU2282" s="1"/>
      <c r="BV2282" s="1"/>
    </row>
    <row r="2283" spans="1:74">
      <c r="A2283" s="1" t="s">
        <v>72</v>
      </c>
      <c r="B2283" s="1" t="s">
        <v>36560</v>
      </c>
      <c r="C2283" s="1" t="s">
        <v>74</v>
      </c>
      <c r="D2283" s="1" t="s">
        <v>74</v>
      </c>
      <c r="E2283" s="1" t="s">
        <v>74</v>
      </c>
      <c r="F2283" s="1" t="s">
        <v>36561</v>
      </c>
      <c r="G2283" s="1" t="s">
        <v>74</v>
      </c>
      <c r="H2283" s="1" t="s">
        <v>74</v>
      </c>
      <c r="I2283" s="1" t="s">
        <v>36562</v>
      </c>
      <c r="J2283" s="1" t="s">
        <v>10129</v>
      </c>
      <c r="K2283" s="1" t="s">
        <v>74</v>
      </c>
      <c r="L2283" s="1" t="s">
        <v>74</v>
      </c>
      <c r="M2283" s="1" t="s">
        <v>78</v>
      </c>
      <c r="N2283" s="1" t="s">
        <v>79</v>
      </c>
      <c r="O2283" s="1" t="s">
        <v>74</v>
      </c>
      <c r="P2283" s="1" t="s">
        <v>74</v>
      </c>
      <c r="Q2283" s="1" t="s">
        <v>74</v>
      </c>
      <c r="R2283" s="1" t="s">
        <v>74</v>
      </c>
      <c r="S2283" s="1" t="s">
        <v>74</v>
      </c>
      <c r="T2283" s="1" t="s">
        <v>36563</v>
      </c>
      <c r="U2283" s="1" t="s">
        <v>36564</v>
      </c>
      <c r="V2283" s="1" t="s">
        <v>36565</v>
      </c>
      <c r="W2283" s="1" t="s">
        <v>36566</v>
      </c>
      <c r="X2283" s="1" t="s">
        <v>36567</v>
      </c>
      <c r="Y2283" s="1" t="s">
        <v>36568</v>
      </c>
      <c r="Z2283" s="1" t="s">
        <v>36569</v>
      </c>
      <c r="AA2283" s="1" t="s">
        <v>8190</v>
      </c>
      <c r="AB2283" s="1" t="s">
        <v>36570</v>
      </c>
      <c r="AC2283" s="1" t="s">
        <v>74</v>
      </c>
      <c r="AD2283" s="1" t="s">
        <v>74</v>
      </c>
      <c r="AE2283" s="1" t="s">
        <v>74</v>
      </c>
      <c r="AF2283" s="1" t="s">
        <v>74</v>
      </c>
      <c r="AG2283" s="1">
        <v>43</v>
      </c>
      <c r="AH2283" s="1">
        <v>25</v>
      </c>
      <c r="AI2283" s="1">
        <v>28</v>
      </c>
      <c r="AJ2283" s="1">
        <v>0</v>
      </c>
      <c r="AK2283" s="1">
        <v>51</v>
      </c>
      <c r="AL2283" s="1" t="s">
        <v>3362</v>
      </c>
      <c r="AM2283" s="1" t="s">
        <v>3363</v>
      </c>
      <c r="AN2283" s="1" t="s">
        <v>3364</v>
      </c>
      <c r="AO2283" s="1" t="s">
        <v>10137</v>
      </c>
      <c r="AP2283" s="1" t="s">
        <v>10138</v>
      </c>
      <c r="AQ2283" s="1" t="s">
        <v>74</v>
      </c>
      <c r="AR2283" s="1" t="s">
        <v>10139</v>
      </c>
      <c r="AS2283" s="1" t="s">
        <v>10140</v>
      </c>
      <c r="AT2283" s="1" t="s">
        <v>1223</v>
      </c>
      <c r="AU2283" s="1">
        <v>2007</v>
      </c>
      <c r="AV2283" s="1">
        <v>103</v>
      </c>
      <c r="AW2283" s="1">
        <v>3</v>
      </c>
      <c r="AX2283" s="1" t="s">
        <v>74</v>
      </c>
      <c r="AY2283" s="1" t="s">
        <v>74</v>
      </c>
      <c r="AZ2283" s="1" t="s">
        <v>74</v>
      </c>
      <c r="BA2283" s="1" t="s">
        <v>74</v>
      </c>
      <c r="BB2283" s="1">
        <v>375</v>
      </c>
      <c r="BC2283" s="1">
        <v>382</v>
      </c>
      <c r="BD2283" s="1" t="s">
        <v>74</v>
      </c>
      <c r="BE2283" s="1" t="s">
        <v>36571</v>
      </c>
      <c r="BF2283" s="1" t="str">
        <f>HYPERLINK("http://dx.doi.org/10.1016/j.envres.2006.06.012","http://dx.doi.org/10.1016/j.envres.2006.06.012")</f>
        <v>http://dx.doi.org/10.1016/j.envres.2006.06.012</v>
      </c>
      <c r="BG2283" s="1" t="s">
        <v>74</v>
      </c>
      <c r="BH2283" s="1" t="s">
        <v>74</v>
      </c>
      <c r="BI2283" s="1">
        <v>8</v>
      </c>
      <c r="BJ2283" s="1" t="s">
        <v>10142</v>
      </c>
      <c r="BK2283" s="1" t="s">
        <v>96</v>
      </c>
      <c r="BL2283" s="1" t="s">
        <v>10143</v>
      </c>
      <c r="BM2283" s="1" t="s">
        <v>36572</v>
      </c>
      <c r="BN2283" s="1">
        <v>16925990</v>
      </c>
      <c r="BO2283" s="1" t="s">
        <v>74</v>
      </c>
      <c r="BP2283" s="1" t="s">
        <v>74</v>
      </c>
      <c r="BQ2283" s="1" t="s">
        <v>74</v>
      </c>
      <c r="BR2283" s="1" t="s">
        <v>98</v>
      </c>
      <c r="BS2283" s="1" t="s">
        <v>36573</v>
      </c>
      <c r="BT2283" s="1" t="str">
        <f>HYPERLINK("https%3A%2F%2Fwww.webofscience.com%2Fwos%2Fwoscc%2Ffull-record%2FWOS:000244903200011","View Full Record in Web of Science")</f>
        <v>View Full Record in Web of Science</v>
      </c>
      <c r="BU2283" s="1"/>
      <c r="BV2283" s="1"/>
    </row>
    <row r="2284" spans="1:74">
      <c r="A2284" s="1" t="s">
        <v>72</v>
      </c>
      <c r="B2284" s="1" t="s">
        <v>36574</v>
      </c>
      <c r="C2284" s="1" t="s">
        <v>74</v>
      </c>
      <c r="D2284" s="1" t="s">
        <v>74</v>
      </c>
      <c r="E2284" s="1" t="s">
        <v>74</v>
      </c>
      <c r="F2284" s="1" t="s">
        <v>36574</v>
      </c>
      <c r="G2284" s="1" t="s">
        <v>74</v>
      </c>
      <c r="H2284" s="1" t="s">
        <v>74</v>
      </c>
      <c r="I2284" s="1" t="s">
        <v>36575</v>
      </c>
      <c r="J2284" s="1" t="s">
        <v>232</v>
      </c>
      <c r="K2284" s="1" t="s">
        <v>74</v>
      </c>
      <c r="L2284" s="1" t="s">
        <v>74</v>
      </c>
      <c r="M2284" s="1" t="s">
        <v>78</v>
      </c>
      <c r="N2284" s="1" t="s">
        <v>151</v>
      </c>
      <c r="O2284" s="1" t="s">
        <v>9266</v>
      </c>
      <c r="P2284" s="1" t="s">
        <v>9267</v>
      </c>
      <c r="Q2284" s="1" t="s">
        <v>9268</v>
      </c>
      <c r="R2284" s="1" t="s">
        <v>74</v>
      </c>
      <c r="S2284" s="1" t="s">
        <v>74</v>
      </c>
      <c r="T2284" s="1" t="s">
        <v>74</v>
      </c>
      <c r="U2284" s="1" t="s">
        <v>36576</v>
      </c>
      <c r="V2284" s="1" t="s">
        <v>36577</v>
      </c>
      <c r="W2284" s="1" t="s">
        <v>36578</v>
      </c>
      <c r="X2284" s="1" t="s">
        <v>36579</v>
      </c>
      <c r="Y2284" s="1" t="s">
        <v>36580</v>
      </c>
      <c r="Z2284" s="1" t="s">
        <v>8527</v>
      </c>
      <c r="AA2284" s="1" t="s">
        <v>14679</v>
      </c>
      <c r="AB2284" s="1" t="s">
        <v>14680</v>
      </c>
      <c r="AC2284" s="1" t="s">
        <v>74</v>
      </c>
      <c r="AD2284" s="1" t="s">
        <v>74</v>
      </c>
      <c r="AE2284" s="1" t="s">
        <v>74</v>
      </c>
      <c r="AF2284" s="1" t="s">
        <v>74</v>
      </c>
      <c r="AG2284" s="1">
        <v>30</v>
      </c>
      <c r="AH2284" s="1">
        <v>12</v>
      </c>
      <c r="AI2284" s="1">
        <v>13</v>
      </c>
      <c r="AJ2284" s="1">
        <v>0</v>
      </c>
      <c r="AK2284" s="1">
        <v>7</v>
      </c>
      <c r="AL2284" s="1" t="s">
        <v>136</v>
      </c>
      <c r="AM2284" s="1" t="s">
        <v>137</v>
      </c>
      <c r="AN2284" s="1" t="s">
        <v>138</v>
      </c>
      <c r="AO2284" s="1" t="s">
        <v>240</v>
      </c>
      <c r="AP2284" s="1" t="s">
        <v>241</v>
      </c>
      <c r="AQ2284" s="1" t="s">
        <v>74</v>
      </c>
      <c r="AR2284" s="1" t="s">
        <v>242</v>
      </c>
      <c r="AS2284" s="1" t="s">
        <v>243</v>
      </c>
      <c r="AT2284" s="1" t="s">
        <v>74</v>
      </c>
      <c r="AU2284" s="1">
        <v>2002</v>
      </c>
      <c r="AV2284" s="1">
        <v>45</v>
      </c>
      <c r="AW2284" s="1" t="s">
        <v>9275</v>
      </c>
      <c r="AX2284" s="1" t="s">
        <v>74</v>
      </c>
      <c r="AY2284" s="1" t="s">
        <v>74</v>
      </c>
      <c r="AZ2284" s="1" t="s">
        <v>225</v>
      </c>
      <c r="BA2284" s="1" t="s">
        <v>74</v>
      </c>
      <c r="BB2284" s="1">
        <v>92</v>
      </c>
      <c r="BC2284" s="1">
        <v>99</v>
      </c>
      <c r="BD2284" s="1" t="s">
        <v>36581</v>
      </c>
      <c r="BE2284" s="1" t="s">
        <v>36582</v>
      </c>
      <c r="BF2284" s="1" t="str">
        <f>HYPERLINK("http://dx.doi.org/10.1016/S0025-326X(02)00116-9","http://dx.doi.org/10.1016/S0025-326X(02)00116-9")</f>
        <v>http://dx.doi.org/10.1016/S0025-326X(02)00116-9</v>
      </c>
      <c r="BG2284" s="1" t="s">
        <v>74</v>
      </c>
      <c r="BH2284" s="1" t="s">
        <v>74</v>
      </c>
      <c r="BI2284" s="1">
        <v>8</v>
      </c>
      <c r="BJ2284" s="1" t="s">
        <v>247</v>
      </c>
      <c r="BK2284" s="1" t="s">
        <v>172</v>
      </c>
      <c r="BL2284" s="1" t="s">
        <v>248</v>
      </c>
      <c r="BM2284" s="1" t="s">
        <v>9277</v>
      </c>
      <c r="BN2284" s="1">
        <v>12398372</v>
      </c>
      <c r="BO2284" s="1" t="s">
        <v>74</v>
      </c>
      <c r="BP2284" s="1" t="s">
        <v>74</v>
      </c>
      <c r="BQ2284" s="1" t="s">
        <v>74</v>
      </c>
      <c r="BR2284" s="1" t="s">
        <v>98</v>
      </c>
      <c r="BS2284" s="1" t="s">
        <v>36583</v>
      </c>
      <c r="BT2284" s="1" t="str">
        <f>HYPERLINK("https%3A%2F%2Fwww.webofscience.com%2Fwos%2Fwoscc%2Ffull-record%2FWOS:000178336300012","View Full Record in Web of Science")</f>
        <v>View Full Record in Web of Science</v>
      </c>
      <c r="BU2284" s="1"/>
      <c r="BV2284" s="1"/>
    </row>
    <row r="2285" spans="1:74">
      <c r="A2285" s="1" t="s">
        <v>72</v>
      </c>
      <c r="B2285" s="1" t="s">
        <v>36584</v>
      </c>
      <c r="C2285" s="1" t="s">
        <v>74</v>
      </c>
      <c r="D2285" s="1" t="s">
        <v>74</v>
      </c>
      <c r="E2285" s="1" t="s">
        <v>74</v>
      </c>
      <c r="F2285" s="1" t="s">
        <v>36585</v>
      </c>
      <c r="G2285" s="1" t="s">
        <v>74</v>
      </c>
      <c r="H2285" s="1" t="s">
        <v>74</v>
      </c>
      <c r="I2285" s="1" t="s">
        <v>36586</v>
      </c>
      <c r="J2285" s="1" t="s">
        <v>2408</v>
      </c>
      <c r="K2285" s="1" t="s">
        <v>74</v>
      </c>
      <c r="L2285" s="1" t="s">
        <v>74</v>
      </c>
      <c r="M2285" s="1" t="s">
        <v>78</v>
      </c>
      <c r="N2285" s="1" t="s">
        <v>79</v>
      </c>
      <c r="O2285" s="1" t="s">
        <v>74</v>
      </c>
      <c r="P2285" s="1" t="s">
        <v>74</v>
      </c>
      <c r="Q2285" s="1" t="s">
        <v>74</v>
      </c>
      <c r="R2285" s="1" t="s">
        <v>74</v>
      </c>
      <c r="S2285" s="1" t="s">
        <v>74</v>
      </c>
      <c r="T2285" s="1" t="s">
        <v>36587</v>
      </c>
      <c r="U2285" s="1" t="s">
        <v>36588</v>
      </c>
      <c r="V2285" s="1" t="s">
        <v>36589</v>
      </c>
      <c r="W2285" s="1" t="s">
        <v>36590</v>
      </c>
      <c r="X2285" s="1" t="s">
        <v>36591</v>
      </c>
      <c r="Y2285" s="1" t="s">
        <v>36592</v>
      </c>
      <c r="Z2285" s="1" t="s">
        <v>36593</v>
      </c>
      <c r="AA2285" s="1" t="s">
        <v>74</v>
      </c>
      <c r="AB2285" s="1" t="s">
        <v>74</v>
      </c>
      <c r="AC2285" s="1" t="s">
        <v>74</v>
      </c>
      <c r="AD2285" s="1" t="s">
        <v>74</v>
      </c>
      <c r="AE2285" s="1" t="s">
        <v>74</v>
      </c>
      <c r="AF2285" s="1" t="s">
        <v>74</v>
      </c>
      <c r="AG2285" s="1">
        <v>36</v>
      </c>
      <c r="AH2285" s="1">
        <v>6</v>
      </c>
      <c r="AI2285" s="1">
        <v>6</v>
      </c>
      <c r="AJ2285" s="1">
        <v>0</v>
      </c>
      <c r="AK2285" s="1">
        <v>15</v>
      </c>
      <c r="AL2285" s="1" t="s">
        <v>2421</v>
      </c>
      <c r="AM2285" s="1" t="s">
        <v>2422</v>
      </c>
      <c r="AN2285" s="1" t="s">
        <v>2423</v>
      </c>
      <c r="AO2285" s="1" t="s">
        <v>2424</v>
      </c>
      <c r="AP2285" s="1" t="s">
        <v>74</v>
      </c>
      <c r="AQ2285" s="1" t="s">
        <v>74</v>
      </c>
      <c r="AR2285" s="1" t="s">
        <v>2426</v>
      </c>
      <c r="AS2285" s="1" t="s">
        <v>2427</v>
      </c>
      <c r="AT2285" s="1" t="s">
        <v>197</v>
      </c>
      <c r="AU2285" s="1">
        <v>2011</v>
      </c>
      <c r="AV2285" s="1">
        <v>30</v>
      </c>
      <c r="AW2285" s="1">
        <v>3</v>
      </c>
      <c r="AX2285" s="1" t="s">
        <v>74</v>
      </c>
      <c r="AY2285" s="1" t="s">
        <v>74</v>
      </c>
      <c r="AZ2285" s="1" t="s">
        <v>74</v>
      </c>
      <c r="BA2285" s="1" t="s">
        <v>74</v>
      </c>
      <c r="BB2285" s="1">
        <v>627</v>
      </c>
      <c r="BC2285" s="1">
        <v>634</v>
      </c>
      <c r="BD2285" s="1" t="s">
        <v>74</v>
      </c>
      <c r="BE2285" s="1" t="s">
        <v>36594</v>
      </c>
      <c r="BF2285" s="1" t="str">
        <f>HYPERLINK("http://dx.doi.org/10.2983/035.030.0305","http://dx.doi.org/10.2983/035.030.0305")</f>
        <v>http://dx.doi.org/10.2983/035.030.0305</v>
      </c>
      <c r="BG2285" s="1" t="s">
        <v>74</v>
      </c>
      <c r="BH2285" s="1" t="s">
        <v>74</v>
      </c>
      <c r="BI2285" s="1">
        <v>8</v>
      </c>
      <c r="BJ2285" s="1" t="s">
        <v>2391</v>
      </c>
      <c r="BK2285" s="1" t="s">
        <v>96</v>
      </c>
      <c r="BL2285" s="1" t="s">
        <v>2391</v>
      </c>
      <c r="BM2285" s="1" t="s">
        <v>36595</v>
      </c>
      <c r="BN2285" s="1" t="s">
        <v>74</v>
      </c>
      <c r="BO2285" s="1" t="s">
        <v>74</v>
      </c>
      <c r="BP2285" s="1" t="s">
        <v>74</v>
      </c>
      <c r="BQ2285" s="1" t="s">
        <v>74</v>
      </c>
      <c r="BR2285" s="1" t="s">
        <v>98</v>
      </c>
      <c r="BS2285" s="1" t="s">
        <v>36596</v>
      </c>
      <c r="BT2285" s="1" t="str">
        <f>HYPERLINK("https%3A%2F%2Fwww.webofscience.com%2Fwos%2Fwoscc%2Ffull-record%2FWOS:000299138700005","View Full Record in Web of Science")</f>
        <v>View Full Record in Web of Science</v>
      </c>
      <c r="BU2285" s="1"/>
      <c r="BV2285" s="1"/>
    </row>
    <row r="2286" spans="1:74">
      <c r="A2286" s="1" t="s">
        <v>72</v>
      </c>
      <c r="B2286" s="1" t="s">
        <v>36597</v>
      </c>
      <c r="C2286" s="1" t="s">
        <v>74</v>
      </c>
      <c r="D2286" s="1" t="s">
        <v>74</v>
      </c>
      <c r="E2286" s="1" t="s">
        <v>74</v>
      </c>
      <c r="F2286" s="1" t="s">
        <v>36597</v>
      </c>
      <c r="G2286" s="1" t="s">
        <v>74</v>
      </c>
      <c r="H2286" s="1" t="s">
        <v>74</v>
      </c>
      <c r="I2286" s="1" t="s">
        <v>36598</v>
      </c>
      <c r="J2286" s="1" t="s">
        <v>421</v>
      </c>
      <c r="K2286" s="1" t="s">
        <v>74</v>
      </c>
      <c r="L2286" s="1" t="s">
        <v>74</v>
      </c>
      <c r="M2286" s="1" t="s">
        <v>78</v>
      </c>
      <c r="N2286" s="1" t="s">
        <v>79</v>
      </c>
      <c r="O2286" s="1" t="s">
        <v>74</v>
      </c>
      <c r="P2286" s="1" t="s">
        <v>74</v>
      </c>
      <c r="Q2286" s="1" t="s">
        <v>74</v>
      </c>
      <c r="R2286" s="1" t="s">
        <v>74</v>
      </c>
      <c r="S2286" s="1" t="s">
        <v>74</v>
      </c>
      <c r="T2286" s="1" t="s">
        <v>36599</v>
      </c>
      <c r="U2286" s="1" t="s">
        <v>36600</v>
      </c>
      <c r="V2286" s="1" t="s">
        <v>36601</v>
      </c>
      <c r="W2286" s="1" t="s">
        <v>36602</v>
      </c>
      <c r="X2286" s="1" t="s">
        <v>36603</v>
      </c>
      <c r="Y2286" s="1" t="s">
        <v>23707</v>
      </c>
      <c r="Z2286" s="1" t="s">
        <v>36604</v>
      </c>
      <c r="AA2286" s="1" t="s">
        <v>36605</v>
      </c>
      <c r="AB2286" s="1" t="s">
        <v>36606</v>
      </c>
      <c r="AC2286" s="1" t="s">
        <v>74</v>
      </c>
      <c r="AD2286" s="1" t="s">
        <v>74</v>
      </c>
      <c r="AE2286" s="1" t="s">
        <v>74</v>
      </c>
      <c r="AF2286" s="1" t="s">
        <v>74</v>
      </c>
      <c r="AG2286" s="1">
        <v>98</v>
      </c>
      <c r="AH2286" s="1">
        <v>103</v>
      </c>
      <c r="AI2286" s="1">
        <v>115</v>
      </c>
      <c r="AJ2286" s="1">
        <v>1</v>
      </c>
      <c r="AK2286" s="1">
        <v>40</v>
      </c>
      <c r="AL2286" s="1" t="s">
        <v>430</v>
      </c>
      <c r="AM2286" s="1" t="s">
        <v>137</v>
      </c>
      <c r="AN2286" s="1" t="s">
        <v>431</v>
      </c>
      <c r="AO2286" s="1" t="s">
        <v>432</v>
      </c>
      <c r="AP2286" s="1" t="s">
        <v>1394</v>
      </c>
      <c r="AQ2286" s="1" t="s">
        <v>74</v>
      </c>
      <c r="AR2286" s="1" t="s">
        <v>433</v>
      </c>
      <c r="AS2286" s="1" t="s">
        <v>434</v>
      </c>
      <c r="AT2286" s="1" t="s">
        <v>74</v>
      </c>
      <c r="AU2286" s="1">
        <v>2002</v>
      </c>
      <c r="AV2286" s="1">
        <v>120</v>
      </c>
      <c r="AW2286" s="1">
        <v>2</v>
      </c>
      <c r="AX2286" s="1" t="s">
        <v>74</v>
      </c>
      <c r="AY2286" s="1" t="s">
        <v>74</v>
      </c>
      <c r="AZ2286" s="1" t="s">
        <v>74</v>
      </c>
      <c r="BA2286" s="1" t="s">
        <v>74</v>
      </c>
      <c r="BB2286" s="1">
        <v>423</v>
      </c>
      <c r="BC2286" s="1">
        <v>444</v>
      </c>
      <c r="BD2286" s="1" t="s">
        <v>36607</v>
      </c>
      <c r="BE2286" s="1" t="s">
        <v>36608</v>
      </c>
      <c r="BF2286" s="1" t="str">
        <f>HYPERLINK("http://dx.doi.org/10.1016/S0269-7491(02)00111-2","http://dx.doi.org/10.1016/S0269-7491(02)00111-2")</f>
        <v>http://dx.doi.org/10.1016/S0269-7491(02)00111-2</v>
      </c>
      <c r="BG2286" s="1" t="s">
        <v>74</v>
      </c>
      <c r="BH2286" s="1" t="s">
        <v>74</v>
      </c>
      <c r="BI2286" s="1">
        <v>22</v>
      </c>
      <c r="BJ2286" s="1" t="s">
        <v>144</v>
      </c>
      <c r="BK2286" s="1" t="s">
        <v>96</v>
      </c>
      <c r="BL2286" s="1" t="s">
        <v>145</v>
      </c>
      <c r="BM2286" s="1" t="s">
        <v>19161</v>
      </c>
      <c r="BN2286" s="1">
        <v>12395857</v>
      </c>
      <c r="BO2286" s="1" t="s">
        <v>74</v>
      </c>
      <c r="BP2286" s="1" t="s">
        <v>74</v>
      </c>
      <c r="BQ2286" s="1" t="s">
        <v>74</v>
      </c>
      <c r="BR2286" s="1" t="s">
        <v>98</v>
      </c>
      <c r="BS2286" s="1" t="s">
        <v>36609</v>
      </c>
      <c r="BT2286" s="1" t="str">
        <f>HYPERLINK("https%3A%2F%2Fwww.webofscience.com%2Fwos%2Fwoscc%2Ffull-record%2FWOS:000178582800032","View Full Record in Web of Science")</f>
        <v>View Full Record in Web of Science</v>
      </c>
      <c r="BU2286" s="1"/>
      <c r="BV2286" s="1"/>
    </row>
    <row r="2287" spans="1:74">
      <c r="A2287" s="1" t="s">
        <v>72</v>
      </c>
      <c r="B2287" s="1" t="s">
        <v>36610</v>
      </c>
      <c r="C2287" s="1" t="s">
        <v>74</v>
      </c>
      <c r="D2287" s="1" t="s">
        <v>74</v>
      </c>
      <c r="E2287" s="1" t="s">
        <v>74</v>
      </c>
      <c r="F2287" s="1" t="s">
        <v>36611</v>
      </c>
      <c r="G2287" s="1" t="s">
        <v>74</v>
      </c>
      <c r="H2287" s="1" t="s">
        <v>74</v>
      </c>
      <c r="I2287" s="1" t="s">
        <v>36612</v>
      </c>
      <c r="J2287" s="1" t="s">
        <v>704</v>
      </c>
      <c r="K2287" s="1" t="s">
        <v>74</v>
      </c>
      <c r="L2287" s="1" t="s">
        <v>74</v>
      </c>
      <c r="M2287" s="1" t="s">
        <v>78</v>
      </c>
      <c r="N2287" s="1" t="s">
        <v>79</v>
      </c>
      <c r="O2287" s="1" t="s">
        <v>74</v>
      </c>
      <c r="P2287" s="1" t="s">
        <v>74</v>
      </c>
      <c r="Q2287" s="1" t="s">
        <v>74</v>
      </c>
      <c r="R2287" s="1" t="s">
        <v>74</v>
      </c>
      <c r="S2287" s="1" t="s">
        <v>74</v>
      </c>
      <c r="T2287" s="1" t="s">
        <v>36613</v>
      </c>
      <c r="U2287" s="1" t="s">
        <v>36614</v>
      </c>
      <c r="V2287" s="1" t="s">
        <v>36615</v>
      </c>
      <c r="W2287" s="1" t="s">
        <v>36616</v>
      </c>
      <c r="X2287" s="1" t="s">
        <v>36617</v>
      </c>
      <c r="Y2287" s="1" t="s">
        <v>36618</v>
      </c>
      <c r="Z2287" s="1" t="s">
        <v>36619</v>
      </c>
      <c r="AA2287" s="1" t="s">
        <v>36620</v>
      </c>
      <c r="AB2287" s="1" t="s">
        <v>36621</v>
      </c>
      <c r="AC2287" s="1" t="s">
        <v>36622</v>
      </c>
      <c r="AD2287" s="1" t="s">
        <v>36623</v>
      </c>
      <c r="AE2287" s="1" t="s">
        <v>36624</v>
      </c>
      <c r="AF2287" s="1" t="s">
        <v>74</v>
      </c>
      <c r="AG2287" s="1">
        <v>53</v>
      </c>
      <c r="AH2287" s="1">
        <v>30</v>
      </c>
      <c r="AI2287" s="1">
        <v>31</v>
      </c>
      <c r="AJ2287" s="1">
        <v>1</v>
      </c>
      <c r="AK2287" s="1">
        <v>39</v>
      </c>
      <c r="AL2287" s="1" t="s">
        <v>4010</v>
      </c>
      <c r="AM2287" s="1" t="s">
        <v>1167</v>
      </c>
      <c r="AN2287" s="1" t="s">
        <v>1168</v>
      </c>
      <c r="AO2287" s="1" t="s">
        <v>718</v>
      </c>
      <c r="AP2287" s="1" t="s">
        <v>1169</v>
      </c>
      <c r="AQ2287" s="1" t="s">
        <v>74</v>
      </c>
      <c r="AR2287" s="1" t="s">
        <v>719</v>
      </c>
      <c r="AS2287" s="1" t="s">
        <v>720</v>
      </c>
      <c r="AT2287" s="1" t="s">
        <v>305</v>
      </c>
      <c r="AU2287" s="1">
        <v>2012</v>
      </c>
      <c r="AV2287" s="1">
        <v>223</v>
      </c>
      <c r="AW2287" s="1">
        <v>7</v>
      </c>
      <c r="AX2287" s="1" t="s">
        <v>74</v>
      </c>
      <c r="AY2287" s="1" t="s">
        <v>74</v>
      </c>
      <c r="AZ2287" s="1" t="s">
        <v>74</v>
      </c>
      <c r="BA2287" s="1" t="s">
        <v>74</v>
      </c>
      <c r="BB2287" s="1">
        <v>3911</v>
      </c>
      <c r="BC2287" s="1">
        <v>3922</v>
      </c>
      <c r="BD2287" s="1" t="s">
        <v>74</v>
      </c>
      <c r="BE2287" s="1" t="s">
        <v>36625</v>
      </c>
      <c r="BF2287" s="1" t="str">
        <f>HYPERLINK("http://dx.doi.org/10.1007/s11270-012-1160-2","http://dx.doi.org/10.1007/s11270-012-1160-2")</f>
        <v>http://dx.doi.org/10.1007/s11270-012-1160-2</v>
      </c>
      <c r="BG2287" s="1" t="s">
        <v>74</v>
      </c>
      <c r="BH2287" s="1" t="s">
        <v>74</v>
      </c>
      <c r="BI2287" s="1">
        <v>12</v>
      </c>
      <c r="BJ2287" s="1" t="s">
        <v>722</v>
      </c>
      <c r="BK2287" s="1" t="s">
        <v>96</v>
      </c>
      <c r="BL2287" s="1" t="s">
        <v>723</v>
      </c>
      <c r="BM2287" s="1" t="s">
        <v>36626</v>
      </c>
      <c r="BN2287" s="1" t="s">
        <v>74</v>
      </c>
      <c r="BO2287" s="1" t="s">
        <v>74</v>
      </c>
      <c r="BP2287" s="1" t="s">
        <v>74</v>
      </c>
      <c r="BQ2287" s="1" t="s">
        <v>74</v>
      </c>
      <c r="BR2287" s="1" t="s">
        <v>98</v>
      </c>
      <c r="BS2287" s="1" t="s">
        <v>36627</v>
      </c>
      <c r="BT2287" s="1" t="str">
        <f>HYPERLINK("https%3A%2F%2Fwww.webofscience.com%2Fwos%2Fwoscc%2Ffull-record%2FWOS:000307276400028","View Full Record in Web of Science")</f>
        <v>View Full Record in Web of Science</v>
      </c>
      <c r="BU2287" s="1"/>
      <c r="BV2287" s="1"/>
    </row>
    <row r="2288" spans="1:74">
      <c r="A2288" s="1" t="s">
        <v>72</v>
      </c>
      <c r="B2288" s="1" t="s">
        <v>16086</v>
      </c>
      <c r="C2288" s="1" t="s">
        <v>74</v>
      </c>
      <c r="D2288" s="1" t="s">
        <v>74</v>
      </c>
      <c r="E2288" s="1" t="s">
        <v>74</v>
      </c>
      <c r="F2288" s="1" t="s">
        <v>16087</v>
      </c>
      <c r="G2288" s="1" t="s">
        <v>74</v>
      </c>
      <c r="H2288" s="1" t="s">
        <v>74</v>
      </c>
      <c r="I2288" s="1" t="s">
        <v>36628</v>
      </c>
      <c r="J2288" s="1" t="s">
        <v>1756</v>
      </c>
      <c r="K2288" s="1" t="s">
        <v>74</v>
      </c>
      <c r="L2288" s="1" t="s">
        <v>74</v>
      </c>
      <c r="M2288" s="1" t="s">
        <v>78</v>
      </c>
      <c r="N2288" s="1" t="s">
        <v>79</v>
      </c>
      <c r="O2288" s="1" t="s">
        <v>74</v>
      </c>
      <c r="P2288" s="1" t="s">
        <v>74</v>
      </c>
      <c r="Q2288" s="1" t="s">
        <v>74</v>
      </c>
      <c r="R2288" s="1" t="s">
        <v>74</v>
      </c>
      <c r="S2288" s="1" t="s">
        <v>74</v>
      </c>
      <c r="T2288" s="1" t="s">
        <v>36629</v>
      </c>
      <c r="U2288" s="1" t="s">
        <v>36630</v>
      </c>
      <c r="V2288" s="1" t="s">
        <v>36631</v>
      </c>
      <c r="W2288" s="1" t="s">
        <v>16092</v>
      </c>
      <c r="X2288" s="1" t="s">
        <v>16093</v>
      </c>
      <c r="Y2288" s="1" t="s">
        <v>16094</v>
      </c>
      <c r="Z2288" s="1" t="s">
        <v>1483</v>
      </c>
      <c r="AA2288" s="1" t="s">
        <v>2900</v>
      </c>
      <c r="AB2288" s="1" t="s">
        <v>2183</v>
      </c>
      <c r="AC2288" s="1" t="s">
        <v>16095</v>
      </c>
      <c r="AD2288" s="1" t="s">
        <v>16096</v>
      </c>
      <c r="AE2288" s="1" t="s">
        <v>36632</v>
      </c>
      <c r="AF2288" s="1" t="s">
        <v>74</v>
      </c>
      <c r="AG2288" s="1">
        <v>57</v>
      </c>
      <c r="AH2288" s="1">
        <v>21</v>
      </c>
      <c r="AI2288" s="1">
        <v>22</v>
      </c>
      <c r="AJ2288" s="1">
        <v>1</v>
      </c>
      <c r="AK2288" s="1">
        <v>37</v>
      </c>
      <c r="AL2288" s="1" t="s">
        <v>86</v>
      </c>
      <c r="AM2288" s="1" t="s">
        <v>87</v>
      </c>
      <c r="AN2288" s="1" t="s">
        <v>88</v>
      </c>
      <c r="AO2288" s="1" t="s">
        <v>1764</v>
      </c>
      <c r="AP2288" s="1" t="s">
        <v>1765</v>
      </c>
      <c r="AQ2288" s="1" t="s">
        <v>74</v>
      </c>
      <c r="AR2288" s="1" t="s">
        <v>1766</v>
      </c>
      <c r="AS2288" s="1" t="s">
        <v>1767</v>
      </c>
      <c r="AT2288" s="1" t="s">
        <v>951</v>
      </c>
      <c r="AU2288" s="1">
        <v>2016</v>
      </c>
      <c r="AV2288" s="1">
        <v>35</v>
      </c>
      <c r="AW2288" s="1">
        <v>11</v>
      </c>
      <c r="AX2288" s="1" t="s">
        <v>74</v>
      </c>
      <c r="AY2288" s="1" t="s">
        <v>74</v>
      </c>
      <c r="AZ2288" s="1" t="s">
        <v>74</v>
      </c>
      <c r="BA2288" s="1" t="s">
        <v>74</v>
      </c>
      <c r="BB2288" s="1">
        <v>2798</v>
      </c>
      <c r="BC2288" s="1">
        <v>2805</v>
      </c>
      <c r="BD2288" s="1" t="s">
        <v>74</v>
      </c>
      <c r="BE2288" s="1" t="s">
        <v>36633</v>
      </c>
      <c r="BF2288" s="1" t="str">
        <f>HYPERLINK("http://dx.doi.org/10.1002/etc.3455","http://dx.doi.org/10.1002/etc.3455")</f>
        <v>http://dx.doi.org/10.1002/etc.3455</v>
      </c>
      <c r="BG2288" s="1" t="s">
        <v>74</v>
      </c>
      <c r="BH2288" s="1" t="s">
        <v>74</v>
      </c>
      <c r="BI2288" s="1">
        <v>8</v>
      </c>
      <c r="BJ2288" s="1" t="s">
        <v>121</v>
      </c>
      <c r="BK2288" s="1" t="s">
        <v>96</v>
      </c>
      <c r="BL2288" s="1" t="s">
        <v>122</v>
      </c>
      <c r="BM2288" s="1" t="s">
        <v>36634</v>
      </c>
      <c r="BN2288" s="1">
        <v>27071024</v>
      </c>
      <c r="BO2288" s="1" t="s">
        <v>74</v>
      </c>
      <c r="BP2288" s="1" t="s">
        <v>74</v>
      </c>
      <c r="BQ2288" s="1" t="s">
        <v>74</v>
      </c>
      <c r="BR2288" s="1" t="s">
        <v>98</v>
      </c>
      <c r="BS2288" s="1" t="s">
        <v>36635</v>
      </c>
      <c r="BT2288" s="1" t="str">
        <f>HYPERLINK("https%3A%2F%2Fwww.webofscience.com%2Fwos%2Fwoscc%2Ffull-record%2FWOS:000386461000018","View Full Record in Web of Science")</f>
        <v>View Full Record in Web of Science</v>
      </c>
      <c r="BU2288" s="1"/>
      <c r="BV2288" s="1"/>
    </row>
    <row r="2289" spans="1:74">
      <c r="A2289" s="1" t="s">
        <v>72</v>
      </c>
      <c r="B2289" s="1" t="s">
        <v>36636</v>
      </c>
      <c r="C2289" s="1" t="s">
        <v>74</v>
      </c>
      <c r="D2289" s="1" t="s">
        <v>74</v>
      </c>
      <c r="E2289" s="1" t="s">
        <v>74</v>
      </c>
      <c r="F2289" s="1" t="s">
        <v>36637</v>
      </c>
      <c r="G2289" s="1" t="s">
        <v>74</v>
      </c>
      <c r="H2289" s="1" t="s">
        <v>74</v>
      </c>
      <c r="I2289" s="1" t="s">
        <v>36638</v>
      </c>
      <c r="J2289" s="1" t="s">
        <v>36639</v>
      </c>
      <c r="K2289" s="1" t="s">
        <v>74</v>
      </c>
      <c r="L2289" s="1" t="s">
        <v>74</v>
      </c>
      <c r="M2289" s="1" t="s">
        <v>78</v>
      </c>
      <c r="N2289" s="1" t="s">
        <v>79</v>
      </c>
      <c r="O2289" s="1" t="s">
        <v>74</v>
      </c>
      <c r="P2289" s="1" t="s">
        <v>74</v>
      </c>
      <c r="Q2289" s="1" t="s">
        <v>74</v>
      </c>
      <c r="R2289" s="1" t="s">
        <v>74</v>
      </c>
      <c r="S2289" s="1" t="s">
        <v>74</v>
      </c>
      <c r="T2289" s="1" t="s">
        <v>36640</v>
      </c>
      <c r="U2289" s="1" t="s">
        <v>36641</v>
      </c>
      <c r="V2289" s="1" t="s">
        <v>36642</v>
      </c>
      <c r="W2289" s="1" t="s">
        <v>36643</v>
      </c>
      <c r="X2289" s="1" t="s">
        <v>36644</v>
      </c>
      <c r="Y2289" s="1" t="s">
        <v>36645</v>
      </c>
      <c r="Z2289" s="1" t="s">
        <v>36646</v>
      </c>
      <c r="AA2289" s="1" t="s">
        <v>36647</v>
      </c>
      <c r="AB2289" s="1" t="s">
        <v>36648</v>
      </c>
      <c r="AC2289" s="1" t="s">
        <v>36649</v>
      </c>
      <c r="AD2289" s="1" t="s">
        <v>36650</v>
      </c>
      <c r="AE2289" s="1" t="s">
        <v>36651</v>
      </c>
      <c r="AF2289" s="1" t="s">
        <v>74</v>
      </c>
      <c r="AG2289" s="1">
        <v>81</v>
      </c>
      <c r="AH2289" s="1">
        <v>48</v>
      </c>
      <c r="AI2289" s="1">
        <v>52</v>
      </c>
      <c r="AJ2289" s="1">
        <v>0</v>
      </c>
      <c r="AK2289" s="1">
        <v>24</v>
      </c>
      <c r="AL2289" s="1" t="s">
        <v>112</v>
      </c>
      <c r="AM2289" s="1" t="s">
        <v>113</v>
      </c>
      <c r="AN2289" s="1" t="s">
        <v>114</v>
      </c>
      <c r="AO2289" s="1" t="s">
        <v>36652</v>
      </c>
      <c r="AP2289" s="1" t="s">
        <v>36653</v>
      </c>
      <c r="AQ2289" s="1" t="s">
        <v>74</v>
      </c>
      <c r="AR2289" s="1" t="s">
        <v>36639</v>
      </c>
      <c r="AS2289" s="1" t="s">
        <v>36654</v>
      </c>
      <c r="AT2289" s="1" t="s">
        <v>119</v>
      </c>
      <c r="AU2289" s="1">
        <v>2010</v>
      </c>
      <c r="AV2289" s="1">
        <v>97</v>
      </c>
      <c r="AW2289" s="1">
        <v>8</v>
      </c>
      <c r="AX2289" s="1" t="s">
        <v>74</v>
      </c>
      <c r="AY2289" s="1" t="s">
        <v>74</v>
      </c>
      <c r="AZ2289" s="1" t="s">
        <v>74</v>
      </c>
      <c r="BA2289" s="1" t="s">
        <v>74</v>
      </c>
      <c r="BB2289" s="1">
        <v>743</v>
      </c>
      <c r="BC2289" s="1">
        <v>751</v>
      </c>
      <c r="BD2289" s="1" t="s">
        <v>74</v>
      </c>
      <c r="BE2289" s="1" t="s">
        <v>36655</v>
      </c>
      <c r="BF2289" s="1" t="str">
        <f>HYPERLINK("http://dx.doi.org/10.1007/s00114-010-0692-9","http://dx.doi.org/10.1007/s00114-010-0692-9")</f>
        <v>http://dx.doi.org/10.1007/s00114-010-0692-9</v>
      </c>
      <c r="BG2289" s="1" t="s">
        <v>74</v>
      </c>
      <c r="BH2289" s="1" t="s">
        <v>74</v>
      </c>
      <c r="BI2289" s="1">
        <v>9</v>
      </c>
      <c r="BJ2289" s="1" t="s">
        <v>3202</v>
      </c>
      <c r="BK2289" s="1" t="s">
        <v>96</v>
      </c>
      <c r="BL2289" s="1" t="s">
        <v>3203</v>
      </c>
      <c r="BM2289" s="1" t="s">
        <v>36656</v>
      </c>
      <c r="BN2289" s="1">
        <v>20567799</v>
      </c>
      <c r="BO2289" s="1" t="s">
        <v>74</v>
      </c>
      <c r="BP2289" s="1" t="s">
        <v>74</v>
      </c>
      <c r="BQ2289" s="1" t="s">
        <v>74</v>
      </c>
      <c r="BR2289" s="1" t="s">
        <v>98</v>
      </c>
      <c r="BS2289" s="1" t="s">
        <v>36657</v>
      </c>
      <c r="BT2289" s="1" t="str">
        <f>HYPERLINK("https%3A%2F%2Fwww.webofscience.com%2Fwos%2Fwoscc%2Ffull-record%2FWOS:000280273800006","View Full Record in Web of Science")</f>
        <v>View Full Record in Web of Science</v>
      </c>
      <c r="BU2289" s="1"/>
      <c r="BV2289" s="1"/>
    </row>
    <row r="2290" spans="1:74">
      <c r="A2290" s="1" t="s">
        <v>72</v>
      </c>
      <c r="B2290" s="1" t="s">
        <v>36658</v>
      </c>
      <c r="C2290" s="1" t="s">
        <v>74</v>
      </c>
      <c r="D2290" s="1" t="s">
        <v>74</v>
      </c>
      <c r="E2290" s="1" t="s">
        <v>74</v>
      </c>
      <c r="F2290" s="1" t="s">
        <v>36659</v>
      </c>
      <c r="G2290" s="1" t="s">
        <v>74</v>
      </c>
      <c r="H2290" s="1" t="s">
        <v>74</v>
      </c>
      <c r="I2290" s="1" t="s">
        <v>36660</v>
      </c>
      <c r="J2290" s="1" t="s">
        <v>421</v>
      </c>
      <c r="K2290" s="1" t="s">
        <v>74</v>
      </c>
      <c r="L2290" s="1" t="s">
        <v>74</v>
      </c>
      <c r="M2290" s="1" t="s">
        <v>78</v>
      </c>
      <c r="N2290" s="1" t="s">
        <v>79</v>
      </c>
      <c r="O2290" s="1" t="s">
        <v>74</v>
      </c>
      <c r="P2290" s="1" t="s">
        <v>74</v>
      </c>
      <c r="Q2290" s="1" t="s">
        <v>74</v>
      </c>
      <c r="R2290" s="1" t="s">
        <v>74</v>
      </c>
      <c r="S2290" s="1" t="s">
        <v>74</v>
      </c>
      <c r="T2290" s="1" t="s">
        <v>36661</v>
      </c>
      <c r="U2290" s="1" t="s">
        <v>36662</v>
      </c>
      <c r="V2290" s="1" t="s">
        <v>36663</v>
      </c>
      <c r="W2290" s="1" t="s">
        <v>36664</v>
      </c>
      <c r="X2290" s="1" t="s">
        <v>36665</v>
      </c>
      <c r="Y2290" s="1" t="s">
        <v>36666</v>
      </c>
      <c r="Z2290" s="1" t="s">
        <v>34170</v>
      </c>
      <c r="AA2290" s="1" t="s">
        <v>36667</v>
      </c>
      <c r="AB2290" s="1" t="s">
        <v>36668</v>
      </c>
      <c r="AC2290" s="1" t="s">
        <v>36669</v>
      </c>
      <c r="AD2290" s="1" t="s">
        <v>36670</v>
      </c>
      <c r="AE2290" s="1" t="s">
        <v>36671</v>
      </c>
      <c r="AF2290" s="1" t="s">
        <v>74</v>
      </c>
      <c r="AG2290" s="1">
        <v>55</v>
      </c>
      <c r="AH2290" s="1">
        <v>32</v>
      </c>
      <c r="AI2290" s="1">
        <v>33</v>
      </c>
      <c r="AJ2290" s="1">
        <v>1</v>
      </c>
      <c r="AK2290" s="1">
        <v>11</v>
      </c>
      <c r="AL2290" s="1" t="s">
        <v>430</v>
      </c>
      <c r="AM2290" s="1" t="s">
        <v>137</v>
      </c>
      <c r="AN2290" s="1" t="s">
        <v>431</v>
      </c>
      <c r="AO2290" s="1" t="s">
        <v>432</v>
      </c>
      <c r="AP2290" s="1" t="s">
        <v>1394</v>
      </c>
      <c r="AQ2290" s="1" t="s">
        <v>74</v>
      </c>
      <c r="AR2290" s="1" t="s">
        <v>433</v>
      </c>
      <c r="AS2290" s="1" t="s">
        <v>434</v>
      </c>
      <c r="AT2290" s="1" t="s">
        <v>197</v>
      </c>
      <c r="AU2290" s="1">
        <v>2008</v>
      </c>
      <c r="AV2290" s="1">
        <v>156</v>
      </c>
      <c r="AW2290" s="1">
        <v>3</v>
      </c>
      <c r="AX2290" s="1" t="s">
        <v>74</v>
      </c>
      <c r="AY2290" s="1" t="s">
        <v>74</v>
      </c>
      <c r="AZ2290" s="1" t="s">
        <v>74</v>
      </c>
      <c r="BA2290" s="1" t="s">
        <v>74</v>
      </c>
      <c r="BB2290" s="1">
        <v>1340</v>
      </c>
      <c r="BC2290" s="1">
        <v>1347</v>
      </c>
      <c r="BD2290" s="1" t="s">
        <v>74</v>
      </c>
      <c r="BE2290" s="1" t="s">
        <v>36672</v>
      </c>
      <c r="BF2290" s="1" t="str">
        <f>HYPERLINK("http://dx.doi.org/10.1016/j.envpol.2008.02.022","http://dx.doi.org/10.1016/j.envpol.2008.02.022")</f>
        <v>http://dx.doi.org/10.1016/j.envpol.2008.02.022</v>
      </c>
      <c r="BG2290" s="1" t="s">
        <v>74</v>
      </c>
      <c r="BH2290" s="1" t="s">
        <v>74</v>
      </c>
      <c r="BI2290" s="1">
        <v>8</v>
      </c>
      <c r="BJ2290" s="1" t="s">
        <v>144</v>
      </c>
      <c r="BK2290" s="1" t="s">
        <v>96</v>
      </c>
      <c r="BL2290" s="1" t="s">
        <v>145</v>
      </c>
      <c r="BM2290" s="1" t="s">
        <v>36673</v>
      </c>
      <c r="BN2290" s="1">
        <v>18403075</v>
      </c>
      <c r="BO2290" s="1" t="s">
        <v>74</v>
      </c>
      <c r="BP2290" s="1" t="s">
        <v>74</v>
      </c>
      <c r="BQ2290" s="1" t="s">
        <v>74</v>
      </c>
      <c r="BR2290" s="1" t="s">
        <v>98</v>
      </c>
      <c r="BS2290" s="1" t="s">
        <v>36674</v>
      </c>
      <c r="BT2290" s="1" t="str">
        <f>HYPERLINK("https%3A%2F%2Fwww.webofscience.com%2Fwos%2Fwoscc%2Ffull-record%2FWOS:000261678700097","View Full Record in Web of Science")</f>
        <v>View Full Record in Web of Science</v>
      </c>
      <c r="BU2290" s="1"/>
      <c r="BV2290" s="1"/>
    </row>
    <row r="2291" spans="1:74">
      <c r="A2291" s="1" t="s">
        <v>72</v>
      </c>
      <c r="B2291" s="1" t="s">
        <v>36675</v>
      </c>
      <c r="C2291" s="1" t="s">
        <v>74</v>
      </c>
      <c r="D2291" s="1" t="s">
        <v>74</v>
      </c>
      <c r="E2291" s="1" t="s">
        <v>74</v>
      </c>
      <c r="F2291" s="1" t="s">
        <v>36676</v>
      </c>
      <c r="G2291" s="1" t="s">
        <v>74</v>
      </c>
      <c r="H2291" s="1" t="s">
        <v>74</v>
      </c>
      <c r="I2291" s="1" t="s">
        <v>36677</v>
      </c>
      <c r="J2291" s="1" t="s">
        <v>909</v>
      </c>
      <c r="K2291" s="1" t="s">
        <v>74</v>
      </c>
      <c r="L2291" s="1" t="s">
        <v>74</v>
      </c>
      <c r="M2291" s="1" t="s">
        <v>78</v>
      </c>
      <c r="N2291" s="1" t="s">
        <v>79</v>
      </c>
      <c r="O2291" s="1" t="s">
        <v>74</v>
      </c>
      <c r="P2291" s="1" t="s">
        <v>74</v>
      </c>
      <c r="Q2291" s="1" t="s">
        <v>74</v>
      </c>
      <c r="R2291" s="1" t="s">
        <v>74</v>
      </c>
      <c r="S2291" s="1" t="s">
        <v>74</v>
      </c>
      <c r="T2291" s="1" t="s">
        <v>36678</v>
      </c>
      <c r="U2291" s="1" t="s">
        <v>36679</v>
      </c>
      <c r="V2291" s="1" t="s">
        <v>36680</v>
      </c>
      <c r="W2291" s="1" t="s">
        <v>36681</v>
      </c>
      <c r="X2291" s="1" t="s">
        <v>14114</v>
      </c>
      <c r="Y2291" s="1" t="s">
        <v>36682</v>
      </c>
      <c r="Z2291" s="1" t="s">
        <v>5489</v>
      </c>
      <c r="AA2291" s="1" t="s">
        <v>36683</v>
      </c>
      <c r="AB2291" s="1" t="s">
        <v>36684</v>
      </c>
      <c r="AC2291" s="1" t="s">
        <v>36685</v>
      </c>
      <c r="AD2291" s="1" t="s">
        <v>36686</v>
      </c>
      <c r="AE2291" s="1" t="s">
        <v>36687</v>
      </c>
      <c r="AF2291" s="1" t="s">
        <v>74</v>
      </c>
      <c r="AG2291" s="1">
        <v>66</v>
      </c>
      <c r="AH2291" s="1">
        <v>42</v>
      </c>
      <c r="AI2291" s="1">
        <v>46</v>
      </c>
      <c r="AJ2291" s="1">
        <v>0</v>
      </c>
      <c r="AK2291" s="1">
        <v>77</v>
      </c>
      <c r="AL2291" s="1" t="s">
        <v>919</v>
      </c>
      <c r="AM2291" s="1" t="s">
        <v>651</v>
      </c>
      <c r="AN2291" s="1" t="s">
        <v>920</v>
      </c>
      <c r="AO2291" s="1" t="s">
        <v>921</v>
      </c>
      <c r="AP2291" s="1" t="s">
        <v>922</v>
      </c>
      <c r="AQ2291" s="1" t="s">
        <v>74</v>
      </c>
      <c r="AR2291" s="1" t="s">
        <v>923</v>
      </c>
      <c r="AS2291" s="1" t="s">
        <v>924</v>
      </c>
      <c r="AT2291" s="1" t="s">
        <v>2303</v>
      </c>
      <c r="AU2291" s="1">
        <v>2014</v>
      </c>
      <c r="AV2291" s="1">
        <v>500</v>
      </c>
      <c r="AW2291" s="1" t="s">
        <v>74</v>
      </c>
      <c r="AX2291" s="1" t="s">
        <v>74</v>
      </c>
      <c r="AY2291" s="1" t="s">
        <v>74</v>
      </c>
      <c r="AZ2291" s="1" t="s">
        <v>74</v>
      </c>
      <c r="BA2291" s="1" t="s">
        <v>74</v>
      </c>
      <c r="BB2291" s="1">
        <v>339</v>
      </c>
      <c r="BC2291" s="1">
        <v>350</v>
      </c>
      <c r="BD2291" s="1" t="s">
        <v>74</v>
      </c>
      <c r="BE2291" s="1" t="s">
        <v>36688</v>
      </c>
      <c r="BF2291" s="1" t="str">
        <f>HYPERLINK("http://dx.doi.org/10.1016/j.scitotenv.2014.08.112","http://dx.doi.org/10.1016/j.scitotenv.2014.08.112")</f>
        <v>http://dx.doi.org/10.1016/j.scitotenv.2014.08.112</v>
      </c>
      <c r="BG2291" s="1" t="s">
        <v>74</v>
      </c>
      <c r="BH2291" s="1" t="s">
        <v>74</v>
      </c>
      <c r="BI2291" s="1">
        <v>12</v>
      </c>
      <c r="BJ2291" s="1" t="s">
        <v>144</v>
      </c>
      <c r="BK2291" s="1" t="s">
        <v>96</v>
      </c>
      <c r="BL2291" s="1" t="s">
        <v>145</v>
      </c>
      <c r="BM2291" s="1" t="s">
        <v>36689</v>
      </c>
      <c r="BN2291" s="1">
        <v>25240236</v>
      </c>
      <c r="BO2291" s="1" t="s">
        <v>74</v>
      </c>
      <c r="BP2291" s="1" t="s">
        <v>74</v>
      </c>
      <c r="BQ2291" s="1" t="s">
        <v>74</v>
      </c>
      <c r="BR2291" s="1" t="s">
        <v>98</v>
      </c>
      <c r="BS2291" s="1" t="s">
        <v>36690</v>
      </c>
      <c r="BT2291" s="1" t="str">
        <f>HYPERLINK("https%3A%2F%2Fwww.webofscience.com%2Fwos%2Fwoscc%2Ffull-record%2FWOS:000345723100034","View Full Record in Web of Science")</f>
        <v>View Full Record in Web of Science</v>
      </c>
      <c r="BU2291" s="1"/>
      <c r="BV2291" s="1"/>
    </row>
    <row r="2292" spans="1:74">
      <c r="A2292" s="1" t="s">
        <v>72</v>
      </c>
      <c r="B2292" s="1" t="s">
        <v>36691</v>
      </c>
      <c r="C2292" s="1" t="s">
        <v>74</v>
      </c>
      <c r="D2292" s="1" t="s">
        <v>74</v>
      </c>
      <c r="E2292" s="1" t="s">
        <v>74</v>
      </c>
      <c r="F2292" s="1" t="s">
        <v>36692</v>
      </c>
      <c r="G2292" s="1" t="s">
        <v>74</v>
      </c>
      <c r="H2292" s="1" t="s">
        <v>74</v>
      </c>
      <c r="I2292" s="1" t="s">
        <v>36693</v>
      </c>
      <c r="J2292" s="1" t="s">
        <v>36694</v>
      </c>
      <c r="K2292" s="1" t="s">
        <v>74</v>
      </c>
      <c r="L2292" s="1" t="s">
        <v>74</v>
      </c>
      <c r="M2292" s="1" t="s">
        <v>78</v>
      </c>
      <c r="N2292" s="1" t="s">
        <v>79</v>
      </c>
      <c r="O2292" s="1" t="s">
        <v>74</v>
      </c>
      <c r="P2292" s="1" t="s">
        <v>74</v>
      </c>
      <c r="Q2292" s="1" t="s">
        <v>74</v>
      </c>
      <c r="R2292" s="1" t="s">
        <v>74</v>
      </c>
      <c r="S2292" s="1" t="s">
        <v>74</v>
      </c>
      <c r="T2292" s="1" t="s">
        <v>36695</v>
      </c>
      <c r="U2292" s="1" t="s">
        <v>36696</v>
      </c>
      <c r="V2292" s="1" t="s">
        <v>36697</v>
      </c>
      <c r="W2292" s="1" t="s">
        <v>36698</v>
      </c>
      <c r="X2292" s="1" t="s">
        <v>1834</v>
      </c>
      <c r="Y2292" s="1" t="s">
        <v>36699</v>
      </c>
      <c r="Z2292" s="1" t="s">
        <v>36700</v>
      </c>
      <c r="AA2292" s="1" t="s">
        <v>74</v>
      </c>
      <c r="AB2292" s="1" t="s">
        <v>36701</v>
      </c>
      <c r="AC2292" s="1" t="s">
        <v>36702</v>
      </c>
      <c r="AD2292" s="1" t="s">
        <v>6640</v>
      </c>
      <c r="AE2292" s="1" t="s">
        <v>36703</v>
      </c>
      <c r="AF2292" s="1" t="s">
        <v>74</v>
      </c>
      <c r="AG2292" s="1">
        <v>53</v>
      </c>
      <c r="AH2292" s="1">
        <v>7</v>
      </c>
      <c r="AI2292" s="1">
        <v>7</v>
      </c>
      <c r="AJ2292" s="1">
        <v>3</v>
      </c>
      <c r="AK2292" s="1">
        <v>15</v>
      </c>
      <c r="AL2292" s="1" t="s">
        <v>1566</v>
      </c>
      <c r="AM2292" s="1" t="s">
        <v>1567</v>
      </c>
      <c r="AN2292" s="1" t="s">
        <v>1568</v>
      </c>
      <c r="AO2292" s="1" t="s">
        <v>74</v>
      </c>
      <c r="AP2292" s="1" t="s">
        <v>36704</v>
      </c>
      <c r="AQ2292" s="1" t="s">
        <v>74</v>
      </c>
      <c r="AR2292" s="1" t="s">
        <v>36694</v>
      </c>
      <c r="AS2292" s="1" t="s">
        <v>36705</v>
      </c>
      <c r="AT2292" s="1" t="s">
        <v>170</v>
      </c>
      <c r="AU2292" s="1">
        <v>2020</v>
      </c>
      <c r="AV2292" s="1">
        <v>11</v>
      </c>
      <c r="AW2292" s="1">
        <v>5</v>
      </c>
      <c r="AX2292" s="1" t="s">
        <v>74</v>
      </c>
      <c r="AY2292" s="1" t="s">
        <v>74</v>
      </c>
      <c r="AZ2292" s="1" t="s">
        <v>74</v>
      </c>
      <c r="BA2292" s="1" t="s">
        <v>74</v>
      </c>
      <c r="BB2292" s="1" t="s">
        <v>74</v>
      </c>
      <c r="BC2292" s="1" t="s">
        <v>74</v>
      </c>
      <c r="BD2292" s="1">
        <v>504</v>
      </c>
      <c r="BE2292" s="1" t="s">
        <v>36706</v>
      </c>
      <c r="BF2292" s="1" t="str">
        <f>HYPERLINK("http://dx.doi.org/10.3390/f11050504","http://dx.doi.org/10.3390/f11050504")</f>
        <v>http://dx.doi.org/10.3390/f11050504</v>
      </c>
      <c r="BG2292" s="1" t="s">
        <v>74</v>
      </c>
      <c r="BH2292" s="1" t="s">
        <v>74</v>
      </c>
      <c r="BI2292" s="1">
        <v>15</v>
      </c>
      <c r="BJ2292" s="1" t="s">
        <v>36707</v>
      </c>
      <c r="BK2292" s="1" t="s">
        <v>96</v>
      </c>
      <c r="BL2292" s="1" t="s">
        <v>36707</v>
      </c>
      <c r="BM2292" s="1" t="s">
        <v>36708</v>
      </c>
      <c r="BN2292" s="1" t="s">
        <v>74</v>
      </c>
      <c r="BO2292" s="1" t="s">
        <v>873</v>
      </c>
      <c r="BP2292" s="1" t="s">
        <v>74</v>
      </c>
      <c r="BQ2292" s="1" t="s">
        <v>74</v>
      </c>
      <c r="BR2292" s="1" t="s">
        <v>98</v>
      </c>
      <c r="BS2292" s="1" t="s">
        <v>36709</v>
      </c>
      <c r="BT2292" s="1" t="str">
        <f>HYPERLINK("https%3A%2F%2Fwww.webofscience.com%2Fwos%2Fwoscc%2Ffull-record%2FWOS:000542736000045","View Full Record in Web of Science")</f>
        <v>View Full Record in Web of Science</v>
      </c>
      <c r="BU2292" s="1"/>
      <c r="BV2292" s="1"/>
    </row>
    <row r="2293" spans="1:74">
      <c r="A2293" s="1" t="s">
        <v>72</v>
      </c>
      <c r="B2293" s="1" t="s">
        <v>36710</v>
      </c>
      <c r="C2293" s="1" t="s">
        <v>74</v>
      </c>
      <c r="D2293" s="1" t="s">
        <v>74</v>
      </c>
      <c r="E2293" s="1" t="s">
        <v>74</v>
      </c>
      <c r="F2293" s="1" t="s">
        <v>36711</v>
      </c>
      <c r="G2293" s="1" t="s">
        <v>74</v>
      </c>
      <c r="H2293" s="1" t="s">
        <v>74</v>
      </c>
      <c r="I2293" s="1" t="s">
        <v>36712</v>
      </c>
      <c r="J2293" s="1" t="s">
        <v>36713</v>
      </c>
      <c r="K2293" s="1" t="s">
        <v>74</v>
      </c>
      <c r="L2293" s="1" t="s">
        <v>74</v>
      </c>
      <c r="M2293" s="1" t="s">
        <v>78</v>
      </c>
      <c r="N2293" s="1" t="s">
        <v>79</v>
      </c>
      <c r="O2293" s="1" t="s">
        <v>74</v>
      </c>
      <c r="P2293" s="1" t="s">
        <v>74</v>
      </c>
      <c r="Q2293" s="1" t="s">
        <v>74</v>
      </c>
      <c r="R2293" s="1" t="s">
        <v>74</v>
      </c>
      <c r="S2293" s="1" t="s">
        <v>74</v>
      </c>
      <c r="T2293" s="1" t="s">
        <v>36714</v>
      </c>
      <c r="U2293" s="1" t="s">
        <v>36715</v>
      </c>
      <c r="V2293" s="1" t="s">
        <v>36716</v>
      </c>
      <c r="W2293" s="1" t="s">
        <v>36717</v>
      </c>
      <c r="X2293" s="1" t="s">
        <v>9952</v>
      </c>
      <c r="Y2293" s="1" t="s">
        <v>32343</v>
      </c>
      <c r="Z2293" s="1" t="s">
        <v>21443</v>
      </c>
      <c r="AA2293" s="1" t="s">
        <v>74</v>
      </c>
      <c r="AB2293" s="1" t="s">
        <v>36718</v>
      </c>
      <c r="AC2293" s="1" t="s">
        <v>36719</v>
      </c>
      <c r="AD2293" s="1" t="s">
        <v>36720</v>
      </c>
      <c r="AE2293" s="1" t="s">
        <v>36721</v>
      </c>
      <c r="AF2293" s="1" t="s">
        <v>74</v>
      </c>
      <c r="AG2293" s="1">
        <v>59</v>
      </c>
      <c r="AH2293" s="1">
        <v>2</v>
      </c>
      <c r="AI2293" s="1">
        <v>2</v>
      </c>
      <c r="AJ2293" s="1">
        <v>0</v>
      </c>
      <c r="AK2293" s="1">
        <v>23</v>
      </c>
      <c r="AL2293" s="1" t="s">
        <v>112</v>
      </c>
      <c r="AM2293" s="1" t="s">
        <v>113</v>
      </c>
      <c r="AN2293" s="1" t="s">
        <v>469</v>
      </c>
      <c r="AO2293" s="1" t="s">
        <v>36722</v>
      </c>
      <c r="AP2293" s="1" t="s">
        <v>36723</v>
      </c>
      <c r="AQ2293" s="1" t="s">
        <v>74</v>
      </c>
      <c r="AR2293" s="1" t="s">
        <v>36724</v>
      </c>
      <c r="AS2293" s="1" t="s">
        <v>36725</v>
      </c>
      <c r="AT2293" s="1" t="s">
        <v>1223</v>
      </c>
      <c r="AU2293" s="1">
        <v>2016</v>
      </c>
      <c r="AV2293" s="1">
        <v>38</v>
      </c>
      <c r="AW2293" s="1">
        <v>3</v>
      </c>
      <c r="AX2293" s="1" t="s">
        <v>74</v>
      </c>
      <c r="AY2293" s="1" t="s">
        <v>74</v>
      </c>
      <c r="AZ2293" s="1" t="s">
        <v>74</v>
      </c>
      <c r="BA2293" s="1" t="s">
        <v>74</v>
      </c>
      <c r="BB2293" s="1">
        <v>263</v>
      </c>
      <c r="BC2293" s="1">
        <v>274</v>
      </c>
      <c r="BD2293" s="1" t="s">
        <v>74</v>
      </c>
      <c r="BE2293" s="1" t="s">
        <v>36726</v>
      </c>
      <c r="BF2293" s="1" t="str">
        <f>HYPERLINK("http://dx.doi.org/10.1007/s13258-015-0360-8","http://dx.doi.org/10.1007/s13258-015-0360-8")</f>
        <v>http://dx.doi.org/10.1007/s13258-015-0360-8</v>
      </c>
      <c r="BG2293" s="1" t="s">
        <v>74</v>
      </c>
      <c r="BH2293" s="1" t="s">
        <v>74</v>
      </c>
      <c r="BI2293" s="1">
        <v>12</v>
      </c>
      <c r="BJ2293" s="1" t="s">
        <v>36727</v>
      </c>
      <c r="BK2293" s="1" t="s">
        <v>96</v>
      </c>
      <c r="BL2293" s="1" t="s">
        <v>36727</v>
      </c>
      <c r="BM2293" s="1" t="s">
        <v>36728</v>
      </c>
      <c r="BN2293" s="1" t="s">
        <v>74</v>
      </c>
      <c r="BO2293" s="1" t="s">
        <v>74</v>
      </c>
      <c r="BP2293" s="1" t="s">
        <v>74</v>
      </c>
      <c r="BQ2293" s="1" t="s">
        <v>74</v>
      </c>
      <c r="BR2293" s="1" t="s">
        <v>98</v>
      </c>
      <c r="BS2293" s="1" t="s">
        <v>36729</v>
      </c>
      <c r="BT2293" s="1" t="str">
        <f>HYPERLINK("https%3A%2F%2Fwww.webofscience.com%2Fwos%2Fwoscc%2Ffull-record%2FWOS:000371248000003","View Full Record in Web of Science")</f>
        <v>View Full Record in Web of Science</v>
      </c>
      <c r="BU2293" s="1"/>
      <c r="BV2293" s="1"/>
    </row>
    <row r="2294" spans="1:74">
      <c r="A2294" s="1" t="s">
        <v>72</v>
      </c>
      <c r="B2294" s="1" t="s">
        <v>36730</v>
      </c>
      <c r="C2294" s="1" t="s">
        <v>74</v>
      </c>
      <c r="D2294" s="1" t="s">
        <v>74</v>
      </c>
      <c r="E2294" s="1" t="s">
        <v>74</v>
      </c>
      <c r="F2294" s="1" t="s">
        <v>36731</v>
      </c>
      <c r="G2294" s="1" t="s">
        <v>74</v>
      </c>
      <c r="H2294" s="1" t="s">
        <v>74</v>
      </c>
      <c r="I2294" s="1" t="s">
        <v>36732</v>
      </c>
      <c r="J2294" s="1" t="s">
        <v>421</v>
      </c>
      <c r="K2294" s="1" t="s">
        <v>74</v>
      </c>
      <c r="L2294" s="1" t="s">
        <v>74</v>
      </c>
      <c r="M2294" s="1" t="s">
        <v>78</v>
      </c>
      <c r="N2294" s="1" t="s">
        <v>79</v>
      </c>
      <c r="O2294" s="1" t="s">
        <v>74</v>
      </c>
      <c r="P2294" s="1" t="s">
        <v>74</v>
      </c>
      <c r="Q2294" s="1" t="s">
        <v>74</v>
      </c>
      <c r="R2294" s="1" t="s">
        <v>74</v>
      </c>
      <c r="S2294" s="1" t="s">
        <v>74</v>
      </c>
      <c r="T2294" s="1" t="s">
        <v>36733</v>
      </c>
      <c r="U2294" s="1" t="s">
        <v>36734</v>
      </c>
      <c r="V2294" s="1" t="s">
        <v>36735</v>
      </c>
      <c r="W2294" s="1" t="s">
        <v>36736</v>
      </c>
      <c r="X2294" s="1" t="s">
        <v>74</v>
      </c>
      <c r="Y2294" s="1" t="s">
        <v>36737</v>
      </c>
      <c r="Z2294" s="1" t="s">
        <v>36738</v>
      </c>
      <c r="AA2294" s="1" t="s">
        <v>36739</v>
      </c>
      <c r="AB2294" s="1" t="s">
        <v>36740</v>
      </c>
      <c r="AC2294" s="1" t="s">
        <v>74</v>
      </c>
      <c r="AD2294" s="1" t="s">
        <v>74</v>
      </c>
      <c r="AE2294" s="1" t="s">
        <v>74</v>
      </c>
      <c r="AF2294" s="1" t="s">
        <v>74</v>
      </c>
      <c r="AG2294" s="1">
        <v>53</v>
      </c>
      <c r="AH2294" s="1">
        <v>5</v>
      </c>
      <c r="AI2294" s="1">
        <v>5</v>
      </c>
      <c r="AJ2294" s="1">
        <v>1</v>
      </c>
      <c r="AK2294" s="1">
        <v>7</v>
      </c>
      <c r="AL2294" s="1" t="s">
        <v>430</v>
      </c>
      <c r="AM2294" s="1" t="s">
        <v>137</v>
      </c>
      <c r="AN2294" s="1" t="s">
        <v>431</v>
      </c>
      <c r="AO2294" s="1" t="s">
        <v>432</v>
      </c>
      <c r="AP2294" s="1" t="s">
        <v>1394</v>
      </c>
      <c r="AQ2294" s="1" t="s">
        <v>74</v>
      </c>
      <c r="AR2294" s="1" t="s">
        <v>433</v>
      </c>
      <c r="AS2294" s="1" t="s">
        <v>434</v>
      </c>
      <c r="AT2294" s="1" t="s">
        <v>3237</v>
      </c>
      <c r="AU2294" s="1">
        <v>2022</v>
      </c>
      <c r="AV2294" s="1">
        <v>308</v>
      </c>
      <c r="AW2294" s="1" t="s">
        <v>74</v>
      </c>
      <c r="AX2294" s="1" t="s">
        <v>74</v>
      </c>
      <c r="AY2294" s="1" t="s">
        <v>74</v>
      </c>
      <c r="AZ2294" s="1" t="s">
        <v>74</v>
      </c>
      <c r="BA2294" s="1" t="s">
        <v>74</v>
      </c>
      <c r="BB2294" s="1" t="s">
        <v>74</v>
      </c>
      <c r="BC2294" s="1" t="s">
        <v>74</v>
      </c>
      <c r="BD2294" s="1">
        <v>119614</v>
      </c>
      <c r="BE2294" s="1" t="s">
        <v>36741</v>
      </c>
      <c r="BF2294" s="1" t="str">
        <f>HYPERLINK("http://dx.doi.org/10.1016/j.envpol.2022.119614","http://dx.doi.org/10.1016/j.envpol.2022.119614")</f>
        <v>http://dx.doi.org/10.1016/j.envpol.2022.119614</v>
      </c>
      <c r="BG2294" s="1" t="s">
        <v>74</v>
      </c>
      <c r="BH2294" s="1" t="s">
        <v>74</v>
      </c>
      <c r="BI2294" s="1">
        <v>9</v>
      </c>
      <c r="BJ2294" s="1" t="s">
        <v>144</v>
      </c>
      <c r="BK2294" s="1" t="s">
        <v>96</v>
      </c>
      <c r="BL2294" s="1" t="s">
        <v>145</v>
      </c>
      <c r="BM2294" s="1" t="s">
        <v>36742</v>
      </c>
      <c r="BN2294" s="1">
        <v>35709919</v>
      </c>
      <c r="BO2294" s="1" t="s">
        <v>1752</v>
      </c>
      <c r="BP2294" s="1" t="s">
        <v>74</v>
      </c>
      <c r="BQ2294" s="1" t="s">
        <v>74</v>
      </c>
      <c r="BR2294" s="1" t="s">
        <v>98</v>
      </c>
      <c r="BS2294" s="1" t="s">
        <v>36743</v>
      </c>
      <c r="BT2294" s="1" t="str">
        <f>HYPERLINK("https%3A%2F%2Fwww.webofscience.com%2Fwos%2Fwoscc%2Ffull-record%2FWOS:000817894800007","View Full Record in Web of Science")</f>
        <v>View Full Record in Web of Science</v>
      </c>
      <c r="BU2294" s="1"/>
      <c r="BV2294" s="1"/>
    </row>
    <row r="2295" spans="1:74">
      <c r="A2295" s="1" t="s">
        <v>72</v>
      </c>
      <c r="B2295" s="1" t="s">
        <v>36744</v>
      </c>
      <c r="C2295" s="1" t="s">
        <v>74</v>
      </c>
      <c r="D2295" s="1" t="s">
        <v>74</v>
      </c>
      <c r="E2295" s="1" t="s">
        <v>74</v>
      </c>
      <c r="F2295" s="1" t="s">
        <v>36744</v>
      </c>
      <c r="G2295" s="1" t="s">
        <v>74</v>
      </c>
      <c r="H2295" s="1" t="s">
        <v>74</v>
      </c>
      <c r="I2295" s="1" t="s">
        <v>36745</v>
      </c>
      <c r="J2295" s="1" t="s">
        <v>7584</v>
      </c>
      <c r="K2295" s="1" t="s">
        <v>74</v>
      </c>
      <c r="L2295" s="1" t="s">
        <v>74</v>
      </c>
      <c r="M2295" s="1" t="s">
        <v>78</v>
      </c>
      <c r="N2295" s="1" t="s">
        <v>79</v>
      </c>
      <c r="O2295" s="1" t="s">
        <v>74</v>
      </c>
      <c r="P2295" s="1" t="s">
        <v>74</v>
      </c>
      <c r="Q2295" s="1" t="s">
        <v>74</v>
      </c>
      <c r="R2295" s="1" t="s">
        <v>74</v>
      </c>
      <c r="S2295" s="1" t="s">
        <v>74</v>
      </c>
      <c r="T2295" s="1" t="s">
        <v>36746</v>
      </c>
      <c r="U2295" s="1" t="s">
        <v>36747</v>
      </c>
      <c r="V2295" s="1" t="s">
        <v>36748</v>
      </c>
      <c r="W2295" s="1" t="s">
        <v>36749</v>
      </c>
      <c r="X2295" s="1" t="s">
        <v>36750</v>
      </c>
      <c r="Y2295" s="1" t="s">
        <v>36751</v>
      </c>
      <c r="Z2295" s="1" t="s">
        <v>3249</v>
      </c>
      <c r="AA2295" s="1" t="s">
        <v>74</v>
      </c>
      <c r="AB2295" s="1" t="s">
        <v>74</v>
      </c>
      <c r="AC2295" s="1" t="s">
        <v>74</v>
      </c>
      <c r="AD2295" s="1" t="s">
        <v>74</v>
      </c>
      <c r="AE2295" s="1" t="s">
        <v>74</v>
      </c>
      <c r="AF2295" s="1" t="s">
        <v>74</v>
      </c>
      <c r="AG2295" s="1">
        <v>27</v>
      </c>
      <c r="AH2295" s="1">
        <v>66</v>
      </c>
      <c r="AI2295" s="1">
        <v>78</v>
      </c>
      <c r="AJ2295" s="1">
        <v>0</v>
      </c>
      <c r="AK2295" s="1">
        <v>16</v>
      </c>
      <c r="AL2295" s="1" t="s">
        <v>136</v>
      </c>
      <c r="AM2295" s="1" t="s">
        <v>137</v>
      </c>
      <c r="AN2295" s="1" t="s">
        <v>138</v>
      </c>
      <c r="AO2295" s="1" t="s">
        <v>7589</v>
      </c>
      <c r="AP2295" s="1" t="s">
        <v>74</v>
      </c>
      <c r="AQ2295" s="1" t="s">
        <v>74</v>
      </c>
      <c r="AR2295" s="1" t="s">
        <v>7591</v>
      </c>
      <c r="AS2295" s="1" t="s">
        <v>7592</v>
      </c>
      <c r="AT2295" s="1" t="s">
        <v>224</v>
      </c>
      <c r="AU2295" s="1">
        <v>2005</v>
      </c>
      <c r="AV2295" s="1">
        <v>39</v>
      </c>
      <c r="AW2295" s="1">
        <v>4</v>
      </c>
      <c r="AX2295" s="1" t="s">
        <v>74</v>
      </c>
      <c r="AY2295" s="1" t="s">
        <v>74</v>
      </c>
      <c r="AZ2295" s="1" t="s">
        <v>74</v>
      </c>
      <c r="BA2295" s="1" t="s">
        <v>74</v>
      </c>
      <c r="BB2295" s="1">
        <v>596</v>
      </c>
      <c r="BC2295" s="1">
        <v>604</v>
      </c>
      <c r="BD2295" s="1" t="s">
        <v>74</v>
      </c>
      <c r="BE2295" s="1" t="s">
        <v>36752</v>
      </c>
      <c r="BF2295" s="1" t="str">
        <f>HYPERLINK("http://dx.doi.org/10.1016/j.watres.2004.09.026","http://dx.doi.org/10.1016/j.watres.2004.09.026")</f>
        <v>http://dx.doi.org/10.1016/j.watres.2004.09.026</v>
      </c>
      <c r="BG2295" s="1" t="s">
        <v>74</v>
      </c>
      <c r="BH2295" s="1" t="s">
        <v>74</v>
      </c>
      <c r="BI2295" s="1">
        <v>9</v>
      </c>
      <c r="BJ2295" s="1" t="s">
        <v>587</v>
      </c>
      <c r="BK2295" s="1" t="s">
        <v>96</v>
      </c>
      <c r="BL2295" s="1" t="s">
        <v>589</v>
      </c>
      <c r="BM2295" s="1" t="s">
        <v>36753</v>
      </c>
      <c r="BN2295" s="1">
        <v>15707632</v>
      </c>
      <c r="BO2295" s="1" t="s">
        <v>74</v>
      </c>
      <c r="BP2295" s="1" t="s">
        <v>74</v>
      </c>
      <c r="BQ2295" s="1" t="s">
        <v>74</v>
      </c>
      <c r="BR2295" s="1" t="s">
        <v>98</v>
      </c>
      <c r="BS2295" s="1" t="s">
        <v>36754</v>
      </c>
      <c r="BT2295" s="1" t="str">
        <f>HYPERLINK("https%3A%2F%2Fwww.webofscience.com%2Fwos%2Fwoscc%2Ffull-record%2FWOS:000227273000010","View Full Record in Web of Science")</f>
        <v>View Full Record in Web of Science</v>
      </c>
      <c r="BU2295" s="1"/>
      <c r="BV2295" s="1"/>
    </row>
    <row r="2296" spans="1:74">
      <c r="A2296" s="1" t="s">
        <v>72</v>
      </c>
      <c r="B2296" s="1" t="s">
        <v>36755</v>
      </c>
      <c r="C2296" s="1" t="s">
        <v>74</v>
      </c>
      <c r="D2296" s="1" t="s">
        <v>74</v>
      </c>
      <c r="E2296" s="1" t="s">
        <v>74</v>
      </c>
      <c r="F2296" s="1" t="s">
        <v>36756</v>
      </c>
      <c r="G2296" s="1" t="s">
        <v>74</v>
      </c>
      <c r="H2296" s="1" t="s">
        <v>74</v>
      </c>
      <c r="I2296" s="1" t="s">
        <v>36757</v>
      </c>
      <c r="J2296" s="1" t="s">
        <v>421</v>
      </c>
      <c r="K2296" s="1" t="s">
        <v>74</v>
      </c>
      <c r="L2296" s="1" t="s">
        <v>74</v>
      </c>
      <c r="M2296" s="1" t="s">
        <v>78</v>
      </c>
      <c r="N2296" s="1" t="s">
        <v>79</v>
      </c>
      <c r="O2296" s="1" t="s">
        <v>74</v>
      </c>
      <c r="P2296" s="1" t="s">
        <v>74</v>
      </c>
      <c r="Q2296" s="1" t="s">
        <v>74</v>
      </c>
      <c r="R2296" s="1" t="s">
        <v>74</v>
      </c>
      <c r="S2296" s="1" t="s">
        <v>74</v>
      </c>
      <c r="T2296" s="1" t="s">
        <v>36758</v>
      </c>
      <c r="U2296" s="1" t="s">
        <v>36759</v>
      </c>
      <c r="V2296" s="1" t="s">
        <v>36760</v>
      </c>
      <c r="W2296" s="1" t="s">
        <v>36761</v>
      </c>
      <c r="X2296" s="1" t="s">
        <v>36762</v>
      </c>
      <c r="Y2296" s="1" t="s">
        <v>36763</v>
      </c>
      <c r="Z2296" s="1" t="s">
        <v>36764</v>
      </c>
      <c r="AA2296" s="1" t="s">
        <v>36765</v>
      </c>
      <c r="AB2296" s="1" t="s">
        <v>36766</v>
      </c>
      <c r="AC2296" s="1" t="s">
        <v>36767</v>
      </c>
      <c r="AD2296" s="1" t="s">
        <v>36768</v>
      </c>
      <c r="AE2296" s="1" t="s">
        <v>36769</v>
      </c>
      <c r="AF2296" s="1" t="s">
        <v>74</v>
      </c>
      <c r="AG2296" s="1">
        <v>119</v>
      </c>
      <c r="AH2296" s="1">
        <v>15</v>
      </c>
      <c r="AI2296" s="1">
        <v>15</v>
      </c>
      <c r="AJ2296" s="1">
        <v>4</v>
      </c>
      <c r="AK2296" s="1">
        <v>25</v>
      </c>
      <c r="AL2296" s="1" t="s">
        <v>430</v>
      </c>
      <c r="AM2296" s="1" t="s">
        <v>7361</v>
      </c>
      <c r="AN2296" s="1" t="s">
        <v>7362</v>
      </c>
      <c r="AO2296" s="1" t="s">
        <v>432</v>
      </c>
      <c r="AP2296" s="1" t="s">
        <v>1394</v>
      </c>
      <c r="AQ2296" s="1" t="s">
        <v>74</v>
      </c>
      <c r="AR2296" s="1" t="s">
        <v>433</v>
      </c>
      <c r="AS2296" s="1" t="s">
        <v>434</v>
      </c>
      <c r="AT2296" s="1" t="s">
        <v>11873</v>
      </c>
      <c r="AU2296" s="1">
        <v>2022</v>
      </c>
      <c r="AV2296" s="1">
        <v>292</v>
      </c>
      <c r="AW2296" s="1" t="s">
        <v>74</v>
      </c>
      <c r="AX2296" s="1" t="s">
        <v>13570</v>
      </c>
      <c r="AY2296" s="1" t="s">
        <v>74</v>
      </c>
      <c r="AZ2296" s="1" t="s">
        <v>74</v>
      </c>
      <c r="BA2296" s="1" t="s">
        <v>74</v>
      </c>
      <c r="BB2296" s="1" t="s">
        <v>74</v>
      </c>
      <c r="BC2296" s="1" t="s">
        <v>74</v>
      </c>
      <c r="BD2296" s="1">
        <v>118388</v>
      </c>
      <c r="BE2296" s="1" t="s">
        <v>36770</v>
      </c>
      <c r="BF2296" s="1" t="str">
        <f>HYPERLINK("http://dx.doi.org/10.1016/j.envpol.2021.118388","http://dx.doi.org/10.1016/j.envpol.2021.118388")</f>
        <v>http://dx.doi.org/10.1016/j.envpol.2021.118388</v>
      </c>
      <c r="BG2296" s="1" t="s">
        <v>74</v>
      </c>
      <c r="BH2296" s="1" t="s">
        <v>10880</v>
      </c>
      <c r="BI2296" s="1">
        <v>15</v>
      </c>
      <c r="BJ2296" s="1" t="s">
        <v>144</v>
      </c>
      <c r="BK2296" s="1" t="s">
        <v>96</v>
      </c>
      <c r="BL2296" s="1" t="s">
        <v>145</v>
      </c>
      <c r="BM2296" s="1" t="s">
        <v>36771</v>
      </c>
      <c r="BN2296" s="1">
        <v>34699922</v>
      </c>
      <c r="BO2296" s="1" t="s">
        <v>9583</v>
      </c>
      <c r="BP2296" s="1" t="s">
        <v>74</v>
      </c>
      <c r="BQ2296" s="1" t="s">
        <v>74</v>
      </c>
      <c r="BR2296" s="1" t="s">
        <v>98</v>
      </c>
      <c r="BS2296" s="1" t="s">
        <v>36772</v>
      </c>
      <c r="BT2296" s="1" t="str">
        <f>HYPERLINK("https%3A%2F%2Fwww.webofscience.com%2Fwos%2Fwoscc%2Ffull-record%2FWOS:000744240000004","View Full Record in Web of Science")</f>
        <v>View Full Record in Web of Science</v>
      </c>
      <c r="BU2296" s="1"/>
      <c r="BV2296" s="1"/>
    </row>
    <row r="2297" spans="1:74">
      <c r="A2297" s="1" t="s">
        <v>72</v>
      </c>
      <c r="B2297" s="1" t="s">
        <v>36773</v>
      </c>
      <c r="C2297" s="1" t="s">
        <v>74</v>
      </c>
      <c r="D2297" s="1" t="s">
        <v>74</v>
      </c>
      <c r="E2297" s="1" t="s">
        <v>74</v>
      </c>
      <c r="F2297" s="1" t="s">
        <v>36774</v>
      </c>
      <c r="G2297" s="1" t="s">
        <v>74</v>
      </c>
      <c r="H2297" s="1" t="s">
        <v>74</v>
      </c>
      <c r="I2297" s="1" t="s">
        <v>36775</v>
      </c>
      <c r="J2297" s="1" t="s">
        <v>232</v>
      </c>
      <c r="K2297" s="1" t="s">
        <v>74</v>
      </c>
      <c r="L2297" s="1" t="s">
        <v>74</v>
      </c>
      <c r="M2297" s="1" t="s">
        <v>78</v>
      </c>
      <c r="N2297" s="1" t="s">
        <v>79</v>
      </c>
      <c r="O2297" s="1" t="s">
        <v>74</v>
      </c>
      <c r="P2297" s="1" t="s">
        <v>74</v>
      </c>
      <c r="Q2297" s="1" t="s">
        <v>74</v>
      </c>
      <c r="R2297" s="1" t="s">
        <v>74</v>
      </c>
      <c r="S2297" s="1" t="s">
        <v>74</v>
      </c>
      <c r="T2297" s="1" t="s">
        <v>36776</v>
      </c>
      <c r="U2297" s="1" t="s">
        <v>36777</v>
      </c>
      <c r="V2297" s="1" t="s">
        <v>36778</v>
      </c>
      <c r="W2297" s="1" t="s">
        <v>36779</v>
      </c>
      <c r="X2297" s="1" t="s">
        <v>36780</v>
      </c>
      <c r="Y2297" s="1" t="s">
        <v>36781</v>
      </c>
      <c r="Z2297" s="1" t="s">
        <v>3709</v>
      </c>
      <c r="AA2297" s="1" t="s">
        <v>36782</v>
      </c>
      <c r="AB2297" s="1" t="s">
        <v>26357</v>
      </c>
      <c r="AC2297" s="1" t="s">
        <v>36783</v>
      </c>
      <c r="AD2297" s="1" t="s">
        <v>36784</v>
      </c>
      <c r="AE2297" s="1" t="s">
        <v>36785</v>
      </c>
      <c r="AF2297" s="1" t="s">
        <v>74</v>
      </c>
      <c r="AG2297" s="1">
        <v>33</v>
      </c>
      <c r="AH2297" s="1">
        <v>27</v>
      </c>
      <c r="AI2297" s="1">
        <v>27</v>
      </c>
      <c r="AJ2297" s="1">
        <v>0</v>
      </c>
      <c r="AK2297" s="1">
        <v>51</v>
      </c>
      <c r="AL2297" s="1" t="s">
        <v>136</v>
      </c>
      <c r="AM2297" s="1" t="s">
        <v>137</v>
      </c>
      <c r="AN2297" s="1" t="s">
        <v>138</v>
      </c>
      <c r="AO2297" s="1" t="s">
        <v>240</v>
      </c>
      <c r="AP2297" s="1" t="s">
        <v>241</v>
      </c>
      <c r="AQ2297" s="1" t="s">
        <v>74</v>
      </c>
      <c r="AR2297" s="1" t="s">
        <v>242</v>
      </c>
      <c r="AS2297" s="1" t="s">
        <v>243</v>
      </c>
      <c r="AT2297" s="1" t="s">
        <v>3891</v>
      </c>
      <c r="AU2297" s="1">
        <v>2015</v>
      </c>
      <c r="AV2297" s="1">
        <v>90</v>
      </c>
      <c r="AW2297" s="1" t="s">
        <v>326</v>
      </c>
      <c r="AX2297" s="1" t="s">
        <v>74</v>
      </c>
      <c r="AY2297" s="1" t="s">
        <v>74</v>
      </c>
      <c r="AZ2297" s="1" t="s">
        <v>74</v>
      </c>
      <c r="BA2297" s="1" t="s">
        <v>74</v>
      </c>
      <c r="BB2297" s="1">
        <v>317</v>
      </c>
      <c r="BC2297" s="1">
        <v>322</v>
      </c>
      <c r="BD2297" s="1" t="s">
        <v>74</v>
      </c>
      <c r="BE2297" s="1" t="s">
        <v>36786</v>
      </c>
      <c r="BF2297" s="1" t="str">
        <f>HYPERLINK("http://dx.doi.org/10.1016/j.marpolbul.2014.11.006","http://dx.doi.org/10.1016/j.marpolbul.2014.11.006")</f>
        <v>http://dx.doi.org/10.1016/j.marpolbul.2014.11.006</v>
      </c>
      <c r="BG2297" s="1" t="s">
        <v>74</v>
      </c>
      <c r="BH2297" s="1" t="s">
        <v>74</v>
      </c>
      <c r="BI2297" s="1">
        <v>6</v>
      </c>
      <c r="BJ2297" s="1" t="s">
        <v>247</v>
      </c>
      <c r="BK2297" s="1" t="s">
        <v>96</v>
      </c>
      <c r="BL2297" s="1" t="s">
        <v>248</v>
      </c>
      <c r="BM2297" s="1" t="s">
        <v>36787</v>
      </c>
      <c r="BN2297" s="1">
        <v>25499180</v>
      </c>
      <c r="BO2297" s="1" t="s">
        <v>74</v>
      </c>
      <c r="BP2297" s="1" t="s">
        <v>74</v>
      </c>
      <c r="BQ2297" s="1" t="s">
        <v>74</v>
      </c>
      <c r="BR2297" s="1" t="s">
        <v>98</v>
      </c>
      <c r="BS2297" s="1" t="s">
        <v>36788</v>
      </c>
      <c r="BT2297" s="1" t="str">
        <f>HYPERLINK("https%3A%2F%2Fwww.webofscience.com%2Fwos%2Fwoscc%2Ffull-record%2FWOS:000348964000049","View Full Record in Web of Science")</f>
        <v>View Full Record in Web of Science</v>
      </c>
      <c r="BU2297" s="1"/>
      <c r="BV2297" s="1"/>
    </row>
    <row r="2298" spans="1:74">
      <c r="A2298" s="1" t="s">
        <v>72</v>
      </c>
      <c r="B2298" s="1" t="s">
        <v>36789</v>
      </c>
      <c r="C2298" s="1" t="s">
        <v>74</v>
      </c>
      <c r="D2298" s="1" t="s">
        <v>74</v>
      </c>
      <c r="E2298" s="1" t="s">
        <v>74</v>
      </c>
      <c r="F2298" s="1" t="s">
        <v>36790</v>
      </c>
      <c r="G2298" s="1" t="s">
        <v>74</v>
      </c>
      <c r="H2298" s="1" t="s">
        <v>74</v>
      </c>
      <c r="I2298" s="1" t="s">
        <v>36791</v>
      </c>
      <c r="J2298" s="1" t="s">
        <v>752</v>
      </c>
      <c r="K2298" s="1" t="s">
        <v>74</v>
      </c>
      <c r="L2298" s="1" t="s">
        <v>74</v>
      </c>
      <c r="M2298" s="1" t="s">
        <v>78</v>
      </c>
      <c r="N2298" s="1" t="s">
        <v>79</v>
      </c>
      <c r="O2298" s="1" t="s">
        <v>74</v>
      </c>
      <c r="P2298" s="1" t="s">
        <v>74</v>
      </c>
      <c r="Q2298" s="1" t="s">
        <v>74</v>
      </c>
      <c r="R2298" s="1" t="s">
        <v>74</v>
      </c>
      <c r="S2298" s="1" t="s">
        <v>74</v>
      </c>
      <c r="T2298" s="1" t="s">
        <v>36792</v>
      </c>
      <c r="U2298" s="1" t="s">
        <v>36793</v>
      </c>
      <c r="V2298" s="1" t="s">
        <v>36794</v>
      </c>
      <c r="W2298" s="1" t="s">
        <v>36795</v>
      </c>
      <c r="X2298" s="1" t="s">
        <v>36796</v>
      </c>
      <c r="Y2298" s="1" t="s">
        <v>36797</v>
      </c>
      <c r="Z2298" s="1" t="s">
        <v>36798</v>
      </c>
      <c r="AA2298" s="1" t="s">
        <v>36799</v>
      </c>
      <c r="AB2298" s="1" t="s">
        <v>36800</v>
      </c>
      <c r="AC2298" s="1" t="s">
        <v>36801</v>
      </c>
      <c r="AD2298" s="1" t="s">
        <v>36802</v>
      </c>
      <c r="AE2298" s="1" t="s">
        <v>36803</v>
      </c>
      <c r="AF2298" s="1" t="s">
        <v>74</v>
      </c>
      <c r="AG2298" s="1">
        <v>99</v>
      </c>
      <c r="AH2298" s="1">
        <v>76</v>
      </c>
      <c r="AI2298" s="1">
        <v>83</v>
      </c>
      <c r="AJ2298" s="1">
        <v>6</v>
      </c>
      <c r="AK2298" s="1">
        <v>62</v>
      </c>
      <c r="AL2298" s="1" t="s">
        <v>430</v>
      </c>
      <c r="AM2298" s="1" t="s">
        <v>137</v>
      </c>
      <c r="AN2298" s="1" t="s">
        <v>431</v>
      </c>
      <c r="AO2298" s="1" t="s">
        <v>761</v>
      </c>
      <c r="AP2298" s="1" t="s">
        <v>762</v>
      </c>
      <c r="AQ2298" s="1" t="s">
        <v>74</v>
      </c>
      <c r="AR2298" s="1" t="s">
        <v>763</v>
      </c>
      <c r="AS2298" s="1" t="s">
        <v>764</v>
      </c>
      <c r="AT2298" s="1" t="s">
        <v>170</v>
      </c>
      <c r="AU2298" s="1">
        <v>2014</v>
      </c>
      <c r="AV2298" s="1">
        <v>96</v>
      </c>
      <c r="AW2298" s="1" t="s">
        <v>74</v>
      </c>
      <c r="AX2298" s="1" t="s">
        <v>74</v>
      </c>
      <c r="AY2298" s="1" t="s">
        <v>74</v>
      </c>
      <c r="AZ2298" s="1" t="s">
        <v>225</v>
      </c>
      <c r="BA2298" s="1" t="s">
        <v>74</v>
      </c>
      <c r="BB2298" s="1">
        <v>105</v>
      </c>
      <c r="BC2298" s="1">
        <v>117</v>
      </c>
      <c r="BD2298" s="1" t="s">
        <v>74</v>
      </c>
      <c r="BE2298" s="1" t="s">
        <v>36804</v>
      </c>
      <c r="BF2298" s="1" t="str">
        <f>HYPERLINK("http://dx.doi.org/10.1016/j.marenvres.2013.09.015","http://dx.doi.org/10.1016/j.marenvres.2013.09.015")</f>
        <v>http://dx.doi.org/10.1016/j.marenvres.2013.09.015</v>
      </c>
      <c r="BG2298" s="1" t="s">
        <v>74</v>
      </c>
      <c r="BH2298" s="1" t="s">
        <v>74</v>
      </c>
      <c r="BI2298" s="1">
        <v>13</v>
      </c>
      <c r="BJ2298" s="1" t="s">
        <v>768</v>
      </c>
      <c r="BK2298" s="1" t="s">
        <v>96</v>
      </c>
      <c r="BL2298" s="1" t="s">
        <v>769</v>
      </c>
      <c r="BM2298" s="1" t="s">
        <v>29370</v>
      </c>
      <c r="BN2298" s="1">
        <v>24119442</v>
      </c>
      <c r="BO2298" s="1" t="s">
        <v>74</v>
      </c>
      <c r="BP2298" s="1" t="s">
        <v>74</v>
      </c>
      <c r="BQ2298" s="1" t="s">
        <v>74</v>
      </c>
      <c r="BR2298" s="1" t="s">
        <v>98</v>
      </c>
      <c r="BS2298" s="1" t="s">
        <v>36805</v>
      </c>
      <c r="BT2298" s="1" t="str">
        <f>HYPERLINK("https%3A%2F%2Fwww.webofscience.com%2Fwos%2Fwoscc%2Ffull-record%2FWOS:000334981600013","View Full Record in Web of Science")</f>
        <v>View Full Record in Web of Science</v>
      </c>
      <c r="BU2298" s="1"/>
      <c r="BV2298" s="1"/>
    </row>
    <row r="2299" spans="1:74">
      <c r="A2299" s="1" t="s">
        <v>72</v>
      </c>
      <c r="B2299" s="1" t="s">
        <v>36806</v>
      </c>
      <c r="C2299" s="1" t="s">
        <v>74</v>
      </c>
      <c r="D2299" s="1" t="s">
        <v>74</v>
      </c>
      <c r="E2299" s="1" t="s">
        <v>74</v>
      </c>
      <c r="F2299" s="1" t="s">
        <v>36807</v>
      </c>
      <c r="G2299" s="1" t="s">
        <v>74</v>
      </c>
      <c r="H2299" s="1" t="s">
        <v>74</v>
      </c>
      <c r="I2299" s="1" t="s">
        <v>36808</v>
      </c>
      <c r="J2299" s="1" t="s">
        <v>232</v>
      </c>
      <c r="K2299" s="1" t="s">
        <v>74</v>
      </c>
      <c r="L2299" s="1" t="s">
        <v>74</v>
      </c>
      <c r="M2299" s="1" t="s">
        <v>78</v>
      </c>
      <c r="N2299" s="1" t="s">
        <v>79</v>
      </c>
      <c r="O2299" s="1" t="s">
        <v>74</v>
      </c>
      <c r="P2299" s="1" t="s">
        <v>74</v>
      </c>
      <c r="Q2299" s="1" t="s">
        <v>74</v>
      </c>
      <c r="R2299" s="1" t="s">
        <v>74</v>
      </c>
      <c r="S2299" s="1" t="s">
        <v>74</v>
      </c>
      <c r="T2299" s="1" t="s">
        <v>36809</v>
      </c>
      <c r="U2299" s="1" t="s">
        <v>36810</v>
      </c>
      <c r="V2299" s="1" t="s">
        <v>36811</v>
      </c>
      <c r="W2299" s="1" t="s">
        <v>36812</v>
      </c>
      <c r="X2299" s="1" t="s">
        <v>36813</v>
      </c>
      <c r="Y2299" s="1" t="s">
        <v>36814</v>
      </c>
      <c r="Z2299" s="1" t="s">
        <v>19449</v>
      </c>
      <c r="AA2299" s="1" t="s">
        <v>74</v>
      </c>
      <c r="AB2299" s="1" t="s">
        <v>74</v>
      </c>
      <c r="AC2299" s="1" t="s">
        <v>36815</v>
      </c>
      <c r="AD2299" s="1" t="s">
        <v>36816</v>
      </c>
      <c r="AE2299" s="1" t="s">
        <v>36817</v>
      </c>
      <c r="AF2299" s="1" t="s">
        <v>74</v>
      </c>
      <c r="AG2299" s="1">
        <v>109</v>
      </c>
      <c r="AH2299" s="1">
        <v>16</v>
      </c>
      <c r="AI2299" s="1">
        <v>19</v>
      </c>
      <c r="AJ2299" s="1">
        <v>2</v>
      </c>
      <c r="AK2299" s="1">
        <v>50</v>
      </c>
      <c r="AL2299" s="1" t="s">
        <v>136</v>
      </c>
      <c r="AM2299" s="1" t="s">
        <v>137</v>
      </c>
      <c r="AN2299" s="1" t="s">
        <v>138</v>
      </c>
      <c r="AO2299" s="1" t="s">
        <v>240</v>
      </c>
      <c r="AP2299" s="1" t="s">
        <v>241</v>
      </c>
      <c r="AQ2299" s="1" t="s">
        <v>74</v>
      </c>
      <c r="AR2299" s="1" t="s">
        <v>242</v>
      </c>
      <c r="AS2299" s="1" t="s">
        <v>243</v>
      </c>
      <c r="AT2299" s="1" t="s">
        <v>142</v>
      </c>
      <c r="AU2299" s="1">
        <v>2018</v>
      </c>
      <c r="AV2299" s="1">
        <v>131</v>
      </c>
      <c r="AW2299" s="1" t="s">
        <v>74</v>
      </c>
      <c r="AX2299" s="1" t="s">
        <v>489</v>
      </c>
      <c r="AY2299" s="1" t="s">
        <v>74</v>
      </c>
      <c r="AZ2299" s="1" t="s">
        <v>74</v>
      </c>
      <c r="BA2299" s="1" t="s">
        <v>74</v>
      </c>
      <c r="BB2299" s="1">
        <v>180</v>
      </c>
      <c r="BC2299" s="1">
        <v>190</v>
      </c>
      <c r="BD2299" s="1" t="s">
        <v>74</v>
      </c>
      <c r="BE2299" s="1" t="s">
        <v>36818</v>
      </c>
      <c r="BF2299" s="1" t="str">
        <f>HYPERLINK("http://dx.doi.org/10.1016/j.marpolbul.2018.04.024","http://dx.doi.org/10.1016/j.marpolbul.2018.04.024")</f>
        <v>http://dx.doi.org/10.1016/j.marpolbul.2018.04.024</v>
      </c>
      <c r="BG2299" s="1" t="s">
        <v>74</v>
      </c>
      <c r="BH2299" s="1" t="s">
        <v>74</v>
      </c>
      <c r="BI2299" s="1">
        <v>11</v>
      </c>
      <c r="BJ2299" s="1" t="s">
        <v>247</v>
      </c>
      <c r="BK2299" s="1" t="s">
        <v>96</v>
      </c>
      <c r="BL2299" s="1" t="s">
        <v>248</v>
      </c>
      <c r="BM2299" s="1" t="s">
        <v>491</v>
      </c>
      <c r="BN2299" s="1">
        <v>29886935</v>
      </c>
      <c r="BO2299" s="1" t="s">
        <v>74</v>
      </c>
      <c r="BP2299" s="1" t="s">
        <v>74</v>
      </c>
      <c r="BQ2299" s="1" t="s">
        <v>74</v>
      </c>
      <c r="BR2299" s="1" t="s">
        <v>98</v>
      </c>
      <c r="BS2299" s="1" t="s">
        <v>36819</v>
      </c>
      <c r="BT2299" s="1" t="str">
        <f>HYPERLINK("https%3A%2F%2Fwww.webofscience.com%2Fwos%2Fwoscc%2Ffull-record%2FWOS:000437060300021","View Full Record in Web of Science")</f>
        <v>View Full Record in Web of Science</v>
      </c>
      <c r="BU2299" s="1"/>
      <c r="BV2299" s="1"/>
    </row>
    <row r="2300" spans="1:74">
      <c r="A2300" s="1" t="s">
        <v>72</v>
      </c>
      <c r="B2300" s="1" t="s">
        <v>36820</v>
      </c>
      <c r="C2300" s="1" t="s">
        <v>74</v>
      </c>
      <c r="D2300" s="1" t="s">
        <v>74</v>
      </c>
      <c r="E2300" s="1" t="s">
        <v>74</v>
      </c>
      <c r="F2300" s="1" t="s">
        <v>36821</v>
      </c>
      <c r="G2300" s="1" t="s">
        <v>74</v>
      </c>
      <c r="H2300" s="1" t="s">
        <v>74</v>
      </c>
      <c r="I2300" s="1" t="s">
        <v>36822</v>
      </c>
      <c r="J2300" s="1" t="s">
        <v>19334</v>
      </c>
      <c r="K2300" s="1" t="s">
        <v>74</v>
      </c>
      <c r="L2300" s="1" t="s">
        <v>74</v>
      </c>
      <c r="M2300" s="1" t="s">
        <v>78</v>
      </c>
      <c r="N2300" s="1" t="s">
        <v>79</v>
      </c>
      <c r="O2300" s="1" t="s">
        <v>74</v>
      </c>
      <c r="P2300" s="1" t="s">
        <v>74</v>
      </c>
      <c r="Q2300" s="1" t="s">
        <v>74</v>
      </c>
      <c r="R2300" s="1" t="s">
        <v>74</v>
      </c>
      <c r="S2300" s="1" t="s">
        <v>74</v>
      </c>
      <c r="T2300" s="1" t="s">
        <v>36823</v>
      </c>
      <c r="U2300" s="1" t="s">
        <v>36824</v>
      </c>
      <c r="V2300" s="1" t="s">
        <v>36825</v>
      </c>
      <c r="W2300" s="1" t="s">
        <v>36826</v>
      </c>
      <c r="X2300" s="1" t="s">
        <v>33799</v>
      </c>
      <c r="Y2300" s="1" t="s">
        <v>36827</v>
      </c>
      <c r="Z2300" s="1" t="s">
        <v>36828</v>
      </c>
      <c r="AA2300" s="1" t="s">
        <v>36829</v>
      </c>
      <c r="AB2300" s="1" t="s">
        <v>36830</v>
      </c>
      <c r="AC2300" s="1" t="s">
        <v>36831</v>
      </c>
      <c r="AD2300" s="1" t="s">
        <v>36832</v>
      </c>
      <c r="AE2300" s="1" t="s">
        <v>36833</v>
      </c>
      <c r="AF2300" s="1" t="s">
        <v>74</v>
      </c>
      <c r="AG2300" s="1">
        <v>43</v>
      </c>
      <c r="AH2300" s="1">
        <v>75</v>
      </c>
      <c r="AI2300" s="1">
        <v>78</v>
      </c>
      <c r="AJ2300" s="1">
        <v>10</v>
      </c>
      <c r="AK2300" s="1">
        <v>275</v>
      </c>
      <c r="AL2300" s="1" t="s">
        <v>19345</v>
      </c>
      <c r="AM2300" s="1" t="s">
        <v>1351</v>
      </c>
      <c r="AN2300" s="1" t="s">
        <v>19346</v>
      </c>
      <c r="AO2300" s="1" t="s">
        <v>19347</v>
      </c>
      <c r="AP2300" s="1" t="s">
        <v>19348</v>
      </c>
      <c r="AQ2300" s="1" t="s">
        <v>74</v>
      </c>
      <c r="AR2300" s="1" t="s">
        <v>19349</v>
      </c>
      <c r="AS2300" s="1" t="s">
        <v>19350</v>
      </c>
      <c r="AT2300" s="1" t="s">
        <v>387</v>
      </c>
      <c r="AU2300" s="1">
        <v>2017</v>
      </c>
      <c r="AV2300" s="1">
        <v>316</v>
      </c>
      <c r="AW2300" s="1" t="s">
        <v>74</v>
      </c>
      <c r="AX2300" s="1" t="s">
        <v>74</v>
      </c>
      <c r="AY2300" s="1" t="s">
        <v>74</v>
      </c>
      <c r="AZ2300" s="1" t="s">
        <v>74</v>
      </c>
      <c r="BA2300" s="1" t="s">
        <v>74</v>
      </c>
      <c r="BB2300" s="1">
        <v>727</v>
      </c>
      <c r="BC2300" s="1">
        <v>735</v>
      </c>
      <c r="BD2300" s="1" t="s">
        <v>74</v>
      </c>
      <c r="BE2300" s="1" t="s">
        <v>36834</v>
      </c>
      <c r="BF2300" s="1" t="str">
        <f>HYPERLINK("http://dx.doi.org/10.1016/j.cej.2017.02.029","http://dx.doi.org/10.1016/j.cej.2017.02.029")</f>
        <v>http://dx.doi.org/10.1016/j.cej.2017.02.029</v>
      </c>
      <c r="BG2300" s="1" t="s">
        <v>74</v>
      </c>
      <c r="BH2300" s="1" t="s">
        <v>74</v>
      </c>
      <c r="BI2300" s="1">
        <v>9</v>
      </c>
      <c r="BJ2300" s="1" t="s">
        <v>3991</v>
      </c>
      <c r="BK2300" s="1" t="s">
        <v>96</v>
      </c>
      <c r="BL2300" s="1" t="s">
        <v>3992</v>
      </c>
      <c r="BM2300" s="1" t="s">
        <v>36835</v>
      </c>
      <c r="BN2300" s="1" t="s">
        <v>74</v>
      </c>
      <c r="BO2300" s="1" t="s">
        <v>74</v>
      </c>
      <c r="BP2300" s="1" t="s">
        <v>74</v>
      </c>
      <c r="BQ2300" s="1" t="s">
        <v>74</v>
      </c>
      <c r="BR2300" s="1" t="s">
        <v>98</v>
      </c>
      <c r="BS2300" s="1" t="s">
        <v>36836</v>
      </c>
      <c r="BT2300" s="1" t="str">
        <f>HYPERLINK("https%3A%2F%2Fwww.webofscience.com%2Fwos%2Fwoscc%2Ffull-record%2FWOS:000398985200075","View Full Record in Web of Science")</f>
        <v>View Full Record in Web of Science</v>
      </c>
      <c r="BU2300" s="1"/>
      <c r="BV2300" s="1"/>
    </row>
    <row r="2301" spans="1:74">
      <c r="A2301" s="1" t="s">
        <v>72</v>
      </c>
      <c r="B2301" s="1" t="s">
        <v>23874</v>
      </c>
      <c r="C2301" s="1" t="s">
        <v>74</v>
      </c>
      <c r="D2301" s="1" t="s">
        <v>74</v>
      </c>
      <c r="E2301" s="1" t="s">
        <v>74</v>
      </c>
      <c r="F2301" s="1" t="s">
        <v>23875</v>
      </c>
      <c r="G2301" s="1" t="s">
        <v>74</v>
      </c>
      <c r="H2301" s="1" t="s">
        <v>74</v>
      </c>
      <c r="I2301" s="1" t="s">
        <v>36837</v>
      </c>
      <c r="J2301" s="1" t="s">
        <v>1607</v>
      </c>
      <c r="K2301" s="1" t="s">
        <v>74</v>
      </c>
      <c r="L2301" s="1" t="s">
        <v>74</v>
      </c>
      <c r="M2301" s="1" t="s">
        <v>78</v>
      </c>
      <c r="N2301" s="1" t="s">
        <v>79</v>
      </c>
      <c r="O2301" s="1" t="s">
        <v>74</v>
      </c>
      <c r="P2301" s="1" t="s">
        <v>74</v>
      </c>
      <c r="Q2301" s="1" t="s">
        <v>74</v>
      </c>
      <c r="R2301" s="1" t="s">
        <v>74</v>
      </c>
      <c r="S2301" s="1" t="s">
        <v>74</v>
      </c>
      <c r="T2301" s="1" t="s">
        <v>36838</v>
      </c>
      <c r="U2301" s="1" t="s">
        <v>36839</v>
      </c>
      <c r="V2301" s="1" t="s">
        <v>36840</v>
      </c>
      <c r="W2301" s="1" t="s">
        <v>36841</v>
      </c>
      <c r="X2301" s="1" t="s">
        <v>36842</v>
      </c>
      <c r="Y2301" s="1" t="s">
        <v>36843</v>
      </c>
      <c r="Z2301" s="1" t="s">
        <v>23882</v>
      </c>
      <c r="AA2301" s="1" t="s">
        <v>74</v>
      </c>
      <c r="AB2301" s="1" t="s">
        <v>74</v>
      </c>
      <c r="AC2301" s="1" t="s">
        <v>36844</v>
      </c>
      <c r="AD2301" s="1" t="s">
        <v>36844</v>
      </c>
      <c r="AE2301" s="1" t="s">
        <v>36845</v>
      </c>
      <c r="AF2301" s="1" t="s">
        <v>74</v>
      </c>
      <c r="AG2301" s="1">
        <v>39</v>
      </c>
      <c r="AH2301" s="1">
        <v>2</v>
      </c>
      <c r="AI2301" s="1">
        <v>3</v>
      </c>
      <c r="AJ2301" s="1">
        <v>0</v>
      </c>
      <c r="AK2301" s="1">
        <v>5</v>
      </c>
      <c r="AL2301" s="1" t="s">
        <v>1620</v>
      </c>
      <c r="AM2301" s="1" t="s">
        <v>1621</v>
      </c>
      <c r="AN2301" s="1" t="s">
        <v>1622</v>
      </c>
      <c r="AO2301" s="1" t="s">
        <v>1623</v>
      </c>
      <c r="AP2301" s="1" t="s">
        <v>74</v>
      </c>
      <c r="AQ2301" s="1" t="s">
        <v>74</v>
      </c>
      <c r="AR2301" s="1" t="s">
        <v>1607</v>
      </c>
      <c r="AS2301" s="1" t="s">
        <v>1625</v>
      </c>
      <c r="AT2301" s="1" t="s">
        <v>267</v>
      </c>
      <c r="AU2301" s="1">
        <v>2008</v>
      </c>
      <c r="AV2301" s="1">
        <v>34</v>
      </c>
      <c r="AW2301" s="1">
        <v>5</v>
      </c>
      <c r="AX2301" s="1" t="s">
        <v>74</v>
      </c>
      <c r="AY2301" s="1" t="s">
        <v>74</v>
      </c>
      <c r="AZ2301" s="1" t="s">
        <v>74</v>
      </c>
      <c r="BA2301" s="1" t="s">
        <v>74</v>
      </c>
      <c r="BB2301" s="1">
        <v>623</v>
      </c>
      <c r="BC2301" s="1">
        <v>630</v>
      </c>
      <c r="BD2301" s="1" t="s">
        <v>74</v>
      </c>
      <c r="BE2301" s="1" t="s">
        <v>74</v>
      </c>
      <c r="BF2301" s="1" t="s">
        <v>74</v>
      </c>
      <c r="BG2301" s="1" t="s">
        <v>74</v>
      </c>
      <c r="BH2301" s="1" t="s">
        <v>74</v>
      </c>
      <c r="BI2301" s="1">
        <v>8</v>
      </c>
      <c r="BJ2301" s="1" t="s">
        <v>1626</v>
      </c>
      <c r="BK2301" s="1" t="s">
        <v>96</v>
      </c>
      <c r="BL2301" s="1" t="s">
        <v>1626</v>
      </c>
      <c r="BM2301" s="1" t="s">
        <v>36846</v>
      </c>
      <c r="BN2301" s="1" t="s">
        <v>74</v>
      </c>
      <c r="BO2301" s="1" t="s">
        <v>74</v>
      </c>
      <c r="BP2301" s="1" t="s">
        <v>74</v>
      </c>
      <c r="BQ2301" s="1" t="s">
        <v>74</v>
      </c>
      <c r="BR2301" s="1" t="s">
        <v>98</v>
      </c>
      <c r="BS2301" s="1" t="s">
        <v>36847</v>
      </c>
      <c r="BT2301" s="1" t="str">
        <f>HYPERLINK("https%3A%2F%2Fwww.webofscience.com%2Fwos%2Fwoscc%2Ffull-record%2FWOS:000261309000012","View Full Record in Web of Science")</f>
        <v>View Full Record in Web of Science</v>
      </c>
      <c r="BU2301" s="1"/>
      <c r="BV2301" s="1"/>
    </row>
    <row r="2302" spans="1:74">
      <c r="A2302" s="1" t="s">
        <v>72</v>
      </c>
      <c r="B2302" s="1" t="s">
        <v>36848</v>
      </c>
      <c r="C2302" s="1" t="s">
        <v>74</v>
      </c>
      <c r="D2302" s="1" t="s">
        <v>74</v>
      </c>
      <c r="E2302" s="1" t="s">
        <v>74</v>
      </c>
      <c r="F2302" s="1" t="s">
        <v>36848</v>
      </c>
      <c r="G2302" s="1" t="s">
        <v>74</v>
      </c>
      <c r="H2302" s="1" t="s">
        <v>74</v>
      </c>
      <c r="I2302" s="1" t="s">
        <v>36849</v>
      </c>
      <c r="J2302" s="1" t="s">
        <v>232</v>
      </c>
      <c r="K2302" s="1" t="s">
        <v>74</v>
      </c>
      <c r="L2302" s="1" t="s">
        <v>74</v>
      </c>
      <c r="M2302" s="1" t="s">
        <v>78</v>
      </c>
      <c r="N2302" s="1" t="s">
        <v>79</v>
      </c>
      <c r="O2302" s="1" t="s">
        <v>74</v>
      </c>
      <c r="P2302" s="1" t="s">
        <v>74</v>
      </c>
      <c r="Q2302" s="1" t="s">
        <v>74</v>
      </c>
      <c r="R2302" s="1" t="s">
        <v>74</v>
      </c>
      <c r="S2302" s="1" t="s">
        <v>74</v>
      </c>
      <c r="T2302" s="1" t="s">
        <v>74</v>
      </c>
      <c r="U2302" s="1" t="s">
        <v>36850</v>
      </c>
      <c r="V2302" s="1" t="s">
        <v>74</v>
      </c>
      <c r="W2302" s="1" t="s">
        <v>74</v>
      </c>
      <c r="X2302" s="1" t="s">
        <v>74</v>
      </c>
      <c r="Y2302" s="1" t="s">
        <v>36851</v>
      </c>
      <c r="Z2302" s="1" t="s">
        <v>74</v>
      </c>
      <c r="AA2302" s="1" t="s">
        <v>74</v>
      </c>
      <c r="AB2302" s="1" t="s">
        <v>74</v>
      </c>
      <c r="AC2302" s="1" t="s">
        <v>74</v>
      </c>
      <c r="AD2302" s="1" t="s">
        <v>74</v>
      </c>
      <c r="AE2302" s="1" t="s">
        <v>74</v>
      </c>
      <c r="AF2302" s="1" t="s">
        <v>74</v>
      </c>
      <c r="AG2302" s="1">
        <v>29</v>
      </c>
      <c r="AH2302" s="1">
        <v>22</v>
      </c>
      <c r="AI2302" s="1">
        <v>22</v>
      </c>
      <c r="AJ2302" s="1">
        <v>1</v>
      </c>
      <c r="AK2302" s="1">
        <v>7</v>
      </c>
      <c r="AL2302" s="1" t="s">
        <v>136</v>
      </c>
      <c r="AM2302" s="1" t="s">
        <v>137</v>
      </c>
      <c r="AN2302" s="1" t="s">
        <v>138</v>
      </c>
      <c r="AO2302" s="1" t="s">
        <v>240</v>
      </c>
      <c r="AP2302" s="1" t="s">
        <v>241</v>
      </c>
      <c r="AQ2302" s="1" t="s">
        <v>74</v>
      </c>
      <c r="AR2302" s="1" t="s">
        <v>242</v>
      </c>
      <c r="AS2302" s="1" t="s">
        <v>243</v>
      </c>
      <c r="AT2302" s="1" t="s">
        <v>170</v>
      </c>
      <c r="AU2302" s="1">
        <v>1996</v>
      </c>
      <c r="AV2302" s="1">
        <v>32</v>
      </c>
      <c r="AW2302" s="1">
        <v>5</v>
      </c>
      <c r="AX2302" s="1" t="s">
        <v>74</v>
      </c>
      <c r="AY2302" s="1" t="s">
        <v>74</v>
      </c>
      <c r="AZ2302" s="1" t="s">
        <v>74</v>
      </c>
      <c r="BA2302" s="1" t="s">
        <v>74</v>
      </c>
      <c r="BB2302" s="1">
        <v>444</v>
      </c>
      <c r="BC2302" s="1">
        <v>448</v>
      </c>
      <c r="BD2302" s="1" t="s">
        <v>74</v>
      </c>
      <c r="BE2302" s="1" t="s">
        <v>36852</v>
      </c>
      <c r="BF2302" s="1" t="str">
        <f>HYPERLINK("http://dx.doi.org/10.1016/0025-326X(96)00006-9","http://dx.doi.org/10.1016/0025-326X(96)00006-9")</f>
        <v>http://dx.doi.org/10.1016/0025-326X(96)00006-9</v>
      </c>
      <c r="BG2302" s="1" t="s">
        <v>74</v>
      </c>
      <c r="BH2302" s="1" t="s">
        <v>74</v>
      </c>
      <c r="BI2302" s="1">
        <v>5</v>
      </c>
      <c r="BJ2302" s="1" t="s">
        <v>247</v>
      </c>
      <c r="BK2302" s="1" t="s">
        <v>96</v>
      </c>
      <c r="BL2302" s="1" t="s">
        <v>248</v>
      </c>
      <c r="BM2302" s="1" t="s">
        <v>22326</v>
      </c>
      <c r="BN2302" s="1" t="s">
        <v>74</v>
      </c>
      <c r="BO2302" s="1" t="s">
        <v>74</v>
      </c>
      <c r="BP2302" s="1" t="s">
        <v>74</v>
      </c>
      <c r="BQ2302" s="1" t="s">
        <v>74</v>
      </c>
      <c r="BR2302" s="1" t="s">
        <v>98</v>
      </c>
      <c r="BS2302" s="1" t="s">
        <v>36853</v>
      </c>
      <c r="BT2302" s="1" t="str">
        <f>HYPERLINK("https%3A%2F%2Fwww.webofscience.com%2Fwos%2Fwoscc%2Ffull-record%2FWOS:A1996UR12600019","View Full Record in Web of Science")</f>
        <v>View Full Record in Web of Science</v>
      </c>
      <c r="BU2302" s="1"/>
      <c r="BV2302" s="1"/>
    </row>
    <row r="2303" spans="1:74">
      <c r="A2303" s="1" t="s">
        <v>72</v>
      </c>
      <c r="B2303" s="1" t="s">
        <v>36854</v>
      </c>
      <c r="C2303" s="1" t="s">
        <v>74</v>
      </c>
      <c r="D2303" s="1" t="s">
        <v>74</v>
      </c>
      <c r="E2303" s="1" t="s">
        <v>74</v>
      </c>
      <c r="F2303" s="1" t="s">
        <v>36854</v>
      </c>
      <c r="G2303" s="1" t="s">
        <v>74</v>
      </c>
      <c r="H2303" s="1" t="s">
        <v>74</v>
      </c>
      <c r="I2303" s="1" t="s">
        <v>36855</v>
      </c>
      <c r="J2303" s="1" t="s">
        <v>752</v>
      </c>
      <c r="K2303" s="1" t="s">
        <v>74</v>
      </c>
      <c r="L2303" s="1" t="s">
        <v>74</v>
      </c>
      <c r="M2303" s="1" t="s">
        <v>78</v>
      </c>
      <c r="N2303" s="1" t="s">
        <v>151</v>
      </c>
      <c r="O2303" s="1" t="s">
        <v>9548</v>
      </c>
      <c r="P2303" s="1" t="s">
        <v>9549</v>
      </c>
      <c r="Q2303" s="1" t="s">
        <v>9550</v>
      </c>
      <c r="R2303" s="1" t="s">
        <v>74</v>
      </c>
      <c r="S2303" s="1" t="s">
        <v>9551</v>
      </c>
      <c r="T2303" s="1" t="s">
        <v>36856</v>
      </c>
      <c r="U2303" s="1" t="s">
        <v>74</v>
      </c>
      <c r="V2303" s="1" t="s">
        <v>36857</v>
      </c>
      <c r="W2303" s="1" t="s">
        <v>36858</v>
      </c>
      <c r="X2303" s="1" t="s">
        <v>36859</v>
      </c>
      <c r="Y2303" s="1" t="s">
        <v>36860</v>
      </c>
      <c r="Z2303" s="1" t="s">
        <v>74</v>
      </c>
      <c r="AA2303" s="1" t="s">
        <v>36861</v>
      </c>
      <c r="AB2303" s="1" t="s">
        <v>74</v>
      </c>
      <c r="AC2303" s="1" t="s">
        <v>74</v>
      </c>
      <c r="AD2303" s="1" t="s">
        <v>74</v>
      </c>
      <c r="AE2303" s="1" t="s">
        <v>74</v>
      </c>
      <c r="AF2303" s="1" t="s">
        <v>74</v>
      </c>
      <c r="AG2303" s="1">
        <v>8</v>
      </c>
      <c r="AH2303" s="1">
        <v>36</v>
      </c>
      <c r="AI2303" s="1">
        <v>44</v>
      </c>
      <c r="AJ2303" s="1">
        <v>0</v>
      </c>
      <c r="AK2303" s="1">
        <v>21</v>
      </c>
      <c r="AL2303" s="1" t="s">
        <v>430</v>
      </c>
      <c r="AM2303" s="1" t="s">
        <v>137</v>
      </c>
      <c r="AN2303" s="1" t="s">
        <v>431</v>
      </c>
      <c r="AO2303" s="1" t="s">
        <v>761</v>
      </c>
      <c r="AP2303" s="1" t="s">
        <v>74</v>
      </c>
      <c r="AQ2303" s="1" t="s">
        <v>74</v>
      </c>
      <c r="AR2303" s="1" t="s">
        <v>763</v>
      </c>
      <c r="AS2303" s="1" t="s">
        <v>764</v>
      </c>
      <c r="AT2303" s="1" t="s">
        <v>5113</v>
      </c>
      <c r="AU2303" s="1">
        <v>2000</v>
      </c>
      <c r="AV2303" s="1">
        <v>50</v>
      </c>
      <c r="AW2303" s="1" t="s">
        <v>9558</v>
      </c>
      <c r="AX2303" s="1" t="s">
        <v>74</v>
      </c>
      <c r="AY2303" s="1" t="s">
        <v>74</v>
      </c>
      <c r="AZ2303" s="1" t="s">
        <v>74</v>
      </c>
      <c r="BA2303" s="1" t="s">
        <v>74</v>
      </c>
      <c r="BB2303" s="1">
        <v>319</v>
      </c>
      <c r="BC2303" s="1">
        <v>323</v>
      </c>
      <c r="BD2303" s="1" t="s">
        <v>74</v>
      </c>
      <c r="BE2303" s="1" t="s">
        <v>36862</v>
      </c>
      <c r="BF2303" s="1" t="str">
        <f>HYPERLINK("http://dx.doi.org/10.1016/S0141-1136(00)00057-X","http://dx.doi.org/10.1016/S0141-1136(00)00057-X")</f>
        <v>http://dx.doi.org/10.1016/S0141-1136(00)00057-X</v>
      </c>
      <c r="BG2303" s="1" t="s">
        <v>74</v>
      </c>
      <c r="BH2303" s="1" t="s">
        <v>74</v>
      </c>
      <c r="BI2303" s="1">
        <v>5</v>
      </c>
      <c r="BJ2303" s="1" t="s">
        <v>768</v>
      </c>
      <c r="BK2303" s="1" t="s">
        <v>588</v>
      </c>
      <c r="BL2303" s="1" t="s">
        <v>769</v>
      </c>
      <c r="BM2303" s="1" t="s">
        <v>9560</v>
      </c>
      <c r="BN2303" s="1">
        <v>11460711</v>
      </c>
      <c r="BO2303" s="1" t="s">
        <v>74</v>
      </c>
      <c r="BP2303" s="1" t="s">
        <v>74</v>
      </c>
      <c r="BQ2303" s="1" t="s">
        <v>74</v>
      </c>
      <c r="BR2303" s="1" t="s">
        <v>98</v>
      </c>
      <c r="BS2303" s="1" t="s">
        <v>36863</v>
      </c>
      <c r="BT2303" s="1" t="str">
        <f>HYPERLINK("https%3A%2F%2Fwww.webofscience.com%2Fwos%2Fwoscc%2Ffull-record%2FWOS:000165486700052","View Full Record in Web of Science")</f>
        <v>View Full Record in Web of Science</v>
      </c>
      <c r="BU2303" s="1"/>
      <c r="BV2303" s="1"/>
    </row>
    <row r="2304" spans="1:74">
      <c r="A2304" s="1" t="s">
        <v>72</v>
      </c>
      <c r="B2304" s="1" t="s">
        <v>36864</v>
      </c>
      <c r="C2304" s="1" t="s">
        <v>74</v>
      </c>
      <c r="D2304" s="1" t="s">
        <v>74</v>
      </c>
      <c r="E2304" s="1" t="s">
        <v>74</v>
      </c>
      <c r="F2304" s="1" t="s">
        <v>36865</v>
      </c>
      <c r="G2304" s="1" t="s">
        <v>74</v>
      </c>
      <c r="H2304" s="1" t="s">
        <v>74</v>
      </c>
      <c r="I2304" s="1" t="s">
        <v>36866</v>
      </c>
      <c r="J2304" s="1" t="s">
        <v>36867</v>
      </c>
      <c r="K2304" s="1" t="s">
        <v>74</v>
      </c>
      <c r="L2304" s="1" t="s">
        <v>74</v>
      </c>
      <c r="M2304" s="1" t="s">
        <v>78</v>
      </c>
      <c r="N2304" s="1" t="s">
        <v>79</v>
      </c>
      <c r="O2304" s="1" t="s">
        <v>74</v>
      </c>
      <c r="P2304" s="1" t="s">
        <v>74</v>
      </c>
      <c r="Q2304" s="1" t="s">
        <v>74</v>
      </c>
      <c r="R2304" s="1" t="s">
        <v>74</v>
      </c>
      <c r="S2304" s="1" t="s">
        <v>74</v>
      </c>
      <c r="T2304" s="1" t="s">
        <v>36868</v>
      </c>
      <c r="U2304" s="1" t="s">
        <v>36869</v>
      </c>
      <c r="V2304" s="1" t="s">
        <v>36870</v>
      </c>
      <c r="W2304" s="1" t="s">
        <v>36871</v>
      </c>
      <c r="X2304" s="1" t="s">
        <v>36872</v>
      </c>
      <c r="Y2304" s="1" t="s">
        <v>36873</v>
      </c>
      <c r="Z2304" s="1" t="s">
        <v>36874</v>
      </c>
      <c r="AA2304" s="1" t="s">
        <v>36875</v>
      </c>
      <c r="AB2304" s="1" t="s">
        <v>74</v>
      </c>
      <c r="AC2304" s="1" t="s">
        <v>36876</v>
      </c>
      <c r="AD2304" s="1" t="s">
        <v>36877</v>
      </c>
      <c r="AE2304" s="1" t="s">
        <v>36878</v>
      </c>
      <c r="AF2304" s="1" t="s">
        <v>74</v>
      </c>
      <c r="AG2304" s="1">
        <v>52</v>
      </c>
      <c r="AH2304" s="1">
        <v>1</v>
      </c>
      <c r="AI2304" s="1">
        <v>1</v>
      </c>
      <c r="AJ2304" s="1">
        <v>5</v>
      </c>
      <c r="AK2304" s="1">
        <v>7</v>
      </c>
      <c r="AL2304" s="1" t="s">
        <v>6554</v>
      </c>
      <c r="AM2304" s="1" t="s">
        <v>113</v>
      </c>
      <c r="AN2304" s="1" t="s">
        <v>6555</v>
      </c>
      <c r="AO2304" s="1" t="s">
        <v>36879</v>
      </c>
      <c r="AP2304" s="1" t="s">
        <v>36880</v>
      </c>
      <c r="AQ2304" s="1" t="s">
        <v>74</v>
      </c>
      <c r="AR2304" s="1" t="s">
        <v>36881</v>
      </c>
      <c r="AS2304" s="1" t="s">
        <v>36882</v>
      </c>
      <c r="AT2304" s="1" t="s">
        <v>119</v>
      </c>
      <c r="AU2304" s="1">
        <v>2023</v>
      </c>
      <c r="AV2304" s="1">
        <v>92</v>
      </c>
      <c r="AW2304" s="1">
        <v>4</v>
      </c>
      <c r="AX2304" s="1" t="s">
        <v>74</v>
      </c>
      <c r="AY2304" s="1" t="s">
        <v>74</v>
      </c>
      <c r="AZ2304" s="1" t="s">
        <v>74</v>
      </c>
      <c r="BA2304" s="1" t="s">
        <v>74</v>
      </c>
      <c r="BB2304" s="1">
        <v>552</v>
      </c>
      <c r="BC2304" s="1">
        <v>563</v>
      </c>
      <c r="BD2304" s="1" t="s">
        <v>74</v>
      </c>
      <c r="BE2304" s="1" t="s">
        <v>36883</v>
      </c>
      <c r="BF2304" s="1" t="str">
        <f>HYPERLINK("http://dx.doi.org/10.1134/S0026261723600982","http://dx.doi.org/10.1134/S0026261723600982")</f>
        <v>http://dx.doi.org/10.1134/S0026261723600982</v>
      </c>
      <c r="BG2304" s="1" t="s">
        <v>74</v>
      </c>
      <c r="BH2304" s="1" t="s">
        <v>74</v>
      </c>
      <c r="BI2304" s="1">
        <v>12</v>
      </c>
      <c r="BJ2304" s="1" t="s">
        <v>36882</v>
      </c>
      <c r="BK2304" s="1" t="s">
        <v>96</v>
      </c>
      <c r="BL2304" s="1" t="s">
        <v>36882</v>
      </c>
      <c r="BM2304" s="1" t="s">
        <v>36884</v>
      </c>
      <c r="BN2304" s="1" t="s">
        <v>74</v>
      </c>
      <c r="BO2304" s="1" t="s">
        <v>476</v>
      </c>
      <c r="BP2304" s="1" t="s">
        <v>74</v>
      </c>
      <c r="BQ2304" s="1" t="s">
        <v>74</v>
      </c>
      <c r="BR2304" s="1" t="s">
        <v>98</v>
      </c>
      <c r="BS2304" s="1" t="s">
        <v>36885</v>
      </c>
      <c r="BT2304" s="1" t="str">
        <f>HYPERLINK("https%3A%2F%2Fwww.webofscience.com%2Fwos%2Fwoscc%2Ffull-record%2FWOS:001033799400008","View Full Record in Web of Science")</f>
        <v>View Full Record in Web of Science</v>
      </c>
      <c r="BU2304" s="1"/>
      <c r="BV2304" s="1"/>
    </row>
    <row r="2305" spans="1:74">
      <c r="A2305" s="1" t="s">
        <v>72</v>
      </c>
      <c r="B2305" s="1" t="s">
        <v>36886</v>
      </c>
      <c r="C2305" s="1" t="s">
        <v>74</v>
      </c>
      <c r="D2305" s="1" t="s">
        <v>74</v>
      </c>
      <c r="E2305" s="1" t="s">
        <v>74</v>
      </c>
      <c r="F2305" s="1" t="s">
        <v>36887</v>
      </c>
      <c r="G2305" s="1" t="s">
        <v>74</v>
      </c>
      <c r="H2305" s="1" t="s">
        <v>74</v>
      </c>
      <c r="I2305" s="1" t="s">
        <v>36888</v>
      </c>
      <c r="J2305" s="1" t="s">
        <v>3926</v>
      </c>
      <c r="K2305" s="1" t="s">
        <v>74</v>
      </c>
      <c r="L2305" s="1" t="s">
        <v>74</v>
      </c>
      <c r="M2305" s="1" t="s">
        <v>78</v>
      </c>
      <c r="N2305" s="1" t="s">
        <v>79</v>
      </c>
      <c r="O2305" s="1" t="s">
        <v>74</v>
      </c>
      <c r="P2305" s="1" t="s">
        <v>74</v>
      </c>
      <c r="Q2305" s="1" t="s">
        <v>74</v>
      </c>
      <c r="R2305" s="1" t="s">
        <v>74</v>
      </c>
      <c r="S2305" s="1" t="s">
        <v>74</v>
      </c>
      <c r="T2305" s="1" t="s">
        <v>36889</v>
      </c>
      <c r="U2305" s="1" t="s">
        <v>36890</v>
      </c>
      <c r="V2305" s="1" t="s">
        <v>36891</v>
      </c>
      <c r="W2305" s="1" t="s">
        <v>36892</v>
      </c>
      <c r="X2305" s="1" t="s">
        <v>17907</v>
      </c>
      <c r="Y2305" s="1" t="s">
        <v>36893</v>
      </c>
      <c r="Z2305" s="1" t="s">
        <v>36894</v>
      </c>
      <c r="AA2305" s="1" t="s">
        <v>74</v>
      </c>
      <c r="AB2305" s="1" t="s">
        <v>36895</v>
      </c>
      <c r="AC2305" s="1" t="s">
        <v>36896</v>
      </c>
      <c r="AD2305" s="1" t="s">
        <v>36897</v>
      </c>
      <c r="AE2305" s="1" t="s">
        <v>36898</v>
      </c>
      <c r="AF2305" s="1" t="s">
        <v>74</v>
      </c>
      <c r="AG2305" s="1">
        <v>56</v>
      </c>
      <c r="AH2305" s="1">
        <v>3</v>
      </c>
      <c r="AI2305" s="1">
        <v>3</v>
      </c>
      <c r="AJ2305" s="1">
        <v>1</v>
      </c>
      <c r="AK2305" s="1">
        <v>1</v>
      </c>
      <c r="AL2305" s="1" t="s">
        <v>650</v>
      </c>
      <c r="AM2305" s="1" t="s">
        <v>651</v>
      </c>
      <c r="AN2305" s="1" t="s">
        <v>652</v>
      </c>
      <c r="AO2305" s="1" t="s">
        <v>3939</v>
      </c>
      <c r="AP2305" s="1" t="s">
        <v>3940</v>
      </c>
      <c r="AQ2305" s="1" t="s">
        <v>74</v>
      </c>
      <c r="AR2305" s="1" t="s">
        <v>3926</v>
      </c>
      <c r="AS2305" s="1" t="s">
        <v>3941</v>
      </c>
      <c r="AT2305" s="1" t="s">
        <v>3891</v>
      </c>
      <c r="AU2305" s="1">
        <v>2024</v>
      </c>
      <c r="AV2305" s="1">
        <v>578</v>
      </c>
      <c r="AW2305" s="1" t="s">
        <v>74</v>
      </c>
      <c r="AX2305" s="1" t="s">
        <v>74</v>
      </c>
      <c r="AY2305" s="1" t="s">
        <v>74</v>
      </c>
      <c r="AZ2305" s="1" t="s">
        <v>74</v>
      </c>
      <c r="BA2305" s="1" t="s">
        <v>74</v>
      </c>
      <c r="BB2305" s="1" t="s">
        <v>74</v>
      </c>
      <c r="BC2305" s="1" t="s">
        <v>74</v>
      </c>
      <c r="BD2305" s="1">
        <v>740028</v>
      </c>
      <c r="BE2305" s="1" t="s">
        <v>36899</v>
      </c>
      <c r="BF2305" s="1" t="str">
        <f>HYPERLINK("http://dx.doi.org/10.1016/j.aquaculture.2023.740028","http://dx.doi.org/10.1016/j.aquaculture.2023.740028")</f>
        <v>http://dx.doi.org/10.1016/j.aquaculture.2023.740028</v>
      </c>
      <c r="BG2305" s="1" t="s">
        <v>74</v>
      </c>
      <c r="BH2305" s="1" t="s">
        <v>74</v>
      </c>
      <c r="BI2305" s="1">
        <v>8</v>
      </c>
      <c r="BJ2305" s="1" t="s">
        <v>2391</v>
      </c>
      <c r="BK2305" s="1" t="s">
        <v>96</v>
      </c>
      <c r="BL2305" s="1" t="s">
        <v>2391</v>
      </c>
      <c r="BM2305" s="1" t="s">
        <v>36900</v>
      </c>
      <c r="BN2305" s="1" t="s">
        <v>74</v>
      </c>
      <c r="BO2305" s="1" t="s">
        <v>476</v>
      </c>
      <c r="BP2305" s="1" t="s">
        <v>74</v>
      </c>
      <c r="BQ2305" s="1" t="s">
        <v>74</v>
      </c>
      <c r="BR2305" s="1" t="s">
        <v>98</v>
      </c>
      <c r="BS2305" s="1" t="s">
        <v>36901</v>
      </c>
      <c r="BT2305" s="1" t="str">
        <f>HYPERLINK("https%3A%2F%2Fwww.webofscience.com%2Fwos%2Fwoscc%2Ffull-record%2FWOS:001296454300001","View Full Record in Web of Science")</f>
        <v>View Full Record in Web of Science</v>
      </c>
      <c r="BU2305" s="1"/>
      <c r="BV2305" s="1"/>
    </row>
    <row r="2306" spans="1:74">
      <c r="A2306" s="1" t="s">
        <v>72</v>
      </c>
      <c r="B2306" s="1" t="s">
        <v>36902</v>
      </c>
      <c r="C2306" s="1" t="s">
        <v>74</v>
      </c>
      <c r="D2306" s="1" t="s">
        <v>74</v>
      </c>
      <c r="E2306" s="1" t="s">
        <v>74</v>
      </c>
      <c r="F2306" s="1" t="s">
        <v>36902</v>
      </c>
      <c r="G2306" s="1" t="s">
        <v>74</v>
      </c>
      <c r="H2306" s="1" t="s">
        <v>74</v>
      </c>
      <c r="I2306" s="1" t="s">
        <v>36903</v>
      </c>
      <c r="J2306" s="1" t="s">
        <v>576</v>
      </c>
      <c r="K2306" s="1" t="s">
        <v>74</v>
      </c>
      <c r="L2306" s="1" t="s">
        <v>74</v>
      </c>
      <c r="M2306" s="1" t="s">
        <v>78</v>
      </c>
      <c r="N2306" s="1" t="s">
        <v>151</v>
      </c>
      <c r="O2306" s="1" t="s">
        <v>36904</v>
      </c>
      <c r="P2306" s="1" t="s">
        <v>36905</v>
      </c>
      <c r="Q2306" s="1" t="s">
        <v>579</v>
      </c>
      <c r="R2306" s="1" t="s">
        <v>74</v>
      </c>
      <c r="S2306" s="1" t="s">
        <v>74</v>
      </c>
      <c r="T2306" s="1" t="s">
        <v>36906</v>
      </c>
      <c r="U2306" s="1" t="s">
        <v>74</v>
      </c>
      <c r="V2306" s="1" t="s">
        <v>36907</v>
      </c>
      <c r="W2306" s="1" t="s">
        <v>36908</v>
      </c>
      <c r="X2306" s="1" t="s">
        <v>74</v>
      </c>
      <c r="Y2306" s="1" t="s">
        <v>36909</v>
      </c>
      <c r="Z2306" s="1" t="s">
        <v>74</v>
      </c>
      <c r="AA2306" s="1" t="s">
        <v>74</v>
      </c>
      <c r="AB2306" s="1" t="s">
        <v>74</v>
      </c>
      <c r="AC2306" s="1" t="s">
        <v>74</v>
      </c>
      <c r="AD2306" s="1" t="s">
        <v>74</v>
      </c>
      <c r="AE2306" s="1" t="s">
        <v>74</v>
      </c>
      <c r="AF2306" s="1" t="s">
        <v>74</v>
      </c>
      <c r="AG2306" s="1">
        <v>6</v>
      </c>
      <c r="AH2306" s="1">
        <v>13</v>
      </c>
      <c r="AI2306" s="1">
        <v>13</v>
      </c>
      <c r="AJ2306" s="1">
        <v>0</v>
      </c>
      <c r="AK2306" s="1">
        <v>15</v>
      </c>
      <c r="AL2306" s="1" t="s">
        <v>136</v>
      </c>
      <c r="AM2306" s="1" t="s">
        <v>137</v>
      </c>
      <c r="AN2306" s="1" t="s">
        <v>138</v>
      </c>
      <c r="AO2306" s="1" t="s">
        <v>584</v>
      </c>
      <c r="AP2306" s="1" t="s">
        <v>74</v>
      </c>
      <c r="AQ2306" s="1" t="s">
        <v>74</v>
      </c>
      <c r="AR2306" s="1" t="s">
        <v>585</v>
      </c>
      <c r="AS2306" s="1" t="s">
        <v>586</v>
      </c>
      <c r="AT2306" s="1" t="s">
        <v>74</v>
      </c>
      <c r="AU2306" s="1">
        <v>1999</v>
      </c>
      <c r="AV2306" s="1">
        <v>40</v>
      </c>
      <c r="AW2306" s="1">
        <v>10</v>
      </c>
      <c r="AX2306" s="1" t="s">
        <v>74</v>
      </c>
      <c r="AY2306" s="1" t="s">
        <v>74</v>
      </c>
      <c r="AZ2306" s="1" t="s">
        <v>74</v>
      </c>
      <c r="BA2306" s="1" t="s">
        <v>74</v>
      </c>
      <c r="BB2306" s="1">
        <v>145</v>
      </c>
      <c r="BC2306" s="1">
        <v>152</v>
      </c>
      <c r="BD2306" s="1" t="s">
        <v>74</v>
      </c>
      <c r="BE2306" s="1" t="s">
        <v>36910</v>
      </c>
      <c r="BF2306" s="1" t="str">
        <f>HYPERLINK("http://dx.doi.org/10.1016/S0273-1223(99)00684-8","http://dx.doi.org/10.1016/S0273-1223(99)00684-8")</f>
        <v>http://dx.doi.org/10.1016/S0273-1223(99)00684-8</v>
      </c>
      <c r="BG2306" s="1" t="s">
        <v>74</v>
      </c>
      <c r="BH2306" s="1" t="s">
        <v>74</v>
      </c>
      <c r="BI2306" s="1">
        <v>8</v>
      </c>
      <c r="BJ2306" s="1" t="s">
        <v>587</v>
      </c>
      <c r="BK2306" s="1" t="s">
        <v>588</v>
      </c>
      <c r="BL2306" s="1" t="s">
        <v>589</v>
      </c>
      <c r="BM2306" s="1" t="s">
        <v>36911</v>
      </c>
      <c r="BN2306" s="1" t="s">
        <v>74</v>
      </c>
      <c r="BO2306" s="1" t="s">
        <v>74</v>
      </c>
      <c r="BP2306" s="1" t="s">
        <v>74</v>
      </c>
      <c r="BQ2306" s="1" t="s">
        <v>74</v>
      </c>
      <c r="BR2306" s="1" t="s">
        <v>98</v>
      </c>
      <c r="BS2306" s="1" t="s">
        <v>36912</v>
      </c>
      <c r="BT2306" s="1" t="str">
        <f>HYPERLINK("https%3A%2F%2Fwww.webofscience.com%2Fwos%2Fwoscc%2Ffull-record%2FWOS:000084173000020","View Full Record in Web of Science")</f>
        <v>View Full Record in Web of Science</v>
      </c>
      <c r="BU2306" s="1"/>
      <c r="BV2306" s="1"/>
    </row>
    <row r="2307" spans="1:74">
      <c r="A2307" s="1" t="s">
        <v>72</v>
      </c>
      <c r="B2307" s="1" t="s">
        <v>36913</v>
      </c>
      <c r="C2307" s="1" t="s">
        <v>74</v>
      </c>
      <c r="D2307" s="1" t="s">
        <v>74</v>
      </c>
      <c r="E2307" s="1" t="s">
        <v>74</v>
      </c>
      <c r="F2307" s="1" t="s">
        <v>36914</v>
      </c>
      <c r="G2307" s="1" t="s">
        <v>74</v>
      </c>
      <c r="H2307" s="1" t="s">
        <v>74</v>
      </c>
      <c r="I2307" s="1" t="s">
        <v>36915</v>
      </c>
      <c r="J2307" s="1" t="s">
        <v>18304</v>
      </c>
      <c r="K2307" s="1" t="s">
        <v>74</v>
      </c>
      <c r="L2307" s="1" t="s">
        <v>74</v>
      </c>
      <c r="M2307" s="1" t="s">
        <v>78</v>
      </c>
      <c r="N2307" s="1" t="s">
        <v>151</v>
      </c>
      <c r="O2307" s="1" t="s">
        <v>36916</v>
      </c>
      <c r="P2307" s="1" t="s">
        <v>36917</v>
      </c>
      <c r="Q2307" s="1" t="s">
        <v>36918</v>
      </c>
      <c r="R2307" s="1" t="s">
        <v>74</v>
      </c>
      <c r="S2307" s="1" t="s">
        <v>74</v>
      </c>
      <c r="T2307" s="1" t="s">
        <v>36919</v>
      </c>
      <c r="U2307" s="1" t="s">
        <v>36920</v>
      </c>
      <c r="V2307" s="1" t="s">
        <v>36921</v>
      </c>
      <c r="W2307" s="1" t="s">
        <v>36922</v>
      </c>
      <c r="X2307" s="1" t="s">
        <v>36923</v>
      </c>
      <c r="Y2307" s="1" t="s">
        <v>36924</v>
      </c>
      <c r="Z2307" s="1" t="s">
        <v>36925</v>
      </c>
      <c r="AA2307" s="1" t="s">
        <v>36926</v>
      </c>
      <c r="AB2307" s="1" t="s">
        <v>36927</v>
      </c>
      <c r="AC2307" s="1" t="s">
        <v>36928</v>
      </c>
      <c r="AD2307" s="1" t="s">
        <v>36929</v>
      </c>
      <c r="AE2307" s="1" t="s">
        <v>36930</v>
      </c>
      <c r="AF2307" s="1" t="s">
        <v>74</v>
      </c>
      <c r="AG2307" s="1">
        <v>20</v>
      </c>
      <c r="AH2307" s="1">
        <v>5</v>
      </c>
      <c r="AI2307" s="1">
        <v>5</v>
      </c>
      <c r="AJ2307" s="1">
        <v>0</v>
      </c>
      <c r="AK2307" s="1">
        <v>10</v>
      </c>
      <c r="AL2307" s="1" t="s">
        <v>112</v>
      </c>
      <c r="AM2307" s="1" t="s">
        <v>191</v>
      </c>
      <c r="AN2307" s="1" t="s">
        <v>192</v>
      </c>
      <c r="AO2307" s="1" t="s">
        <v>16275</v>
      </c>
      <c r="AP2307" s="1" t="s">
        <v>23893</v>
      </c>
      <c r="AQ2307" s="1" t="s">
        <v>74</v>
      </c>
      <c r="AR2307" s="1" t="s">
        <v>18311</v>
      </c>
      <c r="AS2307" s="1" t="s">
        <v>18312</v>
      </c>
      <c r="AT2307" s="1" t="s">
        <v>1470</v>
      </c>
      <c r="AU2307" s="1">
        <v>2012</v>
      </c>
      <c r="AV2307" s="1">
        <v>291</v>
      </c>
      <c r="AW2307" s="1">
        <v>1</v>
      </c>
      <c r="AX2307" s="1" t="s">
        <v>74</v>
      </c>
      <c r="AY2307" s="1" t="s">
        <v>74</v>
      </c>
      <c r="AZ2307" s="1" t="s">
        <v>74</v>
      </c>
      <c r="BA2307" s="1" t="s">
        <v>74</v>
      </c>
      <c r="BB2307" s="1">
        <v>101</v>
      </c>
      <c r="BC2307" s="1">
        <v>105</v>
      </c>
      <c r="BD2307" s="1" t="s">
        <v>74</v>
      </c>
      <c r="BE2307" s="1" t="s">
        <v>36931</v>
      </c>
      <c r="BF2307" s="1" t="str">
        <f>HYPERLINK("http://dx.doi.org/10.1007/s10967-011-1238-0","http://dx.doi.org/10.1007/s10967-011-1238-0")</f>
        <v>http://dx.doi.org/10.1007/s10967-011-1238-0</v>
      </c>
      <c r="BG2307" s="1" t="s">
        <v>74</v>
      </c>
      <c r="BH2307" s="1" t="s">
        <v>74</v>
      </c>
      <c r="BI2307" s="1">
        <v>5</v>
      </c>
      <c r="BJ2307" s="1" t="s">
        <v>16279</v>
      </c>
      <c r="BK2307" s="1" t="s">
        <v>172</v>
      </c>
      <c r="BL2307" s="1" t="s">
        <v>16280</v>
      </c>
      <c r="BM2307" s="1" t="s">
        <v>36932</v>
      </c>
      <c r="BN2307" s="1" t="s">
        <v>74</v>
      </c>
      <c r="BO2307" s="1" t="s">
        <v>74</v>
      </c>
      <c r="BP2307" s="1" t="s">
        <v>74</v>
      </c>
      <c r="BQ2307" s="1" t="s">
        <v>74</v>
      </c>
      <c r="BR2307" s="1" t="s">
        <v>98</v>
      </c>
      <c r="BS2307" s="1" t="s">
        <v>36933</v>
      </c>
      <c r="BT2307" s="1" t="str">
        <f>HYPERLINK("https%3A%2F%2Fwww.webofscience.com%2Fwos%2Fwoscc%2Ffull-record%2FWOS:000298010800018","View Full Record in Web of Science")</f>
        <v>View Full Record in Web of Science</v>
      </c>
      <c r="BU2307" s="1"/>
      <c r="BV2307" s="1"/>
    </row>
    <row r="2308" spans="1:74">
      <c r="A2308" s="1" t="s">
        <v>72</v>
      </c>
      <c r="B2308" s="1" t="s">
        <v>36934</v>
      </c>
      <c r="C2308" s="1" t="s">
        <v>74</v>
      </c>
      <c r="D2308" s="1" t="s">
        <v>74</v>
      </c>
      <c r="E2308" s="1" t="s">
        <v>74</v>
      </c>
      <c r="F2308" s="1" t="s">
        <v>36935</v>
      </c>
      <c r="G2308" s="1" t="s">
        <v>74</v>
      </c>
      <c r="H2308" s="1" t="s">
        <v>74</v>
      </c>
      <c r="I2308" s="1" t="s">
        <v>36936</v>
      </c>
      <c r="J2308" s="1" t="s">
        <v>752</v>
      </c>
      <c r="K2308" s="1" t="s">
        <v>74</v>
      </c>
      <c r="L2308" s="1" t="s">
        <v>74</v>
      </c>
      <c r="M2308" s="1" t="s">
        <v>78</v>
      </c>
      <c r="N2308" s="1" t="s">
        <v>79</v>
      </c>
      <c r="O2308" s="1" t="s">
        <v>74</v>
      </c>
      <c r="P2308" s="1" t="s">
        <v>74</v>
      </c>
      <c r="Q2308" s="1" t="s">
        <v>74</v>
      </c>
      <c r="R2308" s="1" t="s">
        <v>74</v>
      </c>
      <c r="S2308" s="1" t="s">
        <v>74</v>
      </c>
      <c r="T2308" s="1" t="s">
        <v>36937</v>
      </c>
      <c r="U2308" s="1" t="s">
        <v>36938</v>
      </c>
      <c r="V2308" s="1" t="s">
        <v>36939</v>
      </c>
      <c r="W2308" s="1" t="s">
        <v>36940</v>
      </c>
      <c r="X2308" s="1" t="s">
        <v>36941</v>
      </c>
      <c r="Y2308" s="1" t="s">
        <v>13736</v>
      </c>
      <c r="Z2308" s="1" t="s">
        <v>8840</v>
      </c>
      <c r="AA2308" s="1" t="s">
        <v>36942</v>
      </c>
      <c r="AB2308" s="1" t="s">
        <v>36943</v>
      </c>
      <c r="AC2308" s="1" t="s">
        <v>36944</v>
      </c>
      <c r="AD2308" s="1" t="s">
        <v>36945</v>
      </c>
      <c r="AE2308" s="1" t="s">
        <v>13741</v>
      </c>
      <c r="AF2308" s="1" t="s">
        <v>74</v>
      </c>
      <c r="AG2308" s="1">
        <v>131</v>
      </c>
      <c r="AH2308" s="1">
        <v>155</v>
      </c>
      <c r="AI2308" s="1">
        <v>168</v>
      </c>
      <c r="AJ2308" s="1">
        <v>1</v>
      </c>
      <c r="AK2308" s="1">
        <v>165</v>
      </c>
      <c r="AL2308" s="1" t="s">
        <v>430</v>
      </c>
      <c r="AM2308" s="1" t="s">
        <v>137</v>
      </c>
      <c r="AN2308" s="1" t="s">
        <v>431</v>
      </c>
      <c r="AO2308" s="1" t="s">
        <v>761</v>
      </c>
      <c r="AP2308" s="1" t="s">
        <v>762</v>
      </c>
      <c r="AQ2308" s="1" t="s">
        <v>74</v>
      </c>
      <c r="AR2308" s="1" t="s">
        <v>763</v>
      </c>
      <c r="AS2308" s="1" t="s">
        <v>764</v>
      </c>
      <c r="AT2308" s="1" t="s">
        <v>267</v>
      </c>
      <c r="AU2308" s="1">
        <v>2015</v>
      </c>
      <c r="AV2308" s="1">
        <v>111</v>
      </c>
      <c r="AW2308" s="1" t="s">
        <v>74</v>
      </c>
      <c r="AX2308" s="1" t="s">
        <v>74</v>
      </c>
      <c r="AY2308" s="1" t="s">
        <v>74</v>
      </c>
      <c r="AZ2308" s="1" t="s">
        <v>225</v>
      </c>
      <c r="BA2308" s="1" t="s">
        <v>74</v>
      </c>
      <c r="BB2308" s="1">
        <v>74</v>
      </c>
      <c r="BC2308" s="1">
        <v>88</v>
      </c>
      <c r="BD2308" s="1" t="s">
        <v>74</v>
      </c>
      <c r="BE2308" s="1" t="s">
        <v>36946</v>
      </c>
      <c r="BF2308" s="1" t="str">
        <f>HYPERLINK("http://dx.doi.org/10.1016/j.marenvres.2015.06.013","http://dx.doi.org/10.1016/j.marenvres.2015.06.013")</f>
        <v>http://dx.doi.org/10.1016/j.marenvres.2015.06.013</v>
      </c>
      <c r="BG2308" s="1" t="s">
        <v>74</v>
      </c>
      <c r="BH2308" s="1" t="s">
        <v>74</v>
      </c>
      <c r="BI2308" s="1">
        <v>15</v>
      </c>
      <c r="BJ2308" s="1" t="s">
        <v>768</v>
      </c>
      <c r="BK2308" s="1" t="s">
        <v>96</v>
      </c>
      <c r="BL2308" s="1" t="s">
        <v>769</v>
      </c>
      <c r="BM2308" s="1" t="s">
        <v>22841</v>
      </c>
      <c r="BN2308" s="1">
        <v>26152602</v>
      </c>
      <c r="BO2308" s="1" t="s">
        <v>74</v>
      </c>
      <c r="BP2308" s="1" t="s">
        <v>74</v>
      </c>
      <c r="BQ2308" s="1" t="s">
        <v>74</v>
      </c>
      <c r="BR2308" s="1" t="s">
        <v>98</v>
      </c>
      <c r="BS2308" s="1" t="s">
        <v>36947</v>
      </c>
      <c r="BT2308" s="1" t="str">
        <f>HYPERLINK("https%3A%2F%2Fwww.webofscience.com%2Fwos%2Fwoscc%2Ffull-record%2FWOS:000364726000009","View Full Record in Web of Science")</f>
        <v>View Full Record in Web of Science</v>
      </c>
      <c r="BU2308" s="1"/>
      <c r="BV2308" s="1"/>
    </row>
    <row r="2309" spans="1:74">
      <c r="A2309" s="1" t="s">
        <v>72</v>
      </c>
      <c r="B2309" s="1" t="s">
        <v>36948</v>
      </c>
      <c r="C2309" s="1" t="s">
        <v>74</v>
      </c>
      <c r="D2309" s="1" t="s">
        <v>74</v>
      </c>
      <c r="E2309" s="1" t="s">
        <v>74</v>
      </c>
      <c r="F2309" s="1" t="s">
        <v>36948</v>
      </c>
      <c r="G2309" s="1" t="s">
        <v>74</v>
      </c>
      <c r="H2309" s="1" t="s">
        <v>74</v>
      </c>
      <c r="I2309" s="1" t="s">
        <v>36949</v>
      </c>
      <c r="J2309" s="1" t="s">
        <v>232</v>
      </c>
      <c r="K2309" s="1" t="s">
        <v>74</v>
      </c>
      <c r="L2309" s="1" t="s">
        <v>74</v>
      </c>
      <c r="M2309" s="1" t="s">
        <v>78</v>
      </c>
      <c r="N2309" s="1" t="s">
        <v>79</v>
      </c>
      <c r="O2309" s="1" t="s">
        <v>74</v>
      </c>
      <c r="P2309" s="1" t="s">
        <v>74</v>
      </c>
      <c r="Q2309" s="1" t="s">
        <v>74</v>
      </c>
      <c r="R2309" s="1" t="s">
        <v>74</v>
      </c>
      <c r="S2309" s="1" t="s">
        <v>74</v>
      </c>
      <c r="T2309" s="1" t="s">
        <v>36950</v>
      </c>
      <c r="U2309" s="1" t="s">
        <v>36951</v>
      </c>
      <c r="V2309" s="1" t="s">
        <v>36952</v>
      </c>
      <c r="W2309" s="1" t="s">
        <v>36953</v>
      </c>
      <c r="X2309" s="1" t="s">
        <v>36954</v>
      </c>
      <c r="Y2309" s="1" t="s">
        <v>36955</v>
      </c>
      <c r="Z2309" s="1" t="s">
        <v>36956</v>
      </c>
      <c r="AA2309" s="1" t="s">
        <v>36957</v>
      </c>
      <c r="AB2309" s="1" t="s">
        <v>36958</v>
      </c>
      <c r="AC2309" s="1" t="s">
        <v>74</v>
      </c>
      <c r="AD2309" s="1" t="s">
        <v>74</v>
      </c>
      <c r="AE2309" s="1" t="s">
        <v>74</v>
      </c>
      <c r="AF2309" s="1" t="s">
        <v>74</v>
      </c>
      <c r="AG2309" s="1">
        <v>24</v>
      </c>
      <c r="AH2309" s="1">
        <v>9</v>
      </c>
      <c r="AI2309" s="1">
        <v>10</v>
      </c>
      <c r="AJ2309" s="1">
        <v>0</v>
      </c>
      <c r="AK2309" s="1">
        <v>11</v>
      </c>
      <c r="AL2309" s="1" t="s">
        <v>136</v>
      </c>
      <c r="AM2309" s="1" t="s">
        <v>137</v>
      </c>
      <c r="AN2309" s="1" t="s">
        <v>138</v>
      </c>
      <c r="AO2309" s="1" t="s">
        <v>240</v>
      </c>
      <c r="AP2309" s="1" t="s">
        <v>241</v>
      </c>
      <c r="AQ2309" s="1" t="s">
        <v>74</v>
      </c>
      <c r="AR2309" s="1" t="s">
        <v>242</v>
      </c>
      <c r="AS2309" s="1" t="s">
        <v>243</v>
      </c>
      <c r="AT2309" s="1" t="s">
        <v>951</v>
      </c>
      <c r="AU2309" s="1">
        <v>2005</v>
      </c>
      <c r="AV2309" s="1">
        <v>50</v>
      </c>
      <c r="AW2309" s="1">
        <v>11</v>
      </c>
      <c r="AX2309" s="1" t="s">
        <v>74</v>
      </c>
      <c r="AY2309" s="1" t="s">
        <v>74</v>
      </c>
      <c r="AZ2309" s="1" t="s">
        <v>74</v>
      </c>
      <c r="BA2309" s="1" t="s">
        <v>74</v>
      </c>
      <c r="BB2309" s="1">
        <v>1295</v>
      </c>
      <c r="BC2309" s="1">
        <v>1302</v>
      </c>
      <c r="BD2309" s="1" t="s">
        <v>74</v>
      </c>
      <c r="BE2309" s="1" t="s">
        <v>36959</v>
      </c>
      <c r="BF2309" s="1" t="str">
        <f>HYPERLINK("http://dx.doi.org/10.1016/j.marpolbul.2005.04.038","http://dx.doi.org/10.1016/j.marpolbul.2005.04.038")</f>
        <v>http://dx.doi.org/10.1016/j.marpolbul.2005.04.038</v>
      </c>
      <c r="BG2309" s="1" t="s">
        <v>74</v>
      </c>
      <c r="BH2309" s="1" t="s">
        <v>74</v>
      </c>
      <c r="BI2309" s="1">
        <v>8</v>
      </c>
      <c r="BJ2309" s="1" t="s">
        <v>247</v>
      </c>
      <c r="BK2309" s="1" t="s">
        <v>96</v>
      </c>
      <c r="BL2309" s="1" t="s">
        <v>248</v>
      </c>
      <c r="BM2309" s="1" t="s">
        <v>12668</v>
      </c>
      <c r="BN2309" s="1">
        <v>15946704</v>
      </c>
      <c r="BO2309" s="1" t="s">
        <v>74</v>
      </c>
      <c r="BP2309" s="1" t="s">
        <v>74</v>
      </c>
      <c r="BQ2309" s="1" t="s">
        <v>74</v>
      </c>
      <c r="BR2309" s="1" t="s">
        <v>98</v>
      </c>
      <c r="BS2309" s="1" t="s">
        <v>36960</v>
      </c>
      <c r="BT2309" s="1" t="str">
        <f>HYPERLINK("https%3A%2F%2Fwww.webofscience.com%2Fwos%2Fwoscc%2Ffull-record%2FWOS:000234098200025","View Full Record in Web of Science")</f>
        <v>View Full Record in Web of Science</v>
      </c>
      <c r="BU2309" s="1"/>
      <c r="BV2309" s="1"/>
    </row>
    <row r="2310" spans="1:74">
      <c r="A2310" s="1" t="s">
        <v>72</v>
      </c>
      <c r="B2310" s="1" t="s">
        <v>36961</v>
      </c>
      <c r="C2310" s="1" t="s">
        <v>74</v>
      </c>
      <c r="D2310" s="1" t="s">
        <v>74</v>
      </c>
      <c r="E2310" s="1" t="s">
        <v>74</v>
      </c>
      <c r="F2310" s="1" t="s">
        <v>36962</v>
      </c>
      <c r="G2310" s="1" t="s">
        <v>74</v>
      </c>
      <c r="H2310" s="1" t="s">
        <v>74</v>
      </c>
      <c r="I2310" s="1" t="s">
        <v>36963</v>
      </c>
      <c r="J2310" s="1" t="s">
        <v>36964</v>
      </c>
      <c r="K2310" s="1" t="s">
        <v>74</v>
      </c>
      <c r="L2310" s="1" t="s">
        <v>74</v>
      </c>
      <c r="M2310" s="1" t="s">
        <v>78</v>
      </c>
      <c r="N2310" s="1" t="s">
        <v>151</v>
      </c>
      <c r="O2310" s="1" t="s">
        <v>36965</v>
      </c>
      <c r="P2310" s="1" t="s">
        <v>36966</v>
      </c>
      <c r="Q2310" s="1" t="s">
        <v>36967</v>
      </c>
      <c r="R2310" s="1" t="s">
        <v>74</v>
      </c>
      <c r="S2310" s="1" t="s">
        <v>74</v>
      </c>
      <c r="T2310" s="1" t="s">
        <v>36968</v>
      </c>
      <c r="U2310" s="1" t="s">
        <v>36969</v>
      </c>
      <c r="V2310" s="1" t="s">
        <v>36970</v>
      </c>
      <c r="W2310" s="1" t="s">
        <v>36971</v>
      </c>
      <c r="X2310" s="1" t="s">
        <v>36972</v>
      </c>
      <c r="Y2310" s="1" t="s">
        <v>36973</v>
      </c>
      <c r="Z2310" s="1" t="s">
        <v>36974</v>
      </c>
      <c r="AA2310" s="1" t="s">
        <v>33879</v>
      </c>
      <c r="AB2310" s="1" t="s">
        <v>33880</v>
      </c>
      <c r="AC2310" s="1" t="s">
        <v>74</v>
      </c>
      <c r="AD2310" s="1" t="s">
        <v>74</v>
      </c>
      <c r="AE2310" s="1" t="s">
        <v>74</v>
      </c>
      <c r="AF2310" s="1" t="s">
        <v>74</v>
      </c>
      <c r="AG2310" s="1">
        <v>22</v>
      </c>
      <c r="AH2310" s="1">
        <v>5</v>
      </c>
      <c r="AI2310" s="1">
        <v>5</v>
      </c>
      <c r="AJ2310" s="1">
        <v>2</v>
      </c>
      <c r="AK2310" s="1">
        <v>39</v>
      </c>
      <c r="AL2310" s="1" t="s">
        <v>788</v>
      </c>
      <c r="AM2310" s="1" t="s">
        <v>789</v>
      </c>
      <c r="AN2310" s="1" t="s">
        <v>790</v>
      </c>
      <c r="AO2310" s="1" t="s">
        <v>36975</v>
      </c>
      <c r="AP2310" s="1" t="s">
        <v>36976</v>
      </c>
      <c r="AQ2310" s="1" t="s">
        <v>74</v>
      </c>
      <c r="AR2310" s="1" t="s">
        <v>36977</v>
      </c>
      <c r="AS2310" s="1" t="s">
        <v>36978</v>
      </c>
      <c r="AT2310" s="1" t="s">
        <v>765</v>
      </c>
      <c r="AU2310" s="1">
        <v>2014</v>
      </c>
      <c r="AV2310" s="1">
        <v>53</v>
      </c>
      <c r="AW2310" s="1">
        <v>3</v>
      </c>
      <c r="AX2310" s="1" t="s">
        <v>74</v>
      </c>
      <c r="AY2310" s="1" t="s">
        <v>74</v>
      </c>
      <c r="AZ2310" s="1" t="s">
        <v>74</v>
      </c>
      <c r="BA2310" s="1" t="s">
        <v>74</v>
      </c>
      <c r="BB2310" s="1">
        <v>424</v>
      </c>
      <c r="BC2310" s="1">
        <v>428</v>
      </c>
      <c r="BD2310" s="1" t="s">
        <v>74</v>
      </c>
      <c r="BE2310" s="1" t="s">
        <v>36979</v>
      </c>
      <c r="BF2310" s="1" t="str">
        <f>HYPERLINK("http://dx.doi.org/10.1007/s12031-013-0168-4","http://dx.doi.org/10.1007/s12031-013-0168-4")</f>
        <v>http://dx.doi.org/10.1007/s12031-013-0168-4</v>
      </c>
      <c r="BG2310" s="1" t="s">
        <v>74</v>
      </c>
      <c r="BH2310" s="1" t="s">
        <v>74</v>
      </c>
      <c r="BI2310" s="1">
        <v>5</v>
      </c>
      <c r="BJ2310" s="1" t="s">
        <v>36980</v>
      </c>
      <c r="BK2310" s="1" t="s">
        <v>172</v>
      </c>
      <c r="BL2310" s="1" t="s">
        <v>36981</v>
      </c>
      <c r="BM2310" s="1" t="s">
        <v>36982</v>
      </c>
      <c r="BN2310" s="1">
        <v>24217797</v>
      </c>
      <c r="BO2310" s="1" t="s">
        <v>74</v>
      </c>
      <c r="BP2310" s="1" t="s">
        <v>74</v>
      </c>
      <c r="BQ2310" s="1" t="s">
        <v>74</v>
      </c>
      <c r="BR2310" s="1" t="s">
        <v>98</v>
      </c>
      <c r="BS2310" s="1" t="s">
        <v>36983</v>
      </c>
      <c r="BT2310" s="1" t="str">
        <f>HYPERLINK("https%3A%2F%2Fwww.webofscience.com%2Fwos%2Fwoscc%2Ffull-record%2FWOS:000339956700019","View Full Record in Web of Science")</f>
        <v>View Full Record in Web of Science</v>
      </c>
      <c r="BU2310" s="1"/>
      <c r="BV2310" s="1"/>
    </row>
    <row r="2311" spans="1:74">
      <c r="A2311" s="1" t="s">
        <v>72</v>
      </c>
      <c r="B2311" s="1" t="s">
        <v>36984</v>
      </c>
      <c r="C2311" s="1" t="s">
        <v>74</v>
      </c>
      <c r="D2311" s="1" t="s">
        <v>74</v>
      </c>
      <c r="E2311" s="1" t="s">
        <v>74</v>
      </c>
      <c r="F2311" s="1" t="s">
        <v>36985</v>
      </c>
      <c r="G2311" s="1" t="s">
        <v>74</v>
      </c>
      <c r="H2311" s="1" t="s">
        <v>74</v>
      </c>
      <c r="I2311" s="1" t="s">
        <v>36986</v>
      </c>
      <c r="J2311" s="1" t="s">
        <v>12234</v>
      </c>
      <c r="K2311" s="1" t="s">
        <v>74</v>
      </c>
      <c r="L2311" s="1" t="s">
        <v>74</v>
      </c>
      <c r="M2311" s="1" t="s">
        <v>78</v>
      </c>
      <c r="N2311" s="1" t="s">
        <v>79</v>
      </c>
      <c r="O2311" s="1" t="s">
        <v>74</v>
      </c>
      <c r="P2311" s="1" t="s">
        <v>74</v>
      </c>
      <c r="Q2311" s="1" t="s">
        <v>74</v>
      </c>
      <c r="R2311" s="1" t="s">
        <v>74</v>
      </c>
      <c r="S2311" s="1" t="s">
        <v>74</v>
      </c>
      <c r="T2311" s="1" t="s">
        <v>36987</v>
      </c>
      <c r="U2311" s="1" t="s">
        <v>36988</v>
      </c>
      <c r="V2311" s="1" t="s">
        <v>36989</v>
      </c>
      <c r="W2311" s="1" t="s">
        <v>36990</v>
      </c>
      <c r="X2311" s="1" t="s">
        <v>36991</v>
      </c>
      <c r="Y2311" s="1" t="s">
        <v>36992</v>
      </c>
      <c r="Z2311" s="1" t="s">
        <v>36993</v>
      </c>
      <c r="AA2311" s="1" t="s">
        <v>36994</v>
      </c>
      <c r="AB2311" s="1" t="s">
        <v>36995</v>
      </c>
      <c r="AC2311" s="1" t="s">
        <v>36996</v>
      </c>
      <c r="AD2311" s="1" t="s">
        <v>36997</v>
      </c>
      <c r="AE2311" s="1" t="s">
        <v>36998</v>
      </c>
      <c r="AF2311" s="1" t="s">
        <v>74</v>
      </c>
      <c r="AG2311" s="1">
        <v>36</v>
      </c>
      <c r="AH2311" s="1">
        <v>9</v>
      </c>
      <c r="AI2311" s="1">
        <v>10</v>
      </c>
      <c r="AJ2311" s="1">
        <v>0</v>
      </c>
      <c r="AK2311" s="1">
        <v>10</v>
      </c>
      <c r="AL2311" s="1" t="s">
        <v>1566</v>
      </c>
      <c r="AM2311" s="1" t="s">
        <v>1567</v>
      </c>
      <c r="AN2311" s="1" t="s">
        <v>1568</v>
      </c>
      <c r="AO2311" s="1" t="s">
        <v>74</v>
      </c>
      <c r="AP2311" s="1" t="s">
        <v>12242</v>
      </c>
      <c r="AQ2311" s="1" t="s">
        <v>74</v>
      </c>
      <c r="AR2311" s="1" t="s">
        <v>12234</v>
      </c>
      <c r="AS2311" s="1" t="s">
        <v>12243</v>
      </c>
      <c r="AT2311" s="1" t="s">
        <v>1223</v>
      </c>
      <c r="AU2311" s="1">
        <v>2020</v>
      </c>
      <c r="AV2311" s="1">
        <v>10</v>
      </c>
      <c r="AW2311" s="1">
        <v>3</v>
      </c>
      <c r="AX2311" s="1" t="s">
        <v>74</v>
      </c>
      <c r="AY2311" s="1" t="s">
        <v>74</v>
      </c>
      <c r="AZ2311" s="1" t="s">
        <v>74</v>
      </c>
      <c r="BA2311" s="1" t="s">
        <v>74</v>
      </c>
      <c r="BB2311" s="1" t="s">
        <v>74</v>
      </c>
      <c r="BC2311" s="1" t="s">
        <v>74</v>
      </c>
      <c r="BD2311" s="1">
        <v>373</v>
      </c>
      <c r="BE2311" s="1" t="s">
        <v>36999</v>
      </c>
      <c r="BF2311" s="1" t="str">
        <f>HYPERLINK("http://dx.doi.org/10.3390/biom10030373","http://dx.doi.org/10.3390/biom10030373")</f>
        <v>http://dx.doi.org/10.3390/biom10030373</v>
      </c>
      <c r="BG2311" s="1" t="s">
        <v>74</v>
      </c>
      <c r="BH2311" s="1" t="s">
        <v>74</v>
      </c>
      <c r="BI2311" s="1">
        <v>18</v>
      </c>
      <c r="BJ2311" s="1" t="s">
        <v>3805</v>
      </c>
      <c r="BK2311" s="1" t="s">
        <v>96</v>
      </c>
      <c r="BL2311" s="1" t="s">
        <v>3805</v>
      </c>
      <c r="BM2311" s="1" t="s">
        <v>37000</v>
      </c>
      <c r="BN2311" s="1">
        <v>32121166</v>
      </c>
      <c r="BO2311" s="1" t="s">
        <v>550</v>
      </c>
      <c r="BP2311" s="1" t="s">
        <v>74</v>
      </c>
      <c r="BQ2311" s="1" t="s">
        <v>74</v>
      </c>
      <c r="BR2311" s="1" t="s">
        <v>98</v>
      </c>
      <c r="BS2311" s="1" t="s">
        <v>37001</v>
      </c>
      <c r="BT2311" s="1" t="str">
        <f>HYPERLINK("https%3A%2F%2Fwww.webofscience.com%2Fwos%2Fwoscc%2Ffull-record%2FWOS:000529877600024","View Full Record in Web of Science")</f>
        <v>View Full Record in Web of Science</v>
      </c>
      <c r="BU2311" s="1"/>
      <c r="BV2311" s="1"/>
    </row>
    <row r="2312" spans="1:74">
      <c r="A2312" s="1" t="s">
        <v>72</v>
      </c>
      <c r="B2312" s="1" t="s">
        <v>37002</v>
      </c>
      <c r="C2312" s="1" t="s">
        <v>74</v>
      </c>
      <c r="D2312" s="1" t="s">
        <v>74</v>
      </c>
      <c r="E2312" s="1" t="s">
        <v>74</v>
      </c>
      <c r="F2312" s="1" t="s">
        <v>37003</v>
      </c>
      <c r="G2312" s="1" t="s">
        <v>74</v>
      </c>
      <c r="H2312" s="1" t="s">
        <v>74</v>
      </c>
      <c r="I2312" s="1" t="s">
        <v>37004</v>
      </c>
      <c r="J2312" s="1" t="s">
        <v>232</v>
      </c>
      <c r="K2312" s="1" t="s">
        <v>74</v>
      </c>
      <c r="L2312" s="1" t="s">
        <v>74</v>
      </c>
      <c r="M2312" s="1" t="s">
        <v>78</v>
      </c>
      <c r="N2312" s="1" t="s">
        <v>79</v>
      </c>
      <c r="O2312" s="1" t="s">
        <v>74</v>
      </c>
      <c r="P2312" s="1" t="s">
        <v>74</v>
      </c>
      <c r="Q2312" s="1" t="s">
        <v>74</v>
      </c>
      <c r="R2312" s="1" t="s">
        <v>74</v>
      </c>
      <c r="S2312" s="1" t="s">
        <v>74</v>
      </c>
      <c r="T2312" s="1" t="s">
        <v>37005</v>
      </c>
      <c r="U2312" s="1" t="s">
        <v>37006</v>
      </c>
      <c r="V2312" s="1" t="s">
        <v>37007</v>
      </c>
      <c r="W2312" s="1" t="s">
        <v>37008</v>
      </c>
      <c r="X2312" s="1" t="s">
        <v>37009</v>
      </c>
      <c r="Y2312" s="1" t="s">
        <v>37010</v>
      </c>
      <c r="Z2312" s="1" t="s">
        <v>31698</v>
      </c>
      <c r="AA2312" s="1" t="s">
        <v>31699</v>
      </c>
      <c r="AB2312" s="1" t="s">
        <v>37011</v>
      </c>
      <c r="AC2312" s="1" t="s">
        <v>37012</v>
      </c>
      <c r="AD2312" s="1" t="s">
        <v>37012</v>
      </c>
      <c r="AE2312" s="1" t="s">
        <v>37013</v>
      </c>
      <c r="AF2312" s="1" t="s">
        <v>74</v>
      </c>
      <c r="AG2312" s="1">
        <v>46</v>
      </c>
      <c r="AH2312" s="1">
        <v>16</v>
      </c>
      <c r="AI2312" s="1">
        <v>16</v>
      </c>
      <c r="AJ2312" s="1">
        <v>7</v>
      </c>
      <c r="AK2312" s="1">
        <v>58</v>
      </c>
      <c r="AL2312" s="1" t="s">
        <v>136</v>
      </c>
      <c r="AM2312" s="1" t="s">
        <v>137</v>
      </c>
      <c r="AN2312" s="1" t="s">
        <v>138</v>
      </c>
      <c r="AO2312" s="1" t="s">
        <v>240</v>
      </c>
      <c r="AP2312" s="1" t="s">
        <v>241</v>
      </c>
      <c r="AQ2312" s="1" t="s">
        <v>74</v>
      </c>
      <c r="AR2312" s="1" t="s">
        <v>242</v>
      </c>
      <c r="AS2312" s="1" t="s">
        <v>243</v>
      </c>
      <c r="AT2312" s="1" t="s">
        <v>267</v>
      </c>
      <c r="AU2312" s="1">
        <v>2018</v>
      </c>
      <c r="AV2312" s="1">
        <v>135</v>
      </c>
      <c r="AW2312" s="1" t="s">
        <v>74</v>
      </c>
      <c r="AX2312" s="1" t="s">
        <v>74</v>
      </c>
      <c r="AY2312" s="1" t="s">
        <v>74</v>
      </c>
      <c r="AZ2312" s="1" t="s">
        <v>74</v>
      </c>
      <c r="BA2312" s="1" t="s">
        <v>74</v>
      </c>
      <c r="BB2312" s="1">
        <v>819</v>
      </c>
      <c r="BC2312" s="1">
        <v>827</v>
      </c>
      <c r="BD2312" s="1" t="s">
        <v>74</v>
      </c>
      <c r="BE2312" s="1" t="s">
        <v>37014</v>
      </c>
      <c r="BF2312" s="1" t="str">
        <f>HYPERLINK("http://dx.doi.org/10.1016/j.marpolbul.2018.08.011","http://dx.doi.org/10.1016/j.marpolbul.2018.08.011")</f>
        <v>http://dx.doi.org/10.1016/j.marpolbul.2018.08.011</v>
      </c>
      <c r="BG2312" s="1" t="s">
        <v>74</v>
      </c>
      <c r="BH2312" s="1" t="s">
        <v>74</v>
      </c>
      <c r="BI2312" s="1">
        <v>9</v>
      </c>
      <c r="BJ2312" s="1" t="s">
        <v>247</v>
      </c>
      <c r="BK2312" s="1" t="s">
        <v>96</v>
      </c>
      <c r="BL2312" s="1" t="s">
        <v>248</v>
      </c>
      <c r="BM2312" s="1" t="s">
        <v>9841</v>
      </c>
      <c r="BN2312" s="1">
        <v>30301102</v>
      </c>
      <c r="BO2312" s="1" t="s">
        <v>74</v>
      </c>
      <c r="BP2312" s="1" t="s">
        <v>74</v>
      </c>
      <c r="BQ2312" s="1" t="s">
        <v>74</v>
      </c>
      <c r="BR2312" s="1" t="s">
        <v>98</v>
      </c>
      <c r="BS2312" s="1" t="s">
        <v>37015</v>
      </c>
      <c r="BT2312" s="1" t="str">
        <f>HYPERLINK("https%3A%2F%2Fwww.webofscience.com%2Fwos%2Fwoscc%2Ffull-record%2FWOS:000448094200089","View Full Record in Web of Science")</f>
        <v>View Full Record in Web of Science</v>
      </c>
      <c r="BU2312" s="1"/>
      <c r="BV2312" s="1"/>
    </row>
    <row r="2313" spans="1:74">
      <c r="A2313" s="1" t="s">
        <v>72</v>
      </c>
      <c r="B2313" s="1" t="s">
        <v>37016</v>
      </c>
      <c r="C2313" s="1" t="s">
        <v>74</v>
      </c>
      <c r="D2313" s="1" t="s">
        <v>74</v>
      </c>
      <c r="E2313" s="1" t="s">
        <v>74</v>
      </c>
      <c r="F2313" s="1" t="s">
        <v>37017</v>
      </c>
      <c r="G2313" s="1" t="s">
        <v>74</v>
      </c>
      <c r="H2313" s="1" t="s">
        <v>74</v>
      </c>
      <c r="I2313" s="1" t="s">
        <v>37018</v>
      </c>
      <c r="J2313" s="1" t="s">
        <v>232</v>
      </c>
      <c r="K2313" s="1" t="s">
        <v>74</v>
      </c>
      <c r="L2313" s="1" t="s">
        <v>74</v>
      </c>
      <c r="M2313" s="1" t="s">
        <v>78</v>
      </c>
      <c r="N2313" s="1" t="s">
        <v>79</v>
      </c>
      <c r="O2313" s="1" t="s">
        <v>74</v>
      </c>
      <c r="P2313" s="1" t="s">
        <v>74</v>
      </c>
      <c r="Q2313" s="1" t="s">
        <v>74</v>
      </c>
      <c r="R2313" s="1" t="s">
        <v>74</v>
      </c>
      <c r="S2313" s="1" t="s">
        <v>74</v>
      </c>
      <c r="T2313" s="1" t="s">
        <v>37019</v>
      </c>
      <c r="U2313" s="1" t="s">
        <v>37020</v>
      </c>
      <c r="V2313" s="1" t="s">
        <v>37021</v>
      </c>
      <c r="W2313" s="1" t="s">
        <v>37022</v>
      </c>
      <c r="X2313" s="1" t="s">
        <v>37023</v>
      </c>
      <c r="Y2313" s="1" t="s">
        <v>37024</v>
      </c>
      <c r="Z2313" s="1" t="s">
        <v>21758</v>
      </c>
      <c r="AA2313" s="1" t="s">
        <v>37025</v>
      </c>
      <c r="AB2313" s="1" t="s">
        <v>37026</v>
      </c>
      <c r="AC2313" s="1" t="s">
        <v>37027</v>
      </c>
      <c r="AD2313" s="1" t="s">
        <v>4137</v>
      </c>
      <c r="AE2313" s="1" t="s">
        <v>37028</v>
      </c>
      <c r="AF2313" s="1" t="s">
        <v>74</v>
      </c>
      <c r="AG2313" s="1">
        <v>75</v>
      </c>
      <c r="AH2313" s="1">
        <v>3</v>
      </c>
      <c r="AI2313" s="1">
        <v>3</v>
      </c>
      <c r="AJ2313" s="1">
        <v>7</v>
      </c>
      <c r="AK2313" s="1">
        <v>31</v>
      </c>
      <c r="AL2313" s="1" t="s">
        <v>136</v>
      </c>
      <c r="AM2313" s="1" t="s">
        <v>137</v>
      </c>
      <c r="AN2313" s="1" t="s">
        <v>138</v>
      </c>
      <c r="AO2313" s="1" t="s">
        <v>240</v>
      </c>
      <c r="AP2313" s="1" t="s">
        <v>241</v>
      </c>
      <c r="AQ2313" s="1" t="s">
        <v>74</v>
      </c>
      <c r="AR2313" s="1" t="s">
        <v>242</v>
      </c>
      <c r="AS2313" s="1" t="s">
        <v>243</v>
      </c>
      <c r="AT2313" s="1" t="s">
        <v>224</v>
      </c>
      <c r="AU2313" s="1">
        <v>2023</v>
      </c>
      <c r="AV2313" s="1">
        <v>187</v>
      </c>
      <c r="AW2313" s="1" t="s">
        <v>74</v>
      </c>
      <c r="AX2313" s="1" t="s">
        <v>74</v>
      </c>
      <c r="AY2313" s="1" t="s">
        <v>74</v>
      </c>
      <c r="AZ2313" s="1" t="s">
        <v>74</v>
      </c>
      <c r="BA2313" s="1" t="s">
        <v>74</v>
      </c>
      <c r="BB2313" s="1" t="s">
        <v>74</v>
      </c>
      <c r="BC2313" s="1" t="s">
        <v>74</v>
      </c>
      <c r="BD2313" s="1">
        <v>114602</v>
      </c>
      <c r="BE2313" s="1" t="s">
        <v>37029</v>
      </c>
      <c r="BF2313" s="1" t="str">
        <f>HYPERLINK("http://dx.doi.org/10.1016/j.marpolbul.2023.114602","http://dx.doi.org/10.1016/j.marpolbul.2023.114602")</f>
        <v>http://dx.doi.org/10.1016/j.marpolbul.2023.114602</v>
      </c>
      <c r="BG2313" s="1" t="s">
        <v>74</v>
      </c>
      <c r="BH2313" s="1" t="s">
        <v>2057</v>
      </c>
      <c r="BI2313" s="1">
        <v>11</v>
      </c>
      <c r="BJ2313" s="1" t="s">
        <v>247</v>
      </c>
      <c r="BK2313" s="1" t="s">
        <v>96</v>
      </c>
      <c r="BL2313" s="1" t="s">
        <v>248</v>
      </c>
      <c r="BM2313" s="1" t="s">
        <v>37030</v>
      </c>
      <c r="BN2313" s="1">
        <v>36652859</v>
      </c>
      <c r="BO2313" s="1" t="s">
        <v>74</v>
      </c>
      <c r="BP2313" s="1" t="s">
        <v>74</v>
      </c>
      <c r="BQ2313" s="1" t="s">
        <v>74</v>
      </c>
      <c r="BR2313" s="1" t="s">
        <v>98</v>
      </c>
      <c r="BS2313" s="1" t="s">
        <v>37031</v>
      </c>
      <c r="BT2313" s="1" t="str">
        <f>HYPERLINK("https%3A%2F%2Fwww.webofscience.com%2Fwos%2Fwoscc%2Ffull-record%2FWOS:000921140400001","View Full Record in Web of Science")</f>
        <v>View Full Record in Web of Science</v>
      </c>
      <c r="BU2313" s="1"/>
      <c r="BV2313" s="1"/>
    </row>
    <row r="2314" spans="1:74">
      <c r="A2314" s="1" t="s">
        <v>72</v>
      </c>
      <c r="B2314" s="1" t="s">
        <v>37032</v>
      </c>
      <c r="C2314" s="1" t="s">
        <v>74</v>
      </c>
      <c r="D2314" s="1" t="s">
        <v>74</v>
      </c>
      <c r="E2314" s="1" t="s">
        <v>74</v>
      </c>
      <c r="F2314" s="1" t="s">
        <v>37033</v>
      </c>
      <c r="G2314" s="1" t="s">
        <v>74</v>
      </c>
      <c r="H2314" s="1" t="s">
        <v>74</v>
      </c>
      <c r="I2314" s="1" t="s">
        <v>37034</v>
      </c>
      <c r="J2314" s="1" t="s">
        <v>4747</v>
      </c>
      <c r="K2314" s="1" t="s">
        <v>74</v>
      </c>
      <c r="L2314" s="1" t="s">
        <v>74</v>
      </c>
      <c r="M2314" s="1" t="s">
        <v>78</v>
      </c>
      <c r="N2314" s="1" t="s">
        <v>79</v>
      </c>
      <c r="O2314" s="1" t="s">
        <v>74</v>
      </c>
      <c r="P2314" s="1" t="s">
        <v>74</v>
      </c>
      <c r="Q2314" s="1" t="s">
        <v>74</v>
      </c>
      <c r="R2314" s="1" t="s">
        <v>74</v>
      </c>
      <c r="S2314" s="1" t="s">
        <v>74</v>
      </c>
      <c r="T2314" s="1" t="s">
        <v>37035</v>
      </c>
      <c r="U2314" s="1" t="s">
        <v>37036</v>
      </c>
      <c r="V2314" s="1" t="s">
        <v>37037</v>
      </c>
      <c r="W2314" s="1" t="s">
        <v>37038</v>
      </c>
      <c r="X2314" s="1" t="s">
        <v>37039</v>
      </c>
      <c r="Y2314" s="1" t="s">
        <v>37040</v>
      </c>
      <c r="Z2314" s="1" t="s">
        <v>12809</v>
      </c>
      <c r="AA2314" s="1" t="s">
        <v>37041</v>
      </c>
      <c r="AB2314" s="1" t="s">
        <v>37042</v>
      </c>
      <c r="AC2314" s="1" t="s">
        <v>37043</v>
      </c>
      <c r="AD2314" s="1" t="s">
        <v>37044</v>
      </c>
      <c r="AE2314" s="1" t="s">
        <v>37045</v>
      </c>
      <c r="AF2314" s="1" t="s">
        <v>74</v>
      </c>
      <c r="AG2314" s="1">
        <v>59</v>
      </c>
      <c r="AH2314" s="1">
        <v>4</v>
      </c>
      <c r="AI2314" s="1">
        <v>4</v>
      </c>
      <c r="AJ2314" s="1">
        <v>4</v>
      </c>
      <c r="AK2314" s="1">
        <v>12</v>
      </c>
      <c r="AL2314" s="1" t="s">
        <v>650</v>
      </c>
      <c r="AM2314" s="1" t="s">
        <v>651</v>
      </c>
      <c r="AN2314" s="1" t="s">
        <v>652</v>
      </c>
      <c r="AO2314" s="1" t="s">
        <v>4758</v>
      </c>
      <c r="AP2314" s="1" t="s">
        <v>11139</v>
      </c>
      <c r="AQ2314" s="1" t="s">
        <v>74</v>
      </c>
      <c r="AR2314" s="1" t="s">
        <v>4759</v>
      </c>
      <c r="AS2314" s="1" t="s">
        <v>4760</v>
      </c>
      <c r="AT2314" s="1" t="s">
        <v>17535</v>
      </c>
      <c r="AU2314" s="1">
        <v>2024</v>
      </c>
      <c r="AV2314" s="1">
        <v>461</v>
      </c>
      <c r="AW2314" s="1" t="s">
        <v>74</v>
      </c>
      <c r="AX2314" s="1" t="s">
        <v>74</v>
      </c>
      <c r="AY2314" s="1" t="s">
        <v>74</v>
      </c>
      <c r="AZ2314" s="1" t="s">
        <v>74</v>
      </c>
      <c r="BA2314" s="1" t="s">
        <v>74</v>
      </c>
      <c r="BB2314" s="1" t="s">
        <v>74</v>
      </c>
      <c r="BC2314" s="1" t="s">
        <v>74</v>
      </c>
      <c r="BD2314" s="1">
        <v>132521</v>
      </c>
      <c r="BE2314" s="1" t="s">
        <v>37046</v>
      </c>
      <c r="BF2314" s="1" t="str">
        <f>HYPERLINK("http://dx.doi.org/10.1016/j.jhazmat.2023.132521","http://dx.doi.org/10.1016/j.jhazmat.2023.132521")</f>
        <v>http://dx.doi.org/10.1016/j.jhazmat.2023.132521</v>
      </c>
      <c r="BG2314" s="1" t="s">
        <v>74</v>
      </c>
      <c r="BH2314" s="1" t="s">
        <v>2000</v>
      </c>
      <c r="BI2314" s="1">
        <v>12</v>
      </c>
      <c r="BJ2314" s="1" t="s">
        <v>415</v>
      </c>
      <c r="BK2314" s="1" t="s">
        <v>96</v>
      </c>
      <c r="BL2314" s="1" t="s">
        <v>416</v>
      </c>
      <c r="BM2314" s="1" t="s">
        <v>37047</v>
      </c>
      <c r="BN2314" s="1">
        <v>37717447</v>
      </c>
      <c r="BO2314" s="1" t="s">
        <v>74</v>
      </c>
      <c r="BP2314" s="1" t="s">
        <v>74</v>
      </c>
      <c r="BQ2314" s="1" t="s">
        <v>74</v>
      </c>
      <c r="BR2314" s="1" t="s">
        <v>98</v>
      </c>
      <c r="BS2314" s="1" t="s">
        <v>37048</v>
      </c>
      <c r="BT2314" s="1" t="str">
        <f>HYPERLINK("https%3A%2F%2Fwww.webofscience.com%2Fwos%2Fwoscc%2Ffull-record%2FWOS:001081375100001","View Full Record in Web of Science")</f>
        <v>View Full Record in Web of Science</v>
      </c>
      <c r="BU2314" s="1"/>
      <c r="BV2314" s="1"/>
    </row>
    <row r="2315" spans="1:74">
      <c r="A2315" s="1" t="s">
        <v>72</v>
      </c>
      <c r="B2315" s="1" t="s">
        <v>37049</v>
      </c>
      <c r="C2315" s="1" t="s">
        <v>74</v>
      </c>
      <c r="D2315" s="1" t="s">
        <v>74</v>
      </c>
      <c r="E2315" s="1" t="s">
        <v>74</v>
      </c>
      <c r="F2315" s="1" t="s">
        <v>37050</v>
      </c>
      <c r="G2315" s="1" t="s">
        <v>74</v>
      </c>
      <c r="H2315" s="1" t="s">
        <v>74</v>
      </c>
      <c r="I2315" s="1" t="s">
        <v>37051</v>
      </c>
      <c r="J2315" s="1" t="s">
        <v>103</v>
      </c>
      <c r="K2315" s="1" t="s">
        <v>74</v>
      </c>
      <c r="L2315" s="1" t="s">
        <v>74</v>
      </c>
      <c r="M2315" s="1" t="s">
        <v>78</v>
      </c>
      <c r="N2315" s="1" t="s">
        <v>79</v>
      </c>
      <c r="O2315" s="1" t="s">
        <v>74</v>
      </c>
      <c r="P2315" s="1" t="s">
        <v>74</v>
      </c>
      <c r="Q2315" s="1" t="s">
        <v>74</v>
      </c>
      <c r="R2315" s="1" t="s">
        <v>74</v>
      </c>
      <c r="S2315" s="1" t="s">
        <v>74</v>
      </c>
      <c r="T2315" s="1" t="s">
        <v>37052</v>
      </c>
      <c r="U2315" s="1" t="s">
        <v>37053</v>
      </c>
      <c r="V2315" s="1" t="s">
        <v>37054</v>
      </c>
      <c r="W2315" s="1" t="s">
        <v>37055</v>
      </c>
      <c r="X2315" s="1" t="s">
        <v>37056</v>
      </c>
      <c r="Y2315" s="1" t="s">
        <v>37057</v>
      </c>
      <c r="Z2315" s="1" t="s">
        <v>16125</v>
      </c>
      <c r="AA2315" s="1" t="s">
        <v>37058</v>
      </c>
      <c r="AB2315" s="1" t="s">
        <v>74</v>
      </c>
      <c r="AC2315" s="1" t="s">
        <v>37059</v>
      </c>
      <c r="AD2315" s="1" t="s">
        <v>37060</v>
      </c>
      <c r="AE2315" s="1" t="s">
        <v>37061</v>
      </c>
      <c r="AF2315" s="1" t="s">
        <v>74</v>
      </c>
      <c r="AG2315" s="1">
        <v>22</v>
      </c>
      <c r="AH2315" s="1">
        <v>9</v>
      </c>
      <c r="AI2315" s="1">
        <v>15</v>
      </c>
      <c r="AJ2315" s="1">
        <v>2</v>
      </c>
      <c r="AK2315" s="1">
        <v>25</v>
      </c>
      <c r="AL2315" s="1" t="s">
        <v>112</v>
      </c>
      <c r="AM2315" s="1" t="s">
        <v>113</v>
      </c>
      <c r="AN2315" s="1" t="s">
        <v>469</v>
      </c>
      <c r="AO2315" s="1" t="s">
        <v>115</v>
      </c>
      <c r="AP2315" s="1" t="s">
        <v>116</v>
      </c>
      <c r="AQ2315" s="1" t="s">
        <v>74</v>
      </c>
      <c r="AR2315" s="1" t="s">
        <v>117</v>
      </c>
      <c r="AS2315" s="1" t="s">
        <v>118</v>
      </c>
      <c r="AT2315" s="1" t="s">
        <v>224</v>
      </c>
      <c r="AU2315" s="1">
        <v>2019</v>
      </c>
      <c r="AV2315" s="1">
        <v>102</v>
      </c>
      <c r="AW2315" s="1">
        <v>2</v>
      </c>
      <c r="AX2315" s="1" t="s">
        <v>74</v>
      </c>
      <c r="AY2315" s="1" t="s">
        <v>74</v>
      </c>
      <c r="AZ2315" s="1" t="s">
        <v>74</v>
      </c>
      <c r="BA2315" s="1" t="s">
        <v>74</v>
      </c>
      <c r="BB2315" s="1">
        <v>198</v>
      </c>
      <c r="BC2315" s="1">
        <v>203</v>
      </c>
      <c r="BD2315" s="1" t="s">
        <v>74</v>
      </c>
      <c r="BE2315" s="1" t="s">
        <v>37062</v>
      </c>
      <c r="BF2315" s="1" t="str">
        <f>HYPERLINK("http://dx.doi.org/10.1007/s00128-018-2482-6","http://dx.doi.org/10.1007/s00128-018-2482-6")</f>
        <v>http://dx.doi.org/10.1007/s00128-018-2482-6</v>
      </c>
      <c r="BG2315" s="1" t="s">
        <v>74</v>
      </c>
      <c r="BH2315" s="1" t="s">
        <v>74</v>
      </c>
      <c r="BI2315" s="1">
        <v>6</v>
      </c>
      <c r="BJ2315" s="1" t="s">
        <v>121</v>
      </c>
      <c r="BK2315" s="1" t="s">
        <v>96</v>
      </c>
      <c r="BL2315" s="1" t="s">
        <v>122</v>
      </c>
      <c r="BM2315" s="1" t="s">
        <v>37063</v>
      </c>
      <c r="BN2315" s="1">
        <v>30374584</v>
      </c>
      <c r="BO2315" s="1" t="s">
        <v>74</v>
      </c>
      <c r="BP2315" s="1" t="s">
        <v>74</v>
      </c>
      <c r="BQ2315" s="1" t="s">
        <v>74</v>
      </c>
      <c r="BR2315" s="1" t="s">
        <v>98</v>
      </c>
      <c r="BS2315" s="1" t="s">
        <v>37064</v>
      </c>
      <c r="BT2315" s="1" t="str">
        <f>HYPERLINK("https%3A%2F%2Fwww.webofscience.com%2Fwos%2Fwoscc%2Ffull-record%2FWOS:000459273600009","View Full Record in Web of Science")</f>
        <v>View Full Record in Web of Science</v>
      </c>
      <c r="BU2315" s="1"/>
      <c r="BV2315" s="1"/>
    </row>
    <row r="2316" spans="1:74">
      <c r="A2316" s="1" t="s">
        <v>72</v>
      </c>
      <c r="B2316" s="1" t="s">
        <v>37065</v>
      </c>
      <c r="C2316" s="1" t="s">
        <v>74</v>
      </c>
      <c r="D2316" s="1" t="s">
        <v>74</v>
      </c>
      <c r="E2316" s="1" t="s">
        <v>74</v>
      </c>
      <c r="F2316" s="1" t="s">
        <v>37066</v>
      </c>
      <c r="G2316" s="1" t="s">
        <v>74</v>
      </c>
      <c r="H2316" s="1" t="s">
        <v>74</v>
      </c>
      <c r="I2316" s="1" t="s">
        <v>37067</v>
      </c>
      <c r="J2316" s="1" t="s">
        <v>3926</v>
      </c>
      <c r="K2316" s="1" t="s">
        <v>74</v>
      </c>
      <c r="L2316" s="1" t="s">
        <v>74</v>
      </c>
      <c r="M2316" s="1" t="s">
        <v>78</v>
      </c>
      <c r="N2316" s="1" t="s">
        <v>79</v>
      </c>
      <c r="O2316" s="1" t="s">
        <v>74</v>
      </c>
      <c r="P2316" s="1" t="s">
        <v>74</v>
      </c>
      <c r="Q2316" s="1" t="s">
        <v>74</v>
      </c>
      <c r="R2316" s="1" t="s">
        <v>74</v>
      </c>
      <c r="S2316" s="1" t="s">
        <v>74</v>
      </c>
      <c r="T2316" s="1" t="s">
        <v>37068</v>
      </c>
      <c r="U2316" s="1" t="s">
        <v>37069</v>
      </c>
      <c r="V2316" s="1" t="s">
        <v>37070</v>
      </c>
      <c r="W2316" s="1" t="s">
        <v>37071</v>
      </c>
      <c r="X2316" s="1" t="s">
        <v>37072</v>
      </c>
      <c r="Y2316" s="1" t="s">
        <v>37073</v>
      </c>
      <c r="Z2316" s="1" t="s">
        <v>37074</v>
      </c>
      <c r="AA2316" s="1" t="s">
        <v>74</v>
      </c>
      <c r="AB2316" s="1" t="s">
        <v>37075</v>
      </c>
      <c r="AC2316" s="1" t="s">
        <v>37076</v>
      </c>
      <c r="AD2316" s="1" t="s">
        <v>37077</v>
      </c>
      <c r="AE2316" s="1" t="s">
        <v>37078</v>
      </c>
      <c r="AF2316" s="1" t="s">
        <v>74</v>
      </c>
      <c r="AG2316" s="1">
        <v>49</v>
      </c>
      <c r="AH2316" s="1">
        <v>22</v>
      </c>
      <c r="AI2316" s="1">
        <v>23</v>
      </c>
      <c r="AJ2316" s="1">
        <v>1</v>
      </c>
      <c r="AK2316" s="1">
        <v>89</v>
      </c>
      <c r="AL2316" s="1" t="s">
        <v>650</v>
      </c>
      <c r="AM2316" s="1" t="s">
        <v>651</v>
      </c>
      <c r="AN2316" s="1" t="s">
        <v>652</v>
      </c>
      <c r="AO2316" s="1" t="s">
        <v>3939</v>
      </c>
      <c r="AP2316" s="1" t="s">
        <v>3940</v>
      </c>
      <c r="AQ2316" s="1" t="s">
        <v>74</v>
      </c>
      <c r="AR2316" s="1" t="s">
        <v>3926</v>
      </c>
      <c r="AS2316" s="1" t="s">
        <v>3941</v>
      </c>
      <c r="AT2316" s="1" t="s">
        <v>8920</v>
      </c>
      <c r="AU2316" s="1">
        <v>2016</v>
      </c>
      <c r="AV2316" s="1">
        <v>464</v>
      </c>
      <c r="AW2316" s="1" t="s">
        <v>74</v>
      </c>
      <c r="AX2316" s="1" t="s">
        <v>74</v>
      </c>
      <c r="AY2316" s="1" t="s">
        <v>74</v>
      </c>
      <c r="AZ2316" s="1" t="s">
        <v>74</v>
      </c>
      <c r="BA2316" s="1" t="s">
        <v>74</v>
      </c>
      <c r="BB2316" s="1">
        <v>459</v>
      </c>
      <c r="BC2316" s="1">
        <v>468</v>
      </c>
      <c r="BD2316" s="1" t="s">
        <v>74</v>
      </c>
      <c r="BE2316" s="1" t="s">
        <v>37079</v>
      </c>
      <c r="BF2316" s="1" t="str">
        <f>HYPERLINK("http://dx.doi.org/10.1016/j.aquaculture.2016.07.031","http://dx.doi.org/10.1016/j.aquaculture.2016.07.031")</f>
        <v>http://dx.doi.org/10.1016/j.aquaculture.2016.07.031</v>
      </c>
      <c r="BG2316" s="1" t="s">
        <v>74</v>
      </c>
      <c r="BH2316" s="1" t="s">
        <v>74</v>
      </c>
      <c r="BI2316" s="1">
        <v>10</v>
      </c>
      <c r="BJ2316" s="1" t="s">
        <v>2391</v>
      </c>
      <c r="BK2316" s="1" t="s">
        <v>96</v>
      </c>
      <c r="BL2316" s="1" t="s">
        <v>2391</v>
      </c>
      <c r="BM2316" s="1" t="s">
        <v>37080</v>
      </c>
      <c r="BN2316" s="1" t="s">
        <v>74</v>
      </c>
      <c r="BO2316" s="1" t="s">
        <v>74</v>
      </c>
      <c r="BP2316" s="1" t="s">
        <v>74</v>
      </c>
      <c r="BQ2316" s="1" t="s">
        <v>74</v>
      </c>
      <c r="BR2316" s="1" t="s">
        <v>98</v>
      </c>
      <c r="BS2316" s="1" t="s">
        <v>37081</v>
      </c>
      <c r="BT2316" s="1" t="str">
        <f>HYPERLINK("https%3A%2F%2Fwww.webofscience.com%2Fwos%2Fwoscc%2Ffull-record%2FWOS:000383370300060","View Full Record in Web of Science")</f>
        <v>View Full Record in Web of Science</v>
      </c>
      <c r="BU2316" s="1"/>
      <c r="BV2316" s="1"/>
    </row>
    <row r="2317" spans="1:74">
      <c r="A2317" s="1" t="s">
        <v>72</v>
      </c>
      <c r="B2317" s="1" t="s">
        <v>37082</v>
      </c>
      <c r="C2317" s="1" t="s">
        <v>74</v>
      </c>
      <c r="D2317" s="1" t="s">
        <v>74</v>
      </c>
      <c r="E2317" s="1" t="s">
        <v>74</v>
      </c>
      <c r="F2317" s="1" t="s">
        <v>37083</v>
      </c>
      <c r="G2317" s="1" t="s">
        <v>74</v>
      </c>
      <c r="H2317" s="1" t="s">
        <v>74</v>
      </c>
      <c r="I2317" s="1" t="s">
        <v>37084</v>
      </c>
      <c r="J2317" s="1" t="s">
        <v>2408</v>
      </c>
      <c r="K2317" s="1" t="s">
        <v>74</v>
      </c>
      <c r="L2317" s="1" t="s">
        <v>74</v>
      </c>
      <c r="M2317" s="1" t="s">
        <v>78</v>
      </c>
      <c r="N2317" s="1" t="s">
        <v>79</v>
      </c>
      <c r="O2317" s="1" t="s">
        <v>74</v>
      </c>
      <c r="P2317" s="1" t="s">
        <v>74</v>
      </c>
      <c r="Q2317" s="1" t="s">
        <v>74</v>
      </c>
      <c r="R2317" s="1" t="s">
        <v>74</v>
      </c>
      <c r="S2317" s="1" t="s">
        <v>74</v>
      </c>
      <c r="T2317" s="1" t="s">
        <v>37085</v>
      </c>
      <c r="U2317" s="1" t="s">
        <v>37086</v>
      </c>
      <c r="V2317" s="1" t="s">
        <v>37087</v>
      </c>
      <c r="W2317" s="1" t="s">
        <v>37088</v>
      </c>
      <c r="X2317" s="1" t="s">
        <v>37089</v>
      </c>
      <c r="Y2317" s="1" t="s">
        <v>37090</v>
      </c>
      <c r="Z2317" s="1" t="s">
        <v>37091</v>
      </c>
      <c r="AA2317" s="1" t="s">
        <v>74</v>
      </c>
      <c r="AB2317" s="1" t="s">
        <v>74</v>
      </c>
      <c r="AC2317" s="1" t="s">
        <v>37092</v>
      </c>
      <c r="AD2317" s="1" t="s">
        <v>37092</v>
      </c>
      <c r="AE2317" s="1" t="s">
        <v>37093</v>
      </c>
      <c r="AF2317" s="1" t="s">
        <v>74</v>
      </c>
      <c r="AG2317" s="1">
        <v>75</v>
      </c>
      <c r="AH2317" s="1">
        <v>7</v>
      </c>
      <c r="AI2317" s="1">
        <v>8</v>
      </c>
      <c r="AJ2317" s="1">
        <v>1</v>
      </c>
      <c r="AK2317" s="1">
        <v>12</v>
      </c>
      <c r="AL2317" s="1" t="s">
        <v>2421</v>
      </c>
      <c r="AM2317" s="1" t="s">
        <v>2422</v>
      </c>
      <c r="AN2317" s="1" t="s">
        <v>2423</v>
      </c>
      <c r="AO2317" s="1" t="s">
        <v>2424</v>
      </c>
      <c r="AP2317" s="1" t="s">
        <v>2425</v>
      </c>
      <c r="AQ2317" s="1" t="s">
        <v>74</v>
      </c>
      <c r="AR2317" s="1" t="s">
        <v>2426</v>
      </c>
      <c r="AS2317" s="1" t="s">
        <v>2427</v>
      </c>
      <c r="AT2317" s="1" t="s">
        <v>197</v>
      </c>
      <c r="AU2317" s="1">
        <v>2019</v>
      </c>
      <c r="AV2317" s="1">
        <v>38</v>
      </c>
      <c r="AW2317" s="1">
        <v>3</v>
      </c>
      <c r="AX2317" s="1" t="s">
        <v>74</v>
      </c>
      <c r="AY2317" s="1" t="s">
        <v>74</v>
      </c>
      <c r="AZ2317" s="1" t="s">
        <v>74</v>
      </c>
      <c r="BA2317" s="1" t="s">
        <v>74</v>
      </c>
      <c r="BB2317" s="1">
        <v>681</v>
      </c>
      <c r="BC2317" s="1">
        <v>696</v>
      </c>
      <c r="BD2317" s="1" t="s">
        <v>74</v>
      </c>
      <c r="BE2317" s="1" t="s">
        <v>37094</v>
      </c>
      <c r="BF2317" s="1" t="str">
        <f>HYPERLINK("http://dx.doi.org/10.2983/035.038.0320","http://dx.doi.org/10.2983/035.038.0320")</f>
        <v>http://dx.doi.org/10.2983/035.038.0320</v>
      </c>
      <c r="BG2317" s="1" t="s">
        <v>74</v>
      </c>
      <c r="BH2317" s="1" t="s">
        <v>74</v>
      </c>
      <c r="BI2317" s="1">
        <v>16</v>
      </c>
      <c r="BJ2317" s="1" t="s">
        <v>2391</v>
      </c>
      <c r="BK2317" s="1" t="s">
        <v>96</v>
      </c>
      <c r="BL2317" s="1" t="s">
        <v>2391</v>
      </c>
      <c r="BM2317" s="1" t="s">
        <v>37095</v>
      </c>
      <c r="BN2317" s="1" t="s">
        <v>74</v>
      </c>
      <c r="BO2317" s="1" t="s">
        <v>74</v>
      </c>
      <c r="BP2317" s="1" t="s">
        <v>74</v>
      </c>
      <c r="BQ2317" s="1" t="s">
        <v>74</v>
      </c>
      <c r="BR2317" s="1" t="s">
        <v>98</v>
      </c>
      <c r="BS2317" s="1" t="s">
        <v>37096</v>
      </c>
      <c r="BT2317" s="1" t="str">
        <f>HYPERLINK("https%3A%2F%2Fwww.webofscience.com%2Fwos%2Fwoscc%2Ffull-record%2FWOS:000504763000020","View Full Record in Web of Science")</f>
        <v>View Full Record in Web of Science</v>
      </c>
      <c r="BU2317" s="1"/>
      <c r="BV2317" s="1"/>
    </row>
    <row r="2318" spans="1:74">
      <c r="A2318" s="1" t="s">
        <v>72</v>
      </c>
      <c r="B2318" s="1" t="s">
        <v>37097</v>
      </c>
      <c r="C2318" s="1" t="s">
        <v>74</v>
      </c>
      <c r="D2318" s="1" t="s">
        <v>74</v>
      </c>
      <c r="E2318" s="1" t="s">
        <v>74</v>
      </c>
      <c r="F2318" s="1" t="s">
        <v>37098</v>
      </c>
      <c r="G2318" s="1" t="s">
        <v>74</v>
      </c>
      <c r="H2318" s="1" t="s">
        <v>74</v>
      </c>
      <c r="I2318" s="1" t="s">
        <v>37099</v>
      </c>
      <c r="J2318" s="1" t="s">
        <v>909</v>
      </c>
      <c r="K2318" s="1" t="s">
        <v>74</v>
      </c>
      <c r="L2318" s="1" t="s">
        <v>74</v>
      </c>
      <c r="M2318" s="1" t="s">
        <v>78</v>
      </c>
      <c r="N2318" s="1" t="s">
        <v>79</v>
      </c>
      <c r="O2318" s="1" t="s">
        <v>74</v>
      </c>
      <c r="P2318" s="1" t="s">
        <v>74</v>
      </c>
      <c r="Q2318" s="1" t="s">
        <v>74</v>
      </c>
      <c r="R2318" s="1" t="s">
        <v>74</v>
      </c>
      <c r="S2318" s="1" t="s">
        <v>74</v>
      </c>
      <c r="T2318" s="1" t="s">
        <v>37100</v>
      </c>
      <c r="U2318" s="1" t="s">
        <v>37101</v>
      </c>
      <c r="V2318" s="1" t="s">
        <v>37102</v>
      </c>
      <c r="W2318" s="1" t="s">
        <v>37103</v>
      </c>
      <c r="X2318" s="1" t="s">
        <v>37104</v>
      </c>
      <c r="Y2318" s="1" t="s">
        <v>37105</v>
      </c>
      <c r="Z2318" s="1" t="s">
        <v>37106</v>
      </c>
      <c r="AA2318" s="1" t="s">
        <v>37107</v>
      </c>
      <c r="AB2318" s="1" t="s">
        <v>74</v>
      </c>
      <c r="AC2318" s="1" t="s">
        <v>74</v>
      </c>
      <c r="AD2318" s="1" t="s">
        <v>74</v>
      </c>
      <c r="AE2318" s="1" t="s">
        <v>74</v>
      </c>
      <c r="AF2318" s="1" t="s">
        <v>74</v>
      </c>
      <c r="AG2318" s="1">
        <v>66</v>
      </c>
      <c r="AH2318" s="1">
        <v>42</v>
      </c>
      <c r="AI2318" s="1">
        <v>46</v>
      </c>
      <c r="AJ2318" s="1">
        <v>13</v>
      </c>
      <c r="AK2318" s="1">
        <v>195</v>
      </c>
      <c r="AL2318" s="1" t="s">
        <v>650</v>
      </c>
      <c r="AM2318" s="1" t="s">
        <v>651</v>
      </c>
      <c r="AN2318" s="1" t="s">
        <v>652</v>
      </c>
      <c r="AO2318" s="1" t="s">
        <v>921</v>
      </c>
      <c r="AP2318" s="1" t="s">
        <v>922</v>
      </c>
      <c r="AQ2318" s="1" t="s">
        <v>74</v>
      </c>
      <c r="AR2318" s="1" t="s">
        <v>923</v>
      </c>
      <c r="AS2318" s="1" t="s">
        <v>924</v>
      </c>
      <c r="AT2318" s="1" t="s">
        <v>5542</v>
      </c>
      <c r="AU2318" s="1">
        <v>2021</v>
      </c>
      <c r="AV2318" s="1">
        <v>771</v>
      </c>
      <c r="AW2318" s="1" t="s">
        <v>74</v>
      </c>
      <c r="AX2318" s="1" t="s">
        <v>74</v>
      </c>
      <c r="AY2318" s="1" t="s">
        <v>74</v>
      </c>
      <c r="AZ2318" s="1" t="s">
        <v>74</v>
      </c>
      <c r="BA2318" s="1" t="s">
        <v>74</v>
      </c>
      <c r="BB2318" s="1" t="s">
        <v>74</v>
      </c>
      <c r="BC2318" s="1" t="s">
        <v>74</v>
      </c>
      <c r="BD2318" s="1">
        <v>144728</v>
      </c>
      <c r="BE2318" s="1" t="s">
        <v>37108</v>
      </c>
      <c r="BF2318" s="1" t="str">
        <f>HYPERLINK("http://dx.doi.org/10.1016/j.scitotenv.2020.144728","http://dx.doi.org/10.1016/j.scitotenv.2020.144728")</f>
        <v>http://dx.doi.org/10.1016/j.scitotenv.2020.144728</v>
      </c>
      <c r="BG2318" s="1" t="s">
        <v>74</v>
      </c>
      <c r="BH2318" s="1" t="s">
        <v>4518</v>
      </c>
      <c r="BI2318" s="1">
        <v>10</v>
      </c>
      <c r="BJ2318" s="1" t="s">
        <v>144</v>
      </c>
      <c r="BK2318" s="1" t="s">
        <v>96</v>
      </c>
      <c r="BL2318" s="1" t="s">
        <v>145</v>
      </c>
      <c r="BM2318" s="1" t="s">
        <v>37109</v>
      </c>
      <c r="BN2318" s="1">
        <v>33548710</v>
      </c>
      <c r="BO2318" s="1" t="s">
        <v>74</v>
      </c>
      <c r="BP2318" s="1" t="s">
        <v>74</v>
      </c>
      <c r="BQ2318" s="1" t="s">
        <v>74</v>
      </c>
      <c r="BR2318" s="1" t="s">
        <v>98</v>
      </c>
      <c r="BS2318" s="1" t="s">
        <v>37110</v>
      </c>
      <c r="BT2318" s="1" t="str">
        <f>HYPERLINK("https%3A%2F%2Fwww.webofscience.com%2Fwos%2Fwoscc%2Ffull-record%2FWOS:000627895900012","View Full Record in Web of Science")</f>
        <v>View Full Record in Web of Science</v>
      </c>
      <c r="BU2318" s="1"/>
      <c r="BV2318" s="1"/>
    </row>
    <row r="2319" spans="1:74">
      <c r="A2319" s="1" t="s">
        <v>72</v>
      </c>
      <c r="B2319" s="1" t="s">
        <v>37111</v>
      </c>
      <c r="C2319" s="1" t="s">
        <v>74</v>
      </c>
      <c r="D2319" s="1" t="s">
        <v>74</v>
      </c>
      <c r="E2319" s="1" t="s">
        <v>74</v>
      </c>
      <c r="F2319" s="1" t="s">
        <v>37112</v>
      </c>
      <c r="G2319" s="1" t="s">
        <v>74</v>
      </c>
      <c r="H2319" s="1" t="s">
        <v>74</v>
      </c>
      <c r="I2319" s="1" t="s">
        <v>37113</v>
      </c>
      <c r="J2319" s="1" t="s">
        <v>7246</v>
      </c>
      <c r="K2319" s="1" t="s">
        <v>74</v>
      </c>
      <c r="L2319" s="1" t="s">
        <v>74</v>
      </c>
      <c r="M2319" s="1" t="s">
        <v>78</v>
      </c>
      <c r="N2319" s="1" t="s">
        <v>79</v>
      </c>
      <c r="O2319" s="1" t="s">
        <v>74</v>
      </c>
      <c r="P2319" s="1" t="s">
        <v>74</v>
      </c>
      <c r="Q2319" s="1" t="s">
        <v>74</v>
      </c>
      <c r="R2319" s="1" t="s">
        <v>74</v>
      </c>
      <c r="S2319" s="1" t="s">
        <v>74</v>
      </c>
      <c r="T2319" s="1" t="s">
        <v>37114</v>
      </c>
      <c r="U2319" s="1" t="s">
        <v>37115</v>
      </c>
      <c r="V2319" s="1" t="s">
        <v>37116</v>
      </c>
      <c r="W2319" s="1" t="s">
        <v>37117</v>
      </c>
      <c r="X2319" s="1" t="s">
        <v>37118</v>
      </c>
      <c r="Y2319" s="1" t="s">
        <v>37119</v>
      </c>
      <c r="Z2319" s="1" t="s">
        <v>37120</v>
      </c>
      <c r="AA2319" s="1" t="s">
        <v>37121</v>
      </c>
      <c r="AB2319" s="1" t="s">
        <v>37122</v>
      </c>
      <c r="AC2319" s="1" t="s">
        <v>30218</v>
      </c>
      <c r="AD2319" s="1" t="s">
        <v>37123</v>
      </c>
      <c r="AE2319" s="1" t="s">
        <v>37124</v>
      </c>
      <c r="AF2319" s="1" t="s">
        <v>74</v>
      </c>
      <c r="AG2319" s="1">
        <v>83</v>
      </c>
      <c r="AH2319" s="1">
        <v>0</v>
      </c>
      <c r="AI2319" s="1">
        <v>0</v>
      </c>
      <c r="AJ2319" s="1">
        <v>0</v>
      </c>
      <c r="AK2319" s="1">
        <v>5</v>
      </c>
      <c r="AL2319" s="1" t="s">
        <v>1566</v>
      </c>
      <c r="AM2319" s="1" t="s">
        <v>1567</v>
      </c>
      <c r="AN2319" s="1" t="s">
        <v>1568</v>
      </c>
      <c r="AO2319" s="1" t="s">
        <v>74</v>
      </c>
      <c r="AP2319" s="1" t="s">
        <v>7258</v>
      </c>
      <c r="AQ2319" s="1" t="s">
        <v>74</v>
      </c>
      <c r="AR2319" s="1" t="s">
        <v>7259</v>
      </c>
      <c r="AS2319" s="1" t="s">
        <v>7260</v>
      </c>
      <c r="AT2319" s="1" t="s">
        <v>765</v>
      </c>
      <c r="AU2319" s="1">
        <v>2022</v>
      </c>
      <c r="AV2319" s="1">
        <v>10</v>
      </c>
      <c r="AW2319" s="1">
        <v>7</v>
      </c>
      <c r="AX2319" s="1" t="s">
        <v>74</v>
      </c>
      <c r="AY2319" s="1" t="s">
        <v>74</v>
      </c>
      <c r="AZ2319" s="1" t="s">
        <v>74</v>
      </c>
      <c r="BA2319" s="1" t="s">
        <v>74</v>
      </c>
      <c r="BB2319" s="1" t="s">
        <v>74</v>
      </c>
      <c r="BC2319" s="1" t="s">
        <v>74</v>
      </c>
      <c r="BD2319" s="1">
        <v>843</v>
      </c>
      <c r="BE2319" s="1" t="s">
        <v>37125</v>
      </c>
      <c r="BF2319" s="1" t="str">
        <f>HYPERLINK("http://dx.doi.org/10.3390/jmse10070843","http://dx.doi.org/10.3390/jmse10070843")</f>
        <v>http://dx.doi.org/10.3390/jmse10070843</v>
      </c>
      <c r="BG2319" s="1" t="s">
        <v>74</v>
      </c>
      <c r="BH2319" s="1" t="s">
        <v>74</v>
      </c>
      <c r="BI2319" s="1">
        <v>15</v>
      </c>
      <c r="BJ2319" s="1" t="s">
        <v>7262</v>
      </c>
      <c r="BK2319" s="1" t="s">
        <v>96</v>
      </c>
      <c r="BL2319" s="1" t="s">
        <v>7263</v>
      </c>
      <c r="BM2319" s="1" t="s">
        <v>37126</v>
      </c>
      <c r="BN2319" s="1" t="s">
        <v>74</v>
      </c>
      <c r="BO2319" s="1" t="s">
        <v>37127</v>
      </c>
      <c r="BP2319" s="1" t="s">
        <v>74</v>
      </c>
      <c r="BQ2319" s="1" t="s">
        <v>74</v>
      </c>
      <c r="BR2319" s="1" t="s">
        <v>98</v>
      </c>
      <c r="BS2319" s="1" t="s">
        <v>37128</v>
      </c>
      <c r="BT2319" s="1" t="str">
        <f>HYPERLINK("https%3A%2F%2Fwww.webofscience.com%2Fwos%2Fwoscc%2Ffull-record%2FWOS:000831929600001","View Full Record in Web of Science")</f>
        <v>View Full Record in Web of Science</v>
      </c>
      <c r="BU2319" s="1"/>
      <c r="BV2319" s="1"/>
    </row>
    <row r="2320" spans="1:74">
      <c r="A2320" s="1" t="s">
        <v>72</v>
      </c>
      <c r="B2320" s="1" t="s">
        <v>37129</v>
      </c>
      <c r="C2320" s="1" t="s">
        <v>74</v>
      </c>
      <c r="D2320" s="1" t="s">
        <v>74</v>
      </c>
      <c r="E2320" s="1" t="s">
        <v>74</v>
      </c>
      <c r="F2320" s="1" t="s">
        <v>37130</v>
      </c>
      <c r="G2320" s="1" t="s">
        <v>74</v>
      </c>
      <c r="H2320" s="1" t="s">
        <v>74</v>
      </c>
      <c r="I2320" s="1" t="s">
        <v>37131</v>
      </c>
      <c r="J2320" s="1" t="s">
        <v>752</v>
      </c>
      <c r="K2320" s="1" t="s">
        <v>74</v>
      </c>
      <c r="L2320" s="1" t="s">
        <v>74</v>
      </c>
      <c r="M2320" s="1" t="s">
        <v>78</v>
      </c>
      <c r="N2320" s="1" t="s">
        <v>79</v>
      </c>
      <c r="O2320" s="1" t="s">
        <v>74</v>
      </c>
      <c r="P2320" s="1" t="s">
        <v>74</v>
      </c>
      <c r="Q2320" s="1" t="s">
        <v>74</v>
      </c>
      <c r="R2320" s="1" t="s">
        <v>74</v>
      </c>
      <c r="S2320" s="1" t="s">
        <v>74</v>
      </c>
      <c r="T2320" s="1" t="s">
        <v>37132</v>
      </c>
      <c r="U2320" s="1" t="s">
        <v>37133</v>
      </c>
      <c r="V2320" s="1" t="s">
        <v>37134</v>
      </c>
      <c r="W2320" s="1" t="s">
        <v>37135</v>
      </c>
      <c r="X2320" s="1" t="s">
        <v>34868</v>
      </c>
      <c r="Y2320" s="1" t="s">
        <v>37136</v>
      </c>
      <c r="Z2320" s="1" t="s">
        <v>7144</v>
      </c>
      <c r="AA2320" s="1" t="s">
        <v>74</v>
      </c>
      <c r="AB2320" s="1" t="s">
        <v>74</v>
      </c>
      <c r="AC2320" s="1" t="s">
        <v>74</v>
      </c>
      <c r="AD2320" s="1" t="s">
        <v>74</v>
      </c>
      <c r="AE2320" s="1" t="s">
        <v>74</v>
      </c>
      <c r="AF2320" s="1" t="s">
        <v>74</v>
      </c>
      <c r="AG2320" s="1">
        <v>32</v>
      </c>
      <c r="AH2320" s="1">
        <v>0</v>
      </c>
      <c r="AI2320" s="1">
        <v>0</v>
      </c>
      <c r="AJ2320" s="1">
        <v>0</v>
      </c>
      <c r="AK2320" s="1">
        <v>0</v>
      </c>
      <c r="AL2320" s="1" t="s">
        <v>430</v>
      </c>
      <c r="AM2320" s="1" t="s">
        <v>7361</v>
      </c>
      <c r="AN2320" s="1" t="s">
        <v>7362</v>
      </c>
      <c r="AO2320" s="1" t="s">
        <v>761</v>
      </c>
      <c r="AP2320" s="1" t="s">
        <v>762</v>
      </c>
      <c r="AQ2320" s="1" t="s">
        <v>74</v>
      </c>
      <c r="AR2320" s="1" t="s">
        <v>763</v>
      </c>
      <c r="AS2320" s="1" t="s">
        <v>764</v>
      </c>
      <c r="AT2320" s="1" t="s">
        <v>267</v>
      </c>
      <c r="AU2320" s="1">
        <v>2024</v>
      </c>
      <c r="AV2320" s="1">
        <v>201</v>
      </c>
      <c r="AW2320" s="1" t="s">
        <v>74</v>
      </c>
      <c r="AX2320" s="1" t="s">
        <v>74</v>
      </c>
      <c r="AY2320" s="1" t="s">
        <v>74</v>
      </c>
      <c r="AZ2320" s="1" t="s">
        <v>74</v>
      </c>
      <c r="BA2320" s="1" t="s">
        <v>74</v>
      </c>
      <c r="BB2320" s="1" t="s">
        <v>74</v>
      </c>
      <c r="BC2320" s="1" t="s">
        <v>74</v>
      </c>
      <c r="BD2320" s="1">
        <v>106710</v>
      </c>
      <c r="BE2320" s="1" t="s">
        <v>37137</v>
      </c>
      <c r="BF2320" s="1" t="str">
        <f>HYPERLINK("http://dx.doi.org/10.1016/j.marenvres.2024.106710","http://dx.doi.org/10.1016/j.marenvres.2024.106710")</f>
        <v>http://dx.doi.org/10.1016/j.marenvres.2024.106710</v>
      </c>
      <c r="BG2320" s="1" t="s">
        <v>74</v>
      </c>
      <c r="BH2320" s="1" t="s">
        <v>74</v>
      </c>
      <c r="BI2320" s="1">
        <v>4</v>
      </c>
      <c r="BJ2320" s="1" t="s">
        <v>768</v>
      </c>
      <c r="BK2320" s="1" t="s">
        <v>96</v>
      </c>
      <c r="BL2320" s="1" t="s">
        <v>769</v>
      </c>
      <c r="BM2320" s="1" t="s">
        <v>37138</v>
      </c>
      <c r="BN2320" s="1">
        <v>39205360</v>
      </c>
      <c r="BO2320" s="1" t="s">
        <v>74</v>
      </c>
      <c r="BP2320" s="1" t="s">
        <v>74</v>
      </c>
      <c r="BQ2320" s="1" t="s">
        <v>74</v>
      </c>
      <c r="BR2320" s="1" t="s">
        <v>98</v>
      </c>
      <c r="BS2320" s="1" t="s">
        <v>37139</v>
      </c>
      <c r="BT2320" s="1" t="str">
        <f>HYPERLINK("https%3A%2F%2Fwww.webofscience.com%2Fwos%2Fwoscc%2Ffull-record%2FWOS:001306783900001","View Full Record in Web of Science")</f>
        <v>View Full Record in Web of Science</v>
      </c>
      <c r="BU2320" s="1"/>
      <c r="BV2320" s="1"/>
    </row>
    <row r="2321" spans="1:74">
      <c r="A2321" s="1" t="s">
        <v>72</v>
      </c>
      <c r="B2321" s="1" t="s">
        <v>37140</v>
      </c>
      <c r="C2321" s="1" t="s">
        <v>74</v>
      </c>
      <c r="D2321" s="1" t="s">
        <v>74</v>
      </c>
      <c r="E2321" s="1" t="s">
        <v>74</v>
      </c>
      <c r="F2321" s="1" t="s">
        <v>37141</v>
      </c>
      <c r="G2321" s="1" t="s">
        <v>74</v>
      </c>
      <c r="H2321" s="1" t="s">
        <v>74</v>
      </c>
      <c r="I2321" s="1" t="s">
        <v>37142</v>
      </c>
      <c r="J2321" s="1" t="s">
        <v>16476</v>
      </c>
      <c r="K2321" s="1" t="s">
        <v>74</v>
      </c>
      <c r="L2321" s="1" t="s">
        <v>74</v>
      </c>
      <c r="M2321" s="1" t="s">
        <v>78</v>
      </c>
      <c r="N2321" s="1" t="s">
        <v>79</v>
      </c>
      <c r="O2321" s="1" t="s">
        <v>74</v>
      </c>
      <c r="P2321" s="1" t="s">
        <v>74</v>
      </c>
      <c r="Q2321" s="1" t="s">
        <v>74</v>
      </c>
      <c r="R2321" s="1" t="s">
        <v>74</v>
      </c>
      <c r="S2321" s="1" t="s">
        <v>74</v>
      </c>
      <c r="T2321" s="1" t="s">
        <v>37143</v>
      </c>
      <c r="U2321" s="1" t="s">
        <v>37144</v>
      </c>
      <c r="V2321" s="1" t="s">
        <v>37145</v>
      </c>
      <c r="W2321" s="1" t="s">
        <v>37146</v>
      </c>
      <c r="X2321" s="1" t="s">
        <v>36088</v>
      </c>
      <c r="Y2321" s="1" t="s">
        <v>37147</v>
      </c>
      <c r="Z2321" s="1" t="s">
        <v>37148</v>
      </c>
      <c r="AA2321" s="1" t="s">
        <v>37149</v>
      </c>
      <c r="AB2321" s="1" t="s">
        <v>37150</v>
      </c>
      <c r="AC2321" s="1" t="s">
        <v>37151</v>
      </c>
      <c r="AD2321" s="1" t="s">
        <v>37152</v>
      </c>
      <c r="AE2321" s="1" t="s">
        <v>37153</v>
      </c>
      <c r="AF2321" s="1" t="s">
        <v>74</v>
      </c>
      <c r="AG2321" s="1">
        <v>67</v>
      </c>
      <c r="AH2321" s="1">
        <v>14</v>
      </c>
      <c r="AI2321" s="1">
        <v>16</v>
      </c>
      <c r="AJ2321" s="1">
        <v>0</v>
      </c>
      <c r="AK2321" s="1">
        <v>17</v>
      </c>
      <c r="AL2321" s="1" t="s">
        <v>919</v>
      </c>
      <c r="AM2321" s="1" t="s">
        <v>651</v>
      </c>
      <c r="AN2321" s="1" t="s">
        <v>920</v>
      </c>
      <c r="AO2321" s="1" t="s">
        <v>16484</v>
      </c>
      <c r="AP2321" s="1" t="s">
        <v>16485</v>
      </c>
      <c r="AQ2321" s="1" t="s">
        <v>74</v>
      </c>
      <c r="AR2321" s="1" t="s">
        <v>16486</v>
      </c>
      <c r="AS2321" s="1" t="s">
        <v>16487</v>
      </c>
      <c r="AT2321" s="1" t="s">
        <v>1470</v>
      </c>
      <c r="AU2321" s="1">
        <v>2018</v>
      </c>
      <c r="AV2321" s="1">
        <v>825</v>
      </c>
      <c r="AW2321" s="1" t="s">
        <v>74</v>
      </c>
      <c r="AX2321" s="1" t="s">
        <v>74</v>
      </c>
      <c r="AY2321" s="1" t="s">
        <v>74</v>
      </c>
      <c r="AZ2321" s="1" t="s">
        <v>74</v>
      </c>
      <c r="BA2321" s="1" t="s">
        <v>74</v>
      </c>
      <c r="BB2321" s="1">
        <v>8</v>
      </c>
      <c r="BC2321" s="1">
        <v>14</v>
      </c>
      <c r="BD2321" s="1" t="s">
        <v>74</v>
      </c>
      <c r="BE2321" s="1" t="s">
        <v>37154</v>
      </c>
      <c r="BF2321" s="1" t="str">
        <f>HYPERLINK("http://dx.doi.org/10.1016/j.mrgentox.2017.11.001","http://dx.doi.org/10.1016/j.mrgentox.2017.11.001")</f>
        <v>http://dx.doi.org/10.1016/j.mrgentox.2017.11.001</v>
      </c>
      <c r="BG2321" s="1" t="s">
        <v>74</v>
      </c>
      <c r="BH2321" s="1" t="s">
        <v>74</v>
      </c>
      <c r="BI2321" s="1">
        <v>7</v>
      </c>
      <c r="BJ2321" s="1" t="s">
        <v>16489</v>
      </c>
      <c r="BK2321" s="1" t="s">
        <v>96</v>
      </c>
      <c r="BL2321" s="1" t="s">
        <v>16489</v>
      </c>
      <c r="BM2321" s="1" t="s">
        <v>37155</v>
      </c>
      <c r="BN2321" s="1">
        <v>29307377</v>
      </c>
      <c r="BO2321" s="1" t="s">
        <v>74</v>
      </c>
      <c r="BP2321" s="1" t="s">
        <v>74</v>
      </c>
      <c r="BQ2321" s="1" t="s">
        <v>74</v>
      </c>
      <c r="BR2321" s="1" t="s">
        <v>98</v>
      </c>
      <c r="BS2321" s="1" t="s">
        <v>37156</v>
      </c>
      <c r="BT2321" s="1" t="str">
        <f>HYPERLINK("https%3A%2F%2Fwww.webofscience.com%2Fwos%2Fwoscc%2Ffull-record%2FWOS:000423001300002","View Full Record in Web of Science")</f>
        <v>View Full Record in Web of Science</v>
      </c>
      <c r="BU2321" s="1"/>
      <c r="BV2321" s="1"/>
    </row>
    <row r="2322" spans="1:74">
      <c r="A2322" s="1" t="s">
        <v>72</v>
      </c>
      <c r="B2322" s="1" t="s">
        <v>37157</v>
      </c>
      <c r="C2322" s="1" t="s">
        <v>74</v>
      </c>
      <c r="D2322" s="1" t="s">
        <v>74</v>
      </c>
      <c r="E2322" s="1" t="s">
        <v>74</v>
      </c>
      <c r="F2322" s="1" t="s">
        <v>37157</v>
      </c>
      <c r="G2322" s="1" t="s">
        <v>74</v>
      </c>
      <c r="H2322" s="1" t="s">
        <v>74</v>
      </c>
      <c r="I2322" s="1" t="s">
        <v>37158</v>
      </c>
      <c r="J2322" s="1" t="s">
        <v>998</v>
      </c>
      <c r="K2322" s="1" t="s">
        <v>74</v>
      </c>
      <c r="L2322" s="1" t="s">
        <v>74</v>
      </c>
      <c r="M2322" s="1" t="s">
        <v>78</v>
      </c>
      <c r="N2322" s="1" t="s">
        <v>79</v>
      </c>
      <c r="O2322" s="1" t="s">
        <v>74</v>
      </c>
      <c r="P2322" s="1" t="s">
        <v>74</v>
      </c>
      <c r="Q2322" s="1" t="s">
        <v>74</v>
      </c>
      <c r="R2322" s="1" t="s">
        <v>74</v>
      </c>
      <c r="S2322" s="1" t="s">
        <v>74</v>
      </c>
      <c r="T2322" s="1" t="s">
        <v>74</v>
      </c>
      <c r="U2322" s="1" t="s">
        <v>37159</v>
      </c>
      <c r="V2322" s="1" t="s">
        <v>37160</v>
      </c>
      <c r="W2322" s="1" t="s">
        <v>37161</v>
      </c>
      <c r="X2322" s="1" t="s">
        <v>37162</v>
      </c>
      <c r="Y2322" s="1" t="s">
        <v>22672</v>
      </c>
      <c r="Z2322" s="1" t="s">
        <v>22673</v>
      </c>
      <c r="AA2322" s="1" t="s">
        <v>22674</v>
      </c>
      <c r="AB2322" s="1" t="s">
        <v>37163</v>
      </c>
      <c r="AC2322" s="1" t="s">
        <v>74</v>
      </c>
      <c r="AD2322" s="1" t="s">
        <v>74</v>
      </c>
      <c r="AE2322" s="1" t="s">
        <v>74</v>
      </c>
      <c r="AF2322" s="1" t="s">
        <v>74</v>
      </c>
      <c r="AG2322" s="1">
        <v>31</v>
      </c>
      <c r="AH2322" s="1">
        <v>13</v>
      </c>
      <c r="AI2322" s="1">
        <v>18</v>
      </c>
      <c r="AJ2322" s="1">
        <v>0</v>
      </c>
      <c r="AK2322" s="1">
        <v>7</v>
      </c>
      <c r="AL2322" s="1" t="s">
        <v>112</v>
      </c>
      <c r="AM2322" s="1" t="s">
        <v>113</v>
      </c>
      <c r="AN2322" s="1" t="s">
        <v>469</v>
      </c>
      <c r="AO2322" s="1" t="s">
        <v>1009</v>
      </c>
      <c r="AP2322" s="1" t="s">
        <v>5996</v>
      </c>
      <c r="AQ2322" s="1" t="s">
        <v>74</v>
      </c>
      <c r="AR2322" s="1" t="s">
        <v>1010</v>
      </c>
      <c r="AS2322" s="1" t="s">
        <v>1011</v>
      </c>
      <c r="AT2322" s="1" t="s">
        <v>951</v>
      </c>
      <c r="AU2322" s="1">
        <v>2005</v>
      </c>
      <c r="AV2322" s="1">
        <v>49</v>
      </c>
      <c r="AW2322" s="1">
        <v>4</v>
      </c>
      <c r="AX2322" s="1" t="s">
        <v>74</v>
      </c>
      <c r="AY2322" s="1" t="s">
        <v>74</v>
      </c>
      <c r="AZ2322" s="1" t="s">
        <v>74</v>
      </c>
      <c r="BA2322" s="1" t="s">
        <v>74</v>
      </c>
      <c r="BB2322" s="1">
        <v>504</v>
      </c>
      <c r="BC2322" s="1">
        <v>510</v>
      </c>
      <c r="BD2322" s="1" t="s">
        <v>74</v>
      </c>
      <c r="BE2322" s="1" t="s">
        <v>37164</v>
      </c>
      <c r="BF2322" s="1" t="str">
        <f>HYPERLINK("http://dx.doi.org/10.1007/s00244-004-0238-2","http://dx.doi.org/10.1007/s00244-004-0238-2")</f>
        <v>http://dx.doi.org/10.1007/s00244-004-0238-2</v>
      </c>
      <c r="BG2322" s="1" t="s">
        <v>74</v>
      </c>
      <c r="BH2322" s="1" t="s">
        <v>74</v>
      </c>
      <c r="BI2322" s="1">
        <v>7</v>
      </c>
      <c r="BJ2322" s="1" t="s">
        <v>121</v>
      </c>
      <c r="BK2322" s="1" t="s">
        <v>96</v>
      </c>
      <c r="BL2322" s="1" t="s">
        <v>122</v>
      </c>
      <c r="BM2322" s="1" t="s">
        <v>37165</v>
      </c>
      <c r="BN2322" s="1">
        <v>16170449</v>
      </c>
      <c r="BO2322" s="1" t="s">
        <v>74</v>
      </c>
      <c r="BP2322" s="1" t="s">
        <v>74</v>
      </c>
      <c r="BQ2322" s="1" t="s">
        <v>74</v>
      </c>
      <c r="BR2322" s="1" t="s">
        <v>98</v>
      </c>
      <c r="BS2322" s="1" t="s">
        <v>37166</v>
      </c>
      <c r="BT2322" s="1" t="str">
        <f>HYPERLINK("https%3A%2F%2Fwww.webofscience.com%2Fwos%2Fwoscc%2Ffull-record%2FWOS:000232857100008","View Full Record in Web of Science")</f>
        <v>View Full Record in Web of Science</v>
      </c>
      <c r="BU2322" s="1"/>
      <c r="BV2322" s="1"/>
    </row>
    <row r="2323" spans="1:74">
      <c r="A2323" s="1" t="s">
        <v>72</v>
      </c>
      <c r="B2323" s="1" t="s">
        <v>37167</v>
      </c>
      <c r="C2323" s="1" t="s">
        <v>74</v>
      </c>
      <c r="D2323" s="1" t="s">
        <v>74</v>
      </c>
      <c r="E2323" s="1" t="s">
        <v>74</v>
      </c>
      <c r="F2323" s="1" t="s">
        <v>37168</v>
      </c>
      <c r="G2323" s="1" t="s">
        <v>74</v>
      </c>
      <c r="H2323" s="1" t="s">
        <v>74</v>
      </c>
      <c r="I2323" s="1" t="s">
        <v>37169</v>
      </c>
      <c r="J2323" s="1" t="s">
        <v>32065</v>
      </c>
      <c r="K2323" s="1" t="s">
        <v>74</v>
      </c>
      <c r="L2323" s="1" t="s">
        <v>74</v>
      </c>
      <c r="M2323" s="1" t="s">
        <v>78</v>
      </c>
      <c r="N2323" s="1" t="s">
        <v>79</v>
      </c>
      <c r="O2323" s="1" t="s">
        <v>74</v>
      </c>
      <c r="P2323" s="1" t="s">
        <v>74</v>
      </c>
      <c r="Q2323" s="1" t="s">
        <v>74</v>
      </c>
      <c r="R2323" s="1" t="s">
        <v>74</v>
      </c>
      <c r="S2323" s="1" t="s">
        <v>74</v>
      </c>
      <c r="T2323" s="1" t="s">
        <v>37170</v>
      </c>
      <c r="U2323" s="1" t="s">
        <v>37171</v>
      </c>
      <c r="V2323" s="1" t="s">
        <v>37172</v>
      </c>
      <c r="W2323" s="1" t="s">
        <v>37173</v>
      </c>
      <c r="X2323" s="1" t="s">
        <v>37174</v>
      </c>
      <c r="Y2323" s="1" t="s">
        <v>37175</v>
      </c>
      <c r="Z2323" s="1" t="s">
        <v>37176</v>
      </c>
      <c r="AA2323" s="1" t="s">
        <v>74</v>
      </c>
      <c r="AB2323" s="1" t="s">
        <v>36185</v>
      </c>
      <c r="AC2323" s="1" t="s">
        <v>74</v>
      </c>
      <c r="AD2323" s="1" t="s">
        <v>74</v>
      </c>
      <c r="AE2323" s="1" t="s">
        <v>74</v>
      </c>
      <c r="AF2323" s="1" t="s">
        <v>74</v>
      </c>
      <c r="AG2323" s="1">
        <v>29</v>
      </c>
      <c r="AH2323" s="1">
        <v>1</v>
      </c>
      <c r="AI2323" s="1">
        <v>1</v>
      </c>
      <c r="AJ2323" s="1">
        <v>3</v>
      </c>
      <c r="AK2323" s="1">
        <v>19</v>
      </c>
      <c r="AL2323" s="1" t="s">
        <v>32072</v>
      </c>
      <c r="AM2323" s="1" t="s">
        <v>32073</v>
      </c>
      <c r="AN2323" s="1" t="s">
        <v>32074</v>
      </c>
      <c r="AO2323" s="1" t="s">
        <v>32075</v>
      </c>
      <c r="AP2323" s="1" t="s">
        <v>74</v>
      </c>
      <c r="AQ2323" s="1" t="s">
        <v>74</v>
      </c>
      <c r="AR2323" s="1" t="s">
        <v>32076</v>
      </c>
      <c r="AS2323" s="1" t="s">
        <v>32077</v>
      </c>
      <c r="AT2323" s="1" t="s">
        <v>74</v>
      </c>
      <c r="AU2323" s="1">
        <v>2019</v>
      </c>
      <c r="AV2323" s="1">
        <v>69</v>
      </c>
      <c r="AW2323" s="1">
        <v>1</v>
      </c>
      <c r="AX2323" s="1" t="s">
        <v>74</v>
      </c>
      <c r="AY2323" s="1" t="s">
        <v>74</v>
      </c>
      <c r="AZ2323" s="1" t="s">
        <v>74</v>
      </c>
      <c r="BA2323" s="1" t="s">
        <v>74</v>
      </c>
      <c r="BB2323" s="1">
        <v>47</v>
      </c>
      <c r="BC2323" s="1">
        <v>52</v>
      </c>
      <c r="BD2323" s="1" t="s">
        <v>74</v>
      </c>
      <c r="BE2323" s="1" t="s">
        <v>74</v>
      </c>
      <c r="BF2323" s="1" t="s">
        <v>74</v>
      </c>
      <c r="BG2323" s="1" t="s">
        <v>74</v>
      </c>
      <c r="BH2323" s="1" t="s">
        <v>74</v>
      </c>
      <c r="BI2323" s="1">
        <v>6</v>
      </c>
      <c r="BJ2323" s="1" t="s">
        <v>1292</v>
      </c>
      <c r="BK2323" s="1" t="s">
        <v>96</v>
      </c>
      <c r="BL2323" s="1" t="s">
        <v>248</v>
      </c>
      <c r="BM2323" s="1" t="s">
        <v>37177</v>
      </c>
      <c r="BN2323" s="1" t="s">
        <v>74</v>
      </c>
      <c r="BO2323" s="1" t="s">
        <v>74</v>
      </c>
      <c r="BP2323" s="1" t="s">
        <v>74</v>
      </c>
      <c r="BQ2323" s="1" t="s">
        <v>74</v>
      </c>
      <c r="BR2323" s="1" t="s">
        <v>98</v>
      </c>
      <c r="BS2323" s="1" t="s">
        <v>37178</v>
      </c>
      <c r="BT2323" s="1" t="str">
        <f>HYPERLINK("https%3A%2F%2Fwww.webofscience.com%2Fwos%2Fwoscc%2Ffull-record%2FWOS:000476659900005","View Full Record in Web of Science")</f>
        <v>View Full Record in Web of Science</v>
      </c>
      <c r="BU2323" s="1"/>
      <c r="BV2323" s="1"/>
    </row>
    <row r="2324" spans="1:74">
      <c r="A2324" s="1" t="s">
        <v>72</v>
      </c>
      <c r="B2324" s="1" t="s">
        <v>37179</v>
      </c>
      <c r="C2324" s="1" t="s">
        <v>74</v>
      </c>
      <c r="D2324" s="1" t="s">
        <v>74</v>
      </c>
      <c r="E2324" s="1" t="s">
        <v>74</v>
      </c>
      <c r="F2324" s="1" t="s">
        <v>37180</v>
      </c>
      <c r="G2324" s="1" t="s">
        <v>74</v>
      </c>
      <c r="H2324" s="1" t="s">
        <v>74</v>
      </c>
      <c r="I2324" s="1" t="s">
        <v>37181</v>
      </c>
      <c r="J2324" s="1" t="s">
        <v>37182</v>
      </c>
      <c r="K2324" s="1" t="s">
        <v>74</v>
      </c>
      <c r="L2324" s="1" t="s">
        <v>74</v>
      </c>
      <c r="M2324" s="1" t="s">
        <v>78</v>
      </c>
      <c r="N2324" s="1" t="s">
        <v>79</v>
      </c>
      <c r="O2324" s="1" t="s">
        <v>74</v>
      </c>
      <c r="P2324" s="1" t="s">
        <v>74</v>
      </c>
      <c r="Q2324" s="1" t="s">
        <v>74</v>
      </c>
      <c r="R2324" s="1" t="s">
        <v>74</v>
      </c>
      <c r="S2324" s="1" t="s">
        <v>74</v>
      </c>
      <c r="T2324" s="1" t="s">
        <v>37183</v>
      </c>
      <c r="U2324" s="1" t="s">
        <v>74</v>
      </c>
      <c r="V2324" s="1" t="s">
        <v>37184</v>
      </c>
      <c r="W2324" s="1" t="s">
        <v>37185</v>
      </c>
      <c r="X2324" s="1" t="s">
        <v>11347</v>
      </c>
      <c r="Y2324" s="1" t="s">
        <v>37186</v>
      </c>
      <c r="Z2324" s="1" t="s">
        <v>37187</v>
      </c>
      <c r="AA2324" s="1" t="s">
        <v>37188</v>
      </c>
      <c r="AB2324" s="1" t="s">
        <v>37189</v>
      </c>
      <c r="AC2324" s="1" t="s">
        <v>37190</v>
      </c>
      <c r="AD2324" s="1" t="s">
        <v>37191</v>
      </c>
      <c r="AE2324" s="1" t="s">
        <v>37192</v>
      </c>
      <c r="AF2324" s="1" t="s">
        <v>74</v>
      </c>
      <c r="AG2324" s="1">
        <v>18</v>
      </c>
      <c r="AH2324" s="1">
        <v>8</v>
      </c>
      <c r="AI2324" s="1">
        <v>8</v>
      </c>
      <c r="AJ2324" s="1">
        <v>0</v>
      </c>
      <c r="AK2324" s="1">
        <v>6</v>
      </c>
      <c r="AL2324" s="1" t="s">
        <v>650</v>
      </c>
      <c r="AM2324" s="1" t="s">
        <v>651</v>
      </c>
      <c r="AN2324" s="1" t="s">
        <v>652</v>
      </c>
      <c r="AO2324" s="1" t="s">
        <v>37193</v>
      </c>
      <c r="AP2324" s="1" t="s">
        <v>37194</v>
      </c>
      <c r="AQ2324" s="1" t="s">
        <v>74</v>
      </c>
      <c r="AR2324" s="1" t="s">
        <v>37195</v>
      </c>
      <c r="AS2324" s="1" t="s">
        <v>37196</v>
      </c>
      <c r="AT2324" s="1" t="s">
        <v>305</v>
      </c>
      <c r="AU2324" s="1">
        <v>2020</v>
      </c>
      <c r="AV2324" s="1">
        <v>59</v>
      </c>
      <c r="AW2324" s="1" t="s">
        <v>74</v>
      </c>
      <c r="AX2324" s="1" t="s">
        <v>74</v>
      </c>
      <c r="AY2324" s="1" t="s">
        <v>74</v>
      </c>
      <c r="AZ2324" s="1" t="s">
        <v>74</v>
      </c>
      <c r="BA2324" s="1" t="s">
        <v>74</v>
      </c>
      <c r="BB2324" s="1" t="s">
        <v>74</v>
      </c>
      <c r="BC2324" s="1" t="s">
        <v>74</v>
      </c>
      <c r="BD2324" s="1">
        <v>101118</v>
      </c>
      <c r="BE2324" s="1" t="s">
        <v>37197</v>
      </c>
      <c r="BF2324" s="1" t="str">
        <f>HYPERLINK("http://dx.doi.org/10.1016/j.ecoinf.2020.101118","http://dx.doi.org/10.1016/j.ecoinf.2020.101118")</f>
        <v>http://dx.doi.org/10.1016/j.ecoinf.2020.101118</v>
      </c>
      <c r="BG2324" s="1" t="s">
        <v>74</v>
      </c>
      <c r="BH2324" s="1" t="s">
        <v>74</v>
      </c>
      <c r="BI2324" s="1">
        <v>7</v>
      </c>
      <c r="BJ2324" s="1" t="s">
        <v>6054</v>
      </c>
      <c r="BK2324" s="1" t="s">
        <v>96</v>
      </c>
      <c r="BL2324" s="1" t="s">
        <v>145</v>
      </c>
      <c r="BM2324" s="1" t="s">
        <v>37198</v>
      </c>
      <c r="BN2324" s="1" t="s">
        <v>74</v>
      </c>
      <c r="BO2324" s="1" t="s">
        <v>74</v>
      </c>
      <c r="BP2324" s="1" t="s">
        <v>74</v>
      </c>
      <c r="BQ2324" s="1" t="s">
        <v>74</v>
      </c>
      <c r="BR2324" s="1" t="s">
        <v>98</v>
      </c>
      <c r="BS2324" s="1" t="s">
        <v>37199</v>
      </c>
      <c r="BT2324" s="1" t="str">
        <f>HYPERLINK("https%3A%2F%2Fwww.webofscience.com%2Fwos%2Fwoscc%2Ffull-record%2FWOS:000564618700001","View Full Record in Web of Science")</f>
        <v>View Full Record in Web of Science</v>
      </c>
      <c r="BU2324" s="1"/>
      <c r="BV2324" s="1"/>
    </row>
    <row r="2325" spans="1:74">
      <c r="A2325" s="1" t="s">
        <v>72</v>
      </c>
      <c r="B2325" s="1" t="s">
        <v>37200</v>
      </c>
      <c r="C2325" s="1" t="s">
        <v>74</v>
      </c>
      <c r="D2325" s="1" t="s">
        <v>74</v>
      </c>
      <c r="E2325" s="1" t="s">
        <v>74</v>
      </c>
      <c r="F2325" s="1" t="s">
        <v>37201</v>
      </c>
      <c r="G2325" s="1" t="s">
        <v>74</v>
      </c>
      <c r="H2325" s="1" t="s">
        <v>74</v>
      </c>
      <c r="I2325" s="1" t="s">
        <v>37202</v>
      </c>
      <c r="J2325" s="1" t="s">
        <v>752</v>
      </c>
      <c r="K2325" s="1" t="s">
        <v>74</v>
      </c>
      <c r="L2325" s="1" t="s">
        <v>74</v>
      </c>
      <c r="M2325" s="1" t="s">
        <v>78</v>
      </c>
      <c r="N2325" s="1" t="s">
        <v>79</v>
      </c>
      <c r="O2325" s="1" t="s">
        <v>74</v>
      </c>
      <c r="P2325" s="1" t="s">
        <v>74</v>
      </c>
      <c r="Q2325" s="1" t="s">
        <v>74</v>
      </c>
      <c r="R2325" s="1" t="s">
        <v>74</v>
      </c>
      <c r="S2325" s="1" t="s">
        <v>74</v>
      </c>
      <c r="T2325" s="1" t="s">
        <v>37203</v>
      </c>
      <c r="U2325" s="1" t="s">
        <v>37204</v>
      </c>
      <c r="V2325" s="1" t="s">
        <v>37205</v>
      </c>
      <c r="W2325" s="1" t="s">
        <v>37206</v>
      </c>
      <c r="X2325" s="1" t="s">
        <v>37207</v>
      </c>
      <c r="Y2325" s="1" t="s">
        <v>37208</v>
      </c>
      <c r="Z2325" s="1" t="s">
        <v>10707</v>
      </c>
      <c r="AA2325" s="1" t="s">
        <v>74</v>
      </c>
      <c r="AB2325" s="1" t="s">
        <v>8157</v>
      </c>
      <c r="AC2325" s="1" t="s">
        <v>37209</v>
      </c>
      <c r="AD2325" s="1" t="s">
        <v>37210</v>
      </c>
      <c r="AE2325" s="1" t="s">
        <v>37211</v>
      </c>
      <c r="AF2325" s="1" t="s">
        <v>74</v>
      </c>
      <c r="AG2325" s="1">
        <v>52</v>
      </c>
      <c r="AH2325" s="1">
        <v>15</v>
      </c>
      <c r="AI2325" s="1">
        <v>17</v>
      </c>
      <c r="AJ2325" s="1">
        <v>0</v>
      </c>
      <c r="AK2325" s="1">
        <v>18</v>
      </c>
      <c r="AL2325" s="1" t="s">
        <v>430</v>
      </c>
      <c r="AM2325" s="1" t="s">
        <v>137</v>
      </c>
      <c r="AN2325" s="1" t="s">
        <v>431</v>
      </c>
      <c r="AO2325" s="1" t="s">
        <v>761</v>
      </c>
      <c r="AP2325" s="1" t="s">
        <v>762</v>
      </c>
      <c r="AQ2325" s="1" t="s">
        <v>74</v>
      </c>
      <c r="AR2325" s="1" t="s">
        <v>763</v>
      </c>
      <c r="AS2325" s="1" t="s">
        <v>764</v>
      </c>
      <c r="AT2325" s="1" t="s">
        <v>119</v>
      </c>
      <c r="AU2325" s="1">
        <v>2012</v>
      </c>
      <c r="AV2325" s="1">
        <v>79</v>
      </c>
      <c r="AW2325" s="1" t="s">
        <v>74</v>
      </c>
      <c r="AX2325" s="1" t="s">
        <v>74</v>
      </c>
      <c r="AY2325" s="1" t="s">
        <v>74</v>
      </c>
      <c r="AZ2325" s="1" t="s">
        <v>74</v>
      </c>
      <c r="BA2325" s="1" t="s">
        <v>74</v>
      </c>
      <c r="BB2325" s="1">
        <v>55</v>
      </c>
      <c r="BC2325" s="1">
        <v>62</v>
      </c>
      <c r="BD2325" s="1" t="s">
        <v>74</v>
      </c>
      <c r="BE2325" s="1" t="s">
        <v>37212</v>
      </c>
      <c r="BF2325" s="1" t="str">
        <f>HYPERLINK("http://dx.doi.org/10.1016/j.marenvres.2012.05.003","http://dx.doi.org/10.1016/j.marenvres.2012.05.003")</f>
        <v>http://dx.doi.org/10.1016/j.marenvres.2012.05.003</v>
      </c>
      <c r="BG2325" s="1" t="s">
        <v>74</v>
      </c>
      <c r="BH2325" s="1" t="s">
        <v>74</v>
      </c>
      <c r="BI2325" s="1">
        <v>8</v>
      </c>
      <c r="BJ2325" s="1" t="s">
        <v>768</v>
      </c>
      <c r="BK2325" s="1" t="s">
        <v>96</v>
      </c>
      <c r="BL2325" s="1" t="s">
        <v>769</v>
      </c>
      <c r="BM2325" s="1" t="s">
        <v>37213</v>
      </c>
      <c r="BN2325" s="1">
        <v>22681905</v>
      </c>
      <c r="BO2325" s="1" t="s">
        <v>74</v>
      </c>
      <c r="BP2325" s="1" t="s">
        <v>74</v>
      </c>
      <c r="BQ2325" s="1" t="s">
        <v>74</v>
      </c>
      <c r="BR2325" s="1" t="s">
        <v>98</v>
      </c>
      <c r="BS2325" s="1" t="s">
        <v>37214</v>
      </c>
      <c r="BT2325" s="1" t="str">
        <f>HYPERLINK("https%3A%2F%2Fwww.webofscience.com%2Fwos%2Fwoscc%2Ffull-record%2FWOS:000307094000006","View Full Record in Web of Science")</f>
        <v>View Full Record in Web of Science</v>
      </c>
      <c r="BU2325" s="1"/>
      <c r="BV2325" s="1"/>
    </row>
    <row r="2326" spans="1:74">
      <c r="A2326" s="1" t="s">
        <v>72</v>
      </c>
      <c r="B2326" s="1" t="s">
        <v>37215</v>
      </c>
      <c r="C2326" s="1" t="s">
        <v>74</v>
      </c>
      <c r="D2326" s="1" t="s">
        <v>74</v>
      </c>
      <c r="E2326" s="1" t="s">
        <v>74</v>
      </c>
      <c r="F2326" s="1" t="s">
        <v>37216</v>
      </c>
      <c r="G2326" s="1" t="s">
        <v>74</v>
      </c>
      <c r="H2326" s="1" t="s">
        <v>74</v>
      </c>
      <c r="I2326" s="1" t="s">
        <v>37217</v>
      </c>
      <c r="J2326" s="1" t="s">
        <v>2063</v>
      </c>
      <c r="K2326" s="1" t="s">
        <v>74</v>
      </c>
      <c r="L2326" s="1" t="s">
        <v>74</v>
      </c>
      <c r="M2326" s="1" t="s">
        <v>78</v>
      </c>
      <c r="N2326" s="1" t="s">
        <v>79</v>
      </c>
      <c r="O2326" s="1" t="s">
        <v>74</v>
      </c>
      <c r="P2326" s="1" t="s">
        <v>74</v>
      </c>
      <c r="Q2326" s="1" t="s">
        <v>74</v>
      </c>
      <c r="R2326" s="1" t="s">
        <v>74</v>
      </c>
      <c r="S2326" s="1" t="s">
        <v>74</v>
      </c>
      <c r="T2326" s="1" t="s">
        <v>37218</v>
      </c>
      <c r="U2326" s="1" t="s">
        <v>37219</v>
      </c>
      <c r="V2326" s="1" t="s">
        <v>37220</v>
      </c>
      <c r="W2326" s="1" t="s">
        <v>37221</v>
      </c>
      <c r="X2326" s="1" t="s">
        <v>37222</v>
      </c>
      <c r="Y2326" s="1" t="s">
        <v>37223</v>
      </c>
      <c r="Z2326" s="1" t="s">
        <v>37224</v>
      </c>
      <c r="AA2326" s="1" t="s">
        <v>37225</v>
      </c>
      <c r="AB2326" s="1" t="s">
        <v>37226</v>
      </c>
      <c r="AC2326" s="1" t="s">
        <v>74</v>
      </c>
      <c r="AD2326" s="1" t="s">
        <v>74</v>
      </c>
      <c r="AE2326" s="1" t="s">
        <v>74</v>
      </c>
      <c r="AF2326" s="1" t="s">
        <v>74</v>
      </c>
      <c r="AG2326" s="1">
        <v>51</v>
      </c>
      <c r="AH2326" s="1">
        <v>13</v>
      </c>
      <c r="AI2326" s="1">
        <v>13</v>
      </c>
      <c r="AJ2326" s="1">
        <v>0</v>
      </c>
      <c r="AK2326" s="1">
        <v>36</v>
      </c>
      <c r="AL2326" s="1" t="s">
        <v>2074</v>
      </c>
      <c r="AM2326" s="1" t="s">
        <v>2075</v>
      </c>
      <c r="AN2326" s="1" t="s">
        <v>2076</v>
      </c>
      <c r="AO2326" s="1" t="s">
        <v>2077</v>
      </c>
      <c r="AP2326" s="1" t="s">
        <v>2078</v>
      </c>
      <c r="AQ2326" s="1" t="s">
        <v>74</v>
      </c>
      <c r="AR2326" s="1" t="s">
        <v>2079</v>
      </c>
      <c r="AS2326" s="1" t="s">
        <v>2080</v>
      </c>
      <c r="AT2326" s="1" t="s">
        <v>74</v>
      </c>
      <c r="AU2326" s="1">
        <v>2011</v>
      </c>
      <c r="AV2326" s="1">
        <v>27</v>
      </c>
      <c r="AW2326" s="1" t="s">
        <v>74</v>
      </c>
      <c r="AX2326" s="1" t="s">
        <v>74</v>
      </c>
      <c r="AY2326" s="1">
        <v>2</v>
      </c>
      <c r="AZ2326" s="1" t="s">
        <v>225</v>
      </c>
      <c r="BA2326" s="1" t="s">
        <v>74</v>
      </c>
      <c r="BB2326" s="1">
        <v>1</v>
      </c>
      <c r="BC2326" s="1">
        <v>13</v>
      </c>
      <c r="BD2326" s="1" t="s">
        <v>74</v>
      </c>
      <c r="BE2326" s="1" t="s">
        <v>37227</v>
      </c>
      <c r="BF2326" s="1" t="str">
        <f>HYPERLINK("http://dx.doi.org/10.1080/02757540.2011.625943","http://dx.doi.org/10.1080/02757540.2011.625943")</f>
        <v>http://dx.doi.org/10.1080/02757540.2011.625943</v>
      </c>
      <c r="BG2326" s="1" t="s">
        <v>74</v>
      </c>
      <c r="BH2326" s="1" t="s">
        <v>74</v>
      </c>
      <c r="BI2326" s="1">
        <v>13</v>
      </c>
      <c r="BJ2326" s="1" t="s">
        <v>2083</v>
      </c>
      <c r="BK2326" s="1" t="s">
        <v>96</v>
      </c>
      <c r="BL2326" s="1" t="s">
        <v>2084</v>
      </c>
      <c r="BM2326" s="1" t="s">
        <v>37228</v>
      </c>
      <c r="BN2326" s="1" t="s">
        <v>74</v>
      </c>
      <c r="BO2326" s="1" t="s">
        <v>74</v>
      </c>
      <c r="BP2326" s="1" t="s">
        <v>74</v>
      </c>
      <c r="BQ2326" s="1" t="s">
        <v>74</v>
      </c>
      <c r="BR2326" s="1" t="s">
        <v>98</v>
      </c>
      <c r="BS2326" s="1" t="s">
        <v>37229</v>
      </c>
      <c r="BT2326" s="1" t="str">
        <f>HYPERLINK("https%3A%2F%2Fwww.webofscience.com%2Fwos%2Fwoscc%2Ffull-record%2FWOS:000299691200001","View Full Record in Web of Science")</f>
        <v>View Full Record in Web of Science</v>
      </c>
      <c r="BU2326" s="1"/>
      <c r="BV2326" s="1"/>
    </row>
    <row r="2327" spans="1:74">
      <c r="A2327" s="1" t="s">
        <v>72</v>
      </c>
      <c r="B2327" s="1" t="s">
        <v>37230</v>
      </c>
      <c r="C2327" s="1" t="s">
        <v>74</v>
      </c>
      <c r="D2327" s="1" t="s">
        <v>74</v>
      </c>
      <c r="E2327" s="1" t="s">
        <v>74</v>
      </c>
      <c r="F2327" s="1" t="s">
        <v>37230</v>
      </c>
      <c r="G2327" s="1" t="s">
        <v>74</v>
      </c>
      <c r="H2327" s="1" t="s">
        <v>74</v>
      </c>
      <c r="I2327" s="1" t="s">
        <v>37231</v>
      </c>
      <c r="J2327" s="1" t="s">
        <v>2265</v>
      </c>
      <c r="K2327" s="1" t="s">
        <v>74</v>
      </c>
      <c r="L2327" s="1" t="s">
        <v>74</v>
      </c>
      <c r="M2327" s="1" t="s">
        <v>78</v>
      </c>
      <c r="N2327" s="1" t="s">
        <v>79</v>
      </c>
      <c r="O2327" s="1" t="s">
        <v>74</v>
      </c>
      <c r="P2327" s="1" t="s">
        <v>74</v>
      </c>
      <c r="Q2327" s="1" t="s">
        <v>74</v>
      </c>
      <c r="R2327" s="1" t="s">
        <v>74</v>
      </c>
      <c r="S2327" s="1" t="s">
        <v>74</v>
      </c>
      <c r="T2327" s="1" t="s">
        <v>18030</v>
      </c>
      <c r="U2327" s="1" t="s">
        <v>37232</v>
      </c>
      <c r="V2327" s="1" t="s">
        <v>37233</v>
      </c>
      <c r="W2327" s="1" t="s">
        <v>37234</v>
      </c>
      <c r="X2327" s="1" t="s">
        <v>37235</v>
      </c>
      <c r="Y2327" s="1" t="s">
        <v>37236</v>
      </c>
      <c r="Z2327" s="1" t="s">
        <v>74</v>
      </c>
      <c r="AA2327" s="1" t="s">
        <v>74</v>
      </c>
      <c r="AB2327" s="1" t="s">
        <v>18035</v>
      </c>
      <c r="AC2327" s="1" t="s">
        <v>74</v>
      </c>
      <c r="AD2327" s="1" t="s">
        <v>74</v>
      </c>
      <c r="AE2327" s="1" t="s">
        <v>74</v>
      </c>
      <c r="AF2327" s="1" t="s">
        <v>74</v>
      </c>
      <c r="AG2327" s="1">
        <v>38</v>
      </c>
      <c r="AH2327" s="1">
        <v>71</v>
      </c>
      <c r="AI2327" s="1">
        <v>79</v>
      </c>
      <c r="AJ2327" s="1">
        <v>0</v>
      </c>
      <c r="AK2327" s="1">
        <v>13</v>
      </c>
      <c r="AL2327" s="1" t="s">
        <v>2074</v>
      </c>
      <c r="AM2327" s="1" t="s">
        <v>286</v>
      </c>
      <c r="AN2327" s="1" t="s">
        <v>37237</v>
      </c>
      <c r="AO2327" s="1" t="s">
        <v>2275</v>
      </c>
      <c r="AP2327" s="1" t="s">
        <v>74</v>
      </c>
      <c r="AQ2327" s="1" t="s">
        <v>74</v>
      </c>
      <c r="AR2327" s="1" t="s">
        <v>2265</v>
      </c>
      <c r="AS2327" s="1" t="s">
        <v>2277</v>
      </c>
      <c r="AT2327" s="1" t="s">
        <v>4921</v>
      </c>
      <c r="AU2327" s="1">
        <v>2001</v>
      </c>
      <c r="AV2327" s="1">
        <v>6</v>
      </c>
      <c r="AW2327" s="1">
        <v>2</v>
      </c>
      <c r="AX2327" s="1" t="s">
        <v>74</v>
      </c>
      <c r="AY2327" s="1" t="s">
        <v>74</v>
      </c>
      <c r="AZ2327" s="1" t="s">
        <v>74</v>
      </c>
      <c r="BA2327" s="1" t="s">
        <v>74</v>
      </c>
      <c r="BB2327" s="1">
        <v>91</v>
      </c>
      <c r="BC2327" s="1">
        <v>107</v>
      </c>
      <c r="BD2327" s="1" t="s">
        <v>74</v>
      </c>
      <c r="BE2327" s="1" t="s">
        <v>37238</v>
      </c>
      <c r="BF2327" s="1" t="str">
        <f>HYPERLINK("http://dx.doi.org/10.1080/13547500010000860","http://dx.doi.org/10.1080/13547500010000860")</f>
        <v>http://dx.doi.org/10.1080/13547500010000860</v>
      </c>
      <c r="BG2327" s="1" t="s">
        <v>74</v>
      </c>
      <c r="BH2327" s="1" t="s">
        <v>74</v>
      </c>
      <c r="BI2327" s="1">
        <v>17</v>
      </c>
      <c r="BJ2327" s="1" t="s">
        <v>2279</v>
      </c>
      <c r="BK2327" s="1" t="s">
        <v>96</v>
      </c>
      <c r="BL2327" s="1" t="s">
        <v>2279</v>
      </c>
      <c r="BM2327" s="1" t="s">
        <v>37239</v>
      </c>
      <c r="BN2327" s="1">
        <v>23886106</v>
      </c>
      <c r="BO2327" s="1" t="s">
        <v>74</v>
      </c>
      <c r="BP2327" s="1" t="s">
        <v>74</v>
      </c>
      <c r="BQ2327" s="1" t="s">
        <v>74</v>
      </c>
      <c r="BR2327" s="1" t="s">
        <v>98</v>
      </c>
      <c r="BS2327" s="1" t="s">
        <v>37240</v>
      </c>
      <c r="BT2327" s="1" t="str">
        <f>HYPERLINK("https%3A%2F%2Fwww.webofscience.com%2Fwos%2Fwoscc%2Ffull-record%2FWOS:000167969900001","View Full Record in Web of Science")</f>
        <v>View Full Record in Web of Science</v>
      </c>
      <c r="BU2327" s="1"/>
      <c r="BV2327" s="1"/>
    </row>
    <row r="2328" spans="1:74">
      <c r="A2328" s="1" t="s">
        <v>72</v>
      </c>
      <c r="B2328" s="1" t="s">
        <v>37241</v>
      </c>
      <c r="C2328" s="1" t="s">
        <v>74</v>
      </c>
      <c r="D2328" s="1" t="s">
        <v>74</v>
      </c>
      <c r="E2328" s="1" t="s">
        <v>74</v>
      </c>
      <c r="F2328" s="1" t="s">
        <v>37242</v>
      </c>
      <c r="G2328" s="1" t="s">
        <v>74</v>
      </c>
      <c r="H2328" s="1" t="s">
        <v>74</v>
      </c>
      <c r="I2328" s="1" t="s">
        <v>37243</v>
      </c>
      <c r="J2328" s="1" t="s">
        <v>909</v>
      </c>
      <c r="K2328" s="1" t="s">
        <v>74</v>
      </c>
      <c r="L2328" s="1" t="s">
        <v>74</v>
      </c>
      <c r="M2328" s="1" t="s">
        <v>78</v>
      </c>
      <c r="N2328" s="1" t="s">
        <v>79</v>
      </c>
      <c r="O2328" s="1" t="s">
        <v>74</v>
      </c>
      <c r="P2328" s="1" t="s">
        <v>74</v>
      </c>
      <c r="Q2328" s="1" t="s">
        <v>74</v>
      </c>
      <c r="R2328" s="1" t="s">
        <v>74</v>
      </c>
      <c r="S2328" s="1" t="s">
        <v>74</v>
      </c>
      <c r="T2328" s="1" t="s">
        <v>37244</v>
      </c>
      <c r="U2328" s="1" t="s">
        <v>37245</v>
      </c>
      <c r="V2328" s="1" t="s">
        <v>37246</v>
      </c>
      <c r="W2328" s="1" t="s">
        <v>37247</v>
      </c>
      <c r="X2328" s="1" t="s">
        <v>37248</v>
      </c>
      <c r="Y2328" s="1" t="s">
        <v>37249</v>
      </c>
      <c r="Z2328" s="1" t="s">
        <v>37250</v>
      </c>
      <c r="AA2328" s="1" t="s">
        <v>37251</v>
      </c>
      <c r="AB2328" s="1" t="s">
        <v>37252</v>
      </c>
      <c r="AC2328" s="1" t="s">
        <v>37253</v>
      </c>
      <c r="AD2328" s="1" t="s">
        <v>37254</v>
      </c>
      <c r="AE2328" s="1" t="s">
        <v>37255</v>
      </c>
      <c r="AF2328" s="1" t="s">
        <v>74</v>
      </c>
      <c r="AG2328" s="1">
        <v>117</v>
      </c>
      <c r="AH2328" s="1">
        <v>75</v>
      </c>
      <c r="AI2328" s="1">
        <v>78</v>
      </c>
      <c r="AJ2328" s="1">
        <v>21</v>
      </c>
      <c r="AK2328" s="1">
        <v>180</v>
      </c>
      <c r="AL2328" s="1" t="s">
        <v>650</v>
      </c>
      <c r="AM2328" s="1" t="s">
        <v>651</v>
      </c>
      <c r="AN2328" s="1" t="s">
        <v>652</v>
      </c>
      <c r="AO2328" s="1" t="s">
        <v>921</v>
      </c>
      <c r="AP2328" s="1" t="s">
        <v>922</v>
      </c>
      <c r="AQ2328" s="1" t="s">
        <v>74</v>
      </c>
      <c r="AR2328" s="1" t="s">
        <v>923</v>
      </c>
      <c r="AS2328" s="1" t="s">
        <v>924</v>
      </c>
      <c r="AT2328" s="1" t="s">
        <v>37256</v>
      </c>
      <c r="AU2328" s="1">
        <v>2021</v>
      </c>
      <c r="AV2328" s="1">
        <v>783</v>
      </c>
      <c r="AW2328" s="1" t="s">
        <v>74</v>
      </c>
      <c r="AX2328" s="1" t="s">
        <v>74</v>
      </c>
      <c r="AY2328" s="1" t="s">
        <v>74</v>
      </c>
      <c r="AZ2328" s="1" t="s">
        <v>74</v>
      </c>
      <c r="BA2328" s="1" t="s">
        <v>74</v>
      </c>
      <c r="BB2328" s="1" t="s">
        <v>74</v>
      </c>
      <c r="BC2328" s="1" t="s">
        <v>74</v>
      </c>
      <c r="BD2328" s="1">
        <v>147003</v>
      </c>
      <c r="BE2328" s="1" t="s">
        <v>37257</v>
      </c>
      <c r="BF2328" s="1" t="str">
        <f>HYPERLINK("http://dx.doi.org/10.1016/j.scitotenv.2021.147003","http://dx.doi.org/10.1016/j.scitotenv.2021.147003")</f>
        <v>http://dx.doi.org/10.1016/j.scitotenv.2021.147003</v>
      </c>
      <c r="BG2328" s="1" t="s">
        <v>74</v>
      </c>
      <c r="BH2328" s="1" t="s">
        <v>14421</v>
      </c>
      <c r="BI2328" s="1">
        <v>9</v>
      </c>
      <c r="BJ2328" s="1" t="s">
        <v>144</v>
      </c>
      <c r="BK2328" s="1" t="s">
        <v>96</v>
      </c>
      <c r="BL2328" s="1" t="s">
        <v>145</v>
      </c>
      <c r="BM2328" s="1" t="s">
        <v>37258</v>
      </c>
      <c r="BN2328" s="1">
        <v>33865135</v>
      </c>
      <c r="BO2328" s="1" t="s">
        <v>74</v>
      </c>
      <c r="BP2328" s="1" t="s">
        <v>74</v>
      </c>
      <c r="BQ2328" s="1" t="s">
        <v>74</v>
      </c>
      <c r="BR2328" s="1" t="s">
        <v>98</v>
      </c>
      <c r="BS2328" s="1" t="s">
        <v>37259</v>
      </c>
      <c r="BT2328" s="1" t="str">
        <f>HYPERLINK("https%3A%2F%2Fwww.webofscience.com%2Fwos%2Fwoscc%2Ffull-record%2FWOS:000656998500017","View Full Record in Web of Science")</f>
        <v>View Full Record in Web of Science</v>
      </c>
      <c r="BU2328" s="1"/>
      <c r="BV2328" s="1"/>
    </row>
    <row r="2329" spans="1:74">
      <c r="A2329" s="1" t="s">
        <v>72</v>
      </c>
      <c r="B2329" s="1" t="s">
        <v>37260</v>
      </c>
      <c r="C2329" s="1" t="s">
        <v>74</v>
      </c>
      <c r="D2329" s="1" t="s">
        <v>74</v>
      </c>
      <c r="E2329" s="1" t="s">
        <v>74</v>
      </c>
      <c r="F2329" s="1" t="s">
        <v>37261</v>
      </c>
      <c r="G2329" s="1" t="s">
        <v>74</v>
      </c>
      <c r="H2329" s="1" t="s">
        <v>74</v>
      </c>
      <c r="I2329" s="1" t="s">
        <v>37262</v>
      </c>
      <c r="J2329" s="1" t="s">
        <v>232</v>
      </c>
      <c r="K2329" s="1" t="s">
        <v>74</v>
      </c>
      <c r="L2329" s="1" t="s">
        <v>74</v>
      </c>
      <c r="M2329" s="1" t="s">
        <v>78</v>
      </c>
      <c r="N2329" s="1" t="s">
        <v>79</v>
      </c>
      <c r="O2329" s="1" t="s">
        <v>74</v>
      </c>
      <c r="P2329" s="1" t="s">
        <v>74</v>
      </c>
      <c r="Q2329" s="1" t="s">
        <v>74</v>
      </c>
      <c r="R2329" s="1" t="s">
        <v>74</v>
      </c>
      <c r="S2329" s="1" t="s">
        <v>74</v>
      </c>
      <c r="T2329" s="1" t="s">
        <v>37263</v>
      </c>
      <c r="U2329" s="1" t="s">
        <v>37264</v>
      </c>
      <c r="V2329" s="1" t="s">
        <v>37265</v>
      </c>
      <c r="W2329" s="1" t="s">
        <v>37266</v>
      </c>
      <c r="X2329" s="1" t="s">
        <v>9952</v>
      </c>
      <c r="Y2329" s="1" t="s">
        <v>37267</v>
      </c>
      <c r="Z2329" s="1" t="s">
        <v>21443</v>
      </c>
      <c r="AA2329" s="1" t="s">
        <v>37268</v>
      </c>
      <c r="AB2329" s="1" t="s">
        <v>37269</v>
      </c>
      <c r="AC2329" s="1" t="s">
        <v>37270</v>
      </c>
      <c r="AD2329" s="1" t="s">
        <v>37271</v>
      </c>
      <c r="AE2329" s="1" t="s">
        <v>37272</v>
      </c>
      <c r="AF2329" s="1" t="s">
        <v>74</v>
      </c>
      <c r="AG2329" s="1">
        <v>45</v>
      </c>
      <c r="AH2329" s="1">
        <v>21</v>
      </c>
      <c r="AI2329" s="1">
        <v>22</v>
      </c>
      <c r="AJ2329" s="1">
        <v>1</v>
      </c>
      <c r="AK2329" s="1">
        <v>47</v>
      </c>
      <c r="AL2329" s="1" t="s">
        <v>136</v>
      </c>
      <c r="AM2329" s="1" t="s">
        <v>137</v>
      </c>
      <c r="AN2329" s="1" t="s">
        <v>138</v>
      </c>
      <c r="AO2329" s="1" t="s">
        <v>240</v>
      </c>
      <c r="AP2329" s="1" t="s">
        <v>241</v>
      </c>
      <c r="AQ2329" s="1" t="s">
        <v>74</v>
      </c>
      <c r="AR2329" s="1" t="s">
        <v>242</v>
      </c>
      <c r="AS2329" s="1" t="s">
        <v>243</v>
      </c>
      <c r="AT2329" s="1" t="s">
        <v>1965</v>
      </c>
      <c r="AU2329" s="1">
        <v>2014</v>
      </c>
      <c r="AV2329" s="1">
        <v>89</v>
      </c>
      <c r="AW2329" s="1" t="s">
        <v>326</v>
      </c>
      <c r="AX2329" s="1" t="s">
        <v>74</v>
      </c>
      <c r="AY2329" s="1" t="s">
        <v>74</v>
      </c>
      <c r="AZ2329" s="1" t="s">
        <v>74</v>
      </c>
      <c r="BA2329" s="1" t="s">
        <v>74</v>
      </c>
      <c r="BB2329" s="1">
        <v>473</v>
      </c>
      <c r="BC2329" s="1">
        <v>480</v>
      </c>
      <c r="BD2329" s="1" t="s">
        <v>74</v>
      </c>
      <c r="BE2329" s="1" t="s">
        <v>37273</v>
      </c>
      <c r="BF2329" s="1" t="str">
        <f>HYPERLINK("http://dx.doi.org/10.1016/j.marpolbul.2014.09.026","http://dx.doi.org/10.1016/j.marpolbul.2014.09.026")</f>
        <v>http://dx.doi.org/10.1016/j.marpolbul.2014.09.026</v>
      </c>
      <c r="BG2329" s="1" t="s">
        <v>74</v>
      </c>
      <c r="BH2329" s="1" t="s">
        <v>74</v>
      </c>
      <c r="BI2329" s="1">
        <v>8</v>
      </c>
      <c r="BJ2329" s="1" t="s">
        <v>247</v>
      </c>
      <c r="BK2329" s="1" t="s">
        <v>96</v>
      </c>
      <c r="BL2329" s="1" t="s">
        <v>248</v>
      </c>
      <c r="BM2329" s="1" t="s">
        <v>13708</v>
      </c>
      <c r="BN2329" s="1">
        <v>25440196</v>
      </c>
      <c r="BO2329" s="1" t="s">
        <v>74</v>
      </c>
      <c r="BP2329" s="1" t="s">
        <v>74</v>
      </c>
      <c r="BQ2329" s="1" t="s">
        <v>74</v>
      </c>
      <c r="BR2329" s="1" t="s">
        <v>98</v>
      </c>
      <c r="BS2329" s="1" t="s">
        <v>37274</v>
      </c>
      <c r="BT2329" s="1" t="str">
        <f>HYPERLINK("https%3A%2F%2Fwww.webofscience.com%2Fwos%2Fwoscc%2Ffull-record%2FWOS:000347494700068","View Full Record in Web of Science")</f>
        <v>View Full Record in Web of Science</v>
      </c>
      <c r="BU2329" s="1"/>
      <c r="BV2329" s="1"/>
    </row>
    <row r="2330" spans="1:74">
      <c r="A2330" s="1" t="s">
        <v>72</v>
      </c>
      <c r="B2330" s="1" t="s">
        <v>37275</v>
      </c>
      <c r="C2330" s="1" t="s">
        <v>74</v>
      </c>
      <c r="D2330" s="1" t="s">
        <v>74</v>
      </c>
      <c r="E2330" s="1" t="s">
        <v>74</v>
      </c>
      <c r="F2330" s="1" t="s">
        <v>37276</v>
      </c>
      <c r="G2330" s="1" t="s">
        <v>74</v>
      </c>
      <c r="H2330" s="1" t="s">
        <v>74</v>
      </c>
      <c r="I2330" s="1" t="s">
        <v>37277</v>
      </c>
      <c r="J2330" s="1" t="s">
        <v>232</v>
      </c>
      <c r="K2330" s="1" t="s">
        <v>74</v>
      </c>
      <c r="L2330" s="1" t="s">
        <v>74</v>
      </c>
      <c r="M2330" s="1" t="s">
        <v>78</v>
      </c>
      <c r="N2330" s="1" t="s">
        <v>79</v>
      </c>
      <c r="O2330" s="1" t="s">
        <v>74</v>
      </c>
      <c r="P2330" s="1" t="s">
        <v>74</v>
      </c>
      <c r="Q2330" s="1" t="s">
        <v>74</v>
      </c>
      <c r="R2330" s="1" t="s">
        <v>74</v>
      </c>
      <c r="S2330" s="1" t="s">
        <v>74</v>
      </c>
      <c r="T2330" s="1" t="s">
        <v>37278</v>
      </c>
      <c r="U2330" s="1" t="s">
        <v>37279</v>
      </c>
      <c r="V2330" s="1" t="s">
        <v>37280</v>
      </c>
      <c r="W2330" s="1" t="s">
        <v>37281</v>
      </c>
      <c r="X2330" s="1" t="s">
        <v>37282</v>
      </c>
      <c r="Y2330" s="1" t="s">
        <v>37283</v>
      </c>
      <c r="Z2330" s="1" t="s">
        <v>37284</v>
      </c>
      <c r="AA2330" s="1" t="s">
        <v>37285</v>
      </c>
      <c r="AB2330" s="1" t="s">
        <v>37286</v>
      </c>
      <c r="AC2330" s="1" t="s">
        <v>37287</v>
      </c>
      <c r="AD2330" s="1" t="s">
        <v>37288</v>
      </c>
      <c r="AE2330" s="1" t="s">
        <v>37289</v>
      </c>
      <c r="AF2330" s="1" t="s">
        <v>74</v>
      </c>
      <c r="AG2330" s="1">
        <v>88</v>
      </c>
      <c r="AH2330" s="1">
        <v>27</v>
      </c>
      <c r="AI2330" s="1">
        <v>31</v>
      </c>
      <c r="AJ2330" s="1">
        <v>0</v>
      </c>
      <c r="AK2330" s="1">
        <v>29</v>
      </c>
      <c r="AL2330" s="1" t="s">
        <v>136</v>
      </c>
      <c r="AM2330" s="1" t="s">
        <v>137</v>
      </c>
      <c r="AN2330" s="1" t="s">
        <v>138</v>
      </c>
      <c r="AO2330" s="1" t="s">
        <v>240</v>
      </c>
      <c r="AP2330" s="1" t="s">
        <v>241</v>
      </c>
      <c r="AQ2330" s="1" t="s">
        <v>74</v>
      </c>
      <c r="AR2330" s="1" t="s">
        <v>242</v>
      </c>
      <c r="AS2330" s="1" t="s">
        <v>243</v>
      </c>
      <c r="AT2330" s="1" t="s">
        <v>7041</v>
      </c>
      <c r="AU2330" s="1">
        <v>2014</v>
      </c>
      <c r="AV2330" s="1">
        <v>79</v>
      </c>
      <c r="AW2330" s="1" t="s">
        <v>326</v>
      </c>
      <c r="AX2330" s="1" t="s">
        <v>74</v>
      </c>
      <c r="AY2330" s="1" t="s">
        <v>74</v>
      </c>
      <c r="AZ2330" s="1" t="s">
        <v>74</v>
      </c>
      <c r="BA2330" s="1" t="s">
        <v>74</v>
      </c>
      <c r="BB2330" s="1">
        <v>211</v>
      </c>
      <c r="BC2330" s="1">
        <v>219</v>
      </c>
      <c r="BD2330" s="1" t="s">
        <v>74</v>
      </c>
      <c r="BE2330" s="1" t="s">
        <v>37290</v>
      </c>
      <c r="BF2330" s="1" t="str">
        <f>HYPERLINK("http://dx.doi.org/10.1016/j.marpolbul.2013.12.011","http://dx.doi.org/10.1016/j.marpolbul.2013.12.011")</f>
        <v>http://dx.doi.org/10.1016/j.marpolbul.2013.12.011</v>
      </c>
      <c r="BG2330" s="1" t="s">
        <v>74</v>
      </c>
      <c r="BH2330" s="1" t="s">
        <v>74</v>
      </c>
      <c r="BI2330" s="1">
        <v>9</v>
      </c>
      <c r="BJ2330" s="1" t="s">
        <v>247</v>
      </c>
      <c r="BK2330" s="1" t="s">
        <v>96</v>
      </c>
      <c r="BL2330" s="1" t="s">
        <v>248</v>
      </c>
      <c r="BM2330" s="1" t="s">
        <v>37291</v>
      </c>
      <c r="BN2330" s="1">
        <v>24373665</v>
      </c>
      <c r="BO2330" s="1" t="s">
        <v>74</v>
      </c>
      <c r="BP2330" s="1" t="s">
        <v>74</v>
      </c>
      <c r="BQ2330" s="1" t="s">
        <v>74</v>
      </c>
      <c r="BR2330" s="1" t="s">
        <v>98</v>
      </c>
      <c r="BS2330" s="1" t="s">
        <v>37292</v>
      </c>
      <c r="BT2330" s="1" t="str">
        <f>HYPERLINK("https%3A%2F%2Fwww.webofscience.com%2Fwos%2Fwoscc%2Ffull-record%2FWOS:000332436300038","View Full Record in Web of Science")</f>
        <v>View Full Record in Web of Science</v>
      </c>
      <c r="BU2330" s="1"/>
      <c r="BV2330" s="1"/>
    </row>
    <row r="2331" spans="1:74">
      <c r="A2331" s="1" t="s">
        <v>72</v>
      </c>
      <c r="B2331" s="1" t="s">
        <v>37293</v>
      </c>
      <c r="C2331" s="1" t="s">
        <v>74</v>
      </c>
      <c r="D2331" s="1" t="s">
        <v>74</v>
      </c>
      <c r="E2331" s="1" t="s">
        <v>74</v>
      </c>
      <c r="F2331" s="1" t="s">
        <v>37294</v>
      </c>
      <c r="G2331" s="1" t="s">
        <v>74</v>
      </c>
      <c r="H2331" s="1" t="s">
        <v>74</v>
      </c>
      <c r="I2331" s="1" t="s">
        <v>37295</v>
      </c>
      <c r="J2331" s="1" t="s">
        <v>909</v>
      </c>
      <c r="K2331" s="1" t="s">
        <v>74</v>
      </c>
      <c r="L2331" s="1" t="s">
        <v>74</v>
      </c>
      <c r="M2331" s="1" t="s">
        <v>78</v>
      </c>
      <c r="N2331" s="1" t="s">
        <v>79</v>
      </c>
      <c r="O2331" s="1" t="s">
        <v>74</v>
      </c>
      <c r="P2331" s="1" t="s">
        <v>74</v>
      </c>
      <c r="Q2331" s="1" t="s">
        <v>74</v>
      </c>
      <c r="R2331" s="1" t="s">
        <v>74</v>
      </c>
      <c r="S2331" s="1" t="s">
        <v>74</v>
      </c>
      <c r="T2331" s="1" t="s">
        <v>37296</v>
      </c>
      <c r="U2331" s="1" t="s">
        <v>37297</v>
      </c>
      <c r="V2331" s="1" t="s">
        <v>37298</v>
      </c>
      <c r="W2331" s="1" t="s">
        <v>37299</v>
      </c>
      <c r="X2331" s="1" t="s">
        <v>31311</v>
      </c>
      <c r="Y2331" s="1" t="s">
        <v>37300</v>
      </c>
      <c r="Z2331" s="1" t="s">
        <v>37301</v>
      </c>
      <c r="AA2331" s="1" t="s">
        <v>37302</v>
      </c>
      <c r="AB2331" s="1" t="s">
        <v>37303</v>
      </c>
      <c r="AC2331" s="1" t="s">
        <v>37304</v>
      </c>
      <c r="AD2331" s="1" t="s">
        <v>37305</v>
      </c>
      <c r="AE2331" s="1" t="s">
        <v>37306</v>
      </c>
      <c r="AF2331" s="1" t="s">
        <v>74</v>
      </c>
      <c r="AG2331" s="1">
        <v>76</v>
      </c>
      <c r="AH2331" s="1">
        <v>99</v>
      </c>
      <c r="AI2331" s="1">
        <v>107</v>
      </c>
      <c r="AJ2331" s="1">
        <v>8</v>
      </c>
      <c r="AK2331" s="1">
        <v>169</v>
      </c>
      <c r="AL2331" s="1" t="s">
        <v>650</v>
      </c>
      <c r="AM2331" s="1" t="s">
        <v>651</v>
      </c>
      <c r="AN2331" s="1" t="s">
        <v>652</v>
      </c>
      <c r="AO2331" s="1" t="s">
        <v>921</v>
      </c>
      <c r="AP2331" s="1" t="s">
        <v>922</v>
      </c>
      <c r="AQ2331" s="1" t="s">
        <v>74</v>
      </c>
      <c r="AR2331" s="1" t="s">
        <v>923</v>
      </c>
      <c r="AS2331" s="1" t="s">
        <v>924</v>
      </c>
      <c r="AT2331" s="1" t="s">
        <v>16690</v>
      </c>
      <c r="AU2331" s="1">
        <v>2019</v>
      </c>
      <c r="AV2331" s="1">
        <v>695</v>
      </c>
      <c r="AW2331" s="1" t="s">
        <v>74</v>
      </c>
      <c r="AX2331" s="1" t="s">
        <v>74</v>
      </c>
      <c r="AY2331" s="1" t="s">
        <v>74</v>
      </c>
      <c r="AZ2331" s="1" t="s">
        <v>74</v>
      </c>
      <c r="BA2331" s="1" t="s">
        <v>74</v>
      </c>
      <c r="BB2331" s="1" t="s">
        <v>74</v>
      </c>
      <c r="BC2331" s="1" t="s">
        <v>74</v>
      </c>
      <c r="BD2331" s="1">
        <v>133924</v>
      </c>
      <c r="BE2331" s="1" t="s">
        <v>37307</v>
      </c>
      <c r="BF2331" s="1" t="str">
        <f>HYPERLINK("http://dx.doi.org/10.1016/j.scitotenv.2019.133924","http://dx.doi.org/10.1016/j.scitotenv.2019.133924")</f>
        <v>http://dx.doi.org/10.1016/j.scitotenv.2019.133924</v>
      </c>
      <c r="BG2331" s="1" t="s">
        <v>74</v>
      </c>
      <c r="BH2331" s="1" t="s">
        <v>74</v>
      </c>
      <c r="BI2331" s="1">
        <v>12</v>
      </c>
      <c r="BJ2331" s="1" t="s">
        <v>144</v>
      </c>
      <c r="BK2331" s="1" t="s">
        <v>96</v>
      </c>
      <c r="BL2331" s="1" t="s">
        <v>145</v>
      </c>
      <c r="BM2331" s="1" t="s">
        <v>37308</v>
      </c>
      <c r="BN2331" s="1">
        <v>31756867</v>
      </c>
      <c r="BO2331" s="1" t="s">
        <v>74</v>
      </c>
      <c r="BP2331" s="1" t="s">
        <v>74</v>
      </c>
      <c r="BQ2331" s="1" t="s">
        <v>74</v>
      </c>
      <c r="BR2331" s="1" t="s">
        <v>98</v>
      </c>
      <c r="BS2331" s="1" t="s">
        <v>37309</v>
      </c>
      <c r="BT2331" s="1" t="str">
        <f>HYPERLINK("https%3A%2F%2Fwww.webofscience.com%2Fwos%2Fwoscc%2Ffull-record%2FWOS:000496802200102","View Full Record in Web of Science")</f>
        <v>View Full Record in Web of Science</v>
      </c>
      <c r="BU2331" s="1"/>
      <c r="BV2331" s="1"/>
    </row>
    <row r="2332" spans="1:74">
      <c r="A2332" s="1" t="s">
        <v>72</v>
      </c>
      <c r="B2332" s="1" t="s">
        <v>37310</v>
      </c>
      <c r="C2332" s="1" t="s">
        <v>74</v>
      </c>
      <c r="D2332" s="1" t="s">
        <v>74</v>
      </c>
      <c r="E2332" s="1" t="s">
        <v>74</v>
      </c>
      <c r="F2332" s="1" t="s">
        <v>37311</v>
      </c>
      <c r="G2332" s="1" t="s">
        <v>74</v>
      </c>
      <c r="H2332" s="1" t="s">
        <v>74</v>
      </c>
      <c r="I2332" s="1" t="s">
        <v>37312</v>
      </c>
      <c r="J2332" s="1" t="s">
        <v>37313</v>
      </c>
      <c r="K2332" s="1" t="s">
        <v>74</v>
      </c>
      <c r="L2332" s="1" t="s">
        <v>74</v>
      </c>
      <c r="M2332" s="1" t="s">
        <v>78</v>
      </c>
      <c r="N2332" s="1" t="s">
        <v>79</v>
      </c>
      <c r="O2332" s="1" t="s">
        <v>74</v>
      </c>
      <c r="P2332" s="1" t="s">
        <v>74</v>
      </c>
      <c r="Q2332" s="1" t="s">
        <v>74</v>
      </c>
      <c r="R2332" s="1" t="s">
        <v>74</v>
      </c>
      <c r="S2332" s="1" t="s">
        <v>74</v>
      </c>
      <c r="T2332" s="1" t="s">
        <v>37314</v>
      </c>
      <c r="U2332" s="1" t="s">
        <v>37315</v>
      </c>
      <c r="V2332" s="1" t="s">
        <v>37316</v>
      </c>
      <c r="W2332" s="1" t="s">
        <v>37317</v>
      </c>
      <c r="X2332" s="1" t="s">
        <v>37318</v>
      </c>
      <c r="Y2332" s="1" t="s">
        <v>37319</v>
      </c>
      <c r="Z2332" s="1" t="s">
        <v>37320</v>
      </c>
      <c r="AA2332" s="1" t="s">
        <v>37321</v>
      </c>
      <c r="AB2332" s="1" t="s">
        <v>37322</v>
      </c>
      <c r="AC2332" s="1" t="s">
        <v>37323</v>
      </c>
      <c r="AD2332" s="1" t="s">
        <v>37324</v>
      </c>
      <c r="AE2332" s="1" t="s">
        <v>37325</v>
      </c>
      <c r="AF2332" s="1" t="s">
        <v>74</v>
      </c>
      <c r="AG2332" s="1">
        <v>60</v>
      </c>
      <c r="AH2332" s="1">
        <v>0</v>
      </c>
      <c r="AI2332" s="1">
        <v>0</v>
      </c>
      <c r="AJ2332" s="1">
        <v>7</v>
      </c>
      <c r="AK2332" s="1">
        <v>12</v>
      </c>
      <c r="AL2332" s="1" t="s">
        <v>430</v>
      </c>
      <c r="AM2332" s="1" t="s">
        <v>7361</v>
      </c>
      <c r="AN2332" s="1" t="s">
        <v>7362</v>
      </c>
      <c r="AO2332" s="1" t="s">
        <v>37326</v>
      </c>
      <c r="AP2332" s="1" t="s">
        <v>37327</v>
      </c>
      <c r="AQ2332" s="1" t="s">
        <v>74</v>
      </c>
      <c r="AR2332" s="1" t="s">
        <v>37328</v>
      </c>
      <c r="AS2332" s="1" t="s">
        <v>37329</v>
      </c>
      <c r="AT2332" s="1" t="s">
        <v>37330</v>
      </c>
      <c r="AU2332" s="1">
        <v>2024</v>
      </c>
      <c r="AV2332" s="1">
        <v>411</v>
      </c>
      <c r="AW2332" s="1" t="s">
        <v>74</v>
      </c>
      <c r="AX2332" s="1" t="s">
        <v>74</v>
      </c>
      <c r="AY2332" s="1" t="s">
        <v>74</v>
      </c>
      <c r="AZ2332" s="1" t="s">
        <v>74</v>
      </c>
      <c r="BA2332" s="1" t="s">
        <v>74</v>
      </c>
      <c r="BB2332" s="1" t="s">
        <v>74</v>
      </c>
      <c r="BC2332" s="1" t="s">
        <v>74</v>
      </c>
      <c r="BD2332" s="1">
        <v>134505</v>
      </c>
      <c r="BE2332" s="1" t="s">
        <v>37331</v>
      </c>
      <c r="BF2332" s="1" t="str">
        <f>HYPERLINK("http://dx.doi.org/10.1016/j.conbuildmat.2023.134505","http://dx.doi.org/10.1016/j.conbuildmat.2023.134505")</f>
        <v>http://dx.doi.org/10.1016/j.conbuildmat.2023.134505</v>
      </c>
      <c r="BG2332" s="1" t="s">
        <v>74</v>
      </c>
      <c r="BH2332" s="1" t="s">
        <v>3832</v>
      </c>
      <c r="BI2332" s="1">
        <v>11</v>
      </c>
      <c r="BJ2332" s="1" t="s">
        <v>37332</v>
      </c>
      <c r="BK2332" s="1" t="s">
        <v>96</v>
      </c>
      <c r="BL2332" s="1" t="s">
        <v>37333</v>
      </c>
      <c r="BM2332" s="1" t="s">
        <v>37334</v>
      </c>
      <c r="BN2332" s="1" t="s">
        <v>74</v>
      </c>
      <c r="BO2332" s="1" t="s">
        <v>74</v>
      </c>
      <c r="BP2332" s="1" t="s">
        <v>74</v>
      </c>
      <c r="BQ2332" s="1" t="s">
        <v>74</v>
      </c>
      <c r="BR2332" s="1" t="s">
        <v>98</v>
      </c>
      <c r="BS2332" s="1" t="s">
        <v>37335</v>
      </c>
      <c r="BT2332" s="1" t="str">
        <f>HYPERLINK("https%3A%2F%2Fwww.webofscience.com%2Fwos%2Fwoscc%2Ffull-record%2FWOS:001139902800001","View Full Record in Web of Science")</f>
        <v>View Full Record in Web of Science</v>
      </c>
      <c r="BU2332" s="1"/>
      <c r="BV2332" s="1"/>
    </row>
    <row r="2333" spans="1:74">
      <c r="A2333" s="1" t="s">
        <v>72</v>
      </c>
      <c r="B2333" s="1" t="s">
        <v>37336</v>
      </c>
      <c r="C2333" s="1" t="s">
        <v>74</v>
      </c>
      <c r="D2333" s="1" t="s">
        <v>74</v>
      </c>
      <c r="E2333" s="1" t="s">
        <v>74</v>
      </c>
      <c r="F2333" s="1" t="s">
        <v>37336</v>
      </c>
      <c r="G2333" s="1" t="s">
        <v>74</v>
      </c>
      <c r="H2333" s="1" t="s">
        <v>74</v>
      </c>
      <c r="I2333" s="1" t="s">
        <v>37337</v>
      </c>
      <c r="J2333" s="1" t="s">
        <v>5592</v>
      </c>
      <c r="K2333" s="1" t="s">
        <v>74</v>
      </c>
      <c r="L2333" s="1" t="s">
        <v>74</v>
      </c>
      <c r="M2333" s="1" t="s">
        <v>78</v>
      </c>
      <c r="N2333" s="1" t="s">
        <v>79</v>
      </c>
      <c r="O2333" s="1" t="s">
        <v>74</v>
      </c>
      <c r="P2333" s="1" t="s">
        <v>74</v>
      </c>
      <c r="Q2333" s="1" t="s">
        <v>74</v>
      </c>
      <c r="R2333" s="1" t="s">
        <v>74</v>
      </c>
      <c r="S2333" s="1" t="s">
        <v>74</v>
      </c>
      <c r="T2333" s="1" t="s">
        <v>37338</v>
      </c>
      <c r="U2333" s="1" t="s">
        <v>37339</v>
      </c>
      <c r="V2333" s="1" t="s">
        <v>37340</v>
      </c>
      <c r="W2333" s="1" t="s">
        <v>37341</v>
      </c>
      <c r="X2333" s="1" t="s">
        <v>16379</v>
      </c>
      <c r="Y2333" s="1" t="s">
        <v>37342</v>
      </c>
      <c r="Z2333" s="1" t="s">
        <v>24046</v>
      </c>
      <c r="AA2333" s="1" t="s">
        <v>37343</v>
      </c>
      <c r="AB2333" s="1" t="s">
        <v>37344</v>
      </c>
      <c r="AC2333" s="1" t="s">
        <v>74</v>
      </c>
      <c r="AD2333" s="1" t="s">
        <v>74</v>
      </c>
      <c r="AE2333" s="1" t="s">
        <v>74</v>
      </c>
      <c r="AF2333" s="1" t="s">
        <v>74</v>
      </c>
      <c r="AG2333" s="1">
        <v>42</v>
      </c>
      <c r="AH2333" s="1">
        <v>38</v>
      </c>
      <c r="AI2333" s="1">
        <v>40</v>
      </c>
      <c r="AJ2333" s="1">
        <v>0</v>
      </c>
      <c r="AK2333" s="1">
        <v>11</v>
      </c>
      <c r="AL2333" s="1" t="s">
        <v>285</v>
      </c>
      <c r="AM2333" s="1" t="s">
        <v>286</v>
      </c>
      <c r="AN2333" s="1" t="s">
        <v>287</v>
      </c>
      <c r="AO2333" s="1" t="s">
        <v>5605</v>
      </c>
      <c r="AP2333" s="1" t="s">
        <v>5606</v>
      </c>
      <c r="AQ2333" s="1" t="s">
        <v>74</v>
      </c>
      <c r="AR2333" s="1" t="s">
        <v>5607</v>
      </c>
      <c r="AS2333" s="1" t="s">
        <v>5608</v>
      </c>
      <c r="AT2333" s="1" t="s">
        <v>142</v>
      </c>
      <c r="AU2333" s="1">
        <v>2004</v>
      </c>
      <c r="AV2333" s="1">
        <v>60</v>
      </c>
      <c r="AW2333" s="1">
        <v>2</v>
      </c>
      <c r="AX2333" s="1" t="s">
        <v>74</v>
      </c>
      <c r="AY2333" s="1" t="s">
        <v>74</v>
      </c>
      <c r="AZ2333" s="1" t="s">
        <v>74</v>
      </c>
      <c r="BA2333" s="1" t="s">
        <v>74</v>
      </c>
      <c r="BB2333" s="1">
        <v>273</v>
      </c>
      <c r="BC2333" s="1">
        <v>283</v>
      </c>
      <c r="BD2333" s="1" t="s">
        <v>74</v>
      </c>
      <c r="BE2333" s="1" t="s">
        <v>37345</v>
      </c>
      <c r="BF2333" s="1" t="str">
        <f>HYPERLINK("http://dx.doi.org/10.1016/j.ecss.2004.01.004","http://dx.doi.org/10.1016/j.ecss.2004.01.004")</f>
        <v>http://dx.doi.org/10.1016/j.ecss.2004.01.004</v>
      </c>
      <c r="BG2333" s="1" t="s">
        <v>74</v>
      </c>
      <c r="BH2333" s="1" t="s">
        <v>74</v>
      </c>
      <c r="BI2333" s="1">
        <v>11</v>
      </c>
      <c r="BJ2333" s="1" t="s">
        <v>4241</v>
      </c>
      <c r="BK2333" s="1" t="s">
        <v>96</v>
      </c>
      <c r="BL2333" s="1" t="s">
        <v>4241</v>
      </c>
      <c r="BM2333" s="1" t="s">
        <v>37346</v>
      </c>
      <c r="BN2333" s="1" t="s">
        <v>74</v>
      </c>
      <c r="BO2333" s="1" t="s">
        <v>74</v>
      </c>
      <c r="BP2333" s="1" t="s">
        <v>74</v>
      </c>
      <c r="BQ2333" s="1" t="s">
        <v>74</v>
      </c>
      <c r="BR2333" s="1" t="s">
        <v>98</v>
      </c>
      <c r="BS2333" s="1" t="s">
        <v>37347</v>
      </c>
      <c r="BT2333" s="1" t="str">
        <f>HYPERLINK("https%3A%2F%2Fwww.webofscience.com%2Fwos%2Fwoscc%2Ffull-record%2FWOS:000221591200010","View Full Record in Web of Science")</f>
        <v>View Full Record in Web of Science</v>
      </c>
      <c r="BU2333" s="1"/>
      <c r="BV2333" s="1"/>
    </row>
    <row r="2334" spans="1:74">
      <c r="A2334" s="1" t="s">
        <v>72</v>
      </c>
      <c r="B2334" s="1" t="s">
        <v>37348</v>
      </c>
      <c r="C2334" s="1" t="s">
        <v>74</v>
      </c>
      <c r="D2334" s="1" t="s">
        <v>74</v>
      </c>
      <c r="E2334" s="1" t="s">
        <v>74</v>
      </c>
      <c r="F2334" s="1" t="s">
        <v>37349</v>
      </c>
      <c r="G2334" s="1" t="s">
        <v>74</v>
      </c>
      <c r="H2334" s="1" t="s">
        <v>74</v>
      </c>
      <c r="I2334" s="1" t="s">
        <v>37350</v>
      </c>
      <c r="J2334" s="1" t="s">
        <v>1337</v>
      </c>
      <c r="K2334" s="1" t="s">
        <v>74</v>
      </c>
      <c r="L2334" s="1" t="s">
        <v>74</v>
      </c>
      <c r="M2334" s="1" t="s">
        <v>78</v>
      </c>
      <c r="N2334" s="1" t="s">
        <v>79</v>
      </c>
      <c r="O2334" s="1" t="s">
        <v>74</v>
      </c>
      <c r="P2334" s="1" t="s">
        <v>74</v>
      </c>
      <c r="Q2334" s="1" t="s">
        <v>74</v>
      </c>
      <c r="R2334" s="1" t="s">
        <v>74</v>
      </c>
      <c r="S2334" s="1" t="s">
        <v>74</v>
      </c>
      <c r="T2334" s="1" t="s">
        <v>37351</v>
      </c>
      <c r="U2334" s="1" t="s">
        <v>37352</v>
      </c>
      <c r="V2334" s="1" t="s">
        <v>37353</v>
      </c>
      <c r="W2334" s="1" t="s">
        <v>37354</v>
      </c>
      <c r="X2334" s="1" t="s">
        <v>37355</v>
      </c>
      <c r="Y2334" s="1" t="s">
        <v>37356</v>
      </c>
      <c r="Z2334" s="1" t="s">
        <v>37357</v>
      </c>
      <c r="AA2334" s="1" t="s">
        <v>74</v>
      </c>
      <c r="AB2334" s="1" t="s">
        <v>74</v>
      </c>
      <c r="AC2334" s="1" t="s">
        <v>37358</v>
      </c>
      <c r="AD2334" s="1" t="s">
        <v>37359</v>
      </c>
      <c r="AE2334" s="1" t="s">
        <v>37360</v>
      </c>
      <c r="AF2334" s="1" t="s">
        <v>74</v>
      </c>
      <c r="AG2334" s="1">
        <v>42</v>
      </c>
      <c r="AH2334" s="1">
        <v>0</v>
      </c>
      <c r="AI2334" s="1">
        <v>0</v>
      </c>
      <c r="AJ2334" s="1">
        <v>6</v>
      </c>
      <c r="AK2334" s="1">
        <v>10</v>
      </c>
      <c r="AL2334" s="1" t="s">
        <v>1350</v>
      </c>
      <c r="AM2334" s="1" t="s">
        <v>1351</v>
      </c>
      <c r="AN2334" s="1" t="s">
        <v>1352</v>
      </c>
      <c r="AO2334" s="1" t="s">
        <v>74</v>
      </c>
      <c r="AP2334" s="1" t="s">
        <v>1353</v>
      </c>
      <c r="AQ2334" s="1" t="s">
        <v>74</v>
      </c>
      <c r="AR2334" s="1" t="s">
        <v>1354</v>
      </c>
      <c r="AS2334" s="1" t="s">
        <v>1355</v>
      </c>
      <c r="AT2334" s="1" t="s">
        <v>15122</v>
      </c>
      <c r="AU2334" s="1">
        <v>2023</v>
      </c>
      <c r="AV2334" s="1">
        <v>10</v>
      </c>
      <c r="AW2334" s="1" t="s">
        <v>74</v>
      </c>
      <c r="AX2334" s="1" t="s">
        <v>74</v>
      </c>
      <c r="AY2334" s="1" t="s">
        <v>74</v>
      </c>
      <c r="AZ2334" s="1" t="s">
        <v>74</v>
      </c>
      <c r="BA2334" s="1" t="s">
        <v>74</v>
      </c>
      <c r="BB2334" s="1" t="s">
        <v>74</v>
      </c>
      <c r="BC2334" s="1" t="s">
        <v>74</v>
      </c>
      <c r="BD2334" s="1">
        <v>1251011</v>
      </c>
      <c r="BE2334" s="1" t="s">
        <v>37361</v>
      </c>
      <c r="BF2334" s="1" t="str">
        <f>HYPERLINK("http://dx.doi.org/10.3389/fmars.2023.1251011","http://dx.doi.org/10.3389/fmars.2023.1251011")</f>
        <v>http://dx.doi.org/10.3389/fmars.2023.1251011</v>
      </c>
      <c r="BG2334" s="1" t="s">
        <v>74</v>
      </c>
      <c r="BH2334" s="1" t="s">
        <v>74</v>
      </c>
      <c r="BI2334" s="1">
        <v>11</v>
      </c>
      <c r="BJ2334" s="1" t="s">
        <v>247</v>
      </c>
      <c r="BK2334" s="1" t="s">
        <v>96</v>
      </c>
      <c r="BL2334" s="1" t="s">
        <v>248</v>
      </c>
      <c r="BM2334" s="1" t="s">
        <v>37362</v>
      </c>
      <c r="BN2334" s="1" t="s">
        <v>74</v>
      </c>
      <c r="BO2334" s="1" t="s">
        <v>873</v>
      </c>
      <c r="BP2334" s="1" t="s">
        <v>74</v>
      </c>
      <c r="BQ2334" s="1" t="s">
        <v>74</v>
      </c>
      <c r="BR2334" s="1" t="s">
        <v>98</v>
      </c>
      <c r="BS2334" s="1" t="s">
        <v>37363</v>
      </c>
      <c r="BT2334" s="1" t="str">
        <f>HYPERLINK("https%3A%2F%2Fwww.webofscience.com%2Fwos%2Fwoscc%2Ffull-record%2FWOS:001104953700001","View Full Record in Web of Science")</f>
        <v>View Full Record in Web of Science</v>
      </c>
      <c r="BU2334" s="1"/>
      <c r="BV2334" s="1"/>
    </row>
    <row r="2335" spans="1:74">
      <c r="A2335" s="1" t="s">
        <v>72</v>
      </c>
      <c r="B2335" s="1" t="s">
        <v>37364</v>
      </c>
      <c r="C2335" s="1" t="s">
        <v>74</v>
      </c>
      <c r="D2335" s="1" t="s">
        <v>74</v>
      </c>
      <c r="E2335" s="1" t="s">
        <v>74</v>
      </c>
      <c r="F2335" s="1" t="s">
        <v>37365</v>
      </c>
      <c r="G2335" s="1" t="s">
        <v>74</v>
      </c>
      <c r="H2335" s="1" t="s">
        <v>74</v>
      </c>
      <c r="I2335" s="1" t="s">
        <v>37366</v>
      </c>
      <c r="J2335" s="1" t="s">
        <v>232</v>
      </c>
      <c r="K2335" s="1" t="s">
        <v>74</v>
      </c>
      <c r="L2335" s="1" t="s">
        <v>74</v>
      </c>
      <c r="M2335" s="1" t="s">
        <v>78</v>
      </c>
      <c r="N2335" s="1" t="s">
        <v>79</v>
      </c>
      <c r="O2335" s="1" t="s">
        <v>74</v>
      </c>
      <c r="P2335" s="1" t="s">
        <v>74</v>
      </c>
      <c r="Q2335" s="1" t="s">
        <v>74</v>
      </c>
      <c r="R2335" s="1" t="s">
        <v>74</v>
      </c>
      <c r="S2335" s="1" t="s">
        <v>74</v>
      </c>
      <c r="T2335" s="1" t="s">
        <v>37367</v>
      </c>
      <c r="U2335" s="1" t="s">
        <v>37368</v>
      </c>
      <c r="V2335" s="1" t="s">
        <v>37369</v>
      </c>
      <c r="W2335" s="1" t="s">
        <v>37370</v>
      </c>
      <c r="X2335" s="1" t="s">
        <v>37371</v>
      </c>
      <c r="Y2335" s="1" t="s">
        <v>31057</v>
      </c>
      <c r="Z2335" s="1" t="s">
        <v>31058</v>
      </c>
      <c r="AA2335" s="1" t="s">
        <v>37372</v>
      </c>
      <c r="AB2335" s="1" t="s">
        <v>37373</v>
      </c>
      <c r="AC2335" s="1" t="s">
        <v>37374</v>
      </c>
      <c r="AD2335" s="1" t="s">
        <v>37375</v>
      </c>
      <c r="AE2335" s="1" t="s">
        <v>37376</v>
      </c>
      <c r="AF2335" s="1" t="s">
        <v>74</v>
      </c>
      <c r="AG2335" s="1">
        <v>45</v>
      </c>
      <c r="AH2335" s="1">
        <v>14</v>
      </c>
      <c r="AI2335" s="1">
        <v>16</v>
      </c>
      <c r="AJ2335" s="1">
        <v>0</v>
      </c>
      <c r="AK2335" s="1">
        <v>13</v>
      </c>
      <c r="AL2335" s="1" t="s">
        <v>136</v>
      </c>
      <c r="AM2335" s="1" t="s">
        <v>137</v>
      </c>
      <c r="AN2335" s="1" t="s">
        <v>138</v>
      </c>
      <c r="AO2335" s="1" t="s">
        <v>240</v>
      </c>
      <c r="AP2335" s="1" t="s">
        <v>241</v>
      </c>
      <c r="AQ2335" s="1" t="s">
        <v>74</v>
      </c>
      <c r="AR2335" s="1" t="s">
        <v>242</v>
      </c>
      <c r="AS2335" s="1" t="s">
        <v>243</v>
      </c>
      <c r="AT2335" s="1" t="s">
        <v>74</v>
      </c>
      <c r="AU2335" s="1">
        <v>2011</v>
      </c>
      <c r="AV2335" s="1">
        <v>63</v>
      </c>
      <c r="AW2335" s="1" t="s">
        <v>9881</v>
      </c>
      <c r="AX2335" s="1" t="s">
        <v>74</v>
      </c>
      <c r="AY2335" s="1" t="s">
        <v>74</v>
      </c>
      <c r="AZ2335" s="1" t="s">
        <v>225</v>
      </c>
      <c r="BA2335" s="1" t="s">
        <v>74</v>
      </c>
      <c r="BB2335" s="1">
        <v>326</v>
      </c>
      <c r="BC2335" s="1">
        <v>333</v>
      </c>
      <c r="BD2335" s="1" t="s">
        <v>74</v>
      </c>
      <c r="BE2335" s="1" t="s">
        <v>37377</v>
      </c>
      <c r="BF2335" s="1" t="str">
        <f>HYPERLINK("http://dx.doi.org/10.1016/j.marpolbul.2011.03.015","http://dx.doi.org/10.1016/j.marpolbul.2011.03.015")</f>
        <v>http://dx.doi.org/10.1016/j.marpolbul.2011.03.015</v>
      </c>
      <c r="BG2335" s="1" t="s">
        <v>74</v>
      </c>
      <c r="BH2335" s="1" t="s">
        <v>74</v>
      </c>
      <c r="BI2335" s="1">
        <v>8</v>
      </c>
      <c r="BJ2335" s="1" t="s">
        <v>247</v>
      </c>
      <c r="BK2335" s="1" t="s">
        <v>96</v>
      </c>
      <c r="BL2335" s="1" t="s">
        <v>248</v>
      </c>
      <c r="BM2335" s="1" t="s">
        <v>9883</v>
      </c>
      <c r="BN2335" s="1">
        <v>21489564</v>
      </c>
      <c r="BO2335" s="1" t="s">
        <v>74</v>
      </c>
      <c r="BP2335" s="1" t="s">
        <v>74</v>
      </c>
      <c r="BQ2335" s="1" t="s">
        <v>74</v>
      </c>
      <c r="BR2335" s="1" t="s">
        <v>98</v>
      </c>
      <c r="BS2335" s="1" t="s">
        <v>37378</v>
      </c>
      <c r="BT2335" s="1" t="str">
        <f>HYPERLINK("https%3A%2F%2Fwww.webofscience.com%2Fwos%2Fwoscc%2Ffull-record%2FWOS:000294092700038","View Full Record in Web of Science")</f>
        <v>View Full Record in Web of Science</v>
      </c>
      <c r="BU2335" s="1"/>
      <c r="BV2335" s="1"/>
    </row>
    <row r="2336" spans="1:74">
      <c r="A2336" s="1" t="s">
        <v>72</v>
      </c>
      <c r="B2336" s="1" t="s">
        <v>37379</v>
      </c>
      <c r="C2336" s="1" t="s">
        <v>74</v>
      </c>
      <c r="D2336" s="1" t="s">
        <v>74</v>
      </c>
      <c r="E2336" s="1" t="s">
        <v>74</v>
      </c>
      <c r="F2336" s="1" t="s">
        <v>37380</v>
      </c>
      <c r="G2336" s="1" t="s">
        <v>74</v>
      </c>
      <c r="H2336" s="1" t="s">
        <v>74</v>
      </c>
      <c r="I2336" s="1" t="s">
        <v>37381</v>
      </c>
      <c r="J2336" s="1" t="s">
        <v>232</v>
      </c>
      <c r="K2336" s="1" t="s">
        <v>74</v>
      </c>
      <c r="L2336" s="1" t="s">
        <v>74</v>
      </c>
      <c r="M2336" s="1" t="s">
        <v>78</v>
      </c>
      <c r="N2336" s="1" t="s">
        <v>79</v>
      </c>
      <c r="O2336" s="1" t="s">
        <v>74</v>
      </c>
      <c r="P2336" s="1" t="s">
        <v>74</v>
      </c>
      <c r="Q2336" s="1" t="s">
        <v>74</v>
      </c>
      <c r="R2336" s="1" t="s">
        <v>74</v>
      </c>
      <c r="S2336" s="1" t="s">
        <v>74</v>
      </c>
      <c r="T2336" s="1" t="s">
        <v>37382</v>
      </c>
      <c r="U2336" s="1" t="s">
        <v>37383</v>
      </c>
      <c r="V2336" s="1" t="s">
        <v>37384</v>
      </c>
      <c r="W2336" s="1" t="s">
        <v>37385</v>
      </c>
      <c r="X2336" s="1" t="s">
        <v>37386</v>
      </c>
      <c r="Y2336" s="1" t="s">
        <v>10051</v>
      </c>
      <c r="Z2336" s="1" t="s">
        <v>10052</v>
      </c>
      <c r="AA2336" s="1" t="s">
        <v>24838</v>
      </c>
      <c r="AB2336" s="1" t="s">
        <v>24839</v>
      </c>
      <c r="AC2336" s="1" t="s">
        <v>74</v>
      </c>
      <c r="AD2336" s="1" t="s">
        <v>74</v>
      </c>
      <c r="AE2336" s="1" t="s">
        <v>74</v>
      </c>
      <c r="AF2336" s="1" t="s">
        <v>74</v>
      </c>
      <c r="AG2336" s="1">
        <v>65</v>
      </c>
      <c r="AH2336" s="1">
        <v>35</v>
      </c>
      <c r="AI2336" s="1">
        <v>36</v>
      </c>
      <c r="AJ2336" s="1">
        <v>0</v>
      </c>
      <c r="AK2336" s="1">
        <v>32</v>
      </c>
      <c r="AL2336" s="1" t="s">
        <v>136</v>
      </c>
      <c r="AM2336" s="1" t="s">
        <v>137</v>
      </c>
      <c r="AN2336" s="1" t="s">
        <v>138</v>
      </c>
      <c r="AO2336" s="1" t="s">
        <v>240</v>
      </c>
      <c r="AP2336" s="1" t="s">
        <v>241</v>
      </c>
      <c r="AQ2336" s="1" t="s">
        <v>74</v>
      </c>
      <c r="AR2336" s="1" t="s">
        <v>242</v>
      </c>
      <c r="AS2336" s="1" t="s">
        <v>243</v>
      </c>
      <c r="AT2336" s="1" t="s">
        <v>4761</v>
      </c>
      <c r="AU2336" s="1">
        <v>2014</v>
      </c>
      <c r="AV2336" s="1">
        <v>80</v>
      </c>
      <c r="AW2336" s="1" t="s">
        <v>326</v>
      </c>
      <c r="AX2336" s="1" t="s">
        <v>74</v>
      </c>
      <c r="AY2336" s="1" t="s">
        <v>74</v>
      </c>
      <c r="AZ2336" s="1" t="s">
        <v>74</v>
      </c>
      <c r="BA2336" s="1" t="s">
        <v>74</v>
      </c>
      <c r="BB2336" s="1">
        <v>263</v>
      </c>
      <c r="BC2336" s="1">
        <v>274</v>
      </c>
      <c r="BD2336" s="1" t="s">
        <v>74</v>
      </c>
      <c r="BE2336" s="1" t="s">
        <v>37387</v>
      </c>
      <c r="BF2336" s="1" t="str">
        <f>HYPERLINK("http://dx.doi.org/10.1016/j.marpolbul.2013.12.005","http://dx.doi.org/10.1016/j.marpolbul.2013.12.005")</f>
        <v>http://dx.doi.org/10.1016/j.marpolbul.2013.12.005</v>
      </c>
      <c r="BG2336" s="1" t="s">
        <v>74</v>
      </c>
      <c r="BH2336" s="1" t="s">
        <v>74</v>
      </c>
      <c r="BI2336" s="1">
        <v>12</v>
      </c>
      <c r="BJ2336" s="1" t="s">
        <v>247</v>
      </c>
      <c r="BK2336" s="1" t="s">
        <v>96</v>
      </c>
      <c r="BL2336" s="1" t="s">
        <v>248</v>
      </c>
      <c r="BM2336" s="1" t="s">
        <v>37388</v>
      </c>
      <c r="BN2336" s="1">
        <v>24461696</v>
      </c>
      <c r="BO2336" s="1" t="s">
        <v>74</v>
      </c>
      <c r="BP2336" s="1" t="s">
        <v>74</v>
      </c>
      <c r="BQ2336" s="1" t="s">
        <v>74</v>
      </c>
      <c r="BR2336" s="1" t="s">
        <v>98</v>
      </c>
      <c r="BS2336" s="1" t="s">
        <v>37389</v>
      </c>
      <c r="BT2336" s="1" t="str">
        <f>HYPERLINK("https%3A%2F%2Fwww.webofscience.com%2Fwos%2Fwoscc%2Ffull-record%2FWOS:000333946500041","View Full Record in Web of Science")</f>
        <v>View Full Record in Web of Science</v>
      </c>
      <c r="BU2336" s="1"/>
      <c r="BV2336" s="1"/>
    </row>
    <row r="2337" spans="1:74">
      <c r="A2337" s="1" t="s">
        <v>72</v>
      </c>
      <c r="B2337" s="1" t="s">
        <v>37390</v>
      </c>
      <c r="C2337" s="1" t="s">
        <v>74</v>
      </c>
      <c r="D2337" s="1" t="s">
        <v>74</v>
      </c>
      <c r="E2337" s="1" t="s">
        <v>74</v>
      </c>
      <c r="F2337" s="1" t="s">
        <v>37391</v>
      </c>
      <c r="G2337" s="1" t="s">
        <v>74</v>
      </c>
      <c r="H2337" s="1" t="s">
        <v>74</v>
      </c>
      <c r="I2337" s="1" t="s">
        <v>37392</v>
      </c>
      <c r="J2337" s="1" t="s">
        <v>34907</v>
      </c>
      <c r="K2337" s="1" t="s">
        <v>74</v>
      </c>
      <c r="L2337" s="1" t="s">
        <v>74</v>
      </c>
      <c r="M2337" s="1" t="s">
        <v>78</v>
      </c>
      <c r="N2337" s="1" t="s">
        <v>79</v>
      </c>
      <c r="O2337" s="1" t="s">
        <v>74</v>
      </c>
      <c r="P2337" s="1" t="s">
        <v>74</v>
      </c>
      <c r="Q2337" s="1" t="s">
        <v>74</v>
      </c>
      <c r="R2337" s="1" t="s">
        <v>74</v>
      </c>
      <c r="S2337" s="1" t="s">
        <v>74</v>
      </c>
      <c r="T2337" s="1" t="s">
        <v>37393</v>
      </c>
      <c r="U2337" s="1" t="s">
        <v>37394</v>
      </c>
      <c r="V2337" s="1" t="s">
        <v>37395</v>
      </c>
      <c r="W2337" s="1" t="s">
        <v>37396</v>
      </c>
      <c r="X2337" s="1" t="s">
        <v>37397</v>
      </c>
      <c r="Y2337" s="1" t="s">
        <v>37398</v>
      </c>
      <c r="Z2337" s="1" t="s">
        <v>37399</v>
      </c>
      <c r="AA2337" s="1" t="s">
        <v>37400</v>
      </c>
      <c r="AB2337" s="1" t="s">
        <v>74</v>
      </c>
      <c r="AC2337" s="1" t="s">
        <v>37401</v>
      </c>
      <c r="AD2337" s="1" t="s">
        <v>37402</v>
      </c>
      <c r="AE2337" s="1" t="s">
        <v>37403</v>
      </c>
      <c r="AF2337" s="1" t="s">
        <v>74</v>
      </c>
      <c r="AG2337" s="1">
        <v>26</v>
      </c>
      <c r="AH2337" s="1">
        <v>0</v>
      </c>
      <c r="AI2337" s="1">
        <v>0</v>
      </c>
      <c r="AJ2337" s="1">
        <v>1</v>
      </c>
      <c r="AK2337" s="1">
        <v>12</v>
      </c>
      <c r="AL2337" s="1" t="s">
        <v>1350</v>
      </c>
      <c r="AM2337" s="1" t="s">
        <v>1351</v>
      </c>
      <c r="AN2337" s="1" t="s">
        <v>1352</v>
      </c>
      <c r="AO2337" s="1" t="s">
        <v>74</v>
      </c>
      <c r="AP2337" s="1" t="s">
        <v>34919</v>
      </c>
      <c r="AQ2337" s="1" t="s">
        <v>74</v>
      </c>
      <c r="AR2337" s="1" t="s">
        <v>34920</v>
      </c>
      <c r="AS2337" s="1" t="s">
        <v>34921</v>
      </c>
      <c r="AT2337" s="1" t="s">
        <v>37404</v>
      </c>
      <c r="AU2337" s="1">
        <v>2021</v>
      </c>
      <c r="AV2337" s="1">
        <v>9</v>
      </c>
      <c r="AW2337" s="1" t="s">
        <v>74</v>
      </c>
      <c r="AX2337" s="1" t="s">
        <v>74</v>
      </c>
      <c r="AY2337" s="1" t="s">
        <v>74</v>
      </c>
      <c r="AZ2337" s="1" t="s">
        <v>74</v>
      </c>
      <c r="BA2337" s="1" t="s">
        <v>74</v>
      </c>
      <c r="BB2337" s="1" t="s">
        <v>74</v>
      </c>
      <c r="BC2337" s="1" t="s">
        <v>74</v>
      </c>
      <c r="BD2337" s="1">
        <v>763257</v>
      </c>
      <c r="BE2337" s="1" t="s">
        <v>37405</v>
      </c>
      <c r="BF2337" s="1" t="str">
        <f>HYPERLINK("http://dx.doi.org/10.3389/fenvs.2021.763257","http://dx.doi.org/10.3389/fenvs.2021.763257")</f>
        <v>http://dx.doi.org/10.3389/fenvs.2021.763257</v>
      </c>
      <c r="BG2337" s="1" t="s">
        <v>74</v>
      </c>
      <c r="BH2337" s="1" t="s">
        <v>74</v>
      </c>
      <c r="BI2337" s="1">
        <v>12</v>
      </c>
      <c r="BJ2337" s="1" t="s">
        <v>144</v>
      </c>
      <c r="BK2337" s="1" t="s">
        <v>96</v>
      </c>
      <c r="BL2337" s="1" t="s">
        <v>145</v>
      </c>
      <c r="BM2337" s="1" t="s">
        <v>37406</v>
      </c>
      <c r="BN2337" s="1" t="s">
        <v>74</v>
      </c>
      <c r="BO2337" s="1" t="s">
        <v>873</v>
      </c>
      <c r="BP2337" s="1" t="s">
        <v>74</v>
      </c>
      <c r="BQ2337" s="1" t="s">
        <v>74</v>
      </c>
      <c r="BR2337" s="1" t="s">
        <v>98</v>
      </c>
      <c r="BS2337" s="1" t="s">
        <v>37407</v>
      </c>
      <c r="BT2337" s="1" t="str">
        <f>HYPERLINK("https%3A%2F%2Fwww.webofscience.com%2Fwos%2Fwoscc%2Ffull-record%2FWOS:000726178900001","View Full Record in Web of Science")</f>
        <v>View Full Record in Web of Science</v>
      </c>
      <c r="BU2337" s="1"/>
      <c r="BV2337" s="1"/>
    </row>
    <row r="2338" spans="1:74">
      <c r="A2338" s="1" t="s">
        <v>72</v>
      </c>
      <c r="B2338" s="1" t="s">
        <v>37408</v>
      </c>
      <c r="C2338" s="1" t="s">
        <v>74</v>
      </c>
      <c r="D2338" s="1" t="s">
        <v>74</v>
      </c>
      <c r="E2338" s="1" t="s">
        <v>74</v>
      </c>
      <c r="F2338" s="1" t="s">
        <v>37409</v>
      </c>
      <c r="G2338" s="1" t="s">
        <v>74</v>
      </c>
      <c r="H2338" s="1" t="s">
        <v>74</v>
      </c>
      <c r="I2338" s="1" t="s">
        <v>37410</v>
      </c>
      <c r="J2338" s="1" t="s">
        <v>232</v>
      </c>
      <c r="K2338" s="1" t="s">
        <v>74</v>
      </c>
      <c r="L2338" s="1" t="s">
        <v>74</v>
      </c>
      <c r="M2338" s="1" t="s">
        <v>78</v>
      </c>
      <c r="N2338" s="1" t="s">
        <v>79</v>
      </c>
      <c r="O2338" s="1" t="s">
        <v>74</v>
      </c>
      <c r="P2338" s="1" t="s">
        <v>74</v>
      </c>
      <c r="Q2338" s="1" t="s">
        <v>74</v>
      </c>
      <c r="R2338" s="1" t="s">
        <v>74</v>
      </c>
      <c r="S2338" s="1" t="s">
        <v>74</v>
      </c>
      <c r="T2338" s="1" t="s">
        <v>37411</v>
      </c>
      <c r="U2338" s="1" t="s">
        <v>37412</v>
      </c>
      <c r="V2338" s="1" t="s">
        <v>37413</v>
      </c>
      <c r="W2338" s="1" t="s">
        <v>37414</v>
      </c>
      <c r="X2338" s="1" t="s">
        <v>37415</v>
      </c>
      <c r="Y2338" s="1" t="s">
        <v>11543</v>
      </c>
      <c r="Z2338" s="1" t="s">
        <v>1483</v>
      </c>
      <c r="AA2338" s="1" t="s">
        <v>2900</v>
      </c>
      <c r="AB2338" s="1" t="s">
        <v>37416</v>
      </c>
      <c r="AC2338" s="1" t="s">
        <v>37417</v>
      </c>
      <c r="AD2338" s="1" t="s">
        <v>37418</v>
      </c>
      <c r="AE2338" s="1" t="s">
        <v>37419</v>
      </c>
      <c r="AF2338" s="1" t="s">
        <v>74</v>
      </c>
      <c r="AG2338" s="1">
        <v>35</v>
      </c>
      <c r="AH2338" s="1">
        <v>46</v>
      </c>
      <c r="AI2338" s="1">
        <v>49</v>
      </c>
      <c r="AJ2338" s="1">
        <v>0</v>
      </c>
      <c r="AK2338" s="1">
        <v>73</v>
      </c>
      <c r="AL2338" s="1" t="s">
        <v>136</v>
      </c>
      <c r="AM2338" s="1" t="s">
        <v>137</v>
      </c>
      <c r="AN2338" s="1" t="s">
        <v>138</v>
      </c>
      <c r="AO2338" s="1" t="s">
        <v>240</v>
      </c>
      <c r="AP2338" s="1" t="s">
        <v>241</v>
      </c>
      <c r="AQ2338" s="1" t="s">
        <v>74</v>
      </c>
      <c r="AR2338" s="1" t="s">
        <v>242</v>
      </c>
      <c r="AS2338" s="1" t="s">
        <v>243</v>
      </c>
      <c r="AT2338" s="1" t="s">
        <v>387</v>
      </c>
      <c r="AU2338" s="1">
        <v>2013</v>
      </c>
      <c r="AV2338" s="1">
        <v>70</v>
      </c>
      <c r="AW2338" s="1" t="s">
        <v>326</v>
      </c>
      <c r="AX2338" s="1" t="s">
        <v>74</v>
      </c>
      <c r="AY2338" s="1" t="s">
        <v>74</v>
      </c>
      <c r="AZ2338" s="1" t="s">
        <v>74</v>
      </c>
      <c r="BA2338" s="1" t="s">
        <v>74</v>
      </c>
      <c r="BB2338" s="1">
        <v>274</v>
      </c>
      <c r="BC2338" s="1">
        <v>280</v>
      </c>
      <c r="BD2338" s="1" t="s">
        <v>74</v>
      </c>
      <c r="BE2338" s="1" t="s">
        <v>37420</v>
      </c>
      <c r="BF2338" s="1" t="str">
        <f>HYPERLINK("http://dx.doi.org/10.1016/j.marpolbul.2013.02.036","http://dx.doi.org/10.1016/j.marpolbul.2013.02.036")</f>
        <v>http://dx.doi.org/10.1016/j.marpolbul.2013.02.036</v>
      </c>
      <c r="BG2338" s="1" t="s">
        <v>74</v>
      </c>
      <c r="BH2338" s="1" t="s">
        <v>74</v>
      </c>
      <c r="BI2338" s="1">
        <v>7</v>
      </c>
      <c r="BJ2338" s="1" t="s">
        <v>247</v>
      </c>
      <c r="BK2338" s="1" t="s">
        <v>96</v>
      </c>
      <c r="BL2338" s="1" t="s">
        <v>248</v>
      </c>
      <c r="BM2338" s="1" t="s">
        <v>37421</v>
      </c>
      <c r="BN2338" s="1">
        <v>23537691</v>
      </c>
      <c r="BO2338" s="1" t="s">
        <v>74</v>
      </c>
      <c r="BP2338" s="1" t="s">
        <v>74</v>
      </c>
      <c r="BQ2338" s="1" t="s">
        <v>74</v>
      </c>
      <c r="BR2338" s="1" t="s">
        <v>98</v>
      </c>
      <c r="BS2338" s="1" t="s">
        <v>37422</v>
      </c>
      <c r="BT2338" s="1" t="str">
        <f>HYPERLINK("https%3A%2F%2Fwww.webofscience.com%2Fwos%2Fwoscc%2Ffull-record%2FWOS:000320072400046","View Full Record in Web of Science")</f>
        <v>View Full Record in Web of Science</v>
      </c>
      <c r="BU2338" s="1"/>
      <c r="BV2338" s="1"/>
    </row>
    <row r="2339" spans="1:74">
      <c r="A2339" s="1" t="s">
        <v>72</v>
      </c>
      <c r="B2339" s="1" t="s">
        <v>37423</v>
      </c>
      <c r="C2339" s="1" t="s">
        <v>74</v>
      </c>
      <c r="D2339" s="1" t="s">
        <v>74</v>
      </c>
      <c r="E2339" s="1" t="s">
        <v>74</v>
      </c>
      <c r="F2339" s="1" t="s">
        <v>37424</v>
      </c>
      <c r="G2339" s="1" t="s">
        <v>74</v>
      </c>
      <c r="H2339" s="1" t="s">
        <v>74</v>
      </c>
      <c r="I2339" s="1" t="s">
        <v>37425</v>
      </c>
      <c r="J2339" s="1" t="s">
        <v>752</v>
      </c>
      <c r="K2339" s="1" t="s">
        <v>74</v>
      </c>
      <c r="L2339" s="1" t="s">
        <v>74</v>
      </c>
      <c r="M2339" s="1" t="s">
        <v>78</v>
      </c>
      <c r="N2339" s="1" t="s">
        <v>79</v>
      </c>
      <c r="O2339" s="1" t="s">
        <v>74</v>
      </c>
      <c r="P2339" s="1" t="s">
        <v>74</v>
      </c>
      <c r="Q2339" s="1" t="s">
        <v>74</v>
      </c>
      <c r="R2339" s="1" t="s">
        <v>74</v>
      </c>
      <c r="S2339" s="1" t="s">
        <v>74</v>
      </c>
      <c r="T2339" s="1" t="s">
        <v>37426</v>
      </c>
      <c r="U2339" s="1" t="s">
        <v>37427</v>
      </c>
      <c r="V2339" s="1" t="s">
        <v>37428</v>
      </c>
      <c r="W2339" s="1" t="s">
        <v>37429</v>
      </c>
      <c r="X2339" s="1" t="s">
        <v>9952</v>
      </c>
      <c r="Y2339" s="1" t="s">
        <v>37430</v>
      </c>
      <c r="Z2339" s="1" t="s">
        <v>27168</v>
      </c>
      <c r="AA2339" s="1" t="s">
        <v>37431</v>
      </c>
      <c r="AB2339" s="1" t="s">
        <v>27170</v>
      </c>
      <c r="AC2339" s="1" t="s">
        <v>37432</v>
      </c>
      <c r="AD2339" s="1" t="s">
        <v>27172</v>
      </c>
      <c r="AE2339" s="1" t="s">
        <v>37433</v>
      </c>
      <c r="AF2339" s="1" t="s">
        <v>74</v>
      </c>
      <c r="AG2339" s="1">
        <v>93</v>
      </c>
      <c r="AH2339" s="1">
        <v>29</v>
      </c>
      <c r="AI2339" s="1">
        <v>41</v>
      </c>
      <c r="AJ2339" s="1">
        <v>1</v>
      </c>
      <c r="AK2339" s="1">
        <v>121</v>
      </c>
      <c r="AL2339" s="1" t="s">
        <v>430</v>
      </c>
      <c r="AM2339" s="1" t="s">
        <v>137</v>
      </c>
      <c r="AN2339" s="1" t="s">
        <v>431</v>
      </c>
      <c r="AO2339" s="1" t="s">
        <v>761</v>
      </c>
      <c r="AP2339" s="1" t="s">
        <v>762</v>
      </c>
      <c r="AQ2339" s="1" t="s">
        <v>74</v>
      </c>
      <c r="AR2339" s="1" t="s">
        <v>763</v>
      </c>
      <c r="AS2339" s="1" t="s">
        <v>764</v>
      </c>
      <c r="AT2339" s="1" t="s">
        <v>93</v>
      </c>
      <c r="AU2339" s="1">
        <v>2013</v>
      </c>
      <c r="AV2339" s="1">
        <v>85</v>
      </c>
      <c r="AW2339" s="1" t="s">
        <v>74</v>
      </c>
      <c r="AX2339" s="1" t="s">
        <v>74</v>
      </c>
      <c r="AY2339" s="1" t="s">
        <v>74</v>
      </c>
      <c r="AZ2339" s="1" t="s">
        <v>74</v>
      </c>
      <c r="BA2339" s="1" t="s">
        <v>74</v>
      </c>
      <c r="BB2339" s="1">
        <v>64</v>
      </c>
      <c r="BC2339" s="1">
        <v>75</v>
      </c>
      <c r="BD2339" s="1" t="s">
        <v>74</v>
      </c>
      <c r="BE2339" s="1" t="s">
        <v>37434</v>
      </c>
      <c r="BF2339" s="1" t="str">
        <f>HYPERLINK("http://dx.doi.org/10.1016/j.marenvres.2013.01.003","http://dx.doi.org/10.1016/j.marenvres.2013.01.003")</f>
        <v>http://dx.doi.org/10.1016/j.marenvres.2013.01.003</v>
      </c>
      <c r="BG2339" s="1" t="s">
        <v>74</v>
      </c>
      <c r="BH2339" s="1" t="s">
        <v>74</v>
      </c>
      <c r="BI2339" s="1">
        <v>12</v>
      </c>
      <c r="BJ2339" s="1" t="s">
        <v>768</v>
      </c>
      <c r="BK2339" s="1" t="s">
        <v>96</v>
      </c>
      <c r="BL2339" s="1" t="s">
        <v>769</v>
      </c>
      <c r="BM2339" s="1" t="s">
        <v>37435</v>
      </c>
      <c r="BN2339" s="1">
        <v>23422511</v>
      </c>
      <c r="BO2339" s="1" t="s">
        <v>74</v>
      </c>
      <c r="BP2339" s="1" t="s">
        <v>74</v>
      </c>
      <c r="BQ2339" s="1" t="s">
        <v>74</v>
      </c>
      <c r="BR2339" s="1" t="s">
        <v>98</v>
      </c>
      <c r="BS2339" s="1" t="s">
        <v>37436</v>
      </c>
      <c r="BT2339" s="1" t="str">
        <f>HYPERLINK("https%3A%2F%2Fwww.webofscience.com%2Fwos%2Fwoscc%2Ffull-record%2FWOS:000316504300008","View Full Record in Web of Science")</f>
        <v>View Full Record in Web of Science</v>
      </c>
      <c r="BU2339" s="1"/>
      <c r="BV2339" s="1"/>
    </row>
    <row r="2340" spans="1:74">
      <c r="A2340" s="1" t="s">
        <v>72</v>
      </c>
      <c r="B2340" s="1" t="s">
        <v>37437</v>
      </c>
      <c r="C2340" s="1" t="s">
        <v>74</v>
      </c>
      <c r="D2340" s="1" t="s">
        <v>74</v>
      </c>
      <c r="E2340" s="1" t="s">
        <v>74</v>
      </c>
      <c r="F2340" s="1" t="s">
        <v>37437</v>
      </c>
      <c r="G2340" s="1" t="s">
        <v>74</v>
      </c>
      <c r="H2340" s="1" t="s">
        <v>74</v>
      </c>
      <c r="I2340" s="1" t="s">
        <v>37438</v>
      </c>
      <c r="J2340" s="1" t="s">
        <v>554</v>
      </c>
      <c r="K2340" s="1" t="s">
        <v>74</v>
      </c>
      <c r="L2340" s="1" t="s">
        <v>74</v>
      </c>
      <c r="M2340" s="1" t="s">
        <v>78</v>
      </c>
      <c r="N2340" s="1" t="s">
        <v>151</v>
      </c>
      <c r="O2340" s="1" t="s">
        <v>37439</v>
      </c>
      <c r="P2340" s="1" t="s">
        <v>37440</v>
      </c>
      <c r="Q2340" s="1" t="s">
        <v>37441</v>
      </c>
      <c r="R2340" s="1" t="s">
        <v>74</v>
      </c>
      <c r="S2340" s="1" t="s">
        <v>74</v>
      </c>
      <c r="T2340" s="1" t="s">
        <v>37442</v>
      </c>
      <c r="U2340" s="1" t="s">
        <v>37443</v>
      </c>
      <c r="V2340" s="1" t="s">
        <v>37444</v>
      </c>
      <c r="W2340" s="1" t="s">
        <v>74</v>
      </c>
      <c r="X2340" s="1" t="s">
        <v>74</v>
      </c>
      <c r="Y2340" s="1" t="s">
        <v>37445</v>
      </c>
      <c r="Z2340" s="1" t="s">
        <v>74</v>
      </c>
      <c r="AA2340" s="1" t="s">
        <v>37446</v>
      </c>
      <c r="AB2340" s="1" t="s">
        <v>37447</v>
      </c>
      <c r="AC2340" s="1" t="s">
        <v>74</v>
      </c>
      <c r="AD2340" s="1" t="s">
        <v>74</v>
      </c>
      <c r="AE2340" s="1" t="s">
        <v>74</v>
      </c>
      <c r="AF2340" s="1" t="s">
        <v>74</v>
      </c>
      <c r="AG2340" s="1">
        <v>38</v>
      </c>
      <c r="AH2340" s="1">
        <v>75</v>
      </c>
      <c r="AI2340" s="1">
        <v>79</v>
      </c>
      <c r="AJ2340" s="1">
        <v>0</v>
      </c>
      <c r="AK2340" s="1">
        <v>7</v>
      </c>
      <c r="AL2340" s="1" t="s">
        <v>564</v>
      </c>
      <c r="AM2340" s="1" t="s">
        <v>113</v>
      </c>
      <c r="AN2340" s="1" t="s">
        <v>565</v>
      </c>
      <c r="AO2340" s="1" t="s">
        <v>566</v>
      </c>
      <c r="AP2340" s="1" t="s">
        <v>74</v>
      </c>
      <c r="AQ2340" s="1" t="s">
        <v>74</v>
      </c>
      <c r="AR2340" s="1" t="s">
        <v>568</v>
      </c>
      <c r="AS2340" s="1" t="s">
        <v>569</v>
      </c>
      <c r="AT2340" s="1" t="s">
        <v>224</v>
      </c>
      <c r="AU2340" s="1">
        <v>1996</v>
      </c>
      <c r="AV2340" s="1">
        <v>113</v>
      </c>
      <c r="AW2340" s="1">
        <v>2</v>
      </c>
      <c r="AX2340" s="1" t="s">
        <v>74</v>
      </c>
      <c r="AY2340" s="1" t="s">
        <v>74</v>
      </c>
      <c r="AZ2340" s="1" t="s">
        <v>74</v>
      </c>
      <c r="BA2340" s="1" t="s">
        <v>74</v>
      </c>
      <c r="BB2340" s="1">
        <v>291</v>
      </c>
      <c r="BC2340" s="1">
        <v>297</v>
      </c>
      <c r="BD2340" s="1" t="s">
        <v>74</v>
      </c>
      <c r="BE2340" s="1" t="s">
        <v>37448</v>
      </c>
      <c r="BF2340" s="1" t="str">
        <f>HYPERLINK("http://dx.doi.org/10.1016/0742-8413(95)02100-0","http://dx.doi.org/10.1016/0742-8413(95)02100-0")</f>
        <v>http://dx.doi.org/10.1016/0742-8413(95)02100-0</v>
      </c>
      <c r="BG2340" s="1" t="s">
        <v>74</v>
      </c>
      <c r="BH2340" s="1" t="s">
        <v>74</v>
      </c>
      <c r="BI2340" s="1">
        <v>7</v>
      </c>
      <c r="BJ2340" s="1" t="s">
        <v>571</v>
      </c>
      <c r="BK2340" s="1" t="s">
        <v>172</v>
      </c>
      <c r="BL2340" s="1" t="s">
        <v>571</v>
      </c>
      <c r="BM2340" s="1" t="s">
        <v>37449</v>
      </c>
      <c r="BN2340" s="1" t="s">
        <v>74</v>
      </c>
      <c r="BO2340" s="1" t="s">
        <v>74</v>
      </c>
      <c r="BP2340" s="1" t="s">
        <v>74</v>
      </c>
      <c r="BQ2340" s="1" t="s">
        <v>74</v>
      </c>
      <c r="BR2340" s="1" t="s">
        <v>98</v>
      </c>
      <c r="BS2340" s="1" t="s">
        <v>37450</v>
      </c>
      <c r="BT2340" s="1" t="str">
        <f>HYPERLINK("https%3A%2F%2Fwww.webofscience.com%2Fwos%2Fwoscc%2Ffull-record%2FWOS:A1996UH46500026","View Full Record in Web of Science")</f>
        <v>View Full Record in Web of Science</v>
      </c>
      <c r="BU2340" s="1"/>
      <c r="BV2340" s="1"/>
    </row>
    <row r="2341" spans="1:74">
      <c r="A2341" s="1" t="s">
        <v>72</v>
      </c>
      <c r="B2341" s="1" t="s">
        <v>37451</v>
      </c>
      <c r="C2341" s="1" t="s">
        <v>74</v>
      </c>
      <c r="D2341" s="1" t="s">
        <v>74</v>
      </c>
      <c r="E2341" s="1" t="s">
        <v>74</v>
      </c>
      <c r="F2341" s="1" t="s">
        <v>37452</v>
      </c>
      <c r="G2341" s="1" t="s">
        <v>74</v>
      </c>
      <c r="H2341" s="1" t="s">
        <v>74</v>
      </c>
      <c r="I2341" s="1" t="s">
        <v>37453</v>
      </c>
      <c r="J2341" s="1" t="s">
        <v>909</v>
      </c>
      <c r="K2341" s="1" t="s">
        <v>74</v>
      </c>
      <c r="L2341" s="1" t="s">
        <v>74</v>
      </c>
      <c r="M2341" s="1" t="s">
        <v>78</v>
      </c>
      <c r="N2341" s="1" t="s">
        <v>79</v>
      </c>
      <c r="O2341" s="1" t="s">
        <v>74</v>
      </c>
      <c r="P2341" s="1" t="s">
        <v>74</v>
      </c>
      <c r="Q2341" s="1" t="s">
        <v>74</v>
      </c>
      <c r="R2341" s="1" t="s">
        <v>74</v>
      </c>
      <c r="S2341" s="1" t="s">
        <v>74</v>
      </c>
      <c r="T2341" s="1" t="s">
        <v>37454</v>
      </c>
      <c r="U2341" s="1" t="s">
        <v>37455</v>
      </c>
      <c r="V2341" s="1" t="s">
        <v>37456</v>
      </c>
      <c r="W2341" s="1" t="s">
        <v>37457</v>
      </c>
      <c r="X2341" s="1" t="s">
        <v>37458</v>
      </c>
      <c r="Y2341" s="1" t="s">
        <v>37459</v>
      </c>
      <c r="Z2341" s="1" t="s">
        <v>13318</v>
      </c>
      <c r="AA2341" s="1" t="s">
        <v>37460</v>
      </c>
      <c r="AB2341" s="1" t="s">
        <v>37461</v>
      </c>
      <c r="AC2341" s="1" t="s">
        <v>37462</v>
      </c>
      <c r="AD2341" s="1" t="s">
        <v>37463</v>
      </c>
      <c r="AE2341" s="1" t="s">
        <v>37464</v>
      </c>
      <c r="AF2341" s="1" t="s">
        <v>74</v>
      </c>
      <c r="AG2341" s="1">
        <v>120</v>
      </c>
      <c r="AH2341" s="1">
        <v>1</v>
      </c>
      <c r="AI2341" s="1">
        <v>1</v>
      </c>
      <c r="AJ2341" s="1">
        <v>29</v>
      </c>
      <c r="AK2341" s="1">
        <v>54</v>
      </c>
      <c r="AL2341" s="1" t="s">
        <v>650</v>
      </c>
      <c r="AM2341" s="1" t="s">
        <v>651</v>
      </c>
      <c r="AN2341" s="1" t="s">
        <v>652</v>
      </c>
      <c r="AO2341" s="1" t="s">
        <v>921</v>
      </c>
      <c r="AP2341" s="1" t="s">
        <v>922</v>
      </c>
      <c r="AQ2341" s="1" t="s">
        <v>74</v>
      </c>
      <c r="AR2341" s="1" t="s">
        <v>923</v>
      </c>
      <c r="AS2341" s="1" t="s">
        <v>924</v>
      </c>
      <c r="AT2341" s="1" t="s">
        <v>5237</v>
      </c>
      <c r="AU2341" s="1">
        <v>2024</v>
      </c>
      <c r="AV2341" s="1">
        <v>912</v>
      </c>
      <c r="AW2341" s="1" t="s">
        <v>74</v>
      </c>
      <c r="AX2341" s="1" t="s">
        <v>74</v>
      </c>
      <c r="AY2341" s="1" t="s">
        <v>74</v>
      </c>
      <c r="AZ2341" s="1" t="s">
        <v>74</v>
      </c>
      <c r="BA2341" s="1" t="s">
        <v>74</v>
      </c>
      <c r="BB2341" s="1" t="s">
        <v>74</v>
      </c>
      <c r="BC2341" s="1" t="s">
        <v>74</v>
      </c>
      <c r="BD2341" s="1">
        <v>168941</v>
      </c>
      <c r="BE2341" s="1" t="s">
        <v>37465</v>
      </c>
      <c r="BF2341" s="1" t="str">
        <f>HYPERLINK("http://dx.doi.org/10.1016/j.scitotenv.2023.168941","http://dx.doi.org/10.1016/j.scitotenv.2023.168941")</f>
        <v>http://dx.doi.org/10.1016/j.scitotenv.2023.168941</v>
      </c>
      <c r="BG2341" s="1" t="s">
        <v>74</v>
      </c>
      <c r="BH2341" s="1" t="s">
        <v>3832</v>
      </c>
      <c r="BI2341" s="1">
        <v>14</v>
      </c>
      <c r="BJ2341" s="1" t="s">
        <v>144</v>
      </c>
      <c r="BK2341" s="1" t="s">
        <v>96</v>
      </c>
      <c r="BL2341" s="1" t="s">
        <v>145</v>
      </c>
      <c r="BM2341" s="1" t="s">
        <v>37466</v>
      </c>
      <c r="BN2341" s="1">
        <v>38056652</v>
      </c>
      <c r="BO2341" s="1" t="s">
        <v>74</v>
      </c>
      <c r="BP2341" s="1" t="s">
        <v>74</v>
      </c>
      <c r="BQ2341" s="1" t="s">
        <v>74</v>
      </c>
      <c r="BR2341" s="1" t="s">
        <v>98</v>
      </c>
      <c r="BS2341" s="1" t="s">
        <v>37467</v>
      </c>
      <c r="BT2341" s="1" t="str">
        <f>HYPERLINK("https%3A%2F%2Fwww.webofscience.com%2Fwos%2Fwoscc%2Ffull-record%2FWOS:001133719600001","View Full Record in Web of Science")</f>
        <v>View Full Record in Web of Science</v>
      </c>
      <c r="BU2341" s="1"/>
      <c r="BV2341" s="1"/>
    </row>
    <row r="2342" spans="1:74">
      <c r="A2342" s="1" t="s">
        <v>72</v>
      </c>
      <c r="B2342" s="1" t="s">
        <v>37468</v>
      </c>
      <c r="C2342" s="1" t="s">
        <v>74</v>
      </c>
      <c r="D2342" s="1" t="s">
        <v>74</v>
      </c>
      <c r="E2342" s="1" t="s">
        <v>74</v>
      </c>
      <c r="F2342" s="1" t="s">
        <v>37469</v>
      </c>
      <c r="G2342" s="1" t="s">
        <v>74</v>
      </c>
      <c r="H2342" s="1" t="s">
        <v>74</v>
      </c>
      <c r="I2342" s="1" t="s">
        <v>37470</v>
      </c>
      <c r="J2342" s="1" t="s">
        <v>998</v>
      </c>
      <c r="K2342" s="1" t="s">
        <v>74</v>
      </c>
      <c r="L2342" s="1" t="s">
        <v>74</v>
      </c>
      <c r="M2342" s="1" t="s">
        <v>78</v>
      </c>
      <c r="N2342" s="1" t="s">
        <v>79</v>
      </c>
      <c r="O2342" s="1" t="s">
        <v>74</v>
      </c>
      <c r="P2342" s="1" t="s">
        <v>74</v>
      </c>
      <c r="Q2342" s="1" t="s">
        <v>74</v>
      </c>
      <c r="R2342" s="1" t="s">
        <v>74</v>
      </c>
      <c r="S2342" s="1" t="s">
        <v>74</v>
      </c>
      <c r="T2342" s="1" t="s">
        <v>74</v>
      </c>
      <c r="U2342" s="1" t="s">
        <v>37471</v>
      </c>
      <c r="V2342" s="1" t="s">
        <v>37472</v>
      </c>
      <c r="W2342" s="1" t="s">
        <v>37473</v>
      </c>
      <c r="X2342" s="1" t="s">
        <v>18795</v>
      </c>
      <c r="Y2342" s="1" t="s">
        <v>37474</v>
      </c>
      <c r="Z2342" s="1" t="s">
        <v>37475</v>
      </c>
      <c r="AA2342" s="1" t="s">
        <v>18797</v>
      </c>
      <c r="AB2342" s="1" t="s">
        <v>18798</v>
      </c>
      <c r="AC2342" s="1" t="s">
        <v>74</v>
      </c>
      <c r="AD2342" s="1" t="s">
        <v>74</v>
      </c>
      <c r="AE2342" s="1" t="s">
        <v>74</v>
      </c>
      <c r="AF2342" s="1" t="s">
        <v>74</v>
      </c>
      <c r="AG2342" s="1">
        <v>42</v>
      </c>
      <c r="AH2342" s="1">
        <v>22</v>
      </c>
      <c r="AI2342" s="1">
        <v>25</v>
      </c>
      <c r="AJ2342" s="1">
        <v>0</v>
      </c>
      <c r="AK2342" s="1">
        <v>4</v>
      </c>
      <c r="AL2342" s="1" t="s">
        <v>112</v>
      </c>
      <c r="AM2342" s="1" t="s">
        <v>113</v>
      </c>
      <c r="AN2342" s="1" t="s">
        <v>469</v>
      </c>
      <c r="AO2342" s="1" t="s">
        <v>1009</v>
      </c>
      <c r="AP2342" s="1" t="s">
        <v>5996</v>
      </c>
      <c r="AQ2342" s="1" t="s">
        <v>74</v>
      </c>
      <c r="AR2342" s="1" t="s">
        <v>1010</v>
      </c>
      <c r="AS2342" s="1" t="s">
        <v>1011</v>
      </c>
      <c r="AT2342" s="1" t="s">
        <v>119</v>
      </c>
      <c r="AU2342" s="1">
        <v>2006</v>
      </c>
      <c r="AV2342" s="1">
        <v>51</v>
      </c>
      <c r="AW2342" s="1">
        <v>2</v>
      </c>
      <c r="AX2342" s="1" t="s">
        <v>74</v>
      </c>
      <c r="AY2342" s="1" t="s">
        <v>74</v>
      </c>
      <c r="AZ2342" s="1" t="s">
        <v>74</v>
      </c>
      <c r="BA2342" s="1" t="s">
        <v>74</v>
      </c>
      <c r="BB2342" s="1">
        <v>206</v>
      </c>
      <c r="BC2342" s="1">
        <v>214</v>
      </c>
      <c r="BD2342" s="1" t="s">
        <v>74</v>
      </c>
      <c r="BE2342" s="1" t="s">
        <v>37476</v>
      </c>
      <c r="BF2342" s="1" t="str">
        <f>HYPERLINK("http://dx.doi.org/10.1007/s00244-005-0055-2","http://dx.doi.org/10.1007/s00244-005-0055-2")</f>
        <v>http://dx.doi.org/10.1007/s00244-005-0055-2</v>
      </c>
      <c r="BG2342" s="1" t="s">
        <v>74</v>
      </c>
      <c r="BH2342" s="1" t="s">
        <v>74</v>
      </c>
      <c r="BI2342" s="1">
        <v>9</v>
      </c>
      <c r="BJ2342" s="1" t="s">
        <v>121</v>
      </c>
      <c r="BK2342" s="1" t="s">
        <v>96</v>
      </c>
      <c r="BL2342" s="1" t="s">
        <v>122</v>
      </c>
      <c r="BM2342" s="1" t="s">
        <v>37477</v>
      </c>
      <c r="BN2342" s="1">
        <v>16583254</v>
      </c>
      <c r="BO2342" s="1" t="s">
        <v>74</v>
      </c>
      <c r="BP2342" s="1" t="s">
        <v>74</v>
      </c>
      <c r="BQ2342" s="1" t="s">
        <v>74</v>
      </c>
      <c r="BR2342" s="1" t="s">
        <v>98</v>
      </c>
      <c r="BS2342" s="1" t="s">
        <v>37478</v>
      </c>
      <c r="BT2342" s="1" t="str">
        <f>HYPERLINK("https%3A%2F%2Fwww.webofscience.com%2Fwos%2Fwoscc%2Ffull-record%2FWOS:000238362100006","View Full Record in Web of Science")</f>
        <v>View Full Record in Web of Science</v>
      </c>
      <c r="BU2342" s="1"/>
      <c r="BV2342" s="1"/>
    </row>
    <row r="2343" spans="1:74">
      <c r="A2343" s="1" t="s">
        <v>72</v>
      </c>
      <c r="B2343" s="1" t="s">
        <v>37479</v>
      </c>
      <c r="C2343" s="1" t="s">
        <v>74</v>
      </c>
      <c r="D2343" s="1" t="s">
        <v>74</v>
      </c>
      <c r="E2343" s="1" t="s">
        <v>74</v>
      </c>
      <c r="F2343" s="1" t="s">
        <v>37480</v>
      </c>
      <c r="G2343" s="1" t="s">
        <v>74</v>
      </c>
      <c r="H2343" s="1" t="s">
        <v>74</v>
      </c>
      <c r="I2343" s="1" t="s">
        <v>37481</v>
      </c>
      <c r="J2343" s="1" t="s">
        <v>909</v>
      </c>
      <c r="K2343" s="1" t="s">
        <v>74</v>
      </c>
      <c r="L2343" s="1" t="s">
        <v>74</v>
      </c>
      <c r="M2343" s="1" t="s">
        <v>78</v>
      </c>
      <c r="N2343" s="1" t="s">
        <v>79</v>
      </c>
      <c r="O2343" s="1" t="s">
        <v>74</v>
      </c>
      <c r="P2343" s="1" t="s">
        <v>74</v>
      </c>
      <c r="Q2343" s="1" t="s">
        <v>74</v>
      </c>
      <c r="R2343" s="1" t="s">
        <v>74</v>
      </c>
      <c r="S2343" s="1" t="s">
        <v>74</v>
      </c>
      <c r="T2343" s="1" t="s">
        <v>37482</v>
      </c>
      <c r="U2343" s="1" t="s">
        <v>37483</v>
      </c>
      <c r="V2343" s="1" t="s">
        <v>37484</v>
      </c>
      <c r="W2343" s="1" t="s">
        <v>37485</v>
      </c>
      <c r="X2343" s="1" t="s">
        <v>16093</v>
      </c>
      <c r="Y2343" s="1" t="s">
        <v>37486</v>
      </c>
      <c r="Z2343" s="1" t="s">
        <v>1483</v>
      </c>
      <c r="AA2343" s="1" t="s">
        <v>29552</v>
      </c>
      <c r="AB2343" s="1" t="s">
        <v>29553</v>
      </c>
      <c r="AC2343" s="1" t="s">
        <v>37487</v>
      </c>
      <c r="AD2343" s="1" t="s">
        <v>37488</v>
      </c>
      <c r="AE2343" s="1" t="s">
        <v>37489</v>
      </c>
      <c r="AF2343" s="1" t="s">
        <v>74</v>
      </c>
      <c r="AG2343" s="1">
        <v>41</v>
      </c>
      <c r="AH2343" s="1">
        <v>34</v>
      </c>
      <c r="AI2343" s="1">
        <v>35</v>
      </c>
      <c r="AJ2343" s="1">
        <v>4</v>
      </c>
      <c r="AK2343" s="1">
        <v>91</v>
      </c>
      <c r="AL2343" s="1" t="s">
        <v>650</v>
      </c>
      <c r="AM2343" s="1" t="s">
        <v>651</v>
      </c>
      <c r="AN2343" s="1" t="s">
        <v>652</v>
      </c>
      <c r="AO2343" s="1" t="s">
        <v>921</v>
      </c>
      <c r="AP2343" s="1" t="s">
        <v>922</v>
      </c>
      <c r="AQ2343" s="1" t="s">
        <v>74</v>
      </c>
      <c r="AR2343" s="1" t="s">
        <v>923</v>
      </c>
      <c r="AS2343" s="1" t="s">
        <v>924</v>
      </c>
      <c r="AT2343" s="1" t="s">
        <v>1091</v>
      </c>
      <c r="AU2343" s="1">
        <v>2019</v>
      </c>
      <c r="AV2343" s="1">
        <v>669</v>
      </c>
      <c r="AW2343" s="1" t="s">
        <v>74</v>
      </c>
      <c r="AX2343" s="1" t="s">
        <v>74</v>
      </c>
      <c r="AY2343" s="1" t="s">
        <v>74</v>
      </c>
      <c r="AZ2343" s="1" t="s">
        <v>74</v>
      </c>
      <c r="BA2343" s="1" t="s">
        <v>74</v>
      </c>
      <c r="BB2343" s="1">
        <v>746</v>
      </c>
      <c r="BC2343" s="1">
        <v>753</v>
      </c>
      <c r="BD2343" s="1" t="s">
        <v>74</v>
      </c>
      <c r="BE2343" s="1" t="s">
        <v>37490</v>
      </c>
      <c r="BF2343" s="1" t="str">
        <f>HYPERLINK("http://dx.doi.org/10.1016/j.scitotenv.2019.03.164","http://dx.doi.org/10.1016/j.scitotenv.2019.03.164")</f>
        <v>http://dx.doi.org/10.1016/j.scitotenv.2019.03.164</v>
      </c>
      <c r="BG2343" s="1" t="s">
        <v>74</v>
      </c>
      <c r="BH2343" s="1" t="s">
        <v>74</v>
      </c>
      <c r="BI2343" s="1">
        <v>8</v>
      </c>
      <c r="BJ2343" s="1" t="s">
        <v>144</v>
      </c>
      <c r="BK2343" s="1" t="s">
        <v>96</v>
      </c>
      <c r="BL2343" s="1" t="s">
        <v>145</v>
      </c>
      <c r="BM2343" s="1" t="s">
        <v>37491</v>
      </c>
      <c r="BN2343" s="1">
        <v>30893630</v>
      </c>
      <c r="BO2343" s="1" t="s">
        <v>74</v>
      </c>
      <c r="BP2343" s="1" t="s">
        <v>74</v>
      </c>
      <c r="BQ2343" s="1" t="s">
        <v>74</v>
      </c>
      <c r="BR2343" s="1" t="s">
        <v>98</v>
      </c>
      <c r="BS2343" s="1" t="s">
        <v>37492</v>
      </c>
      <c r="BT2343" s="1" t="str">
        <f>HYPERLINK("https%3A%2F%2Fwww.webofscience.com%2Fwos%2Fwoscc%2Ffull-record%2FWOS:000463663500072","View Full Record in Web of Science")</f>
        <v>View Full Record in Web of Science</v>
      </c>
      <c r="BU2343" s="1"/>
      <c r="BV2343" s="1"/>
    </row>
    <row r="2344" spans="1:74">
      <c r="A2344" s="1" t="s">
        <v>72</v>
      </c>
      <c r="B2344" s="1" t="s">
        <v>37493</v>
      </c>
      <c r="C2344" s="1" t="s">
        <v>74</v>
      </c>
      <c r="D2344" s="1" t="s">
        <v>74</v>
      </c>
      <c r="E2344" s="1" t="s">
        <v>74</v>
      </c>
      <c r="F2344" s="1" t="s">
        <v>37494</v>
      </c>
      <c r="G2344" s="1" t="s">
        <v>74</v>
      </c>
      <c r="H2344" s="1" t="s">
        <v>74</v>
      </c>
      <c r="I2344" s="1" t="s">
        <v>37495</v>
      </c>
      <c r="J2344" s="1" t="s">
        <v>232</v>
      </c>
      <c r="K2344" s="1" t="s">
        <v>74</v>
      </c>
      <c r="L2344" s="1" t="s">
        <v>74</v>
      </c>
      <c r="M2344" s="1" t="s">
        <v>78</v>
      </c>
      <c r="N2344" s="1" t="s">
        <v>79</v>
      </c>
      <c r="O2344" s="1" t="s">
        <v>74</v>
      </c>
      <c r="P2344" s="1" t="s">
        <v>74</v>
      </c>
      <c r="Q2344" s="1" t="s">
        <v>74</v>
      </c>
      <c r="R2344" s="1" t="s">
        <v>74</v>
      </c>
      <c r="S2344" s="1" t="s">
        <v>74</v>
      </c>
      <c r="T2344" s="1" t="s">
        <v>37496</v>
      </c>
      <c r="U2344" s="1" t="s">
        <v>37497</v>
      </c>
      <c r="V2344" s="1" t="s">
        <v>37498</v>
      </c>
      <c r="W2344" s="1" t="s">
        <v>37499</v>
      </c>
      <c r="X2344" s="1" t="s">
        <v>37500</v>
      </c>
      <c r="Y2344" s="1" t="s">
        <v>37501</v>
      </c>
      <c r="Z2344" s="1" t="s">
        <v>37502</v>
      </c>
      <c r="AA2344" s="1" t="s">
        <v>37503</v>
      </c>
      <c r="AB2344" s="1" t="s">
        <v>37504</v>
      </c>
      <c r="AC2344" s="1" t="s">
        <v>74</v>
      </c>
      <c r="AD2344" s="1" t="s">
        <v>74</v>
      </c>
      <c r="AE2344" s="1" t="s">
        <v>74</v>
      </c>
      <c r="AF2344" s="1" t="s">
        <v>74</v>
      </c>
      <c r="AG2344" s="1">
        <v>42</v>
      </c>
      <c r="AH2344" s="1">
        <v>26</v>
      </c>
      <c r="AI2344" s="1">
        <v>28</v>
      </c>
      <c r="AJ2344" s="1">
        <v>0</v>
      </c>
      <c r="AK2344" s="1">
        <v>21</v>
      </c>
      <c r="AL2344" s="1" t="s">
        <v>136</v>
      </c>
      <c r="AM2344" s="1" t="s">
        <v>137</v>
      </c>
      <c r="AN2344" s="1" t="s">
        <v>138</v>
      </c>
      <c r="AO2344" s="1" t="s">
        <v>240</v>
      </c>
      <c r="AP2344" s="1" t="s">
        <v>241</v>
      </c>
      <c r="AQ2344" s="1" t="s">
        <v>74</v>
      </c>
      <c r="AR2344" s="1" t="s">
        <v>242</v>
      </c>
      <c r="AS2344" s="1" t="s">
        <v>243</v>
      </c>
      <c r="AT2344" s="1" t="s">
        <v>74</v>
      </c>
      <c r="AU2344" s="1">
        <v>2011</v>
      </c>
      <c r="AV2344" s="1">
        <v>63</v>
      </c>
      <c r="AW2344" s="1" t="s">
        <v>9881</v>
      </c>
      <c r="AX2344" s="1" t="s">
        <v>74</v>
      </c>
      <c r="AY2344" s="1" t="s">
        <v>74</v>
      </c>
      <c r="AZ2344" s="1" t="s">
        <v>225</v>
      </c>
      <c r="BA2344" s="1" t="s">
        <v>74</v>
      </c>
      <c r="BB2344" s="1">
        <v>108</v>
      </c>
      <c r="BC2344" s="1">
        <v>118</v>
      </c>
      <c r="BD2344" s="1" t="s">
        <v>74</v>
      </c>
      <c r="BE2344" s="1" t="s">
        <v>37505</v>
      </c>
      <c r="BF2344" s="1" t="str">
        <f>HYPERLINK("http://dx.doi.org/10.1016/j.marpolbul.2011.04.040","http://dx.doi.org/10.1016/j.marpolbul.2011.04.040")</f>
        <v>http://dx.doi.org/10.1016/j.marpolbul.2011.04.040</v>
      </c>
      <c r="BG2344" s="1" t="s">
        <v>74</v>
      </c>
      <c r="BH2344" s="1" t="s">
        <v>74</v>
      </c>
      <c r="BI2344" s="1">
        <v>11</v>
      </c>
      <c r="BJ2344" s="1" t="s">
        <v>247</v>
      </c>
      <c r="BK2344" s="1" t="s">
        <v>96</v>
      </c>
      <c r="BL2344" s="1" t="s">
        <v>248</v>
      </c>
      <c r="BM2344" s="1" t="s">
        <v>9883</v>
      </c>
      <c r="BN2344" s="1">
        <v>21596395</v>
      </c>
      <c r="BO2344" s="1" t="s">
        <v>74</v>
      </c>
      <c r="BP2344" s="1" t="s">
        <v>74</v>
      </c>
      <c r="BQ2344" s="1" t="s">
        <v>74</v>
      </c>
      <c r="BR2344" s="1" t="s">
        <v>98</v>
      </c>
      <c r="BS2344" s="1" t="s">
        <v>37506</v>
      </c>
      <c r="BT2344" s="1" t="str">
        <f>HYPERLINK("https%3A%2F%2Fwww.webofscience.com%2Fwos%2Fwoscc%2Ffull-record%2FWOS:000294092700008","View Full Record in Web of Science")</f>
        <v>View Full Record in Web of Science</v>
      </c>
      <c r="BU2344" s="1"/>
      <c r="BV2344" s="1"/>
    </row>
    <row r="2345" spans="1:74">
      <c r="A2345" s="1" t="s">
        <v>72</v>
      </c>
      <c r="B2345" s="1" t="s">
        <v>37507</v>
      </c>
      <c r="C2345" s="1" t="s">
        <v>74</v>
      </c>
      <c r="D2345" s="1" t="s">
        <v>74</v>
      </c>
      <c r="E2345" s="1" t="s">
        <v>74</v>
      </c>
      <c r="F2345" s="1" t="s">
        <v>37508</v>
      </c>
      <c r="G2345" s="1" t="s">
        <v>74</v>
      </c>
      <c r="H2345" s="1" t="s">
        <v>74</v>
      </c>
      <c r="I2345" s="1" t="s">
        <v>37509</v>
      </c>
      <c r="J2345" s="1" t="s">
        <v>232</v>
      </c>
      <c r="K2345" s="1" t="s">
        <v>74</v>
      </c>
      <c r="L2345" s="1" t="s">
        <v>74</v>
      </c>
      <c r="M2345" s="1" t="s">
        <v>78</v>
      </c>
      <c r="N2345" s="1" t="s">
        <v>79</v>
      </c>
      <c r="O2345" s="1" t="s">
        <v>74</v>
      </c>
      <c r="P2345" s="1" t="s">
        <v>74</v>
      </c>
      <c r="Q2345" s="1" t="s">
        <v>74</v>
      </c>
      <c r="R2345" s="1" t="s">
        <v>74</v>
      </c>
      <c r="S2345" s="1" t="s">
        <v>74</v>
      </c>
      <c r="T2345" s="1" t="s">
        <v>37510</v>
      </c>
      <c r="U2345" s="1" t="s">
        <v>37511</v>
      </c>
      <c r="V2345" s="1" t="s">
        <v>37512</v>
      </c>
      <c r="W2345" s="1" t="s">
        <v>37513</v>
      </c>
      <c r="X2345" s="1" t="s">
        <v>37514</v>
      </c>
      <c r="Y2345" s="1" t="s">
        <v>37515</v>
      </c>
      <c r="Z2345" s="1" t="s">
        <v>37516</v>
      </c>
      <c r="AA2345" s="1" t="s">
        <v>37517</v>
      </c>
      <c r="AB2345" s="1" t="s">
        <v>74</v>
      </c>
      <c r="AC2345" s="1" t="s">
        <v>37518</v>
      </c>
      <c r="AD2345" s="1" t="s">
        <v>37519</v>
      </c>
      <c r="AE2345" s="1" t="s">
        <v>37520</v>
      </c>
      <c r="AF2345" s="1" t="s">
        <v>74</v>
      </c>
      <c r="AG2345" s="1">
        <v>39</v>
      </c>
      <c r="AH2345" s="1">
        <v>6</v>
      </c>
      <c r="AI2345" s="1">
        <v>7</v>
      </c>
      <c r="AJ2345" s="1">
        <v>3</v>
      </c>
      <c r="AK2345" s="1">
        <v>4</v>
      </c>
      <c r="AL2345" s="1" t="s">
        <v>136</v>
      </c>
      <c r="AM2345" s="1" t="s">
        <v>137</v>
      </c>
      <c r="AN2345" s="1" t="s">
        <v>138</v>
      </c>
      <c r="AO2345" s="1" t="s">
        <v>240</v>
      </c>
      <c r="AP2345" s="1" t="s">
        <v>241</v>
      </c>
      <c r="AQ2345" s="1" t="s">
        <v>74</v>
      </c>
      <c r="AR2345" s="1" t="s">
        <v>242</v>
      </c>
      <c r="AS2345" s="1" t="s">
        <v>243</v>
      </c>
      <c r="AT2345" s="1" t="s">
        <v>142</v>
      </c>
      <c r="AU2345" s="1">
        <v>2022</v>
      </c>
      <c r="AV2345" s="1">
        <v>179</v>
      </c>
      <c r="AW2345" s="1" t="s">
        <v>74</v>
      </c>
      <c r="AX2345" s="1" t="s">
        <v>74</v>
      </c>
      <c r="AY2345" s="1" t="s">
        <v>74</v>
      </c>
      <c r="AZ2345" s="1" t="s">
        <v>74</v>
      </c>
      <c r="BA2345" s="1" t="s">
        <v>74</v>
      </c>
      <c r="BB2345" s="1" t="s">
        <v>74</v>
      </c>
      <c r="BC2345" s="1" t="s">
        <v>74</v>
      </c>
      <c r="BD2345" s="1">
        <v>113692</v>
      </c>
      <c r="BE2345" s="1" t="s">
        <v>37521</v>
      </c>
      <c r="BF2345" s="1" t="str">
        <f>HYPERLINK("http://dx.doi.org/10.1016/j.marpolbul.2022.113692","http://dx.doi.org/10.1016/j.marpolbul.2022.113692")</f>
        <v>http://dx.doi.org/10.1016/j.marpolbul.2022.113692</v>
      </c>
      <c r="BG2345" s="1" t="s">
        <v>74</v>
      </c>
      <c r="BH2345" s="1" t="s">
        <v>1291</v>
      </c>
      <c r="BI2345" s="1">
        <v>9</v>
      </c>
      <c r="BJ2345" s="1" t="s">
        <v>247</v>
      </c>
      <c r="BK2345" s="1" t="s">
        <v>96</v>
      </c>
      <c r="BL2345" s="1" t="s">
        <v>248</v>
      </c>
      <c r="BM2345" s="1" t="s">
        <v>35124</v>
      </c>
      <c r="BN2345" s="1">
        <v>35500372</v>
      </c>
      <c r="BO2345" s="1" t="s">
        <v>74</v>
      </c>
      <c r="BP2345" s="1" t="s">
        <v>74</v>
      </c>
      <c r="BQ2345" s="1" t="s">
        <v>74</v>
      </c>
      <c r="BR2345" s="1" t="s">
        <v>98</v>
      </c>
      <c r="BS2345" s="1" t="s">
        <v>37522</v>
      </c>
      <c r="BT2345" s="1" t="str">
        <f>HYPERLINK("https%3A%2F%2Fwww.webofscience.com%2Fwos%2Fwoscc%2Ffull-record%2FWOS:000872094100007","View Full Record in Web of Science")</f>
        <v>View Full Record in Web of Science</v>
      </c>
      <c r="BU2345" s="1"/>
      <c r="BV2345" s="1"/>
    </row>
    <row r="2346" spans="1:74">
      <c r="A2346" s="1" t="s">
        <v>72</v>
      </c>
      <c r="B2346" s="1" t="s">
        <v>37523</v>
      </c>
      <c r="C2346" s="1" t="s">
        <v>74</v>
      </c>
      <c r="D2346" s="1" t="s">
        <v>74</v>
      </c>
      <c r="E2346" s="1" t="s">
        <v>74</v>
      </c>
      <c r="F2346" s="1" t="s">
        <v>37524</v>
      </c>
      <c r="G2346" s="1" t="s">
        <v>74</v>
      </c>
      <c r="H2346" s="1" t="s">
        <v>74</v>
      </c>
      <c r="I2346" s="1" t="s">
        <v>37525</v>
      </c>
      <c r="J2346" s="1" t="s">
        <v>204</v>
      </c>
      <c r="K2346" s="1" t="s">
        <v>74</v>
      </c>
      <c r="L2346" s="1" t="s">
        <v>74</v>
      </c>
      <c r="M2346" s="1" t="s">
        <v>78</v>
      </c>
      <c r="N2346" s="1" t="s">
        <v>79</v>
      </c>
      <c r="O2346" s="1" t="s">
        <v>74</v>
      </c>
      <c r="P2346" s="1" t="s">
        <v>74</v>
      </c>
      <c r="Q2346" s="1" t="s">
        <v>74</v>
      </c>
      <c r="R2346" s="1" t="s">
        <v>74</v>
      </c>
      <c r="S2346" s="1" t="s">
        <v>74</v>
      </c>
      <c r="T2346" s="1" t="s">
        <v>37526</v>
      </c>
      <c r="U2346" s="1" t="s">
        <v>37527</v>
      </c>
      <c r="V2346" s="1" t="s">
        <v>37528</v>
      </c>
      <c r="W2346" s="1" t="s">
        <v>37529</v>
      </c>
      <c r="X2346" s="1" t="s">
        <v>37530</v>
      </c>
      <c r="Y2346" s="1" t="s">
        <v>29864</v>
      </c>
      <c r="Z2346" s="1" t="s">
        <v>29865</v>
      </c>
      <c r="AA2346" s="1" t="s">
        <v>74</v>
      </c>
      <c r="AB2346" s="1" t="s">
        <v>37531</v>
      </c>
      <c r="AC2346" s="1" t="s">
        <v>37532</v>
      </c>
      <c r="AD2346" s="1" t="s">
        <v>37533</v>
      </c>
      <c r="AE2346" s="1" t="s">
        <v>37534</v>
      </c>
      <c r="AF2346" s="1" t="s">
        <v>74</v>
      </c>
      <c r="AG2346" s="1">
        <v>51</v>
      </c>
      <c r="AH2346" s="1">
        <v>12</v>
      </c>
      <c r="AI2346" s="1">
        <v>14</v>
      </c>
      <c r="AJ2346" s="1">
        <v>2</v>
      </c>
      <c r="AK2346" s="1">
        <v>62</v>
      </c>
      <c r="AL2346" s="1" t="s">
        <v>217</v>
      </c>
      <c r="AM2346" s="1" t="s">
        <v>218</v>
      </c>
      <c r="AN2346" s="1" t="s">
        <v>219</v>
      </c>
      <c r="AO2346" s="1" t="s">
        <v>220</v>
      </c>
      <c r="AP2346" s="1" t="s">
        <v>221</v>
      </c>
      <c r="AQ2346" s="1" t="s">
        <v>74</v>
      </c>
      <c r="AR2346" s="1" t="s">
        <v>222</v>
      </c>
      <c r="AS2346" s="1" t="s">
        <v>223</v>
      </c>
      <c r="AT2346" s="1" t="s">
        <v>170</v>
      </c>
      <c r="AU2346" s="1">
        <v>2019</v>
      </c>
      <c r="AV2346" s="1">
        <v>26</v>
      </c>
      <c r="AW2346" s="1">
        <v>15</v>
      </c>
      <c r="AX2346" s="1" t="s">
        <v>74</v>
      </c>
      <c r="AY2346" s="1" t="s">
        <v>74</v>
      </c>
      <c r="AZ2346" s="1" t="s">
        <v>225</v>
      </c>
      <c r="BA2346" s="1" t="s">
        <v>74</v>
      </c>
      <c r="BB2346" s="1">
        <v>14951</v>
      </c>
      <c r="BC2346" s="1">
        <v>14961</v>
      </c>
      <c r="BD2346" s="1" t="s">
        <v>74</v>
      </c>
      <c r="BE2346" s="1" t="s">
        <v>37535</v>
      </c>
      <c r="BF2346" s="1" t="str">
        <f>HYPERLINK("http://dx.doi.org/10.1007/s11356-019-04931-7","http://dx.doi.org/10.1007/s11356-019-04931-7")</f>
        <v>http://dx.doi.org/10.1007/s11356-019-04931-7</v>
      </c>
      <c r="BG2346" s="1" t="s">
        <v>74</v>
      </c>
      <c r="BH2346" s="1" t="s">
        <v>74</v>
      </c>
      <c r="BI2346" s="1">
        <v>11</v>
      </c>
      <c r="BJ2346" s="1" t="s">
        <v>144</v>
      </c>
      <c r="BK2346" s="1" t="s">
        <v>96</v>
      </c>
      <c r="BL2346" s="1" t="s">
        <v>145</v>
      </c>
      <c r="BM2346" s="1" t="s">
        <v>37536</v>
      </c>
      <c r="BN2346" s="1">
        <v>30919194</v>
      </c>
      <c r="BO2346" s="1" t="s">
        <v>74</v>
      </c>
      <c r="BP2346" s="1" t="s">
        <v>74</v>
      </c>
      <c r="BQ2346" s="1" t="s">
        <v>74</v>
      </c>
      <c r="BR2346" s="1" t="s">
        <v>98</v>
      </c>
      <c r="BS2346" s="1" t="s">
        <v>37537</v>
      </c>
      <c r="BT2346" s="1" t="str">
        <f>HYPERLINK("https%3A%2F%2Fwww.webofscience.com%2Fwos%2Fwoscc%2Ffull-record%2FWOS:000468842100022","View Full Record in Web of Science")</f>
        <v>View Full Record in Web of Science</v>
      </c>
      <c r="BU2346" s="1"/>
      <c r="BV2346" s="1"/>
    </row>
    <row r="2347" spans="1:74">
      <c r="A2347" s="1" t="s">
        <v>72</v>
      </c>
      <c r="B2347" s="1" t="s">
        <v>37538</v>
      </c>
      <c r="C2347" s="1" t="s">
        <v>74</v>
      </c>
      <c r="D2347" s="1" t="s">
        <v>74</v>
      </c>
      <c r="E2347" s="1" t="s">
        <v>74</v>
      </c>
      <c r="F2347" s="1" t="s">
        <v>37539</v>
      </c>
      <c r="G2347" s="1" t="s">
        <v>74</v>
      </c>
      <c r="H2347" s="1" t="s">
        <v>74</v>
      </c>
      <c r="I2347" s="1" t="s">
        <v>37540</v>
      </c>
      <c r="J2347" s="1" t="s">
        <v>37541</v>
      </c>
      <c r="K2347" s="1" t="s">
        <v>74</v>
      </c>
      <c r="L2347" s="1" t="s">
        <v>74</v>
      </c>
      <c r="M2347" s="1" t="s">
        <v>78</v>
      </c>
      <c r="N2347" s="1" t="s">
        <v>79</v>
      </c>
      <c r="O2347" s="1" t="s">
        <v>74</v>
      </c>
      <c r="P2347" s="1" t="s">
        <v>74</v>
      </c>
      <c r="Q2347" s="1" t="s">
        <v>74</v>
      </c>
      <c r="R2347" s="1" t="s">
        <v>74</v>
      </c>
      <c r="S2347" s="1" t="s">
        <v>74</v>
      </c>
      <c r="T2347" s="1" t="s">
        <v>37542</v>
      </c>
      <c r="U2347" s="1" t="s">
        <v>37543</v>
      </c>
      <c r="V2347" s="1" t="s">
        <v>37544</v>
      </c>
      <c r="W2347" s="1" t="s">
        <v>37545</v>
      </c>
      <c r="X2347" s="1" t="s">
        <v>37546</v>
      </c>
      <c r="Y2347" s="1" t="s">
        <v>37547</v>
      </c>
      <c r="Z2347" s="1" t="s">
        <v>37548</v>
      </c>
      <c r="AA2347" s="1" t="s">
        <v>37549</v>
      </c>
      <c r="AB2347" s="1" t="s">
        <v>37550</v>
      </c>
      <c r="AC2347" s="1" t="s">
        <v>37551</v>
      </c>
      <c r="AD2347" s="1" t="s">
        <v>37552</v>
      </c>
      <c r="AE2347" s="1" t="s">
        <v>37553</v>
      </c>
      <c r="AF2347" s="1" t="s">
        <v>74</v>
      </c>
      <c r="AG2347" s="1">
        <v>44</v>
      </c>
      <c r="AH2347" s="1">
        <v>20</v>
      </c>
      <c r="AI2347" s="1">
        <v>20</v>
      </c>
      <c r="AJ2347" s="1">
        <v>3</v>
      </c>
      <c r="AK2347" s="1">
        <v>194</v>
      </c>
      <c r="AL2347" s="1" t="s">
        <v>19345</v>
      </c>
      <c r="AM2347" s="1" t="s">
        <v>1351</v>
      </c>
      <c r="AN2347" s="1" t="s">
        <v>19346</v>
      </c>
      <c r="AO2347" s="1" t="s">
        <v>74</v>
      </c>
      <c r="AP2347" s="1" t="s">
        <v>37554</v>
      </c>
      <c r="AQ2347" s="1" t="s">
        <v>74</v>
      </c>
      <c r="AR2347" s="1" t="s">
        <v>37555</v>
      </c>
      <c r="AS2347" s="1" t="s">
        <v>37556</v>
      </c>
      <c r="AT2347" s="1" t="s">
        <v>4612</v>
      </c>
      <c r="AU2347" s="1">
        <v>2020</v>
      </c>
      <c r="AV2347" s="1">
        <v>308</v>
      </c>
      <c r="AW2347" s="1" t="s">
        <v>74</v>
      </c>
      <c r="AX2347" s="1" t="s">
        <v>74</v>
      </c>
      <c r="AY2347" s="1" t="s">
        <v>74</v>
      </c>
      <c r="AZ2347" s="1" t="s">
        <v>74</v>
      </c>
      <c r="BA2347" s="1" t="s">
        <v>74</v>
      </c>
      <c r="BB2347" s="1" t="s">
        <v>74</v>
      </c>
      <c r="BC2347" s="1" t="s">
        <v>74</v>
      </c>
      <c r="BD2347" s="1">
        <v>127733</v>
      </c>
      <c r="BE2347" s="1" t="s">
        <v>37557</v>
      </c>
      <c r="BF2347" s="1" t="str">
        <f>HYPERLINK("http://dx.doi.org/10.1016/j.snb.2020.127733","http://dx.doi.org/10.1016/j.snb.2020.127733")</f>
        <v>http://dx.doi.org/10.1016/j.snb.2020.127733</v>
      </c>
      <c r="BG2347" s="1" t="s">
        <v>74</v>
      </c>
      <c r="BH2347" s="1" t="s">
        <v>74</v>
      </c>
      <c r="BI2347" s="1">
        <v>8</v>
      </c>
      <c r="BJ2347" s="1" t="s">
        <v>37558</v>
      </c>
      <c r="BK2347" s="1" t="s">
        <v>96</v>
      </c>
      <c r="BL2347" s="1" t="s">
        <v>37559</v>
      </c>
      <c r="BM2347" s="1" t="s">
        <v>37560</v>
      </c>
      <c r="BN2347" s="1" t="s">
        <v>74</v>
      </c>
      <c r="BO2347" s="1" t="s">
        <v>74</v>
      </c>
      <c r="BP2347" s="1" t="s">
        <v>74</v>
      </c>
      <c r="BQ2347" s="1" t="s">
        <v>74</v>
      </c>
      <c r="BR2347" s="1" t="s">
        <v>98</v>
      </c>
      <c r="BS2347" s="1" t="s">
        <v>37561</v>
      </c>
      <c r="BT2347" s="1" t="str">
        <f>HYPERLINK("https%3A%2F%2Fwww.webofscience.com%2Fwos%2Fwoscc%2Ffull-record%2FWOS:000511146700027","View Full Record in Web of Science")</f>
        <v>View Full Record in Web of Science</v>
      </c>
      <c r="BU2347" s="1"/>
      <c r="BV2347" s="1"/>
    </row>
    <row r="2348" spans="1:74">
      <c r="A2348" s="1" t="s">
        <v>72</v>
      </c>
      <c r="B2348" s="1" t="s">
        <v>37562</v>
      </c>
      <c r="C2348" s="1" t="s">
        <v>74</v>
      </c>
      <c r="D2348" s="1" t="s">
        <v>74</v>
      </c>
      <c r="E2348" s="1" t="s">
        <v>74</v>
      </c>
      <c r="F2348" s="1" t="s">
        <v>37563</v>
      </c>
      <c r="G2348" s="1" t="s">
        <v>74</v>
      </c>
      <c r="H2348" s="1" t="s">
        <v>74</v>
      </c>
      <c r="I2348" s="1" t="s">
        <v>37564</v>
      </c>
      <c r="J2348" s="1" t="s">
        <v>232</v>
      </c>
      <c r="K2348" s="1" t="s">
        <v>74</v>
      </c>
      <c r="L2348" s="1" t="s">
        <v>74</v>
      </c>
      <c r="M2348" s="1" t="s">
        <v>78</v>
      </c>
      <c r="N2348" s="1" t="s">
        <v>79</v>
      </c>
      <c r="O2348" s="1" t="s">
        <v>74</v>
      </c>
      <c r="P2348" s="1" t="s">
        <v>74</v>
      </c>
      <c r="Q2348" s="1" t="s">
        <v>74</v>
      </c>
      <c r="R2348" s="1" t="s">
        <v>74</v>
      </c>
      <c r="S2348" s="1" t="s">
        <v>74</v>
      </c>
      <c r="T2348" s="1" t="s">
        <v>37565</v>
      </c>
      <c r="U2348" s="1" t="s">
        <v>37566</v>
      </c>
      <c r="V2348" s="1" t="s">
        <v>37567</v>
      </c>
      <c r="W2348" s="1" t="s">
        <v>37568</v>
      </c>
      <c r="X2348" s="1" t="s">
        <v>37569</v>
      </c>
      <c r="Y2348" s="1" t="s">
        <v>9733</v>
      </c>
      <c r="Z2348" s="1" t="s">
        <v>9734</v>
      </c>
      <c r="AA2348" s="1" t="s">
        <v>9735</v>
      </c>
      <c r="AB2348" s="1" t="s">
        <v>9736</v>
      </c>
      <c r="AC2348" s="1" t="s">
        <v>37570</v>
      </c>
      <c r="AD2348" s="1" t="s">
        <v>37570</v>
      </c>
      <c r="AE2348" s="1" t="s">
        <v>37571</v>
      </c>
      <c r="AF2348" s="1" t="s">
        <v>74</v>
      </c>
      <c r="AG2348" s="1">
        <v>39</v>
      </c>
      <c r="AH2348" s="1">
        <v>29</v>
      </c>
      <c r="AI2348" s="1">
        <v>32</v>
      </c>
      <c r="AJ2348" s="1">
        <v>1</v>
      </c>
      <c r="AK2348" s="1">
        <v>25</v>
      </c>
      <c r="AL2348" s="1" t="s">
        <v>136</v>
      </c>
      <c r="AM2348" s="1" t="s">
        <v>137</v>
      </c>
      <c r="AN2348" s="1" t="s">
        <v>138</v>
      </c>
      <c r="AO2348" s="1" t="s">
        <v>240</v>
      </c>
      <c r="AP2348" s="1" t="s">
        <v>241</v>
      </c>
      <c r="AQ2348" s="1" t="s">
        <v>74</v>
      </c>
      <c r="AR2348" s="1" t="s">
        <v>242</v>
      </c>
      <c r="AS2348" s="1" t="s">
        <v>243</v>
      </c>
      <c r="AT2348" s="1" t="s">
        <v>1965</v>
      </c>
      <c r="AU2348" s="1">
        <v>2015</v>
      </c>
      <c r="AV2348" s="1">
        <v>101</v>
      </c>
      <c r="AW2348" s="1">
        <v>1</v>
      </c>
      <c r="AX2348" s="1" t="s">
        <v>74</v>
      </c>
      <c r="AY2348" s="1" t="s">
        <v>74</v>
      </c>
      <c r="AZ2348" s="1" t="s">
        <v>74</v>
      </c>
      <c r="BA2348" s="1" t="s">
        <v>74</v>
      </c>
      <c r="BB2348" s="1">
        <v>404</v>
      </c>
      <c r="BC2348" s="1">
        <v>408</v>
      </c>
      <c r="BD2348" s="1" t="s">
        <v>74</v>
      </c>
      <c r="BE2348" s="1" t="s">
        <v>37572</v>
      </c>
      <c r="BF2348" s="1" t="str">
        <f>HYPERLINK("http://dx.doi.org/10.1016/j.marpolbul.2015.10.010","http://dx.doi.org/10.1016/j.marpolbul.2015.10.010")</f>
        <v>http://dx.doi.org/10.1016/j.marpolbul.2015.10.010</v>
      </c>
      <c r="BG2348" s="1" t="s">
        <v>74</v>
      </c>
      <c r="BH2348" s="1" t="s">
        <v>74</v>
      </c>
      <c r="BI2348" s="1">
        <v>5</v>
      </c>
      <c r="BJ2348" s="1" t="s">
        <v>247</v>
      </c>
      <c r="BK2348" s="1" t="s">
        <v>96</v>
      </c>
      <c r="BL2348" s="1" t="s">
        <v>248</v>
      </c>
      <c r="BM2348" s="1" t="s">
        <v>17901</v>
      </c>
      <c r="BN2348" s="1">
        <v>26475024</v>
      </c>
      <c r="BO2348" s="1" t="s">
        <v>74</v>
      </c>
      <c r="BP2348" s="1" t="s">
        <v>74</v>
      </c>
      <c r="BQ2348" s="1" t="s">
        <v>74</v>
      </c>
      <c r="BR2348" s="1" t="s">
        <v>98</v>
      </c>
      <c r="BS2348" s="1" t="s">
        <v>37573</v>
      </c>
      <c r="BT2348" s="1" t="str">
        <f>HYPERLINK("https%3A%2F%2Fwww.webofscience.com%2Fwos%2Fwoscc%2Ffull-record%2FWOS:000367630700059","View Full Record in Web of Science")</f>
        <v>View Full Record in Web of Science</v>
      </c>
      <c r="BU2348" s="1"/>
      <c r="BV2348" s="1"/>
    </row>
    <row r="2349" spans="1:74">
      <c r="A2349" s="1" t="s">
        <v>72</v>
      </c>
      <c r="B2349" s="1" t="s">
        <v>37574</v>
      </c>
      <c r="C2349" s="1" t="s">
        <v>74</v>
      </c>
      <c r="D2349" s="1" t="s">
        <v>74</v>
      </c>
      <c r="E2349" s="1" t="s">
        <v>74</v>
      </c>
      <c r="F2349" s="1" t="s">
        <v>37575</v>
      </c>
      <c r="G2349" s="1" t="s">
        <v>74</v>
      </c>
      <c r="H2349" s="1" t="s">
        <v>74</v>
      </c>
      <c r="I2349" s="1" t="s">
        <v>37576</v>
      </c>
      <c r="J2349" s="1" t="s">
        <v>232</v>
      </c>
      <c r="K2349" s="1" t="s">
        <v>74</v>
      </c>
      <c r="L2349" s="1" t="s">
        <v>74</v>
      </c>
      <c r="M2349" s="1" t="s">
        <v>78</v>
      </c>
      <c r="N2349" s="1" t="s">
        <v>79</v>
      </c>
      <c r="O2349" s="1" t="s">
        <v>74</v>
      </c>
      <c r="P2349" s="1" t="s">
        <v>74</v>
      </c>
      <c r="Q2349" s="1" t="s">
        <v>74</v>
      </c>
      <c r="R2349" s="1" t="s">
        <v>74</v>
      </c>
      <c r="S2349" s="1" t="s">
        <v>74</v>
      </c>
      <c r="T2349" s="1" t="s">
        <v>37577</v>
      </c>
      <c r="U2349" s="1" t="s">
        <v>37578</v>
      </c>
      <c r="V2349" s="1" t="s">
        <v>37579</v>
      </c>
      <c r="W2349" s="1" t="s">
        <v>37580</v>
      </c>
      <c r="X2349" s="1" t="s">
        <v>37581</v>
      </c>
      <c r="Y2349" s="1" t="s">
        <v>37582</v>
      </c>
      <c r="Z2349" s="1" t="s">
        <v>37583</v>
      </c>
      <c r="AA2349" s="1" t="s">
        <v>37584</v>
      </c>
      <c r="AB2349" s="1" t="s">
        <v>37585</v>
      </c>
      <c r="AC2349" s="1" t="s">
        <v>37586</v>
      </c>
      <c r="AD2349" s="1" t="s">
        <v>37586</v>
      </c>
      <c r="AE2349" s="1" t="s">
        <v>37587</v>
      </c>
      <c r="AF2349" s="1" t="s">
        <v>74</v>
      </c>
      <c r="AG2349" s="1">
        <v>53</v>
      </c>
      <c r="AH2349" s="1">
        <v>32</v>
      </c>
      <c r="AI2349" s="1">
        <v>32</v>
      </c>
      <c r="AJ2349" s="1">
        <v>0</v>
      </c>
      <c r="AK2349" s="1">
        <v>13</v>
      </c>
      <c r="AL2349" s="1" t="s">
        <v>136</v>
      </c>
      <c r="AM2349" s="1" t="s">
        <v>137</v>
      </c>
      <c r="AN2349" s="1" t="s">
        <v>138</v>
      </c>
      <c r="AO2349" s="1" t="s">
        <v>240</v>
      </c>
      <c r="AP2349" s="1" t="s">
        <v>241</v>
      </c>
      <c r="AQ2349" s="1" t="s">
        <v>74</v>
      </c>
      <c r="AR2349" s="1" t="s">
        <v>242</v>
      </c>
      <c r="AS2349" s="1" t="s">
        <v>243</v>
      </c>
      <c r="AT2349" s="1" t="s">
        <v>74</v>
      </c>
      <c r="AU2349" s="1">
        <v>2012</v>
      </c>
      <c r="AV2349" s="1">
        <v>65</v>
      </c>
      <c r="AW2349" s="1" t="s">
        <v>37588</v>
      </c>
      <c r="AX2349" s="1" t="s">
        <v>74</v>
      </c>
      <c r="AY2349" s="1" t="s">
        <v>74</v>
      </c>
      <c r="AZ2349" s="1" t="s">
        <v>225</v>
      </c>
      <c r="BA2349" s="1" t="s">
        <v>74</v>
      </c>
      <c r="BB2349" s="1">
        <v>453</v>
      </c>
      <c r="BC2349" s="1">
        <v>462</v>
      </c>
      <c r="BD2349" s="1" t="s">
        <v>74</v>
      </c>
      <c r="BE2349" s="1" t="s">
        <v>37589</v>
      </c>
      <c r="BF2349" s="1" t="str">
        <f>HYPERLINK("http://dx.doi.org/10.1016/j.marpolbul.2011.12.028","http://dx.doi.org/10.1016/j.marpolbul.2011.12.028")</f>
        <v>http://dx.doi.org/10.1016/j.marpolbul.2011.12.028</v>
      </c>
      <c r="BG2349" s="1" t="s">
        <v>74</v>
      </c>
      <c r="BH2349" s="1" t="s">
        <v>74</v>
      </c>
      <c r="BI2349" s="1">
        <v>10</v>
      </c>
      <c r="BJ2349" s="1" t="s">
        <v>247</v>
      </c>
      <c r="BK2349" s="1" t="s">
        <v>96</v>
      </c>
      <c r="BL2349" s="1" t="s">
        <v>248</v>
      </c>
      <c r="BM2349" s="1" t="s">
        <v>37590</v>
      </c>
      <c r="BN2349" s="1">
        <v>22248647</v>
      </c>
      <c r="BO2349" s="1" t="s">
        <v>1752</v>
      </c>
      <c r="BP2349" s="1" t="s">
        <v>74</v>
      </c>
      <c r="BQ2349" s="1" t="s">
        <v>74</v>
      </c>
      <c r="BR2349" s="1" t="s">
        <v>98</v>
      </c>
      <c r="BS2349" s="1" t="s">
        <v>37591</v>
      </c>
      <c r="BT2349" s="1" t="str">
        <f>HYPERLINK("https%3A%2F%2Fwww.webofscience.com%2Fwos%2Fwoscc%2Ffull-record%2FWOS:000309086500005","View Full Record in Web of Science")</f>
        <v>View Full Record in Web of Science</v>
      </c>
      <c r="BU2349" s="1"/>
      <c r="BV2349" s="1"/>
    </row>
    <row r="2350" spans="1:74">
      <c r="A2350" s="1" t="s">
        <v>72</v>
      </c>
      <c r="B2350" s="1" t="s">
        <v>37592</v>
      </c>
      <c r="C2350" s="1" t="s">
        <v>74</v>
      </c>
      <c r="D2350" s="1" t="s">
        <v>74</v>
      </c>
      <c r="E2350" s="1" t="s">
        <v>74</v>
      </c>
      <c r="F2350" s="1" t="s">
        <v>37592</v>
      </c>
      <c r="G2350" s="1" t="s">
        <v>74</v>
      </c>
      <c r="H2350" s="1" t="s">
        <v>74</v>
      </c>
      <c r="I2350" s="1" t="s">
        <v>37593</v>
      </c>
      <c r="J2350" s="1" t="s">
        <v>232</v>
      </c>
      <c r="K2350" s="1" t="s">
        <v>74</v>
      </c>
      <c r="L2350" s="1" t="s">
        <v>74</v>
      </c>
      <c r="M2350" s="1" t="s">
        <v>78</v>
      </c>
      <c r="N2350" s="1" t="s">
        <v>79</v>
      </c>
      <c r="O2350" s="1" t="s">
        <v>74</v>
      </c>
      <c r="P2350" s="1" t="s">
        <v>74</v>
      </c>
      <c r="Q2350" s="1" t="s">
        <v>74</v>
      </c>
      <c r="R2350" s="1" t="s">
        <v>74</v>
      </c>
      <c r="S2350" s="1" t="s">
        <v>74</v>
      </c>
      <c r="T2350" s="1" t="s">
        <v>74</v>
      </c>
      <c r="U2350" s="1" t="s">
        <v>74</v>
      </c>
      <c r="V2350" s="1" t="s">
        <v>37594</v>
      </c>
      <c r="W2350" s="1" t="s">
        <v>74</v>
      </c>
      <c r="X2350" s="1" t="s">
        <v>74</v>
      </c>
      <c r="Y2350" s="1" t="s">
        <v>37595</v>
      </c>
      <c r="Z2350" s="1" t="s">
        <v>74</v>
      </c>
      <c r="AA2350" s="1" t="s">
        <v>74</v>
      </c>
      <c r="AB2350" s="1" t="s">
        <v>74</v>
      </c>
      <c r="AC2350" s="1" t="s">
        <v>74</v>
      </c>
      <c r="AD2350" s="1" t="s">
        <v>74</v>
      </c>
      <c r="AE2350" s="1" t="s">
        <v>74</v>
      </c>
      <c r="AF2350" s="1" t="s">
        <v>74</v>
      </c>
      <c r="AG2350" s="1">
        <v>3</v>
      </c>
      <c r="AH2350" s="1">
        <v>4</v>
      </c>
      <c r="AI2350" s="1">
        <v>4</v>
      </c>
      <c r="AJ2350" s="1">
        <v>0</v>
      </c>
      <c r="AK2350" s="1">
        <v>0</v>
      </c>
      <c r="AL2350" s="1" t="s">
        <v>136</v>
      </c>
      <c r="AM2350" s="1" t="s">
        <v>137</v>
      </c>
      <c r="AN2350" s="1" t="s">
        <v>138</v>
      </c>
      <c r="AO2350" s="1" t="s">
        <v>240</v>
      </c>
      <c r="AP2350" s="1" t="s">
        <v>241</v>
      </c>
      <c r="AQ2350" s="1" t="s">
        <v>74</v>
      </c>
      <c r="AR2350" s="1" t="s">
        <v>242</v>
      </c>
      <c r="AS2350" s="1" t="s">
        <v>243</v>
      </c>
      <c r="AT2350" s="1" t="s">
        <v>74</v>
      </c>
      <c r="AU2350" s="1">
        <v>1983</v>
      </c>
      <c r="AV2350" s="1">
        <v>14</v>
      </c>
      <c r="AW2350" s="1">
        <v>10</v>
      </c>
      <c r="AX2350" s="1" t="s">
        <v>74</v>
      </c>
      <c r="AY2350" s="1" t="s">
        <v>74</v>
      </c>
      <c r="AZ2350" s="1" t="s">
        <v>74</v>
      </c>
      <c r="BA2350" s="1" t="s">
        <v>74</v>
      </c>
      <c r="BB2350" s="1">
        <v>392</v>
      </c>
      <c r="BC2350" s="1">
        <v>394</v>
      </c>
      <c r="BD2350" s="1" t="s">
        <v>74</v>
      </c>
      <c r="BE2350" s="1" t="s">
        <v>37596</v>
      </c>
      <c r="BF2350" s="1" t="str">
        <f>HYPERLINK("http://dx.doi.org/10.1016/0025-326X(83)90605-7","http://dx.doi.org/10.1016/0025-326X(83)90605-7")</f>
        <v>http://dx.doi.org/10.1016/0025-326X(83)90605-7</v>
      </c>
      <c r="BG2350" s="1" t="s">
        <v>74</v>
      </c>
      <c r="BH2350" s="1" t="s">
        <v>74</v>
      </c>
      <c r="BI2350" s="1">
        <v>3</v>
      </c>
      <c r="BJ2350" s="1" t="s">
        <v>247</v>
      </c>
      <c r="BK2350" s="1" t="s">
        <v>96</v>
      </c>
      <c r="BL2350" s="1" t="s">
        <v>248</v>
      </c>
      <c r="BM2350" s="1" t="s">
        <v>37597</v>
      </c>
      <c r="BN2350" s="1" t="s">
        <v>74</v>
      </c>
      <c r="BO2350" s="1" t="s">
        <v>74</v>
      </c>
      <c r="BP2350" s="1" t="s">
        <v>74</v>
      </c>
      <c r="BQ2350" s="1" t="s">
        <v>74</v>
      </c>
      <c r="BR2350" s="1" t="s">
        <v>98</v>
      </c>
      <c r="BS2350" s="1" t="s">
        <v>37598</v>
      </c>
      <c r="BT2350" s="1" t="str">
        <f>HYPERLINK("https%3A%2F%2Fwww.webofscience.com%2Fwos%2Fwoscc%2Ffull-record%2FWOS:A1983RS93800007","View Full Record in Web of Science")</f>
        <v>View Full Record in Web of Science</v>
      </c>
      <c r="BU2350" s="1"/>
      <c r="BV2350" s="1"/>
    </row>
    <row r="2351" spans="1:74">
      <c r="A2351" s="1" t="s">
        <v>72</v>
      </c>
      <c r="B2351" s="1" t="s">
        <v>37599</v>
      </c>
      <c r="C2351" s="1" t="s">
        <v>74</v>
      </c>
      <c r="D2351" s="1" t="s">
        <v>74</v>
      </c>
      <c r="E2351" s="1" t="s">
        <v>74</v>
      </c>
      <c r="F2351" s="1" t="s">
        <v>37599</v>
      </c>
      <c r="G2351" s="1" t="s">
        <v>74</v>
      </c>
      <c r="H2351" s="1" t="s">
        <v>74</v>
      </c>
      <c r="I2351" s="1" t="s">
        <v>37600</v>
      </c>
      <c r="J2351" s="1" t="s">
        <v>1756</v>
      </c>
      <c r="K2351" s="1" t="s">
        <v>74</v>
      </c>
      <c r="L2351" s="1" t="s">
        <v>74</v>
      </c>
      <c r="M2351" s="1" t="s">
        <v>78</v>
      </c>
      <c r="N2351" s="1" t="s">
        <v>79</v>
      </c>
      <c r="O2351" s="1" t="s">
        <v>74</v>
      </c>
      <c r="P2351" s="1" t="s">
        <v>74</v>
      </c>
      <c r="Q2351" s="1" t="s">
        <v>74</v>
      </c>
      <c r="R2351" s="1" t="s">
        <v>74</v>
      </c>
      <c r="S2351" s="1" t="s">
        <v>74</v>
      </c>
      <c r="T2351" s="1" t="s">
        <v>37601</v>
      </c>
      <c r="U2351" s="1" t="s">
        <v>37602</v>
      </c>
      <c r="V2351" s="1" t="s">
        <v>37603</v>
      </c>
      <c r="W2351" s="1" t="s">
        <v>37604</v>
      </c>
      <c r="X2351" s="1" t="s">
        <v>37605</v>
      </c>
      <c r="Y2351" s="1" t="s">
        <v>37606</v>
      </c>
      <c r="Z2351" s="1" t="s">
        <v>37607</v>
      </c>
      <c r="AA2351" s="1" t="s">
        <v>74</v>
      </c>
      <c r="AB2351" s="1" t="s">
        <v>37608</v>
      </c>
      <c r="AC2351" s="1" t="s">
        <v>74</v>
      </c>
      <c r="AD2351" s="1" t="s">
        <v>74</v>
      </c>
      <c r="AE2351" s="1" t="s">
        <v>74</v>
      </c>
      <c r="AF2351" s="1" t="s">
        <v>74</v>
      </c>
      <c r="AG2351" s="1">
        <v>56</v>
      </c>
      <c r="AH2351" s="1">
        <v>37</v>
      </c>
      <c r="AI2351" s="1">
        <v>40</v>
      </c>
      <c r="AJ2351" s="1">
        <v>1</v>
      </c>
      <c r="AK2351" s="1">
        <v>10</v>
      </c>
      <c r="AL2351" s="1" t="s">
        <v>86</v>
      </c>
      <c r="AM2351" s="1" t="s">
        <v>87</v>
      </c>
      <c r="AN2351" s="1" t="s">
        <v>88</v>
      </c>
      <c r="AO2351" s="1" t="s">
        <v>1764</v>
      </c>
      <c r="AP2351" s="1" t="s">
        <v>1765</v>
      </c>
      <c r="AQ2351" s="1" t="s">
        <v>74</v>
      </c>
      <c r="AR2351" s="1" t="s">
        <v>1766</v>
      </c>
      <c r="AS2351" s="1" t="s">
        <v>1767</v>
      </c>
      <c r="AT2351" s="1" t="s">
        <v>951</v>
      </c>
      <c r="AU2351" s="1">
        <v>2002</v>
      </c>
      <c r="AV2351" s="1">
        <v>21</v>
      </c>
      <c r="AW2351" s="1">
        <v>11</v>
      </c>
      <c r="AX2351" s="1" t="s">
        <v>74</v>
      </c>
      <c r="AY2351" s="1" t="s">
        <v>74</v>
      </c>
      <c r="AZ2351" s="1" t="s">
        <v>74</v>
      </c>
      <c r="BA2351" s="1" t="s">
        <v>74</v>
      </c>
      <c r="BB2351" s="1">
        <v>2310</v>
      </c>
      <c r="BC2351" s="1">
        <v>2318</v>
      </c>
      <c r="BD2351" s="1" t="s">
        <v>74</v>
      </c>
      <c r="BE2351" s="1" t="s">
        <v>37609</v>
      </c>
      <c r="BF2351" s="1" t="str">
        <f>HYPERLINK("http://dx.doi.org/10.1002/etc.5620211108","http://dx.doi.org/10.1002/etc.5620211108")</f>
        <v>http://dx.doi.org/10.1002/etc.5620211108</v>
      </c>
      <c r="BG2351" s="1" t="s">
        <v>74</v>
      </c>
      <c r="BH2351" s="1" t="s">
        <v>74</v>
      </c>
      <c r="BI2351" s="1">
        <v>9</v>
      </c>
      <c r="BJ2351" s="1" t="s">
        <v>121</v>
      </c>
      <c r="BK2351" s="1" t="s">
        <v>96</v>
      </c>
      <c r="BL2351" s="1" t="s">
        <v>122</v>
      </c>
      <c r="BM2351" s="1" t="s">
        <v>37610</v>
      </c>
      <c r="BN2351" s="1">
        <v>12389908</v>
      </c>
      <c r="BO2351" s="1" t="s">
        <v>74</v>
      </c>
      <c r="BP2351" s="1" t="s">
        <v>74</v>
      </c>
      <c r="BQ2351" s="1" t="s">
        <v>74</v>
      </c>
      <c r="BR2351" s="1" t="s">
        <v>98</v>
      </c>
      <c r="BS2351" s="1" t="s">
        <v>37611</v>
      </c>
      <c r="BT2351" s="1" t="str">
        <f>HYPERLINK("https%3A%2F%2Fwww.webofscience.com%2Fwos%2Fwoscc%2Ffull-record%2FWOS:000178651200008","View Full Record in Web of Science")</f>
        <v>View Full Record in Web of Science</v>
      </c>
      <c r="BU2351" s="1"/>
      <c r="BV2351" s="1"/>
    </row>
    <row r="2352" spans="1:74">
      <c r="A2352" s="1" t="s">
        <v>72</v>
      </c>
      <c r="B2352" s="1" t="s">
        <v>37612</v>
      </c>
      <c r="C2352" s="1" t="s">
        <v>74</v>
      </c>
      <c r="D2352" s="1" t="s">
        <v>74</v>
      </c>
      <c r="E2352" s="1" t="s">
        <v>74</v>
      </c>
      <c r="F2352" s="1" t="s">
        <v>37613</v>
      </c>
      <c r="G2352" s="1" t="s">
        <v>74</v>
      </c>
      <c r="H2352" s="1" t="s">
        <v>74</v>
      </c>
      <c r="I2352" s="1" t="s">
        <v>37614</v>
      </c>
      <c r="J2352" s="1" t="s">
        <v>421</v>
      </c>
      <c r="K2352" s="1" t="s">
        <v>74</v>
      </c>
      <c r="L2352" s="1" t="s">
        <v>74</v>
      </c>
      <c r="M2352" s="1" t="s">
        <v>78</v>
      </c>
      <c r="N2352" s="1" t="s">
        <v>79</v>
      </c>
      <c r="O2352" s="1" t="s">
        <v>74</v>
      </c>
      <c r="P2352" s="1" t="s">
        <v>74</v>
      </c>
      <c r="Q2352" s="1" t="s">
        <v>74</v>
      </c>
      <c r="R2352" s="1" t="s">
        <v>74</v>
      </c>
      <c r="S2352" s="1" t="s">
        <v>74</v>
      </c>
      <c r="T2352" s="1" t="s">
        <v>37615</v>
      </c>
      <c r="U2352" s="1" t="s">
        <v>37616</v>
      </c>
      <c r="V2352" s="1" t="s">
        <v>37617</v>
      </c>
      <c r="W2352" s="1" t="s">
        <v>37618</v>
      </c>
      <c r="X2352" s="1" t="s">
        <v>37619</v>
      </c>
      <c r="Y2352" s="1" t="s">
        <v>37620</v>
      </c>
      <c r="Z2352" s="1" t="s">
        <v>37621</v>
      </c>
      <c r="AA2352" s="1" t="s">
        <v>37622</v>
      </c>
      <c r="AB2352" s="1" t="s">
        <v>37623</v>
      </c>
      <c r="AC2352" s="1" t="s">
        <v>37624</v>
      </c>
      <c r="AD2352" s="1" t="s">
        <v>37625</v>
      </c>
      <c r="AE2352" s="1" t="s">
        <v>37626</v>
      </c>
      <c r="AF2352" s="1" t="s">
        <v>74</v>
      </c>
      <c r="AG2352" s="1">
        <v>53</v>
      </c>
      <c r="AH2352" s="1">
        <v>6</v>
      </c>
      <c r="AI2352" s="1">
        <v>6</v>
      </c>
      <c r="AJ2352" s="1">
        <v>1</v>
      </c>
      <c r="AK2352" s="1">
        <v>14</v>
      </c>
      <c r="AL2352" s="1" t="s">
        <v>430</v>
      </c>
      <c r="AM2352" s="1" t="s">
        <v>137</v>
      </c>
      <c r="AN2352" s="1" t="s">
        <v>431</v>
      </c>
      <c r="AO2352" s="1" t="s">
        <v>432</v>
      </c>
      <c r="AP2352" s="1" t="s">
        <v>1394</v>
      </c>
      <c r="AQ2352" s="1" t="s">
        <v>74</v>
      </c>
      <c r="AR2352" s="1" t="s">
        <v>433</v>
      </c>
      <c r="AS2352" s="1" t="s">
        <v>434</v>
      </c>
      <c r="AT2352" s="1" t="s">
        <v>8920</v>
      </c>
      <c r="AU2352" s="1">
        <v>2022</v>
      </c>
      <c r="AV2352" s="1">
        <v>312</v>
      </c>
      <c r="AW2352" s="1" t="s">
        <v>74</v>
      </c>
      <c r="AX2352" s="1" t="s">
        <v>74</v>
      </c>
      <c r="AY2352" s="1" t="s">
        <v>74</v>
      </c>
      <c r="AZ2352" s="1" t="s">
        <v>74</v>
      </c>
      <c r="BA2352" s="1" t="s">
        <v>74</v>
      </c>
      <c r="BB2352" s="1" t="s">
        <v>74</v>
      </c>
      <c r="BC2352" s="1" t="s">
        <v>74</v>
      </c>
      <c r="BD2352" s="1">
        <v>120077</v>
      </c>
      <c r="BE2352" s="1" t="s">
        <v>37627</v>
      </c>
      <c r="BF2352" s="1" t="str">
        <f>HYPERLINK("http://dx.doi.org/10.1016/j.envpol.2022.120077","http://dx.doi.org/10.1016/j.envpol.2022.120077")</f>
        <v>http://dx.doi.org/10.1016/j.envpol.2022.120077</v>
      </c>
      <c r="BG2352" s="1" t="s">
        <v>74</v>
      </c>
      <c r="BH2352" s="1" t="s">
        <v>4632</v>
      </c>
      <c r="BI2352" s="1">
        <v>11</v>
      </c>
      <c r="BJ2352" s="1" t="s">
        <v>144</v>
      </c>
      <c r="BK2352" s="1" t="s">
        <v>96</v>
      </c>
      <c r="BL2352" s="1" t="s">
        <v>145</v>
      </c>
      <c r="BM2352" s="1" t="s">
        <v>37628</v>
      </c>
      <c r="BN2352" s="1">
        <v>36057325</v>
      </c>
      <c r="BO2352" s="1" t="s">
        <v>476</v>
      </c>
      <c r="BP2352" s="1" t="s">
        <v>74</v>
      </c>
      <c r="BQ2352" s="1" t="s">
        <v>74</v>
      </c>
      <c r="BR2352" s="1" t="s">
        <v>98</v>
      </c>
      <c r="BS2352" s="1" t="s">
        <v>37629</v>
      </c>
      <c r="BT2352" s="1" t="str">
        <f>HYPERLINK("https%3A%2F%2Fwww.webofscience.com%2Fwos%2Fwoscc%2Ffull-record%2FWOS:000856650300002","View Full Record in Web of Science")</f>
        <v>View Full Record in Web of Science</v>
      </c>
      <c r="BU2352" s="1"/>
      <c r="BV2352" s="1"/>
    </row>
    <row r="2353" spans="1:74">
      <c r="A2353" s="1" t="s">
        <v>72</v>
      </c>
      <c r="B2353" s="1" t="s">
        <v>37630</v>
      </c>
      <c r="C2353" s="1" t="s">
        <v>74</v>
      </c>
      <c r="D2353" s="1" t="s">
        <v>74</v>
      </c>
      <c r="E2353" s="1" t="s">
        <v>74</v>
      </c>
      <c r="F2353" s="1" t="s">
        <v>37631</v>
      </c>
      <c r="G2353" s="1" t="s">
        <v>74</v>
      </c>
      <c r="H2353" s="1" t="s">
        <v>74</v>
      </c>
      <c r="I2353" s="1" t="s">
        <v>37632</v>
      </c>
      <c r="J2353" s="1" t="s">
        <v>16495</v>
      </c>
      <c r="K2353" s="1" t="s">
        <v>74</v>
      </c>
      <c r="L2353" s="1" t="s">
        <v>74</v>
      </c>
      <c r="M2353" s="1" t="s">
        <v>78</v>
      </c>
      <c r="N2353" s="1" t="s">
        <v>79</v>
      </c>
      <c r="O2353" s="1" t="s">
        <v>74</v>
      </c>
      <c r="P2353" s="1" t="s">
        <v>74</v>
      </c>
      <c r="Q2353" s="1" t="s">
        <v>74</v>
      </c>
      <c r="R2353" s="1" t="s">
        <v>74</v>
      </c>
      <c r="S2353" s="1" t="s">
        <v>74</v>
      </c>
      <c r="T2353" s="1" t="s">
        <v>37633</v>
      </c>
      <c r="U2353" s="1" t="s">
        <v>37634</v>
      </c>
      <c r="V2353" s="1" t="s">
        <v>37635</v>
      </c>
      <c r="W2353" s="1" t="s">
        <v>37636</v>
      </c>
      <c r="X2353" s="1" t="s">
        <v>2290</v>
      </c>
      <c r="Y2353" s="1" t="s">
        <v>37637</v>
      </c>
      <c r="Z2353" s="1" t="s">
        <v>37638</v>
      </c>
      <c r="AA2353" s="1" t="s">
        <v>37639</v>
      </c>
      <c r="AB2353" s="1" t="s">
        <v>37640</v>
      </c>
      <c r="AC2353" s="1" t="s">
        <v>37641</v>
      </c>
      <c r="AD2353" s="1" t="s">
        <v>37642</v>
      </c>
      <c r="AE2353" s="1" t="s">
        <v>37643</v>
      </c>
      <c r="AF2353" s="1" t="s">
        <v>74</v>
      </c>
      <c r="AG2353" s="1">
        <v>75</v>
      </c>
      <c r="AH2353" s="1">
        <v>22</v>
      </c>
      <c r="AI2353" s="1">
        <v>22</v>
      </c>
      <c r="AJ2353" s="1">
        <v>1</v>
      </c>
      <c r="AK2353" s="1">
        <v>20</v>
      </c>
      <c r="AL2353" s="1" t="s">
        <v>86</v>
      </c>
      <c r="AM2353" s="1" t="s">
        <v>87</v>
      </c>
      <c r="AN2353" s="1" t="s">
        <v>88</v>
      </c>
      <c r="AO2353" s="1" t="s">
        <v>16506</v>
      </c>
      <c r="AP2353" s="1" t="s">
        <v>16507</v>
      </c>
      <c r="AQ2353" s="1" t="s">
        <v>74</v>
      </c>
      <c r="AR2353" s="1" t="s">
        <v>16508</v>
      </c>
      <c r="AS2353" s="1" t="s">
        <v>16509</v>
      </c>
      <c r="AT2353" s="1" t="s">
        <v>224</v>
      </c>
      <c r="AU2353" s="1">
        <v>2017</v>
      </c>
      <c r="AV2353" s="1">
        <v>28</v>
      </c>
      <c r="AW2353" s="1">
        <v>2</v>
      </c>
      <c r="AX2353" s="1" t="s">
        <v>74</v>
      </c>
      <c r="AY2353" s="1" t="s">
        <v>74</v>
      </c>
      <c r="AZ2353" s="1" t="s">
        <v>74</v>
      </c>
      <c r="BA2353" s="1" t="s">
        <v>74</v>
      </c>
      <c r="BB2353" s="1">
        <v>762</v>
      </c>
      <c r="BC2353" s="1">
        <v>772</v>
      </c>
      <c r="BD2353" s="1" t="s">
        <v>74</v>
      </c>
      <c r="BE2353" s="1" t="s">
        <v>37644</v>
      </c>
      <c r="BF2353" s="1" t="str">
        <f>HYPERLINK("http://dx.doi.org/10.1002/ldr.2634","http://dx.doi.org/10.1002/ldr.2634")</f>
        <v>http://dx.doi.org/10.1002/ldr.2634</v>
      </c>
      <c r="BG2353" s="1" t="s">
        <v>74</v>
      </c>
      <c r="BH2353" s="1" t="s">
        <v>74</v>
      </c>
      <c r="BI2353" s="1">
        <v>11</v>
      </c>
      <c r="BJ2353" s="1" t="s">
        <v>16511</v>
      </c>
      <c r="BK2353" s="1" t="s">
        <v>96</v>
      </c>
      <c r="BL2353" s="1" t="s">
        <v>16512</v>
      </c>
      <c r="BM2353" s="1" t="s">
        <v>37645</v>
      </c>
      <c r="BN2353" s="1" t="s">
        <v>74</v>
      </c>
      <c r="BO2353" s="1" t="s">
        <v>74</v>
      </c>
      <c r="BP2353" s="1" t="s">
        <v>74</v>
      </c>
      <c r="BQ2353" s="1" t="s">
        <v>74</v>
      </c>
      <c r="BR2353" s="1" t="s">
        <v>98</v>
      </c>
      <c r="BS2353" s="1" t="s">
        <v>37646</v>
      </c>
      <c r="BT2353" s="1" t="str">
        <f>HYPERLINK("https%3A%2F%2Fwww.webofscience.com%2Fwos%2Fwoscc%2Ffull-record%2FWOS:000394955500035","View Full Record in Web of Science")</f>
        <v>View Full Record in Web of Science</v>
      </c>
      <c r="BU2353" s="1"/>
      <c r="BV2353" s="1"/>
    </row>
    <row r="2354" spans="1:74">
      <c r="A2354" s="1" t="s">
        <v>72</v>
      </c>
      <c r="B2354" s="1" t="s">
        <v>37647</v>
      </c>
      <c r="C2354" s="1" t="s">
        <v>74</v>
      </c>
      <c r="D2354" s="1" t="s">
        <v>74</v>
      </c>
      <c r="E2354" s="1" t="s">
        <v>74</v>
      </c>
      <c r="F2354" s="1" t="s">
        <v>37648</v>
      </c>
      <c r="G2354" s="1" t="s">
        <v>74</v>
      </c>
      <c r="H2354" s="1" t="s">
        <v>74</v>
      </c>
      <c r="I2354" s="1" t="s">
        <v>37649</v>
      </c>
      <c r="J2354" s="1" t="s">
        <v>19334</v>
      </c>
      <c r="K2354" s="1" t="s">
        <v>74</v>
      </c>
      <c r="L2354" s="1" t="s">
        <v>74</v>
      </c>
      <c r="M2354" s="1" t="s">
        <v>78</v>
      </c>
      <c r="N2354" s="1" t="s">
        <v>79</v>
      </c>
      <c r="O2354" s="1" t="s">
        <v>74</v>
      </c>
      <c r="P2354" s="1" t="s">
        <v>74</v>
      </c>
      <c r="Q2354" s="1" t="s">
        <v>74</v>
      </c>
      <c r="R2354" s="1" t="s">
        <v>74</v>
      </c>
      <c r="S2354" s="1" t="s">
        <v>74</v>
      </c>
      <c r="T2354" s="1" t="s">
        <v>37650</v>
      </c>
      <c r="U2354" s="1" t="s">
        <v>37651</v>
      </c>
      <c r="V2354" s="1" t="s">
        <v>37652</v>
      </c>
      <c r="W2354" s="1" t="s">
        <v>37653</v>
      </c>
      <c r="X2354" s="1" t="s">
        <v>37654</v>
      </c>
      <c r="Y2354" s="1" t="s">
        <v>37655</v>
      </c>
      <c r="Z2354" s="1" t="s">
        <v>37656</v>
      </c>
      <c r="AA2354" s="1" t="s">
        <v>37657</v>
      </c>
      <c r="AB2354" s="1" t="s">
        <v>37658</v>
      </c>
      <c r="AC2354" s="1" t="s">
        <v>37659</v>
      </c>
      <c r="AD2354" s="1" t="s">
        <v>37660</v>
      </c>
      <c r="AE2354" s="1" t="s">
        <v>37661</v>
      </c>
      <c r="AF2354" s="1" t="s">
        <v>74</v>
      </c>
      <c r="AG2354" s="1">
        <v>38</v>
      </c>
      <c r="AH2354" s="1">
        <v>52</v>
      </c>
      <c r="AI2354" s="1">
        <v>56</v>
      </c>
      <c r="AJ2354" s="1">
        <v>15</v>
      </c>
      <c r="AK2354" s="1">
        <v>205</v>
      </c>
      <c r="AL2354" s="1" t="s">
        <v>19345</v>
      </c>
      <c r="AM2354" s="1" t="s">
        <v>1351</v>
      </c>
      <c r="AN2354" s="1" t="s">
        <v>19346</v>
      </c>
      <c r="AO2354" s="1" t="s">
        <v>19347</v>
      </c>
      <c r="AP2354" s="1" t="s">
        <v>19348</v>
      </c>
      <c r="AQ2354" s="1" t="s">
        <v>74</v>
      </c>
      <c r="AR2354" s="1" t="s">
        <v>19349</v>
      </c>
      <c r="AS2354" s="1" t="s">
        <v>19350</v>
      </c>
      <c r="AT2354" s="1" t="s">
        <v>4761</v>
      </c>
      <c r="AU2354" s="1">
        <v>2018</v>
      </c>
      <c r="AV2354" s="1">
        <v>336</v>
      </c>
      <c r="AW2354" s="1" t="s">
        <v>74</v>
      </c>
      <c r="AX2354" s="1" t="s">
        <v>74</v>
      </c>
      <c r="AY2354" s="1" t="s">
        <v>74</v>
      </c>
      <c r="AZ2354" s="1" t="s">
        <v>74</v>
      </c>
      <c r="BA2354" s="1" t="s">
        <v>74</v>
      </c>
      <c r="BB2354" s="1">
        <v>315</v>
      </c>
      <c r="BC2354" s="1">
        <v>324</v>
      </c>
      <c r="BD2354" s="1" t="s">
        <v>74</v>
      </c>
      <c r="BE2354" s="1" t="s">
        <v>37662</v>
      </c>
      <c r="BF2354" s="1" t="str">
        <f>HYPERLINK("http://dx.doi.org/10.1016/j.cej.2017.12.042","http://dx.doi.org/10.1016/j.cej.2017.12.042")</f>
        <v>http://dx.doi.org/10.1016/j.cej.2017.12.042</v>
      </c>
      <c r="BG2354" s="1" t="s">
        <v>74</v>
      </c>
      <c r="BH2354" s="1" t="s">
        <v>74</v>
      </c>
      <c r="BI2354" s="1">
        <v>10</v>
      </c>
      <c r="BJ2354" s="1" t="s">
        <v>3991</v>
      </c>
      <c r="BK2354" s="1" t="s">
        <v>96</v>
      </c>
      <c r="BL2354" s="1" t="s">
        <v>3992</v>
      </c>
      <c r="BM2354" s="1" t="s">
        <v>37663</v>
      </c>
      <c r="BN2354" s="1" t="s">
        <v>74</v>
      </c>
      <c r="BO2354" s="1" t="s">
        <v>9583</v>
      </c>
      <c r="BP2354" s="1" t="s">
        <v>74</v>
      </c>
      <c r="BQ2354" s="1" t="s">
        <v>74</v>
      </c>
      <c r="BR2354" s="1" t="s">
        <v>98</v>
      </c>
      <c r="BS2354" s="1" t="s">
        <v>37664</v>
      </c>
      <c r="BT2354" s="1" t="str">
        <f>HYPERLINK("https%3A%2F%2Fwww.webofscience.com%2Fwos%2Fwoscc%2Ffull-record%2FWOS:000427614800030","View Full Record in Web of Science")</f>
        <v>View Full Record in Web of Science</v>
      </c>
      <c r="BU2354" s="1"/>
      <c r="BV2354" s="1"/>
    </row>
    <row r="2355" spans="1:74">
      <c r="A2355" s="1" t="s">
        <v>72</v>
      </c>
      <c r="B2355" s="1" t="s">
        <v>37665</v>
      </c>
      <c r="C2355" s="1" t="s">
        <v>74</v>
      </c>
      <c r="D2355" s="1" t="s">
        <v>74</v>
      </c>
      <c r="E2355" s="1" t="s">
        <v>74</v>
      </c>
      <c r="F2355" s="1" t="s">
        <v>37666</v>
      </c>
      <c r="G2355" s="1" t="s">
        <v>74</v>
      </c>
      <c r="H2355" s="1" t="s">
        <v>74</v>
      </c>
      <c r="I2355" s="1" t="s">
        <v>37667</v>
      </c>
      <c r="J2355" s="1" t="s">
        <v>37668</v>
      </c>
      <c r="K2355" s="1" t="s">
        <v>74</v>
      </c>
      <c r="L2355" s="1" t="s">
        <v>74</v>
      </c>
      <c r="M2355" s="1" t="s">
        <v>78</v>
      </c>
      <c r="N2355" s="1" t="s">
        <v>79</v>
      </c>
      <c r="O2355" s="1" t="s">
        <v>74</v>
      </c>
      <c r="P2355" s="1" t="s">
        <v>74</v>
      </c>
      <c r="Q2355" s="1" t="s">
        <v>74</v>
      </c>
      <c r="R2355" s="1" t="s">
        <v>74</v>
      </c>
      <c r="S2355" s="1" t="s">
        <v>74</v>
      </c>
      <c r="T2355" s="1" t="s">
        <v>74</v>
      </c>
      <c r="U2355" s="1" t="s">
        <v>37669</v>
      </c>
      <c r="V2355" s="1" t="s">
        <v>37670</v>
      </c>
      <c r="W2355" s="1" t="s">
        <v>37671</v>
      </c>
      <c r="X2355" s="1" t="s">
        <v>22971</v>
      </c>
      <c r="Y2355" s="1" t="s">
        <v>37672</v>
      </c>
      <c r="Z2355" s="1" t="s">
        <v>22973</v>
      </c>
      <c r="AA2355" s="1" t="s">
        <v>37673</v>
      </c>
      <c r="AB2355" s="1" t="s">
        <v>74</v>
      </c>
      <c r="AC2355" s="1" t="s">
        <v>37674</v>
      </c>
      <c r="AD2355" s="1" t="s">
        <v>37675</v>
      </c>
      <c r="AE2355" s="1" t="s">
        <v>37676</v>
      </c>
      <c r="AF2355" s="1" t="s">
        <v>74</v>
      </c>
      <c r="AG2355" s="1">
        <v>42</v>
      </c>
      <c r="AH2355" s="1">
        <v>9</v>
      </c>
      <c r="AI2355" s="1">
        <v>9</v>
      </c>
      <c r="AJ2355" s="1">
        <v>2</v>
      </c>
      <c r="AK2355" s="1">
        <v>99</v>
      </c>
      <c r="AL2355" s="1" t="s">
        <v>261</v>
      </c>
      <c r="AM2355" s="1" t="s">
        <v>262</v>
      </c>
      <c r="AN2355" s="1" t="s">
        <v>19471</v>
      </c>
      <c r="AO2355" s="1" t="s">
        <v>37677</v>
      </c>
      <c r="AP2355" s="1" t="s">
        <v>37678</v>
      </c>
      <c r="AQ2355" s="1" t="s">
        <v>74</v>
      </c>
      <c r="AR2355" s="1" t="s">
        <v>37679</v>
      </c>
      <c r="AS2355" s="1" t="s">
        <v>37680</v>
      </c>
      <c r="AT2355" s="1" t="s">
        <v>37681</v>
      </c>
      <c r="AU2355" s="1">
        <v>2017</v>
      </c>
      <c r="AV2355" s="1">
        <v>5</v>
      </c>
      <c r="AW2355" s="1">
        <v>38</v>
      </c>
      <c r="AX2355" s="1" t="s">
        <v>74</v>
      </c>
      <c r="AY2355" s="1" t="s">
        <v>74</v>
      </c>
      <c r="AZ2355" s="1" t="s">
        <v>74</v>
      </c>
      <c r="BA2355" s="1" t="s">
        <v>74</v>
      </c>
      <c r="BB2355" s="1">
        <v>20448</v>
      </c>
      <c r="BC2355" s="1">
        <v>20457</v>
      </c>
      <c r="BD2355" s="1" t="s">
        <v>74</v>
      </c>
      <c r="BE2355" s="1" t="s">
        <v>37682</v>
      </c>
      <c r="BF2355" s="1" t="str">
        <f>HYPERLINK("http://dx.doi.org/10.1039/c7ta06176e","http://dx.doi.org/10.1039/c7ta06176e")</f>
        <v>http://dx.doi.org/10.1039/c7ta06176e</v>
      </c>
      <c r="BG2355" s="1" t="s">
        <v>74</v>
      </c>
      <c r="BH2355" s="1" t="s">
        <v>74</v>
      </c>
      <c r="BI2355" s="1">
        <v>10</v>
      </c>
      <c r="BJ2355" s="1" t="s">
        <v>37683</v>
      </c>
      <c r="BK2355" s="1" t="s">
        <v>96</v>
      </c>
      <c r="BL2355" s="1" t="s">
        <v>37684</v>
      </c>
      <c r="BM2355" s="1" t="s">
        <v>37685</v>
      </c>
      <c r="BN2355" s="1" t="s">
        <v>74</v>
      </c>
      <c r="BO2355" s="1" t="s">
        <v>74</v>
      </c>
      <c r="BP2355" s="1" t="s">
        <v>74</v>
      </c>
      <c r="BQ2355" s="1" t="s">
        <v>74</v>
      </c>
      <c r="BR2355" s="1" t="s">
        <v>98</v>
      </c>
      <c r="BS2355" s="1" t="s">
        <v>37686</v>
      </c>
      <c r="BT2355" s="1" t="str">
        <f>HYPERLINK("https%3A%2F%2Fwww.webofscience.com%2Fwos%2Fwoscc%2Ffull-record%2FWOS:000412781700040","View Full Record in Web of Science")</f>
        <v>View Full Record in Web of Science</v>
      </c>
      <c r="BU2355" s="1"/>
      <c r="BV2355" s="1"/>
    </row>
    <row r="2356" spans="1:74">
      <c r="A2356" s="1" t="s">
        <v>72</v>
      </c>
      <c r="B2356" s="1" t="s">
        <v>37687</v>
      </c>
      <c r="C2356" s="1" t="s">
        <v>74</v>
      </c>
      <c r="D2356" s="1" t="s">
        <v>74</v>
      </c>
      <c r="E2356" s="1" t="s">
        <v>74</v>
      </c>
      <c r="F2356" s="1" t="s">
        <v>37688</v>
      </c>
      <c r="G2356" s="1" t="s">
        <v>74</v>
      </c>
      <c r="H2356" s="1" t="s">
        <v>74</v>
      </c>
      <c r="I2356" s="1" t="s">
        <v>37689</v>
      </c>
      <c r="J2356" s="1" t="s">
        <v>127</v>
      </c>
      <c r="K2356" s="1" t="s">
        <v>74</v>
      </c>
      <c r="L2356" s="1" t="s">
        <v>74</v>
      </c>
      <c r="M2356" s="1" t="s">
        <v>78</v>
      </c>
      <c r="N2356" s="1" t="s">
        <v>79</v>
      </c>
      <c r="O2356" s="1" t="s">
        <v>74</v>
      </c>
      <c r="P2356" s="1" t="s">
        <v>74</v>
      </c>
      <c r="Q2356" s="1" t="s">
        <v>74</v>
      </c>
      <c r="R2356" s="1" t="s">
        <v>74</v>
      </c>
      <c r="S2356" s="1" t="s">
        <v>74</v>
      </c>
      <c r="T2356" s="1" t="s">
        <v>37690</v>
      </c>
      <c r="U2356" s="1" t="s">
        <v>37691</v>
      </c>
      <c r="V2356" s="1" t="s">
        <v>37692</v>
      </c>
      <c r="W2356" s="1" t="s">
        <v>37693</v>
      </c>
      <c r="X2356" s="1" t="s">
        <v>37694</v>
      </c>
      <c r="Y2356" s="1" t="s">
        <v>37695</v>
      </c>
      <c r="Z2356" s="1" t="s">
        <v>37696</v>
      </c>
      <c r="AA2356" s="1" t="s">
        <v>37697</v>
      </c>
      <c r="AB2356" s="1" t="s">
        <v>37698</v>
      </c>
      <c r="AC2356" s="1" t="s">
        <v>37699</v>
      </c>
      <c r="AD2356" s="1" t="s">
        <v>37700</v>
      </c>
      <c r="AE2356" s="1" t="s">
        <v>37701</v>
      </c>
      <c r="AF2356" s="1" t="s">
        <v>74</v>
      </c>
      <c r="AG2356" s="1">
        <v>54</v>
      </c>
      <c r="AH2356" s="1">
        <v>25</v>
      </c>
      <c r="AI2356" s="1">
        <v>25</v>
      </c>
      <c r="AJ2356" s="1">
        <v>4</v>
      </c>
      <c r="AK2356" s="1">
        <v>38</v>
      </c>
      <c r="AL2356" s="1" t="s">
        <v>136</v>
      </c>
      <c r="AM2356" s="1" t="s">
        <v>137</v>
      </c>
      <c r="AN2356" s="1" t="s">
        <v>138</v>
      </c>
      <c r="AO2356" s="1" t="s">
        <v>139</v>
      </c>
      <c r="AP2356" s="1" t="s">
        <v>140</v>
      </c>
      <c r="AQ2356" s="1" t="s">
        <v>74</v>
      </c>
      <c r="AR2356" s="1" t="s">
        <v>127</v>
      </c>
      <c r="AS2356" s="1" t="s">
        <v>141</v>
      </c>
      <c r="AT2356" s="1" t="s">
        <v>305</v>
      </c>
      <c r="AU2356" s="1">
        <v>2022</v>
      </c>
      <c r="AV2356" s="1">
        <v>303</v>
      </c>
      <c r="AW2356" s="1" t="s">
        <v>74</v>
      </c>
      <c r="AX2356" s="1">
        <v>1</v>
      </c>
      <c r="AY2356" s="1" t="s">
        <v>74</v>
      </c>
      <c r="AZ2356" s="1" t="s">
        <v>74</v>
      </c>
      <c r="BA2356" s="1" t="s">
        <v>74</v>
      </c>
      <c r="BB2356" s="1" t="s">
        <v>74</v>
      </c>
      <c r="BC2356" s="1" t="s">
        <v>74</v>
      </c>
      <c r="BD2356" s="1">
        <v>134918</v>
      </c>
      <c r="BE2356" s="1" t="s">
        <v>37702</v>
      </c>
      <c r="BF2356" s="1" t="str">
        <f>HYPERLINK("http://dx.doi.org/10.1016/j.chemosphere.2022.134918","http://dx.doi.org/10.1016/j.chemosphere.2022.134918")</f>
        <v>http://dx.doi.org/10.1016/j.chemosphere.2022.134918</v>
      </c>
      <c r="BG2356" s="1" t="s">
        <v>74</v>
      </c>
      <c r="BH2356" s="1" t="s">
        <v>2765</v>
      </c>
      <c r="BI2356" s="1">
        <v>9</v>
      </c>
      <c r="BJ2356" s="1" t="s">
        <v>144</v>
      </c>
      <c r="BK2356" s="1" t="s">
        <v>96</v>
      </c>
      <c r="BL2356" s="1" t="s">
        <v>145</v>
      </c>
      <c r="BM2356" s="1" t="s">
        <v>37703</v>
      </c>
      <c r="BN2356" s="1">
        <v>35561765</v>
      </c>
      <c r="BO2356" s="1" t="s">
        <v>74</v>
      </c>
      <c r="BP2356" s="1" t="s">
        <v>74</v>
      </c>
      <c r="BQ2356" s="1" t="s">
        <v>74</v>
      </c>
      <c r="BR2356" s="1" t="s">
        <v>98</v>
      </c>
      <c r="BS2356" s="1" t="s">
        <v>37704</v>
      </c>
      <c r="BT2356" s="1" t="str">
        <f>HYPERLINK("https%3A%2F%2Fwww.webofscience.com%2Fwos%2Fwoscc%2Ffull-record%2FWOS:000803889100001","View Full Record in Web of Science")</f>
        <v>View Full Record in Web of Science</v>
      </c>
      <c r="BU2356" s="1"/>
      <c r="BV2356" s="1"/>
    </row>
    <row r="2357" spans="1:74">
      <c r="A2357" s="1" t="s">
        <v>72</v>
      </c>
      <c r="B2357" s="1" t="s">
        <v>30770</v>
      </c>
      <c r="C2357" s="1" t="s">
        <v>74</v>
      </c>
      <c r="D2357" s="1" t="s">
        <v>74</v>
      </c>
      <c r="E2357" s="1" t="s">
        <v>74</v>
      </c>
      <c r="F2357" s="1" t="s">
        <v>37705</v>
      </c>
      <c r="G2357" s="1" t="s">
        <v>74</v>
      </c>
      <c r="H2357" s="1" t="s">
        <v>74</v>
      </c>
      <c r="I2357" s="1" t="s">
        <v>37706</v>
      </c>
      <c r="J2357" s="1" t="s">
        <v>909</v>
      </c>
      <c r="K2357" s="1" t="s">
        <v>74</v>
      </c>
      <c r="L2357" s="1" t="s">
        <v>74</v>
      </c>
      <c r="M2357" s="1" t="s">
        <v>78</v>
      </c>
      <c r="N2357" s="1" t="s">
        <v>79</v>
      </c>
      <c r="O2357" s="1" t="s">
        <v>74</v>
      </c>
      <c r="P2357" s="1" t="s">
        <v>74</v>
      </c>
      <c r="Q2357" s="1" t="s">
        <v>74</v>
      </c>
      <c r="R2357" s="1" t="s">
        <v>74</v>
      </c>
      <c r="S2357" s="1" t="s">
        <v>74</v>
      </c>
      <c r="T2357" s="1" t="s">
        <v>37707</v>
      </c>
      <c r="U2357" s="1" t="s">
        <v>37708</v>
      </c>
      <c r="V2357" s="1" t="s">
        <v>37709</v>
      </c>
      <c r="W2357" s="1" t="s">
        <v>37710</v>
      </c>
      <c r="X2357" s="1" t="s">
        <v>16093</v>
      </c>
      <c r="Y2357" s="1" t="s">
        <v>37711</v>
      </c>
      <c r="Z2357" s="1" t="s">
        <v>1483</v>
      </c>
      <c r="AA2357" s="1" t="s">
        <v>29552</v>
      </c>
      <c r="AB2357" s="1" t="s">
        <v>29553</v>
      </c>
      <c r="AC2357" s="1" t="s">
        <v>37712</v>
      </c>
      <c r="AD2357" s="1" t="s">
        <v>37713</v>
      </c>
      <c r="AE2357" s="1" t="s">
        <v>37714</v>
      </c>
      <c r="AF2357" s="1" t="s">
        <v>74</v>
      </c>
      <c r="AG2357" s="1">
        <v>54</v>
      </c>
      <c r="AH2357" s="1">
        <v>30</v>
      </c>
      <c r="AI2357" s="1">
        <v>32</v>
      </c>
      <c r="AJ2357" s="1">
        <v>2</v>
      </c>
      <c r="AK2357" s="1">
        <v>61</v>
      </c>
      <c r="AL2357" s="1" t="s">
        <v>919</v>
      </c>
      <c r="AM2357" s="1" t="s">
        <v>651</v>
      </c>
      <c r="AN2357" s="1" t="s">
        <v>920</v>
      </c>
      <c r="AO2357" s="1" t="s">
        <v>921</v>
      </c>
      <c r="AP2357" s="1" t="s">
        <v>922</v>
      </c>
      <c r="AQ2357" s="1" t="s">
        <v>74</v>
      </c>
      <c r="AR2357" s="1" t="s">
        <v>923</v>
      </c>
      <c r="AS2357" s="1" t="s">
        <v>924</v>
      </c>
      <c r="AT2357" s="1" t="s">
        <v>5542</v>
      </c>
      <c r="AU2357" s="1">
        <v>2018</v>
      </c>
      <c r="AV2357" s="1">
        <v>626</v>
      </c>
      <c r="AW2357" s="1" t="s">
        <v>74</v>
      </c>
      <c r="AX2357" s="1" t="s">
        <v>74</v>
      </c>
      <c r="AY2357" s="1" t="s">
        <v>74</v>
      </c>
      <c r="AZ2357" s="1" t="s">
        <v>74</v>
      </c>
      <c r="BA2357" s="1" t="s">
        <v>74</v>
      </c>
      <c r="BB2357" s="1">
        <v>307</v>
      </c>
      <c r="BC2357" s="1">
        <v>318</v>
      </c>
      <c r="BD2357" s="1" t="s">
        <v>74</v>
      </c>
      <c r="BE2357" s="1" t="s">
        <v>37715</v>
      </c>
      <c r="BF2357" s="1" t="str">
        <f>HYPERLINK("http://dx.doi.org/10.1016/j.scitotenv.2018.01.018","http://dx.doi.org/10.1016/j.scitotenv.2018.01.018")</f>
        <v>http://dx.doi.org/10.1016/j.scitotenv.2018.01.018</v>
      </c>
      <c r="BG2357" s="1" t="s">
        <v>74</v>
      </c>
      <c r="BH2357" s="1" t="s">
        <v>74</v>
      </c>
      <c r="BI2357" s="1">
        <v>12</v>
      </c>
      <c r="BJ2357" s="1" t="s">
        <v>144</v>
      </c>
      <c r="BK2357" s="1" t="s">
        <v>96</v>
      </c>
      <c r="BL2357" s="1" t="s">
        <v>145</v>
      </c>
      <c r="BM2357" s="1" t="s">
        <v>37716</v>
      </c>
      <c r="BN2357" s="1">
        <v>29353779</v>
      </c>
      <c r="BO2357" s="1" t="s">
        <v>74</v>
      </c>
      <c r="BP2357" s="1" t="s">
        <v>74</v>
      </c>
      <c r="BQ2357" s="1" t="s">
        <v>74</v>
      </c>
      <c r="BR2357" s="1" t="s">
        <v>98</v>
      </c>
      <c r="BS2357" s="1" t="s">
        <v>37717</v>
      </c>
      <c r="BT2357" s="1" t="str">
        <f>HYPERLINK("https%3A%2F%2Fwww.webofscience.com%2Fwos%2Fwoscc%2Ffull-record%2FWOS:000428194000031","View Full Record in Web of Science")</f>
        <v>View Full Record in Web of Science</v>
      </c>
      <c r="BU2357" s="1"/>
      <c r="BV2357" s="1"/>
    </row>
    <row r="2358" spans="1:74">
      <c r="A2358" s="1" t="s">
        <v>72</v>
      </c>
      <c r="B2358" s="1" t="s">
        <v>37718</v>
      </c>
      <c r="C2358" s="1" t="s">
        <v>74</v>
      </c>
      <c r="D2358" s="1" t="s">
        <v>74</v>
      </c>
      <c r="E2358" s="1" t="s">
        <v>74</v>
      </c>
      <c r="F2358" s="1" t="s">
        <v>37719</v>
      </c>
      <c r="G2358" s="1" t="s">
        <v>74</v>
      </c>
      <c r="H2358" s="1" t="s">
        <v>74</v>
      </c>
      <c r="I2358" s="1" t="s">
        <v>37720</v>
      </c>
      <c r="J2358" s="1" t="s">
        <v>1275</v>
      </c>
      <c r="K2358" s="1" t="s">
        <v>74</v>
      </c>
      <c r="L2358" s="1" t="s">
        <v>74</v>
      </c>
      <c r="M2358" s="1" t="s">
        <v>78</v>
      </c>
      <c r="N2358" s="1" t="s">
        <v>79</v>
      </c>
      <c r="O2358" s="1" t="s">
        <v>74</v>
      </c>
      <c r="P2358" s="1" t="s">
        <v>74</v>
      </c>
      <c r="Q2358" s="1" t="s">
        <v>74</v>
      </c>
      <c r="R2358" s="1" t="s">
        <v>74</v>
      </c>
      <c r="S2358" s="1" t="s">
        <v>74</v>
      </c>
      <c r="T2358" s="1" t="s">
        <v>37721</v>
      </c>
      <c r="U2358" s="1" t="s">
        <v>37722</v>
      </c>
      <c r="V2358" s="1" t="s">
        <v>37723</v>
      </c>
      <c r="W2358" s="1" t="s">
        <v>37724</v>
      </c>
      <c r="X2358" s="1" t="s">
        <v>37725</v>
      </c>
      <c r="Y2358" s="1" t="s">
        <v>37726</v>
      </c>
      <c r="Z2358" s="1" t="s">
        <v>37727</v>
      </c>
      <c r="AA2358" s="1" t="s">
        <v>37728</v>
      </c>
      <c r="AB2358" s="1" t="s">
        <v>37729</v>
      </c>
      <c r="AC2358" s="1" t="s">
        <v>74</v>
      </c>
      <c r="AD2358" s="1" t="s">
        <v>74</v>
      </c>
      <c r="AE2358" s="1" t="s">
        <v>74</v>
      </c>
      <c r="AF2358" s="1" t="s">
        <v>74</v>
      </c>
      <c r="AG2358" s="1">
        <v>46</v>
      </c>
      <c r="AH2358" s="1">
        <v>10</v>
      </c>
      <c r="AI2358" s="1">
        <v>10</v>
      </c>
      <c r="AJ2358" s="1">
        <v>6</v>
      </c>
      <c r="AK2358" s="1">
        <v>36</v>
      </c>
      <c r="AL2358" s="1" t="s">
        <v>650</v>
      </c>
      <c r="AM2358" s="1" t="s">
        <v>651</v>
      </c>
      <c r="AN2358" s="1" t="s">
        <v>652</v>
      </c>
      <c r="AO2358" s="1" t="s">
        <v>1287</v>
      </c>
      <c r="AP2358" s="1" t="s">
        <v>74</v>
      </c>
      <c r="AQ2358" s="1" t="s">
        <v>74</v>
      </c>
      <c r="AR2358" s="1" t="s">
        <v>1288</v>
      </c>
      <c r="AS2358" s="1" t="s">
        <v>1289</v>
      </c>
      <c r="AT2358" s="1" t="s">
        <v>1470</v>
      </c>
      <c r="AU2358" s="1">
        <v>2023</v>
      </c>
      <c r="AV2358" s="1">
        <v>57</v>
      </c>
      <c r="AW2358" s="1" t="s">
        <v>74</v>
      </c>
      <c r="AX2358" s="1" t="s">
        <v>74</v>
      </c>
      <c r="AY2358" s="1" t="s">
        <v>74</v>
      </c>
      <c r="AZ2358" s="1" t="s">
        <v>74</v>
      </c>
      <c r="BA2358" s="1" t="s">
        <v>74</v>
      </c>
      <c r="BB2358" s="1" t="s">
        <v>74</v>
      </c>
      <c r="BC2358" s="1" t="s">
        <v>74</v>
      </c>
      <c r="BD2358" s="1">
        <v>102730</v>
      </c>
      <c r="BE2358" s="1" t="s">
        <v>37730</v>
      </c>
      <c r="BF2358" s="1" t="str">
        <f>HYPERLINK("http://dx.doi.org/10.1016/j.rsma.2022.102730","http://dx.doi.org/10.1016/j.rsma.2022.102730")</f>
        <v>http://dx.doi.org/10.1016/j.rsma.2022.102730</v>
      </c>
      <c r="BG2358" s="1" t="s">
        <v>74</v>
      </c>
      <c r="BH2358" s="1" t="s">
        <v>4283</v>
      </c>
      <c r="BI2358" s="1">
        <v>7</v>
      </c>
      <c r="BJ2358" s="1" t="s">
        <v>1292</v>
      </c>
      <c r="BK2358" s="1" t="s">
        <v>96</v>
      </c>
      <c r="BL2358" s="1" t="s">
        <v>248</v>
      </c>
      <c r="BM2358" s="1" t="s">
        <v>37731</v>
      </c>
      <c r="BN2358" s="1" t="s">
        <v>74</v>
      </c>
      <c r="BO2358" s="1" t="s">
        <v>370</v>
      </c>
      <c r="BP2358" s="1" t="s">
        <v>74</v>
      </c>
      <c r="BQ2358" s="1" t="s">
        <v>74</v>
      </c>
      <c r="BR2358" s="1" t="s">
        <v>98</v>
      </c>
      <c r="BS2358" s="1" t="s">
        <v>37732</v>
      </c>
      <c r="BT2358" s="1" t="str">
        <f>HYPERLINK("https%3A%2F%2Fwww.webofscience.com%2Fwos%2Fwoscc%2Ffull-record%2FWOS:000899954200013","View Full Record in Web of Science")</f>
        <v>View Full Record in Web of Science</v>
      </c>
      <c r="BU2358" s="1"/>
      <c r="BV2358" s="1"/>
    </row>
    <row r="2359" spans="1:74">
      <c r="A2359" s="1" t="s">
        <v>72</v>
      </c>
      <c r="B2359" s="1" t="s">
        <v>37733</v>
      </c>
      <c r="C2359" s="1" t="s">
        <v>74</v>
      </c>
      <c r="D2359" s="1" t="s">
        <v>74</v>
      </c>
      <c r="E2359" s="1" t="s">
        <v>74</v>
      </c>
      <c r="F2359" s="1" t="s">
        <v>37734</v>
      </c>
      <c r="G2359" s="1" t="s">
        <v>74</v>
      </c>
      <c r="H2359" s="1" t="s">
        <v>74</v>
      </c>
      <c r="I2359" s="1" t="s">
        <v>37735</v>
      </c>
      <c r="J2359" s="1" t="s">
        <v>421</v>
      </c>
      <c r="K2359" s="1" t="s">
        <v>74</v>
      </c>
      <c r="L2359" s="1" t="s">
        <v>74</v>
      </c>
      <c r="M2359" s="1" t="s">
        <v>78</v>
      </c>
      <c r="N2359" s="1" t="s">
        <v>79</v>
      </c>
      <c r="O2359" s="1" t="s">
        <v>74</v>
      </c>
      <c r="P2359" s="1" t="s">
        <v>74</v>
      </c>
      <c r="Q2359" s="1" t="s">
        <v>74</v>
      </c>
      <c r="R2359" s="1" t="s">
        <v>74</v>
      </c>
      <c r="S2359" s="1" t="s">
        <v>74</v>
      </c>
      <c r="T2359" s="1" t="s">
        <v>37736</v>
      </c>
      <c r="U2359" s="1" t="s">
        <v>37737</v>
      </c>
      <c r="V2359" s="1" t="s">
        <v>37738</v>
      </c>
      <c r="W2359" s="1" t="s">
        <v>37739</v>
      </c>
      <c r="X2359" s="1" t="s">
        <v>37740</v>
      </c>
      <c r="Y2359" s="1" t="s">
        <v>37741</v>
      </c>
      <c r="Z2359" s="1" t="s">
        <v>37742</v>
      </c>
      <c r="AA2359" s="1" t="s">
        <v>74</v>
      </c>
      <c r="AB2359" s="1" t="s">
        <v>37743</v>
      </c>
      <c r="AC2359" s="1" t="s">
        <v>37744</v>
      </c>
      <c r="AD2359" s="1" t="s">
        <v>37745</v>
      </c>
      <c r="AE2359" s="1" t="s">
        <v>37746</v>
      </c>
      <c r="AF2359" s="1" t="s">
        <v>74</v>
      </c>
      <c r="AG2359" s="1">
        <v>45</v>
      </c>
      <c r="AH2359" s="1">
        <v>0</v>
      </c>
      <c r="AI2359" s="1">
        <v>0</v>
      </c>
      <c r="AJ2359" s="1">
        <v>0</v>
      </c>
      <c r="AK2359" s="1">
        <v>0</v>
      </c>
      <c r="AL2359" s="1" t="s">
        <v>430</v>
      </c>
      <c r="AM2359" s="1" t="s">
        <v>7361</v>
      </c>
      <c r="AN2359" s="1" t="s">
        <v>7362</v>
      </c>
      <c r="AO2359" s="1" t="s">
        <v>432</v>
      </c>
      <c r="AP2359" s="1" t="s">
        <v>1394</v>
      </c>
      <c r="AQ2359" s="1" t="s">
        <v>74</v>
      </c>
      <c r="AR2359" s="1" t="s">
        <v>433</v>
      </c>
      <c r="AS2359" s="1" t="s">
        <v>434</v>
      </c>
      <c r="AT2359" s="1" t="s">
        <v>8920</v>
      </c>
      <c r="AU2359" s="1">
        <v>2024</v>
      </c>
      <c r="AV2359" s="1">
        <v>360</v>
      </c>
      <c r="AW2359" s="1" t="s">
        <v>74</v>
      </c>
      <c r="AX2359" s="1" t="s">
        <v>74</v>
      </c>
      <c r="AY2359" s="1" t="s">
        <v>74</v>
      </c>
      <c r="AZ2359" s="1" t="s">
        <v>74</v>
      </c>
      <c r="BA2359" s="1" t="s">
        <v>74</v>
      </c>
      <c r="BB2359" s="1" t="s">
        <v>74</v>
      </c>
      <c r="BC2359" s="1" t="s">
        <v>74</v>
      </c>
      <c r="BD2359" s="1">
        <v>124709</v>
      </c>
      <c r="BE2359" s="1" t="s">
        <v>37747</v>
      </c>
      <c r="BF2359" s="1" t="str">
        <f>HYPERLINK("http://dx.doi.org/10.1016/j.envpol.2024.124709","http://dx.doi.org/10.1016/j.envpol.2024.124709")</f>
        <v>http://dx.doi.org/10.1016/j.envpol.2024.124709</v>
      </c>
      <c r="BG2359" s="1" t="s">
        <v>74</v>
      </c>
      <c r="BH2359" s="1" t="s">
        <v>74</v>
      </c>
      <c r="BI2359" s="1">
        <v>10</v>
      </c>
      <c r="BJ2359" s="1" t="s">
        <v>144</v>
      </c>
      <c r="BK2359" s="1" t="s">
        <v>96</v>
      </c>
      <c r="BL2359" s="1" t="s">
        <v>145</v>
      </c>
      <c r="BM2359" s="1" t="s">
        <v>37748</v>
      </c>
      <c r="BN2359" s="1">
        <v>39128604</v>
      </c>
      <c r="BO2359" s="1" t="s">
        <v>74</v>
      </c>
      <c r="BP2359" s="1" t="s">
        <v>74</v>
      </c>
      <c r="BQ2359" s="1" t="s">
        <v>74</v>
      </c>
      <c r="BR2359" s="1" t="s">
        <v>98</v>
      </c>
      <c r="BS2359" s="1" t="s">
        <v>37749</v>
      </c>
      <c r="BT2359" s="1" t="str">
        <f>HYPERLINK("https%3A%2F%2Fwww.webofscience.com%2Fwos%2Fwoscc%2Ffull-record%2FWOS:001297909400001","View Full Record in Web of Science")</f>
        <v>View Full Record in Web of Science</v>
      </c>
      <c r="BU2359" s="1"/>
      <c r="BV2359" s="1"/>
    </row>
    <row r="2360" spans="1:74">
      <c r="A2360" s="1" t="s">
        <v>72</v>
      </c>
      <c r="B2360" s="1" t="s">
        <v>37750</v>
      </c>
      <c r="C2360" s="1" t="s">
        <v>74</v>
      </c>
      <c r="D2360" s="1" t="s">
        <v>74</v>
      </c>
      <c r="E2360" s="1" t="s">
        <v>74</v>
      </c>
      <c r="F2360" s="1" t="s">
        <v>37751</v>
      </c>
      <c r="G2360" s="1" t="s">
        <v>74</v>
      </c>
      <c r="H2360" s="1" t="s">
        <v>74</v>
      </c>
      <c r="I2360" s="1" t="s">
        <v>37752</v>
      </c>
      <c r="J2360" s="1" t="s">
        <v>421</v>
      </c>
      <c r="K2360" s="1" t="s">
        <v>74</v>
      </c>
      <c r="L2360" s="1" t="s">
        <v>74</v>
      </c>
      <c r="M2360" s="1" t="s">
        <v>78</v>
      </c>
      <c r="N2360" s="1" t="s">
        <v>79</v>
      </c>
      <c r="O2360" s="1" t="s">
        <v>74</v>
      </c>
      <c r="P2360" s="1" t="s">
        <v>74</v>
      </c>
      <c r="Q2360" s="1" t="s">
        <v>74</v>
      </c>
      <c r="R2360" s="1" t="s">
        <v>74</v>
      </c>
      <c r="S2360" s="1" t="s">
        <v>74</v>
      </c>
      <c r="T2360" s="1" t="s">
        <v>37753</v>
      </c>
      <c r="U2360" s="1" t="s">
        <v>37754</v>
      </c>
      <c r="V2360" s="1" t="s">
        <v>37755</v>
      </c>
      <c r="W2360" s="1" t="s">
        <v>37756</v>
      </c>
      <c r="X2360" s="1" t="s">
        <v>37757</v>
      </c>
      <c r="Y2360" s="1" t="s">
        <v>37758</v>
      </c>
      <c r="Z2360" s="1" t="s">
        <v>37759</v>
      </c>
      <c r="AA2360" s="1" t="s">
        <v>37760</v>
      </c>
      <c r="AB2360" s="1" t="s">
        <v>37761</v>
      </c>
      <c r="AC2360" s="1" t="s">
        <v>37762</v>
      </c>
      <c r="AD2360" s="1" t="s">
        <v>37763</v>
      </c>
      <c r="AE2360" s="1" t="s">
        <v>37764</v>
      </c>
      <c r="AF2360" s="1" t="s">
        <v>74</v>
      </c>
      <c r="AG2360" s="1">
        <v>65</v>
      </c>
      <c r="AH2360" s="1">
        <v>3</v>
      </c>
      <c r="AI2360" s="1">
        <v>3</v>
      </c>
      <c r="AJ2360" s="1">
        <v>3</v>
      </c>
      <c r="AK2360" s="1">
        <v>11</v>
      </c>
      <c r="AL2360" s="1" t="s">
        <v>430</v>
      </c>
      <c r="AM2360" s="1" t="s">
        <v>7361</v>
      </c>
      <c r="AN2360" s="1" t="s">
        <v>7362</v>
      </c>
      <c r="AO2360" s="1" t="s">
        <v>432</v>
      </c>
      <c r="AP2360" s="1" t="s">
        <v>1394</v>
      </c>
      <c r="AQ2360" s="1" t="s">
        <v>74</v>
      </c>
      <c r="AR2360" s="1" t="s">
        <v>433</v>
      </c>
      <c r="AS2360" s="1" t="s">
        <v>434</v>
      </c>
      <c r="AT2360" s="1" t="s">
        <v>8920</v>
      </c>
      <c r="AU2360" s="1">
        <v>2023</v>
      </c>
      <c r="AV2360" s="1">
        <v>336</v>
      </c>
      <c r="AW2360" s="1" t="s">
        <v>74</v>
      </c>
      <c r="AX2360" s="1" t="s">
        <v>74</v>
      </c>
      <c r="AY2360" s="1" t="s">
        <v>74</v>
      </c>
      <c r="AZ2360" s="1" t="s">
        <v>74</v>
      </c>
      <c r="BA2360" s="1" t="s">
        <v>74</v>
      </c>
      <c r="BB2360" s="1" t="s">
        <v>74</v>
      </c>
      <c r="BC2360" s="1" t="s">
        <v>74</v>
      </c>
      <c r="BD2360" s="1">
        <v>122454</v>
      </c>
      <c r="BE2360" s="1" t="s">
        <v>37765</v>
      </c>
      <c r="BF2360" s="1" t="str">
        <f>HYPERLINK("http://dx.doi.org/10.1016/j.envpol.2023.122454","http://dx.doi.org/10.1016/j.envpol.2023.122454")</f>
        <v>http://dx.doi.org/10.1016/j.envpol.2023.122454</v>
      </c>
      <c r="BG2360" s="1" t="s">
        <v>74</v>
      </c>
      <c r="BH2360" s="1" t="s">
        <v>6411</v>
      </c>
      <c r="BI2360" s="1">
        <v>11</v>
      </c>
      <c r="BJ2360" s="1" t="s">
        <v>144</v>
      </c>
      <c r="BK2360" s="1" t="s">
        <v>96</v>
      </c>
      <c r="BL2360" s="1" t="s">
        <v>145</v>
      </c>
      <c r="BM2360" s="1" t="s">
        <v>37766</v>
      </c>
      <c r="BN2360" s="1">
        <v>37640221</v>
      </c>
      <c r="BO2360" s="1" t="s">
        <v>476</v>
      </c>
      <c r="BP2360" s="1" t="s">
        <v>74</v>
      </c>
      <c r="BQ2360" s="1" t="s">
        <v>74</v>
      </c>
      <c r="BR2360" s="1" t="s">
        <v>98</v>
      </c>
      <c r="BS2360" s="1" t="s">
        <v>37767</v>
      </c>
      <c r="BT2360" s="1" t="str">
        <f>HYPERLINK("https%3A%2F%2Fwww.webofscience.com%2Fwos%2Fwoscc%2Ffull-record%2FWOS:001069063900001","View Full Record in Web of Science")</f>
        <v>View Full Record in Web of Science</v>
      </c>
      <c r="BU2360" s="1"/>
      <c r="BV2360" s="1"/>
    </row>
    <row r="2361" spans="1:74">
      <c r="A2361" s="1" t="s">
        <v>72</v>
      </c>
      <c r="B2361" s="1" t="s">
        <v>37768</v>
      </c>
      <c r="C2361" s="1" t="s">
        <v>74</v>
      </c>
      <c r="D2361" s="1" t="s">
        <v>74</v>
      </c>
      <c r="E2361" s="1" t="s">
        <v>74</v>
      </c>
      <c r="F2361" s="1" t="s">
        <v>37769</v>
      </c>
      <c r="G2361" s="1" t="s">
        <v>74</v>
      </c>
      <c r="H2361" s="1" t="s">
        <v>74</v>
      </c>
      <c r="I2361" s="1" t="s">
        <v>37770</v>
      </c>
      <c r="J2361" s="1" t="s">
        <v>909</v>
      </c>
      <c r="K2361" s="1" t="s">
        <v>74</v>
      </c>
      <c r="L2361" s="1" t="s">
        <v>74</v>
      </c>
      <c r="M2361" s="1" t="s">
        <v>78</v>
      </c>
      <c r="N2361" s="1" t="s">
        <v>79</v>
      </c>
      <c r="O2361" s="1" t="s">
        <v>74</v>
      </c>
      <c r="P2361" s="1" t="s">
        <v>74</v>
      </c>
      <c r="Q2361" s="1" t="s">
        <v>74</v>
      </c>
      <c r="R2361" s="1" t="s">
        <v>74</v>
      </c>
      <c r="S2361" s="1" t="s">
        <v>74</v>
      </c>
      <c r="T2361" s="1" t="s">
        <v>37771</v>
      </c>
      <c r="U2361" s="1" t="s">
        <v>37772</v>
      </c>
      <c r="V2361" s="1" t="s">
        <v>37773</v>
      </c>
      <c r="W2361" s="1" t="s">
        <v>37774</v>
      </c>
      <c r="X2361" s="1" t="s">
        <v>37775</v>
      </c>
      <c r="Y2361" s="1" t="s">
        <v>20876</v>
      </c>
      <c r="Z2361" s="1" t="s">
        <v>13012</v>
      </c>
      <c r="AA2361" s="1" t="s">
        <v>37776</v>
      </c>
      <c r="AB2361" s="1" t="s">
        <v>37777</v>
      </c>
      <c r="AC2361" s="1" t="s">
        <v>37778</v>
      </c>
      <c r="AD2361" s="1" t="s">
        <v>37779</v>
      </c>
      <c r="AE2361" s="1" t="s">
        <v>37780</v>
      </c>
      <c r="AF2361" s="1" t="s">
        <v>74</v>
      </c>
      <c r="AG2361" s="1">
        <v>112</v>
      </c>
      <c r="AH2361" s="1">
        <v>22</v>
      </c>
      <c r="AI2361" s="1">
        <v>23</v>
      </c>
      <c r="AJ2361" s="1">
        <v>1</v>
      </c>
      <c r="AK2361" s="1">
        <v>46</v>
      </c>
      <c r="AL2361" s="1" t="s">
        <v>650</v>
      </c>
      <c r="AM2361" s="1" t="s">
        <v>651</v>
      </c>
      <c r="AN2361" s="1" t="s">
        <v>652</v>
      </c>
      <c r="AO2361" s="1" t="s">
        <v>921</v>
      </c>
      <c r="AP2361" s="1" t="s">
        <v>922</v>
      </c>
      <c r="AQ2361" s="1" t="s">
        <v>74</v>
      </c>
      <c r="AR2361" s="1" t="s">
        <v>923</v>
      </c>
      <c r="AS2361" s="1" t="s">
        <v>924</v>
      </c>
      <c r="AT2361" s="1" t="s">
        <v>37781</v>
      </c>
      <c r="AU2361" s="1">
        <v>2021</v>
      </c>
      <c r="AV2361" s="1">
        <v>774</v>
      </c>
      <c r="AW2361" s="1" t="s">
        <v>74</v>
      </c>
      <c r="AX2361" s="1" t="s">
        <v>74</v>
      </c>
      <c r="AY2361" s="1" t="s">
        <v>74</v>
      </c>
      <c r="AZ2361" s="1" t="s">
        <v>74</v>
      </c>
      <c r="BA2361" s="1" t="s">
        <v>74</v>
      </c>
      <c r="BB2361" s="1" t="s">
        <v>74</v>
      </c>
      <c r="BC2361" s="1" t="s">
        <v>74</v>
      </c>
      <c r="BD2361" s="1">
        <v>145195</v>
      </c>
      <c r="BE2361" s="1" t="s">
        <v>37782</v>
      </c>
      <c r="BF2361" s="1" t="str">
        <f>HYPERLINK("http://dx.doi.org/10.1016/j.scitotenv.2021.145195","http://dx.doi.org/10.1016/j.scitotenv.2021.145195")</f>
        <v>http://dx.doi.org/10.1016/j.scitotenv.2021.145195</v>
      </c>
      <c r="BG2361" s="1" t="s">
        <v>74</v>
      </c>
      <c r="BH2361" s="1" t="s">
        <v>4518</v>
      </c>
      <c r="BI2361" s="1">
        <v>18</v>
      </c>
      <c r="BJ2361" s="1" t="s">
        <v>144</v>
      </c>
      <c r="BK2361" s="1" t="s">
        <v>96</v>
      </c>
      <c r="BL2361" s="1" t="s">
        <v>145</v>
      </c>
      <c r="BM2361" s="1" t="s">
        <v>37783</v>
      </c>
      <c r="BN2361" s="1">
        <v>33609850</v>
      </c>
      <c r="BO2361" s="1" t="s">
        <v>74</v>
      </c>
      <c r="BP2361" s="1" t="s">
        <v>74</v>
      </c>
      <c r="BQ2361" s="1" t="s">
        <v>74</v>
      </c>
      <c r="BR2361" s="1" t="s">
        <v>98</v>
      </c>
      <c r="BS2361" s="1" t="s">
        <v>37784</v>
      </c>
      <c r="BT2361" s="1" t="str">
        <f>HYPERLINK("https%3A%2F%2Fwww.webofscience.com%2Fwos%2Fwoscc%2Ffull-record%2FWOS:000641160200011","View Full Record in Web of Science")</f>
        <v>View Full Record in Web of Science</v>
      </c>
      <c r="BU2361" s="1"/>
      <c r="BV2361" s="1"/>
    </row>
    <row r="2362" spans="1:74">
      <c r="A2362" s="1" t="s">
        <v>72</v>
      </c>
      <c r="B2362" s="1" t="s">
        <v>37785</v>
      </c>
      <c r="C2362" s="1" t="s">
        <v>74</v>
      </c>
      <c r="D2362" s="1" t="s">
        <v>74</v>
      </c>
      <c r="E2362" s="1" t="s">
        <v>74</v>
      </c>
      <c r="F2362" s="1" t="s">
        <v>37786</v>
      </c>
      <c r="G2362" s="1" t="s">
        <v>74</v>
      </c>
      <c r="H2362" s="1" t="s">
        <v>74</v>
      </c>
      <c r="I2362" s="1" t="s">
        <v>37787</v>
      </c>
      <c r="J2362" s="1" t="s">
        <v>204</v>
      </c>
      <c r="K2362" s="1" t="s">
        <v>74</v>
      </c>
      <c r="L2362" s="1" t="s">
        <v>74</v>
      </c>
      <c r="M2362" s="1" t="s">
        <v>78</v>
      </c>
      <c r="N2362" s="1" t="s">
        <v>79</v>
      </c>
      <c r="O2362" s="1" t="s">
        <v>74</v>
      </c>
      <c r="P2362" s="1" t="s">
        <v>74</v>
      </c>
      <c r="Q2362" s="1" t="s">
        <v>74</v>
      </c>
      <c r="R2362" s="1" t="s">
        <v>74</v>
      </c>
      <c r="S2362" s="1" t="s">
        <v>74</v>
      </c>
      <c r="T2362" s="1" t="s">
        <v>37788</v>
      </c>
      <c r="U2362" s="1" t="s">
        <v>37789</v>
      </c>
      <c r="V2362" s="1" t="s">
        <v>37790</v>
      </c>
      <c r="W2362" s="1" t="s">
        <v>37791</v>
      </c>
      <c r="X2362" s="1" t="s">
        <v>36088</v>
      </c>
      <c r="Y2362" s="1" t="s">
        <v>36089</v>
      </c>
      <c r="Z2362" s="1" t="s">
        <v>36090</v>
      </c>
      <c r="AA2362" s="1" t="s">
        <v>37792</v>
      </c>
      <c r="AB2362" s="1" t="s">
        <v>74</v>
      </c>
      <c r="AC2362" s="1" t="s">
        <v>37793</v>
      </c>
      <c r="AD2362" s="1" t="s">
        <v>37794</v>
      </c>
      <c r="AE2362" s="1" t="s">
        <v>37795</v>
      </c>
      <c r="AF2362" s="1" t="s">
        <v>74</v>
      </c>
      <c r="AG2362" s="1">
        <v>80</v>
      </c>
      <c r="AH2362" s="1">
        <v>4</v>
      </c>
      <c r="AI2362" s="1">
        <v>4</v>
      </c>
      <c r="AJ2362" s="1">
        <v>2</v>
      </c>
      <c r="AK2362" s="1">
        <v>7</v>
      </c>
      <c r="AL2362" s="1" t="s">
        <v>217</v>
      </c>
      <c r="AM2362" s="1" t="s">
        <v>218</v>
      </c>
      <c r="AN2362" s="1" t="s">
        <v>219</v>
      </c>
      <c r="AO2362" s="1" t="s">
        <v>220</v>
      </c>
      <c r="AP2362" s="1" t="s">
        <v>221</v>
      </c>
      <c r="AQ2362" s="1" t="s">
        <v>74</v>
      </c>
      <c r="AR2362" s="1" t="s">
        <v>222</v>
      </c>
      <c r="AS2362" s="1" t="s">
        <v>223</v>
      </c>
      <c r="AT2362" s="1" t="s">
        <v>119</v>
      </c>
      <c r="AU2362" s="1">
        <v>2022</v>
      </c>
      <c r="AV2362" s="1">
        <v>29</v>
      </c>
      <c r="AW2362" s="1">
        <v>39</v>
      </c>
      <c r="AX2362" s="1" t="s">
        <v>74</v>
      </c>
      <c r="AY2362" s="1" t="s">
        <v>74</v>
      </c>
      <c r="AZ2362" s="1" t="s">
        <v>74</v>
      </c>
      <c r="BA2362" s="1" t="s">
        <v>74</v>
      </c>
      <c r="BB2362" s="1">
        <v>59885</v>
      </c>
      <c r="BC2362" s="1">
        <v>59902</v>
      </c>
      <c r="BD2362" s="1" t="s">
        <v>74</v>
      </c>
      <c r="BE2362" s="1" t="s">
        <v>37796</v>
      </c>
      <c r="BF2362" s="1" t="str">
        <f>HYPERLINK("http://dx.doi.org/10.1007/s11356-022-19999-x","http://dx.doi.org/10.1007/s11356-022-19999-x")</f>
        <v>http://dx.doi.org/10.1007/s11356-022-19999-x</v>
      </c>
      <c r="BG2362" s="1" t="s">
        <v>74</v>
      </c>
      <c r="BH2362" s="1" t="s">
        <v>1291</v>
      </c>
      <c r="BI2362" s="1">
        <v>18</v>
      </c>
      <c r="BJ2362" s="1" t="s">
        <v>144</v>
      </c>
      <c r="BK2362" s="1" t="s">
        <v>96</v>
      </c>
      <c r="BL2362" s="1" t="s">
        <v>145</v>
      </c>
      <c r="BM2362" s="1" t="s">
        <v>37797</v>
      </c>
      <c r="BN2362" s="1">
        <v>35397027</v>
      </c>
      <c r="BO2362" s="1" t="s">
        <v>74</v>
      </c>
      <c r="BP2362" s="1" t="s">
        <v>74</v>
      </c>
      <c r="BQ2362" s="1" t="s">
        <v>74</v>
      </c>
      <c r="BR2362" s="1" t="s">
        <v>98</v>
      </c>
      <c r="BS2362" s="1" t="s">
        <v>37798</v>
      </c>
      <c r="BT2362" s="1" t="str">
        <f>HYPERLINK("https%3A%2F%2Fwww.webofscience.com%2Fwos%2Fwoscc%2Ffull-record%2FWOS:000781246800001","View Full Record in Web of Science")</f>
        <v>View Full Record in Web of Science</v>
      </c>
      <c r="BU2362" s="1"/>
      <c r="BV2362" s="1"/>
    </row>
    <row r="2363" spans="1:74">
      <c r="A2363" s="1" t="s">
        <v>72</v>
      </c>
      <c r="B2363" s="1" t="s">
        <v>37799</v>
      </c>
      <c r="C2363" s="1" t="s">
        <v>74</v>
      </c>
      <c r="D2363" s="1" t="s">
        <v>74</v>
      </c>
      <c r="E2363" s="1" t="s">
        <v>74</v>
      </c>
      <c r="F2363" s="1" t="s">
        <v>37800</v>
      </c>
      <c r="G2363" s="1" t="s">
        <v>74</v>
      </c>
      <c r="H2363" s="1" t="s">
        <v>74</v>
      </c>
      <c r="I2363" s="1" t="s">
        <v>37801</v>
      </c>
      <c r="J2363" s="1" t="s">
        <v>232</v>
      </c>
      <c r="K2363" s="1" t="s">
        <v>74</v>
      </c>
      <c r="L2363" s="1" t="s">
        <v>74</v>
      </c>
      <c r="M2363" s="1" t="s">
        <v>78</v>
      </c>
      <c r="N2363" s="1" t="s">
        <v>79</v>
      </c>
      <c r="O2363" s="1" t="s">
        <v>74</v>
      </c>
      <c r="P2363" s="1" t="s">
        <v>74</v>
      </c>
      <c r="Q2363" s="1" t="s">
        <v>74</v>
      </c>
      <c r="R2363" s="1" t="s">
        <v>74</v>
      </c>
      <c r="S2363" s="1" t="s">
        <v>74</v>
      </c>
      <c r="T2363" s="1" t="s">
        <v>37802</v>
      </c>
      <c r="U2363" s="1" t="s">
        <v>37803</v>
      </c>
      <c r="V2363" s="1" t="s">
        <v>37804</v>
      </c>
      <c r="W2363" s="1" t="s">
        <v>37805</v>
      </c>
      <c r="X2363" s="1" t="s">
        <v>37806</v>
      </c>
      <c r="Y2363" s="1" t="s">
        <v>37807</v>
      </c>
      <c r="Z2363" s="1" t="s">
        <v>37808</v>
      </c>
      <c r="AA2363" s="1" t="s">
        <v>37809</v>
      </c>
      <c r="AB2363" s="1" t="s">
        <v>74</v>
      </c>
      <c r="AC2363" s="1" t="s">
        <v>74</v>
      </c>
      <c r="AD2363" s="1" t="s">
        <v>74</v>
      </c>
      <c r="AE2363" s="1" t="s">
        <v>37810</v>
      </c>
      <c r="AF2363" s="1" t="s">
        <v>74</v>
      </c>
      <c r="AG2363" s="1">
        <v>73</v>
      </c>
      <c r="AH2363" s="1">
        <v>0</v>
      </c>
      <c r="AI2363" s="1">
        <v>0</v>
      </c>
      <c r="AJ2363" s="1">
        <v>1</v>
      </c>
      <c r="AK2363" s="1">
        <v>1</v>
      </c>
      <c r="AL2363" s="1" t="s">
        <v>136</v>
      </c>
      <c r="AM2363" s="1" t="s">
        <v>137</v>
      </c>
      <c r="AN2363" s="1" t="s">
        <v>138</v>
      </c>
      <c r="AO2363" s="1" t="s">
        <v>240</v>
      </c>
      <c r="AP2363" s="1" t="s">
        <v>241</v>
      </c>
      <c r="AQ2363" s="1" t="s">
        <v>74</v>
      </c>
      <c r="AR2363" s="1" t="s">
        <v>242</v>
      </c>
      <c r="AS2363" s="1" t="s">
        <v>243</v>
      </c>
      <c r="AT2363" s="1" t="s">
        <v>170</v>
      </c>
      <c r="AU2363" s="1">
        <v>2024</v>
      </c>
      <c r="AV2363" s="1">
        <v>202</v>
      </c>
      <c r="AW2363" s="1" t="s">
        <v>74</v>
      </c>
      <c r="AX2363" s="1" t="s">
        <v>74</v>
      </c>
      <c r="AY2363" s="1" t="s">
        <v>74</v>
      </c>
      <c r="AZ2363" s="1" t="s">
        <v>74</v>
      </c>
      <c r="BA2363" s="1" t="s">
        <v>74</v>
      </c>
      <c r="BB2363" s="1" t="s">
        <v>74</v>
      </c>
      <c r="BC2363" s="1" t="s">
        <v>74</v>
      </c>
      <c r="BD2363" s="1">
        <v>116367</v>
      </c>
      <c r="BE2363" s="1" t="s">
        <v>37811</v>
      </c>
      <c r="BF2363" s="1" t="str">
        <f>HYPERLINK("http://dx.doi.org/10.1016/j.marpolbul.2024.116367","http://dx.doi.org/10.1016/j.marpolbul.2024.116367")</f>
        <v>http://dx.doi.org/10.1016/j.marpolbul.2024.116367</v>
      </c>
      <c r="BG2363" s="1" t="s">
        <v>74</v>
      </c>
      <c r="BH2363" s="1" t="s">
        <v>9434</v>
      </c>
      <c r="BI2363" s="1">
        <v>10</v>
      </c>
      <c r="BJ2363" s="1" t="s">
        <v>247</v>
      </c>
      <c r="BK2363" s="1" t="s">
        <v>96</v>
      </c>
      <c r="BL2363" s="1" t="s">
        <v>248</v>
      </c>
      <c r="BM2363" s="1" t="s">
        <v>37812</v>
      </c>
      <c r="BN2363" s="1">
        <v>38621353</v>
      </c>
      <c r="BO2363" s="1" t="s">
        <v>74</v>
      </c>
      <c r="BP2363" s="1" t="s">
        <v>74</v>
      </c>
      <c r="BQ2363" s="1" t="s">
        <v>74</v>
      </c>
      <c r="BR2363" s="1" t="s">
        <v>98</v>
      </c>
      <c r="BS2363" s="1" t="s">
        <v>37813</v>
      </c>
      <c r="BT2363" s="1" t="str">
        <f>HYPERLINK("https%3A%2F%2Fwww.webofscience.com%2Fwos%2Fwoscc%2Ffull-record%2FWOS:001287930200001","View Full Record in Web of Science")</f>
        <v>View Full Record in Web of Science</v>
      </c>
      <c r="BU2363" s="1"/>
      <c r="BV2363" s="1"/>
    </row>
    <row r="2364" spans="1:74">
      <c r="A2364" s="1" t="s">
        <v>72</v>
      </c>
      <c r="B2364" s="1" t="s">
        <v>37814</v>
      </c>
      <c r="C2364" s="1" t="s">
        <v>74</v>
      </c>
      <c r="D2364" s="1" t="s">
        <v>74</v>
      </c>
      <c r="E2364" s="1" t="s">
        <v>74</v>
      </c>
      <c r="F2364" s="1" t="s">
        <v>37815</v>
      </c>
      <c r="G2364" s="1" t="s">
        <v>74</v>
      </c>
      <c r="H2364" s="1" t="s">
        <v>74</v>
      </c>
      <c r="I2364" s="1" t="s">
        <v>37816</v>
      </c>
      <c r="J2364" s="1" t="s">
        <v>232</v>
      </c>
      <c r="K2364" s="1" t="s">
        <v>74</v>
      </c>
      <c r="L2364" s="1" t="s">
        <v>74</v>
      </c>
      <c r="M2364" s="1" t="s">
        <v>78</v>
      </c>
      <c r="N2364" s="1" t="s">
        <v>79</v>
      </c>
      <c r="O2364" s="1" t="s">
        <v>74</v>
      </c>
      <c r="P2364" s="1" t="s">
        <v>74</v>
      </c>
      <c r="Q2364" s="1" t="s">
        <v>74</v>
      </c>
      <c r="R2364" s="1" t="s">
        <v>74</v>
      </c>
      <c r="S2364" s="1" t="s">
        <v>74</v>
      </c>
      <c r="T2364" s="1" t="s">
        <v>37817</v>
      </c>
      <c r="U2364" s="1" t="s">
        <v>37818</v>
      </c>
      <c r="V2364" s="1" t="s">
        <v>37819</v>
      </c>
      <c r="W2364" s="1" t="s">
        <v>37820</v>
      </c>
      <c r="X2364" s="1" t="s">
        <v>37821</v>
      </c>
      <c r="Y2364" s="1" t="s">
        <v>37822</v>
      </c>
      <c r="Z2364" s="1" t="s">
        <v>37823</v>
      </c>
      <c r="AA2364" s="1" t="s">
        <v>37824</v>
      </c>
      <c r="AB2364" s="1" t="s">
        <v>37825</v>
      </c>
      <c r="AC2364" s="1" t="s">
        <v>37826</v>
      </c>
      <c r="AD2364" s="1" t="s">
        <v>5926</v>
      </c>
      <c r="AE2364" s="1" t="s">
        <v>37827</v>
      </c>
      <c r="AF2364" s="1" t="s">
        <v>74</v>
      </c>
      <c r="AG2364" s="1">
        <v>49</v>
      </c>
      <c r="AH2364" s="1">
        <v>26</v>
      </c>
      <c r="AI2364" s="1">
        <v>26</v>
      </c>
      <c r="AJ2364" s="1">
        <v>4</v>
      </c>
      <c r="AK2364" s="1">
        <v>34</v>
      </c>
      <c r="AL2364" s="1" t="s">
        <v>136</v>
      </c>
      <c r="AM2364" s="1" t="s">
        <v>137</v>
      </c>
      <c r="AN2364" s="1" t="s">
        <v>138</v>
      </c>
      <c r="AO2364" s="1" t="s">
        <v>240</v>
      </c>
      <c r="AP2364" s="1" t="s">
        <v>241</v>
      </c>
      <c r="AQ2364" s="1" t="s">
        <v>74</v>
      </c>
      <c r="AR2364" s="1" t="s">
        <v>242</v>
      </c>
      <c r="AS2364" s="1" t="s">
        <v>243</v>
      </c>
      <c r="AT2364" s="1" t="s">
        <v>305</v>
      </c>
      <c r="AU2364" s="1">
        <v>2019</v>
      </c>
      <c r="AV2364" s="1">
        <v>146</v>
      </c>
      <c r="AW2364" s="1" t="s">
        <v>74</v>
      </c>
      <c r="AX2364" s="1" t="s">
        <v>74</v>
      </c>
      <c r="AY2364" s="1" t="s">
        <v>74</v>
      </c>
      <c r="AZ2364" s="1" t="s">
        <v>74</v>
      </c>
      <c r="BA2364" s="1" t="s">
        <v>74</v>
      </c>
      <c r="BB2364" s="1">
        <v>1</v>
      </c>
      <c r="BC2364" s="1">
        <v>10</v>
      </c>
      <c r="BD2364" s="1" t="s">
        <v>74</v>
      </c>
      <c r="BE2364" s="1" t="s">
        <v>37828</v>
      </c>
      <c r="BF2364" s="1" t="str">
        <f>HYPERLINK("http://dx.doi.org/10.1016/j.marpolbul.2019.05.044","http://dx.doi.org/10.1016/j.marpolbul.2019.05.044")</f>
        <v>http://dx.doi.org/10.1016/j.marpolbul.2019.05.044</v>
      </c>
      <c r="BG2364" s="1" t="s">
        <v>74</v>
      </c>
      <c r="BH2364" s="1" t="s">
        <v>74</v>
      </c>
      <c r="BI2364" s="1">
        <v>10</v>
      </c>
      <c r="BJ2364" s="1" t="s">
        <v>247</v>
      </c>
      <c r="BK2364" s="1" t="s">
        <v>96</v>
      </c>
      <c r="BL2364" s="1" t="s">
        <v>248</v>
      </c>
      <c r="BM2364" s="1" t="s">
        <v>37829</v>
      </c>
      <c r="BN2364" s="1">
        <v>31426133</v>
      </c>
      <c r="BO2364" s="1" t="s">
        <v>74</v>
      </c>
      <c r="BP2364" s="1" t="s">
        <v>74</v>
      </c>
      <c r="BQ2364" s="1" t="s">
        <v>74</v>
      </c>
      <c r="BR2364" s="1" t="s">
        <v>98</v>
      </c>
      <c r="BS2364" s="1" t="s">
        <v>37830</v>
      </c>
      <c r="BT2364" s="1" t="str">
        <f>HYPERLINK("https%3A%2F%2Fwww.webofscience.com%2Fwos%2Fwoscc%2Ffull-record%2FWOS:000488999000001","View Full Record in Web of Science")</f>
        <v>View Full Record in Web of Science</v>
      </c>
      <c r="BU2364" s="1"/>
      <c r="BV2364" s="1"/>
    </row>
    <row r="2365" spans="1:74">
      <c r="A2365" s="1" t="s">
        <v>72</v>
      </c>
      <c r="B2365" s="1" t="s">
        <v>37831</v>
      </c>
      <c r="C2365" s="1" t="s">
        <v>74</v>
      </c>
      <c r="D2365" s="1" t="s">
        <v>74</v>
      </c>
      <c r="E2365" s="1" t="s">
        <v>74</v>
      </c>
      <c r="F2365" s="1" t="s">
        <v>37832</v>
      </c>
      <c r="G2365" s="1" t="s">
        <v>74</v>
      </c>
      <c r="H2365" s="1" t="s">
        <v>74</v>
      </c>
      <c r="I2365" s="1" t="s">
        <v>37833</v>
      </c>
      <c r="J2365" s="1" t="s">
        <v>12129</v>
      </c>
      <c r="K2365" s="1" t="s">
        <v>74</v>
      </c>
      <c r="L2365" s="1" t="s">
        <v>74</v>
      </c>
      <c r="M2365" s="1" t="s">
        <v>78</v>
      </c>
      <c r="N2365" s="1" t="s">
        <v>79</v>
      </c>
      <c r="O2365" s="1" t="s">
        <v>74</v>
      </c>
      <c r="P2365" s="1" t="s">
        <v>74</v>
      </c>
      <c r="Q2365" s="1" t="s">
        <v>74</v>
      </c>
      <c r="R2365" s="1" t="s">
        <v>74</v>
      </c>
      <c r="S2365" s="1" t="s">
        <v>74</v>
      </c>
      <c r="T2365" s="1" t="s">
        <v>37834</v>
      </c>
      <c r="U2365" s="1" t="s">
        <v>74</v>
      </c>
      <c r="V2365" s="1" t="s">
        <v>37835</v>
      </c>
      <c r="W2365" s="1" t="s">
        <v>37836</v>
      </c>
      <c r="X2365" s="1" t="s">
        <v>37837</v>
      </c>
      <c r="Y2365" s="1" t="s">
        <v>37838</v>
      </c>
      <c r="Z2365" s="1" t="s">
        <v>37839</v>
      </c>
      <c r="AA2365" s="1" t="s">
        <v>37840</v>
      </c>
      <c r="AB2365" s="1" t="s">
        <v>37841</v>
      </c>
      <c r="AC2365" s="1" t="s">
        <v>37842</v>
      </c>
      <c r="AD2365" s="1" t="s">
        <v>37843</v>
      </c>
      <c r="AE2365" s="1" t="s">
        <v>37844</v>
      </c>
      <c r="AF2365" s="1" t="s">
        <v>74</v>
      </c>
      <c r="AG2365" s="1">
        <v>17</v>
      </c>
      <c r="AH2365" s="1">
        <v>1</v>
      </c>
      <c r="AI2365" s="1">
        <v>1</v>
      </c>
      <c r="AJ2365" s="1">
        <v>1</v>
      </c>
      <c r="AK2365" s="1">
        <v>4</v>
      </c>
      <c r="AL2365" s="1" t="s">
        <v>1433</v>
      </c>
      <c r="AM2365" s="1" t="s">
        <v>1434</v>
      </c>
      <c r="AN2365" s="1" t="s">
        <v>1435</v>
      </c>
      <c r="AO2365" s="1" t="s">
        <v>1436</v>
      </c>
      <c r="AP2365" s="1" t="s">
        <v>12141</v>
      </c>
      <c r="AQ2365" s="1" t="s">
        <v>74</v>
      </c>
      <c r="AR2365" s="1" t="s">
        <v>12142</v>
      </c>
      <c r="AS2365" s="1" t="s">
        <v>12143</v>
      </c>
      <c r="AT2365" s="1" t="s">
        <v>224</v>
      </c>
      <c r="AU2365" s="1">
        <v>2016</v>
      </c>
      <c r="AV2365" s="1">
        <v>45</v>
      </c>
      <c r="AW2365" s="1">
        <v>2</v>
      </c>
      <c r="AX2365" s="1" t="s">
        <v>74</v>
      </c>
      <c r="AY2365" s="1" t="s">
        <v>74</v>
      </c>
      <c r="AZ2365" s="1" t="s">
        <v>74</v>
      </c>
      <c r="BA2365" s="1" t="s">
        <v>74</v>
      </c>
      <c r="BB2365" s="1">
        <v>230</v>
      </c>
      <c r="BC2365" s="1">
        <v>232</v>
      </c>
      <c r="BD2365" s="1" t="s">
        <v>74</v>
      </c>
      <c r="BE2365" s="1" t="s">
        <v>74</v>
      </c>
      <c r="BF2365" s="1" t="s">
        <v>74</v>
      </c>
      <c r="BG2365" s="1" t="s">
        <v>74</v>
      </c>
      <c r="BH2365" s="1" t="s">
        <v>74</v>
      </c>
      <c r="BI2365" s="1">
        <v>3</v>
      </c>
      <c r="BJ2365" s="1" t="s">
        <v>1439</v>
      </c>
      <c r="BK2365" s="1" t="s">
        <v>96</v>
      </c>
      <c r="BL2365" s="1" t="s">
        <v>1439</v>
      </c>
      <c r="BM2365" s="1" t="s">
        <v>18338</v>
      </c>
      <c r="BN2365" s="1" t="s">
        <v>74</v>
      </c>
      <c r="BO2365" s="1" t="s">
        <v>74</v>
      </c>
      <c r="BP2365" s="1" t="s">
        <v>74</v>
      </c>
      <c r="BQ2365" s="1" t="s">
        <v>74</v>
      </c>
      <c r="BR2365" s="1" t="s">
        <v>98</v>
      </c>
      <c r="BS2365" s="1" t="s">
        <v>37845</v>
      </c>
      <c r="BT2365" s="1" t="str">
        <f>HYPERLINK("https%3A%2F%2Fwww.webofscience.com%2Fwos%2Fwoscc%2Ffull-record%2FWOS:000380867100006","View Full Record in Web of Science")</f>
        <v>View Full Record in Web of Science</v>
      </c>
      <c r="BU2365" s="1"/>
      <c r="BV2365" s="1"/>
    </row>
    <row r="2366" spans="1:74">
      <c r="A2366" s="1" t="s">
        <v>72</v>
      </c>
      <c r="B2366" s="1" t="s">
        <v>37846</v>
      </c>
      <c r="C2366" s="1" t="s">
        <v>74</v>
      </c>
      <c r="D2366" s="1" t="s">
        <v>74</v>
      </c>
      <c r="E2366" s="1" t="s">
        <v>74</v>
      </c>
      <c r="F2366" s="1" t="s">
        <v>37846</v>
      </c>
      <c r="G2366" s="1" t="s">
        <v>74</v>
      </c>
      <c r="H2366" s="1" t="s">
        <v>74</v>
      </c>
      <c r="I2366" s="1" t="s">
        <v>37847</v>
      </c>
      <c r="J2366" s="1" t="s">
        <v>1254</v>
      </c>
      <c r="K2366" s="1" t="s">
        <v>74</v>
      </c>
      <c r="L2366" s="1" t="s">
        <v>74</v>
      </c>
      <c r="M2366" s="1" t="s">
        <v>78</v>
      </c>
      <c r="N2366" s="1" t="s">
        <v>79</v>
      </c>
      <c r="O2366" s="1" t="s">
        <v>74</v>
      </c>
      <c r="P2366" s="1" t="s">
        <v>74</v>
      </c>
      <c r="Q2366" s="1" t="s">
        <v>74</v>
      </c>
      <c r="R2366" s="1" t="s">
        <v>74</v>
      </c>
      <c r="S2366" s="1" t="s">
        <v>74</v>
      </c>
      <c r="T2366" s="1" t="s">
        <v>37848</v>
      </c>
      <c r="U2366" s="1" t="s">
        <v>37849</v>
      </c>
      <c r="V2366" s="1" t="s">
        <v>37850</v>
      </c>
      <c r="W2366" s="1" t="s">
        <v>37851</v>
      </c>
      <c r="X2366" s="1" t="s">
        <v>18401</v>
      </c>
      <c r="Y2366" s="1" t="s">
        <v>37852</v>
      </c>
      <c r="Z2366" s="1" t="s">
        <v>37853</v>
      </c>
      <c r="AA2366" s="1" t="s">
        <v>74</v>
      </c>
      <c r="AB2366" s="1" t="s">
        <v>37854</v>
      </c>
      <c r="AC2366" s="1" t="s">
        <v>74</v>
      </c>
      <c r="AD2366" s="1" t="s">
        <v>74</v>
      </c>
      <c r="AE2366" s="1" t="s">
        <v>74</v>
      </c>
      <c r="AF2366" s="1" t="s">
        <v>74</v>
      </c>
      <c r="AG2366" s="1">
        <v>23</v>
      </c>
      <c r="AH2366" s="1">
        <v>25</v>
      </c>
      <c r="AI2366" s="1">
        <v>31</v>
      </c>
      <c r="AJ2366" s="1">
        <v>0</v>
      </c>
      <c r="AK2366" s="1">
        <v>9</v>
      </c>
      <c r="AL2366" s="1" t="s">
        <v>136</v>
      </c>
      <c r="AM2366" s="1" t="s">
        <v>137</v>
      </c>
      <c r="AN2366" s="1" t="s">
        <v>138</v>
      </c>
      <c r="AO2366" s="1" t="s">
        <v>1264</v>
      </c>
      <c r="AP2366" s="1" t="s">
        <v>74</v>
      </c>
      <c r="AQ2366" s="1" t="s">
        <v>74</v>
      </c>
      <c r="AR2366" s="1" t="s">
        <v>1266</v>
      </c>
      <c r="AS2366" s="1" t="s">
        <v>1267</v>
      </c>
      <c r="AT2366" s="1" t="s">
        <v>267</v>
      </c>
      <c r="AU2366" s="1">
        <v>2004</v>
      </c>
      <c r="AV2366" s="1">
        <v>30</v>
      </c>
      <c r="AW2366" s="1">
        <v>8</v>
      </c>
      <c r="AX2366" s="1" t="s">
        <v>74</v>
      </c>
      <c r="AY2366" s="1" t="s">
        <v>74</v>
      </c>
      <c r="AZ2366" s="1" t="s">
        <v>74</v>
      </c>
      <c r="BA2366" s="1" t="s">
        <v>74</v>
      </c>
      <c r="BB2366" s="1">
        <v>1019</v>
      </c>
      <c r="BC2366" s="1">
        <v>1025</v>
      </c>
      <c r="BD2366" s="1" t="s">
        <v>74</v>
      </c>
      <c r="BE2366" s="1" t="s">
        <v>37855</v>
      </c>
      <c r="BF2366" s="1" t="str">
        <f>HYPERLINK("http://dx.doi.org/10.1016/j.envint.2004.05.001","http://dx.doi.org/10.1016/j.envint.2004.05.001")</f>
        <v>http://dx.doi.org/10.1016/j.envint.2004.05.001</v>
      </c>
      <c r="BG2366" s="1" t="s">
        <v>74</v>
      </c>
      <c r="BH2366" s="1" t="s">
        <v>74</v>
      </c>
      <c r="BI2366" s="1">
        <v>7</v>
      </c>
      <c r="BJ2366" s="1" t="s">
        <v>144</v>
      </c>
      <c r="BK2366" s="1" t="s">
        <v>96</v>
      </c>
      <c r="BL2366" s="1" t="s">
        <v>145</v>
      </c>
      <c r="BM2366" s="1" t="s">
        <v>37856</v>
      </c>
      <c r="BN2366" s="1">
        <v>15337347</v>
      </c>
      <c r="BO2366" s="1" t="s">
        <v>810</v>
      </c>
      <c r="BP2366" s="1" t="s">
        <v>74</v>
      </c>
      <c r="BQ2366" s="1" t="s">
        <v>74</v>
      </c>
      <c r="BR2366" s="1" t="s">
        <v>98</v>
      </c>
      <c r="BS2366" s="1" t="s">
        <v>37857</v>
      </c>
      <c r="BT2366" s="1" t="str">
        <f>HYPERLINK("https%3A%2F%2Fwww.webofscience.com%2Fwos%2Fwoscc%2Ffull-record%2FWOS:000223874300003","View Full Record in Web of Science")</f>
        <v>View Full Record in Web of Science</v>
      </c>
      <c r="BU2366" s="1"/>
      <c r="BV2366" s="1"/>
    </row>
    <row r="2367" spans="1:74">
      <c r="A2367" s="1" t="s">
        <v>72</v>
      </c>
      <c r="B2367" s="1" t="s">
        <v>37858</v>
      </c>
      <c r="C2367" s="1" t="s">
        <v>74</v>
      </c>
      <c r="D2367" s="1" t="s">
        <v>74</v>
      </c>
      <c r="E2367" s="1" t="s">
        <v>74</v>
      </c>
      <c r="F2367" s="1" t="s">
        <v>37859</v>
      </c>
      <c r="G2367" s="1" t="s">
        <v>74</v>
      </c>
      <c r="H2367" s="1" t="s">
        <v>74</v>
      </c>
      <c r="I2367" s="1" t="s">
        <v>37860</v>
      </c>
      <c r="J2367" s="1" t="s">
        <v>232</v>
      </c>
      <c r="K2367" s="1" t="s">
        <v>74</v>
      </c>
      <c r="L2367" s="1" t="s">
        <v>74</v>
      </c>
      <c r="M2367" s="1" t="s">
        <v>78</v>
      </c>
      <c r="N2367" s="1" t="s">
        <v>79</v>
      </c>
      <c r="O2367" s="1" t="s">
        <v>74</v>
      </c>
      <c r="P2367" s="1" t="s">
        <v>74</v>
      </c>
      <c r="Q2367" s="1" t="s">
        <v>74</v>
      </c>
      <c r="R2367" s="1" t="s">
        <v>74</v>
      </c>
      <c r="S2367" s="1" t="s">
        <v>74</v>
      </c>
      <c r="T2367" s="1" t="s">
        <v>37861</v>
      </c>
      <c r="U2367" s="1" t="s">
        <v>37862</v>
      </c>
      <c r="V2367" s="1" t="s">
        <v>37863</v>
      </c>
      <c r="W2367" s="1" t="s">
        <v>37864</v>
      </c>
      <c r="X2367" s="1" t="s">
        <v>37865</v>
      </c>
      <c r="Y2367" s="1" t="s">
        <v>37866</v>
      </c>
      <c r="Z2367" s="1" t="s">
        <v>37867</v>
      </c>
      <c r="AA2367" s="1" t="s">
        <v>74</v>
      </c>
      <c r="AB2367" s="1" t="s">
        <v>74</v>
      </c>
      <c r="AC2367" s="1" t="s">
        <v>74</v>
      </c>
      <c r="AD2367" s="1" t="s">
        <v>74</v>
      </c>
      <c r="AE2367" s="1" t="s">
        <v>37868</v>
      </c>
      <c r="AF2367" s="1" t="s">
        <v>74</v>
      </c>
      <c r="AG2367" s="1">
        <v>69</v>
      </c>
      <c r="AH2367" s="1">
        <v>0</v>
      </c>
      <c r="AI2367" s="1">
        <v>0</v>
      </c>
      <c r="AJ2367" s="1">
        <v>0</v>
      </c>
      <c r="AK2367" s="1">
        <v>0</v>
      </c>
      <c r="AL2367" s="1" t="s">
        <v>136</v>
      </c>
      <c r="AM2367" s="1" t="s">
        <v>137</v>
      </c>
      <c r="AN2367" s="1" t="s">
        <v>138</v>
      </c>
      <c r="AO2367" s="1" t="s">
        <v>240</v>
      </c>
      <c r="AP2367" s="1" t="s">
        <v>241</v>
      </c>
      <c r="AQ2367" s="1" t="s">
        <v>74</v>
      </c>
      <c r="AR2367" s="1" t="s">
        <v>242</v>
      </c>
      <c r="AS2367" s="1" t="s">
        <v>243</v>
      </c>
      <c r="AT2367" s="1" t="s">
        <v>170</v>
      </c>
      <c r="AU2367" s="1">
        <v>2024</v>
      </c>
      <c r="AV2367" s="1">
        <v>202</v>
      </c>
      <c r="AW2367" s="1" t="s">
        <v>74</v>
      </c>
      <c r="AX2367" s="1" t="s">
        <v>74</v>
      </c>
      <c r="AY2367" s="1" t="s">
        <v>74</v>
      </c>
      <c r="AZ2367" s="1" t="s">
        <v>74</v>
      </c>
      <c r="BA2367" s="1" t="s">
        <v>74</v>
      </c>
      <c r="BB2367" s="1" t="s">
        <v>74</v>
      </c>
      <c r="BC2367" s="1" t="s">
        <v>74</v>
      </c>
      <c r="BD2367" s="1">
        <v>116366</v>
      </c>
      <c r="BE2367" s="1" t="s">
        <v>37869</v>
      </c>
      <c r="BF2367" s="1" t="str">
        <f>HYPERLINK("http://dx.doi.org/10.1016/j.marpolbul.2024.116366","http://dx.doi.org/10.1016/j.marpolbul.2024.116366")</f>
        <v>http://dx.doi.org/10.1016/j.marpolbul.2024.116366</v>
      </c>
      <c r="BG2367" s="1" t="s">
        <v>74</v>
      </c>
      <c r="BH2367" s="1" t="s">
        <v>9434</v>
      </c>
      <c r="BI2367" s="1">
        <v>9</v>
      </c>
      <c r="BJ2367" s="1" t="s">
        <v>247</v>
      </c>
      <c r="BK2367" s="1" t="s">
        <v>96</v>
      </c>
      <c r="BL2367" s="1" t="s">
        <v>248</v>
      </c>
      <c r="BM2367" s="1" t="s">
        <v>37870</v>
      </c>
      <c r="BN2367" s="1">
        <v>38621355</v>
      </c>
      <c r="BO2367" s="1" t="s">
        <v>74</v>
      </c>
      <c r="BP2367" s="1" t="s">
        <v>74</v>
      </c>
      <c r="BQ2367" s="1" t="s">
        <v>74</v>
      </c>
      <c r="BR2367" s="1" t="s">
        <v>98</v>
      </c>
      <c r="BS2367" s="1" t="s">
        <v>37871</v>
      </c>
      <c r="BT2367" s="1" t="str">
        <f>HYPERLINK("https%3A%2F%2Fwww.webofscience.com%2Fwos%2Fwoscc%2Ffull-record%2FWOS:001287321000001","View Full Record in Web of Science")</f>
        <v>View Full Record in Web of Science</v>
      </c>
      <c r="BU2367" s="1"/>
      <c r="BV2367" s="1"/>
    </row>
    <row r="2368" spans="1:74">
      <c r="A2368" s="1" t="s">
        <v>72</v>
      </c>
      <c r="B2368" s="1" t="s">
        <v>37872</v>
      </c>
      <c r="C2368" s="1" t="s">
        <v>74</v>
      </c>
      <c r="D2368" s="1" t="s">
        <v>74</v>
      </c>
      <c r="E2368" s="1" t="s">
        <v>74</v>
      </c>
      <c r="F2368" s="1" t="s">
        <v>37873</v>
      </c>
      <c r="G2368" s="1" t="s">
        <v>74</v>
      </c>
      <c r="H2368" s="1" t="s">
        <v>74</v>
      </c>
      <c r="I2368" s="1" t="s">
        <v>37874</v>
      </c>
      <c r="J2368" s="1" t="s">
        <v>641</v>
      </c>
      <c r="K2368" s="1" t="s">
        <v>74</v>
      </c>
      <c r="L2368" s="1" t="s">
        <v>74</v>
      </c>
      <c r="M2368" s="1" t="s">
        <v>78</v>
      </c>
      <c r="N2368" s="1" t="s">
        <v>79</v>
      </c>
      <c r="O2368" s="1" t="s">
        <v>74</v>
      </c>
      <c r="P2368" s="1" t="s">
        <v>74</v>
      </c>
      <c r="Q2368" s="1" t="s">
        <v>74</v>
      </c>
      <c r="R2368" s="1" t="s">
        <v>74</v>
      </c>
      <c r="S2368" s="1" t="s">
        <v>74</v>
      </c>
      <c r="T2368" s="1" t="s">
        <v>37875</v>
      </c>
      <c r="U2368" s="1" t="s">
        <v>37876</v>
      </c>
      <c r="V2368" s="1" t="s">
        <v>37877</v>
      </c>
      <c r="W2368" s="1" t="s">
        <v>37878</v>
      </c>
      <c r="X2368" s="1" t="s">
        <v>37879</v>
      </c>
      <c r="Y2368" s="1" t="s">
        <v>37880</v>
      </c>
      <c r="Z2368" s="1" t="s">
        <v>37881</v>
      </c>
      <c r="AA2368" s="1" t="s">
        <v>37882</v>
      </c>
      <c r="AB2368" s="1" t="s">
        <v>37883</v>
      </c>
      <c r="AC2368" s="1" t="s">
        <v>74</v>
      </c>
      <c r="AD2368" s="1" t="s">
        <v>74</v>
      </c>
      <c r="AE2368" s="1" t="s">
        <v>74</v>
      </c>
      <c r="AF2368" s="1" t="s">
        <v>74</v>
      </c>
      <c r="AG2368" s="1">
        <v>88</v>
      </c>
      <c r="AH2368" s="1">
        <v>3</v>
      </c>
      <c r="AI2368" s="1">
        <v>3</v>
      </c>
      <c r="AJ2368" s="1">
        <v>8</v>
      </c>
      <c r="AK2368" s="1">
        <v>28</v>
      </c>
      <c r="AL2368" s="1" t="s">
        <v>650</v>
      </c>
      <c r="AM2368" s="1" t="s">
        <v>651</v>
      </c>
      <c r="AN2368" s="1" t="s">
        <v>652</v>
      </c>
      <c r="AO2368" s="1" t="s">
        <v>653</v>
      </c>
      <c r="AP2368" s="1" t="s">
        <v>654</v>
      </c>
      <c r="AQ2368" s="1" t="s">
        <v>74</v>
      </c>
      <c r="AR2368" s="1" t="s">
        <v>655</v>
      </c>
      <c r="AS2368" s="1" t="s">
        <v>656</v>
      </c>
      <c r="AT2368" s="1" t="s">
        <v>142</v>
      </c>
      <c r="AU2368" s="1">
        <v>2023</v>
      </c>
      <c r="AV2368" s="1">
        <v>259</v>
      </c>
      <c r="AW2368" s="1" t="s">
        <v>74</v>
      </c>
      <c r="AX2368" s="1" t="s">
        <v>74</v>
      </c>
      <c r="AY2368" s="1" t="s">
        <v>74</v>
      </c>
      <c r="AZ2368" s="1" t="s">
        <v>74</v>
      </c>
      <c r="BA2368" s="1" t="s">
        <v>74</v>
      </c>
      <c r="BB2368" s="1" t="s">
        <v>74</v>
      </c>
      <c r="BC2368" s="1" t="s">
        <v>74</v>
      </c>
      <c r="BD2368" s="1">
        <v>106544</v>
      </c>
      <c r="BE2368" s="1" t="s">
        <v>37884</v>
      </c>
      <c r="BF2368" s="1" t="str">
        <f>HYPERLINK("http://dx.doi.org/10.1016/j.aquatox.2023.106544","http://dx.doi.org/10.1016/j.aquatox.2023.106544")</f>
        <v>http://dx.doi.org/10.1016/j.aquatox.2023.106544</v>
      </c>
      <c r="BG2368" s="1" t="s">
        <v>74</v>
      </c>
      <c r="BH2368" s="1" t="s">
        <v>2259</v>
      </c>
      <c r="BI2368" s="1">
        <v>12</v>
      </c>
      <c r="BJ2368" s="1" t="s">
        <v>659</v>
      </c>
      <c r="BK2368" s="1" t="s">
        <v>96</v>
      </c>
      <c r="BL2368" s="1" t="s">
        <v>659</v>
      </c>
      <c r="BM2368" s="1" t="s">
        <v>37885</v>
      </c>
      <c r="BN2368" s="1">
        <v>37105865</v>
      </c>
      <c r="BO2368" s="1" t="s">
        <v>74</v>
      </c>
      <c r="BP2368" s="1" t="s">
        <v>74</v>
      </c>
      <c r="BQ2368" s="1" t="s">
        <v>74</v>
      </c>
      <c r="BR2368" s="1" t="s">
        <v>98</v>
      </c>
      <c r="BS2368" s="1" t="s">
        <v>37886</v>
      </c>
      <c r="BT2368" s="1" t="str">
        <f>HYPERLINK("https%3A%2F%2Fwww.webofscience.com%2Fwos%2Fwoscc%2Ffull-record%2FWOS:001001234600001","View Full Record in Web of Science")</f>
        <v>View Full Record in Web of Science</v>
      </c>
      <c r="BU2368" s="1"/>
      <c r="BV2368" s="1"/>
    </row>
    <row r="2369" spans="1:74">
      <c r="A2369" s="1" t="s">
        <v>72</v>
      </c>
      <c r="B2369" s="1" t="s">
        <v>37887</v>
      </c>
      <c r="C2369" s="1" t="s">
        <v>74</v>
      </c>
      <c r="D2369" s="1" t="s">
        <v>74</v>
      </c>
      <c r="E2369" s="1" t="s">
        <v>74</v>
      </c>
      <c r="F2369" s="1" t="s">
        <v>37888</v>
      </c>
      <c r="G2369" s="1" t="s">
        <v>74</v>
      </c>
      <c r="H2369" s="1" t="s">
        <v>74</v>
      </c>
      <c r="I2369" s="1" t="s">
        <v>37889</v>
      </c>
      <c r="J2369" s="1" t="s">
        <v>37890</v>
      </c>
      <c r="K2369" s="1" t="s">
        <v>74</v>
      </c>
      <c r="L2369" s="1" t="s">
        <v>74</v>
      </c>
      <c r="M2369" s="1" t="s">
        <v>78</v>
      </c>
      <c r="N2369" s="1" t="s">
        <v>79</v>
      </c>
      <c r="O2369" s="1" t="s">
        <v>74</v>
      </c>
      <c r="P2369" s="1" t="s">
        <v>74</v>
      </c>
      <c r="Q2369" s="1" t="s">
        <v>74</v>
      </c>
      <c r="R2369" s="1" t="s">
        <v>74</v>
      </c>
      <c r="S2369" s="1" t="s">
        <v>74</v>
      </c>
      <c r="T2369" s="1" t="s">
        <v>37891</v>
      </c>
      <c r="U2369" s="1" t="s">
        <v>37892</v>
      </c>
      <c r="V2369" s="1" t="s">
        <v>37893</v>
      </c>
      <c r="W2369" s="1" t="s">
        <v>37894</v>
      </c>
      <c r="X2369" s="1" t="s">
        <v>37895</v>
      </c>
      <c r="Y2369" s="1" t="s">
        <v>37896</v>
      </c>
      <c r="Z2369" s="1" t="s">
        <v>37897</v>
      </c>
      <c r="AA2369" s="1" t="s">
        <v>37898</v>
      </c>
      <c r="AB2369" s="1" t="s">
        <v>37899</v>
      </c>
      <c r="AC2369" s="1" t="s">
        <v>37900</v>
      </c>
      <c r="AD2369" s="1" t="s">
        <v>37901</v>
      </c>
      <c r="AE2369" s="1" t="s">
        <v>37902</v>
      </c>
      <c r="AF2369" s="1" t="s">
        <v>74</v>
      </c>
      <c r="AG2369" s="1">
        <v>47</v>
      </c>
      <c r="AH2369" s="1">
        <v>57</v>
      </c>
      <c r="AI2369" s="1">
        <v>57</v>
      </c>
      <c r="AJ2369" s="1">
        <v>11</v>
      </c>
      <c r="AK2369" s="1">
        <v>249</v>
      </c>
      <c r="AL2369" s="1" t="s">
        <v>112</v>
      </c>
      <c r="AM2369" s="1" t="s">
        <v>191</v>
      </c>
      <c r="AN2369" s="1" t="s">
        <v>192</v>
      </c>
      <c r="AO2369" s="1" t="s">
        <v>37903</v>
      </c>
      <c r="AP2369" s="1" t="s">
        <v>37904</v>
      </c>
      <c r="AQ2369" s="1" t="s">
        <v>74</v>
      </c>
      <c r="AR2369" s="1" t="s">
        <v>37890</v>
      </c>
      <c r="AS2369" s="1" t="s">
        <v>37905</v>
      </c>
      <c r="AT2369" s="1" t="s">
        <v>765</v>
      </c>
      <c r="AU2369" s="1">
        <v>2019</v>
      </c>
      <c r="AV2369" s="1">
        <v>26</v>
      </c>
      <c r="AW2369" s="1">
        <v>11</v>
      </c>
      <c r="AX2369" s="1" t="s">
        <v>74</v>
      </c>
      <c r="AY2369" s="1" t="s">
        <v>74</v>
      </c>
      <c r="AZ2369" s="1" t="s">
        <v>74</v>
      </c>
      <c r="BA2369" s="1" t="s">
        <v>74</v>
      </c>
      <c r="BB2369" s="1">
        <v>6401</v>
      </c>
      <c r="BC2369" s="1">
        <v>6414</v>
      </c>
      <c r="BD2369" s="1" t="s">
        <v>74</v>
      </c>
      <c r="BE2369" s="1" t="s">
        <v>37906</v>
      </c>
      <c r="BF2369" s="1" t="str">
        <f>HYPERLINK("http://dx.doi.org/10.1007/s10570-019-02529-3","http://dx.doi.org/10.1007/s10570-019-02529-3")</f>
        <v>http://dx.doi.org/10.1007/s10570-019-02529-3</v>
      </c>
      <c r="BG2369" s="1" t="s">
        <v>74</v>
      </c>
      <c r="BH2369" s="1" t="s">
        <v>74</v>
      </c>
      <c r="BI2369" s="1">
        <v>14</v>
      </c>
      <c r="BJ2369" s="1" t="s">
        <v>37907</v>
      </c>
      <c r="BK2369" s="1" t="s">
        <v>96</v>
      </c>
      <c r="BL2369" s="1" t="s">
        <v>25534</v>
      </c>
      <c r="BM2369" s="1" t="s">
        <v>37908</v>
      </c>
      <c r="BN2369" s="1" t="s">
        <v>74</v>
      </c>
      <c r="BO2369" s="1" t="s">
        <v>74</v>
      </c>
      <c r="BP2369" s="1" t="s">
        <v>74</v>
      </c>
      <c r="BQ2369" s="1" t="s">
        <v>74</v>
      </c>
      <c r="BR2369" s="1" t="s">
        <v>98</v>
      </c>
      <c r="BS2369" s="1" t="s">
        <v>37909</v>
      </c>
      <c r="BT2369" s="1" t="str">
        <f>HYPERLINK("https%3A%2F%2Fwww.webofscience.com%2Fwos%2Fwoscc%2Ffull-record%2FWOS:000473598400002","View Full Record in Web of Science")</f>
        <v>View Full Record in Web of Science</v>
      </c>
      <c r="BU2369" s="1"/>
      <c r="BV2369" s="1"/>
    </row>
    <row r="2370" spans="1:74">
      <c r="A2370" s="1" t="s">
        <v>72</v>
      </c>
      <c r="B2370" s="1" t="s">
        <v>37910</v>
      </c>
      <c r="C2370" s="1" t="s">
        <v>74</v>
      </c>
      <c r="D2370" s="1" t="s">
        <v>74</v>
      </c>
      <c r="E2370" s="1" t="s">
        <v>74</v>
      </c>
      <c r="F2370" s="1" t="s">
        <v>37911</v>
      </c>
      <c r="G2370" s="1" t="s">
        <v>74</v>
      </c>
      <c r="H2370" s="1" t="s">
        <v>74</v>
      </c>
      <c r="I2370" s="1" t="s">
        <v>37912</v>
      </c>
      <c r="J2370" s="1" t="s">
        <v>127</v>
      </c>
      <c r="K2370" s="1" t="s">
        <v>74</v>
      </c>
      <c r="L2370" s="1" t="s">
        <v>74</v>
      </c>
      <c r="M2370" s="1" t="s">
        <v>78</v>
      </c>
      <c r="N2370" s="1" t="s">
        <v>79</v>
      </c>
      <c r="O2370" s="1" t="s">
        <v>74</v>
      </c>
      <c r="P2370" s="1" t="s">
        <v>74</v>
      </c>
      <c r="Q2370" s="1" t="s">
        <v>74</v>
      </c>
      <c r="R2370" s="1" t="s">
        <v>74</v>
      </c>
      <c r="S2370" s="1" t="s">
        <v>74</v>
      </c>
      <c r="T2370" s="1" t="s">
        <v>37913</v>
      </c>
      <c r="U2370" s="1" t="s">
        <v>37914</v>
      </c>
      <c r="V2370" s="1" t="s">
        <v>37915</v>
      </c>
      <c r="W2370" s="1" t="s">
        <v>37916</v>
      </c>
      <c r="X2370" s="1" t="s">
        <v>10674</v>
      </c>
      <c r="Y2370" s="1" t="s">
        <v>37917</v>
      </c>
      <c r="Z2370" s="1" t="s">
        <v>37918</v>
      </c>
      <c r="AA2370" s="1" t="s">
        <v>37919</v>
      </c>
      <c r="AB2370" s="1" t="s">
        <v>74</v>
      </c>
      <c r="AC2370" s="1" t="s">
        <v>37920</v>
      </c>
      <c r="AD2370" s="1" t="s">
        <v>37921</v>
      </c>
      <c r="AE2370" s="1" t="s">
        <v>37922</v>
      </c>
      <c r="AF2370" s="1" t="s">
        <v>74</v>
      </c>
      <c r="AG2370" s="1">
        <v>106</v>
      </c>
      <c r="AH2370" s="1">
        <v>45</v>
      </c>
      <c r="AI2370" s="1">
        <v>48</v>
      </c>
      <c r="AJ2370" s="1">
        <v>1</v>
      </c>
      <c r="AK2370" s="1">
        <v>80</v>
      </c>
      <c r="AL2370" s="1" t="s">
        <v>136</v>
      </c>
      <c r="AM2370" s="1" t="s">
        <v>137</v>
      </c>
      <c r="AN2370" s="1" t="s">
        <v>138</v>
      </c>
      <c r="AO2370" s="1" t="s">
        <v>139</v>
      </c>
      <c r="AP2370" s="1" t="s">
        <v>140</v>
      </c>
      <c r="AQ2370" s="1" t="s">
        <v>74</v>
      </c>
      <c r="AR2370" s="1" t="s">
        <v>127</v>
      </c>
      <c r="AS2370" s="1" t="s">
        <v>141</v>
      </c>
      <c r="AT2370" s="1" t="s">
        <v>1470</v>
      </c>
      <c r="AU2370" s="1">
        <v>2013</v>
      </c>
      <c r="AV2370" s="1">
        <v>90</v>
      </c>
      <c r="AW2370" s="1">
        <v>1</v>
      </c>
      <c r="AX2370" s="1" t="s">
        <v>74</v>
      </c>
      <c r="AY2370" s="1" t="s">
        <v>74</v>
      </c>
      <c r="AZ2370" s="1" t="s">
        <v>74</v>
      </c>
      <c r="BA2370" s="1" t="s">
        <v>74</v>
      </c>
      <c r="BB2370" s="1">
        <v>7</v>
      </c>
      <c r="BC2370" s="1">
        <v>19</v>
      </c>
      <c r="BD2370" s="1" t="s">
        <v>74</v>
      </c>
      <c r="BE2370" s="1" t="s">
        <v>37923</v>
      </c>
      <c r="BF2370" s="1" t="str">
        <f>HYPERLINK("http://dx.doi.org/10.1016/j.chemosphere.2012.02.030","http://dx.doi.org/10.1016/j.chemosphere.2012.02.030")</f>
        <v>http://dx.doi.org/10.1016/j.chemosphere.2012.02.030</v>
      </c>
      <c r="BG2370" s="1" t="s">
        <v>74</v>
      </c>
      <c r="BH2370" s="1" t="s">
        <v>74</v>
      </c>
      <c r="BI2370" s="1">
        <v>13</v>
      </c>
      <c r="BJ2370" s="1" t="s">
        <v>144</v>
      </c>
      <c r="BK2370" s="1" t="s">
        <v>96</v>
      </c>
      <c r="BL2370" s="1" t="s">
        <v>145</v>
      </c>
      <c r="BM2370" s="1" t="s">
        <v>37924</v>
      </c>
      <c r="BN2370" s="1">
        <v>22391050</v>
      </c>
      <c r="BO2370" s="1" t="s">
        <v>74</v>
      </c>
      <c r="BP2370" s="1" t="s">
        <v>74</v>
      </c>
      <c r="BQ2370" s="1" t="s">
        <v>74</v>
      </c>
      <c r="BR2370" s="1" t="s">
        <v>98</v>
      </c>
      <c r="BS2370" s="1" t="s">
        <v>37925</v>
      </c>
      <c r="BT2370" s="1" t="str">
        <f>HYPERLINK("https%3A%2F%2Fwww.webofscience.com%2Fwos%2Fwoscc%2Ffull-record%2FWOS:000311764500002","View Full Record in Web of Science")</f>
        <v>View Full Record in Web of Science</v>
      </c>
      <c r="BU2370" s="1"/>
      <c r="BV2370" s="1"/>
    </row>
    <row r="2371" spans="1:74">
      <c r="A2371" s="1" t="s">
        <v>72</v>
      </c>
      <c r="B2371" s="1" t="s">
        <v>37926</v>
      </c>
      <c r="C2371" s="1" t="s">
        <v>74</v>
      </c>
      <c r="D2371" s="1" t="s">
        <v>74</v>
      </c>
      <c r="E2371" s="1" t="s">
        <v>74</v>
      </c>
      <c r="F2371" s="1" t="s">
        <v>37927</v>
      </c>
      <c r="G2371" s="1" t="s">
        <v>74</v>
      </c>
      <c r="H2371" s="1" t="s">
        <v>74</v>
      </c>
      <c r="I2371" s="1" t="s">
        <v>37928</v>
      </c>
      <c r="J2371" s="1" t="s">
        <v>37929</v>
      </c>
      <c r="K2371" s="1" t="s">
        <v>74</v>
      </c>
      <c r="L2371" s="1" t="s">
        <v>74</v>
      </c>
      <c r="M2371" s="1" t="s">
        <v>78</v>
      </c>
      <c r="N2371" s="1" t="s">
        <v>79</v>
      </c>
      <c r="O2371" s="1" t="s">
        <v>74</v>
      </c>
      <c r="P2371" s="1" t="s">
        <v>74</v>
      </c>
      <c r="Q2371" s="1" t="s">
        <v>74</v>
      </c>
      <c r="R2371" s="1" t="s">
        <v>74</v>
      </c>
      <c r="S2371" s="1" t="s">
        <v>74</v>
      </c>
      <c r="T2371" s="1" t="s">
        <v>37930</v>
      </c>
      <c r="U2371" s="1" t="s">
        <v>37931</v>
      </c>
      <c r="V2371" s="1" t="s">
        <v>37932</v>
      </c>
      <c r="W2371" s="1" t="s">
        <v>37933</v>
      </c>
      <c r="X2371" s="1" t="s">
        <v>37934</v>
      </c>
      <c r="Y2371" s="1" t="s">
        <v>37935</v>
      </c>
      <c r="Z2371" s="1" t="s">
        <v>37936</v>
      </c>
      <c r="AA2371" s="1" t="s">
        <v>37937</v>
      </c>
      <c r="AB2371" s="1" t="s">
        <v>37938</v>
      </c>
      <c r="AC2371" s="1" t="s">
        <v>37939</v>
      </c>
      <c r="AD2371" s="1" t="s">
        <v>37939</v>
      </c>
      <c r="AE2371" s="1" t="s">
        <v>37940</v>
      </c>
      <c r="AF2371" s="1" t="s">
        <v>74</v>
      </c>
      <c r="AG2371" s="1">
        <v>66</v>
      </c>
      <c r="AH2371" s="1">
        <v>19</v>
      </c>
      <c r="AI2371" s="1">
        <v>20</v>
      </c>
      <c r="AJ2371" s="1">
        <v>2</v>
      </c>
      <c r="AK2371" s="1">
        <v>21</v>
      </c>
      <c r="AL2371" s="1" t="s">
        <v>37941</v>
      </c>
      <c r="AM2371" s="1" t="s">
        <v>4472</v>
      </c>
      <c r="AN2371" s="1" t="s">
        <v>37942</v>
      </c>
      <c r="AO2371" s="1" t="s">
        <v>37943</v>
      </c>
      <c r="AP2371" s="1" t="s">
        <v>37944</v>
      </c>
      <c r="AQ2371" s="1" t="s">
        <v>74</v>
      </c>
      <c r="AR2371" s="1" t="s">
        <v>37945</v>
      </c>
      <c r="AS2371" s="1" t="s">
        <v>37946</v>
      </c>
      <c r="AT2371" s="1" t="s">
        <v>1470</v>
      </c>
      <c r="AU2371" s="1">
        <v>2018</v>
      </c>
      <c r="AV2371" s="1">
        <v>84</v>
      </c>
      <c r="AW2371" s="1">
        <v>1</v>
      </c>
      <c r="AX2371" s="1" t="s">
        <v>74</v>
      </c>
      <c r="AY2371" s="1" t="s">
        <v>74</v>
      </c>
      <c r="AZ2371" s="1" t="s">
        <v>74</v>
      </c>
      <c r="BA2371" s="1" t="s">
        <v>74</v>
      </c>
      <c r="BB2371" s="1" t="s">
        <v>74</v>
      </c>
      <c r="BC2371" s="1" t="s">
        <v>74</v>
      </c>
      <c r="BD2371" s="1" t="s">
        <v>37947</v>
      </c>
      <c r="BE2371" s="1" t="s">
        <v>37948</v>
      </c>
      <c r="BF2371" s="1" t="str">
        <f>HYPERLINK("http://dx.doi.org/10.1128/AEM.01866-17","http://dx.doi.org/10.1128/AEM.01866-17")</f>
        <v>http://dx.doi.org/10.1128/AEM.01866-17</v>
      </c>
      <c r="BG2371" s="1" t="s">
        <v>74</v>
      </c>
      <c r="BH2371" s="1" t="s">
        <v>74</v>
      </c>
      <c r="BI2371" s="1">
        <v>14</v>
      </c>
      <c r="BJ2371" s="1" t="s">
        <v>37949</v>
      </c>
      <c r="BK2371" s="1" t="s">
        <v>96</v>
      </c>
      <c r="BL2371" s="1" t="s">
        <v>37949</v>
      </c>
      <c r="BM2371" s="1" t="s">
        <v>37950</v>
      </c>
      <c r="BN2371" s="1">
        <v>29079627</v>
      </c>
      <c r="BO2371" s="1" t="s">
        <v>18961</v>
      </c>
      <c r="BP2371" s="1" t="s">
        <v>74</v>
      </c>
      <c r="BQ2371" s="1" t="s">
        <v>74</v>
      </c>
      <c r="BR2371" s="1" t="s">
        <v>98</v>
      </c>
      <c r="BS2371" s="1" t="s">
        <v>37951</v>
      </c>
      <c r="BT2371" s="1" t="str">
        <f>HYPERLINK("https%3A%2F%2Fwww.webofscience.com%2Fwos%2Fwoscc%2Ffull-record%2FWOS:000418039700021","View Full Record in Web of Science")</f>
        <v>View Full Record in Web of Science</v>
      </c>
      <c r="BU2371" s="1"/>
      <c r="BV2371" s="1"/>
    </row>
    <row r="2372" spans="1:74">
      <c r="A2372" s="1" t="s">
        <v>72</v>
      </c>
      <c r="B2372" s="1" t="s">
        <v>37952</v>
      </c>
      <c r="C2372" s="1" t="s">
        <v>74</v>
      </c>
      <c r="D2372" s="1" t="s">
        <v>74</v>
      </c>
      <c r="E2372" s="1" t="s">
        <v>74</v>
      </c>
      <c r="F2372" s="1" t="s">
        <v>37953</v>
      </c>
      <c r="G2372" s="1" t="s">
        <v>74</v>
      </c>
      <c r="H2372" s="1" t="s">
        <v>74</v>
      </c>
      <c r="I2372" s="1" t="s">
        <v>37954</v>
      </c>
      <c r="J2372" s="1" t="s">
        <v>275</v>
      </c>
      <c r="K2372" s="1" t="s">
        <v>74</v>
      </c>
      <c r="L2372" s="1" t="s">
        <v>74</v>
      </c>
      <c r="M2372" s="1" t="s">
        <v>78</v>
      </c>
      <c r="N2372" s="1" t="s">
        <v>79</v>
      </c>
      <c r="O2372" s="1" t="s">
        <v>74</v>
      </c>
      <c r="P2372" s="1" t="s">
        <v>74</v>
      </c>
      <c r="Q2372" s="1" t="s">
        <v>74</v>
      </c>
      <c r="R2372" s="1" t="s">
        <v>74</v>
      </c>
      <c r="S2372" s="1" t="s">
        <v>74</v>
      </c>
      <c r="T2372" s="1" t="s">
        <v>37955</v>
      </c>
      <c r="U2372" s="1" t="s">
        <v>37956</v>
      </c>
      <c r="V2372" s="1" t="s">
        <v>37957</v>
      </c>
      <c r="W2372" s="1" t="s">
        <v>37958</v>
      </c>
      <c r="X2372" s="1" t="s">
        <v>25649</v>
      </c>
      <c r="Y2372" s="1" t="s">
        <v>37959</v>
      </c>
      <c r="Z2372" s="1" t="s">
        <v>32756</v>
      </c>
      <c r="AA2372" s="1" t="s">
        <v>37251</v>
      </c>
      <c r="AB2372" s="1" t="s">
        <v>32758</v>
      </c>
      <c r="AC2372" s="1" t="s">
        <v>37960</v>
      </c>
      <c r="AD2372" s="1" t="s">
        <v>37961</v>
      </c>
      <c r="AE2372" s="1" t="s">
        <v>37962</v>
      </c>
      <c r="AF2372" s="1" t="s">
        <v>74</v>
      </c>
      <c r="AG2372" s="1">
        <v>62</v>
      </c>
      <c r="AH2372" s="1">
        <v>58</v>
      </c>
      <c r="AI2372" s="1">
        <v>61</v>
      </c>
      <c r="AJ2372" s="1">
        <v>1</v>
      </c>
      <c r="AK2372" s="1">
        <v>103</v>
      </c>
      <c r="AL2372" s="1" t="s">
        <v>285</v>
      </c>
      <c r="AM2372" s="1" t="s">
        <v>286</v>
      </c>
      <c r="AN2372" s="1" t="s">
        <v>287</v>
      </c>
      <c r="AO2372" s="1" t="s">
        <v>288</v>
      </c>
      <c r="AP2372" s="1" t="s">
        <v>289</v>
      </c>
      <c r="AQ2372" s="1" t="s">
        <v>74</v>
      </c>
      <c r="AR2372" s="1" t="s">
        <v>290</v>
      </c>
      <c r="AS2372" s="1" t="s">
        <v>291</v>
      </c>
      <c r="AT2372" s="1" t="s">
        <v>93</v>
      </c>
      <c r="AU2372" s="1">
        <v>2017</v>
      </c>
      <c r="AV2372" s="1">
        <v>63</v>
      </c>
      <c r="AW2372" s="1" t="s">
        <v>74</v>
      </c>
      <c r="AX2372" s="1" t="s">
        <v>74</v>
      </c>
      <c r="AY2372" s="1" t="s">
        <v>74</v>
      </c>
      <c r="AZ2372" s="1" t="s">
        <v>74</v>
      </c>
      <c r="BA2372" s="1" t="s">
        <v>74</v>
      </c>
      <c r="BB2372" s="1">
        <v>465</v>
      </c>
      <c r="BC2372" s="1">
        <v>470</v>
      </c>
      <c r="BD2372" s="1" t="s">
        <v>74</v>
      </c>
      <c r="BE2372" s="1" t="s">
        <v>37963</v>
      </c>
      <c r="BF2372" s="1" t="str">
        <f>HYPERLINK("http://dx.doi.org/10.1016/j.fsi.2017.02.046","http://dx.doi.org/10.1016/j.fsi.2017.02.046")</f>
        <v>http://dx.doi.org/10.1016/j.fsi.2017.02.046</v>
      </c>
      <c r="BG2372" s="1" t="s">
        <v>74</v>
      </c>
      <c r="BH2372" s="1" t="s">
        <v>74</v>
      </c>
      <c r="BI2372" s="1">
        <v>6</v>
      </c>
      <c r="BJ2372" s="1" t="s">
        <v>293</v>
      </c>
      <c r="BK2372" s="1" t="s">
        <v>96</v>
      </c>
      <c r="BL2372" s="1" t="s">
        <v>293</v>
      </c>
      <c r="BM2372" s="1" t="s">
        <v>37964</v>
      </c>
      <c r="BN2372" s="1">
        <v>28254499</v>
      </c>
      <c r="BO2372" s="1" t="s">
        <v>74</v>
      </c>
      <c r="BP2372" s="1" t="s">
        <v>74</v>
      </c>
      <c r="BQ2372" s="1" t="s">
        <v>74</v>
      </c>
      <c r="BR2372" s="1" t="s">
        <v>98</v>
      </c>
      <c r="BS2372" s="1" t="s">
        <v>37965</v>
      </c>
      <c r="BT2372" s="1" t="str">
        <f>HYPERLINK("https%3A%2F%2Fwww.webofscience.com%2Fwos%2Fwoscc%2Ffull-record%2FWOS:000398870700050","View Full Record in Web of Science")</f>
        <v>View Full Record in Web of Science</v>
      </c>
      <c r="BU2372" s="1"/>
      <c r="BV2372" s="1"/>
    </row>
    <row r="2373" spans="1:74">
      <c r="A2373" s="1" t="s">
        <v>72</v>
      </c>
      <c r="B2373" s="1" t="s">
        <v>37966</v>
      </c>
      <c r="C2373" s="1" t="s">
        <v>74</v>
      </c>
      <c r="D2373" s="1" t="s">
        <v>74</v>
      </c>
      <c r="E2373" s="1" t="s">
        <v>74</v>
      </c>
      <c r="F2373" s="1" t="s">
        <v>37967</v>
      </c>
      <c r="G2373" s="1" t="s">
        <v>74</v>
      </c>
      <c r="H2373" s="1" t="s">
        <v>74</v>
      </c>
      <c r="I2373" s="1" t="s">
        <v>37968</v>
      </c>
      <c r="J2373" s="1" t="s">
        <v>3926</v>
      </c>
      <c r="K2373" s="1" t="s">
        <v>74</v>
      </c>
      <c r="L2373" s="1" t="s">
        <v>74</v>
      </c>
      <c r="M2373" s="1" t="s">
        <v>78</v>
      </c>
      <c r="N2373" s="1" t="s">
        <v>79</v>
      </c>
      <c r="O2373" s="1" t="s">
        <v>74</v>
      </c>
      <c r="P2373" s="1" t="s">
        <v>74</v>
      </c>
      <c r="Q2373" s="1" t="s">
        <v>74</v>
      </c>
      <c r="R2373" s="1" t="s">
        <v>74</v>
      </c>
      <c r="S2373" s="1" t="s">
        <v>74</v>
      </c>
      <c r="T2373" s="1" t="s">
        <v>37969</v>
      </c>
      <c r="U2373" s="1" t="s">
        <v>37970</v>
      </c>
      <c r="V2373" s="1" t="s">
        <v>37971</v>
      </c>
      <c r="W2373" s="1" t="s">
        <v>37972</v>
      </c>
      <c r="X2373" s="1" t="s">
        <v>10674</v>
      </c>
      <c r="Y2373" s="1" t="s">
        <v>37973</v>
      </c>
      <c r="Z2373" s="1" t="s">
        <v>24670</v>
      </c>
      <c r="AA2373" s="1" t="s">
        <v>12665</v>
      </c>
      <c r="AB2373" s="1" t="s">
        <v>12666</v>
      </c>
      <c r="AC2373" s="1" t="s">
        <v>74</v>
      </c>
      <c r="AD2373" s="1" t="s">
        <v>74</v>
      </c>
      <c r="AE2373" s="1" t="s">
        <v>74</v>
      </c>
      <c r="AF2373" s="1" t="s">
        <v>74</v>
      </c>
      <c r="AG2373" s="1">
        <v>54</v>
      </c>
      <c r="AH2373" s="1">
        <v>41</v>
      </c>
      <c r="AI2373" s="1">
        <v>43</v>
      </c>
      <c r="AJ2373" s="1">
        <v>0</v>
      </c>
      <c r="AK2373" s="1">
        <v>32</v>
      </c>
      <c r="AL2373" s="1" t="s">
        <v>650</v>
      </c>
      <c r="AM2373" s="1" t="s">
        <v>651</v>
      </c>
      <c r="AN2373" s="1" t="s">
        <v>652</v>
      </c>
      <c r="AO2373" s="1" t="s">
        <v>3939</v>
      </c>
      <c r="AP2373" s="1" t="s">
        <v>3940</v>
      </c>
      <c r="AQ2373" s="1" t="s">
        <v>74</v>
      </c>
      <c r="AR2373" s="1" t="s">
        <v>3926</v>
      </c>
      <c r="AS2373" s="1" t="s">
        <v>3941</v>
      </c>
      <c r="AT2373" s="1" t="s">
        <v>23364</v>
      </c>
      <c r="AU2373" s="1">
        <v>2008</v>
      </c>
      <c r="AV2373" s="1">
        <v>277</v>
      </c>
      <c r="AW2373" s="1" t="s">
        <v>1070</v>
      </c>
      <c r="AX2373" s="1" t="s">
        <v>74</v>
      </c>
      <c r="AY2373" s="1" t="s">
        <v>74</v>
      </c>
      <c r="AZ2373" s="1" t="s">
        <v>74</v>
      </c>
      <c r="BA2373" s="1" t="s">
        <v>74</v>
      </c>
      <c r="BB2373" s="1">
        <v>208</v>
      </c>
      <c r="BC2373" s="1">
        <v>212</v>
      </c>
      <c r="BD2373" s="1" t="s">
        <v>74</v>
      </c>
      <c r="BE2373" s="1" t="s">
        <v>37974</v>
      </c>
      <c r="BF2373" s="1" t="str">
        <f>HYPERLINK("http://dx.doi.org/10.1016/j.aquaculture.2008.03.002","http://dx.doi.org/10.1016/j.aquaculture.2008.03.002")</f>
        <v>http://dx.doi.org/10.1016/j.aquaculture.2008.03.002</v>
      </c>
      <c r="BG2373" s="1" t="s">
        <v>74</v>
      </c>
      <c r="BH2373" s="1" t="s">
        <v>74</v>
      </c>
      <c r="BI2373" s="1">
        <v>5</v>
      </c>
      <c r="BJ2373" s="1" t="s">
        <v>2391</v>
      </c>
      <c r="BK2373" s="1" t="s">
        <v>96</v>
      </c>
      <c r="BL2373" s="1" t="s">
        <v>2391</v>
      </c>
      <c r="BM2373" s="1" t="s">
        <v>37975</v>
      </c>
      <c r="BN2373" s="1" t="s">
        <v>74</v>
      </c>
      <c r="BO2373" s="1" t="s">
        <v>74</v>
      </c>
      <c r="BP2373" s="1" t="s">
        <v>74</v>
      </c>
      <c r="BQ2373" s="1" t="s">
        <v>74</v>
      </c>
      <c r="BR2373" s="1" t="s">
        <v>98</v>
      </c>
      <c r="BS2373" s="1" t="s">
        <v>37976</v>
      </c>
      <c r="BT2373" s="1" t="str">
        <f>HYPERLINK("https%3A%2F%2Fwww.webofscience.com%2Fwos%2Fwoscc%2Ffull-record%2FWOS:000256275700013","View Full Record in Web of Science")</f>
        <v>View Full Record in Web of Science</v>
      </c>
      <c r="BU2373" s="1"/>
      <c r="BV2373" s="1"/>
    </row>
    <row r="2374" spans="1:74">
      <c r="A2374" s="1" t="s">
        <v>72</v>
      </c>
      <c r="B2374" s="1" t="s">
        <v>37977</v>
      </c>
      <c r="C2374" s="1" t="s">
        <v>74</v>
      </c>
      <c r="D2374" s="1" t="s">
        <v>74</v>
      </c>
      <c r="E2374" s="1" t="s">
        <v>74</v>
      </c>
      <c r="F2374" s="1" t="s">
        <v>37978</v>
      </c>
      <c r="G2374" s="1" t="s">
        <v>74</v>
      </c>
      <c r="H2374" s="1" t="s">
        <v>74</v>
      </c>
      <c r="I2374" s="1" t="s">
        <v>37979</v>
      </c>
      <c r="J2374" s="1" t="s">
        <v>1756</v>
      </c>
      <c r="K2374" s="1" t="s">
        <v>74</v>
      </c>
      <c r="L2374" s="1" t="s">
        <v>74</v>
      </c>
      <c r="M2374" s="1" t="s">
        <v>78</v>
      </c>
      <c r="N2374" s="1" t="s">
        <v>79</v>
      </c>
      <c r="O2374" s="1" t="s">
        <v>74</v>
      </c>
      <c r="P2374" s="1" t="s">
        <v>74</v>
      </c>
      <c r="Q2374" s="1" t="s">
        <v>74</v>
      </c>
      <c r="R2374" s="1" t="s">
        <v>74</v>
      </c>
      <c r="S2374" s="1" t="s">
        <v>74</v>
      </c>
      <c r="T2374" s="1" t="s">
        <v>37980</v>
      </c>
      <c r="U2374" s="1" t="s">
        <v>37981</v>
      </c>
      <c r="V2374" s="1" t="s">
        <v>37982</v>
      </c>
      <c r="W2374" s="1" t="s">
        <v>37983</v>
      </c>
      <c r="X2374" s="1" t="s">
        <v>37984</v>
      </c>
      <c r="Y2374" s="1" t="s">
        <v>37985</v>
      </c>
      <c r="Z2374" s="1" t="s">
        <v>9288</v>
      </c>
      <c r="AA2374" s="1" t="s">
        <v>37986</v>
      </c>
      <c r="AB2374" s="1" t="s">
        <v>37987</v>
      </c>
      <c r="AC2374" s="1" t="s">
        <v>37988</v>
      </c>
      <c r="AD2374" s="1" t="s">
        <v>37989</v>
      </c>
      <c r="AE2374" s="1" t="s">
        <v>37990</v>
      </c>
      <c r="AF2374" s="1" t="s">
        <v>74</v>
      </c>
      <c r="AG2374" s="1">
        <v>63</v>
      </c>
      <c r="AH2374" s="1">
        <v>11</v>
      </c>
      <c r="AI2374" s="1">
        <v>11</v>
      </c>
      <c r="AJ2374" s="1">
        <v>3</v>
      </c>
      <c r="AK2374" s="1">
        <v>17</v>
      </c>
      <c r="AL2374" s="1" t="s">
        <v>86</v>
      </c>
      <c r="AM2374" s="1" t="s">
        <v>87</v>
      </c>
      <c r="AN2374" s="1" t="s">
        <v>88</v>
      </c>
      <c r="AO2374" s="1" t="s">
        <v>1764</v>
      </c>
      <c r="AP2374" s="1" t="s">
        <v>1765</v>
      </c>
      <c r="AQ2374" s="1" t="s">
        <v>74</v>
      </c>
      <c r="AR2374" s="1" t="s">
        <v>1766</v>
      </c>
      <c r="AS2374" s="1" t="s">
        <v>1767</v>
      </c>
      <c r="AT2374" s="1" t="s">
        <v>1470</v>
      </c>
      <c r="AU2374" s="1">
        <v>2023</v>
      </c>
      <c r="AV2374" s="1">
        <v>42</v>
      </c>
      <c r="AW2374" s="1">
        <v>1</v>
      </c>
      <c r="AX2374" s="1" t="s">
        <v>74</v>
      </c>
      <c r="AY2374" s="1" t="s">
        <v>74</v>
      </c>
      <c r="AZ2374" s="1" t="s">
        <v>74</v>
      </c>
      <c r="BA2374" s="1" t="s">
        <v>74</v>
      </c>
      <c r="BB2374" s="1">
        <v>166</v>
      </c>
      <c r="BC2374" s="1">
        <v>177</v>
      </c>
      <c r="BD2374" s="1" t="s">
        <v>74</v>
      </c>
      <c r="BE2374" s="1" t="s">
        <v>37991</v>
      </c>
      <c r="BF2374" s="1" t="str">
        <f>HYPERLINK("http://dx.doi.org/10.1002/etc.5508","http://dx.doi.org/10.1002/etc.5508")</f>
        <v>http://dx.doi.org/10.1002/etc.5508</v>
      </c>
      <c r="BG2374" s="1" t="s">
        <v>74</v>
      </c>
      <c r="BH2374" s="1" t="s">
        <v>4283</v>
      </c>
      <c r="BI2374" s="1">
        <v>12</v>
      </c>
      <c r="BJ2374" s="1" t="s">
        <v>121</v>
      </c>
      <c r="BK2374" s="1" t="s">
        <v>96</v>
      </c>
      <c r="BL2374" s="1" t="s">
        <v>122</v>
      </c>
      <c r="BM2374" s="1" t="s">
        <v>20472</v>
      </c>
      <c r="BN2374" s="1">
        <v>36511525</v>
      </c>
      <c r="BO2374" s="1" t="s">
        <v>2784</v>
      </c>
      <c r="BP2374" s="1" t="s">
        <v>74</v>
      </c>
      <c r="BQ2374" s="1" t="s">
        <v>74</v>
      </c>
      <c r="BR2374" s="1" t="s">
        <v>98</v>
      </c>
      <c r="BS2374" s="1" t="s">
        <v>37992</v>
      </c>
      <c r="BT2374" s="1" t="str">
        <f>HYPERLINK("https%3A%2F%2Fwww.webofscience.com%2Fwos%2Fwoscc%2Ffull-record%2FWOS:000897866600001","View Full Record in Web of Science")</f>
        <v>View Full Record in Web of Science</v>
      </c>
      <c r="BU2374" s="1"/>
      <c r="BV2374" s="1"/>
    </row>
    <row r="2375" spans="1:74">
      <c r="A2375" s="1" t="s">
        <v>72</v>
      </c>
      <c r="B2375" s="1" t="s">
        <v>37993</v>
      </c>
      <c r="C2375" s="1" t="s">
        <v>74</v>
      </c>
      <c r="D2375" s="1" t="s">
        <v>74</v>
      </c>
      <c r="E2375" s="1" t="s">
        <v>74</v>
      </c>
      <c r="F2375" s="1" t="s">
        <v>37994</v>
      </c>
      <c r="G2375" s="1" t="s">
        <v>74</v>
      </c>
      <c r="H2375" s="1" t="s">
        <v>74</v>
      </c>
      <c r="I2375" s="1" t="s">
        <v>37995</v>
      </c>
      <c r="J2375" s="1" t="s">
        <v>752</v>
      </c>
      <c r="K2375" s="1" t="s">
        <v>74</v>
      </c>
      <c r="L2375" s="1" t="s">
        <v>74</v>
      </c>
      <c r="M2375" s="1" t="s">
        <v>78</v>
      </c>
      <c r="N2375" s="1" t="s">
        <v>79</v>
      </c>
      <c r="O2375" s="1" t="s">
        <v>74</v>
      </c>
      <c r="P2375" s="1" t="s">
        <v>74</v>
      </c>
      <c r="Q2375" s="1" t="s">
        <v>74</v>
      </c>
      <c r="R2375" s="1" t="s">
        <v>74</v>
      </c>
      <c r="S2375" s="1" t="s">
        <v>74</v>
      </c>
      <c r="T2375" s="1" t="s">
        <v>37996</v>
      </c>
      <c r="U2375" s="1" t="s">
        <v>37997</v>
      </c>
      <c r="V2375" s="1" t="s">
        <v>37998</v>
      </c>
      <c r="W2375" s="1" t="s">
        <v>37999</v>
      </c>
      <c r="X2375" s="1" t="s">
        <v>9952</v>
      </c>
      <c r="Y2375" s="1" t="s">
        <v>38000</v>
      </c>
      <c r="Z2375" s="1" t="s">
        <v>21443</v>
      </c>
      <c r="AA2375" s="1" t="s">
        <v>38001</v>
      </c>
      <c r="AB2375" s="1" t="s">
        <v>38002</v>
      </c>
      <c r="AC2375" s="1" t="s">
        <v>38003</v>
      </c>
      <c r="AD2375" s="1" t="s">
        <v>525</v>
      </c>
      <c r="AE2375" s="1" t="s">
        <v>38004</v>
      </c>
      <c r="AF2375" s="1" t="s">
        <v>74</v>
      </c>
      <c r="AG2375" s="1">
        <v>67</v>
      </c>
      <c r="AH2375" s="1">
        <v>29</v>
      </c>
      <c r="AI2375" s="1">
        <v>30</v>
      </c>
      <c r="AJ2375" s="1">
        <v>3</v>
      </c>
      <c r="AK2375" s="1">
        <v>27</v>
      </c>
      <c r="AL2375" s="1" t="s">
        <v>430</v>
      </c>
      <c r="AM2375" s="1" t="s">
        <v>137</v>
      </c>
      <c r="AN2375" s="1" t="s">
        <v>431</v>
      </c>
      <c r="AO2375" s="1" t="s">
        <v>761</v>
      </c>
      <c r="AP2375" s="1" t="s">
        <v>762</v>
      </c>
      <c r="AQ2375" s="1" t="s">
        <v>74</v>
      </c>
      <c r="AR2375" s="1" t="s">
        <v>763</v>
      </c>
      <c r="AS2375" s="1" t="s">
        <v>764</v>
      </c>
      <c r="AT2375" s="1" t="s">
        <v>1223</v>
      </c>
      <c r="AU2375" s="1">
        <v>2014</v>
      </c>
      <c r="AV2375" s="1">
        <v>94</v>
      </c>
      <c r="AW2375" s="1" t="s">
        <v>74</v>
      </c>
      <c r="AX2375" s="1" t="s">
        <v>74</v>
      </c>
      <c r="AY2375" s="1" t="s">
        <v>74</v>
      </c>
      <c r="AZ2375" s="1" t="s">
        <v>74</v>
      </c>
      <c r="BA2375" s="1" t="s">
        <v>74</v>
      </c>
      <c r="BB2375" s="1">
        <v>7</v>
      </c>
      <c r="BC2375" s="1">
        <v>15</v>
      </c>
      <c r="BD2375" s="1" t="s">
        <v>74</v>
      </c>
      <c r="BE2375" s="1" t="s">
        <v>38005</v>
      </c>
      <c r="BF2375" s="1" t="str">
        <f>HYPERLINK("http://dx.doi.org/10.1016/j.marenvres.2013.11.001","http://dx.doi.org/10.1016/j.marenvres.2013.11.001")</f>
        <v>http://dx.doi.org/10.1016/j.marenvres.2013.11.001</v>
      </c>
      <c r="BG2375" s="1" t="s">
        <v>74</v>
      </c>
      <c r="BH2375" s="1" t="s">
        <v>74</v>
      </c>
      <c r="BI2375" s="1">
        <v>9</v>
      </c>
      <c r="BJ2375" s="1" t="s">
        <v>768</v>
      </c>
      <c r="BK2375" s="1" t="s">
        <v>96</v>
      </c>
      <c r="BL2375" s="1" t="s">
        <v>769</v>
      </c>
      <c r="BM2375" s="1" t="s">
        <v>38006</v>
      </c>
      <c r="BN2375" s="1">
        <v>24296241</v>
      </c>
      <c r="BO2375" s="1" t="s">
        <v>74</v>
      </c>
      <c r="BP2375" s="1" t="s">
        <v>74</v>
      </c>
      <c r="BQ2375" s="1" t="s">
        <v>74</v>
      </c>
      <c r="BR2375" s="1" t="s">
        <v>98</v>
      </c>
      <c r="BS2375" s="1" t="s">
        <v>38007</v>
      </c>
      <c r="BT2375" s="1" t="str">
        <f>HYPERLINK("https%3A%2F%2Fwww.webofscience.com%2Fwos%2Fwoscc%2Ffull-record%2FWOS:000331684500002","View Full Record in Web of Science")</f>
        <v>View Full Record in Web of Science</v>
      </c>
      <c r="BU2375" s="1"/>
      <c r="BV2375" s="1"/>
    </row>
    <row r="2376" spans="1:74">
      <c r="A2376" s="1" t="s">
        <v>72</v>
      </c>
      <c r="B2376" s="1" t="s">
        <v>38008</v>
      </c>
      <c r="C2376" s="1" t="s">
        <v>74</v>
      </c>
      <c r="D2376" s="1" t="s">
        <v>74</v>
      </c>
      <c r="E2376" s="1" t="s">
        <v>74</v>
      </c>
      <c r="F2376" s="1" t="s">
        <v>38009</v>
      </c>
      <c r="G2376" s="1" t="s">
        <v>74</v>
      </c>
      <c r="H2376" s="1" t="s">
        <v>74</v>
      </c>
      <c r="I2376" s="1" t="s">
        <v>38010</v>
      </c>
      <c r="J2376" s="1" t="s">
        <v>9383</v>
      </c>
      <c r="K2376" s="1" t="s">
        <v>74</v>
      </c>
      <c r="L2376" s="1" t="s">
        <v>74</v>
      </c>
      <c r="M2376" s="1" t="s">
        <v>78</v>
      </c>
      <c r="N2376" s="1" t="s">
        <v>79</v>
      </c>
      <c r="O2376" s="1" t="s">
        <v>74</v>
      </c>
      <c r="P2376" s="1" t="s">
        <v>74</v>
      </c>
      <c r="Q2376" s="1" t="s">
        <v>74</v>
      </c>
      <c r="R2376" s="1" t="s">
        <v>74</v>
      </c>
      <c r="S2376" s="1" t="s">
        <v>74</v>
      </c>
      <c r="T2376" s="1" t="s">
        <v>74</v>
      </c>
      <c r="U2376" s="1" t="s">
        <v>38011</v>
      </c>
      <c r="V2376" s="1" t="s">
        <v>38012</v>
      </c>
      <c r="W2376" s="1" t="s">
        <v>38013</v>
      </c>
      <c r="X2376" s="1" t="s">
        <v>38014</v>
      </c>
      <c r="Y2376" s="1" t="s">
        <v>38015</v>
      </c>
      <c r="Z2376" s="1" t="s">
        <v>38016</v>
      </c>
      <c r="AA2376" s="1" t="s">
        <v>38017</v>
      </c>
      <c r="AB2376" s="1" t="s">
        <v>38018</v>
      </c>
      <c r="AC2376" s="1" t="s">
        <v>38019</v>
      </c>
      <c r="AD2376" s="1" t="s">
        <v>38020</v>
      </c>
      <c r="AE2376" s="1" t="s">
        <v>38021</v>
      </c>
      <c r="AF2376" s="1" t="s">
        <v>74</v>
      </c>
      <c r="AG2376" s="1">
        <v>71</v>
      </c>
      <c r="AH2376" s="1">
        <v>9</v>
      </c>
      <c r="AI2376" s="1">
        <v>10</v>
      </c>
      <c r="AJ2376" s="1">
        <v>0</v>
      </c>
      <c r="AK2376" s="1">
        <v>7</v>
      </c>
      <c r="AL2376" s="1" t="s">
        <v>9394</v>
      </c>
      <c r="AM2376" s="1" t="s">
        <v>9395</v>
      </c>
      <c r="AN2376" s="1" t="s">
        <v>9396</v>
      </c>
      <c r="AO2376" s="1" t="s">
        <v>9397</v>
      </c>
      <c r="AP2376" s="1" t="s">
        <v>74</v>
      </c>
      <c r="AQ2376" s="1" t="s">
        <v>74</v>
      </c>
      <c r="AR2376" s="1" t="s">
        <v>9398</v>
      </c>
      <c r="AS2376" s="1" t="s">
        <v>9399</v>
      </c>
      <c r="AT2376" s="1" t="s">
        <v>38022</v>
      </c>
      <c r="AU2376" s="1">
        <v>2022</v>
      </c>
      <c r="AV2376" s="1">
        <v>12</v>
      </c>
      <c r="AW2376" s="1">
        <v>1</v>
      </c>
      <c r="AX2376" s="1" t="s">
        <v>74</v>
      </c>
      <c r="AY2376" s="1" t="s">
        <v>74</v>
      </c>
      <c r="AZ2376" s="1" t="s">
        <v>74</v>
      </c>
      <c r="BA2376" s="1" t="s">
        <v>74</v>
      </c>
      <c r="BB2376" s="1" t="s">
        <v>74</v>
      </c>
      <c r="BC2376" s="1" t="s">
        <v>74</v>
      </c>
      <c r="BD2376" s="1">
        <v>5707</v>
      </c>
      <c r="BE2376" s="1" t="s">
        <v>38023</v>
      </c>
      <c r="BF2376" s="1" t="str">
        <f>HYPERLINK("http://dx.doi.org/10.1038/s41598-022-09598-8","http://dx.doi.org/10.1038/s41598-022-09598-8")</f>
        <v>http://dx.doi.org/10.1038/s41598-022-09598-8</v>
      </c>
      <c r="BG2376" s="1" t="s">
        <v>74</v>
      </c>
      <c r="BH2376" s="1" t="s">
        <v>74</v>
      </c>
      <c r="BI2376" s="1">
        <v>12</v>
      </c>
      <c r="BJ2376" s="1" t="s">
        <v>3202</v>
      </c>
      <c r="BK2376" s="1" t="s">
        <v>96</v>
      </c>
      <c r="BL2376" s="1" t="s">
        <v>3203</v>
      </c>
      <c r="BM2376" s="1" t="s">
        <v>38024</v>
      </c>
      <c r="BN2376" s="1">
        <v>35383231</v>
      </c>
      <c r="BO2376" s="1" t="s">
        <v>550</v>
      </c>
      <c r="BP2376" s="1" t="s">
        <v>74</v>
      </c>
      <c r="BQ2376" s="1" t="s">
        <v>74</v>
      </c>
      <c r="BR2376" s="1" t="s">
        <v>98</v>
      </c>
      <c r="BS2376" s="1" t="s">
        <v>38025</v>
      </c>
      <c r="BT2376" s="1" t="str">
        <f>HYPERLINK("https%3A%2F%2Fwww.webofscience.com%2Fwos%2Fwoscc%2Ffull-record%2FWOS:000781522600022","View Full Record in Web of Science")</f>
        <v>View Full Record in Web of Science</v>
      </c>
      <c r="BU2376" s="1"/>
      <c r="BV2376" s="1"/>
    </row>
    <row r="2377" spans="1:74">
      <c r="A2377" s="1" t="s">
        <v>72</v>
      </c>
      <c r="B2377" s="1" t="s">
        <v>38026</v>
      </c>
      <c r="C2377" s="1" t="s">
        <v>74</v>
      </c>
      <c r="D2377" s="1" t="s">
        <v>74</v>
      </c>
      <c r="E2377" s="1" t="s">
        <v>74</v>
      </c>
      <c r="F2377" s="1" t="s">
        <v>38027</v>
      </c>
      <c r="G2377" s="1" t="s">
        <v>74</v>
      </c>
      <c r="H2377" s="1" t="s">
        <v>74</v>
      </c>
      <c r="I2377" s="1" t="s">
        <v>38028</v>
      </c>
      <c r="J2377" s="1" t="s">
        <v>1337</v>
      </c>
      <c r="K2377" s="1" t="s">
        <v>74</v>
      </c>
      <c r="L2377" s="1" t="s">
        <v>74</v>
      </c>
      <c r="M2377" s="1" t="s">
        <v>78</v>
      </c>
      <c r="N2377" s="1" t="s">
        <v>79</v>
      </c>
      <c r="O2377" s="1" t="s">
        <v>74</v>
      </c>
      <c r="P2377" s="1" t="s">
        <v>74</v>
      </c>
      <c r="Q2377" s="1" t="s">
        <v>74</v>
      </c>
      <c r="R2377" s="1" t="s">
        <v>74</v>
      </c>
      <c r="S2377" s="1" t="s">
        <v>74</v>
      </c>
      <c r="T2377" s="1" t="s">
        <v>38029</v>
      </c>
      <c r="U2377" s="1" t="s">
        <v>38030</v>
      </c>
      <c r="V2377" s="1" t="s">
        <v>38031</v>
      </c>
      <c r="W2377" s="1" t="s">
        <v>38032</v>
      </c>
      <c r="X2377" s="1" t="s">
        <v>38033</v>
      </c>
      <c r="Y2377" s="1" t="s">
        <v>38034</v>
      </c>
      <c r="Z2377" s="1" t="s">
        <v>32756</v>
      </c>
      <c r="AA2377" s="1" t="s">
        <v>38035</v>
      </c>
      <c r="AB2377" s="1" t="s">
        <v>38036</v>
      </c>
      <c r="AC2377" s="1" t="s">
        <v>38037</v>
      </c>
      <c r="AD2377" s="1" t="s">
        <v>38038</v>
      </c>
      <c r="AE2377" s="1" t="s">
        <v>38039</v>
      </c>
      <c r="AF2377" s="1" t="s">
        <v>74</v>
      </c>
      <c r="AG2377" s="1">
        <v>61</v>
      </c>
      <c r="AH2377" s="1">
        <v>9</v>
      </c>
      <c r="AI2377" s="1">
        <v>10</v>
      </c>
      <c r="AJ2377" s="1">
        <v>6</v>
      </c>
      <c r="AK2377" s="1">
        <v>46</v>
      </c>
      <c r="AL2377" s="1" t="s">
        <v>1350</v>
      </c>
      <c r="AM2377" s="1" t="s">
        <v>1351</v>
      </c>
      <c r="AN2377" s="1" t="s">
        <v>1352</v>
      </c>
      <c r="AO2377" s="1" t="s">
        <v>74</v>
      </c>
      <c r="AP2377" s="1" t="s">
        <v>1353</v>
      </c>
      <c r="AQ2377" s="1" t="s">
        <v>74</v>
      </c>
      <c r="AR2377" s="1" t="s">
        <v>1354</v>
      </c>
      <c r="AS2377" s="1" t="s">
        <v>1355</v>
      </c>
      <c r="AT2377" s="1" t="s">
        <v>38040</v>
      </c>
      <c r="AU2377" s="1">
        <v>2021</v>
      </c>
      <c r="AV2377" s="1">
        <v>8</v>
      </c>
      <c r="AW2377" s="1" t="s">
        <v>74</v>
      </c>
      <c r="AX2377" s="1" t="s">
        <v>74</v>
      </c>
      <c r="AY2377" s="1" t="s">
        <v>74</v>
      </c>
      <c r="AZ2377" s="1" t="s">
        <v>74</v>
      </c>
      <c r="BA2377" s="1" t="s">
        <v>74</v>
      </c>
      <c r="BB2377" s="1" t="s">
        <v>74</v>
      </c>
      <c r="BC2377" s="1" t="s">
        <v>74</v>
      </c>
      <c r="BD2377" s="1">
        <v>821019</v>
      </c>
      <c r="BE2377" s="1" t="s">
        <v>38041</v>
      </c>
      <c r="BF2377" s="1" t="str">
        <f>HYPERLINK("http://dx.doi.org/10.3389/fmars.2021.821019","http://dx.doi.org/10.3389/fmars.2021.821019")</f>
        <v>http://dx.doi.org/10.3389/fmars.2021.821019</v>
      </c>
      <c r="BG2377" s="1" t="s">
        <v>74</v>
      </c>
      <c r="BH2377" s="1" t="s">
        <v>74</v>
      </c>
      <c r="BI2377" s="1">
        <v>12</v>
      </c>
      <c r="BJ2377" s="1" t="s">
        <v>247</v>
      </c>
      <c r="BK2377" s="1" t="s">
        <v>96</v>
      </c>
      <c r="BL2377" s="1" t="s">
        <v>248</v>
      </c>
      <c r="BM2377" s="1" t="s">
        <v>38042</v>
      </c>
      <c r="BN2377" s="1" t="s">
        <v>74</v>
      </c>
      <c r="BO2377" s="1" t="s">
        <v>873</v>
      </c>
      <c r="BP2377" s="1" t="s">
        <v>74</v>
      </c>
      <c r="BQ2377" s="1" t="s">
        <v>74</v>
      </c>
      <c r="BR2377" s="1" t="s">
        <v>98</v>
      </c>
      <c r="BS2377" s="1" t="s">
        <v>38043</v>
      </c>
      <c r="BT2377" s="1" t="str">
        <f>HYPERLINK("https%3A%2F%2Fwww.webofscience.com%2Fwos%2Fwoscc%2Ffull-record%2FWOS:000745263700001","View Full Record in Web of Science")</f>
        <v>View Full Record in Web of Science</v>
      </c>
      <c r="BU2377" s="1"/>
      <c r="BV2377" s="1"/>
    </row>
    <row r="2378" spans="1:74">
      <c r="A2378" s="1" t="s">
        <v>72</v>
      </c>
      <c r="B2378" s="1" t="s">
        <v>38044</v>
      </c>
      <c r="C2378" s="1" t="s">
        <v>74</v>
      </c>
      <c r="D2378" s="1" t="s">
        <v>74</v>
      </c>
      <c r="E2378" s="1" t="s">
        <v>74</v>
      </c>
      <c r="F2378" s="1" t="s">
        <v>38045</v>
      </c>
      <c r="G2378" s="1" t="s">
        <v>74</v>
      </c>
      <c r="H2378" s="1" t="s">
        <v>74</v>
      </c>
      <c r="I2378" s="1" t="s">
        <v>38046</v>
      </c>
      <c r="J2378" s="1" t="s">
        <v>232</v>
      </c>
      <c r="K2378" s="1" t="s">
        <v>74</v>
      </c>
      <c r="L2378" s="1" t="s">
        <v>74</v>
      </c>
      <c r="M2378" s="1" t="s">
        <v>78</v>
      </c>
      <c r="N2378" s="1" t="s">
        <v>79</v>
      </c>
      <c r="O2378" s="1" t="s">
        <v>74</v>
      </c>
      <c r="P2378" s="1" t="s">
        <v>74</v>
      </c>
      <c r="Q2378" s="1" t="s">
        <v>74</v>
      </c>
      <c r="R2378" s="1" t="s">
        <v>74</v>
      </c>
      <c r="S2378" s="1" t="s">
        <v>74</v>
      </c>
      <c r="T2378" s="1" t="s">
        <v>74</v>
      </c>
      <c r="U2378" s="1" t="s">
        <v>38047</v>
      </c>
      <c r="V2378" s="1" t="s">
        <v>74</v>
      </c>
      <c r="W2378" s="1" t="s">
        <v>38048</v>
      </c>
      <c r="X2378" s="1" t="s">
        <v>38049</v>
      </c>
      <c r="Y2378" s="1" t="s">
        <v>38050</v>
      </c>
      <c r="Z2378" s="1" t="s">
        <v>38051</v>
      </c>
      <c r="AA2378" s="1" t="s">
        <v>74</v>
      </c>
      <c r="AB2378" s="1" t="s">
        <v>74</v>
      </c>
      <c r="AC2378" s="1" t="s">
        <v>74</v>
      </c>
      <c r="AD2378" s="1" t="s">
        <v>74</v>
      </c>
      <c r="AE2378" s="1" t="s">
        <v>74</v>
      </c>
      <c r="AF2378" s="1" t="s">
        <v>74</v>
      </c>
      <c r="AG2378" s="1">
        <v>56</v>
      </c>
      <c r="AH2378" s="1">
        <v>45</v>
      </c>
      <c r="AI2378" s="1">
        <v>48</v>
      </c>
      <c r="AJ2378" s="1">
        <v>0</v>
      </c>
      <c r="AK2378" s="1">
        <v>11</v>
      </c>
      <c r="AL2378" s="1" t="s">
        <v>136</v>
      </c>
      <c r="AM2378" s="1" t="s">
        <v>137</v>
      </c>
      <c r="AN2378" s="1" t="s">
        <v>138</v>
      </c>
      <c r="AO2378" s="1" t="s">
        <v>240</v>
      </c>
      <c r="AP2378" s="1" t="s">
        <v>241</v>
      </c>
      <c r="AQ2378" s="1" t="s">
        <v>74</v>
      </c>
      <c r="AR2378" s="1" t="s">
        <v>242</v>
      </c>
      <c r="AS2378" s="1" t="s">
        <v>243</v>
      </c>
      <c r="AT2378" s="1" t="s">
        <v>93</v>
      </c>
      <c r="AU2378" s="1">
        <v>2006</v>
      </c>
      <c r="AV2378" s="1">
        <v>52</v>
      </c>
      <c r="AW2378" s="1">
        <v>4</v>
      </c>
      <c r="AX2378" s="1" t="s">
        <v>74</v>
      </c>
      <c r="AY2378" s="1" t="s">
        <v>74</v>
      </c>
      <c r="AZ2378" s="1" t="s">
        <v>74</v>
      </c>
      <c r="BA2378" s="1" t="s">
        <v>74</v>
      </c>
      <c r="BB2378" s="1">
        <v>447</v>
      </c>
      <c r="BC2378" s="1">
        <v>453</v>
      </c>
      <c r="BD2378" s="1" t="s">
        <v>74</v>
      </c>
      <c r="BE2378" s="1" t="s">
        <v>38052</v>
      </c>
      <c r="BF2378" s="1" t="str">
        <f>HYPERLINK("http://dx.doi.org/10.1016/j.marpolbul.2005.12.012","http://dx.doi.org/10.1016/j.marpolbul.2005.12.012")</f>
        <v>http://dx.doi.org/10.1016/j.marpolbul.2005.12.012</v>
      </c>
      <c r="BG2378" s="1" t="s">
        <v>74</v>
      </c>
      <c r="BH2378" s="1" t="s">
        <v>74</v>
      </c>
      <c r="BI2378" s="1">
        <v>7</v>
      </c>
      <c r="BJ2378" s="1" t="s">
        <v>247</v>
      </c>
      <c r="BK2378" s="1" t="s">
        <v>96</v>
      </c>
      <c r="BL2378" s="1" t="s">
        <v>248</v>
      </c>
      <c r="BM2378" s="1" t="s">
        <v>26523</v>
      </c>
      <c r="BN2378" s="1">
        <v>16524599</v>
      </c>
      <c r="BO2378" s="1" t="s">
        <v>74</v>
      </c>
      <c r="BP2378" s="1" t="s">
        <v>74</v>
      </c>
      <c r="BQ2378" s="1" t="s">
        <v>74</v>
      </c>
      <c r="BR2378" s="1" t="s">
        <v>98</v>
      </c>
      <c r="BS2378" s="1" t="s">
        <v>38053</v>
      </c>
      <c r="BT2378" s="1" t="str">
        <f>HYPERLINK("https%3A%2F%2Fwww.webofscience.com%2Fwos%2Fwoscc%2Ffull-record%2FWOS:000237944700022","View Full Record in Web of Science")</f>
        <v>View Full Record in Web of Science</v>
      </c>
      <c r="BU2378" s="1"/>
      <c r="BV2378" s="1"/>
    </row>
    <row r="2379" spans="1:74">
      <c r="A2379" s="1" t="s">
        <v>72</v>
      </c>
      <c r="B2379" s="1" t="s">
        <v>38054</v>
      </c>
      <c r="C2379" s="1" t="s">
        <v>74</v>
      </c>
      <c r="D2379" s="1" t="s">
        <v>74</v>
      </c>
      <c r="E2379" s="1" t="s">
        <v>74</v>
      </c>
      <c r="F2379" s="1" t="s">
        <v>38055</v>
      </c>
      <c r="G2379" s="1" t="s">
        <v>74</v>
      </c>
      <c r="H2379" s="1" t="s">
        <v>74</v>
      </c>
      <c r="I2379" s="1" t="s">
        <v>38056</v>
      </c>
      <c r="J2379" s="1" t="s">
        <v>232</v>
      </c>
      <c r="K2379" s="1" t="s">
        <v>74</v>
      </c>
      <c r="L2379" s="1" t="s">
        <v>74</v>
      </c>
      <c r="M2379" s="1" t="s">
        <v>78</v>
      </c>
      <c r="N2379" s="1" t="s">
        <v>79</v>
      </c>
      <c r="O2379" s="1" t="s">
        <v>74</v>
      </c>
      <c r="P2379" s="1" t="s">
        <v>74</v>
      </c>
      <c r="Q2379" s="1" t="s">
        <v>74</v>
      </c>
      <c r="R2379" s="1" t="s">
        <v>74</v>
      </c>
      <c r="S2379" s="1" t="s">
        <v>74</v>
      </c>
      <c r="T2379" s="1" t="s">
        <v>38057</v>
      </c>
      <c r="U2379" s="1" t="s">
        <v>38058</v>
      </c>
      <c r="V2379" s="1" t="s">
        <v>38059</v>
      </c>
      <c r="W2379" s="1" t="s">
        <v>38060</v>
      </c>
      <c r="X2379" s="1" t="s">
        <v>38061</v>
      </c>
      <c r="Y2379" s="1" t="s">
        <v>38062</v>
      </c>
      <c r="Z2379" s="1" t="s">
        <v>38063</v>
      </c>
      <c r="AA2379" s="1" t="s">
        <v>38064</v>
      </c>
      <c r="AB2379" s="1" t="s">
        <v>38065</v>
      </c>
      <c r="AC2379" s="1" t="s">
        <v>38066</v>
      </c>
      <c r="AD2379" s="1" t="s">
        <v>38067</v>
      </c>
      <c r="AE2379" s="1" t="s">
        <v>38068</v>
      </c>
      <c r="AF2379" s="1" t="s">
        <v>74</v>
      </c>
      <c r="AG2379" s="1">
        <v>206</v>
      </c>
      <c r="AH2379" s="1">
        <v>12</v>
      </c>
      <c r="AI2379" s="1">
        <v>13</v>
      </c>
      <c r="AJ2379" s="1">
        <v>0</v>
      </c>
      <c r="AK2379" s="1">
        <v>21</v>
      </c>
      <c r="AL2379" s="1" t="s">
        <v>136</v>
      </c>
      <c r="AM2379" s="1" t="s">
        <v>137</v>
      </c>
      <c r="AN2379" s="1" t="s">
        <v>138</v>
      </c>
      <c r="AO2379" s="1" t="s">
        <v>240</v>
      </c>
      <c r="AP2379" s="1" t="s">
        <v>241</v>
      </c>
      <c r="AQ2379" s="1" t="s">
        <v>74</v>
      </c>
      <c r="AR2379" s="1" t="s">
        <v>242</v>
      </c>
      <c r="AS2379" s="1" t="s">
        <v>243</v>
      </c>
      <c r="AT2379" s="1" t="s">
        <v>765</v>
      </c>
      <c r="AU2379" s="1">
        <v>2020</v>
      </c>
      <c r="AV2379" s="1">
        <v>156</v>
      </c>
      <c r="AW2379" s="1" t="s">
        <v>74</v>
      </c>
      <c r="AX2379" s="1" t="s">
        <v>74</v>
      </c>
      <c r="AY2379" s="1" t="s">
        <v>74</v>
      </c>
      <c r="AZ2379" s="1" t="s">
        <v>74</v>
      </c>
      <c r="BA2379" s="1" t="s">
        <v>74</v>
      </c>
      <c r="BB2379" s="1" t="s">
        <v>74</v>
      </c>
      <c r="BC2379" s="1" t="s">
        <v>74</v>
      </c>
      <c r="BD2379" s="1">
        <v>111150</v>
      </c>
      <c r="BE2379" s="1" t="s">
        <v>38069</v>
      </c>
      <c r="BF2379" s="1" t="str">
        <f>HYPERLINK("http://dx.doi.org/10.1016/j.marpolbul.2020.111150","http://dx.doi.org/10.1016/j.marpolbul.2020.111150")</f>
        <v>http://dx.doi.org/10.1016/j.marpolbul.2020.111150</v>
      </c>
      <c r="BG2379" s="1" t="s">
        <v>74</v>
      </c>
      <c r="BH2379" s="1" t="s">
        <v>74</v>
      </c>
      <c r="BI2379" s="1">
        <v>23</v>
      </c>
      <c r="BJ2379" s="1" t="s">
        <v>247</v>
      </c>
      <c r="BK2379" s="1" t="s">
        <v>11915</v>
      </c>
      <c r="BL2379" s="1" t="s">
        <v>248</v>
      </c>
      <c r="BM2379" s="1" t="s">
        <v>6014</v>
      </c>
      <c r="BN2379" s="1">
        <v>32510354</v>
      </c>
      <c r="BO2379" s="1" t="s">
        <v>6830</v>
      </c>
      <c r="BP2379" s="1" t="s">
        <v>74</v>
      </c>
      <c r="BQ2379" s="1" t="s">
        <v>74</v>
      </c>
      <c r="BR2379" s="1" t="s">
        <v>98</v>
      </c>
      <c r="BS2379" s="1" t="s">
        <v>38070</v>
      </c>
      <c r="BT2379" s="1" t="str">
        <f>HYPERLINK("https%3A%2F%2Fwww.webofscience.com%2Fwos%2Fwoscc%2Ffull-record%2FWOS:000539160000062","View Full Record in Web of Science")</f>
        <v>View Full Record in Web of Science</v>
      </c>
      <c r="BU2379" s="1"/>
      <c r="BV2379" s="1"/>
    </row>
    <row r="2380" spans="1:74">
      <c r="A2380" s="1" t="s">
        <v>72</v>
      </c>
      <c r="B2380" s="1" t="s">
        <v>38071</v>
      </c>
      <c r="C2380" s="1" t="s">
        <v>74</v>
      </c>
      <c r="D2380" s="1" t="s">
        <v>74</v>
      </c>
      <c r="E2380" s="1" t="s">
        <v>74</v>
      </c>
      <c r="F2380" s="1" t="s">
        <v>38072</v>
      </c>
      <c r="G2380" s="1" t="s">
        <v>74</v>
      </c>
      <c r="H2380" s="1" t="s">
        <v>74</v>
      </c>
      <c r="I2380" s="1" t="s">
        <v>38073</v>
      </c>
      <c r="J2380" s="1" t="s">
        <v>7755</v>
      </c>
      <c r="K2380" s="1" t="s">
        <v>74</v>
      </c>
      <c r="L2380" s="1" t="s">
        <v>74</v>
      </c>
      <c r="M2380" s="1" t="s">
        <v>78</v>
      </c>
      <c r="N2380" s="1" t="s">
        <v>79</v>
      </c>
      <c r="O2380" s="1" t="s">
        <v>74</v>
      </c>
      <c r="P2380" s="1" t="s">
        <v>74</v>
      </c>
      <c r="Q2380" s="1" t="s">
        <v>74</v>
      </c>
      <c r="R2380" s="1" t="s">
        <v>74</v>
      </c>
      <c r="S2380" s="1" t="s">
        <v>74</v>
      </c>
      <c r="T2380" s="1" t="s">
        <v>38074</v>
      </c>
      <c r="U2380" s="1" t="s">
        <v>38075</v>
      </c>
      <c r="V2380" s="1" t="s">
        <v>38076</v>
      </c>
      <c r="W2380" s="1" t="s">
        <v>38077</v>
      </c>
      <c r="X2380" s="1" t="s">
        <v>38078</v>
      </c>
      <c r="Y2380" s="1" t="s">
        <v>38079</v>
      </c>
      <c r="Z2380" s="1" t="s">
        <v>38080</v>
      </c>
      <c r="AA2380" s="1" t="s">
        <v>38081</v>
      </c>
      <c r="AB2380" s="1" t="s">
        <v>38082</v>
      </c>
      <c r="AC2380" s="1" t="s">
        <v>74</v>
      </c>
      <c r="AD2380" s="1" t="s">
        <v>74</v>
      </c>
      <c r="AE2380" s="1" t="s">
        <v>74</v>
      </c>
      <c r="AF2380" s="1" t="s">
        <v>74</v>
      </c>
      <c r="AG2380" s="1">
        <v>51</v>
      </c>
      <c r="AH2380" s="1">
        <v>49</v>
      </c>
      <c r="AI2380" s="1">
        <v>57</v>
      </c>
      <c r="AJ2380" s="1">
        <v>0</v>
      </c>
      <c r="AK2380" s="1">
        <v>18</v>
      </c>
      <c r="AL2380" s="1" t="s">
        <v>4153</v>
      </c>
      <c r="AM2380" s="1" t="s">
        <v>87</v>
      </c>
      <c r="AN2380" s="1" t="s">
        <v>88</v>
      </c>
      <c r="AO2380" s="1" t="s">
        <v>7767</v>
      </c>
      <c r="AP2380" s="1" t="s">
        <v>7768</v>
      </c>
      <c r="AQ2380" s="1" t="s">
        <v>74</v>
      </c>
      <c r="AR2380" s="1" t="s">
        <v>7755</v>
      </c>
      <c r="AS2380" s="1" t="s">
        <v>7769</v>
      </c>
      <c r="AT2380" s="1" t="s">
        <v>305</v>
      </c>
      <c r="AU2380" s="1">
        <v>2007</v>
      </c>
      <c r="AV2380" s="1">
        <v>7</v>
      </c>
      <c r="AW2380" s="1">
        <v>18</v>
      </c>
      <c r="AX2380" s="1" t="s">
        <v>74</v>
      </c>
      <c r="AY2380" s="1" t="s">
        <v>74</v>
      </c>
      <c r="AZ2380" s="1" t="s">
        <v>74</v>
      </c>
      <c r="BA2380" s="1" t="s">
        <v>74</v>
      </c>
      <c r="BB2380" s="1">
        <v>3395</v>
      </c>
      <c r="BC2380" s="1">
        <v>3403</v>
      </c>
      <c r="BD2380" s="1" t="s">
        <v>74</v>
      </c>
      <c r="BE2380" s="1" t="s">
        <v>38083</v>
      </c>
      <c r="BF2380" s="1" t="str">
        <f>HYPERLINK("http://dx.doi.org/10.1002/pmic.200700241","http://dx.doi.org/10.1002/pmic.200700241")</f>
        <v>http://dx.doi.org/10.1002/pmic.200700241</v>
      </c>
      <c r="BG2380" s="1" t="s">
        <v>74</v>
      </c>
      <c r="BH2380" s="1" t="s">
        <v>74</v>
      </c>
      <c r="BI2380" s="1">
        <v>9</v>
      </c>
      <c r="BJ2380" s="1" t="s">
        <v>7771</v>
      </c>
      <c r="BK2380" s="1" t="s">
        <v>96</v>
      </c>
      <c r="BL2380" s="1" t="s">
        <v>3805</v>
      </c>
      <c r="BM2380" s="1" t="s">
        <v>38084</v>
      </c>
      <c r="BN2380" s="1">
        <v>17722142</v>
      </c>
      <c r="BO2380" s="1" t="s">
        <v>74</v>
      </c>
      <c r="BP2380" s="1" t="s">
        <v>74</v>
      </c>
      <c r="BQ2380" s="1" t="s">
        <v>74</v>
      </c>
      <c r="BR2380" s="1" t="s">
        <v>98</v>
      </c>
      <c r="BS2380" s="1" t="s">
        <v>38085</v>
      </c>
      <c r="BT2380" s="1" t="str">
        <f>HYPERLINK("https%3A%2F%2Fwww.webofscience.com%2Fwos%2Fwoscc%2Ffull-record%2FWOS:000249903900016","View Full Record in Web of Science")</f>
        <v>View Full Record in Web of Science</v>
      </c>
      <c r="BU2380" s="1"/>
      <c r="BV2380" s="1"/>
    </row>
    <row r="2381" spans="1:74">
      <c r="A2381" s="1" t="s">
        <v>72</v>
      </c>
      <c r="B2381" s="1" t="s">
        <v>11329</v>
      </c>
      <c r="C2381" s="1" t="s">
        <v>74</v>
      </c>
      <c r="D2381" s="1" t="s">
        <v>74</v>
      </c>
      <c r="E2381" s="1" t="s">
        <v>74</v>
      </c>
      <c r="F2381" s="1" t="s">
        <v>11329</v>
      </c>
      <c r="G2381" s="1" t="s">
        <v>74</v>
      </c>
      <c r="H2381" s="1" t="s">
        <v>74</v>
      </c>
      <c r="I2381" s="1" t="s">
        <v>38086</v>
      </c>
      <c r="J2381" s="1" t="s">
        <v>232</v>
      </c>
      <c r="K2381" s="1" t="s">
        <v>74</v>
      </c>
      <c r="L2381" s="1" t="s">
        <v>74</v>
      </c>
      <c r="M2381" s="1" t="s">
        <v>78</v>
      </c>
      <c r="N2381" s="1" t="s">
        <v>151</v>
      </c>
      <c r="O2381" s="1" t="s">
        <v>13803</v>
      </c>
      <c r="P2381" s="1" t="s">
        <v>13804</v>
      </c>
      <c r="Q2381" s="1" t="s">
        <v>235</v>
      </c>
      <c r="R2381" s="1" t="s">
        <v>74</v>
      </c>
      <c r="S2381" s="1" t="s">
        <v>74</v>
      </c>
      <c r="T2381" s="1" t="s">
        <v>38087</v>
      </c>
      <c r="U2381" s="1" t="s">
        <v>38088</v>
      </c>
      <c r="V2381" s="1" t="s">
        <v>38089</v>
      </c>
      <c r="W2381" s="1" t="s">
        <v>11334</v>
      </c>
      <c r="X2381" s="1" t="s">
        <v>11335</v>
      </c>
      <c r="Y2381" s="1" t="s">
        <v>11336</v>
      </c>
      <c r="Z2381" s="1" t="s">
        <v>74</v>
      </c>
      <c r="AA2381" s="1" t="s">
        <v>74</v>
      </c>
      <c r="AB2381" s="1" t="s">
        <v>74</v>
      </c>
      <c r="AC2381" s="1" t="s">
        <v>74</v>
      </c>
      <c r="AD2381" s="1" t="s">
        <v>74</v>
      </c>
      <c r="AE2381" s="1" t="s">
        <v>74</v>
      </c>
      <c r="AF2381" s="1" t="s">
        <v>74</v>
      </c>
      <c r="AG2381" s="1">
        <v>56</v>
      </c>
      <c r="AH2381" s="1">
        <v>45</v>
      </c>
      <c r="AI2381" s="1">
        <v>49</v>
      </c>
      <c r="AJ2381" s="1">
        <v>1</v>
      </c>
      <c r="AK2381" s="1">
        <v>13</v>
      </c>
      <c r="AL2381" s="1" t="s">
        <v>136</v>
      </c>
      <c r="AM2381" s="1" t="s">
        <v>137</v>
      </c>
      <c r="AN2381" s="1" t="s">
        <v>138</v>
      </c>
      <c r="AO2381" s="1" t="s">
        <v>240</v>
      </c>
      <c r="AP2381" s="1" t="s">
        <v>241</v>
      </c>
      <c r="AQ2381" s="1" t="s">
        <v>74</v>
      </c>
      <c r="AR2381" s="1" t="s">
        <v>242</v>
      </c>
      <c r="AS2381" s="1" t="s">
        <v>243</v>
      </c>
      <c r="AT2381" s="1" t="s">
        <v>13813</v>
      </c>
      <c r="AU2381" s="1">
        <v>1999</v>
      </c>
      <c r="AV2381" s="1">
        <v>39</v>
      </c>
      <c r="AW2381" s="1" t="s">
        <v>9275</v>
      </c>
      <c r="AX2381" s="1" t="s">
        <v>74</v>
      </c>
      <c r="AY2381" s="1" t="s">
        <v>74</v>
      </c>
      <c r="AZ2381" s="1" t="s">
        <v>74</v>
      </c>
      <c r="BA2381" s="1" t="s">
        <v>74</v>
      </c>
      <c r="BB2381" s="1">
        <v>261</v>
      </c>
      <c r="BC2381" s="1">
        <v>268</v>
      </c>
      <c r="BD2381" s="1" t="s">
        <v>74</v>
      </c>
      <c r="BE2381" s="1" t="s">
        <v>38090</v>
      </c>
      <c r="BF2381" s="1" t="str">
        <f>HYPERLINK("http://dx.doi.org/10.1016/S0025-326X(98)90189-8","http://dx.doi.org/10.1016/S0025-326X(98)90189-8")</f>
        <v>http://dx.doi.org/10.1016/S0025-326X(98)90189-8</v>
      </c>
      <c r="BG2381" s="1" t="s">
        <v>74</v>
      </c>
      <c r="BH2381" s="1" t="s">
        <v>74</v>
      </c>
      <c r="BI2381" s="1">
        <v>8</v>
      </c>
      <c r="BJ2381" s="1" t="s">
        <v>247</v>
      </c>
      <c r="BK2381" s="1" t="s">
        <v>172</v>
      </c>
      <c r="BL2381" s="1" t="s">
        <v>248</v>
      </c>
      <c r="BM2381" s="1" t="s">
        <v>13815</v>
      </c>
      <c r="BN2381" s="1" t="s">
        <v>74</v>
      </c>
      <c r="BO2381" s="1" t="s">
        <v>74</v>
      </c>
      <c r="BP2381" s="1" t="s">
        <v>74</v>
      </c>
      <c r="BQ2381" s="1" t="s">
        <v>74</v>
      </c>
      <c r="BR2381" s="1" t="s">
        <v>98</v>
      </c>
      <c r="BS2381" s="1" t="s">
        <v>38091</v>
      </c>
      <c r="BT2381" s="1" t="str">
        <f>HYPERLINK("https%3A%2F%2Fwww.webofscience.com%2Fwos%2Fwoscc%2Ffull-record%2FWOS:000083356500038","View Full Record in Web of Science")</f>
        <v>View Full Record in Web of Science</v>
      </c>
      <c r="BU2381" s="1"/>
      <c r="BV2381" s="1"/>
    </row>
    <row r="2382" spans="1:74">
      <c r="A2382" s="1" t="s">
        <v>72</v>
      </c>
      <c r="B2382" s="1" t="s">
        <v>38092</v>
      </c>
      <c r="C2382" s="1" t="s">
        <v>74</v>
      </c>
      <c r="D2382" s="1" t="s">
        <v>74</v>
      </c>
      <c r="E2382" s="1" t="s">
        <v>74</v>
      </c>
      <c r="F2382" s="1" t="s">
        <v>38093</v>
      </c>
      <c r="G2382" s="1" t="s">
        <v>74</v>
      </c>
      <c r="H2382" s="1" t="s">
        <v>74</v>
      </c>
      <c r="I2382" s="1" t="s">
        <v>38094</v>
      </c>
      <c r="J2382" s="1" t="s">
        <v>232</v>
      </c>
      <c r="K2382" s="1" t="s">
        <v>74</v>
      </c>
      <c r="L2382" s="1" t="s">
        <v>74</v>
      </c>
      <c r="M2382" s="1" t="s">
        <v>78</v>
      </c>
      <c r="N2382" s="1" t="s">
        <v>79</v>
      </c>
      <c r="O2382" s="1" t="s">
        <v>74</v>
      </c>
      <c r="P2382" s="1" t="s">
        <v>74</v>
      </c>
      <c r="Q2382" s="1" t="s">
        <v>74</v>
      </c>
      <c r="R2382" s="1" t="s">
        <v>74</v>
      </c>
      <c r="S2382" s="1" t="s">
        <v>74</v>
      </c>
      <c r="T2382" s="1" t="s">
        <v>38095</v>
      </c>
      <c r="U2382" s="1" t="s">
        <v>38096</v>
      </c>
      <c r="V2382" s="1" t="s">
        <v>38097</v>
      </c>
      <c r="W2382" s="1" t="s">
        <v>38098</v>
      </c>
      <c r="X2382" s="1" t="s">
        <v>646</v>
      </c>
      <c r="Y2382" s="1" t="s">
        <v>38099</v>
      </c>
      <c r="Z2382" s="1" t="s">
        <v>38100</v>
      </c>
      <c r="AA2382" s="1" t="s">
        <v>6572</v>
      </c>
      <c r="AB2382" s="1" t="s">
        <v>38101</v>
      </c>
      <c r="AC2382" s="1" t="s">
        <v>38102</v>
      </c>
      <c r="AD2382" s="1" t="s">
        <v>38103</v>
      </c>
      <c r="AE2382" s="1" t="s">
        <v>38104</v>
      </c>
      <c r="AF2382" s="1" t="s">
        <v>74</v>
      </c>
      <c r="AG2382" s="1">
        <v>56</v>
      </c>
      <c r="AH2382" s="1">
        <v>10</v>
      </c>
      <c r="AI2382" s="1">
        <v>10</v>
      </c>
      <c r="AJ2382" s="1">
        <v>4</v>
      </c>
      <c r="AK2382" s="1">
        <v>23</v>
      </c>
      <c r="AL2382" s="1" t="s">
        <v>136</v>
      </c>
      <c r="AM2382" s="1" t="s">
        <v>137</v>
      </c>
      <c r="AN2382" s="1" t="s">
        <v>138</v>
      </c>
      <c r="AO2382" s="1" t="s">
        <v>240</v>
      </c>
      <c r="AP2382" s="1" t="s">
        <v>241</v>
      </c>
      <c r="AQ2382" s="1" t="s">
        <v>74</v>
      </c>
      <c r="AR2382" s="1" t="s">
        <v>242</v>
      </c>
      <c r="AS2382" s="1" t="s">
        <v>243</v>
      </c>
      <c r="AT2382" s="1" t="s">
        <v>142</v>
      </c>
      <c r="AU2382" s="1">
        <v>2023</v>
      </c>
      <c r="AV2382" s="1">
        <v>191</v>
      </c>
      <c r="AW2382" s="1" t="s">
        <v>74</v>
      </c>
      <c r="AX2382" s="1" t="s">
        <v>74</v>
      </c>
      <c r="AY2382" s="1" t="s">
        <v>74</v>
      </c>
      <c r="AZ2382" s="1" t="s">
        <v>74</v>
      </c>
      <c r="BA2382" s="1" t="s">
        <v>74</v>
      </c>
      <c r="BB2382" s="1" t="s">
        <v>74</v>
      </c>
      <c r="BC2382" s="1" t="s">
        <v>74</v>
      </c>
      <c r="BD2382" s="1">
        <v>114850</v>
      </c>
      <c r="BE2382" s="1" t="s">
        <v>38105</v>
      </c>
      <c r="BF2382" s="1" t="str">
        <f>HYPERLINK("http://dx.doi.org/10.1016/j.marpolbul.2023.114850","http://dx.doi.org/10.1016/j.marpolbul.2023.114850")</f>
        <v>http://dx.doi.org/10.1016/j.marpolbul.2023.114850</v>
      </c>
      <c r="BG2382" s="1" t="s">
        <v>74</v>
      </c>
      <c r="BH2382" s="1" t="s">
        <v>2540</v>
      </c>
      <c r="BI2382" s="1">
        <v>8</v>
      </c>
      <c r="BJ2382" s="1" t="s">
        <v>247</v>
      </c>
      <c r="BK2382" s="1" t="s">
        <v>96</v>
      </c>
      <c r="BL2382" s="1" t="s">
        <v>248</v>
      </c>
      <c r="BM2382" s="1" t="s">
        <v>38106</v>
      </c>
      <c r="BN2382" s="1">
        <v>37019034</v>
      </c>
      <c r="BO2382" s="1" t="s">
        <v>810</v>
      </c>
      <c r="BP2382" s="1" t="s">
        <v>74</v>
      </c>
      <c r="BQ2382" s="1" t="s">
        <v>74</v>
      </c>
      <c r="BR2382" s="1" t="s">
        <v>98</v>
      </c>
      <c r="BS2382" s="1" t="s">
        <v>38107</v>
      </c>
      <c r="BT2382" s="1" t="str">
        <f>HYPERLINK("https%3A%2F%2Fwww.webofscience.com%2Fwos%2Fwoscc%2Ffull-record%2FWOS:000972413900001","View Full Record in Web of Science")</f>
        <v>View Full Record in Web of Science</v>
      </c>
      <c r="BU2382" s="1"/>
      <c r="BV2382" s="1"/>
    </row>
    <row r="2383" spans="1:74">
      <c r="A2383" s="1" t="s">
        <v>72</v>
      </c>
      <c r="B2383" s="1" t="s">
        <v>38108</v>
      </c>
      <c r="C2383" s="1" t="s">
        <v>74</v>
      </c>
      <c r="D2383" s="1" t="s">
        <v>74</v>
      </c>
      <c r="E2383" s="1" t="s">
        <v>74</v>
      </c>
      <c r="F2383" s="1" t="s">
        <v>38109</v>
      </c>
      <c r="G2383" s="1" t="s">
        <v>74</v>
      </c>
      <c r="H2383" s="1" t="s">
        <v>74</v>
      </c>
      <c r="I2383" s="1" t="s">
        <v>38110</v>
      </c>
      <c r="J2383" s="1" t="s">
        <v>19977</v>
      </c>
      <c r="K2383" s="1" t="s">
        <v>74</v>
      </c>
      <c r="L2383" s="1" t="s">
        <v>74</v>
      </c>
      <c r="M2383" s="1" t="s">
        <v>78</v>
      </c>
      <c r="N2383" s="1" t="s">
        <v>79</v>
      </c>
      <c r="O2383" s="1" t="s">
        <v>74</v>
      </c>
      <c r="P2383" s="1" t="s">
        <v>74</v>
      </c>
      <c r="Q2383" s="1" t="s">
        <v>74</v>
      </c>
      <c r="R2383" s="1" t="s">
        <v>74</v>
      </c>
      <c r="S2383" s="1" t="s">
        <v>74</v>
      </c>
      <c r="T2383" s="1" t="s">
        <v>74</v>
      </c>
      <c r="U2383" s="1" t="s">
        <v>38111</v>
      </c>
      <c r="V2383" s="1" t="s">
        <v>38112</v>
      </c>
      <c r="W2383" s="1" t="s">
        <v>38113</v>
      </c>
      <c r="X2383" s="1" t="s">
        <v>38114</v>
      </c>
      <c r="Y2383" s="1" t="s">
        <v>38115</v>
      </c>
      <c r="Z2383" s="1" t="s">
        <v>38116</v>
      </c>
      <c r="AA2383" s="1" t="s">
        <v>38117</v>
      </c>
      <c r="AB2383" s="1" t="s">
        <v>38118</v>
      </c>
      <c r="AC2383" s="1" t="s">
        <v>38119</v>
      </c>
      <c r="AD2383" s="1" t="s">
        <v>38120</v>
      </c>
      <c r="AE2383" s="1" t="s">
        <v>38121</v>
      </c>
      <c r="AF2383" s="1" t="s">
        <v>74</v>
      </c>
      <c r="AG2383" s="1">
        <v>43</v>
      </c>
      <c r="AH2383" s="1">
        <v>28</v>
      </c>
      <c r="AI2383" s="1">
        <v>32</v>
      </c>
      <c r="AJ2383" s="1">
        <v>2</v>
      </c>
      <c r="AK2383" s="1">
        <v>56</v>
      </c>
      <c r="AL2383" s="1" t="s">
        <v>261</v>
      </c>
      <c r="AM2383" s="1" t="s">
        <v>262</v>
      </c>
      <c r="AN2383" s="1" t="s">
        <v>19471</v>
      </c>
      <c r="AO2383" s="1" t="s">
        <v>19989</v>
      </c>
      <c r="AP2383" s="1" t="s">
        <v>19990</v>
      </c>
      <c r="AQ2383" s="1" t="s">
        <v>74</v>
      </c>
      <c r="AR2383" s="1" t="s">
        <v>19991</v>
      </c>
      <c r="AS2383" s="1" t="s">
        <v>19992</v>
      </c>
      <c r="AT2383" s="1" t="s">
        <v>74</v>
      </c>
      <c r="AU2383" s="1">
        <v>2011</v>
      </c>
      <c r="AV2383" s="1">
        <v>26</v>
      </c>
      <c r="AW2383" s="1">
        <v>7</v>
      </c>
      <c r="AX2383" s="1" t="s">
        <v>74</v>
      </c>
      <c r="AY2383" s="1" t="s">
        <v>74</v>
      </c>
      <c r="AZ2383" s="1" t="s">
        <v>74</v>
      </c>
      <c r="BA2383" s="1" t="s">
        <v>74</v>
      </c>
      <c r="BB2383" s="1">
        <v>1421</v>
      </c>
      <c r="BC2383" s="1">
        <v>1427</v>
      </c>
      <c r="BD2383" s="1" t="s">
        <v>74</v>
      </c>
      <c r="BE2383" s="1" t="s">
        <v>38122</v>
      </c>
      <c r="BF2383" s="1" t="str">
        <f>HYPERLINK("http://dx.doi.org/10.1039/c1ja10037h","http://dx.doi.org/10.1039/c1ja10037h")</f>
        <v>http://dx.doi.org/10.1039/c1ja10037h</v>
      </c>
      <c r="BG2383" s="1" t="s">
        <v>74</v>
      </c>
      <c r="BH2383" s="1" t="s">
        <v>74</v>
      </c>
      <c r="BI2383" s="1">
        <v>7</v>
      </c>
      <c r="BJ2383" s="1" t="s">
        <v>19995</v>
      </c>
      <c r="BK2383" s="1" t="s">
        <v>96</v>
      </c>
      <c r="BL2383" s="1" t="s">
        <v>19996</v>
      </c>
      <c r="BM2383" s="1" t="s">
        <v>38123</v>
      </c>
      <c r="BN2383" s="1" t="s">
        <v>74</v>
      </c>
      <c r="BO2383" s="1" t="s">
        <v>74</v>
      </c>
      <c r="BP2383" s="1" t="s">
        <v>74</v>
      </c>
      <c r="BQ2383" s="1" t="s">
        <v>74</v>
      </c>
      <c r="BR2383" s="1" t="s">
        <v>98</v>
      </c>
      <c r="BS2383" s="1" t="s">
        <v>38124</v>
      </c>
      <c r="BT2383" s="1" t="str">
        <f>HYPERLINK("https%3A%2F%2Fwww.webofscience.com%2Fwos%2Fwoscc%2Ffull-record%2FWOS:000291946600013","View Full Record in Web of Science")</f>
        <v>View Full Record in Web of Science</v>
      </c>
      <c r="BU2383" s="1"/>
      <c r="BV2383" s="1"/>
    </row>
    <row r="2384" spans="1:74">
      <c r="A2384" s="1" t="s">
        <v>72</v>
      </c>
      <c r="B2384" s="1" t="s">
        <v>38125</v>
      </c>
      <c r="C2384" s="1" t="s">
        <v>74</v>
      </c>
      <c r="D2384" s="1" t="s">
        <v>74</v>
      </c>
      <c r="E2384" s="1" t="s">
        <v>74</v>
      </c>
      <c r="F2384" s="1" t="s">
        <v>38126</v>
      </c>
      <c r="G2384" s="1" t="s">
        <v>74</v>
      </c>
      <c r="H2384" s="1" t="s">
        <v>74</v>
      </c>
      <c r="I2384" s="1" t="s">
        <v>38127</v>
      </c>
      <c r="J2384" s="1" t="s">
        <v>232</v>
      </c>
      <c r="K2384" s="1" t="s">
        <v>74</v>
      </c>
      <c r="L2384" s="1" t="s">
        <v>74</v>
      </c>
      <c r="M2384" s="1" t="s">
        <v>78</v>
      </c>
      <c r="N2384" s="1" t="s">
        <v>79</v>
      </c>
      <c r="O2384" s="1" t="s">
        <v>74</v>
      </c>
      <c r="P2384" s="1" t="s">
        <v>74</v>
      </c>
      <c r="Q2384" s="1" t="s">
        <v>74</v>
      </c>
      <c r="R2384" s="1" t="s">
        <v>74</v>
      </c>
      <c r="S2384" s="1" t="s">
        <v>74</v>
      </c>
      <c r="T2384" s="1" t="s">
        <v>38128</v>
      </c>
      <c r="U2384" s="1" t="s">
        <v>38129</v>
      </c>
      <c r="V2384" s="1" t="s">
        <v>38130</v>
      </c>
      <c r="W2384" s="1" t="s">
        <v>38131</v>
      </c>
      <c r="X2384" s="1" t="s">
        <v>18677</v>
      </c>
      <c r="Y2384" s="1" t="s">
        <v>38132</v>
      </c>
      <c r="Z2384" s="1" t="s">
        <v>32475</v>
      </c>
      <c r="AA2384" s="1" t="s">
        <v>38133</v>
      </c>
      <c r="AB2384" s="1" t="s">
        <v>32477</v>
      </c>
      <c r="AC2384" s="1" t="s">
        <v>32478</v>
      </c>
      <c r="AD2384" s="1" t="s">
        <v>32479</v>
      </c>
      <c r="AE2384" s="1" t="s">
        <v>38134</v>
      </c>
      <c r="AF2384" s="1" t="s">
        <v>74</v>
      </c>
      <c r="AG2384" s="1">
        <v>56</v>
      </c>
      <c r="AH2384" s="1">
        <v>8</v>
      </c>
      <c r="AI2384" s="1">
        <v>10</v>
      </c>
      <c r="AJ2384" s="1">
        <v>0</v>
      </c>
      <c r="AK2384" s="1">
        <v>6</v>
      </c>
      <c r="AL2384" s="1" t="s">
        <v>136</v>
      </c>
      <c r="AM2384" s="1" t="s">
        <v>137</v>
      </c>
      <c r="AN2384" s="1" t="s">
        <v>138</v>
      </c>
      <c r="AO2384" s="1" t="s">
        <v>240</v>
      </c>
      <c r="AP2384" s="1" t="s">
        <v>241</v>
      </c>
      <c r="AQ2384" s="1" t="s">
        <v>74</v>
      </c>
      <c r="AR2384" s="1" t="s">
        <v>242</v>
      </c>
      <c r="AS2384" s="1" t="s">
        <v>243</v>
      </c>
      <c r="AT2384" s="1" t="s">
        <v>119</v>
      </c>
      <c r="AU2384" s="1">
        <v>2009</v>
      </c>
      <c r="AV2384" s="1">
        <v>58</v>
      </c>
      <c r="AW2384" s="1">
        <v>8</v>
      </c>
      <c r="AX2384" s="1" t="s">
        <v>74</v>
      </c>
      <c r="AY2384" s="1" t="s">
        <v>74</v>
      </c>
      <c r="AZ2384" s="1" t="s">
        <v>74</v>
      </c>
      <c r="BA2384" s="1" t="s">
        <v>74</v>
      </c>
      <c r="BB2384" s="1">
        <v>1152</v>
      </c>
      <c r="BC2384" s="1">
        <v>1158</v>
      </c>
      <c r="BD2384" s="1" t="s">
        <v>74</v>
      </c>
      <c r="BE2384" s="1" t="s">
        <v>38135</v>
      </c>
      <c r="BF2384" s="1" t="str">
        <f>HYPERLINK("http://dx.doi.org/10.1016/j.marpolbul.2009.04.003","http://dx.doi.org/10.1016/j.marpolbul.2009.04.003")</f>
        <v>http://dx.doi.org/10.1016/j.marpolbul.2009.04.003</v>
      </c>
      <c r="BG2384" s="1" t="s">
        <v>74</v>
      </c>
      <c r="BH2384" s="1" t="s">
        <v>74</v>
      </c>
      <c r="BI2384" s="1">
        <v>7</v>
      </c>
      <c r="BJ2384" s="1" t="s">
        <v>247</v>
      </c>
      <c r="BK2384" s="1" t="s">
        <v>96</v>
      </c>
      <c r="BL2384" s="1" t="s">
        <v>248</v>
      </c>
      <c r="BM2384" s="1" t="s">
        <v>4742</v>
      </c>
      <c r="BN2384" s="1">
        <v>19406439</v>
      </c>
      <c r="BO2384" s="1" t="s">
        <v>74</v>
      </c>
      <c r="BP2384" s="1" t="s">
        <v>74</v>
      </c>
      <c r="BQ2384" s="1" t="s">
        <v>74</v>
      </c>
      <c r="BR2384" s="1" t="s">
        <v>98</v>
      </c>
      <c r="BS2384" s="1" t="s">
        <v>38136</v>
      </c>
      <c r="BT2384" s="1" t="str">
        <f>HYPERLINK("https%3A%2F%2Fwww.webofscience.com%2Fwos%2Fwoscc%2Ffull-record%2FWOS:000269142000018","View Full Record in Web of Science")</f>
        <v>View Full Record in Web of Science</v>
      </c>
      <c r="BU2384" s="1"/>
      <c r="BV2384" s="1"/>
    </row>
    <row r="2385" spans="1:74">
      <c r="A2385" s="1" t="s">
        <v>72</v>
      </c>
      <c r="B2385" s="1" t="s">
        <v>38137</v>
      </c>
      <c r="C2385" s="1" t="s">
        <v>74</v>
      </c>
      <c r="D2385" s="1" t="s">
        <v>74</v>
      </c>
      <c r="E2385" s="1" t="s">
        <v>74</v>
      </c>
      <c r="F2385" s="1" t="s">
        <v>38137</v>
      </c>
      <c r="G2385" s="1" t="s">
        <v>74</v>
      </c>
      <c r="H2385" s="1" t="s">
        <v>74</v>
      </c>
      <c r="I2385" s="1" t="s">
        <v>38138</v>
      </c>
      <c r="J2385" s="1" t="s">
        <v>232</v>
      </c>
      <c r="K2385" s="1" t="s">
        <v>74</v>
      </c>
      <c r="L2385" s="1" t="s">
        <v>74</v>
      </c>
      <c r="M2385" s="1" t="s">
        <v>78</v>
      </c>
      <c r="N2385" s="1" t="s">
        <v>79</v>
      </c>
      <c r="O2385" s="1" t="s">
        <v>74</v>
      </c>
      <c r="P2385" s="1" t="s">
        <v>74</v>
      </c>
      <c r="Q2385" s="1" t="s">
        <v>74</v>
      </c>
      <c r="R2385" s="1" t="s">
        <v>74</v>
      </c>
      <c r="S2385" s="1" t="s">
        <v>74</v>
      </c>
      <c r="T2385" s="1" t="s">
        <v>74</v>
      </c>
      <c r="U2385" s="1" t="s">
        <v>38139</v>
      </c>
      <c r="V2385" s="1" t="s">
        <v>74</v>
      </c>
      <c r="W2385" s="1" t="s">
        <v>38140</v>
      </c>
      <c r="X2385" s="1" t="s">
        <v>38141</v>
      </c>
      <c r="Y2385" s="1" t="s">
        <v>74</v>
      </c>
      <c r="Z2385" s="1" t="s">
        <v>74</v>
      </c>
      <c r="AA2385" s="1" t="s">
        <v>74</v>
      </c>
      <c r="AB2385" s="1" t="s">
        <v>74</v>
      </c>
      <c r="AC2385" s="1" t="s">
        <v>74</v>
      </c>
      <c r="AD2385" s="1" t="s">
        <v>74</v>
      </c>
      <c r="AE2385" s="1" t="s">
        <v>74</v>
      </c>
      <c r="AF2385" s="1" t="s">
        <v>74</v>
      </c>
      <c r="AG2385" s="1">
        <v>26</v>
      </c>
      <c r="AH2385" s="1">
        <v>14</v>
      </c>
      <c r="AI2385" s="1">
        <v>15</v>
      </c>
      <c r="AJ2385" s="1">
        <v>0</v>
      </c>
      <c r="AK2385" s="1">
        <v>0</v>
      </c>
      <c r="AL2385" s="1" t="s">
        <v>136</v>
      </c>
      <c r="AM2385" s="1" t="s">
        <v>137</v>
      </c>
      <c r="AN2385" s="1" t="s">
        <v>138</v>
      </c>
      <c r="AO2385" s="1" t="s">
        <v>240</v>
      </c>
      <c r="AP2385" s="1" t="s">
        <v>241</v>
      </c>
      <c r="AQ2385" s="1" t="s">
        <v>74</v>
      </c>
      <c r="AR2385" s="1" t="s">
        <v>242</v>
      </c>
      <c r="AS2385" s="1" t="s">
        <v>243</v>
      </c>
      <c r="AT2385" s="1" t="s">
        <v>142</v>
      </c>
      <c r="AU2385" s="1">
        <v>1996</v>
      </c>
      <c r="AV2385" s="1">
        <v>32</v>
      </c>
      <c r="AW2385" s="1">
        <v>6</v>
      </c>
      <c r="AX2385" s="1" t="s">
        <v>74</v>
      </c>
      <c r="AY2385" s="1" t="s">
        <v>74</v>
      </c>
      <c r="AZ2385" s="1" t="s">
        <v>74</v>
      </c>
      <c r="BA2385" s="1" t="s">
        <v>74</v>
      </c>
      <c r="BB2385" s="1">
        <v>513</v>
      </c>
      <c r="BC2385" s="1">
        <v>519</v>
      </c>
      <c r="BD2385" s="1" t="s">
        <v>74</v>
      </c>
      <c r="BE2385" s="1" t="s">
        <v>38142</v>
      </c>
      <c r="BF2385" s="1" t="str">
        <f>HYPERLINK("http://dx.doi.org/10.1016/0025-326X(96)00007-0","http://dx.doi.org/10.1016/0025-326X(96)00007-0")</f>
        <v>http://dx.doi.org/10.1016/0025-326X(96)00007-0</v>
      </c>
      <c r="BG2385" s="1" t="s">
        <v>74</v>
      </c>
      <c r="BH2385" s="1" t="s">
        <v>74</v>
      </c>
      <c r="BI2385" s="1">
        <v>7</v>
      </c>
      <c r="BJ2385" s="1" t="s">
        <v>247</v>
      </c>
      <c r="BK2385" s="1" t="s">
        <v>96</v>
      </c>
      <c r="BL2385" s="1" t="s">
        <v>248</v>
      </c>
      <c r="BM2385" s="1" t="s">
        <v>38143</v>
      </c>
      <c r="BN2385" s="1" t="s">
        <v>74</v>
      </c>
      <c r="BO2385" s="1" t="s">
        <v>74</v>
      </c>
      <c r="BP2385" s="1" t="s">
        <v>74</v>
      </c>
      <c r="BQ2385" s="1" t="s">
        <v>74</v>
      </c>
      <c r="BR2385" s="1" t="s">
        <v>98</v>
      </c>
      <c r="BS2385" s="1" t="s">
        <v>38144</v>
      </c>
      <c r="BT2385" s="1" t="str">
        <f>HYPERLINK("https%3A%2F%2Fwww.webofscience.com%2Fwos%2Fwoscc%2Ffull-record%2FWOS:A1996UW41600018","View Full Record in Web of Science")</f>
        <v>View Full Record in Web of Science</v>
      </c>
      <c r="BU2385" s="1"/>
      <c r="BV2385" s="1"/>
    </row>
    <row r="2386" spans="1:74">
      <c r="A2386" s="1" t="s">
        <v>72</v>
      </c>
      <c r="B2386" s="1" t="s">
        <v>38145</v>
      </c>
      <c r="C2386" s="1" t="s">
        <v>74</v>
      </c>
      <c r="D2386" s="1" t="s">
        <v>74</v>
      </c>
      <c r="E2386" s="1" t="s">
        <v>74</v>
      </c>
      <c r="F2386" s="1" t="s">
        <v>38146</v>
      </c>
      <c r="G2386" s="1" t="s">
        <v>74</v>
      </c>
      <c r="H2386" s="1" t="s">
        <v>74</v>
      </c>
      <c r="I2386" s="1" t="s">
        <v>38147</v>
      </c>
      <c r="J2386" s="1" t="s">
        <v>204</v>
      </c>
      <c r="K2386" s="1" t="s">
        <v>74</v>
      </c>
      <c r="L2386" s="1" t="s">
        <v>74</v>
      </c>
      <c r="M2386" s="1" t="s">
        <v>78</v>
      </c>
      <c r="N2386" s="1" t="s">
        <v>79</v>
      </c>
      <c r="O2386" s="1" t="s">
        <v>74</v>
      </c>
      <c r="P2386" s="1" t="s">
        <v>74</v>
      </c>
      <c r="Q2386" s="1" t="s">
        <v>74</v>
      </c>
      <c r="R2386" s="1" t="s">
        <v>74</v>
      </c>
      <c r="S2386" s="1" t="s">
        <v>74</v>
      </c>
      <c r="T2386" s="1" t="s">
        <v>38148</v>
      </c>
      <c r="U2386" s="1" t="s">
        <v>38149</v>
      </c>
      <c r="V2386" s="1" t="s">
        <v>38150</v>
      </c>
      <c r="W2386" s="1" t="s">
        <v>38151</v>
      </c>
      <c r="X2386" s="1" t="s">
        <v>38152</v>
      </c>
      <c r="Y2386" s="1" t="s">
        <v>38153</v>
      </c>
      <c r="Z2386" s="1" t="s">
        <v>38154</v>
      </c>
      <c r="AA2386" s="1" t="s">
        <v>27228</v>
      </c>
      <c r="AB2386" s="1" t="s">
        <v>38155</v>
      </c>
      <c r="AC2386" s="1" t="s">
        <v>38156</v>
      </c>
      <c r="AD2386" s="1" t="s">
        <v>38157</v>
      </c>
      <c r="AE2386" s="1" t="s">
        <v>38158</v>
      </c>
      <c r="AF2386" s="1" t="s">
        <v>74</v>
      </c>
      <c r="AG2386" s="1">
        <v>33</v>
      </c>
      <c r="AH2386" s="1">
        <v>8</v>
      </c>
      <c r="AI2386" s="1">
        <v>8</v>
      </c>
      <c r="AJ2386" s="1">
        <v>2</v>
      </c>
      <c r="AK2386" s="1">
        <v>15</v>
      </c>
      <c r="AL2386" s="1" t="s">
        <v>217</v>
      </c>
      <c r="AM2386" s="1" t="s">
        <v>218</v>
      </c>
      <c r="AN2386" s="1" t="s">
        <v>219</v>
      </c>
      <c r="AO2386" s="1" t="s">
        <v>220</v>
      </c>
      <c r="AP2386" s="1" t="s">
        <v>221</v>
      </c>
      <c r="AQ2386" s="1" t="s">
        <v>74</v>
      </c>
      <c r="AR2386" s="1" t="s">
        <v>222</v>
      </c>
      <c r="AS2386" s="1" t="s">
        <v>223</v>
      </c>
      <c r="AT2386" s="1" t="s">
        <v>197</v>
      </c>
      <c r="AU2386" s="1">
        <v>2015</v>
      </c>
      <c r="AV2386" s="1">
        <v>22</v>
      </c>
      <c r="AW2386" s="1">
        <v>23</v>
      </c>
      <c r="AX2386" s="1" t="s">
        <v>74</v>
      </c>
      <c r="AY2386" s="1" t="s">
        <v>74</v>
      </c>
      <c r="AZ2386" s="1" t="s">
        <v>74</v>
      </c>
      <c r="BA2386" s="1" t="s">
        <v>74</v>
      </c>
      <c r="BB2386" s="1">
        <v>19292</v>
      </c>
      <c r="BC2386" s="1">
        <v>19296</v>
      </c>
      <c r="BD2386" s="1" t="s">
        <v>74</v>
      </c>
      <c r="BE2386" s="1" t="s">
        <v>38159</v>
      </c>
      <c r="BF2386" s="1" t="str">
        <f>HYPERLINK("http://dx.doi.org/10.1007/s11356-015-5615-z","http://dx.doi.org/10.1007/s11356-015-5615-z")</f>
        <v>http://dx.doi.org/10.1007/s11356-015-5615-z</v>
      </c>
      <c r="BG2386" s="1" t="s">
        <v>74</v>
      </c>
      <c r="BH2386" s="1" t="s">
        <v>74</v>
      </c>
      <c r="BI2386" s="1">
        <v>5</v>
      </c>
      <c r="BJ2386" s="1" t="s">
        <v>144</v>
      </c>
      <c r="BK2386" s="1" t="s">
        <v>96</v>
      </c>
      <c r="BL2386" s="1" t="s">
        <v>145</v>
      </c>
      <c r="BM2386" s="1" t="s">
        <v>38160</v>
      </c>
      <c r="BN2386" s="1">
        <v>26490938</v>
      </c>
      <c r="BO2386" s="1" t="s">
        <v>74</v>
      </c>
      <c r="BP2386" s="1" t="s">
        <v>74</v>
      </c>
      <c r="BQ2386" s="1" t="s">
        <v>74</v>
      </c>
      <c r="BR2386" s="1" t="s">
        <v>98</v>
      </c>
      <c r="BS2386" s="1" t="s">
        <v>38161</v>
      </c>
      <c r="BT2386" s="1" t="str">
        <f>HYPERLINK("https%3A%2F%2Fwww.webofscience.com%2Fwos%2Fwoscc%2Ffull-record%2FWOS:000365816000092","View Full Record in Web of Science")</f>
        <v>View Full Record in Web of Science</v>
      </c>
      <c r="BU2386" s="1"/>
      <c r="BV2386" s="1"/>
    </row>
    <row r="2387" spans="1:74">
      <c r="A2387" s="1" t="s">
        <v>72</v>
      </c>
      <c r="B2387" s="1" t="s">
        <v>38162</v>
      </c>
      <c r="C2387" s="1" t="s">
        <v>74</v>
      </c>
      <c r="D2387" s="1" t="s">
        <v>74</v>
      </c>
      <c r="E2387" s="1" t="s">
        <v>74</v>
      </c>
      <c r="F2387" s="1" t="s">
        <v>38163</v>
      </c>
      <c r="G2387" s="1" t="s">
        <v>74</v>
      </c>
      <c r="H2387" s="1" t="s">
        <v>74</v>
      </c>
      <c r="I2387" s="1" t="s">
        <v>38164</v>
      </c>
      <c r="J2387" s="1" t="s">
        <v>775</v>
      </c>
      <c r="K2387" s="1" t="s">
        <v>74</v>
      </c>
      <c r="L2387" s="1" t="s">
        <v>74</v>
      </c>
      <c r="M2387" s="1" t="s">
        <v>78</v>
      </c>
      <c r="N2387" s="1" t="s">
        <v>79</v>
      </c>
      <c r="O2387" s="1" t="s">
        <v>74</v>
      </c>
      <c r="P2387" s="1" t="s">
        <v>74</v>
      </c>
      <c r="Q2387" s="1" t="s">
        <v>74</v>
      </c>
      <c r="R2387" s="1" t="s">
        <v>74</v>
      </c>
      <c r="S2387" s="1" t="s">
        <v>74</v>
      </c>
      <c r="T2387" s="1" t="s">
        <v>38165</v>
      </c>
      <c r="U2387" s="1" t="s">
        <v>38166</v>
      </c>
      <c r="V2387" s="1" t="s">
        <v>38167</v>
      </c>
      <c r="W2387" s="1" t="s">
        <v>38168</v>
      </c>
      <c r="X2387" s="1" t="s">
        <v>38169</v>
      </c>
      <c r="Y2387" s="1" t="s">
        <v>38170</v>
      </c>
      <c r="Z2387" s="1" t="s">
        <v>38171</v>
      </c>
      <c r="AA2387" s="1" t="s">
        <v>38172</v>
      </c>
      <c r="AB2387" s="1" t="s">
        <v>38173</v>
      </c>
      <c r="AC2387" s="1" t="s">
        <v>74</v>
      </c>
      <c r="AD2387" s="1" t="s">
        <v>74</v>
      </c>
      <c r="AE2387" s="1" t="s">
        <v>74</v>
      </c>
      <c r="AF2387" s="1" t="s">
        <v>74</v>
      </c>
      <c r="AG2387" s="1">
        <v>207</v>
      </c>
      <c r="AH2387" s="1">
        <v>27</v>
      </c>
      <c r="AI2387" s="1">
        <v>30</v>
      </c>
      <c r="AJ2387" s="1">
        <v>5</v>
      </c>
      <c r="AK2387" s="1">
        <v>44</v>
      </c>
      <c r="AL2387" s="1" t="s">
        <v>2883</v>
      </c>
      <c r="AM2387" s="1" t="s">
        <v>286</v>
      </c>
      <c r="AN2387" s="1" t="s">
        <v>2884</v>
      </c>
      <c r="AO2387" s="1" t="s">
        <v>791</v>
      </c>
      <c r="AP2387" s="1" t="s">
        <v>2885</v>
      </c>
      <c r="AQ2387" s="1" t="s">
        <v>74</v>
      </c>
      <c r="AR2387" s="1" t="s">
        <v>792</v>
      </c>
      <c r="AS2387" s="1" t="s">
        <v>793</v>
      </c>
      <c r="AT2387" s="1" t="s">
        <v>142</v>
      </c>
      <c r="AU2387" s="1">
        <v>2011</v>
      </c>
      <c r="AV2387" s="1">
        <v>141</v>
      </c>
      <c r="AW2387" s="1" t="s">
        <v>2847</v>
      </c>
      <c r="AX2387" s="1" t="s">
        <v>74</v>
      </c>
      <c r="AY2387" s="1" t="s">
        <v>74</v>
      </c>
      <c r="AZ2387" s="1" t="s">
        <v>74</v>
      </c>
      <c r="BA2387" s="1" t="s">
        <v>74</v>
      </c>
      <c r="BB2387" s="1">
        <v>340</v>
      </c>
      <c r="BC2387" s="1">
        <v>366</v>
      </c>
      <c r="BD2387" s="1" t="s">
        <v>74</v>
      </c>
      <c r="BE2387" s="1" t="s">
        <v>38174</v>
      </c>
      <c r="BF2387" s="1" t="str">
        <f>HYPERLINK("http://dx.doi.org/10.1007/s12011-010-8740-z","http://dx.doi.org/10.1007/s12011-010-8740-z")</f>
        <v>http://dx.doi.org/10.1007/s12011-010-8740-z</v>
      </c>
      <c r="BG2387" s="1" t="s">
        <v>74</v>
      </c>
      <c r="BH2387" s="1" t="s">
        <v>74</v>
      </c>
      <c r="BI2387" s="1">
        <v>27</v>
      </c>
      <c r="BJ2387" s="1" t="s">
        <v>795</v>
      </c>
      <c r="BK2387" s="1" t="s">
        <v>96</v>
      </c>
      <c r="BL2387" s="1" t="s">
        <v>795</v>
      </c>
      <c r="BM2387" s="1" t="s">
        <v>38175</v>
      </c>
      <c r="BN2387" s="1">
        <v>20607442</v>
      </c>
      <c r="BO2387" s="1" t="s">
        <v>74</v>
      </c>
      <c r="BP2387" s="1" t="s">
        <v>74</v>
      </c>
      <c r="BQ2387" s="1" t="s">
        <v>74</v>
      </c>
      <c r="BR2387" s="1" t="s">
        <v>98</v>
      </c>
      <c r="BS2387" s="1" t="s">
        <v>38176</v>
      </c>
      <c r="BT2387" s="1" t="str">
        <f>HYPERLINK("https%3A%2F%2Fwww.webofscience.com%2Fwos%2Fwoscc%2Ffull-record%2FWOS:000290727800035","View Full Record in Web of Science")</f>
        <v>View Full Record in Web of Science</v>
      </c>
      <c r="BU2387" s="1"/>
      <c r="BV2387" s="1"/>
    </row>
    <row r="2388" spans="1:74">
      <c r="A2388" s="1" t="s">
        <v>72</v>
      </c>
      <c r="B2388" s="1" t="s">
        <v>32062</v>
      </c>
      <c r="C2388" s="1" t="s">
        <v>74</v>
      </c>
      <c r="D2388" s="1" t="s">
        <v>74</v>
      </c>
      <c r="E2388" s="1" t="s">
        <v>74</v>
      </c>
      <c r="F2388" s="1" t="s">
        <v>32062</v>
      </c>
      <c r="G2388" s="1" t="s">
        <v>74</v>
      </c>
      <c r="H2388" s="1" t="s">
        <v>74</v>
      </c>
      <c r="I2388" s="1" t="s">
        <v>38177</v>
      </c>
      <c r="J2388" s="1" t="s">
        <v>1756</v>
      </c>
      <c r="K2388" s="1" t="s">
        <v>74</v>
      </c>
      <c r="L2388" s="1" t="s">
        <v>74</v>
      </c>
      <c r="M2388" s="1" t="s">
        <v>78</v>
      </c>
      <c r="N2388" s="1" t="s">
        <v>79</v>
      </c>
      <c r="O2388" s="1" t="s">
        <v>74</v>
      </c>
      <c r="P2388" s="1" t="s">
        <v>74</v>
      </c>
      <c r="Q2388" s="1" t="s">
        <v>74</v>
      </c>
      <c r="R2388" s="1" t="s">
        <v>74</v>
      </c>
      <c r="S2388" s="1" t="s">
        <v>74</v>
      </c>
      <c r="T2388" s="1" t="s">
        <v>38178</v>
      </c>
      <c r="U2388" s="1" t="s">
        <v>38179</v>
      </c>
      <c r="V2388" s="1" t="s">
        <v>38180</v>
      </c>
      <c r="W2388" s="1" t="s">
        <v>38181</v>
      </c>
      <c r="X2388" s="1" t="s">
        <v>38182</v>
      </c>
      <c r="Y2388" s="1" t="s">
        <v>38183</v>
      </c>
      <c r="Z2388" s="1" t="s">
        <v>23003</v>
      </c>
      <c r="AA2388" s="1" t="s">
        <v>74</v>
      </c>
      <c r="AB2388" s="1" t="s">
        <v>74</v>
      </c>
      <c r="AC2388" s="1" t="s">
        <v>74</v>
      </c>
      <c r="AD2388" s="1" t="s">
        <v>74</v>
      </c>
      <c r="AE2388" s="1" t="s">
        <v>74</v>
      </c>
      <c r="AF2388" s="1" t="s">
        <v>74</v>
      </c>
      <c r="AG2388" s="1">
        <v>36</v>
      </c>
      <c r="AH2388" s="1">
        <v>23</v>
      </c>
      <c r="AI2388" s="1">
        <v>24</v>
      </c>
      <c r="AJ2388" s="1">
        <v>1</v>
      </c>
      <c r="AK2388" s="1">
        <v>17</v>
      </c>
      <c r="AL2388" s="1" t="s">
        <v>86</v>
      </c>
      <c r="AM2388" s="1" t="s">
        <v>87</v>
      </c>
      <c r="AN2388" s="1" t="s">
        <v>88</v>
      </c>
      <c r="AO2388" s="1" t="s">
        <v>1764</v>
      </c>
      <c r="AP2388" s="1" t="s">
        <v>1765</v>
      </c>
      <c r="AQ2388" s="1" t="s">
        <v>74</v>
      </c>
      <c r="AR2388" s="1" t="s">
        <v>1766</v>
      </c>
      <c r="AS2388" s="1" t="s">
        <v>1767</v>
      </c>
      <c r="AT2388" s="1" t="s">
        <v>1223</v>
      </c>
      <c r="AU2388" s="1">
        <v>2000</v>
      </c>
      <c r="AV2388" s="1">
        <v>19</v>
      </c>
      <c r="AW2388" s="1">
        <v>3</v>
      </c>
      <c r="AX2388" s="1" t="s">
        <v>74</v>
      </c>
      <c r="AY2388" s="1" t="s">
        <v>74</v>
      </c>
      <c r="AZ2388" s="1" t="s">
        <v>74</v>
      </c>
      <c r="BA2388" s="1" t="s">
        <v>74</v>
      </c>
      <c r="BB2388" s="1">
        <v>706</v>
      </c>
      <c r="BC2388" s="1">
        <v>711</v>
      </c>
      <c r="BD2388" s="1" t="s">
        <v>74</v>
      </c>
      <c r="BE2388" s="1" t="s">
        <v>38184</v>
      </c>
      <c r="BF2388" s="1" t="str">
        <f>HYPERLINK("http://dx.doi.org/10.1002/etc.5620190324","http://dx.doi.org/10.1002/etc.5620190324")</f>
        <v>http://dx.doi.org/10.1002/etc.5620190324</v>
      </c>
      <c r="BG2388" s="1" t="s">
        <v>74</v>
      </c>
      <c r="BH2388" s="1" t="s">
        <v>74</v>
      </c>
      <c r="BI2388" s="1">
        <v>6</v>
      </c>
      <c r="BJ2388" s="1" t="s">
        <v>121</v>
      </c>
      <c r="BK2388" s="1" t="s">
        <v>96</v>
      </c>
      <c r="BL2388" s="1" t="s">
        <v>122</v>
      </c>
      <c r="BM2388" s="1" t="s">
        <v>38185</v>
      </c>
      <c r="BN2388" s="1" t="s">
        <v>74</v>
      </c>
      <c r="BO2388" s="1" t="s">
        <v>74</v>
      </c>
      <c r="BP2388" s="1" t="s">
        <v>74</v>
      </c>
      <c r="BQ2388" s="1" t="s">
        <v>74</v>
      </c>
      <c r="BR2388" s="1" t="s">
        <v>98</v>
      </c>
      <c r="BS2388" s="1" t="s">
        <v>38186</v>
      </c>
      <c r="BT2388" s="1" t="str">
        <f>HYPERLINK("https%3A%2F%2Fwww.webofscience.com%2Fwos%2Fwoscc%2Ffull-record%2FWOS:000085468600024","View Full Record in Web of Science")</f>
        <v>View Full Record in Web of Science</v>
      </c>
      <c r="BU2388" s="1"/>
      <c r="BV2388" s="1"/>
    </row>
    <row r="2389" spans="1:74">
      <c r="A2389" s="1" t="s">
        <v>72</v>
      </c>
      <c r="B2389" s="1" t="s">
        <v>38187</v>
      </c>
      <c r="C2389" s="1" t="s">
        <v>74</v>
      </c>
      <c r="D2389" s="1" t="s">
        <v>74</v>
      </c>
      <c r="E2389" s="1" t="s">
        <v>74</v>
      </c>
      <c r="F2389" s="1" t="s">
        <v>38188</v>
      </c>
      <c r="G2389" s="1" t="s">
        <v>74</v>
      </c>
      <c r="H2389" s="1" t="s">
        <v>74</v>
      </c>
      <c r="I2389" s="1" t="s">
        <v>38189</v>
      </c>
      <c r="J2389" s="1" t="s">
        <v>204</v>
      </c>
      <c r="K2389" s="1" t="s">
        <v>74</v>
      </c>
      <c r="L2389" s="1" t="s">
        <v>74</v>
      </c>
      <c r="M2389" s="1" t="s">
        <v>78</v>
      </c>
      <c r="N2389" s="1" t="s">
        <v>79</v>
      </c>
      <c r="O2389" s="1" t="s">
        <v>74</v>
      </c>
      <c r="P2389" s="1" t="s">
        <v>74</v>
      </c>
      <c r="Q2389" s="1" t="s">
        <v>74</v>
      </c>
      <c r="R2389" s="1" t="s">
        <v>74</v>
      </c>
      <c r="S2389" s="1" t="s">
        <v>74</v>
      </c>
      <c r="T2389" s="1" t="s">
        <v>38190</v>
      </c>
      <c r="U2389" s="1" t="s">
        <v>38191</v>
      </c>
      <c r="V2389" s="1" t="s">
        <v>38192</v>
      </c>
      <c r="W2389" s="1" t="s">
        <v>38193</v>
      </c>
      <c r="X2389" s="1" t="s">
        <v>38194</v>
      </c>
      <c r="Y2389" s="1" t="s">
        <v>38195</v>
      </c>
      <c r="Z2389" s="1" t="s">
        <v>38196</v>
      </c>
      <c r="AA2389" s="1" t="s">
        <v>74</v>
      </c>
      <c r="AB2389" s="1" t="s">
        <v>38197</v>
      </c>
      <c r="AC2389" s="1" t="s">
        <v>38198</v>
      </c>
      <c r="AD2389" s="1" t="s">
        <v>38199</v>
      </c>
      <c r="AE2389" s="1" t="s">
        <v>38200</v>
      </c>
      <c r="AF2389" s="1" t="s">
        <v>74</v>
      </c>
      <c r="AG2389" s="1">
        <v>48</v>
      </c>
      <c r="AH2389" s="1">
        <v>0</v>
      </c>
      <c r="AI2389" s="1">
        <v>0</v>
      </c>
      <c r="AJ2389" s="1">
        <v>2</v>
      </c>
      <c r="AK2389" s="1">
        <v>23</v>
      </c>
      <c r="AL2389" s="1" t="s">
        <v>217</v>
      </c>
      <c r="AM2389" s="1" t="s">
        <v>218</v>
      </c>
      <c r="AN2389" s="1" t="s">
        <v>219</v>
      </c>
      <c r="AO2389" s="1" t="s">
        <v>220</v>
      </c>
      <c r="AP2389" s="1" t="s">
        <v>221</v>
      </c>
      <c r="AQ2389" s="1" t="s">
        <v>74</v>
      </c>
      <c r="AR2389" s="1" t="s">
        <v>222</v>
      </c>
      <c r="AS2389" s="1" t="s">
        <v>223</v>
      </c>
      <c r="AT2389" s="1" t="s">
        <v>1223</v>
      </c>
      <c r="AU2389" s="1">
        <v>2023</v>
      </c>
      <c r="AV2389" s="1">
        <v>30</v>
      </c>
      <c r="AW2389" s="1">
        <v>13</v>
      </c>
      <c r="AX2389" s="1" t="s">
        <v>74</v>
      </c>
      <c r="AY2389" s="1" t="s">
        <v>74</v>
      </c>
      <c r="AZ2389" s="1" t="s">
        <v>74</v>
      </c>
      <c r="BA2389" s="1" t="s">
        <v>74</v>
      </c>
      <c r="BB2389" s="1">
        <v>37029</v>
      </c>
      <c r="BC2389" s="1">
        <v>37038</v>
      </c>
      <c r="BD2389" s="1" t="s">
        <v>74</v>
      </c>
      <c r="BE2389" s="1" t="s">
        <v>38201</v>
      </c>
      <c r="BF2389" s="1" t="str">
        <f>HYPERLINK("http://dx.doi.org/10.1007/s11356-022-24831-7","http://dx.doi.org/10.1007/s11356-022-24831-7")</f>
        <v>http://dx.doi.org/10.1007/s11356-022-24831-7</v>
      </c>
      <c r="BG2389" s="1" t="s">
        <v>74</v>
      </c>
      <c r="BH2389" s="1" t="s">
        <v>4283</v>
      </c>
      <c r="BI2389" s="1">
        <v>10</v>
      </c>
      <c r="BJ2389" s="1" t="s">
        <v>144</v>
      </c>
      <c r="BK2389" s="1" t="s">
        <v>96</v>
      </c>
      <c r="BL2389" s="1" t="s">
        <v>145</v>
      </c>
      <c r="BM2389" s="1" t="s">
        <v>38202</v>
      </c>
      <c r="BN2389" s="1">
        <v>36564695</v>
      </c>
      <c r="BO2389" s="1" t="s">
        <v>74</v>
      </c>
      <c r="BP2389" s="1" t="s">
        <v>74</v>
      </c>
      <c r="BQ2389" s="1" t="s">
        <v>74</v>
      </c>
      <c r="BR2389" s="1" t="s">
        <v>98</v>
      </c>
      <c r="BS2389" s="1" t="s">
        <v>38203</v>
      </c>
      <c r="BT2389" s="1" t="str">
        <f>HYPERLINK("https%3A%2F%2Fwww.webofscience.com%2Fwos%2Fwoscc%2Ffull-record%2FWOS:000903501300001","View Full Record in Web of Science")</f>
        <v>View Full Record in Web of Science</v>
      </c>
      <c r="BU2389" s="1"/>
      <c r="BV2389" s="1"/>
    </row>
    <row r="2390" spans="1:74">
      <c r="A2390" s="1" t="s">
        <v>72</v>
      </c>
      <c r="B2390" s="1" t="s">
        <v>38204</v>
      </c>
      <c r="C2390" s="1" t="s">
        <v>74</v>
      </c>
      <c r="D2390" s="1" t="s">
        <v>74</v>
      </c>
      <c r="E2390" s="1" t="s">
        <v>74</v>
      </c>
      <c r="F2390" s="1" t="s">
        <v>38204</v>
      </c>
      <c r="G2390" s="1" t="s">
        <v>74</v>
      </c>
      <c r="H2390" s="1" t="s">
        <v>74</v>
      </c>
      <c r="I2390" s="1" t="s">
        <v>38205</v>
      </c>
      <c r="J2390" s="1" t="s">
        <v>1202</v>
      </c>
      <c r="K2390" s="1" t="s">
        <v>74</v>
      </c>
      <c r="L2390" s="1" t="s">
        <v>74</v>
      </c>
      <c r="M2390" s="1" t="s">
        <v>78</v>
      </c>
      <c r="N2390" s="1" t="s">
        <v>79</v>
      </c>
      <c r="O2390" s="1" t="s">
        <v>74</v>
      </c>
      <c r="P2390" s="1" t="s">
        <v>74</v>
      </c>
      <c r="Q2390" s="1" t="s">
        <v>74</v>
      </c>
      <c r="R2390" s="1" t="s">
        <v>74</v>
      </c>
      <c r="S2390" s="1" t="s">
        <v>74</v>
      </c>
      <c r="T2390" s="1" t="s">
        <v>38206</v>
      </c>
      <c r="U2390" s="1" t="s">
        <v>38207</v>
      </c>
      <c r="V2390" s="1" t="s">
        <v>38208</v>
      </c>
      <c r="W2390" s="1" t="s">
        <v>38209</v>
      </c>
      <c r="X2390" s="1" t="s">
        <v>38210</v>
      </c>
      <c r="Y2390" s="1" t="s">
        <v>74</v>
      </c>
      <c r="Z2390" s="1" t="s">
        <v>74</v>
      </c>
      <c r="AA2390" s="1" t="s">
        <v>38211</v>
      </c>
      <c r="AB2390" s="1" t="s">
        <v>38212</v>
      </c>
      <c r="AC2390" s="1" t="s">
        <v>74</v>
      </c>
      <c r="AD2390" s="1" t="s">
        <v>74</v>
      </c>
      <c r="AE2390" s="1" t="s">
        <v>74</v>
      </c>
      <c r="AF2390" s="1" t="s">
        <v>74</v>
      </c>
      <c r="AG2390" s="1">
        <v>55</v>
      </c>
      <c r="AH2390" s="1">
        <v>21</v>
      </c>
      <c r="AI2390" s="1">
        <v>25</v>
      </c>
      <c r="AJ2390" s="1">
        <v>0</v>
      </c>
      <c r="AK2390" s="1">
        <v>11</v>
      </c>
      <c r="AL2390" s="1" t="s">
        <v>716</v>
      </c>
      <c r="AM2390" s="1" t="s">
        <v>191</v>
      </c>
      <c r="AN2390" s="1" t="s">
        <v>717</v>
      </c>
      <c r="AO2390" s="1" t="s">
        <v>1207</v>
      </c>
      <c r="AP2390" s="1" t="s">
        <v>74</v>
      </c>
      <c r="AQ2390" s="1" t="s">
        <v>74</v>
      </c>
      <c r="AR2390" s="1" t="s">
        <v>1202</v>
      </c>
      <c r="AS2390" s="1" t="s">
        <v>1208</v>
      </c>
      <c r="AT2390" s="1" t="s">
        <v>21461</v>
      </c>
      <c r="AU2390" s="1">
        <v>1995</v>
      </c>
      <c r="AV2390" s="1">
        <v>304</v>
      </c>
      <c r="AW2390" s="1">
        <v>3</v>
      </c>
      <c r="AX2390" s="1" t="s">
        <v>74</v>
      </c>
      <c r="AY2390" s="1" t="s">
        <v>74</v>
      </c>
      <c r="AZ2390" s="1" t="s">
        <v>74</v>
      </c>
      <c r="BA2390" s="1" t="s">
        <v>74</v>
      </c>
      <c r="BB2390" s="1">
        <v>209</v>
      </c>
      <c r="BC2390" s="1">
        <v>220</v>
      </c>
      <c r="BD2390" s="1" t="s">
        <v>74</v>
      </c>
      <c r="BE2390" s="1" t="s">
        <v>38213</v>
      </c>
      <c r="BF2390" s="1" t="str">
        <f>HYPERLINK("http://dx.doi.org/10.1007/BF02329315","http://dx.doi.org/10.1007/BF02329315")</f>
        <v>http://dx.doi.org/10.1007/BF02329315</v>
      </c>
      <c r="BG2390" s="1" t="s">
        <v>74</v>
      </c>
      <c r="BH2390" s="1" t="s">
        <v>74</v>
      </c>
      <c r="BI2390" s="1">
        <v>12</v>
      </c>
      <c r="BJ2390" s="1" t="s">
        <v>680</v>
      </c>
      <c r="BK2390" s="1" t="s">
        <v>96</v>
      </c>
      <c r="BL2390" s="1" t="s">
        <v>680</v>
      </c>
      <c r="BM2390" s="1" t="s">
        <v>38214</v>
      </c>
      <c r="BN2390" s="1" t="s">
        <v>74</v>
      </c>
      <c r="BO2390" s="1" t="s">
        <v>74</v>
      </c>
      <c r="BP2390" s="1" t="s">
        <v>74</v>
      </c>
      <c r="BQ2390" s="1" t="s">
        <v>74</v>
      </c>
      <c r="BR2390" s="1" t="s">
        <v>98</v>
      </c>
      <c r="BS2390" s="1" t="s">
        <v>38215</v>
      </c>
      <c r="BT2390" s="1" t="str">
        <f>HYPERLINK("https%3A%2F%2Fwww.webofscience.com%2Fwos%2Fwoscc%2Ffull-record%2FWOS:A1995RH46200005","View Full Record in Web of Science")</f>
        <v>View Full Record in Web of Science</v>
      </c>
      <c r="BU2390" s="1"/>
      <c r="BV2390" s="1"/>
    </row>
    <row r="2391" spans="1:74">
      <c r="A2391" s="1" t="s">
        <v>72</v>
      </c>
      <c r="B2391" s="1" t="s">
        <v>38216</v>
      </c>
      <c r="C2391" s="1" t="s">
        <v>74</v>
      </c>
      <c r="D2391" s="1" t="s">
        <v>74</v>
      </c>
      <c r="E2391" s="1" t="s">
        <v>74</v>
      </c>
      <c r="F2391" s="1" t="s">
        <v>38216</v>
      </c>
      <c r="G2391" s="1" t="s">
        <v>74</v>
      </c>
      <c r="H2391" s="1" t="s">
        <v>74</v>
      </c>
      <c r="I2391" s="1" t="s">
        <v>38217</v>
      </c>
      <c r="J2391" s="1" t="s">
        <v>21316</v>
      </c>
      <c r="K2391" s="1" t="s">
        <v>74</v>
      </c>
      <c r="L2391" s="1" t="s">
        <v>74</v>
      </c>
      <c r="M2391" s="1" t="s">
        <v>78</v>
      </c>
      <c r="N2391" s="1" t="s">
        <v>79</v>
      </c>
      <c r="O2391" s="1" t="s">
        <v>74</v>
      </c>
      <c r="P2391" s="1" t="s">
        <v>74</v>
      </c>
      <c r="Q2391" s="1" t="s">
        <v>74</v>
      </c>
      <c r="R2391" s="1" t="s">
        <v>74</v>
      </c>
      <c r="S2391" s="1" t="s">
        <v>74</v>
      </c>
      <c r="T2391" s="1" t="s">
        <v>38218</v>
      </c>
      <c r="U2391" s="1" t="s">
        <v>38219</v>
      </c>
      <c r="V2391" s="1" t="s">
        <v>38220</v>
      </c>
      <c r="W2391" s="1" t="s">
        <v>38221</v>
      </c>
      <c r="X2391" s="1" t="s">
        <v>38222</v>
      </c>
      <c r="Y2391" s="1" t="s">
        <v>38223</v>
      </c>
      <c r="Z2391" s="1" t="s">
        <v>38224</v>
      </c>
      <c r="AA2391" s="1" t="s">
        <v>38225</v>
      </c>
      <c r="AB2391" s="1" t="s">
        <v>38226</v>
      </c>
      <c r="AC2391" s="1" t="s">
        <v>74</v>
      </c>
      <c r="AD2391" s="1" t="s">
        <v>74</v>
      </c>
      <c r="AE2391" s="1" t="s">
        <v>74</v>
      </c>
      <c r="AF2391" s="1" t="s">
        <v>74</v>
      </c>
      <c r="AG2391" s="1">
        <v>31</v>
      </c>
      <c r="AH2391" s="1">
        <v>18</v>
      </c>
      <c r="AI2391" s="1">
        <v>19</v>
      </c>
      <c r="AJ2391" s="1">
        <v>0</v>
      </c>
      <c r="AK2391" s="1">
        <v>27</v>
      </c>
      <c r="AL2391" s="1" t="s">
        <v>5232</v>
      </c>
      <c r="AM2391" s="1" t="s">
        <v>286</v>
      </c>
      <c r="AN2391" s="1" t="s">
        <v>5233</v>
      </c>
      <c r="AO2391" s="1" t="s">
        <v>21324</v>
      </c>
      <c r="AP2391" s="1" t="s">
        <v>21325</v>
      </c>
      <c r="AQ2391" s="1" t="s">
        <v>74</v>
      </c>
      <c r="AR2391" s="1" t="s">
        <v>21326</v>
      </c>
      <c r="AS2391" s="1" t="s">
        <v>21327</v>
      </c>
      <c r="AT2391" s="1" t="s">
        <v>267</v>
      </c>
      <c r="AU2391" s="1">
        <v>2003</v>
      </c>
      <c r="AV2391" s="1">
        <v>57</v>
      </c>
      <c r="AW2391" s="1" t="s">
        <v>1070</v>
      </c>
      <c r="AX2391" s="1" t="s">
        <v>74</v>
      </c>
      <c r="AY2391" s="1" t="s">
        <v>74</v>
      </c>
      <c r="AZ2391" s="1" t="s">
        <v>74</v>
      </c>
      <c r="BA2391" s="1" t="s">
        <v>74</v>
      </c>
      <c r="BB2391" s="1">
        <v>262</v>
      </c>
      <c r="BC2391" s="1">
        <v>271</v>
      </c>
      <c r="BD2391" s="1" t="s">
        <v>74</v>
      </c>
      <c r="BE2391" s="1" t="s">
        <v>38227</v>
      </c>
      <c r="BF2391" s="1" t="str">
        <f>HYPERLINK("http://dx.doi.org/10.1007/s10152-003-0159-x","http://dx.doi.org/10.1007/s10152-003-0159-x")</f>
        <v>http://dx.doi.org/10.1007/s10152-003-0159-x</v>
      </c>
      <c r="BG2391" s="1" t="s">
        <v>74</v>
      </c>
      <c r="BH2391" s="1" t="s">
        <v>74</v>
      </c>
      <c r="BI2391" s="1">
        <v>10</v>
      </c>
      <c r="BJ2391" s="1" t="s">
        <v>4241</v>
      </c>
      <c r="BK2391" s="1" t="s">
        <v>96</v>
      </c>
      <c r="BL2391" s="1" t="s">
        <v>4241</v>
      </c>
      <c r="BM2391" s="1" t="s">
        <v>21330</v>
      </c>
      <c r="BN2391" s="1" t="s">
        <v>74</v>
      </c>
      <c r="BO2391" s="1" t="s">
        <v>370</v>
      </c>
      <c r="BP2391" s="1" t="s">
        <v>74</v>
      </c>
      <c r="BQ2391" s="1" t="s">
        <v>74</v>
      </c>
      <c r="BR2391" s="1" t="s">
        <v>98</v>
      </c>
      <c r="BS2391" s="1" t="s">
        <v>38228</v>
      </c>
      <c r="BT2391" s="1" t="str">
        <f>HYPERLINK("https%3A%2F%2Fwww.webofscience.com%2Fwos%2Fwoscc%2Ffull-record%2FWOS:000186604600015","View Full Record in Web of Science")</f>
        <v>View Full Record in Web of Science</v>
      </c>
      <c r="BU2391" s="1"/>
      <c r="BV2391" s="1"/>
    </row>
    <row r="2392" spans="1:74">
      <c r="A2392" s="1" t="s">
        <v>72</v>
      </c>
      <c r="B2392" s="1" t="s">
        <v>38229</v>
      </c>
      <c r="C2392" s="1" t="s">
        <v>74</v>
      </c>
      <c r="D2392" s="1" t="s">
        <v>74</v>
      </c>
      <c r="E2392" s="1" t="s">
        <v>74</v>
      </c>
      <c r="F2392" s="1" t="s">
        <v>38230</v>
      </c>
      <c r="G2392" s="1" t="s">
        <v>74</v>
      </c>
      <c r="H2392" s="1" t="s">
        <v>74</v>
      </c>
      <c r="I2392" s="1" t="s">
        <v>38231</v>
      </c>
      <c r="J2392" s="1" t="s">
        <v>38232</v>
      </c>
      <c r="K2392" s="1" t="s">
        <v>74</v>
      </c>
      <c r="L2392" s="1" t="s">
        <v>74</v>
      </c>
      <c r="M2392" s="1" t="s">
        <v>78</v>
      </c>
      <c r="N2392" s="1" t="s">
        <v>79</v>
      </c>
      <c r="O2392" s="1" t="s">
        <v>74</v>
      </c>
      <c r="P2392" s="1" t="s">
        <v>74</v>
      </c>
      <c r="Q2392" s="1" t="s">
        <v>74</v>
      </c>
      <c r="R2392" s="1" t="s">
        <v>74</v>
      </c>
      <c r="S2392" s="1" t="s">
        <v>74</v>
      </c>
      <c r="T2392" s="1" t="s">
        <v>74</v>
      </c>
      <c r="U2392" s="1" t="s">
        <v>38233</v>
      </c>
      <c r="V2392" s="1" t="s">
        <v>38234</v>
      </c>
      <c r="W2392" s="1" t="s">
        <v>38235</v>
      </c>
      <c r="X2392" s="1" t="s">
        <v>38236</v>
      </c>
      <c r="Y2392" s="1" t="s">
        <v>38237</v>
      </c>
      <c r="Z2392" s="1" t="s">
        <v>38238</v>
      </c>
      <c r="AA2392" s="1" t="s">
        <v>38239</v>
      </c>
      <c r="AB2392" s="1" t="s">
        <v>38240</v>
      </c>
      <c r="AC2392" s="1" t="s">
        <v>38241</v>
      </c>
      <c r="AD2392" s="1" t="s">
        <v>38241</v>
      </c>
      <c r="AE2392" s="1" t="s">
        <v>38242</v>
      </c>
      <c r="AF2392" s="1" t="s">
        <v>74</v>
      </c>
      <c r="AG2392" s="1">
        <v>65</v>
      </c>
      <c r="AH2392" s="1">
        <v>35</v>
      </c>
      <c r="AI2392" s="1">
        <v>35</v>
      </c>
      <c r="AJ2392" s="1">
        <v>1</v>
      </c>
      <c r="AK2392" s="1">
        <v>56</v>
      </c>
      <c r="AL2392" s="1" t="s">
        <v>21002</v>
      </c>
      <c r="AM2392" s="1" t="s">
        <v>21003</v>
      </c>
      <c r="AN2392" s="1" t="s">
        <v>21004</v>
      </c>
      <c r="AO2392" s="1" t="s">
        <v>38243</v>
      </c>
      <c r="AP2392" s="1" t="s">
        <v>38244</v>
      </c>
      <c r="AQ2392" s="1" t="s">
        <v>74</v>
      </c>
      <c r="AR2392" s="1" t="s">
        <v>38232</v>
      </c>
      <c r="AS2392" s="1" t="s">
        <v>38245</v>
      </c>
      <c r="AT2392" s="1" t="s">
        <v>74</v>
      </c>
      <c r="AU2392" s="1">
        <v>2016</v>
      </c>
      <c r="AV2392" s="1">
        <v>13</v>
      </c>
      <c r="AW2392" s="1">
        <v>3</v>
      </c>
      <c r="AX2392" s="1" t="s">
        <v>74</v>
      </c>
      <c r="AY2392" s="1" t="s">
        <v>74</v>
      </c>
      <c r="AZ2392" s="1" t="s">
        <v>74</v>
      </c>
      <c r="BA2392" s="1" t="s">
        <v>74</v>
      </c>
      <c r="BB2392" s="1">
        <v>751</v>
      </c>
      <c r="BC2392" s="1">
        <v>760</v>
      </c>
      <c r="BD2392" s="1" t="s">
        <v>74</v>
      </c>
      <c r="BE2392" s="1" t="s">
        <v>38246</v>
      </c>
      <c r="BF2392" s="1" t="str">
        <f>HYPERLINK("http://dx.doi.org/10.5194/bg-13-751-2016","http://dx.doi.org/10.5194/bg-13-751-2016")</f>
        <v>http://dx.doi.org/10.5194/bg-13-751-2016</v>
      </c>
      <c r="BG2392" s="1" t="s">
        <v>74</v>
      </c>
      <c r="BH2392" s="1" t="s">
        <v>74</v>
      </c>
      <c r="BI2392" s="1">
        <v>10</v>
      </c>
      <c r="BJ2392" s="1" t="s">
        <v>38247</v>
      </c>
      <c r="BK2392" s="1" t="s">
        <v>96</v>
      </c>
      <c r="BL2392" s="1" t="s">
        <v>38248</v>
      </c>
      <c r="BM2392" s="1" t="s">
        <v>38249</v>
      </c>
      <c r="BN2392" s="1" t="s">
        <v>74</v>
      </c>
      <c r="BO2392" s="1" t="s">
        <v>637</v>
      </c>
      <c r="BP2392" s="1" t="s">
        <v>74</v>
      </c>
      <c r="BQ2392" s="1" t="s">
        <v>74</v>
      </c>
      <c r="BR2392" s="1" t="s">
        <v>98</v>
      </c>
      <c r="BS2392" s="1" t="s">
        <v>38250</v>
      </c>
      <c r="BT2392" s="1" t="str">
        <f>HYPERLINK("https%3A%2F%2Fwww.webofscience.com%2Fwos%2Fwoscc%2Ffull-record%2FWOS:000370973900009","View Full Record in Web of Science")</f>
        <v>View Full Record in Web of Science</v>
      </c>
      <c r="BU2392" s="1"/>
      <c r="BV2392" s="1"/>
    </row>
    <row r="2393" spans="1:74">
      <c r="A2393" s="1" t="s">
        <v>72</v>
      </c>
      <c r="B2393" s="1" t="s">
        <v>38251</v>
      </c>
      <c r="C2393" s="1" t="s">
        <v>74</v>
      </c>
      <c r="D2393" s="1" t="s">
        <v>74</v>
      </c>
      <c r="E2393" s="1" t="s">
        <v>74</v>
      </c>
      <c r="F2393" s="1" t="s">
        <v>38252</v>
      </c>
      <c r="G2393" s="1" t="s">
        <v>74</v>
      </c>
      <c r="H2393" s="1" t="s">
        <v>74</v>
      </c>
      <c r="I2393" s="1" t="s">
        <v>38253</v>
      </c>
      <c r="J2393" s="1" t="s">
        <v>3183</v>
      </c>
      <c r="K2393" s="1" t="s">
        <v>74</v>
      </c>
      <c r="L2393" s="1" t="s">
        <v>74</v>
      </c>
      <c r="M2393" s="1" t="s">
        <v>78</v>
      </c>
      <c r="N2393" s="1" t="s">
        <v>79</v>
      </c>
      <c r="O2393" s="1" t="s">
        <v>74</v>
      </c>
      <c r="P2393" s="1" t="s">
        <v>74</v>
      </c>
      <c r="Q2393" s="1" t="s">
        <v>74</v>
      </c>
      <c r="R2393" s="1" t="s">
        <v>74</v>
      </c>
      <c r="S2393" s="1" t="s">
        <v>74</v>
      </c>
      <c r="T2393" s="1" t="s">
        <v>38254</v>
      </c>
      <c r="U2393" s="1" t="s">
        <v>38255</v>
      </c>
      <c r="V2393" s="1" t="s">
        <v>38256</v>
      </c>
      <c r="W2393" s="1" t="s">
        <v>38257</v>
      </c>
      <c r="X2393" s="1" t="s">
        <v>38258</v>
      </c>
      <c r="Y2393" s="1" t="s">
        <v>38259</v>
      </c>
      <c r="Z2393" s="1" t="s">
        <v>38260</v>
      </c>
      <c r="AA2393" s="1" t="s">
        <v>74</v>
      </c>
      <c r="AB2393" s="1" t="s">
        <v>38261</v>
      </c>
      <c r="AC2393" s="1" t="s">
        <v>38262</v>
      </c>
      <c r="AD2393" s="1" t="s">
        <v>38263</v>
      </c>
      <c r="AE2393" s="1" t="s">
        <v>38264</v>
      </c>
      <c r="AF2393" s="1" t="s">
        <v>74</v>
      </c>
      <c r="AG2393" s="1">
        <v>70</v>
      </c>
      <c r="AH2393" s="1">
        <v>11</v>
      </c>
      <c r="AI2393" s="1">
        <v>12</v>
      </c>
      <c r="AJ2393" s="1">
        <v>4</v>
      </c>
      <c r="AK2393" s="1">
        <v>8</v>
      </c>
      <c r="AL2393" s="1" t="s">
        <v>430</v>
      </c>
      <c r="AM2393" s="1" t="s">
        <v>137</v>
      </c>
      <c r="AN2393" s="1" t="s">
        <v>431</v>
      </c>
      <c r="AO2393" s="1" t="s">
        <v>74</v>
      </c>
      <c r="AP2393" s="1" t="s">
        <v>3198</v>
      </c>
      <c r="AQ2393" s="1" t="s">
        <v>74</v>
      </c>
      <c r="AR2393" s="1" t="s">
        <v>3183</v>
      </c>
      <c r="AS2393" s="1" t="s">
        <v>3199</v>
      </c>
      <c r="AT2393" s="1" t="s">
        <v>119</v>
      </c>
      <c r="AU2393" s="1">
        <v>2020</v>
      </c>
      <c r="AV2393" s="1">
        <v>6</v>
      </c>
      <c r="AW2393" s="1">
        <v>8</v>
      </c>
      <c r="AX2393" s="1" t="s">
        <v>74</v>
      </c>
      <c r="AY2393" s="1" t="s">
        <v>74</v>
      </c>
      <c r="AZ2393" s="1" t="s">
        <v>74</v>
      </c>
      <c r="BA2393" s="1" t="s">
        <v>74</v>
      </c>
      <c r="BB2393" s="1" t="s">
        <v>74</v>
      </c>
      <c r="BC2393" s="1" t="s">
        <v>74</v>
      </c>
      <c r="BD2393" s="1" t="s">
        <v>38265</v>
      </c>
      <c r="BE2393" s="1" t="s">
        <v>38266</v>
      </c>
      <c r="BF2393" s="1" t="str">
        <f>HYPERLINK("http://dx.doi.org/10.1016/j.heliyon.2020.e04725","http://dx.doi.org/10.1016/j.heliyon.2020.e04725")</f>
        <v>http://dx.doi.org/10.1016/j.heliyon.2020.e04725</v>
      </c>
      <c r="BG2393" s="1" t="s">
        <v>74</v>
      </c>
      <c r="BH2393" s="1" t="s">
        <v>74</v>
      </c>
      <c r="BI2393" s="1">
        <v>10</v>
      </c>
      <c r="BJ2393" s="1" t="s">
        <v>3202</v>
      </c>
      <c r="BK2393" s="1" t="s">
        <v>96</v>
      </c>
      <c r="BL2393" s="1" t="s">
        <v>3203</v>
      </c>
      <c r="BM2393" s="1" t="s">
        <v>38267</v>
      </c>
      <c r="BN2393" s="1">
        <v>32923713</v>
      </c>
      <c r="BO2393" s="1" t="s">
        <v>550</v>
      </c>
      <c r="BP2393" s="1" t="s">
        <v>74</v>
      </c>
      <c r="BQ2393" s="1" t="s">
        <v>74</v>
      </c>
      <c r="BR2393" s="1" t="s">
        <v>98</v>
      </c>
      <c r="BS2393" s="1" t="s">
        <v>38268</v>
      </c>
      <c r="BT2393" s="1" t="str">
        <f>HYPERLINK("https%3A%2F%2Fwww.webofscience.com%2Fwos%2Fwoscc%2Ffull-record%2FWOS:000568756300022","View Full Record in Web of Science")</f>
        <v>View Full Record in Web of Science</v>
      </c>
      <c r="BU2393" s="1"/>
      <c r="BV2393" s="1"/>
    </row>
    <row r="2394" spans="1:74">
      <c r="A2394" s="1" t="s">
        <v>72</v>
      </c>
      <c r="B2394" s="1" t="s">
        <v>38269</v>
      </c>
      <c r="C2394" s="1" t="s">
        <v>74</v>
      </c>
      <c r="D2394" s="1" t="s">
        <v>74</v>
      </c>
      <c r="E2394" s="1" t="s">
        <v>74</v>
      </c>
      <c r="F2394" s="1" t="s">
        <v>38270</v>
      </c>
      <c r="G2394" s="1" t="s">
        <v>74</v>
      </c>
      <c r="H2394" s="1" t="s">
        <v>74</v>
      </c>
      <c r="I2394" s="1" t="s">
        <v>38271</v>
      </c>
      <c r="J2394" s="1" t="s">
        <v>1337</v>
      </c>
      <c r="K2394" s="1" t="s">
        <v>74</v>
      </c>
      <c r="L2394" s="1" t="s">
        <v>74</v>
      </c>
      <c r="M2394" s="1" t="s">
        <v>78</v>
      </c>
      <c r="N2394" s="1" t="s">
        <v>79</v>
      </c>
      <c r="O2394" s="1" t="s">
        <v>74</v>
      </c>
      <c r="P2394" s="1" t="s">
        <v>74</v>
      </c>
      <c r="Q2394" s="1" t="s">
        <v>74</v>
      </c>
      <c r="R2394" s="1" t="s">
        <v>74</v>
      </c>
      <c r="S2394" s="1" t="s">
        <v>74</v>
      </c>
      <c r="T2394" s="1" t="s">
        <v>38272</v>
      </c>
      <c r="U2394" s="1" t="s">
        <v>38273</v>
      </c>
      <c r="V2394" s="1" t="s">
        <v>38274</v>
      </c>
      <c r="W2394" s="1" t="s">
        <v>38275</v>
      </c>
      <c r="X2394" s="1" t="s">
        <v>38276</v>
      </c>
      <c r="Y2394" s="1" t="s">
        <v>38277</v>
      </c>
      <c r="Z2394" s="1" t="s">
        <v>38278</v>
      </c>
      <c r="AA2394" s="1" t="s">
        <v>38279</v>
      </c>
      <c r="AB2394" s="1" t="s">
        <v>74</v>
      </c>
      <c r="AC2394" s="1" t="s">
        <v>74</v>
      </c>
      <c r="AD2394" s="1" t="s">
        <v>74</v>
      </c>
      <c r="AE2394" s="1" t="s">
        <v>74</v>
      </c>
      <c r="AF2394" s="1" t="s">
        <v>74</v>
      </c>
      <c r="AG2394" s="1">
        <v>136</v>
      </c>
      <c r="AH2394" s="1">
        <v>19</v>
      </c>
      <c r="AI2394" s="1">
        <v>19</v>
      </c>
      <c r="AJ2394" s="1">
        <v>3</v>
      </c>
      <c r="AK2394" s="1">
        <v>20</v>
      </c>
      <c r="AL2394" s="1" t="s">
        <v>1350</v>
      </c>
      <c r="AM2394" s="1" t="s">
        <v>1351</v>
      </c>
      <c r="AN2394" s="1" t="s">
        <v>1352</v>
      </c>
      <c r="AO2394" s="1" t="s">
        <v>74</v>
      </c>
      <c r="AP2394" s="1" t="s">
        <v>1353</v>
      </c>
      <c r="AQ2394" s="1" t="s">
        <v>74</v>
      </c>
      <c r="AR2394" s="1" t="s">
        <v>1354</v>
      </c>
      <c r="AS2394" s="1" t="s">
        <v>1355</v>
      </c>
      <c r="AT2394" s="1" t="s">
        <v>38280</v>
      </c>
      <c r="AU2394" s="1">
        <v>2019</v>
      </c>
      <c r="AV2394" s="1">
        <v>6</v>
      </c>
      <c r="AW2394" s="1" t="s">
        <v>74</v>
      </c>
      <c r="AX2394" s="1" t="s">
        <v>74</v>
      </c>
      <c r="AY2394" s="1" t="s">
        <v>74</v>
      </c>
      <c r="AZ2394" s="1" t="s">
        <v>74</v>
      </c>
      <c r="BA2394" s="1" t="s">
        <v>74</v>
      </c>
      <c r="BB2394" s="1" t="s">
        <v>74</v>
      </c>
      <c r="BC2394" s="1" t="s">
        <v>74</v>
      </c>
      <c r="BD2394" s="1">
        <v>577</v>
      </c>
      <c r="BE2394" s="1" t="s">
        <v>38281</v>
      </c>
      <c r="BF2394" s="1" t="str">
        <f>HYPERLINK("http://dx.doi.org/10.3389/fmars.2019.00577","http://dx.doi.org/10.3389/fmars.2019.00577")</f>
        <v>http://dx.doi.org/10.3389/fmars.2019.00577</v>
      </c>
      <c r="BG2394" s="1" t="s">
        <v>74</v>
      </c>
      <c r="BH2394" s="1" t="s">
        <v>74</v>
      </c>
      <c r="BI2394" s="1">
        <v>20</v>
      </c>
      <c r="BJ2394" s="1" t="s">
        <v>247</v>
      </c>
      <c r="BK2394" s="1" t="s">
        <v>96</v>
      </c>
      <c r="BL2394" s="1" t="s">
        <v>248</v>
      </c>
      <c r="BM2394" s="1" t="s">
        <v>38282</v>
      </c>
      <c r="BN2394" s="1" t="s">
        <v>74</v>
      </c>
      <c r="BO2394" s="1" t="s">
        <v>873</v>
      </c>
      <c r="BP2394" s="1" t="s">
        <v>74</v>
      </c>
      <c r="BQ2394" s="1" t="s">
        <v>74</v>
      </c>
      <c r="BR2394" s="1" t="s">
        <v>98</v>
      </c>
      <c r="BS2394" s="1" t="s">
        <v>38283</v>
      </c>
      <c r="BT2394" s="1" t="str">
        <f>HYPERLINK("https%3A%2F%2Fwww.webofscience.com%2Fwos%2Fwoscc%2Ffull-record%2FWOS:000485009200001","View Full Record in Web of Science")</f>
        <v>View Full Record in Web of Science</v>
      </c>
      <c r="BU2394" s="1"/>
      <c r="BV2394" s="1"/>
    </row>
    <row r="2395" spans="1:74">
      <c r="A2395" s="1" t="s">
        <v>72</v>
      </c>
      <c r="B2395" s="1" t="s">
        <v>38284</v>
      </c>
      <c r="C2395" s="1" t="s">
        <v>74</v>
      </c>
      <c r="D2395" s="1" t="s">
        <v>74</v>
      </c>
      <c r="E2395" s="1" t="s">
        <v>74</v>
      </c>
      <c r="F2395" s="1" t="s">
        <v>38284</v>
      </c>
      <c r="G2395" s="1" t="s">
        <v>74</v>
      </c>
      <c r="H2395" s="1" t="s">
        <v>74</v>
      </c>
      <c r="I2395" s="1" t="s">
        <v>38285</v>
      </c>
      <c r="J2395" s="1" t="s">
        <v>232</v>
      </c>
      <c r="K2395" s="1" t="s">
        <v>74</v>
      </c>
      <c r="L2395" s="1" t="s">
        <v>74</v>
      </c>
      <c r="M2395" s="1" t="s">
        <v>78</v>
      </c>
      <c r="N2395" s="1" t="s">
        <v>79</v>
      </c>
      <c r="O2395" s="1" t="s">
        <v>74</v>
      </c>
      <c r="P2395" s="1" t="s">
        <v>74</v>
      </c>
      <c r="Q2395" s="1" t="s">
        <v>74</v>
      </c>
      <c r="R2395" s="1" t="s">
        <v>74</v>
      </c>
      <c r="S2395" s="1" t="s">
        <v>74</v>
      </c>
      <c r="T2395" s="1" t="s">
        <v>74</v>
      </c>
      <c r="U2395" s="1" t="s">
        <v>38286</v>
      </c>
      <c r="V2395" s="1" t="s">
        <v>38287</v>
      </c>
      <c r="W2395" s="1" t="s">
        <v>38288</v>
      </c>
      <c r="X2395" s="1" t="s">
        <v>38289</v>
      </c>
      <c r="Y2395" s="1" t="s">
        <v>74</v>
      </c>
      <c r="Z2395" s="1" t="s">
        <v>74</v>
      </c>
      <c r="AA2395" s="1" t="s">
        <v>74</v>
      </c>
      <c r="AB2395" s="1" t="s">
        <v>74</v>
      </c>
      <c r="AC2395" s="1" t="s">
        <v>74</v>
      </c>
      <c r="AD2395" s="1" t="s">
        <v>74</v>
      </c>
      <c r="AE2395" s="1" t="s">
        <v>74</v>
      </c>
      <c r="AF2395" s="1" t="s">
        <v>74</v>
      </c>
      <c r="AG2395" s="1">
        <v>13</v>
      </c>
      <c r="AH2395" s="1">
        <v>30</v>
      </c>
      <c r="AI2395" s="1">
        <v>35</v>
      </c>
      <c r="AJ2395" s="1">
        <v>0</v>
      </c>
      <c r="AK2395" s="1">
        <v>5</v>
      </c>
      <c r="AL2395" s="1" t="s">
        <v>136</v>
      </c>
      <c r="AM2395" s="1" t="s">
        <v>137</v>
      </c>
      <c r="AN2395" s="1" t="s">
        <v>138</v>
      </c>
      <c r="AO2395" s="1" t="s">
        <v>240</v>
      </c>
      <c r="AP2395" s="1" t="s">
        <v>241</v>
      </c>
      <c r="AQ2395" s="1" t="s">
        <v>74</v>
      </c>
      <c r="AR2395" s="1" t="s">
        <v>242</v>
      </c>
      <c r="AS2395" s="1" t="s">
        <v>243</v>
      </c>
      <c r="AT2395" s="1" t="s">
        <v>142</v>
      </c>
      <c r="AU2395" s="1">
        <v>1994</v>
      </c>
      <c r="AV2395" s="1">
        <v>28</v>
      </c>
      <c r="AW2395" s="1">
        <v>6</v>
      </c>
      <c r="AX2395" s="1" t="s">
        <v>74</v>
      </c>
      <c r="AY2395" s="1" t="s">
        <v>74</v>
      </c>
      <c r="AZ2395" s="1" t="s">
        <v>74</v>
      </c>
      <c r="BA2395" s="1" t="s">
        <v>74</v>
      </c>
      <c r="BB2395" s="1">
        <v>370</v>
      </c>
      <c r="BC2395" s="1">
        <v>374</v>
      </c>
      <c r="BD2395" s="1" t="s">
        <v>74</v>
      </c>
      <c r="BE2395" s="1" t="s">
        <v>38290</v>
      </c>
      <c r="BF2395" s="1" t="str">
        <f>HYPERLINK("http://dx.doi.org/10.1016/0025-326X(94)90274-7","http://dx.doi.org/10.1016/0025-326X(94)90274-7")</f>
        <v>http://dx.doi.org/10.1016/0025-326X(94)90274-7</v>
      </c>
      <c r="BG2395" s="1" t="s">
        <v>74</v>
      </c>
      <c r="BH2395" s="1" t="s">
        <v>74</v>
      </c>
      <c r="BI2395" s="1">
        <v>5</v>
      </c>
      <c r="BJ2395" s="1" t="s">
        <v>247</v>
      </c>
      <c r="BK2395" s="1" t="s">
        <v>96</v>
      </c>
      <c r="BL2395" s="1" t="s">
        <v>248</v>
      </c>
      <c r="BM2395" s="1" t="s">
        <v>38291</v>
      </c>
      <c r="BN2395" s="1" t="s">
        <v>74</v>
      </c>
      <c r="BO2395" s="1" t="s">
        <v>74</v>
      </c>
      <c r="BP2395" s="1" t="s">
        <v>74</v>
      </c>
      <c r="BQ2395" s="1" t="s">
        <v>74</v>
      </c>
      <c r="BR2395" s="1" t="s">
        <v>98</v>
      </c>
      <c r="BS2395" s="1" t="s">
        <v>38292</v>
      </c>
      <c r="BT2395" s="1" t="str">
        <f>HYPERLINK("https%3A%2F%2Fwww.webofscience.com%2Fwos%2Fwoscc%2Ffull-record%2FWOS:A1994NY41200009","View Full Record in Web of Science")</f>
        <v>View Full Record in Web of Science</v>
      </c>
      <c r="BU2395" s="1"/>
      <c r="BV2395" s="1"/>
    </row>
    <row r="2396" spans="1:74">
      <c r="A2396" s="1" t="s">
        <v>72</v>
      </c>
      <c r="B2396" s="1" t="s">
        <v>38293</v>
      </c>
      <c r="C2396" s="1" t="s">
        <v>74</v>
      </c>
      <c r="D2396" s="1" t="s">
        <v>74</v>
      </c>
      <c r="E2396" s="1" t="s">
        <v>74</v>
      </c>
      <c r="F2396" s="1" t="s">
        <v>38294</v>
      </c>
      <c r="G2396" s="1" t="s">
        <v>74</v>
      </c>
      <c r="H2396" s="1" t="s">
        <v>74</v>
      </c>
      <c r="I2396" s="1" t="s">
        <v>38295</v>
      </c>
      <c r="J2396" s="1" t="s">
        <v>232</v>
      </c>
      <c r="K2396" s="1" t="s">
        <v>74</v>
      </c>
      <c r="L2396" s="1" t="s">
        <v>74</v>
      </c>
      <c r="M2396" s="1" t="s">
        <v>78</v>
      </c>
      <c r="N2396" s="1" t="s">
        <v>79</v>
      </c>
      <c r="O2396" s="1" t="s">
        <v>74</v>
      </c>
      <c r="P2396" s="1" t="s">
        <v>74</v>
      </c>
      <c r="Q2396" s="1" t="s">
        <v>74</v>
      </c>
      <c r="R2396" s="1" t="s">
        <v>74</v>
      </c>
      <c r="S2396" s="1" t="s">
        <v>74</v>
      </c>
      <c r="T2396" s="1" t="s">
        <v>38296</v>
      </c>
      <c r="U2396" s="1" t="s">
        <v>38297</v>
      </c>
      <c r="V2396" s="1" t="s">
        <v>38298</v>
      </c>
      <c r="W2396" s="1" t="s">
        <v>38299</v>
      </c>
      <c r="X2396" s="1" t="s">
        <v>31507</v>
      </c>
      <c r="Y2396" s="1" t="s">
        <v>38300</v>
      </c>
      <c r="Z2396" s="1" t="s">
        <v>38301</v>
      </c>
      <c r="AA2396" s="1" t="s">
        <v>38302</v>
      </c>
      <c r="AB2396" s="1" t="s">
        <v>38303</v>
      </c>
      <c r="AC2396" s="1" t="s">
        <v>38304</v>
      </c>
      <c r="AD2396" s="1" t="s">
        <v>38305</v>
      </c>
      <c r="AE2396" s="1" t="s">
        <v>38306</v>
      </c>
      <c r="AF2396" s="1" t="s">
        <v>74</v>
      </c>
      <c r="AG2396" s="1">
        <v>73</v>
      </c>
      <c r="AH2396" s="1">
        <v>2</v>
      </c>
      <c r="AI2396" s="1">
        <v>2</v>
      </c>
      <c r="AJ2396" s="1">
        <v>1</v>
      </c>
      <c r="AK2396" s="1">
        <v>9</v>
      </c>
      <c r="AL2396" s="1" t="s">
        <v>136</v>
      </c>
      <c r="AM2396" s="1" t="s">
        <v>137</v>
      </c>
      <c r="AN2396" s="1" t="s">
        <v>138</v>
      </c>
      <c r="AO2396" s="1" t="s">
        <v>240</v>
      </c>
      <c r="AP2396" s="1" t="s">
        <v>241</v>
      </c>
      <c r="AQ2396" s="1" t="s">
        <v>74</v>
      </c>
      <c r="AR2396" s="1" t="s">
        <v>242</v>
      </c>
      <c r="AS2396" s="1" t="s">
        <v>243</v>
      </c>
      <c r="AT2396" s="1" t="s">
        <v>197</v>
      </c>
      <c r="AU2396" s="1">
        <v>2022</v>
      </c>
      <c r="AV2396" s="1">
        <v>185</v>
      </c>
      <c r="AW2396" s="1" t="s">
        <v>74</v>
      </c>
      <c r="AX2396" s="1" t="s">
        <v>489</v>
      </c>
      <c r="AY2396" s="1" t="s">
        <v>74</v>
      </c>
      <c r="AZ2396" s="1" t="s">
        <v>74</v>
      </c>
      <c r="BA2396" s="1" t="s">
        <v>74</v>
      </c>
      <c r="BB2396" s="1" t="s">
        <v>74</v>
      </c>
      <c r="BC2396" s="1" t="s">
        <v>74</v>
      </c>
      <c r="BD2396" s="1">
        <v>114188</v>
      </c>
      <c r="BE2396" s="1" t="s">
        <v>38307</v>
      </c>
      <c r="BF2396" s="1" t="str">
        <f>HYPERLINK("http://dx.doi.org/10.1016/j.marpolbul.2022.114188","http://dx.doi.org/10.1016/j.marpolbul.2022.114188")</f>
        <v>http://dx.doi.org/10.1016/j.marpolbul.2022.114188</v>
      </c>
      <c r="BG2396" s="1" t="s">
        <v>74</v>
      </c>
      <c r="BH2396" s="1" t="s">
        <v>699</v>
      </c>
      <c r="BI2396" s="1">
        <v>9</v>
      </c>
      <c r="BJ2396" s="1" t="s">
        <v>247</v>
      </c>
      <c r="BK2396" s="1" t="s">
        <v>96</v>
      </c>
      <c r="BL2396" s="1" t="s">
        <v>248</v>
      </c>
      <c r="BM2396" s="1" t="s">
        <v>7150</v>
      </c>
      <c r="BN2396" s="1" t="s">
        <v>74</v>
      </c>
      <c r="BO2396" s="1" t="s">
        <v>74</v>
      </c>
      <c r="BP2396" s="1" t="s">
        <v>74</v>
      </c>
      <c r="BQ2396" s="1" t="s">
        <v>74</v>
      </c>
      <c r="BR2396" s="1" t="s">
        <v>98</v>
      </c>
      <c r="BS2396" s="1" t="s">
        <v>38308</v>
      </c>
      <c r="BT2396" s="1" t="str">
        <f>HYPERLINK("https%3A%2F%2Fwww.webofscience.com%2Fwos%2Fwoscc%2Ffull-record%2FWOS:000891759700006","View Full Record in Web of Science")</f>
        <v>View Full Record in Web of Science</v>
      </c>
      <c r="BU2396" s="1"/>
      <c r="BV2396" s="1"/>
    </row>
    <row r="2397" spans="1:74">
      <c r="A2397" s="1" t="s">
        <v>72</v>
      </c>
      <c r="B2397" s="1" t="s">
        <v>38309</v>
      </c>
      <c r="C2397" s="1" t="s">
        <v>74</v>
      </c>
      <c r="D2397" s="1" t="s">
        <v>74</v>
      </c>
      <c r="E2397" s="1" t="s">
        <v>74</v>
      </c>
      <c r="F2397" s="1" t="s">
        <v>38310</v>
      </c>
      <c r="G2397" s="1" t="s">
        <v>74</v>
      </c>
      <c r="H2397" s="1" t="s">
        <v>74</v>
      </c>
      <c r="I2397" s="1" t="s">
        <v>38311</v>
      </c>
      <c r="J2397" s="1" t="s">
        <v>6037</v>
      </c>
      <c r="K2397" s="1" t="s">
        <v>74</v>
      </c>
      <c r="L2397" s="1" t="s">
        <v>74</v>
      </c>
      <c r="M2397" s="1" t="s">
        <v>78</v>
      </c>
      <c r="N2397" s="1" t="s">
        <v>79</v>
      </c>
      <c r="O2397" s="1" t="s">
        <v>74</v>
      </c>
      <c r="P2397" s="1" t="s">
        <v>74</v>
      </c>
      <c r="Q2397" s="1" t="s">
        <v>74</v>
      </c>
      <c r="R2397" s="1" t="s">
        <v>74</v>
      </c>
      <c r="S2397" s="1" t="s">
        <v>74</v>
      </c>
      <c r="T2397" s="1" t="s">
        <v>38312</v>
      </c>
      <c r="U2397" s="1" t="s">
        <v>38313</v>
      </c>
      <c r="V2397" s="1" t="s">
        <v>38314</v>
      </c>
      <c r="W2397" s="1" t="s">
        <v>38315</v>
      </c>
      <c r="X2397" s="1" t="s">
        <v>38316</v>
      </c>
      <c r="Y2397" s="1" t="s">
        <v>38317</v>
      </c>
      <c r="Z2397" s="1" t="s">
        <v>38318</v>
      </c>
      <c r="AA2397" s="1" t="s">
        <v>38319</v>
      </c>
      <c r="AB2397" s="1" t="s">
        <v>74</v>
      </c>
      <c r="AC2397" s="1" t="s">
        <v>38320</v>
      </c>
      <c r="AD2397" s="1" t="s">
        <v>38321</v>
      </c>
      <c r="AE2397" s="1" t="s">
        <v>38322</v>
      </c>
      <c r="AF2397" s="1" t="s">
        <v>74</v>
      </c>
      <c r="AG2397" s="1">
        <v>46</v>
      </c>
      <c r="AH2397" s="1">
        <v>19</v>
      </c>
      <c r="AI2397" s="1">
        <v>21</v>
      </c>
      <c r="AJ2397" s="1">
        <v>0</v>
      </c>
      <c r="AK2397" s="1">
        <v>119</v>
      </c>
      <c r="AL2397" s="1" t="s">
        <v>650</v>
      </c>
      <c r="AM2397" s="1" t="s">
        <v>651</v>
      </c>
      <c r="AN2397" s="1" t="s">
        <v>652</v>
      </c>
      <c r="AO2397" s="1" t="s">
        <v>6048</v>
      </c>
      <c r="AP2397" s="1" t="s">
        <v>6049</v>
      </c>
      <c r="AQ2397" s="1" t="s">
        <v>74</v>
      </c>
      <c r="AR2397" s="1" t="s">
        <v>6050</v>
      </c>
      <c r="AS2397" s="1" t="s">
        <v>6051</v>
      </c>
      <c r="AT2397" s="1" t="s">
        <v>24737</v>
      </c>
      <c r="AU2397" s="1">
        <v>2016</v>
      </c>
      <c r="AV2397" s="1">
        <v>331</v>
      </c>
      <c r="AW2397" s="1" t="s">
        <v>74</v>
      </c>
      <c r="AX2397" s="1" t="s">
        <v>74</v>
      </c>
      <c r="AY2397" s="1" t="s">
        <v>74</v>
      </c>
      <c r="AZ2397" s="1" t="s">
        <v>74</v>
      </c>
      <c r="BA2397" s="1" t="s">
        <v>74</v>
      </c>
      <c r="BB2397" s="1">
        <v>77</v>
      </c>
      <c r="BC2397" s="1">
        <v>85</v>
      </c>
      <c r="BD2397" s="1" t="s">
        <v>74</v>
      </c>
      <c r="BE2397" s="1" t="s">
        <v>38323</v>
      </c>
      <c r="BF2397" s="1" t="str">
        <f>HYPERLINK("http://dx.doi.org/10.1016/j.ecolmodel.2015.10.011","http://dx.doi.org/10.1016/j.ecolmodel.2015.10.011")</f>
        <v>http://dx.doi.org/10.1016/j.ecolmodel.2015.10.011</v>
      </c>
      <c r="BG2397" s="1" t="s">
        <v>74</v>
      </c>
      <c r="BH2397" s="1" t="s">
        <v>74</v>
      </c>
      <c r="BI2397" s="1">
        <v>9</v>
      </c>
      <c r="BJ2397" s="1" t="s">
        <v>6054</v>
      </c>
      <c r="BK2397" s="1" t="s">
        <v>96</v>
      </c>
      <c r="BL2397" s="1" t="s">
        <v>145</v>
      </c>
      <c r="BM2397" s="1" t="s">
        <v>38324</v>
      </c>
      <c r="BN2397" s="1" t="s">
        <v>74</v>
      </c>
      <c r="BO2397" s="1" t="s">
        <v>74</v>
      </c>
      <c r="BP2397" s="1" t="s">
        <v>74</v>
      </c>
      <c r="BQ2397" s="1" t="s">
        <v>74</v>
      </c>
      <c r="BR2397" s="1" t="s">
        <v>98</v>
      </c>
      <c r="BS2397" s="1" t="s">
        <v>38325</v>
      </c>
      <c r="BT2397" s="1" t="str">
        <f>HYPERLINK("https%3A%2F%2Fwww.webofscience.com%2Fwos%2Fwoscc%2Ffull-record%2FWOS:000376831700008","View Full Record in Web of Science")</f>
        <v>View Full Record in Web of Science</v>
      </c>
      <c r="BU2397" s="1"/>
      <c r="BV2397" s="1"/>
    </row>
    <row r="2398" spans="1:74">
      <c r="A2398" s="1" t="s">
        <v>72</v>
      </c>
      <c r="B2398" s="1" t="s">
        <v>38326</v>
      </c>
      <c r="C2398" s="1" t="s">
        <v>74</v>
      </c>
      <c r="D2398" s="1" t="s">
        <v>74</v>
      </c>
      <c r="E2398" s="1" t="s">
        <v>74</v>
      </c>
      <c r="F2398" s="1" t="s">
        <v>38327</v>
      </c>
      <c r="G2398" s="1" t="s">
        <v>74</v>
      </c>
      <c r="H2398" s="1" t="s">
        <v>74</v>
      </c>
      <c r="I2398" s="1" t="s">
        <v>38328</v>
      </c>
      <c r="J2398" s="1" t="s">
        <v>127</v>
      </c>
      <c r="K2398" s="1" t="s">
        <v>74</v>
      </c>
      <c r="L2398" s="1" t="s">
        <v>74</v>
      </c>
      <c r="M2398" s="1" t="s">
        <v>78</v>
      </c>
      <c r="N2398" s="1" t="s">
        <v>79</v>
      </c>
      <c r="O2398" s="1" t="s">
        <v>74</v>
      </c>
      <c r="P2398" s="1" t="s">
        <v>74</v>
      </c>
      <c r="Q2398" s="1" t="s">
        <v>74</v>
      </c>
      <c r="R2398" s="1" t="s">
        <v>74</v>
      </c>
      <c r="S2398" s="1" t="s">
        <v>74</v>
      </c>
      <c r="T2398" s="1" t="s">
        <v>38329</v>
      </c>
      <c r="U2398" s="1" t="s">
        <v>38330</v>
      </c>
      <c r="V2398" s="1" t="s">
        <v>38331</v>
      </c>
      <c r="W2398" s="1" t="s">
        <v>38332</v>
      </c>
      <c r="X2398" s="1" t="s">
        <v>38333</v>
      </c>
      <c r="Y2398" s="1" t="s">
        <v>38334</v>
      </c>
      <c r="Z2398" s="1" t="s">
        <v>38335</v>
      </c>
      <c r="AA2398" s="1" t="s">
        <v>38336</v>
      </c>
      <c r="AB2398" s="1" t="s">
        <v>38337</v>
      </c>
      <c r="AC2398" s="1" t="s">
        <v>38338</v>
      </c>
      <c r="AD2398" s="1" t="s">
        <v>38339</v>
      </c>
      <c r="AE2398" s="1" t="s">
        <v>38340</v>
      </c>
      <c r="AF2398" s="1" t="s">
        <v>74</v>
      </c>
      <c r="AG2398" s="1">
        <v>64</v>
      </c>
      <c r="AH2398" s="1">
        <v>61</v>
      </c>
      <c r="AI2398" s="1">
        <v>65</v>
      </c>
      <c r="AJ2398" s="1">
        <v>8</v>
      </c>
      <c r="AK2398" s="1">
        <v>153</v>
      </c>
      <c r="AL2398" s="1" t="s">
        <v>136</v>
      </c>
      <c r="AM2398" s="1" t="s">
        <v>137</v>
      </c>
      <c r="AN2398" s="1" t="s">
        <v>138</v>
      </c>
      <c r="AO2398" s="1" t="s">
        <v>139</v>
      </c>
      <c r="AP2398" s="1" t="s">
        <v>140</v>
      </c>
      <c r="AQ2398" s="1" t="s">
        <v>74</v>
      </c>
      <c r="AR2398" s="1" t="s">
        <v>127</v>
      </c>
      <c r="AS2398" s="1" t="s">
        <v>141</v>
      </c>
      <c r="AT2398" s="1" t="s">
        <v>1470</v>
      </c>
      <c r="AU2398" s="1">
        <v>2021</v>
      </c>
      <c r="AV2398" s="1">
        <v>263</v>
      </c>
      <c r="AW2398" s="1" t="s">
        <v>74</v>
      </c>
      <c r="AX2398" s="1" t="s">
        <v>74</v>
      </c>
      <c r="AY2398" s="1" t="s">
        <v>74</v>
      </c>
      <c r="AZ2398" s="1" t="s">
        <v>74</v>
      </c>
      <c r="BA2398" s="1" t="s">
        <v>74</v>
      </c>
      <c r="BB2398" s="1" t="s">
        <v>74</v>
      </c>
      <c r="BC2398" s="1" t="s">
        <v>74</v>
      </c>
      <c r="BD2398" s="1">
        <v>127957</v>
      </c>
      <c r="BE2398" s="1" t="s">
        <v>38341</v>
      </c>
      <c r="BF2398" s="1" t="str">
        <f>HYPERLINK("http://dx.doi.org/10.1016/j.chemosphere.2020.127957","http://dx.doi.org/10.1016/j.chemosphere.2020.127957")</f>
        <v>http://dx.doi.org/10.1016/j.chemosphere.2020.127957</v>
      </c>
      <c r="BG2398" s="1" t="s">
        <v>74</v>
      </c>
      <c r="BH2398" s="1" t="s">
        <v>74</v>
      </c>
      <c r="BI2398" s="1">
        <v>8</v>
      </c>
      <c r="BJ2398" s="1" t="s">
        <v>144</v>
      </c>
      <c r="BK2398" s="1" t="s">
        <v>96</v>
      </c>
      <c r="BL2398" s="1" t="s">
        <v>145</v>
      </c>
      <c r="BM2398" s="1" t="s">
        <v>21830</v>
      </c>
      <c r="BN2398" s="1">
        <v>32828059</v>
      </c>
      <c r="BO2398" s="1" t="s">
        <v>74</v>
      </c>
      <c r="BP2398" s="1" t="s">
        <v>74</v>
      </c>
      <c r="BQ2398" s="1" t="s">
        <v>74</v>
      </c>
      <c r="BR2398" s="1" t="s">
        <v>98</v>
      </c>
      <c r="BS2398" s="1" t="s">
        <v>38342</v>
      </c>
      <c r="BT2398" s="1" t="str">
        <f>HYPERLINK("https%3A%2F%2Fwww.webofscience.com%2Fwos%2Fwoscc%2Ffull-record%2FWOS:000595802200097","View Full Record in Web of Science")</f>
        <v>View Full Record in Web of Science</v>
      </c>
      <c r="BU2398" s="1"/>
      <c r="BV2398" s="1"/>
    </row>
    <row r="2399" spans="1:74">
      <c r="A2399" s="1" t="s">
        <v>72</v>
      </c>
      <c r="B2399" s="1" t="s">
        <v>38343</v>
      </c>
      <c r="C2399" s="1" t="s">
        <v>74</v>
      </c>
      <c r="D2399" s="1" t="s">
        <v>74</v>
      </c>
      <c r="E2399" s="1" t="s">
        <v>74</v>
      </c>
      <c r="F2399" s="1" t="s">
        <v>38344</v>
      </c>
      <c r="G2399" s="1" t="s">
        <v>74</v>
      </c>
      <c r="H2399" s="1" t="s">
        <v>74</v>
      </c>
      <c r="I2399" s="1" t="s">
        <v>38345</v>
      </c>
      <c r="J2399" s="1" t="s">
        <v>4463</v>
      </c>
      <c r="K2399" s="1" t="s">
        <v>74</v>
      </c>
      <c r="L2399" s="1" t="s">
        <v>74</v>
      </c>
      <c r="M2399" s="1" t="s">
        <v>78</v>
      </c>
      <c r="N2399" s="1" t="s">
        <v>79</v>
      </c>
      <c r="O2399" s="1" t="s">
        <v>74</v>
      </c>
      <c r="P2399" s="1" t="s">
        <v>74</v>
      </c>
      <c r="Q2399" s="1" t="s">
        <v>74</v>
      </c>
      <c r="R2399" s="1" t="s">
        <v>74</v>
      </c>
      <c r="S2399" s="1" t="s">
        <v>74</v>
      </c>
      <c r="T2399" s="1" t="s">
        <v>74</v>
      </c>
      <c r="U2399" s="1" t="s">
        <v>38346</v>
      </c>
      <c r="V2399" s="1" t="s">
        <v>38347</v>
      </c>
      <c r="W2399" s="1" t="s">
        <v>38348</v>
      </c>
      <c r="X2399" s="1" t="s">
        <v>38349</v>
      </c>
      <c r="Y2399" s="1" t="s">
        <v>38350</v>
      </c>
      <c r="Z2399" s="1" t="s">
        <v>38351</v>
      </c>
      <c r="AA2399" s="1" t="s">
        <v>38352</v>
      </c>
      <c r="AB2399" s="1" t="s">
        <v>38353</v>
      </c>
      <c r="AC2399" s="1" t="s">
        <v>38354</v>
      </c>
      <c r="AD2399" s="1" t="s">
        <v>38355</v>
      </c>
      <c r="AE2399" s="1" t="s">
        <v>38356</v>
      </c>
      <c r="AF2399" s="1" t="s">
        <v>74</v>
      </c>
      <c r="AG2399" s="1">
        <v>66</v>
      </c>
      <c r="AH2399" s="1">
        <v>57</v>
      </c>
      <c r="AI2399" s="1">
        <v>58</v>
      </c>
      <c r="AJ2399" s="1">
        <v>3</v>
      </c>
      <c r="AK2399" s="1">
        <v>68</v>
      </c>
      <c r="AL2399" s="1" t="s">
        <v>4471</v>
      </c>
      <c r="AM2399" s="1" t="s">
        <v>4472</v>
      </c>
      <c r="AN2399" s="1" t="s">
        <v>4473</v>
      </c>
      <c r="AO2399" s="1" t="s">
        <v>4474</v>
      </c>
      <c r="AP2399" s="1" t="s">
        <v>4475</v>
      </c>
      <c r="AQ2399" s="1" t="s">
        <v>74</v>
      </c>
      <c r="AR2399" s="1" t="s">
        <v>4476</v>
      </c>
      <c r="AS2399" s="1" t="s">
        <v>4477</v>
      </c>
      <c r="AT2399" s="1" t="s">
        <v>38357</v>
      </c>
      <c r="AU2399" s="1">
        <v>2015</v>
      </c>
      <c r="AV2399" s="1">
        <v>49</v>
      </c>
      <c r="AW2399" s="1">
        <v>19</v>
      </c>
      <c r="AX2399" s="1" t="s">
        <v>74</v>
      </c>
      <c r="AY2399" s="1" t="s">
        <v>74</v>
      </c>
      <c r="AZ2399" s="1" t="s">
        <v>74</v>
      </c>
      <c r="BA2399" s="1" t="s">
        <v>74</v>
      </c>
      <c r="BB2399" s="1">
        <v>11438</v>
      </c>
      <c r="BC2399" s="1">
        <v>11448</v>
      </c>
      <c r="BD2399" s="1" t="s">
        <v>74</v>
      </c>
      <c r="BE2399" s="1" t="s">
        <v>38358</v>
      </c>
      <c r="BF2399" s="1" t="str">
        <f>HYPERLINK("http://dx.doi.org/10.1021/acs.est.5b01893","http://dx.doi.org/10.1021/acs.est.5b01893")</f>
        <v>http://dx.doi.org/10.1021/acs.est.5b01893</v>
      </c>
      <c r="BG2399" s="1" t="s">
        <v>74</v>
      </c>
      <c r="BH2399" s="1" t="s">
        <v>74</v>
      </c>
      <c r="BI2399" s="1">
        <v>11</v>
      </c>
      <c r="BJ2399" s="1" t="s">
        <v>415</v>
      </c>
      <c r="BK2399" s="1" t="s">
        <v>96</v>
      </c>
      <c r="BL2399" s="1" t="s">
        <v>416</v>
      </c>
      <c r="BM2399" s="1" t="s">
        <v>38359</v>
      </c>
      <c r="BN2399" s="1">
        <v>26348385</v>
      </c>
      <c r="BO2399" s="1" t="s">
        <v>1752</v>
      </c>
      <c r="BP2399" s="1" t="s">
        <v>74</v>
      </c>
      <c r="BQ2399" s="1" t="s">
        <v>74</v>
      </c>
      <c r="BR2399" s="1" t="s">
        <v>98</v>
      </c>
      <c r="BS2399" s="1" t="s">
        <v>38360</v>
      </c>
      <c r="BT2399" s="1" t="str">
        <f>HYPERLINK("https%3A%2F%2Fwww.webofscience.com%2Fwos%2Fwoscc%2Ffull-record%2FWOS:000362629100022","View Full Record in Web of Science")</f>
        <v>View Full Record in Web of Science</v>
      </c>
      <c r="BU2399" s="1"/>
      <c r="BV2399" s="1"/>
    </row>
    <row r="2400" spans="1:74">
      <c r="A2400" s="1" t="s">
        <v>72</v>
      </c>
      <c r="B2400" s="1" t="s">
        <v>38361</v>
      </c>
      <c r="C2400" s="1" t="s">
        <v>74</v>
      </c>
      <c r="D2400" s="1" t="s">
        <v>74</v>
      </c>
      <c r="E2400" s="1" t="s">
        <v>74</v>
      </c>
      <c r="F2400" s="1" t="s">
        <v>38361</v>
      </c>
      <c r="G2400" s="1" t="s">
        <v>74</v>
      </c>
      <c r="H2400" s="1" t="s">
        <v>74</v>
      </c>
      <c r="I2400" s="1" t="s">
        <v>38362</v>
      </c>
      <c r="J2400" s="1" t="s">
        <v>421</v>
      </c>
      <c r="K2400" s="1" t="s">
        <v>74</v>
      </c>
      <c r="L2400" s="1" t="s">
        <v>74</v>
      </c>
      <c r="M2400" s="1" t="s">
        <v>78</v>
      </c>
      <c r="N2400" s="1" t="s">
        <v>79</v>
      </c>
      <c r="O2400" s="1" t="s">
        <v>74</v>
      </c>
      <c r="P2400" s="1" t="s">
        <v>74</v>
      </c>
      <c r="Q2400" s="1" t="s">
        <v>74</v>
      </c>
      <c r="R2400" s="1" t="s">
        <v>74</v>
      </c>
      <c r="S2400" s="1" t="s">
        <v>74</v>
      </c>
      <c r="T2400" s="1" t="s">
        <v>38363</v>
      </c>
      <c r="U2400" s="1" t="s">
        <v>38364</v>
      </c>
      <c r="V2400" s="1" t="s">
        <v>38365</v>
      </c>
      <c r="W2400" s="1" t="s">
        <v>38366</v>
      </c>
      <c r="X2400" s="1" t="s">
        <v>19550</v>
      </c>
      <c r="Y2400" s="1" t="s">
        <v>38367</v>
      </c>
      <c r="Z2400" s="1" t="s">
        <v>74</v>
      </c>
      <c r="AA2400" s="1" t="s">
        <v>74</v>
      </c>
      <c r="AB2400" s="1" t="s">
        <v>74</v>
      </c>
      <c r="AC2400" s="1" t="s">
        <v>74</v>
      </c>
      <c r="AD2400" s="1" t="s">
        <v>74</v>
      </c>
      <c r="AE2400" s="1" t="s">
        <v>74</v>
      </c>
      <c r="AF2400" s="1" t="s">
        <v>74</v>
      </c>
      <c r="AG2400" s="1">
        <v>71</v>
      </c>
      <c r="AH2400" s="1">
        <v>100</v>
      </c>
      <c r="AI2400" s="1">
        <v>107</v>
      </c>
      <c r="AJ2400" s="1">
        <v>1</v>
      </c>
      <c r="AK2400" s="1">
        <v>16</v>
      </c>
      <c r="AL2400" s="1" t="s">
        <v>430</v>
      </c>
      <c r="AM2400" s="1" t="s">
        <v>137</v>
      </c>
      <c r="AN2400" s="1" t="s">
        <v>431</v>
      </c>
      <c r="AO2400" s="1" t="s">
        <v>432</v>
      </c>
      <c r="AP2400" s="1" t="s">
        <v>74</v>
      </c>
      <c r="AQ2400" s="1" t="s">
        <v>74</v>
      </c>
      <c r="AR2400" s="1" t="s">
        <v>433</v>
      </c>
      <c r="AS2400" s="1" t="s">
        <v>434</v>
      </c>
      <c r="AT2400" s="1" t="s">
        <v>74</v>
      </c>
      <c r="AU2400" s="1">
        <v>2001</v>
      </c>
      <c r="AV2400" s="1">
        <v>115</v>
      </c>
      <c r="AW2400" s="1">
        <v>1</v>
      </c>
      <c r="AX2400" s="1" t="s">
        <v>74</v>
      </c>
      <c r="AY2400" s="1" t="s">
        <v>74</v>
      </c>
      <c r="AZ2400" s="1" t="s">
        <v>74</v>
      </c>
      <c r="BA2400" s="1" t="s">
        <v>74</v>
      </c>
      <c r="BB2400" s="1">
        <v>123</v>
      </c>
      <c r="BC2400" s="1">
        <v>137</v>
      </c>
      <c r="BD2400" s="1" t="s">
        <v>74</v>
      </c>
      <c r="BE2400" s="1" t="s">
        <v>38368</v>
      </c>
      <c r="BF2400" s="1" t="str">
        <f>HYPERLINK("http://dx.doi.org/10.1016/S0269-7491(00)00233-5","http://dx.doi.org/10.1016/S0269-7491(00)00233-5")</f>
        <v>http://dx.doi.org/10.1016/S0269-7491(00)00233-5</v>
      </c>
      <c r="BG2400" s="1" t="s">
        <v>74</v>
      </c>
      <c r="BH2400" s="1" t="s">
        <v>74</v>
      </c>
      <c r="BI2400" s="1">
        <v>15</v>
      </c>
      <c r="BJ2400" s="1" t="s">
        <v>144</v>
      </c>
      <c r="BK2400" s="1" t="s">
        <v>96</v>
      </c>
      <c r="BL2400" s="1" t="s">
        <v>145</v>
      </c>
      <c r="BM2400" s="1" t="s">
        <v>6720</v>
      </c>
      <c r="BN2400" s="1">
        <v>11586767</v>
      </c>
      <c r="BO2400" s="1" t="s">
        <v>74</v>
      </c>
      <c r="BP2400" s="1" t="s">
        <v>74</v>
      </c>
      <c r="BQ2400" s="1" t="s">
        <v>74</v>
      </c>
      <c r="BR2400" s="1" t="s">
        <v>98</v>
      </c>
      <c r="BS2400" s="1" t="s">
        <v>38369</v>
      </c>
      <c r="BT2400" s="1" t="str">
        <f>HYPERLINK("https%3A%2F%2Fwww.webofscience.com%2Fwos%2Fwoscc%2Ffull-record%2FWOS:000171238500013","View Full Record in Web of Science")</f>
        <v>View Full Record in Web of Science</v>
      </c>
      <c r="BU2400" s="1"/>
      <c r="BV2400" s="1"/>
    </row>
    <row r="2401" spans="1:74">
      <c r="A2401" s="1" t="s">
        <v>72</v>
      </c>
      <c r="B2401" s="1" t="s">
        <v>38370</v>
      </c>
      <c r="C2401" s="1" t="s">
        <v>74</v>
      </c>
      <c r="D2401" s="1" t="s">
        <v>74</v>
      </c>
      <c r="E2401" s="1" t="s">
        <v>74</v>
      </c>
      <c r="F2401" s="1" t="s">
        <v>38370</v>
      </c>
      <c r="G2401" s="1" t="s">
        <v>74</v>
      </c>
      <c r="H2401" s="1" t="s">
        <v>74</v>
      </c>
      <c r="I2401" s="1" t="s">
        <v>38371</v>
      </c>
      <c r="J2401" s="1" t="s">
        <v>232</v>
      </c>
      <c r="K2401" s="1" t="s">
        <v>74</v>
      </c>
      <c r="L2401" s="1" t="s">
        <v>74</v>
      </c>
      <c r="M2401" s="1" t="s">
        <v>78</v>
      </c>
      <c r="N2401" s="1" t="s">
        <v>79</v>
      </c>
      <c r="O2401" s="1" t="s">
        <v>74</v>
      </c>
      <c r="P2401" s="1" t="s">
        <v>74</v>
      </c>
      <c r="Q2401" s="1" t="s">
        <v>74</v>
      </c>
      <c r="R2401" s="1" t="s">
        <v>74</v>
      </c>
      <c r="S2401" s="1" t="s">
        <v>74</v>
      </c>
      <c r="T2401" s="1" t="s">
        <v>38372</v>
      </c>
      <c r="U2401" s="1" t="s">
        <v>38373</v>
      </c>
      <c r="V2401" s="1" t="s">
        <v>38374</v>
      </c>
      <c r="W2401" s="1" t="s">
        <v>38375</v>
      </c>
      <c r="X2401" s="1" t="s">
        <v>38376</v>
      </c>
      <c r="Y2401" s="1" t="s">
        <v>38377</v>
      </c>
      <c r="Z2401" s="1" t="s">
        <v>38378</v>
      </c>
      <c r="AA2401" s="1" t="s">
        <v>74</v>
      </c>
      <c r="AB2401" s="1" t="s">
        <v>74</v>
      </c>
      <c r="AC2401" s="1" t="s">
        <v>74</v>
      </c>
      <c r="AD2401" s="1" t="s">
        <v>74</v>
      </c>
      <c r="AE2401" s="1" t="s">
        <v>74</v>
      </c>
      <c r="AF2401" s="1" t="s">
        <v>74</v>
      </c>
      <c r="AG2401" s="1">
        <v>83</v>
      </c>
      <c r="AH2401" s="1">
        <v>101</v>
      </c>
      <c r="AI2401" s="1">
        <v>107</v>
      </c>
      <c r="AJ2401" s="1">
        <v>3</v>
      </c>
      <c r="AK2401" s="1">
        <v>40</v>
      </c>
      <c r="AL2401" s="1" t="s">
        <v>136</v>
      </c>
      <c r="AM2401" s="1" t="s">
        <v>137</v>
      </c>
      <c r="AN2401" s="1" t="s">
        <v>138</v>
      </c>
      <c r="AO2401" s="1" t="s">
        <v>240</v>
      </c>
      <c r="AP2401" s="1" t="s">
        <v>241</v>
      </c>
      <c r="AQ2401" s="1" t="s">
        <v>74</v>
      </c>
      <c r="AR2401" s="1" t="s">
        <v>242</v>
      </c>
      <c r="AS2401" s="1" t="s">
        <v>243</v>
      </c>
      <c r="AT2401" s="1" t="s">
        <v>1223</v>
      </c>
      <c r="AU2401" s="1">
        <v>2003</v>
      </c>
      <c r="AV2401" s="1">
        <v>46</v>
      </c>
      <c r="AW2401" s="1">
        <v>3</v>
      </c>
      <c r="AX2401" s="1" t="s">
        <v>74</v>
      </c>
      <c r="AY2401" s="1" t="s">
        <v>74</v>
      </c>
      <c r="AZ2401" s="1" t="s">
        <v>74</v>
      </c>
      <c r="BA2401" s="1" t="s">
        <v>74</v>
      </c>
      <c r="BB2401" s="1">
        <v>362</v>
      </c>
      <c r="BC2401" s="1">
        <v>374</v>
      </c>
      <c r="BD2401" s="1" t="s">
        <v>74</v>
      </c>
      <c r="BE2401" s="1" t="s">
        <v>38379</v>
      </c>
      <c r="BF2401" s="1" t="str">
        <f>HYPERLINK("http://dx.doi.org/10.1016/S0025-326X(02)00515-5","http://dx.doi.org/10.1016/S0025-326X(02)00515-5")</f>
        <v>http://dx.doi.org/10.1016/S0025-326X(02)00515-5</v>
      </c>
      <c r="BG2401" s="1" t="s">
        <v>74</v>
      </c>
      <c r="BH2401" s="1" t="s">
        <v>74</v>
      </c>
      <c r="BI2401" s="1">
        <v>13</v>
      </c>
      <c r="BJ2401" s="1" t="s">
        <v>247</v>
      </c>
      <c r="BK2401" s="1" t="s">
        <v>96</v>
      </c>
      <c r="BL2401" s="1" t="s">
        <v>248</v>
      </c>
      <c r="BM2401" s="1" t="s">
        <v>38380</v>
      </c>
      <c r="BN2401" s="1">
        <v>12604072</v>
      </c>
      <c r="BO2401" s="1" t="s">
        <v>74</v>
      </c>
      <c r="BP2401" s="1" t="s">
        <v>74</v>
      </c>
      <c r="BQ2401" s="1" t="s">
        <v>74</v>
      </c>
      <c r="BR2401" s="1" t="s">
        <v>98</v>
      </c>
      <c r="BS2401" s="1" t="s">
        <v>38381</v>
      </c>
      <c r="BT2401" s="1" t="str">
        <f>HYPERLINK("https%3A%2F%2Fwww.webofscience.com%2Fwos%2Fwoscc%2Ffull-record%2FWOS:000181579000024","View Full Record in Web of Science")</f>
        <v>View Full Record in Web of Science</v>
      </c>
      <c r="BU2401" s="1"/>
      <c r="BV2401" s="1"/>
    </row>
    <row r="2402" spans="1:74">
      <c r="A2402" s="1" t="s">
        <v>72</v>
      </c>
      <c r="B2402" s="1" t="s">
        <v>38382</v>
      </c>
      <c r="C2402" s="1" t="s">
        <v>74</v>
      </c>
      <c r="D2402" s="1" t="s">
        <v>74</v>
      </c>
      <c r="E2402" s="1" t="s">
        <v>74</v>
      </c>
      <c r="F2402" s="1" t="s">
        <v>38382</v>
      </c>
      <c r="G2402" s="1" t="s">
        <v>74</v>
      </c>
      <c r="H2402" s="1" t="s">
        <v>74</v>
      </c>
      <c r="I2402" s="1" t="s">
        <v>38383</v>
      </c>
      <c r="J2402" s="1" t="s">
        <v>595</v>
      </c>
      <c r="K2402" s="1" t="s">
        <v>74</v>
      </c>
      <c r="L2402" s="1" t="s">
        <v>74</v>
      </c>
      <c r="M2402" s="1" t="s">
        <v>78</v>
      </c>
      <c r="N2402" s="1" t="s">
        <v>79</v>
      </c>
      <c r="O2402" s="1" t="s">
        <v>74</v>
      </c>
      <c r="P2402" s="1" t="s">
        <v>74</v>
      </c>
      <c r="Q2402" s="1" t="s">
        <v>74</v>
      </c>
      <c r="R2402" s="1" t="s">
        <v>74</v>
      </c>
      <c r="S2402" s="1" t="s">
        <v>74</v>
      </c>
      <c r="T2402" s="1" t="s">
        <v>38384</v>
      </c>
      <c r="U2402" s="1" t="s">
        <v>38385</v>
      </c>
      <c r="V2402" s="1" t="s">
        <v>38386</v>
      </c>
      <c r="W2402" s="1" t="s">
        <v>38387</v>
      </c>
      <c r="X2402" s="1" t="s">
        <v>38388</v>
      </c>
      <c r="Y2402" s="1" t="s">
        <v>38389</v>
      </c>
      <c r="Z2402" s="1" t="s">
        <v>38390</v>
      </c>
      <c r="AA2402" s="1" t="s">
        <v>38391</v>
      </c>
      <c r="AB2402" s="1" t="s">
        <v>38392</v>
      </c>
      <c r="AC2402" s="1" t="s">
        <v>74</v>
      </c>
      <c r="AD2402" s="1" t="s">
        <v>74</v>
      </c>
      <c r="AE2402" s="1" t="s">
        <v>74</v>
      </c>
      <c r="AF2402" s="1" t="s">
        <v>74</v>
      </c>
      <c r="AG2402" s="1">
        <v>31</v>
      </c>
      <c r="AH2402" s="1">
        <v>16</v>
      </c>
      <c r="AI2402" s="1">
        <v>23</v>
      </c>
      <c r="AJ2402" s="1">
        <v>0</v>
      </c>
      <c r="AK2402" s="1">
        <v>12</v>
      </c>
      <c r="AL2402" s="1" t="s">
        <v>112</v>
      </c>
      <c r="AM2402" s="1" t="s">
        <v>191</v>
      </c>
      <c r="AN2402" s="1" t="s">
        <v>192</v>
      </c>
      <c r="AO2402" s="1" t="s">
        <v>608</v>
      </c>
      <c r="AP2402" s="1" t="s">
        <v>609</v>
      </c>
      <c r="AQ2402" s="1" t="s">
        <v>74</v>
      </c>
      <c r="AR2402" s="1" t="s">
        <v>595</v>
      </c>
      <c r="AS2402" s="1" t="s">
        <v>610</v>
      </c>
      <c r="AT2402" s="1" t="s">
        <v>119</v>
      </c>
      <c r="AU2402" s="1">
        <v>1999</v>
      </c>
      <c r="AV2402" s="1">
        <v>8</v>
      </c>
      <c r="AW2402" s="1">
        <v>4</v>
      </c>
      <c r="AX2402" s="1" t="s">
        <v>74</v>
      </c>
      <c r="AY2402" s="1" t="s">
        <v>74</v>
      </c>
      <c r="AZ2402" s="1" t="s">
        <v>74</v>
      </c>
      <c r="BA2402" s="1" t="s">
        <v>74</v>
      </c>
      <c r="BB2402" s="1">
        <v>277</v>
      </c>
      <c r="BC2402" s="1">
        <v>286</v>
      </c>
      <c r="BD2402" s="1" t="s">
        <v>74</v>
      </c>
      <c r="BE2402" s="1" t="s">
        <v>38393</v>
      </c>
      <c r="BF2402" s="1" t="str">
        <f>HYPERLINK("http://dx.doi.org/10.1023/A:1008929215781","http://dx.doi.org/10.1023/A:1008929215781")</f>
        <v>http://dx.doi.org/10.1023/A:1008929215781</v>
      </c>
      <c r="BG2402" s="1" t="s">
        <v>74</v>
      </c>
      <c r="BH2402" s="1" t="s">
        <v>74</v>
      </c>
      <c r="BI2402" s="1">
        <v>10</v>
      </c>
      <c r="BJ2402" s="1" t="s">
        <v>612</v>
      </c>
      <c r="BK2402" s="1" t="s">
        <v>96</v>
      </c>
      <c r="BL2402" s="1" t="s">
        <v>122</v>
      </c>
      <c r="BM2402" s="1" t="s">
        <v>38394</v>
      </c>
      <c r="BN2402" s="1" t="s">
        <v>74</v>
      </c>
      <c r="BO2402" s="1" t="s">
        <v>74</v>
      </c>
      <c r="BP2402" s="1" t="s">
        <v>74</v>
      </c>
      <c r="BQ2402" s="1" t="s">
        <v>74</v>
      </c>
      <c r="BR2402" s="1" t="s">
        <v>98</v>
      </c>
      <c r="BS2402" s="1" t="s">
        <v>38395</v>
      </c>
      <c r="BT2402" s="1" t="str">
        <f>HYPERLINK("https%3A%2F%2Fwww.webofscience.com%2Fwos%2Fwoscc%2Ffull-record%2FWOS:000083596800004","View Full Record in Web of Science")</f>
        <v>View Full Record in Web of Science</v>
      </c>
      <c r="BU2402" s="1"/>
      <c r="BV2402" s="1"/>
    </row>
    <row r="2403" spans="1:74">
      <c r="A2403" s="1" t="s">
        <v>72</v>
      </c>
      <c r="B2403" s="1" t="s">
        <v>38396</v>
      </c>
      <c r="C2403" s="1" t="s">
        <v>74</v>
      </c>
      <c r="D2403" s="1" t="s">
        <v>74</v>
      </c>
      <c r="E2403" s="1" t="s">
        <v>74</v>
      </c>
      <c r="F2403" s="1" t="s">
        <v>38397</v>
      </c>
      <c r="G2403" s="1" t="s">
        <v>74</v>
      </c>
      <c r="H2403" s="1" t="s">
        <v>74</v>
      </c>
      <c r="I2403" s="1" t="s">
        <v>38398</v>
      </c>
      <c r="J2403" s="1" t="s">
        <v>232</v>
      </c>
      <c r="K2403" s="1" t="s">
        <v>74</v>
      </c>
      <c r="L2403" s="1" t="s">
        <v>74</v>
      </c>
      <c r="M2403" s="1" t="s">
        <v>78</v>
      </c>
      <c r="N2403" s="1" t="s">
        <v>79</v>
      </c>
      <c r="O2403" s="1" t="s">
        <v>74</v>
      </c>
      <c r="P2403" s="1" t="s">
        <v>74</v>
      </c>
      <c r="Q2403" s="1" t="s">
        <v>74</v>
      </c>
      <c r="R2403" s="1" t="s">
        <v>74</v>
      </c>
      <c r="S2403" s="1" t="s">
        <v>74</v>
      </c>
      <c r="T2403" s="1" t="s">
        <v>38399</v>
      </c>
      <c r="U2403" s="1" t="s">
        <v>38400</v>
      </c>
      <c r="V2403" s="1" t="s">
        <v>38401</v>
      </c>
      <c r="W2403" s="1" t="s">
        <v>38402</v>
      </c>
      <c r="X2403" s="1" t="s">
        <v>38403</v>
      </c>
      <c r="Y2403" s="1" t="s">
        <v>38404</v>
      </c>
      <c r="Z2403" s="1" t="s">
        <v>38405</v>
      </c>
      <c r="AA2403" s="1" t="s">
        <v>38406</v>
      </c>
      <c r="AB2403" s="1" t="s">
        <v>38407</v>
      </c>
      <c r="AC2403" s="1" t="s">
        <v>38408</v>
      </c>
      <c r="AD2403" s="1" t="s">
        <v>38408</v>
      </c>
      <c r="AE2403" s="1" t="s">
        <v>38409</v>
      </c>
      <c r="AF2403" s="1" t="s">
        <v>74</v>
      </c>
      <c r="AG2403" s="1">
        <v>24</v>
      </c>
      <c r="AH2403" s="1">
        <v>33</v>
      </c>
      <c r="AI2403" s="1">
        <v>36</v>
      </c>
      <c r="AJ2403" s="1">
        <v>0</v>
      </c>
      <c r="AK2403" s="1">
        <v>18</v>
      </c>
      <c r="AL2403" s="1" t="s">
        <v>136</v>
      </c>
      <c r="AM2403" s="1" t="s">
        <v>137</v>
      </c>
      <c r="AN2403" s="1" t="s">
        <v>138</v>
      </c>
      <c r="AO2403" s="1" t="s">
        <v>240</v>
      </c>
      <c r="AP2403" s="1" t="s">
        <v>241</v>
      </c>
      <c r="AQ2403" s="1" t="s">
        <v>74</v>
      </c>
      <c r="AR2403" s="1" t="s">
        <v>242</v>
      </c>
      <c r="AS2403" s="1" t="s">
        <v>243</v>
      </c>
      <c r="AT2403" s="1" t="s">
        <v>1507</v>
      </c>
      <c r="AU2403" s="1">
        <v>2016</v>
      </c>
      <c r="AV2403" s="1">
        <v>105</v>
      </c>
      <c r="AW2403" s="1">
        <v>1</v>
      </c>
      <c r="AX2403" s="1" t="s">
        <v>74</v>
      </c>
      <c r="AY2403" s="1" t="s">
        <v>74</v>
      </c>
      <c r="AZ2403" s="1" t="s">
        <v>74</v>
      </c>
      <c r="BA2403" s="1" t="s">
        <v>74</v>
      </c>
      <c r="BB2403" s="1">
        <v>120</v>
      </c>
      <c r="BC2403" s="1">
        <v>124</v>
      </c>
      <c r="BD2403" s="1" t="s">
        <v>74</v>
      </c>
      <c r="BE2403" s="1" t="s">
        <v>38410</v>
      </c>
      <c r="BF2403" s="1" t="str">
        <f>HYPERLINK("http://dx.doi.org/10.1016/j.marpolbul.2016.02.042","http://dx.doi.org/10.1016/j.marpolbul.2016.02.042")</f>
        <v>http://dx.doi.org/10.1016/j.marpolbul.2016.02.042</v>
      </c>
      <c r="BG2403" s="1" t="s">
        <v>74</v>
      </c>
      <c r="BH2403" s="1" t="s">
        <v>74</v>
      </c>
      <c r="BI2403" s="1">
        <v>5</v>
      </c>
      <c r="BJ2403" s="1" t="s">
        <v>247</v>
      </c>
      <c r="BK2403" s="1" t="s">
        <v>96</v>
      </c>
      <c r="BL2403" s="1" t="s">
        <v>248</v>
      </c>
      <c r="BM2403" s="1" t="s">
        <v>1509</v>
      </c>
      <c r="BN2403" s="1">
        <v>26922360</v>
      </c>
      <c r="BO2403" s="1" t="s">
        <v>74</v>
      </c>
      <c r="BP2403" s="1" t="s">
        <v>74</v>
      </c>
      <c r="BQ2403" s="1" t="s">
        <v>74</v>
      </c>
      <c r="BR2403" s="1" t="s">
        <v>98</v>
      </c>
      <c r="BS2403" s="1" t="s">
        <v>38411</v>
      </c>
      <c r="BT2403" s="1" t="str">
        <f>HYPERLINK("https%3A%2F%2Fwww.webofscience.com%2Fwos%2Fwoscc%2Ffull-record%2FWOS:000375816000028","View Full Record in Web of Science")</f>
        <v>View Full Record in Web of Science</v>
      </c>
      <c r="BU2403" s="1"/>
      <c r="BV2403" s="1"/>
    </row>
    <row r="2404" spans="1:74">
      <c r="A2404" s="1" t="s">
        <v>72</v>
      </c>
      <c r="B2404" s="1" t="s">
        <v>38412</v>
      </c>
      <c r="C2404" s="1" t="s">
        <v>74</v>
      </c>
      <c r="D2404" s="1" t="s">
        <v>74</v>
      </c>
      <c r="E2404" s="1" t="s">
        <v>74</v>
      </c>
      <c r="F2404" s="1" t="s">
        <v>38413</v>
      </c>
      <c r="G2404" s="1" t="s">
        <v>74</v>
      </c>
      <c r="H2404" s="1" t="s">
        <v>74</v>
      </c>
      <c r="I2404" s="1" t="s">
        <v>38414</v>
      </c>
      <c r="J2404" s="1" t="s">
        <v>7477</v>
      </c>
      <c r="K2404" s="1" t="s">
        <v>74</v>
      </c>
      <c r="L2404" s="1" t="s">
        <v>74</v>
      </c>
      <c r="M2404" s="1" t="s">
        <v>78</v>
      </c>
      <c r="N2404" s="1" t="s">
        <v>79</v>
      </c>
      <c r="O2404" s="1" t="s">
        <v>74</v>
      </c>
      <c r="P2404" s="1" t="s">
        <v>74</v>
      </c>
      <c r="Q2404" s="1" t="s">
        <v>74</v>
      </c>
      <c r="R2404" s="1" t="s">
        <v>74</v>
      </c>
      <c r="S2404" s="1" t="s">
        <v>74</v>
      </c>
      <c r="T2404" s="1" t="s">
        <v>38415</v>
      </c>
      <c r="U2404" s="1" t="s">
        <v>38416</v>
      </c>
      <c r="V2404" s="1" t="s">
        <v>38417</v>
      </c>
      <c r="W2404" s="1" t="s">
        <v>38418</v>
      </c>
      <c r="X2404" s="1" t="s">
        <v>7465</v>
      </c>
      <c r="Y2404" s="1" t="s">
        <v>38419</v>
      </c>
      <c r="Z2404" s="1" t="s">
        <v>12601</v>
      </c>
      <c r="AA2404" s="1" t="s">
        <v>74</v>
      </c>
      <c r="AB2404" s="1" t="s">
        <v>74</v>
      </c>
      <c r="AC2404" s="1" t="s">
        <v>74</v>
      </c>
      <c r="AD2404" s="1" t="s">
        <v>74</v>
      </c>
      <c r="AE2404" s="1" t="s">
        <v>74</v>
      </c>
      <c r="AF2404" s="1" t="s">
        <v>74</v>
      </c>
      <c r="AG2404" s="1">
        <v>33</v>
      </c>
      <c r="AH2404" s="1">
        <v>0</v>
      </c>
      <c r="AI2404" s="1">
        <v>0</v>
      </c>
      <c r="AJ2404" s="1">
        <v>0</v>
      </c>
      <c r="AK2404" s="1">
        <v>0</v>
      </c>
      <c r="AL2404" s="1" t="s">
        <v>6554</v>
      </c>
      <c r="AM2404" s="1" t="s">
        <v>113</v>
      </c>
      <c r="AN2404" s="1" t="s">
        <v>6555</v>
      </c>
      <c r="AO2404" s="1" t="s">
        <v>7487</v>
      </c>
      <c r="AP2404" s="1" t="s">
        <v>7488</v>
      </c>
      <c r="AQ2404" s="1" t="s">
        <v>74</v>
      </c>
      <c r="AR2404" s="1" t="s">
        <v>7489</v>
      </c>
      <c r="AS2404" s="1" t="s">
        <v>7490</v>
      </c>
      <c r="AT2404" s="1" t="s">
        <v>1470</v>
      </c>
      <c r="AU2404" s="1">
        <v>2008</v>
      </c>
      <c r="AV2404" s="1">
        <v>34</v>
      </c>
      <c r="AW2404" s="1">
        <v>1</v>
      </c>
      <c r="AX2404" s="1" t="s">
        <v>74</v>
      </c>
      <c r="AY2404" s="1" t="s">
        <v>74</v>
      </c>
      <c r="AZ2404" s="1" t="s">
        <v>74</v>
      </c>
      <c r="BA2404" s="1" t="s">
        <v>74</v>
      </c>
      <c r="BB2404" s="1">
        <v>45</v>
      </c>
      <c r="BC2404" s="1">
        <v>50</v>
      </c>
      <c r="BD2404" s="1" t="s">
        <v>74</v>
      </c>
      <c r="BE2404" s="1" t="s">
        <v>38420</v>
      </c>
      <c r="BF2404" s="1" t="str">
        <f>HYPERLINK("http://dx.doi.org/10.1134/S1063074008010069","http://dx.doi.org/10.1134/S1063074008010069")</f>
        <v>http://dx.doi.org/10.1134/S1063074008010069</v>
      </c>
      <c r="BG2404" s="1" t="s">
        <v>74</v>
      </c>
      <c r="BH2404" s="1" t="s">
        <v>74</v>
      </c>
      <c r="BI2404" s="1">
        <v>6</v>
      </c>
      <c r="BJ2404" s="1" t="s">
        <v>680</v>
      </c>
      <c r="BK2404" s="1" t="s">
        <v>96</v>
      </c>
      <c r="BL2404" s="1" t="s">
        <v>680</v>
      </c>
      <c r="BM2404" s="1" t="s">
        <v>38421</v>
      </c>
      <c r="BN2404" s="1" t="s">
        <v>74</v>
      </c>
      <c r="BO2404" s="1" t="s">
        <v>74</v>
      </c>
      <c r="BP2404" s="1" t="s">
        <v>74</v>
      </c>
      <c r="BQ2404" s="1" t="s">
        <v>74</v>
      </c>
      <c r="BR2404" s="1" t="s">
        <v>98</v>
      </c>
      <c r="BS2404" s="1" t="s">
        <v>38422</v>
      </c>
      <c r="BT2404" s="1" t="str">
        <f>HYPERLINK("https%3A%2F%2Fwww.webofscience.com%2Fwos%2Fwoscc%2Ffull-record%2FWOS:000256456300006","View Full Record in Web of Science")</f>
        <v>View Full Record in Web of Science</v>
      </c>
      <c r="BU2404" s="1"/>
      <c r="BV2404" s="1"/>
    </row>
    <row r="2405" spans="1:74">
      <c r="A2405" s="1" t="s">
        <v>72</v>
      </c>
      <c r="B2405" s="1" t="s">
        <v>38423</v>
      </c>
      <c r="C2405" s="1" t="s">
        <v>74</v>
      </c>
      <c r="D2405" s="1" t="s">
        <v>74</v>
      </c>
      <c r="E2405" s="1" t="s">
        <v>74</v>
      </c>
      <c r="F2405" s="1" t="s">
        <v>38424</v>
      </c>
      <c r="G2405" s="1" t="s">
        <v>74</v>
      </c>
      <c r="H2405" s="1" t="s">
        <v>74</v>
      </c>
      <c r="I2405" s="1" t="s">
        <v>38425</v>
      </c>
      <c r="J2405" s="1" t="s">
        <v>232</v>
      </c>
      <c r="K2405" s="1" t="s">
        <v>74</v>
      </c>
      <c r="L2405" s="1" t="s">
        <v>74</v>
      </c>
      <c r="M2405" s="1" t="s">
        <v>78</v>
      </c>
      <c r="N2405" s="1" t="s">
        <v>79</v>
      </c>
      <c r="O2405" s="1" t="s">
        <v>74</v>
      </c>
      <c r="P2405" s="1" t="s">
        <v>74</v>
      </c>
      <c r="Q2405" s="1" t="s">
        <v>74</v>
      </c>
      <c r="R2405" s="1" t="s">
        <v>74</v>
      </c>
      <c r="S2405" s="1" t="s">
        <v>74</v>
      </c>
      <c r="T2405" s="1" t="s">
        <v>38426</v>
      </c>
      <c r="U2405" s="1" t="s">
        <v>38427</v>
      </c>
      <c r="V2405" s="1" t="s">
        <v>38428</v>
      </c>
      <c r="W2405" s="1" t="s">
        <v>38429</v>
      </c>
      <c r="X2405" s="1" t="s">
        <v>38430</v>
      </c>
      <c r="Y2405" s="1" t="s">
        <v>38431</v>
      </c>
      <c r="Z2405" s="1" t="s">
        <v>38432</v>
      </c>
      <c r="AA2405" s="1" t="s">
        <v>38433</v>
      </c>
      <c r="AB2405" s="1" t="s">
        <v>38434</v>
      </c>
      <c r="AC2405" s="1" t="s">
        <v>38435</v>
      </c>
      <c r="AD2405" s="1" t="s">
        <v>38435</v>
      </c>
      <c r="AE2405" s="1" t="s">
        <v>38436</v>
      </c>
      <c r="AF2405" s="1" t="s">
        <v>74</v>
      </c>
      <c r="AG2405" s="1">
        <v>33</v>
      </c>
      <c r="AH2405" s="1">
        <v>45</v>
      </c>
      <c r="AI2405" s="1">
        <v>49</v>
      </c>
      <c r="AJ2405" s="1">
        <v>0</v>
      </c>
      <c r="AK2405" s="1">
        <v>20</v>
      </c>
      <c r="AL2405" s="1" t="s">
        <v>136</v>
      </c>
      <c r="AM2405" s="1" t="s">
        <v>137</v>
      </c>
      <c r="AN2405" s="1" t="s">
        <v>138</v>
      </c>
      <c r="AO2405" s="1" t="s">
        <v>240</v>
      </c>
      <c r="AP2405" s="1" t="s">
        <v>241</v>
      </c>
      <c r="AQ2405" s="1" t="s">
        <v>74</v>
      </c>
      <c r="AR2405" s="1" t="s">
        <v>242</v>
      </c>
      <c r="AS2405" s="1" t="s">
        <v>243</v>
      </c>
      <c r="AT2405" s="1" t="s">
        <v>325</v>
      </c>
      <c r="AU2405" s="1">
        <v>2014</v>
      </c>
      <c r="AV2405" s="1">
        <v>87</v>
      </c>
      <c r="AW2405" s="1" t="s">
        <v>326</v>
      </c>
      <c r="AX2405" s="1" t="s">
        <v>74</v>
      </c>
      <c r="AY2405" s="1" t="s">
        <v>74</v>
      </c>
      <c r="AZ2405" s="1" t="s">
        <v>74</v>
      </c>
      <c r="BA2405" s="1" t="s">
        <v>74</v>
      </c>
      <c r="BB2405" s="1">
        <v>374</v>
      </c>
      <c r="BC2405" s="1">
        <v>380</v>
      </c>
      <c r="BD2405" s="1" t="s">
        <v>74</v>
      </c>
      <c r="BE2405" s="1" t="s">
        <v>38437</v>
      </c>
      <c r="BF2405" s="1" t="str">
        <f>HYPERLINK("http://dx.doi.org/10.1016/j.marpolbul.2014.07.047","http://dx.doi.org/10.1016/j.marpolbul.2014.07.047")</f>
        <v>http://dx.doi.org/10.1016/j.marpolbul.2014.07.047</v>
      </c>
      <c r="BG2405" s="1" t="s">
        <v>74</v>
      </c>
      <c r="BH2405" s="1" t="s">
        <v>74</v>
      </c>
      <c r="BI2405" s="1">
        <v>7</v>
      </c>
      <c r="BJ2405" s="1" t="s">
        <v>247</v>
      </c>
      <c r="BK2405" s="1" t="s">
        <v>96</v>
      </c>
      <c r="BL2405" s="1" t="s">
        <v>248</v>
      </c>
      <c r="BM2405" s="1" t="s">
        <v>10295</v>
      </c>
      <c r="BN2405" s="1">
        <v>25127737</v>
      </c>
      <c r="BO2405" s="1" t="s">
        <v>476</v>
      </c>
      <c r="BP2405" s="1" t="s">
        <v>74</v>
      </c>
      <c r="BQ2405" s="1" t="s">
        <v>74</v>
      </c>
      <c r="BR2405" s="1" t="s">
        <v>98</v>
      </c>
      <c r="BS2405" s="1" t="s">
        <v>38438</v>
      </c>
      <c r="BT2405" s="1" t="str">
        <f>HYPERLINK("https%3A%2F%2Fwww.webofscience.com%2Fwos%2Fwoscc%2Ffull-record%2FWOS:000343951800056","View Full Record in Web of Science")</f>
        <v>View Full Record in Web of Science</v>
      </c>
      <c r="BU2405" s="1"/>
      <c r="BV2405" s="1"/>
    </row>
    <row r="2406" spans="1:74">
      <c r="A2406" s="1" t="s">
        <v>72</v>
      </c>
      <c r="B2406" s="1" t="s">
        <v>38439</v>
      </c>
      <c r="C2406" s="1" t="s">
        <v>74</v>
      </c>
      <c r="D2406" s="1" t="s">
        <v>74</v>
      </c>
      <c r="E2406" s="1" t="s">
        <v>74</v>
      </c>
      <c r="F2406" s="1" t="s">
        <v>38440</v>
      </c>
      <c r="G2406" s="1" t="s">
        <v>74</v>
      </c>
      <c r="H2406" s="1" t="s">
        <v>74</v>
      </c>
      <c r="I2406" s="1" t="s">
        <v>38441</v>
      </c>
      <c r="J2406" s="1" t="s">
        <v>38442</v>
      </c>
      <c r="K2406" s="1" t="s">
        <v>74</v>
      </c>
      <c r="L2406" s="1" t="s">
        <v>74</v>
      </c>
      <c r="M2406" s="1" t="s">
        <v>78</v>
      </c>
      <c r="N2406" s="1" t="s">
        <v>79</v>
      </c>
      <c r="O2406" s="1" t="s">
        <v>74</v>
      </c>
      <c r="P2406" s="1" t="s">
        <v>74</v>
      </c>
      <c r="Q2406" s="1" t="s">
        <v>74</v>
      </c>
      <c r="R2406" s="1" t="s">
        <v>74</v>
      </c>
      <c r="S2406" s="1" t="s">
        <v>74</v>
      </c>
      <c r="T2406" s="1" t="s">
        <v>38443</v>
      </c>
      <c r="U2406" s="1" t="s">
        <v>38444</v>
      </c>
      <c r="V2406" s="1" t="s">
        <v>38445</v>
      </c>
      <c r="W2406" s="1" t="s">
        <v>38446</v>
      </c>
      <c r="X2406" s="1" t="s">
        <v>38447</v>
      </c>
      <c r="Y2406" s="1" t="s">
        <v>38448</v>
      </c>
      <c r="Z2406" s="1" t="s">
        <v>38449</v>
      </c>
      <c r="AA2406" s="1" t="s">
        <v>74</v>
      </c>
      <c r="AB2406" s="1" t="s">
        <v>74</v>
      </c>
      <c r="AC2406" s="1" t="s">
        <v>38450</v>
      </c>
      <c r="AD2406" s="1" t="s">
        <v>525</v>
      </c>
      <c r="AE2406" s="1" t="s">
        <v>38451</v>
      </c>
      <c r="AF2406" s="1" t="s">
        <v>74</v>
      </c>
      <c r="AG2406" s="1">
        <v>53</v>
      </c>
      <c r="AH2406" s="1">
        <v>1</v>
      </c>
      <c r="AI2406" s="1">
        <v>1</v>
      </c>
      <c r="AJ2406" s="1">
        <v>37</v>
      </c>
      <c r="AK2406" s="1">
        <v>37</v>
      </c>
      <c r="AL2406" s="1" t="s">
        <v>650</v>
      </c>
      <c r="AM2406" s="1" t="s">
        <v>651</v>
      </c>
      <c r="AN2406" s="1" t="s">
        <v>652</v>
      </c>
      <c r="AO2406" s="1" t="s">
        <v>38452</v>
      </c>
      <c r="AP2406" s="1" t="s">
        <v>38453</v>
      </c>
      <c r="AQ2406" s="1" t="s">
        <v>74</v>
      </c>
      <c r="AR2406" s="1" t="s">
        <v>38454</v>
      </c>
      <c r="AS2406" s="1" t="s">
        <v>38455</v>
      </c>
      <c r="AT2406" s="1" t="s">
        <v>38456</v>
      </c>
      <c r="AU2406" s="1">
        <v>2025</v>
      </c>
      <c r="AV2406" s="1">
        <v>353</v>
      </c>
      <c r="AW2406" s="1" t="s">
        <v>74</v>
      </c>
      <c r="AX2406" s="1" t="s">
        <v>489</v>
      </c>
      <c r="AY2406" s="1" t="s">
        <v>74</v>
      </c>
      <c r="AZ2406" s="1" t="s">
        <v>74</v>
      </c>
      <c r="BA2406" s="1" t="s">
        <v>74</v>
      </c>
      <c r="BB2406" s="1" t="s">
        <v>74</v>
      </c>
      <c r="BC2406" s="1" t="s">
        <v>74</v>
      </c>
      <c r="BD2406" s="1">
        <v>128255</v>
      </c>
      <c r="BE2406" s="1" t="s">
        <v>38457</v>
      </c>
      <c r="BF2406" s="1" t="str">
        <f>HYPERLINK("http://dx.doi.org/10.1016/j.seppur.2024.128255","http://dx.doi.org/10.1016/j.seppur.2024.128255")</f>
        <v>http://dx.doi.org/10.1016/j.seppur.2024.128255</v>
      </c>
      <c r="BG2406" s="1" t="s">
        <v>74</v>
      </c>
      <c r="BH2406" s="1" t="s">
        <v>7912</v>
      </c>
      <c r="BI2406" s="1">
        <v>10</v>
      </c>
      <c r="BJ2406" s="1" t="s">
        <v>9771</v>
      </c>
      <c r="BK2406" s="1" t="s">
        <v>96</v>
      </c>
      <c r="BL2406" s="1" t="s">
        <v>3992</v>
      </c>
      <c r="BM2406" s="1" t="s">
        <v>38458</v>
      </c>
      <c r="BN2406" s="1" t="s">
        <v>74</v>
      </c>
      <c r="BO2406" s="1" t="s">
        <v>74</v>
      </c>
      <c r="BP2406" s="1" t="s">
        <v>74</v>
      </c>
      <c r="BQ2406" s="1" t="s">
        <v>74</v>
      </c>
      <c r="BR2406" s="1" t="s">
        <v>98</v>
      </c>
      <c r="BS2406" s="1" t="s">
        <v>38459</v>
      </c>
      <c r="BT2406" s="1" t="str">
        <f>HYPERLINK("https%3A%2F%2Fwww.webofscience.com%2Fwos%2Fwoscc%2Ffull-record%2FWOS:001252644100001","View Full Record in Web of Science")</f>
        <v>View Full Record in Web of Science</v>
      </c>
      <c r="BU2406" s="1"/>
      <c r="BV2406" s="1"/>
    </row>
    <row r="2407" spans="1:74">
      <c r="A2407" s="1" t="s">
        <v>72</v>
      </c>
      <c r="B2407" s="1" t="s">
        <v>38460</v>
      </c>
      <c r="C2407" s="1" t="s">
        <v>74</v>
      </c>
      <c r="D2407" s="1" t="s">
        <v>74</v>
      </c>
      <c r="E2407" s="1" t="s">
        <v>74</v>
      </c>
      <c r="F2407" s="1" t="s">
        <v>38461</v>
      </c>
      <c r="G2407" s="1" t="s">
        <v>74</v>
      </c>
      <c r="H2407" s="1" t="s">
        <v>74</v>
      </c>
      <c r="I2407" s="1" t="s">
        <v>38462</v>
      </c>
      <c r="J2407" s="1" t="s">
        <v>232</v>
      </c>
      <c r="K2407" s="1" t="s">
        <v>74</v>
      </c>
      <c r="L2407" s="1" t="s">
        <v>74</v>
      </c>
      <c r="M2407" s="1" t="s">
        <v>78</v>
      </c>
      <c r="N2407" s="1" t="s">
        <v>79</v>
      </c>
      <c r="O2407" s="1" t="s">
        <v>74</v>
      </c>
      <c r="P2407" s="1" t="s">
        <v>74</v>
      </c>
      <c r="Q2407" s="1" t="s">
        <v>74</v>
      </c>
      <c r="R2407" s="1" t="s">
        <v>74</v>
      </c>
      <c r="S2407" s="1" t="s">
        <v>74</v>
      </c>
      <c r="T2407" s="1" t="s">
        <v>38463</v>
      </c>
      <c r="U2407" s="1" t="s">
        <v>38464</v>
      </c>
      <c r="V2407" s="1" t="s">
        <v>38465</v>
      </c>
      <c r="W2407" s="1" t="s">
        <v>38466</v>
      </c>
      <c r="X2407" s="1" t="s">
        <v>38467</v>
      </c>
      <c r="Y2407" s="1" t="s">
        <v>38468</v>
      </c>
      <c r="Z2407" s="1" t="s">
        <v>38469</v>
      </c>
      <c r="AA2407" s="1" t="s">
        <v>38470</v>
      </c>
      <c r="AB2407" s="1" t="s">
        <v>38471</v>
      </c>
      <c r="AC2407" s="1" t="s">
        <v>38472</v>
      </c>
      <c r="AD2407" s="1" t="s">
        <v>38473</v>
      </c>
      <c r="AE2407" s="1" t="s">
        <v>38474</v>
      </c>
      <c r="AF2407" s="1" t="s">
        <v>74</v>
      </c>
      <c r="AG2407" s="1">
        <v>24</v>
      </c>
      <c r="AH2407" s="1">
        <v>45</v>
      </c>
      <c r="AI2407" s="1">
        <v>52</v>
      </c>
      <c r="AJ2407" s="1">
        <v>0</v>
      </c>
      <c r="AK2407" s="1">
        <v>32</v>
      </c>
      <c r="AL2407" s="1" t="s">
        <v>136</v>
      </c>
      <c r="AM2407" s="1" t="s">
        <v>137</v>
      </c>
      <c r="AN2407" s="1" t="s">
        <v>138</v>
      </c>
      <c r="AO2407" s="1" t="s">
        <v>240</v>
      </c>
      <c r="AP2407" s="1" t="s">
        <v>241</v>
      </c>
      <c r="AQ2407" s="1" t="s">
        <v>74</v>
      </c>
      <c r="AR2407" s="1" t="s">
        <v>242</v>
      </c>
      <c r="AS2407" s="1" t="s">
        <v>243</v>
      </c>
      <c r="AT2407" s="1" t="s">
        <v>13998</v>
      </c>
      <c r="AU2407" s="1">
        <v>2014</v>
      </c>
      <c r="AV2407" s="1">
        <v>81</v>
      </c>
      <c r="AW2407" s="1">
        <v>2</v>
      </c>
      <c r="AX2407" s="1" t="s">
        <v>74</v>
      </c>
      <c r="AY2407" s="1" t="s">
        <v>74</v>
      </c>
      <c r="AZ2407" s="1" t="s">
        <v>225</v>
      </c>
      <c r="BA2407" s="1" t="s">
        <v>74</v>
      </c>
      <c r="BB2407" s="1">
        <v>355</v>
      </c>
      <c r="BC2407" s="1">
        <v>363</v>
      </c>
      <c r="BD2407" s="1" t="s">
        <v>74</v>
      </c>
      <c r="BE2407" s="1" t="s">
        <v>38475</v>
      </c>
      <c r="BF2407" s="1" t="str">
        <f>HYPERLINK("http://dx.doi.org/10.1016/j.marpolbul.2013.04.023","http://dx.doi.org/10.1016/j.marpolbul.2013.04.023")</f>
        <v>http://dx.doi.org/10.1016/j.marpolbul.2013.04.023</v>
      </c>
      <c r="BG2407" s="1" t="s">
        <v>74</v>
      </c>
      <c r="BH2407" s="1" t="s">
        <v>74</v>
      </c>
      <c r="BI2407" s="1">
        <v>9</v>
      </c>
      <c r="BJ2407" s="1" t="s">
        <v>247</v>
      </c>
      <c r="BK2407" s="1" t="s">
        <v>96</v>
      </c>
      <c r="BL2407" s="1" t="s">
        <v>248</v>
      </c>
      <c r="BM2407" s="1" t="s">
        <v>24845</v>
      </c>
      <c r="BN2407" s="1">
        <v>23731723</v>
      </c>
      <c r="BO2407" s="1" t="s">
        <v>74</v>
      </c>
      <c r="BP2407" s="1" t="s">
        <v>74</v>
      </c>
      <c r="BQ2407" s="1" t="s">
        <v>74</v>
      </c>
      <c r="BR2407" s="1" t="s">
        <v>98</v>
      </c>
      <c r="BS2407" s="1" t="s">
        <v>38476</v>
      </c>
      <c r="BT2407" s="1" t="str">
        <f>HYPERLINK("https%3A%2F%2Fwww.webofscience.com%2Fwos%2Fwoscc%2Ffull-record%2FWOS:000336707900009","View Full Record in Web of Science")</f>
        <v>View Full Record in Web of Science</v>
      </c>
      <c r="BU2407" s="1"/>
      <c r="BV2407" s="1"/>
    </row>
    <row r="2408" spans="1:74">
      <c r="A2408" s="1" t="s">
        <v>72</v>
      </c>
      <c r="B2408" s="1" t="s">
        <v>38477</v>
      </c>
      <c r="C2408" s="1" t="s">
        <v>74</v>
      </c>
      <c r="D2408" s="1" t="s">
        <v>74</v>
      </c>
      <c r="E2408" s="1" t="s">
        <v>74</v>
      </c>
      <c r="F2408" s="1" t="s">
        <v>38478</v>
      </c>
      <c r="G2408" s="1" t="s">
        <v>74</v>
      </c>
      <c r="H2408" s="1" t="s">
        <v>74</v>
      </c>
      <c r="I2408" s="1" t="s">
        <v>38479</v>
      </c>
      <c r="J2408" s="1" t="s">
        <v>38480</v>
      </c>
      <c r="K2408" s="1" t="s">
        <v>74</v>
      </c>
      <c r="L2408" s="1" t="s">
        <v>74</v>
      </c>
      <c r="M2408" s="1" t="s">
        <v>78</v>
      </c>
      <c r="N2408" s="1" t="s">
        <v>79</v>
      </c>
      <c r="O2408" s="1" t="s">
        <v>74</v>
      </c>
      <c r="P2408" s="1" t="s">
        <v>74</v>
      </c>
      <c r="Q2408" s="1" t="s">
        <v>74</v>
      </c>
      <c r="R2408" s="1" t="s">
        <v>74</v>
      </c>
      <c r="S2408" s="1" t="s">
        <v>74</v>
      </c>
      <c r="T2408" s="1" t="s">
        <v>38481</v>
      </c>
      <c r="U2408" s="1" t="s">
        <v>38482</v>
      </c>
      <c r="V2408" s="1" t="s">
        <v>38483</v>
      </c>
      <c r="W2408" s="1" t="s">
        <v>38484</v>
      </c>
      <c r="X2408" s="1" t="s">
        <v>11264</v>
      </c>
      <c r="Y2408" s="1" t="s">
        <v>21927</v>
      </c>
      <c r="Z2408" s="1" t="s">
        <v>1261</v>
      </c>
      <c r="AA2408" s="1" t="s">
        <v>1262</v>
      </c>
      <c r="AB2408" s="1" t="s">
        <v>38485</v>
      </c>
      <c r="AC2408" s="1" t="s">
        <v>35094</v>
      </c>
      <c r="AD2408" s="1" t="s">
        <v>1259</v>
      </c>
      <c r="AE2408" s="1" t="s">
        <v>38486</v>
      </c>
      <c r="AF2408" s="1" t="s">
        <v>74</v>
      </c>
      <c r="AG2408" s="1">
        <v>34</v>
      </c>
      <c r="AH2408" s="1">
        <v>6</v>
      </c>
      <c r="AI2408" s="1">
        <v>6</v>
      </c>
      <c r="AJ2408" s="1">
        <v>0</v>
      </c>
      <c r="AK2408" s="1">
        <v>4</v>
      </c>
      <c r="AL2408" s="1" t="s">
        <v>38487</v>
      </c>
      <c r="AM2408" s="1" t="s">
        <v>38488</v>
      </c>
      <c r="AN2408" s="1" t="s">
        <v>38489</v>
      </c>
      <c r="AO2408" s="1" t="s">
        <v>38490</v>
      </c>
      <c r="AP2408" s="1" t="s">
        <v>74</v>
      </c>
      <c r="AQ2408" s="1" t="s">
        <v>74</v>
      </c>
      <c r="AR2408" s="1" t="s">
        <v>38491</v>
      </c>
      <c r="AS2408" s="1" t="s">
        <v>38492</v>
      </c>
      <c r="AT2408" s="1" t="s">
        <v>119</v>
      </c>
      <c r="AU2408" s="1">
        <v>2011</v>
      </c>
      <c r="AV2408" s="1">
        <v>40</v>
      </c>
      <c r="AW2408" s="1">
        <v>8</v>
      </c>
      <c r="AX2408" s="1" t="s">
        <v>74</v>
      </c>
      <c r="AY2408" s="1" t="s">
        <v>74</v>
      </c>
      <c r="AZ2408" s="1" t="s">
        <v>74</v>
      </c>
      <c r="BA2408" s="1" t="s">
        <v>74</v>
      </c>
      <c r="BB2408" s="1">
        <v>809</v>
      </c>
      <c r="BC2408" s="1">
        <v>819</v>
      </c>
      <c r="BD2408" s="1" t="s">
        <v>74</v>
      </c>
      <c r="BE2408" s="1" t="s">
        <v>74</v>
      </c>
      <c r="BF2408" s="1" t="s">
        <v>74</v>
      </c>
      <c r="BG2408" s="1" t="s">
        <v>74</v>
      </c>
      <c r="BH2408" s="1" t="s">
        <v>74</v>
      </c>
      <c r="BI2408" s="1">
        <v>11</v>
      </c>
      <c r="BJ2408" s="1" t="s">
        <v>3202</v>
      </c>
      <c r="BK2408" s="1" t="s">
        <v>96</v>
      </c>
      <c r="BL2408" s="1" t="s">
        <v>3203</v>
      </c>
      <c r="BM2408" s="1" t="s">
        <v>38493</v>
      </c>
      <c r="BN2408" s="1" t="s">
        <v>74</v>
      </c>
      <c r="BO2408" s="1" t="s">
        <v>74</v>
      </c>
      <c r="BP2408" s="1" t="s">
        <v>74</v>
      </c>
      <c r="BQ2408" s="1" t="s">
        <v>74</v>
      </c>
      <c r="BR2408" s="1" t="s">
        <v>98</v>
      </c>
      <c r="BS2408" s="1" t="s">
        <v>38494</v>
      </c>
      <c r="BT2408" s="1" t="str">
        <f>HYPERLINK("https%3A%2F%2Fwww.webofscience.com%2Fwos%2Fwoscc%2Ffull-record%2FWOS:000294381900001","View Full Record in Web of Science")</f>
        <v>View Full Record in Web of Science</v>
      </c>
      <c r="BU2408" s="1"/>
      <c r="BV2408" s="1"/>
    </row>
    <row r="2409" spans="1:74">
      <c r="A2409" s="1" t="s">
        <v>72</v>
      </c>
      <c r="B2409" s="1" t="s">
        <v>38495</v>
      </c>
      <c r="C2409" s="1" t="s">
        <v>74</v>
      </c>
      <c r="D2409" s="1" t="s">
        <v>74</v>
      </c>
      <c r="E2409" s="1" t="s">
        <v>74</v>
      </c>
      <c r="F2409" s="1" t="s">
        <v>38495</v>
      </c>
      <c r="G2409" s="1" t="s">
        <v>74</v>
      </c>
      <c r="H2409" s="1" t="s">
        <v>74</v>
      </c>
      <c r="I2409" s="1" t="s">
        <v>38496</v>
      </c>
      <c r="J2409" s="1" t="s">
        <v>421</v>
      </c>
      <c r="K2409" s="1" t="s">
        <v>74</v>
      </c>
      <c r="L2409" s="1" t="s">
        <v>74</v>
      </c>
      <c r="M2409" s="1" t="s">
        <v>78</v>
      </c>
      <c r="N2409" s="1" t="s">
        <v>79</v>
      </c>
      <c r="O2409" s="1" t="s">
        <v>74</v>
      </c>
      <c r="P2409" s="1" t="s">
        <v>74</v>
      </c>
      <c r="Q2409" s="1" t="s">
        <v>74</v>
      </c>
      <c r="R2409" s="1" t="s">
        <v>74</v>
      </c>
      <c r="S2409" s="1" t="s">
        <v>74</v>
      </c>
      <c r="T2409" s="1" t="s">
        <v>38497</v>
      </c>
      <c r="U2409" s="1" t="s">
        <v>38498</v>
      </c>
      <c r="V2409" s="1" t="s">
        <v>38499</v>
      </c>
      <c r="W2409" s="1" t="s">
        <v>38500</v>
      </c>
      <c r="X2409" s="1" t="s">
        <v>4386</v>
      </c>
      <c r="Y2409" s="1" t="s">
        <v>38501</v>
      </c>
      <c r="Z2409" s="1" t="s">
        <v>38502</v>
      </c>
      <c r="AA2409" s="1" t="s">
        <v>38503</v>
      </c>
      <c r="AB2409" s="1" t="s">
        <v>38504</v>
      </c>
      <c r="AC2409" s="1" t="s">
        <v>74</v>
      </c>
      <c r="AD2409" s="1" t="s">
        <v>74</v>
      </c>
      <c r="AE2409" s="1" t="s">
        <v>74</v>
      </c>
      <c r="AF2409" s="1" t="s">
        <v>74</v>
      </c>
      <c r="AG2409" s="1">
        <v>48</v>
      </c>
      <c r="AH2409" s="1">
        <v>224</v>
      </c>
      <c r="AI2409" s="1">
        <v>257</v>
      </c>
      <c r="AJ2409" s="1">
        <v>0</v>
      </c>
      <c r="AK2409" s="1">
        <v>71</v>
      </c>
      <c r="AL2409" s="1" t="s">
        <v>430</v>
      </c>
      <c r="AM2409" s="1" t="s">
        <v>137</v>
      </c>
      <c r="AN2409" s="1" t="s">
        <v>431</v>
      </c>
      <c r="AO2409" s="1" t="s">
        <v>432</v>
      </c>
      <c r="AP2409" s="1" t="s">
        <v>1394</v>
      </c>
      <c r="AQ2409" s="1" t="s">
        <v>74</v>
      </c>
      <c r="AR2409" s="1" t="s">
        <v>433</v>
      </c>
      <c r="AS2409" s="1" t="s">
        <v>434</v>
      </c>
      <c r="AT2409" s="1" t="s">
        <v>170</v>
      </c>
      <c r="AU2409" s="1">
        <v>2004</v>
      </c>
      <c r="AV2409" s="1">
        <v>129</v>
      </c>
      <c r="AW2409" s="1">
        <v>1</v>
      </c>
      <c r="AX2409" s="1" t="s">
        <v>74</v>
      </c>
      <c r="AY2409" s="1" t="s">
        <v>74</v>
      </c>
      <c r="AZ2409" s="1" t="s">
        <v>74</v>
      </c>
      <c r="BA2409" s="1" t="s">
        <v>74</v>
      </c>
      <c r="BB2409" s="1">
        <v>99</v>
      </c>
      <c r="BC2409" s="1">
        <v>112</v>
      </c>
      <c r="BD2409" s="1" t="s">
        <v>74</v>
      </c>
      <c r="BE2409" s="1" t="s">
        <v>38505</v>
      </c>
      <c r="BF2409" s="1" t="str">
        <f>HYPERLINK("http://dx.doi.org/10.1016/j.envpol.2003.09.027","http://dx.doi.org/10.1016/j.envpol.2003.09.027")</f>
        <v>http://dx.doi.org/10.1016/j.envpol.2003.09.027</v>
      </c>
      <c r="BG2409" s="1" t="s">
        <v>74</v>
      </c>
      <c r="BH2409" s="1" t="s">
        <v>74</v>
      </c>
      <c r="BI2409" s="1">
        <v>14</v>
      </c>
      <c r="BJ2409" s="1" t="s">
        <v>144</v>
      </c>
      <c r="BK2409" s="1" t="s">
        <v>96</v>
      </c>
      <c r="BL2409" s="1" t="s">
        <v>145</v>
      </c>
      <c r="BM2409" s="1" t="s">
        <v>33303</v>
      </c>
      <c r="BN2409" s="1">
        <v>14749074</v>
      </c>
      <c r="BO2409" s="1" t="s">
        <v>74</v>
      </c>
      <c r="BP2409" s="1" t="s">
        <v>74</v>
      </c>
      <c r="BQ2409" s="1" t="s">
        <v>74</v>
      </c>
      <c r="BR2409" s="1" t="s">
        <v>98</v>
      </c>
      <c r="BS2409" s="1" t="s">
        <v>38506</v>
      </c>
      <c r="BT2409" s="1" t="str">
        <f>HYPERLINK("https%3A%2F%2Fwww.webofscience.com%2Fwos%2Fwoscc%2Ffull-record%2FWOS:000220248600012","View Full Record in Web of Science")</f>
        <v>View Full Record in Web of Science</v>
      </c>
      <c r="BU2409" s="1"/>
      <c r="BV2409" s="1"/>
    </row>
    <row r="2410" spans="1:74">
      <c r="A2410" s="1" t="s">
        <v>72</v>
      </c>
      <c r="B2410" s="1" t="s">
        <v>38507</v>
      </c>
      <c r="C2410" s="1" t="s">
        <v>74</v>
      </c>
      <c r="D2410" s="1" t="s">
        <v>74</v>
      </c>
      <c r="E2410" s="1" t="s">
        <v>74</v>
      </c>
      <c r="F2410" s="1" t="s">
        <v>38508</v>
      </c>
      <c r="G2410" s="1" t="s">
        <v>74</v>
      </c>
      <c r="H2410" s="1" t="s">
        <v>74</v>
      </c>
      <c r="I2410" s="1" t="s">
        <v>38509</v>
      </c>
      <c r="J2410" s="1" t="s">
        <v>232</v>
      </c>
      <c r="K2410" s="1" t="s">
        <v>74</v>
      </c>
      <c r="L2410" s="1" t="s">
        <v>74</v>
      </c>
      <c r="M2410" s="1" t="s">
        <v>78</v>
      </c>
      <c r="N2410" s="1" t="s">
        <v>79</v>
      </c>
      <c r="O2410" s="1" t="s">
        <v>74</v>
      </c>
      <c r="P2410" s="1" t="s">
        <v>74</v>
      </c>
      <c r="Q2410" s="1" t="s">
        <v>74</v>
      </c>
      <c r="R2410" s="1" t="s">
        <v>74</v>
      </c>
      <c r="S2410" s="1" t="s">
        <v>74</v>
      </c>
      <c r="T2410" s="1" t="s">
        <v>38510</v>
      </c>
      <c r="U2410" s="1" t="s">
        <v>74</v>
      </c>
      <c r="V2410" s="1" t="s">
        <v>38511</v>
      </c>
      <c r="W2410" s="1" t="s">
        <v>38512</v>
      </c>
      <c r="X2410" s="1" t="s">
        <v>25649</v>
      </c>
      <c r="Y2410" s="1" t="s">
        <v>32755</v>
      </c>
      <c r="Z2410" s="1" t="s">
        <v>32756</v>
      </c>
      <c r="AA2410" s="1" t="s">
        <v>38513</v>
      </c>
      <c r="AB2410" s="1" t="s">
        <v>74</v>
      </c>
      <c r="AC2410" s="1" t="s">
        <v>38514</v>
      </c>
      <c r="AD2410" s="1" t="s">
        <v>38515</v>
      </c>
      <c r="AE2410" s="1" t="s">
        <v>38516</v>
      </c>
      <c r="AF2410" s="1" t="s">
        <v>74</v>
      </c>
      <c r="AG2410" s="1">
        <v>83</v>
      </c>
      <c r="AH2410" s="1">
        <v>54</v>
      </c>
      <c r="AI2410" s="1">
        <v>55</v>
      </c>
      <c r="AJ2410" s="1">
        <v>8</v>
      </c>
      <c r="AK2410" s="1">
        <v>114</v>
      </c>
      <c r="AL2410" s="1" t="s">
        <v>136</v>
      </c>
      <c r="AM2410" s="1" t="s">
        <v>137</v>
      </c>
      <c r="AN2410" s="1" t="s">
        <v>138</v>
      </c>
      <c r="AO2410" s="1" t="s">
        <v>240</v>
      </c>
      <c r="AP2410" s="1" t="s">
        <v>241</v>
      </c>
      <c r="AQ2410" s="1" t="s">
        <v>74</v>
      </c>
      <c r="AR2410" s="1" t="s">
        <v>242</v>
      </c>
      <c r="AS2410" s="1" t="s">
        <v>243</v>
      </c>
      <c r="AT2410" s="1" t="s">
        <v>1223</v>
      </c>
      <c r="AU2410" s="1">
        <v>2021</v>
      </c>
      <c r="AV2410" s="1">
        <v>164</v>
      </c>
      <c r="AW2410" s="1" t="s">
        <v>74</v>
      </c>
      <c r="AX2410" s="1" t="s">
        <v>74</v>
      </c>
      <c r="AY2410" s="1" t="s">
        <v>74</v>
      </c>
      <c r="AZ2410" s="1" t="s">
        <v>74</v>
      </c>
      <c r="BA2410" s="1" t="s">
        <v>74</v>
      </c>
      <c r="BB2410" s="1" t="s">
        <v>74</v>
      </c>
      <c r="BC2410" s="1" t="s">
        <v>74</v>
      </c>
      <c r="BD2410" s="1">
        <v>111995</v>
      </c>
      <c r="BE2410" s="1" t="s">
        <v>38517</v>
      </c>
      <c r="BF2410" s="1" t="str">
        <f>HYPERLINK("http://dx.doi.org/10.1016/j.marpolbul.2021.111995","http://dx.doi.org/10.1016/j.marpolbul.2021.111995")</f>
        <v>http://dx.doi.org/10.1016/j.marpolbul.2021.111995</v>
      </c>
      <c r="BG2410" s="1" t="s">
        <v>74</v>
      </c>
      <c r="BH2410" s="1" t="s">
        <v>2597</v>
      </c>
      <c r="BI2410" s="1">
        <v>9</v>
      </c>
      <c r="BJ2410" s="1" t="s">
        <v>247</v>
      </c>
      <c r="BK2410" s="1" t="s">
        <v>96</v>
      </c>
      <c r="BL2410" s="1" t="s">
        <v>248</v>
      </c>
      <c r="BM2410" s="1" t="s">
        <v>38518</v>
      </c>
      <c r="BN2410" s="1">
        <v>33493858</v>
      </c>
      <c r="BO2410" s="1" t="s">
        <v>74</v>
      </c>
      <c r="BP2410" s="1" t="s">
        <v>74</v>
      </c>
      <c r="BQ2410" s="1" t="s">
        <v>74</v>
      </c>
      <c r="BR2410" s="1" t="s">
        <v>98</v>
      </c>
      <c r="BS2410" s="1" t="s">
        <v>38519</v>
      </c>
      <c r="BT2410" s="1" t="str">
        <f>HYPERLINK("https%3A%2F%2Fwww.webofscience.com%2Fwos%2Fwoscc%2Ffull-record%2FWOS:000632268100010","View Full Record in Web of Science")</f>
        <v>View Full Record in Web of Science</v>
      </c>
      <c r="BU2410" s="1"/>
      <c r="BV2410" s="1"/>
    </row>
    <row r="2411" spans="1:74">
      <c r="A2411" s="1" t="s">
        <v>72</v>
      </c>
      <c r="B2411" s="1" t="s">
        <v>38520</v>
      </c>
      <c r="C2411" s="1" t="s">
        <v>74</v>
      </c>
      <c r="D2411" s="1" t="s">
        <v>74</v>
      </c>
      <c r="E2411" s="1" t="s">
        <v>74</v>
      </c>
      <c r="F2411" s="1" t="s">
        <v>38521</v>
      </c>
      <c r="G2411" s="1" t="s">
        <v>74</v>
      </c>
      <c r="H2411" s="1" t="s">
        <v>74</v>
      </c>
      <c r="I2411" s="1" t="s">
        <v>38522</v>
      </c>
      <c r="J2411" s="1" t="s">
        <v>38523</v>
      </c>
      <c r="K2411" s="1" t="s">
        <v>74</v>
      </c>
      <c r="L2411" s="1" t="s">
        <v>74</v>
      </c>
      <c r="M2411" s="1" t="s">
        <v>78</v>
      </c>
      <c r="N2411" s="1" t="s">
        <v>151</v>
      </c>
      <c r="O2411" s="1" t="s">
        <v>38524</v>
      </c>
      <c r="P2411" s="1" t="s">
        <v>38525</v>
      </c>
      <c r="Q2411" s="1" t="s">
        <v>38526</v>
      </c>
      <c r="R2411" s="1" t="s">
        <v>74</v>
      </c>
      <c r="S2411" s="1" t="s">
        <v>74</v>
      </c>
      <c r="T2411" s="1" t="s">
        <v>38527</v>
      </c>
      <c r="U2411" s="1" t="s">
        <v>38528</v>
      </c>
      <c r="V2411" s="1" t="s">
        <v>38529</v>
      </c>
      <c r="W2411" s="1" t="s">
        <v>38530</v>
      </c>
      <c r="X2411" s="1" t="s">
        <v>12078</v>
      </c>
      <c r="Y2411" s="1" t="s">
        <v>38531</v>
      </c>
      <c r="Z2411" s="1" t="s">
        <v>35436</v>
      </c>
      <c r="AA2411" s="1" t="s">
        <v>74</v>
      </c>
      <c r="AB2411" s="1" t="s">
        <v>74</v>
      </c>
      <c r="AC2411" s="1" t="s">
        <v>74</v>
      </c>
      <c r="AD2411" s="1" t="s">
        <v>74</v>
      </c>
      <c r="AE2411" s="1" t="s">
        <v>74</v>
      </c>
      <c r="AF2411" s="1" t="s">
        <v>74</v>
      </c>
      <c r="AG2411" s="1">
        <v>30</v>
      </c>
      <c r="AH2411" s="1">
        <v>35</v>
      </c>
      <c r="AI2411" s="1">
        <v>38</v>
      </c>
      <c r="AJ2411" s="1">
        <v>2</v>
      </c>
      <c r="AK2411" s="1">
        <v>47</v>
      </c>
      <c r="AL2411" s="1" t="s">
        <v>408</v>
      </c>
      <c r="AM2411" s="1" t="s">
        <v>409</v>
      </c>
      <c r="AN2411" s="1" t="s">
        <v>410</v>
      </c>
      <c r="AO2411" s="1" t="s">
        <v>38532</v>
      </c>
      <c r="AP2411" s="1" t="s">
        <v>74</v>
      </c>
      <c r="AQ2411" s="1" t="s">
        <v>74</v>
      </c>
      <c r="AR2411" s="1" t="s">
        <v>38533</v>
      </c>
      <c r="AS2411" s="1" t="s">
        <v>38534</v>
      </c>
      <c r="AT2411" s="1" t="s">
        <v>74</v>
      </c>
      <c r="AU2411" s="1">
        <v>2008</v>
      </c>
      <c r="AV2411" s="1">
        <v>43</v>
      </c>
      <c r="AW2411" s="1">
        <v>8</v>
      </c>
      <c r="AX2411" s="1" t="s">
        <v>74</v>
      </c>
      <c r="AY2411" s="1" t="s">
        <v>74</v>
      </c>
      <c r="AZ2411" s="1" t="s">
        <v>74</v>
      </c>
      <c r="BA2411" s="1" t="s">
        <v>74</v>
      </c>
      <c r="BB2411" s="1">
        <v>655</v>
      </c>
      <c r="BC2411" s="1">
        <v>664</v>
      </c>
      <c r="BD2411" s="1" t="s">
        <v>74</v>
      </c>
      <c r="BE2411" s="1" t="s">
        <v>38535</v>
      </c>
      <c r="BF2411" s="1" t="str">
        <f>HYPERLINK("http://dx.doi.org/10.1080/03601230802352732","http://dx.doi.org/10.1080/03601230802352732")</f>
        <v>http://dx.doi.org/10.1080/03601230802352732</v>
      </c>
      <c r="BG2411" s="1" t="s">
        <v>74</v>
      </c>
      <c r="BH2411" s="1" t="s">
        <v>74</v>
      </c>
      <c r="BI2411" s="1">
        <v>10</v>
      </c>
      <c r="BJ2411" s="1" t="s">
        <v>10142</v>
      </c>
      <c r="BK2411" s="1" t="s">
        <v>172</v>
      </c>
      <c r="BL2411" s="1" t="s">
        <v>10143</v>
      </c>
      <c r="BM2411" s="1" t="s">
        <v>38536</v>
      </c>
      <c r="BN2411" s="1">
        <v>18941988</v>
      </c>
      <c r="BO2411" s="1" t="s">
        <v>74</v>
      </c>
      <c r="BP2411" s="1" t="s">
        <v>74</v>
      </c>
      <c r="BQ2411" s="1" t="s">
        <v>74</v>
      </c>
      <c r="BR2411" s="1" t="s">
        <v>98</v>
      </c>
      <c r="BS2411" s="1" t="s">
        <v>38537</v>
      </c>
      <c r="BT2411" s="1" t="str">
        <f>HYPERLINK("https%3A%2F%2Fwww.webofscience.com%2Fwos%2Fwoscc%2Ffull-record%2FWOS:000260229800004","View Full Record in Web of Science")</f>
        <v>View Full Record in Web of Science</v>
      </c>
      <c r="BU2411" s="1"/>
      <c r="BV2411" s="1"/>
    </row>
    <row r="2412" spans="1:74">
      <c r="A2412" s="1" t="s">
        <v>72</v>
      </c>
      <c r="B2412" s="1" t="s">
        <v>38538</v>
      </c>
      <c r="C2412" s="1" t="s">
        <v>74</v>
      </c>
      <c r="D2412" s="1" t="s">
        <v>74</v>
      </c>
      <c r="E2412" s="1" t="s">
        <v>74</v>
      </c>
      <c r="F2412" s="1" t="s">
        <v>38539</v>
      </c>
      <c r="G2412" s="1" t="s">
        <v>74</v>
      </c>
      <c r="H2412" s="1" t="s">
        <v>74</v>
      </c>
      <c r="I2412" s="1" t="s">
        <v>38540</v>
      </c>
      <c r="J2412" s="1" t="s">
        <v>204</v>
      </c>
      <c r="K2412" s="1" t="s">
        <v>74</v>
      </c>
      <c r="L2412" s="1" t="s">
        <v>74</v>
      </c>
      <c r="M2412" s="1" t="s">
        <v>78</v>
      </c>
      <c r="N2412" s="1" t="s">
        <v>151</v>
      </c>
      <c r="O2412" s="1" t="s">
        <v>38541</v>
      </c>
      <c r="P2412" s="1" t="s">
        <v>38542</v>
      </c>
      <c r="Q2412" s="1" t="s">
        <v>38543</v>
      </c>
      <c r="R2412" s="1" t="s">
        <v>74</v>
      </c>
      <c r="S2412" s="1" t="s">
        <v>74</v>
      </c>
      <c r="T2412" s="1" t="s">
        <v>38544</v>
      </c>
      <c r="U2412" s="1" t="s">
        <v>38545</v>
      </c>
      <c r="V2412" s="1" t="s">
        <v>38546</v>
      </c>
      <c r="W2412" s="1" t="s">
        <v>38547</v>
      </c>
      <c r="X2412" s="1" t="s">
        <v>38548</v>
      </c>
      <c r="Y2412" s="1" t="s">
        <v>38549</v>
      </c>
      <c r="Z2412" s="1" t="s">
        <v>38550</v>
      </c>
      <c r="AA2412" s="1" t="s">
        <v>38551</v>
      </c>
      <c r="AB2412" s="1" t="s">
        <v>38552</v>
      </c>
      <c r="AC2412" s="1" t="s">
        <v>38553</v>
      </c>
      <c r="AD2412" s="1" t="s">
        <v>38553</v>
      </c>
      <c r="AE2412" s="1" t="s">
        <v>38554</v>
      </c>
      <c r="AF2412" s="1" t="s">
        <v>74</v>
      </c>
      <c r="AG2412" s="1">
        <v>55</v>
      </c>
      <c r="AH2412" s="1">
        <v>6</v>
      </c>
      <c r="AI2412" s="1">
        <v>6</v>
      </c>
      <c r="AJ2412" s="1">
        <v>0</v>
      </c>
      <c r="AK2412" s="1">
        <v>27</v>
      </c>
      <c r="AL2412" s="1" t="s">
        <v>217</v>
      </c>
      <c r="AM2412" s="1" t="s">
        <v>218</v>
      </c>
      <c r="AN2412" s="1" t="s">
        <v>219</v>
      </c>
      <c r="AO2412" s="1" t="s">
        <v>220</v>
      </c>
      <c r="AP2412" s="1" t="s">
        <v>221</v>
      </c>
      <c r="AQ2412" s="1" t="s">
        <v>74</v>
      </c>
      <c r="AR2412" s="1" t="s">
        <v>222</v>
      </c>
      <c r="AS2412" s="1" t="s">
        <v>223</v>
      </c>
      <c r="AT2412" s="1" t="s">
        <v>93</v>
      </c>
      <c r="AU2412" s="1">
        <v>2018</v>
      </c>
      <c r="AV2412" s="1">
        <v>25</v>
      </c>
      <c r="AW2412" s="1">
        <v>12</v>
      </c>
      <c r="AX2412" s="1" t="s">
        <v>74</v>
      </c>
      <c r="AY2412" s="1" t="s">
        <v>74</v>
      </c>
      <c r="AZ2412" s="1" t="s">
        <v>225</v>
      </c>
      <c r="BA2412" s="1" t="s">
        <v>74</v>
      </c>
      <c r="BB2412" s="1">
        <v>11252</v>
      </c>
      <c r="BC2412" s="1">
        <v>11263</v>
      </c>
      <c r="BD2412" s="1" t="s">
        <v>74</v>
      </c>
      <c r="BE2412" s="1" t="s">
        <v>38555</v>
      </c>
      <c r="BF2412" s="1" t="str">
        <f>HYPERLINK("http://dx.doi.org/10.1007/s11356-017-9256-2","http://dx.doi.org/10.1007/s11356-017-9256-2")</f>
        <v>http://dx.doi.org/10.1007/s11356-017-9256-2</v>
      </c>
      <c r="BG2412" s="1" t="s">
        <v>74</v>
      </c>
      <c r="BH2412" s="1" t="s">
        <v>74</v>
      </c>
      <c r="BI2412" s="1">
        <v>12</v>
      </c>
      <c r="BJ2412" s="1" t="s">
        <v>144</v>
      </c>
      <c r="BK2412" s="1" t="s">
        <v>172</v>
      </c>
      <c r="BL2412" s="1" t="s">
        <v>145</v>
      </c>
      <c r="BM2412" s="1" t="s">
        <v>38556</v>
      </c>
      <c r="BN2412" s="1">
        <v>28567680</v>
      </c>
      <c r="BO2412" s="1" t="s">
        <v>74</v>
      </c>
      <c r="BP2412" s="1" t="s">
        <v>74</v>
      </c>
      <c r="BQ2412" s="1" t="s">
        <v>74</v>
      </c>
      <c r="BR2412" s="1" t="s">
        <v>98</v>
      </c>
      <c r="BS2412" s="1" t="s">
        <v>38557</v>
      </c>
      <c r="BT2412" s="1" t="str">
        <f>HYPERLINK("https%3A%2F%2Fwww.webofscience.com%2Fwos%2Fwoscc%2Ffull-record%2FWOS:000431790000009","View Full Record in Web of Science")</f>
        <v>View Full Record in Web of Science</v>
      </c>
      <c r="BU2412" s="1"/>
      <c r="BV2412" s="1"/>
    </row>
    <row r="2413" spans="1:74">
      <c r="A2413" s="1" t="s">
        <v>72</v>
      </c>
      <c r="B2413" s="1" t="s">
        <v>38558</v>
      </c>
      <c r="C2413" s="1" t="s">
        <v>74</v>
      </c>
      <c r="D2413" s="1" t="s">
        <v>74</v>
      </c>
      <c r="E2413" s="1" t="s">
        <v>74</v>
      </c>
      <c r="F2413" s="1" t="s">
        <v>38559</v>
      </c>
      <c r="G2413" s="1" t="s">
        <v>74</v>
      </c>
      <c r="H2413" s="1" t="s">
        <v>74</v>
      </c>
      <c r="I2413" s="1" t="s">
        <v>38560</v>
      </c>
      <c r="J2413" s="1" t="s">
        <v>179</v>
      </c>
      <c r="K2413" s="1" t="s">
        <v>74</v>
      </c>
      <c r="L2413" s="1" t="s">
        <v>74</v>
      </c>
      <c r="M2413" s="1" t="s">
        <v>78</v>
      </c>
      <c r="N2413" s="1" t="s">
        <v>79</v>
      </c>
      <c r="O2413" s="1" t="s">
        <v>74</v>
      </c>
      <c r="P2413" s="1" t="s">
        <v>74</v>
      </c>
      <c r="Q2413" s="1" t="s">
        <v>74</v>
      </c>
      <c r="R2413" s="1" t="s">
        <v>74</v>
      </c>
      <c r="S2413" s="1" t="s">
        <v>74</v>
      </c>
      <c r="T2413" s="1" t="s">
        <v>38561</v>
      </c>
      <c r="U2413" s="1" t="s">
        <v>38562</v>
      </c>
      <c r="V2413" s="1" t="s">
        <v>38563</v>
      </c>
      <c r="W2413" s="1" t="s">
        <v>38564</v>
      </c>
      <c r="X2413" s="1" t="s">
        <v>38565</v>
      </c>
      <c r="Y2413" s="1" t="s">
        <v>38566</v>
      </c>
      <c r="Z2413" s="1" t="s">
        <v>38567</v>
      </c>
      <c r="AA2413" s="1" t="s">
        <v>38568</v>
      </c>
      <c r="AB2413" s="1" t="s">
        <v>38569</v>
      </c>
      <c r="AC2413" s="1" t="s">
        <v>74</v>
      </c>
      <c r="AD2413" s="1" t="s">
        <v>74</v>
      </c>
      <c r="AE2413" s="1" t="s">
        <v>74</v>
      </c>
      <c r="AF2413" s="1" t="s">
        <v>74</v>
      </c>
      <c r="AG2413" s="1">
        <v>68</v>
      </c>
      <c r="AH2413" s="1">
        <v>3</v>
      </c>
      <c r="AI2413" s="1">
        <v>3</v>
      </c>
      <c r="AJ2413" s="1">
        <v>0</v>
      </c>
      <c r="AK2413" s="1">
        <v>7</v>
      </c>
      <c r="AL2413" s="1" t="s">
        <v>112</v>
      </c>
      <c r="AM2413" s="1" t="s">
        <v>191</v>
      </c>
      <c r="AN2413" s="1" t="s">
        <v>192</v>
      </c>
      <c r="AO2413" s="1" t="s">
        <v>193</v>
      </c>
      <c r="AP2413" s="1" t="s">
        <v>194</v>
      </c>
      <c r="AQ2413" s="1" t="s">
        <v>74</v>
      </c>
      <c r="AR2413" s="1" t="s">
        <v>195</v>
      </c>
      <c r="AS2413" s="1" t="s">
        <v>196</v>
      </c>
      <c r="AT2413" s="1" t="s">
        <v>224</v>
      </c>
      <c r="AU2413" s="1">
        <v>2009</v>
      </c>
      <c r="AV2413" s="1">
        <v>149</v>
      </c>
      <c r="AW2413" s="1" t="s">
        <v>721</v>
      </c>
      <c r="AX2413" s="1" t="s">
        <v>74</v>
      </c>
      <c r="AY2413" s="1" t="s">
        <v>74</v>
      </c>
      <c r="AZ2413" s="1" t="s">
        <v>74</v>
      </c>
      <c r="BA2413" s="1" t="s">
        <v>74</v>
      </c>
      <c r="BB2413" s="1">
        <v>113</v>
      </c>
      <c r="BC2413" s="1">
        <v>132</v>
      </c>
      <c r="BD2413" s="1" t="s">
        <v>74</v>
      </c>
      <c r="BE2413" s="1" t="s">
        <v>38570</v>
      </c>
      <c r="BF2413" s="1" t="str">
        <f>HYPERLINK("http://dx.doi.org/10.1007/s10661-008-0187-8","http://dx.doi.org/10.1007/s10661-008-0187-8")</f>
        <v>http://dx.doi.org/10.1007/s10661-008-0187-8</v>
      </c>
      <c r="BG2413" s="1" t="s">
        <v>74</v>
      </c>
      <c r="BH2413" s="1" t="s">
        <v>74</v>
      </c>
      <c r="BI2413" s="1">
        <v>20</v>
      </c>
      <c r="BJ2413" s="1" t="s">
        <v>144</v>
      </c>
      <c r="BK2413" s="1" t="s">
        <v>96</v>
      </c>
      <c r="BL2413" s="1" t="s">
        <v>145</v>
      </c>
      <c r="BM2413" s="1" t="s">
        <v>38571</v>
      </c>
      <c r="BN2413" s="1">
        <v>18253853</v>
      </c>
      <c r="BO2413" s="1" t="s">
        <v>74</v>
      </c>
      <c r="BP2413" s="1" t="s">
        <v>74</v>
      </c>
      <c r="BQ2413" s="1" t="s">
        <v>74</v>
      </c>
      <c r="BR2413" s="1" t="s">
        <v>98</v>
      </c>
      <c r="BS2413" s="1" t="s">
        <v>38572</v>
      </c>
      <c r="BT2413" s="1" t="str">
        <f>HYPERLINK("https%3A%2F%2Fwww.webofscience.com%2Fwos%2Fwoscc%2Ffull-record%2FWOS:000263159800011","View Full Record in Web of Science")</f>
        <v>View Full Record in Web of Science</v>
      </c>
      <c r="BU2413" s="1"/>
      <c r="BV2413" s="1"/>
    </row>
    <row r="2414" spans="1:74">
      <c r="A2414" s="1" t="s">
        <v>72</v>
      </c>
      <c r="B2414" s="1" t="s">
        <v>38573</v>
      </c>
      <c r="C2414" s="1" t="s">
        <v>74</v>
      </c>
      <c r="D2414" s="1" t="s">
        <v>74</v>
      </c>
      <c r="E2414" s="1" t="s">
        <v>74</v>
      </c>
      <c r="F2414" s="1" t="s">
        <v>38573</v>
      </c>
      <c r="G2414" s="1" t="s">
        <v>74</v>
      </c>
      <c r="H2414" s="1" t="s">
        <v>74</v>
      </c>
      <c r="I2414" s="1" t="s">
        <v>38574</v>
      </c>
      <c r="J2414" s="1" t="s">
        <v>998</v>
      </c>
      <c r="K2414" s="1" t="s">
        <v>74</v>
      </c>
      <c r="L2414" s="1" t="s">
        <v>74</v>
      </c>
      <c r="M2414" s="1" t="s">
        <v>78</v>
      </c>
      <c r="N2414" s="1" t="s">
        <v>79</v>
      </c>
      <c r="O2414" s="1" t="s">
        <v>74</v>
      </c>
      <c r="P2414" s="1" t="s">
        <v>74</v>
      </c>
      <c r="Q2414" s="1" t="s">
        <v>74</v>
      </c>
      <c r="R2414" s="1" t="s">
        <v>74</v>
      </c>
      <c r="S2414" s="1" t="s">
        <v>74</v>
      </c>
      <c r="T2414" s="1" t="s">
        <v>74</v>
      </c>
      <c r="U2414" s="1" t="s">
        <v>38575</v>
      </c>
      <c r="V2414" s="1" t="s">
        <v>38576</v>
      </c>
      <c r="W2414" s="1" t="s">
        <v>38577</v>
      </c>
      <c r="X2414" s="1" t="s">
        <v>8593</v>
      </c>
      <c r="Y2414" s="1" t="s">
        <v>38578</v>
      </c>
      <c r="Z2414" s="1" t="s">
        <v>74</v>
      </c>
      <c r="AA2414" s="1" t="s">
        <v>14454</v>
      </c>
      <c r="AB2414" s="1" t="s">
        <v>14455</v>
      </c>
      <c r="AC2414" s="1" t="s">
        <v>74</v>
      </c>
      <c r="AD2414" s="1" t="s">
        <v>74</v>
      </c>
      <c r="AE2414" s="1" t="s">
        <v>74</v>
      </c>
      <c r="AF2414" s="1" t="s">
        <v>74</v>
      </c>
      <c r="AG2414" s="1">
        <v>36</v>
      </c>
      <c r="AH2414" s="1">
        <v>173</v>
      </c>
      <c r="AI2414" s="1">
        <v>191</v>
      </c>
      <c r="AJ2414" s="1">
        <v>0</v>
      </c>
      <c r="AK2414" s="1">
        <v>18</v>
      </c>
      <c r="AL2414" s="1" t="s">
        <v>112</v>
      </c>
      <c r="AM2414" s="1" t="s">
        <v>113</v>
      </c>
      <c r="AN2414" s="1" t="s">
        <v>469</v>
      </c>
      <c r="AO2414" s="1" t="s">
        <v>1009</v>
      </c>
      <c r="AP2414" s="1" t="s">
        <v>5996</v>
      </c>
      <c r="AQ2414" s="1" t="s">
        <v>74</v>
      </c>
      <c r="AR2414" s="1" t="s">
        <v>1010</v>
      </c>
      <c r="AS2414" s="1" t="s">
        <v>1011</v>
      </c>
      <c r="AT2414" s="1" t="s">
        <v>1470</v>
      </c>
      <c r="AU2414" s="1">
        <v>1998</v>
      </c>
      <c r="AV2414" s="1">
        <v>34</v>
      </c>
      <c r="AW2414" s="1">
        <v>1</v>
      </c>
      <c r="AX2414" s="1" t="s">
        <v>74</v>
      </c>
      <c r="AY2414" s="1" t="s">
        <v>74</v>
      </c>
      <c r="AZ2414" s="1" t="s">
        <v>74</v>
      </c>
      <c r="BA2414" s="1" t="s">
        <v>74</v>
      </c>
      <c r="BB2414" s="1">
        <v>48</v>
      </c>
      <c r="BC2414" s="1">
        <v>63</v>
      </c>
      <c r="BD2414" s="1" t="s">
        <v>74</v>
      </c>
      <c r="BE2414" s="1" t="s">
        <v>38579</v>
      </c>
      <c r="BF2414" s="1" t="str">
        <f>HYPERLINK("http://dx.doi.org/10.1007/s002449900285","http://dx.doi.org/10.1007/s002449900285")</f>
        <v>http://dx.doi.org/10.1007/s002449900285</v>
      </c>
      <c r="BG2414" s="1" t="s">
        <v>74</v>
      </c>
      <c r="BH2414" s="1" t="s">
        <v>74</v>
      </c>
      <c r="BI2414" s="1">
        <v>16</v>
      </c>
      <c r="BJ2414" s="1" t="s">
        <v>121</v>
      </c>
      <c r="BK2414" s="1" t="s">
        <v>96</v>
      </c>
      <c r="BL2414" s="1" t="s">
        <v>122</v>
      </c>
      <c r="BM2414" s="1" t="s">
        <v>38580</v>
      </c>
      <c r="BN2414" s="1">
        <v>9419273</v>
      </c>
      <c r="BO2414" s="1" t="s">
        <v>74</v>
      </c>
      <c r="BP2414" s="1" t="s">
        <v>74</v>
      </c>
      <c r="BQ2414" s="1" t="s">
        <v>74</v>
      </c>
      <c r="BR2414" s="1" t="s">
        <v>98</v>
      </c>
      <c r="BS2414" s="1" t="s">
        <v>38581</v>
      </c>
      <c r="BT2414" s="1" t="str">
        <f>HYPERLINK("https%3A%2F%2Fwww.webofscience.com%2Fwos%2Fwoscc%2Ffull-record%2FWOS:000071233600008","View Full Record in Web of Science")</f>
        <v>View Full Record in Web of Science</v>
      </c>
      <c r="BU2414" s="1"/>
      <c r="BV2414" s="1"/>
    </row>
    <row r="2415" spans="1:74">
      <c r="A2415" s="1" t="s">
        <v>72</v>
      </c>
      <c r="B2415" s="1" t="s">
        <v>38582</v>
      </c>
      <c r="C2415" s="1" t="s">
        <v>74</v>
      </c>
      <c r="D2415" s="1" t="s">
        <v>74</v>
      </c>
      <c r="E2415" s="1" t="s">
        <v>74</v>
      </c>
      <c r="F2415" s="1" t="s">
        <v>38582</v>
      </c>
      <c r="G2415" s="1" t="s">
        <v>74</v>
      </c>
      <c r="H2415" s="1" t="s">
        <v>74</v>
      </c>
      <c r="I2415" s="1" t="s">
        <v>38583</v>
      </c>
      <c r="J2415" s="1" t="s">
        <v>232</v>
      </c>
      <c r="K2415" s="1" t="s">
        <v>74</v>
      </c>
      <c r="L2415" s="1" t="s">
        <v>74</v>
      </c>
      <c r="M2415" s="1" t="s">
        <v>78</v>
      </c>
      <c r="N2415" s="1" t="s">
        <v>79</v>
      </c>
      <c r="O2415" s="1" t="s">
        <v>74</v>
      </c>
      <c r="P2415" s="1" t="s">
        <v>74</v>
      </c>
      <c r="Q2415" s="1" t="s">
        <v>74</v>
      </c>
      <c r="R2415" s="1" t="s">
        <v>74</v>
      </c>
      <c r="S2415" s="1" t="s">
        <v>74</v>
      </c>
      <c r="T2415" s="1" t="s">
        <v>38584</v>
      </c>
      <c r="U2415" s="1" t="s">
        <v>38585</v>
      </c>
      <c r="V2415" s="1" t="s">
        <v>38586</v>
      </c>
      <c r="W2415" s="1" t="s">
        <v>38587</v>
      </c>
      <c r="X2415" s="1" t="s">
        <v>38588</v>
      </c>
      <c r="Y2415" s="1" t="s">
        <v>38589</v>
      </c>
      <c r="Z2415" s="1" t="s">
        <v>38590</v>
      </c>
      <c r="AA2415" s="1" t="s">
        <v>38591</v>
      </c>
      <c r="AB2415" s="1" t="s">
        <v>38592</v>
      </c>
      <c r="AC2415" s="1" t="s">
        <v>74</v>
      </c>
      <c r="AD2415" s="1" t="s">
        <v>74</v>
      </c>
      <c r="AE2415" s="1" t="s">
        <v>74</v>
      </c>
      <c r="AF2415" s="1" t="s">
        <v>74</v>
      </c>
      <c r="AG2415" s="1">
        <v>40</v>
      </c>
      <c r="AH2415" s="1">
        <v>6</v>
      </c>
      <c r="AI2415" s="1">
        <v>6</v>
      </c>
      <c r="AJ2415" s="1">
        <v>0</v>
      </c>
      <c r="AK2415" s="1">
        <v>9</v>
      </c>
      <c r="AL2415" s="1" t="s">
        <v>136</v>
      </c>
      <c r="AM2415" s="1" t="s">
        <v>137</v>
      </c>
      <c r="AN2415" s="1" t="s">
        <v>138</v>
      </c>
      <c r="AO2415" s="1" t="s">
        <v>240</v>
      </c>
      <c r="AP2415" s="1" t="s">
        <v>241</v>
      </c>
      <c r="AQ2415" s="1" t="s">
        <v>74</v>
      </c>
      <c r="AR2415" s="1" t="s">
        <v>242</v>
      </c>
      <c r="AS2415" s="1" t="s">
        <v>243</v>
      </c>
      <c r="AT2415" s="1" t="s">
        <v>1470</v>
      </c>
      <c r="AU2415" s="1">
        <v>2003</v>
      </c>
      <c r="AV2415" s="1">
        <v>46</v>
      </c>
      <c r="AW2415" s="1">
        <v>1</v>
      </c>
      <c r="AX2415" s="1" t="s">
        <v>74</v>
      </c>
      <c r="AY2415" s="1" t="s">
        <v>74</v>
      </c>
      <c r="AZ2415" s="1" t="s">
        <v>74</v>
      </c>
      <c r="BA2415" s="1" t="s">
        <v>74</v>
      </c>
      <c r="BB2415" s="1">
        <v>42</v>
      </c>
      <c r="BC2415" s="1">
        <v>48</v>
      </c>
      <c r="BD2415" s="1" t="s">
        <v>38593</v>
      </c>
      <c r="BE2415" s="1" t="s">
        <v>38594</v>
      </c>
      <c r="BF2415" s="1" t="str">
        <f>HYPERLINK("http://dx.doi.org/10.1016/S0025-326X(02)00137-6","http://dx.doi.org/10.1016/S0025-326X(02)00137-6")</f>
        <v>http://dx.doi.org/10.1016/S0025-326X(02)00137-6</v>
      </c>
      <c r="BG2415" s="1" t="s">
        <v>74</v>
      </c>
      <c r="BH2415" s="1" t="s">
        <v>74</v>
      </c>
      <c r="BI2415" s="1">
        <v>7</v>
      </c>
      <c r="BJ2415" s="1" t="s">
        <v>247</v>
      </c>
      <c r="BK2415" s="1" t="s">
        <v>96</v>
      </c>
      <c r="BL2415" s="1" t="s">
        <v>248</v>
      </c>
      <c r="BM2415" s="1" t="s">
        <v>14630</v>
      </c>
      <c r="BN2415" s="1">
        <v>12535968</v>
      </c>
      <c r="BO2415" s="1" t="s">
        <v>74</v>
      </c>
      <c r="BP2415" s="1" t="s">
        <v>74</v>
      </c>
      <c r="BQ2415" s="1" t="s">
        <v>74</v>
      </c>
      <c r="BR2415" s="1" t="s">
        <v>98</v>
      </c>
      <c r="BS2415" s="1" t="s">
        <v>38595</v>
      </c>
      <c r="BT2415" s="1" t="str">
        <f>HYPERLINK("https%3A%2F%2Fwww.webofscience.com%2Fwos%2Fwoscc%2Ffull-record%2FWOS:000181014600017","View Full Record in Web of Science")</f>
        <v>View Full Record in Web of Science</v>
      </c>
      <c r="BU2415" s="1"/>
      <c r="BV2415" s="1"/>
    </row>
    <row r="2416" spans="1:74">
      <c r="A2416" s="1" t="s">
        <v>72</v>
      </c>
      <c r="B2416" s="1" t="s">
        <v>38596</v>
      </c>
      <c r="C2416" s="1" t="s">
        <v>74</v>
      </c>
      <c r="D2416" s="1" t="s">
        <v>74</v>
      </c>
      <c r="E2416" s="1" t="s">
        <v>74</v>
      </c>
      <c r="F2416" s="1" t="s">
        <v>38597</v>
      </c>
      <c r="G2416" s="1" t="s">
        <v>74</v>
      </c>
      <c r="H2416" s="1" t="s">
        <v>74</v>
      </c>
      <c r="I2416" s="1" t="s">
        <v>38598</v>
      </c>
      <c r="J2416" s="1" t="s">
        <v>641</v>
      </c>
      <c r="K2416" s="1" t="s">
        <v>74</v>
      </c>
      <c r="L2416" s="1" t="s">
        <v>74</v>
      </c>
      <c r="M2416" s="1" t="s">
        <v>78</v>
      </c>
      <c r="N2416" s="1" t="s">
        <v>79</v>
      </c>
      <c r="O2416" s="1" t="s">
        <v>74</v>
      </c>
      <c r="P2416" s="1" t="s">
        <v>74</v>
      </c>
      <c r="Q2416" s="1" t="s">
        <v>74</v>
      </c>
      <c r="R2416" s="1" t="s">
        <v>74</v>
      </c>
      <c r="S2416" s="1" t="s">
        <v>74</v>
      </c>
      <c r="T2416" s="1" t="s">
        <v>38599</v>
      </c>
      <c r="U2416" s="1" t="s">
        <v>38600</v>
      </c>
      <c r="V2416" s="1" t="s">
        <v>38601</v>
      </c>
      <c r="W2416" s="1" t="s">
        <v>38602</v>
      </c>
      <c r="X2416" s="1" t="s">
        <v>38603</v>
      </c>
      <c r="Y2416" s="1" t="s">
        <v>38604</v>
      </c>
      <c r="Z2416" s="1" t="s">
        <v>38605</v>
      </c>
      <c r="AA2416" s="1" t="s">
        <v>38606</v>
      </c>
      <c r="AB2416" s="1" t="s">
        <v>74</v>
      </c>
      <c r="AC2416" s="1" t="s">
        <v>38607</v>
      </c>
      <c r="AD2416" s="1" t="s">
        <v>38608</v>
      </c>
      <c r="AE2416" s="1" t="s">
        <v>38609</v>
      </c>
      <c r="AF2416" s="1" t="s">
        <v>74</v>
      </c>
      <c r="AG2416" s="1">
        <v>73</v>
      </c>
      <c r="AH2416" s="1">
        <v>1</v>
      </c>
      <c r="AI2416" s="1">
        <v>1</v>
      </c>
      <c r="AJ2416" s="1">
        <v>8</v>
      </c>
      <c r="AK2416" s="1">
        <v>8</v>
      </c>
      <c r="AL2416" s="1" t="s">
        <v>650</v>
      </c>
      <c r="AM2416" s="1" t="s">
        <v>651</v>
      </c>
      <c r="AN2416" s="1" t="s">
        <v>652</v>
      </c>
      <c r="AO2416" s="1" t="s">
        <v>653</v>
      </c>
      <c r="AP2416" s="1" t="s">
        <v>654</v>
      </c>
      <c r="AQ2416" s="1" t="s">
        <v>74</v>
      </c>
      <c r="AR2416" s="1" t="s">
        <v>655</v>
      </c>
      <c r="AS2416" s="1" t="s">
        <v>656</v>
      </c>
      <c r="AT2416" s="1" t="s">
        <v>765</v>
      </c>
      <c r="AU2416" s="1">
        <v>2024</v>
      </c>
      <c r="AV2416" s="1">
        <v>272</v>
      </c>
      <c r="AW2416" s="1" t="s">
        <v>74</v>
      </c>
      <c r="AX2416" s="1" t="s">
        <v>74</v>
      </c>
      <c r="AY2416" s="1" t="s">
        <v>74</v>
      </c>
      <c r="AZ2416" s="1" t="s">
        <v>74</v>
      </c>
      <c r="BA2416" s="1" t="s">
        <v>74</v>
      </c>
      <c r="BB2416" s="1" t="s">
        <v>74</v>
      </c>
      <c r="BC2416" s="1" t="s">
        <v>74</v>
      </c>
      <c r="BD2416" s="1">
        <v>106959</v>
      </c>
      <c r="BE2416" s="1" t="s">
        <v>38610</v>
      </c>
      <c r="BF2416" s="1" t="str">
        <f>HYPERLINK("http://dx.doi.org/10.1016/j.aquatox.2024.106959","http://dx.doi.org/10.1016/j.aquatox.2024.106959")</f>
        <v>http://dx.doi.org/10.1016/j.aquatox.2024.106959</v>
      </c>
      <c r="BG2416" s="1" t="s">
        <v>74</v>
      </c>
      <c r="BH2416" s="1" t="s">
        <v>11425</v>
      </c>
      <c r="BI2416" s="1">
        <v>9</v>
      </c>
      <c r="BJ2416" s="1" t="s">
        <v>659</v>
      </c>
      <c r="BK2416" s="1" t="s">
        <v>96</v>
      </c>
      <c r="BL2416" s="1" t="s">
        <v>659</v>
      </c>
      <c r="BM2416" s="1" t="s">
        <v>38611</v>
      </c>
      <c r="BN2416" s="1">
        <v>38768528</v>
      </c>
      <c r="BO2416" s="1" t="s">
        <v>74</v>
      </c>
      <c r="BP2416" s="1" t="s">
        <v>74</v>
      </c>
      <c r="BQ2416" s="1" t="s">
        <v>74</v>
      </c>
      <c r="BR2416" s="1" t="s">
        <v>98</v>
      </c>
      <c r="BS2416" s="1" t="s">
        <v>38612</v>
      </c>
      <c r="BT2416" s="1" t="str">
        <f>HYPERLINK("https%3A%2F%2Fwww.webofscience.com%2Fwos%2Fwoscc%2Ffull-record%2FWOS:001243214900001","View Full Record in Web of Science")</f>
        <v>View Full Record in Web of Science</v>
      </c>
      <c r="BU2416" s="1"/>
      <c r="BV2416" s="1"/>
    </row>
    <row r="2417" spans="1:74">
      <c r="A2417" s="1" t="s">
        <v>72</v>
      </c>
      <c r="B2417" s="1" t="s">
        <v>38613</v>
      </c>
      <c r="C2417" s="1" t="s">
        <v>74</v>
      </c>
      <c r="D2417" s="1" t="s">
        <v>74</v>
      </c>
      <c r="E2417" s="1" t="s">
        <v>74</v>
      </c>
      <c r="F2417" s="1" t="s">
        <v>38614</v>
      </c>
      <c r="G2417" s="1" t="s">
        <v>74</v>
      </c>
      <c r="H2417" s="1" t="s">
        <v>74</v>
      </c>
      <c r="I2417" s="1" t="s">
        <v>38615</v>
      </c>
      <c r="J2417" s="1" t="s">
        <v>11045</v>
      </c>
      <c r="K2417" s="1" t="s">
        <v>74</v>
      </c>
      <c r="L2417" s="1" t="s">
        <v>74</v>
      </c>
      <c r="M2417" s="1" t="s">
        <v>78</v>
      </c>
      <c r="N2417" s="1" t="s">
        <v>79</v>
      </c>
      <c r="O2417" s="1" t="s">
        <v>74</v>
      </c>
      <c r="P2417" s="1" t="s">
        <v>74</v>
      </c>
      <c r="Q2417" s="1" t="s">
        <v>74</v>
      </c>
      <c r="R2417" s="1" t="s">
        <v>74</v>
      </c>
      <c r="S2417" s="1" t="s">
        <v>74</v>
      </c>
      <c r="T2417" s="1" t="s">
        <v>74</v>
      </c>
      <c r="U2417" s="1" t="s">
        <v>38616</v>
      </c>
      <c r="V2417" s="1" t="s">
        <v>38617</v>
      </c>
      <c r="W2417" s="1" t="s">
        <v>38618</v>
      </c>
      <c r="X2417" s="1" t="s">
        <v>38619</v>
      </c>
      <c r="Y2417" s="1" t="s">
        <v>38620</v>
      </c>
      <c r="Z2417" s="1" t="s">
        <v>33385</v>
      </c>
      <c r="AA2417" s="1" t="s">
        <v>38621</v>
      </c>
      <c r="AB2417" s="1" t="s">
        <v>38622</v>
      </c>
      <c r="AC2417" s="1" t="s">
        <v>38623</v>
      </c>
      <c r="AD2417" s="1" t="s">
        <v>38624</v>
      </c>
      <c r="AE2417" s="1" t="s">
        <v>38625</v>
      </c>
      <c r="AF2417" s="1" t="s">
        <v>74</v>
      </c>
      <c r="AG2417" s="1">
        <v>116</v>
      </c>
      <c r="AH2417" s="1">
        <v>31</v>
      </c>
      <c r="AI2417" s="1">
        <v>32</v>
      </c>
      <c r="AJ2417" s="1">
        <v>9</v>
      </c>
      <c r="AK2417" s="1">
        <v>31</v>
      </c>
      <c r="AL2417" s="1" t="s">
        <v>11056</v>
      </c>
      <c r="AM2417" s="1" t="s">
        <v>11057</v>
      </c>
      <c r="AN2417" s="1" t="s">
        <v>11058</v>
      </c>
      <c r="AO2417" s="1" t="s">
        <v>11059</v>
      </c>
      <c r="AP2417" s="1" t="s">
        <v>74</v>
      </c>
      <c r="AQ2417" s="1" t="s">
        <v>74</v>
      </c>
      <c r="AR2417" s="1" t="s">
        <v>11045</v>
      </c>
      <c r="AS2417" s="1" t="s">
        <v>11060</v>
      </c>
      <c r="AT2417" s="1" t="s">
        <v>38626</v>
      </c>
      <c r="AU2417" s="1">
        <v>2017</v>
      </c>
      <c r="AV2417" s="1">
        <v>12</v>
      </c>
      <c r="AW2417" s="1">
        <v>7</v>
      </c>
      <c r="AX2417" s="1" t="s">
        <v>74</v>
      </c>
      <c r="AY2417" s="1" t="s">
        <v>74</v>
      </c>
      <c r="AZ2417" s="1" t="s">
        <v>74</v>
      </c>
      <c r="BA2417" s="1" t="s">
        <v>74</v>
      </c>
      <c r="BB2417" s="1" t="s">
        <v>74</v>
      </c>
      <c r="BC2417" s="1" t="s">
        <v>74</v>
      </c>
      <c r="BD2417" s="1" t="s">
        <v>38627</v>
      </c>
      <c r="BE2417" s="1" t="s">
        <v>38628</v>
      </c>
      <c r="BF2417" s="1" t="str">
        <f>HYPERLINK("http://dx.doi.org/10.1371/journal.pone.0180820","http://dx.doi.org/10.1371/journal.pone.0180820")</f>
        <v>http://dx.doi.org/10.1371/journal.pone.0180820</v>
      </c>
      <c r="BG2417" s="1" t="s">
        <v>74</v>
      </c>
      <c r="BH2417" s="1" t="s">
        <v>74</v>
      </c>
      <c r="BI2417" s="1">
        <v>31</v>
      </c>
      <c r="BJ2417" s="1" t="s">
        <v>3202</v>
      </c>
      <c r="BK2417" s="1" t="s">
        <v>96</v>
      </c>
      <c r="BL2417" s="1" t="s">
        <v>3203</v>
      </c>
      <c r="BM2417" s="1" t="s">
        <v>38629</v>
      </c>
      <c r="BN2417" s="1">
        <v>28723935</v>
      </c>
      <c r="BO2417" s="1" t="s">
        <v>2155</v>
      </c>
      <c r="BP2417" s="1" t="s">
        <v>74</v>
      </c>
      <c r="BQ2417" s="1" t="s">
        <v>74</v>
      </c>
      <c r="BR2417" s="1" t="s">
        <v>98</v>
      </c>
      <c r="BS2417" s="1" t="s">
        <v>38630</v>
      </c>
      <c r="BT2417" s="1" t="str">
        <f>HYPERLINK("https%3A%2F%2Fwww.webofscience.com%2Fwos%2Fwoscc%2Ffull-record%2FWOS:000406067800027","View Full Record in Web of Science")</f>
        <v>View Full Record in Web of Science</v>
      </c>
      <c r="BU2417" s="1"/>
      <c r="BV2417" s="1"/>
    </row>
    <row r="2418" spans="1:74">
      <c r="A2418" s="1" t="s">
        <v>72</v>
      </c>
      <c r="B2418" s="1" t="s">
        <v>38631</v>
      </c>
      <c r="C2418" s="1" t="s">
        <v>74</v>
      </c>
      <c r="D2418" s="1" t="s">
        <v>74</v>
      </c>
      <c r="E2418" s="1" t="s">
        <v>74</v>
      </c>
      <c r="F2418" s="1" t="s">
        <v>38632</v>
      </c>
      <c r="G2418" s="1" t="s">
        <v>74</v>
      </c>
      <c r="H2418" s="1" t="s">
        <v>74</v>
      </c>
      <c r="I2418" s="1" t="s">
        <v>38633</v>
      </c>
      <c r="J2418" s="1" t="s">
        <v>34163</v>
      </c>
      <c r="K2418" s="1" t="s">
        <v>74</v>
      </c>
      <c r="L2418" s="1" t="s">
        <v>74</v>
      </c>
      <c r="M2418" s="1" t="s">
        <v>78</v>
      </c>
      <c r="N2418" s="1" t="s">
        <v>79</v>
      </c>
      <c r="O2418" s="1" t="s">
        <v>74</v>
      </c>
      <c r="P2418" s="1" t="s">
        <v>74</v>
      </c>
      <c r="Q2418" s="1" t="s">
        <v>74</v>
      </c>
      <c r="R2418" s="1" t="s">
        <v>74</v>
      </c>
      <c r="S2418" s="1" t="s">
        <v>74</v>
      </c>
      <c r="T2418" s="1" t="s">
        <v>38634</v>
      </c>
      <c r="U2418" s="1" t="s">
        <v>38635</v>
      </c>
      <c r="V2418" s="1" t="s">
        <v>38636</v>
      </c>
      <c r="W2418" s="1" t="s">
        <v>38637</v>
      </c>
      <c r="X2418" s="1" t="s">
        <v>38638</v>
      </c>
      <c r="Y2418" s="1" t="s">
        <v>38639</v>
      </c>
      <c r="Z2418" s="1" t="s">
        <v>38640</v>
      </c>
      <c r="AA2418" s="1" t="s">
        <v>74</v>
      </c>
      <c r="AB2418" s="1" t="s">
        <v>74</v>
      </c>
      <c r="AC2418" s="1" t="s">
        <v>38641</v>
      </c>
      <c r="AD2418" s="1" t="s">
        <v>38642</v>
      </c>
      <c r="AE2418" s="1" t="s">
        <v>38643</v>
      </c>
      <c r="AF2418" s="1" t="s">
        <v>74</v>
      </c>
      <c r="AG2418" s="1">
        <v>54</v>
      </c>
      <c r="AH2418" s="1">
        <v>14</v>
      </c>
      <c r="AI2418" s="1">
        <v>16</v>
      </c>
      <c r="AJ2418" s="1">
        <v>2</v>
      </c>
      <c r="AK2418" s="1">
        <v>33</v>
      </c>
      <c r="AL2418" s="1" t="s">
        <v>2904</v>
      </c>
      <c r="AM2418" s="1" t="s">
        <v>2905</v>
      </c>
      <c r="AN2418" s="1" t="s">
        <v>2906</v>
      </c>
      <c r="AO2418" s="1" t="s">
        <v>34176</v>
      </c>
      <c r="AP2418" s="1" t="s">
        <v>34177</v>
      </c>
      <c r="AQ2418" s="1" t="s">
        <v>74</v>
      </c>
      <c r="AR2418" s="1" t="s">
        <v>34178</v>
      </c>
      <c r="AS2418" s="1" t="s">
        <v>34179</v>
      </c>
      <c r="AT2418" s="1" t="s">
        <v>74</v>
      </c>
      <c r="AU2418" s="1">
        <v>2010</v>
      </c>
      <c r="AV2418" s="1">
        <v>10</v>
      </c>
      <c r="AW2418" s="1">
        <v>1</v>
      </c>
      <c r="AX2418" s="1" t="s">
        <v>74</v>
      </c>
      <c r="AY2418" s="1" t="s">
        <v>74</v>
      </c>
      <c r="AZ2418" s="1" t="s">
        <v>74</v>
      </c>
      <c r="BA2418" s="1" t="s">
        <v>74</v>
      </c>
      <c r="BB2418" s="1">
        <v>85</v>
      </c>
      <c r="BC2418" s="1" t="s">
        <v>38644</v>
      </c>
      <c r="BD2418" s="1" t="s">
        <v>74</v>
      </c>
      <c r="BE2418" s="1" t="s">
        <v>38645</v>
      </c>
      <c r="BF2418" s="1" t="str">
        <f>HYPERLINK("http://dx.doi.org/10.3354/ab00268","http://dx.doi.org/10.3354/ab00268")</f>
        <v>http://dx.doi.org/10.3354/ab00268</v>
      </c>
      <c r="BG2418" s="1" t="s">
        <v>74</v>
      </c>
      <c r="BH2418" s="1" t="s">
        <v>74</v>
      </c>
      <c r="BI2418" s="1">
        <v>26</v>
      </c>
      <c r="BJ2418" s="1" t="s">
        <v>680</v>
      </c>
      <c r="BK2418" s="1" t="s">
        <v>96</v>
      </c>
      <c r="BL2418" s="1" t="s">
        <v>680</v>
      </c>
      <c r="BM2418" s="1" t="s">
        <v>38646</v>
      </c>
      <c r="BN2418" s="1" t="s">
        <v>74</v>
      </c>
      <c r="BO2418" s="1" t="s">
        <v>370</v>
      </c>
      <c r="BP2418" s="1" t="s">
        <v>74</v>
      </c>
      <c r="BQ2418" s="1" t="s">
        <v>74</v>
      </c>
      <c r="BR2418" s="1" t="s">
        <v>98</v>
      </c>
      <c r="BS2418" s="1" t="s">
        <v>38647</v>
      </c>
      <c r="BT2418" s="1" t="str">
        <f>HYPERLINK("https%3A%2F%2Fwww.webofscience.com%2Fwos%2Fwoscc%2Ffull-record%2FWOS:000280768200009","View Full Record in Web of Science")</f>
        <v>View Full Record in Web of Science</v>
      </c>
      <c r="BU2418" s="1"/>
      <c r="BV2418" s="1"/>
    </row>
    <row r="2419" spans="1:74">
      <c r="A2419" s="1" t="s">
        <v>72</v>
      </c>
      <c r="B2419" s="1" t="s">
        <v>38648</v>
      </c>
      <c r="C2419" s="1" t="s">
        <v>74</v>
      </c>
      <c r="D2419" s="1" t="s">
        <v>74</v>
      </c>
      <c r="E2419" s="1" t="s">
        <v>74</v>
      </c>
      <c r="F2419" s="1" t="s">
        <v>38649</v>
      </c>
      <c r="G2419" s="1" t="s">
        <v>74</v>
      </c>
      <c r="H2419" s="1" t="s">
        <v>74</v>
      </c>
      <c r="I2419" s="1" t="s">
        <v>38650</v>
      </c>
      <c r="J2419" s="1" t="s">
        <v>275</v>
      </c>
      <c r="K2419" s="1" t="s">
        <v>74</v>
      </c>
      <c r="L2419" s="1" t="s">
        <v>74</v>
      </c>
      <c r="M2419" s="1" t="s">
        <v>78</v>
      </c>
      <c r="N2419" s="1" t="s">
        <v>79</v>
      </c>
      <c r="O2419" s="1" t="s">
        <v>74</v>
      </c>
      <c r="P2419" s="1" t="s">
        <v>74</v>
      </c>
      <c r="Q2419" s="1" t="s">
        <v>74</v>
      </c>
      <c r="R2419" s="1" t="s">
        <v>74</v>
      </c>
      <c r="S2419" s="1" t="s">
        <v>74</v>
      </c>
      <c r="T2419" s="1" t="s">
        <v>38651</v>
      </c>
      <c r="U2419" s="1" t="s">
        <v>38652</v>
      </c>
      <c r="V2419" s="1" t="s">
        <v>38653</v>
      </c>
      <c r="W2419" s="1" t="s">
        <v>38654</v>
      </c>
      <c r="X2419" s="1" t="s">
        <v>9952</v>
      </c>
      <c r="Y2419" s="1" t="s">
        <v>38655</v>
      </c>
      <c r="Z2419" s="1" t="s">
        <v>21443</v>
      </c>
      <c r="AA2419" s="1" t="s">
        <v>38656</v>
      </c>
      <c r="AB2419" s="1" t="s">
        <v>74</v>
      </c>
      <c r="AC2419" s="1" t="s">
        <v>38657</v>
      </c>
      <c r="AD2419" s="1" t="s">
        <v>38658</v>
      </c>
      <c r="AE2419" s="1" t="s">
        <v>38659</v>
      </c>
      <c r="AF2419" s="1" t="s">
        <v>74</v>
      </c>
      <c r="AG2419" s="1">
        <v>98</v>
      </c>
      <c r="AH2419" s="1">
        <v>13</v>
      </c>
      <c r="AI2419" s="1">
        <v>14</v>
      </c>
      <c r="AJ2419" s="1">
        <v>3</v>
      </c>
      <c r="AK2419" s="1">
        <v>44</v>
      </c>
      <c r="AL2419" s="1" t="s">
        <v>285</v>
      </c>
      <c r="AM2419" s="1" t="s">
        <v>286</v>
      </c>
      <c r="AN2419" s="1" t="s">
        <v>287</v>
      </c>
      <c r="AO2419" s="1" t="s">
        <v>288</v>
      </c>
      <c r="AP2419" s="1" t="s">
        <v>289</v>
      </c>
      <c r="AQ2419" s="1" t="s">
        <v>74</v>
      </c>
      <c r="AR2419" s="1" t="s">
        <v>290</v>
      </c>
      <c r="AS2419" s="1" t="s">
        <v>291</v>
      </c>
      <c r="AT2419" s="1" t="s">
        <v>765</v>
      </c>
      <c r="AU2419" s="1">
        <v>2020</v>
      </c>
      <c r="AV2419" s="1">
        <v>102</v>
      </c>
      <c r="AW2419" s="1" t="s">
        <v>74</v>
      </c>
      <c r="AX2419" s="1" t="s">
        <v>74</v>
      </c>
      <c r="AY2419" s="1" t="s">
        <v>74</v>
      </c>
      <c r="AZ2419" s="1" t="s">
        <v>74</v>
      </c>
      <c r="BA2419" s="1" t="s">
        <v>74</v>
      </c>
      <c r="BB2419" s="1">
        <v>64</v>
      </c>
      <c r="BC2419" s="1">
        <v>72</v>
      </c>
      <c r="BD2419" s="1" t="s">
        <v>74</v>
      </c>
      <c r="BE2419" s="1" t="s">
        <v>38660</v>
      </c>
      <c r="BF2419" s="1" t="str">
        <f>HYPERLINK("http://dx.doi.org/10.1016/j.fsi.2020.04.006","http://dx.doi.org/10.1016/j.fsi.2020.04.006")</f>
        <v>http://dx.doi.org/10.1016/j.fsi.2020.04.006</v>
      </c>
      <c r="BG2419" s="1" t="s">
        <v>74</v>
      </c>
      <c r="BH2419" s="1" t="s">
        <v>74</v>
      </c>
      <c r="BI2419" s="1">
        <v>9</v>
      </c>
      <c r="BJ2419" s="1" t="s">
        <v>293</v>
      </c>
      <c r="BK2419" s="1" t="s">
        <v>96</v>
      </c>
      <c r="BL2419" s="1" t="s">
        <v>293</v>
      </c>
      <c r="BM2419" s="1" t="s">
        <v>38661</v>
      </c>
      <c r="BN2419" s="1">
        <v>32268177</v>
      </c>
      <c r="BO2419" s="1" t="s">
        <v>74</v>
      </c>
      <c r="BP2419" s="1" t="s">
        <v>74</v>
      </c>
      <c r="BQ2419" s="1" t="s">
        <v>74</v>
      </c>
      <c r="BR2419" s="1" t="s">
        <v>98</v>
      </c>
      <c r="BS2419" s="1" t="s">
        <v>38662</v>
      </c>
      <c r="BT2419" s="1" t="str">
        <f>HYPERLINK("https%3A%2F%2Fwww.webofscience.com%2Fwos%2Fwoscc%2Ffull-record%2FWOS:000537822700008","View Full Record in Web of Science")</f>
        <v>View Full Record in Web of Science</v>
      </c>
      <c r="BU2419" s="1"/>
      <c r="BV2419" s="1"/>
    </row>
    <row r="2420" spans="1:74">
      <c r="A2420" s="1" t="s">
        <v>72</v>
      </c>
      <c r="B2420" s="1" t="s">
        <v>38663</v>
      </c>
      <c r="C2420" s="1" t="s">
        <v>74</v>
      </c>
      <c r="D2420" s="1" t="s">
        <v>74</v>
      </c>
      <c r="E2420" s="1" t="s">
        <v>74</v>
      </c>
      <c r="F2420" s="1" t="s">
        <v>38664</v>
      </c>
      <c r="G2420" s="1" t="s">
        <v>74</v>
      </c>
      <c r="H2420" s="1" t="s">
        <v>74</v>
      </c>
      <c r="I2420" s="1" t="s">
        <v>38665</v>
      </c>
      <c r="J2420" s="1" t="s">
        <v>3926</v>
      </c>
      <c r="K2420" s="1" t="s">
        <v>74</v>
      </c>
      <c r="L2420" s="1" t="s">
        <v>74</v>
      </c>
      <c r="M2420" s="1" t="s">
        <v>78</v>
      </c>
      <c r="N2420" s="1" t="s">
        <v>79</v>
      </c>
      <c r="O2420" s="1" t="s">
        <v>74</v>
      </c>
      <c r="P2420" s="1" t="s">
        <v>74</v>
      </c>
      <c r="Q2420" s="1" t="s">
        <v>74</v>
      </c>
      <c r="R2420" s="1" t="s">
        <v>74</v>
      </c>
      <c r="S2420" s="1" t="s">
        <v>74</v>
      </c>
      <c r="T2420" s="1" t="s">
        <v>38666</v>
      </c>
      <c r="U2420" s="1" t="s">
        <v>38667</v>
      </c>
      <c r="V2420" s="1" t="s">
        <v>38668</v>
      </c>
      <c r="W2420" s="1" t="s">
        <v>38669</v>
      </c>
      <c r="X2420" s="1" t="s">
        <v>38670</v>
      </c>
      <c r="Y2420" s="1" t="s">
        <v>38671</v>
      </c>
      <c r="Z2420" s="1" t="s">
        <v>38672</v>
      </c>
      <c r="AA2420" s="1" t="s">
        <v>38673</v>
      </c>
      <c r="AB2420" s="1" t="s">
        <v>38674</v>
      </c>
      <c r="AC2420" s="1" t="s">
        <v>38675</v>
      </c>
      <c r="AD2420" s="1" t="s">
        <v>38676</v>
      </c>
      <c r="AE2420" s="1" t="s">
        <v>38677</v>
      </c>
      <c r="AF2420" s="1" t="s">
        <v>74</v>
      </c>
      <c r="AG2420" s="1">
        <v>32</v>
      </c>
      <c r="AH2420" s="1">
        <v>11</v>
      </c>
      <c r="AI2420" s="1">
        <v>12</v>
      </c>
      <c r="AJ2420" s="1">
        <v>0</v>
      </c>
      <c r="AK2420" s="1">
        <v>19</v>
      </c>
      <c r="AL2420" s="1" t="s">
        <v>919</v>
      </c>
      <c r="AM2420" s="1" t="s">
        <v>651</v>
      </c>
      <c r="AN2420" s="1" t="s">
        <v>920</v>
      </c>
      <c r="AO2420" s="1" t="s">
        <v>3939</v>
      </c>
      <c r="AP2420" s="1" t="s">
        <v>3940</v>
      </c>
      <c r="AQ2420" s="1" t="s">
        <v>74</v>
      </c>
      <c r="AR2420" s="1" t="s">
        <v>3926</v>
      </c>
      <c r="AS2420" s="1" t="s">
        <v>3941</v>
      </c>
      <c r="AT2420" s="1" t="s">
        <v>4391</v>
      </c>
      <c r="AU2420" s="1">
        <v>2012</v>
      </c>
      <c r="AV2420" s="1">
        <v>364</v>
      </c>
      <c r="AW2420" s="1" t="s">
        <v>74</v>
      </c>
      <c r="AX2420" s="1" t="s">
        <v>74</v>
      </c>
      <c r="AY2420" s="1" t="s">
        <v>74</v>
      </c>
      <c r="AZ2420" s="1" t="s">
        <v>74</v>
      </c>
      <c r="BA2420" s="1" t="s">
        <v>74</v>
      </c>
      <c r="BB2420" s="1">
        <v>247</v>
      </c>
      <c r="BC2420" s="1">
        <v>251</v>
      </c>
      <c r="BD2420" s="1" t="s">
        <v>74</v>
      </c>
      <c r="BE2420" s="1" t="s">
        <v>38678</v>
      </c>
      <c r="BF2420" s="1" t="str">
        <f>HYPERLINK("http://dx.doi.org/10.1016/j.aquaculture.2012.08.045","http://dx.doi.org/10.1016/j.aquaculture.2012.08.045")</f>
        <v>http://dx.doi.org/10.1016/j.aquaculture.2012.08.045</v>
      </c>
      <c r="BG2420" s="1" t="s">
        <v>74</v>
      </c>
      <c r="BH2420" s="1" t="s">
        <v>74</v>
      </c>
      <c r="BI2420" s="1">
        <v>5</v>
      </c>
      <c r="BJ2420" s="1" t="s">
        <v>2391</v>
      </c>
      <c r="BK2420" s="1" t="s">
        <v>96</v>
      </c>
      <c r="BL2420" s="1" t="s">
        <v>2391</v>
      </c>
      <c r="BM2420" s="1" t="s">
        <v>38679</v>
      </c>
      <c r="BN2420" s="1" t="s">
        <v>74</v>
      </c>
      <c r="BO2420" s="1" t="s">
        <v>74</v>
      </c>
      <c r="BP2420" s="1" t="s">
        <v>74</v>
      </c>
      <c r="BQ2420" s="1" t="s">
        <v>74</v>
      </c>
      <c r="BR2420" s="1" t="s">
        <v>98</v>
      </c>
      <c r="BS2420" s="1" t="s">
        <v>38680</v>
      </c>
      <c r="BT2420" s="1" t="str">
        <f>HYPERLINK("https%3A%2F%2Fwww.webofscience.com%2Fwos%2Fwoscc%2Ffull-record%2FWOS:000310571300036","View Full Record in Web of Science")</f>
        <v>View Full Record in Web of Science</v>
      </c>
      <c r="BU2420" s="1"/>
      <c r="BV2420" s="1"/>
    </row>
    <row r="2421" spans="1:74">
      <c r="A2421" s="1" t="s">
        <v>72</v>
      </c>
      <c r="B2421" s="1" t="s">
        <v>38681</v>
      </c>
      <c r="C2421" s="1" t="s">
        <v>74</v>
      </c>
      <c r="D2421" s="1" t="s">
        <v>74</v>
      </c>
      <c r="E2421" s="1" t="s">
        <v>74</v>
      </c>
      <c r="F2421" s="1" t="s">
        <v>38682</v>
      </c>
      <c r="G2421" s="1" t="s">
        <v>74</v>
      </c>
      <c r="H2421" s="1" t="s">
        <v>74</v>
      </c>
      <c r="I2421" s="1" t="s">
        <v>38683</v>
      </c>
      <c r="J2421" s="1" t="s">
        <v>32518</v>
      </c>
      <c r="K2421" s="1" t="s">
        <v>74</v>
      </c>
      <c r="L2421" s="1" t="s">
        <v>74</v>
      </c>
      <c r="M2421" s="1" t="s">
        <v>78</v>
      </c>
      <c r="N2421" s="1" t="s">
        <v>79</v>
      </c>
      <c r="O2421" s="1" t="s">
        <v>74</v>
      </c>
      <c r="P2421" s="1" t="s">
        <v>74</v>
      </c>
      <c r="Q2421" s="1" t="s">
        <v>74</v>
      </c>
      <c r="R2421" s="1" t="s">
        <v>74</v>
      </c>
      <c r="S2421" s="1" t="s">
        <v>74</v>
      </c>
      <c r="T2421" s="1" t="s">
        <v>38684</v>
      </c>
      <c r="U2421" s="1" t="s">
        <v>38685</v>
      </c>
      <c r="V2421" s="1" t="s">
        <v>38686</v>
      </c>
      <c r="W2421" s="1" t="s">
        <v>38687</v>
      </c>
      <c r="X2421" s="1" t="s">
        <v>38688</v>
      </c>
      <c r="Y2421" s="1" t="s">
        <v>38689</v>
      </c>
      <c r="Z2421" s="1" t="s">
        <v>38690</v>
      </c>
      <c r="AA2421" s="1" t="s">
        <v>74</v>
      </c>
      <c r="AB2421" s="1" t="s">
        <v>38691</v>
      </c>
      <c r="AC2421" s="1" t="s">
        <v>74</v>
      </c>
      <c r="AD2421" s="1" t="s">
        <v>74</v>
      </c>
      <c r="AE2421" s="1" t="s">
        <v>74</v>
      </c>
      <c r="AF2421" s="1" t="s">
        <v>74</v>
      </c>
      <c r="AG2421" s="1">
        <v>89</v>
      </c>
      <c r="AH2421" s="1">
        <v>1</v>
      </c>
      <c r="AI2421" s="1">
        <v>1</v>
      </c>
      <c r="AJ2421" s="1">
        <v>2</v>
      </c>
      <c r="AK2421" s="1">
        <v>6</v>
      </c>
      <c r="AL2421" s="1" t="s">
        <v>38692</v>
      </c>
      <c r="AM2421" s="1" t="s">
        <v>38693</v>
      </c>
      <c r="AN2421" s="1" t="s">
        <v>38694</v>
      </c>
      <c r="AO2421" s="1" t="s">
        <v>32534</v>
      </c>
      <c r="AP2421" s="1" t="s">
        <v>32535</v>
      </c>
      <c r="AQ2421" s="1" t="s">
        <v>74</v>
      </c>
      <c r="AR2421" s="1" t="s">
        <v>32536</v>
      </c>
      <c r="AS2421" s="1" t="s">
        <v>32537</v>
      </c>
      <c r="AT2421" s="1" t="s">
        <v>142</v>
      </c>
      <c r="AU2421" s="1">
        <v>2022</v>
      </c>
      <c r="AV2421" s="1">
        <v>57</v>
      </c>
      <c r="AW2421" s="1">
        <v>2</v>
      </c>
      <c r="AX2421" s="1" t="s">
        <v>74</v>
      </c>
      <c r="AY2421" s="1" t="s">
        <v>74</v>
      </c>
      <c r="AZ2421" s="1" t="s">
        <v>225</v>
      </c>
      <c r="BA2421" s="1" t="s">
        <v>74</v>
      </c>
      <c r="BB2421" s="1">
        <v>224</v>
      </c>
      <c r="BC2421" s="1">
        <v>238</v>
      </c>
      <c r="BD2421" s="1" t="s">
        <v>74</v>
      </c>
      <c r="BE2421" s="1" t="s">
        <v>38695</v>
      </c>
      <c r="BF2421" s="1" t="str">
        <f>HYPERLINK("http://dx.doi.org/10.1007/s12601-022-00057-z","http://dx.doi.org/10.1007/s12601-022-00057-z")</f>
        <v>http://dx.doi.org/10.1007/s12601-022-00057-z</v>
      </c>
      <c r="BG2421" s="1" t="s">
        <v>74</v>
      </c>
      <c r="BH2421" s="1" t="s">
        <v>5038</v>
      </c>
      <c r="BI2421" s="1">
        <v>15</v>
      </c>
      <c r="BJ2421" s="1" t="s">
        <v>4241</v>
      </c>
      <c r="BK2421" s="1" t="s">
        <v>96</v>
      </c>
      <c r="BL2421" s="1" t="s">
        <v>4241</v>
      </c>
      <c r="BM2421" s="1" t="s">
        <v>38696</v>
      </c>
      <c r="BN2421" s="1" t="s">
        <v>74</v>
      </c>
      <c r="BO2421" s="1" t="s">
        <v>74</v>
      </c>
      <c r="BP2421" s="1" t="s">
        <v>74</v>
      </c>
      <c r="BQ2421" s="1" t="s">
        <v>74</v>
      </c>
      <c r="BR2421" s="1" t="s">
        <v>98</v>
      </c>
      <c r="BS2421" s="1" t="s">
        <v>38697</v>
      </c>
      <c r="BT2421" s="1" t="str">
        <f>HYPERLINK("https%3A%2F%2Fwww.webofscience.com%2Fwos%2Fwoscc%2Ffull-record%2FWOS:000767720600001","View Full Record in Web of Science")</f>
        <v>View Full Record in Web of Science</v>
      </c>
      <c r="BU2421" s="1"/>
      <c r="BV2421" s="1"/>
    </row>
    <row r="2422" spans="1:74">
      <c r="A2422" s="1" t="s">
        <v>72</v>
      </c>
      <c r="B2422" s="1" t="s">
        <v>38698</v>
      </c>
      <c r="C2422" s="1" t="s">
        <v>74</v>
      </c>
      <c r="D2422" s="1" t="s">
        <v>74</v>
      </c>
      <c r="E2422" s="1" t="s">
        <v>74</v>
      </c>
      <c r="F2422" s="1" t="s">
        <v>38699</v>
      </c>
      <c r="G2422" s="1" t="s">
        <v>74</v>
      </c>
      <c r="H2422" s="1" t="s">
        <v>74</v>
      </c>
      <c r="I2422" s="1" t="s">
        <v>38700</v>
      </c>
      <c r="J2422" s="1" t="s">
        <v>641</v>
      </c>
      <c r="K2422" s="1" t="s">
        <v>74</v>
      </c>
      <c r="L2422" s="1" t="s">
        <v>74</v>
      </c>
      <c r="M2422" s="1" t="s">
        <v>78</v>
      </c>
      <c r="N2422" s="1" t="s">
        <v>79</v>
      </c>
      <c r="O2422" s="1" t="s">
        <v>74</v>
      </c>
      <c r="P2422" s="1" t="s">
        <v>74</v>
      </c>
      <c r="Q2422" s="1" t="s">
        <v>74</v>
      </c>
      <c r="R2422" s="1" t="s">
        <v>74</v>
      </c>
      <c r="S2422" s="1" t="s">
        <v>74</v>
      </c>
      <c r="T2422" s="1" t="s">
        <v>38701</v>
      </c>
      <c r="U2422" s="1" t="s">
        <v>38702</v>
      </c>
      <c r="V2422" s="1" t="s">
        <v>38703</v>
      </c>
      <c r="W2422" s="1" t="s">
        <v>38704</v>
      </c>
      <c r="X2422" s="1" t="s">
        <v>38705</v>
      </c>
      <c r="Y2422" s="1" t="s">
        <v>38706</v>
      </c>
      <c r="Z2422" s="1" t="s">
        <v>38707</v>
      </c>
      <c r="AA2422" s="1" t="s">
        <v>38708</v>
      </c>
      <c r="AB2422" s="1" t="s">
        <v>38709</v>
      </c>
      <c r="AC2422" s="1" t="s">
        <v>74</v>
      </c>
      <c r="AD2422" s="1" t="s">
        <v>74</v>
      </c>
      <c r="AE2422" s="1" t="s">
        <v>74</v>
      </c>
      <c r="AF2422" s="1" t="s">
        <v>74</v>
      </c>
      <c r="AG2422" s="1">
        <v>58</v>
      </c>
      <c r="AH2422" s="1">
        <v>101</v>
      </c>
      <c r="AI2422" s="1">
        <v>114</v>
      </c>
      <c r="AJ2422" s="1">
        <v>1</v>
      </c>
      <c r="AK2422" s="1">
        <v>53</v>
      </c>
      <c r="AL2422" s="1" t="s">
        <v>650</v>
      </c>
      <c r="AM2422" s="1" t="s">
        <v>651</v>
      </c>
      <c r="AN2422" s="1" t="s">
        <v>652</v>
      </c>
      <c r="AO2422" s="1" t="s">
        <v>653</v>
      </c>
      <c r="AP2422" s="1" t="s">
        <v>654</v>
      </c>
      <c r="AQ2422" s="1" t="s">
        <v>74</v>
      </c>
      <c r="AR2422" s="1" t="s">
        <v>655</v>
      </c>
      <c r="AS2422" s="1" t="s">
        <v>656</v>
      </c>
      <c r="AT2422" s="1" t="s">
        <v>1856</v>
      </c>
      <c r="AU2422" s="1">
        <v>2007</v>
      </c>
      <c r="AV2422" s="1">
        <v>84</v>
      </c>
      <c r="AW2422" s="1">
        <v>1</v>
      </c>
      <c r="AX2422" s="1" t="s">
        <v>74</v>
      </c>
      <c r="AY2422" s="1" t="s">
        <v>74</v>
      </c>
      <c r="AZ2422" s="1" t="s">
        <v>74</v>
      </c>
      <c r="BA2422" s="1" t="s">
        <v>74</v>
      </c>
      <c r="BB2422" s="1">
        <v>92</v>
      </c>
      <c r="BC2422" s="1">
        <v>102</v>
      </c>
      <c r="BD2422" s="1" t="s">
        <v>74</v>
      </c>
      <c r="BE2422" s="1" t="s">
        <v>38710</v>
      </c>
      <c r="BF2422" s="1" t="str">
        <f>HYPERLINK("http://dx.doi.org/10.1016/j.aquatox.2007.06.002","http://dx.doi.org/10.1016/j.aquatox.2007.06.002")</f>
        <v>http://dx.doi.org/10.1016/j.aquatox.2007.06.002</v>
      </c>
      <c r="BG2422" s="1" t="s">
        <v>74</v>
      </c>
      <c r="BH2422" s="1" t="s">
        <v>74</v>
      </c>
      <c r="BI2422" s="1">
        <v>11</v>
      </c>
      <c r="BJ2422" s="1" t="s">
        <v>659</v>
      </c>
      <c r="BK2422" s="1" t="s">
        <v>96</v>
      </c>
      <c r="BL2422" s="1" t="s">
        <v>659</v>
      </c>
      <c r="BM2422" s="1" t="s">
        <v>31418</v>
      </c>
      <c r="BN2422" s="1">
        <v>17628715</v>
      </c>
      <c r="BO2422" s="1" t="s">
        <v>1752</v>
      </c>
      <c r="BP2422" s="1" t="s">
        <v>74</v>
      </c>
      <c r="BQ2422" s="1" t="s">
        <v>74</v>
      </c>
      <c r="BR2422" s="1" t="s">
        <v>98</v>
      </c>
      <c r="BS2422" s="1" t="s">
        <v>38711</v>
      </c>
      <c r="BT2422" s="1" t="str">
        <f>HYPERLINK("https%3A%2F%2Fwww.webofscience.com%2Fwos%2Fwoscc%2Ffull-record%2FWOS:000249165800010","View Full Record in Web of Science")</f>
        <v>View Full Record in Web of Science</v>
      </c>
      <c r="BU2422" s="1"/>
      <c r="BV2422" s="1"/>
    </row>
    <row r="2423" spans="1:74">
      <c r="A2423" s="1" t="s">
        <v>72</v>
      </c>
      <c r="B2423" s="1" t="s">
        <v>38712</v>
      </c>
      <c r="C2423" s="1" t="s">
        <v>74</v>
      </c>
      <c r="D2423" s="1" t="s">
        <v>74</v>
      </c>
      <c r="E2423" s="1" t="s">
        <v>74</v>
      </c>
      <c r="F2423" s="1" t="s">
        <v>38713</v>
      </c>
      <c r="G2423" s="1" t="s">
        <v>74</v>
      </c>
      <c r="H2423" s="1" t="s">
        <v>74</v>
      </c>
      <c r="I2423" s="1" t="s">
        <v>38714</v>
      </c>
      <c r="J2423" s="1" t="s">
        <v>127</v>
      </c>
      <c r="K2423" s="1" t="s">
        <v>74</v>
      </c>
      <c r="L2423" s="1" t="s">
        <v>74</v>
      </c>
      <c r="M2423" s="1" t="s">
        <v>78</v>
      </c>
      <c r="N2423" s="1" t="s">
        <v>79</v>
      </c>
      <c r="O2423" s="1" t="s">
        <v>74</v>
      </c>
      <c r="P2423" s="1" t="s">
        <v>74</v>
      </c>
      <c r="Q2423" s="1" t="s">
        <v>74</v>
      </c>
      <c r="R2423" s="1" t="s">
        <v>74</v>
      </c>
      <c r="S2423" s="1" t="s">
        <v>74</v>
      </c>
      <c r="T2423" s="1" t="s">
        <v>38715</v>
      </c>
      <c r="U2423" s="1" t="s">
        <v>38716</v>
      </c>
      <c r="V2423" s="1" t="s">
        <v>38717</v>
      </c>
      <c r="W2423" s="1" t="s">
        <v>38718</v>
      </c>
      <c r="X2423" s="1" t="s">
        <v>38719</v>
      </c>
      <c r="Y2423" s="1" t="s">
        <v>38720</v>
      </c>
      <c r="Z2423" s="1" t="s">
        <v>38721</v>
      </c>
      <c r="AA2423" s="1" t="s">
        <v>38722</v>
      </c>
      <c r="AB2423" s="1" t="s">
        <v>38723</v>
      </c>
      <c r="AC2423" s="1" t="s">
        <v>38724</v>
      </c>
      <c r="AD2423" s="1" t="s">
        <v>38725</v>
      </c>
      <c r="AE2423" s="1" t="s">
        <v>38726</v>
      </c>
      <c r="AF2423" s="1" t="s">
        <v>74</v>
      </c>
      <c r="AG2423" s="1">
        <v>33</v>
      </c>
      <c r="AH2423" s="1">
        <v>14</v>
      </c>
      <c r="AI2423" s="1">
        <v>16</v>
      </c>
      <c r="AJ2423" s="1">
        <v>1</v>
      </c>
      <c r="AK2423" s="1">
        <v>67</v>
      </c>
      <c r="AL2423" s="1" t="s">
        <v>136</v>
      </c>
      <c r="AM2423" s="1" t="s">
        <v>137</v>
      </c>
      <c r="AN2423" s="1" t="s">
        <v>138</v>
      </c>
      <c r="AO2423" s="1" t="s">
        <v>139</v>
      </c>
      <c r="AP2423" s="1" t="s">
        <v>140</v>
      </c>
      <c r="AQ2423" s="1" t="s">
        <v>74</v>
      </c>
      <c r="AR2423" s="1" t="s">
        <v>127</v>
      </c>
      <c r="AS2423" s="1" t="s">
        <v>141</v>
      </c>
      <c r="AT2423" s="1" t="s">
        <v>224</v>
      </c>
      <c r="AU2423" s="1">
        <v>2016</v>
      </c>
      <c r="AV2423" s="1">
        <v>144</v>
      </c>
      <c r="AW2423" s="1" t="s">
        <v>74</v>
      </c>
      <c r="AX2423" s="1" t="s">
        <v>74</v>
      </c>
      <c r="AY2423" s="1" t="s">
        <v>74</v>
      </c>
      <c r="AZ2423" s="1" t="s">
        <v>74</v>
      </c>
      <c r="BA2423" s="1" t="s">
        <v>74</v>
      </c>
      <c r="BB2423" s="1">
        <v>2081</v>
      </c>
      <c r="BC2423" s="1">
        <v>2090</v>
      </c>
      <c r="BD2423" s="1" t="s">
        <v>74</v>
      </c>
      <c r="BE2423" s="1" t="s">
        <v>38727</v>
      </c>
      <c r="BF2423" s="1" t="str">
        <f>HYPERLINK("http://dx.doi.org/10.1016/j.chemosphere.2015.10.107","http://dx.doi.org/10.1016/j.chemosphere.2015.10.107")</f>
        <v>http://dx.doi.org/10.1016/j.chemosphere.2015.10.107</v>
      </c>
      <c r="BG2423" s="1" t="s">
        <v>74</v>
      </c>
      <c r="BH2423" s="1" t="s">
        <v>74</v>
      </c>
      <c r="BI2423" s="1">
        <v>10</v>
      </c>
      <c r="BJ2423" s="1" t="s">
        <v>144</v>
      </c>
      <c r="BK2423" s="1" t="s">
        <v>96</v>
      </c>
      <c r="BL2423" s="1" t="s">
        <v>145</v>
      </c>
      <c r="BM2423" s="1" t="s">
        <v>33555</v>
      </c>
      <c r="BN2423" s="1">
        <v>26583290</v>
      </c>
      <c r="BO2423" s="1" t="s">
        <v>74</v>
      </c>
      <c r="BP2423" s="1" t="s">
        <v>74</v>
      </c>
      <c r="BQ2423" s="1" t="s">
        <v>74</v>
      </c>
      <c r="BR2423" s="1" t="s">
        <v>98</v>
      </c>
      <c r="BS2423" s="1" t="s">
        <v>38728</v>
      </c>
      <c r="BT2423" s="1" t="str">
        <f>HYPERLINK("https%3A%2F%2Fwww.webofscience.com%2Fwos%2Fwoscc%2Ffull-record%2FWOS:000367774400264","View Full Record in Web of Science")</f>
        <v>View Full Record in Web of Science</v>
      </c>
      <c r="BU2423" s="1"/>
      <c r="BV2423" s="1"/>
    </row>
    <row r="2424" spans="1:74">
      <c r="A2424" s="1" t="s">
        <v>72</v>
      </c>
      <c r="B2424" s="1" t="s">
        <v>38729</v>
      </c>
      <c r="C2424" s="1" t="s">
        <v>74</v>
      </c>
      <c r="D2424" s="1" t="s">
        <v>74</v>
      </c>
      <c r="E2424" s="1" t="s">
        <v>74</v>
      </c>
      <c r="F2424" s="1" t="s">
        <v>38730</v>
      </c>
      <c r="G2424" s="1" t="s">
        <v>74</v>
      </c>
      <c r="H2424" s="1" t="s">
        <v>74</v>
      </c>
      <c r="I2424" s="1" t="s">
        <v>38731</v>
      </c>
      <c r="J2424" s="1" t="s">
        <v>38732</v>
      </c>
      <c r="K2424" s="1" t="s">
        <v>74</v>
      </c>
      <c r="L2424" s="1" t="s">
        <v>74</v>
      </c>
      <c r="M2424" s="1" t="s">
        <v>78</v>
      </c>
      <c r="N2424" s="1" t="s">
        <v>79</v>
      </c>
      <c r="O2424" s="1" t="s">
        <v>74</v>
      </c>
      <c r="P2424" s="1" t="s">
        <v>74</v>
      </c>
      <c r="Q2424" s="1" t="s">
        <v>74</v>
      </c>
      <c r="R2424" s="1" t="s">
        <v>74</v>
      </c>
      <c r="S2424" s="1" t="s">
        <v>74</v>
      </c>
      <c r="T2424" s="1" t="s">
        <v>38733</v>
      </c>
      <c r="U2424" s="1" t="s">
        <v>38734</v>
      </c>
      <c r="V2424" s="1" t="s">
        <v>38735</v>
      </c>
      <c r="W2424" s="1" t="s">
        <v>38736</v>
      </c>
      <c r="X2424" s="1" t="s">
        <v>38737</v>
      </c>
      <c r="Y2424" s="1" t="s">
        <v>38738</v>
      </c>
      <c r="Z2424" s="1" t="s">
        <v>38739</v>
      </c>
      <c r="AA2424" s="1" t="s">
        <v>38740</v>
      </c>
      <c r="AB2424" s="1" t="s">
        <v>38741</v>
      </c>
      <c r="AC2424" s="1" t="s">
        <v>38742</v>
      </c>
      <c r="AD2424" s="1" t="s">
        <v>38743</v>
      </c>
      <c r="AE2424" s="1" t="s">
        <v>38744</v>
      </c>
      <c r="AF2424" s="1" t="s">
        <v>74</v>
      </c>
      <c r="AG2424" s="1">
        <v>56</v>
      </c>
      <c r="AH2424" s="1">
        <v>0</v>
      </c>
      <c r="AI2424" s="1">
        <v>0</v>
      </c>
      <c r="AJ2424" s="1">
        <v>0</v>
      </c>
      <c r="AK2424" s="1">
        <v>11</v>
      </c>
      <c r="AL2424" s="1" t="s">
        <v>2074</v>
      </c>
      <c r="AM2424" s="1" t="s">
        <v>2075</v>
      </c>
      <c r="AN2424" s="1" t="s">
        <v>2076</v>
      </c>
      <c r="AO2424" s="1" t="s">
        <v>38745</v>
      </c>
      <c r="AP2424" s="1" t="s">
        <v>38746</v>
      </c>
      <c r="AQ2424" s="1" t="s">
        <v>74</v>
      </c>
      <c r="AR2424" s="1" t="s">
        <v>38747</v>
      </c>
      <c r="AS2424" s="1" t="s">
        <v>38748</v>
      </c>
      <c r="AT2424" s="1" t="s">
        <v>38749</v>
      </c>
      <c r="AU2424" s="1">
        <v>2022</v>
      </c>
      <c r="AV2424" s="1">
        <v>15</v>
      </c>
      <c r="AW2424" s="1">
        <v>3</v>
      </c>
      <c r="AX2424" s="1" t="s">
        <v>74</v>
      </c>
      <c r="AY2424" s="1" t="s">
        <v>74</v>
      </c>
      <c r="AZ2424" s="1" t="s">
        <v>74</v>
      </c>
      <c r="BA2424" s="1" t="s">
        <v>74</v>
      </c>
      <c r="BB2424" s="1">
        <v>221</v>
      </c>
      <c r="BC2424" s="1">
        <v>234</v>
      </c>
      <c r="BD2424" s="1" t="s">
        <v>74</v>
      </c>
      <c r="BE2424" s="1" t="s">
        <v>38750</v>
      </c>
      <c r="BF2424" s="1" t="str">
        <f>HYPERLINK("http://dx.doi.org/10.1080/19393210.2022.2084567","http://dx.doi.org/10.1080/19393210.2022.2084567")</f>
        <v>http://dx.doi.org/10.1080/19393210.2022.2084567</v>
      </c>
      <c r="BG2424" s="1" t="s">
        <v>74</v>
      </c>
      <c r="BH2424" s="1" t="s">
        <v>18991</v>
      </c>
      <c r="BI2424" s="1">
        <v>14</v>
      </c>
      <c r="BJ2424" s="1" t="s">
        <v>2495</v>
      </c>
      <c r="BK2424" s="1" t="s">
        <v>96</v>
      </c>
      <c r="BL2424" s="1" t="s">
        <v>2496</v>
      </c>
      <c r="BM2424" s="1" t="s">
        <v>38751</v>
      </c>
      <c r="BN2424" s="1">
        <v>35710323</v>
      </c>
      <c r="BO2424" s="1" t="s">
        <v>810</v>
      </c>
      <c r="BP2424" s="1" t="s">
        <v>74</v>
      </c>
      <c r="BQ2424" s="1" t="s">
        <v>74</v>
      </c>
      <c r="BR2424" s="1" t="s">
        <v>98</v>
      </c>
      <c r="BS2424" s="1" t="s">
        <v>38752</v>
      </c>
      <c r="BT2424" s="1" t="str">
        <f>HYPERLINK("https%3A%2F%2Fwww.webofscience.com%2Fwos%2Fwoscc%2Ffull-record%2FWOS:000812094800001","View Full Record in Web of Science")</f>
        <v>View Full Record in Web of Science</v>
      </c>
      <c r="BU2424" s="1"/>
      <c r="BV2424" s="1"/>
    </row>
    <row r="2425" spans="1:74">
      <c r="A2425" s="1" t="s">
        <v>72</v>
      </c>
      <c r="B2425" s="1" t="s">
        <v>38753</v>
      </c>
      <c r="C2425" s="1" t="s">
        <v>74</v>
      </c>
      <c r="D2425" s="1" t="s">
        <v>74</v>
      </c>
      <c r="E2425" s="1" t="s">
        <v>74</v>
      </c>
      <c r="F2425" s="1" t="s">
        <v>38754</v>
      </c>
      <c r="G2425" s="1" t="s">
        <v>74</v>
      </c>
      <c r="H2425" s="1" t="s">
        <v>74</v>
      </c>
      <c r="I2425" s="1" t="s">
        <v>38755</v>
      </c>
      <c r="J2425" s="1" t="s">
        <v>127</v>
      </c>
      <c r="K2425" s="1" t="s">
        <v>74</v>
      </c>
      <c r="L2425" s="1" t="s">
        <v>74</v>
      </c>
      <c r="M2425" s="1" t="s">
        <v>78</v>
      </c>
      <c r="N2425" s="1" t="s">
        <v>79</v>
      </c>
      <c r="O2425" s="1" t="s">
        <v>74</v>
      </c>
      <c r="P2425" s="1" t="s">
        <v>74</v>
      </c>
      <c r="Q2425" s="1" t="s">
        <v>74</v>
      </c>
      <c r="R2425" s="1" t="s">
        <v>74</v>
      </c>
      <c r="S2425" s="1" t="s">
        <v>74</v>
      </c>
      <c r="T2425" s="1" t="s">
        <v>38756</v>
      </c>
      <c r="U2425" s="1" t="s">
        <v>38757</v>
      </c>
      <c r="V2425" s="1" t="s">
        <v>38758</v>
      </c>
      <c r="W2425" s="1" t="s">
        <v>38759</v>
      </c>
      <c r="X2425" s="1" t="s">
        <v>38760</v>
      </c>
      <c r="Y2425" s="1" t="s">
        <v>38761</v>
      </c>
      <c r="Z2425" s="1" t="s">
        <v>38762</v>
      </c>
      <c r="AA2425" s="1" t="s">
        <v>38763</v>
      </c>
      <c r="AB2425" s="1" t="s">
        <v>74</v>
      </c>
      <c r="AC2425" s="1" t="s">
        <v>74</v>
      </c>
      <c r="AD2425" s="1" t="s">
        <v>74</v>
      </c>
      <c r="AE2425" s="1" t="s">
        <v>74</v>
      </c>
      <c r="AF2425" s="1" t="s">
        <v>74</v>
      </c>
      <c r="AG2425" s="1">
        <v>55</v>
      </c>
      <c r="AH2425" s="1">
        <v>2</v>
      </c>
      <c r="AI2425" s="1">
        <v>2</v>
      </c>
      <c r="AJ2425" s="1">
        <v>1</v>
      </c>
      <c r="AK2425" s="1">
        <v>15</v>
      </c>
      <c r="AL2425" s="1" t="s">
        <v>136</v>
      </c>
      <c r="AM2425" s="1" t="s">
        <v>137</v>
      </c>
      <c r="AN2425" s="1" t="s">
        <v>138</v>
      </c>
      <c r="AO2425" s="1" t="s">
        <v>139</v>
      </c>
      <c r="AP2425" s="1" t="s">
        <v>140</v>
      </c>
      <c r="AQ2425" s="1" t="s">
        <v>74</v>
      </c>
      <c r="AR2425" s="1" t="s">
        <v>127</v>
      </c>
      <c r="AS2425" s="1" t="s">
        <v>141</v>
      </c>
      <c r="AT2425" s="1" t="s">
        <v>1470</v>
      </c>
      <c r="AU2425" s="1">
        <v>2022</v>
      </c>
      <c r="AV2425" s="1">
        <v>287</v>
      </c>
      <c r="AW2425" s="1" t="s">
        <v>74</v>
      </c>
      <c r="AX2425" s="1">
        <v>2</v>
      </c>
      <c r="AY2425" s="1" t="s">
        <v>74</v>
      </c>
      <c r="AZ2425" s="1" t="s">
        <v>74</v>
      </c>
      <c r="BA2425" s="1" t="s">
        <v>74</v>
      </c>
      <c r="BB2425" s="1" t="s">
        <v>74</v>
      </c>
      <c r="BC2425" s="1" t="s">
        <v>74</v>
      </c>
      <c r="BD2425" s="1">
        <v>132123</v>
      </c>
      <c r="BE2425" s="1" t="s">
        <v>38764</v>
      </c>
      <c r="BF2425" s="1" t="str">
        <f>HYPERLINK("http://dx.doi.org/10.1016/j.chemosphere.2021.132123","http://dx.doi.org/10.1016/j.chemosphere.2021.132123")</f>
        <v>http://dx.doi.org/10.1016/j.chemosphere.2021.132123</v>
      </c>
      <c r="BG2425" s="1" t="s">
        <v>74</v>
      </c>
      <c r="BH2425" s="1" t="s">
        <v>2955</v>
      </c>
      <c r="BI2425" s="1">
        <v>9</v>
      </c>
      <c r="BJ2425" s="1" t="s">
        <v>144</v>
      </c>
      <c r="BK2425" s="1" t="s">
        <v>96</v>
      </c>
      <c r="BL2425" s="1" t="s">
        <v>145</v>
      </c>
      <c r="BM2425" s="1" t="s">
        <v>38765</v>
      </c>
      <c r="BN2425" s="1">
        <v>34509760</v>
      </c>
      <c r="BO2425" s="1" t="s">
        <v>74</v>
      </c>
      <c r="BP2425" s="1" t="s">
        <v>74</v>
      </c>
      <c r="BQ2425" s="1" t="s">
        <v>74</v>
      </c>
      <c r="BR2425" s="1" t="s">
        <v>98</v>
      </c>
      <c r="BS2425" s="1" t="s">
        <v>38766</v>
      </c>
      <c r="BT2425" s="1" t="str">
        <f>HYPERLINK("https%3A%2F%2Fwww.webofscience.com%2Fwos%2Fwoscc%2Ffull-record%2FWOS:000704947900008","View Full Record in Web of Science")</f>
        <v>View Full Record in Web of Science</v>
      </c>
      <c r="BU2425" s="1"/>
      <c r="BV2425" s="1"/>
    </row>
    <row r="2426" spans="1:74">
      <c r="A2426" s="1" t="s">
        <v>72</v>
      </c>
      <c r="B2426" s="1" t="s">
        <v>38767</v>
      </c>
      <c r="C2426" s="1" t="s">
        <v>74</v>
      </c>
      <c r="D2426" s="1" t="s">
        <v>74</v>
      </c>
      <c r="E2426" s="1" t="s">
        <v>74</v>
      </c>
      <c r="F2426" s="1" t="s">
        <v>38768</v>
      </c>
      <c r="G2426" s="1" t="s">
        <v>74</v>
      </c>
      <c r="H2426" s="1" t="s">
        <v>74</v>
      </c>
      <c r="I2426" s="1" t="s">
        <v>38769</v>
      </c>
      <c r="J2426" s="1" t="s">
        <v>232</v>
      </c>
      <c r="K2426" s="1" t="s">
        <v>74</v>
      </c>
      <c r="L2426" s="1" t="s">
        <v>74</v>
      </c>
      <c r="M2426" s="1" t="s">
        <v>78</v>
      </c>
      <c r="N2426" s="1" t="s">
        <v>79</v>
      </c>
      <c r="O2426" s="1" t="s">
        <v>74</v>
      </c>
      <c r="P2426" s="1" t="s">
        <v>74</v>
      </c>
      <c r="Q2426" s="1" t="s">
        <v>74</v>
      </c>
      <c r="R2426" s="1" t="s">
        <v>74</v>
      </c>
      <c r="S2426" s="1" t="s">
        <v>74</v>
      </c>
      <c r="T2426" s="1" t="s">
        <v>38770</v>
      </c>
      <c r="U2426" s="1" t="s">
        <v>38771</v>
      </c>
      <c r="V2426" s="1" t="s">
        <v>38772</v>
      </c>
      <c r="W2426" s="1" t="s">
        <v>38773</v>
      </c>
      <c r="X2426" s="1" t="s">
        <v>38774</v>
      </c>
      <c r="Y2426" s="1" t="s">
        <v>38775</v>
      </c>
      <c r="Z2426" s="1" t="s">
        <v>38776</v>
      </c>
      <c r="AA2426" s="1" t="s">
        <v>74</v>
      </c>
      <c r="AB2426" s="1" t="s">
        <v>38777</v>
      </c>
      <c r="AC2426" s="1" t="s">
        <v>38778</v>
      </c>
      <c r="AD2426" s="1" t="s">
        <v>38779</v>
      </c>
      <c r="AE2426" s="1" t="s">
        <v>38780</v>
      </c>
      <c r="AF2426" s="1" t="s">
        <v>74</v>
      </c>
      <c r="AG2426" s="1">
        <v>59</v>
      </c>
      <c r="AH2426" s="1">
        <v>28</v>
      </c>
      <c r="AI2426" s="1">
        <v>31</v>
      </c>
      <c r="AJ2426" s="1">
        <v>0</v>
      </c>
      <c r="AK2426" s="1">
        <v>42</v>
      </c>
      <c r="AL2426" s="1" t="s">
        <v>136</v>
      </c>
      <c r="AM2426" s="1" t="s">
        <v>137</v>
      </c>
      <c r="AN2426" s="1" t="s">
        <v>138</v>
      </c>
      <c r="AO2426" s="1" t="s">
        <v>240</v>
      </c>
      <c r="AP2426" s="1" t="s">
        <v>241</v>
      </c>
      <c r="AQ2426" s="1" t="s">
        <v>74</v>
      </c>
      <c r="AR2426" s="1" t="s">
        <v>242</v>
      </c>
      <c r="AS2426" s="1" t="s">
        <v>243</v>
      </c>
      <c r="AT2426" s="1" t="s">
        <v>1965</v>
      </c>
      <c r="AU2426" s="1">
        <v>2014</v>
      </c>
      <c r="AV2426" s="1">
        <v>89</v>
      </c>
      <c r="AW2426" s="1" t="s">
        <v>326</v>
      </c>
      <c r="AX2426" s="1" t="s">
        <v>74</v>
      </c>
      <c r="AY2426" s="1" t="s">
        <v>74</v>
      </c>
      <c r="AZ2426" s="1" t="s">
        <v>74</v>
      </c>
      <c r="BA2426" s="1" t="s">
        <v>74</v>
      </c>
      <c r="BB2426" s="1">
        <v>455</v>
      </c>
      <c r="BC2426" s="1">
        <v>463</v>
      </c>
      <c r="BD2426" s="1" t="s">
        <v>74</v>
      </c>
      <c r="BE2426" s="1" t="s">
        <v>38781</v>
      </c>
      <c r="BF2426" s="1" t="str">
        <f>HYPERLINK("http://dx.doi.org/10.1016/j.marpolbul.2014.09.046","http://dx.doi.org/10.1016/j.marpolbul.2014.09.046")</f>
        <v>http://dx.doi.org/10.1016/j.marpolbul.2014.09.046</v>
      </c>
      <c r="BG2426" s="1" t="s">
        <v>74</v>
      </c>
      <c r="BH2426" s="1" t="s">
        <v>74</v>
      </c>
      <c r="BI2426" s="1">
        <v>9</v>
      </c>
      <c r="BJ2426" s="1" t="s">
        <v>247</v>
      </c>
      <c r="BK2426" s="1" t="s">
        <v>96</v>
      </c>
      <c r="BL2426" s="1" t="s">
        <v>248</v>
      </c>
      <c r="BM2426" s="1" t="s">
        <v>13708</v>
      </c>
      <c r="BN2426" s="1">
        <v>25444628</v>
      </c>
      <c r="BO2426" s="1" t="s">
        <v>74</v>
      </c>
      <c r="BP2426" s="1" t="s">
        <v>74</v>
      </c>
      <c r="BQ2426" s="1" t="s">
        <v>74</v>
      </c>
      <c r="BR2426" s="1" t="s">
        <v>98</v>
      </c>
      <c r="BS2426" s="1" t="s">
        <v>38782</v>
      </c>
      <c r="BT2426" s="1" t="str">
        <f>HYPERLINK("https%3A%2F%2Fwww.webofscience.com%2Fwos%2Fwoscc%2Ffull-record%2FWOS:000347494700066","View Full Record in Web of Science")</f>
        <v>View Full Record in Web of Science</v>
      </c>
      <c r="BU2426" s="1"/>
      <c r="BV2426" s="1"/>
    </row>
    <row r="2427" spans="1:74">
      <c r="A2427" s="1" t="s">
        <v>72</v>
      </c>
      <c r="B2427" s="1" t="s">
        <v>38783</v>
      </c>
      <c r="C2427" s="1" t="s">
        <v>74</v>
      </c>
      <c r="D2427" s="1" t="s">
        <v>74</v>
      </c>
      <c r="E2427" s="1" t="s">
        <v>74</v>
      </c>
      <c r="F2427" s="1" t="s">
        <v>38783</v>
      </c>
      <c r="G2427" s="1" t="s">
        <v>74</v>
      </c>
      <c r="H2427" s="1" t="s">
        <v>74</v>
      </c>
      <c r="I2427" s="1" t="s">
        <v>38784</v>
      </c>
      <c r="J2427" s="1" t="s">
        <v>10129</v>
      </c>
      <c r="K2427" s="1" t="s">
        <v>74</v>
      </c>
      <c r="L2427" s="1" t="s">
        <v>74</v>
      </c>
      <c r="M2427" s="1" t="s">
        <v>78</v>
      </c>
      <c r="N2427" s="1" t="s">
        <v>79</v>
      </c>
      <c r="O2427" s="1" t="s">
        <v>74</v>
      </c>
      <c r="P2427" s="1" t="s">
        <v>74</v>
      </c>
      <c r="Q2427" s="1" t="s">
        <v>74</v>
      </c>
      <c r="R2427" s="1" t="s">
        <v>74</v>
      </c>
      <c r="S2427" s="1" t="s">
        <v>74</v>
      </c>
      <c r="T2427" s="1" t="s">
        <v>74</v>
      </c>
      <c r="U2427" s="1" t="s">
        <v>74</v>
      </c>
      <c r="V2427" s="1" t="s">
        <v>38785</v>
      </c>
      <c r="W2427" s="1" t="s">
        <v>17948</v>
      </c>
      <c r="X2427" s="1" t="s">
        <v>74</v>
      </c>
      <c r="Y2427" s="1" t="s">
        <v>74</v>
      </c>
      <c r="Z2427" s="1" t="s">
        <v>74</v>
      </c>
      <c r="AA2427" s="1" t="s">
        <v>17949</v>
      </c>
      <c r="AB2427" s="1" t="s">
        <v>38786</v>
      </c>
      <c r="AC2427" s="1" t="s">
        <v>74</v>
      </c>
      <c r="AD2427" s="1" t="s">
        <v>74</v>
      </c>
      <c r="AE2427" s="1" t="s">
        <v>74</v>
      </c>
      <c r="AF2427" s="1" t="s">
        <v>74</v>
      </c>
      <c r="AG2427" s="1">
        <v>11</v>
      </c>
      <c r="AH2427" s="1">
        <v>23</v>
      </c>
      <c r="AI2427" s="1">
        <v>23</v>
      </c>
      <c r="AJ2427" s="1">
        <v>0</v>
      </c>
      <c r="AK2427" s="1">
        <v>7</v>
      </c>
      <c r="AL2427" s="1" t="s">
        <v>3362</v>
      </c>
      <c r="AM2427" s="1" t="s">
        <v>3363</v>
      </c>
      <c r="AN2427" s="1" t="s">
        <v>3364</v>
      </c>
      <c r="AO2427" s="1" t="s">
        <v>10137</v>
      </c>
      <c r="AP2427" s="1" t="s">
        <v>10138</v>
      </c>
      <c r="AQ2427" s="1" t="s">
        <v>74</v>
      </c>
      <c r="AR2427" s="1" t="s">
        <v>10139</v>
      </c>
      <c r="AS2427" s="1" t="s">
        <v>10140</v>
      </c>
      <c r="AT2427" s="1" t="s">
        <v>74</v>
      </c>
      <c r="AU2427" s="1">
        <v>1978</v>
      </c>
      <c r="AV2427" s="1">
        <v>15</v>
      </c>
      <c r="AW2427" s="1">
        <v>3</v>
      </c>
      <c r="AX2427" s="1" t="s">
        <v>74</v>
      </c>
      <c r="AY2427" s="1" t="s">
        <v>74</v>
      </c>
      <c r="AZ2427" s="1" t="s">
        <v>74</v>
      </c>
      <c r="BA2427" s="1" t="s">
        <v>74</v>
      </c>
      <c r="BB2427" s="1">
        <v>342</v>
      </c>
      <c r="BC2427" s="1">
        <v>356</v>
      </c>
      <c r="BD2427" s="1" t="s">
        <v>74</v>
      </c>
      <c r="BE2427" s="1" t="s">
        <v>38787</v>
      </c>
      <c r="BF2427" s="1" t="str">
        <f>HYPERLINK("http://dx.doi.org/10.1016/0013-9351(78)90116-0","http://dx.doi.org/10.1016/0013-9351(78)90116-0")</f>
        <v>http://dx.doi.org/10.1016/0013-9351(78)90116-0</v>
      </c>
      <c r="BG2427" s="1" t="s">
        <v>74</v>
      </c>
      <c r="BH2427" s="1" t="s">
        <v>74</v>
      </c>
      <c r="BI2427" s="1">
        <v>15</v>
      </c>
      <c r="BJ2427" s="1" t="s">
        <v>10142</v>
      </c>
      <c r="BK2427" s="1" t="s">
        <v>11915</v>
      </c>
      <c r="BL2427" s="1" t="s">
        <v>10143</v>
      </c>
      <c r="BM2427" s="1" t="s">
        <v>38788</v>
      </c>
      <c r="BN2427" s="1">
        <v>679898</v>
      </c>
      <c r="BO2427" s="1" t="s">
        <v>74</v>
      </c>
      <c r="BP2427" s="1" t="s">
        <v>74</v>
      </c>
      <c r="BQ2427" s="1" t="s">
        <v>74</v>
      </c>
      <c r="BR2427" s="1" t="s">
        <v>98</v>
      </c>
      <c r="BS2427" s="1" t="s">
        <v>38789</v>
      </c>
      <c r="BT2427" s="1" t="str">
        <f>HYPERLINK("https%3A%2F%2Fwww.webofscience.com%2Fwos%2Fwoscc%2Ffull-record%2FWOS:A1978FF43100003","View Full Record in Web of Science")</f>
        <v>View Full Record in Web of Science</v>
      </c>
      <c r="BU2427" s="1"/>
      <c r="BV2427" s="1"/>
    </row>
    <row r="2428" spans="1:74">
      <c r="A2428" s="1" t="s">
        <v>72</v>
      </c>
      <c r="B2428" s="1" t="s">
        <v>38790</v>
      </c>
      <c r="C2428" s="1" t="s">
        <v>74</v>
      </c>
      <c r="D2428" s="1" t="s">
        <v>74</v>
      </c>
      <c r="E2428" s="1" t="s">
        <v>74</v>
      </c>
      <c r="F2428" s="1" t="s">
        <v>38791</v>
      </c>
      <c r="G2428" s="1" t="s">
        <v>74</v>
      </c>
      <c r="H2428" s="1" t="s">
        <v>74</v>
      </c>
      <c r="I2428" s="1" t="s">
        <v>38792</v>
      </c>
      <c r="J2428" s="1" t="s">
        <v>421</v>
      </c>
      <c r="K2428" s="1" t="s">
        <v>74</v>
      </c>
      <c r="L2428" s="1" t="s">
        <v>74</v>
      </c>
      <c r="M2428" s="1" t="s">
        <v>78</v>
      </c>
      <c r="N2428" s="1" t="s">
        <v>79</v>
      </c>
      <c r="O2428" s="1" t="s">
        <v>74</v>
      </c>
      <c r="P2428" s="1" t="s">
        <v>74</v>
      </c>
      <c r="Q2428" s="1" t="s">
        <v>74</v>
      </c>
      <c r="R2428" s="1" t="s">
        <v>74</v>
      </c>
      <c r="S2428" s="1" t="s">
        <v>74</v>
      </c>
      <c r="T2428" s="1" t="s">
        <v>38793</v>
      </c>
      <c r="U2428" s="1" t="s">
        <v>38794</v>
      </c>
      <c r="V2428" s="1" t="s">
        <v>38795</v>
      </c>
      <c r="W2428" s="1" t="s">
        <v>38796</v>
      </c>
      <c r="X2428" s="1" t="s">
        <v>38797</v>
      </c>
      <c r="Y2428" s="1" t="s">
        <v>38798</v>
      </c>
      <c r="Z2428" s="1" t="s">
        <v>38799</v>
      </c>
      <c r="AA2428" s="1" t="s">
        <v>74</v>
      </c>
      <c r="AB2428" s="1" t="s">
        <v>38800</v>
      </c>
      <c r="AC2428" s="1" t="s">
        <v>38801</v>
      </c>
      <c r="AD2428" s="1" t="s">
        <v>38802</v>
      </c>
      <c r="AE2428" s="1" t="s">
        <v>38803</v>
      </c>
      <c r="AF2428" s="1" t="s">
        <v>74</v>
      </c>
      <c r="AG2428" s="1">
        <v>46</v>
      </c>
      <c r="AH2428" s="1">
        <v>2</v>
      </c>
      <c r="AI2428" s="1">
        <v>2</v>
      </c>
      <c r="AJ2428" s="1">
        <v>2</v>
      </c>
      <c r="AK2428" s="1">
        <v>13</v>
      </c>
      <c r="AL2428" s="1" t="s">
        <v>430</v>
      </c>
      <c r="AM2428" s="1" t="s">
        <v>137</v>
      </c>
      <c r="AN2428" s="1" t="s">
        <v>431</v>
      </c>
      <c r="AO2428" s="1" t="s">
        <v>432</v>
      </c>
      <c r="AP2428" s="1" t="s">
        <v>1394</v>
      </c>
      <c r="AQ2428" s="1" t="s">
        <v>74</v>
      </c>
      <c r="AR2428" s="1" t="s">
        <v>433</v>
      </c>
      <c r="AS2428" s="1" t="s">
        <v>434</v>
      </c>
      <c r="AT2428" s="1" t="s">
        <v>3542</v>
      </c>
      <c r="AU2428" s="1">
        <v>2023</v>
      </c>
      <c r="AV2428" s="1">
        <v>334</v>
      </c>
      <c r="AW2428" s="1" t="s">
        <v>74</v>
      </c>
      <c r="AX2428" s="1" t="s">
        <v>74</v>
      </c>
      <c r="AY2428" s="1" t="s">
        <v>74</v>
      </c>
      <c r="AZ2428" s="1" t="s">
        <v>74</v>
      </c>
      <c r="BA2428" s="1" t="s">
        <v>74</v>
      </c>
      <c r="BB2428" s="1" t="s">
        <v>74</v>
      </c>
      <c r="BC2428" s="1" t="s">
        <v>74</v>
      </c>
      <c r="BD2428" s="1">
        <v>122164</v>
      </c>
      <c r="BE2428" s="1" t="s">
        <v>38804</v>
      </c>
      <c r="BF2428" s="1" t="str">
        <f>HYPERLINK("http://dx.doi.org/10.1016/j.envpol.2023.122164","http://dx.doi.org/10.1016/j.envpol.2023.122164")</f>
        <v>http://dx.doi.org/10.1016/j.envpol.2023.122164</v>
      </c>
      <c r="BG2428" s="1" t="s">
        <v>74</v>
      </c>
      <c r="BH2428" s="1" t="s">
        <v>1121</v>
      </c>
      <c r="BI2428" s="1">
        <v>11</v>
      </c>
      <c r="BJ2428" s="1" t="s">
        <v>144</v>
      </c>
      <c r="BK2428" s="1" t="s">
        <v>96</v>
      </c>
      <c r="BL2428" s="1" t="s">
        <v>145</v>
      </c>
      <c r="BM2428" s="1" t="s">
        <v>38805</v>
      </c>
      <c r="BN2428" s="1">
        <v>37451592</v>
      </c>
      <c r="BO2428" s="1" t="s">
        <v>74</v>
      </c>
      <c r="BP2428" s="1" t="s">
        <v>74</v>
      </c>
      <c r="BQ2428" s="1" t="s">
        <v>74</v>
      </c>
      <c r="BR2428" s="1" t="s">
        <v>98</v>
      </c>
      <c r="BS2428" s="1" t="s">
        <v>38806</v>
      </c>
      <c r="BT2428" s="1" t="str">
        <f>HYPERLINK("https%3A%2F%2Fwww.webofscience.com%2Fwos%2Fwoscc%2Ffull-record%2FWOS:001049659400001","View Full Record in Web of Science")</f>
        <v>View Full Record in Web of Science</v>
      </c>
      <c r="BU2428" s="1"/>
      <c r="BV2428" s="1"/>
    </row>
    <row r="2429" spans="1:74">
      <c r="A2429" s="1" t="s">
        <v>72</v>
      </c>
      <c r="B2429" s="1" t="s">
        <v>38807</v>
      </c>
      <c r="C2429" s="1" t="s">
        <v>74</v>
      </c>
      <c r="D2429" s="1" t="s">
        <v>74</v>
      </c>
      <c r="E2429" s="1" t="s">
        <v>74</v>
      </c>
      <c r="F2429" s="1" t="s">
        <v>38807</v>
      </c>
      <c r="G2429" s="1" t="s">
        <v>74</v>
      </c>
      <c r="H2429" s="1" t="s">
        <v>74</v>
      </c>
      <c r="I2429" s="1" t="s">
        <v>38808</v>
      </c>
      <c r="J2429" s="1" t="s">
        <v>421</v>
      </c>
      <c r="K2429" s="1" t="s">
        <v>74</v>
      </c>
      <c r="L2429" s="1" t="s">
        <v>74</v>
      </c>
      <c r="M2429" s="1" t="s">
        <v>78</v>
      </c>
      <c r="N2429" s="1" t="s">
        <v>79</v>
      </c>
      <c r="O2429" s="1" t="s">
        <v>74</v>
      </c>
      <c r="P2429" s="1" t="s">
        <v>74</v>
      </c>
      <c r="Q2429" s="1" t="s">
        <v>74</v>
      </c>
      <c r="R2429" s="1" t="s">
        <v>74</v>
      </c>
      <c r="S2429" s="1" t="s">
        <v>74</v>
      </c>
      <c r="T2429" s="1" t="s">
        <v>74</v>
      </c>
      <c r="U2429" s="1" t="s">
        <v>38809</v>
      </c>
      <c r="V2429" s="1" t="s">
        <v>38810</v>
      </c>
      <c r="W2429" s="1" t="s">
        <v>74</v>
      </c>
      <c r="X2429" s="1" t="s">
        <v>74</v>
      </c>
      <c r="Y2429" s="1" t="s">
        <v>15677</v>
      </c>
      <c r="Z2429" s="1" t="s">
        <v>74</v>
      </c>
      <c r="AA2429" s="1" t="s">
        <v>38811</v>
      </c>
      <c r="AB2429" s="1" t="s">
        <v>74</v>
      </c>
      <c r="AC2429" s="1" t="s">
        <v>74</v>
      </c>
      <c r="AD2429" s="1" t="s">
        <v>74</v>
      </c>
      <c r="AE2429" s="1" t="s">
        <v>74</v>
      </c>
      <c r="AF2429" s="1" t="s">
        <v>74</v>
      </c>
      <c r="AG2429" s="1">
        <v>21</v>
      </c>
      <c r="AH2429" s="1">
        <v>13</v>
      </c>
      <c r="AI2429" s="1">
        <v>15</v>
      </c>
      <c r="AJ2429" s="1">
        <v>0</v>
      </c>
      <c r="AK2429" s="1">
        <v>5</v>
      </c>
      <c r="AL2429" s="1" t="s">
        <v>430</v>
      </c>
      <c r="AM2429" s="1" t="s">
        <v>137</v>
      </c>
      <c r="AN2429" s="1" t="s">
        <v>431</v>
      </c>
      <c r="AO2429" s="1" t="s">
        <v>432</v>
      </c>
      <c r="AP2429" s="1" t="s">
        <v>1394</v>
      </c>
      <c r="AQ2429" s="1" t="s">
        <v>74</v>
      </c>
      <c r="AR2429" s="1" t="s">
        <v>433</v>
      </c>
      <c r="AS2429" s="1" t="s">
        <v>434</v>
      </c>
      <c r="AT2429" s="1" t="s">
        <v>74</v>
      </c>
      <c r="AU2429" s="1">
        <v>1992</v>
      </c>
      <c r="AV2429" s="1">
        <v>76</v>
      </c>
      <c r="AW2429" s="1">
        <v>3</v>
      </c>
      <c r="AX2429" s="1" t="s">
        <v>74</v>
      </c>
      <c r="AY2429" s="1" t="s">
        <v>74</v>
      </c>
      <c r="AZ2429" s="1" t="s">
        <v>74</v>
      </c>
      <c r="BA2429" s="1" t="s">
        <v>74</v>
      </c>
      <c r="BB2429" s="1">
        <v>225</v>
      </c>
      <c r="BC2429" s="1">
        <v>231</v>
      </c>
      <c r="BD2429" s="1" t="s">
        <v>74</v>
      </c>
      <c r="BE2429" s="1" t="s">
        <v>38812</v>
      </c>
      <c r="BF2429" s="1" t="str">
        <f>HYPERLINK("http://dx.doi.org/10.1016/0269-7491(92)90141-V","http://dx.doi.org/10.1016/0269-7491(92)90141-V")</f>
        <v>http://dx.doi.org/10.1016/0269-7491(92)90141-V</v>
      </c>
      <c r="BG2429" s="1" t="s">
        <v>74</v>
      </c>
      <c r="BH2429" s="1" t="s">
        <v>74</v>
      </c>
      <c r="BI2429" s="1">
        <v>7</v>
      </c>
      <c r="BJ2429" s="1" t="s">
        <v>144</v>
      </c>
      <c r="BK2429" s="1" t="s">
        <v>96</v>
      </c>
      <c r="BL2429" s="1" t="s">
        <v>145</v>
      </c>
      <c r="BM2429" s="1" t="s">
        <v>38813</v>
      </c>
      <c r="BN2429" s="1">
        <v>15091987</v>
      </c>
      <c r="BO2429" s="1" t="s">
        <v>74</v>
      </c>
      <c r="BP2429" s="1" t="s">
        <v>74</v>
      </c>
      <c r="BQ2429" s="1" t="s">
        <v>74</v>
      </c>
      <c r="BR2429" s="1" t="s">
        <v>98</v>
      </c>
      <c r="BS2429" s="1" t="s">
        <v>38814</v>
      </c>
      <c r="BT2429" s="1" t="str">
        <f>HYPERLINK("https%3A%2F%2Fwww.webofscience.com%2Fwos%2Fwoscc%2Ffull-record%2FWOS:A1992HP22900006","View Full Record in Web of Science")</f>
        <v>View Full Record in Web of Science</v>
      </c>
      <c r="BU2429" s="1"/>
      <c r="BV2429" s="1"/>
    </row>
    <row r="2430" spans="1:74">
      <c r="A2430" s="1" t="s">
        <v>72</v>
      </c>
      <c r="B2430" s="1" t="s">
        <v>38815</v>
      </c>
      <c r="C2430" s="1" t="s">
        <v>74</v>
      </c>
      <c r="D2430" s="1" t="s">
        <v>74</v>
      </c>
      <c r="E2430" s="1" t="s">
        <v>74</v>
      </c>
      <c r="F2430" s="1" t="s">
        <v>38815</v>
      </c>
      <c r="G2430" s="1" t="s">
        <v>74</v>
      </c>
      <c r="H2430" s="1" t="s">
        <v>74</v>
      </c>
      <c r="I2430" s="1" t="s">
        <v>38816</v>
      </c>
      <c r="J2430" s="1" t="s">
        <v>38817</v>
      </c>
      <c r="K2430" s="1" t="s">
        <v>74</v>
      </c>
      <c r="L2430" s="1" t="s">
        <v>74</v>
      </c>
      <c r="M2430" s="1" t="s">
        <v>78</v>
      </c>
      <c r="N2430" s="1" t="s">
        <v>79</v>
      </c>
      <c r="O2430" s="1" t="s">
        <v>74</v>
      </c>
      <c r="P2430" s="1" t="s">
        <v>74</v>
      </c>
      <c r="Q2430" s="1" t="s">
        <v>74</v>
      </c>
      <c r="R2430" s="1" t="s">
        <v>74</v>
      </c>
      <c r="S2430" s="1" t="s">
        <v>74</v>
      </c>
      <c r="T2430" s="1" t="s">
        <v>38818</v>
      </c>
      <c r="U2430" s="1" t="s">
        <v>38819</v>
      </c>
      <c r="V2430" s="1" t="s">
        <v>38820</v>
      </c>
      <c r="W2430" s="1" t="s">
        <v>38821</v>
      </c>
      <c r="X2430" s="1" t="s">
        <v>10745</v>
      </c>
      <c r="Y2430" s="1" t="s">
        <v>38822</v>
      </c>
      <c r="Z2430" s="1" t="s">
        <v>74</v>
      </c>
      <c r="AA2430" s="1" t="s">
        <v>74</v>
      </c>
      <c r="AB2430" s="1" t="s">
        <v>10748</v>
      </c>
      <c r="AC2430" s="1" t="s">
        <v>74</v>
      </c>
      <c r="AD2430" s="1" t="s">
        <v>74</v>
      </c>
      <c r="AE2430" s="1" t="s">
        <v>74</v>
      </c>
      <c r="AF2430" s="1" t="s">
        <v>74</v>
      </c>
      <c r="AG2430" s="1">
        <v>34</v>
      </c>
      <c r="AH2430" s="1">
        <v>19</v>
      </c>
      <c r="AI2430" s="1">
        <v>21</v>
      </c>
      <c r="AJ2430" s="1">
        <v>0</v>
      </c>
      <c r="AK2430" s="1">
        <v>11</v>
      </c>
      <c r="AL2430" s="1" t="s">
        <v>38823</v>
      </c>
      <c r="AM2430" s="1" t="s">
        <v>38824</v>
      </c>
      <c r="AN2430" s="1" t="s">
        <v>38825</v>
      </c>
      <c r="AO2430" s="1" t="s">
        <v>38826</v>
      </c>
      <c r="AP2430" s="1" t="s">
        <v>74</v>
      </c>
      <c r="AQ2430" s="1" t="s">
        <v>74</v>
      </c>
      <c r="AR2430" s="1" t="s">
        <v>38827</v>
      </c>
      <c r="AS2430" s="1" t="s">
        <v>38828</v>
      </c>
      <c r="AT2430" s="1" t="s">
        <v>93</v>
      </c>
      <c r="AU2430" s="1">
        <v>2001</v>
      </c>
      <c r="AV2430" s="1">
        <v>33</v>
      </c>
      <c r="AW2430" s="1">
        <v>2</v>
      </c>
      <c r="AX2430" s="1" t="s">
        <v>74</v>
      </c>
      <c r="AY2430" s="1" t="s">
        <v>74</v>
      </c>
      <c r="AZ2430" s="1" t="s">
        <v>74</v>
      </c>
      <c r="BA2430" s="1" t="s">
        <v>74</v>
      </c>
      <c r="BB2430" s="1">
        <v>178</v>
      </c>
      <c r="BC2430" s="1">
        <v>188</v>
      </c>
      <c r="BD2430" s="1" t="s">
        <v>74</v>
      </c>
      <c r="BE2430" s="1" t="s">
        <v>38829</v>
      </c>
      <c r="BF2430" s="1" t="str">
        <f>HYPERLINK("http://dx.doi.org/10.1054/tice.2000.0169","http://dx.doi.org/10.1054/tice.2000.0169")</f>
        <v>http://dx.doi.org/10.1054/tice.2000.0169</v>
      </c>
      <c r="BG2430" s="1" t="s">
        <v>74</v>
      </c>
      <c r="BH2430" s="1" t="s">
        <v>74</v>
      </c>
      <c r="BI2430" s="1">
        <v>11</v>
      </c>
      <c r="BJ2430" s="1" t="s">
        <v>38830</v>
      </c>
      <c r="BK2430" s="1" t="s">
        <v>96</v>
      </c>
      <c r="BL2430" s="1" t="s">
        <v>38830</v>
      </c>
      <c r="BM2430" s="1" t="s">
        <v>38831</v>
      </c>
      <c r="BN2430" s="1">
        <v>11392671</v>
      </c>
      <c r="BO2430" s="1" t="s">
        <v>74</v>
      </c>
      <c r="BP2430" s="1" t="s">
        <v>74</v>
      </c>
      <c r="BQ2430" s="1" t="s">
        <v>74</v>
      </c>
      <c r="BR2430" s="1" t="s">
        <v>98</v>
      </c>
      <c r="BS2430" s="1" t="s">
        <v>38832</v>
      </c>
      <c r="BT2430" s="1" t="str">
        <f>HYPERLINK("https%3A%2F%2Fwww.webofscience.com%2Fwos%2Fwoscc%2Ffull-record%2FWOS:000168662700009","View Full Record in Web of Science")</f>
        <v>View Full Record in Web of Science</v>
      </c>
      <c r="BU2430" s="1"/>
      <c r="BV2430" s="1"/>
    </row>
    <row r="2431" spans="1:74">
      <c r="A2431" s="1" t="s">
        <v>72</v>
      </c>
      <c r="B2431" s="1" t="s">
        <v>38833</v>
      </c>
      <c r="C2431" s="1" t="s">
        <v>74</v>
      </c>
      <c r="D2431" s="1" t="s">
        <v>74</v>
      </c>
      <c r="E2431" s="1" t="s">
        <v>74</v>
      </c>
      <c r="F2431" s="1" t="s">
        <v>38834</v>
      </c>
      <c r="G2431" s="1" t="s">
        <v>74</v>
      </c>
      <c r="H2431" s="1" t="s">
        <v>74</v>
      </c>
      <c r="I2431" s="1" t="s">
        <v>38835</v>
      </c>
      <c r="J2431" s="1" t="s">
        <v>2408</v>
      </c>
      <c r="K2431" s="1" t="s">
        <v>74</v>
      </c>
      <c r="L2431" s="1" t="s">
        <v>74</v>
      </c>
      <c r="M2431" s="1" t="s">
        <v>78</v>
      </c>
      <c r="N2431" s="1" t="s">
        <v>79</v>
      </c>
      <c r="O2431" s="1" t="s">
        <v>74</v>
      </c>
      <c r="P2431" s="1" t="s">
        <v>74</v>
      </c>
      <c r="Q2431" s="1" t="s">
        <v>74</v>
      </c>
      <c r="R2431" s="1" t="s">
        <v>74</v>
      </c>
      <c r="S2431" s="1" t="s">
        <v>74</v>
      </c>
      <c r="T2431" s="1" t="s">
        <v>38836</v>
      </c>
      <c r="U2431" s="1" t="s">
        <v>38837</v>
      </c>
      <c r="V2431" s="1" t="s">
        <v>38838</v>
      </c>
      <c r="W2431" s="1" t="s">
        <v>38839</v>
      </c>
      <c r="X2431" s="1" t="s">
        <v>38840</v>
      </c>
      <c r="Y2431" s="1" t="s">
        <v>38841</v>
      </c>
      <c r="Z2431" s="1" t="s">
        <v>38842</v>
      </c>
      <c r="AA2431" s="1" t="s">
        <v>38843</v>
      </c>
      <c r="AB2431" s="1" t="s">
        <v>38844</v>
      </c>
      <c r="AC2431" s="1" t="s">
        <v>38845</v>
      </c>
      <c r="AD2431" s="1" t="s">
        <v>38846</v>
      </c>
      <c r="AE2431" s="1" t="s">
        <v>38847</v>
      </c>
      <c r="AF2431" s="1" t="s">
        <v>74</v>
      </c>
      <c r="AG2431" s="1">
        <v>106</v>
      </c>
      <c r="AH2431" s="1">
        <v>2</v>
      </c>
      <c r="AI2431" s="1">
        <v>2</v>
      </c>
      <c r="AJ2431" s="1">
        <v>8</v>
      </c>
      <c r="AK2431" s="1">
        <v>13</v>
      </c>
      <c r="AL2431" s="1" t="s">
        <v>2421</v>
      </c>
      <c r="AM2431" s="1" t="s">
        <v>2422</v>
      </c>
      <c r="AN2431" s="1" t="s">
        <v>2423</v>
      </c>
      <c r="AO2431" s="1" t="s">
        <v>2424</v>
      </c>
      <c r="AP2431" s="1" t="s">
        <v>2425</v>
      </c>
      <c r="AQ2431" s="1" t="s">
        <v>74</v>
      </c>
      <c r="AR2431" s="1" t="s">
        <v>2426</v>
      </c>
      <c r="AS2431" s="1" t="s">
        <v>2427</v>
      </c>
      <c r="AT2431" s="1" t="s">
        <v>119</v>
      </c>
      <c r="AU2431" s="1">
        <v>2023</v>
      </c>
      <c r="AV2431" s="1">
        <v>42</v>
      </c>
      <c r="AW2431" s="1">
        <v>2</v>
      </c>
      <c r="AX2431" s="1" t="s">
        <v>74</v>
      </c>
      <c r="AY2431" s="1" t="s">
        <v>74</v>
      </c>
      <c r="AZ2431" s="1" t="s">
        <v>74</v>
      </c>
      <c r="BA2431" s="1" t="s">
        <v>74</v>
      </c>
      <c r="BB2431" s="1">
        <v>199</v>
      </c>
      <c r="BC2431" s="1">
        <v>213</v>
      </c>
      <c r="BD2431" s="1" t="s">
        <v>74</v>
      </c>
      <c r="BE2431" s="1" t="s">
        <v>38848</v>
      </c>
      <c r="BF2431" s="1" t="str">
        <f>HYPERLINK("http://dx.doi.org/10.2983/035.042.0202","http://dx.doi.org/10.2983/035.042.0202")</f>
        <v>http://dx.doi.org/10.2983/035.042.0202</v>
      </c>
      <c r="BG2431" s="1" t="s">
        <v>74</v>
      </c>
      <c r="BH2431" s="1" t="s">
        <v>74</v>
      </c>
      <c r="BI2431" s="1">
        <v>15</v>
      </c>
      <c r="BJ2431" s="1" t="s">
        <v>2391</v>
      </c>
      <c r="BK2431" s="1" t="s">
        <v>96</v>
      </c>
      <c r="BL2431" s="1" t="s">
        <v>2391</v>
      </c>
      <c r="BM2431" s="1" t="s">
        <v>38849</v>
      </c>
      <c r="BN2431" s="1" t="s">
        <v>74</v>
      </c>
      <c r="BO2431" s="1" t="s">
        <v>74</v>
      </c>
      <c r="BP2431" s="1" t="s">
        <v>74</v>
      </c>
      <c r="BQ2431" s="1" t="s">
        <v>74</v>
      </c>
      <c r="BR2431" s="1" t="s">
        <v>98</v>
      </c>
      <c r="BS2431" s="1" t="s">
        <v>38850</v>
      </c>
      <c r="BT2431" s="1" t="str">
        <f>HYPERLINK("https%3A%2F%2Fwww.webofscience.com%2Fwos%2Fwoscc%2Ffull-record%2FWOS:001067433600002","View Full Record in Web of Science")</f>
        <v>View Full Record in Web of Science</v>
      </c>
      <c r="BU2431" s="1"/>
      <c r="BV2431" s="1"/>
    </row>
    <row r="2432" spans="1:74">
      <c r="A2432" s="1" t="s">
        <v>72</v>
      </c>
      <c r="B2432" s="1" t="s">
        <v>38851</v>
      </c>
      <c r="C2432" s="1" t="s">
        <v>74</v>
      </c>
      <c r="D2432" s="1" t="s">
        <v>74</v>
      </c>
      <c r="E2432" s="1" t="s">
        <v>74</v>
      </c>
      <c r="F2432" s="1" t="s">
        <v>38852</v>
      </c>
      <c r="G2432" s="1" t="s">
        <v>74</v>
      </c>
      <c r="H2432" s="1" t="s">
        <v>74</v>
      </c>
      <c r="I2432" s="1" t="s">
        <v>38853</v>
      </c>
      <c r="J2432" s="1" t="s">
        <v>395</v>
      </c>
      <c r="K2432" s="1" t="s">
        <v>74</v>
      </c>
      <c r="L2432" s="1" t="s">
        <v>74</v>
      </c>
      <c r="M2432" s="1" t="s">
        <v>78</v>
      </c>
      <c r="N2432" s="1" t="s">
        <v>79</v>
      </c>
      <c r="O2432" s="1" t="s">
        <v>74</v>
      </c>
      <c r="P2432" s="1" t="s">
        <v>74</v>
      </c>
      <c r="Q2432" s="1" t="s">
        <v>74</v>
      </c>
      <c r="R2432" s="1" t="s">
        <v>74</v>
      </c>
      <c r="S2432" s="1" t="s">
        <v>74</v>
      </c>
      <c r="T2432" s="1" t="s">
        <v>38854</v>
      </c>
      <c r="U2432" s="1" t="s">
        <v>38855</v>
      </c>
      <c r="V2432" s="1" t="s">
        <v>38856</v>
      </c>
      <c r="W2432" s="1" t="s">
        <v>38857</v>
      </c>
      <c r="X2432" s="1" t="s">
        <v>74</v>
      </c>
      <c r="Y2432" s="1" t="s">
        <v>38858</v>
      </c>
      <c r="Z2432" s="1" t="s">
        <v>38859</v>
      </c>
      <c r="AA2432" s="1" t="s">
        <v>74</v>
      </c>
      <c r="AB2432" s="1" t="s">
        <v>38860</v>
      </c>
      <c r="AC2432" s="1" t="s">
        <v>38861</v>
      </c>
      <c r="AD2432" s="1" t="s">
        <v>38862</v>
      </c>
      <c r="AE2432" s="1" t="s">
        <v>38863</v>
      </c>
      <c r="AF2432" s="1" t="s">
        <v>74</v>
      </c>
      <c r="AG2432" s="1">
        <v>43</v>
      </c>
      <c r="AH2432" s="1">
        <v>28</v>
      </c>
      <c r="AI2432" s="1">
        <v>29</v>
      </c>
      <c r="AJ2432" s="1">
        <v>0</v>
      </c>
      <c r="AK2432" s="1">
        <v>45</v>
      </c>
      <c r="AL2432" s="1" t="s">
        <v>408</v>
      </c>
      <c r="AM2432" s="1" t="s">
        <v>409</v>
      </c>
      <c r="AN2432" s="1" t="s">
        <v>1188</v>
      </c>
      <c r="AO2432" s="1" t="s">
        <v>411</v>
      </c>
      <c r="AP2432" s="1" t="s">
        <v>6093</v>
      </c>
      <c r="AQ2432" s="1" t="s">
        <v>74</v>
      </c>
      <c r="AR2432" s="1" t="s">
        <v>412</v>
      </c>
      <c r="AS2432" s="1" t="s">
        <v>413</v>
      </c>
      <c r="AT2432" s="1" t="s">
        <v>38864</v>
      </c>
      <c r="AU2432" s="1">
        <v>2016</v>
      </c>
      <c r="AV2432" s="1">
        <v>51</v>
      </c>
      <c r="AW2432" s="1">
        <v>3</v>
      </c>
      <c r="AX2432" s="1" t="s">
        <v>74</v>
      </c>
      <c r="AY2432" s="1" t="s">
        <v>74</v>
      </c>
      <c r="AZ2432" s="1" t="s">
        <v>74</v>
      </c>
      <c r="BA2432" s="1" t="s">
        <v>74</v>
      </c>
      <c r="BB2432" s="1">
        <v>213</v>
      </c>
      <c r="BC2432" s="1">
        <v>219</v>
      </c>
      <c r="BD2432" s="1" t="s">
        <v>74</v>
      </c>
      <c r="BE2432" s="1" t="s">
        <v>38865</v>
      </c>
      <c r="BF2432" s="1" t="str">
        <f>HYPERLINK("http://dx.doi.org/10.1080/10934529.2015.1094327","http://dx.doi.org/10.1080/10934529.2015.1094327")</f>
        <v>http://dx.doi.org/10.1080/10934529.2015.1094327</v>
      </c>
      <c r="BG2432" s="1" t="s">
        <v>74</v>
      </c>
      <c r="BH2432" s="1" t="s">
        <v>74</v>
      </c>
      <c r="BI2432" s="1">
        <v>7</v>
      </c>
      <c r="BJ2432" s="1" t="s">
        <v>415</v>
      </c>
      <c r="BK2432" s="1" t="s">
        <v>96</v>
      </c>
      <c r="BL2432" s="1" t="s">
        <v>416</v>
      </c>
      <c r="BM2432" s="1" t="s">
        <v>38866</v>
      </c>
      <c r="BN2432" s="1">
        <v>26634290</v>
      </c>
      <c r="BO2432" s="1" t="s">
        <v>74</v>
      </c>
      <c r="BP2432" s="1" t="s">
        <v>74</v>
      </c>
      <c r="BQ2432" s="1" t="s">
        <v>74</v>
      </c>
      <c r="BR2432" s="1" t="s">
        <v>98</v>
      </c>
      <c r="BS2432" s="1" t="s">
        <v>38867</v>
      </c>
      <c r="BT2432" s="1" t="str">
        <f>HYPERLINK("https%3A%2F%2Fwww.webofscience.com%2Fwos%2Fwoscc%2Ffull-record%2FWOS:000367389600003","View Full Record in Web of Science")</f>
        <v>View Full Record in Web of Science</v>
      </c>
      <c r="BU2432" s="1"/>
      <c r="BV2432" s="1"/>
    </row>
    <row r="2433" spans="1:74">
      <c r="A2433" s="1" t="s">
        <v>72</v>
      </c>
      <c r="B2433" s="1" t="s">
        <v>38868</v>
      </c>
      <c r="C2433" s="1" t="s">
        <v>74</v>
      </c>
      <c r="D2433" s="1" t="s">
        <v>74</v>
      </c>
      <c r="E2433" s="1" t="s">
        <v>74</v>
      </c>
      <c r="F2433" s="1" t="s">
        <v>38868</v>
      </c>
      <c r="G2433" s="1" t="s">
        <v>74</v>
      </c>
      <c r="H2433" s="1" t="s">
        <v>74</v>
      </c>
      <c r="I2433" s="1" t="s">
        <v>38869</v>
      </c>
      <c r="J2433" s="1" t="s">
        <v>232</v>
      </c>
      <c r="K2433" s="1" t="s">
        <v>74</v>
      </c>
      <c r="L2433" s="1" t="s">
        <v>74</v>
      </c>
      <c r="M2433" s="1" t="s">
        <v>78</v>
      </c>
      <c r="N2433" s="1" t="s">
        <v>79</v>
      </c>
      <c r="O2433" s="1" t="s">
        <v>74</v>
      </c>
      <c r="P2433" s="1" t="s">
        <v>74</v>
      </c>
      <c r="Q2433" s="1" t="s">
        <v>74</v>
      </c>
      <c r="R2433" s="1" t="s">
        <v>74</v>
      </c>
      <c r="S2433" s="1" t="s">
        <v>74</v>
      </c>
      <c r="T2433" s="1" t="s">
        <v>74</v>
      </c>
      <c r="U2433" s="1" t="s">
        <v>38870</v>
      </c>
      <c r="V2433" s="1" t="s">
        <v>38871</v>
      </c>
      <c r="W2433" s="1" t="s">
        <v>74</v>
      </c>
      <c r="X2433" s="1" t="s">
        <v>74</v>
      </c>
      <c r="Y2433" s="1" t="s">
        <v>38872</v>
      </c>
      <c r="Z2433" s="1" t="s">
        <v>74</v>
      </c>
      <c r="AA2433" s="1" t="s">
        <v>38873</v>
      </c>
      <c r="AB2433" s="1" t="s">
        <v>74</v>
      </c>
      <c r="AC2433" s="1" t="s">
        <v>74</v>
      </c>
      <c r="AD2433" s="1" t="s">
        <v>74</v>
      </c>
      <c r="AE2433" s="1" t="s">
        <v>74</v>
      </c>
      <c r="AF2433" s="1" t="s">
        <v>74</v>
      </c>
      <c r="AG2433" s="1">
        <v>20</v>
      </c>
      <c r="AH2433" s="1">
        <v>10</v>
      </c>
      <c r="AI2433" s="1">
        <v>16</v>
      </c>
      <c r="AJ2433" s="1">
        <v>0</v>
      </c>
      <c r="AK2433" s="1">
        <v>0</v>
      </c>
      <c r="AL2433" s="1" t="s">
        <v>136</v>
      </c>
      <c r="AM2433" s="1" t="s">
        <v>137</v>
      </c>
      <c r="AN2433" s="1" t="s">
        <v>138</v>
      </c>
      <c r="AO2433" s="1" t="s">
        <v>240</v>
      </c>
      <c r="AP2433" s="1" t="s">
        <v>241</v>
      </c>
      <c r="AQ2433" s="1" t="s">
        <v>74</v>
      </c>
      <c r="AR2433" s="1" t="s">
        <v>242</v>
      </c>
      <c r="AS2433" s="1" t="s">
        <v>243</v>
      </c>
      <c r="AT2433" s="1" t="s">
        <v>170</v>
      </c>
      <c r="AU2433" s="1">
        <v>1994</v>
      </c>
      <c r="AV2433" s="1">
        <v>28</v>
      </c>
      <c r="AW2433" s="1">
        <v>5</v>
      </c>
      <c r="AX2433" s="1" t="s">
        <v>74</v>
      </c>
      <c r="AY2433" s="1" t="s">
        <v>74</v>
      </c>
      <c r="AZ2433" s="1" t="s">
        <v>74</v>
      </c>
      <c r="BA2433" s="1" t="s">
        <v>74</v>
      </c>
      <c r="BB2433" s="1">
        <v>319</v>
      </c>
      <c r="BC2433" s="1">
        <v>323</v>
      </c>
      <c r="BD2433" s="1" t="s">
        <v>74</v>
      </c>
      <c r="BE2433" s="1" t="s">
        <v>38874</v>
      </c>
      <c r="BF2433" s="1" t="str">
        <f>HYPERLINK("http://dx.doi.org/10.1016/0025-326X(94)90158-9","http://dx.doi.org/10.1016/0025-326X(94)90158-9")</f>
        <v>http://dx.doi.org/10.1016/0025-326X(94)90158-9</v>
      </c>
      <c r="BG2433" s="1" t="s">
        <v>74</v>
      </c>
      <c r="BH2433" s="1" t="s">
        <v>74</v>
      </c>
      <c r="BI2433" s="1">
        <v>5</v>
      </c>
      <c r="BJ2433" s="1" t="s">
        <v>247</v>
      </c>
      <c r="BK2433" s="1" t="s">
        <v>96</v>
      </c>
      <c r="BL2433" s="1" t="s">
        <v>248</v>
      </c>
      <c r="BM2433" s="1" t="s">
        <v>38875</v>
      </c>
      <c r="BN2433" s="1" t="s">
        <v>74</v>
      </c>
      <c r="BO2433" s="1" t="s">
        <v>74</v>
      </c>
      <c r="BP2433" s="1" t="s">
        <v>74</v>
      </c>
      <c r="BQ2433" s="1" t="s">
        <v>74</v>
      </c>
      <c r="BR2433" s="1" t="s">
        <v>98</v>
      </c>
      <c r="BS2433" s="1" t="s">
        <v>38876</v>
      </c>
      <c r="BT2433" s="1" t="str">
        <f>HYPERLINK("https%3A%2F%2Fwww.webofscience.com%2Fwos%2Fwoscc%2Ffull-record%2FWOS:A1994NR50400012","View Full Record in Web of Science")</f>
        <v>View Full Record in Web of Science</v>
      </c>
      <c r="BU2433" s="1"/>
      <c r="BV2433" s="1"/>
    </row>
    <row r="2434" spans="1:74">
      <c r="A2434" s="1" t="s">
        <v>72</v>
      </c>
      <c r="B2434" s="1" t="s">
        <v>38877</v>
      </c>
      <c r="C2434" s="1" t="s">
        <v>74</v>
      </c>
      <c r="D2434" s="1" t="s">
        <v>74</v>
      </c>
      <c r="E2434" s="1" t="s">
        <v>74</v>
      </c>
      <c r="F2434" s="1" t="s">
        <v>38878</v>
      </c>
      <c r="G2434" s="1" t="s">
        <v>74</v>
      </c>
      <c r="H2434" s="1" t="s">
        <v>74</v>
      </c>
      <c r="I2434" s="1" t="s">
        <v>38879</v>
      </c>
      <c r="J2434" s="1" t="s">
        <v>12106</v>
      </c>
      <c r="K2434" s="1" t="s">
        <v>74</v>
      </c>
      <c r="L2434" s="1" t="s">
        <v>74</v>
      </c>
      <c r="M2434" s="1" t="s">
        <v>78</v>
      </c>
      <c r="N2434" s="1" t="s">
        <v>79</v>
      </c>
      <c r="O2434" s="1" t="s">
        <v>74</v>
      </c>
      <c r="P2434" s="1" t="s">
        <v>74</v>
      </c>
      <c r="Q2434" s="1" t="s">
        <v>74</v>
      </c>
      <c r="R2434" s="1" t="s">
        <v>74</v>
      </c>
      <c r="S2434" s="1" t="s">
        <v>74</v>
      </c>
      <c r="T2434" s="1" t="s">
        <v>38880</v>
      </c>
      <c r="U2434" s="1" t="s">
        <v>38881</v>
      </c>
      <c r="V2434" s="1" t="s">
        <v>38882</v>
      </c>
      <c r="W2434" s="1" t="s">
        <v>38883</v>
      </c>
      <c r="X2434" s="1" t="s">
        <v>38884</v>
      </c>
      <c r="Y2434" s="1" t="s">
        <v>38885</v>
      </c>
      <c r="Z2434" s="1" t="s">
        <v>38886</v>
      </c>
      <c r="AA2434" s="1" t="s">
        <v>38887</v>
      </c>
      <c r="AB2434" s="1" t="s">
        <v>38888</v>
      </c>
      <c r="AC2434" s="1" t="s">
        <v>38889</v>
      </c>
      <c r="AD2434" s="1" t="s">
        <v>38890</v>
      </c>
      <c r="AE2434" s="1" t="s">
        <v>38891</v>
      </c>
      <c r="AF2434" s="1" t="s">
        <v>74</v>
      </c>
      <c r="AG2434" s="1">
        <v>79</v>
      </c>
      <c r="AH2434" s="1">
        <v>11</v>
      </c>
      <c r="AI2434" s="1">
        <v>11</v>
      </c>
      <c r="AJ2434" s="1">
        <v>0</v>
      </c>
      <c r="AK2434" s="1">
        <v>12</v>
      </c>
      <c r="AL2434" s="1" t="s">
        <v>4010</v>
      </c>
      <c r="AM2434" s="1" t="s">
        <v>1167</v>
      </c>
      <c r="AN2434" s="1" t="s">
        <v>1168</v>
      </c>
      <c r="AO2434" s="1" t="s">
        <v>12119</v>
      </c>
      <c r="AP2434" s="1" t="s">
        <v>12120</v>
      </c>
      <c r="AQ2434" s="1" t="s">
        <v>74</v>
      </c>
      <c r="AR2434" s="1" t="s">
        <v>12121</v>
      </c>
      <c r="AS2434" s="1" t="s">
        <v>12122</v>
      </c>
      <c r="AT2434" s="1" t="s">
        <v>38892</v>
      </c>
      <c r="AU2434" s="1">
        <v>2015</v>
      </c>
      <c r="AV2434" s="1">
        <v>9</v>
      </c>
      <c r="AW2434" s="1">
        <v>4</v>
      </c>
      <c r="AX2434" s="1" t="s">
        <v>74</v>
      </c>
      <c r="AY2434" s="1" t="s">
        <v>74</v>
      </c>
      <c r="AZ2434" s="1" t="s">
        <v>74</v>
      </c>
      <c r="BA2434" s="1" t="s">
        <v>74</v>
      </c>
      <c r="BB2434" s="1">
        <v>1293</v>
      </c>
      <c r="BC2434" s="1">
        <v>1304</v>
      </c>
      <c r="BD2434" s="1" t="s">
        <v>74</v>
      </c>
      <c r="BE2434" s="1" t="s">
        <v>74</v>
      </c>
      <c r="BF2434" s="1" t="s">
        <v>74</v>
      </c>
      <c r="BG2434" s="1" t="s">
        <v>74</v>
      </c>
      <c r="BH2434" s="1" t="s">
        <v>74</v>
      </c>
      <c r="BI2434" s="1">
        <v>12</v>
      </c>
      <c r="BJ2434" s="1" t="s">
        <v>144</v>
      </c>
      <c r="BK2434" s="1" t="s">
        <v>96</v>
      </c>
      <c r="BL2434" s="1" t="s">
        <v>145</v>
      </c>
      <c r="BM2434" s="1" t="s">
        <v>38893</v>
      </c>
      <c r="BN2434" s="1" t="s">
        <v>74</v>
      </c>
      <c r="BO2434" s="1" t="s">
        <v>74</v>
      </c>
      <c r="BP2434" s="1" t="s">
        <v>74</v>
      </c>
      <c r="BQ2434" s="1" t="s">
        <v>74</v>
      </c>
      <c r="BR2434" s="1" t="s">
        <v>98</v>
      </c>
      <c r="BS2434" s="1" t="s">
        <v>38894</v>
      </c>
      <c r="BT2434" s="1" t="str">
        <f>HYPERLINK("https%3A%2F%2Fwww.webofscience.com%2Fwos%2Fwoscc%2Ffull-record%2FWOS:000369638700021","View Full Record in Web of Science")</f>
        <v>View Full Record in Web of Science</v>
      </c>
      <c r="BU2434" s="1"/>
      <c r="BV2434" s="1"/>
    </row>
    <row r="2435" spans="1:74">
      <c r="A2435" s="1" t="s">
        <v>72</v>
      </c>
      <c r="B2435" s="1" t="s">
        <v>38895</v>
      </c>
      <c r="C2435" s="1" t="s">
        <v>74</v>
      </c>
      <c r="D2435" s="1" t="s">
        <v>74</v>
      </c>
      <c r="E2435" s="1" t="s">
        <v>74</v>
      </c>
      <c r="F2435" s="1" t="s">
        <v>38896</v>
      </c>
      <c r="G2435" s="1" t="s">
        <v>74</v>
      </c>
      <c r="H2435" s="1" t="s">
        <v>74</v>
      </c>
      <c r="I2435" s="1" t="s">
        <v>38897</v>
      </c>
      <c r="J2435" s="1" t="s">
        <v>232</v>
      </c>
      <c r="K2435" s="1" t="s">
        <v>74</v>
      </c>
      <c r="L2435" s="1" t="s">
        <v>74</v>
      </c>
      <c r="M2435" s="1" t="s">
        <v>78</v>
      </c>
      <c r="N2435" s="1" t="s">
        <v>79</v>
      </c>
      <c r="O2435" s="1" t="s">
        <v>74</v>
      </c>
      <c r="P2435" s="1" t="s">
        <v>74</v>
      </c>
      <c r="Q2435" s="1" t="s">
        <v>74</v>
      </c>
      <c r="R2435" s="1" t="s">
        <v>74</v>
      </c>
      <c r="S2435" s="1" t="s">
        <v>74</v>
      </c>
      <c r="T2435" s="1" t="s">
        <v>38898</v>
      </c>
      <c r="U2435" s="1" t="s">
        <v>38899</v>
      </c>
      <c r="V2435" s="1" t="s">
        <v>38900</v>
      </c>
      <c r="W2435" s="1" t="s">
        <v>38901</v>
      </c>
      <c r="X2435" s="1" t="s">
        <v>3144</v>
      </c>
      <c r="Y2435" s="1" t="s">
        <v>38902</v>
      </c>
      <c r="Z2435" s="1" t="s">
        <v>38903</v>
      </c>
      <c r="AA2435" s="1" t="s">
        <v>74</v>
      </c>
      <c r="AB2435" s="1" t="s">
        <v>74</v>
      </c>
      <c r="AC2435" s="1" t="s">
        <v>74</v>
      </c>
      <c r="AD2435" s="1" t="s">
        <v>74</v>
      </c>
      <c r="AE2435" s="1" t="s">
        <v>74</v>
      </c>
      <c r="AF2435" s="1" t="s">
        <v>74</v>
      </c>
      <c r="AG2435" s="1">
        <v>102</v>
      </c>
      <c r="AH2435" s="1">
        <v>9</v>
      </c>
      <c r="AI2435" s="1">
        <v>9</v>
      </c>
      <c r="AJ2435" s="1">
        <v>0</v>
      </c>
      <c r="AK2435" s="1">
        <v>9</v>
      </c>
      <c r="AL2435" s="1" t="s">
        <v>136</v>
      </c>
      <c r="AM2435" s="1" t="s">
        <v>137</v>
      </c>
      <c r="AN2435" s="1" t="s">
        <v>138</v>
      </c>
      <c r="AO2435" s="1" t="s">
        <v>240</v>
      </c>
      <c r="AP2435" s="1" t="s">
        <v>241</v>
      </c>
      <c r="AQ2435" s="1" t="s">
        <v>74</v>
      </c>
      <c r="AR2435" s="1" t="s">
        <v>242</v>
      </c>
      <c r="AS2435" s="1" t="s">
        <v>243</v>
      </c>
      <c r="AT2435" s="1" t="s">
        <v>765</v>
      </c>
      <c r="AU2435" s="1">
        <v>2019</v>
      </c>
      <c r="AV2435" s="1">
        <v>144</v>
      </c>
      <c r="AW2435" s="1" t="s">
        <v>74</v>
      </c>
      <c r="AX2435" s="1" t="s">
        <v>74</v>
      </c>
      <c r="AY2435" s="1" t="s">
        <v>74</v>
      </c>
      <c r="AZ2435" s="1" t="s">
        <v>74</v>
      </c>
      <c r="BA2435" s="1" t="s">
        <v>74</v>
      </c>
      <c r="BB2435" s="1">
        <v>299</v>
      </c>
      <c r="BC2435" s="1">
        <v>308</v>
      </c>
      <c r="BD2435" s="1" t="s">
        <v>74</v>
      </c>
      <c r="BE2435" s="1" t="s">
        <v>38904</v>
      </c>
      <c r="BF2435" s="1" t="str">
        <f>HYPERLINK("http://dx.doi.org/10.1016/j.marpolbul.2019.04.075","http://dx.doi.org/10.1016/j.marpolbul.2019.04.075")</f>
        <v>http://dx.doi.org/10.1016/j.marpolbul.2019.04.075</v>
      </c>
      <c r="BG2435" s="1" t="s">
        <v>74</v>
      </c>
      <c r="BH2435" s="1" t="s">
        <v>74</v>
      </c>
      <c r="BI2435" s="1">
        <v>10</v>
      </c>
      <c r="BJ2435" s="1" t="s">
        <v>247</v>
      </c>
      <c r="BK2435" s="1" t="s">
        <v>96</v>
      </c>
      <c r="BL2435" s="1" t="s">
        <v>248</v>
      </c>
      <c r="BM2435" s="1" t="s">
        <v>38905</v>
      </c>
      <c r="BN2435" s="1">
        <v>31180000</v>
      </c>
      <c r="BO2435" s="1" t="s">
        <v>74</v>
      </c>
      <c r="BP2435" s="1" t="s">
        <v>74</v>
      </c>
      <c r="BQ2435" s="1" t="s">
        <v>74</v>
      </c>
      <c r="BR2435" s="1" t="s">
        <v>98</v>
      </c>
      <c r="BS2435" s="1" t="s">
        <v>38906</v>
      </c>
      <c r="BT2435" s="1" t="str">
        <f>HYPERLINK("https%3A%2F%2Fwww.webofscience.com%2Fwos%2Fwoscc%2Ffull-record%2FWOS:000472686700033","View Full Record in Web of Science")</f>
        <v>View Full Record in Web of Science</v>
      </c>
      <c r="BU2435" s="1"/>
      <c r="BV2435" s="1"/>
    </row>
    <row r="2436" spans="1:74">
      <c r="A2436" s="1" t="s">
        <v>72</v>
      </c>
      <c r="B2436" s="1" t="s">
        <v>38907</v>
      </c>
      <c r="C2436" s="1" t="s">
        <v>74</v>
      </c>
      <c r="D2436" s="1" t="s">
        <v>74</v>
      </c>
      <c r="E2436" s="1" t="s">
        <v>74</v>
      </c>
      <c r="F2436" s="1" t="s">
        <v>38907</v>
      </c>
      <c r="G2436" s="1" t="s">
        <v>74</v>
      </c>
      <c r="H2436" s="1" t="s">
        <v>74</v>
      </c>
      <c r="I2436" s="1" t="s">
        <v>38908</v>
      </c>
      <c r="J2436" s="1" t="s">
        <v>24791</v>
      </c>
      <c r="K2436" s="1" t="s">
        <v>74</v>
      </c>
      <c r="L2436" s="1" t="s">
        <v>74</v>
      </c>
      <c r="M2436" s="1" t="s">
        <v>78</v>
      </c>
      <c r="N2436" s="1" t="s">
        <v>79</v>
      </c>
      <c r="O2436" s="1" t="s">
        <v>74</v>
      </c>
      <c r="P2436" s="1" t="s">
        <v>74</v>
      </c>
      <c r="Q2436" s="1" t="s">
        <v>74</v>
      </c>
      <c r="R2436" s="1" t="s">
        <v>74</v>
      </c>
      <c r="S2436" s="1" t="s">
        <v>74</v>
      </c>
      <c r="T2436" s="1" t="s">
        <v>38909</v>
      </c>
      <c r="U2436" s="1" t="s">
        <v>38910</v>
      </c>
      <c r="V2436" s="1" t="s">
        <v>38911</v>
      </c>
      <c r="W2436" s="1" t="s">
        <v>38912</v>
      </c>
      <c r="X2436" s="1" t="s">
        <v>23981</v>
      </c>
      <c r="Y2436" s="1" t="s">
        <v>38913</v>
      </c>
      <c r="Z2436" s="1" t="s">
        <v>38914</v>
      </c>
      <c r="AA2436" s="1" t="s">
        <v>74</v>
      </c>
      <c r="AB2436" s="1" t="s">
        <v>74</v>
      </c>
      <c r="AC2436" s="1" t="s">
        <v>74</v>
      </c>
      <c r="AD2436" s="1" t="s">
        <v>74</v>
      </c>
      <c r="AE2436" s="1" t="s">
        <v>74</v>
      </c>
      <c r="AF2436" s="1" t="s">
        <v>74</v>
      </c>
      <c r="AG2436" s="1">
        <v>32</v>
      </c>
      <c r="AH2436" s="1">
        <v>62</v>
      </c>
      <c r="AI2436" s="1">
        <v>66</v>
      </c>
      <c r="AJ2436" s="1">
        <v>1</v>
      </c>
      <c r="AK2436" s="1">
        <v>33</v>
      </c>
      <c r="AL2436" s="1" t="s">
        <v>650</v>
      </c>
      <c r="AM2436" s="1" t="s">
        <v>651</v>
      </c>
      <c r="AN2436" s="1" t="s">
        <v>652</v>
      </c>
      <c r="AO2436" s="1" t="s">
        <v>24804</v>
      </c>
      <c r="AP2436" s="1" t="s">
        <v>24805</v>
      </c>
      <c r="AQ2436" s="1" t="s">
        <v>74</v>
      </c>
      <c r="AR2436" s="1" t="s">
        <v>24806</v>
      </c>
      <c r="AS2436" s="1" t="s">
        <v>24807</v>
      </c>
      <c r="AT2436" s="1" t="s">
        <v>14851</v>
      </c>
      <c r="AU2436" s="1">
        <v>2004</v>
      </c>
      <c r="AV2436" s="1">
        <v>522</v>
      </c>
      <c r="AW2436" s="1">
        <v>2</v>
      </c>
      <c r="AX2436" s="1" t="s">
        <v>74</v>
      </c>
      <c r="AY2436" s="1" t="s">
        <v>74</v>
      </c>
      <c r="AZ2436" s="1" t="s">
        <v>74</v>
      </c>
      <c r="BA2436" s="1" t="s">
        <v>74</v>
      </c>
      <c r="BB2436" s="1">
        <v>179</v>
      </c>
      <c r="BC2436" s="1">
        <v>187</v>
      </c>
      <c r="BD2436" s="1" t="s">
        <v>74</v>
      </c>
      <c r="BE2436" s="1" t="s">
        <v>38915</v>
      </c>
      <c r="BF2436" s="1" t="str">
        <f>HYPERLINK("http://dx.doi.org/10.1016/j.aca.2004.07.006","http://dx.doi.org/10.1016/j.aca.2004.07.006")</f>
        <v>http://dx.doi.org/10.1016/j.aca.2004.07.006</v>
      </c>
      <c r="BG2436" s="1" t="s">
        <v>74</v>
      </c>
      <c r="BH2436" s="1" t="s">
        <v>74</v>
      </c>
      <c r="BI2436" s="1">
        <v>9</v>
      </c>
      <c r="BJ2436" s="1" t="s">
        <v>1196</v>
      </c>
      <c r="BK2436" s="1" t="s">
        <v>96</v>
      </c>
      <c r="BL2436" s="1" t="s">
        <v>1197</v>
      </c>
      <c r="BM2436" s="1" t="s">
        <v>38916</v>
      </c>
      <c r="BN2436" s="1" t="s">
        <v>74</v>
      </c>
      <c r="BO2436" s="1" t="s">
        <v>74</v>
      </c>
      <c r="BP2436" s="1" t="s">
        <v>74</v>
      </c>
      <c r="BQ2436" s="1" t="s">
        <v>74</v>
      </c>
      <c r="BR2436" s="1" t="s">
        <v>98</v>
      </c>
      <c r="BS2436" s="1" t="s">
        <v>38917</v>
      </c>
      <c r="BT2436" s="1" t="str">
        <f>HYPERLINK("https%3A%2F%2Fwww.webofscience.com%2Fwos%2Fwoscc%2Ffull-record%2FWOS:000223869800006","View Full Record in Web of Science")</f>
        <v>View Full Record in Web of Science</v>
      </c>
      <c r="BU2436" s="1"/>
      <c r="BV2436" s="1"/>
    </row>
    <row r="2437" spans="1:74">
      <c r="A2437" s="1" t="s">
        <v>72</v>
      </c>
      <c r="B2437" s="1" t="s">
        <v>38918</v>
      </c>
      <c r="C2437" s="1" t="s">
        <v>74</v>
      </c>
      <c r="D2437" s="1" t="s">
        <v>74</v>
      </c>
      <c r="E2437" s="1" t="s">
        <v>74</v>
      </c>
      <c r="F2437" s="1" t="s">
        <v>38918</v>
      </c>
      <c r="G2437" s="1" t="s">
        <v>74</v>
      </c>
      <c r="H2437" s="1" t="s">
        <v>74</v>
      </c>
      <c r="I2437" s="1" t="s">
        <v>38919</v>
      </c>
      <c r="J2437" s="1" t="s">
        <v>38920</v>
      </c>
      <c r="K2437" s="1" t="s">
        <v>74</v>
      </c>
      <c r="L2437" s="1" t="s">
        <v>74</v>
      </c>
      <c r="M2437" s="1" t="s">
        <v>78</v>
      </c>
      <c r="N2437" s="1" t="s">
        <v>79</v>
      </c>
      <c r="O2437" s="1" t="s">
        <v>74</v>
      </c>
      <c r="P2437" s="1" t="s">
        <v>74</v>
      </c>
      <c r="Q2437" s="1" t="s">
        <v>74</v>
      </c>
      <c r="R2437" s="1" t="s">
        <v>74</v>
      </c>
      <c r="S2437" s="1" t="s">
        <v>74</v>
      </c>
      <c r="T2437" s="1" t="s">
        <v>74</v>
      </c>
      <c r="U2437" s="1" t="s">
        <v>38921</v>
      </c>
      <c r="V2437" s="1" t="s">
        <v>38922</v>
      </c>
      <c r="W2437" s="1" t="s">
        <v>38923</v>
      </c>
      <c r="X2437" s="1" t="s">
        <v>38924</v>
      </c>
      <c r="Y2437" s="1" t="s">
        <v>38925</v>
      </c>
      <c r="Z2437" s="1" t="s">
        <v>38926</v>
      </c>
      <c r="AA2437" s="1" t="s">
        <v>38927</v>
      </c>
      <c r="AB2437" s="1" t="s">
        <v>38928</v>
      </c>
      <c r="AC2437" s="1" t="s">
        <v>74</v>
      </c>
      <c r="AD2437" s="1" t="s">
        <v>74</v>
      </c>
      <c r="AE2437" s="1" t="s">
        <v>74</v>
      </c>
      <c r="AF2437" s="1" t="s">
        <v>74</v>
      </c>
      <c r="AG2437" s="1">
        <v>66</v>
      </c>
      <c r="AH2437" s="1">
        <v>13</v>
      </c>
      <c r="AI2437" s="1">
        <v>16</v>
      </c>
      <c r="AJ2437" s="1">
        <v>0</v>
      </c>
      <c r="AK2437" s="1">
        <v>12</v>
      </c>
      <c r="AL2437" s="1" t="s">
        <v>86</v>
      </c>
      <c r="AM2437" s="1" t="s">
        <v>87</v>
      </c>
      <c r="AN2437" s="1" t="s">
        <v>88</v>
      </c>
      <c r="AO2437" s="1" t="s">
        <v>38929</v>
      </c>
      <c r="AP2437" s="1" t="s">
        <v>38930</v>
      </c>
      <c r="AQ2437" s="1" t="s">
        <v>74</v>
      </c>
      <c r="AR2437" s="1" t="s">
        <v>38931</v>
      </c>
      <c r="AS2437" s="1" t="s">
        <v>38932</v>
      </c>
      <c r="AT2437" s="1" t="s">
        <v>119</v>
      </c>
      <c r="AU2437" s="1">
        <v>2004</v>
      </c>
      <c r="AV2437" s="1">
        <v>7</v>
      </c>
      <c r="AW2437" s="1" t="s">
        <v>74</v>
      </c>
      <c r="AX2437" s="1">
        <v>3</v>
      </c>
      <c r="AY2437" s="1" t="s">
        <v>74</v>
      </c>
      <c r="AZ2437" s="1" t="s">
        <v>74</v>
      </c>
      <c r="BA2437" s="1" t="s">
        <v>74</v>
      </c>
      <c r="BB2437" s="1">
        <v>257</v>
      </c>
      <c r="BC2437" s="1">
        <v>263</v>
      </c>
      <c r="BD2437" s="1" t="s">
        <v>74</v>
      </c>
      <c r="BE2437" s="1" t="s">
        <v>38933</v>
      </c>
      <c r="BF2437" s="1" t="str">
        <f>HYPERLINK("http://dx.doi.org/10.1017/S1367943004001416","http://dx.doi.org/10.1017/S1367943004001416")</f>
        <v>http://dx.doi.org/10.1017/S1367943004001416</v>
      </c>
      <c r="BG2437" s="1" t="s">
        <v>74</v>
      </c>
      <c r="BH2437" s="1" t="s">
        <v>74</v>
      </c>
      <c r="BI2437" s="1">
        <v>7</v>
      </c>
      <c r="BJ2437" s="1" t="s">
        <v>17252</v>
      </c>
      <c r="BK2437" s="1" t="s">
        <v>96</v>
      </c>
      <c r="BL2437" s="1" t="s">
        <v>4924</v>
      </c>
      <c r="BM2437" s="1" t="s">
        <v>38934</v>
      </c>
      <c r="BN2437" s="1" t="s">
        <v>74</v>
      </c>
      <c r="BO2437" s="1" t="s">
        <v>74</v>
      </c>
      <c r="BP2437" s="1" t="s">
        <v>74</v>
      </c>
      <c r="BQ2437" s="1" t="s">
        <v>74</v>
      </c>
      <c r="BR2437" s="1" t="s">
        <v>98</v>
      </c>
      <c r="BS2437" s="1" t="s">
        <v>38935</v>
      </c>
      <c r="BT2437" s="1" t="str">
        <f>HYPERLINK("https%3A%2F%2Fwww.webofscience.com%2Fwos%2Fwoscc%2Ffull-record%2FWOS:000224111100005","View Full Record in Web of Science")</f>
        <v>View Full Record in Web of Science</v>
      </c>
      <c r="BU2437" s="1"/>
      <c r="BV2437" s="1"/>
    </row>
    <row r="2438" spans="1:74">
      <c r="A2438" s="1" t="s">
        <v>72</v>
      </c>
      <c r="B2438" s="1" t="s">
        <v>38936</v>
      </c>
      <c r="C2438" s="1" t="s">
        <v>74</v>
      </c>
      <c r="D2438" s="1" t="s">
        <v>74</v>
      </c>
      <c r="E2438" s="1" t="s">
        <v>74</v>
      </c>
      <c r="F2438" s="1" t="s">
        <v>38937</v>
      </c>
      <c r="G2438" s="1" t="s">
        <v>74</v>
      </c>
      <c r="H2438" s="1" t="s">
        <v>74</v>
      </c>
      <c r="I2438" s="1" t="s">
        <v>38938</v>
      </c>
      <c r="J2438" s="1" t="s">
        <v>127</v>
      </c>
      <c r="K2438" s="1" t="s">
        <v>74</v>
      </c>
      <c r="L2438" s="1" t="s">
        <v>74</v>
      </c>
      <c r="M2438" s="1" t="s">
        <v>78</v>
      </c>
      <c r="N2438" s="1" t="s">
        <v>79</v>
      </c>
      <c r="O2438" s="1" t="s">
        <v>74</v>
      </c>
      <c r="P2438" s="1" t="s">
        <v>74</v>
      </c>
      <c r="Q2438" s="1" t="s">
        <v>74</v>
      </c>
      <c r="R2438" s="1" t="s">
        <v>74</v>
      </c>
      <c r="S2438" s="1" t="s">
        <v>74</v>
      </c>
      <c r="T2438" s="1" t="s">
        <v>38939</v>
      </c>
      <c r="U2438" s="1" t="s">
        <v>38940</v>
      </c>
      <c r="V2438" s="1" t="s">
        <v>38941</v>
      </c>
      <c r="W2438" s="1" t="s">
        <v>38942</v>
      </c>
      <c r="X2438" s="1" t="s">
        <v>38943</v>
      </c>
      <c r="Y2438" s="1" t="s">
        <v>38944</v>
      </c>
      <c r="Z2438" s="1" t="s">
        <v>38945</v>
      </c>
      <c r="AA2438" s="1" t="s">
        <v>38946</v>
      </c>
      <c r="AB2438" s="1" t="s">
        <v>38947</v>
      </c>
      <c r="AC2438" s="1" t="s">
        <v>74</v>
      </c>
      <c r="AD2438" s="1" t="s">
        <v>74</v>
      </c>
      <c r="AE2438" s="1" t="s">
        <v>74</v>
      </c>
      <c r="AF2438" s="1" t="s">
        <v>74</v>
      </c>
      <c r="AG2438" s="1">
        <v>42</v>
      </c>
      <c r="AH2438" s="1">
        <v>36</v>
      </c>
      <c r="AI2438" s="1">
        <v>38</v>
      </c>
      <c r="AJ2438" s="1">
        <v>2</v>
      </c>
      <c r="AK2438" s="1">
        <v>50</v>
      </c>
      <c r="AL2438" s="1" t="s">
        <v>136</v>
      </c>
      <c r="AM2438" s="1" t="s">
        <v>137</v>
      </c>
      <c r="AN2438" s="1" t="s">
        <v>138</v>
      </c>
      <c r="AO2438" s="1" t="s">
        <v>139</v>
      </c>
      <c r="AP2438" s="1" t="s">
        <v>140</v>
      </c>
      <c r="AQ2438" s="1" t="s">
        <v>74</v>
      </c>
      <c r="AR2438" s="1" t="s">
        <v>127</v>
      </c>
      <c r="AS2438" s="1" t="s">
        <v>141</v>
      </c>
      <c r="AT2438" s="1" t="s">
        <v>142</v>
      </c>
      <c r="AU2438" s="1">
        <v>2015</v>
      </c>
      <c r="AV2438" s="1">
        <v>128</v>
      </c>
      <c r="AW2438" s="1" t="s">
        <v>74</v>
      </c>
      <c r="AX2438" s="1" t="s">
        <v>74</v>
      </c>
      <c r="AY2438" s="1" t="s">
        <v>74</v>
      </c>
      <c r="AZ2438" s="1" t="s">
        <v>74</v>
      </c>
      <c r="BA2438" s="1" t="s">
        <v>74</v>
      </c>
      <c r="BB2438" s="1">
        <v>96</v>
      </c>
      <c r="BC2438" s="1">
        <v>102</v>
      </c>
      <c r="BD2438" s="1" t="s">
        <v>74</v>
      </c>
      <c r="BE2438" s="1" t="s">
        <v>38948</v>
      </c>
      <c r="BF2438" s="1" t="str">
        <f>HYPERLINK("http://dx.doi.org/10.1016/j.chemosphere.2014.12.092","http://dx.doi.org/10.1016/j.chemosphere.2014.12.092")</f>
        <v>http://dx.doi.org/10.1016/j.chemosphere.2014.12.092</v>
      </c>
      <c r="BG2438" s="1" t="s">
        <v>74</v>
      </c>
      <c r="BH2438" s="1" t="s">
        <v>74</v>
      </c>
      <c r="BI2438" s="1">
        <v>7</v>
      </c>
      <c r="BJ2438" s="1" t="s">
        <v>144</v>
      </c>
      <c r="BK2438" s="1" t="s">
        <v>96</v>
      </c>
      <c r="BL2438" s="1" t="s">
        <v>145</v>
      </c>
      <c r="BM2438" s="1" t="s">
        <v>38949</v>
      </c>
      <c r="BN2438" s="1">
        <v>25676616</v>
      </c>
      <c r="BO2438" s="1" t="s">
        <v>74</v>
      </c>
      <c r="BP2438" s="1" t="s">
        <v>74</v>
      </c>
      <c r="BQ2438" s="1" t="s">
        <v>74</v>
      </c>
      <c r="BR2438" s="1" t="s">
        <v>98</v>
      </c>
      <c r="BS2438" s="1" t="s">
        <v>38950</v>
      </c>
      <c r="BT2438" s="1" t="str">
        <f>HYPERLINK("https%3A%2F%2Fwww.webofscience.com%2Fwos%2Fwoscc%2Ffull-record%2FWOS:000352327900014","View Full Record in Web of Science")</f>
        <v>View Full Record in Web of Science</v>
      </c>
      <c r="BU2438" s="1"/>
      <c r="BV2438" s="1"/>
    </row>
    <row r="2439" spans="1:74">
      <c r="A2439" s="1" t="s">
        <v>72</v>
      </c>
      <c r="B2439" s="1" t="s">
        <v>38951</v>
      </c>
      <c r="C2439" s="1" t="s">
        <v>74</v>
      </c>
      <c r="D2439" s="1" t="s">
        <v>74</v>
      </c>
      <c r="E2439" s="1" t="s">
        <v>74</v>
      </c>
      <c r="F2439" s="1" t="s">
        <v>38952</v>
      </c>
      <c r="G2439" s="1" t="s">
        <v>74</v>
      </c>
      <c r="H2439" s="1" t="s">
        <v>74</v>
      </c>
      <c r="I2439" s="1" t="s">
        <v>38953</v>
      </c>
      <c r="J2439" s="1" t="s">
        <v>232</v>
      </c>
      <c r="K2439" s="1" t="s">
        <v>74</v>
      </c>
      <c r="L2439" s="1" t="s">
        <v>74</v>
      </c>
      <c r="M2439" s="1" t="s">
        <v>78</v>
      </c>
      <c r="N2439" s="1" t="s">
        <v>79</v>
      </c>
      <c r="O2439" s="1" t="s">
        <v>74</v>
      </c>
      <c r="P2439" s="1" t="s">
        <v>74</v>
      </c>
      <c r="Q2439" s="1" t="s">
        <v>74</v>
      </c>
      <c r="R2439" s="1" t="s">
        <v>74</v>
      </c>
      <c r="S2439" s="1" t="s">
        <v>74</v>
      </c>
      <c r="T2439" s="1" t="s">
        <v>38954</v>
      </c>
      <c r="U2439" s="1" t="s">
        <v>38955</v>
      </c>
      <c r="V2439" s="1" t="s">
        <v>38956</v>
      </c>
      <c r="W2439" s="1" t="s">
        <v>38957</v>
      </c>
      <c r="X2439" s="1" t="s">
        <v>38958</v>
      </c>
      <c r="Y2439" s="1" t="s">
        <v>38959</v>
      </c>
      <c r="Z2439" s="1" t="s">
        <v>38960</v>
      </c>
      <c r="AA2439" s="1" t="s">
        <v>38961</v>
      </c>
      <c r="AB2439" s="1" t="s">
        <v>38962</v>
      </c>
      <c r="AC2439" s="1" t="s">
        <v>74</v>
      </c>
      <c r="AD2439" s="1" t="s">
        <v>74</v>
      </c>
      <c r="AE2439" s="1" t="s">
        <v>74</v>
      </c>
      <c r="AF2439" s="1" t="s">
        <v>74</v>
      </c>
      <c r="AG2439" s="1">
        <v>57</v>
      </c>
      <c r="AH2439" s="1">
        <v>1</v>
      </c>
      <c r="AI2439" s="1">
        <v>2</v>
      </c>
      <c r="AJ2439" s="1">
        <v>7</v>
      </c>
      <c r="AK2439" s="1">
        <v>9</v>
      </c>
      <c r="AL2439" s="1" t="s">
        <v>136</v>
      </c>
      <c r="AM2439" s="1" t="s">
        <v>137</v>
      </c>
      <c r="AN2439" s="1" t="s">
        <v>138</v>
      </c>
      <c r="AO2439" s="1" t="s">
        <v>240</v>
      </c>
      <c r="AP2439" s="1" t="s">
        <v>241</v>
      </c>
      <c r="AQ2439" s="1" t="s">
        <v>74</v>
      </c>
      <c r="AR2439" s="1" t="s">
        <v>242</v>
      </c>
      <c r="AS2439" s="1" t="s">
        <v>243</v>
      </c>
      <c r="AT2439" s="1" t="s">
        <v>224</v>
      </c>
      <c r="AU2439" s="1">
        <v>2024</v>
      </c>
      <c r="AV2439" s="1">
        <v>199</v>
      </c>
      <c r="AW2439" s="1" t="s">
        <v>74</v>
      </c>
      <c r="AX2439" s="1" t="s">
        <v>74</v>
      </c>
      <c r="AY2439" s="1" t="s">
        <v>74</v>
      </c>
      <c r="AZ2439" s="1" t="s">
        <v>74</v>
      </c>
      <c r="BA2439" s="1" t="s">
        <v>74</v>
      </c>
      <c r="BB2439" s="1" t="s">
        <v>74</v>
      </c>
      <c r="BC2439" s="1" t="s">
        <v>74</v>
      </c>
      <c r="BD2439" s="1">
        <v>116009</v>
      </c>
      <c r="BE2439" s="1" t="s">
        <v>38963</v>
      </c>
      <c r="BF2439" s="1" t="str">
        <f>HYPERLINK("http://dx.doi.org/10.1016/j.marpolbul.2023.116009","http://dx.doi.org/10.1016/j.marpolbul.2023.116009")</f>
        <v>http://dx.doi.org/10.1016/j.marpolbul.2023.116009</v>
      </c>
      <c r="BG2439" s="1" t="s">
        <v>74</v>
      </c>
      <c r="BH2439" s="1" t="s">
        <v>5287</v>
      </c>
      <c r="BI2439" s="1">
        <v>8</v>
      </c>
      <c r="BJ2439" s="1" t="s">
        <v>247</v>
      </c>
      <c r="BK2439" s="1" t="s">
        <v>96</v>
      </c>
      <c r="BL2439" s="1" t="s">
        <v>248</v>
      </c>
      <c r="BM2439" s="1" t="s">
        <v>38964</v>
      </c>
      <c r="BN2439" s="1">
        <v>38217912</v>
      </c>
      <c r="BO2439" s="1" t="s">
        <v>810</v>
      </c>
      <c r="BP2439" s="1" t="s">
        <v>74</v>
      </c>
      <c r="BQ2439" s="1" t="s">
        <v>74</v>
      </c>
      <c r="BR2439" s="1" t="s">
        <v>98</v>
      </c>
      <c r="BS2439" s="1" t="s">
        <v>38965</v>
      </c>
      <c r="BT2439" s="1" t="str">
        <f>HYPERLINK("https%3A%2F%2Fwww.webofscience.com%2Fwos%2Fwoscc%2Ffull-record%2FWOS:001158542400001","View Full Record in Web of Science")</f>
        <v>View Full Record in Web of Science</v>
      </c>
      <c r="BU2439" s="1"/>
      <c r="BV2439" s="1"/>
    </row>
    <row r="2440" spans="1:74">
      <c r="A2440" s="1" t="s">
        <v>72</v>
      </c>
      <c r="B2440" s="1" t="s">
        <v>38966</v>
      </c>
      <c r="C2440" s="1" t="s">
        <v>74</v>
      </c>
      <c r="D2440" s="1" t="s">
        <v>74</v>
      </c>
      <c r="E2440" s="1" t="s">
        <v>74</v>
      </c>
      <c r="F2440" s="1" t="s">
        <v>38967</v>
      </c>
      <c r="G2440" s="1" t="s">
        <v>74</v>
      </c>
      <c r="H2440" s="1" t="s">
        <v>74</v>
      </c>
      <c r="I2440" s="1" t="s">
        <v>38968</v>
      </c>
      <c r="J2440" s="1" t="s">
        <v>909</v>
      </c>
      <c r="K2440" s="1" t="s">
        <v>74</v>
      </c>
      <c r="L2440" s="1" t="s">
        <v>74</v>
      </c>
      <c r="M2440" s="1" t="s">
        <v>78</v>
      </c>
      <c r="N2440" s="1" t="s">
        <v>79</v>
      </c>
      <c r="O2440" s="1" t="s">
        <v>74</v>
      </c>
      <c r="P2440" s="1" t="s">
        <v>74</v>
      </c>
      <c r="Q2440" s="1" t="s">
        <v>74</v>
      </c>
      <c r="R2440" s="1" t="s">
        <v>74</v>
      </c>
      <c r="S2440" s="1" t="s">
        <v>74</v>
      </c>
      <c r="T2440" s="1" t="s">
        <v>38969</v>
      </c>
      <c r="U2440" s="1" t="s">
        <v>38970</v>
      </c>
      <c r="V2440" s="1" t="s">
        <v>38971</v>
      </c>
      <c r="W2440" s="1" t="s">
        <v>38972</v>
      </c>
      <c r="X2440" s="1" t="s">
        <v>25649</v>
      </c>
      <c r="Y2440" s="1" t="s">
        <v>38973</v>
      </c>
      <c r="Z2440" s="1" t="s">
        <v>32756</v>
      </c>
      <c r="AA2440" s="1" t="s">
        <v>37251</v>
      </c>
      <c r="AB2440" s="1" t="s">
        <v>32758</v>
      </c>
      <c r="AC2440" s="1" t="s">
        <v>38974</v>
      </c>
      <c r="AD2440" s="1" t="s">
        <v>38975</v>
      </c>
      <c r="AE2440" s="1" t="s">
        <v>38976</v>
      </c>
      <c r="AF2440" s="1" t="s">
        <v>74</v>
      </c>
      <c r="AG2440" s="1">
        <v>86</v>
      </c>
      <c r="AH2440" s="1">
        <v>23</v>
      </c>
      <c r="AI2440" s="1">
        <v>28</v>
      </c>
      <c r="AJ2440" s="1">
        <v>3</v>
      </c>
      <c r="AK2440" s="1">
        <v>135</v>
      </c>
      <c r="AL2440" s="1" t="s">
        <v>650</v>
      </c>
      <c r="AM2440" s="1" t="s">
        <v>651</v>
      </c>
      <c r="AN2440" s="1" t="s">
        <v>652</v>
      </c>
      <c r="AO2440" s="1" t="s">
        <v>921</v>
      </c>
      <c r="AP2440" s="1" t="s">
        <v>922</v>
      </c>
      <c r="AQ2440" s="1" t="s">
        <v>74</v>
      </c>
      <c r="AR2440" s="1" t="s">
        <v>923</v>
      </c>
      <c r="AS2440" s="1" t="s">
        <v>924</v>
      </c>
      <c r="AT2440" s="1" t="s">
        <v>3752</v>
      </c>
      <c r="AU2440" s="1">
        <v>2019</v>
      </c>
      <c r="AV2440" s="1">
        <v>650</v>
      </c>
      <c r="AW2440" s="1" t="s">
        <v>74</v>
      </c>
      <c r="AX2440" s="1">
        <v>2</v>
      </c>
      <c r="AY2440" s="1" t="s">
        <v>74</v>
      </c>
      <c r="AZ2440" s="1" t="s">
        <v>74</v>
      </c>
      <c r="BA2440" s="1" t="s">
        <v>74</v>
      </c>
      <c r="BB2440" s="1">
        <v>2987</v>
      </c>
      <c r="BC2440" s="1">
        <v>2995</v>
      </c>
      <c r="BD2440" s="1" t="s">
        <v>74</v>
      </c>
      <c r="BE2440" s="1" t="s">
        <v>38977</v>
      </c>
      <c r="BF2440" s="1" t="str">
        <f>HYPERLINK("http://dx.doi.org/10.1016/j.scitotenv.2018.10.056","http://dx.doi.org/10.1016/j.scitotenv.2018.10.056")</f>
        <v>http://dx.doi.org/10.1016/j.scitotenv.2018.10.056</v>
      </c>
      <c r="BG2440" s="1" t="s">
        <v>74</v>
      </c>
      <c r="BH2440" s="1" t="s">
        <v>74</v>
      </c>
      <c r="BI2440" s="1">
        <v>9</v>
      </c>
      <c r="BJ2440" s="1" t="s">
        <v>144</v>
      </c>
      <c r="BK2440" s="1" t="s">
        <v>96</v>
      </c>
      <c r="BL2440" s="1" t="s">
        <v>145</v>
      </c>
      <c r="BM2440" s="1" t="s">
        <v>38978</v>
      </c>
      <c r="BN2440" s="1">
        <v>30373075</v>
      </c>
      <c r="BO2440" s="1" t="s">
        <v>74</v>
      </c>
      <c r="BP2440" s="1" t="s">
        <v>74</v>
      </c>
      <c r="BQ2440" s="1" t="s">
        <v>74</v>
      </c>
      <c r="BR2440" s="1" t="s">
        <v>98</v>
      </c>
      <c r="BS2440" s="1" t="s">
        <v>38979</v>
      </c>
      <c r="BT2440" s="1" t="str">
        <f>HYPERLINK("https%3A%2F%2Fwww.webofscience.com%2Fwos%2Fwoscc%2Ffull-record%2FWOS:000447871400126","View Full Record in Web of Science")</f>
        <v>View Full Record in Web of Science</v>
      </c>
      <c r="BU2440" s="1"/>
      <c r="BV2440" s="1"/>
    </row>
    <row r="2441" spans="1:74">
      <c r="A2441" s="1" t="s">
        <v>72</v>
      </c>
      <c r="B2441" s="1" t="s">
        <v>38980</v>
      </c>
      <c r="C2441" s="1" t="s">
        <v>74</v>
      </c>
      <c r="D2441" s="1" t="s">
        <v>74</v>
      </c>
      <c r="E2441" s="1" t="s">
        <v>74</v>
      </c>
      <c r="F2441" s="1" t="s">
        <v>38981</v>
      </c>
      <c r="G2441" s="1" t="s">
        <v>74</v>
      </c>
      <c r="H2441" s="1" t="s">
        <v>74</v>
      </c>
      <c r="I2441" s="1" t="s">
        <v>38982</v>
      </c>
      <c r="J2441" s="1" t="s">
        <v>38983</v>
      </c>
      <c r="K2441" s="1" t="s">
        <v>74</v>
      </c>
      <c r="L2441" s="1" t="s">
        <v>74</v>
      </c>
      <c r="M2441" s="1" t="s">
        <v>78</v>
      </c>
      <c r="N2441" s="1" t="s">
        <v>79</v>
      </c>
      <c r="O2441" s="1" t="s">
        <v>74</v>
      </c>
      <c r="P2441" s="1" t="s">
        <v>74</v>
      </c>
      <c r="Q2441" s="1" t="s">
        <v>74</v>
      </c>
      <c r="R2441" s="1" t="s">
        <v>74</v>
      </c>
      <c r="S2441" s="1" t="s">
        <v>74</v>
      </c>
      <c r="T2441" s="1" t="s">
        <v>38984</v>
      </c>
      <c r="U2441" s="1" t="s">
        <v>38985</v>
      </c>
      <c r="V2441" s="1" t="s">
        <v>38986</v>
      </c>
      <c r="W2441" s="1" t="s">
        <v>38987</v>
      </c>
      <c r="X2441" s="1" t="s">
        <v>38988</v>
      </c>
      <c r="Y2441" s="1" t="s">
        <v>38989</v>
      </c>
      <c r="Z2441" s="1" t="s">
        <v>38990</v>
      </c>
      <c r="AA2441" s="1" t="s">
        <v>38991</v>
      </c>
      <c r="AB2441" s="1" t="s">
        <v>38992</v>
      </c>
      <c r="AC2441" s="1" t="s">
        <v>74</v>
      </c>
      <c r="AD2441" s="1" t="s">
        <v>74</v>
      </c>
      <c r="AE2441" s="1" t="s">
        <v>74</v>
      </c>
      <c r="AF2441" s="1" t="s">
        <v>74</v>
      </c>
      <c r="AG2441" s="1">
        <v>37</v>
      </c>
      <c r="AH2441" s="1">
        <v>48</v>
      </c>
      <c r="AI2441" s="1">
        <v>54</v>
      </c>
      <c r="AJ2441" s="1">
        <v>1</v>
      </c>
      <c r="AK2441" s="1">
        <v>21</v>
      </c>
      <c r="AL2441" s="1" t="s">
        <v>217</v>
      </c>
      <c r="AM2441" s="1" t="s">
        <v>218</v>
      </c>
      <c r="AN2441" s="1" t="s">
        <v>219</v>
      </c>
      <c r="AO2441" s="1" t="s">
        <v>38993</v>
      </c>
      <c r="AP2441" s="1" t="s">
        <v>38994</v>
      </c>
      <c r="AQ2441" s="1" t="s">
        <v>74</v>
      </c>
      <c r="AR2441" s="1" t="s">
        <v>38995</v>
      </c>
      <c r="AS2441" s="1" t="s">
        <v>38996</v>
      </c>
      <c r="AT2441" s="1" t="s">
        <v>267</v>
      </c>
      <c r="AU2441" s="1">
        <v>2007</v>
      </c>
      <c r="AV2441" s="1">
        <v>389</v>
      </c>
      <c r="AW2441" s="1">
        <v>3</v>
      </c>
      <c r="AX2441" s="1" t="s">
        <v>74</v>
      </c>
      <c r="AY2441" s="1" t="s">
        <v>74</v>
      </c>
      <c r="AZ2441" s="1" t="s">
        <v>74</v>
      </c>
      <c r="BA2441" s="1" t="s">
        <v>74</v>
      </c>
      <c r="BB2441" s="1">
        <v>769</v>
      </c>
      <c r="BC2441" s="1">
        <v>776</v>
      </c>
      <c r="BD2441" s="1" t="s">
        <v>74</v>
      </c>
      <c r="BE2441" s="1" t="s">
        <v>38997</v>
      </c>
      <c r="BF2441" s="1" t="str">
        <f>HYPERLINK("http://dx.doi.org/10.1007/s00216-007-1420-y","http://dx.doi.org/10.1007/s00216-007-1420-y")</f>
        <v>http://dx.doi.org/10.1007/s00216-007-1420-y</v>
      </c>
      <c r="BG2441" s="1" t="s">
        <v>74</v>
      </c>
      <c r="BH2441" s="1" t="s">
        <v>74</v>
      </c>
      <c r="BI2441" s="1">
        <v>8</v>
      </c>
      <c r="BJ2441" s="1" t="s">
        <v>14155</v>
      </c>
      <c r="BK2441" s="1" t="s">
        <v>96</v>
      </c>
      <c r="BL2441" s="1" t="s">
        <v>2153</v>
      </c>
      <c r="BM2441" s="1" t="s">
        <v>38998</v>
      </c>
      <c r="BN2441" s="1">
        <v>17619864</v>
      </c>
      <c r="BO2441" s="1" t="s">
        <v>74</v>
      </c>
      <c r="BP2441" s="1" t="s">
        <v>74</v>
      </c>
      <c r="BQ2441" s="1" t="s">
        <v>74</v>
      </c>
      <c r="BR2441" s="1" t="s">
        <v>98</v>
      </c>
      <c r="BS2441" s="1" t="s">
        <v>38999</v>
      </c>
      <c r="BT2441" s="1" t="str">
        <f>HYPERLINK("https%3A%2F%2Fwww.webofscience.com%2Fwos%2Fwoscc%2Ffull-record%2FWOS:000249645800013","View Full Record in Web of Science")</f>
        <v>View Full Record in Web of Science</v>
      </c>
      <c r="BU2441" s="1"/>
      <c r="BV2441" s="1"/>
    </row>
    <row r="2442" spans="1:74">
      <c r="A2442" s="1" t="s">
        <v>72</v>
      </c>
      <c r="B2442" s="1" t="s">
        <v>39000</v>
      </c>
      <c r="C2442" s="1" t="s">
        <v>74</v>
      </c>
      <c r="D2442" s="1" t="s">
        <v>74</v>
      </c>
      <c r="E2442" s="1" t="s">
        <v>74</v>
      </c>
      <c r="F2442" s="1" t="s">
        <v>39001</v>
      </c>
      <c r="G2442" s="1" t="s">
        <v>74</v>
      </c>
      <c r="H2442" s="1" t="s">
        <v>74</v>
      </c>
      <c r="I2442" s="1" t="s">
        <v>39002</v>
      </c>
      <c r="J2442" s="1" t="s">
        <v>204</v>
      </c>
      <c r="K2442" s="1" t="s">
        <v>74</v>
      </c>
      <c r="L2442" s="1" t="s">
        <v>74</v>
      </c>
      <c r="M2442" s="1" t="s">
        <v>78</v>
      </c>
      <c r="N2442" s="1" t="s">
        <v>79</v>
      </c>
      <c r="O2442" s="1" t="s">
        <v>74</v>
      </c>
      <c r="P2442" s="1" t="s">
        <v>74</v>
      </c>
      <c r="Q2442" s="1" t="s">
        <v>74</v>
      </c>
      <c r="R2442" s="1" t="s">
        <v>74</v>
      </c>
      <c r="S2442" s="1" t="s">
        <v>74</v>
      </c>
      <c r="T2442" s="1" t="s">
        <v>39003</v>
      </c>
      <c r="U2442" s="1" t="s">
        <v>39004</v>
      </c>
      <c r="V2442" s="1" t="s">
        <v>39005</v>
      </c>
      <c r="W2442" s="1" t="s">
        <v>39006</v>
      </c>
      <c r="X2442" s="1" t="s">
        <v>39007</v>
      </c>
      <c r="Y2442" s="1" t="s">
        <v>39008</v>
      </c>
      <c r="Z2442" s="1" t="s">
        <v>39009</v>
      </c>
      <c r="AA2442" s="1" t="s">
        <v>39010</v>
      </c>
      <c r="AB2442" s="1" t="s">
        <v>39011</v>
      </c>
      <c r="AC2442" s="1" t="s">
        <v>39012</v>
      </c>
      <c r="AD2442" s="1" t="s">
        <v>39012</v>
      </c>
      <c r="AE2442" s="1" t="s">
        <v>39013</v>
      </c>
      <c r="AF2442" s="1" t="s">
        <v>74</v>
      </c>
      <c r="AG2442" s="1">
        <v>75</v>
      </c>
      <c r="AH2442" s="1">
        <v>72</v>
      </c>
      <c r="AI2442" s="1">
        <v>75</v>
      </c>
      <c r="AJ2442" s="1">
        <v>8</v>
      </c>
      <c r="AK2442" s="1">
        <v>142</v>
      </c>
      <c r="AL2442" s="1" t="s">
        <v>217</v>
      </c>
      <c r="AM2442" s="1" t="s">
        <v>218</v>
      </c>
      <c r="AN2442" s="1" t="s">
        <v>219</v>
      </c>
      <c r="AO2442" s="1" t="s">
        <v>220</v>
      </c>
      <c r="AP2442" s="1" t="s">
        <v>221</v>
      </c>
      <c r="AQ2442" s="1" t="s">
        <v>74</v>
      </c>
      <c r="AR2442" s="1" t="s">
        <v>222</v>
      </c>
      <c r="AS2442" s="1" t="s">
        <v>223</v>
      </c>
      <c r="AT2442" s="1" t="s">
        <v>1223</v>
      </c>
      <c r="AU2442" s="1">
        <v>2018</v>
      </c>
      <c r="AV2442" s="1">
        <v>25</v>
      </c>
      <c r="AW2442" s="1">
        <v>7</v>
      </c>
      <c r="AX2442" s="1" t="s">
        <v>74</v>
      </c>
      <c r="AY2442" s="1" t="s">
        <v>74</v>
      </c>
      <c r="AZ2442" s="1" t="s">
        <v>225</v>
      </c>
      <c r="BA2442" s="1" t="s">
        <v>74</v>
      </c>
      <c r="BB2442" s="1">
        <v>6122</v>
      </c>
      <c r="BC2442" s="1">
        <v>6134</v>
      </c>
      <c r="BD2442" s="1" t="s">
        <v>74</v>
      </c>
      <c r="BE2442" s="1" t="s">
        <v>39014</v>
      </c>
      <c r="BF2442" s="1" t="str">
        <f>HYPERLINK("http://dx.doi.org/10.1007/s11356-017-9306-9","http://dx.doi.org/10.1007/s11356-017-9306-9")</f>
        <v>http://dx.doi.org/10.1007/s11356-017-9306-9</v>
      </c>
      <c r="BG2442" s="1" t="s">
        <v>74</v>
      </c>
      <c r="BH2442" s="1" t="s">
        <v>74</v>
      </c>
      <c r="BI2442" s="1">
        <v>13</v>
      </c>
      <c r="BJ2442" s="1" t="s">
        <v>144</v>
      </c>
      <c r="BK2442" s="1" t="s">
        <v>96</v>
      </c>
      <c r="BL2442" s="1" t="s">
        <v>145</v>
      </c>
      <c r="BM2442" s="1" t="s">
        <v>16626</v>
      </c>
      <c r="BN2442" s="1">
        <v>28620858</v>
      </c>
      <c r="BO2442" s="1" t="s">
        <v>74</v>
      </c>
      <c r="BP2442" s="1" t="s">
        <v>74</v>
      </c>
      <c r="BQ2442" s="1" t="s">
        <v>74</v>
      </c>
      <c r="BR2442" s="1" t="s">
        <v>98</v>
      </c>
      <c r="BS2442" s="1" t="s">
        <v>39015</v>
      </c>
      <c r="BT2442" s="1" t="str">
        <f>HYPERLINK("https%3A%2F%2Fwww.webofscience.com%2Fwos%2Fwoscc%2Ffull-record%2FWOS:000426571000005","View Full Record in Web of Science")</f>
        <v>View Full Record in Web of Science</v>
      </c>
      <c r="BU2442" s="1"/>
      <c r="BV2442" s="1"/>
    </row>
    <row r="2443" spans="1:74">
      <c r="A2443" s="1" t="s">
        <v>72</v>
      </c>
      <c r="B2443" s="1" t="s">
        <v>39016</v>
      </c>
      <c r="C2443" s="1" t="s">
        <v>74</v>
      </c>
      <c r="D2443" s="1" t="s">
        <v>74</v>
      </c>
      <c r="E2443" s="1" t="s">
        <v>74</v>
      </c>
      <c r="F2443" s="1" t="s">
        <v>39017</v>
      </c>
      <c r="G2443" s="1" t="s">
        <v>74</v>
      </c>
      <c r="H2443" s="1" t="s">
        <v>74</v>
      </c>
      <c r="I2443" s="1" t="s">
        <v>39018</v>
      </c>
      <c r="J2443" s="1" t="s">
        <v>232</v>
      </c>
      <c r="K2443" s="1" t="s">
        <v>74</v>
      </c>
      <c r="L2443" s="1" t="s">
        <v>74</v>
      </c>
      <c r="M2443" s="1" t="s">
        <v>78</v>
      </c>
      <c r="N2443" s="1" t="s">
        <v>79</v>
      </c>
      <c r="O2443" s="1" t="s">
        <v>74</v>
      </c>
      <c r="P2443" s="1" t="s">
        <v>74</v>
      </c>
      <c r="Q2443" s="1" t="s">
        <v>74</v>
      </c>
      <c r="R2443" s="1" t="s">
        <v>74</v>
      </c>
      <c r="S2443" s="1" t="s">
        <v>74</v>
      </c>
      <c r="T2443" s="1" t="s">
        <v>39019</v>
      </c>
      <c r="U2443" s="1" t="s">
        <v>39020</v>
      </c>
      <c r="V2443" s="1" t="s">
        <v>39021</v>
      </c>
      <c r="W2443" s="1" t="s">
        <v>39022</v>
      </c>
      <c r="X2443" s="1" t="s">
        <v>39023</v>
      </c>
      <c r="Y2443" s="1" t="s">
        <v>39024</v>
      </c>
      <c r="Z2443" s="1" t="s">
        <v>39025</v>
      </c>
      <c r="AA2443" s="1" t="s">
        <v>39026</v>
      </c>
      <c r="AB2443" s="1" t="s">
        <v>39027</v>
      </c>
      <c r="AC2443" s="1" t="s">
        <v>39028</v>
      </c>
      <c r="AD2443" s="1" t="s">
        <v>39029</v>
      </c>
      <c r="AE2443" s="1" t="s">
        <v>39030</v>
      </c>
      <c r="AF2443" s="1" t="s">
        <v>74</v>
      </c>
      <c r="AG2443" s="1">
        <v>61</v>
      </c>
      <c r="AH2443" s="1">
        <v>13</v>
      </c>
      <c r="AI2443" s="1">
        <v>14</v>
      </c>
      <c r="AJ2443" s="1">
        <v>0</v>
      </c>
      <c r="AK2443" s="1">
        <v>29</v>
      </c>
      <c r="AL2443" s="1" t="s">
        <v>136</v>
      </c>
      <c r="AM2443" s="1" t="s">
        <v>137</v>
      </c>
      <c r="AN2443" s="1" t="s">
        <v>138</v>
      </c>
      <c r="AO2443" s="1" t="s">
        <v>240</v>
      </c>
      <c r="AP2443" s="1" t="s">
        <v>241</v>
      </c>
      <c r="AQ2443" s="1" t="s">
        <v>74</v>
      </c>
      <c r="AR2443" s="1" t="s">
        <v>242</v>
      </c>
      <c r="AS2443" s="1" t="s">
        <v>243</v>
      </c>
      <c r="AT2443" s="1" t="s">
        <v>1965</v>
      </c>
      <c r="AU2443" s="1">
        <v>2016</v>
      </c>
      <c r="AV2443" s="1">
        <v>113</v>
      </c>
      <c r="AW2443" s="1" t="s">
        <v>326</v>
      </c>
      <c r="AX2443" s="1" t="s">
        <v>74</v>
      </c>
      <c r="AY2443" s="1" t="s">
        <v>74</v>
      </c>
      <c r="AZ2443" s="1" t="s">
        <v>74</v>
      </c>
      <c r="BA2443" s="1" t="s">
        <v>74</v>
      </c>
      <c r="BB2443" s="1">
        <v>324</v>
      </c>
      <c r="BC2443" s="1">
        <v>331</v>
      </c>
      <c r="BD2443" s="1" t="s">
        <v>74</v>
      </c>
      <c r="BE2443" s="1" t="s">
        <v>39031</v>
      </c>
      <c r="BF2443" s="1" t="str">
        <f>HYPERLINK("http://dx.doi.org/10.1016/j.marpolbul.2016.10.007","http://dx.doi.org/10.1016/j.marpolbul.2016.10.007")</f>
        <v>http://dx.doi.org/10.1016/j.marpolbul.2016.10.007</v>
      </c>
      <c r="BG2443" s="1" t="s">
        <v>74</v>
      </c>
      <c r="BH2443" s="1" t="s">
        <v>74</v>
      </c>
      <c r="BI2443" s="1">
        <v>8</v>
      </c>
      <c r="BJ2443" s="1" t="s">
        <v>247</v>
      </c>
      <c r="BK2443" s="1" t="s">
        <v>96</v>
      </c>
      <c r="BL2443" s="1" t="s">
        <v>248</v>
      </c>
      <c r="BM2443" s="1" t="s">
        <v>39032</v>
      </c>
      <c r="BN2443" s="1">
        <v>27745743</v>
      </c>
      <c r="BO2443" s="1" t="s">
        <v>74</v>
      </c>
      <c r="BP2443" s="1" t="s">
        <v>74</v>
      </c>
      <c r="BQ2443" s="1" t="s">
        <v>74</v>
      </c>
      <c r="BR2443" s="1" t="s">
        <v>98</v>
      </c>
      <c r="BS2443" s="1" t="s">
        <v>39033</v>
      </c>
      <c r="BT2443" s="1" t="str">
        <f>HYPERLINK("https%3A%2F%2Fwww.webofscience.com%2Fwos%2Fwoscc%2Ffull-record%2FWOS:000390734600060","View Full Record in Web of Science")</f>
        <v>View Full Record in Web of Science</v>
      </c>
      <c r="BU2443" s="1"/>
      <c r="BV2443" s="1"/>
    </row>
    <row r="2444" spans="1:74">
      <c r="A2444" s="1" t="s">
        <v>72</v>
      </c>
      <c r="B2444" s="1" t="s">
        <v>39034</v>
      </c>
      <c r="C2444" s="1" t="s">
        <v>74</v>
      </c>
      <c r="D2444" s="1" t="s">
        <v>74</v>
      </c>
      <c r="E2444" s="1" t="s">
        <v>74</v>
      </c>
      <c r="F2444" s="1" t="s">
        <v>39035</v>
      </c>
      <c r="G2444" s="1" t="s">
        <v>74</v>
      </c>
      <c r="H2444" s="1" t="s">
        <v>74</v>
      </c>
      <c r="I2444" s="1" t="s">
        <v>39036</v>
      </c>
      <c r="J2444" s="1" t="s">
        <v>21710</v>
      </c>
      <c r="K2444" s="1" t="s">
        <v>74</v>
      </c>
      <c r="L2444" s="1" t="s">
        <v>74</v>
      </c>
      <c r="M2444" s="1" t="s">
        <v>78</v>
      </c>
      <c r="N2444" s="1" t="s">
        <v>79</v>
      </c>
      <c r="O2444" s="1" t="s">
        <v>74</v>
      </c>
      <c r="P2444" s="1" t="s">
        <v>74</v>
      </c>
      <c r="Q2444" s="1" t="s">
        <v>74</v>
      </c>
      <c r="R2444" s="1" t="s">
        <v>74</v>
      </c>
      <c r="S2444" s="1" t="s">
        <v>74</v>
      </c>
      <c r="T2444" s="1" t="s">
        <v>39037</v>
      </c>
      <c r="U2444" s="1" t="s">
        <v>39038</v>
      </c>
      <c r="V2444" s="1" t="s">
        <v>39039</v>
      </c>
      <c r="W2444" s="1" t="s">
        <v>39040</v>
      </c>
      <c r="X2444" s="1" t="s">
        <v>3553</v>
      </c>
      <c r="Y2444" s="1" t="s">
        <v>39041</v>
      </c>
      <c r="Z2444" s="1" t="s">
        <v>74</v>
      </c>
      <c r="AA2444" s="1" t="s">
        <v>39042</v>
      </c>
      <c r="AB2444" s="1" t="s">
        <v>8134</v>
      </c>
      <c r="AC2444" s="1" t="s">
        <v>39043</v>
      </c>
      <c r="AD2444" s="1" t="s">
        <v>32837</v>
      </c>
      <c r="AE2444" s="1" t="s">
        <v>39044</v>
      </c>
      <c r="AF2444" s="1" t="s">
        <v>74</v>
      </c>
      <c r="AG2444" s="1">
        <v>36</v>
      </c>
      <c r="AH2444" s="1">
        <v>7</v>
      </c>
      <c r="AI2444" s="1">
        <v>8</v>
      </c>
      <c r="AJ2444" s="1">
        <v>3</v>
      </c>
      <c r="AK2444" s="1">
        <v>19</v>
      </c>
      <c r="AL2444" s="1" t="s">
        <v>21721</v>
      </c>
      <c r="AM2444" s="1" t="s">
        <v>21722</v>
      </c>
      <c r="AN2444" s="1" t="s">
        <v>21723</v>
      </c>
      <c r="AO2444" s="1" t="s">
        <v>21724</v>
      </c>
      <c r="AP2444" s="1" t="s">
        <v>21725</v>
      </c>
      <c r="AQ2444" s="1" t="s">
        <v>74</v>
      </c>
      <c r="AR2444" s="1" t="s">
        <v>21726</v>
      </c>
      <c r="AS2444" s="1" t="s">
        <v>21727</v>
      </c>
      <c r="AT2444" s="1" t="s">
        <v>74</v>
      </c>
      <c r="AU2444" s="1">
        <v>2014</v>
      </c>
      <c r="AV2444" s="1">
        <v>66</v>
      </c>
      <c r="AW2444" s="1">
        <v>3</v>
      </c>
      <c r="AX2444" s="1" t="s">
        <v>74</v>
      </c>
      <c r="AY2444" s="1" t="s">
        <v>74</v>
      </c>
      <c r="AZ2444" s="1" t="s">
        <v>74</v>
      </c>
      <c r="BA2444" s="1" t="s">
        <v>74</v>
      </c>
      <c r="BB2444" s="1">
        <v>1205</v>
      </c>
      <c r="BC2444" s="1">
        <v>1215</v>
      </c>
      <c r="BD2444" s="1" t="s">
        <v>74</v>
      </c>
      <c r="BE2444" s="1" t="s">
        <v>39045</v>
      </c>
      <c r="BF2444" s="1" t="str">
        <f>HYPERLINK("http://dx.doi.org/10.2298/ABS1403205J","http://dx.doi.org/10.2298/ABS1403205J")</f>
        <v>http://dx.doi.org/10.2298/ABS1403205J</v>
      </c>
      <c r="BG2444" s="1" t="s">
        <v>74</v>
      </c>
      <c r="BH2444" s="1" t="s">
        <v>74</v>
      </c>
      <c r="BI2444" s="1">
        <v>11</v>
      </c>
      <c r="BJ2444" s="1" t="s">
        <v>171</v>
      </c>
      <c r="BK2444" s="1" t="s">
        <v>96</v>
      </c>
      <c r="BL2444" s="1" t="s">
        <v>173</v>
      </c>
      <c r="BM2444" s="1" t="s">
        <v>39046</v>
      </c>
      <c r="BN2444" s="1" t="s">
        <v>74</v>
      </c>
      <c r="BO2444" s="1" t="s">
        <v>5306</v>
      </c>
      <c r="BP2444" s="1" t="s">
        <v>74</v>
      </c>
      <c r="BQ2444" s="1" t="s">
        <v>74</v>
      </c>
      <c r="BR2444" s="1" t="s">
        <v>98</v>
      </c>
      <c r="BS2444" s="1" t="s">
        <v>39047</v>
      </c>
      <c r="BT2444" s="1" t="str">
        <f>HYPERLINK("https%3A%2F%2Fwww.webofscience.com%2Fwos%2Fwoscc%2Ffull-record%2FWOS:000346476900032","View Full Record in Web of Science")</f>
        <v>View Full Record in Web of Science</v>
      </c>
      <c r="BU2444" s="1"/>
      <c r="BV2444" s="1"/>
    </row>
    <row r="2445" spans="1:74">
      <c r="A2445" s="1" t="s">
        <v>72</v>
      </c>
      <c r="B2445" s="1" t="s">
        <v>39048</v>
      </c>
      <c r="C2445" s="1" t="s">
        <v>74</v>
      </c>
      <c r="D2445" s="1" t="s">
        <v>74</v>
      </c>
      <c r="E2445" s="1" t="s">
        <v>74</v>
      </c>
      <c r="F2445" s="1" t="s">
        <v>39049</v>
      </c>
      <c r="G2445" s="1" t="s">
        <v>74</v>
      </c>
      <c r="H2445" s="1" t="s">
        <v>74</v>
      </c>
      <c r="I2445" s="1" t="s">
        <v>39050</v>
      </c>
      <c r="J2445" s="1" t="s">
        <v>1948</v>
      </c>
      <c r="K2445" s="1" t="s">
        <v>74</v>
      </c>
      <c r="L2445" s="1" t="s">
        <v>74</v>
      </c>
      <c r="M2445" s="1" t="s">
        <v>78</v>
      </c>
      <c r="N2445" s="1" t="s">
        <v>79</v>
      </c>
      <c r="O2445" s="1" t="s">
        <v>74</v>
      </c>
      <c r="P2445" s="1" t="s">
        <v>74</v>
      </c>
      <c r="Q2445" s="1" t="s">
        <v>74</v>
      </c>
      <c r="R2445" s="1" t="s">
        <v>74</v>
      </c>
      <c r="S2445" s="1" t="s">
        <v>74</v>
      </c>
      <c r="T2445" s="1" t="s">
        <v>39051</v>
      </c>
      <c r="U2445" s="1" t="s">
        <v>39052</v>
      </c>
      <c r="V2445" s="1" t="s">
        <v>39053</v>
      </c>
      <c r="W2445" s="1" t="s">
        <v>39054</v>
      </c>
      <c r="X2445" s="1" t="s">
        <v>39055</v>
      </c>
      <c r="Y2445" s="1" t="s">
        <v>1954</v>
      </c>
      <c r="Z2445" s="1" t="s">
        <v>1955</v>
      </c>
      <c r="AA2445" s="1" t="s">
        <v>39056</v>
      </c>
      <c r="AB2445" s="1" t="s">
        <v>39057</v>
      </c>
      <c r="AC2445" s="1" t="s">
        <v>39058</v>
      </c>
      <c r="AD2445" s="1" t="s">
        <v>39059</v>
      </c>
      <c r="AE2445" s="1" t="s">
        <v>39060</v>
      </c>
      <c r="AF2445" s="1" t="s">
        <v>74</v>
      </c>
      <c r="AG2445" s="1">
        <v>45</v>
      </c>
      <c r="AH2445" s="1">
        <v>27</v>
      </c>
      <c r="AI2445" s="1">
        <v>27</v>
      </c>
      <c r="AJ2445" s="1">
        <v>0</v>
      </c>
      <c r="AK2445" s="1">
        <v>33</v>
      </c>
      <c r="AL2445" s="1" t="s">
        <v>430</v>
      </c>
      <c r="AM2445" s="1" t="s">
        <v>137</v>
      </c>
      <c r="AN2445" s="1" t="s">
        <v>431</v>
      </c>
      <c r="AO2445" s="1" t="s">
        <v>1961</v>
      </c>
      <c r="AP2445" s="1" t="s">
        <v>1962</v>
      </c>
      <c r="AQ2445" s="1" t="s">
        <v>74</v>
      </c>
      <c r="AR2445" s="1" t="s">
        <v>1963</v>
      </c>
      <c r="AS2445" s="1" t="s">
        <v>1964</v>
      </c>
      <c r="AT2445" s="1" t="s">
        <v>18988</v>
      </c>
      <c r="AU2445" s="1">
        <v>2016</v>
      </c>
      <c r="AV2445" s="1">
        <v>131</v>
      </c>
      <c r="AW2445" s="1" t="s">
        <v>74</v>
      </c>
      <c r="AX2445" s="1" t="s">
        <v>74</v>
      </c>
      <c r="AY2445" s="1" t="s">
        <v>74</v>
      </c>
      <c r="AZ2445" s="1" t="s">
        <v>74</v>
      </c>
      <c r="BA2445" s="1" t="s">
        <v>74</v>
      </c>
      <c r="BB2445" s="1">
        <v>485</v>
      </c>
      <c r="BC2445" s="1">
        <v>490</v>
      </c>
      <c r="BD2445" s="1" t="s">
        <v>74</v>
      </c>
      <c r="BE2445" s="1" t="s">
        <v>39061</v>
      </c>
      <c r="BF2445" s="1" t="str">
        <f>HYPERLINK("http://dx.doi.org/10.1016/j.jclepro.2016.04.154","http://dx.doi.org/10.1016/j.jclepro.2016.04.154")</f>
        <v>http://dx.doi.org/10.1016/j.jclepro.2016.04.154</v>
      </c>
      <c r="BG2445" s="1" t="s">
        <v>74</v>
      </c>
      <c r="BH2445" s="1" t="s">
        <v>74</v>
      </c>
      <c r="BI2445" s="1">
        <v>6</v>
      </c>
      <c r="BJ2445" s="1" t="s">
        <v>1967</v>
      </c>
      <c r="BK2445" s="1" t="s">
        <v>96</v>
      </c>
      <c r="BL2445" s="1" t="s">
        <v>1968</v>
      </c>
      <c r="BM2445" s="1" t="s">
        <v>39062</v>
      </c>
      <c r="BN2445" s="1" t="s">
        <v>74</v>
      </c>
      <c r="BO2445" s="1" t="s">
        <v>74</v>
      </c>
      <c r="BP2445" s="1" t="s">
        <v>74</v>
      </c>
      <c r="BQ2445" s="1" t="s">
        <v>74</v>
      </c>
      <c r="BR2445" s="1" t="s">
        <v>98</v>
      </c>
      <c r="BS2445" s="1" t="s">
        <v>39063</v>
      </c>
      <c r="BT2445" s="1" t="str">
        <f>HYPERLINK("https%3A%2F%2Fwww.webofscience.com%2Fwos%2Fwoscc%2Ffull-record%2FWOS:000379270900047","View Full Record in Web of Science")</f>
        <v>View Full Record in Web of Science</v>
      </c>
      <c r="BU2445" s="1"/>
      <c r="BV2445" s="1"/>
    </row>
    <row r="2446" spans="1:74">
      <c r="A2446" s="1" t="s">
        <v>72</v>
      </c>
      <c r="B2446" s="1" t="s">
        <v>39064</v>
      </c>
      <c r="C2446" s="1" t="s">
        <v>74</v>
      </c>
      <c r="D2446" s="1" t="s">
        <v>74</v>
      </c>
      <c r="E2446" s="1" t="s">
        <v>74</v>
      </c>
      <c r="F2446" s="1" t="s">
        <v>39064</v>
      </c>
      <c r="G2446" s="1" t="s">
        <v>74</v>
      </c>
      <c r="H2446" s="1" t="s">
        <v>74</v>
      </c>
      <c r="I2446" s="1" t="s">
        <v>39065</v>
      </c>
      <c r="J2446" s="1" t="s">
        <v>39066</v>
      </c>
      <c r="K2446" s="1" t="s">
        <v>74</v>
      </c>
      <c r="L2446" s="1" t="s">
        <v>74</v>
      </c>
      <c r="M2446" s="1" t="s">
        <v>78</v>
      </c>
      <c r="N2446" s="1" t="s">
        <v>79</v>
      </c>
      <c r="O2446" s="1" t="s">
        <v>74</v>
      </c>
      <c r="P2446" s="1" t="s">
        <v>74</v>
      </c>
      <c r="Q2446" s="1" t="s">
        <v>74</v>
      </c>
      <c r="R2446" s="1" t="s">
        <v>74</v>
      </c>
      <c r="S2446" s="1" t="s">
        <v>74</v>
      </c>
      <c r="T2446" s="1" t="s">
        <v>39067</v>
      </c>
      <c r="U2446" s="1" t="s">
        <v>39068</v>
      </c>
      <c r="V2446" s="1" t="s">
        <v>39069</v>
      </c>
      <c r="W2446" s="1" t="s">
        <v>39070</v>
      </c>
      <c r="X2446" s="1" t="s">
        <v>39071</v>
      </c>
      <c r="Y2446" s="1" t="s">
        <v>39072</v>
      </c>
      <c r="Z2446" s="1" t="s">
        <v>39073</v>
      </c>
      <c r="AA2446" s="1" t="s">
        <v>39074</v>
      </c>
      <c r="AB2446" s="1" t="s">
        <v>39075</v>
      </c>
      <c r="AC2446" s="1" t="s">
        <v>74</v>
      </c>
      <c r="AD2446" s="1" t="s">
        <v>74</v>
      </c>
      <c r="AE2446" s="1" t="s">
        <v>74</v>
      </c>
      <c r="AF2446" s="1" t="s">
        <v>74</v>
      </c>
      <c r="AG2446" s="1">
        <v>18</v>
      </c>
      <c r="AH2446" s="1">
        <v>78</v>
      </c>
      <c r="AI2446" s="1">
        <v>84</v>
      </c>
      <c r="AJ2446" s="1">
        <v>2</v>
      </c>
      <c r="AK2446" s="1">
        <v>58</v>
      </c>
      <c r="AL2446" s="1" t="s">
        <v>39076</v>
      </c>
      <c r="AM2446" s="1" t="s">
        <v>39077</v>
      </c>
      <c r="AN2446" s="1" t="s">
        <v>39078</v>
      </c>
      <c r="AO2446" s="1" t="s">
        <v>39079</v>
      </c>
      <c r="AP2446" s="1" t="s">
        <v>74</v>
      </c>
      <c r="AQ2446" s="1" t="s">
        <v>74</v>
      </c>
      <c r="AR2446" s="1" t="s">
        <v>39080</v>
      </c>
      <c r="AS2446" s="1" t="s">
        <v>39081</v>
      </c>
      <c r="AT2446" s="1" t="s">
        <v>74</v>
      </c>
      <c r="AU2446" s="1">
        <v>2004</v>
      </c>
      <c r="AV2446" s="1">
        <v>28</v>
      </c>
      <c r="AW2446" s="1">
        <v>3</v>
      </c>
      <c r="AX2446" s="1" t="s">
        <v>74</v>
      </c>
      <c r="AY2446" s="1" t="s">
        <v>74</v>
      </c>
      <c r="AZ2446" s="1" t="s">
        <v>74</v>
      </c>
      <c r="BA2446" s="1" t="s">
        <v>74</v>
      </c>
      <c r="BB2446" s="1">
        <v>411</v>
      </c>
      <c r="BC2446" s="1">
        <v>416</v>
      </c>
      <c r="BD2446" s="1" t="s">
        <v>74</v>
      </c>
      <c r="BE2446" s="1" t="s">
        <v>39082</v>
      </c>
      <c r="BF2446" s="1" t="str">
        <f>HYPERLINK("http://dx.doi.org/10.1111/j.1751-908X.2004.tb00759.x","http://dx.doi.org/10.1111/j.1751-908X.2004.tb00759.x")</f>
        <v>http://dx.doi.org/10.1111/j.1751-908X.2004.tb00759.x</v>
      </c>
      <c r="BG2446" s="1" t="s">
        <v>74</v>
      </c>
      <c r="BH2446" s="1" t="s">
        <v>74</v>
      </c>
      <c r="BI2446" s="1">
        <v>6</v>
      </c>
      <c r="BJ2446" s="1" t="s">
        <v>9863</v>
      </c>
      <c r="BK2446" s="1" t="s">
        <v>96</v>
      </c>
      <c r="BL2446" s="1" t="s">
        <v>9863</v>
      </c>
      <c r="BM2446" s="1" t="s">
        <v>39083</v>
      </c>
      <c r="BN2446" s="1" t="s">
        <v>74</v>
      </c>
      <c r="BO2446" s="1" t="s">
        <v>74</v>
      </c>
      <c r="BP2446" s="1" t="s">
        <v>74</v>
      </c>
      <c r="BQ2446" s="1" t="s">
        <v>74</v>
      </c>
      <c r="BR2446" s="1" t="s">
        <v>98</v>
      </c>
      <c r="BS2446" s="1" t="s">
        <v>39084</v>
      </c>
      <c r="BT2446" s="1" t="str">
        <f>HYPERLINK("https%3A%2F%2Fwww.webofscience.com%2Fwos%2Fwoscc%2Ffull-record%2FWOS:000228106400005","View Full Record in Web of Science")</f>
        <v>View Full Record in Web of Science</v>
      </c>
      <c r="BU2446" s="1"/>
      <c r="BV2446" s="1"/>
    </row>
    <row r="2447" spans="1:74">
      <c r="A2447" s="1" t="s">
        <v>72</v>
      </c>
      <c r="B2447" s="1" t="s">
        <v>39085</v>
      </c>
      <c r="C2447" s="1" t="s">
        <v>74</v>
      </c>
      <c r="D2447" s="1" t="s">
        <v>74</v>
      </c>
      <c r="E2447" s="1" t="s">
        <v>74</v>
      </c>
      <c r="F2447" s="1" t="s">
        <v>39086</v>
      </c>
      <c r="G2447" s="1" t="s">
        <v>74</v>
      </c>
      <c r="H2447" s="1" t="s">
        <v>74</v>
      </c>
      <c r="I2447" s="1" t="s">
        <v>39087</v>
      </c>
      <c r="J2447" s="1" t="s">
        <v>232</v>
      </c>
      <c r="K2447" s="1" t="s">
        <v>74</v>
      </c>
      <c r="L2447" s="1" t="s">
        <v>74</v>
      </c>
      <c r="M2447" s="1" t="s">
        <v>78</v>
      </c>
      <c r="N2447" s="1" t="s">
        <v>79</v>
      </c>
      <c r="O2447" s="1" t="s">
        <v>74</v>
      </c>
      <c r="P2447" s="1" t="s">
        <v>74</v>
      </c>
      <c r="Q2447" s="1" t="s">
        <v>74</v>
      </c>
      <c r="R2447" s="1" t="s">
        <v>74</v>
      </c>
      <c r="S2447" s="1" t="s">
        <v>74</v>
      </c>
      <c r="T2447" s="1" t="s">
        <v>39088</v>
      </c>
      <c r="U2447" s="1" t="s">
        <v>39089</v>
      </c>
      <c r="V2447" s="1" t="s">
        <v>39090</v>
      </c>
      <c r="W2447" s="1" t="s">
        <v>39091</v>
      </c>
      <c r="X2447" s="1" t="s">
        <v>39092</v>
      </c>
      <c r="Y2447" s="1" t="s">
        <v>39093</v>
      </c>
      <c r="Z2447" s="1" t="s">
        <v>39094</v>
      </c>
      <c r="AA2447" s="1" t="s">
        <v>39095</v>
      </c>
      <c r="AB2447" s="1" t="s">
        <v>74</v>
      </c>
      <c r="AC2447" s="1" t="s">
        <v>39096</v>
      </c>
      <c r="AD2447" s="1" t="s">
        <v>39097</v>
      </c>
      <c r="AE2447" s="1" t="s">
        <v>39098</v>
      </c>
      <c r="AF2447" s="1" t="s">
        <v>74</v>
      </c>
      <c r="AG2447" s="1">
        <v>111</v>
      </c>
      <c r="AH2447" s="1">
        <v>2</v>
      </c>
      <c r="AI2447" s="1">
        <v>2</v>
      </c>
      <c r="AJ2447" s="1">
        <v>16</v>
      </c>
      <c r="AK2447" s="1">
        <v>29</v>
      </c>
      <c r="AL2447" s="1" t="s">
        <v>136</v>
      </c>
      <c r="AM2447" s="1" t="s">
        <v>137</v>
      </c>
      <c r="AN2447" s="1" t="s">
        <v>138</v>
      </c>
      <c r="AO2447" s="1" t="s">
        <v>240</v>
      </c>
      <c r="AP2447" s="1" t="s">
        <v>241</v>
      </c>
      <c r="AQ2447" s="1" t="s">
        <v>74</v>
      </c>
      <c r="AR2447" s="1" t="s">
        <v>242</v>
      </c>
      <c r="AS2447" s="1" t="s">
        <v>243</v>
      </c>
      <c r="AT2447" s="1" t="s">
        <v>224</v>
      </c>
      <c r="AU2447" s="1">
        <v>2024</v>
      </c>
      <c r="AV2447" s="1">
        <v>199</v>
      </c>
      <c r="AW2447" s="1" t="s">
        <v>74</v>
      </c>
      <c r="AX2447" s="1" t="s">
        <v>74</v>
      </c>
      <c r="AY2447" s="1" t="s">
        <v>74</v>
      </c>
      <c r="AZ2447" s="1" t="s">
        <v>74</v>
      </c>
      <c r="BA2447" s="1" t="s">
        <v>74</v>
      </c>
      <c r="BB2447" s="1" t="s">
        <v>74</v>
      </c>
      <c r="BC2447" s="1" t="s">
        <v>74</v>
      </c>
      <c r="BD2447" s="1">
        <v>115979</v>
      </c>
      <c r="BE2447" s="1" t="s">
        <v>39099</v>
      </c>
      <c r="BF2447" s="1" t="str">
        <f>HYPERLINK("http://dx.doi.org/10.1016/j.marpolbul.2023.115979","http://dx.doi.org/10.1016/j.marpolbul.2023.115979")</f>
        <v>http://dx.doi.org/10.1016/j.marpolbul.2023.115979</v>
      </c>
      <c r="BG2447" s="1" t="s">
        <v>74</v>
      </c>
      <c r="BH2447" s="1" t="s">
        <v>5287</v>
      </c>
      <c r="BI2447" s="1">
        <v>12</v>
      </c>
      <c r="BJ2447" s="1" t="s">
        <v>247</v>
      </c>
      <c r="BK2447" s="1" t="s">
        <v>96</v>
      </c>
      <c r="BL2447" s="1" t="s">
        <v>248</v>
      </c>
      <c r="BM2447" s="1" t="s">
        <v>39100</v>
      </c>
      <c r="BN2447" s="1">
        <v>38171167</v>
      </c>
      <c r="BO2447" s="1" t="s">
        <v>74</v>
      </c>
      <c r="BP2447" s="1" t="s">
        <v>74</v>
      </c>
      <c r="BQ2447" s="1" t="s">
        <v>74</v>
      </c>
      <c r="BR2447" s="1" t="s">
        <v>98</v>
      </c>
      <c r="BS2447" s="1" t="s">
        <v>39101</v>
      </c>
      <c r="BT2447" s="1" t="str">
        <f>HYPERLINK("https%3A%2F%2Fwww.webofscience.com%2Fwos%2Fwoscc%2Ffull-record%2FWOS:001154586600001","View Full Record in Web of Science")</f>
        <v>View Full Record in Web of Science</v>
      </c>
      <c r="BU2447" s="1"/>
      <c r="BV2447" s="1"/>
    </row>
    <row r="2448" spans="1:74">
      <c r="A2448" s="1" t="s">
        <v>72</v>
      </c>
      <c r="B2448" s="1" t="s">
        <v>39102</v>
      </c>
      <c r="C2448" s="1" t="s">
        <v>74</v>
      </c>
      <c r="D2448" s="1" t="s">
        <v>74</v>
      </c>
      <c r="E2448" s="1" t="s">
        <v>74</v>
      </c>
      <c r="F2448" s="1" t="s">
        <v>39103</v>
      </c>
      <c r="G2448" s="1" t="s">
        <v>74</v>
      </c>
      <c r="H2448" s="1" t="s">
        <v>74</v>
      </c>
      <c r="I2448" s="1" t="s">
        <v>39104</v>
      </c>
      <c r="J2448" s="1" t="s">
        <v>421</v>
      </c>
      <c r="K2448" s="1" t="s">
        <v>74</v>
      </c>
      <c r="L2448" s="1" t="s">
        <v>74</v>
      </c>
      <c r="M2448" s="1" t="s">
        <v>78</v>
      </c>
      <c r="N2448" s="1" t="s">
        <v>79</v>
      </c>
      <c r="O2448" s="1" t="s">
        <v>74</v>
      </c>
      <c r="P2448" s="1" t="s">
        <v>74</v>
      </c>
      <c r="Q2448" s="1" t="s">
        <v>74</v>
      </c>
      <c r="R2448" s="1" t="s">
        <v>74</v>
      </c>
      <c r="S2448" s="1" t="s">
        <v>74</v>
      </c>
      <c r="T2448" s="1" t="s">
        <v>39105</v>
      </c>
      <c r="U2448" s="1" t="s">
        <v>39106</v>
      </c>
      <c r="V2448" s="1" t="s">
        <v>39107</v>
      </c>
      <c r="W2448" s="1" t="s">
        <v>39108</v>
      </c>
      <c r="X2448" s="1" t="s">
        <v>39109</v>
      </c>
      <c r="Y2448" s="1" t="s">
        <v>39110</v>
      </c>
      <c r="Z2448" s="1" t="s">
        <v>9288</v>
      </c>
      <c r="AA2448" s="1" t="s">
        <v>39111</v>
      </c>
      <c r="AB2448" s="1" t="s">
        <v>39112</v>
      </c>
      <c r="AC2448" s="1" t="s">
        <v>39113</v>
      </c>
      <c r="AD2448" s="1" t="s">
        <v>39114</v>
      </c>
      <c r="AE2448" s="1" t="s">
        <v>39115</v>
      </c>
      <c r="AF2448" s="1" t="s">
        <v>74</v>
      </c>
      <c r="AG2448" s="1">
        <v>139</v>
      </c>
      <c r="AH2448" s="1">
        <v>37</v>
      </c>
      <c r="AI2448" s="1">
        <v>37</v>
      </c>
      <c r="AJ2448" s="1">
        <v>2</v>
      </c>
      <c r="AK2448" s="1">
        <v>64</v>
      </c>
      <c r="AL2448" s="1" t="s">
        <v>430</v>
      </c>
      <c r="AM2448" s="1" t="s">
        <v>137</v>
      </c>
      <c r="AN2448" s="1" t="s">
        <v>431</v>
      </c>
      <c r="AO2448" s="1" t="s">
        <v>432</v>
      </c>
      <c r="AP2448" s="1" t="s">
        <v>1394</v>
      </c>
      <c r="AQ2448" s="1" t="s">
        <v>74</v>
      </c>
      <c r="AR2448" s="1" t="s">
        <v>433</v>
      </c>
      <c r="AS2448" s="1" t="s">
        <v>434</v>
      </c>
      <c r="AT2448" s="1" t="s">
        <v>93</v>
      </c>
      <c r="AU2448" s="1">
        <v>2018</v>
      </c>
      <c r="AV2448" s="1">
        <v>235</v>
      </c>
      <c r="AW2448" s="1" t="s">
        <v>74</v>
      </c>
      <c r="AX2448" s="1" t="s">
        <v>74</v>
      </c>
      <c r="AY2448" s="1" t="s">
        <v>74</v>
      </c>
      <c r="AZ2448" s="1" t="s">
        <v>74</v>
      </c>
      <c r="BA2448" s="1" t="s">
        <v>74</v>
      </c>
      <c r="BB2448" s="1">
        <v>857</v>
      </c>
      <c r="BC2448" s="1">
        <v>868</v>
      </c>
      <c r="BD2448" s="1" t="s">
        <v>74</v>
      </c>
      <c r="BE2448" s="1" t="s">
        <v>39116</v>
      </c>
      <c r="BF2448" s="1" t="str">
        <f>HYPERLINK("http://dx.doi.org/10.1016/j.envpol.2017.12.121","http://dx.doi.org/10.1016/j.envpol.2017.12.121")</f>
        <v>http://dx.doi.org/10.1016/j.envpol.2017.12.121</v>
      </c>
      <c r="BG2448" s="1" t="s">
        <v>74</v>
      </c>
      <c r="BH2448" s="1" t="s">
        <v>74</v>
      </c>
      <c r="BI2448" s="1">
        <v>12</v>
      </c>
      <c r="BJ2448" s="1" t="s">
        <v>144</v>
      </c>
      <c r="BK2448" s="1" t="s">
        <v>96</v>
      </c>
      <c r="BL2448" s="1" t="s">
        <v>145</v>
      </c>
      <c r="BM2448" s="1" t="s">
        <v>39117</v>
      </c>
      <c r="BN2448" s="1">
        <v>29353802</v>
      </c>
      <c r="BO2448" s="1" t="s">
        <v>370</v>
      </c>
      <c r="BP2448" s="1" t="s">
        <v>74</v>
      </c>
      <c r="BQ2448" s="1" t="s">
        <v>74</v>
      </c>
      <c r="BR2448" s="1" t="s">
        <v>98</v>
      </c>
      <c r="BS2448" s="1" t="s">
        <v>39118</v>
      </c>
      <c r="BT2448" s="1" t="str">
        <f>HYPERLINK("https%3A%2F%2Fwww.webofscience.com%2Fwos%2Fwoscc%2Ffull-record%2FWOS:000428100200090","View Full Record in Web of Science")</f>
        <v>View Full Record in Web of Science</v>
      </c>
      <c r="BU2448" s="1"/>
      <c r="BV2448" s="1"/>
    </row>
    <row r="2449" spans="1:74">
      <c r="A2449" s="1" t="s">
        <v>72</v>
      </c>
      <c r="B2449" s="1" t="s">
        <v>39119</v>
      </c>
      <c r="C2449" s="1" t="s">
        <v>74</v>
      </c>
      <c r="D2449" s="1" t="s">
        <v>74</v>
      </c>
      <c r="E2449" s="1" t="s">
        <v>74</v>
      </c>
      <c r="F2449" s="1" t="s">
        <v>39120</v>
      </c>
      <c r="G2449" s="1" t="s">
        <v>74</v>
      </c>
      <c r="H2449" s="1" t="s">
        <v>74</v>
      </c>
      <c r="I2449" s="1" t="s">
        <v>39121</v>
      </c>
      <c r="J2449" s="1" t="s">
        <v>24961</v>
      </c>
      <c r="K2449" s="1" t="s">
        <v>74</v>
      </c>
      <c r="L2449" s="1" t="s">
        <v>74</v>
      </c>
      <c r="M2449" s="1" t="s">
        <v>78</v>
      </c>
      <c r="N2449" s="1" t="s">
        <v>79</v>
      </c>
      <c r="O2449" s="1" t="s">
        <v>74</v>
      </c>
      <c r="P2449" s="1" t="s">
        <v>74</v>
      </c>
      <c r="Q2449" s="1" t="s">
        <v>74</v>
      </c>
      <c r="R2449" s="1" t="s">
        <v>74</v>
      </c>
      <c r="S2449" s="1" t="s">
        <v>74</v>
      </c>
      <c r="T2449" s="1" t="s">
        <v>39122</v>
      </c>
      <c r="U2449" s="1" t="s">
        <v>39123</v>
      </c>
      <c r="V2449" s="1" t="s">
        <v>39124</v>
      </c>
      <c r="W2449" s="1" t="s">
        <v>39125</v>
      </c>
      <c r="X2449" s="1" t="s">
        <v>39126</v>
      </c>
      <c r="Y2449" s="1" t="s">
        <v>39127</v>
      </c>
      <c r="Z2449" s="1" t="s">
        <v>39128</v>
      </c>
      <c r="AA2449" s="1" t="s">
        <v>74</v>
      </c>
      <c r="AB2449" s="1" t="s">
        <v>39129</v>
      </c>
      <c r="AC2449" s="1" t="s">
        <v>74</v>
      </c>
      <c r="AD2449" s="1" t="s">
        <v>74</v>
      </c>
      <c r="AE2449" s="1" t="s">
        <v>74</v>
      </c>
      <c r="AF2449" s="1" t="s">
        <v>74</v>
      </c>
      <c r="AG2449" s="1">
        <v>66</v>
      </c>
      <c r="AH2449" s="1">
        <v>10</v>
      </c>
      <c r="AI2449" s="1">
        <v>12</v>
      </c>
      <c r="AJ2449" s="1">
        <v>0</v>
      </c>
      <c r="AK2449" s="1">
        <v>28</v>
      </c>
      <c r="AL2449" s="1" t="s">
        <v>39130</v>
      </c>
      <c r="AM2449" s="1" t="s">
        <v>39131</v>
      </c>
      <c r="AN2449" s="1" t="s">
        <v>39132</v>
      </c>
      <c r="AO2449" s="1" t="s">
        <v>24972</v>
      </c>
      <c r="AP2449" s="1" t="s">
        <v>39133</v>
      </c>
      <c r="AQ2449" s="1" t="s">
        <v>74</v>
      </c>
      <c r="AR2449" s="1" t="s">
        <v>24973</v>
      </c>
      <c r="AS2449" s="1" t="s">
        <v>24974</v>
      </c>
      <c r="AT2449" s="1" t="s">
        <v>74</v>
      </c>
      <c r="AU2449" s="1">
        <v>2011</v>
      </c>
      <c r="AV2449" s="1">
        <v>70</v>
      </c>
      <c r="AW2449" s="1">
        <v>2</v>
      </c>
      <c r="AX2449" s="1" t="s">
        <v>74</v>
      </c>
      <c r="AY2449" s="1" t="s">
        <v>74</v>
      </c>
      <c r="AZ2449" s="1" t="s">
        <v>74</v>
      </c>
      <c r="BA2449" s="1" t="s">
        <v>74</v>
      </c>
      <c r="BB2449" s="1">
        <v>283</v>
      </c>
      <c r="BC2449" s="1">
        <v>292</v>
      </c>
      <c r="BD2449" s="1" t="s">
        <v>74</v>
      </c>
      <c r="BE2449" s="1" t="s">
        <v>39134</v>
      </c>
      <c r="BF2449" s="1" t="str">
        <f>HYPERLINK("http://dx.doi.org/10.4081/jlimnol.2011.283","http://dx.doi.org/10.4081/jlimnol.2011.283")</f>
        <v>http://dx.doi.org/10.4081/jlimnol.2011.283</v>
      </c>
      <c r="BG2449" s="1" t="s">
        <v>74</v>
      </c>
      <c r="BH2449" s="1" t="s">
        <v>74</v>
      </c>
      <c r="BI2449" s="1">
        <v>10</v>
      </c>
      <c r="BJ2449" s="1" t="s">
        <v>14249</v>
      </c>
      <c r="BK2449" s="1" t="s">
        <v>96</v>
      </c>
      <c r="BL2449" s="1" t="s">
        <v>680</v>
      </c>
      <c r="BM2449" s="1" t="s">
        <v>39135</v>
      </c>
      <c r="BN2449" s="1" t="s">
        <v>74</v>
      </c>
      <c r="BO2449" s="1" t="s">
        <v>12986</v>
      </c>
      <c r="BP2449" s="1" t="s">
        <v>74</v>
      </c>
      <c r="BQ2449" s="1" t="s">
        <v>74</v>
      </c>
      <c r="BR2449" s="1" t="s">
        <v>98</v>
      </c>
      <c r="BS2449" s="1" t="s">
        <v>39136</v>
      </c>
      <c r="BT2449" s="1" t="str">
        <f>HYPERLINK("https%3A%2F%2Fwww.webofscience.com%2Fwos%2Fwoscc%2Ffull-record%2FWOS:000294320400014","View Full Record in Web of Science")</f>
        <v>View Full Record in Web of Science</v>
      </c>
      <c r="BU2449" s="1"/>
      <c r="BV2449" s="1"/>
    </row>
    <row r="2450" spans="1:74">
      <c r="A2450" s="1" t="s">
        <v>72</v>
      </c>
      <c r="B2450" s="1" t="s">
        <v>39137</v>
      </c>
      <c r="C2450" s="1" t="s">
        <v>74</v>
      </c>
      <c r="D2450" s="1" t="s">
        <v>74</v>
      </c>
      <c r="E2450" s="1" t="s">
        <v>74</v>
      </c>
      <c r="F2450" s="1" t="s">
        <v>39137</v>
      </c>
      <c r="G2450" s="1" t="s">
        <v>74</v>
      </c>
      <c r="H2450" s="1" t="s">
        <v>74</v>
      </c>
      <c r="I2450" s="1" t="s">
        <v>39138</v>
      </c>
      <c r="J2450" s="1" t="s">
        <v>421</v>
      </c>
      <c r="K2450" s="1" t="s">
        <v>74</v>
      </c>
      <c r="L2450" s="1" t="s">
        <v>74</v>
      </c>
      <c r="M2450" s="1" t="s">
        <v>78</v>
      </c>
      <c r="N2450" s="1" t="s">
        <v>79</v>
      </c>
      <c r="O2450" s="1" t="s">
        <v>74</v>
      </c>
      <c r="P2450" s="1" t="s">
        <v>74</v>
      </c>
      <c r="Q2450" s="1" t="s">
        <v>74</v>
      </c>
      <c r="R2450" s="1" t="s">
        <v>74</v>
      </c>
      <c r="S2450" s="1" t="s">
        <v>74</v>
      </c>
      <c r="T2450" s="1" t="s">
        <v>39139</v>
      </c>
      <c r="U2450" s="1" t="s">
        <v>39140</v>
      </c>
      <c r="V2450" s="1" t="s">
        <v>39141</v>
      </c>
      <c r="W2450" s="1" t="s">
        <v>39142</v>
      </c>
      <c r="X2450" s="1" t="s">
        <v>12390</v>
      </c>
      <c r="Y2450" s="1" t="s">
        <v>39143</v>
      </c>
      <c r="Z2450" s="1" t="s">
        <v>74</v>
      </c>
      <c r="AA2450" s="1" t="s">
        <v>12635</v>
      </c>
      <c r="AB2450" s="1" t="s">
        <v>74</v>
      </c>
      <c r="AC2450" s="1" t="s">
        <v>74</v>
      </c>
      <c r="AD2450" s="1" t="s">
        <v>74</v>
      </c>
      <c r="AE2450" s="1" t="s">
        <v>74</v>
      </c>
      <c r="AF2450" s="1" t="s">
        <v>74</v>
      </c>
      <c r="AG2450" s="1">
        <v>44</v>
      </c>
      <c r="AH2450" s="1">
        <v>53</v>
      </c>
      <c r="AI2450" s="1">
        <v>62</v>
      </c>
      <c r="AJ2450" s="1">
        <v>1</v>
      </c>
      <c r="AK2450" s="1">
        <v>13</v>
      </c>
      <c r="AL2450" s="1" t="s">
        <v>430</v>
      </c>
      <c r="AM2450" s="1" t="s">
        <v>137</v>
      </c>
      <c r="AN2450" s="1" t="s">
        <v>431</v>
      </c>
      <c r="AO2450" s="1" t="s">
        <v>432</v>
      </c>
      <c r="AP2450" s="1" t="s">
        <v>74</v>
      </c>
      <c r="AQ2450" s="1" t="s">
        <v>74</v>
      </c>
      <c r="AR2450" s="1" t="s">
        <v>433</v>
      </c>
      <c r="AS2450" s="1" t="s">
        <v>434</v>
      </c>
      <c r="AT2450" s="1" t="s">
        <v>74</v>
      </c>
      <c r="AU2450" s="1">
        <v>2000</v>
      </c>
      <c r="AV2450" s="1">
        <v>107</v>
      </c>
      <c r="AW2450" s="1">
        <v>3</v>
      </c>
      <c r="AX2450" s="1" t="s">
        <v>74</v>
      </c>
      <c r="AY2450" s="1" t="s">
        <v>74</v>
      </c>
      <c r="AZ2450" s="1" t="s">
        <v>74</v>
      </c>
      <c r="BA2450" s="1" t="s">
        <v>74</v>
      </c>
      <c r="BB2450" s="1">
        <v>437</v>
      </c>
      <c r="BC2450" s="1">
        <v>444</v>
      </c>
      <c r="BD2450" s="1" t="s">
        <v>74</v>
      </c>
      <c r="BE2450" s="1" t="s">
        <v>39144</v>
      </c>
      <c r="BF2450" s="1" t="str">
        <f>HYPERLINK("http://dx.doi.org/10.1016/S0269-7491(99)00157-8","http://dx.doi.org/10.1016/S0269-7491(99)00157-8")</f>
        <v>http://dx.doi.org/10.1016/S0269-7491(99)00157-8</v>
      </c>
      <c r="BG2450" s="1" t="s">
        <v>74</v>
      </c>
      <c r="BH2450" s="1" t="s">
        <v>74</v>
      </c>
      <c r="BI2450" s="1">
        <v>8</v>
      </c>
      <c r="BJ2450" s="1" t="s">
        <v>144</v>
      </c>
      <c r="BK2450" s="1" t="s">
        <v>96</v>
      </c>
      <c r="BL2450" s="1" t="s">
        <v>145</v>
      </c>
      <c r="BM2450" s="1" t="s">
        <v>39145</v>
      </c>
      <c r="BN2450" s="1">
        <v>15092989</v>
      </c>
      <c r="BO2450" s="1" t="s">
        <v>74</v>
      </c>
      <c r="BP2450" s="1" t="s">
        <v>74</v>
      </c>
      <c r="BQ2450" s="1" t="s">
        <v>74</v>
      </c>
      <c r="BR2450" s="1" t="s">
        <v>98</v>
      </c>
      <c r="BS2450" s="1" t="s">
        <v>39146</v>
      </c>
      <c r="BT2450" s="1" t="str">
        <f>HYPERLINK("https%3A%2F%2Fwww.webofscience.com%2Fwos%2Fwoscc%2Ffull-record%2FWOS:000085489200018","View Full Record in Web of Science")</f>
        <v>View Full Record in Web of Science</v>
      </c>
      <c r="BU2450" s="1"/>
      <c r="BV2450" s="1"/>
    </row>
    <row r="2451" spans="1:74">
      <c r="A2451" s="1" t="s">
        <v>72</v>
      </c>
      <c r="B2451" s="1" t="s">
        <v>39147</v>
      </c>
      <c r="C2451" s="1" t="s">
        <v>74</v>
      </c>
      <c r="D2451" s="1" t="s">
        <v>74</v>
      </c>
      <c r="E2451" s="1" t="s">
        <v>74</v>
      </c>
      <c r="F2451" s="1" t="s">
        <v>39148</v>
      </c>
      <c r="G2451" s="1" t="s">
        <v>74</v>
      </c>
      <c r="H2451" s="1" t="s">
        <v>74</v>
      </c>
      <c r="I2451" s="1" t="s">
        <v>39149</v>
      </c>
      <c r="J2451" s="1" t="s">
        <v>10129</v>
      </c>
      <c r="K2451" s="1" t="s">
        <v>74</v>
      </c>
      <c r="L2451" s="1" t="s">
        <v>74</v>
      </c>
      <c r="M2451" s="1" t="s">
        <v>78</v>
      </c>
      <c r="N2451" s="1" t="s">
        <v>79</v>
      </c>
      <c r="O2451" s="1" t="s">
        <v>74</v>
      </c>
      <c r="P2451" s="1" t="s">
        <v>74</v>
      </c>
      <c r="Q2451" s="1" t="s">
        <v>74</v>
      </c>
      <c r="R2451" s="1" t="s">
        <v>74</v>
      </c>
      <c r="S2451" s="1" t="s">
        <v>74</v>
      </c>
      <c r="T2451" s="1" t="s">
        <v>39150</v>
      </c>
      <c r="U2451" s="1" t="s">
        <v>39151</v>
      </c>
      <c r="V2451" s="1" t="s">
        <v>39152</v>
      </c>
      <c r="W2451" s="1" t="s">
        <v>39153</v>
      </c>
      <c r="X2451" s="1" t="s">
        <v>39154</v>
      </c>
      <c r="Y2451" s="1" t="s">
        <v>39155</v>
      </c>
      <c r="Z2451" s="1" t="s">
        <v>4276</v>
      </c>
      <c r="AA2451" s="1" t="s">
        <v>39156</v>
      </c>
      <c r="AB2451" s="1" t="s">
        <v>39157</v>
      </c>
      <c r="AC2451" s="1" t="s">
        <v>39158</v>
      </c>
      <c r="AD2451" s="1" t="s">
        <v>39159</v>
      </c>
      <c r="AE2451" s="1" t="s">
        <v>39160</v>
      </c>
      <c r="AF2451" s="1" t="s">
        <v>74</v>
      </c>
      <c r="AG2451" s="1">
        <v>59</v>
      </c>
      <c r="AH2451" s="1">
        <v>7</v>
      </c>
      <c r="AI2451" s="1">
        <v>7</v>
      </c>
      <c r="AJ2451" s="1">
        <v>4</v>
      </c>
      <c r="AK2451" s="1">
        <v>36</v>
      </c>
      <c r="AL2451" s="1" t="s">
        <v>3362</v>
      </c>
      <c r="AM2451" s="1" t="s">
        <v>3363</v>
      </c>
      <c r="AN2451" s="1" t="s">
        <v>3364</v>
      </c>
      <c r="AO2451" s="1" t="s">
        <v>10137</v>
      </c>
      <c r="AP2451" s="1" t="s">
        <v>10138</v>
      </c>
      <c r="AQ2451" s="1" t="s">
        <v>74</v>
      </c>
      <c r="AR2451" s="1" t="s">
        <v>10139</v>
      </c>
      <c r="AS2451" s="1" t="s">
        <v>10140</v>
      </c>
      <c r="AT2451" s="1" t="s">
        <v>197</v>
      </c>
      <c r="AU2451" s="1">
        <v>2022</v>
      </c>
      <c r="AV2451" s="1">
        <v>215</v>
      </c>
      <c r="AW2451" s="1" t="s">
        <v>74</v>
      </c>
      <c r="AX2451" s="1">
        <v>1</v>
      </c>
      <c r="AY2451" s="1" t="s">
        <v>74</v>
      </c>
      <c r="AZ2451" s="1" t="s">
        <v>74</v>
      </c>
      <c r="BA2451" s="1" t="s">
        <v>74</v>
      </c>
      <c r="BB2451" s="1" t="s">
        <v>74</v>
      </c>
      <c r="BC2451" s="1" t="s">
        <v>74</v>
      </c>
      <c r="BD2451" s="1">
        <v>114327</v>
      </c>
      <c r="BE2451" s="1" t="s">
        <v>39161</v>
      </c>
      <c r="BF2451" s="1" t="str">
        <f>HYPERLINK("http://dx.doi.org/10.1016/j.envres.2022.114327","http://dx.doi.org/10.1016/j.envres.2022.114327")</f>
        <v>http://dx.doi.org/10.1016/j.envres.2022.114327</v>
      </c>
      <c r="BG2451" s="1" t="s">
        <v>74</v>
      </c>
      <c r="BH2451" s="1" t="s">
        <v>4632</v>
      </c>
      <c r="BI2451" s="1">
        <v>8</v>
      </c>
      <c r="BJ2451" s="1" t="s">
        <v>10142</v>
      </c>
      <c r="BK2451" s="1" t="s">
        <v>96</v>
      </c>
      <c r="BL2451" s="1" t="s">
        <v>10143</v>
      </c>
      <c r="BM2451" s="1" t="s">
        <v>39162</v>
      </c>
      <c r="BN2451" s="1">
        <v>36100099</v>
      </c>
      <c r="BO2451" s="1" t="s">
        <v>74</v>
      </c>
      <c r="BP2451" s="1" t="s">
        <v>74</v>
      </c>
      <c r="BQ2451" s="1" t="s">
        <v>74</v>
      </c>
      <c r="BR2451" s="1" t="s">
        <v>98</v>
      </c>
      <c r="BS2451" s="1" t="s">
        <v>39163</v>
      </c>
      <c r="BT2451" s="1" t="str">
        <f>HYPERLINK("https%3A%2F%2Fwww.webofscience.com%2Fwos%2Fwoscc%2Ffull-record%2FWOS:000874923000003","View Full Record in Web of Science")</f>
        <v>View Full Record in Web of Science</v>
      </c>
      <c r="BU2451" s="1"/>
      <c r="BV2451" s="1"/>
    </row>
    <row r="2452" spans="1:74">
      <c r="A2452" s="1" t="s">
        <v>72</v>
      </c>
      <c r="B2452" s="1" t="s">
        <v>39164</v>
      </c>
      <c r="C2452" s="1" t="s">
        <v>74</v>
      </c>
      <c r="D2452" s="1" t="s">
        <v>74</v>
      </c>
      <c r="E2452" s="1" t="s">
        <v>74</v>
      </c>
      <c r="F2452" s="1" t="s">
        <v>39165</v>
      </c>
      <c r="G2452" s="1" t="s">
        <v>74</v>
      </c>
      <c r="H2452" s="1" t="s">
        <v>74</v>
      </c>
      <c r="I2452" s="1" t="s">
        <v>39166</v>
      </c>
      <c r="J2452" s="1" t="s">
        <v>909</v>
      </c>
      <c r="K2452" s="1" t="s">
        <v>74</v>
      </c>
      <c r="L2452" s="1" t="s">
        <v>74</v>
      </c>
      <c r="M2452" s="1" t="s">
        <v>78</v>
      </c>
      <c r="N2452" s="1" t="s">
        <v>79</v>
      </c>
      <c r="O2452" s="1" t="s">
        <v>74</v>
      </c>
      <c r="P2452" s="1" t="s">
        <v>74</v>
      </c>
      <c r="Q2452" s="1" t="s">
        <v>74</v>
      </c>
      <c r="R2452" s="1" t="s">
        <v>74</v>
      </c>
      <c r="S2452" s="1" t="s">
        <v>74</v>
      </c>
      <c r="T2452" s="1" t="s">
        <v>39167</v>
      </c>
      <c r="U2452" s="1" t="s">
        <v>39168</v>
      </c>
      <c r="V2452" s="1" t="s">
        <v>39169</v>
      </c>
      <c r="W2452" s="1" t="s">
        <v>39170</v>
      </c>
      <c r="X2452" s="1" t="s">
        <v>39171</v>
      </c>
      <c r="Y2452" s="1" t="s">
        <v>39172</v>
      </c>
      <c r="Z2452" s="1" t="s">
        <v>39173</v>
      </c>
      <c r="AA2452" s="1" t="s">
        <v>39174</v>
      </c>
      <c r="AB2452" s="1" t="s">
        <v>39175</v>
      </c>
      <c r="AC2452" s="1" t="s">
        <v>39176</v>
      </c>
      <c r="AD2452" s="1" t="s">
        <v>31139</v>
      </c>
      <c r="AE2452" s="1" t="s">
        <v>39177</v>
      </c>
      <c r="AF2452" s="1" t="s">
        <v>74</v>
      </c>
      <c r="AG2452" s="1">
        <v>43</v>
      </c>
      <c r="AH2452" s="1">
        <v>41</v>
      </c>
      <c r="AI2452" s="1">
        <v>43</v>
      </c>
      <c r="AJ2452" s="1">
        <v>1</v>
      </c>
      <c r="AK2452" s="1">
        <v>41</v>
      </c>
      <c r="AL2452" s="1" t="s">
        <v>919</v>
      </c>
      <c r="AM2452" s="1" t="s">
        <v>651</v>
      </c>
      <c r="AN2452" s="1" t="s">
        <v>920</v>
      </c>
      <c r="AO2452" s="1" t="s">
        <v>921</v>
      </c>
      <c r="AP2452" s="1" t="s">
        <v>922</v>
      </c>
      <c r="AQ2452" s="1" t="s">
        <v>74</v>
      </c>
      <c r="AR2452" s="1" t="s">
        <v>923</v>
      </c>
      <c r="AS2452" s="1" t="s">
        <v>924</v>
      </c>
      <c r="AT2452" s="1" t="s">
        <v>546</v>
      </c>
      <c r="AU2452" s="1">
        <v>2016</v>
      </c>
      <c r="AV2452" s="1">
        <v>571</v>
      </c>
      <c r="AW2452" s="1" t="s">
        <v>74</v>
      </c>
      <c r="AX2452" s="1" t="s">
        <v>74</v>
      </c>
      <c r="AY2452" s="1" t="s">
        <v>74</v>
      </c>
      <c r="AZ2452" s="1" t="s">
        <v>74</v>
      </c>
      <c r="BA2452" s="1" t="s">
        <v>74</v>
      </c>
      <c r="BB2452" s="1">
        <v>955</v>
      </c>
      <c r="BC2452" s="1">
        <v>962</v>
      </c>
      <c r="BD2452" s="1" t="s">
        <v>74</v>
      </c>
      <c r="BE2452" s="1" t="s">
        <v>39178</v>
      </c>
      <c r="BF2452" s="1" t="str">
        <f>HYPERLINK("http://dx.doi.org/10.1016/j.scitotenv.2016.07.082","http://dx.doi.org/10.1016/j.scitotenv.2016.07.082")</f>
        <v>http://dx.doi.org/10.1016/j.scitotenv.2016.07.082</v>
      </c>
      <c r="BG2452" s="1" t="s">
        <v>74</v>
      </c>
      <c r="BH2452" s="1" t="s">
        <v>74</v>
      </c>
      <c r="BI2452" s="1">
        <v>8</v>
      </c>
      <c r="BJ2452" s="1" t="s">
        <v>144</v>
      </c>
      <c r="BK2452" s="1" t="s">
        <v>96</v>
      </c>
      <c r="BL2452" s="1" t="s">
        <v>145</v>
      </c>
      <c r="BM2452" s="1" t="s">
        <v>39179</v>
      </c>
      <c r="BN2452" s="1">
        <v>27453141</v>
      </c>
      <c r="BO2452" s="1" t="s">
        <v>74</v>
      </c>
      <c r="BP2452" s="1" t="s">
        <v>74</v>
      </c>
      <c r="BQ2452" s="1" t="s">
        <v>74</v>
      </c>
      <c r="BR2452" s="1" t="s">
        <v>98</v>
      </c>
      <c r="BS2452" s="1" t="s">
        <v>39180</v>
      </c>
      <c r="BT2452" s="1" t="str">
        <f>HYPERLINK("https%3A%2F%2Fwww.webofscience.com%2Fwos%2Fwoscc%2Ffull-record%2FWOS:000383930400096","View Full Record in Web of Science")</f>
        <v>View Full Record in Web of Science</v>
      </c>
      <c r="BU2452" s="1"/>
      <c r="BV2452" s="1"/>
    </row>
    <row r="2453" spans="1:74">
      <c r="A2453" s="1" t="s">
        <v>72</v>
      </c>
      <c r="B2453" s="1" t="s">
        <v>39181</v>
      </c>
      <c r="C2453" s="1" t="s">
        <v>74</v>
      </c>
      <c r="D2453" s="1" t="s">
        <v>74</v>
      </c>
      <c r="E2453" s="1" t="s">
        <v>74</v>
      </c>
      <c r="F2453" s="1" t="s">
        <v>39182</v>
      </c>
      <c r="G2453" s="1" t="s">
        <v>74</v>
      </c>
      <c r="H2453" s="1" t="s">
        <v>74</v>
      </c>
      <c r="I2453" s="1" t="s">
        <v>39183</v>
      </c>
      <c r="J2453" s="1" t="s">
        <v>4463</v>
      </c>
      <c r="K2453" s="1" t="s">
        <v>74</v>
      </c>
      <c r="L2453" s="1" t="s">
        <v>74</v>
      </c>
      <c r="M2453" s="1" t="s">
        <v>78</v>
      </c>
      <c r="N2453" s="1" t="s">
        <v>79</v>
      </c>
      <c r="O2453" s="1" t="s">
        <v>74</v>
      </c>
      <c r="P2453" s="1" t="s">
        <v>74</v>
      </c>
      <c r="Q2453" s="1" t="s">
        <v>74</v>
      </c>
      <c r="R2453" s="1" t="s">
        <v>74</v>
      </c>
      <c r="S2453" s="1" t="s">
        <v>74</v>
      </c>
      <c r="T2453" s="1" t="s">
        <v>74</v>
      </c>
      <c r="U2453" s="1" t="s">
        <v>39184</v>
      </c>
      <c r="V2453" s="1" t="s">
        <v>39185</v>
      </c>
      <c r="W2453" s="1" t="s">
        <v>39186</v>
      </c>
      <c r="X2453" s="1" t="s">
        <v>39187</v>
      </c>
      <c r="Y2453" s="1" t="s">
        <v>39188</v>
      </c>
      <c r="Z2453" s="1" t="s">
        <v>1483</v>
      </c>
      <c r="AA2453" s="1" t="s">
        <v>25832</v>
      </c>
      <c r="AB2453" s="1" t="s">
        <v>39189</v>
      </c>
      <c r="AC2453" s="1" t="s">
        <v>39190</v>
      </c>
      <c r="AD2453" s="1" t="s">
        <v>39191</v>
      </c>
      <c r="AE2453" s="1" t="s">
        <v>39192</v>
      </c>
      <c r="AF2453" s="1" t="s">
        <v>74</v>
      </c>
      <c r="AG2453" s="1">
        <v>33</v>
      </c>
      <c r="AH2453" s="1">
        <v>16</v>
      </c>
      <c r="AI2453" s="1">
        <v>18</v>
      </c>
      <c r="AJ2453" s="1">
        <v>2</v>
      </c>
      <c r="AK2453" s="1">
        <v>56</v>
      </c>
      <c r="AL2453" s="1" t="s">
        <v>4471</v>
      </c>
      <c r="AM2453" s="1" t="s">
        <v>4472</v>
      </c>
      <c r="AN2453" s="1" t="s">
        <v>4473</v>
      </c>
      <c r="AO2453" s="1" t="s">
        <v>4474</v>
      </c>
      <c r="AP2453" s="1" t="s">
        <v>4475</v>
      </c>
      <c r="AQ2453" s="1" t="s">
        <v>74</v>
      </c>
      <c r="AR2453" s="1" t="s">
        <v>4476</v>
      </c>
      <c r="AS2453" s="1" t="s">
        <v>4477</v>
      </c>
      <c r="AT2453" s="1" t="s">
        <v>35743</v>
      </c>
      <c r="AU2453" s="1">
        <v>2019</v>
      </c>
      <c r="AV2453" s="1">
        <v>53</v>
      </c>
      <c r="AW2453" s="1">
        <v>11</v>
      </c>
      <c r="AX2453" s="1" t="s">
        <v>74</v>
      </c>
      <c r="AY2453" s="1" t="s">
        <v>74</v>
      </c>
      <c r="AZ2453" s="1" t="s">
        <v>74</v>
      </c>
      <c r="BA2453" s="1" t="s">
        <v>74</v>
      </c>
      <c r="BB2453" s="1">
        <v>6402</v>
      </c>
      <c r="BC2453" s="1">
        <v>6409</v>
      </c>
      <c r="BD2453" s="1" t="s">
        <v>74</v>
      </c>
      <c r="BE2453" s="1" t="s">
        <v>39193</v>
      </c>
      <c r="BF2453" s="1" t="str">
        <f>HYPERLINK("http://dx.doi.org/10.1021/acs.est.8b06855","http://dx.doi.org/10.1021/acs.est.8b06855")</f>
        <v>http://dx.doi.org/10.1021/acs.est.8b06855</v>
      </c>
      <c r="BG2453" s="1" t="s">
        <v>74</v>
      </c>
      <c r="BH2453" s="1" t="s">
        <v>74</v>
      </c>
      <c r="BI2453" s="1">
        <v>8</v>
      </c>
      <c r="BJ2453" s="1" t="s">
        <v>415</v>
      </c>
      <c r="BK2453" s="1" t="s">
        <v>96</v>
      </c>
      <c r="BL2453" s="1" t="s">
        <v>416</v>
      </c>
      <c r="BM2453" s="1" t="s">
        <v>39194</v>
      </c>
      <c r="BN2453" s="1">
        <v>30883099</v>
      </c>
      <c r="BO2453" s="1" t="s">
        <v>74</v>
      </c>
      <c r="BP2453" s="1" t="s">
        <v>74</v>
      </c>
      <c r="BQ2453" s="1" t="s">
        <v>74</v>
      </c>
      <c r="BR2453" s="1" t="s">
        <v>98</v>
      </c>
      <c r="BS2453" s="1" t="s">
        <v>39195</v>
      </c>
      <c r="BT2453" s="1" t="str">
        <f>HYPERLINK("https%3A%2F%2Fwww.webofscience.com%2Fwos%2Fwoscc%2Ffull-record%2FWOS:000470793900030","View Full Record in Web of Science")</f>
        <v>View Full Record in Web of Science</v>
      </c>
      <c r="BU2453" s="1"/>
      <c r="BV2453" s="1"/>
    </row>
    <row r="2454" spans="1:74">
      <c r="A2454" s="1" t="s">
        <v>72</v>
      </c>
      <c r="B2454" s="1" t="s">
        <v>39196</v>
      </c>
      <c r="C2454" s="1" t="s">
        <v>74</v>
      </c>
      <c r="D2454" s="1" t="s">
        <v>74</v>
      </c>
      <c r="E2454" s="1" t="s">
        <v>74</v>
      </c>
      <c r="F2454" s="1" t="s">
        <v>39197</v>
      </c>
      <c r="G2454" s="1" t="s">
        <v>74</v>
      </c>
      <c r="H2454" s="1" t="s">
        <v>74</v>
      </c>
      <c r="I2454" s="1" t="s">
        <v>39198</v>
      </c>
      <c r="J2454" s="1" t="s">
        <v>179</v>
      </c>
      <c r="K2454" s="1" t="s">
        <v>74</v>
      </c>
      <c r="L2454" s="1" t="s">
        <v>74</v>
      </c>
      <c r="M2454" s="1" t="s">
        <v>78</v>
      </c>
      <c r="N2454" s="1" t="s">
        <v>79</v>
      </c>
      <c r="O2454" s="1" t="s">
        <v>74</v>
      </c>
      <c r="P2454" s="1" t="s">
        <v>74</v>
      </c>
      <c r="Q2454" s="1" t="s">
        <v>74</v>
      </c>
      <c r="R2454" s="1" t="s">
        <v>74</v>
      </c>
      <c r="S2454" s="1" t="s">
        <v>74</v>
      </c>
      <c r="T2454" s="1" t="s">
        <v>39199</v>
      </c>
      <c r="U2454" s="1" t="s">
        <v>39200</v>
      </c>
      <c r="V2454" s="1" t="s">
        <v>39201</v>
      </c>
      <c r="W2454" s="1" t="s">
        <v>39202</v>
      </c>
      <c r="X2454" s="1" t="s">
        <v>39203</v>
      </c>
      <c r="Y2454" s="1" t="s">
        <v>39204</v>
      </c>
      <c r="Z2454" s="1" t="s">
        <v>38945</v>
      </c>
      <c r="AA2454" s="1" t="s">
        <v>39205</v>
      </c>
      <c r="AB2454" s="1" t="s">
        <v>39206</v>
      </c>
      <c r="AC2454" s="1" t="s">
        <v>39207</v>
      </c>
      <c r="AD2454" s="1" t="s">
        <v>39207</v>
      </c>
      <c r="AE2454" s="1" t="s">
        <v>39208</v>
      </c>
      <c r="AF2454" s="1" t="s">
        <v>74</v>
      </c>
      <c r="AG2454" s="1">
        <v>63</v>
      </c>
      <c r="AH2454" s="1">
        <v>3</v>
      </c>
      <c r="AI2454" s="1">
        <v>3</v>
      </c>
      <c r="AJ2454" s="1">
        <v>0</v>
      </c>
      <c r="AK2454" s="1">
        <v>9</v>
      </c>
      <c r="AL2454" s="1" t="s">
        <v>112</v>
      </c>
      <c r="AM2454" s="1" t="s">
        <v>191</v>
      </c>
      <c r="AN2454" s="1" t="s">
        <v>192</v>
      </c>
      <c r="AO2454" s="1" t="s">
        <v>193</v>
      </c>
      <c r="AP2454" s="1" t="s">
        <v>194</v>
      </c>
      <c r="AQ2454" s="1" t="s">
        <v>74</v>
      </c>
      <c r="AR2454" s="1" t="s">
        <v>195</v>
      </c>
      <c r="AS2454" s="1" t="s">
        <v>196</v>
      </c>
      <c r="AT2454" s="1" t="s">
        <v>1223</v>
      </c>
      <c r="AU2454" s="1">
        <v>2022</v>
      </c>
      <c r="AV2454" s="1">
        <v>194</v>
      </c>
      <c r="AW2454" s="1">
        <v>3</v>
      </c>
      <c r="AX2454" s="1" t="s">
        <v>74</v>
      </c>
      <c r="AY2454" s="1" t="s">
        <v>74</v>
      </c>
      <c r="AZ2454" s="1" t="s">
        <v>74</v>
      </c>
      <c r="BA2454" s="1" t="s">
        <v>74</v>
      </c>
      <c r="BB2454" s="1" t="s">
        <v>74</v>
      </c>
      <c r="BC2454" s="1" t="s">
        <v>74</v>
      </c>
      <c r="BD2454" s="1">
        <v>208</v>
      </c>
      <c r="BE2454" s="1" t="s">
        <v>39209</v>
      </c>
      <c r="BF2454" s="1" t="str">
        <f>HYPERLINK("http://dx.doi.org/10.1007/s10661-022-09835-7","http://dx.doi.org/10.1007/s10661-022-09835-7")</f>
        <v>http://dx.doi.org/10.1007/s10661-022-09835-7</v>
      </c>
      <c r="BG2454" s="1" t="s">
        <v>74</v>
      </c>
      <c r="BH2454" s="1" t="s">
        <v>74</v>
      </c>
      <c r="BI2454" s="1">
        <v>17</v>
      </c>
      <c r="BJ2454" s="1" t="s">
        <v>144</v>
      </c>
      <c r="BK2454" s="1" t="s">
        <v>96</v>
      </c>
      <c r="BL2454" s="1" t="s">
        <v>145</v>
      </c>
      <c r="BM2454" s="1" t="s">
        <v>39210</v>
      </c>
      <c r="BN2454" s="1">
        <v>35194687</v>
      </c>
      <c r="BO2454" s="1" t="s">
        <v>2744</v>
      </c>
      <c r="BP2454" s="1" t="s">
        <v>74</v>
      </c>
      <c r="BQ2454" s="1" t="s">
        <v>74</v>
      </c>
      <c r="BR2454" s="1" t="s">
        <v>98</v>
      </c>
      <c r="BS2454" s="1" t="s">
        <v>39211</v>
      </c>
      <c r="BT2454" s="1" t="str">
        <f>HYPERLINK("https%3A%2F%2Fwww.webofscience.com%2Fwos%2Fwoscc%2Ffull-record%2FWOS:000759569300001","View Full Record in Web of Science")</f>
        <v>View Full Record in Web of Science</v>
      </c>
      <c r="BU2454" s="1"/>
      <c r="BV2454" s="1"/>
    </row>
    <row r="2455" spans="1:74">
      <c r="A2455" s="1" t="s">
        <v>72</v>
      </c>
      <c r="B2455" s="1" t="s">
        <v>39212</v>
      </c>
      <c r="C2455" s="1" t="s">
        <v>74</v>
      </c>
      <c r="D2455" s="1" t="s">
        <v>74</v>
      </c>
      <c r="E2455" s="1" t="s">
        <v>74</v>
      </c>
      <c r="F2455" s="1" t="s">
        <v>39213</v>
      </c>
      <c r="G2455" s="1" t="s">
        <v>74</v>
      </c>
      <c r="H2455" s="1" t="s">
        <v>74</v>
      </c>
      <c r="I2455" s="1" t="s">
        <v>39214</v>
      </c>
      <c r="J2455" s="1" t="s">
        <v>815</v>
      </c>
      <c r="K2455" s="1" t="s">
        <v>74</v>
      </c>
      <c r="L2455" s="1" t="s">
        <v>74</v>
      </c>
      <c r="M2455" s="1" t="s">
        <v>78</v>
      </c>
      <c r="N2455" s="1" t="s">
        <v>79</v>
      </c>
      <c r="O2455" s="1" t="s">
        <v>74</v>
      </c>
      <c r="P2455" s="1" t="s">
        <v>74</v>
      </c>
      <c r="Q2455" s="1" t="s">
        <v>74</v>
      </c>
      <c r="R2455" s="1" t="s">
        <v>74</v>
      </c>
      <c r="S2455" s="1" t="s">
        <v>74</v>
      </c>
      <c r="T2455" s="1" t="s">
        <v>39215</v>
      </c>
      <c r="U2455" s="1" t="s">
        <v>39216</v>
      </c>
      <c r="V2455" s="1" t="s">
        <v>39217</v>
      </c>
      <c r="W2455" s="1" t="s">
        <v>39218</v>
      </c>
      <c r="X2455" s="1" t="s">
        <v>23530</v>
      </c>
      <c r="Y2455" s="1" t="s">
        <v>39219</v>
      </c>
      <c r="Z2455" s="1" t="s">
        <v>39220</v>
      </c>
      <c r="AA2455" s="1" t="s">
        <v>39221</v>
      </c>
      <c r="AB2455" s="1" t="s">
        <v>74</v>
      </c>
      <c r="AC2455" s="1" t="s">
        <v>74</v>
      </c>
      <c r="AD2455" s="1" t="s">
        <v>74</v>
      </c>
      <c r="AE2455" s="1" t="s">
        <v>74</v>
      </c>
      <c r="AF2455" s="1" t="s">
        <v>74</v>
      </c>
      <c r="AG2455" s="1">
        <v>13</v>
      </c>
      <c r="AH2455" s="1">
        <v>0</v>
      </c>
      <c r="AI2455" s="1">
        <v>0</v>
      </c>
      <c r="AJ2455" s="1">
        <v>0</v>
      </c>
      <c r="AK2455" s="1">
        <v>14</v>
      </c>
      <c r="AL2455" s="1" t="s">
        <v>824</v>
      </c>
      <c r="AM2455" s="1" t="s">
        <v>825</v>
      </c>
      <c r="AN2455" s="1" t="s">
        <v>826</v>
      </c>
      <c r="AO2455" s="1" t="s">
        <v>827</v>
      </c>
      <c r="AP2455" s="1" t="s">
        <v>74</v>
      </c>
      <c r="AQ2455" s="1" t="s">
        <v>74</v>
      </c>
      <c r="AR2455" s="1" t="s">
        <v>828</v>
      </c>
      <c r="AS2455" s="1" t="s">
        <v>829</v>
      </c>
      <c r="AT2455" s="1" t="s">
        <v>74</v>
      </c>
      <c r="AU2455" s="1">
        <v>2010</v>
      </c>
      <c r="AV2455" s="1">
        <v>11</v>
      </c>
      <c r="AW2455" s="1">
        <v>1</v>
      </c>
      <c r="AX2455" s="1" t="s">
        <v>74</v>
      </c>
      <c r="AY2455" s="1" t="s">
        <v>74</v>
      </c>
      <c r="AZ2455" s="1" t="s">
        <v>74</v>
      </c>
      <c r="BA2455" s="1" t="s">
        <v>74</v>
      </c>
      <c r="BB2455" s="1">
        <v>83</v>
      </c>
      <c r="BC2455" s="1">
        <v>94</v>
      </c>
      <c r="BD2455" s="1" t="s">
        <v>74</v>
      </c>
      <c r="BE2455" s="1" t="s">
        <v>74</v>
      </c>
      <c r="BF2455" s="1" t="s">
        <v>74</v>
      </c>
      <c r="BG2455" s="1" t="s">
        <v>74</v>
      </c>
      <c r="BH2455" s="1" t="s">
        <v>74</v>
      </c>
      <c r="BI2455" s="1">
        <v>12</v>
      </c>
      <c r="BJ2455" s="1" t="s">
        <v>144</v>
      </c>
      <c r="BK2455" s="1" t="s">
        <v>96</v>
      </c>
      <c r="BL2455" s="1" t="s">
        <v>145</v>
      </c>
      <c r="BM2455" s="1" t="s">
        <v>39222</v>
      </c>
      <c r="BN2455" s="1" t="s">
        <v>74</v>
      </c>
      <c r="BO2455" s="1" t="s">
        <v>74</v>
      </c>
      <c r="BP2455" s="1" t="s">
        <v>74</v>
      </c>
      <c r="BQ2455" s="1" t="s">
        <v>74</v>
      </c>
      <c r="BR2455" s="1" t="s">
        <v>98</v>
      </c>
      <c r="BS2455" s="1" t="s">
        <v>39223</v>
      </c>
      <c r="BT2455" s="1" t="str">
        <f>HYPERLINK("https%3A%2F%2Fwww.webofscience.com%2Fwos%2Fwoscc%2Ffull-record%2FWOS:000276648900011","View Full Record in Web of Science")</f>
        <v>View Full Record in Web of Science</v>
      </c>
      <c r="BU2455" s="1"/>
      <c r="BV2455" s="1"/>
    </row>
    <row r="2456" spans="1:74">
      <c r="A2456" s="1" t="s">
        <v>72</v>
      </c>
      <c r="B2456" s="1" t="s">
        <v>39224</v>
      </c>
      <c r="C2456" s="1" t="s">
        <v>74</v>
      </c>
      <c r="D2456" s="1" t="s">
        <v>74</v>
      </c>
      <c r="E2456" s="1" t="s">
        <v>74</v>
      </c>
      <c r="F2456" s="1" t="s">
        <v>39225</v>
      </c>
      <c r="G2456" s="1" t="s">
        <v>74</v>
      </c>
      <c r="H2456" s="1" t="s">
        <v>74</v>
      </c>
      <c r="I2456" s="1" t="s">
        <v>39226</v>
      </c>
      <c r="J2456" s="1" t="s">
        <v>39227</v>
      </c>
      <c r="K2456" s="1" t="s">
        <v>74</v>
      </c>
      <c r="L2456" s="1" t="s">
        <v>74</v>
      </c>
      <c r="M2456" s="1" t="s">
        <v>78</v>
      </c>
      <c r="N2456" s="1" t="s">
        <v>79</v>
      </c>
      <c r="O2456" s="1" t="s">
        <v>74</v>
      </c>
      <c r="P2456" s="1" t="s">
        <v>74</v>
      </c>
      <c r="Q2456" s="1" t="s">
        <v>74</v>
      </c>
      <c r="R2456" s="1" t="s">
        <v>74</v>
      </c>
      <c r="S2456" s="1" t="s">
        <v>74</v>
      </c>
      <c r="T2456" s="1" t="s">
        <v>39228</v>
      </c>
      <c r="U2456" s="1" t="s">
        <v>39229</v>
      </c>
      <c r="V2456" s="1" t="s">
        <v>39230</v>
      </c>
      <c r="W2456" s="1" t="s">
        <v>39231</v>
      </c>
      <c r="X2456" s="1" t="s">
        <v>39232</v>
      </c>
      <c r="Y2456" s="1" t="s">
        <v>39233</v>
      </c>
      <c r="Z2456" s="1" t="s">
        <v>39234</v>
      </c>
      <c r="AA2456" s="1" t="s">
        <v>39235</v>
      </c>
      <c r="AB2456" s="1" t="s">
        <v>39236</v>
      </c>
      <c r="AC2456" s="1" t="s">
        <v>39237</v>
      </c>
      <c r="AD2456" s="1" t="s">
        <v>20745</v>
      </c>
      <c r="AE2456" s="1" t="s">
        <v>39238</v>
      </c>
      <c r="AF2456" s="1" t="s">
        <v>74</v>
      </c>
      <c r="AG2456" s="1">
        <v>42</v>
      </c>
      <c r="AH2456" s="1">
        <v>2</v>
      </c>
      <c r="AI2456" s="1">
        <v>2</v>
      </c>
      <c r="AJ2456" s="1">
        <v>2</v>
      </c>
      <c r="AK2456" s="1">
        <v>14</v>
      </c>
      <c r="AL2456" s="1" t="s">
        <v>430</v>
      </c>
      <c r="AM2456" s="1" t="s">
        <v>137</v>
      </c>
      <c r="AN2456" s="1" t="s">
        <v>431</v>
      </c>
      <c r="AO2456" s="1" t="s">
        <v>39239</v>
      </c>
      <c r="AP2456" s="1" t="s">
        <v>39240</v>
      </c>
      <c r="AQ2456" s="1" t="s">
        <v>74</v>
      </c>
      <c r="AR2456" s="1" t="s">
        <v>39241</v>
      </c>
      <c r="AS2456" s="1" t="s">
        <v>39242</v>
      </c>
      <c r="AT2456" s="1" t="s">
        <v>93</v>
      </c>
      <c r="AU2456" s="1">
        <v>2010</v>
      </c>
      <c r="AV2456" s="1">
        <v>97</v>
      </c>
      <c r="AW2456" s="1">
        <v>3</v>
      </c>
      <c r="AX2456" s="1" t="s">
        <v>74</v>
      </c>
      <c r="AY2456" s="1" t="s">
        <v>74</v>
      </c>
      <c r="AZ2456" s="1" t="s">
        <v>74</v>
      </c>
      <c r="BA2456" s="1" t="s">
        <v>74</v>
      </c>
      <c r="BB2456" s="1">
        <v>355</v>
      </c>
      <c r="BC2456" s="1">
        <v>359</v>
      </c>
      <c r="BD2456" s="1" t="s">
        <v>74</v>
      </c>
      <c r="BE2456" s="1" t="s">
        <v>39243</v>
      </c>
      <c r="BF2456" s="1" t="str">
        <f>HYPERLINK("http://dx.doi.org/10.1016/j.jfoodeng.2009.10.029","http://dx.doi.org/10.1016/j.jfoodeng.2009.10.029")</f>
        <v>http://dx.doi.org/10.1016/j.jfoodeng.2009.10.029</v>
      </c>
      <c r="BG2456" s="1" t="s">
        <v>74</v>
      </c>
      <c r="BH2456" s="1" t="s">
        <v>74</v>
      </c>
      <c r="BI2456" s="1">
        <v>5</v>
      </c>
      <c r="BJ2456" s="1" t="s">
        <v>39244</v>
      </c>
      <c r="BK2456" s="1" t="s">
        <v>96</v>
      </c>
      <c r="BL2456" s="1" t="s">
        <v>39245</v>
      </c>
      <c r="BM2456" s="1" t="s">
        <v>39246</v>
      </c>
      <c r="BN2456" s="1" t="s">
        <v>74</v>
      </c>
      <c r="BO2456" s="1" t="s">
        <v>810</v>
      </c>
      <c r="BP2456" s="1" t="s">
        <v>74</v>
      </c>
      <c r="BQ2456" s="1" t="s">
        <v>74</v>
      </c>
      <c r="BR2456" s="1" t="s">
        <v>98</v>
      </c>
      <c r="BS2456" s="1" t="s">
        <v>39247</v>
      </c>
      <c r="BT2456" s="1" t="str">
        <f>HYPERLINK("https%3A%2F%2Fwww.webofscience.com%2Fwos%2Fwoscc%2Ffull-record%2FWOS:000274605700010","View Full Record in Web of Science")</f>
        <v>View Full Record in Web of Science</v>
      </c>
      <c r="BU2456" s="1"/>
      <c r="BV2456" s="1"/>
    </row>
    <row r="2457" spans="1:74">
      <c r="A2457" s="1" t="s">
        <v>72</v>
      </c>
      <c r="B2457" s="1" t="s">
        <v>39248</v>
      </c>
      <c r="C2457" s="1" t="s">
        <v>74</v>
      </c>
      <c r="D2457" s="1" t="s">
        <v>74</v>
      </c>
      <c r="E2457" s="1" t="s">
        <v>74</v>
      </c>
      <c r="F2457" s="1" t="s">
        <v>39249</v>
      </c>
      <c r="G2457" s="1" t="s">
        <v>74</v>
      </c>
      <c r="H2457" s="1" t="s">
        <v>74</v>
      </c>
      <c r="I2457" s="1" t="s">
        <v>39250</v>
      </c>
      <c r="J2457" s="1" t="s">
        <v>894</v>
      </c>
      <c r="K2457" s="1" t="s">
        <v>74</v>
      </c>
      <c r="L2457" s="1" t="s">
        <v>74</v>
      </c>
      <c r="M2457" s="1" t="s">
        <v>78</v>
      </c>
      <c r="N2457" s="1" t="s">
        <v>79</v>
      </c>
      <c r="O2457" s="1" t="s">
        <v>74</v>
      </c>
      <c r="P2457" s="1" t="s">
        <v>74</v>
      </c>
      <c r="Q2457" s="1" t="s">
        <v>74</v>
      </c>
      <c r="R2457" s="1" t="s">
        <v>74</v>
      </c>
      <c r="S2457" s="1" t="s">
        <v>74</v>
      </c>
      <c r="T2457" s="1" t="s">
        <v>39251</v>
      </c>
      <c r="U2457" s="1" t="s">
        <v>39252</v>
      </c>
      <c r="V2457" s="1" t="s">
        <v>39253</v>
      </c>
      <c r="W2457" s="1" t="s">
        <v>39254</v>
      </c>
      <c r="X2457" s="1" t="s">
        <v>39255</v>
      </c>
      <c r="Y2457" s="1" t="s">
        <v>39256</v>
      </c>
      <c r="Z2457" s="1" t="s">
        <v>39257</v>
      </c>
      <c r="AA2457" s="1" t="s">
        <v>39258</v>
      </c>
      <c r="AB2457" s="1" t="s">
        <v>39259</v>
      </c>
      <c r="AC2457" s="1" t="s">
        <v>39260</v>
      </c>
      <c r="AD2457" s="1" t="s">
        <v>39261</v>
      </c>
      <c r="AE2457" s="1" t="s">
        <v>39262</v>
      </c>
      <c r="AF2457" s="1" t="s">
        <v>74</v>
      </c>
      <c r="AG2457" s="1">
        <v>65</v>
      </c>
      <c r="AH2457" s="1">
        <v>4</v>
      </c>
      <c r="AI2457" s="1">
        <v>4</v>
      </c>
      <c r="AJ2457" s="1">
        <v>0</v>
      </c>
      <c r="AK2457" s="1">
        <v>20</v>
      </c>
      <c r="AL2457" s="1" t="s">
        <v>898</v>
      </c>
      <c r="AM2457" s="1" t="s">
        <v>899</v>
      </c>
      <c r="AN2457" s="1" t="s">
        <v>900</v>
      </c>
      <c r="AO2457" s="1" t="s">
        <v>901</v>
      </c>
      <c r="AP2457" s="1" t="s">
        <v>74</v>
      </c>
      <c r="AQ2457" s="1" t="s">
        <v>74</v>
      </c>
      <c r="AR2457" s="1" t="s">
        <v>902</v>
      </c>
      <c r="AS2457" s="1" t="s">
        <v>903</v>
      </c>
      <c r="AT2457" s="1" t="s">
        <v>1470</v>
      </c>
      <c r="AU2457" s="1">
        <v>2014</v>
      </c>
      <c r="AV2457" s="1">
        <v>35</v>
      </c>
      <c r="AW2457" s="1">
        <v>1</v>
      </c>
      <c r="AX2457" s="1" t="s">
        <v>74</v>
      </c>
      <c r="AY2457" s="1" t="s">
        <v>74</v>
      </c>
      <c r="AZ2457" s="1" t="s">
        <v>225</v>
      </c>
      <c r="BA2457" s="1" t="s">
        <v>74</v>
      </c>
      <c r="BB2457" s="1">
        <v>9</v>
      </c>
      <c r="BC2457" s="1">
        <v>17</v>
      </c>
      <c r="BD2457" s="1" t="s">
        <v>74</v>
      </c>
      <c r="BE2457" s="1" t="s">
        <v>74</v>
      </c>
      <c r="BF2457" s="1" t="s">
        <v>74</v>
      </c>
      <c r="BG2457" s="1" t="s">
        <v>74</v>
      </c>
      <c r="BH2457" s="1" t="s">
        <v>74</v>
      </c>
      <c r="BI2457" s="1">
        <v>9</v>
      </c>
      <c r="BJ2457" s="1" t="s">
        <v>144</v>
      </c>
      <c r="BK2457" s="1" t="s">
        <v>96</v>
      </c>
      <c r="BL2457" s="1" t="s">
        <v>145</v>
      </c>
      <c r="BM2457" s="1" t="s">
        <v>7210</v>
      </c>
      <c r="BN2457" s="1">
        <v>24579516</v>
      </c>
      <c r="BO2457" s="1" t="s">
        <v>74</v>
      </c>
      <c r="BP2457" s="1" t="s">
        <v>74</v>
      </c>
      <c r="BQ2457" s="1" t="s">
        <v>74</v>
      </c>
      <c r="BR2457" s="1" t="s">
        <v>98</v>
      </c>
      <c r="BS2457" s="1" t="s">
        <v>39263</v>
      </c>
      <c r="BT2457" s="1" t="str">
        <f>HYPERLINK("https%3A%2F%2Fwww.webofscience.com%2Fwos%2Fwoscc%2Ffull-record%2FWOS:000329258400003","View Full Record in Web of Science")</f>
        <v>View Full Record in Web of Science</v>
      </c>
      <c r="BU2457" s="1"/>
      <c r="BV2457" s="1"/>
    </row>
    <row r="2458" spans="1:74">
      <c r="A2458" s="1" t="s">
        <v>72</v>
      </c>
      <c r="B2458" s="1" t="s">
        <v>39264</v>
      </c>
      <c r="C2458" s="1" t="s">
        <v>74</v>
      </c>
      <c r="D2458" s="1" t="s">
        <v>74</v>
      </c>
      <c r="E2458" s="1" t="s">
        <v>74</v>
      </c>
      <c r="F2458" s="1" t="s">
        <v>39265</v>
      </c>
      <c r="G2458" s="1" t="s">
        <v>74</v>
      </c>
      <c r="H2458" s="1" t="s">
        <v>74</v>
      </c>
      <c r="I2458" s="1" t="s">
        <v>39266</v>
      </c>
      <c r="J2458" s="1" t="s">
        <v>641</v>
      </c>
      <c r="K2458" s="1" t="s">
        <v>74</v>
      </c>
      <c r="L2458" s="1" t="s">
        <v>74</v>
      </c>
      <c r="M2458" s="1" t="s">
        <v>78</v>
      </c>
      <c r="N2458" s="1" t="s">
        <v>79</v>
      </c>
      <c r="O2458" s="1" t="s">
        <v>74</v>
      </c>
      <c r="P2458" s="1" t="s">
        <v>74</v>
      </c>
      <c r="Q2458" s="1" t="s">
        <v>74</v>
      </c>
      <c r="R2458" s="1" t="s">
        <v>74</v>
      </c>
      <c r="S2458" s="1" t="s">
        <v>74</v>
      </c>
      <c r="T2458" s="1" t="s">
        <v>39267</v>
      </c>
      <c r="U2458" s="1" t="s">
        <v>39268</v>
      </c>
      <c r="V2458" s="1" t="s">
        <v>39269</v>
      </c>
      <c r="W2458" s="1" t="s">
        <v>39270</v>
      </c>
      <c r="X2458" s="1" t="s">
        <v>39271</v>
      </c>
      <c r="Y2458" s="1" t="s">
        <v>39272</v>
      </c>
      <c r="Z2458" s="1" t="s">
        <v>39273</v>
      </c>
      <c r="AA2458" s="1" t="s">
        <v>39274</v>
      </c>
      <c r="AB2458" s="1" t="s">
        <v>39275</v>
      </c>
      <c r="AC2458" s="1" t="s">
        <v>39276</v>
      </c>
      <c r="AD2458" s="1" t="s">
        <v>39277</v>
      </c>
      <c r="AE2458" s="1" t="s">
        <v>39278</v>
      </c>
      <c r="AF2458" s="1" t="s">
        <v>74</v>
      </c>
      <c r="AG2458" s="1">
        <v>105</v>
      </c>
      <c r="AH2458" s="1">
        <v>16</v>
      </c>
      <c r="AI2458" s="1">
        <v>16</v>
      </c>
      <c r="AJ2458" s="1">
        <v>5</v>
      </c>
      <c r="AK2458" s="1">
        <v>59</v>
      </c>
      <c r="AL2458" s="1" t="s">
        <v>650</v>
      </c>
      <c r="AM2458" s="1" t="s">
        <v>651</v>
      </c>
      <c r="AN2458" s="1" t="s">
        <v>652</v>
      </c>
      <c r="AO2458" s="1" t="s">
        <v>653</v>
      </c>
      <c r="AP2458" s="1" t="s">
        <v>654</v>
      </c>
      <c r="AQ2458" s="1" t="s">
        <v>74</v>
      </c>
      <c r="AR2458" s="1" t="s">
        <v>655</v>
      </c>
      <c r="AS2458" s="1" t="s">
        <v>656</v>
      </c>
      <c r="AT2458" s="1" t="s">
        <v>119</v>
      </c>
      <c r="AU2458" s="1">
        <v>2021</v>
      </c>
      <c r="AV2458" s="1">
        <v>237</v>
      </c>
      <c r="AW2458" s="1" t="s">
        <v>74</v>
      </c>
      <c r="AX2458" s="1" t="s">
        <v>74</v>
      </c>
      <c r="AY2458" s="1" t="s">
        <v>74</v>
      </c>
      <c r="AZ2458" s="1" t="s">
        <v>74</v>
      </c>
      <c r="BA2458" s="1" t="s">
        <v>74</v>
      </c>
      <c r="BB2458" s="1" t="s">
        <v>74</v>
      </c>
      <c r="BC2458" s="1" t="s">
        <v>74</v>
      </c>
      <c r="BD2458" s="1">
        <v>105880</v>
      </c>
      <c r="BE2458" s="1" t="s">
        <v>39279</v>
      </c>
      <c r="BF2458" s="1" t="str">
        <f>HYPERLINK("http://dx.doi.org/10.1016/j.aquatox.2021.105880","http://dx.doi.org/10.1016/j.aquatox.2021.105880")</f>
        <v>http://dx.doi.org/10.1016/j.aquatox.2021.105880</v>
      </c>
      <c r="BG2458" s="1" t="s">
        <v>74</v>
      </c>
      <c r="BH2458" s="1" t="s">
        <v>4940</v>
      </c>
      <c r="BI2458" s="1">
        <v>10</v>
      </c>
      <c r="BJ2458" s="1" t="s">
        <v>659</v>
      </c>
      <c r="BK2458" s="1" t="s">
        <v>96</v>
      </c>
      <c r="BL2458" s="1" t="s">
        <v>659</v>
      </c>
      <c r="BM2458" s="1" t="s">
        <v>39280</v>
      </c>
      <c r="BN2458" s="1">
        <v>34126365</v>
      </c>
      <c r="BO2458" s="1" t="s">
        <v>2914</v>
      </c>
      <c r="BP2458" s="1" t="s">
        <v>74</v>
      </c>
      <c r="BQ2458" s="1" t="s">
        <v>74</v>
      </c>
      <c r="BR2458" s="1" t="s">
        <v>98</v>
      </c>
      <c r="BS2458" s="1" t="s">
        <v>39281</v>
      </c>
      <c r="BT2458" s="1" t="str">
        <f>HYPERLINK("https%3A%2F%2Fwww.webofscience.com%2Fwos%2Fwoscc%2Ffull-record%2FWOS:000687406900001","View Full Record in Web of Science")</f>
        <v>View Full Record in Web of Science</v>
      </c>
      <c r="BU2458" s="1"/>
      <c r="BV2458" s="1"/>
    </row>
    <row r="2459" spans="1:74">
      <c r="A2459" s="1" t="s">
        <v>72</v>
      </c>
      <c r="B2459" s="1" t="s">
        <v>39282</v>
      </c>
      <c r="C2459" s="1" t="s">
        <v>74</v>
      </c>
      <c r="D2459" s="1" t="s">
        <v>74</v>
      </c>
      <c r="E2459" s="1" t="s">
        <v>74</v>
      </c>
      <c r="F2459" s="1" t="s">
        <v>39283</v>
      </c>
      <c r="G2459" s="1" t="s">
        <v>74</v>
      </c>
      <c r="H2459" s="1" t="s">
        <v>74</v>
      </c>
      <c r="I2459" s="1" t="s">
        <v>39284</v>
      </c>
      <c r="J2459" s="1" t="s">
        <v>204</v>
      </c>
      <c r="K2459" s="1" t="s">
        <v>74</v>
      </c>
      <c r="L2459" s="1" t="s">
        <v>74</v>
      </c>
      <c r="M2459" s="1" t="s">
        <v>78</v>
      </c>
      <c r="N2459" s="1" t="s">
        <v>79</v>
      </c>
      <c r="O2459" s="1" t="s">
        <v>74</v>
      </c>
      <c r="P2459" s="1" t="s">
        <v>74</v>
      </c>
      <c r="Q2459" s="1" t="s">
        <v>74</v>
      </c>
      <c r="R2459" s="1" t="s">
        <v>74</v>
      </c>
      <c r="S2459" s="1" t="s">
        <v>74</v>
      </c>
      <c r="T2459" s="1" t="s">
        <v>39285</v>
      </c>
      <c r="U2459" s="1" t="s">
        <v>39286</v>
      </c>
      <c r="V2459" s="1" t="s">
        <v>39287</v>
      </c>
      <c r="W2459" s="1" t="s">
        <v>39288</v>
      </c>
      <c r="X2459" s="1" t="s">
        <v>8999</v>
      </c>
      <c r="Y2459" s="1" t="s">
        <v>39289</v>
      </c>
      <c r="Z2459" s="1" t="s">
        <v>624</v>
      </c>
      <c r="AA2459" s="1" t="s">
        <v>625</v>
      </c>
      <c r="AB2459" s="1" t="s">
        <v>626</v>
      </c>
      <c r="AC2459" s="1" t="s">
        <v>39290</v>
      </c>
      <c r="AD2459" s="1" t="s">
        <v>39290</v>
      </c>
      <c r="AE2459" s="1" t="s">
        <v>39291</v>
      </c>
      <c r="AF2459" s="1" t="s">
        <v>74</v>
      </c>
      <c r="AG2459" s="1">
        <v>92</v>
      </c>
      <c r="AH2459" s="1">
        <v>29</v>
      </c>
      <c r="AI2459" s="1">
        <v>31</v>
      </c>
      <c r="AJ2459" s="1">
        <v>2</v>
      </c>
      <c r="AK2459" s="1">
        <v>84</v>
      </c>
      <c r="AL2459" s="1" t="s">
        <v>217</v>
      </c>
      <c r="AM2459" s="1" t="s">
        <v>218</v>
      </c>
      <c r="AN2459" s="1" t="s">
        <v>219</v>
      </c>
      <c r="AO2459" s="1" t="s">
        <v>220</v>
      </c>
      <c r="AP2459" s="1" t="s">
        <v>221</v>
      </c>
      <c r="AQ2459" s="1" t="s">
        <v>74</v>
      </c>
      <c r="AR2459" s="1" t="s">
        <v>222</v>
      </c>
      <c r="AS2459" s="1" t="s">
        <v>223</v>
      </c>
      <c r="AT2459" s="1" t="s">
        <v>765</v>
      </c>
      <c r="AU2459" s="1">
        <v>2016</v>
      </c>
      <c r="AV2459" s="1">
        <v>23</v>
      </c>
      <c r="AW2459" s="1">
        <v>13</v>
      </c>
      <c r="AX2459" s="1" t="s">
        <v>74</v>
      </c>
      <c r="AY2459" s="1" t="s">
        <v>74</v>
      </c>
      <c r="AZ2459" s="1" t="s">
        <v>74</v>
      </c>
      <c r="BA2459" s="1" t="s">
        <v>74</v>
      </c>
      <c r="BB2459" s="1">
        <v>12596</v>
      </c>
      <c r="BC2459" s="1">
        <v>12612</v>
      </c>
      <c r="BD2459" s="1" t="s">
        <v>74</v>
      </c>
      <c r="BE2459" s="1" t="s">
        <v>39292</v>
      </c>
      <c r="BF2459" s="1" t="str">
        <f>HYPERLINK("http://dx.doi.org/10.1007/s11356-015-5280-2","http://dx.doi.org/10.1007/s11356-015-5280-2")</f>
        <v>http://dx.doi.org/10.1007/s11356-015-5280-2</v>
      </c>
      <c r="BG2459" s="1" t="s">
        <v>74</v>
      </c>
      <c r="BH2459" s="1" t="s">
        <v>74</v>
      </c>
      <c r="BI2459" s="1">
        <v>17</v>
      </c>
      <c r="BJ2459" s="1" t="s">
        <v>144</v>
      </c>
      <c r="BK2459" s="1" t="s">
        <v>96</v>
      </c>
      <c r="BL2459" s="1" t="s">
        <v>145</v>
      </c>
      <c r="BM2459" s="1" t="s">
        <v>17732</v>
      </c>
      <c r="BN2459" s="1">
        <v>26341333</v>
      </c>
      <c r="BO2459" s="1" t="s">
        <v>74</v>
      </c>
      <c r="BP2459" s="1" t="s">
        <v>74</v>
      </c>
      <c r="BQ2459" s="1" t="s">
        <v>74</v>
      </c>
      <c r="BR2459" s="1" t="s">
        <v>98</v>
      </c>
      <c r="BS2459" s="1" t="s">
        <v>39293</v>
      </c>
      <c r="BT2459" s="1" t="str">
        <f>HYPERLINK("https%3A%2F%2Fwww.webofscience.com%2Fwos%2Fwoscc%2Ffull-record%2FWOS:000378817300009","View Full Record in Web of Science")</f>
        <v>View Full Record in Web of Science</v>
      </c>
      <c r="BU2459" s="1"/>
      <c r="BV2459" s="1"/>
    </row>
    <row r="2460" spans="1:74">
      <c r="A2460" s="1" t="s">
        <v>72</v>
      </c>
      <c r="B2460" s="1" t="s">
        <v>39294</v>
      </c>
      <c r="C2460" s="1" t="s">
        <v>74</v>
      </c>
      <c r="D2460" s="1" t="s">
        <v>74</v>
      </c>
      <c r="E2460" s="1" t="s">
        <v>74</v>
      </c>
      <c r="F2460" s="1" t="s">
        <v>39295</v>
      </c>
      <c r="G2460" s="1" t="s">
        <v>74</v>
      </c>
      <c r="H2460" s="1" t="s">
        <v>74</v>
      </c>
      <c r="I2460" s="1" t="s">
        <v>39296</v>
      </c>
      <c r="J2460" s="1" t="s">
        <v>595</v>
      </c>
      <c r="K2460" s="1" t="s">
        <v>74</v>
      </c>
      <c r="L2460" s="1" t="s">
        <v>74</v>
      </c>
      <c r="M2460" s="1" t="s">
        <v>78</v>
      </c>
      <c r="N2460" s="1" t="s">
        <v>79</v>
      </c>
      <c r="O2460" s="1" t="s">
        <v>74</v>
      </c>
      <c r="P2460" s="1" t="s">
        <v>74</v>
      </c>
      <c r="Q2460" s="1" t="s">
        <v>74</v>
      </c>
      <c r="R2460" s="1" t="s">
        <v>74</v>
      </c>
      <c r="S2460" s="1" t="s">
        <v>74</v>
      </c>
      <c r="T2460" s="1" t="s">
        <v>39297</v>
      </c>
      <c r="U2460" s="1" t="s">
        <v>39298</v>
      </c>
      <c r="V2460" s="1" t="s">
        <v>39299</v>
      </c>
      <c r="W2460" s="1" t="s">
        <v>39300</v>
      </c>
      <c r="X2460" s="1" t="s">
        <v>39301</v>
      </c>
      <c r="Y2460" s="1" t="s">
        <v>39302</v>
      </c>
      <c r="Z2460" s="1" t="s">
        <v>39303</v>
      </c>
      <c r="AA2460" s="1" t="s">
        <v>39304</v>
      </c>
      <c r="AB2460" s="1" t="s">
        <v>74</v>
      </c>
      <c r="AC2460" s="1" t="s">
        <v>39305</v>
      </c>
      <c r="AD2460" s="1" t="s">
        <v>39306</v>
      </c>
      <c r="AE2460" s="1" t="s">
        <v>39307</v>
      </c>
      <c r="AF2460" s="1" t="s">
        <v>74</v>
      </c>
      <c r="AG2460" s="1">
        <v>60</v>
      </c>
      <c r="AH2460" s="1">
        <v>3</v>
      </c>
      <c r="AI2460" s="1">
        <v>4</v>
      </c>
      <c r="AJ2460" s="1">
        <v>2</v>
      </c>
      <c r="AK2460" s="1">
        <v>14</v>
      </c>
      <c r="AL2460" s="1" t="s">
        <v>112</v>
      </c>
      <c r="AM2460" s="1" t="s">
        <v>191</v>
      </c>
      <c r="AN2460" s="1" t="s">
        <v>192</v>
      </c>
      <c r="AO2460" s="1" t="s">
        <v>608</v>
      </c>
      <c r="AP2460" s="1" t="s">
        <v>609</v>
      </c>
      <c r="AQ2460" s="1" t="s">
        <v>74</v>
      </c>
      <c r="AR2460" s="1" t="s">
        <v>595</v>
      </c>
      <c r="AS2460" s="1" t="s">
        <v>610</v>
      </c>
      <c r="AT2460" s="1" t="s">
        <v>119</v>
      </c>
      <c r="AU2460" s="1">
        <v>2023</v>
      </c>
      <c r="AV2460" s="1">
        <v>32</v>
      </c>
      <c r="AW2460" s="1">
        <v>6</v>
      </c>
      <c r="AX2460" s="1" t="s">
        <v>74</v>
      </c>
      <c r="AY2460" s="1" t="s">
        <v>74</v>
      </c>
      <c r="AZ2460" s="1" t="s">
        <v>74</v>
      </c>
      <c r="BA2460" s="1" t="s">
        <v>74</v>
      </c>
      <c r="BB2460" s="1">
        <v>746</v>
      </c>
      <c r="BC2460" s="1">
        <v>755</v>
      </c>
      <c r="BD2460" s="1" t="s">
        <v>74</v>
      </c>
      <c r="BE2460" s="1" t="s">
        <v>39308</v>
      </c>
      <c r="BF2460" s="1" t="str">
        <f>HYPERLINK("http://dx.doi.org/10.1007/s10646-023-02683-2","http://dx.doi.org/10.1007/s10646-023-02683-2")</f>
        <v>http://dx.doi.org/10.1007/s10646-023-02683-2</v>
      </c>
      <c r="BG2460" s="1" t="s">
        <v>74</v>
      </c>
      <c r="BH2460" s="1" t="s">
        <v>1121</v>
      </c>
      <c r="BI2460" s="1">
        <v>10</v>
      </c>
      <c r="BJ2460" s="1" t="s">
        <v>612</v>
      </c>
      <c r="BK2460" s="1" t="s">
        <v>96</v>
      </c>
      <c r="BL2460" s="1" t="s">
        <v>122</v>
      </c>
      <c r="BM2460" s="1" t="s">
        <v>39309</v>
      </c>
      <c r="BN2460" s="1">
        <v>37460906</v>
      </c>
      <c r="BO2460" s="1" t="s">
        <v>74</v>
      </c>
      <c r="BP2460" s="1" t="s">
        <v>74</v>
      </c>
      <c r="BQ2460" s="1" t="s">
        <v>74</v>
      </c>
      <c r="BR2460" s="1" t="s">
        <v>98</v>
      </c>
      <c r="BS2460" s="1" t="s">
        <v>39310</v>
      </c>
      <c r="BT2460" s="1" t="str">
        <f>HYPERLINK("https%3A%2F%2Fwww.webofscience.com%2Fwos%2Fwoscc%2Ffull-record%2FWOS:001031391400001","View Full Record in Web of Science")</f>
        <v>View Full Record in Web of Science</v>
      </c>
      <c r="BU2460" s="1"/>
      <c r="BV2460" s="1"/>
    </row>
    <row r="2461" spans="1:74">
      <c r="A2461" s="1" t="s">
        <v>72</v>
      </c>
      <c r="B2461" s="1" t="s">
        <v>39311</v>
      </c>
      <c r="C2461" s="1" t="s">
        <v>74</v>
      </c>
      <c r="D2461" s="1" t="s">
        <v>74</v>
      </c>
      <c r="E2461" s="1" t="s">
        <v>74</v>
      </c>
      <c r="F2461" s="1" t="s">
        <v>39312</v>
      </c>
      <c r="G2461" s="1" t="s">
        <v>74</v>
      </c>
      <c r="H2461" s="1" t="s">
        <v>74</v>
      </c>
      <c r="I2461" s="1" t="s">
        <v>39313</v>
      </c>
      <c r="J2461" s="1" t="s">
        <v>39314</v>
      </c>
      <c r="K2461" s="1" t="s">
        <v>74</v>
      </c>
      <c r="L2461" s="1" t="s">
        <v>74</v>
      </c>
      <c r="M2461" s="1" t="s">
        <v>78</v>
      </c>
      <c r="N2461" s="1" t="s">
        <v>79</v>
      </c>
      <c r="O2461" s="1" t="s">
        <v>74</v>
      </c>
      <c r="P2461" s="1" t="s">
        <v>74</v>
      </c>
      <c r="Q2461" s="1" t="s">
        <v>74</v>
      </c>
      <c r="R2461" s="1" t="s">
        <v>74</v>
      </c>
      <c r="S2461" s="1" t="s">
        <v>74</v>
      </c>
      <c r="T2461" s="1" t="s">
        <v>39315</v>
      </c>
      <c r="U2461" s="1" t="s">
        <v>39316</v>
      </c>
      <c r="V2461" s="1" t="s">
        <v>39317</v>
      </c>
      <c r="W2461" s="1" t="s">
        <v>39318</v>
      </c>
      <c r="X2461" s="1" t="s">
        <v>3553</v>
      </c>
      <c r="Y2461" s="1" t="s">
        <v>8131</v>
      </c>
      <c r="Z2461" s="1" t="s">
        <v>8132</v>
      </c>
      <c r="AA2461" s="1" t="s">
        <v>39319</v>
      </c>
      <c r="AB2461" s="1" t="s">
        <v>39320</v>
      </c>
      <c r="AC2461" s="1" t="s">
        <v>39321</v>
      </c>
      <c r="AD2461" s="1" t="s">
        <v>25748</v>
      </c>
      <c r="AE2461" s="1" t="s">
        <v>39322</v>
      </c>
      <c r="AF2461" s="1" t="s">
        <v>74</v>
      </c>
      <c r="AG2461" s="1">
        <v>34</v>
      </c>
      <c r="AH2461" s="1">
        <v>39</v>
      </c>
      <c r="AI2461" s="1">
        <v>41</v>
      </c>
      <c r="AJ2461" s="1">
        <v>0</v>
      </c>
      <c r="AK2461" s="1">
        <v>24</v>
      </c>
      <c r="AL2461" s="1" t="s">
        <v>217</v>
      </c>
      <c r="AM2461" s="1" t="s">
        <v>218</v>
      </c>
      <c r="AN2461" s="1" t="s">
        <v>219</v>
      </c>
      <c r="AO2461" s="1" t="s">
        <v>39323</v>
      </c>
      <c r="AP2461" s="1" t="s">
        <v>74</v>
      </c>
      <c r="AQ2461" s="1" t="s">
        <v>74</v>
      </c>
      <c r="AR2461" s="1" t="s">
        <v>39324</v>
      </c>
      <c r="AS2461" s="1" t="s">
        <v>39325</v>
      </c>
      <c r="AT2461" s="1" t="s">
        <v>1223</v>
      </c>
      <c r="AU2461" s="1">
        <v>2012</v>
      </c>
      <c r="AV2461" s="1">
        <v>10</v>
      </c>
      <c r="AW2461" s="1">
        <v>1</v>
      </c>
      <c r="AX2461" s="1" t="s">
        <v>74</v>
      </c>
      <c r="AY2461" s="1" t="s">
        <v>74</v>
      </c>
      <c r="AZ2461" s="1" t="s">
        <v>74</v>
      </c>
      <c r="BA2461" s="1" t="s">
        <v>74</v>
      </c>
      <c r="BB2461" s="1">
        <v>69</v>
      </c>
      <c r="BC2461" s="1">
        <v>77</v>
      </c>
      <c r="BD2461" s="1" t="s">
        <v>74</v>
      </c>
      <c r="BE2461" s="1" t="s">
        <v>39326</v>
      </c>
      <c r="BF2461" s="1" t="str">
        <f>HYPERLINK("http://dx.doi.org/10.1007/s10311-011-0330-6","http://dx.doi.org/10.1007/s10311-011-0330-6")</f>
        <v>http://dx.doi.org/10.1007/s10311-011-0330-6</v>
      </c>
      <c r="BG2461" s="1" t="s">
        <v>74</v>
      </c>
      <c r="BH2461" s="1" t="s">
        <v>74</v>
      </c>
      <c r="BI2461" s="1">
        <v>9</v>
      </c>
      <c r="BJ2461" s="1" t="s">
        <v>39327</v>
      </c>
      <c r="BK2461" s="1" t="s">
        <v>96</v>
      </c>
      <c r="BL2461" s="1" t="s">
        <v>39328</v>
      </c>
      <c r="BM2461" s="1" t="s">
        <v>39329</v>
      </c>
      <c r="BN2461" s="1" t="s">
        <v>74</v>
      </c>
      <c r="BO2461" s="1" t="s">
        <v>74</v>
      </c>
      <c r="BP2461" s="1" t="s">
        <v>74</v>
      </c>
      <c r="BQ2461" s="1" t="s">
        <v>74</v>
      </c>
      <c r="BR2461" s="1" t="s">
        <v>98</v>
      </c>
      <c r="BS2461" s="1" t="s">
        <v>39330</v>
      </c>
      <c r="BT2461" s="1" t="str">
        <f>HYPERLINK("https%3A%2F%2Fwww.webofscience.com%2Fwos%2Fwoscc%2Ffull-record%2FWOS:000303877500011","View Full Record in Web of Science")</f>
        <v>View Full Record in Web of Science</v>
      </c>
      <c r="BU2461" s="1"/>
      <c r="BV2461" s="1"/>
    </row>
    <row r="2462" spans="1:74">
      <c r="A2462" s="1" t="s">
        <v>72</v>
      </c>
      <c r="B2462" s="1" t="s">
        <v>39331</v>
      </c>
      <c r="C2462" s="1" t="s">
        <v>74</v>
      </c>
      <c r="D2462" s="1" t="s">
        <v>74</v>
      </c>
      <c r="E2462" s="1" t="s">
        <v>74</v>
      </c>
      <c r="F2462" s="1" t="s">
        <v>39332</v>
      </c>
      <c r="G2462" s="1" t="s">
        <v>74</v>
      </c>
      <c r="H2462" s="1" t="s">
        <v>74</v>
      </c>
      <c r="I2462" s="1" t="s">
        <v>39333</v>
      </c>
      <c r="J2462" s="1" t="s">
        <v>8952</v>
      </c>
      <c r="K2462" s="1" t="s">
        <v>74</v>
      </c>
      <c r="L2462" s="1" t="s">
        <v>74</v>
      </c>
      <c r="M2462" s="1" t="s">
        <v>78</v>
      </c>
      <c r="N2462" s="1" t="s">
        <v>79</v>
      </c>
      <c r="O2462" s="1" t="s">
        <v>74</v>
      </c>
      <c r="P2462" s="1" t="s">
        <v>74</v>
      </c>
      <c r="Q2462" s="1" t="s">
        <v>74</v>
      </c>
      <c r="R2462" s="1" t="s">
        <v>74</v>
      </c>
      <c r="S2462" s="1" t="s">
        <v>74</v>
      </c>
      <c r="T2462" s="1" t="s">
        <v>39334</v>
      </c>
      <c r="U2462" s="1" t="s">
        <v>39335</v>
      </c>
      <c r="V2462" s="1" t="s">
        <v>39336</v>
      </c>
      <c r="W2462" s="1" t="s">
        <v>39337</v>
      </c>
      <c r="X2462" s="1" t="s">
        <v>39338</v>
      </c>
      <c r="Y2462" s="1" t="s">
        <v>39339</v>
      </c>
      <c r="Z2462" s="1" t="s">
        <v>39340</v>
      </c>
      <c r="AA2462" s="1" t="s">
        <v>39341</v>
      </c>
      <c r="AB2462" s="1" t="s">
        <v>39342</v>
      </c>
      <c r="AC2462" s="1" t="s">
        <v>39343</v>
      </c>
      <c r="AD2462" s="1" t="s">
        <v>39343</v>
      </c>
      <c r="AE2462" s="1" t="s">
        <v>39344</v>
      </c>
      <c r="AF2462" s="1" t="s">
        <v>74</v>
      </c>
      <c r="AG2462" s="1">
        <v>119</v>
      </c>
      <c r="AH2462" s="1">
        <v>31</v>
      </c>
      <c r="AI2462" s="1">
        <v>31</v>
      </c>
      <c r="AJ2462" s="1">
        <v>1</v>
      </c>
      <c r="AK2462" s="1">
        <v>31</v>
      </c>
      <c r="AL2462" s="1" t="s">
        <v>3362</v>
      </c>
      <c r="AM2462" s="1" t="s">
        <v>3363</v>
      </c>
      <c r="AN2462" s="1" t="s">
        <v>3364</v>
      </c>
      <c r="AO2462" s="1" t="s">
        <v>8955</v>
      </c>
      <c r="AP2462" s="1" t="s">
        <v>8956</v>
      </c>
      <c r="AQ2462" s="1" t="s">
        <v>74</v>
      </c>
      <c r="AR2462" s="1" t="s">
        <v>8957</v>
      </c>
      <c r="AS2462" s="1" t="s">
        <v>8958</v>
      </c>
      <c r="AT2462" s="1" t="s">
        <v>224</v>
      </c>
      <c r="AU2462" s="1">
        <v>2020</v>
      </c>
      <c r="AV2462" s="1">
        <v>170</v>
      </c>
      <c r="AW2462" s="1" t="s">
        <v>74</v>
      </c>
      <c r="AX2462" s="1" t="s">
        <v>74</v>
      </c>
      <c r="AY2462" s="1" t="s">
        <v>74</v>
      </c>
      <c r="AZ2462" s="1" t="s">
        <v>74</v>
      </c>
      <c r="BA2462" s="1" t="s">
        <v>74</v>
      </c>
      <c r="BB2462" s="1" t="s">
        <v>74</v>
      </c>
      <c r="BC2462" s="1" t="s">
        <v>74</v>
      </c>
      <c r="BD2462" s="1">
        <v>107308</v>
      </c>
      <c r="BE2462" s="1" t="s">
        <v>39345</v>
      </c>
      <c r="BF2462" s="1" t="str">
        <f>HYPERLINK("http://dx.doi.org/10.1016/j.jip.2019.107308","http://dx.doi.org/10.1016/j.jip.2019.107308")</f>
        <v>http://dx.doi.org/10.1016/j.jip.2019.107308</v>
      </c>
      <c r="BG2462" s="1" t="s">
        <v>74</v>
      </c>
      <c r="BH2462" s="1" t="s">
        <v>74</v>
      </c>
      <c r="BI2462" s="1">
        <v>16</v>
      </c>
      <c r="BJ2462" s="1" t="s">
        <v>2210</v>
      </c>
      <c r="BK2462" s="1" t="s">
        <v>96</v>
      </c>
      <c r="BL2462" s="1" t="s">
        <v>2210</v>
      </c>
      <c r="BM2462" s="1" t="s">
        <v>39346</v>
      </c>
      <c r="BN2462" s="1">
        <v>31857123</v>
      </c>
      <c r="BO2462" s="1" t="s">
        <v>9583</v>
      </c>
      <c r="BP2462" s="1" t="s">
        <v>74</v>
      </c>
      <c r="BQ2462" s="1" t="s">
        <v>74</v>
      </c>
      <c r="BR2462" s="1" t="s">
        <v>98</v>
      </c>
      <c r="BS2462" s="1" t="s">
        <v>39347</v>
      </c>
      <c r="BT2462" s="1" t="str">
        <f>HYPERLINK("https%3A%2F%2Fwww.webofscience.com%2Fwos%2Fwoscc%2Ffull-record%2FWOS:000552825100004","View Full Record in Web of Science")</f>
        <v>View Full Record in Web of Science</v>
      </c>
      <c r="BU2462" s="1"/>
      <c r="BV2462" s="1"/>
    </row>
    <row r="2463" spans="1:74">
      <c r="A2463" s="1" t="s">
        <v>72</v>
      </c>
      <c r="B2463" s="1" t="s">
        <v>39348</v>
      </c>
      <c r="C2463" s="1" t="s">
        <v>74</v>
      </c>
      <c r="D2463" s="1" t="s">
        <v>74</v>
      </c>
      <c r="E2463" s="1" t="s">
        <v>74</v>
      </c>
      <c r="F2463" s="1" t="s">
        <v>39348</v>
      </c>
      <c r="G2463" s="1" t="s">
        <v>74</v>
      </c>
      <c r="H2463" s="1" t="s">
        <v>74</v>
      </c>
      <c r="I2463" s="1" t="s">
        <v>39349</v>
      </c>
      <c r="J2463" s="1" t="s">
        <v>752</v>
      </c>
      <c r="K2463" s="1" t="s">
        <v>74</v>
      </c>
      <c r="L2463" s="1" t="s">
        <v>74</v>
      </c>
      <c r="M2463" s="1" t="s">
        <v>78</v>
      </c>
      <c r="N2463" s="1" t="s">
        <v>151</v>
      </c>
      <c r="O2463" s="1" t="s">
        <v>35375</v>
      </c>
      <c r="P2463" s="1" t="s">
        <v>35376</v>
      </c>
      <c r="Q2463" s="1" t="s">
        <v>35377</v>
      </c>
      <c r="R2463" s="1" t="s">
        <v>74</v>
      </c>
      <c r="S2463" s="1" t="s">
        <v>74</v>
      </c>
      <c r="T2463" s="1" t="s">
        <v>74</v>
      </c>
      <c r="U2463" s="1" t="s">
        <v>39350</v>
      </c>
      <c r="V2463" s="1" t="s">
        <v>39351</v>
      </c>
      <c r="W2463" s="1" t="s">
        <v>39352</v>
      </c>
      <c r="X2463" s="1" t="s">
        <v>4641</v>
      </c>
      <c r="Y2463" s="1" t="s">
        <v>39353</v>
      </c>
      <c r="Z2463" s="1" t="s">
        <v>74</v>
      </c>
      <c r="AA2463" s="1" t="s">
        <v>74</v>
      </c>
      <c r="AB2463" s="1" t="s">
        <v>74</v>
      </c>
      <c r="AC2463" s="1" t="s">
        <v>74</v>
      </c>
      <c r="AD2463" s="1" t="s">
        <v>74</v>
      </c>
      <c r="AE2463" s="1" t="s">
        <v>74</v>
      </c>
      <c r="AF2463" s="1" t="s">
        <v>74</v>
      </c>
      <c r="AG2463" s="1">
        <v>13</v>
      </c>
      <c r="AH2463" s="1">
        <v>62</v>
      </c>
      <c r="AI2463" s="1">
        <v>73</v>
      </c>
      <c r="AJ2463" s="1">
        <v>0</v>
      </c>
      <c r="AK2463" s="1">
        <v>15</v>
      </c>
      <c r="AL2463" s="1" t="s">
        <v>430</v>
      </c>
      <c r="AM2463" s="1" t="s">
        <v>137</v>
      </c>
      <c r="AN2463" s="1" t="s">
        <v>1600</v>
      </c>
      <c r="AO2463" s="1" t="s">
        <v>761</v>
      </c>
      <c r="AP2463" s="1" t="s">
        <v>74</v>
      </c>
      <c r="AQ2463" s="1" t="s">
        <v>74</v>
      </c>
      <c r="AR2463" s="1" t="s">
        <v>763</v>
      </c>
      <c r="AS2463" s="1" t="s">
        <v>764</v>
      </c>
      <c r="AT2463" s="1" t="s">
        <v>35385</v>
      </c>
      <c r="AU2463" s="1">
        <v>1996</v>
      </c>
      <c r="AV2463" s="1">
        <v>42</v>
      </c>
      <c r="AW2463" s="1" t="s">
        <v>721</v>
      </c>
      <c r="AX2463" s="1" t="s">
        <v>74</v>
      </c>
      <c r="AY2463" s="1" t="s">
        <v>74</v>
      </c>
      <c r="AZ2463" s="1" t="s">
        <v>74</v>
      </c>
      <c r="BA2463" s="1" t="s">
        <v>74</v>
      </c>
      <c r="BB2463" s="1">
        <v>187</v>
      </c>
      <c r="BC2463" s="1">
        <v>190</v>
      </c>
      <c r="BD2463" s="1" t="s">
        <v>74</v>
      </c>
      <c r="BE2463" s="1" t="s">
        <v>39354</v>
      </c>
      <c r="BF2463" s="1" t="str">
        <f>HYPERLINK("http://dx.doi.org/10.1016/0141-1136(95)00033-X","http://dx.doi.org/10.1016/0141-1136(95)00033-X")</f>
        <v>http://dx.doi.org/10.1016/0141-1136(95)00033-X</v>
      </c>
      <c r="BG2463" s="1" t="s">
        <v>74</v>
      </c>
      <c r="BH2463" s="1" t="s">
        <v>74</v>
      </c>
      <c r="BI2463" s="1">
        <v>4</v>
      </c>
      <c r="BJ2463" s="1" t="s">
        <v>768</v>
      </c>
      <c r="BK2463" s="1" t="s">
        <v>588</v>
      </c>
      <c r="BL2463" s="1" t="s">
        <v>769</v>
      </c>
      <c r="BM2463" s="1" t="s">
        <v>35387</v>
      </c>
      <c r="BN2463" s="1" t="s">
        <v>74</v>
      </c>
      <c r="BO2463" s="1" t="s">
        <v>74</v>
      </c>
      <c r="BP2463" s="1" t="s">
        <v>74</v>
      </c>
      <c r="BQ2463" s="1" t="s">
        <v>74</v>
      </c>
      <c r="BR2463" s="1" t="s">
        <v>98</v>
      </c>
      <c r="BS2463" s="1" t="s">
        <v>39355</v>
      </c>
      <c r="BT2463" s="1" t="str">
        <f>HYPERLINK("https%3A%2F%2Fwww.webofscience.com%2Fwos%2Fwoscc%2Ffull-record%2FWOS:A1996UU36900030","View Full Record in Web of Science")</f>
        <v>View Full Record in Web of Science</v>
      </c>
      <c r="BU2463" s="1"/>
      <c r="BV2463" s="1"/>
    </row>
    <row r="2464" spans="1:74">
      <c r="A2464" s="1" t="s">
        <v>72</v>
      </c>
      <c r="B2464" s="1" t="s">
        <v>39356</v>
      </c>
      <c r="C2464" s="1" t="s">
        <v>74</v>
      </c>
      <c r="D2464" s="1" t="s">
        <v>74</v>
      </c>
      <c r="E2464" s="1" t="s">
        <v>74</v>
      </c>
      <c r="F2464" s="1" t="s">
        <v>39357</v>
      </c>
      <c r="G2464" s="1" t="s">
        <v>74</v>
      </c>
      <c r="H2464" s="1" t="s">
        <v>74</v>
      </c>
      <c r="I2464" s="1" t="s">
        <v>39358</v>
      </c>
      <c r="J2464" s="1" t="s">
        <v>39359</v>
      </c>
      <c r="K2464" s="1" t="s">
        <v>74</v>
      </c>
      <c r="L2464" s="1" t="s">
        <v>74</v>
      </c>
      <c r="M2464" s="1" t="s">
        <v>78</v>
      </c>
      <c r="N2464" s="1" t="s">
        <v>79</v>
      </c>
      <c r="O2464" s="1" t="s">
        <v>74</v>
      </c>
      <c r="P2464" s="1" t="s">
        <v>74</v>
      </c>
      <c r="Q2464" s="1" t="s">
        <v>74</v>
      </c>
      <c r="R2464" s="1" t="s">
        <v>74</v>
      </c>
      <c r="S2464" s="1" t="s">
        <v>74</v>
      </c>
      <c r="T2464" s="1" t="s">
        <v>39360</v>
      </c>
      <c r="U2464" s="1" t="s">
        <v>39361</v>
      </c>
      <c r="V2464" s="1" t="s">
        <v>39362</v>
      </c>
      <c r="W2464" s="1" t="s">
        <v>39363</v>
      </c>
      <c r="X2464" s="1" t="s">
        <v>39364</v>
      </c>
      <c r="Y2464" s="1" t="s">
        <v>39365</v>
      </c>
      <c r="Z2464" s="1" t="s">
        <v>985</v>
      </c>
      <c r="AA2464" s="1" t="s">
        <v>39366</v>
      </c>
      <c r="AB2464" s="1" t="s">
        <v>39367</v>
      </c>
      <c r="AC2464" s="1" t="s">
        <v>39368</v>
      </c>
      <c r="AD2464" s="1" t="s">
        <v>39369</v>
      </c>
      <c r="AE2464" s="1" t="s">
        <v>39370</v>
      </c>
      <c r="AF2464" s="1" t="s">
        <v>74</v>
      </c>
      <c r="AG2464" s="1">
        <v>73</v>
      </c>
      <c r="AH2464" s="1">
        <v>4</v>
      </c>
      <c r="AI2464" s="1">
        <v>4</v>
      </c>
      <c r="AJ2464" s="1">
        <v>0</v>
      </c>
      <c r="AK2464" s="1">
        <v>20</v>
      </c>
      <c r="AL2464" s="1" t="s">
        <v>39371</v>
      </c>
      <c r="AM2464" s="1" t="s">
        <v>39372</v>
      </c>
      <c r="AN2464" s="1" t="s">
        <v>39373</v>
      </c>
      <c r="AO2464" s="1" t="s">
        <v>74</v>
      </c>
      <c r="AP2464" s="1" t="s">
        <v>39374</v>
      </c>
      <c r="AQ2464" s="1" t="s">
        <v>74</v>
      </c>
      <c r="AR2464" s="1" t="s">
        <v>39375</v>
      </c>
      <c r="AS2464" s="1" t="s">
        <v>39376</v>
      </c>
      <c r="AT2464" s="1" t="s">
        <v>119</v>
      </c>
      <c r="AU2464" s="1">
        <v>2021</v>
      </c>
      <c r="AV2464" s="1">
        <v>8</v>
      </c>
      <c r="AW2464" s="1">
        <v>8</v>
      </c>
      <c r="AX2464" s="1" t="s">
        <v>74</v>
      </c>
      <c r="AY2464" s="1" t="s">
        <v>74</v>
      </c>
      <c r="AZ2464" s="1" t="s">
        <v>74</v>
      </c>
      <c r="BA2464" s="1" t="s">
        <v>74</v>
      </c>
      <c r="BB2464" s="1" t="s">
        <v>74</v>
      </c>
      <c r="BC2464" s="1" t="s">
        <v>74</v>
      </c>
      <c r="BD2464" s="1">
        <v>85005</v>
      </c>
      <c r="BE2464" s="1" t="s">
        <v>39377</v>
      </c>
      <c r="BF2464" s="1" t="str">
        <f>HYPERLINK("http://dx.doi.org/10.1088/2053-1591/ac19eb","http://dx.doi.org/10.1088/2053-1591/ac19eb")</f>
        <v>http://dx.doi.org/10.1088/2053-1591/ac19eb</v>
      </c>
      <c r="BG2464" s="1" t="s">
        <v>74</v>
      </c>
      <c r="BH2464" s="1" t="s">
        <v>74</v>
      </c>
      <c r="BI2464" s="1">
        <v>12</v>
      </c>
      <c r="BJ2464" s="1" t="s">
        <v>39378</v>
      </c>
      <c r="BK2464" s="1" t="s">
        <v>96</v>
      </c>
      <c r="BL2464" s="1" t="s">
        <v>39379</v>
      </c>
      <c r="BM2464" s="1" t="s">
        <v>39380</v>
      </c>
      <c r="BN2464" s="1" t="s">
        <v>74</v>
      </c>
      <c r="BO2464" s="1" t="s">
        <v>873</v>
      </c>
      <c r="BP2464" s="1" t="s">
        <v>74</v>
      </c>
      <c r="BQ2464" s="1" t="s">
        <v>74</v>
      </c>
      <c r="BR2464" s="1" t="s">
        <v>98</v>
      </c>
      <c r="BS2464" s="1" t="s">
        <v>39381</v>
      </c>
      <c r="BT2464" s="1" t="str">
        <f>HYPERLINK("https%3A%2F%2Fwww.webofscience.com%2Fwos%2Fwoscc%2Ffull-record%2FWOS:000683556900001","View Full Record in Web of Science")</f>
        <v>View Full Record in Web of Science</v>
      </c>
      <c r="BU2464" s="1"/>
      <c r="BV2464" s="1"/>
    </row>
    <row r="2465" spans="1:74">
      <c r="A2465" s="1" t="s">
        <v>72</v>
      </c>
      <c r="B2465" s="1" t="s">
        <v>39382</v>
      </c>
      <c r="C2465" s="1" t="s">
        <v>74</v>
      </c>
      <c r="D2465" s="1" t="s">
        <v>74</v>
      </c>
      <c r="E2465" s="1" t="s">
        <v>74</v>
      </c>
      <c r="F2465" s="1" t="s">
        <v>39383</v>
      </c>
      <c r="G2465" s="1" t="s">
        <v>74</v>
      </c>
      <c r="H2465" s="1" t="s">
        <v>74</v>
      </c>
      <c r="I2465" s="1" t="s">
        <v>39384</v>
      </c>
      <c r="J2465" s="1" t="s">
        <v>127</v>
      </c>
      <c r="K2465" s="1" t="s">
        <v>74</v>
      </c>
      <c r="L2465" s="1" t="s">
        <v>74</v>
      </c>
      <c r="M2465" s="1" t="s">
        <v>78</v>
      </c>
      <c r="N2465" s="1" t="s">
        <v>79</v>
      </c>
      <c r="O2465" s="1" t="s">
        <v>74</v>
      </c>
      <c r="P2465" s="1" t="s">
        <v>74</v>
      </c>
      <c r="Q2465" s="1" t="s">
        <v>74</v>
      </c>
      <c r="R2465" s="1" t="s">
        <v>74</v>
      </c>
      <c r="S2465" s="1" t="s">
        <v>74</v>
      </c>
      <c r="T2465" s="1" t="s">
        <v>39385</v>
      </c>
      <c r="U2465" s="1" t="s">
        <v>39386</v>
      </c>
      <c r="V2465" s="1" t="s">
        <v>39387</v>
      </c>
      <c r="W2465" s="1" t="s">
        <v>39388</v>
      </c>
      <c r="X2465" s="1" t="s">
        <v>39389</v>
      </c>
      <c r="Y2465" s="1" t="s">
        <v>39390</v>
      </c>
      <c r="Z2465" s="1" t="s">
        <v>33463</v>
      </c>
      <c r="AA2465" s="1" t="s">
        <v>33464</v>
      </c>
      <c r="AB2465" s="1" t="s">
        <v>39391</v>
      </c>
      <c r="AC2465" s="1" t="s">
        <v>39392</v>
      </c>
      <c r="AD2465" s="1" t="s">
        <v>39393</v>
      </c>
      <c r="AE2465" s="1" t="s">
        <v>39394</v>
      </c>
      <c r="AF2465" s="1" t="s">
        <v>74</v>
      </c>
      <c r="AG2465" s="1">
        <v>121</v>
      </c>
      <c r="AH2465" s="1">
        <v>4</v>
      </c>
      <c r="AI2465" s="1">
        <v>4</v>
      </c>
      <c r="AJ2465" s="1">
        <v>2</v>
      </c>
      <c r="AK2465" s="1">
        <v>16</v>
      </c>
      <c r="AL2465" s="1" t="s">
        <v>136</v>
      </c>
      <c r="AM2465" s="1" t="s">
        <v>137</v>
      </c>
      <c r="AN2465" s="1" t="s">
        <v>138</v>
      </c>
      <c r="AO2465" s="1" t="s">
        <v>139</v>
      </c>
      <c r="AP2465" s="1" t="s">
        <v>140</v>
      </c>
      <c r="AQ2465" s="1" t="s">
        <v>74</v>
      </c>
      <c r="AR2465" s="1" t="s">
        <v>127</v>
      </c>
      <c r="AS2465" s="1" t="s">
        <v>141</v>
      </c>
      <c r="AT2465" s="1" t="s">
        <v>305</v>
      </c>
      <c r="AU2465" s="1">
        <v>2021</v>
      </c>
      <c r="AV2465" s="1">
        <v>278</v>
      </c>
      <c r="AW2465" s="1" t="s">
        <v>74</v>
      </c>
      <c r="AX2465" s="1" t="s">
        <v>74</v>
      </c>
      <c r="AY2465" s="1" t="s">
        <v>74</v>
      </c>
      <c r="AZ2465" s="1" t="s">
        <v>74</v>
      </c>
      <c r="BA2465" s="1" t="s">
        <v>74</v>
      </c>
      <c r="BB2465" s="1" t="s">
        <v>74</v>
      </c>
      <c r="BC2465" s="1" t="s">
        <v>74</v>
      </c>
      <c r="BD2465" s="1">
        <v>130338</v>
      </c>
      <c r="BE2465" s="1" t="s">
        <v>39395</v>
      </c>
      <c r="BF2465" s="1" t="str">
        <f>HYPERLINK("http://dx.doi.org/10.1016/j.chemosphere.2021.130338","http://dx.doi.org/10.1016/j.chemosphere.2021.130338")</f>
        <v>http://dx.doi.org/10.1016/j.chemosphere.2021.130338</v>
      </c>
      <c r="BG2465" s="1" t="s">
        <v>74</v>
      </c>
      <c r="BH2465" s="1" t="s">
        <v>14421</v>
      </c>
      <c r="BI2465" s="1">
        <v>13</v>
      </c>
      <c r="BJ2465" s="1" t="s">
        <v>144</v>
      </c>
      <c r="BK2465" s="1" t="s">
        <v>96</v>
      </c>
      <c r="BL2465" s="1" t="s">
        <v>145</v>
      </c>
      <c r="BM2465" s="1" t="s">
        <v>39396</v>
      </c>
      <c r="BN2465" s="1">
        <v>33813337</v>
      </c>
      <c r="BO2465" s="1" t="s">
        <v>74</v>
      </c>
      <c r="BP2465" s="1" t="s">
        <v>74</v>
      </c>
      <c r="BQ2465" s="1" t="s">
        <v>74</v>
      </c>
      <c r="BR2465" s="1" t="s">
        <v>98</v>
      </c>
      <c r="BS2465" s="1" t="s">
        <v>39397</v>
      </c>
      <c r="BT2465" s="1" t="str">
        <f>HYPERLINK("https%3A%2F%2Fwww.webofscience.com%2Fwos%2Fwoscc%2Ffull-record%2FWOS:000659471700032","View Full Record in Web of Science")</f>
        <v>View Full Record in Web of Science</v>
      </c>
      <c r="BU2465" s="1"/>
      <c r="BV2465" s="1"/>
    </row>
    <row r="2466" spans="1:74">
      <c r="A2466" s="1" t="s">
        <v>72</v>
      </c>
      <c r="B2466" s="1" t="s">
        <v>39398</v>
      </c>
      <c r="C2466" s="1" t="s">
        <v>74</v>
      </c>
      <c r="D2466" s="1" t="s">
        <v>74</v>
      </c>
      <c r="E2466" s="1" t="s">
        <v>74</v>
      </c>
      <c r="F2466" s="1" t="s">
        <v>39399</v>
      </c>
      <c r="G2466" s="1" t="s">
        <v>74</v>
      </c>
      <c r="H2466" s="1" t="s">
        <v>74</v>
      </c>
      <c r="I2466" s="1" t="s">
        <v>39400</v>
      </c>
      <c r="J2466" s="1" t="s">
        <v>232</v>
      </c>
      <c r="K2466" s="1" t="s">
        <v>74</v>
      </c>
      <c r="L2466" s="1" t="s">
        <v>74</v>
      </c>
      <c r="M2466" s="1" t="s">
        <v>78</v>
      </c>
      <c r="N2466" s="1" t="s">
        <v>79</v>
      </c>
      <c r="O2466" s="1" t="s">
        <v>74</v>
      </c>
      <c r="P2466" s="1" t="s">
        <v>74</v>
      </c>
      <c r="Q2466" s="1" t="s">
        <v>74</v>
      </c>
      <c r="R2466" s="1" t="s">
        <v>74</v>
      </c>
      <c r="S2466" s="1" t="s">
        <v>74</v>
      </c>
      <c r="T2466" s="1" t="s">
        <v>39401</v>
      </c>
      <c r="U2466" s="1" t="s">
        <v>39402</v>
      </c>
      <c r="V2466" s="1" t="s">
        <v>39403</v>
      </c>
      <c r="W2466" s="1" t="s">
        <v>39404</v>
      </c>
      <c r="X2466" s="1" t="s">
        <v>33083</v>
      </c>
      <c r="Y2466" s="1" t="s">
        <v>39405</v>
      </c>
      <c r="Z2466" s="1" t="s">
        <v>39406</v>
      </c>
      <c r="AA2466" s="1" t="s">
        <v>39407</v>
      </c>
      <c r="AB2466" s="1" t="s">
        <v>39408</v>
      </c>
      <c r="AC2466" s="1" t="s">
        <v>39409</v>
      </c>
      <c r="AD2466" s="1" t="s">
        <v>39410</v>
      </c>
      <c r="AE2466" s="1" t="s">
        <v>39411</v>
      </c>
      <c r="AF2466" s="1" t="s">
        <v>74</v>
      </c>
      <c r="AG2466" s="1">
        <v>85</v>
      </c>
      <c r="AH2466" s="1">
        <v>1</v>
      </c>
      <c r="AI2466" s="1">
        <v>1</v>
      </c>
      <c r="AJ2466" s="1">
        <v>4</v>
      </c>
      <c r="AK2466" s="1">
        <v>4</v>
      </c>
      <c r="AL2466" s="1" t="s">
        <v>136</v>
      </c>
      <c r="AM2466" s="1" t="s">
        <v>137</v>
      </c>
      <c r="AN2466" s="1" t="s">
        <v>138</v>
      </c>
      <c r="AO2466" s="1" t="s">
        <v>240</v>
      </c>
      <c r="AP2466" s="1" t="s">
        <v>241</v>
      </c>
      <c r="AQ2466" s="1" t="s">
        <v>74</v>
      </c>
      <c r="AR2466" s="1" t="s">
        <v>242</v>
      </c>
      <c r="AS2466" s="1" t="s">
        <v>243</v>
      </c>
      <c r="AT2466" s="1" t="s">
        <v>93</v>
      </c>
      <c r="AU2466" s="1">
        <v>2024</v>
      </c>
      <c r="AV2466" s="1">
        <v>201</v>
      </c>
      <c r="AW2466" s="1" t="s">
        <v>74</v>
      </c>
      <c r="AX2466" s="1" t="s">
        <v>74</v>
      </c>
      <c r="AY2466" s="1" t="s">
        <v>74</v>
      </c>
      <c r="AZ2466" s="1" t="s">
        <v>74</v>
      </c>
      <c r="BA2466" s="1" t="s">
        <v>74</v>
      </c>
      <c r="BB2466" s="1" t="s">
        <v>74</v>
      </c>
      <c r="BC2466" s="1" t="s">
        <v>74</v>
      </c>
      <c r="BD2466" s="1">
        <v>116244</v>
      </c>
      <c r="BE2466" s="1" t="s">
        <v>39412</v>
      </c>
      <c r="BF2466" s="1" t="str">
        <f>HYPERLINK("http://dx.doi.org/10.1016/j.marpolbul.2024.116244","http://dx.doi.org/10.1016/j.marpolbul.2024.116244")</f>
        <v>http://dx.doi.org/10.1016/j.marpolbul.2024.116244</v>
      </c>
      <c r="BG2466" s="1" t="s">
        <v>74</v>
      </c>
      <c r="BH2466" s="1" t="s">
        <v>2888</v>
      </c>
      <c r="BI2466" s="1">
        <v>10</v>
      </c>
      <c r="BJ2466" s="1" t="s">
        <v>247</v>
      </c>
      <c r="BK2466" s="1" t="s">
        <v>96</v>
      </c>
      <c r="BL2466" s="1" t="s">
        <v>248</v>
      </c>
      <c r="BM2466" s="1" t="s">
        <v>39413</v>
      </c>
      <c r="BN2466" s="1">
        <v>38489909</v>
      </c>
      <c r="BO2466" s="1" t="s">
        <v>74</v>
      </c>
      <c r="BP2466" s="1" t="s">
        <v>74</v>
      </c>
      <c r="BQ2466" s="1" t="s">
        <v>74</v>
      </c>
      <c r="BR2466" s="1" t="s">
        <v>98</v>
      </c>
      <c r="BS2466" s="1" t="s">
        <v>39414</v>
      </c>
      <c r="BT2466" s="1" t="str">
        <f>HYPERLINK("https%3A%2F%2Fwww.webofscience.com%2Fwos%2Fwoscc%2Ffull-record%2FWOS:001215074400001","View Full Record in Web of Science")</f>
        <v>View Full Record in Web of Science</v>
      </c>
      <c r="BU2466" s="1"/>
      <c r="BV2466" s="1"/>
    </row>
    <row r="2467" spans="1:74">
      <c r="A2467" s="1" t="s">
        <v>72</v>
      </c>
      <c r="B2467" s="1" t="s">
        <v>39415</v>
      </c>
      <c r="C2467" s="1" t="s">
        <v>74</v>
      </c>
      <c r="D2467" s="1" t="s">
        <v>74</v>
      </c>
      <c r="E2467" s="1" t="s">
        <v>74</v>
      </c>
      <c r="F2467" s="1" t="s">
        <v>39416</v>
      </c>
      <c r="G2467" s="1" t="s">
        <v>74</v>
      </c>
      <c r="H2467" s="1" t="s">
        <v>74</v>
      </c>
      <c r="I2467" s="1" t="s">
        <v>39417</v>
      </c>
      <c r="J2467" s="1" t="s">
        <v>2408</v>
      </c>
      <c r="K2467" s="1" t="s">
        <v>74</v>
      </c>
      <c r="L2467" s="1" t="s">
        <v>74</v>
      </c>
      <c r="M2467" s="1" t="s">
        <v>78</v>
      </c>
      <c r="N2467" s="1" t="s">
        <v>79</v>
      </c>
      <c r="O2467" s="1" t="s">
        <v>74</v>
      </c>
      <c r="P2467" s="1" t="s">
        <v>74</v>
      </c>
      <c r="Q2467" s="1" t="s">
        <v>74</v>
      </c>
      <c r="R2467" s="1" t="s">
        <v>74</v>
      </c>
      <c r="S2467" s="1" t="s">
        <v>74</v>
      </c>
      <c r="T2467" s="1" t="s">
        <v>39418</v>
      </c>
      <c r="U2467" s="1" t="s">
        <v>74</v>
      </c>
      <c r="V2467" s="1" t="s">
        <v>39419</v>
      </c>
      <c r="W2467" s="1" t="s">
        <v>39420</v>
      </c>
      <c r="X2467" s="1" t="s">
        <v>39421</v>
      </c>
      <c r="Y2467" s="1" t="s">
        <v>39422</v>
      </c>
      <c r="Z2467" s="1" t="s">
        <v>39423</v>
      </c>
      <c r="AA2467" s="1" t="s">
        <v>74</v>
      </c>
      <c r="AB2467" s="1" t="s">
        <v>74</v>
      </c>
      <c r="AC2467" s="1" t="s">
        <v>39424</v>
      </c>
      <c r="AD2467" s="1" t="s">
        <v>39424</v>
      </c>
      <c r="AE2467" s="1" t="s">
        <v>39425</v>
      </c>
      <c r="AF2467" s="1" t="s">
        <v>74</v>
      </c>
      <c r="AG2467" s="1">
        <v>57</v>
      </c>
      <c r="AH2467" s="1">
        <v>44</v>
      </c>
      <c r="AI2467" s="1">
        <v>68</v>
      </c>
      <c r="AJ2467" s="1">
        <v>1</v>
      </c>
      <c r="AK2467" s="1">
        <v>39</v>
      </c>
      <c r="AL2467" s="1" t="s">
        <v>2421</v>
      </c>
      <c r="AM2467" s="1" t="s">
        <v>2422</v>
      </c>
      <c r="AN2467" s="1" t="s">
        <v>2423</v>
      </c>
      <c r="AO2467" s="1" t="s">
        <v>2424</v>
      </c>
      <c r="AP2467" s="1" t="s">
        <v>2425</v>
      </c>
      <c r="AQ2467" s="1" t="s">
        <v>74</v>
      </c>
      <c r="AR2467" s="1" t="s">
        <v>2426</v>
      </c>
      <c r="AS2467" s="1" t="s">
        <v>2427</v>
      </c>
      <c r="AT2467" s="1" t="s">
        <v>1223</v>
      </c>
      <c r="AU2467" s="1">
        <v>2009</v>
      </c>
      <c r="AV2467" s="1">
        <v>28</v>
      </c>
      <c r="AW2467" s="1">
        <v>1</v>
      </c>
      <c r="AX2467" s="1" t="s">
        <v>74</v>
      </c>
      <c r="AY2467" s="1" t="s">
        <v>74</v>
      </c>
      <c r="AZ2467" s="1" t="s">
        <v>225</v>
      </c>
      <c r="BA2467" s="1" t="s">
        <v>74</v>
      </c>
      <c r="BB2467" s="1">
        <v>43</v>
      </c>
      <c r="BC2467" s="1">
        <v>49</v>
      </c>
      <c r="BD2467" s="1" t="s">
        <v>74</v>
      </c>
      <c r="BE2467" s="1" t="s">
        <v>39426</v>
      </c>
      <c r="BF2467" s="1" t="str">
        <f>HYPERLINK("http://dx.doi.org/10.2983/035.028.0109","http://dx.doi.org/10.2983/035.028.0109")</f>
        <v>http://dx.doi.org/10.2983/035.028.0109</v>
      </c>
      <c r="BG2467" s="1" t="s">
        <v>74</v>
      </c>
      <c r="BH2467" s="1" t="s">
        <v>74</v>
      </c>
      <c r="BI2467" s="1">
        <v>7</v>
      </c>
      <c r="BJ2467" s="1" t="s">
        <v>2391</v>
      </c>
      <c r="BK2467" s="1" t="s">
        <v>96</v>
      </c>
      <c r="BL2467" s="1" t="s">
        <v>2391</v>
      </c>
      <c r="BM2467" s="1" t="s">
        <v>39427</v>
      </c>
      <c r="BN2467" s="1" t="s">
        <v>74</v>
      </c>
      <c r="BO2467" s="1" t="s">
        <v>74</v>
      </c>
      <c r="BP2467" s="1" t="s">
        <v>74</v>
      </c>
      <c r="BQ2467" s="1" t="s">
        <v>74</v>
      </c>
      <c r="BR2467" s="1" t="s">
        <v>98</v>
      </c>
      <c r="BS2467" s="1" t="s">
        <v>39428</v>
      </c>
      <c r="BT2467" s="1" t="str">
        <f>HYPERLINK("https%3A%2F%2Fwww.webofscience.com%2Fwos%2Fwoscc%2Ffull-record%2FWOS:000265177200005","View Full Record in Web of Science")</f>
        <v>View Full Record in Web of Science</v>
      </c>
      <c r="BU2467" s="1"/>
      <c r="BV2467" s="1"/>
    </row>
    <row r="2468" spans="1:74">
      <c r="A2468" s="1" t="s">
        <v>72</v>
      </c>
      <c r="B2468" s="1" t="s">
        <v>39429</v>
      </c>
      <c r="C2468" s="1" t="s">
        <v>74</v>
      </c>
      <c r="D2468" s="1" t="s">
        <v>74</v>
      </c>
      <c r="E2468" s="1" t="s">
        <v>74</v>
      </c>
      <c r="F2468" s="1" t="s">
        <v>39429</v>
      </c>
      <c r="G2468" s="1" t="s">
        <v>74</v>
      </c>
      <c r="H2468" s="1" t="s">
        <v>74</v>
      </c>
      <c r="I2468" s="1" t="s">
        <v>39430</v>
      </c>
      <c r="J2468" s="1" t="s">
        <v>704</v>
      </c>
      <c r="K2468" s="1" t="s">
        <v>74</v>
      </c>
      <c r="L2468" s="1" t="s">
        <v>74</v>
      </c>
      <c r="M2468" s="1" t="s">
        <v>78</v>
      </c>
      <c r="N2468" s="1" t="s">
        <v>79</v>
      </c>
      <c r="O2468" s="1" t="s">
        <v>74</v>
      </c>
      <c r="P2468" s="1" t="s">
        <v>74</v>
      </c>
      <c r="Q2468" s="1" t="s">
        <v>74</v>
      </c>
      <c r="R2468" s="1" t="s">
        <v>74</v>
      </c>
      <c r="S2468" s="1" t="s">
        <v>74</v>
      </c>
      <c r="T2468" s="1" t="s">
        <v>74</v>
      </c>
      <c r="U2468" s="1" t="s">
        <v>74</v>
      </c>
      <c r="V2468" s="1" t="s">
        <v>39431</v>
      </c>
      <c r="W2468" s="1" t="s">
        <v>39432</v>
      </c>
      <c r="X2468" s="1" t="s">
        <v>39433</v>
      </c>
      <c r="Y2468" s="1" t="s">
        <v>74</v>
      </c>
      <c r="Z2468" s="1" t="s">
        <v>74</v>
      </c>
      <c r="AA2468" s="1" t="s">
        <v>39434</v>
      </c>
      <c r="AB2468" s="1" t="s">
        <v>39435</v>
      </c>
      <c r="AC2468" s="1" t="s">
        <v>74</v>
      </c>
      <c r="AD2468" s="1" t="s">
        <v>74</v>
      </c>
      <c r="AE2468" s="1" t="s">
        <v>74</v>
      </c>
      <c r="AF2468" s="1" t="s">
        <v>74</v>
      </c>
      <c r="AG2468" s="1">
        <v>40</v>
      </c>
      <c r="AH2468" s="1">
        <v>20</v>
      </c>
      <c r="AI2468" s="1">
        <v>21</v>
      </c>
      <c r="AJ2468" s="1">
        <v>0</v>
      </c>
      <c r="AK2468" s="1">
        <v>4</v>
      </c>
      <c r="AL2468" s="1" t="s">
        <v>1166</v>
      </c>
      <c r="AM2468" s="1" t="s">
        <v>1167</v>
      </c>
      <c r="AN2468" s="1" t="s">
        <v>1168</v>
      </c>
      <c r="AO2468" s="1" t="s">
        <v>718</v>
      </c>
      <c r="AP2468" s="1" t="s">
        <v>1169</v>
      </c>
      <c r="AQ2468" s="1" t="s">
        <v>74</v>
      </c>
      <c r="AR2468" s="1" t="s">
        <v>719</v>
      </c>
      <c r="AS2468" s="1" t="s">
        <v>720</v>
      </c>
      <c r="AT2468" s="1" t="s">
        <v>74</v>
      </c>
      <c r="AU2468" s="1">
        <v>1983</v>
      </c>
      <c r="AV2468" s="1">
        <v>20</v>
      </c>
      <c r="AW2468" s="1">
        <v>1</v>
      </c>
      <c r="AX2468" s="1" t="s">
        <v>74</v>
      </c>
      <c r="AY2468" s="1" t="s">
        <v>74</v>
      </c>
      <c r="AZ2468" s="1" t="s">
        <v>74</v>
      </c>
      <c r="BA2468" s="1" t="s">
        <v>74</v>
      </c>
      <c r="BB2468" s="1">
        <v>81</v>
      </c>
      <c r="BC2468" s="1">
        <v>98</v>
      </c>
      <c r="BD2468" s="1" t="s">
        <v>74</v>
      </c>
      <c r="BE2468" s="1" t="s">
        <v>39436</v>
      </c>
      <c r="BF2468" s="1" t="str">
        <f>HYPERLINK("http://dx.doi.org/10.1007/BF00279500","http://dx.doi.org/10.1007/BF00279500")</f>
        <v>http://dx.doi.org/10.1007/BF00279500</v>
      </c>
      <c r="BG2468" s="1" t="s">
        <v>74</v>
      </c>
      <c r="BH2468" s="1" t="s">
        <v>74</v>
      </c>
      <c r="BI2468" s="1">
        <v>18</v>
      </c>
      <c r="BJ2468" s="1" t="s">
        <v>722</v>
      </c>
      <c r="BK2468" s="1" t="s">
        <v>96</v>
      </c>
      <c r="BL2468" s="1" t="s">
        <v>723</v>
      </c>
      <c r="BM2468" s="1" t="s">
        <v>39437</v>
      </c>
      <c r="BN2468" s="1" t="s">
        <v>74</v>
      </c>
      <c r="BO2468" s="1" t="s">
        <v>74</v>
      </c>
      <c r="BP2468" s="1" t="s">
        <v>74</v>
      </c>
      <c r="BQ2468" s="1" t="s">
        <v>74</v>
      </c>
      <c r="BR2468" s="1" t="s">
        <v>98</v>
      </c>
      <c r="BS2468" s="1" t="s">
        <v>39438</v>
      </c>
      <c r="BT2468" s="1" t="str">
        <f>HYPERLINK("https%3A%2F%2Fwww.webofscience.com%2Fwos%2Fwoscc%2Ffull-record%2FWOS:A1983QV39600010","View Full Record in Web of Science")</f>
        <v>View Full Record in Web of Science</v>
      </c>
      <c r="BU2468" s="1"/>
      <c r="BV2468" s="1"/>
    </row>
    <row r="2469" spans="1:74">
      <c r="A2469" s="1" t="s">
        <v>72</v>
      </c>
      <c r="B2469" s="1" t="s">
        <v>39439</v>
      </c>
      <c r="C2469" s="1" t="s">
        <v>74</v>
      </c>
      <c r="D2469" s="1" t="s">
        <v>74</v>
      </c>
      <c r="E2469" s="1" t="s">
        <v>74</v>
      </c>
      <c r="F2469" s="1" t="s">
        <v>39440</v>
      </c>
      <c r="G2469" s="1" t="s">
        <v>74</v>
      </c>
      <c r="H2469" s="1" t="s">
        <v>74</v>
      </c>
      <c r="I2469" s="1" t="s">
        <v>39441</v>
      </c>
      <c r="J2469" s="1" t="s">
        <v>554</v>
      </c>
      <c r="K2469" s="1" t="s">
        <v>74</v>
      </c>
      <c r="L2469" s="1" t="s">
        <v>74</v>
      </c>
      <c r="M2469" s="1" t="s">
        <v>78</v>
      </c>
      <c r="N2469" s="1" t="s">
        <v>79</v>
      </c>
      <c r="O2469" s="1" t="s">
        <v>74</v>
      </c>
      <c r="P2469" s="1" t="s">
        <v>74</v>
      </c>
      <c r="Q2469" s="1" t="s">
        <v>74</v>
      </c>
      <c r="R2469" s="1" t="s">
        <v>74</v>
      </c>
      <c r="S2469" s="1" t="s">
        <v>74</v>
      </c>
      <c r="T2469" s="1" t="s">
        <v>39442</v>
      </c>
      <c r="U2469" s="1" t="s">
        <v>39443</v>
      </c>
      <c r="V2469" s="1" t="s">
        <v>39444</v>
      </c>
      <c r="W2469" s="1" t="s">
        <v>39445</v>
      </c>
      <c r="X2469" s="1" t="s">
        <v>12721</v>
      </c>
      <c r="Y2469" s="1" t="s">
        <v>39446</v>
      </c>
      <c r="Z2469" s="1" t="s">
        <v>8389</v>
      </c>
      <c r="AA2469" s="1" t="s">
        <v>74</v>
      </c>
      <c r="AB2469" s="1" t="s">
        <v>39447</v>
      </c>
      <c r="AC2469" s="1" t="s">
        <v>39448</v>
      </c>
      <c r="AD2469" s="1" t="s">
        <v>39448</v>
      </c>
      <c r="AE2469" s="1" t="s">
        <v>39449</v>
      </c>
      <c r="AF2469" s="1" t="s">
        <v>74</v>
      </c>
      <c r="AG2469" s="1">
        <v>68</v>
      </c>
      <c r="AH2469" s="1">
        <v>51</v>
      </c>
      <c r="AI2469" s="1">
        <v>58</v>
      </c>
      <c r="AJ2469" s="1">
        <v>1</v>
      </c>
      <c r="AK2469" s="1">
        <v>48</v>
      </c>
      <c r="AL2469" s="1" t="s">
        <v>564</v>
      </c>
      <c r="AM2469" s="1" t="s">
        <v>113</v>
      </c>
      <c r="AN2469" s="1" t="s">
        <v>807</v>
      </c>
      <c r="AO2469" s="1" t="s">
        <v>566</v>
      </c>
      <c r="AP2469" s="1" t="s">
        <v>567</v>
      </c>
      <c r="AQ2469" s="1" t="s">
        <v>74</v>
      </c>
      <c r="AR2469" s="1" t="s">
        <v>568</v>
      </c>
      <c r="AS2469" s="1" t="s">
        <v>569</v>
      </c>
      <c r="AT2469" s="1" t="s">
        <v>1223</v>
      </c>
      <c r="AU2469" s="1">
        <v>2012</v>
      </c>
      <c r="AV2469" s="1">
        <v>155</v>
      </c>
      <c r="AW2469" s="1">
        <v>2</v>
      </c>
      <c r="AX2469" s="1" t="s">
        <v>74</v>
      </c>
      <c r="AY2469" s="1" t="s">
        <v>74</v>
      </c>
      <c r="AZ2469" s="1" t="s">
        <v>74</v>
      </c>
      <c r="BA2469" s="1" t="s">
        <v>74</v>
      </c>
      <c r="BB2469" s="1">
        <v>182</v>
      </c>
      <c r="BC2469" s="1">
        <v>189</v>
      </c>
      <c r="BD2469" s="1" t="s">
        <v>74</v>
      </c>
      <c r="BE2469" s="1" t="s">
        <v>39450</v>
      </c>
      <c r="BF2469" s="1" t="str">
        <f>HYPERLINK("http://dx.doi.org/10.1016/j.cbpc.2011.08.001","http://dx.doi.org/10.1016/j.cbpc.2011.08.001")</f>
        <v>http://dx.doi.org/10.1016/j.cbpc.2011.08.001</v>
      </c>
      <c r="BG2469" s="1" t="s">
        <v>74</v>
      </c>
      <c r="BH2469" s="1" t="s">
        <v>74</v>
      </c>
      <c r="BI2469" s="1">
        <v>8</v>
      </c>
      <c r="BJ2469" s="1" t="s">
        <v>571</v>
      </c>
      <c r="BK2469" s="1" t="s">
        <v>96</v>
      </c>
      <c r="BL2469" s="1" t="s">
        <v>571</v>
      </c>
      <c r="BM2469" s="1" t="s">
        <v>39451</v>
      </c>
      <c r="BN2469" s="1">
        <v>21851862</v>
      </c>
      <c r="BO2469" s="1" t="s">
        <v>74</v>
      </c>
      <c r="BP2469" s="1" t="s">
        <v>74</v>
      </c>
      <c r="BQ2469" s="1" t="s">
        <v>74</v>
      </c>
      <c r="BR2469" s="1" t="s">
        <v>98</v>
      </c>
      <c r="BS2469" s="1" t="s">
        <v>39452</v>
      </c>
      <c r="BT2469" s="1" t="str">
        <f>HYPERLINK("https%3A%2F%2Fwww.webofscience.com%2Fwos%2Fwoscc%2Ffull-record%2FWOS:000299580200002","View Full Record in Web of Science")</f>
        <v>View Full Record in Web of Science</v>
      </c>
      <c r="BU2469" s="1"/>
      <c r="BV2469" s="1"/>
    </row>
    <row r="2470" spans="1:74">
      <c r="A2470" s="1" t="s">
        <v>72</v>
      </c>
      <c r="B2470" s="1" t="s">
        <v>39453</v>
      </c>
      <c r="C2470" s="1" t="s">
        <v>74</v>
      </c>
      <c r="D2470" s="1" t="s">
        <v>74</v>
      </c>
      <c r="E2470" s="1" t="s">
        <v>74</v>
      </c>
      <c r="F2470" s="1" t="s">
        <v>39454</v>
      </c>
      <c r="G2470" s="1" t="s">
        <v>74</v>
      </c>
      <c r="H2470" s="1" t="s">
        <v>74</v>
      </c>
      <c r="I2470" s="1" t="s">
        <v>39455</v>
      </c>
      <c r="J2470" s="1" t="s">
        <v>3926</v>
      </c>
      <c r="K2470" s="1" t="s">
        <v>74</v>
      </c>
      <c r="L2470" s="1" t="s">
        <v>74</v>
      </c>
      <c r="M2470" s="1" t="s">
        <v>78</v>
      </c>
      <c r="N2470" s="1" t="s">
        <v>79</v>
      </c>
      <c r="O2470" s="1" t="s">
        <v>74</v>
      </c>
      <c r="P2470" s="1" t="s">
        <v>74</v>
      </c>
      <c r="Q2470" s="1" t="s">
        <v>74</v>
      </c>
      <c r="R2470" s="1" t="s">
        <v>74</v>
      </c>
      <c r="S2470" s="1" t="s">
        <v>74</v>
      </c>
      <c r="T2470" s="1" t="s">
        <v>39456</v>
      </c>
      <c r="U2470" s="1" t="s">
        <v>39457</v>
      </c>
      <c r="V2470" s="1" t="s">
        <v>39458</v>
      </c>
      <c r="W2470" s="1" t="s">
        <v>39459</v>
      </c>
      <c r="X2470" s="1" t="s">
        <v>39460</v>
      </c>
      <c r="Y2470" s="1" t="s">
        <v>39461</v>
      </c>
      <c r="Z2470" s="1" t="s">
        <v>39462</v>
      </c>
      <c r="AA2470" s="1" t="s">
        <v>39463</v>
      </c>
      <c r="AB2470" s="1" t="s">
        <v>39464</v>
      </c>
      <c r="AC2470" s="1" t="s">
        <v>74</v>
      </c>
      <c r="AD2470" s="1" t="s">
        <v>74</v>
      </c>
      <c r="AE2470" s="1" t="s">
        <v>74</v>
      </c>
      <c r="AF2470" s="1" t="s">
        <v>74</v>
      </c>
      <c r="AG2470" s="1">
        <v>38</v>
      </c>
      <c r="AH2470" s="1">
        <v>16</v>
      </c>
      <c r="AI2470" s="1">
        <v>17</v>
      </c>
      <c r="AJ2470" s="1">
        <v>1</v>
      </c>
      <c r="AK2470" s="1">
        <v>11</v>
      </c>
      <c r="AL2470" s="1" t="s">
        <v>650</v>
      </c>
      <c r="AM2470" s="1" t="s">
        <v>651</v>
      </c>
      <c r="AN2470" s="1" t="s">
        <v>652</v>
      </c>
      <c r="AO2470" s="1" t="s">
        <v>3939</v>
      </c>
      <c r="AP2470" s="1" t="s">
        <v>3940</v>
      </c>
      <c r="AQ2470" s="1" t="s">
        <v>74</v>
      </c>
      <c r="AR2470" s="1" t="s">
        <v>3926</v>
      </c>
      <c r="AS2470" s="1" t="s">
        <v>3941</v>
      </c>
      <c r="AT2470" s="1" t="s">
        <v>224</v>
      </c>
      <c r="AU2470" s="1">
        <v>2010</v>
      </c>
      <c r="AV2470" s="1">
        <v>299</v>
      </c>
      <c r="AW2470" s="1" t="s">
        <v>721</v>
      </c>
      <c r="AX2470" s="1" t="s">
        <v>74</v>
      </c>
      <c r="AY2470" s="1" t="s">
        <v>74</v>
      </c>
      <c r="AZ2470" s="1" t="s">
        <v>74</v>
      </c>
      <c r="BA2470" s="1" t="s">
        <v>74</v>
      </c>
      <c r="BB2470" s="1">
        <v>8</v>
      </c>
      <c r="BC2470" s="1">
        <v>14</v>
      </c>
      <c r="BD2470" s="1" t="s">
        <v>74</v>
      </c>
      <c r="BE2470" s="1" t="s">
        <v>39465</v>
      </c>
      <c r="BF2470" s="1" t="str">
        <f>HYPERLINK("http://dx.doi.org/10.1016/j.aquaculture.2009.12.007","http://dx.doi.org/10.1016/j.aquaculture.2009.12.007")</f>
        <v>http://dx.doi.org/10.1016/j.aquaculture.2009.12.007</v>
      </c>
      <c r="BG2470" s="1" t="s">
        <v>74</v>
      </c>
      <c r="BH2470" s="1" t="s">
        <v>74</v>
      </c>
      <c r="BI2470" s="1">
        <v>7</v>
      </c>
      <c r="BJ2470" s="1" t="s">
        <v>2391</v>
      </c>
      <c r="BK2470" s="1" t="s">
        <v>96</v>
      </c>
      <c r="BL2470" s="1" t="s">
        <v>2391</v>
      </c>
      <c r="BM2470" s="1" t="s">
        <v>39466</v>
      </c>
      <c r="BN2470" s="1" t="s">
        <v>74</v>
      </c>
      <c r="BO2470" s="1" t="s">
        <v>74</v>
      </c>
      <c r="BP2470" s="1" t="s">
        <v>74</v>
      </c>
      <c r="BQ2470" s="1" t="s">
        <v>74</v>
      </c>
      <c r="BR2470" s="1" t="s">
        <v>98</v>
      </c>
      <c r="BS2470" s="1" t="s">
        <v>39467</v>
      </c>
      <c r="BT2470" s="1" t="str">
        <f>HYPERLINK("https%3A%2F%2Fwww.webofscience.com%2Fwos%2Fwoscc%2Ffull-record%2FWOS:000275033500002","View Full Record in Web of Science")</f>
        <v>View Full Record in Web of Science</v>
      </c>
      <c r="BU2470" s="1"/>
      <c r="BV2470" s="1"/>
    </row>
    <row r="2471" spans="1:74">
      <c r="A2471" s="1" t="s">
        <v>72</v>
      </c>
      <c r="B2471" s="1" t="s">
        <v>39468</v>
      </c>
      <c r="C2471" s="1" t="s">
        <v>74</v>
      </c>
      <c r="D2471" s="1" t="s">
        <v>74</v>
      </c>
      <c r="E2471" s="1" t="s">
        <v>74</v>
      </c>
      <c r="F2471" s="1" t="s">
        <v>39469</v>
      </c>
      <c r="G2471" s="1" t="s">
        <v>74</v>
      </c>
      <c r="H2471" s="1" t="s">
        <v>74</v>
      </c>
      <c r="I2471" s="1" t="s">
        <v>39470</v>
      </c>
      <c r="J2471" s="1" t="s">
        <v>22642</v>
      </c>
      <c r="K2471" s="1" t="s">
        <v>74</v>
      </c>
      <c r="L2471" s="1" t="s">
        <v>74</v>
      </c>
      <c r="M2471" s="1" t="s">
        <v>78</v>
      </c>
      <c r="N2471" s="1" t="s">
        <v>79</v>
      </c>
      <c r="O2471" s="1" t="s">
        <v>74</v>
      </c>
      <c r="P2471" s="1" t="s">
        <v>74</v>
      </c>
      <c r="Q2471" s="1" t="s">
        <v>74</v>
      </c>
      <c r="R2471" s="1" t="s">
        <v>74</v>
      </c>
      <c r="S2471" s="1" t="s">
        <v>74</v>
      </c>
      <c r="T2471" s="1" t="s">
        <v>39471</v>
      </c>
      <c r="U2471" s="1" t="s">
        <v>39472</v>
      </c>
      <c r="V2471" s="1" t="s">
        <v>39473</v>
      </c>
      <c r="W2471" s="1" t="s">
        <v>39474</v>
      </c>
      <c r="X2471" s="1" t="s">
        <v>39475</v>
      </c>
      <c r="Y2471" s="1" t="s">
        <v>4275</v>
      </c>
      <c r="Z2471" s="1" t="s">
        <v>39476</v>
      </c>
      <c r="AA2471" s="1" t="s">
        <v>39477</v>
      </c>
      <c r="AB2471" s="1" t="s">
        <v>39478</v>
      </c>
      <c r="AC2471" s="1" t="s">
        <v>39479</v>
      </c>
      <c r="AD2471" s="1" t="s">
        <v>39480</v>
      </c>
      <c r="AE2471" s="1" t="s">
        <v>39481</v>
      </c>
      <c r="AF2471" s="1" t="s">
        <v>74</v>
      </c>
      <c r="AG2471" s="1">
        <v>57</v>
      </c>
      <c r="AH2471" s="1">
        <v>4</v>
      </c>
      <c r="AI2471" s="1">
        <v>4</v>
      </c>
      <c r="AJ2471" s="1">
        <v>6</v>
      </c>
      <c r="AK2471" s="1">
        <v>33</v>
      </c>
      <c r="AL2471" s="1" t="s">
        <v>3362</v>
      </c>
      <c r="AM2471" s="1" t="s">
        <v>3363</v>
      </c>
      <c r="AN2471" s="1" t="s">
        <v>3364</v>
      </c>
      <c r="AO2471" s="1" t="s">
        <v>22655</v>
      </c>
      <c r="AP2471" s="1" t="s">
        <v>22656</v>
      </c>
      <c r="AQ2471" s="1" t="s">
        <v>74</v>
      </c>
      <c r="AR2471" s="1" t="s">
        <v>22657</v>
      </c>
      <c r="AS2471" s="1" t="s">
        <v>22658</v>
      </c>
      <c r="AT2471" s="1" t="s">
        <v>170</v>
      </c>
      <c r="AU2471" s="1">
        <v>2023</v>
      </c>
      <c r="AV2471" s="1">
        <v>118</v>
      </c>
      <c r="AW2471" s="1" t="s">
        <v>74</v>
      </c>
      <c r="AX2471" s="1" t="s">
        <v>74</v>
      </c>
      <c r="AY2471" s="1" t="s">
        <v>74</v>
      </c>
      <c r="AZ2471" s="1" t="s">
        <v>74</v>
      </c>
      <c r="BA2471" s="1" t="s">
        <v>74</v>
      </c>
      <c r="BB2471" s="1" t="s">
        <v>74</v>
      </c>
      <c r="BC2471" s="1" t="s">
        <v>74</v>
      </c>
      <c r="BD2471" s="1">
        <v>105193</v>
      </c>
      <c r="BE2471" s="1" t="s">
        <v>39482</v>
      </c>
      <c r="BF2471" s="1" t="str">
        <f>HYPERLINK("http://dx.doi.org/10.1016/j.jfca.2023.105193","http://dx.doi.org/10.1016/j.jfca.2023.105193")</f>
        <v>http://dx.doi.org/10.1016/j.jfca.2023.105193</v>
      </c>
      <c r="BG2471" s="1" t="s">
        <v>74</v>
      </c>
      <c r="BH2471" s="1" t="s">
        <v>10846</v>
      </c>
      <c r="BI2471" s="1">
        <v>12</v>
      </c>
      <c r="BJ2471" s="1" t="s">
        <v>22661</v>
      </c>
      <c r="BK2471" s="1" t="s">
        <v>96</v>
      </c>
      <c r="BL2471" s="1" t="s">
        <v>22662</v>
      </c>
      <c r="BM2471" s="1" t="s">
        <v>39483</v>
      </c>
      <c r="BN2471" s="1" t="s">
        <v>74</v>
      </c>
      <c r="BO2471" s="1" t="s">
        <v>74</v>
      </c>
      <c r="BP2471" s="1" t="s">
        <v>74</v>
      </c>
      <c r="BQ2471" s="1" t="s">
        <v>74</v>
      </c>
      <c r="BR2471" s="1" t="s">
        <v>98</v>
      </c>
      <c r="BS2471" s="1" t="s">
        <v>39484</v>
      </c>
      <c r="BT2471" s="1" t="str">
        <f>HYPERLINK("https%3A%2F%2Fwww.webofscience.com%2Fwos%2Fwoscc%2Ffull-record%2FWOS:000939831700001","View Full Record in Web of Science")</f>
        <v>View Full Record in Web of Science</v>
      </c>
      <c r="BU2471" s="1"/>
      <c r="BV2471" s="1"/>
    </row>
    <row r="2472" spans="1:74">
      <c r="A2472" s="1" t="s">
        <v>72</v>
      </c>
      <c r="B2472" s="1" t="s">
        <v>39485</v>
      </c>
      <c r="C2472" s="1" t="s">
        <v>74</v>
      </c>
      <c r="D2472" s="1" t="s">
        <v>74</v>
      </c>
      <c r="E2472" s="1" t="s">
        <v>74</v>
      </c>
      <c r="F2472" s="1" t="s">
        <v>39486</v>
      </c>
      <c r="G2472" s="1" t="s">
        <v>74</v>
      </c>
      <c r="H2472" s="1" t="s">
        <v>74</v>
      </c>
      <c r="I2472" s="1" t="s">
        <v>39487</v>
      </c>
      <c r="J2472" s="1" t="s">
        <v>421</v>
      </c>
      <c r="K2472" s="1" t="s">
        <v>74</v>
      </c>
      <c r="L2472" s="1" t="s">
        <v>74</v>
      </c>
      <c r="M2472" s="1" t="s">
        <v>78</v>
      </c>
      <c r="N2472" s="1" t="s">
        <v>79</v>
      </c>
      <c r="O2472" s="1" t="s">
        <v>74</v>
      </c>
      <c r="P2472" s="1" t="s">
        <v>74</v>
      </c>
      <c r="Q2472" s="1" t="s">
        <v>74</v>
      </c>
      <c r="R2472" s="1" t="s">
        <v>74</v>
      </c>
      <c r="S2472" s="1" t="s">
        <v>74</v>
      </c>
      <c r="T2472" s="1" t="s">
        <v>39488</v>
      </c>
      <c r="U2472" s="1" t="s">
        <v>39489</v>
      </c>
      <c r="V2472" s="1" t="s">
        <v>39490</v>
      </c>
      <c r="W2472" s="1" t="s">
        <v>39491</v>
      </c>
      <c r="X2472" s="1" t="s">
        <v>39492</v>
      </c>
      <c r="Y2472" s="1" t="s">
        <v>39493</v>
      </c>
      <c r="Z2472" s="1" t="s">
        <v>39494</v>
      </c>
      <c r="AA2472" s="1" t="s">
        <v>39495</v>
      </c>
      <c r="AB2472" s="1" t="s">
        <v>39496</v>
      </c>
      <c r="AC2472" s="1" t="s">
        <v>39497</v>
      </c>
      <c r="AD2472" s="1" t="s">
        <v>39498</v>
      </c>
      <c r="AE2472" s="1" t="s">
        <v>39499</v>
      </c>
      <c r="AF2472" s="1" t="s">
        <v>74</v>
      </c>
      <c r="AG2472" s="1">
        <v>45</v>
      </c>
      <c r="AH2472" s="1">
        <v>41</v>
      </c>
      <c r="AI2472" s="1">
        <v>43</v>
      </c>
      <c r="AJ2472" s="1">
        <v>13</v>
      </c>
      <c r="AK2472" s="1">
        <v>142</v>
      </c>
      <c r="AL2472" s="1" t="s">
        <v>430</v>
      </c>
      <c r="AM2472" s="1" t="s">
        <v>137</v>
      </c>
      <c r="AN2472" s="1" t="s">
        <v>431</v>
      </c>
      <c r="AO2472" s="1" t="s">
        <v>432</v>
      </c>
      <c r="AP2472" s="1" t="s">
        <v>1394</v>
      </c>
      <c r="AQ2472" s="1" t="s">
        <v>74</v>
      </c>
      <c r="AR2472" s="1" t="s">
        <v>433</v>
      </c>
      <c r="AS2472" s="1" t="s">
        <v>434</v>
      </c>
      <c r="AT2472" s="1" t="s">
        <v>170</v>
      </c>
      <c r="AU2472" s="1">
        <v>2020</v>
      </c>
      <c r="AV2472" s="1">
        <v>260</v>
      </c>
      <c r="AW2472" s="1" t="s">
        <v>74</v>
      </c>
      <c r="AX2472" s="1" t="s">
        <v>74</v>
      </c>
      <c r="AY2472" s="1" t="s">
        <v>74</v>
      </c>
      <c r="AZ2472" s="1" t="s">
        <v>74</v>
      </c>
      <c r="BA2472" s="1" t="s">
        <v>74</v>
      </c>
      <c r="BB2472" s="1" t="s">
        <v>74</v>
      </c>
      <c r="BC2472" s="1" t="s">
        <v>74</v>
      </c>
      <c r="BD2472" s="1">
        <v>114043</v>
      </c>
      <c r="BE2472" s="1" t="s">
        <v>39500</v>
      </c>
      <c r="BF2472" s="1" t="str">
        <f>HYPERLINK("http://dx.doi.org/10.1016/j.envpol.2020.114043","http://dx.doi.org/10.1016/j.envpol.2020.114043")</f>
        <v>http://dx.doi.org/10.1016/j.envpol.2020.114043</v>
      </c>
      <c r="BG2472" s="1" t="s">
        <v>74</v>
      </c>
      <c r="BH2472" s="1" t="s">
        <v>74</v>
      </c>
      <c r="BI2472" s="1">
        <v>9</v>
      </c>
      <c r="BJ2472" s="1" t="s">
        <v>144</v>
      </c>
      <c r="BK2472" s="1" t="s">
        <v>96</v>
      </c>
      <c r="BL2472" s="1" t="s">
        <v>145</v>
      </c>
      <c r="BM2472" s="1" t="s">
        <v>6068</v>
      </c>
      <c r="BN2472" s="1">
        <v>32041024</v>
      </c>
      <c r="BO2472" s="1" t="s">
        <v>476</v>
      </c>
      <c r="BP2472" s="1" t="s">
        <v>74</v>
      </c>
      <c r="BQ2472" s="1" t="s">
        <v>74</v>
      </c>
      <c r="BR2472" s="1" t="s">
        <v>98</v>
      </c>
      <c r="BS2472" s="1" t="s">
        <v>39501</v>
      </c>
      <c r="BT2472" s="1" t="str">
        <f>HYPERLINK("https%3A%2F%2Fwww.webofscience.com%2Fwos%2Fwoscc%2Ffull-record%2FWOS:000528537600021","View Full Record in Web of Science")</f>
        <v>View Full Record in Web of Science</v>
      </c>
      <c r="BU2472" s="1"/>
      <c r="BV2472" s="1"/>
    </row>
    <row r="2473" spans="1:74">
      <c r="A2473" s="1" t="s">
        <v>72</v>
      </c>
      <c r="B2473" s="1" t="s">
        <v>39502</v>
      </c>
      <c r="C2473" s="1" t="s">
        <v>74</v>
      </c>
      <c r="D2473" s="1" t="s">
        <v>74</v>
      </c>
      <c r="E2473" s="1" t="s">
        <v>74</v>
      </c>
      <c r="F2473" s="1" t="s">
        <v>39503</v>
      </c>
      <c r="G2473" s="1" t="s">
        <v>74</v>
      </c>
      <c r="H2473" s="1" t="s">
        <v>74</v>
      </c>
      <c r="I2473" s="1" t="s">
        <v>39504</v>
      </c>
      <c r="J2473" s="1" t="s">
        <v>2063</v>
      </c>
      <c r="K2473" s="1" t="s">
        <v>74</v>
      </c>
      <c r="L2473" s="1" t="s">
        <v>74</v>
      </c>
      <c r="M2473" s="1" t="s">
        <v>78</v>
      </c>
      <c r="N2473" s="1" t="s">
        <v>79</v>
      </c>
      <c r="O2473" s="1" t="s">
        <v>74</v>
      </c>
      <c r="P2473" s="1" t="s">
        <v>74</v>
      </c>
      <c r="Q2473" s="1" t="s">
        <v>74</v>
      </c>
      <c r="R2473" s="1" t="s">
        <v>74</v>
      </c>
      <c r="S2473" s="1" t="s">
        <v>74</v>
      </c>
      <c r="T2473" s="1" t="s">
        <v>39505</v>
      </c>
      <c r="U2473" s="1" t="s">
        <v>39506</v>
      </c>
      <c r="V2473" s="1" t="s">
        <v>39507</v>
      </c>
      <c r="W2473" s="1" t="s">
        <v>39508</v>
      </c>
      <c r="X2473" s="1" t="s">
        <v>14304</v>
      </c>
      <c r="Y2473" s="1" t="s">
        <v>39509</v>
      </c>
      <c r="Z2473" s="1" t="s">
        <v>39510</v>
      </c>
      <c r="AA2473" s="1" t="s">
        <v>39511</v>
      </c>
      <c r="AB2473" s="1" t="s">
        <v>39512</v>
      </c>
      <c r="AC2473" s="1" t="s">
        <v>39513</v>
      </c>
      <c r="AD2473" s="1" t="s">
        <v>39514</v>
      </c>
      <c r="AE2473" s="1" t="s">
        <v>39515</v>
      </c>
      <c r="AF2473" s="1" t="s">
        <v>74</v>
      </c>
      <c r="AG2473" s="1">
        <v>49</v>
      </c>
      <c r="AH2473" s="1">
        <v>5</v>
      </c>
      <c r="AI2473" s="1">
        <v>5</v>
      </c>
      <c r="AJ2473" s="1">
        <v>1</v>
      </c>
      <c r="AK2473" s="1">
        <v>21</v>
      </c>
      <c r="AL2473" s="1" t="s">
        <v>2074</v>
      </c>
      <c r="AM2473" s="1" t="s">
        <v>2075</v>
      </c>
      <c r="AN2473" s="1" t="s">
        <v>2076</v>
      </c>
      <c r="AO2473" s="1" t="s">
        <v>2077</v>
      </c>
      <c r="AP2473" s="1" t="s">
        <v>2078</v>
      </c>
      <c r="AQ2473" s="1" t="s">
        <v>74</v>
      </c>
      <c r="AR2473" s="1" t="s">
        <v>2079</v>
      </c>
      <c r="AS2473" s="1" t="s">
        <v>2080</v>
      </c>
      <c r="AT2473" s="1" t="s">
        <v>6805</v>
      </c>
      <c r="AU2473" s="1">
        <v>2015</v>
      </c>
      <c r="AV2473" s="1">
        <v>31</v>
      </c>
      <c r="AW2473" s="1">
        <v>5</v>
      </c>
      <c r="AX2473" s="1" t="s">
        <v>74</v>
      </c>
      <c r="AY2473" s="1" t="s">
        <v>74</v>
      </c>
      <c r="AZ2473" s="1" t="s">
        <v>74</v>
      </c>
      <c r="BA2473" s="1" t="s">
        <v>74</v>
      </c>
      <c r="BB2473" s="1">
        <v>432</v>
      </c>
      <c r="BC2473" s="1">
        <v>445</v>
      </c>
      <c r="BD2473" s="1" t="s">
        <v>74</v>
      </c>
      <c r="BE2473" s="1" t="s">
        <v>39516</v>
      </c>
      <c r="BF2473" s="1" t="str">
        <f>HYPERLINK("http://dx.doi.org/10.1080/02757540.2015.1050003","http://dx.doi.org/10.1080/02757540.2015.1050003")</f>
        <v>http://dx.doi.org/10.1080/02757540.2015.1050003</v>
      </c>
      <c r="BG2473" s="1" t="s">
        <v>74</v>
      </c>
      <c r="BH2473" s="1" t="s">
        <v>74</v>
      </c>
      <c r="BI2473" s="1">
        <v>14</v>
      </c>
      <c r="BJ2473" s="1" t="s">
        <v>2083</v>
      </c>
      <c r="BK2473" s="1" t="s">
        <v>96</v>
      </c>
      <c r="BL2473" s="1" t="s">
        <v>2084</v>
      </c>
      <c r="BM2473" s="1" t="s">
        <v>39517</v>
      </c>
      <c r="BN2473" s="1" t="s">
        <v>74</v>
      </c>
      <c r="BO2473" s="1" t="s">
        <v>74</v>
      </c>
      <c r="BP2473" s="1" t="s">
        <v>74</v>
      </c>
      <c r="BQ2473" s="1" t="s">
        <v>74</v>
      </c>
      <c r="BR2473" s="1" t="s">
        <v>98</v>
      </c>
      <c r="BS2473" s="1" t="s">
        <v>39518</v>
      </c>
      <c r="BT2473" s="1" t="str">
        <f>HYPERLINK("https%3A%2F%2Fwww.webofscience.com%2Fwos%2Fwoscc%2Ffull-record%2FWOS:000359746800004","View Full Record in Web of Science")</f>
        <v>View Full Record in Web of Science</v>
      </c>
      <c r="BU2473" s="1"/>
      <c r="BV2473" s="1"/>
    </row>
    <row r="2474" spans="1:74">
      <c r="A2474" s="1" t="s">
        <v>72</v>
      </c>
      <c r="B2474" s="1" t="s">
        <v>39519</v>
      </c>
      <c r="C2474" s="1" t="s">
        <v>74</v>
      </c>
      <c r="D2474" s="1" t="s">
        <v>74</v>
      </c>
      <c r="E2474" s="1" t="s">
        <v>74</v>
      </c>
      <c r="F2474" s="1" t="s">
        <v>39520</v>
      </c>
      <c r="G2474" s="1" t="s">
        <v>74</v>
      </c>
      <c r="H2474" s="1" t="s">
        <v>74</v>
      </c>
      <c r="I2474" s="1" t="s">
        <v>39521</v>
      </c>
      <c r="J2474" s="1" t="s">
        <v>909</v>
      </c>
      <c r="K2474" s="1" t="s">
        <v>74</v>
      </c>
      <c r="L2474" s="1" t="s">
        <v>74</v>
      </c>
      <c r="M2474" s="1" t="s">
        <v>78</v>
      </c>
      <c r="N2474" s="1" t="s">
        <v>79</v>
      </c>
      <c r="O2474" s="1" t="s">
        <v>74</v>
      </c>
      <c r="P2474" s="1" t="s">
        <v>74</v>
      </c>
      <c r="Q2474" s="1" t="s">
        <v>74</v>
      </c>
      <c r="R2474" s="1" t="s">
        <v>74</v>
      </c>
      <c r="S2474" s="1" t="s">
        <v>74</v>
      </c>
      <c r="T2474" s="1" t="s">
        <v>39522</v>
      </c>
      <c r="U2474" s="1" t="s">
        <v>39523</v>
      </c>
      <c r="V2474" s="1" t="s">
        <v>39524</v>
      </c>
      <c r="W2474" s="1" t="s">
        <v>39525</v>
      </c>
      <c r="X2474" s="1" t="s">
        <v>39526</v>
      </c>
      <c r="Y2474" s="1" t="s">
        <v>39527</v>
      </c>
      <c r="Z2474" s="1" t="s">
        <v>39528</v>
      </c>
      <c r="AA2474" s="1" t="s">
        <v>39529</v>
      </c>
      <c r="AB2474" s="1" t="s">
        <v>39530</v>
      </c>
      <c r="AC2474" s="1" t="s">
        <v>39531</v>
      </c>
      <c r="AD2474" s="1" t="s">
        <v>39532</v>
      </c>
      <c r="AE2474" s="1" t="s">
        <v>39533</v>
      </c>
      <c r="AF2474" s="1" t="s">
        <v>74</v>
      </c>
      <c r="AG2474" s="1">
        <v>25</v>
      </c>
      <c r="AH2474" s="1">
        <v>346</v>
      </c>
      <c r="AI2474" s="1">
        <v>383</v>
      </c>
      <c r="AJ2474" s="1">
        <v>13</v>
      </c>
      <c r="AK2474" s="1">
        <v>545</v>
      </c>
      <c r="AL2474" s="1" t="s">
        <v>650</v>
      </c>
      <c r="AM2474" s="1" t="s">
        <v>651</v>
      </c>
      <c r="AN2474" s="1" t="s">
        <v>652</v>
      </c>
      <c r="AO2474" s="1" t="s">
        <v>921</v>
      </c>
      <c r="AP2474" s="1" t="s">
        <v>922</v>
      </c>
      <c r="AQ2474" s="1" t="s">
        <v>74</v>
      </c>
      <c r="AR2474" s="1" t="s">
        <v>923</v>
      </c>
      <c r="AS2474" s="1" t="s">
        <v>924</v>
      </c>
      <c r="AT2474" s="1" t="s">
        <v>11873</v>
      </c>
      <c r="AU2474" s="1">
        <v>2018</v>
      </c>
      <c r="AV2474" s="1">
        <v>610</v>
      </c>
      <c r="AW2474" s="1" t="s">
        <v>74</v>
      </c>
      <c r="AX2474" s="1" t="s">
        <v>74</v>
      </c>
      <c r="AY2474" s="1" t="s">
        <v>74</v>
      </c>
      <c r="AZ2474" s="1" t="s">
        <v>74</v>
      </c>
      <c r="BA2474" s="1" t="s">
        <v>74</v>
      </c>
      <c r="BB2474" s="1">
        <v>635</v>
      </c>
      <c r="BC2474" s="1">
        <v>640</v>
      </c>
      <c r="BD2474" s="1" t="s">
        <v>74</v>
      </c>
      <c r="BE2474" s="1" t="s">
        <v>39534</v>
      </c>
      <c r="BF2474" s="1" t="str">
        <f>HYPERLINK("http://dx.doi.org/10.1016/j.scitotenv.2017.08.053","http://dx.doi.org/10.1016/j.scitotenv.2017.08.053")</f>
        <v>http://dx.doi.org/10.1016/j.scitotenv.2017.08.053</v>
      </c>
      <c r="BG2474" s="1" t="s">
        <v>74</v>
      </c>
      <c r="BH2474" s="1" t="s">
        <v>74</v>
      </c>
      <c r="BI2474" s="1">
        <v>6</v>
      </c>
      <c r="BJ2474" s="1" t="s">
        <v>144</v>
      </c>
      <c r="BK2474" s="1" t="s">
        <v>96</v>
      </c>
      <c r="BL2474" s="1" t="s">
        <v>145</v>
      </c>
      <c r="BM2474" s="1" t="s">
        <v>39535</v>
      </c>
      <c r="BN2474" s="1">
        <v>28822931</v>
      </c>
      <c r="BO2474" s="1" t="s">
        <v>74</v>
      </c>
      <c r="BP2474" s="1" t="s">
        <v>74</v>
      </c>
      <c r="BQ2474" s="1" t="s">
        <v>74</v>
      </c>
      <c r="BR2474" s="1" t="s">
        <v>98</v>
      </c>
      <c r="BS2474" s="1" t="s">
        <v>39536</v>
      </c>
      <c r="BT2474" s="1" t="str">
        <f>HYPERLINK("https%3A%2F%2Fwww.webofscience.com%2Fwos%2Fwoscc%2Ffull-record%2FWOS:000411897700065","View Full Record in Web of Science")</f>
        <v>View Full Record in Web of Science</v>
      </c>
      <c r="BU2474" s="1"/>
      <c r="BV2474" s="1"/>
    </row>
    <row r="2475" spans="1:74">
      <c r="A2475" s="1" t="s">
        <v>72</v>
      </c>
      <c r="B2475" s="1" t="s">
        <v>39537</v>
      </c>
      <c r="C2475" s="1" t="s">
        <v>74</v>
      </c>
      <c r="D2475" s="1" t="s">
        <v>74</v>
      </c>
      <c r="E2475" s="1" t="s">
        <v>74</v>
      </c>
      <c r="F2475" s="1" t="s">
        <v>39538</v>
      </c>
      <c r="G2475" s="1" t="s">
        <v>74</v>
      </c>
      <c r="H2475" s="1" t="s">
        <v>74</v>
      </c>
      <c r="I2475" s="1" t="s">
        <v>39539</v>
      </c>
      <c r="J2475" s="1" t="s">
        <v>704</v>
      </c>
      <c r="K2475" s="1" t="s">
        <v>74</v>
      </c>
      <c r="L2475" s="1" t="s">
        <v>74</v>
      </c>
      <c r="M2475" s="1" t="s">
        <v>78</v>
      </c>
      <c r="N2475" s="1" t="s">
        <v>79</v>
      </c>
      <c r="O2475" s="1" t="s">
        <v>74</v>
      </c>
      <c r="P2475" s="1" t="s">
        <v>74</v>
      </c>
      <c r="Q2475" s="1" t="s">
        <v>74</v>
      </c>
      <c r="R2475" s="1" t="s">
        <v>74</v>
      </c>
      <c r="S2475" s="1" t="s">
        <v>74</v>
      </c>
      <c r="T2475" s="1" t="s">
        <v>39540</v>
      </c>
      <c r="U2475" s="1" t="s">
        <v>39541</v>
      </c>
      <c r="V2475" s="1" t="s">
        <v>39542</v>
      </c>
      <c r="W2475" s="1" t="s">
        <v>39543</v>
      </c>
      <c r="X2475" s="1" t="s">
        <v>39544</v>
      </c>
      <c r="Y2475" s="1" t="s">
        <v>39545</v>
      </c>
      <c r="Z2475" s="1" t="s">
        <v>39546</v>
      </c>
      <c r="AA2475" s="1" t="s">
        <v>39547</v>
      </c>
      <c r="AB2475" s="1" t="s">
        <v>39548</v>
      </c>
      <c r="AC2475" s="1" t="s">
        <v>39549</v>
      </c>
      <c r="AD2475" s="1" t="s">
        <v>39550</v>
      </c>
      <c r="AE2475" s="1" t="s">
        <v>39551</v>
      </c>
      <c r="AF2475" s="1" t="s">
        <v>74</v>
      </c>
      <c r="AG2475" s="1">
        <v>12</v>
      </c>
      <c r="AH2475" s="1">
        <v>21</v>
      </c>
      <c r="AI2475" s="1">
        <v>21</v>
      </c>
      <c r="AJ2475" s="1">
        <v>0</v>
      </c>
      <c r="AK2475" s="1">
        <v>9</v>
      </c>
      <c r="AL2475" s="1" t="s">
        <v>112</v>
      </c>
      <c r="AM2475" s="1" t="s">
        <v>191</v>
      </c>
      <c r="AN2475" s="1" t="s">
        <v>192</v>
      </c>
      <c r="AO2475" s="1" t="s">
        <v>718</v>
      </c>
      <c r="AP2475" s="1" t="s">
        <v>74</v>
      </c>
      <c r="AQ2475" s="1" t="s">
        <v>74</v>
      </c>
      <c r="AR2475" s="1" t="s">
        <v>719</v>
      </c>
      <c r="AS2475" s="1" t="s">
        <v>720</v>
      </c>
      <c r="AT2475" s="1" t="s">
        <v>267</v>
      </c>
      <c r="AU2475" s="1">
        <v>2009</v>
      </c>
      <c r="AV2475" s="1">
        <v>203</v>
      </c>
      <c r="AW2475" s="1" t="s">
        <v>721</v>
      </c>
      <c r="AX2475" s="1" t="s">
        <v>74</v>
      </c>
      <c r="AY2475" s="1" t="s">
        <v>74</v>
      </c>
      <c r="AZ2475" s="1" t="s">
        <v>74</v>
      </c>
      <c r="BA2475" s="1" t="s">
        <v>74</v>
      </c>
      <c r="BB2475" s="1">
        <v>261</v>
      </c>
      <c r="BC2475" s="1">
        <v>266</v>
      </c>
      <c r="BD2475" s="1" t="s">
        <v>74</v>
      </c>
      <c r="BE2475" s="1" t="s">
        <v>39552</v>
      </c>
      <c r="BF2475" s="1" t="str">
        <f>HYPERLINK("http://dx.doi.org/10.1007/s11270-009-0009-9","http://dx.doi.org/10.1007/s11270-009-0009-9")</f>
        <v>http://dx.doi.org/10.1007/s11270-009-0009-9</v>
      </c>
      <c r="BG2475" s="1" t="s">
        <v>74</v>
      </c>
      <c r="BH2475" s="1" t="s">
        <v>74</v>
      </c>
      <c r="BI2475" s="1">
        <v>6</v>
      </c>
      <c r="BJ2475" s="1" t="s">
        <v>722</v>
      </c>
      <c r="BK2475" s="1" t="s">
        <v>96</v>
      </c>
      <c r="BL2475" s="1" t="s">
        <v>723</v>
      </c>
      <c r="BM2475" s="1" t="s">
        <v>39553</v>
      </c>
      <c r="BN2475" s="1" t="s">
        <v>74</v>
      </c>
      <c r="BO2475" s="1" t="s">
        <v>74</v>
      </c>
      <c r="BP2475" s="1" t="s">
        <v>74</v>
      </c>
      <c r="BQ2475" s="1" t="s">
        <v>74</v>
      </c>
      <c r="BR2475" s="1" t="s">
        <v>98</v>
      </c>
      <c r="BS2475" s="1" t="s">
        <v>39554</v>
      </c>
      <c r="BT2475" s="1" t="str">
        <f>HYPERLINK("https%3A%2F%2Fwww.webofscience.com%2Fwos%2Fwoscc%2Ffull-record%2FWOS:000269919900022","View Full Record in Web of Science")</f>
        <v>View Full Record in Web of Science</v>
      </c>
      <c r="BU2475" s="1"/>
      <c r="BV2475" s="1"/>
    </row>
    <row r="2476" spans="1:74">
      <c r="A2476" s="1" t="s">
        <v>72</v>
      </c>
      <c r="B2476" s="1" t="s">
        <v>39555</v>
      </c>
      <c r="C2476" s="1" t="s">
        <v>74</v>
      </c>
      <c r="D2476" s="1" t="s">
        <v>74</v>
      </c>
      <c r="E2476" s="1" t="s">
        <v>74</v>
      </c>
      <c r="F2476" s="1" t="s">
        <v>39556</v>
      </c>
      <c r="G2476" s="1" t="s">
        <v>74</v>
      </c>
      <c r="H2476" s="1" t="s">
        <v>74</v>
      </c>
      <c r="I2476" s="1" t="s">
        <v>39557</v>
      </c>
      <c r="J2476" s="1" t="s">
        <v>421</v>
      </c>
      <c r="K2476" s="1" t="s">
        <v>74</v>
      </c>
      <c r="L2476" s="1" t="s">
        <v>74</v>
      </c>
      <c r="M2476" s="1" t="s">
        <v>78</v>
      </c>
      <c r="N2476" s="1" t="s">
        <v>79</v>
      </c>
      <c r="O2476" s="1" t="s">
        <v>74</v>
      </c>
      <c r="P2476" s="1" t="s">
        <v>74</v>
      </c>
      <c r="Q2476" s="1" t="s">
        <v>74</v>
      </c>
      <c r="R2476" s="1" t="s">
        <v>74</v>
      </c>
      <c r="S2476" s="1" t="s">
        <v>74</v>
      </c>
      <c r="T2476" s="1" t="s">
        <v>39558</v>
      </c>
      <c r="U2476" s="1" t="s">
        <v>39559</v>
      </c>
      <c r="V2476" s="1" t="s">
        <v>39560</v>
      </c>
      <c r="W2476" s="1" t="s">
        <v>39561</v>
      </c>
      <c r="X2476" s="1" t="s">
        <v>39562</v>
      </c>
      <c r="Y2476" s="1" t="s">
        <v>39563</v>
      </c>
      <c r="Z2476" s="1" t="s">
        <v>39564</v>
      </c>
      <c r="AA2476" s="1" t="s">
        <v>39565</v>
      </c>
      <c r="AB2476" s="1" t="s">
        <v>39566</v>
      </c>
      <c r="AC2476" s="1" t="s">
        <v>39567</v>
      </c>
      <c r="AD2476" s="1" t="s">
        <v>39568</v>
      </c>
      <c r="AE2476" s="1" t="s">
        <v>39569</v>
      </c>
      <c r="AF2476" s="1" t="s">
        <v>74</v>
      </c>
      <c r="AG2476" s="1">
        <v>90</v>
      </c>
      <c r="AH2476" s="1">
        <v>20</v>
      </c>
      <c r="AI2476" s="1">
        <v>22</v>
      </c>
      <c r="AJ2476" s="1">
        <v>2</v>
      </c>
      <c r="AK2476" s="1">
        <v>30</v>
      </c>
      <c r="AL2476" s="1" t="s">
        <v>430</v>
      </c>
      <c r="AM2476" s="1" t="s">
        <v>137</v>
      </c>
      <c r="AN2476" s="1" t="s">
        <v>431</v>
      </c>
      <c r="AO2476" s="1" t="s">
        <v>432</v>
      </c>
      <c r="AP2476" s="1" t="s">
        <v>1394</v>
      </c>
      <c r="AQ2476" s="1" t="s">
        <v>74</v>
      </c>
      <c r="AR2476" s="1" t="s">
        <v>433</v>
      </c>
      <c r="AS2476" s="1" t="s">
        <v>434</v>
      </c>
      <c r="AT2476" s="1" t="s">
        <v>267</v>
      </c>
      <c r="AU2476" s="1">
        <v>2020</v>
      </c>
      <c r="AV2476" s="1">
        <v>265</v>
      </c>
      <c r="AW2476" s="1" t="s">
        <v>74</v>
      </c>
      <c r="AX2476" s="1" t="s">
        <v>13570</v>
      </c>
      <c r="AY2476" s="1" t="s">
        <v>74</v>
      </c>
      <c r="AZ2476" s="1" t="s">
        <v>74</v>
      </c>
      <c r="BA2476" s="1" t="s">
        <v>74</v>
      </c>
      <c r="BB2476" s="1" t="s">
        <v>74</v>
      </c>
      <c r="BC2476" s="1" t="s">
        <v>74</v>
      </c>
      <c r="BD2476" s="1">
        <v>114840</v>
      </c>
      <c r="BE2476" s="1" t="s">
        <v>39570</v>
      </c>
      <c r="BF2476" s="1" t="str">
        <f>HYPERLINK("http://dx.doi.org/10.1016/j.envpol.2020.114840","http://dx.doi.org/10.1016/j.envpol.2020.114840")</f>
        <v>http://dx.doi.org/10.1016/j.envpol.2020.114840</v>
      </c>
      <c r="BG2476" s="1" t="s">
        <v>74</v>
      </c>
      <c r="BH2476" s="1" t="s">
        <v>74</v>
      </c>
      <c r="BI2476" s="1">
        <v>10</v>
      </c>
      <c r="BJ2476" s="1" t="s">
        <v>144</v>
      </c>
      <c r="BK2476" s="1" t="s">
        <v>96</v>
      </c>
      <c r="BL2476" s="1" t="s">
        <v>145</v>
      </c>
      <c r="BM2476" s="1" t="s">
        <v>39571</v>
      </c>
      <c r="BN2476" s="1">
        <v>32570022</v>
      </c>
      <c r="BO2476" s="1" t="s">
        <v>9583</v>
      </c>
      <c r="BP2476" s="1" t="s">
        <v>74</v>
      </c>
      <c r="BQ2476" s="1" t="s">
        <v>74</v>
      </c>
      <c r="BR2476" s="1" t="s">
        <v>98</v>
      </c>
      <c r="BS2476" s="1" t="s">
        <v>39572</v>
      </c>
      <c r="BT2476" s="1" t="str">
        <f>HYPERLINK("https%3A%2F%2Fwww.webofscience.com%2Fwos%2Fwoscc%2Ffull-record%2FWOS:000564557000012","View Full Record in Web of Science")</f>
        <v>View Full Record in Web of Science</v>
      </c>
      <c r="BU2476" s="1"/>
      <c r="BV2476" s="1"/>
    </row>
    <row r="2477" spans="1:74">
      <c r="A2477" s="1" t="s">
        <v>72</v>
      </c>
      <c r="B2477" s="1" t="s">
        <v>39573</v>
      </c>
      <c r="C2477" s="1" t="s">
        <v>74</v>
      </c>
      <c r="D2477" s="1" t="s">
        <v>74</v>
      </c>
      <c r="E2477" s="1" t="s">
        <v>74</v>
      </c>
      <c r="F2477" s="1" t="s">
        <v>39574</v>
      </c>
      <c r="G2477" s="1" t="s">
        <v>74</v>
      </c>
      <c r="H2477" s="1" t="s">
        <v>74</v>
      </c>
      <c r="I2477" s="1" t="s">
        <v>39575</v>
      </c>
      <c r="J2477" s="1" t="s">
        <v>909</v>
      </c>
      <c r="K2477" s="1" t="s">
        <v>74</v>
      </c>
      <c r="L2477" s="1" t="s">
        <v>74</v>
      </c>
      <c r="M2477" s="1" t="s">
        <v>78</v>
      </c>
      <c r="N2477" s="1" t="s">
        <v>79</v>
      </c>
      <c r="O2477" s="1" t="s">
        <v>74</v>
      </c>
      <c r="P2477" s="1" t="s">
        <v>74</v>
      </c>
      <c r="Q2477" s="1" t="s">
        <v>74</v>
      </c>
      <c r="R2477" s="1" t="s">
        <v>74</v>
      </c>
      <c r="S2477" s="1" t="s">
        <v>74</v>
      </c>
      <c r="T2477" s="1" t="s">
        <v>39576</v>
      </c>
      <c r="U2477" s="1" t="s">
        <v>39577</v>
      </c>
      <c r="V2477" s="1" t="s">
        <v>39578</v>
      </c>
      <c r="W2477" s="1" t="s">
        <v>39579</v>
      </c>
      <c r="X2477" s="1" t="s">
        <v>6582</v>
      </c>
      <c r="Y2477" s="1" t="s">
        <v>39580</v>
      </c>
      <c r="Z2477" s="1" t="s">
        <v>39581</v>
      </c>
      <c r="AA2477" s="1" t="s">
        <v>39582</v>
      </c>
      <c r="AB2477" s="1" t="s">
        <v>39583</v>
      </c>
      <c r="AC2477" s="1" t="s">
        <v>39584</v>
      </c>
      <c r="AD2477" s="1" t="s">
        <v>39584</v>
      </c>
      <c r="AE2477" s="1" t="s">
        <v>39585</v>
      </c>
      <c r="AF2477" s="1" t="s">
        <v>74</v>
      </c>
      <c r="AG2477" s="1">
        <v>113</v>
      </c>
      <c r="AH2477" s="1">
        <v>0</v>
      </c>
      <c r="AI2477" s="1">
        <v>0</v>
      </c>
      <c r="AJ2477" s="1">
        <v>1</v>
      </c>
      <c r="AK2477" s="1">
        <v>1</v>
      </c>
      <c r="AL2477" s="1" t="s">
        <v>650</v>
      </c>
      <c r="AM2477" s="1" t="s">
        <v>651</v>
      </c>
      <c r="AN2477" s="1" t="s">
        <v>652</v>
      </c>
      <c r="AO2477" s="1" t="s">
        <v>921</v>
      </c>
      <c r="AP2477" s="1" t="s">
        <v>922</v>
      </c>
      <c r="AQ2477" s="1" t="s">
        <v>74</v>
      </c>
      <c r="AR2477" s="1" t="s">
        <v>923</v>
      </c>
      <c r="AS2477" s="1" t="s">
        <v>924</v>
      </c>
      <c r="AT2477" s="1" t="s">
        <v>546</v>
      </c>
      <c r="AU2477" s="1">
        <v>2024</v>
      </c>
      <c r="AV2477" s="1">
        <v>951</v>
      </c>
      <c r="AW2477" s="1" t="s">
        <v>74</v>
      </c>
      <c r="AX2477" s="1" t="s">
        <v>74</v>
      </c>
      <c r="AY2477" s="1" t="s">
        <v>74</v>
      </c>
      <c r="AZ2477" s="1" t="s">
        <v>74</v>
      </c>
      <c r="BA2477" s="1" t="s">
        <v>74</v>
      </c>
      <c r="BB2477" s="1" t="s">
        <v>74</v>
      </c>
      <c r="BC2477" s="1" t="s">
        <v>74</v>
      </c>
      <c r="BD2477" s="1">
        <v>175567</v>
      </c>
      <c r="BE2477" s="1" t="s">
        <v>39586</v>
      </c>
      <c r="BF2477" s="1" t="str">
        <f>HYPERLINK("http://dx.doi.org/10.1016/j.scitotenv.2024.175567","http://dx.doi.org/10.1016/j.scitotenv.2024.175567")</f>
        <v>http://dx.doi.org/10.1016/j.scitotenv.2024.175567</v>
      </c>
      <c r="BG2477" s="1" t="s">
        <v>74</v>
      </c>
      <c r="BH2477" s="1" t="s">
        <v>74</v>
      </c>
      <c r="BI2477" s="1">
        <v>9</v>
      </c>
      <c r="BJ2477" s="1" t="s">
        <v>144</v>
      </c>
      <c r="BK2477" s="1" t="s">
        <v>96</v>
      </c>
      <c r="BL2477" s="1" t="s">
        <v>145</v>
      </c>
      <c r="BM2477" s="1" t="s">
        <v>39587</v>
      </c>
      <c r="BN2477" s="1">
        <v>39153630</v>
      </c>
      <c r="BO2477" s="1" t="s">
        <v>74</v>
      </c>
      <c r="BP2477" s="1" t="s">
        <v>74</v>
      </c>
      <c r="BQ2477" s="1" t="s">
        <v>74</v>
      </c>
      <c r="BR2477" s="1" t="s">
        <v>98</v>
      </c>
      <c r="BS2477" s="1" t="s">
        <v>39588</v>
      </c>
      <c r="BT2477" s="1" t="str">
        <f>HYPERLINK("https%3A%2F%2Fwww.webofscience.com%2Fwos%2Fwoscc%2Ffull-record%2FWOS:001301190900001","View Full Record in Web of Science")</f>
        <v>View Full Record in Web of Science</v>
      </c>
      <c r="BU2477" s="1"/>
      <c r="BV2477" s="1"/>
    </row>
    <row r="2478" spans="1:74">
      <c r="A2478" s="1" t="s">
        <v>72</v>
      </c>
      <c r="B2478" s="1" t="s">
        <v>39589</v>
      </c>
      <c r="C2478" s="1" t="s">
        <v>74</v>
      </c>
      <c r="D2478" s="1" t="s">
        <v>74</v>
      </c>
      <c r="E2478" s="1" t="s">
        <v>74</v>
      </c>
      <c r="F2478" s="1" t="s">
        <v>39590</v>
      </c>
      <c r="G2478" s="1" t="s">
        <v>74</v>
      </c>
      <c r="H2478" s="1" t="s">
        <v>74</v>
      </c>
      <c r="I2478" s="1" t="s">
        <v>39591</v>
      </c>
      <c r="J2478" s="1" t="s">
        <v>421</v>
      </c>
      <c r="K2478" s="1" t="s">
        <v>74</v>
      </c>
      <c r="L2478" s="1" t="s">
        <v>74</v>
      </c>
      <c r="M2478" s="1" t="s">
        <v>78</v>
      </c>
      <c r="N2478" s="1" t="s">
        <v>79</v>
      </c>
      <c r="O2478" s="1" t="s">
        <v>74</v>
      </c>
      <c r="P2478" s="1" t="s">
        <v>74</v>
      </c>
      <c r="Q2478" s="1" t="s">
        <v>74</v>
      </c>
      <c r="R2478" s="1" t="s">
        <v>74</v>
      </c>
      <c r="S2478" s="1" t="s">
        <v>74</v>
      </c>
      <c r="T2478" s="1" t="s">
        <v>39592</v>
      </c>
      <c r="U2478" s="1" t="s">
        <v>39593</v>
      </c>
      <c r="V2478" s="1" t="s">
        <v>39594</v>
      </c>
      <c r="W2478" s="1" t="s">
        <v>39595</v>
      </c>
      <c r="X2478" s="1" t="s">
        <v>39596</v>
      </c>
      <c r="Y2478" s="1" t="s">
        <v>39597</v>
      </c>
      <c r="Z2478" s="1" t="s">
        <v>39598</v>
      </c>
      <c r="AA2478" s="1" t="s">
        <v>39599</v>
      </c>
      <c r="AB2478" s="1" t="s">
        <v>39600</v>
      </c>
      <c r="AC2478" s="1" t="s">
        <v>74</v>
      </c>
      <c r="AD2478" s="1" t="s">
        <v>74</v>
      </c>
      <c r="AE2478" s="1" t="s">
        <v>74</v>
      </c>
      <c r="AF2478" s="1" t="s">
        <v>74</v>
      </c>
      <c r="AG2478" s="1">
        <v>60</v>
      </c>
      <c r="AH2478" s="1">
        <v>3</v>
      </c>
      <c r="AI2478" s="1">
        <v>3</v>
      </c>
      <c r="AJ2478" s="1">
        <v>1</v>
      </c>
      <c r="AK2478" s="1">
        <v>18</v>
      </c>
      <c r="AL2478" s="1" t="s">
        <v>430</v>
      </c>
      <c r="AM2478" s="1" t="s">
        <v>137</v>
      </c>
      <c r="AN2478" s="1" t="s">
        <v>431</v>
      </c>
      <c r="AO2478" s="1" t="s">
        <v>432</v>
      </c>
      <c r="AP2478" s="1" t="s">
        <v>1394</v>
      </c>
      <c r="AQ2478" s="1" t="s">
        <v>74</v>
      </c>
      <c r="AR2478" s="1" t="s">
        <v>433</v>
      </c>
      <c r="AS2478" s="1" t="s">
        <v>434</v>
      </c>
      <c r="AT2478" s="1" t="s">
        <v>7041</v>
      </c>
      <c r="AU2478" s="1">
        <v>2022</v>
      </c>
      <c r="AV2478" s="1">
        <v>295</v>
      </c>
      <c r="AW2478" s="1" t="s">
        <v>74</v>
      </c>
      <c r="AX2478" s="1" t="s">
        <v>74</v>
      </c>
      <c r="AY2478" s="1" t="s">
        <v>74</v>
      </c>
      <c r="AZ2478" s="1" t="s">
        <v>74</v>
      </c>
      <c r="BA2478" s="1" t="s">
        <v>74</v>
      </c>
      <c r="BB2478" s="1" t="s">
        <v>74</v>
      </c>
      <c r="BC2478" s="1" t="s">
        <v>74</v>
      </c>
      <c r="BD2478" s="1" t="s">
        <v>74</v>
      </c>
      <c r="BE2478" s="1" t="s">
        <v>39601</v>
      </c>
      <c r="BF2478" s="1" t="str">
        <f>HYPERLINK("http://dx.doi.org/10.1016/j.envpol.2021.118671","http://dx.doi.org/10.1016/j.envpol.2021.118671")</f>
        <v>http://dx.doi.org/10.1016/j.envpol.2021.118671</v>
      </c>
      <c r="BG2478" s="1" t="s">
        <v>74</v>
      </c>
      <c r="BH2478" s="1" t="s">
        <v>74</v>
      </c>
      <c r="BI2478" s="1">
        <v>10</v>
      </c>
      <c r="BJ2478" s="1" t="s">
        <v>144</v>
      </c>
      <c r="BK2478" s="1" t="s">
        <v>96</v>
      </c>
      <c r="BL2478" s="1" t="s">
        <v>145</v>
      </c>
      <c r="BM2478" s="1" t="s">
        <v>39602</v>
      </c>
      <c r="BN2478" s="1">
        <v>34902528</v>
      </c>
      <c r="BO2478" s="1" t="s">
        <v>2744</v>
      </c>
      <c r="BP2478" s="1" t="s">
        <v>74</v>
      </c>
      <c r="BQ2478" s="1" t="s">
        <v>74</v>
      </c>
      <c r="BR2478" s="1" t="s">
        <v>98</v>
      </c>
      <c r="BS2478" s="1" t="s">
        <v>39603</v>
      </c>
      <c r="BT2478" s="1" t="str">
        <f>HYPERLINK("https%3A%2F%2Fwww.webofscience.com%2Fwos%2Fwoscc%2Ffull-record%2FWOS:000766394300007","View Full Record in Web of Science")</f>
        <v>View Full Record in Web of Science</v>
      </c>
      <c r="BU2478" s="1"/>
      <c r="BV2478" s="1"/>
    </row>
    <row r="2479" spans="1:74">
      <c r="A2479" s="1" t="s">
        <v>72</v>
      </c>
      <c r="B2479" s="1" t="s">
        <v>39604</v>
      </c>
      <c r="C2479" s="1" t="s">
        <v>74</v>
      </c>
      <c r="D2479" s="1" t="s">
        <v>74</v>
      </c>
      <c r="E2479" s="1" t="s">
        <v>74</v>
      </c>
      <c r="F2479" s="1" t="s">
        <v>39605</v>
      </c>
      <c r="G2479" s="1" t="s">
        <v>74</v>
      </c>
      <c r="H2479" s="1" t="s">
        <v>74</v>
      </c>
      <c r="I2479" s="1" t="s">
        <v>39606</v>
      </c>
      <c r="J2479" s="1" t="s">
        <v>39607</v>
      </c>
      <c r="K2479" s="1" t="s">
        <v>74</v>
      </c>
      <c r="L2479" s="1" t="s">
        <v>74</v>
      </c>
      <c r="M2479" s="1" t="s">
        <v>78</v>
      </c>
      <c r="N2479" s="1" t="s">
        <v>79</v>
      </c>
      <c r="O2479" s="1" t="s">
        <v>74</v>
      </c>
      <c r="P2479" s="1" t="s">
        <v>74</v>
      </c>
      <c r="Q2479" s="1" t="s">
        <v>74</v>
      </c>
      <c r="R2479" s="1" t="s">
        <v>74</v>
      </c>
      <c r="S2479" s="1" t="s">
        <v>74</v>
      </c>
      <c r="T2479" s="1" t="s">
        <v>39608</v>
      </c>
      <c r="U2479" s="1" t="s">
        <v>39609</v>
      </c>
      <c r="V2479" s="1" t="s">
        <v>39610</v>
      </c>
      <c r="W2479" s="1" t="s">
        <v>39611</v>
      </c>
      <c r="X2479" s="1" t="s">
        <v>39612</v>
      </c>
      <c r="Y2479" s="1" t="s">
        <v>39613</v>
      </c>
      <c r="Z2479" s="1" t="s">
        <v>39614</v>
      </c>
      <c r="AA2479" s="1" t="s">
        <v>74</v>
      </c>
      <c r="AB2479" s="1" t="s">
        <v>39615</v>
      </c>
      <c r="AC2479" s="1" t="s">
        <v>39616</v>
      </c>
      <c r="AD2479" s="1" t="s">
        <v>39617</v>
      </c>
      <c r="AE2479" s="1" t="s">
        <v>39618</v>
      </c>
      <c r="AF2479" s="1" t="s">
        <v>74</v>
      </c>
      <c r="AG2479" s="1">
        <v>59</v>
      </c>
      <c r="AH2479" s="1">
        <v>5</v>
      </c>
      <c r="AI2479" s="1">
        <v>7</v>
      </c>
      <c r="AJ2479" s="1">
        <v>1</v>
      </c>
      <c r="AK2479" s="1">
        <v>40</v>
      </c>
      <c r="AL2479" s="1" t="s">
        <v>39619</v>
      </c>
      <c r="AM2479" s="1" t="s">
        <v>39620</v>
      </c>
      <c r="AN2479" s="1" t="s">
        <v>39621</v>
      </c>
      <c r="AO2479" s="1" t="s">
        <v>39622</v>
      </c>
      <c r="AP2479" s="1" t="s">
        <v>39623</v>
      </c>
      <c r="AQ2479" s="1" t="s">
        <v>74</v>
      </c>
      <c r="AR2479" s="1" t="s">
        <v>39624</v>
      </c>
      <c r="AS2479" s="1" t="s">
        <v>39625</v>
      </c>
      <c r="AT2479" s="1" t="s">
        <v>142</v>
      </c>
      <c r="AU2479" s="1">
        <v>2018</v>
      </c>
      <c r="AV2479" s="1">
        <v>37</v>
      </c>
      <c r="AW2479" s="1">
        <v>2</v>
      </c>
      <c r="AX2479" s="1" t="s">
        <v>74</v>
      </c>
      <c r="AY2479" s="1" t="s">
        <v>74</v>
      </c>
      <c r="AZ2479" s="1" t="s">
        <v>74</v>
      </c>
      <c r="BA2479" s="1" t="s">
        <v>74</v>
      </c>
      <c r="BB2479" s="1">
        <v>343</v>
      </c>
      <c r="BC2479" s="1">
        <v>356</v>
      </c>
      <c r="BD2479" s="1" t="s">
        <v>74</v>
      </c>
      <c r="BE2479" s="1" t="s">
        <v>39626</v>
      </c>
      <c r="BF2479" s="1" t="str">
        <f>HYPERLINK("http://dx.doi.org/10.1086/697947","http://dx.doi.org/10.1086/697947")</f>
        <v>http://dx.doi.org/10.1086/697947</v>
      </c>
      <c r="BG2479" s="1" t="s">
        <v>74</v>
      </c>
      <c r="BH2479" s="1" t="s">
        <v>74</v>
      </c>
      <c r="BI2479" s="1">
        <v>14</v>
      </c>
      <c r="BJ2479" s="1" t="s">
        <v>1292</v>
      </c>
      <c r="BK2479" s="1" t="s">
        <v>96</v>
      </c>
      <c r="BL2479" s="1" t="s">
        <v>248</v>
      </c>
      <c r="BM2479" s="1" t="s">
        <v>39627</v>
      </c>
      <c r="BN2479" s="1" t="s">
        <v>74</v>
      </c>
      <c r="BO2479" s="1" t="s">
        <v>74</v>
      </c>
      <c r="BP2479" s="1" t="s">
        <v>74</v>
      </c>
      <c r="BQ2479" s="1" t="s">
        <v>74</v>
      </c>
      <c r="BR2479" s="1" t="s">
        <v>98</v>
      </c>
      <c r="BS2479" s="1" t="s">
        <v>39628</v>
      </c>
      <c r="BT2479" s="1" t="str">
        <f>HYPERLINK("https%3A%2F%2Fwww.webofscience.com%2Fwos%2Fwoscc%2Ffull-record%2FWOS:000432253900013","View Full Record in Web of Science")</f>
        <v>View Full Record in Web of Science</v>
      </c>
      <c r="BU2479" s="1"/>
      <c r="BV2479" s="1"/>
    </row>
    <row r="2480" spans="1:74">
      <c r="A2480" s="1" t="s">
        <v>72</v>
      </c>
      <c r="B2480" s="1" t="s">
        <v>39629</v>
      </c>
      <c r="C2480" s="1" t="s">
        <v>74</v>
      </c>
      <c r="D2480" s="1" t="s">
        <v>74</v>
      </c>
      <c r="E2480" s="1" t="s">
        <v>74</v>
      </c>
      <c r="F2480" s="1" t="s">
        <v>39629</v>
      </c>
      <c r="G2480" s="1" t="s">
        <v>74</v>
      </c>
      <c r="H2480" s="1" t="s">
        <v>74</v>
      </c>
      <c r="I2480" s="1" t="s">
        <v>39630</v>
      </c>
      <c r="J2480" s="1" t="s">
        <v>641</v>
      </c>
      <c r="K2480" s="1" t="s">
        <v>74</v>
      </c>
      <c r="L2480" s="1" t="s">
        <v>74</v>
      </c>
      <c r="M2480" s="1" t="s">
        <v>78</v>
      </c>
      <c r="N2480" s="1" t="s">
        <v>79</v>
      </c>
      <c r="O2480" s="1" t="s">
        <v>74</v>
      </c>
      <c r="P2480" s="1" t="s">
        <v>74</v>
      </c>
      <c r="Q2480" s="1" t="s">
        <v>74</v>
      </c>
      <c r="R2480" s="1" t="s">
        <v>74</v>
      </c>
      <c r="S2480" s="1" t="s">
        <v>74</v>
      </c>
      <c r="T2480" s="1" t="s">
        <v>39631</v>
      </c>
      <c r="U2480" s="1" t="s">
        <v>39632</v>
      </c>
      <c r="V2480" s="1" t="s">
        <v>39633</v>
      </c>
      <c r="W2480" s="1" t="s">
        <v>39634</v>
      </c>
      <c r="X2480" s="1" t="s">
        <v>39635</v>
      </c>
      <c r="Y2480" s="1" t="s">
        <v>39636</v>
      </c>
      <c r="Z2480" s="1" t="s">
        <v>39637</v>
      </c>
      <c r="AA2480" s="1" t="s">
        <v>74</v>
      </c>
      <c r="AB2480" s="1" t="s">
        <v>39638</v>
      </c>
      <c r="AC2480" s="1" t="s">
        <v>74</v>
      </c>
      <c r="AD2480" s="1" t="s">
        <v>74</v>
      </c>
      <c r="AE2480" s="1" t="s">
        <v>74</v>
      </c>
      <c r="AF2480" s="1" t="s">
        <v>74</v>
      </c>
      <c r="AG2480" s="1">
        <v>33</v>
      </c>
      <c r="AH2480" s="1">
        <v>165</v>
      </c>
      <c r="AI2480" s="1">
        <v>180</v>
      </c>
      <c r="AJ2480" s="1">
        <v>1</v>
      </c>
      <c r="AK2480" s="1">
        <v>27</v>
      </c>
      <c r="AL2480" s="1" t="s">
        <v>919</v>
      </c>
      <c r="AM2480" s="1" t="s">
        <v>651</v>
      </c>
      <c r="AN2480" s="1" t="s">
        <v>920</v>
      </c>
      <c r="AO2480" s="1" t="s">
        <v>653</v>
      </c>
      <c r="AP2480" s="1" t="s">
        <v>654</v>
      </c>
      <c r="AQ2480" s="1" t="s">
        <v>74</v>
      </c>
      <c r="AR2480" s="1" t="s">
        <v>655</v>
      </c>
      <c r="AS2480" s="1" t="s">
        <v>656</v>
      </c>
      <c r="AT2480" s="1" t="s">
        <v>18859</v>
      </c>
      <c r="AU2480" s="1">
        <v>2004</v>
      </c>
      <c r="AV2480" s="1">
        <v>70</v>
      </c>
      <c r="AW2480" s="1">
        <v>1</v>
      </c>
      <c r="AX2480" s="1" t="s">
        <v>74</v>
      </c>
      <c r="AY2480" s="1" t="s">
        <v>74</v>
      </c>
      <c r="AZ2480" s="1" t="s">
        <v>74</v>
      </c>
      <c r="BA2480" s="1" t="s">
        <v>74</v>
      </c>
      <c r="BB2480" s="1">
        <v>83</v>
      </c>
      <c r="BC2480" s="1">
        <v>93</v>
      </c>
      <c r="BD2480" s="1" t="s">
        <v>74</v>
      </c>
      <c r="BE2480" s="1" t="s">
        <v>39639</v>
      </c>
      <c r="BF2480" s="1" t="str">
        <f>HYPERLINK("http://dx.doi.org/10.1016/j.aquatox.2004.07.003","http://dx.doi.org/10.1016/j.aquatox.2004.07.003")</f>
        <v>http://dx.doi.org/10.1016/j.aquatox.2004.07.003</v>
      </c>
      <c r="BG2480" s="1" t="s">
        <v>74</v>
      </c>
      <c r="BH2480" s="1" t="s">
        <v>74</v>
      </c>
      <c r="BI2480" s="1">
        <v>11</v>
      </c>
      <c r="BJ2480" s="1" t="s">
        <v>659</v>
      </c>
      <c r="BK2480" s="1" t="s">
        <v>96</v>
      </c>
      <c r="BL2480" s="1" t="s">
        <v>659</v>
      </c>
      <c r="BM2480" s="1" t="s">
        <v>39640</v>
      </c>
      <c r="BN2480" s="1">
        <v>15451609</v>
      </c>
      <c r="BO2480" s="1" t="s">
        <v>74</v>
      </c>
      <c r="BP2480" s="1" t="s">
        <v>74</v>
      </c>
      <c r="BQ2480" s="1" t="s">
        <v>74</v>
      </c>
      <c r="BR2480" s="1" t="s">
        <v>98</v>
      </c>
      <c r="BS2480" s="1" t="s">
        <v>39641</v>
      </c>
      <c r="BT2480" s="1" t="str">
        <f>HYPERLINK("https%3A%2F%2Fwww.webofscience.com%2Fwos%2Fwoscc%2Ffull-record%2FWOS:000224508700007","View Full Record in Web of Science")</f>
        <v>View Full Record in Web of Science</v>
      </c>
      <c r="BU2480" s="1"/>
      <c r="BV2480" s="1"/>
    </row>
    <row r="2481" spans="1:74">
      <c r="A2481" s="1" t="s">
        <v>72</v>
      </c>
      <c r="B2481" s="1" t="s">
        <v>39642</v>
      </c>
      <c r="C2481" s="1" t="s">
        <v>74</v>
      </c>
      <c r="D2481" s="1" t="s">
        <v>74</v>
      </c>
      <c r="E2481" s="1" t="s">
        <v>74</v>
      </c>
      <c r="F2481" s="1" t="s">
        <v>39643</v>
      </c>
      <c r="G2481" s="1" t="s">
        <v>74</v>
      </c>
      <c r="H2481" s="1" t="s">
        <v>74</v>
      </c>
      <c r="I2481" s="1" t="s">
        <v>39644</v>
      </c>
      <c r="J2481" s="1" t="s">
        <v>421</v>
      </c>
      <c r="K2481" s="1" t="s">
        <v>74</v>
      </c>
      <c r="L2481" s="1" t="s">
        <v>74</v>
      </c>
      <c r="M2481" s="1" t="s">
        <v>78</v>
      </c>
      <c r="N2481" s="1" t="s">
        <v>79</v>
      </c>
      <c r="O2481" s="1" t="s">
        <v>74</v>
      </c>
      <c r="P2481" s="1" t="s">
        <v>74</v>
      </c>
      <c r="Q2481" s="1" t="s">
        <v>74</v>
      </c>
      <c r="R2481" s="1" t="s">
        <v>74</v>
      </c>
      <c r="S2481" s="1" t="s">
        <v>74</v>
      </c>
      <c r="T2481" s="1" t="s">
        <v>39645</v>
      </c>
      <c r="U2481" s="1" t="s">
        <v>39646</v>
      </c>
      <c r="V2481" s="1" t="s">
        <v>39647</v>
      </c>
      <c r="W2481" s="1" t="s">
        <v>39648</v>
      </c>
      <c r="X2481" s="1" t="s">
        <v>28325</v>
      </c>
      <c r="Y2481" s="1" t="s">
        <v>39649</v>
      </c>
      <c r="Z2481" s="1" t="s">
        <v>1483</v>
      </c>
      <c r="AA2481" s="1" t="s">
        <v>2900</v>
      </c>
      <c r="AB2481" s="1" t="s">
        <v>2183</v>
      </c>
      <c r="AC2481" s="1" t="s">
        <v>33220</v>
      </c>
      <c r="AD2481" s="1" t="s">
        <v>8547</v>
      </c>
      <c r="AE2481" s="1" t="s">
        <v>33221</v>
      </c>
      <c r="AF2481" s="1" t="s">
        <v>74</v>
      </c>
      <c r="AG2481" s="1">
        <v>32</v>
      </c>
      <c r="AH2481" s="1">
        <v>12</v>
      </c>
      <c r="AI2481" s="1">
        <v>12</v>
      </c>
      <c r="AJ2481" s="1">
        <v>3</v>
      </c>
      <c r="AK2481" s="1">
        <v>44</v>
      </c>
      <c r="AL2481" s="1" t="s">
        <v>430</v>
      </c>
      <c r="AM2481" s="1" t="s">
        <v>137</v>
      </c>
      <c r="AN2481" s="1" t="s">
        <v>431</v>
      </c>
      <c r="AO2481" s="1" t="s">
        <v>432</v>
      </c>
      <c r="AP2481" s="1" t="s">
        <v>1394</v>
      </c>
      <c r="AQ2481" s="1" t="s">
        <v>74</v>
      </c>
      <c r="AR2481" s="1" t="s">
        <v>433</v>
      </c>
      <c r="AS2481" s="1" t="s">
        <v>434</v>
      </c>
      <c r="AT2481" s="1" t="s">
        <v>951</v>
      </c>
      <c r="AU2481" s="1">
        <v>2018</v>
      </c>
      <c r="AV2481" s="1">
        <v>242</v>
      </c>
      <c r="AW2481" s="1" t="s">
        <v>74</v>
      </c>
      <c r="AX2481" s="1" t="s">
        <v>489</v>
      </c>
      <c r="AY2481" s="1" t="s">
        <v>74</v>
      </c>
      <c r="AZ2481" s="1" t="s">
        <v>74</v>
      </c>
      <c r="BA2481" s="1" t="s">
        <v>74</v>
      </c>
      <c r="BB2481" s="1">
        <v>375</v>
      </c>
      <c r="BC2481" s="1">
        <v>382</v>
      </c>
      <c r="BD2481" s="1" t="s">
        <v>74</v>
      </c>
      <c r="BE2481" s="1" t="s">
        <v>39650</v>
      </c>
      <c r="BF2481" s="1" t="str">
        <f>HYPERLINK("http://dx.doi.org/10.1016/j.envpol.2018.06.101","http://dx.doi.org/10.1016/j.envpol.2018.06.101")</f>
        <v>http://dx.doi.org/10.1016/j.envpol.2018.06.101</v>
      </c>
      <c r="BG2481" s="1" t="s">
        <v>74</v>
      </c>
      <c r="BH2481" s="1" t="s">
        <v>74</v>
      </c>
      <c r="BI2481" s="1">
        <v>8</v>
      </c>
      <c r="BJ2481" s="1" t="s">
        <v>144</v>
      </c>
      <c r="BK2481" s="1" t="s">
        <v>96</v>
      </c>
      <c r="BL2481" s="1" t="s">
        <v>145</v>
      </c>
      <c r="BM2481" s="1" t="s">
        <v>39651</v>
      </c>
      <c r="BN2481" s="1">
        <v>29990945</v>
      </c>
      <c r="BO2481" s="1" t="s">
        <v>74</v>
      </c>
      <c r="BP2481" s="1" t="s">
        <v>74</v>
      </c>
      <c r="BQ2481" s="1" t="s">
        <v>74</v>
      </c>
      <c r="BR2481" s="1" t="s">
        <v>98</v>
      </c>
      <c r="BS2481" s="1" t="s">
        <v>39652</v>
      </c>
      <c r="BT2481" s="1" t="str">
        <f>HYPERLINK("https%3A%2F%2Fwww.webofscience.com%2Fwos%2Fwoscc%2Ffull-record%2FWOS:000446150300041","View Full Record in Web of Science")</f>
        <v>View Full Record in Web of Science</v>
      </c>
      <c r="BU2481" s="1"/>
      <c r="BV2481" s="1"/>
    </row>
    <row r="2482" spans="1:74">
      <c r="A2482" s="1" t="s">
        <v>72</v>
      </c>
      <c r="B2482" s="1" t="s">
        <v>39653</v>
      </c>
      <c r="C2482" s="1" t="s">
        <v>74</v>
      </c>
      <c r="D2482" s="1" t="s">
        <v>74</v>
      </c>
      <c r="E2482" s="1" t="s">
        <v>74</v>
      </c>
      <c r="F2482" s="1" t="s">
        <v>39654</v>
      </c>
      <c r="G2482" s="1" t="s">
        <v>74</v>
      </c>
      <c r="H2482" s="1" t="s">
        <v>74</v>
      </c>
      <c r="I2482" s="1" t="s">
        <v>39655</v>
      </c>
      <c r="J2482" s="1" t="s">
        <v>421</v>
      </c>
      <c r="K2482" s="1" t="s">
        <v>74</v>
      </c>
      <c r="L2482" s="1" t="s">
        <v>74</v>
      </c>
      <c r="M2482" s="1" t="s">
        <v>78</v>
      </c>
      <c r="N2482" s="1" t="s">
        <v>79</v>
      </c>
      <c r="O2482" s="1" t="s">
        <v>74</v>
      </c>
      <c r="P2482" s="1" t="s">
        <v>74</v>
      </c>
      <c r="Q2482" s="1" t="s">
        <v>74</v>
      </c>
      <c r="R2482" s="1" t="s">
        <v>74</v>
      </c>
      <c r="S2482" s="1" t="s">
        <v>74</v>
      </c>
      <c r="T2482" s="1" t="s">
        <v>39656</v>
      </c>
      <c r="U2482" s="1" t="s">
        <v>39657</v>
      </c>
      <c r="V2482" s="1" t="s">
        <v>39658</v>
      </c>
      <c r="W2482" s="1" t="s">
        <v>39659</v>
      </c>
      <c r="X2482" s="1" t="s">
        <v>9952</v>
      </c>
      <c r="Y2482" s="1" t="s">
        <v>39660</v>
      </c>
      <c r="Z2482" s="1" t="s">
        <v>21443</v>
      </c>
      <c r="AA2482" s="1" t="s">
        <v>39661</v>
      </c>
      <c r="AB2482" s="1" t="s">
        <v>39662</v>
      </c>
      <c r="AC2482" s="1" t="s">
        <v>39663</v>
      </c>
      <c r="AD2482" s="1" t="s">
        <v>39664</v>
      </c>
      <c r="AE2482" s="1" t="s">
        <v>39665</v>
      </c>
      <c r="AF2482" s="1" t="s">
        <v>74</v>
      </c>
      <c r="AG2482" s="1">
        <v>136</v>
      </c>
      <c r="AH2482" s="1">
        <v>12</v>
      </c>
      <c r="AI2482" s="1">
        <v>12</v>
      </c>
      <c r="AJ2482" s="1">
        <v>9</v>
      </c>
      <c r="AK2482" s="1">
        <v>77</v>
      </c>
      <c r="AL2482" s="1" t="s">
        <v>430</v>
      </c>
      <c r="AM2482" s="1" t="s">
        <v>137</v>
      </c>
      <c r="AN2482" s="1" t="s">
        <v>431</v>
      </c>
      <c r="AO2482" s="1" t="s">
        <v>432</v>
      </c>
      <c r="AP2482" s="1" t="s">
        <v>1394</v>
      </c>
      <c r="AQ2482" s="1" t="s">
        <v>74</v>
      </c>
      <c r="AR2482" s="1" t="s">
        <v>433</v>
      </c>
      <c r="AS2482" s="1" t="s">
        <v>434</v>
      </c>
      <c r="AT2482" s="1" t="s">
        <v>1856</v>
      </c>
      <c r="AU2482" s="1">
        <v>2021</v>
      </c>
      <c r="AV2482" s="1">
        <v>283</v>
      </c>
      <c r="AW2482" s="1" t="s">
        <v>74</v>
      </c>
      <c r="AX2482" s="1" t="s">
        <v>74</v>
      </c>
      <c r="AY2482" s="1" t="s">
        <v>74</v>
      </c>
      <c r="AZ2482" s="1" t="s">
        <v>74</v>
      </c>
      <c r="BA2482" s="1" t="s">
        <v>74</v>
      </c>
      <c r="BB2482" s="1" t="s">
        <v>74</v>
      </c>
      <c r="BC2482" s="1" t="s">
        <v>74</v>
      </c>
      <c r="BD2482" s="1">
        <v>117084</v>
      </c>
      <c r="BE2482" s="1" t="s">
        <v>39666</v>
      </c>
      <c r="BF2482" s="1" t="str">
        <f>HYPERLINK("http://dx.doi.org/10.1016/j.envpol.2021.117084","http://dx.doi.org/10.1016/j.envpol.2021.117084")</f>
        <v>http://dx.doi.org/10.1016/j.envpol.2021.117084</v>
      </c>
      <c r="BG2482" s="1" t="s">
        <v>74</v>
      </c>
      <c r="BH2482" s="1" t="s">
        <v>14421</v>
      </c>
      <c r="BI2482" s="1">
        <v>14</v>
      </c>
      <c r="BJ2482" s="1" t="s">
        <v>144</v>
      </c>
      <c r="BK2482" s="1" t="s">
        <v>96</v>
      </c>
      <c r="BL2482" s="1" t="s">
        <v>145</v>
      </c>
      <c r="BM2482" s="1" t="s">
        <v>39667</v>
      </c>
      <c r="BN2482" s="1">
        <v>33848904</v>
      </c>
      <c r="BO2482" s="1" t="s">
        <v>74</v>
      </c>
      <c r="BP2482" s="1" t="s">
        <v>74</v>
      </c>
      <c r="BQ2482" s="1" t="s">
        <v>74</v>
      </c>
      <c r="BR2482" s="1" t="s">
        <v>98</v>
      </c>
      <c r="BS2482" s="1" t="s">
        <v>39668</v>
      </c>
      <c r="BT2482" s="1" t="str">
        <f>HYPERLINK("https%3A%2F%2Fwww.webofscience.com%2Fwos%2Fwoscc%2Ffull-record%2FWOS:000663131000002","View Full Record in Web of Science")</f>
        <v>View Full Record in Web of Science</v>
      </c>
      <c r="BU2482" s="1"/>
      <c r="BV2482" s="1"/>
    </row>
    <row r="2483" spans="1:74">
      <c r="A2483" s="1" t="s">
        <v>72</v>
      </c>
      <c r="B2483" s="1" t="s">
        <v>39669</v>
      </c>
      <c r="C2483" s="1" t="s">
        <v>74</v>
      </c>
      <c r="D2483" s="1" t="s">
        <v>74</v>
      </c>
      <c r="E2483" s="1" t="s">
        <v>74</v>
      </c>
      <c r="F2483" s="1" t="s">
        <v>39670</v>
      </c>
      <c r="G2483" s="1" t="s">
        <v>74</v>
      </c>
      <c r="H2483" s="1" t="s">
        <v>74</v>
      </c>
      <c r="I2483" s="1" t="s">
        <v>39671</v>
      </c>
      <c r="J2483" s="1" t="s">
        <v>4463</v>
      </c>
      <c r="K2483" s="1" t="s">
        <v>74</v>
      </c>
      <c r="L2483" s="1" t="s">
        <v>74</v>
      </c>
      <c r="M2483" s="1" t="s">
        <v>78</v>
      </c>
      <c r="N2483" s="1" t="s">
        <v>79</v>
      </c>
      <c r="O2483" s="1" t="s">
        <v>74</v>
      </c>
      <c r="P2483" s="1" t="s">
        <v>74</v>
      </c>
      <c r="Q2483" s="1" t="s">
        <v>74</v>
      </c>
      <c r="R2483" s="1" t="s">
        <v>74</v>
      </c>
      <c r="S2483" s="1" t="s">
        <v>74</v>
      </c>
      <c r="T2483" s="1" t="s">
        <v>39672</v>
      </c>
      <c r="U2483" s="1" t="s">
        <v>39673</v>
      </c>
      <c r="V2483" s="1" t="s">
        <v>39674</v>
      </c>
      <c r="W2483" s="1" t="s">
        <v>39675</v>
      </c>
      <c r="X2483" s="1" t="s">
        <v>39676</v>
      </c>
      <c r="Y2483" s="1" t="s">
        <v>39677</v>
      </c>
      <c r="Z2483" s="1" t="s">
        <v>39678</v>
      </c>
      <c r="AA2483" s="1" t="s">
        <v>74</v>
      </c>
      <c r="AB2483" s="1" t="s">
        <v>74</v>
      </c>
      <c r="AC2483" s="1" t="s">
        <v>74</v>
      </c>
      <c r="AD2483" s="1" t="s">
        <v>74</v>
      </c>
      <c r="AE2483" s="1" t="s">
        <v>74</v>
      </c>
      <c r="AF2483" s="1" t="s">
        <v>74</v>
      </c>
      <c r="AG2483" s="1">
        <v>65</v>
      </c>
      <c r="AH2483" s="1">
        <v>4</v>
      </c>
      <c r="AI2483" s="1">
        <v>5</v>
      </c>
      <c r="AJ2483" s="1">
        <v>1</v>
      </c>
      <c r="AK2483" s="1">
        <v>22</v>
      </c>
      <c r="AL2483" s="1" t="s">
        <v>4471</v>
      </c>
      <c r="AM2483" s="1" t="s">
        <v>4472</v>
      </c>
      <c r="AN2483" s="1" t="s">
        <v>4473</v>
      </c>
      <c r="AO2483" s="1" t="s">
        <v>4474</v>
      </c>
      <c r="AP2483" s="1" t="s">
        <v>4475</v>
      </c>
      <c r="AQ2483" s="1" t="s">
        <v>74</v>
      </c>
      <c r="AR2483" s="1" t="s">
        <v>4476</v>
      </c>
      <c r="AS2483" s="1" t="s">
        <v>4477</v>
      </c>
      <c r="AT2483" s="1" t="s">
        <v>39679</v>
      </c>
      <c r="AU2483" s="1">
        <v>2023</v>
      </c>
      <c r="AV2483" s="1">
        <v>57</v>
      </c>
      <c r="AW2483" s="1">
        <v>3</v>
      </c>
      <c r="AX2483" s="1" t="s">
        <v>74</v>
      </c>
      <c r="AY2483" s="1" t="s">
        <v>74</v>
      </c>
      <c r="AZ2483" s="1" t="s">
        <v>74</v>
      </c>
      <c r="BA2483" s="1" t="s">
        <v>74</v>
      </c>
      <c r="BB2483" s="1">
        <v>1320</v>
      </c>
      <c r="BC2483" s="1">
        <v>1331</v>
      </c>
      <c r="BD2483" s="1" t="s">
        <v>74</v>
      </c>
      <c r="BE2483" s="1" t="s">
        <v>39680</v>
      </c>
      <c r="BF2483" s="1" t="str">
        <f>HYPERLINK("http://dx.doi.org/10.1021/acs.est.2c06646","http://dx.doi.org/10.1021/acs.est.2c06646")</f>
        <v>http://dx.doi.org/10.1021/acs.est.2c06646</v>
      </c>
      <c r="BG2483" s="1" t="s">
        <v>74</v>
      </c>
      <c r="BH2483" s="1" t="s">
        <v>2057</v>
      </c>
      <c r="BI2483" s="1">
        <v>12</v>
      </c>
      <c r="BJ2483" s="1" t="s">
        <v>415</v>
      </c>
      <c r="BK2483" s="1" t="s">
        <v>96</v>
      </c>
      <c r="BL2483" s="1" t="s">
        <v>416</v>
      </c>
      <c r="BM2483" s="1" t="s">
        <v>39681</v>
      </c>
      <c r="BN2483" s="1">
        <v>36622805</v>
      </c>
      <c r="BO2483" s="1" t="s">
        <v>810</v>
      </c>
      <c r="BP2483" s="1" t="s">
        <v>74</v>
      </c>
      <c r="BQ2483" s="1" t="s">
        <v>74</v>
      </c>
      <c r="BR2483" s="1" t="s">
        <v>98</v>
      </c>
      <c r="BS2483" s="1" t="s">
        <v>39682</v>
      </c>
      <c r="BT2483" s="1" t="str">
        <f>HYPERLINK("https%3A%2F%2Fwww.webofscience.com%2Fwos%2Fwoscc%2Ffull-record%2FWOS:000913365500001","View Full Record in Web of Science")</f>
        <v>View Full Record in Web of Science</v>
      </c>
      <c r="BU2483" s="1"/>
      <c r="BV2483" s="1"/>
    </row>
    <row r="2484" spans="1:74">
      <c r="A2484" s="1" t="s">
        <v>72</v>
      </c>
      <c r="B2484" s="1" t="s">
        <v>39683</v>
      </c>
      <c r="C2484" s="1" t="s">
        <v>74</v>
      </c>
      <c r="D2484" s="1" t="s">
        <v>74</v>
      </c>
      <c r="E2484" s="1" t="s">
        <v>74</v>
      </c>
      <c r="F2484" s="1" t="s">
        <v>39684</v>
      </c>
      <c r="G2484" s="1" t="s">
        <v>74</v>
      </c>
      <c r="H2484" s="1" t="s">
        <v>74</v>
      </c>
      <c r="I2484" s="1" t="s">
        <v>39685</v>
      </c>
      <c r="J2484" s="1" t="s">
        <v>39686</v>
      </c>
      <c r="K2484" s="1" t="s">
        <v>74</v>
      </c>
      <c r="L2484" s="1" t="s">
        <v>74</v>
      </c>
      <c r="M2484" s="1" t="s">
        <v>78</v>
      </c>
      <c r="N2484" s="1" t="s">
        <v>79</v>
      </c>
      <c r="O2484" s="1" t="s">
        <v>74</v>
      </c>
      <c r="P2484" s="1" t="s">
        <v>74</v>
      </c>
      <c r="Q2484" s="1" t="s">
        <v>74</v>
      </c>
      <c r="R2484" s="1" t="s">
        <v>74</v>
      </c>
      <c r="S2484" s="1" t="s">
        <v>74</v>
      </c>
      <c r="T2484" s="1" t="s">
        <v>39687</v>
      </c>
      <c r="U2484" s="1" t="s">
        <v>39688</v>
      </c>
      <c r="V2484" s="1" t="s">
        <v>39689</v>
      </c>
      <c r="W2484" s="1" t="s">
        <v>39690</v>
      </c>
      <c r="X2484" s="1" t="s">
        <v>9556</v>
      </c>
      <c r="Y2484" s="1" t="s">
        <v>39691</v>
      </c>
      <c r="Z2484" s="1" t="s">
        <v>39692</v>
      </c>
      <c r="AA2484" s="1" t="s">
        <v>74</v>
      </c>
      <c r="AB2484" s="1" t="s">
        <v>74</v>
      </c>
      <c r="AC2484" s="1" t="s">
        <v>39693</v>
      </c>
      <c r="AD2484" s="1" t="s">
        <v>39694</v>
      </c>
      <c r="AE2484" s="1" t="s">
        <v>39695</v>
      </c>
      <c r="AF2484" s="1" t="s">
        <v>74</v>
      </c>
      <c r="AG2484" s="1">
        <v>55</v>
      </c>
      <c r="AH2484" s="1">
        <v>0</v>
      </c>
      <c r="AI2484" s="1">
        <v>0</v>
      </c>
      <c r="AJ2484" s="1">
        <v>1</v>
      </c>
      <c r="AK2484" s="1">
        <v>4</v>
      </c>
      <c r="AL2484" s="1" t="s">
        <v>3362</v>
      </c>
      <c r="AM2484" s="1" t="s">
        <v>3363</v>
      </c>
      <c r="AN2484" s="1" t="s">
        <v>3364</v>
      </c>
      <c r="AO2484" s="1" t="s">
        <v>39696</v>
      </c>
      <c r="AP2484" s="1" t="s">
        <v>39697</v>
      </c>
      <c r="AQ2484" s="1" t="s">
        <v>74</v>
      </c>
      <c r="AR2484" s="1" t="s">
        <v>39698</v>
      </c>
      <c r="AS2484" s="1" t="s">
        <v>39699</v>
      </c>
      <c r="AT2484" s="1" t="s">
        <v>951</v>
      </c>
      <c r="AU2484" s="1">
        <v>2023</v>
      </c>
      <c r="AV2484" s="1">
        <v>254</v>
      </c>
      <c r="AW2484" s="1" t="s">
        <v>74</v>
      </c>
      <c r="AX2484" s="1" t="s">
        <v>74</v>
      </c>
      <c r="AY2484" s="1" t="s">
        <v>74</v>
      </c>
      <c r="AZ2484" s="1" t="s">
        <v>74</v>
      </c>
      <c r="BA2484" s="1" t="s">
        <v>74</v>
      </c>
      <c r="BB2484" s="1" t="s">
        <v>74</v>
      </c>
      <c r="BC2484" s="1" t="s">
        <v>74</v>
      </c>
      <c r="BD2484" s="1">
        <v>108624</v>
      </c>
      <c r="BE2484" s="1" t="s">
        <v>39700</v>
      </c>
      <c r="BF2484" s="1" t="str">
        <f>HYPERLINK("http://dx.doi.org/10.1016/j.exppara.2023.108624","http://dx.doi.org/10.1016/j.exppara.2023.108624")</f>
        <v>http://dx.doi.org/10.1016/j.exppara.2023.108624</v>
      </c>
      <c r="BG2484" s="1" t="s">
        <v>74</v>
      </c>
      <c r="BH2484" s="1" t="s">
        <v>26143</v>
      </c>
      <c r="BI2484" s="1">
        <v>9</v>
      </c>
      <c r="BJ2484" s="1" t="s">
        <v>2340</v>
      </c>
      <c r="BK2484" s="1" t="s">
        <v>96</v>
      </c>
      <c r="BL2484" s="1" t="s">
        <v>2340</v>
      </c>
      <c r="BM2484" s="1" t="s">
        <v>39701</v>
      </c>
      <c r="BN2484" s="1">
        <v>37769835</v>
      </c>
      <c r="BO2484" s="1" t="s">
        <v>74</v>
      </c>
      <c r="BP2484" s="1" t="s">
        <v>74</v>
      </c>
      <c r="BQ2484" s="1" t="s">
        <v>74</v>
      </c>
      <c r="BR2484" s="1" t="s">
        <v>98</v>
      </c>
      <c r="BS2484" s="1" t="s">
        <v>39702</v>
      </c>
      <c r="BT2484" s="1" t="str">
        <f>HYPERLINK("https%3A%2F%2Fwww.webofscience.com%2Fwos%2Fwoscc%2Ffull-record%2FWOS:001087334900001","View Full Record in Web of Science")</f>
        <v>View Full Record in Web of Science</v>
      </c>
      <c r="BU2484" s="1"/>
      <c r="BV2484" s="1"/>
    </row>
    <row r="2485" spans="1:74">
      <c r="A2485" s="1" t="s">
        <v>72</v>
      </c>
      <c r="B2485" s="1" t="s">
        <v>39703</v>
      </c>
      <c r="C2485" s="1" t="s">
        <v>74</v>
      </c>
      <c r="D2485" s="1" t="s">
        <v>74</v>
      </c>
      <c r="E2485" s="1" t="s">
        <v>74</v>
      </c>
      <c r="F2485" s="1" t="s">
        <v>39704</v>
      </c>
      <c r="G2485" s="1" t="s">
        <v>74</v>
      </c>
      <c r="H2485" s="1" t="s">
        <v>74</v>
      </c>
      <c r="I2485" s="1" t="s">
        <v>39705</v>
      </c>
      <c r="J2485" s="1" t="s">
        <v>39706</v>
      </c>
      <c r="K2485" s="1" t="s">
        <v>74</v>
      </c>
      <c r="L2485" s="1" t="s">
        <v>74</v>
      </c>
      <c r="M2485" s="1" t="s">
        <v>78</v>
      </c>
      <c r="N2485" s="1" t="s">
        <v>79</v>
      </c>
      <c r="O2485" s="1" t="s">
        <v>74</v>
      </c>
      <c r="P2485" s="1" t="s">
        <v>74</v>
      </c>
      <c r="Q2485" s="1" t="s">
        <v>74</v>
      </c>
      <c r="R2485" s="1" t="s">
        <v>74</v>
      </c>
      <c r="S2485" s="1" t="s">
        <v>74</v>
      </c>
      <c r="T2485" s="1" t="s">
        <v>39707</v>
      </c>
      <c r="U2485" s="1" t="s">
        <v>39708</v>
      </c>
      <c r="V2485" s="1" t="s">
        <v>39709</v>
      </c>
      <c r="W2485" s="1" t="s">
        <v>39710</v>
      </c>
      <c r="X2485" s="1" t="s">
        <v>39711</v>
      </c>
      <c r="Y2485" s="1" t="s">
        <v>39712</v>
      </c>
      <c r="Z2485" s="1" t="s">
        <v>39713</v>
      </c>
      <c r="AA2485" s="1" t="s">
        <v>39714</v>
      </c>
      <c r="AB2485" s="1" t="s">
        <v>39715</v>
      </c>
      <c r="AC2485" s="1" t="s">
        <v>39716</v>
      </c>
      <c r="AD2485" s="1" t="s">
        <v>39716</v>
      </c>
      <c r="AE2485" s="1" t="s">
        <v>39717</v>
      </c>
      <c r="AF2485" s="1" t="s">
        <v>74</v>
      </c>
      <c r="AG2485" s="1">
        <v>86</v>
      </c>
      <c r="AH2485" s="1">
        <v>16</v>
      </c>
      <c r="AI2485" s="1">
        <v>20</v>
      </c>
      <c r="AJ2485" s="1">
        <v>2</v>
      </c>
      <c r="AK2485" s="1">
        <v>50</v>
      </c>
      <c r="AL2485" s="1" t="s">
        <v>4471</v>
      </c>
      <c r="AM2485" s="1" t="s">
        <v>4472</v>
      </c>
      <c r="AN2485" s="1" t="s">
        <v>4473</v>
      </c>
      <c r="AO2485" s="1" t="s">
        <v>39718</v>
      </c>
      <c r="AP2485" s="1" t="s">
        <v>39719</v>
      </c>
      <c r="AQ2485" s="1" t="s">
        <v>74</v>
      </c>
      <c r="AR2485" s="1" t="s">
        <v>39720</v>
      </c>
      <c r="AS2485" s="1" t="s">
        <v>39721</v>
      </c>
      <c r="AT2485" s="1" t="s">
        <v>951</v>
      </c>
      <c r="AU2485" s="1">
        <v>2013</v>
      </c>
      <c r="AV2485" s="1">
        <v>12</v>
      </c>
      <c r="AW2485" s="1">
        <v>11</v>
      </c>
      <c r="AX2485" s="1" t="s">
        <v>74</v>
      </c>
      <c r="AY2485" s="1" t="s">
        <v>74</v>
      </c>
      <c r="AZ2485" s="1" t="s">
        <v>74</v>
      </c>
      <c r="BA2485" s="1" t="s">
        <v>74</v>
      </c>
      <c r="BB2485" s="1">
        <v>5281</v>
      </c>
      <c r="BC2485" s="1">
        <v>5292</v>
      </c>
      <c r="BD2485" s="1" t="s">
        <v>74</v>
      </c>
      <c r="BE2485" s="1" t="s">
        <v>39722</v>
      </c>
      <c r="BF2485" s="1" t="str">
        <f>HYPERLINK("http://dx.doi.org/10.1021/pr4006316","http://dx.doi.org/10.1021/pr4006316")</f>
        <v>http://dx.doi.org/10.1021/pr4006316</v>
      </c>
      <c r="BG2485" s="1" t="s">
        <v>74</v>
      </c>
      <c r="BH2485" s="1" t="s">
        <v>74</v>
      </c>
      <c r="BI2485" s="1">
        <v>12</v>
      </c>
      <c r="BJ2485" s="1" t="s">
        <v>27736</v>
      </c>
      <c r="BK2485" s="1" t="s">
        <v>96</v>
      </c>
      <c r="BL2485" s="1" t="s">
        <v>3805</v>
      </c>
      <c r="BM2485" s="1" t="s">
        <v>39723</v>
      </c>
      <c r="BN2485" s="1">
        <v>23972258</v>
      </c>
      <c r="BO2485" s="1" t="s">
        <v>74</v>
      </c>
      <c r="BP2485" s="1" t="s">
        <v>74</v>
      </c>
      <c r="BQ2485" s="1" t="s">
        <v>74</v>
      </c>
      <c r="BR2485" s="1" t="s">
        <v>98</v>
      </c>
      <c r="BS2485" s="1" t="s">
        <v>39724</v>
      </c>
      <c r="BT2485" s="1" t="str">
        <f>HYPERLINK("https%3A%2F%2Fwww.webofscience.com%2Fwos%2Fwoscc%2Ffull-record%2FWOS:000326615000049","View Full Record in Web of Science")</f>
        <v>View Full Record in Web of Science</v>
      </c>
      <c r="BU2485" s="1"/>
      <c r="BV2485" s="1"/>
    </row>
    <row r="2486" spans="1:74">
      <c r="A2486" s="1" t="s">
        <v>72</v>
      </c>
      <c r="B2486" s="1" t="s">
        <v>39725</v>
      </c>
      <c r="C2486" s="1" t="s">
        <v>74</v>
      </c>
      <c r="D2486" s="1" t="s">
        <v>74</v>
      </c>
      <c r="E2486" s="1" t="s">
        <v>74</v>
      </c>
      <c r="F2486" s="1" t="s">
        <v>39726</v>
      </c>
      <c r="G2486" s="1" t="s">
        <v>74</v>
      </c>
      <c r="H2486" s="1" t="s">
        <v>74</v>
      </c>
      <c r="I2486" s="1" t="s">
        <v>39727</v>
      </c>
      <c r="J2486" s="1" t="s">
        <v>4909</v>
      </c>
      <c r="K2486" s="1" t="s">
        <v>74</v>
      </c>
      <c r="L2486" s="1" t="s">
        <v>74</v>
      </c>
      <c r="M2486" s="1" t="s">
        <v>78</v>
      </c>
      <c r="N2486" s="1" t="s">
        <v>79</v>
      </c>
      <c r="O2486" s="1" t="s">
        <v>74</v>
      </c>
      <c r="P2486" s="1" t="s">
        <v>74</v>
      </c>
      <c r="Q2486" s="1" t="s">
        <v>74</v>
      </c>
      <c r="R2486" s="1" t="s">
        <v>74</v>
      </c>
      <c r="S2486" s="1" t="s">
        <v>74</v>
      </c>
      <c r="T2486" s="1" t="s">
        <v>39728</v>
      </c>
      <c r="U2486" s="1" t="s">
        <v>39729</v>
      </c>
      <c r="V2486" s="1" t="s">
        <v>39730</v>
      </c>
      <c r="W2486" s="1" t="s">
        <v>39731</v>
      </c>
      <c r="X2486" s="1" t="s">
        <v>39732</v>
      </c>
      <c r="Y2486" s="1" t="s">
        <v>39733</v>
      </c>
      <c r="Z2486" s="1" t="s">
        <v>74</v>
      </c>
      <c r="AA2486" s="1" t="s">
        <v>74</v>
      </c>
      <c r="AB2486" s="1" t="s">
        <v>74</v>
      </c>
      <c r="AC2486" s="1" t="s">
        <v>39734</v>
      </c>
      <c r="AD2486" s="1" t="s">
        <v>39734</v>
      </c>
      <c r="AE2486" s="1" t="s">
        <v>39735</v>
      </c>
      <c r="AF2486" s="1" t="s">
        <v>74</v>
      </c>
      <c r="AG2486" s="1">
        <v>66</v>
      </c>
      <c r="AH2486" s="1">
        <v>0</v>
      </c>
      <c r="AI2486" s="1">
        <v>0</v>
      </c>
      <c r="AJ2486" s="1">
        <v>2</v>
      </c>
      <c r="AK2486" s="1">
        <v>5</v>
      </c>
      <c r="AL2486" s="1" t="s">
        <v>408</v>
      </c>
      <c r="AM2486" s="1" t="s">
        <v>409</v>
      </c>
      <c r="AN2486" s="1" t="s">
        <v>1188</v>
      </c>
      <c r="AO2486" s="1" t="s">
        <v>4917</v>
      </c>
      <c r="AP2486" s="1" t="s">
        <v>4918</v>
      </c>
      <c r="AQ2486" s="1" t="s">
        <v>74</v>
      </c>
      <c r="AR2486" s="1" t="s">
        <v>4919</v>
      </c>
      <c r="AS2486" s="1" t="s">
        <v>4920</v>
      </c>
      <c r="AT2486" s="1" t="s">
        <v>39736</v>
      </c>
      <c r="AU2486" s="1">
        <v>2023</v>
      </c>
      <c r="AV2486" s="1">
        <v>29</v>
      </c>
      <c r="AW2486" s="1" t="s">
        <v>1070</v>
      </c>
      <c r="AX2486" s="1" t="s">
        <v>74</v>
      </c>
      <c r="AY2486" s="1" t="s">
        <v>74</v>
      </c>
      <c r="AZ2486" s="1" t="s">
        <v>74</v>
      </c>
      <c r="BA2486" s="1" t="s">
        <v>74</v>
      </c>
      <c r="BB2486" s="1">
        <v>836</v>
      </c>
      <c r="BC2486" s="1">
        <v>858</v>
      </c>
      <c r="BD2486" s="1" t="s">
        <v>74</v>
      </c>
      <c r="BE2486" s="1" t="s">
        <v>39737</v>
      </c>
      <c r="BF2486" s="1" t="str">
        <f>HYPERLINK("http://dx.doi.org/10.1080/10807039.2023.2194998","http://dx.doi.org/10.1080/10807039.2023.2194998")</f>
        <v>http://dx.doi.org/10.1080/10807039.2023.2194998</v>
      </c>
      <c r="BG2486" s="1" t="s">
        <v>74</v>
      </c>
      <c r="BH2486" s="1" t="s">
        <v>6536</v>
      </c>
      <c r="BI2486" s="1">
        <v>23</v>
      </c>
      <c r="BJ2486" s="1" t="s">
        <v>4923</v>
      </c>
      <c r="BK2486" s="1" t="s">
        <v>96</v>
      </c>
      <c r="BL2486" s="1" t="s">
        <v>4924</v>
      </c>
      <c r="BM2486" s="1" t="s">
        <v>39738</v>
      </c>
      <c r="BN2486" s="1" t="s">
        <v>74</v>
      </c>
      <c r="BO2486" s="1" t="s">
        <v>74</v>
      </c>
      <c r="BP2486" s="1" t="s">
        <v>74</v>
      </c>
      <c r="BQ2486" s="1" t="s">
        <v>74</v>
      </c>
      <c r="BR2486" s="1" t="s">
        <v>98</v>
      </c>
      <c r="BS2486" s="1" t="s">
        <v>39739</v>
      </c>
      <c r="BT2486" s="1" t="str">
        <f>HYPERLINK("https%3A%2F%2Fwww.webofscience.com%2Fwos%2Fwoscc%2Ffull-record%2FWOS:000963815800001","View Full Record in Web of Science")</f>
        <v>View Full Record in Web of Science</v>
      </c>
      <c r="BU2486" s="1"/>
      <c r="BV2486" s="1"/>
    </row>
    <row r="2487" spans="1:74">
      <c r="A2487" s="1" t="s">
        <v>72</v>
      </c>
      <c r="B2487" s="1" t="s">
        <v>39740</v>
      </c>
      <c r="C2487" s="1" t="s">
        <v>74</v>
      </c>
      <c r="D2487" s="1" t="s">
        <v>74</v>
      </c>
      <c r="E2487" s="1" t="s">
        <v>74</v>
      </c>
      <c r="F2487" s="1" t="s">
        <v>39741</v>
      </c>
      <c r="G2487" s="1" t="s">
        <v>74</v>
      </c>
      <c r="H2487" s="1" t="s">
        <v>74</v>
      </c>
      <c r="I2487" s="1" t="s">
        <v>39742</v>
      </c>
      <c r="J2487" s="1" t="s">
        <v>595</v>
      </c>
      <c r="K2487" s="1" t="s">
        <v>74</v>
      </c>
      <c r="L2487" s="1" t="s">
        <v>74</v>
      </c>
      <c r="M2487" s="1" t="s">
        <v>78</v>
      </c>
      <c r="N2487" s="1" t="s">
        <v>79</v>
      </c>
      <c r="O2487" s="1" t="s">
        <v>74</v>
      </c>
      <c r="P2487" s="1" t="s">
        <v>74</v>
      </c>
      <c r="Q2487" s="1" t="s">
        <v>74</v>
      </c>
      <c r="R2487" s="1" t="s">
        <v>74</v>
      </c>
      <c r="S2487" s="1" t="s">
        <v>74</v>
      </c>
      <c r="T2487" s="1" t="s">
        <v>39743</v>
      </c>
      <c r="U2487" s="1" t="s">
        <v>39744</v>
      </c>
      <c r="V2487" s="1" t="s">
        <v>39745</v>
      </c>
      <c r="W2487" s="1" t="s">
        <v>39746</v>
      </c>
      <c r="X2487" s="1" t="s">
        <v>39747</v>
      </c>
      <c r="Y2487" s="1" t="s">
        <v>39748</v>
      </c>
      <c r="Z2487" s="1" t="s">
        <v>39749</v>
      </c>
      <c r="AA2487" s="1" t="s">
        <v>39750</v>
      </c>
      <c r="AB2487" s="1" t="s">
        <v>39751</v>
      </c>
      <c r="AC2487" s="1" t="s">
        <v>39752</v>
      </c>
      <c r="AD2487" s="1" t="s">
        <v>39753</v>
      </c>
      <c r="AE2487" s="1" t="s">
        <v>39754</v>
      </c>
      <c r="AF2487" s="1" t="s">
        <v>74</v>
      </c>
      <c r="AG2487" s="1">
        <v>126</v>
      </c>
      <c r="AH2487" s="1">
        <v>19</v>
      </c>
      <c r="AI2487" s="1">
        <v>19</v>
      </c>
      <c r="AJ2487" s="1">
        <v>0</v>
      </c>
      <c r="AK2487" s="1">
        <v>50</v>
      </c>
      <c r="AL2487" s="1" t="s">
        <v>112</v>
      </c>
      <c r="AM2487" s="1" t="s">
        <v>191</v>
      </c>
      <c r="AN2487" s="1" t="s">
        <v>192</v>
      </c>
      <c r="AO2487" s="1" t="s">
        <v>608</v>
      </c>
      <c r="AP2487" s="1" t="s">
        <v>609</v>
      </c>
      <c r="AQ2487" s="1" t="s">
        <v>74</v>
      </c>
      <c r="AR2487" s="1" t="s">
        <v>595</v>
      </c>
      <c r="AS2487" s="1" t="s">
        <v>610</v>
      </c>
      <c r="AT2487" s="1" t="s">
        <v>1470</v>
      </c>
      <c r="AU2487" s="1">
        <v>2021</v>
      </c>
      <c r="AV2487" s="1">
        <v>30</v>
      </c>
      <c r="AW2487" s="1">
        <v>1</v>
      </c>
      <c r="AX2487" s="1" t="s">
        <v>74</v>
      </c>
      <c r="AY2487" s="1" t="s">
        <v>74</v>
      </c>
      <c r="AZ2487" s="1" t="s">
        <v>74</v>
      </c>
      <c r="BA2487" s="1" t="s">
        <v>74</v>
      </c>
      <c r="BB2487" s="1">
        <v>142</v>
      </c>
      <c r="BC2487" s="1">
        <v>153</v>
      </c>
      <c r="BD2487" s="1" t="s">
        <v>74</v>
      </c>
      <c r="BE2487" s="1" t="s">
        <v>39755</v>
      </c>
      <c r="BF2487" s="1" t="str">
        <f>HYPERLINK("http://dx.doi.org/10.1007/s10646-020-02299-w","http://dx.doi.org/10.1007/s10646-020-02299-w")</f>
        <v>http://dx.doi.org/10.1007/s10646-020-02299-w</v>
      </c>
      <c r="BG2487" s="1" t="s">
        <v>74</v>
      </c>
      <c r="BH2487" s="1" t="s">
        <v>17167</v>
      </c>
      <c r="BI2487" s="1">
        <v>12</v>
      </c>
      <c r="BJ2487" s="1" t="s">
        <v>612</v>
      </c>
      <c r="BK2487" s="1" t="s">
        <v>96</v>
      </c>
      <c r="BL2487" s="1" t="s">
        <v>122</v>
      </c>
      <c r="BM2487" s="1" t="s">
        <v>39756</v>
      </c>
      <c r="BN2487" s="1">
        <v>33159647</v>
      </c>
      <c r="BO2487" s="1" t="s">
        <v>74</v>
      </c>
      <c r="BP2487" s="1" t="s">
        <v>74</v>
      </c>
      <c r="BQ2487" s="1" t="s">
        <v>74</v>
      </c>
      <c r="BR2487" s="1" t="s">
        <v>98</v>
      </c>
      <c r="BS2487" s="1" t="s">
        <v>39757</v>
      </c>
      <c r="BT2487" s="1" t="str">
        <f>HYPERLINK("https%3A%2F%2Fwww.webofscience.com%2Fwos%2Fwoscc%2Ffull-record%2FWOS:000587280000001","View Full Record in Web of Science")</f>
        <v>View Full Record in Web of Science</v>
      </c>
      <c r="BU2487" s="1"/>
      <c r="BV2487" s="1"/>
    </row>
    <row r="2488" spans="1:74">
      <c r="A2488" s="1" t="s">
        <v>72</v>
      </c>
      <c r="B2488" s="1" t="s">
        <v>39758</v>
      </c>
      <c r="C2488" s="1" t="s">
        <v>74</v>
      </c>
      <c r="D2488" s="1" t="s">
        <v>74</v>
      </c>
      <c r="E2488" s="1" t="s">
        <v>74</v>
      </c>
      <c r="F2488" s="1" t="s">
        <v>39759</v>
      </c>
      <c r="G2488" s="1" t="s">
        <v>74</v>
      </c>
      <c r="H2488" s="1" t="s">
        <v>74</v>
      </c>
      <c r="I2488" s="1" t="s">
        <v>39760</v>
      </c>
      <c r="J2488" s="1" t="s">
        <v>17604</v>
      </c>
      <c r="K2488" s="1" t="s">
        <v>74</v>
      </c>
      <c r="L2488" s="1" t="s">
        <v>74</v>
      </c>
      <c r="M2488" s="1" t="s">
        <v>78</v>
      </c>
      <c r="N2488" s="1" t="s">
        <v>79</v>
      </c>
      <c r="O2488" s="1" t="s">
        <v>74</v>
      </c>
      <c r="P2488" s="1" t="s">
        <v>74</v>
      </c>
      <c r="Q2488" s="1" t="s">
        <v>74</v>
      </c>
      <c r="R2488" s="1" t="s">
        <v>74</v>
      </c>
      <c r="S2488" s="1" t="s">
        <v>74</v>
      </c>
      <c r="T2488" s="1" t="s">
        <v>39761</v>
      </c>
      <c r="U2488" s="1" t="s">
        <v>39762</v>
      </c>
      <c r="V2488" s="1" t="s">
        <v>39763</v>
      </c>
      <c r="W2488" s="1" t="s">
        <v>39764</v>
      </c>
      <c r="X2488" s="1" t="s">
        <v>39765</v>
      </c>
      <c r="Y2488" s="1" t="s">
        <v>39766</v>
      </c>
      <c r="Z2488" s="1" t="s">
        <v>39767</v>
      </c>
      <c r="AA2488" s="1" t="s">
        <v>74</v>
      </c>
      <c r="AB2488" s="1" t="s">
        <v>74</v>
      </c>
      <c r="AC2488" s="1" t="s">
        <v>39768</v>
      </c>
      <c r="AD2488" s="1" t="s">
        <v>39768</v>
      </c>
      <c r="AE2488" s="1" t="s">
        <v>39769</v>
      </c>
      <c r="AF2488" s="1" t="s">
        <v>74</v>
      </c>
      <c r="AG2488" s="1">
        <v>96</v>
      </c>
      <c r="AH2488" s="1">
        <v>11</v>
      </c>
      <c r="AI2488" s="1">
        <v>11</v>
      </c>
      <c r="AJ2488" s="1">
        <v>3</v>
      </c>
      <c r="AK2488" s="1">
        <v>17</v>
      </c>
      <c r="AL2488" s="1" t="s">
        <v>650</v>
      </c>
      <c r="AM2488" s="1" t="s">
        <v>651</v>
      </c>
      <c r="AN2488" s="1" t="s">
        <v>652</v>
      </c>
      <c r="AO2488" s="1" t="s">
        <v>17613</v>
      </c>
      <c r="AP2488" s="1" t="s">
        <v>17614</v>
      </c>
      <c r="AQ2488" s="1" t="s">
        <v>74</v>
      </c>
      <c r="AR2488" s="1" t="s">
        <v>17615</v>
      </c>
      <c r="AS2488" s="1" t="s">
        <v>17616</v>
      </c>
      <c r="AT2488" s="1" t="s">
        <v>93</v>
      </c>
      <c r="AU2488" s="1">
        <v>2022</v>
      </c>
      <c r="AV2488" s="1">
        <v>549</v>
      </c>
      <c r="AW2488" s="1" t="s">
        <v>74</v>
      </c>
      <c r="AX2488" s="1" t="s">
        <v>74</v>
      </c>
      <c r="AY2488" s="1" t="s">
        <v>74</v>
      </c>
      <c r="AZ2488" s="1" t="s">
        <v>74</v>
      </c>
      <c r="BA2488" s="1" t="s">
        <v>74</v>
      </c>
      <c r="BB2488" s="1" t="s">
        <v>74</v>
      </c>
      <c r="BC2488" s="1" t="s">
        <v>74</v>
      </c>
      <c r="BD2488" s="1">
        <v>151696</v>
      </c>
      <c r="BE2488" s="1" t="s">
        <v>39770</v>
      </c>
      <c r="BF2488" s="1" t="str">
        <f>HYPERLINK("http://dx.doi.org/10.1016/j.jembe.2022.151696","http://dx.doi.org/10.1016/j.jembe.2022.151696")</f>
        <v>http://dx.doi.org/10.1016/j.jembe.2022.151696</v>
      </c>
      <c r="BG2488" s="1" t="s">
        <v>74</v>
      </c>
      <c r="BH2488" s="1" t="s">
        <v>528</v>
      </c>
      <c r="BI2488" s="1">
        <v>9</v>
      </c>
      <c r="BJ2488" s="1" t="s">
        <v>1292</v>
      </c>
      <c r="BK2488" s="1" t="s">
        <v>96</v>
      </c>
      <c r="BL2488" s="1" t="s">
        <v>248</v>
      </c>
      <c r="BM2488" s="1" t="s">
        <v>39771</v>
      </c>
      <c r="BN2488" s="1" t="s">
        <v>74</v>
      </c>
      <c r="BO2488" s="1" t="s">
        <v>74</v>
      </c>
      <c r="BP2488" s="1" t="s">
        <v>74</v>
      </c>
      <c r="BQ2488" s="1" t="s">
        <v>74</v>
      </c>
      <c r="BR2488" s="1" t="s">
        <v>98</v>
      </c>
      <c r="BS2488" s="1" t="s">
        <v>39772</v>
      </c>
      <c r="BT2488" s="1" t="str">
        <f>HYPERLINK("https%3A%2F%2Fwww.webofscience.com%2Fwos%2Fwoscc%2Ffull-record%2FWOS:000788144600001","View Full Record in Web of Science")</f>
        <v>View Full Record in Web of Science</v>
      </c>
      <c r="BU2488" s="1"/>
      <c r="BV2488" s="1"/>
    </row>
    <row r="2489" spans="1:74">
      <c r="A2489" s="1" t="s">
        <v>72</v>
      </c>
      <c r="B2489" s="1" t="s">
        <v>39773</v>
      </c>
      <c r="C2489" s="1" t="s">
        <v>74</v>
      </c>
      <c r="D2489" s="1" t="s">
        <v>74</v>
      </c>
      <c r="E2489" s="1" t="s">
        <v>74</v>
      </c>
      <c r="F2489" s="1" t="s">
        <v>39774</v>
      </c>
      <c r="G2489" s="1" t="s">
        <v>74</v>
      </c>
      <c r="H2489" s="1" t="s">
        <v>74</v>
      </c>
      <c r="I2489" s="1" t="s">
        <v>39775</v>
      </c>
      <c r="J2489" s="1" t="s">
        <v>6630</v>
      </c>
      <c r="K2489" s="1" t="s">
        <v>74</v>
      </c>
      <c r="L2489" s="1" t="s">
        <v>74</v>
      </c>
      <c r="M2489" s="1" t="s">
        <v>78</v>
      </c>
      <c r="N2489" s="1" t="s">
        <v>79</v>
      </c>
      <c r="O2489" s="1" t="s">
        <v>74</v>
      </c>
      <c r="P2489" s="1" t="s">
        <v>74</v>
      </c>
      <c r="Q2489" s="1" t="s">
        <v>74</v>
      </c>
      <c r="R2489" s="1" t="s">
        <v>74</v>
      </c>
      <c r="S2489" s="1" t="s">
        <v>74</v>
      </c>
      <c r="T2489" s="1" t="s">
        <v>74</v>
      </c>
      <c r="U2489" s="1" t="s">
        <v>39776</v>
      </c>
      <c r="V2489" s="1" t="s">
        <v>39777</v>
      </c>
      <c r="W2489" s="1" t="s">
        <v>39778</v>
      </c>
      <c r="X2489" s="1" t="s">
        <v>39779</v>
      </c>
      <c r="Y2489" s="1" t="s">
        <v>39780</v>
      </c>
      <c r="Z2489" s="1" t="s">
        <v>39781</v>
      </c>
      <c r="AA2489" s="1" t="s">
        <v>39782</v>
      </c>
      <c r="AB2489" s="1" t="s">
        <v>39783</v>
      </c>
      <c r="AC2489" s="1" t="s">
        <v>39784</v>
      </c>
      <c r="AD2489" s="1" t="s">
        <v>39785</v>
      </c>
      <c r="AE2489" s="1" t="s">
        <v>39786</v>
      </c>
      <c r="AF2489" s="1" t="s">
        <v>74</v>
      </c>
      <c r="AG2489" s="1">
        <v>37</v>
      </c>
      <c r="AH2489" s="1">
        <v>16</v>
      </c>
      <c r="AI2489" s="1">
        <v>17</v>
      </c>
      <c r="AJ2489" s="1">
        <v>0</v>
      </c>
      <c r="AK2489" s="1">
        <v>13</v>
      </c>
      <c r="AL2489" s="1" t="s">
        <v>408</v>
      </c>
      <c r="AM2489" s="1" t="s">
        <v>409</v>
      </c>
      <c r="AN2489" s="1" t="s">
        <v>1188</v>
      </c>
      <c r="AO2489" s="1" t="s">
        <v>6642</v>
      </c>
      <c r="AP2489" s="1" t="s">
        <v>6643</v>
      </c>
      <c r="AQ2489" s="1" t="s">
        <v>74</v>
      </c>
      <c r="AR2489" s="1" t="s">
        <v>6644</v>
      </c>
      <c r="AS2489" s="1" t="s">
        <v>6645</v>
      </c>
      <c r="AT2489" s="1" t="s">
        <v>74</v>
      </c>
      <c r="AU2489" s="1">
        <v>2011</v>
      </c>
      <c r="AV2489" s="1">
        <v>74</v>
      </c>
      <c r="AW2489" s="1" t="s">
        <v>39787</v>
      </c>
      <c r="AX2489" s="1" t="s">
        <v>74</v>
      </c>
      <c r="AY2489" s="1" t="s">
        <v>74</v>
      </c>
      <c r="AZ2489" s="1" t="s">
        <v>225</v>
      </c>
      <c r="BA2489" s="1" t="s">
        <v>74</v>
      </c>
      <c r="BB2489" s="1">
        <v>1020</v>
      </c>
      <c r="BC2489" s="1">
        <v>1029</v>
      </c>
      <c r="BD2489" s="1" t="s">
        <v>74</v>
      </c>
      <c r="BE2489" s="1" t="s">
        <v>39788</v>
      </c>
      <c r="BF2489" s="1" t="str">
        <f>HYPERLINK("http://dx.doi.org/10.1080/15287394.2011.582271","http://dx.doi.org/10.1080/15287394.2011.582271")</f>
        <v>http://dx.doi.org/10.1080/15287394.2011.582271</v>
      </c>
      <c r="BG2489" s="1" t="s">
        <v>74</v>
      </c>
      <c r="BH2489" s="1" t="s">
        <v>74</v>
      </c>
      <c r="BI2489" s="1">
        <v>10</v>
      </c>
      <c r="BJ2489" s="1" t="s">
        <v>5162</v>
      </c>
      <c r="BK2489" s="1" t="s">
        <v>96</v>
      </c>
      <c r="BL2489" s="1" t="s">
        <v>5163</v>
      </c>
      <c r="BM2489" s="1" t="s">
        <v>39789</v>
      </c>
      <c r="BN2489" s="1">
        <v>21707426</v>
      </c>
      <c r="BO2489" s="1" t="s">
        <v>74</v>
      </c>
      <c r="BP2489" s="1" t="s">
        <v>74</v>
      </c>
      <c r="BQ2489" s="1" t="s">
        <v>74</v>
      </c>
      <c r="BR2489" s="1" t="s">
        <v>98</v>
      </c>
      <c r="BS2489" s="1" t="s">
        <v>39790</v>
      </c>
      <c r="BT2489" s="1" t="str">
        <f>HYPERLINK("https%3A%2F%2Fwww.webofscience.com%2Fwos%2Fwoscc%2Ffull-record%2FWOS:000294904400007","View Full Record in Web of Science")</f>
        <v>View Full Record in Web of Science</v>
      </c>
      <c r="BU2489" s="1"/>
      <c r="BV2489" s="1"/>
    </row>
    <row r="2490" spans="1:74">
      <c r="A2490" s="1" t="s">
        <v>72</v>
      </c>
      <c r="B2490" s="1" t="s">
        <v>39791</v>
      </c>
      <c r="C2490" s="1" t="s">
        <v>74</v>
      </c>
      <c r="D2490" s="1" t="s">
        <v>74</v>
      </c>
      <c r="E2490" s="1" t="s">
        <v>74</v>
      </c>
      <c r="F2490" s="1" t="s">
        <v>39792</v>
      </c>
      <c r="G2490" s="1" t="s">
        <v>74</v>
      </c>
      <c r="H2490" s="1" t="s">
        <v>74</v>
      </c>
      <c r="I2490" s="1" t="s">
        <v>39793</v>
      </c>
      <c r="J2490" s="1" t="s">
        <v>752</v>
      </c>
      <c r="K2490" s="1" t="s">
        <v>74</v>
      </c>
      <c r="L2490" s="1" t="s">
        <v>74</v>
      </c>
      <c r="M2490" s="1" t="s">
        <v>78</v>
      </c>
      <c r="N2490" s="1" t="s">
        <v>79</v>
      </c>
      <c r="O2490" s="1" t="s">
        <v>74</v>
      </c>
      <c r="P2490" s="1" t="s">
        <v>74</v>
      </c>
      <c r="Q2490" s="1" t="s">
        <v>74</v>
      </c>
      <c r="R2490" s="1" t="s">
        <v>74</v>
      </c>
      <c r="S2490" s="1" t="s">
        <v>74</v>
      </c>
      <c r="T2490" s="1" t="s">
        <v>39794</v>
      </c>
      <c r="U2490" s="1" t="s">
        <v>39795</v>
      </c>
      <c r="V2490" s="1" t="s">
        <v>39796</v>
      </c>
      <c r="W2490" s="1" t="s">
        <v>39797</v>
      </c>
      <c r="X2490" s="1" t="s">
        <v>39798</v>
      </c>
      <c r="Y2490" s="1" t="s">
        <v>39799</v>
      </c>
      <c r="Z2490" s="1" t="s">
        <v>32983</v>
      </c>
      <c r="AA2490" s="1" t="s">
        <v>39800</v>
      </c>
      <c r="AB2490" s="1" t="s">
        <v>39801</v>
      </c>
      <c r="AC2490" s="1" t="s">
        <v>39802</v>
      </c>
      <c r="AD2490" s="1" t="s">
        <v>39803</v>
      </c>
      <c r="AE2490" s="1" t="s">
        <v>39804</v>
      </c>
      <c r="AF2490" s="1" t="s">
        <v>74</v>
      </c>
      <c r="AG2490" s="1">
        <v>49</v>
      </c>
      <c r="AH2490" s="1">
        <v>35</v>
      </c>
      <c r="AI2490" s="1">
        <v>35</v>
      </c>
      <c r="AJ2490" s="1">
        <v>0</v>
      </c>
      <c r="AK2490" s="1">
        <v>133</v>
      </c>
      <c r="AL2490" s="1" t="s">
        <v>430</v>
      </c>
      <c r="AM2490" s="1" t="s">
        <v>137</v>
      </c>
      <c r="AN2490" s="1" t="s">
        <v>431</v>
      </c>
      <c r="AO2490" s="1" t="s">
        <v>761</v>
      </c>
      <c r="AP2490" s="1" t="s">
        <v>74</v>
      </c>
      <c r="AQ2490" s="1" t="s">
        <v>74</v>
      </c>
      <c r="AR2490" s="1" t="s">
        <v>763</v>
      </c>
      <c r="AS2490" s="1" t="s">
        <v>764</v>
      </c>
      <c r="AT2490" s="1" t="s">
        <v>1223</v>
      </c>
      <c r="AU2490" s="1">
        <v>2013</v>
      </c>
      <c r="AV2490" s="1">
        <v>84</v>
      </c>
      <c r="AW2490" s="1" t="s">
        <v>74</v>
      </c>
      <c r="AX2490" s="1" t="s">
        <v>74</v>
      </c>
      <c r="AY2490" s="1" t="s">
        <v>74</v>
      </c>
      <c r="AZ2490" s="1" t="s">
        <v>74</v>
      </c>
      <c r="BA2490" s="1" t="s">
        <v>74</v>
      </c>
      <c r="BB2490" s="1">
        <v>1</v>
      </c>
      <c r="BC2490" s="1">
        <v>9</v>
      </c>
      <c r="BD2490" s="1" t="s">
        <v>74</v>
      </c>
      <c r="BE2490" s="1" t="s">
        <v>39805</v>
      </c>
      <c r="BF2490" s="1" t="str">
        <f>HYPERLINK("http://dx.doi.org/10.1016/j.marenvres.2012.11.001","http://dx.doi.org/10.1016/j.marenvres.2012.11.001")</f>
        <v>http://dx.doi.org/10.1016/j.marenvres.2012.11.001</v>
      </c>
      <c r="BG2490" s="1" t="s">
        <v>74</v>
      </c>
      <c r="BH2490" s="1" t="s">
        <v>74</v>
      </c>
      <c r="BI2490" s="1">
        <v>9</v>
      </c>
      <c r="BJ2490" s="1" t="s">
        <v>768</v>
      </c>
      <c r="BK2490" s="1" t="s">
        <v>96</v>
      </c>
      <c r="BL2490" s="1" t="s">
        <v>769</v>
      </c>
      <c r="BM2490" s="1" t="s">
        <v>39806</v>
      </c>
      <c r="BN2490" s="1">
        <v>23195377</v>
      </c>
      <c r="BO2490" s="1" t="s">
        <v>74</v>
      </c>
      <c r="BP2490" s="1" t="s">
        <v>74</v>
      </c>
      <c r="BQ2490" s="1" t="s">
        <v>74</v>
      </c>
      <c r="BR2490" s="1" t="s">
        <v>98</v>
      </c>
      <c r="BS2490" s="1" t="s">
        <v>39807</v>
      </c>
      <c r="BT2490" s="1" t="str">
        <f>HYPERLINK("https%3A%2F%2Fwww.webofscience.com%2Fwos%2Fwoscc%2Ffull-record%2FWOS:000315007300001","View Full Record in Web of Science")</f>
        <v>View Full Record in Web of Science</v>
      </c>
      <c r="BU2490" s="1"/>
      <c r="BV2490" s="1"/>
    </row>
    <row r="2491" spans="1:74">
      <c r="A2491" s="1" t="s">
        <v>72</v>
      </c>
      <c r="B2491" s="1" t="s">
        <v>39808</v>
      </c>
      <c r="C2491" s="1" t="s">
        <v>74</v>
      </c>
      <c r="D2491" s="1" t="s">
        <v>74</v>
      </c>
      <c r="E2491" s="1" t="s">
        <v>74</v>
      </c>
      <c r="F2491" s="1" t="s">
        <v>39809</v>
      </c>
      <c r="G2491" s="1" t="s">
        <v>74</v>
      </c>
      <c r="H2491" s="1" t="s">
        <v>74</v>
      </c>
      <c r="I2491" s="1" t="s">
        <v>39810</v>
      </c>
      <c r="J2491" s="1" t="s">
        <v>232</v>
      </c>
      <c r="K2491" s="1" t="s">
        <v>74</v>
      </c>
      <c r="L2491" s="1" t="s">
        <v>74</v>
      </c>
      <c r="M2491" s="1" t="s">
        <v>78</v>
      </c>
      <c r="N2491" s="1" t="s">
        <v>79</v>
      </c>
      <c r="O2491" s="1" t="s">
        <v>74</v>
      </c>
      <c r="P2491" s="1" t="s">
        <v>74</v>
      </c>
      <c r="Q2491" s="1" t="s">
        <v>74</v>
      </c>
      <c r="R2491" s="1" t="s">
        <v>74</v>
      </c>
      <c r="S2491" s="1" t="s">
        <v>74</v>
      </c>
      <c r="T2491" s="1" t="s">
        <v>39811</v>
      </c>
      <c r="U2491" s="1" t="s">
        <v>39812</v>
      </c>
      <c r="V2491" s="1" t="s">
        <v>39813</v>
      </c>
      <c r="W2491" s="1" t="s">
        <v>39814</v>
      </c>
      <c r="X2491" s="1" t="s">
        <v>39815</v>
      </c>
      <c r="Y2491" s="1" t="s">
        <v>39816</v>
      </c>
      <c r="Z2491" s="1" t="s">
        <v>39817</v>
      </c>
      <c r="AA2491" s="1" t="s">
        <v>34975</v>
      </c>
      <c r="AB2491" s="1" t="s">
        <v>74</v>
      </c>
      <c r="AC2491" s="1" t="s">
        <v>74</v>
      </c>
      <c r="AD2491" s="1" t="s">
        <v>74</v>
      </c>
      <c r="AE2491" s="1" t="s">
        <v>74</v>
      </c>
      <c r="AF2491" s="1" t="s">
        <v>74</v>
      </c>
      <c r="AG2491" s="1">
        <v>126</v>
      </c>
      <c r="AH2491" s="1">
        <v>1</v>
      </c>
      <c r="AI2491" s="1">
        <v>5</v>
      </c>
      <c r="AJ2491" s="1">
        <v>2</v>
      </c>
      <c r="AK2491" s="1">
        <v>6</v>
      </c>
      <c r="AL2491" s="1" t="s">
        <v>136</v>
      </c>
      <c r="AM2491" s="1" t="s">
        <v>137</v>
      </c>
      <c r="AN2491" s="1" t="s">
        <v>138</v>
      </c>
      <c r="AO2491" s="1" t="s">
        <v>240</v>
      </c>
      <c r="AP2491" s="1" t="s">
        <v>241</v>
      </c>
      <c r="AQ2491" s="1" t="s">
        <v>74</v>
      </c>
      <c r="AR2491" s="1" t="s">
        <v>242</v>
      </c>
      <c r="AS2491" s="1" t="s">
        <v>243</v>
      </c>
      <c r="AT2491" s="1" t="s">
        <v>224</v>
      </c>
      <c r="AU2491" s="1">
        <v>2023</v>
      </c>
      <c r="AV2491" s="1">
        <v>187</v>
      </c>
      <c r="AW2491" s="1" t="s">
        <v>74</v>
      </c>
      <c r="AX2491" s="1" t="s">
        <v>74</v>
      </c>
      <c r="AY2491" s="1" t="s">
        <v>74</v>
      </c>
      <c r="AZ2491" s="1" t="s">
        <v>74</v>
      </c>
      <c r="BA2491" s="1" t="s">
        <v>74</v>
      </c>
      <c r="BB2491" s="1" t="s">
        <v>74</v>
      </c>
      <c r="BC2491" s="1" t="s">
        <v>74</v>
      </c>
      <c r="BD2491" s="1">
        <v>114485</v>
      </c>
      <c r="BE2491" s="1" t="s">
        <v>39818</v>
      </c>
      <c r="BF2491" s="1" t="str">
        <f>HYPERLINK("http://dx.doi.org/10.1016/j.marpolbul.2022.114485","http://dx.doi.org/10.1016/j.marpolbul.2022.114485")</f>
        <v>http://dx.doi.org/10.1016/j.marpolbul.2022.114485</v>
      </c>
      <c r="BG2491" s="1" t="s">
        <v>74</v>
      </c>
      <c r="BH2491" s="1" t="s">
        <v>4283</v>
      </c>
      <c r="BI2491" s="1">
        <v>15</v>
      </c>
      <c r="BJ2491" s="1" t="s">
        <v>247</v>
      </c>
      <c r="BK2491" s="1" t="s">
        <v>96</v>
      </c>
      <c r="BL2491" s="1" t="s">
        <v>248</v>
      </c>
      <c r="BM2491" s="1" t="s">
        <v>39819</v>
      </c>
      <c r="BN2491" s="1">
        <v>36584435</v>
      </c>
      <c r="BO2491" s="1" t="s">
        <v>370</v>
      </c>
      <c r="BP2491" s="1" t="s">
        <v>74</v>
      </c>
      <c r="BQ2491" s="1" t="s">
        <v>74</v>
      </c>
      <c r="BR2491" s="1" t="s">
        <v>98</v>
      </c>
      <c r="BS2491" s="1" t="s">
        <v>39820</v>
      </c>
      <c r="BT2491" s="1" t="str">
        <f>HYPERLINK("https%3A%2F%2Fwww.webofscience.com%2Fwos%2Fwoscc%2Ffull-record%2FWOS:000915887500001","View Full Record in Web of Science")</f>
        <v>View Full Record in Web of Science</v>
      </c>
      <c r="BU2491" s="1"/>
      <c r="BV2491" s="1"/>
    </row>
    <row r="2492" spans="1:74">
      <c r="A2492" s="1" t="s">
        <v>2341</v>
      </c>
      <c r="B2492" s="1" t="s">
        <v>39821</v>
      </c>
      <c r="C2492" s="1" t="s">
        <v>74</v>
      </c>
      <c r="D2492" s="1" t="s">
        <v>39822</v>
      </c>
      <c r="E2492" s="1" t="s">
        <v>74</v>
      </c>
      <c r="F2492" s="1" t="s">
        <v>39821</v>
      </c>
      <c r="G2492" s="1" t="s">
        <v>74</v>
      </c>
      <c r="H2492" s="1" t="s">
        <v>74</v>
      </c>
      <c r="I2492" s="1" t="s">
        <v>39823</v>
      </c>
      <c r="J2492" s="1" t="s">
        <v>39824</v>
      </c>
      <c r="K2492" s="1" t="s">
        <v>39825</v>
      </c>
      <c r="L2492" s="1" t="s">
        <v>74</v>
      </c>
      <c r="M2492" s="1" t="s">
        <v>78</v>
      </c>
      <c r="N2492" s="1" t="s">
        <v>151</v>
      </c>
      <c r="O2492" s="1" t="s">
        <v>39826</v>
      </c>
      <c r="P2492" s="1" t="s">
        <v>39827</v>
      </c>
      <c r="Q2492" s="1" t="s">
        <v>39828</v>
      </c>
      <c r="R2492" s="1" t="s">
        <v>74</v>
      </c>
      <c r="S2492" s="1" t="s">
        <v>74</v>
      </c>
      <c r="T2492" s="1" t="s">
        <v>74</v>
      </c>
      <c r="U2492" s="1" t="s">
        <v>39829</v>
      </c>
      <c r="V2492" s="1" t="s">
        <v>39830</v>
      </c>
      <c r="W2492" s="1" t="s">
        <v>39831</v>
      </c>
      <c r="X2492" s="1" t="s">
        <v>9732</v>
      </c>
      <c r="Y2492" s="1" t="s">
        <v>39832</v>
      </c>
      <c r="Z2492" s="1" t="s">
        <v>74</v>
      </c>
      <c r="AA2492" s="1" t="s">
        <v>74</v>
      </c>
      <c r="AB2492" s="1" t="s">
        <v>74</v>
      </c>
      <c r="AC2492" s="1" t="s">
        <v>74</v>
      </c>
      <c r="AD2492" s="1" t="s">
        <v>74</v>
      </c>
      <c r="AE2492" s="1" t="s">
        <v>74</v>
      </c>
      <c r="AF2492" s="1" t="s">
        <v>74</v>
      </c>
      <c r="AG2492" s="1">
        <v>60</v>
      </c>
      <c r="AH2492" s="1">
        <v>1</v>
      </c>
      <c r="AI2492" s="1">
        <v>1</v>
      </c>
      <c r="AJ2492" s="1">
        <v>0</v>
      </c>
      <c r="AK2492" s="1">
        <v>4</v>
      </c>
      <c r="AL2492" s="1" t="s">
        <v>4471</v>
      </c>
      <c r="AM2492" s="1" t="s">
        <v>4472</v>
      </c>
      <c r="AN2492" s="1" t="s">
        <v>39833</v>
      </c>
      <c r="AO2492" s="1" t="s">
        <v>39834</v>
      </c>
      <c r="AP2492" s="1" t="s">
        <v>74</v>
      </c>
      <c r="AQ2492" s="1" t="s">
        <v>39835</v>
      </c>
      <c r="AR2492" s="1" t="s">
        <v>39836</v>
      </c>
      <c r="AS2492" s="1" t="s">
        <v>74</v>
      </c>
      <c r="AT2492" s="1" t="s">
        <v>74</v>
      </c>
      <c r="AU2492" s="1">
        <v>2003</v>
      </c>
      <c r="AV2492" s="1">
        <v>848</v>
      </c>
      <c r="AW2492" s="1" t="s">
        <v>74</v>
      </c>
      <c r="AX2492" s="1" t="s">
        <v>74</v>
      </c>
      <c r="AY2492" s="1" t="s">
        <v>74</v>
      </c>
      <c r="AZ2492" s="1" t="s">
        <v>74</v>
      </c>
      <c r="BA2492" s="1" t="s">
        <v>74</v>
      </c>
      <c r="BB2492" s="1">
        <v>69</v>
      </c>
      <c r="BC2492" s="1">
        <v>82</v>
      </c>
      <c r="BD2492" s="1" t="s">
        <v>74</v>
      </c>
      <c r="BE2492" s="1" t="s">
        <v>74</v>
      </c>
      <c r="BF2492" s="1" t="s">
        <v>74</v>
      </c>
      <c r="BG2492" s="1" t="s">
        <v>74</v>
      </c>
      <c r="BH2492" s="1" t="s">
        <v>74</v>
      </c>
      <c r="BI2492" s="1">
        <v>14</v>
      </c>
      <c r="BJ2492" s="1" t="s">
        <v>39837</v>
      </c>
      <c r="BK2492" s="1" t="s">
        <v>588</v>
      </c>
      <c r="BL2492" s="1" t="s">
        <v>39838</v>
      </c>
      <c r="BM2492" s="1" t="s">
        <v>39839</v>
      </c>
      <c r="BN2492" s="1" t="s">
        <v>74</v>
      </c>
      <c r="BO2492" s="1" t="s">
        <v>74</v>
      </c>
      <c r="BP2492" s="1" t="s">
        <v>74</v>
      </c>
      <c r="BQ2492" s="1" t="s">
        <v>74</v>
      </c>
      <c r="BR2492" s="1" t="s">
        <v>98</v>
      </c>
      <c r="BS2492" s="1" t="s">
        <v>39840</v>
      </c>
      <c r="BT2492" s="1" t="str">
        <f>HYPERLINK("https%3A%2F%2Fwww.webofscience.com%2Fwos%2Fwoscc%2Ffull-record%2FWOS:000183307100006","View Full Record in Web of Science")</f>
        <v>View Full Record in Web of Science</v>
      </c>
      <c r="BU2492" s="1"/>
      <c r="BV2492" s="1"/>
    </row>
    <row r="2493" spans="1:74">
      <c r="A2493" s="1" t="s">
        <v>72</v>
      </c>
      <c r="B2493" s="1" t="s">
        <v>11975</v>
      </c>
      <c r="C2493" s="1" t="s">
        <v>74</v>
      </c>
      <c r="D2493" s="1" t="s">
        <v>74</v>
      </c>
      <c r="E2493" s="1" t="s">
        <v>74</v>
      </c>
      <c r="F2493" s="1" t="s">
        <v>11976</v>
      </c>
      <c r="G2493" s="1" t="s">
        <v>74</v>
      </c>
      <c r="H2493" s="1" t="s">
        <v>74</v>
      </c>
      <c r="I2493" s="1" t="s">
        <v>39841</v>
      </c>
      <c r="J2493" s="1" t="s">
        <v>4463</v>
      </c>
      <c r="K2493" s="1" t="s">
        <v>74</v>
      </c>
      <c r="L2493" s="1" t="s">
        <v>74</v>
      </c>
      <c r="M2493" s="1" t="s">
        <v>78</v>
      </c>
      <c r="N2493" s="1" t="s">
        <v>79</v>
      </c>
      <c r="O2493" s="1" t="s">
        <v>74</v>
      </c>
      <c r="P2493" s="1" t="s">
        <v>74</v>
      </c>
      <c r="Q2493" s="1" t="s">
        <v>74</v>
      </c>
      <c r="R2493" s="1" t="s">
        <v>74</v>
      </c>
      <c r="S2493" s="1" t="s">
        <v>74</v>
      </c>
      <c r="T2493" s="1" t="s">
        <v>74</v>
      </c>
      <c r="U2493" s="1" t="s">
        <v>39842</v>
      </c>
      <c r="V2493" s="1" t="s">
        <v>39843</v>
      </c>
      <c r="W2493" s="1" t="s">
        <v>39844</v>
      </c>
      <c r="X2493" s="1" t="s">
        <v>11982</v>
      </c>
      <c r="Y2493" s="1" t="s">
        <v>39845</v>
      </c>
      <c r="Z2493" s="1" t="s">
        <v>1483</v>
      </c>
      <c r="AA2493" s="1" t="s">
        <v>2900</v>
      </c>
      <c r="AB2493" s="1" t="s">
        <v>2183</v>
      </c>
      <c r="AC2493" s="1" t="s">
        <v>39846</v>
      </c>
      <c r="AD2493" s="1" t="s">
        <v>39847</v>
      </c>
      <c r="AE2493" s="1" t="s">
        <v>39848</v>
      </c>
      <c r="AF2493" s="1" t="s">
        <v>74</v>
      </c>
      <c r="AG2493" s="1">
        <v>49</v>
      </c>
      <c r="AH2493" s="1">
        <v>29</v>
      </c>
      <c r="AI2493" s="1">
        <v>29</v>
      </c>
      <c r="AJ2493" s="1">
        <v>2</v>
      </c>
      <c r="AK2493" s="1">
        <v>48</v>
      </c>
      <c r="AL2493" s="1" t="s">
        <v>4471</v>
      </c>
      <c r="AM2493" s="1" t="s">
        <v>4472</v>
      </c>
      <c r="AN2493" s="1" t="s">
        <v>4473</v>
      </c>
      <c r="AO2493" s="1" t="s">
        <v>4474</v>
      </c>
      <c r="AP2493" s="1" t="s">
        <v>4475</v>
      </c>
      <c r="AQ2493" s="1" t="s">
        <v>74</v>
      </c>
      <c r="AR2493" s="1" t="s">
        <v>4476</v>
      </c>
      <c r="AS2493" s="1" t="s">
        <v>4477</v>
      </c>
      <c r="AT2493" s="1" t="s">
        <v>32744</v>
      </c>
      <c r="AU2493" s="1">
        <v>2015</v>
      </c>
      <c r="AV2493" s="1">
        <v>49</v>
      </c>
      <c r="AW2493" s="1">
        <v>5</v>
      </c>
      <c r="AX2493" s="1" t="s">
        <v>74</v>
      </c>
      <c r="AY2493" s="1" t="s">
        <v>74</v>
      </c>
      <c r="AZ2493" s="1" t="s">
        <v>74</v>
      </c>
      <c r="BA2493" s="1" t="s">
        <v>74</v>
      </c>
      <c r="BB2493" s="1">
        <v>3119</v>
      </c>
      <c r="BC2493" s="1">
        <v>3127</v>
      </c>
      <c r="BD2493" s="1" t="s">
        <v>74</v>
      </c>
      <c r="BE2493" s="1" t="s">
        <v>39849</v>
      </c>
      <c r="BF2493" s="1" t="str">
        <f>HYPERLINK("http://dx.doi.org/10.1021/es505486v","http://dx.doi.org/10.1021/es505486v")</f>
        <v>http://dx.doi.org/10.1021/es505486v</v>
      </c>
      <c r="BG2493" s="1" t="s">
        <v>74</v>
      </c>
      <c r="BH2493" s="1" t="s">
        <v>74</v>
      </c>
      <c r="BI2493" s="1">
        <v>9</v>
      </c>
      <c r="BJ2493" s="1" t="s">
        <v>415</v>
      </c>
      <c r="BK2493" s="1" t="s">
        <v>96</v>
      </c>
      <c r="BL2493" s="1" t="s">
        <v>416</v>
      </c>
      <c r="BM2493" s="1" t="s">
        <v>39850</v>
      </c>
      <c r="BN2493" s="1">
        <v>25660751</v>
      </c>
      <c r="BO2493" s="1" t="s">
        <v>74</v>
      </c>
      <c r="BP2493" s="1" t="s">
        <v>74</v>
      </c>
      <c r="BQ2493" s="1" t="s">
        <v>74</v>
      </c>
      <c r="BR2493" s="1" t="s">
        <v>98</v>
      </c>
      <c r="BS2493" s="1" t="s">
        <v>39851</v>
      </c>
      <c r="BT2493" s="1" t="str">
        <f>HYPERLINK("https%3A%2F%2Fwww.webofscience.com%2Fwos%2Fwoscc%2Ffull-record%2FWOS:000350611100067","View Full Record in Web of Science")</f>
        <v>View Full Record in Web of Science</v>
      </c>
      <c r="BU2493" s="1"/>
      <c r="BV2493" s="1"/>
    </row>
    <row r="2494" spans="1:74">
      <c r="A2494" s="1" t="s">
        <v>72</v>
      </c>
      <c r="B2494" s="1" t="s">
        <v>39852</v>
      </c>
      <c r="C2494" s="1" t="s">
        <v>74</v>
      </c>
      <c r="D2494" s="1" t="s">
        <v>74</v>
      </c>
      <c r="E2494" s="1" t="s">
        <v>74</v>
      </c>
      <c r="F2494" s="1" t="s">
        <v>39852</v>
      </c>
      <c r="G2494" s="1" t="s">
        <v>74</v>
      </c>
      <c r="H2494" s="1" t="s">
        <v>74</v>
      </c>
      <c r="I2494" s="1" t="s">
        <v>39853</v>
      </c>
      <c r="J2494" s="1" t="s">
        <v>4463</v>
      </c>
      <c r="K2494" s="1" t="s">
        <v>74</v>
      </c>
      <c r="L2494" s="1" t="s">
        <v>74</v>
      </c>
      <c r="M2494" s="1" t="s">
        <v>78</v>
      </c>
      <c r="N2494" s="1" t="s">
        <v>79</v>
      </c>
      <c r="O2494" s="1" t="s">
        <v>74</v>
      </c>
      <c r="P2494" s="1" t="s">
        <v>74</v>
      </c>
      <c r="Q2494" s="1" t="s">
        <v>74</v>
      </c>
      <c r="R2494" s="1" t="s">
        <v>74</v>
      </c>
      <c r="S2494" s="1" t="s">
        <v>74</v>
      </c>
      <c r="T2494" s="1" t="s">
        <v>74</v>
      </c>
      <c r="U2494" s="1" t="s">
        <v>39854</v>
      </c>
      <c r="V2494" s="1" t="s">
        <v>39855</v>
      </c>
      <c r="W2494" s="1" t="s">
        <v>39856</v>
      </c>
      <c r="X2494" s="1" t="s">
        <v>1481</v>
      </c>
      <c r="Y2494" s="1" t="s">
        <v>39857</v>
      </c>
      <c r="Z2494" s="1" t="s">
        <v>74</v>
      </c>
      <c r="AA2494" s="1" t="s">
        <v>39858</v>
      </c>
      <c r="AB2494" s="1" t="s">
        <v>39859</v>
      </c>
      <c r="AC2494" s="1" t="s">
        <v>74</v>
      </c>
      <c r="AD2494" s="1" t="s">
        <v>74</v>
      </c>
      <c r="AE2494" s="1" t="s">
        <v>74</v>
      </c>
      <c r="AF2494" s="1" t="s">
        <v>74</v>
      </c>
      <c r="AG2494" s="1">
        <v>36</v>
      </c>
      <c r="AH2494" s="1">
        <v>37</v>
      </c>
      <c r="AI2494" s="1">
        <v>44</v>
      </c>
      <c r="AJ2494" s="1">
        <v>2</v>
      </c>
      <c r="AK2494" s="1">
        <v>33</v>
      </c>
      <c r="AL2494" s="1" t="s">
        <v>4471</v>
      </c>
      <c r="AM2494" s="1" t="s">
        <v>4472</v>
      </c>
      <c r="AN2494" s="1" t="s">
        <v>4473</v>
      </c>
      <c r="AO2494" s="1" t="s">
        <v>4474</v>
      </c>
      <c r="AP2494" s="1" t="s">
        <v>74</v>
      </c>
      <c r="AQ2494" s="1" t="s">
        <v>74</v>
      </c>
      <c r="AR2494" s="1" t="s">
        <v>4476</v>
      </c>
      <c r="AS2494" s="1" t="s">
        <v>4477</v>
      </c>
      <c r="AT2494" s="1" t="s">
        <v>6052</v>
      </c>
      <c r="AU2494" s="1">
        <v>2003</v>
      </c>
      <c r="AV2494" s="1">
        <v>37</v>
      </c>
      <c r="AW2494" s="1">
        <v>5</v>
      </c>
      <c r="AX2494" s="1" t="s">
        <v>74</v>
      </c>
      <c r="AY2494" s="1" t="s">
        <v>74</v>
      </c>
      <c r="AZ2494" s="1" t="s">
        <v>74</v>
      </c>
      <c r="BA2494" s="1" t="s">
        <v>74</v>
      </c>
      <c r="BB2494" s="1">
        <v>936</v>
      </c>
      <c r="BC2494" s="1">
        <v>943</v>
      </c>
      <c r="BD2494" s="1" t="s">
        <v>74</v>
      </c>
      <c r="BE2494" s="1" t="s">
        <v>39860</v>
      </c>
      <c r="BF2494" s="1" t="str">
        <f>HYPERLINK("http://dx.doi.org/10.1021/es025929t","http://dx.doi.org/10.1021/es025929t")</f>
        <v>http://dx.doi.org/10.1021/es025929t</v>
      </c>
      <c r="BG2494" s="1" t="s">
        <v>74</v>
      </c>
      <c r="BH2494" s="1" t="s">
        <v>74</v>
      </c>
      <c r="BI2494" s="1">
        <v>8</v>
      </c>
      <c r="BJ2494" s="1" t="s">
        <v>415</v>
      </c>
      <c r="BK2494" s="1" t="s">
        <v>96</v>
      </c>
      <c r="BL2494" s="1" t="s">
        <v>416</v>
      </c>
      <c r="BM2494" s="1" t="s">
        <v>39861</v>
      </c>
      <c r="BN2494" s="1">
        <v>12666924</v>
      </c>
      <c r="BO2494" s="1" t="s">
        <v>74</v>
      </c>
      <c r="BP2494" s="1" t="s">
        <v>74</v>
      </c>
      <c r="BQ2494" s="1" t="s">
        <v>74</v>
      </c>
      <c r="BR2494" s="1" t="s">
        <v>98</v>
      </c>
      <c r="BS2494" s="1" t="s">
        <v>39862</v>
      </c>
      <c r="BT2494" s="1" t="str">
        <f>HYPERLINK("https%3A%2F%2Fwww.webofscience.com%2Fwos%2Fwoscc%2Ffull-record%2FWOS:000181258600034","View Full Record in Web of Science")</f>
        <v>View Full Record in Web of Science</v>
      </c>
      <c r="BU2494" s="1"/>
      <c r="BV2494" s="1"/>
    </row>
    <row r="2495" spans="1:74">
      <c r="A2495" s="1" t="s">
        <v>72</v>
      </c>
      <c r="B2495" s="1" t="s">
        <v>39863</v>
      </c>
      <c r="C2495" s="1" t="s">
        <v>74</v>
      </c>
      <c r="D2495" s="1" t="s">
        <v>74</v>
      </c>
      <c r="E2495" s="1" t="s">
        <v>74</v>
      </c>
      <c r="F2495" s="1" t="s">
        <v>39864</v>
      </c>
      <c r="G2495" s="1" t="s">
        <v>74</v>
      </c>
      <c r="H2495" s="1" t="s">
        <v>74</v>
      </c>
      <c r="I2495" s="1" t="s">
        <v>39865</v>
      </c>
      <c r="J2495" s="1" t="s">
        <v>127</v>
      </c>
      <c r="K2495" s="1" t="s">
        <v>74</v>
      </c>
      <c r="L2495" s="1" t="s">
        <v>74</v>
      </c>
      <c r="M2495" s="1" t="s">
        <v>78</v>
      </c>
      <c r="N2495" s="1" t="s">
        <v>79</v>
      </c>
      <c r="O2495" s="1" t="s">
        <v>74</v>
      </c>
      <c r="P2495" s="1" t="s">
        <v>74</v>
      </c>
      <c r="Q2495" s="1" t="s">
        <v>74</v>
      </c>
      <c r="R2495" s="1" t="s">
        <v>74</v>
      </c>
      <c r="S2495" s="1" t="s">
        <v>74</v>
      </c>
      <c r="T2495" s="1" t="s">
        <v>39866</v>
      </c>
      <c r="U2495" s="1" t="s">
        <v>39867</v>
      </c>
      <c r="V2495" s="1" t="s">
        <v>39868</v>
      </c>
      <c r="W2495" s="1" t="s">
        <v>39869</v>
      </c>
      <c r="X2495" s="1" t="s">
        <v>39870</v>
      </c>
      <c r="Y2495" s="1" t="s">
        <v>39871</v>
      </c>
      <c r="Z2495" s="1" t="s">
        <v>39872</v>
      </c>
      <c r="AA2495" s="1" t="s">
        <v>39873</v>
      </c>
      <c r="AB2495" s="1" t="s">
        <v>39874</v>
      </c>
      <c r="AC2495" s="1" t="s">
        <v>39875</v>
      </c>
      <c r="AD2495" s="1" t="s">
        <v>39876</v>
      </c>
      <c r="AE2495" s="1" t="s">
        <v>39877</v>
      </c>
      <c r="AF2495" s="1" t="s">
        <v>74</v>
      </c>
      <c r="AG2495" s="1">
        <v>73</v>
      </c>
      <c r="AH2495" s="1">
        <v>29</v>
      </c>
      <c r="AI2495" s="1">
        <v>29</v>
      </c>
      <c r="AJ2495" s="1">
        <v>0</v>
      </c>
      <c r="AK2495" s="1">
        <v>24</v>
      </c>
      <c r="AL2495" s="1" t="s">
        <v>136</v>
      </c>
      <c r="AM2495" s="1" t="s">
        <v>137</v>
      </c>
      <c r="AN2495" s="1" t="s">
        <v>138</v>
      </c>
      <c r="AO2495" s="1" t="s">
        <v>139</v>
      </c>
      <c r="AP2495" s="1" t="s">
        <v>140</v>
      </c>
      <c r="AQ2495" s="1" t="s">
        <v>74</v>
      </c>
      <c r="AR2495" s="1" t="s">
        <v>127</v>
      </c>
      <c r="AS2495" s="1" t="s">
        <v>141</v>
      </c>
      <c r="AT2495" s="1" t="s">
        <v>951</v>
      </c>
      <c r="AU2495" s="1">
        <v>2019</v>
      </c>
      <c r="AV2495" s="1">
        <v>234</v>
      </c>
      <c r="AW2495" s="1" t="s">
        <v>74</v>
      </c>
      <c r="AX2495" s="1" t="s">
        <v>74</v>
      </c>
      <c r="AY2495" s="1" t="s">
        <v>74</v>
      </c>
      <c r="AZ2495" s="1" t="s">
        <v>74</v>
      </c>
      <c r="BA2495" s="1" t="s">
        <v>74</v>
      </c>
      <c r="BB2495" s="1">
        <v>379</v>
      </c>
      <c r="BC2495" s="1">
        <v>387</v>
      </c>
      <c r="BD2495" s="1" t="s">
        <v>74</v>
      </c>
      <c r="BE2495" s="1" t="s">
        <v>39878</v>
      </c>
      <c r="BF2495" s="1" t="str">
        <f>HYPERLINK("http://dx.doi.org/10.1016/j.chemosphere.2019.06.100","http://dx.doi.org/10.1016/j.chemosphere.2019.06.100")</f>
        <v>http://dx.doi.org/10.1016/j.chemosphere.2019.06.100</v>
      </c>
      <c r="BG2495" s="1" t="s">
        <v>74</v>
      </c>
      <c r="BH2495" s="1" t="s">
        <v>74</v>
      </c>
      <c r="BI2495" s="1">
        <v>9</v>
      </c>
      <c r="BJ2495" s="1" t="s">
        <v>144</v>
      </c>
      <c r="BK2495" s="1" t="s">
        <v>96</v>
      </c>
      <c r="BL2495" s="1" t="s">
        <v>145</v>
      </c>
      <c r="BM2495" s="1" t="s">
        <v>39879</v>
      </c>
      <c r="BN2495" s="1">
        <v>31228840</v>
      </c>
      <c r="BO2495" s="1" t="s">
        <v>74</v>
      </c>
      <c r="BP2495" s="1" t="s">
        <v>74</v>
      </c>
      <c r="BQ2495" s="1" t="s">
        <v>74</v>
      </c>
      <c r="BR2495" s="1" t="s">
        <v>98</v>
      </c>
      <c r="BS2495" s="1" t="s">
        <v>39880</v>
      </c>
      <c r="BT2495" s="1" t="str">
        <f>HYPERLINK("https%3A%2F%2Fwww.webofscience.com%2Fwos%2Fwoscc%2Ffull-record%2FWOS:000488136200041","View Full Record in Web of Science")</f>
        <v>View Full Record in Web of Science</v>
      </c>
      <c r="BU2495" s="1"/>
      <c r="BV2495" s="1"/>
    </row>
    <row r="2496" spans="1:74">
      <c r="A2496" s="1" t="s">
        <v>72</v>
      </c>
      <c r="B2496" s="1" t="s">
        <v>39881</v>
      </c>
      <c r="C2496" s="1" t="s">
        <v>74</v>
      </c>
      <c r="D2496" s="1" t="s">
        <v>74</v>
      </c>
      <c r="E2496" s="1" t="s">
        <v>74</v>
      </c>
      <c r="F2496" s="1" t="s">
        <v>39882</v>
      </c>
      <c r="G2496" s="1" t="s">
        <v>74</v>
      </c>
      <c r="H2496" s="1" t="s">
        <v>74</v>
      </c>
      <c r="I2496" s="1" t="s">
        <v>39883</v>
      </c>
      <c r="J2496" s="1" t="s">
        <v>2894</v>
      </c>
      <c r="K2496" s="1" t="s">
        <v>74</v>
      </c>
      <c r="L2496" s="1" t="s">
        <v>74</v>
      </c>
      <c r="M2496" s="1" t="s">
        <v>78</v>
      </c>
      <c r="N2496" s="1" t="s">
        <v>79</v>
      </c>
      <c r="O2496" s="1" t="s">
        <v>74</v>
      </c>
      <c r="P2496" s="1" t="s">
        <v>74</v>
      </c>
      <c r="Q2496" s="1" t="s">
        <v>74</v>
      </c>
      <c r="R2496" s="1" t="s">
        <v>74</v>
      </c>
      <c r="S2496" s="1" t="s">
        <v>74</v>
      </c>
      <c r="T2496" s="1" t="s">
        <v>39884</v>
      </c>
      <c r="U2496" s="1" t="s">
        <v>39885</v>
      </c>
      <c r="V2496" s="1" t="s">
        <v>39886</v>
      </c>
      <c r="W2496" s="1" t="s">
        <v>39887</v>
      </c>
      <c r="X2496" s="1" t="s">
        <v>39888</v>
      </c>
      <c r="Y2496" s="1" t="s">
        <v>39889</v>
      </c>
      <c r="Z2496" s="1" t="s">
        <v>39890</v>
      </c>
      <c r="AA2496" s="1" t="s">
        <v>39891</v>
      </c>
      <c r="AB2496" s="1" t="s">
        <v>39892</v>
      </c>
      <c r="AC2496" s="1" t="s">
        <v>74</v>
      </c>
      <c r="AD2496" s="1" t="s">
        <v>74</v>
      </c>
      <c r="AE2496" s="1" t="s">
        <v>74</v>
      </c>
      <c r="AF2496" s="1" t="s">
        <v>74</v>
      </c>
      <c r="AG2496" s="1">
        <v>60</v>
      </c>
      <c r="AH2496" s="1">
        <v>35</v>
      </c>
      <c r="AI2496" s="1">
        <v>37</v>
      </c>
      <c r="AJ2496" s="1">
        <v>3</v>
      </c>
      <c r="AK2496" s="1">
        <v>39</v>
      </c>
      <c r="AL2496" s="1" t="s">
        <v>2904</v>
      </c>
      <c r="AM2496" s="1" t="s">
        <v>2905</v>
      </c>
      <c r="AN2496" s="1" t="s">
        <v>2906</v>
      </c>
      <c r="AO2496" s="1" t="s">
        <v>2907</v>
      </c>
      <c r="AP2496" s="1" t="s">
        <v>5406</v>
      </c>
      <c r="AQ2496" s="1" t="s">
        <v>74</v>
      </c>
      <c r="AR2496" s="1" t="s">
        <v>2908</v>
      </c>
      <c r="AS2496" s="1" t="s">
        <v>2909</v>
      </c>
      <c r="AT2496" s="1" t="s">
        <v>74</v>
      </c>
      <c r="AU2496" s="1">
        <v>2008</v>
      </c>
      <c r="AV2496" s="1">
        <v>356</v>
      </c>
      <c r="AW2496" s="1" t="s">
        <v>74</v>
      </c>
      <c r="AX2496" s="1" t="s">
        <v>74</v>
      </c>
      <c r="AY2496" s="1" t="s">
        <v>74</v>
      </c>
      <c r="AZ2496" s="1" t="s">
        <v>74</v>
      </c>
      <c r="BA2496" s="1" t="s">
        <v>74</v>
      </c>
      <c r="BB2496" s="1">
        <v>25</v>
      </c>
      <c r="BC2496" s="1">
        <v>38</v>
      </c>
      <c r="BD2496" s="1" t="s">
        <v>74</v>
      </c>
      <c r="BE2496" s="1" t="s">
        <v>39893</v>
      </c>
      <c r="BF2496" s="1" t="str">
        <f>HYPERLINK("http://dx.doi.org/10.3354/meps07218","http://dx.doi.org/10.3354/meps07218")</f>
        <v>http://dx.doi.org/10.3354/meps07218</v>
      </c>
      <c r="BG2496" s="1" t="s">
        <v>74</v>
      </c>
      <c r="BH2496" s="1" t="s">
        <v>74</v>
      </c>
      <c r="BI2496" s="1">
        <v>14</v>
      </c>
      <c r="BJ2496" s="1" t="s">
        <v>2911</v>
      </c>
      <c r="BK2496" s="1" t="s">
        <v>96</v>
      </c>
      <c r="BL2496" s="1" t="s">
        <v>2912</v>
      </c>
      <c r="BM2496" s="1" t="s">
        <v>39894</v>
      </c>
      <c r="BN2496" s="1" t="s">
        <v>74</v>
      </c>
      <c r="BO2496" s="1" t="s">
        <v>370</v>
      </c>
      <c r="BP2496" s="1" t="s">
        <v>74</v>
      </c>
      <c r="BQ2496" s="1" t="s">
        <v>74</v>
      </c>
      <c r="BR2496" s="1" t="s">
        <v>98</v>
      </c>
      <c r="BS2496" s="1" t="s">
        <v>39895</v>
      </c>
      <c r="BT2496" s="1" t="str">
        <f>HYPERLINK("https%3A%2F%2Fwww.webofscience.com%2Fwos%2Fwoscc%2Ffull-record%2FWOS:000254963900003","View Full Record in Web of Science")</f>
        <v>View Full Record in Web of Science</v>
      </c>
      <c r="BU2496" s="1"/>
      <c r="BV2496" s="1"/>
    </row>
    <row r="2497" spans="1:74">
      <c r="A2497" s="1" t="s">
        <v>72</v>
      </c>
      <c r="B2497" s="1" t="s">
        <v>39896</v>
      </c>
      <c r="C2497" s="1" t="s">
        <v>74</v>
      </c>
      <c r="D2497" s="1" t="s">
        <v>74</v>
      </c>
      <c r="E2497" s="1" t="s">
        <v>74</v>
      </c>
      <c r="F2497" s="1" t="s">
        <v>39897</v>
      </c>
      <c r="G2497" s="1" t="s">
        <v>74</v>
      </c>
      <c r="H2497" s="1" t="s">
        <v>74</v>
      </c>
      <c r="I2497" s="1" t="s">
        <v>39898</v>
      </c>
      <c r="J2497" s="1" t="s">
        <v>232</v>
      </c>
      <c r="K2497" s="1" t="s">
        <v>74</v>
      </c>
      <c r="L2497" s="1" t="s">
        <v>74</v>
      </c>
      <c r="M2497" s="1" t="s">
        <v>78</v>
      </c>
      <c r="N2497" s="1" t="s">
        <v>79</v>
      </c>
      <c r="O2497" s="1" t="s">
        <v>74</v>
      </c>
      <c r="P2497" s="1" t="s">
        <v>74</v>
      </c>
      <c r="Q2497" s="1" t="s">
        <v>74</v>
      </c>
      <c r="R2497" s="1" t="s">
        <v>74</v>
      </c>
      <c r="S2497" s="1" t="s">
        <v>74</v>
      </c>
      <c r="T2497" s="1" t="s">
        <v>39899</v>
      </c>
      <c r="U2497" s="1" t="s">
        <v>39900</v>
      </c>
      <c r="V2497" s="1" t="s">
        <v>39901</v>
      </c>
      <c r="W2497" s="1" t="s">
        <v>39902</v>
      </c>
      <c r="X2497" s="1" t="s">
        <v>39903</v>
      </c>
      <c r="Y2497" s="1" t="s">
        <v>39904</v>
      </c>
      <c r="Z2497" s="1" t="s">
        <v>39905</v>
      </c>
      <c r="AA2497" s="1" t="s">
        <v>39906</v>
      </c>
      <c r="AB2497" s="1" t="s">
        <v>39907</v>
      </c>
      <c r="AC2497" s="1" t="s">
        <v>39908</v>
      </c>
      <c r="AD2497" s="1" t="s">
        <v>39909</v>
      </c>
      <c r="AE2497" s="1" t="s">
        <v>39910</v>
      </c>
      <c r="AF2497" s="1" t="s">
        <v>74</v>
      </c>
      <c r="AG2497" s="1">
        <v>86</v>
      </c>
      <c r="AH2497" s="1">
        <v>10</v>
      </c>
      <c r="AI2497" s="1">
        <v>11</v>
      </c>
      <c r="AJ2497" s="1">
        <v>0</v>
      </c>
      <c r="AK2497" s="1">
        <v>12</v>
      </c>
      <c r="AL2497" s="1" t="s">
        <v>136</v>
      </c>
      <c r="AM2497" s="1" t="s">
        <v>137</v>
      </c>
      <c r="AN2497" s="1" t="s">
        <v>138</v>
      </c>
      <c r="AO2497" s="1" t="s">
        <v>240</v>
      </c>
      <c r="AP2497" s="1" t="s">
        <v>241</v>
      </c>
      <c r="AQ2497" s="1" t="s">
        <v>74</v>
      </c>
      <c r="AR2497" s="1" t="s">
        <v>242</v>
      </c>
      <c r="AS2497" s="1" t="s">
        <v>243</v>
      </c>
      <c r="AT2497" s="1" t="s">
        <v>951</v>
      </c>
      <c r="AU2497" s="1">
        <v>2021</v>
      </c>
      <c r="AV2497" s="1">
        <v>172</v>
      </c>
      <c r="AW2497" s="1" t="s">
        <v>74</v>
      </c>
      <c r="AX2497" s="1" t="s">
        <v>74</v>
      </c>
      <c r="AY2497" s="1" t="s">
        <v>74</v>
      </c>
      <c r="AZ2497" s="1" t="s">
        <v>74</v>
      </c>
      <c r="BA2497" s="1" t="s">
        <v>74</v>
      </c>
      <c r="BB2497" s="1" t="s">
        <v>74</v>
      </c>
      <c r="BC2497" s="1" t="s">
        <v>74</v>
      </c>
      <c r="BD2497" s="1">
        <v>112825</v>
      </c>
      <c r="BE2497" s="1" t="s">
        <v>39911</v>
      </c>
      <c r="BF2497" s="1" t="str">
        <f>HYPERLINK("http://dx.doi.org/10.1016/j.marpolbul.2021.112825","http://dx.doi.org/10.1016/j.marpolbul.2021.112825")</f>
        <v>http://dx.doi.org/10.1016/j.marpolbul.2021.112825</v>
      </c>
      <c r="BG2497" s="1" t="s">
        <v>74</v>
      </c>
      <c r="BH2497" s="1" t="s">
        <v>30397</v>
      </c>
      <c r="BI2497" s="1">
        <v>12</v>
      </c>
      <c r="BJ2497" s="1" t="s">
        <v>247</v>
      </c>
      <c r="BK2497" s="1" t="s">
        <v>96</v>
      </c>
      <c r="BL2497" s="1" t="s">
        <v>248</v>
      </c>
      <c r="BM2497" s="1" t="s">
        <v>39912</v>
      </c>
      <c r="BN2497" s="1">
        <v>34388447</v>
      </c>
      <c r="BO2497" s="1" t="s">
        <v>74</v>
      </c>
      <c r="BP2497" s="1" t="s">
        <v>74</v>
      </c>
      <c r="BQ2497" s="1" t="s">
        <v>74</v>
      </c>
      <c r="BR2497" s="1" t="s">
        <v>98</v>
      </c>
      <c r="BS2497" s="1" t="s">
        <v>39913</v>
      </c>
      <c r="BT2497" s="1" t="str">
        <f>HYPERLINK("https%3A%2F%2Fwww.webofscience.com%2Fwos%2Fwoscc%2Ffull-record%2FWOS:000697773100007","View Full Record in Web of Science")</f>
        <v>View Full Record in Web of Science</v>
      </c>
      <c r="BU2497" s="1"/>
      <c r="BV2497" s="1"/>
    </row>
    <row r="2498" spans="1:74">
      <c r="A2498" s="1" t="s">
        <v>72</v>
      </c>
      <c r="B2498" s="1" t="s">
        <v>39914</v>
      </c>
      <c r="C2498" s="1" t="s">
        <v>74</v>
      </c>
      <c r="D2498" s="1" t="s">
        <v>74</v>
      </c>
      <c r="E2498" s="1" t="s">
        <v>74</v>
      </c>
      <c r="F2498" s="1" t="s">
        <v>39915</v>
      </c>
      <c r="G2498" s="1" t="s">
        <v>74</v>
      </c>
      <c r="H2498" s="1" t="s">
        <v>74</v>
      </c>
      <c r="I2498" s="1" t="s">
        <v>39916</v>
      </c>
      <c r="J2498" s="1" t="s">
        <v>1337</v>
      </c>
      <c r="K2498" s="1" t="s">
        <v>74</v>
      </c>
      <c r="L2498" s="1" t="s">
        <v>74</v>
      </c>
      <c r="M2498" s="1" t="s">
        <v>78</v>
      </c>
      <c r="N2498" s="1" t="s">
        <v>79</v>
      </c>
      <c r="O2498" s="1" t="s">
        <v>74</v>
      </c>
      <c r="P2498" s="1" t="s">
        <v>74</v>
      </c>
      <c r="Q2498" s="1" t="s">
        <v>74</v>
      </c>
      <c r="R2498" s="1" t="s">
        <v>74</v>
      </c>
      <c r="S2498" s="1" t="s">
        <v>74</v>
      </c>
      <c r="T2498" s="1" t="s">
        <v>39917</v>
      </c>
      <c r="U2498" s="1" t="s">
        <v>39918</v>
      </c>
      <c r="V2498" s="1" t="s">
        <v>39919</v>
      </c>
      <c r="W2498" s="1" t="s">
        <v>39920</v>
      </c>
      <c r="X2498" s="1" t="s">
        <v>39921</v>
      </c>
      <c r="Y2498" s="1" t="s">
        <v>39922</v>
      </c>
      <c r="Z2498" s="1" t="s">
        <v>39923</v>
      </c>
      <c r="AA2498" s="1" t="s">
        <v>39924</v>
      </c>
      <c r="AB2498" s="1" t="s">
        <v>39925</v>
      </c>
      <c r="AC2498" s="1" t="s">
        <v>39926</v>
      </c>
      <c r="AD2498" s="1" t="s">
        <v>39927</v>
      </c>
      <c r="AE2498" s="1" t="s">
        <v>39928</v>
      </c>
      <c r="AF2498" s="1" t="s">
        <v>74</v>
      </c>
      <c r="AG2498" s="1">
        <v>65</v>
      </c>
      <c r="AH2498" s="1">
        <v>34</v>
      </c>
      <c r="AI2498" s="1">
        <v>36</v>
      </c>
      <c r="AJ2498" s="1">
        <v>11</v>
      </c>
      <c r="AK2498" s="1">
        <v>123</v>
      </c>
      <c r="AL2498" s="1" t="s">
        <v>1350</v>
      </c>
      <c r="AM2498" s="1" t="s">
        <v>1351</v>
      </c>
      <c r="AN2498" s="1" t="s">
        <v>1352</v>
      </c>
      <c r="AO2498" s="1" t="s">
        <v>74</v>
      </c>
      <c r="AP2498" s="1" t="s">
        <v>1353</v>
      </c>
      <c r="AQ2498" s="1" t="s">
        <v>74</v>
      </c>
      <c r="AR2498" s="1" t="s">
        <v>1354</v>
      </c>
      <c r="AS2498" s="1" t="s">
        <v>1355</v>
      </c>
      <c r="AT2498" s="1" t="s">
        <v>3237</v>
      </c>
      <c r="AU2498" s="1">
        <v>2021</v>
      </c>
      <c r="AV2498" s="1">
        <v>8</v>
      </c>
      <c r="AW2498" s="1" t="s">
        <v>74</v>
      </c>
      <c r="AX2498" s="1" t="s">
        <v>74</v>
      </c>
      <c r="AY2498" s="1" t="s">
        <v>74</v>
      </c>
      <c r="AZ2498" s="1" t="s">
        <v>74</v>
      </c>
      <c r="BA2498" s="1" t="s">
        <v>74</v>
      </c>
      <c r="BB2498" s="1" t="s">
        <v>74</v>
      </c>
      <c r="BC2498" s="1" t="s">
        <v>74</v>
      </c>
      <c r="BD2498" s="1">
        <v>754789</v>
      </c>
      <c r="BE2498" s="1" t="s">
        <v>39929</v>
      </c>
      <c r="BF2498" s="1" t="str">
        <f>HYPERLINK("http://dx.doi.org/10.3389/fmars.2021.754789","http://dx.doi.org/10.3389/fmars.2021.754789")</f>
        <v>http://dx.doi.org/10.3389/fmars.2021.754789</v>
      </c>
      <c r="BG2498" s="1" t="s">
        <v>74</v>
      </c>
      <c r="BH2498" s="1" t="s">
        <v>74</v>
      </c>
      <c r="BI2498" s="1">
        <v>8</v>
      </c>
      <c r="BJ2498" s="1" t="s">
        <v>247</v>
      </c>
      <c r="BK2498" s="1" t="s">
        <v>96</v>
      </c>
      <c r="BL2498" s="1" t="s">
        <v>248</v>
      </c>
      <c r="BM2498" s="1" t="s">
        <v>39930</v>
      </c>
      <c r="BN2498" s="1" t="s">
        <v>74</v>
      </c>
      <c r="BO2498" s="1" t="s">
        <v>550</v>
      </c>
      <c r="BP2498" s="1" t="s">
        <v>74</v>
      </c>
      <c r="BQ2498" s="1" t="s">
        <v>74</v>
      </c>
      <c r="BR2498" s="1" t="s">
        <v>98</v>
      </c>
      <c r="BS2498" s="1" t="s">
        <v>39931</v>
      </c>
      <c r="BT2498" s="1" t="str">
        <f>HYPERLINK("https%3A%2F%2Fwww.webofscience.com%2Fwos%2Fwoscc%2Ffull-record%2FWOS:000696670300001","View Full Record in Web of Science")</f>
        <v>View Full Record in Web of Science</v>
      </c>
      <c r="BU2498" s="1"/>
      <c r="BV2498" s="1"/>
    </row>
    <row r="2499" spans="1:74">
      <c r="A2499" s="1" t="s">
        <v>72</v>
      </c>
      <c r="B2499" s="1" t="s">
        <v>39932</v>
      </c>
      <c r="C2499" s="1" t="s">
        <v>74</v>
      </c>
      <c r="D2499" s="1" t="s">
        <v>74</v>
      </c>
      <c r="E2499" s="1" t="s">
        <v>74</v>
      </c>
      <c r="F2499" s="1" t="s">
        <v>39933</v>
      </c>
      <c r="G2499" s="1" t="s">
        <v>74</v>
      </c>
      <c r="H2499" s="1" t="s">
        <v>74</v>
      </c>
      <c r="I2499" s="1" t="s">
        <v>39934</v>
      </c>
      <c r="J2499" s="1" t="s">
        <v>554</v>
      </c>
      <c r="K2499" s="1" t="s">
        <v>74</v>
      </c>
      <c r="L2499" s="1" t="s">
        <v>74</v>
      </c>
      <c r="M2499" s="1" t="s">
        <v>78</v>
      </c>
      <c r="N2499" s="1" t="s">
        <v>79</v>
      </c>
      <c r="O2499" s="1" t="s">
        <v>74</v>
      </c>
      <c r="P2499" s="1" t="s">
        <v>74</v>
      </c>
      <c r="Q2499" s="1" t="s">
        <v>74</v>
      </c>
      <c r="R2499" s="1" t="s">
        <v>74</v>
      </c>
      <c r="S2499" s="1" t="s">
        <v>74</v>
      </c>
      <c r="T2499" s="1" t="s">
        <v>39935</v>
      </c>
      <c r="U2499" s="1" t="s">
        <v>39936</v>
      </c>
      <c r="V2499" s="1" t="s">
        <v>39937</v>
      </c>
      <c r="W2499" s="1" t="s">
        <v>39938</v>
      </c>
      <c r="X2499" s="1" t="s">
        <v>39939</v>
      </c>
      <c r="Y2499" s="1" t="s">
        <v>39940</v>
      </c>
      <c r="Z2499" s="1" t="s">
        <v>39941</v>
      </c>
      <c r="AA2499" s="1" t="s">
        <v>39942</v>
      </c>
      <c r="AB2499" s="1" t="s">
        <v>74</v>
      </c>
      <c r="AC2499" s="1" t="s">
        <v>39943</v>
      </c>
      <c r="AD2499" s="1" t="s">
        <v>39944</v>
      </c>
      <c r="AE2499" s="1" t="s">
        <v>39945</v>
      </c>
      <c r="AF2499" s="1" t="s">
        <v>74</v>
      </c>
      <c r="AG2499" s="1">
        <v>127</v>
      </c>
      <c r="AH2499" s="1">
        <v>5</v>
      </c>
      <c r="AI2499" s="1">
        <v>5</v>
      </c>
      <c r="AJ2499" s="1">
        <v>4</v>
      </c>
      <c r="AK2499" s="1">
        <v>17</v>
      </c>
      <c r="AL2499" s="1" t="s">
        <v>564</v>
      </c>
      <c r="AM2499" s="1" t="s">
        <v>113</v>
      </c>
      <c r="AN2499" s="1" t="s">
        <v>807</v>
      </c>
      <c r="AO2499" s="1" t="s">
        <v>566</v>
      </c>
      <c r="AP2499" s="1" t="s">
        <v>567</v>
      </c>
      <c r="AQ2499" s="1" t="s">
        <v>74</v>
      </c>
      <c r="AR2499" s="1" t="s">
        <v>568</v>
      </c>
      <c r="AS2499" s="1" t="s">
        <v>569</v>
      </c>
      <c r="AT2499" s="1" t="s">
        <v>224</v>
      </c>
      <c r="AU2499" s="1">
        <v>2023</v>
      </c>
      <c r="AV2499" s="1">
        <v>264</v>
      </c>
      <c r="AW2499" s="1" t="s">
        <v>74</v>
      </c>
      <c r="AX2499" s="1" t="s">
        <v>74</v>
      </c>
      <c r="AY2499" s="1" t="s">
        <v>74</v>
      </c>
      <c r="AZ2499" s="1" t="s">
        <v>74</v>
      </c>
      <c r="BA2499" s="1" t="s">
        <v>74</v>
      </c>
      <c r="BB2499" s="1" t="s">
        <v>74</v>
      </c>
      <c r="BC2499" s="1" t="s">
        <v>74</v>
      </c>
      <c r="BD2499" s="1">
        <v>109523</v>
      </c>
      <c r="BE2499" s="1" t="s">
        <v>39946</v>
      </c>
      <c r="BF2499" s="1" t="str">
        <f>HYPERLINK("http://dx.doi.org/10.1016/j.cbpc.2022.109523","http://dx.doi.org/10.1016/j.cbpc.2022.109523")</f>
        <v>http://dx.doi.org/10.1016/j.cbpc.2022.109523</v>
      </c>
      <c r="BG2499" s="1" t="s">
        <v>74</v>
      </c>
      <c r="BH2499" s="1" t="s">
        <v>699</v>
      </c>
      <c r="BI2499" s="1">
        <v>17</v>
      </c>
      <c r="BJ2499" s="1" t="s">
        <v>571</v>
      </c>
      <c r="BK2499" s="1" t="s">
        <v>96</v>
      </c>
      <c r="BL2499" s="1" t="s">
        <v>571</v>
      </c>
      <c r="BM2499" s="1" t="s">
        <v>39947</v>
      </c>
      <c r="BN2499" s="1">
        <v>36427667</v>
      </c>
      <c r="BO2499" s="1" t="s">
        <v>74</v>
      </c>
      <c r="BP2499" s="1" t="s">
        <v>74</v>
      </c>
      <c r="BQ2499" s="1" t="s">
        <v>74</v>
      </c>
      <c r="BR2499" s="1" t="s">
        <v>98</v>
      </c>
      <c r="BS2499" s="1" t="s">
        <v>39948</v>
      </c>
      <c r="BT2499" s="1" t="str">
        <f>HYPERLINK("https%3A%2F%2Fwww.webofscience.com%2Fwos%2Fwoscc%2Ffull-record%2FWOS:000906889200002","View Full Record in Web of Science")</f>
        <v>View Full Record in Web of Science</v>
      </c>
      <c r="BU2499" s="1"/>
      <c r="BV2499" s="1"/>
    </row>
    <row r="2500" spans="1:74">
      <c r="A2500" s="1" t="s">
        <v>72</v>
      </c>
      <c r="B2500" s="1" t="s">
        <v>39949</v>
      </c>
      <c r="C2500" s="1" t="s">
        <v>74</v>
      </c>
      <c r="D2500" s="1" t="s">
        <v>74</v>
      </c>
      <c r="E2500" s="1" t="s">
        <v>74</v>
      </c>
      <c r="F2500" s="1" t="s">
        <v>39949</v>
      </c>
      <c r="G2500" s="1" t="s">
        <v>74</v>
      </c>
      <c r="H2500" s="1" t="s">
        <v>74</v>
      </c>
      <c r="I2500" s="1" t="s">
        <v>39950</v>
      </c>
      <c r="J2500" s="1" t="s">
        <v>576</v>
      </c>
      <c r="K2500" s="1" t="s">
        <v>74</v>
      </c>
      <c r="L2500" s="1" t="s">
        <v>74</v>
      </c>
      <c r="M2500" s="1" t="s">
        <v>78</v>
      </c>
      <c r="N2500" s="1" t="s">
        <v>151</v>
      </c>
      <c r="O2500" s="1" t="s">
        <v>39951</v>
      </c>
      <c r="P2500" s="1" t="s">
        <v>39952</v>
      </c>
      <c r="Q2500" s="1" t="s">
        <v>39953</v>
      </c>
      <c r="R2500" s="1" t="s">
        <v>74</v>
      </c>
      <c r="S2500" s="1" t="s">
        <v>74</v>
      </c>
      <c r="T2500" s="1" t="s">
        <v>39954</v>
      </c>
      <c r="U2500" s="1" t="s">
        <v>39955</v>
      </c>
      <c r="V2500" s="1" t="s">
        <v>39956</v>
      </c>
      <c r="W2500" s="1" t="s">
        <v>39957</v>
      </c>
      <c r="X2500" s="1" t="s">
        <v>39958</v>
      </c>
      <c r="Y2500" s="1" t="s">
        <v>39959</v>
      </c>
      <c r="Z2500" s="1" t="s">
        <v>39960</v>
      </c>
      <c r="AA2500" s="1" t="s">
        <v>31735</v>
      </c>
      <c r="AB2500" s="1" t="s">
        <v>74</v>
      </c>
      <c r="AC2500" s="1" t="s">
        <v>74</v>
      </c>
      <c r="AD2500" s="1" t="s">
        <v>74</v>
      </c>
      <c r="AE2500" s="1" t="s">
        <v>74</v>
      </c>
      <c r="AF2500" s="1" t="s">
        <v>74</v>
      </c>
      <c r="AG2500" s="1">
        <v>19</v>
      </c>
      <c r="AH2500" s="1">
        <v>5</v>
      </c>
      <c r="AI2500" s="1">
        <v>5</v>
      </c>
      <c r="AJ2500" s="1">
        <v>0</v>
      </c>
      <c r="AK2500" s="1">
        <v>1</v>
      </c>
      <c r="AL2500" s="1" t="s">
        <v>31736</v>
      </c>
      <c r="AM2500" s="1" t="s">
        <v>286</v>
      </c>
      <c r="AN2500" s="1" t="s">
        <v>14828</v>
      </c>
      <c r="AO2500" s="1" t="s">
        <v>584</v>
      </c>
      <c r="AP2500" s="1" t="s">
        <v>74</v>
      </c>
      <c r="AQ2500" s="1" t="s">
        <v>74</v>
      </c>
      <c r="AR2500" s="1" t="s">
        <v>585</v>
      </c>
      <c r="AS2500" s="1" t="s">
        <v>586</v>
      </c>
      <c r="AT2500" s="1" t="s">
        <v>74</v>
      </c>
      <c r="AU2500" s="1">
        <v>2004</v>
      </c>
      <c r="AV2500" s="1">
        <v>49</v>
      </c>
      <c r="AW2500" s="1">
        <v>1</v>
      </c>
      <c r="AX2500" s="1" t="s">
        <v>74</v>
      </c>
      <c r="AY2500" s="1" t="s">
        <v>74</v>
      </c>
      <c r="AZ2500" s="1" t="s">
        <v>74</v>
      </c>
      <c r="BA2500" s="1" t="s">
        <v>74</v>
      </c>
      <c r="BB2500" s="1">
        <v>123</v>
      </c>
      <c r="BC2500" s="1">
        <v>130</v>
      </c>
      <c r="BD2500" s="1" t="s">
        <v>74</v>
      </c>
      <c r="BE2500" s="1" t="s">
        <v>39961</v>
      </c>
      <c r="BF2500" s="1" t="str">
        <f>HYPERLINK("http://dx.doi.org/10.2166/wst.2004.0036","http://dx.doi.org/10.2166/wst.2004.0036")</f>
        <v>http://dx.doi.org/10.2166/wst.2004.0036</v>
      </c>
      <c r="BG2500" s="1" t="s">
        <v>74</v>
      </c>
      <c r="BH2500" s="1" t="s">
        <v>74</v>
      </c>
      <c r="BI2500" s="1">
        <v>8</v>
      </c>
      <c r="BJ2500" s="1" t="s">
        <v>587</v>
      </c>
      <c r="BK2500" s="1" t="s">
        <v>588</v>
      </c>
      <c r="BL2500" s="1" t="s">
        <v>589</v>
      </c>
      <c r="BM2500" s="1" t="s">
        <v>39962</v>
      </c>
      <c r="BN2500" s="1">
        <v>14979547</v>
      </c>
      <c r="BO2500" s="1" t="s">
        <v>74</v>
      </c>
      <c r="BP2500" s="1" t="s">
        <v>74</v>
      </c>
      <c r="BQ2500" s="1" t="s">
        <v>74</v>
      </c>
      <c r="BR2500" s="1" t="s">
        <v>98</v>
      </c>
      <c r="BS2500" s="1" t="s">
        <v>39963</v>
      </c>
      <c r="BT2500" s="1" t="str">
        <f>HYPERLINK("https%3A%2F%2Fwww.webofscience.com%2Fwos%2Fwoscc%2Ffull-record%2FWOS:000189084600018","View Full Record in Web of Science")</f>
        <v>View Full Record in Web of Science</v>
      </c>
      <c r="BU2500" s="1"/>
      <c r="BV2500" s="1"/>
    </row>
    <row r="2501" spans="1:74">
      <c r="A2501" s="1" t="s">
        <v>72</v>
      </c>
      <c r="B2501" s="1" t="s">
        <v>39964</v>
      </c>
      <c r="C2501" s="1" t="s">
        <v>74</v>
      </c>
      <c r="D2501" s="1" t="s">
        <v>74</v>
      </c>
      <c r="E2501" s="1" t="s">
        <v>74</v>
      </c>
      <c r="F2501" s="1" t="s">
        <v>39964</v>
      </c>
      <c r="G2501" s="1" t="s">
        <v>74</v>
      </c>
      <c r="H2501" s="1" t="s">
        <v>74</v>
      </c>
      <c r="I2501" s="1" t="s">
        <v>39965</v>
      </c>
      <c r="J2501" s="1" t="s">
        <v>253</v>
      </c>
      <c r="K2501" s="1" t="s">
        <v>74</v>
      </c>
      <c r="L2501" s="1" t="s">
        <v>74</v>
      </c>
      <c r="M2501" s="1" t="s">
        <v>78</v>
      </c>
      <c r="N2501" s="1" t="s">
        <v>79</v>
      </c>
      <c r="O2501" s="1" t="s">
        <v>74</v>
      </c>
      <c r="P2501" s="1" t="s">
        <v>74</v>
      </c>
      <c r="Q2501" s="1" t="s">
        <v>74</v>
      </c>
      <c r="R2501" s="1" t="s">
        <v>74</v>
      </c>
      <c r="S2501" s="1" t="s">
        <v>74</v>
      </c>
      <c r="T2501" s="1" t="s">
        <v>74</v>
      </c>
      <c r="U2501" s="1" t="s">
        <v>39966</v>
      </c>
      <c r="V2501" s="1" t="s">
        <v>39967</v>
      </c>
      <c r="W2501" s="1" t="s">
        <v>39968</v>
      </c>
      <c r="X2501" s="1" t="s">
        <v>39969</v>
      </c>
      <c r="Y2501" s="1" t="s">
        <v>39970</v>
      </c>
      <c r="Z2501" s="1" t="s">
        <v>74</v>
      </c>
      <c r="AA2501" s="1" t="s">
        <v>39971</v>
      </c>
      <c r="AB2501" s="1" t="s">
        <v>39972</v>
      </c>
      <c r="AC2501" s="1" t="s">
        <v>74</v>
      </c>
      <c r="AD2501" s="1" t="s">
        <v>74</v>
      </c>
      <c r="AE2501" s="1" t="s">
        <v>74</v>
      </c>
      <c r="AF2501" s="1" t="s">
        <v>74</v>
      </c>
      <c r="AG2501" s="1">
        <v>23</v>
      </c>
      <c r="AH2501" s="1">
        <v>32</v>
      </c>
      <c r="AI2501" s="1">
        <v>35</v>
      </c>
      <c r="AJ2501" s="1">
        <v>0</v>
      </c>
      <c r="AK2501" s="1">
        <v>14</v>
      </c>
      <c r="AL2501" s="1" t="s">
        <v>261</v>
      </c>
      <c r="AM2501" s="1" t="s">
        <v>262</v>
      </c>
      <c r="AN2501" s="1" t="s">
        <v>263</v>
      </c>
      <c r="AO2501" s="1" t="s">
        <v>264</v>
      </c>
      <c r="AP2501" s="1" t="s">
        <v>74</v>
      </c>
      <c r="AQ2501" s="1" t="s">
        <v>74</v>
      </c>
      <c r="AR2501" s="1" t="s">
        <v>265</v>
      </c>
      <c r="AS2501" s="1" t="s">
        <v>266</v>
      </c>
      <c r="AT2501" s="1" t="s">
        <v>267</v>
      </c>
      <c r="AU2501" s="1">
        <v>2001</v>
      </c>
      <c r="AV2501" s="1">
        <v>3</v>
      </c>
      <c r="AW2501" s="1">
        <v>5</v>
      </c>
      <c r="AX2501" s="1" t="s">
        <v>74</v>
      </c>
      <c r="AY2501" s="1" t="s">
        <v>74</v>
      </c>
      <c r="AZ2501" s="1" t="s">
        <v>74</v>
      </c>
      <c r="BA2501" s="1" t="s">
        <v>74</v>
      </c>
      <c r="BB2501" s="1">
        <v>475</v>
      </c>
      <c r="BC2501" s="1">
        <v>482</v>
      </c>
      <c r="BD2501" s="1" t="s">
        <v>74</v>
      </c>
      <c r="BE2501" s="1" t="s">
        <v>39973</v>
      </c>
      <c r="BF2501" s="1" t="str">
        <f>HYPERLINK("http://dx.doi.org/10.1039/b104832p","http://dx.doi.org/10.1039/b104832p")</f>
        <v>http://dx.doi.org/10.1039/b104832p</v>
      </c>
      <c r="BG2501" s="1" t="s">
        <v>74</v>
      </c>
      <c r="BH2501" s="1" t="s">
        <v>74</v>
      </c>
      <c r="BI2501" s="1">
        <v>8</v>
      </c>
      <c r="BJ2501" s="1" t="s">
        <v>269</v>
      </c>
      <c r="BK2501" s="1" t="s">
        <v>96</v>
      </c>
      <c r="BL2501" s="1" t="s">
        <v>270</v>
      </c>
      <c r="BM2501" s="1" t="s">
        <v>271</v>
      </c>
      <c r="BN2501" s="1">
        <v>11695114</v>
      </c>
      <c r="BO2501" s="1" t="s">
        <v>74</v>
      </c>
      <c r="BP2501" s="1" t="s">
        <v>74</v>
      </c>
      <c r="BQ2501" s="1" t="s">
        <v>74</v>
      </c>
      <c r="BR2501" s="1" t="s">
        <v>98</v>
      </c>
      <c r="BS2501" s="1" t="s">
        <v>39974</v>
      </c>
      <c r="BT2501" s="1" t="str">
        <f>HYPERLINK("https%3A%2F%2Fwww.webofscience.com%2Fwos%2Fwoscc%2Ffull-record%2FWOS:000171794600008","View Full Record in Web of Science")</f>
        <v>View Full Record in Web of Science</v>
      </c>
      <c r="BU2501" s="1"/>
      <c r="BV2501" s="1"/>
    </row>
    <row r="2502" spans="1:74">
      <c r="A2502" s="1" t="s">
        <v>72</v>
      </c>
      <c r="B2502" s="1" t="s">
        <v>39975</v>
      </c>
      <c r="C2502" s="1" t="s">
        <v>74</v>
      </c>
      <c r="D2502" s="1" t="s">
        <v>74</v>
      </c>
      <c r="E2502" s="1" t="s">
        <v>74</v>
      </c>
      <c r="F2502" s="1" t="s">
        <v>39976</v>
      </c>
      <c r="G2502" s="1" t="s">
        <v>74</v>
      </c>
      <c r="H2502" s="1" t="s">
        <v>74</v>
      </c>
      <c r="I2502" s="1" t="s">
        <v>39977</v>
      </c>
      <c r="J2502" s="1" t="s">
        <v>421</v>
      </c>
      <c r="K2502" s="1" t="s">
        <v>74</v>
      </c>
      <c r="L2502" s="1" t="s">
        <v>74</v>
      </c>
      <c r="M2502" s="1" t="s">
        <v>78</v>
      </c>
      <c r="N2502" s="1" t="s">
        <v>79</v>
      </c>
      <c r="O2502" s="1" t="s">
        <v>74</v>
      </c>
      <c r="P2502" s="1" t="s">
        <v>74</v>
      </c>
      <c r="Q2502" s="1" t="s">
        <v>74</v>
      </c>
      <c r="R2502" s="1" t="s">
        <v>74</v>
      </c>
      <c r="S2502" s="1" t="s">
        <v>74</v>
      </c>
      <c r="T2502" s="1" t="s">
        <v>39978</v>
      </c>
      <c r="U2502" s="1" t="s">
        <v>39979</v>
      </c>
      <c r="V2502" s="1" t="s">
        <v>39980</v>
      </c>
      <c r="W2502" s="1" t="s">
        <v>39981</v>
      </c>
      <c r="X2502" s="1" t="s">
        <v>39982</v>
      </c>
      <c r="Y2502" s="1" t="s">
        <v>39983</v>
      </c>
      <c r="Z2502" s="1" t="s">
        <v>39984</v>
      </c>
      <c r="AA2502" s="1" t="s">
        <v>74</v>
      </c>
      <c r="AB2502" s="1" t="s">
        <v>74</v>
      </c>
      <c r="AC2502" s="1" t="s">
        <v>74</v>
      </c>
      <c r="AD2502" s="1" t="s">
        <v>74</v>
      </c>
      <c r="AE2502" s="1" t="s">
        <v>74</v>
      </c>
      <c r="AF2502" s="1" t="s">
        <v>74</v>
      </c>
      <c r="AG2502" s="1">
        <v>43</v>
      </c>
      <c r="AH2502" s="1">
        <v>12</v>
      </c>
      <c r="AI2502" s="1">
        <v>13</v>
      </c>
      <c r="AJ2502" s="1">
        <v>0</v>
      </c>
      <c r="AK2502" s="1">
        <v>10</v>
      </c>
      <c r="AL2502" s="1" t="s">
        <v>430</v>
      </c>
      <c r="AM2502" s="1" t="s">
        <v>137</v>
      </c>
      <c r="AN2502" s="1" t="s">
        <v>431</v>
      </c>
      <c r="AO2502" s="1" t="s">
        <v>432</v>
      </c>
      <c r="AP2502" s="1" t="s">
        <v>1394</v>
      </c>
      <c r="AQ2502" s="1" t="s">
        <v>74</v>
      </c>
      <c r="AR2502" s="1" t="s">
        <v>433</v>
      </c>
      <c r="AS2502" s="1" t="s">
        <v>434</v>
      </c>
      <c r="AT2502" s="1" t="s">
        <v>8920</v>
      </c>
      <c r="AU2502" s="1">
        <v>2006</v>
      </c>
      <c r="AV2502" s="1">
        <v>144</v>
      </c>
      <c r="AW2502" s="1">
        <v>1</v>
      </c>
      <c r="AX2502" s="1" t="s">
        <v>74</v>
      </c>
      <c r="AY2502" s="1" t="s">
        <v>74</v>
      </c>
      <c r="AZ2502" s="1" t="s">
        <v>74</v>
      </c>
      <c r="BA2502" s="1" t="s">
        <v>74</v>
      </c>
      <c r="BB2502" s="1">
        <v>280</v>
      </c>
      <c r="BC2502" s="1">
        <v>288</v>
      </c>
      <c r="BD2502" s="1" t="s">
        <v>74</v>
      </c>
      <c r="BE2502" s="1" t="s">
        <v>39985</v>
      </c>
      <c r="BF2502" s="1" t="str">
        <f>HYPERLINK("http://dx.doi.org/10.1016/j.envpol.2005.12.015","http://dx.doi.org/10.1016/j.envpol.2005.12.015")</f>
        <v>http://dx.doi.org/10.1016/j.envpol.2005.12.015</v>
      </c>
      <c r="BG2502" s="1" t="s">
        <v>74</v>
      </c>
      <c r="BH2502" s="1" t="s">
        <v>74</v>
      </c>
      <c r="BI2502" s="1">
        <v>9</v>
      </c>
      <c r="BJ2502" s="1" t="s">
        <v>144</v>
      </c>
      <c r="BK2502" s="1" t="s">
        <v>96</v>
      </c>
      <c r="BL2502" s="1" t="s">
        <v>145</v>
      </c>
      <c r="BM2502" s="1" t="s">
        <v>22543</v>
      </c>
      <c r="BN2502" s="1">
        <v>16603290</v>
      </c>
      <c r="BO2502" s="1" t="s">
        <v>74</v>
      </c>
      <c r="BP2502" s="1" t="s">
        <v>74</v>
      </c>
      <c r="BQ2502" s="1" t="s">
        <v>74</v>
      </c>
      <c r="BR2502" s="1" t="s">
        <v>98</v>
      </c>
      <c r="BS2502" s="1" t="s">
        <v>39986</v>
      </c>
      <c r="BT2502" s="1" t="str">
        <f>HYPERLINK("https%3A%2F%2Fwww.webofscience.com%2Fwos%2Fwoscc%2Ffull-record%2FWOS:000241138100036","View Full Record in Web of Science")</f>
        <v>View Full Record in Web of Science</v>
      </c>
      <c r="BU2502" s="1"/>
      <c r="BV2502" s="1"/>
    </row>
    <row r="2503" spans="1:74">
      <c r="A2503" s="1" t="s">
        <v>72</v>
      </c>
      <c r="B2503" s="1" t="s">
        <v>39987</v>
      </c>
      <c r="C2503" s="1" t="s">
        <v>74</v>
      </c>
      <c r="D2503" s="1" t="s">
        <v>74</v>
      </c>
      <c r="E2503" s="1" t="s">
        <v>74</v>
      </c>
      <c r="F2503" s="1" t="s">
        <v>39988</v>
      </c>
      <c r="G2503" s="1" t="s">
        <v>74</v>
      </c>
      <c r="H2503" s="1" t="s">
        <v>74</v>
      </c>
      <c r="I2503" s="1" t="s">
        <v>39989</v>
      </c>
      <c r="J2503" s="1" t="s">
        <v>421</v>
      </c>
      <c r="K2503" s="1" t="s">
        <v>74</v>
      </c>
      <c r="L2503" s="1" t="s">
        <v>74</v>
      </c>
      <c r="M2503" s="1" t="s">
        <v>78</v>
      </c>
      <c r="N2503" s="1" t="s">
        <v>79</v>
      </c>
      <c r="O2503" s="1" t="s">
        <v>74</v>
      </c>
      <c r="P2503" s="1" t="s">
        <v>74</v>
      </c>
      <c r="Q2503" s="1" t="s">
        <v>74</v>
      </c>
      <c r="R2503" s="1" t="s">
        <v>74</v>
      </c>
      <c r="S2503" s="1" t="s">
        <v>74</v>
      </c>
      <c r="T2503" s="1" t="s">
        <v>39990</v>
      </c>
      <c r="U2503" s="1" t="s">
        <v>39991</v>
      </c>
      <c r="V2503" s="1" t="s">
        <v>39992</v>
      </c>
      <c r="W2503" s="1" t="s">
        <v>39993</v>
      </c>
      <c r="X2503" s="1" t="s">
        <v>39994</v>
      </c>
      <c r="Y2503" s="1" t="s">
        <v>39995</v>
      </c>
      <c r="Z2503" s="1" t="s">
        <v>39996</v>
      </c>
      <c r="AA2503" s="1" t="s">
        <v>74</v>
      </c>
      <c r="AB2503" s="1" t="s">
        <v>20118</v>
      </c>
      <c r="AC2503" s="1" t="s">
        <v>39997</v>
      </c>
      <c r="AD2503" s="1" t="s">
        <v>39998</v>
      </c>
      <c r="AE2503" s="1" t="s">
        <v>39999</v>
      </c>
      <c r="AF2503" s="1" t="s">
        <v>74</v>
      </c>
      <c r="AG2503" s="1">
        <v>84</v>
      </c>
      <c r="AH2503" s="1">
        <v>74</v>
      </c>
      <c r="AI2503" s="1">
        <v>86</v>
      </c>
      <c r="AJ2503" s="1">
        <v>3</v>
      </c>
      <c r="AK2503" s="1">
        <v>103</v>
      </c>
      <c r="AL2503" s="1" t="s">
        <v>430</v>
      </c>
      <c r="AM2503" s="1" t="s">
        <v>137</v>
      </c>
      <c r="AN2503" s="1" t="s">
        <v>431</v>
      </c>
      <c r="AO2503" s="1" t="s">
        <v>432</v>
      </c>
      <c r="AP2503" s="1" t="s">
        <v>1394</v>
      </c>
      <c r="AQ2503" s="1" t="s">
        <v>74</v>
      </c>
      <c r="AR2503" s="1" t="s">
        <v>433</v>
      </c>
      <c r="AS2503" s="1" t="s">
        <v>434</v>
      </c>
      <c r="AT2503" s="1" t="s">
        <v>765</v>
      </c>
      <c r="AU2503" s="1">
        <v>2015</v>
      </c>
      <c r="AV2503" s="1">
        <v>202</v>
      </c>
      <c r="AW2503" s="1" t="s">
        <v>74</v>
      </c>
      <c r="AX2503" s="1" t="s">
        <v>74</v>
      </c>
      <c r="AY2503" s="1" t="s">
        <v>74</v>
      </c>
      <c r="AZ2503" s="1" t="s">
        <v>74</v>
      </c>
      <c r="BA2503" s="1" t="s">
        <v>74</v>
      </c>
      <c r="BB2503" s="1">
        <v>177</v>
      </c>
      <c r="BC2503" s="1">
        <v>186</v>
      </c>
      <c r="BD2503" s="1" t="s">
        <v>74</v>
      </c>
      <c r="BE2503" s="1" t="s">
        <v>40000</v>
      </c>
      <c r="BF2503" s="1" t="str">
        <f>HYPERLINK("http://dx.doi.org/10.1016/j.envpol.2015.03.025","http://dx.doi.org/10.1016/j.envpol.2015.03.025")</f>
        <v>http://dx.doi.org/10.1016/j.envpol.2015.03.025</v>
      </c>
      <c r="BG2503" s="1" t="s">
        <v>74</v>
      </c>
      <c r="BH2503" s="1" t="s">
        <v>74</v>
      </c>
      <c r="BI2503" s="1">
        <v>10</v>
      </c>
      <c r="BJ2503" s="1" t="s">
        <v>144</v>
      </c>
      <c r="BK2503" s="1" t="s">
        <v>96</v>
      </c>
      <c r="BL2503" s="1" t="s">
        <v>145</v>
      </c>
      <c r="BM2503" s="1" t="s">
        <v>32060</v>
      </c>
      <c r="BN2503" s="1">
        <v>25829077</v>
      </c>
      <c r="BO2503" s="1" t="s">
        <v>74</v>
      </c>
      <c r="BP2503" s="1" t="s">
        <v>74</v>
      </c>
      <c r="BQ2503" s="1" t="s">
        <v>74</v>
      </c>
      <c r="BR2503" s="1" t="s">
        <v>98</v>
      </c>
      <c r="BS2503" s="1" t="s">
        <v>40001</v>
      </c>
      <c r="BT2503" s="1" t="str">
        <f>HYPERLINK("https%3A%2F%2Fwww.webofscience.com%2Fwos%2Fwoscc%2Ffull-record%2FWOS:000354581900022","View Full Record in Web of Science")</f>
        <v>View Full Record in Web of Science</v>
      </c>
      <c r="BU2503" s="1"/>
      <c r="BV2503" s="1"/>
    </row>
    <row r="2504" spans="1:74">
      <c r="A2504" s="1" t="s">
        <v>72</v>
      </c>
      <c r="B2504" s="1" t="s">
        <v>21785</v>
      </c>
      <c r="C2504" s="1" t="s">
        <v>74</v>
      </c>
      <c r="D2504" s="1" t="s">
        <v>74</v>
      </c>
      <c r="E2504" s="1" t="s">
        <v>74</v>
      </c>
      <c r="F2504" s="1" t="s">
        <v>40002</v>
      </c>
      <c r="G2504" s="1" t="s">
        <v>74</v>
      </c>
      <c r="H2504" s="1" t="s">
        <v>74</v>
      </c>
      <c r="I2504" s="1" t="s">
        <v>40003</v>
      </c>
      <c r="J2504" s="1" t="s">
        <v>179</v>
      </c>
      <c r="K2504" s="1" t="s">
        <v>74</v>
      </c>
      <c r="L2504" s="1" t="s">
        <v>74</v>
      </c>
      <c r="M2504" s="1" t="s">
        <v>78</v>
      </c>
      <c r="N2504" s="1" t="s">
        <v>79</v>
      </c>
      <c r="O2504" s="1" t="s">
        <v>74</v>
      </c>
      <c r="P2504" s="1" t="s">
        <v>74</v>
      </c>
      <c r="Q2504" s="1" t="s">
        <v>74</v>
      </c>
      <c r="R2504" s="1" t="s">
        <v>74</v>
      </c>
      <c r="S2504" s="1" t="s">
        <v>74</v>
      </c>
      <c r="T2504" s="1" t="s">
        <v>40004</v>
      </c>
      <c r="U2504" s="1" t="s">
        <v>40005</v>
      </c>
      <c r="V2504" s="1" t="s">
        <v>40006</v>
      </c>
      <c r="W2504" s="1" t="s">
        <v>40007</v>
      </c>
      <c r="X2504" s="1" t="s">
        <v>21792</v>
      </c>
      <c r="Y2504" s="1" t="s">
        <v>40008</v>
      </c>
      <c r="Z2504" s="1" t="s">
        <v>40009</v>
      </c>
      <c r="AA2504" s="1" t="s">
        <v>21794</v>
      </c>
      <c r="AB2504" s="1" t="s">
        <v>21795</v>
      </c>
      <c r="AC2504" s="1" t="s">
        <v>21379</v>
      </c>
      <c r="AD2504" s="1" t="s">
        <v>21380</v>
      </c>
      <c r="AE2504" s="1" t="s">
        <v>40010</v>
      </c>
      <c r="AF2504" s="1" t="s">
        <v>74</v>
      </c>
      <c r="AG2504" s="1">
        <v>33</v>
      </c>
      <c r="AH2504" s="1">
        <v>2</v>
      </c>
      <c r="AI2504" s="1">
        <v>2</v>
      </c>
      <c r="AJ2504" s="1">
        <v>2</v>
      </c>
      <c r="AK2504" s="1">
        <v>19</v>
      </c>
      <c r="AL2504" s="1" t="s">
        <v>112</v>
      </c>
      <c r="AM2504" s="1" t="s">
        <v>191</v>
      </c>
      <c r="AN2504" s="1" t="s">
        <v>192</v>
      </c>
      <c r="AO2504" s="1" t="s">
        <v>193</v>
      </c>
      <c r="AP2504" s="1" t="s">
        <v>194</v>
      </c>
      <c r="AQ2504" s="1" t="s">
        <v>74</v>
      </c>
      <c r="AR2504" s="1" t="s">
        <v>195</v>
      </c>
      <c r="AS2504" s="1" t="s">
        <v>196</v>
      </c>
      <c r="AT2504" s="1" t="s">
        <v>119</v>
      </c>
      <c r="AU2504" s="1">
        <v>2016</v>
      </c>
      <c r="AV2504" s="1">
        <v>188</v>
      </c>
      <c r="AW2504" s="1">
        <v>8</v>
      </c>
      <c r="AX2504" s="1" t="s">
        <v>74</v>
      </c>
      <c r="AY2504" s="1" t="s">
        <v>74</v>
      </c>
      <c r="AZ2504" s="1" t="s">
        <v>74</v>
      </c>
      <c r="BA2504" s="1" t="s">
        <v>74</v>
      </c>
      <c r="BB2504" s="1" t="s">
        <v>74</v>
      </c>
      <c r="BC2504" s="1" t="s">
        <v>74</v>
      </c>
      <c r="BD2504" s="1">
        <v>472</v>
      </c>
      <c r="BE2504" s="1" t="s">
        <v>40011</v>
      </c>
      <c r="BF2504" s="1" t="str">
        <f>HYPERLINK("http://dx.doi.org/10.1007/s10661-016-5445-6","http://dx.doi.org/10.1007/s10661-016-5445-6")</f>
        <v>http://dx.doi.org/10.1007/s10661-016-5445-6</v>
      </c>
      <c r="BG2504" s="1" t="s">
        <v>74</v>
      </c>
      <c r="BH2504" s="1" t="s">
        <v>74</v>
      </c>
      <c r="BI2504" s="1">
        <v>13</v>
      </c>
      <c r="BJ2504" s="1" t="s">
        <v>144</v>
      </c>
      <c r="BK2504" s="1" t="s">
        <v>96</v>
      </c>
      <c r="BL2504" s="1" t="s">
        <v>145</v>
      </c>
      <c r="BM2504" s="1" t="s">
        <v>31950</v>
      </c>
      <c r="BN2504" s="1">
        <v>27421260</v>
      </c>
      <c r="BO2504" s="1" t="s">
        <v>74</v>
      </c>
      <c r="BP2504" s="1" t="s">
        <v>74</v>
      </c>
      <c r="BQ2504" s="1" t="s">
        <v>74</v>
      </c>
      <c r="BR2504" s="1" t="s">
        <v>98</v>
      </c>
      <c r="BS2504" s="1" t="s">
        <v>40012</v>
      </c>
      <c r="BT2504" s="1" t="str">
        <f>HYPERLINK("https%3A%2F%2Fwww.webofscience.com%2Fwos%2Fwoscc%2Ffull-record%2FWOS:000381144300029","View Full Record in Web of Science")</f>
        <v>View Full Record in Web of Science</v>
      </c>
      <c r="BU2504" s="1"/>
      <c r="BV2504" s="1"/>
    </row>
    <row r="2505" spans="1:74">
      <c r="A2505" s="1" t="s">
        <v>72</v>
      </c>
      <c r="B2505" s="1" t="s">
        <v>40013</v>
      </c>
      <c r="C2505" s="1" t="s">
        <v>74</v>
      </c>
      <c r="D2505" s="1" t="s">
        <v>74</v>
      </c>
      <c r="E2505" s="1" t="s">
        <v>74</v>
      </c>
      <c r="F2505" s="1" t="s">
        <v>40014</v>
      </c>
      <c r="G2505" s="1" t="s">
        <v>74</v>
      </c>
      <c r="H2505" s="1" t="s">
        <v>74</v>
      </c>
      <c r="I2505" s="1" t="s">
        <v>40015</v>
      </c>
      <c r="J2505" s="1" t="s">
        <v>232</v>
      </c>
      <c r="K2505" s="1" t="s">
        <v>74</v>
      </c>
      <c r="L2505" s="1" t="s">
        <v>74</v>
      </c>
      <c r="M2505" s="1" t="s">
        <v>78</v>
      </c>
      <c r="N2505" s="1" t="s">
        <v>79</v>
      </c>
      <c r="O2505" s="1" t="s">
        <v>74</v>
      </c>
      <c r="P2505" s="1" t="s">
        <v>74</v>
      </c>
      <c r="Q2505" s="1" t="s">
        <v>74</v>
      </c>
      <c r="R2505" s="1" t="s">
        <v>74</v>
      </c>
      <c r="S2505" s="1" t="s">
        <v>74</v>
      </c>
      <c r="T2505" s="1" t="s">
        <v>40016</v>
      </c>
      <c r="U2505" s="1" t="s">
        <v>40017</v>
      </c>
      <c r="V2505" s="1" t="s">
        <v>40018</v>
      </c>
      <c r="W2505" s="1" t="s">
        <v>40019</v>
      </c>
      <c r="X2505" s="1" t="s">
        <v>40020</v>
      </c>
      <c r="Y2505" s="1" t="s">
        <v>40021</v>
      </c>
      <c r="Z2505" s="1" t="s">
        <v>40022</v>
      </c>
      <c r="AA2505" s="1" t="s">
        <v>40023</v>
      </c>
      <c r="AB2505" s="1" t="s">
        <v>74</v>
      </c>
      <c r="AC2505" s="1" t="s">
        <v>40024</v>
      </c>
      <c r="AD2505" s="1" t="s">
        <v>40025</v>
      </c>
      <c r="AE2505" s="1" t="s">
        <v>40026</v>
      </c>
      <c r="AF2505" s="1" t="s">
        <v>74</v>
      </c>
      <c r="AG2505" s="1">
        <v>63</v>
      </c>
      <c r="AH2505" s="1">
        <v>7</v>
      </c>
      <c r="AI2505" s="1">
        <v>7</v>
      </c>
      <c r="AJ2505" s="1">
        <v>6</v>
      </c>
      <c r="AK2505" s="1">
        <v>17</v>
      </c>
      <c r="AL2505" s="1" t="s">
        <v>136</v>
      </c>
      <c r="AM2505" s="1" t="s">
        <v>137</v>
      </c>
      <c r="AN2505" s="1" t="s">
        <v>138</v>
      </c>
      <c r="AO2505" s="1" t="s">
        <v>240</v>
      </c>
      <c r="AP2505" s="1" t="s">
        <v>241</v>
      </c>
      <c r="AQ2505" s="1" t="s">
        <v>74</v>
      </c>
      <c r="AR2505" s="1" t="s">
        <v>242</v>
      </c>
      <c r="AS2505" s="1" t="s">
        <v>243</v>
      </c>
      <c r="AT2505" s="1" t="s">
        <v>197</v>
      </c>
      <c r="AU2505" s="1">
        <v>2022</v>
      </c>
      <c r="AV2505" s="1">
        <v>185</v>
      </c>
      <c r="AW2505" s="1" t="s">
        <v>74</v>
      </c>
      <c r="AX2505" s="1" t="s">
        <v>489</v>
      </c>
      <c r="AY2505" s="1" t="s">
        <v>74</v>
      </c>
      <c r="AZ2505" s="1" t="s">
        <v>74</v>
      </c>
      <c r="BA2505" s="1" t="s">
        <v>74</v>
      </c>
      <c r="BB2505" s="1" t="s">
        <v>74</v>
      </c>
      <c r="BC2505" s="1" t="s">
        <v>74</v>
      </c>
      <c r="BD2505" s="1">
        <v>114270</v>
      </c>
      <c r="BE2505" s="1" t="s">
        <v>40027</v>
      </c>
      <c r="BF2505" s="1" t="str">
        <f>HYPERLINK("http://dx.doi.org/10.1016/j.marpolbul.2022.114270","http://dx.doi.org/10.1016/j.marpolbul.2022.114270")</f>
        <v>http://dx.doi.org/10.1016/j.marpolbul.2022.114270</v>
      </c>
      <c r="BG2505" s="1" t="s">
        <v>74</v>
      </c>
      <c r="BH2505" s="1" t="s">
        <v>699</v>
      </c>
      <c r="BI2505" s="1">
        <v>11</v>
      </c>
      <c r="BJ2505" s="1" t="s">
        <v>247</v>
      </c>
      <c r="BK2505" s="1" t="s">
        <v>96</v>
      </c>
      <c r="BL2505" s="1" t="s">
        <v>248</v>
      </c>
      <c r="BM2505" s="1" t="s">
        <v>40028</v>
      </c>
      <c r="BN2505" s="1">
        <v>36347191</v>
      </c>
      <c r="BO2505" s="1" t="s">
        <v>74</v>
      </c>
      <c r="BP2505" s="1" t="s">
        <v>74</v>
      </c>
      <c r="BQ2505" s="1" t="s">
        <v>74</v>
      </c>
      <c r="BR2505" s="1" t="s">
        <v>98</v>
      </c>
      <c r="BS2505" s="1" t="s">
        <v>40029</v>
      </c>
      <c r="BT2505" s="1" t="str">
        <f>HYPERLINK("https%3A%2F%2Fwww.webofscience.com%2Fwos%2Fwoscc%2Ffull-record%2FWOS:000891651800001","View Full Record in Web of Science")</f>
        <v>View Full Record in Web of Science</v>
      </c>
      <c r="BU2505" s="1"/>
      <c r="BV2505" s="1"/>
    </row>
    <row r="2506" spans="1:74">
      <c r="A2506" s="1" t="s">
        <v>72</v>
      </c>
      <c r="B2506" s="1" t="s">
        <v>40030</v>
      </c>
      <c r="C2506" s="1" t="s">
        <v>74</v>
      </c>
      <c r="D2506" s="1" t="s">
        <v>74</v>
      </c>
      <c r="E2506" s="1" t="s">
        <v>74</v>
      </c>
      <c r="F2506" s="1" t="s">
        <v>40031</v>
      </c>
      <c r="G2506" s="1" t="s">
        <v>74</v>
      </c>
      <c r="H2506" s="1" t="s">
        <v>74</v>
      </c>
      <c r="I2506" s="1" t="s">
        <v>40032</v>
      </c>
      <c r="J2506" s="1" t="s">
        <v>16476</v>
      </c>
      <c r="K2506" s="1" t="s">
        <v>74</v>
      </c>
      <c r="L2506" s="1" t="s">
        <v>74</v>
      </c>
      <c r="M2506" s="1" t="s">
        <v>78</v>
      </c>
      <c r="N2506" s="1" t="s">
        <v>79</v>
      </c>
      <c r="O2506" s="1" t="s">
        <v>74</v>
      </c>
      <c r="P2506" s="1" t="s">
        <v>74</v>
      </c>
      <c r="Q2506" s="1" t="s">
        <v>74</v>
      </c>
      <c r="R2506" s="1" t="s">
        <v>74</v>
      </c>
      <c r="S2506" s="1" t="s">
        <v>74</v>
      </c>
      <c r="T2506" s="1" t="s">
        <v>40033</v>
      </c>
      <c r="U2506" s="1" t="s">
        <v>40034</v>
      </c>
      <c r="V2506" s="1" t="s">
        <v>40035</v>
      </c>
      <c r="W2506" s="1" t="s">
        <v>40036</v>
      </c>
      <c r="X2506" s="1" t="s">
        <v>40037</v>
      </c>
      <c r="Y2506" s="1" t="s">
        <v>40038</v>
      </c>
      <c r="Z2506" s="1" t="s">
        <v>40039</v>
      </c>
      <c r="AA2506" s="1" t="s">
        <v>40040</v>
      </c>
      <c r="AB2506" s="1" t="s">
        <v>40041</v>
      </c>
      <c r="AC2506" s="1" t="s">
        <v>74</v>
      </c>
      <c r="AD2506" s="1" t="s">
        <v>74</v>
      </c>
      <c r="AE2506" s="1" t="s">
        <v>74</v>
      </c>
      <c r="AF2506" s="1" t="s">
        <v>74</v>
      </c>
      <c r="AG2506" s="1">
        <v>29</v>
      </c>
      <c r="AH2506" s="1">
        <v>106</v>
      </c>
      <c r="AI2506" s="1">
        <v>122</v>
      </c>
      <c r="AJ2506" s="1">
        <v>0</v>
      </c>
      <c r="AK2506" s="1">
        <v>19</v>
      </c>
      <c r="AL2506" s="1" t="s">
        <v>650</v>
      </c>
      <c r="AM2506" s="1" t="s">
        <v>651</v>
      </c>
      <c r="AN2506" s="1" t="s">
        <v>652</v>
      </c>
      <c r="AO2506" s="1" t="s">
        <v>16484</v>
      </c>
      <c r="AP2506" s="1" t="s">
        <v>16485</v>
      </c>
      <c r="AQ2506" s="1" t="s">
        <v>74</v>
      </c>
      <c r="AR2506" s="1" t="s">
        <v>16486</v>
      </c>
      <c r="AS2506" s="1" t="s">
        <v>16487</v>
      </c>
      <c r="AT2506" s="1" t="s">
        <v>1356</v>
      </c>
      <c r="AU2506" s="1">
        <v>2006</v>
      </c>
      <c r="AV2506" s="1">
        <v>605</v>
      </c>
      <c r="AW2506" s="1" t="s">
        <v>326</v>
      </c>
      <c r="AX2506" s="1" t="s">
        <v>74</v>
      </c>
      <c r="AY2506" s="1" t="s">
        <v>74</v>
      </c>
      <c r="AZ2506" s="1" t="s">
        <v>74</v>
      </c>
      <c r="BA2506" s="1" t="s">
        <v>74</v>
      </c>
      <c r="BB2506" s="1">
        <v>78</v>
      </c>
      <c r="BC2506" s="1">
        <v>86</v>
      </c>
      <c r="BD2506" s="1" t="s">
        <v>74</v>
      </c>
      <c r="BE2506" s="1" t="s">
        <v>40042</v>
      </c>
      <c r="BF2506" s="1" t="str">
        <f>HYPERLINK("http://dx.doi.org/10.1016/j.mrgentox.2006.02.006","http://dx.doi.org/10.1016/j.mrgentox.2006.02.006")</f>
        <v>http://dx.doi.org/10.1016/j.mrgentox.2006.02.006</v>
      </c>
      <c r="BG2506" s="1" t="s">
        <v>74</v>
      </c>
      <c r="BH2506" s="1" t="s">
        <v>74</v>
      </c>
      <c r="BI2506" s="1">
        <v>9</v>
      </c>
      <c r="BJ2506" s="1" t="s">
        <v>16489</v>
      </c>
      <c r="BK2506" s="1" t="s">
        <v>96</v>
      </c>
      <c r="BL2506" s="1" t="s">
        <v>16489</v>
      </c>
      <c r="BM2506" s="1" t="s">
        <v>40043</v>
      </c>
      <c r="BN2506" s="1">
        <v>16697250</v>
      </c>
      <c r="BO2506" s="1" t="s">
        <v>74</v>
      </c>
      <c r="BP2506" s="1" t="s">
        <v>74</v>
      </c>
      <c r="BQ2506" s="1" t="s">
        <v>74</v>
      </c>
      <c r="BR2506" s="1" t="s">
        <v>98</v>
      </c>
      <c r="BS2506" s="1" t="s">
        <v>40044</v>
      </c>
      <c r="BT2506" s="1" t="str">
        <f>HYPERLINK("https%3A%2F%2Fwww.webofscience.com%2Fwos%2Fwoscc%2Ffull-record%2FWOS:000238401600009","View Full Record in Web of Science")</f>
        <v>View Full Record in Web of Science</v>
      </c>
      <c r="BU2506" s="1"/>
      <c r="BV2506" s="1"/>
    </row>
    <row r="2507" spans="1:74">
      <c r="A2507" s="1" t="s">
        <v>72</v>
      </c>
      <c r="B2507" s="1" t="s">
        <v>40045</v>
      </c>
      <c r="C2507" s="1" t="s">
        <v>74</v>
      </c>
      <c r="D2507" s="1" t="s">
        <v>74</v>
      </c>
      <c r="E2507" s="1" t="s">
        <v>74</v>
      </c>
      <c r="F2507" s="1" t="s">
        <v>40046</v>
      </c>
      <c r="G2507" s="1" t="s">
        <v>74</v>
      </c>
      <c r="H2507" s="1" t="s">
        <v>74</v>
      </c>
      <c r="I2507" s="1" t="s">
        <v>40047</v>
      </c>
      <c r="J2507" s="1" t="s">
        <v>232</v>
      </c>
      <c r="K2507" s="1" t="s">
        <v>74</v>
      </c>
      <c r="L2507" s="1" t="s">
        <v>74</v>
      </c>
      <c r="M2507" s="1" t="s">
        <v>78</v>
      </c>
      <c r="N2507" s="1" t="s">
        <v>79</v>
      </c>
      <c r="O2507" s="1" t="s">
        <v>74</v>
      </c>
      <c r="P2507" s="1" t="s">
        <v>74</v>
      </c>
      <c r="Q2507" s="1" t="s">
        <v>74</v>
      </c>
      <c r="R2507" s="1" t="s">
        <v>74</v>
      </c>
      <c r="S2507" s="1" t="s">
        <v>74</v>
      </c>
      <c r="T2507" s="1" t="s">
        <v>40048</v>
      </c>
      <c r="U2507" s="1" t="s">
        <v>40049</v>
      </c>
      <c r="V2507" s="1" t="s">
        <v>40050</v>
      </c>
      <c r="W2507" s="1" t="s">
        <v>40051</v>
      </c>
      <c r="X2507" s="1" t="s">
        <v>40052</v>
      </c>
      <c r="Y2507" s="1" t="s">
        <v>40053</v>
      </c>
      <c r="Z2507" s="1" t="s">
        <v>40054</v>
      </c>
      <c r="AA2507" s="1" t="s">
        <v>40055</v>
      </c>
      <c r="AB2507" s="1" t="s">
        <v>40056</v>
      </c>
      <c r="AC2507" s="1" t="s">
        <v>40057</v>
      </c>
      <c r="AD2507" s="1" t="s">
        <v>40058</v>
      </c>
      <c r="AE2507" s="1" t="s">
        <v>40059</v>
      </c>
      <c r="AF2507" s="1" t="s">
        <v>74</v>
      </c>
      <c r="AG2507" s="1">
        <v>33</v>
      </c>
      <c r="AH2507" s="1">
        <v>46</v>
      </c>
      <c r="AI2507" s="1">
        <v>48</v>
      </c>
      <c r="AJ2507" s="1">
        <v>5</v>
      </c>
      <c r="AK2507" s="1">
        <v>141</v>
      </c>
      <c r="AL2507" s="1" t="s">
        <v>136</v>
      </c>
      <c r="AM2507" s="1" t="s">
        <v>137</v>
      </c>
      <c r="AN2507" s="1" t="s">
        <v>138</v>
      </c>
      <c r="AO2507" s="1" t="s">
        <v>240</v>
      </c>
      <c r="AP2507" s="1" t="s">
        <v>241</v>
      </c>
      <c r="AQ2507" s="1" t="s">
        <v>74</v>
      </c>
      <c r="AR2507" s="1" t="s">
        <v>242</v>
      </c>
      <c r="AS2507" s="1" t="s">
        <v>243</v>
      </c>
      <c r="AT2507" s="1" t="s">
        <v>1507</v>
      </c>
      <c r="AU2507" s="1">
        <v>2017</v>
      </c>
      <c r="AV2507" s="1">
        <v>117</v>
      </c>
      <c r="AW2507" s="1" t="s">
        <v>326</v>
      </c>
      <c r="AX2507" s="1" t="s">
        <v>74</v>
      </c>
      <c r="AY2507" s="1" t="s">
        <v>74</v>
      </c>
      <c r="AZ2507" s="1" t="s">
        <v>74</v>
      </c>
      <c r="BA2507" s="1" t="s">
        <v>74</v>
      </c>
      <c r="BB2507" s="1">
        <v>486</v>
      </c>
      <c r="BC2507" s="1">
        <v>491</v>
      </c>
      <c r="BD2507" s="1" t="s">
        <v>74</v>
      </c>
      <c r="BE2507" s="1" t="s">
        <v>40060</v>
      </c>
      <c r="BF2507" s="1" t="str">
        <f>HYPERLINK("http://dx.doi.org/10.1016/j.marpolbul.2017.01.026","http://dx.doi.org/10.1016/j.marpolbul.2017.01.026")</f>
        <v>http://dx.doi.org/10.1016/j.marpolbul.2017.01.026</v>
      </c>
      <c r="BG2507" s="1" t="s">
        <v>74</v>
      </c>
      <c r="BH2507" s="1" t="s">
        <v>74</v>
      </c>
      <c r="BI2507" s="1">
        <v>6</v>
      </c>
      <c r="BJ2507" s="1" t="s">
        <v>247</v>
      </c>
      <c r="BK2507" s="1" t="s">
        <v>96</v>
      </c>
      <c r="BL2507" s="1" t="s">
        <v>248</v>
      </c>
      <c r="BM2507" s="1" t="s">
        <v>9485</v>
      </c>
      <c r="BN2507" s="1">
        <v>28111003</v>
      </c>
      <c r="BO2507" s="1" t="s">
        <v>74</v>
      </c>
      <c r="BP2507" s="1" t="s">
        <v>74</v>
      </c>
      <c r="BQ2507" s="1" t="s">
        <v>74</v>
      </c>
      <c r="BR2507" s="1" t="s">
        <v>98</v>
      </c>
      <c r="BS2507" s="1" t="s">
        <v>40061</v>
      </c>
      <c r="BT2507" s="1" t="str">
        <f>HYPERLINK("https%3A%2F%2Fwww.webofscience.com%2Fwos%2Fwoscc%2Ffull-record%2FWOS:000399258600067","View Full Record in Web of Science")</f>
        <v>View Full Record in Web of Science</v>
      </c>
      <c r="BU2507" s="1"/>
      <c r="BV2507" s="1"/>
    </row>
    <row r="2508" spans="1:74">
      <c r="A2508" s="1" t="s">
        <v>72</v>
      </c>
      <c r="B2508" s="1" t="s">
        <v>40062</v>
      </c>
      <c r="C2508" s="1" t="s">
        <v>74</v>
      </c>
      <c r="D2508" s="1" t="s">
        <v>74</v>
      </c>
      <c r="E2508" s="1" t="s">
        <v>74</v>
      </c>
      <c r="F2508" s="1" t="s">
        <v>40063</v>
      </c>
      <c r="G2508" s="1" t="s">
        <v>74</v>
      </c>
      <c r="H2508" s="1" t="s">
        <v>74</v>
      </c>
      <c r="I2508" s="1" t="s">
        <v>40064</v>
      </c>
      <c r="J2508" s="1" t="s">
        <v>10129</v>
      </c>
      <c r="K2508" s="1" t="s">
        <v>74</v>
      </c>
      <c r="L2508" s="1" t="s">
        <v>74</v>
      </c>
      <c r="M2508" s="1" t="s">
        <v>78</v>
      </c>
      <c r="N2508" s="1" t="s">
        <v>79</v>
      </c>
      <c r="O2508" s="1" t="s">
        <v>74</v>
      </c>
      <c r="P2508" s="1" t="s">
        <v>74</v>
      </c>
      <c r="Q2508" s="1" t="s">
        <v>74</v>
      </c>
      <c r="R2508" s="1" t="s">
        <v>74</v>
      </c>
      <c r="S2508" s="1" t="s">
        <v>74</v>
      </c>
      <c r="T2508" s="1" t="s">
        <v>40065</v>
      </c>
      <c r="U2508" s="1" t="s">
        <v>40066</v>
      </c>
      <c r="V2508" s="1" t="s">
        <v>40067</v>
      </c>
      <c r="W2508" s="1" t="s">
        <v>40068</v>
      </c>
      <c r="X2508" s="1" t="s">
        <v>40069</v>
      </c>
      <c r="Y2508" s="1" t="s">
        <v>40070</v>
      </c>
      <c r="Z2508" s="1" t="s">
        <v>40071</v>
      </c>
      <c r="AA2508" s="1" t="s">
        <v>40072</v>
      </c>
      <c r="AB2508" s="1" t="s">
        <v>40073</v>
      </c>
      <c r="AC2508" s="1" t="s">
        <v>74</v>
      </c>
      <c r="AD2508" s="1" t="s">
        <v>74</v>
      </c>
      <c r="AE2508" s="1" t="s">
        <v>74</v>
      </c>
      <c r="AF2508" s="1" t="s">
        <v>74</v>
      </c>
      <c r="AG2508" s="1">
        <v>44</v>
      </c>
      <c r="AH2508" s="1">
        <v>36</v>
      </c>
      <c r="AI2508" s="1">
        <v>42</v>
      </c>
      <c r="AJ2508" s="1">
        <v>1</v>
      </c>
      <c r="AK2508" s="1">
        <v>32</v>
      </c>
      <c r="AL2508" s="1" t="s">
        <v>3362</v>
      </c>
      <c r="AM2508" s="1" t="s">
        <v>3363</v>
      </c>
      <c r="AN2508" s="1" t="s">
        <v>3364</v>
      </c>
      <c r="AO2508" s="1" t="s">
        <v>10137</v>
      </c>
      <c r="AP2508" s="1" t="s">
        <v>10138</v>
      </c>
      <c r="AQ2508" s="1" t="s">
        <v>74</v>
      </c>
      <c r="AR2508" s="1" t="s">
        <v>10139</v>
      </c>
      <c r="AS2508" s="1" t="s">
        <v>10140</v>
      </c>
      <c r="AT2508" s="1" t="s">
        <v>1223</v>
      </c>
      <c r="AU2508" s="1">
        <v>2007</v>
      </c>
      <c r="AV2508" s="1">
        <v>103</v>
      </c>
      <c r="AW2508" s="1">
        <v>3</v>
      </c>
      <c r="AX2508" s="1" t="s">
        <v>74</v>
      </c>
      <c r="AY2508" s="1" t="s">
        <v>74</v>
      </c>
      <c r="AZ2508" s="1" t="s">
        <v>74</v>
      </c>
      <c r="BA2508" s="1" t="s">
        <v>74</v>
      </c>
      <c r="BB2508" s="1">
        <v>365</v>
      </c>
      <c r="BC2508" s="1">
        <v>374</v>
      </c>
      <c r="BD2508" s="1" t="s">
        <v>74</v>
      </c>
      <c r="BE2508" s="1" t="s">
        <v>40074</v>
      </c>
      <c r="BF2508" s="1" t="str">
        <f>HYPERLINK("http://dx.doi.org/10.1016/j.envres.2006.06.015","http://dx.doi.org/10.1016/j.envres.2006.06.015")</f>
        <v>http://dx.doi.org/10.1016/j.envres.2006.06.015</v>
      </c>
      <c r="BG2508" s="1" t="s">
        <v>74</v>
      </c>
      <c r="BH2508" s="1" t="s">
        <v>74</v>
      </c>
      <c r="BI2508" s="1">
        <v>10</v>
      </c>
      <c r="BJ2508" s="1" t="s">
        <v>10142</v>
      </c>
      <c r="BK2508" s="1" t="s">
        <v>96</v>
      </c>
      <c r="BL2508" s="1" t="s">
        <v>10143</v>
      </c>
      <c r="BM2508" s="1" t="s">
        <v>36572</v>
      </c>
      <c r="BN2508" s="1">
        <v>16930589</v>
      </c>
      <c r="BO2508" s="1" t="s">
        <v>1752</v>
      </c>
      <c r="BP2508" s="1" t="s">
        <v>74</v>
      </c>
      <c r="BQ2508" s="1" t="s">
        <v>74</v>
      </c>
      <c r="BR2508" s="1" t="s">
        <v>98</v>
      </c>
      <c r="BS2508" s="1" t="s">
        <v>40075</v>
      </c>
      <c r="BT2508" s="1" t="str">
        <f>HYPERLINK("https%3A%2F%2Fwww.webofscience.com%2Fwos%2Fwoscc%2Ffull-record%2FWOS:000244903200010","View Full Record in Web of Science")</f>
        <v>View Full Record in Web of Science</v>
      </c>
      <c r="BU2508" s="1"/>
      <c r="BV2508" s="1"/>
    </row>
    <row r="2509" spans="1:74">
      <c r="A2509" s="1" t="s">
        <v>72</v>
      </c>
      <c r="B2509" s="1" t="s">
        <v>40076</v>
      </c>
      <c r="C2509" s="1" t="s">
        <v>74</v>
      </c>
      <c r="D2509" s="1" t="s">
        <v>74</v>
      </c>
      <c r="E2509" s="1" t="s">
        <v>74</v>
      </c>
      <c r="F2509" s="1" t="s">
        <v>40077</v>
      </c>
      <c r="G2509" s="1" t="s">
        <v>74</v>
      </c>
      <c r="H2509" s="1" t="s">
        <v>74</v>
      </c>
      <c r="I2509" s="1" t="s">
        <v>40078</v>
      </c>
      <c r="J2509" s="1" t="s">
        <v>752</v>
      </c>
      <c r="K2509" s="1" t="s">
        <v>74</v>
      </c>
      <c r="L2509" s="1" t="s">
        <v>74</v>
      </c>
      <c r="M2509" s="1" t="s">
        <v>78</v>
      </c>
      <c r="N2509" s="1" t="s">
        <v>79</v>
      </c>
      <c r="O2509" s="1" t="s">
        <v>74</v>
      </c>
      <c r="P2509" s="1" t="s">
        <v>74</v>
      </c>
      <c r="Q2509" s="1" t="s">
        <v>74</v>
      </c>
      <c r="R2509" s="1" t="s">
        <v>74</v>
      </c>
      <c r="S2509" s="1" t="s">
        <v>74</v>
      </c>
      <c r="T2509" s="1" t="s">
        <v>40079</v>
      </c>
      <c r="U2509" s="1" t="s">
        <v>40080</v>
      </c>
      <c r="V2509" s="1" t="s">
        <v>40081</v>
      </c>
      <c r="W2509" s="1" t="s">
        <v>40082</v>
      </c>
      <c r="X2509" s="1" t="s">
        <v>40083</v>
      </c>
      <c r="Y2509" s="1" t="s">
        <v>40084</v>
      </c>
      <c r="Z2509" s="1" t="s">
        <v>40085</v>
      </c>
      <c r="AA2509" s="1" t="s">
        <v>40086</v>
      </c>
      <c r="AB2509" s="1" t="s">
        <v>40087</v>
      </c>
      <c r="AC2509" s="1" t="s">
        <v>40088</v>
      </c>
      <c r="AD2509" s="1" t="s">
        <v>40089</v>
      </c>
      <c r="AE2509" s="1" t="s">
        <v>40090</v>
      </c>
      <c r="AF2509" s="1" t="s">
        <v>74</v>
      </c>
      <c r="AG2509" s="1">
        <v>80</v>
      </c>
      <c r="AH2509" s="1">
        <v>2</v>
      </c>
      <c r="AI2509" s="1">
        <v>2</v>
      </c>
      <c r="AJ2509" s="1">
        <v>7</v>
      </c>
      <c r="AK2509" s="1">
        <v>18</v>
      </c>
      <c r="AL2509" s="1" t="s">
        <v>430</v>
      </c>
      <c r="AM2509" s="1" t="s">
        <v>7361</v>
      </c>
      <c r="AN2509" s="1" t="s">
        <v>7362</v>
      </c>
      <c r="AO2509" s="1" t="s">
        <v>761</v>
      </c>
      <c r="AP2509" s="1" t="s">
        <v>762</v>
      </c>
      <c r="AQ2509" s="1" t="s">
        <v>74</v>
      </c>
      <c r="AR2509" s="1" t="s">
        <v>763</v>
      </c>
      <c r="AS2509" s="1" t="s">
        <v>764</v>
      </c>
      <c r="AT2509" s="1" t="s">
        <v>951</v>
      </c>
      <c r="AU2509" s="1">
        <v>2023</v>
      </c>
      <c r="AV2509" s="1">
        <v>192</v>
      </c>
      <c r="AW2509" s="1" t="s">
        <v>74</v>
      </c>
      <c r="AX2509" s="1" t="s">
        <v>74</v>
      </c>
      <c r="AY2509" s="1" t="s">
        <v>74</v>
      </c>
      <c r="AZ2509" s="1" t="s">
        <v>74</v>
      </c>
      <c r="BA2509" s="1" t="s">
        <v>74</v>
      </c>
      <c r="BB2509" s="1" t="s">
        <v>74</v>
      </c>
      <c r="BC2509" s="1" t="s">
        <v>74</v>
      </c>
      <c r="BD2509" s="1">
        <v>106214</v>
      </c>
      <c r="BE2509" s="1" t="s">
        <v>40091</v>
      </c>
      <c r="BF2509" s="1" t="str">
        <f>HYPERLINK("http://dx.doi.org/10.1016/j.marenvres.2023.106214","http://dx.doi.org/10.1016/j.marenvres.2023.106214")</f>
        <v>http://dx.doi.org/10.1016/j.marenvres.2023.106214</v>
      </c>
      <c r="BG2509" s="1" t="s">
        <v>74</v>
      </c>
      <c r="BH2509" s="1" t="s">
        <v>7992</v>
      </c>
      <c r="BI2509" s="1">
        <v>9</v>
      </c>
      <c r="BJ2509" s="1" t="s">
        <v>768</v>
      </c>
      <c r="BK2509" s="1" t="s">
        <v>96</v>
      </c>
      <c r="BL2509" s="1" t="s">
        <v>769</v>
      </c>
      <c r="BM2509" s="1" t="s">
        <v>40092</v>
      </c>
      <c r="BN2509" s="1">
        <v>37865594</v>
      </c>
      <c r="BO2509" s="1" t="s">
        <v>74</v>
      </c>
      <c r="BP2509" s="1" t="s">
        <v>74</v>
      </c>
      <c r="BQ2509" s="1" t="s">
        <v>74</v>
      </c>
      <c r="BR2509" s="1" t="s">
        <v>98</v>
      </c>
      <c r="BS2509" s="1" t="s">
        <v>40093</v>
      </c>
      <c r="BT2509" s="1" t="str">
        <f>HYPERLINK("https%3A%2F%2Fwww.webofscience.com%2Fwos%2Fwoscc%2Ffull-record%2FWOS:001113107100001","View Full Record in Web of Science")</f>
        <v>View Full Record in Web of Science</v>
      </c>
      <c r="BU2509" s="1"/>
      <c r="BV2509" s="1"/>
    </row>
    <row r="2510" spans="1:74">
      <c r="A2510" s="1" t="s">
        <v>72</v>
      </c>
      <c r="B2510" s="1" t="s">
        <v>40094</v>
      </c>
      <c r="C2510" s="1" t="s">
        <v>74</v>
      </c>
      <c r="D2510" s="1" t="s">
        <v>74</v>
      </c>
      <c r="E2510" s="1" t="s">
        <v>74</v>
      </c>
      <c r="F2510" s="1" t="s">
        <v>40095</v>
      </c>
      <c r="G2510" s="1" t="s">
        <v>74</v>
      </c>
      <c r="H2510" s="1" t="s">
        <v>74</v>
      </c>
      <c r="I2510" s="1" t="s">
        <v>40096</v>
      </c>
      <c r="J2510" s="1" t="s">
        <v>421</v>
      </c>
      <c r="K2510" s="1" t="s">
        <v>74</v>
      </c>
      <c r="L2510" s="1" t="s">
        <v>74</v>
      </c>
      <c r="M2510" s="1" t="s">
        <v>78</v>
      </c>
      <c r="N2510" s="1" t="s">
        <v>79</v>
      </c>
      <c r="O2510" s="1" t="s">
        <v>74</v>
      </c>
      <c r="P2510" s="1" t="s">
        <v>74</v>
      </c>
      <c r="Q2510" s="1" t="s">
        <v>74</v>
      </c>
      <c r="R2510" s="1" t="s">
        <v>74</v>
      </c>
      <c r="S2510" s="1" t="s">
        <v>74</v>
      </c>
      <c r="T2510" s="1" t="s">
        <v>40097</v>
      </c>
      <c r="U2510" s="1" t="s">
        <v>40098</v>
      </c>
      <c r="V2510" s="1" t="s">
        <v>40099</v>
      </c>
      <c r="W2510" s="1" t="s">
        <v>40100</v>
      </c>
      <c r="X2510" s="1" t="s">
        <v>40101</v>
      </c>
      <c r="Y2510" s="1" t="s">
        <v>40102</v>
      </c>
      <c r="Z2510" s="1" t="s">
        <v>40103</v>
      </c>
      <c r="AA2510" s="1" t="s">
        <v>74</v>
      </c>
      <c r="AB2510" s="1" t="s">
        <v>40104</v>
      </c>
      <c r="AC2510" s="1" t="s">
        <v>40105</v>
      </c>
      <c r="AD2510" s="1" t="s">
        <v>40105</v>
      </c>
      <c r="AE2510" s="1" t="s">
        <v>40106</v>
      </c>
      <c r="AF2510" s="1" t="s">
        <v>74</v>
      </c>
      <c r="AG2510" s="1">
        <v>62</v>
      </c>
      <c r="AH2510" s="1">
        <v>15</v>
      </c>
      <c r="AI2510" s="1">
        <v>16</v>
      </c>
      <c r="AJ2510" s="1">
        <v>2</v>
      </c>
      <c r="AK2510" s="1">
        <v>32</v>
      </c>
      <c r="AL2510" s="1" t="s">
        <v>430</v>
      </c>
      <c r="AM2510" s="1" t="s">
        <v>137</v>
      </c>
      <c r="AN2510" s="1" t="s">
        <v>431</v>
      </c>
      <c r="AO2510" s="1" t="s">
        <v>432</v>
      </c>
      <c r="AP2510" s="1" t="s">
        <v>1394</v>
      </c>
      <c r="AQ2510" s="1" t="s">
        <v>74</v>
      </c>
      <c r="AR2510" s="1" t="s">
        <v>433</v>
      </c>
      <c r="AS2510" s="1" t="s">
        <v>434</v>
      </c>
      <c r="AT2510" s="1" t="s">
        <v>224</v>
      </c>
      <c r="AU2510" s="1">
        <v>2019</v>
      </c>
      <c r="AV2510" s="1">
        <v>245</v>
      </c>
      <c r="AW2510" s="1" t="s">
        <v>74</v>
      </c>
      <c r="AX2510" s="1" t="s">
        <v>74</v>
      </c>
      <c r="AY2510" s="1" t="s">
        <v>74</v>
      </c>
      <c r="AZ2510" s="1" t="s">
        <v>74</v>
      </c>
      <c r="BA2510" s="1" t="s">
        <v>74</v>
      </c>
      <c r="BB2510" s="1">
        <v>889</v>
      </c>
      <c r="BC2510" s="1">
        <v>897</v>
      </c>
      <c r="BD2510" s="1" t="s">
        <v>74</v>
      </c>
      <c r="BE2510" s="1" t="s">
        <v>40107</v>
      </c>
      <c r="BF2510" s="1" t="str">
        <f>HYPERLINK("http://dx.doi.org/10.1016/j.envpol.2018.11.079","http://dx.doi.org/10.1016/j.envpol.2018.11.079")</f>
        <v>http://dx.doi.org/10.1016/j.envpol.2018.11.079</v>
      </c>
      <c r="BG2510" s="1" t="s">
        <v>74</v>
      </c>
      <c r="BH2510" s="1" t="s">
        <v>74</v>
      </c>
      <c r="BI2510" s="1">
        <v>9</v>
      </c>
      <c r="BJ2510" s="1" t="s">
        <v>144</v>
      </c>
      <c r="BK2510" s="1" t="s">
        <v>96</v>
      </c>
      <c r="BL2510" s="1" t="s">
        <v>145</v>
      </c>
      <c r="BM2510" s="1" t="s">
        <v>40108</v>
      </c>
      <c r="BN2510" s="1">
        <v>30508792</v>
      </c>
      <c r="BO2510" s="1" t="s">
        <v>74</v>
      </c>
      <c r="BP2510" s="1" t="s">
        <v>74</v>
      </c>
      <c r="BQ2510" s="1" t="s">
        <v>74</v>
      </c>
      <c r="BR2510" s="1" t="s">
        <v>98</v>
      </c>
      <c r="BS2510" s="1" t="s">
        <v>40109</v>
      </c>
      <c r="BT2510" s="1" t="str">
        <f>HYPERLINK("https%3A%2F%2Fwww.webofscience.com%2Fwos%2Fwoscc%2Ffull-record%2FWOS:000457511900095","View Full Record in Web of Science")</f>
        <v>View Full Record in Web of Science</v>
      </c>
      <c r="BU2510" s="1"/>
      <c r="BV2510" s="1"/>
    </row>
    <row r="2511" spans="1:74">
      <c r="A2511" s="1" t="s">
        <v>72</v>
      </c>
      <c r="B2511" s="1" t="s">
        <v>40110</v>
      </c>
      <c r="C2511" s="1" t="s">
        <v>74</v>
      </c>
      <c r="D2511" s="1" t="s">
        <v>74</v>
      </c>
      <c r="E2511" s="1" t="s">
        <v>74</v>
      </c>
      <c r="F2511" s="1" t="s">
        <v>40111</v>
      </c>
      <c r="G2511" s="1" t="s">
        <v>74</v>
      </c>
      <c r="H2511" s="1" t="s">
        <v>74</v>
      </c>
      <c r="I2511" s="1" t="s">
        <v>40112</v>
      </c>
      <c r="J2511" s="1" t="s">
        <v>752</v>
      </c>
      <c r="K2511" s="1" t="s">
        <v>74</v>
      </c>
      <c r="L2511" s="1" t="s">
        <v>74</v>
      </c>
      <c r="M2511" s="1" t="s">
        <v>78</v>
      </c>
      <c r="N2511" s="1" t="s">
        <v>79</v>
      </c>
      <c r="O2511" s="1" t="s">
        <v>74</v>
      </c>
      <c r="P2511" s="1" t="s">
        <v>74</v>
      </c>
      <c r="Q2511" s="1" t="s">
        <v>74</v>
      </c>
      <c r="R2511" s="1" t="s">
        <v>74</v>
      </c>
      <c r="S2511" s="1" t="s">
        <v>74</v>
      </c>
      <c r="T2511" s="1" t="s">
        <v>40113</v>
      </c>
      <c r="U2511" s="1" t="s">
        <v>40114</v>
      </c>
      <c r="V2511" s="1" t="s">
        <v>40115</v>
      </c>
      <c r="W2511" s="1" t="s">
        <v>40116</v>
      </c>
      <c r="X2511" s="1" t="s">
        <v>40117</v>
      </c>
      <c r="Y2511" s="1" t="s">
        <v>40118</v>
      </c>
      <c r="Z2511" s="1" t="s">
        <v>40119</v>
      </c>
      <c r="AA2511" s="1" t="s">
        <v>40120</v>
      </c>
      <c r="AB2511" s="1" t="s">
        <v>40121</v>
      </c>
      <c r="AC2511" s="1" t="s">
        <v>40122</v>
      </c>
      <c r="AD2511" s="1" t="s">
        <v>40123</v>
      </c>
      <c r="AE2511" s="1" t="s">
        <v>40124</v>
      </c>
      <c r="AF2511" s="1" t="s">
        <v>74</v>
      </c>
      <c r="AG2511" s="1">
        <v>77</v>
      </c>
      <c r="AH2511" s="1">
        <v>10</v>
      </c>
      <c r="AI2511" s="1">
        <v>10</v>
      </c>
      <c r="AJ2511" s="1">
        <v>1</v>
      </c>
      <c r="AK2511" s="1">
        <v>79</v>
      </c>
      <c r="AL2511" s="1" t="s">
        <v>430</v>
      </c>
      <c r="AM2511" s="1" t="s">
        <v>137</v>
      </c>
      <c r="AN2511" s="1" t="s">
        <v>431</v>
      </c>
      <c r="AO2511" s="1" t="s">
        <v>761</v>
      </c>
      <c r="AP2511" s="1" t="s">
        <v>762</v>
      </c>
      <c r="AQ2511" s="1" t="s">
        <v>74</v>
      </c>
      <c r="AR2511" s="1" t="s">
        <v>763</v>
      </c>
      <c r="AS2511" s="1" t="s">
        <v>764</v>
      </c>
      <c r="AT2511" s="1" t="s">
        <v>224</v>
      </c>
      <c r="AU2511" s="1">
        <v>2013</v>
      </c>
      <c r="AV2511" s="1">
        <v>83</v>
      </c>
      <c r="AW2511" s="1" t="s">
        <v>74</v>
      </c>
      <c r="AX2511" s="1" t="s">
        <v>74</v>
      </c>
      <c r="AY2511" s="1" t="s">
        <v>74</v>
      </c>
      <c r="AZ2511" s="1" t="s">
        <v>74</v>
      </c>
      <c r="BA2511" s="1" t="s">
        <v>74</v>
      </c>
      <c r="BB2511" s="1">
        <v>29</v>
      </c>
      <c r="BC2511" s="1">
        <v>37</v>
      </c>
      <c r="BD2511" s="1" t="s">
        <v>74</v>
      </c>
      <c r="BE2511" s="1" t="s">
        <v>40125</v>
      </c>
      <c r="BF2511" s="1" t="str">
        <f>HYPERLINK("http://dx.doi.org/10.1016/j.marenvres.2012.10.006","http://dx.doi.org/10.1016/j.marenvres.2012.10.006")</f>
        <v>http://dx.doi.org/10.1016/j.marenvres.2012.10.006</v>
      </c>
      <c r="BG2511" s="1" t="s">
        <v>74</v>
      </c>
      <c r="BH2511" s="1" t="s">
        <v>74</v>
      </c>
      <c r="BI2511" s="1">
        <v>9</v>
      </c>
      <c r="BJ2511" s="1" t="s">
        <v>768</v>
      </c>
      <c r="BK2511" s="1" t="s">
        <v>96</v>
      </c>
      <c r="BL2511" s="1" t="s">
        <v>769</v>
      </c>
      <c r="BM2511" s="1" t="s">
        <v>40126</v>
      </c>
      <c r="BN2511" s="1">
        <v>23168358</v>
      </c>
      <c r="BO2511" s="1" t="s">
        <v>1752</v>
      </c>
      <c r="BP2511" s="1" t="s">
        <v>74</v>
      </c>
      <c r="BQ2511" s="1" t="s">
        <v>74</v>
      </c>
      <c r="BR2511" s="1" t="s">
        <v>98</v>
      </c>
      <c r="BS2511" s="1" t="s">
        <v>40127</v>
      </c>
      <c r="BT2511" s="1" t="str">
        <f>HYPERLINK("https%3A%2F%2Fwww.webofscience.com%2Fwos%2Fwoscc%2Ffull-record%2FWOS:000314198900005","View Full Record in Web of Science")</f>
        <v>View Full Record in Web of Science</v>
      </c>
      <c r="BU2511" s="1"/>
      <c r="BV2511" s="1"/>
    </row>
    <row r="2512" spans="1:74">
      <c r="A2512" s="1" t="s">
        <v>72</v>
      </c>
      <c r="B2512" s="1" t="s">
        <v>40128</v>
      </c>
      <c r="C2512" s="1" t="s">
        <v>74</v>
      </c>
      <c r="D2512" s="1" t="s">
        <v>74</v>
      </c>
      <c r="E2512" s="1" t="s">
        <v>74</v>
      </c>
      <c r="F2512" s="1" t="s">
        <v>40129</v>
      </c>
      <c r="G2512" s="1" t="s">
        <v>74</v>
      </c>
      <c r="H2512" s="1" t="s">
        <v>74</v>
      </c>
      <c r="I2512" s="1" t="s">
        <v>40130</v>
      </c>
      <c r="J2512" s="1" t="s">
        <v>204</v>
      </c>
      <c r="K2512" s="1" t="s">
        <v>74</v>
      </c>
      <c r="L2512" s="1" t="s">
        <v>74</v>
      </c>
      <c r="M2512" s="1" t="s">
        <v>78</v>
      </c>
      <c r="N2512" s="1" t="s">
        <v>79</v>
      </c>
      <c r="O2512" s="1" t="s">
        <v>74</v>
      </c>
      <c r="P2512" s="1" t="s">
        <v>74</v>
      </c>
      <c r="Q2512" s="1" t="s">
        <v>74</v>
      </c>
      <c r="R2512" s="1" t="s">
        <v>74</v>
      </c>
      <c r="S2512" s="1" t="s">
        <v>74</v>
      </c>
      <c r="T2512" s="1" t="s">
        <v>40131</v>
      </c>
      <c r="U2512" s="1" t="s">
        <v>40132</v>
      </c>
      <c r="V2512" s="1" t="s">
        <v>40133</v>
      </c>
      <c r="W2512" s="1" t="s">
        <v>40134</v>
      </c>
      <c r="X2512" s="1" t="s">
        <v>40135</v>
      </c>
      <c r="Y2512" s="1" t="s">
        <v>40136</v>
      </c>
      <c r="Z2512" s="1" t="s">
        <v>40137</v>
      </c>
      <c r="AA2512" s="1" t="s">
        <v>74</v>
      </c>
      <c r="AB2512" s="1" t="s">
        <v>40138</v>
      </c>
      <c r="AC2512" s="1" t="s">
        <v>74</v>
      </c>
      <c r="AD2512" s="1" t="s">
        <v>74</v>
      </c>
      <c r="AE2512" s="1" t="s">
        <v>74</v>
      </c>
      <c r="AF2512" s="1" t="s">
        <v>74</v>
      </c>
      <c r="AG2512" s="1">
        <v>95</v>
      </c>
      <c r="AH2512" s="1">
        <v>5</v>
      </c>
      <c r="AI2512" s="1">
        <v>5</v>
      </c>
      <c r="AJ2512" s="1">
        <v>0</v>
      </c>
      <c r="AK2512" s="1">
        <v>22</v>
      </c>
      <c r="AL2512" s="1" t="s">
        <v>217</v>
      </c>
      <c r="AM2512" s="1" t="s">
        <v>218</v>
      </c>
      <c r="AN2512" s="1" t="s">
        <v>219</v>
      </c>
      <c r="AO2512" s="1" t="s">
        <v>220</v>
      </c>
      <c r="AP2512" s="1" t="s">
        <v>221</v>
      </c>
      <c r="AQ2512" s="1" t="s">
        <v>74</v>
      </c>
      <c r="AR2512" s="1" t="s">
        <v>222</v>
      </c>
      <c r="AS2512" s="1" t="s">
        <v>223</v>
      </c>
      <c r="AT2512" s="1" t="s">
        <v>197</v>
      </c>
      <c r="AU2512" s="1">
        <v>2015</v>
      </c>
      <c r="AV2512" s="1">
        <v>22</v>
      </c>
      <c r="AW2512" s="1">
        <v>24</v>
      </c>
      <c r="AX2512" s="1" t="s">
        <v>74</v>
      </c>
      <c r="AY2512" s="1" t="s">
        <v>74</v>
      </c>
      <c r="AZ2512" s="1" t="s">
        <v>74</v>
      </c>
      <c r="BA2512" s="1" t="s">
        <v>74</v>
      </c>
      <c r="BB2512" s="1">
        <v>19716</v>
      </c>
      <c r="BC2512" s="1">
        <v>19728</v>
      </c>
      <c r="BD2512" s="1" t="s">
        <v>74</v>
      </c>
      <c r="BE2512" s="1" t="s">
        <v>40139</v>
      </c>
      <c r="BF2512" s="1" t="str">
        <f>HYPERLINK("http://dx.doi.org/10.1007/s11356-015-5199-7","http://dx.doi.org/10.1007/s11356-015-5199-7")</f>
        <v>http://dx.doi.org/10.1007/s11356-015-5199-7</v>
      </c>
      <c r="BG2512" s="1" t="s">
        <v>74</v>
      </c>
      <c r="BH2512" s="1" t="s">
        <v>74</v>
      </c>
      <c r="BI2512" s="1">
        <v>13</v>
      </c>
      <c r="BJ2512" s="1" t="s">
        <v>144</v>
      </c>
      <c r="BK2512" s="1" t="s">
        <v>96</v>
      </c>
      <c r="BL2512" s="1" t="s">
        <v>145</v>
      </c>
      <c r="BM2512" s="1" t="s">
        <v>40140</v>
      </c>
      <c r="BN2512" s="1">
        <v>26278908</v>
      </c>
      <c r="BO2512" s="1" t="s">
        <v>74</v>
      </c>
      <c r="BP2512" s="1" t="s">
        <v>74</v>
      </c>
      <c r="BQ2512" s="1" t="s">
        <v>74</v>
      </c>
      <c r="BR2512" s="1" t="s">
        <v>98</v>
      </c>
      <c r="BS2512" s="1" t="s">
        <v>40141</v>
      </c>
      <c r="BT2512" s="1" t="str">
        <f>HYPERLINK("https%3A%2F%2Fwww.webofscience.com%2Fwos%2Fwoscc%2Ffull-record%2FWOS:000366637300039","View Full Record in Web of Science")</f>
        <v>View Full Record in Web of Science</v>
      </c>
      <c r="BU2512" s="1"/>
      <c r="BV2512" s="1"/>
    </row>
    <row r="2513" spans="1:74">
      <c r="A2513" s="1" t="s">
        <v>72</v>
      </c>
      <c r="B2513" s="1" t="s">
        <v>40142</v>
      </c>
      <c r="C2513" s="1" t="s">
        <v>74</v>
      </c>
      <c r="D2513" s="1" t="s">
        <v>74</v>
      </c>
      <c r="E2513" s="1" t="s">
        <v>74</v>
      </c>
      <c r="F2513" s="1" t="s">
        <v>40143</v>
      </c>
      <c r="G2513" s="1" t="s">
        <v>74</v>
      </c>
      <c r="H2513" s="1" t="s">
        <v>74</v>
      </c>
      <c r="I2513" s="1" t="s">
        <v>40144</v>
      </c>
      <c r="J2513" s="1" t="s">
        <v>909</v>
      </c>
      <c r="K2513" s="1" t="s">
        <v>74</v>
      </c>
      <c r="L2513" s="1" t="s">
        <v>74</v>
      </c>
      <c r="M2513" s="1" t="s">
        <v>78</v>
      </c>
      <c r="N2513" s="1" t="s">
        <v>79</v>
      </c>
      <c r="O2513" s="1" t="s">
        <v>74</v>
      </c>
      <c r="P2513" s="1" t="s">
        <v>74</v>
      </c>
      <c r="Q2513" s="1" t="s">
        <v>74</v>
      </c>
      <c r="R2513" s="1" t="s">
        <v>74</v>
      </c>
      <c r="S2513" s="1" t="s">
        <v>74</v>
      </c>
      <c r="T2513" s="1" t="s">
        <v>40145</v>
      </c>
      <c r="U2513" s="1" t="s">
        <v>40146</v>
      </c>
      <c r="V2513" s="1" t="s">
        <v>40147</v>
      </c>
      <c r="W2513" s="1" t="s">
        <v>40148</v>
      </c>
      <c r="X2513" s="1" t="s">
        <v>40149</v>
      </c>
      <c r="Y2513" s="1" t="s">
        <v>35488</v>
      </c>
      <c r="Z2513" s="1" t="s">
        <v>29387</v>
      </c>
      <c r="AA2513" s="1" t="s">
        <v>40150</v>
      </c>
      <c r="AB2513" s="1" t="s">
        <v>40151</v>
      </c>
      <c r="AC2513" s="1" t="s">
        <v>40152</v>
      </c>
      <c r="AD2513" s="1" t="s">
        <v>40153</v>
      </c>
      <c r="AE2513" s="1" t="s">
        <v>40154</v>
      </c>
      <c r="AF2513" s="1" t="s">
        <v>74</v>
      </c>
      <c r="AG2513" s="1">
        <v>76</v>
      </c>
      <c r="AH2513" s="1">
        <v>37</v>
      </c>
      <c r="AI2513" s="1">
        <v>39</v>
      </c>
      <c r="AJ2513" s="1">
        <v>1</v>
      </c>
      <c r="AK2513" s="1">
        <v>49</v>
      </c>
      <c r="AL2513" s="1" t="s">
        <v>919</v>
      </c>
      <c r="AM2513" s="1" t="s">
        <v>651</v>
      </c>
      <c r="AN2513" s="1" t="s">
        <v>920</v>
      </c>
      <c r="AO2513" s="1" t="s">
        <v>921</v>
      </c>
      <c r="AP2513" s="1" t="s">
        <v>922</v>
      </c>
      <c r="AQ2513" s="1" t="s">
        <v>74</v>
      </c>
      <c r="AR2513" s="1" t="s">
        <v>923</v>
      </c>
      <c r="AS2513" s="1" t="s">
        <v>924</v>
      </c>
      <c r="AT2513" s="1" t="s">
        <v>10334</v>
      </c>
      <c r="AU2513" s="1">
        <v>2015</v>
      </c>
      <c r="AV2513" s="1">
        <v>514</v>
      </c>
      <c r="AW2513" s="1" t="s">
        <v>74</v>
      </c>
      <c r="AX2513" s="1" t="s">
        <v>74</v>
      </c>
      <c r="AY2513" s="1" t="s">
        <v>74</v>
      </c>
      <c r="AZ2513" s="1" t="s">
        <v>74</v>
      </c>
      <c r="BA2513" s="1" t="s">
        <v>74</v>
      </c>
      <c r="BB2513" s="1">
        <v>511</v>
      </c>
      <c r="BC2513" s="1">
        <v>522</v>
      </c>
      <c r="BD2513" s="1" t="s">
        <v>74</v>
      </c>
      <c r="BE2513" s="1" t="s">
        <v>40155</v>
      </c>
      <c r="BF2513" s="1" t="str">
        <f>HYPERLINK("http://dx.doi.org/10.1016/j.scitotenv.2014.10.050","http://dx.doi.org/10.1016/j.scitotenv.2014.10.050")</f>
        <v>http://dx.doi.org/10.1016/j.scitotenv.2014.10.050</v>
      </c>
      <c r="BG2513" s="1" t="s">
        <v>74</v>
      </c>
      <c r="BH2513" s="1" t="s">
        <v>74</v>
      </c>
      <c r="BI2513" s="1">
        <v>12</v>
      </c>
      <c r="BJ2513" s="1" t="s">
        <v>144</v>
      </c>
      <c r="BK2513" s="1" t="s">
        <v>96</v>
      </c>
      <c r="BL2513" s="1" t="s">
        <v>145</v>
      </c>
      <c r="BM2513" s="1" t="s">
        <v>35495</v>
      </c>
      <c r="BN2513" s="1">
        <v>25666833</v>
      </c>
      <c r="BO2513" s="1" t="s">
        <v>810</v>
      </c>
      <c r="BP2513" s="1" t="s">
        <v>74</v>
      </c>
      <c r="BQ2513" s="1" t="s">
        <v>74</v>
      </c>
      <c r="BR2513" s="1" t="s">
        <v>98</v>
      </c>
      <c r="BS2513" s="1" t="s">
        <v>40156</v>
      </c>
      <c r="BT2513" s="1" t="str">
        <f>HYPERLINK("https%3A%2F%2Fwww.webofscience.com%2Fwos%2Fwoscc%2Ffull-record%2FWOS:000352039500054","View Full Record in Web of Science")</f>
        <v>View Full Record in Web of Science</v>
      </c>
      <c r="BU2513" s="1"/>
      <c r="BV2513" s="1"/>
    </row>
    <row r="2514" spans="1:74">
      <c r="A2514" s="1" t="s">
        <v>72</v>
      </c>
      <c r="B2514" s="1" t="s">
        <v>40157</v>
      </c>
      <c r="C2514" s="1" t="s">
        <v>74</v>
      </c>
      <c r="D2514" s="1" t="s">
        <v>74</v>
      </c>
      <c r="E2514" s="1" t="s">
        <v>74</v>
      </c>
      <c r="F2514" s="1" t="s">
        <v>40158</v>
      </c>
      <c r="G2514" s="1" t="s">
        <v>74</v>
      </c>
      <c r="H2514" s="1" t="s">
        <v>74</v>
      </c>
      <c r="I2514" s="1" t="s">
        <v>40159</v>
      </c>
      <c r="J2514" s="1" t="s">
        <v>421</v>
      </c>
      <c r="K2514" s="1" t="s">
        <v>74</v>
      </c>
      <c r="L2514" s="1" t="s">
        <v>74</v>
      </c>
      <c r="M2514" s="1" t="s">
        <v>78</v>
      </c>
      <c r="N2514" s="1" t="s">
        <v>79</v>
      </c>
      <c r="O2514" s="1" t="s">
        <v>74</v>
      </c>
      <c r="P2514" s="1" t="s">
        <v>74</v>
      </c>
      <c r="Q2514" s="1" t="s">
        <v>74</v>
      </c>
      <c r="R2514" s="1" t="s">
        <v>74</v>
      </c>
      <c r="S2514" s="1" t="s">
        <v>74</v>
      </c>
      <c r="T2514" s="1" t="s">
        <v>40160</v>
      </c>
      <c r="U2514" s="1" t="s">
        <v>40161</v>
      </c>
      <c r="V2514" s="1" t="s">
        <v>40162</v>
      </c>
      <c r="W2514" s="1" t="s">
        <v>40163</v>
      </c>
      <c r="X2514" s="1" t="s">
        <v>40164</v>
      </c>
      <c r="Y2514" s="1" t="s">
        <v>40165</v>
      </c>
      <c r="Z2514" s="1" t="s">
        <v>40166</v>
      </c>
      <c r="AA2514" s="1" t="s">
        <v>40167</v>
      </c>
      <c r="AB2514" s="1" t="s">
        <v>40168</v>
      </c>
      <c r="AC2514" s="1" t="s">
        <v>40169</v>
      </c>
      <c r="AD2514" s="1" t="s">
        <v>40169</v>
      </c>
      <c r="AE2514" s="1" t="s">
        <v>40170</v>
      </c>
      <c r="AF2514" s="1" t="s">
        <v>74</v>
      </c>
      <c r="AG2514" s="1">
        <v>50</v>
      </c>
      <c r="AH2514" s="1">
        <v>41</v>
      </c>
      <c r="AI2514" s="1">
        <v>49</v>
      </c>
      <c r="AJ2514" s="1">
        <v>0</v>
      </c>
      <c r="AK2514" s="1">
        <v>26</v>
      </c>
      <c r="AL2514" s="1" t="s">
        <v>430</v>
      </c>
      <c r="AM2514" s="1" t="s">
        <v>137</v>
      </c>
      <c r="AN2514" s="1" t="s">
        <v>431</v>
      </c>
      <c r="AO2514" s="1" t="s">
        <v>432</v>
      </c>
      <c r="AP2514" s="1" t="s">
        <v>1394</v>
      </c>
      <c r="AQ2514" s="1" t="s">
        <v>74</v>
      </c>
      <c r="AR2514" s="1" t="s">
        <v>433</v>
      </c>
      <c r="AS2514" s="1" t="s">
        <v>434</v>
      </c>
      <c r="AT2514" s="1" t="s">
        <v>142</v>
      </c>
      <c r="AU2514" s="1">
        <v>2009</v>
      </c>
      <c r="AV2514" s="1">
        <v>157</v>
      </c>
      <c r="AW2514" s="1">
        <v>6</v>
      </c>
      <c r="AX2514" s="1" t="s">
        <v>74</v>
      </c>
      <c r="AY2514" s="1" t="s">
        <v>74</v>
      </c>
      <c r="AZ2514" s="1" t="s">
        <v>74</v>
      </c>
      <c r="BA2514" s="1" t="s">
        <v>74</v>
      </c>
      <c r="BB2514" s="1">
        <v>1939</v>
      </c>
      <c r="BC2514" s="1">
        <v>1944</v>
      </c>
      <c r="BD2514" s="1" t="s">
        <v>74</v>
      </c>
      <c r="BE2514" s="1" t="s">
        <v>40171</v>
      </c>
      <c r="BF2514" s="1" t="str">
        <f>HYPERLINK("http://dx.doi.org/10.1016/j.envpol.2008.12.031","http://dx.doi.org/10.1016/j.envpol.2008.12.031")</f>
        <v>http://dx.doi.org/10.1016/j.envpol.2008.12.031</v>
      </c>
      <c r="BG2514" s="1" t="s">
        <v>74</v>
      </c>
      <c r="BH2514" s="1" t="s">
        <v>74</v>
      </c>
      <c r="BI2514" s="1">
        <v>6</v>
      </c>
      <c r="BJ2514" s="1" t="s">
        <v>144</v>
      </c>
      <c r="BK2514" s="1" t="s">
        <v>96</v>
      </c>
      <c r="BL2514" s="1" t="s">
        <v>145</v>
      </c>
      <c r="BM2514" s="1" t="s">
        <v>40172</v>
      </c>
      <c r="BN2514" s="1">
        <v>19217195</v>
      </c>
      <c r="BO2514" s="1" t="s">
        <v>74</v>
      </c>
      <c r="BP2514" s="1" t="s">
        <v>74</v>
      </c>
      <c r="BQ2514" s="1" t="s">
        <v>74</v>
      </c>
      <c r="BR2514" s="1" t="s">
        <v>98</v>
      </c>
      <c r="BS2514" s="1" t="s">
        <v>40173</v>
      </c>
      <c r="BT2514" s="1" t="str">
        <f>HYPERLINK("https%3A%2F%2Fwww.webofscience.com%2Fwos%2Fwoscc%2Ffull-record%2FWOS:000266191200029","View Full Record in Web of Science")</f>
        <v>View Full Record in Web of Science</v>
      </c>
      <c r="BU2514" s="1"/>
      <c r="BV2514" s="1"/>
    </row>
    <row r="2515" spans="1:74">
      <c r="A2515" s="1" t="s">
        <v>72</v>
      </c>
      <c r="B2515" s="1" t="s">
        <v>40174</v>
      </c>
      <c r="C2515" s="1" t="s">
        <v>74</v>
      </c>
      <c r="D2515" s="1" t="s">
        <v>74</v>
      </c>
      <c r="E2515" s="1" t="s">
        <v>74</v>
      </c>
      <c r="F2515" s="1" t="s">
        <v>40175</v>
      </c>
      <c r="G2515" s="1" t="s">
        <v>74</v>
      </c>
      <c r="H2515" s="1" t="s">
        <v>74</v>
      </c>
      <c r="I2515" s="1" t="s">
        <v>40176</v>
      </c>
      <c r="J2515" s="1" t="s">
        <v>232</v>
      </c>
      <c r="K2515" s="1" t="s">
        <v>74</v>
      </c>
      <c r="L2515" s="1" t="s">
        <v>74</v>
      </c>
      <c r="M2515" s="1" t="s">
        <v>78</v>
      </c>
      <c r="N2515" s="1" t="s">
        <v>79</v>
      </c>
      <c r="O2515" s="1" t="s">
        <v>74</v>
      </c>
      <c r="P2515" s="1" t="s">
        <v>74</v>
      </c>
      <c r="Q2515" s="1" t="s">
        <v>74</v>
      </c>
      <c r="R2515" s="1" t="s">
        <v>74</v>
      </c>
      <c r="S2515" s="1" t="s">
        <v>74</v>
      </c>
      <c r="T2515" s="1" t="s">
        <v>40177</v>
      </c>
      <c r="U2515" s="1" t="s">
        <v>40178</v>
      </c>
      <c r="V2515" s="1" t="s">
        <v>40179</v>
      </c>
      <c r="W2515" s="1" t="s">
        <v>40180</v>
      </c>
      <c r="X2515" s="1" t="s">
        <v>40181</v>
      </c>
      <c r="Y2515" s="1" t="s">
        <v>40182</v>
      </c>
      <c r="Z2515" s="1" t="s">
        <v>40183</v>
      </c>
      <c r="AA2515" s="1" t="s">
        <v>40184</v>
      </c>
      <c r="AB2515" s="1" t="s">
        <v>40185</v>
      </c>
      <c r="AC2515" s="1" t="s">
        <v>40186</v>
      </c>
      <c r="AD2515" s="1" t="s">
        <v>40187</v>
      </c>
      <c r="AE2515" s="1" t="s">
        <v>40188</v>
      </c>
      <c r="AF2515" s="1" t="s">
        <v>74</v>
      </c>
      <c r="AG2515" s="1">
        <v>67</v>
      </c>
      <c r="AH2515" s="1">
        <v>10</v>
      </c>
      <c r="AI2515" s="1">
        <v>10</v>
      </c>
      <c r="AJ2515" s="1">
        <v>1</v>
      </c>
      <c r="AK2515" s="1">
        <v>21</v>
      </c>
      <c r="AL2515" s="1" t="s">
        <v>136</v>
      </c>
      <c r="AM2515" s="1" t="s">
        <v>137</v>
      </c>
      <c r="AN2515" s="1" t="s">
        <v>138</v>
      </c>
      <c r="AO2515" s="1" t="s">
        <v>240</v>
      </c>
      <c r="AP2515" s="1" t="s">
        <v>241</v>
      </c>
      <c r="AQ2515" s="1" t="s">
        <v>74</v>
      </c>
      <c r="AR2515" s="1" t="s">
        <v>242</v>
      </c>
      <c r="AS2515" s="1" t="s">
        <v>243</v>
      </c>
      <c r="AT2515" s="1" t="s">
        <v>1470</v>
      </c>
      <c r="AU2515" s="1">
        <v>2022</v>
      </c>
      <c r="AV2515" s="1">
        <v>174</v>
      </c>
      <c r="AW2515" s="1" t="s">
        <v>74</v>
      </c>
      <c r="AX2515" s="1" t="s">
        <v>74</v>
      </c>
      <c r="AY2515" s="1" t="s">
        <v>74</v>
      </c>
      <c r="AZ2515" s="1" t="s">
        <v>74</v>
      </c>
      <c r="BA2515" s="1" t="s">
        <v>74</v>
      </c>
      <c r="BB2515" s="1" t="s">
        <v>74</v>
      </c>
      <c r="BC2515" s="1" t="s">
        <v>74</v>
      </c>
      <c r="BD2515" s="1">
        <v>113241</v>
      </c>
      <c r="BE2515" s="1" t="s">
        <v>40189</v>
      </c>
      <c r="BF2515" s="1" t="str">
        <f>HYPERLINK("http://dx.doi.org/10.1016/j.marpolbul.2021.113241","http://dx.doi.org/10.1016/j.marpolbul.2021.113241")</f>
        <v>http://dx.doi.org/10.1016/j.marpolbul.2021.113241</v>
      </c>
      <c r="BG2515" s="1" t="s">
        <v>74</v>
      </c>
      <c r="BH2515" s="1" t="s">
        <v>4701</v>
      </c>
      <c r="BI2515" s="1">
        <v>11</v>
      </c>
      <c r="BJ2515" s="1" t="s">
        <v>247</v>
      </c>
      <c r="BK2515" s="1" t="s">
        <v>96</v>
      </c>
      <c r="BL2515" s="1" t="s">
        <v>248</v>
      </c>
      <c r="BM2515" s="1" t="s">
        <v>40190</v>
      </c>
      <c r="BN2515" s="1">
        <v>34923405</v>
      </c>
      <c r="BO2515" s="1" t="s">
        <v>74</v>
      </c>
      <c r="BP2515" s="1" t="s">
        <v>74</v>
      </c>
      <c r="BQ2515" s="1" t="s">
        <v>74</v>
      </c>
      <c r="BR2515" s="1" t="s">
        <v>98</v>
      </c>
      <c r="BS2515" s="1" t="s">
        <v>40191</v>
      </c>
      <c r="BT2515" s="1" t="str">
        <f>HYPERLINK("https%3A%2F%2Fwww.webofscience.com%2Fwos%2Fwoscc%2Ffull-record%2FWOS:000737215300009","View Full Record in Web of Science")</f>
        <v>View Full Record in Web of Science</v>
      </c>
      <c r="BU2515" s="1"/>
      <c r="BV2515" s="1"/>
    </row>
    <row r="2516" spans="1:74">
      <c r="A2516" s="1" t="s">
        <v>72</v>
      </c>
      <c r="B2516" s="1" t="s">
        <v>40192</v>
      </c>
      <c r="C2516" s="1" t="s">
        <v>74</v>
      </c>
      <c r="D2516" s="1" t="s">
        <v>74</v>
      </c>
      <c r="E2516" s="1" t="s">
        <v>74</v>
      </c>
      <c r="F2516" s="1" t="s">
        <v>40193</v>
      </c>
      <c r="G2516" s="1" t="s">
        <v>74</v>
      </c>
      <c r="H2516" s="1" t="s">
        <v>74</v>
      </c>
      <c r="I2516" s="1" t="s">
        <v>40194</v>
      </c>
      <c r="J2516" s="1" t="s">
        <v>1948</v>
      </c>
      <c r="K2516" s="1" t="s">
        <v>74</v>
      </c>
      <c r="L2516" s="1" t="s">
        <v>74</v>
      </c>
      <c r="M2516" s="1" t="s">
        <v>78</v>
      </c>
      <c r="N2516" s="1" t="s">
        <v>79</v>
      </c>
      <c r="O2516" s="1" t="s">
        <v>74</v>
      </c>
      <c r="P2516" s="1" t="s">
        <v>74</v>
      </c>
      <c r="Q2516" s="1" t="s">
        <v>74</v>
      </c>
      <c r="R2516" s="1" t="s">
        <v>74</v>
      </c>
      <c r="S2516" s="1" t="s">
        <v>74</v>
      </c>
      <c r="T2516" s="1" t="s">
        <v>40195</v>
      </c>
      <c r="U2516" s="1" t="s">
        <v>40196</v>
      </c>
      <c r="V2516" s="1" t="s">
        <v>40197</v>
      </c>
      <c r="W2516" s="1" t="s">
        <v>40198</v>
      </c>
      <c r="X2516" s="1" t="s">
        <v>40199</v>
      </c>
      <c r="Y2516" s="1" t="s">
        <v>40200</v>
      </c>
      <c r="Z2516" s="1" t="s">
        <v>40201</v>
      </c>
      <c r="AA2516" s="1" t="s">
        <v>40202</v>
      </c>
      <c r="AB2516" s="1" t="s">
        <v>74</v>
      </c>
      <c r="AC2516" s="1" t="s">
        <v>40203</v>
      </c>
      <c r="AD2516" s="1" t="s">
        <v>40204</v>
      </c>
      <c r="AE2516" s="1" t="s">
        <v>40205</v>
      </c>
      <c r="AF2516" s="1" t="s">
        <v>74</v>
      </c>
      <c r="AG2516" s="1">
        <v>29</v>
      </c>
      <c r="AH2516" s="1">
        <v>97</v>
      </c>
      <c r="AI2516" s="1">
        <v>103</v>
      </c>
      <c r="AJ2516" s="1">
        <v>8</v>
      </c>
      <c r="AK2516" s="1">
        <v>58</v>
      </c>
      <c r="AL2516" s="1" t="s">
        <v>430</v>
      </c>
      <c r="AM2516" s="1" t="s">
        <v>137</v>
      </c>
      <c r="AN2516" s="1" t="s">
        <v>431</v>
      </c>
      <c r="AO2516" s="1" t="s">
        <v>1961</v>
      </c>
      <c r="AP2516" s="1" t="s">
        <v>1962</v>
      </c>
      <c r="AQ2516" s="1" t="s">
        <v>74</v>
      </c>
      <c r="AR2516" s="1" t="s">
        <v>1963</v>
      </c>
      <c r="AS2516" s="1" t="s">
        <v>1964</v>
      </c>
      <c r="AT2516" s="1" t="s">
        <v>4761</v>
      </c>
      <c r="AU2516" s="1">
        <v>2015</v>
      </c>
      <c r="AV2516" s="1">
        <v>91</v>
      </c>
      <c r="AW2516" s="1" t="s">
        <v>74</v>
      </c>
      <c r="AX2516" s="1" t="s">
        <v>74</v>
      </c>
      <c r="AY2516" s="1" t="s">
        <v>74</v>
      </c>
      <c r="AZ2516" s="1" t="s">
        <v>74</v>
      </c>
      <c r="BA2516" s="1" t="s">
        <v>74</v>
      </c>
      <c r="BB2516" s="1">
        <v>279</v>
      </c>
      <c r="BC2516" s="1">
        <v>287</v>
      </c>
      <c r="BD2516" s="1" t="s">
        <v>74</v>
      </c>
      <c r="BE2516" s="1" t="s">
        <v>40206</v>
      </c>
      <c r="BF2516" s="1" t="str">
        <f>HYPERLINK("http://dx.doi.org/10.1016/j.jclepro.2014.12.023","http://dx.doi.org/10.1016/j.jclepro.2014.12.023")</f>
        <v>http://dx.doi.org/10.1016/j.jclepro.2014.12.023</v>
      </c>
      <c r="BG2516" s="1" t="s">
        <v>74</v>
      </c>
      <c r="BH2516" s="1" t="s">
        <v>74</v>
      </c>
      <c r="BI2516" s="1">
        <v>9</v>
      </c>
      <c r="BJ2516" s="1" t="s">
        <v>1967</v>
      </c>
      <c r="BK2516" s="1" t="s">
        <v>96</v>
      </c>
      <c r="BL2516" s="1" t="s">
        <v>1968</v>
      </c>
      <c r="BM2516" s="1" t="s">
        <v>40207</v>
      </c>
      <c r="BN2516" s="1" t="s">
        <v>74</v>
      </c>
      <c r="BO2516" s="1" t="s">
        <v>74</v>
      </c>
      <c r="BP2516" s="1" t="s">
        <v>74</v>
      </c>
      <c r="BQ2516" s="1" t="s">
        <v>74</v>
      </c>
      <c r="BR2516" s="1" t="s">
        <v>98</v>
      </c>
      <c r="BS2516" s="1" t="s">
        <v>40208</v>
      </c>
      <c r="BT2516" s="1" t="str">
        <f>HYPERLINK("https%3A%2F%2Fwww.webofscience.com%2Fwos%2Fwoscc%2Ffull-record%2FWOS:000350940400032","View Full Record in Web of Science")</f>
        <v>View Full Record in Web of Science</v>
      </c>
      <c r="BU2516" s="1"/>
      <c r="BV2516" s="1"/>
    </row>
    <row r="2517" spans="1:74">
      <c r="A2517" s="1" t="s">
        <v>72</v>
      </c>
      <c r="B2517" s="1" t="s">
        <v>40209</v>
      </c>
      <c r="C2517" s="1" t="s">
        <v>74</v>
      </c>
      <c r="D2517" s="1" t="s">
        <v>74</v>
      </c>
      <c r="E2517" s="1" t="s">
        <v>74</v>
      </c>
      <c r="F2517" s="1" t="s">
        <v>40210</v>
      </c>
      <c r="G2517" s="1" t="s">
        <v>74</v>
      </c>
      <c r="H2517" s="1" t="s">
        <v>74</v>
      </c>
      <c r="I2517" s="1" t="s">
        <v>40211</v>
      </c>
      <c r="J2517" s="1" t="s">
        <v>40212</v>
      </c>
      <c r="K2517" s="1" t="s">
        <v>74</v>
      </c>
      <c r="L2517" s="1" t="s">
        <v>74</v>
      </c>
      <c r="M2517" s="1" t="s">
        <v>78</v>
      </c>
      <c r="N2517" s="1" t="s">
        <v>79</v>
      </c>
      <c r="O2517" s="1" t="s">
        <v>74</v>
      </c>
      <c r="P2517" s="1" t="s">
        <v>74</v>
      </c>
      <c r="Q2517" s="1" t="s">
        <v>74</v>
      </c>
      <c r="R2517" s="1" t="s">
        <v>74</v>
      </c>
      <c r="S2517" s="1" t="s">
        <v>74</v>
      </c>
      <c r="T2517" s="1" t="s">
        <v>40213</v>
      </c>
      <c r="U2517" s="1" t="s">
        <v>40214</v>
      </c>
      <c r="V2517" s="1" t="s">
        <v>40215</v>
      </c>
      <c r="W2517" s="1" t="s">
        <v>40216</v>
      </c>
      <c r="X2517" s="1" t="s">
        <v>40217</v>
      </c>
      <c r="Y2517" s="1" t="s">
        <v>40218</v>
      </c>
      <c r="Z2517" s="1" t="s">
        <v>40219</v>
      </c>
      <c r="AA2517" s="1" t="s">
        <v>40220</v>
      </c>
      <c r="AB2517" s="1" t="s">
        <v>74</v>
      </c>
      <c r="AC2517" s="1" t="s">
        <v>74</v>
      </c>
      <c r="AD2517" s="1" t="s">
        <v>74</v>
      </c>
      <c r="AE2517" s="1" t="s">
        <v>74</v>
      </c>
      <c r="AF2517" s="1" t="s">
        <v>74</v>
      </c>
      <c r="AG2517" s="1">
        <v>22</v>
      </c>
      <c r="AH2517" s="1">
        <v>7</v>
      </c>
      <c r="AI2517" s="1">
        <v>9</v>
      </c>
      <c r="AJ2517" s="1">
        <v>1</v>
      </c>
      <c r="AK2517" s="1">
        <v>34</v>
      </c>
      <c r="AL2517" s="1" t="s">
        <v>33598</v>
      </c>
      <c r="AM2517" s="1" t="s">
        <v>1434</v>
      </c>
      <c r="AN2517" s="1" t="s">
        <v>33599</v>
      </c>
      <c r="AO2517" s="1" t="s">
        <v>40221</v>
      </c>
      <c r="AP2517" s="1" t="s">
        <v>40222</v>
      </c>
      <c r="AQ2517" s="1" t="s">
        <v>74</v>
      </c>
      <c r="AR2517" s="1" t="s">
        <v>40223</v>
      </c>
      <c r="AS2517" s="1" t="s">
        <v>40224</v>
      </c>
      <c r="AT2517" s="1" t="s">
        <v>224</v>
      </c>
      <c r="AU2517" s="1">
        <v>2013</v>
      </c>
      <c r="AV2517" s="1">
        <v>50</v>
      </c>
      <c r="AW2517" s="1">
        <v>1</v>
      </c>
      <c r="AX2517" s="1" t="s">
        <v>74</v>
      </c>
      <c r="AY2517" s="1" t="s">
        <v>74</v>
      </c>
      <c r="AZ2517" s="1" t="s">
        <v>74</v>
      </c>
      <c r="BA2517" s="1" t="s">
        <v>74</v>
      </c>
      <c r="BB2517" s="1">
        <v>203</v>
      </c>
      <c r="BC2517" s="1">
        <v>207</v>
      </c>
      <c r="BD2517" s="1" t="s">
        <v>74</v>
      </c>
      <c r="BE2517" s="1" t="s">
        <v>40225</v>
      </c>
      <c r="BF2517" s="1" t="str">
        <f>HYPERLINK("http://dx.doi.org/10.1007/s13197-011-0550-6","http://dx.doi.org/10.1007/s13197-011-0550-6")</f>
        <v>http://dx.doi.org/10.1007/s13197-011-0550-6</v>
      </c>
      <c r="BG2517" s="1" t="s">
        <v>74</v>
      </c>
      <c r="BH2517" s="1" t="s">
        <v>74</v>
      </c>
      <c r="BI2517" s="1">
        <v>5</v>
      </c>
      <c r="BJ2517" s="1" t="s">
        <v>2598</v>
      </c>
      <c r="BK2517" s="1" t="s">
        <v>96</v>
      </c>
      <c r="BL2517" s="1" t="s">
        <v>2598</v>
      </c>
      <c r="BM2517" s="1" t="s">
        <v>40226</v>
      </c>
      <c r="BN2517" s="1">
        <v>24425910</v>
      </c>
      <c r="BO2517" s="1" t="s">
        <v>1752</v>
      </c>
      <c r="BP2517" s="1" t="s">
        <v>74</v>
      </c>
      <c r="BQ2517" s="1" t="s">
        <v>74</v>
      </c>
      <c r="BR2517" s="1" t="s">
        <v>98</v>
      </c>
      <c r="BS2517" s="1" t="s">
        <v>40227</v>
      </c>
      <c r="BT2517" s="1" t="str">
        <f>HYPERLINK("https%3A%2F%2Fwww.webofscience.com%2Fwos%2Fwoscc%2Ffull-record%2FWOS:000311509000029","View Full Record in Web of Science")</f>
        <v>View Full Record in Web of Science</v>
      </c>
      <c r="BU2517" s="1"/>
      <c r="BV2517" s="1"/>
    </row>
    <row r="2518" spans="1:74">
      <c r="A2518" s="1" t="s">
        <v>72</v>
      </c>
      <c r="B2518" s="1" t="s">
        <v>40228</v>
      </c>
      <c r="C2518" s="1" t="s">
        <v>74</v>
      </c>
      <c r="D2518" s="1" t="s">
        <v>74</v>
      </c>
      <c r="E2518" s="1" t="s">
        <v>74</v>
      </c>
      <c r="F2518" s="1" t="s">
        <v>40229</v>
      </c>
      <c r="G2518" s="1" t="s">
        <v>74</v>
      </c>
      <c r="H2518" s="1" t="s">
        <v>74</v>
      </c>
      <c r="I2518" s="1" t="s">
        <v>40230</v>
      </c>
      <c r="J2518" s="1" t="s">
        <v>232</v>
      </c>
      <c r="K2518" s="1" t="s">
        <v>74</v>
      </c>
      <c r="L2518" s="1" t="s">
        <v>74</v>
      </c>
      <c r="M2518" s="1" t="s">
        <v>78</v>
      </c>
      <c r="N2518" s="1" t="s">
        <v>79</v>
      </c>
      <c r="O2518" s="1" t="s">
        <v>74</v>
      </c>
      <c r="P2518" s="1" t="s">
        <v>74</v>
      </c>
      <c r="Q2518" s="1" t="s">
        <v>74</v>
      </c>
      <c r="R2518" s="1" t="s">
        <v>74</v>
      </c>
      <c r="S2518" s="1" t="s">
        <v>74</v>
      </c>
      <c r="T2518" s="1" t="s">
        <v>40231</v>
      </c>
      <c r="U2518" s="1" t="s">
        <v>40232</v>
      </c>
      <c r="V2518" s="1" t="s">
        <v>40233</v>
      </c>
      <c r="W2518" s="1" t="s">
        <v>40234</v>
      </c>
      <c r="X2518" s="1" t="s">
        <v>40235</v>
      </c>
      <c r="Y2518" s="1" t="s">
        <v>40236</v>
      </c>
      <c r="Z2518" s="1" t="s">
        <v>40237</v>
      </c>
      <c r="AA2518" s="1" t="s">
        <v>40238</v>
      </c>
      <c r="AB2518" s="1" t="s">
        <v>74</v>
      </c>
      <c r="AC2518" s="1" t="s">
        <v>40239</v>
      </c>
      <c r="AD2518" s="1" t="s">
        <v>40240</v>
      </c>
      <c r="AE2518" s="1" t="s">
        <v>40241</v>
      </c>
      <c r="AF2518" s="1" t="s">
        <v>74</v>
      </c>
      <c r="AG2518" s="1">
        <v>54</v>
      </c>
      <c r="AH2518" s="1">
        <v>1</v>
      </c>
      <c r="AI2518" s="1">
        <v>1</v>
      </c>
      <c r="AJ2518" s="1">
        <v>2</v>
      </c>
      <c r="AK2518" s="1">
        <v>2</v>
      </c>
      <c r="AL2518" s="1" t="s">
        <v>136</v>
      </c>
      <c r="AM2518" s="1" t="s">
        <v>137</v>
      </c>
      <c r="AN2518" s="1" t="s">
        <v>138</v>
      </c>
      <c r="AO2518" s="1" t="s">
        <v>240</v>
      </c>
      <c r="AP2518" s="1" t="s">
        <v>241</v>
      </c>
      <c r="AQ2518" s="1" t="s">
        <v>74</v>
      </c>
      <c r="AR2518" s="1" t="s">
        <v>242</v>
      </c>
      <c r="AS2518" s="1" t="s">
        <v>243</v>
      </c>
      <c r="AT2518" s="1" t="s">
        <v>119</v>
      </c>
      <c r="AU2518" s="1">
        <v>2024</v>
      </c>
      <c r="AV2518" s="1">
        <v>205</v>
      </c>
      <c r="AW2518" s="1" t="s">
        <v>74</v>
      </c>
      <c r="AX2518" s="1" t="s">
        <v>74</v>
      </c>
      <c r="AY2518" s="1" t="s">
        <v>74</v>
      </c>
      <c r="AZ2518" s="1" t="s">
        <v>74</v>
      </c>
      <c r="BA2518" s="1" t="s">
        <v>74</v>
      </c>
      <c r="BB2518" s="1" t="s">
        <v>74</v>
      </c>
      <c r="BC2518" s="1" t="s">
        <v>74</v>
      </c>
      <c r="BD2518" s="1">
        <v>116652</v>
      </c>
      <c r="BE2518" s="1" t="s">
        <v>40242</v>
      </c>
      <c r="BF2518" s="1" t="str">
        <f>HYPERLINK("http://dx.doi.org/10.1016/j.marpolbul.2024.116652","http://dx.doi.org/10.1016/j.marpolbul.2024.116652")</f>
        <v>http://dx.doi.org/10.1016/j.marpolbul.2024.116652</v>
      </c>
      <c r="BG2518" s="1" t="s">
        <v>74</v>
      </c>
      <c r="BH2518" s="1" t="s">
        <v>7912</v>
      </c>
      <c r="BI2518" s="1">
        <v>7</v>
      </c>
      <c r="BJ2518" s="1" t="s">
        <v>247</v>
      </c>
      <c r="BK2518" s="1" t="s">
        <v>96</v>
      </c>
      <c r="BL2518" s="1" t="s">
        <v>248</v>
      </c>
      <c r="BM2518" s="1" t="s">
        <v>40243</v>
      </c>
      <c r="BN2518" s="1">
        <v>38943897</v>
      </c>
      <c r="BO2518" s="1" t="s">
        <v>74</v>
      </c>
      <c r="BP2518" s="1" t="s">
        <v>74</v>
      </c>
      <c r="BQ2518" s="1" t="s">
        <v>74</v>
      </c>
      <c r="BR2518" s="1" t="s">
        <v>98</v>
      </c>
      <c r="BS2518" s="1" t="s">
        <v>40244</v>
      </c>
      <c r="BT2518" s="1" t="str">
        <f>HYPERLINK("https%3A%2F%2Fwww.webofscience.com%2Fwos%2Fwoscc%2Ffull-record%2FWOS:001262391700001","View Full Record in Web of Science")</f>
        <v>View Full Record in Web of Science</v>
      </c>
      <c r="BU2518" s="1"/>
      <c r="BV2518" s="1"/>
    </row>
    <row r="2519" spans="1:74">
      <c r="A2519" s="1" t="s">
        <v>72</v>
      </c>
      <c r="B2519" s="1" t="s">
        <v>35113</v>
      </c>
      <c r="C2519" s="1" t="s">
        <v>74</v>
      </c>
      <c r="D2519" s="1" t="s">
        <v>74</v>
      </c>
      <c r="E2519" s="1" t="s">
        <v>74</v>
      </c>
      <c r="F2519" s="1" t="s">
        <v>35114</v>
      </c>
      <c r="G2519" s="1" t="s">
        <v>74</v>
      </c>
      <c r="H2519" s="1" t="s">
        <v>74</v>
      </c>
      <c r="I2519" s="1" t="s">
        <v>40245</v>
      </c>
      <c r="J2519" s="1" t="s">
        <v>10565</v>
      </c>
      <c r="K2519" s="1" t="s">
        <v>74</v>
      </c>
      <c r="L2519" s="1" t="s">
        <v>74</v>
      </c>
      <c r="M2519" s="1" t="s">
        <v>78</v>
      </c>
      <c r="N2519" s="1" t="s">
        <v>79</v>
      </c>
      <c r="O2519" s="1" t="s">
        <v>74</v>
      </c>
      <c r="P2519" s="1" t="s">
        <v>74</v>
      </c>
      <c r="Q2519" s="1" t="s">
        <v>74</v>
      </c>
      <c r="R2519" s="1" t="s">
        <v>74</v>
      </c>
      <c r="S2519" s="1" t="s">
        <v>74</v>
      </c>
      <c r="T2519" s="1" t="s">
        <v>40246</v>
      </c>
      <c r="U2519" s="1" t="s">
        <v>40247</v>
      </c>
      <c r="V2519" s="1" t="s">
        <v>40248</v>
      </c>
      <c r="W2519" s="1" t="s">
        <v>40249</v>
      </c>
      <c r="X2519" s="1" t="s">
        <v>22235</v>
      </c>
      <c r="Y2519" s="1" t="s">
        <v>40250</v>
      </c>
      <c r="Z2519" s="1" t="s">
        <v>40251</v>
      </c>
      <c r="AA2519" s="1" t="s">
        <v>22238</v>
      </c>
      <c r="AB2519" s="1" t="s">
        <v>22239</v>
      </c>
      <c r="AC2519" s="1" t="s">
        <v>74</v>
      </c>
      <c r="AD2519" s="1" t="s">
        <v>74</v>
      </c>
      <c r="AE2519" s="1" t="s">
        <v>74</v>
      </c>
      <c r="AF2519" s="1" t="s">
        <v>74</v>
      </c>
      <c r="AG2519" s="1">
        <v>90</v>
      </c>
      <c r="AH2519" s="1">
        <v>12</v>
      </c>
      <c r="AI2519" s="1">
        <v>12</v>
      </c>
      <c r="AJ2519" s="1">
        <v>1</v>
      </c>
      <c r="AK2519" s="1">
        <v>9</v>
      </c>
      <c r="AL2519" s="1" t="s">
        <v>136</v>
      </c>
      <c r="AM2519" s="1" t="s">
        <v>137</v>
      </c>
      <c r="AN2519" s="1" t="s">
        <v>138</v>
      </c>
      <c r="AO2519" s="1" t="s">
        <v>10577</v>
      </c>
      <c r="AP2519" s="1" t="s">
        <v>10578</v>
      </c>
      <c r="AQ2519" s="1" t="s">
        <v>74</v>
      </c>
      <c r="AR2519" s="1" t="s">
        <v>10579</v>
      </c>
      <c r="AS2519" s="1" t="s">
        <v>10580</v>
      </c>
      <c r="AT2519" s="1" t="s">
        <v>224</v>
      </c>
      <c r="AU2519" s="1">
        <v>2022</v>
      </c>
      <c r="AV2519" s="1">
        <v>186</v>
      </c>
      <c r="AW2519" s="1" t="s">
        <v>74</v>
      </c>
      <c r="AX2519" s="1" t="s">
        <v>74</v>
      </c>
      <c r="AY2519" s="1" t="s">
        <v>74</v>
      </c>
      <c r="AZ2519" s="1" t="s">
        <v>74</v>
      </c>
      <c r="BA2519" s="1" t="s">
        <v>74</v>
      </c>
      <c r="BB2519" s="1" t="s">
        <v>74</v>
      </c>
      <c r="BC2519" s="1" t="s">
        <v>74</v>
      </c>
      <c r="BD2519" s="1">
        <v>104417</v>
      </c>
      <c r="BE2519" s="1" t="s">
        <v>40252</v>
      </c>
      <c r="BF2519" s="1" t="str">
        <f>HYPERLINK("http://dx.doi.org/10.1016/j.jafrearsci.2021.104417","http://dx.doi.org/10.1016/j.jafrearsci.2021.104417")</f>
        <v>http://dx.doi.org/10.1016/j.jafrearsci.2021.104417</v>
      </c>
      <c r="BG2519" s="1" t="s">
        <v>74</v>
      </c>
      <c r="BH2519" s="1" t="s">
        <v>227</v>
      </c>
      <c r="BI2519" s="1">
        <v>14</v>
      </c>
      <c r="BJ2519" s="1" t="s">
        <v>10582</v>
      </c>
      <c r="BK2519" s="1" t="s">
        <v>96</v>
      </c>
      <c r="BL2519" s="1" t="s">
        <v>7739</v>
      </c>
      <c r="BM2519" s="1" t="s">
        <v>40253</v>
      </c>
      <c r="BN2519" s="1" t="s">
        <v>74</v>
      </c>
      <c r="BO2519" s="1" t="s">
        <v>74</v>
      </c>
      <c r="BP2519" s="1" t="s">
        <v>74</v>
      </c>
      <c r="BQ2519" s="1" t="s">
        <v>74</v>
      </c>
      <c r="BR2519" s="1" t="s">
        <v>98</v>
      </c>
      <c r="BS2519" s="1" t="s">
        <v>40254</v>
      </c>
      <c r="BT2519" s="1" t="str">
        <f>HYPERLINK("https%3A%2F%2Fwww.webofscience.com%2Fwos%2Fwoscc%2Ffull-record%2FWOS:000745066800002","View Full Record in Web of Science")</f>
        <v>View Full Record in Web of Science</v>
      </c>
      <c r="BU2519" s="1"/>
      <c r="BV2519" s="1"/>
    </row>
    <row r="2520" spans="1:74">
      <c r="A2520" s="1" t="s">
        <v>72</v>
      </c>
      <c r="B2520" s="1" t="s">
        <v>40255</v>
      </c>
      <c r="C2520" s="1" t="s">
        <v>74</v>
      </c>
      <c r="D2520" s="1" t="s">
        <v>74</v>
      </c>
      <c r="E2520" s="1" t="s">
        <v>74</v>
      </c>
      <c r="F2520" s="1" t="s">
        <v>40256</v>
      </c>
      <c r="G2520" s="1" t="s">
        <v>74</v>
      </c>
      <c r="H2520" s="1" t="s">
        <v>74</v>
      </c>
      <c r="I2520" s="1" t="s">
        <v>40257</v>
      </c>
      <c r="J2520" s="1" t="s">
        <v>40258</v>
      </c>
      <c r="K2520" s="1" t="s">
        <v>74</v>
      </c>
      <c r="L2520" s="1" t="s">
        <v>74</v>
      </c>
      <c r="M2520" s="1" t="s">
        <v>78</v>
      </c>
      <c r="N2520" s="1" t="s">
        <v>79</v>
      </c>
      <c r="O2520" s="1" t="s">
        <v>74</v>
      </c>
      <c r="P2520" s="1" t="s">
        <v>74</v>
      </c>
      <c r="Q2520" s="1" t="s">
        <v>74</v>
      </c>
      <c r="R2520" s="1" t="s">
        <v>74</v>
      </c>
      <c r="S2520" s="1" t="s">
        <v>74</v>
      </c>
      <c r="T2520" s="1" t="s">
        <v>40259</v>
      </c>
      <c r="U2520" s="1" t="s">
        <v>40260</v>
      </c>
      <c r="V2520" s="1" t="s">
        <v>40261</v>
      </c>
      <c r="W2520" s="1" t="s">
        <v>40262</v>
      </c>
      <c r="X2520" s="1" t="s">
        <v>40263</v>
      </c>
      <c r="Y2520" s="1" t="s">
        <v>40264</v>
      </c>
      <c r="Z2520" s="1" t="s">
        <v>40265</v>
      </c>
      <c r="AA2520" s="1" t="s">
        <v>74</v>
      </c>
      <c r="AB2520" s="1" t="s">
        <v>40266</v>
      </c>
      <c r="AC2520" s="1" t="s">
        <v>39207</v>
      </c>
      <c r="AD2520" s="1" t="s">
        <v>39207</v>
      </c>
      <c r="AE2520" s="1" t="s">
        <v>40267</v>
      </c>
      <c r="AF2520" s="1" t="s">
        <v>74</v>
      </c>
      <c r="AG2520" s="1">
        <v>36</v>
      </c>
      <c r="AH2520" s="1">
        <v>10</v>
      </c>
      <c r="AI2520" s="1">
        <v>10</v>
      </c>
      <c r="AJ2520" s="1">
        <v>1</v>
      </c>
      <c r="AK2520" s="1">
        <v>31</v>
      </c>
      <c r="AL2520" s="1" t="s">
        <v>2074</v>
      </c>
      <c r="AM2520" s="1" t="s">
        <v>2075</v>
      </c>
      <c r="AN2520" s="1" t="s">
        <v>2076</v>
      </c>
      <c r="AO2520" s="1" t="s">
        <v>40268</v>
      </c>
      <c r="AP2520" s="1" t="s">
        <v>40269</v>
      </c>
      <c r="AQ2520" s="1" t="s">
        <v>74</v>
      </c>
      <c r="AR2520" s="1" t="s">
        <v>40270</v>
      </c>
      <c r="AS2520" s="1" t="s">
        <v>40271</v>
      </c>
      <c r="AT2520" s="1" t="s">
        <v>40272</v>
      </c>
      <c r="AU2520" s="1">
        <v>2020</v>
      </c>
      <c r="AV2520" s="1">
        <v>37</v>
      </c>
      <c r="AW2520" s="1">
        <v>5</v>
      </c>
      <c r="AX2520" s="1" t="s">
        <v>74</v>
      </c>
      <c r="AY2520" s="1" t="s">
        <v>74</v>
      </c>
      <c r="AZ2520" s="1" t="s">
        <v>74</v>
      </c>
      <c r="BA2520" s="1" t="s">
        <v>74</v>
      </c>
      <c r="BB2520" s="1">
        <v>831</v>
      </c>
      <c r="BC2520" s="1">
        <v>844</v>
      </c>
      <c r="BD2520" s="1" t="s">
        <v>74</v>
      </c>
      <c r="BE2520" s="1" t="s">
        <v>40273</v>
      </c>
      <c r="BF2520" s="1" t="str">
        <f>HYPERLINK("http://dx.doi.org/10.1080/19440049.2020.1730986","http://dx.doi.org/10.1080/19440049.2020.1730986")</f>
        <v>http://dx.doi.org/10.1080/19440049.2020.1730986</v>
      </c>
      <c r="BG2520" s="1" t="s">
        <v>74</v>
      </c>
      <c r="BH2520" s="1" t="s">
        <v>4681</v>
      </c>
      <c r="BI2520" s="1">
        <v>14</v>
      </c>
      <c r="BJ2520" s="1" t="s">
        <v>2495</v>
      </c>
      <c r="BK2520" s="1" t="s">
        <v>96</v>
      </c>
      <c r="BL2520" s="1" t="s">
        <v>2496</v>
      </c>
      <c r="BM2520" s="1" t="s">
        <v>40274</v>
      </c>
      <c r="BN2520" s="1">
        <v>32174256</v>
      </c>
      <c r="BO2520" s="1" t="s">
        <v>14649</v>
      </c>
      <c r="BP2520" s="1" t="s">
        <v>74</v>
      </c>
      <c r="BQ2520" s="1" t="s">
        <v>74</v>
      </c>
      <c r="BR2520" s="1" t="s">
        <v>98</v>
      </c>
      <c r="BS2520" s="1" t="s">
        <v>40275</v>
      </c>
      <c r="BT2520" s="1" t="str">
        <f>HYPERLINK("https%3A%2F%2Fwww.webofscience.com%2Fwos%2Fwoscc%2Ffull-record%2FWOS:000520355700001","View Full Record in Web of Science")</f>
        <v>View Full Record in Web of Science</v>
      </c>
      <c r="BU2520" s="1"/>
      <c r="BV2520" s="1"/>
    </row>
    <row r="2521" spans="1:74">
      <c r="A2521" s="1" t="s">
        <v>72</v>
      </c>
      <c r="B2521" s="1" t="s">
        <v>40276</v>
      </c>
      <c r="C2521" s="1" t="s">
        <v>74</v>
      </c>
      <c r="D2521" s="1" t="s">
        <v>74</v>
      </c>
      <c r="E2521" s="1" t="s">
        <v>74</v>
      </c>
      <c r="F2521" s="1" t="s">
        <v>40277</v>
      </c>
      <c r="G2521" s="1" t="s">
        <v>74</v>
      </c>
      <c r="H2521" s="1" t="s">
        <v>74</v>
      </c>
      <c r="I2521" s="1" t="s">
        <v>40278</v>
      </c>
      <c r="J2521" s="1" t="s">
        <v>17028</v>
      </c>
      <c r="K2521" s="1" t="s">
        <v>74</v>
      </c>
      <c r="L2521" s="1" t="s">
        <v>74</v>
      </c>
      <c r="M2521" s="1" t="s">
        <v>78</v>
      </c>
      <c r="N2521" s="1" t="s">
        <v>79</v>
      </c>
      <c r="O2521" s="1" t="s">
        <v>74</v>
      </c>
      <c r="P2521" s="1" t="s">
        <v>74</v>
      </c>
      <c r="Q2521" s="1" t="s">
        <v>74</v>
      </c>
      <c r="R2521" s="1" t="s">
        <v>74</v>
      </c>
      <c r="S2521" s="1" t="s">
        <v>74</v>
      </c>
      <c r="T2521" s="1" t="s">
        <v>40279</v>
      </c>
      <c r="U2521" s="1" t="s">
        <v>40280</v>
      </c>
      <c r="V2521" s="1" t="s">
        <v>40281</v>
      </c>
      <c r="W2521" s="1" t="s">
        <v>40282</v>
      </c>
      <c r="X2521" s="1" t="s">
        <v>40283</v>
      </c>
      <c r="Y2521" s="1" t="s">
        <v>40284</v>
      </c>
      <c r="Z2521" s="1" t="s">
        <v>40285</v>
      </c>
      <c r="AA2521" s="1" t="s">
        <v>40286</v>
      </c>
      <c r="AB2521" s="1" t="s">
        <v>40287</v>
      </c>
      <c r="AC2521" s="1" t="s">
        <v>40288</v>
      </c>
      <c r="AD2521" s="1" t="s">
        <v>40289</v>
      </c>
      <c r="AE2521" s="1" t="s">
        <v>40290</v>
      </c>
      <c r="AF2521" s="1" t="s">
        <v>74</v>
      </c>
      <c r="AG2521" s="1">
        <v>40</v>
      </c>
      <c r="AH2521" s="1">
        <v>8</v>
      </c>
      <c r="AI2521" s="1">
        <v>8</v>
      </c>
      <c r="AJ2521" s="1">
        <v>3</v>
      </c>
      <c r="AK2521" s="1">
        <v>20</v>
      </c>
      <c r="AL2521" s="1" t="s">
        <v>285</v>
      </c>
      <c r="AM2521" s="1" t="s">
        <v>286</v>
      </c>
      <c r="AN2521" s="1" t="s">
        <v>287</v>
      </c>
      <c r="AO2521" s="1" t="s">
        <v>17040</v>
      </c>
      <c r="AP2521" s="1" t="s">
        <v>17041</v>
      </c>
      <c r="AQ2521" s="1" t="s">
        <v>74</v>
      </c>
      <c r="AR2521" s="1" t="s">
        <v>17042</v>
      </c>
      <c r="AS2521" s="1" t="s">
        <v>17043</v>
      </c>
      <c r="AT2521" s="1" t="s">
        <v>1856</v>
      </c>
      <c r="AU2521" s="1">
        <v>2022</v>
      </c>
      <c r="AV2521" s="1">
        <v>316</v>
      </c>
      <c r="AW2521" s="1" t="s">
        <v>74</v>
      </c>
      <c r="AX2521" s="1" t="s">
        <v>74</v>
      </c>
      <c r="AY2521" s="1" t="s">
        <v>74</v>
      </c>
      <c r="AZ2521" s="1" t="s">
        <v>74</v>
      </c>
      <c r="BA2521" s="1" t="s">
        <v>74</v>
      </c>
      <c r="BB2521" s="1" t="s">
        <v>74</v>
      </c>
      <c r="BC2521" s="1" t="s">
        <v>74</v>
      </c>
      <c r="BD2521" s="1">
        <v>115229</v>
      </c>
      <c r="BE2521" s="1" t="s">
        <v>40291</v>
      </c>
      <c r="BF2521" s="1" t="str">
        <f>HYPERLINK("http://dx.doi.org/10.1016/j.jenvman.2022.115229","http://dx.doi.org/10.1016/j.jenvman.2022.115229")</f>
        <v>http://dx.doi.org/10.1016/j.jenvman.2022.115229</v>
      </c>
      <c r="BG2521" s="1" t="s">
        <v>74</v>
      </c>
      <c r="BH2521" s="1" t="s">
        <v>2765</v>
      </c>
      <c r="BI2521" s="1">
        <v>7</v>
      </c>
      <c r="BJ2521" s="1" t="s">
        <v>144</v>
      </c>
      <c r="BK2521" s="1" t="s">
        <v>96</v>
      </c>
      <c r="BL2521" s="1" t="s">
        <v>145</v>
      </c>
      <c r="BM2521" s="1" t="s">
        <v>40292</v>
      </c>
      <c r="BN2521" s="1">
        <v>35544980</v>
      </c>
      <c r="BO2521" s="1" t="s">
        <v>74</v>
      </c>
      <c r="BP2521" s="1" t="s">
        <v>74</v>
      </c>
      <c r="BQ2521" s="1" t="s">
        <v>74</v>
      </c>
      <c r="BR2521" s="1" t="s">
        <v>98</v>
      </c>
      <c r="BS2521" s="1" t="s">
        <v>40293</v>
      </c>
      <c r="BT2521" s="1" t="str">
        <f>HYPERLINK("https%3A%2F%2Fwww.webofscience.com%2Fwos%2Fwoscc%2Ffull-record%2FWOS:000802617200010","View Full Record in Web of Science")</f>
        <v>View Full Record in Web of Science</v>
      </c>
      <c r="BU2521" s="1"/>
      <c r="BV2521" s="1"/>
    </row>
    <row r="2522" spans="1:74">
      <c r="A2522" s="1" t="s">
        <v>72</v>
      </c>
      <c r="B2522" s="1" t="s">
        <v>40294</v>
      </c>
      <c r="C2522" s="1" t="s">
        <v>74</v>
      </c>
      <c r="D2522" s="1" t="s">
        <v>74</v>
      </c>
      <c r="E2522" s="1" t="s">
        <v>74</v>
      </c>
      <c r="F2522" s="1" t="s">
        <v>40295</v>
      </c>
      <c r="G2522" s="1" t="s">
        <v>74</v>
      </c>
      <c r="H2522" s="1" t="s">
        <v>74</v>
      </c>
      <c r="I2522" s="1" t="s">
        <v>40296</v>
      </c>
      <c r="J2522" s="1" t="s">
        <v>127</v>
      </c>
      <c r="K2522" s="1" t="s">
        <v>74</v>
      </c>
      <c r="L2522" s="1" t="s">
        <v>74</v>
      </c>
      <c r="M2522" s="1" t="s">
        <v>78</v>
      </c>
      <c r="N2522" s="1" t="s">
        <v>79</v>
      </c>
      <c r="O2522" s="1" t="s">
        <v>74</v>
      </c>
      <c r="P2522" s="1" t="s">
        <v>74</v>
      </c>
      <c r="Q2522" s="1" t="s">
        <v>74</v>
      </c>
      <c r="R2522" s="1" t="s">
        <v>74</v>
      </c>
      <c r="S2522" s="1" t="s">
        <v>74</v>
      </c>
      <c r="T2522" s="1" t="s">
        <v>40297</v>
      </c>
      <c r="U2522" s="1" t="s">
        <v>40298</v>
      </c>
      <c r="V2522" s="1" t="s">
        <v>40299</v>
      </c>
      <c r="W2522" s="1" t="s">
        <v>40300</v>
      </c>
      <c r="X2522" s="1" t="s">
        <v>13407</v>
      </c>
      <c r="Y2522" s="1" t="s">
        <v>40301</v>
      </c>
      <c r="Z2522" s="1" t="s">
        <v>40302</v>
      </c>
      <c r="AA2522" s="1" t="s">
        <v>74</v>
      </c>
      <c r="AB2522" s="1" t="s">
        <v>26213</v>
      </c>
      <c r="AC2522" s="1" t="s">
        <v>40303</v>
      </c>
      <c r="AD2522" s="1" t="s">
        <v>40304</v>
      </c>
      <c r="AE2522" s="1" t="s">
        <v>40305</v>
      </c>
      <c r="AF2522" s="1" t="s">
        <v>74</v>
      </c>
      <c r="AG2522" s="1">
        <v>50</v>
      </c>
      <c r="AH2522" s="1">
        <v>1</v>
      </c>
      <c r="AI2522" s="1">
        <v>1</v>
      </c>
      <c r="AJ2522" s="1">
        <v>0</v>
      </c>
      <c r="AK2522" s="1">
        <v>12</v>
      </c>
      <c r="AL2522" s="1" t="s">
        <v>136</v>
      </c>
      <c r="AM2522" s="1" t="s">
        <v>137</v>
      </c>
      <c r="AN2522" s="1" t="s">
        <v>138</v>
      </c>
      <c r="AO2522" s="1" t="s">
        <v>139</v>
      </c>
      <c r="AP2522" s="1" t="s">
        <v>140</v>
      </c>
      <c r="AQ2522" s="1" t="s">
        <v>74</v>
      </c>
      <c r="AR2522" s="1" t="s">
        <v>127</v>
      </c>
      <c r="AS2522" s="1" t="s">
        <v>141</v>
      </c>
      <c r="AT2522" s="1" t="s">
        <v>142</v>
      </c>
      <c r="AU2522" s="1">
        <v>2023</v>
      </c>
      <c r="AV2522" s="1">
        <v>327</v>
      </c>
      <c r="AW2522" s="1" t="s">
        <v>74</v>
      </c>
      <c r="AX2522" s="1" t="s">
        <v>74</v>
      </c>
      <c r="AY2522" s="1" t="s">
        <v>74</v>
      </c>
      <c r="AZ2522" s="1" t="s">
        <v>74</v>
      </c>
      <c r="BA2522" s="1" t="s">
        <v>74</v>
      </c>
      <c r="BB2522" s="1" t="s">
        <v>74</v>
      </c>
      <c r="BC2522" s="1" t="s">
        <v>74</v>
      </c>
      <c r="BD2522" s="1">
        <v>138521</v>
      </c>
      <c r="BE2522" s="1" t="s">
        <v>40306</v>
      </c>
      <c r="BF2522" s="1" t="str">
        <f>HYPERLINK("http://dx.doi.org/10.1016/j.chemosphere.2023.138521","http://dx.doi.org/10.1016/j.chemosphere.2023.138521")</f>
        <v>http://dx.doi.org/10.1016/j.chemosphere.2023.138521</v>
      </c>
      <c r="BG2522" s="1" t="s">
        <v>74</v>
      </c>
      <c r="BH2522" s="1" t="s">
        <v>6536</v>
      </c>
      <c r="BI2522" s="1">
        <v>8</v>
      </c>
      <c r="BJ2522" s="1" t="s">
        <v>144</v>
      </c>
      <c r="BK2522" s="1" t="s">
        <v>96</v>
      </c>
      <c r="BL2522" s="1" t="s">
        <v>145</v>
      </c>
      <c r="BM2522" s="1" t="s">
        <v>40307</v>
      </c>
      <c r="BN2522" s="1">
        <v>36990359</v>
      </c>
      <c r="BO2522" s="1" t="s">
        <v>370</v>
      </c>
      <c r="BP2522" s="1" t="s">
        <v>74</v>
      </c>
      <c r="BQ2522" s="1" t="s">
        <v>74</v>
      </c>
      <c r="BR2522" s="1" t="s">
        <v>98</v>
      </c>
      <c r="BS2522" s="1" t="s">
        <v>40308</v>
      </c>
      <c r="BT2522" s="1" t="str">
        <f>HYPERLINK("https%3A%2F%2Fwww.webofscience.com%2Fwos%2Fwoscc%2Ffull-record%2FWOS:000969691600001","View Full Record in Web of Science")</f>
        <v>View Full Record in Web of Science</v>
      </c>
      <c r="BU2522" s="1"/>
      <c r="BV2522" s="1"/>
    </row>
    <row r="2523" spans="1:74">
      <c r="A2523" s="1" t="s">
        <v>72</v>
      </c>
      <c r="B2523" s="1" t="s">
        <v>40309</v>
      </c>
      <c r="C2523" s="1" t="s">
        <v>74</v>
      </c>
      <c r="D2523" s="1" t="s">
        <v>74</v>
      </c>
      <c r="E2523" s="1" t="s">
        <v>74</v>
      </c>
      <c r="F2523" s="1" t="s">
        <v>40310</v>
      </c>
      <c r="G2523" s="1" t="s">
        <v>74</v>
      </c>
      <c r="H2523" s="1" t="s">
        <v>74</v>
      </c>
      <c r="I2523" s="1" t="s">
        <v>40311</v>
      </c>
      <c r="J2523" s="1" t="s">
        <v>421</v>
      </c>
      <c r="K2523" s="1" t="s">
        <v>74</v>
      </c>
      <c r="L2523" s="1" t="s">
        <v>74</v>
      </c>
      <c r="M2523" s="1" t="s">
        <v>78</v>
      </c>
      <c r="N2523" s="1" t="s">
        <v>79</v>
      </c>
      <c r="O2523" s="1" t="s">
        <v>74</v>
      </c>
      <c r="P2523" s="1" t="s">
        <v>74</v>
      </c>
      <c r="Q2523" s="1" t="s">
        <v>74</v>
      </c>
      <c r="R2523" s="1" t="s">
        <v>74</v>
      </c>
      <c r="S2523" s="1" t="s">
        <v>74</v>
      </c>
      <c r="T2523" s="1" t="s">
        <v>40312</v>
      </c>
      <c r="U2523" s="1" t="s">
        <v>40313</v>
      </c>
      <c r="V2523" s="1" t="s">
        <v>40314</v>
      </c>
      <c r="W2523" s="1" t="s">
        <v>40315</v>
      </c>
      <c r="X2523" s="1" t="s">
        <v>40316</v>
      </c>
      <c r="Y2523" s="1" t="s">
        <v>28147</v>
      </c>
      <c r="Z2523" s="1" t="s">
        <v>40317</v>
      </c>
      <c r="AA2523" s="1" t="s">
        <v>28149</v>
      </c>
      <c r="AB2523" s="1" t="s">
        <v>40318</v>
      </c>
      <c r="AC2523" s="1" t="s">
        <v>40319</v>
      </c>
      <c r="AD2523" s="1" t="s">
        <v>40320</v>
      </c>
      <c r="AE2523" s="1" t="s">
        <v>40321</v>
      </c>
      <c r="AF2523" s="1" t="s">
        <v>74</v>
      </c>
      <c r="AG2523" s="1">
        <v>140</v>
      </c>
      <c r="AH2523" s="1">
        <v>3</v>
      </c>
      <c r="AI2523" s="1">
        <v>3</v>
      </c>
      <c r="AJ2523" s="1">
        <v>8</v>
      </c>
      <c r="AK2523" s="1">
        <v>8</v>
      </c>
      <c r="AL2523" s="1" t="s">
        <v>430</v>
      </c>
      <c r="AM2523" s="1" t="s">
        <v>7361</v>
      </c>
      <c r="AN2523" s="1" t="s">
        <v>7362</v>
      </c>
      <c r="AO2523" s="1" t="s">
        <v>432</v>
      </c>
      <c r="AP2523" s="1" t="s">
        <v>1394</v>
      </c>
      <c r="AQ2523" s="1" t="s">
        <v>74</v>
      </c>
      <c r="AR2523" s="1" t="s">
        <v>433</v>
      </c>
      <c r="AS2523" s="1" t="s">
        <v>434</v>
      </c>
      <c r="AT2523" s="1" t="s">
        <v>5542</v>
      </c>
      <c r="AU2523" s="1">
        <v>2024</v>
      </c>
      <c r="AV2523" s="1">
        <v>350</v>
      </c>
      <c r="AW2523" s="1" t="s">
        <v>74</v>
      </c>
      <c r="AX2523" s="1" t="s">
        <v>74</v>
      </c>
      <c r="AY2523" s="1" t="s">
        <v>74</v>
      </c>
      <c r="AZ2523" s="1" t="s">
        <v>74</v>
      </c>
      <c r="BA2523" s="1" t="s">
        <v>74</v>
      </c>
      <c r="BB2523" s="1" t="s">
        <v>74</v>
      </c>
      <c r="BC2523" s="1" t="s">
        <v>74</v>
      </c>
      <c r="BD2523" s="1">
        <v>123724</v>
      </c>
      <c r="BE2523" s="1" t="s">
        <v>40322</v>
      </c>
      <c r="BF2523" s="1" t="str">
        <f>HYPERLINK("http://dx.doi.org/10.1016/j.envpol.2024.123724","http://dx.doi.org/10.1016/j.envpol.2024.123724")</f>
        <v>http://dx.doi.org/10.1016/j.envpol.2024.123724</v>
      </c>
      <c r="BG2523" s="1" t="s">
        <v>74</v>
      </c>
      <c r="BH2523" s="1" t="s">
        <v>11425</v>
      </c>
      <c r="BI2523" s="1">
        <v>12</v>
      </c>
      <c r="BJ2523" s="1" t="s">
        <v>144</v>
      </c>
      <c r="BK2523" s="1" t="s">
        <v>96</v>
      </c>
      <c r="BL2523" s="1" t="s">
        <v>145</v>
      </c>
      <c r="BM2523" s="1" t="s">
        <v>40323</v>
      </c>
      <c r="BN2523" s="1">
        <v>38462197</v>
      </c>
      <c r="BO2523" s="1" t="s">
        <v>74</v>
      </c>
      <c r="BP2523" s="1" t="s">
        <v>74</v>
      </c>
      <c r="BQ2523" s="1" t="s">
        <v>74</v>
      </c>
      <c r="BR2523" s="1" t="s">
        <v>98</v>
      </c>
      <c r="BS2523" s="1" t="s">
        <v>40324</v>
      </c>
      <c r="BT2523" s="1" t="str">
        <f>HYPERLINK("https%3A%2F%2Fwww.webofscience.com%2Fwos%2Fwoscc%2Ffull-record%2FWOS:001240272400001","View Full Record in Web of Science")</f>
        <v>View Full Record in Web of Science</v>
      </c>
      <c r="BU2523" s="1"/>
      <c r="BV2523" s="1"/>
    </row>
    <row r="2524" spans="1:74">
      <c r="A2524" s="1" t="s">
        <v>72</v>
      </c>
      <c r="B2524" s="1" t="s">
        <v>40325</v>
      </c>
      <c r="C2524" s="1" t="s">
        <v>74</v>
      </c>
      <c r="D2524" s="1" t="s">
        <v>74</v>
      </c>
      <c r="E2524" s="1" t="s">
        <v>74</v>
      </c>
      <c r="F2524" s="1" t="s">
        <v>40326</v>
      </c>
      <c r="G2524" s="1" t="s">
        <v>74</v>
      </c>
      <c r="H2524" s="1" t="s">
        <v>74</v>
      </c>
      <c r="I2524" s="1" t="s">
        <v>40327</v>
      </c>
      <c r="J2524" s="1" t="s">
        <v>909</v>
      </c>
      <c r="K2524" s="1" t="s">
        <v>74</v>
      </c>
      <c r="L2524" s="1" t="s">
        <v>74</v>
      </c>
      <c r="M2524" s="1" t="s">
        <v>78</v>
      </c>
      <c r="N2524" s="1" t="s">
        <v>79</v>
      </c>
      <c r="O2524" s="1" t="s">
        <v>74</v>
      </c>
      <c r="P2524" s="1" t="s">
        <v>74</v>
      </c>
      <c r="Q2524" s="1" t="s">
        <v>74</v>
      </c>
      <c r="R2524" s="1" t="s">
        <v>74</v>
      </c>
      <c r="S2524" s="1" t="s">
        <v>74</v>
      </c>
      <c r="T2524" s="1" t="s">
        <v>74</v>
      </c>
      <c r="U2524" s="1" t="s">
        <v>40328</v>
      </c>
      <c r="V2524" s="1" t="s">
        <v>40329</v>
      </c>
      <c r="W2524" s="1" t="s">
        <v>40330</v>
      </c>
      <c r="X2524" s="1" t="s">
        <v>40331</v>
      </c>
      <c r="Y2524" s="1" t="s">
        <v>20876</v>
      </c>
      <c r="Z2524" s="1" t="s">
        <v>13012</v>
      </c>
      <c r="AA2524" s="1" t="s">
        <v>40332</v>
      </c>
      <c r="AB2524" s="1" t="s">
        <v>40333</v>
      </c>
      <c r="AC2524" s="1" t="s">
        <v>40334</v>
      </c>
      <c r="AD2524" s="1" t="s">
        <v>40335</v>
      </c>
      <c r="AE2524" s="1" t="s">
        <v>40336</v>
      </c>
      <c r="AF2524" s="1" t="s">
        <v>74</v>
      </c>
      <c r="AG2524" s="1">
        <v>157</v>
      </c>
      <c r="AH2524" s="1">
        <v>29</v>
      </c>
      <c r="AI2524" s="1">
        <v>29</v>
      </c>
      <c r="AJ2524" s="1">
        <v>3</v>
      </c>
      <c r="AK2524" s="1">
        <v>65</v>
      </c>
      <c r="AL2524" s="1" t="s">
        <v>650</v>
      </c>
      <c r="AM2524" s="1" t="s">
        <v>651</v>
      </c>
      <c r="AN2524" s="1" t="s">
        <v>652</v>
      </c>
      <c r="AO2524" s="1" t="s">
        <v>921</v>
      </c>
      <c r="AP2524" s="1" t="s">
        <v>922</v>
      </c>
      <c r="AQ2524" s="1" t="s">
        <v>74</v>
      </c>
      <c r="AR2524" s="1" t="s">
        <v>923</v>
      </c>
      <c r="AS2524" s="1" t="s">
        <v>924</v>
      </c>
      <c r="AT2524" s="1" t="s">
        <v>17812</v>
      </c>
      <c r="AU2524" s="1">
        <v>2020</v>
      </c>
      <c r="AV2524" s="1">
        <v>712</v>
      </c>
      <c r="AW2524" s="1" t="s">
        <v>74</v>
      </c>
      <c r="AX2524" s="1" t="s">
        <v>74</v>
      </c>
      <c r="AY2524" s="1" t="s">
        <v>74</v>
      </c>
      <c r="AZ2524" s="1" t="s">
        <v>74</v>
      </c>
      <c r="BA2524" s="1" t="s">
        <v>74</v>
      </c>
      <c r="BB2524" s="1" t="s">
        <v>74</v>
      </c>
      <c r="BC2524" s="1" t="s">
        <v>74</v>
      </c>
      <c r="BD2524" s="1">
        <v>136473</v>
      </c>
      <c r="BE2524" s="1" t="s">
        <v>40337</v>
      </c>
      <c r="BF2524" s="1" t="str">
        <f>HYPERLINK("http://dx.doi.org/10.1016/j.scitotenv.2019.136473","http://dx.doi.org/10.1016/j.scitotenv.2019.136473")</f>
        <v>http://dx.doi.org/10.1016/j.scitotenv.2019.136473</v>
      </c>
      <c r="BG2524" s="1" t="s">
        <v>74</v>
      </c>
      <c r="BH2524" s="1" t="s">
        <v>74</v>
      </c>
      <c r="BI2524" s="1">
        <v>16</v>
      </c>
      <c r="BJ2524" s="1" t="s">
        <v>144</v>
      </c>
      <c r="BK2524" s="1" t="s">
        <v>96</v>
      </c>
      <c r="BL2524" s="1" t="s">
        <v>145</v>
      </c>
      <c r="BM2524" s="1" t="s">
        <v>40338</v>
      </c>
      <c r="BN2524" s="1">
        <v>31931204</v>
      </c>
      <c r="BO2524" s="1" t="s">
        <v>74</v>
      </c>
      <c r="BP2524" s="1" t="s">
        <v>74</v>
      </c>
      <c r="BQ2524" s="1" t="s">
        <v>74</v>
      </c>
      <c r="BR2524" s="1" t="s">
        <v>98</v>
      </c>
      <c r="BS2524" s="1" t="s">
        <v>40339</v>
      </c>
      <c r="BT2524" s="1" t="str">
        <f>HYPERLINK("https%3A%2F%2Fwww.webofscience.com%2Fwos%2Fwoscc%2Ffull-record%2FWOS:000512369600085","View Full Record in Web of Science")</f>
        <v>View Full Record in Web of Science</v>
      </c>
      <c r="BU2524" s="1"/>
      <c r="BV2524" s="1"/>
    </row>
    <row r="2525" spans="1:74">
      <c r="A2525" s="1" t="s">
        <v>72</v>
      </c>
      <c r="B2525" s="1" t="s">
        <v>40340</v>
      </c>
      <c r="C2525" s="1" t="s">
        <v>74</v>
      </c>
      <c r="D2525" s="1" t="s">
        <v>74</v>
      </c>
      <c r="E2525" s="1" t="s">
        <v>74</v>
      </c>
      <c r="F2525" s="1" t="s">
        <v>40341</v>
      </c>
      <c r="G2525" s="1" t="s">
        <v>74</v>
      </c>
      <c r="H2525" s="1" t="s">
        <v>74</v>
      </c>
      <c r="I2525" s="1" t="s">
        <v>40342</v>
      </c>
      <c r="J2525" s="1" t="s">
        <v>4223</v>
      </c>
      <c r="K2525" s="1" t="s">
        <v>74</v>
      </c>
      <c r="L2525" s="1" t="s">
        <v>74</v>
      </c>
      <c r="M2525" s="1" t="s">
        <v>78</v>
      </c>
      <c r="N2525" s="1" t="s">
        <v>79</v>
      </c>
      <c r="O2525" s="1" t="s">
        <v>74</v>
      </c>
      <c r="P2525" s="1" t="s">
        <v>74</v>
      </c>
      <c r="Q2525" s="1" t="s">
        <v>74</v>
      </c>
      <c r="R2525" s="1" t="s">
        <v>74</v>
      </c>
      <c r="S2525" s="1" t="s">
        <v>74</v>
      </c>
      <c r="T2525" s="1" t="s">
        <v>40343</v>
      </c>
      <c r="U2525" s="1" t="s">
        <v>40344</v>
      </c>
      <c r="V2525" s="1" t="s">
        <v>40345</v>
      </c>
      <c r="W2525" s="1" t="s">
        <v>40346</v>
      </c>
      <c r="X2525" s="1" t="s">
        <v>40347</v>
      </c>
      <c r="Y2525" s="1" t="s">
        <v>40348</v>
      </c>
      <c r="Z2525" s="1" t="s">
        <v>40349</v>
      </c>
      <c r="AA2525" s="1" t="s">
        <v>40350</v>
      </c>
      <c r="AB2525" s="1" t="s">
        <v>40351</v>
      </c>
      <c r="AC2525" s="1" t="s">
        <v>40352</v>
      </c>
      <c r="AD2525" s="1" t="s">
        <v>40353</v>
      </c>
      <c r="AE2525" s="1" t="s">
        <v>40354</v>
      </c>
      <c r="AF2525" s="1" t="s">
        <v>74</v>
      </c>
      <c r="AG2525" s="1">
        <v>18</v>
      </c>
      <c r="AH2525" s="1">
        <v>5</v>
      </c>
      <c r="AI2525" s="1">
        <v>5</v>
      </c>
      <c r="AJ2525" s="1">
        <v>1</v>
      </c>
      <c r="AK2525" s="1">
        <v>16</v>
      </c>
      <c r="AL2525" s="1" t="s">
        <v>2297</v>
      </c>
      <c r="AM2525" s="1" t="s">
        <v>1786</v>
      </c>
      <c r="AN2525" s="1" t="s">
        <v>4234</v>
      </c>
      <c r="AO2525" s="1" t="s">
        <v>4235</v>
      </c>
      <c r="AP2525" s="1" t="s">
        <v>4236</v>
      </c>
      <c r="AQ2525" s="1" t="s">
        <v>74</v>
      </c>
      <c r="AR2525" s="1" t="s">
        <v>4237</v>
      </c>
      <c r="AS2525" s="1" t="s">
        <v>4238</v>
      </c>
      <c r="AT2525" s="1" t="s">
        <v>1223</v>
      </c>
      <c r="AU2525" s="1">
        <v>2016</v>
      </c>
      <c r="AV2525" s="1">
        <v>34</v>
      </c>
      <c r="AW2525" s="1">
        <v>2</v>
      </c>
      <c r="AX2525" s="1" t="s">
        <v>74</v>
      </c>
      <c r="AY2525" s="1" t="s">
        <v>74</v>
      </c>
      <c r="AZ2525" s="1" t="s">
        <v>74</v>
      </c>
      <c r="BA2525" s="1" t="s">
        <v>74</v>
      </c>
      <c r="BB2525" s="1">
        <v>416</v>
      </c>
      <c r="BC2525" s="1">
        <v>421</v>
      </c>
      <c r="BD2525" s="1" t="s">
        <v>74</v>
      </c>
      <c r="BE2525" s="1" t="s">
        <v>40355</v>
      </c>
      <c r="BF2525" s="1" t="str">
        <f>HYPERLINK("http://dx.doi.org/10.1007/s00343-015-4327-z","http://dx.doi.org/10.1007/s00343-015-4327-z")</f>
        <v>http://dx.doi.org/10.1007/s00343-015-4327-z</v>
      </c>
      <c r="BG2525" s="1" t="s">
        <v>74</v>
      </c>
      <c r="BH2525" s="1" t="s">
        <v>74</v>
      </c>
      <c r="BI2525" s="1">
        <v>6</v>
      </c>
      <c r="BJ2525" s="1" t="s">
        <v>4240</v>
      </c>
      <c r="BK2525" s="1" t="s">
        <v>96</v>
      </c>
      <c r="BL2525" s="1" t="s">
        <v>4241</v>
      </c>
      <c r="BM2525" s="1" t="s">
        <v>40356</v>
      </c>
      <c r="BN2525" s="1" t="s">
        <v>74</v>
      </c>
      <c r="BO2525" s="1" t="s">
        <v>74</v>
      </c>
      <c r="BP2525" s="1" t="s">
        <v>74</v>
      </c>
      <c r="BQ2525" s="1" t="s">
        <v>74</v>
      </c>
      <c r="BR2525" s="1" t="s">
        <v>98</v>
      </c>
      <c r="BS2525" s="1" t="s">
        <v>40357</v>
      </c>
      <c r="BT2525" s="1" t="str">
        <f>HYPERLINK("https%3A%2F%2Fwww.webofscience.com%2Fwos%2Fwoscc%2Ffull-record%2FWOS:000371607000019","View Full Record in Web of Science")</f>
        <v>View Full Record in Web of Science</v>
      </c>
      <c r="BU2525" s="1"/>
      <c r="BV2525" s="1"/>
    </row>
    <row r="2526" spans="1:74">
      <c r="A2526" s="1" t="s">
        <v>72</v>
      </c>
      <c r="B2526" s="1" t="s">
        <v>40358</v>
      </c>
      <c r="C2526" s="1" t="s">
        <v>74</v>
      </c>
      <c r="D2526" s="1" t="s">
        <v>74</v>
      </c>
      <c r="E2526" s="1" t="s">
        <v>74</v>
      </c>
      <c r="F2526" s="1" t="s">
        <v>40359</v>
      </c>
      <c r="G2526" s="1" t="s">
        <v>74</v>
      </c>
      <c r="H2526" s="1" t="s">
        <v>74</v>
      </c>
      <c r="I2526" s="1" t="s">
        <v>40360</v>
      </c>
      <c r="J2526" s="1" t="s">
        <v>232</v>
      </c>
      <c r="K2526" s="1" t="s">
        <v>74</v>
      </c>
      <c r="L2526" s="1" t="s">
        <v>74</v>
      </c>
      <c r="M2526" s="1" t="s">
        <v>78</v>
      </c>
      <c r="N2526" s="1" t="s">
        <v>79</v>
      </c>
      <c r="O2526" s="1" t="s">
        <v>74</v>
      </c>
      <c r="P2526" s="1" t="s">
        <v>74</v>
      </c>
      <c r="Q2526" s="1" t="s">
        <v>74</v>
      </c>
      <c r="R2526" s="1" t="s">
        <v>74</v>
      </c>
      <c r="S2526" s="1" t="s">
        <v>74</v>
      </c>
      <c r="T2526" s="1" t="s">
        <v>40361</v>
      </c>
      <c r="U2526" s="1" t="s">
        <v>40362</v>
      </c>
      <c r="V2526" s="1" t="s">
        <v>40363</v>
      </c>
      <c r="W2526" s="1" t="s">
        <v>40364</v>
      </c>
      <c r="X2526" s="1" t="s">
        <v>40365</v>
      </c>
      <c r="Y2526" s="1" t="s">
        <v>40366</v>
      </c>
      <c r="Z2526" s="1" t="s">
        <v>40367</v>
      </c>
      <c r="AA2526" s="1" t="s">
        <v>40368</v>
      </c>
      <c r="AB2526" s="1" t="s">
        <v>40369</v>
      </c>
      <c r="AC2526" s="1" t="s">
        <v>74</v>
      </c>
      <c r="AD2526" s="1" t="s">
        <v>74</v>
      </c>
      <c r="AE2526" s="1" t="s">
        <v>74</v>
      </c>
      <c r="AF2526" s="1" t="s">
        <v>74</v>
      </c>
      <c r="AG2526" s="1">
        <v>57</v>
      </c>
      <c r="AH2526" s="1">
        <v>45</v>
      </c>
      <c r="AI2526" s="1">
        <v>45</v>
      </c>
      <c r="AJ2526" s="1">
        <v>1</v>
      </c>
      <c r="AK2526" s="1">
        <v>26</v>
      </c>
      <c r="AL2526" s="1" t="s">
        <v>136</v>
      </c>
      <c r="AM2526" s="1" t="s">
        <v>137</v>
      </c>
      <c r="AN2526" s="1" t="s">
        <v>138</v>
      </c>
      <c r="AO2526" s="1" t="s">
        <v>240</v>
      </c>
      <c r="AP2526" s="1" t="s">
        <v>241</v>
      </c>
      <c r="AQ2526" s="1" t="s">
        <v>74</v>
      </c>
      <c r="AR2526" s="1" t="s">
        <v>242</v>
      </c>
      <c r="AS2526" s="1" t="s">
        <v>243</v>
      </c>
      <c r="AT2526" s="1" t="s">
        <v>170</v>
      </c>
      <c r="AU2526" s="1">
        <v>2022</v>
      </c>
      <c r="AV2526" s="1">
        <v>178</v>
      </c>
      <c r="AW2526" s="1" t="s">
        <v>74</v>
      </c>
      <c r="AX2526" s="1" t="s">
        <v>74</v>
      </c>
      <c r="AY2526" s="1" t="s">
        <v>74</v>
      </c>
      <c r="AZ2526" s="1" t="s">
        <v>74</v>
      </c>
      <c r="BA2526" s="1" t="s">
        <v>74</v>
      </c>
      <c r="BB2526" s="1" t="s">
        <v>74</v>
      </c>
      <c r="BC2526" s="1" t="s">
        <v>74</v>
      </c>
      <c r="BD2526" s="1">
        <v>113607</v>
      </c>
      <c r="BE2526" s="1" t="s">
        <v>40370</v>
      </c>
      <c r="BF2526" s="1" t="str">
        <f>HYPERLINK("http://dx.doi.org/10.1016/j.marpolbul.2022.113607","http://dx.doi.org/10.1016/j.marpolbul.2022.113607")</f>
        <v>http://dx.doi.org/10.1016/j.marpolbul.2022.113607</v>
      </c>
      <c r="BG2526" s="1" t="s">
        <v>74</v>
      </c>
      <c r="BH2526" s="1" t="s">
        <v>5038</v>
      </c>
      <c r="BI2526" s="1">
        <v>11</v>
      </c>
      <c r="BJ2526" s="1" t="s">
        <v>247</v>
      </c>
      <c r="BK2526" s="1" t="s">
        <v>96</v>
      </c>
      <c r="BL2526" s="1" t="s">
        <v>248</v>
      </c>
      <c r="BM2526" s="1" t="s">
        <v>19211</v>
      </c>
      <c r="BN2526" s="1">
        <v>35367698</v>
      </c>
      <c r="BO2526" s="1" t="s">
        <v>74</v>
      </c>
      <c r="BP2526" s="1" t="s">
        <v>74</v>
      </c>
      <c r="BQ2526" s="1" t="s">
        <v>74</v>
      </c>
      <c r="BR2526" s="1" t="s">
        <v>98</v>
      </c>
      <c r="BS2526" s="1" t="s">
        <v>40371</v>
      </c>
      <c r="BT2526" s="1" t="str">
        <f>HYPERLINK("https%3A%2F%2Fwww.webofscience.com%2Fwos%2Fwoscc%2Ffull-record%2FWOS:000806352600008","View Full Record in Web of Science")</f>
        <v>View Full Record in Web of Science</v>
      </c>
      <c r="BU2526" s="1"/>
      <c r="BV2526" s="1"/>
    </row>
    <row r="2527" spans="1:74">
      <c r="A2527" s="1" t="s">
        <v>72</v>
      </c>
      <c r="B2527" s="1" t="s">
        <v>40372</v>
      </c>
      <c r="C2527" s="1" t="s">
        <v>74</v>
      </c>
      <c r="D2527" s="1" t="s">
        <v>74</v>
      </c>
      <c r="E2527" s="1" t="s">
        <v>74</v>
      </c>
      <c r="F2527" s="1" t="s">
        <v>40373</v>
      </c>
      <c r="G2527" s="1" t="s">
        <v>74</v>
      </c>
      <c r="H2527" s="1" t="s">
        <v>74</v>
      </c>
      <c r="I2527" s="1" t="s">
        <v>40374</v>
      </c>
      <c r="J2527" s="1" t="s">
        <v>204</v>
      </c>
      <c r="K2527" s="1" t="s">
        <v>74</v>
      </c>
      <c r="L2527" s="1" t="s">
        <v>74</v>
      </c>
      <c r="M2527" s="1" t="s">
        <v>78</v>
      </c>
      <c r="N2527" s="1" t="s">
        <v>79</v>
      </c>
      <c r="O2527" s="1" t="s">
        <v>74</v>
      </c>
      <c r="P2527" s="1" t="s">
        <v>74</v>
      </c>
      <c r="Q2527" s="1" t="s">
        <v>74</v>
      </c>
      <c r="R2527" s="1" t="s">
        <v>74</v>
      </c>
      <c r="S2527" s="1" t="s">
        <v>74</v>
      </c>
      <c r="T2527" s="1" t="s">
        <v>40375</v>
      </c>
      <c r="U2527" s="1" t="s">
        <v>40376</v>
      </c>
      <c r="V2527" s="1" t="s">
        <v>40377</v>
      </c>
      <c r="W2527" s="1" t="s">
        <v>40378</v>
      </c>
      <c r="X2527" s="1" t="s">
        <v>40379</v>
      </c>
      <c r="Y2527" s="1" t="s">
        <v>40380</v>
      </c>
      <c r="Z2527" s="1" t="s">
        <v>35436</v>
      </c>
      <c r="AA2527" s="1" t="s">
        <v>39010</v>
      </c>
      <c r="AB2527" s="1" t="s">
        <v>40381</v>
      </c>
      <c r="AC2527" s="1" t="s">
        <v>40382</v>
      </c>
      <c r="AD2527" s="1" t="s">
        <v>30263</v>
      </c>
      <c r="AE2527" s="1" t="s">
        <v>40383</v>
      </c>
      <c r="AF2527" s="1" t="s">
        <v>74</v>
      </c>
      <c r="AG2527" s="1">
        <v>64</v>
      </c>
      <c r="AH2527" s="1">
        <v>15</v>
      </c>
      <c r="AI2527" s="1">
        <v>16</v>
      </c>
      <c r="AJ2527" s="1">
        <v>3</v>
      </c>
      <c r="AK2527" s="1">
        <v>33</v>
      </c>
      <c r="AL2527" s="1" t="s">
        <v>217</v>
      </c>
      <c r="AM2527" s="1" t="s">
        <v>218</v>
      </c>
      <c r="AN2527" s="1" t="s">
        <v>219</v>
      </c>
      <c r="AO2527" s="1" t="s">
        <v>220</v>
      </c>
      <c r="AP2527" s="1" t="s">
        <v>221</v>
      </c>
      <c r="AQ2527" s="1" t="s">
        <v>74</v>
      </c>
      <c r="AR2527" s="1" t="s">
        <v>222</v>
      </c>
      <c r="AS2527" s="1" t="s">
        <v>223</v>
      </c>
      <c r="AT2527" s="1" t="s">
        <v>1223</v>
      </c>
      <c r="AU2527" s="1">
        <v>2016</v>
      </c>
      <c r="AV2527" s="1">
        <v>23</v>
      </c>
      <c r="AW2527" s="1">
        <v>6</v>
      </c>
      <c r="AX2527" s="1" t="s">
        <v>74</v>
      </c>
      <c r="AY2527" s="1" t="s">
        <v>74</v>
      </c>
      <c r="AZ2527" s="1" t="s">
        <v>74</v>
      </c>
      <c r="BA2527" s="1" t="s">
        <v>74</v>
      </c>
      <c r="BB2527" s="1">
        <v>5002</v>
      </c>
      <c r="BC2527" s="1">
        <v>5018</v>
      </c>
      <c r="BD2527" s="1" t="s">
        <v>74</v>
      </c>
      <c r="BE2527" s="1" t="s">
        <v>40384</v>
      </c>
      <c r="BF2527" s="1" t="str">
        <f>HYPERLINK("http://dx.doi.org/10.1007/s11356-014-3702-1","http://dx.doi.org/10.1007/s11356-014-3702-1")</f>
        <v>http://dx.doi.org/10.1007/s11356-014-3702-1</v>
      </c>
      <c r="BG2527" s="1" t="s">
        <v>74</v>
      </c>
      <c r="BH2527" s="1" t="s">
        <v>74</v>
      </c>
      <c r="BI2527" s="1">
        <v>17</v>
      </c>
      <c r="BJ2527" s="1" t="s">
        <v>144</v>
      </c>
      <c r="BK2527" s="1" t="s">
        <v>96</v>
      </c>
      <c r="BL2527" s="1" t="s">
        <v>145</v>
      </c>
      <c r="BM2527" s="1" t="s">
        <v>16159</v>
      </c>
      <c r="BN2527" s="1">
        <v>25315935</v>
      </c>
      <c r="BO2527" s="1" t="s">
        <v>74</v>
      </c>
      <c r="BP2527" s="1" t="s">
        <v>74</v>
      </c>
      <c r="BQ2527" s="1" t="s">
        <v>74</v>
      </c>
      <c r="BR2527" s="1" t="s">
        <v>98</v>
      </c>
      <c r="BS2527" s="1" t="s">
        <v>40385</v>
      </c>
      <c r="BT2527" s="1" t="str">
        <f>HYPERLINK("https%3A%2F%2Fwww.webofscience.com%2Fwos%2Fwoscc%2Ffull-record%2FWOS:000373609300005","View Full Record in Web of Science")</f>
        <v>View Full Record in Web of Science</v>
      </c>
      <c r="BU2527" s="1"/>
      <c r="BV2527" s="1"/>
    </row>
    <row r="2528" spans="1:74">
      <c r="A2528" s="1" t="s">
        <v>72</v>
      </c>
      <c r="B2528" s="1" t="s">
        <v>40386</v>
      </c>
      <c r="C2528" s="1" t="s">
        <v>74</v>
      </c>
      <c r="D2528" s="1" t="s">
        <v>74</v>
      </c>
      <c r="E2528" s="1" t="s">
        <v>74</v>
      </c>
      <c r="F2528" s="1" t="s">
        <v>40387</v>
      </c>
      <c r="G2528" s="1" t="s">
        <v>74</v>
      </c>
      <c r="H2528" s="1" t="s">
        <v>74</v>
      </c>
      <c r="I2528" s="1" t="s">
        <v>40388</v>
      </c>
      <c r="J2528" s="1" t="s">
        <v>275</v>
      </c>
      <c r="K2528" s="1" t="s">
        <v>74</v>
      </c>
      <c r="L2528" s="1" t="s">
        <v>74</v>
      </c>
      <c r="M2528" s="1" t="s">
        <v>78</v>
      </c>
      <c r="N2528" s="1" t="s">
        <v>79</v>
      </c>
      <c r="O2528" s="1" t="s">
        <v>74</v>
      </c>
      <c r="P2528" s="1" t="s">
        <v>74</v>
      </c>
      <c r="Q2528" s="1" t="s">
        <v>74</v>
      </c>
      <c r="R2528" s="1" t="s">
        <v>74</v>
      </c>
      <c r="S2528" s="1" t="s">
        <v>74</v>
      </c>
      <c r="T2528" s="1" t="s">
        <v>40389</v>
      </c>
      <c r="U2528" s="1" t="s">
        <v>40390</v>
      </c>
      <c r="V2528" s="1" t="s">
        <v>40391</v>
      </c>
      <c r="W2528" s="1" t="s">
        <v>40392</v>
      </c>
      <c r="X2528" s="1" t="s">
        <v>25649</v>
      </c>
      <c r="Y2528" s="1" t="s">
        <v>40393</v>
      </c>
      <c r="Z2528" s="1" t="s">
        <v>32756</v>
      </c>
      <c r="AA2528" s="1" t="s">
        <v>40394</v>
      </c>
      <c r="AB2528" s="1" t="s">
        <v>37252</v>
      </c>
      <c r="AC2528" s="1" t="s">
        <v>40395</v>
      </c>
      <c r="AD2528" s="1" t="s">
        <v>40396</v>
      </c>
      <c r="AE2528" s="1" t="s">
        <v>40397</v>
      </c>
      <c r="AF2528" s="1" t="s">
        <v>74</v>
      </c>
      <c r="AG2528" s="1">
        <v>60</v>
      </c>
      <c r="AH2528" s="1">
        <v>16</v>
      </c>
      <c r="AI2528" s="1">
        <v>17</v>
      </c>
      <c r="AJ2528" s="1">
        <v>2</v>
      </c>
      <c r="AK2528" s="1">
        <v>48</v>
      </c>
      <c r="AL2528" s="1" t="s">
        <v>285</v>
      </c>
      <c r="AM2528" s="1" t="s">
        <v>286</v>
      </c>
      <c r="AN2528" s="1" t="s">
        <v>287</v>
      </c>
      <c r="AO2528" s="1" t="s">
        <v>288</v>
      </c>
      <c r="AP2528" s="1" t="s">
        <v>289</v>
      </c>
      <c r="AQ2528" s="1" t="s">
        <v>74</v>
      </c>
      <c r="AR2528" s="1" t="s">
        <v>290</v>
      </c>
      <c r="AS2528" s="1" t="s">
        <v>291</v>
      </c>
      <c r="AT2528" s="1" t="s">
        <v>267</v>
      </c>
      <c r="AU2528" s="1">
        <v>2018</v>
      </c>
      <c r="AV2528" s="1">
        <v>81</v>
      </c>
      <c r="AW2528" s="1" t="s">
        <v>74</v>
      </c>
      <c r="AX2528" s="1" t="s">
        <v>74</v>
      </c>
      <c r="AY2528" s="1" t="s">
        <v>74</v>
      </c>
      <c r="AZ2528" s="1" t="s">
        <v>74</v>
      </c>
      <c r="BA2528" s="1" t="s">
        <v>74</v>
      </c>
      <c r="BB2528" s="1">
        <v>29</v>
      </c>
      <c r="BC2528" s="1">
        <v>36</v>
      </c>
      <c r="BD2528" s="1" t="s">
        <v>74</v>
      </c>
      <c r="BE2528" s="1" t="s">
        <v>40398</v>
      </c>
      <c r="BF2528" s="1" t="str">
        <f>HYPERLINK("http://dx.doi.org/10.1016/j.fsi.2018.07.009","http://dx.doi.org/10.1016/j.fsi.2018.07.009")</f>
        <v>http://dx.doi.org/10.1016/j.fsi.2018.07.009</v>
      </c>
      <c r="BG2528" s="1" t="s">
        <v>74</v>
      </c>
      <c r="BH2528" s="1" t="s">
        <v>74</v>
      </c>
      <c r="BI2528" s="1">
        <v>8</v>
      </c>
      <c r="BJ2528" s="1" t="s">
        <v>293</v>
      </c>
      <c r="BK2528" s="1" t="s">
        <v>96</v>
      </c>
      <c r="BL2528" s="1" t="s">
        <v>293</v>
      </c>
      <c r="BM2528" s="1" t="s">
        <v>5945</v>
      </c>
      <c r="BN2528" s="1">
        <v>29981881</v>
      </c>
      <c r="BO2528" s="1" t="s">
        <v>74</v>
      </c>
      <c r="BP2528" s="1" t="s">
        <v>74</v>
      </c>
      <c r="BQ2528" s="1" t="s">
        <v>74</v>
      </c>
      <c r="BR2528" s="1" t="s">
        <v>98</v>
      </c>
      <c r="BS2528" s="1" t="s">
        <v>40399</v>
      </c>
      <c r="BT2528" s="1" t="str">
        <f>HYPERLINK("https%3A%2F%2Fwww.webofscience.com%2Fwos%2Fwoscc%2Ffull-record%2FWOS:000443665900004","View Full Record in Web of Science")</f>
        <v>View Full Record in Web of Science</v>
      </c>
      <c r="BU2528" s="1"/>
      <c r="BV2528" s="1"/>
    </row>
    <row r="2529" spans="1:74">
      <c r="A2529" s="1" t="s">
        <v>72</v>
      </c>
      <c r="B2529" s="1" t="s">
        <v>40400</v>
      </c>
      <c r="C2529" s="1" t="s">
        <v>74</v>
      </c>
      <c r="D2529" s="1" t="s">
        <v>74</v>
      </c>
      <c r="E2529" s="1" t="s">
        <v>74</v>
      </c>
      <c r="F2529" s="1" t="s">
        <v>40401</v>
      </c>
      <c r="G2529" s="1" t="s">
        <v>74</v>
      </c>
      <c r="H2529" s="1" t="s">
        <v>74</v>
      </c>
      <c r="I2529" s="1" t="s">
        <v>40402</v>
      </c>
      <c r="J2529" s="1" t="s">
        <v>232</v>
      </c>
      <c r="K2529" s="1" t="s">
        <v>74</v>
      </c>
      <c r="L2529" s="1" t="s">
        <v>74</v>
      </c>
      <c r="M2529" s="1" t="s">
        <v>78</v>
      </c>
      <c r="N2529" s="1" t="s">
        <v>79</v>
      </c>
      <c r="O2529" s="1" t="s">
        <v>74</v>
      </c>
      <c r="P2529" s="1" t="s">
        <v>74</v>
      </c>
      <c r="Q2529" s="1" t="s">
        <v>74</v>
      </c>
      <c r="R2529" s="1" t="s">
        <v>74</v>
      </c>
      <c r="S2529" s="1" t="s">
        <v>74</v>
      </c>
      <c r="T2529" s="1" t="s">
        <v>40403</v>
      </c>
      <c r="U2529" s="1" t="s">
        <v>40404</v>
      </c>
      <c r="V2529" s="1" t="s">
        <v>40405</v>
      </c>
      <c r="W2529" s="1" t="s">
        <v>40406</v>
      </c>
      <c r="X2529" s="1" t="s">
        <v>74</v>
      </c>
      <c r="Y2529" s="1" t="s">
        <v>40407</v>
      </c>
      <c r="Z2529" s="1" t="s">
        <v>40408</v>
      </c>
      <c r="AA2529" s="1" t="s">
        <v>74</v>
      </c>
      <c r="AB2529" s="1" t="s">
        <v>74</v>
      </c>
      <c r="AC2529" s="1" t="s">
        <v>40409</v>
      </c>
      <c r="AD2529" s="1" t="s">
        <v>40409</v>
      </c>
      <c r="AE2529" s="1" t="s">
        <v>40410</v>
      </c>
      <c r="AF2529" s="1" t="s">
        <v>74</v>
      </c>
      <c r="AG2529" s="1">
        <v>63</v>
      </c>
      <c r="AH2529" s="1">
        <v>1</v>
      </c>
      <c r="AI2529" s="1">
        <v>1</v>
      </c>
      <c r="AJ2529" s="1">
        <v>2</v>
      </c>
      <c r="AK2529" s="1">
        <v>19</v>
      </c>
      <c r="AL2529" s="1" t="s">
        <v>136</v>
      </c>
      <c r="AM2529" s="1" t="s">
        <v>137</v>
      </c>
      <c r="AN2529" s="1" t="s">
        <v>138</v>
      </c>
      <c r="AO2529" s="1" t="s">
        <v>240</v>
      </c>
      <c r="AP2529" s="1" t="s">
        <v>241</v>
      </c>
      <c r="AQ2529" s="1" t="s">
        <v>74</v>
      </c>
      <c r="AR2529" s="1" t="s">
        <v>242</v>
      </c>
      <c r="AS2529" s="1" t="s">
        <v>243</v>
      </c>
      <c r="AT2529" s="1" t="s">
        <v>197</v>
      </c>
      <c r="AU2529" s="1">
        <v>2022</v>
      </c>
      <c r="AV2529" s="1">
        <v>185</v>
      </c>
      <c r="AW2529" s="1" t="s">
        <v>74</v>
      </c>
      <c r="AX2529" s="1" t="s">
        <v>489</v>
      </c>
      <c r="AY2529" s="1" t="s">
        <v>74</v>
      </c>
      <c r="AZ2529" s="1" t="s">
        <v>74</v>
      </c>
      <c r="BA2529" s="1" t="s">
        <v>74</v>
      </c>
      <c r="BB2529" s="1" t="s">
        <v>74</v>
      </c>
      <c r="BC2529" s="1" t="s">
        <v>74</v>
      </c>
      <c r="BD2529" s="1">
        <v>114210</v>
      </c>
      <c r="BE2529" s="1" t="s">
        <v>40411</v>
      </c>
      <c r="BF2529" s="1" t="str">
        <f>HYPERLINK("http://dx.doi.org/10.1016/j.marpolbul.2022.114210","http://dx.doi.org/10.1016/j.marpolbul.2022.114210")</f>
        <v>http://dx.doi.org/10.1016/j.marpolbul.2022.114210</v>
      </c>
      <c r="BG2529" s="1" t="s">
        <v>74</v>
      </c>
      <c r="BH2529" s="1" t="s">
        <v>19875</v>
      </c>
      <c r="BI2529" s="1">
        <v>13</v>
      </c>
      <c r="BJ2529" s="1" t="s">
        <v>247</v>
      </c>
      <c r="BK2529" s="1" t="s">
        <v>96</v>
      </c>
      <c r="BL2529" s="1" t="s">
        <v>248</v>
      </c>
      <c r="BM2529" s="1" t="s">
        <v>40412</v>
      </c>
      <c r="BN2529" s="1">
        <v>36302308</v>
      </c>
      <c r="BO2529" s="1" t="s">
        <v>74</v>
      </c>
      <c r="BP2529" s="1" t="s">
        <v>74</v>
      </c>
      <c r="BQ2529" s="1" t="s">
        <v>74</v>
      </c>
      <c r="BR2529" s="1" t="s">
        <v>98</v>
      </c>
      <c r="BS2529" s="1" t="s">
        <v>40413</v>
      </c>
      <c r="BT2529" s="1" t="str">
        <f>HYPERLINK("https%3A%2F%2Fwww.webofscience.com%2Fwos%2Fwoscc%2Ffull-record%2FWOS:000878515600007","View Full Record in Web of Science")</f>
        <v>View Full Record in Web of Science</v>
      </c>
      <c r="BU2529" s="1"/>
      <c r="BV2529" s="1"/>
    </row>
    <row r="2530" spans="1:74">
      <c r="A2530" s="1" t="s">
        <v>72</v>
      </c>
      <c r="B2530" s="1" t="s">
        <v>40414</v>
      </c>
      <c r="C2530" s="1" t="s">
        <v>74</v>
      </c>
      <c r="D2530" s="1" t="s">
        <v>74</v>
      </c>
      <c r="E2530" s="1" t="s">
        <v>74</v>
      </c>
      <c r="F2530" s="1" t="s">
        <v>40415</v>
      </c>
      <c r="G2530" s="1" t="s">
        <v>74</v>
      </c>
      <c r="H2530" s="1" t="s">
        <v>74</v>
      </c>
      <c r="I2530" s="1" t="s">
        <v>40416</v>
      </c>
      <c r="J2530" s="1" t="s">
        <v>40417</v>
      </c>
      <c r="K2530" s="1" t="s">
        <v>74</v>
      </c>
      <c r="L2530" s="1" t="s">
        <v>74</v>
      </c>
      <c r="M2530" s="1" t="s">
        <v>78</v>
      </c>
      <c r="N2530" s="1" t="s">
        <v>79</v>
      </c>
      <c r="O2530" s="1" t="s">
        <v>74</v>
      </c>
      <c r="P2530" s="1" t="s">
        <v>74</v>
      </c>
      <c r="Q2530" s="1" t="s">
        <v>74</v>
      </c>
      <c r="R2530" s="1" t="s">
        <v>74</v>
      </c>
      <c r="S2530" s="1" t="s">
        <v>74</v>
      </c>
      <c r="T2530" s="1" t="s">
        <v>74</v>
      </c>
      <c r="U2530" s="1" t="s">
        <v>40418</v>
      </c>
      <c r="V2530" s="1" t="s">
        <v>40419</v>
      </c>
      <c r="W2530" s="1" t="s">
        <v>40420</v>
      </c>
      <c r="X2530" s="1" t="s">
        <v>40421</v>
      </c>
      <c r="Y2530" s="1" t="s">
        <v>40422</v>
      </c>
      <c r="Z2530" s="1" t="s">
        <v>40423</v>
      </c>
      <c r="AA2530" s="1" t="s">
        <v>40424</v>
      </c>
      <c r="AB2530" s="1" t="s">
        <v>40425</v>
      </c>
      <c r="AC2530" s="1" t="s">
        <v>40426</v>
      </c>
      <c r="AD2530" s="1" t="s">
        <v>40427</v>
      </c>
      <c r="AE2530" s="1" t="s">
        <v>40428</v>
      </c>
      <c r="AF2530" s="1" t="s">
        <v>74</v>
      </c>
      <c r="AG2530" s="1">
        <v>67</v>
      </c>
      <c r="AH2530" s="1">
        <v>1</v>
      </c>
      <c r="AI2530" s="1">
        <v>1</v>
      </c>
      <c r="AJ2530" s="1">
        <v>5</v>
      </c>
      <c r="AK2530" s="1">
        <v>21</v>
      </c>
      <c r="AL2530" s="1" t="s">
        <v>261</v>
      </c>
      <c r="AM2530" s="1" t="s">
        <v>262</v>
      </c>
      <c r="AN2530" s="1" t="s">
        <v>19471</v>
      </c>
      <c r="AO2530" s="1" t="s">
        <v>40429</v>
      </c>
      <c r="AP2530" s="1" t="s">
        <v>40430</v>
      </c>
      <c r="AQ2530" s="1" t="s">
        <v>74</v>
      </c>
      <c r="AR2530" s="1" t="s">
        <v>40431</v>
      </c>
      <c r="AS2530" s="1" t="s">
        <v>40432</v>
      </c>
      <c r="AT2530" s="1" t="s">
        <v>24953</v>
      </c>
      <c r="AU2530" s="1">
        <v>2023</v>
      </c>
      <c r="AV2530" s="1">
        <v>47</v>
      </c>
      <c r="AW2530" s="1">
        <v>19</v>
      </c>
      <c r="AX2530" s="1" t="s">
        <v>74</v>
      </c>
      <c r="AY2530" s="1" t="s">
        <v>74</v>
      </c>
      <c r="AZ2530" s="1" t="s">
        <v>74</v>
      </c>
      <c r="BA2530" s="1" t="s">
        <v>74</v>
      </c>
      <c r="BB2530" s="1">
        <v>9066</v>
      </c>
      <c r="BC2530" s="1">
        <v>9076</v>
      </c>
      <c r="BD2530" s="1" t="s">
        <v>74</v>
      </c>
      <c r="BE2530" s="1" t="s">
        <v>40433</v>
      </c>
      <c r="BF2530" s="1" t="str">
        <f>HYPERLINK("http://dx.doi.org/10.1039/d3nj00622k","http://dx.doi.org/10.1039/d3nj00622k")</f>
        <v>http://dx.doi.org/10.1039/d3nj00622k</v>
      </c>
      <c r="BG2530" s="1" t="s">
        <v>74</v>
      </c>
      <c r="BH2530" s="1" t="s">
        <v>2540</v>
      </c>
      <c r="BI2530" s="1">
        <v>11</v>
      </c>
      <c r="BJ2530" s="1" t="s">
        <v>3919</v>
      </c>
      <c r="BK2530" s="1" t="s">
        <v>96</v>
      </c>
      <c r="BL2530" s="1" t="s">
        <v>1197</v>
      </c>
      <c r="BM2530" s="1" t="s">
        <v>40434</v>
      </c>
      <c r="BN2530" s="1" t="s">
        <v>74</v>
      </c>
      <c r="BO2530" s="1" t="s">
        <v>74</v>
      </c>
      <c r="BP2530" s="1" t="s">
        <v>74</v>
      </c>
      <c r="BQ2530" s="1" t="s">
        <v>74</v>
      </c>
      <c r="BR2530" s="1" t="s">
        <v>98</v>
      </c>
      <c r="BS2530" s="1" t="s">
        <v>40435</v>
      </c>
      <c r="BT2530" s="1" t="str">
        <f>HYPERLINK("https%3A%2F%2Fwww.webofscience.com%2Fwos%2Fwoscc%2Ffull-record%2FWOS:000975750000001","View Full Record in Web of Science")</f>
        <v>View Full Record in Web of Science</v>
      </c>
      <c r="BU2530" s="1"/>
      <c r="BV2530" s="1"/>
    </row>
    <row r="2531" spans="1:74">
      <c r="A2531" s="1" t="s">
        <v>72</v>
      </c>
      <c r="B2531" s="1" t="s">
        <v>40436</v>
      </c>
      <c r="C2531" s="1" t="s">
        <v>74</v>
      </c>
      <c r="D2531" s="1" t="s">
        <v>74</v>
      </c>
      <c r="E2531" s="1" t="s">
        <v>74</v>
      </c>
      <c r="F2531" s="1" t="s">
        <v>40437</v>
      </c>
      <c r="G2531" s="1" t="s">
        <v>74</v>
      </c>
      <c r="H2531" s="1" t="s">
        <v>74</v>
      </c>
      <c r="I2531" s="1" t="s">
        <v>40438</v>
      </c>
      <c r="J2531" s="1" t="s">
        <v>395</v>
      </c>
      <c r="K2531" s="1" t="s">
        <v>74</v>
      </c>
      <c r="L2531" s="1" t="s">
        <v>74</v>
      </c>
      <c r="M2531" s="1" t="s">
        <v>78</v>
      </c>
      <c r="N2531" s="1" t="s">
        <v>79</v>
      </c>
      <c r="O2531" s="1" t="s">
        <v>74</v>
      </c>
      <c r="P2531" s="1" t="s">
        <v>74</v>
      </c>
      <c r="Q2531" s="1" t="s">
        <v>74</v>
      </c>
      <c r="R2531" s="1" t="s">
        <v>74</v>
      </c>
      <c r="S2531" s="1" t="s">
        <v>74</v>
      </c>
      <c r="T2531" s="1" t="s">
        <v>40439</v>
      </c>
      <c r="U2531" s="1" t="s">
        <v>40440</v>
      </c>
      <c r="V2531" s="1" t="s">
        <v>40441</v>
      </c>
      <c r="W2531" s="1" t="s">
        <v>40442</v>
      </c>
      <c r="X2531" s="1" t="s">
        <v>12390</v>
      </c>
      <c r="Y2531" s="1" t="s">
        <v>40443</v>
      </c>
      <c r="Z2531" s="1" t="s">
        <v>12392</v>
      </c>
      <c r="AA2531" s="1" t="s">
        <v>12635</v>
      </c>
      <c r="AB2531" s="1" t="s">
        <v>74</v>
      </c>
      <c r="AC2531" s="1" t="s">
        <v>74</v>
      </c>
      <c r="AD2531" s="1" t="s">
        <v>74</v>
      </c>
      <c r="AE2531" s="1" t="s">
        <v>74</v>
      </c>
      <c r="AF2531" s="1" t="s">
        <v>74</v>
      </c>
      <c r="AG2531" s="1">
        <v>23</v>
      </c>
      <c r="AH2531" s="1">
        <v>16</v>
      </c>
      <c r="AI2531" s="1">
        <v>16</v>
      </c>
      <c r="AJ2531" s="1">
        <v>0</v>
      </c>
      <c r="AK2531" s="1">
        <v>18</v>
      </c>
      <c r="AL2531" s="1" t="s">
        <v>408</v>
      </c>
      <c r="AM2531" s="1" t="s">
        <v>409</v>
      </c>
      <c r="AN2531" s="1" t="s">
        <v>1188</v>
      </c>
      <c r="AO2531" s="1" t="s">
        <v>411</v>
      </c>
      <c r="AP2531" s="1" t="s">
        <v>6093</v>
      </c>
      <c r="AQ2531" s="1" t="s">
        <v>74</v>
      </c>
      <c r="AR2531" s="1" t="s">
        <v>412</v>
      </c>
      <c r="AS2531" s="1" t="s">
        <v>413</v>
      </c>
      <c r="AT2531" s="1" t="s">
        <v>119</v>
      </c>
      <c r="AU2531" s="1">
        <v>2007</v>
      </c>
      <c r="AV2531" s="1">
        <v>42</v>
      </c>
      <c r="AW2531" s="1">
        <v>10</v>
      </c>
      <c r="AX2531" s="1" t="s">
        <v>74</v>
      </c>
      <c r="AY2531" s="1" t="s">
        <v>74</v>
      </c>
      <c r="AZ2531" s="1" t="s">
        <v>74</v>
      </c>
      <c r="BA2531" s="1" t="s">
        <v>74</v>
      </c>
      <c r="BB2531" s="1">
        <v>1411</v>
      </c>
      <c r="BC2531" s="1">
        <v>1416</v>
      </c>
      <c r="BD2531" s="1" t="s">
        <v>74</v>
      </c>
      <c r="BE2531" s="1" t="s">
        <v>40444</v>
      </c>
      <c r="BF2531" s="1" t="str">
        <f>HYPERLINK("http://dx.doi.org/10.1080/10934520701480615","http://dx.doi.org/10.1080/10934520701480615")</f>
        <v>http://dx.doi.org/10.1080/10934520701480615</v>
      </c>
      <c r="BG2531" s="1" t="s">
        <v>74</v>
      </c>
      <c r="BH2531" s="1" t="s">
        <v>74</v>
      </c>
      <c r="BI2531" s="1">
        <v>6</v>
      </c>
      <c r="BJ2531" s="1" t="s">
        <v>415</v>
      </c>
      <c r="BK2531" s="1" t="s">
        <v>96</v>
      </c>
      <c r="BL2531" s="1" t="s">
        <v>416</v>
      </c>
      <c r="BM2531" s="1" t="s">
        <v>40445</v>
      </c>
      <c r="BN2531" s="1">
        <v>17680479</v>
      </c>
      <c r="BO2531" s="1" t="s">
        <v>74</v>
      </c>
      <c r="BP2531" s="1" t="s">
        <v>74</v>
      </c>
      <c r="BQ2531" s="1" t="s">
        <v>74</v>
      </c>
      <c r="BR2531" s="1" t="s">
        <v>98</v>
      </c>
      <c r="BS2531" s="1" t="s">
        <v>40446</v>
      </c>
      <c r="BT2531" s="1" t="str">
        <f>HYPERLINK("https%3A%2F%2Fwww.webofscience.com%2Fwos%2Fwoscc%2Ffull-record%2FWOS:000249176500008","View Full Record in Web of Science")</f>
        <v>View Full Record in Web of Science</v>
      </c>
      <c r="BU2531" s="1"/>
      <c r="BV2531" s="1"/>
    </row>
    <row r="2532" spans="1:74">
      <c r="A2532" s="1" t="s">
        <v>72</v>
      </c>
      <c r="B2532" s="1" t="s">
        <v>40447</v>
      </c>
      <c r="C2532" s="1" t="s">
        <v>74</v>
      </c>
      <c r="D2532" s="1" t="s">
        <v>74</v>
      </c>
      <c r="E2532" s="1" t="s">
        <v>74</v>
      </c>
      <c r="F2532" s="1" t="s">
        <v>40448</v>
      </c>
      <c r="G2532" s="1" t="s">
        <v>74</v>
      </c>
      <c r="H2532" s="1" t="s">
        <v>74</v>
      </c>
      <c r="I2532" s="1" t="s">
        <v>40449</v>
      </c>
      <c r="J2532" s="1" t="s">
        <v>909</v>
      </c>
      <c r="K2532" s="1" t="s">
        <v>74</v>
      </c>
      <c r="L2532" s="1" t="s">
        <v>74</v>
      </c>
      <c r="M2532" s="1" t="s">
        <v>78</v>
      </c>
      <c r="N2532" s="1" t="s">
        <v>79</v>
      </c>
      <c r="O2532" s="1" t="s">
        <v>74</v>
      </c>
      <c r="P2532" s="1" t="s">
        <v>74</v>
      </c>
      <c r="Q2532" s="1" t="s">
        <v>74</v>
      </c>
      <c r="R2532" s="1" t="s">
        <v>74</v>
      </c>
      <c r="S2532" s="1" t="s">
        <v>74</v>
      </c>
      <c r="T2532" s="1" t="s">
        <v>40450</v>
      </c>
      <c r="U2532" s="1" t="s">
        <v>40451</v>
      </c>
      <c r="V2532" s="1" t="s">
        <v>40452</v>
      </c>
      <c r="W2532" s="1" t="s">
        <v>40453</v>
      </c>
      <c r="X2532" s="1" t="s">
        <v>40454</v>
      </c>
      <c r="Y2532" s="1" t="s">
        <v>40455</v>
      </c>
      <c r="Z2532" s="1" t="s">
        <v>40456</v>
      </c>
      <c r="AA2532" s="1" t="s">
        <v>40457</v>
      </c>
      <c r="AB2532" s="1" t="s">
        <v>40458</v>
      </c>
      <c r="AC2532" s="1" t="s">
        <v>40459</v>
      </c>
      <c r="AD2532" s="1" t="s">
        <v>40460</v>
      </c>
      <c r="AE2532" s="1" t="s">
        <v>40461</v>
      </c>
      <c r="AF2532" s="1" t="s">
        <v>74</v>
      </c>
      <c r="AG2532" s="1">
        <v>45</v>
      </c>
      <c r="AH2532" s="1">
        <v>110</v>
      </c>
      <c r="AI2532" s="1">
        <v>116</v>
      </c>
      <c r="AJ2532" s="1">
        <v>22</v>
      </c>
      <c r="AK2532" s="1">
        <v>221</v>
      </c>
      <c r="AL2532" s="1" t="s">
        <v>650</v>
      </c>
      <c r="AM2532" s="1" t="s">
        <v>651</v>
      </c>
      <c r="AN2532" s="1" t="s">
        <v>652</v>
      </c>
      <c r="AO2532" s="1" t="s">
        <v>921</v>
      </c>
      <c r="AP2532" s="1" t="s">
        <v>922</v>
      </c>
      <c r="AQ2532" s="1" t="s">
        <v>74</v>
      </c>
      <c r="AR2532" s="1" t="s">
        <v>923</v>
      </c>
      <c r="AS2532" s="1" t="s">
        <v>924</v>
      </c>
      <c r="AT2532" s="1" t="s">
        <v>5542</v>
      </c>
      <c r="AU2532" s="1">
        <v>2019</v>
      </c>
      <c r="AV2532" s="1">
        <v>667</v>
      </c>
      <c r="AW2532" s="1" t="s">
        <v>74</v>
      </c>
      <c r="AX2532" s="1" t="s">
        <v>74</v>
      </c>
      <c r="AY2532" s="1" t="s">
        <v>74</v>
      </c>
      <c r="AZ2532" s="1" t="s">
        <v>74</v>
      </c>
      <c r="BA2532" s="1" t="s">
        <v>74</v>
      </c>
      <c r="BB2532" s="1">
        <v>1</v>
      </c>
      <c r="BC2532" s="1">
        <v>8</v>
      </c>
      <c r="BD2532" s="1" t="s">
        <v>74</v>
      </c>
      <c r="BE2532" s="1" t="s">
        <v>40462</v>
      </c>
      <c r="BF2532" s="1" t="str">
        <f>HYPERLINK("http://dx.doi.org/10.1016/j.scitotenv.2019.02.367","http://dx.doi.org/10.1016/j.scitotenv.2019.02.367")</f>
        <v>http://dx.doi.org/10.1016/j.scitotenv.2019.02.367</v>
      </c>
      <c r="BG2532" s="1" t="s">
        <v>74</v>
      </c>
      <c r="BH2532" s="1" t="s">
        <v>74</v>
      </c>
      <c r="BI2532" s="1">
        <v>8</v>
      </c>
      <c r="BJ2532" s="1" t="s">
        <v>144</v>
      </c>
      <c r="BK2532" s="1" t="s">
        <v>96</v>
      </c>
      <c r="BL2532" s="1" t="s">
        <v>145</v>
      </c>
      <c r="BM2532" s="1" t="s">
        <v>40463</v>
      </c>
      <c r="BN2532" s="1">
        <v>30825816</v>
      </c>
      <c r="BO2532" s="1" t="s">
        <v>74</v>
      </c>
      <c r="BP2532" s="1" t="s">
        <v>74</v>
      </c>
      <c r="BQ2532" s="1" t="s">
        <v>74</v>
      </c>
      <c r="BR2532" s="1" t="s">
        <v>98</v>
      </c>
      <c r="BS2532" s="1" t="s">
        <v>40464</v>
      </c>
      <c r="BT2532" s="1" t="str">
        <f>HYPERLINK("https%3A%2F%2Fwww.webofscience.com%2Fwos%2Fwoscc%2Ffull-record%2FWOS:000461676600001","View Full Record in Web of Science")</f>
        <v>View Full Record in Web of Science</v>
      </c>
      <c r="BU2532" s="1"/>
      <c r="BV2532" s="1"/>
    </row>
    <row r="2533" spans="1:74">
      <c r="A2533" s="1" t="s">
        <v>72</v>
      </c>
      <c r="B2533" s="1" t="s">
        <v>40465</v>
      </c>
      <c r="C2533" s="1" t="s">
        <v>74</v>
      </c>
      <c r="D2533" s="1" t="s">
        <v>74</v>
      </c>
      <c r="E2533" s="1" t="s">
        <v>74</v>
      </c>
      <c r="F2533" s="1" t="s">
        <v>40466</v>
      </c>
      <c r="G2533" s="1" t="s">
        <v>74</v>
      </c>
      <c r="H2533" s="1" t="s">
        <v>74</v>
      </c>
      <c r="I2533" s="1" t="s">
        <v>40467</v>
      </c>
      <c r="J2533" s="1" t="s">
        <v>40468</v>
      </c>
      <c r="K2533" s="1" t="s">
        <v>74</v>
      </c>
      <c r="L2533" s="1" t="s">
        <v>74</v>
      </c>
      <c r="M2533" s="1" t="s">
        <v>78</v>
      </c>
      <c r="N2533" s="1" t="s">
        <v>79</v>
      </c>
      <c r="O2533" s="1" t="s">
        <v>74</v>
      </c>
      <c r="P2533" s="1" t="s">
        <v>74</v>
      </c>
      <c r="Q2533" s="1" t="s">
        <v>74</v>
      </c>
      <c r="R2533" s="1" t="s">
        <v>74</v>
      </c>
      <c r="S2533" s="1" t="s">
        <v>74</v>
      </c>
      <c r="T2533" s="1" t="s">
        <v>40469</v>
      </c>
      <c r="U2533" s="1" t="s">
        <v>74</v>
      </c>
      <c r="V2533" s="1" t="s">
        <v>40470</v>
      </c>
      <c r="W2533" s="1" t="s">
        <v>40471</v>
      </c>
      <c r="X2533" s="1" t="s">
        <v>19786</v>
      </c>
      <c r="Y2533" s="1" t="s">
        <v>40472</v>
      </c>
      <c r="Z2533" s="1" t="s">
        <v>40473</v>
      </c>
      <c r="AA2533" s="1" t="s">
        <v>40474</v>
      </c>
      <c r="AB2533" s="1" t="s">
        <v>19790</v>
      </c>
      <c r="AC2533" s="1" t="s">
        <v>40475</v>
      </c>
      <c r="AD2533" s="1" t="s">
        <v>40475</v>
      </c>
      <c r="AE2533" s="1" t="s">
        <v>40476</v>
      </c>
      <c r="AF2533" s="1" t="s">
        <v>74</v>
      </c>
      <c r="AG2533" s="1">
        <v>90</v>
      </c>
      <c r="AH2533" s="1">
        <v>31</v>
      </c>
      <c r="AI2533" s="1">
        <v>33</v>
      </c>
      <c r="AJ2533" s="1">
        <v>0</v>
      </c>
      <c r="AK2533" s="1">
        <v>18</v>
      </c>
      <c r="AL2533" s="1" t="s">
        <v>86</v>
      </c>
      <c r="AM2533" s="1" t="s">
        <v>87</v>
      </c>
      <c r="AN2533" s="1" t="s">
        <v>88</v>
      </c>
      <c r="AO2533" s="1" t="s">
        <v>5907</v>
      </c>
      <c r="AP2533" s="1" t="s">
        <v>74</v>
      </c>
      <c r="AQ2533" s="1" t="s">
        <v>74</v>
      </c>
      <c r="AR2533" s="1" t="s">
        <v>40477</v>
      </c>
      <c r="AS2533" s="1" t="s">
        <v>40478</v>
      </c>
      <c r="AT2533" s="1" t="s">
        <v>197</v>
      </c>
      <c r="AU2533" s="1">
        <v>2002</v>
      </c>
      <c r="AV2533" s="1">
        <v>23</v>
      </c>
      <c r="AW2533" s="1" t="s">
        <v>74</v>
      </c>
      <c r="AX2533" s="1" t="s">
        <v>74</v>
      </c>
      <c r="AY2533" s="1">
        <v>1</v>
      </c>
      <c r="AZ2533" s="1" t="s">
        <v>74</v>
      </c>
      <c r="BA2533" s="1" t="s">
        <v>74</v>
      </c>
      <c r="BB2533" s="1">
        <v>138</v>
      </c>
      <c r="BC2533" s="1">
        <v>153</v>
      </c>
      <c r="BD2533" s="1" t="s">
        <v>74</v>
      </c>
      <c r="BE2533" s="1" t="s">
        <v>40479</v>
      </c>
      <c r="BF2533" s="1" t="str">
        <f>HYPERLINK("http://dx.doi.org/10.1111/j.1439-0485.2002.tb00014.x","http://dx.doi.org/10.1111/j.1439-0485.2002.tb00014.x")</f>
        <v>http://dx.doi.org/10.1111/j.1439-0485.2002.tb00014.x</v>
      </c>
      <c r="BG2533" s="1" t="s">
        <v>74</v>
      </c>
      <c r="BH2533" s="1" t="s">
        <v>74</v>
      </c>
      <c r="BI2533" s="1">
        <v>16</v>
      </c>
      <c r="BJ2533" s="1" t="s">
        <v>680</v>
      </c>
      <c r="BK2533" s="1" t="s">
        <v>96</v>
      </c>
      <c r="BL2533" s="1" t="s">
        <v>680</v>
      </c>
      <c r="BM2533" s="1" t="s">
        <v>40480</v>
      </c>
      <c r="BN2533" s="1" t="s">
        <v>74</v>
      </c>
      <c r="BO2533" s="1" t="s">
        <v>74</v>
      </c>
      <c r="BP2533" s="1" t="s">
        <v>74</v>
      </c>
      <c r="BQ2533" s="1" t="s">
        <v>74</v>
      </c>
      <c r="BR2533" s="1" t="s">
        <v>98</v>
      </c>
      <c r="BS2533" s="1" t="s">
        <v>40481</v>
      </c>
      <c r="BT2533" s="1" t="str">
        <f>HYPERLINK("https%3A%2F%2Fwww.webofscience.com%2Fwos%2Fwoscc%2Ffull-record%2FWOS:000208309200014","View Full Record in Web of Science")</f>
        <v>View Full Record in Web of Science</v>
      </c>
      <c r="BU2533" s="1"/>
      <c r="BV2533" s="1"/>
    </row>
    <row r="2534" spans="1:74">
      <c r="A2534" s="1" t="s">
        <v>72</v>
      </c>
      <c r="B2534" s="1" t="s">
        <v>40482</v>
      </c>
      <c r="C2534" s="1" t="s">
        <v>74</v>
      </c>
      <c r="D2534" s="1" t="s">
        <v>74</v>
      </c>
      <c r="E2534" s="1" t="s">
        <v>74</v>
      </c>
      <c r="F2534" s="1" t="s">
        <v>40482</v>
      </c>
      <c r="G2534" s="1" t="s">
        <v>74</v>
      </c>
      <c r="H2534" s="1" t="s">
        <v>74</v>
      </c>
      <c r="I2534" s="1" t="s">
        <v>40483</v>
      </c>
      <c r="J2534" s="1" t="s">
        <v>7584</v>
      </c>
      <c r="K2534" s="1" t="s">
        <v>74</v>
      </c>
      <c r="L2534" s="1" t="s">
        <v>74</v>
      </c>
      <c r="M2534" s="1" t="s">
        <v>78</v>
      </c>
      <c r="N2534" s="1" t="s">
        <v>79</v>
      </c>
      <c r="O2534" s="1" t="s">
        <v>74</v>
      </c>
      <c r="P2534" s="1" t="s">
        <v>74</v>
      </c>
      <c r="Q2534" s="1" t="s">
        <v>74</v>
      </c>
      <c r="R2534" s="1" t="s">
        <v>74</v>
      </c>
      <c r="S2534" s="1" t="s">
        <v>74</v>
      </c>
      <c r="T2534" s="1" t="s">
        <v>40484</v>
      </c>
      <c r="U2534" s="1" t="s">
        <v>40485</v>
      </c>
      <c r="V2534" s="1" t="s">
        <v>40486</v>
      </c>
      <c r="W2534" s="1" t="s">
        <v>40487</v>
      </c>
      <c r="X2534" s="1" t="s">
        <v>40488</v>
      </c>
      <c r="Y2534" s="1" t="s">
        <v>40489</v>
      </c>
      <c r="Z2534" s="1" t="s">
        <v>74</v>
      </c>
      <c r="AA2534" s="1" t="s">
        <v>40490</v>
      </c>
      <c r="AB2534" s="1" t="s">
        <v>40491</v>
      </c>
      <c r="AC2534" s="1" t="s">
        <v>74</v>
      </c>
      <c r="AD2534" s="1" t="s">
        <v>74</v>
      </c>
      <c r="AE2534" s="1" t="s">
        <v>74</v>
      </c>
      <c r="AF2534" s="1" t="s">
        <v>74</v>
      </c>
      <c r="AG2534" s="1">
        <v>34</v>
      </c>
      <c r="AH2534" s="1">
        <v>73</v>
      </c>
      <c r="AI2534" s="1">
        <v>83</v>
      </c>
      <c r="AJ2534" s="1">
        <v>1</v>
      </c>
      <c r="AK2534" s="1">
        <v>19</v>
      </c>
      <c r="AL2534" s="1" t="s">
        <v>136</v>
      </c>
      <c r="AM2534" s="1" t="s">
        <v>137</v>
      </c>
      <c r="AN2534" s="1" t="s">
        <v>138</v>
      </c>
      <c r="AO2534" s="1" t="s">
        <v>7589</v>
      </c>
      <c r="AP2534" s="1" t="s">
        <v>74</v>
      </c>
      <c r="AQ2534" s="1" t="s">
        <v>74</v>
      </c>
      <c r="AR2534" s="1" t="s">
        <v>7591</v>
      </c>
      <c r="AS2534" s="1" t="s">
        <v>7592</v>
      </c>
      <c r="AT2534" s="1" t="s">
        <v>93</v>
      </c>
      <c r="AU2534" s="1">
        <v>2000</v>
      </c>
      <c r="AV2534" s="1">
        <v>34</v>
      </c>
      <c r="AW2534" s="1">
        <v>6</v>
      </c>
      <c r="AX2534" s="1" t="s">
        <v>74</v>
      </c>
      <c r="AY2534" s="1" t="s">
        <v>74</v>
      </c>
      <c r="AZ2534" s="1" t="s">
        <v>74</v>
      </c>
      <c r="BA2534" s="1" t="s">
        <v>74</v>
      </c>
      <c r="BB2534" s="1">
        <v>1823</v>
      </c>
      <c r="BC2534" s="1">
        <v>1829</v>
      </c>
      <c r="BD2534" s="1" t="s">
        <v>74</v>
      </c>
      <c r="BE2534" s="1" t="s">
        <v>40492</v>
      </c>
      <c r="BF2534" s="1" t="str">
        <f>HYPERLINK("http://dx.doi.org/10.1016/S0043-1354(99)00345-0","http://dx.doi.org/10.1016/S0043-1354(99)00345-0")</f>
        <v>http://dx.doi.org/10.1016/S0043-1354(99)00345-0</v>
      </c>
      <c r="BG2534" s="1" t="s">
        <v>74</v>
      </c>
      <c r="BH2534" s="1" t="s">
        <v>74</v>
      </c>
      <c r="BI2534" s="1">
        <v>7</v>
      </c>
      <c r="BJ2534" s="1" t="s">
        <v>587</v>
      </c>
      <c r="BK2534" s="1" t="s">
        <v>96</v>
      </c>
      <c r="BL2534" s="1" t="s">
        <v>589</v>
      </c>
      <c r="BM2534" s="1" t="s">
        <v>40493</v>
      </c>
      <c r="BN2534" s="1" t="s">
        <v>74</v>
      </c>
      <c r="BO2534" s="1" t="s">
        <v>74</v>
      </c>
      <c r="BP2534" s="1" t="s">
        <v>74</v>
      </c>
      <c r="BQ2534" s="1" t="s">
        <v>74</v>
      </c>
      <c r="BR2534" s="1" t="s">
        <v>98</v>
      </c>
      <c r="BS2534" s="1" t="s">
        <v>40494</v>
      </c>
      <c r="BT2534" s="1" t="str">
        <f>HYPERLINK("https%3A%2F%2Fwww.webofscience.com%2Fwos%2Fwoscc%2Ffull-record%2FWOS:000085867500007","View Full Record in Web of Science")</f>
        <v>View Full Record in Web of Science</v>
      </c>
      <c r="BU2534" s="1"/>
      <c r="BV2534" s="1"/>
    </row>
    <row r="2535" spans="1:74">
      <c r="A2535" s="1" t="s">
        <v>72</v>
      </c>
      <c r="B2535" s="1" t="s">
        <v>40495</v>
      </c>
      <c r="C2535" s="1" t="s">
        <v>74</v>
      </c>
      <c r="D2535" s="1" t="s">
        <v>74</v>
      </c>
      <c r="E2535" s="1" t="s">
        <v>74</v>
      </c>
      <c r="F2535" s="1" t="s">
        <v>40496</v>
      </c>
      <c r="G2535" s="1" t="s">
        <v>74</v>
      </c>
      <c r="H2535" s="1" t="s">
        <v>74</v>
      </c>
      <c r="I2535" s="1" t="s">
        <v>40497</v>
      </c>
      <c r="J2535" s="1" t="s">
        <v>232</v>
      </c>
      <c r="K2535" s="1" t="s">
        <v>74</v>
      </c>
      <c r="L2535" s="1" t="s">
        <v>74</v>
      </c>
      <c r="M2535" s="1" t="s">
        <v>78</v>
      </c>
      <c r="N2535" s="1" t="s">
        <v>79</v>
      </c>
      <c r="O2535" s="1" t="s">
        <v>74</v>
      </c>
      <c r="P2535" s="1" t="s">
        <v>74</v>
      </c>
      <c r="Q2535" s="1" t="s">
        <v>74</v>
      </c>
      <c r="R2535" s="1" t="s">
        <v>74</v>
      </c>
      <c r="S2535" s="1" t="s">
        <v>74</v>
      </c>
      <c r="T2535" s="1" t="s">
        <v>40498</v>
      </c>
      <c r="U2535" s="1" t="s">
        <v>40499</v>
      </c>
      <c r="V2535" s="1" t="s">
        <v>40500</v>
      </c>
      <c r="W2535" s="1" t="s">
        <v>40501</v>
      </c>
      <c r="X2535" s="1" t="s">
        <v>40502</v>
      </c>
      <c r="Y2535" s="1" t="s">
        <v>40503</v>
      </c>
      <c r="Z2535" s="1" t="s">
        <v>40504</v>
      </c>
      <c r="AA2535" s="1" t="s">
        <v>40505</v>
      </c>
      <c r="AB2535" s="1" t="s">
        <v>40506</v>
      </c>
      <c r="AC2535" s="1" t="s">
        <v>40507</v>
      </c>
      <c r="AD2535" s="1" t="s">
        <v>40508</v>
      </c>
      <c r="AE2535" s="1" t="s">
        <v>40509</v>
      </c>
      <c r="AF2535" s="1" t="s">
        <v>74</v>
      </c>
      <c r="AG2535" s="1">
        <v>79</v>
      </c>
      <c r="AH2535" s="1">
        <v>10</v>
      </c>
      <c r="AI2535" s="1">
        <v>10</v>
      </c>
      <c r="AJ2535" s="1">
        <v>0</v>
      </c>
      <c r="AK2535" s="1">
        <v>17</v>
      </c>
      <c r="AL2535" s="1" t="s">
        <v>136</v>
      </c>
      <c r="AM2535" s="1" t="s">
        <v>137</v>
      </c>
      <c r="AN2535" s="1" t="s">
        <v>138</v>
      </c>
      <c r="AO2535" s="1" t="s">
        <v>240</v>
      </c>
      <c r="AP2535" s="1" t="s">
        <v>241</v>
      </c>
      <c r="AQ2535" s="1" t="s">
        <v>74</v>
      </c>
      <c r="AR2535" s="1" t="s">
        <v>242</v>
      </c>
      <c r="AS2535" s="1" t="s">
        <v>243</v>
      </c>
      <c r="AT2535" s="1" t="s">
        <v>1091</v>
      </c>
      <c r="AU2535" s="1">
        <v>2013</v>
      </c>
      <c r="AV2535" s="1">
        <v>71</v>
      </c>
      <c r="AW2535" s="1" t="s">
        <v>326</v>
      </c>
      <c r="AX2535" s="1" t="s">
        <v>74</v>
      </c>
      <c r="AY2535" s="1" t="s">
        <v>74</v>
      </c>
      <c r="AZ2535" s="1" t="s">
        <v>74</v>
      </c>
      <c r="BA2535" s="1" t="s">
        <v>74</v>
      </c>
      <c r="BB2535" s="1">
        <v>230</v>
      </c>
      <c r="BC2535" s="1">
        <v>239</v>
      </c>
      <c r="BD2535" s="1" t="s">
        <v>74</v>
      </c>
      <c r="BE2535" s="1" t="s">
        <v>40510</v>
      </c>
      <c r="BF2535" s="1" t="str">
        <f>HYPERLINK("http://dx.doi.org/10.1016/j.marpolbul.2013.02.034","http://dx.doi.org/10.1016/j.marpolbul.2013.02.034")</f>
        <v>http://dx.doi.org/10.1016/j.marpolbul.2013.02.034</v>
      </c>
      <c r="BG2535" s="1" t="s">
        <v>74</v>
      </c>
      <c r="BH2535" s="1" t="s">
        <v>74</v>
      </c>
      <c r="BI2535" s="1">
        <v>10</v>
      </c>
      <c r="BJ2535" s="1" t="s">
        <v>247</v>
      </c>
      <c r="BK2535" s="1" t="s">
        <v>96</v>
      </c>
      <c r="BL2535" s="1" t="s">
        <v>248</v>
      </c>
      <c r="BM2535" s="1" t="s">
        <v>40511</v>
      </c>
      <c r="BN2535" s="1">
        <v>23623663</v>
      </c>
      <c r="BO2535" s="1" t="s">
        <v>74</v>
      </c>
      <c r="BP2535" s="1" t="s">
        <v>74</v>
      </c>
      <c r="BQ2535" s="1" t="s">
        <v>74</v>
      </c>
      <c r="BR2535" s="1" t="s">
        <v>98</v>
      </c>
      <c r="BS2535" s="1" t="s">
        <v>40512</v>
      </c>
      <c r="BT2535" s="1" t="str">
        <f>HYPERLINK("https%3A%2F%2Fwww.webofscience.com%2Fwos%2Fwoscc%2Ffull-record%2FWOS:000321088200040","View Full Record in Web of Science")</f>
        <v>View Full Record in Web of Science</v>
      </c>
      <c r="BU2535" s="1"/>
      <c r="BV2535" s="1"/>
    </row>
    <row r="2536" spans="1:74">
      <c r="A2536" s="1" t="s">
        <v>72</v>
      </c>
      <c r="B2536" s="1" t="s">
        <v>40513</v>
      </c>
      <c r="C2536" s="1" t="s">
        <v>74</v>
      </c>
      <c r="D2536" s="1" t="s">
        <v>74</v>
      </c>
      <c r="E2536" s="1" t="s">
        <v>74</v>
      </c>
      <c r="F2536" s="1" t="s">
        <v>40514</v>
      </c>
      <c r="G2536" s="1" t="s">
        <v>74</v>
      </c>
      <c r="H2536" s="1" t="s">
        <v>74</v>
      </c>
      <c r="I2536" s="1" t="s">
        <v>40515</v>
      </c>
      <c r="J2536" s="1" t="s">
        <v>204</v>
      </c>
      <c r="K2536" s="1" t="s">
        <v>74</v>
      </c>
      <c r="L2536" s="1" t="s">
        <v>74</v>
      </c>
      <c r="M2536" s="1" t="s">
        <v>78</v>
      </c>
      <c r="N2536" s="1" t="s">
        <v>79</v>
      </c>
      <c r="O2536" s="1" t="s">
        <v>74</v>
      </c>
      <c r="P2536" s="1" t="s">
        <v>74</v>
      </c>
      <c r="Q2536" s="1" t="s">
        <v>74</v>
      </c>
      <c r="R2536" s="1" t="s">
        <v>74</v>
      </c>
      <c r="S2536" s="1" t="s">
        <v>74</v>
      </c>
      <c r="T2536" s="1" t="s">
        <v>40516</v>
      </c>
      <c r="U2536" s="1" t="s">
        <v>40517</v>
      </c>
      <c r="V2536" s="1" t="s">
        <v>40518</v>
      </c>
      <c r="W2536" s="1" t="s">
        <v>40519</v>
      </c>
      <c r="X2536" s="1" t="s">
        <v>15061</v>
      </c>
      <c r="Y2536" s="1" t="s">
        <v>26337</v>
      </c>
      <c r="Z2536" s="1" t="s">
        <v>40520</v>
      </c>
      <c r="AA2536" s="1" t="s">
        <v>23779</v>
      </c>
      <c r="AB2536" s="1" t="s">
        <v>23780</v>
      </c>
      <c r="AC2536" s="1" t="s">
        <v>40521</v>
      </c>
      <c r="AD2536" s="1" t="s">
        <v>6408</v>
      </c>
      <c r="AE2536" s="1" t="s">
        <v>40522</v>
      </c>
      <c r="AF2536" s="1" t="s">
        <v>74</v>
      </c>
      <c r="AG2536" s="1">
        <v>64</v>
      </c>
      <c r="AH2536" s="1">
        <v>9</v>
      </c>
      <c r="AI2536" s="1">
        <v>9</v>
      </c>
      <c r="AJ2536" s="1">
        <v>7</v>
      </c>
      <c r="AK2536" s="1">
        <v>20</v>
      </c>
      <c r="AL2536" s="1" t="s">
        <v>217</v>
      </c>
      <c r="AM2536" s="1" t="s">
        <v>218</v>
      </c>
      <c r="AN2536" s="1" t="s">
        <v>219</v>
      </c>
      <c r="AO2536" s="1" t="s">
        <v>220</v>
      </c>
      <c r="AP2536" s="1" t="s">
        <v>221</v>
      </c>
      <c r="AQ2536" s="1" t="s">
        <v>74</v>
      </c>
      <c r="AR2536" s="1" t="s">
        <v>222</v>
      </c>
      <c r="AS2536" s="1" t="s">
        <v>223</v>
      </c>
      <c r="AT2536" s="1" t="s">
        <v>119</v>
      </c>
      <c r="AU2536" s="1">
        <v>2021</v>
      </c>
      <c r="AV2536" s="1">
        <v>28</v>
      </c>
      <c r="AW2536" s="1">
        <v>31</v>
      </c>
      <c r="AX2536" s="1" t="s">
        <v>74</v>
      </c>
      <c r="AY2536" s="1" t="s">
        <v>74</v>
      </c>
      <c r="AZ2536" s="1" t="s">
        <v>74</v>
      </c>
      <c r="BA2536" s="1" t="s">
        <v>74</v>
      </c>
      <c r="BB2536" s="1">
        <v>41746</v>
      </c>
      <c r="BC2536" s="1">
        <v>41759</v>
      </c>
      <c r="BD2536" s="1" t="s">
        <v>74</v>
      </c>
      <c r="BE2536" s="1" t="s">
        <v>40523</v>
      </c>
      <c r="BF2536" s="1" t="str">
        <f>HYPERLINK("http://dx.doi.org/10.1007/s11356-021-13506-4","http://dx.doi.org/10.1007/s11356-021-13506-4")</f>
        <v>http://dx.doi.org/10.1007/s11356-021-13506-4</v>
      </c>
      <c r="BG2536" s="1" t="s">
        <v>74</v>
      </c>
      <c r="BH2536" s="1" t="s">
        <v>992</v>
      </c>
      <c r="BI2536" s="1">
        <v>14</v>
      </c>
      <c r="BJ2536" s="1" t="s">
        <v>144</v>
      </c>
      <c r="BK2536" s="1" t="s">
        <v>96</v>
      </c>
      <c r="BL2536" s="1" t="s">
        <v>145</v>
      </c>
      <c r="BM2536" s="1" t="s">
        <v>40524</v>
      </c>
      <c r="BN2536" s="1">
        <v>33788087</v>
      </c>
      <c r="BO2536" s="1" t="s">
        <v>74</v>
      </c>
      <c r="BP2536" s="1" t="s">
        <v>74</v>
      </c>
      <c r="BQ2536" s="1" t="s">
        <v>74</v>
      </c>
      <c r="BR2536" s="1" t="s">
        <v>98</v>
      </c>
      <c r="BS2536" s="1" t="s">
        <v>40525</v>
      </c>
      <c r="BT2536" s="1" t="str">
        <f>HYPERLINK("https%3A%2F%2Fwww.webofscience.com%2Fwos%2Fwoscc%2Ffull-record%2FWOS:000635506400017","View Full Record in Web of Science")</f>
        <v>View Full Record in Web of Science</v>
      </c>
      <c r="BU2536" s="1"/>
      <c r="BV2536" s="1"/>
    </row>
    <row r="2537" spans="1:74">
      <c r="A2537" s="1" t="s">
        <v>72</v>
      </c>
      <c r="B2537" s="1" t="s">
        <v>40526</v>
      </c>
      <c r="C2537" s="1" t="s">
        <v>74</v>
      </c>
      <c r="D2537" s="1" t="s">
        <v>74</v>
      </c>
      <c r="E2537" s="1" t="s">
        <v>74</v>
      </c>
      <c r="F2537" s="1" t="s">
        <v>40527</v>
      </c>
      <c r="G2537" s="1" t="s">
        <v>74</v>
      </c>
      <c r="H2537" s="1" t="s">
        <v>74</v>
      </c>
      <c r="I2537" s="1" t="s">
        <v>40528</v>
      </c>
      <c r="J2537" s="1" t="s">
        <v>204</v>
      </c>
      <c r="K2537" s="1" t="s">
        <v>74</v>
      </c>
      <c r="L2537" s="1" t="s">
        <v>74</v>
      </c>
      <c r="M2537" s="1" t="s">
        <v>78</v>
      </c>
      <c r="N2537" s="1" t="s">
        <v>79</v>
      </c>
      <c r="O2537" s="1" t="s">
        <v>74</v>
      </c>
      <c r="P2537" s="1" t="s">
        <v>74</v>
      </c>
      <c r="Q2537" s="1" t="s">
        <v>74</v>
      </c>
      <c r="R2537" s="1" t="s">
        <v>74</v>
      </c>
      <c r="S2537" s="1" t="s">
        <v>74</v>
      </c>
      <c r="T2537" s="1" t="s">
        <v>40529</v>
      </c>
      <c r="U2537" s="1" t="s">
        <v>40530</v>
      </c>
      <c r="V2537" s="1" t="s">
        <v>40531</v>
      </c>
      <c r="W2537" s="1" t="s">
        <v>40532</v>
      </c>
      <c r="X2537" s="1" t="s">
        <v>28716</v>
      </c>
      <c r="Y2537" s="1" t="s">
        <v>40533</v>
      </c>
      <c r="Z2537" s="1" t="s">
        <v>28718</v>
      </c>
      <c r="AA2537" s="1" t="s">
        <v>28719</v>
      </c>
      <c r="AB2537" s="1" t="s">
        <v>28720</v>
      </c>
      <c r="AC2537" s="1" t="s">
        <v>74</v>
      </c>
      <c r="AD2537" s="1" t="s">
        <v>74</v>
      </c>
      <c r="AE2537" s="1" t="s">
        <v>74</v>
      </c>
      <c r="AF2537" s="1" t="s">
        <v>74</v>
      </c>
      <c r="AG2537" s="1">
        <v>70</v>
      </c>
      <c r="AH2537" s="1">
        <v>7</v>
      </c>
      <c r="AI2537" s="1">
        <v>7</v>
      </c>
      <c r="AJ2537" s="1">
        <v>3</v>
      </c>
      <c r="AK2537" s="1">
        <v>17</v>
      </c>
      <c r="AL2537" s="1" t="s">
        <v>217</v>
      </c>
      <c r="AM2537" s="1" t="s">
        <v>218</v>
      </c>
      <c r="AN2537" s="1" t="s">
        <v>219</v>
      </c>
      <c r="AO2537" s="1" t="s">
        <v>220</v>
      </c>
      <c r="AP2537" s="1" t="s">
        <v>221</v>
      </c>
      <c r="AQ2537" s="1" t="s">
        <v>74</v>
      </c>
      <c r="AR2537" s="1" t="s">
        <v>222</v>
      </c>
      <c r="AS2537" s="1" t="s">
        <v>223</v>
      </c>
      <c r="AT2537" s="1" t="s">
        <v>1223</v>
      </c>
      <c r="AU2537" s="1">
        <v>2020</v>
      </c>
      <c r="AV2537" s="1">
        <v>27</v>
      </c>
      <c r="AW2537" s="1">
        <v>9</v>
      </c>
      <c r="AX2537" s="1" t="s">
        <v>74</v>
      </c>
      <c r="AY2537" s="1" t="s">
        <v>74</v>
      </c>
      <c r="AZ2537" s="1" t="s">
        <v>225</v>
      </c>
      <c r="BA2537" s="1" t="s">
        <v>74</v>
      </c>
      <c r="BB2537" s="1">
        <v>9999</v>
      </c>
      <c r="BC2537" s="1">
        <v>10010</v>
      </c>
      <c r="BD2537" s="1" t="s">
        <v>74</v>
      </c>
      <c r="BE2537" s="1" t="s">
        <v>40534</v>
      </c>
      <c r="BF2537" s="1" t="str">
        <f>HYPERLINK("http://dx.doi.org/10.1007/s11356-020-07660-4","http://dx.doi.org/10.1007/s11356-020-07660-4")</f>
        <v>http://dx.doi.org/10.1007/s11356-020-07660-4</v>
      </c>
      <c r="BG2537" s="1" t="s">
        <v>74</v>
      </c>
      <c r="BH2537" s="1" t="s">
        <v>74</v>
      </c>
      <c r="BI2537" s="1">
        <v>12</v>
      </c>
      <c r="BJ2537" s="1" t="s">
        <v>144</v>
      </c>
      <c r="BK2537" s="1" t="s">
        <v>96</v>
      </c>
      <c r="BL2537" s="1" t="s">
        <v>145</v>
      </c>
      <c r="BM2537" s="1" t="s">
        <v>40535</v>
      </c>
      <c r="BN2537" s="1">
        <v>31933076</v>
      </c>
      <c r="BO2537" s="1" t="s">
        <v>2784</v>
      </c>
      <c r="BP2537" s="1" t="s">
        <v>74</v>
      </c>
      <c r="BQ2537" s="1" t="s">
        <v>74</v>
      </c>
      <c r="BR2537" s="1" t="s">
        <v>98</v>
      </c>
      <c r="BS2537" s="1" t="s">
        <v>40536</v>
      </c>
      <c r="BT2537" s="1" t="str">
        <f>HYPERLINK("https%3A%2F%2Fwww.webofscience.com%2Fwos%2Fwoscc%2Ffull-record%2FWOS:000524949600099","View Full Record in Web of Science")</f>
        <v>View Full Record in Web of Science</v>
      </c>
      <c r="BU2537" s="1"/>
      <c r="BV2537" s="1"/>
    </row>
    <row r="2538" spans="1:74">
      <c r="A2538" s="1" t="s">
        <v>72</v>
      </c>
      <c r="B2538" s="1" t="s">
        <v>40537</v>
      </c>
      <c r="C2538" s="1" t="s">
        <v>74</v>
      </c>
      <c r="D2538" s="1" t="s">
        <v>74</v>
      </c>
      <c r="E2538" s="1" t="s">
        <v>74</v>
      </c>
      <c r="F2538" s="1" t="s">
        <v>40538</v>
      </c>
      <c r="G2538" s="1" t="s">
        <v>74</v>
      </c>
      <c r="H2538" s="1" t="s">
        <v>74</v>
      </c>
      <c r="I2538" s="1" t="s">
        <v>40539</v>
      </c>
      <c r="J2538" s="1" t="s">
        <v>232</v>
      </c>
      <c r="K2538" s="1" t="s">
        <v>74</v>
      </c>
      <c r="L2538" s="1" t="s">
        <v>74</v>
      </c>
      <c r="M2538" s="1" t="s">
        <v>78</v>
      </c>
      <c r="N2538" s="1" t="s">
        <v>79</v>
      </c>
      <c r="O2538" s="1" t="s">
        <v>74</v>
      </c>
      <c r="P2538" s="1" t="s">
        <v>74</v>
      </c>
      <c r="Q2538" s="1" t="s">
        <v>74</v>
      </c>
      <c r="R2538" s="1" t="s">
        <v>74</v>
      </c>
      <c r="S2538" s="1" t="s">
        <v>74</v>
      </c>
      <c r="T2538" s="1" t="s">
        <v>40540</v>
      </c>
      <c r="U2538" s="1" t="s">
        <v>40541</v>
      </c>
      <c r="V2538" s="1" t="s">
        <v>40542</v>
      </c>
      <c r="W2538" s="1" t="s">
        <v>40543</v>
      </c>
      <c r="X2538" s="1" t="s">
        <v>40544</v>
      </c>
      <c r="Y2538" s="1" t="s">
        <v>40545</v>
      </c>
      <c r="Z2538" s="1" t="s">
        <v>40546</v>
      </c>
      <c r="AA2538" s="1" t="s">
        <v>40547</v>
      </c>
      <c r="AB2538" s="1" t="s">
        <v>40548</v>
      </c>
      <c r="AC2538" s="1" t="s">
        <v>74</v>
      </c>
      <c r="AD2538" s="1" t="s">
        <v>74</v>
      </c>
      <c r="AE2538" s="1" t="s">
        <v>74</v>
      </c>
      <c r="AF2538" s="1" t="s">
        <v>74</v>
      </c>
      <c r="AG2538" s="1">
        <v>30</v>
      </c>
      <c r="AH2538" s="1">
        <v>10</v>
      </c>
      <c r="AI2538" s="1">
        <v>11</v>
      </c>
      <c r="AJ2538" s="1">
        <v>0</v>
      </c>
      <c r="AK2538" s="1">
        <v>14</v>
      </c>
      <c r="AL2538" s="1" t="s">
        <v>136</v>
      </c>
      <c r="AM2538" s="1" t="s">
        <v>137</v>
      </c>
      <c r="AN2538" s="1" t="s">
        <v>138</v>
      </c>
      <c r="AO2538" s="1" t="s">
        <v>240</v>
      </c>
      <c r="AP2538" s="1" t="s">
        <v>241</v>
      </c>
      <c r="AQ2538" s="1" t="s">
        <v>74</v>
      </c>
      <c r="AR2538" s="1" t="s">
        <v>242</v>
      </c>
      <c r="AS2538" s="1" t="s">
        <v>243</v>
      </c>
      <c r="AT2538" s="1" t="s">
        <v>7041</v>
      </c>
      <c r="AU2538" s="1">
        <v>2017</v>
      </c>
      <c r="AV2538" s="1">
        <v>115</v>
      </c>
      <c r="AW2538" s="1" t="s">
        <v>326</v>
      </c>
      <c r="AX2538" s="1" t="s">
        <v>74</v>
      </c>
      <c r="AY2538" s="1" t="s">
        <v>74</v>
      </c>
      <c r="AZ2538" s="1" t="s">
        <v>74</v>
      </c>
      <c r="BA2538" s="1" t="s">
        <v>74</v>
      </c>
      <c r="BB2538" s="1">
        <v>75</v>
      </c>
      <c r="BC2538" s="1">
        <v>79</v>
      </c>
      <c r="BD2538" s="1" t="s">
        <v>74</v>
      </c>
      <c r="BE2538" s="1" t="s">
        <v>40549</v>
      </c>
      <c r="BF2538" s="1" t="str">
        <f>HYPERLINK("http://dx.doi.org/10.1016/j.marpolbul.2016.11.058","http://dx.doi.org/10.1016/j.marpolbul.2016.11.058")</f>
        <v>http://dx.doi.org/10.1016/j.marpolbul.2016.11.058</v>
      </c>
      <c r="BG2538" s="1" t="s">
        <v>74</v>
      </c>
      <c r="BH2538" s="1" t="s">
        <v>74</v>
      </c>
      <c r="BI2538" s="1">
        <v>5</v>
      </c>
      <c r="BJ2538" s="1" t="s">
        <v>247</v>
      </c>
      <c r="BK2538" s="1" t="s">
        <v>96</v>
      </c>
      <c r="BL2538" s="1" t="s">
        <v>248</v>
      </c>
      <c r="BM2538" s="1" t="s">
        <v>7043</v>
      </c>
      <c r="BN2538" s="1">
        <v>27912916</v>
      </c>
      <c r="BO2538" s="1" t="s">
        <v>74</v>
      </c>
      <c r="BP2538" s="1" t="s">
        <v>74</v>
      </c>
      <c r="BQ2538" s="1" t="s">
        <v>74</v>
      </c>
      <c r="BR2538" s="1" t="s">
        <v>98</v>
      </c>
      <c r="BS2538" s="1" t="s">
        <v>40550</v>
      </c>
      <c r="BT2538" s="1" t="str">
        <f>HYPERLINK("https%3A%2F%2Fwww.webofscience.com%2Fwos%2Fwoscc%2Ffull-record%2FWOS:000394399800021","View Full Record in Web of Science")</f>
        <v>View Full Record in Web of Science</v>
      </c>
      <c r="BU2538" s="1"/>
      <c r="BV2538" s="1"/>
    </row>
    <row r="2539" spans="1:74">
      <c r="A2539" s="1" t="s">
        <v>72</v>
      </c>
      <c r="B2539" s="1" t="s">
        <v>40551</v>
      </c>
      <c r="C2539" s="1" t="s">
        <v>74</v>
      </c>
      <c r="D2539" s="1" t="s">
        <v>74</v>
      </c>
      <c r="E2539" s="1" t="s">
        <v>74</v>
      </c>
      <c r="F2539" s="1" t="s">
        <v>40552</v>
      </c>
      <c r="G2539" s="1" t="s">
        <v>74</v>
      </c>
      <c r="H2539" s="1" t="s">
        <v>74</v>
      </c>
      <c r="I2539" s="1" t="s">
        <v>40553</v>
      </c>
      <c r="J2539" s="1" t="s">
        <v>204</v>
      </c>
      <c r="K2539" s="1" t="s">
        <v>74</v>
      </c>
      <c r="L2539" s="1" t="s">
        <v>74</v>
      </c>
      <c r="M2539" s="1" t="s">
        <v>78</v>
      </c>
      <c r="N2539" s="1" t="s">
        <v>79</v>
      </c>
      <c r="O2539" s="1" t="s">
        <v>74</v>
      </c>
      <c r="P2539" s="1" t="s">
        <v>74</v>
      </c>
      <c r="Q2539" s="1" t="s">
        <v>74</v>
      </c>
      <c r="R2539" s="1" t="s">
        <v>74</v>
      </c>
      <c r="S2539" s="1" t="s">
        <v>74</v>
      </c>
      <c r="T2539" s="1" t="s">
        <v>40554</v>
      </c>
      <c r="U2539" s="1" t="s">
        <v>40555</v>
      </c>
      <c r="V2539" s="1" t="s">
        <v>40556</v>
      </c>
      <c r="W2539" s="1" t="s">
        <v>40557</v>
      </c>
      <c r="X2539" s="1" t="s">
        <v>14642</v>
      </c>
      <c r="Y2539" s="1" t="s">
        <v>40558</v>
      </c>
      <c r="Z2539" s="1" t="s">
        <v>40559</v>
      </c>
      <c r="AA2539" s="1" t="s">
        <v>40560</v>
      </c>
      <c r="AB2539" s="1" t="s">
        <v>40561</v>
      </c>
      <c r="AC2539" s="1" t="s">
        <v>40562</v>
      </c>
      <c r="AD2539" s="1" t="s">
        <v>40563</v>
      </c>
      <c r="AE2539" s="1" t="s">
        <v>40564</v>
      </c>
      <c r="AF2539" s="1" t="s">
        <v>74</v>
      </c>
      <c r="AG2539" s="1">
        <v>41</v>
      </c>
      <c r="AH2539" s="1">
        <v>66</v>
      </c>
      <c r="AI2539" s="1">
        <v>70</v>
      </c>
      <c r="AJ2539" s="1">
        <v>3</v>
      </c>
      <c r="AK2539" s="1">
        <v>56</v>
      </c>
      <c r="AL2539" s="1" t="s">
        <v>217</v>
      </c>
      <c r="AM2539" s="1" t="s">
        <v>218</v>
      </c>
      <c r="AN2539" s="1" t="s">
        <v>219</v>
      </c>
      <c r="AO2539" s="1" t="s">
        <v>220</v>
      </c>
      <c r="AP2539" s="1" t="s">
        <v>221</v>
      </c>
      <c r="AQ2539" s="1" t="s">
        <v>74</v>
      </c>
      <c r="AR2539" s="1" t="s">
        <v>222</v>
      </c>
      <c r="AS2539" s="1" t="s">
        <v>223</v>
      </c>
      <c r="AT2539" s="1" t="s">
        <v>951</v>
      </c>
      <c r="AU2539" s="1">
        <v>2010</v>
      </c>
      <c r="AV2539" s="1">
        <v>17</v>
      </c>
      <c r="AW2539" s="1">
        <v>9</v>
      </c>
      <c r="AX2539" s="1" t="s">
        <v>74</v>
      </c>
      <c r="AY2539" s="1" t="s">
        <v>74</v>
      </c>
      <c r="AZ2539" s="1" t="s">
        <v>74</v>
      </c>
      <c r="BA2539" s="1" t="s">
        <v>74</v>
      </c>
      <c r="BB2539" s="1">
        <v>1519</v>
      </c>
      <c r="BC2539" s="1">
        <v>1528</v>
      </c>
      <c r="BD2539" s="1" t="s">
        <v>74</v>
      </c>
      <c r="BE2539" s="1" t="s">
        <v>40565</v>
      </c>
      <c r="BF2539" s="1" t="str">
        <f>HYPERLINK("http://dx.doi.org/10.1007/s11356-010-0338-7","http://dx.doi.org/10.1007/s11356-010-0338-7")</f>
        <v>http://dx.doi.org/10.1007/s11356-010-0338-7</v>
      </c>
      <c r="BG2539" s="1" t="s">
        <v>74</v>
      </c>
      <c r="BH2539" s="1" t="s">
        <v>74</v>
      </c>
      <c r="BI2539" s="1">
        <v>10</v>
      </c>
      <c r="BJ2539" s="1" t="s">
        <v>144</v>
      </c>
      <c r="BK2539" s="1" t="s">
        <v>96</v>
      </c>
      <c r="BL2539" s="1" t="s">
        <v>145</v>
      </c>
      <c r="BM2539" s="1" t="s">
        <v>40566</v>
      </c>
      <c r="BN2539" s="1">
        <v>20496008</v>
      </c>
      <c r="BO2539" s="1" t="s">
        <v>74</v>
      </c>
      <c r="BP2539" s="1" t="s">
        <v>74</v>
      </c>
      <c r="BQ2539" s="1" t="s">
        <v>74</v>
      </c>
      <c r="BR2539" s="1" t="s">
        <v>98</v>
      </c>
      <c r="BS2539" s="1" t="s">
        <v>40567</v>
      </c>
      <c r="BT2539" s="1" t="str">
        <f>HYPERLINK("https%3A%2F%2Fwww.webofscience.com%2Fwos%2Fwoscc%2Ffull-record%2FWOS:000282212900004","View Full Record in Web of Science")</f>
        <v>View Full Record in Web of Science</v>
      </c>
      <c r="BU2539" s="1"/>
      <c r="BV2539" s="1"/>
    </row>
    <row r="2540" spans="1:74">
      <c r="A2540" s="1" t="s">
        <v>72</v>
      </c>
      <c r="B2540" s="1" t="s">
        <v>40568</v>
      </c>
      <c r="C2540" s="1" t="s">
        <v>74</v>
      </c>
      <c r="D2540" s="1" t="s">
        <v>74</v>
      </c>
      <c r="E2540" s="1" t="s">
        <v>74</v>
      </c>
      <c r="F2540" s="1" t="s">
        <v>40569</v>
      </c>
      <c r="G2540" s="1" t="s">
        <v>74</v>
      </c>
      <c r="H2540" s="1" t="s">
        <v>74</v>
      </c>
      <c r="I2540" s="1" t="s">
        <v>40570</v>
      </c>
      <c r="J2540" s="1" t="s">
        <v>421</v>
      </c>
      <c r="K2540" s="1" t="s">
        <v>74</v>
      </c>
      <c r="L2540" s="1" t="s">
        <v>74</v>
      </c>
      <c r="M2540" s="1" t="s">
        <v>78</v>
      </c>
      <c r="N2540" s="1" t="s">
        <v>79</v>
      </c>
      <c r="O2540" s="1" t="s">
        <v>74</v>
      </c>
      <c r="P2540" s="1" t="s">
        <v>74</v>
      </c>
      <c r="Q2540" s="1" t="s">
        <v>74</v>
      </c>
      <c r="R2540" s="1" t="s">
        <v>74</v>
      </c>
      <c r="S2540" s="1" t="s">
        <v>74</v>
      </c>
      <c r="T2540" s="1" t="s">
        <v>40571</v>
      </c>
      <c r="U2540" s="1" t="s">
        <v>40572</v>
      </c>
      <c r="V2540" s="1" t="s">
        <v>40573</v>
      </c>
      <c r="W2540" s="1" t="s">
        <v>40574</v>
      </c>
      <c r="X2540" s="1" t="s">
        <v>40575</v>
      </c>
      <c r="Y2540" s="1" t="s">
        <v>40576</v>
      </c>
      <c r="Z2540" s="1" t="s">
        <v>40577</v>
      </c>
      <c r="AA2540" s="1" t="s">
        <v>40578</v>
      </c>
      <c r="AB2540" s="1" t="s">
        <v>40579</v>
      </c>
      <c r="AC2540" s="1" t="s">
        <v>40580</v>
      </c>
      <c r="AD2540" s="1" t="s">
        <v>40581</v>
      </c>
      <c r="AE2540" s="1" t="s">
        <v>40582</v>
      </c>
      <c r="AF2540" s="1" t="s">
        <v>74</v>
      </c>
      <c r="AG2540" s="1">
        <v>108</v>
      </c>
      <c r="AH2540" s="1">
        <v>8</v>
      </c>
      <c r="AI2540" s="1">
        <v>9</v>
      </c>
      <c r="AJ2540" s="1">
        <v>11</v>
      </c>
      <c r="AK2540" s="1">
        <v>80</v>
      </c>
      <c r="AL2540" s="1" t="s">
        <v>430</v>
      </c>
      <c r="AM2540" s="1" t="s">
        <v>137</v>
      </c>
      <c r="AN2540" s="1" t="s">
        <v>431</v>
      </c>
      <c r="AO2540" s="1" t="s">
        <v>432</v>
      </c>
      <c r="AP2540" s="1" t="s">
        <v>1394</v>
      </c>
      <c r="AQ2540" s="1" t="s">
        <v>74</v>
      </c>
      <c r="AR2540" s="1" t="s">
        <v>433</v>
      </c>
      <c r="AS2540" s="1" t="s">
        <v>434</v>
      </c>
      <c r="AT2540" s="1" t="s">
        <v>3237</v>
      </c>
      <c r="AU2540" s="1">
        <v>2022</v>
      </c>
      <c r="AV2540" s="1">
        <v>308</v>
      </c>
      <c r="AW2540" s="1" t="s">
        <v>74</v>
      </c>
      <c r="AX2540" s="1" t="s">
        <v>74</v>
      </c>
      <c r="AY2540" s="1" t="s">
        <v>74</v>
      </c>
      <c r="AZ2540" s="1" t="s">
        <v>74</v>
      </c>
      <c r="BA2540" s="1" t="s">
        <v>74</v>
      </c>
      <c r="BB2540" s="1" t="s">
        <v>74</v>
      </c>
      <c r="BC2540" s="1" t="s">
        <v>74</v>
      </c>
      <c r="BD2540" s="1">
        <v>119598</v>
      </c>
      <c r="BE2540" s="1" t="s">
        <v>40583</v>
      </c>
      <c r="BF2540" s="1" t="str">
        <f>HYPERLINK("http://dx.doi.org/10.1016/j.envpol.2022.119598","http://dx.doi.org/10.1016/j.envpol.2022.119598")</f>
        <v>http://dx.doi.org/10.1016/j.envpol.2022.119598</v>
      </c>
      <c r="BG2540" s="1" t="s">
        <v>74</v>
      </c>
      <c r="BH2540" s="1" t="s">
        <v>18991</v>
      </c>
      <c r="BI2540" s="1">
        <v>9</v>
      </c>
      <c r="BJ2540" s="1" t="s">
        <v>144</v>
      </c>
      <c r="BK2540" s="1" t="s">
        <v>96</v>
      </c>
      <c r="BL2540" s="1" t="s">
        <v>145</v>
      </c>
      <c r="BM2540" s="1" t="s">
        <v>40584</v>
      </c>
      <c r="BN2540" s="1">
        <v>35718043</v>
      </c>
      <c r="BO2540" s="1" t="s">
        <v>74</v>
      </c>
      <c r="BP2540" s="1" t="s">
        <v>74</v>
      </c>
      <c r="BQ2540" s="1" t="s">
        <v>74</v>
      </c>
      <c r="BR2540" s="1" t="s">
        <v>98</v>
      </c>
      <c r="BS2540" s="1" t="s">
        <v>40585</v>
      </c>
      <c r="BT2540" s="1" t="str">
        <f>HYPERLINK("https%3A%2F%2Fwww.webofscience.com%2Fwos%2Fwoscc%2Ffull-record%2FWOS:000822715000007","View Full Record in Web of Science")</f>
        <v>View Full Record in Web of Science</v>
      </c>
      <c r="BU2540" s="1"/>
      <c r="BV2540" s="1"/>
    </row>
    <row r="2541" spans="1:74">
      <c r="A2541" s="1" t="s">
        <v>72</v>
      </c>
      <c r="B2541" s="1" t="s">
        <v>40586</v>
      </c>
      <c r="C2541" s="1" t="s">
        <v>74</v>
      </c>
      <c r="D2541" s="1" t="s">
        <v>74</v>
      </c>
      <c r="E2541" s="1" t="s">
        <v>74</v>
      </c>
      <c r="F2541" s="1" t="s">
        <v>40587</v>
      </c>
      <c r="G2541" s="1" t="s">
        <v>74</v>
      </c>
      <c r="H2541" s="1" t="s">
        <v>74</v>
      </c>
      <c r="I2541" s="1" t="s">
        <v>40588</v>
      </c>
      <c r="J2541" s="1" t="s">
        <v>595</v>
      </c>
      <c r="K2541" s="1" t="s">
        <v>74</v>
      </c>
      <c r="L2541" s="1" t="s">
        <v>74</v>
      </c>
      <c r="M2541" s="1" t="s">
        <v>78</v>
      </c>
      <c r="N2541" s="1" t="s">
        <v>79</v>
      </c>
      <c r="O2541" s="1" t="s">
        <v>74</v>
      </c>
      <c r="P2541" s="1" t="s">
        <v>74</v>
      </c>
      <c r="Q2541" s="1" t="s">
        <v>74</v>
      </c>
      <c r="R2541" s="1" t="s">
        <v>74</v>
      </c>
      <c r="S2541" s="1" t="s">
        <v>74</v>
      </c>
      <c r="T2541" s="1" t="s">
        <v>40589</v>
      </c>
      <c r="U2541" s="1" t="s">
        <v>40590</v>
      </c>
      <c r="V2541" s="1" t="s">
        <v>40591</v>
      </c>
      <c r="W2541" s="1" t="s">
        <v>40592</v>
      </c>
      <c r="X2541" s="1" t="s">
        <v>74</v>
      </c>
      <c r="Y2541" s="1" t="s">
        <v>40593</v>
      </c>
      <c r="Z2541" s="1" t="s">
        <v>40594</v>
      </c>
      <c r="AA2541" s="1" t="s">
        <v>40595</v>
      </c>
      <c r="AB2541" s="1" t="s">
        <v>40596</v>
      </c>
      <c r="AC2541" s="1" t="s">
        <v>40597</v>
      </c>
      <c r="AD2541" s="1" t="s">
        <v>40598</v>
      </c>
      <c r="AE2541" s="1" t="s">
        <v>40599</v>
      </c>
      <c r="AF2541" s="1" t="s">
        <v>74</v>
      </c>
      <c r="AG2541" s="1">
        <v>32</v>
      </c>
      <c r="AH2541" s="1">
        <v>8</v>
      </c>
      <c r="AI2541" s="1">
        <v>9</v>
      </c>
      <c r="AJ2541" s="1">
        <v>0</v>
      </c>
      <c r="AK2541" s="1">
        <v>5</v>
      </c>
      <c r="AL2541" s="1" t="s">
        <v>112</v>
      </c>
      <c r="AM2541" s="1" t="s">
        <v>191</v>
      </c>
      <c r="AN2541" s="1" t="s">
        <v>192</v>
      </c>
      <c r="AO2541" s="1" t="s">
        <v>608</v>
      </c>
      <c r="AP2541" s="1" t="s">
        <v>609</v>
      </c>
      <c r="AQ2541" s="1" t="s">
        <v>74</v>
      </c>
      <c r="AR2541" s="1" t="s">
        <v>595</v>
      </c>
      <c r="AS2541" s="1" t="s">
        <v>610</v>
      </c>
      <c r="AT2541" s="1" t="s">
        <v>224</v>
      </c>
      <c r="AU2541" s="1">
        <v>2010</v>
      </c>
      <c r="AV2541" s="1">
        <v>19</v>
      </c>
      <c r="AW2541" s="1">
        <v>2</v>
      </c>
      <c r="AX2541" s="1" t="s">
        <v>74</v>
      </c>
      <c r="AY2541" s="1" t="s">
        <v>74</v>
      </c>
      <c r="AZ2541" s="1" t="s">
        <v>74</v>
      </c>
      <c r="BA2541" s="1" t="s">
        <v>74</v>
      </c>
      <c r="BB2541" s="1">
        <v>383</v>
      </c>
      <c r="BC2541" s="1">
        <v>390</v>
      </c>
      <c r="BD2541" s="1" t="s">
        <v>74</v>
      </c>
      <c r="BE2541" s="1" t="s">
        <v>40600</v>
      </c>
      <c r="BF2541" s="1" t="str">
        <f>HYPERLINK("http://dx.doi.org/10.1007/s10646-009-0422-2","http://dx.doi.org/10.1007/s10646-009-0422-2")</f>
        <v>http://dx.doi.org/10.1007/s10646-009-0422-2</v>
      </c>
      <c r="BG2541" s="1" t="s">
        <v>74</v>
      </c>
      <c r="BH2541" s="1" t="s">
        <v>74</v>
      </c>
      <c r="BI2541" s="1">
        <v>8</v>
      </c>
      <c r="BJ2541" s="1" t="s">
        <v>612</v>
      </c>
      <c r="BK2541" s="1" t="s">
        <v>96</v>
      </c>
      <c r="BL2541" s="1" t="s">
        <v>122</v>
      </c>
      <c r="BM2541" s="1" t="s">
        <v>40601</v>
      </c>
      <c r="BN2541" s="1">
        <v>19795207</v>
      </c>
      <c r="BO2541" s="1" t="s">
        <v>74</v>
      </c>
      <c r="BP2541" s="1" t="s">
        <v>74</v>
      </c>
      <c r="BQ2541" s="1" t="s">
        <v>74</v>
      </c>
      <c r="BR2541" s="1" t="s">
        <v>98</v>
      </c>
      <c r="BS2541" s="1" t="s">
        <v>40602</v>
      </c>
      <c r="BT2541" s="1" t="str">
        <f>HYPERLINK("https%3A%2F%2Fwww.webofscience.com%2Fwos%2Fwoscc%2Ffull-record%2FWOS:000273979000015","View Full Record in Web of Science")</f>
        <v>View Full Record in Web of Science</v>
      </c>
      <c r="BU2541" s="1"/>
      <c r="BV2541" s="1"/>
    </row>
    <row r="2542" spans="1:74">
      <c r="A2542" s="1" t="s">
        <v>72</v>
      </c>
      <c r="B2542" s="1" t="s">
        <v>40603</v>
      </c>
      <c r="C2542" s="1" t="s">
        <v>74</v>
      </c>
      <c r="D2542" s="1" t="s">
        <v>74</v>
      </c>
      <c r="E2542" s="1" t="s">
        <v>74</v>
      </c>
      <c r="F2542" s="1" t="s">
        <v>40603</v>
      </c>
      <c r="G2542" s="1" t="s">
        <v>74</v>
      </c>
      <c r="H2542" s="1" t="s">
        <v>74</v>
      </c>
      <c r="I2542" s="1" t="s">
        <v>40604</v>
      </c>
      <c r="J2542" s="1" t="s">
        <v>752</v>
      </c>
      <c r="K2542" s="1" t="s">
        <v>74</v>
      </c>
      <c r="L2542" s="1" t="s">
        <v>74</v>
      </c>
      <c r="M2542" s="1" t="s">
        <v>78</v>
      </c>
      <c r="N2542" s="1" t="s">
        <v>151</v>
      </c>
      <c r="O2542" s="1" t="s">
        <v>34690</v>
      </c>
      <c r="P2542" s="1" t="s">
        <v>15399</v>
      </c>
      <c r="Q2542" s="1" t="s">
        <v>15400</v>
      </c>
      <c r="R2542" s="1" t="s">
        <v>74</v>
      </c>
      <c r="S2542" s="1" t="s">
        <v>15401</v>
      </c>
      <c r="T2542" s="1" t="s">
        <v>74</v>
      </c>
      <c r="U2542" s="1" t="s">
        <v>40605</v>
      </c>
      <c r="V2542" s="1" t="s">
        <v>40606</v>
      </c>
      <c r="W2542" s="1" t="s">
        <v>40607</v>
      </c>
      <c r="X2542" s="1" t="s">
        <v>40608</v>
      </c>
      <c r="Y2542" s="1" t="s">
        <v>40609</v>
      </c>
      <c r="Z2542" s="1" t="s">
        <v>74</v>
      </c>
      <c r="AA2542" s="1" t="s">
        <v>74</v>
      </c>
      <c r="AB2542" s="1" t="s">
        <v>74</v>
      </c>
      <c r="AC2542" s="1" t="s">
        <v>74</v>
      </c>
      <c r="AD2542" s="1" t="s">
        <v>74</v>
      </c>
      <c r="AE2542" s="1" t="s">
        <v>74</v>
      </c>
      <c r="AF2542" s="1" t="s">
        <v>74</v>
      </c>
      <c r="AG2542" s="1">
        <v>12</v>
      </c>
      <c r="AH2542" s="1">
        <v>14</v>
      </c>
      <c r="AI2542" s="1">
        <v>14</v>
      </c>
      <c r="AJ2542" s="1">
        <v>0</v>
      </c>
      <c r="AK2542" s="1">
        <v>1</v>
      </c>
      <c r="AL2542" s="1" t="s">
        <v>430</v>
      </c>
      <c r="AM2542" s="1" t="s">
        <v>137</v>
      </c>
      <c r="AN2542" s="1" t="s">
        <v>1600</v>
      </c>
      <c r="AO2542" s="1" t="s">
        <v>761</v>
      </c>
      <c r="AP2542" s="1" t="s">
        <v>74</v>
      </c>
      <c r="AQ2542" s="1" t="s">
        <v>74</v>
      </c>
      <c r="AR2542" s="1" t="s">
        <v>763</v>
      </c>
      <c r="AS2542" s="1" t="s">
        <v>764</v>
      </c>
      <c r="AT2542" s="1" t="s">
        <v>74</v>
      </c>
      <c r="AU2542" s="1">
        <v>1992</v>
      </c>
      <c r="AV2542" s="1">
        <v>34</v>
      </c>
      <c r="AW2542" s="1" t="s">
        <v>721</v>
      </c>
      <c r="AX2542" s="1" t="s">
        <v>74</v>
      </c>
      <c r="AY2542" s="1" t="s">
        <v>74</v>
      </c>
      <c r="AZ2542" s="1" t="s">
        <v>74</v>
      </c>
      <c r="BA2542" s="1" t="s">
        <v>74</v>
      </c>
      <c r="BB2542" s="1">
        <v>75</v>
      </c>
      <c r="BC2542" s="1">
        <v>80</v>
      </c>
      <c r="BD2542" s="1" t="s">
        <v>74</v>
      </c>
      <c r="BE2542" s="1" t="s">
        <v>40610</v>
      </c>
      <c r="BF2542" s="1" t="str">
        <f>HYPERLINK("http://dx.doi.org/10.1016/0141-1136(92)90086-2","http://dx.doi.org/10.1016/0141-1136(92)90086-2")</f>
        <v>http://dx.doi.org/10.1016/0141-1136(92)90086-2</v>
      </c>
      <c r="BG2542" s="1" t="s">
        <v>74</v>
      </c>
      <c r="BH2542" s="1" t="s">
        <v>74</v>
      </c>
      <c r="BI2542" s="1">
        <v>6</v>
      </c>
      <c r="BJ2542" s="1" t="s">
        <v>768</v>
      </c>
      <c r="BK2542" s="1" t="s">
        <v>588</v>
      </c>
      <c r="BL2542" s="1" t="s">
        <v>769</v>
      </c>
      <c r="BM2542" s="1" t="s">
        <v>17201</v>
      </c>
      <c r="BN2542" s="1" t="s">
        <v>74</v>
      </c>
      <c r="BO2542" s="1" t="s">
        <v>74</v>
      </c>
      <c r="BP2542" s="1" t="s">
        <v>74</v>
      </c>
      <c r="BQ2542" s="1" t="s">
        <v>74</v>
      </c>
      <c r="BR2542" s="1" t="s">
        <v>98</v>
      </c>
      <c r="BS2542" s="1" t="s">
        <v>40611</v>
      </c>
      <c r="BT2542" s="1" t="str">
        <f>HYPERLINK("https%3A%2F%2Fwww.webofscience.com%2Fwos%2Fwoscc%2Ffull-record%2FWOS:A1992KB00500014","View Full Record in Web of Science")</f>
        <v>View Full Record in Web of Science</v>
      </c>
      <c r="BU2542" s="1"/>
      <c r="BV2542" s="1"/>
    </row>
    <row r="2543" spans="1:74">
      <c r="A2543" s="1" t="s">
        <v>72</v>
      </c>
      <c r="B2543" s="1" t="s">
        <v>40612</v>
      </c>
      <c r="C2543" s="1" t="s">
        <v>74</v>
      </c>
      <c r="D2543" s="1" t="s">
        <v>74</v>
      </c>
      <c r="E2543" s="1" t="s">
        <v>74</v>
      </c>
      <c r="F2543" s="1" t="s">
        <v>40613</v>
      </c>
      <c r="G2543" s="1" t="s">
        <v>74</v>
      </c>
      <c r="H2543" s="1" t="s">
        <v>74</v>
      </c>
      <c r="I2543" s="1" t="s">
        <v>40614</v>
      </c>
      <c r="J2543" s="1" t="s">
        <v>17233</v>
      </c>
      <c r="K2543" s="1" t="s">
        <v>74</v>
      </c>
      <c r="L2543" s="1" t="s">
        <v>74</v>
      </c>
      <c r="M2543" s="1" t="s">
        <v>78</v>
      </c>
      <c r="N2543" s="1" t="s">
        <v>79</v>
      </c>
      <c r="O2543" s="1" t="s">
        <v>74</v>
      </c>
      <c r="P2543" s="1" t="s">
        <v>74</v>
      </c>
      <c r="Q2543" s="1" t="s">
        <v>74</v>
      </c>
      <c r="R2543" s="1" t="s">
        <v>74</v>
      </c>
      <c r="S2543" s="1" t="s">
        <v>74</v>
      </c>
      <c r="T2543" s="1" t="s">
        <v>40615</v>
      </c>
      <c r="U2543" s="1" t="s">
        <v>40616</v>
      </c>
      <c r="V2543" s="1" t="s">
        <v>40617</v>
      </c>
      <c r="W2543" s="1" t="s">
        <v>40618</v>
      </c>
      <c r="X2543" s="1" t="s">
        <v>40619</v>
      </c>
      <c r="Y2543" s="1" t="s">
        <v>40620</v>
      </c>
      <c r="Z2543" s="1" t="s">
        <v>40621</v>
      </c>
      <c r="AA2543" s="1" t="s">
        <v>40622</v>
      </c>
      <c r="AB2543" s="1" t="s">
        <v>40623</v>
      </c>
      <c r="AC2543" s="1" t="s">
        <v>74</v>
      </c>
      <c r="AD2543" s="1" t="s">
        <v>74</v>
      </c>
      <c r="AE2543" s="1" t="s">
        <v>74</v>
      </c>
      <c r="AF2543" s="1" t="s">
        <v>74</v>
      </c>
      <c r="AG2543" s="1">
        <v>43</v>
      </c>
      <c r="AH2543" s="1">
        <v>9</v>
      </c>
      <c r="AI2543" s="1">
        <v>9</v>
      </c>
      <c r="AJ2543" s="1">
        <v>1</v>
      </c>
      <c r="AK2543" s="1">
        <v>26</v>
      </c>
      <c r="AL2543" s="1" t="s">
        <v>112</v>
      </c>
      <c r="AM2543" s="1" t="s">
        <v>113</v>
      </c>
      <c r="AN2543" s="1" t="s">
        <v>469</v>
      </c>
      <c r="AO2543" s="1" t="s">
        <v>17246</v>
      </c>
      <c r="AP2543" s="1" t="s">
        <v>17247</v>
      </c>
      <c r="AQ2543" s="1" t="s">
        <v>74</v>
      </c>
      <c r="AR2543" s="1" t="s">
        <v>17248</v>
      </c>
      <c r="AS2543" s="1" t="s">
        <v>17249</v>
      </c>
      <c r="AT2543" s="1" t="s">
        <v>1223</v>
      </c>
      <c r="AU2543" s="1">
        <v>2011</v>
      </c>
      <c r="AV2543" s="1">
        <v>34</v>
      </c>
      <c r="AW2543" s="1">
        <v>3</v>
      </c>
      <c r="AX2543" s="1" t="s">
        <v>74</v>
      </c>
      <c r="AY2543" s="1" t="s">
        <v>74</v>
      </c>
      <c r="AZ2543" s="1" t="s">
        <v>74</v>
      </c>
      <c r="BA2543" s="1" t="s">
        <v>74</v>
      </c>
      <c r="BB2543" s="1">
        <v>431</v>
      </c>
      <c r="BC2543" s="1">
        <v>439</v>
      </c>
      <c r="BD2543" s="1" t="s">
        <v>74</v>
      </c>
      <c r="BE2543" s="1" t="s">
        <v>40624</v>
      </c>
      <c r="BF2543" s="1" t="str">
        <f>HYPERLINK("http://dx.doi.org/10.1007/s00300-010-0898-5","http://dx.doi.org/10.1007/s00300-010-0898-5")</f>
        <v>http://dx.doi.org/10.1007/s00300-010-0898-5</v>
      </c>
      <c r="BG2543" s="1" t="s">
        <v>74</v>
      </c>
      <c r="BH2543" s="1" t="s">
        <v>74</v>
      </c>
      <c r="BI2543" s="1">
        <v>9</v>
      </c>
      <c r="BJ2543" s="1" t="s">
        <v>17252</v>
      </c>
      <c r="BK2543" s="1" t="s">
        <v>96</v>
      </c>
      <c r="BL2543" s="1" t="s">
        <v>4924</v>
      </c>
      <c r="BM2543" s="1" t="s">
        <v>40625</v>
      </c>
      <c r="BN2543" s="1" t="s">
        <v>74</v>
      </c>
      <c r="BO2543" s="1" t="s">
        <v>74</v>
      </c>
      <c r="BP2543" s="1" t="s">
        <v>74</v>
      </c>
      <c r="BQ2543" s="1" t="s">
        <v>74</v>
      </c>
      <c r="BR2543" s="1" t="s">
        <v>98</v>
      </c>
      <c r="BS2543" s="1" t="s">
        <v>40626</v>
      </c>
      <c r="BT2543" s="1" t="str">
        <f>HYPERLINK("https%3A%2F%2Fwww.webofscience.com%2Fwos%2Fwoscc%2Ffull-record%2FWOS:000288349800012","View Full Record in Web of Science")</f>
        <v>View Full Record in Web of Science</v>
      </c>
      <c r="BU2543" s="1"/>
      <c r="BV2543" s="1"/>
    </row>
    <row r="2544" spans="1:74">
      <c r="A2544" s="1" t="s">
        <v>72</v>
      </c>
      <c r="B2544" s="1" t="s">
        <v>40627</v>
      </c>
      <c r="C2544" s="1" t="s">
        <v>74</v>
      </c>
      <c r="D2544" s="1" t="s">
        <v>74</v>
      </c>
      <c r="E2544" s="1" t="s">
        <v>74</v>
      </c>
      <c r="F2544" s="1" t="s">
        <v>40628</v>
      </c>
      <c r="G2544" s="1" t="s">
        <v>74</v>
      </c>
      <c r="H2544" s="1" t="s">
        <v>74</v>
      </c>
      <c r="I2544" s="1" t="s">
        <v>40629</v>
      </c>
      <c r="J2544" s="1" t="s">
        <v>22642</v>
      </c>
      <c r="K2544" s="1" t="s">
        <v>74</v>
      </c>
      <c r="L2544" s="1" t="s">
        <v>74</v>
      </c>
      <c r="M2544" s="1" t="s">
        <v>78</v>
      </c>
      <c r="N2544" s="1" t="s">
        <v>79</v>
      </c>
      <c r="O2544" s="1" t="s">
        <v>74</v>
      </c>
      <c r="P2544" s="1" t="s">
        <v>74</v>
      </c>
      <c r="Q2544" s="1" t="s">
        <v>74</v>
      </c>
      <c r="R2544" s="1" t="s">
        <v>74</v>
      </c>
      <c r="S2544" s="1" t="s">
        <v>74</v>
      </c>
      <c r="T2544" s="1" t="s">
        <v>40630</v>
      </c>
      <c r="U2544" s="1" t="s">
        <v>40631</v>
      </c>
      <c r="V2544" s="1" t="s">
        <v>40632</v>
      </c>
      <c r="W2544" s="1" t="s">
        <v>40633</v>
      </c>
      <c r="X2544" s="1" t="s">
        <v>40634</v>
      </c>
      <c r="Y2544" s="1" t="s">
        <v>40635</v>
      </c>
      <c r="Z2544" s="1" t="s">
        <v>40636</v>
      </c>
      <c r="AA2544" s="1" t="s">
        <v>74</v>
      </c>
      <c r="AB2544" s="1" t="s">
        <v>74</v>
      </c>
      <c r="AC2544" s="1" t="s">
        <v>40637</v>
      </c>
      <c r="AD2544" s="1" t="s">
        <v>74</v>
      </c>
      <c r="AE2544" s="1" t="s">
        <v>40638</v>
      </c>
      <c r="AF2544" s="1" t="s">
        <v>74</v>
      </c>
      <c r="AG2544" s="1">
        <v>55</v>
      </c>
      <c r="AH2544" s="1">
        <v>10</v>
      </c>
      <c r="AI2544" s="1">
        <v>10</v>
      </c>
      <c r="AJ2544" s="1">
        <v>0</v>
      </c>
      <c r="AK2544" s="1">
        <v>16</v>
      </c>
      <c r="AL2544" s="1" t="s">
        <v>3362</v>
      </c>
      <c r="AM2544" s="1" t="s">
        <v>3363</v>
      </c>
      <c r="AN2544" s="1" t="s">
        <v>3364</v>
      </c>
      <c r="AO2544" s="1" t="s">
        <v>22655</v>
      </c>
      <c r="AP2544" s="1" t="s">
        <v>22656</v>
      </c>
      <c r="AQ2544" s="1" t="s">
        <v>74</v>
      </c>
      <c r="AR2544" s="1" t="s">
        <v>22657</v>
      </c>
      <c r="AS2544" s="1" t="s">
        <v>22658</v>
      </c>
      <c r="AT2544" s="1" t="s">
        <v>142</v>
      </c>
      <c r="AU2544" s="1">
        <v>2023</v>
      </c>
      <c r="AV2544" s="1">
        <v>119</v>
      </c>
      <c r="AW2544" s="1" t="s">
        <v>74</v>
      </c>
      <c r="AX2544" s="1" t="s">
        <v>74</v>
      </c>
      <c r="AY2544" s="1" t="s">
        <v>74</v>
      </c>
      <c r="AZ2544" s="1" t="s">
        <v>74</v>
      </c>
      <c r="BA2544" s="1" t="s">
        <v>74</v>
      </c>
      <c r="BB2544" s="1" t="s">
        <v>74</v>
      </c>
      <c r="BC2544" s="1" t="s">
        <v>74</v>
      </c>
      <c r="BD2544" s="1">
        <v>105230</v>
      </c>
      <c r="BE2544" s="1" t="s">
        <v>40639</v>
      </c>
      <c r="BF2544" s="1" t="str">
        <f>HYPERLINK("http://dx.doi.org/10.1016/j.jfca.2023.105230","http://dx.doi.org/10.1016/j.jfca.2023.105230")</f>
        <v>http://dx.doi.org/10.1016/j.jfca.2023.105230</v>
      </c>
      <c r="BG2544" s="1" t="s">
        <v>74</v>
      </c>
      <c r="BH2544" s="1" t="s">
        <v>6536</v>
      </c>
      <c r="BI2544" s="1">
        <v>9</v>
      </c>
      <c r="BJ2544" s="1" t="s">
        <v>22661</v>
      </c>
      <c r="BK2544" s="1" t="s">
        <v>96</v>
      </c>
      <c r="BL2544" s="1" t="s">
        <v>22662</v>
      </c>
      <c r="BM2544" s="1" t="s">
        <v>40640</v>
      </c>
      <c r="BN2544" s="1" t="s">
        <v>74</v>
      </c>
      <c r="BO2544" s="1" t="s">
        <v>74</v>
      </c>
      <c r="BP2544" s="1" t="s">
        <v>74</v>
      </c>
      <c r="BQ2544" s="1" t="s">
        <v>74</v>
      </c>
      <c r="BR2544" s="1" t="s">
        <v>98</v>
      </c>
      <c r="BS2544" s="1" t="s">
        <v>40641</v>
      </c>
      <c r="BT2544" s="1" t="str">
        <f>HYPERLINK("https%3A%2F%2Fwww.webofscience.com%2Fwos%2Fwoscc%2Ffull-record%2FWOS:000951648600001","View Full Record in Web of Science")</f>
        <v>View Full Record in Web of Science</v>
      </c>
      <c r="BU2544" s="1"/>
      <c r="BV2544" s="1"/>
    </row>
    <row r="2545" spans="1:74">
      <c r="A2545" s="1" t="s">
        <v>72</v>
      </c>
      <c r="B2545" s="1" t="s">
        <v>40642</v>
      </c>
      <c r="C2545" s="1" t="s">
        <v>74</v>
      </c>
      <c r="D2545" s="1" t="s">
        <v>74</v>
      </c>
      <c r="E2545" s="1" t="s">
        <v>74</v>
      </c>
      <c r="F2545" s="1" t="s">
        <v>40643</v>
      </c>
      <c r="G2545" s="1" t="s">
        <v>74</v>
      </c>
      <c r="H2545" s="1" t="s">
        <v>74</v>
      </c>
      <c r="I2545" s="1" t="s">
        <v>40644</v>
      </c>
      <c r="J2545" s="1" t="s">
        <v>179</v>
      </c>
      <c r="K2545" s="1" t="s">
        <v>74</v>
      </c>
      <c r="L2545" s="1" t="s">
        <v>74</v>
      </c>
      <c r="M2545" s="1" t="s">
        <v>78</v>
      </c>
      <c r="N2545" s="1" t="s">
        <v>79</v>
      </c>
      <c r="O2545" s="1" t="s">
        <v>74</v>
      </c>
      <c r="P2545" s="1" t="s">
        <v>74</v>
      </c>
      <c r="Q2545" s="1" t="s">
        <v>74</v>
      </c>
      <c r="R2545" s="1" t="s">
        <v>74</v>
      </c>
      <c r="S2545" s="1" t="s">
        <v>74</v>
      </c>
      <c r="T2545" s="1" t="s">
        <v>40645</v>
      </c>
      <c r="U2545" s="1" t="s">
        <v>40646</v>
      </c>
      <c r="V2545" s="1" t="s">
        <v>40647</v>
      </c>
      <c r="W2545" s="1" t="s">
        <v>40648</v>
      </c>
      <c r="X2545" s="1" t="s">
        <v>30764</v>
      </c>
      <c r="Y2545" s="1" t="s">
        <v>40649</v>
      </c>
      <c r="Z2545" s="1" t="s">
        <v>40650</v>
      </c>
      <c r="AA2545" s="1" t="s">
        <v>74</v>
      </c>
      <c r="AB2545" s="1" t="s">
        <v>23224</v>
      </c>
      <c r="AC2545" s="1" t="s">
        <v>74</v>
      </c>
      <c r="AD2545" s="1" t="s">
        <v>74</v>
      </c>
      <c r="AE2545" s="1" t="s">
        <v>74</v>
      </c>
      <c r="AF2545" s="1" t="s">
        <v>74</v>
      </c>
      <c r="AG2545" s="1">
        <v>28</v>
      </c>
      <c r="AH2545" s="1">
        <v>9</v>
      </c>
      <c r="AI2545" s="1">
        <v>10</v>
      </c>
      <c r="AJ2545" s="1">
        <v>0</v>
      </c>
      <c r="AK2545" s="1">
        <v>5</v>
      </c>
      <c r="AL2545" s="1" t="s">
        <v>112</v>
      </c>
      <c r="AM2545" s="1" t="s">
        <v>191</v>
      </c>
      <c r="AN2545" s="1" t="s">
        <v>192</v>
      </c>
      <c r="AO2545" s="1" t="s">
        <v>193</v>
      </c>
      <c r="AP2545" s="1" t="s">
        <v>74</v>
      </c>
      <c r="AQ2545" s="1" t="s">
        <v>74</v>
      </c>
      <c r="AR2545" s="1" t="s">
        <v>195</v>
      </c>
      <c r="AS2545" s="1" t="s">
        <v>196</v>
      </c>
      <c r="AT2545" s="1" t="s">
        <v>142</v>
      </c>
      <c r="AU2545" s="1">
        <v>2008</v>
      </c>
      <c r="AV2545" s="1">
        <v>141</v>
      </c>
      <c r="AW2545" s="1" t="s">
        <v>2847</v>
      </c>
      <c r="AX2545" s="1" t="s">
        <v>74</v>
      </c>
      <c r="AY2545" s="1" t="s">
        <v>74</v>
      </c>
      <c r="AZ2545" s="1" t="s">
        <v>74</v>
      </c>
      <c r="BA2545" s="1" t="s">
        <v>74</v>
      </c>
      <c r="BB2545" s="1">
        <v>27</v>
      </c>
      <c r="BC2545" s="1">
        <v>34</v>
      </c>
      <c r="BD2545" s="1" t="s">
        <v>74</v>
      </c>
      <c r="BE2545" s="1" t="s">
        <v>40651</v>
      </c>
      <c r="BF2545" s="1" t="str">
        <f>HYPERLINK("http://dx.doi.org/10.1007/s10661-007-9875-z","http://dx.doi.org/10.1007/s10661-007-9875-z")</f>
        <v>http://dx.doi.org/10.1007/s10661-007-9875-z</v>
      </c>
      <c r="BG2545" s="1" t="s">
        <v>74</v>
      </c>
      <c r="BH2545" s="1" t="s">
        <v>74</v>
      </c>
      <c r="BI2545" s="1">
        <v>8</v>
      </c>
      <c r="BJ2545" s="1" t="s">
        <v>144</v>
      </c>
      <c r="BK2545" s="1" t="s">
        <v>96</v>
      </c>
      <c r="BL2545" s="1" t="s">
        <v>145</v>
      </c>
      <c r="BM2545" s="1" t="s">
        <v>18053</v>
      </c>
      <c r="BN2545" s="1">
        <v>17705022</v>
      </c>
      <c r="BO2545" s="1" t="s">
        <v>74</v>
      </c>
      <c r="BP2545" s="1" t="s">
        <v>74</v>
      </c>
      <c r="BQ2545" s="1" t="s">
        <v>74</v>
      </c>
      <c r="BR2545" s="1" t="s">
        <v>98</v>
      </c>
      <c r="BS2545" s="1" t="s">
        <v>40652</v>
      </c>
      <c r="BT2545" s="1" t="str">
        <f>HYPERLINK("https%3A%2F%2Fwww.webofscience.com%2Fwos%2Fwoscc%2Ffull-record%2FWOS:000255627200003","View Full Record in Web of Science")</f>
        <v>View Full Record in Web of Science</v>
      </c>
      <c r="BU2545" s="1"/>
      <c r="BV2545" s="1"/>
    </row>
    <row r="2546" spans="1:74">
      <c r="A2546" s="1" t="s">
        <v>72</v>
      </c>
      <c r="B2546" s="1" t="s">
        <v>40653</v>
      </c>
      <c r="C2546" s="1" t="s">
        <v>74</v>
      </c>
      <c r="D2546" s="1" t="s">
        <v>74</v>
      </c>
      <c r="E2546" s="1" t="s">
        <v>74</v>
      </c>
      <c r="F2546" s="1" t="s">
        <v>40653</v>
      </c>
      <c r="G2546" s="1" t="s">
        <v>74</v>
      </c>
      <c r="H2546" s="1" t="s">
        <v>74</v>
      </c>
      <c r="I2546" s="1" t="s">
        <v>40654</v>
      </c>
      <c r="J2546" s="1" t="s">
        <v>909</v>
      </c>
      <c r="K2546" s="1" t="s">
        <v>74</v>
      </c>
      <c r="L2546" s="1" t="s">
        <v>74</v>
      </c>
      <c r="M2546" s="1" t="s">
        <v>78</v>
      </c>
      <c r="N2546" s="1" t="s">
        <v>79</v>
      </c>
      <c r="O2546" s="1" t="s">
        <v>74</v>
      </c>
      <c r="P2546" s="1" t="s">
        <v>74</v>
      </c>
      <c r="Q2546" s="1" t="s">
        <v>74</v>
      </c>
      <c r="R2546" s="1" t="s">
        <v>74</v>
      </c>
      <c r="S2546" s="1" t="s">
        <v>74</v>
      </c>
      <c r="T2546" s="1" t="s">
        <v>40655</v>
      </c>
      <c r="U2546" s="1" t="s">
        <v>40656</v>
      </c>
      <c r="V2546" s="1" t="s">
        <v>40657</v>
      </c>
      <c r="W2546" s="1" t="s">
        <v>40658</v>
      </c>
      <c r="X2546" s="1" t="s">
        <v>40659</v>
      </c>
      <c r="Y2546" s="1" t="s">
        <v>40660</v>
      </c>
      <c r="Z2546" s="1" t="s">
        <v>74</v>
      </c>
      <c r="AA2546" s="1" t="s">
        <v>74</v>
      </c>
      <c r="AB2546" s="1" t="s">
        <v>74</v>
      </c>
      <c r="AC2546" s="1" t="s">
        <v>74</v>
      </c>
      <c r="AD2546" s="1" t="s">
        <v>74</v>
      </c>
      <c r="AE2546" s="1" t="s">
        <v>74</v>
      </c>
      <c r="AF2546" s="1" t="s">
        <v>74</v>
      </c>
      <c r="AG2546" s="1">
        <v>21</v>
      </c>
      <c r="AH2546" s="1">
        <v>21</v>
      </c>
      <c r="AI2546" s="1">
        <v>21</v>
      </c>
      <c r="AJ2546" s="1">
        <v>0</v>
      </c>
      <c r="AK2546" s="1">
        <v>2</v>
      </c>
      <c r="AL2546" s="1" t="s">
        <v>919</v>
      </c>
      <c r="AM2546" s="1" t="s">
        <v>651</v>
      </c>
      <c r="AN2546" s="1" t="s">
        <v>920</v>
      </c>
      <c r="AO2546" s="1" t="s">
        <v>921</v>
      </c>
      <c r="AP2546" s="1" t="s">
        <v>74</v>
      </c>
      <c r="AQ2546" s="1" t="s">
        <v>74</v>
      </c>
      <c r="AR2546" s="1" t="s">
        <v>923</v>
      </c>
      <c r="AS2546" s="1" t="s">
        <v>924</v>
      </c>
      <c r="AT2546" s="1" t="s">
        <v>8920</v>
      </c>
      <c r="AU2546" s="1">
        <v>1993</v>
      </c>
      <c r="AV2546" s="1">
        <v>140</v>
      </c>
      <c r="AW2546" s="1" t="s">
        <v>74</v>
      </c>
      <c r="AX2546" s="1" t="s">
        <v>74</v>
      </c>
      <c r="AY2546" s="1" t="s">
        <v>74</v>
      </c>
      <c r="AZ2546" s="1" t="s">
        <v>74</v>
      </c>
      <c r="BA2546" s="1" t="s">
        <v>74</v>
      </c>
      <c r="BB2546" s="1">
        <v>225</v>
      </c>
      <c r="BC2546" s="1">
        <v>236</v>
      </c>
      <c r="BD2546" s="1" t="s">
        <v>74</v>
      </c>
      <c r="BE2546" s="1" t="s">
        <v>74</v>
      </c>
      <c r="BF2546" s="1" t="s">
        <v>74</v>
      </c>
      <c r="BG2546" s="1" t="s">
        <v>74</v>
      </c>
      <c r="BH2546" s="1" t="s">
        <v>74</v>
      </c>
      <c r="BI2546" s="1">
        <v>12</v>
      </c>
      <c r="BJ2546" s="1" t="s">
        <v>144</v>
      </c>
      <c r="BK2546" s="1" t="s">
        <v>96</v>
      </c>
      <c r="BL2546" s="1" t="s">
        <v>145</v>
      </c>
      <c r="BM2546" s="1" t="s">
        <v>40661</v>
      </c>
      <c r="BN2546" s="1" t="s">
        <v>74</v>
      </c>
      <c r="BO2546" s="1" t="s">
        <v>74</v>
      </c>
      <c r="BP2546" s="1" t="s">
        <v>74</v>
      </c>
      <c r="BQ2546" s="1" t="s">
        <v>74</v>
      </c>
      <c r="BR2546" s="1" t="s">
        <v>98</v>
      </c>
      <c r="BS2546" s="1" t="s">
        <v>40662</v>
      </c>
      <c r="BT2546" s="1" t="str">
        <f>HYPERLINK("https%3A%2F%2Fwww.webofscience.com%2Fwos%2Fwoscc%2Ffull-record%2FWOS:A1993MH62800020","View Full Record in Web of Science")</f>
        <v>View Full Record in Web of Science</v>
      </c>
      <c r="BU2546" s="1"/>
      <c r="BV2546" s="1"/>
    </row>
    <row r="2547" spans="1:74">
      <c r="A2547" s="1" t="s">
        <v>72</v>
      </c>
      <c r="B2547" s="1" t="s">
        <v>40663</v>
      </c>
      <c r="C2547" s="1" t="s">
        <v>74</v>
      </c>
      <c r="D2547" s="1" t="s">
        <v>74</v>
      </c>
      <c r="E2547" s="1" t="s">
        <v>74</v>
      </c>
      <c r="F2547" s="1" t="s">
        <v>40664</v>
      </c>
      <c r="G2547" s="1" t="s">
        <v>74</v>
      </c>
      <c r="H2547" s="1" t="s">
        <v>74</v>
      </c>
      <c r="I2547" s="1" t="s">
        <v>40665</v>
      </c>
      <c r="J2547" s="1" t="s">
        <v>909</v>
      </c>
      <c r="K2547" s="1" t="s">
        <v>74</v>
      </c>
      <c r="L2547" s="1" t="s">
        <v>74</v>
      </c>
      <c r="M2547" s="1" t="s">
        <v>78</v>
      </c>
      <c r="N2547" s="1" t="s">
        <v>79</v>
      </c>
      <c r="O2547" s="1" t="s">
        <v>74</v>
      </c>
      <c r="P2547" s="1" t="s">
        <v>74</v>
      </c>
      <c r="Q2547" s="1" t="s">
        <v>74</v>
      </c>
      <c r="R2547" s="1" t="s">
        <v>74</v>
      </c>
      <c r="S2547" s="1" t="s">
        <v>74</v>
      </c>
      <c r="T2547" s="1" t="s">
        <v>40666</v>
      </c>
      <c r="U2547" s="1" t="s">
        <v>40667</v>
      </c>
      <c r="V2547" s="1" t="s">
        <v>40668</v>
      </c>
      <c r="W2547" s="1" t="s">
        <v>40669</v>
      </c>
      <c r="X2547" s="1" t="s">
        <v>40670</v>
      </c>
      <c r="Y2547" s="1" t="s">
        <v>40671</v>
      </c>
      <c r="Z2547" s="1" t="s">
        <v>40672</v>
      </c>
      <c r="AA2547" s="1" t="s">
        <v>40673</v>
      </c>
      <c r="AB2547" s="1" t="s">
        <v>40674</v>
      </c>
      <c r="AC2547" s="1" t="s">
        <v>40675</v>
      </c>
      <c r="AD2547" s="1" t="s">
        <v>40676</v>
      </c>
      <c r="AE2547" s="1" t="s">
        <v>40677</v>
      </c>
      <c r="AF2547" s="1" t="s">
        <v>74</v>
      </c>
      <c r="AG2547" s="1">
        <v>89</v>
      </c>
      <c r="AH2547" s="1">
        <v>32</v>
      </c>
      <c r="AI2547" s="1">
        <v>32</v>
      </c>
      <c r="AJ2547" s="1">
        <v>2</v>
      </c>
      <c r="AK2547" s="1">
        <v>57</v>
      </c>
      <c r="AL2547" s="1" t="s">
        <v>650</v>
      </c>
      <c r="AM2547" s="1" t="s">
        <v>651</v>
      </c>
      <c r="AN2547" s="1" t="s">
        <v>652</v>
      </c>
      <c r="AO2547" s="1" t="s">
        <v>921</v>
      </c>
      <c r="AP2547" s="1" t="s">
        <v>922</v>
      </c>
      <c r="AQ2547" s="1" t="s">
        <v>74</v>
      </c>
      <c r="AR2547" s="1" t="s">
        <v>923</v>
      </c>
      <c r="AS2547" s="1" t="s">
        <v>924</v>
      </c>
      <c r="AT2547" s="1" t="s">
        <v>3891</v>
      </c>
      <c r="AU2547" s="1">
        <v>2016</v>
      </c>
      <c r="AV2547" s="1">
        <v>541</v>
      </c>
      <c r="AW2547" s="1" t="s">
        <v>74</v>
      </c>
      <c r="AX2547" s="1" t="s">
        <v>74</v>
      </c>
      <c r="AY2547" s="1" t="s">
        <v>74</v>
      </c>
      <c r="AZ2547" s="1" t="s">
        <v>74</v>
      </c>
      <c r="BA2547" s="1" t="s">
        <v>74</v>
      </c>
      <c r="BB2547" s="1">
        <v>883</v>
      </c>
      <c r="BC2547" s="1">
        <v>894</v>
      </c>
      <c r="BD2547" s="1" t="s">
        <v>74</v>
      </c>
      <c r="BE2547" s="1" t="s">
        <v>40678</v>
      </c>
      <c r="BF2547" s="1" t="str">
        <f>HYPERLINK("http://dx.doi.org/10.1016/j.scitotenv.2015.09.017","http://dx.doi.org/10.1016/j.scitotenv.2015.09.017")</f>
        <v>http://dx.doi.org/10.1016/j.scitotenv.2015.09.017</v>
      </c>
      <c r="BG2547" s="1" t="s">
        <v>74</v>
      </c>
      <c r="BH2547" s="1" t="s">
        <v>74</v>
      </c>
      <c r="BI2547" s="1">
        <v>12</v>
      </c>
      <c r="BJ2547" s="1" t="s">
        <v>144</v>
      </c>
      <c r="BK2547" s="1" t="s">
        <v>96</v>
      </c>
      <c r="BL2547" s="1" t="s">
        <v>145</v>
      </c>
      <c r="BM2547" s="1" t="s">
        <v>40679</v>
      </c>
      <c r="BN2547" s="1">
        <v>26437357</v>
      </c>
      <c r="BO2547" s="1" t="s">
        <v>74</v>
      </c>
      <c r="BP2547" s="1" t="s">
        <v>74</v>
      </c>
      <c r="BQ2547" s="1" t="s">
        <v>74</v>
      </c>
      <c r="BR2547" s="1" t="s">
        <v>98</v>
      </c>
      <c r="BS2547" s="1" t="s">
        <v>40680</v>
      </c>
      <c r="BT2547" s="1" t="str">
        <f>HYPERLINK("https%3A%2F%2Fwww.webofscience.com%2Fwos%2Fwoscc%2Ffull-record%2FWOS:000365289300093","View Full Record in Web of Science")</f>
        <v>View Full Record in Web of Science</v>
      </c>
      <c r="BU2547" s="1"/>
      <c r="BV2547" s="1"/>
    </row>
    <row r="2548" spans="1:74">
      <c r="A2548" s="1" t="s">
        <v>72</v>
      </c>
      <c r="B2548" s="1" t="s">
        <v>40681</v>
      </c>
      <c r="C2548" s="1" t="s">
        <v>74</v>
      </c>
      <c r="D2548" s="1" t="s">
        <v>74</v>
      </c>
      <c r="E2548" s="1" t="s">
        <v>74</v>
      </c>
      <c r="F2548" s="1" t="s">
        <v>40682</v>
      </c>
      <c r="G2548" s="1" t="s">
        <v>74</v>
      </c>
      <c r="H2548" s="1" t="s">
        <v>74</v>
      </c>
      <c r="I2548" s="1" t="s">
        <v>40683</v>
      </c>
      <c r="J2548" s="1" t="s">
        <v>204</v>
      </c>
      <c r="K2548" s="1" t="s">
        <v>74</v>
      </c>
      <c r="L2548" s="1" t="s">
        <v>74</v>
      </c>
      <c r="M2548" s="1" t="s">
        <v>78</v>
      </c>
      <c r="N2548" s="1" t="s">
        <v>79</v>
      </c>
      <c r="O2548" s="1" t="s">
        <v>74</v>
      </c>
      <c r="P2548" s="1" t="s">
        <v>74</v>
      </c>
      <c r="Q2548" s="1" t="s">
        <v>74</v>
      </c>
      <c r="R2548" s="1" t="s">
        <v>74</v>
      </c>
      <c r="S2548" s="1" t="s">
        <v>74</v>
      </c>
      <c r="T2548" s="1" t="s">
        <v>40684</v>
      </c>
      <c r="U2548" s="1" t="s">
        <v>40685</v>
      </c>
      <c r="V2548" s="1" t="s">
        <v>40686</v>
      </c>
      <c r="W2548" s="1" t="s">
        <v>40687</v>
      </c>
      <c r="X2548" s="1" t="s">
        <v>40688</v>
      </c>
      <c r="Y2548" s="1" t="s">
        <v>40689</v>
      </c>
      <c r="Z2548" s="1" t="s">
        <v>40690</v>
      </c>
      <c r="AA2548" s="1" t="s">
        <v>40691</v>
      </c>
      <c r="AB2548" s="1" t="s">
        <v>40692</v>
      </c>
      <c r="AC2548" s="1" t="s">
        <v>74</v>
      </c>
      <c r="AD2548" s="1" t="s">
        <v>74</v>
      </c>
      <c r="AE2548" s="1" t="s">
        <v>74</v>
      </c>
      <c r="AF2548" s="1" t="s">
        <v>74</v>
      </c>
      <c r="AG2548" s="1">
        <v>45</v>
      </c>
      <c r="AH2548" s="1">
        <v>5</v>
      </c>
      <c r="AI2548" s="1">
        <v>5</v>
      </c>
      <c r="AJ2548" s="1">
        <v>2</v>
      </c>
      <c r="AK2548" s="1">
        <v>16</v>
      </c>
      <c r="AL2548" s="1" t="s">
        <v>217</v>
      </c>
      <c r="AM2548" s="1" t="s">
        <v>218</v>
      </c>
      <c r="AN2548" s="1" t="s">
        <v>219</v>
      </c>
      <c r="AO2548" s="1" t="s">
        <v>220</v>
      </c>
      <c r="AP2548" s="1" t="s">
        <v>221</v>
      </c>
      <c r="AQ2548" s="1" t="s">
        <v>74</v>
      </c>
      <c r="AR2548" s="1" t="s">
        <v>222</v>
      </c>
      <c r="AS2548" s="1" t="s">
        <v>223</v>
      </c>
      <c r="AT2548" s="1" t="s">
        <v>119</v>
      </c>
      <c r="AU2548" s="1">
        <v>2018</v>
      </c>
      <c r="AV2548" s="1">
        <v>25</v>
      </c>
      <c r="AW2548" s="1">
        <v>23</v>
      </c>
      <c r="AX2548" s="1" t="s">
        <v>74</v>
      </c>
      <c r="AY2548" s="1" t="s">
        <v>74</v>
      </c>
      <c r="AZ2548" s="1" t="s">
        <v>225</v>
      </c>
      <c r="BA2548" s="1" t="s">
        <v>74</v>
      </c>
      <c r="BB2548" s="1">
        <v>22689</v>
      </c>
      <c r="BC2548" s="1">
        <v>22701</v>
      </c>
      <c r="BD2548" s="1" t="s">
        <v>74</v>
      </c>
      <c r="BE2548" s="1" t="s">
        <v>40693</v>
      </c>
      <c r="BF2548" s="1" t="str">
        <f>HYPERLINK("http://dx.doi.org/10.1007/s11356-018-2241-6","http://dx.doi.org/10.1007/s11356-018-2241-6")</f>
        <v>http://dx.doi.org/10.1007/s11356-018-2241-6</v>
      </c>
      <c r="BG2548" s="1" t="s">
        <v>74</v>
      </c>
      <c r="BH2548" s="1" t="s">
        <v>74</v>
      </c>
      <c r="BI2548" s="1">
        <v>13</v>
      </c>
      <c r="BJ2548" s="1" t="s">
        <v>144</v>
      </c>
      <c r="BK2548" s="1" t="s">
        <v>96</v>
      </c>
      <c r="BL2548" s="1" t="s">
        <v>145</v>
      </c>
      <c r="BM2548" s="1" t="s">
        <v>40694</v>
      </c>
      <c r="BN2548" s="1">
        <v>29851016</v>
      </c>
      <c r="BO2548" s="1" t="s">
        <v>74</v>
      </c>
      <c r="BP2548" s="1" t="s">
        <v>74</v>
      </c>
      <c r="BQ2548" s="1" t="s">
        <v>74</v>
      </c>
      <c r="BR2548" s="1" t="s">
        <v>98</v>
      </c>
      <c r="BS2548" s="1" t="s">
        <v>40695</v>
      </c>
      <c r="BT2548" s="1" t="str">
        <f>HYPERLINK("https%3A%2F%2Fwww.webofscience.com%2Fwos%2Fwoscc%2Ffull-record%2FWOS:000441007000033","View Full Record in Web of Science")</f>
        <v>View Full Record in Web of Science</v>
      </c>
      <c r="BU2548" s="1"/>
      <c r="BV2548" s="1"/>
    </row>
    <row r="2549" spans="1:74">
      <c r="A2549" s="1" t="s">
        <v>72</v>
      </c>
      <c r="B2549" s="1" t="s">
        <v>40696</v>
      </c>
      <c r="C2549" s="1" t="s">
        <v>74</v>
      </c>
      <c r="D2549" s="1" t="s">
        <v>74</v>
      </c>
      <c r="E2549" s="1" t="s">
        <v>74</v>
      </c>
      <c r="F2549" s="1" t="s">
        <v>40697</v>
      </c>
      <c r="G2549" s="1" t="s">
        <v>74</v>
      </c>
      <c r="H2549" s="1" t="s">
        <v>74</v>
      </c>
      <c r="I2549" s="1" t="s">
        <v>40698</v>
      </c>
      <c r="J2549" s="1" t="s">
        <v>1554</v>
      </c>
      <c r="K2549" s="1" t="s">
        <v>74</v>
      </c>
      <c r="L2549" s="1" t="s">
        <v>74</v>
      </c>
      <c r="M2549" s="1" t="s">
        <v>78</v>
      </c>
      <c r="N2549" s="1" t="s">
        <v>79</v>
      </c>
      <c r="O2549" s="1" t="s">
        <v>74</v>
      </c>
      <c r="P2549" s="1" t="s">
        <v>74</v>
      </c>
      <c r="Q2549" s="1" t="s">
        <v>74</v>
      </c>
      <c r="R2549" s="1" t="s">
        <v>74</v>
      </c>
      <c r="S2549" s="1" t="s">
        <v>74</v>
      </c>
      <c r="T2549" s="1" t="s">
        <v>40699</v>
      </c>
      <c r="U2549" s="1" t="s">
        <v>40700</v>
      </c>
      <c r="V2549" s="1" t="s">
        <v>40701</v>
      </c>
      <c r="W2549" s="1" t="s">
        <v>40702</v>
      </c>
      <c r="X2549" s="1" t="s">
        <v>40703</v>
      </c>
      <c r="Y2549" s="1" t="s">
        <v>40704</v>
      </c>
      <c r="Z2549" s="1" t="s">
        <v>40705</v>
      </c>
      <c r="AA2549" s="1" t="s">
        <v>40706</v>
      </c>
      <c r="AB2549" s="1" t="s">
        <v>40707</v>
      </c>
      <c r="AC2549" s="1" t="s">
        <v>40708</v>
      </c>
      <c r="AD2549" s="1" t="s">
        <v>40708</v>
      </c>
      <c r="AE2549" s="1" t="s">
        <v>12379</v>
      </c>
      <c r="AF2549" s="1" t="s">
        <v>74</v>
      </c>
      <c r="AG2549" s="1">
        <v>81</v>
      </c>
      <c r="AH2549" s="1">
        <v>1</v>
      </c>
      <c r="AI2549" s="1">
        <v>1</v>
      </c>
      <c r="AJ2549" s="1">
        <v>9</v>
      </c>
      <c r="AK2549" s="1">
        <v>9</v>
      </c>
      <c r="AL2549" s="1" t="s">
        <v>1566</v>
      </c>
      <c r="AM2549" s="1" t="s">
        <v>1567</v>
      </c>
      <c r="AN2549" s="1" t="s">
        <v>1568</v>
      </c>
      <c r="AO2549" s="1" t="s">
        <v>74</v>
      </c>
      <c r="AP2549" s="1" t="s">
        <v>1569</v>
      </c>
      <c r="AQ2549" s="1" t="s">
        <v>74</v>
      </c>
      <c r="AR2549" s="1" t="s">
        <v>1570</v>
      </c>
      <c r="AS2549" s="1" t="s">
        <v>1571</v>
      </c>
      <c r="AT2549" s="1" t="s">
        <v>93</v>
      </c>
      <c r="AU2549" s="1">
        <v>2024</v>
      </c>
      <c r="AV2549" s="1">
        <v>14</v>
      </c>
      <c r="AW2549" s="1">
        <v>8</v>
      </c>
      <c r="AX2549" s="1" t="s">
        <v>74</v>
      </c>
      <c r="AY2549" s="1" t="s">
        <v>74</v>
      </c>
      <c r="AZ2549" s="1" t="s">
        <v>74</v>
      </c>
      <c r="BA2549" s="1" t="s">
        <v>74</v>
      </c>
      <c r="BB2549" s="1" t="s">
        <v>74</v>
      </c>
      <c r="BC2549" s="1" t="s">
        <v>74</v>
      </c>
      <c r="BD2549" s="1">
        <v>3499</v>
      </c>
      <c r="BE2549" s="1" t="s">
        <v>40709</v>
      </c>
      <c r="BF2549" s="1" t="str">
        <f>HYPERLINK("http://dx.doi.org/10.3390/app14083499","http://dx.doi.org/10.3390/app14083499")</f>
        <v>http://dx.doi.org/10.3390/app14083499</v>
      </c>
      <c r="BG2549" s="1" t="s">
        <v>74</v>
      </c>
      <c r="BH2549" s="1" t="s">
        <v>74</v>
      </c>
      <c r="BI2549" s="1">
        <v>18</v>
      </c>
      <c r="BJ2549" s="1" t="s">
        <v>1573</v>
      </c>
      <c r="BK2549" s="1" t="s">
        <v>96</v>
      </c>
      <c r="BL2549" s="1" t="s">
        <v>1574</v>
      </c>
      <c r="BM2549" s="1" t="s">
        <v>40710</v>
      </c>
      <c r="BN2549" s="1" t="s">
        <v>74</v>
      </c>
      <c r="BO2549" s="1" t="s">
        <v>873</v>
      </c>
      <c r="BP2549" s="1" t="s">
        <v>74</v>
      </c>
      <c r="BQ2549" s="1" t="s">
        <v>74</v>
      </c>
      <c r="BR2549" s="1" t="s">
        <v>98</v>
      </c>
      <c r="BS2549" s="1" t="s">
        <v>40711</v>
      </c>
      <c r="BT2549" s="1" t="str">
        <f>HYPERLINK("https%3A%2F%2Fwww.webofscience.com%2Fwos%2Fwoscc%2Ffull-record%2FWOS:001211401800001","View Full Record in Web of Science")</f>
        <v>View Full Record in Web of Science</v>
      </c>
      <c r="BU2549" s="1"/>
      <c r="BV2549" s="1"/>
    </row>
    <row r="2550" spans="1:74">
      <c r="A2550" s="1" t="s">
        <v>72</v>
      </c>
      <c r="B2550" s="1" t="s">
        <v>40712</v>
      </c>
      <c r="C2550" s="1" t="s">
        <v>74</v>
      </c>
      <c r="D2550" s="1" t="s">
        <v>74</v>
      </c>
      <c r="E2550" s="1" t="s">
        <v>74</v>
      </c>
      <c r="F2550" s="1" t="s">
        <v>40713</v>
      </c>
      <c r="G2550" s="1" t="s">
        <v>74</v>
      </c>
      <c r="H2550" s="1" t="s">
        <v>74</v>
      </c>
      <c r="I2550" s="1" t="s">
        <v>40714</v>
      </c>
      <c r="J2550" s="1" t="s">
        <v>554</v>
      </c>
      <c r="K2550" s="1" t="s">
        <v>74</v>
      </c>
      <c r="L2550" s="1" t="s">
        <v>74</v>
      </c>
      <c r="M2550" s="1" t="s">
        <v>78</v>
      </c>
      <c r="N2550" s="1" t="s">
        <v>79</v>
      </c>
      <c r="O2550" s="1" t="s">
        <v>74</v>
      </c>
      <c r="P2550" s="1" t="s">
        <v>74</v>
      </c>
      <c r="Q2550" s="1" t="s">
        <v>74</v>
      </c>
      <c r="R2550" s="1" t="s">
        <v>74</v>
      </c>
      <c r="S2550" s="1" t="s">
        <v>74</v>
      </c>
      <c r="T2550" s="1" t="s">
        <v>40715</v>
      </c>
      <c r="U2550" s="1" t="s">
        <v>40716</v>
      </c>
      <c r="V2550" s="1" t="s">
        <v>40717</v>
      </c>
      <c r="W2550" s="1" t="s">
        <v>40718</v>
      </c>
      <c r="X2550" s="1" t="s">
        <v>40719</v>
      </c>
      <c r="Y2550" s="1" t="s">
        <v>23805</v>
      </c>
      <c r="Z2550" s="1" t="s">
        <v>9288</v>
      </c>
      <c r="AA2550" s="1" t="s">
        <v>40720</v>
      </c>
      <c r="AB2550" s="1" t="s">
        <v>40721</v>
      </c>
      <c r="AC2550" s="1" t="s">
        <v>40722</v>
      </c>
      <c r="AD2550" s="1" t="s">
        <v>40723</v>
      </c>
      <c r="AE2550" s="1" t="s">
        <v>40724</v>
      </c>
      <c r="AF2550" s="1" t="s">
        <v>74</v>
      </c>
      <c r="AG2550" s="1">
        <v>89</v>
      </c>
      <c r="AH2550" s="1">
        <v>30</v>
      </c>
      <c r="AI2550" s="1">
        <v>31</v>
      </c>
      <c r="AJ2550" s="1">
        <v>0</v>
      </c>
      <c r="AK2550" s="1">
        <v>24</v>
      </c>
      <c r="AL2550" s="1" t="s">
        <v>564</v>
      </c>
      <c r="AM2550" s="1" t="s">
        <v>113</v>
      </c>
      <c r="AN2550" s="1" t="s">
        <v>807</v>
      </c>
      <c r="AO2550" s="1" t="s">
        <v>566</v>
      </c>
      <c r="AP2550" s="1" t="s">
        <v>567</v>
      </c>
      <c r="AQ2550" s="1" t="s">
        <v>74</v>
      </c>
      <c r="AR2550" s="1" t="s">
        <v>568</v>
      </c>
      <c r="AS2550" s="1" t="s">
        <v>569</v>
      </c>
      <c r="AT2550" s="1" t="s">
        <v>197</v>
      </c>
      <c r="AU2550" s="1">
        <v>2017</v>
      </c>
      <c r="AV2550" s="1">
        <v>203</v>
      </c>
      <c r="AW2550" s="1" t="s">
        <v>74</v>
      </c>
      <c r="AX2550" s="1" t="s">
        <v>74</v>
      </c>
      <c r="AY2550" s="1" t="s">
        <v>74</v>
      </c>
      <c r="AZ2550" s="1" t="s">
        <v>74</v>
      </c>
      <c r="BA2550" s="1" t="s">
        <v>74</v>
      </c>
      <c r="BB2550" s="1">
        <v>1</v>
      </c>
      <c r="BC2550" s="1">
        <v>11</v>
      </c>
      <c r="BD2550" s="1" t="s">
        <v>74</v>
      </c>
      <c r="BE2550" s="1" t="s">
        <v>40725</v>
      </c>
      <c r="BF2550" s="1" t="str">
        <f>HYPERLINK("http://dx.doi.org/10.1016/j.cbpc.2017.09.010","http://dx.doi.org/10.1016/j.cbpc.2017.09.010")</f>
        <v>http://dx.doi.org/10.1016/j.cbpc.2017.09.010</v>
      </c>
      <c r="BG2550" s="1" t="s">
        <v>74</v>
      </c>
      <c r="BH2550" s="1" t="s">
        <v>74</v>
      </c>
      <c r="BI2550" s="1">
        <v>11</v>
      </c>
      <c r="BJ2550" s="1" t="s">
        <v>571</v>
      </c>
      <c r="BK2550" s="1" t="s">
        <v>96</v>
      </c>
      <c r="BL2550" s="1" t="s">
        <v>571</v>
      </c>
      <c r="BM2550" s="1" t="s">
        <v>40726</v>
      </c>
      <c r="BN2550" s="1">
        <v>28965928</v>
      </c>
      <c r="BO2550" s="1" t="s">
        <v>74</v>
      </c>
      <c r="BP2550" s="1" t="s">
        <v>74</v>
      </c>
      <c r="BQ2550" s="1" t="s">
        <v>74</v>
      </c>
      <c r="BR2550" s="1" t="s">
        <v>98</v>
      </c>
      <c r="BS2550" s="1" t="s">
        <v>40727</v>
      </c>
      <c r="BT2550" s="1" t="str">
        <f>HYPERLINK("https%3A%2F%2Fwww.webofscience.com%2Fwos%2Fwoscc%2Ffull-record%2FWOS:000416496800001","View Full Record in Web of Science")</f>
        <v>View Full Record in Web of Science</v>
      </c>
      <c r="BU2550" s="1"/>
      <c r="BV2550" s="1"/>
    </row>
    <row r="2551" spans="1:74">
      <c r="A2551" s="1" t="s">
        <v>72</v>
      </c>
      <c r="B2551" s="1" t="s">
        <v>40728</v>
      </c>
      <c r="C2551" s="1" t="s">
        <v>74</v>
      </c>
      <c r="D2551" s="1" t="s">
        <v>74</v>
      </c>
      <c r="E2551" s="1" t="s">
        <v>74</v>
      </c>
      <c r="F2551" s="1" t="s">
        <v>40729</v>
      </c>
      <c r="G2551" s="1" t="s">
        <v>74</v>
      </c>
      <c r="H2551" s="1" t="s">
        <v>74</v>
      </c>
      <c r="I2551" s="1" t="s">
        <v>40730</v>
      </c>
      <c r="J2551" s="1" t="s">
        <v>29399</v>
      </c>
      <c r="K2551" s="1" t="s">
        <v>74</v>
      </c>
      <c r="L2551" s="1" t="s">
        <v>74</v>
      </c>
      <c r="M2551" s="1" t="s">
        <v>78</v>
      </c>
      <c r="N2551" s="1" t="s">
        <v>79</v>
      </c>
      <c r="O2551" s="1" t="s">
        <v>74</v>
      </c>
      <c r="P2551" s="1" t="s">
        <v>74</v>
      </c>
      <c r="Q2551" s="1" t="s">
        <v>74</v>
      </c>
      <c r="R2551" s="1" t="s">
        <v>74</v>
      </c>
      <c r="S2551" s="1" t="s">
        <v>74</v>
      </c>
      <c r="T2551" s="1" t="s">
        <v>40731</v>
      </c>
      <c r="U2551" s="1" t="s">
        <v>40732</v>
      </c>
      <c r="V2551" s="1" t="s">
        <v>40733</v>
      </c>
      <c r="W2551" s="1" t="s">
        <v>40734</v>
      </c>
      <c r="X2551" s="1" t="s">
        <v>40735</v>
      </c>
      <c r="Y2551" s="1" t="s">
        <v>40736</v>
      </c>
      <c r="Z2551" s="1" t="s">
        <v>40737</v>
      </c>
      <c r="AA2551" s="1" t="s">
        <v>40738</v>
      </c>
      <c r="AB2551" s="1" t="s">
        <v>40739</v>
      </c>
      <c r="AC2551" s="1" t="s">
        <v>40740</v>
      </c>
      <c r="AD2551" s="1" t="s">
        <v>40740</v>
      </c>
      <c r="AE2551" s="1" t="s">
        <v>40741</v>
      </c>
      <c r="AF2551" s="1" t="s">
        <v>74</v>
      </c>
      <c r="AG2551" s="1">
        <v>43</v>
      </c>
      <c r="AH2551" s="1">
        <v>0</v>
      </c>
      <c r="AI2551" s="1">
        <v>0</v>
      </c>
      <c r="AJ2551" s="1">
        <v>2</v>
      </c>
      <c r="AK2551" s="1">
        <v>2</v>
      </c>
      <c r="AL2551" s="1" t="s">
        <v>1566</v>
      </c>
      <c r="AM2551" s="1" t="s">
        <v>1567</v>
      </c>
      <c r="AN2551" s="1" t="s">
        <v>1568</v>
      </c>
      <c r="AO2551" s="1" t="s">
        <v>74</v>
      </c>
      <c r="AP2551" s="1" t="s">
        <v>29411</v>
      </c>
      <c r="AQ2551" s="1" t="s">
        <v>74</v>
      </c>
      <c r="AR2551" s="1" t="s">
        <v>29399</v>
      </c>
      <c r="AS2551" s="1" t="s">
        <v>29412</v>
      </c>
      <c r="AT2551" s="1" t="s">
        <v>170</v>
      </c>
      <c r="AU2551" s="1">
        <v>2024</v>
      </c>
      <c r="AV2551" s="1">
        <v>17</v>
      </c>
      <c r="AW2551" s="1">
        <v>10</v>
      </c>
      <c r="AX2551" s="1" t="s">
        <v>74</v>
      </c>
      <c r="AY2551" s="1" t="s">
        <v>74</v>
      </c>
      <c r="AZ2551" s="1" t="s">
        <v>74</v>
      </c>
      <c r="BA2551" s="1" t="s">
        <v>74</v>
      </c>
      <c r="BB2551" s="1" t="s">
        <v>74</v>
      </c>
      <c r="BC2551" s="1" t="s">
        <v>74</v>
      </c>
      <c r="BD2551" s="1">
        <v>2269</v>
      </c>
      <c r="BE2551" s="1" t="s">
        <v>40742</v>
      </c>
      <c r="BF2551" s="1" t="str">
        <f>HYPERLINK("http://dx.doi.org/10.3390/ma17102269","http://dx.doi.org/10.3390/ma17102269")</f>
        <v>http://dx.doi.org/10.3390/ma17102269</v>
      </c>
      <c r="BG2551" s="1" t="s">
        <v>74</v>
      </c>
      <c r="BH2551" s="1" t="s">
        <v>74</v>
      </c>
      <c r="BI2551" s="1">
        <v>18</v>
      </c>
      <c r="BJ2551" s="1" t="s">
        <v>29415</v>
      </c>
      <c r="BK2551" s="1" t="s">
        <v>96</v>
      </c>
      <c r="BL2551" s="1" t="s">
        <v>29416</v>
      </c>
      <c r="BM2551" s="1" t="s">
        <v>40743</v>
      </c>
      <c r="BN2551" s="1">
        <v>38793334</v>
      </c>
      <c r="BO2551" s="1" t="s">
        <v>2155</v>
      </c>
      <c r="BP2551" s="1" t="s">
        <v>74</v>
      </c>
      <c r="BQ2551" s="1" t="s">
        <v>74</v>
      </c>
      <c r="BR2551" s="1" t="s">
        <v>98</v>
      </c>
      <c r="BS2551" s="1" t="s">
        <v>40744</v>
      </c>
      <c r="BT2551" s="1" t="str">
        <f>HYPERLINK("https%3A%2F%2Fwww.webofscience.com%2Fwos%2Fwoscc%2Ffull-record%2FWOS:001231320600001","View Full Record in Web of Science")</f>
        <v>View Full Record in Web of Science</v>
      </c>
      <c r="BU2551" s="1"/>
      <c r="BV2551" s="1"/>
    </row>
    <row r="2552" spans="1:74">
      <c r="A2552" s="1" t="s">
        <v>72</v>
      </c>
      <c r="B2552" s="1" t="s">
        <v>40745</v>
      </c>
      <c r="C2552" s="1" t="s">
        <v>74</v>
      </c>
      <c r="D2552" s="1" t="s">
        <v>74</v>
      </c>
      <c r="E2552" s="1" t="s">
        <v>74</v>
      </c>
      <c r="F2552" s="1" t="s">
        <v>40746</v>
      </c>
      <c r="G2552" s="1" t="s">
        <v>74</v>
      </c>
      <c r="H2552" s="1" t="s">
        <v>74</v>
      </c>
      <c r="I2552" s="1" t="s">
        <v>40747</v>
      </c>
      <c r="J2552" s="1" t="s">
        <v>421</v>
      </c>
      <c r="K2552" s="1" t="s">
        <v>74</v>
      </c>
      <c r="L2552" s="1" t="s">
        <v>74</v>
      </c>
      <c r="M2552" s="1" t="s">
        <v>78</v>
      </c>
      <c r="N2552" s="1" t="s">
        <v>79</v>
      </c>
      <c r="O2552" s="1" t="s">
        <v>74</v>
      </c>
      <c r="P2552" s="1" t="s">
        <v>74</v>
      </c>
      <c r="Q2552" s="1" t="s">
        <v>74</v>
      </c>
      <c r="R2552" s="1" t="s">
        <v>74</v>
      </c>
      <c r="S2552" s="1" t="s">
        <v>74</v>
      </c>
      <c r="T2552" s="1" t="s">
        <v>40748</v>
      </c>
      <c r="U2552" s="1" t="s">
        <v>40749</v>
      </c>
      <c r="V2552" s="1" t="s">
        <v>40750</v>
      </c>
      <c r="W2552" s="1" t="s">
        <v>40751</v>
      </c>
      <c r="X2552" s="1" t="s">
        <v>40752</v>
      </c>
      <c r="Y2552" s="1" t="s">
        <v>40753</v>
      </c>
      <c r="Z2552" s="1" t="s">
        <v>40754</v>
      </c>
      <c r="AA2552" s="1" t="s">
        <v>40755</v>
      </c>
      <c r="AB2552" s="1" t="s">
        <v>40756</v>
      </c>
      <c r="AC2552" s="1" t="s">
        <v>40757</v>
      </c>
      <c r="AD2552" s="1" t="s">
        <v>40758</v>
      </c>
      <c r="AE2552" s="1" t="s">
        <v>40759</v>
      </c>
      <c r="AF2552" s="1" t="s">
        <v>74</v>
      </c>
      <c r="AG2552" s="1">
        <v>79</v>
      </c>
      <c r="AH2552" s="1">
        <v>0</v>
      </c>
      <c r="AI2552" s="1">
        <v>0</v>
      </c>
      <c r="AJ2552" s="1">
        <v>23</v>
      </c>
      <c r="AK2552" s="1">
        <v>26</v>
      </c>
      <c r="AL2552" s="1" t="s">
        <v>430</v>
      </c>
      <c r="AM2552" s="1" t="s">
        <v>7361</v>
      </c>
      <c r="AN2552" s="1" t="s">
        <v>7362</v>
      </c>
      <c r="AO2552" s="1" t="s">
        <v>432</v>
      </c>
      <c r="AP2552" s="1" t="s">
        <v>1394</v>
      </c>
      <c r="AQ2552" s="1" t="s">
        <v>74</v>
      </c>
      <c r="AR2552" s="1" t="s">
        <v>433</v>
      </c>
      <c r="AS2552" s="1" t="s">
        <v>434</v>
      </c>
      <c r="AT2552" s="1" t="s">
        <v>4612</v>
      </c>
      <c r="AU2552" s="1">
        <v>2024</v>
      </c>
      <c r="AV2552" s="1">
        <v>346</v>
      </c>
      <c r="AW2552" s="1" t="s">
        <v>74</v>
      </c>
      <c r="AX2552" s="1" t="s">
        <v>74</v>
      </c>
      <c r="AY2552" s="1" t="s">
        <v>74</v>
      </c>
      <c r="AZ2552" s="1" t="s">
        <v>74</v>
      </c>
      <c r="BA2552" s="1" t="s">
        <v>74</v>
      </c>
      <c r="BB2552" s="1" t="s">
        <v>74</v>
      </c>
      <c r="BC2552" s="1" t="s">
        <v>74</v>
      </c>
      <c r="BD2552" s="1">
        <v>123547</v>
      </c>
      <c r="BE2552" s="1" t="s">
        <v>40760</v>
      </c>
      <c r="BF2552" s="1" t="str">
        <f>HYPERLINK("http://dx.doi.org/10.1016/j.envpol.2024.123547","http://dx.doi.org/10.1016/j.envpol.2024.123547")</f>
        <v>http://dx.doi.org/10.1016/j.envpol.2024.123547</v>
      </c>
      <c r="BG2552" s="1" t="s">
        <v>74</v>
      </c>
      <c r="BH2552" s="1" t="s">
        <v>2888</v>
      </c>
      <c r="BI2552" s="1">
        <v>10</v>
      </c>
      <c r="BJ2552" s="1" t="s">
        <v>144</v>
      </c>
      <c r="BK2552" s="1" t="s">
        <v>96</v>
      </c>
      <c r="BL2552" s="1" t="s">
        <v>145</v>
      </c>
      <c r="BM2552" s="1" t="s">
        <v>40761</v>
      </c>
      <c r="BN2552" s="1">
        <v>38387549</v>
      </c>
      <c r="BO2552" s="1" t="s">
        <v>74</v>
      </c>
      <c r="BP2552" s="1" t="s">
        <v>74</v>
      </c>
      <c r="BQ2552" s="1" t="s">
        <v>74</v>
      </c>
      <c r="BR2552" s="1" t="s">
        <v>98</v>
      </c>
      <c r="BS2552" s="1" t="s">
        <v>40762</v>
      </c>
      <c r="BT2552" s="1" t="str">
        <f>HYPERLINK("https%3A%2F%2Fwww.webofscience.com%2Fwos%2Fwoscc%2Ffull-record%2FWOS:001202457500001","View Full Record in Web of Science")</f>
        <v>View Full Record in Web of Science</v>
      </c>
      <c r="BU2552" s="1"/>
      <c r="BV2552" s="1"/>
    </row>
    <row r="2553" spans="1:74">
      <c r="A2553" s="1" t="s">
        <v>72</v>
      </c>
      <c r="B2553" s="1" t="s">
        <v>40763</v>
      </c>
      <c r="C2553" s="1" t="s">
        <v>74</v>
      </c>
      <c r="D2553" s="1" t="s">
        <v>74</v>
      </c>
      <c r="E2553" s="1" t="s">
        <v>74</v>
      </c>
      <c r="F2553" s="1" t="s">
        <v>40764</v>
      </c>
      <c r="G2553" s="1" t="s">
        <v>74</v>
      </c>
      <c r="H2553" s="1" t="s">
        <v>74</v>
      </c>
      <c r="I2553" s="1" t="s">
        <v>40765</v>
      </c>
      <c r="J2553" s="1" t="s">
        <v>30712</v>
      </c>
      <c r="K2553" s="1" t="s">
        <v>74</v>
      </c>
      <c r="L2553" s="1" t="s">
        <v>74</v>
      </c>
      <c r="M2553" s="1" t="s">
        <v>78</v>
      </c>
      <c r="N2553" s="1" t="s">
        <v>2873</v>
      </c>
      <c r="O2553" s="1" t="s">
        <v>74</v>
      </c>
      <c r="P2553" s="1" t="s">
        <v>74</v>
      </c>
      <c r="Q2553" s="1" t="s">
        <v>74</v>
      </c>
      <c r="R2553" s="1" t="s">
        <v>74</v>
      </c>
      <c r="S2553" s="1" t="s">
        <v>74</v>
      </c>
      <c r="T2553" s="1" t="s">
        <v>40766</v>
      </c>
      <c r="U2553" s="1" t="s">
        <v>40767</v>
      </c>
      <c r="V2553" s="1" t="s">
        <v>40768</v>
      </c>
      <c r="W2553" s="1" t="s">
        <v>40769</v>
      </c>
      <c r="X2553" s="1" t="s">
        <v>40770</v>
      </c>
      <c r="Y2553" s="1" t="s">
        <v>40771</v>
      </c>
      <c r="Z2553" s="1" t="s">
        <v>40772</v>
      </c>
      <c r="AA2553" s="1" t="s">
        <v>40773</v>
      </c>
      <c r="AB2553" s="1" t="s">
        <v>40774</v>
      </c>
      <c r="AC2553" s="1" t="s">
        <v>40775</v>
      </c>
      <c r="AD2553" s="1" t="s">
        <v>40776</v>
      </c>
      <c r="AE2553" s="1" t="s">
        <v>40777</v>
      </c>
      <c r="AF2553" s="1" t="s">
        <v>74</v>
      </c>
      <c r="AG2553" s="1">
        <v>67</v>
      </c>
      <c r="AH2553" s="1">
        <v>0</v>
      </c>
      <c r="AI2553" s="1">
        <v>0</v>
      </c>
      <c r="AJ2553" s="1">
        <v>5</v>
      </c>
      <c r="AK2553" s="1">
        <v>5</v>
      </c>
      <c r="AL2553" s="1" t="s">
        <v>2297</v>
      </c>
      <c r="AM2553" s="1" t="s">
        <v>1786</v>
      </c>
      <c r="AN2553" s="1" t="s">
        <v>4440</v>
      </c>
      <c r="AO2553" s="1" t="s">
        <v>30722</v>
      </c>
      <c r="AP2553" s="1" t="s">
        <v>30723</v>
      </c>
      <c r="AQ2553" s="1" t="s">
        <v>74</v>
      </c>
      <c r="AR2553" s="1" t="s">
        <v>30724</v>
      </c>
      <c r="AS2553" s="1" t="s">
        <v>30725</v>
      </c>
      <c r="AT2553" s="1" t="s">
        <v>40778</v>
      </c>
      <c r="AU2553" s="1">
        <v>2024</v>
      </c>
      <c r="AV2553" s="1" t="s">
        <v>74</v>
      </c>
      <c r="AW2553" s="1" t="s">
        <v>74</v>
      </c>
      <c r="AX2553" s="1" t="s">
        <v>74</v>
      </c>
      <c r="AY2553" s="1" t="s">
        <v>74</v>
      </c>
      <c r="AZ2553" s="1" t="s">
        <v>74</v>
      </c>
      <c r="BA2553" s="1" t="s">
        <v>74</v>
      </c>
      <c r="BB2553" s="1" t="s">
        <v>74</v>
      </c>
      <c r="BC2553" s="1" t="s">
        <v>74</v>
      </c>
      <c r="BD2553" s="1" t="s">
        <v>74</v>
      </c>
      <c r="BE2553" s="1" t="s">
        <v>40779</v>
      </c>
      <c r="BF2553" s="1" t="str">
        <f>HYPERLINK("http://dx.doi.org/10.1007/s00343-024-4024-x","http://dx.doi.org/10.1007/s00343-024-4024-x")</f>
        <v>http://dx.doi.org/10.1007/s00343-024-4024-x</v>
      </c>
      <c r="BG2553" s="1" t="s">
        <v>74</v>
      </c>
      <c r="BH2553" s="1" t="s">
        <v>5962</v>
      </c>
      <c r="BI2553" s="1">
        <v>25</v>
      </c>
      <c r="BJ2553" s="1" t="s">
        <v>4240</v>
      </c>
      <c r="BK2553" s="1" t="s">
        <v>96</v>
      </c>
      <c r="BL2553" s="1" t="s">
        <v>4241</v>
      </c>
      <c r="BM2553" s="1" t="s">
        <v>40780</v>
      </c>
      <c r="BN2553" s="1" t="s">
        <v>74</v>
      </c>
      <c r="BO2553" s="1" t="s">
        <v>74</v>
      </c>
      <c r="BP2553" s="1" t="s">
        <v>74</v>
      </c>
      <c r="BQ2553" s="1" t="s">
        <v>74</v>
      </c>
      <c r="BR2553" s="1" t="s">
        <v>98</v>
      </c>
      <c r="BS2553" s="1" t="s">
        <v>40781</v>
      </c>
      <c r="BT2553" s="1" t="str">
        <f>HYPERLINK("https%3A%2F%2Fwww.webofscience.com%2Fwos%2Fwoscc%2Ffull-record%2FWOS:001278352200009","View Full Record in Web of Science")</f>
        <v>View Full Record in Web of Science</v>
      </c>
      <c r="BU2553" s="1"/>
      <c r="BV2553" s="1"/>
    </row>
    <row r="2554" spans="1:74">
      <c r="A2554" s="1" t="s">
        <v>72</v>
      </c>
      <c r="B2554" s="1" t="s">
        <v>40782</v>
      </c>
      <c r="C2554" s="1" t="s">
        <v>74</v>
      </c>
      <c r="D2554" s="1" t="s">
        <v>74</v>
      </c>
      <c r="E2554" s="1" t="s">
        <v>74</v>
      </c>
      <c r="F2554" s="1" t="s">
        <v>40783</v>
      </c>
      <c r="G2554" s="1" t="s">
        <v>74</v>
      </c>
      <c r="H2554" s="1" t="s">
        <v>74</v>
      </c>
      <c r="I2554" s="1" t="s">
        <v>40784</v>
      </c>
      <c r="J2554" s="1" t="s">
        <v>204</v>
      </c>
      <c r="K2554" s="1" t="s">
        <v>74</v>
      </c>
      <c r="L2554" s="1" t="s">
        <v>74</v>
      </c>
      <c r="M2554" s="1" t="s">
        <v>78</v>
      </c>
      <c r="N2554" s="1" t="s">
        <v>79</v>
      </c>
      <c r="O2554" s="1" t="s">
        <v>74</v>
      </c>
      <c r="P2554" s="1" t="s">
        <v>74</v>
      </c>
      <c r="Q2554" s="1" t="s">
        <v>74</v>
      </c>
      <c r="R2554" s="1" t="s">
        <v>74</v>
      </c>
      <c r="S2554" s="1" t="s">
        <v>74</v>
      </c>
      <c r="T2554" s="1" t="s">
        <v>40785</v>
      </c>
      <c r="U2554" s="1" t="s">
        <v>40786</v>
      </c>
      <c r="V2554" s="1" t="s">
        <v>40787</v>
      </c>
      <c r="W2554" s="1" t="s">
        <v>40788</v>
      </c>
      <c r="X2554" s="1" t="s">
        <v>40789</v>
      </c>
      <c r="Y2554" s="1" t="s">
        <v>40790</v>
      </c>
      <c r="Z2554" s="1" t="s">
        <v>40791</v>
      </c>
      <c r="AA2554" s="1" t="s">
        <v>40792</v>
      </c>
      <c r="AB2554" s="1" t="s">
        <v>40793</v>
      </c>
      <c r="AC2554" s="1" t="s">
        <v>40794</v>
      </c>
      <c r="AD2554" s="1" t="s">
        <v>40795</v>
      </c>
      <c r="AE2554" s="1" t="s">
        <v>40796</v>
      </c>
      <c r="AF2554" s="1" t="s">
        <v>74</v>
      </c>
      <c r="AG2554" s="1">
        <v>87</v>
      </c>
      <c r="AH2554" s="1">
        <v>19</v>
      </c>
      <c r="AI2554" s="1">
        <v>19</v>
      </c>
      <c r="AJ2554" s="1">
        <v>2</v>
      </c>
      <c r="AK2554" s="1">
        <v>18</v>
      </c>
      <c r="AL2554" s="1" t="s">
        <v>217</v>
      </c>
      <c r="AM2554" s="1" t="s">
        <v>218</v>
      </c>
      <c r="AN2554" s="1" t="s">
        <v>219</v>
      </c>
      <c r="AO2554" s="1" t="s">
        <v>220</v>
      </c>
      <c r="AP2554" s="1" t="s">
        <v>221</v>
      </c>
      <c r="AQ2554" s="1" t="s">
        <v>74</v>
      </c>
      <c r="AR2554" s="1" t="s">
        <v>222</v>
      </c>
      <c r="AS2554" s="1" t="s">
        <v>223</v>
      </c>
      <c r="AT2554" s="1" t="s">
        <v>93</v>
      </c>
      <c r="AU2554" s="1">
        <v>2022</v>
      </c>
      <c r="AV2554" s="1">
        <v>29</v>
      </c>
      <c r="AW2554" s="1">
        <v>17</v>
      </c>
      <c r="AX2554" s="1" t="s">
        <v>74</v>
      </c>
      <c r="AY2554" s="1" t="s">
        <v>74</v>
      </c>
      <c r="AZ2554" s="1" t="s">
        <v>74</v>
      </c>
      <c r="BA2554" s="1" t="s">
        <v>74</v>
      </c>
      <c r="BB2554" s="1">
        <v>25848</v>
      </c>
      <c r="BC2554" s="1">
        <v>25857</v>
      </c>
      <c r="BD2554" s="1" t="s">
        <v>74</v>
      </c>
      <c r="BE2554" s="1" t="s">
        <v>40797</v>
      </c>
      <c r="BF2554" s="1" t="str">
        <f>HYPERLINK("http://dx.doi.org/10.1007/s11356-021-17621-0","http://dx.doi.org/10.1007/s11356-021-17621-0")</f>
        <v>http://dx.doi.org/10.1007/s11356-021-17621-0</v>
      </c>
      <c r="BG2554" s="1" t="s">
        <v>74</v>
      </c>
      <c r="BH2554" s="1" t="s">
        <v>4701</v>
      </c>
      <c r="BI2554" s="1">
        <v>10</v>
      </c>
      <c r="BJ2554" s="1" t="s">
        <v>144</v>
      </c>
      <c r="BK2554" s="1" t="s">
        <v>96</v>
      </c>
      <c r="BL2554" s="1" t="s">
        <v>145</v>
      </c>
      <c r="BM2554" s="1" t="s">
        <v>31792</v>
      </c>
      <c r="BN2554" s="1">
        <v>34851482</v>
      </c>
      <c r="BO2554" s="1" t="s">
        <v>2744</v>
      </c>
      <c r="BP2554" s="1" t="s">
        <v>74</v>
      </c>
      <c r="BQ2554" s="1" t="s">
        <v>74</v>
      </c>
      <c r="BR2554" s="1" t="s">
        <v>98</v>
      </c>
      <c r="BS2554" s="1" t="s">
        <v>40798</v>
      </c>
      <c r="BT2554" s="1" t="str">
        <f>HYPERLINK("https%3A%2F%2Fwww.webofscience.com%2Fwos%2Fwoscc%2Ffull-record%2FWOS:000724663500010","View Full Record in Web of Science")</f>
        <v>View Full Record in Web of Science</v>
      </c>
      <c r="BU2554" s="1"/>
      <c r="BV2554" s="1"/>
    </row>
    <row r="2555" spans="1:74">
      <c r="A2555" s="1" t="s">
        <v>72</v>
      </c>
      <c r="B2555" s="1" t="s">
        <v>40799</v>
      </c>
      <c r="C2555" s="1" t="s">
        <v>74</v>
      </c>
      <c r="D2555" s="1" t="s">
        <v>74</v>
      </c>
      <c r="E2555" s="1" t="s">
        <v>74</v>
      </c>
      <c r="F2555" s="1" t="s">
        <v>40800</v>
      </c>
      <c r="G2555" s="1" t="s">
        <v>74</v>
      </c>
      <c r="H2555" s="1" t="s">
        <v>74</v>
      </c>
      <c r="I2555" s="1" t="s">
        <v>40801</v>
      </c>
      <c r="J2555" s="1" t="s">
        <v>641</v>
      </c>
      <c r="K2555" s="1" t="s">
        <v>74</v>
      </c>
      <c r="L2555" s="1" t="s">
        <v>74</v>
      </c>
      <c r="M2555" s="1" t="s">
        <v>78</v>
      </c>
      <c r="N2555" s="1" t="s">
        <v>79</v>
      </c>
      <c r="O2555" s="1" t="s">
        <v>74</v>
      </c>
      <c r="P2555" s="1" t="s">
        <v>74</v>
      </c>
      <c r="Q2555" s="1" t="s">
        <v>74</v>
      </c>
      <c r="R2555" s="1" t="s">
        <v>74</v>
      </c>
      <c r="S2555" s="1" t="s">
        <v>74</v>
      </c>
      <c r="T2555" s="1" t="s">
        <v>40802</v>
      </c>
      <c r="U2555" s="1" t="s">
        <v>40803</v>
      </c>
      <c r="V2555" s="1" t="s">
        <v>40804</v>
      </c>
      <c r="W2555" s="1" t="s">
        <v>40805</v>
      </c>
      <c r="X2555" s="1" t="s">
        <v>5402</v>
      </c>
      <c r="Y2555" s="1" t="s">
        <v>40806</v>
      </c>
      <c r="Z2555" s="1" t="s">
        <v>40807</v>
      </c>
      <c r="AA2555" s="1" t="s">
        <v>74</v>
      </c>
      <c r="AB2555" s="1" t="s">
        <v>40808</v>
      </c>
      <c r="AC2555" s="1" t="s">
        <v>40809</v>
      </c>
      <c r="AD2555" s="1" t="s">
        <v>40809</v>
      </c>
      <c r="AE2555" s="1" t="s">
        <v>40810</v>
      </c>
      <c r="AF2555" s="1" t="s">
        <v>74</v>
      </c>
      <c r="AG2555" s="1">
        <v>53</v>
      </c>
      <c r="AH2555" s="1">
        <v>95</v>
      </c>
      <c r="AI2555" s="1">
        <v>105</v>
      </c>
      <c r="AJ2555" s="1">
        <v>3</v>
      </c>
      <c r="AK2555" s="1">
        <v>71</v>
      </c>
      <c r="AL2555" s="1" t="s">
        <v>650</v>
      </c>
      <c r="AM2555" s="1" t="s">
        <v>651</v>
      </c>
      <c r="AN2555" s="1" t="s">
        <v>652</v>
      </c>
      <c r="AO2555" s="1" t="s">
        <v>653</v>
      </c>
      <c r="AP2555" s="1" t="s">
        <v>654</v>
      </c>
      <c r="AQ2555" s="1" t="s">
        <v>74</v>
      </c>
      <c r="AR2555" s="1" t="s">
        <v>655</v>
      </c>
      <c r="AS2555" s="1" t="s">
        <v>656</v>
      </c>
      <c r="AT2555" s="1" t="s">
        <v>3891</v>
      </c>
      <c r="AU2555" s="1">
        <v>2012</v>
      </c>
      <c r="AV2555" s="1">
        <v>106</v>
      </c>
      <c r="AW2555" s="1" t="s">
        <v>74</v>
      </c>
      <c r="AX2555" s="1" t="s">
        <v>74</v>
      </c>
      <c r="AY2555" s="1" t="s">
        <v>74</v>
      </c>
      <c r="AZ2555" s="1" t="s">
        <v>74</v>
      </c>
      <c r="BA2555" s="1" t="s">
        <v>74</v>
      </c>
      <c r="BB2555" s="1">
        <v>104</v>
      </c>
      <c r="BC2555" s="1">
        <v>113</v>
      </c>
      <c r="BD2555" s="1" t="s">
        <v>74</v>
      </c>
      <c r="BE2555" s="1" t="s">
        <v>40811</v>
      </c>
      <c r="BF2555" s="1" t="str">
        <f>HYPERLINK("http://dx.doi.org/10.1016/j.aquatox.2011.10.018","http://dx.doi.org/10.1016/j.aquatox.2011.10.018")</f>
        <v>http://dx.doi.org/10.1016/j.aquatox.2011.10.018</v>
      </c>
      <c r="BG2555" s="1" t="s">
        <v>74</v>
      </c>
      <c r="BH2555" s="1" t="s">
        <v>74</v>
      </c>
      <c r="BI2555" s="1">
        <v>10</v>
      </c>
      <c r="BJ2555" s="1" t="s">
        <v>659</v>
      </c>
      <c r="BK2555" s="1" t="s">
        <v>96</v>
      </c>
      <c r="BL2555" s="1" t="s">
        <v>659</v>
      </c>
      <c r="BM2555" s="1" t="s">
        <v>40812</v>
      </c>
      <c r="BN2555" s="1">
        <v>22115909</v>
      </c>
      <c r="BO2555" s="1" t="s">
        <v>1752</v>
      </c>
      <c r="BP2555" s="1" t="s">
        <v>74</v>
      </c>
      <c r="BQ2555" s="1" t="s">
        <v>74</v>
      </c>
      <c r="BR2555" s="1" t="s">
        <v>98</v>
      </c>
      <c r="BS2555" s="1" t="s">
        <v>40813</v>
      </c>
      <c r="BT2555" s="1" t="str">
        <f>HYPERLINK("https%3A%2F%2Fwww.webofscience.com%2Fwos%2Fwoscc%2Ffull-record%2FWOS:000300205300013","View Full Record in Web of Science")</f>
        <v>View Full Record in Web of Science</v>
      </c>
      <c r="BU2555" s="1"/>
      <c r="BV2555" s="1"/>
    </row>
    <row r="2556" spans="1:74">
      <c r="A2556" s="1" t="s">
        <v>72</v>
      </c>
      <c r="B2556" s="1" t="s">
        <v>40814</v>
      </c>
      <c r="C2556" s="1" t="s">
        <v>74</v>
      </c>
      <c r="D2556" s="1" t="s">
        <v>74</v>
      </c>
      <c r="E2556" s="1" t="s">
        <v>74</v>
      </c>
      <c r="F2556" s="1" t="s">
        <v>40815</v>
      </c>
      <c r="G2556" s="1" t="s">
        <v>74</v>
      </c>
      <c r="H2556" s="1" t="s">
        <v>74</v>
      </c>
      <c r="I2556" s="1" t="s">
        <v>40816</v>
      </c>
      <c r="J2556" s="1" t="s">
        <v>3349</v>
      </c>
      <c r="K2556" s="1" t="s">
        <v>74</v>
      </c>
      <c r="L2556" s="1" t="s">
        <v>74</v>
      </c>
      <c r="M2556" s="1" t="s">
        <v>78</v>
      </c>
      <c r="N2556" s="1" t="s">
        <v>79</v>
      </c>
      <c r="O2556" s="1" t="s">
        <v>74</v>
      </c>
      <c r="P2556" s="1" t="s">
        <v>74</v>
      </c>
      <c r="Q2556" s="1" t="s">
        <v>74</v>
      </c>
      <c r="R2556" s="1" t="s">
        <v>74</v>
      </c>
      <c r="S2556" s="1" t="s">
        <v>74</v>
      </c>
      <c r="T2556" s="1" t="s">
        <v>40817</v>
      </c>
      <c r="U2556" s="1" t="s">
        <v>40818</v>
      </c>
      <c r="V2556" s="1" t="s">
        <v>40819</v>
      </c>
      <c r="W2556" s="1" t="s">
        <v>40820</v>
      </c>
      <c r="X2556" s="1" t="s">
        <v>9952</v>
      </c>
      <c r="Y2556" s="1" t="s">
        <v>40821</v>
      </c>
      <c r="Z2556" s="1" t="s">
        <v>74</v>
      </c>
      <c r="AA2556" s="1" t="s">
        <v>74</v>
      </c>
      <c r="AB2556" s="1" t="s">
        <v>74</v>
      </c>
      <c r="AC2556" s="1" t="s">
        <v>36815</v>
      </c>
      <c r="AD2556" s="1" t="s">
        <v>36816</v>
      </c>
      <c r="AE2556" s="1" t="s">
        <v>40822</v>
      </c>
      <c r="AF2556" s="1" t="s">
        <v>74</v>
      </c>
      <c r="AG2556" s="1">
        <v>46</v>
      </c>
      <c r="AH2556" s="1">
        <v>22</v>
      </c>
      <c r="AI2556" s="1">
        <v>25</v>
      </c>
      <c r="AJ2556" s="1">
        <v>1</v>
      </c>
      <c r="AK2556" s="1">
        <v>45</v>
      </c>
      <c r="AL2556" s="1" t="s">
        <v>3362</v>
      </c>
      <c r="AM2556" s="1" t="s">
        <v>3363</v>
      </c>
      <c r="AN2556" s="1" t="s">
        <v>3364</v>
      </c>
      <c r="AO2556" s="1" t="s">
        <v>3365</v>
      </c>
      <c r="AP2556" s="1" t="s">
        <v>3366</v>
      </c>
      <c r="AQ2556" s="1" t="s">
        <v>74</v>
      </c>
      <c r="AR2556" s="1" t="s">
        <v>3367</v>
      </c>
      <c r="AS2556" s="1" t="s">
        <v>3368</v>
      </c>
      <c r="AT2556" s="1" t="s">
        <v>1470</v>
      </c>
      <c r="AU2556" s="1">
        <v>2015</v>
      </c>
      <c r="AV2556" s="1">
        <v>111</v>
      </c>
      <c r="AW2556" s="1" t="s">
        <v>74</v>
      </c>
      <c r="AX2556" s="1" t="s">
        <v>74</v>
      </c>
      <c r="AY2556" s="1" t="s">
        <v>74</v>
      </c>
      <c r="AZ2556" s="1" t="s">
        <v>74</v>
      </c>
      <c r="BA2556" s="1" t="s">
        <v>74</v>
      </c>
      <c r="BB2556" s="1">
        <v>78</v>
      </c>
      <c r="BC2556" s="1">
        <v>85</v>
      </c>
      <c r="BD2556" s="1" t="s">
        <v>74</v>
      </c>
      <c r="BE2556" s="1" t="s">
        <v>40823</v>
      </c>
      <c r="BF2556" s="1" t="str">
        <f>HYPERLINK("http://dx.doi.org/10.1016/j.ecoenv.2014.09.038","http://dx.doi.org/10.1016/j.ecoenv.2014.09.038")</f>
        <v>http://dx.doi.org/10.1016/j.ecoenv.2014.09.038</v>
      </c>
      <c r="BG2556" s="1" t="s">
        <v>74</v>
      </c>
      <c r="BH2556" s="1" t="s">
        <v>74</v>
      </c>
      <c r="BI2556" s="1">
        <v>8</v>
      </c>
      <c r="BJ2556" s="1" t="s">
        <v>121</v>
      </c>
      <c r="BK2556" s="1" t="s">
        <v>96</v>
      </c>
      <c r="BL2556" s="1" t="s">
        <v>122</v>
      </c>
      <c r="BM2556" s="1" t="s">
        <v>40824</v>
      </c>
      <c r="BN2556" s="1">
        <v>25450918</v>
      </c>
      <c r="BO2556" s="1" t="s">
        <v>74</v>
      </c>
      <c r="BP2556" s="1" t="s">
        <v>74</v>
      </c>
      <c r="BQ2556" s="1" t="s">
        <v>74</v>
      </c>
      <c r="BR2556" s="1" t="s">
        <v>98</v>
      </c>
      <c r="BS2556" s="1" t="s">
        <v>40825</v>
      </c>
      <c r="BT2556" s="1" t="str">
        <f>HYPERLINK("https%3A%2F%2Fwww.webofscience.com%2Fwos%2Fwoscc%2Ffull-record%2FWOS:000347267800011","View Full Record in Web of Science")</f>
        <v>View Full Record in Web of Science</v>
      </c>
      <c r="BU2556" s="1"/>
      <c r="BV2556" s="1"/>
    </row>
    <row r="2557" spans="1:74">
      <c r="A2557" s="1" t="s">
        <v>72</v>
      </c>
      <c r="B2557" s="1" t="s">
        <v>38868</v>
      </c>
      <c r="C2557" s="1" t="s">
        <v>74</v>
      </c>
      <c r="D2557" s="1" t="s">
        <v>74</v>
      </c>
      <c r="E2557" s="1" t="s">
        <v>74</v>
      </c>
      <c r="F2557" s="1" t="s">
        <v>38868</v>
      </c>
      <c r="G2557" s="1" t="s">
        <v>74</v>
      </c>
      <c r="H2557" s="1" t="s">
        <v>74</v>
      </c>
      <c r="I2557" s="1" t="s">
        <v>40826</v>
      </c>
      <c r="J2557" s="1" t="s">
        <v>998</v>
      </c>
      <c r="K2557" s="1" t="s">
        <v>74</v>
      </c>
      <c r="L2557" s="1" t="s">
        <v>74</v>
      </c>
      <c r="M2557" s="1" t="s">
        <v>78</v>
      </c>
      <c r="N2557" s="1" t="s">
        <v>79</v>
      </c>
      <c r="O2557" s="1" t="s">
        <v>74</v>
      </c>
      <c r="P2557" s="1" t="s">
        <v>74</v>
      </c>
      <c r="Q2557" s="1" t="s">
        <v>74</v>
      </c>
      <c r="R2557" s="1" t="s">
        <v>74</v>
      </c>
      <c r="S2557" s="1" t="s">
        <v>74</v>
      </c>
      <c r="T2557" s="1" t="s">
        <v>74</v>
      </c>
      <c r="U2557" s="1" t="s">
        <v>40827</v>
      </c>
      <c r="V2557" s="1" t="s">
        <v>40828</v>
      </c>
      <c r="W2557" s="1" t="s">
        <v>74</v>
      </c>
      <c r="X2557" s="1" t="s">
        <v>74</v>
      </c>
      <c r="Y2557" s="1" t="s">
        <v>40829</v>
      </c>
      <c r="Z2557" s="1" t="s">
        <v>74</v>
      </c>
      <c r="AA2557" s="1" t="s">
        <v>38873</v>
      </c>
      <c r="AB2557" s="1" t="s">
        <v>74</v>
      </c>
      <c r="AC2557" s="1" t="s">
        <v>74</v>
      </c>
      <c r="AD2557" s="1" t="s">
        <v>74</v>
      </c>
      <c r="AE2557" s="1" t="s">
        <v>74</v>
      </c>
      <c r="AF2557" s="1" t="s">
        <v>74</v>
      </c>
      <c r="AG2557" s="1">
        <v>28</v>
      </c>
      <c r="AH2557" s="1">
        <v>2</v>
      </c>
      <c r="AI2557" s="1">
        <v>5</v>
      </c>
      <c r="AJ2557" s="1">
        <v>0</v>
      </c>
      <c r="AK2557" s="1">
        <v>0</v>
      </c>
      <c r="AL2557" s="1" t="s">
        <v>6584</v>
      </c>
      <c r="AM2557" s="1" t="s">
        <v>113</v>
      </c>
      <c r="AN2557" s="1" t="s">
        <v>6585</v>
      </c>
      <c r="AO2557" s="1" t="s">
        <v>1009</v>
      </c>
      <c r="AP2557" s="1" t="s">
        <v>74</v>
      </c>
      <c r="AQ2557" s="1" t="s">
        <v>74</v>
      </c>
      <c r="AR2557" s="1" t="s">
        <v>1010</v>
      </c>
      <c r="AS2557" s="1" t="s">
        <v>1011</v>
      </c>
      <c r="AT2557" s="1" t="s">
        <v>765</v>
      </c>
      <c r="AU2557" s="1">
        <v>1994</v>
      </c>
      <c r="AV2557" s="1">
        <v>27</v>
      </c>
      <c r="AW2557" s="1">
        <v>1</v>
      </c>
      <c r="AX2557" s="1" t="s">
        <v>74</v>
      </c>
      <c r="AY2557" s="1" t="s">
        <v>74</v>
      </c>
      <c r="AZ2557" s="1" t="s">
        <v>74</v>
      </c>
      <c r="BA2557" s="1" t="s">
        <v>74</v>
      </c>
      <c r="BB2557" s="1">
        <v>54</v>
      </c>
      <c r="BC2557" s="1">
        <v>59</v>
      </c>
      <c r="BD2557" s="1" t="s">
        <v>74</v>
      </c>
      <c r="BE2557" s="1" t="s">
        <v>74</v>
      </c>
      <c r="BF2557" s="1" t="s">
        <v>74</v>
      </c>
      <c r="BG2557" s="1" t="s">
        <v>74</v>
      </c>
      <c r="BH2557" s="1" t="s">
        <v>74</v>
      </c>
      <c r="BI2557" s="1">
        <v>6</v>
      </c>
      <c r="BJ2557" s="1" t="s">
        <v>121</v>
      </c>
      <c r="BK2557" s="1" t="s">
        <v>96</v>
      </c>
      <c r="BL2557" s="1" t="s">
        <v>122</v>
      </c>
      <c r="BM2557" s="1" t="s">
        <v>40830</v>
      </c>
      <c r="BN2557" s="1" t="s">
        <v>74</v>
      </c>
      <c r="BO2557" s="1" t="s">
        <v>74</v>
      </c>
      <c r="BP2557" s="1" t="s">
        <v>74</v>
      </c>
      <c r="BQ2557" s="1" t="s">
        <v>74</v>
      </c>
      <c r="BR2557" s="1" t="s">
        <v>98</v>
      </c>
      <c r="BS2557" s="1" t="s">
        <v>40831</v>
      </c>
      <c r="BT2557" s="1" t="str">
        <f>HYPERLINK("https%3A%2F%2Fwww.webofscience.com%2Fwos%2Fwoscc%2Ffull-record%2FWOS:A1994NK79800011","View Full Record in Web of Science")</f>
        <v>View Full Record in Web of Science</v>
      </c>
      <c r="BU2557" s="1"/>
      <c r="BV2557" s="1"/>
    </row>
    <row r="2558" spans="1:74">
      <c r="A2558" s="1" t="s">
        <v>72</v>
      </c>
      <c r="B2558" s="1" t="s">
        <v>40832</v>
      </c>
      <c r="C2558" s="1" t="s">
        <v>74</v>
      </c>
      <c r="D2558" s="1" t="s">
        <v>74</v>
      </c>
      <c r="E2558" s="1" t="s">
        <v>74</v>
      </c>
      <c r="F2558" s="1" t="s">
        <v>40833</v>
      </c>
      <c r="G2558" s="1" t="s">
        <v>74</v>
      </c>
      <c r="H2558" s="1" t="s">
        <v>74</v>
      </c>
      <c r="I2558" s="1" t="s">
        <v>40834</v>
      </c>
      <c r="J2558" s="1" t="s">
        <v>179</v>
      </c>
      <c r="K2558" s="1" t="s">
        <v>74</v>
      </c>
      <c r="L2558" s="1" t="s">
        <v>74</v>
      </c>
      <c r="M2558" s="1" t="s">
        <v>78</v>
      </c>
      <c r="N2558" s="1" t="s">
        <v>79</v>
      </c>
      <c r="O2558" s="1" t="s">
        <v>74</v>
      </c>
      <c r="P2558" s="1" t="s">
        <v>74</v>
      </c>
      <c r="Q2558" s="1" t="s">
        <v>74</v>
      </c>
      <c r="R2558" s="1" t="s">
        <v>74</v>
      </c>
      <c r="S2558" s="1" t="s">
        <v>74</v>
      </c>
      <c r="T2558" s="1" t="s">
        <v>40835</v>
      </c>
      <c r="U2558" s="1" t="s">
        <v>40836</v>
      </c>
      <c r="V2558" s="1" t="s">
        <v>40837</v>
      </c>
      <c r="W2558" s="1" t="s">
        <v>40838</v>
      </c>
      <c r="X2558" s="1" t="s">
        <v>74</v>
      </c>
      <c r="Y2558" s="1" t="s">
        <v>40839</v>
      </c>
      <c r="Z2558" s="1" t="s">
        <v>40840</v>
      </c>
      <c r="AA2558" s="1" t="s">
        <v>40841</v>
      </c>
      <c r="AB2558" s="1" t="s">
        <v>40842</v>
      </c>
      <c r="AC2558" s="1" t="s">
        <v>40843</v>
      </c>
      <c r="AD2558" s="1" t="s">
        <v>40843</v>
      </c>
      <c r="AE2558" s="1" t="s">
        <v>40844</v>
      </c>
      <c r="AF2558" s="1" t="s">
        <v>74</v>
      </c>
      <c r="AG2558" s="1">
        <v>35</v>
      </c>
      <c r="AH2558" s="1">
        <v>2</v>
      </c>
      <c r="AI2558" s="1">
        <v>2</v>
      </c>
      <c r="AJ2558" s="1">
        <v>0</v>
      </c>
      <c r="AK2558" s="1">
        <v>3</v>
      </c>
      <c r="AL2558" s="1" t="s">
        <v>112</v>
      </c>
      <c r="AM2558" s="1" t="s">
        <v>191</v>
      </c>
      <c r="AN2558" s="1" t="s">
        <v>192</v>
      </c>
      <c r="AO2558" s="1" t="s">
        <v>193</v>
      </c>
      <c r="AP2558" s="1" t="s">
        <v>194</v>
      </c>
      <c r="AQ2558" s="1" t="s">
        <v>74</v>
      </c>
      <c r="AR2558" s="1" t="s">
        <v>195</v>
      </c>
      <c r="AS2558" s="1" t="s">
        <v>196</v>
      </c>
      <c r="AT2558" s="1" t="s">
        <v>951</v>
      </c>
      <c r="AU2558" s="1">
        <v>2021</v>
      </c>
      <c r="AV2558" s="1">
        <v>193</v>
      </c>
      <c r="AW2558" s="1">
        <v>11</v>
      </c>
      <c r="AX2558" s="1" t="s">
        <v>74</v>
      </c>
      <c r="AY2558" s="1" t="s">
        <v>74</v>
      </c>
      <c r="AZ2558" s="1" t="s">
        <v>74</v>
      </c>
      <c r="BA2558" s="1" t="s">
        <v>74</v>
      </c>
      <c r="BB2558" s="1" t="s">
        <v>74</v>
      </c>
      <c r="BC2558" s="1" t="s">
        <v>74</v>
      </c>
      <c r="BD2558" s="1">
        <v>715</v>
      </c>
      <c r="BE2558" s="1" t="s">
        <v>40845</v>
      </c>
      <c r="BF2558" s="1" t="str">
        <f>HYPERLINK("http://dx.doi.org/10.1007/s10661-021-09515-y","http://dx.doi.org/10.1007/s10661-021-09515-y")</f>
        <v>http://dx.doi.org/10.1007/s10661-021-09515-y</v>
      </c>
      <c r="BG2558" s="1" t="s">
        <v>74</v>
      </c>
      <c r="BH2558" s="1" t="s">
        <v>74</v>
      </c>
      <c r="BI2558" s="1">
        <v>12</v>
      </c>
      <c r="BJ2558" s="1" t="s">
        <v>144</v>
      </c>
      <c r="BK2558" s="1" t="s">
        <v>96</v>
      </c>
      <c r="BL2558" s="1" t="s">
        <v>145</v>
      </c>
      <c r="BM2558" s="1" t="s">
        <v>40846</v>
      </c>
      <c r="BN2558" s="1">
        <v>34637024</v>
      </c>
      <c r="BO2558" s="1" t="s">
        <v>74</v>
      </c>
      <c r="BP2558" s="1" t="s">
        <v>74</v>
      </c>
      <c r="BQ2558" s="1" t="s">
        <v>74</v>
      </c>
      <c r="BR2558" s="1" t="s">
        <v>98</v>
      </c>
      <c r="BS2558" s="1" t="s">
        <v>40847</v>
      </c>
      <c r="BT2558" s="1" t="str">
        <f>HYPERLINK("https%3A%2F%2Fwww.webofscience.com%2Fwos%2Fwoscc%2Ffull-record%2FWOS:000706760000005","View Full Record in Web of Science")</f>
        <v>View Full Record in Web of Science</v>
      </c>
      <c r="BU2558" s="1"/>
      <c r="BV2558" s="1"/>
    </row>
    <row r="2559" spans="1:74">
      <c r="A2559" s="1" t="s">
        <v>72</v>
      </c>
      <c r="B2559" s="1" t="s">
        <v>40848</v>
      </c>
      <c r="C2559" s="1" t="s">
        <v>74</v>
      </c>
      <c r="D2559" s="1" t="s">
        <v>74</v>
      </c>
      <c r="E2559" s="1" t="s">
        <v>74</v>
      </c>
      <c r="F2559" s="1" t="s">
        <v>40849</v>
      </c>
      <c r="G2559" s="1" t="s">
        <v>74</v>
      </c>
      <c r="H2559" s="1" t="s">
        <v>74</v>
      </c>
      <c r="I2559" s="1" t="s">
        <v>40850</v>
      </c>
      <c r="J2559" s="1" t="s">
        <v>127</v>
      </c>
      <c r="K2559" s="1" t="s">
        <v>74</v>
      </c>
      <c r="L2559" s="1" t="s">
        <v>74</v>
      </c>
      <c r="M2559" s="1" t="s">
        <v>78</v>
      </c>
      <c r="N2559" s="1" t="s">
        <v>79</v>
      </c>
      <c r="O2559" s="1" t="s">
        <v>74</v>
      </c>
      <c r="P2559" s="1" t="s">
        <v>74</v>
      </c>
      <c r="Q2559" s="1" t="s">
        <v>74</v>
      </c>
      <c r="R2559" s="1" t="s">
        <v>74</v>
      </c>
      <c r="S2559" s="1" t="s">
        <v>74</v>
      </c>
      <c r="T2559" s="1" t="s">
        <v>40851</v>
      </c>
      <c r="U2559" s="1" t="s">
        <v>40852</v>
      </c>
      <c r="V2559" s="1" t="s">
        <v>40853</v>
      </c>
      <c r="W2559" s="1" t="s">
        <v>40854</v>
      </c>
      <c r="X2559" s="1" t="s">
        <v>40855</v>
      </c>
      <c r="Y2559" s="1" t="s">
        <v>40856</v>
      </c>
      <c r="Z2559" s="1" t="s">
        <v>35168</v>
      </c>
      <c r="AA2559" s="1" t="s">
        <v>74</v>
      </c>
      <c r="AB2559" s="1" t="s">
        <v>74</v>
      </c>
      <c r="AC2559" s="1" t="s">
        <v>74</v>
      </c>
      <c r="AD2559" s="1" t="s">
        <v>74</v>
      </c>
      <c r="AE2559" s="1" t="s">
        <v>74</v>
      </c>
      <c r="AF2559" s="1" t="s">
        <v>74</v>
      </c>
      <c r="AG2559" s="1">
        <v>43</v>
      </c>
      <c r="AH2559" s="1">
        <v>9</v>
      </c>
      <c r="AI2559" s="1">
        <v>10</v>
      </c>
      <c r="AJ2559" s="1">
        <v>0</v>
      </c>
      <c r="AK2559" s="1">
        <v>15</v>
      </c>
      <c r="AL2559" s="1" t="s">
        <v>136</v>
      </c>
      <c r="AM2559" s="1" t="s">
        <v>137</v>
      </c>
      <c r="AN2559" s="1" t="s">
        <v>138</v>
      </c>
      <c r="AO2559" s="1" t="s">
        <v>139</v>
      </c>
      <c r="AP2559" s="1" t="s">
        <v>140</v>
      </c>
      <c r="AQ2559" s="1" t="s">
        <v>74</v>
      </c>
      <c r="AR2559" s="1" t="s">
        <v>127</v>
      </c>
      <c r="AS2559" s="1" t="s">
        <v>141</v>
      </c>
      <c r="AT2559" s="1" t="s">
        <v>142</v>
      </c>
      <c r="AU2559" s="1">
        <v>2008</v>
      </c>
      <c r="AV2559" s="1">
        <v>72</v>
      </c>
      <c r="AW2559" s="1">
        <v>5</v>
      </c>
      <c r="AX2559" s="1" t="s">
        <v>74</v>
      </c>
      <c r="AY2559" s="1" t="s">
        <v>74</v>
      </c>
      <c r="AZ2559" s="1" t="s">
        <v>74</v>
      </c>
      <c r="BA2559" s="1" t="s">
        <v>74</v>
      </c>
      <c r="BB2559" s="1">
        <v>697</v>
      </c>
      <c r="BC2559" s="1">
        <v>702</v>
      </c>
      <c r="BD2559" s="1" t="s">
        <v>74</v>
      </c>
      <c r="BE2559" s="1" t="s">
        <v>40857</v>
      </c>
      <c r="BF2559" s="1" t="str">
        <f>HYPERLINK("http://dx.doi.org/10.1016/j.chemosphere.2008.04.013","http://dx.doi.org/10.1016/j.chemosphere.2008.04.013")</f>
        <v>http://dx.doi.org/10.1016/j.chemosphere.2008.04.013</v>
      </c>
      <c r="BG2559" s="1" t="s">
        <v>74</v>
      </c>
      <c r="BH2559" s="1" t="s">
        <v>74</v>
      </c>
      <c r="BI2559" s="1">
        <v>6</v>
      </c>
      <c r="BJ2559" s="1" t="s">
        <v>144</v>
      </c>
      <c r="BK2559" s="1" t="s">
        <v>96</v>
      </c>
      <c r="BL2559" s="1" t="s">
        <v>145</v>
      </c>
      <c r="BM2559" s="1" t="s">
        <v>40858</v>
      </c>
      <c r="BN2559" s="1">
        <v>18499217</v>
      </c>
      <c r="BO2559" s="1" t="s">
        <v>74</v>
      </c>
      <c r="BP2559" s="1" t="s">
        <v>74</v>
      </c>
      <c r="BQ2559" s="1" t="s">
        <v>74</v>
      </c>
      <c r="BR2559" s="1" t="s">
        <v>98</v>
      </c>
      <c r="BS2559" s="1" t="s">
        <v>40859</v>
      </c>
      <c r="BT2559" s="1" t="str">
        <f>HYPERLINK("https%3A%2F%2Fwww.webofscience.com%2Fwos%2Fwoscc%2Ffull-record%2FWOS:000257223700001","View Full Record in Web of Science")</f>
        <v>View Full Record in Web of Science</v>
      </c>
      <c r="BU2559" s="1"/>
      <c r="BV2559" s="1"/>
    </row>
    <row r="2560" spans="1:74">
      <c r="A2560" s="1" t="s">
        <v>72</v>
      </c>
      <c r="B2560" s="1" t="s">
        <v>40860</v>
      </c>
      <c r="C2560" s="1" t="s">
        <v>74</v>
      </c>
      <c r="D2560" s="1" t="s">
        <v>74</v>
      </c>
      <c r="E2560" s="1" t="s">
        <v>74</v>
      </c>
      <c r="F2560" s="1" t="s">
        <v>40861</v>
      </c>
      <c r="G2560" s="1" t="s">
        <v>74</v>
      </c>
      <c r="H2560" s="1" t="s">
        <v>74</v>
      </c>
      <c r="I2560" s="1" t="s">
        <v>40862</v>
      </c>
      <c r="J2560" s="1" t="s">
        <v>18304</v>
      </c>
      <c r="K2560" s="1" t="s">
        <v>74</v>
      </c>
      <c r="L2560" s="1" t="s">
        <v>74</v>
      </c>
      <c r="M2560" s="1" t="s">
        <v>78</v>
      </c>
      <c r="N2560" s="1" t="s">
        <v>79</v>
      </c>
      <c r="O2560" s="1" t="s">
        <v>74</v>
      </c>
      <c r="P2560" s="1" t="s">
        <v>74</v>
      </c>
      <c r="Q2560" s="1" t="s">
        <v>74</v>
      </c>
      <c r="R2560" s="1" t="s">
        <v>74</v>
      </c>
      <c r="S2560" s="1" t="s">
        <v>74</v>
      </c>
      <c r="T2560" s="1" t="s">
        <v>74</v>
      </c>
      <c r="U2560" s="1" t="s">
        <v>40863</v>
      </c>
      <c r="V2560" s="1" t="s">
        <v>40864</v>
      </c>
      <c r="W2560" s="1" t="s">
        <v>40865</v>
      </c>
      <c r="X2560" s="1" t="s">
        <v>40866</v>
      </c>
      <c r="Y2560" s="1" t="s">
        <v>40867</v>
      </c>
      <c r="Z2560" s="1" t="s">
        <v>40868</v>
      </c>
      <c r="AA2560" s="1" t="s">
        <v>40869</v>
      </c>
      <c r="AB2560" s="1" t="s">
        <v>40870</v>
      </c>
      <c r="AC2560" s="1" t="s">
        <v>74</v>
      </c>
      <c r="AD2560" s="1" t="s">
        <v>74</v>
      </c>
      <c r="AE2560" s="1" t="s">
        <v>74</v>
      </c>
      <c r="AF2560" s="1" t="s">
        <v>74</v>
      </c>
      <c r="AG2560" s="1">
        <v>13</v>
      </c>
      <c r="AH2560" s="1">
        <v>28</v>
      </c>
      <c r="AI2560" s="1">
        <v>28</v>
      </c>
      <c r="AJ2560" s="1">
        <v>0</v>
      </c>
      <c r="AK2560" s="1">
        <v>12</v>
      </c>
      <c r="AL2560" s="1" t="s">
        <v>112</v>
      </c>
      <c r="AM2560" s="1" t="s">
        <v>191</v>
      </c>
      <c r="AN2560" s="1" t="s">
        <v>192</v>
      </c>
      <c r="AO2560" s="1" t="s">
        <v>16275</v>
      </c>
      <c r="AP2560" s="1" t="s">
        <v>23893</v>
      </c>
      <c r="AQ2560" s="1" t="s">
        <v>74</v>
      </c>
      <c r="AR2560" s="1" t="s">
        <v>18311</v>
      </c>
      <c r="AS2560" s="1" t="s">
        <v>18312</v>
      </c>
      <c r="AT2560" s="1" t="s">
        <v>197</v>
      </c>
      <c r="AU2560" s="1">
        <v>2008</v>
      </c>
      <c r="AV2560" s="1">
        <v>278</v>
      </c>
      <c r="AW2560" s="1">
        <v>3</v>
      </c>
      <c r="AX2560" s="1" t="s">
        <v>74</v>
      </c>
      <c r="AY2560" s="1" t="s">
        <v>74</v>
      </c>
      <c r="AZ2560" s="1" t="s">
        <v>74</v>
      </c>
      <c r="BA2560" s="1" t="s">
        <v>74</v>
      </c>
      <c r="BB2560" s="1">
        <v>547</v>
      </c>
      <c r="BC2560" s="1">
        <v>551</v>
      </c>
      <c r="BD2560" s="1" t="s">
        <v>74</v>
      </c>
      <c r="BE2560" s="1" t="s">
        <v>40871</v>
      </c>
      <c r="BF2560" s="1" t="str">
        <f>HYPERLINK("http://dx.doi.org/10.1007/s10967-008-1003-1","http://dx.doi.org/10.1007/s10967-008-1003-1")</f>
        <v>http://dx.doi.org/10.1007/s10967-008-1003-1</v>
      </c>
      <c r="BG2560" s="1" t="s">
        <v>74</v>
      </c>
      <c r="BH2560" s="1" t="s">
        <v>74</v>
      </c>
      <c r="BI2560" s="1">
        <v>5</v>
      </c>
      <c r="BJ2560" s="1" t="s">
        <v>16279</v>
      </c>
      <c r="BK2560" s="1" t="s">
        <v>96</v>
      </c>
      <c r="BL2560" s="1" t="s">
        <v>16280</v>
      </c>
      <c r="BM2560" s="1" t="s">
        <v>40872</v>
      </c>
      <c r="BN2560" s="1" t="s">
        <v>74</v>
      </c>
      <c r="BO2560" s="1" t="s">
        <v>74</v>
      </c>
      <c r="BP2560" s="1" t="s">
        <v>74</v>
      </c>
      <c r="BQ2560" s="1" t="s">
        <v>74</v>
      </c>
      <c r="BR2560" s="1" t="s">
        <v>98</v>
      </c>
      <c r="BS2560" s="1" t="s">
        <v>40873</v>
      </c>
      <c r="BT2560" s="1" t="str">
        <f>HYPERLINK("https%3A%2F%2Fwww.webofscience.com%2Fwos%2Fwoscc%2Ffull-record%2FWOS:000261262500003","View Full Record in Web of Science")</f>
        <v>View Full Record in Web of Science</v>
      </c>
      <c r="BU2560" s="1"/>
      <c r="BV2560" s="1"/>
    </row>
    <row r="2561" spans="1:74">
      <c r="A2561" s="1" t="s">
        <v>72</v>
      </c>
      <c r="B2561" s="1" t="s">
        <v>40874</v>
      </c>
      <c r="C2561" s="1" t="s">
        <v>74</v>
      </c>
      <c r="D2561" s="1" t="s">
        <v>74</v>
      </c>
      <c r="E2561" s="1" t="s">
        <v>74</v>
      </c>
      <c r="F2561" s="1" t="s">
        <v>40875</v>
      </c>
      <c r="G2561" s="1" t="s">
        <v>74</v>
      </c>
      <c r="H2561" s="1" t="s">
        <v>74</v>
      </c>
      <c r="I2561" s="1" t="s">
        <v>40876</v>
      </c>
      <c r="J2561" s="1" t="s">
        <v>127</v>
      </c>
      <c r="K2561" s="1" t="s">
        <v>74</v>
      </c>
      <c r="L2561" s="1" t="s">
        <v>74</v>
      </c>
      <c r="M2561" s="1" t="s">
        <v>78</v>
      </c>
      <c r="N2561" s="1" t="s">
        <v>79</v>
      </c>
      <c r="O2561" s="1" t="s">
        <v>74</v>
      </c>
      <c r="P2561" s="1" t="s">
        <v>74</v>
      </c>
      <c r="Q2561" s="1" t="s">
        <v>74</v>
      </c>
      <c r="R2561" s="1" t="s">
        <v>74</v>
      </c>
      <c r="S2561" s="1" t="s">
        <v>74</v>
      </c>
      <c r="T2561" s="1" t="s">
        <v>40877</v>
      </c>
      <c r="U2561" s="1" t="s">
        <v>40878</v>
      </c>
      <c r="V2561" s="1" t="s">
        <v>40879</v>
      </c>
      <c r="W2561" s="1" t="s">
        <v>40880</v>
      </c>
      <c r="X2561" s="1" t="s">
        <v>40881</v>
      </c>
      <c r="Y2561" s="1" t="s">
        <v>40882</v>
      </c>
      <c r="Z2561" s="1" t="s">
        <v>40883</v>
      </c>
      <c r="AA2561" s="1" t="s">
        <v>40884</v>
      </c>
      <c r="AB2561" s="1" t="s">
        <v>40885</v>
      </c>
      <c r="AC2561" s="1" t="s">
        <v>40886</v>
      </c>
      <c r="AD2561" s="1" t="s">
        <v>40887</v>
      </c>
      <c r="AE2561" s="1" t="s">
        <v>40888</v>
      </c>
      <c r="AF2561" s="1" t="s">
        <v>74</v>
      </c>
      <c r="AG2561" s="1">
        <v>61</v>
      </c>
      <c r="AH2561" s="1">
        <v>23</v>
      </c>
      <c r="AI2561" s="1">
        <v>24</v>
      </c>
      <c r="AJ2561" s="1">
        <v>0</v>
      </c>
      <c r="AK2561" s="1">
        <v>54</v>
      </c>
      <c r="AL2561" s="1" t="s">
        <v>136</v>
      </c>
      <c r="AM2561" s="1" t="s">
        <v>137</v>
      </c>
      <c r="AN2561" s="1" t="s">
        <v>138</v>
      </c>
      <c r="AO2561" s="1" t="s">
        <v>139</v>
      </c>
      <c r="AP2561" s="1" t="s">
        <v>140</v>
      </c>
      <c r="AQ2561" s="1" t="s">
        <v>74</v>
      </c>
      <c r="AR2561" s="1" t="s">
        <v>127</v>
      </c>
      <c r="AS2561" s="1" t="s">
        <v>141</v>
      </c>
      <c r="AT2561" s="1" t="s">
        <v>305</v>
      </c>
      <c r="AU2561" s="1">
        <v>2012</v>
      </c>
      <c r="AV2561" s="1">
        <v>89</v>
      </c>
      <c r="AW2561" s="1">
        <v>3</v>
      </c>
      <c r="AX2561" s="1" t="s">
        <v>74</v>
      </c>
      <c r="AY2561" s="1" t="s">
        <v>74</v>
      </c>
      <c r="AZ2561" s="1" t="s">
        <v>74</v>
      </c>
      <c r="BA2561" s="1" t="s">
        <v>74</v>
      </c>
      <c r="BB2561" s="1">
        <v>340</v>
      </c>
      <c r="BC2561" s="1">
        <v>349</v>
      </c>
      <c r="BD2561" s="1" t="s">
        <v>74</v>
      </c>
      <c r="BE2561" s="1" t="s">
        <v>40889</v>
      </c>
      <c r="BF2561" s="1" t="str">
        <f>HYPERLINK("http://dx.doi.org/10.1016/j.chemosphere.2012.04.052","http://dx.doi.org/10.1016/j.chemosphere.2012.04.052")</f>
        <v>http://dx.doi.org/10.1016/j.chemosphere.2012.04.052</v>
      </c>
      <c r="BG2561" s="1" t="s">
        <v>74</v>
      </c>
      <c r="BH2561" s="1" t="s">
        <v>74</v>
      </c>
      <c r="BI2561" s="1">
        <v>10</v>
      </c>
      <c r="BJ2561" s="1" t="s">
        <v>144</v>
      </c>
      <c r="BK2561" s="1" t="s">
        <v>96</v>
      </c>
      <c r="BL2561" s="1" t="s">
        <v>145</v>
      </c>
      <c r="BM2561" s="1" t="s">
        <v>40890</v>
      </c>
      <c r="BN2561" s="1">
        <v>22633418</v>
      </c>
      <c r="BO2561" s="1" t="s">
        <v>810</v>
      </c>
      <c r="BP2561" s="1" t="s">
        <v>74</v>
      </c>
      <c r="BQ2561" s="1" t="s">
        <v>74</v>
      </c>
      <c r="BR2561" s="1" t="s">
        <v>98</v>
      </c>
      <c r="BS2561" s="1" t="s">
        <v>40891</v>
      </c>
      <c r="BT2561" s="1" t="str">
        <f>HYPERLINK("https%3A%2F%2Fwww.webofscience.com%2Fwos%2Fwoscc%2Ffull-record%2FWOS:000307681600020","View Full Record in Web of Science")</f>
        <v>View Full Record in Web of Science</v>
      </c>
      <c r="BU2561" s="1"/>
      <c r="BV2561" s="1"/>
    </row>
    <row r="2562" spans="1:74">
      <c r="A2562" s="1" t="s">
        <v>72</v>
      </c>
      <c r="B2562" s="1" t="s">
        <v>40892</v>
      </c>
      <c r="C2562" s="1" t="s">
        <v>74</v>
      </c>
      <c r="D2562" s="1" t="s">
        <v>74</v>
      </c>
      <c r="E2562" s="1" t="s">
        <v>74</v>
      </c>
      <c r="F2562" s="1" t="s">
        <v>40893</v>
      </c>
      <c r="G2562" s="1" t="s">
        <v>74</v>
      </c>
      <c r="H2562" s="1" t="s">
        <v>74</v>
      </c>
      <c r="I2562" s="1" t="s">
        <v>40894</v>
      </c>
      <c r="J2562" s="1" t="s">
        <v>459</v>
      </c>
      <c r="K2562" s="1" t="s">
        <v>74</v>
      </c>
      <c r="L2562" s="1" t="s">
        <v>74</v>
      </c>
      <c r="M2562" s="1" t="s">
        <v>78</v>
      </c>
      <c r="N2562" s="1" t="s">
        <v>79</v>
      </c>
      <c r="O2562" s="1" t="s">
        <v>74</v>
      </c>
      <c r="P2562" s="1" t="s">
        <v>74</v>
      </c>
      <c r="Q2562" s="1" t="s">
        <v>74</v>
      </c>
      <c r="R2562" s="1" t="s">
        <v>74</v>
      </c>
      <c r="S2562" s="1" t="s">
        <v>74</v>
      </c>
      <c r="T2562" s="1" t="s">
        <v>40895</v>
      </c>
      <c r="U2562" s="1" t="s">
        <v>40896</v>
      </c>
      <c r="V2562" s="1" t="s">
        <v>40897</v>
      </c>
      <c r="W2562" s="1" t="s">
        <v>40898</v>
      </c>
      <c r="X2562" s="1" t="s">
        <v>40899</v>
      </c>
      <c r="Y2562" s="1" t="s">
        <v>40900</v>
      </c>
      <c r="Z2562" s="1" t="s">
        <v>40901</v>
      </c>
      <c r="AA2562" s="1" t="s">
        <v>74</v>
      </c>
      <c r="AB2562" s="1" t="s">
        <v>74</v>
      </c>
      <c r="AC2562" s="1" t="s">
        <v>74</v>
      </c>
      <c r="AD2562" s="1" t="s">
        <v>74</v>
      </c>
      <c r="AE2562" s="1" t="s">
        <v>74</v>
      </c>
      <c r="AF2562" s="1" t="s">
        <v>74</v>
      </c>
      <c r="AG2562" s="1">
        <v>44</v>
      </c>
      <c r="AH2562" s="1">
        <v>60</v>
      </c>
      <c r="AI2562" s="1">
        <v>65</v>
      </c>
      <c r="AJ2562" s="1">
        <v>0</v>
      </c>
      <c r="AK2562" s="1">
        <v>14</v>
      </c>
      <c r="AL2562" s="1" t="s">
        <v>40902</v>
      </c>
      <c r="AM2562" s="1" t="s">
        <v>2361</v>
      </c>
      <c r="AN2562" s="1" t="s">
        <v>40903</v>
      </c>
      <c r="AO2562" s="1" t="s">
        <v>470</v>
      </c>
      <c r="AP2562" s="1" t="s">
        <v>74</v>
      </c>
      <c r="AQ2562" s="1" t="s">
        <v>74</v>
      </c>
      <c r="AR2562" s="1" t="s">
        <v>472</v>
      </c>
      <c r="AS2562" s="1" t="s">
        <v>473</v>
      </c>
      <c r="AT2562" s="1" t="s">
        <v>20917</v>
      </c>
      <c r="AU2562" s="1">
        <v>2007</v>
      </c>
      <c r="AV2562" s="1">
        <v>4</v>
      </c>
      <c r="AW2562" s="1">
        <v>2</v>
      </c>
      <c r="AX2562" s="1" t="s">
        <v>74</v>
      </c>
      <c r="AY2562" s="1" t="s">
        <v>74</v>
      </c>
      <c r="AZ2562" s="1" t="s">
        <v>74</v>
      </c>
      <c r="BA2562" s="1" t="s">
        <v>74</v>
      </c>
      <c r="BB2562" s="1">
        <v>233</v>
      </c>
      <c r="BC2562" s="1">
        <v>240</v>
      </c>
      <c r="BD2562" s="1" t="s">
        <v>74</v>
      </c>
      <c r="BE2562" s="1" t="s">
        <v>40904</v>
      </c>
      <c r="BF2562" s="1" t="str">
        <f>HYPERLINK("http://dx.doi.org/10.1007/BF03326279","http://dx.doi.org/10.1007/BF03326279")</f>
        <v>http://dx.doi.org/10.1007/BF03326279</v>
      </c>
      <c r="BG2562" s="1" t="s">
        <v>74</v>
      </c>
      <c r="BH2562" s="1" t="s">
        <v>74</v>
      </c>
      <c r="BI2562" s="1">
        <v>8</v>
      </c>
      <c r="BJ2562" s="1" t="s">
        <v>144</v>
      </c>
      <c r="BK2562" s="1" t="s">
        <v>96</v>
      </c>
      <c r="BL2562" s="1" t="s">
        <v>145</v>
      </c>
      <c r="BM2562" s="1" t="s">
        <v>40905</v>
      </c>
      <c r="BN2562" s="1" t="s">
        <v>74</v>
      </c>
      <c r="BO2562" s="1" t="s">
        <v>74</v>
      </c>
      <c r="BP2562" s="1" t="s">
        <v>74</v>
      </c>
      <c r="BQ2562" s="1" t="s">
        <v>74</v>
      </c>
      <c r="BR2562" s="1" t="s">
        <v>98</v>
      </c>
      <c r="BS2562" s="1" t="s">
        <v>40906</v>
      </c>
      <c r="BT2562" s="1" t="str">
        <f>HYPERLINK("https%3A%2F%2Fwww.webofscience.com%2Fwos%2Fwoscc%2Ffull-record%2FWOS:000254743700010","View Full Record in Web of Science")</f>
        <v>View Full Record in Web of Science</v>
      </c>
      <c r="BU2562" s="1"/>
      <c r="BV2562" s="1"/>
    </row>
    <row r="2563" spans="1:74">
      <c r="A2563" s="1" t="s">
        <v>72</v>
      </c>
      <c r="B2563" s="1" t="s">
        <v>40907</v>
      </c>
      <c r="C2563" s="1" t="s">
        <v>74</v>
      </c>
      <c r="D2563" s="1" t="s">
        <v>74</v>
      </c>
      <c r="E2563" s="1" t="s">
        <v>74</v>
      </c>
      <c r="F2563" s="1" t="s">
        <v>40908</v>
      </c>
      <c r="G2563" s="1" t="s">
        <v>74</v>
      </c>
      <c r="H2563" s="1" t="s">
        <v>74</v>
      </c>
      <c r="I2563" s="1" t="s">
        <v>40909</v>
      </c>
      <c r="J2563" s="1" t="s">
        <v>253</v>
      </c>
      <c r="K2563" s="1" t="s">
        <v>74</v>
      </c>
      <c r="L2563" s="1" t="s">
        <v>74</v>
      </c>
      <c r="M2563" s="1" t="s">
        <v>78</v>
      </c>
      <c r="N2563" s="1" t="s">
        <v>79</v>
      </c>
      <c r="O2563" s="1" t="s">
        <v>74</v>
      </c>
      <c r="P2563" s="1" t="s">
        <v>74</v>
      </c>
      <c r="Q2563" s="1" t="s">
        <v>74</v>
      </c>
      <c r="R2563" s="1" t="s">
        <v>74</v>
      </c>
      <c r="S2563" s="1" t="s">
        <v>74</v>
      </c>
      <c r="T2563" s="1" t="s">
        <v>74</v>
      </c>
      <c r="U2563" s="1" t="s">
        <v>40910</v>
      </c>
      <c r="V2563" s="1" t="s">
        <v>40911</v>
      </c>
      <c r="W2563" s="1" t="s">
        <v>40912</v>
      </c>
      <c r="X2563" s="1" t="s">
        <v>40913</v>
      </c>
      <c r="Y2563" s="1" t="s">
        <v>40914</v>
      </c>
      <c r="Z2563" s="1" t="s">
        <v>40915</v>
      </c>
      <c r="AA2563" s="1" t="s">
        <v>40916</v>
      </c>
      <c r="AB2563" s="1" t="s">
        <v>40917</v>
      </c>
      <c r="AC2563" s="1" t="s">
        <v>40918</v>
      </c>
      <c r="AD2563" s="1" t="s">
        <v>40918</v>
      </c>
      <c r="AE2563" s="1" t="s">
        <v>40919</v>
      </c>
      <c r="AF2563" s="1" t="s">
        <v>74</v>
      </c>
      <c r="AG2563" s="1">
        <v>72</v>
      </c>
      <c r="AH2563" s="1">
        <v>56</v>
      </c>
      <c r="AI2563" s="1">
        <v>62</v>
      </c>
      <c r="AJ2563" s="1">
        <v>2</v>
      </c>
      <c r="AK2563" s="1">
        <v>37</v>
      </c>
      <c r="AL2563" s="1" t="s">
        <v>261</v>
      </c>
      <c r="AM2563" s="1" t="s">
        <v>262</v>
      </c>
      <c r="AN2563" s="1" t="s">
        <v>19471</v>
      </c>
      <c r="AO2563" s="1" t="s">
        <v>264</v>
      </c>
      <c r="AP2563" s="1" t="s">
        <v>20119</v>
      </c>
      <c r="AQ2563" s="1" t="s">
        <v>74</v>
      </c>
      <c r="AR2563" s="1" t="s">
        <v>265</v>
      </c>
      <c r="AS2563" s="1" t="s">
        <v>266</v>
      </c>
      <c r="AT2563" s="1" t="s">
        <v>170</v>
      </c>
      <c r="AU2563" s="1">
        <v>2011</v>
      </c>
      <c r="AV2563" s="1">
        <v>13</v>
      </c>
      <c r="AW2563" s="1">
        <v>5</v>
      </c>
      <c r="AX2563" s="1" t="s">
        <v>74</v>
      </c>
      <c r="AY2563" s="1" t="s">
        <v>74</v>
      </c>
      <c r="AZ2563" s="1" t="s">
        <v>74</v>
      </c>
      <c r="BA2563" s="1" t="s">
        <v>74</v>
      </c>
      <c r="BB2563" s="1">
        <v>1495</v>
      </c>
      <c r="BC2563" s="1">
        <v>1505</v>
      </c>
      <c r="BD2563" s="1" t="s">
        <v>74</v>
      </c>
      <c r="BE2563" s="1" t="s">
        <v>40920</v>
      </c>
      <c r="BF2563" s="1" t="str">
        <f>HYPERLINK("http://dx.doi.org/10.1039/c0em00725k","http://dx.doi.org/10.1039/c0em00725k")</f>
        <v>http://dx.doi.org/10.1039/c0em00725k</v>
      </c>
      <c r="BG2563" s="1" t="s">
        <v>74</v>
      </c>
      <c r="BH2563" s="1" t="s">
        <v>74</v>
      </c>
      <c r="BI2563" s="1">
        <v>11</v>
      </c>
      <c r="BJ2563" s="1" t="s">
        <v>269</v>
      </c>
      <c r="BK2563" s="1" t="s">
        <v>96</v>
      </c>
      <c r="BL2563" s="1" t="s">
        <v>270</v>
      </c>
      <c r="BM2563" s="1" t="s">
        <v>40921</v>
      </c>
      <c r="BN2563" s="1">
        <v>21384032</v>
      </c>
      <c r="BO2563" s="1" t="s">
        <v>810</v>
      </c>
      <c r="BP2563" s="1" t="s">
        <v>74</v>
      </c>
      <c r="BQ2563" s="1" t="s">
        <v>74</v>
      </c>
      <c r="BR2563" s="1" t="s">
        <v>98</v>
      </c>
      <c r="BS2563" s="1" t="s">
        <v>40922</v>
      </c>
      <c r="BT2563" s="1" t="str">
        <f>HYPERLINK("https%3A%2F%2Fwww.webofscience.com%2Fwos%2Fwoscc%2Ffull-record%2FWOS:000290166800041","View Full Record in Web of Science")</f>
        <v>View Full Record in Web of Science</v>
      </c>
      <c r="BU2563" s="1"/>
      <c r="BV2563" s="1"/>
    </row>
    <row r="2564" spans="1:74">
      <c r="A2564" s="1" t="s">
        <v>72</v>
      </c>
      <c r="B2564" s="1" t="s">
        <v>40923</v>
      </c>
      <c r="C2564" s="1" t="s">
        <v>74</v>
      </c>
      <c r="D2564" s="1" t="s">
        <v>74</v>
      </c>
      <c r="E2564" s="1" t="s">
        <v>74</v>
      </c>
      <c r="F2564" s="1" t="s">
        <v>40924</v>
      </c>
      <c r="G2564" s="1" t="s">
        <v>74</v>
      </c>
      <c r="H2564" s="1" t="s">
        <v>74</v>
      </c>
      <c r="I2564" s="1" t="s">
        <v>40925</v>
      </c>
      <c r="J2564" s="1" t="s">
        <v>909</v>
      </c>
      <c r="K2564" s="1" t="s">
        <v>74</v>
      </c>
      <c r="L2564" s="1" t="s">
        <v>74</v>
      </c>
      <c r="M2564" s="1" t="s">
        <v>78</v>
      </c>
      <c r="N2564" s="1" t="s">
        <v>79</v>
      </c>
      <c r="O2564" s="1" t="s">
        <v>74</v>
      </c>
      <c r="P2564" s="1" t="s">
        <v>74</v>
      </c>
      <c r="Q2564" s="1" t="s">
        <v>74</v>
      </c>
      <c r="R2564" s="1" t="s">
        <v>74</v>
      </c>
      <c r="S2564" s="1" t="s">
        <v>74</v>
      </c>
      <c r="T2564" s="1" t="s">
        <v>40926</v>
      </c>
      <c r="U2564" s="1" t="s">
        <v>40927</v>
      </c>
      <c r="V2564" s="1" t="s">
        <v>40928</v>
      </c>
      <c r="W2564" s="1" t="s">
        <v>40929</v>
      </c>
      <c r="X2564" s="1" t="s">
        <v>40930</v>
      </c>
      <c r="Y2564" s="1" t="s">
        <v>40931</v>
      </c>
      <c r="Z2564" s="1" t="s">
        <v>40932</v>
      </c>
      <c r="AA2564" s="1" t="s">
        <v>40933</v>
      </c>
      <c r="AB2564" s="1" t="s">
        <v>40934</v>
      </c>
      <c r="AC2564" s="1" t="s">
        <v>40935</v>
      </c>
      <c r="AD2564" s="1" t="s">
        <v>40936</v>
      </c>
      <c r="AE2564" s="1" t="s">
        <v>40937</v>
      </c>
      <c r="AF2564" s="1" t="s">
        <v>74</v>
      </c>
      <c r="AG2564" s="1">
        <v>88</v>
      </c>
      <c r="AH2564" s="1">
        <v>65</v>
      </c>
      <c r="AI2564" s="1">
        <v>67</v>
      </c>
      <c r="AJ2564" s="1">
        <v>2</v>
      </c>
      <c r="AK2564" s="1">
        <v>87</v>
      </c>
      <c r="AL2564" s="1" t="s">
        <v>919</v>
      </c>
      <c r="AM2564" s="1" t="s">
        <v>651</v>
      </c>
      <c r="AN2564" s="1" t="s">
        <v>920</v>
      </c>
      <c r="AO2564" s="1" t="s">
        <v>921</v>
      </c>
      <c r="AP2564" s="1" t="s">
        <v>922</v>
      </c>
      <c r="AQ2564" s="1" t="s">
        <v>74</v>
      </c>
      <c r="AR2564" s="1" t="s">
        <v>923</v>
      </c>
      <c r="AS2564" s="1" t="s">
        <v>924</v>
      </c>
      <c r="AT2564" s="1" t="s">
        <v>7041</v>
      </c>
      <c r="AU2564" s="1">
        <v>2016</v>
      </c>
      <c r="AV2564" s="1">
        <v>544</v>
      </c>
      <c r="AW2564" s="1" t="s">
        <v>74</v>
      </c>
      <c r="AX2564" s="1" t="s">
        <v>74</v>
      </c>
      <c r="AY2564" s="1" t="s">
        <v>74</v>
      </c>
      <c r="AZ2564" s="1" t="s">
        <v>74</v>
      </c>
      <c r="BA2564" s="1" t="s">
        <v>74</v>
      </c>
      <c r="BB2564" s="1">
        <v>1031</v>
      </c>
      <c r="BC2564" s="1">
        <v>1044</v>
      </c>
      <c r="BD2564" s="1" t="s">
        <v>74</v>
      </c>
      <c r="BE2564" s="1" t="s">
        <v>40938</v>
      </c>
      <c r="BF2564" s="1" t="str">
        <f>HYPERLINK("http://dx.doi.org/10.1016/j.scitotenv.2015.11.131","http://dx.doi.org/10.1016/j.scitotenv.2015.11.131")</f>
        <v>http://dx.doi.org/10.1016/j.scitotenv.2015.11.131</v>
      </c>
      <c r="BG2564" s="1" t="s">
        <v>74</v>
      </c>
      <c r="BH2564" s="1" t="s">
        <v>74</v>
      </c>
      <c r="BI2564" s="1">
        <v>14</v>
      </c>
      <c r="BJ2564" s="1" t="s">
        <v>144</v>
      </c>
      <c r="BK2564" s="1" t="s">
        <v>96</v>
      </c>
      <c r="BL2564" s="1" t="s">
        <v>145</v>
      </c>
      <c r="BM2564" s="1" t="s">
        <v>33895</v>
      </c>
      <c r="BN2564" s="1">
        <v>26774961</v>
      </c>
      <c r="BO2564" s="1" t="s">
        <v>74</v>
      </c>
      <c r="BP2564" s="1" t="s">
        <v>74</v>
      </c>
      <c r="BQ2564" s="1" t="s">
        <v>74</v>
      </c>
      <c r="BR2564" s="1" t="s">
        <v>98</v>
      </c>
      <c r="BS2564" s="1" t="s">
        <v>40939</v>
      </c>
      <c r="BT2564" s="1" t="str">
        <f>HYPERLINK("https%3A%2F%2Fwww.webofscience.com%2Fwos%2Fwoscc%2Ffull-record%2FWOS:000369491500109","View Full Record in Web of Science")</f>
        <v>View Full Record in Web of Science</v>
      </c>
      <c r="BU2564" s="1"/>
      <c r="BV2564" s="1"/>
    </row>
    <row r="2565" spans="1:74">
      <c r="A2565" s="1" t="s">
        <v>72</v>
      </c>
      <c r="B2565" s="1" t="s">
        <v>40940</v>
      </c>
      <c r="C2565" s="1" t="s">
        <v>74</v>
      </c>
      <c r="D2565" s="1" t="s">
        <v>74</v>
      </c>
      <c r="E2565" s="1" t="s">
        <v>74</v>
      </c>
      <c r="F2565" s="1" t="s">
        <v>40941</v>
      </c>
      <c r="G2565" s="1" t="s">
        <v>74</v>
      </c>
      <c r="H2565" s="1" t="s">
        <v>74</v>
      </c>
      <c r="I2565" s="1" t="s">
        <v>40942</v>
      </c>
      <c r="J2565" s="1" t="s">
        <v>421</v>
      </c>
      <c r="K2565" s="1" t="s">
        <v>74</v>
      </c>
      <c r="L2565" s="1" t="s">
        <v>74</v>
      </c>
      <c r="M2565" s="1" t="s">
        <v>78</v>
      </c>
      <c r="N2565" s="1" t="s">
        <v>79</v>
      </c>
      <c r="O2565" s="1" t="s">
        <v>74</v>
      </c>
      <c r="P2565" s="1" t="s">
        <v>74</v>
      </c>
      <c r="Q2565" s="1" t="s">
        <v>74</v>
      </c>
      <c r="R2565" s="1" t="s">
        <v>74</v>
      </c>
      <c r="S2565" s="1" t="s">
        <v>74</v>
      </c>
      <c r="T2565" s="1" t="s">
        <v>40943</v>
      </c>
      <c r="U2565" s="1" t="s">
        <v>40944</v>
      </c>
      <c r="V2565" s="1" t="s">
        <v>40945</v>
      </c>
      <c r="W2565" s="1" t="s">
        <v>40946</v>
      </c>
      <c r="X2565" s="1" t="s">
        <v>25649</v>
      </c>
      <c r="Y2565" s="1" t="s">
        <v>40947</v>
      </c>
      <c r="Z2565" s="1" t="s">
        <v>32756</v>
      </c>
      <c r="AA2565" s="1" t="s">
        <v>40948</v>
      </c>
      <c r="AB2565" s="1" t="s">
        <v>74</v>
      </c>
      <c r="AC2565" s="1" t="s">
        <v>40949</v>
      </c>
      <c r="AD2565" s="1" t="s">
        <v>40950</v>
      </c>
      <c r="AE2565" s="1" t="s">
        <v>40951</v>
      </c>
      <c r="AF2565" s="1" t="s">
        <v>74</v>
      </c>
      <c r="AG2565" s="1">
        <v>71</v>
      </c>
      <c r="AH2565" s="1">
        <v>29</v>
      </c>
      <c r="AI2565" s="1">
        <v>30</v>
      </c>
      <c r="AJ2565" s="1">
        <v>2</v>
      </c>
      <c r="AK2565" s="1">
        <v>62</v>
      </c>
      <c r="AL2565" s="1" t="s">
        <v>430</v>
      </c>
      <c r="AM2565" s="1" t="s">
        <v>137</v>
      </c>
      <c r="AN2565" s="1" t="s">
        <v>431</v>
      </c>
      <c r="AO2565" s="1" t="s">
        <v>432</v>
      </c>
      <c r="AP2565" s="1" t="s">
        <v>1394</v>
      </c>
      <c r="AQ2565" s="1" t="s">
        <v>74</v>
      </c>
      <c r="AR2565" s="1" t="s">
        <v>433</v>
      </c>
      <c r="AS2565" s="1" t="s">
        <v>434</v>
      </c>
      <c r="AT2565" s="1" t="s">
        <v>305</v>
      </c>
      <c r="AU2565" s="1">
        <v>2019</v>
      </c>
      <c r="AV2565" s="1">
        <v>252</v>
      </c>
      <c r="AW2565" s="1" t="s">
        <v>74</v>
      </c>
      <c r="AX2565" s="1" t="s">
        <v>13570</v>
      </c>
      <c r="AY2565" s="1" t="s">
        <v>74</v>
      </c>
      <c r="AZ2565" s="1" t="s">
        <v>74</v>
      </c>
      <c r="BA2565" s="1" t="s">
        <v>74</v>
      </c>
      <c r="BB2565" s="1">
        <v>1764</v>
      </c>
      <c r="BC2565" s="1">
        <v>1771</v>
      </c>
      <c r="BD2565" s="1" t="s">
        <v>74</v>
      </c>
      <c r="BE2565" s="1" t="s">
        <v>40952</v>
      </c>
      <c r="BF2565" s="1" t="str">
        <f>HYPERLINK("http://dx.doi.org/10.1016/j.envpol.2019.06.053","http://dx.doi.org/10.1016/j.envpol.2019.06.053")</f>
        <v>http://dx.doi.org/10.1016/j.envpol.2019.06.053</v>
      </c>
      <c r="BG2565" s="1" t="s">
        <v>74</v>
      </c>
      <c r="BH2565" s="1" t="s">
        <v>74</v>
      </c>
      <c r="BI2565" s="1">
        <v>8</v>
      </c>
      <c r="BJ2565" s="1" t="s">
        <v>144</v>
      </c>
      <c r="BK2565" s="1" t="s">
        <v>96</v>
      </c>
      <c r="BL2565" s="1" t="s">
        <v>145</v>
      </c>
      <c r="BM2565" s="1" t="s">
        <v>40953</v>
      </c>
      <c r="BN2565" s="1">
        <v>31295695</v>
      </c>
      <c r="BO2565" s="1" t="s">
        <v>74</v>
      </c>
      <c r="BP2565" s="1" t="s">
        <v>74</v>
      </c>
      <c r="BQ2565" s="1" t="s">
        <v>74</v>
      </c>
      <c r="BR2565" s="1" t="s">
        <v>98</v>
      </c>
      <c r="BS2565" s="1" t="s">
        <v>40954</v>
      </c>
      <c r="BT2565" s="1" t="str">
        <f>HYPERLINK("https%3A%2F%2Fwww.webofscience.com%2Fwos%2Fwoscc%2Ffull-record%2FWOS:000483405400087","View Full Record in Web of Science")</f>
        <v>View Full Record in Web of Science</v>
      </c>
      <c r="BU2565" s="1"/>
      <c r="BV2565" s="1"/>
    </row>
    <row r="2566" spans="1:74">
      <c r="A2566" s="1" t="s">
        <v>72</v>
      </c>
      <c r="B2566" s="1" t="s">
        <v>40955</v>
      </c>
      <c r="C2566" s="1" t="s">
        <v>74</v>
      </c>
      <c r="D2566" s="1" t="s">
        <v>74</v>
      </c>
      <c r="E2566" s="1" t="s">
        <v>74</v>
      </c>
      <c r="F2566" s="1" t="s">
        <v>40955</v>
      </c>
      <c r="G2566" s="1" t="s">
        <v>74</v>
      </c>
      <c r="H2566" s="1" t="s">
        <v>74</v>
      </c>
      <c r="I2566" s="1" t="s">
        <v>40956</v>
      </c>
      <c r="J2566" s="1" t="s">
        <v>909</v>
      </c>
      <c r="K2566" s="1" t="s">
        <v>74</v>
      </c>
      <c r="L2566" s="1" t="s">
        <v>74</v>
      </c>
      <c r="M2566" s="1" t="s">
        <v>78</v>
      </c>
      <c r="N2566" s="1" t="s">
        <v>79</v>
      </c>
      <c r="O2566" s="1" t="s">
        <v>74</v>
      </c>
      <c r="P2566" s="1" t="s">
        <v>74</v>
      </c>
      <c r="Q2566" s="1" t="s">
        <v>74</v>
      </c>
      <c r="R2566" s="1" t="s">
        <v>74</v>
      </c>
      <c r="S2566" s="1" t="s">
        <v>74</v>
      </c>
      <c r="T2566" s="1" t="s">
        <v>40957</v>
      </c>
      <c r="U2566" s="1" t="s">
        <v>40958</v>
      </c>
      <c r="V2566" s="1" t="s">
        <v>40959</v>
      </c>
      <c r="W2566" s="1" t="s">
        <v>40960</v>
      </c>
      <c r="X2566" s="1" t="s">
        <v>23380</v>
      </c>
      <c r="Y2566" s="1" t="s">
        <v>40961</v>
      </c>
      <c r="Z2566" s="1" t="s">
        <v>40962</v>
      </c>
      <c r="AA2566" s="1" t="s">
        <v>13613</v>
      </c>
      <c r="AB2566" s="1" t="s">
        <v>17534</v>
      </c>
      <c r="AC2566" s="1" t="s">
        <v>74</v>
      </c>
      <c r="AD2566" s="1" t="s">
        <v>74</v>
      </c>
      <c r="AE2566" s="1" t="s">
        <v>74</v>
      </c>
      <c r="AF2566" s="1" t="s">
        <v>74</v>
      </c>
      <c r="AG2566" s="1">
        <v>37</v>
      </c>
      <c r="AH2566" s="1">
        <v>78</v>
      </c>
      <c r="AI2566" s="1">
        <v>85</v>
      </c>
      <c r="AJ2566" s="1">
        <v>0</v>
      </c>
      <c r="AK2566" s="1">
        <v>17</v>
      </c>
      <c r="AL2566" s="1" t="s">
        <v>650</v>
      </c>
      <c r="AM2566" s="1" t="s">
        <v>651</v>
      </c>
      <c r="AN2566" s="1" t="s">
        <v>652</v>
      </c>
      <c r="AO2566" s="1" t="s">
        <v>921</v>
      </c>
      <c r="AP2566" s="1" t="s">
        <v>922</v>
      </c>
      <c r="AQ2566" s="1" t="s">
        <v>74</v>
      </c>
      <c r="AR2566" s="1" t="s">
        <v>923</v>
      </c>
      <c r="AS2566" s="1" t="s">
        <v>924</v>
      </c>
      <c r="AT2566" s="1" t="s">
        <v>2257</v>
      </c>
      <c r="AU2566" s="1">
        <v>2003</v>
      </c>
      <c r="AV2566" s="1">
        <v>312</v>
      </c>
      <c r="AW2566" s="1" t="s">
        <v>2847</v>
      </c>
      <c r="AX2566" s="1" t="s">
        <v>74</v>
      </c>
      <c r="AY2566" s="1" t="s">
        <v>74</v>
      </c>
      <c r="AZ2566" s="1" t="s">
        <v>74</v>
      </c>
      <c r="BA2566" s="1" t="s">
        <v>74</v>
      </c>
      <c r="BB2566" s="1">
        <v>79</v>
      </c>
      <c r="BC2566" s="1">
        <v>88</v>
      </c>
      <c r="BD2566" s="1" t="s">
        <v>74</v>
      </c>
      <c r="BE2566" s="1" t="s">
        <v>40963</v>
      </c>
      <c r="BF2566" s="1" t="str">
        <f>HYPERLINK("http://dx.doi.org/10.1016/S0048-9697(03)00227-4","http://dx.doi.org/10.1016/S0048-9697(03)00227-4")</f>
        <v>http://dx.doi.org/10.1016/S0048-9697(03)00227-4</v>
      </c>
      <c r="BG2566" s="1" t="s">
        <v>74</v>
      </c>
      <c r="BH2566" s="1" t="s">
        <v>74</v>
      </c>
      <c r="BI2566" s="1">
        <v>10</v>
      </c>
      <c r="BJ2566" s="1" t="s">
        <v>144</v>
      </c>
      <c r="BK2566" s="1" t="s">
        <v>96</v>
      </c>
      <c r="BL2566" s="1" t="s">
        <v>145</v>
      </c>
      <c r="BM2566" s="1" t="s">
        <v>40964</v>
      </c>
      <c r="BN2566" s="1">
        <v>12873401</v>
      </c>
      <c r="BO2566" s="1" t="s">
        <v>74</v>
      </c>
      <c r="BP2566" s="1" t="s">
        <v>74</v>
      </c>
      <c r="BQ2566" s="1" t="s">
        <v>74</v>
      </c>
      <c r="BR2566" s="1" t="s">
        <v>98</v>
      </c>
      <c r="BS2566" s="1" t="s">
        <v>40965</v>
      </c>
      <c r="BT2566" s="1" t="str">
        <f>HYPERLINK("https%3A%2F%2Fwww.webofscience.com%2Fwos%2Fwoscc%2Ffull-record%2FWOS:000184585100009","View Full Record in Web of Science")</f>
        <v>View Full Record in Web of Science</v>
      </c>
      <c r="BU2566" s="1"/>
      <c r="BV2566" s="1"/>
    </row>
    <row r="2567" spans="1:74">
      <c r="A2567" s="1" t="s">
        <v>72</v>
      </c>
      <c r="B2567" s="1" t="s">
        <v>40966</v>
      </c>
      <c r="C2567" s="1" t="s">
        <v>74</v>
      </c>
      <c r="D2567" s="1" t="s">
        <v>74</v>
      </c>
      <c r="E2567" s="1" t="s">
        <v>74</v>
      </c>
      <c r="F2567" s="1" t="s">
        <v>40966</v>
      </c>
      <c r="G2567" s="1" t="s">
        <v>74</v>
      </c>
      <c r="H2567" s="1" t="s">
        <v>74</v>
      </c>
      <c r="I2567" s="1" t="s">
        <v>40967</v>
      </c>
      <c r="J2567" s="1" t="s">
        <v>127</v>
      </c>
      <c r="K2567" s="1" t="s">
        <v>74</v>
      </c>
      <c r="L2567" s="1" t="s">
        <v>74</v>
      </c>
      <c r="M2567" s="1" t="s">
        <v>78</v>
      </c>
      <c r="N2567" s="1" t="s">
        <v>79</v>
      </c>
      <c r="O2567" s="1" t="s">
        <v>74</v>
      </c>
      <c r="P2567" s="1" t="s">
        <v>74</v>
      </c>
      <c r="Q2567" s="1" t="s">
        <v>74</v>
      </c>
      <c r="R2567" s="1" t="s">
        <v>74</v>
      </c>
      <c r="S2567" s="1" t="s">
        <v>74</v>
      </c>
      <c r="T2567" s="1" t="s">
        <v>40968</v>
      </c>
      <c r="U2567" s="1" t="s">
        <v>40969</v>
      </c>
      <c r="V2567" s="1" t="s">
        <v>40970</v>
      </c>
      <c r="W2567" s="1" t="s">
        <v>40971</v>
      </c>
      <c r="X2567" s="1" t="s">
        <v>16379</v>
      </c>
      <c r="Y2567" s="1" t="s">
        <v>40972</v>
      </c>
      <c r="Z2567" s="1" t="s">
        <v>16381</v>
      </c>
      <c r="AA2567" s="1" t="s">
        <v>16382</v>
      </c>
      <c r="AB2567" s="1" t="s">
        <v>16383</v>
      </c>
      <c r="AC2567" s="1" t="s">
        <v>74</v>
      </c>
      <c r="AD2567" s="1" t="s">
        <v>74</v>
      </c>
      <c r="AE2567" s="1" t="s">
        <v>74</v>
      </c>
      <c r="AF2567" s="1" t="s">
        <v>74</v>
      </c>
      <c r="AG2567" s="1">
        <v>29</v>
      </c>
      <c r="AH2567" s="1">
        <v>67</v>
      </c>
      <c r="AI2567" s="1">
        <v>75</v>
      </c>
      <c r="AJ2567" s="1">
        <v>0</v>
      </c>
      <c r="AK2567" s="1">
        <v>12</v>
      </c>
      <c r="AL2567" s="1" t="s">
        <v>136</v>
      </c>
      <c r="AM2567" s="1" t="s">
        <v>137</v>
      </c>
      <c r="AN2567" s="1" t="s">
        <v>138</v>
      </c>
      <c r="AO2567" s="1" t="s">
        <v>139</v>
      </c>
      <c r="AP2567" s="1" t="s">
        <v>74</v>
      </c>
      <c r="AQ2567" s="1" t="s">
        <v>74</v>
      </c>
      <c r="AR2567" s="1" t="s">
        <v>127</v>
      </c>
      <c r="AS2567" s="1" t="s">
        <v>141</v>
      </c>
      <c r="AT2567" s="1" t="s">
        <v>1223</v>
      </c>
      <c r="AU2567" s="1">
        <v>2005</v>
      </c>
      <c r="AV2567" s="1">
        <v>58</v>
      </c>
      <c r="AW2567" s="1">
        <v>10</v>
      </c>
      <c r="AX2567" s="1" t="s">
        <v>74</v>
      </c>
      <c r="AY2567" s="1" t="s">
        <v>74</v>
      </c>
      <c r="AZ2567" s="1" t="s">
        <v>74</v>
      </c>
      <c r="BA2567" s="1" t="s">
        <v>74</v>
      </c>
      <c r="BB2567" s="1">
        <v>1421</v>
      </c>
      <c r="BC2567" s="1">
        <v>1430</v>
      </c>
      <c r="BD2567" s="1" t="s">
        <v>74</v>
      </c>
      <c r="BE2567" s="1" t="s">
        <v>40973</v>
      </c>
      <c r="BF2567" s="1" t="str">
        <f>HYPERLINK("http://dx.doi.org/10.1016/j.chemosphere.2004.09.093","http://dx.doi.org/10.1016/j.chemosphere.2004.09.093")</f>
        <v>http://dx.doi.org/10.1016/j.chemosphere.2004.09.093</v>
      </c>
      <c r="BG2567" s="1" t="s">
        <v>74</v>
      </c>
      <c r="BH2567" s="1" t="s">
        <v>74</v>
      </c>
      <c r="BI2567" s="1">
        <v>10</v>
      </c>
      <c r="BJ2567" s="1" t="s">
        <v>144</v>
      </c>
      <c r="BK2567" s="1" t="s">
        <v>96</v>
      </c>
      <c r="BL2567" s="1" t="s">
        <v>145</v>
      </c>
      <c r="BM2567" s="1" t="s">
        <v>40974</v>
      </c>
      <c r="BN2567" s="1">
        <v>15686761</v>
      </c>
      <c r="BO2567" s="1" t="s">
        <v>74</v>
      </c>
      <c r="BP2567" s="1" t="s">
        <v>74</v>
      </c>
      <c r="BQ2567" s="1" t="s">
        <v>74</v>
      </c>
      <c r="BR2567" s="1" t="s">
        <v>98</v>
      </c>
      <c r="BS2567" s="1" t="s">
        <v>40975</v>
      </c>
      <c r="BT2567" s="1" t="str">
        <f>HYPERLINK("https%3A%2F%2Fwww.webofscience.com%2Fwos%2Fwoscc%2Ffull-record%2FWOS:000227589200014","View Full Record in Web of Science")</f>
        <v>View Full Record in Web of Science</v>
      </c>
      <c r="BU2567" s="1"/>
      <c r="BV2567" s="1"/>
    </row>
    <row r="2568" spans="1:74">
      <c r="A2568" s="1" t="s">
        <v>72</v>
      </c>
      <c r="B2568" s="1" t="s">
        <v>40976</v>
      </c>
      <c r="C2568" s="1" t="s">
        <v>74</v>
      </c>
      <c r="D2568" s="1" t="s">
        <v>74</v>
      </c>
      <c r="E2568" s="1" t="s">
        <v>74</v>
      </c>
      <c r="F2568" s="1" t="s">
        <v>40977</v>
      </c>
      <c r="G2568" s="1" t="s">
        <v>74</v>
      </c>
      <c r="H2568" s="1" t="s">
        <v>74</v>
      </c>
      <c r="I2568" s="1" t="s">
        <v>40978</v>
      </c>
      <c r="J2568" s="1" t="s">
        <v>204</v>
      </c>
      <c r="K2568" s="1" t="s">
        <v>74</v>
      </c>
      <c r="L2568" s="1" t="s">
        <v>74</v>
      </c>
      <c r="M2568" s="1" t="s">
        <v>78</v>
      </c>
      <c r="N2568" s="1" t="s">
        <v>79</v>
      </c>
      <c r="O2568" s="1" t="s">
        <v>74</v>
      </c>
      <c r="P2568" s="1" t="s">
        <v>74</v>
      </c>
      <c r="Q2568" s="1" t="s">
        <v>74</v>
      </c>
      <c r="R2568" s="1" t="s">
        <v>74</v>
      </c>
      <c r="S2568" s="1" t="s">
        <v>74</v>
      </c>
      <c r="T2568" s="1" t="s">
        <v>40979</v>
      </c>
      <c r="U2568" s="1" t="s">
        <v>40980</v>
      </c>
      <c r="V2568" s="1" t="s">
        <v>40981</v>
      </c>
      <c r="W2568" s="1" t="s">
        <v>40982</v>
      </c>
      <c r="X2568" s="1" t="s">
        <v>40983</v>
      </c>
      <c r="Y2568" s="1" t="s">
        <v>40984</v>
      </c>
      <c r="Z2568" s="1" t="s">
        <v>40985</v>
      </c>
      <c r="AA2568" s="1" t="s">
        <v>74</v>
      </c>
      <c r="AB2568" s="1" t="s">
        <v>74</v>
      </c>
      <c r="AC2568" s="1" t="s">
        <v>40986</v>
      </c>
      <c r="AD2568" s="1" t="s">
        <v>40986</v>
      </c>
      <c r="AE2568" s="1" t="s">
        <v>40987</v>
      </c>
      <c r="AF2568" s="1" t="s">
        <v>74</v>
      </c>
      <c r="AG2568" s="1">
        <v>42</v>
      </c>
      <c r="AH2568" s="1">
        <v>0</v>
      </c>
      <c r="AI2568" s="1">
        <v>0</v>
      </c>
      <c r="AJ2568" s="1">
        <v>9</v>
      </c>
      <c r="AK2568" s="1">
        <v>9</v>
      </c>
      <c r="AL2568" s="1" t="s">
        <v>217</v>
      </c>
      <c r="AM2568" s="1" t="s">
        <v>218</v>
      </c>
      <c r="AN2568" s="1" t="s">
        <v>219</v>
      </c>
      <c r="AO2568" s="1" t="s">
        <v>220</v>
      </c>
      <c r="AP2568" s="1" t="s">
        <v>221</v>
      </c>
      <c r="AQ2568" s="1" t="s">
        <v>74</v>
      </c>
      <c r="AR2568" s="1" t="s">
        <v>222</v>
      </c>
      <c r="AS2568" s="1" t="s">
        <v>223</v>
      </c>
      <c r="AT2568" s="1" t="s">
        <v>197</v>
      </c>
      <c r="AU2568" s="1">
        <v>2023</v>
      </c>
      <c r="AV2568" s="1">
        <v>30</v>
      </c>
      <c r="AW2568" s="1">
        <v>58</v>
      </c>
      <c r="AX2568" s="1" t="s">
        <v>74</v>
      </c>
      <c r="AY2568" s="1" t="s">
        <v>74</v>
      </c>
      <c r="AZ2568" s="1" t="s">
        <v>74</v>
      </c>
      <c r="BA2568" s="1" t="s">
        <v>74</v>
      </c>
      <c r="BB2568" s="1">
        <v>121475</v>
      </c>
      <c r="BC2568" s="1">
        <v>121486</v>
      </c>
      <c r="BD2568" s="1" t="s">
        <v>74</v>
      </c>
      <c r="BE2568" s="1" t="s">
        <v>40988</v>
      </c>
      <c r="BF2568" s="1" t="str">
        <f>HYPERLINK("http://dx.doi.org/10.1007/s11356-023-30781-5","http://dx.doi.org/10.1007/s11356-023-30781-5")</f>
        <v>http://dx.doi.org/10.1007/s11356-023-30781-5</v>
      </c>
      <c r="BG2568" s="1" t="s">
        <v>74</v>
      </c>
      <c r="BH2568" s="1" t="s">
        <v>74</v>
      </c>
      <c r="BI2568" s="1">
        <v>12</v>
      </c>
      <c r="BJ2568" s="1" t="s">
        <v>144</v>
      </c>
      <c r="BK2568" s="1" t="s">
        <v>96</v>
      </c>
      <c r="BL2568" s="1" t="s">
        <v>145</v>
      </c>
      <c r="BM2568" s="1" t="s">
        <v>40989</v>
      </c>
      <c r="BN2568" s="1">
        <v>37950780</v>
      </c>
      <c r="BO2568" s="1" t="s">
        <v>74</v>
      </c>
      <c r="BP2568" s="1" t="s">
        <v>74</v>
      </c>
      <c r="BQ2568" s="1" t="s">
        <v>74</v>
      </c>
      <c r="BR2568" s="1" t="s">
        <v>98</v>
      </c>
      <c r="BS2568" s="1" t="s">
        <v>40990</v>
      </c>
      <c r="BT2568" s="1" t="str">
        <f>HYPERLINK("https%3A%2F%2Fwww.webofscience.com%2Fwos%2Fwoscc%2Ffull-record%2FWOS:001142618000031","View Full Record in Web of Science")</f>
        <v>View Full Record in Web of Science</v>
      </c>
      <c r="BU2568" s="1"/>
      <c r="BV2568" s="1"/>
    </row>
    <row r="2569" spans="1:74">
      <c r="A2569" s="1" t="s">
        <v>72</v>
      </c>
      <c r="B2569" s="1" t="s">
        <v>40991</v>
      </c>
      <c r="C2569" s="1" t="s">
        <v>74</v>
      </c>
      <c r="D2569" s="1" t="s">
        <v>74</v>
      </c>
      <c r="E2569" s="1" t="s">
        <v>74</v>
      </c>
      <c r="F2569" s="1" t="s">
        <v>40991</v>
      </c>
      <c r="G2569" s="1" t="s">
        <v>74</v>
      </c>
      <c r="H2569" s="1" t="s">
        <v>74</v>
      </c>
      <c r="I2569" s="1" t="s">
        <v>40992</v>
      </c>
      <c r="J2569" s="1" t="s">
        <v>232</v>
      </c>
      <c r="K2569" s="1" t="s">
        <v>74</v>
      </c>
      <c r="L2569" s="1" t="s">
        <v>74</v>
      </c>
      <c r="M2569" s="1" t="s">
        <v>78</v>
      </c>
      <c r="N2569" s="1" t="s">
        <v>79</v>
      </c>
      <c r="O2569" s="1" t="s">
        <v>74</v>
      </c>
      <c r="P2569" s="1" t="s">
        <v>74</v>
      </c>
      <c r="Q2569" s="1" t="s">
        <v>74</v>
      </c>
      <c r="R2569" s="1" t="s">
        <v>74</v>
      </c>
      <c r="S2569" s="1" t="s">
        <v>74</v>
      </c>
      <c r="T2569" s="1" t="s">
        <v>40993</v>
      </c>
      <c r="U2569" s="1" t="s">
        <v>40994</v>
      </c>
      <c r="V2569" s="1" t="s">
        <v>40995</v>
      </c>
      <c r="W2569" s="1" t="s">
        <v>40996</v>
      </c>
      <c r="X2569" s="1" t="s">
        <v>40997</v>
      </c>
      <c r="Y2569" s="1" t="s">
        <v>40998</v>
      </c>
      <c r="Z2569" s="1" t="s">
        <v>40999</v>
      </c>
      <c r="AA2569" s="1" t="s">
        <v>74</v>
      </c>
      <c r="AB2569" s="1" t="s">
        <v>74</v>
      </c>
      <c r="AC2569" s="1" t="s">
        <v>74</v>
      </c>
      <c r="AD2569" s="1" t="s">
        <v>74</v>
      </c>
      <c r="AE2569" s="1" t="s">
        <v>74</v>
      </c>
      <c r="AF2569" s="1" t="s">
        <v>74</v>
      </c>
      <c r="AG2569" s="1">
        <v>29</v>
      </c>
      <c r="AH2569" s="1">
        <v>55</v>
      </c>
      <c r="AI2569" s="1">
        <v>64</v>
      </c>
      <c r="AJ2569" s="1">
        <v>2</v>
      </c>
      <c r="AK2569" s="1">
        <v>59</v>
      </c>
      <c r="AL2569" s="1" t="s">
        <v>136</v>
      </c>
      <c r="AM2569" s="1" t="s">
        <v>137</v>
      </c>
      <c r="AN2569" s="1" t="s">
        <v>138</v>
      </c>
      <c r="AO2569" s="1" t="s">
        <v>240</v>
      </c>
      <c r="AP2569" s="1" t="s">
        <v>241</v>
      </c>
      <c r="AQ2569" s="1" t="s">
        <v>74</v>
      </c>
      <c r="AR2569" s="1" t="s">
        <v>242</v>
      </c>
      <c r="AS2569" s="1" t="s">
        <v>243</v>
      </c>
      <c r="AT2569" s="1" t="s">
        <v>1223</v>
      </c>
      <c r="AU2569" s="1">
        <v>2004</v>
      </c>
      <c r="AV2569" s="1">
        <v>48</v>
      </c>
      <c r="AW2569" s="1" t="s">
        <v>2706</v>
      </c>
      <c r="AX2569" s="1" t="s">
        <v>74</v>
      </c>
      <c r="AY2569" s="1" t="s">
        <v>74</v>
      </c>
      <c r="AZ2569" s="1" t="s">
        <v>74</v>
      </c>
      <c r="BA2569" s="1" t="s">
        <v>74</v>
      </c>
      <c r="BB2569" s="1">
        <v>434</v>
      </c>
      <c r="BC2569" s="1">
        <v>440</v>
      </c>
      <c r="BD2569" s="1" t="s">
        <v>74</v>
      </c>
      <c r="BE2569" s="1" t="s">
        <v>41000</v>
      </c>
      <c r="BF2569" s="1" t="str">
        <f>HYPERLINK("http://dx.doi.org/10.1016/j.marpolbul.2003.08.018","http://dx.doi.org/10.1016/j.marpolbul.2003.08.018")</f>
        <v>http://dx.doi.org/10.1016/j.marpolbul.2003.08.018</v>
      </c>
      <c r="BG2569" s="1" t="s">
        <v>74</v>
      </c>
      <c r="BH2569" s="1" t="s">
        <v>74</v>
      </c>
      <c r="BI2569" s="1">
        <v>7</v>
      </c>
      <c r="BJ2569" s="1" t="s">
        <v>247</v>
      </c>
      <c r="BK2569" s="1" t="s">
        <v>96</v>
      </c>
      <c r="BL2569" s="1" t="s">
        <v>248</v>
      </c>
      <c r="BM2569" s="1" t="s">
        <v>20246</v>
      </c>
      <c r="BN2569" s="1">
        <v>14980459</v>
      </c>
      <c r="BO2569" s="1" t="s">
        <v>74</v>
      </c>
      <c r="BP2569" s="1" t="s">
        <v>74</v>
      </c>
      <c r="BQ2569" s="1" t="s">
        <v>74</v>
      </c>
      <c r="BR2569" s="1" t="s">
        <v>98</v>
      </c>
      <c r="BS2569" s="1" t="s">
        <v>41001</v>
      </c>
      <c r="BT2569" s="1" t="str">
        <f>HYPERLINK("https%3A%2F%2Fwww.webofscience.com%2Fwos%2Fwoscc%2Ffull-record%2FWOS:000220131500017","View Full Record in Web of Science")</f>
        <v>View Full Record in Web of Science</v>
      </c>
      <c r="BU2569" s="1"/>
      <c r="BV2569" s="1"/>
    </row>
    <row r="2570" spans="1:74">
      <c r="A2570" s="1" t="s">
        <v>72</v>
      </c>
      <c r="B2570" s="1" t="s">
        <v>41002</v>
      </c>
      <c r="C2570" s="1" t="s">
        <v>74</v>
      </c>
      <c r="D2570" s="1" t="s">
        <v>74</v>
      </c>
      <c r="E2570" s="1" t="s">
        <v>74</v>
      </c>
      <c r="F2570" s="1" t="s">
        <v>41003</v>
      </c>
      <c r="G2570" s="1" t="s">
        <v>74</v>
      </c>
      <c r="H2570" s="1" t="s">
        <v>74</v>
      </c>
      <c r="I2570" s="1" t="s">
        <v>41004</v>
      </c>
      <c r="J2570" s="1" t="s">
        <v>421</v>
      </c>
      <c r="K2570" s="1" t="s">
        <v>74</v>
      </c>
      <c r="L2570" s="1" t="s">
        <v>74</v>
      </c>
      <c r="M2570" s="1" t="s">
        <v>78</v>
      </c>
      <c r="N2570" s="1" t="s">
        <v>79</v>
      </c>
      <c r="O2570" s="1" t="s">
        <v>74</v>
      </c>
      <c r="P2570" s="1" t="s">
        <v>74</v>
      </c>
      <c r="Q2570" s="1" t="s">
        <v>74</v>
      </c>
      <c r="R2570" s="1" t="s">
        <v>74</v>
      </c>
      <c r="S2570" s="1" t="s">
        <v>74</v>
      </c>
      <c r="T2570" s="1" t="s">
        <v>41005</v>
      </c>
      <c r="U2570" s="1" t="s">
        <v>41006</v>
      </c>
      <c r="V2570" s="1" t="s">
        <v>41007</v>
      </c>
      <c r="W2570" s="1" t="s">
        <v>41008</v>
      </c>
      <c r="X2570" s="1" t="s">
        <v>41009</v>
      </c>
      <c r="Y2570" s="1" t="s">
        <v>41010</v>
      </c>
      <c r="Z2570" s="1" t="s">
        <v>41011</v>
      </c>
      <c r="AA2570" s="1" t="s">
        <v>41012</v>
      </c>
      <c r="AB2570" s="1" t="s">
        <v>74</v>
      </c>
      <c r="AC2570" s="1" t="s">
        <v>41013</v>
      </c>
      <c r="AD2570" s="1" t="s">
        <v>41014</v>
      </c>
      <c r="AE2570" s="1" t="s">
        <v>41015</v>
      </c>
      <c r="AF2570" s="1" t="s">
        <v>74</v>
      </c>
      <c r="AG2570" s="1">
        <v>34</v>
      </c>
      <c r="AH2570" s="1">
        <v>4</v>
      </c>
      <c r="AI2570" s="1">
        <v>5</v>
      </c>
      <c r="AJ2570" s="1">
        <v>12</v>
      </c>
      <c r="AK2570" s="1">
        <v>58</v>
      </c>
      <c r="AL2570" s="1" t="s">
        <v>430</v>
      </c>
      <c r="AM2570" s="1" t="s">
        <v>137</v>
      </c>
      <c r="AN2570" s="1" t="s">
        <v>431</v>
      </c>
      <c r="AO2570" s="1" t="s">
        <v>432</v>
      </c>
      <c r="AP2570" s="1" t="s">
        <v>1394</v>
      </c>
      <c r="AQ2570" s="1" t="s">
        <v>74</v>
      </c>
      <c r="AR2570" s="1" t="s">
        <v>433</v>
      </c>
      <c r="AS2570" s="1" t="s">
        <v>434</v>
      </c>
      <c r="AT2570" s="1" t="s">
        <v>11873</v>
      </c>
      <c r="AU2570" s="1">
        <v>2023</v>
      </c>
      <c r="AV2570" s="1">
        <v>316</v>
      </c>
      <c r="AW2570" s="1" t="s">
        <v>74</v>
      </c>
      <c r="AX2570" s="1">
        <v>1</v>
      </c>
      <c r="AY2570" s="1" t="s">
        <v>74</v>
      </c>
      <c r="AZ2570" s="1" t="s">
        <v>74</v>
      </c>
      <c r="BA2570" s="1" t="s">
        <v>74</v>
      </c>
      <c r="BB2570" s="1" t="s">
        <v>74</v>
      </c>
      <c r="BC2570" s="1" t="s">
        <v>74</v>
      </c>
      <c r="BD2570" s="1">
        <v>120458</v>
      </c>
      <c r="BE2570" s="1" t="s">
        <v>41016</v>
      </c>
      <c r="BF2570" s="1" t="str">
        <f>HYPERLINK("http://dx.doi.org/10.1016/j.envpol.2022.120458","http://dx.doi.org/10.1016/j.envpol.2022.120458")</f>
        <v>http://dx.doi.org/10.1016/j.envpol.2022.120458</v>
      </c>
      <c r="BG2570" s="1" t="s">
        <v>74</v>
      </c>
      <c r="BH2570" s="1" t="s">
        <v>19875</v>
      </c>
      <c r="BI2570" s="1">
        <v>8</v>
      </c>
      <c r="BJ2570" s="1" t="s">
        <v>144</v>
      </c>
      <c r="BK2570" s="1" t="s">
        <v>96</v>
      </c>
      <c r="BL2570" s="1" t="s">
        <v>145</v>
      </c>
      <c r="BM2570" s="1" t="s">
        <v>41017</v>
      </c>
      <c r="BN2570" s="1">
        <v>36270569</v>
      </c>
      <c r="BO2570" s="1" t="s">
        <v>370</v>
      </c>
      <c r="BP2570" s="1" t="s">
        <v>74</v>
      </c>
      <c r="BQ2570" s="1" t="s">
        <v>74</v>
      </c>
      <c r="BR2570" s="1" t="s">
        <v>98</v>
      </c>
      <c r="BS2570" s="1" t="s">
        <v>41018</v>
      </c>
      <c r="BT2570" s="1" t="str">
        <f>HYPERLINK("https%3A%2F%2Fwww.webofscience.com%2Fwos%2Fwoscc%2Ffull-record%2FWOS:000881777200005","View Full Record in Web of Science")</f>
        <v>View Full Record in Web of Science</v>
      </c>
      <c r="BU2570" s="1"/>
      <c r="BV2570" s="1"/>
    </row>
    <row r="2571" spans="1:74">
      <c r="A2571" s="1" t="s">
        <v>72</v>
      </c>
      <c r="B2571" s="1" t="s">
        <v>41019</v>
      </c>
      <c r="C2571" s="1" t="s">
        <v>74</v>
      </c>
      <c r="D2571" s="1" t="s">
        <v>74</v>
      </c>
      <c r="E2571" s="1" t="s">
        <v>74</v>
      </c>
      <c r="F2571" s="1" t="s">
        <v>41020</v>
      </c>
      <c r="G2571" s="1" t="s">
        <v>74</v>
      </c>
      <c r="H2571" s="1" t="s">
        <v>74</v>
      </c>
      <c r="I2571" s="1" t="s">
        <v>41021</v>
      </c>
      <c r="J2571" s="1" t="s">
        <v>6630</v>
      </c>
      <c r="K2571" s="1" t="s">
        <v>74</v>
      </c>
      <c r="L2571" s="1" t="s">
        <v>74</v>
      </c>
      <c r="M2571" s="1" t="s">
        <v>78</v>
      </c>
      <c r="N2571" s="1" t="s">
        <v>79</v>
      </c>
      <c r="O2571" s="1" t="s">
        <v>74</v>
      </c>
      <c r="P2571" s="1" t="s">
        <v>74</v>
      </c>
      <c r="Q2571" s="1" t="s">
        <v>74</v>
      </c>
      <c r="R2571" s="1" t="s">
        <v>74</v>
      </c>
      <c r="S2571" s="1" t="s">
        <v>74</v>
      </c>
      <c r="T2571" s="1" t="s">
        <v>41022</v>
      </c>
      <c r="U2571" s="1" t="s">
        <v>41023</v>
      </c>
      <c r="V2571" s="1" t="s">
        <v>41024</v>
      </c>
      <c r="W2571" s="1" t="s">
        <v>41025</v>
      </c>
      <c r="X2571" s="1" t="s">
        <v>41026</v>
      </c>
      <c r="Y2571" s="1" t="s">
        <v>41027</v>
      </c>
      <c r="Z2571" s="1" t="s">
        <v>41028</v>
      </c>
      <c r="AA2571" s="1" t="s">
        <v>41029</v>
      </c>
      <c r="AB2571" s="1" t="s">
        <v>41030</v>
      </c>
      <c r="AC2571" s="1" t="s">
        <v>41031</v>
      </c>
      <c r="AD2571" s="1" t="s">
        <v>41031</v>
      </c>
      <c r="AE2571" s="1" t="s">
        <v>41032</v>
      </c>
      <c r="AF2571" s="1" t="s">
        <v>74</v>
      </c>
      <c r="AG2571" s="1">
        <v>44</v>
      </c>
      <c r="AH2571" s="1">
        <v>97</v>
      </c>
      <c r="AI2571" s="1">
        <v>100</v>
      </c>
      <c r="AJ2571" s="1">
        <v>6</v>
      </c>
      <c r="AK2571" s="1">
        <v>155</v>
      </c>
      <c r="AL2571" s="1" t="s">
        <v>408</v>
      </c>
      <c r="AM2571" s="1" t="s">
        <v>409</v>
      </c>
      <c r="AN2571" s="1" t="s">
        <v>1188</v>
      </c>
      <c r="AO2571" s="1" t="s">
        <v>6642</v>
      </c>
      <c r="AP2571" s="1" t="s">
        <v>6643</v>
      </c>
      <c r="AQ2571" s="1" t="s">
        <v>74</v>
      </c>
      <c r="AR2571" s="1" t="s">
        <v>6644</v>
      </c>
      <c r="AS2571" s="1" t="s">
        <v>6645</v>
      </c>
      <c r="AT2571" s="1" t="s">
        <v>21461</v>
      </c>
      <c r="AU2571" s="1">
        <v>2019</v>
      </c>
      <c r="AV2571" s="1">
        <v>82</v>
      </c>
      <c r="AW2571" s="1">
        <v>10</v>
      </c>
      <c r="AX2571" s="1" t="s">
        <v>74</v>
      </c>
      <c r="AY2571" s="1" t="s">
        <v>74</v>
      </c>
      <c r="AZ2571" s="1" t="s">
        <v>74</v>
      </c>
      <c r="BA2571" s="1" t="s">
        <v>74</v>
      </c>
      <c r="BB2571" s="1">
        <v>616</v>
      </c>
      <c r="BC2571" s="1">
        <v>625</v>
      </c>
      <c r="BD2571" s="1" t="s">
        <v>74</v>
      </c>
      <c r="BE2571" s="1" t="s">
        <v>41033</v>
      </c>
      <c r="BF2571" s="1" t="str">
        <f>HYPERLINK("http://dx.doi.org/10.1080/15287394.2019.1633451","http://dx.doi.org/10.1080/15287394.2019.1633451")</f>
        <v>http://dx.doi.org/10.1080/15287394.2019.1633451</v>
      </c>
      <c r="BG2571" s="1" t="s">
        <v>74</v>
      </c>
      <c r="BH2571" s="1" t="s">
        <v>41034</v>
      </c>
      <c r="BI2571" s="1">
        <v>10</v>
      </c>
      <c r="BJ2571" s="1" t="s">
        <v>5162</v>
      </c>
      <c r="BK2571" s="1" t="s">
        <v>96</v>
      </c>
      <c r="BL2571" s="1" t="s">
        <v>5163</v>
      </c>
      <c r="BM2571" s="1" t="s">
        <v>41035</v>
      </c>
      <c r="BN2571" s="1">
        <v>31232673</v>
      </c>
      <c r="BO2571" s="1" t="s">
        <v>1270</v>
      </c>
      <c r="BP2571" s="1" t="s">
        <v>74</v>
      </c>
      <c r="BQ2571" s="1" t="s">
        <v>74</v>
      </c>
      <c r="BR2571" s="1" t="s">
        <v>98</v>
      </c>
      <c r="BS2571" s="1" t="s">
        <v>41036</v>
      </c>
      <c r="BT2571" s="1" t="str">
        <f>HYPERLINK("https%3A%2F%2Fwww.webofscience.com%2Fwos%2Fwoscc%2Ffull-record%2FWOS:000473054100001","View Full Record in Web of Science")</f>
        <v>View Full Record in Web of Science</v>
      </c>
      <c r="BU2571" s="1"/>
      <c r="BV2571" s="1"/>
    </row>
    <row r="2572" spans="1:74">
      <c r="A2572" s="1" t="s">
        <v>72</v>
      </c>
      <c r="B2572" s="1" t="s">
        <v>41037</v>
      </c>
      <c r="C2572" s="1" t="s">
        <v>74</v>
      </c>
      <c r="D2572" s="1" t="s">
        <v>74</v>
      </c>
      <c r="E2572" s="1" t="s">
        <v>74</v>
      </c>
      <c r="F2572" s="1" t="s">
        <v>41038</v>
      </c>
      <c r="G2572" s="1" t="s">
        <v>74</v>
      </c>
      <c r="H2572" s="1" t="s">
        <v>74</v>
      </c>
      <c r="I2572" s="1" t="s">
        <v>41039</v>
      </c>
      <c r="J2572" s="1" t="s">
        <v>1948</v>
      </c>
      <c r="K2572" s="1" t="s">
        <v>74</v>
      </c>
      <c r="L2572" s="1" t="s">
        <v>74</v>
      </c>
      <c r="M2572" s="1" t="s">
        <v>78</v>
      </c>
      <c r="N2572" s="1" t="s">
        <v>79</v>
      </c>
      <c r="O2572" s="1" t="s">
        <v>74</v>
      </c>
      <c r="P2572" s="1" t="s">
        <v>74</v>
      </c>
      <c r="Q2572" s="1" t="s">
        <v>74</v>
      </c>
      <c r="R2572" s="1" t="s">
        <v>74</v>
      </c>
      <c r="S2572" s="1" t="s">
        <v>74</v>
      </c>
      <c r="T2572" s="1" t="s">
        <v>41040</v>
      </c>
      <c r="U2572" s="1" t="s">
        <v>41041</v>
      </c>
      <c r="V2572" s="1" t="s">
        <v>41042</v>
      </c>
      <c r="W2572" s="1" t="s">
        <v>41043</v>
      </c>
      <c r="X2572" s="1" t="s">
        <v>41044</v>
      </c>
      <c r="Y2572" s="1" t="s">
        <v>41045</v>
      </c>
      <c r="Z2572" s="1" t="s">
        <v>41046</v>
      </c>
      <c r="AA2572" s="1" t="s">
        <v>41047</v>
      </c>
      <c r="AB2572" s="1" t="s">
        <v>41048</v>
      </c>
      <c r="AC2572" s="1" t="s">
        <v>41049</v>
      </c>
      <c r="AD2572" s="1" t="s">
        <v>41050</v>
      </c>
      <c r="AE2572" s="1" t="s">
        <v>41051</v>
      </c>
      <c r="AF2572" s="1" t="s">
        <v>74</v>
      </c>
      <c r="AG2572" s="1">
        <v>69</v>
      </c>
      <c r="AH2572" s="1">
        <v>31</v>
      </c>
      <c r="AI2572" s="1">
        <v>32</v>
      </c>
      <c r="AJ2572" s="1">
        <v>6</v>
      </c>
      <c r="AK2572" s="1">
        <v>50</v>
      </c>
      <c r="AL2572" s="1" t="s">
        <v>430</v>
      </c>
      <c r="AM2572" s="1" t="s">
        <v>137</v>
      </c>
      <c r="AN2572" s="1" t="s">
        <v>431</v>
      </c>
      <c r="AO2572" s="1" t="s">
        <v>1961</v>
      </c>
      <c r="AP2572" s="1" t="s">
        <v>1962</v>
      </c>
      <c r="AQ2572" s="1" t="s">
        <v>74</v>
      </c>
      <c r="AR2572" s="1" t="s">
        <v>1963</v>
      </c>
      <c r="AS2572" s="1" t="s">
        <v>1964</v>
      </c>
      <c r="AT2572" s="1" t="s">
        <v>37256</v>
      </c>
      <c r="AU2572" s="1">
        <v>2020</v>
      </c>
      <c r="AV2572" s="1">
        <v>265</v>
      </c>
      <c r="AW2572" s="1" t="s">
        <v>74</v>
      </c>
      <c r="AX2572" s="1" t="s">
        <v>74</v>
      </c>
      <c r="AY2572" s="1" t="s">
        <v>74</v>
      </c>
      <c r="AZ2572" s="1" t="s">
        <v>74</v>
      </c>
      <c r="BA2572" s="1" t="s">
        <v>74</v>
      </c>
      <c r="BB2572" s="1" t="s">
        <v>74</v>
      </c>
      <c r="BC2572" s="1" t="s">
        <v>74</v>
      </c>
      <c r="BD2572" s="1">
        <v>121665</v>
      </c>
      <c r="BE2572" s="1" t="s">
        <v>41052</v>
      </c>
      <c r="BF2572" s="1" t="str">
        <f>HYPERLINK("http://dx.doi.org/10.1016/j.jclepro.2020.121665","http://dx.doi.org/10.1016/j.jclepro.2020.121665")</f>
        <v>http://dx.doi.org/10.1016/j.jclepro.2020.121665</v>
      </c>
      <c r="BG2572" s="1" t="s">
        <v>74</v>
      </c>
      <c r="BH2572" s="1" t="s">
        <v>74</v>
      </c>
      <c r="BI2572" s="1">
        <v>16</v>
      </c>
      <c r="BJ2572" s="1" t="s">
        <v>1967</v>
      </c>
      <c r="BK2572" s="1" t="s">
        <v>96</v>
      </c>
      <c r="BL2572" s="1" t="s">
        <v>1968</v>
      </c>
      <c r="BM2572" s="1" t="s">
        <v>41053</v>
      </c>
      <c r="BN2572" s="1" t="s">
        <v>74</v>
      </c>
      <c r="BO2572" s="1" t="s">
        <v>9583</v>
      </c>
      <c r="BP2572" s="1" t="s">
        <v>74</v>
      </c>
      <c r="BQ2572" s="1" t="s">
        <v>74</v>
      </c>
      <c r="BR2572" s="1" t="s">
        <v>98</v>
      </c>
      <c r="BS2572" s="1" t="s">
        <v>41054</v>
      </c>
      <c r="BT2572" s="1" t="str">
        <f>HYPERLINK("https%3A%2F%2Fwww.webofscience.com%2Fwos%2Fwoscc%2Ffull-record%2FWOS:000540217900002","View Full Record in Web of Science")</f>
        <v>View Full Record in Web of Science</v>
      </c>
      <c r="BU2572" s="1"/>
      <c r="BV2572" s="1"/>
    </row>
    <row r="2573" spans="1:74">
      <c r="A2573" s="1" t="s">
        <v>72</v>
      </c>
      <c r="B2573" s="1" t="s">
        <v>41055</v>
      </c>
      <c r="C2573" s="1" t="s">
        <v>74</v>
      </c>
      <c r="D2573" s="1" t="s">
        <v>74</v>
      </c>
      <c r="E2573" s="1" t="s">
        <v>74</v>
      </c>
      <c r="F2573" s="1" t="s">
        <v>41056</v>
      </c>
      <c r="G2573" s="1" t="s">
        <v>74</v>
      </c>
      <c r="H2573" s="1" t="s">
        <v>74</v>
      </c>
      <c r="I2573" s="1" t="s">
        <v>41057</v>
      </c>
      <c r="J2573" s="1" t="s">
        <v>752</v>
      </c>
      <c r="K2573" s="1" t="s">
        <v>74</v>
      </c>
      <c r="L2573" s="1" t="s">
        <v>74</v>
      </c>
      <c r="M2573" s="1" t="s">
        <v>78</v>
      </c>
      <c r="N2573" s="1" t="s">
        <v>79</v>
      </c>
      <c r="O2573" s="1" t="s">
        <v>74</v>
      </c>
      <c r="P2573" s="1" t="s">
        <v>74</v>
      </c>
      <c r="Q2573" s="1" t="s">
        <v>74</v>
      </c>
      <c r="R2573" s="1" t="s">
        <v>74</v>
      </c>
      <c r="S2573" s="1" t="s">
        <v>74</v>
      </c>
      <c r="T2573" s="1" t="s">
        <v>41058</v>
      </c>
      <c r="U2573" s="1" t="s">
        <v>41059</v>
      </c>
      <c r="V2573" s="1" t="s">
        <v>41060</v>
      </c>
      <c r="W2573" s="1" t="s">
        <v>41061</v>
      </c>
      <c r="X2573" s="1" t="s">
        <v>41062</v>
      </c>
      <c r="Y2573" s="1" t="s">
        <v>41063</v>
      </c>
      <c r="Z2573" s="1" t="s">
        <v>41064</v>
      </c>
      <c r="AA2573" s="1" t="s">
        <v>41065</v>
      </c>
      <c r="AB2573" s="1" t="s">
        <v>41066</v>
      </c>
      <c r="AC2573" s="1" t="s">
        <v>41067</v>
      </c>
      <c r="AD2573" s="1" t="s">
        <v>41068</v>
      </c>
      <c r="AE2573" s="1" t="s">
        <v>41069</v>
      </c>
      <c r="AF2573" s="1" t="s">
        <v>74</v>
      </c>
      <c r="AG2573" s="1">
        <v>58</v>
      </c>
      <c r="AH2573" s="1">
        <v>20</v>
      </c>
      <c r="AI2573" s="1">
        <v>20</v>
      </c>
      <c r="AJ2573" s="1">
        <v>0</v>
      </c>
      <c r="AK2573" s="1">
        <v>11</v>
      </c>
      <c r="AL2573" s="1" t="s">
        <v>430</v>
      </c>
      <c r="AM2573" s="1" t="s">
        <v>137</v>
      </c>
      <c r="AN2573" s="1" t="s">
        <v>431</v>
      </c>
      <c r="AO2573" s="1" t="s">
        <v>761</v>
      </c>
      <c r="AP2573" s="1" t="s">
        <v>762</v>
      </c>
      <c r="AQ2573" s="1" t="s">
        <v>74</v>
      </c>
      <c r="AR2573" s="1" t="s">
        <v>763</v>
      </c>
      <c r="AS2573" s="1" t="s">
        <v>764</v>
      </c>
      <c r="AT2573" s="1" t="s">
        <v>170</v>
      </c>
      <c r="AU2573" s="1">
        <v>2021</v>
      </c>
      <c r="AV2573" s="1">
        <v>167</v>
      </c>
      <c r="AW2573" s="1" t="s">
        <v>74</v>
      </c>
      <c r="AX2573" s="1" t="s">
        <v>74</v>
      </c>
      <c r="AY2573" s="1" t="s">
        <v>74</v>
      </c>
      <c r="AZ2573" s="1" t="s">
        <v>74</v>
      </c>
      <c r="BA2573" s="1" t="s">
        <v>74</v>
      </c>
      <c r="BB2573" s="1" t="s">
        <v>74</v>
      </c>
      <c r="BC2573" s="1" t="s">
        <v>74</v>
      </c>
      <c r="BD2573" s="1">
        <v>105264</v>
      </c>
      <c r="BE2573" s="1" t="s">
        <v>41070</v>
      </c>
      <c r="BF2573" s="1" t="str">
        <f>HYPERLINK("http://dx.doi.org/10.1016/j.marenvres.2021.105264","http://dx.doi.org/10.1016/j.marenvres.2021.105264")</f>
        <v>http://dx.doi.org/10.1016/j.marenvres.2021.105264</v>
      </c>
      <c r="BG2573" s="1" t="s">
        <v>74</v>
      </c>
      <c r="BH2573" s="1" t="s">
        <v>992</v>
      </c>
      <c r="BI2573" s="1">
        <v>16</v>
      </c>
      <c r="BJ2573" s="1" t="s">
        <v>768</v>
      </c>
      <c r="BK2573" s="1" t="s">
        <v>96</v>
      </c>
      <c r="BL2573" s="1" t="s">
        <v>769</v>
      </c>
      <c r="BM2573" s="1" t="s">
        <v>41071</v>
      </c>
      <c r="BN2573" s="1">
        <v>33725510</v>
      </c>
      <c r="BO2573" s="1" t="s">
        <v>476</v>
      </c>
      <c r="BP2573" s="1" t="s">
        <v>74</v>
      </c>
      <c r="BQ2573" s="1" t="s">
        <v>74</v>
      </c>
      <c r="BR2573" s="1" t="s">
        <v>98</v>
      </c>
      <c r="BS2573" s="1" t="s">
        <v>41072</v>
      </c>
      <c r="BT2573" s="1" t="str">
        <f>HYPERLINK("https%3A%2F%2Fwww.webofscience.com%2Fwos%2Fwoscc%2Ffull-record%2FWOS:000651797100001","View Full Record in Web of Science")</f>
        <v>View Full Record in Web of Science</v>
      </c>
      <c r="BU2573" s="1"/>
      <c r="BV2573" s="1"/>
    </row>
    <row r="2574" spans="1:74">
      <c r="A2574" s="1" t="s">
        <v>72</v>
      </c>
      <c r="B2574" s="1" t="s">
        <v>41073</v>
      </c>
      <c r="C2574" s="1" t="s">
        <v>74</v>
      </c>
      <c r="D2574" s="1" t="s">
        <v>74</v>
      </c>
      <c r="E2574" s="1" t="s">
        <v>74</v>
      </c>
      <c r="F2574" s="1" t="s">
        <v>41074</v>
      </c>
      <c r="G2574" s="1" t="s">
        <v>74</v>
      </c>
      <c r="H2574" s="1" t="s">
        <v>74</v>
      </c>
      <c r="I2574" s="1" t="s">
        <v>41075</v>
      </c>
      <c r="J2574" s="1" t="s">
        <v>232</v>
      </c>
      <c r="K2574" s="1" t="s">
        <v>74</v>
      </c>
      <c r="L2574" s="1" t="s">
        <v>74</v>
      </c>
      <c r="M2574" s="1" t="s">
        <v>78</v>
      </c>
      <c r="N2574" s="1" t="s">
        <v>79</v>
      </c>
      <c r="O2574" s="1" t="s">
        <v>74</v>
      </c>
      <c r="P2574" s="1" t="s">
        <v>74</v>
      </c>
      <c r="Q2574" s="1" t="s">
        <v>74</v>
      </c>
      <c r="R2574" s="1" t="s">
        <v>74</v>
      </c>
      <c r="S2574" s="1" t="s">
        <v>74</v>
      </c>
      <c r="T2574" s="1" t="s">
        <v>74</v>
      </c>
      <c r="U2574" s="1" t="s">
        <v>41076</v>
      </c>
      <c r="V2574" s="1" t="s">
        <v>41077</v>
      </c>
      <c r="W2574" s="1" t="s">
        <v>41078</v>
      </c>
      <c r="X2574" s="1" t="s">
        <v>41079</v>
      </c>
      <c r="Y2574" s="1" t="s">
        <v>41080</v>
      </c>
      <c r="Z2574" s="1" t="s">
        <v>41081</v>
      </c>
      <c r="AA2574" s="1" t="s">
        <v>41082</v>
      </c>
      <c r="AB2574" s="1" t="s">
        <v>41083</v>
      </c>
      <c r="AC2574" s="1" t="s">
        <v>41084</v>
      </c>
      <c r="AD2574" s="1" t="s">
        <v>41085</v>
      </c>
      <c r="AE2574" s="1" t="s">
        <v>41086</v>
      </c>
      <c r="AF2574" s="1" t="s">
        <v>74</v>
      </c>
      <c r="AG2574" s="1">
        <v>98</v>
      </c>
      <c r="AH2574" s="1">
        <v>0</v>
      </c>
      <c r="AI2574" s="1">
        <v>0</v>
      </c>
      <c r="AJ2574" s="1">
        <v>1</v>
      </c>
      <c r="AK2574" s="1">
        <v>1</v>
      </c>
      <c r="AL2574" s="1" t="s">
        <v>136</v>
      </c>
      <c r="AM2574" s="1" t="s">
        <v>137</v>
      </c>
      <c r="AN2574" s="1" t="s">
        <v>138</v>
      </c>
      <c r="AO2574" s="1" t="s">
        <v>240</v>
      </c>
      <c r="AP2574" s="1" t="s">
        <v>241</v>
      </c>
      <c r="AQ2574" s="1" t="s">
        <v>74</v>
      </c>
      <c r="AR2574" s="1" t="s">
        <v>242</v>
      </c>
      <c r="AS2574" s="1" t="s">
        <v>243</v>
      </c>
      <c r="AT2574" s="1" t="s">
        <v>170</v>
      </c>
      <c r="AU2574" s="1">
        <v>2024</v>
      </c>
      <c r="AV2574" s="1">
        <v>202</v>
      </c>
      <c r="AW2574" s="1" t="s">
        <v>74</v>
      </c>
      <c r="AX2574" s="1" t="s">
        <v>74</v>
      </c>
      <c r="AY2574" s="1" t="s">
        <v>74</v>
      </c>
      <c r="AZ2574" s="1" t="s">
        <v>74</v>
      </c>
      <c r="BA2574" s="1" t="s">
        <v>74</v>
      </c>
      <c r="BB2574" s="1" t="s">
        <v>74</v>
      </c>
      <c r="BC2574" s="1" t="s">
        <v>74</v>
      </c>
      <c r="BD2574" s="1">
        <v>116323</v>
      </c>
      <c r="BE2574" s="1" t="s">
        <v>41087</v>
      </c>
      <c r="BF2574" s="1" t="str">
        <f>HYPERLINK("http://dx.doi.org/10.1016/j.marpolbul.2024.116323","http://dx.doi.org/10.1016/j.marpolbul.2024.116323")</f>
        <v>http://dx.doi.org/10.1016/j.marpolbul.2024.116323</v>
      </c>
      <c r="BG2574" s="1" t="s">
        <v>74</v>
      </c>
      <c r="BH2574" s="1" t="s">
        <v>9434</v>
      </c>
      <c r="BI2574" s="1">
        <v>9</v>
      </c>
      <c r="BJ2574" s="1" t="s">
        <v>247</v>
      </c>
      <c r="BK2574" s="1" t="s">
        <v>96</v>
      </c>
      <c r="BL2574" s="1" t="s">
        <v>248</v>
      </c>
      <c r="BM2574" s="1" t="s">
        <v>41088</v>
      </c>
      <c r="BN2574" s="1">
        <v>38598927</v>
      </c>
      <c r="BO2574" s="1" t="s">
        <v>476</v>
      </c>
      <c r="BP2574" s="1" t="s">
        <v>74</v>
      </c>
      <c r="BQ2574" s="1" t="s">
        <v>74</v>
      </c>
      <c r="BR2574" s="1" t="s">
        <v>98</v>
      </c>
      <c r="BS2574" s="1" t="s">
        <v>41089</v>
      </c>
      <c r="BT2574" s="1" t="str">
        <f>HYPERLINK("https%3A%2F%2Fwww.webofscience.com%2Fwos%2Fwoscc%2Ffull-record%2FWOS:001227374000001","View Full Record in Web of Science")</f>
        <v>View Full Record in Web of Science</v>
      </c>
      <c r="BU2574" s="1"/>
      <c r="BV2574" s="1"/>
    </row>
    <row r="2575" spans="1:74">
      <c r="A2575" s="1" t="s">
        <v>72</v>
      </c>
      <c r="B2575" s="1" t="s">
        <v>41090</v>
      </c>
      <c r="C2575" s="1" t="s">
        <v>74</v>
      </c>
      <c r="D2575" s="1" t="s">
        <v>74</v>
      </c>
      <c r="E2575" s="1" t="s">
        <v>74</v>
      </c>
      <c r="F2575" s="1" t="s">
        <v>41091</v>
      </c>
      <c r="G2575" s="1" t="s">
        <v>74</v>
      </c>
      <c r="H2575" s="1" t="s">
        <v>74</v>
      </c>
      <c r="I2575" s="1" t="s">
        <v>41092</v>
      </c>
      <c r="J2575" s="1" t="s">
        <v>19334</v>
      </c>
      <c r="K2575" s="1" t="s">
        <v>74</v>
      </c>
      <c r="L2575" s="1" t="s">
        <v>74</v>
      </c>
      <c r="M2575" s="1" t="s">
        <v>78</v>
      </c>
      <c r="N2575" s="1" t="s">
        <v>79</v>
      </c>
      <c r="O2575" s="1" t="s">
        <v>74</v>
      </c>
      <c r="P2575" s="1" t="s">
        <v>74</v>
      </c>
      <c r="Q2575" s="1" t="s">
        <v>74</v>
      </c>
      <c r="R2575" s="1" t="s">
        <v>74</v>
      </c>
      <c r="S2575" s="1" t="s">
        <v>74</v>
      </c>
      <c r="T2575" s="1" t="s">
        <v>41093</v>
      </c>
      <c r="U2575" s="1" t="s">
        <v>41094</v>
      </c>
      <c r="V2575" s="1" t="s">
        <v>41095</v>
      </c>
      <c r="W2575" s="1" t="s">
        <v>41096</v>
      </c>
      <c r="X2575" s="1" t="s">
        <v>41097</v>
      </c>
      <c r="Y2575" s="1" t="s">
        <v>41098</v>
      </c>
      <c r="Z2575" s="1" t="s">
        <v>41099</v>
      </c>
      <c r="AA2575" s="1" t="s">
        <v>41100</v>
      </c>
      <c r="AB2575" s="1" t="s">
        <v>74</v>
      </c>
      <c r="AC2575" s="1" t="s">
        <v>41101</v>
      </c>
      <c r="AD2575" s="1" t="s">
        <v>41102</v>
      </c>
      <c r="AE2575" s="1" t="s">
        <v>41103</v>
      </c>
      <c r="AF2575" s="1" t="s">
        <v>74</v>
      </c>
      <c r="AG2575" s="1">
        <v>76</v>
      </c>
      <c r="AH2575" s="1">
        <v>13</v>
      </c>
      <c r="AI2575" s="1">
        <v>13</v>
      </c>
      <c r="AJ2575" s="1">
        <v>11</v>
      </c>
      <c r="AK2575" s="1">
        <v>92</v>
      </c>
      <c r="AL2575" s="1" t="s">
        <v>19345</v>
      </c>
      <c r="AM2575" s="1" t="s">
        <v>1351</v>
      </c>
      <c r="AN2575" s="1" t="s">
        <v>19346</v>
      </c>
      <c r="AO2575" s="1" t="s">
        <v>19347</v>
      </c>
      <c r="AP2575" s="1" t="s">
        <v>19348</v>
      </c>
      <c r="AQ2575" s="1" t="s">
        <v>74</v>
      </c>
      <c r="AR2575" s="1" t="s">
        <v>19349</v>
      </c>
      <c r="AS2575" s="1" t="s">
        <v>19350</v>
      </c>
      <c r="AT2575" s="1" t="s">
        <v>7041</v>
      </c>
      <c r="AU2575" s="1">
        <v>2023</v>
      </c>
      <c r="AV2575" s="1">
        <v>454</v>
      </c>
      <c r="AW2575" s="1" t="s">
        <v>74</v>
      </c>
      <c r="AX2575" s="1">
        <v>2</v>
      </c>
      <c r="AY2575" s="1" t="s">
        <v>74</v>
      </c>
      <c r="AZ2575" s="1" t="s">
        <v>74</v>
      </c>
      <c r="BA2575" s="1" t="s">
        <v>74</v>
      </c>
      <c r="BB2575" s="1" t="s">
        <v>74</v>
      </c>
      <c r="BC2575" s="1" t="s">
        <v>74</v>
      </c>
      <c r="BD2575" s="1">
        <v>140259</v>
      </c>
      <c r="BE2575" s="1" t="s">
        <v>41104</v>
      </c>
      <c r="BF2575" s="1" t="str">
        <f>HYPERLINK("http://dx.doi.org/10.1016/j.cej.2022.140259","http://dx.doi.org/10.1016/j.cej.2022.140259")</f>
        <v>http://dx.doi.org/10.1016/j.cej.2022.140259</v>
      </c>
      <c r="BG2575" s="1" t="s">
        <v>74</v>
      </c>
      <c r="BH2575" s="1" t="s">
        <v>699</v>
      </c>
      <c r="BI2575" s="1">
        <v>15</v>
      </c>
      <c r="BJ2575" s="1" t="s">
        <v>3991</v>
      </c>
      <c r="BK2575" s="1" t="s">
        <v>96</v>
      </c>
      <c r="BL2575" s="1" t="s">
        <v>3992</v>
      </c>
      <c r="BM2575" s="1" t="s">
        <v>41105</v>
      </c>
      <c r="BN2575" s="1" t="s">
        <v>74</v>
      </c>
      <c r="BO2575" s="1" t="s">
        <v>74</v>
      </c>
      <c r="BP2575" s="1" t="s">
        <v>74</v>
      </c>
      <c r="BQ2575" s="1" t="s">
        <v>74</v>
      </c>
      <c r="BR2575" s="1" t="s">
        <v>98</v>
      </c>
      <c r="BS2575" s="1" t="s">
        <v>41106</v>
      </c>
      <c r="BT2575" s="1" t="str">
        <f>HYPERLINK("https%3A%2F%2Fwww.webofscience.com%2Fwos%2Fwoscc%2Ffull-record%2FWOS:000897234600005","View Full Record in Web of Science")</f>
        <v>View Full Record in Web of Science</v>
      </c>
      <c r="BU2575" s="1"/>
      <c r="BV2575" s="1"/>
    </row>
    <row r="2576" spans="1:74">
      <c r="A2576" s="1" t="s">
        <v>72</v>
      </c>
      <c r="B2576" s="1" t="s">
        <v>41107</v>
      </c>
      <c r="C2576" s="1" t="s">
        <v>74</v>
      </c>
      <c r="D2576" s="1" t="s">
        <v>74</v>
      </c>
      <c r="E2576" s="1" t="s">
        <v>74</v>
      </c>
      <c r="F2576" s="1" t="s">
        <v>41107</v>
      </c>
      <c r="G2576" s="1" t="s">
        <v>74</v>
      </c>
      <c r="H2576" s="1" t="s">
        <v>74</v>
      </c>
      <c r="I2576" s="1" t="s">
        <v>41108</v>
      </c>
      <c r="J2576" s="1" t="s">
        <v>7584</v>
      </c>
      <c r="K2576" s="1" t="s">
        <v>74</v>
      </c>
      <c r="L2576" s="1" t="s">
        <v>74</v>
      </c>
      <c r="M2576" s="1" t="s">
        <v>78</v>
      </c>
      <c r="N2576" s="1" t="s">
        <v>79</v>
      </c>
      <c r="O2576" s="1" t="s">
        <v>74</v>
      </c>
      <c r="P2576" s="1" t="s">
        <v>74</v>
      </c>
      <c r="Q2576" s="1" t="s">
        <v>74</v>
      </c>
      <c r="R2576" s="1" t="s">
        <v>74</v>
      </c>
      <c r="S2576" s="1" t="s">
        <v>74</v>
      </c>
      <c r="T2576" s="1" t="s">
        <v>41109</v>
      </c>
      <c r="U2576" s="1" t="s">
        <v>41110</v>
      </c>
      <c r="V2576" s="1" t="s">
        <v>41111</v>
      </c>
      <c r="W2576" s="1" t="s">
        <v>41112</v>
      </c>
      <c r="X2576" s="1" t="s">
        <v>9919</v>
      </c>
      <c r="Y2576" s="1" t="s">
        <v>74</v>
      </c>
      <c r="Z2576" s="1" t="s">
        <v>74</v>
      </c>
      <c r="AA2576" s="1" t="s">
        <v>74</v>
      </c>
      <c r="AB2576" s="1" t="s">
        <v>74</v>
      </c>
      <c r="AC2576" s="1" t="s">
        <v>74</v>
      </c>
      <c r="AD2576" s="1" t="s">
        <v>74</v>
      </c>
      <c r="AE2576" s="1" t="s">
        <v>74</v>
      </c>
      <c r="AF2576" s="1" t="s">
        <v>74</v>
      </c>
      <c r="AG2576" s="1">
        <v>22</v>
      </c>
      <c r="AH2576" s="1">
        <v>17</v>
      </c>
      <c r="AI2576" s="1">
        <v>21</v>
      </c>
      <c r="AJ2576" s="1">
        <v>0</v>
      </c>
      <c r="AK2576" s="1">
        <v>4</v>
      </c>
      <c r="AL2576" s="1" t="s">
        <v>136</v>
      </c>
      <c r="AM2576" s="1" t="s">
        <v>137</v>
      </c>
      <c r="AN2576" s="1" t="s">
        <v>138</v>
      </c>
      <c r="AO2576" s="1" t="s">
        <v>7589</v>
      </c>
      <c r="AP2576" s="1" t="s">
        <v>74</v>
      </c>
      <c r="AQ2576" s="1" t="s">
        <v>74</v>
      </c>
      <c r="AR2576" s="1" t="s">
        <v>7591</v>
      </c>
      <c r="AS2576" s="1" t="s">
        <v>7592</v>
      </c>
      <c r="AT2576" s="1" t="s">
        <v>142</v>
      </c>
      <c r="AU2576" s="1">
        <v>1995</v>
      </c>
      <c r="AV2576" s="1">
        <v>29</v>
      </c>
      <c r="AW2576" s="1">
        <v>6</v>
      </c>
      <c r="AX2576" s="1" t="s">
        <v>74</v>
      </c>
      <c r="AY2576" s="1" t="s">
        <v>74</v>
      </c>
      <c r="AZ2576" s="1" t="s">
        <v>74</v>
      </c>
      <c r="BA2576" s="1" t="s">
        <v>74</v>
      </c>
      <c r="BB2576" s="1">
        <v>1541</v>
      </c>
      <c r="BC2576" s="1">
        <v>1548</v>
      </c>
      <c r="BD2576" s="1" t="s">
        <v>74</v>
      </c>
      <c r="BE2576" s="1" t="s">
        <v>41113</v>
      </c>
      <c r="BF2576" s="1" t="str">
        <f>HYPERLINK("http://dx.doi.org/10.1016/0043-1354(94)00294-H","http://dx.doi.org/10.1016/0043-1354(94)00294-H")</f>
        <v>http://dx.doi.org/10.1016/0043-1354(94)00294-H</v>
      </c>
      <c r="BG2576" s="1" t="s">
        <v>74</v>
      </c>
      <c r="BH2576" s="1" t="s">
        <v>74</v>
      </c>
      <c r="BI2576" s="1">
        <v>8</v>
      </c>
      <c r="BJ2576" s="1" t="s">
        <v>587</v>
      </c>
      <c r="BK2576" s="1" t="s">
        <v>96</v>
      </c>
      <c r="BL2576" s="1" t="s">
        <v>589</v>
      </c>
      <c r="BM2576" s="1" t="s">
        <v>41114</v>
      </c>
      <c r="BN2576" s="1" t="s">
        <v>74</v>
      </c>
      <c r="BO2576" s="1" t="s">
        <v>74</v>
      </c>
      <c r="BP2576" s="1" t="s">
        <v>74</v>
      </c>
      <c r="BQ2576" s="1" t="s">
        <v>74</v>
      </c>
      <c r="BR2576" s="1" t="s">
        <v>98</v>
      </c>
      <c r="BS2576" s="1" t="s">
        <v>41115</v>
      </c>
      <c r="BT2576" s="1" t="str">
        <f>HYPERLINK("https%3A%2F%2Fwww.webofscience.com%2Fwos%2Fwoscc%2Ffull-record%2FWOS:A1995QW06100015","View Full Record in Web of Science")</f>
        <v>View Full Record in Web of Science</v>
      </c>
      <c r="BU2576" s="1"/>
      <c r="BV2576" s="1"/>
    </row>
    <row r="2577" spans="1:74">
      <c r="A2577" s="1" t="s">
        <v>72</v>
      </c>
      <c r="B2577" s="1" t="s">
        <v>41116</v>
      </c>
      <c r="C2577" s="1" t="s">
        <v>74</v>
      </c>
      <c r="D2577" s="1" t="s">
        <v>74</v>
      </c>
      <c r="E2577" s="1" t="s">
        <v>74</v>
      </c>
      <c r="F2577" s="1" t="s">
        <v>41117</v>
      </c>
      <c r="G2577" s="1" t="s">
        <v>74</v>
      </c>
      <c r="H2577" s="1" t="s">
        <v>74</v>
      </c>
      <c r="I2577" s="1" t="s">
        <v>41118</v>
      </c>
      <c r="J2577" s="1" t="s">
        <v>41119</v>
      </c>
      <c r="K2577" s="1" t="s">
        <v>74</v>
      </c>
      <c r="L2577" s="1" t="s">
        <v>74</v>
      </c>
      <c r="M2577" s="1" t="s">
        <v>78</v>
      </c>
      <c r="N2577" s="1" t="s">
        <v>79</v>
      </c>
      <c r="O2577" s="1" t="s">
        <v>74</v>
      </c>
      <c r="P2577" s="1" t="s">
        <v>74</v>
      </c>
      <c r="Q2577" s="1" t="s">
        <v>74</v>
      </c>
      <c r="R2577" s="1" t="s">
        <v>74</v>
      </c>
      <c r="S2577" s="1" t="s">
        <v>74</v>
      </c>
      <c r="T2577" s="1" t="s">
        <v>41120</v>
      </c>
      <c r="U2577" s="1" t="s">
        <v>41121</v>
      </c>
      <c r="V2577" s="1" t="s">
        <v>41122</v>
      </c>
      <c r="W2577" s="1" t="s">
        <v>41123</v>
      </c>
      <c r="X2577" s="1" t="s">
        <v>41124</v>
      </c>
      <c r="Y2577" s="1" t="s">
        <v>41125</v>
      </c>
      <c r="Z2577" s="1" t="s">
        <v>41126</v>
      </c>
      <c r="AA2577" s="1" t="s">
        <v>41127</v>
      </c>
      <c r="AB2577" s="1" t="s">
        <v>41128</v>
      </c>
      <c r="AC2577" s="1" t="s">
        <v>41129</v>
      </c>
      <c r="AD2577" s="1" t="s">
        <v>41130</v>
      </c>
      <c r="AE2577" s="1" t="s">
        <v>41131</v>
      </c>
      <c r="AF2577" s="1" t="s">
        <v>74</v>
      </c>
      <c r="AG2577" s="1">
        <v>99</v>
      </c>
      <c r="AH2577" s="1">
        <v>11</v>
      </c>
      <c r="AI2577" s="1">
        <v>12</v>
      </c>
      <c r="AJ2577" s="1">
        <v>17</v>
      </c>
      <c r="AK2577" s="1">
        <v>57</v>
      </c>
      <c r="AL2577" s="1" t="s">
        <v>650</v>
      </c>
      <c r="AM2577" s="1" t="s">
        <v>651</v>
      </c>
      <c r="AN2577" s="1" t="s">
        <v>652</v>
      </c>
      <c r="AO2577" s="1" t="s">
        <v>41132</v>
      </c>
      <c r="AP2577" s="1" t="s">
        <v>41133</v>
      </c>
      <c r="AQ2577" s="1" t="s">
        <v>74</v>
      </c>
      <c r="AR2577" s="1" t="s">
        <v>41134</v>
      </c>
      <c r="AS2577" s="1" t="s">
        <v>41135</v>
      </c>
      <c r="AT2577" s="1" t="s">
        <v>119</v>
      </c>
      <c r="AU2577" s="1">
        <v>2022</v>
      </c>
      <c r="AV2577" s="1">
        <v>108</v>
      </c>
      <c r="AW2577" s="1" t="s">
        <v>74</v>
      </c>
      <c r="AX2577" s="1" t="s">
        <v>74</v>
      </c>
      <c r="AY2577" s="1" t="s">
        <v>74</v>
      </c>
      <c r="AZ2577" s="1" t="s">
        <v>74</v>
      </c>
      <c r="BA2577" s="1" t="s">
        <v>74</v>
      </c>
      <c r="BB2577" s="1">
        <v>144</v>
      </c>
      <c r="BC2577" s="1">
        <v>157</v>
      </c>
      <c r="BD2577" s="1" t="s">
        <v>74</v>
      </c>
      <c r="BE2577" s="1" t="s">
        <v>41136</v>
      </c>
      <c r="BF2577" s="1" t="str">
        <f>HYPERLINK("http://dx.doi.org/10.1016/j.gr.2021.12.001","http://dx.doi.org/10.1016/j.gr.2021.12.001")</f>
        <v>http://dx.doi.org/10.1016/j.gr.2021.12.001</v>
      </c>
      <c r="BG2577" s="1" t="s">
        <v>74</v>
      </c>
      <c r="BH2577" s="1" t="s">
        <v>74</v>
      </c>
      <c r="BI2577" s="1">
        <v>14</v>
      </c>
      <c r="BJ2577" s="1" t="s">
        <v>10582</v>
      </c>
      <c r="BK2577" s="1" t="s">
        <v>96</v>
      </c>
      <c r="BL2577" s="1" t="s">
        <v>7739</v>
      </c>
      <c r="BM2577" s="1" t="s">
        <v>41137</v>
      </c>
      <c r="BN2577" s="1" t="s">
        <v>74</v>
      </c>
      <c r="BO2577" s="1" t="s">
        <v>74</v>
      </c>
      <c r="BP2577" s="1" t="s">
        <v>74</v>
      </c>
      <c r="BQ2577" s="1" t="s">
        <v>74</v>
      </c>
      <c r="BR2577" s="1" t="s">
        <v>98</v>
      </c>
      <c r="BS2577" s="1" t="s">
        <v>41138</v>
      </c>
      <c r="BT2577" s="1" t="str">
        <f>HYPERLINK("https%3A%2F%2Fwww.webofscience.com%2Fwos%2Fwoscc%2Ffull-record%2FWOS:000986616300001","View Full Record in Web of Science")</f>
        <v>View Full Record in Web of Science</v>
      </c>
      <c r="BU2577" s="1"/>
      <c r="BV2577" s="1"/>
    </row>
    <row r="2578" spans="1:74">
      <c r="A2578" s="1" t="s">
        <v>72</v>
      </c>
      <c r="B2578" s="1" t="s">
        <v>41139</v>
      </c>
      <c r="C2578" s="1" t="s">
        <v>74</v>
      </c>
      <c r="D2578" s="1" t="s">
        <v>74</v>
      </c>
      <c r="E2578" s="1" t="s">
        <v>74</v>
      </c>
      <c r="F2578" s="1" t="s">
        <v>41140</v>
      </c>
      <c r="G2578" s="1" t="s">
        <v>74</v>
      </c>
      <c r="H2578" s="1" t="s">
        <v>74</v>
      </c>
      <c r="I2578" s="1" t="s">
        <v>41141</v>
      </c>
      <c r="J2578" s="1" t="s">
        <v>1756</v>
      </c>
      <c r="K2578" s="1" t="s">
        <v>74</v>
      </c>
      <c r="L2578" s="1" t="s">
        <v>74</v>
      </c>
      <c r="M2578" s="1" t="s">
        <v>78</v>
      </c>
      <c r="N2578" s="1" t="s">
        <v>79</v>
      </c>
      <c r="O2578" s="1" t="s">
        <v>74</v>
      </c>
      <c r="P2578" s="1" t="s">
        <v>74</v>
      </c>
      <c r="Q2578" s="1" t="s">
        <v>74</v>
      </c>
      <c r="R2578" s="1" t="s">
        <v>74</v>
      </c>
      <c r="S2578" s="1" t="s">
        <v>74</v>
      </c>
      <c r="T2578" s="1" t="s">
        <v>41142</v>
      </c>
      <c r="U2578" s="1" t="s">
        <v>41143</v>
      </c>
      <c r="V2578" s="1" t="s">
        <v>41144</v>
      </c>
      <c r="W2578" s="1" t="s">
        <v>41145</v>
      </c>
      <c r="X2578" s="1" t="s">
        <v>27863</v>
      </c>
      <c r="Y2578" s="1" t="s">
        <v>41146</v>
      </c>
      <c r="Z2578" s="1" t="s">
        <v>27865</v>
      </c>
      <c r="AA2578" s="1" t="s">
        <v>41147</v>
      </c>
      <c r="AB2578" s="1" t="s">
        <v>41148</v>
      </c>
      <c r="AC2578" s="1" t="s">
        <v>74</v>
      </c>
      <c r="AD2578" s="1" t="s">
        <v>74</v>
      </c>
      <c r="AE2578" s="1" t="s">
        <v>74</v>
      </c>
      <c r="AF2578" s="1" t="s">
        <v>74</v>
      </c>
      <c r="AG2578" s="1">
        <v>40</v>
      </c>
      <c r="AH2578" s="1">
        <v>35</v>
      </c>
      <c r="AI2578" s="1">
        <v>35</v>
      </c>
      <c r="AJ2578" s="1">
        <v>0</v>
      </c>
      <c r="AK2578" s="1">
        <v>18</v>
      </c>
      <c r="AL2578" s="1" t="s">
        <v>86</v>
      </c>
      <c r="AM2578" s="1" t="s">
        <v>87</v>
      </c>
      <c r="AN2578" s="1" t="s">
        <v>88</v>
      </c>
      <c r="AO2578" s="1" t="s">
        <v>1764</v>
      </c>
      <c r="AP2578" s="1" t="s">
        <v>1765</v>
      </c>
      <c r="AQ2578" s="1" t="s">
        <v>74</v>
      </c>
      <c r="AR2578" s="1" t="s">
        <v>1766</v>
      </c>
      <c r="AS2578" s="1" t="s">
        <v>1767</v>
      </c>
      <c r="AT2578" s="1" t="s">
        <v>142</v>
      </c>
      <c r="AU2578" s="1">
        <v>2008</v>
      </c>
      <c r="AV2578" s="1">
        <v>27</v>
      </c>
      <c r="AW2578" s="1">
        <v>6</v>
      </c>
      <c r="AX2578" s="1" t="s">
        <v>74</v>
      </c>
      <c r="AY2578" s="1" t="s">
        <v>74</v>
      </c>
      <c r="AZ2578" s="1" t="s">
        <v>74</v>
      </c>
      <c r="BA2578" s="1" t="s">
        <v>74</v>
      </c>
      <c r="BB2578" s="1">
        <v>1435</v>
      </c>
      <c r="BC2578" s="1">
        <v>1441</v>
      </c>
      <c r="BD2578" s="1" t="s">
        <v>74</v>
      </c>
      <c r="BE2578" s="1" t="s">
        <v>41149</v>
      </c>
      <c r="BF2578" s="1" t="str">
        <f>HYPERLINK("http://dx.doi.org/10.1897/07-396.1","http://dx.doi.org/10.1897/07-396.1")</f>
        <v>http://dx.doi.org/10.1897/07-396.1</v>
      </c>
      <c r="BG2578" s="1" t="s">
        <v>74</v>
      </c>
      <c r="BH2578" s="1" t="s">
        <v>74</v>
      </c>
      <c r="BI2578" s="1">
        <v>7</v>
      </c>
      <c r="BJ2578" s="1" t="s">
        <v>121</v>
      </c>
      <c r="BK2578" s="1" t="s">
        <v>96</v>
      </c>
      <c r="BL2578" s="1" t="s">
        <v>122</v>
      </c>
      <c r="BM2578" s="1" t="s">
        <v>41150</v>
      </c>
      <c r="BN2578" s="1">
        <v>18260695</v>
      </c>
      <c r="BO2578" s="1" t="s">
        <v>74</v>
      </c>
      <c r="BP2578" s="1" t="s">
        <v>74</v>
      </c>
      <c r="BQ2578" s="1" t="s">
        <v>74</v>
      </c>
      <c r="BR2578" s="1" t="s">
        <v>98</v>
      </c>
      <c r="BS2578" s="1" t="s">
        <v>41151</v>
      </c>
      <c r="BT2578" s="1" t="str">
        <f>HYPERLINK("https%3A%2F%2Fwww.webofscience.com%2Fwos%2Fwoscc%2Ffull-record%2FWOS:000255906100025","View Full Record in Web of Science")</f>
        <v>View Full Record in Web of Science</v>
      </c>
      <c r="BU2578" s="1"/>
      <c r="BV2578" s="1"/>
    </row>
    <row r="2579" spans="1:74">
      <c r="A2579" s="1" t="s">
        <v>72</v>
      </c>
      <c r="B2579" s="1" t="s">
        <v>41152</v>
      </c>
      <c r="C2579" s="1" t="s">
        <v>74</v>
      </c>
      <c r="D2579" s="1" t="s">
        <v>74</v>
      </c>
      <c r="E2579" s="1" t="s">
        <v>74</v>
      </c>
      <c r="F2579" s="1" t="s">
        <v>41152</v>
      </c>
      <c r="G2579" s="1" t="s">
        <v>74</v>
      </c>
      <c r="H2579" s="1" t="s">
        <v>74</v>
      </c>
      <c r="I2579" s="1" t="s">
        <v>41153</v>
      </c>
      <c r="J2579" s="1" t="s">
        <v>232</v>
      </c>
      <c r="K2579" s="1" t="s">
        <v>74</v>
      </c>
      <c r="L2579" s="1" t="s">
        <v>74</v>
      </c>
      <c r="M2579" s="1" t="s">
        <v>78</v>
      </c>
      <c r="N2579" s="1" t="s">
        <v>79</v>
      </c>
      <c r="O2579" s="1" t="s">
        <v>74</v>
      </c>
      <c r="P2579" s="1" t="s">
        <v>74</v>
      </c>
      <c r="Q2579" s="1" t="s">
        <v>74</v>
      </c>
      <c r="R2579" s="1" t="s">
        <v>74</v>
      </c>
      <c r="S2579" s="1" t="s">
        <v>74</v>
      </c>
      <c r="T2579" s="1" t="s">
        <v>74</v>
      </c>
      <c r="U2579" s="1" t="s">
        <v>41154</v>
      </c>
      <c r="V2579" s="1" t="s">
        <v>74</v>
      </c>
      <c r="W2579" s="1" t="s">
        <v>41155</v>
      </c>
      <c r="X2579" s="1" t="s">
        <v>41156</v>
      </c>
      <c r="Y2579" s="1" t="s">
        <v>41157</v>
      </c>
      <c r="Z2579" s="1" t="s">
        <v>41158</v>
      </c>
      <c r="AA2579" s="1" t="s">
        <v>41159</v>
      </c>
      <c r="AB2579" s="1" t="s">
        <v>74</v>
      </c>
      <c r="AC2579" s="1" t="s">
        <v>74</v>
      </c>
      <c r="AD2579" s="1" t="s">
        <v>74</v>
      </c>
      <c r="AE2579" s="1" t="s">
        <v>74</v>
      </c>
      <c r="AF2579" s="1" t="s">
        <v>74</v>
      </c>
      <c r="AG2579" s="1">
        <v>17</v>
      </c>
      <c r="AH2579" s="1">
        <v>29</v>
      </c>
      <c r="AI2579" s="1">
        <v>31</v>
      </c>
      <c r="AJ2579" s="1">
        <v>1</v>
      </c>
      <c r="AK2579" s="1">
        <v>11</v>
      </c>
      <c r="AL2579" s="1" t="s">
        <v>136</v>
      </c>
      <c r="AM2579" s="1" t="s">
        <v>137</v>
      </c>
      <c r="AN2579" s="1" t="s">
        <v>138</v>
      </c>
      <c r="AO2579" s="1" t="s">
        <v>240</v>
      </c>
      <c r="AP2579" s="1" t="s">
        <v>241</v>
      </c>
      <c r="AQ2579" s="1" t="s">
        <v>74</v>
      </c>
      <c r="AR2579" s="1" t="s">
        <v>242</v>
      </c>
      <c r="AS2579" s="1" t="s">
        <v>243</v>
      </c>
      <c r="AT2579" s="1" t="s">
        <v>267</v>
      </c>
      <c r="AU2579" s="1">
        <v>2003</v>
      </c>
      <c r="AV2579" s="1">
        <v>46</v>
      </c>
      <c r="AW2579" s="1">
        <v>10</v>
      </c>
      <c r="AX2579" s="1" t="s">
        <v>74</v>
      </c>
      <c r="AY2579" s="1" t="s">
        <v>74</v>
      </c>
      <c r="AZ2579" s="1" t="s">
        <v>74</v>
      </c>
      <c r="BA2579" s="1" t="s">
        <v>74</v>
      </c>
      <c r="BB2579" s="1">
        <v>1354</v>
      </c>
      <c r="BC2579" s="1">
        <v>1358</v>
      </c>
      <c r="BD2579" s="1" t="s">
        <v>74</v>
      </c>
      <c r="BE2579" s="1" t="s">
        <v>41160</v>
      </c>
      <c r="BF2579" s="1" t="str">
        <f>HYPERLINK("http://dx.doi.org/10.1016/S0025-326X(03)00244-3","http://dx.doi.org/10.1016/S0025-326X(03)00244-3")</f>
        <v>http://dx.doi.org/10.1016/S0025-326X(03)00244-3</v>
      </c>
      <c r="BG2579" s="1" t="s">
        <v>74</v>
      </c>
      <c r="BH2579" s="1" t="s">
        <v>74</v>
      </c>
      <c r="BI2579" s="1">
        <v>5</v>
      </c>
      <c r="BJ2579" s="1" t="s">
        <v>247</v>
      </c>
      <c r="BK2579" s="1" t="s">
        <v>96</v>
      </c>
      <c r="BL2579" s="1" t="s">
        <v>248</v>
      </c>
      <c r="BM2579" s="1" t="s">
        <v>41161</v>
      </c>
      <c r="BN2579" s="1">
        <v>14550349</v>
      </c>
      <c r="BO2579" s="1" t="s">
        <v>74</v>
      </c>
      <c r="BP2579" s="1" t="s">
        <v>74</v>
      </c>
      <c r="BQ2579" s="1" t="s">
        <v>74</v>
      </c>
      <c r="BR2579" s="1" t="s">
        <v>98</v>
      </c>
      <c r="BS2579" s="1" t="s">
        <v>41162</v>
      </c>
      <c r="BT2579" s="1" t="str">
        <f>HYPERLINK("https%3A%2F%2Fwww.webofscience.com%2Fwos%2Fwoscc%2Ffull-record%2FWOS:000186106900027","View Full Record in Web of Science")</f>
        <v>View Full Record in Web of Science</v>
      </c>
      <c r="BU2579" s="1"/>
      <c r="BV2579" s="1"/>
    </row>
    <row r="2580" spans="1:74">
      <c r="A2580" s="1" t="s">
        <v>72</v>
      </c>
      <c r="B2580" s="1" t="s">
        <v>41163</v>
      </c>
      <c r="C2580" s="1" t="s">
        <v>74</v>
      </c>
      <c r="D2580" s="1" t="s">
        <v>74</v>
      </c>
      <c r="E2580" s="1" t="s">
        <v>74</v>
      </c>
      <c r="F2580" s="1" t="s">
        <v>41164</v>
      </c>
      <c r="G2580" s="1" t="s">
        <v>74</v>
      </c>
      <c r="H2580" s="1" t="s">
        <v>74</v>
      </c>
      <c r="I2580" s="1" t="s">
        <v>41165</v>
      </c>
      <c r="J2580" s="1" t="s">
        <v>41166</v>
      </c>
      <c r="K2580" s="1" t="s">
        <v>74</v>
      </c>
      <c r="L2580" s="1" t="s">
        <v>74</v>
      </c>
      <c r="M2580" s="1" t="s">
        <v>78</v>
      </c>
      <c r="N2580" s="1" t="s">
        <v>79</v>
      </c>
      <c r="O2580" s="1" t="s">
        <v>74</v>
      </c>
      <c r="P2580" s="1" t="s">
        <v>74</v>
      </c>
      <c r="Q2580" s="1" t="s">
        <v>74</v>
      </c>
      <c r="R2580" s="1" t="s">
        <v>74</v>
      </c>
      <c r="S2580" s="1" t="s">
        <v>74</v>
      </c>
      <c r="T2580" s="1" t="s">
        <v>41167</v>
      </c>
      <c r="U2580" s="1" t="s">
        <v>41168</v>
      </c>
      <c r="V2580" s="1" t="s">
        <v>41169</v>
      </c>
      <c r="W2580" s="1" t="s">
        <v>41170</v>
      </c>
      <c r="X2580" s="1" t="s">
        <v>17130</v>
      </c>
      <c r="Y2580" s="1" t="s">
        <v>41171</v>
      </c>
      <c r="Z2580" s="1" t="s">
        <v>10458</v>
      </c>
      <c r="AA2580" s="1" t="s">
        <v>41172</v>
      </c>
      <c r="AB2580" s="1" t="s">
        <v>26407</v>
      </c>
      <c r="AC2580" s="1" t="s">
        <v>41173</v>
      </c>
      <c r="AD2580" s="1" t="s">
        <v>41174</v>
      </c>
      <c r="AE2580" s="1" t="s">
        <v>41175</v>
      </c>
      <c r="AF2580" s="1" t="s">
        <v>74</v>
      </c>
      <c r="AG2580" s="1">
        <v>59</v>
      </c>
      <c r="AH2580" s="1">
        <v>12</v>
      </c>
      <c r="AI2580" s="1">
        <v>14</v>
      </c>
      <c r="AJ2580" s="1">
        <v>1</v>
      </c>
      <c r="AK2580" s="1">
        <v>16</v>
      </c>
      <c r="AL2580" s="1" t="s">
        <v>430</v>
      </c>
      <c r="AM2580" s="1" t="s">
        <v>137</v>
      </c>
      <c r="AN2580" s="1" t="s">
        <v>431</v>
      </c>
      <c r="AO2580" s="1" t="s">
        <v>41176</v>
      </c>
      <c r="AP2580" s="1" t="s">
        <v>41177</v>
      </c>
      <c r="AQ2580" s="1" t="s">
        <v>74</v>
      </c>
      <c r="AR2580" s="1" t="s">
        <v>41178</v>
      </c>
      <c r="AS2580" s="1" t="s">
        <v>41179</v>
      </c>
      <c r="AT2580" s="1" t="s">
        <v>119</v>
      </c>
      <c r="AU2580" s="1">
        <v>2018</v>
      </c>
      <c r="AV2580" s="1">
        <v>85</v>
      </c>
      <c r="AW2580" s="1" t="s">
        <v>74</v>
      </c>
      <c r="AX2580" s="1" t="s">
        <v>74</v>
      </c>
      <c r="AY2580" s="1" t="s">
        <v>74</v>
      </c>
      <c r="AZ2580" s="1" t="s">
        <v>74</v>
      </c>
      <c r="BA2580" s="1" t="s">
        <v>74</v>
      </c>
      <c r="BB2580" s="1">
        <v>61</v>
      </c>
      <c r="BC2580" s="1">
        <v>70</v>
      </c>
      <c r="BD2580" s="1" t="s">
        <v>74</v>
      </c>
      <c r="BE2580" s="1" t="s">
        <v>41180</v>
      </c>
      <c r="BF2580" s="1" t="str">
        <f>HYPERLINK("http://dx.doi.org/10.1016/j.dci.2018.04.004","http://dx.doi.org/10.1016/j.dci.2018.04.004")</f>
        <v>http://dx.doi.org/10.1016/j.dci.2018.04.004</v>
      </c>
      <c r="BG2580" s="1" t="s">
        <v>74</v>
      </c>
      <c r="BH2580" s="1" t="s">
        <v>74</v>
      </c>
      <c r="BI2580" s="1">
        <v>10</v>
      </c>
      <c r="BJ2580" s="1" t="s">
        <v>41181</v>
      </c>
      <c r="BK2580" s="1" t="s">
        <v>96</v>
      </c>
      <c r="BL2580" s="1" t="s">
        <v>41181</v>
      </c>
      <c r="BM2580" s="1" t="s">
        <v>41182</v>
      </c>
      <c r="BN2580" s="1">
        <v>29649551</v>
      </c>
      <c r="BO2580" s="1" t="s">
        <v>74</v>
      </c>
      <c r="BP2580" s="1" t="s">
        <v>74</v>
      </c>
      <c r="BQ2580" s="1" t="s">
        <v>74</v>
      </c>
      <c r="BR2580" s="1" t="s">
        <v>98</v>
      </c>
      <c r="BS2580" s="1" t="s">
        <v>41183</v>
      </c>
      <c r="BT2580" s="1" t="str">
        <f>HYPERLINK("https%3A%2F%2Fwww.webofscience.com%2Fwos%2Fwoscc%2Ffull-record%2FWOS:000432509400008","View Full Record in Web of Science")</f>
        <v>View Full Record in Web of Science</v>
      </c>
      <c r="BU2580" s="1"/>
      <c r="BV2580" s="1"/>
    </row>
    <row r="2581" spans="1:74">
      <c r="A2581" s="1" t="s">
        <v>72</v>
      </c>
      <c r="B2581" s="1" t="s">
        <v>41184</v>
      </c>
      <c r="C2581" s="1" t="s">
        <v>74</v>
      </c>
      <c r="D2581" s="1" t="s">
        <v>74</v>
      </c>
      <c r="E2581" s="1" t="s">
        <v>74</v>
      </c>
      <c r="F2581" s="1" t="s">
        <v>41185</v>
      </c>
      <c r="G2581" s="1" t="s">
        <v>74</v>
      </c>
      <c r="H2581" s="1" t="s">
        <v>74</v>
      </c>
      <c r="I2581" s="1" t="s">
        <v>41186</v>
      </c>
      <c r="J2581" s="1" t="s">
        <v>41187</v>
      </c>
      <c r="K2581" s="1" t="s">
        <v>74</v>
      </c>
      <c r="L2581" s="1" t="s">
        <v>74</v>
      </c>
      <c r="M2581" s="1" t="s">
        <v>78</v>
      </c>
      <c r="N2581" s="1" t="s">
        <v>79</v>
      </c>
      <c r="O2581" s="1" t="s">
        <v>74</v>
      </c>
      <c r="P2581" s="1" t="s">
        <v>74</v>
      </c>
      <c r="Q2581" s="1" t="s">
        <v>74</v>
      </c>
      <c r="R2581" s="1" t="s">
        <v>74</v>
      </c>
      <c r="S2581" s="1" t="s">
        <v>74</v>
      </c>
      <c r="T2581" s="1" t="s">
        <v>41188</v>
      </c>
      <c r="U2581" s="1" t="s">
        <v>41189</v>
      </c>
      <c r="V2581" s="1" t="s">
        <v>41190</v>
      </c>
      <c r="W2581" s="1" t="s">
        <v>41191</v>
      </c>
      <c r="X2581" s="1" t="s">
        <v>18290</v>
      </c>
      <c r="Y2581" s="1" t="s">
        <v>41192</v>
      </c>
      <c r="Z2581" s="1" t="s">
        <v>41193</v>
      </c>
      <c r="AA2581" s="1" t="s">
        <v>41194</v>
      </c>
      <c r="AB2581" s="1" t="s">
        <v>41195</v>
      </c>
      <c r="AC2581" s="1" t="s">
        <v>41196</v>
      </c>
      <c r="AD2581" s="1" t="s">
        <v>14277</v>
      </c>
      <c r="AE2581" s="1" t="s">
        <v>41197</v>
      </c>
      <c r="AF2581" s="1" t="s">
        <v>74</v>
      </c>
      <c r="AG2581" s="1">
        <v>101</v>
      </c>
      <c r="AH2581" s="1">
        <v>0</v>
      </c>
      <c r="AI2581" s="1">
        <v>0</v>
      </c>
      <c r="AJ2581" s="1">
        <v>2</v>
      </c>
      <c r="AK2581" s="1">
        <v>2</v>
      </c>
      <c r="AL2581" s="1" t="s">
        <v>1566</v>
      </c>
      <c r="AM2581" s="1" t="s">
        <v>1567</v>
      </c>
      <c r="AN2581" s="1" t="s">
        <v>1568</v>
      </c>
      <c r="AO2581" s="1" t="s">
        <v>74</v>
      </c>
      <c r="AP2581" s="1" t="s">
        <v>41198</v>
      </c>
      <c r="AQ2581" s="1" t="s">
        <v>74</v>
      </c>
      <c r="AR2581" s="1" t="s">
        <v>41187</v>
      </c>
      <c r="AS2581" s="1" t="s">
        <v>41199</v>
      </c>
      <c r="AT2581" s="1" t="s">
        <v>765</v>
      </c>
      <c r="AU2581" s="1">
        <v>2024</v>
      </c>
      <c r="AV2581" s="1">
        <v>16</v>
      </c>
      <c r="AW2581" s="1">
        <v>7</v>
      </c>
      <c r="AX2581" s="1" t="s">
        <v>74</v>
      </c>
      <c r="AY2581" s="1" t="s">
        <v>74</v>
      </c>
      <c r="AZ2581" s="1" t="s">
        <v>74</v>
      </c>
      <c r="BA2581" s="1" t="s">
        <v>74</v>
      </c>
      <c r="BB2581" s="1" t="s">
        <v>74</v>
      </c>
      <c r="BC2581" s="1" t="s">
        <v>74</v>
      </c>
      <c r="BD2581" s="1">
        <v>404</v>
      </c>
      <c r="BE2581" s="1" t="s">
        <v>41200</v>
      </c>
      <c r="BF2581" s="1" t="str">
        <f>HYPERLINK("http://dx.doi.org/10.3390/d16070404","http://dx.doi.org/10.3390/d16070404")</f>
        <v>http://dx.doi.org/10.3390/d16070404</v>
      </c>
      <c r="BG2581" s="1" t="s">
        <v>74</v>
      </c>
      <c r="BH2581" s="1" t="s">
        <v>74</v>
      </c>
      <c r="BI2581" s="1">
        <v>18</v>
      </c>
      <c r="BJ2581" s="1" t="s">
        <v>17252</v>
      </c>
      <c r="BK2581" s="1" t="s">
        <v>96</v>
      </c>
      <c r="BL2581" s="1" t="s">
        <v>4924</v>
      </c>
      <c r="BM2581" s="1" t="s">
        <v>41201</v>
      </c>
      <c r="BN2581" s="1" t="s">
        <v>74</v>
      </c>
      <c r="BO2581" s="1" t="s">
        <v>873</v>
      </c>
      <c r="BP2581" s="1" t="s">
        <v>74</v>
      </c>
      <c r="BQ2581" s="1" t="s">
        <v>74</v>
      </c>
      <c r="BR2581" s="1" t="s">
        <v>98</v>
      </c>
      <c r="BS2581" s="1" t="s">
        <v>41202</v>
      </c>
      <c r="BT2581" s="1" t="str">
        <f>HYPERLINK("https%3A%2F%2Fwww.webofscience.com%2Fwos%2Fwoscc%2Ffull-record%2FWOS:001277684700001","View Full Record in Web of Science")</f>
        <v>View Full Record in Web of Science</v>
      </c>
      <c r="BU2581" s="1"/>
      <c r="BV2581" s="1"/>
    </row>
    <row r="2582" spans="1:74">
      <c r="A2582" s="1" t="s">
        <v>72</v>
      </c>
      <c r="B2582" s="1" t="s">
        <v>41203</v>
      </c>
      <c r="C2582" s="1" t="s">
        <v>74</v>
      </c>
      <c r="D2582" s="1" t="s">
        <v>74</v>
      </c>
      <c r="E2582" s="1" t="s">
        <v>74</v>
      </c>
      <c r="F2582" s="1" t="s">
        <v>41204</v>
      </c>
      <c r="G2582" s="1" t="s">
        <v>74</v>
      </c>
      <c r="H2582" s="1" t="s">
        <v>74</v>
      </c>
      <c r="I2582" s="1" t="s">
        <v>41205</v>
      </c>
      <c r="J2582" s="1" t="s">
        <v>179</v>
      </c>
      <c r="K2582" s="1" t="s">
        <v>74</v>
      </c>
      <c r="L2582" s="1" t="s">
        <v>74</v>
      </c>
      <c r="M2582" s="1" t="s">
        <v>78</v>
      </c>
      <c r="N2582" s="1" t="s">
        <v>79</v>
      </c>
      <c r="O2582" s="1" t="s">
        <v>74</v>
      </c>
      <c r="P2582" s="1" t="s">
        <v>74</v>
      </c>
      <c r="Q2582" s="1" t="s">
        <v>74</v>
      </c>
      <c r="R2582" s="1" t="s">
        <v>74</v>
      </c>
      <c r="S2582" s="1" t="s">
        <v>74</v>
      </c>
      <c r="T2582" s="1" t="s">
        <v>41206</v>
      </c>
      <c r="U2582" s="1" t="s">
        <v>41207</v>
      </c>
      <c r="V2582" s="1" t="s">
        <v>41208</v>
      </c>
      <c r="W2582" s="1" t="s">
        <v>41209</v>
      </c>
      <c r="X2582" s="1" t="s">
        <v>41210</v>
      </c>
      <c r="Y2582" s="1" t="s">
        <v>41211</v>
      </c>
      <c r="Z2582" s="1" t="s">
        <v>41212</v>
      </c>
      <c r="AA2582" s="1" t="s">
        <v>13410</v>
      </c>
      <c r="AB2582" s="1" t="s">
        <v>41213</v>
      </c>
      <c r="AC2582" s="1" t="s">
        <v>41214</v>
      </c>
      <c r="AD2582" s="1" t="s">
        <v>41215</v>
      </c>
      <c r="AE2582" s="1" t="s">
        <v>41216</v>
      </c>
      <c r="AF2582" s="1" t="s">
        <v>74</v>
      </c>
      <c r="AG2582" s="1">
        <v>56</v>
      </c>
      <c r="AH2582" s="1">
        <v>13</v>
      </c>
      <c r="AI2582" s="1">
        <v>13</v>
      </c>
      <c r="AJ2582" s="1">
        <v>3</v>
      </c>
      <c r="AK2582" s="1">
        <v>16</v>
      </c>
      <c r="AL2582" s="1" t="s">
        <v>112</v>
      </c>
      <c r="AM2582" s="1" t="s">
        <v>191</v>
      </c>
      <c r="AN2582" s="1" t="s">
        <v>192</v>
      </c>
      <c r="AO2582" s="1" t="s">
        <v>193</v>
      </c>
      <c r="AP2582" s="1" t="s">
        <v>194</v>
      </c>
      <c r="AQ2582" s="1" t="s">
        <v>74</v>
      </c>
      <c r="AR2582" s="1" t="s">
        <v>195</v>
      </c>
      <c r="AS2582" s="1" t="s">
        <v>196</v>
      </c>
      <c r="AT2582" s="1" t="s">
        <v>41217</v>
      </c>
      <c r="AU2582" s="1">
        <v>2020</v>
      </c>
      <c r="AV2582" s="1">
        <v>192</v>
      </c>
      <c r="AW2582" s="1">
        <v>9</v>
      </c>
      <c r="AX2582" s="1" t="s">
        <v>74</v>
      </c>
      <c r="AY2582" s="1" t="s">
        <v>74</v>
      </c>
      <c r="AZ2582" s="1" t="s">
        <v>74</v>
      </c>
      <c r="BA2582" s="1" t="s">
        <v>74</v>
      </c>
      <c r="BB2582" s="1" t="s">
        <v>74</v>
      </c>
      <c r="BC2582" s="1" t="s">
        <v>74</v>
      </c>
      <c r="BD2582" s="1">
        <v>566</v>
      </c>
      <c r="BE2582" s="1" t="s">
        <v>41218</v>
      </c>
      <c r="BF2582" s="1" t="str">
        <f>HYPERLINK("http://dx.doi.org/10.1007/s10661-020-08502-z","http://dx.doi.org/10.1007/s10661-020-08502-z")</f>
        <v>http://dx.doi.org/10.1007/s10661-020-08502-z</v>
      </c>
      <c r="BG2582" s="1" t="s">
        <v>74</v>
      </c>
      <c r="BH2582" s="1" t="s">
        <v>74</v>
      </c>
      <c r="BI2582" s="1">
        <v>13</v>
      </c>
      <c r="BJ2582" s="1" t="s">
        <v>144</v>
      </c>
      <c r="BK2582" s="1" t="s">
        <v>96</v>
      </c>
      <c r="BL2582" s="1" t="s">
        <v>145</v>
      </c>
      <c r="BM2582" s="1" t="s">
        <v>41219</v>
      </c>
      <c r="BN2582" s="1">
        <v>32767125</v>
      </c>
      <c r="BO2582" s="1" t="s">
        <v>74</v>
      </c>
      <c r="BP2582" s="1" t="s">
        <v>74</v>
      </c>
      <c r="BQ2582" s="1" t="s">
        <v>74</v>
      </c>
      <c r="BR2582" s="1" t="s">
        <v>98</v>
      </c>
      <c r="BS2582" s="1" t="s">
        <v>41220</v>
      </c>
      <c r="BT2582" s="1" t="str">
        <f>HYPERLINK("https%3A%2F%2Fwww.webofscience.com%2Fwos%2Fwoscc%2Ffull-record%2FWOS:000561107700001","View Full Record in Web of Science")</f>
        <v>View Full Record in Web of Science</v>
      </c>
      <c r="BU2582" s="1"/>
      <c r="BV2582" s="1"/>
    </row>
    <row r="2583" spans="1:74">
      <c r="A2583" s="1" t="s">
        <v>72</v>
      </c>
      <c r="B2583" s="1" t="s">
        <v>41221</v>
      </c>
      <c r="C2583" s="1" t="s">
        <v>74</v>
      </c>
      <c r="D2583" s="1" t="s">
        <v>74</v>
      </c>
      <c r="E2583" s="1" t="s">
        <v>74</v>
      </c>
      <c r="F2583" s="1" t="s">
        <v>41222</v>
      </c>
      <c r="G2583" s="1" t="s">
        <v>74</v>
      </c>
      <c r="H2583" s="1" t="s">
        <v>74</v>
      </c>
      <c r="I2583" s="1" t="s">
        <v>41223</v>
      </c>
      <c r="J2583" s="1" t="s">
        <v>5592</v>
      </c>
      <c r="K2583" s="1" t="s">
        <v>74</v>
      </c>
      <c r="L2583" s="1" t="s">
        <v>74</v>
      </c>
      <c r="M2583" s="1" t="s">
        <v>78</v>
      </c>
      <c r="N2583" s="1" t="s">
        <v>79</v>
      </c>
      <c r="O2583" s="1" t="s">
        <v>74</v>
      </c>
      <c r="P2583" s="1" t="s">
        <v>74</v>
      </c>
      <c r="Q2583" s="1" t="s">
        <v>74</v>
      </c>
      <c r="R2583" s="1" t="s">
        <v>74</v>
      </c>
      <c r="S2583" s="1" t="s">
        <v>74</v>
      </c>
      <c r="T2583" s="1" t="s">
        <v>41224</v>
      </c>
      <c r="U2583" s="1" t="s">
        <v>41225</v>
      </c>
      <c r="V2583" s="1" t="s">
        <v>41226</v>
      </c>
      <c r="W2583" s="1" t="s">
        <v>41227</v>
      </c>
      <c r="X2583" s="1" t="s">
        <v>41228</v>
      </c>
      <c r="Y2583" s="1" t="s">
        <v>41229</v>
      </c>
      <c r="Z2583" s="1" t="s">
        <v>41230</v>
      </c>
      <c r="AA2583" s="1" t="s">
        <v>41231</v>
      </c>
      <c r="AB2583" s="1" t="s">
        <v>41232</v>
      </c>
      <c r="AC2583" s="1" t="s">
        <v>74</v>
      </c>
      <c r="AD2583" s="1" t="s">
        <v>74</v>
      </c>
      <c r="AE2583" s="1" t="s">
        <v>74</v>
      </c>
      <c r="AF2583" s="1" t="s">
        <v>74</v>
      </c>
      <c r="AG2583" s="1">
        <v>40</v>
      </c>
      <c r="AH2583" s="1">
        <v>8</v>
      </c>
      <c r="AI2583" s="1">
        <v>9</v>
      </c>
      <c r="AJ2583" s="1">
        <v>0</v>
      </c>
      <c r="AK2583" s="1">
        <v>7</v>
      </c>
      <c r="AL2583" s="1" t="s">
        <v>285</v>
      </c>
      <c r="AM2583" s="1" t="s">
        <v>286</v>
      </c>
      <c r="AN2583" s="1" t="s">
        <v>287</v>
      </c>
      <c r="AO2583" s="1" t="s">
        <v>5605</v>
      </c>
      <c r="AP2583" s="1" t="s">
        <v>5606</v>
      </c>
      <c r="AQ2583" s="1" t="s">
        <v>74</v>
      </c>
      <c r="AR2583" s="1" t="s">
        <v>5607</v>
      </c>
      <c r="AS2583" s="1" t="s">
        <v>5608</v>
      </c>
      <c r="AT2583" s="1" t="s">
        <v>3220</v>
      </c>
      <c r="AU2583" s="1">
        <v>2008</v>
      </c>
      <c r="AV2583" s="1">
        <v>79</v>
      </c>
      <c r="AW2583" s="1">
        <v>1</v>
      </c>
      <c r="AX2583" s="1" t="s">
        <v>74</v>
      </c>
      <c r="AY2583" s="1" t="s">
        <v>74</v>
      </c>
      <c r="AZ2583" s="1" t="s">
        <v>74</v>
      </c>
      <c r="BA2583" s="1" t="s">
        <v>74</v>
      </c>
      <c r="BB2583" s="1">
        <v>152</v>
      </c>
      <c r="BC2583" s="1">
        <v>156</v>
      </c>
      <c r="BD2583" s="1" t="s">
        <v>74</v>
      </c>
      <c r="BE2583" s="1" t="s">
        <v>41233</v>
      </c>
      <c r="BF2583" s="1" t="str">
        <f>HYPERLINK("http://dx.doi.org/10.1016/j.ecss.2008.03.015","http://dx.doi.org/10.1016/j.ecss.2008.03.015")</f>
        <v>http://dx.doi.org/10.1016/j.ecss.2008.03.015</v>
      </c>
      <c r="BG2583" s="1" t="s">
        <v>74</v>
      </c>
      <c r="BH2583" s="1" t="s">
        <v>74</v>
      </c>
      <c r="BI2583" s="1">
        <v>5</v>
      </c>
      <c r="BJ2583" s="1" t="s">
        <v>4241</v>
      </c>
      <c r="BK2583" s="1" t="s">
        <v>96</v>
      </c>
      <c r="BL2583" s="1" t="s">
        <v>4241</v>
      </c>
      <c r="BM2583" s="1" t="s">
        <v>41234</v>
      </c>
      <c r="BN2583" s="1" t="s">
        <v>74</v>
      </c>
      <c r="BO2583" s="1" t="s">
        <v>810</v>
      </c>
      <c r="BP2583" s="1" t="s">
        <v>74</v>
      </c>
      <c r="BQ2583" s="1" t="s">
        <v>74</v>
      </c>
      <c r="BR2583" s="1" t="s">
        <v>98</v>
      </c>
      <c r="BS2583" s="1" t="s">
        <v>41235</v>
      </c>
      <c r="BT2583" s="1" t="str">
        <f>HYPERLINK("https%3A%2F%2Fwww.webofscience.com%2Fwos%2Fwoscc%2Ffull-record%2FWOS:000257977300018","View Full Record in Web of Science")</f>
        <v>View Full Record in Web of Science</v>
      </c>
      <c r="BU2583" s="1"/>
      <c r="BV2583" s="1"/>
    </row>
    <row r="2584" spans="1:74">
      <c r="A2584" s="1" t="s">
        <v>72</v>
      </c>
      <c r="B2584" s="1" t="s">
        <v>41236</v>
      </c>
      <c r="C2584" s="1" t="s">
        <v>74</v>
      </c>
      <c r="D2584" s="1" t="s">
        <v>74</v>
      </c>
      <c r="E2584" s="1" t="s">
        <v>74</v>
      </c>
      <c r="F2584" s="1" t="s">
        <v>41236</v>
      </c>
      <c r="G2584" s="1" t="s">
        <v>74</v>
      </c>
      <c r="H2584" s="1" t="s">
        <v>74</v>
      </c>
      <c r="I2584" s="1" t="s">
        <v>41237</v>
      </c>
      <c r="J2584" s="1" t="s">
        <v>41238</v>
      </c>
      <c r="K2584" s="1" t="s">
        <v>74</v>
      </c>
      <c r="L2584" s="1" t="s">
        <v>74</v>
      </c>
      <c r="M2584" s="1" t="s">
        <v>78</v>
      </c>
      <c r="N2584" s="1" t="s">
        <v>79</v>
      </c>
      <c r="O2584" s="1" t="s">
        <v>74</v>
      </c>
      <c r="P2584" s="1" t="s">
        <v>74</v>
      </c>
      <c r="Q2584" s="1" t="s">
        <v>74</v>
      </c>
      <c r="R2584" s="1" t="s">
        <v>74</v>
      </c>
      <c r="S2584" s="1" t="s">
        <v>74</v>
      </c>
      <c r="T2584" s="1" t="s">
        <v>41239</v>
      </c>
      <c r="U2584" s="1" t="s">
        <v>41240</v>
      </c>
      <c r="V2584" s="1" t="s">
        <v>41241</v>
      </c>
      <c r="W2584" s="1" t="s">
        <v>41242</v>
      </c>
      <c r="X2584" s="1" t="s">
        <v>41243</v>
      </c>
      <c r="Y2584" s="1" t="s">
        <v>41244</v>
      </c>
      <c r="Z2584" s="1" t="s">
        <v>2699</v>
      </c>
      <c r="AA2584" s="1" t="s">
        <v>41245</v>
      </c>
      <c r="AB2584" s="1" t="s">
        <v>41246</v>
      </c>
      <c r="AC2584" s="1" t="s">
        <v>74</v>
      </c>
      <c r="AD2584" s="1" t="s">
        <v>74</v>
      </c>
      <c r="AE2584" s="1" t="s">
        <v>74</v>
      </c>
      <c r="AF2584" s="1" t="s">
        <v>74</v>
      </c>
      <c r="AG2584" s="1">
        <v>50</v>
      </c>
      <c r="AH2584" s="1">
        <v>86</v>
      </c>
      <c r="AI2584" s="1">
        <v>97</v>
      </c>
      <c r="AJ2584" s="1">
        <v>1</v>
      </c>
      <c r="AK2584" s="1">
        <v>30</v>
      </c>
      <c r="AL2584" s="1" t="s">
        <v>112</v>
      </c>
      <c r="AM2584" s="1" t="s">
        <v>113</v>
      </c>
      <c r="AN2584" s="1" t="s">
        <v>469</v>
      </c>
      <c r="AO2584" s="1" t="s">
        <v>41247</v>
      </c>
      <c r="AP2584" s="1" t="s">
        <v>41248</v>
      </c>
      <c r="AQ2584" s="1" t="s">
        <v>74</v>
      </c>
      <c r="AR2584" s="1" t="s">
        <v>41249</v>
      </c>
      <c r="AS2584" s="1" t="s">
        <v>41250</v>
      </c>
      <c r="AT2584" s="1" t="s">
        <v>765</v>
      </c>
      <c r="AU2584" s="1">
        <v>2005</v>
      </c>
      <c r="AV2584" s="1">
        <v>321</v>
      </c>
      <c r="AW2584" s="1">
        <v>1</v>
      </c>
      <c r="AX2584" s="1" t="s">
        <v>74</v>
      </c>
      <c r="AY2584" s="1" t="s">
        <v>74</v>
      </c>
      <c r="AZ2584" s="1" t="s">
        <v>74</v>
      </c>
      <c r="BA2584" s="1" t="s">
        <v>74</v>
      </c>
      <c r="BB2584" s="1">
        <v>131</v>
      </c>
      <c r="BC2584" s="1">
        <v>140</v>
      </c>
      <c r="BD2584" s="1" t="s">
        <v>74</v>
      </c>
      <c r="BE2584" s="1" t="s">
        <v>41251</v>
      </c>
      <c r="BF2584" s="1" t="str">
        <f>HYPERLINK("http://dx.doi.org/10.1007/s00441-005-1093-9","http://dx.doi.org/10.1007/s00441-005-1093-9")</f>
        <v>http://dx.doi.org/10.1007/s00441-005-1093-9</v>
      </c>
      <c r="BG2584" s="1" t="s">
        <v>74</v>
      </c>
      <c r="BH2584" s="1" t="s">
        <v>74</v>
      </c>
      <c r="BI2584" s="1">
        <v>10</v>
      </c>
      <c r="BJ2584" s="1" t="s">
        <v>12307</v>
      </c>
      <c r="BK2584" s="1" t="s">
        <v>96</v>
      </c>
      <c r="BL2584" s="1" t="s">
        <v>12307</v>
      </c>
      <c r="BM2584" s="1" t="s">
        <v>41252</v>
      </c>
      <c r="BN2584" s="1">
        <v>15902503</v>
      </c>
      <c r="BO2584" s="1" t="s">
        <v>74</v>
      </c>
      <c r="BP2584" s="1" t="s">
        <v>74</v>
      </c>
      <c r="BQ2584" s="1" t="s">
        <v>74</v>
      </c>
      <c r="BR2584" s="1" t="s">
        <v>98</v>
      </c>
      <c r="BS2584" s="1" t="s">
        <v>41253</v>
      </c>
      <c r="BT2584" s="1" t="str">
        <f>HYPERLINK("https%3A%2F%2Fwww.webofscience.com%2Fwos%2Fwoscc%2Ffull-record%2FWOS:000230317000014","View Full Record in Web of Science")</f>
        <v>View Full Record in Web of Science</v>
      </c>
      <c r="BU2584" s="1"/>
      <c r="BV2584" s="1"/>
    </row>
    <row r="2585" spans="1:74">
      <c r="A2585" s="1" t="s">
        <v>72</v>
      </c>
      <c r="B2585" s="1" t="s">
        <v>41254</v>
      </c>
      <c r="C2585" s="1" t="s">
        <v>74</v>
      </c>
      <c r="D2585" s="1" t="s">
        <v>74</v>
      </c>
      <c r="E2585" s="1" t="s">
        <v>74</v>
      </c>
      <c r="F2585" s="1" t="s">
        <v>41255</v>
      </c>
      <c r="G2585" s="1" t="s">
        <v>74</v>
      </c>
      <c r="H2585" s="1" t="s">
        <v>74</v>
      </c>
      <c r="I2585" s="1" t="s">
        <v>41256</v>
      </c>
      <c r="J2585" s="1" t="s">
        <v>31052</v>
      </c>
      <c r="K2585" s="1" t="s">
        <v>74</v>
      </c>
      <c r="L2585" s="1" t="s">
        <v>74</v>
      </c>
      <c r="M2585" s="1" t="s">
        <v>78</v>
      </c>
      <c r="N2585" s="1" t="s">
        <v>79</v>
      </c>
      <c r="O2585" s="1" t="s">
        <v>74</v>
      </c>
      <c r="P2585" s="1" t="s">
        <v>74</v>
      </c>
      <c r="Q2585" s="1" t="s">
        <v>74</v>
      </c>
      <c r="R2585" s="1" t="s">
        <v>74</v>
      </c>
      <c r="S2585" s="1" t="s">
        <v>74</v>
      </c>
      <c r="T2585" s="1" t="s">
        <v>41257</v>
      </c>
      <c r="U2585" s="1" t="s">
        <v>41258</v>
      </c>
      <c r="V2585" s="1" t="s">
        <v>41259</v>
      </c>
      <c r="W2585" s="1" t="s">
        <v>41260</v>
      </c>
      <c r="X2585" s="1" t="s">
        <v>19550</v>
      </c>
      <c r="Y2585" s="1" t="s">
        <v>41261</v>
      </c>
      <c r="Z2585" s="1" t="s">
        <v>41262</v>
      </c>
      <c r="AA2585" s="1" t="s">
        <v>41263</v>
      </c>
      <c r="AB2585" s="1" t="s">
        <v>41264</v>
      </c>
      <c r="AC2585" s="1" t="s">
        <v>74</v>
      </c>
      <c r="AD2585" s="1" t="s">
        <v>74</v>
      </c>
      <c r="AE2585" s="1" t="s">
        <v>74</v>
      </c>
      <c r="AF2585" s="1" t="s">
        <v>74</v>
      </c>
      <c r="AG2585" s="1">
        <v>33</v>
      </c>
      <c r="AH2585" s="1">
        <v>6</v>
      </c>
      <c r="AI2585" s="1">
        <v>6</v>
      </c>
      <c r="AJ2585" s="1">
        <v>1</v>
      </c>
      <c r="AK2585" s="1">
        <v>15</v>
      </c>
      <c r="AL2585" s="1" t="s">
        <v>112</v>
      </c>
      <c r="AM2585" s="1" t="s">
        <v>191</v>
      </c>
      <c r="AN2585" s="1" t="s">
        <v>192</v>
      </c>
      <c r="AO2585" s="1" t="s">
        <v>31061</v>
      </c>
      <c r="AP2585" s="1" t="s">
        <v>31062</v>
      </c>
      <c r="AQ2585" s="1" t="s">
        <v>74</v>
      </c>
      <c r="AR2585" s="1" t="s">
        <v>31063</v>
      </c>
      <c r="AS2585" s="1" t="s">
        <v>31064</v>
      </c>
      <c r="AT2585" s="1" t="s">
        <v>224</v>
      </c>
      <c r="AU2585" s="1">
        <v>2011</v>
      </c>
      <c r="AV2585" s="1">
        <v>19</v>
      </c>
      <c r="AW2585" s="1">
        <v>1</v>
      </c>
      <c r="AX2585" s="1" t="s">
        <v>74</v>
      </c>
      <c r="AY2585" s="1" t="s">
        <v>74</v>
      </c>
      <c r="AZ2585" s="1" t="s">
        <v>74</v>
      </c>
      <c r="BA2585" s="1" t="s">
        <v>74</v>
      </c>
      <c r="BB2585" s="1">
        <v>103</v>
      </c>
      <c r="BC2585" s="1">
        <v>110</v>
      </c>
      <c r="BD2585" s="1" t="s">
        <v>74</v>
      </c>
      <c r="BE2585" s="1" t="s">
        <v>41265</v>
      </c>
      <c r="BF2585" s="1" t="str">
        <f>HYPERLINK("http://dx.doi.org/10.1007/s10499-010-9344-5","http://dx.doi.org/10.1007/s10499-010-9344-5")</f>
        <v>http://dx.doi.org/10.1007/s10499-010-9344-5</v>
      </c>
      <c r="BG2585" s="1" t="s">
        <v>74</v>
      </c>
      <c r="BH2585" s="1" t="s">
        <v>74</v>
      </c>
      <c r="BI2585" s="1">
        <v>8</v>
      </c>
      <c r="BJ2585" s="1" t="s">
        <v>746</v>
      </c>
      <c r="BK2585" s="1" t="s">
        <v>96</v>
      </c>
      <c r="BL2585" s="1" t="s">
        <v>746</v>
      </c>
      <c r="BM2585" s="1" t="s">
        <v>41266</v>
      </c>
      <c r="BN2585" s="1" t="s">
        <v>74</v>
      </c>
      <c r="BO2585" s="1" t="s">
        <v>74</v>
      </c>
      <c r="BP2585" s="1" t="s">
        <v>74</v>
      </c>
      <c r="BQ2585" s="1" t="s">
        <v>74</v>
      </c>
      <c r="BR2585" s="1" t="s">
        <v>98</v>
      </c>
      <c r="BS2585" s="1" t="s">
        <v>41267</v>
      </c>
      <c r="BT2585" s="1" t="str">
        <f>HYPERLINK("https%3A%2F%2Fwww.webofscience.com%2Fwos%2Fwoscc%2Ffull-record%2FWOS:000286200300009","View Full Record in Web of Science")</f>
        <v>View Full Record in Web of Science</v>
      </c>
      <c r="BU2585" s="1"/>
      <c r="BV2585" s="1"/>
    </row>
    <row r="2586" spans="1:74">
      <c r="A2586" s="1" t="s">
        <v>72</v>
      </c>
      <c r="B2586" s="1" t="s">
        <v>41268</v>
      </c>
      <c r="C2586" s="1" t="s">
        <v>74</v>
      </c>
      <c r="D2586" s="1" t="s">
        <v>74</v>
      </c>
      <c r="E2586" s="1" t="s">
        <v>74</v>
      </c>
      <c r="F2586" s="1" t="s">
        <v>41269</v>
      </c>
      <c r="G2586" s="1" t="s">
        <v>74</v>
      </c>
      <c r="H2586" s="1" t="s">
        <v>74</v>
      </c>
      <c r="I2586" s="1" t="s">
        <v>41270</v>
      </c>
      <c r="J2586" s="1" t="s">
        <v>3349</v>
      </c>
      <c r="K2586" s="1" t="s">
        <v>74</v>
      </c>
      <c r="L2586" s="1" t="s">
        <v>74</v>
      </c>
      <c r="M2586" s="1" t="s">
        <v>78</v>
      </c>
      <c r="N2586" s="1" t="s">
        <v>79</v>
      </c>
      <c r="O2586" s="1" t="s">
        <v>74</v>
      </c>
      <c r="P2586" s="1" t="s">
        <v>74</v>
      </c>
      <c r="Q2586" s="1" t="s">
        <v>74</v>
      </c>
      <c r="R2586" s="1" t="s">
        <v>74</v>
      </c>
      <c r="S2586" s="1" t="s">
        <v>74</v>
      </c>
      <c r="T2586" s="1" t="s">
        <v>41271</v>
      </c>
      <c r="U2586" s="1" t="s">
        <v>41272</v>
      </c>
      <c r="V2586" s="1" t="s">
        <v>41273</v>
      </c>
      <c r="W2586" s="1" t="s">
        <v>41274</v>
      </c>
      <c r="X2586" s="1" t="s">
        <v>37458</v>
      </c>
      <c r="Y2586" s="1" t="s">
        <v>41275</v>
      </c>
      <c r="Z2586" s="1" t="s">
        <v>13318</v>
      </c>
      <c r="AA2586" s="1" t="s">
        <v>41276</v>
      </c>
      <c r="AB2586" s="1" t="s">
        <v>37461</v>
      </c>
      <c r="AC2586" s="1" t="s">
        <v>41277</v>
      </c>
      <c r="AD2586" s="1" t="s">
        <v>41278</v>
      </c>
      <c r="AE2586" s="1" t="s">
        <v>41279</v>
      </c>
      <c r="AF2586" s="1" t="s">
        <v>74</v>
      </c>
      <c r="AG2586" s="1">
        <v>81</v>
      </c>
      <c r="AH2586" s="1">
        <v>2</v>
      </c>
      <c r="AI2586" s="1">
        <v>2</v>
      </c>
      <c r="AJ2586" s="1">
        <v>18</v>
      </c>
      <c r="AK2586" s="1">
        <v>25</v>
      </c>
      <c r="AL2586" s="1" t="s">
        <v>3362</v>
      </c>
      <c r="AM2586" s="1" t="s">
        <v>3363</v>
      </c>
      <c r="AN2586" s="1" t="s">
        <v>3364</v>
      </c>
      <c r="AO2586" s="1" t="s">
        <v>3365</v>
      </c>
      <c r="AP2586" s="1" t="s">
        <v>3366</v>
      </c>
      <c r="AQ2586" s="1" t="s">
        <v>74</v>
      </c>
      <c r="AR2586" s="1" t="s">
        <v>3367</v>
      </c>
      <c r="AS2586" s="1" t="s">
        <v>3368</v>
      </c>
      <c r="AT2586" s="1" t="s">
        <v>11873</v>
      </c>
      <c r="AU2586" s="1">
        <v>2024</v>
      </c>
      <c r="AV2586" s="1">
        <v>269</v>
      </c>
      <c r="AW2586" s="1" t="s">
        <v>74</v>
      </c>
      <c r="AX2586" s="1" t="s">
        <v>74</v>
      </c>
      <c r="AY2586" s="1" t="s">
        <v>74</v>
      </c>
      <c r="AZ2586" s="1" t="s">
        <v>74</v>
      </c>
      <c r="BA2586" s="1" t="s">
        <v>74</v>
      </c>
      <c r="BB2586" s="1" t="s">
        <v>74</v>
      </c>
      <c r="BC2586" s="1" t="s">
        <v>74</v>
      </c>
      <c r="BD2586" s="1">
        <v>115806</v>
      </c>
      <c r="BE2586" s="1" t="s">
        <v>41280</v>
      </c>
      <c r="BF2586" s="1" t="str">
        <f>HYPERLINK("http://dx.doi.org/10.1016/j.ecoenv.2023.115806","http://dx.doi.org/10.1016/j.ecoenv.2023.115806")</f>
        <v>http://dx.doi.org/10.1016/j.ecoenv.2023.115806</v>
      </c>
      <c r="BG2586" s="1" t="s">
        <v>74</v>
      </c>
      <c r="BH2586" s="1" t="s">
        <v>3832</v>
      </c>
      <c r="BI2586" s="1">
        <v>12</v>
      </c>
      <c r="BJ2586" s="1" t="s">
        <v>121</v>
      </c>
      <c r="BK2586" s="1" t="s">
        <v>96</v>
      </c>
      <c r="BL2586" s="1" t="s">
        <v>122</v>
      </c>
      <c r="BM2586" s="1" t="s">
        <v>41281</v>
      </c>
      <c r="BN2586" s="1">
        <v>38091672</v>
      </c>
      <c r="BO2586" s="1" t="s">
        <v>873</v>
      </c>
      <c r="BP2586" s="1" t="s">
        <v>74</v>
      </c>
      <c r="BQ2586" s="1" t="s">
        <v>74</v>
      </c>
      <c r="BR2586" s="1" t="s">
        <v>98</v>
      </c>
      <c r="BS2586" s="1" t="s">
        <v>41282</v>
      </c>
      <c r="BT2586" s="1" t="str">
        <f>HYPERLINK("https%3A%2F%2Fwww.webofscience.com%2Fwos%2Fwoscc%2Ffull-record%2FWOS:001141450100001","View Full Record in Web of Science")</f>
        <v>View Full Record in Web of Science</v>
      </c>
      <c r="BU2586" s="1"/>
      <c r="BV2586" s="1"/>
    </row>
    <row r="2587" spans="1:74">
      <c r="A2587" s="1" t="s">
        <v>72</v>
      </c>
      <c r="B2587" s="1" t="s">
        <v>41283</v>
      </c>
      <c r="C2587" s="1" t="s">
        <v>74</v>
      </c>
      <c r="D2587" s="1" t="s">
        <v>74</v>
      </c>
      <c r="E2587" s="1" t="s">
        <v>74</v>
      </c>
      <c r="F2587" s="1" t="s">
        <v>41284</v>
      </c>
      <c r="G2587" s="1" t="s">
        <v>74</v>
      </c>
      <c r="H2587" s="1" t="s">
        <v>74</v>
      </c>
      <c r="I2587" s="1" t="s">
        <v>41285</v>
      </c>
      <c r="J2587" s="1" t="s">
        <v>7584</v>
      </c>
      <c r="K2587" s="1" t="s">
        <v>74</v>
      </c>
      <c r="L2587" s="1" t="s">
        <v>74</v>
      </c>
      <c r="M2587" s="1" t="s">
        <v>78</v>
      </c>
      <c r="N2587" s="1" t="s">
        <v>79</v>
      </c>
      <c r="O2587" s="1" t="s">
        <v>74</v>
      </c>
      <c r="P2587" s="1" t="s">
        <v>74</v>
      </c>
      <c r="Q2587" s="1" t="s">
        <v>74</v>
      </c>
      <c r="R2587" s="1" t="s">
        <v>74</v>
      </c>
      <c r="S2587" s="1" t="s">
        <v>74</v>
      </c>
      <c r="T2587" s="1" t="s">
        <v>41286</v>
      </c>
      <c r="U2587" s="1" t="s">
        <v>41287</v>
      </c>
      <c r="V2587" s="1" t="s">
        <v>41288</v>
      </c>
      <c r="W2587" s="1" t="s">
        <v>41289</v>
      </c>
      <c r="X2587" s="1" t="s">
        <v>41290</v>
      </c>
      <c r="Y2587" s="1" t="s">
        <v>41291</v>
      </c>
      <c r="Z2587" s="1" t="s">
        <v>41292</v>
      </c>
      <c r="AA2587" s="1" t="s">
        <v>41293</v>
      </c>
      <c r="AB2587" s="1" t="s">
        <v>41294</v>
      </c>
      <c r="AC2587" s="1" t="s">
        <v>41295</v>
      </c>
      <c r="AD2587" s="1" t="s">
        <v>41296</v>
      </c>
      <c r="AE2587" s="1" t="s">
        <v>41297</v>
      </c>
      <c r="AF2587" s="1" t="s">
        <v>74</v>
      </c>
      <c r="AG2587" s="1">
        <v>60</v>
      </c>
      <c r="AH2587" s="1">
        <v>53</v>
      </c>
      <c r="AI2587" s="1">
        <v>54</v>
      </c>
      <c r="AJ2587" s="1">
        <v>13</v>
      </c>
      <c r="AK2587" s="1">
        <v>109</v>
      </c>
      <c r="AL2587" s="1" t="s">
        <v>136</v>
      </c>
      <c r="AM2587" s="1" t="s">
        <v>137</v>
      </c>
      <c r="AN2587" s="1" t="s">
        <v>138</v>
      </c>
      <c r="AO2587" s="1" t="s">
        <v>7589</v>
      </c>
      <c r="AP2587" s="1" t="s">
        <v>74</v>
      </c>
      <c r="AQ2587" s="1" t="s">
        <v>74</v>
      </c>
      <c r="AR2587" s="1" t="s">
        <v>7591</v>
      </c>
      <c r="AS2587" s="1" t="s">
        <v>7592</v>
      </c>
      <c r="AT2587" s="1" t="s">
        <v>344</v>
      </c>
      <c r="AU2587" s="1">
        <v>2020</v>
      </c>
      <c r="AV2587" s="1">
        <v>179</v>
      </c>
      <c r="AW2587" s="1" t="s">
        <v>74</v>
      </c>
      <c r="AX2587" s="1" t="s">
        <v>74</v>
      </c>
      <c r="AY2587" s="1" t="s">
        <v>74</v>
      </c>
      <c r="AZ2587" s="1" t="s">
        <v>74</v>
      </c>
      <c r="BA2587" s="1" t="s">
        <v>74</v>
      </c>
      <c r="BB2587" s="1" t="s">
        <v>74</v>
      </c>
      <c r="BC2587" s="1" t="s">
        <v>74</v>
      </c>
      <c r="BD2587" s="1">
        <v>115890</v>
      </c>
      <c r="BE2587" s="1" t="s">
        <v>41298</v>
      </c>
      <c r="BF2587" s="1" t="str">
        <f>HYPERLINK("http://dx.doi.org/10.1016/j.watres.2020.115890","http://dx.doi.org/10.1016/j.watres.2020.115890")</f>
        <v>http://dx.doi.org/10.1016/j.watres.2020.115890</v>
      </c>
      <c r="BG2587" s="1" t="s">
        <v>74</v>
      </c>
      <c r="BH2587" s="1" t="s">
        <v>74</v>
      </c>
      <c r="BI2587" s="1">
        <v>11</v>
      </c>
      <c r="BJ2587" s="1" t="s">
        <v>587</v>
      </c>
      <c r="BK2587" s="1" t="s">
        <v>96</v>
      </c>
      <c r="BL2587" s="1" t="s">
        <v>589</v>
      </c>
      <c r="BM2587" s="1" t="s">
        <v>41299</v>
      </c>
      <c r="BN2587" s="1">
        <v>32402865</v>
      </c>
      <c r="BO2587" s="1" t="s">
        <v>41300</v>
      </c>
      <c r="BP2587" s="1" t="s">
        <v>74</v>
      </c>
      <c r="BQ2587" s="1" t="s">
        <v>74</v>
      </c>
      <c r="BR2587" s="1" t="s">
        <v>98</v>
      </c>
      <c r="BS2587" s="1" t="s">
        <v>41301</v>
      </c>
      <c r="BT2587" s="1" t="str">
        <f>HYPERLINK("https%3A%2F%2Fwww.webofscience.com%2Fwos%2Fwoscc%2Ffull-record%2FWOS:000537695500018","View Full Record in Web of Science")</f>
        <v>View Full Record in Web of Science</v>
      </c>
      <c r="BU2587" s="1"/>
      <c r="BV2587" s="1"/>
    </row>
    <row r="2588" spans="1:74">
      <c r="A2588" s="1" t="s">
        <v>72</v>
      </c>
      <c r="B2588" s="1" t="s">
        <v>41302</v>
      </c>
      <c r="C2588" s="1" t="s">
        <v>74</v>
      </c>
      <c r="D2588" s="1" t="s">
        <v>74</v>
      </c>
      <c r="E2588" s="1" t="s">
        <v>74</v>
      </c>
      <c r="F2588" s="1" t="s">
        <v>41302</v>
      </c>
      <c r="G2588" s="1" t="s">
        <v>74</v>
      </c>
      <c r="H2588" s="1" t="s">
        <v>74</v>
      </c>
      <c r="I2588" s="1" t="s">
        <v>41303</v>
      </c>
      <c r="J2588" s="1" t="s">
        <v>752</v>
      </c>
      <c r="K2588" s="1" t="s">
        <v>74</v>
      </c>
      <c r="L2588" s="1" t="s">
        <v>74</v>
      </c>
      <c r="M2588" s="1" t="s">
        <v>78</v>
      </c>
      <c r="N2588" s="1" t="s">
        <v>79</v>
      </c>
      <c r="O2588" s="1" t="s">
        <v>74</v>
      </c>
      <c r="P2588" s="1" t="s">
        <v>74</v>
      </c>
      <c r="Q2588" s="1" t="s">
        <v>74</v>
      </c>
      <c r="R2588" s="1" t="s">
        <v>74</v>
      </c>
      <c r="S2588" s="1" t="s">
        <v>74</v>
      </c>
      <c r="T2588" s="1" t="s">
        <v>74</v>
      </c>
      <c r="U2588" s="1" t="s">
        <v>41304</v>
      </c>
      <c r="V2588" s="1" t="s">
        <v>41305</v>
      </c>
      <c r="W2588" s="1" t="s">
        <v>74</v>
      </c>
      <c r="X2588" s="1" t="s">
        <v>74</v>
      </c>
      <c r="Y2588" s="1" t="s">
        <v>41306</v>
      </c>
      <c r="Z2588" s="1" t="s">
        <v>74</v>
      </c>
      <c r="AA2588" s="1" t="s">
        <v>41307</v>
      </c>
      <c r="AB2588" s="1" t="s">
        <v>41308</v>
      </c>
      <c r="AC2588" s="1" t="s">
        <v>74</v>
      </c>
      <c r="AD2588" s="1" t="s">
        <v>74</v>
      </c>
      <c r="AE2588" s="1" t="s">
        <v>74</v>
      </c>
      <c r="AF2588" s="1" t="s">
        <v>74</v>
      </c>
      <c r="AG2588" s="1">
        <v>47</v>
      </c>
      <c r="AH2588" s="1">
        <v>90</v>
      </c>
      <c r="AI2588" s="1">
        <v>113</v>
      </c>
      <c r="AJ2588" s="1">
        <v>0</v>
      </c>
      <c r="AK2588" s="1">
        <v>21</v>
      </c>
      <c r="AL2588" s="1" t="s">
        <v>430</v>
      </c>
      <c r="AM2588" s="1" t="s">
        <v>137</v>
      </c>
      <c r="AN2588" s="1" t="s">
        <v>1600</v>
      </c>
      <c r="AO2588" s="1" t="s">
        <v>761</v>
      </c>
      <c r="AP2588" s="1" t="s">
        <v>74</v>
      </c>
      <c r="AQ2588" s="1" t="s">
        <v>74</v>
      </c>
      <c r="AR2588" s="1" t="s">
        <v>763</v>
      </c>
      <c r="AS2588" s="1" t="s">
        <v>764</v>
      </c>
      <c r="AT2588" s="1" t="s">
        <v>74</v>
      </c>
      <c r="AU2588" s="1">
        <v>1994</v>
      </c>
      <c r="AV2588" s="1">
        <v>38</v>
      </c>
      <c r="AW2588" s="1">
        <v>4</v>
      </c>
      <c r="AX2588" s="1" t="s">
        <v>74</v>
      </c>
      <c r="AY2588" s="1" t="s">
        <v>74</v>
      </c>
      <c r="AZ2588" s="1" t="s">
        <v>74</v>
      </c>
      <c r="BA2588" s="1" t="s">
        <v>74</v>
      </c>
      <c r="BB2588" s="1">
        <v>243</v>
      </c>
      <c r="BC2588" s="1">
        <v>256</v>
      </c>
      <c r="BD2588" s="1" t="s">
        <v>74</v>
      </c>
      <c r="BE2588" s="1" t="s">
        <v>41309</v>
      </c>
      <c r="BF2588" s="1" t="str">
        <f>HYPERLINK("http://dx.doi.org/10.1016/0141-1136(94)90026-4","http://dx.doi.org/10.1016/0141-1136(94)90026-4")</f>
        <v>http://dx.doi.org/10.1016/0141-1136(94)90026-4</v>
      </c>
      <c r="BG2588" s="1" t="s">
        <v>74</v>
      </c>
      <c r="BH2588" s="1" t="s">
        <v>74</v>
      </c>
      <c r="BI2588" s="1">
        <v>14</v>
      </c>
      <c r="BJ2588" s="1" t="s">
        <v>768</v>
      </c>
      <c r="BK2588" s="1" t="s">
        <v>96</v>
      </c>
      <c r="BL2588" s="1" t="s">
        <v>769</v>
      </c>
      <c r="BM2588" s="1" t="s">
        <v>24480</v>
      </c>
      <c r="BN2588" s="1" t="s">
        <v>74</v>
      </c>
      <c r="BO2588" s="1" t="s">
        <v>74</v>
      </c>
      <c r="BP2588" s="1" t="s">
        <v>74</v>
      </c>
      <c r="BQ2588" s="1" t="s">
        <v>74</v>
      </c>
      <c r="BR2588" s="1" t="s">
        <v>98</v>
      </c>
      <c r="BS2588" s="1" t="s">
        <v>41310</v>
      </c>
      <c r="BT2588" s="1" t="str">
        <f>HYPERLINK("https%3A%2F%2Fwww.webofscience.com%2Fwos%2Fwoscc%2Ffull-record%2FWOS:A1994PN88400001","View Full Record in Web of Science")</f>
        <v>View Full Record in Web of Science</v>
      </c>
      <c r="BU2588" s="1"/>
      <c r="BV2588" s="1"/>
    </row>
    <row r="2589" spans="1:74">
      <c r="A2589" s="1" t="s">
        <v>72</v>
      </c>
      <c r="B2589" s="1" t="s">
        <v>41311</v>
      </c>
      <c r="C2589" s="1" t="s">
        <v>74</v>
      </c>
      <c r="D2589" s="1" t="s">
        <v>74</v>
      </c>
      <c r="E2589" s="1" t="s">
        <v>74</v>
      </c>
      <c r="F2589" s="1" t="s">
        <v>41312</v>
      </c>
      <c r="G2589" s="1" t="s">
        <v>74</v>
      </c>
      <c r="H2589" s="1" t="s">
        <v>74</v>
      </c>
      <c r="I2589" s="1" t="s">
        <v>41313</v>
      </c>
      <c r="J2589" s="1" t="s">
        <v>909</v>
      </c>
      <c r="K2589" s="1" t="s">
        <v>74</v>
      </c>
      <c r="L2589" s="1" t="s">
        <v>74</v>
      </c>
      <c r="M2589" s="1" t="s">
        <v>78</v>
      </c>
      <c r="N2589" s="1" t="s">
        <v>79</v>
      </c>
      <c r="O2589" s="1" t="s">
        <v>74</v>
      </c>
      <c r="P2589" s="1" t="s">
        <v>74</v>
      </c>
      <c r="Q2589" s="1" t="s">
        <v>74</v>
      </c>
      <c r="R2589" s="1" t="s">
        <v>74</v>
      </c>
      <c r="S2589" s="1" t="s">
        <v>74</v>
      </c>
      <c r="T2589" s="1" t="s">
        <v>41314</v>
      </c>
      <c r="U2589" s="1" t="s">
        <v>41315</v>
      </c>
      <c r="V2589" s="1" t="s">
        <v>41316</v>
      </c>
      <c r="W2589" s="1" t="s">
        <v>41317</v>
      </c>
      <c r="X2589" s="1" t="s">
        <v>41318</v>
      </c>
      <c r="Y2589" s="1" t="s">
        <v>41319</v>
      </c>
      <c r="Z2589" s="1" t="s">
        <v>41320</v>
      </c>
      <c r="AA2589" s="1" t="s">
        <v>41321</v>
      </c>
      <c r="AB2589" s="1" t="s">
        <v>74</v>
      </c>
      <c r="AC2589" s="1" t="s">
        <v>74</v>
      </c>
      <c r="AD2589" s="1" t="s">
        <v>74</v>
      </c>
      <c r="AE2589" s="1" t="s">
        <v>74</v>
      </c>
      <c r="AF2589" s="1" t="s">
        <v>74</v>
      </c>
      <c r="AG2589" s="1">
        <v>161</v>
      </c>
      <c r="AH2589" s="1">
        <v>0</v>
      </c>
      <c r="AI2589" s="1">
        <v>0</v>
      </c>
      <c r="AJ2589" s="1">
        <v>2</v>
      </c>
      <c r="AK2589" s="1">
        <v>2</v>
      </c>
      <c r="AL2589" s="1" t="s">
        <v>650</v>
      </c>
      <c r="AM2589" s="1" t="s">
        <v>651</v>
      </c>
      <c r="AN2589" s="1" t="s">
        <v>652</v>
      </c>
      <c r="AO2589" s="1" t="s">
        <v>921</v>
      </c>
      <c r="AP2589" s="1" t="s">
        <v>922</v>
      </c>
      <c r="AQ2589" s="1" t="s">
        <v>74</v>
      </c>
      <c r="AR2589" s="1" t="s">
        <v>923</v>
      </c>
      <c r="AS2589" s="1" t="s">
        <v>924</v>
      </c>
      <c r="AT2589" s="1" t="s">
        <v>27393</v>
      </c>
      <c r="AU2589" s="1">
        <v>2024</v>
      </c>
      <c r="AV2589" s="1">
        <v>928</v>
      </c>
      <c r="AW2589" s="1" t="s">
        <v>74</v>
      </c>
      <c r="AX2589" s="1" t="s">
        <v>74</v>
      </c>
      <c r="AY2589" s="1" t="s">
        <v>74</v>
      </c>
      <c r="AZ2589" s="1" t="s">
        <v>74</v>
      </c>
      <c r="BA2589" s="1" t="s">
        <v>74</v>
      </c>
      <c r="BB2589" s="1" t="s">
        <v>74</v>
      </c>
      <c r="BC2589" s="1" t="s">
        <v>74</v>
      </c>
      <c r="BD2589" s="1">
        <v>172393</v>
      </c>
      <c r="BE2589" s="1" t="s">
        <v>41322</v>
      </c>
      <c r="BF2589" s="1" t="str">
        <f>HYPERLINK("http://dx.doi.org/10.1016/j.scitotenv.2024.172393","http://dx.doi.org/10.1016/j.scitotenv.2024.172393")</f>
        <v>http://dx.doi.org/10.1016/j.scitotenv.2024.172393</v>
      </c>
      <c r="BG2589" s="1" t="s">
        <v>74</v>
      </c>
      <c r="BH2589" s="1" t="s">
        <v>9434</v>
      </c>
      <c r="BI2589" s="1">
        <v>16</v>
      </c>
      <c r="BJ2589" s="1" t="s">
        <v>144</v>
      </c>
      <c r="BK2589" s="1" t="s">
        <v>96</v>
      </c>
      <c r="BL2589" s="1" t="s">
        <v>145</v>
      </c>
      <c r="BM2589" s="1" t="s">
        <v>41323</v>
      </c>
      <c r="BN2589" s="1">
        <v>38608901</v>
      </c>
      <c r="BO2589" s="1" t="s">
        <v>74</v>
      </c>
      <c r="BP2589" s="1" t="s">
        <v>74</v>
      </c>
      <c r="BQ2589" s="1" t="s">
        <v>74</v>
      </c>
      <c r="BR2589" s="1" t="s">
        <v>98</v>
      </c>
      <c r="BS2589" s="1" t="s">
        <v>41324</v>
      </c>
      <c r="BT2589" s="1" t="str">
        <f>HYPERLINK("https%3A%2F%2Fwww.webofscience.com%2Fwos%2Fwoscc%2Ffull-record%2FWOS:001299500900001","View Full Record in Web of Science")</f>
        <v>View Full Record in Web of Science</v>
      </c>
      <c r="BU2589" s="1"/>
      <c r="BV2589" s="1"/>
    </row>
    <row r="2590" spans="1:74">
      <c r="A2590" s="1" t="s">
        <v>72</v>
      </c>
      <c r="B2590" s="1" t="s">
        <v>41325</v>
      </c>
      <c r="C2590" s="1" t="s">
        <v>74</v>
      </c>
      <c r="D2590" s="1" t="s">
        <v>74</v>
      </c>
      <c r="E2590" s="1" t="s">
        <v>74</v>
      </c>
      <c r="F2590" s="1" t="s">
        <v>41326</v>
      </c>
      <c r="G2590" s="1" t="s">
        <v>74</v>
      </c>
      <c r="H2590" s="1" t="s">
        <v>74</v>
      </c>
      <c r="I2590" s="1" t="s">
        <v>41327</v>
      </c>
      <c r="J2590" s="1" t="s">
        <v>41328</v>
      </c>
      <c r="K2590" s="1" t="s">
        <v>74</v>
      </c>
      <c r="L2590" s="1" t="s">
        <v>74</v>
      </c>
      <c r="M2590" s="1" t="s">
        <v>78</v>
      </c>
      <c r="N2590" s="1" t="s">
        <v>79</v>
      </c>
      <c r="O2590" s="1" t="s">
        <v>74</v>
      </c>
      <c r="P2590" s="1" t="s">
        <v>74</v>
      </c>
      <c r="Q2590" s="1" t="s">
        <v>74</v>
      </c>
      <c r="R2590" s="1" t="s">
        <v>74</v>
      </c>
      <c r="S2590" s="1" t="s">
        <v>74</v>
      </c>
      <c r="T2590" s="1" t="s">
        <v>74</v>
      </c>
      <c r="U2590" s="1" t="s">
        <v>41329</v>
      </c>
      <c r="V2590" s="1" t="s">
        <v>41330</v>
      </c>
      <c r="W2590" s="1" t="s">
        <v>41331</v>
      </c>
      <c r="X2590" s="1" t="s">
        <v>41332</v>
      </c>
      <c r="Y2590" s="1" t="s">
        <v>41333</v>
      </c>
      <c r="Z2590" s="1" t="s">
        <v>41334</v>
      </c>
      <c r="AA2590" s="1" t="s">
        <v>41335</v>
      </c>
      <c r="AB2590" s="1" t="s">
        <v>19467</v>
      </c>
      <c r="AC2590" s="1" t="s">
        <v>41336</v>
      </c>
      <c r="AD2590" s="1" t="s">
        <v>41337</v>
      </c>
      <c r="AE2590" s="1" t="s">
        <v>41338</v>
      </c>
      <c r="AF2590" s="1" t="s">
        <v>74</v>
      </c>
      <c r="AG2590" s="1">
        <v>60</v>
      </c>
      <c r="AH2590" s="1">
        <v>21</v>
      </c>
      <c r="AI2590" s="1">
        <v>21</v>
      </c>
      <c r="AJ2590" s="1">
        <v>1</v>
      </c>
      <c r="AK2590" s="1">
        <v>92</v>
      </c>
      <c r="AL2590" s="1" t="s">
        <v>112</v>
      </c>
      <c r="AM2590" s="1" t="s">
        <v>113</v>
      </c>
      <c r="AN2590" s="1" t="s">
        <v>469</v>
      </c>
      <c r="AO2590" s="1" t="s">
        <v>41339</v>
      </c>
      <c r="AP2590" s="1" t="s">
        <v>41340</v>
      </c>
      <c r="AQ2590" s="1" t="s">
        <v>74</v>
      </c>
      <c r="AR2590" s="1" t="s">
        <v>41341</v>
      </c>
      <c r="AS2590" s="1" t="s">
        <v>41342</v>
      </c>
      <c r="AT2590" s="1" t="s">
        <v>951</v>
      </c>
      <c r="AU2590" s="1">
        <v>2016</v>
      </c>
      <c r="AV2590" s="1">
        <v>51</v>
      </c>
      <c r="AW2590" s="1">
        <v>21</v>
      </c>
      <c r="AX2590" s="1" t="s">
        <v>74</v>
      </c>
      <c r="AY2590" s="1" t="s">
        <v>74</v>
      </c>
      <c r="AZ2590" s="1" t="s">
        <v>74</v>
      </c>
      <c r="BA2590" s="1" t="s">
        <v>74</v>
      </c>
      <c r="BB2590" s="1">
        <v>9625</v>
      </c>
      <c r="BC2590" s="1">
        <v>9637</v>
      </c>
      <c r="BD2590" s="1" t="s">
        <v>74</v>
      </c>
      <c r="BE2590" s="1" t="s">
        <v>41343</v>
      </c>
      <c r="BF2590" s="1" t="str">
        <f>HYPERLINK("http://dx.doi.org/10.1007/s10853-016-0178-z","http://dx.doi.org/10.1007/s10853-016-0178-z")</f>
        <v>http://dx.doi.org/10.1007/s10853-016-0178-z</v>
      </c>
      <c r="BG2590" s="1" t="s">
        <v>74</v>
      </c>
      <c r="BH2590" s="1" t="s">
        <v>74</v>
      </c>
      <c r="BI2590" s="1">
        <v>13</v>
      </c>
      <c r="BJ2590" s="1" t="s">
        <v>39378</v>
      </c>
      <c r="BK2590" s="1" t="s">
        <v>96</v>
      </c>
      <c r="BL2590" s="1" t="s">
        <v>39379</v>
      </c>
      <c r="BM2590" s="1" t="s">
        <v>41344</v>
      </c>
      <c r="BN2590" s="1" t="s">
        <v>74</v>
      </c>
      <c r="BO2590" s="1" t="s">
        <v>74</v>
      </c>
      <c r="BP2590" s="1" t="s">
        <v>74</v>
      </c>
      <c r="BQ2590" s="1" t="s">
        <v>74</v>
      </c>
      <c r="BR2590" s="1" t="s">
        <v>98</v>
      </c>
      <c r="BS2590" s="1" t="s">
        <v>41345</v>
      </c>
      <c r="BT2590" s="1" t="str">
        <f>HYPERLINK("https%3A%2F%2Fwww.webofscience.com%2Fwos%2Fwoscc%2Ffull-record%2FWOS:000381182200008","View Full Record in Web of Science")</f>
        <v>View Full Record in Web of Science</v>
      </c>
      <c r="BU2590" s="1"/>
      <c r="BV2590" s="1"/>
    </row>
    <row r="2591" spans="1:74">
      <c r="A2591" s="1" t="s">
        <v>72</v>
      </c>
      <c r="B2591" s="1" t="s">
        <v>41346</v>
      </c>
      <c r="C2591" s="1" t="s">
        <v>74</v>
      </c>
      <c r="D2591" s="1" t="s">
        <v>74</v>
      </c>
      <c r="E2591" s="1" t="s">
        <v>74</v>
      </c>
      <c r="F2591" s="1" t="s">
        <v>41347</v>
      </c>
      <c r="G2591" s="1" t="s">
        <v>74</v>
      </c>
      <c r="H2591" s="1" t="s">
        <v>74</v>
      </c>
      <c r="I2591" s="1" t="s">
        <v>41348</v>
      </c>
      <c r="J2591" s="1" t="s">
        <v>909</v>
      </c>
      <c r="K2591" s="1" t="s">
        <v>74</v>
      </c>
      <c r="L2591" s="1" t="s">
        <v>74</v>
      </c>
      <c r="M2591" s="1" t="s">
        <v>78</v>
      </c>
      <c r="N2591" s="1" t="s">
        <v>79</v>
      </c>
      <c r="O2591" s="1" t="s">
        <v>74</v>
      </c>
      <c r="P2591" s="1" t="s">
        <v>74</v>
      </c>
      <c r="Q2591" s="1" t="s">
        <v>74</v>
      </c>
      <c r="R2591" s="1" t="s">
        <v>74</v>
      </c>
      <c r="S2591" s="1" t="s">
        <v>74</v>
      </c>
      <c r="T2591" s="1" t="s">
        <v>41349</v>
      </c>
      <c r="U2591" s="1" t="s">
        <v>41350</v>
      </c>
      <c r="V2591" s="1" t="s">
        <v>41351</v>
      </c>
      <c r="W2591" s="1" t="s">
        <v>41352</v>
      </c>
      <c r="X2591" s="1" t="s">
        <v>1383</v>
      </c>
      <c r="Y2591" s="1" t="s">
        <v>41353</v>
      </c>
      <c r="Z2591" s="1" t="s">
        <v>41354</v>
      </c>
      <c r="AA2591" s="1" t="s">
        <v>41355</v>
      </c>
      <c r="AB2591" s="1" t="s">
        <v>41356</v>
      </c>
      <c r="AC2591" s="1" t="s">
        <v>41357</v>
      </c>
      <c r="AD2591" s="1" t="s">
        <v>41357</v>
      </c>
      <c r="AE2591" s="1" t="s">
        <v>41358</v>
      </c>
      <c r="AF2591" s="1" t="s">
        <v>74</v>
      </c>
      <c r="AG2591" s="1">
        <v>50</v>
      </c>
      <c r="AH2591" s="1">
        <v>4</v>
      </c>
      <c r="AI2591" s="1">
        <v>4</v>
      </c>
      <c r="AJ2591" s="1">
        <v>1</v>
      </c>
      <c r="AK2591" s="1">
        <v>34</v>
      </c>
      <c r="AL2591" s="1" t="s">
        <v>919</v>
      </c>
      <c r="AM2591" s="1" t="s">
        <v>651</v>
      </c>
      <c r="AN2591" s="1" t="s">
        <v>920</v>
      </c>
      <c r="AO2591" s="1" t="s">
        <v>921</v>
      </c>
      <c r="AP2591" s="1" t="s">
        <v>922</v>
      </c>
      <c r="AQ2591" s="1" t="s">
        <v>74</v>
      </c>
      <c r="AR2591" s="1" t="s">
        <v>923</v>
      </c>
      <c r="AS2591" s="1" t="s">
        <v>924</v>
      </c>
      <c r="AT2591" s="1" t="s">
        <v>1507</v>
      </c>
      <c r="AU2591" s="1">
        <v>2017</v>
      </c>
      <c r="AV2591" s="1">
        <v>584</v>
      </c>
      <c r="AW2591" s="1" t="s">
        <v>74</v>
      </c>
      <c r="AX2591" s="1" t="s">
        <v>74</v>
      </c>
      <c r="AY2591" s="1" t="s">
        <v>74</v>
      </c>
      <c r="AZ2591" s="1" t="s">
        <v>74</v>
      </c>
      <c r="BA2591" s="1" t="s">
        <v>74</v>
      </c>
      <c r="BB2591" s="1">
        <v>1239</v>
      </c>
      <c r="BC2591" s="1">
        <v>1247</v>
      </c>
      <c r="BD2591" s="1" t="s">
        <v>74</v>
      </c>
      <c r="BE2591" s="1" t="s">
        <v>41359</v>
      </c>
      <c r="BF2591" s="1" t="str">
        <f>HYPERLINK("http://dx.doi.org/10.1016/j.scitotenv.2017.01.188","http://dx.doi.org/10.1016/j.scitotenv.2017.01.188")</f>
        <v>http://dx.doi.org/10.1016/j.scitotenv.2017.01.188</v>
      </c>
      <c r="BG2591" s="1" t="s">
        <v>74</v>
      </c>
      <c r="BH2591" s="1" t="s">
        <v>74</v>
      </c>
      <c r="BI2591" s="1">
        <v>9</v>
      </c>
      <c r="BJ2591" s="1" t="s">
        <v>144</v>
      </c>
      <c r="BK2591" s="1" t="s">
        <v>96</v>
      </c>
      <c r="BL2591" s="1" t="s">
        <v>145</v>
      </c>
      <c r="BM2591" s="1" t="s">
        <v>41360</v>
      </c>
      <c r="BN2591" s="1">
        <v>28153398</v>
      </c>
      <c r="BO2591" s="1" t="s">
        <v>74</v>
      </c>
      <c r="BP2591" s="1" t="s">
        <v>74</v>
      </c>
      <c r="BQ2591" s="1" t="s">
        <v>74</v>
      </c>
      <c r="BR2591" s="1" t="s">
        <v>98</v>
      </c>
      <c r="BS2591" s="1" t="s">
        <v>41361</v>
      </c>
      <c r="BT2591" s="1" t="str">
        <f>HYPERLINK("https%3A%2F%2Fwww.webofscience.com%2Fwos%2Fwoscc%2Ffull-record%2FWOS:000399358500122","View Full Record in Web of Science")</f>
        <v>View Full Record in Web of Science</v>
      </c>
      <c r="BU2591" s="1"/>
      <c r="BV2591" s="1"/>
    </row>
    <row r="2592" spans="1:74">
      <c r="A2592" s="1" t="s">
        <v>72</v>
      </c>
      <c r="B2592" s="1" t="s">
        <v>41362</v>
      </c>
      <c r="C2592" s="1" t="s">
        <v>74</v>
      </c>
      <c r="D2592" s="1" t="s">
        <v>74</v>
      </c>
      <c r="E2592" s="1" t="s">
        <v>74</v>
      </c>
      <c r="F2592" s="1" t="s">
        <v>41362</v>
      </c>
      <c r="G2592" s="1" t="s">
        <v>74</v>
      </c>
      <c r="H2592" s="1" t="s">
        <v>74</v>
      </c>
      <c r="I2592" s="1" t="s">
        <v>41363</v>
      </c>
      <c r="J2592" s="1" t="s">
        <v>232</v>
      </c>
      <c r="K2592" s="1" t="s">
        <v>74</v>
      </c>
      <c r="L2592" s="1" t="s">
        <v>74</v>
      </c>
      <c r="M2592" s="1" t="s">
        <v>78</v>
      </c>
      <c r="N2592" s="1" t="s">
        <v>79</v>
      </c>
      <c r="O2592" s="1" t="s">
        <v>74</v>
      </c>
      <c r="P2592" s="1" t="s">
        <v>74</v>
      </c>
      <c r="Q2592" s="1" t="s">
        <v>74</v>
      </c>
      <c r="R2592" s="1" t="s">
        <v>74</v>
      </c>
      <c r="S2592" s="1" t="s">
        <v>74</v>
      </c>
      <c r="T2592" s="1" t="s">
        <v>41364</v>
      </c>
      <c r="U2592" s="1" t="s">
        <v>41365</v>
      </c>
      <c r="V2592" s="1" t="s">
        <v>41366</v>
      </c>
      <c r="W2592" s="1" t="s">
        <v>41367</v>
      </c>
      <c r="X2592" s="1" t="s">
        <v>41368</v>
      </c>
      <c r="Y2592" s="1" t="s">
        <v>41369</v>
      </c>
      <c r="Z2592" s="1" t="s">
        <v>41370</v>
      </c>
      <c r="AA2592" s="1" t="s">
        <v>74</v>
      </c>
      <c r="AB2592" s="1" t="s">
        <v>74</v>
      </c>
      <c r="AC2592" s="1" t="s">
        <v>74</v>
      </c>
      <c r="AD2592" s="1" t="s">
        <v>74</v>
      </c>
      <c r="AE2592" s="1" t="s">
        <v>74</v>
      </c>
      <c r="AF2592" s="1" t="s">
        <v>74</v>
      </c>
      <c r="AG2592" s="1">
        <v>26</v>
      </c>
      <c r="AH2592" s="1">
        <v>11</v>
      </c>
      <c r="AI2592" s="1">
        <v>12</v>
      </c>
      <c r="AJ2592" s="1">
        <v>0</v>
      </c>
      <c r="AK2592" s="1">
        <v>16</v>
      </c>
      <c r="AL2592" s="1" t="s">
        <v>136</v>
      </c>
      <c r="AM2592" s="1" t="s">
        <v>137</v>
      </c>
      <c r="AN2592" s="1" t="s">
        <v>138</v>
      </c>
      <c r="AO2592" s="1" t="s">
        <v>240</v>
      </c>
      <c r="AP2592" s="1" t="s">
        <v>241</v>
      </c>
      <c r="AQ2592" s="1" t="s">
        <v>74</v>
      </c>
      <c r="AR2592" s="1" t="s">
        <v>242</v>
      </c>
      <c r="AS2592" s="1" t="s">
        <v>243</v>
      </c>
      <c r="AT2592" s="1" t="s">
        <v>170</v>
      </c>
      <c r="AU2592" s="1">
        <v>2004</v>
      </c>
      <c r="AV2592" s="1">
        <v>48</v>
      </c>
      <c r="AW2592" s="1" t="s">
        <v>14188</v>
      </c>
      <c r="AX2592" s="1" t="s">
        <v>74</v>
      </c>
      <c r="AY2592" s="1" t="s">
        <v>74</v>
      </c>
      <c r="AZ2592" s="1" t="s">
        <v>74</v>
      </c>
      <c r="BA2592" s="1" t="s">
        <v>74</v>
      </c>
      <c r="BB2592" s="1">
        <v>884</v>
      </c>
      <c r="BC2592" s="1">
        <v>893</v>
      </c>
      <c r="BD2592" s="1" t="s">
        <v>74</v>
      </c>
      <c r="BE2592" s="1" t="s">
        <v>41371</v>
      </c>
      <c r="BF2592" s="1" t="str">
        <f>HYPERLINK("http://dx.doi.org/10.1016/j.marpolbul.2003.11.012","http://dx.doi.org/10.1016/j.marpolbul.2003.11.012")</f>
        <v>http://dx.doi.org/10.1016/j.marpolbul.2003.11.012</v>
      </c>
      <c r="BG2592" s="1" t="s">
        <v>74</v>
      </c>
      <c r="BH2592" s="1" t="s">
        <v>74</v>
      </c>
      <c r="BI2592" s="1">
        <v>10</v>
      </c>
      <c r="BJ2592" s="1" t="s">
        <v>247</v>
      </c>
      <c r="BK2592" s="1" t="s">
        <v>96</v>
      </c>
      <c r="BL2592" s="1" t="s">
        <v>248</v>
      </c>
      <c r="BM2592" s="1" t="s">
        <v>41372</v>
      </c>
      <c r="BN2592" s="1">
        <v>15111035</v>
      </c>
      <c r="BO2592" s="1" t="s">
        <v>74</v>
      </c>
      <c r="BP2592" s="1" t="s">
        <v>74</v>
      </c>
      <c r="BQ2592" s="1" t="s">
        <v>74</v>
      </c>
      <c r="BR2592" s="1" t="s">
        <v>98</v>
      </c>
      <c r="BS2592" s="1" t="s">
        <v>41373</v>
      </c>
      <c r="BT2592" s="1" t="str">
        <f>HYPERLINK("https%3A%2F%2Fwww.webofscience.com%2Fwos%2Fwoscc%2Ffull-record%2FWOS:000221395200018","View Full Record in Web of Science")</f>
        <v>View Full Record in Web of Science</v>
      </c>
      <c r="BU2592" s="1"/>
      <c r="BV2592" s="1"/>
    </row>
    <row r="2593" spans="1:74">
      <c r="A2593" s="1" t="s">
        <v>72</v>
      </c>
      <c r="B2593" s="1" t="s">
        <v>41374</v>
      </c>
      <c r="C2593" s="1" t="s">
        <v>74</v>
      </c>
      <c r="D2593" s="1" t="s">
        <v>74</v>
      </c>
      <c r="E2593" s="1" t="s">
        <v>74</v>
      </c>
      <c r="F2593" s="1" t="s">
        <v>41375</v>
      </c>
      <c r="G2593" s="1" t="s">
        <v>74</v>
      </c>
      <c r="H2593" s="1" t="s">
        <v>74</v>
      </c>
      <c r="I2593" s="1" t="s">
        <v>41376</v>
      </c>
      <c r="J2593" s="1" t="s">
        <v>232</v>
      </c>
      <c r="K2593" s="1" t="s">
        <v>74</v>
      </c>
      <c r="L2593" s="1" t="s">
        <v>74</v>
      </c>
      <c r="M2593" s="1" t="s">
        <v>78</v>
      </c>
      <c r="N2593" s="1" t="s">
        <v>79</v>
      </c>
      <c r="O2593" s="1" t="s">
        <v>74</v>
      </c>
      <c r="P2593" s="1" t="s">
        <v>74</v>
      </c>
      <c r="Q2593" s="1" t="s">
        <v>74</v>
      </c>
      <c r="R2593" s="1" t="s">
        <v>74</v>
      </c>
      <c r="S2593" s="1" t="s">
        <v>74</v>
      </c>
      <c r="T2593" s="1" t="s">
        <v>41377</v>
      </c>
      <c r="U2593" s="1" t="s">
        <v>41378</v>
      </c>
      <c r="V2593" s="1" t="s">
        <v>41379</v>
      </c>
      <c r="W2593" s="1" t="s">
        <v>41380</v>
      </c>
      <c r="X2593" s="1" t="s">
        <v>41381</v>
      </c>
      <c r="Y2593" s="1" t="s">
        <v>41382</v>
      </c>
      <c r="Z2593" s="1" t="s">
        <v>41383</v>
      </c>
      <c r="AA2593" s="1" t="s">
        <v>41384</v>
      </c>
      <c r="AB2593" s="1" t="s">
        <v>41385</v>
      </c>
      <c r="AC2593" s="1" t="s">
        <v>74</v>
      </c>
      <c r="AD2593" s="1" t="s">
        <v>74</v>
      </c>
      <c r="AE2593" s="1" t="s">
        <v>74</v>
      </c>
      <c r="AF2593" s="1" t="s">
        <v>74</v>
      </c>
      <c r="AG2593" s="1">
        <v>115</v>
      </c>
      <c r="AH2593" s="1">
        <v>24</v>
      </c>
      <c r="AI2593" s="1">
        <v>25</v>
      </c>
      <c r="AJ2593" s="1">
        <v>0</v>
      </c>
      <c r="AK2593" s="1">
        <v>34</v>
      </c>
      <c r="AL2593" s="1" t="s">
        <v>136</v>
      </c>
      <c r="AM2593" s="1" t="s">
        <v>137</v>
      </c>
      <c r="AN2593" s="1" t="s">
        <v>138</v>
      </c>
      <c r="AO2593" s="1" t="s">
        <v>240</v>
      </c>
      <c r="AP2593" s="1" t="s">
        <v>241</v>
      </c>
      <c r="AQ2593" s="1" t="s">
        <v>74</v>
      </c>
      <c r="AR2593" s="1" t="s">
        <v>242</v>
      </c>
      <c r="AS2593" s="1" t="s">
        <v>243</v>
      </c>
      <c r="AT2593" s="1" t="s">
        <v>1507</v>
      </c>
      <c r="AU2593" s="1">
        <v>2015</v>
      </c>
      <c r="AV2593" s="1">
        <v>93</v>
      </c>
      <c r="AW2593" s="1" t="s">
        <v>326</v>
      </c>
      <c r="AX2593" s="1" t="s">
        <v>74</v>
      </c>
      <c r="AY2593" s="1" t="s">
        <v>74</v>
      </c>
      <c r="AZ2593" s="1" t="s">
        <v>74</v>
      </c>
      <c r="BA2593" s="1" t="s">
        <v>74</v>
      </c>
      <c r="BB2593" s="1">
        <v>228</v>
      </c>
      <c r="BC2593" s="1">
        <v>244</v>
      </c>
      <c r="BD2593" s="1" t="s">
        <v>74</v>
      </c>
      <c r="BE2593" s="1" t="s">
        <v>41386</v>
      </c>
      <c r="BF2593" s="1" t="str">
        <f>HYPERLINK("http://dx.doi.org/10.1016/j.marpolbul.2014.12.034","http://dx.doi.org/10.1016/j.marpolbul.2014.12.034")</f>
        <v>http://dx.doi.org/10.1016/j.marpolbul.2014.12.034</v>
      </c>
      <c r="BG2593" s="1" t="s">
        <v>74</v>
      </c>
      <c r="BH2593" s="1" t="s">
        <v>74</v>
      </c>
      <c r="BI2593" s="1">
        <v>17</v>
      </c>
      <c r="BJ2593" s="1" t="s">
        <v>247</v>
      </c>
      <c r="BK2593" s="1" t="s">
        <v>96</v>
      </c>
      <c r="BL2593" s="1" t="s">
        <v>248</v>
      </c>
      <c r="BM2593" s="1" t="s">
        <v>41387</v>
      </c>
      <c r="BN2593" s="1">
        <v>25724089</v>
      </c>
      <c r="BO2593" s="1" t="s">
        <v>74</v>
      </c>
      <c r="BP2593" s="1" t="s">
        <v>74</v>
      </c>
      <c r="BQ2593" s="1" t="s">
        <v>74</v>
      </c>
      <c r="BR2593" s="1" t="s">
        <v>98</v>
      </c>
      <c r="BS2593" s="1" t="s">
        <v>41388</v>
      </c>
      <c r="BT2593" s="1" t="str">
        <f>HYPERLINK("https%3A%2F%2Fwww.webofscience.com%2Fwos%2Fwoscc%2Ffull-record%2FWOS:000353733400037","View Full Record in Web of Science")</f>
        <v>View Full Record in Web of Science</v>
      </c>
      <c r="BU2593" s="1"/>
      <c r="BV2593" s="1"/>
    </row>
    <row r="2594" spans="1:74">
      <c r="A2594" s="1" t="s">
        <v>72</v>
      </c>
      <c r="B2594" s="1" t="s">
        <v>41389</v>
      </c>
      <c r="C2594" s="1" t="s">
        <v>74</v>
      </c>
      <c r="D2594" s="1" t="s">
        <v>74</v>
      </c>
      <c r="E2594" s="1" t="s">
        <v>74</v>
      </c>
      <c r="F2594" s="1" t="s">
        <v>41390</v>
      </c>
      <c r="G2594" s="1" t="s">
        <v>74</v>
      </c>
      <c r="H2594" s="1" t="s">
        <v>74</v>
      </c>
      <c r="I2594" s="1" t="s">
        <v>41391</v>
      </c>
      <c r="J2594" s="1" t="s">
        <v>7584</v>
      </c>
      <c r="K2594" s="1" t="s">
        <v>74</v>
      </c>
      <c r="L2594" s="1" t="s">
        <v>74</v>
      </c>
      <c r="M2594" s="1" t="s">
        <v>78</v>
      </c>
      <c r="N2594" s="1" t="s">
        <v>79</v>
      </c>
      <c r="O2594" s="1" t="s">
        <v>74</v>
      </c>
      <c r="P2594" s="1" t="s">
        <v>74</v>
      </c>
      <c r="Q2594" s="1" t="s">
        <v>74</v>
      </c>
      <c r="R2594" s="1" t="s">
        <v>74</v>
      </c>
      <c r="S2594" s="1" t="s">
        <v>74</v>
      </c>
      <c r="T2594" s="1" t="s">
        <v>41392</v>
      </c>
      <c r="U2594" s="1" t="s">
        <v>41393</v>
      </c>
      <c r="V2594" s="1" t="s">
        <v>41394</v>
      </c>
      <c r="W2594" s="1" t="s">
        <v>41395</v>
      </c>
      <c r="X2594" s="1" t="s">
        <v>41396</v>
      </c>
      <c r="Y2594" s="1" t="s">
        <v>41397</v>
      </c>
      <c r="Z2594" s="1" t="s">
        <v>41398</v>
      </c>
      <c r="AA2594" s="1" t="s">
        <v>41399</v>
      </c>
      <c r="AB2594" s="1" t="s">
        <v>74</v>
      </c>
      <c r="AC2594" s="1" t="s">
        <v>41400</v>
      </c>
      <c r="AD2594" s="1" t="s">
        <v>41401</v>
      </c>
      <c r="AE2594" s="1" t="s">
        <v>41402</v>
      </c>
      <c r="AF2594" s="1" t="s">
        <v>74</v>
      </c>
      <c r="AG2594" s="1">
        <v>97</v>
      </c>
      <c r="AH2594" s="1">
        <v>11</v>
      </c>
      <c r="AI2594" s="1">
        <v>12</v>
      </c>
      <c r="AJ2594" s="1">
        <v>0</v>
      </c>
      <c r="AK2594" s="1">
        <v>66</v>
      </c>
      <c r="AL2594" s="1" t="s">
        <v>136</v>
      </c>
      <c r="AM2594" s="1" t="s">
        <v>137</v>
      </c>
      <c r="AN2594" s="1" t="s">
        <v>138</v>
      </c>
      <c r="AO2594" s="1" t="s">
        <v>7589</v>
      </c>
      <c r="AP2594" s="1" t="s">
        <v>74</v>
      </c>
      <c r="AQ2594" s="1" t="s">
        <v>74</v>
      </c>
      <c r="AR2594" s="1" t="s">
        <v>7591</v>
      </c>
      <c r="AS2594" s="1" t="s">
        <v>7592</v>
      </c>
      <c r="AT2594" s="1" t="s">
        <v>387</v>
      </c>
      <c r="AU2594" s="1">
        <v>2013</v>
      </c>
      <c r="AV2594" s="1">
        <v>47</v>
      </c>
      <c r="AW2594" s="1">
        <v>8</v>
      </c>
      <c r="AX2594" s="1" t="s">
        <v>74</v>
      </c>
      <c r="AY2594" s="1" t="s">
        <v>74</v>
      </c>
      <c r="AZ2594" s="1" t="s">
        <v>74</v>
      </c>
      <c r="BA2594" s="1" t="s">
        <v>74</v>
      </c>
      <c r="BB2594" s="1">
        <v>2742</v>
      </c>
      <c r="BC2594" s="1">
        <v>2756</v>
      </c>
      <c r="BD2594" s="1" t="s">
        <v>74</v>
      </c>
      <c r="BE2594" s="1" t="s">
        <v>41403</v>
      </c>
      <c r="BF2594" s="1" t="str">
        <f>HYPERLINK("http://dx.doi.org/10.1016/j.watres.2013.02.031","http://dx.doi.org/10.1016/j.watres.2013.02.031")</f>
        <v>http://dx.doi.org/10.1016/j.watres.2013.02.031</v>
      </c>
      <c r="BG2594" s="1" t="s">
        <v>74</v>
      </c>
      <c r="BH2594" s="1" t="s">
        <v>74</v>
      </c>
      <c r="BI2594" s="1">
        <v>15</v>
      </c>
      <c r="BJ2594" s="1" t="s">
        <v>587</v>
      </c>
      <c r="BK2594" s="1" t="s">
        <v>96</v>
      </c>
      <c r="BL2594" s="1" t="s">
        <v>589</v>
      </c>
      <c r="BM2594" s="1" t="s">
        <v>41404</v>
      </c>
      <c r="BN2594" s="1">
        <v>23510693</v>
      </c>
      <c r="BO2594" s="1" t="s">
        <v>74</v>
      </c>
      <c r="BP2594" s="1" t="s">
        <v>74</v>
      </c>
      <c r="BQ2594" s="1" t="s">
        <v>74</v>
      </c>
      <c r="BR2594" s="1" t="s">
        <v>98</v>
      </c>
      <c r="BS2594" s="1" t="s">
        <v>41405</v>
      </c>
      <c r="BT2594" s="1" t="str">
        <f>HYPERLINK("https%3A%2F%2Fwww.webofscience.com%2Fwos%2Fwoscc%2Ffull-record%2FWOS:000318051900012","View Full Record in Web of Science")</f>
        <v>View Full Record in Web of Science</v>
      </c>
      <c r="BU2594" s="1"/>
      <c r="BV2594" s="1"/>
    </row>
    <row r="2595" spans="1:74">
      <c r="A2595" s="1" t="s">
        <v>72</v>
      </c>
      <c r="B2595" s="1" t="s">
        <v>41406</v>
      </c>
      <c r="C2595" s="1" t="s">
        <v>74</v>
      </c>
      <c r="D2595" s="1" t="s">
        <v>74</v>
      </c>
      <c r="E2595" s="1" t="s">
        <v>74</v>
      </c>
      <c r="F2595" s="1" t="s">
        <v>41407</v>
      </c>
      <c r="G2595" s="1" t="s">
        <v>74</v>
      </c>
      <c r="H2595" s="1" t="s">
        <v>74</v>
      </c>
      <c r="I2595" s="1" t="s">
        <v>41408</v>
      </c>
      <c r="J2595" s="1" t="s">
        <v>4687</v>
      </c>
      <c r="K2595" s="1" t="s">
        <v>74</v>
      </c>
      <c r="L2595" s="1" t="s">
        <v>74</v>
      </c>
      <c r="M2595" s="1" t="s">
        <v>78</v>
      </c>
      <c r="N2595" s="1" t="s">
        <v>79</v>
      </c>
      <c r="O2595" s="1" t="s">
        <v>74</v>
      </c>
      <c r="P2595" s="1" t="s">
        <v>74</v>
      </c>
      <c r="Q2595" s="1" t="s">
        <v>74</v>
      </c>
      <c r="R2595" s="1" t="s">
        <v>74</v>
      </c>
      <c r="S2595" s="1" t="s">
        <v>74</v>
      </c>
      <c r="T2595" s="1" t="s">
        <v>41409</v>
      </c>
      <c r="U2595" s="1" t="s">
        <v>41410</v>
      </c>
      <c r="V2595" s="1" t="s">
        <v>41411</v>
      </c>
      <c r="W2595" s="1" t="s">
        <v>41412</v>
      </c>
      <c r="X2595" s="1" t="s">
        <v>41413</v>
      </c>
      <c r="Y2595" s="1" t="s">
        <v>41414</v>
      </c>
      <c r="Z2595" s="1" t="s">
        <v>41415</v>
      </c>
      <c r="AA2595" s="1" t="s">
        <v>74</v>
      </c>
      <c r="AB2595" s="1" t="s">
        <v>41416</v>
      </c>
      <c r="AC2595" s="1" t="s">
        <v>41417</v>
      </c>
      <c r="AD2595" s="1" t="s">
        <v>41418</v>
      </c>
      <c r="AE2595" s="1" t="s">
        <v>41419</v>
      </c>
      <c r="AF2595" s="1" t="s">
        <v>74</v>
      </c>
      <c r="AG2595" s="1">
        <v>40</v>
      </c>
      <c r="AH2595" s="1">
        <v>10</v>
      </c>
      <c r="AI2595" s="1">
        <v>12</v>
      </c>
      <c r="AJ2595" s="1">
        <v>16</v>
      </c>
      <c r="AK2595" s="1">
        <v>58</v>
      </c>
      <c r="AL2595" s="1" t="s">
        <v>650</v>
      </c>
      <c r="AM2595" s="1" t="s">
        <v>651</v>
      </c>
      <c r="AN2595" s="1" t="s">
        <v>652</v>
      </c>
      <c r="AO2595" s="1" t="s">
        <v>4697</v>
      </c>
      <c r="AP2595" s="1" t="s">
        <v>74</v>
      </c>
      <c r="AQ2595" s="1" t="s">
        <v>74</v>
      </c>
      <c r="AR2595" s="1" t="s">
        <v>4698</v>
      </c>
      <c r="AS2595" s="1" t="s">
        <v>4699</v>
      </c>
      <c r="AT2595" s="1" t="s">
        <v>951</v>
      </c>
      <c r="AU2595" s="1">
        <v>2022</v>
      </c>
      <c r="AV2595" s="1">
        <v>28</v>
      </c>
      <c r="AW2595" s="1" t="s">
        <v>74</v>
      </c>
      <c r="AX2595" s="1" t="s">
        <v>74</v>
      </c>
      <c r="AY2595" s="1" t="s">
        <v>74</v>
      </c>
      <c r="AZ2595" s="1" t="s">
        <v>74</v>
      </c>
      <c r="BA2595" s="1" t="s">
        <v>74</v>
      </c>
      <c r="BB2595" s="1" t="s">
        <v>74</v>
      </c>
      <c r="BC2595" s="1" t="s">
        <v>74</v>
      </c>
      <c r="BD2595" s="1">
        <v>102729</v>
      </c>
      <c r="BE2595" s="1" t="s">
        <v>41420</v>
      </c>
      <c r="BF2595" s="1" t="str">
        <f>HYPERLINK("http://dx.doi.org/10.1016/j.eti.2022.102729","http://dx.doi.org/10.1016/j.eti.2022.102729")</f>
        <v>http://dx.doi.org/10.1016/j.eti.2022.102729</v>
      </c>
      <c r="BG2595" s="1" t="s">
        <v>74</v>
      </c>
      <c r="BH2595" s="1" t="s">
        <v>74</v>
      </c>
      <c r="BI2595" s="1">
        <v>11</v>
      </c>
      <c r="BJ2595" s="1" t="s">
        <v>4702</v>
      </c>
      <c r="BK2595" s="1" t="s">
        <v>96</v>
      </c>
      <c r="BL2595" s="1" t="s">
        <v>4703</v>
      </c>
      <c r="BM2595" s="1" t="s">
        <v>41421</v>
      </c>
      <c r="BN2595" s="1" t="s">
        <v>74</v>
      </c>
      <c r="BO2595" s="1" t="s">
        <v>873</v>
      </c>
      <c r="BP2595" s="1" t="s">
        <v>74</v>
      </c>
      <c r="BQ2595" s="1" t="s">
        <v>74</v>
      </c>
      <c r="BR2595" s="1" t="s">
        <v>98</v>
      </c>
      <c r="BS2595" s="1" t="s">
        <v>41422</v>
      </c>
      <c r="BT2595" s="1" t="str">
        <f>HYPERLINK("https%3A%2F%2Fwww.webofscience.com%2Fwos%2Fwoscc%2Ffull-record%2FWOS:000891144400019","View Full Record in Web of Science")</f>
        <v>View Full Record in Web of Science</v>
      </c>
      <c r="BU2595" s="1"/>
      <c r="BV2595" s="1"/>
    </row>
    <row r="2596" spans="1:74">
      <c r="A2596" s="1" t="s">
        <v>72</v>
      </c>
      <c r="B2596" s="1" t="s">
        <v>41423</v>
      </c>
      <c r="C2596" s="1" t="s">
        <v>74</v>
      </c>
      <c r="D2596" s="1" t="s">
        <v>74</v>
      </c>
      <c r="E2596" s="1" t="s">
        <v>74</v>
      </c>
      <c r="F2596" s="1" t="s">
        <v>41424</v>
      </c>
      <c r="G2596" s="1" t="s">
        <v>74</v>
      </c>
      <c r="H2596" s="1" t="s">
        <v>74</v>
      </c>
      <c r="I2596" s="1" t="s">
        <v>41425</v>
      </c>
      <c r="J2596" s="1" t="s">
        <v>909</v>
      </c>
      <c r="K2596" s="1" t="s">
        <v>74</v>
      </c>
      <c r="L2596" s="1" t="s">
        <v>74</v>
      </c>
      <c r="M2596" s="1" t="s">
        <v>78</v>
      </c>
      <c r="N2596" s="1" t="s">
        <v>79</v>
      </c>
      <c r="O2596" s="1" t="s">
        <v>74</v>
      </c>
      <c r="P2596" s="1" t="s">
        <v>74</v>
      </c>
      <c r="Q2596" s="1" t="s">
        <v>74</v>
      </c>
      <c r="R2596" s="1" t="s">
        <v>74</v>
      </c>
      <c r="S2596" s="1" t="s">
        <v>74</v>
      </c>
      <c r="T2596" s="1" t="s">
        <v>41426</v>
      </c>
      <c r="U2596" s="1" t="s">
        <v>41427</v>
      </c>
      <c r="V2596" s="1" t="s">
        <v>41428</v>
      </c>
      <c r="W2596" s="1" t="s">
        <v>41429</v>
      </c>
      <c r="X2596" s="1" t="s">
        <v>32426</v>
      </c>
      <c r="Y2596" s="1" t="s">
        <v>20876</v>
      </c>
      <c r="Z2596" s="1" t="s">
        <v>13012</v>
      </c>
      <c r="AA2596" s="1" t="s">
        <v>41430</v>
      </c>
      <c r="AB2596" s="1" t="s">
        <v>41431</v>
      </c>
      <c r="AC2596" s="1" t="s">
        <v>41432</v>
      </c>
      <c r="AD2596" s="1" t="s">
        <v>41433</v>
      </c>
      <c r="AE2596" s="1" t="s">
        <v>41434</v>
      </c>
      <c r="AF2596" s="1" t="s">
        <v>74</v>
      </c>
      <c r="AG2596" s="1">
        <v>65</v>
      </c>
      <c r="AH2596" s="1">
        <v>19</v>
      </c>
      <c r="AI2596" s="1">
        <v>19</v>
      </c>
      <c r="AJ2596" s="1">
        <v>2</v>
      </c>
      <c r="AK2596" s="1">
        <v>134</v>
      </c>
      <c r="AL2596" s="1" t="s">
        <v>650</v>
      </c>
      <c r="AM2596" s="1" t="s">
        <v>651</v>
      </c>
      <c r="AN2596" s="1" t="s">
        <v>652</v>
      </c>
      <c r="AO2596" s="1" t="s">
        <v>921</v>
      </c>
      <c r="AP2596" s="1" t="s">
        <v>922</v>
      </c>
      <c r="AQ2596" s="1" t="s">
        <v>74</v>
      </c>
      <c r="AR2596" s="1" t="s">
        <v>923</v>
      </c>
      <c r="AS2596" s="1" t="s">
        <v>924</v>
      </c>
      <c r="AT2596" s="1" t="s">
        <v>3752</v>
      </c>
      <c r="AU2596" s="1">
        <v>2019</v>
      </c>
      <c r="AV2596" s="1">
        <v>650</v>
      </c>
      <c r="AW2596" s="1" t="s">
        <v>74</v>
      </c>
      <c r="AX2596" s="1">
        <v>1</v>
      </c>
      <c r="AY2596" s="1" t="s">
        <v>74</v>
      </c>
      <c r="AZ2596" s="1" t="s">
        <v>74</v>
      </c>
      <c r="BA2596" s="1" t="s">
        <v>74</v>
      </c>
      <c r="BB2596" s="1">
        <v>1440</v>
      </c>
      <c r="BC2596" s="1">
        <v>1450</v>
      </c>
      <c r="BD2596" s="1" t="s">
        <v>74</v>
      </c>
      <c r="BE2596" s="1" t="s">
        <v>41435</v>
      </c>
      <c r="BF2596" s="1" t="str">
        <f>HYPERLINK("http://dx.doi.org/10.1016/j.scitotenv.2018.09.136","http://dx.doi.org/10.1016/j.scitotenv.2018.09.136")</f>
        <v>http://dx.doi.org/10.1016/j.scitotenv.2018.09.136</v>
      </c>
      <c r="BG2596" s="1" t="s">
        <v>74</v>
      </c>
      <c r="BH2596" s="1" t="s">
        <v>74</v>
      </c>
      <c r="BI2596" s="1">
        <v>11</v>
      </c>
      <c r="BJ2596" s="1" t="s">
        <v>144</v>
      </c>
      <c r="BK2596" s="1" t="s">
        <v>96</v>
      </c>
      <c r="BL2596" s="1" t="s">
        <v>145</v>
      </c>
      <c r="BM2596" s="1" t="s">
        <v>41436</v>
      </c>
      <c r="BN2596" s="1">
        <v>30308831</v>
      </c>
      <c r="BO2596" s="1" t="s">
        <v>74</v>
      </c>
      <c r="BP2596" s="1" t="s">
        <v>74</v>
      </c>
      <c r="BQ2596" s="1" t="s">
        <v>74</v>
      </c>
      <c r="BR2596" s="1" t="s">
        <v>98</v>
      </c>
      <c r="BS2596" s="1" t="s">
        <v>41437</v>
      </c>
      <c r="BT2596" s="1" t="str">
        <f>HYPERLINK("https%3A%2F%2Fwww.webofscience.com%2Fwos%2Fwoscc%2Ffull-record%2FWOS:000447092700145","View Full Record in Web of Science")</f>
        <v>View Full Record in Web of Science</v>
      </c>
      <c r="BU2596" s="1"/>
      <c r="BV2596" s="1"/>
    </row>
    <row r="2597" spans="1:74">
      <c r="A2597" s="1" t="s">
        <v>72</v>
      </c>
      <c r="B2597" s="1" t="s">
        <v>41438</v>
      </c>
      <c r="C2597" s="1" t="s">
        <v>74</v>
      </c>
      <c r="D2597" s="1" t="s">
        <v>74</v>
      </c>
      <c r="E2597" s="1" t="s">
        <v>74</v>
      </c>
      <c r="F2597" s="1" t="s">
        <v>41439</v>
      </c>
      <c r="G2597" s="1" t="s">
        <v>74</v>
      </c>
      <c r="H2597" s="1" t="s">
        <v>74</v>
      </c>
      <c r="I2597" s="1" t="s">
        <v>41440</v>
      </c>
      <c r="J2597" s="1" t="s">
        <v>41441</v>
      </c>
      <c r="K2597" s="1" t="s">
        <v>74</v>
      </c>
      <c r="L2597" s="1" t="s">
        <v>74</v>
      </c>
      <c r="M2597" s="1" t="s">
        <v>78</v>
      </c>
      <c r="N2597" s="1" t="s">
        <v>79</v>
      </c>
      <c r="O2597" s="1" t="s">
        <v>74</v>
      </c>
      <c r="P2597" s="1" t="s">
        <v>74</v>
      </c>
      <c r="Q2597" s="1" t="s">
        <v>74</v>
      </c>
      <c r="R2597" s="1" t="s">
        <v>74</v>
      </c>
      <c r="S2597" s="1" t="s">
        <v>74</v>
      </c>
      <c r="T2597" s="1" t="s">
        <v>41442</v>
      </c>
      <c r="U2597" s="1" t="s">
        <v>41443</v>
      </c>
      <c r="V2597" s="1" t="s">
        <v>41444</v>
      </c>
      <c r="W2597" s="1" t="s">
        <v>41445</v>
      </c>
      <c r="X2597" s="1" t="s">
        <v>23380</v>
      </c>
      <c r="Y2597" s="1" t="s">
        <v>41446</v>
      </c>
      <c r="Z2597" s="1" t="s">
        <v>41447</v>
      </c>
      <c r="AA2597" s="1" t="s">
        <v>41448</v>
      </c>
      <c r="AB2597" s="1" t="s">
        <v>41449</v>
      </c>
      <c r="AC2597" s="1" t="s">
        <v>23380</v>
      </c>
      <c r="AD2597" s="1" t="s">
        <v>23380</v>
      </c>
      <c r="AE2597" s="1" t="s">
        <v>41450</v>
      </c>
      <c r="AF2597" s="1" t="s">
        <v>74</v>
      </c>
      <c r="AG2597" s="1">
        <v>51</v>
      </c>
      <c r="AH2597" s="1">
        <v>18</v>
      </c>
      <c r="AI2597" s="1">
        <v>18</v>
      </c>
      <c r="AJ2597" s="1">
        <v>0</v>
      </c>
      <c r="AK2597" s="1">
        <v>13</v>
      </c>
      <c r="AL2597" s="1" t="s">
        <v>86</v>
      </c>
      <c r="AM2597" s="1" t="s">
        <v>87</v>
      </c>
      <c r="AN2597" s="1" t="s">
        <v>88</v>
      </c>
      <c r="AO2597" s="1" t="s">
        <v>41451</v>
      </c>
      <c r="AP2597" s="1" t="s">
        <v>41452</v>
      </c>
      <c r="AQ2597" s="1" t="s">
        <v>74</v>
      </c>
      <c r="AR2597" s="1" t="s">
        <v>41453</v>
      </c>
      <c r="AS2597" s="1" t="s">
        <v>41454</v>
      </c>
      <c r="AT2597" s="1" t="s">
        <v>951</v>
      </c>
      <c r="AU2597" s="1">
        <v>2012</v>
      </c>
      <c r="AV2597" s="1">
        <v>26</v>
      </c>
      <c r="AW2597" s="1">
        <v>11</v>
      </c>
      <c r="AX2597" s="1" t="s">
        <v>74</v>
      </c>
      <c r="AY2597" s="1" t="s">
        <v>74</v>
      </c>
      <c r="AZ2597" s="1" t="s">
        <v>74</v>
      </c>
      <c r="BA2597" s="1" t="s">
        <v>74</v>
      </c>
      <c r="BB2597" s="1">
        <v>593</v>
      </c>
      <c r="BC2597" s="1">
        <v>599</v>
      </c>
      <c r="BD2597" s="1" t="s">
        <v>74</v>
      </c>
      <c r="BE2597" s="1" t="s">
        <v>41455</v>
      </c>
      <c r="BF2597" s="1" t="str">
        <f>HYPERLINK("http://dx.doi.org/10.1002/aoc.2904","http://dx.doi.org/10.1002/aoc.2904")</f>
        <v>http://dx.doi.org/10.1002/aoc.2904</v>
      </c>
      <c r="BG2597" s="1" t="s">
        <v>74</v>
      </c>
      <c r="BH2597" s="1" t="s">
        <v>74</v>
      </c>
      <c r="BI2597" s="1">
        <v>7</v>
      </c>
      <c r="BJ2597" s="1" t="s">
        <v>41456</v>
      </c>
      <c r="BK2597" s="1" t="s">
        <v>96</v>
      </c>
      <c r="BL2597" s="1" t="s">
        <v>1197</v>
      </c>
      <c r="BM2597" s="1" t="s">
        <v>41457</v>
      </c>
      <c r="BN2597" s="1" t="s">
        <v>74</v>
      </c>
      <c r="BO2597" s="1" t="s">
        <v>74</v>
      </c>
      <c r="BP2597" s="1" t="s">
        <v>74</v>
      </c>
      <c r="BQ2597" s="1" t="s">
        <v>74</v>
      </c>
      <c r="BR2597" s="1" t="s">
        <v>98</v>
      </c>
      <c r="BS2597" s="1" t="s">
        <v>41458</v>
      </c>
      <c r="BT2597" s="1" t="str">
        <f>HYPERLINK("https%3A%2F%2Fwww.webofscience.com%2Fwos%2Fwoscc%2Ffull-record%2FWOS:000310394300006","View Full Record in Web of Science")</f>
        <v>View Full Record in Web of Science</v>
      </c>
      <c r="BU2597" s="1"/>
      <c r="BV2597" s="1"/>
    </row>
    <row r="2598" spans="1:74">
      <c r="A2598" s="1" t="s">
        <v>72</v>
      </c>
      <c r="B2598" s="1" t="s">
        <v>41459</v>
      </c>
      <c r="C2598" s="1" t="s">
        <v>74</v>
      </c>
      <c r="D2598" s="1" t="s">
        <v>74</v>
      </c>
      <c r="E2598" s="1" t="s">
        <v>74</v>
      </c>
      <c r="F2598" s="1" t="s">
        <v>41460</v>
      </c>
      <c r="G2598" s="1" t="s">
        <v>74</v>
      </c>
      <c r="H2598" s="1" t="s">
        <v>74</v>
      </c>
      <c r="I2598" s="1" t="s">
        <v>41461</v>
      </c>
      <c r="J2598" s="1" t="s">
        <v>41462</v>
      </c>
      <c r="K2598" s="1" t="s">
        <v>74</v>
      </c>
      <c r="L2598" s="1" t="s">
        <v>74</v>
      </c>
      <c r="M2598" s="1" t="s">
        <v>78</v>
      </c>
      <c r="N2598" s="1" t="s">
        <v>79</v>
      </c>
      <c r="O2598" s="1" t="s">
        <v>74</v>
      </c>
      <c r="P2598" s="1" t="s">
        <v>74</v>
      </c>
      <c r="Q2598" s="1" t="s">
        <v>74</v>
      </c>
      <c r="R2598" s="1" t="s">
        <v>74</v>
      </c>
      <c r="S2598" s="1" t="s">
        <v>74</v>
      </c>
      <c r="T2598" s="1" t="s">
        <v>41463</v>
      </c>
      <c r="U2598" s="1" t="s">
        <v>41464</v>
      </c>
      <c r="V2598" s="1" t="s">
        <v>41465</v>
      </c>
      <c r="W2598" s="1" t="s">
        <v>41466</v>
      </c>
      <c r="X2598" s="1" t="s">
        <v>41467</v>
      </c>
      <c r="Y2598" s="1" t="s">
        <v>41468</v>
      </c>
      <c r="Z2598" s="1" t="s">
        <v>74</v>
      </c>
      <c r="AA2598" s="1" t="s">
        <v>41469</v>
      </c>
      <c r="AB2598" s="1" t="s">
        <v>74</v>
      </c>
      <c r="AC2598" s="1" t="s">
        <v>41470</v>
      </c>
      <c r="AD2598" s="1" t="s">
        <v>41471</v>
      </c>
      <c r="AE2598" s="1" t="s">
        <v>41472</v>
      </c>
      <c r="AF2598" s="1" t="s">
        <v>74</v>
      </c>
      <c r="AG2598" s="1">
        <v>51</v>
      </c>
      <c r="AH2598" s="1">
        <v>0</v>
      </c>
      <c r="AI2598" s="1">
        <v>0</v>
      </c>
      <c r="AJ2598" s="1">
        <v>7</v>
      </c>
      <c r="AK2598" s="1">
        <v>14</v>
      </c>
      <c r="AL2598" s="1" t="s">
        <v>41473</v>
      </c>
      <c r="AM2598" s="1" t="s">
        <v>41474</v>
      </c>
      <c r="AN2598" s="1" t="s">
        <v>41475</v>
      </c>
      <c r="AO2598" s="1" t="s">
        <v>41476</v>
      </c>
      <c r="AP2598" s="1" t="s">
        <v>41477</v>
      </c>
      <c r="AQ2598" s="1" t="s">
        <v>74</v>
      </c>
      <c r="AR2598" s="1" t="s">
        <v>41478</v>
      </c>
      <c r="AS2598" s="1" t="s">
        <v>41479</v>
      </c>
      <c r="AT2598" s="1" t="s">
        <v>93</v>
      </c>
      <c r="AU2598" s="1">
        <v>2023</v>
      </c>
      <c r="AV2598" s="1">
        <v>13</v>
      </c>
      <c r="AW2598" s="1">
        <v>4</v>
      </c>
      <c r="AX2598" s="1" t="s">
        <v>74</v>
      </c>
      <c r="AY2598" s="1" t="s">
        <v>74</v>
      </c>
      <c r="AZ2598" s="1" t="s">
        <v>74</v>
      </c>
      <c r="BA2598" s="1" t="s">
        <v>74</v>
      </c>
      <c r="BB2598" s="1">
        <v>670</v>
      </c>
      <c r="BC2598" s="1">
        <v>678</v>
      </c>
      <c r="BD2598" s="1" t="s">
        <v>74</v>
      </c>
      <c r="BE2598" s="1" t="s">
        <v>41480</v>
      </c>
      <c r="BF2598" s="1" t="str">
        <f>HYPERLINK("http://dx.doi.org/10.1166/mex.2023.2380","http://dx.doi.org/10.1166/mex.2023.2380")</f>
        <v>http://dx.doi.org/10.1166/mex.2023.2380</v>
      </c>
      <c r="BG2598" s="1" t="s">
        <v>74</v>
      </c>
      <c r="BH2598" s="1" t="s">
        <v>74</v>
      </c>
      <c r="BI2598" s="1">
        <v>9</v>
      </c>
      <c r="BJ2598" s="1" t="s">
        <v>18862</v>
      </c>
      <c r="BK2598" s="1" t="s">
        <v>96</v>
      </c>
      <c r="BL2598" s="1" t="s">
        <v>18863</v>
      </c>
      <c r="BM2598" s="1" t="s">
        <v>41481</v>
      </c>
      <c r="BN2598" s="1" t="s">
        <v>74</v>
      </c>
      <c r="BO2598" s="1" t="s">
        <v>74</v>
      </c>
      <c r="BP2598" s="1" t="s">
        <v>74</v>
      </c>
      <c r="BQ2598" s="1" t="s">
        <v>74</v>
      </c>
      <c r="BR2598" s="1" t="s">
        <v>98</v>
      </c>
      <c r="BS2598" s="1" t="s">
        <v>41482</v>
      </c>
      <c r="BT2598" s="1" t="str">
        <f>HYPERLINK("https%3A%2F%2Fwww.webofscience.com%2Fwos%2Fwoscc%2Ffull-record%2FWOS:001019883500001","View Full Record in Web of Science")</f>
        <v>View Full Record in Web of Science</v>
      </c>
      <c r="BU2598" s="1"/>
      <c r="BV2598" s="1"/>
    </row>
    <row r="2599" spans="1:74">
      <c r="A2599" s="1" t="s">
        <v>72</v>
      </c>
      <c r="B2599" s="1" t="s">
        <v>41483</v>
      </c>
      <c r="C2599" s="1" t="s">
        <v>74</v>
      </c>
      <c r="D2599" s="1" t="s">
        <v>74</v>
      </c>
      <c r="E2599" s="1" t="s">
        <v>74</v>
      </c>
      <c r="F2599" s="1" t="s">
        <v>41484</v>
      </c>
      <c r="G2599" s="1" t="s">
        <v>74</v>
      </c>
      <c r="H2599" s="1" t="s">
        <v>74</v>
      </c>
      <c r="I2599" s="1" t="s">
        <v>41485</v>
      </c>
      <c r="J2599" s="1" t="s">
        <v>17028</v>
      </c>
      <c r="K2599" s="1" t="s">
        <v>74</v>
      </c>
      <c r="L2599" s="1" t="s">
        <v>74</v>
      </c>
      <c r="M2599" s="1" t="s">
        <v>78</v>
      </c>
      <c r="N2599" s="1" t="s">
        <v>79</v>
      </c>
      <c r="O2599" s="1" t="s">
        <v>74</v>
      </c>
      <c r="P2599" s="1" t="s">
        <v>74</v>
      </c>
      <c r="Q2599" s="1" t="s">
        <v>74</v>
      </c>
      <c r="R2599" s="1" t="s">
        <v>74</v>
      </c>
      <c r="S2599" s="1" t="s">
        <v>74</v>
      </c>
      <c r="T2599" s="1" t="s">
        <v>41486</v>
      </c>
      <c r="U2599" s="1" t="s">
        <v>41487</v>
      </c>
      <c r="V2599" s="1" t="s">
        <v>41488</v>
      </c>
      <c r="W2599" s="1" t="s">
        <v>41489</v>
      </c>
      <c r="X2599" s="1" t="s">
        <v>41490</v>
      </c>
      <c r="Y2599" s="1" t="s">
        <v>41491</v>
      </c>
      <c r="Z2599" s="1" t="s">
        <v>41492</v>
      </c>
      <c r="AA2599" s="1" t="s">
        <v>74</v>
      </c>
      <c r="AB2599" s="1" t="s">
        <v>41493</v>
      </c>
      <c r="AC2599" s="1" t="s">
        <v>41494</v>
      </c>
      <c r="AD2599" s="1" t="s">
        <v>41495</v>
      </c>
      <c r="AE2599" s="1" t="s">
        <v>41496</v>
      </c>
      <c r="AF2599" s="1" t="s">
        <v>74</v>
      </c>
      <c r="AG2599" s="1">
        <v>58</v>
      </c>
      <c r="AH2599" s="1">
        <v>0</v>
      </c>
      <c r="AI2599" s="1">
        <v>0</v>
      </c>
      <c r="AJ2599" s="1">
        <v>2</v>
      </c>
      <c r="AK2599" s="1">
        <v>6</v>
      </c>
      <c r="AL2599" s="1" t="s">
        <v>285</v>
      </c>
      <c r="AM2599" s="1" t="s">
        <v>286</v>
      </c>
      <c r="AN2599" s="1" t="s">
        <v>287</v>
      </c>
      <c r="AO2599" s="1" t="s">
        <v>17040</v>
      </c>
      <c r="AP2599" s="1" t="s">
        <v>17041</v>
      </c>
      <c r="AQ2599" s="1" t="s">
        <v>74</v>
      </c>
      <c r="AR2599" s="1" t="s">
        <v>17042</v>
      </c>
      <c r="AS2599" s="1" t="s">
        <v>17043</v>
      </c>
      <c r="AT2599" s="1" t="s">
        <v>2303</v>
      </c>
      <c r="AU2599" s="1">
        <v>2021</v>
      </c>
      <c r="AV2599" s="1">
        <v>299</v>
      </c>
      <c r="AW2599" s="1" t="s">
        <v>74</v>
      </c>
      <c r="AX2599" s="1" t="s">
        <v>74</v>
      </c>
      <c r="AY2599" s="1" t="s">
        <v>74</v>
      </c>
      <c r="AZ2599" s="1" t="s">
        <v>74</v>
      </c>
      <c r="BA2599" s="1" t="s">
        <v>74</v>
      </c>
      <c r="BB2599" s="1" t="s">
        <v>74</v>
      </c>
      <c r="BC2599" s="1" t="s">
        <v>74</v>
      </c>
      <c r="BD2599" s="1">
        <v>113547</v>
      </c>
      <c r="BE2599" s="1" t="s">
        <v>41497</v>
      </c>
      <c r="BF2599" s="1" t="str">
        <f>HYPERLINK("http://dx.doi.org/10.1016/j.jenvman.2021.113547","http://dx.doi.org/10.1016/j.jenvman.2021.113547")</f>
        <v>http://dx.doi.org/10.1016/j.jenvman.2021.113547</v>
      </c>
      <c r="BG2599" s="1" t="s">
        <v>74</v>
      </c>
      <c r="BH2599" s="1" t="s">
        <v>2955</v>
      </c>
      <c r="BI2599" s="1">
        <v>10</v>
      </c>
      <c r="BJ2599" s="1" t="s">
        <v>144</v>
      </c>
      <c r="BK2599" s="1" t="s">
        <v>11915</v>
      </c>
      <c r="BL2599" s="1" t="s">
        <v>145</v>
      </c>
      <c r="BM2599" s="1" t="s">
        <v>41498</v>
      </c>
      <c r="BN2599" s="1">
        <v>34482106</v>
      </c>
      <c r="BO2599" s="1" t="s">
        <v>74</v>
      </c>
      <c r="BP2599" s="1" t="s">
        <v>74</v>
      </c>
      <c r="BQ2599" s="1" t="s">
        <v>74</v>
      </c>
      <c r="BR2599" s="1" t="s">
        <v>98</v>
      </c>
      <c r="BS2599" s="1" t="s">
        <v>41499</v>
      </c>
      <c r="BT2599" s="1" t="str">
        <f>HYPERLINK("https%3A%2F%2Fwww.webofscience.com%2Fwos%2Fwoscc%2Ffull-record%2FWOS:000704985500007","View Full Record in Web of Science")</f>
        <v>View Full Record in Web of Science</v>
      </c>
      <c r="BU2599" s="1"/>
      <c r="BV2599" s="1"/>
    </row>
    <row r="2600" spans="1:74">
      <c r="A2600" s="1" t="s">
        <v>72</v>
      </c>
      <c r="B2600" s="1" t="s">
        <v>41500</v>
      </c>
      <c r="C2600" s="1" t="s">
        <v>74</v>
      </c>
      <c r="D2600" s="1" t="s">
        <v>74</v>
      </c>
      <c r="E2600" s="1" t="s">
        <v>74</v>
      </c>
      <c r="F2600" s="1" t="s">
        <v>41501</v>
      </c>
      <c r="G2600" s="1" t="s">
        <v>74</v>
      </c>
      <c r="H2600" s="1" t="s">
        <v>74</v>
      </c>
      <c r="I2600" s="1" t="s">
        <v>41502</v>
      </c>
      <c r="J2600" s="1" t="s">
        <v>232</v>
      </c>
      <c r="K2600" s="1" t="s">
        <v>74</v>
      </c>
      <c r="L2600" s="1" t="s">
        <v>74</v>
      </c>
      <c r="M2600" s="1" t="s">
        <v>78</v>
      </c>
      <c r="N2600" s="1" t="s">
        <v>79</v>
      </c>
      <c r="O2600" s="1" t="s">
        <v>74</v>
      </c>
      <c r="P2600" s="1" t="s">
        <v>74</v>
      </c>
      <c r="Q2600" s="1" t="s">
        <v>74</v>
      </c>
      <c r="R2600" s="1" t="s">
        <v>74</v>
      </c>
      <c r="S2600" s="1" t="s">
        <v>74</v>
      </c>
      <c r="T2600" s="1" t="s">
        <v>41503</v>
      </c>
      <c r="U2600" s="1" t="s">
        <v>41504</v>
      </c>
      <c r="V2600" s="1" t="s">
        <v>41505</v>
      </c>
      <c r="W2600" s="1" t="s">
        <v>41506</v>
      </c>
      <c r="X2600" s="1" t="s">
        <v>21626</v>
      </c>
      <c r="Y2600" s="1" t="s">
        <v>41507</v>
      </c>
      <c r="Z2600" s="1" t="s">
        <v>41508</v>
      </c>
      <c r="AA2600" s="1" t="s">
        <v>74</v>
      </c>
      <c r="AB2600" s="1" t="s">
        <v>41509</v>
      </c>
      <c r="AC2600" s="1" t="s">
        <v>41510</v>
      </c>
      <c r="AD2600" s="1" t="s">
        <v>41511</v>
      </c>
      <c r="AE2600" s="1" t="s">
        <v>41512</v>
      </c>
      <c r="AF2600" s="1" t="s">
        <v>74</v>
      </c>
      <c r="AG2600" s="1">
        <v>94</v>
      </c>
      <c r="AH2600" s="1">
        <v>18</v>
      </c>
      <c r="AI2600" s="1">
        <v>22</v>
      </c>
      <c r="AJ2600" s="1">
        <v>6</v>
      </c>
      <c r="AK2600" s="1">
        <v>70</v>
      </c>
      <c r="AL2600" s="1" t="s">
        <v>136</v>
      </c>
      <c r="AM2600" s="1" t="s">
        <v>137</v>
      </c>
      <c r="AN2600" s="1" t="s">
        <v>138</v>
      </c>
      <c r="AO2600" s="1" t="s">
        <v>240</v>
      </c>
      <c r="AP2600" s="1" t="s">
        <v>241</v>
      </c>
      <c r="AQ2600" s="1" t="s">
        <v>74</v>
      </c>
      <c r="AR2600" s="1" t="s">
        <v>242</v>
      </c>
      <c r="AS2600" s="1" t="s">
        <v>243</v>
      </c>
      <c r="AT2600" s="1" t="s">
        <v>197</v>
      </c>
      <c r="AU2600" s="1">
        <v>2021</v>
      </c>
      <c r="AV2600" s="1">
        <v>173</v>
      </c>
      <c r="AW2600" s="1" t="s">
        <v>74</v>
      </c>
      <c r="AX2600" s="1" t="s">
        <v>489</v>
      </c>
      <c r="AY2600" s="1" t="s">
        <v>74</v>
      </c>
      <c r="AZ2600" s="1" t="s">
        <v>74</v>
      </c>
      <c r="BA2600" s="1" t="s">
        <v>74</v>
      </c>
      <c r="BB2600" s="1" t="s">
        <v>74</v>
      </c>
      <c r="BC2600" s="1" t="s">
        <v>74</v>
      </c>
      <c r="BD2600" s="1">
        <v>112954</v>
      </c>
      <c r="BE2600" s="1" t="s">
        <v>41513</v>
      </c>
      <c r="BF2600" s="1" t="str">
        <f>HYPERLINK("http://dx.doi.org/10.1016/j.marpolbul.2021.112954","http://dx.doi.org/10.1016/j.marpolbul.2021.112954")</f>
        <v>http://dx.doi.org/10.1016/j.marpolbul.2021.112954</v>
      </c>
      <c r="BG2600" s="1" t="s">
        <v>74</v>
      </c>
      <c r="BH2600" s="1" t="s">
        <v>2955</v>
      </c>
      <c r="BI2600" s="1">
        <v>13</v>
      </c>
      <c r="BJ2600" s="1" t="s">
        <v>247</v>
      </c>
      <c r="BK2600" s="1" t="s">
        <v>96</v>
      </c>
      <c r="BL2600" s="1" t="s">
        <v>248</v>
      </c>
      <c r="BM2600" s="1" t="s">
        <v>41514</v>
      </c>
      <c r="BN2600" s="1">
        <v>34536708</v>
      </c>
      <c r="BO2600" s="1" t="s">
        <v>74</v>
      </c>
      <c r="BP2600" s="1" t="s">
        <v>74</v>
      </c>
      <c r="BQ2600" s="1" t="s">
        <v>74</v>
      </c>
      <c r="BR2600" s="1" t="s">
        <v>98</v>
      </c>
      <c r="BS2600" s="1" t="s">
        <v>41515</v>
      </c>
      <c r="BT2600" s="1" t="str">
        <f>HYPERLINK("https%3A%2F%2Fwww.webofscience.com%2Fwos%2Fwoscc%2Ffull-record%2FWOS:000697767700009","View Full Record in Web of Science")</f>
        <v>View Full Record in Web of Science</v>
      </c>
      <c r="BU2600" s="1"/>
      <c r="BV2600" s="1"/>
    </row>
    <row r="2601" spans="1:74">
      <c r="A2601" s="1" t="s">
        <v>72</v>
      </c>
      <c r="B2601" s="1" t="s">
        <v>41516</v>
      </c>
      <c r="C2601" s="1" t="s">
        <v>74</v>
      </c>
      <c r="D2601" s="1" t="s">
        <v>74</v>
      </c>
      <c r="E2601" s="1" t="s">
        <v>74</v>
      </c>
      <c r="F2601" s="1" t="s">
        <v>41517</v>
      </c>
      <c r="G2601" s="1" t="s">
        <v>74</v>
      </c>
      <c r="H2601" s="1" t="s">
        <v>74</v>
      </c>
      <c r="I2601" s="1" t="s">
        <v>41518</v>
      </c>
      <c r="J2601" s="1" t="s">
        <v>6864</v>
      </c>
      <c r="K2601" s="1" t="s">
        <v>74</v>
      </c>
      <c r="L2601" s="1" t="s">
        <v>74</v>
      </c>
      <c r="M2601" s="1" t="s">
        <v>78</v>
      </c>
      <c r="N2601" s="1" t="s">
        <v>79</v>
      </c>
      <c r="O2601" s="1" t="s">
        <v>74</v>
      </c>
      <c r="P2601" s="1" t="s">
        <v>74</v>
      </c>
      <c r="Q2601" s="1" t="s">
        <v>74</v>
      </c>
      <c r="R2601" s="1" t="s">
        <v>74</v>
      </c>
      <c r="S2601" s="1" t="s">
        <v>74</v>
      </c>
      <c r="T2601" s="1" t="s">
        <v>41519</v>
      </c>
      <c r="U2601" s="1" t="s">
        <v>41520</v>
      </c>
      <c r="V2601" s="1" t="s">
        <v>41521</v>
      </c>
      <c r="W2601" s="1" t="s">
        <v>41522</v>
      </c>
      <c r="X2601" s="1" t="s">
        <v>33265</v>
      </c>
      <c r="Y2601" s="1" t="s">
        <v>41523</v>
      </c>
      <c r="Z2601" s="1" t="s">
        <v>41524</v>
      </c>
      <c r="AA2601" s="1" t="s">
        <v>41525</v>
      </c>
      <c r="AB2601" s="1" t="s">
        <v>41526</v>
      </c>
      <c r="AC2601" s="1" t="s">
        <v>41527</v>
      </c>
      <c r="AD2601" s="1" t="s">
        <v>41528</v>
      </c>
      <c r="AE2601" s="1" t="s">
        <v>41529</v>
      </c>
      <c r="AF2601" s="1" t="s">
        <v>74</v>
      </c>
      <c r="AG2601" s="1">
        <v>64</v>
      </c>
      <c r="AH2601" s="1">
        <v>9</v>
      </c>
      <c r="AI2601" s="1">
        <v>10</v>
      </c>
      <c r="AJ2601" s="1">
        <v>0</v>
      </c>
      <c r="AK2601" s="1">
        <v>17</v>
      </c>
      <c r="AL2601" s="1" t="s">
        <v>6878</v>
      </c>
      <c r="AM2601" s="1" t="s">
        <v>6879</v>
      </c>
      <c r="AN2601" s="1" t="s">
        <v>6880</v>
      </c>
      <c r="AO2601" s="1" t="s">
        <v>6881</v>
      </c>
      <c r="AP2601" s="1" t="s">
        <v>35541</v>
      </c>
      <c r="AQ2601" s="1" t="s">
        <v>74</v>
      </c>
      <c r="AR2601" s="1" t="s">
        <v>6882</v>
      </c>
      <c r="AS2601" s="1" t="s">
        <v>6883</v>
      </c>
      <c r="AT2601" s="1" t="s">
        <v>170</v>
      </c>
      <c r="AU2601" s="1">
        <v>2021</v>
      </c>
      <c r="AV2601" s="1">
        <v>65</v>
      </c>
      <c r="AW2601" s="1" t="s">
        <v>74</v>
      </c>
      <c r="AX2601" s="1" t="s">
        <v>74</v>
      </c>
      <c r="AY2601" s="1" t="s">
        <v>74</v>
      </c>
      <c r="AZ2601" s="1" t="s">
        <v>74</v>
      </c>
      <c r="BA2601" s="1" t="s">
        <v>74</v>
      </c>
      <c r="BB2601" s="1" t="s">
        <v>74</v>
      </c>
      <c r="BC2601" s="1" t="s">
        <v>74</v>
      </c>
      <c r="BD2601" s="1">
        <v>126719</v>
      </c>
      <c r="BE2601" s="1" t="s">
        <v>41530</v>
      </c>
      <c r="BF2601" s="1" t="str">
        <f>HYPERLINK("http://dx.doi.org/10.1016/j.jtemb.2021.126719","http://dx.doi.org/10.1016/j.jtemb.2021.126719")</f>
        <v>http://dx.doi.org/10.1016/j.jtemb.2021.126719</v>
      </c>
      <c r="BG2601" s="1" t="s">
        <v>74</v>
      </c>
      <c r="BH2601" s="1" t="s">
        <v>2597</v>
      </c>
      <c r="BI2601" s="1">
        <v>11</v>
      </c>
      <c r="BJ2601" s="1" t="s">
        <v>795</v>
      </c>
      <c r="BK2601" s="1" t="s">
        <v>96</v>
      </c>
      <c r="BL2601" s="1" t="s">
        <v>795</v>
      </c>
      <c r="BM2601" s="1" t="s">
        <v>41531</v>
      </c>
      <c r="BN2601" s="1">
        <v>33517023</v>
      </c>
      <c r="BO2601" s="1" t="s">
        <v>74</v>
      </c>
      <c r="BP2601" s="1" t="s">
        <v>74</v>
      </c>
      <c r="BQ2601" s="1" t="s">
        <v>74</v>
      </c>
      <c r="BR2601" s="1" t="s">
        <v>98</v>
      </c>
      <c r="BS2601" s="1" t="s">
        <v>41532</v>
      </c>
      <c r="BT2601" s="1" t="str">
        <f>HYPERLINK("https%3A%2F%2Fwww.webofscience.com%2Fwos%2Fwoscc%2Ffull-record%2FWOS:000634880100003","View Full Record in Web of Science")</f>
        <v>View Full Record in Web of Science</v>
      </c>
      <c r="BU2601" s="1"/>
      <c r="BV2601" s="1"/>
    </row>
    <row r="2602" spans="1:74">
      <c r="A2602" s="1" t="s">
        <v>72</v>
      </c>
      <c r="B2602" s="1" t="s">
        <v>41533</v>
      </c>
      <c r="C2602" s="1" t="s">
        <v>74</v>
      </c>
      <c r="D2602" s="1" t="s">
        <v>74</v>
      </c>
      <c r="E2602" s="1" t="s">
        <v>74</v>
      </c>
      <c r="F2602" s="1" t="s">
        <v>41534</v>
      </c>
      <c r="G2602" s="1" t="s">
        <v>74</v>
      </c>
      <c r="H2602" s="1" t="s">
        <v>74</v>
      </c>
      <c r="I2602" s="1" t="s">
        <v>41535</v>
      </c>
      <c r="J2602" s="1" t="s">
        <v>1948</v>
      </c>
      <c r="K2602" s="1" t="s">
        <v>74</v>
      </c>
      <c r="L2602" s="1" t="s">
        <v>74</v>
      </c>
      <c r="M2602" s="1" t="s">
        <v>78</v>
      </c>
      <c r="N2602" s="1" t="s">
        <v>79</v>
      </c>
      <c r="O2602" s="1" t="s">
        <v>74</v>
      </c>
      <c r="P2602" s="1" t="s">
        <v>74</v>
      </c>
      <c r="Q2602" s="1" t="s">
        <v>74</v>
      </c>
      <c r="R2602" s="1" t="s">
        <v>74</v>
      </c>
      <c r="S2602" s="1" t="s">
        <v>74</v>
      </c>
      <c r="T2602" s="1" t="s">
        <v>41536</v>
      </c>
      <c r="U2602" s="1" t="s">
        <v>74</v>
      </c>
      <c r="V2602" s="1" t="s">
        <v>41537</v>
      </c>
      <c r="W2602" s="1" t="s">
        <v>41538</v>
      </c>
      <c r="X2602" s="1" t="s">
        <v>41539</v>
      </c>
      <c r="Y2602" s="1" t="s">
        <v>41540</v>
      </c>
      <c r="Z2602" s="1" t="s">
        <v>41541</v>
      </c>
      <c r="AA2602" s="1" t="s">
        <v>74</v>
      </c>
      <c r="AB2602" s="1" t="s">
        <v>41542</v>
      </c>
      <c r="AC2602" s="1" t="s">
        <v>41543</v>
      </c>
      <c r="AD2602" s="1" t="s">
        <v>41544</v>
      </c>
      <c r="AE2602" s="1" t="s">
        <v>41545</v>
      </c>
      <c r="AF2602" s="1" t="s">
        <v>74</v>
      </c>
      <c r="AG2602" s="1">
        <v>33</v>
      </c>
      <c r="AH2602" s="1">
        <v>37</v>
      </c>
      <c r="AI2602" s="1">
        <v>39</v>
      </c>
      <c r="AJ2602" s="1">
        <v>15</v>
      </c>
      <c r="AK2602" s="1">
        <v>78</v>
      </c>
      <c r="AL2602" s="1" t="s">
        <v>430</v>
      </c>
      <c r="AM2602" s="1" t="s">
        <v>137</v>
      </c>
      <c r="AN2602" s="1" t="s">
        <v>431</v>
      </c>
      <c r="AO2602" s="1" t="s">
        <v>1961</v>
      </c>
      <c r="AP2602" s="1" t="s">
        <v>1962</v>
      </c>
      <c r="AQ2602" s="1" t="s">
        <v>74</v>
      </c>
      <c r="AR2602" s="1" t="s">
        <v>1963</v>
      </c>
      <c r="AS2602" s="1" t="s">
        <v>1964</v>
      </c>
      <c r="AT2602" s="1" t="s">
        <v>3506</v>
      </c>
      <c r="AU2602" s="1">
        <v>2022</v>
      </c>
      <c r="AV2602" s="1">
        <v>366</v>
      </c>
      <c r="AW2602" s="1" t="s">
        <v>74</v>
      </c>
      <c r="AX2602" s="1" t="s">
        <v>74</v>
      </c>
      <c r="AY2602" s="1" t="s">
        <v>74</v>
      </c>
      <c r="AZ2602" s="1" t="s">
        <v>74</v>
      </c>
      <c r="BA2602" s="1" t="s">
        <v>74</v>
      </c>
      <c r="BB2602" s="1" t="s">
        <v>74</v>
      </c>
      <c r="BC2602" s="1" t="s">
        <v>74</v>
      </c>
      <c r="BD2602" s="1">
        <v>132906</v>
      </c>
      <c r="BE2602" s="1" t="s">
        <v>41546</v>
      </c>
      <c r="BF2602" s="1" t="str">
        <f>HYPERLINK("http://dx.doi.org/10.1016/j.jclepro.2022.132906","http://dx.doi.org/10.1016/j.jclepro.2022.132906")</f>
        <v>http://dx.doi.org/10.1016/j.jclepro.2022.132906</v>
      </c>
      <c r="BG2602" s="1" t="s">
        <v>74</v>
      </c>
      <c r="BH2602" s="1" t="s">
        <v>8654</v>
      </c>
      <c r="BI2602" s="1">
        <v>9</v>
      </c>
      <c r="BJ2602" s="1" t="s">
        <v>1967</v>
      </c>
      <c r="BK2602" s="1" t="s">
        <v>96</v>
      </c>
      <c r="BL2602" s="1" t="s">
        <v>1968</v>
      </c>
      <c r="BM2602" s="1" t="s">
        <v>41547</v>
      </c>
      <c r="BN2602" s="1" t="s">
        <v>74</v>
      </c>
      <c r="BO2602" s="1" t="s">
        <v>74</v>
      </c>
      <c r="BP2602" s="1" t="s">
        <v>74</v>
      </c>
      <c r="BQ2602" s="1" t="s">
        <v>74</v>
      </c>
      <c r="BR2602" s="1" t="s">
        <v>98</v>
      </c>
      <c r="BS2602" s="1" t="s">
        <v>41548</v>
      </c>
      <c r="BT2602" s="1" t="str">
        <f>HYPERLINK("https%3A%2F%2Fwww.webofscience.com%2Fwos%2Fwoscc%2Ffull-record%2FWOS:000861781000003","View Full Record in Web of Science")</f>
        <v>View Full Record in Web of Science</v>
      </c>
      <c r="BU2602" s="1"/>
      <c r="BV2602" s="1"/>
    </row>
    <row r="2603" spans="1:74">
      <c r="A2603" s="1" t="s">
        <v>72</v>
      </c>
      <c r="B2603" s="1" t="s">
        <v>41549</v>
      </c>
      <c r="C2603" s="1" t="s">
        <v>74</v>
      </c>
      <c r="D2603" s="1" t="s">
        <v>74</v>
      </c>
      <c r="E2603" s="1" t="s">
        <v>74</v>
      </c>
      <c r="F2603" s="1" t="s">
        <v>41549</v>
      </c>
      <c r="G2603" s="1" t="s">
        <v>74</v>
      </c>
      <c r="H2603" s="1" t="s">
        <v>74</v>
      </c>
      <c r="I2603" s="1" t="s">
        <v>41550</v>
      </c>
      <c r="J2603" s="1" t="s">
        <v>41551</v>
      </c>
      <c r="K2603" s="1" t="s">
        <v>74</v>
      </c>
      <c r="L2603" s="1" t="s">
        <v>74</v>
      </c>
      <c r="M2603" s="1" t="s">
        <v>78</v>
      </c>
      <c r="N2603" s="1" t="s">
        <v>151</v>
      </c>
      <c r="O2603" s="1" t="s">
        <v>41552</v>
      </c>
      <c r="P2603" s="1" t="s">
        <v>41553</v>
      </c>
      <c r="Q2603" s="1" t="s">
        <v>41554</v>
      </c>
      <c r="R2603" s="1" t="s">
        <v>74</v>
      </c>
      <c r="S2603" s="1" t="s">
        <v>74</v>
      </c>
      <c r="T2603" s="1" t="s">
        <v>74</v>
      </c>
      <c r="U2603" s="1" t="s">
        <v>41555</v>
      </c>
      <c r="V2603" s="1" t="s">
        <v>41556</v>
      </c>
      <c r="W2603" s="1" t="s">
        <v>41557</v>
      </c>
      <c r="X2603" s="1" t="s">
        <v>41558</v>
      </c>
      <c r="Y2603" s="1" t="s">
        <v>41559</v>
      </c>
      <c r="Z2603" s="1" t="s">
        <v>74</v>
      </c>
      <c r="AA2603" s="1" t="s">
        <v>41560</v>
      </c>
      <c r="AB2603" s="1" t="s">
        <v>41561</v>
      </c>
      <c r="AC2603" s="1" t="s">
        <v>74</v>
      </c>
      <c r="AD2603" s="1" t="s">
        <v>74</v>
      </c>
      <c r="AE2603" s="1" t="s">
        <v>74</v>
      </c>
      <c r="AF2603" s="1" t="s">
        <v>74</v>
      </c>
      <c r="AG2603" s="1">
        <v>24</v>
      </c>
      <c r="AH2603" s="1">
        <v>12</v>
      </c>
      <c r="AI2603" s="1">
        <v>12</v>
      </c>
      <c r="AJ2603" s="1">
        <v>1</v>
      </c>
      <c r="AK2603" s="1">
        <v>8</v>
      </c>
      <c r="AL2603" s="1" t="s">
        <v>6106</v>
      </c>
      <c r="AM2603" s="1" t="s">
        <v>113</v>
      </c>
      <c r="AN2603" s="1" t="s">
        <v>6107</v>
      </c>
      <c r="AO2603" s="1" t="s">
        <v>41562</v>
      </c>
      <c r="AP2603" s="1" t="s">
        <v>74</v>
      </c>
      <c r="AQ2603" s="1" t="s">
        <v>74</v>
      </c>
      <c r="AR2603" s="1" t="s">
        <v>41563</v>
      </c>
      <c r="AS2603" s="1" t="s">
        <v>41564</v>
      </c>
      <c r="AT2603" s="1" t="s">
        <v>74</v>
      </c>
      <c r="AU2603" s="1">
        <v>1999</v>
      </c>
      <c r="AV2603" s="1">
        <v>18</v>
      </c>
      <c r="AW2603" s="1" t="s">
        <v>1070</v>
      </c>
      <c r="AX2603" s="1" t="s">
        <v>74</v>
      </c>
      <c r="AY2603" s="1" t="s">
        <v>74</v>
      </c>
      <c r="AZ2603" s="1" t="s">
        <v>74</v>
      </c>
      <c r="BA2603" s="1" t="s">
        <v>74</v>
      </c>
      <c r="BB2603" s="1">
        <v>205</v>
      </c>
      <c r="BC2603" s="1">
        <v>220</v>
      </c>
      <c r="BD2603" s="1" t="s">
        <v>74</v>
      </c>
      <c r="BE2603" s="1" t="s">
        <v>41565</v>
      </c>
      <c r="BF2603" s="1" t="str">
        <f>HYPERLINK("http://dx.doi.org/10.3109/15569549909009253","http://dx.doi.org/10.3109/15569549909009253")</f>
        <v>http://dx.doi.org/10.3109/15569549909009253</v>
      </c>
      <c r="BG2603" s="1" t="s">
        <v>74</v>
      </c>
      <c r="BH2603" s="1" t="s">
        <v>74</v>
      </c>
      <c r="BI2603" s="1">
        <v>16</v>
      </c>
      <c r="BJ2603" s="1" t="s">
        <v>95</v>
      </c>
      <c r="BK2603" s="1" t="s">
        <v>588</v>
      </c>
      <c r="BL2603" s="1" t="s">
        <v>95</v>
      </c>
      <c r="BM2603" s="1" t="s">
        <v>41566</v>
      </c>
      <c r="BN2603" s="1" t="s">
        <v>74</v>
      </c>
      <c r="BO2603" s="1" t="s">
        <v>74</v>
      </c>
      <c r="BP2603" s="1" t="s">
        <v>74</v>
      </c>
      <c r="BQ2603" s="1" t="s">
        <v>74</v>
      </c>
      <c r="BR2603" s="1" t="s">
        <v>98</v>
      </c>
      <c r="BS2603" s="1" t="s">
        <v>41567</v>
      </c>
      <c r="BT2603" s="1" t="str">
        <f>HYPERLINK("https%3A%2F%2Fwww.webofscience.com%2Fwos%2Fwoscc%2Ffull-record%2FWOS:000083320300003","View Full Record in Web of Science")</f>
        <v>View Full Record in Web of Science</v>
      </c>
      <c r="BU2603" s="1"/>
      <c r="BV2603" s="1"/>
    </row>
    <row r="2604" spans="1:74">
      <c r="A2604" s="1" t="s">
        <v>72</v>
      </c>
      <c r="B2604" s="1" t="s">
        <v>41568</v>
      </c>
      <c r="C2604" s="1" t="s">
        <v>74</v>
      </c>
      <c r="D2604" s="1" t="s">
        <v>74</v>
      </c>
      <c r="E2604" s="1" t="s">
        <v>74</v>
      </c>
      <c r="F2604" s="1" t="s">
        <v>41568</v>
      </c>
      <c r="G2604" s="1" t="s">
        <v>74</v>
      </c>
      <c r="H2604" s="1" t="s">
        <v>74</v>
      </c>
      <c r="I2604" s="1" t="s">
        <v>41569</v>
      </c>
      <c r="J2604" s="1" t="s">
        <v>421</v>
      </c>
      <c r="K2604" s="1" t="s">
        <v>74</v>
      </c>
      <c r="L2604" s="1" t="s">
        <v>74</v>
      </c>
      <c r="M2604" s="1" t="s">
        <v>78</v>
      </c>
      <c r="N2604" s="1" t="s">
        <v>79</v>
      </c>
      <c r="O2604" s="1" t="s">
        <v>74</v>
      </c>
      <c r="P2604" s="1" t="s">
        <v>74</v>
      </c>
      <c r="Q2604" s="1" t="s">
        <v>74</v>
      </c>
      <c r="R2604" s="1" t="s">
        <v>74</v>
      </c>
      <c r="S2604" s="1" t="s">
        <v>74</v>
      </c>
      <c r="T2604" s="1" t="s">
        <v>41570</v>
      </c>
      <c r="U2604" s="1" t="s">
        <v>41571</v>
      </c>
      <c r="V2604" s="1" t="s">
        <v>41572</v>
      </c>
      <c r="W2604" s="1" t="s">
        <v>41573</v>
      </c>
      <c r="X2604" s="1" t="s">
        <v>41574</v>
      </c>
      <c r="Y2604" s="1" t="s">
        <v>41575</v>
      </c>
      <c r="Z2604" s="1" t="s">
        <v>41576</v>
      </c>
      <c r="AA2604" s="1" t="s">
        <v>74</v>
      </c>
      <c r="AB2604" s="1" t="s">
        <v>41577</v>
      </c>
      <c r="AC2604" s="1" t="s">
        <v>74</v>
      </c>
      <c r="AD2604" s="1" t="s">
        <v>74</v>
      </c>
      <c r="AE2604" s="1" t="s">
        <v>74</v>
      </c>
      <c r="AF2604" s="1" t="s">
        <v>74</v>
      </c>
      <c r="AG2604" s="1">
        <v>48</v>
      </c>
      <c r="AH2604" s="1">
        <v>19</v>
      </c>
      <c r="AI2604" s="1">
        <v>23</v>
      </c>
      <c r="AJ2604" s="1">
        <v>0</v>
      </c>
      <c r="AK2604" s="1">
        <v>23</v>
      </c>
      <c r="AL2604" s="1" t="s">
        <v>430</v>
      </c>
      <c r="AM2604" s="1" t="s">
        <v>137</v>
      </c>
      <c r="AN2604" s="1" t="s">
        <v>431</v>
      </c>
      <c r="AO2604" s="1" t="s">
        <v>432</v>
      </c>
      <c r="AP2604" s="1" t="s">
        <v>1394</v>
      </c>
      <c r="AQ2604" s="1" t="s">
        <v>74</v>
      </c>
      <c r="AR2604" s="1" t="s">
        <v>433</v>
      </c>
      <c r="AS2604" s="1" t="s">
        <v>434</v>
      </c>
      <c r="AT2604" s="1" t="s">
        <v>142</v>
      </c>
      <c r="AU2604" s="1">
        <v>2004</v>
      </c>
      <c r="AV2604" s="1">
        <v>129</v>
      </c>
      <c r="AW2604" s="1">
        <v>3</v>
      </c>
      <c r="AX2604" s="1" t="s">
        <v>74</v>
      </c>
      <c r="AY2604" s="1" t="s">
        <v>74</v>
      </c>
      <c r="AZ2604" s="1" t="s">
        <v>74</v>
      </c>
      <c r="BA2604" s="1" t="s">
        <v>74</v>
      </c>
      <c r="BB2604" s="1">
        <v>457</v>
      </c>
      <c r="BC2604" s="1">
        <v>465</v>
      </c>
      <c r="BD2604" s="1" t="s">
        <v>74</v>
      </c>
      <c r="BE2604" s="1" t="s">
        <v>41578</v>
      </c>
      <c r="BF2604" s="1" t="str">
        <f>HYPERLINK("http://dx.doi.org/10.1016/j.envpol.2003.11.014","http://dx.doi.org/10.1016/j.envpol.2003.11.014")</f>
        <v>http://dx.doi.org/10.1016/j.envpol.2003.11.014</v>
      </c>
      <c r="BG2604" s="1" t="s">
        <v>74</v>
      </c>
      <c r="BH2604" s="1" t="s">
        <v>74</v>
      </c>
      <c r="BI2604" s="1">
        <v>9</v>
      </c>
      <c r="BJ2604" s="1" t="s">
        <v>144</v>
      </c>
      <c r="BK2604" s="1" t="s">
        <v>96</v>
      </c>
      <c r="BL2604" s="1" t="s">
        <v>145</v>
      </c>
      <c r="BM2604" s="1" t="s">
        <v>32570</v>
      </c>
      <c r="BN2604" s="1">
        <v>15016466</v>
      </c>
      <c r="BO2604" s="1" t="s">
        <v>74</v>
      </c>
      <c r="BP2604" s="1" t="s">
        <v>74</v>
      </c>
      <c r="BQ2604" s="1" t="s">
        <v>74</v>
      </c>
      <c r="BR2604" s="1" t="s">
        <v>98</v>
      </c>
      <c r="BS2604" s="1" t="s">
        <v>41579</v>
      </c>
      <c r="BT2604" s="1" t="str">
        <f>HYPERLINK("https%3A%2F%2Fwww.webofscience.com%2Fwos%2Fwoscc%2Ffull-record%2FWOS:000221587400012","View Full Record in Web of Science")</f>
        <v>View Full Record in Web of Science</v>
      </c>
      <c r="BU2604" s="1"/>
      <c r="BV2604" s="1"/>
    </row>
    <row r="2605" spans="1:74">
      <c r="A2605" s="1" t="s">
        <v>72</v>
      </c>
      <c r="B2605" s="1" t="s">
        <v>41580</v>
      </c>
      <c r="C2605" s="1" t="s">
        <v>74</v>
      </c>
      <c r="D2605" s="1" t="s">
        <v>74</v>
      </c>
      <c r="E2605" s="1" t="s">
        <v>74</v>
      </c>
      <c r="F2605" s="1" t="s">
        <v>41581</v>
      </c>
      <c r="G2605" s="1" t="s">
        <v>74</v>
      </c>
      <c r="H2605" s="1" t="s">
        <v>74</v>
      </c>
      <c r="I2605" s="1" t="s">
        <v>41582</v>
      </c>
      <c r="J2605" s="1" t="s">
        <v>909</v>
      </c>
      <c r="K2605" s="1" t="s">
        <v>74</v>
      </c>
      <c r="L2605" s="1" t="s">
        <v>74</v>
      </c>
      <c r="M2605" s="1" t="s">
        <v>78</v>
      </c>
      <c r="N2605" s="1" t="s">
        <v>79</v>
      </c>
      <c r="O2605" s="1" t="s">
        <v>74</v>
      </c>
      <c r="P2605" s="1" t="s">
        <v>74</v>
      </c>
      <c r="Q2605" s="1" t="s">
        <v>74</v>
      </c>
      <c r="R2605" s="1" t="s">
        <v>74</v>
      </c>
      <c r="S2605" s="1" t="s">
        <v>74</v>
      </c>
      <c r="T2605" s="1" t="s">
        <v>41583</v>
      </c>
      <c r="U2605" s="1" t="s">
        <v>41584</v>
      </c>
      <c r="V2605" s="1" t="s">
        <v>41585</v>
      </c>
      <c r="W2605" s="1" t="s">
        <v>41586</v>
      </c>
      <c r="X2605" s="1" t="s">
        <v>41587</v>
      </c>
      <c r="Y2605" s="1" t="s">
        <v>41588</v>
      </c>
      <c r="Z2605" s="1" t="s">
        <v>41589</v>
      </c>
      <c r="AA2605" s="1" t="s">
        <v>41590</v>
      </c>
      <c r="AB2605" s="1" t="s">
        <v>41591</v>
      </c>
      <c r="AC2605" s="1" t="s">
        <v>74</v>
      </c>
      <c r="AD2605" s="1" t="s">
        <v>74</v>
      </c>
      <c r="AE2605" s="1" t="s">
        <v>74</v>
      </c>
      <c r="AF2605" s="1" t="s">
        <v>74</v>
      </c>
      <c r="AG2605" s="1">
        <v>43</v>
      </c>
      <c r="AH2605" s="1">
        <v>15</v>
      </c>
      <c r="AI2605" s="1">
        <v>17</v>
      </c>
      <c r="AJ2605" s="1">
        <v>0</v>
      </c>
      <c r="AK2605" s="1">
        <v>11</v>
      </c>
      <c r="AL2605" s="1" t="s">
        <v>919</v>
      </c>
      <c r="AM2605" s="1" t="s">
        <v>651</v>
      </c>
      <c r="AN2605" s="1" t="s">
        <v>920</v>
      </c>
      <c r="AO2605" s="1" t="s">
        <v>921</v>
      </c>
      <c r="AP2605" s="1" t="s">
        <v>74</v>
      </c>
      <c r="AQ2605" s="1" t="s">
        <v>74</v>
      </c>
      <c r="AR2605" s="1" t="s">
        <v>923</v>
      </c>
      <c r="AS2605" s="1" t="s">
        <v>924</v>
      </c>
      <c r="AT2605" s="1" t="s">
        <v>2303</v>
      </c>
      <c r="AU2605" s="1">
        <v>2006</v>
      </c>
      <c r="AV2605" s="1">
        <v>371</v>
      </c>
      <c r="AW2605" s="1" t="s">
        <v>2847</v>
      </c>
      <c r="AX2605" s="1" t="s">
        <v>74</v>
      </c>
      <c r="AY2605" s="1" t="s">
        <v>74</v>
      </c>
      <c r="AZ2605" s="1" t="s">
        <v>74</v>
      </c>
      <c r="BA2605" s="1" t="s">
        <v>74</v>
      </c>
      <c r="BB2605" s="1">
        <v>168</v>
      </c>
      <c r="BC2605" s="1">
        <v>175</v>
      </c>
      <c r="BD2605" s="1" t="s">
        <v>74</v>
      </c>
      <c r="BE2605" s="1" t="s">
        <v>41592</v>
      </c>
      <c r="BF2605" s="1" t="str">
        <f>HYPERLINK("http://dx.doi.org/10.1016/j.scitotenv.2006.09.004","http://dx.doi.org/10.1016/j.scitotenv.2006.09.004")</f>
        <v>http://dx.doi.org/10.1016/j.scitotenv.2006.09.004</v>
      </c>
      <c r="BG2605" s="1" t="s">
        <v>74</v>
      </c>
      <c r="BH2605" s="1" t="s">
        <v>74</v>
      </c>
      <c r="BI2605" s="1">
        <v>8</v>
      </c>
      <c r="BJ2605" s="1" t="s">
        <v>144</v>
      </c>
      <c r="BK2605" s="1" t="s">
        <v>96</v>
      </c>
      <c r="BL2605" s="1" t="s">
        <v>145</v>
      </c>
      <c r="BM2605" s="1" t="s">
        <v>27765</v>
      </c>
      <c r="BN2605" s="1">
        <v>17049966</v>
      </c>
      <c r="BO2605" s="1" t="s">
        <v>1752</v>
      </c>
      <c r="BP2605" s="1" t="s">
        <v>74</v>
      </c>
      <c r="BQ2605" s="1" t="s">
        <v>74</v>
      </c>
      <c r="BR2605" s="1" t="s">
        <v>98</v>
      </c>
      <c r="BS2605" s="1" t="s">
        <v>41593</v>
      </c>
      <c r="BT2605" s="1" t="str">
        <f>HYPERLINK("https%3A%2F%2Fwww.webofscience.com%2Fwos%2Fwoscc%2Ffull-record%2FWOS:000242431100017","View Full Record in Web of Science")</f>
        <v>View Full Record in Web of Science</v>
      </c>
      <c r="BU2605" s="1"/>
      <c r="BV2605" s="1"/>
    </row>
    <row r="2606" spans="1:74">
      <c r="A2606" s="1" t="s">
        <v>72</v>
      </c>
      <c r="B2606" s="1" t="s">
        <v>41594</v>
      </c>
      <c r="C2606" s="1" t="s">
        <v>74</v>
      </c>
      <c r="D2606" s="1" t="s">
        <v>74</v>
      </c>
      <c r="E2606" s="1" t="s">
        <v>74</v>
      </c>
      <c r="F2606" s="1" t="s">
        <v>41594</v>
      </c>
      <c r="G2606" s="1" t="s">
        <v>74</v>
      </c>
      <c r="H2606" s="1" t="s">
        <v>74</v>
      </c>
      <c r="I2606" s="1" t="s">
        <v>41595</v>
      </c>
      <c r="J2606" s="1" t="s">
        <v>421</v>
      </c>
      <c r="K2606" s="1" t="s">
        <v>74</v>
      </c>
      <c r="L2606" s="1" t="s">
        <v>74</v>
      </c>
      <c r="M2606" s="1" t="s">
        <v>78</v>
      </c>
      <c r="N2606" s="1" t="s">
        <v>79</v>
      </c>
      <c r="O2606" s="1" t="s">
        <v>74</v>
      </c>
      <c r="P2606" s="1" t="s">
        <v>74</v>
      </c>
      <c r="Q2606" s="1" t="s">
        <v>74</v>
      </c>
      <c r="R2606" s="1" t="s">
        <v>74</v>
      </c>
      <c r="S2606" s="1" t="s">
        <v>74</v>
      </c>
      <c r="T2606" s="1" t="s">
        <v>74</v>
      </c>
      <c r="U2606" s="1" t="s">
        <v>74</v>
      </c>
      <c r="V2606" s="1" t="s">
        <v>41596</v>
      </c>
      <c r="W2606" s="1" t="s">
        <v>41597</v>
      </c>
      <c r="X2606" s="1" t="s">
        <v>41598</v>
      </c>
      <c r="Y2606" s="1" t="s">
        <v>41599</v>
      </c>
      <c r="Z2606" s="1" t="s">
        <v>74</v>
      </c>
      <c r="AA2606" s="1" t="s">
        <v>74</v>
      </c>
      <c r="AB2606" s="1" t="s">
        <v>74</v>
      </c>
      <c r="AC2606" s="1" t="s">
        <v>74</v>
      </c>
      <c r="AD2606" s="1" t="s">
        <v>74</v>
      </c>
      <c r="AE2606" s="1" t="s">
        <v>74</v>
      </c>
      <c r="AF2606" s="1" t="s">
        <v>74</v>
      </c>
      <c r="AG2606" s="1">
        <v>34</v>
      </c>
      <c r="AH2606" s="1">
        <v>80</v>
      </c>
      <c r="AI2606" s="1">
        <v>82</v>
      </c>
      <c r="AJ2606" s="1">
        <v>0</v>
      </c>
      <c r="AK2606" s="1">
        <v>0</v>
      </c>
      <c r="AL2606" s="1" t="s">
        <v>430</v>
      </c>
      <c r="AM2606" s="1" t="s">
        <v>7361</v>
      </c>
      <c r="AN2606" s="1" t="s">
        <v>7362</v>
      </c>
      <c r="AO2606" s="1" t="s">
        <v>432</v>
      </c>
      <c r="AP2606" s="1" t="s">
        <v>1394</v>
      </c>
      <c r="AQ2606" s="1" t="s">
        <v>74</v>
      </c>
      <c r="AR2606" s="1" t="s">
        <v>433</v>
      </c>
      <c r="AS2606" s="1" t="s">
        <v>434</v>
      </c>
      <c r="AT2606" s="1" t="s">
        <v>74</v>
      </c>
      <c r="AU2606" s="1">
        <v>1989</v>
      </c>
      <c r="AV2606" s="1">
        <v>57</v>
      </c>
      <c r="AW2606" s="1">
        <v>2</v>
      </c>
      <c r="AX2606" s="1" t="s">
        <v>74</v>
      </c>
      <c r="AY2606" s="1" t="s">
        <v>74</v>
      </c>
      <c r="AZ2606" s="1" t="s">
        <v>74</v>
      </c>
      <c r="BA2606" s="1" t="s">
        <v>74</v>
      </c>
      <c r="BB2606" s="1">
        <v>149</v>
      </c>
      <c r="BC2606" s="1">
        <v>166</v>
      </c>
      <c r="BD2606" s="1" t="s">
        <v>74</v>
      </c>
      <c r="BE2606" s="1" t="s">
        <v>41600</v>
      </c>
      <c r="BF2606" s="1" t="str">
        <f>HYPERLINK("http://dx.doi.org/10.1016/0269-7491(89)90007-9","http://dx.doi.org/10.1016/0269-7491(89)90007-9")</f>
        <v>http://dx.doi.org/10.1016/0269-7491(89)90007-9</v>
      </c>
      <c r="BG2606" s="1" t="s">
        <v>74</v>
      </c>
      <c r="BH2606" s="1" t="s">
        <v>74</v>
      </c>
      <c r="BI2606" s="1">
        <v>18</v>
      </c>
      <c r="BJ2606" s="1" t="s">
        <v>144</v>
      </c>
      <c r="BK2606" s="1" t="s">
        <v>96</v>
      </c>
      <c r="BL2606" s="1" t="s">
        <v>145</v>
      </c>
      <c r="BM2606" s="1" t="s">
        <v>41601</v>
      </c>
      <c r="BN2606" s="1">
        <v>15092460</v>
      </c>
      <c r="BO2606" s="1" t="s">
        <v>74</v>
      </c>
      <c r="BP2606" s="1" t="s">
        <v>74</v>
      </c>
      <c r="BQ2606" s="1" t="s">
        <v>74</v>
      </c>
      <c r="BR2606" s="1" t="s">
        <v>98</v>
      </c>
      <c r="BS2606" s="1" t="s">
        <v>41602</v>
      </c>
      <c r="BT2606" s="1" t="str">
        <f>HYPERLINK("https%3A%2F%2Fwww.webofscience.com%2Fwos%2Fwoscc%2Ffull-record%2FWOS:A1989T850500007","View Full Record in Web of Science")</f>
        <v>View Full Record in Web of Science</v>
      </c>
      <c r="BU2606" s="1"/>
      <c r="BV2606" s="1"/>
    </row>
    <row r="2607" spans="1:74">
      <c r="A2607" s="1" t="s">
        <v>72</v>
      </c>
      <c r="B2607" s="1" t="s">
        <v>41603</v>
      </c>
      <c r="C2607" s="1" t="s">
        <v>74</v>
      </c>
      <c r="D2607" s="1" t="s">
        <v>74</v>
      </c>
      <c r="E2607" s="1" t="s">
        <v>74</v>
      </c>
      <c r="F2607" s="1" t="s">
        <v>41604</v>
      </c>
      <c r="G2607" s="1" t="s">
        <v>74</v>
      </c>
      <c r="H2607" s="1" t="s">
        <v>74</v>
      </c>
      <c r="I2607" s="1" t="s">
        <v>41605</v>
      </c>
      <c r="J2607" s="1" t="s">
        <v>9383</v>
      </c>
      <c r="K2607" s="1" t="s">
        <v>74</v>
      </c>
      <c r="L2607" s="1" t="s">
        <v>74</v>
      </c>
      <c r="M2607" s="1" t="s">
        <v>78</v>
      </c>
      <c r="N2607" s="1" t="s">
        <v>79</v>
      </c>
      <c r="O2607" s="1" t="s">
        <v>74</v>
      </c>
      <c r="P2607" s="1" t="s">
        <v>74</v>
      </c>
      <c r="Q2607" s="1" t="s">
        <v>74</v>
      </c>
      <c r="R2607" s="1" t="s">
        <v>74</v>
      </c>
      <c r="S2607" s="1" t="s">
        <v>74</v>
      </c>
      <c r="T2607" s="1" t="s">
        <v>74</v>
      </c>
      <c r="U2607" s="1" t="s">
        <v>41606</v>
      </c>
      <c r="V2607" s="1" t="s">
        <v>41607</v>
      </c>
      <c r="W2607" s="1" t="s">
        <v>41608</v>
      </c>
      <c r="X2607" s="1" t="s">
        <v>31311</v>
      </c>
      <c r="Y2607" s="1" t="s">
        <v>41609</v>
      </c>
      <c r="Z2607" s="1" t="s">
        <v>37301</v>
      </c>
      <c r="AA2607" s="1" t="s">
        <v>41610</v>
      </c>
      <c r="AB2607" s="1" t="s">
        <v>41611</v>
      </c>
      <c r="AC2607" s="1" t="s">
        <v>41612</v>
      </c>
      <c r="AD2607" s="1" t="s">
        <v>31311</v>
      </c>
      <c r="AE2607" s="1" t="s">
        <v>41613</v>
      </c>
      <c r="AF2607" s="1" t="s">
        <v>74</v>
      </c>
      <c r="AG2607" s="1">
        <v>59</v>
      </c>
      <c r="AH2607" s="1">
        <v>30</v>
      </c>
      <c r="AI2607" s="1">
        <v>30</v>
      </c>
      <c r="AJ2607" s="1">
        <v>0</v>
      </c>
      <c r="AK2607" s="1">
        <v>17</v>
      </c>
      <c r="AL2607" s="1" t="s">
        <v>9394</v>
      </c>
      <c r="AM2607" s="1" t="s">
        <v>9395</v>
      </c>
      <c r="AN2607" s="1" t="s">
        <v>9396</v>
      </c>
      <c r="AO2607" s="1" t="s">
        <v>9397</v>
      </c>
      <c r="AP2607" s="1" t="s">
        <v>74</v>
      </c>
      <c r="AQ2607" s="1" t="s">
        <v>74</v>
      </c>
      <c r="AR2607" s="1" t="s">
        <v>9398</v>
      </c>
      <c r="AS2607" s="1" t="s">
        <v>9399</v>
      </c>
      <c r="AT2607" s="1" t="s">
        <v>18349</v>
      </c>
      <c r="AU2607" s="1">
        <v>2019</v>
      </c>
      <c r="AV2607" s="1">
        <v>9</v>
      </c>
      <c r="AW2607" s="1" t="s">
        <v>74</v>
      </c>
      <c r="AX2607" s="1" t="s">
        <v>74</v>
      </c>
      <c r="AY2607" s="1" t="s">
        <v>74</v>
      </c>
      <c r="AZ2607" s="1" t="s">
        <v>74</v>
      </c>
      <c r="BA2607" s="1" t="s">
        <v>74</v>
      </c>
      <c r="BB2607" s="1" t="s">
        <v>74</v>
      </c>
      <c r="BC2607" s="1" t="s">
        <v>74</v>
      </c>
      <c r="BD2607" s="1">
        <v>1416</v>
      </c>
      <c r="BE2607" s="1" t="s">
        <v>41614</v>
      </c>
      <c r="BF2607" s="1" t="str">
        <f>HYPERLINK("http://dx.doi.org/10.1038/s41598-018-38196-w","http://dx.doi.org/10.1038/s41598-018-38196-w")</f>
        <v>http://dx.doi.org/10.1038/s41598-018-38196-w</v>
      </c>
      <c r="BG2607" s="1" t="s">
        <v>74</v>
      </c>
      <c r="BH2607" s="1" t="s">
        <v>74</v>
      </c>
      <c r="BI2607" s="1">
        <v>10</v>
      </c>
      <c r="BJ2607" s="1" t="s">
        <v>3202</v>
      </c>
      <c r="BK2607" s="1" t="s">
        <v>96</v>
      </c>
      <c r="BL2607" s="1" t="s">
        <v>3203</v>
      </c>
      <c r="BM2607" s="1" t="s">
        <v>41615</v>
      </c>
      <c r="BN2607" s="1">
        <v>30723249</v>
      </c>
      <c r="BO2607" s="1" t="s">
        <v>550</v>
      </c>
      <c r="BP2607" s="1" t="s">
        <v>74</v>
      </c>
      <c r="BQ2607" s="1" t="s">
        <v>74</v>
      </c>
      <c r="BR2607" s="1" t="s">
        <v>98</v>
      </c>
      <c r="BS2607" s="1" t="s">
        <v>41616</v>
      </c>
      <c r="BT2607" s="1" t="str">
        <f>HYPERLINK("https%3A%2F%2Fwww.webofscience.com%2Fwos%2Fwoscc%2Ffull-record%2FWOS:000457753000013","View Full Record in Web of Science")</f>
        <v>View Full Record in Web of Science</v>
      </c>
      <c r="BU2607" s="1"/>
      <c r="BV2607" s="1"/>
    </row>
    <row r="2608" spans="1:74">
      <c r="A2608" s="1" t="s">
        <v>72</v>
      </c>
      <c r="B2608" s="1" t="s">
        <v>41617</v>
      </c>
      <c r="C2608" s="1" t="s">
        <v>74</v>
      </c>
      <c r="D2608" s="1" t="s">
        <v>74</v>
      </c>
      <c r="E2608" s="1" t="s">
        <v>74</v>
      </c>
      <c r="F2608" s="1" t="s">
        <v>41618</v>
      </c>
      <c r="G2608" s="1" t="s">
        <v>74</v>
      </c>
      <c r="H2608" s="1" t="s">
        <v>74</v>
      </c>
      <c r="I2608" s="1" t="s">
        <v>41619</v>
      </c>
      <c r="J2608" s="1" t="s">
        <v>232</v>
      </c>
      <c r="K2608" s="1" t="s">
        <v>74</v>
      </c>
      <c r="L2608" s="1" t="s">
        <v>74</v>
      </c>
      <c r="M2608" s="1" t="s">
        <v>78</v>
      </c>
      <c r="N2608" s="1" t="s">
        <v>79</v>
      </c>
      <c r="O2608" s="1" t="s">
        <v>74</v>
      </c>
      <c r="P2608" s="1" t="s">
        <v>74</v>
      </c>
      <c r="Q2608" s="1" t="s">
        <v>74</v>
      </c>
      <c r="R2608" s="1" t="s">
        <v>74</v>
      </c>
      <c r="S2608" s="1" t="s">
        <v>74</v>
      </c>
      <c r="T2608" s="1" t="s">
        <v>41620</v>
      </c>
      <c r="U2608" s="1" t="s">
        <v>41621</v>
      </c>
      <c r="V2608" s="1" t="s">
        <v>41622</v>
      </c>
      <c r="W2608" s="1" t="s">
        <v>41623</v>
      </c>
      <c r="X2608" s="1" t="s">
        <v>4489</v>
      </c>
      <c r="Y2608" s="1" t="s">
        <v>41624</v>
      </c>
      <c r="Z2608" s="1" t="s">
        <v>41625</v>
      </c>
      <c r="AA2608" s="1" t="s">
        <v>74</v>
      </c>
      <c r="AB2608" s="1" t="s">
        <v>74</v>
      </c>
      <c r="AC2608" s="1" t="s">
        <v>41626</v>
      </c>
      <c r="AD2608" s="1" t="s">
        <v>41627</v>
      </c>
      <c r="AE2608" s="1" t="s">
        <v>41628</v>
      </c>
      <c r="AF2608" s="1" t="s">
        <v>74</v>
      </c>
      <c r="AG2608" s="1">
        <v>63</v>
      </c>
      <c r="AH2608" s="1">
        <v>3</v>
      </c>
      <c r="AI2608" s="1">
        <v>3</v>
      </c>
      <c r="AJ2608" s="1">
        <v>5</v>
      </c>
      <c r="AK2608" s="1">
        <v>35</v>
      </c>
      <c r="AL2608" s="1" t="s">
        <v>136</v>
      </c>
      <c r="AM2608" s="1" t="s">
        <v>137</v>
      </c>
      <c r="AN2608" s="1" t="s">
        <v>138</v>
      </c>
      <c r="AO2608" s="1" t="s">
        <v>240</v>
      </c>
      <c r="AP2608" s="1" t="s">
        <v>241</v>
      </c>
      <c r="AQ2608" s="1" t="s">
        <v>74</v>
      </c>
      <c r="AR2608" s="1" t="s">
        <v>242</v>
      </c>
      <c r="AS2608" s="1" t="s">
        <v>243</v>
      </c>
      <c r="AT2608" s="1" t="s">
        <v>305</v>
      </c>
      <c r="AU2608" s="1">
        <v>2022</v>
      </c>
      <c r="AV2608" s="1">
        <v>182</v>
      </c>
      <c r="AW2608" s="1" t="s">
        <v>74</v>
      </c>
      <c r="AX2608" s="1" t="s">
        <v>74</v>
      </c>
      <c r="AY2608" s="1" t="s">
        <v>74</v>
      </c>
      <c r="AZ2608" s="1" t="s">
        <v>74</v>
      </c>
      <c r="BA2608" s="1" t="s">
        <v>74</v>
      </c>
      <c r="BB2608" s="1" t="s">
        <v>74</v>
      </c>
      <c r="BC2608" s="1" t="s">
        <v>74</v>
      </c>
      <c r="BD2608" s="1">
        <v>113941</v>
      </c>
      <c r="BE2608" s="1" t="s">
        <v>41629</v>
      </c>
      <c r="BF2608" s="1" t="str">
        <f>HYPERLINK("http://dx.doi.org/10.1016/j.marpolbul.2022.113941","http://dx.doi.org/10.1016/j.marpolbul.2022.113941")</f>
        <v>http://dx.doi.org/10.1016/j.marpolbul.2022.113941</v>
      </c>
      <c r="BG2608" s="1" t="s">
        <v>74</v>
      </c>
      <c r="BH2608" s="1" t="s">
        <v>8654</v>
      </c>
      <c r="BI2608" s="1">
        <v>12</v>
      </c>
      <c r="BJ2608" s="1" t="s">
        <v>247</v>
      </c>
      <c r="BK2608" s="1" t="s">
        <v>96</v>
      </c>
      <c r="BL2608" s="1" t="s">
        <v>248</v>
      </c>
      <c r="BM2608" s="1" t="s">
        <v>41630</v>
      </c>
      <c r="BN2608" s="1">
        <v>35908485</v>
      </c>
      <c r="BO2608" s="1" t="s">
        <v>74</v>
      </c>
      <c r="BP2608" s="1" t="s">
        <v>74</v>
      </c>
      <c r="BQ2608" s="1" t="s">
        <v>74</v>
      </c>
      <c r="BR2608" s="1" t="s">
        <v>98</v>
      </c>
      <c r="BS2608" s="1" t="s">
        <v>41631</v>
      </c>
      <c r="BT2608" s="1" t="str">
        <f>HYPERLINK("https%3A%2F%2Fwww.webofscience.com%2Fwos%2Fwoscc%2Ffull-record%2FWOS:000865373800003","View Full Record in Web of Science")</f>
        <v>View Full Record in Web of Science</v>
      </c>
      <c r="BU2608" s="1"/>
      <c r="BV2608" s="1"/>
    </row>
    <row r="2609" spans="1:74">
      <c r="A2609" s="1" t="s">
        <v>72</v>
      </c>
      <c r="B2609" s="1" t="s">
        <v>41632</v>
      </c>
      <c r="C2609" s="1" t="s">
        <v>74</v>
      </c>
      <c r="D2609" s="1" t="s">
        <v>74</v>
      </c>
      <c r="E2609" s="1" t="s">
        <v>74</v>
      </c>
      <c r="F2609" s="1" t="s">
        <v>41633</v>
      </c>
      <c r="G2609" s="1" t="s">
        <v>74</v>
      </c>
      <c r="H2609" s="1" t="s">
        <v>74</v>
      </c>
      <c r="I2609" s="1" t="s">
        <v>41634</v>
      </c>
      <c r="J2609" s="1" t="s">
        <v>421</v>
      </c>
      <c r="K2609" s="1" t="s">
        <v>74</v>
      </c>
      <c r="L2609" s="1" t="s">
        <v>74</v>
      </c>
      <c r="M2609" s="1" t="s">
        <v>78</v>
      </c>
      <c r="N2609" s="1" t="s">
        <v>79</v>
      </c>
      <c r="O2609" s="1" t="s">
        <v>74</v>
      </c>
      <c r="P2609" s="1" t="s">
        <v>74</v>
      </c>
      <c r="Q2609" s="1" t="s">
        <v>74</v>
      </c>
      <c r="R2609" s="1" t="s">
        <v>74</v>
      </c>
      <c r="S2609" s="1" t="s">
        <v>74</v>
      </c>
      <c r="T2609" s="1" t="s">
        <v>41635</v>
      </c>
      <c r="U2609" s="1" t="s">
        <v>41636</v>
      </c>
      <c r="V2609" s="1" t="s">
        <v>41637</v>
      </c>
      <c r="W2609" s="1" t="s">
        <v>41638</v>
      </c>
      <c r="X2609" s="1" t="s">
        <v>41639</v>
      </c>
      <c r="Y2609" s="1" t="s">
        <v>41640</v>
      </c>
      <c r="Z2609" s="1" t="s">
        <v>28750</v>
      </c>
      <c r="AA2609" s="1" t="s">
        <v>41641</v>
      </c>
      <c r="AB2609" s="1" t="s">
        <v>41642</v>
      </c>
      <c r="AC2609" s="1" t="s">
        <v>41643</v>
      </c>
      <c r="AD2609" s="1" t="s">
        <v>41644</v>
      </c>
      <c r="AE2609" s="1" t="s">
        <v>41645</v>
      </c>
      <c r="AF2609" s="1" t="s">
        <v>74</v>
      </c>
      <c r="AG2609" s="1">
        <v>74</v>
      </c>
      <c r="AH2609" s="1">
        <v>39</v>
      </c>
      <c r="AI2609" s="1">
        <v>44</v>
      </c>
      <c r="AJ2609" s="1">
        <v>1</v>
      </c>
      <c r="AK2609" s="1">
        <v>41</v>
      </c>
      <c r="AL2609" s="1" t="s">
        <v>430</v>
      </c>
      <c r="AM2609" s="1" t="s">
        <v>137</v>
      </c>
      <c r="AN2609" s="1" t="s">
        <v>431</v>
      </c>
      <c r="AO2609" s="1" t="s">
        <v>432</v>
      </c>
      <c r="AP2609" s="1" t="s">
        <v>1394</v>
      </c>
      <c r="AQ2609" s="1" t="s">
        <v>74</v>
      </c>
      <c r="AR2609" s="1" t="s">
        <v>433</v>
      </c>
      <c r="AS2609" s="1" t="s">
        <v>434</v>
      </c>
      <c r="AT2609" s="1" t="s">
        <v>267</v>
      </c>
      <c r="AU2609" s="1">
        <v>2015</v>
      </c>
      <c r="AV2609" s="1">
        <v>205</v>
      </c>
      <c r="AW2609" s="1" t="s">
        <v>74</v>
      </c>
      <c r="AX2609" s="1" t="s">
        <v>74</v>
      </c>
      <c r="AY2609" s="1" t="s">
        <v>74</v>
      </c>
      <c r="AZ2609" s="1" t="s">
        <v>74</v>
      </c>
      <c r="BA2609" s="1" t="s">
        <v>74</v>
      </c>
      <c r="BB2609" s="1">
        <v>60</v>
      </c>
      <c r="BC2609" s="1">
        <v>69</v>
      </c>
      <c r="BD2609" s="1" t="s">
        <v>74</v>
      </c>
      <c r="BE2609" s="1" t="s">
        <v>41646</v>
      </c>
      <c r="BF2609" s="1" t="str">
        <f>HYPERLINK("http://dx.doi.org/10.1016/j.envpol.2015.05.020","http://dx.doi.org/10.1016/j.envpol.2015.05.020")</f>
        <v>http://dx.doi.org/10.1016/j.envpol.2015.05.020</v>
      </c>
      <c r="BG2609" s="1" t="s">
        <v>74</v>
      </c>
      <c r="BH2609" s="1" t="s">
        <v>74</v>
      </c>
      <c r="BI2609" s="1">
        <v>10</v>
      </c>
      <c r="BJ2609" s="1" t="s">
        <v>144</v>
      </c>
      <c r="BK2609" s="1" t="s">
        <v>96</v>
      </c>
      <c r="BL2609" s="1" t="s">
        <v>145</v>
      </c>
      <c r="BM2609" s="1" t="s">
        <v>41647</v>
      </c>
      <c r="BN2609" s="1">
        <v>26017112</v>
      </c>
      <c r="BO2609" s="1" t="s">
        <v>74</v>
      </c>
      <c r="BP2609" s="1" t="s">
        <v>74</v>
      </c>
      <c r="BQ2609" s="1" t="s">
        <v>74</v>
      </c>
      <c r="BR2609" s="1" t="s">
        <v>98</v>
      </c>
      <c r="BS2609" s="1" t="s">
        <v>41648</v>
      </c>
      <c r="BT2609" s="1" t="str">
        <f>HYPERLINK("https%3A%2F%2Fwww.webofscience.com%2Fwos%2Fwoscc%2Ffull-record%2FWOS:000362308100008","View Full Record in Web of Science")</f>
        <v>View Full Record in Web of Science</v>
      </c>
      <c r="BU2609" s="1"/>
      <c r="BV2609" s="1"/>
    </row>
    <row r="2610" spans="1:74">
      <c r="A2610" s="1" t="s">
        <v>72</v>
      </c>
      <c r="B2610" s="1" t="s">
        <v>41649</v>
      </c>
      <c r="C2610" s="1" t="s">
        <v>74</v>
      </c>
      <c r="D2610" s="1" t="s">
        <v>74</v>
      </c>
      <c r="E2610" s="1" t="s">
        <v>74</v>
      </c>
      <c r="F2610" s="1" t="s">
        <v>41650</v>
      </c>
      <c r="G2610" s="1" t="s">
        <v>74</v>
      </c>
      <c r="H2610" s="1" t="s">
        <v>74</v>
      </c>
      <c r="I2610" s="1" t="s">
        <v>41651</v>
      </c>
      <c r="J2610" s="1" t="s">
        <v>127</v>
      </c>
      <c r="K2610" s="1" t="s">
        <v>74</v>
      </c>
      <c r="L2610" s="1" t="s">
        <v>74</v>
      </c>
      <c r="M2610" s="1" t="s">
        <v>78</v>
      </c>
      <c r="N2610" s="1" t="s">
        <v>79</v>
      </c>
      <c r="O2610" s="1" t="s">
        <v>74</v>
      </c>
      <c r="P2610" s="1" t="s">
        <v>74</v>
      </c>
      <c r="Q2610" s="1" t="s">
        <v>74</v>
      </c>
      <c r="R2610" s="1" t="s">
        <v>74</v>
      </c>
      <c r="S2610" s="1" t="s">
        <v>74</v>
      </c>
      <c r="T2610" s="1" t="s">
        <v>41652</v>
      </c>
      <c r="U2610" s="1" t="s">
        <v>41653</v>
      </c>
      <c r="V2610" s="1" t="s">
        <v>41654</v>
      </c>
      <c r="W2610" s="1" t="s">
        <v>41655</v>
      </c>
      <c r="X2610" s="1" t="s">
        <v>41656</v>
      </c>
      <c r="Y2610" s="1" t="s">
        <v>32755</v>
      </c>
      <c r="Z2610" s="1" t="s">
        <v>32756</v>
      </c>
      <c r="AA2610" s="1" t="s">
        <v>41657</v>
      </c>
      <c r="AB2610" s="1" t="s">
        <v>41658</v>
      </c>
      <c r="AC2610" s="1" t="s">
        <v>41659</v>
      </c>
      <c r="AD2610" s="1" t="s">
        <v>41660</v>
      </c>
      <c r="AE2610" s="1" t="s">
        <v>41661</v>
      </c>
      <c r="AF2610" s="1" t="s">
        <v>74</v>
      </c>
      <c r="AG2610" s="1">
        <v>75</v>
      </c>
      <c r="AH2610" s="1">
        <v>20</v>
      </c>
      <c r="AI2610" s="1">
        <v>20</v>
      </c>
      <c r="AJ2610" s="1">
        <v>3</v>
      </c>
      <c r="AK2610" s="1">
        <v>66</v>
      </c>
      <c r="AL2610" s="1" t="s">
        <v>136</v>
      </c>
      <c r="AM2610" s="1" t="s">
        <v>137</v>
      </c>
      <c r="AN2610" s="1" t="s">
        <v>138</v>
      </c>
      <c r="AO2610" s="1" t="s">
        <v>139</v>
      </c>
      <c r="AP2610" s="1" t="s">
        <v>140</v>
      </c>
      <c r="AQ2610" s="1" t="s">
        <v>74</v>
      </c>
      <c r="AR2610" s="1" t="s">
        <v>127</v>
      </c>
      <c r="AS2610" s="1" t="s">
        <v>141</v>
      </c>
      <c r="AT2610" s="1" t="s">
        <v>93</v>
      </c>
      <c r="AU2610" s="1">
        <v>2022</v>
      </c>
      <c r="AV2610" s="1">
        <v>292</v>
      </c>
      <c r="AW2610" s="1" t="s">
        <v>74</v>
      </c>
      <c r="AX2610" s="1" t="s">
        <v>74</v>
      </c>
      <c r="AY2610" s="1" t="s">
        <v>74</v>
      </c>
      <c r="AZ2610" s="1" t="s">
        <v>74</v>
      </c>
      <c r="BA2610" s="1" t="s">
        <v>74</v>
      </c>
      <c r="BB2610" s="1" t="s">
        <v>74</v>
      </c>
      <c r="BC2610" s="1" t="s">
        <v>74</v>
      </c>
      <c r="BD2610" s="1">
        <v>133499</v>
      </c>
      <c r="BE2610" s="1" t="s">
        <v>41662</v>
      </c>
      <c r="BF2610" s="1" t="str">
        <f>HYPERLINK("http://dx.doi.org/10.1016/j.chemosphere.2021.133499","http://dx.doi.org/10.1016/j.chemosphere.2021.133499")</f>
        <v>http://dx.doi.org/10.1016/j.chemosphere.2021.133499</v>
      </c>
      <c r="BG2610" s="1" t="s">
        <v>74</v>
      </c>
      <c r="BH2610" s="1" t="s">
        <v>227</v>
      </c>
      <c r="BI2610" s="1">
        <v>8</v>
      </c>
      <c r="BJ2610" s="1" t="s">
        <v>144</v>
      </c>
      <c r="BK2610" s="1" t="s">
        <v>96</v>
      </c>
      <c r="BL2610" s="1" t="s">
        <v>145</v>
      </c>
      <c r="BM2610" s="1" t="s">
        <v>41663</v>
      </c>
      <c r="BN2610" s="1">
        <v>34979205</v>
      </c>
      <c r="BO2610" s="1" t="s">
        <v>74</v>
      </c>
      <c r="BP2610" s="1" t="s">
        <v>74</v>
      </c>
      <c r="BQ2610" s="1" t="s">
        <v>74</v>
      </c>
      <c r="BR2610" s="1" t="s">
        <v>98</v>
      </c>
      <c r="BS2610" s="1" t="s">
        <v>41664</v>
      </c>
      <c r="BT2610" s="1" t="str">
        <f>HYPERLINK("https%3A%2F%2Fwww.webofscience.com%2Fwos%2Fwoscc%2Ffull-record%2FWOS:000758283900002","View Full Record in Web of Science")</f>
        <v>View Full Record in Web of Science</v>
      </c>
      <c r="BU2610" s="1"/>
      <c r="BV2610" s="1"/>
    </row>
    <row r="2611" spans="1:74">
      <c r="A2611" s="1" t="s">
        <v>72</v>
      </c>
      <c r="B2611" s="1" t="s">
        <v>41665</v>
      </c>
      <c r="C2611" s="1" t="s">
        <v>74</v>
      </c>
      <c r="D2611" s="1" t="s">
        <v>74</v>
      </c>
      <c r="E2611" s="1" t="s">
        <v>74</v>
      </c>
      <c r="F2611" s="1" t="s">
        <v>41665</v>
      </c>
      <c r="G2611" s="1" t="s">
        <v>74</v>
      </c>
      <c r="H2611" s="1" t="s">
        <v>74</v>
      </c>
      <c r="I2611" s="1" t="s">
        <v>41666</v>
      </c>
      <c r="J2611" s="1" t="s">
        <v>752</v>
      </c>
      <c r="K2611" s="1" t="s">
        <v>74</v>
      </c>
      <c r="L2611" s="1" t="s">
        <v>74</v>
      </c>
      <c r="M2611" s="1" t="s">
        <v>78</v>
      </c>
      <c r="N2611" s="1" t="s">
        <v>79</v>
      </c>
      <c r="O2611" s="1" t="s">
        <v>74</v>
      </c>
      <c r="P2611" s="1" t="s">
        <v>74</v>
      </c>
      <c r="Q2611" s="1" t="s">
        <v>74</v>
      </c>
      <c r="R2611" s="1" t="s">
        <v>74</v>
      </c>
      <c r="S2611" s="1" t="s">
        <v>74</v>
      </c>
      <c r="T2611" s="1" t="s">
        <v>41667</v>
      </c>
      <c r="U2611" s="1" t="s">
        <v>41668</v>
      </c>
      <c r="V2611" s="1" t="s">
        <v>41669</v>
      </c>
      <c r="W2611" s="1" t="s">
        <v>41670</v>
      </c>
      <c r="X2611" s="1" t="s">
        <v>41671</v>
      </c>
      <c r="Y2611" s="1" t="s">
        <v>41672</v>
      </c>
      <c r="Z2611" s="1" t="s">
        <v>74</v>
      </c>
      <c r="AA2611" s="1" t="s">
        <v>74</v>
      </c>
      <c r="AB2611" s="1" t="s">
        <v>74</v>
      </c>
      <c r="AC2611" s="1" t="s">
        <v>74</v>
      </c>
      <c r="AD2611" s="1" t="s">
        <v>74</v>
      </c>
      <c r="AE2611" s="1" t="s">
        <v>74</v>
      </c>
      <c r="AF2611" s="1" t="s">
        <v>74</v>
      </c>
      <c r="AG2611" s="1">
        <v>62</v>
      </c>
      <c r="AH2611" s="1">
        <v>144</v>
      </c>
      <c r="AI2611" s="1">
        <v>153</v>
      </c>
      <c r="AJ2611" s="1">
        <v>3</v>
      </c>
      <c r="AK2611" s="1">
        <v>80</v>
      </c>
      <c r="AL2611" s="1" t="s">
        <v>430</v>
      </c>
      <c r="AM2611" s="1" t="s">
        <v>137</v>
      </c>
      <c r="AN2611" s="1" t="s">
        <v>431</v>
      </c>
      <c r="AO2611" s="1" t="s">
        <v>761</v>
      </c>
      <c r="AP2611" s="1" t="s">
        <v>74</v>
      </c>
      <c r="AQ2611" s="1" t="s">
        <v>74</v>
      </c>
      <c r="AR2611" s="1" t="s">
        <v>763</v>
      </c>
      <c r="AS2611" s="1" t="s">
        <v>764</v>
      </c>
      <c r="AT2611" s="1" t="s">
        <v>170</v>
      </c>
      <c r="AU2611" s="1">
        <v>2002</v>
      </c>
      <c r="AV2611" s="1">
        <v>53</v>
      </c>
      <c r="AW2611" s="1">
        <v>4</v>
      </c>
      <c r="AX2611" s="1" t="s">
        <v>74</v>
      </c>
      <c r="AY2611" s="1" t="s">
        <v>74</v>
      </c>
      <c r="AZ2611" s="1" t="s">
        <v>74</v>
      </c>
      <c r="BA2611" s="1" t="s">
        <v>74</v>
      </c>
      <c r="BB2611" s="1">
        <v>327</v>
      </c>
      <c r="BC2611" s="1">
        <v>356</v>
      </c>
      <c r="BD2611" s="1" t="s">
        <v>41673</v>
      </c>
      <c r="BE2611" s="1" t="s">
        <v>41674</v>
      </c>
      <c r="BF2611" s="1" t="str">
        <f>HYPERLINK("http://dx.doi.org/10.1016/S0141-1136(01)00120-9","http://dx.doi.org/10.1016/S0141-1136(01)00120-9")</f>
        <v>http://dx.doi.org/10.1016/S0141-1136(01)00120-9</v>
      </c>
      <c r="BG2611" s="1" t="s">
        <v>74</v>
      </c>
      <c r="BH2611" s="1" t="s">
        <v>74</v>
      </c>
      <c r="BI2611" s="1">
        <v>30</v>
      </c>
      <c r="BJ2611" s="1" t="s">
        <v>768</v>
      </c>
      <c r="BK2611" s="1" t="s">
        <v>96</v>
      </c>
      <c r="BL2611" s="1" t="s">
        <v>769</v>
      </c>
      <c r="BM2611" s="1" t="s">
        <v>41675</v>
      </c>
      <c r="BN2611" s="1">
        <v>11991207</v>
      </c>
      <c r="BO2611" s="1" t="s">
        <v>74</v>
      </c>
      <c r="BP2611" s="1" t="s">
        <v>74</v>
      </c>
      <c r="BQ2611" s="1" t="s">
        <v>74</v>
      </c>
      <c r="BR2611" s="1" t="s">
        <v>98</v>
      </c>
      <c r="BS2611" s="1" t="s">
        <v>41676</v>
      </c>
      <c r="BT2611" s="1" t="str">
        <f>HYPERLINK("https%3A%2F%2Fwww.webofscience.com%2Fwos%2Fwoscc%2Ffull-record%2FWOS:000174864000001","View Full Record in Web of Science")</f>
        <v>View Full Record in Web of Science</v>
      </c>
      <c r="BU2611" s="1"/>
      <c r="BV2611" s="1"/>
    </row>
    <row r="2612" spans="1:74">
      <c r="A2612" s="1" t="s">
        <v>72</v>
      </c>
      <c r="B2612" s="1" t="s">
        <v>41677</v>
      </c>
      <c r="C2612" s="1" t="s">
        <v>74</v>
      </c>
      <c r="D2612" s="1" t="s">
        <v>74</v>
      </c>
      <c r="E2612" s="1" t="s">
        <v>74</v>
      </c>
      <c r="F2612" s="1" t="s">
        <v>41678</v>
      </c>
      <c r="G2612" s="1" t="s">
        <v>74</v>
      </c>
      <c r="H2612" s="1" t="s">
        <v>74</v>
      </c>
      <c r="I2612" s="1" t="s">
        <v>41679</v>
      </c>
      <c r="J2612" s="1" t="s">
        <v>41680</v>
      </c>
      <c r="K2612" s="1" t="s">
        <v>74</v>
      </c>
      <c r="L2612" s="1" t="s">
        <v>74</v>
      </c>
      <c r="M2612" s="1" t="s">
        <v>78</v>
      </c>
      <c r="N2612" s="1" t="s">
        <v>79</v>
      </c>
      <c r="O2612" s="1" t="s">
        <v>74</v>
      </c>
      <c r="P2612" s="1" t="s">
        <v>74</v>
      </c>
      <c r="Q2612" s="1" t="s">
        <v>74</v>
      </c>
      <c r="R2612" s="1" t="s">
        <v>74</v>
      </c>
      <c r="S2612" s="1" t="s">
        <v>74</v>
      </c>
      <c r="T2612" s="1" t="s">
        <v>74</v>
      </c>
      <c r="U2612" s="1" t="s">
        <v>41681</v>
      </c>
      <c r="V2612" s="1" t="s">
        <v>41682</v>
      </c>
      <c r="W2612" s="1" t="s">
        <v>41683</v>
      </c>
      <c r="X2612" s="1" t="s">
        <v>74</v>
      </c>
      <c r="Y2612" s="1" t="s">
        <v>41684</v>
      </c>
      <c r="Z2612" s="1" t="s">
        <v>41685</v>
      </c>
      <c r="AA2612" s="1" t="s">
        <v>74</v>
      </c>
      <c r="AB2612" s="1" t="s">
        <v>41686</v>
      </c>
      <c r="AC2612" s="1" t="s">
        <v>41687</v>
      </c>
      <c r="AD2612" s="1" t="s">
        <v>41687</v>
      </c>
      <c r="AE2612" s="1" t="s">
        <v>41688</v>
      </c>
      <c r="AF2612" s="1" t="s">
        <v>74</v>
      </c>
      <c r="AG2612" s="1">
        <v>32</v>
      </c>
      <c r="AH2612" s="1">
        <v>1</v>
      </c>
      <c r="AI2612" s="1">
        <v>1</v>
      </c>
      <c r="AJ2612" s="1">
        <v>0</v>
      </c>
      <c r="AK2612" s="1">
        <v>6</v>
      </c>
      <c r="AL2612" s="1" t="s">
        <v>86</v>
      </c>
      <c r="AM2612" s="1" t="s">
        <v>87</v>
      </c>
      <c r="AN2612" s="1" t="s">
        <v>88</v>
      </c>
      <c r="AO2612" s="1" t="s">
        <v>41689</v>
      </c>
      <c r="AP2612" s="1" t="s">
        <v>41690</v>
      </c>
      <c r="AQ2612" s="1" t="s">
        <v>74</v>
      </c>
      <c r="AR2612" s="1" t="s">
        <v>41691</v>
      </c>
      <c r="AS2612" s="1" t="s">
        <v>41692</v>
      </c>
      <c r="AT2612" s="1" t="s">
        <v>170</v>
      </c>
      <c r="AU2612" s="1">
        <v>2013</v>
      </c>
      <c r="AV2612" s="1">
        <v>33</v>
      </c>
      <c r="AW2612" s="1">
        <v>2</v>
      </c>
      <c r="AX2612" s="1" t="s">
        <v>74</v>
      </c>
      <c r="AY2612" s="1" t="s">
        <v>74</v>
      </c>
      <c r="AZ2612" s="1" t="s">
        <v>74</v>
      </c>
      <c r="BA2612" s="1" t="s">
        <v>74</v>
      </c>
      <c r="BB2612" s="1">
        <v>215</v>
      </c>
      <c r="BC2612" s="1">
        <v>221</v>
      </c>
      <c r="BD2612" s="1" t="s">
        <v>74</v>
      </c>
      <c r="BE2612" s="1" t="s">
        <v>41693</v>
      </c>
      <c r="BF2612" s="1" t="str">
        <f>HYPERLINK("http://dx.doi.org/10.1111/jfs.12042","http://dx.doi.org/10.1111/jfs.12042")</f>
        <v>http://dx.doi.org/10.1111/jfs.12042</v>
      </c>
      <c r="BG2612" s="1" t="s">
        <v>74</v>
      </c>
      <c r="BH2612" s="1" t="s">
        <v>74</v>
      </c>
      <c r="BI2612" s="1">
        <v>7</v>
      </c>
      <c r="BJ2612" s="1" t="s">
        <v>8448</v>
      </c>
      <c r="BK2612" s="1" t="s">
        <v>96</v>
      </c>
      <c r="BL2612" s="1" t="s">
        <v>8448</v>
      </c>
      <c r="BM2612" s="1" t="s">
        <v>41694</v>
      </c>
      <c r="BN2612" s="1" t="s">
        <v>74</v>
      </c>
      <c r="BO2612" s="1" t="s">
        <v>74</v>
      </c>
      <c r="BP2612" s="1" t="s">
        <v>74</v>
      </c>
      <c r="BQ2612" s="1" t="s">
        <v>74</v>
      </c>
      <c r="BR2612" s="1" t="s">
        <v>98</v>
      </c>
      <c r="BS2612" s="1" t="s">
        <v>41695</v>
      </c>
      <c r="BT2612" s="1" t="str">
        <f>HYPERLINK("https%3A%2F%2Fwww.webofscience.com%2Fwos%2Fwoscc%2Ffull-record%2FWOS:000318113500014","View Full Record in Web of Science")</f>
        <v>View Full Record in Web of Science</v>
      </c>
      <c r="BU2612" s="1"/>
      <c r="BV2612" s="1"/>
    </row>
    <row r="2613" spans="1:74">
      <c r="A2613" s="1" t="s">
        <v>72</v>
      </c>
      <c r="B2613" s="1" t="s">
        <v>41696</v>
      </c>
      <c r="C2613" s="1" t="s">
        <v>74</v>
      </c>
      <c r="D2613" s="1" t="s">
        <v>74</v>
      </c>
      <c r="E2613" s="1" t="s">
        <v>74</v>
      </c>
      <c r="F2613" s="1" t="s">
        <v>41697</v>
      </c>
      <c r="G2613" s="1" t="s">
        <v>74</v>
      </c>
      <c r="H2613" s="1" t="s">
        <v>74</v>
      </c>
      <c r="I2613" s="1" t="s">
        <v>41698</v>
      </c>
      <c r="J2613" s="1" t="s">
        <v>11688</v>
      </c>
      <c r="K2613" s="1" t="s">
        <v>74</v>
      </c>
      <c r="L2613" s="1" t="s">
        <v>74</v>
      </c>
      <c r="M2613" s="1" t="s">
        <v>78</v>
      </c>
      <c r="N2613" s="1" t="s">
        <v>79</v>
      </c>
      <c r="O2613" s="1" t="s">
        <v>74</v>
      </c>
      <c r="P2613" s="1" t="s">
        <v>74</v>
      </c>
      <c r="Q2613" s="1" t="s">
        <v>74</v>
      </c>
      <c r="R2613" s="1" t="s">
        <v>74</v>
      </c>
      <c r="S2613" s="1" t="s">
        <v>74</v>
      </c>
      <c r="T2613" s="1" t="s">
        <v>74</v>
      </c>
      <c r="U2613" s="1" t="s">
        <v>41699</v>
      </c>
      <c r="V2613" s="1" t="s">
        <v>41700</v>
      </c>
      <c r="W2613" s="1" t="s">
        <v>41701</v>
      </c>
      <c r="X2613" s="1" t="s">
        <v>41702</v>
      </c>
      <c r="Y2613" s="1" t="s">
        <v>41703</v>
      </c>
      <c r="Z2613" s="1" t="s">
        <v>41704</v>
      </c>
      <c r="AA2613" s="1" t="s">
        <v>41705</v>
      </c>
      <c r="AB2613" s="1" t="s">
        <v>41706</v>
      </c>
      <c r="AC2613" s="1" t="s">
        <v>41707</v>
      </c>
      <c r="AD2613" s="1" t="s">
        <v>41708</v>
      </c>
      <c r="AE2613" s="1" t="s">
        <v>41709</v>
      </c>
      <c r="AF2613" s="1" t="s">
        <v>74</v>
      </c>
      <c r="AG2613" s="1">
        <v>37</v>
      </c>
      <c r="AH2613" s="1">
        <v>0</v>
      </c>
      <c r="AI2613" s="1">
        <v>0</v>
      </c>
      <c r="AJ2613" s="1">
        <v>1</v>
      </c>
      <c r="AK2613" s="1">
        <v>8</v>
      </c>
      <c r="AL2613" s="1" t="s">
        <v>4010</v>
      </c>
      <c r="AM2613" s="1" t="s">
        <v>1167</v>
      </c>
      <c r="AN2613" s="1" t="s">
        <v>1168</v>
      </c>
      <c r="AO2613" s="1" t="s">
        <v>11701</v>
      </c>
      <c r="AP2613" s="1" t="s">
        <v>74</v>
      </c>
      <c r="AQ2613" s="1" t="s">
        <v>74</v>
      </c>
      <c r="AR2613" s="1" t="s">
        <v>11688</v>
      </c>
      <c r="AS2613" s="1" t="s">
        <v>11702</v>
      </c>
      <c r="AT2613" s="1" t="s">
        <v>19969</v>
      </c>
      <c r="AU2613" s="1">
        <v>2014</v>
      </c>
      <c r="AV2613" s="1">
        <v>3</v>
      </c>
      <c r="AW2613" s="1" t="s">
        <v>74</v>
      </c>
      <c r="AX2613" s="1" t="s">
        <v>74</v>
      </c>
      <c r="AY2613" s="1" t="s">
        <v>74</v>
      </c>
      <c r="AZ2613" s="1" t="s">
        <v>74</v>
      </c>
      <c r="BA2613" s="1" t="s">
        <v>74</v>
      </c>
      <c r="BB2613" s="1" t="s">
        <v>74</v>
      </c>
      <c r="BC2613" s="1" t="s">
        <v>74</v>
      </c>
      <c r="BD2613" s="1">
        <v>666</v>
      </c>
      <c r="BE2613" s="1" t="s">
        <v>41710</v>
      </c>
      <c r="BF2613" s="1" t="str">
        <f>HYPERLINK("http://dx.doi.org/10.1186/2193-1801-3-666","http://dx.doi.org/10.1186/2193-1801-3-666")</f>
        <v>http://dx.doi.org/10.1186/2193-1801-3-666</v>
      </c>
      <c r="BG2613" s="1" t="s">
        <v>74</v>
      </c>
      <c r="BH2613" s="1" t="s">
        <v>74</v>
      </c>
      <c r="BI2613" s="1">
        <v>10</v>
      </c>
      <c r="BJ2613" s="1" t="s">
        <v>3202</v>
      </c>
      <c r="BK2613" s="1" t="s">
        <v>96</v>
      </c>
      <c r="BL2613" s="1" t="s">
        <v>3203</v>
      </c>
      <c r="BM2613" s="1" t="s">
        <v>41711</v>
      </c>
      <c r="BN2613" s="1">
        <v>26034680</v>
      </c>
      <c r="BO2613" s="1" t="s">
        <v>550</v>
      </c>
      <c r="BP2613" s="1" t="s">
        <v>74</v>
      </c>
      <c r="BQ2613" s="1" t="s">
        <v>74</v>
      </c>
      <c r="BR2613" s="1" t="s">
        <v>98</v>
      </c>
      <c r="BS2613" s="1" t="s">
        <v>41712</v>
      </c>
      <c r="BT2613" s="1" t="str">
        <f>HYPERLINK("https%3A%2F%2Fwww.webofscience.com%2Fwos%2Fwoscc%2Ffull-record%2FWOS:000359115700001","View Full Record in Web of Science")</f>
        <v>View Full Record in Web of Science</v>
      </c>
      <c r="BU2613" s="1"/>
      <c r="BV2613" s="1"/>
    </row>
    <row r="2614" spans="1:74">
      <c r="A2614" s="1" t="s">
        <v>72</v>
      </c>
      <c r="B2614" s="1" t="s">
        <v>20886</v>
      </c>
      <c r="C2614" s="1" t="s">
        <v>74</v>
      </c>
      <c r="D2614" s="1" t="s">
        <v>74</v>
      </c>
      <c r="E2614" s="1" t="s">
        <v>74</v>
      </c>
      <c r="F2614" s="1" t="s">
        <v>20887</v>
      </c>
      <c r="G2614" s="1" t="s">
        <v>74</v>
      </c>
      <c r="H2614" s="1" t="s">
        <v>74</v>
      </c>
      <c r="I2614" s="1" t="s">
        <v>41713</v>
      </c>
      <c r="J2614" s="1" t="s">
        <v>421</v>
      </c>
      <c r="K2614" s="1" t="s">
        <v>74</v>
      </c>
      <c r="L2614" s="1" t="s">
        <v>74</v>
      </c>
      <c r="M2614" s="1" t="s">
        <v>78</v>
      </c>
      <c r="N2614" s="1" t="s">
        <v>79</v>
      </c>
      <c r="O2614" s="1" t="s">
        <v>74</v>
      </c>
      <c r="P2614" s="1" t="s">
        <v>74</v>
      </c>
      <c r="Q2614" s="1" t="s">
        <v>74</v>
      </c>
      <c r="R2614" s="1" t="s">
        <v>74</v>
      </c>
      <c r="S2614" s="1" t="s">
        <v>74</v>
      </c>
      <c r="T2614" s="1" t="s">
        <v>41714</v>
      </c>
      <c r="U2614" s="1" t="s">
        <v>41715</v>
      </c>
      <c r="V2614" s="1" t="s">
        <v>41716</v>
      </c>
      <c r="W2614" s="1" t="s">
        <v>41717</v>
      </c>
      <c r="X2614" s="1" t="s">
        <v>41718</v>
      </c>
      <c r="Y2614" s="1" t="s">
        <v>11543</v>
      </c>
      <c r="Z2614" s="1" t="s">
        <v>1483</v>
      </c>
      <c r="AA2614" s="1" t="s">
        <v>1484</v>
      </c>
      <c r="AB2614" s="1" t="s">
        <v>41719</v>
      </c>
      <c r="AC2614" s="1" t="s">
        <v>16095</v>
      </c>
      <c r="AD2614" s="1" t="s">
        <v>16096</v>
      </c>
      <c r="AE2614" s="1" t="s">
        <v>41720</v>
      </c>
      <c r="AF2614" s="1" t="s">
        <v>74</v>
      </c>
      <c r="AG2614" s="1">
        <v>38</v>
      </c>
      <c r="AH2614" s="1">
        <v>41</v>
      </c>
      <c r="AI2614" s="1">
        <v>42</v>
      </c>
      <c r="AJ2614" s="1">
        <v>0</v>
      </c>
      <c r="AK2614" s="1">
        <v>72</v>
      </c>
      <c r="AL2614" s="1" t="s">
        <v>430</v>
      </c>
      <c r="AM2614" s="1" t="s">
        <v>137</v>
      </c>
      <c r="AN2614" s="1" t="s">
        <v>431</v>
      </c>
      <c r="AO2614" s="1" t="s">
        <v>432</v>
      </c>
      <c r="AP2614" s="1" t="s">
        <v>1394</v>
      </c>
      <c r="AQ2614" s="1" t="s">
        <v>74</v>
      </c>
      <c r="AR2614" s="1" t="s">
        <v>433</v>
      </c>
      <c r="AS2614" s="1" t="s">
        <v>434</v>
      </c>
      <c r="AT2614" s="1" t="s">
        <v>305</v>
      </c>
      <c r="AU2614" s="1">
        <v>2016</v>
      </c>
      <c r="AV2614" s="1">
        <v>216</v>
      </c>
      <c r="AW2614" s="1" t="s">
        <v>74</v>
      </c>
      <c r="AX2614" s="1" t="s">
        <v>74</v>
      </c>
      <c r="AY2614" s="1" t="s">
        <v>74</v>
      </c>
      <c r="AZ2614" s="1" t="s">
        <v>74</v>
      </c>
      <c r="BA2614" s="1" t="s">
        <v>74</v>
      </c>
      <c r="BB2614" s="1">
        <v>156</v>
      </c>
      <c r="BC2614" s="1">
        <v>165</v>
      </c>
      <c r="BD2614" s="1" t="s">
        <v>74</v>
      </c>
      <c r="BE2614" s="1" t="s">
        <v>41721</v>
      </c>
      <c r="BF2614" s="1" t="str">
        <f>HYPERLINK("http://dx.doi.org/10.1016/j.envpol.2016.05.047","http://dx.doi.org/10.1016/j.envpol.2016.05.047")</f>
        <v>http://dx.doi.org/10.1016/j.envpol.2016.05.047</v>
      </c>
      <c r="BG2614" s="1" t="s">
        <v>74</v>
      </c>
      <c r="BH2614" s="1" t="s">
        <v>74</v>
      </c>
      <c r="BI2614" s="1">
        <v>10</v>
      </c>
      <c r="BJ2614" s="1" t="s">
        <v>144</v>
      </c>
      <c r="BK2614" s="1" t="s">
        <v>96</v>
      </c>
      <c r="BL2614" s="1" t="s">
        <v>145</v>
      </c>
      <c r="BM2614" s="1" t="s">
        <v>35206</v>
      </c>
      <c r="BN2614" s="1">
        <v>27262129</v>
      </c>
      <c r="BO2614" s="1" t="s">
        <v>74</v>
      </c>
      <c r="BP2614" s="1" t="s">
        <v>74</v>
      </c>
      <c r="BQ2614" s="1" t="s">
        <v>74</v>
      </c>
      <c r="BR2614" s="1" t="s">
        <v>98</v>
      </c>
      <c r="BS2614" s="1" t="s">
        <v>41722</v>
      </c>
      <c r="BT2614" s="1" t="str">
        <f>HYPERLINK("https%3A%2F%2Fwww.webofscience.com%2Fwos%2Fwoscc%2Ffull-record%2FWOS:000383930500018","View Full Record in Web of Science")</f>
        <v>View Full Record in Web of Science</v>
      </c>
      <c r="BU2614" s="1"/>
      <c r="BV2614" s="1"/>
    </row>
    <row r="2615" spans="1:74">
      <c r="A2615" s="1" t="s">
        <v>72</v>
      </c>
      <c r="B2615" s="1" t="s">
        <v>41723</v>
      </c>
      <c r="C2615" s="1" t="s">
        <v>74</v>
      </c>
      <c r="D2615" s="1" t="s">
        <v>74</v>
      </c>
      <c r="E2615" s="1" t="s">
        <v>74</v>
      </c>
      <c r="F2615" s="1" t="s">
        <v>41724</v>
      </c>
      <c r="G2615" s="1" t="s">
        <v>74</v>
      </c>
      <c r="H2615" s="1" t="s">
        <v>74</v>
      </c>
      <c r="I2615" s="1" t="s">
        <v>41725</v>
      </c>
      <c r="J2615" s="1" t="s">
        <v>998</v>
      </c>
      <c r="K2615" s="1" t="s">
        <v>74</v>
      </c>
      <c r="L2615" s="1" t="s">
        <v>74</v>
      </c>
      <c r="M2615" s="1" t="s">
        <v>78</v>
      </c>
      <c r="N2615" s="1" t="s">
        <v>79</v>
      </c>
      <c r="O2615" s="1" t="s">
        <v>74</v>
      </c>
      <c r="P2615" s="1" t="s">
        <v>74</v>
      </c>
      <c r="Q2615" s="1" t="s">
        <v>74</v>
      </c>
      <c r="R2615" s="1" t="s">
        <v>74</v>
      </c>
      <c r="S2615" s="1" t="s">
        <v>74</v>
      </c>
      <c r="T2615" s="1" t="s">
        <v>74</v>
      </c>
      <c r="U2615" s="1" t="s">
        <v>41726</v>
      </c>
      <c r="V2615" s="1" t="s">
        <v>41727</v>
      </c>
      <c r="W2615" s="1" t="s">
        <v>41728</v>
      </c>
      <c r="X2615" s="1" t="s">
        <v>35070</v>
      </c>
      <c r="Y2615" s="1" t="s">
        <v>41729</v>
      </c>
      <c r="Z2615" s="1" t="s">
        <v>41730</v>
      </c>
      <c r="AA2615" s="1" t="s">
        <v>41731</v>
      </c>
      <c r="AB2615" s="1" t="s">
        <v>41732</v>
      </c>
      <c r="AC2615" s="1" t="s">
        <v>41733</v>
      </c>
      <c r="AD2615" s="1" t="s">
        <v>41734</v>
      </c>
      <c r="AE2615" s="1" t="s">
        <v>41735</v>
      </c>
      <c r="AF2615" s="1" t="s">
        <v>74</v>
      </c>
      <c r="AG2615" s="1">
        <v>27</v>
      </c>
      <c r="AH2615" s="1">
        <v>33</v>
      </c>
      <c r="AI2615" s="1">
        <v>33</v>
      </c>
      <c r="AJ2615" s="1">
        <v>0</v>
      </c>
      <c r="AK2615" s="1">
        <v>17</v>
      </c>
      <c r="AL2615" s="1" t="s">
        <v>112</v>
      </c>
      <c r="AM2615" s="1" t="s">
        <v>113</v>
      </c>
      <c r="AN2615" s="1" t="s">
        <v>469</v>
      </c>
      <c r="AO2615" s="1" t="s">
        <v>1009</v>
      </c>
      <c r="AP2615" s="1" t="s">
        <v>5996</v>
      </c>
      <c r="AQ2615" s="1" t="s">
        <v>74</v>
      </c>
      <c r="AR2615" s="1" t="s">
        <v>1010</v>
      </c>
      <c r="AS2615" s="1" t="s">
        <v>1011</v>
      </c>
      <c r="AT2615" s="1" t="s">
        <v>119</v>
      </c>
      <c r="AU2615" s="1">
        <v>2010</v>
      </c>
      <c r="AV2615" s="1">
        <v>59</v>
      </c>
      <c r="AW2615" s="1">
        <v>2</v>
      </c>
      <c r="AX2615" s="1" t="s">
        <v>74</v>
      </c>
      <c r="AY2615" s="1" t="s">
        <v>74</v>
      </c>
      <c r="AZ2615" s="1" t="s">
        <v>74</v>
      </c>
      <c r="BA2615" s="1" t="s">
        <v>74</v>
      </c>
      <c r="BB2615" s="1">
        <v>235</v>
      </c>
      <c r="BC2615" s="1">
        <v>243</v>
      </c>
      <c r="BD2615" s="1" t="s">
        <v>74</v>
      </c>
      <c r="BE2615" s="1" t="s">
        <v>41736</v>
      </c>
      <c r="BF2615" s="1" t="str">
        <f>HYPERLINK("http://dx.doi.org/10.1007/s00244-010-9476-7","http://dx.doi.org/10.1007/s00244-010-9476-7")</f>
        <v>http://dx.doi.org/10.1007/s00244-010-9476-7</v>
      </c>
      <c r="BG2615" s="1" t="s">
        <v>74</v>
      </c>
      <c r="BH2615" s="1" t="s">
        <v>74</v>
      </c>
      <c r="BI2615" s="1">
        <v>9</v>
      </c>
      <c r="BJ2615" s="1" t="s">
        <v>121</v>
      </c>
      <c r="BK2615" s="1" t="s">
        <v>96</v>
      </c>
      <c r="BL2615" s="1" t="s">
        <v>122</v>
      </c>
      <c r="BM2615" s="1" t="s">
        <v>20564</v>
      </c>
      <c r="BN2615" s="1">
        <v>20143053</v>
      </c>
      <c r="BO2615" s="1" t="s">
        <v>74</v>
      </c>
      <c r="BP2615" s="1" t="s">
        <v>74</v>
      </c>
      <c r="BQ2615" s="1" t="s">
        <v>74</v>
      </c>
      <c r="BR2615" s="1" t="s">
        <v>98</v>
      </c>
      <c r="BS2615" s="1" t="s">
        <v>41737</v>
      </c>
      <c r="BT2615" s="1" t="str">
        <f>HYPERLINK("https%3A%2F%2Fwww.webofscience.com%2Fwos%2Fwoscc%2Ffull-record%2FWOS:000280225900007","View Full Record in Web of Science")</f>
        <v>View Full Record in Web of Science</v>
      </c>
      <c r="BU2615" s="1"/>
      <c r="BV2615" s="1"/>
    </row>
    <row r="2616" spans="1:74">
      <c r="A2616" s="1" t="s">
        <v>72</v>
      </c>
      <c r="B2616" s="1" t="s">
        <v>41738</v>
      </c>
      <c r="C2616" s="1" t="s">
        <v>74</v>
      </c>
      <c r="D2616" s="1" t="s">
        <v>74</v>
      </c>
      <c r="E2616" s="1" t="s">
        <v>74</v>
      </c>
      <c r="F2616" s="1" t="s">
        <v>41739</v>
      </c>
      <c r="G2616" s="1" t="s">
        <v>74</v>
      </c>
      <c r="H2616" s="1" t="s">
        <v>74</v>
      </c>
      <c r="I2616" s="1" t="s">
        <v>41740</v>
      </c>
      <c r="J2616" s="1" t="s">
        <v>232</v>
      </c>
      <c r="K2616" s="1" t="s">
        <v>74</v>
      </c>
      <c r="L2616" s="1" t="s">
        <v>74</v>
      </c>
      <c r="M2616" s="1" t="s">
        <v>78</v>
      </c>
      <c r="N2616" s="1" t="s">
        <v>79</v>
      </c>
      <c r="O2616" s="1" t="s">
        <v>74</v>
      </c>
      <c r="P2616" s="1" t="s">
        <v>74</v>
      </c>
      <c r="Q2616" s="1" t="s">
        <v>74</v>
      </c>
      <c r="R2616" s="1" t="s">
        <v>74</v>
      </c>
      <c r="S2616" s="1" t="s">
        <v>74</v>
      </c>
      <c r="T2616" s="1" t="s">
        <v>41741</v>
      </c>
      <c r="U2616" s="1" t="s">
        <v>41742</v>
      </c>
      <c r="V2616" s="1" t="s">
        <v>41743</v>
      </c>
      <c r="W2616" s="1" t="s">
        <v>41744</v>
      </c>
      <c r="X2616" s="1" t="s">
        <v>41745</v>
      </c>
      <c r="Y2616" s="1" t="s">
        <v>41746</v>
      </c>
      <c r="Z2616" s="1" t="s">
        <v>41747</v>
      </c>
      <c r="AA2616" s="1" t="s">
        <v>41748</v>
      </c>
      <c r="AB2616" s="1" t="s">
        <v>41749</v>
      </c>
      <c r="AC2616" s="1" t="s">
        <v>41750</v>
      </c>
      <c r="AD2616" s="1" t="s">
        <v>41751</v>
      </c>
      <c r="AE2616" s="1" t="s">
        <v>41752</v>
      </c>
      <c r="AF2616" s="1" t="s">
        <v>74</v>
      </c>
      <c r="AG2616" s="1">
        <v>59</v>
      </c>
      <c r="AH2616" s="1">
        <v>2</v>
      </c>
      <c r="AI2616" s="1">
        <v>2</v>
      </c>
      <c r="AJ2616" s="1">
        <v>2</v>
      </c>
      <c r="AK2616" s="1">
        <v>17</v>
      </c>
      <c r="AL2616" s="1" t="s">
        <v>136</v>
      </c>
      <c r="AM2616" s="1" t="s">
        <v>137</v>
      </c>
      <c r="AN2616" s="1" t="s">
        <v>138</v>
      </c>
      <c r="AO2616" s="1" t="s">
        <v>240</v>
      </c>
      <c r="AP2616" s="1" t="s">
        <v>241</v>
      </c>
      <c r="AQ2616" s="1" t="s">
        <v>74</v>
      </c>
      <c r="AR2616" s="1" t="s">
        <v>242</v>
      </c>
      <c r="AS2616" s="1" t="s">
        <v>243</v>
      </c>
      <c r="AT2616" s="1" t="s">
        <v>1223</v>
      </c>
      <c r="AU2616" s="1">
        <v>2023</v>
      </c>
      <c r="AV2616" s="1">
        <v>188</v>
      </c>
      <c r="AW2616" s="1" t="s">
        <v>74</v>
      </c>
      <c r="AX2616" s="1" t="s">
        <v>74</v>
      </c>
      <c r="AY2616" s="1" t="s">
        <v>74</v>
      </c>
      <c r="AZ2616" s="1" t="s">
        <v>74</v>
      </c>
      <c r="BA2616" s="1" t="s">
        <v>74</v>
      </c>
      <c r="BB2616" s="1" t="s">
        <v>74</v>
      </c>
      <c r="BC2616" s="1" t="s">
        <v>74</v>
      </c>
      <c r="BD2616" s="1">
        <v>114615</v>
      </c>
      <c r="BE2616" s="1" t="s">
        <v>41753</v>
      </c>
      <c r="BF2616" s="1" t="str">
        <f>HYPERLINK("http://dx.doi.org/10.1016/j.marpolbul.2023.114615","http://dx.doi.org/10.1016/j.marpolbul.2023.114615")</f>
        <v>http://dx.doi.org/10.1016/j.marpolbul.2023.114615</v>
      </c>
      <c r="BG2616" s="1" t="s">
        <v>74</v>
      </c>
      <c r="BH2616" s="1" t="s">
        <v>2057</v>
      </c>
      <c r="BI2616" s="1">
        <v>10</v>
      </c>
      <c r="BJ2616" s="1" t="s">
        <v>247</v>
      </c>
      <c r="BK2616" s="1" t="s">
        <v>96</v>
      </c>
      <c r="BL2616" s="1" t="s">
        <v>248</v>
      </c>
      <c r="BM2616" s="1" t="s">
        <v>41754</v>
      </c>
      <c r="BN2616" s="1">
        <v>36708617</v>
      </c>
      <c r="BO2616" s="1" t="s">
        <v>476</v>
      </c>
      <c r="BP2616" s="1" t="s">
        <v>74</v>
      </c>
      <c r="BQ2616" s="1" t="s">
        <v>74</v>
      </c>
      <c r="BR2616" s="1" t="s">
        <v>98</v>
      </c>
      <c r="BS2616" s="1" t="s">
        <v>41755</v>
      </c>
      <c r="BT2616" s="1" t="str">
        <f>HYPERLINK("https%3A%2F%2Fwww.webofscience.com%2Fwos%2Fwoscc%2Ffull-record%2FWOS:000968670600001","View Full Record in Web of Science")</f>
        <v>View Full Record in Web of Science</v>
      </c>
      <c r="BU2616" s="1"/>
      <c r="BV2616" s="1"/>
    </row>
    <row r="2617" spans="1:74">
      <c r="A2617" s="1" t="s">
        <v>72</v>
      </c>
      <c r="B2617" s="1" t="s">
        <v>41756</v>
      </c>
      <c r="C2617" s="1" t="s">
        <v>74</v>
      </c>
      <c r="D2617" s="1" t="s">
        <v>74</v>
      </c>
      <c r="E2617" s="1" t="s">
        <v>74</v>
      </c>
      <c r="F2617" s="1" t="s">
        <v>41757</v>
      </c>
      <c r="G2617" s="1" t="s">
        <v>74</v>
      </c>
      <c r="H2617" s="1" t="s">
        <v>74</v>
      </c>
      <c r="I2617" s="1" t="s">
        <v>41758</v>
      </c>
      <c r="J2617" s="1" t="s">
        <v>421</v>
      </c>
      <c r="K2617" s="1" t="s">
        <v>74</v>
      </c>
      <c r="L2617" s="1" t="s">
        <v>74</v>
      </c>
      <c r="M2617" s="1" t="s">
        <v>78</v>
      </c>
      <c r="N2617" s="1" t="s">
        <v>79</v>
      </c>
      <c r="O2617" s="1" t="s">
        <v>74</v>
      </c>
      <c r="P2617" s="1" t="s">
        <v>74</v>
      </c>
      <c r="Q2617" s="1" t="s">
        <v>74</v>
      </c>
      <c r="R2617" s="1" t="s">
        <v>74</v>
      </c>
      <c r="S2617" s="1" t="s">
        <v>74</v>
      </c>
      <c r="T2617" s="1" t="s">
        <v>41759</v>
      </c>
      <c r="U2617" s="1" t="s">
        <v>41760</v>
      </c>
      <c r="V2617" s="1" t="s">
        <v>41761</v>
      </c>
      <c r="W2617" s="1" t="s">
        <v>41762</v>
      </c>
      <c r="X2617" s="1" t="s">
        <v>41763</v>
      </c>
      <c r="Y2617" s="1" t="s">
        <v>41764</v>
      </c>
      <c r="Z2617" s="1" t="s">
        <v>41765</v>
      </c>
      <c r="AA2617" s="1" t="s">
        <v>41293</v>
      </c>
      <c r="AB2617" s="1" t="s">
        <v>41766</v>
      </c>
      <c r="AC2617" s="1" t="s">
        <v>41767</v>
      </c>
      <c r="AD2617" s="1" t="s">
        <v>41767</v>
      </c>
      <c r="AE2617" s="1" t="s">
        <v>41768</v>
      </c>
      <c r="AF2617" s="1" t="s">
        <v>74</v>
      </c>
      <c r="AG2617" s="1">
        <v>78</v>
      </c>
      <c r="AH2617" s="1">
        <v>48</v>
      </c>
      <c r="AI2617" s="1">
        <v>51</v>
      </c>
      <c r="AJ2617" s="1">
        <v>2</v>
      </c>
      <c r="AK2617" s="1">
        <v>67</v>
      </c>
      <c r="AL2617" s="1" t="s">
        <v>430</v>
      </c>
      <c r="AM2617" s="1" t="s">
        <v>137</v>
      </c>
      <c r="AN2617" s="1" t="s">
        <v>431</v>
      </c>
      <c r="AO2617" s="1" t="s">
        <v>432</v>
      </c>
      <c r="AP2617" s="1" t="s">
        <v>1394</v>
      </c>
      <c r="AQ2617" s="1" t="s">
        <v>74</v>
      </c>
      <c r="AR2617" s="1" t="s">
        <v>433</v>
      </c>
      <c r="AS2617" s="1" t="s">
        <v>434</v>
      </c>
      <c r="AT2617" s="1" t="s">
        <v>951</v>
      </c>
      <c r="AU2617" s="1">
        <v>2020</v>
      </c>
      <c r="AV2617" s="1">
        <v>266</v>
      </c>
      <c r="AW2617" s="1" t="s">
        <v>74</v>
      </c>
      <c r="AX2617" s="1">
        <v>3</v>
      </c>
      <c r="AY2617" s="1" t="s">
        <v>74</v>
      </c>
      <c r="AZ2617" s="1" t="s">
        <v>74</v>
      </c>
      <c r="BA2617" s="1" t="s">
        <v>74</v>
      </c>
      <c r="BB2617" s="1" t="s">
        <v>74</v>
      </c>
      <c r="BC2617" s="1" t="s">
        <v>74</v>
      </c>
      <c r="BD2617" s="1">
        <v>115180</v>
      </c>
      <c r="BE2617" s="1" t="s">
        <v>41769</v>
      </c>
      <c r="BF2617" s="1" t="str">
        <f>HYPERLINK("http://dx.doi.org/10.1016/j.envpol.2020.115180","http://dx.doi.org/10.1016/j.envpol.2020.115180")</f>
        <v>http://dx.doi.org/10.1016/j.envpol.2020.115180</v>
      </c>
      <c r="BG2617" s="1" t="s">
        <v>74</v>
      </c>
      <c r="BH2617" s="1" t="s">
        <v>74</v>
      </c>
      <c r="BI2617" s="1">
        <v>9</v>
      </c>
      <c r="BJ2617" s="1" t="s">
        <v>144</v>
      </c>
      <c r="BK2617" s="1" t="s">
        <v>96</v>
      </c>
      <c r="BL2617" s="1" t="s">
        <v>145</v>
      </c>
      <c r="BM2617" s="1" t="s">
        <v>41770</v>
      </c>
      <c r="BN2617" s="1">
        <v>32673975</v>
      </c>
      <c r="BO2617" s="1" t="s">
        <v>31175</v>
      </c>
      <c r="BP2617" s="1" t="s">
        <v>74</v>
      </c>
      <c r="BQ2617" s="1" t="s">
        <v>74</v>
      </c>
      <c r="BR2617" s="1" t="s">
        <v>98</v>
      </c>
      <c r="BS2617" s="1" t="s">
        <v>41771</v>
      </c>
      <c r="BT2617" s="1" t="str">
        <f>HYPERLINK("https%3A%2F%2Fwww.webofscience.com%2Fwos%2Fwoscc%2Ffull-record%2FWOS:000571443200012","View Full Record in Web of Science")</f>
        <v>View Full Record in Web of Science</v>
      </c>
      <c r="BU2617" s="1"/>
      <c r="BV2617" s="1"/>
    </row>
    <row r="2618" spans="1:74">
      <c r="A2618" s="1" t="s">
        <v>72</v>
      </c>
      <c r="B2618" s="1" t="s">
        <v>41772</v>
      </c>
      <c r="C2618" s="1" t="s">
        <v>74</v>
      </c>
      <c r="D2618" s="1" t="s">
        <v>74</v>
      </c>
      <c r="E2618" s="1" t="s">
        <v>74</v>
      </c>
      <c r="F2618" s="1" t="s">
        <v>41773</v>
      </c>
      <c r="G2618" s="1" t="s">
        <v>74</v>
      </c>
      <c r="H2618" s="1" t="s">
        <v>74</v>
      </c>
      <c r="I2618" s="1" t="s">
        <v>41774</v>
      </c>
      <c r="J2618" s="1" t="s">
        <v>127</v>
      </c>
      <c r="K2618" s="1" t="s">
        <v>74</v>
      </c>
      <c r="L2618" s="1" t="s">
        <v>74</v>
      </c>
      <c r="M2618" s="1" t="s">
        <v>78</v>
      </c>
      <c r="N2618" s="1" t="s">
        <v>79</v>
      </c>
      <c r="O2618" s="1" t="s">
        <v>74</v>
      </c>
      <c r="P2618" s="1" t="s">
        <v>74</v>
      </c>
      <c r="Q2618" s="1" t="s">
        <v>74</v>
      </c>
      <c r="R2618" s="1" t="s">
        <v>74</v>
      </c>
      <c r="S2618" s="1" t="s">
        <v>74</v>
      </c>
      <c r="T2618" s="1" t="s">
        <v>41775</v>
      </c>
      <c r="U2618" s="1" t="s">
        <v>41776</v>
      </c>
      <c r="V2618" s="1" t="s">
        <v>41777</v>
      </c>
      <c r="W2618" s="1" t="s">
        <v>41778</v>
      </c>
      <c r="X2618" s="1" t="s">
        <v>41779</v>
      </c>
      <c r="Y2618" s="1" t="s">
        <v>23805</v>
      </c>
      <c r="Z2618" s="1" t="s">
        <v>9288</v>
      </c>
      <c r="AA2618" s="1" t="s">
        <v>41780</v>
      </c>
      <c r="AB2618" s="1" t="s">
        <v>41781</v>
      </c>
      <c r="AC2618" s="1" t="s">
        <v>41782</v>
      </c>
      <c r="AD2618" s="1" t="s">
        <v>41783</v>
      </c>
      <c r="AE2618" s="1" t="s">
        <v>41784</v>
      </c>
      <c r="AF2618" s="1" t="s">
        <v>74</v>
      </c>
      <c r="AG2618" s="1">
        <v>86</v>
      </c>
      <c r="AH2618" s="1">
        <v>31</v>
      </c>
      <c r="AI2618" s="1">
        <v>32</v>
      </c>
      <c r="AJ2618" s="1">
        <v>4</v>
      </c>
      <c r="AK2618" s="1">
        <v>52</v>
      </c>
      <c r="AL2618" s="1" t="s">
        <v>136</v>
      </c>
      <c r="AM2618" s="1" t="s">
        <v>137</v>
      </c>
      <c r="AN2618" s="1" t="s">
        <v>138</v>
      </c>
      <c r="AO2618" s="1" t="s">
        <v>139</v>
      </c>
      <c r="AP2618" s="1" t="s">
        <v>140</v>
      </c>
      <c r="AQ2618" s="1" t="s">
        <v>74</v>
      </c>
      <c r="AR2618" s="1" t="s">
        <v>127</v>
      </c>
      <c r="AS2618" s="1" t="s">
        <v>141</v>
      </c>
      <c r="AT2618" s="1" t="s">
        <v>119</v>
      </c>
      <c r="AU2618" s="1">
        <v>2020</v>
      </c>
      <c r="AV2618" s="1">
        <v>252</v>
      </c>
      <c r="AW2618" s="1" t="s">
        <v>74</v>
      </c>
      <c r="AX2618" s="1" t="s">
        <v>74</v>
      </c>
      <c r="AY2618" s="1" t="s">
        <v>74</v>
      </c>
      <c r="AZ2618" s="1" t="s">
        <v>74</v>
      </c>
      <c r="BA2618" s="1" t="s">
        <v>74</v>
      </c>
      <c r="BB2618" s="1" t="s">
        <v>74</v>
      </c>
      <c r="BC2618" s="1" t="s">
        <v>74</v>
      </c>
      <c r="BD2618" s="1">
        <v>126563</v>
      </c>
      <c r="BE2618" s="1" t="s">
        <v>41785</v>
      </c>
      <c r="BF2618" s="1" t="str">
        <f>HYPERLINK("http://dx.doi.org/10.1016/j.chemosphere.2020.126563","http://dx.doi.org/10.1016/j.chemosphere.2020.126563")</f>
        <v>http://dx.doi.org/10.1016/j.chemosphere.2020.126563</v>
      </c>
      <c r="BG2618" s="1" t="s">
        <v>74</v>
      </c>
      <c r="BH2618" s="1" t="s">
        <v>74</v>
      </c>
      <c r="BI2618" s="1">
        <v>12</v>
      </c>
      <c r="BJ2618" s="1" t="s">
        <v>144</v>
      </c>
      <c r="BK2618" s="1" t="s">
        <v>96</v>
      </c>
      <c r="BL2618" s="1" t="s">
        <v>145</v>
      </c>
      <c r="BM2618" s="1" t="s">
        <v>41786</v>
      </c>
      <c r="BN2618" s="1">
        <v>32443264</v>
      </c>
      <c r="BO2618" s="1" t="s">
        <v>74</v>
      </c>
      <c r="BP2618" s="1" t="s">
        <v>74</v>
      </c>
      <c r="BQ2618" s="1" t="s">
        <v>74</v>
      </c>
      <c r="BR2618" s="1" t="s">
        <v>98</v>
      </c>
      <c r="BS2618" s="1" t="s">
        <v>41787</v>
      </c>
      <c r="BT2618" s="1" t="str">
        <f>HYPERLINK("https%3A%2F%2Fwww.webofscience.com%2Fwos%2Fwoscc%2Ffull-record%2FWOS:000534377000073","View Full Record in Web of Science")</f>
        <v>View Full Record in Web of Science</v>
      </c>
      <c r="BU2618" s="1"/>
      <c r="BV2618" s="1"/>
    </row>
    <row r="2619" spans="1:74">
      <c r="A2619" s="1" t="s">
        <v>72</v>
      </c>
      <c r="B2619" s="1" t="s">
        <v>41788</v>
      </c>
      <c r="C2619" s="1" t="s">
        <v>74</v>
      </c>
      <c r="D2619" s="1" t="s">
        <v>74</v>
      </c>
      <c r="E2619" s="1" t="s">
        <v>74</v>
      </c>
      <c r="F2619" s="1" t="s">
        <v>41788</v>
      </c>
      <c r="G2619" s="1" t="s">
        <v>74</v>
      </c>
      <c r="H2619" s="1" t="s">
        <v>74</v>
      </c>
      <c r="I2619" s="1" t="s">
        <v>41789</v>
      </c>
      <c r="J2619" s="1" t="s">
        <v>22801</v>
      </c>
      <c r="K2619" s="1" t="s">
        <v>74</v>
      </c>
      <c r="L2619" s="1" t="s">
        <v>74</v>
      </c>
      <c r="M2619" s="1" t="s">
        <v>78</v>
      </c>
      <c r="N2619" s="1" t="s">
        <v>79</v>
      </c>
      <c r="O2619" s="1" t="s">
        <v>74</v>
      </c>
      <c r="P2619" s="1" t="s">
        <v>74</v>
      </c>
      <c r="Q2619" s="1" t="s">
        <v>74</v>
      </c>
      <c r="R2619" s="1" t="s">
        <v>74</v>
      </c>
      <c r="S2619" s="1" t="s">
        <v>74</v>
      </c>
      <c r="T2619" s="1" t="s">
        <v>41790</v>
      </c>
      <c r="U2619" s="1" t="s">
        <v>41791</v>
      </c>
      <c r="V2619" s="1" t="s">
        <v>41792</v>
      </c>
      <c r="W2619" s="1" t="s">
        <v>41793</v>
      </c>
      <c r="X2619" s="1" t="s">
        <v>41794</v>
      </c>
      <c r="Y2619" s="1" t="s">
        <v>41795</v>
      </c>
      <c r="Z2619" s="1" t="s">
        <v>74</v>
      </c>
      <c r="AA2619" s="1" t="s">
        <v>74</v>
      </c>
      <c r="AB2619" s="1" t="s">
        <v>41796</v>
      </c>
      <c r="AC2619" s="1" t="s">
        <v>74</v>
      </c>
      <c r="AD2619" s="1" t="s">
        <v>74</v>
      </c>
      <c r="AE2619" s="1" t="s">
        <v>74</v>
      </c>
      <c r="AF2619" s="1" t="s">
        <v>74</v>
      </c>
      <c r="AG2619" s="1">
        <v>52</v>
      </c>
      <c r="AH2619" s="1">
        <v>14</v>
      </c>
      <c r="AI2619" s="1">
        <v>14</v>
      </c>
      <c r="AJ2619" s="1">
        <v>0</v>
      </c>
      <c r="AK2619" s="1">
        <v>13</v>
      </c>
      <c r="AL2619" s="1" t="s">
        <v>919</v>
      </c>
      <c r="AM2619" s="1" t="s">
        <v>651</v>
      </c>
      <c r="AN2619" s="1" t="s">
        <v>920</v>
      </c>
      <c r="AO2619" s="1" t="s">
        <v>22808</v>
      </c>
      <c r="AP2619" s="1" t="s">
        <v>22809</v>
      </c>
      <c r="AQ2619" s="1" t="s">
        <v>74</v>
      </c>
      <c r="AR2619" s="1" t="s">
        <v>22810</v>
      </c>
      <c r="AS2619" s="1" t="s">
        <v>22811</v>
      </c>
      <c r="AT2619" s="1" t="s">
        <v>224</v>
      </c>
      <c r="AU2619" s="1">
        <v>1996</v>
      </c>
      <c r="AV2619" s="1">
        <v>35</v>
      </c>
      <c r="AW2619" s="1" t="s">
        <v>2847</v>
      </c>
      <c r="AX2619" s="1" t="s">
        <v>74</v>
      </c>
      <c r="AY2619" s="1" t="s">
        <v>74</v>
      </c>
      <c r="AZ2619" s="1" t="s">
        <v>74</v>
      </c>
      <c r="BA2619" s="1" t="s">
        <v>74</v>
      </c>
      <c r="BB2619" s="1">
        <v>209</v>
      </c>
      <c r="BC2619" s="1">
        <v>222</v>
      </c>
      <c r="BD2619" s="1" t="s">
        <v>74</v>
      </c>
      <c r="BE2619" s="1" t="s">
        <v>41797</v>
      </c>
      <c r="BF2619" s="1" t="str">
        <f>HYPERLINK("http://dx.doi.org/10.1016/S1385-1101(96)90748-0","http://dx.doi.org/10.1016/S1385-1101(96)90748-0")</f>
        <v>http://dx.doi.org/10.1016/S1385-1101(96)90748-0</v>
      </c>
      <c r="BG2619" s="1" t="s">
        <v>74</v>
      </c>
      <c r="BH2619" s="1" t="s">
        <v>74</v>
      </c>
      <c r="BI2619" s="1">
        <v>14</v>
      </c>
      <c r="BJ2619" s="1" t="s">
        <v>4241</v>
      </c>
      <c r="BK2619" s="1" t="s">
        <v>96</v>
      </c>
      <c r="BL2619" s="1" t="s">
        <v>4241</v>
      </c>
      <c r="BM2619" s="1" t="s">
        <v>22814</v>
      </c>
      <c r="BN2619" s="1" t="s">
        <v>74</v>
      </c>
      <c r="BO2619" s="1" t="s">
        <v>74</v>
      </c>
      <c r="BP2619" s="1" t="s">
        <v>74</v>
      </c>
      <c r="BQ2619" s="1" t="s">
        <v>74</v>
      </c>
      <c r="BR2619" s="1" t="s">
        <v>98</v>
      </c>
      <c r="BS2619" s="1" t="s">
        <v>41798</v>
      </c>
      <c r="BT2619" s="1" t="str">
        <f>HYPERLINK("https%3A%2F%2Fwww.webofscience.com%2Fwos%2Fwoscc%2Ffull-record%2FWOS:A1996UR70200020","View Full Record in Web of Science")</f>
        <v>View Full Record in Web of Science</v>
      </c>
      <c r="BU2619" s="1"/>
      <c r="BV2619" s="1"/>
    </row>
    <row r="2620" spans="1:74">
      <c r="A2620" s="1" t="s">
        <v>72</v>
      </c>
      <c r="B2620" s="1" t="s">
        <v>41799</v>
      </c>
      <c r="C2620" s="1" t="s">
        <v>74</v>
      </c>
      <c r="D2620" s="1" t="s">
        <v>74</v>
      </c>
      <c r="E2620" s="1" t="s">
        <v>74</v>
      </c>
      <c r="F2620" s="1" t="s">
        <v>41799</v>
      </c>
      <c r="G2620" s="1" t="s">
        <v>74</v>
      </c>
      <c r="H2620" s="1" t="s">
        <v>74</v>
      </c>
      <c r="I2620" s="1" t="s">
        <v>41800</v>
      </c>
      <c r="J2620" s="1" t="s">
        <v>17604</v>
      </c>
      <c r="K2620" s="1" t="s">
        <v>74</v>
      </c>
      <c r="L2620" s="1" t="s">
        <v>74</v>
      </c>
      <c r="M2620" s="1" t="s">
        <v>78</v>
      </c>
      <c r="N2620" s="1" t="s">
        <v>79</v>
      </c>
      <c r="O2620" s="1" t="s">
        <v>74</v>
      </c>
      <c r="P2620" s="1" t="s">
        <v>74</v>
      </c>
      <c r="Q2620" s="1" t="s">
        <v>74</v>
      </c>
      <c r="R2620" s="1" t="s">
        <v>74</v>
      </c>
      <c r="S2620" s="1" t="s">
        <v>74</v>
      </c>
      <c r="T2620" s="1" t="s">
        <v>41801</v>
      </c>
      <c r="U2620" s="1" t="s">
        <v>41802</v>
      </c>
      <c r="V2620" s="1" t="s">
        <v>41803</v>
      </c>
      <c r="W2620" s="1" t="s">
        <v>39352</v>
      </c>
      <c r="X2620" s="1" t="s">
        <v>4641</v>
      </c>
      <c r="Y2620" s="1" t="s">
        <v>74</v>
      </c>
      <c r="Z2620" s="1" t="s">
        <v>74</v>
      </c>
      <c r="AA2620" s="1" t="s">
        <v>41804</v>
      </c>
      <c r="AB2620" s="1" t="s">
        <v>26915</v>
      </c>
      <c r="AC2620" s="1" t="s">
        <v>74</v>
      </c>
      <c r="AD2620" s="1" t="s">
        <v>74</v>
      </c>
      <c r="AE2620" s="1" t="s">
        <v>74</v>
      </c>
      <c r="AF2620" s="1" t="s">
        <v>74</v>
      </c>
      <c r="AG2620" s="1">
        <v>39</v>
      </c>
      <c r="AH2620" s="1">
        <v>27</v>
      </c>
      <c r="AI2620" s="1">
        <v>29</v>
      </c>
      <c r="AJ2620" s="1">
        <v>0</v>
      </c>
      <c r="AK2620" s="1">
        <v>3</v>
      </c>
      <c r="AL2620" s="1" t="s">
        <v>919</v>
      </c>
      <c r="AM2620" s="1" t="s">
        <v>651</v>
      </c>
      <c r="AN2620" s="1" t="s">
        <v>920</v>
      </c>
      <c r="AO2620" s="1" t="s">
        <v>17613</v>
      </c>
      <c r="AP2620" s="1" t="s">
        <v>74</v>
      </c>
      <c r="AQ2620" s="1" t="s">
        <v>74</v>
      </c>
      <c r="AR2620" s="1" t="s">
        <v>17615</v>
      </c>
      <c r="AS2620" s="1" t="s">
        <v>17616</v>
      </c>
      <c r="AT2620" s="1" t="s">
        <v>2846</v>
      </c>
      <c r="AU2620" s="1">
        <v>1995</v>
      </c>
      <c r="AV2620" s="1">
        <v>186</v>
      </c>
      <c r="AW2620" s="1">
        <v>1</v>
      </c>
      <c r="AX2620" s="1" t="s">
        <v>74</v>
      </c>
      <c r="AY2620" s="1" t="s">
        <v>74</v>
      </c>
      <c r="AZ2620" s="1" t="s">
        <v>74</v>
      </c>
      <c r="BA2620" s="1" t="s">
        <v>74</v>
      </c>
      <c r="BB2620" s="1">
        <v>53</v>
      </c>
      <c r="BC2620" s="1">
        <v>63</v>
      </c>
      <c r="BD2620" s="1" t="s">
        <v>74</v>
      </c>
      <c r="BE2620" s="1" t="s">
        <v>41805</v>
      </c>
      <c r="BF2620" s="1" t="str">
        <f>HYPERLINK("http://dx.doi.org/10.1016/0022-0981(94)00151-3","http://dx.doi.org/10.1016/0022-0981(94)00151-3")</f>
        <v>http://dx.doi.org/10.1016/0022-0981(94)00151-3</v>
      </c>
      <c r="BG2620" s="1" t="s">
        <v>74</v>
      </c>
      <c r="BH2620" s="1" t="s">
        <v>74</v>
      </c>
      <c r="BI2620" s="1">
        <v>11</v>
      </c>
      <c r="BJ2620" s="1" t="s">
        <v>1292</v>
      </c>
      <c r="BK2620" s="1" t="s">
        <v>96</v>
      </c>
      <c r="BL2620" s="1" t="s">
        <v>248</v>
      </c>
      <c r="BM2620" s="1" t="s">
        <v>41806</v>
      </c>
      <c r="BN2620" s="1" t="s">
        <v>74</v>
      </c>
      <c r="BO2620" s="1" t="s">
        <v>74</v>
      </c>
      <c r="BP2620" s="1" t="s">
        <v>74</v>
      </c>
      <c r="BQ2620" s="1" t="s">
        <v>74</v>
      </c>
      <c r="BR2620" s="1" t="s">
        <v>98</v>
      </c>
      <c r="BS2620" s="1" t="s">
        <v>41807</v>
      </c>
      <c r="BT2620" s="1" t="str">
        <f>HYPERLINK("https%3A%2F%2Fwww.webofscience.com%2Fwos%2Fwoscc%2Ffull-record%2FWOS:A1995QN80300005","View Full Record in Web of Science")</f>
        <v>View Full Record in Web of Science</v>
      </c>
      <c r="BU2620" s="1"/>
      <c r="BV2620" s="1"/>
    </row>
    <row r="2621" spans="1:74">
      <c r="A2621" s="1" t="s">
        <v>72</v>
      </c>
      <c r="B2621" s="1" t="s">
        <v>41808</v>
      </c>
      <c r="C2621" s="1" t="s">
        <v>74</v>
      </c>
      <c r="D2621" s="1" t="s">
        <v>74</v>
      </c>
      <c r="E2621" s="1" t="s">
        <v>74</v>
      </c>
      <c r="F2621" s="1" t="s">
        <v>41809</v>
      </c>
      <c r="G2621" s="1" t="s">
        <v>74</v>
      </c>
      <c r="H2621" s="1" t="s">
        <v>74</v>
      </c>
      <c r="I2621" s="1" t="s">
        <v>41810</v>
      </c>
      <c r="J2621" s="1" t="s">
        <v>232</v>
      </c>
      <c r="K2621" s="1" t="s">
        <v>74</v>
      </c>
      <c r="L2621" s="1" t="s">
        <v>74</v>
      </c>
      <c r="M2621" s="1" t="s">
        <v>78</v>
      </c>
      <c r="N2621" s="1" t="s">
        <v>79</v>
      </c>
      <c r="O2621" s="1" t="s">
        <v>74</v>
      </c>
      <c r="P2621" s="1" t="s">
        <v>74</v>
      </c>
      <c r="Q2621" s="1" t="s">
        <v>74</v>
      </c>
      <c r="R2621" s="1" t="s">
        <v>74</v>
      </c>
      <c r="S2621" s="1" t="s">
        <v>74</v>
      </c>
      <c r="T2621" s="1" t="s">
        <v>41811</v>
      </c>
      <c r="U2621" s="1" t="s">
        <v>41812</v>
      </c>
      <c r="V2621" s="1" t="s">
        <v>41813</v>
      </c>
      <c r="W2621" s="1" t="s">
        <v>41814</v>
      </c>
      <c r="X2621" s="1" t="s">
        <v>41815</v>
      </c>
      <c r="Y2621" s="1" t="s">
        <v>41816</v>
      </c>
      <c r="Z2621" s="1" t="s">
        <v>41817</v>
      </c>
      <c r="AA2621" s="1" t="s">
        <v>41818</v>
      </c>
      <c r="AB2621" s="1" t="s">
        <v>41819</v>
      </c>
      <c r="AC2621" s="1" t="s">
        <v>41820</v>
      </c>
      <c r="AD2621" s="1" t="s">
        <v>41821</v>
      </c>
      <c r="AE2621" s="1" t="s">
        <v>41822</v>
      </c>
      <c r="AF2621" s="1" t="s">
        <v>74</v>
      </c>
      <c r="AG2621" s="1">
        <v>40</v>
      </c>
      <c r="AH2621" s="1">
        <v>2</v>
      </c>
      <c r="AI2621" s="1">
        <v>2</v>
      </c>
      <c r="AJ2621" s="1">
        <v>1</v>
      </c>
      <c r="AK2621" s="1">
        <v>5</v>
      </c>
      <c r="AL2621" s="1" t="s">
        <v>136</v>
      </c>
      <c r="AM2621" s="1" t="s">
        <v>137</v>
      </c>
      <c r="AN2621" s="1" t="s">
        <v>138</v>
      </c>
      <c r="AO2621" s="1" t="s">
        <v>240</v>
      </c>
      <c r="AP2621" s="1" t="s">
        <v>241</v>
      </c>
      <c r="AQ2621" s="1" t="s">
        <v>74</v>
      </c>
      <c r="AR2621" s="1" t="s">
        <v>242</v>
      </c>
      <c r="AS2621" s="1" t="s">
        <v>243</v>
      </c>
      <c r="AT2621" s="1" t="s">
        <v>170</v>
      </c>
      <c r="AU2621" s="1">
        <v>2022</v>
      </c>
      <c r="AV2621" s="1">
        <v>178</v>
      </c>
      <c r="AW2621" s="1" t="s">
        <v>74</v>
      </c>
      <c r="AX2621" s="1" t="s">
        <v>74</v>
      </c>
      <c r="AY2621" s="1" t="s">
        <v>74</v>
      </c>
      <c r="AZ2621" s="1" t="s">
        <v>74</v>
      </c>
      <c r="BA2621" s="1" t="s">
        <v>74</v>
      </c>
      <c r="BB2621" s="1" t="s">
        <v>74</v>
      </c>
      <c r="BC2621" s="1" t="s">
        <v>74</v>
      </c>
      <c r="BD2621" s="1">
        <v>113581</v>
      </c>
      <c r="BE2621" s="1" t="s">
        <v>41823</v>
      </c>
      <c r="BF2621" s="1" t="str">
        <f>HYPERLINK("http://dx.doi.org/10.1016/j.marpolbul.2022.113581","http://dx.doi.org/10.1016/j.marpolbul.2022.113581")</f>
        <v>http://dx.doi.org/10.1016/j.marpolbul.2022.113581</v>
      </c>
      <c r="BG2621" s="1" t="s">
        <v>74</v>
      </c>
      <c r="BH2621" s="1" t="s">
        <v>5038</v>
      </c>
      <c r="BI2621" s="1">
        <v>6</v>
      </c>
      <c r="BJ2621" s="1" t="s">
        <v>247</v>
      </c>
      <c r="BK2621" s="1" t="s">
        <v>96</v>
      </c>
      <c r="BL2621" s="1" t="s">
        <v>248</v>
      </c>
      <c r="BM2621" s="1" t="s">
        <v>19211</v>
      </c>
      <c r="BN2621" s="1">
        <v>35366552</v>
      </c>
      <c r="BO2621" s="1" t="s">
        <v>74</v>
      </c>
      <c r="BP2621" s="1" t="s">
        <v>74</v>
      </c>
      <c r="BQ2621" s="1" t="s">
        <v>74</v>
      </c>
      <c r="BR2621" s="1" t="s">
        <v>98</v>
      </c>
      <c r="BS2621" s="1" t="s">
        <v>41824</v>
      </c>
      <c r="BT2621" s="1" t="str">
        <f>HYPERLINK("https%3A%2F%2Fwww.webofscience.com%2Fwos%2Fwoscc%2Ffull-record%2FWOS:000806352600003","View Full Record in Web of Science")</f>
        <v>View Full Record in Web of Science</v>
      </c>
      <c r="BU2621" s="1"/>
      <c r="BV2621" s="1"/>
    </row>
    <row r="2622" spans="1:74">
      <c r="A2622" s="1" t="s">
        <v>72</v>
      </c>
      <c r="B2622" s="1" t="s">
        <v>41825</v>
      </c>
      <c r="C2622" s="1" t="s">
        <v>74</v>
      </c>
      <c r="D2622" s="1" t="s">
        <v>74</v>
      </c>
      <c r="E2622" s="1" t="s">
        <v>74</v>
      </c>
      <c r="F2622" s="1" t="s">
        <v>41826</v>
      </c>
      <c r="G2622" s="1" t="s">
        <v>74</v>
      </c>
      <c r="H2622" s="1" t="s">
        <v>74</v>
      </c>
      <c r="I2622" s="1" t="s">
        <v>41827</v>
      </c>
      <c r="J2622" s="1" t="s">
        <v>664</v>
      </c>
      <c r="K2622" s="1" t="s">
        <v>74</v>
      </c>
      <c r="L2622" s="1" t="s">
        <v>74</v>
      </c>
      <c r="M2622" s="1" t="s">
        <v>78</v>
      </c>
      <c r="N2622" s="1" t="s">
        <v>79</v>
      </c>
      <c r="O2622" s="1" t="s">
        <v>74</v>
      </c>
      <c r="P2622" s="1" t="s">
        <v>74</v>
      </c>
      <c r="Q2622" s="1" t="s">
        <v>74</v>
      </c>
      <c r="R2622" s="1" t="s">
        <v>74</v>
      </c>
      <c r="S2622" s="1" t="s">
        <v>74</v>
      </c>
      <c r="T2622" s="1" t="s">
        <v>41828</v>
      </c>
      <c r="U2622" s="1" t="s">
        <v>41829</v>
      </c>
      <c r="V2622" s="1" t="s">
        <v>41830</v>
      </c>
      <c r="W2622" s="1" t="s">
        <v>41831</v>
      </c>
      <c r="X2622" s="1" t="s">
        <v>41832</v>
      </c>
      <c r="Y2622" s="1" t="s">
        <v>41833</v>
      </c>
      <c r="Z2622" s="1" t="s">
        <v>41834</v>
      </c>
      <c r="AA2622" s="1" t="s">
        <v>41835</v>
      </c>
      <c r="AB2622" s="1" t="s">
        <v>41836</v>
      </c>
      <c r="AC2622" s="1" t="s">
        <v>41837</v>
      </c>
      <c r="AD2622" s="1" t="s">
        <v>41838</v>
      </c>
      <c r="AE2622" s="1" t="s">
        <v>41839</v>
      </c>
      <c r="AF2622" s="1" t="s">
        <v>74</v>
      </c>
      <c r="AG2622" s="1">
        <v>30</v>
      </c>
      <c r="AH2622" s="1">
        <v>10</v>
      </c>
      <c r="AI2622" s="1">
        <v>11</v>
      </c>
      <c r="AJ2622" s="1">
        <v>1</v>
      </c>
      <c r="AK2622" s="1">
        <v>16</v>
      </c>
      <c r="AL2622" s="1" t="s">
        <v>673</v>
      </c>
      <c r="AM2622" s="1" t="s">
        <v>674</v>
      </c>
      <c r="AN2622" s="1" t="s">
        <v>675</v>
      </c>
      <c r="AO2622" s="1" t="s">
        <v>676</v>
      </c>
      <c r="AP2622" s="1" t="s">
        <v>74</v>
      </c>
      <c r="AQ2622" s="1" t="s">
        <v>74</v>
      </c>
      <c r="AR2622" s="1" t="s">
        <v>677</v>
      </c>
      <c r="AS2622" s="1" t="s">
        <v>22095</v>
      </c>
      <c r="AT2622" s="1" t="s">
        <v>305</v>
      </c>
      <c r="AU2622" s="1">
        <v>2008</v>
      </c>
      <c r="AV2622" s="1">
        <v>34</v>
      </c>
      <c r="AW2622" s="1">
        <v>3</v>
      </c>
      <c r="AX2622" s="1" t="s">
        <v>74</v>
      </c>
      <c r="AY2622" s="1" t="s">
        <v>74</v>
      </c>
      <c r="AZ2622" s="1" t="s">
        <v>74</v>
      </c>
      <c r="BA2622" s="1" t="s">
        <v>74</v>
      </c>
      <c r="BB2622" s="1">
        <v>381</v>
      </c>
      <c r="BC2622" s="1">
        <v>388</v>
      </c>
      <c r="BD2622" s="1" t="s">
        <v>74</v>
      </c>
      <c r="BE2622" s="1" t="s">
        <v>41840</v>
      </c>
      <c r="BF2622" s="1" t="str">
        <f>HYPERLINK("http://dx.doi.org/10.7773/cm.v34i3.1399","http://dx.doi.org/10.7773/cm.v34i3.1399")</f>
        <v>http://dx.doi.org/10.7773/cm.v34i3.1399</v>
      </c>
      <c r="BG2622" s="1" t="s">
        <v>74</v>
      </c>
      <c r="BH2622" s="1" t="s">
        <v>74</v>
      </c>
      <c r="BI2622" s="1">
        <v>8</v>
      </c>
      <c r="BJ2622" s="1" t="s">
        <v>680</v>
      </c>
      <c r="BK2622" s="1" t="s">
        <v>96</v>
      </c>
      <c r="BL2622" s="1" t="s">
        <v>680</v>
      </c>
      <c r="BM2622" s="1" t="s">
        <v>41841</v>
      </c>
      <c r="BN2622" s="1" t="s">
        <v>74</v>
      </c>
      <c r="BO2622" s="1" t="s">
        <v>12986</v>
      </c>
      <c r="BP2622" s="1" t="s">
        <v>74</v>
      </c>
      <c r="BQ2622" s="1" t="s">
        <v>74</v>
      </c>
      <c r="BR2622" s="1" t="s">
        <v>98</v>
      </c>
      <c r="BS2622" s="1" t="s">
        <v>41842</v>
      </c>
      <c r="BT2622" s="1" t="str">
        <f>HYPERLINK("https%3A%2F%2Fwww.webofscience.com%2Fwos%2Fwoscc%2Ffull-record%2FWOS:000260312600012","View Full Record in Web of Science")</f>
        <v>View Full Record in Web of Science</v>
      </c>
      <c r="BU2622" s="1"/>
      <c r="BV2622" s="1"/>
    </row>
    <row r="2623" spans="1:74">
      <c r="A2623" s="1" t="s">
        <v>72</v>
      </c>
      <c r="B2623" s="1" t="s">
        <v>41843</v>
      </c>
      <c r="C2623" s="1" t="s">
        <v>74</v>
      </c>
      <c r="D2623" s="1" t="s">
        <v>74</v>
      </c>
      <c r="E2623" s="1" t="s">
        <v>74</v>
      </c>
      <c r="F2623" s="1" t="s">
        <v>41844</v>
      </c>
      <c r="G2623" s="1" t="s">
        <v>74</v>
      </c>
      <c r="H2623" s="1" t="s">
        <v>74</v>
      </c>
      <c r="I2623" s="1" t="s">
        <v>41845</v>
      </c>
      <c r="J2623" s="1" t="s">
        <v>421</v>
      </c>
      <c r="K2623" s="1" t="s">
        <v>74</v>
      </c>
      <c r="L2623" s="1" t="s">
        <v>74</v>
      </c>
      <c r="M2623" s="1" t="s">
        <v>78</v>
      </c>
      <c r="N2623" s="1" t="s">
        <v>79</v>
      </c>
      <c r="O2623" s="1" t="s">
        <v>74</v>
      </c>
      <c r="P2623" s="1" t="s">
        <v>74</v>
      </c>
      <c r="Q2623" s="1" t="s">
        <v>74</v>
      </c>
      <c r="R2623" s="1" t="s">
        <v>74</v>
      </c>
      <c r="S2623" s="1" t="s">
        <v>74</v>
      </c>
      <c r="T2623" s="1" t="s">
        <v>41846</v>
      </c>
      <c r="U2623" s="1" t="s">
        <v>41847</v>
      </c>
      <c r="V2623" s="1" t="s">
        <v>41848</v>
      </c>
      <c r="W2623" s="1" t="s">
        <v>41849</v>
      </c>
      <c r="X2623" s="1" t="s">
        <v>41850</v>
      </c>
      <c r="Y2623" s="1" t="s">
        <v>37959</v>
      </c>
      <c r="Z2623" s="1" t="s">
        <v>32756</v>
      </c>
      <c r="AA2623" s="1" t="s">
        <v>37251</v>
      </c>
      <c r="AB2623" s="1" t="s">
        <v>37252</v>
      </c>
      <c r="AC2623" s="1" t="s">
        <v>41851</v>
      </c>
      <c r="AD2623" s="1" t="s">
        <v>41852</v>
      </c>
      <c r="AE2623" s="1" t="s">
        <v>41853</v>
      </c>
      <c r="AF2623" s="1" t="s">
        <v>74</v>
      </c>
      <c r="AG2623" s="1">
        <v>84</v>
      </c>
      <c r="AH2623" s="1">
        <v>34</v>
      </c>
      <c r="AI2623" s="1">
        <v>36</v>
      </c>
      <c r="AJ2623" s="1">
        <v>10</v>
      </c>
      <c r="AK2623" s="1">
        <v>71</v>
      </c>
      <c r="AL2623" s="1" t="s">
        <v>430</v>
      </c>
      <c r="AM2623" s="1" t="s">
        <v>137</v>
      </c>
      <c r="AN2623" s="1" t="s">
        <v>431</v>
      </c>
      <c r="AO2623" s="1" t="s">
        <v>432</v>
      </c>
      <c r="AP2623" s="1" t="s">
        <v>1394</v>
      </c>
      <c r="AQ2623" s="1" t="s">
        <v>74</v>
      </c>
      <c r="AR2623" s="1" t="s">
        <v>433</v>
      </c>
      <c r="AS2623" s="1" t="s">
        <v>434</v>
      </c>
      <c r="AT2623" s="1" t="s">
        <v>1856</v>
      </c>
      <c r="AU2623" s="1">
        <v>2022</v>
      </c>
      <c r="AV2623" s="1">
        <v>307</v>
      </c>
      <c r="AW2623" s="1" t="s">
        <v>74</v>
      </c>
      <c r="AX2623" s="1" t="s">
        <v>74</v>
      </c>
      <c r="AY2623" s="1" t="s">
        <v>74</v>
      </c>
      <c r="AZ2623" s="1" t="s">
        <v>74</v>
      </c>
      <c r="BA2623" s="1" t="s">
        <v>74</v>
      </c>
      <c r="BB2623" s="1" t="s">
        <v>74</v>
      </c>
      <c r="BC2623" s="1" t="s">
        <v>74</v>
      </c>
      <c r="BD2623" s="1">
        <v>119497</v>
      </c>
      <c r="BE2623" s="1" t="s">
        <v>41854</v>
      </c>
      <c r="BF2623" s="1" t="str">
        <f>HYPERLINK("http://dx.doi.org/10.1016/j.envpol.2022.119497","http://dx.doi.org/10.1016/j.envpol.2022.119497")</f>
        <v>http://dx.doi.org/10.1016/j.envpol.2022.119497</v>
      </c>
      <c r="BG2623" s="1" t="s">
        <v>74</v>
      </c>
      <c r="BH2623" s="1" t="s">
        <v>2765</v>
      </c>
      <c r="BI2623" s="1">
        <v>11</v>
      </c>
      <c r="BJ2623" s="1" t="s">
        <v>144</v>
      </c>
      <c r="BK2623" s="1" t="s">
        <v>96</v>
      </c>
      <c r="BL2623" s="1" t="s">
        <v>145</v>
      </c>
      <c r="BM2623" s="1" t="s">
        <v>41855</v>
      </c>
      <c r="BN2623" s="1">
        <v>35594997</v>
      </c>
      <c r="BO2623" s="1" t="s">
        <v>74</v>
      </c>
      <c r="BP2623" s="1" t="s">
        <v>74</v>
      </c>
      <c r="BQ2623" s="1" t="s">
        <v>74</v>
      </c>
      <c r="BR2623" s="1" t="s">
        <v>98</v>
      </c>
      <c r="BS2623" s="1" t="s">
        <v>41856</v>
      </c>
      <c r="BT2623" s="1" t="str">
        <f>HYPERLINK("https%3A%2F%2Fwww.webofscience.com%2Fwos%2Fwoscc%2Ffull-record%2FWOS:000804993600009","View Full Record in Web of Science")</f>
        <v>View Full Record in Web of Science</v>
      </c>
      <c r="BU2623" s="1"/>
      <c r="BV2623" s="1"/>
    </row>
    <row r="2624" spans="1:74">
      <c r="A2624" s="1" t="s">
        <v>72</v>
      </c>
      <c r="B2624" s="1" t="s">
        <v>41857</v>
      </c>
      <c r="C2624" s="1" t="s">
        <v>74</v>
      </c>
      <c r="D2624" s="1" t="s">
        <v>74</v>
      </c>
      <c r="E2624" s="1" t="s">
        <v>74</v>
      </c>
      <c r="F2624" s="1" t="s">
        <v>41858</v>
      </c>
      <c r="G2624" s="1" t="s">
        <v>74</v>
      </c>
      <c r="H2624" s="1" t="s">
        <v>74</v>
      </c>
      <c r="I2624" s="1" t="s">
        <v>41859</v>
      </c>
      <c r="J2624" s="1" t="s">
        <v>495</v>
      </c>
      <c r="K2624" s="1" t="s">
        <v>74</v>
      </c>
      <c r="L2624" s="1" t="s">
        <v>74</v>
      </c>
      <c r="M2624" s="1" t="s">
        <v>78</v>
      </c>
      <c r="N2624" s="1" t="s">
        <v>79</v>
      </c>
      <c r="O2624" s="1" t="s">
        <v>74</v>
      </c>
      <c r="P2624" s="1" t="s">
        <v>74</v>
      </c>
      <c r="Q2624" s="1" t="s">
        <v>74</v>
      </c>
      <c r="R2624" s="1" t="s">
        <v>74</v>
      </c>
      <c r="S2624" s="1" t="s">
        <v>74</v>
      </c>
      <c r="T2624" s="1" t="s">
        <v>41860</v>
      </c>
      <c r="U2624" s="1" t="s">
        <v>41861</v>
      </c>
      <c r="V2624" s="1" t="s">
        <v>41862</v>
      </c>
      <c r="W2624" s="1" t="s">
        <v>41863</v>
      </c>
      <c r="X2624" s="1" t="s">
        <v>19001</v>
      </c>
      <c r="Y2624" s="1" t="s">
        <v>41864</v>
      </c>
      <c r="Z2624" s="1" t="s">
        <v>41865</v>
      </c>
      <c r="AA2624" s="1" t="s">
        <v>19004</v>
      </c>
      <c r="AB2624" s="1" t="s">
        <v>41866</v>
      </c>
      <c r="AC2624" s="1" t="s">
        <v>74</v>
      </c>
      <c r="AD2624" s="1" t="s">
        <v>74</v>
      </c>
      <c r="AE2624" s="1" t="s">
        <v>74</v>
      </c>
      <c r="AF2624" s="1" t="s">
        <v>74</v>
      </c>
      <c r="AG2624" s="1">
        <v>46</v>
      </c>
      <c r="AH2624" s="1">
        <v>9</v>
      </c>
      <c r="AI2624" s="1">
        <v>9</v>
      </c>
      <c r="AJ2624" s="1">
        <v>1</v>
      </c>
      <c r="AK2624" s="1">
        <v>10</v>
      </c>
      <c r="AL2624" s="1" t="s">
        <v>1030</v>
      </c>
      <c r="AM2624" s="1" t="s">
        <v>1031</v>
      </c>
      <c r="AN2624" s="1" t="s">
        <v>1032</v>
      </c>
      <c r="AO2624" s="1" t="s">
        <v>507</v>
      </c>
      <c r="AP2624" s="1" t="s">
        <v>1033</v>
      </c>
      <c r="AQ2624" s="1" t="s">
        <v>74</v>
      </c>
      <c r="AR2624" s="1" t="s">
        <v>508</v>
      </c>
      <c r="AS2624" s="1" t="s">
        <v>509</v>
      </c>
      <c r="AT2624" s="1" t="s">
        <v>74</v>
      </c>
      <c r="AU2624" s="1">
        <v>2016</v>
      </c>
      <c r="AV2624" s="1">
        <v>25</v>
      </c>
      <c r="AW2624" s="1">
        <v>5</v>
      </c>
      <c r="AX2624" s="1" t="s">
        <v>74</v>
      </c>
      <c r="AY2624" s="1" t="s">
        <v>74</v>
      </c>
      <c r="AZ2624" s="1" t="s">
        <v>74</v>
      </c>
      <c r="BA2624" s="1" t="s">
        <v>74</v>
      </c>
      <c r="BB2624" s="1">
        <v>1461</v>
      </c>
      <c r="BC2624" s="1">
        <v>1467</v>
      </c>
      <c r="BD2624" s="1" t="s">
        <v>74</v>
      </c>
      <c r="BE2624" s="1" t="s">
        <v>74</v>
      </c>
      <c r="BF2624" s="1" t="s">
        <v>74</v>
      </c>
      <c r="BG2624" s="1" t="s">
        <v>74</v>
      </c>
      <c r="BH2624" s="1" t="s">
        <v>74</v>
      </c>
      <c r="BI2624" s="1">
        <v>7</v>
      </c>
      <c r="BJ2624" s="1" t="s">
        <v>144</v>
      </c>
      <c r="BK2624" s="1" t="s">
        <v>96</v>
      </c>
      <c r="BL2624" s="1" t="s">
        <v>145</v>
      </c>
      <c r="BM2624" s="1" t="s">
        <v>41867</v>
      </c>
      <c r="BN2624" s="1" t="s">
        <v>74</v>
      </c>
      <c r="BO2624" s="1" t="s">
        <v>74</v>
      </c>
      <c r="BP2624" s="1" t="s">
        <v>74</v>
      </c>
      <c r="BQ2624" s="1" t="s">
        <v>74</v>
      </c>
      <c r="BR2624" s="1" t="s">
        <v>98</v>
      </c>
      <c r="BS2624" s="1" t="s">
        <v>41868</v>
      </c>
      <c r="BT2624" s="1" t="str">
        <f>HYPERLINK("https%3A%2F%2Fwww.webofscience.com%2Fwos%2Fwoscc%2Ffull-record%2FWOS:000378967600018","View Full Record in Web of Science")</f>
        <v>View Full Record in Web of Science</v>
      </c>
      <c r="BU2624" s="1"/>
      <c r="BV2624" s="1"/>
    </row>
    <row r="2625" spans="1:74">
      <c r="A2625" s="1" t="s">
        <v>72</v>
      </c>
      <c r="B2625" s="1" t="s">
        <v>41869</v>
      </c>
      <c r="C2625" s="1" t="s">
        <v>74</v>
      </c>
      <c r="D2625" s="1" t="s">
        <v>74</v>
      </c>
      <c r="E2625" s="1" t="s">
        <v>74</v>
      </c>
      <c r="F2625" s="1" t="s">
        <v>41870</v>
      </c>
      <c r="G2625" s="1" t="s">
        <v>74</v>
      </c>
      <c r="H2625" s="1" t="s">
        <v>74</v>
      </c>
      <c r="I2625" s="1" t="s">
        <v>41871</v>
      </c>
      <c r="J2625" s="1" t="s">
        <v>1514</v>
      </c>
      <c r="K2625" s="1" t="s">
        <v>74</v>
      </c>
      <c r="L2625" s="1" t="s">
        <v>74</v>
      </c>
      <c r="M2625" s="1" t="s">
        <v>78</v>
      </c>
      <c r="N2625" s="1" t="s">
        <v>79</v>
      </c>
      <c r="O2625" s="1" t="s">
        <v>74</v>
      </c>
      <c r="P2625" s="1" t="s">
        <v>74</v>
      </c>
      <c r="Q2625" s="1" t="s">
        <v>74</v>
      </c>
      <c r="R2625" s="1" t="s">
        <v>74</v>
      </c>
      <c r="S2625" s="1" t="s">
        <v>74</v>
      </c>
      <c r="T2625" s="1" t="s">
        <v>41872</v>
      </c>
      <c r="U2625" s="1" t="s">
        <v>41873</v>
      </c>
      <c r="V2625" s="1" t="s">
        <v>41874</v>
      </c>
      <c r="W2625" s="1" t="s">
        <v>41875</v>
      </c>
      <c r="X2625" s="1" t="s">
        <v>41876</v>
      </c>
      <c r="Y2625" s="1" t="s">
        <v>41877</v>
      </c>
      <c r="Z2625" s="1" t="s">
        <v>9187</v>
      </c>
      <c r="AA2625" s="1" t="s">
        <v>41878</v>
      </c>
      <c r="AB2625" s="1" t="s">
        <v>41879</v>
      </c>
      <c r="AC2625" s="1" t="s">
        <v>41880</v>
      </c>
      <c r="AD2625" s="1" t="s">
        <v>41880</v>
      </c>
      <c r="AE2625" s="1" t="s">
        <v>41881</v>
      </c>
      <c r="AF2625" s="1" t="s">
        <v>74</v>
      </c>
      <c r="AG2625" s="1">
        <v>93</v>
      </c>
      <c r="AH2625" s="1">
        <v>10</v>
      </c>
      <c r="AI2625" s="1">
        <v>10</v>
      </c>
      <c r="AJ2625" s="1">
        <v>3</v>
      </c>
      <c r="AK2625" s="1">
        <v>10</v>
      </c>
      <c r="AL2625" s="1" t="s">
        <v>112</v>
      </c>
      <c r="AM2625" s="1" t="s">
        <v>191</v>
      </c>
      <c r="AN2625" s="1" t="s">
        <v>192</v>
      </c>
      <c r="AO2625" s="1" t="s">
        <v>1524</v>
      </c>
      <c r="AP2625" s="1" t="s">
        <v>41882</v>
      </c>
      <c r="AQ2625" s="1" t="s">
        <v>74</v>
      </c>
      <c r="AR2625" s="1" t="s">
        <v>1525</v>
      </c>
      <c r="AS2625" s="1" t="s">
        <v>1526</v>
      </c>
      <c r="AT2625" s="1" t="s">
        <v>305</v>
      </c>
      <c r="AU2625" s="1">
        <v>2023</v>
      </c>
      <c r="AV2625" s="1">
        <v>47</v>
      </c>
      <c r="AW2625" s="1">
        <v>3</v>
      </c>
      <c r="AX2625" s="1" t="s">
        <v>74</v>
      </c>
      <c r="AY2625" s="1" t="s">
        <v>74</v>
      </c>
      <c r="AZ2625" s="1" t="s">
        <v>74</v>
      </c>
      <c r="BA2625" s="1" t="s">
        <v>74</v>
      </c>
      <c r="BB2625" s="1">
        <v>1303</v>
      </c>
      <c r="BC2625" s="1">
        <v>1319</v>
      </c>
      <c r="BD2625" s="1" t="s">
        <v>74</v>
      </c>
      <c r="BE2625" s="1" t="s">
        <v>41883</v>
      </c>
      <c r="BF2625" s="1" t="str">
        <f>HYPERLINK("http://dx.doi.org/10.1007/s11259-023-10078-1","http://dx.doi.org/10.1007/s11259-023-10078-1")</f>
        <v>http://dx.doi.org/10.1007/s11259-023-10078-1</v>
      </c>
      <c r="BG2625" s="1" t="s">
        <v>74</v>
      </c>
      <c r="BH2625" s="1" t="s">
        <v>10846</v>
      </c>
      <c r="BI2625" s="1">
        <v>17</v>
      </c>
      <c r="BJ2625" s="1" t="s">
        <v>1057</v>
      </c>
      <c r="BK2625" s="1" t="s">
        <v>96</v>
      </c>
      <c r="BL2625" s="1" t="s">
        <v>1057</v>
      </c>
      <c r="BM2625" s="1" t="s">
        <v>41884</v>
      </c>
      <c r="BN2625" s="1">
        <v>36763184</v>
      </c>
      <c r="BO2625" s="1" t="s">
        <v>74</v>
      </c>
      <c r="BP2625" s="1" t="s">
        <v>74</v>
      </c>
      <c r="BQ2625" s="1" t="s">
        <v>74</v>
      </c>
      <c r="BR2625" s="1" t="s">
        <v>98</v>
      </c>
      <c r="BS2625" s="1" t="s">
        <v>41885</v>
      </c>
      <c r="BT2625" s="1" t="str">
        <f>HYPERLINK("https%3A%2F%2Fwww.webofscience.com%2Fwos%2Fwoscc%2Ffull-record%2FWOS:000931831700001","View Full Record in Web of Science")</f>
        <v>View Full Record in Web of Science</v>
      </c>
      <c r="BU2625" s="1"/>
      <c r="BV2625" s="1"/>
    </row>
    <row r="2626" spans="1:74">
      <c r="A2626" s="1" t="s">
        <v>72</v>
      </c>
      <c r="B2626" s="1" t="s">
        <v>41886</v>
      </c>
      <c r="C2626" s="1" t="s">
        <v>74</v>
      </c>
      <c r="D2626" s="1" t="s">
        <v>74</v>
      </c>
      <c r="E2626" s="1" t="s">
        <v>74</v>
      </c>
      <c r="F2626" s="1" t="s">
        <v>41887</v>
      </c>
      <c r="G2626" s="1" t="s">
        <v>74</v>
      </c>
      <c r="H2626" s="1" t="s">
        <v>74</v>
      </c>
      <c r="I2626" s="1" t="s">
        <v>41888</v>
      </c>
      <c r="J2626" s="1" t="s">
        <v>103</v>
      </c>
      <c r="K2626" s="1" t="s">
        <v>74</v>
      </c>
      <c r="L2626" s="1" t="s">
        <v>74</v>
      </c>
      <c r="M2626" s="1" t="s">
        <v>78</v>
      </c>
      <c r="N2626" s="1" t="s">
        <v>79</v>
      </c>
      <c r="O2626" s="1" t="s">
        <v>74</v>
      </c>
      <c r="P2626" s="1" t="s">
        <v>74</v>
      </c>
      <c r="Q2626" s="1" t="s">
        <v>74</v>
      </c>
      <c r="R2626" s="1" t="s">
        <v>74</v>
      </c>
      <c r="S2626" s="1" t="s">
        <v>74</v>
      </c>
      <c r="T2626" s="1" t="s">
        <v>74</v>
      </c>
      <c r="U2626" s="1" t="s">
        <v>41889</v>
      </c>
      <c r="V2626" s="1" t="s">
        <v>74</v>
      </c>
      <c r="W2626" s="1" t="s">
        <v>41890</v>
      </c>
      <c r="X2626" s="1" t="s">
        <v>28881</v>
      </c>
      <c r="Y2626" s="1" t="s">
        <v>41891</v>
      </c>
      <c r="Z2626" s="1" t="s">
        <v>74</v>
      </c>
      <c r="AA2626" s="1" t="s">
        <v>41892</v>
      </c>
      <c r="AB2626" s="1" t="s">
        <v>41893</v>
      </c>
      <c r="AC2626" s="1" t="s">
        <v>74</v>
      </c>
      <c r="AD2626" s="1" t="s">
        <v>74</v>
      </c>
      <c r="AE2626" s="1" t="s">
        <v>74</v>
      </c>
      <c r="AF2626" s="1" t="s">
        <v>74</v>
      </c>
      <c r="AG2626" s="1">
        <v>34</v>
      </c>
      <c r="AH2626" s="1">
        <v>17</v>
      </c>
      <c r="AI2626" s="1">
        <v>18</v>
      </c>
      <c r="AJ2626" s="1">
        <v>0</v>
      </c>
      <c r="AK2626" s="1">
        <v>11</v>
      </c>
      <c r="AL2626" s="1" t="s">
        <v>112</v>
      </c>
      <c r="AM2626" s="1" t="s">
        <v>113</v>
      </c>
      <c r="AN2626" s="1" t="s">
        <v>114</v>
      </c>
      <c r="AO2626" s="1" t="s">
        <v>115</v>
      </c>
      <c r="AP2626" s="1" t="s">
        <v>116</v>
      </c>
      <c r="AQ2626" s="1" t="s">
        <v>74</v>
      </c>
      <c r="AR2626" s="1" t="s">
        <v>117</v>
      </c>
      <c r="AS2626" s="1" t="s">
        <v>118</v>
      </c>
      <c r="AT2626" s="1" t="s">
        <v>951</v>
      </c>
      <c r="AU2626" s="1">
        <v>2006</v>
      </c>
      <c r="AV2626" s="1">
        <v>77</v>
      </c>
      <c r="AW2626" s="1">
        <v>5</v>
      </c>
      <c r="AX2626" s="1" t="s">
        <v>74</v>
      </c>
      <c r="AY2626" s="1" t="s">
        <v>74</v>
      </c>
      <c r="AZ2626" s="1" t="s">
        <v>74</v>
      </c>
      <c r="BA2626" s="1" t="s">
        <v>74</v>
      </c>
      <c r="BB2626" s="1">
        <v>732</v>
      </c>
      <c r="BC2626" s="1">
        <v>740</v>
      </c>
      <c r="BD2626" s="1" t="s">
        <v>74</v>
      </c>
      <c r="BE2626" s="1" t="s">
        <v>41894</v>
      </c>
      <c r="BF2626" s="1" t="str">
        <f>HYPERLINK("http://dx.doi.org/10.1007/s00128-006-1125-5","http://dx.doi.org/10.1007/s00128-006-1125-5")</f>
        <v>http://dx.doi.org/10.1007/s00128-006-1125-5</v>
      </c>
      <c r="BG2626" s="1" t="s">
        <v>74</v>
      </c>
      <c r="BH2626" s="1" t="s">
        <v>74</v>
      </c>
      <c r="BI2626" s="1">
        <v>9</v>
      </c>
      <c r="BJ2626" s="1" t="s">
        <v>121</v>
      </c>
      <c r="BK2626" s="1" t="s">
        <v>96</v>
      </c>
      <c r="BL2626" s="1" t="s">
        <v>122</v>
      </c>
      <c r="BM2626" s="1" t="s">
        <v>41895</v>
      </c>
      <c r="BN2626" s="1">
        <v>17177003</v>
      </c>
      <c r="BO2626" s="1" t="s">
        <v>74</v>
      </c>
      <c r="BP2626" s="1" t="s">
        <v>74</v>
      </c>
      <c r="BQ2626" s="1" t="s">
        <v>74</v>
      </c>
      <c r="BR2626" s="1" t="s">
        <v>98</v>
      </c>
      <c r="BS2626" s="1" t="s">
        <v>41896</v>
      </c>
      <c r="BT2626" s="1" t="str">
        <f>HYPERLINK("https%3A%2F%2Fwww.webofscience.com%2Fwos%2Fwoscc%2Ffull-record%2FWOS:000242805100017","View Full Record in Web of Science")</f>
        <v>View Full Record in Web of Science</v>
      </c>
      <c r="BU2626" s="1"/>
      <c r="BV2626" s="1"/>
    </row>
    <row r="2627" spans="1:74">
      <c r="A2627" s="1" t="s">
        <v>72</v>
      </c>
      <c r="B2627" s="1" t="s">
        <v>41897</v>
      </c>
      <c r="C2627" s="1" t="s">
        <v>74</v>
      </c>
      <c r="D2627" s="1" t="s">
        <v>74</v>
      </c>
      <c r="E2627" s="1" t="s">
        <v>74</v>
      </c>
      <c r="F2627" s="1" t="s">
        <v>41898</v>
      </c>
      <c r="G2627" s="1" t="s">
        <v>74</v>
      </c>
      <c r="H2627" s="1" t="s">
        <v>74</v>
      </c>
      <c r="I2627" s="1" t="s">
        <v>41899</v>
      </c>
      <c r="J2627" s="1" t="s">
        <v>7246</v>
      </c>
      <c r="K2627" s="1" t="s">
        <v>74</v>
      </c>
      <c r="L2627" s="1" t="s">
        <v>74</v>
      </c>
      <c r="M2627" s="1" t="s">
        <v>78</v>
      </c>
      <c r="N2627" s="1" t="s">
        <v>79</v>
      </c>
      <c r="O2627" s="1" t="s">
        <v>74</v>
      </c>
      <c r="P2627" s="1" t="s">
        <v>74</v>
      </c>
      <c r="Q2627" s="1" t="s">
        <v>74</v>
      </c>
      <c r="R2627" s="1" t="s">
        <v>74</v>
      </c>
      <c r="S2627" s="1" t="s">
        <v>74</v>
      </c>
      <c r="T2627" s="1" t="s">
        <v>41900</v>
      </c>
      <c r="U2627" s="1" t="s">
        <v>41901</v>
      </c>
      <c r="V2627" s="1" t="s">
        <v>41902</v>
      </c>
      <c r="W2627" s="1" t="s">
        <v>41903</v>
      </c>
      <c r="X2627" s="1" t="s">
        <v>41904</v>
      </c>
      <c r="Y2627" s="1" t="s">
        <v>41905</v>
      </c>
      <c r="Z2627" s="1" t="s">
        <v>41906</v>
      </c>
      <c r="AA2627" s="1" t="s">
        <v>41907</v>
      </c>
      <c r="AB2627" s="1" t="s">
        <v>41908</v>
      </c>
      <c r="AC2627" s="1" t="s">
        <v>41909</v>
      </c>
      <c r="AD2627" s="1" t="s">
        <v>41910</v>
      </c>
      <c r="AE2627" s="1" t="s">
        <v>7257</v>
      </c>
      <c r="AF2627" s="1" t="s">
        <v>74</v>
      </c>
      <c r="AG2627" s="1">
        <v>52</v>
      </c>
      <c r="AH2627" s="1">
        <v>5</v>
      </c>
      <c r="AI2627" s="1">
        <v>5</v>
      </c>
      <c r="AJ2627" s="1">
        <v>3</v>
      </c>
      <c r="AK2627" s="1">
        <v>19</v>
      </c>
      <c r="AL2627" s="1" t="s">
        <v>1566</v>
      </c>
      <c r="AM2627" s="1" t="s">
        <v>1567</v>
      </c>
      <c r="AN2627" s="1" t="s">
        <v>1568</v>
      </c>
      <c r="AO2627" s="1" t="s">
        <v>74</v>
      </c>
      <c r="AP2627" s="1" t="s">
        <v>7258</v>
      </c>
      <c r="AQ2627" s="1" t="s">
        <v>74</v>
      </c>
      <c r="AR2627" s="1" t="s">
        <v>7259</v>
      </c>
      <c r="AS2627" s="1" t="s">
        <v>7260</v>
      </c>
      <c r="AT2627" s="1" t="s">
        <v>170</v>
      </c>
      <c r="AU2627" s="1">
        <v>2022</v>
      </c>
      <c r="AV2627" s="1">
        <v>10</v>
      </c>
      <c r="AW2627" s="1">
        <v>5</v>
      </c>
      <c r="AX2627" s="1" t="s">
        <v>74</v>
      </c>
      <c r="AY2627" s="1" t="s">
        <v>74</v>
      </c>
      <c r="AZ2627" s="1" t="s">
        <v>74</v>
      </c>
      <c r="BA2627" s="1" t="s">
        <v>74</v>
      </c>
      <c r="BB2627" s="1" t="s">
        <v>74</v>
      </c>
      <c r="BC2627" s="1" t="s">
        <v>74</v>
      </c>
      <c r="BD2627" s="1">
        <v>707</v>
      </c>
      <c r="BE2627" s="1" t="s">
        <v>41911</v>
      </c>
      <c r="BF2627" s="1" t="str">
        <f>HYPERLINK("http://dx.doi.org/10.3390/jmse10050707","http://dx.doi.org/10.3390/jmse10050707")</f>
        <v>http://dx.doi.org/10.3390/jmse10050707</v>
      </c>
      <c r="BG2627" s="1" t="s">
        <v>74</v>
      </c>
      <c r="BH2627" s="1" t="s">
        <v>74</v>
      </c>
      <c r="BI2627" s="1">
        <v>13</v>
      </c>
      <c r="BJ2627" s="1" t="s">
        <v>7262</v>
      </c>
      <c r="BK2627" s="1" t="s">
        <v>96</v>
      </c>
      <c r="BL2627" s="1" t="s">
        <v>7263</v>
      </c>
      <c r="BM2627" s="1" t="s">
        <v>41912</v>
      </c>
      <c r="BN2627" s="1" t="s">
        <v>74</v>
      </c>
      <c r="BO2627" s="1" t="s">
        <v>873</v>
      </c>
      <c r="BP2627" s="1" t="s">
        <v>74</v>
      </c>
      <c r="BQ2627" s="1" t="s">
        <v>74</v>
      </c>
      <c r="BR2627" s="1" t="s">
        <v>98</v>
      </c>
      <c r="BS2627" s="1" t="s">
        <v>41913</v>
      </c>
      <c r="BT2627" s="1" t="str">
        <f>HYPERLINK("https%3A%2F%2Fwww.webofscience.com%2Fwos%2Fwoscc%2Ffull-record%2FWOS:000801785700001","View Full Record in Web of Science")</f>
        <v>View Full Record in Web of Science</v>
      </c>
      <c r="BU2627" s="1"/>
      <c r="BV2627" s="1"/>
    </row>
    <row r="2628" spans="1:74">
      <c r="A2628" s="1" t="s">
        <v>72</v>
      </c>
      <c r="B2628" s="1" t="s">
        <v>41799</v>
      </c>
      <c r="C2628" s="1" t="s">
        <v>74</v>
      </c>
      <c r="D2628" s="1" t="s">
        <v>74</v>
      </c>
      <c r="E2628" s="1" t="s">
        <v>74</v>
      </c>
      <c r="F2628" s="1" t="s">
        <v>41799</v>
      </c>
      <c r="G2628" s="1" t="s">
        <v>74</v>
      </c>
      <c r="H2628" s="1" t="s">
        <v>74</v>
      </c>
      <c r="I2628" s="1" t="s">
        <v>41914</v>
      </c>
      <c r="J2628" s="1" t="s">
        <v>2894</v>
      </c>
      <c r="K2628" s="1" t="s">
        <v>74</v>
      </c>
      <c r="L2628" s="1" t="s">
        <v>74</v>
      </c>
      <c r="M2628" s="1" t="s">
        <v>78</v>
      </c>
      <c r="N2628" s="1" t="s">
        <v>79</v>
      </c>
      <c r="O2628" s="1" t="s">
        <v>74</v>
      </c>
      <c r="P2628" s="1" t="s">
        <v>74</v>
      </c>
      <c r="Q2628" s="1" t="s">
        <v>74</v>
      </c>
      <c r="R2628" s="1" t="s">
        <v>74</v>
      </c>
      <c r="S2628" s="1" t="s">
        <v>74</v>
      </c>
      <c r="T2628" s="1" t="s">
        <v>41915</v>
      </c>
      <c r="U2628" s="1" t="s">
        <v>41916</v>
      </c>
      <c r="V2628" s="1" t="s">
        <v>41917</v>
      </c>
      <c r="W2628" s="1" t="s">
        <v>41918</v>
      </c>
      <c r="X2628" s="1" t="s">
        <v>4641</v>
      </c>
      <c r="Y2628" s="1" t="s">
        <v>74</v>
      </c>
      <c r="Z2628" s="1" t="s">
        <v>74</v>
      </c>
      <c r="AA2628" s="1" t="s">
        <v>41804</v>
      </c>
      <c r="AB2628" s="1" t="s">
        <v>26915</v>
      </c>
      <c r="AC2628" s="1" t="s">
        <v>74</v>
      </c>
      <c r="AD2628" s="1" t="s">
        <v>74</v>
      </c>
      <c r="AE2628" s="1" t="s">
        <v>74</v>
      </c>
      <c r="AF2628" s="1" t="s">
        <v>74</v>
      </c>
      <c r="AG2628" s="1">
        <v>45</v>
      </c>
      <c r="AH2628" s="1">
        <v>32</v>
      </c>
      <c r="AI2628" s="1">
        <v>34</v>
      </c>
      <c r="AJ2628" s="1">
        <v>1</v>
      </c>
      <c r="AK2628" s="1">
        <v>4</v>
      </c>
      <c r="AL2628" s="1" t="s">
        <v>2904</v>
      </c>
      <c r="AM2628" s="1" t="s">
        <v>2905</v>
      </c>
      <c r="AN2628" s="1" t="s">
        <v>2906</v>
      </c>
      <c r="AO2628" s="1" t="s">
        <v>2907</v>
      </c>
      <c r="AP2628" s="1" t="s">
        <v>74</v>
      </c>
      <c r="AQ2628" s="1" t="s">
        <v>74</v>
      </c>
      <c r="AR2628" s="1" t="s">
        <v>2908</v>
      </c>
      <c r="AS2628" s="1" t="s">
        <v>2909</v>
      </c>
      <c r="AT2628" s="1" t="s">
        <v>267</v>
      </c>
      <c r="AU2628" s="1">
        <v>1994</v>
      </c>
      <c r="AV2628" s="1">
        <v>113</v>
      </c>
      <c r="AW2628" s="1" t="s">
        <v>326</v>
      </c>
      <c r="AX2628" s="1" t="s">
        <v>74</v>
      </c>
      <c r="AY2628" s="1" t="s">
        <v>74</v>
      </c>
      <c r="AZ2628" s="1" t="s">
        <v>74</v>
      </c>
      <c r="BA2628" s="1" t="s">
        <v>74</v>
      </c>
      <c r="BB2628" s="1">
        <v>119</v>
      </c>
      <c r="BC2628" s="1">
        <v>130</v>
      </c>
      <c r="BD2628" s="1" t="s">
        <v>74</v>
      </c>
      <c r="BE2628" s="1" t="s">
        <v>41919</v>
      </c>
      <c r="BF2628" s="1" t="str">
        <f>HYPERLINK("http://dx.doi.org/10.3354/meps113119","http://dx.doi.org/10.3354/meps113119")</f>
        <v>http://dx.doi.org/10.3354/meps113119</v>
      </c>
      <c r="BG2628" s="1" t="s">
        <v>74</v>
      </c>
      <c r="BH2628" s="1" t="s">
        <v>74</v>
      </c>
      <c r="BI2628" s="1">
        <v>12</v>
      </c>
      <c r="BJ2628" s="1" t="s">
        <v>2911</v>
      </c>
      <c r="BK2628" s="1" t="s">
        <v>96</v>
      </c>
      <c r="BL2628" s="1" t="s">
        <v>2912</v>
      </c>
      <c r="BM2628" s="1" t="s">
        <v>5408</v>
      </c>
      <c r="BN2628" s="1" t="s">
        <v>74</v>
      </c>
      <c r="BO2628" s="1" t="s">
        <v>370</v>
      </c>
      <c r="BP2628" s="1" t="s">
        <v>74</v>
      </c>
      <c r="BQ2628" s="1" t="s">
        <v>74</v>
      </c>
      <c r="BR2628" s="1" t="s">
        <v>98</v>
      </c>
      <c r="BS2628" s="1" t="s">
        <v>41920</v>
      </c>
      <c r="BT2628" s="1" t="str">
        <f>HYPERLINK("https%3A%2F%2Fwww.webofscience.com%2Fwos%2Fwoscc%2Ffull-record%2FWOS:A1994PP38900010","View Full Record in Web of Science")</f>
        <v>View Full Record in Web of Science</v>
      </c>
      <c r="BU2628" s="1"/>
      <c r="BV2628" s="1"/>
    </row>
    <row r="2629" spans="1:74">
      <c r="A2629" s="1" t="s">
        <v>72</v>
      </c>
      <c r="B2629" s="1" t="s">
        <v>41921</v>
      </c>
      <c r="C2629" s="1" t="s">
        <v>74</v>
      </c>
      <c r="D2629" s="1" t="s">
        <v>74</v>
      </c>
      <c r="E2629" s="1" t="s">
        <v>74</v>
      </c>
      <c r="F2629" s="1" t="s">
        <v>41922</v>
      </c>
      <c r="G2629" s="1" t="s">
        <v>74</v>
      </c>
      <c r="H2629" s="1" t="s">
        <v>74</v>
      </c>
      <c r="I2629" s="1" t="s">
        <v>41923</v>
      </c>
      <c r="J2629" s="1" t="s">
        <v>909</v>
      </c>
      <c r="K2629" s="1" t="s">
        <v>74</v>
      </c>
      <c r="L2629" s="1" t="s">
        <v>74</v>
      </c>
      <c r="M2629" s="1" t="s">
        <v>78</v>
      </c>
      <c r="N2629" s="1" t="s">
        <v>79</v>
      </c>
      <c r="O2629" s="1" t="s">
        <v>74</v>
      </c>
      <c r="P2629" s="1" t="s">
        <v>74</v>
      </c>
      <c r="Q2629" s="1" t="s">
        <v>74</v>
      </c>
      <c r="R2629" s="1" t="s">
        <v>74</v>
      </c>
      <c r="S2629" s="1" t="s">
        <v>74</v>
      </c>
      <c r="T2629" s="1" t="s">
        <v>41924</v>
      </c>
      <c r="U2629" s="1" t="s">
        <v>41925</v>
      </c>
      <c r="V2629" s="1" t="s">
        <v>41926</v>
      </c>
      <c r="W2629" s="1" t="s">
        <v>41927</v>
      </c>
      <c r="X2629" s="1" t="s">
        <v>41928</v>
      </c>
      <c r="Y2629" s="1" t="s">
        <v>41929</v>
      </c>
      <c r="Z2629" s="1" t="s">
        <v>41930</v>
      </c>
      <c r="AA2629" s="1" t="s">
        <v>74</v>
      </c>
      <c r="AB2629" s="1" t="s">
        <v>41931</v>
      </c>
      <c r="AC2629" s="1" t="s">
        <v>41932</v>
      </c>
      <c r="AD2629" s="1" t="s">
        <v>41933</v>
      </c>
      <c r="AE2629" s="1" t="s">
        <v>41934</v>
      </c>
      <c r="AF2629" s="1" t="s">
        <v>74</v>
      </c>
      <c r="AG2629" s="1">
        <v>61</v>
      </c>
      <c r="AH2629" s="1">
        <v>5</v>
      </c>
      <c r="AI2629" s="1">
        <v>5</v>
      </c>
      <c r="AJ2629" s="1">
        <v>1</v>
      </c>
      <c r="AK2629" s="1">
        <v>58</v>
      </c>
      <c r="AL2629" s="1" t="s">
        <v>919</v>
      </c>
      <c r="AM2629" s="1" t="s">
        <v>651</v>
      </c>
      <c r="AN2629" s="1" t="s">
        <v>920</v>
      </c>
      <c r="AO2629" s="1" t="s">
        <v>921</v>
      </c>
      <c r="AP2629" s="1" t="s">
        <v>922</v>
      </c>
      <c r="AQ2629" s="1" t="s">
        <v>74</v>
      </c>
      <c r="AR2629" s="1" t="s">
        <v>923</v>
      </c>
      <c r="AS2629" s="1" t="s">
        <v>924</v>
      </c>
      <c r="AT2629" s="1" t="s">
        <v>11873</v>
      </c>
      <c r="AU2629" s="1">
        <v>2019</v>
      </c>
      <c r="AV2629" s="1">
        <v>646</v>
      </c>
      <c r="AW2629" s="1" t="s">
        <v>74</v>
      </c>
      <c r="AX2629" s="1" t="s">
        <v>74</v>
      </c>
      <c r="AY2629" s="1" t="s">
        <v>74</v>
      </c>
      <c r="AZ2629" s="1" t="s">
        <v>74</v>
      </c>
      <c r="BA2629" s="1" t="s">
        <v>74</v>
      </c>
      <c r="BB2629" s="1">
        <v>757</v>
      </c>
      <c r="BC2629" s="1">
        <v>769</v>
      </c>
      <c r="BD2629" s="1" t="s">
        <v>74</v>
      </c>
      <c r="BE2629" s="1" t="s">
        <v>41935</v>
      </c>
      <c r="BF2629" s="1" t="str">
        <f>HYPERLINK("http://dx.doi.org/10.1016/j.scitotenv.2018.07.174","http://dx.doi.org/10.1016/j.scitotenv.2018.07.174")</f>
        <v>http://dx.doi.org/10.1016/j.scitotenv.2018.07.174</v>
      </c>
      <c r="BG2629" s="1" t="s">
        <v>74</v>
      </c>
      <c r="BH2629" s="1" t="s">
        <v>74</v>
      </c>
      <c r="BI2629" s="1">
        <v>13</v>
      </c>
      <c r="BJ2629" s="1" t="s">
        <v>144</v>
      </c>
      <c r="BK2629" s="1" t="s">
        <v>96</v>
      </c>
      <c r="BL2629" s="1" t="s">
        <v>145</v>
      </c>
      <c r="BM2629" s="1" t="s">
        <v>41936</v>
      </c>
      <c r="BN2629" s="1">
        <v>30064102</v>
      </c>
      <c r="BO2629" s="1" t="s">
        <v>74</v>
      </c>
      <c r="BP2629" s="1" t="s">
        <v>74</v>
      </c>
      <c r="BQ2629" s="1" t="s">
        <v>74</v>
      </c>
      <c r="BR2629" s="1" t="s">
        <v>98</v>
      </c>
      <c r="BS2629" s="1" t="s">
        <v>41937</v>
      </c>
      <c r="BT2629" s="1" t="str">
        <f>HYPERLINK("https%3A%2F%2Fwww.webofscience.com%2Fwos%2Fwoscc%2Ffull-record%2FWOS:000445164800073","View Full Record in Web of Science")</f>
        <v>View Full Record in Web of Science</v>
      </c>
      <c r="BU2629" s="1"/>
      <c r="BV2629" s="1"/>
    </row>
    <row r="2630" spans="1:74">
      <c r="A2630" s="1" t="s">
        <v>72</v>
      </c>
      <c r="B2630" s="1" t="s">
        <v>41938</v>
      </c>
      <c r="C2630" s="1" t="s">
        <v>74</v>
      </c>
      <c r="D2630" s="1" t="s">
        <v>74</v>
      </c>
      <c r="E2630" s="1" t="s">
        <v>74</v>
      </c>
      <c r="F2630" s="1" t="s">
        <v>41938</v>
      </c>
      <c r="G2630" s="1" t="s">
        <v>74</v>
      </c>
      <c r="H2630" s="1" t="s">
        <v>74</v>
      </c>
      <c r="I2630" s="1" t="s">
        <v>41939</v>
      </c>
      <c r="J2630" s="1" t="s">
        <v>1426</v>
      </c>
      <c r="K2630" s="1" t="s">
        <v>74</v>
      </c>
      <c r="L2630" s="1" t="s">
        <v>74</v>
      </c>
      <c r="M2630" s="1" t="s">
        <v>78</v>
      </c>
      <c r="N2630" s="1" t="s">
        <v>79</v>
      </c>
      <c r="O2630" s="1" t="s">
        <v>74</v>
      </c>
      <c r="P2630" s="1" t="s">
        <v>74</v>
      </c>
      <c r="Q2630" s="1" t="s">
        <v>74</v>
      </c>
      <c r="R2630" s="1" t="s">
        <v>74</v>
      </c>
      <c r="S2630" s="1" t="s">
        <v>74</v>
      </c>
      <c r="T2630" s="1" t="s">
        <v>74</v>
      </c>
      <c r="U2630" s="1" t="s">
        <v>74</v>
      </c>
      <c r="V2630" s="1" t="s">
        <v>41940</v>
      </c>
      <c r="W2630" s="1" t="s">
        <v>41941</v>
      </c>
      <c r="X2630" s="1" t="s">
        <v>41942</v>
      </c>
      <c r="Y2630" s="1" t="s">
        <v>41943</v>
      </c>
      <c r="Z2630" s="1" t="s">
        <v>74</v>
      </c>
      <c r="AA2630" s="1" t="s">
        <v>74</v>
      </c>
      <c r="AB2630" s="1" t="s">
        <v>74</v>
      </c>
      <c r="AC2630" s="1" t="s">
        <v>74</v>
      </c>
      <c r="AD2630" s="1" t="s">
        <v>74</v>
      </c>
      <c r="AE2630" s="1" t="s">
        <v>74</v>
      </c>
      <c r="AF2630" s="1" t="s">
        <v>74</v>
      </c>
      <c r="AG2630" s="1">
        <v>11</v>
      </c>
      <c r="AH2630" s="1">
        <v>14</v>
      </c>
      <c r="AI2630" s="1">
        <v>15</v>
      </c>
      <c r="AJ2630" s="1">
        <v>0</v>
      </c>
      <c r="AK2630" s="1">
        <v>2</v>
      </c>
      <c r="AL2630" s="1" t="s">
        <v>1433</v>
      </c>
      <c r="AM2630" s="1" t="s">
        <v>1434</v>
      </c>
      <c r="AN2630" s="1" t="s">
        <v>1435</v>
      </c>
      <c r="AO2630" s="1" t="s">
        <v>1436</v>
      </c>
      <c r="AP2630" s="1" t="s">
        <v>74</v>
      </c>
      <c r="AQ2630" s="1" t="s">
        <v>74</v>
      </c>
      <c r="AR2630" s="1" t="s">
        <v>1437</v>
      </c>
      <c r="AS2630" s="1" t="s">
        <v>1438</v>
      </c>
      <c r="AT2630" s="1" t="s">
        <v>4872</v>
      </c>
      <c r="AU2630" s="1">
        <v>1998</v>
      </c>
      <c r="AV2630" s="1">
        <v>27</v>
      </c>
      <c r="AW2630" s="1" t="s">
        <v>1070</v>
      </c>
      <c r="AX2630" s="1" t="s">
        <v>74</v>
      </c>
      <c r="AY2630" s="1" t="s">
        <v>74</v>
      </c>
      <c r="AZ2630" s="1" t="s">
        <v>74</v>
      </c>
      <c r="BA2630" s="1" t="s">
        <v>74</v>
      </c>
      <c r="BB2630" s="1">
        <v>496</v>
      </c>
      <c r="BC2630" s="1">
        <v>498</v>
      </c>
      <c r="BD2630" s="1" t="s">
        <v>74</v>
      </c>
      <c r="BE2630" s="1" t="s">
        <v>74</v>
      </c>
      <c r="BF2630" s="1" t="s">
        <v>74</v>
      </c>
      <c r="BG2630" s="1" t="s">
        <v>74</v>
      </c>
      <c r="BH2630" s="1" t="s">
        <v>74</v>
      </c>
      <c r="BI2630" s="1">
        <v>3</v>
      </c>
      <c r="BJ2630" s="1" t="s">
        <v>1439</v>
      </c>
      <c r="BK2630" s="1" t="s">
        <v>96</v>
      </c>
      <c r="BL2630" s="1" t="s">
        <v>1439</v>
      </c>
      <c r="BM2630" s="1" t="s">
        <v>4873</v>
      </c>
      <c r="BN2630" s="1" t="s">
        <v>74</v>
      </c>
      <c r="BO2630" s="1" t="s">
        <v>74</v>
      </c>
      <c r="BP2630" s="1" t="s">
        <v>74</v>
      </c>
      <c r="BQ2630" s="1" t="s">
        <v>74</v>
      </c>
      <c r="BR2630" s="1" t="s">
        <v>98</v>
      </c>
      <c r="BS2630" s="1" t="s">
        <v>41944</v>
      </c>
      <c r="BT2630" s="1" t="str">
        <f>HYPERLINK("https%3A%2F%2Fwww.webofscience.com%2Fwos%2Fwoscc%2Ffull-record%2FWOS:000079132500044","View Full Record in Web of Science")</f>
        <v>View Full Record in Web of Science</v>
      </c>
      <c r="BU2630" s="1"/>
      <c r="BV2630" s="1"/>
    </row>
    <row r="2631" spans="1:74">
      <c r="A2631" s="1" t="s">
        <v>72</v>
      </c>
      <c r="B2631" s="1" t="s">
        <v>41945</v>
      </c>
      <c r="C2631" s="1" t="s">
        <v>74</v>
      </c>
      <c r="D2631" s="1" t="s">
        <v>74</v>
      </c>
      <c r="E2631" s="1" t="s">
        <v>74</v>
      </c>
      <c r="F2631" s="1" t="s">
        <v>41946</v>
      </c>
      <c r="G2631" s="1" t="s">
        <v>74</v>
      </c>
      <c r="H2631" s="1" t="s">
        <v>74</v>
      </c>
      <c r="I2631" s="1" t="s">
        <v>41947</v>
      </c>
      <c r="J2631" s="1" t="s">
        <v>232</v>
      </c>
      <c r="K2631" s="1" t="s">
        <v>74</v>
      </c>
      <c r="L2631" s="1" t="s">
        <v>74</v>
      </c>
      <c r="M2631" s="1" t="s">
        <v>78</v>
      </c>
      <c r="N2631" s="1" t="s">
        <v>79</v>
      </c>
      <c r="O2631" s="1" t="s">
        <v>74</v>
      </c>
      <c r="P2631" s="1" t="s">
        <v>74</v>
      </c>
      <c r="Q2631" s="1" t="s">
        <v>74</v>
      </c>
      <c r="R2631" s="1" t="s">
        <v>74</v>
      </c>
      <c r="S2631" s="1" t="s">
        <v>74</v>
      </c>
      <c r="T2631" s="1" t="s">
        <v>41948</v>
      </c>
      <c r="U2631" s="1" t="s">
        <v>41949</v>
      </c>
      <c r="V2631" s="1" t="s">
        <v>41950</v>
      </c>
      <c r="W2631" s="1" t="s">
        <v>41951</v>
      </c>
      <c r="X2631" s="1" t="s">
        <v>41952</v>
      </c>
      <c r="Y2631" s="1" t="s">
        <v>34067</v>
      </c>
      <c r="Z2631" s="1" t="s">
        <v>34068</v>
      </c>
      <c r="AA2631" s="1" t="s">
        <v>41953</v>
      </c>
      <c r="AB2631" s="1" t="s">
        <v>74</v>
      </c>
      <c r="AC2631" s="1" t="s">
        <v>41954</v>
      </c>
      <c r="AD2631" s="1" t="s">
        <v>41955</v>
      </c>
      <c r="AE2631" s="1" t="s">
        <v>41956</v>
      </c>
      <c r="AF2631" s="1" t="s">
        <v>74</v>
      </c>
      <c r="AG2631" s="1">
        <v>84</v>
      </c>
      <c r="AH2631" s="1">
        <v>0</v>
      </c>
      <c r="AI2631" s="1">
        <v>0</v>
      </c>
      <c r="AJ2631" s="1">
        <v>0</v>
      </c>
      <c r="AK2631" s="1">
        <v>0</v>
      </c>
      <c r="AL2631" s="1" t="s">
        <v>136</v>
      </c>
      <c r="AM2631" s="1" t="s">
        <v>137</v>
      </c>
      <c r="AN2631" s="1" t="s">
        <v>138</v>
      </c>
      <c r="AO2631" s="1" t="s">
        <v>240</v>
      </c>
      <c r="AP2631" s="1" t="s">
        <v>241</v>
      </c>
      <c r="AQ2631" s="1" t="s">
        <v>74</v>
      </c>
      <c r="AR2631" s="1" t="s">
        <v>242</v>
      </c>
      <c r="AS2631" s="1" t="s">
        <v>243</v>
      </c>
      <c r="AT2631" s="1" t="s">
        <v>267</v>
      </c>
      <c r="AU2631" s="1">
        <v>2024</v>
      </c>
      <c r="AV2631" s="1">
        <v>207</v>
      </c>
      <c r="AW2631" s="1" t="s">
        <v>74</v>
      </c>
      <c r="AX2631" s="1" t="s">
        <v>74</v>
      </c>
      <c r="AY2631" s="1" t="s">
        <v>74</v>
      </c>
      <c r="AZ2631" s="1" t="s">
        <v>74</v>
      </c>
      <c r="BA2631" s="1" t="s">
        <v>74</v>
      </c>
      <c r="BB2631" s="1" t="s">
        <v>74</v>
      </c>
      <c r="BC2631" s="1" t="s">
        <v>74</v>
      </c>
      <c r="BD2631" s="1">
        <v>116859</v>
      </c>
      <c r="BE2631" s="1" t="s">
        <v>41957</v>
      </c>
      <c r="BF2631" s="1" t="str">
        <f>HYPERLINK("http://dx.doi.org/10.1016/j.marpolbul.2024.116859","http://dx.doi.org/10.1016/j.marpolbul.2024.116859")</f>
        <v>http://dx.doi.org/10.1016/j.marpolbul.2024.116859</v>
      </c>
      <c r="BG2631" s="1" t="s">
        <v>74</v>
      </c>
      <c r="BH2631" s="1" t="s">
        <v>10999</v>
      </c>
      <c r="BI2631" s="1">
        <v>12</v>
      </c>
      <c r="BJ2631" s="1" t="s">
        <v>247</v>
      </c>
      <c r="BK2631" s="1" t="s">
        <v>96</v>
      </c>
      <c r="BL2631" s="1" t="s">
        <v>248</v>
      </c>
      <c r="BM2631" s="1" t="s">
        <v>41958</v>
      </c>
      <c r="BN2631" s="1">
        <v>39154575</v>
      </c>
      <c r="BO2631" s="1" t="s">
        <v>74</v>
      </c>
      <c r="BP2631" s="1" t="s">
        <v>74</v>
      </c>
      <c r="BQ2631" s="1" t="s">
        <v>74</v>
      </c>
      <c r="BR2631" s="1" t="s">
        <v>98</v>
      </c>
      <c r="BS2631" s="1" t="s">
        <v>41959</v>
      </c>
      <c r="BT2631" s="1" t="str">
        <f>HYPERLINK("https%3A%2F%2Fwww.webofscience.com%2Fwos%2Fwoscc%2Ffull-record%2FWOS:001298655900001","View Full Record in Web of Science")</f>
        <v>View Full Record in Web of Science</v>
      </c>
      <c r="BU2631" s="1"/>
      <c r="BV2631" s="1"/>
    </row>
    <row r="2632" spans="1:74">
      <c r="A2632" s="1" t="s">
        <v>72</v>
      </c>
      <c r="B2632" s="1" t="s">
        <v>41960</v>
      </c>
      <c r="C2632" s="1" t="s">
        <v>74</v>
      </c>
      <c r="D2632" s="1" t="s">
        <v>74</v>
      </c>
      <c r="E2632" s="1" t="s">
        <v>74</v>
      </c>
      <c r="F2632" s="1" t="s">
        <v>41961</v>
      </c>
      <c r="G2632" s="1" t="s">
        <v>74</v>
      </c>
      <c r="H2632" s="1" t="s">
        <v>74</v>
      </c>
      <c r="I2632" s="1" t="s">
        <v>41962</v>
      </c>
      <c r="J2632" s="1" t="s">
        <v>909</v>
      </c>
      <c r="K2632" s="1" t="s">
        <v>74</v>
      </c>
      <c r="L2632" s="1" t="s">
        <v>74</v>
      </c>
      <c r="M2632" s="1" t="s">
        <v>78</v>
      </c>
      <c r="N2632" s="1" t="s">
        <v>79</v>
      </c>
      <c r="O2632" s="1" t="s">
        <v>74</v>
      </c>
      <c r="P2632" s="1" t="s">
        <v>74</v>
      </c>
      <c r="Q2632" s="1" t="s">
        <v>74</v>
      </c>
      <c r="R2632" s="1" t="s">
        <v>74</v>
      </c>
      <c r="S2632" s="1" t="s">
        <v>74</v>
      </c>
      <c r="T2632" s="1" t="s">
        <v>41963</v>
      </c>
      <c r="U2632" s="1" t="s">
        <v>41964</v>
      </c>
      <c r="V2632" s="1" t="s">
        <v>41965</v>
      </c>
      <c r="W2632" s="1" t="s">
        <v>41966</v>
      </c>
      <c r="X2632" s="1" t="s">
        <v>18677</v>
      </c>
      <c r="Y2632" s="1" t="s">
        <v>38132</v>
      </c>
      <c r="Z2632" s="1" t="s">
        <v>32475</v>
      </c>
      <c r="AA2632" s="1" t="s">
        <v>41967</v>
      </c>
      <c r="AB2632" s="1" t="s">
        <v>41968</v>
      </c>
      <c r="AC2632" s="1" t="s">
        <v>41969</v>
      </c>
      <c r="AD2632" s="1" t="s">
        <v>41970</v>
      </c>
      <c r="AE2632" s="1" t="s">
        <v>41971</v>
      </c>
      <c r="AF2632" s="1" t="s">
        <v>74</v>
      </c>
      <c r="AG2632" s="1">
        <v>36</v>
      </c>
      <c r="AH2632" s="1">
        <v>37</v>
      </c>
      <c r="AI2632" s="1">
        <v>41</v>
      </c>
      <c r="AJ2632" s="1">
        <v>3</v>
      </c>
      <c r="AK2632" s="1">
        <v>32</v>
      </c>
      <c r="AL2632" s="1" t="s">
        <v>650</v>
      </c>
      <c r="AM2632" s="1" t="s">
        <v>651</v>
      </c>
      <c r="AN2632" s="1" t="s">
        <v>652</v>
      </c>
      <c r="AO2632" s="1" t="s">
        <v>921</v>
      </c>
      <c r="AP2632" s="1" t="s">
        <v>922</v>
      </c>
      <c r="AQ2632" s="1" t="s">
        <v>74</v>
      </c>
      <c r="AR2632" s="1" t="s">
        <v>923</v>
      </c>
      <c r="AS2632" s="1" t="s">
        <v>924</v>
      </c>
      <c r="AT2632" s="1" t="s">
        <v>16894</v>
      </c>
      <c r="AU2632" s="1">
        <v>2009</v>
      </c>
      <c r="AV2632" s="1">
        <v>407</v>
      </c>
      <c r="AW2632" s="1">
        <v>14</v>
      </c>
      <c r="AX2632" s="1" t="s">
        <v>74</v>
      </c>
      <c r="AY2632" s="1" t="s">
        <v>74</v>
      </c>
      <c r="AZ2632" s="1" t="s">
        <v>74</v>
      </c>
      <c r="BA2632" s="1" t="s">
        <v>74</v>
      </c>
      <c r="BB2632" s="1">
        <v>4327</v>
      </c>
      <c r="BC2632" s="1">
        <v>4332</v>
      </c>
      <c r="BD2632" s="1" t="s">
        <v>74</v>
      </c>
      <c r="BE2632" s="1" t="s">
        <v>41972</v>
      </c>
      <c r="BF2632" s="1" t="str">
        <f>HYPERLINK("http://dx.doi.org/10.1016/j.scitotenv.2009.03.033","http://dx.doi.org/10.1016/j.scitotenv.2009.03.033")</f>
        <v>http://dx.doi.org/10.1016/j.scitotenv.2009.03.033</v>
      </c>
      <c r="BG2632" s="1" t="s">
        <v>74</v>
      </c>
      <c r="BH2632" s="1" t="s">
        <v>74</v>
      </c>
      <c r="BI2632" s="1">
        <v>6</v>
      </c>
      <c r="BJ2632" s="1" t="s">
        <v>144</v>
      </c>
      <c r="BK2632" s="1" t="s">
        <v>96</v>
      </c>
      <c r="BL2632" s="1" t="s">
        <v>145</v>
      </c>
      <c r="BM2632" s="1" t="s">
        <v>41973</v>
      </c>
      <c r="BN2632" s="1">
        <v>19406454</v>
      </c>
      <c r="BO2632" s="1" t="s">
        <v>74</v>
      </c>
      <c r="BP2632" s="1" t="s">
        <v>74</v>
      </c>
      <c r="BQ2632" s="1" t="s">
        <v>74</v>
      </c>
      <c r="BR2632" s="1" t="s">
        <v>98</v>
      </c>
      <c r="BS2632" s="1" t="s">
        <v>41974</v>
      </c>
      <c r="BT2632" s="1" t="str">
        <f>HYPERLINK("https%3A%2F%2Fwww.webofscience.com%2Fwos%2Fwoscc%2Ffull-record%2FWOS:000267199900018","View Full Record in Web of Science")</f>
        <v>View Full Record in Web of Science</v>
      </c>
      <c r="BU2632" s="1"/>
      <c r="BV2632" s="1"/>
    </row>
    <row r="2633" spans="1:74">
      <c r="A2633" s="1" t="s">
        <v>72</v>
      </c>
      <c r="B2633" s="1" t="s">
        <v>28318</v>
      </c>
      <c r="C2633" s="1" t="s">
        <v>74</v>
      </c>
      <c r="D2633" s="1" t="s">
        <v>74</v>
      </c>
      <c r="E2633" s="1" t="s">
        <v>74</v>
      </c>
      <c r="F2633" s="1" t="s">
        <v>28319</v>
      </c>
      <c r="G2633" s="1" t="s">
        <v>74</v>
      </c>
      <c r="H2633" s="1" t="s">
        <v>74</v>
      </c>
      <c r="I2633" s="1" t="s">
        <v>41975</v>
      </c>
      <c r="J2633" s="1" t="s">
        <v>421</v>
      </c>
      <c r="K2633" s="1" t="s">
        <v>74</v>
      </c>
      <c r="L2633" s="1" t="s">
        <v>74</v>
      </c>
      <c r="M2633" s="1" t="s">
        <v>78</v>
      </c>
      <c r="N2633" s="1" t="s">
        <v>79</v>
      </c>
      <c r="O2633" s="1" t="s">
        <v>74</v>
      </c>
      <c r="P2633" s="1" t="s">
        <v>74</v>
      </c>
      <c r="Q2633" s="1" t="s">
        <v>74</v>
      </c>
      <c r="R2633" s="1" t="s">
        <v>74</v>
      </c>
      <c r="S2633" s="1" t="s">
        <v>74</v>
      </c>
      <c r="T2633" s="1" t="s">
        <v>41976</v>
      </c>
      <c r="U2633" s="1" t="s">
        <v>41977</v>
      </c>
      <c r="V2633" s="1" t="s">
        <v>41978</v>
      </c>
      <c r="W2633" s="1" t="s">
        <v>41979</v>
      </c>
      <c r="X2633" s="1" t="s">
        <v>20893</v>
      </c>
      <c r="Y2633" s="1" t="s">
        <v>41980</v>
      </c>
      <c r="Z2633" s="1" t="s">
        <v>1483</v>
      </c>
      <c r="AA2633" s="1" t="s">
        <v>2900</v>
      </c>
      <c r="AB2633" s="1" t="s">
        <v>28327</v>
      </c>
      <c r="AC2633" s="1" t="s">
        <v>33220</v>
      </c>
      <c r="AD2633" s="1" t="s">
        <v>8547</v>
      </c>
      <c r="AE2633" s="1" t="s">
        <v>33221</v>
      </c>
      <c r="AF2633" s="1" t="s">
        <v>74</v>
      </c>
      <c r="AG2633" s="1">
        <v>70</v>
      </c>
      <c r="AH2633" s="1">
        <v>19</v>
      </c>
      <c r="AI2633" s="1">
        <v>21</v>
      </c>
      <c r="AJ2633" s="1">
        <v>0</v>
      </c>
      <c r="AK2633" s="1">
        <v>31</v>
      </c>
      <c r="AL2633" s="1" t="s">
        <v>430</v>
      </c>
      <c r="AM2633" s="1" t="s">
        <v>137</v>
      </c>
      <c r="AN2633" s="1" t="s">
        <v>431</v>
      </c>
      <c r="AO2633" s="1" t="s">
        <v>432</v>
      </c>
      <c r="AP2633" s="1" t="s">
        <v>1394</v>
      </c>
      <c r="AQ2633" s="1" t="s">
        <v>74</v>
      </c>
      <c r="AR2633" s="1" t="s">
        <v>433</v>
      </c>
      <c r="AS2633" s="1" t="s">
        <v>434</v>
      </c>
      <c r="AT2633" s="1" t="s">
        <v>951</v>
      </c>
      <c r="AU2633" s="1">
        <v>2018</v>
      </c>
      <c r="AV2633" s="1">
        <v>242</v>
      </c>
      <c r="AW2633" s="1" t="s">
        <v>74</v>
      </c>
      <c r="AX2633" s="1" t="s">
        <v>13570</v>
      </c>
      <c r="AY2633" s="1" t="s">
        <v>74</v>
      </c>
      <c r="AZ2633" s="1" t="s">
        <v>74</v>
      </c>
      <c r="BA2633" s="1" t="s">
        <v>74</v>
      </c>
      <c r="BB2633" s="1">
        <v>1253</v>
      </c>
      <c r="BC2633" s="1">
        <v>1265</v>
      </c>
      <c r="BD2633" s="1" t="s">
        <v>74</v>
      </c>
      <c r="BE2633" s="1" t="s">
        <v>41981</v>
      </c>
      <c r="BF2633" s="1" t="str">
        <f>HYPERLINK("http://dx.doi.org/10.1016/j.envpol.2018.08.013","http://dx.doi.org/10.1016/j.envpol.2018.08.013")</f>
        <v>http://dx.doi.org/10.1016/j.envpol.2018.08.013</v>
      </c>
      <c r="BG2633" s="1" t="s">
        <v>74</v>
      </c>
      <c r="BH2633" s="1" t="s">
        <v>74</v>
      </c>
      <c r="BI2633" s="1">
        <v>13</v>
      </c>
      <c r="BJ2633" s="1" t="s">
        <v>144</v>
      </c>
      <c r="BK2633" s="1" t="s">
        <v>96</v>
      </c>
      <c r="BL2633" s="1" t="s">
        <v>145</v>
      </c>
      <c r="BM2633" s="1" t="s">
        <v>17323</v>
      </c>
      <c r="BN2633" s="1">
        <v>30118913</v>
      </c>
      <c r="BO2633" s="1" t="s">
        <v>74</v>
      </c>
      <c r="BP2633" s="1" t="s">
        <v>74</v>
      </c>
      <c r="BQ2633" s="1" t="s">
        <v>74</v>
      </c>
      <c r="BR2633" s="1" t="s">
        <v>98</v>
      </c>
      <c r="BS2633" s="1" t="s">
        <v>41982</v>
      </c>
      <c r="BT2633" s="1" t="str">
        <f>HYPERLINK("https%3A%2F%2Fwww.webofscience.com%2Fwos%2Fwoscc%2Ffull-record%2FWOS:000446282600024","View Full Record in Web of Science")</f>
        <v>View Full Record in Web of Science</v>
      </c>
      <c r="BU2633" s="1"/>
      <c r="BV2633" s="1"/>
    </row>
    <row r="2634" spans="1:74">
      <c r="A2634" s="1" t="s">
        <v>72</v>
      </c>
      <c r="B2634" s="1" t="s">
        <v>41983</v>
      </c>
      <c r="C2634" s="1" t="s">
        <v>74</v>
      </c>
      <c r="D2634" s="1" t="s">
        <v>74</v>
      </c>
      <c r="E2634" s="1" t="s">
        <v>74</v>
      </c>
      <c r="F2634" s="1" t="s">
        <v>41984</v>
      </c>
      <c r="G2634" s="1" t="s">
        <v>74</v>
      </c>
      <c r="H2634" s="1" t="s">
        <v>74</v>
      </c>
      <c r="I2634" s="1" t="s">
        <v>41985</v>
      </c>
      <c r="J2634" s="1" t="s">
        <v>16746</v>
      </c>
      <c r="K2634" s="1" t="s">
        <v>74</v>
      </c>
      <c r="L2634" s="1" t="s">
        <v>74</v>
      </c>
      <c r="M2634" s="1" t="s">
        <v>78</v>
      </c>
      <c r="N2634" s="1" t="s">
        <v>79</v>
      </c>
      <c r="O2634" s="1" t="s">
        <v>74</v>
      </c>
      <c r="P2634" s="1" t="s">
        <v>74</v>
      </c>
      <c r="Q2634" s="1" t="s">
        <v>74</v>
      </c>
      <c r="R2634" s="1" t="s">
        <v>74</v>
      </c>
      <c r="S2634" s="1" t="s">
        <v>74</v>
      </c>
      <c r="T2634" s="1" t="s">
        <v>41986</v>
      </c>
      <c r="U2634" s="1" t="s">
        <v>41987</v>
      </c>
      <c r="V2634" s="1" t="s">
        <v>41988</v>
      </c>
      <c r="W2634" s="1" t="s">
        <v>41989</v>
      </c>
      <c r="X2634" s="1" t="s">
        <v>41990</v>
      </c>
      <c r="Y2634" s="1" t="s">
        <v>41991</v>
      </c>
      <c r="Z2634" s="1" t="s">
        <v>41992</v>
      </c>
      <c r="AA2634" s="1" t="s">
        <v>41993</v>
      </c>
      <c r="AB2634" s="1" t="s">
        <v>41994</v>
      </c>
      <c r="AC2634" s="1" t="s">
        <v>74</v>
      </c>
      <c r="AD2634" s="1" t="s">
        <v>74</v>
      </c>
      <c r="AE2634" s="1" t="s">
        <v>74</v>
      </c>
      <c r="AF2634" s="1" t="s">
        <v>74</v>
      </c>
      <c r="AG2634" s="1">
        <v>20</v>
      </c>
      <c r="AH2634" s="1">
        <v>1</v>
      </c>
      <c r="AI2634" s="1">
        <v>1</v>
      </c>
      <c r="AJ2634" s="1">
        <v>0</v>
      </c>
      <c r="AK2634" s="1">
        <v>6</v>
      </c>
      <c r="AL2634" s="1" t="s">
        <v>16746</v>
      </c>
      <c r="AM2634" s="1" t="s">
        <v>16754</v>
      </c>
      <c r="AN2634" s="1" t="s">
        <v>16755</v>
      </c>
      <c r="AO2634" s="1" t="s">
        <v>16756</v>
      </c>
      <c r="AP2634" s="1" t="s">
        <v>16757</v>
      </c>
      <c r="AQ2634" s="1" t="s">
        <v>74</v>
      </c>
      <c r="AR2634" s="1" t="s">
        <v>16758</v>
      </c>
      <c r="AS2634" s="1" t="s">
        <v>16759</v>
      </c>
      <c r="AT2634" s="1" t="s">
        <v>74</v>
      </c>
      <c r="AU2634" s="1">
        <v>2020</v>
      </c>
      <c r="AV2634" s="1">
        <v>61</v>
      </c>
      <c r="AW2634" s="1">
        <v>4</v>
      </c>
      <c r="AX2634" s="1" t="s">
        <v>74</v>
      </c>
      <c r="AY2634" s="1" t="s">
        <v>74</v>
      </c>
      <c r="AZ2634" s="1" t="s">
        <v>74</v>
      </c>
      <c r="BA2634" s="1" t="s">
        <v>74</v>
      </c>
      <c r="BB2634" s="1">
        <v>387</v>
      </c>
      <c r="BC2634" s="1">
        <v>393</v>
      </c>
      <c r="BD2634" s="1" t="s">
        <v>74</v>
      </c>
      <c r="BE2634" s="1" t="s">
        <v>41995</v>
      </c>
      <c r="BF2634" s="1" t="str">
        <f>HYPERLINK("http://dx.doi.org/10.21411/CBM.A.7128F729","http://dx.doi.org/10.21411/CBM.A.7128F729")</f>
        <v>http://dx.doi.org/10.21411/CBM.A.7128F729</v>
      </c>
      <c r="BG2634" s="1" t="s">
        <v>74</v>
      </c>
      <c r="BH2634" s="1" t="s">
        <v>74</v>
      </c>
      <c r="BI2634" s="1">
        <v>7</v>
      </c>
      <c r="BJ2634" s="1" t="s">
        <v>680</v>
      </c>
      <c r="BK2634" s="1" t="s">
        <v>96</v>
      </c>
      <c r="BL2634" s="1" t="s">
        <v>680</v>
      </c>
      <c r="BM2634" s="1" t="s">
        <v>41996</v>
      </c>
      <c r="BN2634" s="1" t="s">
        <v>74</v>
      </c>
      <c r="BO2634" s="1" t="s">
        <v>74</v>
      </c>
      <c r="BP2634" s="1" t="s">
        <v>74</v>
      </c>
      <c r="BQ2634" s="1" t="s">
        <v>74</v>
      </c>
      <c r="BR2634" s="1" t="s">
        <v>98</v>
      </c>
      <c r="BS2634" s="1" t="s">
        <v>41997</v>
      </c>
      <c r="BT2634" s="1" t="str">
        <f>HYPERLINK("https%3A%2F%2Fwww.webofscience.com%2Fwos%2Fwoscc%2Ffull-record%2FWOS:000615140700004","View Full Record in Web of Science")</f>
        <v>View Full Record in Web of Science</v>
      </c>
      <c r="BU2634" s="1"/>
      <c r="BV2634" s="1"/>
    </row>
    <row r="2635" spans="1:74">
      <c r="A2635" s="1" t="s">
        <v>72</v>
      </c>
      <c r="B2635" s="1" t="s">
        <v>41998</v>
      </c>
      <c r="C2635" s="1" t="s">
        <v>74</v>
      </c>
      <c r="D2635" s="1" t="s">
        <v>74</v>
      </c>
      <c r="E2635" s="1" t="s">
        <v>74</v>
      </c>
      <c r="F2635" s="1" t="s">
        <v>41999</v>
      </c>
      <c r="G2635" s="1" t="s">
        <v>74</v>
      </c>
      <c r="H2635" s="1" t="s">
        <v>74</v>
      </c>
      <c r="I2635" s="1" t="s">
        <v>42000</v>
      </c>
      <c r="J2635" s="1" t="s">
        <v>421</v>
      </c>
      <c r="K2635" s="1" t="s">
        <v>74</v>
      </c>
      <c r="L2635" s="1" t="s">
        <v>74</v>
      </c>
      <c r="M2635" s="1" t="s">
        <v>78</v>
      </c>
      <c r="N2635" s="1" t="s">
        <v>79</v>
      </c>
      <c r="O2635" s="1" t="s">
        <v>74</v>
      </c>
      <c r="P2635" s="1" t="s">
        <v>74</v>
      </c>
      <c r="Q2635" s="1" t="s">
        <v>74</v>
      </c>
      <c r="R2635" s="1" t="s">
        <v>74</v>
      </c>
      <c r="S2635" s="1" t="s">
        <v>74</v>
      </c>
      <c r="T2635" s="1" t="s">
        <v>42001</v>
      </c>
      <c r="U2635" s="1" t="s">
        <v>42002</v>
      </c>
      <c r="V2635" s="1" t="s">
        <v>42003</v>
      </c>
      <c r="W2635" s="1" t="s">
        <v>42004</v>
      </c>
      <c r="X2635" s="1" t="s">
        <v>42005</v>
      </c>
      <c r="Y2635" s="1" t="s">
        <v>42006</v>
      </c>
      <c r="Z2635" s="1" t="s">
        <v>42007</v>
      </c>
      <c r="AA2635" s="1" t="s">
        <v>42008</v>
      </c>
      <c r="AB2635" s="1" t="s">
        <v>42009</v>
      </c>
      <c r="AC2635" s="1" t="s">
        <v>42010</v>
      </c>
      <c r="AD2635" s="1" t="s">
        <v>42011</v>
      </c>
      <c r="AE2635" s="1" t="s">
        <v>42012</v>
      </c>
      <c r="AF2635" s="1" t="s">
        <v>74</v>
      </c>
      <c r="AG2635" s="1">
        <v>116</v>
      </c>
      <c r="AH2635" s="1">
        <v>6</v>
      </c>
      <c r="AI2635" s="1">
        <v>6</v>
      </c>
      <c r="AJ2635" s="1">
        <v>4</v>
      </c>
      <c r="AK2635" s="1">
        <v>22</v>
      </c>
      <c r="AL2635" s="1" t="s">
        <v>430</v>
      </c>
      <c r="AM2635" s="1" t="s">
        <v>137</v>
      </c>
      <c r="AN2635" s="1" t="s">
        <v>431</v>
      </c>
      <c r="AO2635" s="1" t="s">
        <v>432</v>
      </c>
      <c r="AP2635" s="1" t="s">
        <v>1394</v>
      </c>
      <c r="AQ2635" s="1" t="s">
        <v>74</v>
      </c>
      <c r="AR2635" s="1" t="s">
        <v>433</v>
      </c>
      <c r="AS2635" s="1" t="s">
        <v>434</v>
      </c>
      <c r="AT2635" s="1" t="s">
        <v>5542</v>
      </c>
      <c r="AU2635" s="1">
        <v>2023</v>
      </c>
      <c r="AV2635" s="1">
        <v>326</v>
      </c>
      <c r="AW2635" s="1" t="s">
        <v>74</v>
      </c>
      <c r="AX2635" s="1" t="s">
        <v>74</v>
      </c>
      <c r="AY2635" s="1" t="s">
        <v>74</v>
      </c>
      <c r="AZ2635" s="1" t="s">
        <v>74</v>
      </c>
      <c r="BA2635" s="1" t="s">
        <v>74</v>
      </c>
      <c r="BB2635" s="1" t="s">
        <v>74</v>
      </c>
      <c r="BC2635" s="1" t="s">
        <v>74</v>
      </c>
      <c r="BD2635" s="1">
        <v>121472</v>
      </c>
      <c r="BE2635" s="1" t="s">
        <v>42013</v>
      </c>
      <c r="BF2635" s="1" t="str">
        <f>HYPERLINK("http://dx.doi.org/10.1016/j.envpol.2023.121472","http://dx.doi.org/10.1016/j.envpol.2023.121472")</f>
        <v>http://dx.doi.org/10.1016/j.envpol.2023.121472</v>
      </c>
      <c r="BG2635" s="1" t="s">
        <v>74</v>
      </c>
      <c r="BH2635" s="1" t="s">
        <v>6536</v>
      </c>
      <c r="BI2635" s="1">
        <v>11</v>
      </c>
      <c r="BJ2635" s="1" t="s">
        <v>144</v>
      </c>
      <c r="BK2635" s="1" t="s">
        <v>96</v>
      </c>
      <c r="BL2635" s="1" t="s">
        <v>145</v>
      </c>
      <c r="BM2635" s="1" t="s">
        <v>42014</v>
      </c>
      <c r="BN2635" s="1">
        <v>36965683</v>
      </c>
      <c r="BO2635" s="1" t="s">
        <v>810</v>
      </c>
      <c r="BP2635" s="1" t="s">
        <v>74</v>
      </c>
      <c r="BQ2635" s="1" t="s">
        <v>74</v>
      </c>
      <c r="BR2635" s="1" t="s">
        <v>98</v>
      </c>
      <c r="BS2635" s="1" t="s">
        <v>42015</v>
      </c>
      <c r="BT2635" s="1" t="str">
        <f>HYPERLINK("https%3A%2F%2Fwww.webofscience.com%2Fwos%2Fwoscc%2Ffull-record%2FWOS:000971242100001","View Full Record in Web of Science")</f>
        <v>View Full Record in Web of Science</v>
      </c>
      <c r="BU2635" s="1"/>
      <c r="BV2635" s="1"/>
    </row>
    <row r="2636" spans="1:74">
      <c r="A2636" s="1" t="s">
        <v>72</v>
      </c>
      <c r="B2636" s="1" t="s">
        <v>42016</v>
      </c>
      <c r="C2636" s="1" t="s">
        <v>74</v>
      </c>
      <c r="D2636" s="1" t="s">
        <v>74</v>
      </c>
      <c r="E2636" s="1" t="s">
        <v>74</v>
      </c>
      <c r="F2636" s="1" t="s">
        <v>42017</v>
      </c>
      <c r="G2636" s="1" t="s">
        <v>74</v>
      </c>
      <c r="H2636" s="1" t="s">
        <v>74</v>
      </c>
      <c r="I2636" s="1" t="s">
        <v>42018</v>
      </c>
      <c r="J2636" s="1" t="s">
        <v>1756</v>
      </c>
      <c r="K2636" s="1" t="s">
        <v>74</v>
      </c>
      <c r="L2636" s="1" t="s">
        <v>74</v>
      </c>
      <c r="M2636" s="1" t="s">
        <v>78</v>
      </c>
      <c r="N2636" s="1" t="s">
        <v>79</v>
      </c>
      <c r="O2636" s="1" t="s">
        <v>74</v>
      </c>
      <c r="P2636" s="1" t="s">
        <v>74</v>
      </c>
      <c r="Q2636" s="1" t="s">
        <v>74</v>
      </c>
      <c r="R2636" s="1" t="s">
        <v>74</v>
      </c>
      <c r="S2636" s="1" t="s">
        <v>74</v>
      </c>
      <c r="T2636" s="1" t="s">
        <v>42019</v>
      </c>
      <c r="U2636" s="1" t="s">
        <v>42020</v>
      </c>
      <c r="V2636" s="1" t="s">
        <v>42021</v>
      </c>
      <c r="W2636" s="1" t="s">
        <v>42022</v>
      </c>
      <c r="X2636" s="1" t="s">
        <v>5402</v>
      </c>
      <c r="Y2636" s="1" t="s">
        <v>42023</v>
      </c>
      <c r="Z2636" s="1" t="s">
        <v>42024</v>
      </c>
      <c r="AA2636" s="1" t="s">
        <v>74</v>
      </c>
      <c r="AB2636" s="1" t="s">
        <v>42025</v>
      </c>
      <c r="AC2636" s="1" t="s">
        <v>74</v>
      </c>
      <c r="AD2636" s="1" t="s">
        <v>74</v>
      </c>
      <c r="AE2636" s="1" t="s">
        <v>74</v>
      </c>
      <c r="AF2636" s="1" t="s">
        <v>74</v>
      </c>
      <c r="AG2636" s="1">
        <v>41</v>
      </c>
      <c r="AH2636" s="1">
        <v>66</v>
      </c>
      <c r="AI2636" s="1">
        <v>70</v>
      </c>
      <c r="AJ2636" s="1">
        <v>0</v>
      </c>
      <c r="AK2636" s="1">
        <v>48</v>
      </c>
      <c r="AL2636" s="1" t="s">
        <v>86</v>
      </c>
      <c r="AM2636" s="1" t="s">
        <v>87</v>
      </c>
      <c r="AN2636" s="1" t="s">
        <v>88</v>
      </c>
      <c r="AO2636" s="1" t="s">
        <v>1764</v>
      </c>
      <c r="AP2636" s="1" t="s">
        <v>1765</v>
      </c>
      <c r="AQ2636" s="1" t="s">
        <v>74</v>
      </c>
      <c r="AR2636" s="1" t="s">
        <v>1766</v>
      </c>
      <c r="AS2636" s="1" t="s">
        <v>1767</v>
      </c>
      <c r="AT2636" s="1" t="s">
        <v>765</v>
      </c>
      <c r="AU2636" s="1">
        <v>2008</v>
      </c>
      <c r="AV2636" s="1">
        <v>27</v>
      </c>
      <c r="AW2636" s="1">
        <v>7</v>
      </c>
      <c r="AX2636" s="1" t="s">
        <v>74</v>
      </c>
      <c r="AY2636" s="1" t="s">
        <v>74</v>
      </c>
      <c r="AZ2636" s="1" t="s">
        <v>74</v>
      </c>
      <c r="BA2636" s="1" t="s">
        <v>74</v>
      </c>
      <c r="BB2636" s="1">
        <v>1543</v>
      </c>
      <c r="BC2636" s="1">
        <v>1552</v>
      </c>
      <c r="BD2636" s="1" t="s">
        <v>74</v>
      </c>
      <c r="BE2636" s="1" t="s">
        <v>42026</v>
      </c>
      <c r="BF2636" s="1" t="str">
        <f>HYPERLINK("http://dx.doi.org/10.1897/07-418.1","http://dx.doi.org/10.1897/07-418.1")</f>
        <v>http://dx.doi.org/10.1897/07-418.1</v>
      </c>
      <c r="BG2636" s="1" t="s">
        <v>74</v>
      </c>
      <c r="BH2636" s="1" t="s">
        <v>74</v>
      </c>
      <c r="BI2636" s="1">
        <v>10</v>
      </c>
      <c r="BJ2636" s="1" t="s">
        <v>121</v>
      </c>
      <c r="BK2636" s="1" t="s">
        <v>96</v>
      </c>
      <c r="BL2636" s="1" t="s">
        <v>122</v>
      </c>
      <c r="BM2636" s="1" t="s">
        <v>42027</v>
      </c>
      <c r="BN2636" s="1">
        <v>18260691</v>
      </c>
      <c r="BO2636" s="1" t="s">
        <v>74</v>
      </c>
      <c r="BP2636" s="1" t="s">
        <v>74</v>
      </c>
      <c r="BQ2636" s="1" t="s">
        <v>74</v>
      </c>
      <c r="BR2636" s="1" t="s">
        <v>98</v>
      </c>
      <c r="BS2636" s="1" t="s">
        <v>42028</v>
      </c>
      <c r="BT2636" s="1" t="str">
        <f>HYPERLINK("https%3A%2F%2Fwww.webofscience.com%2Fwos%2Fwoscc%2Ffull-record%2FWOS:000256806700011","View Full Record in Web of Science")</f>
        <v>View Full Record in Web of Science</v>
      </c>
      <c r="BU2636" s="1"/>
      <c r="BV2636" s="1"/>
    </row>
    <row r="2637" spans="1:74">
      <c r="A2637" s="1" t="s">
        <v>72</v>
      </c>
      <c r="B2637" s="1" t="s">
        <v>42029</v>
      </c>
      <c r="C2637" s="1" t="s">
        <v>74</v>
      </c>
      <c r="D2637" s="1" t="s">
        <v>74</v>
      </c>
      <c r="E2637" s="1" t="s">
        <v>74</v>
      </c>
      <c r="F2637" s="1" t="s">
        <v>42029</v>
      </c>
      <c r="G2637" s="1" t="s">
        <v>74</v>
      </c>
      <c r="H2637" s="1" t="s">
        <v>74</v>
      </c>
      <c r="I2637" s="1" t="s">
        <v>42030</v>
      </c>
      <c r="J2637" s="1" t="s">
        <v>232</v>
      </c>
      <c r="K2637" s="1" t="s">
        <v>74</v>
      </c>
      <c r="L2637" s="1" t="s">
        <v>74</v>
      </c>
      <c r="M2637" s="1" t="s">
        <v>78</v>
      </c>
      <c r="N2637" s="1" t="s">
        <v>79</v>
      </c>
      <c r="O2637" s="1" t="s">
        <v>74</v>
      </c>
      <c r="P2637" s="1" t="s">
        <v>74</v>
      </c>
      <c r="Q2637" s="1" t="s">
        <v>74</v>
      </c>
      <c r="R2637" s="1" t="s">
        <v>74</v>
      </c>
      <c r="S2637" s="1" t="s">
        <v>74</v>
      </c>
      <c r="T2637" s="1" t="s">
        <v>42031</v>
      </c>
      <c r="U2637" s="1" t="s">
        <v>42032</v>
      </c>
      <c r="V2637" s="1" t="s">
        <v>42033</v>
      </c>
      <c r="W2637" s="1" t="s">
        <v>42034</v>
      </c>
      <c r="X2637" s="1" t="s">
        <v>42035</v>
      </c>
      <c r="Y2637" s="1" t="s">
        <v>42036</v>
      </c>
      <c r="Z2637" s="1" t="s">
        <v>74</v>
      </c>
      <c r="AA2637" s="1" t="s">
        <v>74</v>
      </c>
      <c r="AB2637" s="1" t="s">
        <v>74</v>
      </c>
      <c r="AC2637" s="1" t="s">
        <v>74</v>
      </c>
      <c r="AD2637" s="1" t="s">
        <v>74</v>
      </c>
      <c r="AE2637" s="1" t="s">
        <v>74</v>
      </c>
      <c r="AF2637" s="1" t="s">
        <v>74</v>
      </c>
      <c r="AG2637" s="1">
        <v>27</v>
      </c>
      <c r="AH2637" s="1">
        <v>17</v>
      </c>
      <c r="AI2637" s="1">
        <v>22</v>
      </c>
      <c r="AJ2637" s="1">
        <v>0</v>
      </c>
      <c r="AK2637" s="1">
        <v>19</v>
      </c>
      <c r="AL2637" s="1" t="s">
        <v>136</v>
      </c>
      <c r="AM2637" s="1" t="s">
        <v>137</v>
      </c>
      <c r="AN2637" s="1" t="s">
        <v>138</v>
      </c>
      <c r="AO2637" s="1" t="s">
        <v>240</v>
      </c>
      <c r="AP2637" s="1" t="s">
        <v>241</v>
      </c>
      <c r="AQ2637" s="1" t="s">
        <v>74</v>
      </c>
      <c r="AR2637" s="1" t="s">
        <v>242</v>
      </c>
      <c r="AS2637" s="1" t="s">
        <v>243</v>
      </c>
      <c r="AT2637" s="1" t="s">
        <v>267</v>
      </c>
      <c r="AU2637" s="1">
        <v>1998</v>
      </c>
      <c r="AV2637" s="1">
        <v>36</v>
      </c>
      <c r="AW2637" s="1">
        <v>10</v>
      </c>
      <c r="AX2637" s="1" t="s">
        <v>74</v>
      </c>
      <c r="AY2637" s="1" t="s">
        <v>74</v>
      </c>
      <c r="AZ2637" s="1" t="s">
        <v>74</v>
      </c>
      <c r="BA2637" s="1" t="s">
        <v>74</v>
      </c>
      <c r="BB2637" s="1">
        <v>808</v>
      </c>
      <c r="BC2637" s="1">
        <v>817</v>
      </c>
      <c r="BD2637" s="1" t="s">
        <v>74</v>
      </c>
      <c r="BE2637" s="1" t="s">
        <v>42037</v>
      </c>
      <c r="BF2637" s="1" t="str">
        <f>HYPERLINK("http://dx.doi.org/10.1016/S0025-326X(98)00061-7","http://dx.doi.org/10.1016/S0025-326X(98)00061-7")</f>
        <v>http://dx.doi.org/10.1016/S0025-326X(98)00061-7</v>
      </c>
      <c r="BG2637" s="1" t="s">
        <v>74</v>
      </c>
      <c r="BH2637" s="1" t="s">
        <v>74</v>
      </c>
      <c r="BI2637" s="1">
        <v>10</v>
      </c>
      <c r="BJ2637" s="1" t="s">
        <v>247</v>
      </c>
      <c r="BK2637" s="1" t="s">
        <v>96</v>
      </c>
      <c r="BL2637" s="1" t="s">
        <v>248</v>
      </c>
      <c r="BM2637" s="1" t="s">
        <v>42038</v>
      </c>
      <c r="BN2637" s="1" t="s">
        <v>74</v>
      </c>
      <c r="BO2637" s="1" t="s">
        <v>74</v>
      </c>
      <c r="BP2637" s="1" t="s">
        <v>74</v>
      </c>
      <c r="BQ2637" s="1" t="s">
        <v>74</v>
      </c>
      <c r="BR2637" s="1" t="s">
        <v>98</v>
      </c>
      <c r="BS2637" s="1" t="s">
        <v>42039</v>
      </c>
      <c r="BT2637" s="1" t="str">
        <f>HYPERLINK("https%3A%2F%2Fwww.webofscience.com%2Fwos%2Fwoscc%2Ffull-record%2FWOS:000077045200015","View Full Record in Web of Science")</f>
        <v>View Full Record in Web of Science</v>
      </c>
      <c r="BU2637" s="1"/>
      <c r="BV2637" s="1"/>
    </row>
    <row r="2638" spans="1:74">
      <c r="A2638" s="1" t="s">
        <v>72</v>
      </c>
      <c r="B2638" s="1" t="s">
        <v>28971</v>
      </c>
      <c r="C2638" s="1" t="s">
        <v>74</v>
      </c>
      <c r="D2638" s="1" t="s">
        <v>74</v>
      </c>
      <c r="E2638" s="1" t="s">
        <v>74</v>
      </c>
      <c r="F2638" s="1" t="s">
        <v>28971</v>
      </c>
      <c r="G2638" s="1" t="s">
        <v>74</v>
      </c>
      <c r="H2638" s="1" t="s">
        <v>74</v>
      </c>
      <c r="I2638" s="1" t="s">
        <v>42040</v>
      </c>
      <c r="J2638" s="1" t="s">
        <v>3349</v>
      </c>
      <c r="K2638" s="1" t="s">
        <v>74</v>
      </c>
      <c r="L2638" s="1" t="s">
        <v>74</v>
      </c>
      <c r="M2638" s="1" t="s">
        <v>78</v>
      </c>
      <c r="N2638" s="1" t="s">
        <v>79</v>
      </c>
      <c r="O2638" s="1" t="s">
        <v>74</v>
      </c>
      <c r="P2638" s="1" t="s">
        <v>74</v>
      </c>
      <c r="Q2638" s="1" t="s">
        <v>74</v>
      </c>
      <c r="R2638" s="1" t="s">
        <v>74</v>
      </c>
      <c r="S2638" s="1" t="s">
        <v>74</v>
      </c>
      <c r="T2638" s="1" t="s">
        <v>74</v>
      </c>
      <c r="U2638" s="1" t="s">
        <v>42041</v>
      </c>
      <c r="V2638" s="1" t="s">
        <v>42042</v>
      </c>
      <c r="W2638" s="1" t="s">
        <v>74</v>
      </c>
      <c r="X2638" s="1" t="s">
        <v>74</v>
      </c>
      <c r="Y2638" s="1" t="s">
        <v>42043</v>
      </c>
      <c r="Z2638" s="1" t="s">
        <v>74</v>
      </c>
      <c r="AA2638" s="1" t="s">
        <v>42044</v>
      </c>
      <c r="AB2638" s="1" t="s">
        <v>18786</v>
      </c>
      <c r="AC2638" s="1" t="s">
        <v>74</v>
      </c>
      <c r="AD2638" s="1" t="s">
        <v>74</v>
      </c>
      <c r="AE2638" s="1" t="s">
        <v>74</v>
      </c>
      <c r="AF2638" s="1" t="s">
        <v>74</v>
      </c>
      <c r="AG2638" s="1">
        <v>41</v>
      </c>
      <c r="AH2638" s="1">
        <v>22</v>
      </c>
      <c r="AI2638" s="1">
        <v>25</v>
      </c>
      <c r="AJ2638" s="1">
        <v>0</v>
      </c>
      <c r="AK2638" s="1">
        <v>4</v>
      </c>
      <c r="AL2638" s="1" t="s">
        <v>3362</v>
      </c>
      <c r="AM2638" s="1" t="s">
        <v>3363</v>
      </c>
      <c r="AN2638" s="1" t="s">
        <v>3364</v>
      </c>
      <c r="AO2638" s="1" t="s">
        <v>3365</v>
      </c>
      <c r="AP2638" s="1" t="s">
        <v>74</v>
      </c>
      <c r="AQ2638" s="1" t="s">
        <v>74</v>
      </c>
      <c r="AR2638" s="1" t="s">
        <v>3367</v>
      </c>
      <c r="AS2638" s="1" t="s">
        <v>3368</v>
      </c>
      <c r="AT2638" s="1" t="s">
        <v>765</v>
      </c>
      <c r="AU2638" s="1">
        <v>1997</v>
      </c>
      <c r="AV2638" s="1">
        <v>37</v>
      </c>
      <c r="AW2638" s="1">
        <v>2</v>
      </c>
      <c r="AX2638" s="1" t="s">
        <v>74</v>
      </c>
      <c r="AY2638" s="1" t="s">
        <v>74</v>
      </c>
      <c r="AZ2638" s="1" t="s">
        <v>74</v>
      </c>
      <c r="BA2638" s="1" t="s">
        <v>74</v>
      </c>
      <c r="BB2638" s="1">
        <v>141</v>
      </c>
      <c r="BC2638" s="1">
        <v>151</v>
      </c>
      <c r="BD2638" s="1" t="s">
        <v>74</v>
      </c>
      <c r="BE2638" s="1" t="s">
        <v>42045</v>
      </c>
      <c r="BF2638" s="1" t="str">
        <f>HYPERLINK("http://dx.doi.org/10.1006/eesa.1997.1535","http://dx.doi.org/10.1006/eesa.1997.1535")</f>
        <v>http://dx.doi.org/10.1006/eesa.1997.1535</v>
      </c>
      <c r="BG2638" s="1" t="s">
        <v>74</v>
      </c>
      <c r="BH2638" s="1" t="s">
        <v>74</v>
      </c>
      <c r="BI2638" s="1">
        <v>11</v>
      </c>
      <c r="BJ2638" s="1" t="s">
        <v>121</v>
      </c>
      <c r="BK2638" s="1" t="s">
        <v>96</v>
      </c>
      <c r="BL2638" s="1" t="s">
        <v>122</v>
      </c>
      <c r="BM2638" s="1" t="s">
        <v>42046</v>
      </c>
      <c r="BN2638" s="1">
        <v>9262954</v>
      </c>
      <c r="BO2638" s="1" t="s">
        <v>74</v>
      </c>
      <c r="BP2638" s="1" t="s">
        <v>74</v>
      </c>
      <c r="BQ2638" s="1" t="s">
        <v>74</v>
      </c>
      <c r="BR2638" s="1" t="s">
        <v>98</v>
      </c>
      <c r="BS2638" s="1" t="s">
        <v>42047</v>
      </c>
      <c r="BT2638" s="1" t="str">
        <f>HYPERLINK("https%3A%2F%2Fwww.webofscience.com%2Fwos%2Fwoscc%2Ffull-record%2FWOS:A1997XQ80600006","View Full Record in Web of Science")</f>
        <v>View Full Record in Web of Science</v>
      </c>
      <c r="BU2638" s="1"/>
      <c r="BV2638" s="1"/>
    </row>
    <row r="2639" spans="1:74">
      <c r="A2639" s="1" t="s">
        <v>72</v>
      </c>
      <c r="B2639" s="1" t="s">
        <v>42048</v>
      </c>
      <c r="C2639" s="1" t="s">
        <v>74</v>
      </c>
      <c r="D2639" s="1" t="s">
        <v>74</v>
      </c>
      <c r="E2639" s="1" t="s">
        <v>74</v>
      </c>
      <c r="F2639" s="1" t="s">
        <v>42048</v>
      </c>
      <c r="G2639" s="1" t="s">
        <v>74</v>
      </c>
      <c r="H2639" s="1" t="s">
        <v>74</v>
      </c>
      <c r="I2639" s="1" t="s">
        <v>42049</v>
      </c>
      <c r="J2639" s="1" t="s">
        <v>2894</v>
      </c>
      <c r="K2639" s="1" t="s">
        <v>74</v>
      </c>
      <c r="L2639" s="1" t="s">
        <v>74</v>
      </c>
      <c r="M2639" s="1" t="s">
        <v>78</v>
      </c>
      <c r="N2639" s="1" t="s">
        <v>79</v>
      </c>
      <c r="O2639" s="1" t="s">
        <v>74</v>
      </c>
      <c r="P2639" s="1" t="s">
        <v>74</v>
      </c>
      <c r="Q2639" s="1" t="s">
        <v>74</v>
      </c>
      <c r="R2639" s="1" t="s">
        <v>74</v>
      </c>
      <c r="S2639" s="1" t="s">
        <v>74</v>
      </c>
      <c r="T2639" s="1" t="s">
        <v>74</v>
      </c>
      <c r="U2639" s="1" t="s">
        <v>42050</v>
      </c>
      <c r="V2639" s="1" t="s">
        <v>42051</v>
      </c>
      <c r="W2639" s="1" t="s">
        <v>42052</v>
      </c>
      <c r="X2639" s="1" t="s">
        <v>4641</v>
      </c>
      <c r="Y2639" s="1" t="s">
        <v>42053</v>
      </c>
      <c r="Z2639" s="1" t="s">
        <v>74</v>
      </c>
      <c r="AA2639" s="1" t="s">
        <v>74</v>
      </c>
      <c r="AB2639" s="1" t="s">
        <v>74</v>
      </c>
      <c r="AC2639" s="1" t="s">
        <v>74</v>
      </c>
      <c r="AD2639" s="1" t="s">
        <v>74</v>
      </c>
      <c r="AE2639" s="1" t="s">
        <v>74</v>
      </c>
      <c r="AF2639" s="1" t="s">
        <v>74</v>
      </c>
      <c r="AG2639" s="1">
        <v>37</v>
      </c>
      <c r="AH2639" s="1">
        <v>36</v>
      </c>
      <c r="AI2639" s="1">
        <v>37</v>
      </c>
      <c r="AJ2639" s="1">
        <v>0</v>
      </c>
      <c r="AK2639" s="1">
        <v>17</v>
      </c>
      <c r="AL2639" s="1" t="s">
        <v>2904</v>
      </c>
      <c r="AM2639" s="1" t="s">
        <v>2905</v>
      </c>
      <c r="AN2639" s="1" t="s">
        <v>2906</v>
      </c>
      <c r="AO2639" s="1" t="s">
        <v>2907</v>
      </c>
      <c r="AP2639" s="1" t="s">
        <v>74</v>
      </c>
      <c r="AQ2639" s="1" t="s">
        <v>74</v>
      </c>
      <c r="AR2639" s="1" t="s">
        <v>2908</v>
      </c>
      <c r="AS2639" s="1" t="s">
        <v>2909</v>
      </c>
      <c r="AT2639" s="1" t="s">
        <v>197</v>
      </c>
      <c r="AU2639" s="1">
        <v>1992</v>
      </c>
      <c r="AV2639" s="1">
        <v>91</v>
      </c>
      <c r="AW2639" s="1" t="s">
        <v>2847</v>
      </c>
      <c r="AX2639" s="1" t="s">
        <v>74</v>
      </c>
      <c r="AY2639" s="1" t="s">
        <v>74</v>
      </c>
      <c r="AZ2639" s="1" t="s">
        <v>74</v>
      </c>
      <c r="BA2639" s="1" t="s">
        <v>74</v>
      </c>
      <c r="BB2639" s="1">
        <v>203</v>
      </c>
      <c r="BC2639" s="1">
        <v>210</v>
      </c>
      <c r="BD2639" s="1" t="s">
        <v>74</v>
      </c>
      <c r="BE2639" s="1" t="s">
        <v>42054</v>
      </c>
      <c r="BF2639" s="1" t="str">
        <f>HYPERLINK("http://dx.doi.org/10.3354/meps091203","http://dx.doi.org/10.3354/meps091203")</f>
        <v>http://dx.doi.org/10.3354/meps091203</v>
      </c>
      <c r="BG2639" s="1" t="s">
        <v>74</v>
      </c>
      <c r="BH2639" s="1" t="s">
        <v>74</v>
      </c>
      <c r="BI2639" s="1">
        <v>8</v>
      </c>
      <c r="BJ2639" s="1" t="s">
        <v>2911</v>
      </c>
      <c r="BK2639" s="1" t="s">
        <v>96</v>
      </c>
      <c r="BL2639" s="1" t="s">
        <v>2912</v>
      </c>
      <c r="BM2639" s="1" t="s">
        <v>42055</v>
      </c>
      <c r="BN2639" s="1" t="s">
        <v>74</v>
      </c>
      <c r="BO2639" s="1" t="s">
        <v>370</v>
      </c>
      <c r="BP2639" s="1" t="s">
        <v>74</v>
      </c>
      <c r="BQ2639" s="1" t="s">
        <v>74</v>
      </c>
      <c r="BR2639" s="1" t="s">
        <v>98</v>
      </c>
      <c r="BS2639" s="1" t="s">
        <v>42056</v>
      </c>
      <c r="BT2639" s="1" t="str">
        <f>HYPERLINK("https%3A%2F%2Fwww.webofscience.com%2Fwos%2Fwoscc%2Ffull-record%2FWOS:A1992LL06400026","View Full Record in Web of Science")</f>
        <v>View Full Record in Web of Science</v>
      </c>
      <c r="BU2639" s="1"/>
      <c r="BV2639" s="1"/>
    </row>
    <row r="2640" spans="1:74">
      <c r="A2640" s="1" t="s">
        <v>72</v>
      </c>
      <c r="B2640" s="1" t="s">
        <v>42057</v>
      </c>
      <c r="C2640" s="1" t="s">
        <v>74</v>
      </c>
      <c r="D2640" s="1" t="s">
        <v>74</v>
      </c>
      <c r="E2640" s="1" t="s">
        <v>74</v>
      </c>
      <c r="F2640" s="1" t="s">
        <v>42058</v>
      </c>
      <c r="G2640" s="1" t="s">
        <v>74</v>
      </c>
      <c r="H2640" s="1" t="s">
        <v>74</v>
      </c>
      <c r="I2640" s="1" t="s">
        <v>42059</v>
      </c>
      <c r="J2640" s="1" t="s">
        <v>998</v>
      </c>
      <c r="K2640" s="1" t="s">
        <v>74</v>
      </c>
      <c r="L2640" s="1" t="s">
        <v>74</v>
      </c>
      <c r="M2640" s="1" t="s">
        <v>78</v>
      </c>
      <c r="N2640" s="1" t="s">
        <v>79</v>
      </c>
      <c r="O2640" s="1" t="s">
        <v>74</v>
      </c>
      <c r="P2640" s="1" t="s">
        <v>74</v>
      </c>
      <c r="Q2640" s="1" t="s">
        <v>74</v>
      </c>
      <c r="R2640" s="1" t="s">
        <v>74</v>
      </c>
      <c r="S2640" s="1" t="s">
        <v>74</v>
      </c>
      <c r="T2640" s="1" t="s">
        <v>74</v>
      </c>
      <c r="U2640" s="1" t="s">
        <v>42060</v>
      </c>
      <c r="V2640" s="1" t="s">
        <v>42061</v>
      </c>
      <c r="W2640" s="1" t="s">
        <v>42062</v>
      </c>
      <c r="X2640" s="1" t="s">
        <v>42063</v>
      </c>
      <c r="Y2640" s="1" t="s">
        <v>42064</v>
      </c>
      <c r="Z2640" s="1" t="s">
        <v>25952</v>
      </c>
      <c r="AA2640" s="1" t="s">
        <v>42065</v>
      </c>
      <c r="AB2640" s="1" t="s">
        <v>42066</v>
      </c>
      <c r="AC2640" s="1" t="s">
        <v>42067</v>
      </c>
      <c r="AD2640" s="1" t="s">
        <v>42067</v>
      </c>
      <c r="AE2640" s="1" t="s">
        <v>42068</v>
      </c>
      <c r="AF2640" s="1" t="s">
        <v>74</v>
      </c>
      <c r="AG2640" s="1">
        <v>45</v>
      </c>
      <c r="AH2640" s="1">
        <v>63</v>
      </c>
      <c r="AI2640" s="1">
        <v>64</v>
      </c>
      <c r="AJ2640" s="1">
        <v>0</v>
      </c>
      <c r="AK2640" s="1">
        <v>37</v>
      </c>
      <c r="AL2640" s="1" t="s">
        <v>112</v>
      </c>
      <c r="AM2640" s="1" t="s">
        <v>113</v>
      </c>
      <c r="AN2640" s="1" t="s">
        <v>469</v>
      </c>
      <c r="AO2640" s="1" t="s">
        <v>1009</v>
      </c>
      <c r="AP2640" s="1" t="s">
        <v>74</v>
      </c>
      <c r="AQ2640" s="1" t="s">
        <v>74</v>
      </c>
      <c r="AR2640" s="1" t="s">
        <v>1010</v>
      </c>
      <c r="AS2640" s="1" t="s">
        <v>1011</v>
      </c>
      <c r="AT2640" s="1" t="s">
        <v>119</v>
      </c>
      <c r="AU2640" s="1">
        <v>2011</v>
      </c>
      <c r="AV2640" s="1">
        <v>61</v>
      </c>
      <c r="AW2640" s="1">
        <v>2</v>
      </c>
      <c r="AX2640" s="1" t="s">
        <v>74</v>
      </c>
      <c r="AY2640" s="1" t="s">
        <v>74</v>
      </c>
      <c r="AZ2640" s="1" t="s">
        <v>74</v>
      </c>
      <c r="BA2640" s="1" t="s">
        <v>74</v>
      </c>
      <c r="BB2640" s="1">
        <v>261</v>
      </c>
      <c r="BC2640" s="1">
        <v>271</v>
      </c>
      <c r="BD2640" s="1" t="s">
        <v>74</v>
      </c>
      <c r="BE2640" s="1" t="s">
        <v>42069</v>
      </c>
      <c r="BF2640" s="1" t="str">
        <f>HYPERLINK("http://dx.doi.org/10.1007/s00244-010-9599-x","http://dx.doi.org/10.1007/s00244-010-9599-x")</f>
        <v>http://dx.doi.org/10.1007/s00244-010-9599-x</v>
      </c>
      <c r="BG2640" s="1" t="s">
        <v>74</v>
      </c>
      <c r="BH2640" s="1" t="s">
        <v>74</v>
      </c>
      <c r="BI2640" s="1">
        <v>11</v>
      </c>
      <c r="BJ2640" s="1" t="s">
        <v>121</v>
      </c>
      <c r="BK2640" s="1" t="s">
        <v>96</v>
      </c>
      <c r="BL2640" s="1" t="s">
        <v>122</v>
      </c>
      <c r="BM2640" s="1" t="s">
        <v>42070</v>
      </c>
      <c r="BN2640" s="1">
        <v>20862467</v>
      </c>
      <c r="BO2640" s="1" t="s">
        <v>74</v>
      </c>
      <c r="BP2640" s="1" t="s">
        <v>74</v>
      </c>
      <c r="BQ2640" s="1" t="s">
        <v>74</v>
      </c>
      <c r="BR2640" s="1" t="s">
        <v>98</v>
      </c>
      <c r="BS2640" s="1" t="s">
        <v>42071</v>
      </c>
      <c r="BT2640" s="1" t="str">
        <f>HYPERLINK("https%3A%2F%2Fwww.webofscience.com%2Fwos%2Fwoscc%2Ffull-record%2FWOS:000292651200011","View Full Record in Web of Science")</f>
        <v>View Full Record in Web of Science</v>
      </c>
      <c r="BU2640" s="1"/>
      <c r="BV2640" s="1"/>
    </row>
    <row r="2641" spans="1:74">
      <c r="A2641" s="1" t="s">
        <v>72</v>
      </c>
      <c r="B2641" s="1" t="s">
        <v>42072</v>
      </c>
      <c r="C2641" s="1" t="s">
        <v>74</v>
      </c>
      <c r="D2641" s="1" t="s">
        <v>74</v>
      </c>
      <c r="E2641" s="1" t="s">
        <v>74</v>
      </c>
      <c r="F2641" s="1" t="s">
        <v>42072</v>
      </c>
      <c r="G2641" s="1" t="s">
        <v>74</v>
      </c>
      <c r="H2641" s="1" t="s">
        <v>74</v>
      </c>
      <c r="I2641" s="1" t="s">
        <v>42073</v>
      </c>
      <c r="J2641" s="1" t="s">
        <v>232</v>
      </c>
      <c r="K2641" s="1" t="s">
        <v>74</v>
      </c>
      <c r="L2641" s="1" t="s">
        <v>74</v>
      </c>
      <c r="M2641" s="1" t="s">
        <v>78</v>
      </c>
      <c r="N2641" s="1" t="s">
        <v>79</v>
      </c>
      <c r="O2641" s="1" t="s">
        <v>74</v>
      </c>
      <c r="P2641" s="1" t="s">
        <v>74</v>
      </c>
      <c r="Q2641" s="1" t="s">
        <v>74</v>
      </c>
      <c r="R2641" s="1" t="s">
        <v>74</v>
      </c>
      <c r="S2641" s="1" t="s">
        <v>74</v>
      </c>
      <c r="T2641" s="1" t="s">
        <v>74</v>
      </c>
      <c r="U2641" s="1" t="s">
        <v>74</v>
      </c>
      <c r="V2641" s="1" t="s">
        <v>42074</v>
      </c>
      <c r="W2641" s="1" t="s">
        <v>74</v>
      </c>
      <c r="X2641" s="1" t="s">
        <v>74</v>
      </c>
      <c r="Y2641" s="1" t="s">
        <v>42075</v>
      </c>
      <c r="Z2641" s="1" t="s">
        <v>74</v>
      </c>
      <c r="AA2641" s="1" t="s">
        <v>74</v>
      </c>
      <c r="AB2641" s="1" t="s">
        <v>74</v>
      </c>
      <c r="AC2641" s="1" t="s">
        <v>74</v>
      </c>
      <c r="AD2641" s="1" t="s">
        <v>74</v>
      </c>
      <c r="AE2641" s="1" t="s">
        <v>74</v>
      </c>
      <c r="AF2641" s="1" t="s">
        <v>74</v>
      </c>
      <c r="AG2641" s="1">
        <v>28</v>
      </c>
      <c r="AH2641" s="1">
        <v>8</v>
      </c>
      <c r="AI2641" s="1">
        <v>8</v>
      </c>
      <c r="AJ2641" s="1">
        <v>0</v>
      </c>
      <c r="AK2641" s="1">
        <v>9</v>
      </c>
      <c r="AL2641" s="1" t="s">
        <v>136</v>
      </c>
      <c r="AM2641" s="1" t="s">
        <v>137</v>
      </c>
      <c r="AN2641" s="1" t="s">
        <v>138</v>
      </c>
      <c r="AO2641" s="1" t="s">
        <v>240</v>
      </c>
      <c r="AP2641" s="1" t="s">
        <v>241</v>
      </c>
      <c r="AQ2641" s="1" t="s">
        <v>74</v>
      </c>
      <c r="AR2641" s="1" t="s">
        <v>242</v>
      </c>
      <c r="AS2641" s="1" t="s">
        <v>243</v>
      </c>
      <c r="AT2641" s="1" t="s">
        <v>74</v>
      </c>
      <c r="AU2641" s="1">
        <v>1985</v>
      </c>
      <c r="AV2641" s="1">
        <v>16</v>
      </c>
      <c r="AW2641" s="1">
        <v>11</v>
      </c>
      <c r="AX2641" s="1" t="s">
        <v>74</v>
      </c>
      <c r="AY2641" s="1" t="s">
        <v>74</v>
      </c>
      <c r="AZ2641" s="1" t="s">
        <v>74</v>
      </c>
      <c r="BA2641" s="1" t="s">
        <v>74</v>
      </c>
      <c r="BB2641" s="1">
        <v>450</v>
      </c>
      <c r="BC2641" s="1">
        <v>455</v>
      </c>
      <c r="BD2641" s="1" t="s">
        <v>74</v>
      </c>
      <c r="BE2641" s="1" t="s">
        <v>42076</v>
      </c>
      <c r="BF2641" s="1" t="str">
        <f>HYPERLINK("http://dx.doi.org/10.1016/0025-326X(85)90416-3","http://dx.doi.org/10.1016/0025-326X(85)90416-3")</f>
        <v>http://dx.doi.org/10.1016/0025-326X(85)90416-3</v>
      </c>
      <c r="BG2641" s="1" t="s">
        <v>74</v>
      </c>
      <c r="BH2641" s="1" t="s">
        <v>74</v>
      </c>
      <c r="BI2641" s="1">
        <v>6</v>
      </c>
      <c r="BJ2641" s="1" t="s">
        <v>247</v>
      </c>
      <c r="BK2641" s="1" t="s">
        <v>96</v>
      </c>
      <c r="BL2641" s="1" t="s">
        <v>248</v>
      </c>
      <c r="BM2641" s="1" t="s">
        <v>42077</v>
      </c>
      <c r="BN2641" s="1" t="s">
        <v>74</v>
      </c>
      <c r="BO2641" s="1" t="s">
        <v>74</v>
      </c>
      <c r="BP2641" s="1" t="s">
        <v>74</v>
      </c>
      <c r="BQ2641" s="1" t="s">
        <v>74</v>
      </c>
      <c r="BR2641" s="1" t="s">
        <v>98</v>
      </c>
      <c r="BS2641" s="1" t="s">
        <v>42078</v>
      </c>
      <c r="BT2641" s="1" t="str">
        <f>HYPERLINK("https%3A%2F%2Fwww.webofscience.com%2Fwos%2Fwoscc%2Ffull-record%2FWOS:A1985AUM2600008","View Full Record in Web of Science")</f>
        <v>View Full Record in Web of Science</v>
      </c>
      <c r="BU2641" s="1"/>
      <c r="BV2641" s="1"/>
    </row>
    <row r="2642" spans="1:74">
      <c r="A2642" s="1" t="s">
        <v>72</v>
      </c>
      <c r="B2642" s="1" t="s">
        <v>42079</v>
      </c>
      <c r="C2642" s="1" t="s">
        <v>74</v>
      </c>
      <c r="D2642" s="1" t="s">
        <v>74</v>
      </c>
      <c r="E2642" s="1" t="s">
        <v>74</v>
      </c>
      <c r="F2642" s="1" t="s">
        <v>42080</v>
      </c>
      <c r="G2642" s="1" t="s">
        <v>74</v>
      </c>
      <c r="H2642" s="1" t="s">
        <v>74</v>
      </c>
      <c r="I2642" s="1" t="s">
        <v>42081</v>
      </c>
      <c r="J2642" s="1" t="s">
        <v>232</v>
      </c>
      <c r="K2642" s="1" t="s">
        <v>74</v>
      </c>
      <c r="L2642" s="1" t="s">
        <v>74</v>
      </c>
      <c r="M2642" s="1" t="s">
        <v>78</v>
      </c>
      <c r="N2642" s="1" t="s">
        <v>79</v>
      </c>
      <c r="O2642" s="1" t="s">
        <v>74</v>
      </c>
      <c r="P2642" s="1" t="s">
        <v>74</v>
      </c>
      <c r="Q2642" s="1" t="s">
        <v>74</v>
      </c>
      <c r="R2642" s="1" t="s">
        <v>74</v>
      </c>
      <c r="S2642" s="1" t="s">
        <v>74</v>
      </c>
      <c r="T2642" s="1" t="s">
        <v>42082</v>
      </c>
      <c r="U2642" s="1" t="s">
        <v>42083</v>
      </c>
      <c r="V2642" s="1" t="s">
        <v>42084</v>
      </c>
      <c r="W2642" s="1" t="s">
        <v>42085</v>
      </c>
      <c r="X2642" s="1" t="s">
        <v>42086</v>
      </c>
      <c r="Y2642" s="1" t="s">
        <v>42087</v>
      </c>
      <c r="Z2642" s="1" t="s">
        <v>42088</v>
      </c>
      <c r="AA2642" s="1" t="s">
        <v>42089</v>
      </c>
      <c r="AB2642" s="1" t="s">
        <v>74</v>
      </c>
      <c r="AC2642" s="1" t="s">
        <v>74</v>
      </c>
      <c r="AD2642" s="1" t="s">
        <v>74</v>
      </c>
      <c r="AE2642" s="1" t="s">
        <v>74</v>
      </c>
      <c r="AF2642" s="1" t="s">
        <v>74</v>
      </c>
      <c r="AG2642" s="1">
        <v>50</v>
      </c>
      <c r="AH2642" s="1">
        <v>0</v>
      </c>
      <c r="AI2642" s="1">
        <v>0</v>
      </c>
      <c r="AJ2642" s="1">
        <v>4</v>
      </c>
      <c r="AK2642" s="1">
        <v>4</v>
      </c>
      <c r="AL2642" s="1" t="s">
        <v>136</v>
      </c>
      <c r="AM2642" s="1" t="s">
        <v>137</v>
      </c>
      <c r="AN2642" s="1" t="s">
        <v>138</v>
      </c>
      <c r="AO2642" s="1" t="s">
        <v>240</v>
      </c>
      <c r="AP2642" s="1" t="s">
        <v>241</v>
      </c>
      <c r="AQ2642" s="1" t="s">
        <v>74</v>
      </c>
      <c r="AR2642" s="1" t="s">
        <v>242</v>
      </c>
      <c r="AS2642" s="1" t="s">
        <v>243</v>
      </c>
      <c r="AT2642" s="1" t="s">
        <v>93</v>
      </c>
      <c r="AU2642" s="1">
        <v>2024</v>
      </c>
      <c r="AV2642" s="1">
        <v>201</v>
      </c>
      <c r="AW2642" s="1" t="s">
        <v>74</v>
      </c>
      <c r="AX2642" s="1" t="s">
        <v>74</v>
      </c>
      <c r="AY2642" s="1" t="s">
        <v>74</v>
      </c>
      <c r="AZ2642" s="1" t="s">
        <v>74</v>
      </c>
      <c r="BA2642" s="1" t="s">
        <v>74</v>
      </c>
      <c r="BB2642" s="1" t="s">
        <v>74</v>
      </c>
      <c r="BC2642" s="1" t="s">
        <v>74</v>
      </c>
      <c r="BD2642" s="1">
        <v>116174</v>
      </c>
      <c r="BE2642" s="1" t="s">
        <v>42090</v>
      </c>
      <c r="BF2642" s="1" t="str">
        <f>HYPERLINK("http://dx.doi.org/10.1016/j.marpolbul.2024.116174","http://dx.doi.org/10.1016/j.marpolbul.2024.116174")</f>
        <v>http://dx.doi.org/10.1016/j.marpolbul.2024.116174</v>
      </c>
      <c r="BG2642" s="1" t="s">
        <v>74</v>
      </c>
      <c r="BH2642" s="1" t="s">
        <v>2782</v>
      </c>
      <c r="BI2642" s="1">
        <v>7</v>
      </c>
      <c r="BJ2642" s="1" t="s">
        <v>247</v>
      </c>
      <c r="BK2642" s="1" t="s">
        <v>96</v>
      </c>
      <c r="BL2642" s="1" t="s">
        <v>248</v>
      </c>
      <c r="BM2642" s="1" t="s">
        <v>42091</v>
      </c>
      <c r="BN2642" s="1">
        <v>38382322</v>
      </c>
      <c r="BO2642" s="1" t="s">
        <v>74</v>
      </c>
      <c r="BP2642" s="1" t="s">
        <v>74</v>
      </c>
      <c r="BQ2642" s="1" t="s">
        <v>74</v>
      </c>
      <c r="BR2642" s="1" t="s">
        <v>98</v>
      </c>
      <c r="BS2642" s="1" t="s">
        <v>42092</v>
      </c>
      <c r="BT2642" s="1" t="str">
        <f>HYPERLINK("https%3A%2F%2Fwww.webofscience.com%2Fwos%2Fwoscc%2Ffull-record%2FWOS:001205575300001","View Full Record in Web of Science")</f>
        <v>View Full Record in Web of Science</v>
      </c>
      <c r="BU2642" s="1"/>
      <c r="BV2642" s="1"/>
    </row>
    <row r="2643" spans="1:74">
      <c r="A2643" s="1" t="s">
        <v>72</v>
      </c>
      <c r="B2643" s="1" t="s">
        <v>42093</v>
      </c>
      <c r="C2643" s="1" t="s">
        <v>74</v>
      </c>
      <c r="D2643" s="1" t="s">
        <v>74</v>
      </c>
      <c r="E2643" s="1" t="s">
        <v>74</v>
      </c>
      <c r="F2643" s="1" t="s">
        <v>42094</v>
      </c>
      <c r="G2643" s="1" t="s">
        <v>74</v>
      </c>
      <c r="H2643" s="1" t="s">
        <v>74</v>
      </c>
      <c r="I2643" s="1" t="s">
        <v>42095</v>
      </c>
      <c r="J2643" s="1" t="s">
        <v>13235</v>
      </c>
      <c r="K2643" s="1" t="s">
        <v>74</v>
      </c>
      <c r="L2643" s="1" t="s">
        <v>74</v>
      </c>
      <c r="M2643" s="1" t="s">
        <v>78</v>
      </c>
      <c r="N2643" s="1" t="s">
        <v>79</v>
      </c>
      <c r="O2643" s="1" t="s">
        <v>74</v>
      </c>
      <c r="P2643" s="1" t="s">
        <v>74</v>
      </c>
      <c r="Q2643" s="1" t="s">
        <v>74</v>
      </c>
      <c r="R2643" s="1" t="s">
        <v>74</v>
      </c>
      <c r="S2643" s="1" t="s">
        <v>74</v>
      </c>
      <c r="T2643" s="1" t="s">
        <v>74</v>
      </c>
      <c r="U2643" s="1" t="s">
        <v>42096</v>
      </c>
      <c r="V2643" s="1" t="s">
        <v>42097</v>
      </c>
      <c r="W2643" s="1" t="s">
        <v>42098</v>
      </c>
      <c r="X2643" s="1" t="s">
        <v>42099</v>
      </c>
      <c r="Y2643" s="1" t="s">
        <v>42100</v>
      </c>
      <c r="Z2643" s="1" t="s">
        <v>42101</v>
      </c>
      <c r="AA2643" s="1" t="s">
        <v>42102</v>
      </c>
      <c r="AB2643" s="1" t="s">
        <v>42103</v>
      </c>
      <c r="AC2643" s="1" t="s">
        <v>74</v>
      </c>
      <c r="AD2643" s="1" t="s">
        <v>74</v>
      </c>
      <c r="AE2643" s="1" t="s">
        <v>74</v>
      </c>
      <c r="AF2643" s="1" t="s">
        <v>74</v>
      </c>
      <c r="AG2643" s="1">
        <v>37</v>
      </c>
      <c r="AH2643" s="1">
        <v>80</v>
      </c>
      <c r="AI2643" s="1">
        <v>97</v>
      </c>
      <c r="AJ2643" s="1">
        <v>4</v>
      </c>
      <c r="AK2643" s="1">
        <v>117</v>
      </c>
      <c r="AL2643" s="1" t="s">
        <v>42104</v>
      </c>
      <c r="AM2643" s="1" t="s">
        <v>13247</v>
      </c>
      <c r="AN2643" s="1" t="s">
        <v>42105</v>
      </c>
      <c r="AO2643" s="1" t="s">
        <v>13249</v>
      </c>
      <c r="AP2643" s="1" t="s">
        <v>74</v>
      </c>
      <c r="AQ2643" s="1" t="s">
        <v>74</v>
      </c>
      <c r="AR2643" s="1" t="s">
        <v>13250</v>
      </c>
      <c r="AS2643" s="1" t="s">
        <v>13251</v>
      </c>
      <c r="AT2643" s="1" t="s">
        <v>267</v>
      </c>
      <c r="AU2643" s="1">
        <v>2006</v>
      </c>
      <c r="AV2643" s="1">
        <v>84</v>
      </c>
      <c r="AW2643" s="1">
        <v>10</v>
      </c>
      <c r="AX2643" s="1" t="s">
        <v>74</v>
      </c>
      <c r="AY2643" s="1" t="s">
        <v>74</v>
      </c>
      <c r="AZ2643" s="1" t="s">
        <v>74</v>
      </c>
      <c r="BA2643" s="1" t="s">
        <v>74</v>
      </c>
      <c r="BB2643" s="1">
        <v>1528</v>
      </c>
      <c r="BC2643" s="1">
        <v>1532</v>
      </c>
      <c r="BD2643" s="1" t="s">
        <v>74</v>
      </c>
      <c r="BE2643" s="1" t="s">
        <v>42106</v>
      </c>
      <c r="BF2643" s="1" t="str">
        <f>HYPERLINK("http://dx.doi.org/10.1139/Z06-142","http://dx.doi.org/10.1139/Z06-142")</f>
        <v>http://dx.doi.org/10.1139/Z06-142</v>
      </c>
      <c r="BG2643" s="1" t="s">
        <v>74</v>
      </c>
      <c r="BH2643" s="1" t="s">
        <v>74</v>
      </c>
      <c r="BI2643" s="1">
        <v>5</v>
      </c>
      <c r="BJ2643" s="1" t="s">
        <v>2210</v>
      </c>
      <c r="BK2643" s="1" t="s">
        <v>96</v>
      </c>
      <c r="BL2643" s="1" t="s">
        <v>2210</v>
      </c>
      <c r="BM2643" s="1" t="s">
        <v>42107</v>
      </c>
      <c r="BN2643" s="1" t="s">
        <v>74</v>
      </c>
      <c r="BO2643" s="1" t="s">
        <v>74</v>
      </c>
      <c r="BP2643" s="1" t="s">
        <v>74</v>
      </c>
      <c r="BQ2643" s="1" t="s">
        <v>74</v>
      </c>
      <c r="BR2643" s="1" t="s">
        <v>98</v>
      </c>
      <c r="BS2643" s="1" t="s">
        <v>42108</v>
      </c>
      <c r="BT2643" s="1" t="str">
        <f>HYPERLINK("https%3A%2F%2Fwww.webofscience.com%2Fwos%2Fwoscc%2Ffull-record%2FWOS:000243192700016","View Full Record in Web of Science")</f>
        <v>View Full Record in Web of Science</v>
      </c>
      <c r="BU2643" s="1"/>
      <c r="BV2643" s="1"/>
    </row>
    <row r="2644" spans="1:74">
      <c r="A2644" s="1" t="s">
        <v>72</v>
      </c>
      <c r="B2644" s="1" t="s">
        <v>42109</v>
      </c>
      <c r="C2644" s="1" t="s">
        <v>74</v>
      </c>
      <c r="D2644" s="1" t="s">
        <v>74</v>
      </c>
      <c r="E2644" s="1" t="s">
        <v>74</v>
      </c>
      <c r="F2644" s="1" t="s">
        <v>42110</v>
      </c>
      <c r="G2644" s="1" t="s">
        <v>74</v>
      </c>
      <c r="H2644" s="1" t="s">
        <v>74</v>
      </c>
      <c r="I2644" s="1" t="s">
        <v>42111</v>
      </c>
      <c r="J2644" s="1" t="s">
        <v>3857</v>
      </c>
      <c r="K2644" s="1" t="s">
        <v>74</v>
      </c>
      <c r="L2644" s="1" t="s">
        <v>74</v>
      </c>
      <c r="M2644" s="1" t="s">
        <v>78</v>
      </c>
      <c r="N2644" s="1" t="s">
        <v>151</v>
      </c>
      <c r="O2644" s="1" t="s">
        <v>14635</v>
      </c>
      <c r="P2644" s="1" t="s">
        <v>14636</v>
      </c>
      <c r="Q2644" s="1" t="s">
        <v>14637</v>
      </c>
      <c r="R2644" s="1" t="s">
        <v>74</v>
      </c>
      <c r="S2644" s="1" t="s">
        <v>74</v>
      </c>
      <c r="T2644" s="1" t="s">
        <v>42112</v>
      </c>
      <c r="U2644" s="1" t="s">
        <v>42113</v>
      </c>
      <c r="V2644" s="1" t="s">
        <v>42114</v>
      </c>
      <c r="W2644" s="1" t="s">
        <v>42115</v>
      </c>
      <c r="X2644" s="1" t="s">
        <v>2697</v>
      </c>
      <c r="Y2644" s="1" t="s">
        <v>42116</v>
      </c>
      <c r="Z2644" s="1" t="s">
        <v>42117</v>
      </c>
      <c r="AA2644" s="1" t="s">
        <v>42118</v>
      </c>
      <c r="AB2644" s="1" t="s">
        <v>42119</v>
      </c>
      <c r="AC2644" s="1" t="s">
        <v>74</v>
      </c>
      <c r="AD2644" s="1" t="s">
        <v>74</v>
      </c>
      <c r="AE2644" s="1" t="s">
        <v>74</v>
      </c>
      <c r="AF2644" s="1" t="s">
        <v>74</v>
      </c>
      <c r="AG2644" s="1">
        <v>71</v>
      </c>
      <c r="AH2644" s="1">
        <v>13</v>
      </c>
      <c r="AI2644" s="1">
        <v>14</v>
      </c>
      <c r="AJ2644" s="1">
        <v>1</v>
      </c>
      <c r="AK2644" s="1">
        <v>11</v>
      </c>
      <c r="AL2644" s="1" t="s">
        <v>650</v>
      </c>
      <c r="AM2644" s="1" t="s">
        <v>651</v>
      </c>
      <c r="AN2644" s="1" t="s">
        <v>652</v>
      </c>
      <c r="AO2644" s="1" t="s">
        <v>3868</v>
      </c>
      <c r="AP2644" s="1" t="s">
        <v>3869</v>
      </c>
      <c r="AQ2644" s="1" t="s">
        <v>74</v>
      </c>
      <c r="AR2644" s="1" t="s">
        <v>3857</v>
      </c>
      <c r="AS2644" s="1" t="s">
        <v>3870</v>
      </c>
      <c r="AT2644" s="1" t="s">
        <v>1856</v>
      </c>
      <c r="AU2644" s="1">
        <v>2009</v>
      </c>
      <c r="AV2644" s="1">
        <v>443</v>
      </c>
      <c r="AW2644" s="1" t="s">
        <v>326</v>
      </c>
      <c r="AX2644" s="1" t="s">
        <v>74</v>
      </c>
      <c r="AY2644" s="1" t="s">
        <v>74</v>
      </c>
      <c r="AZ2644" s="1" t="s">
        <v>74</v>
      </c>
      <c r="BA2644" s="1" t="s">
        <v>74</v>
      </c>
      <c r="BB2644" s="1">
        <v>132</v>
      </c>
      <c r="BC2644" s="1">
        <v>142</v>
      </c>
      <c r="BD2644" s="1" t="s">
        <v>74</v>
      </c>
      <c r="BE2644" s="1" t="s">
        <v>42120</v>
      </c>
      <c r="BF2644" s="1" t="str">
        <f>HYPERLINK("http://dx.doi.org/10.1016/j.gene.2009.05.008","http://dx.doi.org/10.1016/j.gene.2009.05.008")</f>
        <v>http://dx.doi.org/10.1016/j.gene.2009.05.008</v>
      </c>
      <c r="BG2644" s="1" t="s">
        <v>74</v>
      </c>
      <c r="BH2644" s="1" t="s">
        <v>74</v>
      </c>
      <c r="BI2644" s="1">
        <v>11</v>
      </c>
      <c r="BJ2644" s="1" t="s">
        <v>3873</v>
      </c>
      <c r="BK2644" s="1" t="s">
        <v>172</v>
      </c>
      <c r="BL2644" s="1" t="s">
        <v>3873</v>
      </c>
      <c r="BM2644" s="1" t="s">
        <v>42121</v>
      </c>
      <c r="BN2644" s="1">
        <v>19465092</v>
      </c>
      <c r="BO2644" s="1" t="s">
        <v>74</v>
      </c>
      <c r="BP2644" s="1" t="s">
        <v>74</v>
      </c>
      <c r="BQ2644" s="1" t="s">
        <v>74</v>
      </c>
      <c r="BR2644" s="1" t="s">
        <v>98</v>
      </c>
      <c r="BS2644" s="1" t="s">
        <v>42122</v>
      </c>
      <c r="BT2644" s="1" t="str">
        <f>HYPERLINK("https%3A%2F%2Fwww.webofscience.com%2Fwos%2Fwoscc%2Ffull-record%2FWOS:000268084100016","View Full Record in Web of Science")</f>
        <v>View Full Record in Web of Science</v>
      </c>
      <c r="BU2644" s="1"/>
      <c r="BV2644" s="1"/>
    </row>
    <row r="2645" spans="1:74">
      <c r="A2645" s="1" t="s">
        <v>72</v>
      </c>
      <c r="B2645" s="1" t="s">
        <v>42123</v>
      </c>
      <c r="C2645" s="1" t="s">
        <v>74</v>
      </c>
      <c r="D2645" s="1" t="s">
        <v>74</v>
      </c>
      <c r="E2645" s="1" t="s">
        <v>74</v>
      </c>
      <c r="F2645" s="1" t="s">
        <v>42124</v>
      </c>
      <c r="G2645" s="1" t="s">
        <v>74</v>
      </c>
      <c r="H2645" s="1" t="s">
        <v>74</v>
      </c>
      <c r="I2645" s="1" t="s">
        <v>42125</v>
      </c>
      <c r="J2645" s="1" t="s">
        <v>232</v>
      </c>
      <c r="K2645" s="1" t="s">
        <v>74</v>
      </c>
      <c r="L2645" s="1" t="s">
        <v>74</v>
      </c>
      <c r="M2645" s="1" t="s">
        <v>78</v>
      </c>
      <c r="N2645" s="1" t="s">
        <v>79</v>
      </c>
      <c r="O2645" s="1" t="s">
        <v>74</v>
      </c>
      <c r="P2645" s="1" t="s">
        <v>74</v>
      </c>
      <c r="Q2645" s="1" t="s">
        <v>74</v>
      </c>
      <c r="R2645" s="1" t="s">
        <v>74</v>
      </c>
      <c r="S2645" s="1" t="s">
        <v>74</v>
      </c>
      <c r="T2645" s="1" t="s">
        <v>42126</v>
      </c>
      <c r="U2645" s="1" t="s">
        <v>42127</v>
      </c>
      <c r="V2645" s="1" t="s">
        <v>42128</v>
      </c>
      <c r="W2645" s="1" t="s">
        <v>42129</v>
      </c>
      <c r="X2645" s="1" t="s">
        <v>17413</v>
      </c>
      <c r="Y2645" s="1" t="s">
        <v>42130</v>
      </c>
      <c r="Z2645" s="1" t="s">
        <v>42131</v>
      </c>
      <c r="AA2645" s="1" t="s">
        <v>42132</v>
      </c>
      <c r="AB2645" s="1" t="s">
        <v>42133</v>
      </c>
      <c r="AC2645" s="1" t="s">
        <v>42134</v>
      </c>
      <c r="AD2645" s="1" t="s">
        <v>42135</v>
      </c>
      <c r="AE2645" s="1" t="s">
        <v>42136</v>
      </c>
      <c r="AF2645" s="1" t="s">
        <v>74</v>
      </c>
      <c r="AG2645" s="1">
        <v>63</v>
      </c>
      <c r="AH2645" s="1">
        <v>6</v>
      </c>
      <c r="AI2645" s="1">
        <v>6</v>
      </c>
      <c r="AJ2645" s="1">
        <v>8</v>
      </c>
      <c r="AK2645" s="1">
        <v>20</v>
      </c>
      <c r="AL2645" s="1" t="s">
        <v>136</v>
      </c>
      <c r="AM2645" s="1" t="s">
        <v>137</v>
      </c>
      <c r="AN2645" s="1" t="s">
        <v>138</v>
      </c>
      <c r="AO2645" s="1" t="s">
        <v>240</v>
      </c>
      <c r="AP2645" s="1" t="s">
        <v>241</v>
      </c>
      <c r="AQ2645" s="1" t="s">
        <v>74</v>
      </c>
      <c r="AR2645" s="1" t="s">
        <v>242</v>
      </c>
      <c r="AS2645" s="1" t="s">
        <v>243</v>
      </c>
      <c r="AT2645" s="1" t="s">
        <v>197</v>
      </c>
      <c r="AU2645" s="1">
        <v>2020</v>
      </c>
      <c r="AV2645" s="1">
        <v>161</v>
      </c>
      <c r="AW2645" s="1" t="s">
        <v>74</v>
      </c>
      <c r="AX2645" s="1" t="s">
        <v>13570</v>
      </c>
      <c r="AY2645" s="1" t="s">
        <v>74</v>
      </c>
      <c r="AZ2645" s="1" t="s">
        <v>74</v>
      </c>
      <c r="BA2645" s="1" t="s">
        <v>74</v>
      </c>
      <c r="BB2645" s="1" t="s">
        <v>74</v>
      </c>
      <c r="BC2645" s="1" t="s">
        <v>74</v>
      </c>
      <c r="BD2645" s="1">
        <v>111806</v>
      </c>
      <c r="BE2645" s="1" t="s">
        <v>42137</v>
      </c>
      <c r="BF2645" s="1" t="str">
        <f>HYPERLINK("http://dx.doi.org/10.1016/j.marpolbul.2020.111806","http://dx.doi.org/10.1016/j.marpolbul.2020.111806")</f>
        <v>http://dx.doi.org/10.1016/j.marpolbul.2020.111806</v>
      </c>
      <c r="BG2645" s="1" t="s">
        <v>74</v>
      </c>
      <c r="BH2645" s="1" t="s">
        <v>74</v>
      </c>
      <c r="BI2645" s="1">
        <v>11</v>
      </c>
      <c r="BJ2645" s="1" t="s">
        <v>247</v>
      </c>
      <c r="BK2645" s="1" t="s">
        <v>96</v>
      </c>
      <c r="BL2645" s="1" t="s">
        <v>248</v>
      </c>
      <c r="BM2645" s="1" t="s">
        <v>42138</v>
      </c>
      <c r="BN2645" s="1">
        <v>33126142</v>
      </c>
      <c r="BO2645" s="1" t="s">
        <v>74</v>
      </c>
      <c r="BP2645" s="1" t="s">
        <v>74</v>
      </c>
      <c r="BQ2645" s="1" t="s">
        <v>74</v>
      </c>
      <c r="BR2645" s="1" t="s">
        <v>98</v>
      </c>
      <c r="BS2645" s="1" t="s">
        <v>42139</v>
      </c>
      <c r="BT2645" s="1" t="str">
        <f>HYPERLINK("https%3A%2F%2Fwww.webofscience.com%2Fwos%2Fwoscc%2Ffull-record%2FWOS:000600317600006","View Full Record in Web of Science")</f>
        <v>View Full Record in Web of Science</v>
      </c>
      <c r="BU2645" s="1"/>
      <c r="BV2645" s="1"/>
    </row>
    <row r="2646" spans="1:74">
      <c r="A2646" s="1" t="s">
        <v>72</v>
      </c>
      <c r="B2646" s="1" t="s">
        <v>42140</v>
      </c>
      <c r="C2646" s="1" t="s">
        <v>74</v>
      </c>
      <c r="D2646" s="1" t="s">
        <v>74</v>
      </c>
      <c r="E2646" s="1" t="s">
        <v>74</v>
      </c>
      <c r="F2646" s="1" t="s">
        <v>42141</v>
      </c>
      <c r="G2646" s="1" t="s">
        <v>74</v>
      </c>
      <c r="H2646" s="1" t="s">
        <v>74</v>
      </c>
      <c r="I2646" s="1" t="s">
        <v>42142</v>
      </c>
      <c r="J2646" s="1" t="s">
        <v>641</v>
      </c>
      <c r="K2646" s="1" t="s">
        <v>74</v>
      </c>
      <c r="L2646" s="1" t="s">
        <v>74</v>
      </c>
      <c r="M2646" s="1" t="s">
        <v>78</v>
      </c>
      <c r="N2646" s="1" t="s">
        <v>79</v>
      </c>
      <c r="O2646" s="1" t="s">
        <v>74</v>
      </c>
      <c r="P2646" s="1" t="s">
        <v>74</v>
      </c>
      <c r="Q2646" s="1" t="s">
        <v>74</v>
      </c>
      <c r="R2646" s="1" t="s">
        <v>74</v>
      </c>
      <c r="S2646" s="1" t="s">
        <v>74</v>
      </c>
      <c r="T2646" s="1" t="s">
        <v>42143</v>
      </c>
      <c r="U2646" s="1" t="s">
        <v>42144</v>
      </c>
      <c r="V2646" s="1" t="s">
        <v>42145</v>
      </c>
      <c r="W2646" s="1" t="s">
        <v>42146</v>
      </c>
      <c r="X2646" s="1" t="s">
        <v>2697</v>
      </c>
      <c r="Y2646" s="1" t="s">
        <v>42147</v>
      </c>
      <c r="Z2646" s="1" t="s">
        <v>19077</v>
      </c>
      <c r="AA2646" s="1" t="s">
        <v>42148</v>
      </c>
      <c r="AB2646" s="1" t="s">
        <v>42149</v>
      </c>
      <c r="AC2646" s="1" t="s">
        <v>42150</v>
      </c>
      <c r="AD2646" s="1" t="s">
        <v>42151</v>
      </c>
      <c r="AE2646" s="1" t="s">
        <v>42152</v>
      </c>
      <c r="AF2646" s="1" t="s">
        <v>74</v>
      </c>
      <c r="AG2646" s="1">
        <v>75</v>
      </c>
      <c r="AH2646" s="1">
        <v>10</v>
      </c>
      <c r="AI2646" s="1">
        <v>10</v>
      </c>
      <c r="AJ2646" s="1">
        <v>0</v>
      </c>
      <c r="AK2646" s="1">
        <v>43</v>
      </c>
      <c r="AL2646" s="1" t="s">
        <v>650</v>
      </c>
      <c r="AM2646" s="1" t="s">
        <v>651</v>
      </c>
      <c r="AN2646" s="1" t="s">
        <v>652</v>
      </c>
      <c r="AO2646" s="1" t="s">
        <v>653</v>
      </c>
      <c r="AP2646" s="1" t="s">
        <v>654</v>
      </c>
      <c r="AQ2646" s="1" t="s">
        <v>74</v>
      </c>
      <c r="AR2646" s="1" t="s">
        <v>655</v>
      </c>
      <c r="AS2646" s="1" t="s">
        <v>656</v>
      </c>
      <c r="AT2646" s="1" t="s">
        <v>344</v>
      </c>
      <c r="AU2646" s="1">
        <v>2013</v>
      </c>
      <c r="AV2646" s="1">
        <v>136</v>
      </c>
      <c r="AW2646" s="1" t="s">
        <v>74</v>
      </c>
      <c r="AX2646" s="1" t="s">
        <v>74</v>
      </c>
      <c r="AY2646" s="1" t="s">
        <v>74</v>
      </c>
      <c r="AZ2646" s="1" t="s">
        <v>74</v>
      </c>
      <c r="BA2646" s="1" t="s">
        <v>74</v>
      </c>
      <c r="BB2646" s="1">
        <v>101</v>
      </c>
      <c r="BC2646" s="1">
        <v>111</v>
      </c>
      <c r="BD2646" s="1" t="s">
        <v>74</v>
      </c>
      <c r="BE2646" s="1" t="s">
        <v>42153</v>
      </c>
      <c r="BF2646" s="1" t="str">
        <f>HYPERLINK("http://dx.doi.org/10.1016/j.aquatox.2013.03.018","http://dx.doi.org/10.1016/j.aquatox.2013.03.018")</f>
        <v>http://dx.doi.org/10.1016/j.aquatox.2013.03.018</v>
      </c>
      <c r="BG2646" s="1" t="s">
        <v>74</v>
      </c>
      <c r="BH2646" s="1" t="s">
        <v>74</v>
      </c>
      <c r="BI2646" s="1">
        <v>11</v>
      </c>
      <c r="BJ2646" s="1" t="s">
        <v>659</v>
      </c>
      <c r="BK2646" s="1" t="s">
        <v>96</v>
      </c>
      <c r="BL2646" s="1" t="s">
        <v>659</v>
      </c>
      <c r="BM2646" s="1" t="s">
        <v>42154</v>
      </c>
      <c r="BN2646" s="1">
        <v>23665240</v>
      </c>
      <c r="BO2646" s="1" t="s">
        <v>74</v>
      </c>
      <c r="BP2646" s="1" t="s">
        <v>74</v>
      </c>
      <c r="BQ2646" s="1" t="s">
        <v>74</v>
      </c>
      <c r="BR2646" s="1" t="s">
        <v>98</v>
      </c>
      <c r="BS2646" s="1" t="s">
        <v>42155</v>
      </c>
      <c r="BT2646" s="1" t="str">
        <f>HYPERLINK("https%3A%2F%2Fwww.webofscience.com%2Fwos%2Fwoscc%2Ffull-record%2FWOS:000322057200010","View Full Record in Web of Science")</f>
        <v>View Full Record in Web of Science</v>
      </c>
      <c r="BU2646" s="1"/>
      <c r="BV2646" s="1"/>
    </row>
    <row r="2647" spans="1:74">
      <c r="A2647" s="1" t="s">
        <v>72</v>
      </c>
      <c r="B2647" s="1" t="s">
        <v>42156</v>
      </c>
      <c r="C2647" s="1" t="s">
        <v>74</v>
      </c>
      <c r="D2647" s="1" t="s">
        <v>74</v>
      </c>
      <c r="E2647" s="1" t="s">
        <v>74</v>
      </c>
      <c r="F2647" s="1" t="s">
        <v>42157</v>
      </c>
      <c r="G2647" s="1" t="s">
        <v>74</v>
      </c>
      <c r="H2647" s="1" t="s">
        <v>74</v>
      </c>
      <c r="I2647" s="1" t="s">
        <v>42158</v>
      </c>
      <c r="J2647" s="1" t="s">
        <v>232</v>
      </c>
      <c r="K2647" s="1" t="s">
        <v>74</v>
      </c>
      <c r="L2647" s="1" t="s">
        <v>74</v>
      </c>
      <c r="M2647" s="1" t="s">
        <v>78</v>
      </c>
      <c r="N2647" s="1" t="s">
        <v>79</v>
      </c>
      <c r="O2647" s="1" t="s">
        <v>74</v>
      </c>
      <c r="P2647" s="1" t="s">
        <v>74</v>
      </c>
      <c r="Q2647" s="1" t="s">
        <v>74</v>
      </c>
      <c r="R2647" s="1" t="s">
        <v>74</v>
      </c>
      <c r="S2647" s="1" t="s">
        <v>74</v>
      </c>
      <c r="T2647" s="1" t="s">
        <v>42159</v>
      </c>
      <c r="U2647" s="1" t="s">
        <v>42160</v>
      </c>
      <c r="V2647" s="1" t="s">
        <v>42161</v>
      </c>
      <c r="W2647" s="1" t="s">
        <v>42162</v>
      </c>
      <c r="X2647" s="1" t="s">
        <v>42163</v>
      </c>
      <c r="Y2647" s="1" t="s">
        <v>42164</v>
      </c>
      <c r="Z2647" s="1" t="s">
        <v>42165</v>
      </c>
      <c r="AA2647" s="1" t="s">
        <v>42166</v>
      </c>
      <c r="AB2647" s="1" t="s">
        <v>42167</v>
      </c>
      <c r="AC2647" s="1" t="s">
        <v>74</v>
      </c>
      <c r="AD2647" s="1" t="s">
        <v>74</v>
      </c>
      <c r="AE2647" s="1" t="s">
        <v>74</v>
      </c>
      <c r="AF2647" s="1" t="s">
        <v>74</v>
      </c>
      <c r="AG2647" s="1">
        <v>61</v>
      </c>
      <c r="AH2647" s="1">
        <v>1</v>
      </c>
      <c r="AI2647" s="1">
        <v>1</v>
      </c>
      <c r="AJ2647" s="1">
        <v>1</v>
      </c>
      <c r="AK2647" s="1">
        <v>17</v>
      </c>
      <c r="AL2647" s="1" t="s">
        <v>136</v>
      </c>
      <c r="AM2647" s="1" t="s">
        <v>137</v>
      </c>
      <c r="AN2647" s="1" t="s">
        <v>138</v>
      </c>
      <c r="AO2647" s="1" t="s">
        <v>240</v>
      </c>
      <c r="AP2647" s="1" t="s">
        <v>241</v>
      </c>
      <c r="AQ2647" s="1" t="s">
        <v>74</v>
      </c>
      <c r="AR2647" s="1" t="s">
        <v>242</v>
      </c>
      <c r="AS2647" s="1" t="s">
        <v>243</v>
      </c>
      <c r="AT2647" s="1" t="s">
        <v>142</v>
      </c>
      <c r="AU2647" s="1">
        <v>2021</v>
      </c>
      <c r="AV2647" s="1">
        <v>167</v>
      </c>
      <c r="AW2647" s="1" t="s">
        <v>74</v>
      </c>
      <c r="AX2647" s="1" t="s">
        <v>74</v>
      </c>
      <c r="AY2647" s="1" t="s">
        <v>74</v>
      </c>
      <c r="AZ2647" s="1" t="s">
        <v>74</v>
      </c>
      <c r="BA2647" s="1" t="s">
        <v>74</v>
      </c>
      <c r="BB2647" s="1" t="s">
        <v>74</v>
      </c>
      <c r="BC2647" s="1" t="s">
        <v>74</v>
      </c>
      <c r="BD2647" s="1">
        <v>112259</v>
      </c>
      <c r="BE2647" s="1" t="s">
        <v>42168</v>
      </c>
      <c r="BF2647" s="1" t="str">
        <f>HYPERLINK("http://dx.doi.org/10.1016/j.marpolbul.2021.112259","http://dx.doi.org/10.1016/j.marpolbul.2021.112259")</f>
        <v>http://dx.doi.org/10.1016/j.marpolbul.2021.112259</v>
      </c>
      <c r="BG2647" s="1" t="s">
        <v>74</v>
      </c>
      <c r="BH2647" s="1" t="s">
        <v>14421</v>
      </c>
      <c r="BI2647" s="1">
        <v>12</v>
      </c>
      <c r="BJ2647" s="1" t="s">
        <v>247</v>
      </c>
      <c r="BK2647" s="1" t="s">
        <v>96</v>
      </c>
      <c r="BL2647" s="1" t="s">
        <v>248</v>
      </c>
      <c r="BM2647" s="1" t="s">
        <v>42169</v>
      </c>
      <c r="BN2647" s="1">
        <v>33839569</v>
      </c>
      <c r="BO2647" s="1" t="s">
        <v>74</v>
      </c>
      <c r="BP2647" s="1" t="s">
        <v>74</v>
      </c>
      <c r="BQ2647" s="1" t="s">
        <v>74</v>
      </c>
      <c r="BR2647" s="1" t="s">
        <v>98</v>
      </c>
      <c r="BS2647" s="1" t="s">
        <v>42170</v>
      </c>
      <c r="BT2647" s="1" t="str">
        <f>HYPERLINK("https%3A%2F%2Fwww.webofscience.com%2Fwos%2Fwoscc%2Ffull-record%2FWOS:000655695500006","View Full Record in Web of Science")</f>
        <v>View Full Record in Web of Science</v>
      </c>
      <c r="BU2647" s="1"/>
      <c r="BV2647" s="1"/>
    </row>
    <row r="2648" spans="1:74">
      <c r="A2648" s="1" t="s">
        <v>72</v>
      </c>
      <c r="B2648" s="1" t="s">
        <v>42171</v>
      </c>
      <c r="C2648" s="1" t="s">
        <v>74</v>
      </c>
      <c r="D2648" s="1" t="s">
        <v>74</v>
      </c>
      <c r="E2648" s="1" t="s">
        <v>74</v>
      </c>
      <c r="F2648" s="1" t="s">
        <v>42172</v>
      </c>
      <c r="G2648" s="1" t="s">
        <v>74</v>
      </c>
      <c r="H2648" s="1" t="s">
        <v>74</v>
      </c>
      <c r="I2648" s="1" t="s">
        <v>42173</v>
      </c>
      <c r="J2648" s="1" t="s">
        <v>32518</v>
      </c>
      <c r="K2648" s="1" t="s">
        <v>74</v>
      </c>
      <c r="L2648" s="1" t="s">
        <v>74</v>
      </c>
      <c r="M2648" s="1" t="s">
        <v>78</v>
      </c>
      <c r="N2648" s="1" t="s">
        <v>79</v>
      </c>
      <c r="O2648" s="1" t="s">
        <v>74</v>
      </c>
      <c r="P2648" s="1" t="s">
        <v>74</v>
      </c>
      <c r="Q2648" s="1" t="s">
        <v>74</v>
      </c>
      <c r="R2648" s="1" t="s">
        <v>74</v>
      </c>
      <c r="S2648" s="1" t="s">
        <v>74</v>
      </c>
      <c r="T2648" s="1" t="s">
        <v>42174</v>
      </c>
      <c r="U2648" s="1" t="s">
        <v>42175</v>
      </c>
      <c r="V2648" s="1" t="s">
        <v>42176</v>
      </c>
      <c r="W2648" s="1" t="s">
        <v>42177</v>
      </c>
      <c r="X2648" s="1" t="s">
        <v>42178</v>
      </c>
      <c r="Y2648" s="1" t="s">
        <v>42179</v>
      </c>
      <c r="Z2648" s="1" t="s">
        <v>10527</v>
      </c>
      <c r="AA2648" s="1" t="s">
        <v>42180</v>
      </c>
      <c r="AB2648" s="1" t="s">
        <v>42181</v>
      </c>
      <c r="AC2648" s="1" t="s">
        <v>74</v>
      </c>
      <c r="AD2648" s="1" t="s">
        <v>74</v>
      </c>
      <c r="AE2648" s="1" t="s">
        <v>74</v>
      </c>
      <c r="AF2648" s="1" t="s">
        <v>74</v>
      </c>
      <c r="AG2648" s="1">
        <v>82</v>
      </c>
      <c r="AH2648" s="1">
        <v>13</v>
      </c>
      <c r="AI2648" s="1">
        <v>13</v>
      </c>
      <c r="AJ2648" s="1">
        <v>0</v>
      </c>
      <c r="AK2648" s="1">
        <v>10</v>
      </c>
      <c r="AL2648" s="1" t="s">
        <v>38692</v>
      </c>
      <c r="AM2648" s="1" t="s">
        <v>38693</v>
      </c>
      <c r="AN2648" s="1" t="s">
        <v>38694</v>
      </c>
      <c r="AO2648" s="1" t="s">
        <v>32534</v>
      </c>
      <c r="AP2648" s="1" t="s">
        <v>32535</v>
      </c>
      <c r="AQ2648" s="1" t="s">
        <v>74</v>
      </c>
      <c r="AR2648" s="1" t="s">
        <v>32536</v>
      </c>
      <c r="AS2648" s="1" t="s">
        <v>32537</v>
      </c>
      <c r="AT2648" s="1" t="s">
        <v>305</v>
      </c>
      <c r="AU2648" s="1">
        <v>2020</v>
      </c>
      <c r="AV2648" s="1">
        <v>55</v>
      </c>
      <c r="AW2648" s="1">
        <v>3</v>
      </c>
      <c r="AX2648" s="1" t="s">
        <v>74</v>
      </c>
      <c r="AY2648" s="1" t="s">
        <v>74</v>
      </c>
      <c r="AZ2648" s="1" t="s">
        <v>74</v>
      </c>
      <c r="BA2648" s="1" t="s">
        <v>74</v>
      </c>
      <c r="BB2648" s="1">
        <v>405</v>
      </c>
      <c r="BC2648" s="1">
        <v>418</v>
      </c>
      <c r="BD2648" s="1" t="s">
        <v>74</v>
      </c>
      <c r="BE2648" s="1" t="s">
        <v>42182</v>
      </c>
      <c r="BF2648" s="1" t="str">
        <f>HYPERLINK("http://dx.doi.org/10.1007/s12601-020-0025-7","http://dx.doi.org/10.1007/s12601-020-0025-7")</f>
        <v>http://dx.doi.org/10.1007/s12601-020-0025-7</v>
      </c>
      <c r="BG2648" s="1" t="s">
        <v>74</v>
      </c>
      <c r="BH2648" s="1" t="s">
        <v>3851</v>
      </c>
      <c r="BI2648" s="1">
        <v>14</v>
      </c>
      <c r="BJ2648" s="1" t="s">
        <v>4241</v>
      </c>
      <c r="BK2648" s="1" t="s">
        <v>96</v>
      </c>
      <c r="BL2648" s="1" t="s">
        <v>4241</v>
      </c>
      <c r="BM2648" s="1" t="s">
        <v>42183</v>
      </c>
      <c r="BN2648" s="1" t="s">
        <v>74</v>
      </c>
      <c r="BO2648" s="1" t="s">
        <v>74</v>
      </c>
      <c r="BP2648" s="1" t="s">
        <v>74</v>
      </c>
      <c r="BQ2648" s="1" t="s">
        <v>74</v>
      </c>
      <c r="BR2648" s="1" t="s">
        <v>98</v>
      </c>
      <c r="BS2648" s="1" t="s">
        <v>42184</v>
      </c>
      <c r="BT2648" s="1" t="str">
        <f>HYPERLINK("https%3A%2F%2Fwww.webofscience.com%2Fwos%2Fwoscc%2Ffull-record%2FWOS:000562286700002","View Full Record in Web of Science")</f>
        <v>View Full Record in Web of Science</v>
      </c>
      <c r="BU2648" s="1"/>
      <c r="BV2648" s="1"/>
    </row>
    <row r="2649" spans="1:74">
      <c r="A2649" s="1" t="s">
        <v>72</v>
      </c>
      <c r="B2649" s="1" t="s">
        <v>42185</v>
      </c>
      <c r="C2649" s="1" t="s">
        <v>74</v>
      </c>
      <c r="D2649" s="1" t="s">
        <v>74</v>
      </c>
      <c r="E2649" s="1" t="s">
        <v>74</v>
      </c>
      <c r="F2649" s="1" t="s">
        <v>42186</v>
      </c>
      <c r="G2649" s="1" t="s">
        <v>74</v>
      </c>
      <c r="H2649" s="1" t="s">
        <v>74</v>
      </c>
      <c r="I2649" s="1" t="s">
        <v>42187</v>
      </c>
      <c r="J2649" s="1" t="s">
        <v>909</v>
      </c>
      <c r="K2649" s="1" t="s">
        <v>74</v>
      </c>
      <c r="L2649" s="1" t="s">
        <v>74</v>
      </c>
      <c r="M2649" s="1" t="s">
        <v>78</v>
      </c>
      <c r="N2649" s="1" t="s">
        <v>79</v>
      </c>
      <c r="O2649" s="1" t="s">
        <v>74</v>
      </c>
      <c r="P2649" s="1" t="s">
        <v>74</v>
      </c>
      <c r="Q2649" s="1" t="s">
        <v>74</v>
      </c>
      <c r="R2649" s="1" t="s">
        <v>74</v>
      </c>
      <c r="S2649" s="1" t="s">
        <v>74</v>
      </c>
      <c r="T2649" s="1" t="s">
        <v>42188</v>
      </c>
      <c r="U2649" s="1" t="s">
        <v>42189</v>
      </c>
      <c r="V2649" s="1" t="s">
        <v>42190</v>
      </c>
      <c r="W2649" s="1" t="s">
        <v>42191</v>
      </c>
      <c r="X2649" s="1" t="s">
        <v>8787</v>
      </c>
      <c r="Y2649" s="1" t="s">
        <v>42192</v>
      </c>
      <c r="Z2649" s="1" t="s">
        <v>32475</v>
      </c>
      <c r="AA2649" s="1" t="s">
        <v>42193</v>
      </c>
      <c r="AB2649" s="1" t="s">
        <v>42194</v>
      </c>
      <c r="AC2649" s="1" t="s">
        <v>42195</v>
      </c>
      <c r="AD2649" s="1" t="s">
        <v>42196</v>
      </c>
      <c r="AE2649" s="1" t="s">
        <v>42197</v>
      </c>
      <c r="AF2649" s="1" t="s">
        <v>74</v>
      </c>
      <c r="AG2649" s="1">
        <v>42</v>
      </c>
      <c r="AH2649" s="1">
        <v>15</v>
      </c>
      <c r="AI2649" s="1">
        <v>16</v>
      </c>
      <c r="AJ2649" s="1">
        <v>0</v>
      </c>
      <c r="AK2649" s="1">
        <v>35</v>
      </c>
      <c r="AL2649" s="1" t="s">
        <v>650</v>
      </c>
      <c r="AM2649" s="1" t="s">
        <v>651</v>
      </c>
      <c r="AN2649" s="1" t="s">
        <v>652</v>
      </c>
      <c r="AO2649" s="1" t="s">
        <v>921</v>
      </c>
      <c r="AP2649" s="1" t="s">
        <v>922</v>
      </c>
      <c r="AQ2649" s="1" t="s">
        <v>74</v>
      </c>
      <c r="AR2649" s="1" t="s">
        <v>923</v>
      </c>
      <c r="AS2649" s="1" t="s">
        <v>924</v>
      </c>
      <c r="AT2649" s="1" t="s">
        <v>7041</v>
      </c>
      <c r="AU2649" s="1">
        <v>2010</v>
      </c>
      <c r="AV2649" s="1">
        <v>408</v>
      </c>
      <c r="AW2649" s="1">
        <v>6</v>
      </c>
      <c r="AX2649" s="1" t="s">
        <v>74</v>
      </c>
      <c r="AY2649" s="1" t="s">
        <v>74</v>
      </c>
      <c r="AZ2649" s="1" t="s">
        <v>74</v>
      </c>
      <c r="BA2649" s="1" t="s">
        <v>74</v>
      </c>
      <c r="BB2649" s="1">
        <v>1458</v>
      </c>
      <c r="BC2649" s="1">
        <v>1465</v>
      </c>
      <c r="BD2649" s="1" t="s">
        <v>74</v>
      </c>
      <c r="BE2649" s="1" t="s">
        <v>42198</v>
      </c>
      <c r="BF2649" s="1" t="str">
        <f>HYPERLINK("http://dx.doi.org/10.1016/j.scitotenv.2009.12.044","http://dx.doi.org/10.1016/j.scitotenv.2009.12.044")</f>
        <v>http://dx.doi.org/10.1016/j.scitotenv.2009.12.044</v>
      </c>
      <c r="BG2649" s="1" t="s">
        <v>74</v>
      </c>
      <c r="BH2649" s="1" t="s">
        <v>74</v>
      </c>
      <c r="BI2649" s="1">
        <v>8</v>
      </c>
      <c r="BJ2649" s="1" t="s">
        <v>144</v>
      </c>
      <c r="BK2649" s="1" t="s">
        <v>96</v>
      </c>
      <c r="BL2649" s="1" t="s">
        <v>145</v>
      </c>
      <c r="BM2649" s="1" t="s">
        <v>42199</v>
      </c>
      <c r="BN2649" s="1">
        <v>20074777</v>
      </c>
      <c r="BO2649" s="1" t="s">
        <v>74</v>
      </c>
      <c r="BP2649" s="1" t="s">
        <v>74</v>
      </c>
      <c r="BQ2649" s="1" t="s">
        <v>74</v>
      </c>
      <c r="BR2649" s="1" t="s">
        <v>98</v>
      </c>
      <c r="BS2649" s="1" t="s">
        <v>42200</v>
      </c>
      <c r="BT2649" s="1" t="str">
        <f>HYPERLINK("https%3A%2F%2Fwww.webofscience.com%2Fwos%2Fwoscc%2Ffull-record%2FWOS:000274948000026","View Full Record in Web of Science")</f>
        <v>View Full Record in Web of Science</v>
      </c>
      <c r="BU2649" s="1"/>
      <c r="BV2649" s="1"/>
    </row>
    <row r="2650" spans="1:74">
      <c r="A2650" s="1" t="s">
        <v>72</v>
      </c>
      <c r="B2650" s="1" t="s">
        <v>42201</v>
      </c>
      <c r="C2650" s="1" t="s">
        <v>74</v>
      </c>
      <c r="D2650" s="1" t="s">
        <v>74</v>
      </c>
      <c r="E2650" s="1" t="s">
        <v>74</v>
      </c>
      <c r="F2650" s="1" t="s">
        <v>42202</v>
      </c>
      <c r="G2650" s="1" t="s">
        <v>74</v>
      </c>
      <c r="H2650" s="1" t="s">
        <v>74</v>
      </c>
      <c r="I2650" s="1" t="s">
        <v>42203</v>
      </c>
      <c r="J2650" s="1" t="s">
        <v>5413</v>
      </c>
      <c r="K2650" s="1" t="s">
        <v>74</v>
      </c>
      <c r="L2650" s="1" t="s">
        <v>74</v>
      </c>
      <c r="M2650" s="1" t="s">
        <v>78</v>
      </c>
      <c r="N2650" s="1" t="s">
        <v>79</v>
      </c>
      <c r="O2650" s="1" t="s">
        <v>74</v>
      </c>
      <c r="P2650" s="1" t="s">
        <v>74</v>
      </c>
      <c r="Q2650" s="1" t="s">
        <v>74</v>
      </c>
      <c r="R2650" s="1" t="s">
        <v>74</v>
      </c>
      <c r="S2650" s="1" t="s">
        <v>74</v>
      </c>
      <c r="T2650" s="1" t="s">
        <v>42204</v>
      </c>
      <c r="U2650" s="1" t="s">
        <v>42205</v>
      </c>
      <c r="V2650" s="1" t="s">
        <v>42206</v>
      </c>
      <c r="W2650" s="1" t="s">
        <v>42207</v>
      </c>
      <c r="X2650" s="1" t="s">
        <v>9952</v>
      </c>
      <c r="Y2650" s="1" t="s">
        <v>37267</v>
      </c>
      <c r="Z2650" s="1" t="s">
        <v>21443</v>
      </c>
      <c r="AA2650" s="1" t="s">
        <v>74</v>
      </c>
      <c r="AB2650" s="1" t="s">
        <v>74</v>
      </c>
      <c r="AC2650" s="1" t="s">
        <v>42208</v>
      </c>
      <c r="AD2650" s="1" t="s">
        <v>42209</v>
      </c>
      <c r="AE2650" s="1" t="s">
        <v>42210</v>
      </c>
      <c r="AF2650" s="1" t="s">
        <v>74</v>
      </c>
      <c r="AG2650" s="1">
        <v>44</v>
      </c>
      <c r="AH2650" s="1">
        <v>41</v>
      </c>
      <c r="AI2650" s="1">
        <v>44</v>
      </c>
      <c r="AJ2650" s="1">
        <v>1</v>
      </c>
      <c r="AK2650" s="1">
        <v>39</v>
      </c>
      <c r="AL2650" s="1" t="s">
        <v>919</v>
      </c>
      <c r="AM2650" s="1" t="s">
        <v>651</v>
      </c>
      <c r="AN2650" s="1" t="s">
        <v>920</v>
      </c>
      <c r="AO2650" s="1" t="s">
        <v>5426</v>
      </c>
      <c r="AP2650" s="1" t="s">
        <v>5427</v>
      </c>
      <c r="AQ2650" s="1" t="s">
        <v>74</v>
      </c>
      <c r="AR2650" s="1" t="s">
        <v>5428</v>
      </c>
      <c r="AS2650" s="1" t="s">
        <v>5429</v>
      </c>
      <c r="AT2650" s="1" t="s">
        <v>1223</v>
      </c>
      <c r="AU2650" s="1">
        <v>2014</v>
      </c>
      <c r="AV2650" s="1">
        <v>37</v>
      </c>
      <c r="AW2650" s="1">
        <v>2</v>
      </c>
      <c r="AX2650" s="1" t="s">
        <v>74</v>
      </c>
      <c r="AY2650" s="1" t="s">
        <v>74</v>
      </c>
      <c r="AZ2650" s="1" t="s">
        <v>74</v>
      </c>
      <c r="BA2650" s="1" t="s">
        <v>74</v>
      </c>
      <c r="BB2650" s="1">
        <v>697</v>
      </c>
      <c r="BC2650" s="1">
        <v>704</v>
      </c>
      <c r="BD2650" s="1" t="s">
        <v>74</v>
      </c>
      <c r="BE2650" s="1" t="s">
        <v>42211</v>
      </c>
      <c r="BF2650" s="1" t="str">
        <f>HYPERLINK("http://dx.doi.org/10.1016/j.etap.2014.01.018","http://dx.doi.org/10.1016/j.etap.2014.01.018")</f>
        <v>http://dx.doi.org/10.1016/j.etap.2014.01.018</v>
      </c>
      <c r="BG2650" s="1" t="s">
        <v>74</v>
      </c>
      <c r="BH2650" s="1" t="s">
        <v>74</v>
      </c>
      <c r="BI2650" s="1">
        <v>8</v>
      </c>
      <c r="BJ2650" s="1" t="s">
        <v>5431</v>
      </c>
      <c r="BK2650" s="1" t="s">
        <v>96</v>
      </c>
      <c r="BL2650" s="1" t="s">
        <v>5432</v>
      </c>
      <c r="BM2650" s="1" t="s">
        <v>42212</v>
      </c>
      <c r="BN2650" s="1">
        <v>24608145</v>
      </c>
      <c r="BO2650" s="1" t="s">
        <v>74</v>
      </c>
      <c r="BP2650" s="1" t="s">
        <v>74</v>
      </c>
      <c r="BQ2650" s="1" t="s">
        <v>74</v>
      </c>
      <c r="BR2650" s="1" t="s">
        <v>98</v>
      </c>
      <c r="BS2650" s="1" t="s">
        <v>42213</v>
      </c>
      <c r="BT2650" s="1" t="str">
        <f>HYPERLINK("https%3A%2F%2Fwww.webofscience.com%2Fwos%2Fwoscc%2Ffull-record%2FWOS:000335636600026","View Full Record in Web of Science")</f>
        <v>View Full Record in Web of Science</v>
      </c>
      <c r="BU2650" s="1"/>
      <c r="BV2650" s="1"/>
    </row>
    <row r="2651" spans="1:74">
      <c r="A2651" s="1" t="s">
        <v>72</v>
      </c>
      <c r="B2651" s="1" t="s">
        <v>42214</v>
      </c>
      <c r="C2651" s="1" t="s">
        <v>74</v>
      </c>
      <c r="D2651" s="1" t="s">
        <v>74</v>
      </c>
      <c r="E2651" s="1" t="s">
        <v>74</v>
      </c>
      <c r="F2651" s="1" t="s">
        <v>42215</v>
      </c>
      <c r="G2651" s="1" t="s">
        <v>74</v>
      </c>
      <c r="H2651" s="1" t="s">
        <v>74</v>
      </c>
      <c r="I2651" s="1" t="s">
        <v>42216</v>
      </c>
      <c r="J2651" s="1" t="s">
        <v>421</v>
      </c>
      <c r="K2651" s="1" t="s">
        <v>74</v>
      </c>
      <c r="L2651" s="1" t="s">
        <v>74</v>
      </c>
      <c r="M2651" s="1" t="s">
        <v>78</v>
      </c>
      <c r="N2651" s="1" t="s">
        <v>79</v>
      </c>
      <c r="O2651" s="1" t="s">
        <v>74</v>
      </c>
      <c r="P2651" s="1" t="s">
        <v>74</v>
      </c>
      <c r="Q2651" s="1" t="s">
        <v>74</v>
      </c>
      <c r="R2651" s="1" t="s">
        <v>74</v>
      </c>
      <c r="S2651" s="1" t="s">
        <v>74</v>
      </c>
      <c r="T2651" s="1" t="s">
        <v>42217</v>
      </c>
      <c r="U2651" s="1" t="s">
        <v>42218</v>
      </c>
      <c r="V2651" s="1" t="s">
        <v>42219</v>
      </c>
      <c r="W2651" s="1" t="s">
        <v>42220</v>
      </c>
      <c r="X2651" s="1" t="s">
        <v>42221</v>
      </c>
      <c r="Y2651" s="1" t="s">
        <v>42222</v>
      </c>
      <c r="Z2651" s="1" t="s">
        <v>42223</v>
      </c>
      <c r="AA2651" s="1" t="s">
        <v>42224</v>
      </c>
      <c r="AB2651" s="1" t="s">
        <v>42225</v>
      </c>
      <c r="AC2651" s="1" t="s">
        <v>42226</v>
      </c>
      <c r="AD2651" s="1" t="s">
        <v>42227</v>
      </c>
      <c r="AE2651" s="1" t="s">
        <v>42228</v>
      </c>
      <c r="AF2651" s="1" t="s">
        <v>74</v>
      </c>
      <c r="AG2651" s="1">
        <v>59</v>
      </c>
      <c r="AH2651" s="1">
        <v>0</v>
      </c>
      <c r="AI2651" s="1">
        <v>0</v>
      </c>
      <c r="AJ2651" s="1">
        <v>6</v>
      </c>
      <c r="AK2651" s="1">
        <v>6</v>
      </c>
      <c r="AL2651" s="1" t="s">
        <v>430</v>
      </c>
      <c r="AM2651" s="1" t="s">
        <v>7361</v>
      </c>
      <c r="AN2651" s="1" t="s">
        <v>7362</v>
      </c>
      <c r="AO2651" s="1" t="s">
        <v>432</v>
      </c>
      <c r="AP2651" s="1" t="s">
        <v>1394</v>
      </c>
      <c r="AQ2651" s="1" t="s">
        <v>74</v>
      </c>
      <c r="AR2651" s="1" t="s">
        <v>433</v>
      </c>
      <c r="AS2651" s="1" t="s">
        <v>434</v>
      </c>
      <c r="AT2651" s="1" t="s">
        <v>1091</v>
      </c>
      <c r="AU2651" s="1">
        <v>2024</v>
      </c>
      <c r="AV2651" s="1">
        <v>351</v>
      </c>
      <c r="AW2651" s="1" t="s">
        <v>74</v>
      </c>
      <c r="AX2651" s="1" t="s">
        <v>74</v>
      </c>
      <c r="AY2651" s="1" t="s">
        <v>74</v>
      </c>
      <c r="AZ2651" s="1" t="s">
        <v>74</v>
      </c>
      <c r="BA2651" s="1" t="s">
        <v>74</v>
      </c>
      <c r="BB2651" s="1" t="s">
        <v>74</v>
      </c>
      <c r="BC2651" s="1" t="s">
        <v>74</v>
      </c>
      <c r="BD2651" s="1">
        <v>124058</v>
      </c>
      <c r="BE2651" s="1" t="s">
        <v>42229</v>
      </c>
      <c r="BF2651" s="1" t="str">
        <f>HYPERLINK("http://dx.doi.org/10.1016/j.envpol.2024.124058","http://dx.doi.org/10.1016/j.envpol.2024.124058")</f>
        <v>http://dx.doi.org/10.1016/j.envpol.2024.124058</v>
      </c>
      <c r="BG2651" s="1" t="s">
        <v>74</v>
      </c>
      <c r="BH2651" s="1" t="s">
        <v>11425</v>
      </c>
      <c r="BI2651" s="1">
        <v>24</v>
      </c>
      <c r="BJ2651" s="1" t="s">
        <v>144</v>
      </c>
      <c r="BK2651" s="1" t="s">
        <v>96</v>
      </c>
      <c r="BL2651" s="1" t="s">
        <v>145</v>
      </c>
      <c r="BM2651" s="1" t="s">
        <v>42230</v>
      </c>
      <c r="BN2651" s="1">
        <v>38685557</v>
      </c>
      <c r="BO2651" s="1" t="s">
        <v>74</v>
      </c>
      <c r="BP2651" s="1" t="s">
        <v>74</v>
      </c>
      <c r="BQ2651" s="1" t="s">
        <v>74</v>
      </c>
      <c r="BR2651" s="1" t="s">
        <v>98</v>
      </c>
      <c r="BS2651" s="1" t="s">
        <v>42231</v>
      </c>
      <c r="BT2651" s="1" t="str">
        <f>HYPERLINK("https%3A%2F%2Fwww.webofscience.com%2Fwos%2Fwoscc%2Ffull-record%2FWOS:001238968900001","View Full Record in Web of Science")</f>
        <v>View Full Record in Web of Science</v>
      </c>
      <c r="BU2651" s="1"/>
      <c r="BV2651" s="1"/>
    </row>
    <row r="2652" spans="1:74">
      <c r="A2652" s="1" t="s">
        <v>72</v>
      </c>
      <c r="B2652" s="1" t="s">
        <v>42232</v>
      </c>
      <c r="C2652" s="1" t="s">
        <v>74</v>
      </c>
      <c r="D2652" s="1" t="s">
        <v>74</v>
      </c>
      <c r="E2652" s="1" t="s">
        <v>74</v>
      </c>
      <c r="F2652" s="1" t="s">
        <v>42232</v>
      </c>
      <c r="G2652" s="1" t="s">
        <v>74</v>
      </c>
      <c r="H2652" s="1" t="s">
        <v>74</v>
      </c>
      <c r="I2652" s="1" t="s">
        <v>42233</v>
      </c>
      <c r="J2652" s="1" t="s">
        <v>232</v>
      </c>
      <c r="K2652" s="1" t="s">
        <v>74</v>
      </c>
      <c r="L2652" s="1" t="s">
        <v>74</v>
      </c>
      <c r="M2652" s="1" t="s">
        <v>78</v>
      </c>
      <c r="N2652" s="1" t="s">
        <v>79</v>
      </c>
      <c r="O2652" s="1" t="s">
        <v>74</v>
      </c>
      <c r="P2652" s="1" t="s">
        <v>74</v>
      </c>
      <c r="Q2652" s="1" t="s">
        <v>74</v>
      </c>
      <c r="R2652" s="1" t="s">
        <v>74</v>
      </c>
      <c r="S2652" s="1" t="s">
        <v>74</v>
      </c>
      <c r="T2652" s="1" t="s">
        <v>74</v>
      </c>
      <c r="U2652" s="1" t="s">
        <v>42234</v>
      </c>
      <c r="V2652" s="1" t="s">
        <v>74</v>
      </c>
      <c r="W2652" s="1" t="s">
        <v>42235</v>
      </c>
      <c r="X2652" s="1" t="s">
        <v>42236</v>
      </c>
      <c r="Y2652" s="1" t="s">
        <v>42237</v>
      </c>
      <c r="Z2652" s="1" t="s">
        <v>42238</v>
      </c>
      <c r="AA2652" s="1" t="s">
        <v>42239</v>
      </c>
      <c r="AB2652" s="1" t="s">
        <v>74</v>
      </c>
      <c r="AC2652" s="1" t="s">
        <v>74</v>
      </c>
      <c r="AD2652" s="1" t="s">
        <v>74</v>
      </c>
      <c r="AE2652" s="1" t="s">
        <v>74</v>
      </c>
      <c r="AF2652" s="1" t="s">
        <v>74</v>
      </c>
      <c r="AG2652" s="1">
        <v>25</v>
      </c>
      <c r="AH2652" s="1">
        <v>24</v>
      </c>
      <c r="AI2652" s="1">
        <v>24</v>
      </c>
      <c r="AJ2652" s="1">
        <v>0</v>
      </c>
      <c r="AK2652" s="1">
        <v>12</v>
      </c>
      <c r="AL2652" s="1" t="s">
        <v>136</v>
      </c>
      <c r="AM2652" s="1" t="s">
        <v>137</v>
      </c>
      <c r="AN2652" s="1" t="s">
        <v>138</v>
      </c>
      <c r="AO2652" s="1" t="s">
        <v>240</v>
      </c>
      <c r="AP2652" s="1" t="s">
        <v>241</v>
      </c>
      <c r="AQ2652" s="1" t="s">
        <v>74</v>
      </c>
      <c r="AR2652" s="1" t="s">
        <v>242</v>
      </c>
      <c r="AS2652" s="1" t="s">
        <v>243</v>
      </c>
      <c r="AT2652" s="1" t="s">
        <v>197</v>
      </c>
      <c r="AU2652" s="1">
        <v>2005</v>
      </c>
      <c r="AV2652" s="1">
        <v>50</v>
      </c>
      <c r="AW2652" s="1">
        <v>12</v>
      </c>
      <c r="AX2652" s="1" t="s">
        <v>74</v>
      </c>
      <c r="AY2652" s="1" t="s">
        <v>74</v>
      </c>
      <c r="AZ2652" s="1" t="s">
        <v>74</v>
      </c>
      <c r="BA2652" s="1" t="s">
        <v>74</v>
      </c>
      <c r="BB2652" s="1">
        <v>1719</v>
      </c>
      <c r="BC2652" s="1">
        <v>1723</v>
      </c>
      <c r="BD2652" s="1" t="s">
        <v>74</v>
      </c>
      <c r="BE2652" s="1" t="s">
        <v>42240</v>
      </c>
      <c r="BF2652" s="1" t="str">
        <f>HYPERLINK("http://dx.doi.org/10.1016/j.marpolbul.2005.09.009","http://dx.doi.org/10.1016/j.marpolbul.2005.09.009")</f>
        <v>http://dx.doi.org/10.1016/j.marpolbul.2005.09.009</v>
      </c>
      <c r="BG2652" s="1" t="s">
        <v>74</v>
      </c>
      <c r="BH2652" s="1" t="s">
        <v>74</v>
      </c>
      <c r="BI2652" s="1">
        <v>5</v>
      </c>
      <c r="BJ2652" s="1" t="s">
        <v>247</v>
      </c>
      <c r="BK2652" s="1" t="s">
        <v>96</v>
      </c>
      <c r="BL2652" s="1" t="s">
        <v>248</v>
      </c>
      <c r="BM2652" s="1" t="s">
        <v>9157</v>
      </c>
      <c r="BN2652" s="1">
        <v>16271372</v>
      </c>
      <c r="BO2652" s="1" t="s">
        <v>1752</v>
      </c>
      <c r="BP2652" s="1" t="s">
        <v>74</v>
      </c>
      <c r="BQ2652" s="1" t="s">
        <v>74</v>
      </c>
      <c r="BR2652" s="1" t="s">
        <v>98</v>
      </c>
      <c r="BS2652" s="1" t="s">
        <v>42241</v>
      </c>
      <c r="BT2652" s="1" t="str">
        <f>HYPERLINK("https%3A%2F%2Fwww.webofscience.com%2Fwos%2Fwoscc%2Ffull-record%2FWOS:000234236600040","View Full Record in Web of Science")</f>
        <v>View Full Record in Web of Science</v>
      </c>
      <c r="BU2652" s="1"/>
      <c r="BV2652" s="1"/>
    </row>
    <row r="2653" spans="1:74">
      <c r="A2653" s="1" t="s">
        <v>72</v>
      </c>
      <c r="B2653" s="1" t="s">
        <v>42242</v>
      </c>
      <c r="C2653" s="1" t="s">
        <v>74</v>
      </c>
      <c r="D2653" s="1" t="s">
        <v>74</v>
      </c>
      <c r="E2653" s="1" t="s">
        <v>74</v>
      </c>
      <c r="F2653" s="1" t="s">
        <v>42243</v>
      </c>
      <c r="G2653" s="1" t="s">
        <v>74</v>
      </c>
      <c r="H2653" s="1" t="s">
        <v>74</v>
      </c>
      <c r="I2653" s="1" t="s">
        <v>42244</v>
      </c>
      <c r="J2653" s="1" t="s">
        <v>232</v>
      </c>
      <c r="K2653" s="1" t="s">
        <v>74</v>
      </c>
      <c r="L2653" s="1" t="s">
        <v>74</v>
      </c>
      <c r="M2653" s="1" t="s">
        <v>78</v>
      </c>
      <c r="N2653" s="1" t="s">
        <v>79</v>
      </c>
      <c r="O2653" s="1" t="s">
        <v>74</v>
      </c>
      <c r="P2653" s="1" t="s">
        <v>74</v>
      </c>
      <c r="Q2653" s="1" t="s">
        <v>74</v>
      </c>
      <c r="R2653" s="1" t="s">
        <v>74</v>
      </c>
      <c r="S2653" s="1" t="s">
        <v>74</v>
      </c>
      <c r="T2653" s="1" t="s">
        <v>42245</v>
      </c>
      <c r="U2653" s="1" t="s">
        <v>42246</v>
      </c>
      <c r="V2653" s="1" t="s">
        <v>42247</v>
      </c>
      <c r="W2653" s="1" t="s">
        <v>42248</v>
      </c>
      <c r="X2653" s="1" t="s">
        <v>42249</v>
      </c>
      <c r="Y2653" s="1" t="s">
        <v>42250</v>
      </c>
      <c r="Z2653" s="1" t="s">
        <v>42251</v>
      </c>
      <c r="AA2653" s="1" t="s">
        <v>42252</v>
      </c>
      <c r="AB2653" s="1" t="s">
        <v>42253</v>
      </c>
      <c r="AC2653" s="1" t="s">
        <v>42254</v>
      </c>
      <c r="AD2653" s="1" t="s">
        <v>42255</v>
      </c>
      <c r="AE2653" s="1" t="s">
        <v>42256</v>
      </c>
      <c r="AF2653" s="1" t="s">
        <v>74</v>
      </c>
      <c r="AG2653" s="1">
        <v>82</v>
      </c>
      <c r="AH2653" s="1">
        <v>6</v>
      </c>
      <c r="AI2653" s="1">
        <v>6</v>
      </c>
      <c r="AJ2653" s="1">
        <v>1</v>
      </c>
      <c r="AK2653" s="1">
        <v>14</v>
      </c>
      <c r="AL2653" s="1" t="s">
        <v>136</v>
      </c>
      <c r="AM2653" s="1" t="s">
        <v>137</v>
      </c>
      <c r="AN2653" s="1" t="s">
        <v>138</v>
      </c>
      <c r="AO2653" s="1" t="s">
        <v>240</v>
      </c>
      <c r="AP2653" s="1" t="s">
        <v>241</v>
      </c>
      <c r="AQ2653" s="1" t="s">
        <v>74</v>
      </c>
      <c r="AR2653" s="1" t="s">
        <v>242</v>
      </c>
      <c r="AS2653" s="1" t="s">
        <v>243</v>
      </c>
      <c r="AT2653" s="1" t="s">
        <v>765</v>
      </c>
      <c r="AU2653" s="1">
        <v>2021</v>
      </c>
      <c r="AV2653" s="1">
        <v>168</v>
      </c>
      <c r="AW2653" s="1" t="s">
        <v>74</v>
      </c>
      <c r="AX2653" s="1" t="s">
        <v>74</v>
      </c>
      <c r="AY2653" s="1" t="s">
        <v>74</v>
      </c>
      <c r="AZ2653" s="1" t="s">
        <v>74</v>
      </c>
      <c r="BA2653" s="1" t="s">
        <v>74</v>
      </c>
      <c r="BB2653" s="1" t="s">
        <v>74</v>
      </c>
      <c r="BC2653" s="1" t="s">
        <v>74</v>
      </c>
      <c r="BD2653" s="1">
        <v>112410</v>
      </c>
      <c r="BE2653" s="1" t="s">
        <v>42257</v>
      </c>
      <c r="BF2653" s="1" t="str">
        <f>HYPERLINK("http://dx.doi.org/10.1016/j.marpolbul.2021.112410","http://dx.doi.org/10.1016/j.marpolbul.2021.112410")</f>
        <v>http://dx.doi.org/10.1016/j.marpolbul.2021.112410</v>
      </c>
      <c r="BG2653" s="1" t="s">
        <v>74</v>
      </c>
      <c r="BH2653" s="1" t="s">
        <v>3508</v>
      </c>
      <c r="BI2653" s="1">
        <v>11</v>
      </c>
      <c r="BJ2653" s="1" t="s">
        <v>247</v>
      </c>
      <c r="BK2653" s="1" t="s">
        <v>96</v>
      </c>
      <c r="BL2653" s="1" t="s">
        <v>248</v>
      </c>
      <c r="BM2653" s="1" t="s">
        <v>42258</v>
      </c>
      <c r="BN2653" s="1">
        <v>33971451</v>
      </c>
      <c r="BO2653" s="1" t="s">
        <v>74</v>
      </c>
      <c r="BP2653" s="1" t="s">
        <v>74</v>
      </c>
      <c r="BQ2653" s="1" t="s">
        <v>74</v>
      </c>
      <c r="BR2653" s="1" t="s">
        <v>98</v>
      </c>
      <c r="BS2653" s="1" t="s">
        <v>42259</v>
      </c>
      <c r="BT2653" s="1" t="str">
        <f>HYPERLINK("https%3A%2F%2Fwww.webofscience.com%2Fwos%2Fwoscc%2Ffull-record%2FWOS:000661846300009","View Full Record in Web of Science")</f>
        <v>View Full Record in Web of Science</v>
      </c>
      <c r="BU2653" s="1"/>
      <c r="BV2653" s="1"/>
    </row>
    <row r="2654" spans="1:74">
      <c r="A2654" s="1" t="s">
        <v>72</v>
      </c>
      <c r="B2654" s="1" t="s">
        <v>42260</v>
      </c>
      <c r="C2654" s="1" t="s">
        <v>74</v>
      </c>
      <c r="D2654" s="1" t="s">
        <v>74</v>
      </c>
      <c r="E2654" s="1" t="s">
        <v>74</v>
      </c>
      <c r="F2654" s="1" t="s">
        <v>42261</v>
      </c>
      <c r="G2654" s="1" t="s">
        <v>74</v>
      </c>
      <c r="H2654" s="1" t="s">
        <v>74</v>
      </c>
      <c r="I2654" s="1" t="s">
        <v>42262</v>
      </c>
      <c r="J2654" s="1" t="s">
        <v>42263</v>
      </c>
      <c r="K2654" s="1" t="s">
        <v>74</v>
      </c>
      <c r="L2654" s="1" t="s">
        <v>74</v>
      </c>
      <c r="M2654" s="1" t="s">
        <v>78</v>
      </c>
      <c r="N2654" s="1" t="s">
        <v>79</v>
      </c>
      <c r="O2654" s="1" t="s">
        <v>74</v>
      </c>
      <c r="P2654" s="1" t="s">
        <v>74</v>
      </c>
      <c r="Q2654" s="1" t="s">
        <v>74</v>
      </c>
      <c r="R2654" s="1" t="s">
        <v>74</v>
      </c>
      <c r="S2654" s="1" t="s">
        <v>74</v>
      </c>
      <c r="T2654" s="1" t="s">
        <v>42264</v>
      </c>
      <c r="U2654" s="1" t="s">
        <v>42265</v>
      </c>
      <c r="V2654" s="1" t="s">
        <v>42266</v>
      </c>
      <c r="W2654" s="1" t="s">
        <v>42267</v>
      </c>
      <c r="X2654" s="1" t="s">
        <v>42268</v>
      </c>
      <c r="Y2654" s="1" t="s">
        <v>42269</v>
      </c>
      <c r="Z2654" s="1" t="s">
        <v>23296</v>
      </c>
      <c r="AA2654" s="1" t="s">
        <v>42270</v>
      </c>
      <c r="AB2654" s="1" t="s">
        <v>42271</v>
      </c>
      <c r="AC2654" s="1" t="s">
        <v>42272</v>
      </c>
      <c r="AD2654" s="1" t="s">
        <v>42273</v>
      </c>
      <c r="AE2654" s="1" t="s">
        <v>42274</v>
      </c>
      <c r="AF2654" s="1" t="s">
        <v>74</v>
      </c>
      <c r="AG2654" s="1">
        <v>63</v>
      </c>
      <c r="AH2654" s="1">
        <v>27</v>
      </c>
      <c r="AI2654" s="1">
        <v>29</v>
      </c>
      <c r="AJ2654" s="1">
        <v>1</v>
      </c>
      <c r="AK2654" s="1">
        <v>116</v>
      </c>
      <c r="AL2654" s="1" t="s">
        <v>86</v>
      </c>
      <c r="AM2654" s="1" t="s">
        <v>87</v>
      </c>
      <c r="AN2654" s="1" t="s">
        <v>88</v>
      </c>
      <c r="AO2654" s="1" t="s">
        <v>42275</v>
      </c>
      <c r="AP2654" s="1" t="s">
        <v>74</v>
      </c>
      <c r="AQ2654" s="1" t="s">
        <v>74</v>
      </c>
      <c r="AR2654" s="1" t="s">
        <v>42276</v>
      </c>
      <c r="AS2654" s="1" t="s">
        <v>42277</v>
      </c>
      <c r="AT2654" s="1" t="s">
        <v>1223</v>
      </c>
      <c r="AU2654" s="1">
        <v>2020</v>
      </c>
      <c r="AV2654" s="1">
        <v>7</v>
      </c>
      <c r="AW2654" s="1">
        <v>6</v>
      </c>
      <c r="AX2654" s="1" t="s">
        <v>74</v>
      </c>
      <c r="AY2654" s="1" t="s">
        <v>74</v>
      </c>
      <c r="AZ2654" s="1" t="s">
        <v>74</v>
      </c>
      <c r="BA2654" s="1" t="s">
        <v>74</v>
      </c>
      <c r="BB2654" s="1" t="s">
        <v>74</v>
      </c>
      <c r="BC2654" s="1" t="s">
        <v>74</v>
      </c>
      <c r="BD2654" s="1">
        <v>1901756</v>
      </c>
      <c r="BE2654" s="1" t="s">
        <v>42278</v>
      </c>
      <c r="BF2654" s="1" t="str">
        <f>HYPERLINK("http://dx.doi.org/10.1002/admi.201901756","http://dx.doi.org/10.1002/admi.201901756")</f>
        <v>http://dx.doi.org/10.1002/admi.201901756</v>
      </c>
      <c r="BG2654" s="1" t="s">
        <v>74</v>
      </c>
      <c r="BH2654" s="1" t="s">
        <v>42279</v>
      </c>
      <c r="BI2654" s="1">
        <v>11</v>
      </c>
      <c r="BJ2654" s="1" t="s">
        <v>42280</v>
      </c>
      <c r="BK2654" s="1" t="s">
        <v>96</v>
      </c>
      <c r="BL2654" s="1" t="s">
        <v>11965</v>
      </c>
      <c r="BM2654" s="1" t="s">
        <v>42281</v>
      </c>
      <c r="BN2654" s="1" t="s">
        <v>74</v>
      </c>
      <c r="BO2654" s="1" t="s">
        <v>74</v>
      </c>
      <c r="BP2654" s="1" t="s">
        <v>74</v>
      </c>
      <c r="BQ2654" s="1" t="s">
        <v>74</v>
      </c>
      <c r="BR2654" s="1" t="s">
        <v>98</v>
      </c>
      <c r="BS2654" s="1" t="s">
        <v>42282</v>
      </c>
      <c r="BT2654" s="1" t="str">
        <f>HYPERLINK("https%3A%2F%2Fwww.webofscience.com%2Fwos%2Fwoscc%2Ffull-record%2FWOS:000509622500001","View Full Record in Web of Science")</f>
        <v>View Full Record in Web of Science</v>
      </c>
      <c r="BU2654" s="1"/>
      <c r="BV2654" s="1"/>
    </row>
    <row r="2655" spans="1:74">
      <c r="A2655" s="1" t="s">
        <v>72</v>
      </c>
      <c r="B2655" s="1" t="s">
        <v>42283</v>
      </c>
      <c r="C2655" s="1" t="s">
        <v>74</v>
      </c>
      <c r="D2655" s="1" t="s">
        <v>74</v>
      </c>
      <c r="E2655" s="1" t="s">
        <v>74</v>
      </c>
      <c r="F2655" s="1" t="s">
        <v>42284</v>
      </c>
      <c r="G2655" s="1" t="s">
        <v>74</v>
      </c>
      <c r="H2655" s="1" t="s">
        <v>74</v>
      </c>
      <c r="I2655" s="1" t="s">
        <v>42285</v>
      </c>
      <c r="J2655" s="1" t="s">
        <v>7097</v>
      </c>
      <c r="K2655" s="1" t="s">
        <v>74</v>
      </c>
      <c r="L2655" s="1" t="s">
        <v>74</v>
      </c>
      <c r="M2655" s="1" t="s">
        <v>78</v>
      </c>
      <c r="N2655" s="1" t="s">
        <v>79</v>
      </c>
      <c r="O2655" s="1" t="s">
        <v>74</v>
      </c>
      <c r="P2655" s="1" t="s">
        <v>74</v>
      </c>
      <c r="Q2655" s="1" t="s">
        <v>74</v>
      </c>
      <c r="R2655" s="1" t="s">
        <v>74</v>
      </c>
      <c r="S2655" s="1" t="s">
        <v>74</v>
      </c>
      <c r="T2655" s="1" t="s">
        <v>42286</v>
      </c>
      <c r="U2655" s="1" t="s">
        <v>42287</v>
      </c>
      <c r="V2655" s="1" t="s">
        <v>42288</v>
      </c>
      <c r="W2655" s="1" t="s">
        <v>42289</v>
      </c>
      <c r="X2655" s="1" t="s">
        <v>42290</v>
      </c>
      <c r="Y2655" s="1" t="s">
        <v>42291</v>
      </c>
      <c r="Z2655" s="1" t="s">
        <v>42292</v>
      </c>
      <c r="AA2655" s="1" t="s">
        <v>42293</v>
      </c>
      <c r="AB2655" s="1" t="s">
        <v>42294</v>
      </c>
      <c r="AC2655" s="1" t="s">
        <v>42295</v>
      </c>
      <c r="AD2655" s="1" t="s">
        <v>42296</v>
      </c>
      <c r="AE2655" s="1" t="s">
        <v>42297</v>
      </c>
      <c r="AF2655" s="1" t="s">
        <v>74</v>
      </c>
      <c r="AG2655" s="1">
        <v>52</v>
      </c>
      <c r="AH2655" s="1">
        <v>55</v>
      </c>
      <c r="AI2655" s="1">
        <v>57</v>
      </c>
      <c r="AJ2655" s="1">
        <v>1</v>
      </c>
      <c r="AK2655" s="1">
        <v>39</v>
      </c>
      <c r="AL2655" s="1" t="s">
        <v>919</v>
      </c>
      <c r="AM2655" s="1" t="s">
        <v>651</v>
      </c>
      <c r="AN2655" s="1" t="s">
        <v>920</v>
      </c>
      <c r="AO2655" s="1" t="s">
        <v>7110</v>
      </c>
      <c r="AP2655" s="1" t="s">
        <v>7111</v>
      </c>
      <c r="AQ2655" s="1" t="s">
        <v>74</v>
      </c>
      <c r="AR2655" s="1" t="s">
        <v>7112</v>
      </c>
      <c r="AS2655" s="1" t="s">
        <v>7113</v>
      </c>
      <c r="AT2655" s="1" t="s">
        <v>93</v>
      </c>
      <c r="AU2655" s="1">
        <v>2016</v>
      </c>
      <c r="AV2655" s="1">
        <v>63</v>
      </c>
      <c r="AW2655" s="1" t="s">
        <v>74</v>
      </c>
      <c r="AX2655" s="1" t="s">
        <v>74</v>
      </c>
      <c r="AY2655" s="1" t="s">
        <v>74</v>
      </c>
      <c r="AZ2655" s="1" t="s">
        <v>74</v>
      </c>
      <c r="BA2655" s="1" t="s">
        <v>74</v>
      </c>
      <c r="BB2655" s="1">
        <v>209</v>
      </c>
      <c r="BC2655" s="1">
        <v>218</v>
      </c>
      <c r="BD2655" s="1" t="s">
        <v>74</v>
      </c>
      <c r="BE2655" s="1" t="s">
        <v>42298</v>
      </c>
      <c r="BF2655" s="1" t="str">
        <f>HYPERLINK("http://dx.doi.org/10.1016/j.ecolind.2015.12.006","http://dx.doi.org/10.1016/j.ecolind.2015.12.006")</f>
        <v>http://dx.doi.org/10.1016/j.ecolind.2015.12.006</v>
      </c>
      <c r="BG2655" s="1" t="s">
        <v>74</v>
      </c>
      <c r="BH2655" s="1" t="s">
        <v>74</v>
      </c>
      <c r="BI2655" s="1">
        <v>10</v>
      </c>
      <c r="BJ2655" s="1" t="s">
        <v>4923</v>
      </c>
      <c r="BK2655" s="1" t="s">
        <v>96</v>
      </c>
      <c r="BL2655" s="1" t="s">
        <v>4924</v>
      </c>
      <c r="BM2655" s="1" t="s">
        <v>42299</v>
      </c>
      <c r="BN2655" s="1" t="s">
        <v>74</v>
      </c>
      <c r="BO2655" s="1" t="s">
        <v>74</v>
      </c>
      <c r="BP2655" s="1" t="s">
        <v>74</v>
      </c>
      <c r="BQ2655" s="1" t="s">
        <v>74</v>
      </c>
      <c r="BR2655" s="1" t="s">
        <v>98</v>
      </c>
      <c r="BS2655" s="1" t="s">
        <v>42300</v>
      </c>
      <c r="BT2655" s="1" t="str">
        <f>HYPERLINK("https%3A%2F%2Fwww.webofscience.com%2Fwos%2Fwoscc%2Ffull-record%2FWOS:000370906000022","View Full Record in Web of Science")</f>
        <v>View Full Record in Web of Science</v>
      </c>
      <c r="BU2655" s="1"/>
      <c r="BV2655" s="1"/>
    </row>
    <row r="2656" spans="1:74">
      <c r="A2656" s="1" t="s">
        <v>72</v>
      </c>
      <c r="B2656" s="1" t="s">
        <v>42301</v>
      </c>
      <c r="C2656" s="1" t="s">
        <v>74</v>
      </c>
      <c r="D2656" s="1" t="s">
        <v>74</v>
      </c>
      <c r="E2656" s="1" t="s">
        <v>74</v>
      </c>
      <c r="F2656" s="1" t="s">
        <v>42302</v>
      </c>
      <c r="G2656" s="1" t="s">
        <v>74</v>
      </c>
      <c r="H2656" s="1" t="s">
        <v>74</v>
      </c>
      <c r="I2656" s="1" t="s">
        <v>42303</v>
      </c>
      <c r="J2656" s="1" t="s">
        <v>42304</v>
      </c>
      <c r="K2656" s="1" t="s">
        <v>74</v>
      </c>
      <c r="L2656" s="1" t="s">
        <v>74</v>
      </c>
      <c r="M2656" s="1" t="s">
        <v>78</v>
      </c>
      <c r="N2656" s="1" t="s">
        <v>79</v>
      </c>
      <c r="O2656" s="1" t="s">
        <v>74</v>
      </c>
      <c r="P2656" s="1" t="s">
        <v>74</v>
      </c>
      <c r="Q2656" s="1" t="s">
        <v>74</v>
      </c>
      <c r="R2656" s="1" t="s">
        <v>74</v>
      </c>
      <c r="S2656" s="1" t="s">
        <v>74</v>
      </c>
      <c r="T2656" s="1" t="s">
        <v>42305</v>
      </c>
      <c r="U2656" s="1" t="s">
        <v>74</v>
      </c>
      <c r="V2656" s="1" t="s">
        <v>42306</v>
      </c>
      <c r="W2656" s="1" t="s">
        <v>42307</v>
      </c>
      <c r="X2656" s="1" t="s">
        <v>74</v>
      </c>
      <c r="Y2656" s="1" t="s">
        <v>42308</v>
      </c>
      <c r="Z2656" s="1" t="s">
        <v>42309</v>
      </c>
      <c r="AA2656" s="1" t="s">
        <v>42310</v>
      </c>
      <c r="AB2656" s="1" t="s">
        <v>42311</v>
      </c>
      <c r="AC2656" s="1" t="s">
        <v>42312</v>
      </c>
      <c r="AD2656" s="1" t="s">
        <v>42313</v>
      </c>
      <c r="AE2656" s="1" t="s">
        <v>42314</v>
      </c>
      <c r="AF2656" s="1" t="s">
        <v>74</v>
      </c>
      <c r="AG2656" s="1">
        <v>12</v>
      </c>
      <c r="AH2656" s="1">
        <v>16</v>
      </c>
      <c r="AI2656" s="1">
        <v>18</v>
      </c>
      <c r="AJ2656" s="1">
        <v>1</v>
      </c>
      <c r="AK2656" s="1">
        <v>40</v>
      </c>
      <c r="AL2656" s="1" t="s">
        <v>86</v>
      </c>
      <c r="AM2656" s="1" t="s">
        <v>87</v>
      </c>
      <c r="AN2656" s="1" t="s">
        <v>88</v>
      </c>
      <c r="AO2656" s="1" t="s">
        <v>42315</v>
      </c>
      <c r="AP2656" s="1" t="s">
        <v>42316</v>
      </c>
      <c r="AQ2656" s="1" t="s">
        <v>74</v>
      </c>
      <c r="AR2656" s="1" t="s">
        <v>42317</v>
      </c>
      <c r="AS2656" s="1" t="s">
        <v>42318</v>
      </c>
      <c r="AT2656" s="1" t="s">
        <v>4761</v>
      </c>
      <c r="AU2656" s="1">
        <v>2013</v>
      </c>
      <c r="AV2656" s="1">
        <v>93</v>
      </c>
      <c r="AW2656" s="1">
        <v>4</v>
      </c>
      <c r="AX2656" s="1" t="s">
        <v>74</v>
      </c>
      <c r="AY2656" s="1" t="s">
        <v>74</v>
      </c>
      <c r="AZ2656" s="1" t="s">
        <v>74</v>
      </c>
      <c r="BA2656" s="1" t="s">
        <v>74</v>
      </c>
      <c r="BB2656" s="1">
        <v>973</v>
      </c>
      <c r="BC2656" s="1">
        <v>976</v>
      </c>
      <c r="BD2656" s="1" t="s">
        <v>74</v>
      </c>
      <c r="BE2656" s="1" t="s">
        <v>42319</v>
      </c>
      <c r="BF2656" s="1" t="str">
        <f>HYPERLINK("http://dx.doi.org/10.1002/jsfa.5827","http://dx.doi.org/10.1002/jsfa.5827")</f>
        <v>http://dx.doi.org/10.1002/jsfa.5827</v>
      </c>
      <c r="BG2656" s="1" t="s">
        <v>74</v>
      </c>
      <c r="BH2656" s="1" t="s">
        <v>74</v>
      </c>
      <c r="BI2656" s="1">
        <v>4</v>
      </c>
      <c r="BJ2656" s="1" t="s">
        <v>6339</v>
      </c>
      <c r="BK2656" s="1" t="s">
        <v>96</v>
      </c>
      <c r="BL2656" s="1" t="s">
        <v>6340</v>
      </c>
      <c r="BM2656" s="1" t="s">
        <v>42320</v>
      </c>
      <c r="BN2656" s="1">
        <v>22886527</v>
      </c>
      <c r="BO2656" s="1" t="s">
        <v>74</v>
      </c>
      <c r="BP2656" s="1" t="s">
        <v>74</v>
      </c>
      <c r="BQ2656" s="1" t="s">
        <v>74</v>
      </c>
      <c r="BR2656" s="1" t="s">
        <v>98</v>
      </c>
      <c r="BS2656" s="1" t="s">
        <v>42321</v>
      </c>
      <c r="BT2656" s="1" t="str">
        <f>HYPERLINK("https%3A%2F%2Fwww.webofscience.com%2Fwos%2Fwoscc%2Ffull-record%2FWOS:000315166300035","View Full Record in Web of Science")</f>
        <v>View Full Record in Web of Science</v>
      </c>
      <c r="BU2656" s="1"/>
      <c r="BV2656" s="1"/>
    </row>
    <row r="2657" spans="1:74">
      <c r="A2657" s="1" t="s">
        <v>72</v>
      </c>
      <c r="B2657" s="1" t="s">
        <v>42322</v>
      </c>
      <c r="C2657" s="1" t="s">
        <v>74</v>
      </c>
      <c r="D2657" s="1" t="s">
        <v>74</v>
      </c>
      <c r="E2657" s="1" t="s">
        <v>74</v>
      </c>
      <c r="F2657" s="1" t="s">
        <v>42323</v>
      </c>
      <c r="G2657" s="1" t="s">
        <v>74</v>
      </c>
      <c r="H2657" s="1" t="s">
        <v>74</v>
      </c>
      <c r="I2657" s="1" t="s">
        <v>42324</v>
      </c>
      <c r="J2657" s="1" t="s">
        <v>179</v>
      </c>
      <c r="K2657" s="1" t="s">
        <v>74</v>
      </c>
      <c r="L2657" s="1" t="s">
        <v>74</v>
      </c>
      <c r="M2657" s="1" t="s">
        <v>78</v>
      </c>
      <c r="N2657" s="1" t="s">
        <v>79</v>
      </c>
      <c r="O2657" s="1" t="s">
        <v>74</v>
      </c>
      <c r="P2657" s="1" t="s">
        <v>74</v>
      </c>
      <c r="Q2657" s="1" t="s">
        <v>74</v>
      </c>
      <c r="R2657" s="1" t="s">
        <v>74</v>
      </c>
      <c r="S2657" s="1" t="s">
        <v>74</v>
      </c>
      <c r="T2657" s="1" t="s">
        <v>42325</v>
      </c>
      <c r="U2657" s="1" t="s">
        <v>42326</v>
      </c>
      <c r="V2657" s="1" t="s">
        <v>42327</v>
      </c>
      <c r="W2657" s="1" t="s">
        <v>42328</v>
      </c>
      <c r="X2657" s="1" t="s">
        <v>400</v>
      </c>
      <c r="Y2657" s="1" t="s">
        <v>401</v>
      </c>
      <c r="Z2657" s="1" t="s">
        <v>402</v>
      </c>
      <c r="AA2657" s="1" t="s">
        <v>42329</v>
      </c>
      <c r="AB2657" s="1" t="s">
        <v>42330</v>
      </c>
      <c r="AC2657" s="1" t="s">
        <v>42331</v>
      </c>
      <c r="AD2657" s="1" t="s">
        <v>42332</v>
      </c>
      <c r="AE2657" s="1" t="s">
        <v>42333</v>
      </c>
      <c r="AF2657" s="1" t="s">
        <v>74</v>
      </c>
      <c r="AG2657" s="1">
        <v>62</v>
      </c>
      <c r="AH2657" s="1">
        <v>22</v>
      </c>
      <c r="AI2657" s="1">
        <v>26</v>
      </c>
      <c r="AJ2657" s="1">
        <v>1</v>
      </c>
      <c r="AK2657" s="1">
        <v>31</v>
      </c>
      <c r="AL2657" s="1" t="s">
        <v>112</v>
      </c>
      <c r="AM2657" s="1" t="s">
        <v>191</v>
      </c>
      <c r="AN2657" s="1" t="s">
        <v>192</v>
      </c>
      <c r="AO2657" s="1" t="s">
        <v>193</v>
      </c>
      <c r="AP2657" s="1" t="s">
        <v>74</v>
      </c>
      <c r="AQ2657" s="1" t="s">
        <v>74</v>
      </c>
      <c r="AR2657" s="1" t="s">
        <v>195</v>
      </c>
      <c r="AS2657" s="1" t="s">
        <v>196</v>
      </c>
      <c r="AT2657" s="1" t="s">
        <v>119</v>
      </c>
      <c r="AU2657" s="1">
        <v>2009</v>
      </c>
      <c r="AV2657" s="1">
        <v>155</v>
      </c>
      <c r="AW2657" s="1" t="s">
        <v>721</v>
      </c>
      <c r="AX2657" s="1" t="s">
        <v>74</v>
      </c>
      <c r="AY2657" s="1" t="s">
        <v>74</v>
      </c>
      <c r="AZ2657" s="1" t="s">
        <v>74</v>
      </c>
      <c r="BA2657" s="1" t="s">
        <v>74</v>
      </c>
      <c r="BB2657" s="1">
        <v>581</v>
      </c>
      <c r="BC2657" s="1">
        <v>591</v>
      </c>
      <c r="BD2657" s="1" t="s">
        <v>74</v>
      </c>
      <c r="BE2657" s="1" t="s">
        <v>42334</v>
      </c>
      <c r="BF2657" s="1" t="str">
        <f>HYPERLINK("http://dx.doi.org/10.1007/s10661-008-0457-5","http://dx.doi.org/10.1007/s10661-008-0457-5")</f>
        <v>http://dx.doi.org/10.1007/s10661-008-0457-5</v>
      </c>
      <c r="BG2657" s="1" t="s">
        <v>74</v>
      </c>
      <c r="BH2657" s="1" t="s">
        <v>74</v>
      </c>
      <c r="BI2657" s="1">
        <v>11</v>
      </c>
      <c r="BJ2657" s="1" t="s">
        <v>144</v>
      </c>
      <c r="BK2657" s="1" t="s">
        <v>96</v>
      </c>
      <c r="BL2657" s="1" t="s">
        <v>145</v>
      </c>
      <c r="BM2657" s="1" t="s">
        <v>7306</v>
      </c>
      <c r="BN2657" s="1">
        <v>18709499</v>
      </c>
      <c r="BO2657" s="1" t="s">
        <v>74</v>
      </c>
      <c r="BP2657" s="1" t="s">
        <v>74</v>
      </c>
      <c r="BQ2657" s="1" t="s">
        <v>74</v>
      </c>
      <c r="BR2657" s="1" t="s">
        <v>98</v>
      </c>
      <c r="BS2657" s="1" t="s">
        <v>42335</v>
      </c>
      <c r="BT2657" s="1" t="str">
        <f>HYPERLINK("https%3A%2F%2Fwww.webofscience.com%2Fwos%2Fwoscc%2Ffull-record%2FWOS:000267887000044","View Full Record in Web of Science")</f>
        <v>View Full Record in Web of Science</v>
      </c>
      <c r="BU2657" s="1"/>
      <c r="BV2657" s="1"/>
    </row>
    <row r="2658" spans="1:74">
      <c r="A2658" s="1" t="s">
        <v>72</v>
      </c>
      <c r="B2658" s="1" t="s">
        <v>42336</v>
      </c>
      <c r="C2658" s="1" t="s">
        <v>74</v>
      </c>
      <c r="D2658" s="1" t="s">
        <v>74</v>
      </c>
      <c r="E2658" s="1" t="s">
        <v>74</v>
      </c>
      <c r="F2658" s="1" t="s">
        <v>42336</v>
      </c>
      <c r="G2658" s="1" t="s">
        <v>74</v>
      </c>
      <c r="H2658" s="1" t="s">
        <v>74</v>
      </c>
      <c r="I2658" s="1" t="s">
        <v>42337</v>
      </c>
      <c r="J2658" s="1" t="s">
        <v>232</v>
      </c>
      <c r="K2658" s="1" t="s">
        <v>74</v>
      </c>
      <c r="L2658" s="1" t="s">
        <v>74</v>
      </c>
      <c r="M2658" s="1" t="s">
        <v>78</v>
      </c>
      <c r="N2658" s="1" t="s">
        <v>79</v>
      </c>
      <c r="O2658" s="1" t="s">
        <v>74</v>
      </c>
      <c r="P2658" s="1" t="s">
        <v>74</v>
      </c>
      <c r="Q2658" s="1" t="s">
        <v>74</v>
      </c>
      <c r="R2658" s="1" t="s">
        <v>74</v>
      </c>
      <c r="S2658" s="1" t="s">
        <v>74</v>
      </c>
      <c r="T2658" s="1" t="s">
        <v>74</v>
      </c>
      <c r="U2658" s="1" t="s">
        <v>42338</v>
      </c>
      <c r="V2658" s="1" t="s">
        <v>74</v>
      </c>
      <c r="W2658" s="1" t="s">
        <v>74</v>
      </c>
      <c r="X2658" s="1" t="s">
        <v>74</v>
      </c>
      <c r="Y2658" s="1" t="s">
        <v>42339</v>
      </c>
      <c r="Z2658" s="1" t="s">
        <v>74</v>
      </c>
      <c r="AA2658" s="1" t="s">
        <v>74</v>
      </c>
      <c r="AB2658" s="1" t="s">
        <v>42340</v>
      </c>
      <c r="AC2658" s="1" t="s">
        <v>74</v>
      </c>
      <c r="AD2658" s="1" t="s">
        <v>74</v>
      </c>
      <c r="AE2658" s="1" t="s">
        <v>74</v>
      </c>
      <c r="AF2658" s="1" t="s">
        <v>74</v>
      </c>
      <c r="AG2658" s="1">
        <v>34</v>
      </c>
      <c r="AH2658" s="1">
        <v>21</v>
      </c>
      <c r="AI2658" s="1">
        <v>21</v>
      </c>
      <c r="AJ2658" s="1">
        <v>1</v>
      </c>
      <c r="AK2658" s="1">
        <v>3</v>
      </c>
      <c r="AL2658" s="1" t="s">
        <v>136</v>
      </c>
      <c r="AM2658" s="1" t="s">
        <v>137</v>
      </c>
      <c r="AN2658" s="1" t="s">
        <v>138</v>
      </c>
      <c r="AO2658" s="1" t="s">
        <v>240</v>
      </c>
      <c r="AP2658" s="1" t="s">
        <v>241</v>
      </c>
      <c r="AQ2658" s="1" t="s">
        <v>74</v>
      </c>
      <c r="AR2658" s="1" t="s">
        <v>242</v>
      </c>
      <c r="AS2658" s="1" t="s">
        <v>243</v>
      </c>
      <c r="AT2658" s="1" t="s">
        <v>170</v>
      </c>
      <c r="AU2658" s="1">
        <v>1991</v>
      </c>
      <c r="AV2658" s="1">
        <v>22</v>
      </c>
      <c r="AW2658" s="1">
        <v>5</v>
      </c>
      <c r="AX2658" s="1" t="s">
        <v>74</v>
      </c>
      <c r="AY2658" s="1" t="s">
        <v>74</v>
      </c>
      <c r="AZ2658" s="1" t="s">
        <v>74</v>
      </c>
      <c r="BA2658" s="1" t="s">
        <v>74</v>
      </c>
      <c r="BB2658" s="1">
        <v>249</v>
      </c>
      <c r="BC2658" s="1">
        <v>253</v>
      </c>
      <c r="BD2658" s="1" t="s">
        <v>74</v>
      </c>
      <c r="BE2658" s="1" t="s">
        <v>42341</v>
      </c>
      <c r="BF2658" s="1" t="str">
        <f>HYPERLINK("http://dx.doi.org/10.1016/0025-326X(91)90920-N","http://dx.doi.org/10.1016/0025-326X(91)90920-N")</f>
        <v>http://dx.doi.org/10.1016/0025-326X(91)90920-N</v>
      </c>
      <c r="BG2658" s="1" t="s">
        <v>74</v>
      </c>
      <c r="BH2658" s="1" t="s">
        <v>74</v>
      </c>
      <c r="BI2658" s="1">
        <v>5</v>
      </c>
      <c r="BJ2658" s="1" t="s">
        <v>247</v>
      </c>
      <c r="BK2658" s="1" t="s">
        <v>96</v>
      </c>
      <c r="BL2658" s="1" t="s">
        <v>248</v>
      </c>
      <c r="BM2658" s="1" t="s">
        <v>42342</v>
      </c>
      <c r="BN2658" s="1" t="s">
        <v>74</v>
      </c>
      <c r="BO2658" s="1" t="s">
        <v>74</v>
      </c>
      <c r="BP2658" s="1" t="s">
        <v>74</v>
      </c>
      <c r="BQ2658" s="1" t="s">
        <v>74</v>
      </c>
      <c r="BR2658" s="1" t="s">
        <v>98</v>
      </c>
      <c r="BS2658" s="1" t="s">
        <v>42343</v>
      </c>
      <c r="BT2658" s="1" t="str">
        <f>HYPERLINK("https%3A%2F%2Fwww.webofscience.com%2Fwos%2Fwoscc%2Ffull-record%2FWOS:A1991FR98800011","View Full Record in Web of Science")</f>
        <v>View Full Record in Web of Science</v>
      </c>
      <c r="BU2658" s="1"/>
      <c r="BV2658" s="1"/>
    </row>
    <row r="2659" spans="1:74">
      <c r="A2659" s="1" t="s">
        <v>72</v>
      </c>
      <c r="B2659" s="1" t="s">
        <v>42344</v>
      </c>
      <c r="C2659" s="1" t="s">
        <v>74</v>
      </c>
      <c r="D2659" s="1" t="s">
        <v>74</v>
      </c>
      <c r="E2659" s="1" t="s">
        <v>74</v>
      </c>
      <c r="F2659" s="1" t="s">
        <v>42345</v>
      </c>
      <c r="G2659" s="1" t="s">
        <v>74</v>
      </c>
      <c r="H2659" s="1" t="s">
        <v>74</v>
      </c>
      <c r="I2659" s="1" t="s">
        <v>42346</v>
      </c>
      <c r="J2659" s="1" t="s">
        <v>232</v>
      </c>
      <c r="K2659" s="1" t="s">
        <v>74</v>
      </c>
      <c r="L2659" s="1" t="s">
        <v>74</v>
      </c>
      <c r="M2659" s="1" t="s">
        <v>78</v>
      </c>
      <c r="N2659" s="1" t="s">
        <v>79</v>
      </c>
      <c r="O2659" s="1" t="s">
        <v>74</v>
      </c>
      <c r="P2659" s="1" t="s">
        <v>74</v>
      </c>
      <c r="Q2659" s="1" t="s">
        <v>74</v>
      </c>
      <c r="R2659" s="1" t="s">
        <v>74</v>
      </c>
      <c r="S2659" s="1" t="s">
        <v>74</v>
      </c>
      <c r="T2659" s="1" t="s">
        <v>42347</v>
      </c>
      <c r="U2659" s="1" t="s">
        <v>42348</v>
      </c>
      <c r="V2659" s="1" t="s">
        <v>42349</v>
      </c>
      <c r="W2659" s="1" t="s">
        <v>42350</v>
      </c>
      <c r="X2659" s="1" t="s">
        <v>42351</v>
      </c>
      <c r="Y2659" s="1" t="s">
        <v>42352</v>
      </c>
      <c r="Z2659" s="1" t="s">
        <v>42353</v>
      </c>
      <c r="AA2659" s="1" t="s">
        <v>42354</v>
      </c>
      <c r="AB2659" s="1" t="s">
        <v>42355</v>
      </c>
      <c r="AC2659" s="1" t="s">
        <v>42356</v>
      </c>
      <c r="AD2659" s="1" t="s">
        <v>42357</v>
      </c>
      <c r="AE2659" s="1" t="s">
        <v>42358</v>
      </c>
      <c r="AF2659" s="1" t="s">
        <v>74</v>
      </c>
      <c r="AG2659" s="1">
        <v>111</v>
      </c>
      <c r="AH2659" s="1">
        <v>4</v>
      </c>
      <c r="AI2659" s="1">
        <v>4</v>
      </c>
      <c r="AJ2659" s="1">
        <v>0</v>
      </c>
      <c r="AK2659" s="1">
        <v>14</v>
      </c>
      <c r="AL2659" s="1" t="s">
        <v>136</v>
      </c>
      <c r="AM2659" s="1" t="s">
        <v>137</v>
      </c>
      <c r="AN2659" s="1" t="s">
        <v>138</v>
      </c>
      <c r="AO2659" s="1" t="s">
        <v>240</v>
      </c>
      <c r="AP2659" s="1" t="s">
        <v>241</v>
      </c>
      <c r="AQ2659" s="1" t="s">
        <v>74</v>
      </c>
      <c r="AR2659" s="1" t="s">
        <v>242</v>
      </c>
      <c r="AS2659" s="1" t="s">
        <v>243</v>
      </c>
      <c r="AT2659" s="1" t="s">
        <v>93</v>
      </c>
      <c r="AU2659" s="1">
        <v>2023</v>
      </c>
      <c r="AV2659" s="1">
        <v>189</v>
      </c>
      <c r="AW2659" s="1" t="s">
        <v>74</v>
      </c>
      <c r="AX2659" s="1" t="s">
        <v>74</v>
      </c>
      <c r="AY2659" s="1" t="s">
        <v>74</v>
      </c>
      <c r="AZ2659" s="1" t="s">
        <v>74</v>
      </c>
      <c r="BA2659" s="1" t="s">
        <v>74</v>
      </c>
      <c r="BB2659" s="1" t="s">
        <v>74</v>
      </c>
      <c r="BC2659" s="1" t="s">
        <v>74</v>
      </c>
      <c r="BD2659" s="1">
        <v>114759</v>
      </c>
      <c r="BE2659" s="1" t="s">
        <v>42359</v>
      </c>
      <c r="BF2659" s="1" t="str">
        <f>HYPERLINK("http://dx.doi.org/10.1016/j.marpolbul.2023.114759","http://dx.doi.org/10.1016/j.marpolbul.2023.114759")</f>
        <v>http://dx.doi.org/10.1016/j.marpolbul.2023.114759</v>
      </c>
      <c r="BG2659" s="1" t="s">
        <v>74</v>
      </c>
      <c r="BH2659" s="1" t="s">
        <v>10846</v>
      </c>
      <c r="BI2659" s="1">
        <v>17</v>
      </c>
      <c r="BJ2659" s="1" t="s">
        <v>247</v>
      </c>
      <c r="BK2659" s="1" t="s">
        <v>96</v>
      </c>
      <c r="BL2659" s="1" t="s">
        <v>248</v>
      </c>
      <c r="BM2659" s="1" t="s">
        <v>42360</v>
      </c>
      <c r="BN2659" s="1">
        <v>36857993</v>
      </c>
      <c r="BO2659" s="1" t="s">
        <v>370</v>
      </c>
      <c r="BP2659" s="1" t="s">
        <v>74</v>
      </c>
      <c r="BQ2659" s="1" t="s">
        <v>74</v>
      </c>
      <c r="BR2659" s="1" t="s">
        <v>98</v>
      </c>
      <c r="BS2659" s="1" t="s">
        <v>42361</v>
      </c>
      <c r="BT2659" s="1" t="str">
        <f>HYPERLINK("https%3A%2F%2Fwww.webofscience.com%2Fwos%2Fwoscc%2Ffull-record%2FWOS:000949820800001","View Full Record in Web of Science")</f>
        <v>View Full Record in Web of Science</v>
      </c>
      <c r="BU2659" s="1"/>
      <c r="BV2659" s="1"/>
    </row>
    <row r="2660" spans="1:74">
      <c r="A2660" s="1" t="s">
        <v>72</v>
      </c>
      <c r="B2660" s="1" t="s">
        <v>42362</v>
      </c>
      <c r="C2660" s="1" t="s">
        <v>74</v>
      </c>
      <c r="D2660" s="1" t="s">
        <v>74</v>
      </c>
      <c r="E2660" s="1" t="s">
        <v>74</v>
      </c>
      <c r="F2660" s="1" t="s">
        <v>42363</v>
      </c>
      <c r="G2660" s="1" t="s">
        <v>74</v>
      </c>
      <c r="H2660" s="1" t="s">
        <v>74</v>
      </c>
      <c r="I2660" s="1" t="s">
        <v>42364</v>
      </c>
      <c r="J2660" s="1" t="s">
        <v>7477</v>
      </c>
      <c r="K2660" s="1" t="s">
        <v>74</v>
      </c>
      <c r="L2660" s="1" t="s">
        <v>74</v>
      </c>
      <c r="M2660" s="1" t="s">
        <v>78</v>
      </c>
      <c r="N2660" s="1" t="s">
        <v>79</v>
      </c>
      <c r="O2660" s="1" t="s">
        <v>74</v>
      </c>
      <c r="P2660" s="1" t="s">
        <v>74</v>
      </c>
      <c r="Q2660" s="1" t="s">
        <v>74</v>
      </c>
      <c r="R2660" s="1" t="s">
        <v>74</v>
      </c>
      <c r="S2660" s="1" t="s">
        <v>74</v>
      </c>
      <c r="T2660" s="1" t="s">
        <v>42365</v>
      </c>
      <c r="U2660" s="1" t="s">
        <v>42366</v>
      </c>
      <c r="V2660" s="1" t="s">
        <v>42367</v>
      </c>
      <c r="W2660" s="1" t="s">
        <v>42368</v>
      </c>
      <c r="X2660" s="1" t="s">
        <v>42369</v>
      </c>
      <c r="Y2660" s="1" t="s">
        <v>42370</v>
      </c>
      <c r="Z2660" s="1" t="s">
        <v>42371</v>
      </c>
      <c r="AA2660" s="1" t="s">
        <v>7467</v>
      </c>
      <c r="AB2660" s="1" t="s">
        <v>42372</v>
      </c>
      <c r="AC2660" s="1" t="s">
        <v>42373</v>
      </c>
      <c r="AD2660" s="1" t="s">
        <v>6552</v>
      </c>
      <c r="AE2660" s="1" t="s">
        <v>42374</v>
      </c>
      <c r="AF2660" s="1" t="s">
        <v>74</v>
      </c>
      <c r="AG2660" s="1">
        <v>18</v>
      </c>
      <c r="AH2660" s="1">
        <v>9</v>
      </c>
      <c r="AI2660" s="1">
        <v>11</v>
      </c>
      <c r="AJ2660" s="1">
        <v>0</v>
      </c>
      <c r="AK2660" s="1">
        <v>3</v>
      </c>
      <c r="AL2660" s="1" t="s">
        <v>6554</v>
      </c>
      <c r="AM2660" s="1" t="s">
        <v>113</v>
      </c>
      <c r="AN2660" s="1" t="s">
        <v>6555</v>
      </c>
      <c r="AO2660" s="1" t="s">
        <v>7487</v>
      </c>
      <c r="AP2660" s="1" t="s">
        <v>7488</v>
      </c>
      <c r="AQ2660" s="1" t="s">
        <v>74</v>
      </c>
      <c r="AR2660" s="1" t="s">
        <v>7489</v>
      </c>
      <c r="AS2660" s="1" t="s">
        <v>7490</v>
      </c>
      <c r="AT2660" s="1" t="s">
        <v>951</v>
      </c>
      <c r="AU2660" s="1">
        <v>2015</v>
      </c>
      <c r="AV2660" s="1">
        <v>41</v>
      </c>
      <c r="AW2660" s="1">
        <v>6</v>
      </c>
      <c r="AX2660" s="1" t="s">
        <v>74</v>
      </c>
      <c r="AY2660" s="1" t="s">
        <v>74</v>
      </c>
      <c r="AZ2660" s="1" t="s">
        <v>74</v>
      </c>
      <c r="BA2660" s="1" t="s">
        <v>74</v>
      </c>
      <c r="BB2660" s="1">
        <v>495</v>
      </c>
      <c r="BC2660" s="1">
        <v>498</v>
      </c>
      <c r="BD2660" s="1" t="s">
        <v>74</v>
      </c>
      <c r="BE2660" s="1" t="s">
        <v>42375</v>
      </c>
      <c r="BF2660" s="1" t="str">
        <f>HYPERLINK("http://dx.doi.org/10.1134/S1063074015060139","http://dx.doi.org/10.1134/S1063074015060139")</f>
        <v>http://dx.doi.org/10.1134/S1063074015060139</v>
      </c>
      <c r="BG2660" s="1" t="s">
        <v>74</v>
      </c>
      <c r="BH2660" s="1" t="s">
        <v>74</v>
      </c>
      <c r="BI2660" s="1">
        <v>4</v>
      </c>
      <c r="BJ2660" s="1" t="s">
        <v>680</v>
      </c>
      <c r="BK2660" s="1" t="s">
        <v>96</v>
      </c>
      <c r="BL2660" s="1" t="s">
        <v>680</v>
      </c>
      <c r="BM2660" s="1" t="s">
        <v>42376</v>
      </c>
      <c r="BN2660" s="1" t="s">
        <v>74</v>
      </c>
      <c r="BO2660" s="1" t="s">
        <v>74</v>
      </c>
      <c r="BP2660" s="1" t="s">
        <v>74</v>
      </c>
      <c r="BQ2660" s="1" t="s">
        <v>74</v>
      </c>
      <c r="BR2660" s="1" t="s">
        <v>98</v>
      </c>
      <c r="BS2660" s="1" t="s">
        <v>42377</v>
      </c>
      <c r="BT2660" s="1" t="str">
        <f>HYPERLINK("https%3A%2F%2Fwww.webofscience.com%2Fwos%2Fwoscc%2Ffull-record%2FWOS:000367605400011","View Full Record in Web of Science")</f>
        <v>View Full Record in Web of Science</v>
      </c>
      <c r="BU2660" s="1"/>
      <c r="BV2660" s="1"/>
    </row>
    <row r="2661" spans="1:74">
      <c r="A2661" s="1" t="s">
        <v>72</v>
      </c>
      <c r="B2661" s="1" t="s">
        <v>42378</v>
      </c>
      <c r="C2661" s="1" t="s">
        <v>74</v>
      </c>
      <c r="D2661" s="1" t="s">
        <v>74</v>
      </c>
      <c r="E2661" s="1" t="s">
        <v>74</v>
      </c>
      <c r="F2661" s="1" t="s">
        <v>42379</v>
      </c>
      <c r="G2661" s="1" t="s">
        <v>74</v>
      </c>
      <c r="H2661" s="1" t="s">
        <v>74</v>
      </c>
      <c r="I2661" s="1" t="s">
        <v>42380</v>
      </c>
      <c r="J2661" s="1" t="s">
        <v>232</v>
      </c>
      <c r="K2661" s="1" t="s">
        <v>74</v>
      </c>
      <c r="L2661" s="1" t="s">
        <v>74</v>
      </c>
      <c r="M2661" s="1" t="s">
        <v>78</v>
      </c>
      <c r="N2661" s="1" t="s">
        <v>79</v>
      </c>
      <c r="O2661" s="1" t="s">
        <v>74</v>
      </c>
      <c r="P2661" s="1" t="s">
        <v>74</v>
      </c>
      <c r="Q2661" s="1" t="s">
        <v>74</v>
      </c>
      <c r="R2661" s="1" t="s">
        <v>74</v>
      </c>
      <c r="S2661" s="1" t="s">
        <v>74</v>
      </c>
      <c r="T2661" s="1" t="s">
        <v>42381</v>
      </c>
      <c r="U2661" s="1" t="s">
        <v>42382</v>
      </c>
      <c r="V2661" s="1" t="s">
        <v>42383</v>
      </c>
      <c r="W2661" s="1" t="s">
        <v>42384</v>
      </c>
      <c r="X2661" s="1" t="s">
        <v>74</v>
      </c>
      <c r="Y2661" s="1" t="s">
        <v>42385</v>
      </c>
      <c r="Z2661" s="1" t="s">
        <v>42386</v>
      </c>
      <c r="AA2661" s="1" t="s">
        <v>42387</v>
      </c>
      <c r="AB2661" s="1" t="s">
        <v>42388</v>
      </c>
      <c r="AC2661" s="1" t="s">
        <v>42389</v>
      </c>
      <c r="AD2661" s="1" t="s">
        <v>42390</v>
      </c>
      <c r="AE2661" s="1" t="s">
        <v>42391</v>
      </c>
      <c r="AF2661" s="1" t="s">
        <v>74</v>
      </c>
      <c r="AG2661" s="1">
        <v>75</v>
      </c>
      <c r="AH2661" s="1">
        <v>5</v>
      </c>
      <c r="AI2661" s="1">
        <v>5</v>
      </c>
      <c r="AJ2661" s="1">
        <v>1</v>
      </c>
      <c r="AK2661" s="1">
        <v>12</v>
      </c>
      <c r="AL2661" s="1" t="s">
        <v>136</v>
      </c>
      <c r="AM2661" s="1" t="s">
        <v>137</v>
      </c>
      <c r="AN2661" s="1" t="s">
        <v>138</v>
      </c>
      <c r="AO2661" s="1" t="s">
        <v>240</v>
      </c>
      <c r="AP2661" s="1" t="s">
        <v>241</v>
      </c>
      <c r="AQ2661" s="1" t="s">
        <v>74</v>
      </c>
      <c r="AR2661" s="1" t="s">
        <v>242</v>
      </c>
      <c r="AS2661" s="1" t="s">
        <v>243</v>
      </c>
      <c r="AT2661" s="1" t="s">
        <v>267</v>
      </c>
      <c r="AU2661" s="1">
        <v>2018</v>
      </c>
      <c r="AV2661" s="1">
        <v>135</v>
      </c>
      <c r="AW2661" s="1" t="s">
        <v>74</v>
      </c>
      <c r="AX2661" s="1" t="s">
        <v>74</v>
      </c>
      <c r="AY2661" s="1" t="s">
        <v>74</v>
      </c>
      <c r="AZ2661" s="1" t="s">
        <v>74</v>
      </c>
      <c r="BA2661" s="1" t="s">
        <v>74</v>
      </c>
      <c r="BB2661" s="1">
        <v>496</v>
      </c>
      <c r="BC2661" s="1">
        <v>504</v>
      </c>
      <c r="BD2661" s="1" t="s">
        <v>74</v>
      </c>
      <c r="BE2661" s="1" t="s">
        <v>42392</v>
      </c>
      <c r="BF2661" s="1" t="str">
        <f>HYPERLINK("http://dx.doi.org/10.1016/j.marpolbul.2018.07.056","http://dx.doi.org/10.1016/j.marpolbul.2018.07.056")</f>
        <v>http://dx.doi.org/10.1016/j.marpolbul.2018.07.056</v>
      </c>
      <c r="BG2661" s="1" t="s">
        <v>74</v>
      </c>
      <c r="BH2661" s="1" t="s">
        <v>74</v>
      </c>
      <c r="BI2661" s="1">
        <v>9</v>
      </c>
      <c r="BJ2661" s="1" t="s">
        <v>247</v>
      </c>
      <c r="BK2661" s="1" t="s">
        <v>96</v>
      </c>
      <c r="BL2661" s="1" t="s">
        <v>248</v>
      </c>
      <c r="BM2661" s="1" t="s">
        <v>9841</v>
      </c>
      <c r="BN2661" s="1">
        <v>30301065</v>
      </c>
      <c r="BO2661" s="1" t="s">
        <v>74</v>
      </c>
      <c r="BP2661" s="1" t="s">
        <v>74</v>
      </c>
      <c r="BQ2661" s="1" t="s">
        <v>74</v>
      </c>
      <c r="BR2661" s="1" t="s">
        <v>98</v>
      </c>
      <c r="BS2661" s="1" t="s">
        <v>42393</v>
      </c>
      <c r="BT2661" s="1" t="str">
        <f>HYPERLINK("https%3A%2F%2Fwww.webofscience.com%2Fwos%2Fwoscc%2Ffull-record%2FWOS:000448094200056","View Full Record in Web of Science")</f>
        <v>View Full Record in Web of Science</v>
      </c>
      <c r="BU2661" s="1"/>
      <c r="BV2661" s="1"/>
    </row>
    <row r="2662" spans="1:74">
      <c r="A2662" s="1" t="s">
        <v>72</v>
      </c>
      <c r="B2662" s="1" t="s">
        <v>42394</v>
      </c>
      <c r="C2662" s="1" t="s">
        <v>74</v>
      </c>
      <c r="D2662" s="1" t="s">
        <v>74</v>
      </c>
      <c r="E2662" s="1" t="s">
        <v>74</v>
      </c>
      <c r="F2662" s="1" t="s">
        <v>42395</v>
      </c>
      <c r="G2662" s="1" t="s">
        <v>74</v>
      </c>
      <c r="H2662" s="1" t="s">
        <v>74</v>
      </c>
      <c r="I2662" s="1" t="s">
        <v>42396</v>
      </c>
      <c r="J2662" s="1" t="s">
        <v>7246</v>
      </c>
      <c r="K2662" s="1" t="s">
        <v>74</v>
      </c>
      <c r="L2662" s="1" t="s">
        <v>74</v>
      </c>
      <c r="M2662" s="1" t="s">
        <v>78</v>
      </c>
      <c r="N2662" s="1" t="s">
        <v>79</v>
      </c>
      <c r="O2662" s="1" t="s">
        <v>74</v>
      </c>
      <c r="P2662" s="1" t="s">
        <v>74</v>
      </c>
      <c r="Q2662" s="1" t="s">
        <v>74</v>
      </c>
      <c r="R2662" s="1" t="s">
        <v>74</v>
      </c>
      <c r="S2662" s="1" t="s">
        <v>74</v>
      </c>
      <c r="T2662" s="1" t="s">
        <v>42397</v>
      </c>
      <c r="U2662" s="1" t="s">
        <v>42398</v>
      </c>
      <c r="V2662" s="1" t="s">
        <v>42399</v>
      </c>
      <c r="W2662" s="1" t="s">
        <v>42400</v>
      </c>
      <c r="X2662" s="1" t="s">
        <v>41904</v>
      </c>
      <c r="Y2662" s="1" t="s">
        <v>42401</v>
      </c>
      <c r="Z2662" s="1" t="s">
        <v>42402</v>
      </c>
      <c r="AA2662" s="1" t="s">
        <v>42403</v>
      </c>
      <c r="AB2662" s="1" t="s">
        <v>42404</v>
      </c>
      <c r="AC2662" s="1" t="s">
        <v>7255</v>
      </c>
      <c r="AD2662" s="1" t="s">
        <v>7256</v>
      </c>
      <c r="AE2662" s="1" t="s">
        <v>7257</v>
      </c>
      <c r="AF2662" s="1" t="s">
        <v>74</v>
      </c>
      <c r="AG2662" s="1">
        <v>48</v>
      </c>
      <c r="AH2662" s="1">
        <v>13</v>
      </c>
      <c r="AI2662" s="1">
        <v>15</v>
      </c>
      <c r="AJ2662" s="1">
        <v>3</v>
      </c>
      <c r="AK2662" s="1">
        <v>34</v>
      </c>
      <c r="AL2662" s="1" t="s">
        <v>1566</v>
      </c>
      <c r="AM2662" s="1" t="s">
        <v>1567</v>
      </c>
      <c r="AN2662" s="1" t="s">
        <v>1568</v>
      </c>
      <c r="AO2662" s="1" t="s">
        <v>74</v>
      </c>
      <c r="AP2662" s="1" t="s">
        <v>7258</v>
      </c>
      <c r="AQ2662" s="1" t="s">
        <v>74</v>
      </c>
      <c r="AR2662" s="1" t="s">
        <v>7259</v>
      </c>
      <c r="AS2662" s="1" t="s">
        <v>7260</v>
      </c>
      <c r="AT2662" s="1" t="s">
        <v>224</v>
      </c>
      <c r="AU2662" s="1">
        <v>2022</v>
      </c>
      <c r="AV2662" s="1">
        <v>10</v>
      </c>
      <c r="AW2662" s="1">
        <v>2</v>
      </c>
      <c r="AX2662" s="1" t="s">
        <v>74</v>
      </c>
      <c r="AY2662" s="1" t="s">
        <v>74</v>
      </c>
      <c r="AZ2662" s="1" t="s">
        <v>74</v>
      </c>
      <c r="BA2662" s="1" t="s">
        <v>74</v>
      </c>
      <c r="BB2662" s="1" t="s">
        <v>74</v>
      </c>
      <c r="BC2662" s="1" t="s">
        <v>74</v>
      </c>
      <c r="BD2662" s="1">
        <v>273</v>
      </c>
      <c r="BE2662" s="1" t="s">
        <v>42405</v>
      </c>
      <c r="BF2662" s="1" t="str">
        <f>HYPERLINK("http://dx.doi.org/10.3390/jmse10020273","http://dx.doi.org/10.3390/jmse10020273")</f>
        <v>http://dx.doi.org/10.3390/jmse10020273</v>
      </c>
      <c r="BG2662" s="1" t="s">
        <v>74</v>
      </c>
      <c r="BH2662" s="1" t="s">
        <v>74</v>
      </c>
      <c r="BI2662" s="1">
        <v>9</v>
      </c>
      <c r="BJ2662" s="1" t="s">
        <v>7262</v>
      </c>
      <c r="BK2662" s="1" t="s">
        <v>96</v>
      </c>
      <c r="BL2662" s="1" t="s">
        <v>7263</v>
      </c>
      <c r="BM2662" s="1" t="s">
        <v>42406</v>
      </c>
      <c r="BN2662" s="1" t="s">
        <v>74</v>
      </c>
      <c r="BO2662" s="1" t="s">
        <v>873</v>
      </c>
      <c r="BP2662" s="1" t="s">
        <v>74</v>
      </c>
      <c r="BQ2662" s="1" t="s">
        <v>74</v>
      </c>
      <c r="BR2662" s="1" t="s">
        <v>98</v>
      </c>
      <c r="BS2662" s="1" t="s">
        <v>42407</v>
      </c>
      <c r="BT2662" s="1" t="str">
        <f>HYPERLINK("https%3A%2F%2Fwww.webofscience.com%2Fwos%2Fwoscc%2Ffull-record%2FWOS:000764288400001","View Full Record in Web of Science")</f>
        <v>View Full Record in Web of Science</v>
      </c>
      <c r="BU2662" s="1"/>
      <c r="BV2662" s="1"/>
    </row>
    <row r="2663" spans="1:74">
      <c r="A2663" s="1" t="s">
        <v>72</v>
      </c>
      <c r="B2663" s="1" t="s">
        <v>42408</v>
      </c>
      <c r="C2663" s="1" t="s">
        <v>74</v>
      </c>
      <c r="D2663" s="1" t="s">
        <v>74</v>
      </c>
      <c r="E2663" s="1" t="s">
        <v>74</v>
      </c>
      <c r="F2663" s="1" t="s">
        <v>42409</v>
      </c>
      <c r="G2663" s="1" t="s">
        <v>74</v>
      </c>
      <c r="H2663" s="1" t="s">
        <v>74</v>
      </c>
      <c r="I2663" s="1" t="s">
        <v>42410</v>
      </c>
      <c r="J2663" s="1" t="s">
        <v>42411</v>
      </c>
      <c r="K2663" s="1" t="s">
        <v>74</v>
      </c>
      <c r="L2663" s="1" t="s">
        <v>74</v>
      </c>
      <c r="M2663" s="1" t="s">
        <v>78</v>
      </c>
      <c r="N2663" s="1" t="s">
        <v>79</v>
      </c>
      <c r="O2663" s="1" t="s">
        <v>74</v>
      </c>
      <c r="P2663" s="1" t="s">
        <v>74</v>
      </c>
      <c r="Q2663" s="1" t="s">
        <v>74</v>
      </c>
      <c r="R2663" s="1" t="s">
        <v>74</v>
      </c>
      <c r="S2663" s="1" t="s">
        <v>74</v>
      </c>
      <c r="T2663" s="1" t="s">
        <v>42412</v>
      </c>
      <c r="U2663" s="1" t="s">
        <v>42413</v>
      </c>
      <c r="V2663" s="1" t="s">
        <v>42414</v>
      </c>
      <c r="W2663" s="1" t="s">
        <v>42415</v>
      </c>
      <c r="X2663" s="1" t="s">
        <v>42416</v>
      </c>
      <c r="Y2663" s="1" t="s">
        <v>42417</v>
      </c>
      <c r="Z2663" s="1" t="s">
        <v>42418</v>
      </c>
      <c r="AA2663" s="1" t="s">
        <v>42419</v>
      </c>
      <c r="AB2663" s="1" t="s">
        <v>42420</v>
      </c>
      <c r="AC2663" s="1" t="s">
        <v>42421</v>
      </c>
      <c r="AD2663" s="1" t="s">
        <v>42422</v>
      </c>
      <c r="AE2663" s="1" t="s">
        <v>12379</v>
      </c>
      <c r="AF2663" s="1" t="s">
        <v>74</v>
      </c>
      <c r="AG2663" s="1">
        <v>30</v>
      </c>
      <c r="AH2663" s="1">
        <v>0</v>
      </c>
      <c r="AI2663" s="1">
        <v>0</v>
      </c>
      <c r="AJ2663" s="1">
        <v>0</v>
      </c>
      <c r="AK2663" s="1">
        <v>0</v>
      </c>
      <c r="AL2663" s="1" t="s">
        <v>2074</v>
      </c>
      <c r="AM2663" s="1" t="s">
        <v>2075</v>
      </c>
      <c r="AN2663" s="1" t="s">
        <v>2076</v>
      </c>
      <c r="AO2663" s="1" t="s">
        <v>74</v>
      </c>
      <c r="AP2663" s="1" t="s">
        <v>42423</v>
      </c>
      <c r="AQ2663" s="1" t="s">
        <v>74</v>
      </c>
      <c r="AR2663" s="1" t="s">
        <v>42424</v>
      </c>
      <c r="AS2663" s="1" t="s">
        <v>42425</v>
      </c>
      <c r="AT2663" s="1" t="s">
        <v>11024</v>
      </c>
      <c r="AU2663" s="1">
        <v>2024</v>
      </c>
      <c r="AV2663" s="1">
        <v>9</v>
      </c>
      <c r="AW2663" s="1">
        <v>6</v>
      </c>
      <c r="AX2663" s="1" t="s">
        <v>74</v>
      </c>
      <c r="AY2663" s="1" t="s">
        <v>74</v>
      </c>
      <c r="AZ2663" s="1" t="s">
        <v>74</v>
      </c>
      <c r="BA2663" s="1" t="s">
        <v>74</v>
      </c>
      <c r="BB2663" s="1">
        <v>696</v>
      </c>
      <c r="BC2663" s="1">
        <v>700</v>
      </c>
      <c r="BD2663" s="1" t="s">
        <v>74</v>
      </c>
      <c r="BE2663" s="1" t="s">
        <v>42426</v>
      </c>
      <c r="BF2663" s="1" t="str">
        <f>HYPERLINK("http://dx.doi.org/10.1080/23802359.2024.2353271","http://dx.doi.org/10.1080/23802359.2024.2353271")</f>
        <v>http://dx.doi.org/10.1080/23802359.2024.2353271</v>
      </c>
      <c r="BG2663" s="1" t="s">
        <v>74</v>
      </c>
      <c r="BH2663" s="1" t="s">
        <v>74</v>
      </c>
      <c r="BI2663" s="1">
        <v>5</v>
      </c>
      <c r="BJ2663" s="1" t="s">
        <v>3873</v>
      </c>
      <c r="BK2663" s="1" t="s">
        <v>96</v>
      </c>
      <c r="BL2663" s="1" t="s">
        <v>3873</v>
      </c>
      <c r="BM2663" s="1" t="s">
        <v>42427</v>
      </c>
      <c r="BN2663" s="1">
        <v>38835640</v>
      </c>
      <c r="BO2663" s="1" t="s">
        <v>873</v>
      </c>
      <c r="BP2663" s="1" t="s">
        <v>74</v>
      </c>
      <c r="BQ2663" s="1" t="s">
        <v>74</v>
      </c>
      <c r="BR2663" s="1" t="s">
        <v>98</v>
      </c>
      <c r="BS2663" s="1" t="s">
        <v>42428</v>
      </c>
      <c r="BT2663" s="1" t="str">
        <f>HYPERLINK("https%3A%2F%2Fwww.webofscience.com%2Fwos%2Fwoscc%2Ffull-record%2FWOS:001239016900001","View Full Record in Web of Science")</f>
        <v>View Full Record in Web of Science</v>
      </c>
      <c r="BU2663" s="1"/>
      <c r="BV2663" s="1"/>
    </row>
    <row r="2664" spans="1:74">
      <c r="A2664" s="1" t="s">
        <v>72</v>
      </c>
      <c r="B2664" s="1" t="s">
        <v>42429</v>
      </c>
      <c r="C2664" s="1" t="s">
        <v>74</v>
      </c>
      <c r="D2664" s="1" t="s">
        <v>74</v>
      </c>
      <c r="E2664" s="1" t="s">
        <v>74</v>
      </c>
      <c r="F2664" s="1" t="s">
        <v>42429</v>
      </c>
      <c r="G2664" s="1" t="s">
        <v>74</v>
      </c>
      <c r="H2664" s="1" t="s">
        <v>74</v>
      </c>
      <c r="I2664" s="1" t="s">
        <v>42430</v>
      </c>
      <c r="J2664" s="1" t="s">
        <v>42431</v>
      </c>
      <c r="K2664" s="1" t="s">
        <v>74</v>
      </c>
      <c r="L2664" s="1" t="s">
        <v>74</v>
      </c>
      <c r="M2664" s="1" t="s">
        <v>78</v>
      </c>
      <c r="N2664" s="1" t="s">
        <v>79</v>
      </c>
      <c r="O2664" s="1" t="s">
        <v>74</v>
      </c>
      <c r="P2664" s="1" t="s">
        <v>74</v>
      </c>
      <c r="Q2664" s="1" t="s">
        <v>74</v>
      </c>
      <c r="R2664" s="1" t="s">
        <v>74</v>
      </c>
      <c r="S2664" s="1" t="s">
        <v>74</v>
      </c>
      <c r="T2664" s="1" t="s">
        <v>74</v>
      </c>
      <c r="U2664" s="1" t="s">
        <v>74</v>
      </c>
      <c r="V2664" s="1" t="s">
        <v>42432</v>
      </c>
      <c r="W2664" s="1" t="s">
        <v>74</v>
      </c>
      <c r="X2664" s="1" t="s">
        <v>74</v>
      </c>
      <c r="Y2664" s="1" t="s">
        <v>42433</v>
      </c>
      <c r="Z2664" s="1" t="s">
        <v>74</v>
      </c>
      <c r="AA2664" s="1" t="s">
        <v>74</v>
      </c>
      <c r="AB2664" s="1" t="s">
        <v>74</v>
      </c>
      <c r="AC2664" s="1" t="s">
        <v>74</v>
      </c>
      <c r="AD2664" s="1" t="s">
        <v>74</v>
      </c>
      <c r="AE2664" s="1" t="s">
        <v>74</v>
      </c>
      <c r="AF2664" s="1" t="s">
        <v>74</v>
      </c>
      <c r="AG2664" s="1">
        <v>17</v>
      </c>
      <c r="AH2664" s="1">
        <v>14</v>
      </c>
      <c r="AI2664" s="1">
        <v>14</v>
      </c>
      <c r="AJ2664" s="1">
        <v>0</v>
      </c>
      <c r="AK2664" s="1">
        <v>4</v>
      </c>
      <c r="AL2664" s="1" t="s">
        <v>650</v>
      </c>
      <c r="AM2664" s="1" t="s">
        <v>651</v>
      </c>
      <c r="AN2664" s="1" t="s">
        <v>652</v>
      </c>
      <c r="AO2664" s="1" t="s">
        <v>42434</v>
      </c>
      <c r="AP2664" s="1" t="s">
        <v>74</v>
      </c>
      <c r="AQ2664" s="1" t="s">
        <v>74</v>
      </c>
      <c r="AR2664" s="1" t="s">
        <v>42435</v>
      </c>
      <c r="AS2664" s="1" t="s">
        <v>74</v>
      </c>
      <c r="AT2664" s="1" t="s">
        <v>74</v>
      </c>
      <c r="AU2664" s="1">
        <v>1981</v>
      </c>
      <c r="AV2664" s="1">
        <v>219</v>
      </c>
      <c r="AW2664" s="1">
        <v>3</v>
      </c>
      <c r="AX2664" s="1" t="s">
        <v>74</v>
      </c>
      <c r="AY2664" s="1" t="s">
        <v>74</v>
      </c>
      <c r="AZ2664" s="1" t="s">
        <v>74</v>
      </c>
      <c r="BA2664" s="1" t="s">
        <v>74</v>
      </c>
      <c r="BB2664" s="1">
        <v>393</v>
      </c>
      <c r="BC2664" s="1">
        <v>402</v>
      </c>
      <c r="BD2664" s="1" t="s">
        <v>74</v>
      </c>
      <c r="BE2664" s="1" t="s">
        <v>74</v>
      </c>
      <c r="BF2664" s="1" t="s">
        <v>74</v>
      </c>
      <c r="BG2664" s="1" t="s">
        <v>74</v>
      </c>
      <c r="BH2664" s="1" t="s">
        <v>74</v>
      </c>
      <c r="BI2664" s="1">
        <v>10</v>
      </c>
      <c r="BJ2664" s="1" t="s">
        <v>1196</v>
      </c>
      <c r="BK2664" s="1" t="s">
        <v>96</v>
      </c>
      <c r="BL2664" s="1" t="s">
        <v>1197</v>
      </c>
      <c r="BM2664" s="1" t="s">
        <v>42436</v>
      </c>
      <c r="BN2664" s="1">
        <v>7328155</v>
      </c>
      <c r="BO2664" s="1" t="s">
        <v>74</v>
      </c>
      <c r="BP2664" s="1" t="s">
        <v>74</v>
      </c>
      <c r="BQ2664" s="1" t="s">
        <v>74</v>
      </c>
      <c r="BR2664" s="1" t="s">
        <v>98</v>
      </c>
      <c r="BS2664" s="1" t="s">
        <v>42437</v>
      </c>
      <c r="BT2664" s="1" t="str">
        <f>HYPERLINK("https%3A%2F%2Fwww.webofscience.com%2Fwos%2Fwoscc%2Ffull-record%2FWOS:A1981MX56200006","View Full Record in Web of Science")</f>
        <v>View Full Record in Web of Science</v>
      </c>
      <c r="BU2664" s="1"/>
      <c r="BV2664" s="1"/>
    </row>
    <row r="2665" spans="1:74">
      <c r="A2665" s="1" t="s">
        <v>72</v>
      </c>
      <c r="B2665" s="1" t="s">
        <v>42438</v>
      </c>
      <c r="C2665" s="1" t="s">
        <v>74</v>
      </c>
      <c r="D2665" s="1" t="s">
        <v>74</v>
      </c>
      <c r="E2665" s="1" t="s">
        <v>74</v>
      </c>
      <c r="F2665" s="1" t="s">
        <v>42438</v>
      </c>
      <c r="G2665" s="1" t="s">
        <v>74</v>
      </c>
      <c r="H2665" s="1" t="s">
        <v>74</v>
      </c>
      <c r="I2665" s="1" t="s">
        <v>42439</v>
      </c>
      <c r="J2665" s="1" t="s">
        <v>232</v>
      </c>
      <c r="K2665" s="1" t="s">
        <v>74</v>
      </c>
      <c r="L2665" s="1" t="s">
        <v>74</v>
      </c>
      <c r="M2665" s="1" t="s">
        <v>78</v>
      </c>
      <c r="N2665" s="1" t="s">
        <v>79</v>
      </c>
      <c r="O2665" s="1" t="s">
        <v>74</v>
      </c>
      <c r="P2665" s="1" t="s">
        <v>74</v>
      </c>
      <c r="Q2665" s="1" t="s">
        <v>74</v>
      </c>
      <c r="R2665" s="1" t="s">
        <v>74</v>
      </c>
      <c r="S2665" s="1" t="s">
        <v>74</v>
      </c>
      <c r="T2665" s="1" t="s">
        <v>74</v>
      </c>
      <c r="U2665" s="1" t="s">
        <v>42440</v>
      </c>
      <c r="V2665" s="1" t="s">
        <v>42441</v>
      </c>
      <c r="W2665" s="1" t="s">
        <v>74</v>
      </c>
      <c r="X2665" s="1" t="s">
        <v>74</v>
      </c>
      <c r="Y2665" s="1" t="s">
        <v>15677</v>
      </c>
      <c r="Z2665" s="1" t="s">
        <v>74</v>
      </c>
      <c r="AA2665" s="1" t="s">
        <v>38811</v>
      </c>
      <c r="AB2665" s="1" t="s">
        <v>74</v>
      </c>
      <c r="AC2665" s="1" t="s">
        <v>74</v>
      </c>
      <c r="AD2665" s="1" t="s">
        <v>74</v>
      </c>
      <c r="AE2665" s="1" t="s">
        <v>74</v>
      </c>
      <c r="AF2665" s="1" t="s">
        <v>74</v>
      </c>
      <c r="AG2665" s="1">
        <v>17</v>
      </c>
      <c r="AH2665" s="1">
        <v>9</v>
      </c>
      <c r="AI2665" s="1">
        <v>12</v>
      </c>
      <c r="AJ2665" s="1">
        <v>0</v>
      </c>
      <c r="AK2665" s="1">
        <v>5</v>
      </c>
      <c r="AL2665" s="1" t="s">
        <v>136</v>
      </c>
      <c r="AM2665" s="1" t="s">
        <v>137</v>
      </c>
      <c r="AN2665" s="1" t="s">
        <v>138</v>
      </c>
      <c r="AO2665" s="1" t="s">
        <v>240</v>
      </c>
      <c r="AP2665" s="1" t="s">
        <v>241</v>
      </c>
      <c r="AQ2665" s="1" t="s">
        <v>74</v>
      </c>
      <c r="AR2665" s="1" t="s">
        <v>242</v>
      </c>
      <c r="AS2665" s="1" t="s">
        <v>243</v>
      </c>
      <c r="AT2665" s="1" t="s">
        <v>74</v>
      </c>
      <c r="AU2665" s="1">
        <v>1993</v>
      </c>
      <c r="AV2665" s="1">
        <v>27</v>
      </c>
      <c r="AW2665" s="1" t="s">
        <v>74</v>
      </c>
      <c r="AX2665" s="1" t="s">
        <v>74</v>
      </c>
      <c r="AY2665" s="1" t="s">
        <v>74</v>
      </c>
      <c r="AZ2665" s="1" t="s">
        <v>74</v>
      </c>
      <c r="BA2665" s="1" t="s">
        <v>74</v>
      </c>
      <c r="BB2665" s="1">
        <v>163</v>
      </c>
      <c r="BC2665" s="1">
        <v>170</v>
      </c>
      <c r="BD2665" s="1" t="s">
        <v>74</v>
      </c>
      <c r="BE2665" s="1" t="s">
        <v>42442</v>
      </c>
      <c r="BF2665" s="1" t="str">
        <f>HYPERLINK("http://dx.doi.org/10.1016/0025-326X(93)90021-B","http://dx.doi.org/10.1016/0025-326X(93)90021-B")</f>
        <v>http://dx.doi.org/10.1016/0025-326X(93)90021-B</v>
      </c>
      <c r="BG2665" s="1" t="s">
        <v>74</v>
      </c>
      <c r="BH2665" s="1" t="s">
        <v>74</v>
      </c>
      <c r="BI2665" s="1">
        <v>8</v>
      </c>
      <c r="BJ2665" s="1" t="s">
        <v>247</v>
      </c>
      <c r="BK2665" s="1" t="s">
        <v>96</v>
      </c>
      <c r="BL2665" s="1" t="s">
        <v>248</v>
      </c>
      <c r="BM2665" s="1" t="s">
        <v>42443</v>
      </c>
      <c r="BN2665" s="1" t="s">
        <v>74</v>
      </c>
      <c r="BO2665" s="1" t="s">
        <v>74</v>
      </c>
      <c r="BP2665" s="1" t="s">
        <v>74</v>
      </c>
      <c r="BQ2665" s="1" t="s">
        <v>74</v>
      </c>
      <c r="BR2665" s="1" t="s">
        <v>98</v>
      </c>
      <c r="BS2665" s="1" t="s">
        <v>42444</v>
      </c>
      <c r="BT2665" s="1" t="str">
        <f>HYPERLINK("https%3A%2F%2Fwww.webofscience.com%2Fwos%2Fwoscc%2Ffull-record%2FWOS:A1993MQ72200020","View Full Record in Web of Science")</f>
        <v>View Full Record in Web of Science</v>
      </c>
      <c r="BU2665" s="1"/>
      <c r="BV2665" s="1"/>
    </row>
    <row r="2666" spans="1:74">
      <c r="A2666" s="1" t="s">
        <v>72</v>
      </c>
      <c r="B2666" s="1" t="s">
        <v>42445</v>
      </c>
      <c r="C2666" s="1" t="s">
        <v>74</v>
      </c>
      <c r="D2666" s="1" t="s">
        <v>74</v>
      </c>
      <c r="E2666" s="1" t="s">
        <v>74</v>
      </c>
      <c r="F2666" s="1" t="s">
        <v>42446</v>
      </c>
      <c r="G2666" s="1" t="s">
        <v>74</v>
      </c>
      <c r="H2666" s="1" t="s">
        <v>74</v>
      </c>
      <c r="I2666" s="1" t="s">
        <v>42447</v>
      </c>
      <c r="J2666" s="1" t="s">
        <v>554</v>
      </c>
      <c r="K2666" s="1" t="s">
        <v>74</v>
      </c>
      <c r="L2666" s="1" t="s">
        <v>74</v>
      </c>
      <c r="M2666" s="1" t="s">
        <v>78</v>
      </c>
      <c r="N2666" s="1" t="s">
        <v>79</v>
      </c>
      <c r="O2666" s="1" t="s">
        <v>74</v>
      </c>
      <c r="P2666" s="1" t="s">
        <v>74</v>
      </c>
      <c r="Q2666" s="1" t="s">
        <v>74</v>
      </c>
      <c r="R2666" s="1" t="s">
        <v>74</v>
      </c>
      <c r="S2666" s="1" t="s">
        <v>74</v>
      </c>
      <c r="T2666" s="1" t="s">
        <v>42448</v>
      </c>
      <c r="U2666" s="1" t="s">
        <v>42449</v>
      </c>
      <c r="V2666" s="1" t="s">
        <v>42450</v>
      </c>
      <c r="W2666" s="1" t="s">
        <v>42451</v>
      </c>
      <c r="X2666" s="1" t="s">
        <v>42452</v>
      </c>
      <c r="Y2666" s="1" t="s">
        <v>42453</v>
      </c>
      <c r="Z2666" s="1" t="s">
        <v>42454</v>
      </c>
      <c r="AA2666" s="1" t="s">
        <v>42455</v>
      </c>
      <c r="AB2666" s="1" t="s">
        <v>42456</v>
      </c>
      <c r="AC2666" s="1" t="s">
        <v>42457</v>
      </c>
      <c r="AD2666" s="1" t="s">
        <v>42458</v>
      </c>
      <c r="AE2666" s="1" t="s">
        <v>42459</v>
      </c>
      <c r="AF2666" s="1" t="s">
        <v>74</v>
      </c>
      <c r="AG2666" s="1">
        <v>78</v>
      </c>
      <c r="AH2666" s="1">
        <v>1</v>
      </c>
      <c r="AI2666" s="1">
        <v>1</v>
      </c>
      <c r="AJ2666" s="1">
        <v>6</v>
      </c>
      <c r="AK2666" s="1">
        <v>25</v>
      </c>
      <c r="AL2666" s="1" t="s">
        <v>564</v>
      </c>
      <c r="AM2666" s="1" t="s">
        <v>113</v>
      </c>
      <c r="AN2666" s="1" t="s">
        <v>807</v>
      </c>
      <c r="AO2666" s="1" t="s">
        <v>566</v>
      </c>
      <c r="AP2666" s="1" t="s">
        <v>567</v>
      </c>
      <c r="AQ2666" s="1" t="s">
        <v>74</v>
      </c>
      <c r="AR2666" s="1" t="s">
        <v>568</v>
      </c>
      <c r="AS2666" s="1" t="s">
        <v>569</v>
      </c>
      <c r="AT2666" s="1" t="s">
        <v>951</v>
      </c>
      <c r="AU2666" s="1">
        <v>2023</v>
      </c>
      <c r="AV2666" s="1">
        <v>273</v>
      </c>
      <c r="AW2666" s="1" t="s">
        <v>74</v>
      </c>
      <c r="AX2666" s="1" t="s">
        <v>74</v>
      </c>
      <c r="AY2666" s="1" t="s">
        <v>74</v>
      </c>
      <c r="AZ2666" s="1" t="s">
        <v>74</v>
      </c>
      <c r="BA2666" s="1" t="s">
        <v>74</v>
      </c>
      <c r="BB2666" s="1" t="s">
        <v>74</v>
      </c>
      <c r="BC2666" s="1" t="s">
        <v>74</v>
      </c>
      <c r="BD2666" s="1">
        <v>109714</v>
      </c>
      <c r="BE2666" s="1" t="s">
        <v>42460</v>
      </c>
      <c r="BF2666" s="1" t="str">
        <f>HYPERLINK("http://dx.doi.org/10.1016/j.cbpc.2023.109714","http://dx.doi.org/10.1016/j.cbpc.2023.109714")</f>
        <v>http://dx.doi.org/10.1016/j.cbpc.2023.109714</v>
      </c>
      <c r="BG2666" s="1" t="s">
        <v>74</v>
      </c>
      <c r="BH2666" s="1" t="s">
        <v>6411</v>
      </c>
      <c r="BI2666" s="1">
        <v>10</v>
      </c>
      <c r="BJ2666" s="1" t="s">
        <v>571</v>
      </c>
      <c r="BK2666" s="1" t="s">
        <v>96</v>
      </c>
      <c r="BL2666" s="1" t="s">
        <v>571</v>
      </c>
      <c r="BM2666" s="1" t="s">
        <v>42461</v>
      </c>
      <c r="BN2666" s="1">
        <v>37572933</v>
      </c>
      <c r="BO2666" s="1" t="s">
        <v>1752</v>
      </c>
      <c r="BP2666" s="1" t="s">
        <v>74</v>
      </c>
      <c r="BQ2666" s="1" t="s">
        <v>74</v>
      </c>
      <c r="BR2666" s="1" t="s">
        <v>98</v>
      </c>
      <c r="BS2666" s="1" t="s">
        <v>42462</v>
      </c>
      <c r="BT2666" s="1" t="str">
        <f>HYPERLINK("https%3A%2F%2Fwww.webofscience.com%2Fwos%2Fwoscc%2Ffull-record%2FWOS:001069543400001","View Full Record in Web of Science")</f>
        <v>View Full Record in Web of Science</v>
      </c>
      <c r="BU2666" s="1"/>
      <c r="BV2666" s="1"/>
    </row>
    <row r="2667" spans="1:74">
      <c r="A2667" s="1" t="s">
        <v>72</v>
      </c>
      <c r="B2667" s="1" t="s">
        <v>42463</v>
      </c>
      <c r="C2667" s="1" t="s">
        <v>74</v>
      </c>
      <c r="D2667" s="1" t="s">
        <v>74</v>
      </c>
      <c r="E2667" s="1" t="s">
        <v>74</v>
      </c>
      <c r="F2667" s="1" t="s">
        <v>42464</v>
      </c>
      <c r="G2667" s="1" t="s">
        <v>74</v>
      </c>
      <c r="H2667" s="1" t="s">
        <v>74</v>
      </c>
      <c r="I2667" s="1" t="s">
        <v>42465</v>
      </c>
      <c r="J2667" s="1" t="s">
        <v>909</v>
      </c>
      <c r="K2667" s="1" t="s">
        <v>74</v>
      </c>
      <c r="L2667" s="1" t="s">
        <v>74</v>
      </c>
      <c r="M2667" s="1" t="s">
        <v>78</v>
      </c>
      <c r="N2667" s="1" t="s">
        <v>79</v>
      </c>
      <c r="O2667" s="1" t="s">
        <v>74</v>
      </c>
      <c r="P2667" s="1" t="s">
        <v>74</v>
      </c>
      <c r="Q2667" s="1" t="s">
        <v>74</v>
      </c>
      <c r="R2667" s="1" t="s">
        <v>74</v>
      </c>
      <c r="S2667" s="1" t="s">
        <v>74</v>
      </c>
      <c r="T2667" s="1" t="s">
        <v>42466</v>
      </c>
      <c r="U2667" s="1" t="s">
        <v>42467</v>
      </c>
      <c r="V2667" s="1" t="s">
        <v>42468</v>
      </c>
      <c r="W2667" s="1" t="s">
        <v>42469</v>
      </c>
      <c r="X2667" s="1" t="s">
        <v>42470</v>
      </c>
      <c r="Y2667" s="1" t="s">
        <v>42471</v>
      </c>
      <c r="Z2667" s="1" t="s">
        <v>17992</v>
      </c>
      <c r="AA2667" s="1" t="s">
        <v>27620</v>
      </c>
      <c r="AB2667" s="1" t="s">
        <v>42472</v>
      </c>
      <c r="AC2667" s="1" t="s">
        <v>42473</v>
      </c>
      <c r="AD2667" s="1" t="s">
        <v>42474</v>
      </c>
      <c r="AE2667" s="1" t="s">
        <v>42475</v>
      </c>
      <c r="AF2667" s="1" t="s">
        <v>74</v>
      </c>
      <c r="AG2667" s="1">
        <v>61</v>
      </c>
      <c r="AH2667" s="1">
        <v>14</v>
      </c>
      <c r="AI2667" s="1">
        <v>15</v>
      </c>
      <c r="AJ2667" s="1">
        <v>2</v>
      </c>
      <c r="AK2667" s="1">
        <v>36</v>
      </c>
      <c r="AL2667" s="1" t="s">
        <v>650</v>
      </c>
      <c r="AM2667" s="1" t="s">
        <v>651</v>
      </c>
      <c r="AN2667" s="1" t="s">
        <v>652</v>
      </c>
      <c r="AO2667" s="1" t="s">
        <v>921</v>
      </c>
      <c r="AP2667" s="1" t="s">
        <v>922</v>
      </c>
      <c r="AQ2667" s="1" t="s">
        <v>74</v>
      </c>
      <c r="AR2667" s="1" t="s">
        <v>923</v>
      </c>
      <c r="AS2667" s="1" t="s">
        <v>924</v>
      </c>
      <c r="AT2667" s="1" t="s">
        <v>13306</v>
      </c>
      <c r="AU2667" s="1">
        <v>2021</v>
      </c>
      <c r="AV2667" s="1">
        <v>779</v>
      </c>
      <c r="AW2667" s="1" t="s">
        <v>74</v>
      </c>
      <c r="AX2667" s="1" t="s">
        <v>74</v>
      </c>
      <c r="AY2667" s="1" t="s">
        <v>74</v>
      </c>
      <c r="AZ2667" s="1" t="s">
        <v>74</v>
      </c>
      <c r="BA2667" s="1" t="s">
        <v>74</v>
      </c>
      <c r="BB2667" s="1" t="s">
        <v>74</v>
      </c>
      <c r="BC2667" s="1" t="s">
        <v>74</v>
      </c>
      <c r="BD2667" s="1">
        <v>146343</v>
      </c>
      <c r="BE2667" s="1" t="s">
        <v>42476</v>
      </c>
      <c r="BF2667" s="1" t="str">
        <f>HYPERLINK("http://dx.doi.org/10.1016/j.scitotenv.2021.146343","http://dx.doi.org/10.1016/j.scitotenv.2021.146343")</f>
        <v>http://dx.doi.org/10.1016/j.scitotenv.2021.146343</v>
      </c>
      <c r="BG2667" s="1" t="s">
        <v>74</v>
      </c>
      <c r="BH2667" s="1" t="s">
        <v>992</v>
      </c>
      <c r="BI2667" s="1">
        <v>11</v>
      </c>
      <c r="BJ2667" s="1" t="s">
        <v>144</v>
      </c>
      <c r="BK2667" s="1" t="s">
        <v>96</v>
      </c>
      <c r="BL2667" s="1" t="s">
        <v>145</v>
      </c>
      <c r="BM2667" s="1" t="s">
        <v>42477</v>
      </c>
      <c r="BN2667" s="1">
        <v>33744579</v>
      </c>
      <c r="BO2667" s="1" t="s">
        <v>370</v>
      </c>
      <c r="BP2667" s="1" t="s">
        <v>74</v>
      </c>
      <c r="BQ2667" s="1" t="s">
        <v>74</v>
      </c>
      <c r="BR2667" s="1" t="s">
        <v>98</v>
      </c>
      <c r="BS2667" s="1" t="s">
        <v>42478</v>
      </c>
      <c r="BT2667" s="1" t="str">
        <f>HYPERLINK("https%3A%2F%2Fwww.webofscience.com%2Fwos%2Fwoscc%2Ffull-record%2FWOS:000655684400007","View Full Record in Web of Science")</f>
        <v>View Full Record in Web of Science</v>
      </c>
      <c r="BU2667" s="1"/>
      <c r="BV2667" s="1"/>
    </row>
    <row r="2668" spans="1:74">
      <c r="A2668" s="1" t="s">
        <v>72</v>
      </c>
      <c r="B2668" s="1" t="s">
        <v>42479</v>
      </c>
      <c r="C2668" s="1" t="s">
        <v>74</v>
      </c>
      <c r="D2668" s="1" t="s">
        <v>74</v>
      </c>
      <c r="E2668" s="1" t="s">
        <v>74</v>
      </c>
      <c r="F2668" s="1" t="s">
        <v>42480</v>
      </c>
      <c r="G2668" s="1" t="s">
        <v>74</v>
      </c>
      <c r="H2668" s="1" t="s">
        <v>74</v>
      </c>
      <c r="I2668" s="1" t="s">
        <v>42481</v>
      </c>
      <c r="J2668" s="1" t="s">
        <v>421</v>
      </c>
      <c r="K2668" s="1" t="s">
        <v>74</v>
      </c>
      <c r="L2668" s="1" t="s">
        <v>74</v>
      </c>
      <c r="M2668" s="1" t="s">
        <v>78</v>
      </c>
      <c r="N2668" s="1" t="s">
        <v>79</v>
      </c>
      <c r="O2668" s="1" t="s">
        <v>74</v>
      </c>
      <c r="P2668" s="1" t="s">
        <v>74</v>
      </c>
      <c r="Q2668" s="1" t="s">
        <v>74</v>
      </c>
      <c r="R2668" s="1" t="s">
        <v>74</v>
      </c>
      <c r="S2668" s="1" t="s">
        <v>74</v>
      </c>
      <c r="T2668" s="1" t="s">
        <v>42482</v>
      </c>
      <c r="U2668" s="1" t="s">
        <v>42483</v>
      </c>
      <c r="V2668" s="1" t="s">
        <v>42484</v>
      </c>
      <c r="W2668" s="1" t="s">
        <v>42485</v>
      </c>
      <c r="X2668" s="1" t="s">
        <v>42486</v>
      </c>
      <c r="Y2668" s="1" t="s">
        <v>42487</v>
      </c>
      <c r="Z2668" s="1" t="s">
        <v>42488</v>
      </c>
      <c r="AA2668" s="1" t="s">
        <v>42489</v>
      </c>
      <c r="AB2668" s="1" t="s">
        <v>42490</v>
      </c>
      <c r="AC2668" s="1" t="s">
        <v>42491</v>
      </c>
      <c r="AD2668" s="1" t="s">
        <v>42492</v>
      </c>
      <c r="AE2668" s="1" t="s">
        <v>42493</v>
      </c>
      <c r="AF2668" s="1" t="s">
        <v>74</v>
      </c>
      <c r="AG2668" s="1">
        <v>97</v>
      </c>
      <c r="AH2668" s="1">
        <v>5</v>
      </c>
      <c r="AI2668" s="1">
        <v>5</v>
      </c>
      <c r="AJ2668" s="1">
        <v>0</v>
      </c>
      <c r="AK2668" s="1">
        <v>11</v>
      </c>
      <c r="AL2668" s="1" t="s">
        <v>430</v>
      </c>
      <c r="AM2668" s="1" t="s">
        <v>137</v>
      </c>
      <c r="AN2668" s="1" t="s">
        <v>431</v>
      </c>
      <c r="AO2668" s="1" t="s">
        <v>432</v>
      </c>
      <c r="AP2668" s="1" t="s">
        <v>1394</v>
      </c>
      <c r="AQ2668" s="1" t="s">
        <v>74</v>
      </c>
      <c r="AR2668" s="1" t="s">
        <v>433</v>
      </c>
      <c r="AS2668" s="1" t="s">
        <v>434</v>
      </c>
      <c r="AT2668" s="1" t="s">
        <v>11873</v>
      </c>
      <c r="AU2668" s="1">
        <v>2023</v>
      </c>
      <c r="AV2668" s="1">
        <v>316</v>
      </c>
      <c r="AW2668" s="1" t="s">
        <v>74</v>
      </c>
      <c r="AX2668" s="1">
        <v>2</v>
      </c>
      <c r="AY2668" s="1" t="s">
        <v>74</v>
      </c>
      <c r="AZ2668" s="1" t="s">
        <v>74</v>
      </c>
      <c r="BA2668" s="1" t="s">
        <v>74</v>
      </c>
      <c r="BB2668" s="1" t="s">
        <v>74</v>
      </c>
      <c r="BC2668" s="1" t="s">
        <v>74</v>
      </c>
      <c r="BD2668" s="1">
        <v>120674</v>
      </c>
      <c r="BE2668" s="1" t="s">
        <v>42494</v>
      </c>
      <c r="BF2668" s="1" t="str">
        <f>HYPERLINK("http://dx.doi.org/10.1016/j.envpol.2022.120674","http://dx.doi.org/10.1016/j.envpol.2022.120674")</f>
        <v>http://dx.doi.org/10.1016/j.envpol.2022.120674</v>
      </c>
      <c r="BG2668" s="1" t="s">
        <v>74</v>
      </c>
      <c r="BH2668" s="1" t="s">
        <v>699</v>
      </c>
      <c r="BI2668" s="1">
        <v>10</v>
      </c>
      <c r="BJ2668" s="1" t="s">
        <v>144</v>
      </c>
      <c r="BK2668" s="1" t="s">
        <v>96</v>
      </c>
      <c r="BL2668" s="1" t="s">
        <v>145</v>
      </c>
      <c r="BM2668" s="1" t="s">
        <v>42495</v>
      </c>
      <c r="BN2668" s="1">
        <v>36403880</v>
      </c>
      <c r="BO2668" s="1" t="s">
        <v>476</v>
      </c>
      <c r="BP2668" s="1" t="s">
        <v>74</v>
      </c>
      <c r="BQ2668" s="1" t="s">
        <v>74</v>
      </c>
      <c r="BR2668" s="1" t="s">
        <v>98</v>
      </c>
      <c r="BS2668" s="1" t="s">
        <v>42496</v>
      </c>
      <c r="BT2668" s="1" t="str">
        <f>HYPERLINK("https%3A%2F%2Fwww.webofscience.com%2Fwos%2Fwoscc%2Ffull-record%2FWOS:000909085600008","View Full Record in Web of Science")</f>
        <v>View Full Record in Web of Science</v>
      </c>
      <c r="BU2668" s="1"/>
      <c r="BV2668" s="1"/>
    </row>
    <row r="2669" spans="1:74">
      <c r="A2669" s="1" t="s">
        <v>72</v>
      </c>
      <c r="B2669" s="1" t="s">
        <v>42497</v>
      </c>
      <c r="C2669" s="1" t="s">
        <v>74</v>
      </c>
      <c r="D2669" s="1" t="s">
        <v>74</v>
      </c>
      <c r="E2669" s="1" t="s">
        <v>74</v>
      </c>
      <c r="F2669" s="1" t="s">
        <v>42498</v>
      </c>
      <c r="G2669" s="1" t="s">
        <v>74</v>
      </c>
      <c r="H2669" s="1" t="s">
        <v>74</v>
      </c>
      <c r="I2669" s="1" t="s">
        <v>42499</v>
      </c>
      <c r="J2669" s="1" t="s">
        <v>3349</v>
      </c>
      <c r="K2669" s="1" t="s">
        <v>74</v>
      </c>
      <c r="L2669" s="1" t="s">
        <v>74</v>
      </c>
      <c r="M2669" s="1" t="s">
        <v>78</v>
      </c>
      <c r="N2669" s="1" t="s">
        <v>79</v>
      </c>
      <c r="O2669" s="1" t="s">
        <v>74</v>
      </c>
      <c r="P2669" s="1" t="s">
        <v>74</v>
      </c>
      <c r="Q2669" s="1" t="s">
        <v>74</v>
      </c>
      <c r="R2669" s="1" t="s">
        <v>74</v>
      </c>
      <c r="S2669" s="1" t="s">
        <v>74</v>
      </c>
      <c r="T2669" s="1" t="s">
        <v>42500</v>
      </c>
      <c r="U2669" s="1" t="s">
        <v>42501</v>
      </c>
      <c r="V2669" s="1" t="s">
        <v>42502</v>
      </c>
      <c r="W2669" s="1" t="s">
        <v>42503</v>
      </c>
      <c r="X2669" s="1" t="s">
        <v>39779</v>
      </c>
      <c r="Y2669" s="1" t="s">
        <v>42504</v>
      </c>
      <c r="Z2669" s="1" t="s">
        <v>42505</v>
      </c>
      <c r="AA2669" s="1" t="s">
        <v>42506</v>
      </c>
      <c r="AB2669" s="1" t="s">
        <v>42507</v>
      </c>
      <c r="AC2669" s="1" t="s">
        <v>42508</v>
      </c>
      <c r="AD2669" s="1" t="s">
        <v>42509</v>
      </c>
      <c r="AE2669" s="1" t="s">
        <v>42510</v>
      </c>
      <c r="AF2669" s="1" t="s">
        <v>74</v>
      </c>
      <c r="AG2669" s="1">
        <v>79</v>
      </c>
      <c r="AH2669" s="1">
        <v>35</v>
      </c>
      <c r="AI2669" s="1">
        <v>35</v>
      </c>
      <c r="AJ2669" s="1">
        <v>6</v>
      </c>
      <c r="AK2669" s="1">
        <v>67</v>
      </c>
      <c r="AL2669" s="1" t="s">
        <v>3362</v>
      </c>
      <c r="AM2669" s="1" t="s">
        <v>3363</v>
      </c>
      <c r="AN2669" s="1" t="s">
        <v>3364</v>
      </c>
      <c r="AO2669" s="1" t="s">
        <v>3365</v>
      </c>
      <c r="AP2669" s="1" t="s">
        <v>3366</v>
      </c>
      <c r="AQ2669" s="1" t="s">
        <v>74</v>
      </c>
      <c r="AR2669" s="1" t="s">
        <v>3367</v>
      </c>
      <c r="AS2669" s="1" t="s">
        <v>3368</v>
      </c>
      <c r="AT2669" s="1" t="s">
        <v>16894</v>
      </c>
      <c r="AU2669" s="1">
        <v>2020</v>
      </c>
      <c r="AV2669" s="1">
        <v>197</v>
      </c>
      <c r="AW2669" s="1" t="s">
        <v>74</v>
      </c>
      <c r="AX2669" s="1" t="s">
        <v>74</v>
      </c>
      <c r="AY2669" s="1" t="s">
        <v>74</v>
      </c>
      <c r="AZ2669" s="1" t="s">
        <v>74</v>
      </c>
      <c r="BA2669" s="1" t="s">
        <v>74</v>
      </c>
      <c r="BB2669" s="1" t="s">
        <v>74</v>
      </c>
      <c r="BC2669" s="1" t="s">
        <v>74</v>
      </c>
      <c r="BD2669" s="1">
        <v>110609</v>
      </c>
      <c r="BE2669" s="1" t="s">
        <v>42511</v>
      </c>
      <c r="BF2669" s="1" t="str">
        <f>HYPERLINK("http://dx.doi.org/10.1016/j.ecoenv.2020.110609","http://dx.doi.org/10.1016/j.ecoenv.2020.110609")</f>
        <v>http://dx.doi.org/10.1016/j.ecoenv.2020.110609</v>
      </c>
      <c r="BG2669" s="1" t="s">
        <v>74</v>
      </c>
      <c r="BH2669" s="1" t="s">
        <v>74</v>
      </c>
      <c r="BI2669" s="1">
        <v>8</v>
      </c>
      <c r="BJ2669" s="1" t="s">
        <v>121</v>
      </c>
      <c r="BK2669" s="1" t="s">
        <v>96</v>
      </c>
      <c r="BL2669" s="1" t="s">
        <v>122</v>
      </c>
      <c r="BM2669" s="1" t="s">
        <v>42512</v>
      </c>
      <c r="BN2669" s="1">
        <v>32302859</v>
      </c>
      <c r="BO2669" s="1" t="s">
        <v>74</v>
      </c>
      <c r="BP2669" s="1" t="s">
        <v>74</v>
      </c>
      <c r="BQ2669" s="1" t="s">
        <v>74</v>
      </c>
      <c r="BR2669" s="1" t="s">
        <v>98</v>
      </c>
      <c r="BS2669" s="1" t="s">
        <v>42513</v>
      </c>
      <c r="BT2669" s="1" t="str">
        <f>HYPERLINK("https%3A%2F%2Fwww.webofscience.com%2Fwos%2Fwoscc%2Ffull-record%2FWOS:000531094000020","View Full Record in Web of Science")</f>
        <v>View Full Record in Web of Science</v>
      </c>
      <c r="BU2669" s="1"/>
      <c r="BV2669" s="1"/>
    </row>
    <row r="2670" spans="1:74">
      <c r="A2670" s="1" t="s">
        <v>72</v>
      </c>
      <c r="B2670" s="1" t="s">
        <v>42514</v>
      </c>
      <c r="C2670" s="1" t="s">
        <v>74</v>
      </c>
      <c r="D2670" s="1" t="s">
        <v>74</v>
      </c>
      <c r="E2670" s="1" t="s">
        <v>74</v>
      </c>
      <c r="F2670" s="1" t="s">
        <v>42515</v>
      </c>
      <c r="G2670" s="1" t="s">
        <v>74</v>
      </c>
      <c r="H2670" s="1" t="s">
        <v>74</v>
      </c>
      <c r="I2670" s="1" t="s">
        <v>42516</v>
      </c>
      <c r="J2670" s="1" t="s">
        <v>127</v>
      </c>
      <c r="K2670" s="1" t="s">
        <v>74</v>
      </c>
      <c r="L2670" s="1" t="s">
        <v>74</v>
      </c>
      <c r="M2670" s="1" t="s">
        <v>78</v>
      </c>
      <c r="N2670" s="1" t="s">
        <v>79</v>
      </c>
      <c r="O2670" s="1" t="s">
        <v>74</v>
      </c>
      <c r="P2670" s="1" t="s">
        <v>74</v>
      </c>
      <c r="Q2670" s="1" t="s">
        <v>74</v>
      </c>
      <c r="R2670" s="1" t="s">
        <v>74</v>
      </c>
      <c r="S2670" s="1" t="s">
        <v>74</v>
      </c>
      <c r="T2670" s="1" t="s">
        <v>42517</v>
      </c>
      <c r="U2670" s="1" t="s">
        <v>42518</v>
      </c>
      <c r="V2670" s="1" t="s">
        <v>42519</v>
      </c>
      <c r="W2670" s="1" t="s">
        <v>42520</v>
      </c>
      <c r="X2670" s="1" t="s">
        <v>42521</v>
      </c>
      <c r="Y2670" s="1" t="s">
        <v>42522</v>
      </c>
      <c r="Z2670" s="1" t="s">
        <v>42523</v>
      </c>
      <c r="AA2670" s="1" t="s">
        <v>42524</v>
      </c>
      <c r="AB2670" s="1" t="s">
        <v>42525</v>
      </c>
      <c r="AC2670" s="1" t="s">
        <v>74</v>
      </c>
      <c r="AD2670" s="1" t="s">
        <v>74</v>
      </c>
      <c r="AE2670" s="1" t="s">
        <v>74</v>
      </c>
      <c r="AF2670" s="1" t="s">
        <v>74</v>
      </c>
      <c r="AG2670" s="1">
        <v>59</v>
      </c>
      <c r="AH2670" s="1">
        <v>24</v>
      </c>
      <c r="AI2670" s="1">
        <v>25</v>
      </c>
      <c r="AJ2670" s="1">
        <v>0</v>
      </c>
      <c r="AK2670" s="1">
        <v>15</v>
      </c>
      <c r="AL2670" s="1" t="s">
        <v>136</v>
      </c>
      <c r="AM2670" s="1" t="s">
        <v>137</v>
      </c>
      <c r="AN2670" s="1" t="s">
        <v>138</v>
      </c>
      <c r="AO2670" s="1" t="s">
        <v>139</v>
      </c>
      <c r="AP2670" s="1" t="s">
        <v>74</v>
      </c>
      <c r="AQ2670" s="1" t="s">
        <v>74</v>
      </c>
      <c r="AR2670" s="1" t="s">
        <v>127</v>
      </c>
      <c r="AS2670" s="1" t="s">
        <v>141</v>
      </c>
      <c r="AT2670" s="1" t="s">
        <v>93</v>
      </c>
      <c r="AU2670" s="1">
        <v>2008</v>
      </c>
      <c r="AV2670" s="1">
        <v>71</v>
      </c>
      <c r="AW2670" s="1">
        <v>7</v>
      </c>
      <c r="AX2670" s="1" t="s">
        <v>74</v>
      </c>
      <c r="AY2670" s="1" t="s">
        <v>74</v>
      </c>
      <c r="AZ2670" s="1" t="s">
        <v>74</v>
      </c>
      <c r="BA2670" s="1" t="s">
        <v>74</v>
      </c>
      <c r="BB2670" s="1">
        <v>1340</v>
      </c>
      <c r="BC2670" s="1">
        <v>1347</v>
      </c>
      <c r="BD2670" s="1" t="s">
        <v>74</v>
      </c>
      <c r="BE2670" s="1" t="s">
        <v>42526</v>
      </c>
      <c r="BF2670" s="1" t="str">
        <f>HYPERLINK("http://dx.doi.org/10.1016/j.chemosphere.2007.11.024","http://dx.doi.org/10.1016/j.chemosphere.2007.11.024")</f>
        <v>http://dx.doi.org/10.1016/j.chemosphere.2007.11.024</v>
      </c>
      <c r="BG2670" s="1" t="s">
        <v>74</v>
      </c>
      <c r="BH2670" s="1" t="s">
        <v>74</v>
      </c>
      <c r="BI2670" s="1">
        <v>8</v>
      </c>
      <c r="BJ2670" s="1" t="s">
        <v>144</v>
      </c>
      <c r="BK2670" s="1" t="s">
        <v>96</v>
      </c>
      <c r="BL2670" s="1" t="s">
        <v>145</v>
      </c>
      <c r="BM2670" s="1" t="s">
        <v>42527</v>
      </c>
      <c r="BN2670" s="1">
        <v>18178236</v>
      </c>
      <c r="BO2670" s="1" t="s">
        <v>74</v>
      </c>
      <c r="BP2670" s="1" t="s">
        <v>74</v>
      </c>
      <c r="BQ2670" s="1" t="s">
        <v>74</v>
      </c>
      <c r="BR2670" s="1" t="s">
        <v>98</v>
      </c>
      <c r="BS2670" s="1" t="s">
        <v>42528</v>
      </c>
      <c r="BT2670" s="1" t="str">
        <f>HYPERLINK("https%3A%2F%2Fwww.webofscience.com%2Fwos%2Fwoscc%2Ffull-record%2FWOS:000255450000017","View Full Record in Web of Science")</f>
        <v>View Full Record in Web of Science</v>
      </c>
      <c r="BU2670" s="1"/>
      <c r="BV2670" s="1"/>
    </row>
    <row r="2671" spans="1:74">
      <c r="A2671" s="1" t="s">
        <v>72</v>
      </c>
      <c r="B2671" s="1" t="s">
        <v>42529</v>
      </c>
      <c r="C2671" s="1" t="s">
        <v>74</v>
      </c>
      <c r="D2671" s="1" t="s">
        <v>74</v>
      </c>
      <c r="E2671" s="1" t="s">
        <v>74</v>
      </c>
      <c r="F2671" s="1" t="s">
        <v>42530</v>
      </c>
      <c r="G2671" s="1" t="s">
        <v>74</v>
      </c>
      <c r="H2671" s="1" t="s">
        <v>74</v>
      </c>
      <c r="I2671" s="1" t="s">
        <v>42531</v>
      </c>
      <c r="J2671" s="1" t="s">
        <v>641</v>
      </c>
      <c r="K2671" s="1" t="s">
        <v>74</v>
      </c>
      <c r="L2671" s="1" t="s">
        <v>74</v>
      </c>
      <c r="M2671" s="1" t="s">
        <v>78</v>
      </c>
      <c r="N2671" s="1" t="s">
        <v>79</v>
      </c>
      <c r="O2671" s="1" t="s">
        <v>74</v>
      </c>
      <c r="P2671" s="1" t="s">
        <v>74</v>
      </c>
      <c r="Q2671" s="1" t="s">
        <v>74</v>
      </c>
      <c r="R2671" s="1" t="s">
        <v>74</v>
      </c>
      <c r="S2671" s="1" t="s">
        <v>74</v>
      </c>
      <c r="T2671" s="1" t="s">
        <v>42532</v>
      </c>
      <c r="U2671" s="1" t="s">
        <v>42533</v>
      </c>
      <c r="V2671" s="1" t="s">
        <v>42534</v>
      </c>
      <c r="W2671" s="1" t="s">
        <v>42535</v>
      </c>
      <c r="X2671" s="1" t="s">
        <v>25649</v>
      </c>
      <c r="Y2671" s="1" t="s">
        <v>38034</v>
      </c>
      <c r="Z2671" s="1" t="s">
        <v>32756</v>
      </c>
      <c r="AA2671" s="1" t="s">
        <v>37251</v>
      </c>
      <c r="AB2671" s="1" t="s">
        <v>37252</v>
      </c>
      <c r="AC2671" s="1" t="s">
        <v>42536</v>
      </c>
      <c r="AD2671" s="1" t="s">
        <v>42537</v>
      </c>
      <c r="AE2671" s="1" t="s">
        <v>42538</v>
      </c>
      <c r="AF2671" s="1" t="s">
        <v>74</v>
      </c>
      <c r="AG2671" s="1">
        <v>54</v>
      </c>
      <c r="AH2671" s="1">
        <v>28</v>
      </c>
      <c r="AI2671" s="1">
        <v>30</v>
      </c>
      <c r="AJ2671" s="1">
        <v>6</v>
      </c>
      <c r="AK2671" s="1">
        <v>44</v>
      </c>
      <c r="AL2671" s="1" t="s">
        <v>650</v>
      </c>
      <c r="AM2671" s="1" t="s">
        <v>651</v>
      </c>
      <c r="AN2671" s="1" t="s">
        <v>652</v>
      </c>
      <c r="AO2671" s="1" t="s">
        <v>653</v>
      </c>
      <c r="AP2671" s="1" t="s">
        <v>654</v>
      </c>
      <c r="AQ2671" s="1" t="s">
        <v>74</v>
      </c>
      <c r="AR2671" s="1" t="s">
        <v>655</v>
      </c>
      <c r="AS2671" s="1" t="s">
        <v>656</v>
      </c>
      <c r="AT2671" s="1" t="s">
        <v>1470</v>
      </c>
      <c r="AU2671" s="1">
        <v>2022</v>
      </c>
      <c r="AV2671" s="1">
        <v>242</v>
      </c>
      <c r="AW2671" s="1" t="s">
        <v>74</v>
      </c>
      <c r="AX2671" s="1" t="s">
        <v>74</v>
      </c>
      <c r="AY2671" s="1" t="s">
        <v>74</v>
      </c>
      <c r="AZ2671" s="1" t="s">
        <v>74</v>
      </c>
      <c r="BA2671" s="1" t="s">
        <v>74</v>
      </c>
      <c r="BB2671" s="1" t="s">
        <v>74</v>
      </c>
      <c r="BC2671" s="1" t="s">
        <v>74</v>
      </c>
      <c r="BD2671" s="1">
        <v>106049</v>
      </c>
      <c r="BE2671" s="1" t="s">
        <v>42539</v>
      </c>
      <c r="BF2671" s="1" t="str">
        <f>HYPERLINK("http://dx.doi.org/10.1016/j.aquatox.2021.106049","http://dx.doi.org/10.1016/j.aquatox.2021.106049")</f>
        <v>http://dx.doi.org/10.1016/j.aquatox.2021.106049</v>
      </c>
      <c r="BG2671" s="1" t="s">
        <v>74</v>
      </c>
      <c r="BH2671" s="1" t="s">
        <v>74</v>
      </c>
      <c r="BI2671" s="1">
        <v>9</v>
      </c>
      <c r="BJ2671" s="1" t="s">
        <v>659</v>
      </c>
      <c r="BK2671" s="1" t="s">
        <v>96</v>
      </c>
      <c r="BL2671" s="1" t="s">
        <v>659</v>
      </c>
      <c r="BM2671" s="1" t="s">
        <v>12759</v>
      </c>
      <c r="BN2671" s="1">
        <v>34875489</v>
      </c>
      <c r="BO2671" s="1" t="s">
        <v>74</v>
      </c>
      <c r="BP2671" s="1" t="s">
        <v>74</v>
      </c>
      <c r="BQ2671" s="1" t="s">
        <v>74</v>
      </c>
      <c r="BR2671" s="1" t="s">
        <v>98</v>
      </c>
      <c r="BS2671" s="1" t="s">
        <v>42540</v>
      </c>
      <c r="BT2671" s="1" t="str">
        <f>HYPERLINK("https%3A%2F%2Fwww.webofscience.com%2Fwos%2Fwoscc%2Ffull-record%2FWOS:000765515700004","View Full Record in Web of Science")</f>
        <v>View Full Record in Web of Science</v>
      </c>
      <c r="BU2671" s="1"/>
      <c r="BV2671" s="1"/>
    </row>
    <row r="2672" spans="1:74">
      <c r="A2672" s="1" t="s">
        <v>72</v>
      </c>
      <c r="B2672" s="1" t="s">
        <v>42541</v>
      </c>
      <c r="C2672" s="1" t="s">
        <v>74</v>
      </c>
      <c r="D2672" s="1" t="s">
        <v>74</v>
      </c>
      <c r="E2672" s="1" t="s">
        <v>74</v>
      </c>
      <c r="F2672" s="1" t="s">
        <v>42541</v>
      </c>
      <c r="G2672" s="1" t="s">
        <v>74</v>
      </c>
      <c r="H2672" s="1" t="s">
        <v>74</v>
      </c>
      <c r="I2672" s="1" t="s">
        <v>42542</v>
      </c>
      <c r="J2672" s="1" t="s">
        <v>421</v>
      </c>
      <c r="K2672" s="1" t="s">
        <v>74</v>
      </c>
      <c r="L2672" s="1" t="s">
        <v>74</v>
      </c>
      <c r="M2672" s="1" t="s">
        <v>78</v>
      </c>
      <c r="N2672" s="1" t="s">
        <v>79</v>
      </c>
      <c r="O2672" s="1" t="s">
        <v>74</v>
      </c>
      <c r="P2672" s="1" t="s">
        <v>74</v>
      </c>
      <c r="Q2672" s="1" t="s">
        <v>74</v>
      </c>
      <c r="R2672" s="1" t="s">
        <v>74</v>
      </c>
      <c r="S2672" s="1" t="s">
        <v>74</v>
      </c>
      <c r="T2672" s="1" t="s">
        <v>42543</v>
      </c>
      <c r="U2672" s="1" t="s">
        <v>42544</v>
      </c>
      <c r="V2672" s="1" t="s">
        <v>42545</v>
      </c>
      <c r="W2672" s="1" t="s">
        <v>42546</v>
      </c>
      <c r="X2672" s="1" t="s">
        <v>42547</v>
      </c>
      <c r="Y2672" s="1" t="s">
        <v>42548</v>
      </c>
      <c r="Z2672" s="1" t="s">
        <v>74</v>
      </c>
      <c r="AA2672" s="1" t="s">
        <v>42549</v>
      </c>
      <c r="AB2672" s="1" t="s">
        <v>42550</v>
      </c>
      <c r="AC2672" s="1" t="s">
        <v>74</v>
      </c>
      <c r="AD2672" s="1" t="s">
        <v>74</v>
      </c>
      <c r="AE2672" s="1" t="s">
        <v>74</v>
      </c>
      <c r="AF2672" s="1" t="s">
        <v>74</v>
      </c>
      <c r="AG2672" s="1">
        <v>25</v>
      </c>
      <c r="AH2672" s="1">
        <v>30</v>
      </c>
      <c r="AI2672" s="1">
        <v>34</v>
      </c>
      <c r="AJ2672" s="1">
        <v>0</v>
      </c>
      <c r="AK2672" s="1">
        <v>27</v>
      </c>
      <c r="AL2672" s="1" t="s">
        <v>430</v>
      </c>
      <c r="AM2672" s="1" t="s">
        <v>137</v>
      </c>
      <c r="AN2672" s="1" t="s">
        <v>431</v>
      </c>
      <c r="AO2672" s="1" t="s">
        <v>432</v>
      </c>
      <c r="AP2672" s="1" t="s">
        <v>74</v>
      </c>
      <c r="AQ2672" s="1" t="s">
        <v>74</v>
      </c>
      <c r="AR2672" s="1" t="s">
        <v>433</v>
      </c>
      <c r="AS2672" s="1" t="s">
        <v>434</v>
      </c>
      <c r="AT2672" s="1" t="s">
        <v>74</v>
      </c>
      <c r="AU2672" s="1">
        <v>2003</v>
      </c>
      <c r="AV2672" s="1">
        <v>123</v>
      </c>
      <c r="AW2672" s="1">
        <v>2</v>
      </c>
      <c r="AX2672" s="1" t="s">
        <v>74</v>
      </c>
      <c r="AY2672" s="1" t="s">
        <v>74</v>
      </c>
      <c r="AZ2672" s="1" t="s">
        <v>74</v>
      </c>
      <c r="BA2672" s="1" t="s">
        <v>74</v>
      </c>
      <c r="BB2672" s="1">
        <v>291</v>
      </c>
      <c r="BC2672" s="1">
        <v>299</v>
      </c>
      <c r="BD2672" s="1" t="s">
        <v>42551</v>
      </c>
      <c r="BE2672" s="1" t="s">
        <v>42552</v>
      </c>
      <c r="BF2672" s="1" t="str">
        <f>HYPERLINK("http://dx.doi.org/10.1016/S0269-7491(02)00368-8","http://dx.doi.org/10.1016/S0269-7491(02)00368-8")</f>
        <v>http://dx.doi.org/10.1016/S0269-7491(02)00368-8</v>
      </c>
      <c r="BG2672" s="1" t="s">
        <v>74</v>
      </c>
      <c r="BH2672" s="1" t="s">
        <v>74</v>
      </c>
      <c r="BI2672" s="1">
        <v>9</v>
      </c>
      <c r="BJ2672" s="1" t="s">
        <v>144</v>
      </c>
      <c r="BK2672" s="1" t="s">
        <v>96</v>
      </c>
      <c r="BL2672" s="1" t="s">
        <v>145</v>
      </c>
      <c r="BM2672" s="1" t="s">
        <v>42553</v>
      </c>
      <c r="BN2672" s="1">
        <v>12628208</v>
      </c>
      <c r="BO2672" s="1" t="s">
        <v>74</v>
      </c>
      <c r="BP2672" s="1" t="s">
        <v>74</v>
      </c>
      <c r="BQ2672" s="1" t="s">
        <v>74</v>
      </c>
      <c r="BR2672" s="1" t="s">
        <v>98</v>
      </c>
      <c r="BS2672" s="1" t="s">
        <v>42554</v>
      </c>
      <c r="BT2672" s="1" t="str">
        <f>HYPERLINK("https%3A%2F%2Fwww.webofscience.com%2Fwos%2Fwoscc%2Ffull-record%2FWOS:000182287000012","View Full Record in Web of Science")</f>
        <v>View Full Record in Web of Science</v>
      </c>
      <c r="BU2672" s="1"/>
      <c r="BV2672" s="1"/>
    </row>
    <row r="2673" spans="1:74">
      <c r="A2673" s="1" t="s">
        <v>72</v>
      </c>
      <c r="B2673" s="1" t="s">
        <v>42555</v>
      </c>
      <c r="C2673" s="1" t="s">
        <v>74</v>
      </c>
      <c r="D2673" s="1" t="s">
        <v>74</v>
      </c>
      <c r="E2673" s="1" t="s">
        <v>74</v>
      </c>
      <c r="F2673" s="1" t="s">
        <v>42555</v>
      </c>
      <c r="G2673" s="1" t="s">
        <v>74</v>
      </c>
      <c r="H2673" s="1" t="s">
        <v>74</v>
      </c>
      <c r="I2673" s="1" t="s">
        <v>42556</v>
      </c>
      <c r="J2673" s="1" t="s">
        <v>1254</v>
      </c>
      <c r="K2673" s="1" t="s">
        <v>74</v>
      </c>
      <c r="L2673" s="1" t="s">
        <v>74</v>
      </c>
      <c r="M2673" s="1" t="s">
        <v>78</v>
      </c>
      <c r="N2673" s="1" t="s">
        <v>79</v>
      </c>
      <c r="O2673" s="1" t="s">
        <v>74</v>
      </c>
      <c r="P2673" s="1" t="s">
        <v>74</v>
      </c>
      <c r="Q2673" s="1" t="s">
        <v>74</v>
      </c>
      <c r="R2673" s="1" t="s">
        <v>74</v>
      </c>
      <c r="S2673" s="1" t="s">
        <v>74</v>
      </c>
      <c r="T2673" s="1" t="s">
        <v>42557</v>
      </c>
      <c r="U2673" s="1" t="s">
        <v>42558</v>
      </c>
      <c r="V2673" s="1" t="s">
        <v>42559</v>
      </c>
      <c r="W2673" s="1" t="s">
        <v>42560</v>
      </c>
      <c r="X2673" s="1" t="s">
        <v>14764</v>
      </c>
      <c r="Y2673" s="1" t="s">
        <v>42561</v>
      </c>
      <c r="Z2673" s="1" t="s">
        <v>14766</v>
      </c>
      <c r="AA2673" s="1" t="s">
        <v>8915</v>
      </c>
      <c r="AB2673" s="1" t="s">
        <v>42562</v>
      </c>
      <c r="AC2673" s="1" t="s">
        <v>74</v>
      </c>
      <c r="AD2673" s="1" t="s">
        <v>74</v>
      </c>
      <c r="AE2673" s="1" t="s">
        <v>74</v>
      </c>
      <c r="AF2673" s="1" t="s">
        <v>74</v>
      </c>
      <c r="AG2673" s="1">
        <v>54</v>
      </c>
      <c r="AH2673" s="1">
        <v>32</v>
      </c>
      <c r="AI2673" s="1">
        <v>40</v>
      </c>
      <c r="AJ2673" s="1">
        <v>0</v>
      </c>
      <c r="AK2673" s="1">
        <v>18</v>
      </c>
      <c r="AL2673" s="1" t="s">
        <v>136</v>
      </c>
      <c r="AM2673" s="1" t="s">
        <v>137</v>
      </c>
      <c r="AN2673" s="1" t="s">
        <v>138</v>
      </c>
      <c r="AO2673" s="1" t="s">
        <v>1264</v>
      </c>
      <c r="AP2673" s="1" t="s">
        <v>1265</v>
      </c>
      <c r="AQ2673" s="1" t="s">
        <v>74</v>
      </c>
      <c r="AR2673" s="1" t="s">
        <v>1266</v>
      </c>
      <c r="AS2673" s="1" t="s">
        <v>1267</v>
      </c>
      <c r="AT2673" s="1" t="s">
        <v>305</v>
      </c>
      <c r="AU2673" s="1">
        <v>2002</v>
      </c>
      <c r="AV2673" s="1">
        <v>28</v>
      </c>
      <c r="AW2673" s="1">
        <v>4</v>
      </c>
      <c r="AX2673" s="1" t="s">
        <v>74</v>
      </c>
      <c r="AY2673" s="1" t="s">
        <v>74</v>
      </c>
      <c r="AZ2673" s="1" t="s">
        <v>74</v>
      </c>
      <c r="BA2673" s="1" t="s">
        <v>74</v>
      </c>
      <c r="BB2673" s="1">
        <v>295</v>
      </c>
      <c r="BC2673" s="1">
        <v>302</v>
      </c>
      <c r="BD2673" s="1" t="s">
        <v>42563</v>
      </c>
      <c r="BE2673" s="1" t="s">
        <v>42564</v>
      </c>
      <c r="BF2673" s="1" t="str">
        <f>HYPERLINK("http://dx.doi.org/10.1016/S0160-4120(02)00038-7","http://dx.doi.org/10.1016/S0160-4120(02)00038-7")</f>
        <v>http://dx.doi.org/10.1016/S0160-4120(02)00038-7</v>
      </c>
      <c r="BG2673" s="1" t="s">
        <v>74</v>
      </c>
      <c r="BH2673" s="1" t="s">
        <v>74</v>
      </c>
      <c r="BI2673" s="1">
        <v>8</v>
      </c>
      <c r="BJ2673" s="1" t="s">
        <v>144</v>
      </c>
      <c r="BK2673" s="1" t="s">
        <v>96</v>
      </c>
      <c r="BL2673" s="1" t="s">
        <v>145</v>
      </c>
      <c r="BM2673" s="1" t="s">
        <v>42565</v>
      </c>
      <c r="BN2673" s="1">
        <v>12220116</v>
      </c>
      <c r="BO2673" s="1" t="s">
        <v>1752</v>
      </c>
      <c r="BP2673" s="1" t="s">
        <v>74</v>
      </c>
      <c r="BQ2673" s="1" t="s">
        <v>74</v>
      </c>
      <c r="BR2673" s="1" t="s">
        <v>98</v>
      </c>
      <c r="BS2673" s="1" t="s">
        <v>42566</v>
      </c>
      <c r="BT2673" s="1" t="str">
        <f>HYPERLINK("https%3A%2F%2Fwww.webofscience.com%2Fwos%2Fwoscc%2Ffull-record%2FWOS:000177925600008","View Full Record in Web of Science")</f>
        <v>View Full Record in Web of Science</v>
      </c>
      <c r="BU2673" s="1"/>
      <c r="BV2673" s="1"/>
    </row>
    <row r="2674" spans="1:74">
      <c r="A2674" s="1" t="s">
        <v>72</v>
      </c>
      <c r="B2674" s="1" t="s">
        <v>42567</v>
      </c>
      <c r="C2674" s="1" t="s">
        <v>74</v>
      </c>
      <c r="D2674" s="1" t="s">
        <v>74</v>
      </c>
      <c r="E2674" s="1" t="s">
        <v>74</v>
      </c>
      <c r="F2674" s="1" t="s">
        <v>42568</v>
      </c>
      <c r="G2674" s="1" t="s">
        <v>74</v>
      </c>
      <c r="H2674" s="1" t="s">
        <v>74</v>
      </c>
      <c r="I2674" s="1" t="s">
        <v>42569</v>
      </c>
      <c r="J2674" s="1" t="s">
        <v>204</v>
      </c>
      <c r="K2674" s="1" t="s">
        <v>74</v>
      </c>
      <c r="L2674" s="1" t="s">
        <v>74</v>
      </c>
      <c r="M2674" s="1" t="s">
        <v>78</v>
      </c>
      <c r="N2674" s="1" t="s">
        <v>79</v>
      </c>
      <c r="O2674" s="1" t="s">
        <v>74</v>
      </c>
      <c r="P2674" s="1" t="s">
        <v>74</v>
      </c>
      <c r="Q2674" s="1" t="s">
        <v>74</v>
      </c>
      <c r="R2674" s="1" t="s">
        <v>74</v>
      </c>
      <c r="S2674" s="1" t="s">
        <v>74</v>
      </c>
      <c r="T2674" s="1" t="s">
        <v>42570</v>
      </c>
      <c r="U2674" s="1" t="s">
        <v>42571</v>
      </c>
      <c r="V2674" s="1" t="s">
        <v>42572</v>
      </c>
      <c r="W2674" s="1" t="s">
        <v>42573</v>
      </c>
      <c r="X2674" s="1" t="s">
        <v>42574</v>
      </c>
      <c r="Y2674" s="1" t="s">
        <v>42575</v>
      </c>
      <c r="Z2674" s="1" t="s">
        <v>42576</v>
      </c>
      <c r="AA2674" s="1" t="s">
        <v>42577</v>
      </c>
      <c r="AB2674" s="1" t="s">
        <v>42578</v>
      </c>
      <c r="AC2674" s="1" t="s">
        <v>42579</v>
      </c>
      <c r="AD2674" s="1" t="s">
        <v>42580</v>
      </c>
      <c r="AE2674" s="1" t="s">
        <v>42581</v>
      </c>
      <c r="AF2674" s="1" t="s">
        <v>74</v>
      </c>
      <c r="AG2674" s="1">
        <v>53</v>
      </c>
      <c r="AH2674" s="1">
        <v>22</v>
      </c>
      <c r="AI2674" s="1">
        <v>22</v>
      </c>
      <c r="AJ2674" s="1">
        <v>0</v>
      </c>
      <c r="AK2674" s="1">
        <v>27</v>
      </c>
      <c r="AL2674" s="1" t="s">
        <v>217</v>
      </c>
      <c r="AM2674" s="1" t="s">
        <v>218</v>
      </c>
      <c r="AN2674" s="1" t="s">
        <v>219</v>
      </c>
      <c r="AO2674" s="1" t="s">
        <v>220</v>
      </c>
      <c r="AP2674" s="1" t="s">
        <v>221</v>
      </c>
      <c r="AQ2674" s="1" t="s">
        <v>74</v>
      </c>
      <c r="AR2674" s="1" t="s">
        <v>222</v>
      </c>
      <c r="AS2674" s="1" t="s">
        <v>223</v>
      </c>
      <c r="AT2674" s="1" t="s">
        <v>765</v>
      </c>
      <c r="AU2674" s="1">
        <v>2016</v>
      </c>
      <c r="AV2674" s="1">
        <v>23</v>
      </c>
      <c r="AW2674" s="1">
        <v>13</v>
      </c>
      <c r="AX2674" s="1" t="s">
        <v>74</v>
      </c>
      <c r="AY2674" s="1" t="s">
        <v>74</v>
      </c>
      <c r="AZ2674" s="1" t="s">
        <v>74</v>
      </c>
      <c r="BA2674" s="1" t="s">
        <v>74</v>
      </c>
      <c r="BB2674" s="1">
        <v>12645</v>
      </c>
      <c r="BC2674" s="1">
        <v>12661</v>
      </c>
      <c r="BD2674" s="1" t="s">
        <v>74</v>
      </c>
      <c r="BE2674" s="1" t="s">
        <v>42582</v>
      </c>
      <c r="BF2674" s="1" t="str">
        <f>HYPERLINK("http://dx.doi.org/10.1007/s11356-015-5339-0","http://dx.doi.org/10.1007/s11356-015-5339-0")</f>
        <v>http://dx.doi.org/10.1007/s11356-015-5339-0</v>
      </c>
      <c r="BG2674" s="1" t="s">
        <v>74</v>
      </c>
      <c r="BH2674" s="1" t="s">
        <v>74</v>
      </c>
      <c r="BI2674" s="1">
        <v>17</v>
      </c>
      <c r="BJ2674" s="1" t="s">
        <v>144</v>
      </c>
      <c r="BK2674" s="1" t="s">
        <v>96</v>
      </c>
      <c r="BL2674" s="1" t="s">
        <v>145</v>
      </c>
      <c r="BM2674" s="1" t="s">
        <v>17732</v>
      </c>
      <c r="BN2674" s="1">
        <v>26370810</v>
      </c>
      <c r="BO2674" s="1" t="s">
        <v>74</v>
      </c>
      <c r="BP2674" s="1" t="s">
        <v>74</v>
      </c>
      <c r="BQ2674" s="1" t="s">
        <v>74</v>
      </c>
      <c r="BR2674" s="1" t="s">
        <v>98</v>
      </c>
      <c r="BS2674" s="1" t="s">
        <v>42583</v>
      </c>
      <c r="BT2674" s="1" t="str">
        <f>HYPERLINK("https%3A%2F%2Fwww.webofscience.com%2Fwos%2Fwoscc%2Ffull-record%2FWOS:000378817300012","View Full Record in Web of Science")</f>
        <v>View Full Record in Web of Science</v>
      </c>
      <c r="BU2674" s="1"/>
      <c r="BV2674" s="1"/>
    </row>
    <row r="2675" spans="1:74">
      <c r="A2675" s="1" t="s">
        <v>72</v>
      </c>
      <c r="B2675" s="1" t="s">
        <v>42584</v>
      </c>
      <c r="C2675" s="1" t="s">
        <v>74</v>
      </c>
      <c r="D2675" s="1" t="s">
        <v>74</v>
      </c>
      <c r="E2675" s="1" t="s">
        <v>74</v>
      </c>
      <c r="F2675" s="1" t="s">
        <v>42585</v>
      </c>
      <c r="G2675" s="1" t="s">
        <v>74</v>
      </c>
      <c r="H2675" s="1" t="s">
        <v>74</v>
      </c>
      <c r="I2675" s="1" t="s">
        <v>42586</v>
      </c>
      <c r="J2675" s="1" t="s">
        <v>232</v>
      </c>
      <c r="K2675" s="1" t="s">
        <v>74</v>
      </c>
      <c r="L2675" s="1" t="s">
        <v>74</v>
      </c>
      <c r="M2675" s="1" t="s">
        <v>78</v>
      </c>
      <c r="N2675" s="1" t="s">
        <v>79</v>
      </c>
      <c r="O2675" s="1" t="s">
        <v>74</v>
      </c>
      <c r="P2675" s="1" t="s">
        <v>74</v>
      </c>
      <c r="Q2675" s="1" t="s">
        <v>74</v>
      </c>
      <c r="R2675" s="1" t="s">
        <v>74</v>
      </c>
      <c r="S2675" s="1" t="s">
        <v>74</v>
      </c>
      <c r="T2675" s="1" t="s">
        <v>42587</v>
      </c>
      <c r="U2675" s="1" t="s">
        <v>42588</v>
      </c>
      <c r="V2675" s="1" t="s">
        <v>42589</v>
      </c>
      <c r="W2675" s="1" t="s">
        <v>42590</v>
      </c>
      <c r="X2675" s="1" t="s">
        <v>42591</v>
      </c>
      <c r="Y2675" s="1" t="s">
        <v>42592</v>
      </c>
      <c r="Z2675" s="1" t="s">
        <v>42593</v>
      </c>
      <c r="AA2675" s="1" t="s">
        <v>74</v>
      </c>
      <c r="AB2675" s="1" t="s">
        <v>31367</v>
      </c>
      <c r="AC2675" s="1" t="s">
        <v>42594</v>
      </c>
      <c r="AD2675" s="1" t="s">
        <v>42594</v>
      </c>
      <c r="AE2675" s="1" t="s">
        <v>42595</v>
      </c>
      <c r="AF2675" s="1" t="s">
        <v>74</v>
      </c>
      <c r="AG2675" s="1">
        <v>34</v>
      </c>
      <c r="AH2675" s="1">
        <v>8</v>
      </c>
      <c r="AI2675" s="1">
        <v>9</v>
      </c>
      <c r="AJ2675" s="1">
        <v>0</v>
      </c>
      <c r="AK2675" s="1">
        <v>6</v>
      </c>
      <c r="AL2675" s="1" t="s">
        <v>136</v>
      </c>
      <c r="AM2675" s="1" t="s">
        <v>137</v>
      </c>
      <c r="AN2675" s="1" t="s">
        <v>138</v>
      </c>
      <c r="AO2675" s="1" t="s">
        <v>240</v>
      </c>
      <c r="AP2675" s="1" t="s">
        <v>241</v>
      </c>
      <c r="AQ2675" s="1" t="s">
        <v>74</v>
      </c>
      <c r="AR2675" s="1" t="s">
        <v>242</v>
      </c>
      <c r="AS2675" s="1" t="s">
        <v>243</v>
      </c>
      <c r="AT2675" s="1" t="s">
        <v>13998</v>
      </c>
      <c r="AU2675" s="1">
        <v>2014</v>
      </c>
      <c r="AV2675" s="1">
        <v>81</v>
      </c>
      <c r="AW2675" s="1">
        <v>2</v>
      </c>
      <c r="AX2675" s="1" t="s">
        <v>74</v>
      </c>
      <c r="AY2675" s="1" t="s">
        <v>74</v>
      </c>
      <c r="AZ2675" s="1" t="s">
        <v>225</v>
      </c>
      <c r="BA2675" s="1" t="s">
        <v>74</v>
      </c>
      <c r="BB2675" s="1">
        <v>317</v>
      </c>
      <c r="BC2675" s="1">
        <v>324</v>
      </c>
      <c r="BD2675" s="1" t="s">
        <v>74</v>
      </c>
      <c r="BE2675" s="1" t="s">
        <v>42596</v>
      </c>
      <c r="BF2675" s="1" t="str">
        <f>HYPERLINK("http://dx.doi.org/10.1016/j.marpolbul.2013.09.002","http://dx.doi.org/10.1016/j.marpolbul.2013.09.002")</f>
        <v>http://dx.doi.org/10.1016/j.marpolbul.2013.09.002</v>
      </c>
      <c r="BG2675" s="1" t="s">
        <v>74</v>
      </c>
      <c r="BH2675" s="1" t="s">
        <v>74</v>
      </c>
      <c r="BI2675" s="1">
        <v>8</v>
      </c>
      <c r="BJ2675" s="1" t="s">
        <v>247</v>
      </c>
      <c r="BK2675" s="1" t="s">
        <v>96</v>
      </c>
      <c r="BL2675" s="1" t="s">
        <v>248</v>
      </c>
      <c r="BM2675" s="1" t="s">
        <v>24845</v>
      </c>
      <c r="BN2675" s="1">
        <v>24095200</v>
      </c>
      <c r="BO2675" s="1" t="s">
        <v>74</v>
      </c>
      <c r="BP2675" s="1" t="s">
        <v>74</v>
      </c>
      <c r="BQ2675" s="1" t="s">
        <v>74</v>
      </c>
      <c r="BR2675" s="1" t="s">
        <v>98</v>
      </c>
      <c r="BS2675" s="1" t="s">
        <v>42597</v>
      </c>
      <c r="BT2675" s="1" t="str">
        <f>HYPERLINK("https%3A%2F%2Fwww.webofscience.com%2Fwos%2Fwoscc%2Ffull-record%2FWOS:000336707900004","View Full Record in Web of Science")</f>
        <v>View Full Record in Web of Science</v>
      </c>
      <c r="BU2675" s="1"/>
      <c r="BV2675" s="1"/>
    </row>
    <row r="2676" spans="1:74">
      <c r="A2676" s="1" t="s">
        <v>72</v>
      </c>
      <c r="B2676" s="1" t="s">
        <v>42598</v>
      </c>
      <c r="C2676" s="1" t="s">
        <v>74</v>
      </c>
      <c r="D2676" s="1" t="s">
        <v>74</v>
      </c>
      <c r="E2676" s="1" t="s">
        <v>74</v>
      </c>
      <c r="F2676" s="1" t="s">
        <v>42599</v>
      </c>
      <c r="G2676" s="1" t="s">
        <v>74</v>
      </c>
      <c r="H2676" s="1" t="s">
        <v>74</v>
      </c>
      <c r="I2676" s="1" t="s">
        <v>42600</v>
      </c>
      <c r="J2676" s="1" t="s">
        <v>232</v>
      </c>
      <c r="K2676" s="1" t="s">
        <v>74</v>
      </c>
      <c r="L2676" s="1" t="s">
        <v>74</v>
      </c>
      <c r="M2676" s="1" t="s">
        <v>78</v>
      </c>
      <c r="N2676" s="1" t="s">
        <v>79</v>
      </c>
      <c r="O2676" s="1" t="s">
        <v>74</v>
      </c>
      <c r="P2676" s="1" t="s">
        <v>74</v>
      </c>
      <c r="Q2676" s="1" t="s">
        <v>74</v>
      </c>
      <c r="R2676" s="1" t="s">
        <v>74</v>
      </c>
      <c r="S2676" s="1" t="s">
        <v>74</v>
      </c>
      <c r="T2676" s="1" t="s">
        <v>42601</v>
      </c>
      <c r="U2676" s="1" t="s">
        <v>42602</v>
      </c>
      <c r="V2676" s="1" t="s">
        <v>42603</v>
      </c>
      <c r="W2676" s="1" t="s">
        <v>42604</v>
      </c>
      <c r="X2676" s="1" t="s">
        <v>42605</v>
      </c>
      <c r="Y2676" s="1" t="s">
        <v>42606</v>
      </c>
      <c r="Z2676" s="1" t="s">
        <v>42607</v>
      </c>
      <c r="AA2676" s="1" t="s">
        <v>42608</v>
      </c>
      <c r="AB2676" s="1" t="s">
        <v>74</v>
      </c>
      <c r="AC2676" s="1" t="s">
        <v>74</v>
      </c>
      <c r="AD2676" s="1" t="s">
        <v>74</v>
      </c>
      <c r="AE2676" s="1" t="s">
        <v>74</v>
      </c>
      <c r="AF2676" s="1" t="s">
        <v>74</v>
      </c>
      <c r="AG2676" s="1">
        <v>63</v>
      </c>
      <c r="AH2676" s="1">
        <v>1</v>
      </c>
      <c r="AI2676" s="1">
        <v>1</v>
      </c>
      <c r="AJ2676" s="1">
        <v>2</v>
      </c>
      <c r="AK2676" s="1">
        <v>4</v>
      </c>
      <c r="AL2676" s="1" t="s">
        <v>136</v>
      </c>
      <c r="AM2676" s="1" t="s">
        <v>137</v>
      </c>
      <c r="AN2676" s="1" t="s">
        <v>138</v>
      </c>
      <c r="AO2676" s="1" t="s">
        <v>240</v>
      </c>
      <c r="AP2676" s="1" t="s">
        <v>241</v>
      </c>
      <c r="AQ2676" s="1" t="s">
        <v>74</v>
      </c>
      <c r="AR2676" s="1" t="s">
        <v>242</v>
      </c>
      <c r="AS2676" s="1" t="s">
        <v>243</v>
      </c>
      <c r="AT2676" s="1" t="s">
        <v>305</v>
      </c>
      <c r="AU2676" s="1">
        <v>2023</v>
      </c>
      <c r="AV2676" s="1">
        <v>194</v>
      </c>
      <c r="AW2676" s="1" t="s">
        <v>74</v>
      </c>
      <c r="AX2676" s="1" t="s">
        <v>13570</v>
      </c>
      <c r="AY2676" s="1" t="s">
        <v>74</v>
      </c>
      <c r="AZ2676" s="1" t="s">
        <v>74</v>
      </c>
      <c r="BA2676" s="1" t="s">
        <v>74</v>
      </c>
      <c r="BB2676" s="1" t="s">
        <v>74</v>
      </c>
      <c r="BC2676" s="1" t="s">
        <v>74</v>
      </c>
      <c r="BD2676" s="1">
        <v>115374</v>
      </c>
      <c r="BE2676" s="1" t="s">
        <v>42609</v>
      </c>
      <c r="BF2676" s="1" t="str">
        <f>HYPERLINK("http://dx.doi.org/10.1016/j.marpolbul.2023.115374","http://dx.doi.org/10.1016/j.marpolbul.2023.115374")</f>
        <v>http://dx.doi.org/10.1016/j.marpolbul.2023.115374</v>
      </c>
      <c r="BG2676" s="1" t="s">
        <v>74</v>
      </c>
      <c r="BH2676" s="1" t="s">
        <v>6411</v>
      </c>
      <c r="BI2676" s="1">
        <v>8</v>
      </c>
      <c r="BJ2676" s="1" t="s">
        <v>247</v>
      </c>
      <c r="BK2676" s="1" t="s">
        <v>96</v>
      </c>
      <c r="BL2676" s="1" t="s">
        <v>248</v>
      </c>
      <c r="BM2676" s="1" t="s">
        <v>42610</v>
      </c>
      <c r="BN2676" s="1">
        <v>37552925</v>
      </c>
      <c r="BO2676" s="1" t="s">
        <v>370</v>
      </c>
      <c r="BP2676" s="1" t="s">
        <v>74</v>
      </c>
      <c r="BQ2676" s="1" t="s">
        <v>74</v>
      </c>
      <c r="BR2676" s="1" t="s">
        <v>98</v>
      </c>
      <c r="BS2676" s="1" t="s">
        <v>42611</v>
      </c>
      <c r="BT2676" s="1" t="str">
        <f>HYPERLINK("https%3A%2F%2Fwww.webofscience.com%2Fwos%2Fwoscc%2Ffull-record%2FWOS:001097760100001","View Full Record in Web of Science")</f>
        <v>View Full Record in Web of Science</v>
      </c>
      <c r="BU2676" s="1"/>
      <c r="BV2676" s="1"/>
    </row>
    <row r="2677" spans="1:74">
      <c r="A2677" s="1" t="s">
        <v>72</v>
      </c>
      <c r="B2677" s="1" t="s">
        <v>42612</v>
      </c>
      <c r="C2677" s="1" t="s">
        <v>74</v>
      </c>
      <c r="D2677" s="1" t="s">
        <v>74</v>
      </c>
      <c r="E2677" s="1" t="s">
        <v>74</v>
      </c>
      <c r="F2677" s="1" t="s">
        <v>42613</v>
      </c>
      <c r="G2677" s="1" t="s">
        <v>74</v>
      </c>
      <c r="H2677" s="1" t="s">
        <v>74</v>
      </c>
      <c r="I2677" s="1" t="s">
        <v>42614</v>
      </c>
      <c r="J2677" s="1" t="s">
        <v>232</v>
      </c>
      <c r="K2677" s="1" t="s">
        <v>74</v>
      </c>
      <c r="L2677" s="1" t="s">
        <v>74</v>
      </c>
      <c r="M2677" s="1" t="s">
        <v>78</v>
      </c>
      <c r="N2677" s="1" t="s">
        <v>79</v>
      </c>
      <c r="O2677" s="1" t="s">
        <v>74</v>
      </c>
      <c r="P2677" s="1" t="s">
        <v>74</v>
      </c>
      <c r="Q2677" s="1" t="s">
        <v>74</v>
      </c>
      <c r="R2677" s="1" t="s">
        <v>74</v>
      </c>
      <c r="S2677" s="1" t="s">
        <v>74</v>
      </c>
      <c r="T2677" s="1" t="s">
        <v>42615</v>
      </c>
      <c r="U2677" s="1" t="s">
        <v>42616</v>
      </c>
      <c r="V2677" s="1" t="s">
        <v>42617</v>
      </c>
      <c r="W2677" s="1" t="s">
        <v>42618</v>
      </c>
      <c r="X2677" s="1" t="s">
        <v>42619</v>
      </c>
      <c r="Y2677" s="1" t="s">
        <v>42620</v>
      </c>
      <c r="Z2677" s="1" t="s">
        <v>42621</v>
      </c>
      <c r="AA2677" s="1" t="s">
        <v>42622</v>
      </c>
      <c r="AB2677" s="1" t="s">
        <v>42623</v>
      </c>
      <c r="AC2677" s="1" t="s">
        <v>42624</v>
      </c>
      <c r="AD2677" s="1" t="s">
        <v>42624</v>
      </c>
      <c r="AE2677" s="1" t="s">
        <v>42625</v>
      </c>
      <c r="AF2677" s="1" t="s">
        <v>74</v>
      </c>
      <c r="AG2677" s="1">
        <v>122</v>
      </c>
      <c r="AH2677" s="1">
        <v>6</v>
      </c>
      <c r="AI2677" s="1">
        <v>6</v>
      </c>
      <c r="AJ2677" s="1">
        <v>6</v>
      </c>
      <c r="AK2677" s="1">
        <v>19</v>
      </c>
      <c r="AL2677" s="1" t="s">
        <v>136</v>
      </c>
      <c r="AM2677" s="1" t="s">
        <v>137</v>
      </c>
      <c r="AN2677" s="1" t="s">
        <v>138</v>
      </c>
      <c r="AO2677" s="1" t="s">
        <v>240</v>
      </c>
      <c r="AP2677" s="1" t="s">
        <v>241</v>
      </c>
      <c r="AQ2677" s="1" t="s">
        <v>74</v>
      </c>
      <c r="AR2677" s="1" t="s">
        <v>242</v>
      </c>
      <c r="AS2677" s="1" t="s">
        <v>243</v>
      </c>
      <c r="AT2677" s="1" t="s">
        <v>224</v>
      </c>
      <c r="AU2677" s="1">
        <v>2023</v>
      </c>
      <c r="AV2677" s="1">
        <v>187</v>
      </c>
      <c r="AW2677" s="1" t="s">
        <v>74</v>
      </c>
      <c r="AX2677" s="1" t="s">
        <v>74</v>
      </c>
      <c r="AY2677" s="1" t="s">
        <v>74</v>
      </c>
      <c r="AZ2677" s="1" t="s">
        <v>74</v>
      </c>
      <c r="BA2677" s="1" t="s">
        <v>74</v>
      </c>
      <c r="BB2677" s="1" t="s">
        <v>74</v>
      </c>
      <c r="BC2677" s="1" t="s">
        <v>74</v>
      </c>
      <c r="BD2677" s="1">
        <v>114578</v>
      </c>
      <c r="BE2677" s="1" t="s">
        <v>42626</v>
      </c>
      <c r="BF2677" s="1" t="str">
        <f>HYPERLINK("http://dx.doi.org/10.1016/j.marpolbul.2023.114578","http://dx.doi.org/10.1016/j.marpolbul.2023.114578")</f>
        <v>http://dx.doi.org/10.1016/j.marpolbul.2023.114578</v>
      </c>
      <c r="BG2677" s="1" t="s">
        <v>74</v>
      </c>
      <c r="BH2677" s="1" t="s">
        <v>2057</v>
      </c>
      <c r="BI2677" s="1">
        <v>10</v>
      </c>
      <c r="BJ2677" s="1" t="s">
        <v>247</v>
      </c>
      <c r="BK2677" s="1" t="s">
        <v>96</v>
      </c>
      <c r="BL2677" s="1" t="s">
        <v>248</v>
      </c>
      <c r="BM2677" s="1" t="s">
        <v>42627</v>
      </c>
      <c r="BN2677" s="1">
        <v>36645999</v>
      </c>
      <c r="BO2677" s="1" t="s">
        <v>1752</v>
      </c>
      <c r="BP2677" s="1" t="s">
        <v>74</v>
      </c>
      <c r="BQ2677" s="1" t="s">
        <v>74</v>
      </c>
      <c r="BR2677" s="1" t="s">
        <v>98</v>
      </c>
      <c r="BS2677" s="1" t="s">
        <v>42628</v>
      </c>
      <c r="BT2677" s="1" t="str">
        <f>HYPERLINK("https%3A%2F%2Fwww.webofscience.com%2Fwos%2Fwoscc%2Ffull-record%2FWOS:000923159300001","View Full Record in Web of Science")</f>
        <v>View Full Record in Web of Science</v>
      </c>
      <c r="BU2677" s="1"/>
      <c r="BV2677" s="1"/>
    </row>
    <row r="2678" spans="1:74">
      <c r="A2678" s="1" t="s">
        <v>72</v>
      </c>
      <c r="B2678" s="1" t="s">
        <v>42629</v>
      </c>
      <c r="C2678" s="1" t="s">
        <v>74</v>
      </c>
      <c r="D2678" s="1" t="s">
        <v>74</v>
      </c>
      <c r="E2678" s="1" t="s">
        <v>74</v>
      </c>
      <c r="F2678" s="1" t="s">
        <v>42629</v>
      </c>
      <c r="G2678" s="1" t="s">
        <v>74</v>
      </c>
      <c r="H2678" s="1" t="s">
        <v>74</v>
      </c>
      <c r="I2678" s="1" t="s">
        <v>42630</v>
      </c>
      <c r="J2678" s="1" t="s">
        <v>42631</v>
      </c>
      <c r="K2678" s="1" t="s">
        <v>74</v>
      </c>
      <c r="L2678" s="1" t="s">
        <v>74</v>
      </c>
      <c r="M2678" s="1" t="s">
        <v>78</v>
      </c>
      <c r="N2678" s="1" t="s">
        <v>79</v>
      </c>
      <c r="O2678" s="1" t="s">
        <v>74</v>
      </c>
      <c r="P2678" s="1" t="s">
        <v>74</v>
      </c>
      <c r="Q2678" s="1" t="s">
        <v>74</v>
      </c>
      <c r="R2678" s="1" t="s">
        <v>74</v>
      </c>
      <c r="S2678" s="1" t="s">
        <v>74</v>
      </c>
      <c r="T2678" s="1" t="s">
        <v>42632</v>
      </c>
      <c r="U2678" s="1" t="s">
        <v>42633</v>
      </c>
      <c r="V2678" s="1" t="s">
        <v>42634</v>
      </c>
      <c r="W2678" s="1" t="s">
        <v>42635</v>
      </c>
      <c r="X2678" s="1" t="s">
        <v>42636</v>
      </c>
      <c r="Y2678" s="1" t="s">
        <v>42637</v>
      </c>
      <c r="Z2678" s="1" t="s">
        <v>42638</v>
      </c>
      <c r="AA2678" s="1" t="s">
        <v>74</v>
      </c>
      <c r="AB2678" s="1" t="s">
        <v>74</v>
      </c>
      <c r="AC2678" s="1" t="s">
        <v>74</v>
      </c>
      <c r="AD2678" s="1" t="s">
        <v>74</v>
      </c>
      <c r="AE2678" s="1" t="s">
        <v>74</v>
      </c>
      <c r="AF2678" s="1" t="s">
        <v>74</v>
      </c>
      <c r="AG2678" s="1">
        <v>17</v>
      </c>
      <c r="AH2678" s="1">
        <v>3</v>
      </c>
      <c r="AI2678" s="1">
        <v>6</v>
      </c>
      <c r="AJ2678" s="1">
        <v>0</v>
      </c>
      <c r="AK2678" s="1">
        <v>8</v>
      </c>
      <c r="AL2678" s="1" t="s">
        <v>2074</v>
      </c>
      <c r="AM2678" s="1" t="s">
        <v>2075</v>
      </c>
      <c r="AN2678" s="1" t="s">
        <v>5365</v>
      </c>
      <c r="AO2678" s="1" t="s">
        <v>42639</v>
      </c>
      <c r="AP2678" s="1" t="s">
        <v>42640</v>
      </c>
      <c r="AQ2678" s="1" t="s">
        <v>74</v>
      </c>
      <c r="AR2678" s="1" t="s">
        <v>42641</v>
      </c>
      <c r="AS2678" s="1" t="s">
        <v>42642</v>
      </c>
      <c r="AT2678" s="1" t="s">
        <v>224</v>
      </c>
      <c r="AU2678" s="1">
        <v>1999</v>
      </c>
      <c r="AV2678" s="1">
        <v>63</v>
      </c>
      <c r="AW2678" s="1">
        <v>2</v>
      </c>
      <c r="AX2678" s="1" t="s">
        <v>74</v>
      </c>
      <c r="AY2678" s="1" t="s">
        <v>74</v>
      </c>
      <c r="AZ2678" s="1" t="s">
        <v>74</v>
      </c>
      <c r="BA2678" s="1" t="s">
        <v>74</v>
      </c>
      <c r="BB2678" s="1">
        <v>276</v>
      </c>
      <c r="BC2678" s="1">
        <v>280</v>
      </c>
      <c r="BD2678" s="1" t="s">
        <v>74</v>
      </c>
      <c r="BE2678" s="1" t="s">
        <v>42643</v>
      </c>
      <c r="BF2678" s="1" t="str">
        <f>HYPERLINK("http://dx.doi.org/10.1271/bbb.63.276","http://dx.doi.org/10.1271/bbb.63.276")</f>
        <v>http://dx.doi.org/10.1271/bbb.63.276</v>
      </c>
      <c r="BG2678" s="1" t="s">
        <v>74</v>
      </c>
      <c r="BH2678" s="1" t="s">
        <v>74</v>
      </c>
      <c r="BI2678" s="1">
        <v>5</v>
      </c>
      <c r="BJ2678" s="1" t="s">
        <v>42644</v>
      </c>
      <c r="BK2678" s="1" t="s">
        <v>96</v>
      </c>
      <c r="BL2678" s="1" t="s">
        <v>42645</v>
      </c>
      <c r="BM2678" s="1" t="s">
        <v>42646</v>
      </c>
      <c r="BN2678" s="1">
        <v>27393058</v>
      </c>
      <c r="BO2678" s="1" t="s">
        <v>370</v>
      </c>
      <c r="BP2678" s="1" t="s">
        <v>74</v>
      </c>
      <c r="BQ2678" s="1" t="s">
        <v>74</v>
      </c>
      <c r="BR2678" s="1" t="s">
        <v>98</v>
      </c>
      <c r="BS2678" s="1" t="s">
        <v>42647</v>
      </c>
      <c r="BT2678" s="1" t="str">
        <f>HYPERLINK("https%3A%2F%2Fwww.webofscience.com%2Fwos%2Fwoscc%2Ffull-record%2FWOS:000078991100005","View Full Record in Web of Science")</f>
        <v>View Full Record in Web of Science</v>
      </c>
      <c r="BU2678" s="1"/>
      <c r="BV2678" s="1"/>
    </row>
    <row r="2679" spans="1:74">
      <c r="A2679" s="1" t="s">
        <v>72</v>
      </c>
      <c r="B2679" s="1" t="s">
        <v>42648</v>
      </c>
      <c r="C2679" s="1" t="s">
        <v>74</v>
      </c>
      <c r="D2679" s="1" t="s">
        <v>74</v>
      </c>
      <c r="E2679" s="1" t="s">
        <v>74</v>
      </c>
      <c r="F2679" s="1" t="s">
        <v>42648</v>
      </c>
      <c r="G2679" s="1" t="s">
        <v>74</v>
      </c>
      <c r="H2679" s="1" t="s">
        <v>74</v>
      </c>
      <c r="I2679" s="1" t="s">
        <v>42649</v>
      </c>
      <c r="J2679" s="1" t="s">
        <v>7755</v>
      </c>
      <c r="K2679" s="1" t="s">
        <v>74</v>
      </c>
      <c r="L2679" s="1" t="s">
        <v>74</v>
      </c>
      <c r="M2679" s="1" t="s">
        <v>78</v>
      </c>
      <c r="N2679" s="1" t="s">
        <v>79</v>
      </c>
      <c r="O2679" s="1" t="s">
        <v>74</v>
      </c>
      <c r="P2679" s="1" t="s">
        <v>74</v>
      </c>
      <c r="Q2679" s="1" t="s">
        <v>74</v>
      </c>
      <c r="R2679" s="1" t="s">
        <v>74</v>
      </c>
      <c r="S2679" s="1" t="s">
        <v>74</v>
      </c>
      <c r="T2679" s="1" t="s">
        <v>42650</v>
      </c>
      <c r="U2679" s="1" t="s">
        <v>42651</v>
      </c>
      <c r="V2679" s="1" t="s">
        <v>42652</v>
      </c>
      <c r="W2679" s="1" t="s">
        <v>42653</v>
      </c>
      <c r="X2679" s="1" t="s">
        <v>42654</v>
      </c>
      <c r="Y2679" s="1" t="s">
        <v>42655</v>
      </c>
      <c r="Z2679" s="1" t="s">
        <v>39637</v>
      </c>
      <c r="AA2679" s="1" t="s">
        <v>74</v>
      </c>
      <c r="AB2679" s="1" t="s">
        <v>42656</v>
      </c>
      <c r="AC2679" s="1" t="s">
        <v>74</v>
      </c>
      <c r="AD2679" s="1" t="s">
        <v>74</v>
      </c>
      <c r="AE2679" s="1" t="s">
        <v>74</v>
      </c>
      <c r="AF2679" s="1" t="s">
        <v>74</v>
      </c>
      <c r="AG2679" s="1">
        <v>34</v>
      </c>
      <c r="AH2679" s="1">
        <v>41</v>
      </c>
      <c r="AI2679" s="1">
        <v>49</v>
      </c>
      <c r="AJ2679" s="1">
        <v>1</v>
      </c>
      <c r="AK2679" s="1">
        <v>22</v>
      </c>
      <c r="AL2679" s="1" t="s">
        <v>4153</v>
      </c>
      <c r="AM2679" s="1" t="s">
        <v>4154</v>
      </c>
      <c r="AN2679" s="1" t="s">
        <v>4155</v>
      </c>
      <c r="AO2679" s="1" t="s">
        <v>7767</v>
      </c>
      <c r="AP2679" s="1" t="s">
        <v>74</v>
      </c>
      <c r="AQ2679" s="1" t="s">
        <v>74</v>
      </c>
      <c r="AR2679" s="1" t="s">
        <v>7755</v>
      </c>
      <c r="AS2679" s="1" t="s">
        <v>7769</v>
      </c>
      <c r="AT2679" s="1" t="s">
        <v>197</v>
      </c>
      <c r="AU2679" s="1">
        <v>2005</v>
      </c>
      <c r="AV2679" s="1">
        <v>5</v>
      </c>
      <c r="AW2679" s="1">
        <v>18</v>
      </c>
      <c r="AX2679" s="1" t="s">
        <v>74</v>
      </c>
      <c r="AY2679" s="1" t="s">
        <v>74</v>
      </c>
      <c r="AZ2679" s="1" t="s">
        <v>74</v>
      </c>
      <c r="BA2679" s="1" t="s">
        <v>74</v>
      </c>
      <c r="BB2679" s="1">
        <v>4958</v>
      </c>
      <c r="BC2679" s="1">
        <v>4963</v>
      </c>
      <c r="BD2679" s="1" t="s">
        <v>74</v>
      </c>
      <c r="BE2679" s="1" t="s">
        <v>42657</v>
      </c>
      <c r="BF2679" s="1" t="str">
        <f>HYPERLINK("http://dx.doi.org/10.1002/pmic.200401328","http://dx.doi.org/10.1002/pmic.200401328")</f>
        <v>http://dx.doi.org/10.1002/pmic.200401328</v>
      </c>
      <c r="BG2679" s="1" t="s">
        <v>74</v>
      </c>
      <c r="BH2679" s="1" t="s">
        <v>74</v>
      </c>
      <c r="BI2679" s="1">
        <v>6</v>
      </c>
      <c r="BJ2679" s="1" t="s">
        <v>7771</v>
      </c>
      <c r="BK2679" s="1" t="s">
        <v>96</v>
      </c>
      <c r="BL2679" s="1" t="s">
        <v>3805</v>
      </c>
      <c r="BM2679" s="1" t="s">
        <v>42658</v>
      </c>
      <c r="BN2679" s="1">
        <v>16267813</v>
      </c>
      <c r="BO2679" s="1" t="s">
        <v>810</v>
      </c>
      <c r="BP2679" s="1" t="s">
        <v>74</v>
      </c>
      <c r="BQ2679" s="1" t="s">
        <v>74</v>
      </c>
      <c r="BR2679" s="1" t="s">
        <v>98</v>
      </c>
      <c r="BS2679" s="1" t="s">
        <v>42659</v>
      </c>
      <c r="BT2679" s="1" t="str">
        <f>HYPERLINK("https%3A%2F%2Fwww.webofscience.com%2Fwos%2Fwoscc%2Ffull-record%2FWOS:000234413400030","View Full Record in Web of Science")</f>
        <v>View Full Record in Web of Science</v>
      </c>
      <c r="BU2679" s="1"/>
      <c r="BV2679" s="1"/>
    </row>
    <row r="2680" spans="1:74">
      <c r="A2680" s="1" t="s">
        <v>72</v>
      </c>
      <c r="B2680" s="1" t="s">
        <v>42660</v>
      </c>
      <c r="C2680" s="1" t="s">
        <v>74</v>
      </c>
      <c r="D2680" s="1" t="s">
        <v>74</v>
      </c>
      <c r="E2680" s="1" t="s">
        <v>74</v>
      </c>
      <c r="F2680" s="1" t="s">
        <v>42661</v>
      </c>
      <c r="G2680" s="1" t="s">
        <v>74</v>
      </c>
      <c r="H2680" s="1" t="s">
        <v>74</v>
      </c>
      <c r="I2680" s="1" t="s">
        <v>42662</v>
      </c>
      <c r="J2680" s="1" t="s">
        <v>232</v>
      </c>
      <c r="K2680" s="1" t="s">
        <v>74</v>
      </c>
      <c r="L2680" s="1" t="s">
        <v>74</v>
      </c>
      <c r="M2680" s="1" t="s">
        <v>78</v>
      </c>
      <c r="N2680" s="1" t="s">
        <v>79</v>
      </c>
      <c r="O2680" s="1" t="s">
        <v>74</v>
      </c>
      <c r="P2680" s="1" t="s">
        <v>74</v>
      </c>
      <c r="Q2680" s="1" t="s">
        <v>74</v>
      </c>
      <c r="R2680" s="1" t="s">
        <v>74</v>
      </c>
      <c r="S2680" s="1" t="s">
        <v>74</v>
      </c>
      <c r="T2680" s="1" t="s">
        <v>42663</v>
      </c>
      <c r="U2680" s="1" t="s">
        <v>42664</v>
      </c>
      <c r="V2680" s="1" t="s">
        <v>42665</v>
      </c>
      <c r="W2680" s="1" t="s">
        <v>42666</v>
      </c>
      <c r="X2680" s="1" t="s">
        <v>27459</v>
      </c>
      <c r="Y2680" s="1" t="s">
        <v>14101</v>
      </c>
      <c r="Z2680" s="1" t="s">
        <v>8371</v>
      </c>
      <c r="AA2680" s="1" t="s">
        <v>42667</v>
      </c>
      <c r="AB2680" s="1" t="s">
        <v>42668</v>
      </c>
      <c r="AC2680" s="1" t="s">
        <v>42669</v>
      </c>
      <c r="AD2680" s="1" t="s">
        <v>42669</v>
      </c>
      <c r="AE2680" s="1" t="s">
        <v>42670</v>
      </c>
      <c r="AF2680" s="1" t="s">
        <v>74</v>
      </c>
      <c r="AG2680" s="1">
        <v>76</v>
      </c>
      <c r="AH2680" s="1">
        <v>8</v>
      </c>
      <c r="AI2680" s="1">
        <v>9</v>
      </c>
      <c r="AJ2680" s="1">
        <v>4</v>
      </c>
      <c r="AK2680" s="1">
        <v>22</v>
      </c>
      <c r="AL2680" s="1" t="s">
        <v>136</v>
      </c>
      <c r="AM2680" s="1" t="s">
        <v>137</v>
      </c>
      <c r="AN2680" s="1" t="s">
        <v>138</v>
      </c>
      <c r="AO2680" s="1" t="s">
        <v>240</v>
      </c>
      <c r="AP2680" s="1" t="s">
        <v>241</v>
      </c>
      <c r="AQ2680" s="1" t="s">
        <v>74</v>
      </c>
      <c r="AR2680" s="1" t="s">
        <v>242</v>
      </c>
      <c r="AS2680" s="1" t="s">
        <v>243</v>
      </c>
      <c r="AT2680" s="1" t="s">
        <v>119</v>
      </c>
      <c r="AU2680" s="1">
        <v>2020</v>
      </c>
      <c r="AV2680" s="1">
        <v>157</v>
      </c>
      <c r="AW2680" s="1" t="s">
        <v>74</v>
      </c>
      <c r="AX2680" s="1" t="s">
        <v>74</v>
      </c>
      <c r="AY2680" s="1" t="s">
        <v>74</v>
      </c>
      <c r="AZ2680" s="1" t="s">
        <v>74</v>
      </c>
      <c r="BA2680" s="1" t="s">
        <v>74</v>
      </c>
      <c r="BB2680" s="1" t="s">
        <v>74</v>
      </c>
      <c r="BC2680" s="1" t="s">
        <v>74</v>
      </c>
      <c r="BD2680" s="1">
        <v>111358</v>
      </c>
      <c r="BE2680" s="1" t="s">
        <v>42671</v>
      </c>
      <c r="BF2680" s="1" t="str">
        <f>HYPERLINK("http://dx.doi.org/10.1016/j.marpolbul.2020.111358","http://dx.doi.org/10.1016/j.marpolbul.2020.111358")</f>
        <v>http://dx.doi.org/10.1016/j.marpolbul.2020.111358</v>
      </c>
      <c r="BG2680" s="1" t="s">
        <v>74</v>
      </c>
      <c r="BH2680" s="1" t="s">
        <v>74</v>
      </c>
      <c r="BI2680" s="1">
        <v>14</v>
      </c>
      <c r="BJ2680" s="1" t="s">
        <v>247</v>
      </c>
      <c r="BK2680" s="1" t="s">
        <v>96</v>
      </c>
      <c r="BL2680" s="1" t="s">
        <v>248</v>
      </c>
      <c r="BM2680" s="1" t="s">
        <v>42672</v>
      </c>
      <c r="BN2680" s="1">
        <v>32658707</v>
      </c>
      <c r="BO2680" s="1" t="s">
        <v>74</v>
      </c>
      <c r="BP2680" s="1" t="s">
        <v>74</v>
      </c>
      <c r="BQ2680" s="1" t="s">
        <v>74</v>
      </c>
      <c r="BR2680" s="1" t="s">
        <v>98</v>
      </c>
      <c r="BS2680" s="1" t="s">
        <v>42673</v>
      </c>
      <c r="BT2680" s="1" t="str">
        <f>HYPERLINK("https%3A%2F%2Fwww.webofscience.com%2Fwos%2Fwoscc%2Ffull-record%2FWOS:000548531100046","View Full Record in Web of Science")</f>
        <v>View Full Record in Web of Science</v>
      </c>
      <c r="BU2680" s="1"/>
      <c r="BV2680" s="1"/>
    </row>
    <row r="2681" spans="1:74">
      <c r="A2681" s="1" t="s">
        <v>72</v>
      </c>
      <c r="B2681" s="1" t="s">
        <v>42674</v>
      </c>
      <c r="C2681" s="1" t="s">
        <v>74</v>
      </c>
      <c r="D2681" s="1" t="s">
        <v>74</v>
      </c>
      <c r="E2681" s="1" t="s">
        <v>74</v>
      </c>
      <c r="F2681" s="1" t="s">
        <v>42675</v>
      </c>
      <c r="G2681" s="1" t="s">
        <v>74</v>
      </c>
      <c r="H2681" s="1" t="s">
        <v>74</v>
      </c>
      <c r="I2681" s="1" t="s">
        <v>42676</v>
      </c>
      <c r="J2681" s="1" t="s">
        <v>232</v>
      </c>
      <c r="K2681" s="1" t="s">
        <v>74</v>
      </c>
      <c r="L2681" s="1" t="s">
        <v>74</v>
      </c>
      <c r="M2681" s="1" t="s">
        <v>78</v>
      </c>
      <c r="N2681" s="1" t="s">
        <v>79</v>
      </c>
      <c r="O2681" s="1" t="s">
        <v>74</v>
      </c>
      <c r="P2681" s="1" t="s">
        <v>74</v>
      </c>
      <c r="Q2681" s="1" t="s">
        <v>74</v>
      </c>
      <c r="R2681" s="1" t="s">
        <v>74</v>
      </c>
      <c r="S2681" s="1" t="s">
        <v>74</v>
      </c>
      <c r="T2681" s="1" t="s">
        <v>42677</v>
      </c>
      <c r="U2681" s="1" t="s">
        <v>42678</v>
      </c>
      <c r="V2681" s="1" t="s">
        <v>42679</v>
      </c>
      <c r="W2681" s="1" t="s">
        <v>42680</v>
      </c>
      <c r="X2681" s="1" t="s">
        <v>42681</v>
      </c>
      <c r="Y2681" s="1" t="s">
        <v>42682</v>
      </c>
      <c r="Z2681" s="1" t="s">
        <v>42683</v>
      </c>
      <c r="AA2681" s="1" t="s">
        <v>42684</v>
      </c>
      <c r="AB2681" s="1" t="s">
        <v>42685</v>
      </c>
      <c r="AC2681" s="1" t="s">
        <v>42686</v>
      </c>
      <c r="AD2681" s="1" t="s">
        <v>42686</v>
      </c>
      <c r="AE2681" s="1" t="s">
        <v>42687</v>
      </c>
      <c r="AF2681" s="1" t="s">
        <v>74</v>
      </c>
      <c r="AG2681" s="1">
        <v>61</v>
      </c>
      <c r="AH2681" s="1">
        <v>16</v>
      </c>
      <c r="AI2681" s="1">
        <v>16</v>
      </c>
      <c r="AJ2681" s="1">
        <v>3</v>
      </c>
      <c r="AK2681" s="1">
        <v>26</v>
      </c>
      <c r="AL2681" s="1" t="s">
        <v>136</v>
      </c>
      <c r="AM2681" s="1" t="s">
        <v>137</v>
      </c>
      <c r="AN2681" s="1" t="s">
        <v>138</v>
      </c>
      <c r="AO2681" s="1" t="s">
        <v>240</v>
      </c>
      <c r="AP2681" s="1" t="s">
        <v>241</v>
      </c>
      <c r="AQ2681" s="1" t="s">
        <v>74</v>
      </c>
      <c r="AR2681" s="1" t="s">
        <v>242</v>
      </c>
      <c r="AS2681" s="1" t="s">
        <v>243</v>
      </c>
      <c r="AT2681" s="1" t="s">
        <v>387</v>
      </c>
      <c r="AU2681" s="1">
        <v>2017</v>
      </c>
      <c r="AV2681" s="1">
        <v>118</v>
      </c>
      <c r="AW2681" s="1" t="s">
        <v>326</v>
      </c>
      <c r="AX2681" s="1" t="s">
        <v>74</v>
      </c>
      <c r="AY2681" s="1" t="s">
        <v>74</v>
      </c>
      <c r="AZ2681" s="1" t="s">
        <v>74</v>
      </c>
      <c r="BA2681" s="1" t="s">
        <v>74</v>
      </c>
      <c r="BB2681" s="1">
        <v>427</v>
      </c>
      <c r="BC2681" s="1">
        <v>436</v>
      </c>
      <c r="BD2681" s="1" t="s">
        <v>74</v>
      </c>
      <c r="BE2681" s="1" t="s">
        <v>42688</v>
      </c>
      <c r="BF2681" s="1" t="str">
        <f>HYPERLINK("http://dx.doi.org/10.1016/j.marpolbul.2017.02.065","http://dx.doi.org/10.1016/j.marpolbul.2017.02.065")</f>
        <v>http://dx.doi.org/10.1016/j.marpolbul.2017.02.065</v>
      </c>
      <c r="BG2681" s="1" t="s">
        <v>74</v>
      </c>
      <c r="BH2681" s="1" t="s">
        <v>74</v>
      </c>
      <c r="BI2681" s="1">
        <v>10</v>
      </c>
      <c r="BJ2681" s="1" t="s">
        <v>247</v>
      </c>
      <c r="BK2681" s="1" t="s">
        <v>96</v>
      </c>
      <c r="BL2681" s="1" t="s">
        <v>248</v>
      </c>
      <c r="BM2681" s="1" t="s">
        <v>389</v>
      </c>
      <c r="BN2681" s="1">
        <v>28325611</v>
      </c>
      <c r="BO2681" s="1" t="s">
        <v>74</v>
      </c>
      <c r="BP2681" s="1" t="s">
        <v>74</v>
      </c>
      <c r="BQ2681" s="1" t="s">
        <v>74</v>
      </c>
      <c r="BR2681" s="1" t="s">
        <v>98</v>
      </c>
      <c r="BS2681" s="1" t="s">
        <v>42689</v>
      </c>
      <c r="BT2681" s="1" t="str">
        <f>HYPERLINK("https%3A%2F%2Fwww.webofscience.com%2Fwos%2Fwoscc%2Ffull-record%2FWOS:000402217300064","View Full Record in Web of Science")</f>
        <v>View Full Record in Web of Science</v>
      </c>
      <c r="BU2681" s="1"/>
      <c r="BV2681" s="1"/>
    </row>
    <row r="2682" spans="1:74">
      <c r="A2682" s="1" t="s">
        <v>72</v>
      </c>
      <c r="B2682" s="1" t="s">
        <v>42690</v>
      </c>
      <c r="C2682" s="1" t="s">
        <v>74</v>
      </c>
      <c r="D2682" s="1" t="s">
        <v>74</v>
      </c>
      <c r="E2682" s="1" t="s">
        <v>74</v>
      </c>
      <c r="F2682" s="1" t="s">
        <v>42690</v>
      </c>
      <c r="G2682" s="1" t="s">
        <v>74</v>
      </c>
      <c r="H2682" s="1" t="s">
        <v>74</v>
      </c>
      <c r="I2682" s="1" t="s">
        <v>42691</v>
      </c>
      <c r="J2682" s="1" t="s">
        <v>752</v>
      </c>
      <c r="K2682" s="1" t="s">
        <v>74</v>
      </c>
      <c r="L2682" s="1" t="s">
        <v>74</v>
      </c>
      <c r="M2682" s="1" t="s">
        <v>78</v>
      </c>
      <c r="N2682" s="1" t="s">
        <v>79</v>
      </c>
      <c r="O2682" s="1" t="s">
        <v>74</v>
      </c>
      <c r="P2682" s="1" t="s">
        <v>74</v>
      </c>
      <c r="Q2682" s="1" t="s">
        <v>74</v>
      </c>
      <c r="R2682" s="1" t="s">
        <v>74</v>
      </c>
      <c r="S2682" s="1" t="s">
        <v>74</v>
      </c>
      <c r="T2682" s="1" t="s">
        <v>74</v>
      </c>
      <c r="U2682" s="1" t="s">
        <v>42692</v>
      </c>
      <c r="V2682" s="1" t="s">
        <v>42693</v>
      </c>
      <c r="W2682" s="1" t="s">
        <v>74</v>
      </c>
      <c r="X2682" s="1" t="s">
        <v>74</v>
      </c>
      <c r="Y2682" s="1" t="s">
        <v>42694</v>
      </c>
      <c r="Z2682" s="1" t="s">
        <v>74</v>
      </c>
      <c r="AA2682" s="1" t="s">
        <v>74</v>
      </c>
      <c r="AB2682" s="1" t="s">
        <v>74</v>
      </c>
      <c r="AC2682" s="1" t="s">
        <v>74</v>
      </c>
      <c r="AD2682" s="1" t="s">
        <v>74</v>
      </c>
      <c r="AE2682" s="1" t="s">
        <v>74</v>
      </c>
      <c r="AF2682" s="1" t="s">
        <v>74</v>
      </c>
      <c r="AG2682" s="1">
        <v>49</v>
      </c>
      <c r="AH2682" s="1">
        <v>29</v>
      </c>
      <c r="AI2682" s="1">
        <v>31</v>
      </c>
      <c r="AJ2682" s="1">
        <v>0</v>
      </c>
      <c r="AK2682" s="1">
        <v>8</v>
      </c>
      <c r="AL2682" s="1" t="s">
        <v>430</v>
      </c>
      <c r="AM2682" s="1" t="s">
        <v>7361</v>
      </c>
      <c r="AN2682" s="1" t="s">
        <v>7362</v>
      </c>
      <c r="AO2682" s="1" t="s">
        <v>761</v>
      </c>
      <c r="AP2682" s="1" t="s">
        <v>762</v>
      </c>
      <c r="AQ2682" s="1" t="s">
        <v>74</v>
      </c>
      <c r="AR2682" s="1" t="s">
        <v>763</v>
      </c>
      <c r="AS2682" s="1" t="s">
        <v>764</v>
      </c>
      <c r="AT2682" s="1" t="s">
        <v>74</v>
      </c>
      <c r="AU2682" s="1">
        <v>1990</v>
      </c>
      <c r="AV2682" s="1">
        <v>30</v>
      </c>
      <c r="AW2682" s="1">
        <v>3</v>
      </c>
      <c r="AX2682" s="1" t="s">
        <v>74</v>
      </c>
      <c r="AY2682" s="1" t="s">
        <v>74</v>
      </c>
      <c r="AZ2682" s="1" t="s">
        <v>74</v>
      </c>
      <c r="BA2682" s="1" t="s">
        <v>74</v>
      </c>
      <c r="BB2682" s="1">
        <v>163</v>
      </c>
      <c r="BC2682" s="1">
        <v>177</v>
      </c>
      <c r="BD2682" s="1" t="s">
        <v>74</v>
      </c>
      <c r="BE2682" s="1" t="s">
        <v>42695</v>
      </c>
      <c r="BF2682" s="1" t="str">
        <f>HYPERLINK("http://dx.doi.org/10.1016/0141-1136(90)90017-I","http://dx.doi.org/10.1016/0141-1136(90)90017-I")</f>
        <v>http://dx.doi.org/10.1016/0141-1136(90)90017-I</v>
      </c>
      <c r="BG2682" s="1" t="s">
        <v>74</v>
      </c>
      <c r="BH2682" s="1" t="s">
        <v>74</v>
      </c>
      <c r="BI2682" s="1">
        <v>15</v>
      </c>
      <c r="BJ2682" s="1" t="s">
        <v>768</v>
      </c>
      <c r="BK2682" s="1" t="s">
        <v>96</v>
      </c>
      <c r="BL2682" s="1" t="s">
        <v>769</v>
      </c>
      <c r="BM2682" s="1" t="s">
        <v>42696</v>
      </c>
      <c r="BN2682" s="1" t="s">
        <v>74</v>
      </c>
      <c r="BO2682" s="1" t="s">
        <v>74</v>
      </c>
      <c r="BP2682" s="1" t="s">
        <v>74</v>
      </c>
      <c r="BQ2682" s="1" t="s">
        <v>74</v>
      </c>
      <c r="BR2682" s="1" t="s">
        <v>98</v>
      </c>
      <c r="BS2682" s="1" t="s">
        <v>42697</v>
      </c>
      <c r="BT2682" s="1" t="str">
        <f>HYPERLINK("https%3A%2F%2Fwww.webofscience.com%2Fwos%2Fwoscc%2Ffull-record%2FWOS:A1990EP82100001","View Full Record in Web of Science")</f>
        <v>View Full Record in Web of Science</v>
      </c>
      <c r="BU2682" s="1"/>
      <c r="BV2682" s="1"/>
    </row>
    <row r="2683" spans="1:74">
      <c r="A2683" s="1" t="s">
        <v>72</v>
      </c>
      <c r="B2683" s="1" t="s">
        <v>42698</v>
      </c>
      <c r="C2683" s="1" t="s">
        <v>74</v>
      </c>
      <c r="D2683" s="1" t="s">
        <v>74</v>
      </c>
      <c r="E2683" s="1" t="s">
        <v>74</v>
      </c>
      <c r="F2683" s="1" t="s">
        <v>42699</v>
      </c>
      <c r="G2683" s="1" t="s">
        <v>74</v>
      </c>
      <c r="H2683" s="1" t="s">
        <v>74</v>
      </c>
      <c r="I2683" s="1" t="s">
        <v>42700</v>
      </c>
      <c r="J2683" s="1" t="s">
        <v>204</v>
      </c>
      <c r="K2683" s="1" t="s">
        <v>74</v>
      </c>
      <c r="L2683" s="1" t="s">
        <v>74</v>
      </c>
      <c r="M2683" s="1" t="s">
        <v>78</v>
      </c>
      <c r="N2683" s="1" t="s">
        <v>79</v>
      </c>
      <c r="O2683" s="1" t="s">
        <v>74</v>
      </c>
      <c r="P2683" s="1" t="s">
        <v>74</v>
      </c>
      <c r="Q2683" s="1" t="s">
        <v>74</v>
      </c>
      <c r="R2683" s="1" t="s">
        <v>74</v>
      </c>
      <c r="S2683" s="1" t="s">
        <v>74</v>
      </c>
      <c r="T2683" s="1" t="s">
        <v>42701</v>
      </c>
      <c r="U2683" s="1" t="s">
        <v>42702</v>
      </c>
      <c r="V2683" s="1" t="s">
        <v>42703</v>
      </c>
      <c r="W2683" s="1" t="s">
        <v>42704</v>
      </c>
      <c r="X2683" s="1" t="s">
        <v>42705</v>
      </c>
      <c r="Y2683" s="1" t="s">
        <v>42706</v>
      </c>
      <c r="Z2683" s="1" t="s">
        <v>42707</v>
      </c>
      <c r="AA2683" s="1" t="s">
        <v>42708</v>
      </c>
      <c r="AB2683" s="1" t="s">
        <v>42709</v>
      </c>
      <c r="AC2683" s="1" t="s">
        <v>42710</v>
      </c>
      <c r="AD2683" s="1" t="s">
        <v>42711</v>
      </c>
      <c r="AE2683" s="1" t="s">
        <v>42712</v>
      </c>
      <c r="AF2683" s="1" t="s">
        <v>74</v>
      </c>
      <c r="AG2683" s="1">
        <v>59</v>
      </c>
      <c r="AH2683" s="1">
        <v>1</v>
      </c>
      <c r="AI2683" s="1">
        <v>1</v>
      </c>
      <c r="AJ2683" s="1">
        <v>10</v>
      </c>
      <c r="AK2683" s="1">
        <v>18</v>
      </c>
      <c r="AL2683" s="1" t="s">
        <v>217</v>
      </c>
      <c r="AM2683" s="1" t="s">
        <v>218</v>
      </c>
      <c r="AN2683" s="1" t="s">
        <v>219</v>
      </c>
      <c r="AO2683" s="1" t="s">
        <v>220</v>
      </c>
      <c r="AP2683" s="1" t="s">
        <v>221</v>
      </c>
      <c r="AQ2683" s="1" t="s">
        <v>74</v>
      </c>
      <c r="AR2683" s="1" t="s">
        <v>222</v>
      </c>
      <c r="AS2683" s="1" t="s">
        <v>223</v>
      </c>
      <c r="AT2683" s="1" t="s">
        <v>197</v>
      </c>
      <c r="AU2683" s="1">
        <v>2023</v>
      </c>
      <c r="AV2683" s="1">
        <v>30</v>
      </c>
      <c r="AW2683" s="1">
        <v>56</v>
      </c>
      <c r="AX2683" s="1" t="s">
        <v>74</v>
      </c>
      <c r="AY2683" s="1" t="s">
        <v>74</v>
      </c>
      <c r="AZ2683" s="1" t="s">
        <v>74</v>
      </c>
      <c r="BA2683" s="1" t="s">
        <v>74</v>
      </c>
      <c r="BB2683" s="1">
        <v>118332</v>
      </c>
      <c r="BC2683" s="1">
        <v>118340</v>
      </c>
      <c r="BD2683" s="1" t="s">
        <v>74</v>
      </c>
      <c r="BE2683" s="1" t="s">
        <v>42713</v>
      </c>
      <c r="BF2683" s="1" t="str">
        <f>HYPERLINK("http://dx.doi.org/10.1007/s11356-023-30611-8","http://dx.doi.org/10.1007/s11356-023-30611-8")</f>
        <v>http://dx.doi.org/10.1007/s11356-023-30611-8</v>
      </c>
      <c r="BG2683" s="1" t="s">
        <v>74</v>
      </c>
      <c r="BH2683" s="1" t="s">
        <v>7992</v>
      </c>
      <c r="BI2683" s="1">
        <v>9</v>
      </c>
      <c r="BJ2683" s="1" t="s">
        <v>144</v>
      </c>
      <c r="BK2683" s="1" t="s">
        <v>96</v>
      </c>
      <c r="BL2683" s="1" t="s">
        <v>145</v>
      </c>
      <c r="BM2683" s="1" t="s">
        <v>42714</v>
      </c>
      <c r="BN2683" s="1">
        <v>37910376</v>
      </c>
      <c r="BO2683" s="1" t="s">
        <v>74</v>
      </c>
      <c r="BP2683" s="1" t="s">
        <v>74</v>
      </c>
      <c r="BQ2683" s="1" t="s">
        <v>74</v>
      </c>
      <c r="BR2683" s="1" t="s">
        <v>98</v>
      </c>
      <c r="BS2683" s="1" t="s">
        <v>42715</v>
      </c>
      <c r="BT2683" s="1" t="str">
        <f>HYPERLINK("https%3A%2F%2Fwww.webofscience.com%2Fwos%2Fwoscc%2Ffull-record%2FWOS:001096959800013","View Full Record in Web of Science")</f>
        <v>View Full Record in Web of Science</v>
      </c>
      <c r="BU2683" s="1"/>
      <c r="BV2683" s="1"/>
    </row>
    <row r="2684" spans="1:74">
      <c r="A2684" s="1" t="s">
        <v>72</v>
      </c>
      <c r="B2684" s="1" t="s">
        <v>42716</v>
      </c>
      <c r="C2684" s="1" t="s">
        <v>74</v>
      </c>
      <c r="D2684" s="1" t="s">
        <v>74</v>
      </c>
      <c r="E2684" s="1" t="s">
        <v>74</v>
      </c>
      <c r="F2684" s="1" t="s">
        <v>42717</v>
      </c>
      <c r="G2684" s="1" t="s">
        <v>74</v>
      </c>
      <c r="H2684" s="1" t="s">
        <v>74</v>
      </c>
      <c r="I2684" s="1" t="s">
        <v>42718</v>
      </c>
      <c r="J2684" s="1" t="s">
        <v>752</v>
      </c>
      <c r="K2684" s="1" t="s">
        <v>74</v>
      </c>
      <c r="L2684" s="1" t="s">
        <v>74</v>
      </c>
      <c r="M2684" s="1" t="s">
        <v>78</v>
      </c>
      <c r="N2684" s="1" t="s">
        <v>79</v>
      </c>
      <c r="O2684" s="1" t="s">
        <v>74</v>
      </c>
      <c r="P2684" s="1" t="s">
        <v>74</v>
      </c>
      <c r="Q2684" s="1" t="s">
        <v>74</v>
      </c>
      <c r="R2684" s="1" t="s">
        <v>74</v>
      </c>
      <c r="S2684" s="1" t="s">
        <v>74</v>
      </c>
      <c r="T2684" s="1" t="s">
        <v>42719</v>
      </c>
      <c r="U2684" s="1" t="s">
        <v>42720</v>
      </c>
      <c r="V2684" s="1" t="s">
        <v>42721</v>
      </c>
      <c r="W2684" s="1" t="s">
        <v>42722</v>
      </c>
      <c r="X2684" s="1" t="s">
        <v>42723</v>
      </c>
      <c r="Y2684" s="1" t="s">
        <v>9287</v>
      </c>
      <c r="Z2684" s="1" t="s">
        <v>9288</v>
      </c>
      <c r="AA2684" s="1" t="s">
        <v>42724</v>
      </c>
      <c r="AB2684" s="1" t="s">
        <v>42725</v>
      </c>
      <c r="AC2684" s="1" t="s">
        <v>42726</v>
      </c>
      <c r="AD2684" s="1" t="s">
        <v>42727</v>
      </c>
      <c r="AE2684" s="1" t="s">
        <v>42728</v>
      </c>
      <c r="AF2684" s="1" t="s">
        <v>74</v>
      </c>
      <c r="AG2684" s="1">
        <v>85</v>
      </c>
      <c r="AH2684" s="1">
        <v>0</v>
      </c>
      <c r="AI2684" s="1">
        <v>0</v>
      </c>
      <c r="AJ2684" s="1">
        <v>3</v>
      </c>
      <c r="AK2684" s="1">
        <v>3</v>
      </c>
      <c r="AL2684" s="1" t="s">
        <v>430</v>
      </c>
      <c r="AM2684" s="1" t="s">
        <v>7361</v>
      </c>
      <c r="AN2684" s="1" t="s">
        <v>7362</v>
      </c>
      <c r="AO2684" s="1" t="s">
        <v>761</v>
      </c>
      <c r="AP2684" s="1" t="s">
        <v>762</v>
      </c>
      <c r="AQ2684" s="1" t="s">
        <v>74</v>
      </c>
      <c r="AR2684" s="1" t="s">
        <v>763</v>
      </c>
      <c r="AS2684" s="1" t="s">
        <v>764</v>
      </c>
      <c r="AT2684" s="1" t="s">
        <v>267</v>
      </c>
      <c r="AU2684" s="1">
        <v>2024</v>
      </c>
      <c r="AV2684" s="1">
        <v>201</v>
      </c>
      <c r="AW2684" s="1" t="s">
        <v>74</v>
      </c>
      <c r="AX2684" s="1" t="s">
        <v>74</v>
      </c>
      <c r="AY2684" s="1" t="s">
        <v>74</v>
      </c>
      <c r="AZ2684" s="1" t="s">
        <v>74</v>
      </c>
      <c r="BA2684" s="1" t="s">
        <v>74</v>
      </c>
      <c r="BB2684" s="1" t="s">
        <v>74</v>
      </c>
      <c r="BC2684" s="1" t="s">
        <v>74</v>
      </c>
      <c r="BD2684" s="1">
        <v>106666</v>
      </c>
      <c r="BE2684" s="1" t="s">
        <v>42729</v>
      </c>
      <c r="BF2684" s="1" t="str">
        <f>HYPERLINK("http://dx.doi.org/10.1016/j.marenvres.2024.106666","http://dx.doi.org/10.1016/j.marenvres.2024.106666")</f>
        <v>http://dx.doi.org/10.1016/j.marenvres.2024.106666</v>
      </c>
      <c r="BG2684" s="1" t="s">
        <v>74</v>
      </c>
      <c r="BH2684" s="1" t="s">
        <v>10999</v>
      </c>
      <c r="BI2684" s="1">
        <v>11</v>
      </c>
      <c r="BJ2684" s="1" t="s">
        <v>768</v>
      </c>
      <c r="BK2684" s="1" t="s">
        <v>96</v>
      </c>
      <c r="BL2684" s="1" t="s">
        <v>769</v>
      </c>
      <c r="BM2684" s="1" t="s">
        <v>42730</v>
      </c>
      <c r="BN2684" s="1">
        <v>39133969</v>
      </c>
      <c r="BO2684" s="1" t="s">
        <v>476</v>
      </c>
      <c r="BP2684" s="1" t="s">
        <v>74</v>
      </c>
      <c r="BQ2684" s="1" t="s">
        <v>74</v>
      </c>
      <c r="BR2684" s="1" t="s">
        <v>98</v>
      </c>
      <c r="BS2684" s="1" t="s">
        <v>42731</v>
      </c>
      <c r="BT2684" s="1" t="str">
        <f>HYPERLINK("https%3A%2F%2Fwww.webofscience.com%2Fwos%2Fwoscc%2Ffull-record%2FWOS:001294896800001","View Full Record in Web of Science")</f>
        <v>View Full Record in Web of Science</v>
      </c>
      <c r="BU2684" s="1"/>
      <c r="BV2684" s="1"/>
    </row>
    <row r="2685" spans="1:74">
      <c r="A2685" s="1" t="s">
        <v>72</v>
      </c>
      <c r="B2685" s="1" t="s">
        <v>42732</v>
      </c>
      <c r="C2685" s="1" t="s">
        <v>74</v>
      </c>
      <c r="D2685" s="1" t="s">
        <v>74</v>
      </c>
      <c r="E2685" s="1" t="s">
        <v>74</v>
      </c>
      <c r="F2685" s="1" t="s">
        <v>42733</v>
      </c>
      <c r="G2685" s="1" t="s">
        <v>74</v>
      </c>
      <c r="H2685" s="1" t="s">
        <v>74</v>
      </c>
      <c r="I2685" s="1" t="s">
        <v>42734</v>
      </c>
      <c r="J2685" s="1" t="s">
        <v>421</v>
      </c>
      <c r="K2685" s="1" t="s">
        <v>74</v>
      </c>
      <c r="L2685" s="1" t="s">
        <v>74</v>
      </c>
      <c r="M2685" s="1" t="s">
        <v>78</v>
      </c>
      <c r="N2685" s="1" t="s">
        <v>79</v>
      </c>
      <c r="O2685" s="1" t="s">
        <v>74</v>
      </c>
      <c r="P2685" s="1" t="s">
        <v>74</v>
      </c>
      <c r="Q2685" s="1" t="s">
        <v>74</v>
      </c>
      <c r="R2685" s="1" t="s">
        <v>74</v>
      </c>
      <c r="S2685" s="1" t="s">
        <v>74</v>
      </c>
      <c r="T2685" s="1" t="s">
        <v>42735</v>
      </c>
      <c r="U2685" s="1" t="s">
        <v>42736</v>
      </c>
      <c r="V2685" s="1" t="s">
        <v>42737</v>
      </c>
      <c r="W2685" s="1" t="s">
        <v>42738</v>
      </c>
      <c r="X2685" s="1" t="s">
        <v>42739</v>
      </c>
      <c r="Y2685" s="1" t="s">
        <v>42740</v>
      </c>
      <c r="Z2685" s="1" t="s">
        <v>42741</v>
      </c>
      <c r="AA2685" s="1" t="s">
        <v>74</v>
      </c>
      <c r="AB2685" s="1" t="s">
        <v>42742</v>
      </c>
      <c r="AC2685" s="1" t="s">
        <v>42743</v>
      </c>
      <c r="AD2685" s="1" t="s">
        <v>42744</v>
      </c>
      <c r="AE2685" s="1" t="s">
        <v>42745</v>
      </c>
      <c r="AF2685" s="1" t="s">
        <v>74</v>
      </c>
      <c r="AG2685" s="1">
        <v>66</v>
      </c>
      <c r="AH2685" s="1">
        <v>126</v>
      </c>
      <c r="AI2685" s="1">
        <v>141</v>
      </c>
      <c r="AJ2685" s="1">
        <v>2</v>
      </c>
      <c r="AK2685" s="1">
        <v>246</v>
      </c>
      <c r="AL2685" s="1" t="s">
        <v>430</v>
      </c>
      <c r="AM2685" s="1" t="s">
        <v>137</v>
      </c>
      <c r="AN2685" s="1" t="s">
        <v>431</v>
      </c>
      <c r="AO2685" s="1" t="s">
        <v>432</v>
      </c>
      <c r="AP2685" s="1" t="s">
        <v>1394</v>
      </c>
      <c r="AQ2685" s="1" t="s">
        <v>74</v>
      </c>
      <c r="AR2685" s="1" t="s">
        <v>433</v>
      </c>
      <c r="AS2685" s="1" t="s">
        <v>434</v>
      </c>
      <c r="AT2685" s="1" t="s">
        <v>170</v>
      </c>
      <c r="AU2685" s="1">
        <v>2018</v>
      </c>
      <c r="AV2685" s="1">
        <v>236</v>
      </c>
      <c r="AW2685" s="1" t="s">
        <v>74</v>
      </c>
      <c r="AX2685" s="1" t="s">
        <v>74</v>
      </c>
      <c r="AY2685" s="1" t="s">
        <v>74</v>
      </c>
      <c r="AZ2685" s="1" t="s">
        <v>74</v>
      </c>
      <c r="BA2685" s="1" t="s">
        <v>74</v>
      </c>
      <c r="BB2685" s="1">
        <v>652</v>
      </c>
      <c r="BC2685" s="1">
        <v>660</v>
      </c>
      <c r="BD2685" s="1" t="s">
        <v>74</v>
      </c>
      <c r="BE2685" s="1" t="s">
        <v>42746</v>
      </c>
      <c r="BF2685" s="1" t="str">
        <f>HYPERLINK("http://dx.doi.org/10.1016/j.envpol.2018.02.006","http://dx.doi.org/10.1016/j.envpol.2018.02.006")</f>
        <v>http://dx.doi.org/10.1016/j.envpol.2018.02.006</v>
      </c>
      <c r="BG2685" s="1" t="s">
        <v>74</v>
      </c>
      <c r="BH2685" s="1" t="s">
        <v>74</v>
      </c>
      <c r="BI2685" s="1">
        <v>9</v>
      </c>
      <c r="BJ2685" s="1" t="s">
        <v>144</v>
      </c>
      <c r="BK2685" s="1" t="s">
        <v>96</v>
      </c>
      <c r="BL2685" s="1" t="s">
        <v>145</v>
      </c>
      <c r="BM2685" s="1" t="s">
        <v>42747</v>
      </c>
      <c r="BN2685" s="1">
        <v>29433106</v>
      </c>
      <c r="BO2685" s="1" t="s">
        <v>74</v>
      </c>
      <c r="BP2685" s="1" t="s">
        <v>74</v>
      </c>
      <c r="BQ2685" s="1" t="s">
        <v>74</v>
      </c>
      <c r="BR2685" s="1" t="s">
        <v>98</v>
      </c>
      <c r="BS2685" s="1" t="s">
        <v>42748</v>
      </c>
      <c r="BT2685" s="1" t="str">
        <f>HYPERLINK("https%3A%2F%2Fwww.webofscience.com%2Fwos%2Fwoscc%2Ffull-record%2FWOS:000429187500068","View Full Record in Web of Science")</f>
        <v>View Full Record in Web of Science</v>
      </c>
      <c r="BU2685" s="1"/>
      <c r="BV2685" s="1"/>
    </row>
    <row r="2686" spans="1:74">
      <c r="A2686" s="1" t="s">
        <v>72</v>
      </c>
      <c r="B2686" s="1" t="s">
        <v>42749</v>
      </c>
      <c r="C2686" s="1" t="s">
        <v>74</v>
      </c>
      <c r="D2686" s="1" t="s">
        <v>74</v>
      </c>
      <c r="E2686" s="1" t="s">
        <v>74</v>
      </c>
      <c r="F2686" s="1" t="s">
        <v>42750</v>
      </c>
      <c r="G2686" s="1" t="s">
        <v>74</v>
      </c>
      <c r="H2686" s="1" t="s">
        <v>74</v>
      </c>
      <c r="I2686" s="1" t="s">
        <v>42751</v>
      </c>
      <c r="J2686" s="1" t="s">
        <v>421</v>
      </c>
      <c r="K2686" s="1" t="s">
        <v>74</v>
      </c>
      <c r="L2686" s="1" t="s">
        <v>74</v>
      </c>
      <c r="M2686" s="1" t="s">
        <v>78</v>
      </c>
      <c r="N2686" s="1" t="s">
        <v>79</v>
      </c>
      <c r="O2686" s="1" t="s">
        <v>74</v>
      </c>
      <c r="P2686" s="1" t="s">
        <v>74</v>
      </c>
      <c r="Q2686" s="1" t="s">
        <v>74</v>
      </c>
      <c r="R2686" s="1" t="s">
        <v>74</v>
      </c>
      <c r="S2686" s="1" t="s">
        <v>74</v>
      </c>
      <c r="T2686" s="1" t="s">
        <v>42752</v>
      </c>
      <c r="U2686" s="1" t="s">
        <v>42753</v>
      </c>
      <c r="V2686" s="1" t="s">
        <v>42754</v>
      </c>
      <c r="W2686" s="1" t="s">
        <v>42755</v>
      </c>
      <c r="X2686" s="1" t="s">
        <v>42756</v>
      </c>
      <c r="Y2686" s="1" t="s">
        <v>42757</v>
      </c>
      <c r="Z2686" s="1" t="s">
        <v>42758</v>
      </c>
      <c r="AA2686" s="1" t="s">
        <v>42759</v>
      </c>
      <c r="AB2686" s="1" t="s">
        <v>42760</v>
      </c>
      <c r="AC2686" s="1" t="s">
        <v>74</v>
      </c>
      <c r="AD2686" s="1" t="s">
        <v>74</v>
      </c>
      <c r="AE2686" s="1" t="s">
        <v>74</v>
      </c>
      <c r="AF2686" s="1" t="s">
        <v>74</v>
      </c>
      <c r="AG2686" s="1">
        <v>84</v>
      </c>
      <c r="AH2686" s="1">
        <v>84</v>
      </c>
      <c r="AI2686" s="1">
        <v>87</v>
      </c>
      <c r="AJ2686" s="1">
        <v>12</v>
      </c>
      <c r="AK2686" s="1">
        <v>138</v>
      </c>
      <c r="AL2686" s="1" t="s">
        <v>430</v>
      </c>
      <c r="AM2686" s="1" t="s">
        <v>137</v>
      </c>
      <c r="AN2686" s="1" t="s">
        <v>431</v>
      </c>
      <c r="AO2686" s="1" t="s">
        <v>432</v>
      </c>
      <c r="AP2686" s="1" t="s">
        <v>1394</v>
      </c>
      <c r="AQ2686" s="1" t="s">
        <v>74</v>
      </c>
      <c r="AR2686" s="1" t="s">
        <v>433</v>
      </c>
      <c r="AS2686" s="1" t="s">
        <v>434</v>
      </c>
      <c r="AT2686" s="1" t="s">
        <v>3891</v>
      </c>
      <c r="AU2686" s="1">
        <v>2021</v>
      </c>
      <c r="AV2686" s="1">
        <v>269</v>
      </c>
      <c r="AW2686" s="1" t="s">
        <v>74</v>
      </c>
      <c r="AX2686" s="1" t="s">
        <v>74</v>
      </c>
      <c r="AY2686" s="1" t="s">
        <v>74</v>
      </c>
      <c r="AZ2686" s="1" t="s">
        <v>74</v>
      </c>
      <c r="BA2686" s="1" t="s">
        <v>74</v>
      </c>
      <c r="BB2686" s="1" t="s">
        <v>74</v>
      </c>
      <c r="BC2686" s="1" t="s">
        <v>74</v>
      </c>
      <c r="BD2686" s="1">
        <v>116147</v>
      </c>
      <c r="BE2686" s="1" t="s">
        <v>42761</v>
      </c>
      <c r="BF2686" s="1" t="str">
        <f>HYPERLINK("http://dx.doi.org/10.1016/j.envpol.2020.116147","http://dx.doi.org/10.1016/j.envpol.2020.116147")</f>
        <v>http://dx.doi.org/10.1016/j.envpol.2020.116147</v>
      </c>
      <c r="BG2686" s="1" t="s">
        <v>74</v>
      </c>
      <c r="BH2686" s="1" t="s">
        <v>74</v>
      </c>
      <c r="BI2686" s="1">
        <v>11</v>
      </c>
      <c r="BJ2686" s="1" t="s">
        <v>144</v>
      </c>
      <c r="BK2686" s="1" t="s">
        <v>96</v>
      </c>
      <c r="BL2686" s="1" t="s">
        <v>145</v>
      </c>
      <c r="BM2686" s="1" t="s">
        <v>42762</v>
      </c>
      <c r="BN2686" s="1">
        <v>33280916</v>
      </c>
      <c r="BO2686" s="1" t="s">
        <v>74</v>
      </c>
      <c r="BP2686" s="1" t="s">
        <v>74</v>
      </c>
      <c r="BQ2686" s="1" t="s">
        <v>74</v>
      </c>
      <c r="BR2686" s="1" t="s">
        <v>98</v>
      </c>
      <c r="BS2686" s="1" t="s">
        <v>42763</v>
      </c>
      <c r="BT2686" s="1" t="str">
        <f>HYPERLINK("https%3A%2F%2Fwww.webofscience.com%2Fwos%2Fwoscc%2Ffull-record%2FWOS:000604429000072","View Full Record in Web of Science")</f>
        <v>View Full Record in Web of Science</v>
      </c>
      <c r="BU2686" s="1"/>
      <c r="BV2686" s="1"/>
    </row>
    <row r="2687" spans="1:74">
      <c r="A2687" s="1" t="s">
        <v>72</v>
      </c>
      <c r="B2687" s="1" t="s">
        <v>42764</v>
      </c>
      <c r="C2687" s="1" t="s">
        <v>74</v>
      </c>
      <c r="D2687" s="1" t="s">
        <v>74</v>
      </c>
      <c r="E2687" s="1" t="s">
        <v>74</v>
      </c>
      <c r="F2687" s="1" t="s">
        <v>42765</v>
      </c>
      <c r="G2687" s="1" t="s">
        <v>74</v>
      </c>
      <c r="H2687" s="1" t="s">
        <v>74</v>
      </c>
      <c r="I2687" s="1" t="s">
        <v>42766</v>
      </c>
      <c r="J2687" s="1" t="s">
        <v>10565</v>
      </c>
      <c r="K2687" s="1" t="s">
        <v>74</v>
      </c>
      <c r="L2687" s="1" t="s">
        <v>74</v>
      </c>
      <c r="M2687" s="1" t="s">
        <v>78</v>
      </c>
      <c r="N2687" s="1" t="s">
        <v>79</v>
      </c>
      <c r="O2687" s="1" t="s">
        <v>74</v>
      </c>
      <c r="P2687" s="1" t="s">
        <v>74</v>
      </c>
      <c r="Q2687" s="1" t="s">
        <v>74</v>
      </c>
      <c r="R2687" s="1" t="s">
        <v>74</v>
      </c>
      <c r="S2687" s="1" t="s">
        <v>74</v>
      </c>
      <c r="T2687" s="1" t="s">
        <v>42767</v>
      </c>
      <c r="U2687" s="1" t="s">
        <v>42768</v>
      </c>
      <c r="V2687" s="1" t="s">
        <v>42769</v>
      </c>
      <c r="W2687" s="1" t="s">
        <v>42770</v>
      </c>
      <c r="X2687" s="1" t="s">
        <v>42771</v>
      </c>
      <c r="Y2687" s="1" t="s">
        <v>42772</v>
      </c>
      <c r="Z2687" s="1" t="s">
        <v>42773</v>
      </c>
      <c r="AA2687" s="1" t="s">
        <v>42774</v>
      </c>
      <c r="AB2687" s="1" t="s">
        <v>42775</v>
      </c>
      <c r="AC2687" s="1" t="s">
        <v>74</v>
      </c>
      <c r="AD2687" s="1" t="s">
        <v>74</v>
      </c>
      <c r="AE2687" s="1" t="s">
        <v>74</v>
      </c>
      <c r="AF2687" s="1" t="s">
        <v>74</v>
      </c>
      <c r="AG2687" s="1">
        <v>119</v>
      </c>
      <c r="AH2687" s="1">
        <v>1</v>
      </c>
      <c r="AI2687" s="1">
        <v>1</v>
      </c>
      <c r="AJ2687" s="1">
        <v>0</v>
      </c>
      <c r="AK2687" s="1">
        <v>0</v>
      </c>
      <c r="AL2687" s="1" t="s">
        <v>136</v>
      </c>
      <c r="AM2687" s="1" t="s">
        <v>137</v>
      </c>
      <c r="AN2687" s="1" t="s">
        <v>138</v>
      </c>
      <c r="AO2687" s="1" t="s">
        <v>10577</v>
      </c>
      <c r="AP2687" s="1" t="s">
        <v>10578</v>
      </c>
      <c r="AQ2687" s="1" t="s">
        <v>74</v>
      </c>
      <c r="AR2687" s="1" t="s">
        <v>10579</v>
      </c>
      <c r="AS2687" s="1" t="s">
        <v>10580</v>
      </c>
      <c r="AT2687" s="1" t="s">
        <v>224</v>
      </c>
      <c r="AU2687" s="1">
        <v>2024</v>
      </c>
      <c r="AV2687" s="1">
        <v>210</v>
      </c>
      <c r="AW2687" s="1" t="s">
        <v>74</v>
      </c>
      <c r="AX2687" s="1" t="s">
        <v>74</v>
      </c>
      <c r="AY2687" s="1" t="s">
        <v>74</v>
      </c>
      <c r="AZ2687" s="1" t="s">
        <v>74</v>
      </c>
      <c r="BA2687" s="1" t="s">
        <v>74</v>
      </c>
      <c r="BB2687" s="1" t="s">
        <v>74</v>
      </c>
      <c r="BC2687" s="1" t="s">
        <v>74</v>
      </c>
      <c r="BD2687" s="1">
        <v>105159</v>
      </c>
      <c r="BE2687" s="1" t="s">
        <v>42776</v>
      </c>
      <c r="BF2687" s="1" t="str">
        <f>HYPERLINK("http://dx.doi.org/10.1016/j.jafrearsci.2023.105159","http://dx.doi.org/10.1016/j.jafrearsci.2023.105159")</f>
        <v>http://dx.doi.org/10.1016/j.jafrearsci.2023.105159</v>
      </c>
      <c r="BG2687" s="1" t="s">
        <v>74</v>
      </c>
      <c r="BH2687" s="1" t="s">
        <v>3832</v>
      </c>
      <c r="BI2687" s="1">
        <v>16</v>
      </c>
      <c r="BJ2687" s="1" t="s">
        <v>10582</v>
      </c>
      <c r="BK2687" s="1" t="s">
        <v>96</v>
      </c>
      <c r="BL2687" s="1" t="s">
        <v>7739</v>
      </c>
      <c r="BM2687" s="1" t="s">
        <v>42777</v>
      </c>
      <c r="BN2687" s="1" t="s">
        <v>74</v>
      </c>
      <c r="BO2687" s="1" t="s">
        <v>74</v>
      </c>
      <c r="BP2687" s="1" t="s">
        <v>74</v>
      </c>
      <c r="BQ2687" s="1" t="s">
        <v>74</v>
      </c>
      <c r="BR2687" s="1" t="s">
        <v>98</v>
      </c>
      <c r="BS2687" s="1" t="s">
        <v>42778</v>
      </c>
      <c r="BT2687" s="1" t="str">
        <f>HYPERLINK("https%3A%2F%2Fwww.webofscience.com%2Fwos%2Fwoscc%2Ffull-record%2FWOS:001144928400001","View Full Record in Web of Science")</f>
        <v>View Full Record in Web of Science</v>
      </c>
      <c r="BU2687" s="1"/>
      <c r="BV2687" s="1"/>
    </row>
    <row r="2688" spans="1:74">
      <c r="A2688" s="1" t="s">
        <v>72</v>
      </c>
      <c r="B2688" s="1" t="s">
        <v>42779</v>
      </c>
      <c r="C2688" s="1" t="s">
        <v>74</v>
      </c>
      <c r="D2688" s="1" t="s">
        <v>74</v>
      </c>
      <c r="E2688" s="1" t="s">
        <v>74</v>
      </c>
      <c r="F2688" s="1" t="s">
        <v>42779</v>
      </c>
      <c r="G2688" s="1" t="s">
        <v>74</v>
      </c>
      <c r="H2688" s="1" t="s">
        <v>74</v>
      </c>
      <c r="I2688" s="1" t="s">
        <v>42780</v>
      </c>
      <c r="J2688" s="1" t="s">
        <v>232</v>
      </c>
      <c r="K2688" s="1" t="s">
        <v>74</v>
      </c>
      <c r="L2688" s="1" t="s">
        <v>74</v>
      </c>
      <c r="M2688" s="1" t="s">
        <v>78</v>
      </c>
      <c r="N2688" s="1" t="s">
        <v>79</v>
      </c>
      <c r="O2688" s="1" t="s">
        <v>74</v>
      </c>
      <c r="P2688" s="1" t="s">
        <v>74</v>
      </c>
      <c r="Q2688" s="1" t="s">
        <v>74</v>
      </c>
      <c r="R2688" s="1" t="s">
        <v>74</v>
      </c>
      <c r="S2688" s="1" t="s">
        <v>74</v>
      </c>
      <c r="T2688" s="1" t="s">
        <v>42781</v>
      </c>
      <c r="U2688" s="1" t="s">
        <v>42782</v>
      </c>
      <c r="V2688" s="1" t="s">
        <v>42783</v>
      </c>
      <c r="W2688" s="1" t="s">
        <v>42784</v>
      </c>
      <c r="X2688" s="1" t="s">
        <v>42785</v>
      </c>
      <c r="Y2688" s="1" t="s">
        <v>42786</v>
      </c>
      <c r="Z2688" s="1" t="s">
        <v>42787</v>
      </c>
      <c r="AA2688" s="1" t="s">
        <v>27667</v>
      </c>
      <c r="AB2688" s="1" t="s">
        <v>27668</v>
      </c>
      <c r="AC2688" s="1" t="s">
        <v>74</v>
      </c>
      <c r="AD2688" s="1" t="s">
        <v>74</v>
      </c>
      <c r="AE2688" s="1" t="s">
        <v>74</v>
      </c>
      <c r="AF2688" s="1" t="s">
        <v>74</v>
      </c>
      <c r="AG2688" s="1">
        <v>32</v>
      </c>
      <c r="AH2688" s="1">
        <v>98</v>
      </c>
      <c r="AI2688" s="1">
        <v>105</v>
      </c>
      <c r="AJ2688" s="1">
        <v>0</v>
      </c>
      <c r="AK2688" s="1">
        <v>17</v>
      </c>
      <c r="AL2688" s="1" t="s">
        <v>136</v>
      </c>
      <c r="AM2688" s="1" t="s">
        <v>137</v>
      </c>
      <c r="AN2688" s="1" t="s">
        <v>138</v>
      </c>
      <c r="AO2688" s="1" t="s">
        <v>240</v>
      </c>
      <c r="AP2688" s="1" t="s">
        <v>241</v>
      </c>
      <c r="AQ2688" s="1" t="s">
        <v>74</v>
      </c>
      <c r="AR2688" s="1" t="s">
        <v>242</v>
      </c>
      <c r="AS2688" s="1" t="s">
        <v>243</v>
      </c>
      <c r="AT2688" s="1" t="s">
        <v>119</v>
      </c>
      <c r="AU2688" s="1">
        <v>2000</v>
      </c>
      <c r="AV2688" s="1">
        <v>40</v>
      </c>
      <c r="AW2688" s="1">
        <v>8</v>
      </c>
      <c r="AX2688" s="1" t="s">
        <v>74</v>
      </c>
      <c r="AY2688" s="1" t="s">
        <v>74</v>
      </c>
      <c r="AZ2688" s="1" t="s">
        <v>74</v>
      </c>
      <c r="BA2688" s="1" t="s">
        <v>74</v>
      </c>
      <c r="BB2688" s="1">
        <v>688</v>
      </c>
      <c r="BC2688" s="1">
        <v>696</v>
      </c>
      <c r="BD2688" s="1" t="s">
        <v>74</v>
      </c>
      <c r="BE2688" s="1" t="s">
        <v>42788</v>
      </c>
      <c r="BF2688" s="1" t="str">
        <f>HYPERLINK("http://dx.doi.org/10.1016/S0025-326X(00)00005-9","http://dx.doi.org/10.1016/S0025-326X(00)00005-9")</f>
        <v>http://dx.doi.org/10.1016/S0025-326X(00)00005-9</v>
      </c>
      <c r="BG2688" s="1" t="s">
        <v>74</v>
      </c>
      <c r="BH2688" s="1" t="s">
        <v>74</v>
      </c>
      <c r="BI2688" s="1">
        <v>9</v>
      </c>
      <c r="BJ2688" s="1" t="s">
        <v>247</v>
      </c>
      <c r="BK2688" s="1" t="s">
        <v>96</v>
      </c>
      <c r="BL2688" s="1" t="s">
        <v>248</v>
      </c>
      <c r="BM2688" s="1" t="s">
        <v>42789</v>
      </c>
      <c r="BN2688" s="1" t="s">
        <v>74</v>
      </c>
      <c r="BO2688" s="1" t="s">
        <v>810</v>
      </c>
      <c r="BP2688" s="1" t="s">
        <v>74</v>
      </c>
      <c r="BQ2688" s="1" t="s">
        <v>74</v>
      </c>
      <c r="BR2688" s="1" t="s">
        <v>98</v>
      </c>
      <c r="BS2688" s="1" t="s">
        <v>42790</v>
      </c>
      <c r="BT2688" s="1" t="str">
        <f>HYPERLINK("https%3A%2F%2Fwww.webofscience.com%2Fwos%2Fwoscc%2Ffull-record%2FWOS:000088889400016","View Full Record in Web of Science")</f>
        <v>View Full Record in Web of Science</v>
      </c>
      <c r="BU2688" s="1"/>
      <c r="BV2688" s="1"/>
    </row>
    <row r="2689" spans="1:74">
      <c r="A2689" s="1" t="s">
        <v>72</v>
      </c>
      <c r="B2689" s="1" t="s">
        <v>42791</v>
      </c>
      <c r="C2689" s="1" t="s">
        <v>74</v>
      </c>
      <c r="D2689" s="1" t="s">
        <v>74</v>
      </c>
      <c r="E2689" s="1" t="s">
        <v>74</v>
      </c>
      <c r="F2689" s="1" t="s">
        <v>42792</v>
      </c>
      <c r="G2689" s="1" t="s">
        <v>74</v>
      </c>
      <c r="H2689" s="1" t="s">
        <v>74</v>
      </c>
      <c r="I2689" s="1" t="s">
        <v>42793</v>
      </c>
      <c r="J2689" s="1" t="s">
        <v>42794</v>
      </c>
      <c r="K2689" s="1" t="s">
        <v>74</v>
      </c>
      <c r="L2689" s="1" t="s">
        <v>74</v>
      </c>
      <c r="M2689" s="1" t="s">
        <v>78</v>
      </c>
      <c r="N2689" s="1" t="s">
        <v>79</v>
      </c>
      <c r="O2689" s="1" t="s">
        <v>74</v>
      </c>
      <c r="P2689" s="1" t="s">
        <v>74</v>
      </c>
      <c r="Q2689" s="1" t="s">
        <v>74</v>
      </c>
      <c r="R2689" s="1" t="s">
        <v>74</v>
      </c>
      <c r="S2689" s="1" t="s">
        <v>74</v>
      </c>
      <c r="T2689" s="1" t="s">
        <v>42795</v>
      </c>
      <c r="U2689" s="1" t="s">
        <v>42796</v>
      </c>
      <c r="V2689" s="1" t="s">
        <v>42797</v>
      </c>
      <c r="W2689" s="1" t="s">
        <v>42798</v>
      </c>
      <c r="X2689" s="1" t="s">
        <v>42799</v>
      </c>
      <c r="Y2689" s="1" t="s">
        <v>42800</v>
      </c>
      <c r="Z2689" s="1" t="s">
        <v>1614</v>
      </c>
      <c r="AA2689" s="1" t="s">
        <v>42801</v>
      </c>
      <c r="AB2689" s="1" t="s">
        <v>42802</v>
      </c>
      <c r="AC2689" s="1" t="s">
        <v>42803</v>
      </c>
      <c r="AD2689" s="1" t="s">
        <v>42803</v>
      </c>
      <c r="AE2689" s="1" t="s">
        <v>42804</v>
      </c>
      <c r="AF2689" s="1" t="s">
        <v>74</v>
      </c>
      <c r="AG2689" s="1">
        <v>58</v>
      </c>
      <c r="AH2689" s="1">
        <v>3</v>
      </c>
      <c r="AI2689" s="1">
        <v>3</v>
      </c>
      <c r="AJ2689" s="1">
        <v>1</v>
      </c>
      <c r="AK2689" s="1">
        <v>8</v>
      </c>
      <c r="AL2689" s="1" t="s">
        <v>86</v>
      </c>
      <c r="AM2689" s="1" t="s">
        <v>87</v>
      </c>
      <c r="AN2689" s="1" t="s">
        <v>88</v>
      </c>
      <c r="AO2689" s="1" t="s">
        <v>42805</v>
      </c>
      <c r="AP2689" s="1" t="s">
        <v>42806</v>
      </c>
      <c r="AQ2689" s="1" t="s">
        <v>74</v>
      </c>
      <c r="AR2689" s="1" t="s">
        <v>42807</v>
      </c>
      <c r="AS2689" s="1" t="s">
        <v>42808</v>
      </c>
      <c r="AT2689" s="1" t="s">
        <v>197</v>
      </c>
      <c r="AU2689" s="1">
        <v>2022</v>
      </c>
      <c r="AV2689" s="1">
        <v>67</v>
      </c>
      <c r="AW2689" s="1">
        <v>12</v>
      </c>
      <c r="AX2689" s="1" t="s">
        <v>74</v>
      </c>
      <c r="AY2689" s="1" t="s">
        <v>74</v>
      </c>
      <c r="AZ2689" s="1" t="s">
        <v>74</v>
      </c>
      <c r="BA2689" s="1" t="s">
        <v>74</v>
      </c>
      <c r="BB2689" s="1">
        <v>2089</v>
      </c>
      <c r="BC2689" s="1">
        <v>2099</v>
      </c>
      <c r="BD2689" s="1" t="s">
        <v>74</v>
      </c>
      <c r="BE2689" s="1" t="s">
        <v>42809</v>
      </c>
      <c r="BF2689" s="1" t="str">
        <f>HYPERLINK("http://dx.doi.org/10.1111/fwb.13998","http://dx.doi.org/10.1111/fwb.13998")</f>
        <v>http://dx.doi.org/10.1111/fwb.13998</v>
      </c>
      <c r="BG2689" s="1" t="s">
        <v>74</v>
      </c>
      <c r="BH2689" s="1" t="s">
        <v>4632</v>
      </c>
      <c r="BI2689" s="1">
        <v>11</v>
      </c>
      <c r="BJ2689" s="1" t="s">
        <v>1292</v>
      </c>
      <c r="BK2689" s="1" t="s">
        <v>96</v>
      </c>
      <c r="BL2689" s="1" t="s">
        <v>248</v>
      </c>
      <c r="BM2689" s="1" t="s">
        <v>42810</v>
      </c>
      <c r="BN2689" s="1" t="s">
        <v>74</v>
      </c>
      <c r="BO2689" s="1" t="s">
        <v>476</v>
      </c>
      <c r="BP2689" s="1" t="s">
        <v>74</v>
      </c>
      <c r="BQ2689" s="1" t="s">
        <v>74</v>
      </c>
      <c r="BR2689" s="1" t="s">
        <v>98</v>
      </c>
      <c r="BS2689" s="1" t="s">
        <v>42811</v>
      </c>
      <c r="BT2689" s="1" t="str">
        <f>HYPERLINK("https%3A%2F%2Fwww.webofscience.com%2Fwos%2Fwoscc%2Ffull-record%2FWOS:000860760500001","View Full Record in Web of Science")</f>
        <v>View Full Record in Web of Science</v>
      </c>
      <c r="BU2689" s="1"/>
      <c r="BV2689" s="1"/>
    </row>
    <row r="2690" spans="1:74">
      <c r="A2690" s="1" t="s">
        <v>72</v>
      </c>
      <c r="B2690" s="1" t="s">
        <v>42812</v>
      </c>
      <c r="C2690" s="1" t="s">
        <v>74</v>
      </c>
      <c r="D2690" s="1" t="s">
        <v>74</v>
      </c>
      <c r="E2690" s="1" t="s">
        <v>74</v>
      </c>
      <c r="F2690" s="1" t="s">
        <v>42813</v>
      </c>
      <c r="G2690" s="1" t="s">
        <v>74</v>
      </c>
      <c r="H2690" s="1" t="s">
        <v>74</v>
      </c>
      <c r="I2690" s="1" t="s">
        <v>42814</v>
      </c>
      <c r="J2690" s="1" t="s">
        <v>7097</v>
      </c>
      <c r="K2690" s="1" t="s">
        <v>74</v>
      </c>
      <c r="L2690" s="1" t="s">
        <v>74</v>
      </c>
      <c r="M2690" s="1" t="s">
        <v>78</v>
      </c>
      <c r="N2690" s="1" t="s">
        <v>79</v>
      </c>
      <c r="O2690" s="1" t="s">
        <v>74</v>
      </c>
      <c r="P2690" s="1" t="s">
        <v>74</v>
      </c>
      <c r="Q2690" s="1" t="s">
        <v>74</v>
      </c>
      <c r="R2690" s="1" t="s">
        <v>74</v>
      </c>
      <c r="S2690" s="1" t="s">
        <v>74</v>
      </c>
      <c r="T2690" s="1" t="s">
        <v>42815</v>
      </c>
      <c r="U2690" s="1" t="s">
        <v>42816</v>
      </c>
      <c r="V2690" s="1" t="s">
        <v>42817</v>
      </c>
      <c r="W2690" s="1" t="s">
        <v>42818</v>
      </c>
      <c r="X2690" s="1" t="s">
        <v>42819</v>
      </c>
      <c r="Y2690" s="1" t="s">
        <v>42820</v>
      </c>
      <c r="Z2690" s="1" t="s">
        <v>42821</v>
      </c>
      <c r="AA2690" s="1" t="s">
        <v>42822</v>
      </c>
      <c r="AB2690" s="1" t="s">
        <v>42823</v>
      </c>
      <c r="AC2690" s="1" t="s">
        <v>42824</v>
      </c>
      <c r="AD2690" s="1" t="s">
        <v>42825</v>
      </c>
      <c r="AE2690" s="1" t="s">
        <v>42826</v>
      </c>
      <c r="AF2690" s="1" t="s">
        <v>74</v>
      </c>
      <c r="AG2690" s="1">
        <v>49</v>
      </c>
      <c r="AH2690" s="1">
        <v>63</v>
      </c>
      <c r="AI2690" s="1">
        <v>65</v>
      </c>
      <c r="AJ2690" s="1">
        <v>2</v>
      </c>
      <c r="AK2690" s="1">
        <v>79</v>
      </c>
      <c r="AL2690" s="1" t="s">
        <v>650</v>
      </c>
      <c r="AM2690" s="1" t="s">
        <v>651</v>
      </c>
      <c r="AN2690" s="1" t="s">
        <v>652</v>
      </c>
      <c r="AO2690" s="1" t="s">
        <v>7110</v>
      </c>
      <c r="AP2690" s="1" t="s">
        <v>7111</v>
      </c>
      <c r="AQ2690" s="1" t="s">
        <v>74</v>
      </c>
      <c r="AR2690" s="1" t="s">
        <v>7112</v>
      </c>
      <c r="AS2690" s="1" t="s">
        <v>7113</v>
      </c>
      <c r="AT2690" s="1" t="s">
        <v>267</v>
      </c>
      <c r="AU2690" s="1">
        <v>2015</v>
      </c>
      <c r="AV2690" s="1">
        <v>57</v>
      </c>
      <c r="AW2690" s="1" t="s">
        <v>74</v>
      </c>
      <c r="AX2690" s="1" t="s">
        <v>74</v>
      </c>
      <c r="AY2690" s="1" t="s">
        <v>74</v>
      </c>
      <c r="AZ2690" s="1" t="s">
        <v>74</v>
      </c>
      <c r="BA2690" s="1" t="s">
        <v>74</v>
      </c>
      <c r="BB2690" s="1">
        <v>384</v>
      </c>
      <c r="BC2690" s="1">
        <v>394</v>
      </c>
      <c r="BD2690" s="1" t="s">
        <v>74</v>
      </c>
      <c r="BE2690" s="1" t="s">
        <v>42827</v>
      </c>
      <c r="BF2690" s="1" t="str">
        <f>HYPERLINK("http://dx.doi.org/10.1016/j.ecolind.2015.05.002","http://dx.doi.org/10.1016/j.ecolind.2015.05.002")</f>
        <v>http://dx.doi.org/10.1016/j.ecolind.2015.05.002</v>
      </c>
      <c r="BG2690" s="1" t="s">
        <v>74</v>
      </c>
      <c r="BH2690" s="1" t="s">
        <v>74</v>
      </c>
      <c r="BI2690" s="1">
        <v>11</v>
      </c>
      <c r="BJ2690" s="1" t="s">
        <v>4923</v>
      </c>
      <c r="BK2690" s="1" t="s">
        <v>96</v>
      </c>
      <c r="BL2690" s="1" t="s">
        <v>4924</v>
      </c>
      <c r="BM2690" s="1" t="s">
        <v>42828</v>
      </c>
      <c r="BN2690" s="1" t="s">
        <v>74</v>
      </c>
      <c r="BO2690" s="1" t="s">
        <v>74</v>
      </c>
      <c r="BP2690" s="1" t="s">
        <v>74</v>
      </c>
      <c r="BQ2690" s="1" t="s">
        <v>74</v>
      </c>
      <c r="BR2690" s="1" t="s">
        <v>98</v>
      </c>
      <c r="BS2690" s="1" t="s">
        <v>42829</v>
      </c>
      <c r="BT2690" s="1" t="str">
        <f>HYPERLINK("https%3A%2F%2Fwww.webofscience.com%2Fwos%2Fwoscc%2Ffull-record%2FWOS:000358091800044","View Full Record in Web of Science")</f>
        <v>View Full Record in Web of Science</v>
      </c>
      <c r="BU2690" s="1"/>
      <c r="BV2690" s="1"/>
    </row>
    <row r="2691" spans="1:74">
      <c r="A2691" s="1" t="s">
        <v>72</v>
      </c>
      <c r="B2691" s="1" t="s">
        <v>42830</v>
      </c>
      <c r="C2691" s="1" t="s">
        <v>74</v>
      </c>
      <c r="D2691" s="1" t="s">
        <v>74</v>
      </c>
      <c r="E2691" s="1" t="s">
        <v>74</v>
      </c>
      <c r="F2691" s="1" t="s">
        <v>42831</v>
      </c>
      <c r="G2691" s="1" t="s">
        <v>74</v>
      </c>
      <c r="H2691" s="1" t="s">
        <v>74</v>
      </c>
      <c r="I2691" s="1" t="s">
        <v>42832</v>
      </c>
      <c r="J2691" s="1" t="s">
        <v>909</v>
      </c>
      <c r="K2691" s="1" t="s">
        <v>74</v>
      </c>
      <c r="L2691" s="1" t="s">
        <v>74</v>
      </c>
      <c r="M2691" s="1" t="s">
        <v>78</v>
      </c>
      <c r="N2691" s="1" t="s">
        <v>79</v>
      </c>
      <c r="O2691" s="1" t="s">
        <v>74</v>
      </c>
      <c r="P2691" s="1" t="s">
        <v>74</v>
      </c>
      <c r="Q2691" s="1" t="s">
        <v>74</v>
      </c>
      <c r="R2691" s="1" t="s">
        <v>74</v>
      </c>
      <c r="S2691" s="1" t="s">
        <v>74</v>
      </c>
      <c r="T2691" s="1" t="s">
        <v>42833</v>
      </c>
      <c r="U2691" s="1" t="s">
        <v>42834</v>
      </c>
      <c r="V2691" s="1" t="s">
        <v>42835</v>
      </c>
      <c r="W2691" s="1" t="s">
        <v>42836</v>
      </c>
      <c r="X2691" s="1" t="s">
        <v>42837</v>
      </c>
      <c r="Y2691" s="1" t="s">
        <v>42838</v>
      </c>
      <c r="Z2691" s="1" t="s">
        <v>42839</v>
      </c>
      <c r="AA2691" s="1" t="s">
        <v>42840</v>
      </c>
      <c r="AB2691" s="1" t="s">
        <v>42841</v>
      </c>
      <c r="AC2691" s="1" t="s">
        <v>42842</v>
      </c>
      <c r="AD2691" s="1" t="s">
        <v>42843</v>
      </c>
      <c r="AE2691" s="1" t="s">
        <v>42844</v>
      </c>
      <c r="AF2691" s="1" t="s">
        <v>74</v>
      </c>
      <c r="AG2691" s="1">
        <v>88</v>
      </c>
      <c r="AH2691" s="1">
        <v>42</v>
      </c>
      <c r="AI2691" s="1">
        <v>42</v>
      </c>
      <c r="AJ2691" s="1">
        <v>7</v>
      </c>
      <c r="AK2691" s="1">
        <v>125</v>
      </c>
      <c r="AL2691" s="1" t="s">
        <v>650</v>
      </c>
      <c r="AM2691" s="1" t="s">
        <v>651</v>
      </c>
      <c r="AN2691" s="1" t="s">
        <v>652</v>
      </c>
      <c r="AO2691" s="1" t="s">
        <v>921</v>
      </c>
      <c r="AP2691" s="1" t="s">
        <v>922</v>
      </c>
      <c r="AQ2691" s="1" t="s">
        <v>74</v>
      </c>
      <c r="AR2691" s="1" t="s">
        <v>923</v>
      </c>
      <c r="AS2691" s="1" t="s">
        <v>924</v>
      </c>
      <c r="AT2691" s="1" t="s">
        <v>5237</v>
      </c>
      <c r="AU2691" s="1">
        <v>2021</v>
      </c>
      <c r="AV2691" s="1">
        <v>756</v>
      </c>
      <c r="AW2691" s="1" t="s">
        <v>74</v>
      </c>
      <c r="AX2691" s="1" t="s">
        <v>74</v>
      </c>
      <c r="AY2691" s="1" t="s">
        <v>74</v>
      </c>
      <c r="AZ2691" s="1" t="s">
        <v>74</v>
      </c>
      <c r="BA2691" s="1" t="s">
        <v>74</v>
      </c>
      <c r="BB2691" s="1" t="s">
        <v>74</v>
      </c>
      <c r="BC2691" s="1" t="s">
        <v>74</v>
      </c>
      <c r="BD2691" s="1">
        <v>144073</v>
      </c>
      <c r="BE2691" s="1" t="s">
        <v>42845</v>
      </c>
      <c r="BF2691" s="1" t="str">
        <f>HYPERLINK("http://dx.doi.org/10.1016/j.scitotenv.2020.144073","http://dx.doi.org/10.1016/j.scitotenv.2020.144073")</f>
        <v>http://dx.doi.org/10.1016/j.scitotenv.2020.144073</v>
      </c>
      <c r="BG2691" s="1" t="s">
        <v>74</v>
      </c>
      <c r="BH2691" s="1" t="s">
        <v>74</v>
      </c>
      <c r="BI2691" s="1">
        <v>12</v>
      </c>
      <c r="BJ2691" s="1" t="s">
        <v>144</v>
      </c>
      <c r="BK2691" s="1" t="s">
        <v>96</v>
      </c>
      <c r="BL2691" s="1" t="s">
        <v>145</v>
      </c>
      <c r="BM2691" s="1" t="s">
        <v>42846</v>
      </c>
      <c r="BN2691" s="1">
        <v>33279200</v>
      </c>
      <c r="BO2691" s="1" t="s">
        <v>810</v>
      </c>
      <c r="BP2691" s="1" t="s">
        <v>74</v>
      </c>
      <c r="BQ2691" s="1" t="s">
        <v>74</v>
      </c>
      <c r="BR2691" s="1" t="s">
        <v>98</v>
      </c>
      <c r="BS2691" s="1" t="s">
        <v>42847</v>
      </c>
      <c r="BT2691" s="1" t="str">
        <f>HYPERLINK("https%3A%2F%2Fwww.webofscience.com%2Fwos%2Fwoscc%2Ffull-record%2FWOS:000603487500120","View Full Record in Web of Science")</f>
        <v>View Full Record in Web of Science</v>
      </c>
      <c r="BU2691" s="1"/>
      <c r="BV2691" s="1"/>
    </row>
    <row r="2692" spans="1:74">
      <c r="A2692" s="1" t="s">
        <v>72</v>
      </c>
      <c r="B2692" s="1" t="s">
        <v>42848</v>
      </c>
      <c r="C2692" s="1" t="s">
        <v>74</v>
      </c>
      <c r="D2692" s="1" t="s">
        <v>74</v>
      </c>
      <c r="E2692" s="1" t="s">
        <v>74</v>
      </c>
      <c r="F2692" s="1" t="s">
        <v>42849</v>
      </c>
      <c r="G2692" s="1" t="s">
        <v>74</v>
      </c>
      <c r="H2692" s="1" t="s">
        <v>74</v>
      </c>
      <c r="I2692" s="1" t="s">
        <v>42850</v>
      </c>
      <c r="J2692" s="1" t="s">
        <v>7369</v>
      </c>
      <c r="K2692" s="1" t="s">
        <v>74</v>
      </c>
      <c r="L2692" s="1" t="s">
        <v>74</v>
      </c>
      <c r="M2692" s="1" t="s">
        <v>78</v>
      </c>
      <c r="N2692" s="1" t="s">
        <v>79</v>
      </c>
      <c r="O2692" s="1" t="s">
        <v>74</v>
      </c>
      <c r="P2692" s="1" t="s">
        <v>74</v>
      </c>
      <c r="Q2692" s="1" t="s">
        <v>74</v>
      </c>
      <c r="R2692" s="1" t="s">
        <v>74</v>
      </c>
      <c r="S2692" s="1" t="s">
        <v>74</v>
      </c>
      <c r="T2692" s="1" t="s">
        <v>42851</v>
      </c>
      <c r="U2692" s="1" t="s">
        <v>42852</v>
      </c>
      <c r="V2692" s="1" t="s">
        <v>42853</v>
      </c>
      <c r="W2692" s="1" t="s">
        <v>42854</v>
      </c>
      <c r="X2692" s="1" t="s">
        <v>42855</v>
      </c>
      <c r="Y2692" s="1" t="s">
        <v>42856</v>
      </c>
      <c r="Z2692" s="1" t="s">
        <v>42857</v>
      </c>
      <c r="AA2692" s="1" t="s">
        <v>42858</v>
      </c>
      <c r="AB2692" s="1" t="s">
        <v>42859</v>
      </c>
      <c r="AC2692" s="1" t="s">
        <v>42860</v>
      </c>
      <c r="AD2692" s="1" t="s">
        <v>42860</v>
      </c>
      <c r="AE2692" s="1" t="s">
        <v>42861</v>
      </c>
      <c r="AF2692" s="1" t="s">
        <v>74</v>
      </c>
      <c r="AG2692" s="1">
        <v>31</v>
      </c>
      <c r="AH2692" s="1">
        <v>12</v>
      </c>
      <c r="AI2692" s="1">
        <v>12</v>
      </c>
      <c r="AJ2692" s="1">
        <v>4</v>
      </c>
      <c r="AK2692" s="1">
        <v>33</v>
      </c>
      <c r="AL2692" s="1" t="s">
        <v>1566</v>
      </c>
      <c r="AM2692" s="1" t="s">
        <v>1567</v>
      </c>
      <c r="AN2692" s="1" t="s">
        <v>1568</v>
      </c>
      <c r="AO2692" s="1" t="s">
        <v>74</v>
      </c>
      <c r="AP2692" s="1" t="s">
        <v>7378</v>
      </c>
      <c r="AQ2692" s="1" t="s">
        <v>74</v>
      </c>
      <c r="AR2692" s="1" t="s">
        <v>7369</v>
      </c>
      <c r="AS2692" s="1" t="s">
        <v>7379</v>
      </c>
      <c r="AT2692" s="1" t="s">
        <v>224</v>
      </c>
      <c r="AU2692" s="1">
        <v>2022</v>
      </c>
      <c r="AV2692" s="1">
        <v>11</v>
      </c>
      <c r="AW2692" s="1">
        <v>2</v>
      </c>
      <c r="AX2692" s="1" t="s">
        <v>74</v>
      </c>
      <c r="AY2692" s="1" t="s">
        <v>74</v>
      </c>
      <c r="AZ2692" s="1" t="s">
        <v>74</v>
      </c>
      <c r="BA2692" s="1" t="s">
        <v>74</v>
      </c>
      <c r="BB2692" s="1" t="s">
        <v>74</v>
      </c>
      <c r="BC2692" s="1" t="s">
        <v>74</v>
      </c>
      <c r="BD2692" s="1">
        <v>334</v>
      </c>
      <c r="BE2692" s="1" t="s">
        <v>42862</v>
      </c>
      <c r="BF2692" s="1" t="str">
        <f>HYPERLINK("http://dx.doi.org/10.3390/biology11020334","http://dx.doi.org/10.3390/biology11020334")</f>
        <v>http://dx.doi.org/10.3390/biology11020334</v>
      </c>
      <c r="BG2692" s="1" t="s">
        <v>74</v>
      </c>
      <c r="BH2692" s="1" t="s">
        <v>74</v>
      </c>
      <c r="BI2692" s="1">
        <v>12</v>
      </c>
      <c r="BJ2692" s="1" t="s">
        <v>171</v>
      </c>
      <c r="BK2692" s="1" t="s">
        <v>96</v>
      </c>
      <c r="BL2692" s="1" t="s">
        <v>173</v>
      </c>
      <c r="BM2692" s="1" t="s">
        <v>42863</v>
      </c>
      <c r="BN2692" s="1">
        <v>35205200</v>
      </c>
      <c r="BO2692" s="1" t="s">
        <v>550</v>
      </c>
      <c r="BP2692" s="1" t="s">
        <v>74</v>
      </c>
      <c r="BQ2692" s="1" t="s">
        <v>74</v>
      </c>
      <c r="BR2692" s="1" t="s">
        <v>98</v>
      </c>
      <c r="BS2692" s="1" t="s">
        <v>42864</v>
      </c>
      <c r="BT2692" s="1" t="str">
        <f>HYPERLINK("https%3A%2F%2Fwww.webofscience.com%2Fwos%2Fwoscc%2Ffull-record%2FWOS:000770662900001","View Full Record in Web of Science")</f>
        <v>View Full Record in Web of Science</v>
      </c>
      <c r="BU2692" s="1"/>
      <c r="BV2692" s="1"/>
    </row>
    <row r="2693" spans="1:74">
      <c r="A2693" s="1" t="s">
        <v>72</v>
      </c>
      <c r="B2693" s="1" t="s">
        <v>42865</v>
      </c>
      <c r="C2693" s="1" t="s">
        <v>74</v>
      </c>
      <c r="D2693" s="1" t="s">
        <v>74</v>
      </c>
      <c r="E2693" s="1" t="s">
        <v>74</v>
      </c>
      <c r="F2693" s="1" t="s">
        <v>42866</v>
      </c>
      <c r="G2693" s="1" t="s">
        <v>74</v>
      </c>
      <c r="H2693" s="1" t="s">
        <v>74</v>
      </c>
      <c r="I2693" s="1" t="s">
        <v>42867</v>
      </c>
      <c r="J2693" s="1" t="s">
        <v>232</v>
      </c>
      <c r="K2693" s="1" t="s">
        <v>74</v>
      </c>
      <c r="L2693" s="1" t="s">
        <v>74</v>
      </c>
      <c r="M2693" s="1" t="s">
        <v>78</v>
      </c>
      <c r="N2693" s="1" t="s">
        <v>79</v>
      </c>
      <c r="O2693" s="1" t="s">
        <v>74</v>
      </c>
      <c r="P2693" s="1" t="s">
        <v>74</v>
      </c>
      <c r="Q2693" s="1" t="s">
        <v>74</v>
      </c>
      <c r="R2693" s="1" t="s">
        <v>74</v>
      </c>
      <c r="S2693" s="1" t="s">
        <v>74</v>
      </c>
      <c r="T2693" s="1" t="s">
        <v>42868</v>
      </c>
      <c r="U2693" s="1" t="s">
        <v>42869</v>
      </c>
      <c r="V2693" s="1" t="s">
        <v>42870</v>
      </c>
      <c r="W2693" s="1" t="s">
        <v>42871</v>
      </c>
      <c r="X2693" s="1" t="s">
        <v>42872</v>
      </c>
      <c r="Y2693" s="1" t="s">
        <v>42873</v>
      </c>
      <c r="Z2693" s="1" t="s">
        <v>42874</v>
      </c>
      <c r="AA2693" s="1" t="s">
        <v>42875</v>
      </c>
      <c r="AB2693" s="1" t="s">
        <v>74</v>
      </c>
      <c r="AC2693" s="1" t="s">
        <v>42876</v>
      </c>
      <c r="AD2693" s="1" t="s">
        <v>42877</v>
      </c>
      <c r="AE2693" s="1" t="s">
        <v>42878</v>
      </c>
      <c r="AF2693" s="1" t="s">
        <v>74</v>
      </c>
      <c r="AG2693" s="1">
        <v>84</v>
      </c>
      <c r="AH2693" s="1">
        <v>10</v>
      </c>
      <c r="AI2693" s="1">
        <v>10</v>
      </c>
      <c r="AJ2693" s="1">
        <v>8</v>
      </c>
      <c r="AK2693" s="1">
        <v>21</v>
      </c>
      <c r="AL2693" s="1" t="s">
        <v>136</v>
      </c>
      <c r="AM2693" s="1" t="s">
        <v>137</v>
      </c>
      <c r="AN2693" s="1" t="s">
        <v>138</v>
      </c>
      <c r="AO2693" s="1" t="s">
        <v>240</v>
      </c>
      <c r="AP2693" s="1" t="s">
        <v>241</v>
      </c>
      <c r="AQ2693" s="1" t="s">
        <v>74</v>
      </c>
      <c r="AR2693" s="1" t="s">
        <v>242</v>
      </c>
      <c r="AS2693" s="1" t="s">
        <v>243</v>
      </c>
      <c r="AT2693" s="1" t="s">
        <v>119</v>
      </c>
      <c r="AU2693" s="1">
        <v>2022</v>
      </c>
      <c r="AV2693" s="1">
        <v>181</v>
      </c>
      <c r="AW2693" s="1" t="s">
        <v>74</v>
      </c>
      <c r="AX2693" s="1" t="s">
        <v>74</v>
      </c>
      <c r="AY2693" s="1" t="s">
        <v>74</v>
      </c>
      <c r="AZ2693" s="1" t="s">
        <v>74</v>
      </c>
      <c r="BA2693" s="1" t="s">
        <v>74</v>
      </c>
      <c r="BB2693" s="1" t="s">
        <v>74</v>
      </c>
      <c r="BC2693" s="1" t="s">
        <v>74</v>
      </c>
      <c r="BD2693" s="1">
        <v>113846</v>
      </c>
      <c r="BE2693" s="1" t="s">
        <v>42879</v>
      </c>
      <c r="BF2693" s="1" t="str">
        <f>HYPERLINK("http://dx.doi.org/10.1016/j.marpolbul.2022.113846","http://dx.doi.org/10.1016/j.marpolbul.2022.113846")</f>
        <v>http://dx.doi.org/10.1016/j.marpolbul.2022.113846</v>
      </c>
      <c r="BG2693" s="1" t="s">
        <v>74</v>
      </c>
      <c r="BH2693" s="1" t="s">
        <v>74</v>
      </c>
      <c r="BI2693" s="1">
        <v>12</v>
      </c>
      <c r="BJ2693" s="1" t="s">
        <v>247</v>
      </c>
      <c r="BK2693" s="1" t="s">
        <v>96</v>
      </c>
      <c r="BL2693" s="1" t="s">
        <v>248</v>
      </c>
      <c r="BM2693" s="1" t="s">
        <v>42880</v>
      </c>
      <c r="BN2693" s="1">
        <v>35763988</v>
      </c>
      <c r="BO2693" s="1" t="s">
        <v>2744</v>
      </c>
      <c r="BP2693" s="1" t="s">
        <v>74</v>
      </c>
      <c r="BQ2693" s="1" t="s">
        <v>74</v>
      </c>
      <c r="BR2693" s="1" t="s">
        <v>98</v>
      </c>
      <c r="BS2693" s="1" t="s">
        <v>42881</v>
      </c>
      <c r="BT2693" s="1" t="str">
        <f>HYPERLINK("https%3A%2F%2Fwww.webofscience.com%2Fwos%2Fwoscc%2Ffull-record%2FWOS:001044073400004","View Full Record in Web of Science")</f>
        <v>View Full Record in Web of Science</v>
      </c>
      <c r="BU2693" s="1"/>
      <c r="BV2693" s="1"/>
    </row>
    <row r="2694" spans="1:74">
      <c r="A2694" s="1" t="s">
        <v>72</v>
      </c>
      <c r="B2694" s="1" t="s">
        <v>42882</v>
      </c>
      <c r="C2694" s="1" t="s">
        <v>74</v>
      </c>
      <c r="D2694" s="1" t="s">
        <v>74</v>
      </c>
      <c r="E2694" s="1" t="s">
        <v>74</v>
      </c>
      <c r="F2694" s="1" t="s">
        <v>42883</v>
      </c>
      <c r="G2694" s="1" t="s">
        <v>74</v>
      </c>
      <c r="H2694" s="1" t="s">
        <v>74</v>
      </c>
      <c r="I2694" s="1" t="s">
        <v>42884</v>
      </c>
      <c r="J2694" s="1" t="s">
        <v>3349</v>
      </c>
      <c r="K2694" s="1" t="s">
        <v>74</v>
      </c>
      <c r="L2694" s="1" t="s">
        <v>74</v>
      </c>
      <c r="M2694" s="1" t="s">
        <v>78</v>
      </c>
      <c r="N2694" s="1" t="s">
        <v>79</v>
      </c>
      <c r="O2694" s="1" t="s">
        <v>74</v>
      </c>
      <c r="P2694" s="1" t="s">
        <v>74</v>
      </c>
      <c r="Q2694" s="1" t="s">
        <v>74</v>
      </c>
      <c r="R2694" s="1" t="s">
        <v>74</v>
      </c>
      <c r="S2694" s="1" t="s">
        <v>74</v>
      </c>
      <c r="T2694" s="1" t="s">
        <v>42885</v>
      </c>
      <c r="U2694" s="1" t="s">
        <v>42886</v>
      </c>
      <c r="V2694" s="1" t="s">
        <v>42887</v>
      </c>
      <c r="W2694" s="1" t="s">
        <v>42888</v>
      </c>
      <c r="X2694" s="1" t="s">
        <v>42889</v>
      </c>
      <c r="Y2694" s="1" t="s">
        <v>29678</v>
      </c>
      <c r="Z2694" s="1" t="s">
        <v>29679</v>
      </c>
      <c r="AA2694" s="1" t="s">
        <v>74</v>
      </c>
      <c r="AB2694" s="1" t="s">
        <v>42890</v>
      </c>
      <c r="AC2694" s="1" t="s">
        <v>42891</v>
      </c>
      <c r="AD2694" s="1" t="s">
        <v>42892</v>
      </c>
      <c r="AE2694" s="1" t="s">
        <v>42893</v>
      </c>
      <c r="AF2694" s="1" t="s">
        <v>74</v>
      </c>
      <c r="AG2694" s="1">
        <v>78</v>
      </c>
      <c r="AH2694" s="1">
        <v>4</v>
      </c>
      <c r="AI2694" s="1">
        <v>4</v>
      </c>
      <c r="AJ2694" s="1">
        <v>1</v>
      </c>
      <c r="AK2694" s="1">
        <v>18</v>
      </c>
      <c r="AL2694" s="1" t="s">
        <v>3362</v>
      </c>
      <c r="AM2694" s="1" t="s">
        <v>3363</v>
      </c>
      <c r="AN2694" s="1" t="s">
        <v>3364</v>
      </c>
      <c r="AO2694" s="1" t="s">
        <v>3365</v>
      </c>
      <c r="AP2694" s="1" t="s">
        <v>3366</v>
      </c>
      <c r="AQ2694" s="1" t="s">
        <v>74</v>
      </c>
      <c r="AR2694" s="1" t="s">
        <v>3367</v>
      </c>
      <c r="AS2694" s="1" t="s">
        <v>3368</v>
      </c>
      <c r="AT2694" s="1" t="s">
        <v>11873</v>
      </c>
      <c r="AU2694" s="1">
        <v>2021</v>
      </c>
      <c r="AV2694" s="1">
        <v>207</v>
      </c>
      <c r="AW2694" s="1" t="s">
        <v>74</v>
      </c>
      <c r="AX2694" s="1" t="s">
        <v>74</v>
      </c>
      <c r="AY2694" s="1" t="s">
        <v>74</v>
      </c>
      <c r="AZ2694" s="1" t="s">
        <v>74</v>
      </c>
      <c r="BA2694" s="1" t="s">
        <v>74</v>
      </c>
      <c r="BB2694" s="1" t="s">
        <v>74</v>
      </c>
      <c r="BC2694" s="1" t="s">
        <v>74</v>
      </c>
      <c r="BD2694" s="1">
        <v>111549</v>
      </c>
      <c r="BE2694" s="1" t="s">
        <v>42894</v>
      </c>
      <c r="BF2694" s="1" t="str">
        <f>HYPERLINK("http://dx.doi.org/10.1016/j.ecoenv.2020.111549","http://dx.doi.org/10.1016/j.ecoenv.2020.111549")</f>
        <v>http://dx.doi.org/10.1016/j.ecoenv.2020.111549</v>
      </c>
      <c r="BG2694" s="1" t="s">
        <v>74</v>
      </c>
      <c r="BH2694" s="1" t="s">
        <v>74</v>
      </c>
      <c r="BI2694" s="1">
        <v>10</v>
      </c>
      <c r="BJ2694" s="1" t="s">
        <v>121</v>
      </c>
      <c r="BK2694" s="1" t="s">
        <v>96</v>
      </c>
      <c r="BL2694" s="1" t="s">
        <v>122</v>
      </c>
      <c r="BM2694" s="1" t="s">
        <v>42895</v>
      </c>
      <c r="BN2694" s="1">
        <v>33254407</v>
      </c>
      <c r="BO2694" s="1" t="s">
        <v>873</v>
      </c>
      <c r="BP2694" s="1" t="s">
        <v>74</v>
      </c>
      <c r="BQ2694" s="1" t="s">
        <v>74</v>
      </c>
      <c r="BR2694" s="1" t="s">
        <v>98</v>
      </c>
      <c r="BS2694" s="1" t="s">
        <v>42896</v>
      </c>
      <c r="BT2694" s="1" t="str">
        <f>HYPERLINK("https%3A%2F%2Fwww.webofscience.com%2Fwos%2Fwoscc%2Ffull-record%2FWOS:000592462300008","View Full Record in Web of Science")</f>
        <v>View Full Record in Web of Science</v>
      </c>
      <c r="BU2694" s="1"/>
      <c r="BV2694" s="1"/>
    </row>
    <row r="2695" spans="1:74">
      <c r="A2695" s="1" t="s">
        <v>72</v>
      </c>
      <c r="B2695" s="1" t="s">
        <v>42897</v>
      </c>
      <c r="C2695" s="1" t="s">
        <v>74</v>
      </c>
      <c r="D2695" s="1" t="s">
        <v>74</v>
      </c>
      <c r="E2695" s="1" t="s">
        <v>74</v>
      </c>
      <c r="F2695" s="1" t="s">
        <v>42897</v>
      </c>
      <c r="G2695" s="1" t="s">
        <v>74</v>
      </c>
      <c r="H2695" s="1" t="s">
        <v>74</v>
      </c>
      <c r="I2695" s="1" t="s">
        <v>42898</v>
      </c>
      <c r="J2695" s="1" t="s">
        <v>3349</v>
      </c>
      <c r="K2695" s="1" t="s">
        <v>74</v>
      </c>
      <c r="L2695" s="1" t="s">
        <v>74</v>
      </c>
      <c r="M2695" s="1" t="s">
        <v>78</v>
      </c>
      <c r="N2695" s="1" t="s">
        <v>79</v>
      </c>
      <c r="O2695" s="1" t="s">
        <v>74</v>
      </c>
      <c r="P2695" s="1" t="s">
        <v>74</v>
      </c>
      <c r="Q2695" s="1" t="s">
        <v>74</v>
      </c>
      <c r="R2695" s="1" t="s">
        <v>74</v>
      </c>
      <c r="S2695" s="1" t="s">
        <v>74</v>
      </c>
      <c r="T2695" s="1" t="s">
        <v>74</v>
      </c>
      <c r="U2695" s="1" t="s">
        <v>42899</v>
      </c>
      <c r="V2695" s="1" t="s">
        <v>42900</v>
      </c>
      <c r="W2695" s="1" t="s">
        <v>42901</v>
      </c>
      <c r="X2695" s="1" t="s">
        <v>42902</v>
      </c>
      <c r="Y2695" s="1" t="s">
        <v>42903</v>
      </c>
      <c r="Z2695" s="1" t="s">
        <v>74</v>
      </c>
      <c r="AA2695" s="1" t="s">
        <v>23824</v>
      </c>
      <c r="AB2695" s="1" t="s">
        <v>74</v>
      </c>
      <c r="AC2695" s="1" t="s">
        <v>74</v>
      </c>
      <c r="AD2695" s="1" t="s">
        <v>74</v>
      </c>
      <c r="AE2695" s="1" t="s">
        <v>74</v>
      </c>
      <c r="AF2695" s="1" t="s">
        <v>74</v>
      </c>
      <c r="AG2695" s="1">
        <v>29</v>
      </c>
      <c r="AH2695" s="1">
        <v>36</v>
      </c>
      <c r="AI2695" s="1">
        <v>42</v>
      </c>
      <c r="AJ2695" s="1">
        <v>0</v>
      </c>
      <c r="AK2695" s="1">
        <v>20</v>
      </c>
      <c r="AL2695" s="1" t="s">
        <v>24562</v>
      </c>
      <c r="AM2695" s="1" t="s">
        <v>3363</v>
      </c>
      <c r="AN2695" s="1" t="s">
        <v>3364</v>
      </c>
      <c r="AO2695" s="1" t="s">
        <v>3365</v>
      </c>
      <c r="AP2695" s="1" t="s">
        <v>74</v>
      </c>
      <c r="AQ2695" s="1" t="s">
        <v>74</v>
      </c>
      <c r="AR2695" s="1" t="s">
        <v>3367</v>
      </c>
      <c r="AS2695" s="1" t="s">
        <v>3368</v>
      </c>
      <c r="AT2695" s="1" t="s">
        <v>197</v>
      </c>
      <c r="AU2695" s="1">
        <v>1997</v>
      </c>
      <c r="AV2695" s="1">
        <v>38</v>
      </c>
      <c r="AW2695" s="1">
        <v>3</v>
      </c>
      <c r="AX2695" s="1" t="s">
        <v>74</v>
      </c>
      <c r="AY2695" s="1" t="s">
        <v>74</v>
      </c>
      <c r="AZ2695" s="1" t="s">
        <v>74</v>
      </c>
      <c r="BA2695" s="1" t="s">
        <v>74</v>
      </c>
      <c r="BB2695" s="1">
        <v>195</v>
      </c>
      <c r="BC2695" s="1">
        <v>199</v>
      </c>
      <c r="BD2695" s="1" t="s">
        <v>74</v>
      </c>
      <c r="BE2695" s="1" t="s">
        <v>42904</v>
      </c>
      <c r="BF2695" s="1" t="str">
        <f>HYPERLINK("http://dx.doi.org/10.1006/eesa.1997.1575","http://dx.doi.org/10.1006/eesa.1997.1575")</f>
        <v>http://dx.doi.org/10.1006/eesa.1997.1575</v>
      </c>
      <c r="BG2695" s="1" t="s">
        <v>74</v>
      </c>
      <c r="BH2695" s="1" t="s">
        <v>74</v>
      </c>
      <c r="BI2695" s="1">
        <v>5</v>
      </c>
      <c r="BJ2695" s="1" t="s">
        <v>121</v>
      </c>
      <c r="BK2695" s="1" t="s">
        <v>96</v>
      </c>
      <c r="BL2695" s="1" t="s">
        <v>122</v>
      </c>
      <c r="BM2695" s="1" t="s">
        <v>42905</v>
      </c>
      <c r="BN2695" s="1">
        <v>9469868</v>
      </c>
      <c r="BO2695" s="1" t="s">
        <v>74</v>
      </c>
      <c r="BP2695" s="1" t="s">
        <v>74</v>
      </c>
      <c r="BQ2695" s="1" t="s">
        <v>74</v>
      </c>
      <c r="BR2695" s="1" t="s">
        <v>98</v>
      </c>
      <c r="BS2695" s="1" t="s">
        <v>42906</v>
      </c>
      <c r="BT2695" s="1" t="str">
        <f>HYPERLINK("https%3A%2F%2Fwww.webofscience.com%2Fwos%2Fwoscc%2Ffull-record%2FWOS:000071910600004","View Full Record in Web of Science")</f>
        <v>View Full Record in Web of Science</v>
      </c>
      <c r="BU2695" s="1"/>
      <c r="BV2695" s="1"/>
    </row>
    <row r="2696" spans="1:74">
      <c r="A2696" s="1" t="s">
        <v>72</v>
      </c>
      <c r="B2696" s="1" t="s">
        <v>42907</v>
      </c>
      <c r="C2696" s="1" t="s">
        <v>74</v>
      </c>
      <c r="D2696" s="1" t="s">
        <v>74</v>
      </c>
      <c r="E2696" s="1" t="s">
        <v>74</v>
      </c>
      <c r="F2696" s="1" t="s">
        <v>42907</v>
      </c>
      <c r="G2696" s="1" t="s">
        <v>74</v>
      </c>
      <c r="H2696" s="1" t="s">
        <v>74</v>
      </c>
      <c r="I2696" s="1" t="s">
        <v>42908</v>
      </c>
      <c r="J2696" s="1" t="s">
        <v>421</v>
      </c>
      <c r="K2696" s="1" t="s">
        <v>74</v>
      </c>
      <c r="L2696" s="1" t="s">
        <v>74</v>
      </c>
      <c r="M2696" s="1" t="s">
        <v>78</v>
      </c>
      <c r="N2696" s="1" t="s">
        <v>79</v>
      </c>
      <c r="O2696" s="1" t="s">
        <v>74</v>
      </c>
      <c r="P2696" s="1" t="s">
        <v>74</v>
      </c>
      <c r="Q2696" s="1" t="s">
        <v>74</v>
      </c>
      <c r="R2696" s="1" t="s">
        <v>74</v>
      </c>
      <c r="S2696" s="1" t="s">
        <v>74</v>
      </c>
      <c r="T2696" s="1" t="s">
        <v>74</v>
      </c>
      <c r="U2696" s="1" t="s">
        <v>42909</v>
      </c>
      <c r="V2696" s="1" t="s">
        <v>42910</v>
      </c>
      <c r="W2696" s="1" t="s">
        <v>42911</v>
      </c>
      <c r="X2696" s="1" t="s">
        <v>42912</v>
      </c>
      <c r="Y2696" s="1" t="s">
        <v>42913</v>
      </c>
      <c r="Z2696" s="1" t="s">
        <v>74</v>
      </c>
      <c r="AA2696" s="1" t="s">
        <v>74</v>
      </c>
      <c r="AB2696" s="1" t="s">
        <v>74</v>
      </c>
      <c r="AC2696" s="1" t="s">
        <v>74</v>
      </c>
      <c r="AD2696" s="1" t="s">
        <v>74</v>
      </c>
      <c r="AE2696" s="1" t="s">
        <v>74</v>
      </c>
      <c r="AF2696" s="1" t="s">
        <v>74</v>
      </c>
      <c r="AG2696" s="1">
        <v>28</v>
      </c>
      <c r="AH2696" s="1">
        <v>45</v>
      </c>
      <c r="AI2696" s="1">
        <v>51</v>
      </c>
      <c r="AJ2696" s="1">
        <v>1</v>
      </c>
      <c r="AK2696" s="1">
        <v>10</v>
      </c>
      <c r="AL2696" s="1" t="s">
        <v>430</v>
      </c>
      <c r="AM2696" s="1" t="s">
        <v>137</v>
      </c>
      <c r="AN2696" s="1" t="s">
        <v>431</v>
      </c>
      <c r="AO2696" s="1" t="s">
        <v>432</v>
      </c>
      <c r="AP2696" s="1" t="s">
        <v>74</v>
      </c>
      <c r="AQ2696" s="1" t="s">
        <v>74</v>
      </c>
      <c r="AR2696" s="1" t="s">
        <v>433</v>
      </c>
      <c r="AS2696" s="1" t="s">
        <v>434</v>
      </c>
      <c r="AT2696" s="1" t="s">
        <v>74</v>
      </c>
      <c r="AU2696" s="1">
        <v>2001</v>
      </c>
      <c r="AV2696" s="1">
        <v>115</v>
      </c>
      <c r="AW2696" s="1">
        <v>1</v>
      </c>
      <c r="AX2696" s="1" t="s">
        <v>74</v>
      </c>
      <c r="AY2696" s="1" t="s">
        <v>74</v>
      </c>
      <c r="AZ2696" s="1" t="s">
        <v>74</v>
      </c>
      <c r="BA2696" s="1" t="s">
        <v>74</v>
      </c>
      <c r="BB2696" s="1">
        <v>97</v>
      </c>
      <c r="BC2696" s="1">
        <v>106</v>
      </c>
      <c r="BD2696" s="1" t="s">
        <v>74</v>
      </c>
      <c r="BE2696" s="1" t="s">
        <v>42914</v>
      </c>
      <c r="BF2696" s="1" t="str">
        <f>HYPERLINK("http://dx.doi.org/10.1016/S0269-7491(01)00089-6","http://dx.doi.org/10.1016/S0269-7491(01)00089-6")</f>
        <v>http://dx.doi.org/10.1016/S0269-7491(01)00089-6</v>
      </c>
      <c r="BG2696" s="1" t="s">
        <v>74</v>
      </c>
      <c r="BH2696" s="1" t="s">
        <v>74</v>
      </c>
      <c r="BI2696" s="1">
        <v>10</v>
      </c>
      <c r="BJ2696" s="1" t="s">
        <v>144</v>
      </c>
      <c r="BK2696" s="1" t="s">
        <v>96</v>
      </c>
      <c r="BL2696" s="1" t="s">
        <v>145</v>
      </c>
      <c r="BM2696" s="1" t="s">
        <v>6720</v>
      </c>
      <c r="BN2696" s="1">
        <v>11586778</v>
      </c>
      <c r="BO2696" s="1" t="s">
        <v>74</v>
      </c>
      <c r="BP2696" s="1" t="s">
        <v>74</v>
      </c>
      <c r="BQ2696" s="1" t="s">
        <v>74</v>
      </c>
      <c r="BR2696" s="1" t="s">
        <v>98</v>
      </c>
      <c r="BS2696" s="1" t="s">
        <v>42915</v>
      </c>
      <c r="BT2696" s="1" t="str">
        <f>HYPERLINK("https%3A%2F%2Fwww.webofscience.com%2Fwos%2Fwoscc%2Ffull-record%2FWOS:000171238500011","View Full Record in Web of Science")</f>
        <v>View Full Record in Web of Science</v>
      </c>
      <c r="BU2696" s="1"/>
      <c r="BV2696" s="1"/>
    </row>
    <row r="2697" spans="1:74">
      <c r="A2697" s="1" t="s">
        <v>72</v>
      </c>
      <c r="B2697" s="1" t="s">
        <v>42916</v>
      </c>
      <c r="C2697" s="1" t="s">
        <v>74</v>
      </c>
      <c r="D2697" s="1" t="s">
        <v>74</v>
      </c>
      <c r="E2697" s="1" t="s">
        <v>74</v>
      </c>
      <c r="F2697" s="1" t="s">
        <v>42917</v>
      </c>
      <c r="G2697" s="1" t="s">
        <v>74</v>
      </c>
      <c r="H2697" s="1" t="s">
        <v>74</v>
      </c>
      <c r="I2697" s="1" t="s">
        <v>42918</v>
      </c>
      <c r="J2697" s="1" t="s">
        <v>10300</v>
      </c>
      <c r="K2697" s="1" t="s">
        <v>74</v>
      </c>
      <c r="L2697" s="1" t="s">
        <v>74</v>
      </c>
      <c r="M2697" s="1" t="s">
        <v>78</v>
      </c>
      <c r="N2697" s="1" t="s">
        <v>79</v>
      </c>
      <c r="O2697" s="1" t="s">
        <v>74</v>
      </c>
      <c r="P2697" s="1" t="s">
        <v>74</v>
      </c>
      <c r="Q2697" s="1" t="s">
        <v>74</v>
      </c>
      <c r="R2697" s="1" t="s">
        <v>74</v>
      </c>
      <c r="S2697" s="1" t="s">
        <v>74</v>
      </c>
      <c r="T2697" s="1" t="s">
        <v>42919</v>
      </c>
      <c r="U2697" s="1" t="s">
        <v>42920</v>
      </c>
      <c r="V2697" s="1" t="s">
        <v>42921</v>
      </c>
      <c r="W2697" s="1" t="s">
        <v>42922</v>
      </c>
      <c r="X2697" s="1" t="s">
        <v>42923</v>
      </c>
      <c r="Y2697" s="1" t="s">
        <v>42924</v>
      </c>
      <c r="Z2697" s="1" t="s">
        <v>42925</v>
      </c>
      <c r="AA2697" s="1" t="s">
        <v>42926</v>
      </c>
      <c r="AB2697" s="1" t="s">
        <v>42927</v>
      </c>
      <c r="AC2697" s="1" t="s">
        <v>74</v>
      </c>
      <c r="AD2697" s="1" t="s">
        <v>74</v>
      </c>
      <c r="AE2697" s="1" t="s">
        <v>74</v>
      </c>
      <c r="AF2697" s="1" t="s">
        <v>74</v>
      </c>
      <c r="AG2697" s="1">
        <v>66</v>
      </c>
      <c r="AH2697" s="1">
        <v>14</v>
      </c>
      <c r="AI2697" s="1">
        <v>15</v>
      </c>
      <c r="AJ2697" s="1">
        <v>1</v>
      </c>
      <c r="AK2697" s="1">
        <v>39</v>
      </c>
      <c r="AL2697" s="1" t="s">
        <v>408</v>
      </c>
      <c r="AM2697" s="1" t="s">
        <v>409</v>
      </c>
      <c r="AN2697" s="1" t="s">
        <v>1188</v>
      </c>
      <c r="AO2697" s="1" t="s">
        <v>10312</v>
      </c>
      <c r="AP2697" s="1" t="s">
        <v>10313</v>
      </c>
      <c r="AQ2697" s="1" t="s">
        <v>74</v>
      </c>
      <c r="AR2697" s="1" t="s">
        <v>10314</v>
      </c>
      <c r="AS2697" s="1" t="s">
        <v>10315</v>
      </c>
      <c r="AT2697" s="1" t="s">
        <v>38749</v>
      </c>
      <c r="AU2697" s="1">
        <v>2020</v>
      </c>
      <c r="AV2697" s="1">
        <v>29</v>
      </c>
      <c r="AW2697" s="1">
        <v>5</v>
      </c>
      <c r="AX2697" s="1" t="s">
        <v>74</v>
      </c>
      <c r="AY2697" s="1" t="s">
        <v>74</v>
      </c>
      <c r="AZ2697" s="1" t="s">
        <v>74</v>
      </c>
      <c r="BA2697" s="1" t="s">
        <v>74</v>
      </c>
      <c r="BB2697" s="1">
        <v>569</v>
      </c>
      <c r="BC2697" s="1">
        <v>594</v>
      </c>
      <c r="BD2697" s="1" t="s">
        <v>74</v>
      </c>
      <c r="BE2697" s="1" t="s">
        <v>42928</v>
      </c>
      <c r="BF2697" s="1" t="str">
        <f>HYPERLINK("http://dx.doi.org/10.1080/15320383.2020.1751061","http://dx.doi.org/10.1080/15320383.2020.1751061")</f>
        <v>http://dx.doi.org/10.1080/15320383.2020.1751061</v>
      </c>
      <c r="BG2697" s="1" t="s">
        <v>74</v>
      </c>
      <c r="BH2697" s="1" t="s">
        <v>74</v>
      </c>
      <c r="BI2697" s="1">
        <v>26</v>
      </c>
      <c r="BJ2697" s="1" t="s">
        <v>144</v>
      </c>
      <c r="BK2697" s="1" t="s">
        <v>96</v>
      </c>
      <c r="BL2697" s="1" t="s">
        <v>145</v>
      </c>
      <c r="BM2697" s="1" t="s">
        <v>42929</v>
      </c>
      <c r="BN2697" s="1" t="s">
        <v>74</v>
      </c>
      <c r="BO2697" s="1" t="s">
        <v>74</v>
      </c>
      <c r="BP2697" s="1" t="s">
        <v>74</v>
      </c>
      <c r="BQ2697" s="1" t="s">
        <v>74</v>
      </c>
      <c r="BR2697" s="1" t="s">
        <v>98</v>
      </c>
      <c r="BS2697" s="1" t="s">
        <v>42930</v>
      </c>
      <c r="BT2697" s="1" t="str">
        <f>HYPERLINK("https%3A%2F%2Fwww.webofscience.com%2Fwos%2Fwoscc%2Ffull-record%2FWOS:000532593600008","View Full Record in Web of Science")</f>
        <v>View Full Record in Web of Science</v>
      </c>
      <c r="BU2697" s="1"/>
      <c r="BV2697" s="1"/>
    </row>
    <row r="2698" spans="1:74">
      <c r="A2698" s="1" t="s">
        <v>72</v>
      </c>
      <c r="B2698" s="1" t="s">
        <v>42931</v>
      </c>
      <c r="C2698" s="1" t="s">
        <v>74</v>
      </c>
      <c r="D2698" s="1" t="s">
        <v>74</v>
      </c>
      <c r="E2698" s="1" t="s">
        <v>74</v>
      </c>
      <c r="F2698" s="1" t="s">
        <v>42931</v>
      </c>
      <c r="G2698" s="1" t="s">
        <v>74</v>
      </c>
      <c r="H2698" s="1" t="s">
        <v>74</v>
      </c>
      <c r="I2698" s="1" t="s">
        <v>42932</v>
      </c>
      <c r="J2698" s="1" t="s">
        <v>253</v>
      </c>
      <c r="K2698" s="1" t="s">
        <v>74</v>
      </c>
      <c r="L2698" s="1" t="s">
        <v>74</v>
      </c>
      <c r="M2698" s="1" t="s">
        <v>78</v>
      </c>
      <c r="N2698" s="1" t="s">
        <v>79</v>
      </c>
      <c r="O2698" s="1" t="s">
        <v>74</v>
      </c>
      <c r="P2698" s="1" t="s">
        <v>74</v>
      </c>
      <c r="Q2698" s="1" t="s">
        <v>74</v>
      </c>
      <c r="R2698" s="1" t="s">
        <v>74</v>
      </c>
      <c r="S2698" s="1" t="s">
        <v>74</v>
      </c>
      <c r="T2698" s="1" t="s">
        <v>74</v>
      </c>
      <c r="U2698" s="1" t="s">
        <v>42933</v>
      </c>
      <c r="V2698" s="1" t="s">
        <v>42934</v>
      </c>
      <c r="W2698" s="1" t="s">
        <v>42935</v>
      </c>
      <c r="X2698" s="1" t="s">
        <v>38376</v>
      </c>
      <c r="Y2698" s="1" t="s">
        <v>42936</v>
      </c>
      <c r="Z2698" s="1" t="s">
        <v>42937</v>
      </c>
      <c r="AA2698" s="1" t="s">
        <v>74</v>
      </c>
      <c r="AB2698" s="1" t="s">
        <v>74</v>
      </c>
      <c r="AC2698" s="1" t="s">
        <v>74</v>
      </c>
      <c r="AD2698" s="1" t="s">
        <v>74</v>
      </c>
      <c r="AE2698" s="1" t="s">
        <v>74</v>
      </c>
      <c r="AF2698" s="1" t="s">
        <v>74</v>
      </c>
      <c r="AG2698" s="1">
        <v>13</v>
      </c>
      <c r="AH2698" s="1">
        <v>23</v>
      </c>
      <c r="AI2698" s="1">
        <v>25</v>
      </c>
      <c r="AJ2698" s="1">
        <v>0</v>
      </c>
      <c r="AK2698" s="1">
        <v>20</v>
      </c>
      <c r="AL2698" s="1" t="s">
        <v>261</v>
      </c>
      <c r="AM2698" s="1" t="s">
        <v>262</v>
      </c>
      <c r="AN2698" s="1" t="s">
        <v>19471</v>
      </c>
      <c r="AO2698" s="1" t="s">
        <v>264</v>
      </c>
      <c r="AP2698" s="1" t="s">
        <v>20119</v>
      </c>
      <c r="AQ2698" s="1" t="s">
        <v>74</v>
      </c>
      <c r="AR2698" s="1" t="s">
        <v>265</v>
      </c>
      <c r="AS2698" s="1" t="s">
        <v>266</v>
      </c>
      <c r="AT2698" s="1" t="s">
        <v>93</v>
      </c>
      <c r="AU2698" s="1">
        <v>2002</v>
      </c>
      <c r="AV2698" s="1">
        <v>4</v>
      </c>
      <c r="AW2698" s="1">
        <v>2</v>
      </c>
      <c r="AX2698" s="1" t="s">
        <v>74</v>
      </c>
      <c r="AY2698" s="1" t="s">
        <v>74</v>
      </c>
      <c r="AZ2698" s="1" t="s">
        <v>74</v>
      </c>
      <c r="BA2698" s="1" t="s">
        <v>74</v>
      </c>
      <c r="BB2698" s="1">
        <v>280</v>
      </c>
      <c r="BC2698" s="1">
        <v>283</v>
      </c>
      <c r="BD2698" s="1" t="s">
        <v>74</v>
      </c>
      <c r="BE2698" s="1" t="s">
        <v>42938</v>
      </c>
      <c r="BF2698" s="1" t="str">
        <f>HYPERLINK("http://dx.doi.org/10.1039/b111158b","http://dx.doi.org/10.1039/b111158b")</f>
        <v>http://dx.doi.org/10.1039/b111158b</v>
      </c>
      <c r="BG2698" s="1" t="s">
        <v>74</v>
      </c>
      <c r="BH2698" s="1" t="s">
        <v>74</v>
      </c>
      <c r="BI2698" s="1">
        <v>4</v>
      </c>
      <c r="BJ2698" s="1" t="s">
        <v>269</v>
      </c>
      <c r="BK2698" s="1" t="s">
        <v>96</v>
      </c>
      <c r="BL2698" s="1" t="s">
        <v>270</v>
      </c>
      <c r="BM2698" s="1" t="s">
        <v>42939</v>
      </c>
      <c r="BN2698" s="1">
        <v>11993770</v>
      </c>
      <c r="BO2698" s="1" t="s">
        <v>74</v>
      </c>
      <c r="BP2698" s="1" t="s">
        <v>74</v>
      </c>
      <c r="BQ2698" s="1" t="s">
        <v>74</v>
      </c>
      <c r="BR2698" s="1" t="s">
        <v>98</v>
      </c>
      <c r="BS2698" s="1" t="s">
        <v>42940</v>
      </c>
      <c r="BT2698" s="1" t="str">
        <f>HYPERLINK("https%3A%2F%2Fwww.webofscience.com%2Fwos%2Fwoscc%2Ffull-record%2FWOS:000175145600020","View Full Record in Web of Science")</f>
        <v>View Full Record in Web of Science</v>
      </c>
      <c r="BU2698" s="1"/>
      <c r="BV2698" s="1"/>
    </row>
    <row r="2699" spans="1:74">
      <c r="A2699" s="1" t="s">
        <v>72</v>
      </c>
      <c r="B2699" s="1" t="s">
        <v>42941</v>
      </c>
      <c r="C2699" s="1" t="s">
        <v>74</v>
      </c>
      <c r="D2699" s="1" t="s">
        <v>74</v>
      </c>
      <c r="E2699" s="1" t="s">
        <v>74</v>
      </c>
      <c r="F2699" s="1" t="s">
        <v>42942</v>
      </c>
      <c r="G2699" s="1" t="s">
        <v>74</v>
      </c>
      <c r="H2699" s="1" t="s">
        <v>74</v>
      </c>
      <c r="I2699" s="1" t="s">
        <v>42943</v>
      </c>
      <c r="J2699" s="1" t="s">
        <v>42944</v>
      </c>
      <c r="K2699" s="1" t="s">
        <v>74</v>
      </c>
      <c r="L2699" s="1" t="s">
        <v>74</v>
      </c>
      <c r="M2699" s="1" t="s">
        <v>78</v>
      </c>
      <c r="N2699" s="1" t="s">
        <v>79</v>
      </c>
      <c r="O2699" s="1" t="s">
        <v>74</v>
      </c>
      <c r="P2699" s="1" t="s">
        <v>74</v>
      </c>
      <c r="Q2699" s="1" t="s">
        <v>74</v>
      </c>
      <c r="R2699" s="1" t="s">
        <v>74</v>
      </c>
      <c r="S2699" s="1" t="s">
        <v>74</v>
      </c>
      <c r="T2699" s="1" t="s">
        <v>42945</v>
      </c>
      <c r="U2699" s="1" t="s">
        <v>42946</v>
      </c>
      <c r="V2699" s="1" t="s">
        <v>42947</v>
      </c>
      <c r="W2699" s="1" t="s">
        <v>42948</v>
      </c>
      <c r="X2699" s="1" t="s">
        <v>42949</v>
      </c>
      <c r="Y2699" s="1" t="s">
        <v>42950</v>
      </c>
      <c r="Z2699" s="1" t="s">
        <v>33708</v>
      </c>
      <c r="AA2699" s="1" t="s">
        <v>42951</v>
      </c>
      <c r="AB2699" s="1" t="s">
        <v>42952</v>
      </c>
      <c r="AC2699" s="1" t="s">
        <v>74</v>
      </c>
      <c r="AD2699" s="1" t="s">
        <v>74</v>
      </c>
      <c r="AE2699" s="1" t="s">
        <v>74</v>
      </c>
      <c r="AF2699" s="1" t="s">
        <v>74</v>
      </c>
      <c r="AG2699" s="1">
        <v>55</v>
      </c>
      <c r="AH2699" s="1">
        <v>10</v>
      </c>
      <c r="AI2699" s="1">
        <v>12</v>
      </c>
      <c r="AJ2699" s="1">
        <v>0</v>
      </c>
      <c r="AK2699" s="1">
        <v>2</v>
      </c>
      <c r="AL2699" s="1" t="s">
        <v>919</v>
      </c>
      <c r="AM2699" s="1" t="s">
        <v>651</v>
      </c>
      <c r="AN2699" s="1" t="s">
        <v>920</v>
      </c>
      <c r="AO2699" s="1" t="s">
        <v>42953</v>
      </c>
      <c r="AP2699" s="1" t="s">
        <v>74</v>
      </c>
      <c r="AQ2699" s="1" t="s">
        <v>74</v>
      </c>
      <c r="AR2699" s="1" t="s">
        <v>42944</v>
      </c>
      <c r="AS2699" s="1" t="s">
        <v>42954</v>
      </c>
      <c r="AT2699" s="1" t="s">
        <v>170</v>
      </c>
      <c r="AU2699" s="1">
        <v>2007</v>
      </c>
      <c r="AV2699" s="1">
        <v>28</v>
      </c>
      <c r="AW2699" s="1">
        <v>3</v>
      </c>
      <c r="AX2699" s="1" t="s">
        <v>74</v>
      </c>
      <c r="AY2699" s="1" t="s">
        <v>74</v>
      </c>
      <c r="AZ2699" s="1" t="s">
        <v>74</v>
      </c>
      <c r="BA2699" s="1" t="s">
        <v>74</v>
      </c>
      <c r="BB2699" s="1">
        <v>499</v>
      </c>
      <c r="BC2699" s="1">
        <v>507</v>
      </c>
      <c r="BD2699" s="1" t="s">
        <v>74</v>
      </c>
      <c r="BE2699" s="1" t="s">
        <v>42955</v>
      </c>
      <c r="BF2699" s="1" t="str">
        <f>HYPERLINK("http://dx.doi.org/10.1016/j.neuro.2006.11.003","http://dx.doi.org/10.1016/j.neuro.2006.11.003")</f>
        <v>http://dx.doi.org/10.1016/j.neuro.2006.11.003</v>
      </c>
      <c r="BG2699" s="1" t="s">
        <v>74</v>
      </c>
      <c r="BH2699" s="1" t="s">
        <v>74</v>
      </c>
      <c r="BI2699" s="1">
        <v>9</v>
      </c>
      <c r="BJ2699" s="1" t="s">
        <v>42956</v>
      </c>
      <c r="BK2699" s="1" t="s">
        <v>96</v>
      </c>
      <c r="BL2699" s="1" t="s">
        <v>42957</v>
      </c>
      <c r="BM2699" s="1" t="s">
        <v>42958</v>
      </c>
      <c r="BN2699" s="1">
        <v>17267040</v>
      </c>
      <c r="BO2699" s="1" t="s">
        <v>74</v>
      </c>
      <c r="BP2699" s="1" t="s">
        <v>74</v>
      </c>
      <c r="BQ2699" s="1" t="s">
        <v>74</v>
      </c>
      <c r="BR2699" s="1" t="s">
        <v>98</v>
      </c>
      <c r="BS2699" s="1" t="s">
        <v>42959</v>
      </c>
      <c r="BT2699" s="1" t="str">
        <f>HYPERLINK("https%3A%2F%2Fwww.webofscience.com%2Fwos%2Fwoscc%2Ffull-record%2FWOS:000247808700008","View Full Record in Web of Science")</f>
        <v>View Full Record in Web of Science</v>
      </c>
      <c r="BU2699" s="1"/>
      <c r="BV2699" s="1"/>
    </row>
    <row r="2700" spans="1:74">
      <c r="A2700" s="1" t="s">
        <v>72</v>
      </c>
      <c r="B2700" s="1" t="s">
        <v>42960</v>
      </c>
      <c r="C2700" s="1" t="s">
        <v>74</v>
      </c>
      <c r="D2700" s="1" t="s">
        <v>74</v>
      </c>
      <c r="E2700" s="1" t="s">
        <v>74</v>
      </c>
      <c r="F2700" s="1" t="s">
        <v>42961</v>
      </c>
      <c r="G2700" s="1" t="s">
        <v>74</v>
      </c>
      <c r="H2700" s="1" t="s">
        <v>74</v>
      </c>
      <c r="I2700" s="1" t="s">
        <v>42962</v>
      </c>
      <c r="J2700" s="1" t="s">
        <v>3183</v>
      </c>
      <c r="K2700" s="1" t="s">
        <v>74</v>
      </c>
      <c r="L2700" s="1" t="s">
        <v>74</v>
      </c>
      <c r="M2700" s="1" t="s">
        <v>78</v>
      </c>
      <c r="N2700" s="1" t="s">
        <v>79</v>
      </c>
      <c r="O2700" s="1" t="s">
        <v>74</v>
      </c>
      <c r="P2700" s="1" t="s">
        <v>74</v>
      </c>
      <c r="Q2700" s="1" t="s">
        <v>74</v>
      </c>
      <c r="R2700" s="1" t="s">
        <v>74</v>
      </c>
      <c r="S2700" s="1" t="s">
        <v>74</v>
      </c>
      <c r="T2700" s="1" t="s">
        <v>42963</v>
      </c>
      <c r="U2700" s="1" t="s">
        <v>42964</v>
      </c>
      <c r="V2700" s="1" t="s">
        <v>42965</v>
      </c>
      <c r="W2700" s="1" t="s">
        <v>42966</v>
      </c>
      <c r="X2700" s="1" t="s">
        <v>42967</v>
      </c>
      <c r="Y2700" s="1" t="s">
        <v>42968</v>
      </c>
      <c r="Z2700" s="1" t="s">
        <v>42969</v>
      </c>
      <c r="AA2700" s="1" t="s">
        <v>74</v>
      </c>
      <c r="AB2700" s="1" t="s">
        <v>42970</v>
      </c>
      <c r="AC2700" s="1" t="s">
        <v>42971</v>
      </c>
      <c r="AD2700" s="1" t="s">
        <v>42972</v>
      </c>
      <c r="AE2700" s="1" t="s">
        <v>42973</v>
      </c>
      <c r="AF2700" s="1" t="s">
        <v>74</v>
      </c>
      <c r="AG2700" s="1">
        <v>69</v>
      </c>
      <c r="AH2700" s="1">
        <v>1</v>
      </c>
      <c r="AI2700" s="1">
        <v>1</v>
      </c>
      <c r="AJ2700" s="1">
        <v>0</v>
      </c>
      <c r="AK2700" s="1">
        <v>0</v>
      </c>
      <c r="AL2700" s="1" t="s">
        <v>3196</v>
      </c>
      <c r="AM2700" s="1" t="s">
        <v>262</v>
      </c>
      <c r="AN2700" s="1" t="s">
        <v>3197</v>
      </c>
      <c r="AO2700" s="1" t="s">
        <v>74</v>
      </c>
      <c r="AP2700" s="1" t="s">
        <v>3198</v>
      </c>
      <c r="AQ2700" s="1" t="s">
        <v>74</v>
      </c>
      <c r="AR2700" s="1" t="s">
        <v>3183</v>
      </c>
      <c r="AS2700" s="1" t="s">
        <v>3199</v>
      </c>
      <c r="AT2700" s="1" t="s">
        <v>31682</v>
      </c>
      <c r="AU2700" s="1">
        <v>2024</v>
      </c>
      <c r="AV2700" s="1">
        <v>10</v>
      </c>
      <c r="AW2700" s="1">
        <v>10</v>
      </c>
      <c r="AX2700" s="1" t="s">
        <v>74</v>
      </c>
      <c r="AY2700" s="1" t="s">
        <v>74</v>
      </c>
      <c r="AZ2700" s="1" t="s">
        <v>74</v>
      </c>
      <c r="BA2700" s="1" t="s">
        <v>74</v>
      </c>
      <c r="BB2700" s="1" t="s">
        <v>74</v>
      </c>
      <c r="BC2700" s="1" t="s">
        <v>74</v>
      </c>
      <c r="BD2700" s="1" t="s">
        <v>42974</v>
      </c>
      <c r="BE2700" s="1" t="s">
        <v>42975</v>
      </c>
      <c r="BF2700" s="1" t="str">
        <f>HYPERLINK("http://dx.doi.org/10.1016/j.heliyon.2024.e31087","http://dx.doi.org/10.1016/j.heliyon.2024.e31087")</f>
        <v>http://dx.doi.org/10.1016/j.heliyon.2024.e31087</v>
      </c>
      <c r="BG2700" s="1" t="s">
        <v>74</v>
      </c>
      <c r="BH2700" s="1" t="s">
        <v>74</v>
      </c>
      <c r="BI2700" s="1">
        <v>12</v>
      </c>
      <c r="BJ2700" s="1" t="s">
        <v>3202</v>
      </c>
      <c r="BK2700" s="1" t="s">
        <v>96</v>
      </c>
      <c r="BL2700" s="1" t="s">
        <v>3203</v>
      </c>
      <c r="BM2700" s="1" t="s">
        <v>42976</v>
      </c>
      <c r="BN2700" s="1">
        <v>38826730</v>
      </c>
      <c r="BO2700" s="1" t="s">
        <v>550</v>
      </c>
      <c r="BP2700" s="1" t="s">
        <v>74</v>
      </c>
      <c r="BQ2700" s="1" t="s">
        <v>74</v>
      </c>
      <c r="BR2700" s="1" t="s">
        <v>98</v>
      </c>
      <c r="BS2700" s="1" t="s">
        <v>42977</v>
      </c>
      <c r="BT2700" s="1" t="str">
        <f>HYPERLINK("https%3A%2F%2Fwww.webofscience.com%2Fwos%2Fwoscc%2Ffull-record%2FWOS:001298506500001","View Full Record in Web of Science")</f>
        <v>View Full Record in Web of Science</v>
      </c>
      <c r="BU2700" s="1"/>
      <c r="BV2700" s="1"/>
    </row>
    <row r="2701" spans="1:74">
      <c r="A2701" s="1" t="s">
        <v>72</v>
      </c>
      <c r="B2701" s="1" t="s">
        <v>42978</v>
      </c>
      <c r="C2701" s="1" t="s">
        <v>74</v>
      </c>
      <c r="D2701" s="1" t="s">
        <v>74</v>
      </c>
      <c r="E2701" s="1" t="s">
        <v>74</v>
      </c>
      <c r="F2701" s="1" t="s">
        <v>42979</v>
      </c>
      <c r="G2701" s="1" t="s">
        <v>74</v>
      </c>
      <c r="H2701" s="1" t="s">
        <v>74</v>
      </c>
      <c r="I2701" s="1" t="s">
        <v>42980</v>
      </c>
      <c r="J2701" s="1" t="s">
        <v>5639</v>
      </c>
      <c r="K2701" s="1" t="s">
        <v>74</v>
      </c>
      <c r="L2701" s="1" t="s">
        <v>74</v>
      </c>
      <c r="M2701" s="1" t="s">
        <v>78</v>
      </c>
      <c r="N2701" s="1" t="s">
        <v>79</v>
      </c>
      <c r="O2701" s="1" t="s">
        <v>74</v>
      </c>
      <c r="P2701" s="1" t="s">
        <v>74</v>
      </c>
      <c r="Q2701" s="1" t="s">
        <v>74</v>
      </c>
      <c r="R2701" s="1" t="s">
        <v>74</v>
      </c>
      <c r="S2701" s="1" t="s">
        <v>74</v>
      </c>
      <c r="T2701" s="1" t="s">
        <v>42981</v>
      </c>
      <c r="U2701" s="1" t="s">
        <v>42982</v>
      </c>
      <c r="V2701" s="1" t="s">
        <v>42983</v>
      </c>
      <c r="W2701" s="1" t="s">
        <v>42984</v>
      </c>
      <c r="X2701" s="1" t="s">
        <v>42985</v>
      </c>
      <c r="Y2701" s="1" t="s">
        <v>42986</v>
      </c>
      <c r="Z2701" s="1" t="s">
        <v>40473</v>
      </c>
      <c r="AA2701" s="1" t="s">
        <v>42987</v>
      </c>
      <c r="AB2701" s="1" t="s">
        <v>19790</v>
      </c>
      <c r="AC2701" s="1" t="s">
        <v>74</v>
      </c>
      <c r="AD2701" s="1" t="s">
        <v>74</v>
      </c>
      <c r="AE2701" s="1" t="s">
        <v>74</v>
      </c>
      <c r="AF2701" s="1" t="s">
        <v>74</v>
      </c>
      <c r="AG2701" s="1">
        <v>40</v>
      </c>
      <c r="AH2701" s="1">
        <v>8</v>
      </c>
      <c r="AI2701" s="1">
        <v>10</v>
      </c>
      <c r="AJ2701" s="1">
        <v>0</v>
      </c>
      <c r="AK2701" s="1">
        <v>36</v>
      </c>
      <c r="AL2701" s="1" t="s">
        <v>5644</v>
      </c>
      <c r="AM2701" s="1" t="s">
        <v>5645</v>
      </c>
      <c r="AN2701" s="1" t="s">
        <v>5646</v>
      </c>
      <c r="AO2701" s="1" t="s">
        <v>5647</v>
      </c>
      <c r="AP2701" s="1" t="s">
        <v>5648</v>
      </c>
      <c r="AQ2701" s="1" t="s">
        <v>74</v>
      </c>
      <c r="AR2701" s="1" t="s">
        <v>5649</v>
      </c>
      <c r="AS2701" s="1" t="s">
        <v>5650</v>
      </c>
      <c r="AT2701" s="1" t="s">
        <v>5651</v>
      </c>
      <c r="AU2701" s="1">
        <v>2011</v>
      </c>
      <c r="AV2701" s="1" t="s">
        <v>74</v>
      </c>
      <c r="AW2701" s="1" t="s">
        <v>74</v>
      </c>
      <c r="AX2701" s="1" t="s">
        <v>74</v>
      </c>
      <c r="AY2701" s="1" t="s">
        <v>74</v>
      </c>
      <c r="AZ2701" s="1">
        <v>58</v>
      </c>
      <c r="BA2701" s="1" t="s">
        <v>74</v>
      </c>
      <c r="BB2701" s="1">
        <v>116</v>
      </c>
      <c r="BC2701" s="1">
        <v>120</v>
      </c>
      <c r="BD2701" s="1" t="s">
        <v>74</v>
      </c>
      <c r="BE2701" s="1" t="s">
        <v>42988</v>
      </c>
      <c r="BF2701" s="1" t="str">
        <f>HYPERLINK("http://dx.doi.org/10.2112/SI_58_11","http://dx.doi.org/10.2112/SI_58_11")</f>
        <v>http://dx.doi.org/10.2112/SI_58_11</v>
      </c>
      <c r="BG2701" s="1" t="s">
        <v>74</v>
      </c>
      <c r="BH2701" s="1" t="s">
        <v>74</v>
      </c>
      <c r="BI2701" s="1">
        <v>5</v>
      </c>
      <c r="BJ2701" s="1" t="s">
        <v>5652</v>
      </c>
      <c r="BK2701" s="1" t="s">
        <v>96</v>
      </c>
      <c r="BL2701" s="1" t="s">
        <v>5653</v>
      </c>
      <c r="BM2701" s="1" t="s">
        <v>42989</v>
      </c>
      <c r="BN2701" s="1" t="s">
        <v>74</v>
      </c>
      <c r="BO2701" s="1" t="s">
        <v>74</v>
      </c>
      <c r="BP2701" s="1" t="s">
        <v>74</v>
      </c>
      <c r="BQ2701" s="1" t="s">
        <v>74</v>
      </c>
      <c r="BR2701" s="1" t="s">
        <v>98</v>
      </c>
      <c r="BS2701" s="1" t="s">
        <v>42990</v>
      </c>
      <c r="BT2701" s="1" t="str">
        <f>HYPERLINK("https%3A%2F%2Fwww.webofscience.com%2Fwos%2Fwoscc%2Ffull-record%2FWOS:000286957500011","View Full Record in Web of Science")</f>
        <v>View Full Record in Web of Science</v>
      </c>
      <c r="BU2701" s="1"/>
      <c r="BV2701" s="1"/>
    </row>
    <row r="2702" spans="1:74">
      <c r="A2702" s="1" t="s">
        <v>72</v>
      </c>
      <c r="B2702" s="1" t="s">
        <v>42991</v>
      </c>
      <c r="C2702" s="1" t="s">
        <v>74</v>
      </c>
      <c r="D2702" s="1" t="s">
        <v>74</v>
      </c>
      <c r="E2702" s="1" t="s">
        <v>74</v>
      </c>
      <c r="F2702" s="1" t="s">
        <v>42991</v>
      </c>
      <c r="G2702" s="1" t="s">
        <v>74</v>
      </c>
      <c r="H2702" s="1" t="s">
        <v>74</v>
      </c>
      <c r="I2702" s="1" t="s">
        <v>42992</v>
      </c>
      <c r="J2702" s="1" t="s">
        <v>127</v>
      </c>
      <c r="K2702" s="1" t="s">
        <v>74</v>
      </c>
      <c r="L2702" s="1" t="s">
        <v>74</v>
      </c>
      <c r="M2702" s="1" t="s">
        <v>78</v>
      </c>
      <c r="N2702" s="1" t="s">
        <v>79</v>
      </c>
      <c r="O2702" s="1" t="s">
        <v>74</v>
      </c>
      <c r="P2702" s="1" t="s">
        <v>74</v>
      </c>
      <c r="Q2702" s="1" t="s">
        <v>74</v>
      </c>
      <c r="R2702" s="1" t="s">
        <v>74</v>
      </c>
      <c r="S2702" s="1" t="s">
        <v>74</v>
      </c>
      <c r="T2702" s="1" t="s">
        <v>42993</v>
      </c>
      <c r="U2702" s="1" t="s">
        <v>42994</v>
      </c>
      <c r="V2702" s="1" t="s">
        <v>42995</v>
      </c>
      <c r="W2702" s="1" t="s">
        <v>42996</v>
      </c>
      <c r="X2702" s="1" t="s">
        <v>42997</v>
      </c>
      <c r="Y2702" s="1" t="s">
        <v>42998</v>
      </c>
      <c r="Z2702" s="1" t="s">
        <v>74</v>
      </c>
      <c r="AA2702" s="1" t="s">
        <v>42999</v>
      </c>
      <c r="AB2702" s="1" t="s">
        <v>43000</v>
      </c>
      <c r="AC2702" s="1" t="s">
        <v>74</v>
      </c>
      <c r="AD2702" s="1" t="s">
        <v>74</v>
      </c>
      <c r="AE2702" s="1" t="s">
        <v>74</v>
      </c>
      <c r="AF2702" s="1" t="s">
        <v>74</v>
      </c>
      <c r="AG2702" s="1">
        <v>66</v>
      </c>
      <c r="AH2702" s="1">
        <v>95</v>
      </c>
      <c r="AI2702" s="1">
        <v>101</v>
      </c>
      <c r="AJ2702" s="1">
        <v>1</v>
      </c>
      <c r="AK2702" s="1">
        <v>27</v>
      </c>
      <c r="AL2702" s="1" t="s">
        <v>136</v>
      </c>
      <c r="AM2702" s="1" t="s">
        <v>137</v>
      </c>
      <c r="AN2702" s="1" t="s">
        <v>138</v>
      </c>
      <c r="AO2702" s="1" t="s">
        <v>139</v>
      </c>
      <c r="AP2702" s="1" t="s">
        <v>74</v>
      </c>
      <c r="AQ2702" s="1" t="s">
        <v>74</v>
      </c>
      <c r="AR2702" s="1" t="s">
        <v>127</v>
      </c>
      <c r="AS2702" s="1" t="s">
        <v>141</v>
      </c>
      <c r="AT2702" s="1" t="s">
        <v>119</v>
      </c>
      <c r="AU2702" s="1">
        <v>2003</v>
      </c>
      <c r="AV2702" s="1">
        <v>52</v>
      </c>
      <c r="AW2702" s="1">
        <v>7</v>
      </c>
      <c r="AX2702" s="1" t="s">
        <v>74</v>
      </c>
      <c r="AY2702" s="1" t="s">
        <v>74</v>
      </c>
      <c r="AZ2702" s="1" t="s">
        <v>74</v>
      </c>
      <c r="BA2702" s="1" t="s">
        <v>74</v>
      </c>
      <c r="BB2702" s="1">
        <v>1209</v>
      </c>
      <c r="BC2702" s="1">
        <v>1224</v>
      </c>
      <c r="BD2702" s="1" t="s">
        <v>74</v>
      </c>
      <c r="BE2702" s="1" t="s">
        <v>43001</v>
      </c>
      <c r="BF2702" s="1" t="str">
        <f>HYPERLINK("http://dx.doi.org/10.1016/S0045-6535(03)00364-3","http://dx.doi.org/10.1016/S0045-6535(03)00364-3")</f>
        <v>http://dx.doi.org/10.1016/S0045-6535(03)00364-3</v>
      </c>
      <c r="BG2702" s="1" t="s">
        <v>74</v>
      </c>
      <c r="BH2702" s="1" t="s">
        <v>74</v>
      </c>
      <c r="BI2702" s="1">
        <v>16</v>
      </c>
      <c r="BJ2702" s="1" t="s">
        <v>144</v>
      </c>
      <c r="BK2702" s="1" t="s">
        <v>96</v>
      </c>
      <c r="BL2702" s="1" t="s">
        <v>145</v>
      </c>
      <c r="BM2702" s="1" t="s">
        <v>21964</v>
      </c>
      <c r="BN2702" s="1">
        <v>12821002</v>
      </c>
      <c r="BO2702" s="1" t="s">
        <v>74</v>
      </c>
      <c r="BP2702" s="1" t="s">
        <v>74</v>
      </c>
      <c r="BQ2702" s="1" t="s">
        <v>74</v>
      </c>
      <c r="BR2702" s="1" t="s">
        <v>98</v>
      </c>
      <c r="BS2702" s="1" t="s">
        <v>43002</v>
      </c>
      <c r="BT2702" s="1" t="str">
        <f>HYPERLINK("https%3A%2F%2Fwww.webofscience.com%2Fwos%2Fwoscc%2Ffull-record%2FWOS:000183945500013","View Full Record in Web of Science")</f>
        <v>View Full Record in Web of Science</v>
      </c>
      <c r="BU2702" s="1"/>
      <c r="BV2702" s="1"/>
    </row>
    <row r="2703" spans="1:74">
      <c r="A2703" s="1" t="s">
        <v>72</v>
      </c>
      <c r="B2703" s="1" t="s">
        <v>43003</v>
      </c>
      <c r="C2703" s="1" t="s">
        <v>74</v>
      </c>
      <c r="D2703" s="1" t="s">
        <v>74</v>
      </c>
      <c r="E2703" s="1" t="s">
        <v>74</v>
      </c>
      <c r="F2703" s="1" t="s">
        <v>43004</v>
      </c>
      <c r="G2703" s="1" t="s">
        <v>74</v>
      </c>
      <c r="H2703" s="1" t="s">
        <v>74</v>
      </c>
      <c r="I2703" s="1" t="s">
        <v>43005</v>
      </c>
      <c r="J2703" s="1" t="s">
        <v>232</v>
      </c>
      <c r="K2703" s="1" t="s">
        <v>74</v>
      </c>
      <c r="L2703" s="1" t="s">
        <v>74</v>
      </c>
      <c r="M2703" s="1" t="s">
        <v>78</v>
      </c>
      <c r="N2703" s="1" t="s">
        <v>79</v>
      </c>
      <c r="O2703" s="1" t="s">
        <v>74</v>
      </c>
      <c r="P2703" s="1" t="s">
        <v>74</v>
      </c>
      <c r="Q2703" s="1" t="s">
        <v>74</v>
      </c>
      <c r="R2703" s="1" t="s">
        <v>74</v>
      </c>
      <c r="S2703" s="1" t="s">
        <v>74</v>
      </c>
      <c r="T2703" s="1" t="s">
        <v>43006</v>
      </c>
      <c r="U2703" s="1" t="s">
        <v>43007</v>
      </c>
      <c r="V2703" s="1" t="s">
        <v>43008</v>
      </c>
      <c r="W2703" s="1" t="s">
        <v>43009</v>
      </c>
      <c r="X2703" s="1" t="s">
        <v>12585</v>
      </c>
      <c r="Y2703" s="1" t="s">
        <v>9287</v>
      </c>
      <c r="Z2703" s="1" t="s">
        <v>9288</v>
      </c>
      <c r="AA2703" s="1" t="s">
        <v>43010</v>
      </c>
      <c r="AB2703" s="1" t="s">
        <v>43011</v>
      </c>
      <c r="AC2703" s="1" t="s">
        <v>43012</v>
      </c>
      <c r="AD2703" s="1" t="s">
        <v>43013</v>
      </c>
      <c r="AE2703" s="1" t="s">
        <v>43014</v>
      </c>
      <c r="AF2703" s="1" t="s">
        <v>74</v>
      </c>
      <c r="AG2703" s="1">
        <v>100</v>
      </c>
      <c r="AH2703" s="1">
        <v>10</v>
      </c>
      <c r="AI2703" s="1">
        <v>10</v>
      </c>
      <c r="AJ2703" s="1">
        <v>1</v>
      </c>
      <c r="AK2703" s="1">
        <v>9</v>
      </c>
      <c r="AL2703" s="1" t="s">
        <v>136</v>
      </c>
      <c r="AM2703" s="1" t="s">
        <v>137</v>
      </c>
      <c r="AN2703" s="1" t="s">
        <v>138</v>
      </c>
      <c r="AO2703" s="1" t="s">
        <v>240</v>
      </c>
      <c r="AP2703" s="1" t="s">
        <v>241</v>
      </c>
      <c r="AQ2703" s="1" t="s">
        <v>74</v>
      </c>
      <c r="AR2703" s="1" t="s">
        <v>242</v>
      </c>
      <c r="AS2703" s="1" t="s">
        <v>243</v>
      </c>
      <c r="AT2703" s="1" t="s">
        <v>305</v>
      </c>
      <c r="AU2703" s="1">
        <v>2022</v>
      </c>
      <c r="AV2703" s="1">
        <v>182</v>
      </c>
      <c r="AW2703" s="1" t="s">
        <v>74</v>
      </c>
      <c r="AX2703" s="1" t="s">
        <v>74</v>
      </c>
      <c r="AY2703" s="1" t="s">
        <v>74</v>
      </c>
      <c r="AZ2703" s="1" t="s">
        <v>74</v>
      </c>
      <c r="BA2703" s="1" t="s">
        <v>74</v>
      </c>
      <c r="BB2703" s="1" t="s">
        <v>74</v>
      </c>
      <c r="BC2703" s="1" t="s">
        <v>74</v>
      </c>
      <c r="BD2703" s="1">
        <v>113944</v>
      </c>
      <c r="BE2703" s="1" t="s">
        <v>43015</v>
      </c>
      <c r="BF2703" s="1" t="str">
        <f>HYPERLINK("http://dx.doi.org/10.1016/j.marpolbul.2022.113944","http://dx.doi.org/10.1016/j.marpolbul.2022.113944")</f>
        <v>http://dx.doi.org/10.1016/j.marpolbul.2022.113944</v>
      </c>
      <c r="BG2703" s="1" t="s">
        <v>74</v>
      </c>
      <c r="BH2703" s="1" t="s">
        <v>8654</v>
      </c>
      <c r="BI2703" s="1">
        <v>13</v>
      </c>
      <c r="BJ2703" s="1" t="s">
        <v>247</v>
      </c>
      <c r="BK2703" s="1" t="s">
        <v>96</v>
      </c>
      <c r="BL2703" s="1" t="s">
        <v>248</v>
      </c>
      <c r="BM2703" s="1" t="s">
        <v>43016</v>
      </c>
      <c r="BN2703" s="1">
        <v>35908486</v>
      </c>
      <c r="BO2703" s="1" t="s">
        <v>74</v>
      </c>
      <c r="BP2703" s="1" t="s">
        <v>74</v>
      </c>
      <c r="BQ2703" s="1" t="s">
        <v>74</v>
      </c>
      <c r="BR2703" s="1" t="s">
        <v>98</v>
      </c>
      <c r="BS2703" s="1" t="s">
        <v>43017</v>
      </c>
      <c r="BT2703" s="1" t="str">
        <f>HYPERLINK("https%3A%2F%2Fwww.webofscience.com%2Fwos%2Fwoscc%2Ffull-record%2FWOS:000843193000004","View Full Record in Web of Science")</f>
        <v>View Full Record in Web of Science</v>
      </c>
      <c r="BU2703" s="1"/>
      <c r="BV2703" s="1"/>
    </row>
    <row r="2704" spans="1:74">
      <c r="A2704" s="1" t="s">
        <v>72</v>
      </c>
      <c r="B2704" s="1" t="s">
        <v>43018</v>
      </c>
      <c r="C2704" s="1" t="s">
        <v>74</v>
      </c>
      <c r="D2704" s="1" t="s">
        <v>74</v>
      </c>
      <c r="E2704" s="1" t="s">
        <v>74</v>
      </c>
      <c r="F2704" s="1" t="s">
        <v>43018</v>
      </c>
      <c r="G2704" s="1" t="s">
        <v>74</v>
      </c>
      <c r="H2704" s="1" t="s">
        <v>74</v>
      </c>
      <c r="I2704" s="1" t="s">
        <v>43019</v>
      </c>
      <c r="J2704" s="1" t="s">
        <v>13525</v>
      </c>
      <c r="K2704" s="1" t="s">
        <v>74</v>
      </c>
      <c r="L2704" s="1" t="s">
        <v>74</v>
      </c>
      <c r="M2704" s="1" t="s">
        <v>78</v>
      </c>
      <c r="N2704" s="1" t="s">
        <v>79</v>
      </c>
      <c r="O2704" s="1" t="s">
        <v>74</v>
      </c>
      <c r="P2704" s="1" t="s">
        <v>74</v>
      </c>
      <c r="Q2704" s="1" t="s">
        <v>74</v>
      </c>
      <c r="R2704" s="1" t="s">
        <v>74</v>
      </c>
      <c r="S2704" s="1" t="s">
        <v>74</v>
      </c>
      <c r="T2704" s="1" t="s">
        <v>74</v>
      </c>
      <c r="U2704" s="1" t="s">
        <v>43020</v>
      </c>
      <c r="V2704" s="1" t="s">
        <v>43021</v>
      </c>
      <c r="W2704" s="1" t="s">
        <v>43022</v>
      </c>
      <c r="X2704" s="1" t="s">
        <v>43023</v>
      </c>
      <c r="Y2704" s="1" t="s">
        <v>43024</v>
      </c>
      <c r="Z2704" s="1" t="s">
        <v>74</v>
      </c>
      <c r="AA2704" s="1" t="s">
        <v>74</v>
      </c>
      <c r="AB2704" s="1" t="s">
        <v>74</v>
      </c>
      <c r="AC2704" s="1" t="s">
        <v>74</v>
      </c>
      <c r="AD2704" s="1" t="s">
        <v>74</v>
      </c>
      <c r="AE2704" s="1" t="s">
        <v>74</v>
      </c>
      <c r="AF2704" s="1" t="s">
        <v>74</v>
      </c>
      <c r="AG2704" s="1">
        <v>56</v>
      </c>
      <c r="AH2704" s="1">
        <v>90</v>
      </c>
      <c r="AI2704" s="1">
        <v>96</v>
      </c>
      <c r="AJ2704" s="1">
        <v>1</v>
      </c>
      <c r="AK2704" s="1">
        <v>34</v>
      </c>
      <c r="AL2704" s="1" t="s">
        <v>2336</v>
      </c>
      <c r="AM2704" s="1" t="s">
        <v>113</v>
      </c>
      <c r="AN2704" s="1" t="s">
        <v>9617</v>
      </c>
      <c r="AO2704" s="1" t="s">
        <v>13529</v>
      </c>
      <c r="AP2704" s="1" t="s">
        <v>74</v>
      </c>
      <c r="AQ2704" s="1" t="s">
        <v>74</v>
      </c>
      <c r="AR2704" s="1" t="s">
        <v>13530</v>
      </c>
      <c r="AS2704" s="1" t="s">
        <v>13531</v>
      </c>
      <c r="AT2704" s="1" t="s">
        <v>119</v>
      </c>
      <c r="AU2704" s="1">
        <v>1999</v>
      </c>
      <c r="AV2704" s="1">
        <v>79</v>
      </c>
      <c r="AW2704" s="1">
        <v>4</v>
      </c>
      <c r="AX2704" s="1" t="s">
        <v>74</v>
      </c>
      <c r="AY2704" s="1" t="s">
        <v>74</v>
      </c>
      <c r="AZ2704" s="1" t="s">
        <v>74</v>
      </c>
      <c r="BA2704" s="1" t="s">
        <v>74</v>
      </c>
      <c r="BB2704" s="1">
        <v>673</v>
      </c>
      <c r="BC2704" s="1">
        <v>686</v>
      </c>
      <c r="BD2704" s="1" t="s">
        <v>74</v>
      </c>
      <c r="BE2704" s="1" t="s">
        <v>43025</v>
      </c>
      <c r="BF2704" s="1" t="str">
        <f>HYPERLINK("http://dx.doi.org/10.1017/S0025315498000836","http://dx.doi.org/10.1017/S0025315498000836")</f>
        <v>http://dx.doi.org/10.1017/S0025315498000836</v>
      </c>
      <c r="BG2704" s="1" t="s">
        <v>74</v>
      </c>
      <c r="BH2704" s="1" t="s">
        <v>74</v>
      </c>
      <c r="BI2704" s="1">
        <v>14</v>
      </c>
      <c r="BJ2704" s="1" t="s">
        <v>680</v>
      </c>
      <c r="BK2704" s="1" t="s">
        <v>96</v>
      </c>
      <c r="BL2704" s="1" t="s">
        <v>680</v>
      </c>
      <c r="BM2704" s="1" t="s">
        <v>43026</v>
      </c>
      <c r="BN2704" s="1" t="s">
        <v>74</v>
      </c>
      <c r="BO2704" s="1" t="s">
        <v>74</v>
      </c>
      <c r="BP2704" s="1" t="s">
        <v>74</v>
      </c>
      <c r="BQ2704" s="1" t="s">
        <v>74</v>
      </c>
      <c r="BR2704" s="1" t="s">
        <v>98</v>
      </c>
      <c r="BS2704" s="1" t="s">
        <v>43027</v>
      </c>
      <c r="BT2704" s="1" t="str">
        <f>HYPERLINK("https%3A%2F%2Fwww.webofscience.com%2Fwos%2Fwoscc%2Ffull-record%2FWOS:000082351600010","View Full Record in Web of Science")</f>
        <v>View Full Record in Web of Science</v>
      </c>
      <c r="BU2704" s="1"/>
      <c r="BV2704" s="1"/>
    </row>
    <row r="2705" spans="1:74">
      <c r="A2705" s="1" t="s">
        <v>72</v>
      </c>
      <c r="B2705" s="1" t="s">
        <v>43028</v>
      </c>
      <c r="C2705" s="1" t="s">
        <v>74</v>
      </c>
      <c r="D2705" s="1" t="s">
        <v>74</v>
      </c>
      <c r="E2705" s="1" t="s">
        <v>74</v>
      </c>
      <c r="F2705" s="1" t="s">
        <v>43029</v>
      </c>
      <c r="G2705" s="1" t="s">
        <v>74</v>
      </c>
      <c r="H2705" s="1" t="s">
        <v>74</v>
      </c>
      <c r="I2705" s="1" t="s">
        <v>43030</v>
      </c>
      <c r="J2705" s="1" t="s">
        <v>204</v>
      </c>
      <c r="K2705" s="1" t="s">
        <v>74</v>
      </c>
      <c r="L2705" s="1" t="s">
        <v>74</v>
      </c>
      <c r="M2705" s="1" t="s">
        <v>78</v>
      </c>
      <c r="N2705" s="1" t="s">
        <v>79</v>
      </c>
      <c r="O2705" s="1" t="s">
        <v>74</v>
      </c>
      <c r="P2705" s="1" t="s">
        <v>74</v>
      </c>
      <c r="Q2705" s="1" t="s">
        <v>74</v>
      </c>
      <c r="R2705" s="1" t="s">
        <v>74</v>
      </c>
      <c r="S2705" s="1" t="s">
        <v>74</v>
      </c>
      <c r="T2705" s="1" t="s">
        <v>43031</v>
      </c>
      <c r="U2705" s="1" t="s">
        <v>43032</v>
      </c>
      <c r="V2705" s="1" t="s">
        <v>43033</v>
      </c>
      <c r="W2705" s="1" t="s">
        <v>43034</v>
      </c>
      <c r="X2705" s="1" t="s">
        <v>43035</v>
      </c>
      <c r="Y2705" s="1" t="s">
        <v>43036</v>
      </c>
      <c r="Z2705" s="1" t="s">
        <v>43037</v>
      </c>
      <c r="AA2705" s="1" t="s">
        <v>74</v>
      </c>
      <c r="AB2705" s="1" t="s">
        <v>2507</v>
      </c>
      <c r="AC2705" s="1" t="s">
        <v>43038</v>
      </c>
      <c r="AD2705" s="1" t="s">
        <v>43039</v>
      </c>
      <c r="AE2705" s="1" t="s">
        <v>43040</v>
      </c>
      <c r="AF2705" s="1" t="s">
        <v>74</v>
      </c>
      <c r="AG2705" s="1">
        <v>62</v>
      </c>
      <c r="AH2705" s="1">
        <v>3</v>
      </c>
      <c r="AI2705" s="1">
        <v>3</v>
      </c>
      <c r="AJ2705" s="1">
        <v>1</v>
      </c>
      <c r="AK2705" s="1">
        <v>15</v>
      </c>
      <c r="AL2705" s="1" t="s">
        <v>217</v>
      </c>
      <c r="AM2705" s="1" t="s">
        <v>218</v>
      </c>
      <c r="AN2705" s="1" t="s">
        <v>219</v>
      </c>
      <c r="AO2705" s="1" t="s">
        <v>220</v>
      </c>
      <c r="AP2705" s="1" t="s">
        <v>221</v>
      </c>
      <c r="AQ2705" s="1" t="s">
        <v>74</v>
      </c>
      <c r="AR2705" s="1" t="s">
        <v>222</v>
      </c>
      <c r="AS2705" s="1" t="s">
        <v>223</v>
      </c>
      <c r="AT2705" s="1" t="s">
        <v>197</v>
      </c>
      <c r="AU2705" s="1">
        <v>2017</v>
      </c>
      <c r="AV2705" s="1">
        <v>24</v>
      </c>
      <c r="AW2705" s="1">
        <v>34</v>
      </c>
      <c r="AX2705" s="1" t="s">
        <v>74</v>
      </c>
      <c r="AY2705" s="1" t="s">
        <v>74</v>
      </c>
      <c r="AZ2705" s="1" t="s">
        <v>74</v>
      </c>
      <c r="BA2705" s="1" t="s">
        <v>74</v>
      </c>
      <c r="BB2705" s="1">
        <v>26670</v>
      </c>
      <c r="BC2705" s="1">
        <v>26680</v>
      </c>
      <c r="BD2705" s="1" t="s">
        <v>74</v>
      </c>
      <c r="BE2705" s="1" t="s">
        <v>43041</v>
      </c>
      <c r="BF2705" s="1" t="str">
        <f>HYPERLINK("http://dx.doi.org/10.1007/s11356-017-0146-4","http://dx.doi.org/10.1007/s11356-017-0146-4")</f>
        <v>http://dx.doi.org/10.1007/s11356-017-0146-4</v>
      </c>
      <c r="BG2705" s="1" t="s">
        <v>74</v>
      </c>
      <c r="BH2705" s="1" t="s">
        <v>74</v>
      </c>
      <c r="BI2705" s="1">
        <v>11</v>
      </c>
      <c r="BJ2705" s="1" t="s">
        <v>144</v>
      </c>
      <c r="BK2705" s="1" t="s">
        <v>96</v>
      </c>
      <c r="BL2705" s="1" t="s">
        <v>145</v>
      </c>
      <c r="BM2705" s="1" t="s">
        <v>43042</v>
      </c>
      <c r="BN2705" s="1">
        <v>28956239</v>
      </c>
      <c r="BO2705" s="1" t="s">
        <v>74</v>
      </c>
      <c r="BP2705" s="1" t="s">
        <v>74</v>
      </c>
      <c r="BQ2705" s="1" t="s">
        <v>74</v>
      </c>
      <c r="BR2705" s="1" t="s">
        <v>98</v>
      </c>
      <c r="BS2705" s="1" t="s">
        <v>43043</v>
      </c>
      <c r="BT2705" s="1" t="str">
        <f>HYPERLINK("https%3A%2F%2Fwww.webofscience.com%2Fwos%2Fwoscc%2Ffull-record%2FWOS:000417372600061","View Full Record in Web of Science")</f>
        <v>View Full Record in Web of Science</v>
      </c>
      <c r="BU2705" s="1"/>
      <c r="BV2705" s="1"/>
    </row>
    <row r="2706" spans="1:74">
      <c r="A2706" s="1" t="s">
        <v>72</v>
      </c>
      <c r="B2706" s="1" t="s">
        <v>43044</v>
      </c>
      <c r="C2706" s="1" t="s">
        <v>74</v>
      </c>
      <c r="D2706" s="1" t="s">
        <v>74</v>
      </c>
      <c r="E2706" s="1" t="s">
        <v>74</v>
      </c>
      <c r="F2706" s="1" t="s">
        <v>43045</v>
      </c>
      <c r="G2706" s="1" t="s">
        <v>74</v>
      </c>
      <c r="H2706" s="1" t="s">
        <v>74</v>
      </c>
      <c r="I2706" s="1" t="s">
        <v>43046</v>
      </c>
      <c r="J2706" s="1" t="s">
        <v>2350</v>
      </c>
      <c r="K2706" s="1" t="s">
        <v>74</v>
      </c>
      <c r="L2706" s="1" t="s">
        <v>74</v>
      </c>
      <c r="M2706" s="1" t="s">
        <v>78</v>
      </c>
      <c r="N2706" s="1" t="s">
        <v>79</v>
      </c>
      <c r="O2706" s="1" t="s">
        <v>74</v>
      </c>
      <c r="P2706" s="1" t="s">
        <v>74</v>
      </c>
      <c r="Q2706" s="1" t="s">
        <v>74</v>
      </c>
      <c r="R2706" s="1" t="s">
        <v>74</v>
      </c>
      <c r="S2706" s="1" t="s">
        <v>74</v>
      </c>
      <c r="T2706" s="1" t="s">
        <v>43047</v>
      </c>
      <c r="U2706" s="1" t="s">
        <v>43048</v>
      </c>
      <c r="V2706" s="1" t="s">
        <v>43049</v>
      </c>
      <c r="W2706" s="1" t="s">
        <v>43050</v>
      </c>
      <c r="X2706" s="1" t="s">
        <v>8739</v>
      </c>
      <c r="Y2706" s="1" t="s">
        <v>43051</v>
      </c>
      <c r="Z2706" s="1" t="s">
        <v>43052</v>
      </c>
      <c r="AA2706" s="1" t="s">
        <v>43053</v>
      </c>
      <c r="AB2706" s="1" t="s">
        <v>43054</v>
      </c>
      <c r="AC2706" s="1" t="s">
        <v>74</v>
      </c>
      <c r="AD2706" s="1" t="s">
        <v>74</v>
      </c>
      <c r="AE2706" s="1" t="s">
        <v>74</v>
      </c>
      <c r="AF2706" s="1" t="s">
        <v>74</v>
      </c>
      <c r="AG2706" s="1">
        <v>58</v>
      </c>
      <c r="AH2706" s="1">
        <v>17</v>
      </c>
      <c r="AI2706" s="1">
        <v>19</v>
      </c>
      <c r="AJ2706" s="1">
        <v>1</v>
      </c>
      <c r="AK2706" s="1">
        <v>13</v>
      </c>
      <c r="AL2706" s="1" t="s">
        <v>2360</v>
      </c>
      <c r="AM2706" s="1" t="s">
        <v>2361</v>
      </c>
      <c r="AN2706" s="1" t="s">
        <v>2362</v>
      </c>
      <c r="AO2706" s="1" t="s">
        <v>2363</v>
      </c>
      <c r="AP2706" s="1" t="s">
        <v>74</v>
      </c>
      <c r="AQ2706" s="1" t="s">
        <v>74</v>
      </c>
      <c r="AR2706" s="1" t="s">
        <v>2364</v>
      </c>
      <c r="AS2706" s="1" t="s">
        <v>2365</v>
      </c>
      <c r="AT2706" s="1" t="s">
        <v>119</v>
      </c>
      <c r="AU2706" s="1">
        <v>2016</v>
      </c>
      <c r="AV2706" s="1">
        <v>15</v>
      </c>
      <c r="AW2706" s="1">
        <v>3</v>
      </c>
      <c r="AX2706" s="1" t="s">
        <v>74</v>
      </c>
      <c r="AY2706" s="1" t="s">
        <v>74</v>
      </c>
      <c r="AZ2706" s="1" t="s">
        <v>74</v>
      </c>
      <c r="BA2706" s="1" t="s">
        <v>74</v>
      </c>
      <c r="BB2706" s="1">
        <v>1027</v>
      </c>
      <c r="BC2706" s="1">
        <v>1043</v>
      </c>
      <c r="BD2706" s="1" t="s">
        <v>74</v>
      </c>
      <c r="BE2706" s="1" t="s">
        <v>74</v>
      </c>
      <c r="BF2706" s="1" t="s">
        <v>74</v>
      </c>
      <c r="BG2706" s="1" t="s">
        <v>74</v>
      </c>
      <c r="BH2706" s="1" t="s">
        <v>74</v>
      </c>
      <c r="BI2706" s="1">
        <v>17</v>
      </c>
      <c r="BJ2706" s="1" t="s">
        <v>746</v>
      </c>
      <c r="BK2706" s="1" t="s">
        <v>96</v>
      </c>
      <c r="BL2706" s="1" t="s">
        <v>746</v>
      </c>
      <c r="BM2706" s="1" t="s">
        <v>43055</v>
      </c>
      <c r="BN2706" s="1" t="s">
        <v>74</v>
      </c>
      <c r="BO2706" s="1" t="s">
        <v>74</v>
      </c>
      <c r="BP2706" s="1" t="s">
        <v>74</v>
      </c>
      <c r="BQ2706" s="1" t="s">
        <v>74</v>
      </c>
      <c r="BR2706" s="1" t="s">
        <v>98</v>
      </c>
      <c r="BS2706" s="1" t="s">
        <v>43056</v>
      </c>
      <c r="BT2706" s="1" t="str">
        <f>HYPERLINK("https%3A%2F%2Fwww.webofscience.com%2Fwos%2Fwoscc%2Ffull-record%2FWOS:000383781700007","View Full Record in Web of Science")</f>
        <v>View Full Record in Web of Science</v>
      </c>
      <c r="BU2706" s="1"/>
      <c r="BV2706" s="1"/>
    </row>
    <row r="2707" spans="1:74">
      <c r="A2707" s="1" t="s">
        <v>72</v>
      </c>
      <c r="B2707" s="1" t="s">
        <v>43057</v>
      </c>
      <c r="C2707" s="1" t="s">
        <v>74</v>
      </c>
      <c r="D2707" s="1" t="s">
        <v>74</v>
      </c>
      <c r="E2707" s="1" t="s">
        <v>74</v>
      </c>
      <c r="F2707" s="1" t="s">
        <v>43058</v>
      </c>
      <c r="G2707" s="1" t="s">
        <v>74</v>
      </c>
      <c r="H2707" s="1" t="s">
        <v>74</v>
      </c>
      <c r="I2707" s="1" t="s">
        <v>43059</v>
      </c>
      <c r="J2707" s="1" t="s">
        <v>232</v>
      </c>
      <c r="K2707" s="1" t="s">
        <v>74</v>
      </c>
      <c r="L2707" s="1" t="s">
        <v>74</v>
      </c>
      <c r="M2707" s="1" t="s">
        <v>78</v>
      </c>
      <c r="N2707" s="1" t="s">
        <v>79</v>
      </c>
      <c r="O2707" s="1" t="s">
        <v>74</v>
      </c>
      <c r="P2707" s="1" t="s">
        <v>74</v>
      </c>
      <c r="Q2707" s="1" t="s">
        <v>74</v>
      </c>
      <c r="R2707" s="1" t="s">
        <v>74</v>
      </c>
      <c r="S2707" s="1" t="s">
        <v>74</v>
      </c>
      <c r="T2707" s="1" t="s">
        <v>43060</v>
      </c>
      <c r="U2707" s="1" t="s">
        <v>43061</v>
      </c>
      <c r="V2707" s="1" t="s">
        <v>43062</v>
      </c>
      <c r="W2707" s="1" t="s">
        <v>43063</v>
      </c>
      <c r="X2707" s="1" t="s">
        <v>43064</v>
      </c>
      <c r="Y2707" s="1" t="s">
        <v>43065</v>
      </c>
      <c r="Z2707" s="1" t="s">
        <v>43066</v>
      </c>
      <c r="AA2707" s="1" t="s">
        <v>43067</v>
      </c>
      <c r="AB2707" s="1" t="s">
        <v>74</v>
      </c>
      <c r="AC2707" s="1" t="s">
        <v>43068</v>
      </c>
      <c r="AD2707" s="1" t="s">
        <v>43069</v>
      </c>
      <c r="AE2707" s="1" t="s">
        <v>43070</v>
      </c>
      <c r="AF2707" s="1" t="s">
        <v>74</v>
      </c>
      <c r="AG2707" s="1">
        <v>49</v>
      </c>
      <c r="AH2707" s="1">
        <v>13</v>
      </c>
      <c r="AI2707" s="1">
        <v>14</v>
      </c>
      <c r="AJ2707" s="1">
        <v>0</v>
      </c>
      <c r="AK2707" s="1">
        <v>40</v>
      </c>
      <c r="AL2707" s="1" t="s">
        <v>136</v>
      </c>
      <c r="AM2707" s="1" t="s">
        <v>137</v>
      </c>
      <c r="AN2707" s="1" t="s">
        <v>138</v>
      </c>
      <c r="AO2707" s="1" t="s">
        <v>240</v>
      </c>
      <c r="AP2707" s="1" t="s">
        <v>241</v>
      </c>
      <c r="AQ2707" s="1" t="s">
        <v>74</v>
      </c>
      <c r="AR2707" s="1" t="s">
        <v>242</v>
      </c>
      <c r="AS2707" s="1" t="s">
        <v>243</v>
      </c>
      <c r="AT2707" s="1" t="s">
        <v>224</v>
      </c>
      <c r="AU2707" s="1">
        <v>2012</v>
      </c>
      <c r="AV2707" s="1">
        <v>64</v>
      </c>
      <c r="AW2707" s="1">
        <v>2</v>
      </c>
      <c r="AX2707" s="1" t="s">
        <v>74</v>
      </c>
      <c r="AY2707" s="1" t="s">
        <v>74</v>
      </c>
      <c r="AZ2707" s="1" t="s">
        <v>74</v>
      </c>
      <c r="BA2707" s="1" t="s">
        <v>74</v>
      </c>
      <c r="BB2707" s="1">
        <v>303</v>
      </c>
      <c r="BC2707" s="1">
        <v>309</v>
      </c>
      <c r="BD2707" s="1" t="s">
        <v>74</v>
      </c>
      <c r="BE2707" s="1" t="s">
        <v>43071</v>
      </c>
      <c r="BF2707" s="1" t="str">
        <f>HYPERLINK("http://dx.doi.org/10.1016/j.marpolbul.2011.11.014","http://dx.doi.org/10.1016/j.marpolbul.2011.11.014")</f>
        <v>http://dx.doi.org/10.1016/j.marpolbul.2011.11.014</v>
      </c>
      <c r="BG2707" s="1" t="s">
        <v>74</v>
      </c>
      <c r="BH2707" s="1" t="s">
        <v>74</v>
      </c>
      <c r="BI2707" s="1">
        <v>7</v>
      </c>
      <c r="BJ2707" s="1" t="s">
        <v>247</v>
      </c>
      <c r="BK2707" s="1" t="s">
        <v>96</v>
      </c>
      <c r="BL2707" s="1" t="s">
        <v>248</v>
      </c>
      <c r="BM2707" s="1" t="s">
        <v>9262</v>
      </c>
      <c r="BN2707" s="1">
        <v>22155118</v>
      </c>
      <c r="BO2707" s="1" t="s">
        <v>74</v>
      </c>
      <c r="BP2707" s="1" t="s">
        <v>74</v>
      </c>
      <c r="BQ2707" s="1" t="s">
        <v>74</v>
      </c>
      <c r="BR2707" s="1" t="s">
        <v>98</v>
      </c>
      <c r="BS2707" s="1" t="s">
        <v>43072</v>
      </c>
      <c r="BT2707" s="1" t="str">
        <f>HYPERLINK("https%3A%2F%2Fwww.webofscience.com%2Fwos%2Fwoscc%2Ffull-record%2FWOS:000300864800028","View Full Record in Web of Science")</f>
        <v>View Full Record in Web of Science</v>
      </c>
      <c r="BU2707" s="1"/>
      <c r="BV2707" s="1"/>
    </row>
    <row r="2708" spans="1:74">
      <c r="A2708" s="1" t="s">
        <v>72</v>
      </c>
      <c r="B2708" s="1" t="s">
        <v>43073</v>
      </c>
      <c r="C2708" s="1" t="s">
        <v>74</v>
      </c>
      <c r="D2708" s="1" t="s">
        <v>74</v>
      </c>
      <c r="E2708" s="1" t="s">
        <v>74</v>
      </c>
      <c r="F2708" s="1" t="s">
        <v>43074</v>
      </c>
      <c r="G2708" s="1" t="s">
        <v>74</v>
      </c>
      <c r="H2708" s="1" t="s">
        <v>74</v>
      </c>
      <c r="I2708" s="1" t="s">
        <v>43075</v>
      </c>
      <c r="J2708" s="1" t="s">
        <v>595</v>
      </c>
      <c r="K2708" s="1" t="s">
        <v>74</v>
      </c>
      <c r="L2708" s="1" t="s">
        <v>74</v>
      </c>
      <c r="M2708" s="1" t="s">
        <v>78</v>
      </c>
      <c r="N2708" s="1" t="s">
        <v>79</v>
      </c>
      <c r="O2708" s="1" t="s">
        <v>74</v>
      </c>
      <c r="P2708" s="1" t="s">
        <v>74</v>
      </c>
      <c r="Q2708" s="1" t="s">
        <v>74</v>
      </c>
      <c r="R2708" s="1" t="s">
        <v>74</v>
      </c>
      <c r="S2708" s="1" t="s">
        <v>74</v>
      </c>
      <c r="T2708" s="1" t="s">
        <v>43076</v>
      </c>
      <c r="U2708" s="1" t="s">
        <v>43077</v>
      </c>
      <c r="V2708" s="1" t="s">
        <v>43078</v>
      </c>
      <c r="W2708" s="1" t="s">
        <v>43079</v>
      </c>
      <c r="X2708" s="1" t="s">
        <v>43080</v>
      </c>
      <c r="Y2708" s="1" t="s">
        <v>43081</v>
      </c>
      <c r="Z2708" s="1" t="s">
        <v>43082</v>
      </c>
      <c r="AA2708" s="1" t="s">
        <v>74</v>
      </c>
      <c r="AB2708" s="1" t="s">
        <v>43083</v>
      </c>
      <c r="AC2708" s="1" t="s">
        <v>43084</v>
      </c>
      <c r="AD2708" s="1" t="s">
        <v>43085</v>
      </c>
      <c r="AE2708" s="1" t="s">
        <v>43086</v>
      </c>
      <c r="AF2708" s="1" t="s">
        <v>74</v>
      </c>
      <c r="AG2708" s="1">
        <v>89</v>
      </c>
      <c r="AH2708" s="1">
        <v>49</v>
      </c>
      <c r="AI2708" s="1">
        <v>51</v>
      </c>
      <c r="AJ2708" s="1">
        <v>2</v>
      </c>
      <c r="AK2708" s="1">
        <v>57</v>
      </c>
      <c r="AL2708" s="1" t="s">
        <v>112</v>
      </c>
      <c r="AM2708" s="1" t="s">
        <v>191</v>
      </c>
      <c r="AN2708" s="1" t="s">
        <v>192</v>
      </c>
      <c r="AO2708" s="1" t="s">
        <v>608</v>
      </c>
      <c r="AP2708" s="1" t="s">
        <v>609</v>
      </c>
      <c r="AQ2708" s="1" t="s">
        <v>74</v>
      </c>
      <c r="AR2708" s="1" t="s">
        <v>595</v>
      </c>
      <c r="AS2708" s="1" t="s">
        <v>610</v>
      </c>
      <c r="AT2708" s="1" t="s">
        <v>93</v>
      </c>
      <c r="AU2708" s="1">
        <v>2012</v>
      </c>
      <c r="AV2708" s="1">
        <v>21</v>
      </c>
      <c r="AW2708" s="1">
        <v>3</v>
      </c>
      <c r="AX2708" s="1" t="s">
        <v>74</v>
      </c>
      <c r="AY2708" s="1" t="s">
        <v>74</v>
      </c>
      <c r="AZ2708" s="1" t="s">
        <v>74</v>
      </c>
      <c r="BA2708" s="1" t="s">
        <v>74</v>
      </c>
      <c r="BB2708" s="1">
        <v>888</v>
      </c>
      <c r="BC2708" s="1">
        <v>905</v>
      </c>
      <c r="BD2708" s="1" t="s">
        <v>74</v>
      </c>
      <c r="BE2708" s="1" t="s">
        <v>43087</v>
      </c>
      <c r="BF2708" s="1" t="str">
        <f>HYPERLINK("http://dx.doi.org/10.1007/s10646-012-0851-1","http://dx.doi.org/10.1007/s10646-012-0851-1")</f>
        <v>http://dx.doi.org/10.1007/s10646-012-0851-1</v>
      </c>
      <c r="BG2708" s="1" t="s">
        <v>74</v>
      </c>
      <c r="BH2708" s="1" t="s">
        <v>74</v>
      </c>
      <c r="BI2708" s="1">
        <v>18</v>
      </c>
      <c r="BJ2708" s="1" t="s">
        <v>612</v>
      </c>
      <c r="BK2708" s="1" t="s">
        <v>96</v>
      </c>
      <c r="BL2708" s="1" t="s">
        <v>122</v>
      </c>
      <c r="BM2708" s="1" t="s">
        <v>43088</v>
      </c>
      <c r="BN2708" s="1">
        <v>22252290</v>
      </c>
      <c r="BO2708" s="1" t="s">
        <v>74</v>
      </c>
      <c r="BP2708" s="1" t="s">
        <v>74</v>
      </c>
      <c r="BQ2708" s="1" t="s">
        <v>74</v>
      </c>
      <c r="BR2708" s="1" t="s">
        <v>98</v>
      </c>
      <c r="BS2708" s="1" t="s">
        <v>43089</v>
      </c>
      <c r="BT2708" s="1" t="str">
        <f>HYPERLINK("https%3A%2F%2Fwww.webofscience.com%2Fwos%2Fwoscc%2Ffull-record%2FWOS:000302065400025","View Full Record in Web of Science")</f>
        <v>View Full Record in Web of Science</v>
      </c>
      <c r="BU2708" s="1"/>
      <c r="BV2708" s="1"/>
    </row>
    <row r="2709" spans="1:74">
      <c r="A2709" s="1" t="s">
        <v>72</v>
      </c>
      <c r="B2709" s="1" t="s">
        <v>43090</v>
      </c>
      <c r="C2709" s="1" t="s">
        <v>74</v>
      </c>
      <c r="D2709" s="1" t="s">
        <v>74</v>
      </c>
      <c r="E2709" s="1" t="s">
        <v>74</v>
      </c>
      <c r="F2709" s="1" t="s">
        <v>43091</v>
      </c>
      <c r="G2709" s="1" t="s">
        <v>74</v>
      </c>
      <c r="H2709" s="1" t="s">
        <v>74</v>
      </c>
      <c r="I2709" s="1" t="s">
        <v>43092</v>
      </c>
      <c r="J2709" s="1" t="s">
        <v>421</v>
      </c>
      <c r="K2709" s="1" t="s">
        <v>74</v>
      </c>
      <c r="L2709" s="1" t="s">
        <v>74</v>
      </c>
      <c r="M2709" s="1" t="s">
        <v>78</v>
      </c>
      <c r="N2709" s="1" t="s">
        <v>79</v>
      </c>
      <c r="O2709" s="1" t="s">
        <v>74</v>
      </c>
      <c r="P2709" s="1" t="s">
        <v>74</v>
      </c>
      <c r="Q2709" s="1" t="s">
        <v>74</v>
      </c>
      <c r="R2709" s="1" t="s">
        <v>74</v>
      </c>
      <c r="S2709" s="1" t="s">
        <v>74</v>
      </c>
      <c r="T2709" s="1" t="s">
        <v>43093</v>
      </c>
      <c r="U2709" s="1" t="s">
        <v>43094</v>
      </c>
      <c r="V2709" s="1" t="s">
        <v>43095</v>
      </c>
      <c r="W2709" s="1" t="s">
        <v>43096</v>
      </c>
      <c r="X2709" s="1" t="s">
        <v>25649</v>
      </c>
      <c r="Y2709" s="1" t="s">
        <v>37959</v>
      </c>
      <c r="Z2709" s="1" t="s">
        <v>32756</v>
      </c>
      <c r="AA2709" s="1" t="s">
        <v>37251</v>
      </c>
      <c r="AB2709" s="1" t="s">
        <v>74</v>
      </c>
      <c r="AC2709" s="1" t="s">
        <v>40949</v>
      </c>
      <c r="AD2709" s="1" t="s">
        <v>40950</v>
      </c>
      <c r="AE2709" s="1" t="s">
        <v>43097</v>
      </c>
      <c r="AF2709" s="1" t="s">
        <v>74</v>
      </c>
      <c r="AG2709" s="1">
        <v>97</v>
      </c>
      <c r="AH2709" s="1">
        <v>114</v>
      </c>
      <c r="AI2709" s="1">
        <v>118</v>
      </c>
      <c r="AJ2709" s="1">
        <v>23</v>
      </c>
      <c r="AK2709" s="1">
        <v>165</v>
      </c>
      <c r="AL2709" s="1" t="s">
        <v>430</v>
      </c>
      <c r="AM2709" s="1" t="s">
        <v>137</v>
      </c>
      <c r="AN2709" s="1" t="s">
        <v>431</v>
      </c>
      <c r="AO2709" s="1" t="s">
        <v>432</v>
      </c>
      <c r="AP2709" s="1" t="s">
        <v>1394</v>
      </c>
      <c r="AQ2709" s="1" t="s">
        <v>74</v>
      </c>
      <c r="AR2709" s="1" t="s">
        <v>433</v>
      </c>
      <c r="AS2709" s="1" t="s">
        <v>434</v>
      </c>
      <c r="AT2709" s="1" t="s">
        <v>267</v>
      </c>
      <c r="AU2709" s="1">
        <v>2020</v>
      </c>
      <c r="AV2709" s="1">
        <v>265</v>
      </c>
      <c r="AW2709" s="1" t="s">
        <v>74</v>
      </c>
      <c r="AX2709" s="1" t="s">
        <v>489</v>
      </c>
      <c r="AY2709" s="1" t="s">
        <v>74</v>
      </c>
      <c r="AZ2709" s="1" t="s">
        <v>74</v>
      </c>
      <c r="BA2709" s="1" t="s">
        <v>74</v>
      </c>
      <c r="BB2709" s="1" t="s">
        <v>74</v>
      </c>
      <c r="BC2709" s="1" t="s">
        <v>74</v>
      </c>
      <c r="BD2709" s="1">
        <v>115115</v>
      </c>
      <c r="BE2709" s="1" t="s">
        <v>43098</v>
      </c>
      <c r="BF2709" s="1" t="str">
        <f>HYPERLINK("http://dx.doi.org/10.1016/j.envpol.2020.115115","http://dx.doi.org/10.1016/j.envpol.2020.115115")</f>
        <v>http://dx.doi.org/10.1016/j.envpol.2020.115115</v>
      </c>
      <c r="BG2709" s="1" t="s">
        <v>74</v>
      </c>
      <c r="BH2709" s="1" t="s">
        <v>74</v>
      </c>
      <c r="BI2709" s="1">
        <v>9</v>
      </c>
      <c r="BJ2709" s="1" t="s">
        <v>144</v>
      </c>
      <c r="BK2709" s="1" t="s">
        <v>96</v>
      </c>
      <c r="BL2709" s="1" t="s">
        <v>145</v>
      </c>
      <c r="BM2709" s="1" t="s">
        <v>43099</v>
      </c>
      <c r="BN2709" s="1">
        <v>32806413</v>
      </c>
      <c r="BO2709" s="1" t="s">
        <v>74</v>
      </c>
      <c r="BP2709" s="1" t="s">
        <v>74</v>
      </c>
      <c r="BQ2709" s="1" t="s">
        <v>74</v>
      </c>
      <c r="BR2709" s="1" t="s">
        <v>98</v>
      </c>
      <c r="BS2709" s="1" t="s">
        <v>43100</v>
      </c>
      <c r="BT2709" s="1" t="str">
        <f>HYPERLINK("https%3A%2F%2Fwww.webofscience.com%2Fwos%2Fwoscc%2Ffull-record%2FWOS:000607212800045","View Full Record in Web of Science")</f>
        <v>View Full Record in Web of Science</v>
      </c>
      <c r="BU2709" s="1"/>
      <c r="BV2709" s="1"/>
    </row>
    <row r="2710" spans="1:74">
      <c r="A2710" s="1" t="s">
        <v>72</v>
      </c>
      <c r="B2710" s="1" t="s">
        <v>43101</v>
      </c>
      <c r="C2710" s="1" t="s">
        <v>74</v>
      </c>
      <c r="D2710" s="1" t="s">
        <v>74</v>
      </c>
      <c r="E2710" s="1" t="s">
        <v>74</v>
      </c>
      <c r="F2710" s="1" t="s">
        <v>43102</v>
      </c>
      <c r="G2710" s="1" t="s">
        <v>74</v>
      </c>
      <c r="H2710" s="1" t="s">
        <v>74</v>
      </c>
      <c r="I2710" s="1" t="s">
        <v>43103</v>
      </c>
      <c r="J2710" s="1" t="s">
        <v>232</v>
      </c>
      <c r="K2710" s="1" t="s">
        <v>74</v>
      </c>
      <c r="L2710" s="1" t="s">
        <v>74</v>
      </c>
      <c r="M2710" s="1" t="s">
        <v>78</v>
      </c>
      <c r="N2710" s="1" t="s">
        <v>79</v>
      </c>
      <c r="O2710" s="1" t="s">
        <v>74</v>
      </c>
      <c r="P2710" s="1" t="s">
        <v>74</v>
      </c>
      <c r="Q2710" s="1" t="s">
        <v>74</v>
      </c>
      <c r="R2710" s="1" t="s">
        <v>74</v>
      </c>
      <c r="S2710" s="1" t="s">
        <v>74</v>
      </c>
      <c r="T2710" s="1" t="s">
        <v>43104</v>
      </c>
      <c r="U2710" s="1" t="s">
        <v>43105</v>
      </c>
      <c r="V2710" s="1" t="s">
        <v>43106</v>
      </c>
      <c r="W2710" s="1" t="s">
        <v>43107</v>
      </c>
      <c r="X2710" s="1" t="s">
        <v>43108</v>
      </c>
      <c r="Y2710" s="1" t="s">
        <v>34883</v>
      </c>
      <c r="Z2710" s="1" t="s">
        <v>43109</v>
      </c>
      <c r="AA2710" s="1" t="s">
        <v>43110</v>
      </c>
      <c r="AB2710" s="1" t="s">
        <v>43111</v>
      </c>
      <c r="AC2710" s="1" t="s">
        <v>43112</v>
      </c>
      <c r="AD2710" s="1" t="s">
        <v>43113</v>
      </c>
      <c r="AE2710" s="1" t="s">
        <v>43114</v>
      </c>
      <c r="AF2710" s="1" t="s">
        <v>74</v>
      </c>
      <c r="AG2710" s="1">
        <v>70</v>
      </c>
      <c r="AH2710" s="1">
        <v>41</v>
      </c>
      <c r="AI2710" s="1">
        <v>42</v>
      </c>
      <c r="AJ2710" s="1">
        <v>2</v>
      </c>
      <c r="AK2710" s="1">
        <v>50</v>
      </c>
      <c r="AL2710" s="1" t="s">
        <v>136</v>
      </c>
      <c r="AM2710" s="1" t="s">
        <v>137</v>
      </c>
      <c r="AN2710" s="1" t="s">
        <v>138</v>
      </c>
      <c r="AO2710" s="1" t="s">
        <v>240</v>
      </c>
      <c r="AP2710" s="1" t="s">
        <v>241</v>
      </c>
      <c r="AQ2710" s="1" t="s">
        <v>74</v>
      </c>
      <c r="AR2710" s="1" t="s">
        <v>242</v>
      </c>
      <c r="AS2710" s="1" t="s">
        <v>243</v>
      </c>
      <c r="AT2710" s="1" t="s">
        <v>93</v>
      </c>
      <c r="AU2710" s="1">
        <v>2019</v>
      </c>
      <c r="AV2710" s="1">
        <v>141</v>
      </c>
      <c r="AW2710" s="1" t="s">
        <v>74</v>
      </c>
      <c r="AX2710" s="1" t="s">
        <v>74</v>
      </c>
      <c r="AY2710" s="1" t="s">
        <v>74</v>
      </c>
      <c r="AZ2710" s="1" t="s">
        <v>74</v>
      </c>
      <c r="BA2710" s="1" t="s">
        <v>74</v>
      </c>
      <c r="BB2710" s="1">
        <v>283</v>
      </c>
      <c r="BC2710" s="1">
        <v>298</v>
      </c>
      <c r="BD2710" s="1" t="s">
        <v>74</v>
      </c>
      <c r="BE2710" s="1" t="s">
        <v>43115</v>
      </c>
      <c r="BF2710" s="1" t="str">
        <f>HYPERLINK("http://dx.doi.org/10.1016/j.marpolbul.2019.02.007","http://dx.doi.org/10.1016/j.marpolbul.2019.02.007")</f>
        <v>http://dx.doi.org/10.1016/j.marpolbul.2019.02.007</v>
      </c>
      <c r="BG2710" s="1" t="s">
        <v>74</v>
      </c>
      <c r="BH2710" s="1" t="s">
        <v>74</v>
      </c>
      <c r="BI2710" s="1">
        <v>16</v>
      </c>
      <c r="BJ2710" s="1" t="s">
        <v>247</v>
      </c>
      <c r="BK2710" s="1" t="s">
        <v>96</v>
      </c>
      <c r="BL2710" s="1" t="s">
        <v>248</v>
      </c>
      <c r="BM2710" s="1" t="s">
        <v>9985</v>
      </c>
      <c r="BN2710" s="1">
        <v>30955736</v>
      </c>
      <c r="BO2710" s="1" t="s">
        <v>74</v>
      </c>
      <c r="BP2710" s="1" t="s">
        <v>74</v>
      </c>
      <c r="BQ2710" s="1" t="s">
        <v>74</v>
      </c>
      <c r="BR2710" s="1" t="s">
        <v>98</v>
      </c>
      <c r="BS2710" s="1" t="s">
        <v>43116</v>
      </c>
      <c r="BT2710" s="1" t="str">
        <f>HYPERLINK("https%3A%2F%2Fwww.webofscience.com%2Fwos%2Fwoscc%2Ffull-record%2FWOS:000465509700033","View Full Record in Web of Science")</f>
        <v>View Full Record in Web of Science</v>
      </c>
      <c r="BU2710" s="1"/>
      <c r="BV2710" s="1"/>
    </row>
    <row r="2711" spans="1:74">
      <c r="A2711" s="1" t="s">
        <v>72</v>
      </c>
      <c r="B2711" s="1" t="s">
        <v>43117</v>
      </c>
      <c r="C2711" s="1" t="s">
        <v>74</v>
      </c>
      <c r="D2711" s="1" t="s">
        <v>74</v>
      </c>
      <c r="E2711" s="1" t="s">
        <v>74</v>
      </c>
      <c r="F2711" s="1" t="s">
        <v>43118</v>
      </c>
      <c r="G2711" s="1" t="s">
        <v>74</v>
      </c>
      <c r="H2711" s="1" t="s">
        <v>74</v>
      </c>
      <c r="I2711" s="1" t="s">
        <v>43119</v>
      </c>
      <c r="J2711" s="1" t="s">
        <v>204</v>
      </c>
      <c r="K2711" s="1" t="s">
        <v>74</v>
      </c>
      <c r="L2711" s="1" t="s">
        <v>74</v>
      </c>
      <c r="M2711" s="1" t="s">
        <v>78</v>
      </c>
      <c r="N2711" s="1" t="s">
        <v>79</v>
      </c>
      <c r="O2711" s="1" t="s">
        <v>74</v>
      </c>
      <c r="P2711" s="1" t="s">
        <v>74</v>
      </c>
      <c r="Q2711" s="1" t="s">
        <v>74</v>
      </c>
      <c r="R2711" s="1" t="s">
        <v>74</v>
      </c>
      <c r="S2711" s="1" t="s">
        <v>74</v>
      </c>
      <c r="T2711" s="1" t="s">
        <v>43120</v>
      </c>
      <c r="U2711" s="1" t="s">
        <v>43121</v>
      </c>
      <c r="V2711" s="1" t="s">
        <v>43122</v>
      </c>
      <c r="W2711" s="1" t="s">
        <v>43123</v>
      </c>
      <c r="X2711" s="1" t="s">
        <v>39055</v>
      </c>
      <c r="Y2711" s="1" t="s">
        <v>1954</v>
      </c>
      <c r="Z2711" s="1" t="s">
        <v>1955</v>
      </c>
      <c r="AA2711" s="1" t="s">
        <v>43124</v>
      </c>
      <c r="AB2711" s="1" t="s">
        <v>43125</v>
      </c>
      <c r="AC2711" s="1" t="s">
        <v>43126</v>
      </c>
      <c r="AD2711" s="1" t="s">
        <v>43127</v>
      </c>
      <c r="AE2711" s="1" t="s">
        <v>39060</v>
      </c>
      <c r="AF2711" s="1" t="s">
        <v>74</v>
      </c>
      <c r="AG2711" s="1">
        <v>50</v>
      </c>
      <c r="AH2711" s="1">
        <v>12</v>
      </c>
      <c r="AI2711" s="1">
        <v>13</v>
      </c>
      <c r="AJ2711" s="1">
        <v>1</v>
      </c>
      <c r="AK2711" s="1">
        <v>30</v>
      </c>
      <c r="AL2711" s="1" t="s">
        <v>217</v>
      </c>
      <c r="AM2711" s="1" t="s">
        <v>218</v>
      </c>
      <c r="AN2711" s="1" t="s">
        <v>219</v>
      </c>
      <c r="AO2711" s="1" t="s">
        <v>220</v>
      </c>
      <c r="AP2711" s="1" t="s">
        <v>221</v>
      </c>
      <c r="AQ2711" s="1" t="s">
        <v>74</v>
      </c>
      <c r="AR2711" s="1" t="s">
        <v>222</v>
      </c>
      <c r="AS2711" s="1" t="s">
        <v>223</v>
      </c>
      <c r="AT2711" s="1" t="s">
        <v>267</v>
      </c>
      <c r="AU2711" s="1">
        <v>2016</v>
      </c>
      <c r="AV2711" s="1">
        <v>23</v>
      </c>
      <c r="AW2711" s="1">
        <v>19</v>
      </c>
      <c r="AX2711" s="1" t="s">
        <v>74</v>
      </c>
      <c r="AY2711" s="1" t="s">
        <v>74</v>
      </c>
      <c r="AZ2711" s="1" t="s">
        <v>74</v>
      </c>
      <c r="BA2711" s="1" t="s">
        <v>74</v>
      </c>
      <c r="BB2711" s="1">
        <v>19182</v>
      </c>
      <c r="BC2711" s="1">
        <v>19192</v>
      </c>
      <c r="BD2711" s="1" t="s">
        <v>74</v>
      </c>
      <c r="BE2711" s="1" t="s">
        <v>43128</v>
      </c>
      <c r="BF2711" s="1" t="str">
        <f>HYPERLINK("http://dx.doi.org/10.1007/s11356-016-7108-0","http://dx.doi.org/10.1007/s11356-016-7108-0")</f>
        <v>http://dx.doi.org/10.1007/s11356-016-7108-0</v>
      </c>
      <c r="BG2711" s="1" t="s">
        <v>74</v>
      </c>
      <c r="BH2711" s="1" t="s">
        <v>74</v>
      </c>
      <c r="BI2711" s="1">
        <v>11</v>
      </c>
      <c r="BJ2711" s="1" t="s">
        <v>144</v>
      </c>
      <c r="BK2711" s="1" t="s">
        <v>96</v>
      </c>
      <c r="BL2711" s="1" t="s">
        <v>145</v>
      </c>
      <c r="BM2711" s="1" t="s">
        <v>43129</v>
      </c>
      <c r="BN2711" s="1">
        <v>27351877</v>
      </c>
      <c r="BO2711" s="1" t="s">
        <v>74</v>
      </c>
      <c r="BP2711" s="1" t="s">
        <v>74</v>
      </c>
      <c r="BQ2711" s="1" t="s">
        <v>74</v>
      </c>
      <c r="BR2711" s="1" t="s">
        <v>98</v>
      </c>
      <c r="BS2711" s="1" t="s">
        <v>43130</v>
      </c>
      <c r="BT2711" s="1" t="str">
        <f>HYPERLINK("https%3A%2F%2Fwww.webofscience.com%2Fwos%2Fwoscc%2Ffull-record%2FWOS:000384555200021","View Full Record in Web of Science")</f>
        <v>View Full Record in Web of Science</v>
      </c>
      <c r="BU2711" s="1"/>
      <c r="BV2711" s="1"/>
    </row>
    <row r="2712" spans="1:74">
      <c r="A2712" s="1" t="s">
        <v>72</v>
      </c>
      <c r="B2712" s="1" t="s">
        <v>43131</v>
      </c>
      <c r="C2712" s="1" t="s">
        <v>74</v>
      </c>
      <c r="D2712" s="1" t="s">
        <v>74</v>
      </c>
      <c r="E2712" s="1" t="s">
        <v>74</v>
      </c>
      <c r="F2712" s="1" t="s">
        <v>43131</v>
      </c>
      <c r="G2712" s="1" t="s">
        <v>74</v>
      </c>
      <c r="H2712" s="1" t="s">
        <v>74</v>
      </c>
      <c r="I2712" s="1" t="s">
        <v>43132</v>
      </c>
      <c r="J2712" s="1" t="s">
        <v>3349</v>
      </c>
      <c r="K2712" s="1" t="s">
        <v>74</v>
      </c>
      <c r="L2712" s="1" t="s">
        <v>74</v>
      </c>
      <c r="M2712" s="1" t="s">
        <v>78</v>
      </c>
      <c r="N2712" s="1" t="s">
        <v>79</v>
      </c>
      <c r="O2712" s="1" t="s">
        <v>74</v>
      </c>
      <c r="P2712" s="1" t="s">
        <v>74</v>
      </c>
      <c r="Q2712" s="1" t="s">
        <v>74</v>
      </c>
      <c r="R2712" s="1" t="s">
        <v>74</v>
      </c>
      <c r="S2712" s="1" t="s">
        <v>74</v>
      </c>
      <c r="T2712" s="1" t="s">
        <v>74</v>
      </c>
      <c r="U2712" s="1" t="s">
        <v>43133</v>
      </c>
      <c r="V2712" s="1" t="s">
        <v>74</v>
      </c>
      <c r="W2712" s="1" t="s">
        <v>43134</v>
      </c>
      <c r="X2712" s="1" t="s">
        <v>26852</v>
      </c>
      <c r="Y2712" s="1" t="s">
        <v>74</v>
      </c>
      <c r="Z2712" s="1" t="s">
        <v>74</v>
      </c>
      <c r="AA2712" s="1" t="s">
        <v>11730</v>
      </c>
      <c r="AB2712" s="1" t="s">
        <v>43135</v>
      </c>
      <c r="AC2712" s="1" t="s">
        <v>74</v>
      </c>
      <c r="AD2712" s="1" t="s">
        <v>74</v>
      </c>
      <c r="AE2712" s="1" t="s">
        <v>74</v>
      </c>
      <c r="AF2712" s="1" t="s">
        <v>74</v>
      </c>
      <c r="AG2712" s="1">
        <v>35</v>
      </c>
      <c r="AH2712" s="1">
        <v>30</v>
      </c>
      <c r="AI2712" s="1">
        <v>32</v>
      </c>
      <c r="AJ2712" s="1">
        <v>0</v>
      </c>
      <c r="AK2712" s="1">
        <v>16</v>
      </c>
      <c r="AL2712" s="1" t="s">
        <v>43136</v>
      </c>
      <c r="AM2712" s="1" t="s">
        <v>3363</v>
      </c>
      <c r="AN2712" s="1" t="s">
        <v>43137</v>
      </c>
      <c r="AO2712" s="1" t="s">
        <v>3365</v>
      </c>
      <c r="AP2712" s="1" t="s">
        <v>74</v>
      </c>
      <c r="AQ2712" s="1" t="s">
        <v>74</v>
      </c>
      <c r="AR2712" s="1" t="s">
        <v>3367</v>
      </c>
      <c r="AS2712" s="1" t="s">
        <v>3368</v>
      </c>
      <c r="AT2712" s="1" t="s">
        <v>142</v>
      </c>
      <c r="AU2712" s="1">
        <v>1993</v>
      </c>
      <c r="AV2712" s="1">
        <v>25</v>
      </c>
      <c r="AW2712" s="1">
        <v>3</v>
      </c>
      <c r="AX2712" s="1" t="s">
        <v>74</v>
      </c>
      <c r="AY2712" s="1" t="s">
        <v>74</v>
      </c>
      <c r="AZ2712" s="1" t="s">
        <v>74</v>
      </c>
      <c r="BA2712" s="1" t="s">
        <v>74</v>
      </c>
      <c r="BB2712" s="1">
        <v>315</v>
      </c>
      <c r="BC2712" s="1">
        <v>327</v>
      </c>
      <c r="BD2712" s="1" t="s">
        <v>74</v>
      </c>
      <c r="BE2712" s="1" t="s">
        <v>43138</v>
      </c>
      <c r="BF2712" s="1" t="str">
        <f>HYPERLINK("http://dx.doi.org/10.1006/eesa.1993.1029","http://dx.doi.org/10.1006/eesa.1993.1029")</f>
        <v>http://dx.doi.org/10.1006/eesa.1993.1029</v>
      </c>
      <c r="BG2712" s="1" t="s">
        <v>74</v>
      </c>
      <c r="BH2712" s="1" t="s">
        <v>74</v>
      </c>
      <c r="BI2712" s="1">
        <v>13</v>
      </c>
      <c r="BJ2712" s="1" t="s">
        <v>121</v>
      </c>
      <c r="BK2712" s="1" t="s">
        <v>96</v>
      </c>
      <c r="BL2712" s="1" t="s">
        <v>122</v>
      </c>
      <c r="BM2712" s="1" t="s">
        <v>43139</v>
      </c>
      <c r="BN2712" s="1">
        <v>7691525</v>
      </c>
      <c r="BO2712" s="1" t="s">
        <v>74</v>
      </c>
      <c r="BP2712" s="1" t="s">
        <v>74</v>
      </c>
      <c r="BQ2712" s="1" t="s">
        <v>74</v>
      </c>
      <c r="BR2712" s="1" t="s">
        <v>98</v>
      </c>
      <c r="BS2712" s="1" t="s">
        <v>43140</v>
      </c>
      <c r="BT2712" s="1" t="str">
        <f>HYPERLINK("https%3A%2F%2Fwww.webofscience.com%2Fwos%2Fwoscc%2Ffull-record%2FWOS:A1993LH21200006","View Full Record in Web of Science")</f>
        <v>View Full Record in Web of Science</v>
      </c>
      <c r="BU2712" s="1"/>
      <c r="BV2712" s="1"/>
    </row>
    <row r="2713" spans="1:74">
      <c r="A2713" s="1" t="s">
        <v>72</v>
      </c>
      <c r="B2713" s="1" t="s">
        <v>43141</v>
      </c>
      <c r="C2713" s="1" t="s">
        <v>74</v>
      </c>
      <c r="D2713" s="1" t="s">
        <v>74</v>
      </c>
      <c r="E2713" s="1" t="s">
        <v>74</v>
      </c>
      <c r="F2713" s="1" t="s">
        <v>43142</v>
      </c>
      <c r="G2713" s="1" t="s">
        <v>74</v>
      </c>
      <c r="H2713" s="1" t="s">
        <v>74</v>
      </c>
      <c r="I2713" s="1" t="s">
        <v>43143</v>
      </c>
      <c r="J2713" s="1" t="s">
        <v>4463</v>
      </c>
      <c r="K2713" s="1" t="s">
        <v>74</v>
      </c>
      <c r="L2713" s="1" t="s">
        <v>74</v>
      </c>
      <c r="M2713" s="1" t="s">
        <v>78</v>
      </c>
      <c r="N2713" s="1" t="s">
        <v>79</v>
      </c>
      <c r="O2713" s="1" t="s">
        <v>74</v>
      </c>
      <c r="P2713" s="1" t="s">
        <v>74</v>
      </c>
      <c r="Q2713" s="1" t="s">
        <v>74</v>
      </c>
      <c r="R2713" s="1" t="s">
        <v>74</v>
      </c>
      <c r="S2713" s="1" t="s">
        <v>74</v>
      </c>
      <c r="T2713" s="1" t="s">
        <v>74</v>
      </c>
      <c r="U2713" s="1" t="s">
        <v>43144</v>
      </c>
      <c r="V2713" s="1" t="s">
        <v>43145</v>
      </c>
      <c r="W2713" s="1" t="s">
        <v>43146</v>
      </c>
      <c r="X2713" s="1" t="s">
        <v>25649</v>
      </c>
      <c r="Y2713" s="1" t="s">
        <v>40947</v>
      </c>
      <c r="Z2713" s="1" t="s">
        <v>32756</v>
      </c>
      <c r="AA2713" s="1" t="s">
        <v>36380</v>
      </c>
      <c r="AB2713" s="1" t="s">
        <v>43147</v>
      </c>
      <c r="AC2713" s="1" t="s">
        <v>40949</v>
      </c>
      <c r="AD2713" s="1" t="s">
        <v>40950</v>
      </c>
      <c r="AE2713" s="1" t="s">
        <v>43148</v>
      </c>
      <c r="AF2713" s="1" t="s">
        <v>74</v>
      </c>
      <c r="AG2713" s="1">
        <v>55</v>
      </c>
      <c r="AH2713" s="1">
        <v>35</v>
      </c>
      <c r="AI2713" s="1">
        <v>36</v>
      </c>
      <c r="AJ2713" s="1">
        <v>6</v>
      </c>
      <c r="AK2713" s="1">
        <v>39</v>
      </c>
      <c r="AL2713" s="1" t="s">
        <v>4471</v>
      </c>
      <c r="AM2713" s="1" t="s">
        <v>4472</v>
      </c>
      <c r="AN2713" s="1" t="s">
        <v>4473</v>
      </c>
      <c r="AO2713" s="1" t="s">
        <v>4474</v>
      </c>
      <c r="AP2713" s="1" t="s">
        <v>4475</v>
      </c>
      <c r="AQ2713" s="1" t="s">
        <v>74</v>
      </c>
      <c r="AR2713" s="1" t="s">
        <v>4476</v>
      </c>
      <c r="AS2713" s="1" t="s">
        <v>4477</v>
      </c>
      <c r="AT2713" s="1" t="s">
        <v>43149</v>
      </c>
      <c r="AU2713" s="1">
        <v>2019</v>
      </c>
      <c r="AV2713" s="1">
        <v>53</v>
      </c>
      <c r="AW2713" s="1">
        <v>21</v>
      </c>
      <c r="AX2713" s="1" t="s">
        <v>74</v>
      </c>
      <c r="AY2713" s="1" t="s">
        <v>74</v>
      </c>
      <c r="AZ2713" s="1" t="s">
        <v>74</v>
      </c>
      <c r="BA2713" s="1" t="s">
        <v>74</v>
      </c>
      <c r="BB2713" s="1">
        <v>12754</v>
      </c>
      <c r="BC2713" s="1">
        <v>12763</v>
      </c>
      <c r="BD2713" s="1" t="s">
        <v>74</v>
      </c>
      <c r="BE2713" s="1" t="s">
        <v>43150</v>
      </c>
      <c r="BF2713" s="1" t="str">
        <f>HYPERLINK("http://dx.doi.org/10.1021/acs.est.9b03675","http://dx.doi.org/10.1021/acs.est.9b03675")</f>
        <v>http://dx.doi.org/10.1021/acs.est.9b03675</v>
      </c>
      <c r="BG2713" s="1" t="s">
        <v>74</v>
      </c>
      <c r="BH2713" s="1" t="s">
        <v>74</v>
      </c>
      <c r="BI2713" s="1">
        <v>10</v>
      </c>
      <c r="BJ2713" s="1" t="s">
        <v>415</v>
      </c>
      <c r="BK2713" s="1" t="s">
        <v>96</v>
      </c>
      <c r="BL2713" s="1" t="s">
        <v>416</v>
      </c>
      <c r="BM2713" s="1" t="s">
        <v>43151</v>
      </c>
      <c r="BN2713" s="1">
        <v>31596577</v>
      </c>
      <c r="BO2713" s="1" t="s">
        <v>74</v>
      </c>
      <c r="BP2713" s="1" t="s">
        <v>74</v>
      </c>
      <c r="BQ2713" s="1" t="s">
        <v>74</v>
      </c>
      <c r="BR2713" s="1" t="s">
        <v>98</v>
      </c>
      <c r="BS2713" s="1" t="s">
        <v>43152</v>
      </c>
      <c r="BT2713" s="1" t="str">
        <f>HYPERLINK("https%3A%2F%2Fwww.webofscience.com%2Fwos%2Fwoscc%2Ffull-record%2FWOS:000495467500065","View Full Record in Web of Science")</f>
        <v>View Full Record in Web of Science</v>
      </c>
      <c r="BU2713" s="1"/>
      <c r="BV2713" s="1"/>
    </row>
    <row r="2714" spans="1:74">
      <c r="A2714" s="1" t="s">
        <v>72</v>
      </c>
      <c r="B2714" s="1" t="s">
        <v>43153</v>
      </c>
      <c r="C2714" s="1" t="s">
        <v>74</v>
      </c>
      <c r="D2714" s="1" t="s">
        <v>74</v>
      </c>
      <c r="E2714" s="1" t="s">
        <v>74</v>
      </c>
      <c r="F2714" s="1" t="s">
        <v>43154</v>
      </c>
      <c r="G2714" s="1" t="s">
        <v>74</v>
      </c>
      <c r="H2714" s="1" t="s">
        <v>74</v>
      </c>
      <c r="I2714" s="1" t="s">
        <v>43155</v>
      </c>
      <c r="J2714" s="1" t="s">
        <v>554</v>
      </c>
      <c r="K2714" s="1" t="s">
        <v>74</v>
      </c>
      <c r="L2714" s="1" t="s">
        <v>74</v>
      </c>
      <c r="M2714" s="1" t="s">
        <v>78</v>
      </c>
      <c r="N2714" s="1" t="s">
        <v>79</v>
      </c>
      <c r="O2714" s="1" t="s">
        <v>74</v>
      </c>
      <c r="P2714" s="1" t="s">
        <v>74</v>
      </c>
      <c r="Q2714" s="1" t="s">
        <v>74</v>
      </c>
      <c r="R2714" s="1" t="s">
        <v>74</v>
      </c>
      <c r="S2714" s="1" t="s">
        <v>74</v>
      </c>
      <c r="T2714" s="1" t="s">
        <v>43156</v>
      </c>
      <c r="U2714" s="1" t="s">
        <v>43157</v>
      </c>
      <c r="V2714" s="1" t="s">
        <v>43158</v>
      </c>
      <c r="W2714" s="1" t="s">
        <v>43159</v>
      </c>
      <c r="X2714" s="1" t="s">
        <v>43160</v>
      </c>
      <c r="Y2714" s="1" t="s">
        <v>43161</v>
      </c>
      <c r="Z2714" s="1" t="s">
        <v>43162</v>
      </c>
      <c r="AA2714" s="1" t="s">
        <v>43163</v>
      </c>
      <c r="AB2714" s="1" t="s">
        <v>74</v>
      </c>
      <c r="AC2714" s="1" t="s">
        <v>43164</v>
      </c>
      <c r="AD2714" s="1" t="s">
        <v>43165</v>
      </c>
      <c r="AE2714" s="1" t="s">
        <v>43166</v>
      </c>
      <c r="AF2714" s="1" t="s">
        <v>74</v>
      </c>
      <c r="AG2714" s="1">
        <v>69</v>
      </c>
      <c r="AH2714" s="1">
        <v>3</v>
      </c>
      <c r="AI2714" s="1">
        <v>4</v>
      </c>
      <c r="AJ2714" s="1">
        <v>4</v>
      </c>
      <c r="AK2714" s="1">
        <v>20</v>
      </c>
      <c r="AL2714" s="1" t="s">
        <v>564</v>
      </c>
      <c r="AM2714" s="1" t="s">
        <v>113</v>
      </c>
      <c r="AN2714" s="1" t="s">
        <v>807</v>
      </c>
      <c r="AO2714" s="1" t="s">
        <v>566</v>
      </c>
      <c r="AP2714" s="1" t="s">
        <v>567</v>
      </c>
      <c r="AQ2714" s="1" t="s">
        <v>74</v>
      </c>
      <c r="AR2714" s="1" t="s">
        <v>568</v>
      </c>
      <c r="AS2714" s="1" t="s">
        <v>569</v>
      </c>
      <c r="AT2714" s="1" t="s">
        <v>765</v>
      </c>
      <c r="AU2714" s="1">
        <v>2022</v>
      </c>
      <c r="AV2714" s="1">
        <v>257</v>
      </c>
      <c r="AW2714" s="1" t="s">
        <v>74</v>
      </c>
      <c r="AX2714" s="1" t="s">
        <v>74</v>
      </c>
      <c r="AY2714" s="1" t="s">
        <v>74</v>
      </c>
      <c r="AZ2714" s="1" t="s">
        <v>74</v>
      </c>
      <c r="BA2714" s="1" t="s">
        <v>74</v>
      </c>
      <c r="BB2714" s="1" t="s">
        <v>74</v>
      </c>
      <c r="BC2714" s="1" t="s">
        <v>74</v>
      </c>
      <c r="BD2714" s="1">
        <v>109333</v>
      </c>
      <c r="BE2714" s="1" t="s">
        <v>43167</v>
      </c>
      <c r="BF2714" s="1" t="str">
        <f>HYPERLINK("http://dx.doi.org/10.1016/j.cbpc.2022.109333","http://dx.doi.org/10.1016/j.cbpc.2022.109333")</f>
        <v>http://dx.doi.org/10.1016/j.cbpc.2022.109333</v>
      </c>
      <c r="BG2714" s="1" t="s">
        <v>74</v>
      </c>
      <c r="BH2714" s="1" t="s">
        <v>5038</v>
      </c>
      <c r="BI2714" s="1">
        <v>9</v>
      </c>
      <c r="BJ2714" s="1" t="s">
        <v>571</v>
      </c>
      <c r="BK2714" s="1" t="s">
        <v>96</v>
      </c>
      <c r="BL2714" s="1" t="s">
        <v>571</v>
      </c>
      <c r="BM2714" s="1" t="s">
        <v>43168</v>
      </c>
      <c r="BN2714" s="1">
        <v>35351620</v>
      </c>
      <c r="BO2714" s="1" t="s">
        <v>74</v>
      </c>
      <c r="BP2714" s="1" t="s">
        <v>74</v>
      </c>
      <c r="BQ2714" s="1" t="s">
        <v>74</v>
      </c>
      <c r="BR2714" s="1" t="s">
        <v>98</v>
      </c>
      <c r="BS2714" s="1" t="s">
        <v>43169</v>
      </c>
      <c r="BT2714" s="1" t="str">
        <f>HYPERLINK("https%3A%2F%2Fwww.webofscience.com%2Fwos%2Fwoscc%2Ffull-record%2FWOS:000821072300007","View Full Record in Web of Science")</f>
        <v>View Full Record in Web of Science</v>
      </c>
      <c r="BU2714" s="1"/>
      <c r="BV2714" s="1"/>
    </row>
    <row r="2715" spans="1:74">
      <c r="A2715" s="1" t="s">
        <v>72</v>
      </c>
      <c r="B2715" s="1" t="s">
        <v>43170</v>
      </c>
      <c r="C2715" s="1" t="s">
        <v>74</v>
      </c>
      <c r="D2715" s="1" t="s">
        <v>74</v>
      </c>
      <c r="E2715" s="1" t="s">
        <v>74</v>
      </c>
      <c r="F2715" s="1" t="s">
        <v>43171</v>
      </c>
      <c r="G2715" s="1" t="s">
        <v>74</v>
      </c>
      <c r="H2715" s="1" t="s">
        <v>74</v>
      </c>
      <c r="I2715" s="1" t="s">
        <v>43172</v>
      </c>
      <c r="J2715" s="1" t="s">
        <v>37182</v>
      </c>
      <c r="K2715" s="1" t="s">
        <v>74</v>
      </c>
      <c r="L2715" s="1" t="s">
        <v>74</v>
      </c>
      <c r="M2715" s="1" t="s">
        <v>78</v>
      </c>
      <c r="N2715" s="1" t="s">
        <v>79</v>
      </c>
      <c r="O2715" s="1" t="s">
        <v>74</v>
      </c>
      <c r="P2715" s="1" t="s">
        <v>74</v>
      </c>
      <c r="Q2715" s="1" t="s">
        <v>74</v>
      </c>
      <c r="R2715" s="1" t="s">
        <v>74</v>
      </c>
      <c r="S2715" s="1" t="s">
        <v>74</v>
      </c>
      <c r="T2715" s="1" t="s">
        <v>43173</v>
      </c>
      <c r="U2715" s="1" t="s">
        <v>74</v>
      </c>
      <c r="V2715" s="1" t="s">
        <v>43174</v>
      </c>
      <c r="W2715" s="1" t="s">
        <v>43175</v>
      </c>
      <c r="X2715" s="1" t="s">
        <v>43176</v>
      </c>
      <c r="Y2715" s="1" t="s">
        <v>43177</v>
      </c>
      <c r="Z2715" s="1" t="s">
        <v>43178</v>
      </c>
      <c r="AA2715" s="1" t="s">
        <v>74</v>
      </c>
      <c r="AB2715" s="1" t="s">
        <v>74</v>
      </c>
      <c r="AC2715" s="1" t="s">
        <v>43179</v>
      </c>
      <c r="AD2715" s="1" t="s">
        <v>43180</v>
      </c>
      <c r="AE2715" s="1" t="s">
        <v>43181</v>
      </c>
      <c r="AF2715" s="1" t="s">
        <v>74</v>
      </c>
      <c r="AG2715" s="1">
        <v>28</v>
      </c>
      <c r="AH2715" s="1">
        <v>1</v>
      </c>
      <c r="AI2715" s="1">
        <v>2</v>
      </c>
      <c r="AJ2715" s="1">
        <v>3</v>
      </c>
      <c r="AK2715" s="1">
        <v>23</v>
      </c>
      <c r="AL2715" s="1" t="s">
        <v>650</v>
      </c>
      <c r="AM2715" s="1" t="s">
        <v>651</v>
      </c>
      <c r="AN2715" s="1" t="s">
        <v>652</v>
      </c>
      <c r="AO2715" s="1" t="s">
        <v>37193</v>
      </c>
      <c r="AP2715" s="1" t="s">
        <v>37194</v>
      </c>
      <c r="AQ2715" s="1" t="s">
        <v>74</v>
      </c>
      <c r="AR2715" s="1" t="s">
        <v>37195</v>
      </c>
      <c r="AS2715" s="1" t="s">
        <v>37196</v>
      </c>
      <c r="AT2715" s="1" t="s">
        <v>1223</v>
      </c>
      <c r="AU2715" s="1">
        <v>2023</v>
      </c>
      <c r="AV2715" s="1">
        <v>73</v>
      </c>
      <c r="AW2715" s="1" t="s">
        <v>74</v>
      </c>
      <c r="AX2715" s="1" t="s">
        <v>74</v>
      </c>
      <c r="AY2715" s="1" t="s">
        <v>74</v>
      </c>
      <c r="AZ2715" s="1" t="s">
        <v>74</v>
      </c>
      <c r="BA2715" s="1" t="s">
        <v>74</v>
      </c>
      <c r="BB2715" s="1" t="s">
        <v>74</v>
      </c>
      <c r="BC2715" s="1" t="s">
        <v>74</v>
      </c>
      <c r="BD2715" s="1">
        <v>101935</v>
      </c>
      <c r="BE2715" s="1" t="s">
        <v>43182</v>
      </c>
      <c r="BF2715" s="1" t="str">
        <f>HYPERLINK("http://dx.doi.org/10.1016/j.ecoinf.2022.101935","http://dx.doi.org/10.1016/j.ecoinf.2022.101935")</f>
        <v>http://dx.doi.org/10.1016/j.ecoinf.2022.101935</v>
      </c>
      <c r="BG2715" s="1" t="s">
        <v>74</v>
      </c>
      <c r="BH2715" s="1" t="s">
        <v>4283</v>
      </c>
      <c r="BI2715" s="1">
        <v>11</v>
      </c>
      <c r="BJ2715" s="1" t="s">
        <v>6054</v>
      </c>
      <c r="BK2715" s="1" t="s">
        <v>96</v>
      </c>
      <c r="BL2715" s="1" t="s">
        <v>145</v>
      </c>
      <c r="BM2715" s="1" t="s">
        <v>43183</v>
      </c>
      <c r="BN2715" s="1" t="s">
        <v>74</v>
      </c>
      <c r="BO2715" s="1" t="s">
        <v>370</v>
      </c>
      <c r="BP2715" s="1" t="s">
        <v>74</v>
      </c>
      <c r="BQ2715" s="1" t="s">
        <v>74</v>
      </c>
      <c r="BR2715" s="1" t="s">
        <v>98</v>
      </c>
      <c r="BS2715" s="1" t="s">
        <v>43184</v>
      </c>
      <c r="BT2715" s="1" t="str">
        <f>HYPERLINK("https%3A%2F%2Fwww.webofscience.com%2Fwos%2Fwoscc%2Ffull-record%2FWOS:000895756000002","View Full Record in Web of Science")</f>
        <v>View Full Record in Web of Science</v>
      </c>
      <c r="BU2715" s="1"/>
      <c r="BV2715" s="1"/>
    </row>
    <row r="2716" spans="1:74">
      <c r="A2716" s="1" t="s">
        <v>72</v>
      </c>
      <c r="B2716" s="1" t="s">
        <v>43185</v>
      </c>
      <c r="C2716" s="1" t="s">
        <v>74</v>
      </c>
      <c r="D2716" s="1" t="s">
        <v>74</v>
      </c>
      <c r="E2716" s="1" t="s">
        <v>74</v>
      </c>
      <c r="F2716" s="1" t="s">
        <v>43186</v>
      </c>
      <c r="G2716" s="1" t="s">
        <v>74</v>
      </c>
      <c r="H2716" s="1" t="s">
        <v>74</v>
      </c>
      <c r="I2716" s="1" t="s">
        <v>43187</v>
      </c>
      <c r="J2716" s="1" t="s">
        <v>232</v>
      </c>
      <c r="K2716" s="1" t="s">
        <v>74</v>
      </c>
      <c r="L2716" s="1" t="s">
        <v>74</v>
      </c>
      <c r="M2716" s="1" t="s">
        <v>78</v>
      </c>
      <c r="N2716" s="1" t="s">
        <v>79</v>
      </c>
      <c r="O2716" s="1" t="s">
        <v>74</v>
      </c>
      <c r="P2716" s="1" t="s">
        <v>74</v>
      </c>
      <c r="Q2716" s="1" t="s">
        <v>74</v>
      </c>
      <c r="R2716" s="1" t="s">
        <v>74</v>
      </c>
      <c r="S2716" s="1" t="s">
        <v>74</v>
      </c>
      <c r="T2716" s="1" t="s">
        <v>43188</v>
      </c>
      <c r="U2716" s="1" t="s">
        <v>43189</v>
      </c>
      <c r="V2716" s="1" t="s">
        <v>43190</v>
      </c>
      <c r="W2716" s="1" t="s">
        <v>43191</v>
      </c>
      <c r="X2716" s="1" t="s">
        <v>43192</v>
      </c>
      <c r="Y2716" s="1" t="s">
        <v>43193</v>
      </c>
      <c r="Z2716" s="1" t="s">
        <v>43194</v>
      </c>
      <c r="AA2716" s="1" t="s">
        <v>43195</v>
      </c>
      <c r="AB2716" s="1" t="s">
        <v>43196</v>
      </c>
      <c r="AC2716" s="1" t="s">
        <v>43197</v>
      </c>
      <c r="AD2716" s="1" t="s">
        <v>43198</v>
      </c>
      <c r="AE2716" s="1" t="s">
        <v>43199</v>
      </c>
      <c r="AF2716" s="1" t="s">
        <v>74</v>
      </c>
      <c r="AG2716" s="1">
        <v>97</v>
      </c>
      <c r="AH2716" s="1">
        <v>0</v>
      </c>
      <c r="AI2716" s="1">
        <v>0</v>
      </c>
      <c r="AJ2716" s="1">
        <v>1</v>
      </c>
      <c r="AK2716" s="1">
        <v>1</v>
      </c>
      <c r="AL2716" s="1" t="s">
        <v>136</v>
      </c>
      <c r="AM2716" s="1" t="s">
        <v>137</v>
      </c>
      <c r="AN2716" s="1" t="s">
        <v>138</v>
      </c>
      <c r="AO2716" s="1" t="s">
        <v>240</v>
      </c>
      <c r="AP2716" s="1" t="s">
        <v>241</v>
      </c>
      <c r="AQ2716" s="1" t="s">
        <v>74</v>
      </c>
      <c r="AR2716" s="1" t="s">
        <v>242</v>
      </c>
      <c r="AS2716" s="1" t="s">
        <v>243</v>
      </c>
      <c r="AT2716" s="1" t="s">
        <v>267</v>
      </c>
      <c r="AU2716" s="1">
        <v>2024</v>
      </c>
      <c r="AV2716" s="1">
        <v>207</v>
      </c>
      <c r="AW2716" s="1" t="s">
        <v>74</v>
      </c>
      <c r="AX2716" s="1" t="s">
        <v>74</v>
      </c>
      <c r="AY2716" s="1" t="s">
        <v>74</v>
      </c>
      <c r="AZ2716" s="1" t="s">
        <v>74</v>
      </c>
      <c r="BA2716" s="1" t="s">
        <v>74</v>
      </c>
      <c r="BB2716" s="1" t="s">
        <v>74</v>
      </c>
      <c r="BC2716" s="1" t="s">
        <v>74</v>
      </c>
      <c r="BD2716" s="1">
        <v>116827</v>
      </c>
      <c r="BE2716" s="1" t="s">
        <v>43200</v>
      </c>
      <c r="BF2716" s="1" t="str">
        <f>HYPERLINK("http://dx.doi.org/10.1016/j.marpolbul.2024.116827","http://dx.doi.org/10.1016/j.marpolbul.2024.116827")</f>
        <v>http://dx.doi.org/10.1016/j.marpolbul.2024.116827</v>
      </c>
      <c r="BG2716" s="1" t="s">
        <v>74</v>
      </c>
      <c r="BH2716" s="1" t="s">
        <v>74</v>
      </c>
      <c r="BI2716" s="1">
        <v>13</v>
      </c>
      <c r="BJ2716" s="1" t="s">
        <v>247</v>
      </c>
      <c r="BK2716" s="1" t="s">
        <v>96</v>
      </c>
      <c r="BL2716" s="1" t="s">
        <v>248</v>
      </c>
      <c r="BM2716" s="1" t="s">
        <v>43201</v>
      </c>
      <c r="BN2716" s="1">
        <v>39168088</v>
      </c>
      <c r="BO2716" s="1" t="s">
        <v>476</v>
      </c>
      <c r="BP2716" s="1" t="s">
        <v>74</v>
      </c>
      <c r="BQ2716" s="1" t="s">
        <v>74</v>
      </c>
      <c r="BR2716" s="1" t="s">
        <v>98</v>
      </c>
      <c r="BS2716" s="1" t="s">
        <v>43202</v>
      </c>
      <c r="BT2716" s="1" t="str">
        <f>HYPERLINK("https%3A%2F%2Fwww.webofscience.com%2Fwos%2Fwoscc%2Ffull-record%2FWOS:001300589600001","View Full Record in Web of Science")</f>
        <v>View Full Record in Web of Science</v>
      </c>
      <c r="BU2716" s="1"/>
      <c r="BV2716" s="1"/>
    </row>
    <row r="2717" spans="1:74">
      <c r="A2717" s="1" t="s">
        <v>72</v>
      </c>
      <c r="B2717" s="1" t="s">
        <v>43203</v>
      </c>
      <c r="C2717" s="1" t="s">
        <v>74</v>
      </c>
      <c r="D2717" s="1" t="s">
        <v>74</v>
      </c>
      <c r="E2717" s="1" t="s">
        <v>74</v>
      </c>
      <c r="F2717" s="1" t="s">
        <v>43204</v>
      </c>
      <c r="G2717" s="1" t="s">
        <v>74</v>
      </c>
      <c r="H2717" s="1" t="s">
        <v>74</v>
      </c>
      <c r="I2717" s="1" t="s">
        <v>43205</v>
      </c>
      <c r="J2717" s="1" t="s">
        <v>7477</v>
      </c>
      <c r="K2717" s="1" t="s">
        <v>74</v>
      </c>
      <c r="L2717" s="1" t="s">
        <v>74</v>
      </c>
      <c r="M2717" s="1" t="s">
        <v>78</v>
      </c>
      <c r="N2717" s="1" t="s">
        <v>79</v>
      </c>
      <c r="O2717" s="1" t="s">
        <v>74</v>
      </c>
      <c r="P2717" s="1" t="s">
        <v>74</v>
      </c>
      <c r="Q2717" s="1" t="s">
        <v>74</v>
      </c>
      <c r="R2717" s="1" t="s">
        <v>74</v>
      </c>
      <c r="S2717" s="1" t="s">
        <v>74</v>
      </c>
      <c r="T2717" s="1" t="s">
        <v>43206</v>
      </c>
      <c r="U2717" s="1" t="s">
        <v>43207</v>
      </c>
      <c r="V2717" s="1" t="s">
        <v>43208</v>
      </c>
      <c r="W2717" s="1" t="s">
        <v>43209</v>
      </c>
      <c r="X2717" s="1" t="s">
        <v>43210</v>
      </c>
      <c r="Y2717" s="1" t="s">
        <v>43211</v>
      </c>
      <c r="Z2717" s="1" t="s">
        <v>43212</v>
      </c>
      <c r="AA2717" s="1" t="s">
        <v>43213</v>
      </c>
      <c r="AB2717" s="1" t="s">
        <v>43214</v>
      </c>
      <c r="AC2717" s="1" t="s">
        <v>30080</v>
      </c>
      <c r="AD2717" s="1" t="s">
        <v>14277</v>
      </c>
      <c r="AE2717" s="1" t="s">
        <v>43215</v>
      </c>
      <c r="AF2717" s="1" t="s">
        <v>74</v>
      </c>
      <c r="AG2717" s="1">
        <v>66</v>
      </c>
      <c r="AH2717" s="1">
        <v>6</v>
      </c>
      <c r="AI2717" s="1">
        <v>6</v>
      </c>
      <c r="AJ2717" s="1">
        <v>0</v>
      </c>
      <c r="AK2717" s="1">
        <v>9</v>
      </c>
      <c r="AL2717" s="1" t="s">
        <v>6554</v>
      </c>
      <c r="AM2717" s="1" t="s">
        <v>113</v>
      </c>
      <c r="AN2717" s="1" t="s">
        <v>6555</v>
      </c>
      <c r="AO2717" s="1" t="s">
        <v>7487</v>
      </c>
      <c r="AP2717" s="1" t="s">
        <v>7488</v>
      </c>
      <c r="AQ2717" s="1" t="s">
        <v>74</v>
      </c>
      <c r="AR2717" s="1" t="s">
        <v>7489</v>
      </c>
      <c r="AS2717" s="1" t="s">
        <v>7490</v>
      </c>
      <c r="AT2717" s="1" t="s">
        <v>1470</v>
      </c>
      <c r="AU2717" s="1">
        <v>2016</v>
      </c>
      <c r="AV2717" s="1">
        <v>42</v>
      </c>
      <c r="AW2717" s="1">
        <v>1</v>
      </c>
      <c r="AX2717" s="1" t="s">
        <v>74</v>
      </c>
      <c r="AY2717" s="1" t="s">
        <v>74</v>
      </c>
      <c r="AZ2717" s="1" t="s">
        <v>74</v>
      </c>
      <c r="BA2717" s="1" t="s">
        <v>74</v>
      </c>
      <c r="BB2717" s="1">
        <v>87</v>
      </c>
      <c r="BC2717" s="1">
        <v>96</v>
      </c>
      <c r="BD2717" s="1" t="s">
        <v>74</v>
      </c>
      <c r="BE2717" s="1" t="s">
        <v>43216</v>
      </c>
      <c r="BF2717" s="1" t="str">
        <f>HYPERLINK("http://dx.doi.org/10.1134/S1063074016010053","http://dx.doi.org/10.1134/S1063074016010053")</f>
        <v>http://dx.doi.org/10.1134/S1063074016010053</v>
      </c>
      <c r="BG2717" s="1" t="s">
        <v>74</v>
      </c>
      <c r="BH2717" s="1" t="s">
        <v>74</v>
      </c>
      <c r="BI2717" s="1">
        <v>10</v>
      </c>
      <c r="BJ2717" s="1" t="s">
        <v>680</v>
      </c>
      <c r="BK2717" s="1" t="s">
        <v>96</v>
      </c>
      <c r="BL2717" s="1" t="s">
        <v>680</v>
      </c>
      <c r="BM2717" s="1" t="s">
        <v>30084</v>
      </c>
      <c r="BN2717" s="1" t="s">
        <v>74</v>
      </c>
      <c r="BO2717" s="1" t="s">
        <v>74</v>
      </c>
      <c r="BP2717" s="1" t="s">
        <v>74</v>
      </c>
      <c r="BQ2717" s="1" t="s">
        <v>74</v>
      </c>
      <c r="BR2717" s="1" t="s">
        <v>98</v>
      </c>
      <c r="BS2717" s="1" t="s">
        <v>43217</v>
      </c>
      <c r="BT2717" s="1" t="str">
        <f>HYPERLINK("https%3A%2F%2Fwww.webofscience.com%2Fwos%2Fwoscc%2Ffull-record%2FWOS:000373961500012","View Full Record in Web of Science")</f>
        <v>View Full Record in Web of Science</v>
      </c>
      <c r="BU2717" s="1"/>
      <c r="BV2717" s="1"/>
    </row>
    <row r="2718" spans="1:74">
      <c r="A2718" s="1" t="s">
        <v>72</v>
      </c>
      <c r="B2718" s="1" t="s">
        <v>43218</v>
      </c>
      <c r="C2718" s="1" t="s">
        <v>74</v>
      </c>
      <c r="D2718" s="1" t="s">
        <v>74</v>
      </c>
      <c r="E2718" s="1" t="s">
        <v>74</v>
      </c>
      <c r="F2718" s="1" t="s">
        <v>43219</v>
      </c>
      <c r="G2718" s="1" t="s">
        <v>74</v>
      </c>
      <c r="H2718" s="1" t="s">
        <v>74</v>
      </c>
      <c r="I2718" s="1" t="s">
        <v>43220</v>
      </c>
      <c r="J2718" s="1" t="s">
        <v>641</v>
      </c>
      <c r="K2718" s="1" t="s">
        <v>74</v>
      </c>
      <c r="L2718" s="1" t="s">
        <v>74</v>
      </c>
      <c r="M2718" s="1" t="s">
        <v>78</v>
      </c>
      <c r="N2718" s="1" t="s">
        <v>79</v>
      </c>
      <c r="O2718" s="1" t="s">
        <v>74</v>
      </c>
      <c r="P2718" s="1" t="s">
        <v>74</v>
      </c>
      <c r="Q2718" s="1" t="s">
        <v>74</v>
      </c>
      <c r="R2718" s="1" t="s">
        <v>74</v>
      </c>
      <c r="S2718" s="1" t="s">
        <v>74</v>
      </c>
      <c r="T2718" s="1" t="s">
        <v>43221</v>
      </c>
      <c r="U2718" s="1" t="s">
        <v>43222</v>
      </c>
      <c r="V2718" s="1" t="s">
        <v>43223</v>
      </c>
      <c r="W2718" s="1" t="s">
        <v>43224</v>
      </c>
      <c r="X2718" s="1" t="s">
        <v>9166</v>
      </c>
      <c r="Y2718" s="1" t="s">
        <v>9287</v>
      </c>
      <c r="Z2718" s="1" t="s">
        <v>9288</v>
      </c>
      <c r="AA2718" s="1" t="s">
        <v>43225</v>
      </c>
      <c r="AB2718" s="1" t="s">
        <v>43226</v>
      </c>
      <c r="AC2718" s="1" t="s">
        <v>43227</v>
      </c>
      <c r="AD2718" s="1" t="s">
        <v>43228</v>
      </c>
      <c r="AE2718" s="1" t="s">
        <v>43229</v>
      </c>
      <c r="AF2718" s="1" t="s">
        <v>74</v>
      </c>
      <c r="AG2718" s="1">
        <v>96</v>
      </c>
      <c r="AH2718" s="1">
        <v>69</v>
      </c>
      <c r="AI2718" s="1">
        <v>76</v>
      </c>
      <c r="AJ2718" s="1">
        <v>3</v>
      </c>
      <c r="AK2718" s="1">
        <v>96</v>
      </c>
      <c r="AL2718" s="1" t="s">
        <v>650</v>
      </c>
      <c r="AM2718" s="1" t="s">
        <v>651</v>
      </c>
      <c r="AN2718" s="1" t="s">
        <v>652</v>
      </c>
      <c r="AO2718" s="1" t="s">
        <v>653</v>
      </c>
      <c r="AP2718" s="1" t="s">
        <v>654</v>
      </c>
      <c r="AQ2718" s="1" t="s">
        <v>74</v>
      </c>
      <c r="AR2718" s="1" t="s">
        <v>655</v>
      </c>
      <c r="AS2718" s="1" t="s">
        <v>656</v>
      </c>
      <c r="AT2718" s="1" t="s">
        <v>765</v>
      </c>
      <c r="AU2718" s="1">
        <v>2016</v>
      </c>
      <c r="AV2718" s="1">
        <v>176</v>
      </c>
      <c r="AW2718" s="1" t="s">
        <v>74</v>
      </c>
      <c r="AX2718" s="1" t="s">
        <v>74</v>
      </c>
      <c r="AY2718" s="1" t="s">
        <v>74</v>
      </c>
      <c r="AZ2718" s="1" t="s">
        <v>74</v>
      </c>
      <c r="BA2718" s="1" t="s">
        <v>74</v>
      </c>
      <c r="BB2718" s="1">
        <v>141</v>
      </c>
      <c r="BC2718" s="1">
        <v>150</v>
      </c>
      <c r="BD2718" s="1" t="s">
        <v>74</v>
      </c>
      <c r="BE2718" s="1" t="s">
        <v>43230</v>
      </c>
      <c r="BF2718" s="1" t="str">
        <f>HYPERLINK("http://dx.doi.org/10.1016/j.aquatox.2016.04.016","http://dx.doi.org/10.1016/j.aquatox.2016.04.016")</f>
        <v>http://dx.doi.org/10.1016/j.aquatox.2016.04.016</v>
      </c>
      <c r="BG2718" s="1" t="s">
        <v>74</v>
      </c>
      <c r="BH2718" s="1" t="s">
        <v>74</v>
      </c>
      <c r="BI2718" s="1">
        <v>10</v>
      </c>
      <c r="BJ2718" s="1" t="s">
        <v>659</v>
      </c>
      <c r="BK2718" s="1" t="s">
        <v>96</v>
      </c>
      <c r="BL2718" s="1" t="s">
        <v>659</v>
      </c>
      <c r="BM2718" s="1" t="s">
        <v>43231</v>
      </c>
      <c r="BN2718" s="1">
        <v>27131887</v>
      </c>
      <c r="BO2718" s="1" t="s">
        <v>74</v>
      </c>
      <c r="BP2718" s="1" t="s">
        <v>74</v>
      </c>
      <c r="BQ2718" s="1" t="s">
        <v>74</v>
      </c>
      <c r="BR2718" s="1" t="s">
        <v>98</v>
      </c>
      <c r="BS2718" s="1" t="s">
        <v>43232</v>
      </c>
      <c r="BT2718" s="1" t="str">
        <f>HYPERLINK("https%3A%2F%2Fwww.webofscience.com%2Fwos%2Fwoscc%2Ffull-record%2FWOS:000377734500015","View Full Record in Web of Science")</f>
        <v>View Full Record in Web of Science</v>
      </c>
      <c r="BU2718" s="1"/>
      <c r="BV2718" s="1"/>
    </row>
    <row r="2719" spans="1:74">
      <c r="A2719" s="1" t="s">
        <v>72</v>
      </c>
      <c r="B2719" s="1" t="s">
        <v>43233</v>
      </c>
      <c r="C2719" s="1" t="s">
        <v>74</v>
      </c>
      <c r="D2719" s="1" t="s">
        <v>74</v>
      </c>
      <c r="E2719" s="1" t="s">
        <v>74</v>
      </c>
      <c r="F2719" s="1" t="s">
        <v>43234</v>
      </c>
      <c r="G2719" s="1" t="s">
        <v>74</v>
      </c>
      <c r="H2719" s="1" t="s">
        <v>74</v>
      </c>
      <c r="I2719" s="1" t="s">
        <v>43235</v>
      </c>
      <c r="J2719" s="1" t="s">
        <v>204</v>
      </c>
      <c r="K2719" s="1" t="s">
        <v>74</v>
      </c>
      <c r="L2719" s="1" t="s">
        <v>74</v>
      </c>
      <c r="M2719" s="1" t="s">
        <v>78</v>
      </c>
      <c r="N2719" s="1" t="s">
        <v>151</v>
      </c>
      <c r="O2719" s="1" t="s">
        <v>10606</v>
      </c>
      <c r="P2719" s="1" t="s">
        <v>10607</v>
      </c>
      <c r="Q2719" s="1" t="s">
        <v>10608</v>
      </c>
      <c r="R2719" s="1" t="s">
        <v>74</v>
      </c>
      <c r="S2719" s="1" t="s">
        <v>10609</v>
      </c>
      <c r="T2719" s="1" t="s">
        <v>43236</v>
      </c>
      <c r="U2719" s="1" t="s">
        <v>43237</v>
      </c>
      <c r="V2719" s="1" t="s">
        <v>43238</v>
      </c>
      <c r="W2719" s="1" t="s">
        <v>43239</v>
      </c>
      <c r="X2719" s="1" t="s">
        <v>43240</v>
      </c>
      <c r="Y2719" s="1" t="s">
        <v>35106</v>
      </c>
      <c r="Z2719" s="1" t="s">
        <v>10615</v>
      </c>
      <c r="AA2719" s="1" t="s">
        <v>43241</v>
      </c>
      <c r="AB2719" s="1" t="s">
        <v>43242</v>
      </c>
      <c r="AC2719" s="1" t="s">
        <v>43243</v>
      </c>
      <c r="AD2719" s="1" t="s">
        <v>43244</v>
      </c>
      <c r="AE2719" s="1" t="s">
        <v>43245</v>
      </c>
      <c r="AF2719" s="1" t="s">
        <v>74</v>
      </c>
      <c r="AG2719" s="1">
        <v>40</v>
      </c>
      <c r="AH2719" s="1">
        <v>74</v>
      </c>
      <c r="AI2719" s="1">
        <v>78</v>
      </c>
      <c r="AJ2719" s="1">
        <v>10</v>
      </c>
      <c r="AK2719" s="1">
        <v>214</v>
      </c>
      <c r="AL2719" s="1" t="s">
        <v>217</v>
      </c>
      <c r="AM2719" s="1" t="s">
        <v>218</v>
      </c>
      <c r="AN2719" s="1" t="s">
        <v>219</v>
      </c>
      <c r="AO2719" s="1" t="s">
        <v>220</v>
      </c>
      <c r="AP2719" s="1" t="s">
        <v>221</v>
      </c>
      <c r="AQ2719" s="1" t="s">
        <v>74</v>
      </c>
      <c r="AR2719" s="1" t="s">
        <v>222</v>
      </c>
      <c r="AS2719" s="1" t="s">
        <v>223</v>
      </c>
      <c r="AT2719" s="1" t="s">
        <v>224</v>
      </c>
      <c r="AU2719" s="1">
        <v>2020</v>
      </c>
      <c r="AV2719" s="1">
        <v>27</v>
      </c>
      <c r="AW2719" s="1">
        <v>4</v>
      </c>
      <c r="AX2719" s="1" t="s">
        <v>74</v>
      </c>
      <c r="AY2719" s="1" t="s">
        <v>74</v>
      </c>
      <c r="AZ2719" s="1" t="s">
        <v>74</v>
      </c>
      <c r="BA2719" s="1" t="s">
        <v>74</v>
      </c>
      <c r="BB2719" s="1">
        <v>3746</v>
      </c>
      <c r="BC2719" s="1">
        <v>3755</v>
      </c>
      <c r="BD2719" s="1" t="s">
        <v>74</v>
      </c>
      <c r="BE2719" s="1" t="s">
        <v>43246</v>
      </c>
      <c r="BF2719" s="1" t="str">
        <f>HYPERLINK("http://dx.doi.org/10.1007/s11356-019-04668-3","http://dx.doi.org/10.1007/s11356-019-04668-3")</f>
        <v>http://dx.doi.org/10.1007/s11356-019-04668-3</v>
      </c>
      <c r="BG2719" s="1" t="s">
        <v>74</v>
      </c>
      <c r="BH2719" s="1" t="s">
        <v>74</v>
      </c>
      <c r="BI2719" s="1">
        <v>10</v>
      </c>
      <c r="BJ2719" s="1" t="s">
        <v>144</v>
      </c>
      <c r="BK2719" s="1" t="s">
        <v>172</v>
      </c>
      <c r="BL2719" s="1" t="s">
        <v>145</v>
      </c>
      <c r="BM2719" s="1" t="s">
        <v>10618</v>
      </c>
      <c r="BN2719" s="1">
        <v>31044382</v>
      </c>
      <c r="BO2719" s="1" t="s">
        <v>74</v>
      </c>
      <c r="BP2719" s="1" t="s">
        <v>74</v>
      </c>
      <c r="BQ2719" s="1" t="s">
        <v>74</v>
      </c>
      <c r="BR2719" s="1" t="s">
        <v>98</v>
      </c>
      <c r="BS2719" s="1" t="s">
        <v>43247</v>
      </c>
      <c r="BT2719" s="1" t="str">
        <f>HYPERLINK("https%3A%2F%2Fwww.webofscience.com%2Fwos%2Fwoscc%2Ffull-record%2FWOS:000519703100019","View Full Record in Web of Science")</f>
        <v>View Full Record in Web of Science</v>
      </c>
      <c r="BU2719" s="1"/>
      <c r="BV2719" s="1"/>
    </row>
    <row r="2720" spans="1:74">
      <c r="A2720" s="1" t="s">
        <v>72</v>
      </c>
      <c r="B2720" s="1" t="s">
        <v>43248</v>
      </c>
      <c r="C2720" s="1" t="s">
        <v>74</v>
      </c>
      <c r="D2720" s="1" t="s">
        <v>74</v>
      </c>
      <c r="E2720" s="1" t="s">
        <v>74</v>
      </c>
      <c r="F2720" s="1" t="s">
        <v>43248</v>
      </c>
      <c r="G2720" s="1" t="s">
        <v>74</v>
      </c>
      <c r="H2720" s="1" t="s">
        <v>74</v>
      </c>
      <c r="I2720" s="1" t="s">
        <v>43249</v>
      </c>
      <c r="J2720" s="1" t="s">
        <v>43250</v>
      </c>
      <c r="K2720" s="1" t="s">
        <v>74</v>
      </c>
      <c r="L2720" s="1" t="s">
        <v>74</v>
      </c>
      <c r="M2720" s="1" t="s">
        <v>78</v>
      </c>
      <c r="N2720" s="1" t="s">
        <v>79</v>
      </c>
      <c r="O2720" s="1" t="s">
        <v>74</v>
      </c>
      <c r="P2720" s="1" t="s">
        <v>74</v>
      </c>
      <c r="Q2720" s="1" t="s">
        <v>74</v>
      </c>
      <c r="R2720" s="1" t="s">
        <v>74</v>
      </c>
      <c r="S2720" s="1" t="s">
        <v>74</v>
      </c>
      <c r="T2720" s="1" t="s">
        <v>74</v>
      </c>
      <c r="U2720" s="1" t="s">
        <v>43251</v>
      </c>
      <c r="V2720" s="1" t="s">
        <v>43252</v>
      </c>
      <c r="W2720" s="1" t="s">
        <v>43253</v>
      </c>
      <c r="X2720" s="1" t="s">
        <v>42236</v>
      </c>
      <c r="Y2720" s="1" t="s">
        <v>43254</v>
      </c>
      <c r="Z2720" s="1" t="s">
        <v>74</v>
      </c>
      <c r="AA2720" s="1" t="s">
        <v>74</v>
      </c>
      <c r="AB2720" s="1" t="s">
        <v>74</v>
      </c>
      <c r="AC2720" s="1" t="s">
        <v>74</v>
      </c>
      <c r="AD2720" s="1" t="s">
        <v>74</v>
      </c>
      <c r="AE2720" s="1" t="s">
        <v>74</v>
      </c>
      <c r="AF2720" s="1" t="s">
        <v>74</v>
      </c>
      <c r="AG2720" s="1">
        <v>37</v>
      </c>
      <c r="AH2720" s="1">
        <v>146</v>
      </c>
      <c r="AI2720" s="1">
        <v>171</v>
      </c>
      <c r="AJ2720" s="1">
        <v>2</v>
      </c>
      <c r="AK2720" s="1">
        <v>66</v>
      </c>
      <c r="AL2720" s="1" t="s">
        <v>430</v>
      </c>
      <c r="AM2720" s="1" t="s">
        <v>137</v>
      </c>
      <c r="AN2720" s="1" t="s">
        <v>431</v>
      </c>
      <c r="AO2720" s="1" t="s">
        <v>43255</v>
      </c>
      <c r="AP2720" s="1" t="s">
        <v>74</v>
      </c>
      <c r="AQ2720" s="1" t="s">
        <v>74</v>
      </c>
      <c r="AR2720" s="1" t="s">
        <v>43256</v>
      </c>
      <c r="AS2720" s="1" t="s">
        <v>43257</v>
      </c>
      <c r="AT2720" s="1" t="s">
        <v>74</v>
      </c>
      <c r="AU2720" s="1">
        <v>1998</v>
      </c>
      <c r="AV2720" s="1">
        <v>40</v>
      </c>
      <c r="AW2720" s="1">
        <v>1</v>
      </c>
      <c r="AX2720" s="1" t="s">
        <v>74</v>
      </c>
      <c r="AY2720" s="1" t="s">
        <v>74</v>
      </c>
      <c r="AZ2720" s="1" t="s">
        <v>74</v>
      </c>
      <c r="BA2720" s="1" t="s">
        <v>74</v>
      </c>
      <c r="BB2720" s="1">
        <v>23</v>
      </c>
      <c r="BC2720" s="1">
        <v>36</v>
      </c>
      <c r="BD2720" s="1" t="s">
        <v>74</v>
      </c>
      <c r="BE2720" s="1" t="s">
        <v>43258</v>
      </c>
      <c r="BF2720" s="1" t="str">
        <f>HYPERLINK("http://dx.doi.org/10.1016/S0964-5691(98)00036-2","http://dx.doi.org/10.1016/S0964-5691(98)00036-2")</f>
        <v>http://dx.doi.org/10.1016/S0964-5691(98)00036-2</v>
      </c>
      <c r="BG2720" s="1" t="s">
        <v>74</v>
      </c>
      <c r="BH2720" s="1" t="s">
        <v>74</v>
      </c>
      <c r="BI2720" s="1">
        <v>14</v>
      </c>
      <c r="BJ2720" s="1" t="s">
        <v>43259</v>
      </c>
      <c r="BK2720" s="1" t="s">
        <v>96</v>
      </c>
      <c r="BL2720" s="1" t="s">
        <v>43259</v>
      </c>
      <c r="BM2720" s="1" t="s">
        <v>43260</v>
      </c>
      <c r="BN2720" s="1" t="s">
        <v>74</v>
      </c>
      <c r="BO2720" s="1" t="s">
        <v>74</v>
      </c>
      <c r="BP2720" s="1" t="s">
        <v>74</v>
      </c>
      <c r="BQ2720" s="1" t="s">
        <v>74</v>
      </c>
      <c r="BR2720" s="1" t="s">
        <v>98</v>
      </c>
      <c r="BS2720" s="1" t="s">
        <v>43261</v>
      </c>
      <c r="BT2720" s="1" t="str">
        <f>HYPERLINK("https%3A%2F%2Fwww.webofscience.com%2Fwos%2Fwoscc%2Ffull-record%2FWOS:000077083500002","View Full Record in Web of Science")</f>
        <v>View Full Record in Web of Science</v>
      </c>
      <c r="BU2720" s="1"/>
      <c r="BV2720" s="1"/>
    </row>
    <row r="2721" spans="1:74">
      <c r="A2721" s="1" t="s">
        <v>72</v>
      </c>
      <c r="B2721" s="1" t="s">
        <v>43262</v>
      </c>
      <c r="C2721" s="1" t="s">
        <v>74</v>
      </c>
      <c r="D2721" s="1" t="s">
        <v>74</v>
      </c>
      <c r="E2721" s="1" t="s">
        <v>74</v>
      </c>
      <c r="F2721" s="1" t="s">
        <v>43262</v>
      </c>
      <c r="G2721" s="1" t="s">
        <v>74</v>
      </c>
      <c r="H2721" s="1" t="s">
        <v>74</v>
      </c>
      <c r="I2721" s="1" t="s">
        <v>43263</v>
      </c>
      <c r="J2721" s="1" t="s">
        <v>1756</v>
      </c>
      <c r="K2721" s="1" t="s">
        <v>74</v>
      </c>
      <c r="L2721" s="1" t="s">
        <v>74</v>
      </c>
      <c r="M2721" s="1" t="s">
        <v>78</v>
      </c>
      <c r="N2721" s="1" t="s">
        <v>79</v>
      </c>
      <c r="O2721" s="1" t="s">
        <v>74</v>
      </c>
      <c r="P2721" s="1" t="s">
        <v>74</v>
      </c>
      <c r="Q2721" s="1" t="s">
        <v>74</v>
      </c>
      <c r="R2721" s="1" t="s">
        <v>74</v>
      </c>
      <c r="S2721" s="1" t="s">
        <v>74</v>
      </c>
      <c r="T2721" s="1" t="s">
        <v>43264</v>
      </c>
      <c r="U2721" s="1" t="s">
        <v>43265</v>
      </c>
      <c r="V2721" s="1" t="s">
        <v>43266</v>
      </c>
      <c r="W2721" s="1" t="s">
        <v>43267</v>
      </c>
      <c r="X2721" s="1" t="s">
        <v>74</v>
      </c>
      <c r="Y2721" s="1" t="s">
        <v>74</v>
      </c>
      <c r="Z2721" s="1" t="s">
        <v>74</v>
      </c>
      <c r="AA2721" s="1" t="s">
        <v>74</v>
      </c>
      <c r="AB2721" s="1" t="s">
        <v>74</v>
      </c>
      <c r="AC2721" s="1" t="s">
        <v>74</v>
      </c>
      <c r="AD2721" s="1" t="s">
        <v>74</v>
      </c>
      <c r="AE2721" s="1" t="s">
        <v>74</v>
      </c>
      <c r="AF2721" s="1" t="s">
        <v>74</v>
      </c>
      <c r="AG2721" s="1">
        <v>21</v>
      </c>
      <c r="AH2721" s="1">
        <v>41</v>
      </c>
      <c r="AI2721" s="1">
        <v>47</v>
      </c>
      <c r="AJ2721" s="1">
        <v>0</v>
      </c>
      <c r="AK2721" s="1">
        <v>8</v>
      </c>
      <c r="AL2721" s="1" t="s">
        <v>86</v>
      </c>
      <c r="AM2721" s="1" t="s">
        <v>87</v>
      </c>
      <c r="AN2721" s="1" t="s">
        <v>88</v>
      </c>
      <c r="AO2721" s="1" t="s">
        <v>1764</v>
      </c>
      <c r="AP2721" s="1" t="s">
        <v>1765</v>
      </c>
      <c r="AQ2721" s="1" t="s">
        <v>74</v>
      </c>
      <c r="AR2721" s="1" t="s">
        <v>1766</v>
      </c>
      <c r="AS2721" s="1" t="s">
        <v>1767</v>
      </c>
      <c r="AT2721" s="1" t="s">
        <v>119</v>
      </c>
      <c r="AU2721" s="1">
        <v>1996</v>
      </c>
      <c r="AV2721" s="1">
        <v>15</v>
      </c>
      <c r="AW2721" s="1">
        <v>8</v>
      </c>
      <c r="AX2721" s="1" t="s">
        <v>74</v>
      </c>
      <c r="AY2721" s="1" t="s">
        <v>74</v>
      </c>
      <c r="AZ2721" s="1" t="s">
        <v>74</v>
      </c>
      <c r="BA2721" s="1" t="s">
        <v>74</v>
      </c>
      <c r="BB2721" s="1">
        <v>1317</v>
      </c>
      <c r="BC2721" s="1">
        <v>1323</v>
      </c>
      <c r="BD2721" s="1" t="s">
        <v>74</v>
      </c>
      <c r="BE2721" s="1" t="s">
        <v>43268</v>
      </c>
      <c r="BF2721" s="1" t="str">
        <f>HYPERLINK("http://dx.doi.org/10.1002/etc.5620150809","http://dx.doi.org/10.1002/etc.5620150809")</f>
        <v>http://dx.doi.org/10.1002/etc.5620150809</v>
      </c>
      <c r="BG2721" s="1" t="s">
        <v>74</v>
      </c>
      <c r="BH2721" s="1" t="s">
        <v>74</v>
      </c>
      <c r="BI2721" s="1">
        <v>7</v>
      </c>
      <c r="BJ2721" s="1" t="s">
        <v>121</v>
      </c>
      <c r="BK2721" s="1" t="s">
        <v>96</v>
      </c>
      <c r="BL2721" s="1" t="s">
        <v>122</v>
      </c>
      <c r="BM2721" s="1" t="s">
        <v>43269</v>
      </c>
      <c r="BN2721" s="1" t="s">
        <v>74</v>
      </c>
      <c r="BO2721" s="1" t="s">
        <v>74</v>
      </c>
      <c r="BP2721" s="1" t="s">
        <v>74</v>
      </c>
      <c r="BQ2721" s="1" t="s">
        <v>74</v>
      </c>
      <c r="BR2721" s="1" t="s">
        <v>98</v>
      </c>
      <c r="BS2721" s="1" t="s">
        <v>43270</v>
      </c>
      <c r="BT2721" s="1" t="str">
        <f>HYPERLINK("https%3A%2F%2Fwww.webofscience.com%2Fwos%2Fwoscc%2Ffull-record%2FWOS:A1996VF37100009","View Full Record in Web of Science")</f>
        <v>View Full Record in Web of Science</v>
      </c>
      <c r="BU2721" s="1"/>
      <c r="BV2721" s="1"/>
    </row>
    <row r="2722" spans="1:74">
      <c r="A2722" s="1" t="s">
        <v>72</v>
      </c>
      <c r="B2722" s="1" t="s">
        <v>43271</v>
      </c>
      <c r="C2722" s="1" t="s">
        <v>74</v>
      </c>
      <c r="D2722" s="1" t="s">
        <v>74</v>
      </c>
      <c r="E2722" s="1" t="s">
        <v>74</v>
      </c>
      <c r="F2722" s="1" t="s">
        <v>43272</v>
      </c>
      <c r="G2722" s="1" t="s">
        <v>74</v>
      </c>
      <c r="H2722" s="1" t="s">
        <v>74</v>
      </c>
      <c r="I2722" s="1" t="s">
        <v>43273</v>
      </c>
      <c r="J2722" s="1" t="s">
        <v>2408</v>
      </c>
      <c r="K2722" s="1" t="s">
        <v>74</v>
      </c>
      <c r="L2722" s="1" t="s">
        <v>74</v>
      </c>
      <c r="M2722" s="1" t="s">
        <v>78</v>
      </c>
      <c r="N2722" s="1" t="s">
        <v>79</v>
      </c>
      <c r="O2722" s="1" t="s">
        <v>74</v>
      </c>
      <c r="P2722" s="1" t="s">
        <v>74</v>
      </c>
      <c r="Q2722" s="1" t="s">
        <v>74</v>
      </c>
      <c r="R2722" s="1" t="s">
        <v>74</v>
      </c>
      <c r="S2722" s="1" t="s">
        <v>74</v>
      </c>
      <c r="T2722" s="1" t="s">
        <v>43274</v>
      </c>
      <c r="U2722" s="1" t="s">
        <v>43275</v>
      </c>
      <c r="V2722" s="1" t="s">
        <v>43276</v>
      </c>
      <c r="W2722" s="1" t="s">
        <v>43277</v>
      </c>
      <c r="X2722" s="1" t="s">
        <v>43278</v>
      </c>
      <c r="Y2722" s="1" t="s">
        <v>43279</v>
      </c>
      <c r="Z2722" s="1" t="s">
        <v>43280</v>
      </c>
      <c r="AA2722" s="1" t="s">
        <v>43281</v>
      </c>
      <c r="AB2722" s="1" t="s">
        <v>74</v>
      </c>
      <c r="AC2722" s="1" t="s">
        <v>43282</v>
      </c>
      <c r="AD2722" s="1" t="s">
        <v>43282</v>
      </c>
      <c r="AE2722" s="1" t="s">
        <v>43283</v>
      </c>
      <c r="AF2722" s="1" t="s">
        <v>74</v>
      </c>
      <c r="AG2722" s="1">
        <v>73</v>
      </c>
      <c r="AH2722" s="1">
        <v>2</v>
      </c>
      <c r="AI2722" s="1">
        <v>3</v>
      </c>
      <c r="AJ2722" s="1">
        <v>1</v>
      </c>
      <c r="AK2722" s="1">
        <v>34</v>
      </c>
      <c r="AL2722" s="1" t="s">
        <v>2421</v>
      </c>
      <c r="AM2722" s="1" t="s">
        <v>2422</v>
      </c>
      <c r="AN2722" s="1" t="s">
        <v>2423</v>
      </c>
      <c r="AO2722" s="1" t="s">
        <v>2424</v>
      </c>
      <c r="AP2722" s="1" t="s">
        <v>2425</v>
      </c>
      <c r="AQ2722" s="1" t="s">
        <v>74</v>
      </c>
      <c r="AR2722" s="1" t="s">
        <v>2426</v>
      </c>
      <c r="AS2722" s="1" t="s">
        <v>2427</v>
      </c>
      <c r="AT2722" s="1" t="s">
        <v>197</v>
      </c>
      <c r="AU2722" s="1">
        <v>2010</v>
      </c>
      <c r="AV2722" s="1">
        <v>29</v>
      </c>
      <c r="AW2722" s="1">
        <v>4</v>
      </c>
      <c r="AX2722" s="1" t="s">
        <v>74</v>
      </c>
      <c r="AY2722" s="1" t="s">
        <v>74</v>
      </c>
      <c r="AZ2722" s="1" t="s">
        <v>74</v>
      </c>
      <c r="BA2722" s="1" t="s">
        <v>74</v>
      </c>
      <c r="BB2722" s="1">
        <v>927</v>
      </c>
      <c r="BC2722" s="1">
        <v>936</v>
      </c>
      <c r="BD2722" s="1" t="s">
        <v>74</v>
      </c>
      <c r="BE2722" s="1" t="s">
        <v>43284</v>
      </c>
      <c r="BF2722" s="1" t="str">
        <f>HYPERLINK("http://dx.doi.org/10.2983/035.029.0425","http://dx.doi.org/10.2983/035.029.0425")</f>
        <v>http://dx.doi.org/10.2983/035.029.0425</v>
      </c>
      <c r="BG2722" s="1" t="s">
        <v>74</v>
      </c>
      <c r="BH2722" s="1" t="s">
        <v>74</v>
      </c>
      <c r="BI2722" s="1">
        <v>10</v>
      </c>
      <c r="BJ2722" s="1" t="s">
        <v>2391</v>
      </c>
      <c r="BK2722" s="1" t="s">
        <v>96</v>
      </c>
      <c r="BL2722" s="1" t="s">
        <v>2391</v>
      </c>
      <c r="BM2722" s="1" t="s">
        <v>43285</v>
      </c>
      <c r="BN2722" s="1" t="s">
        <v>74</v>
      </c>
      <c r="BO2722" s="1" t="s">
        <v>74</v>
      </c>
      <c r="BP2722" s="1" t="s">
        <v>74</v>
      </c>
      <c r="BQ2722" s="1" t="s">
        <v>74</v>
      </c>
      <c r="BR2722" s="1" t="s">
        <v>98</v>
      </c>
      <c r="BS2722" s="1" t="s">
        <v>43286</v>
      </c>
      <c r="BT2722" s="1" t="str">
        <f>HYPERLINK("https%3A%2F%2Fwww.webofscience.com%2Fwos%2Fwoscc%2Ffull-record%2FWOS:000285670100016","View Full Record in Web of Science")</f>
        <v>View Full Record in Web of Science</v>
      </c>
      <c r="BU2722" s="1"/>
      <c r="BV2722" s="1"/>
    </row>
    <row r="2723" spans="1:74">
      <c r="A2723" s="1" t="s">
        <v>72</v>
      </c>
      <c r="B2723" s="1" t="s">
        <v>43287</v>
      </c>
      <c r="C2723" s="1" t="s">
        <v>74</v>
      </c>
      <c r="D2723" s="1" t="s">
        <v>74</v>
      </c>
      <c r="E2723" s="1" t="s">
        <v>74</v>
      </c>
      <c r="F2723" s="1" t="s">
        <v>43287</v>
      </c>
      <c r="G2723" s="1" t="s">
        <v>74</v>
      </c>
      <c r="H2723" s="1" t="s">
        <v>74</v>
      </c>
      <c r="I2723" s="1" t="s">
        <v>43288</v>
      </c>
      <c r="J2723" s="1" t="s">
        <v>752</v>
      </c>
      <c r="K2723" s="1" t="s">
        <v>74</v>
      </c>
      <c r="L2723" s="1" t="s">
        <v>74</v>
      </c>
      <c r="M2723" s="1" t="s">
        <v>78</v>
      </c>
      <c r="N2723" s="1" t="s">
        <v>151</v>
      </c>
      <c r="O2723" s="1" t="s">
        <v>2433</v>
      </c>
      <c r="P2723" s="1" t="s">
        <v>2434</v>
      </c>
      <c r="Q2723" s="1" t="s">
        <v>2435</v>
      </c>
      <c r="R2723" s="1" t="s">
        <v>74</v>
      </c>
      <c r="S2723" s="1" t="s">
        <v>74</v>
      </c>
      <c r="T2723" s="1" t="s">
        <v>74</v>
      </c>
      <c r="U2723" s="1" t="s">
        <v>43289</v>
      </c>
      <c r="V2723" s="1" t="s">
        <v>43290</v>
      </c>
      <c r="W2723" s="1" t="s">
        <v>43291</v>
      </c>
      <c r="X2723" s="1" t="s">
        <v>43292</v>
      </c>
      <c r="Y2723" s="1" t="s">
        <v>43293</v>
      </c>
      <c r="Z2723" s="1" t="s">
        <v>25480</v>
      </c>
      <c r="AA2723" s="1" t="s">
        <v>74</v>
      </c>
      <c r="AB2723" s="1" t="s">
        <v>43294</v>
      </c>
      <c r="AC2723" s="1" t="s">
        <v>74</v>
      </c>
      <c r="AD2723" s="1" t="s">
        <v>74</v>
      </c>
      <c r="AE2723" s="1" t="s">
        <v>74</v>
      </c>
      <c r="AF2723" s="1" t="s">
        <v>74</v>
      </c>
      <c r="AG2723" s="1">
        <v>8</v>
      </c>
      <c r="AH2723" s="1">
        <v>64</v>
      </c>
      <c r="AI2723" s="1">
        <v>69</v>
      </c>
      <c r="AJ2723" s="1">
        <v>0</v>
      </c>
      <c r="AK2723" s="1">
        <v>9</v>
      </c>
      <c r="AL2723" s="1" t="s">
        <v>430</v>
      </c>
      <c r="AM2723" s="1" t="s">
        <v>137</v>
      </c>
      <c r="AN2723" s="1" t="s">
        <v>431</v>
      </c>
      <c r="AO2723" s="1" t="s">
        <v>761</v>
      </c>
      <c r="AP2723" s="1" t="s">
        <v>762</v>
      </c>
      <c r="AQ2723" s="1" t="s">
        <v>74</v>
      </c>
      <c r="AR2723" s="1" t="s">
        <v>763</v>
      </c>
      <c r="AS2723" s="1" t="s">
        <v>764</v>
      </c>
      <c r="AT2723" s="1" t="s">
        <v>2445</v>
      </c>
      <c r="AU2723" s="1">
        <v>2004</v>
      </c>
      <c r="AV2723" s="1">
        <v>58</v>
      </c>
      <c r="AW2723" s="1" t="s">
        <v>2446</v>
      </c>
      <c r="AX2723" s="1" t="s">
        <v>74</v>
      </c>
      <c r="AY2723" s="1" t="s">
        <v>74</v>
      </c>
      <c r="AZ2723" s="1" t="s">
        <v>74</v>
      </c>
      <c r="BA2723" s="1" t="s">
        <v>74</v>
      </c>
      <c r="BB2723" s="1">
        <v>151</v>
      </c>
      <c r="BC2723" s="1">
        <v>155</v>
      </c>
      <c r="BD2723" s="1" t="s">
        <v>74</v>
      </c>
      <c r="BE2723" s="1" t="s">
        <v>43295</v>
      </c>
      <c r="BF2723" s="1" t="str">
        <f>HYPERLINK("http://dx.doi.org/10.1016/j.marenvres.2004.03.010","http://dx.doi.org/10.1016/j.marenvres.2004.03.010")</f>
        <v>http://dx.doi.org/10.1016/j.marenvres.2004.03.010</v>
      </c>
      <c r="BG2723" s="1" t="s">
        <v>74</v>
      </c>
      <c r="BH2723" s="1" t="s">
        <v>74</v>
      </c>
      <c r="BI2723" s="1">
        <v>5</v>
      </c>
      <c r="BJ2723" s="1" t="s">
        <v>768</v>
      </c>
      <c r="BK2723" s="1" t="s">
        <v>172</v>
      </c>
      <c r="BL2723" s="1" t="s">
        <v>769</v>
      </c>
      <c r="BM2723" s="1" t="s">
        <v>2448</v>
      </c>
      <c r="BN2723" s="1">
        <v>15178027</v>
      </c>
      <c r="BO2723" s="1" t="s">
        <v>74</v>
      </c>
      <c r="BP2723" s="1" t="s">
        <v>74</v>
      </c>
      <c r="BQ2723" s="1" t="s">
        <v>74</v>
      </c>
      <c r="BR2723" s="1" t="s">
        <v>98</v>
      </c>
      <c r="BS2723" s="1" t="s">
        <v>43296</v>
      </c>
      <c r="BT2723" s="1" t="str">
        <f>HYPERLINK("https%3A%2F%2Fwww.webofscience.com%2Fwos%2Fwoscc%2Ffull-record%2FWOS:000222199100011","View Full Record in Web of Science")</f>
        <v>View Full Record in Web of Science</v>
      </c>
      <c r="BU2723" s="1"/>
      <c r="BV2723" s="1"/>
    </row>
    <row r="2724" spans="1:74">
      <c r="A2724" s="1" t="s">
        <v>72</v>
      </c>
      <c r="B2724" s="1" t="s">
        <v>43297</v>
      </c>
      <c r="C2724" s="1" t="s">
        <v>74</v>
      </c>
      <c r="D2724" s="1" t="s">
        <v>74</v>
      </c>
      <c r="E2724" s="1" t="s">
        <v>74</v>
      </c>
      <c r="F2724" s="1" t="s">
        <v>43298</v>
      </c>
      <c r="G2724" s="1" t="s">
        <v>74</v>
      </c>
      <c r="H2724" s="1" t="s">
        <v>74</v>
      </c>
      <c r="I2724" s="1" t="s">
        <v>43299</v>
      </c>
      <c r="J2724" s="1" t="s">
        <v>39607</v>
      </c>
      <c r="K2724" s="1" t="s">
        <v>74</v>
      </c>
      <c r="L2724" s="1" t="s">
        <v>74</v>
      </c>
      <c r="M2724" s="1" t="s">
        <v>78</v>
      </c>
      <c r="N2724" s="1" t="s">
        <v>79</v>
      </c>
      <c r="O2724" s="1" t="s">
        <v>74</v>
      </c>
      <c r="P2724" s="1" t="s">
        <v>74</v>
      </c>
      <c r="Q2724" s="1" t="s">
        <v>74</v>
      </c>
      <c r="R2724" s="1" t="s">
        <v>74</v>
      </c>
      <c r="S2724" s="1" t="s">
        <v>74</v>
      </c>
      <c r="T2724" s="1" t="s">
        <v>43300</v>
      </c>
      <c r="U2724" s="1" t="s">
        <v>43301</v>
      </c>
      <c r="V2724" s="1" t="s">
        <v>43302</v>
      </c>
      <c r="W2724" s="1" t="s">
        <v>43303</v>
      </c>
      <c r="X2724" s="1" t="s">
        <v>43304</v>
      </c>
      <c r="Y2724" s="1" t="s">
        <v>43305</v>
      </c>
      <c r="Z2724" s="1" t="s">
        <v>43306</v>
      </c>
      <c r="AA2724" s="1" t="s">
        <v>43307</v>
      </c>
      <c r="AB2724" s="1" t="s">
        <v>74</v>
      </c>
      <c r="AC2724" s="1" t="s">
        <v>74</v>
      </c>
      <c r="AD2724" s="1" t="s">
        <v>74</v>
      </c>
      <c r="AE2724" s="1" t="s">
        <v>74</v>
      </c>
      <c r="AF2724" s="1" t="s">
        <v>74</v>
      </c>
      <c r="AG2724" s="1">
        <v>57</v>
      </c>
      <c r="AH2724" s="1">
        <v>32</v>
      </c>
      <c r="AI2724" s="1">
        <v>41</v>
      </c>
      <c r="AJ2724" s="1">
        <v>5</v>
      </c>
      <c r="AK2724" s="1">
        <v>112</v>
      </c>
      <c r="AL2724" s="1" t="s">
        <v>39619</v>
      </c>
      <c r="AM2724" s="1" t="s">
        <v>39620</v>
      </c>
      <c r="AN2724" s="1" t="s">
        <v>39621</v>
      </c>
      <c r="AO2724" s="1" t="s">
        <v>39622</v>
      </c>
      <c r="AP2724" s="1" t="s">
        <v>39623</v>
      </c>
      <c r="AQ2724" s="1" t="s">
        <v>74</v>
      </c>
      <c r="AR2724" s="1" t="s">
        <v>39624</v>
      </c>
      <c r="AS2724" s="1" t="s">
        <v>39625</v>
      </c>
      <c r="AT2724" s="1" t="s">
        <v>1223</v>
      </c>
      <c r="AU2724" s="1">
        <v>2013</v>
      </c>
      <c r="AV2724" s="1">
        <v>32</v>
      </c>
      <c r="AW2724" s="1">
        <v>1</v>
      </c>
      <c r="AX2724" s="1" t="s">
        <v>74</v>
      </c>
      <c r="AY2724" s="1" t="s">
        <v>74</v>
      </c>
      <c r="AZ2724" s="1" t="s">
        <v>74</v>
      </c>
      <c r="BA2724" s="1" t="s">
        <v>74</v>
      </c>
      <c r="BB2724" s="1">
        <v>70</v>
      </c>
      <c r="BC2724" s="1">
        <v>81</v>
      </c>
      <c r="BD2724" s="1" t="s">
        <v>74</v>
      </c>
      <c r="BE2724" s="1" t="s">
        <v>43308</v>
      </c>
      <c r="BF2724" s="1" t="str">
        <f>HYPERLINK("http://dx.doi.org/10.1899/12-093.1","http://dx.doi.org/10.1899/12-093.1")</f>
        <v>http://dx.doi.org/10.1899/12-093.1</v>
      </c>
      <c r="BG2724" s="1" t="s">
        <v>74</v>
      </c>
      <c r="BH2724" s="1" t="s">
        <v>74</v>
      </c>
      <c r="BI2724" s="1">
        <v>12</v>
      </c>
      <c r="BJ2724" s="1" t="s">
        <v>1292</v>
      </c>
      <c r="BK2724" s="1" t="s">
        <v>96</v>
      </c>
      <c r="BL2724" s="1" t="s">
        <v>248</v>
      </c>
      <c r="BM2724" s="1" t="s">
        <v>43309</v>
      </c>
      <c r="BN2724" s="1" t="s">
        <v>74</v>
      </c>
      <c r="BO2724" s="1" t="s">
        <v>74</v>
      </c>
      <c r="BP2724" s="1" t="s">
        <v>74</v>
      </c>
      <c r="BQ2724" s="1" t="s">
        <v>74</v>
      </c>
      <c r="BR2724" s="1" t="s">
        <v>98</v>
      </c>
      <c r="BS2724" s="1" t="s">
        <v>43310</v>
      </c>
      <c r="BT2724" s="1" t="str">
        <f>HYPERLINK("https%3A%2F%2Fwww.webofscience.com%2Fwos%2Fwoscc%2Ffull-record%2FWOS:000314670800006","View Full Record in Web of Science")</f>
        <v>View Full Record in Web of Science</v>
      </c>
      <c r="BU2724" s="1"/>
      <c r="BV2724" s="1"/>
    </row>
    <row r="2725" spans="1:74">
      <c r="A2725" s="1" t="s">
        <v>72</v>
      </c>
      <c r="B2725" s="1" t="s">
        <v>43311</v>
      </c>
      <c r="C2725" s="1" t="s">
        <v>74</v>
      </c>
      <c r="D2725" s="1" t="s">
        <v>74</v>
      </c>
      <c r="E2725" s="1" t="s">
        <v>74</v>
      </c>
      <c r="F2725" s="1" t="s">
        <v>43312</v>
      </c>
      <c r="G2725" s="1" t="s">
        <v>74</v>
      </c>
      <c r="H2725" s="1" t="s">
        <v>74</v>
      </c>
      <c r="I2725" s="1" t="s">
        <v>43313</v>
      </c>
      <c r="J2725" s="1" t="s">
        <v>179</v>
      </c>
      <c r="K2725" s="1" t="s">
        <v>74</v>
      </c>
      <c r="L2725" s="1" t="s">
        <v>74</v>
      </c>
      <c r="M2725" s="1" t="s">
        <v>78</v>
      </c>
      <c r="N2725" s="1" t="s">
        <v>79</v>
      </c>
      <c r="O2725" s="1" t="s">
        <v>74</v>
      </c>
      <c r="P2725" s="1" t="s">
        <v>74</v>
      </c>
      <c r="Q2725" s="1" t="s">
        <v>74</v>
      </c>
      <c r="R2725" s="1" t="s">
        <v>74</v>
      </c>
      <c r="S2725" s="1" t="s">
        <v>74</v>
      </c>
      <c r="T2725" s="1" t="s">
        <v>43314</v>
      </c>
      <c r="U2725" s="1" t="s">
        <v>43315</v>
      </c>
      <c r="V2725" s="1" t="s">
        <v>43316</v>
      </c>
      <c r="W2725" s="1" t="s">
        <v>43317</v>
      </c>
      <c r="X2725" s="1" t="s">
        <v>5597</v>
      </c>
      <c r="Y2725" s="1" t="s">
        <v>43318</v>
      </c>
      <c r="Z2725" s="1" t="s">
        <v>43319</v>
      </c>
      <c r="AA2725" s="1" t="s">
        <v>43320</v>
      </c>
      <c r="AB2725" s="1" t="s">
        <v>43321</v>
      </c>
      <c r="AC2725" s="1" t="s">
        <v>74</v>
      </c>
      <c r="AD2725" s="1" t="s">
        <v>74</v>
      </c>
      <c r="AE2725" s="1" t="s">
        <v>74</v>
      </c>
      <c r="AF2725" s="1" t="s">
        <v>74</v>
      </c>
      <c r="AG2725" s="1">
        <v>55</v>
      </c>
      <c r="AH2725" s="1">
        <v>18</v>
      </c>
      <c r="AI2725" s="1">
        <v>18</v>
      </c>
      <c r="AJ2725" s="1">
        <v>0</v>
      </c>
      <c r="AK2725" s="1">
        <v>29</v>
      </c>
      <c r="AL2725" s="1" t="s">
        <v>112</v>
      </c>
      <c r="AM2725" s="1" t="s">
        <v>191</v>
      </c>
      <c r="AN2725" s="1" t="s">
        <v>192</v>
      </c>
      <c r="AO2725" s="1" t="s">
        <v>193</v>
      </c>
      <c r="AP2725" s="1" t="s">
        <v>194</v>
      </c>
      <c r="AQ2725" s="1" t="s">
        <v>74</v>
      </c>
      <c r="AR2725" s="1" t="s">
        <v>195</v>
      </c>
      <c r="AS2725" s="1" t="s">
        <v>196</v>
      </c>
      <c r="AT2725" s="1" t="s">
        <v>951</v>
      </c>
      <c r="AU2725" s="1">
        <v>2012</v>
      </c>
      <c r="AV2725" s="1">
        <v>184</v>
      </c>
      <c r="AW2725" s="1">
        <v>11</v>
      </c>
      <c r="AX2725" s="1" t="s">
        <v>74</v>
      </c>
      <c r="AY2725" s="1" t="s">
        <v>74</v>
      </c>
      <c r="AZ2725" s="1" t="s">
        <v>74</v>
      </c>
      <c r="BA2725" s="1" t="s">
        <v>74</v>
      </c>
      <c r="BB2725" s="1">
        <v>6987</v>
      </c>
      <c r="BC2725" s="1">
        <v>7000</v>
      </c>
      <c r="BD2725" s="1" t="s">
        <v>74</v>
      </c>
      <c r="BE2725" s="1" t="s">
        <v>43322</v>
      </c>
      <c r="BF2725" s="1" t="str">
        <f>HYPERLINK("http://dx.doi.org/10.1007/s10661-011-2474-z","http://dx.doi.org/10.1007/s10661-011-2474-z")</f>
        <v>http://dx.doi.org/10.1007/s10661-011-2474-z</v>
      </c>
      <c r="BG2725" s="1" t="s">
        <v>74</v>
      </c>
      <c r="BH2725" s="1" t="s">
        <v>74</v>
      </c>
      <c r="BI2725" s="1">
        <v>14</v>
      </c>
      <c r="BJ2725" s="1" t="s">
        <v>144</v>
      </c>
      <c r="BK2725" s="1" t="s">
        <v>96</v>
      </c>
      <c r="BL2725" s="1" t="s">
        <v>145</v>
      </c>
      <c r="BM2725" s="1" t="s">
        <v>43323</v>
      </c>
      <c r="BN2725" s="1">
        <v>22170158</v>
      </c>
      <c r="BO2725" s="1" t="s">
        <v>74</v>
      </c>
      <c r="BP2725" s="1" t="s">
        <v>74</v>
      </c>
      <c r="BQ2725" s="1" t="s">
        <v>74</v>
      </c>
      <c r="BR2725" s="1" t="s">
        <v>98</v>
      </c>
      <c r="BS2725" s="1" t="s">
        <v>43324</v>
      </c>
      <c r="BT2725" s="1" t="str">
        <f>HYPERLINK("https%3A%2F%2Fwww.webofscience.com%2Fwos%2Fwoscc%2Ffull-record%2FWOS:000309476100040","View Full Record in Web of Science")</f>
        <v>View Full Record in Web of Science</v>
      </c>
      <c r="BU2725" s="1"/>
      <c r="BV2725" s="1"/>
    </row>
    <row r="2726" spans="1:74">
      <c r="A2726" s="1" t="s">
        <v>72</v>
      </c>
      <c r="B2726" s="1" t="s">
        <v>43325</v>
      </c>
      <c r="C2726" s="1" t="s">
        <v>74</v>
      </c>
      <c r="D2726" s="1" t="s">
        <v>74</v>
      </c>
      <c r="E2726" s="1" t="s">
        <v>74</v>
      </c>
      <c r="F2726" s="1" t="s">
        <v>43326</v>
      </c>
      <c r="G2726" s="1" t="s">
        <v>74</v>
      </c>
      <c r="H2726" s="1" t="s">
        <v>74</v>
      </c>
      <c r="I2726" s="1" t="s">
        <v>43327</v>
      </c>
      <c r="J2726" s="1" t="s">
        <v>43328</v>
      </c>
      <c r="K2726" s="1" t="s">
        <v>74</v>
      </c>
      <c r="L2726" s="1" t="s">
        <v>74</v>
      </c>
      <c r="M2726" s="1" t="s">
        <v>78</v>
      </c>
      <c r="N2726" s="1" t="s">
        <v>79</v>
      </c>
      <c r="O2726" s="1" t="s">
        <v>74</v>
      </c>
      <c r="P2726" s="1" t="s">
        <v>74</v>
      </c>
      <c r="Q2726" s="1" t="s">
        <v>74</v>
      </c>
      <c r="R2726" s="1" t="s">
        <v>74</v>
      </c>
      <c r="S2726" s="1" t="s">
        <v>74</v>
      </c>
      <c r="T2726" s="1" t="s">
        <v>74</v>
      </c>
      <c r="U2726" s="1" t="s">
        <v>43329</v>
      </c>
      <c r="V2726" s="1" t="s">
        <v>43330</v>
      </c>
      <c r="W2726" s="1" t="s">
        <v>43331</v>
      </c>
      <c r="X2726" s="1" t="s">
        <v>41904</v>
      </c>
      <c r="Y2726" s="1" t="s">
        <v>43332</v>
      </c>
      <c r="Z2726" s="1" t="s">
        <v>43333</v>
      </c>
      <c r="AA2726" s="1" t="s">
        <v>43334</v>
      </c>
      <c r="AB2726" s="1" t="s">
        <v>43335</v>
      </c>
      <c r="AC2726" s="1" t="s">
        <v>74</v>
      </c>
      <c r="AD2726" s="1" t="s">
        <v>74</v>
      </c>
      <c r="AE2726" s="1" t="s">
        <v>74</v>
      </c>
      <c r="AF2726" s="1" t="s">
        <v>74</v>
      </c>
      <c r="AG2726" s="1">
        <v>36</v>
      </c>
      <c r="AH2726" s="1">
        <v>1</v>
      </c>
      <c r="AI2726" s="1">
        <v>1</v>
      </c>
      <c r="AJ2726" s="1">
        <v>0</v>
      </c>
      <c r="AK2726" s="1">
        <v>5</v>
      </c>
      <c r="AL2726" s="1" t="s">
        <v>7923</v>
      </c>
      <c r="AM2726" s="1" t="s">
        <v>43336</v>
      </c>
      <c r="AN2726" s="1" t="s">
        <v>43337</v>
      </c>
      <c r="AO2726" s="1" t="s">
        <v>43338</v>
      </c>
      <c r="AP2726" s="1" t="s">
        <v>43339</v>
      </c>
      <c r="AQ2726" s="1" t="s">
        <v>74</v>
      </c>
      <c r="AR2726" s="1" t="s">
        <v>43340</v>
      </c>
      <c r="AS2726" s="1" t="s">
        <v>43341</v>
      </c>
      <c r="AT2726" s="1" t="s">
        <v>170</v>
      </c>
      <c r="AU2726" s="1">
        <v>2020</v>
      </c>
      <c r="AV2726" s="1">
        <v>47</v>
      </c>
      <c r="AW2726" s="1">
        <v>3</v>
      </c>
      <c r="AX2726" s="1" t="s">
        <v>74</v>
      </c>
      <c r="AY2726" s="1" t="s">
        <v>74</v>
      </c>
      <c r="AZ2726" s="1" t="s">
        <v>74</v>
      </c>
      <c r="BA2726" s="1" t="s">
        <v>74</v>
      </c>
      <c r="BB2726" s="1">
        <v>291</v>
      </c>
      <c r="BC2726" s="1">
        <v>298</v>
      </c>
      <c r="BD2726" s="1" t="s">
        <v>74</v>
      </c>
      <c r="BE2726" s="1" t="s">
        <v>43342</v>
      </c>
      <c r="BF2726" s="1" t="str">
        <f>HYPERLINK("http://dx.doi.org/10.1134/S1062359020030073","http://dx.doi.org/10.1134/S1062359020030073")</f>
        <v>http://dx.doi.org/10.1134/S1062359020030073</v>
      </c>
      <c r="BG2726" s="1" t="s">
        <v>74</v>
      </c>
      <c r="BH2726" s="1" t="s">
        <v>74</v>
      </c>
      <c r="BI2726" s="1">
        <v>8</v>
      </c>
      <c r="BJ2726" s="1" t="s">
        <v>171</v>
      </c>
      <c r="BK2726" s="1" t="s">
        <v>96</v>
      </c>
      <c r="BL2726" s="1" t="s">
        <v>173</v>
      </c>
      <c r="BM2726" s="1" t="s">
        <v>43343</v>
      </c>
      <c r="BN2726" s="1" t="s">
        <v>74</v>
      </c>
      <c r="BO2726" s="1" t="s">
        <v>74</v>
      </c>
      <c r="BP2726" s="1" t="s">
        <v>74</v>
      </c>
      <c r="BQ2726" s="1" t="s">
        <v>74</v>
      </c>
      <c r="BR2726" s="1" t="s">
        <v>98</v>
      </c>
      <c r="BS2726" s="1" t="s">
        <v>43344</v>
      </c>
      <c r="BT2726" s="1" t="str">
        <f>HYPERLINK("https%3A%2F%2Fwww.webofscience.com%2Fwos%2Fwoscc%2Ffull-record%2FWOS:000540782100009","View Full Record in Web of Science")</f>
        <v>View Full Record in Web of Science</v>
      </c>
      <c r="BU2726" s="1"/>
      <c r="BV2726" s="1"/>
    </row>
    <row r="2727" spans="1:74">
      <c r="A2727" s="1" t="s">
        <v>72</v>
      </c>
      <c r="B2727" s="1" t="s">
        <v>43345</v>
      </c>
      <c r="C2727" s="1" t="s">
        <v>74</v>
      </c>
      <c r="D2727" s="1" t="s">
        <v>74</v>
      </c>
      <c r="E2727" s="1" t="s">
        <v>74</v>
      </c>
      <c r="F2727" s="1" t="s">
        <v>43346</v>
      </c>
      <c r="G2727" s="1" t="s">
        <v>74</v>
      </c>
      <c r="H2727" s="1" t="s">
        <v>74</v>
      </c>
      <c r="I2727" s="1" t="s">
        <v>43347</v>
      </c>
      <c r="J2727" s="1" t="s">
        <v>421</v>
      </c>
      <c r="K2727" s="1" t="s">
        <v>74</v>
      </c>
      <c r="L2727" s="1" t="s">
        <v>74</v>
      </c>
      <c r="M2727" s="1" t="s">
        <v>78</v>
      </c>
      <c r="N2727" s="1" t="s">
        <v>79</v>
      </c>
      <c r="O2727" s="1" t="s">
        <v>74</v>
      </c>
      <c r="P2727" s="1" t="s">
        <v>74</v>
      </c>
      <c r="Q2727" s="1" t="s">
        <v>74</v>
      </c>
      <c r="R2727" s="1" t="s">
        <v>74</v>
      </c>
      <c r="S2727" s="1" t="s">
        <v>74</v>
      </c>
      <c r="T2727" s="1" t="s">
        <v>43348</v>
      </c>
      <c r="U2727" s="1" t="s">
        <v>43349</v>
      </c>
      <c r="V2727" s="1" t="s">
        <v>43350</v>
      </c>
      <c r="W2727" s="1" t="s">
        <v>43351</v>
      </c>
      <c r="X2727" s="1" t="s">
        <v>43352</v>
      </c>
      <c r="Y2727" s="1" t="s">
        <v>43353</v>
      </c>
      <c r="Z2727" s="1" t="s">
        <v>43354</v>
      </c>
      <c r="AA2727" s="1" t="s">
        <v>43355</v>
      </c>
      <c r="AB2727" s="1" t="s">
        <v>43356</v>
      </c>
      <c r="AC2727" s="1" t="s">
        <v>43357</v>
      </c>
      <c r="AD2727" s="1" t="s">
        <v>43358</v>
      </c>
      <c r="AE2727" s="1" t="s">
        <v>43359</v>
      </c>
      <c r="AF2727" s="1" t="s">
        <v>74</v>
      </c>
      <c r="AG2727" s="1">
        <v>39</v>
      </c>
      <c r="AH2727" s="1">
        <v>14</v>
      </c>
      <c r="AI2727" s="1">
        <v>19</v>
      </c>
      <c r="AJ2727" s="1">
        <v>0</v>
      </c>
      <c r="AK2727" s="1">
        <v>35</v>
      </c>
      <c r="AL2727" s="1" t="s">
        <v>430</v>
      </c>
      <c r="AM2727" s="1" t="s">
        <v>137</v>
      </c>
      <c r="AN2727" s="1" t="s">
        <v>431</v>
      </c>
      <c r="AO2727" s="1" t="s">
        <v>432</v>
      </c>
      <c r="AP2727" s="1" t="s">
        <v>1394</v>
      </c>
      <c r="AQ2727" s="1" t="s">
        <v>74</v>
      </c>
      <c r="AR2727" s="1" t="s">
        <v>433</v>
      </c>
      <c r="AS2727" s="1" t="s">
        <v>434</v>
      </c>
      <c r="AT2727" s="1" t="s">
        <v>951</v>
      </c>
      <c r="AU2727" s="1">
        <v>2018</v>
      </c>
      <c r="AV2727" s="1">
        <v>242</v>
      </c>
      <c r="AW2727" s="1" t="s">
        <v>74</v>
      </c>
      <c r="AX2727" s="1" t="s">
        <v>489</v>
      </c>
      <c r="AY2727" s="1" t="s">
        <v>74</v>
      </c>
      <c r="AZ2727" s="1" t="s">
        <v>74</v>
      </c>
      <c r="BA2727" s="1" t="s">
        <v>74</v>
      </c>
      <c r="BB2727" s="1">
        <v>807</v>
      </c>
      <c r="BC2727" s="1">
        <v>813</v>
      </c>
      <c r="BD2727" s="1" t="s">
        <v>74</v>
      </c>
      <c r="BE2727" s="1" t="s">
        <v>43360</v>
      </c>
      <c r="BF2727" s="1" t="str">
        <f>HYPERLINK("http://dx.doi.org/10.1016/j.envpol.2018.07.047","http://dx.doi.org/10.1016/j.envpol.2018.07.047")</f>
        <v>http://dx.doi.org/10.1016/j.envpol.2018.07.047</v>
      </c>
      <c r="BG2727" s="1" t="s">
        <v>74</v>
      </c>
      <c r="BH2727" s="1" t="s">
        <v>74</v>
      </c>
      <c r="BI2727" s="1">
        <v>7</v>
      </c>
      <c r="BJ2727" s="1" t="s">
        <v>144</v>
      </c>
      <c r="BK2727" s="1" t="s">
        <v>96</v>
      </c>
      <c r="BL2727" s="1" t="s">
        <v>145</v>
      </c>
      <c r="BM2727" s="1" t="s">
        <v>39651</v>
      </c>
      <c r="BN2727" s="1">
        <v>30032077</v>
      </c>
      <c r="BO2727" s="1" t="s">
        <v>74</v>
      </c>
      <c r="BP2727" s="1" t="s">
        <v>74</v>
      </c>
      <c r="BQ2727" s="1" t="s">
        <v>74</v>
      </c>
      <c r="BR2727" s="1" t="s">
        <v>98</v>
      </c>
      <c r="BS2727" s="1" t="s">
        <v>43361</v>
      </c>
      <c r="BT2727" s="1" t="str">
        <f>HYPERLINK("https%3A%2F%2Fwww.webofscience.com%2Fwos%2Fwoscc%2Ffull-record%2FWOS:000446150300086","View Full Record in Web of Science")</f>
        <v>View Full Record in Web of Science</v>
      </c>
      <c r="BU2727" s="1"/>
      <c r="BV2727" s="1"/>
    </row>
    <row r="2728" spans="1:74">
      <c r="A2728" s="1" t="s">
        <v>72</v>
      </c>
      <c r="B2728" s="1" t="s">
        <v>43362</v>
      </c>
      <c r="C2728" s="1" t="s">
        <v>74</v>
      </c>
      <c r="D2728" s="1" t="s">
        <v>74</v>
      </c>
      <c r="E2728" s="1" t="s">
        <v>74</v>
      </c>
      <c r="F2728" s="1" t="s">
        <v>43362</v>
      </c>
      <c r="G2728" s="1" t="s">
        <v>74</v>
      </c>
      <c r="H2728" s="1" t="s">
        <v>74</v>
      </c>
      <c r="I2728" s="1" t="s">
        <v>43363</v>
      </c>
      <c r="J2728" s="1" t="s">
        <v>232</v>
      </c>
      <c r="K2728" s="1" t="s">
        <v>74</v>
      </c>
      <c r="L2728" s="1" t="s">
        <v>74</v>
      </c>
      <c r="M2728" s="1" t="s">
        <v>78</v>
      </c>
      <c r="N2728" s="1" t="s">
        <v>79</v>
      </c>
      <c r="O2728" s="1" t="s">
        <v>74</v>
      </c>
      <c r="P2728" s="1" t="s">
        <v>74</v>
      </c>
      <c r="Q2728" s="1" t="s">
        <v>74</v>
      </c>
      <c r="R2728" s="1" t="s">
        <v>74</v>
      </c>
      <c r="S2728" s="1" t="s">
        <v>74</v>
      </c>
      <c r="T2728" s="1" t="s">
        <v>74</v>
      </c>
      <c r="U2728" s="1" t="s">
        <v>74</v>
      </c>
      <c r="V2728" s="1" t="s">
        <v>43364</v>
      </c>
      <c r="W2728" s="1" t="s">
        <v>43365</v>
      </c>
      <c r="X2728" s="1" t="s">
        <v>74</v>
      </c>
      <c r="Y2728" s="1" t="s">
        <v>43366</v>
      </c>
      <c r="Z2728" s="1" t="s">
        <v>74</v>
      </c>
      <c r="AA2728" s="1" t="s">
        <v>43367</v>
      </c>
      <c r="AB2728" s="1" t="s">
        <v>74</v>
      </c>
      <c r="AC2728" s="1" t="s">
        <v>74</v>
      </c>
      <c r="AD2728" s="1" t="s">
        <v>74</v>
      </c>
      <c r="AE2728" s="1" t="s">
        <v>74</v>
      </c>
      <c r="AF2728" s="1" t="s">
        <v>74</v>
      </c>
      <c r="AG2728" s="1">
        <v>5</v>
      </c>
      <c r="AH2728" s="1">
        <v>4</v>
      </c>
      <c r="AI2728" s="1">
        <v>4</v>
      </c>
      <c r="AJ2728" s="1">
        <v>0</v>
      </c>
      <c r="AK2728" s="1">
        <v>0</v>
      </c>
      <c r="AL2728" s="1" t="s">
        <v>136</v>
      </c>
      <c r="AM2728" s="1" t="s">
        <v>137</v>
      </c>
      <c r="AN2728" s="1" t="s">
        <v>138</v>
      </c>
      <c r="AO2728" s="1" t="s">
        <v>240</v>
      </c>
      <c r="AP2728" s="1" t="s">
        <v>241</v>
      </c>
      <c r="AQ2728" s="1" t="s">
        <v>74</v>
      </c>
      <c r="AR2728" s="1" t="s">
        <v>242</v>
      </c>
      <c r="AS2728" s="1" t="s">
        <v>243</v>
      </c>
      <c r="AT2728" s="1" t="s">
        <v>267</v>
      </c>
      <c r="AU2728" s="1">
        <v>1986</v>
      </c>
      <c r="AV2728" s="1">
        <v>17</v>
      </c>
      <c r="AW2728" s="1">
        <v>10</v>
      </c>
      <c r="AX2728" s="1" t="s">
        <v>74</v>
      </c>
      <c r="AY2728" s="1" t="s">
        <v>74</v>
      </c>
      <c r="AZ2728" s="1" t="s">
        <v>74</v>
      </c>
      <c r="BA2728" s="1" t="s">
        <v>74</v>
      </c>
      <c r="BB2728" s="1">
        <v>464</v>
      </c>
      <c r="BC2728" s="1">
        <v>465</v>
      </c>
      <c r="BD2728" s="1" t="s">
        <v>74</v>
      </c>
      <c r="BE2728" s="1" t="s">
        <v>43368</v>
      </c>
      <c r="BF2728" s="1" t="str">
        <f>HYPERLINK("http://dx.doi.org/10.1016/0025-326X(86)90837-4","http://dx.doi.org/10.1016/0025-326X(86)90837-4")</f>
        <v>http://dx.doi.org/10.1016/0025-326X(86)90837-4</v>
      </c>
      <c r="BG2728" s="1" t="s">
        <v>74</v>
      </c>
      <c r="BH2728" s="1" t="s">
        <v>74</v>
      </c>
      <c r="BI2728" s="1">
        <v>2</v>
      </c>
      <c r="BJ2728" s="1" t="s">
        <v>247</v>
      </c>
      <c r="BK2728" s="1" t="s">
        <v>96</v>
      </c>
      <c r="BL2728" s="1" t="s">
        <v>248</v>
      </c>
      <c r="BM2728" s="1" t="s">
        <v>43369</v>
      </c>
      <c r="BN2728" s="1" t="s">
        <v>74</v>
      </c>
      <c r="BO2728" s="1" t="s">
        <v>74</v>
      </c>
      <c r="BP2728" s="1" t="s">
        <v>74</v>
      </c>
      <c r="BQ2728" s="1" t="s">
        <v>74</v>
      </c>
      <c r="BR2728" s="1" t="s">
        <v>98</v>
      </c>
      <c r="BS2728" s="1" t="s">
        <v>43370</v>
      </c>
      <c r="BT2728" s="1" t="str">
        <f>HYPERLINK("https%3A%2F%2Fwww.webofscience.com%2Fwos%2Fwoscc%2Ffull-record%2FWOS:A1986E551800007","View Full Record in Web of Science")</f>
        <v>View Full Record in Web of Science</v>
      </c>
      <c r="BU2728" s="1"/>
      <c r="BV2728" s="1"/>
    </row>
    <row r="2729" spans="1:74">
      <c r="A2729" s="1" t="s">
        <v>72</v>
      </c>
      <c r="B2729" s="1" t="s">
        <v>43371</v>
      </c>
      <c r="C2729" s="1" t="s">
        <v>74</v>
      </c>
      <c r="D2729" s="1" t="s">
        <v>74</v>
      </c>
      <c r="E2729" s="1" t="s">
        <v>74</v>
      </c>
      <c r="F2729" s="1" t="s">
        <v>43372</v>
      </c>
      <c r="G2729" s="1" t="s">
        <v>74</v>
      </c>
      <c r="H2729" s="1" t="s">
        <v>74</v>
      </c>
      <c r="I2729" s="1" t="s">
        <v>43373</v>
      </c>
      <c r="J2729" s="1" t="s">
        <v>232</v>
      </c>
      <c r="K2729" s="1" t="s">
        <v>74</v>
      </c>
      <c r="L2729" s="1" t="s">
        <v>74</v>
      </c>
      <c r="M2729" s="1" t="s">
        <v>78</v>
      </c>
      <c r="N2729" s="1" t="s">
        <v>79</v>
      </c>
      <c r="O2729" s="1" t="s">
        <v>74</v>
      </c>
      <c r="P2729" s="1" t="s">
        <v>74</v>
      </c>
      <c r="Q2729" s="1" t="s">
        <v>74</v>
      </c>
      <c r="R2729" s="1" t="s">
        <v>74</v>
      </c>
      <c r="S2729" s="1" t="s">
        <v>74</v>
      </c>
      <c r="T2729" s="1" t="s">
        <v>43374</v>
      </c>
      <c r="U2729" s="1" t="s">
        <v>43375</v>
      </c>
      <c r="V2729" s="1" t="s">
        <v>43376</v>
      </c>
      <c r="W2729" s="1" t="s">
        <v>43377</v>
      </c>
      <c r="X2729" s="1" t="s">
        <v>43378</v>
      </c>
      <c r="Y2729" s="1" t="s">
        <v>43379</v>
      </c>
      <c r="Z2729" s="1" t="s">
        <v>43380</v>
      </c>
      <c r="AA2729" s="1" t="s">
        <v>43381</v>
      </c>
      <c r="AB2729" s="1" t="s">
        <v>43382</v>
      </c>
      <c r="AC2729" s="1" t="s">
        <v>43383</v>
      </c>
      <c r="AD2729" s="1" t="s">
        <v>43384</v>
      </c>
      <c r="AE2729" s="1" t="s">
        <v>43385</v>
      </c>
      <c r="AF2729" s="1" t="s">
        <v>74</v>
      </c>
      <c r="AG2729" s="1">
        <v>66</v>
      </c>
      <c r="AH2729" s="1">
        <v>25</v>
      </c>
      <c r="AI2729" s="1">
        <v>26</v>
      </c>
      <c r="AJ2729" s="1">
        <v>1</v>
      </c>
      <c r="AK2729" s="1">
        <v>28</v>
      </c>
      <c r="AL2729" s="1" t="s">
        <v>136</v>
      </c>
      <c r="AM2729" s="1" t="s">
        <v>137</v>
      </c>
      <c r="AN2729" s="1" t="s">
        <v>138</v>
      </c>
      <c r="AO2729" s="1" t="s">
        <v>240</v>
      </c>
      <c r="AP2729" s="1" t="s">
        <v>241</v>
      </c>
      <c r="AQ2729" s="1" t="s">
        <v>74</v>
      </c>
      <c r="AR2729" s="1" t="s">
        <v>242</v>
      </c>
      <c r="AS2729" s="1" t="s">
        <v>243</v>
      </c>
      <c r="AT2729" s="1" t="s">
        <v>197</v>
      </c>
      <c r="AU2729" s="1">
        <v>2008</v>
      </c>
      <c r="AV2729" s="1">
        <v>56</v>
      </c>
      <c r="AW2729" s="1">
        <v>12</v>
      </c>
      <c r="AX2729" s="1" t="s">
        <v>74</v>
      </c>
      <c r="AY2729" s="1" t="s">
        <v>74</v>
      </c>
      <c r="AZ2729" s="1" t="s">
        <v>74</v>
      </c>
      <c r="BA2729" s="1" t="s">
        <v>74</v>
      </c>
      <c r="BB2729" s="1">
        <v>2027</v>
      </c>
      <c r="BC2729" s="1">
        <v>2036</v>
      </c>
      <c r="BD2729" s="1" t="s">
        <v>74</v>
      </c>
      <c r="BE2729" s="1" t="s">
        <v>43386</v>
      </c>
      <c r="BF2729" s="1" t="str">
        <f>HYPERLINK("http://dx.doi.org/10.1016/j.marpolbul.2008.08.009","http://dx.doi.org/10.1016/j.marpolbul.2008.08.009")</f>
        <v>http://dx.doi.org/10.1016/j.marpolbul.2008.08.009</v>
      </c>
      <c r="BG2729" s="1" t="s">
        <v>74</v>
      </c>
      <c r="BH2729" s="1" t="s">
        <v>74</v>
      </c>
      <c r="BI2729" s="1">
        <v>10</v>
      </c>
      <c r="BJ2729" s="1" t="s">
        <v>247</v>
      </c>
      <c r="BK2729" s="1" t="s">
        <v>96</v>
      </c>
      <c r="BL2729" s="1" t="s">
        <v>248</v>
      </c>
      <c r="BM2729" s="1" t="s">
        <v>43387</v>
      </c>
      <c r="BN2729" s="1">
        <v>18817935</v>
      </c>
      <c r="BO2729" s="1" t="s">
        <v>74</v>
      </c>
      <c r="BP2729" s="1" t="s">
        <v>74</v>
      </c>
      <c r="BQ2729" s="1" t="s">
        <v>74</v>
      </c>
      <c r="BR2729" s="1" t="s">
        <v>98</v>
      </c>
      <c r="BS2729" s="1" t="s">
        <v>43388</v>
      </c>
      <c r="BT2729" s="1" t="str">
        <f>HYPERLINK("https%3A%2F%2Fwww.webofscience.com%2Fwos%2Fwoscc%2Ffull-record%2FWOS:000261992000020","View Full Record in Web of Science")</f>
        <v>View Full Record in Web of Science</v>
      </c>
      <c r="BU2729" s="1"/>
      <c r="BV2729" s="1"/>
    </row>
    <row r="2730" spans="1:74">
      <c r="A2730" s="1" t="s">
        <v>72</v>
      </c>
      <c r="B2730" s="1" t="s">
        <v>43389</v>
      </c>
      <c r="C2730" s="1" t="s">
        <v>74</v>
      </c>
      <c r="D2730" s="1" t="s">
        <v>74</v>
      </c>
      <c r="E2730" s="1" t="s">
        <v>74</v>
      </c>
      <c r="F2730" s="1" t="s">
        <v>43390</v>
      </c>
      <c r="G2730" s="1" t="s">
        <v>74</v>
      </c>
      <c r="H2730" s="1" t="s">
        <v>74</v>
      </c>
      <c r="I2730" s="1" t="s">
        <v>43391</v>
      </c>
      <c r="J2730" s="1" t="s">
        <v>421</v>
      </c>
      <c r="K2730" s="1" t="s">
        <v>74</v>
      </c>
      <c r="L2730" s="1" t="s">
        <v>74</v>
      </c>
      <c r="M2730" s="1" t="s">
        <v>78</v>
      </c>
      <c r="N2730" s="1" t="s">
        <v>79</v>
      </c>
      <c r="O2730" s="1" t="s">
        <v>74</v>
      </c>
      <c r="P2730" s="1" t="s">
        <v>74</v>
      </c>
      <c r="Q2730" s="1" t="s">
        <v>74</v>
      </c>
      <c r="R2730" s="1" t="s">
        <v>74</v>
      </c>
      <c r="S2730" s="1" t="s">
        <v>74</v>
      </c>
      <c r="T2730" s="1" t="s">
        <v>43392</v>
      </c>
      <c r="U2730" s="1" t="s">
        <v>43393</v>
      </c>
      <c r="V2730" s="1" t="s">
        <v>43394</v>
      </c>
      <c r="W2730" s="1" t="s">
        <v>43395</v>
      </c>
      <c r="X2730" s="1" t="s">
        <v>43396</v>
      </c>
      <c r="Y2730" s="1" t="s">
        <v>43397</v>
      </c>
      <c r="Z2730" s="1" t="s">
        <v>43398</v>
      </c>
      <c r="AA2730" s="1" t="s">
        <v>43399</v>
      </c>
      <c r="AB2730" s="1" t="s">
        <v>43400</v>
      </c>
      <c r="AC2730" s="1" t="s">
        <v>43401</v>
      </c>
      <c r="AD2730" s="1" t="s">
        <v>43402</v>
      </c>
      <c r="AE2730" s="1" t="s">
        <v>43403</v>
      </c>
      <c r="AF2730" s="1" t="s">
        <v>74</v>
      </c>
      <c r="AG2730" s="1">
        <v>34</v>
      </c>
      <c r="AH2730" s="1">
        <v>93</v>
      </c>
      <c r="AI2730" s="1">
        <v>96</v>
      </c>
      <c r="AJ2730" s="1">
        <v>0</v>
      </c>
      <c r="AK2730" s="1">
        <v>91</v>
      </c>
      <c r="AL2730" s="1" t="s">
        <v>430</v>
      </c>
      <c r="AM2730" s="1" t="s">
        <v>137</v>
      </c>
      <c r="AN2730" s="1" t="s">
        <v>431</v>
      </c>
      <c r="AO2730" s="1" t="s">
        <v>432</v>
      </c>
      <c r="AP2730" s="1" t="s">
        <v>74</v>
      </c>
      <c r="AQ2730" s="1" t="s">
        <v>74</v>
      </c>
      <c r="AR2730" s="1" t="s">
        <v>433</v>
      </c>
      <c r="AS2730" s="1" t="s">
        <v>434</v>
      </c>
      <c r="AT2730" s="1" t="s">
        <v>93</v>
      </c>
      <c r="AU2730" s="1">
        <v>2012</v>
      </c>
      <c r="AV2730" s="1">
        <v>163</v>
      </c>
      <c r="AW2730" s="1" t="s">
        <v>74</v>
      </c>
      <c r="AX2730" s="1" t="s">
        <v>74</v>
      </c>
      <c r="AY2730" s="1" t="s">
        <v>74</v>
      </c>
      <c r="AZ2730" s="1" t="s">
        <v>74</v>
      </c>
      <c r="BA2730" s="1" t="s">
        <v>74</v>
      </c>
      <c r="BB2730" s="1">
        <v>207</v>
      </c>
      <c r="BC2730" s="1">
        <v>217</v>
      </c>
      <c r="BD2730" s="1" t="s">
        <v>74</v>
      </c>
      <c r="BE2730" s="1" t="s">
        <v>43404</v>
      </c>
      <c r="BF2730" s="1" t="str">
        <f>HYPERLINK("http://dx.doi.org/10.1016/j.envpol.2011.12.029","http://dx.doi.org/10.1016/j.envpol.2011.12.029")</f>
        <v>http://dx.doi.org/10.1016/j.envpol.2011.12.029</v>
      </c>
      <c r="BG2730" s="1" t="s">
        <v>74</v>
      </c>
      <c r="BH2730" s="1" t="s">
        <v>74</v>
      </c>
      <c r="BI2730" s="1">
        <v>11</v>
      </c>
      <c r="BJ2730" s="1" t="s">
        <v>144</v>
      </c>
      <c r="BK2730" s="1" t="s">
        <v>96</v>
      </c>
      <c r="BL2730" s="1" t="s">
        <v>145</v>
      </c>
      <c r="BM2730" s="1" t="s">
        <v>12418</v>
      </c>
      <c r="BN2730" s="1">
        <v>22265759</v>
      </c>
      <c r="BO2730" s="1" t="s">
        <v>74</v>
      </c>
      <c r="BP2730" s="1" t="s">
        <v>74</v>
      </c>
      <c r="BQ2730" s="1" t="s">
        <v>74</v>
      </c>
      <c r="BR2730" s="1" t="s">
        <v>98</v>
      </c>
      <c r="BS2730" s="1" t="s">
        <v>43405</v>
      </c>
      <c r="BT2730" s="1" t="str">
        <f>HYPERLINK("https%3A%2F%2Fwww.webofscience.com%2Fwos%2Fwoscc%2Ffull-record%2FWOS:000301395400027","View Full Record in Web of Science")</f>
        <v>View Full Record in Web of Science</v>
      </c>
      <c r="BU2730" s="1"/>
      <c r="BV2730" s="1"/>
    </row>
    <row r="2731" spans="1:74">
      <c r="A2731" s="1" t="s">
        <v>72</v>
      </c>
      <c r="B2731" s="1" t="s">
        <v>43406</v>
      </c>
      <c r="C2731" s="1" t="s">
        <v>74</v>
      </c>
      <c r="D2731" s="1" t="s">
        <v>74</v>
      </c>
      <c r="E2731" s="1" t="s">
        <v>74</v>
      </c>
      <c r="F2731" s="1" t="s">
        <v>43407</v>
      </c>
      <c r="G2731" s="1" t="s">
        <v>74</v>
      </c>
      <c r="H2731" s="1" t="s">
        <v>74</v>
      </c>
      <c r="I2731" s="1" t="s">
        <v>43408</v>
      </c>
      <c r="J2731" s="1" t="s">
        <v>421</v>
      </c>
      <c r="K2731" s="1" t="s">
        <v>74</v>
      </c>
      <c r="L2731" s="1" t="s">
        <v>74</v>
      </c>
      <c r="M2731" s="1" t="s">
        <v>78</v>
      </c>
      <c r="N2731" s="1" t="s">
        <v>79</v>
      </c>
      <c r="O2731" s="1" t="s">
        <v>74</v>
      </c>
      <c r="P2731" s="1" t="s">
        <v>74</v>
      </c>
      <c r="Q2731" s="1" t="s">
        <v>74</v>
      </c>
      <c r="R2731" s="1" t="s">
        <v>74</v>
      </c>
      <c r="S2731" s="1" t="s">
        <v>74</v>
      </c>
      <c r="T2731" s="1" t="s">
        <v>43409</v>
      </c>
      <c r="U2731" s="1" t="s">
        <v>43410</v>
      </c>
      <c r="V2731" s="1" t="s">
        <v>43411</v>
      </c>
      <c r="W2731" s="1" t="s">
        <v>43412</v>
      </c>
      <c r="X2731" s="1" t="s">
        <v>17290</v>
      </c>
      <c r="Y2731" s="1" t="s">
        <v>43413</v>
      </c>
      <c r="Z2731" s="1" t="s">
        <v>43414</v>
      </c>
      <c r="AA2731" s="1" t="s">
        <v>2334</v>
      </c>
      <c r="AB2731" s="1" t="s">
        <v>43415</v>
      </c>
      <c r="AC2731" s="1" t="s">
        <v>74</v>
      </c>
      <c r="AD2731" s="1" t="s">
        <v>74</v>
      </c>
      <c r="AE2731" s="1" t="s">
        <v>74</v>
      </c>
      <c r="AF2731" s="1" t="s">
        <v>74</v>
      </c>
      <c r="AG2731" s="1">
        <v>45</v>
      </c>
      <c r="AH2731" s="1">
        <v>20</v>
      </c>
      <c r="AI2731" s="1">
        <v>24</v>
      </c>
      <c r="AJ2731" s="1">
        <v>1</v>
      </c>
      <c r="AK2731" s="1">
        <v>38</v>
      </c>
      <c r="AL2731" s="1" t="s">
        <v>430</v>
      </c>
      <c r="AM2731" s="1" t="s">
        <v>137</v>
      </c>
      <c r="AN2731" s="1" t="s">
        <v>431</v>
      </c>
      <c r="AO2731" s="1" t="s">
        <v>432</v>
      </c>
      <c r="AP2731" s="1" t="s">
        <v>1394</v>
      </c>
      <c r="AQ2731" s="1" t="s">
        <v>74</v>
      </c>
      <c r="AR2731" s="1" t="s">
        <v>433</v>
      </c>
      <c r="AS2731" s="1" t="s">
        <v>434</v>
      </c>
      <c r="AT2731" s="1" t="s">
        <v>951</v>
      </c>
      <c r="AU2731" s="1">
        <v>2017</v>
      </c>
      <c r="AV2731" s="1">
        <v>230</v>
      </c>
      <c r="AW2731" s="1" t="s">
        <v>74</v>
      </c>
      <c r="AX2731" s="1" t="s">
        <v>74</v>
      </c>
      <c r="AY2731" s="1" t="s">
        <v>74</v>
      </c>
      <c r="AZ2731" s="1" t="s">
        <v>74</v>
      </c>
      <c r="BA2731" s="1" t="s">
        <v>74</v>
      </c>
      <c r="BB2731" s="1">
        <v>31</v>
      </c>
      <c r="BC2731" s="1">
        <v>39</v>
      </c>
      <c r="BD2731" s="1" t="s">
        <v>74</v>
      </c>
      <c r="BE2731" s="1" t="s">
        <v>43416</v>
      </c>
      <c r="BF2731" s="1" t="str">
        <f>HYPERLINK("http://dx.doi.org/10.1016/j.envpol.2017.06.040","http://dx.doi.org/10.1016/j.envpol.2017.06.040")</f>
        <v>http://dx.doi.org/10.1016/j.envpol.2017.06.040</v>
      </c>
      <c r="BG2731" s="1" t="s">
        <v>74</v>
      </c>
      <c r="BH2731" s="1" t="s">
        <v>74</v>
      </c>
      <c r="BI2731" s="1">
        <v>9</v>
      </c>
      <c r="BJ2731" s="1" t="s">
        <v>144</v>
      </c>
      <c r="BK2731" s="1" t="s">
        <v>96</v>
      </c>
      <c r="BL2731" s="1" t="s">
        <v>145</v>
      </c>
      <c r="BM2731" s="1" t="s">
        <v>15474</v>
      </c>
      <c r="BN2731" s="1">
        <v>28644982</v>
      </c>
      <c r="BO2731" s="1" t="s">
        <v>74</v>
      </c>
      <c r="BP2731" s="1" t="s">
        <v>74</v>
      </c>
      <c r="BQ2731" s="1" t="s">
        <v>74</v>
      </c>
      <c r="BR2731" s="1" t="s">
        <v>98</v>
      </c>
      <c r="BS2731" s="1" t="s">
        <v>43417</v>
      </c>
      <c r="BT2731" s="1" t="str">
        <f>HYPERLINK("https%3A%2F%2Fwww.webofscience.com%2Fwos%2Fwoscc%2Ffull-record%2FWOS:000412250900004","View Full Record in Web of Science")</f>
        <v>View Full Record in Web of Science</v>
      </c>
      <c r="BU2731" s="1"/>
      <c r="BV2731" s="1"/>
    </row>
    <row r="2732" spans="1:74">
      <c r="A2732" s="1" t="s">
        <v>72</v>
      </c>
      <c r="B2732" s="1" t="s">
        <v>43418</v>
      </c>
      <c r="C2732" s="1" t="s">
        <v>74</v>
      </c>
      <c r="D2732" s="1" t="s">
        <v>74</v>
      </c>
      <c r="E2732" s="1" t="s">
        <v>74</v>
      </c>
      <c r="F2732" s="1" t="s">
        <v>43419</v>
      </c>
      <c r="G2732" s="1" t="s">
        <v>74</v>
      </c>
      <c r="H2732" s="1" t="s">
        <v>74</v>
      </c>
      <c r="I2732" s="1" t="s">
        <v>43420</v>
      </c>
      <c r="J2732" s="1" t="s">
        <v>641</v>
      </c>
      <c r="K2732" s="1" t="s">
        <v>74</v>
      </c>
      <c r="L2732" s="1" t="s">
        <v>74</v>
      </c>
      <c r="M2732" s="1" t="s">
        <v>78</v>
      </c>
      <c r="N2732" s="1" t="s">
        <v>79</v>
      </c>
      <c r="O2732" s="1" t="s">
        <v>74</v>
      </c>
      <c r="P2732" s="1" t="s">
        <v>74</v>
      </c>
      <c r="Q2732" s="1" t="s">
        <v>74</v>
      </c>
      <c r="R2732" s="1" t="s">
        <v>74</v>
      </c>
      <c r="S2732" s="1" t="s">
        <v>74</v>
      </c>
      <c r="T2732" s="1" t="s">
        <v>43421</v>
      </c>
      <c r="U2732" s="1" t="s">
        <v>43422</v>
      </c>
      <c r="V2732" s="1" t="s">
        <v>43423</v>
      </c>
      <c r="W2732" s="1" t="s">
        <v>43424</v>
      </c>
      <c r="X2732" s="1" t="s">
        <v>43425</v>
      </c>
      <c r="Y2732" s="1" t="s">
        <v>43426</v>
      </c>
      <c r="Z2732" s="1" t="s">
        <v>13012</v>
      </c>
      <c r="AA2732" s="1" t="s">
        <v>5490</v>
      </c>
      <c r="AB2732" s="1" t="s">
        <v>5491</v>
      </c>
      <c r="AC2732" s="1" t="s">
        <v>43427</v>
      </c>
      <c r="AD2732" s="1" t="s">
        <v>43428</v>
      </c>
      <c r="AE2732" s="1" t="s">
        <v>43429</v>
      </c>
      <c r="AF2732" s="1" t="s">
        <v>74</v>
      </c>
      <c r="AG2732" s="1">
        <v>94</v>
      </c>
      <c r="AH2732" s="1">
        <v>21</v>
      </c>
      <c r="AI2732" s="1">
        <v>21</v>
      </c>
      <c r="AJ2732" s="1">
        <v>0</v>
      </c>
      <c r="AK2732" s="1">
        <v>58</v>
      </c>
      <c r="AL2732" s="1" t="s">
        <v>650</v>
      </c>
      <c r="AM2732" s="1" t="s">
        <v>651</v>
      </c>
      <c r="AN2732" s="1" t="s">
        <v>652</v>
      </c>
      <c r="AO2732" s="1" t="s">
        <v>653</v>
      </c>
      <c r="AP2732" s="1" t="s">
        <v>654</v>
      </c>
      <c r="AQ2732" s="1" t="s">
        <v>74</v>
      </c>
      <c r="AR2732" s="1" t="s">
        <v>655</v>
      </c>
      <c r="AS2732" s="1" t="s">
        <v>656</v>
      </c>
      <c r="AT2732" s="1" t="s">
        <v>951</v>
      </c>
      <c r="AU2732" s="1">
        <v>2017</v>
      </c>
      <c r="AV2732" s="1">
        <v>192</v>
      </c>
      <c r="AW2732" s="1" t="s">
        <v>74</v>
      </c>
      <c r="AX2732" s="1" t="s">
        <v>74</v>
      </c>
      <c r="AY2732" s="1" t="s">
        <v>74</v>
      </c>
      <c r="AZ2732" s="1" t="s">
        <v>74</v>
      </c>
      <c r="BA2732" s="1" t="s">
        <v>74</v>
      </c>
      <c r="BB2732" s="1">
        <v>251</v>
      </c>
      <c r="BC2732" s="1">
        <v>264</v>
      </c>
      <c r="BD2732" s="1" t="s">
        <v>74</v>
      </c>
      <c r="BE2732" s="1" t="s">
        <v>43430</v>
      </c>
      <c r="BF2732" s="1" t="str">
        <f>HYPERLINK("http://dx.doi.org/10.1016/j.aquatox.2017.09.028","http://dx.doi.org/10.1016/j.aquatox.2017.09.028")</f>
        <v>http://dx.doi.org/10.1016/j.aquatox.2017.09.028</v>
      </c>
      <c r="BG2732" s="1" t="s">
        <v>74</v>
      </c>
      <c r="BH2732" s="1" t="s">
        <v>74</v>
      </c>
      <c r="BI2732" s="1">
        <v>14</v>
      </c>
      <c r="BJ2732" s="1" t="s">
        <v>659</v>
      </c>
      <c r="BK2732" s="1" t="s">
        <v>96</v>
      </c>
      <c r="BL2732" s="1" t="s">
        <v>659</v>
      </c>
      <c r="BM2732" s="1" t="s">
        <v>43431</v>
      </c>
      <c r="BN2732" s="1">
        <v>28987992</v>
      </c>
      <c r="BO2732" s="1" t="s">
        <v>370</v>
      </c>
      <c r="BP2732" s="1" t="s">
        <v>74</v>
      </c>
      <c r="BQ2732" s="1" t="s">
        <v>74</v>
      </c>
      <c r="BR2732" s="1" t="s">
        <v>98</v>
      </c>
      <c r="BS2732" s="1" t="s">
        <v>43432</v>
      </c>
      <c r="BT2732" s="1" t="str">
        <f>HYPERLINK("https%3A%2F%2Fwww.webofscience.com%2Fwos%2Fwoscc%2Ffull-record%2FWOS:000415768700028","View Full Record in Web of Science")</f>
        <v>View Full Record in Web of Science</v>
      </c>
      <c r="BU2732" s="1"/>
      <c r="BV2732" s="1"/>
    </row>
    <row r="2733" spans="1:74">
      <c r="A2733" s="1" t="s">
        <v>72</v>
      </c>
      <c r="B2733" s="1" t="s">
        <v>43433</v>
      </c>
      <c r="C2733" s="1" t="s">
        <v>74</v>
      </c>
      <c r="D2733" s="1" t="s">
        <v>74</v>
      </c>
      <c r="E2733" s="1" t="s">
        <v>74</v>
      </c>
      <c r="F2733" s="1" t="s">
        <v>43433</v>
      </c>
      <c r="G2733" s="1" t="s">
        <v>74</v>
      </c>
      <c r="H2733" s="1" t="s">
        <v>74</v>
      </c>
      <c r="I2733" s="1" t="s">
        <v>43434</v>
      </c>
      <c r="J2733" s="1" t="s">
        <v>232</v>
      </c>
      <c r="K2733" s="1" t="s">
        <v>74</v>
      </c>
      <c r="L2733" s="1" t="s">
        <v>74</v>
      </c>
      <c r="M2733" s="1" t="s">
        <v>78</v>
      </c>
      <c r="N2733" s="1" t="s">
        <v>79</v>
      </c>
      <c r="O2733" s="1" t="s">
        <v>74</v>
      </c>
      <c r="P2733" s="1" t="s">
        <v>74</v>
      </c>
      <c r="Q2733" s="1" t="s">
        <v>74</v>
      </c>
      <c r="R2733" s="1" t="s">
        <v>74</v>
      </c>
      <c r="S2733" s="1" t="s">
        <v>74</v>
      </c>
      <c r="T2733" s="1" t="s">
        <v>43435</v>
      </c>
      <c r="U2733" s="1" t="s">
        <v>43436</v>
      </c>
      <c r="V2733" s="1" t="s">
        <v>43437</v>
      </c>
      <c r="W2733" s="1" t="s">
        <v>43438</v>
      </c>
      <c r="X2733" s="1" t="s">
        <v>43439</v>
      </c>
      <c r="Y2733" s="1" t="s">
        <v>43440</v>
      </c>
      <c r="Z2733" s="1" t="s">
        <v>43441</v>
      </c>
      <c r="AA2733" s="1" t="s">
        <v>43442</v>
      </c>
      <c r="AB2733" s="1" t="s">
        <v>43443</v>
      </c>
      <c r="AC2733" s="1" t="s">
        <v>74</v>
      </c>
      <c r="AD2733" s="1" t="s">
        <v>74</v>
      </c>
      <c r="AE2733" s="1" t="s">
        <v>74</v>
      </c>
      <c r="AF2733" s="1" t="s">
        <v>74</v>
      </c>
      <c r="AG2733" s="1">
        <v>39</v>
      </c>
      <c r="AH2733" s="1">
        <v>147</v>
      </c>
      <c r="AI2733" s="1">
        <v>169</v>
      </c>
      <c r="AJ2733" s="1">
        <v>0</v>
      </c>
      <c r="AK2733" s="1">
        <v>24</v>
      </c>
      <c r="AL2733" s="1" t="s">
        <v>136</v>
      </c>
      <c r="AM2733" s="1" t="s">
        <v>137</v>
      </c>
      <c r="AN2733" s="1" t="s">
        <v>138</v>
      </c>
      <c r="AO2733" s="1" t="s">
        <v>240</v>
      </c>
      <c r="AP2733" s="1" t="s">
        <v>241</v>
      </c>
      <c r="AQ2733" s="1" t="s">
        <v>74</v>
      </c>
      <c r="AR2733" s="1" t="s">
        <v>242</v>
      </c>
      <c r="AS2733" s="1" t="s">
        <v>243</v>
      </c>
      <c r="AT2733" s="1" t="s">
        <v>1223</v>
      </c>
      <c r="AU2733" s="1">
        <v>2000</v>
      </c>
      <c r="AV2733" s="1">
        <v>40</v>
      </c>
      <c r="AW2733" s="1">
        <v>3</v>
      </c>
      <c r="AX2733" s="1" t="s">
        <v>74</v>
      </c>
      <c r="AY2733" s="1" t="s">
        <v>74</v>
      </c>
      <c r="AZ2733" s="1" t="s">
        <v>74</v>
      </c>
      <c r="BA2733" s="1" t="s">
        <v>74</v>
      </c>
      <c r="BB2733" s="1">
        <v>244</v>
      </c>
      <c r="BC2733" s="1">
        <v>252</v>
      </c>
      <c r="BD2733" s="1" t="s">
        <v>74</v>
      </c>
      <c r="BE2733" s="1" t="s">
        <v>43444</v>
      </c>
      <c r="BF2733" s="1" t="str">
        <f>HYPERLINK("http://dx.doi.org/10.1016/S0025-326X(99)00209-X","http://dx.doi.org/10.1016/S0025-326X(99)00209-X")</f>
        <v>http://dx.doi.org/10.1016/S0025-326X(99)00209-X</v>
      </c>
      <c r="BG2733" s="1" t="s">
        <v>74</v>
      </c>
      <c r="BH2733" s="1" t="s">
        <v>74</v>
      </c>
      <c r="BI2733" s="1">
        <v>9</v>
      </c>
      <c r="BJ2733" s="1" t="s">
        <v>247</v>
      </c>
      <c r="BK2733" s="1" t="s">
        <v>96</v>
      </c>
      <c r="BL2733" s="1" t="s">
        <v>248</v>
      </c>
      <c r="BM2733" s="1" t="s">
        <v>43445</v>
      </c>
      <c r="BN2733" s="1" t="s">
        <v>74</v>
      </c>
      <c r="BO2733" s="1" t="s">
        <v>74</v>
      </c>
      <c r="BP2733" s="1" t="s">
        <v>74</v>
      </c>
      <c r="BQ2733" s="1" t="s">
        <v>74</v>
      </c>
      <c r="BR2733" s="1" t="s">
        <v>98</v>
      </c>
      <c r="BS2733" s="1" t="s">
        <v>43446</v>
      </c>
      <c r="BT2733" s="1" t="str">
        <f>HYPERLINK("https%3A%2F%2Fwww.webofscience.com%2Fwos%2Fwoscc%2Ffull-record%2FWOS:000086053600018","View Full Record in Web of Science")</f>
        <v>View Full Record in Web of Science</v>
      </c>
      <c r="BU2733" s="1"/>
      <c r="BV2733" s="1"/>
    </row>
    <row r="2734" spans="1:74">
      <c r="A2734" s="1" t="s">
        <v>72</v>
      </c>
      <c r="B2734" s="1" t="s">
        <v>43447</v>
      </c>
      <c r="C2734" s="1" t="s">
        <v>74</v>
      </c>
      <c r="D2734" s="1" t="s">
        <v>74</v>
      </c>
      <c r="E2734" s="1" t="s">
        <v>74</v>
      </c>
      <c r="F2734" s="1" t="s">
        <v>43448</v>
      </c>
      <c r="G2734" s="1" t="s">
        <v>74</v>
      </c>
      <c r="H2734" s="1" t="s">
        <v>74</v>
      </c>
      <c r="I2734" s="1" t="s">
        <v>43449</v>
      </c>
      <c r="J2734" s="1" t="s">
        <v>5616</v>
      </c>
      <c r="K2734" s="1" t="s">
        <v>74</v>
      </c>
      <c r="L2734" s="1" t="s">
        <v>74</v>
      </c>
      <c r="M2734" s="1" t="s">
        <v>78</v>
      </c>
      <c r="N2734" s="1" t="s">
        <v>79</v>
      </c>
      <c r="O2734" s="1" t="s">
        <v>74</v>
      </c>
      <c r="P2734" s="1" t="s">
        <v>74</v>
      </c>
      <c r="Q2734" s="1" t="s">
        <v>74</v>
      </c>
      <c r="R2734" s="1" t="s">
        <v>74</v>
      </c>
      <c r="S2734" s="1" t="s">
        <v>74</v>
      </c>
      <c r="T2734" s="1" t="s">
        <v>43450</v>
      </c>
      <c r="U2734" s="1" t="s">
        <v>43451</v>
      </c>
      <c r="V2734" s="1" t="s">
        <v>43452</v>
      </c>
      <c r="W2734" s="1" t="s">
        <v>43453</v>
      </c>
      <c r="X2734" s="1" t="s">
        <v>43454</v>
      </c>
      <c r="Y2734" s="1" t="s">
        <v>43455</v>
      </c>
      <c r="Z2734" s="1" t="s">
        <v>43456</v>
      </c>
      <c r="AA2734" s="1" t="s">
        <v>43457</v>
      </c>
      <c r="AB2734" s="1" t="s">
        <v>43458</v>
      </c>
      <c r="AC2734" s="1" t="s">
        <v>74</v>
      </c>
      <c r="AD2734" s="1" t="s">
        <v>74</v>
      </c>
      <c r="AE2734" s="1" t="s">
        <v>74</v>
      </c>
      <c r="AF2734" s="1" t="s">
        <v>74</v>
      </c>
      <c r="AG2734" s="1">
        <v>50</v>
      </c>
      <c r="AH2734" s="1">
        <v>19</v>
      </c>
      <c r="AI2734" s="1">
        <v>20</v>
      </c>
      <c r="AJ2734" s="1">
        <v>8</v>
      </c>
      <c r="AK2734" s="1">
        <v>108</v>
      </c>
      <c r="AL2734" s="1" t="s">
        <v>1566</v>
      </c>
      <c r="AM2734" s="1" t="s">
        <v>1567</v>
      </c>
      <c r="AN2734" s="1" t="s">
        <v>1568</v>
      </c>
      <c r="AO2734" s="1" t="s">
        <v>74</v>
      </c>
      <c r="AP2734" s="1" t="s">
        <v>5629</v>
      </c>
      <c r="AQ2734" s="1" t="s">
        <v>74</v>
      </c>
      <c r="AR2734" s="1" t="s">
        <v>5630</v>
      </c>
      <c r="AS2734" s="1" t="s">
        <v>5631</v>
      </c>
      <c r="AT2734" s="1" t="s">
        <v>197</v>
      </c>
      <c r="AU2734" s="1">
        <v>2020</v>
      </c>
      <c r="AV2734" s="1">
        <v>10</v>
      </c>
      <c r="AW2734" s="1">
        <v>12</v>
      </c>
      <c r="AX2734" s="1" t="s">
        <v>74</v>
      </c>
      <c r="AY2734" s="1" t="s">
        <v>74</v>
      </c>
      <c r="AZ2734" s="1" t="s">
        <v>74</v>
      </c>
      <c r="BA2734" s="1" t="s">
        <v>74</v>
      </c>
      <c r="BB2734" s="1" t="s">
        <v>74</v>
      </c>
      <c r="BC2734" s="1" t="s">
        <v>74</v>
      </c>
      <c r="BD2734" s="1">
        <v>2363</v>
      </c>
      <c r="BE2734" s="1" t="s">
        <v>43459</v>
      </c>
      <c r="BF2734" s="1" t="str">
        <f>HYPERLINK("http://dx.doi.org/10.3390/nano10122363","http://dx.doi.org/10.3390/nano10122363")</f>
        <v>http://dx.doi.org/10.3390/nano10122363</v>
      </c>
      <c r="BG2734" s="1" t="s">
        <v>74</v>
      </c>
      <c r="BH2734" s="1" t="s">
        <v>74</v>
      </c>
      <c r="BI2734" s="1">
        <v>14</v>
      </c>
      <c r="BJ2734" s="1" t="s">
        <v>5633</v>
      </c>
      <c r="BK2734" s="1" t="s">
        <v>96</v>
      </c>
      <c r="BL2734" s="1" t="s">
        <v>5634</v>
      </c>
      <c r="BM2734" s="1" t="s">
        <v>43460</v>
      </c>
      <c r="BN2734" s="1">
        <v>33261080</v>
      </c>
      <c r="BO2734" s="1" t="s">
        <v>550</v>
      </c>
      <c r="BP2734" s="1" t="s">
        <v>74</v>
      </c>
      <c r="BQ2734" s="1" t="s">
        <v>74</v>
      </c>
      <c r="BR2734" s="1" t="s">
        <v>98</v>
      </c>
      <c r="BS2734" s="1" t="s">
        <v>43461</v>
      </c>
      <c r="BT2734" s="1" t="str">
        <f>HYPERLINK("https%3A%2F%2Fwww.webofscience.com%2Fwos%2Fwoscc%2Ffull-record%2FWOS:000602417000001","View Full Record in Web of Science")</f>
        <v>View Full Record in Web of Science</v>
      </c>
      <c r="BU2734" s="1"/>
      <c r="BV2734" s="1"/>
    </row>
    <row r="2735" spans="1:74">
      <c r="A2735" s="1" t="s">
        <v>72</v>
      </c>
      <c r="B2735" s="1" t="s">
        <v>43462</v>
      </c>
      <c r="C2735" s="1" t="s">
        <v>74</v>
      </c>
      <c r="D2735" s="1" t="s">
        <v>74</v>
      </c>
      <c r="E2735" s="1" t="s">
        <v>74</v>
      </c>
      <c r="F2735" s="1" t="s">
        <v>43463</v>
      </c>
      <c r="G2735" s="1" t="s">
        <v>74</v>
      </c>
      <c r="H2735" s="1" t="s">
        <v>74</v>
      </c>
      <c r="I2735" s="1" t="s">
        <v>43464</v>
      </c>
      <c r="J2735" s="1" t="s">
        <v>421</v>
      </c>
      <c r="K2735" s="1" t="s">
        <v>74</v>
      </c>
      <c r="L2735" s="1" t="s">
        <v>74</v>
      </c>
      <c r="M2735" s="1" t="s">
        <v>78</v>
      </c>
      <c r="N2735" s="1" t="s">
        <v>79</v>
      </c>
      <c r="O2735" s="1" t="s">
        <v>74</v>
      </c>
      <c r="P2735" s="1" t="s">
        <v>74</v>
      </c>
      <c r="Q2735" s="1" t="s">
        <v>74</v>
      </c>
      <c r="R2735" s="1" t="s">
        <v>74</v>
      </c>
      <c r="S2735" s="1" t="s">
        <v>74</v>
      </c>
      <c r="T2735" s="1" t="s">
        <v>43465</v>
      </c>
      <c r="U2735" s="1" t="s">
        <v>43466</v>
      </c>
      <c r="V2735" s="1" t="s">
        <v>43467</v>
      </c>
      <c r="W2735" s="1" t="s">
        <v>43468</v>
      </c>
      <c r="X2735" s="1" t="s">
        <v>43469</v>
      </c>
      <c r="Y2735" s="1" t="s">
        <v>43470</v>
      </c>
      <c r="Z2735" s="1" t="s">
        <v>43471</v>
      </c>
      <c r="AA2735" s="1" t="s">
        <v>74</v>
      </c>
      <c r="AB2735" s="1" t="s">
        <v>74</v>
      </c>
      <c r="AC2735" s="1" t="s">
        <v>43472</v>
      </c>
      <c r="AD2735" s="1" t="s">
        <v>43473</v>
      </c>
      <c r="AE2735" s="1" t="s">
        <v>43474</v>
      </c>
      <c r="AF2735" s="1" t="s">
        <v>74</v>
      </c>
      <c r="AG2735" s="1">
        <v>36</v>
      </c>
      <c r="AH2735" s="1">
        <v>7</v>
      </c>
      <c r="AI2735" s="1">
        <v>7</v>
      </c>
      <c r="AJ2735" s="1">
        <v>2</v>
      </c>
      <c r="AK2735" s="1">
        <v>15</v>
      </c>
      <c r="AL2735" s="1" t="s">
        <v>430</v>
      </c>
      <c r="AM2735" s="1" t="s">
        <v>137</v>
      </c>
      <c r="AN2735" s="1" t="s">
        <v>431</v>
      </c>
      <c r="AO2735" s="1" t="s">
        <v>432</v>
      </c>
      <c r="AP2735" s="1" t="s">
        <v>1394</v>
      </c>
      <c r="AQ2735" s="1" t="s">
        <v>74</v>
      </c>
      <c r="AR2735" s="1" t="s">
        <v>433</v>
      </c>
      <c r="AS2735" s="1" t="s">
        <v>434</v>
      </c>
      <c r="AT2735" s="1" t="s">
        <v>1091</v>
      </c>
      <c r="AU2735" s="1">
        <v>2023</v>
      </c>
      <c r="AV2735" s="1">
        <v>327</v>
      </c>
      <c r="AW2735" s="1" t="s">
        <v>74</v>
      </c>
      <c r="AX2735" s="1" t="s">
        <v>74</v>
      </c>
      <c r="AY2735" s="1" t="s">
        <v>74</v>
      </c>
      <c r="AZ2735" s="1" t="s">
        <v>74</v>
      </c>
      <c r="BA2735" s="1" t="s">
        <v>74</v>
      </c>
      <c r="BB2735" s="1" t="s">
        <v>74</v>
      </c>
      <c r="BC2735" s="1" t="s">
        <v>74</v>
      </c>
      <c r="BD2735" s="1">
        <v>121583</v>
      </c>
      <c r="BE2735" s="1" t="s">
        <v>43475</v>
      </c>
      <c r="BF2735" s="1" t="str">
        <f>HYPERLINK("http://dx.doi.org/10.1016/j.envpol.2023.121583","http://dx.doi.org/10.1016/j.envpol.2023.121583")</f>
        <v>http://dx.doi.org/10.1016/j.envpol.2023.121583</v>
      </c>
      <c r="BG2735" s="1" t="s">
        <v>74</v>
      </c>
      <c r="BH2735" s="1" t="s">
        <v>2540</v>
      </c>
      <c r="BI2735" s="1">
        <v>12</v>
      </c>
      <c r="BJ2735" s="1" t="s">
        <v>144</v>
      </c>
      <c r="BK2735" s="1" t="s">
        <v>96</v>
      </c>
      <c r="BL2735" s="1" t="s">
        <v>145</v>
      </c>
      <c r="BM2735" s="1" t="s">
        <v>43476</v>
      </c>
      <c r="BN2735" s="1">
        <v>37028784</v>
      </c>
      <c r="BO2735" s="1" t="s">
        <v>74</v>
      </c>
      <c r="BP2735" s="1" t="s">
        <v>74</v>
      </c>
      <c r="BQ2735" s="1" t="s">
        <v>74</v>
      </c>
      <c r="BR2735" s="1" t="s">
        <v>98</v>
      </c>
      <c r="BS2735" s="1" t="s">
        <v>43477</v>
      </c>
      <c r="BT2735" s="1" t="str">
        <f>HYPERLINK("https%3A%2F%2Fwww.webofscience.com%2Fwos%2Fwoscc%2Ffull-record%2FWOS:000982655400001","View Full Record in Web of Science")</f>
        <v>View Full Record in Web of Science</v>
      </c>
      <c r="BU2735" s="1"/>
      <c r="BV2735" s="1"/>
    </row>
    <row r="2736" spans="1:74">
      <c r="A2736" s="1" t="s">
        <v>72</v>
      </c>
      <c r="B2736" s="1" t="s">
        <v>43478</v>
      </c>
      <c r="C2736" s="1" t="s">
        <v>74</v>
      </c>
      <c r="D2736" s="1" t="s">
        <v>74</v>
      </c>
      <c r="E2736" s="1" t="s">
        <v>74</v>
      </c>
      <c r="F2736" s="1" t="s">
        <v>43479</v>
      </c>
      <c r="G2736" s="1" t="s">
        <v>74</v>
      </c>
      <c r="H2736" s="1" t="s">
        <v>74</v>
      </c>
      <c r="I2736" s="1" t="s">
        <v>43480</v>
      </c>
      <c r="J2736" s="1" t="s">
        <v>618</v>
      </c>
      <c r="K2736" s="1" t="s">
        <v>74</v>
      </c>
      <c r="L2736" s="1" t="s">
        <v>74</v>
      </c>
      <c r="M2736" s="1" t="s">
        <v>78</v>
      </c>
      <c r="N2736" s="1" t="s">
        <v>79</v>
      </c>
      <c r="O2736" s="1" t="s">
        <v>74</v>
      </c>
      <c r="P2736" s="1" t="s">
        <v>74</v>
      </c>
      <c r="Q2736" s="1" t="s">
        <v>74</v>
      </c>
      <c r="R2736" s="1" t="s">
        <v>74</v>
      </c>
      <c r="S2736" s="1" t="s">
        <v>74</v>
      </c>
      <c r="T2736" s="1" t="s">
        <v>43481</v>
      </c>
      <c r="U2736" s="1" t="s">
        <v>43482</v>
      </c>
      <c r="V2736" s="1" t="s">
        <v>43483</v>
      </c>
      <c r="W2736" s="1" t="s">
        <v>43484</v>
      </c>
      <c r="X2736" s="1" t="s">
        <v>74</v>
      </c>
      <c r="Y2736" s="1" t="s">
        <v>43485</v>
      </c>
      <c r="Z2736" s="1" t="s">
        <v>43486</v>
      </c>
      <c r="AA2736" s="1" t="s">
        <v>30172</v>
      </c>
      <c r="AB2736" s="1" t="s">
        <v>43487</v>
      </c>
      <c r="AC2736" s="1" t="s">
        <v>43488</v>
      </c>
      <c r="AD2736" s="1" t="s">
        <v>43488</v>
      </c>
      <c r="AE2736" s="1" t="s">
        <v>43489</v>
      </c>
      <c r="AF2736" s="1" t="s">
        <v>74</v>
      </c>
      <c r="AG2736" s="1">
        <v>81</v>
      </c>
      <c r="AH2736" s="1">
        <v>31</v>
      </c>
      <c r="AI2736" s="1">
        <v>32</v>
      </c>
      <c r="AJ2736" s="1">
        <v>2</v>
      </c>
      <c r="AK2736" s="1">
        <v>15</v>
      </c>
      <c r="AL2736" s="1" t="s">
        <v>627</v>
      </c>
      <c r="AM2736" s="1" t="s">
        <v>628</v>
      </c>
      <c r="AN2736" s="1" t="s">
        <v>629</v>
      </c>
      <c r="AO2736" s="1" t="s">
        <v>630</v>
      </c>
      <c r="AP2736" s="1" t="s">
        <v>74</v>
      </c>
      <c r="AQ2736" s="1" t="s">
        <v>74</v>
      </c>
      <c r="AR2736" s="1" t="s">
        <v>631</v>
      </c>
      <c r="AS2736" s="1" t="s">
        <v>632</v>
      </c>
      <c r="AT2736" s="1" t="s">
        <v>197</v>
      </c>
      <c r="AU2736" s="1">
        <v>2013</v>
      </c>
      <c r="AV2736" s="1">
        <v>14</v>
      </c>
      <c r="AW2736" s="1">
        <v>2</v>
      </c>
      <c r="AX2736" s="1" t="s">
        <v>74</v>
      </c>
      <c r="AY2736" s="1" t="s">
        <v>74</v>
      </c>
      <c r="AZ2736" s="1" t="s">
        <v>74</v>
      </c>
      <c r="BA2736" s="1" t="s">
        <v>74</v>
      </c>
      <c r="BB2736" s="1">
        <v>432</v>
      </c>
      <c r="BC2736" s="1">
        <v>450</v>
      </c>
      <c r="BD2736" s="1" t="s">
        <v>74</v>
      </c>
      <c r="BE2736" s="1" t="s">
        <v>43490</v>
      </c>
      <c r="BF2736" s="1" t="str">
        <f>HYPERLINK("http://dx.doi.org/10.12681/mms.351","http://dx.doi.org/10.12681/mms.351")</f>
        <v>http://dx.doi.org/10.12681/mms.351</v>
      </c>
      <c r="BG2736" s="1" t="s">
        <v>74</v>
      </c>
      <c r="BH2736" s="1" t="s">
        <v>74</v>
      </c>
      <c r="BI2736" s="1">
        <v>19</v>
      </c>
      <c r="BJ2736" s="1" t="s">
        <v>634</v>
      </c>
      <c r="BK2736" s="1" t="s">
        <v>96</v>
      </c>
      <c r="BL2736" s="1" t="s">
        <v>635</v>
      </c>
      <c r="BM2736" s="1" t="s">
        <v>43491</v>
      </c>
      <c r="BN2736" s="1" t="s">
        <v>74</v>
      </c>
      <c r="BO2736" s="1" t="s">
        <v>873</v>
      </c>
      <c r="BP2736" s="1" t="s">
        <v>74</v>
      </c>
      <c r="BQ2736" s="1" t="s">
        <v>74</v>
      </c>
      <c r="BR2736" s="1" t="s">
        <v>98</v>
      </c>
      <c r="BS2736" s="1" t="s">
        <v>43492</v>
      </c>
      <c r="BT2736" s="1" t="str">
        <f>HYPERLINK("https%3A%2F%2Fwww.webofscience.com%2Fwos%2Fwoscc%2Ffull-record%2FWOS:000327755900022","View Full Record in Web of Science")</f>
        <v>View Full Record in Web of Science</v>
      </c>
      <c r="BU2736" s="1"/>
      <c r="BV2736" s="1"/>
    </row>
    <row r="2737" spans="1:74">
      <c r="A2737" s="1" t="s">
        <v>72</v>
      </c>
      <c r="B2737" s="1" t="s">
        <v>43493</v>
      </c>
      <c r="C2737" s="1" t="s">
        <v>74</v>
      </c>
      <c r="D2737" s="1" t="s">
        <v>74</v>
      </c>
      <c r="E2737" s="1" t="s">
        <v>74</v>
      </c>
      <c r="F2737" s="1" t="s">
        <v>43494</v>
      </c>
      <c r="G2737" s="1" t="s">
        <v>74</v>
      </c>
      <c r="H2737" s="1" t="s">
        <v>74</v>
      </c>
      <c r="I2737" s="1" t="s">
        <v>43495</v>
      </c>
      <c r="J2737" s="1" t="s">
        <v>204</v>
      </c>
      <c r="K2737" s="1" t="s">
        <v>74</v>
      </c>
      <c r="L2737" s="1" t="s">
        <v>74</v>
      </c>
      <c r="M2737" s="1" t="s">
        <v>78</v>
      </c>
      <c r="N2737" s="1" t="s">
        <v>79</v>
      </c>
      <c r="O2737" s="1" t="s">
        <v>74</v>
      </c>
      <c r="P2737" s="1" t="s">
        <v>74</v>
      </c>
      <c r="Q2737" s="1" t="s">
        <v>74</v>
      </c>
      <c r="R2737" s="1" t="s">
        <v>74</v>
      </c>
      <c r="S2737" s="1" t="s">
        <v>74</v>
      </c>
      <c r="T2737" s="1" t="s">
        <v>43496</v>
      </c>
      <c r="U2737" s="1" t="s">
        <v>43497</v>
      </c>
      <c r="V2737" s="1" t="s">
        <v>43498</v>
      </c>
      <c r="W2737" s="1" t="s">
        <v>43499</v>
      </c>
      <c r="X2737" s="1" t="s">
        <v>28716</v>
      </c>
      <c r="Y2737" s="1" t="s">
        <v>43500</v>
      </c>
      <c r="Z2737" s="1" t="s">
        <v>28718</v>
      </c>
      <c r="AA2737" s="1" t="s">
        <v>43501</v>
      </c>
      <c r="AB2737" s="1" t="s">
        <v>43502</v>
      </c>
      <c r="AC2737" s="1" t="s">
        <v>43503</v>
      </c>
      <c r="AD2737" s="1" t="s">
        <v>43503</v>
      </c>
      <c r="AE2737" s="1" t="s">
        <v>43504</v>
      </c>
      <c r="AF2737" s="1" t="s">
        <v>74</v>
      </c>
      <c r="AG2737" s="1">
        <v>75</v>
      </c>
      <c r="AH2737" s="1">
        <v>5</v>
      </c>
      <c r="AI2737" s="1">
        <v>5</v>
      </c>
      <c r="AJ2737" s="1">
        <v>1</v>
      </c>
      <c r="AK2737" s="1">
        <v>25</v>
      </c>
      <c r="AL2737" s="1" t="s">
        <v>217</v>
      </c>
      <c r="AM2737" s="1" t="s">
        <v>218</v>
      </c>
      <c r="AN2737" s="1" t="s">
        <v>219</v>
      </c>
      <c r="AO2737" s="1" t="s">
        <v>220</v>
      </c>
      <c r="AP2737" s="1" t="s">
        <v>221</v>
      </c>
      <c r="AQ2737" s="1" t="s">
        <v>74</v>
      </c>
      <c r="AR2737" s="1" t="s">
        <v>222</v>
      </c>
      <c r="AS2737" s="1" t="s">
        <v>223</v>
      </c>
      <c r="AT2737" s="1" t="s">
        <v>1470</v>
      </c>
      <c r="AU2737" s="1">
        <v>2022</v>
      </c>
      <c r="AV2737" s="1">
        <v>29</v>
      </c>
      <c r="AW2737" s="1">
        <v>2</v>
      </c>
      <c r="AX2737" s="1" t="s">
        <v>74</v>
      </c>
      <c r="AY2737" s="1" t="s">
        <v>74</v>
      </c>
      <c r="AZ2737" s="1" t="s">
        <v>74</v>
      </c>
      <c r="BA2737" s="1" t="s">
        <v>74</v>
      </c>
      <c r="BB2737" s="1">
        <v>2158</v>
      </c>
      <c r="BC2737" s="1">
        <v>2170</v>
      </c>
      <c r="BD2737" s="1" t="s">
        <v>74</v>
      </c>
      <c r="BE2737" s="1" t="s">
        <v>43505</v>
      </c>
      <c r="BF2737" s="1" t="str">
        <f>HYPERLINK("http://dx.doi.org/10.1007/s11356-021-15633-4","http://dx.doi.org/10.1007/s11356-021-15633-4")</f>
        <v>http://dx.doi.org/10.1007/s11356-021-15633-4</v>
      </c>
      <c r="BG2737" s="1" t="s">
        <v>74</v>
      </c>
      <c r="BH2737" s="1" t="s">
        <v>30397</v>
      </c>
      <c r="BI2737" s="1">
        <v>13</v>
      </c>
      <c r="BJ2737" s="1" t="s">
        <v>144</v>
      </c>
      <c r="BK2737" s="1" t="s">
        <v>96</v>
      </c>
      <c r="BL2737" s="1" t="s">
        <v>145</v>
      </c>
      <c r="BM2737" s="1" t="s">
        <v>43506</v>
      </c>
      <c r="BN2737" s="1">
        <v>34363176</v>
      </c>
      <c r="BO2737" s="1" t="s">
        <v>2784</v>
      </c>
      <c r="BP2737" s="1" t="s">
        <v>74</v>
      </c>
      <c r="BQ2737" s="1" t="s">
        <v>74</v>
      </c>
      <c r="BR2737" s="1" t="s">
        <v>98</v>
      </c>
      <c r="BS2737" s="1" t="s">
        <v>43507</v>
      </c>
      <c r="BT2737" s="1" t="str">
        <f>HYPERLINK("https%3A%2F%2Fwww.webofscience.com%2Fwos%2Fwoscc%2Ffull-record%2FWOS:000682415400003","View Full Record in Web of Science")</f>
        <v>View Full Record in Web of Science</v>
      </c>
      <c r="BU2737" s="1"/>
      <c r="BV2737" s="1"/>
    </row>
    <row r="2738" spans="1:74">
      <c r="A2738" s="1" t="s">
        <v>72</v>
      </c>
      <c r="B2738" s="1" t="s">
        <v>43508</v>
      </c>
      <c r="C2738" s="1" t="s">
        <v>74</v>
      </c>
      <c r="D2738" s="1" t="s">
        <v>74</v>
      </c>
      <c r="E2738" s="1" t="s">
        <v>74</v>
      </c>
      <c r="F2738" s="1" t="s">
        <v>43509</v>
      </c>
      <c r="G2738" s="1" t="s">
        <v>74</v>
      </c>
      <c r="H2738" s="1" t="s">
        <v>74</v>
      </c>
      <c r="I2738" s="1" t="s">
        <v>43510</v>
      </c>
      <c r="J2738" s="1" t="s">
        <v>421</v>
      </c>
      <c r="K2738" s="1" t="s">
        <v>74</v>
      </c>
      <c r="L2738" s="1" t="s">
        <v>74</v>
      </c>
      <c r="M2738" s="1" t="s">
        <v>78</v>
      </c>
      <c r="N2738" s="1" t="s">
        <v>79</v>
      </c>
      <c r="O2738" s="1" t="s">
        <v>74</v>
      </c>
      <c r="P2738" s="1" t="s">
        <v>74</v>
      </c>
      <c r="Q2738" s="1" t="s">
        <v>74</v>
      </c>
      <c r="R2738" s="1" t="s">
        <v>74</v>
      </c>
      <c r="S2738" s="1" t="s">
        <v>74</v>
      </c>
      <c r="T2738" s="1" t="s">
        <v>43511</v>
      </c>
      <c r="U2738" s="1" t="s">
        <v>43512</v>
      </c>
      <c r="V2738" s="1" t="s">
        <v>43513</v>
      </c>
      <c r="W2738" s="1" t="s">
        <v>43514</v>
      </c>
      <c r="X2738" s="1" t="s">
        <v>43515</v>
      </c>
      <c r="Y2738" s="1" t="s">
        <v>43516</v>
      </c>
      <c r="Z2738" s="1" t="s">
        <v>43517</v>
      </c>
      <c r="AA2738" s="1" t="s">
        <v>43518</v>
      </c>
      <c r="AB2738" s="1" t="s">
        <v>43519</v>
      </c>
      <c r="AC2738" s="1" t="s">
        <v>43520</v>
      </c>
      <c r="AD2738" s="1" t="s">
        <v>43521</v>
      </c>
      <c r="AE2738" s="1" t="s">
        <v>43522</v>
      </c>
      <c r="AF2738" s="1" t="s">
        <v>74</v>
      </c>
      <c r="AG2738" s="1">
        <v>34</v>
      </c>
      <c r="AH2738" s="1">
        <v>17</v>
      </c>
      <c r="AI2738" s="1">
        <v>20</v>
      </c>
      <c r="AJ2738" s="1">
        <v>3</v>
      </c>
      <c r="AK2738" s="1">
        <v>26</v>
      </c>
      <c r="AL2738" s="1" t="s">
        <v>430</v>
      </c>
      <c r="AM2738" s="1" t="s">
        <v>137</v>
      </c>
      <c r="AN2738" s="1" t="s">
        <v>431</v>
      </c>
      <c r="AO2738" s="1" t="s">
        <v>432</v>
      </c>
      <c r="AP2738" s="1" t="s">
        <v>1394</v>
      </c>
      <c r="AQ2738" s="1" t="s">
        <v>74</v>
      </c>
      <c r="AR2738" s="1" t="s">
        <v>433</v>
      </c>
      <c r="AS2738" s="1" t="s">
        <v>434</v>
      </c>
      <c r="AT2738" s="1" t="s">
        <v>951</v>
      </c>
      <c r="AU2738" s="1">
        <v>2016</v>
      </c>
      <c r="AV2738" s="1">
        <v>218</v>
      </c>
      <c r="AW2738" s="1" t="s">
        <v>74</v>
      </c>
      <c r="AX2738" s="1" t="s">
        <v>74</v>
      </c>
      <c r="AY2738" s="1" t="s">
        <v>74</v>
      </c>
      <c r="AZ2738" s="1" t="s">
        <v>74</v>
      </c>
      <c r="BA2738" s="1" t="s">
        <v>74</v>
      </c>
      <c r="BB2738" s="1">
        <v>855</v>
      </c>
      <c r="BC2738" s="1">
        <v>862</v>
      </c>
      <c r="BD2738" s="1" t="s">
        <v>74</v>
      </c>
      <c r="BE2738" s="1" t="s">
        <v>43523</v>
      </c>
      <c r="BF2738" s="1" t="str">
        <f>HYPERLINK("http://dx.doi.org/10.1016/j.envpol.2016.08.011","http://dx.doi.org/10.1016/j.envpol.2016.08.011")</f>
        <v>http://dx.doi.org/10.1016/j.envpol.2016.08.011</v>
      </c>
      <c r="BG2738" s="1" t="s">
        <v>74</v>
      </c>
      <c r="BH2738" s="1" t="s">
        <v>74</v>
      </c>
      <c r="BI2738" s="1">
        <v>8</v>
      </c>
      <c r="BJ2738" s="1" t="s">
        <v>144</v>
      </c>
      <c r="BK2738" s="1" t="s">
        <v>96</v>
      </c>
      <c r="BL2738" s="1" t="s">
        <v>145</v>
      </c>
      <c r="BM2738" s="1" t="s">
        <v>43524</v>
      </c>
      <c r="BN2738" s="1">
        <v>27521293</v>
      </c>
      <c r="BO2738" s="1" t="s">
        <v>74</v>
      </c>
      <c r="BP2738" s="1" t="s">
        <v>74</v>
      </c>
      <c r="BQ2738" s="1" t="s">
        <v>74</v>
      </c>
      <c r="BR2738" s="1" t="s">
        <v>98</v>
      </c>
      <c r="BS2738" s="1" t="s">
        <v>43525</v>
      </c>
      <c r="BT2738" s="1" t="str">
        <f>HYPERLINK("https%3A%2F%2Fwww.webofscience.com%2Fwos%2Fwoscc%2Ffull-record%2FWOS:000385596000091","View Full Record in Web of Science")</f>
        <v>View Full Record in Web of Science</v>
      </c>
      <c r="BU2738" s="1"/>
      <c r="BV2738" s="1"/>
    </row>
    <row r="2739" spans="1:74">
      <c r="A2739" s="1" t="s">
        <v>72</v>
      </c>
      <c r="B2739" s="1" t="s">
        <v>43526</v>
      </c>
      <c r="C2739" s="1" t="s">
        <v>74</v>
      </c>
      <c r="D2739" s="1" t="s">
        <v>74</v>
      </c>
      <c r="E2739" s="1" t="s">
        <v>74</v>
      </c>
      <c r="F2739" s="1" t="s">
        <v>43526</v>
      </c>
      <c r="G2739" s="1" t="s">
        <v>74</v>
      </c>
      <c r="H2739" s="1" t="s">
        <v>74</v>
      </c>
      <c r="I2739" s="1" t="s">
        <v>43527</v>
      </c>
      <c r="J2739" s="1" t="s">
        <v>127</v>
      </c>
      <c r="K2739" s="1" t="s">
        <v>74</v>
      </c>
      <c r="L2739" s="1" t="s">
        <v>74</v>
      </c>
      <c r="M2739" s="1" t="s">
        <v>78</v>
      </c>
      <c r="N2739" s="1" t="s">
        <v>79</v>
      </c>
      <c r="O2739" s="1" t="s">
        <v>74</v>
      </c>
      <c r="P2739" s="1" t="s">
        <v>74</v>
      </c>
      <c r="Q2739" s="1" t="s">
        <v>74</v>
      </c>
      <c r="R2739" s="1" t="s">
        <v>74</v>
      </c>
      <c r="S2739" s="1" t="s">
        <v>74</v>
      </c>
      <c r="T2739" s="1" t="s">
        <v>74</v>
      </c>
      <c r="U2739" s="1" t="s">
        <v>74</v>
      </c>
      <c r="V2739" s="1" t="s">
        <v>43528</v>
      </c>
      <c r="W2739" s="1" t="s">
        <v>43529</v>
      </c>
      <c r="X2739" s="1" t="s">
        <v>43530</v>
      </c>
      <c r="Y2739" s="1" t="s">
        <v>74</v>
      </c>
      <c r="Z2739" s="1" t="s">
        <v>74</v>
      </c>
      <c r="AA2739" s="1" t="s">
        <v>43531</v>
      </c>
      <c r="AB2739" s="1" t="s">
        <v>74</v>
      </c>
      <c r="AC2739" s="1" t="s">
        <v>74</v>
      </c>
      <c r="AD2739" s="1" t="s">
        <v>74</v>
      </c>
      <c r="AE2739" s="1" t="s">
        <v>74</v>
      </c>
      <c r="AF2739" s="1" t="s">
        <v>74</v>
      </c>
      <c r="AG2739" s="1">
        <v>12</v>
      </c>
      <c r="AH2739" s="1">
        <v>40</v>
      </c>
      <c r="AI2739" s="1">
        <v>41</v>
      </c>
      <c r="AJ2739" s="1">
        <v>0</v>
      </c>
      <c r="AK2739" s="1">
        <v>9</v>
      </c>
      <c r="AL2739" s="1" t="s">
        <v>136</v>
      </c>
      <c r="AM2739" s="1" t="s">
        <v>137</v>
      </c>
      <c r="AN2739" s="1" t="s">
        <v>583</v>
      </c>
      <c r="AO2739" s="1" t="s">
        <v>139</v>
      </c>
      <c r="AP2739" s="1" t="s">
        <v>74</v>
      </c>
      <c r="AQ2739" s="1" t="s">
        <v>74</v>
      </c>
      <c r="AR2739" s="1" t="s">
        <v>127</v>
      </c>
      <c r="AS2739" s="1" t="s">
        <v>141</v>
      </c>
      <c r="AT2739" s="1" t="s">
        <v>305</v>
      </c>
      <c r="AU2739" s="1">
        <v>1992</v>
      </c>
      <c r="AV2739" s="1">
        <v>25</v>
      </c>
      <c r="AW2739" s="1">
        <v>5</v>
      </c>
      <c r="AX2739" s="1" t="s">
        <v>74</v>
      </c>
      <c r="AY2739" s="1" t="s">
        <v>74</v>
      </c>
      <c r="AZ2739" s="1" t="s">
        <v>74</v>
      </c>
      <c r="BA2739" s="1" t="s">
        <v>74</v>
      </c>
      <c r="BB2739" s="1">
        <v>719</v>
      </c>
      <c r="BC2739" s="1">
        <v>725</v>
      </c>
      <c r="BD2739" s="1" t="s">
        <v>74</v>
      </c>
      <c r="BE2739" s="1" t="s">
        <v>43532</v>
      </c>
      <c r="BF2739" s="1" t="str">
        <f>HYPERLINK("http://dx.doi.org/10.1016/0045-6535(92)90433-R","http://dx.doi.org/10.1016/0045-6535(92)90433-R")</f>
        <v>http://dx.doi.org/10.1016/0045-6535(92)90433-R</v>
      </c>
      <c r="BG2739" s="1" t="s">
        <v>74</v>
      </c>
      <c r="BH2739" s="1" t="s">
        <v>74</v>
      </c>
      <c r="BI2739" s="1">
        <v>7</v>
      </c>
      <c r="BJ2739" s="1" t="s">
        <v>144</v>
      </c>
      <c r="BK2739" s="1" t="s">
        <v>96</v>
      </c>
      <c r="BL2739" s="1" t="s">
        <v>145</v>
      </c>
      <c r="BM2739" s="1" t="s">
        <v>43533</v>
      </c>
      <c r="BN2739" s="1" t="s">
        <v>74</v>
      </c>
      <c r="BO2739" s="1" t="s">
        <v>74</v>
      </c>
      <c r="BP2739" s="1" t="s">
        <v>74</v>
      </c>
      <c r="BQ2739" s="1" t="s">
        <v>74</v>
      </c>
      <c r="BR2739" s="1" t="s">
        <v>98</v>
      </c>
      <c r="BS2739" s="1" t="s">
        <v>43534</v>
      </c>
      <c r="BT2739" s="1" t="str">
        <f>HYPERLINK("https%3A%2F%2Fwww.webofscience.com%2Fwos%2Fwoscc%2Ffull-record%2FWOS:A1992JR97300008","View Full Record in Web of Science")</f>
        <v>View Full Record in Web of Science</v>
      </c>
      <c r="BU2739" s="1"/>
      <c r="BV2739" s="1"/>
    </row>
    <row r="2740" spans="1:74">
      <c r="A2740" s="1" t="s">
        <v>72</v>
      </c>
      <c r="B2740" s="1" t="s">
        <v>43535</v>
      </c>
      <c r="C2740" s="1" t="s">
        <v>74</v>
      </c>
      <c r="D2740" s="1" t="s">
        <v>74</v>
      </c>
      <c r="E2740" s="1" t="s">
        <v>74</v>
      </c>
      <c r="F2740" s="1" t="s">
        <v>43536</v>
      </c>
      <c r="G2740" s="1" t="s">
        <v>74</v>
      </c>
      <c r="H2740" s="1" t="s">
        <v>74</v>
      </c>
      <c r="I2740" s="1" t="s">
        <v>43537</v>
      </c>
      <c r="J2740" s="1" t="s">
        <v>3349</v>
      </c>
      <c r="K2740" s="1" t="s">
        <v>74</v>
      </c>
      <c r="L2740" s="1" t="s">
        <v>74</v>
      </c>
      <c r="M2740" s="1" t="s">
        <v>78</v>
      </c>
      <c r="N2740" s="1" t="s">
        <v>79</v>
      </c>
      <c r="O2740" s="1" t="s">
        <v>74</v>
      </c>
      <c r="P2740" s="1" t="s">
        <v>74</v>
      </c>
      <c r="Q2740" s="1" t="s">
        <v>74</v>
      </c>
      <c r="R2740" s="1" t="s">
        <v>74</v>
      </c>
      <c r="S2740" s="1" t="s">
        <v>74</v>
      </c>
      <c r="T2740" s="1" t="s">
        <v>43538</v>
      </c>
      <c r="U2740" s="1" t="s">
        <v>43539</v>
      </c>
      <c r="V2740" s="1" t="s">
        <v>43540</v>
      </c>
      <c r="W2740" s="1" t="s">
        <v>43541</v>
      </c>
      <c r="X2740" s="1" t="s">
        <v>43542</v>
      </c>
      <c r="Y2740" s="1" t="s">
        <v>43543</v>
      </c>
      <c r="Z2740" s="1" t="s">
        <v>43544</v>
      </c>
      <c r="AA2740" s="1" t="s">
        <v>74</v>
      </c>
      <c r="AB2740" s="1" t="s">
        <v>74</v>
      </c>
      <c r="AC2740" s="1" t="s">
        <v>43545</v>
      </c>
      <c r="AD2740" s="1" t="s">
        <v>43546</v>
      </c>
      <c r="AE2740" s="1" t="s">
        <v>43547</v>
      </c>
      <c r="AF2740" s="1" t="s">
        <v>74</v>
      </c>
      <c r="AG2740" s="1">
        <v>74</v>
      </c>
      <c r="AH2740" s="1">
        <v>16</v>
      </c>
      <c r="AI2740" s="1">
        <v>17</v>
      </c>
      <c r="AJ2740" s="1">
        <v>0</v>
      </c>
      <c r="AK2740" s="1">
        <v>48</v>
      </c>
      <c r="AL2740" s="1" t="s">
        <v>3362</v>
      </c>
      <c r="AM2740" s="1" t="s">
        <v>3363</v>
      </c>
      <c r="AN2740" s="1" t="s">
        <v>3364</v>
      </c>
      <c r="AO2740" s="1" t="s">
        <v>3365</v>
      </c>
      <c r="AP2740" s="1" t="s">
        <v>3366</v>
      </c>
      <c r="AQ2740" s="1" t="s">
        <v>74</v>
      </c>
      <c r="AR2740" s="1" t="s">
        <v>3367</v>
      </c>
      <c r="AS2740" s="1" t="s">
        <v>3368</v>
      </c>
      <c r="AT2740" s="1" t="s">
        <v>1223</v>
      </c>
      <c r="AU2740" s="1">
        <v>2014</v>
      </c>
      <c r="AV2740" s="1">
        <v>101</v>
      </c>
      <c r="AW2740" s="1" t="s">
        <v>74</v>
      </c>
      <c r="AX2740" s="1" t="s">
        <v>74</v>
      </c>
      <c r="AY2740" s="1" t="s">
        <v>74</v>
      </c>
      <c r="AZ2740" s="1" t="s">
        <v>74</v>
      </c>
      <c r="BA2740" s="1" t="s">
        <v>74</v>
      </c>
      <c r="BB2740" s="1">
        <v>196</v>
      </c>
      <c r="BC2740" s="1">
        <v>204</v>
      </c>
      <c r="BD2740" s="1" t="s">
        <v>74</v>
      </c>
      <c r="BE2740" s="1" t="s">
        <v>43548</v>
      </c>
      <c r="BF2740" s="1" t="str">
        <f>HYPERLINK("http://dx.doi.org/10.1016/j.ecoenv.2013.12.024","http://dx.doi.org/10.1016/j.ecoenv.2013.12.024")</f>
        <v>http://dx.doi.org/10.1016/j.ecoenv.2013.12.024</v>
      </c>
      <c r="BG2740" s="1" t="s">
        <v>74</v>
      </c>
      <c r="BH2740" s="1" t="s">
        <v>74</v>
      </c>
      <c r="BI2740" s="1">
        <v>9</v>
      </c>
      <c r="BJ2740" s="1" t="s">
        <v>121</v>
      </c>
      <c r="BK2740" s="1" t="s">
        <v>96</v>
      </c>
      <c r="BL2740" s="1" t="s">
        <v>122</v>
      </c>
      <c r="BM2740" s="1" t="s">
        <v>43549</v>
      </c>
      <c r="BN2740" s="1">
        <v>24507146</v>
      </c>
      <c r="BO2740" s="1" t="s">
        <v>74</v>
      </c>
      <c r="BP2740" s="1" t="s">
        <v>74</v>
      </c>
      <c r="BQ2740" s="1" t="s">
        <v>74</v>
      </c>
      <c r="BR2740" s="1" t="s">
        <v>98</v>
      </c>
      <c r="BS2740" s="1" t="s">
        <v>43550</v>
      </c>
      <c r="BT2740" s="1" t="str">
        <f>HYPERLINK("https%3A%2F%2Fwww.webofscience.com%2Fwos%2Fwoscc%2Ffull-record%2FWOS:000331853400028","View Full Record in Web of Science")</f>
        <v>View Full Record in Web of Science</v>
      </c>
      <c r="BU2740" s="1"/>
      <c r="BV2740" s="1"/>
    </row>
    <row r="2741" spans="1:74">
      <c r="A2741" s="1" t="s">
        <v>72</v>
      </c>
      <c r="B2741" s="1" t="s">
        <v>43551</v>
      </c>
      <c r="C2741" s="1" t="s">
        <v>74</v>
      </c>
      <c r="D2741" s="1" t="s">
        <v>74</v>
      </c>
      <c r="E2741" s="1" t="s">
        <v>74</v>
      </c>
      <c r="F2741" s="1" t="s">
        <v>43552</v>
      </c>
      <c r="G2741" s="1" t="s">
        <v>74</v>
      </c>
      <c r="H2741" s="1" t="s">
        <v>74</v>
      </c>
      <c r="I2741" s="1" t="s">
        <v>43553</v>
      </c>
      <c r="J2741" s="1" t="s">
        <v>204</v>
      </c>
      <c r="K2741" s="1" t="s">
        <v>74</v>
      </c>
      <c r="L2741" s="1" t="s">
        <v>74</v>
      </c>
      <c r="M2741" s="1" t="s">
        <v>78</v>
      </c>
      <c r="N2741" s="1" t="s">
        <v>79</v>
      </c>
      <c r="O2741" s="1" t="s">
        <v>74</v>
      </c>
      <c r="P2741" s="1" t="s">
        <v>74</v>
      </c>
      <c r="Q2741" s="1" t="s">
        <v>74</v>
      </c>
      <c r="R2741" s="1" t="s">
        <v>74</v>
      </c>
      <c r="S2741" s="1" t="s">
        <v>74</v>
      </c>
      <c r="T2741" s="1" t="s">
        <v>43554</v>
      </c>
      <c r="U2741" s="1" t="s">
        <v>43555</v>
      </c>
      <c r="V2741" s="1" t="s">
        <v>43556</v>
      </c>
      <c r="W2741" s="1" t="s">
        <v>43557</v>
      </c>
      <c r="X2741" s="1" t="s">
        <v>14488</v>
      </c>
      <c r="Y2741" s="1" t="s">
        <v>43558</v>
      </c>
      <c r="Z2741" s="1" t="s">
        <v>14490</v>
      </c>
      <c r="AA2741" s="1" t="s">
        <v>43559</v>
      </c>
      <c r="AB2741" s="1" t="s">
        <v>43560</v>
      </c>
      <c r="AC2741" s="1" t="s">
        <v>43561</v>
      </c>
      <c r="AD2741" s="1" t="s">
        <v>43562</v>
      </c>
      <c r="AE2741" s="1" t="s">
        <v>43563</v>
      </c>
      <c r="AF2741" s="1" t="s">
        <v>74</v>
      </c>
      <c r="AG2741" s="1">
        <v>34</v>
      </c>
      <c r="AH2741" s="1">
        <v>4</v>
      </c>
      <c r="AI2741" s="1">
        <v>6</v>
      </c>
      <c r="AJ2741" s="1">
        <v>4</v>
      </c>
      <c r="AK2741" s="1">
        <v>93</v>
      </c>
      <c r="AL2741" s="1" t="s">
        <v>217</v>
      </c>
      <c r="AM2741" s="1" t="s">
        <v>218</v>
      </c>
      <c r="AN2741" s="1" t="s">
        <v>219</v>
      </c>
      <c r="AO2741" s="1" t="s">
        <v>220</v>
      </c>
      <c r="AP2741" s="1" t="s">
        <v>221</v>
      </c>
      <c r="AQ2741" s="1" t="s">
        <v>74</v>
      </c>
      <c r="AR2741" s="1" t="s">
        <v>222</v>
      </c>
      <c r="AS2741" s="1" t="s">
        <v>223</v>
      </c>
      <c r="AT2741" s="1" t="s">
        <v>197</v>
      </c>
      <c r="AU2741" s="1">
        <v>2014</v>
      </c>
      <c r="AV2741" s="1">
        <v>21</v>
      </c>
      <c r="AW2741" s="1">
        <v>24</v>
      </c>
      <c r="AX2741" s="1" t="s">
        <v>74</v>
      </c>
      <c r="AY2741" s="1" t="s">
        <v>74</v>
      </c>
      <c r="AZ2741" s="1" t="s">
        <v>74</v>
      </c>
      <c r="BA2741" s="1" t="s">
        <v>74</v>
      </c>
      <c r="BB2741" s="1">
        <v>14069</v>
      </c>
      <c r="BC2741" s="1">
        <v>14077</v>
      </c>
      <c r="BD2741" s="1" t="s">
        <v>74</v>
      </c>
      <c r="BE2741" s="1" t="s">
        <v>43564</v>
      </c>
      <c r="BF2741" s="1" t="str">
        <f>HYPERLINK("http://dx.doi.org/10.1007/s11356-014-3325-6","http://dx.doi.org/10.1007/s11356-014-3325-6")</f>
        <v>http://dx.doi.org/10.1007/s11356-014-3325-6</v>
      </c>
      <c r="BG2741" s="1" t="s">
        <v>74</v>
      </c>
      <c r="BH2741" s="1" t="s">
        <v>74</v>
      </c>
      <c r="BI2741" s="1">
        <v>9</v>
      </c>
      <c r="BJ2741" s="1" t="s">
        <v>144</v>
      </c>
      <c r="BK2741" s="1" t="s">
        <v>96</v>
      </c>
      <c r="BL2741" s="1" t="s">
        <v>145</v>
      </c>
      <c r="BM2741" s="1" t="s">
        <v>43565</v>
      </c>
      <c r="BN2741" s="1">
        <v>25047015</v>
      </c>
      <c r="BO2741" s="1" t="s">
        <v>74</v>
      </c>
      <c r="BP2741" s="1" t="s">
        <v>74</v>
      </c>
      <c r="BQ2741" s="1" t="s">
        <v>74</v>
      </c>
      <c r="BR2741" s="1" t="s">
        <v>98</v>
      </c>
      <c r="BS2741" s="1" t="s">
        <v>43566</v>
      </c>
      <c r="BT2741" s="1" t="str">
        <f>HYPERLINK("https%3A%2F%2Fwww.webofscience.com%2Fwos%2Fwoscc%2Ffull-record%2FWOS:000345314500033","View Full Record in Web of Science")</f>
        <v>View Full Record in Web of Science</v>
      </c>
      <c r="BU2741" s="1"/>
      <c r="BV2741" s="1"/>
    </row>
    <row r="2742" spans="1:74">
      <c r="A2742" s="1" t="s">
        <v>72</v>
      </c>
      <c r="B2742" s="1" t="s">
        <v>43567</v>
      </c>
      <c r="C2742" s="1" t="s">
        <v>74</v>
      </c>
      <c r="D2742" s="1" t="s">
        <v>74</v>
      </c>
      <c r="E2742" s="1" t="s">
        <v>74</v>
      </c>
      <c r="F2742" s="1" t="s">
        <v>43568</v>
      </c>
      <c r="G2742" s="1" t="s">
        <v>74</v>
      </c>
      <c r="H2742" s="1" t="s">
        <v>74</v>
      </c>
      <c r="I2742" s="1" t="s">
        <v>43569</v>
      </c>
      <c r="J2742" s="1" t="s">
        <v>29160</v>
      </c>
      <c r="K2742" s="1" t="s">
        <v>74</v>
      </c>
      <c r="L2742" s="1" t="s">
        <v>74</v>
      </c>
      <c r="M2742" s="1" t="s">
        <v>78</v>
      </c>
      <c r="N2742" s="1" t="s">
        <v>79</v>
      </c>
      <c r="O2742" s="1" t="s">
        <v>74</v>
      </c>
      <c r="P2742" s="1" t="s">
        <v>74</v>
      </c>
      <c r="Q2742" s="1" t="s">
        <v>74</v>
      </c>
      <c r="R2742" s="1" t="s">
        <v>74</v>
      </c>
      <c r="S2742" s="1" t="s">
        <v>74</v>
      </c>
      <c r="T2742" s="1" t="s">
        <v>43570</v>
      </c>
      <c r="U2742" s="1" t="s">
        <v>43571</v>
      </c>
      <c r="V2742" s="1" t="s">
        <v>43572</v>
      </c>
      <c r="W2742" s="1" t="s">
        <v>43573</v>
      </c>
      <c r="X2742" s="1" t="s">
        <v>43574</v>
      </c>
      <c r="Y2742" s="1" t="s">
        <v>43575</v>
      </c>
      <c r="Z2742" s="1" t="s">
        <v>41334</v>
      </c>
      <c r="AA2742" s="1" t="s">
        <v>19466</v>
      </c>
      <c r="AB2742" s="1" t="s">
        <v>19467</v>
      </c>
      <c r="AC2742" s="1" t="s">
        <v>43576</v>
      </c>
      <c r="AD2742" s="1" t="s">
        <v>43577</v>
      </c>
      <c r="AE2742" s="1" t="s">
        <v>43578</v>
      </c>
      <c r="AF2742" s="1" t="s">
        <v>74</v>
      </c>
      <c r="AG2742" s="1">
        <v>82</v>
      </c>
      <c r="AH2742" s="1">
        <v>68</v>
      </c>
      <c r="AI2742" s="1">
        <v>73</v>
      </c>
      <c r="AJ2742" s="1">
        <v>3</v>
      </c>
      <c r="AK2742" s="1">
        <v>192</v>
      </c>
      <c r="AL2742" s="1" t="s">
        <v>3362</v>
      </c>
      <c r="AM2742" s="1" t="s">
        <v>3363</v>
      </c>
      <c r="AN2742" s="1" t="s">
        <v>3364</v>
      </c>
      <c r="AO2742" s="1" t="s">
        <v>29172</v>
      </c>
      <c r="AP2742" s="1" t="s">
        <v>29173</v>
      </c>
      <c r="AQ2742" s="1" t="s">
        <v>74</v>
      </c>
      <c r="AR2742" s="1" t="s">
        <v>29174</v>
      </c>
      <c r="AS2742" s="1" t="s">
        <v>29175</v>
      </c>
      <c r="AT2742" s="1" t="s">
        <v>8920</v>
      </c>
      <c r="AU2742" s="1">
        <v>2017</v>
      </c>
      <c r="AV2742" s="1">
        <v>505</v>
      </c>
      <c r="AW2742" s="1" t="s">
        <v>74</v>
      </c>
      <c r="AX2742" s="1" t="s">
        <v>74</v>
      </c>
      <c r="AY2742" s="1" t="s">
        <v>74</v>
      </c>
      <c r="AZ2742" s="1" t="s">
        <v>74</v>
      </c>
      <c r="BA2742" s="1" t="s">
        <v>74</v>
      </c>
      <c r="BB2742" s="1">
        <v>168</v>
      </c>
      <c r="BC2742" s="1">
        <v>177</v>
      </c>
      <c r="BD2742" s="1" t="s">
        <v>74</v>
      </c>
      <c r="BE2742" s="1" t="s">
        <v>43579</v>
      </c>
      <c r="BF2742" s="1" t="str">
        <f>HYPERLINK("http://dx.doi.org/10.1016/j.jcis.2017.05.087","http://dx.doi.org/10.1016/j.jcis.2017.05.087")</f>
        <v>http://dx.doi.org/10.1016/j.jcis.2017.05.087</v>
      </c>
      <c r="BG2742" s="1" t="s">
        <v>74</v>
      </c>
      <c r="BH2742" s="1" t="s">
        <v>74</v>
      </c>
      <c r="BI2742" s="1">
        <v>10</v>
      </c>
      <c r="BJ2742" s="1" t="s">
        <v>29178</v>
      </c>
      <c r="BK2742" s="1" t="s">
        <v>96</v>
      </c>
      <c r="BL2742" s="1" t="s">
        <v>1197</v>
      </c>
      <c r="BM2742" s="1" t="s">
        <v>43580</v>
      </c>
      <c r="BN2742" s="1">
        <v>28577466</v>
      </c>
      <c r="BO2742" s="1" t="s">
        <v>74</v>
      </c>
      <c r="BP2742" s="1" t="s">
        <v>74</v>
      </c>
      <c r="BQ2742" s="1" t="s">
        <v>74</v>
      </c>
      <c r="BR2742" s="1" t="s">
        <v>98</v>
      </c>
      <c r="BS2742" s="1" t="s">
        <v>43581</v>
      </c>
      <c r="BT2742" s="1" t="str">
        <f>HYPERLINK("https%3A%2F%2Fwww.webofscience.com%2Fwos%2Fwoscc%2Ffull-record%2FWOS:000410464100020","View Full Record in Web of Science")</f>
        <v>View Full Record in Web of Science</v>
      </c>
      <c r="BU2742" s="1"/>
      <c r="BV2742" s="1"/>
    </row>
    <row r="2743" spans="1:74">
      <c r="A2743" s="1" t="s">
        <v>72</v>
      </c>
      <c r="B2743" s="1" t="s">
        <v>43582</v>
      </c>
      <c r="C2743" s="1" t="s">
        <v>74</v>
      </c>
      <c r="D2743" s="1" t="s">
        <v>74</v>
      </c>
      <c r="E2743" s="1" t="s">
        <v>74</v>
      </c>
      <c r="F2743" s="1" t="s">
        <v>43583</v>
      </c>
      <c r="G2743" s="1" t="s">
        <v>74</v>
      </c>
      <c r="H2743" s="1" t="s">
        <v>74</v>
      </c>
      <c r="I2743" s="1" t="s">
        <v>43584</v>
      </c>
      <c r="J2743" s="1" t="s">
        <v>3405</v>
      </c>
      <c r="K2743" s="1" t="s">
        <v>74</v>
      </c>
      <c r="L2743" s="1" t="s">
        <v>74</v>
      </c>
      <c r="M2743" s="1" t="s">
        <v>78</v>
      </c>
      <c r="N2743" s="1" t="s">
        <v>79</v>
      </c>
      <c r="O2743" s="1" t="s">
        <v>74</v>
      </c>
      <c r="P2743" s="1" t="s">
        <v>74</v>
      </c>
      <c r="Q2743" s="1" t="s">
        <v>74</v>
      </c>
      <c r="R2743" s="1" t="s">
        <v>74</v>
      </c>
      <c r="S2743" s="1" t="s">
        <v>74</v>
      </c>
      <c r="T2743" s="1" t="s">
        <v>43585</v>
      </c>
      <c r="U2743" s="1" t="s">
        <v>43586</v>
      </c>
      <c r="V2743" s="1" t="s">
        <v>43587</v>
      </c>
      <c r="W2743" s="1" t="s">
        <v>43588</v>
      </c>
      <c r="X2743" s="1" t="s">
        <v>19904</v>
      </c>
      <c r="Y2743" s="1" t="s">
        <v>43589</v>
      </c>
      <c r="Z2743" s="1" t="s">
        <v>43590</v>
      </c>
      <c r="AA2743" s="1" t="s">
        <v>43591</v>
      </c>
      <c r="AB2743" s="1" t="s">
        <v>43592</v>
      </c>
      <c r="AC2743" s="1" t="s">
        <v>43593</v>
      </c>
      <c r="AD2743" s="1" t="s">
        <v>43594</v>
      </c>
      <c r="AE2743" s="1" t="s">
        <v>43595</v>
      </c>
      <c r="AF2743" s="1" t="s">
        <v>74</v>
      </c>
      <c r="AG2743" s="1">
        <v>37</v>
      </c>
      <c r="AH2743" s="1">
        <v>10</v>
      </c>
      <c r="AI2743" s="1">
        <v>10</v>
      </c>
      <c r="AJ2743" s="1">
        <v>2</v>
      </c>
      <c r="AK2743" s="1">
        <v>18</v>
      </c>
      <c r="AL2743" s="1" t="s">
        <v>3418</v>
      </c>
      <c r="AM2743" s="1" t="s">
        <v>3419</v>
      </c>
      <c r="AN2743" s="1" t="s">
        <v>3420</v>
      </c>
      <c r="AO2743" s="1" t="s">
        <v>3421</v>
      </c>
      <c r="AP2743" s="1" t="s">
        <v>3422</v>
      </c>
      <c r="AQ2743" s="1" t="s">
        <v>74</v>
      </c>
      <c r="AR2743" s="1" t="s">
        <v>3423</v>
      </c>
      <c r="AS2743" s="1" t="s">
        <v>3424</v>
      </c>
      <c r="AT2743" s="1" t="s">
        <v>951</v>
      </c>
      <c r="AU2743" s="1">
        <v>2018</v>
      </c>
      <c r="AV2743" s="1">
        <v>132</v>
      </c>
      <c r="AW2743" s="1" t="s">
        <v>74</v>
      </c>
      <c r="AX2743" s="1" t="s">
        <v>74</v>
      </c>
      <c r="AY2743" s="1" t="s">
        <v>74</v>
      </c>
      <c r="AZ2743" s="1" t="s">
        <v>74</v>
      </c>
      <c r="BA2743" s="1" t="s">
        <v>74</v>
      </c>
      <c r="BB2743" s="1">
        <v>205</v>
      </c>
      <c r="BC2743" s="1">
        <v>214</v>
      </c>
      <c r="BD2743" s="1" t="s">
        <v>74</v>
      </c>
      <c r="BE2743" s="1" t="s">
        <v>43596</v>
      </c>
      <c r="BF2743" s="1" t="str">
        <f>HYPERLINK("http://dx.doi.org/10.5004/dwt.2018.23131","http://dx.doi.org/10.5004/dwt.2018.23131")</f>
        <v>http://dx.doi.org/10.5004/dwt.2018.23131</v>
      </c>
      <c r="BG2743" s="1" t="s">
        <v>74</v>
      </c>
      <c r="BH2743" s="1" t="s">
        <v>74</v>
      </c>
      <c r="BI2743" s="1">
        <v>10</v>
      </c>
      <c r="BJ2743" s="1" t="s">
        <v>3426</v>
      </c>
      <c r="BK2743" s="1" t="s">
        <v>96</v>
      </c>
      <c r="BL2743" s="1" t="s">
        <v>3427</v>
      </c>
      <c r="BM2743" s="1" t="s">
        <v>43597</v>
      </c>
      <c r="BN2743" s="1" t="s">
        <v>74</v>
      </c>
      <c r="BO2743" s="1" t="s">
        <v>74</v>
      </c>
      <c r="BP2743" s="1" t="s">
        <v>74</v>
      </c>
      <c r="BQ2743" s="1" t="s">
        <v>74</v>
      </c>
      <c r="BR2743" s="1" t="s">
        <v>98</v>
      </c>
      <c r="BS2743" s="1" t="s">
        <v>43598</v>
      </c>
      <c r="BT2743" s="1" t="str">
        <f>HYPERLINK("https%3A%2F%2Fwww.webofscience.com%2Fwos%2Fwoscc%2Ffull-record%2FWOS:000450790000022","View Full Record in Web of Science")</f>
        <v>View Full Record in Web of Science</v>
      </c>
      <c r="BU2743" s="1"/>
      <c r="BV2743" s="1"/>
    </row>
    <row r="2744" spans="1:74">
      <c r="A2744" s="1" t="s">
        <v>72</v>
      </c>
      <c r="B2744" s="1" t="s">
        <v>43599</v>
      </c>
      <c r="C2744" s="1" t="s">
        <v>74</v>
      </c>
      <c r="D2744" s="1" t="s">
        <v>74</v>
      </c>
      <c r="E2744" s="1" t="s">
        <v>74</v>
      </c>
      <c r="F2744" s="1" t="s">
        <v>43600</v>
      </c>
      <c r="G2744" s="1" t="s">
        <v>74</v>
      </c>
      <c r="H2744" s="1" t="s">
        <v>74</v>
      </c>
      <c r="I2744" s="1" t="s">
        <v>43601</v>
      </c>
      <c r="J2744" s="1" t="s">
        <v>127</v>
      </c>
      <c r="K2744" s="1" t="s">
        <v>74</v>
      </c>
      <c r="L2744" s="1" t="s">
        <v>74</v>
      </c>
      <c r="M2744" s="1" t="s">
        <v>78</v>
      </c>
      <c r="N2744" s="1" t="s">
        <v>79</v>
      </c>
      <c r="O2744" s="1" t="s">
        <v>74</v>
      </c>
      <c r="P2744" s="1" t="s">
        <v>74</v>
      </c>
      <c r="Q2744" s="1" t="s">
        <v>74</v>
      </c>
      <c r="R2744" s="1" t="s">
        <v>74</v>
      </c>
      <c r="S2744" s="1" t="s">
        <v>74</v>
      </c>
      <c r="T2744" s="1" t="s">
        <v>43602</v>
      </c>
      <c r="U2744" s="1" t="s">
        <v>43603</v>
      </c>
      <c r="V2744" s="1" t="s">
        <v>43604</v>
      </c>
      <c r="W2744" s="1" t="s">
        <v>43605</v>
      </c>
      <c r="X2744" s="1" t="s">
        <v>38943</v>
      </c>
      <c r="Y2744" s="1" t="s">
        <v>38944</v>
      </c>
      <c r="Z2744" s="1" t="s">
        <v>38945</v>
      </c>
      <c r="AA2744" s="1" t="s">
        <v>43606</v>
      </c>
      <c r="AB2744" s="1" t="s">
        <v>43607</v>
      </c>
      <c r="AC2744" s="1" t="s">
        <v>74</v>
      </c>
      <c r="AD2744" s="1" t="s">
        <v>74</v>
      </c>
      <c r="AE2744" s="1" t="s">
        <v>74</v>
      </c>
      <c r="AF2744" s="1" t="s">
        <v>74</v>
      </c>
      <c r="AG2744" s="1">
        <v>49</v>
      </c>
      <c r="AH2744" s="1">
        <v>36</v>
      </c>
      <c r="AI2744" s="1">
        <v>40</v>
      </c>
      <c r="AJ2744" s="1">
        <v>2</v>
      </c>
      <c r="AK2744" s="1">
        <v>46</v>
      </c>
      <c r="AL2744" s="1" t="s">
        <v>136</v>
      </c>
      <c r="AM2744" s="1" t="s">
        <v>137</v>
      </c>
      <c r="AN2744" s="1" t="s">
        <v>138</v>
      </c>
      <c r="AO2744" s="1" t="s">
        <v>139</v>
      </c>
      <c r="AP2744" s="1" t="s">
        <v>140</v>
      </c>
      <c r="AQ2744" s="1" t="s">
        <v>74</v>
      </c>
      <c r="AR2744" s="1" t="s">
        <v>127</v>
      </c>
      <c r="AS2744" s="1" t="s">
        <v>141</v>
      </c>
      <c r="AT2744" s="1" t="s">
        <v>224</v>
      </c>
      <c r="AU2744" s="1">
        <v>2016</v>
      </c>
      <c r="AV2744" s="1">
        <v>144</v>
      </c>
      <c r="AW2744" s="1" t="s">
        <v>74</v>
      </c>
      <c r="AX2744" s="1" t="s">
        <v>74</v>
      </c>
      <c r="AY2744" s="1" t="s">
        <v>74</v>
      </c>
      <c r="AZ2744" s="1" t="s">
        <v>74</v>
      </c>
      <c r="BA2744" s="1" t="s">
        <v>74</v>
      </c>
      <c r="BB2744" s="1">
        <v>207</v>
      </c>
      <c r="BC2744" s="1">
        <v>213</v>
      </c>
      <c r="BD2744" s="1" t="s">
        <v>74</v>
      </c>
      <c r="BE2744" s="1" t="s">
        <v>43608</v>
      </c>
      <c r="BF2744" s="1" t="str">
        <f>HYPERLINK("http://dx.doi.org/10.1016/j.chemosphere.2015.08.025","http://dx.doi.org/10.1016/j.chemosphere.2015.08.025")</f>
        <v>http://dx.doi.org/10.1016/j.chemosphere.2015.08.025</v>
      </c>
      <c r="BG2744" s="1" t="s">
        <v>74</v>
      </c>
      <c r="BH2744" s="1" t="s">
        <v>74</v>
      </c>
      <c r="BI2744" s="1">
        <v>7</v>
      </c>
      <c r="BJ2744" s="1" t="s">
        <v>144</v>
      </c>
      <c r="BK2744" s="1" t="s">
        <v>96</v>
      </c>
      <c r="BL2744" s="1" t="s">
        <v>145</v>
      </c>
      <c r="BM2744" s="1" t="s">
        <v>33555</v>
      </c>
      <c r="BN2744" s="1">
        <v>26363322</v>
      </c>
      <c r="BO2744" s="1" t="s">
        <v>74</v>
      </c>
      <c r="BP2744" s="1" t="s">
        <v>74</v>
      </c>
      <c r="BQ2744" s="1" t="s">
        <v>74</v>
      </c>
      <c r="BR2744" s="1" t="s">
        <v>98</v>
      </c>
      <c r="BS2744" s="1" t="s">
        <v>43609</v>
      </c>
      <c r="BT2744" s="1" t="str">
        <f>HYPERLINK("https%3A%2F%2Fwww.webofscience.com%2Fwos%2Fwoscc%2Ffull-record%2FWOS:000367774400028","View Full Record in Web of Science")</f>
        <v>View Full Record in Web of Science</v>
      </c>
      <c r="BU2744" s="1"/>
      <c r="BV2744" s="1"/>
    </row>
    <row r="2745" spans="1:74">
      <c r="A2745" s="1" t="s">
        <v>72</v>
      </c>
      <c r="B2745" s="1" t="s">
        <v>43610</v>
      </c>
      <c r="C2745" s="1" t="s">
        <v>74</v>
      </c>
      <c r="D2745" s="1" t="s">
        <v>74</v>
      </c>
      <c r="E2745" s="1" t="s">
        <v>74</v>
      </c>
      <c r="F2745" s="1" t="s">
        <v>43611</v>
      </c>
      <c r="G2745" s="1" t="s">
        <v>74</v>
      </c>
      <c r="H2745" s="1" t="s">
        <v>74</v>
      </c>
      <c r="I2745" s="1" t="s">
        <v>43612</v>
      </c>
      <c r="J2745" s="1" t="s">
        <v>11276</v>
      </c>
      <c r="K2745" s="1" t="s">
        <v>74</v>
      </c>
      <c r="L2745" s="1" t="s">
        <v>74</v>
      </c>
      <c r="M2745" s="1" t="s">
        <v>78</v>
      </c>
      <c r="N2745" s="1" t="s">
        <v>79</v>
      </c>
      <c r="O2745" s="1" t="s">
        <v>74</v>
      </c>
      <c r="P2745" s="1" t="s">
        <v>74</v>
      </c>
      <c r="Q2745" s="1" t="s">
        <v>74</v>
      </c>
      <c r="R2745" s="1" t="s">
        <v>74</v>
      </c>
      <c r="S2745" s="1" t="s">
        <v>74</v>
      </c>
      <c r="T2745" s="1" t="s">
        <v>43613</v>
      </c>
      <c r="U2745" s="1" t="s">
        <v>43614</v>
      </c>
      <c r="V2745" s="1" t="s">
        <v>43615</v>
      </c>
      <c r="W2745" s="1" t="s">
        <v>43616</v>
      </c>
      <c r="X2745" s="1" t="s">
        <v>43617</v>
      </c>
      <c r="Y2745" s="1" t="s">
        <v>43618</v>
      </c>
      <c r="Z2745" s="1" t="s">
        <v>8309</v>
      </c>
      <c r="AA2745" s="1" t="s">
        <v>43619</v>
      </c>
      <c r="AB2745" s="1" t="s">
        <v>43620</v>
      </c>
      <c r="AC2745" s="1" t="s">
        <v>43621</v>
      </c>
      <c r="AD2745" s="1" t="s">
        <v>43621</v>
      </c>
      <c r="AE2745" s="1" t="s">
        <v>43622</v>
      </c>
      <c r="AF2745" s="1" t="s">
        <v>74</v>
      </c>
      <c r="AG2745" s="1">
        <v>38</v>
      </c>
      <c r="AH2745" s="1">
        <v>3</v>
      </c>
      <c r="AI2745" s="1">
        <v>3</v>
      </c>
      <c r="AJ2745" s="1">
        <v>0</v>
      </c>
      <c r="AK2745" s="1">
        <v>46</v>
      </c>
      <c r="AL2745" s="1" t="s">
        <v>430</v>
      </c>
      <c r="AM2745" s="1" t="s">
        <v>137</v>
      </c>
      <c r="AN2745" s="1" t="s">
        <v>431</v>
      </c>
      <c r="AO2745" s="1" t="s">
        <v>11284</v>
      </c>
      <c r="AP2745" s="1" t="s">
        <v>25110</v>
      </c>
      <c r="AQ2745" s="1" t="s">
        <v>74</v>
      </c>
      <c r="AR2745" s="1" t="s">
        <v>11285</v>
      </c>
      <c r="AS2745" s="1" t="s">
        <v>11286</v>
      </c>
      <c r="AT2745" s="1" t="s">
        <v>197</v>
      </c>
      <c r="AU2745" s="1">
        <v>2018</v>
      </c>
      <c r="AV2745" s="1">
        <v>192</v>
      </c>
      <c r="AW2745" s="1" t="s">
        <v>74</v>
      </c>
      <c r="AX2745" s="1" t="s">
        <v>74</v>
      </c>
      <c r="AY2745" s="1" t="s">
        <v>74</v>
      </c>
      <c r="AZ2745" s="1" t="s">
        <v>74</v>
      </c>
      <c r="BA2745" s="1" t="s">
        <v>74</v>
      </c>
      <c r="BB2745" s="1">
        <v>250</v>
      </c>
      <c r="BC2745" s="1">
        <v>256</v>
      </c>
      <c r="BD2745" s="1" t="s">
        <v>74</v>
      </c>
      <c r="BE2745" s="1" t="s">
        <v>43623</v>
      </c>
      <c r="BF2745" s="1" t="str">
        <f>HYPERLINK("http://dx.doi.org/10.1016/j.jenvrad.2018.06.008","http://dx.doi.org/10.1016/j.jenvrad.2018.06.008")</f>
        <v>http://dx.doi.org/10.1016/j.jenvrad.2018.06.008</v>
      </c>
      <c r="BG2745" s="1" t="s">
        <v>74</v>
      </c>
      <c r="BH2745" s="1" t="s">
        <v>74</v>
      </c>
      <c r="BI2745" s="1">
        <v>7</v>
      </c>
      <c r="BJ2745" s="1" t="s">
        <v>144</v>
      </c>
      <c r="BK2745" s="1" t="s">
        <v>96</v>
      </c>
      <c r="BL2745" s="1" t="s">
        <v>145</v>
      </c>
      <c r="BM2745" s="1" t="s">
        <v>43624</v>
      </c>
      <c r="BN2745" s="1">
        <v>29986316</v>
      </c>
      <c r="BO2745" s="1" t="s">
        <v>9583</v>
      </c>
      <c r="BP2745" s="1" t="s">
        <v>74</v>
      </c>
      <c r="BQ2745" s="1" t="s">
        <v>74</v>
      </c>
      <c r="BR2745" s="1" t="s">
        <v>98</v>
      </c>
      <c r="BS2745" s="1" t="s">
        <v>43625</v>
      </c>
      <c r="BT2745" s="1" t="str">
        <f>HYPERLINK("https%3A%2F%2Fwww.webofscience.com%2Fwos%2Fwoscc%2Ffull-record%2FWOS:000446289100027","View Full Record in Web of Science")</f>
        <v>View Full Record in Web of Science</v>
      </c>
      <c r="BU2745" s="1"/>
      <c r="BV2745" s="1"/>
    </row>
    <row r="2746" spans="1:74">
      <c r="A2746" s="1" t="s">
        <v>72</v>
      </c>
      <c r="B2746" s="1" t="s">
        <v>43626</v>
      </c>
      <c r="C2746" s="1" t="s">
        <v>74</v>
      </c>
      <c r="D2746" s="1" t="s">
        <v>74</v>
      </c>
      <c r="E2746" s="1" t="s">
        <v>74</v>
      </c>
      <c r="F2746" s="1" t="s">
        <v>43627</v>
      </c>
      <c r="G2746" s="1" t="s">
        <v>74</v>
      </c>
      <c r="H2746" s="1" t="s">
        <v>74</v>
      </c>
      <c r="I2746" s="1" t="s">
        <v>43628</v>
      </c>
      <c r="J2746" s="1" t="s">
        <v>232</v>
      </c>
      <c r="K2746" s="1" t="s">
        <v>74</v>
      </c>
      <c r="L2746" s="1" t="s">
        <v>74</v>
      </c>
      <c r="M2746" s="1" t="s">
        <v>78</v>
      </c>
      <c r="N2746" s="1" t="s">
        <v>79</v>
      </c>
      <c r="O2746" s="1" t="s">
        <v>74</v>
      </c>
      <c r="P2746" s="1" t="s">
        <v>74</v>
      </c>
      <c r="Q2746" s="1" t="s">
        <v>74</v>
      </c>
      <c r="R2746" s="1" t="s">
        <v>74</v>
      </c>
      <c r="S2746" s="1" t="s">
        <v>74</v>
      </c>
      <c r="T2746" s="1" t="s">
        <v>43629</v>
      </c>
      <c r="U2746" s="1" t="s">
        <v>43630</v>
      </c>
      <c r="V2746" s="1" t="s">
        <v>43631</v>
      </c>
      <c r="W2746" s="1" t="s">
        <v>43632</v>
      </c>
      <c r="X2746" s="1" t="s">
        <v>43633</v>
      </c>
      <c r="Y2746" s="1" t="s">
        <v>43634</v>
      </c>
      <c r="Z2746" s="1" t="s">
        <v>43635</v>
      </c>
      <c r="AA2746" s="1" t="s">
        <v>43636</v>
      </c>
      <c r="AB2746" s="1" t="s">
        <v>43637</v>
      </c>
      <c r="AC2746" s="1" t="s">
        <v>43638</v>
      </c>
      <c r="AD2746" s="1" t="s">
        <v>43638</v>
      </c>
      <c r="AE2746" s="1" t="s">
        <v>43639</v>
      </c>
      <c r="AF2746" s="1" t="s">
        <v>74</v>
      </c>
      <c r="AG2746" s="1">
        <v>63</v>
      </c>
      <c r="AH2746" s="1">
        <v>6</v>
      </c>
      <c r="AI2746" s="1">
        <v>6</v>
      </c>
      <c r="AJ2746" s="1">
        <v>4</v>
      </c>
      <c r="AK2746" s="1">
        <v>46</v>
      </c>
      <c r="AL2746" s="1" t="s">
        <v>136</v>
      </c>
      <c r="AM2746" s="1" t="s">
        <v>137</v>
      </c>
      <c r="AN2746" s="1" t="s">
        <v>138</v>
      </c>
      <c r="AO2746" s="1" t="s">
        <v>240</v>
      </c>
      <c r="AP2746" s="1" t="s">
        <v>241</v>
      </c>
      <c r="AQ2746" s="1" t="s">
        <v>74</v>
      </c>
      <c r="AR2746" s="1" t="s">
        <v>242</v>
      </c>
      <c r="AS2746" s="1" t="s">
        <v>243</v>
      </c>
      <c r="AT2746" s="1" t="s">
        <v>142</v>
      </c>
      <c r="AU2746" s="1">
        <v>2021</v>
      </c>
      <c r="AV2746" s="1">
        <v>167</v>
      </c>
      <c r="AW2746" s="1" t="s">
        <v>74</v>
      </c>
      <c r="AX2746" s="1" t="s">
        <v>74</v>
      </c>
      <c r="AY2746" s="1" t="s">
        <v>74</v>
      </c>
      <c r="AZ2746" s="1" t="s">
        <v>74</v>
      </c>
      <c r="BA2746" s="1" t="s">
        <v>74</v>
      </c>
      <c r="BB2746" s="1" t="s">
        <v>74</v>
      </c>
      <c r="BC2746" s="1" t="s">
        <v>74</v>
      </c>
      <c r="BD2746" s="1">
        <v>112291</v>
      </c>
      <c r="BE2746" s="1" t="s">
        <v>43640</v>
      </c>
      <c r="BF2746" s="1" t="str">
        <f>HYPERLINK("http://dx.doi.org/10.1016/j.marpolbul.2021.112291","http://dx.doi.org/10.1016/j.marpolbul.2021.112291")</f>
        <v>http://dx.doi.org/10.1016/j.marpolbul.2021.112291</v>
      </c>
      <c r="BG2746" s="1" t="s">
        <v>74</v>
      </c>
      <c r="BH2746" s="1" t="s">
        <v>14421</v>
      </c>
      <c r="BI2746" s="1">
        <v>11</v>
      </c>
      <c r="BJ2746" s="1" t="s">
        <v>247</v>
      </c>
      <c r="BK2746" s="1" t="s">
        <v>96</v>
      </c>
      <c r="BL2746" s="1" t="s">
        <v>248</v>
      </c>
      <c r="BM2746" s="1" t="s">
        <v>43641</v>
      </c>
      <c r="BN2746" s="1">
        <v>33866205</v>
      </c>
      <c r="BO2746" s="1" t="s">
        <v>14649</v>
      </c>
      <c r="BP2746" s="1" t="s">
        <v>74</v>
      </c>
      <c r="BQ2746" s="1" t="s">
        <v>74</v>
      </c>
      <c r="BR2746" s="1" t="s">
        <v>98</v>
      </c>
      <c r="BS2746" s="1" t="s">
        <v>43642</v>
      </c>
      <c r="BT2746" s="1" t="str">
        <f>HYPERLINK("https%3A%2F%2Fwww.webofscience.com%2Fwos%2Fwoscc%2Ffull-record%2FWOS:000656838800009","View Full Record in Web of Science")</f>
        <v>View Full Record in Web of Science</v>
      </c>
      <c r="BU2746" s="1"/>
      <c r="BV2746" s="1"/>
    </row>
    <row r="2747" spans="1:74">
      <c r="A2747" s="1" t="s">
        <v>72</v>
      </c>
      <c r="B2747" s="1" t="s">
        <v>43643</v>
      </c>
      <c r="C2747" s="1" t="s">
        <v>74</v>
      </c>
      <c r="D2747" s="1" t="s">
        <v>74</v>
      </c>
      <c r="E2747" s="1" t="s">
        <v>74</v>
      </c>
      <c r="F2747" s="1" t="s">
        <v>43644</v>
      </c>
      <c r="G2747" s="1" t="s">
        <v>74</v>
      </c>
      <c r="H2747" s="1" t="s">
        <v>74</v>
      </c>
      <c r="I2747" s="1" t="s">
        <v>43645</v>
      </c>
      <c r="J2747" s="1" t="s">
        <v>232</v>
      </c>
      <c r="K2747" s="1" t="s">
        <v>74</v>
      </c>
      <c r="L2747" s="1" t="s">
        <v>74</v>
      </c>
      <c r="M2747" s="1" t="s">
        <v>78</v>
      </c>
      <c r="N2747" s="1" t="s">
        <v>79</v>
      </c>
      <c r="O2747" s="1" t="s">
        <v>74</v>
      </c>
      <c r="P2747" s="1" t="s">
        <v>74</v>
      </c>
      <c r="Q2747" s="1" t="s">
        <v>74</v>
      </c>
      <c r="R2747" s="1" t="s">
        <v>74</v>
      </c>
      <c r="S2747" s="1" t="s">
        <v>74</v>
      </c>
      <c r="T2747" s="1" t="s">
        <v>43646</v>
      </c>
      <c r="U2747" s="1" t="s">
        <v>43647</v>
      </c>
      <c r="V2747" s="1" t="s">
        <v>43648</v>
      </c>
      <c r="W2747" s="1" t="s">
        <v>43649</v>
      </c>
      <c r="X2747" s="1" t="s">
        <v>43650</v>
      </c>
      <c r="Y2747" s="1" t="s">
        <v>34067</v>
      </c>
      <c r="Z2747" s="1" t="s">
        <v>34068</v>
      </c>
      <c r="AA2747" s="1" t="s">
        <v>43651</v>
      </c>
      <c r="AB2747" s="1" t="s">
        <v>43652</v>
      </c>
      <c r="AC2747" s="1" t="s">
        <v>74</v>
      </c>
      <c r="AD2747" s="1" t="s">
        <v>74</v>
      </c>
      <c r="AE2747" s="1" t="s">
        <v>74</v>
      </c>
      <c r="AF2747" s="1" t="s">
        <v>74</v>
      </c>
      <c r="AG2747" s="1">
        <v>63</v>
      </c>
      <c r="AH2747" s="1">
        <v>6</v>
      </c>
      <c r="AI2747" s="1">
        <v>6</v>
      </c>
      <c r="AJ2747" s="1">
        <v>5</v>
      </c>
      <c r="AK2747" s="1">
        <v>12</v>
      </c>
      <c r="AL2747" s="1" t="s">
        <v>136</v>
      </c>
      <c r="AM2747" s="1" t="s">
        <v>137</v>
      </c>
      <c r="AN2747" s="1" t="s">
        <v>138</v>
      </c>
      <c r="AO2747" s="1" t="s">
        <v>240</v>
      </c>
      <c r="AP2747" s="1" t="s">
        <v>241</v>
      </c>
      <c r="AQ2747" s="1" t="s">
        <v>74</v>
      </c>
      <c r="AR2747" s="1" t="s">
        <v>242</v>
      </c>
      <c r="AS2747" s="1" t="s">
        <v>243</v>
      </c>
      <c r="AT2747" s="1" t="s">
        <v>93</v>
      </c>
      <c r="AU2747" s="1">
        <v>2023</v>
      </c>
      <c r="AV2747" s="1">
        <v>191</v>
      </c>
      <c r="AW2747" s="1" t="s">
        <v>74</v>
      </c>
      <c r="AX2747" s="1" t="s">
        <v>74</v>
      </c>
      <c r="AY2747" s="1" t="s">
        <v>74</v>
      </c>
      <c r="AZ2747" s="1" t="s">
        <v>74</v>
      </c>
      <c r="BA2747" s="1" t="s">
        <v>74</v>
      </c>
      <c r="BB2747" s="1" t="s">
        <v>74</v>
      </c>
      <c r="BC2747" s="1" t="s">
        <v>74</v>
      </c>
      <c r="BD2747" s="1">
        <v>114926</v>
      </c>
      <c r="BE2747" s="1" t="s">
        <v>43653</v>
      </c>
      <c r="BF2747" s="1" t="str">
        <f>HYPERLINK("http://dx.doi.org/10.1016/j.marpolbul.2023.114926","http://dx.doi.org/10.1016/j.marpolbul.2023.114926")</f>
        <v>http://dx.doi.org/10.1016/j.marpolbul.2023.114926</v>
      </c>
      <c r="BG2747" s="1" t="s">
        <v>74</v>
      </c>
      <c r="BH2747" s="1" t="s">
        <v>2540</v>
      </c>
      <c r="BI2747" s="1">
        <v>10</v>
      </c>
      <c r="BJ2747" s="1" t="s">
        <v>247</v>
      </c>
      <c r="BK2747" s="1" t="s">
        <v>96</v>
      </c>
      <c r="BL2747" s="1" t="s">
        <v>248</v>
      </c>
      <c r="BM2747" s="1" t="s">
        <v>43654</v>
      </c>
      <c r="BN2747" s="1">
        <v>37075561</v>
      </c>
      <c r="BO2747" s="1" t="s">
        <v>74</v>
      </c>
      <c r="BP2747" s="1" t="s">
        <v>74</v>
      </c>
      <c r="BQ2747" s="1" t="s">
        <v>74</v>
      </c>
      <c r="BR2747" s="1" t="s">
        <v>98</v>
      </c>
      <c r="BS2747" s="1" t="s">
        <v>43655</v>
      </c>
      <c r="BT2747" s="1" t="str">
        <f>HYPERLINK("https%3A%2F%2Fwww.webofscience.com%2Fwos%2Fwoscc%2Ffull-record%2FWOS:001034035200001","View Full Record in Web of Science")</f>
        <v>View Full Record in Web of Science</v>
      </c>
      <c r="BU2747" s="1"/>
      <c r="BV2747" s="1"/>
    </row>
    <row r="2748" spans="1:74">
      <c r="A2748" s="1" t="s">
        <v>72</v>
      </c>
      <c r="B2748" s="1" t="s">
        <v>43656</v>
      </c>
      <c r="C2748" s="1" t="s">
        <v>74</v>
      </c>
      <c r="D2748" s="1" t="s">
        <v>74</v>
      </c>
      <c r="E2748" s="1" t="s">
        <v>74</v>
      </c>
      <c r="F2748" s="1" t="s">
        <v>43657</v>
      </c>
      <c r="G2748" s="1" t="s">
        <v>74</v>
      </c>
      <c r="H2748" s="1" t="s">
        <v>74</v>
      </c>
      <c r="I2748" s="1" t="s">
        <v>43658</v>
      </c>
      <c r="J2748" s="1" t="s">
        <v>232</v>
      </c>
      <c r="K2748" s="1" t="s">
        <v>74</v>
      </c>
      <c r="L2748" s="1" t="s">
        <v>74</v>
      </c>
      <c r="M2748" s="1" t="s">
        <v>78</v>
      </c>
      <c r="N2748" s="1" t="s">
        <v>79</v>
      </c>
      <c r="O2748" s="1" t="s">
        <v>74</v>
      </c>
      <c r="P2748" s="1" t="s">
        <v>74</v>
      </c>
      <c r="Q2748" s="1" t="s">
        <v>74</v>
      </c>
      <c r="R2748" s="1" t="s">
        <v>74</v>
      </c>
      <c r="S2748" s="1" t="s">
        <v>74</v>
      </c>
      <c r="T2748" s="1" t="s">
        <v>43659</v>
      </c>
      <c r="U2748" s="1" t="s">
        <v>43660</v>
      </c>
      <c r="V2748" s="1" t="s">
        <v>43661</v>
      </c>
      <c r="W2748" s="1" t="s">
        <v>43662</v>
      </c>
      <c r="X2748" s="1" t="s">
        <v>15325</v>
      </c>
      <c r="Y2748" s="1" t="s">
        <v>43663</v>
      </c>
      <c r="Z2748" s="1" t="s">
        <v>43664</v>
      </c>
      <c r="AA2748" s="1" t="s">
        <v>43665</v>
      </c>
      <c r="AB2748" s="1" t="s">
        <v>43666</v>
      </c>
      <c r="AC2748" s="1" t="s">
        <v>43667</v>
      </c>
      <c r="AD2748" s="1" t="s">
        <v>43668</v>
      </c>
      <c r="AE2748" s="1" t="s">
        <v>43669</v>
      </c>
      <c r="AF2748" s="1" t="s">
        <v>74</v>
      </c>
      <c r="AG2748" s="1">
        <v>25</v>
      </c>
      <c r="AH2748" s="1">
        <v>8</v>
      </c>
      <c r="AI2748" s="1">
        <v>8</v>
      </c>
      <c r="AJ2748" s="1">
        <v>0</v>
      </c>
      <c r="AK2748" s="1">
        <v>7</v>
      </c>
      <c r="AL2748" s="1" t="s">
        <v>136</v>
      </c>
      <c r="AM2748" s="1" t="s">
        <v>137</v>
      </c>
      <c r="AN2748" s="1" t="s">
        <v>138</v>
      </c>
      <c r="AO2748" s="1" t="s">
        <v>240</v>
      </c>
      <c r="AP2748" s="1" t="s">
        <v>241</v>
      </c>
      <c r="AQ2748" s="1" t="s">
        <v>74</v>
      </c>
      <c r="AR2748" s="1" t="s">
        <v>242</v>
      </c>
      <c r="AS2748" s="1" t="s">
        <v>243</v>
      </c>
      <c r="AT2748" s="1" t="s">
        <v>267</v>
      </c>
      <c r="AU2748" s="1">
        <v>2018</v>
      </c>
      <c r="AV2748" s="1">
        <v>135</v>
      </c>
      <c r="AW2748" s="1" t="s">
        <v>74</v>
      </c>
      <c r="AX2748" s="1" t="s">
        <v>74</v>
      </c>
      <c r="AY2748" s="1" t="s">
        <v>74</v>
      </c>
      <c r="AZ2748" s="1" t="s">
        <v>74</v>
      </c>
      <c r="BA2748" s="1" t="s">
        <v>74</v>
      </c>
      <c r="BB2748" s="1">
        <v>873</v>
      </c>
      <c r="BC2748" s="1">
        <v>879</v>
      </c>
      <c r="BD2748" s="1" t="s">
        <v>74</v>
      </c>
      <c r="BE2748" s="1" t="s">
        <v>43670</v>
      </c>
      <c r="BF2748" s="1" t="str">
        <f>HYPERLINK("http://dx.doi.org/10.1016/j.marpolbul.2018.03.030","http://dx.doi.org/10.1016/j.marpolbul.2018.03.030")</f>
        <v>http://dx.doi.org/10.1016/j.marpolbul.2018.03.030</v>
      </c>
      <c r="BG2748" s="1" t="s">
        <v>74</v>
      </c>
      <c r="BH2748" s="1" t="s">
        <v>74</v>
      </c>
      <c r="BI2748" s="1">
        <v>7</v>
      </c>
      <c r="BJ2748" s="1" t="s">
        <v>247</v>
      </c>
      <c r="BK2748" s="1" t="s">
        <v>96</v>
      </c>
      <c r="BL2748" s="1" t="s">
        <v>248</v>
      </c>
      <c r="BM2748" s="1" t="s">
        <v>9841</v>
      </c>
      <c r="BN2748" s="1">
        <v>30301109</v>
      </c>
      <c r="BO2748" s="1" t="s">
        <v>74</v>
      </c>
      <c r="BP2748" s="1" t="s">
        <v>74</v>
      </c>
      <c r="BQ2748" s="1" t="s">
        <v>74</v>
      </c>
      <c r="BR2748" s="1" t="s">
        <v>98</v>
      </c>
      <c r="BS2748" s="1" t="s">
        <v>43671</v>
      </c>
      <c r="BT2748" s="1" t="str">
        <f>HYPERLINK("https%3A%2F%2Fwww.webofscience.com%2Fwos%2Fwoscc%2Ffull-record%2FWOS:000448094200095","View Full Record in Web of Science")</f>
        <v>View Full Record in Web of Science</v>
      </c>
      <c r="BU2748" s="1"/>
      <c r="BV2748" s="1"/>
    </row>
    <row r="2749" spans="1:74">
      <c r="A2749" s="1" t="s">
        <v>72</v>
      </c>
      <c r="B2749" s="1" t="s">
        <v>43672</v>
      </c>
      <c r="C2749" s="1" t="s">
        <v>74</v>
      </c>
      <c r="D2749" s="1" t="s">
        <v>74</v>
      </c>
      <c r="E2749" s="1" t="s">
        <v>74</v>
      </c>
      <c r="F2749" s="1" t="s">
        <v>43673</v>
      </c>
      <c r="G2749" s="1" t="s">
        <v>74</v>
      </c>
      <c r="H2749" s="1" t="s">
        <v>74</v>
      </c>
      <c r="I2749" s="1" t="s">
        <v>43674</v>
      </c>
      <c r="J2749" s="1" t="s">
        <v>12608</v>
      </c>
      <c r="K2749" s="1" t="s">
        <v>74</v>
      </c>
      <c r="L2749" s="1" t="s">
        <v>74</v>
      </c>
      <c r="M2749" s="1" t="s">
        <v>78</v>
      </c>
      <c r="N2749" s="1" t="s">
        <v>79</v>
      </c>
      <c r="O2749" s="1" t="s">
        <v>74</v>
      </c>
      <c r="P2749" s="1" t="s">
        <v>74</v>
      </c>
      <c r="Q2749" s="1" t="s">
        <v>74</v>
      </c>
      <c r="R2749" s="1" t="s">
        <v>74</v>
      </c>
      <c r="S2749" s="1" t="s">
        <v>74</v>
      </c>
      <c r="T2749" s="1" t="s">
        <v>43675</v>
      </c>
      <c r="U2749" s="1" t="s">
        <v>43676</v>
      </c>
      <c r="V2749" s="1" t="s">
        <v>43677</v>
      </c>
      <c r="W2749" s="1" t="s">
        <v>43678</v>
      </c>
      <c r="X2749" s="1" t="s">
        <v>43679</v>
      </c>
      <c r="Y2749" s="1" t="s">
        <v>43680</v>
      </c>
      <c r="Z2749" s="1" t="s">
        <v>43681</v>
      </c>
      <c r="AA2749" s="1" t="s">
        <v>43682</v>
      </c>
      <c r="AB2749" s="1" t="s">
        <v>43683</v>
      </c>
      <c r="AC2749" s="1" t="s">
        <v>43684</v>
      </c>
      <c r="AD2749" s="1" t="s">
        <v>43685</v>
      </c>
      <c r="AE2749" s="1" t="s">
        <v>43686</v>
      </c>
      <c r="AF2749" s="1" t="s">
        <v>74</v>
      </c>
      <c r="AG2749" s="1">
        <v>62</v>
      </c>
      <c r="AH2749" s="1">
        <v>2</v>
      </c>
      <c r="AI2749" s="1">
        <v>3</v>
      </c>
      <c r="AJ2749" s="1">
        <v>4</v>
      </c>
      <c r="AK2749" s="1">
        <v>9</v>
      </c>
      <c r="AL2749" s="1" t="s">
        <v>650</v>
      </c>
      <c r="AM2749" s="1" t="s">
        <v>651</v>
      </c>
      <c r="AN2749" s="1" t="s">
        <v>652</v>
      </c>
      <c r="AO2749" s="1" t="s">
        <v>12621</v>
      </c>
      <c r="AP2749" s="1" t="s">
        <v>74</v>
      </c>
      <c r="AQ2749" s="1" t="s">
        <v>74</v>
      </c>
      <c r="AR2749" s="1" t="s">
        <v>12622</v>
      </c>
      <c r="AS2749" s="1" t="s">
        <v>12623</v>
      </c>
      <c r="AT2749" s="1" t="s">
        <v>142</v>
      </c>
      <c r="AU2749" s="1">
        <v>2023</v>
      </c>
      <c r="AV2749" s="1">
        <v>30</v>
      </c>
      <c r="AW2749" s="1" t="s">
        <v>74</v>
      </c>
      <c r="AX2749" s="1" t="s">
        <v>74</v>
      </c>
      <c r="AY2749" s="1" t="s">
        <v>74</v>
      </c>
      <c r="AZ2749" s="1" t="s">
        <v>74</v>
      </c>
      <c r="BA2749" s="1" t="s">
        <v>74</v>
      </c>
      <c r="BB2749" s="1" t="s">
        <v>74</v>
      </c>
      <c r="BC2749" s="1" t="s">
        <v>74</v>
      </c>
      <c r="BD2749" s="1">
        <v>101586</v>
      </c>
      <c r="BE2749" s="1" t="s">
        <v>43687</v>
      </c>
      <c r="BF2749" s="1" t="str">
        <f>HYPERLINK("http://dx.doi.org/10.1016/j.aqrep.2023.101586","http://dx.doi.org/10.1016/j.aqrep.2023.101586")</f>
        <v>http://dx.doi.org/10.1016/j.aqrep.2023.101586</v>
      </c>
      <c r="BG2749" s="1" t="s">
        <v>74</v>
      </c>
      <c r="BH2749" s="1" t="s">
        <v>2259</v>
      </c>
      <c r="BI2749" s="1">
        <v>11</v>
      </c>
      <c r="BJ2749" s="1" t="s">
        <v>746</v>
      </c>
      <c r="BK2749" s="1" t="s">
        <v>96</v>
      </c>
      <c r="BL2749" s="1" t="s">
        <v>746</v>
      </c>
      <c r="BM2749" s="1" t="s">
        <v>43688</v>
      </c>
      <c r="BN2749" s="1" t="s">
        <v>74</v>
      </c>
      <c r="BO2749" s="1" t="s">
        <v>873</v>
      </c>
      <c r="BP2749" s="1" t="s">
        <v>74</v>
      </c>
      <c r="BQ2749" s="1" t="s">
        <v>74</v>
      </c>
      <c r="BR2749" s="1" t="s">
        <v>98</v>
      </c>
      <c r="BS2749" s="1" t="s">
        <v>43689</v>
      </c>
      <c r="BT2749" s="1" t="str">
        <f>HYPERLINK("https%3A%2F%2Fwww.webofscience.com%2Fwos%2Fwoscc%2Ffull-record%2FWOS:000998341800001","View Full Record in Web of Science")</f>
        <v>View Full Record in Web of Science</v>
      </c>
      <c r="BU2749" s="1"/>
      <c r="BV2749" s="1"/>
    </row>
    <row r="2750" spans="1:74">
      <c r="A2750" s="1" t="s">
        <v>72</v>
      </c>
      <c r="B2750" s="1" t="s">
        <v>43690</v>
      </c>
      <c r="C2750" s="1" t="s">
        <v>74</v>
      </c>
      <c r="D2750" s="1" t="s">
        <v>74</v>
      </c>
      <c r="E2750" s="1" t="s">
        <v>74</v>
      </c>
      <c r="F2750" s="1" t="s">
        <v>43690</v>
      </c>
      <c r="G2750" s="1" t="s">
        <v>74</v>
      </c>
      <c r="H2750" s="1" t="s">
        <v>74</v>
      </c>
      <c r="I2750" s="1" t="s">
        <v>43691</v>
      </c>
      <c r="J2750" s="1" t="s">
        <v>232</v>
      </c>
      <c r="K2750" s="1" t="s">
        <v>74</v>
      </c>
      <c r="L2750" s="1" t="s">
        <v>74</v>
      </c>
      <c r="M2750" s="1" t="s">
        <v>78</v>
      </c>
      <c r="N2750" s="1" t="s">
        <v>151</v>
      </c>
      <c r="O2750" s="1" t="s">
        <v>13803</v>
      </c>
      <c r="P2750" s="1" t="s">
        <v>13804</v>
      </c>
      <c r="Q2750" s="1" t="s">
        <v>235</v>
      </c>
      <c r="R2750" s="1" t="s">
        <v>74</v>
      </c>
      <c r="S2750" s="1" t="s">
        <v>74</v>
      </c>
      <c r="T2750" s="1" t="s">
        <v>74</v>
      </c>
      <c r="U2750" s="1" t="s">
        <v>43692</v>
      </c>
      <c r="V2750" s="1" t="s">
        <v>43693</v>
      </c>
      <c r="W2750" s="1" t="s">
        <v>43694</v>
      </c>
      <c r="X2750" s="1" t="s">
        <v>2843</v>
      </c>
      <c r="Y2750" s="1" t="s">
        <v>43695</v>
      </c>
      <c r="Z2750" s="1" t="s">
        <v>43696</v>
      </c>
      <c r="AA2750" s="1" t="s">
        <v>7184</v>
      </c>
      <c r="AB2750" s="1" t="s">
        <v>74</v>
      </c>
      <c r="AC2750" s="1" t="s">
        <v>74</v>
      </c>
      <c r="AD2750" s="1" t="s">
        <v>74</v>
      </c>
      <c r="AE2750" s="1" t="s">
        <v>74</v>
      </c>
      <c r="AF2750" s="1" t="s">
        <v>74</v>
      </c>
      <c r="AG2750" s="1">
        <v>39</v>
      </c>
      <c r="AH2750" s="1">
        <v>27</v>
      </c>
      <c r="AI2750" s="1">
        <v>30</v>
      </c>
      <c r="AJ2750" s="1">
        <v>0</v>
      </c>
      <c r="AK2750" s="1">
        <v>12</v>
      </c>
      <c r="AL2750" s="1" t="s">
        <v>136</v>
      </c>
      <c r="AM2750" s="1" t="s">
        <v>137</v>
      </c>
      <c r="AN2750" s="1" t="s">
        <v>138</v>
      </c>
      <c r="AO2750" s="1" t="s">
        <v>240</v>
      </c>
      <c r="AP2750" s="1" t="s">
        <v>241</v>
      </c>
      <c r="AQ2750" s="1" t="s">
        <v>74</v>
      </c>
      <c r="AR2750" s="1" t="s">
        <v>242</v>
      </c>
      <c r="AS2750" s="1" t="s">
        <v>243</v>
      </c>
      <c r="AT2750" s="1" t="s">
        <v>13813</v>
      </c>
      <c r="AU2750" s="1">
        <v>1999</v>
      </c>
      <c r="AV2750" s="1">
        <v>39</v>
      </c>
      <c r="AW2750" s="1" t="s">
        <v>9275</v>
      </c>
      <c r="AX2750" s="1" t="s">
        <v>74</v>
      </c>
      <c r="AY2750" s="1" t="s">
        <v>74</v>
      </c>
      <c r="AZ2750" s="1" t="s">
        <v>74</v>
      </c>
      <c r="BA2750" s="1" t="s">
        <v>74</v>
      </c>
      <c r="BB2750" s="1">
        <v>159</v>
      </c>
      <c r="BC2750" s="1">
        <v>164</v>
      </c>
      <c r="BD2750" s="1" t="s">
        <v>74</v>
      </c>
      <c r="BE2750" s="1" t="s">
        <v>43697</v>
      </c>
      <c r="BF2750" s="1" t="str">
        <f>HYPERLINK("http://dx.doi.org/10.1016/S0025-326X(98)00179-9","http://dx.doi.org/10.1016/S0025-326X(98)00179-9")</f>
        <v>http://dx.doi.org/10.1016/S0025-326X(98)00179-9</v>
      </c>
      <c r="BG2750" s="1" t="s">
        <v>74</v>
      </c>
      <c r="BH2750" s="1" t="s">
        <v>74</v>
      </c>
      <c r="BI2750" s="1">
        <v>6</v>
      </c>
      <c r="BJ2750" s="1" t="s">
        <v>247</v>
      </c>
      <c r="BK2750" s="1" t="s">
        <v>172</v>
      </c>
      <c r="BL2750" s="1" t="s">
        <v>248</v>
      </c>
      <c r="BM2750" s="1" t="s">
        <v>13815</v>
      </c>
      <c r="BN2750" s="1" t="s">
        <v>74</v>
      </c>
      <c r="BO2750" s="1" t="s">
        <v>74</v>
      </c>
      <c r="BP2750" s="1" t="s">
        <v>74</v>
      </c>
      <c r="BQ2750" s="1" t="s">
        <v>74</v>
      </c>
      <c r="BR2750" s="1" t="s">
        <v>98</v>
      </c>
      <c r="BS2750" s="1" t="s">
        <v>43698</v>
      </c>
      <c r="BT2750" s="1" t="str">
        <f>HYPERLINK("https%3A%2F%2Fwww.webofscience.com%2Fwos%2Fwoscc%2Ffull-record%2FWOS:000083356500022","View Full Record in Web of Science")</f>
        <v>View Full Record in Web of Science</v>
      </c>
      <c r="BU2750" s="1"/>
      <c r="BV2750" s="1"/>
    </row>
    <row r="2751" spans="1:74">
      <c r="A2751" s="1" t="s">
        <v>72</v>
      </c>
      <c r="B2751" s="1" t="s">
        <v>43699</v>
      </c>
      <c r="C2751" s="1" t="s">
        <v>74</v>
      </c>
      <c r="D2751" s="1" t="s">
        <v>74</v>
      </c>
      <c r="E2751" s="1" t="s">
        <v>74</v>
      </c>
      <c r="F2751" s="1" t="s">
        <v>43700</v>
      </c>
      <c r="G2751" s="1" t="s">
        <v>74</v>
      </c>
      <c r="H2751" s="1" t="s">
        <v>74</v>
      </c>
      <c r="I2751" s="1" t="s">
        <v>43701</v>
      </c>
      <c r="J2751" s="1" t="s">
        <v>909</v>
      </c>
      <c r="K2751" s="1" t="s">
        <v>74</v>
      </c>
      <c r="L2751" s="1" t="s">
        <v>74</v>
      </c>
      <c r="M2751" s="1" t="s">
        <v>78</v>
      </c>
      <c r="N2751" s="1" t="s">
        <v>79</v>
      </c>
      <c r="O2751" s="1" t="s">
        <v>74</v>
      </c>
      <c r="P2751" s="1" t="s">
        <v>74</v>
      </c>
      <c r="Q2751" s="1" t="s">
        <v>74</v>
      </c>
      <c r="R2751" s="1" t="s">
        <v>74</v>
      </c>
      <c r="S2751" s="1" t="s">
        <v>74</v>
      </c>
      <c r="T2751" s="1" t="s">
        <v>43702</v>
      </c>
      <c r="U2751" s="1" t="s">
        <v>43703</v>
      </c>
      <c r="V2751" s="1" t="s">
        <v>43704</v>
      </c>
      <c r="W2751" s="1" t="s">
        <v>43705</v>
      </c>
      <c r="X2751" s="1" t="s">
        <v>43706</v>
      </c>
      <c r="Y2751" s="1" t="s">
        <v>43707</v>
      </c>
      <c r="Z2751" s="1" t="s">
        <v>13012</v>
      </c>
      <c r="AA2751" s="1" t="s">
        <v>43708</v>
      </c>
      <c r="AB2751" s="1" t="s">
        <v>43709</v>
      </c>
      <c r="AC2751" s="1" t="s">
        <v>43710</v>
      </c>
      <c r="AD2751" s="1" t="s">
        <v>43711</v>
      </c>
      <c r="AE2751" s="1" t="s">
        <v>43712</v>
      </c>
      <c r="AF2751" s="1" t="s">
        <v>74</v>
      </c>
      <c r="AG2751" s="1">
        <v>83</v>
      </c>
      <c r="AH2751" s="1">
        <v>13</v>
      </c>
      <c r="AI2751" s="1">
        <v>13</v>
      </c>
      <c r="AJ2751" s="1">
        <v>10</v>
      </c>
      <c r="AK2751" s="1">
        <v>44</v>
      </c>
      <c r="AL2751" s="1" t="s">
        <v>650</v>
      </c>
      <c r="AM2751" s="1" t="s">
        <v>651</v>
      </c>
      <c r="AN2751" s="1" t="s">
        <v>652</v>
      </c>
      <c r="AO2751" s="1" t="s">
        <v>921</v>
      </c>
      <c r="AP2751" s="1" t="s">
        <v>922</v>
      </c>
      <c r="AQ2751" s="1" t="s">
        <v>74</v>
      </c>
      <c r="AR2751" s="1" t="s">
        <v>923</v>
      </c>
      <c r="AS2751" s="1" t="s">
        <v>924</v>
      </c>
      <c r="AT2751" s="1" t="s">
        <v>6177</v>
      </c>
      <c r="AU2751" s="1">
        <v>2022</v>
      </c>
      <c r="AV2751" s="1">
        <v>818</v>
      </c>
      <c r="AW2751" s="1" t="s">
        <v>74</v>
      </c>
      <c r="AX2751" s="1" t="s">
        <v>74</v>
      </c>
      <c r="AY2751" s="1" t="s">
        <v>74</v>
      </c>
      <c r="AZ2751" s="1" t="s">
        <v>74</v>
      </c>
      <c r="BA2751" s="1" t="s">
        <v>74</v>
      </c>
      <c r="BB2751" s="1" t="s">
        <v>74</v>
      </c>
      <c r="BC2751" s="1" t="s">
        <v>74</v>
      </c>
      <c r="BD2751" s="1">
        <v>151785</v>
      </c>
      <c r="BE2751" s="1" t="s">
        <v>43713</v>
      </c>
      <c r="BF2751" s="1" t="str">
        <f>HYPERLINK("http://dx.doi.org/10.1016/j.scitotenv.2021.151785","http://dx.doi.org/10.1016/j.scitotenv.2021.151785")</f>
        <v>http://dx.doi.org/10.1016/j.scitotenv.2021.151785</v>
      </c>
      <c r="BG2751" s="1" t="s">
        <v>74</v>
      </c>
      <c r="BH2751" s="1" t="s">
        <v>5038</v>
      </c>
      <c r="BI2751" s="1">
        <v>14</v>
      </c>
      <c r="BJ2751" s="1" t="s">
        <v>144</v>
      </c>
      <c r="BK2751" s="1" t="s">
        <v>96</v>
      </c>
      <c r="BL2751" s="1" t="s">
        <v>145</v>
      </c>
      <c r="BM2751" s="1" t="s">
        <v>43714</v>
      </c>
      <c r="BN2751" s="1">
        <v>34808156</v>
      </c>
      <c r="BO2751" s="1" t="s">
        <v>74</v>
      </c>
      <c r="BP2751" s="1" t="s">
        <v>74</v>
      </c>
      <c r="BQ2751" s="1" t="s">
        <v>74</v>
      </c>
      <c r="BR2751" s="1" t="s">
        <v>98</v>
      </c>
      <c r="BS2751" s="1" t="s">
        <v>43715</v>
      </c>
      <c r="BT2751" s="1" t="str">
        <f>HYPERLINK("https%3A%2F%2Fwww.webofscience.com%2Fwos%2Fwoscc%2Ffull-record%2FWOS:000820292400006","View Full Record in Web of Science")</f>
        <v>View Full Record in Web of Science</v>
      </c>
      <c r="BU2751" s="1"/>
      <c r="BV2751" s="1"/>
    </row>
    <row r="2752" spans="1:74">
      <c r="A2752" s="1" t="s">
        <v>72</v>
      </c>
      <c r="B2752" s="1" t="s">
        <v>43716</v>
      </c>
      <c r="C2752" s="1" t="s">
        <v>74</v>
      </c>
      <c r="D2752" s="1" t="s">
        <v>74</v>
      </c>
      <c r="E2752" s="1" t="s">
        <v>74</v>
      </c>
      <c r="F2752" s="1" t="s">
        <v>43717</v>
      </c>
      <c r="G2752" s="1" t="s">
        <v>74</v>
      </c>
      <c r="H2752" s="1" t="s">
        <v>74</v>
      </c>
      <c r="I2752" s="1" t="s">
        <v>43718</v>
      </c>
      <c r="J2752" s="1" t="s">
        <v>641</v>
      </c>
      <c r="K2752" s="1" t="s">
        <v>74</v>
      </c>
      <c r="L2752" s="1" t="s">
        <v>74</v>
      </c>
      <c r="M2752" s="1" t="s">
        <v>78</v>
      </c>
      <c r="N2752" s="1" t="s">
        <v>79</v>
      </c>
      <c r="O2752" s="1" t="s">
        <v>74</v>
      </c>
      <c r="P2752" s="1" t="s">
        <v>74</v>
      </c>
      <c r="Q2752" s="1" t="s">
        <v>74</v>
      </c>
      <c r="R2752" s="1" t="s">
        <v>74</v>
      </c>
      <c r="S2752" s="1" t="s">
        <v>74</v>
      </c>
      <c r="T2752" s="1" t="s">
        <v>43719</v>
      </c>
      <c r="U2752" s="1" t="s">
        <v>43720</v>
      </c>
      <c r="V2752" s="1" t="s">
        <v>43721</v>
      </c>
      <c r="W2752" s="1" t="s">
        <v>43722</v>
      </c>
      <c r="X2752" s="1" t="s">
        <v>43723</v>
      </c>
      <c r="Y2752" s="1" t="s">
        <v>43724</v>
      </c>
      <c r="Z2752" s="1" t="s">
        <v>43725</v>
      </c>
      <c r="AA2752" s="1" t="s">
        <v>43726</v>
      </c>
      <c r="AB2752" s="1" t="s">
        <v>43727</v>
      </c>
      <c r="AC2752" s="1" t="s">
        <v>43728</v>
      </c>
      <c r="AD2752" s="1" t="s">
        <v>43728</v>
      </c>
      <c r="AE2752" s="1" t="s">
        <v>43729</v>
      </c>
      <c r="AF2752" s="1" t="s">
        <v>74</v>
      </c>
      <c r="AG2752" s="1">
        <v>79</v>
      </c>
      <c r="AH2752" s="1">
        <v>3</v>
      </c>
      <c r="AI2752" s="1">
        <v>3</v>
      </c>
      <c r="AJ2752" s="1">
        <v>14</v>
      </c>
      <c r="AK2752" s="1">
        <v>44</v>
      </c>
      <c r="AL2752" s="1" t="s">
        <v>650</v>
      </c>
      <c r="AM2752" s="1" t="s">
        <v>651</v>
      </c>
      <c r="AN2752" s="1" t="s">
        <v>652</v>
      </c>
      <c r="AO2752" s="1" t="s">
        <v>653</v>
      </c>
      <c r="AP2752" s="1" t="s">
        <v>654</v>
      </c>
      <c r="AQ2752" s="1" t="s">
        <v>74</v>
      </c>
      <c r="AR2752" s="1" t="s">
        <v>655</v>
      </c>
      <c r="AS2752" s="1" t="s">
        <v>656</v>
      </c>
      <c r="AT2752" s="1" t="s">
        <v>305</v>
      </c>
      <c r="AU2752" s="1">
        <v>2023</v>
      </c>
      <c r="AV2752" s="1">
        <v>262</v>
      </c>
      <c r="AW2752" s="1" t="s">
        <v>74</v>
      </c>
      <c r="AX2752" s="1" t="s">
        <v>74</v>
      </c>
      <c r="AY2752" s="1" t="s">
        <v>74</v>
      </c>
      <c r="AZ2752" s="1" t="s">
        <v>74</v>
      </c>
      <c r="BA2752" s="1" t="s">
        <v>74</v>
      </c>
      <c r="BB2752" s="1" t="s">
        <v>74</v>
      </c>
      <c r="BC2752" s="1" t="s">
        <v>74</v>
      </c>
      <c r="BD2752" s="1">
        <v>106669</v>
      </c>
      <c r="BE2752" s="1" t="s">
        <v>43730</v>
      </c>
      <c r="BF2752" s="1" t="str">
        <f>HYPERLINK("http://dx.doi.org/10.1016/j.aquatox.2023.106669","http://dx.doi.org/10.1016/j.aquatox.2023.106669")</f>
        <v>http://dx.doi.org/10.1016/j.aquatox.2023.106669</v>
      </c>
      <c r="BG2752" s="1" t="s">
        <v>74</v>
      </c>
      <c r="BH2752" s="1" t="s">
        <v>6411</v>
      </c>
      <c r="BI2752" s="1">
        <v>12</v>
      </c>
      <c r="BJ2752" s="1" t="s">
        <v>659</v>
      </c>
      <c r="BK2752" s="1" t="s">
        <v>96</v>
      </c>
      <c r="BL2752" s="1" t="s">
        <v>659</v>
      </c>
      <c r="BM2752" s="1" t="s">
        <v>43731</v>
      </c>
      <c r="BN2752" s="1">
        <v>37647752</v>
      </c>
      <c r="BO2752" s="1" t="s">
        <v>74</v>
      </c>
      <c r="BP2752" s="1" t="s">
        <v>74</v>
      </c>
      <c r="BQ2752" s="1" t="s">
        <v>74</v>
      </c>
      <c r="BR2752" s="1" t="s">
        <v>98</v>
      </c>
      <c r="BS2752" s="1" t="s">
        <v>43732</v>
      </c>
      <c r="BT2752" s="1" t="str">
        <f>HYPERLINK("https%3A%2F%2Fwww.webofscience.com%2Fwos%2Fwoscc%2Ffull-record%2FWOS:001069138900001","View Full Record in Web of Science")</f>
        <v>View Full Record in Web of Science</v>
      </c>
      <c r="BU2752" s="1"/>
      <c r="BV2752" s="1"/>
    </row>
    <row r="2753" spans="1:74">
      <c r="A2753" s="1" t="s">
        <v>72</v>
      </c>
      <c r="B2753" s="1" t="s">
        <v>43733</v>
      </c>
      <c r="C2753" s="1" t="s">
        <v>74</v>
      </c>
      <c r="D2753" s="1" t="s">
        <v>74</v>
      </c>
      <c r="E2753" s="1" t="s">
        <v>74</v>
      </c>
      <c r="F2753" s="1" t="s">
        <v>43734</v>
      </c>
      <c r="G2753" s="1" t="s">
        <v>74</v>
      </c>
      <c r="H2753" s="1" t="s">
        <v>74</v>
      </c>
      <c r="I2753" s="1" t="s">
        <v>43735</v>
      </c>
      <c r="J2753" s="1" t="s">
        <v>909</v>
      </c>
      <c r="K2753" s="1" t="s">
        <v>74</v>
      </c>
      <c r="L2753" s="1" t="s">
        <v>74</v>
      </c>
      <c r="M2753" s="1" t="s">
        <v>78</v>
      </c>
      <c r="N2753" s="1" t="s">
        <v>79</v>
      </c>
      <c r="O2753" s="1" t="s">
        <v>74</v>
      </c>
      <c r="P2753" s="1" t="s">
        <v>74</v>
      </c>
      <c r="Q2753" s="1" t="s">
        <v>74</v>
      </c>
      <c r="R2753" s="1" t="s">
        <v>74</v>
      </c>
      <c r="S2753" s="1" t="s">
        <v>74</v>
      </c>
      <c r="T2753" s="1" t="s">
        <v>43736</v>
      </c>
      <c r="U2753" s="1" t="s">
        <v>43737</v>
      </c>
      <c r="V2753" s="1" t="s">
        <v>43738</v>
      </c>
      <c r="W2753" s="1" t="s">
        <v>43739</v>
      </c>
      <c r="X2753" s="1" t="s">
        <v>43740</v>
      </c>
      <c r="Y2753" s="1" t="s">
        <v>43741</v>
      </c>
      <c r="Z2753" s="1" t="s">
        <v>43742</v>
      </c>
      <c r="AA2753" s="1" t="s">
        <v>43743</v>
      </c>
      <c r="AB2753" s="1" t="s">
        <v>43744</v>
      </c>
      <c r="AC2753" s="1" t="s">
        <v>43745</v>
      </c>
      <c r="AD2753" s="1" t="s">
        <v>43746</v>
      </c>
      <c r="AE2753" s="1" t="s">
        <v>43747</v>
      </c>
      <c r="AF2753" s="1" t="s">
        <v>74</v>
      </c>
      <c r="AG2753" s="1">
        <v>62</v>
      </c>
      <c r="AH2753" s="1">
        <v>12</v>
      </c>
      <c r="AI2753" s="1">
        <v>13</v>
      </c>
      <c r="AJ2753" s="1">
        <v>2</v>
      </c>
      <c r="AK2753" s="1">
        <v>29</v>
      </c>
      <c r="AL2753" s="1" t="s">
        <v>650</v>
      </c>
      <c r="AM2753" s="1" t="s">
        <v>651</v>
      </c>
      <c r="AN2753" s="1" t="s">
        <v>652</v>
      </c>
      <c r="AO2753" s="1" t="s">
        <v>921</v>
      </c>
      <c r="AP2753" s="1" t="s">
        <v>922</v>
      </c>
      <c r="AQ2753" s="1" t="s">
        <v>74</v>
      </c>
      <c r="AR2753" s="1" t="s">
        <v>923</v>
      </c>
      <c r="AS2753" s="1" t="s">
        <v>924</v>
      </c>
      <c r="AT2753" s="1" t="s">
        <v>43748</v>
      </c>
      <c r="AU2753" s="1">
        <v>2019</v>
      </c>
      <c r="AV2753" s="1">
        <v>693</v>
      </c>
      <c r="AW2753" s="1" t="s">
        <v>74</v>
      </c>
      <c r="AX2753" s="1" t="s">
        <v>74</v>
      </c>
      <c r="AY2753" s="1" t="s">
        <v>74</v>
      </c>
      <c r="AZ2753" s="1" t="s">
        <v>74</v>
      </c>
      <c r="BA2753" s="1" t="s">
        <v>74</v>
      </c>
      <c r="BB2753" s="1" t="s">
        <v>74</v>
      </c>
      <c r="BC2753" s="1" t="s">
        <v>74</v>
      </c>
      <c r="BD2753" s="1">
        <v>133546</v>
      </c>
      <c r="BE2753" s="1" t="s">
        <v>43749</v>
      </c>
      <c r="BF2753" s="1" t="str">
        <f>HYPERLINK("http://dx.doi.org/10.1016/j.scitotenv.2019.07.352","http://dx.doi.org/10.1016/j.scitotenv.2019.07.352")</f>
        <v>http://dx.doi.org/10.1016/j.scitotenv.2019.07.352</v>
      </c>
      <c r="BG2753" s="1" t="s">
        <v>74</v>
      </c>
      <c r="BH2753" s="1" t="s">
        <v>74</v>
      </c>
      <c r="BI2753" s="1">
        <v>9</v>
      </c>
      <c r="BJ2753" s="1" t="s">
        <v>144</v>
      </c>
      <c r="BK2753" s="1" t="s">
        <v>96</v>
      </c>
      <c r="BL2753" s="1" t="s">
        <v>145</v>
      </c>
      <c r="BM2753" s="1" t="s">
        <v>43750</v>
      </c>
      <c r="BN2753" s="1">
        <v>31369893</v>
      </c>
      <c r="BO2753" s="1" t="s">
        <v>74</v>
      </c>
      <c r="BP2753" s="1" t="s">
        <v>74</v>
      </c>
      <c r="BQ2753" s="1" t="s">
        <v>74</v>
      </c>
      <c r="BR2753" s="1" t="s">
        <v>98</v>
      </c>
      <c r="BS2753" s="1" t="s">
        <v>43751</v>
      </c>
      <c r="BT2753" s="1" t="str">
        <f>HYPERLINK("https%3A%2F%2Fwww.webofscience.com%2Fwos%2Fwoscc%2Ffull-record%2FWOS:000489694700120","View Full Record in Web of Science")</f>
        <v>View Full Record in Web of Science</v>
      </c>
      <c r="BU2753" s="1"/>
      <c r="BV2753" s="1"/>
    </row>
    <row r="2754" spans="1:74">
      <c r="A2754" s="1" t="s">
        <v>72</v>
      </c>
      <c r="B2754" s="1" t="s">
        <v>43752</v>
      </c>
      <c r="C2754" s="1" t="s">
        <v>74</v>
      </c>
      <c r="D2754" s="1" t="s">
        <v>74</v>
      </c>
      <c r="E2754" s="1" t="s">
        <v>74</v>
      </c>
      <c r="F2754" s="1" t="s">
        <v>43752</v>
      </c>
      <c r="G2754" s="1" t="s">
        <v>74</v>
      </c>
      <c r="H2754" s="1" t="s">
        <v>74</v>
      </c>
      <c r="I2754" s="1" t="s">
        <v>43753</v>
      </c>
      <c r="J2754" s="1" t="s">
        <v>27473</v>
      </c>
      <c r="K2754" s="1" t="s">
        <v>74</v>
      </c>
      <c r="L2754" s="1" t="s">
        <v>74</v>
      </c>
      <c r="M2754" s="1" t="s">
        <v>78</v>
      </c>
      <c r="N2754" s="1" t="s">
        <v>79</v>
      </c>
      <c r="O2754" s="1" t="s">
        <v>74</v>
      </c>
      <c r="P2754" s="1" t="s">
        <v>74</v>
      </c>
      <c r="Q2754" s="1" t="s">
        <v>74</v>
      </c>
      <c r="R2754" s="1" t="s">
        <v>74</v>
      </c>
      <c r="S2754" s="1" t="s">
        <v>74</v>
      </c>
      <c r="T2754" s="1" t="s">
        <v>43754</v>
      </c>
      <c r="U2754" s="1" t="s">
        <v>43755</v>
      </c>
      <c r="V2754" s="1" t="s">
        <v>43756</v>
      </c>
      <c r="W2754" s="1" t="s">
        <v>43757</v>
      </c>
      <c r="X2754" s="1" t="s">
        <v>3435</v>
      </c>
      <c r="Y2754" s="1" t="s">
        <v>43758</v>
      </c>
      <c r="Z2754" s="1" t="s">
        <v>43759</v>
      </c>
      <c r="AA2754" s="1" t="s">
        <v>43760</v>
      </c>
      <c r="AB2754" s="1" t="s">
        <v>43761</v>
      </c>
      <c r="AC2754" s="1" t="s">
        <v>74</v>
      </c>
      <c r="AD2754" s="1" t="s">
        <v>74</v>
      </c>
      <c r="AE2754" s="1" t="s">
        <v>74</v>
      </c>
      <c r="AF2754" s="1" t="s">
        <v>74</v>
      </c>
      <c r="AG2754" s="1">
        <v>26</v>
      </c>
      <c r="AH2754" s="1">
        <v>29</v>
      </c>
      <c r="AI2754" s="1">
        <v>32</v>
      </c>
      <c r="AJ2754" s="1">
        <v>1</v>
      </c>
      <c r="AK2754" s="1">
        <v>13</v>
      </c>
      <c r="AL2754" s="1" t="s">
        <v>919</v>
      </c>
      <c r="AM2754" s="1" t="s">
        <v>651</v>
      </c>
      <c r="AN2754" s="1" t="s">
        <v>920</v>
      </c>
      <c r="AO2754" s="1" t="s">
        <v>27481</v>
      </c>
      <c r="AP2754" s="1" t="s">
        <v>27482</v>
      </c>
      <c r="AQ2754" s="1" t="s">
        <v>74</v>
      </c>
      <c r="AR2754" s="1" t="s">
        <v>27473</v>
      </c>
      <c r="AS2754" s="1" t="s">
        <v>27483</v>
      </c>
      <c r="AT2754" s="1" t="s">
        <v>13998</v>
      </c>
      <c r="AU2754" s="1">
        <v>2005</v>
      </c>
      <c r="AV2754" s="1">
        <v>66</v>
      </c>
      <c r="AW2754" s="1">
        <v>3</v>
      </c>
      <c r="AX2754" s="1" t="s">
        <v>74</v>
      </c>
      <c r="AY2754" s="1" t="s">
        <v>74</v>
      </c>
      <c r="AZ2754" s="1" t="s">
        <v>74</v>
      </c>
      <c r="BA2754" s="1" t="s">
        <v>74</v>
      </c>
      <c r="BB2754" s="1">
        <v>683</v>
      </c>
      <c r="BC2754" s="1">
        <v>690</v>
      </c>
      <c r="BD2754" s="1" t="s">
        <v>74</v>
      </c>
      <c r="BE2754" s="1" t="s">
        <v>43762</v>
      </c>
      <c r="BF2754" s="1" t="str">
        <f>HYPERLINK("http://dx.doi.org/10.1016/j.talanta.2004.12.014","http://dx.doi.org/10.1016/j.talanta.2004.12.014")</f>
        <v>http://dx.doi.org/10.1016/j.talanta.2004.12.014</v>
      </c>
      <c r="BG2754" s="1" t="s">
        <v>74</v>
      </c>
      <c r="BH2754" s="1" t="s">
        <v>74</v>
      </c>
      <c r="BI2754" s="1">
        <v>8</v>
      </c>
      <c r="BJ2754" s="1" t="s">
        <v>1196</v>
      </c>
      <c r="BK2754" s="1" t="s">
        <v>96</v>
      </c>
      <c r="BL2754" s="1" t="s">
        <v>1197</v>
      </c>
      <c r="BM2754" s="1" t="s">
        <v>43763</v>
      </c>
      <c r="BN2754" s="1">
        <v>18970039</v>
      </c>
      <c r="BO2754" s="1" t="s">
        <v>74</v>
      </c>
      <c r="BP2754" s="1" t="s">
        <v>74</v>
      </c>
      <c r="BQ2754" s="1" t="s">
        <v>74</v>
      </c>
      <c r="BR2754" s="1" t="s">
        <v>98</v>
      </c>
      <c r="BS2754" s="1" t="s">
        <v>43764</v>
      </c>
      <c r="BT2754" s="1" t="str">
        <f>HYPERLINK("https%3A%2F%2Fwww.webofscience.com%2Fwos%2Fwoscc%2Ffull-record%2FWOS:000229812200023","View Full Record in Web of Science")</f>
        <v>View Full Record in Web of Science</v>
      </c>
      <c r="BU2754" s="1"/>
      <c r="BV2754" s="1"/>
    </row>
    <row r="2755" spans="1:74">
      <c r="A2755" s="1" t="s">
        <v>72</v>
      </c>
      <c r="B2755" s="1" t="s">
        <v>43765</v>
      </c>
      <c r="C2755" s="1" t="s">
        <v>74</v>
      </c>
      <c r="D2755" s="1" t="s">
        <v>74</v>
      </c>
      <c r="E2755" s="1" t="s">
        <v>74</v>
      </c>
      <c r="F2755" s="1" t="s">
        <v>43766</v>
      </c>
      <c r="G2755" s="1" t="s">
        <v>74</v>
      </c>
      <c r="H2755" s="1" t="s">
        <v>74</v>
      </c>
      <c r="I2755" s="1" t="s">
        <v>43767</v>
      </c>
      <c r="J2755" s="1" t="s">
        <v>232</v>
      </c>
      <c r="K2755" s="1" t="s">
        <v>74</v>
      </c>
      <c r="L2755" s="1" t="s">
        <v>74</v>
      </c>
      <c r="M2755" s="1" t="s">
        <v>78</v>
      </c>
      <c r="N2755" s="1" t="s">
        <v>79</v>
      </c>
      <c r="O2755" s="1" t="s">
        <v>74</v>
      </c>
      <c r="P2755" s="1" t="s">
        <v>74</v>
      </c>
      <c r="Q2755" s="1" t="s">
        <v>74</v>
      </c>
      <c r="R2755" s="1" t="s">
        <v>74</v>
      </c>
      <c r="S2755" s="1" t="s">
        <v>74</v>
      </c>
      <c r="T2755" s="1" t="s">
        <v>43768</v>
      </c>
      <c r="U2755" s="1" t="s">
        <v>43769</v>
      </c>
      <c r="V2755" s="1" t="s">
        <v>43770</v>
      </c>
      <c r="W2755" s="1" t="s">
        <v>43771</v>
      </c>
      <c r="X2755" s="1" t="s">
        <v>74</v>
      </c>
      <c r="Y2755" s="1" t="s">
        <v>43772</v>
      </c>
      <c r="Z2755" s="1" t="s">
        <v>43773</v>
      </c>
      <c r="AA2755" s="1" t="s">
        <v>34975</v>
      </c>
      <c r="AB2755" s="1" t="s">
        <v>43774</v>
      </c>
      <c r="AC2755" s="1" t="s">
        <v>74</v>
      </c>
      <c r="AD2755" s="1" t="s">
        <v>74</v>
      </c>
      <c r="AE2755" s="1" t="s">
        <v>74</v>
      </c>
      <c r="AF2755" s="1" t="s">
        <v>74</v>
      </c>
      <c r="AG2755" s="1">
        <v>173</v>
      </c>
      <c r="AH2755" s="1">
        <v>3</v>
      </c>
      <c r="AI2755" s="1">
        <v>3</v>
      </c>
      <c r="AJ2755" s="1">
        <v>4</v>
      </c>
      <c r="AK2755" s="1">
        <v>6</v>
      </c>
      <c r="AL2755" s="1" t="s">
        <v>136</v>
      </c>
      <c r="AM2755" s="1" t="s">
        <v>137</v>
      </c>
      <c r="AN2755" s="1" t="s">
        <v>138</v>
      </c>
      <c r="AO2755" s="1" t="s">
        <v>240</v>
      </c>
      <c r="AP2755" s="1" t="s">
        <v>241</v>
      </c>
      <c r="AQ2755" s="1" t="s">
        <v>74</v>
      </c>
      <c r="AR2755" s="1" t="s">
        <v>242</v>
      </c>
      <c r="AS2755" s="1" t="s">
        <v>243</v>
      </c>
      <c r="AT2755" s="1" t="s">
        <v>305</v>
      </c>
      <c r="AU2755" s="1">
        <v>2023</v>
      </c>
      <c r="AV2755" s="1">
        <v>194</v>
      </c>
      <c r="AW2755" s="1" t="s">
        <v>74</v>
      </c>
      <c r="AX2755" s="1" t="s">
        <v>13570</v>
      </c>
      <c r="AY2755" s="1" t="s">
        <v>74</v>
      </c>
      <c r="AZ2755" s="1" t="s">
        <v>74</v>
      </c>
      <c r="BA2755" s="1" t="s">
        <v>74</v>
      </c>
      <c r="BB2755" s="1" t="s">
        <v>74</v>
      </c>
      <c r="BC2755" s="1" t="s">
        <v>74</v>
      </c>
      <c r="BD2755" s="1">
        <v>115202</v>
      </c>
      <c r="BE2755" s="1" t="s">
        <v>43775</v>
      </c>
      <c r="BF2755" s="1" t="str">
        <f>HYPERLINK("http://dx.doi.org/10.1016/j.marpolbul.2023.115202","http://dx.doi.org/10.1016/j.marpolbul.2023.115202")</f>
        <v>http://dx.doi.org/10.1016/j.marpolbul.2023.115202</v>
      </c>
      <c r="BG2755" s="1" t="s">
        <v>74</v>
      </c>
      <c r="BH2755" s="1" t="s">
        <v>6411</v>
      </c>
      <c r="BI2755" s="1">
        <v>15</v>
      </c>
      <c r="BJ2755" s="1" t="s">
        <v>247</v>
      </c>
      <c r="BK2755" s="1" t="s">
        <v>96</v>
      </c>
      <c r="BL2755" s="1" t="s">
        <v>248</v>
      </c>
      <c r="BM2755" s="1" t="s">
        <v>43776</v>
      </c>
      <c r="BN2755" s="1">
        <v>37595455</v>
      </c>
      <c r="BO2755" s="1" t="s">
        <v>370</v>
      </c>
      <c r="BP2755" s="1" t="s">
        <v>74</v>
      </c>
      <c r="BQ2755" s="1" t="s">
        <v>74</v>
      </c>
      <c r="BR2755" s="1" t="s">
        <v>98</v>
      </c>
      <c r="BS2755" s="1" t="s">
        <v>43777</v>
      </c>
      <c r="BT2755" s="1" t="str">
        <f>HYPERLINK("https%3A%2F%2Fwww.webofscience.com%2Fwos%2Fwoscc%2Ffull-record%2FWOS:001063019200001","View Full Record in Web of Science")</f>
        <v>View Full Record in Web of Science</v>
      </c>
      <c r="BU2755" s="1"/>
      <c r="BV2755" s="1"/>
    </row>
    <row r="2756" spans="1:74">
      <c r="A2756" s="1" t="s">
        <v>72</v>
      </c>
      <c r="B2756" s="1" t="s">
        <v>43778</v>
      </c>
      <c r="C2756" s="1" t="s">
        <v>74</v>
      </c>
      <c r="D2756" s="1" t="s">
        <v>74</v>
      </c>
      <c r="E2756" s="1" t="s">
        <v>74</v>
      </c>
      <c r="F2756" s="1" t="s">
        <v>43779</v>
      </c>
      <c r="G2756" s="1" t="s">
        <v>74</v>
      </c>
      <c r="H2756" s="1" t="s">
        <v>74</v>
      </c>
      <c r="I2756" s="1" t="s">
        <v>43780</v>
      </c>
      <c r="J2756" s="1" t="s">
        <v>13382</v>
      </c>
      <c r="K2756" s="1" t="s">
        <v>74</v>
      </c>
      <c r="L2756" s="1" t="s">
        <v>74</v>
      </c>
      <c r="M2756" s="1" t="s">
        <v>78</v>
      </c>
      <c r="N2756" s="1" t="s">
        <v>79</v>
      </c>
      <c r="O2756" s="1" t="s">
        <v>74</v>
      </c>
      <c r="P2756" s="1" t="s">
        <v>74</v>
      </c>
      <c r="Q2756" s="1" t="s">
        <v>74</v>
      </c>
      <c r="R2756" s="1" t="s">
        <v>74</v>
      </c>
      <c r="S2756" s="1" t="s">
        <v>74</v>
      </c>
      <c r="T2756" s="1" t="s">
        <v>43781</v>
      </c>
      <c r="U2756" s="1" t="s">
        <v>43782</v>
      </c>
      <c r="V2756" s="1" t="s">
        <v>43783</v>
      </c>
      <c r="W2756" s="1" t="s">
        <v>43784</v>
      </c>
      <c r="X2756" s="1" t="s">
        <v>43785</v>
      </c>
      <c r="Y2756" s="1" t="s">
        <v>43786</v>
      </c>
      <c r="Z2756" s="1" t="s">
        <v>43787</v>
      </c>
      <c r="AA2756" s="1" t="s">
        <v>43788</v>
      </c>
      <c r="AB2756" s="1" t="s">
        <v>43789</v>
      </c>
      <c r="AC2756" s="1" t="s">
        <v>43790</v>
      </c>
      <c r="AD2756" s="1" t="s">
        <v>43790</v>
      </c>
      <c r="AE2756" s="1" t="s">
        <v>43791</v>
      </c>
      <c r="AF2756" s="1" t="s">
        <v>74</v>
      </c>
      <c r="AG2756" s="1">
        <v>55</v>
      </c>
      <c r="AH2756" s="1">
        <v>6</v>
      </c>
      <c r="AI2756" s="1">
        <v>6</v>
      </c>
      <c r="AJ2756" s="1">
        <v>0</v>
      </c>
      <c r="AK2756" s="1">
        <v>6</v>
      </c>
      <c r="AL2756" s="1" t="s">
        <v>13392</v>
      </c>
      <c r="AM2756" s="1" t="s">
        <v>286</v>
      </c>
      <c r="AN2756" s="1" t="s">
        <v>2884</v>
      </c>
      <c r="AO2756" s="1" t="s">
        <v>13393</v>
      </c>
      <c r="AP2756" s="1" t="s">
        <v>13394</v>
      </c>
      <c r="AQ2756" s="1" t="s">
        <v>74</v>
      </c>
      <c r="AR2756" s="1" t="s">
        <v>13395</v>
      </c>
      <c r="AS2756" s="1" t="s">
        <v>13396</v>
      </c>
      <c r="AT2756" s="1" t="s">
        <v>43792</v>
      </c>
      <c r="AU2756" s="1">
        <v>2020</v>
      </c>
      <c r="AV2756" s="1">
        <v>32</v>
      </c>
      <c r="AW2756" s="1">
        <v>1</v>
      </c>
      <c r="AX2756" s="1" t="s">
        <v>74</v>
      </c>
      <c r="AY2756" s="1" t="s">
        <v>74</v>
      </c>
      <c r="AZ2756" s="1" t="s">
        <v>74</v>
      </c>
      <c r="BA2756" s="1" t="s">
        <v>74</v>
      </c>
      <c r="BB2756" s="1" t="s">
        <v>74</v>
      </c>
      <c r="BC2756" s="1" t="s">
        <v>74</v>
      </c>
      <c r="BD2756" s="1">
        <v>3</v>
      </c>
      <c r="BE2756" s="1" t="s">
        <v>43793</v>
      </c>
      <c r="BF2756" s="1" t="str">
        <f>HYPERLINK("http://dx.doi.org/10.1186/s12302-019-0285-y","http://dx.doi.org/10.1186/s12302-019-0285-y")</f>
        <v>http://dx.doi.org/10.1186/s12302-019-0285-y</v>
      </c>
      <c r="BG2756" s="1" t="s">
        <v>74</v>
      </c>
      <c r="BH2756" s="1" t="s">
        <v>74</v>
      </c>
      <c r="BI2756" s="1">
        <v>15</v>
      </c>
      <c r="BJ2756" s="1" t="s">
        <v>144</v>
      </c>
      <c r="BK2756" s="1" t="s">
        <v>96</v>
      </c>
      <c r="BL2756" s="1" t="s">
        <v>145</v>
      </c>
      <c r="BM2756" s="1" t="s">
        <v>43794</v>
      </c>
      <c r="BN2756" s="1" t="s">
        <v>74</v>
      </c>
      <c r="BO2756" s="1" t="s">
        <v>873</v>
      </c>
      <c r="BP2756" s="1" t="s">
        <v>74</v>
      </c>
      <c r="BQ2756" s="1" t="s">
        <v>74</v>
      </c>
      <c r="BR2756" s="1" t="s">
        <v>98</v>
      </c>
      <c r="BS2756" s="1" t="s">
        <v>43795</v>
      </c>
      <c r="BT2756" s="1" t="str">
        <f>HYPERLINK("https%3A%2F%2Fwww.webofscience.com%2Fwos%2Fwoscc%2Ffull-record%2FWOS:000513662900002","View Full Record in Web of Science")</f>
        <v>View Full Record in Web of Science</v>
      </c>
      <c r="BU2756" s="1"/>
      <c r="BV2756" s="1"/>
    </row>
    <row r="2757" spans="1:74">
      <c r="A2757" s="1" t="s">
        <v>72</v>
      </c>
      <c r="B2757" s="1" t="s">
        <v>43796</v>
      </c>
      <c r="C2757" s="1" t="s">
        <v>74</v>
      </c>
      <c r="D2757" s="1" t="s">
        <v>74</v>
      </c>
      <c r="E2757" s="1" t="s">
        <v>74</v>
      </c>
      <c r="F2757" s="1" t="s">
        <v>43797</v>
      </c>
      <c r="G2757" s="1" t="s">
        <v>74</v>
      </c>
      <c r="H2757" s="1" t="s">
        <v>74</v>
      </c>
      <c r="I2757" s="1" t="s">
        <v>43798</v>
      </c>
      <c r="J2757" s="1" t="s">
        <v>1275</v>
      </c>
      <c r="K2757" s="1" t="s">
        <v>74</v>
      </c>
      <c r="L2757" s="1" t="s">
        <v>74</v>
      </c>
      <c r="M2757" s="1" t="s">
        <v>78</v>
      </c>
      <c r="N2757" s="1" t="s">
        <v>79</v>
      </c>
      <c r="O2757" s="1" t="s">
        <v>74</v>
      </c>
      <c r="P2757" s="1" t="s">
        <v>74</v>
      </c>
      <c r="Q2757" s="1" t="s">
        <v>74</v>
      </c>
      <c r="R2757" s="1" t="s">
        <v>74</v>
      </c>
      <c r="S2757" s="1" t="s">
        <v>74</v>
      </c>
      <c r="T2757" s="1" t="s">
        <v>43799</v>
      </c>
      <c r="U2757" s="1" t="s">
        <v>43800</v>
      </c>
      <c r="V2757" s="1" t="s">
        <v>43801</v>
      </c>
      <c r="W2757" s="1" t="s">
        <v>43802</v>
      </c>
      <c r="X2757" s="1" t="s">
        <v>43803</v>
      </c>
      <c r="Y2757" s="1" t="s">
        <v>43804</v>
      </c>
      <c r="Z2757" s="1" t="s">
        <v>43805</v>
      </c>
      <c r="AA2757" s="1" t="s">
        <v>43806</v>
      </c>
      <c r="AB2757" s="1" t="s">
        <v>43807</v>
      </c>
      <c r="AC2757" s="1" t="s">
        <v>43808</v>
      </c>
      <c r="AD2757" s="1" t="s">
        <v>43809</v>
      </c>
      <c r="AE2757" s="1" t="s">
        <v>43810</v>
      </c>
      <c r="AF2757" s="1" t="s">
        <v>74</v>
      </c>
      <c r="AG2757" s="1">
        <v>119</v>
      </c>
      <c r="AH2757" s="1">
        <v>1</v>
      </c>
      <c r="AI2757" s="1">
        <v>1</v>
      </c>
      <c r="AJ2757" s="1">
        <v>2</v>
      </c>
      <c r="AK2757" s="1">
        <v>7</v>
      </c>
      <c r="AL2757" s="1" t="s">
        <v>650</v>
      </c>
      <c r="AM2757" s="1" t="s">
        <v>651</v>
      </c>
      <c r="AN2757" s="1" t="s">
        <v>652</v>
      </c>
      <c r="AO2757" s="1" t="s">
        <v>1287</v>
      </c>
      <c r="AP2757" s="1" t="s">
        <v>74</v>
      </c>
      <c r="AQ2757" s="1" t="s">
        <v>74</v>
      </c>
      <c r="AR2757" s="1" t="s">
        <v>1288</v>
      </c>
      <c r="AS2757" s="1" t="s">
        <v>1289</v>
      </c>
      <c r="AT2757" s="1" t="s">
        <v>13897</v>
      </c>
      <c r="AU2757" s="1">
        <v>2023</v>
      </c>
      <c r="AV2757" s="1">
        <v>68</v>
      </c>
      <c r="AW2757" s="1" t="s">
        <v>74</v>
      </c>
      <c r="AX2757" s="1" t="s">
        <v>74</v>
      </c>
      <c r="AY2757" s="1" t="s">
        <v>74</v>
      </c>
      <c r="AZ2757" s="1" t="s">
        <v>74</v>
      </c>
      <c r="BA2757" s="1" t="s">
        <v>74</v>
      </c>
      <c r="BB2757" s="1" t="s">
        <v>74</v>
      </c>
      <c r="BC2757" s="1" t="s">
        <v>74</v>
      </c>
      <c r="BD2757" s="1">
        <v>103277</v>
      </c>
      <c r="BE2757" s="1" t="s">
        <v>43811</v>
      </c>
      <c r="BF2757" s="1" t="str">
        <f>HYPERLINK("http://dx.doi.org/10.1016/j.rsma.2023.103277","http://dx.doi.org/10.1016/j.rsma.2023.103277")</f>
        <v>http://dx.doi.org/10.1016/j.rsma.2023.103277</v>
      </c>
      <c r="BG2757" s="1" t="s">
        <v>74</v>
      </c>
      <c r="BH2757" s="1" t="s">
        <v>7992</v>
      </c>
      <c r="BI2757" s="1">
        <v>15</v>
      </c>
      <c r="BJ2757" s="1" t="s">
        <v>1292</v>
      </c>
      <c r="BK2757" s="1" t="s">
        <v>96</v>
      </c>
      <c r="BL2757" s="1" t="s">
        <v>248</v>
      </c>
      <c r="BM2757" s="1" t="s">
        <v>43812</v>
      </c>
      <c r="BN2757" s="1" t="s">
        <v>74</v>
      </c>
      <c r="BO2757" s="1" t="s">
        <v>74</v>
      </c>
      <c r="BP2757" s="1" t="s">
        <v>74</v>
      </c>
      <c r="BQ2757" s="1" t="s">
        <v>74</v>
      </c>
      <c r="BR2757" s="1" t="s">
        <v>98</v>
      </c>
      <c r="BS2757" s="1" t="s">
        <v>43813</v>
      </c>
      <c r="BT2757" s="1" t="str">
        <f>HYPERLINK("https%3A%2F%2Fwww.webofscience.com%2Fwos%2Fwoscc%2Ffull-record%2FWOS:001116836800001","View Full Record in Web of Science")</f>
        <v>View Full Record in Web of Science</v>
      </c>
      <c r="BU2757" s="1"/>
      <c r="BV2757" s="1"/>
    </row>
    <row r="2758" spans="1:74">
      <c r="A2758" s="1" t="s">
        <v>72</v>
      </c>
      <c r="B2758" s="1" t="s">
        <v>43814</v>
      </c>
      <c r="C2758" s="1" t="s">
        <v>74</v>
      </c>
      <c r="D2758" s="1" t="s">
        <v>74</v>
      </c>
      <c r="E2758" s="1" t="s">
        <v>74</v>
      </c>
      <c r="F2758" s="1" t="s">
        <v>43815</v>
      </c>
      <c r="G2758" s="1" t="s">
        <v>74</v>
      </c>
      <c r="H2758" s="1" t="s">
        <v>74</v>
      </c>
      <c r="I2758" s="1" t="s">
        <v>43816</v>
      </c>
      <c r="J2758" s="1" t="s">
        <v>998</v>
      </c>
      <c r="K2758" s="1" t="s">
        <v>74</v>
      </c>
      <c r="L2758" s="1" t="s">
        <v>74</v>
      </c>
      <c r="M2758" s="1" t="s">
        <v>78</v>
      </c>
      <c r="N2758" s="1" t="s">
        <v>79</v>
      </c>
      <c r="O2758" s="1" t="s">
        <v>74</v>
      </c>
      <c r="P2758" s="1" t="s">
        <v>74</v>
      </c>
      <c r="Q2758" s="1" t="s">
        <v>74</v>
      </c>
      <c r="R2758" s="1" t="s">
        <v>74</v>
      </c>
      <c r="S2758" s="1" t="s">
        <v>74</v>
      </c>
      <c r="T2758" s="1" t="s">
        <v>74</v>
      </c>
      <c r="U2758" s="1" t="s">
        <v>43817</v>
      </c>
      <c r="V2758" s="1" t="s">
        <v>43818</v>
      </c>
      <c r="W2758" s="1" t="s">
        <v>43819</v>
      </c>
      <c r="X2758" s="1" t="s">
        <v>43820</v>
      </c>
      <c r="Y2758" s="1" t="s">
        <v>43821</v>
      </c>
      <c r="Z2758" s="1" t="s">
        <v>43822</v>
      </c>
      <c r="AA2758" s="1" t="s">
        <v>43823</v>
      </c>
      <c r="AB2758" s="1" t="s">
        <v>43824</v>
      </c>
      <c r="AC2758" s="1" t="s">
        <v>43825</v>
      </c>
      <c r="AD2758" s="1" t="s">
        <v>43826</v>
      </c>
      <c r="AE2758" s="1" t="s">
        <v>43827</v>
      </c>
      <c r="AF2758" s="1" t="s">
        <v>74</v>
      </c>
      <c r="AG2758" s="1">
        <v>56</v>
      </c>
      <c r="AH2758" s="1">
        <v>23</v>
      </c>
      <c r="AI2758" s="1">
        <v>32</v>
      </c>
      <c r="AJ2758" s="1">
        <v>1</v>
      </c>
      <c r="AK2758" s="1">
        <v>28</v>
      </c>
      <c r="AL2758" s="1" t="s">
        <v>112</v>
      </c>
      <c r="AM2758" s="1" t="s">
        <v>113</v>
      </c>
      <c r="AN2758" s="1" t="s">
        <v>114</v>
      </c>
      <c r="AO2758" s="1" t="s">
        <v>1009</v>
      </c>
      <c r="AP2758" s="1" t="s">
        <v>5996</v>
      </c>
      <c r="AQ2758" s="1" t="s">
        <v>74</v>
      </c>
      <c r="AR2758" s="1" t="s">
        <v>1010</v>
      </c>
      <c r="AS2758" s="1" t="s">
        <v>1011</v>
      </c>
      <c r="AT2758" s="1" t="s">
        <v>1470</v>
      </c>
      <c r="AU2758" s="1">
        <v>2013</v>
      </c>
      <c r="AV2758" s="1">
        <v>64</v>
      </c>
      <c r="AW2758" s="1">
        <v>1</v>
      </c>
      <c r="AX2758" s="1" t="s">
        <v>74</v>
      </c>
      <c r="AY2758" s="1" t="s">
        <v>74</v>
      </c>
      <c r="AZ2758" s="1" t="s">
        <v>74</v>
      </c>
      <c r="BA2758" s="1" t="s">
        <v>74</v>
      </c>
      <c r="BB2758" s="1">
        <v>97</v>
      </c>
      <c r="BC2758" s="1">
        <v>109</v>
      </c>
      <c r="BD2758" s="1" t="s">
        <v>74</v>
      </c>
      <c r="BE2758" s="1" t="s">
        <v>43828</v>
      </c>
      <c r="BF2758" s="1" t="str">
        <f>HYPERLINK("http://dx.doi.org/10.1007/s00244-012-9812-1","http://dx.doi.org/10.1007/s00244-012-9812-1")</f>
        <v>http://dx.doi.org/10.1007/s00244-012-9812-1</v>
      </c>
      <c r="BG2758" s="1" t="s">
        <v>74</v>
      </c>
      <c r="BH2758" s="1" t="s">
        <v>74</v>
      </c>
      <c r="BI2758" s="1">
        <v>13</v>
      </c>
      <c r="BJ2758" s="1" t="s">
        <v>121</v>
      </c>
      <c r="BK2758" s="1" t="s">
        <v>96</v>
      </c>
      <c r="BL2758" s="1" t="s">
        <v>122</v>
      </c>
      <c r="BM2758" s="1" t="s">
        <v>43829</v>
      </c>
      <c r="BN2758" s="1">
        <v>23052360</v>
      </c>
      <c r="BO2758" s="1" t="s">
        <v>74</v>
      </c>
      <c r="BP2758" s="1" t="s">
        <v>74</v>
      </c>
      <c r="BQ2758" s="1" t="s">
        <v>74</v>
      </c>
      <c r="BR2758" s="1" t="s">
        <v>98</v>
      </c>
      <c r="BS2758" s="1" t="s">
        <v>43830</v>
      </c>
      <c r="BT2758" s="1" t="str">
        <f>HYPERLINK("https%3A%2F%2Fwww.webofscience.com%2Fwos%2Fwoscc%2Ffull-record%2FWOS:000312772000008","View Full Record in Web of Science")</f>
        <v>View Full Record in Web of Science</v>
      </c>
      <c r="BU2758" s="1"/>
      <c r="BV2758" s="1"/>
    </row>
    <row r="2759" spans="1:74">
      <c r="A2759" s="1" t="s">
        <v>72</v>
      </c>
      <c r="B2759" s="1" t="s">
        <v>43831</v>
      </c>
      <c r="C2759" s="1" t="s">
        <v>74</v>
      </c>
      <c r="D2759" s="1" t="s">
        <v>74</v>
      </c>
      <c r="E2759" s="1" t="s">
        <v>74</v>
      </c>
      <c r="F2759" s="1" t="s">
        <v>43831</v>
      </c>
      <c r="G2759" s="1" t="s">
        <v>74</v>
      </c>
      <c r="H2759" s="1" t="s">
        <v>74</v>
      </c>
      <c r="I2759" s="1" t="s">
        <v>43832</v>
      </c>
      <c r="J2759" s="1" t="s">
        <v>232</v>
      </c>
      <c r="K2759" s="1" t="s">
        <v>74</v>
      </c>
      <c r="L2759" s="1" t="s">
        <v>74</v>
      </c>
      <c r="M2759" s="1" t="s">
        <v>78</v>
      </c>
      <c r="N2759" s="1" t="s">
        <v>79</v>
      </c>
      <c r="O2759" s="1" t="s">
        <v>74</v>
      </c>
      <c r="P2759" s="1" t="s">
        <v>74</v>
      </c>
      <c r="Q2759" s="1" t="s">
        <v>74</v>
      </c>
      <c r="R2759" s="1" t="s">
        <v>74</v>
      </c>
      <c r="S2759" s="1" t="s">
        <v>74</v>
      </c>
      <c r="T2759" s="1" t="s">
        <v>43833</v>
      </c>
      <c r="U2759" s="1" t="s">
        <v>43834</v>
      </c>
      <c r="V2759" s="1" t="s">
        <v>43835</v>
      </c>
      <c r="W2759" s="1" t="s">
        <v>43836</v>
      </c>
      <c r="X2759" s="1" t="s">
        <v>43837</v>
      </c>
      <c r="Y2759" s="1" t="s">
        <v>43838</v>
      </c>
      <c r="Z2759" s="1" t="s">
        <v>43839</v>
      </c>
      <c r="AA2759" s="1" t="s">
        <v>43840</v>
      </c>
      <c r="AB2759" s="1" t="s">
        <v>74</v>
      </c>
      <c r="AC2759" s="1" t="s">
        <v>74</v>
      </c>
      <c r="AD2759" s="1" t="s">
        <v>74</v>
      </c>
      <c r="AE2759" s="1" t="s">
        <v>74</v>
      </c>
      <c r="AF2759" s="1" t="s">
        <v>74</v>
      </c>
      <c r="AG2759" s="1">
        <v>28</v>
      </c>
      <c r="AH2759" s="1">
        <v>11</v>
      </c>
      <c r="AI2759" s="1">
        <v>11</v>
      </c>
      <c r="AJ2759" s="1">
        <v>0</v>
      </c>
      <c r="AK2759" s="1">
        <v>15</v>
      </c>
      <c r="AL2759" s="1" t="s">
        <v>136</v>
      </c>
      <c r="AM2759" s="1" t="s">
        <v>137</v>
      </c>
      <c r="AN2759" s="1" t="s">
        <v>138</v>
      </c>
      <c r="AO2759" s="1" t="s">
        <v>240</v>
      </c>
      <c r="AP2759" s="1" t="s">
        <v>241</v>
      </c>
      <c r="AQ2759" s="1" t="s">
        <v>74</v>
      </c>
      <c r="AR2759" s="1" t="s">
        <v>242</v>
      </c>
      <c r="AS2759" s="1" t="s">
        <v>243</v>
      </c>
      <c r="AT2759" s="1" t="s">
        <v>170</v>
      </c>
      <c r="AU2759" s="1">
        <v>2004</v>
      </c>
      <c r="AV2759" s="1">
        <v>48</v>
      </c>
      <c r="AW2759" s="1" t="s">
        <v>14188</v>
      </c>
      <c r="AX2759" s="1" t="s">
        <v>74</v>
      </c>
      <c r="AY2759" s="1" t="s">
        <v>74</v>
      </c>
      <c r="AZ2759" s="1" t="s">
        <v>74</v>
      </c>
      <c r="BA2759" s="1" t="s">
        <v>74</v>
      </c>
      <c r="BB2759" s="1">
        <v>873</v>
      </c>
      <c r="BC2759" s="1">
        <v>883</v>
      </c>
      <c r="BD2759" s="1" t="s">
        <v>74</v>
      </c>
      <c r="BE2759" s="1" t="s">
        <v>43841</v>
      </c>
      <c r="BF2759" s="1" t="str">
        <f>HYPERLINK("http://dx.doi.org/10.1016/j.marpolbul.2003.11.003","http://dx.doi.org/10.1016/j.marpolbul.2003.11.003")</f>
        <v>http://dx.doi.org/10.1016/j.marpolbul.2003.11.003</v>
      </c>
      <c r="BG2759" s="1" t="s">
        <v>74</v>
      </c>
      <c r="BH2759" s="1" t="s">
        <v>74</v>
      </c>
      <c r="BI2759" s="1">
        <v>11</v>
      </c>
      <c r="BJ2759" s="1" t="s">
        <v>247</v>
      </c>
      <c r="BK2759" s="1" t="s">
        <v>96</v>
      </c>
      <c r="BL2759" s="1" t="s">
        <v>248</v>
      </c>
      <c r="BM2759" s="1" t="s">
        <v>41372</v>
      </c>
      <c r="BN2759" s="1">
        <v>15111034</v>
      </c>
      <c r="BO2759" s="1" t="s">
        <v>74</v>
      </c>
      <c r="BP2759" s="1" t="s">
        <v>74</v>
      </c>
      <c r="BQ2759" s="1" t="s">
        <v>74</v>
      </c>
      <c r="BR2759" s="1" t="s">
        <v>98</v>
      </c>
      <c r="BS2759" s="1" t="s">
        <v>43842</v>
      </c>
      <c r="BT2759" s="1" t="str">
        <f>HYPERLINK("https%3A%2F%2Fwww.webofscience.com%2Fwos%2Fwoscc%2Ffull-record%2FWOS:000221395200017","View Full Record in Web of Science")</f>
        <v>View Full Record in Web of Science</v>
      </c>
      <c r="BU2759" s="1"/>
      <c r="BV2759" s="1"/>
    </row>
    <row r="2760" spans="1:74">
      <c r="A2760" s="1" t="s">
        <v>72</v>
      </c>
      <c r="B2760" s="1" t="s">
        <v>43843</v>
      </c>
      <c r="C2760" s="1" t="s">
        <v>74</v>
      </c>
      <c r="D2760" s="1" t="s">
        <v>74</v>
      </c>
      <c r="E2760" s="1" t="s">
        <v>74</v>
      </c>
      <c r="F2760" s="1" t="s">
        <v>43843</v>
      </c>
      <c r="G2760" s="1" t="s">
        <v>74</v>
      </c>
      <c r="H2760" s="1" t="s">
        <v>74</v>
      </c>
      <c r="I2760" s="1" t="s">
        <v>43844</v>
      </c>
      <c r="J2760" s="1" t="s">
        <v>641</v>
      </c>
      <c r="K2760" s="1" t="s">
        <v>74</v>
      </c>
      <c r="L2760" s="1" t="s">
        <v>74</v>
      </c>
      <c r="M2760" s="1" t="s">
        <v>78</v>
      </c>
      <c r="N2760" s="1" t="s">
        <v>79</v>
      </c>
      <c r="O2760" s="1" t="s">
        <v>74</v>
      </c>
      <c r="P2760" s="1" t="s">
        <v>74</v>
      </c>
      <c r="Q2760" s="1" t="s">
        <v>74</v>
      </c>
      <c r="R2760" s="1" t="s">
        <v>74</v>
      </c>
      <c r="S2760" s="1" t="s">
        <v>74</v>
      </c>
      <c r="T2760" s="1" t="s">
        <v>43845</v>
      </c>
      <c r="U2760" s="1" t="s">
        <v>43846</v>
      </c>
      <c r="V2760" s="1" t="s">
        <v>43847</v>
      </c>
      <c r="W2760" s="1" t="s">
        <v>43848</v>
      </c>
      <c r="X2760" s="1" t="s">
        <v>43849</v>
      </c>
      <c r="Y2760" s="1" t="s">
        <v>43850</v>
      </c>
      <c r="Z2760" s="1" t="s">
        <v>43851</v>
      </c>
      <c r="AA2760" s="1" t="s">
        <v>14454</v>
      </c>
      <c r="AB2760" s="1" t="s">
        <v>14455</v>
      </c>
      <c r="AC2760" s="1" t="s">
        <v>43852</v>
      </c>
      <c r="AD2760" s="1" t="s">
        <v>43853</v>
      </c>
      <c r="AE2760" s="1" t="s">
        <v>74</v>
      </c>
      <c r="AF2760" s="1" t="s">
        <v>74</v>
      </c>
      <c r="AG2760" s="1">
        <v>54</v>
      </c>
      <c r="AH2760" s="1">
        <v>16</v>
      </c>
      <c r="AI2760" s="1">
        <v>18</v>
      </c>
      <c r="AJ2760" s="1">
        <v>0</v>
      </c>
      <c r="AK2760" s="1">
        <v>7</v>
      </c>
      <c r="AL2760" s="1" t="s">
        <v>919</v>
      </c>
      <c r="AM2760" s="1" t="s">
        <v>651</v>
      </c>
      <c r="AN2760" s="1" t="s">
        <v>920</v>
      </c>
      <c r="AO2760" s="1" t="s">
        <v>653</v>
      </c>
      <c r="AP2760" s="1" t="s">
        <v>74</v>
      </c>
      <c r="AQ2760" s="1" t="s">
        <v>74</v>
      </c>
      <c r="AR2760" s="1" t="s">
        <v>655</v>
      </c>
      <c r="AS2760" s="1" t="s">
        <v>656</v>
      </c>
      <c r="AT2760" s="1" t="s">
        <v>32145</v>
      </c>
      <c r="AU2760" s="1">
        <v>2004</v>
      </c>
      <c r="AV2760" s="1">
        <v>67</v>
      </c>
      <c r="AW2760" s="1">
        <v>1</v>
      </c>
      <c r="AX2760" s="1" t="s">
        <v>74</v>
      </c>
      <c r="AY2760" s="1" t="s">
        <v>74</v>
      </c>
      <c r="AZ2760" s="1" t="s">
        <v>74</v>
      </c>
      <c r="BA2760" s="1" t="s">
        <v>74</v>
      </c>
      <c r="BB2760" s="1">
        <v>23</v>
      </c>
      <c r="BC2760" s="1">
        <v>32</v>
      </c>
      <c r="BD2760" s="1" t="s">
        <v>74</v>
      </c>
      <c r="BE2760" s="1" t="s">
        <v>43854</v>
      </c>
      <c r="BF2760" s="1" t="str">
        <f>HYPERLINK("http://dx.doi.org/10.1016/j.aquatox.2003.11.008","http://dx.doi.org/10.1016/j.aquatox.2003.11.008")</f>
        <v>http://dx.doi.org/10.1016/j.aquatox.2003.11.008</v>
      </c>
      <c r="BG2760" s="1" t="s">
        <v>74</v>
      </c>
      <c r="BH2760" s="1" t="s">
        <v>74</v>
      </c>
      <c r="BI2760" s="1">
        <v>10</v>
      </c>
      <c r="BJ2760" s="1" t="s">
        <v>659</v>
      </c>
      <c r="BK2760" s="1" t="s">
        <v>96</v>
      </c>
      <c r="BL2760" s="1" t="s">
        <v>659</v>
      </c>
      <c r="BM2760" s="1" t="s">
        <v>43855</v>
      </c>
      <c r="BN2760" s="1">
        <v>15019248</v>
      </c>
      <c r="BO2760" s="1" t="s">
        <v>74</v>
      </c>
      <c r="BP2760" s="1" t="s">
        <v>74</v>
      </c>
      <c r="BQ2760" s="1" t="s">
        <v>74</v>
      </c>
      <c r="BR2760" s="1" t="s">
        <v>98</v>
      </c>
      <c r="BS2760" s="1" t="s">
        <v>43856</v>
      </c>
      <c r="BT2760" s="1" t="str">
        <f>HYPERLINK("https%3A%2F%2Fwww.webofscience.com%2Fwos%2Fwoscc%2Ffull-record%2FWOS:000220264200003","View Full Record in Web of Science")</f>
        <v>View Full Record in Web of Science</v>
      </c>
      <c r="BU2760" s="1"/>
      <c r="BV2760" s="1"/>
    </row>
    <row r="2761" spans="1:74">
      <c r="A2761" s="1" t="s">
        <v>72</v>
      </c>
      <c r="B2761" s="1" t="s">
        <v>43857</v>
      </c>
      <c r="C2761" s="1" t="s">
        <v>74</v>
      </c>
      <c r="D2761" s="1" t="s">
        <v>74</v>
      </c>
      <c r="E2761" s="1" t="s">
        <v>74</v>
      </c>
      <c r="F2761" s="1" t="s">
        <v>43858</v>
      </c>
      <c r="G2761" s="1" t="s">
        <v>74</v>
      </c>
      <c r="H2761" s="1" t="s">
        <v>74</v>
      </c>
      <c r="I2761" s="1" t="s">
        <v>43859</v>
      </c>
      <c r="J2761" s="1" t="s">
        <v>1756</v>
      </c>
      <c r="K2761" s="1" t="s">
        <v>74</v>
      </c>
      <c r="L2761" s="1" t="s">
        <v>74</v>
      </c>
      <c r="M2761" s="1" t="s">
        <v>78</v>
      </c>
      <c r="N2761" s="1" t="s">
        <v>79</v>
      </c>
      <c r="O2761" s="1" t="s">
        <v>74</v>
      </c>
      <c r="P2761" s="1" t="s">
        <v>74</v>
      </c>
      <c r="Q2761" s="1" t="s">
        <v>74</v>
      </c>
      <c r="R2761" s="1" t="s">
        <v>74</v>
      </c>
      <c r="S2761" s="1" t="s">
        <v>74</v>
      </c>
      <c r="T2761" s="1" t="s">
        <v>43860</v>
      </c>
      <c r="U2761" s="1" t="s">
        <v>43861</v>
      </c>
      <c r="V2761" s="1" t="s">
        <v>43862</v>
      </c>
      <c r="W2761" s="1" t="s">
        <v>43863</v>
      </c>
      <c r="X2761" s="1" t="s">
        <v>28881</v>
      </c>
      <c r="Y2761" s="1" t="s">
        <v>43864</v>
      </c>
      <c r="Z2761" s="1" t="s">
        <v>43865</v>
      </c>
      <c r="AA2761" s="1" t="s">
        <v>41892</v>
      </c>
      <c r="AB2761" s="1" t="s">
        <v>43866</v>
      </c>
      <c r="AC2761" s="1" t="s">
        <v>43867</v>
      </c>
      <c r="AD2761" s="1" t="s">
        <v>43868</v>
      </c>
      <c r="AE2761" s="1" t="s">
        <v>43869</v>
      </c>
      <c r="AF2761" s="1" t="s">
        <v>74</v>
      </c>
      <c r="AG2761" s="1">
        <v>41</v>
      </c>
      <c r="AH2761" s="1">
        <v>5</v>
      </c>
      <c r="AI2761" s="1">
        <v>6</v>
      </c>
      <c r="AJ2761" s="1">
        <v>1</v>
      </c>
      <c r="AK2761" s="1">
        <v>31</v>
      </c>
      <c r="AL2761" s="1" t="s">
        <v>86</v>
      </c>
      <c r="AM2761" s="1" t="s">
        <v>87</v>
      </c>
      <c r="AN2761" s="1" t="s">
        <v>88</v>
      </c>
      <c r="AO2761" s="1" t="s">
        <v>1764</v>
      </c>
      <c r="AP2761" s="1" t="s">
        <v>1765</v>
      </c>
      <c r="AQ2761" s="1" t="s">
        <v>74</v>
      </c>
      <c r="AR2761" s="1" t="s">
        <v>1766</v>
      </c>
      <c r="AS2761" s="1" t="s">
        <v>1767</v>
      </c>
      <c r="AT2761" s="1" t="s">
        <v>119</v>
      </c>
      <c r="AU2761" s="1">
        <v>2018</v>
      </c>
      <c r="AV2761" s="1">
        <v>37</v>
      </c>
      <c r="AW2761" s="1">
        <v>8</v>
      </c>
      <c r="AX2761" s="1" t="s">
        <v>74</v>
      </c>
      <c r="AY2761" s="1" t="s">
        <v>74</v>
      </c>
      <c r="AZ2761" s="1" t="s">
        <v>74</v>
      </c>
      <c r="BA2761" s="1" t="s">
        <v>74</v>
      </c>
      <c r="BB2761" s="1">
        <v>2175</v>
      </c>
      <c r="BC2761" s="1">
        <v>2187</v>
      </c>
      <c r="BD2761" s="1" t="s">
        <v>74</v>
      </c>
      <c r="BE2761" s="1" t="s">
        <v>43870</v>
      </c>
      <c r="BF2761" s="1" t="str">
        <f>HYPERLINK("http://dx.doi.org/10.1002/etc.4175","http://dx.doi.org/10.1002/etc.4175")</f>
        <v>http://dx.doi.org/10.1002/etc.4175</v>
      </c>
      <c r="BG2761" s="1" t="s">
        <v>74</v>
      </c>
      <c r="BH2761" s="1" t="s">
        <v>74</v>
      </c>
      <c r="BI2761" s="1">
        <v>13</v>
      </c>
      <c r="BJ2761" s="1" t="s">
        <v>121</v>
      </c>
      <c r="BK2761" s="1" t="s">
        <v>96</v>
      </c>
      <c r="BL2761" s="1" t="s">
        <v>122</v>
      </c>
      <c r="BM2761" s="1" t="s">
        <v>43871</v>
      </c>
      <c r="BN2761" s="1">
        <v>29786863</v>
      </c>
      <c r="BO2761" s="1" t="s">
        <v>74</v>
      </c>
      <c r="BP2761" s="1" t="s">
        <v>74</v>
      </c>
      <c r="BQ2761" s="1" t="s">
        <v>74</v>
      </c>
      <c r="BR2761" s="1" t="s">
        <v>98</v>
      </c>
      <c r="BS2761" s="1" t="s">
        <v>43872</v>
      </c>
      <c r="BT2761" s="1" t="str">
        <f>HYPERLINK("https%3A%2F%2Fwww.webofscience.com%2Fwos%2Fwoscc%2Ffull-record%2FWOS:000439771200012","View Full Record in Web of Science")</f>
        <v>View Full Record in Web of Science</v>
      </c>
      <c r="BU2761" s="1"/>
      <c r="BV2761" s="1"/>
    </row>
    <row r="2762" spans="1:74">
      <c r="A2762" s="1" t="s">
        <v>72</v>
      </c>
      <c r="B2762" s="1" t="s">
        <v>43873</v>
      </c>
      <c r="C2762" s="1" t="s">
        <v>74</v>
      </c>
      <c r="D2762" s="1" t="s">
        <v>74</v>
      </c>
      <c r="E2762" s="1" t="s">
        <v>74</v>
      </c>
      <c r="F2762" s="1" t="s">
        <v>43873</v>
      </c>
      <c r="G2762" s="1" t="s">
        <v>74</v>
      </c>
      <c r="H2762" s="1" t="s">
        <v>74</v>
      </c>
      <c r="I2762" s="1" t="s">
        <v>43874</v>
      </c>
      <c r="J2762" s="1" t="s">
        <v>232</v>
      </c>
      <c r="K2762" s="1" t="s">
        <v>74</v>
      </c>
      <c r="L2762" s="1" t="s">
        <v>74</v>
      </c>
      <c r="M2762" s="1" t="s">
        <v>78</v>
      </c>
      <c r="N2762" s="1" t="s">
        <v>79</v>
      </c>
      <c r="O2762" s="1" t="s">
        <v>74</v>
      </c>
      <c r="P2762" s="1" t="s">
        <v>74</v>
      </c>
      <c r="Q2762" s="1" t="s">
        <v>74</v>
      </c>
      <c r="R2762" s="1" t="s">
        <v>74</v>
      </c>
      <c r="S2762" s="1" t="s">
        <v>74</v>
      </c>
      <c r="T2762" s="1" t="s">
        <v>74</v>
      </c>
      <c r="U2762" s="1" t="s">
        <v>43875</v>
      </c>
      <c r="V2762" s="1" t="s">
        <v>74</v>
      </c>
      <c r="W2762" s="1" t="s">
        <v>74</v>
      </c>
      <c r="X2762" s="1" t="s">
        <v>74</v>
      </c>
      <c r="Y2762" s="1" t="s">
        <v>43876</v>
      </c>
      <c r="Z2762" s="1" t="s">
        <v>74</v>
      </c>
      <c r="AA2762" s="1" t="s">
        <v>43877</v>
      </c>
      <c r="AB2762" s="1" t="s">
        <v>43878</v>
      </c>
      <c r="AC2762" s="1" t="s">
        <v>74</v>
      </c>
      <c r="AD2762" s="1" t="s">
        <v>74</v>
      </c>
      <c r="AE2762" s="1" t="s">
        <v>74</v>
      </c>
      <c r="AF2762" s="1" t="s">
        <v>74</v>
      </c>
      <c r="AG2762" s="1">
        <v>23</v>
      </c>
      <c r="AH2762" s="1">
        <v>133</v>
      </c>
      <c r="AI2762" s="1">
        <v>142</v>
      </c>
      <c r="AJ2762" s="1">
        <v>0</v>
      </c>
      <c r="AK2762" s="1">
        <v>20</v>
      </c>
      <c r="AL2762" s="1" t="s">
        <v>136</v>
      </c>
      <c r="AM2762" s="1" t="s">
        <v>137</v>
      </c>
      <c r="AN2762" s="1" t="s">
        <v>138</v>
      </c>
      <c r="AO2762" s="1" t="s">
        <v>240</v>
      </c>
      <c r="AP2762" s="1" t="s">
        <v>241</v>
      </c>
      <c r="AQ2762" s="1" t="s">
        <v>74</v>
      </c>
      <c r="AR2762" s="1" t="s">
        <v>242</v>
      </c>
      <c r="AS2762" s="1" t="s">
        <v>243</v>
      </c>
      <c r="AT2762" s="1" t="s">
        <v>1223</v>
      </c>
      <c r="AU2762" s="1">
        <v>1996</v>
      </c>
      <c r="AV2762" s="1">
        <v>32</v>
      </c>
      <c r="AW2762" s="1">
        <v>3</v>
      </c>
      <c r="AX2762" s="1" t="s">
        <v>74</v>
      </c>
      <c r="AY2762" s="1" t="s">
        <v>74</v>
      </c>
      <c r="AZ2762" s="1" t="s">
        <v>74</v>
      </c>
      <c r="BA2762" s="1" t="s">
        <v>74</v>
      </c>
      <c r="BB2762" s="1">
        <v>305</v>
      </c>
      <c r="BC2762" s="1">
        <v>310</v>
      </c>
      <c r="BD2762" s="1" t="s">
        <v>74</v>
      </c>
      <c r="BE2762" s="1" t="s">
        <v>43879</v>
      </c>
      <c r="BF2762" s="1" t="str">
        <f>HYPERLINK("http://dx.doi.org/10.1016/0025-326X(95)00209-6","http://dx.doi.org/10.1016/0025-326X(95)00209-6")</f>
        <v>http://dx.doi.org/10.1016/0025-326X(95)00209-6</v>
      </c>
      <c r="BG2762" s="1" t="s">
        <v>74</v>
      </c>
      <c r="BH2762" s="1" t="s">
        <v>74</v>
      </c>
      <c r="BI2762" s="1">
        <v>6</v>
      </c>
      <c r="BJ2762" s="1" t="s">
        <v>247</v>
      </c>
      <c r="BK2762" s="1" t="s">
        <v>96</v>
      </c>
      <c r="BL2762" s="1" t="s">
        <v>248</v>
      </c>
      <c r="BM2762" s="1" t="s">
        <v>43880</v>
      </c>
      <c r="BN2762" s="1" t="s">
        <v>74</v>
      </c>
      <c r="BO2762" s="1" t="s">
        <v>74</v>
      </c>
      <c r="BP2762" s="1" t="s">
        <v>74</v>
      </c>
      <c r="BQ2762" s="1" t="s">
        <v>74</v>
      </c>
      <c r="BR2762" s="1" t="s">
        <v>98</v>
      </c>
      <c r="BS2762" s="1" t="s">
        <v>43881</v>
      </c>
      <c r="BT2762" s="1" t="str">
        <f>HYPERLINK("https%3A%2F%2Fwww.webofscience.com%2Fwos%2Fwoscc%2Ffull-record%2FWOS:A1996UC33700020","View Full Record in Web of Science")</f>
        <v>View Full Record in Web of Science</v>
      </c>
      <c r="BU2762" s="1"/>
      <c r="BV2762" s="1"/>
    </row>
    <row r="2763" spans="1:74">
      <c r="A2763" s="1" t="s">
        <v>72</v>
      </c>
      <c r="B2763" s="1" t="s">
        <v>43882</v>
      </c>
      <c r="C2763" s="1" t="s">
        <v>74</v>
      </c>
      <c r="D2763" s="1" t="s">
        <v>74</v>
      </c>
      <c r="E2763" s="1" t="s">
        <v>74</v>
      </c>
      <c r="F2763" s="1" t="s">
        <v>43883</v>
      </c>
      <c r="G2763" s="1" t="s">
        <v>74</v>
      </c>
      <c r="H2763" s="1" t="s">
        <v>74</v>
      </c>
      <c r="I2763" s="1" t="s">
        <v>43884</v>
      </c>
      <c r="J2763" s="1" t="s">
        <v>232</v>
      </c>
      <c r="K2763" s="1" t="s">
        <v>74</v>
      </c>
      <c r="L2763" s="1" t="s">
        <v>74</v>
      </c>
      <c r="M2763" s="1" t="s">
        <v>78</v>
      </c>
      <c r="N2763" s="1" t="s">
        <v>79</v>
      </c>
      <c r="O2763" s="1" t="s">
        <v>74</v>
      </c>
      <c r="P2763" s="1" t="s">
        <v>74</v>
      </c>
      <c r="Q2763" s="1" t="s">
        <v>74</v>
      </c>
      <c r="R2763" s="1" t="s">
        <v>74</v>
      </c>
      <c r="S2763" s="1" t="s">
        <v>74</v>
      </c>
      <c r="T2763" s="1" t="s">
        <v>43885</v>
      </c>
      <c r="U2763" s="1" t="s">
        <v>43886</v>
      </c>
      <c r="V2763" s="1" t="s">
        <v>43887</v>
      </c>
      <c r="W2763" s="1" t="s">
        <v>43888</v>
      </c>
      <c r="X2763" s="1" t="s">
        <v>43889</v>
      </c>
      <c r="Y2763" s="1" t="s">
        <v>43890</v>
      </c>
      <c r="Z2763" s="1" t="s">
        <v>43891</v>
      </c>
      <c r="AA2763" s="1" t="s">
        <v>43892</v>
      </c>
      <c r="AB2763" s="1" t="s">
        <v>43893</v>
      </c>
      <c r="AC2763" s="1" t="s">
        <v>43894</v>
      </c>
      <c r="AD2763" s="1" t="s">
        <v>43895</v>
      </c>
      <c r="AE2763" s="1" t="s">
        <v>43896</v>
      </c>
      <c r="AF2763" s="1" t="s">
        <v>74</v>
      </c>
      <c r="AG2763" s="1">
        <v>90</v>
      </c>
      <c r="AH2763" s="1">
        <v>7</v>
      </c>
      <c r="AI2763" s="1">
        <v>7</v>
      </c>
      <c r="AJ2763" s="1">
        <v>2</v>
      </c>
      <c r="AK2763" s="1">
        <v>11</v>
      </c>
      <c r="AL2763" s="1" t="s">
        <v>136</v>
      </c>
      <c r="AM2763" s="1" t="s">
        <v>137</v>
      </c>
      <c r="AN2763" s="1" t="s">
        <v>138</v>
      </c>
      <c r="AO2763" s="1" t="s">
        <v>240</v>
      </c>
      <c r="AP2763" s="1" t="s">
        <v>241</v>
      </c>
      <c r="AQ2763" s="1" t="s">
        <v>74</v>
      </c>
      <c r="AR2763" s="1" t="s">
        <v>242</v>
      </c>
      <c r="AS2763" s="1" t="s">
        <v>243</v>
      </c>
      <c r="AT2763" s="1" t="s">
        <v>119</v>
      </c>
      <c r="AU2763" s="1">
        <v>2022</v>
      </c>
      <c r="AV2763" s="1">
        <v>181</v>
      </c>
      <c r="AW2763" s="1" t="s">
        <v>74</v>
      </c>
      <c r="AX2763" s="1" t="s">
        <v>74</v>
      </c>
      <c r="AY2763" s="1" t="s">
        <v>74</v>
      </c>
      <c r="AZ2763" s="1" t="s">
        <v>74</v>
      </c>
      <c r="BA2763" s="1" t="s">
        <v>74</v>
      </c>
      <c r="BB2763" s="1" t="s">
        <v>74</v>
      </c>
      <c r="BC2763" s="1" t="s">
        <v>74</v>
      </c>
      <c r="BD2763" s="1">
        <v>113829</v>
      </c>
      <c r="BE2763" s="1" t="s">
        <v>43897</v>
      </c>
      <c r="BF2763" s="1" t="str">
        <f>HYPERLINK("http://dx.doi.org/10.1016/j.marpolbul.2022.113829","http://dx.doi.org/10.1016/j.marpolbul.2022.113829")</f>
        <v>http://dx.doi.org/10.1016/j.marpolbul.2022.113829</v>
      </c>
      <c r="BG2763" s="1" t="s">
        <v>74</v>
      </c>
      <c r="BH2763" s="1" t="s">
        <v>18991</v>
      </c>
      <c r="BI2763" s="1">
        <v>12</v>
      </c>
      <c r="BJ2763" s="1" t="s">
        <v>247</v>
      </c>
      <c r="BK2763" s="1" t="s">
        <v>96</v>
      </c>
      <c r="BL2763" s="1" t="s">
        <v>248</v>
      </c>
      <c r="BM2763" s="1" t="s">
        <v>43898</v>
      </c>
      <c r="BN2763" s="1">
        <v>35709680</v>
      </c>
      <c r="BO2763" s="1" t="s">
        <v>74</v>
      </c>
      <c r="BP2763" s="1" t="s">
        <v>74</v>
      </c>
      <c r="BQ2763" s="1" t="s">
        <v>74</v>
      </c>
      <c r="BR2763" s="1" t="s">
        <v>98</v>
      </c>
      <c r="BS2763" s="1" t="s">
        <v>43899</v>
      </c>
      <c r="BT2763" s="1" t="str">
        <f>HYPERLINK("https%3A%2F%2Fwww.webofscience.com%2Fwos%2Fwoscc%2Ffull-record%2FWOS:000861680800004","View Full Record in Web of Science")</f>
        <v>View Full Record in Web of Science</v>
      </c>
      <c r="BU2763" s="1"/>
      <c r="BV2763" s="1"/>
    </row>
    <row r="2764" spans="1:74">
      <c r="A2764" s="1" t="s">
        <v>72</v>
      </c>
      <c r="B2764" s="1" t="s">
        <v>43900</v>
      </c>
      <c r="C2764" s="1" t="s">
        <v>74</v>
      </c>
      <c r="D2764" s="1" t="s">
        <v>74</v>
      </c>
      <c r="E2764" s="1" t="s">
        <v>74</v>
      </c>
      <c r="F2764" s="1" t="s">
        <v>43901</v>
      </c>
      <c r="G2764" s="1" t="s">
        <v>74</v>
      </c>
      <c r="H2764" s="1" t="s">
        <v>74</v>
      </c>
      <c r="I2764" s="1" t="s">
        <v>43902</v>
      </c>
      <c r="J2764" s="1" t="s">
        <v>43903</v>
      </c>
      <c r="K2764" s="1" t="s">
        <v>74</v>
      </c>
      <c r="L2764" s="1" t="s">
        <v>74</v>
      </c>
      <c r="M2764" s="1" t="s">
        <v>78</v>
      </c>
      <c r="N2764" s="1" t="s">
        <v>79</v>
      </c>
      <c r="O2764" s="1" t="s">
        <v>74</v>
      </c>
      <c r="P2764" s="1" t="s">
        <v>74</v>
      </c>
      <c r="Q2764" s="1" t="s">
        <v>74</v>
      </c>
      <c r="R2764" s="1" t="s">
        <v>74</v>
      </c>
      <c r="S2764" s="1" t="s">
        <v>74</v>
      </c>
      <c r="T2764" s="1" t="s">
        <v>43904</v>
      </c>
      <c r="U2764" s="1" t="s">
        <v>43905</v>
      </c>
      <c r="V2764" s="1" t="s">
        <v>43906</v>
      </c>
      <c r="W2764" s="1" t="s">
        <v>43907</v>
      </c>
      <c r="X2764" s="1" t="s">
        <v>7443</v>
      </c>
      <c r="Y2764" s="1" t="s">
        <v>43908</v>
      </c>
      <c r="Z2764" s="1" t="s">
        <v>43681</v>
      </c>
      <c r="AA2764" s="1" t="s">
        <v>43909</v>
      </c>
      <c r="AB2764" s="1" t="s">
        <v>43683</v>
      </c>
      <c r="AC2764" s="1" t="s">
        <v>43910</v>
      </c>
      <c r="AD2764" s="1" t="s">
        <v>43911</v>
      </c>
      <c r="AE2764" s="1" t="s">
        <v>43912</v>
      </c>
      <c r="AF2764" s="1" t="s">
        <v>74</v>
      </c>
      <c r="AG2764" s="1">
        <v>63</v>
      </c>
      <c r="AH2764" s="1">
        <v>13</v>
      </c>
      <c r="AI2764" s="1">
        <v>16</v>
      </c>
      <c r="AJ2764" s="1">
        <v>3</v>
      </c>
      <c r="AK2764" s="1">
        <v>33</v>
      </c>
      <c r="AL2764" s="1" t="s">
        <v>5232</v>
      </c>
      <c r="AM2764" s="1" t="s">
        <v>286</v>
      </c>
      <c r="AN2764" s="1" t="s">
        <v>5233</v>
      </c>
      <c r="AO2764" s="1" t="s">
        <v>43913</v>
      </c>
      <c r="AP2764" s="1" t="s">
        <v>74</v>
      </c>
      <c r="AQ2764" s="1" t="s">
        <v>74</v>
      </c>
      <c r="AR2764" s="1" t="s">
        <v>43914</v>
      </c>
      <c r="AS2764" s="1" t="s">
        <v>43915</v>
      </c>
      <c r="AT2764" s="1" t="s">
        <v>34325</v>
      </c>
      <c r="AU2764" s="1">
        <v>2018</v>
      </c>
      <c r="AV2764" s="1">
        <v>18</v>
      </c>
      <c r="AW2764" s="1" t="s">
        <v>74</v>
      </c>
      <c r="AX2764" s="1" t="s">
        <v>74</v>
      </c>
      <c r="AY2764" s="1" t="s">
        <v>74</v>
      </c>
      <c r="AZ2764" s="1" t="s">
        <v>74</v>
      </c>
      <c r="BA2764" s="1" t="s">
        <v>74</v>
      </c>
      <c r="BB2764" s="1" t="s">
        <v>74</v>
      </c>
      <c r="BC2764" s="1" t="s">
        <v>74</v>
      </c>
      <c r="BD2764" s="1">
        <v>31</v>
      </c>
      <c r="BE2764" s="1" t="s">
        <v>43916</v>
      </c>
      <c r="BF2764" s="1" t="str">
        <f>HYPERLINK("http://dx.doi.org/10.1186/s12898-018-0191-y","http://dx.doi.org/10.1186/s12898-018-0191-y")</f>
        <v>http://dx.doi.org/10.1186/s12898-018-0191-y</v>
      </c>
      <c r="BG2764" s="1" t="s">
        <v>74</v>
      </c>
      <c r="BH2764" s="1" t="s">
        <v>74</v>
      </c>
      <c r="BI2764" s="1">
        <v>11</v>
      </c>
      <c r="BJ2764" s="1" t="s">
        <v>6054</v>
      </c>
      <c r="BK2764" s="1" t="s">
        <v>96</v>
      </c>
      <c r="BL2764" s="1" t="s">
        <v>145</v>
      </c>
      <c r="BM2764" s="1" t="s">
        <v>43917</v>
      </c>
      <c r="BN2764" s="1">
        <v>30189862</v>
      </c>
      <c r="BO2764" s="1" t="s">
        <v>2155</v>
      </c>
      <c r="BP2764" s="1" t="s">
        <v>74</v>
      </c>
      <c r="BQ2764" s="1" t="s">
        <v>74</v>
      </c>
      <c r="BR2764" s="1" t="s">
        <v>98</v>
      </c>
      <c r="BS2764" s="1" t="s">
        <v>43918</v>
      </c>
      <c r="BT2764" s="1" t="str">
        <f>HYPERLINK("https%3A%2F%2Fwww.webofscience.com%2Fwos%2Fwoscc%2Ffull-record%2FWOS:000444006400001","View Full Record in Web of Science")</f>
        <v>View Full Record in Web of Science</v>
      </c>
      <c r="BU2764" s="1"/>
      <c r="BV2764" s="1"/>
    </row>
    <row r="2765" spans="1:74">
      <c r="A2765" s="1" t="s">
        <v>72</v>
      </c>
      <c r="B2765" s="1" t="s">
        <v>43919</v>
      </c>
      <c r="C2765" s="1" t="s">
        <v>74</v>
      </c>
      <c r="D2765" s="1" t="s">
        <v>74</v>
      </c>
      <c r="E2765" s="1" t="s">
        <v>74</v>
      </c>
      <c r="F2765" s="1" t="s">
        <v>43919</v>
      </c>
      <c r="G2765" s="1" t="s">
        <v>74</v>
      </c>
      <c r="H2765" s="1" t="s">
        <v>74</v>
      </c>
      <c r="I2765" s="1" t="s">
        <v>43920</v>
      </c>
      <c r="J2765" s="1" t="s">
        <v>1756</v>
      </c>
      <c r="K2765" s="1" t="s">
        <v>74</v>
      </c>
      <c r="L2765" s="1" t="s">
        <v>74</v>
      </c>
      <c r="M2765" s="1" t="s">
        <v>78</v>
      </c>
      <c r="N2765" s="1" t="s">
        <v>79</v>
      </c>
      <c r="O2765" s="1" t="s">
        <v>74</v>
      </c>
      <c r="P2765" s="1" t="s">
        <v>74</v>
      </c>
      <c r="Q2765" s="1" t="s">
        <v>74</v>
      </c>
      <c r="R2765" s="1" t="s">
        <v>74</v>
      </c>
      <c r="S2765" s="1" t="s">
        <v>74</v>
      </c>
      <c r="T2765" s="1" t="s">
        <v>43921</v>
      </c>
      <c r="U2765" s="1" t="s">
        <v>43922</v>
      </c>
      <c r="V2765" s="1" t="s">
        <v>43923</v>
      </c>
      <c r="W2765" s="1" t="s">
        <v>43924</v>
      </c>
      <c r="X2765" s="1" t="s">
        <v>1219</v>
      </c>
      <c r="Y2765" s="1" t="s">
        <v>43925</v>
      </c>
      <c r="Z2765" s="1" t="s">
        <v>43926</v>
      </c>
      <c r="AA2765" s="1" t="s">
        <v>74</v>
      </c>
      <c r="AB2765" s="1" t="s">
        <v>74</v>
      </c>
      <c r="AC2765" s="1" t="s">
        <v>74</v>
      </c>
      <c r="AD2765" s="1" t="s">
        <v>74</v>
      </c>
      <c r="AE2765" s="1" t="s">
        <v>74</v>
      </c>
      <c r="AF2765" s="1" t="s">
        <v>74</v>
      </c>
      <c r="AG2765" s="1">
        <v>39</v>
      </c>
      <c r="AH2765" s="1">
        <v>38</v>
      </c>
      <c r="AI2765" s="1">
        <v>39</v>
      </c>
      <c r="AJ2765" s="1">
        <v>0</v>
      </c>
      <c r="AK2765" s="1">
        <v>11</v>
      </c>
      <c r="AL2765" s="1" t="s">
        <v>86</v>
      </c>
      <c r="AM2765" s="1" t="s">
        <v>87</v>
      </c>
      <c r="AN2765" s="1" t="s">
        <v>88</v>
      </c>
      <c r="AO2765" s="1" t="s">
        <v>1764</v>
      </c>
      <c r="AP2765" s="1" t="s">
        <v>1765</v>
      </c>
      <c r="AQ2765" s="1" t="s">
        <v>74</v>
      </c>
      <c r="AR2765" s="1" t="s">
        <v>1766</v>
      </c>
      <c r="AS2765" s="1" t="s">
        <v>1767</v>
      </c>
      <c r="AT2765" s="1" t="s">
        <v>1223</v>
      </c>
      <c r="AU2765" s="1">
        <v>1998</v>
      </c>
      <c r="AV2765" s="1">
        <v>17</v>
      </c>
      <c r="AW2765" s="1">
        <v>3</v>
      </c>
      <c r="AX2765" s="1" t="s">
        <v>74</v>
      </c>
      <c r="AY2765" s="1" t="s">
        <v>74</v>
      </c>
      <c r="AZ2765" s="1" t="s">
        <v>74</v>
      </c>
      <c r="BA2765" s="1" t="s">
        <v>74</v>
      </c>
      <c r="BB2765" s="1">
        <v>502</v>
      </c>
      <c r="BC2765" s="1">
        <v>510</v>
      </c>
      <c r="BD2765" s="1" t="s">
        <v>74</v>
      </c>
      <c r="BE2765" s="1" t="s">
        <v>43927</v>
      </c>
      <c r="BF2765" s="1" t="str">
        <f>HYPERLINK("http://dx.doi.org/10.1002/etc.5620170322","http://dx.doi.org/10.1002/etc.5620170322")</f>
        <v>http://dx.doi.org/10.1002/etc.5620170322</v>
      </c>
      <c r="BG2765" s="1" t="s">
        <v>74</v>
      </c>
      <c r="BH2765" s="1" t="s">
        <v>74</v>
      </c>
      <c r="BI2765" s="1">
        <v>9</v>
      </c>
      <c r="BJ2765" s="1" t="s">
        <v>121</v>
      </c>
      <c r="BK2765" s="1" t="s">
        <v>96</v>
      </c>
      <c r="BL2765" s="1" t="s">
        <v>122</v>
      </c>
      <c r="BM2765" s="1" t="s">
        <v>43928</v>
      </c>
      <c r="BN2765" s="1" t="s">
        <v>74</v>
      </c>
      <c r="BO2765" s="1" t="s">
        <v>74</v>
      </c>
      <c r="BP2765" s="1" t="s">
        <v>74</v>
      </c>
      <c r="BQ2765" s="1" t="s">
        <v>74</v>
      </c>
      <c r="BR2765" s="1" t="s">
        <v>98</v>
      </c>
      <c r="BS2765" s="1" t="s">
        <v>43929</v>
      </c>
      <c r="BT2765" s="1" t="str">
        <f>HYPERLINK("https%3A%2F%2Fwww.webofscience.com%2Fwos%2Fwoscc%2Ffull-record%2FWOS:000072307500022","View Full Record in Web of Science")</f>
        <v>View Full Record in Web of Science</v>
      </c>
      <c r="BU2765" s="1"/>
      <c r="BV2765" s="1"/>
    </row>
    <row r="2766" spans="1:74">
      <c r="A2766" s="1" t="s">
        <v>72</v>
      </c>
      <c r="B2766" s="1" t="s">
        <v>43930</v>
      </c>
      <c r="C2766" s="1" t="s">
        <v>74</v>
      </c>
      <c r="D2766" s="1" t="s">
        <v>74</v>
      </c>
      <c r="E2766" s="1" t="s">
        <v>74</v>
      </c>
      <c r="F2766" s="1" t="s">
        <v>43931</v>
      </c>
      <c r="G2766" s="1" t="s">
        <v>74</v>
      </c>
      <c r="H2766" s="1" t="s">
        <v>74</v>
      </c>
      <c r="I2766" s="1" t="s">
        <v>43932</v>
      </c>
      <c r="J2766" s="1" t="s">
        <v>641</v>
      </c>
      <c r="K2766" s="1" t="s">
        <v>74</v>
      </c>
      <c r="L2766" s="1" t="s">
        <v>74</v>
      </c>
      <c r="M2766" s="1" t="s">
        <v>78</v>
      </c>
      <c r="N2766" s="1" t="s">
        <v>79</v>
      </c>
      <c r="O2766" s="1" t="s">
        <v>74</v>
      </c>
      <c r="P2766" s="1" t="s">
        <v>74</v>
      </c>
      <c r="Q2766" s="1" t="s">
        <v>74</v>
      </c>
      <c r="R2766" s="1" t="s">
        <v>74</v>
      </c>
      <c r="S2766" s="1" t="s">
        <v>74</v>
      </c>
      <c r="T2766" s="1" t="s">
        <v>43933</v>
      </c>
      <c r="U2766" s="1" t="s">
        <v>43934</v>
      </c>
      <c r="V2766" s="1" t="s">
        <v>43935</v>
      </c>
      <c r="W2766" s="1" t="s">
        <v>43936</v>
      </c>
      <c r="X2766" s="1" t="s">
        <v>43937</v>
      </c>
      <c r="Y2766" s="1" t="s">
        <v>43938</v>
      </c>
      <c r="Z2766" s="1" t="s">
        <v>43939</v>
      </c>
      <c r="AA2766" s="1" t="s">
        <v>74</v>
      </c>
      <c r="AB2766" s="1" t="s">
        <v>43940</v>
      </c>
      <c r="AC2766" s="1" t="s">
        <v>43941</v>
      </c>
      <c r="AD2766" s="1" t="s">
        <v>43942</v>
      </c>
      <c r="AE2766" s="1" t="s">
        <v>43943</v>
      </c>
      <c r="AF2766" s="1" t="s">
        <v>74</v>
      </c>
      <c r="AG2766" s="1">
        <v>68</v>
      </c>
      <c r="AH2766" s="1">
        <v>43</v>
      </c>
      <c r="AI2766" s="1">
        <v>46</v>
      </c>
      <c r="AJ2766" s="1">
        <v>0</v>
      </c>
      <c r="AK2766" s="1">
        <v>98</v>
      </c>
      <c r="AL2766" s="1" t="s">
        <v>650</v>
      </c>
      <c r="AM2766" s="1" t="s">
        <v>651</v>
      </c>
      <c r="AN2766" s="1" t="s">
        <v>652</v>
      </c>
      <c r="AO2766" s="1" t="s">
        <v>653</v>
      </c>
      <c r="AP2766" s="1" t="s">
        <v>654</v>
      </c>
      <c r="AQ2766" s="1" t="s">
        <v>74</v>
      </c>
      <c r="AR2766" s="1" t="s">
        <v>655</v>
      </c>
      <c r="AS2766" s="1" t="s">
        <v>656</v>
      </c>
      <c r="AT2766" s="1" t="s">
        <v>1470</v>
      </c>
      <c r="AU2766" s="1">
        <v>2015</v>
      </c>
      <c r="AV2766" s="1">
        <v>158</v>
      </c>
      <c r="AW2766" s="1" t="s">
        <v>74</v>
      </c>
      <c r="AX2766" s="1" t="s">
        <v>74</v>
      </c>
      <c r="AY2766" s="1" t="s">
        <v>74</v>
      </c>
      <c r="AZ2766" s="1" t="s">
        <v>74</v>
      </c>
      <c r="BA2766" s="1" t="s">
        <v>74</v>
      </c>
      <c r="BB2766" s="1">
        <v>63</v>
      </c>
      <c r="BC2766" s="1">
        <v>74</v>
      </c>
      <c r="BD2766" s="1" t="s">
        <v>74</v>
      </c>
      <c r="BE2766" s="1" t="s">
        <v>43944</v>
      </c>
      <c r="BF2766" s="1" t="str">
        <f>HYPERLINK("http://dx.doi.org/10.1016/j.aquatox.2014.11.004","http://dx.doi.org/10.1016/j.aquatox.2014.11.004")</f>
        <v>http://dx.doi.org/10.1016/j.aquatox.2014.11.004</v>
      </c>
      <c r="BG2766" s="1" t="s">
        <v>74</v>
      </c>
      <c r="BH2766" s="1" t="s">
        <v>74</v>
      </c>
      <c r="BI2766" s="1">
        <v>12</v>
      </c>
      <c r="BJ2766" s="1" t="s">
        <v>659</v>
      </c>
      <c r="BK2766" s="1" t="s">
        <v>96</v>
      </c>
      <c r="BL2766" s="1" t="s">
        <v>659</v>
      </c>
      <c r="BM2766" s="1" t="s">
        <v>43945</v>
      </c>
      <c r="BN2766" s="1">
        <v>25461746</v>
      </c>
      <c r="BO2766" s="1" t="s">
        <v>74</v>
      </c>
      <c r="BP2766" s="1" t="s">
        <v>74</v>
      </c>
      <c r="BQ2766" s="1" t="s">
        <v>74</v>
      </c>
      <c r="BR2766" s="1" t="s">
        <v>98</v>
      </c>
      <c r="BS2766" s="1" t="s">
        <v>43946</v>
      </c>
      <c r="BT2766" s="1" t="str">
        <f>HYPERLINK("https%3A%2F%2Fwww.webofscience.com%2Fwos%2Fwoscc%2Ffull-record%2FWOS:000348888400008","View Full Record in Web of Science")</f>
        <v>View Full Record in Web of Science</v>
      </c>
      <c r="BU2766" s="1"/>
      <c r="BV2766" s="1"/>
    </row>
    <row r="2767" spans="1:74">
      <c r="A2767" s="1" t="s">
        <v>72</v>
      </c>
      <c r="B2767" s="1" t="s">
        <v>43947</v>
      </c>
      <c r="C2767" s="1" t="s">
        <v>74</v>
      </c>
      <c r="D2767" s="1" t="s">
        <v>74</v>
      </c>
      <c r="E2767" s="1" t="s">
        <v>74</v>
      </c>
      <c r="F2767" s="1" t="s">
        <v>43948</v>
      </c>
      <c r="G2767" s="1" t="s">
        <v>74</v>
      </c>
      <c r="H2767" s="1" t="s">
        <v>74</v>
      </c>
      <c r="I2767" s="1" t="s">
        <v>43949</v>
      </c>
      <c r="J2767" s="1" t="s">
        <v>421</v>
      </c>
      <c r="K2767" s="1" t="s">
        <v>74</v>
      </c>
      <c r="L2767" s="1" t="s">
        <v>74</v>
      </c>
      <c r="M2767" s="1" t="s">
        <v>78</v>
      </c>
      <c r="N2767" s="1" t="s">
        <v>79</v>
      </c>
      <c r="O2767" s="1" t="s">
        <v>74</v>
      </c>
      <c r="P2767" s="1" t="s">
        <v>74</v>
      </c>
      <c r="Q2767" s="1" t="s">
        <v>74</v>
      </c>
      <c r="R2767" s="1" t="s">
        <v>74</v>
      </c>
      <c r="S2767" s="1" t="s">
        <v>74</v>
      </c>
      <c r="T2767" s="1" t="s">
        <v>43950</v>
      </c>
      <c r="U2767" s="1" t="s">
        <v>43951</v>
      </c>
      <c r="V2767" s="1" t="s">
        <v>43952</v>
      </c>
      <c r="W2767" s="1" t="s">
        <v>43953</v>
      </c>
      <c r="X2767" s="1" t="s">
        <v>43954</v>
      </c>
      <c r="Y2767" s="1" t="s">
        <v>43955</v>
      </c>
      <c r="Z2767" s="1" t="s">
        <v>43956</v>
      </c>
      <c r="AA2767" s="1" t="s">
        <v>43957</v>
      </c>
      <c r="AB2767" s="1" t="s">
        <v>43958</v>
      </c>
      <c r="AC2767" s="1" t="s">
        <v>43959</v>
      </c>
      <c r="AD2767" s="1" t="s">
        <v>74</v>
      </c>
      <c r="AE2767" s="1" t="s">
        <v>43960</v>
      </c>
      <c r="AF2767" s="1" t="s">
        <v>74</v>
      </c>
      <c r="AG2767" s="1">
        <v>95</v>
      </c>
      <c r="AH2767" s="1">
        <v>16</v>
      </c>
      <c r="AI2767" s="1">
        <v>17</v>
      </c>
      <c r="AJ2767" s="1">
        <v>2</v>
      </c>
      <c r="AK2767" s="1">
        <v>48</v>
      </c>
      <c r="AL2767" s="1" t="s">
        <v>430</v>
      </c>
      <c r="AM2767" s="1" t="s">
        <v>137</v>
      </c>
      <c r="AN2767" s="1" t="s">
        <v>431</v>
      </c>
      <c r="AO2767" s="1" t="s">
        <v>432</v>
      </c>
      <c r="AP2767" s="1" t="s">
        <v>1394</v>
      </c>
      <c r="AQ2767" s="1" t="s">
        <v>74</v>
      </c>
      <c r="AR2767" s="1" t="s">
        <v>433</v>
      </c>
      <c r="AS2767" s="1" t="s">
        <v>434</v>
      </c>
      <c r="AT2767" s="1" t="s">
        <v>11873</v>
      </c>
      <c r="AU2767" s="1">
        <v>2021</v>
      </c>
      <c r="AV2767" s="1">
        <v>268</v>
      </c>
      <c r="AW2767" s="1" t="s">
        <v>74</v>
      </c>
      <c r="AX2767" s="1" t="s">
        <v>13570</v>
      </c>
      <c r="AY2767" s="1" t="s">
        <v>74</v>
      </c>
      <c r="AZ2767" s="1" t="s">
        <v>74</v>
      </c>
      <c r="BA2767" s="1" t="s">
        <v>74</v>
      </c>
      <c r="BB2767" s="1" t="s">
        <v>74</v>
      </c>
      <c r="BC2767" s="1" t="s">
        <v>74</v>
      </c>
      <c r="BD2767" s="1">
        <v>115781</v>
      </c>
      <c r="BE2767" s="1" t="s">
        <v>43961</v>
      </c>
      <c r="BF2767" s="1" t="str">
        <f>HYPERLINK("http://dx.doi.org/10.1016/j.envpol.2020.115781","http://dx.doi.org/10.1016/j.envpol.2020.115781")</f>
        <v>http://dx.doi.org/10.1016/j.envpol.2020.115781</v>
      </c>
      <c r="BG2767" s="1" t="s">
        <v>74</v>
      </c>
      <c r="BH2767" s="1" t="s">
        <v>74</v>
      </c>
      <c r="BI2767" s="1">
        <v>11</v>
      </c>
      <c r="BJ2767" s="1" t="s">
        <v>144</v>
      </c>
      <c r="BK2767" s="1" t="s">
        <v>96</v>
      </c>
      <c r="BL2767" s="1" t="s">
        <v>145</v>
      </c>
      <c r="BM2767" s="1" t="s">
        <v>43962</v>
      </c>
      <c r="BN2767" s="1">
        <v>33049575</v>
      </c>
      <c r="BO2767" s="1" t="s">
        <v>1752</v>
      </c>
      <c r="BP2767" s="1" t="s">
        <v>74</v>
      </c>
      <c r="BQ2767" s="1" t="s">
        <v>74</v>
      </c>
      <c r="BR2767" s="1" t="s">
        <v>98</v>
      </c>
      <c r="BS2767" s="1" t="s">
        <v>43963</v>
      </c>
      <c r="BT2767" s="1" t="str">
        <f>HYPERLINK("https%3A%2F%2Fwww.webofscience.com%2Fwos%2Fwoscc%2Ffull-record%2FWOS:000600560400057","View Full Record in Web of Science")</f>
        <v>View Full Record in Web of Science</v>
      </c>
      <c r="BU2767" s="1"/>
      <c r="BV2767" s="1"/>
    </row>
    <row r="2768" spans="1:74">
      <c r="A2768" s="1" t="s">
        <v>72</v>
      </c>
      <c r="B2768" s="1" t="s">
        <v>43964</v>
      </c>
      <c r="C2768" s="1" t="s">
        <v>74</v>
      </c>
      <c r="D2768" s="1" t="s">
        <v>74</v>
      </c>
      <c r="E2768" s="1" t="s">
        <v>74</v>
      </c>
      <c r="F2768" s="1" t="s">
        <v>43964</v>
      </c>
      <c r="G2768" s="1" t="s">
        <v>74</v>
      </c>
      <c r="H2768" s="1" t="s">
        <v>74</v>
      </c>
      <c r="I2768" s="1" t="s">
        <v>43965</v>
      </c>
      <c r="J2768" s="1" t="s">
        <v>8431</v>
      </c>
      <c r="K2768" s="1" t="s">
        <v>74</v>
      </c>
      <c r="L2768" s="1" t="s">
        <v>74</v>
      </c>
      <c r="M2768" s="1" t="s">
        <v>78</v>
      </c>
      <c r="N2768" s="1" t="s">
        <v>79</v>
      </c>
      <c r="O2768" s="1" t="s">
        <v>74</v>
      </c>
      <c r="P2768" s="1" t="s">
        <v>74</v>
      </c>
      <c r="Q2768" s="1" t="s">
        <v>74</v>
      </c>
      <c r="R2768" s="1" t="s">
        <v>74</v>
      </c>
      <c r="S2768" s="1" t="s">
        <v>74</v>
      </c>
      <c r="T2768" s="1" t="s">
        <v>74</v>
      </c>
      <c r="U2768" s="1" t="s">
        <v>43966</v>
      </c>
      <c r="V2768" s="1" t="s">
        <v>43967</v>
      </c>
      <c r="W2768" s="1" t="s">
        <v>43968</v>
      </c>
      <c r="X2768" s="1" t="s">
        <v>43969</v>
      </c>
      <c r="Y2768" s="1" t="s">
        <v>43970</v>
      </c>
      <c r="Z2768" s="1" t="s">
        <v>74</v>
      </c>
      <c r="AA2768" s="1" t="s">
        <v>43971</v>
      </c>
      <c r="AB2768" s="1" t="s">
        <v>43972</v>
      </c>
      <c r="AC2768" s="1" t="s">
        <v>74</v>
      </c>
      <c r="AD2768" s="1" t="s">
        <v>74</v>
      </c>
      <c r="AE2768" s="1" t="s">
        <v>74</v>
      </c>
      <c r="AF2768" s="1" t="s">
        <v>74</v>
      </c>
      <c r="AG2768" s="1">
        <v>22</v>
      </c>
      <c r="AH2768" s="1">
        <v>23</v>
      </c>
      <c r="AI2768" s="1">
        <v>23</v>
      </c>
      <c r="AJ2768" s="1">
        <v>0</v>
      </c>
      <c r="AK2768" s="1">
        <v>3</v>
      </c>
      <c r="AL2768" s="1" t="s">
        <v>43973</v>
      </c>
      <c r="AM2768" s="1" t="s">
        <v>8441</v>
      </c>
      <c r="AN2768" s="1" t="s">
        <v>8442</v>
      </c>
      <c r="AO2768" s="1" t="s">
        <v>8443</v>
      </c>
      <c r="AP2768" s="1" t="s">
        <v>74</v>
      </c>
      <c r="AQ2768" s="1" t="s">
        <v>74</v>
      </c>
      <c r="AR2768" s="1" t="s">
        <v>8445</v>
      </c>
      <c r="AS2768" s="1" t="s">
        <v>8446</v>
      </c>
      <c r="AT2768" s="1" t="s">
        <v>1223</v>
      </c>
      <c r="AU2768" s="1">
        <v>2001</v>
      </c>
      <c r="AV2768" s="1">
        <v>64</v>
      </c>
      <c r="AW2768" s="1">
        <v>3</v>
      </c>
      <c r="AX2768" s="1" t="s">
        <v>74</v>
      </c>
      <c r="AY2768" s="1" t="s">
        <v>74</v>
      </c>
      <c r="AZ2768" s="1" t="s">
        <v>74</v>
      </c>
      <c r="BA2768" s="1" t="s">
        <v>74</v>
      </c>
      <c r="BB2768" s="1">
        <v>405</v>
      </c>
      <c r="BC2768" s="1">
        <v>409</v>
      </c>
      <c r="BD2768" s="1" t="s">
        <v>74</v>
      </c>
      <c r="BE2768" s="1" t="s">
        <v>43974</v>
      </c>
      <c r="BF2768" s="1" t="str">
        <f>HYPERLINK("http://dx.doi.org/10.4315/0362-028X-64.3.405","http://dx.doi.org/10.4315/0362-028X-64.3.405")</f>
        <v>http://dx.doi.org/10.4315/0362-028X-64.3.405</v>
      </c>
      <c r="BG2768" s="1" t="s">
        <v>74</v>
      </c>
      <c r="BH2768" s="1" t="s">
        <v>74</v>
      </c>
      <c r="BI2768" s="1">
        <v>5</v>
      </c>
      <c r="BJ2768" s="1" t="s">
        <v>8448</v>
      </c>
      <c r="BK2768" s="1" t="s">
        <v>96</v>
      </c>
      <c r="BL2768" s="1" t="s">
        <v>8448</v>
      </c>
      <c r="BM2768" s="1" t="s">
        <v>43975</v>
      </c>
      <c r="BN2768" s="1">
        <v>11252489</v>
      </c>
      <c r="BO2768" s="1" t="s">
        <v>9583</v>
      </c>
      <c r="BP2768" s="1" t="s">
        <v>74</v>
      </c>
      <c r="BQ2768" s="1" t="s">
        <v>74</v>
      </c>
      <c r="BR2768" s="1" t="s">
        <v>98</v>
      </c>
      <c r="BS2768" s="1" t="s">
        <v>43976</v>
      </c>
      <c r="BT2768" s="1" t="str">
        <f>HYPERLINK("https%3A%2F%2Fwww.webofscience.com%2Fwos%2Fwoscc%2Ffull-record%2FWOS:000167326800022","View Full Record in Web of Science")</f>
        <v>View Full Record in Web of Science</v>
      </c>
      <c r="BU2768" s="1"/>
      <c r="BV2768" s="1"/>
    </row>
    <row r="2769" spans="1:74">
      <c r="A2769" s="1" t="s">
        <v>72</v>
      </c>
      <c r="B2769" s="1" t="s">
        <v>43977</v>
      </c>
      <c r="C2769" s="1" t="s">
        <v>74</v>
      </c>
      <c r="D2769" s="1" t="s">
        <v>74</v>
      </c>
      <c r="E2769" s="1" t="s">
        <v>74</v>
      </c>
      <c r="F2769" s="1" t="s">
        <v>43978</v>
      </c>
      <c r="G2769" s="1" t="s">
        <v>74</v>
      </c>
      <c r="H2769" s="1" t="s">
        <v>74</v>
      </c>
      <c r="I2769" s="1" t="s">
        <v>43979</v>
      </c>
      <c r="J2769" s="1" t="s">
        <v>704</v>
      </c>
      <c r="K2769" s="1" t="s">
        <v>74</v>
      </c>
      <c r="L2769" s="1" t="s">
        <v>74</v>
      </c>
      <c r="M2769" s="1" t="s">
        <v>78</v>
      </c>
      <c r="N2769" s="1" t="s">
        <v>79</v>
      </c>
      <c r="O2769" s="1" t="s">
        <v>74</v>
      </c>
      <c r="P2769" s="1" t="s">
        <v>74</v>
      </c>
      <c r="Q2769" s="1" t="s">
        <v>74</v>
      </c>
      <c r="R2769" s="1" t="s">
        <v>74</v>
      </c>
      <c r="S2769" s="1" t="s">
        <v>74</v>
      </c>
      <c r="T2769" s="1" t="s">
        <v>43980</v>
      </c>
      <c r="U2769" s="1" t="s">
        <v>43981</v>
      </c>
      <c r="V2769" s="1" t="s">
        <v>43982</v>
      </c>
      <c r="W2769" s="1" t="s">
        <v>43983</v>
      </c>
      <c r="X2769" s="1" t="s">
        <v>43984</v>
      </c>
      <c r="Y2769" s="1" t="s">
        <v>43985</v>
      </c>
      <c r="Z2769" s="1" t="s">
        <v>43986</v>
      </c>
      <c r="AA2769" s="1" t="s">
        <v>43987</v>
      </c>
      <c r="AB2769" s="1" t="s">
        <v>43988</v>
      </c>
      <c r="AC2769" s="1" t="s">
        <v>43989</v>
      </c>
      <c r="AD2769" s="1" t="s">
        <v>43990</v>
      </c>
      <c r="AE2769" s="1" t="s">
        <v>43991</v>
      </c>
      <c r="AF2769" s="1" t="s">
        <v>74</v>
      </c>
      <c r="AG2769" s="1">
        <v>79</v>
      </c>
      <c r="AH2769" s="1">
        <v>43</v>
      </c>
      <c r="AI2769" s="1">
        <v>49</v>
      </c>
      <c r="AJ2769" s="1">
        <v>0</v>
      </c>
      <c r="AK2769" s="1">
        <v>23</v>
      </c>
      <c r="AL2769" s="1" t="s">
        <v>4010</v>
      </c>
      <c r="AM2769" s="1" t="s">
        <v>1167</v>
      </c>
      <c r="AN2769" s="1" t="s">
        <v>1168</v>
      </c>
      <c r="AO2769" s="1" t="s">
        <v>718</v>
      </c>
      <c r="AP2769" s="1" t="s">
        <v>1169</v>
      </c>
      <c r="AQ2769" s="1" t="s">
        <v>74</v>
      </c>
      <c r="AR2769" s="1" t="s">
        <v>719</v>
      </c>
      <c r="AS2769" s="1" t="s">
        <v>720</v>
      </c>
      <c r="AT2769" s="1" t="s">
        <v>142</v>
      </c>
      <c r="AU2769" s="1">
        <v>2009</v>
      </c>
      <c r="AV2769" s="1">
        <v>200</v>
      </c>
      <c r="AW2769" s="1" t="s">
        <v>721</v>
      </c>
      <c r="AX2769" s="1" t="s">
        <v>74</v>
      </c>
      <c r="AY2769" s="1" t="s">
        <v>74</v>
      </c>
      <c r="AZ2769" s="1" t="s">
        <v>74</v>
      </c>
      <c r="BA2769" s="1" t="s">
        <v>74</v>
      </c>
      <c r="BB2769" s="1">
        <v>289</v>
      </c>
      <c r="BC2769" s="1">
        <v>304</v>
      </c>
      <c r="BD2769" s="1" t="s">
        <v>74</v>
      </c>
      <c r="BE2769" s="1" t="s">
        <v>43992</v>
      </c>
      <c r="BF2769" s="1" t="str">
        <f>HYPERLINK("http://dx.doi.org/10.1007/s11270-008-9913-7","http://dx.doi.org/10.1007/s11270-008-9913-7")</f>
        <v>http://dx.doi.org/10.1007/s11270-008-9913-7</v>
      </c>
      <c r="BG2769" s="1" t="s">
        <v>74</v>
      </c>
      <c r="BH2769" s="1" t="s">
        <v>74</v>
      </c>
      <c r="BI2769" s="1">
        <v>16</v>
      </c>
      <c r="BJ2769" s="1" t="s">
        <v>722</v>
      </c>
      <c r="BK2769" s="1" t="s">
        <v>96</v>
      </c>
      <c r="BL2769" s="1" t="s">
        <v>723</v>
      </c>
      <c r="BM2769" s="1" t="s">
        <v>43993</v>
      </c>
      <c r="BN2769" s="1" t="s">
        <v>74</v>
      </c>
      <c r="BO2769" s="1" t="s">
        <v>74</v>
      </c>
      <c r="BP2769" s="1" t="s">
        <v>74</v>
      </c>
      <c r="BQ2769" s="1" t="s">
        <v>74</v>
      </c>
      <c r="BR2769" s="1" t="s">
        <v>98</v>
      </c>
      <c r="BS2769" s="1" t="s">
        <v>43994</v>
      </c>
      <c r="BT2769" s="1" t="str">
        <f>HYPERLINK("https%3A%2F%2Fwww.webofscience.com%2Fwos%2Fwoscc%2Ffull-record%2FWOS:000266487700026","View Full Record in Web of Science")</f>
        <v>View Full Record in Web of Science</v>
      </c>
      <c r="BU2769" s="1"/>
      <c r="BV2769" s="1"/>
    </row>
    <row r="2770" spans="1:74">
      <c r="A2770" s="1" t="s">
        <v>72</v>
      </c>
      <c r="B2770" s="1" t="s">
        <v>43995</v>
      </c>
      <c r="C2770" s="1" t="s">
        <v>74</v>
      </c>
      <c r="D2770" s="1" t="s">
        <v>74</v>
      </c>
      <c r="E2770" s="1" t="s">
        <v>74</v>
      </c>
      <c r="F2770" s="1" t="s">
        <v>43996</v>
      </c>
      <c r="G2770" s="1" t="s">
        <v>74</v>
      </c>
      <c r="H2770" s="1" t="s">
        <v>74</v>
      </c>
      <c r="I2770" s="1" t="s">
        <v>43997</v>
      </c>
      <c r="J2770" s="1" t="s">
        <v>2894</v>
      </c>
      <c r="K2770" s="1" t="s">
        <v>74</v>
      </c>
      <c r="L2770" s="1" t="s">
        <v>74</v>
      </c>
      <c r="M2770" s="1" t="s">
        <v>78</v>
      </c>
      <c r="N2770" s="1" t="s">
        <v>79</v>
      </c>
      <c r="O2770" s="1" t="s">
        <v>74</v>
      </c>
      <c r="P2770" s="1" t="s">
        <v>74</v>
      </c>
      <c r="Q2770" s="1" t="s">
        <v>74</v>
      </c>
      <c r="R2770" s="1" t="s">
        <v>74</v>
      </c>
      <c r="S2770" s="1" t="s">
        <v>74</v>
      </c>
      <c r="T2770" s="1" t="s">
        <v>43998</v>
      </c>
      <c r="U2770" s="1" t="s">
        <v>43999</v>
      </c>
      <c r="V2770" s="1" t="s">
        <v>44000</v>
      </c>
      <c r="W2770" s="1" t="s">
        <v>44001</v>
      </c>
      <c r="X2770" s="1" t="s">
        <v>7602</v>
      </c>
      <c r="Y2770" s="1" t="s">
        <v>44002</v>
      </c>
      <c r="Z2770" s="1" t="s">
        <v>44003</v>
      </c>
      <c r="AA2770" s="1" t="s">
        <v>74</v>
      </c>
      <c r="AB2770" s="1" t="s">
        <v>74</v>
      </c>
      <c r="AC2770" s="1" t="s">
        <v>74</v>
      </c>
      <c r="AD2770" s="1" t="s">
        <v>74</v>
      </c>
      <c r="AE2770" s="1" t="s">
        <v>74</v>
      </c>
      <c r="AF2770" s="1" t="s">
        <v>74</v>
      </c>
      <c r="AG2770" s="1">
        <v>28</v>
      </c>
      <c r="AH2770" s="1">
        <v>13</v>
      </c>
      <c r="AI2770" s="1">
        <v>19</v>
      </c>
      <c r="AJ2770" s="1">
        <v>1</v>
      </c>
      <c r="AK2770" s="1">
        <v>26</v>
      </c>
      <c r="AL2770" s="1" t="s">
        <v>2904</v>
      </c>
      <c r="AM2770" s="1" t="s">
        <v>2905</v>
      </c>
      <c r="AN2770" s="1" t="s">
        <v>2906</v>
      </c>
      <c r="AO2770" s="1" t="s">
        <v>2907</v>
      </c>
      <c r="AP2770" s="1" t="s">
        <v>74</v>
      </c>
      <c r="AQ2770" s="1" t="s">
        <v>74</v>
      </c>
      <c r="AR2770" s="1" t="s">
        <v>2908</v>
      </c>
      <c r="AS2770" s="1" t="s">
        <v>2909</v>
      </c>
      <c r="AT2770" s="1" t="s">
        <v>74</v>
      </c>
      <c r="AU2770" s="1">
        <v>2006</v>
      </c>
      <c r="AV2770" s="1">
        <v>320</v>
      </c>
      <c r="AW2770" s="1" t="s">
        <v>74</v>
      </c>
      <c r="AX2770" s="1" t="s">
        <v>74</v>
      </c>
      <c r="AY2770" s="1" t="s">
        <v>74</v>
      </c>
      <c r="AZ2770" s="1" t="s">
        <v>74</v>
      </c>
      <c r="BA2770" s="1" t="s">
        <v>74</v>
      </c>
      <c r="BB2770" s="1">
        <v>101</v>
      </c>
      <c r="BC2770" s="1">
        <v>108</v>
      </c>
      <c r="BD2770" s="1" t="s">
        <v>74</v>
      </c>
      <c r="BE2770" s="1" t="s">
        <v>44004</v>
      </c>
      <c r="BF2770" s="1" t="str">
        <f>HYPERLINK("http://dx.doi.org/10.3354/meps320101","http://dx.doi.org/10.3354/meps320101")</f>
        <v>http://dx.doi.org/10.3354/meps320101</v>
      </c>
      <c r="BG2770" s="1" t="s">
        <v>74</v>
      </c>
      <c r="BH2770" s="1" t="s">
        <v>74</v>
      </c>
      <c r="BI2770" s="1">
        <v>8</v>
      </c>
      <c r="BJ2770" s="1" t="s">
        <v>2911</v>
      </c>
      <c r="BK2770" s="1" t="s">
        <v>96</v>
      </c>
      <c r="BL2770" s="1" t="s">
        <v>2912</v>
      </c>
      <c r="BM2770" s="1" t="s">
        <v>44005</v>
      </c>
      <c r="BN2770" s="1" t="s">
        <v>74</v>
      </c>
      <c r="BO2770" s="1" t="s">
        <v>370</v>
      </c>
      <c r="BP2770" s="1" t="s">
        <v>74</v>
      </c>
      <c r="BQ2770" s="1" t="s">
        <v>74</v>
      </c>
      <c r="BR2770" s="1" t="s">
        <v>98</v>
      </c>
      <c r="BS2770" s="1" t="s">
        <v>44006</v>
      </c>
      <c r="BT2770" s="1" t="str">
        <f>HYPERLINK("https%3A%2F%2Fwww.webofscience.com%2Fwos%2Fwoscc%2Ffull-record%2FWOS:000241102800009","View Full Record in Web of Science")</f>
        <v>View Full Record in Web of Science</v>
      </c>
      <c r="BU2770" s="1"/>
      <c r="BV2770" s="1"/>
    </row>
    <row r="2771" spans="1:74">
      <c r="A2771" s="1" t="s">
        <v>72</v>
      </c>
      <c r="B2771" s="1" t="s">
        <v>44007</v>
      </c>
      <c r="C2771" s="1" t="s">
        <v>74</v>
      </c>
      <c r="D2771" s="1" t="s">
        <v>74</v>
      </c>
      <c r="E2771" s="1" t="s">
        <v>74</v>
      </c>
      <c r="F2771" s="1" t="s">
        <v>44008</v>
      </c>
      <c r="G2771" s="1" t="s">
        <v>74</v>
      </c>
      <c r="H2771" s="1" t="s">
        <v>74</v>
      </c>
      <c r="I2771" s="1" t="s">
        <v>44009</v>
      </c>
      <c r="J2771" s="1" t="s">
        <v>641</v>
      </c>
      <c r="K2771" s="1" t="s">
        <v>74</v>
      </c>
      <c r="L2771" s="1" t="s">
        <v>74</v>
      </c>
      <c r="M2771" s="1" t="s">
        <v>78</v>
      </c>
      <c r="N2771" s="1" t="s">
        <v>151</v>
      </c>
      <c r="O2771" s="1" t="s">
        <v>8198</v>
      </c>
      <c r="P2771" s="1" t="s">
        <v>8199</v>
      </c>
      <c r="Q2771" s="1" t="s">
        <v>8200</v>
      </c>
      <c r="R2771" s="1" t="s">
        <v>74</v>
      </c>
      <c r="S2771" s="1" t="s">
        <v>8201</v>
      </c>
      <c r="T2771" s="1" t="s">
        <v>44010</v>
      </c>
      <c r="U2771" s="1" t="s">
        <v>44011</v>
      </c>
      <c r="V2771" s="1" t="s">
        <v>44012</v>
      </c>
      <c r="W2771" s="1" t="s">
        <v>44013</v>
      </c>
      <c r="X2771" s="1" t="s">
        <v>44014</v>
      </c>
      <c r="Y2771" s="1" t="s">
        <v>44015</v>
      </c>
      <c r="Z2771" s="1" t="s">
        <v>8840</v>
      </c>
      <c r="AA2771" s="1" t="s">
        <v>44016</v>
      </c>
      <c r="AB2771" s="1" t="s">
        <v>44017</v>
      </c>
      <c r="AC2771" s="1" t="s">
        <v>74</v>
      </c>
      <c r="AD2771" s="1" t="s">
        <v>74</v>
      </c>
      <c r="AE2771" s="1" t="s">
        <v>74</v>
      </c>
      <c r="AF2771" s="1" t="s">
        <v>74</v>
      </c>
      <c r="AG2771" s="1">
        <v>77</v>
      </c>
      <c r="AH2771" s="1">
        <v>65</v>
      </c>
      <c r="AI2771" s="1">
        <v>67</v>
      </c>
      <c r="AJ2771" s="1">
        <v>1</v>
      </c>
      <c r="AK2771" s="1">
        <v>113</v>
      </c>
      <c r="AL2771" s="1" t="s">
        <v>650</v>
      </c>
      <c r="AM2771" s="1" t="s">
        <v>651</v>
      </c>
      <c r="AN2771" s="1" t="s">
        <v>652</v>
      </c>
      <c r="AO2771" s="1" t="s">
        <v>653</v>
      </c>
      <c r="AP2771" s="1" t="s">
        <v>654</v>
      </c>
      <c r="AQ2771" s="1" t="s">
        <v>74</v>
      </c>
      <c r="AR2771" s="1" t="s">
        <v>655</v>
      </c>
      <c r="AS2771" s="1" t="s">
        <v>656</v>
      </c>
      <c r="AT2771" s="1" t="s">
        <v>119</v>
      </c>
      <c r="AU2771" s="1">
        <v>2014</v>
      </c>
      <c r="AV2771" s="1">
        <v>153</v>
      </c>
      <c r="AW2771" s="1" t="s">
        <v>74</v>
      </c>
      <c r="AX2771" s="1" t="s">
        <v>74</v>
      </c>
      <c r="AY2771" s="1" t="s">
        <v>74</v>
      </c>
      <c r="AZ2771" s="1" t="s">
        <v>225</v>
      </c>
      <c r="BA2771" s="1" t="s">
        <v>74</v>
      </c>
      <c r="BB2771" s="1">
        <v>12</v>
      </c>
      <c r="BC2771" s="1">
        <v>26</v>
      </c>
      <c r="BD2771" s="1" t="s">
        <v>74</v>
      </c>
      <c r="BE2771" s="1" t="s">
        <v>44018</v>
      </c>
      <c r="BF2771" s="1" t="str">
        <f>HYPERLINK("http://dx.doi.org/10.1016/j.aquatox.2014.02.006","http://dx.doi.org/10.1016/j.aquatox.2014.02.006")</f>
        <v>http://dx.doi.org/10.1016/j.aquatox.2014.02.006</v>
      </c>
      <c r="BG2771" s="1" t="s">
        <v>74</v>
      </c>
      <c r="BH2771" s="1" t="s">
        <v>74</v>
      </c>
      <c r="BI2771" s="1">
        <v>15</v>
      </c>
      <c r="BJ2771" s="1" t="s">
        <v>659</v>
      </c>
      <c r="BK2771" s="1" t="s">
        <v>172</v>
      </c>
      <c r="BL2771" s="1" t="s">
        <v>659</v>
      </c>
      <c r="BM2771" s="1" t="s">
        <v>8212</v>
      </c>
      <c r="BN2771" s="1">
        <v>24630142</v>
      </c>
      <c r="BO2771" s="1" t="s">
        <v>74</v>
      </c>
      <c r="BP2771" s="1" t="s">
        <v>74</v>
      </c>
      <c r="BQ2771" s="1" t="s">
        <v>74</v>
      </c>
      <c r="BR2771" s="1" t="s">
        <v>98</v>
      </c>
      <c r="BS2771" s="1" t="s">
        <v>44019</v>
      </c>
      <c r="BT2771" s="1" t="str">
        <f>HYPERLINK("https%3A%2F%2Fwww.webofscience.com%2Fwos%2Fwoscc%2Ffull-record%2FWOS:000339149200003","View Full Record in Web of Science")</f>
        <v>View Full Record in Web of Science</v>
      </c>
      <c r="BU2771" s="1"/>
      <c r="BV2771" s="1"/>
    </row>
    <row r="2772" spans="1:74">
      <c r="A2772" s="1" t="s">
        <v>72</v>
      </c>
      <c r="B2772" s="1" t="s">
        <v>44020</v>
      </c>
      <c r="C2772" s="1" t="s">
        <v>74</v>
      </c>
      <c r="D2772" s="1" t="s">
        <v>74</v>
      </c>
      <c r="E2772" s="1" t="s">
        <v>74</v>
      </c>
      <c r="F2772" s="1" t="s">
        <v>44021</v>
      </c>
      <c r="G2772" s="1" t="s">
        <v>74</v>
      </c>
      <c r="H2772" s="1" t="s">
        <v>74</v>
      </c>
      <c r="I2772" s="1" t="s">
        <v>44022</v>
      </c>
      <c r="J2772" s="1" t="s">
        <v>37541</v>
      </c>
      <c r="K2772" s="1" t="s">
        <v>74</v>
      </c>
      <c r="L2772" s="1" t="s">
        <v>74</v>
      </c>
      <c r="M2772" s="1" t="s">
        <v>78</v>
      </c>
      <c r="N2772" s="1" t="s">
        <v>79</v>
      </c>
      <c r="O2772" s="1" t="s">
        <v>74</v>
      </c>
      <c r="P2772" s="1" t="s">
        <v>74</v>
      </c>
      <c r="Q2772" s="1" t="s">
        <v>74</v>
      </c>
      <c r="R2772" s="1" t="s">
        <v>74</v>
      </c>
      <c r="S2772" s="1" t="s">
        <v>74</v>
      </c>
      <c r="T2772" s="1" t="s">
        <v>44023</v>
      </c>
      <c r="U2772" s="1" t="s">
        <v>74</v>
      </c>
      <c r="V2772" s="1" t="s">
        <v>44024</v>
      </c>
      <c r="W2772" s="1" t="s">
        <v>44025</v>
      </c>
      <c r="X2772" s="1" t="s">
        <v>44026</v>
      </c>
      <c r="Y2772" s="1" t="s">
        <v>44027</v>
      </c>
      <c r="Z2772" s="1" t="s">
        <v>44028</v>
      </c>
      <c r="AA2772" s="1" t="s">
        <v>44029</v>
      </c>
      <c r="AB2772" s="1" t="s">
        <v>74</v>
      </c>
      <c r="AC2772" s="1" t="s">
        <v>44030</v>
      </c>
      <c r="AD2772" s="1" t="s">
        <v>44031</v>
      </c>
      <c r="AE2772" s="1" t="s">
        <v>44032</v>
      </c>
      <c r="AF2772" s="1" t="s">
        <v>74</v>
      </c>
      <c r="AG2772" s="1">
        <v>32</v>
      </c>
      <c r="AH2772" s="1">
        <v>6</v>
      </c>
      <c r="AI2772" s="1">
        <v>6</v>
      </c>
      <c r="AJ2772" s="1">
        <v>26</v>
      </c>
      <c r="AK2772" s="1">
        <v>71</v>
      </c>
      <c r="AL2772" s="1" t="s">
        <v>19345</v>
      </c>
      <c r="AM2772" s="1" t="s">
        <v>1351</v>
      </c>
      <c r="AN2772" s="1" t="s">
        <v>19346</v>
      </c>
      <c r="AO2772" s="1" t="s">
        <v>74</v>
      </c>
      <c r="AP2772" s="1" t="s">
        <v>37554</v>
      </c>
      <c r="AQ2772" s="1" t="s">
        <v>74</v>
      </c>
      <c r="AR2772" s="1" t="s">
        <v>37555</v>
      </c>
      <c r="AS2772" s="1" t="s">
        <v>37556</v>
      </c>
      <c r="AT2772" s="1" t="s">
        <v>2303</v>
      </c>
      <c r="AU2772" s="1">
        <v>2023</v>
      </c>
      <c r="AV2772" s="1">
        <v>396</v>
      </c>
      <c r="AW2772" s="1" t="s">
        <v>74</v>
      </c>
      <c r="AX2772" s="1" t="s">
        <v>74</v>
      </c>
      <c r="AY2772" s="1" t="s">
        <v>74</v>
      </c>
      <c r="AZ2772" s="1" t="s">
        <v>74</v>
      </c>
      <c r="BA2772" s="1" t="s">
        <v>74</v>
      </c>
      <c r="BB2772" s="1" t="s">
        <v>74</v>
      </c>
      <c r="BC2772" s="1" t="s">
        <v>74</v>
      </c>
      <c r="BD2772" s="1">
        <v>134648</v>
      </c>
      <c r="BE2772" s="1" t="s">
        <v>44033</v>
      </c>
      <c r="BF2772" s="1" t="str">
        <f>HYPERLINK("http://dx.doi.org/10.1016/j.snb.2023.134648","http://dx.doi.org/10.1016/j.snb.2023.134648")</f>
        <v>http://dx.doi.org/10.1016/j.snb.2023.134648</v>
      </c>
      <c r="BG2772" s="1" t="s">
        <v>74</v>
      </c>
      <c r="BH2772" s="1" t="s">
        <v>2000</v>
      </c>
      <c r="BI2772" s="1">
        <v>10</v>
      </c>
      <c r="BJ2772" s="1" t="s">
        <v>37558</v>
      </c>
      <c r="BK2772" s="1" t="s">
        <v>96</v>
      </c>
      <c r="BL2772" s="1" t="s">
        <v>37559</v>
      </c>
      <c r="BM2772" s="1" t="s">
        <v>44034</v>
      </c>
      <c r="BN2772" s="1" t="s">
        <v>74</v>
      </c>
      <c r="BO2772" s="1" t="s">
        <v>74</v>
      </c>
      <c r="BP2772" s="1" t="s">
        <v>74</v>
      </c>
      <c r="BQ2772" s="1" t="s">
        <v>74</v>
      </c>
      <c r="BR2772" s="1" t="s">
        <v>98</v>
      </c>
      <c r="BS2772" s="1" t="s">
        <v>44035</v>
      </c>
      <c r="BT2772" s="1" t="str">
        <f>HYPERLINK("https%3A%2F%2Fwww.webofscience.com%2Fwos%2Fwoscc%2Ffull-record%2FWOS:001079456600001","View Full Record in Web of Science")</f>
        <v>View Full Record in Web of Science</v>
      </c>
      <c r="BU2772" s="1"/>
      <c r="BV2772" s="1"/>
    </row>
    <row r="2773" spans="1:74">
      <c r="A2773" s="1" t="s">
        <v>72</v>
      </c>
      <c r="B2773" s="1" t="s">
        <v>44036</v>
      </c>
      <c r="C2773" s="1" t="s">
        <v>74</v>
      </c>
      <c r="D2773" s="1" t="s">
        <v>74</v>
      </c>
      <c r="E2773" s="1" t="s">
        <v>74</v>
      </c>
      <c r="F2773" s="1" t="s">
        <v>44036</v>
      </c>
      <c r="G2773" s="1" t="s">
        <v>74</v>
      </c>
      <c r="H2773" s="1" t="s">
        <v>74</v>
      </c>
      <c r="I2773" s="1" t="s">
        <v>44037</v>
      </c>
      <c r="J2773" s="1" t="s">
        <v>44038</v>
      </c>
      <c r="K2773" s="1" t="s">
        <v>74</v>
      </c>
      <c r="L2773" s="1" t="s">
        <v>74</v>
      </c>
      <c r="M2773" s="1" t="s">
        <v>78</v>
      </c>
      <c r="N2773" s="1" t="s">
        <v>79</v>
      </c>
      <c r="O2773" s="1" t="s">
        <v>74</v>
      </c>
      <c r="P2773" s="1" t="s">
        <v>74</v>
      </c>
      <c r="Q2773" s="1" t="s">
        <v>74</v>
      </c>
      <c r="R2773" s="1" t="s">
        <v>74</v>
      </c>
      <c r="S2773" s="1" t="s">
        <v>74</v>
      </c>
      <c r="T2773" s="1" t="s">
        <v>44039</v>
      </c>
      <c r="U2773" s="1" t="s">
        <v>44040</v>
      </c>
      <c r="V2773" s="1" t="s">
        <v>44041</v>
      </c>
      <c r="W2773" s="1" t="s">
        <v>44042</v>
      </c>
      <c r="X2773" s="1" t="s">
        <v>44043</v>
      </c>
      <c r="Y2773" s="1" t="s">
        <v>44044</v>
      </c>
      <c r="Z2773" s="1" t="s">
        <v>74</v>
      </c>
      <c r="AA2773" s="1" t="s">
        <v>41307</v>
      </c>
      <c r="AB2773" s="1" t="s">
        <v>41308</v>
      </c>
      <c r="AC2773" s="1" t="s">
        <v>74</v>
      </c>
      <c r="AD2773" s="1" t="s">
        <v>74</v>
      </c>
      <c r="AE2773" s="1" t="s">
        <v>74</v>
      </c>
      <c r="AF2773" s="1" t="s">
        <v>74</v>
      </c>
      <c r="AG2773" s="1">
        <v>35</v>
      </c>
      <c r="AH2773" s="1">
        <v>2</v>
      </c>
      <c r="AI2773" s="1">
        <v>3</v>
      </c>
      <c r="AJ2773" s="1">
        <v>0</v>
      </c>
      <c r="AK2773" s="1">
        <v>8</v>
      </c>
      <c r="AL2773" s="1" t="s">
        <v>6584</v>
      </c>
      <c r="AM2773" s="1" t="s">
        <v>113</v>
      </c>
      <c r="AN2773" s="1" t="s">
        <v>2719</v>
      </c>
      <c r="AO2773" s="1" t="s">
        <v>44045</v>
      </c>
      <c r="AP2773" s="1" t="s">
        <v>74</v>
      </c>
      <c r="AQ2773" s="1" t="s">
        <v>74</v>
      </c>
      <c r="AR2773" s="1" t="s">
        <v>44046</v>
      </c>
      <c r="AS2773" s="1" t="s">
        <v>44047</v>
      </c>
      <c r="AT2773" s="1" t="s">
        <v>510</v>
      </c>
      <c r="AU2773" s="1">
        <v>1998</v>
      </c>
      <c r="AV2773" s="1">
        <v>22</v>
      </c>
      <c r="AW2773" s="1">
        <v>6</v>
      </c>
      <c r="AX2773" s="1" t="s">
        <v>74</v>
      </c>
      <c r="AY2773" s="1" t="s">
        <v>74</v>
      </c>
      <c r="AZ2773" s="1" t="s">
        <v>74</v>
      </c>
      <c r="BA2773" s="1" t="s">
        <v>74</v>
      </c>
      <c r="BB2773" s="1">
        <v>937</v>
      </c>
      <c r="BC2773" s="1">
        <v>945</v>
      </c>
      <c r="BD2773" s="1" t="s">
        <v>74</v>
      </c>
      <c r="BE2773" s="1" t="s">
        <v>44048</v>
      </c>
      <c r="BF2773" s="1" t="str">
        <f>HYPERLINK("http://dx.doi.org/10.1007/s002679900160","http://dx.doi.org/10.1007/s002679900160")</f>
        <v>http://dx.doi.org/10.1007/s002679900160</v>
      </c>
      <c r="BG2773" s="1" t="s">
        <v>74</v>
      </c>
      <c r="BH2773" s="1" t="s">
        <v>74</v>
      </c>
      <c r="BI2773" s="1">
        <v>9</v>
      </c>
      <c r="BJ2773" s="1" t="s">
        <v>144</v>
      </c>
      <c r="BK2773" s="1" t="s">
        <v>96</v>
      </c>
      <c r="BL2773" s="1" t="s">
        <v>145</v>
      </c>
      <c r="BM2773" s="1" t="s">
        <v>44049</v>
      </c>
      <c r="BN2773" s="1">
        <v>9732522</v>
      </c>
      <c r="BO2773" s="1" t="s">
        <v>74</v>
      </c>
      <c r="BP2773" s="1" t="s">
        <v>74</v>
      </c>
      <c r="BQ2773" s="1" t="s">
        <v>74</v>
      </c>
      <c r="BR2773" s="1" t="s">
        <v>98</v>
      </c>
      <c r="BS2773" s="1" t="s">
        <v>44050</v>
      </c>
      <c r="BT2773" s="1" t="str">
        <f>HYPERLINK("https%3A%2F%2Fwww.webofscience.com%2Fwos%2Fwoscc%2Ffull-record%2FWOS:000075871000012","View Full Record in Web of Science")</f>
        <v>View Full Record in Web of Science</v>
      </c>
      <c r="BU2773" s="1"/>
      <c r="BV2773" s="1"/>
    </row>
    <row r="2774" spans="1:74">
      <c r="A2774" s="1" t="s">
        <v>72</v>
      </c>
      <c r="B2774" s="1" t="s">
        <v>44051</v>
      </c>
      <c r="C2774" s="1" t="s">
        <v>74</v>
      </c>
      <c r="D2774" s="1" t="s">
        <v>74</v>
      </c>
      <c r="E2774" s="1" t="s">
        <v>74</v>
      </c>
      <c r="F2774" s="1" t="s">
        <v>44052</v>
      </c>
      <c r="G2774" s="1" t="s">
        <v>74</v>
      </c>
      <c r="H2774" s="1" t="s">
        <v>74</v>
      </c>
      <c r="I2774" s="1" t="s">
        <v>44053</v>
      </c>
      <c r="J2774" s="1" t="s">
        <v>16200</v>
      </c>
      <c r="K2774" s="1" t="s">
        <v>74</v>
      </c>
      <c r="L2774" s="1" t="s">
        <v>74</v>
      </c>
      <c r="M2774" s="1" t="s">
        <v>78</v>
      </c>
      <c r="N2774" s="1" t="s">
        <v>79</v>
      </c>
      <c r="O2774" s="1" t="s">
        <v>74</v>
      </c>
      <c r="P2774" s="1" t="s">
        <v>74</v>
      </c>
      <c r="Q2774" s="1" t="s">
        <v>74</v>
      </c>
      <c r="R2774" s="1" t="s">
        <v>74</v>
      </c>
      <c r="S2774" s="1" t="s">
        <v>74</v>
      </c>
      <c r="T2774" s="1" t="s">
        <v>44054</v>
      </c>
      <c r="U2774" s="1" t="s">
        <v>44055</v>
      </c>
      <c r="V2774" s="1" t="s">
        <v>44056</v>
      </c>
      <c r="W2774" s="1" t="s">
        <v>44057</v>
      </c>
      <c r="X2774" s="1" t="s">
        <v>44058</v>
      </c>
      <c r="Y2774" s="1" t="s">
        <v>44059</v>
      </c>
      <c r="Z2774" s="1" t="s">
        <v>44060</v>
      </c>
      <c r="AA2774" s="1" t="s">
        <v>44061</v>
      </c>
      <c r="AB2774" s="1" t="s">
        <v>44062</v>
      </c>
      <c r="AC2774" s="1" t="s">
        <v>74</v>
      </c>
      <c r="AD2774" s="1" t="s">
        <v>74</v>
      </c>
      <c r="AE2774" s="1" t="s">
        <v>74</v>
      </c>
      <c r="AF2774" s="1" t="s">
        <v>74</v>
      </c>
      <c r="AG2774" s="1">
        <v>89</v>
      </c>
      <c r="AH2774" s="1">
        <v>3</v>
      </c>
      <c r="AI2774" s="1">
        <v>3</v>
      </c>
      <c r="AJ2774" s="1">
        <v>1</v>
      </c>
      <c r="AK2774" s="1">
        <v>7</v>
      </c>
      <c r="AL2774" s="1" t="s">
        <v>136</v>
      </c>
      <c r="AM2774" s="1" t="s">
        <v>137</v>
      </c>
      <c r="AN2774" s="1" t="s">
        <v>138</v>
      </c>
      <c r="AO2774" s="1" t="s">
        <v>16209</v>
      </c>
      <c r="AP2774" s="1" t="s">
        <v>34250</v>
      </c>
      <c r="AQ2774" s="1" t="s">
        <v>74</v>
      </c>
      <c r="AR2774" s="1" t="s">
        <v>16210</v>
      </c>
      <c r="AS2774" s="1" t="s">
        <v>16211</v>
      </c>
      <c r="AT2774" s="1" t="s">
        <v>93</v>
      </c>
      <c r="AU2774" s="1">
        <v>2023</v>
      </c>
      <c r="AV2774" s="1">
        <v>107</v>
      </c>
      <c r="AW2774" s="1" t="s">
        <v>74</v>
      </c>
      <c r="AX2774" s="1" t="s">
        <v>74</v>
      </c>
      <c r="AY2774" s="1" t="s">
        <v>74</v>
      </c>
      <c r="AZ2774" s="1" t="s">
        <v>74</v>
      </c>
      <c r="BA2774" s="1" t="s">
        <v>74</v>
      </c>
      <c r="BB2774" s="1" t="s">
        <v>74</v>
      </c>
      <c r="BC2774" s="1" t="s">
        <v>74</v>
      </c>
      <c r="BD2774" s="1">
        <v>104608</v>
      </c>
      <c r="BE2774" s="1" t="s">
        <v>44063</v>
      </c>
      <c r="BF2774" s="1" t="str">
        <f>HYPERLINK("http://dx.doi.org/10.1016/j.bse.2023.104608","http://dx.doi.org/10.1016/j.bse.2023.104608")</f>
        <v>http://dx.doi.org/10.1016/j.bse.2023.104608</v>
      </c>
      <c r="BG2774" s="1" t="s">
        <v>74</v>
      </c>
      <c r="BH2774" s="1" t="s">
        <v>2057</v>
      </c>
      <c r="BI2774" s="1">
        <v>11</v>
      </c>
      <c r="BJ2774" s="1" t="s">
        <v>16213</v>
      </c>
      <c r="BK2774" s="1" t="s">
        <v>96</v>
      </c>
      <c r="BL2774" s="1" t="s">
        <v>16214</v>
      </c>
      <c r="BM2774" s="1" t="s">
        <v>44064</v>
      </c>
      <c r="BN2774" s="1" t="s">
        <v>74</v>
      </c>
      <c r="BO2774" s="1" t="s">
        <v>74</v>
      </c>
      <c r="BP2774" s="1" t="s">
        <v>74</v>
      </c>
      <c r="BQ2774" s="1" t="s">
        <v>74</v>
      </c>
      <c r="BR2774" s="1" t="s">
        <v>98</v>
      </c>
      <c r="BS2774" s="1" t="s">
        <v>44065</v>
      </c>
      <c r="BT2774" s="1" t="str">
        <f>HYPERLINK("https%3A%2F%2Fwww.webofscience.com%2Fwos%2Fwoscc%2Ffull-record%2FWOS:000926746000001","View Full Record in Web of Science")</f>
        <v>View Full Record in Web of Science</v>
      </c>
      <c r="BU2774" s="1"/>
      <c r="BV2774" s="1"/>
    </row>
    <row r="2775" spans="1:74">
      <c r="A2775" s="1" t="s">
        <v>72</v>
      </c>
      <c r="B2775" s="1" t="s">
        <v>44066</v>
      </c>
      <c r="C2775" s="1" t="s">
        <v>74</v>
      </c>
      <c r="D2775" s="1" t="s">
        <v>74</v>
      </c>
      <c r="E2775" s="1" t="s">
        <v>74</v>
      </c>
      <c r="F2775" s="1" t="s">
        <v>44066</v>
      </c>
      <c r="G2775" s="1" t="s">
        <v>74</v>
      </c>
      <c r="H2775" s="1" t="s">
        <v>74</v>
      </c>
      <c r="I2775" s="1" t="s">
        <v>44067</v>
      </c>
      <c r="J2775" s="1" t="s">
        <v>2408</v>
      </c>
      <c r="K2775" s="1" t="s">
        <v>74</v>
      </c>
      <c r="L2775" s="1" t="s">
        <v>74</v>
      </c>
      <c r="M2775" s="1" t="s">
        <v>78</v>
      </c>
      <c r="N2775" s="1" t="s">
        <v>151</v>
      </c>
      <c r="O2775" s="1" t="s">
        <v>44068</v>
      </c>
      <c r="P2775" s="1" t="s">
        <v>44069</v>
      </c>
      <c r="Q2775" s="1" t="s">
        <v>44070</v>
      </c>
      <c r="R2775" s="1" t="s">
        <v>74</v>
      </c>
      <c r="S2775" s="1" t="s">
        <v>74</v>
      </c>
      <c r="T2775" s="1" t="s">
        <v>74</v>
      </c>
      <c r="U2775" s="1" t="s">
        <v>44071</v>
      </c>
      <c r="V2775" s="1" t="s">
        <v>44072</v>
      </c>
      <c r="W2775" s="1" t="s">
        <v>44073</v>
      </c>
      <c r="X2775" s="1" t="s">
        <v>44074</v>
      </c>
      <c r="Y2775" s="1" t="s">
        <v>44075</v>
      </c>
      <c r="Z2775" s="1" t="s">
        <v>74</v>
      </c>
      <c r="AA2775" s="1" t="s">
        <v>74</v>
      </c>
      <c r="AB2775" s="1" t="s">
        <v>74</v>
      </c>
      <c r="AC2775" s="1" t="s">
        <v>74</v>
      </c>
      <c r="AD2775" s="1" t="s">
        <v>74</v>
      </c>
      <c r="AE2775" s="1" t="s">
        <v>74</v>
      </c>
      <c r="AF2775" s="1" t="s">
        <v>74</v>
      </c>
      <c r="AG2775" s="1">
        <v>55</v>
      </c>
      <c r="AH2775" s="1">
        <v>7</v>
      </c>
      <c r="AI2775" s="1">
        <v>8</v>
      </c>
      <c r="AJ2775" s="1">
        <v>0</v>
      </c>
      <c r="AK2775" s="1">
        <v>3</v>
      </c>
      <c r="AL2775" s="1" t="s">
        <v>2421</v>
      </c>
      <c r="AM2775" s="1" t="s">
        <v>2422</v>
      </c>
      <c r="AN2775" s="1" t="s">
        <v>2423</v>
      </c>
      <c r="AO2775" s="1" t="s">
        <v>2424</v>
      </c>
      <c r="AP2775" s="1" t="s">
        <v>2425</v>
      </c>
      <c r="AQ2775" s="1" t="s">
        <v>74</v>
      </c>
      <c r="AR2775" s="1" t="s">
        <v>2426</v>
      </c>
      <c r="AS2775" s="1" t="s">
        <v>2427</v>
      </c>
      <c r="AT2775" s="1" t="s">
        <v>197</v>
      </c>
      <c r="AU2775" s="1">
        <v>1998</v>
      </c>
      <c r="AV2775" s="1">
        <v>17</v>
      </c>
      <c r="AW2775" s="1">
        <v>5</v>
      </c>
      <c r="AX2775" s="1" t="s">
        <v>74</v>
      </c>
      <c r="AY2775" s="1" t="s">
        <v>74</v>
      </c>
      <c r="AZ2775" s="1" t="s">
        <v>74</v>
      </c>
      <c r="BA2775" s="1" t="s">
        <v>74</v>
      </c>
      <c r="BB2775" s="1">
        <v>1375</v>
      </c>
      <c r="BC2775" s="1">
        <v>1382</v>
      </c>
      <c r="BD2775" s="1" t="s">
        <v>74</v>
      </c>
      <c r="BE2775" s="1" t="s">
        <v>74</v>
      </c>
      <c r="BF2775" s="1" t="s">
        <v>74</v>
      </c>
      <c r="BG2775" s="1" t="s">
        <v>74</v>
      </c>
      <c r="BH2775" s="1" t="s">
        <v>74</v>
      </c>
      <c r="BI2775" s="1">
        <v>8</v>
      </c>
      <c r="BJ2775" s="1" t="s">
        <v>2391</v>
      </c>
      <c r="BK2775" s="1" t="s">
        <v>172</v>
      </c>
      <c r="BL2775" s="1" t="s">
        <v>2391</v>
      </c>
      <c r="BM2775" s="1" t="s">
        <v>44076</v>
      </c>
      <c r="BN2775" s="1" t="s">
        <v>74</v>
      </c>
      <c r="BO2775" s="1" t="s">
        <v>74</v>
      </c>
      <c r="BP2775" s="1" t="s">
        <v>74</v>
      </c>
      <c r="BQ2775" s="1" t="s">
        <v>74</v>
      </c>
      <c r="BR2775" s="1" t="s">
        <v>98</v>
      </c>
      <c r="BS2775" s="1" t="s">
        <v>44077</v>
      </c>
      <c r="BT2775" s="1" t="str">
        <f>HYPERLINK("https%3A%2F%2Fwww.webofscience.com%2Fwos%2Fwoscc%2Ffull-record%2FWOS:000079811400005","View Full Record in Web of Science")</f>
        <v>View Full Record in Web of Science</v>
      </c>
      <c r="BU2775" s="1"/>
      <c r="BV2775" s="1"/>
    </row>
    <row r="2776" spans="1:74">
      <c r="A2776" s="1" t="s">
        <v>72</v>
      </c>
      <c r="B2776" s="1" t="s">
        <v>44078</v>
      </c>
      <c r="C2776" s="1" t="s">
        <v>74</v>
      </c>
      <c r="D2776" s="1" t="s">
        <v>74</v>
      </c>
      <c r="E2776" s="1" t="s">
        <v>74</v>
      </c>
      <c r="F2776" s="1" t="s">
        <v>44079</v>
      </c>
      <c r="G2776" s="1" t="s">
        <v>74</v>
      </c>
      <c r="H2776" s="1" t="s">
        <v>74</v>
      </c>
      <c r="I2776" s="1" t="s">
        <v>44080</v>
      </c>
      <c r="J2776" s="1" t="s">
        <v>204</v>
      </c>
      <c r="K2776" s="1" t="s">
        <v>74</v>
      </c>
      <c r="L2776" s="1" t="s">
        <v>74</v>
      </c>
      <c r="M2776" s="1" t="s">
        <v>78</v>
      </c>
      <c r="N2776" s="1" t="s">
        <v>79</v>
      </c>
      <c r="O2776" s="1" t="s">
        <v>74</v>
      </c>
      <c r="P2776" s="1" t="s">
        <v>74</v>
      </c>
      <c r="Q2776" s="1" t="s">
        <v>74</v>
      </c>
      <c r="R2776" s="1" t="s">
        <v>74</v>
      </c>
      <c r="S2776" s="1" t="s">
        <v>74</v>
      </c>
      <c r="T2776" s="1" t="s">
        <v>44081</v>
      </c>
      <c r="U2776" s="1" t="s">
        <v>44082</v>
      </c>
      <c r="V2776" s="1" t="s">
        <v>44083</v>
      </c>
      <c r="W2776" s="1" t="s">
        <v>44084</v>
      </c>
      <c r="X2776" s="1" t="s">
        <v>19904</v>
      </c>
      <c r="Y2776" s="1" t="s">
        <v>44085</v>
      </c>
      <c r="Z2776" s="1" t="s">
        <v>32833</v>
      </c>
      <c r="AA2776" s="1" t="s">
        <v>44086</v>
      </c>
      <c r="AB2776" s="1" t="s">
        <v>44087</v>
      </c>
      <c r="AC2776" s="1" t="s">
        <v>44088</v>
      </c>
      <c r="AD2776" s="1" t="s">
        <v>31190</v>
      </c>
      <c r="AE2776" s="1" t="s">
        <v>44089</v>
      </c>
      <c r="AF2776" s="1" t="s">
        <v>74</v>
      </c>
      <c r="AG2776" s="1">
        <v>49</v>
      </c>
      <c r="AH2776" s="1">
        <v>11</v>
      </c>
      <c r="AI2776" s="1">
        <v>12</v>
      </c>
      <c r="AJ2776" s="1">
        <v>3</v>
      </c>
      <c r="AK2776" s="1">
        <v>26</v>
      </c>
      <c r="AL2776" s="1" t="s">
        <v>217</v>
      </c>
      <c r="AM2776" s="1" t="s">
        <v>218</v>
      </c>
      <c r="AN2776" s="1" t="s">
        <v>219</v>
      </c>
      <c r="AO2776" s="1" t="s">
        <v>220</v>
      </c>
      <c r="AP2776" s="1" t="s">
        <v>221</v>
      </c>
      <c r="AQ2776" s="1" t="s">
        <v>74</v>
      </c>
      <c r="AR2776" s="1" t="s">
        <v>222</v>
      </c>
      <c r="AS2776" s="1" t="s">
        <v>223</v>
      </c>
      <c r="AT2776" s="1" t="s">
        <v>170</v>
      </c>
      <c r="AU2776" s="1">
        <v>2016</v>
      </c>
      <c r="AV2776" s="1">
        <v>23</v>
      </c>
      <c r="AW2776" s="1">
        <v>10</v>
      </c>
      <c r="AX2776" s="1" t="s">
        <v>74</v>
      </c>
      <c r="AY2776" s="1" t="s">
        <v>74</v>
      </c>
      <c r="AZ2776" s="1" t="s">
        <v>74</v>
      </c>
      <c r="BA2776" s="1" t="s">
        <v>74</v>
      </c>
      <c r="BB2776" s="1">
        <v>9649</v>
      </c>
      <c r="BC2776" s="1">
        <v>9659</v>
      </c>
      <c r="BD2776" s="1" t="s">
        <v>74</v>
      </c>
      <c r="BE2776" s="1" t="s">
        <v>44090</v>
      </c>
      <c r="BF2776" s="1" t="str">
        <f>HYPERLINK("http://dx.doi.org/10.1007/s11356-016-6194-3","http://dx.doi.org/10.1007/s11356-016-6194-3")</f>
        <v>http://dx.doi.org/10.1007/s11356-016-6194-3</v>
      </c>
      <c r="BG2776" s="1" t="s">
        <v>74</v>
      </c>
      <c r="BH2776" s="1" t="s">
        <v>74</v>
      </c>
      <c r="BI2776" s="1">
        <v>11</v>
      </c>
      <c r="BJ2776" s="1" t="s">
        <v>144</v>
      </c>
      <c r="BK2776" s="1" t="s">
        <v>96</v>
      </c>
      <c r="BL2776" s="1" t="s">
        <v>145</v>
      </c>
      <c r="BM2776" s="1" t="s">
        <v>44091</v>
      </c>
      <c r="BN2776" s="1">
        <v>26846240</v>
      </c>
      <c r="BO2776" s="1" t="s">
        <v>74</v>
      </c>
      <c r="BP2776" s="1" t="s">
        <v>74</v>
      </c>
      <c r="BQ2776" s="1" t="s">
        <v>74</v>
      </c>
      <c r="BR2776" s="1" t="s">
        <v>98</v>
      </c>
      <c r="BS2776" s="1" t="s">
        <v>44092</v>
      </c>
      <c r="BT2776" s="1" t="str">
        <f>HYPERLINK("https%3A%2F%2Fwww.webofscience.com%2Fwos%2Fwoscc%2Ffull-record%2FWOS:000376421400038","View Full Record in Web of Science")</f>
        <v>View Full Record in Web of Science</v>
      </c>
      <c r="BU2776" s="1"/>
      <c r="BV2776" s="1"/>
    </row>
    <row r="2777" spans="1:74">
      <c r="A2777" s="1" t="s">
        <v>72</v>
      </c>
      <c r="B2777" s="1" t="s">
        <v>44093</v>
      </c>
      <c r="C2777" s="1" t="s">
        <v>74</v>
      </c>
      <c r="D2777" s="1" t="s">
        <v>74</v>
      </c>
      <c r="E2777" s="1" t="s">
        <v>74</v>
      </c>
      <c r="F2777" s="1" t="s">
        <v>44094</v>
      </c>
      <c r="G2777" s="1" t="s">
        <v>74</v>
      </c>
      <c r="H2777" s="1" t="s">
        <v>74</v>
      </c>
      <c r="I2777" s="1" t="s">
        <v>44095</v>
      </c>
      <c r="J2777" s="1" t="s">
        <v>232</v>
      </c>
      <c r="K2777" s="1" t="s">
        <v>74</v>
      </c>
      <c r="L2777" s="1" t="s">
        <v>74</v>
      </c>
      <c r="M2777" s="1" t="s">
        <v>78</v>
      </c>
      <c r="N2777" s="1" t="s">
        <v>79</v>
      </c>
      <c r="O2777" s="1" t="s">
        <v>74</v>
      </c>
      <c r="P2777" s="1" t="s">
        <v>74</v>
      </c>
      <c r="Q2777" s="1" t="s">
        <v>74</v>
      </c>
      <c r="R2777" s="1" t="s">
        <v>74</v>
      </c>
      <c r="S2777" s="1" t="s">
        <v>74</v>
      </c>
      <c r="T2777" s="1" t="s">
        <v>44096</v>
      </c>
      <c r="U2777" s="1" t="s">
        <v>44097</v>
      </c>
      <c r="V2777" s="1" t="s">
        <v>44098</v>
      </c>
      <c r="W2777" s="1" t="s">
        <v>44099</v>
      </c>
      <c r="X2777" s="1" t="s">
        <v>44100</v>
      </c>
      <c r="Y2777" s="1" t="s">
        <v>44101</v>
      </c>
      <c r="Z2777" s="1" t="s">
        <v>44102</v>
      </c>
      <c r="AA2777" s="1" t="s">
        <v>44103</v>
      </c>
      <c r="AB2777" s="1" t="s">
        <v>74</v>
      </c>
      <c r="AC2777" s="1" t="s">
        <v>44104</v>
      </c>
      <c r="AD2777" s="1" t="s">
        <v>44105</v>
      </c>
      <c r="AE2777" s="1" t="s">
        <v>44106</v>
      </c>
      <c r="AF2777" s="1" t="s">
        <v>74</v>
      </c>
      <c r="AG2777" s="1">
        <v>56</v>
      </c>
      <c r="AH2777" s="1">
        <v>29</v>
      </c>
      <c r="AI2777" s="1">
        <v>30</v>
      </c>
      <c r="AJ2777" s="1">
        <v>0</v>
      </c>
      <c r="AK2777" s="1">
        <v>10</v>
      </c>
      <c r="AL2777" s="1" t="s">
        <v>136</v>
      </c>
      <c r="AM2777" s="1" t="s">
        <v>137</v>
      </c>
      <c r="AN2777" s="1" t="s">
        <v>138</v>
      </c>
      <c r="AO2777" s="1" t="s">
        <v>240</v>
      </c>
      <c r="AP2777" s="1" t="s">
        <v>241</v>
      </c>
      <c r="AQ2777" s="1" t="s">
        <v>74</v>
      </c>
      <c r="AR2777" s="1" t="s">
        <v>242</v>
      </c>
      <c r="AS2777" s="1" t="s">
        <v>243</v>
      </c>
      <c r="AT2777" s="1" t="s">
        <v>3891</v>
      </c>
      <c r="AU2777" s="1">
        <v>2014</v>
      </c>
      <c r="AV2777" s="1">
        <v>78</v>
      </c>
      <c r="AW2777" s="1" t="s">
        <v>326</v>
      </c>
      <c r="AX2777" s="1" t="s">
        <v>74</v>
      </c>
      <c r="AY2777" s="1" t="s">
        <v>74</v>
      </c>
      <c r="AZ2777" s="1" t="s">
        <v>74</v>
      </c>
      <c r="BA2777" s="1" t="s">
        <v>74</v>
      </c>
      <c r="BB2777" s="1">
        <v>137</v>
      </c>
      <c r="BC2777" s="1">
        <v>145</v>
      </c>
      <c r="BD2777" s="1" t="s">
        <v>74</v>
      </c>
      <c r="BE2777" s="1" t="s">
        <v>44107</v>
      </c>
      <c r="BF2777" s="1" t="str">
        <f>HYPERLINK("http://dx.doi.org/10.1016/j.marpolbul.2013.10.050","http://dx.doi.org/10.1016/j.marpolbul.2013.10.050")</f>
        <v>http://dx.doi.org/10.1016/j.marpolbul.2013.10.050</v>
      </c>
      <c r="BG2777" s="1" t="s">
        <v>74</v>
      </c>
      <c r="BH2777" s="1" t="s">
        <v>74</v>
      </c>
      <c r="BI2777" s="1">
        <v>9</v>
      </c>
      <c r="BJ2777" s="1" t="s">
        <v>247</v>
      </c>
      <c r="BK2777" s="1" t="s">
        <v>96</v>
      </c>
      <c r="BL2777" s="1" t="s">
        <v>248</v>
      </c>
      <c r="BM2777" s="1" t="s">
        <v>17228</v>
      </c>
      <c r="BN2777" s="1">
        <v>24295594</v>
      </c>
      <c r="BO2777" s="1" t="s">
        <v>74</v>
      </c>
      <c r="BP2777" s="1" t="s">
        <v>74</v>
      </c>
      <c r="BQ2777" s="1" t="s">
        <v>74</v>
      </c>
      <c r="BR2777" s="1" t="s">
        <v>98</v>
      </c>
      <c r="BS2777" s="1" t="s">
        <v>44108</v>
      </c>
      <c r="BT2777" s="1" t="str">
        <f>HYPERLINK("https%3A%2F%2Fwww.webofscience.com%2Fwos%2Fwoscc%2Ffull-record%2FWOS:000331423100030","View Full Record in Web of Science")</f>
        <v>View Full Record in Web of Science</v>
      </c>
      <c r="BU2777" s="1"/>
      <c r="BV2777" s="1"/>
    </row>
    <row r="2778" spans="1:74">
      <c r="A2778" s="1" t="s">
        <v>72</v>
      </c>
      <c r="B2778" s="1" t="s">
        <v>44109</v>
      </c>
      <c r="C2778" s="1" t="s">
        <v>74</v>
      </c>
      <c r="D2778" s="1" t="s">
        <v>74</v>
      </c>
      <c r="E2778" s="1" t="s">
        <v>74</v>
      </c>
      <c r="F2778" s="1" t="s">
        <v>44110</v>
      </c>
      <c r="G2778" s="1" t="s">
        <v>74</v>
      </c>
      <c r="H2778" s="1" t="s">
        <v>74</v>
      </c>
      <c r="I2778" s="1" t="s">
        <v>44111</v>
      </c>
      <c r="J2778" s="1" t="s">
        <v>127</v>
      </c>
      <c r="K2778" s="1" t="s">
        <v>74</v>
      </c>
      <c r="L2778" s="1" t="s">
        <v>74</v>
      </c>
      <c r="M2778" s="1" t="s">
        <v>78</v>
      </c>
      <c r="N2778" s="1" t="s">
        <v>79</v>
      </c>
      <c r="O2778" s="1" t="s">
        <v>74</v>
      </c>
      <c r="P2778" s="1" t="s">
        <v>74</v>
      </c>
      <c r="Q2778" s="1" t="s">
        <v>74</v>
      </c>
      <c r="R2778" s="1" t="s">
        <v>74</v>
      </c>
      <c r="S2778" s="1" t="s">
        <v>74</v>
      </c>
      <c r="T2778" s="1" t="s">
        <v>44112</v>
      </c>
      <c r="U2778" s="1" t="s">
        <v>44113</v>
      </c>
      <c r="V2778" s="1" t="s">
        <v>44114</v>
      </c>
      <c r="W2778" s="1" t="s">
        <v>44115</v>
      </c>
      <c r="X2778" s="1" t="s">
        <v>44116</v>
      </c>
      <c r="Y2778" s="1" t="s">
        <v>44117</v>
      </c>
      <c r="Z2778" s="1" t="s">
        <v>32756</v>
      </c>
      <c r="AA2778" s="1" t="s">
        <v>37251</v>
      </c>
      <c r="AB2778" s="1" t="s">
        <v>37252</v>
      </c>
      <c r="AC2778" s="1" t="s">
        <v>44118</v>
      </c>
      <c r="AD2778" s="1" t="s">
        <v>44119</v>
      </c>
      <c r="AE2778" s="1" t="s">
        <v>44120</v>
      </c>
      <c r="AF2778" s="1" t="s">
        <v>74</v>
      </c>
      <c r="AG2778" s="1">
        <v>32</v>
      </c>
      <c r="AH2778" s="1">
        <v>14</v>
      </c>
      <c r="AI2778" s="1">
        <v>15</v>
      </c>
      <c r="AJ2778" s="1">
        <v>5</v>
      </c>
      <c r="AK2778" s="1">
        <v>36</v>
      </c>
      <c r="AL2778" s="1" t="s">
        <v>136</v>
      </c>
      <c r="AM2778" s="1" t="s">
        <v>137</v>
      </c>
      <c r="AN2778" s="1" t="s">
        <v>138</v>
      </c>
      <c r="AO2778" s="1" t="s">
        <v>139</v>
      </c>
      <c r="AP2778" s="1" t="s">
        <v>140</v>
      </c>
      <c r="AQ2778" s="1" t="s">
        <v>74</v>
      </c>
      <c r="AR2778" s="1" t="s">
        <v>127</v>
      </c>
      <c r="AS2778" s="1" t="s">
        <v>141</v>
      </c>
      <c r="AT2778" s="1" t="s">
        <v>142</v>
      </c>
      <c r="AU2778" s="1">
        <v>2022</v>
      </c>
      <c r="AV2778" s="1">
        <v>296</v>
      </c>
      <c r="AW2778" s="1" t="s">
        <v>74</v>
      </c>
      <c r="AX2778" s="1" t="s">
        <v>74</v>
      </c>
      <c r="AY2778" s="1" t="s">
        <v>74</v>
      </c>
      <c r="AZ2778" s="1" t="s">
        <v>74</v>
      </c>
      <c r="BA2778" s="1" t="s">
        <v>74</v>
      </c>
      <c r="BB2778" s="1" t="s">
        <v>74</v>
      </c>
      <c r="BC2778" s="1" t="s">
        <v>74</v>
      </c>
      <c r="BD2778" s="1">
        <v>134079</v>
      </c>
      <c r="BE2778" s="1" t="s">
        <v>44121</v>
      </c>
      <c r="BF2778" s="1" t="str">
        <f>HYPERLINK("http://dx.doi.org/10.1016/j.chemosphere.2022.134079","http://dx.doi.org/10.1016/j.chemosphere.2022.134079")</f>
        <v>http://dx.doi.org/10.1016/j.chemosphere.2022.134079</v>
      </c>
      <c r="BG2778" s="1" t="s">
        <v>74</v>
      </c>
      <c r="BH2778" s="1" t="s">
        <v>528</v>
      </c>
      <c r="BI2778" s="1">
        <v>9</v>
      </c>
      <c r="BJ2778" s="1" t="s">
        <v>144</v>
      </c>
      <c r="BK2778" s="1" t="s">
        <v>96</v>
      </c>
      <c r="BL2778" s="1" t="s">
        <v>145</v>
      </c>
      <c r="BM2778" s="1" t="s">
        <v>44122</v>
      </c>
      <c r="BN2778" s="1">
        <v>35216984</v>
      </c>
      <c r="BO2778" s="1" t="s">
        <v>74</v>
      </c>
      <c r="BP2778" s="1" t="s">
        <v>74</v>
      </c>
      <c r="BQ2778" s="1" t="s">
        <v>74</v>
      </c>
      <c r="BR2778" s="1" t="s">
        <v>98</v>
      </c>
      <c r="BS2778" s="1" t="s">
        <v>44123</v>
      </c>
      <c r="BT2778" s="1" t="str">
        <f>HYPERLINK("https%3A%2F%2Fwww.webofscience.com%2Fwos%2Fwoscc%2Ffull-record%2FWOS:000793776300006","View Full Record in Web of Science")</f>
        <v>View Full Record in Web of Science</v>
      </c>
      <c r="BU2778" s="1"/>
      <c r="BV2778" s="1"/>
    </row>
    <row r="2779" spans="1:74">
      <c r="A2779" s="1" t="s">
        <v>72</v>
      </c>
      <c r="B2779" s="1" t="s">
        <v>44124</v>
      </c>
      <c r="C2779" s="1" t="s">
        <v>74</v>
      </c>
      <c r="D2779" s="1" t="s">
        <v>74</v>
      </c>
      <c r="E2779" s="1" t="s">
        <v>74</v>
      </c>
      <c r="F2779" s="1" t="s">
        <v>44125</v>
      </c>
      <c r="G2779" s="1" t="s">
        <v>74</v>
      </c>
      <c r="H2779" s="1" t="s">
        <v>74</v>
      </c>
      <c r="I2779" s="1" t="s">
        <v>44126</v>
      </c>
      <c r="J2779" s="1" t="s">
        <v>421</v>
      </c>
      <c r="K2779" s="1" t="s">
        <v>74</v>
      </c>
      <c r="L2779" s="1" t="s">
        <v>74</v>
      </c>
      <c r="M2779" s="1" t="s">
        <v>78</v>
      </c>
      <c r="N2779" s="1" t="s">
        <v>79</v>
      </c>
      <c r="O2779" s="1" t="s">
        <v>74</v>
      </c>
      <c r="P2779" s="1" t="s">
        <v>74</v>
      </c>
      <c r="Q2779" s="1" t="s">
        <v>74</v>
      </c>
      <c r="R2779" s="1" t="s">
        <v>74</v>
      </c>
      <c r="S2779" s="1" t="s">
        <v>74</v>
      </c>
      <c r="T2779" s="1" t="s">
        <v>44127</v>
      </c>
      <c r="U2779" s="1" t="s">
        <v>44128</v>
      </c>
      <c r="V2779" s="1" t="s">
        <v>44129</v>
      </c>
      <c r="W2779" s="1" t="s">
        <v>44130</v>
      </c>
      <c r="X2779" s="1" t="s">
        <v>44131</v>
      </c>
      <c r="Y2779" s="1" t="s">
        <v>40753</v>
      </c>
      <c r="Z2779" s="1" t="s">
        <v>44132</v>
      </c>
      <c r="AA2779" s="1" t="s">
        <v>40755</v>
      </c>
      <c r="AB2779" s="1" t="s">
        <v>74</v>
      </c>
      <c r="AC2779" s="1" t="s">
        <v>44133</v>
      </c>
      <c r="AD2779" s="1" t="s">
        <v>44134</v>
      </c>
      <c r="AE2779" s="1" t="s">
        <v>44135</v>
      </c>
      <c r="AF2779" s="1" t="s">
        <v>74</v>
      </c>
      <c r="AG2779" s="1">
        <v>67</v>
      </c>
      <c r="AH2779" s="1">
        <v>2</v>
      </c>
      <c r="AI2779" s="1">
        <v>2</v>
      </c>
      <c r="AJ2779" s="1">
        <v>10</v>
      </c>
      <c r="AK2779" s="1">
        <v>30</v>
      </c>
      <c r="AL2779" s="1" t="s">
        <v>430</v>
      </c>
      <c r="AM2779" s="1" t="s">
        <v>137</v>
      </c>
      <c r="AN2779" s="1" t="s">
        <v>431</v>
      </c>
      <c r="AO2779" s="1" t="s">
        <v>432</v>
      </c>
      <c r="AP2779" s="1" t="s">
        <v>1394</v>
      </c>
      <c r="AQ2779" s="1" t="s">
        <v>74</v>
      </c>
      <c r="AR2779" s="1" t="s">
        <v>433</v>
      </c>
      <c r="AS2779" s="1" t="s">
        <v>434</v>
      </c>
      <c r="AT2779" s="1" t="s">
        <v>3506</v>
      </c>
      <c r="AU2779" s="1">
        <v>2023</v>
      </c>
      <c r="AV2779" s="1">
        <v>333</v>
      </c>
      <c r="AW2779" s="1" t="s">
        <v>74</v>
      </c>
      <c r="AX2779" s="1" t="s">
        <v>74</v>
      </c>
      <c r="AY2779" s="1" t="s">
        <v>74</v>
      </c>
      <c r="AZ2779" s="1" t="s">
        <v>74</v>
      </c>
      <c r="BA2779" s="1" t="s">
        <v>74</v>
      </c>
      <c r="BB2779" s="1" t="s">
        <v>74</v>
      </c>
      <c r="BC2779" s="1" t="s">
        <v>74</v>
      </c>
      <c r="BD2779" s="1">
        <v>122018</v>
      </c>
      <c r="BE2779" s="1" t="s">
        <v>44136</v>
      </c>
      <c r="BF2779" s="1" t="str">
        <f>HYPERLINK("http://dx.doi.org/10.1016/j.envpol.2023.122018","http://dx.doi.org/10.1016/j.envpol.2023.122018")</f>
        <v>http://dx.doi.org/10.1016/j.envpol.2023.122018</v>
      </c>
      <c r="BG2779" s="1" t="s">
        <v>74</v>
      </c>
      <c r="BH2779" s="1" t="s">
        <v>767</v>
      </c>
      <c r="BI2779" s="1">
        <v>11</v>
      </c>
      <c r="BJ2779" s="1" t="s">
        <v>144</v>
      </c>
      <c r="BK2779" s="1" t="s">
        <v>96</v>
      </c>
      <c r="BL2779" s="1" t="s">
        <v>145</v>
      </c>
      <c r="BM2779" s="1" t="s">
        <v>44137</v>
      </c>
      <c r="BN2779" s="1">
        <v>37315882</v>
      </c>
      <c r="BO2779" s="1" t="s">
        <v>74</v>
      </c>
      <c r="BP2779" s="1" t="s">
        <v>74</v>
      </c>
      <c r="BQ2779" s="1" t="s">
        <v>74</v>
      </c>
      <c r="BR2779" s="1" t="s">
        <v>98</v>
      </c>
      <c r="BS2779" s="1" t="s">
        <v>44138</v>
      </c>
      <c r="BT2779" s="1" t="str">
        <f>HYPERLINK("https%3A%2F%2Fwww.webofscience.com%2Fwos%2Fwoscc%2Ffull-record%2FWOS:001034627000001","View Full Record in Web of Science")</f>
        <v>View Full Record in Web of Science</v>
      </c>
      <c r="BU2779" s="1"/>
      <c r="BV2779" s="1"/>
    </row>
    <row r="2780" spans="1:74">
      <c r="A2780" s="1" t="s">
        <v>72</v>
      </c>
      <c r="B2780" s="1" t="s">
        <v>44139</v>
      </c>
      <c r="C2780" s="1" t="s">
        <v>74</v>
      </c>
      <c r="D2780" s="1" t="s">
        <v>74</v>
      </c>
      <c r="E2780" s="1" t="s">
        <v>74</v>
      </c>
      <c r="F2780" s="1" t="s">
        <v>44140</v>
      </c>
      <c r="G2780" s="1" t="s">
        <v>74</v>
      </c>
      <c r="H2780" s="1" t="s">
        <v>74</v>
      </c>
      <c r="I2780" s="1" t="s">
        <v>44141</v>
      </c>
      <c r="J2780" s="1" t="s">
        <v>11276</v>
      </c>
      <c r="K2780" s="1" t="s">
        <v>74</v>
      </c>
      <c r="L2780" s="1" t="s">
        <v>74</v>
      </c>
      <c r="M2780" s="1" t="s">
        <v>78</v>
      </c>
      <c r="N2780" s="1" t="s">
        <v>79</v>
      </c>
      <c r="O2780" s="1" t="s">
        <v>74</v>
      </c>
      <c r="P2780" s="1" t="s">
        <v>74</v>
      </c>
      <c r="Q2780" s="1" t="s">
        <v>74</v>
      </c>
      <c r="R2780" s="1" t="s">
        <v>74</v>
      </c>
      <c r="S2780" s="1" t="s">
        <v>74</v>
      </c>
      <c r="T2780" s="1" t="s">
        <v>44142</v>
      </c>
      <c r="U2780" s="1" t="s">
        <v>44143</v>
      </c>
      <c r="V2780" s="1" t="s">
        <v>44144</v>
      </c>
      <c r="W2780" s="1" t="s">
        <v>44145</v>
      </c>
      <c r="X2780" s="1" t="s">
        <v>44146</v>
      </c>
      <c r="Y2780" s="1" t="s">
        <v>44147</v>
      </c>
      <c r="Z2780" s="1" t="s">
        <v>44148</v>
      </c>
      <c r="AA2780" s="1" t="s">
        <v>44149</v>
      </c>
      <c r="AB2780" s="1" t="s">
        <v>44150</v>
      </c>
      <c r="AC2780" s="1" t="s">
        <v>44151</v>
      </c>
      <c r="AD2780" s="1" t="s">
        <v>44152</v>
      </c>
      <c r="AE2780" s="1" t="s">
        <v>44153</v>
      </c>
      <c r="AF2780" s="1" t="s">
        <v>74</v>
      </c>
      <c r="AG2780" s="1">
        <v>55</v>
      </c>
      <c r="AH2780" s="1">
        <v>2</v>
      </c>
      <c r="AI2780" s="1">
        <v>2</v>
      </c>
      <c r="AJ2780" s="1">
        <v>24</v>
      </c>
      <c r="AK2780" s="1">
        <v>39</v>
      </c>
      <c r="AL2780" s="1" t="s">
        <v>430</v>
      </c>
      <c r="AM2780" s="1" t="s">
        <v>137</v>
      </c>
      <c r="AN2780" s="1" t="s">
        <v>431</v>
      </c>
      <c r="AO2780" s="1" t="s">
        <v>11284</v>
      </c>
      <c r="AP2780" s="1" t="s">
        <v>25110</v>
      </c>
      <c r="AQ2780" s="1" t="s">
        <v>74</v>
      </c>
      <c r="AR2780" s="1" t="s">
        <v>11285</v>
      </c>
      <c r="AS2780" s="1" t="s">
        <v>11286</v>
      </c>
      <c r="AT2780" s="1" t="s">
        <v>305</v>
      </c>
      <c r="AU2780" s="1">
        <v>2018</v>
      </c>
      <c r="AV2780" s="1">
        <v>189</v>
      </c>
      <c r="AW2780" s="1" t="s">
        <v>74</v>
      </c>
      <c r="AX2780" s="1" t="s">
        <v>74</v>
      </c>
      <c r="AY2780" s="1" t="s">
        <v>74</v>
      </c>
      <c r="AZ2780" s="1" t="s">
        <v>74</v>
      </c>
      <c r="BA2780" s="1" t="s">
        <v>74</v>
      </c>
      <c r="BB2780" s="1">
        <v>103</v>
      </c>
      <c r="BC2780" s="1">
        <v>108</v>
      </c>
      <c r="BD2780" s="1" t="s">
        <v>74</v>
      </c>
      <c r="BE2780" s="1" t="s">
        <v>44154</v>
      </c>
      <c r="BF2780" s="1" t="str">
        <f>HYPERLINK("http://dx.doi.org/10.1016/j.jenvrad.2018.03.018","http://dx.doi.org/10.1016/j.jenvrad.2018.03.018")</f>
        <v>http://dx.doi.org/10.1016/j.jenvrad.2018.03.018</v>
      </c>
      <c r="BG2780" s="1" t="s">
        <v>74</v>
      </c>
      <c r="BH2780" s="1" t="s">
        <v>74</v>
      </c>
      <c r="BI2780" s="1">
        <v>6</v>
      </c>
      <c r="BJ2780" s="1" t="s">
        <v>144</v>
      </c>
      <c r="BK2780" s="1" t="s">
        <v>96</v>
      </c>
      <c r="BL2780" s="1" t="s">
        <v>145</v>
      </c>
      <c r="BM2780" s="1" t="s">
        <v>44155</v>
      </c>
      <c r="BN2780" s="1">
        <v>29635090</v>
      </c>
      <c r="BO2780" s="1" t="s">
        <v>74</v>
      </c>
      <c r="BP2780" s="1" t="s">
        <v>74</v>
      </c>
      <c r="BQ2780" s="1" t="s">
        <v>74</v>
      </c>
      <c r="BR2780" s="1" t="s">
        <v>98</v>
      </c>
      <c r="BS2780" s="1" t="s">
        <v>44156</v>
      </c>
      <c r="BT2780" s="1" t="str">
        <f>HYPERLINK("https%3A%2F%2Fwww.webofscience.com%2Fwos%2Fwoscc%2Ffull-record%2FWOS:000433653400011","View Full Record in Web of Science")</f>
        <v>View Full Record in Web of Science</v>
      </c>
      <c r="BU2780" s="1"/>
      <c r="BV2780" s="1"/>
    </row>
    <row r="2781" spans="1:74">
      <c r="A2781" s="1" t="s">
        <v>72</v>
      </c>
      <c r="B2781" s="1" t="s">
        <v>44157</v>
      </c>
      <c r="C2781" s="1" t="s">
        <v>74</v>
      </c>
      <c r="D2781" s="1" t="s">
        <v>74</v>
      </c>
      <c r="E2781" s="1" t="s">
        <v>74</v>
      </c>
      <c r="F2781" s="1" t="s">
        <v>44158</v>
      </c>
      <c r="G2781" s="1" t="s">
        <v>74</v>
      </c>
      <c r="H2781" s="1" t="s">
        <v>74</v>
      </c>
      <c r="I2781" s="1" t="s">
        <v>44159</v>
      </c>
      <c r="J2781" s="1" t="s">
        <v>44160</v>
      </c>
      <c r="K2781" s="1" t="s">
        <v>74</v>
      </c>
      <c r="L2781" s="1" t="s">
        <v>74</v>
      </c>
      <c r="M2781" s="1" t="s">
        <v>78</v>
      </c>
      <c r="N2781" s="1" t="s">
        <v>79</v>
      </c>
      <c r="O2781" s="1" t="s">
        <v>74</v>
      </c>
      <c r="P2781" s="1" t="s">
        <v>74</v>
      </c>
      <c r="Q2781" s="1" t="s">
        <v>74</v>
      </c>
      <c r="R2781" s="1" t="s">
        <v>74</v>
      </c>
      <c r="S2781" s="1" t="s">
        <v>74</v>
      </c>
      <c r="T2781" s="1" t="s">
        <v>44161</v>
      </c>
      <c r="U2781" s="1" t="s">
        <v>44162</v>
      </c>
      <c r="V2781" s="1" t="s">
        <v>44163</v>
      </c>
      <c r="W2781" s="1" t="s">
        <v>44164</v>
      </c>
      <c r="X2781" s="1" t="s">
        <v>44165</v>
      </c>
      <c r="Y2781" s="1" t="s">
        <v>44166</v>
      </c>
      <c r="Z2781" s="1" t="s">
        <v>44167</v>
      </c>
      <c r="AA2781" s="1" t="s">
        <v>74</v>
      </c>
      <c r="AB2781" s="1" t="s">
        <v>44168</v>
      </c>
      <c r="AC2781" s="1" t="s">
        <v>44169</v>
      </c>
      <c r="AD2781" s="1" t="s">
        <v>44170</v>
      </c>
      <c r="AE2781" s="1" t="s">
        <v>44171</v>
      </c>
      <c r="AF2781" s="1" t="s">
        <v>74</v>
      </c>
      <c r="AG2781" s="1">
        <v>51</v>
      </c>
      <c r="AH2781" s="1">
        <v>12</v>
      </c>
      <c r="AI2781" s="1">
        <v>13</v>
      </c>
      <c r="AJ2781" s="1">
        <v>1</v>
      </c>
      <c r="AK2781" s="1">
        <v>24</v>
      </c>
      <c r="AL2781" s="1" t="s">
        <v>2074</v>
      </c>
      <c r="AM2781" s="1" t="s">
        <v>2075</v>
      </c>
      <c r="AN2781" s="1" t="s">
        <v>2076</v>
      </c>
      <c r="AO2781" s="1" t="s">
        <v>44172</v>
      </c>
      <c r="AP2781" s="1" t="s">
        <v>44173</v>
      </c>
      <c r="AQ2781" s="1" t="s">
        <v>74</v>
      </c>
      <c r="AR2781" s="1" t="s">
        <v>44174</v>
      </c>
      <c r="AS2781" s="1" t="s">
        <v>44175</v>
      </c>
      <c r="AT2781" s="1" t="s">
        <v>2763</v>
      </c>
      <c r="AU2781" s="1">
        <v>2015</v>
      </c>
      <c r="AV2781" s="1">
        <v>19</v>
      </c>
      <c r="AW2781" s="1">
        <v>1</v>
      </c>
      <c r="AX2781" s="1" t="s">
        <v>74</v>
      </c>
      <c r="AY2781" s="1" t="s">
        <v>74</v>
      </c>
      <c r="AZ2781" s="1" t="s">
        <v>74</v>
      </c>
      <c r="BA2781" s="1" t="s">
        <v>74</v>
      </c>
      <c r="BB2781" s="1">
        <v>61</v>
      </c>
      <c r="BC2781" s="1">
        <v>68</v>
      </c>
      <c r="BD2781" s="1" t="s">
        <v>74</v>
      </c>
      <c r="BE2781" s="1" t="s">
        <v>44176</v>
      </c>
      <c r="BF2781" s="1" t="str">
        <f>HYPERLINK("http://dx.doi.org/10.1080/19768354.2014.995225","http://dx.doi.org/10.1080/19768354.2014.995225")</f>
        <v>http://dx.doi.org/10.1080/19768354.2014.995225</v>
      </c>
      <c r="BG2781" s="1" t="s">
        <v>74</v>
      </c>
      <c r="BH2781" s="1" t="s">
        <v>74</v>
      </c>
      <c r="BI2781" s="1">
        <v>8</v>
      </c>
      <c r="BJ2781" s="1" t="s">
        <v>44177</v>
      </c>
      <c r="BK2781" s="1" t="s">
        <v>96</v>
      </c>
      <c r="BL2781" s="1" t="s">
        <v>44177</v>
      </c>
      <c r="BM2781" s="1" t="s">
        <v>44178</v>
      </c>
      <c r="BN2781" s="1" t="s">
        <v>74</v>
      </c>
      <c r="BO2781" s="1" t="s">
        <v>74</v>
      </c>
      <c r="BP2781" s="1" t="s">
        <v>74</v>
      </c>
      <c r="BQ2781" s="1" t="s">
        <v>74</v>
      </c>
      <c r="BR2781" s="1" t="s">
        <v>98</v>
      </c>
      <c r="BS2781" s="1" t="s">
        <v>44179</v>
      </c>
      <c r="BT2781" s="1" t="str">
        <f>HYPERLINK("https%3A%2F%2Fwww.webofscience.com%2Fwos%2Fwoscc%2Ffull-record%2FWOS:000349471900008","View Full Record in Web of Science")</f>
        <v>View Full Record in Web of Science</v>
      </c>
      <c r="BU2781" s="1"/>
      <c r="BV2781" s="1"/>
    </row>
    <row r="2782" spans="1:74">
      <c r="A2782" s="1" t="s">
        <v>72</v>
      </c>
      <c r="B2782" s="1" t="s">
        <v>44180</v>
      </c>
      <c r="C2782" s="1" t="s">
        <v>74</v>
      </c>
      <c r="D2782" s="1" t="s">
        <v>74</v>
      </c>
      <c r="E2782" s="1" t="s">
        <v>74</v>
      </c>
      <c r="F2782" s="1" t="s">
        <v>44181</v>
      </c>
      <c r="G2782" s="1" t="s">
        <v>74</v>
      </c>
      <c r="H2782" s="1" t="s">
        <v>74</v>
      </c>
      <c r="I2782" s="1" t="s">
        <v>44182</v>
      </c>
      <c r="J2782" s="1" t="s">
        <v>32367</v>
      </c>
      <c r="K2782" s="1" t="s">
        <v>74</v>
      </c>
      <c r="L2782" s="1" t="s">
        <v>74</v>
      </c>
      <c r="M2782" s="1" t="s">
        <v>78</v>
      </c>
      <c r="N2782" s="1" t="s">
        <v>79</v>
      </c>
      <c r="O2782" s="1" t="s">
        <v>74</v>
      </c>
      <c r="P2782" s="1" t="s">
        <v>74</v>
      </c>
      <c r="Q2782" s="1" t="s">
        <v>74</v>
      </c>
      <c r="R2782" s="1" t="s">
        <v>74</v>
      </c>
      <c r="S2782" s="1" t="s">
        <v>74</v>
      </c>
      <c r="T2782" s="1" t="s">
        <v>44183</v>
      </c>
      <c r="U2782" s="1" t="s">
        <v>44184</v>
      </c>
      <c r="V2782" s="1" t="s">
        <v>44185</v>
      </c>
      <c r="W2782" s="1" t="s">
        <v>44186</v>
      </c>
      <c r="X2782" s="1" t="s">
        <v>44187</v>
      </c>
      <c r="Y2782" s="1" t="s">
        <v>44188</v>
      </c>
      <c r="Z2782" s="1" t="s">
        <v>44189</v>
      </c>
      <c r="AA2782" s="1" t="s">
        <v>74</v>
      </c>
      <c r="AB2782" s="1" t="s">
        <v>74</v>
      </c>
      <c r="AC2782" s="1" t="s">
        <v>44190</v>
      </c>
      <c r="AD2782" s="1" t="s">
        <v>44191</v>
      </c>
      <c r="AE2782" s="1" t="s">
        <v>44192</v>
      </c>
      <c r="AF2782" s="1" t="s">
        <v>74</v>
      </c>
      <c r="AG2782" s="1">
        <v>96</v>
      </c>
      <c r="AH2782" s="1">
        <v>16</v>
      </c>
      <c r="AI2782" s="1">
        <v>16</v>
      </c>
      <c r="AJ2782" s="1">
        <v>0</v>
      </c>
      <c r="AK2782" s="1">
        <v>10</v>
      </c>
      <c r="AL2782" s="1" t="s">
        <v>2074</v>
      </c>
      <c r="AM2782" s="1" t="s">
        <v>2075</v>
      </c>
      <c r="AN2782" s="1" t="s">
        <v>5365</v>
      </c>
      <c r="AO2782" s="1" t="s">
        <v>32379</v>
      </c>
      <c r="AP2782" s="1" t="s">
        <v>74</v>
      </c>
      <c r="AQ2782" s="1" t="s">
        <v>74</v>
      </c>
      <c r="AR2782" s="1" t="s">
        <v>32380</v>
      </c>
      <c r="AS2782" s="1" t="s">
        <v>32381</v>
      </c>
      <c r="AT2782" s="1" t="s">
        <v>74</v>
      </c>
      <c r="AU2782" s="1">
        <v>2011</v>
      </c>
      <c r="AV2782" s="1">
        <v>12</v>
      </c>
      <c r="AW2782" s="1">
        <v>2</v>
      </c>
      <c r="AX2782" s="1" t="s">
        <v>74</v>
      </c>
      <c r="AY2782" s="1" t="s">
        <v>74</v>
      </c>
      <c r="AZ2782" s="1" t="s">
        <v>74</v>
      </c>
      <c r="BA2782" s="1" t="s">
        <v>74</v>
      </c>
      <c r="BB2782" s="1">
        <v>162</v>
      </c>
      <c r="BC2782" s="1">
        <v>172</v>
      </c>
      <c r="BD2782" s="1" t="s">
        <v>44193</v>
      </c>
      <c r="BE2782" s="1" t="s">
        <v>44194</v>
      </c>
      <c r="BF2782" s="1" t="str">
        <f>HYPERLINK("http://dx.doi.org/10.1080/15275922.2011.574313","http://dx.doi.org/10.1080/15275922.2011.574313")</f>
        <v>http://dx.doi.org/10.1080/15275922.2011.574313</v>
      </c>
      <c r="BG2782" s="1" t="s">
        <v>74</v>
      </c>
      <c r="BH2782" s="1" t="s">
        <v>74</v>
      </c>
      <c r="BI2782" s="1">
        <v>11</v>
      </c>
      <c r="BJ2782" s="1" t="s">
        <v>144</v>
      </c>
      <c r="BK2782" s="1" t="s">
        <v>96</v>
      </c>
      <c r="BL2782" s="1" t="s">
        <v>145</v>
      </c>
      <c r="BM2782" s="1" t="s">
        <v>44195</v>
      </c>
      <c r="BN2782" s="1" t="s">
        <v>74</v>
      </c>
      <c r="BO2782" s="1" t="s">
        <v>74</v>
      </c>
      <c r="BP2782" s="1" t="s">
        <v>74</v>
      </c>
      <c r="BQ2782" s="1" t="s">
        <v>74</v>
      </c>
      <c r="BR2782" s="1" t="s">
        <v>98</v>
      </c>
      <c r="BS2782" s="1" t="s">
        <v>44196</v>
      </c>
      <c r="BT2782" s="1" t="str">
        <f>HYPERLINK("https%3A%2F%2Fwww.webofscience.com%2Fwos%2Fwoscc%2Ffull-record%2FWOS:000291810900007","View Full Record in Web of Science")</f>
        <v>View Full Record in Web of Science</v>
      </c>
      <c r="BU2782" s="1"/>
      <c r="BV2782" s="1"/>
    </row>
    <row r="2783" spans="1:74">
      <c r="A2783" s="1" t="s">
        <v>72</v>
      </c>
      <c r="B2783" s="1" t="s">
        <v>44197</v>
      </c>
      <c r="C2783" s="1" t="s">
        <v>74</v>
      </c>
      <c r="D2783" s="1" t="s">
        <v>74</v>
      </c>
      <c r="E2783" s="1" t="s">
        <v>74</v>
      </c>
      <c r="F2783" s="1" t="s">
        <v>44198</v>
      </c>
      <c r="G2783" s="1" t="s">
        <v>74</v>
      </c>
      <c r="H2783" s="1" t="s">
        <v>74</v>
      </c>
      <c r="I2783" s="1" t="s">
        <v>44199</v>
      </c>
      <c r="J2783" s="1" t="s">
        <v>595</v>
      </c>
      <c r="K2783" s="1" t="s">
        <v>74</v>
      </c>
      <c r="L2783" s="1" t="s">
        <v>74</v>
      </c>
      <c r="M2783" s="1" t="s">
        <v>78</v>
      </c>
      <c r="N2783" s="1" t="s">
        <v>79</v>
      </c>
      <c r="O2783" s="1" t="s">
        <v>74</v>
      </c>
      <c r="P2783" s="1" t="s">
        <v>74</v>
      </c>
      <c r="Q2783" s="1" t="s">
        <v>74</v>
      </c>
      <c r="R2783" s="1" t="s">
        <v>74</v>
      </c>
      <c r="S2783" s="1" t="s">
        <v>74</v>
      </c>
      <c r="T2783" s="1" t="s">
        <v>44200</v>
      </c>
      <c r="U2783" s="1" t="s">
        <v>44201</v>
      </c>
      <c r="V2783" s="1" t="s">
        <v>44202</v>
      </c>
      <c r="W2783" s="1" t="s">
        <v>44203</v>
      </c>
      <c r="X2783" s="1" t="s">
        <v>44204</v>
      </c>
      <c r="Y2783" s="1" t="s">
        <v>44205</v>
      </c>
      <c r="Z2783" s="1" t="s">
        <v>44206</v>
      </c>
      <c r="AA2783" s="1" t="s">
        <v>44207</v>
      </c>
      <c r="AB2783" s="1" t="s">
        <v>44208</v>
      </c>
      <c r="AC2783" s="1" t="s">
        <v>44209</v>
      </c>
      <c r="AD2783" s="1" t="s">
        <v>44210</v>
      </c>
      <c r="AE2783" s="1" t="s">
        <v>44211</v>
      </c>
      <c r="AF2783" s="1" t="s">
        <v>74</v>
      </c>
      <c r="AG2783" s="1">
        <v>59</v>
      </c>
      <c r="AH2783" s="1">
        <v>36</v>
      </c>
      <c r="AI2783" s="1">
        <v>38</v>
      </c>
      <c r="AJ2783" s="1">
        <v>0</v>
      </c>
      <c r="AK2783" s="1">
        <v>37</v>
      </c>
      <c r="AL2783" s="1" t="s">
        <v>112</v>
      </c>
      <c r="AM2783" s="1" t="s">
        <v>191</v>
      </c>
      <c r="AN2783" s="1" t="s">
        <v>192</v>
      </c>
      <c r="AO2783" s="1" t="s">
        <v>608</v>
      </c>
      <c r="AP2783" s="1" t="s">
        <v>74</v>
      </c>
      <c r="AQ2783" s="1" t="s">
        <v>74</v>
      </c>
      <c r="AR2783" s="1" t="s">
        <v>595</v>
      </c>
      <c r="AS2783" s="1" t="s">
        <v>610</v>
      </c>
      <c r="AT2783" s="1" t="s">
        <v>765</v>
      </c>
      <c r="AU2783" s="1">
        <v>2012</v>
      </c>
      <c r="AV2783" s="1">
        <v>21</v>
      </c>
      <c r="AW2783" s="1">
        <v>5</v>
      </c>
      <c r="AX2783" s="1" t="s">
        <v>74</v>
      </c>
      <c r="AY2783" s="1" t="s">
        <v>74</v>
      </c>
      <c r="AZ2783" s="1" t="s">
        <v>74</v>
      </c>
      <c r="BA2783" s="1" t="s">
        <v>74</v>
      </c>
      <c r="BB2783" s="1">
        <v>1415</v>
      </c>
      <c r="BC2783" s="1">
        <v>1425</v>
      </c>
      <c r="BD2783" s="1" t="s">
        <v>74</v>
      </c>
      <c r="BE2783" s="1" t="s">
        <v>44212</v>
      </c>
      <c r="BF2783" s="1" t="str">
        <f>HYPERLINK("http://dx.doi.org/10.1007/s10646-012-0895-2","http://dx.doi.org/10.1007/s10646-012-0895-2")</f>
        <v>http://dx.doi.org/10.1007/s10646-012-0895-2</v>
      </c>
      <c r="BG2783" s="1" t="s">
        <v>74</v>
      </c>
      <c r="BH2783" s="1" t="s">
        <v>74</v>
      </c>
      <c r="BI2783" s="1">
        <v>11</v>
      </c>
      <c r="BJ2783" s="1" t="s">
        <v>612</v>
      </c>
      <c r="BK2783" s="1" t="s">
        <v>96</v>
      </c>
      <c r="BL2783" s="1" t="s">
        <v>122</v>
      </c>
      <c r="BM2783" s="1" t="s">
        <v>44213</v>
      </c>
      <c r="BN2783" s="1">
        <v>22526923</v>
      </c>
      <c r="BO2783" s="1" t="s">
        <v>74</v>
      </c>
      <c r="BP2783" s="1" t="s">
        <v>74</v>
      </c>
      <c r="BQ2783" s="1" t="s">
        <v>74</v>
      </c>
      <c r="BR2783" s="1" t="s">
        <v>98</v>
      </c>
      <c r="BS2783" s="1" t="s">
        <v>44214</v>
      </c>
      <c r="BT2783" s="1" t="str">
        <f>HYPERLINK("https%3A%2F%2Fwww.webofscience.com%2Fwos%2Fwoscc%2Ffull-record%2FWOS:000305461500013","View Full Record in Web of Science")</f>
        <v>View Full Record in Web of Science</v>
      </c>
      <c r="BU2783" s="1"/>
      <c r="BV2783" s="1"/>
    </row>
    <row r="2784" spans="1:74">
      <c r="A2784" s="1" t="s">
        <v>72</v>
      </c>
      <c r="B2784" s="1" t="s">
        <v>44215</v>
      </c>
      <c r="C2784" s="1" t="s">
        <v>74</v>
      </c>
      <c r="D2784" s="1" t="s">
        <v>74</v>
      </c>
      <c r="E2784" s="1" t="s">
        <v>74</v>
      </c>
      <c r="F2784" s="1" t="s">
        <v>44216</v>
      </c>
      <c r="G2784" s="1" t="s">
        <v>74</v>
      </c>
      <c r="H2784" s="1" t="s">
        <v>74</v>
      </c>
      <c r="I2784" s="1" t="s">
        <v>44217</v>
      </c>
      <c r="J2784" s="1" t="s">
        <v>29981</v>
      </c>
      <c r="K2784" s="1" t="s">
        <v>74</v>
      </c>
      <c r="L2784" s="1" t="s">
        <v>74</v>
      </c>
      <c r="M2784" s="1" t="s">
        <v>78</v>
      </c>
      <c r="N2784" s="1" t="s">
        <v>79</v>
      </c>
      <c r="O2784" s="1" t="s">
        <v>74</v>
      </c>
      <c r="P2784" s="1" t="s">
        <v>74</v>
      </c>
      <c r="Q2784" s="1" t="s">
        <v>74</v>
      </c>
      <c r="R2784" s="1" t="s">
        <v>74</v>
      </c>
      <c r="S2784" s="1" t="s">
        <v>74</v>
      </c>
      <c r="T2784" s="1" t="s">
        <v>44218</v>
      </c>
      <c r="U2784" s="1" t="s">
        <v>44219</v>
      </c>
      <c r="V2784" s="1" t="s">
        <v>44220</v>
      </c>
      <c r="W2784" s="1" t="s">
        <v>44221</v>
      </c>
      <c r="X2784" s="1" t="s">
        <v>44222</v>
      </c>
      <c r="Y2784" s="1" t="s">
        <v>44223</v>
      </c>
      <c r="Z2784" s="1" t="s">
        <v>44224</v>
      </c>
      <c r="AA2784" s="1" t="s">
        <v>44225</v>
      </c>
      <c r="AB2784" s="1" t="s">
        <v>44226</v>
      </c>
      <c r="AC2784" s="1" t="s">
        <v>44227</v>
      </c>
      <c r="AD2784" s="1" t="s">
        <v>44228</v>
      </c>
      <c r="AE2784" s="1" t="s">
        <v>44229</v>
      </c>
      <c r="AF2784" s="1" t="s">
        <v>74</v>
      </c>
      <c r="AG2784" s="1">
        <v>53</v>
      </c>
      <c r="AH2784" s="1">
        <v>6</v>
      </c>
      <c r="AI2784" s="1">
        <v>6</v>
      </c>
      <c r="AJ2784" s="1">
        <v>0</v>
      </c>
      <c r="AK2784" s="1">
        <v>84</v>
      </c>
      <c r="AL2784" s="1" t="s">
        <v>217</v>
      </c>
      <c r="AM2784" s="1" t="s">
        <v>218</v>
      </c>
      <c r="AN2784" s="1" t="s">
        <v>219</v>
      </c>
      <c r="AO2784" s="1" t="s">
        <v>29994</v>
      </c>
      <c r="AP2784" s="1" t="s">
        <v>29995</v>
      </c>
      <c r="AQ2784" s="1" t="s">
        <v>74</v>
      </c>
      <c r="AR2784" s="1" t="s">
        <v>29996</v>
      </c>
      <c r="AS2784" s="1" t="s">
        <v>29997</v>
      </c>
      <c r="AT2784" s="1" t="s">
        <v>119</v>
      </c>
      <c r="AU2784" s="1">
        <v>2013</v>
      </c>
      <c r="AV2784" s="1">
        <v>13</v>
      </c>
      <c r="AW2784" s="1">
        <v>7</v>
      </c>
      <c r="AX2784" s="1" t="s">
        <v>74</v>
      </c>
      <c r="AY2784" s="1" t="s">
        <v>74</v>
      </c>
      <c r="AZ2784" s="1" t="s">
        <v>74</v>
      </c>
      <c r="BA2784" s="1" t="s">
        <v>74</v>
      </c>
      <c r="BB2784" s="1">
        <v>1270</v>
      </c>
      <c r="BC2784" s="1">
        <v>1283</v>
      </c>
      <c r="BD2784" s="1" t="s">
        <v>74</v>
      </c>
      <c r="BE2784" s="1" t="s">
        <v>44230</v>
      </c>
      <c r="BF2784" s="1" t="str">
        <f>HYPERLINK("http://dx.doi.org/10.1007/s11368-013-0721-3","http://dx.doi.org/10.1007/s11368-013-0721-3")</f>
        <v>http://dx.doi.org/10.1007/s11368-013-0721-3</v>
      </c>
      <c r="BG2784" s="1" t="s">
        <v>74</v>
      </c>
      <c r="BH2784" s="1" t="s">
        <v>74</v>
      </c>
      <c r="BI2784" s="1">
        <v>14</v>
      </c>
      <c r="BJ2784" s="1" t="s">
        <v>16511</v>
      </c>
      <c r="BK2784" s="1" t="s">
        <v>96</v>
      </c>
      <c r="BL2784" s="1" t="s">
        <v>16512</v>
      </c>
      <c r="BM2784" s="1" t="s">
        <v>44231</v>
      </c>
      <c r="BN2784" s="1" t="s">
        <v>74</v>
      </c>
      <c r="BO2784" s="1" t="s">
        <v>74</v>
      </c>
      <c r="BP2784" s="1" t="s">
        <v>74</v>
      </c>
      <c r="BQ2784" s="1" t="s">
        <v>74</v>
      </c>
      <c r="BR2784" s="1" t="s">
        <v>98</v>
      </c>
      <c r="BS2784" s="1" t="s">
        <v>44232</v>
      </c>
      <c r="BT2784" s="1" t="str">
        <f>HYPERLINK("https%3A%2F%2Fwww.webofscience.com%2Fwos%2Fwoscc%2Ffull-record%2FWOS:000322372200015","View Full Record in Web of Science")</f>
        <v>View Full Record in Web of Science</v>
      </c>
      <c r="BU2784" s="1"/>
      <c r="BV2784" s="1"/>
    </row>
    <row r="2785" spans="1:74">
      <c r="A2785" s="1" t="s">
        <v>72</v>
      </c>
      <c r="B2785" s="1" t="s">
        <v>44233</v>
      </c>
      <c r="C2785" s="1" t="s">
        <v>74</v>
      </c>
      <c r="D2785" s="1" t="s">
        <v>74</v>
      </c>
      <c r="E2785" s="1" t="s">
        <v>74</v>
      </c>
      <c r="F2785" s="1" t="s">
        <v>44233</v>
      </c>
      <c r="G2785" s="1" t="s">
        <v>74</v>
      </c>
      <c r="H2785" s="1" t="s">
        <v>74</v>
      </c>
      <c r="I2785" s="1" t="s">
        <v>44234</v>
      </c>
      <c r="J2785" s="1" t="s">
        <v>909</v>
      </c>
      <c r="K2785" s="1" t="s">
        <v>74</v>
      </c>
      <c r="L2785" s="1" t="s">
        <v>74</v>
      </c>
      <c r="M2785" s="1" t="s">
        <v>78</v>
      </c>
      <c r="N2785" s="1" t="s">
        <v>151</v>
      </c>
      <c r="O2785" s="1" t="s">
        <v>44235</v>
      </c>
      <c r="P2785" s="1" t="s">
        <v>44236</v>
      </c>
      <c r="Q2785" s="1" t="s">
        <v>44237</v>
      </c>
      <c r="R2785" s="1" t="s">
        <v>74</v>
      </c>
      <c r="S2785" s="1" t="s">
        <v>74</v>
      </c>
      <c r="T2785" s="1" t="s">
        <v>44238</v>
      </c>
      <c r="U2785" s="1" t="s">
        <v>44239</v>
      </c>
      <c r="V2785" s="1" t="s">
        <v>44240</v>
      </c>
      <c r="W2785" s="1" t="s">
        <v>44241</v>
      </c>
      <c r="X2785" s="1" t="s">
        <v>74</v>
      </c>
      <c r="Y2785" s="1" t="s">
        <v>44242</v>
      </c>
      <c r="Z2785" s="1" t="s">
        <v>44243</v>
      </c>
      <c r="AA2785" s="1" t="s">
        <v>44244</v>
      </c>
      <c r="AB2785" s="1" t="s">
        <v>44245</v>
      </c>
      <c r="AC2785" s="1" t="s">
        <v>74</v>
      </c>
      <c r="AD2785" s="1" t="s">
        <v>74</v>
      </c>
      <c r="AE2785" s="1" t="s">
        <v>74</v>
      </c>
      <c r="AF2785" s="1" t="s">
        <v>74</v>
      </c>
      <c r="AG2785" s="1">
        <v>37</v>
      </c>
      <c r="AH2785" s="1">
        <v>12</v>
      </c>
      <c r="AI2785" s="1">
        <v>12</v>
      </c>
      <c r="AJ2785" s="1">
        <v>0</v>
      </c>
      <c r="AK2785" s="1">
        <v>5</v>
      </c>
      <c r="AL2785" s="1" t="s">
        <v>919</v>
      </c>
      <c r="AM2785" s="1" t="s">
        <v>651</v>
      </c>
      <c r="AN2785" s="1" t="s">
        <v>920</v>
      </c>
      <c r="AO2785" s="1" t="s">
        <v>921</v>
      </c>
      <c r="AP2785" s="1" t="s">
        <v>922</v>
      </c>
      <c r="AQ2785" s="1" t="s">
        <v>74</v>
      </c>
      <c r="AR2785" s="1" t="s">
        <v>923</v>
      </c>
      <c r="AS2785" s="1" t="s">
        <v>924</v>
      </c>
      <c r="AT2785" s="1" t="s">
        <v>27991</v>
      </c>
      <c r="AU2785" s="1">
        <v>1999</v>
      </c>
      <c r="AV2785" s="1">
        <v>238</v>
      </c>
      <c r="AW2785" s="1" t="s">
        <v>74</v>
      </c>
      <c r="AX2785" s="1" t="s">
        <v>74</v>
      </c>
      <c r="AY2785" s="1" t="s">
        <v>74</v>
      </c>
      <c r="AZ2785" s="1" t="s">
        <v>225</v>
      </c>
      <c r="BA2785" s="1" t="s">
        <v>74</v>
      </c>
      <c r="BB2785" s="1">
        <v>93</v>
      </c>
      <c r="BC2785" s="1">
        <v>103</v>
      </c>
      <c r="BD2785" s="1" t="s">
        <v>74</v>
      </c>
      <c r="BE2785" s="1" t="s">
        <v>44246</v>
      </c>
      <c r="BF2785" s="1" t="str">
        <f>HYPERLINK("http://dx.doi.org/10.1016/S0048-9697(99)00127-8","http://dx.doi.org/10.1016/S0048-9697(99)00127-8")</f>
        <v>http://dx.doi.org/10.1016/S0048-9697(99)00127-8</v>
      </c>
      <c r="BG2785" s="1" t="s">
        <v>74</v>
      </c>
      <c r="BH2785" s="1" t="s">
        <v>74</v>
      </c>
      <c r="BI2785" s="1">
        <v>11</v>
      </c>
      <c r="BJ2785" s="1" t="s">
        <v>144</v>
      </c>
      <c r="BK2785" s="1" t="s">
        <v>172</v>
      </c>
      <c r="BL2785" s="1" t="s">
        <v>145</v>
      </c>
      <c r="BM2785" s="1" t="s">
        <v>44247</v>
      </c>
      <c r="BN2785" s="1">
        <v>10568268</v>
      </c>
      <c r="BO2785" s="1" t="s">
        <v>74</v>
      </c>
      <c r="BP2785" s="1" t="s">
        <v>74</v>
      </c>
      <c r="BQ2785" s="1" t="s">
        <v>74</v>
      </c>
      <c r="BR2785" s="1" t="s">
        <v>98</v>
      </c>
      <c r="BS2785" s="1" t="s">
        <v>44248</v>
      </c>
      <c r="BT2785" s="1" t="str">
        <f>HYPERLINK("https%3A%2F%2Fwww.webofscience.com%2Fwos%2Fwoscc%2Ffull-record%2FWOS:000083272200009","View Full Record in Web of Science")</f>
        <v>View Full Record in Web of Science</v>
      </c>
      <c r="BU2785" s="1"/>
      <c r="BV2785" s="1"/>
    </row>
    <row r="2786" spans="1:74">
      <c r="A2786" s="1" t="s">
        <v>72</v>
      </c>
      <c r="B2786" s="1" t="s">
        <v>44249</v>
      </c>
      <c r="C2786" s="1" t="s">
        <v>74</v>
      </c>
      <c r="D2786" s="1" t="s">
        <v>74</v>
      </c>
      <c r="E2786" s="1" t="s">
        <v>74</v>
      </c>
      <c r="F2786" s="1" t="s">
        <v>44250</v>
      </c>
      <c r="G2786" s="1" t="s">
        <v>74</v>
      </c>
      <c r="H2786" s="1" t="s">
        <v>74</v>
      </c>
      <c r="I2786" s="1" t="s">
        <v>44251</v>
      </c>
      <c r="J2786" s="1" t="s">
        <v>3405</v>
      </c>
      <c r="K2786" s="1" t="s">
        <v>74</v>
      </c>
      <c r="L2786" s="1" t="s">
        <v>74</v>
      </c>
      <c r="M2786" s="1" t="s">
        <v>78</v>
      </c>
      <c r="N2786" s="1" t="s">
        <v>79</v>
      </c>
      <c r="O2786" s="1" t="s">
        <v>74</v>
      </c>
      <c r="P2786" s="1" t="s">
        <v>74</v>
      </c>
      <c r="Q2786" s="1" t="s">
        <v>74</v>
      </c>
      <c r="R2786" s="1" t="s">
        <v>74</v>
      </c>
      <c r="S2786" s="1" t="s">
        <v>74</v>
      </c>
      <c r="T2786" s="1" t="s">
        <v>44252</v>
      </c>
      <c r="U2786" s="1" t="s">
        <v>44253</v>
      </c>
      <c r="V2786" s="1" t="s">
        <v>44254</v>
      </c>
      <c r="W2786" s="1" t="s">
        <v>44255</v>
      </c>
      <c r="X2786" s="1" t="s">
        <v>44256</v>
      </c>
      <c r="Y2786" s="1" t="s">
        <v>44257</v>
      </c>
      <c r="Z2786" s="1" t="s">
        <v>44258</v>
      </c>
      <c r="AA2786" s="1" t="s">
        <v>44259</v>
      </c>
      <c r="AB2786" s="1" t="s">
        <v>44260</v>
      </c>
      <c r="AC2786" s="1" t="s">
        <v>74</v>
      </c>
      <c r="AD2786" s="1" t="s">
        <v>74</v>
      </c>
      <c r="AE2786" s="1" t="s">
        <v>74</v>
      </c>
      <c r="AF2786" s="1" t="s">
        <v>74</v>
      </c>
      <c r="AG2786" s="1">
        <v>28</v>
      </c>
      <c r="AH2786" s="1">
        <v>0</v>
      </c>
      <c r="AI2786" s="1">
        <v>0</v>
      </c>
      <c r="AJ2786" s="1">
        <v>0</v>
      </c>
      <c r="AK2786" s="1">
        <v>18</v>
      </c>
      <c r="AL2786" s="1" t="s">
        <v>3418</v>
      </c>
      <c r="AM2786" s="1" t="s">
        <v>3419</v>
      </c>
      <c r="AN2786" s="1" t="s">
        <v>3420</v>
      </c>
      <c r="AO2786" s="1" t="s">
        <v>3421</v>
      </c>
      <c r="AP2786" s="1" t="s">
        <v>3422</v>
      </c>
      <c r="AQ2786" s="1" t="s">
        <v>74</v>
      </c>
      <c r="AR2786" s="1" t="s">
        <v>3423</v>
      </c>
      <c r="AS2786" s="1" t="s">
        <v>3424</v>
      </c>
      <c r="AT2786" s="1" t="s">
        <v>119</v>
      </c>
      <c r="AU2786" s="1">
        <v>2019</v>
      </c>
      <c r="AV2786" s="1">
        <v>158</v>
      </c>
      <c r="AW2786" s="1" t="s">
        <v>74</v>
      </c>
      <c r="AX2786" s="1" t="s">
        <v>74</v>
      </c>
      <c r="AY2786" s="1" t="s">
        <v>74</v>
      </c>
      <c r="AZ2786" s="1" t="s">
        <v>74</v>
      </c>
      <c r="BA2786" s="1" t="s">
        <v>74</v>
      </c>
      <c r="BB2786" s="1">
        <v>11</v>
      </c>
      <c r="BC2786" s="1">
        <v>19</v>
      </c>
      <c r="BD2786" s="1" t="s">
        <v>74</v>
      </c>
      <c r="BE2786" s="1" t="s">
        <v>44261</v>
      </c>
      <c r="BF2786" s="1" t="str">
        <f>HYPERLINK("http://dx.doi.org/10.5004/dwt.2019.24019","http://dx.doi.org/10.5004/dwt.2019.24019")</f>
        <v>http://dx.doi.org/10.5004/dwt.2019.24019</v>
      </c>
      <c r="BG2786" s="1" t="s">
        <v>74</v>
      </c>
      <c r="BH2786" s="1" t="s">
        <v>74</v>
      </c>
      <c r="BI2786" s="1">
        <v>9</v>
      </c>
      <c r="BJ2786" s="1" t="s">
        <v>3426</v>
      </c>
      <c r="BK2786" s="1" t="s">
        <v>96</v>
      </c>
      <c r="BL2786" s="1" t="s">
        <v>3427</v>
      </c>
      <c r="BM2786" s="1" t="s">
        <v>44262</v>
      </c>
      <c r="BN2786" s="1" t="s">
        <v>74</v>
      </c>
      <c r="BO2786" s="1" t="s">
        <v>74</v>
      </c>
      <c r="BP2786" s="1" t="s">
        <v>74</v>
      </c>
      <c r="BQ2786" s="1" t="s">
        <v>74</v>
      </c>
      <c r="BR2786" s="1" t="s">
        <v>98</v>
      </c>
      <c r="BS2786" s="1" t="s">
        <v>44263</v>
      </c>
      <c r="BT2786" s="1" t="str">
        <f>HYPERLINK("https%3A%2F%2Fwww.webofscience.com%2Fwos%2Fwoscc%2Ffull-record%2FWOS:000472923900002","View Full Record in Web of Science")</f>
        <v>View Full Record in Web of Science</v>
      </c>
      <c r="BU2786" s="1"/>
      <c r="BV2786" s="1"/>
    </row>
    <row r="2787" spans="1:74">
      <c r="A2787" s="1" t="s">
        <v>72</v>
      </c>
      <c r="B2787" s="1" t="s">
        <v>44264</v>
      </c>
      <c r="C2787" s="1" t="s">
        <v>74</v>
      </c>
      <c r="D2787" s="1" t="s">
        <v>74</v>
      </c>
      <c r="E2787" s="1" t="s">
        <v>74</v>
      </c>
      <c r="F2787" s="1" t="s">
        <v>44265</v>
      </c>
      <c r="G2787" s="1" t="s">
        <v>74</v>
      </c>
      <c r="H2787" s="1" t="s">
        <v>74</v>
      </c>
      <c r="I2787" s="1" t="s">
        <v>44266</v>
      </c>
      <c r="J2787" s="1" t="s">
        <v>44267</v>
      </c>
      <c r="K2787" s="1" t="s">
        <v>74</v>
      </c>
      <c r="L2787" s="1" t="s">
        <v>74</v>
      </c>
      <c r="M2787" s="1" t="s">
        <v>78</v>
      </c>
      <c r="N2787" s="1" t="s">
        <v>79</v>
      </c>
      <c r="O2787" s="1" t="s">
        <v>74</v>
      </c>
      <c r="P2787" s="1" t="s">
        <v>74</v>
      </c>
      <c r="Q2787" s="1" t="s">
        <v>74</v>
      </c>
      <c r="R2787" s="1" t="s">
        <v>74</v>
      </c>
      <c r="S2787" s="1" t="s">
        <v>74</v>
      </c>
      <c r="T2787" s="1" t="s">
        <v>44268</v>
      </c>
      <c r="U2787" s="1" t="s">
        <v>44269</v>
      </c>
      <c r="V2787" s="1" t="s">
        <v>44270</v>
      </c>
      <c r="W2787" s="1" t="s">
        <v>44271</v>
      </c>
      <c r="X2787" s="1" t="s">
        <v>44272</v>
      </c>
      <c r="Y2787" s="1" t="s">
        <v>44273</v>
      </c>
      <c r="Z2787" s="1" t="s">
        <v>44274</v>
      </c>
      <c r="AA2787" s="1" t="s">
        <v>44275</v>
      </c>
      <c r="AB2787" s="1" t="s">
        <v>44276</v>
      </c>
      <c r="AC2787" s="1" t="s">
        <v>44277</v>
      </c>
      <c r="AD2787" s="1" t="s">
        <v>44278</v>
      </c>
      <c r="AE2787" s="1" t="s">
        <v>44279</v>
      </c>
      <c r="AF2787" s="1" t="s">
        <v>74</v>
      </c>
      <c r="AG2787" s="1">
        <v>61</v>
      </c>
      <c r="AH2787" s="1">
        <v>4</v>
      </c>
      <c r="AI2787" s="1">
        <v>4</v>
      </c>
      <c r="AJ2787" s="1">
        <v>2</v>
      </c>
      <c r="AK2787" s="1">
        <v>3</v>
      </c>
      <c r="AL2787" s="1" t="s">
        <v>44280</v>
      </c>
      <c r="AM2787" s="1" t="s">
        <v>44281</v>
      </c>
      <c r="AN2787" s="1" t="s">
        <v>44282</v>
      </c>
      <c r="AO2787" s="1" t="s">
        <v>44283</v>
      </c>
      <c r="AP2787" s="1" t="s">
        <v>44284</v>
      </c>
      <c r="AQ2787" s="1" t="s">
        <v>74</v>
      </c>
      <c r="AR2787" s="1" t="s">
        <v>44285</v>
      </c>
      <c r="AS2787" s="1" t="s">
        <v>44286</v>
      </c>
      <c r="AT2787" s="1" t="s">
        <v>765</v>
      </c>
      <c r="AU2787" s="1">
        <v>2023</v>
      </c>
      <c r="AV2787" s="1">
        <v>39</v>
      </c>
      <c r="AW2787" s="1">
        <v>3</v>
      </c>
      <c r="AX2787" s="1" t="s">
        <v>74</v>
      </c>
      <c r="AY2787" s="1" t="s">
        <v>74</v>
      </c>
      <c r="AZ2787" s="1" t="s">
        <v>74</v>
      </c>
      <c r="BA2787" s="1" t="s">
        <v>74</v>
      </c>
      <c r="BB2787" s="1">
        <v>517</v>
      </c>
      <c r="BC2787" s="1">
        <v>531</v>
      </c>
      <c r="BD2787" s="1" t="s">
        <v>74</v>
      </c>
      <c r="BE2787" s="1" t="s">
        <v>44287</v>
      </c>
      <c r="BF2787" s="1" t="str">
        <f>HYPERLINK("http://dx.doi.org/10.1007/s43188-023-00181-5","http://dx.doi.org/10.1007/s43188-023-00181-5")</f>
        <v>http://dx.doi.org/10.1007/s43188-023-00181-5</v>
      </c>
      <c r="BG2787" s="1" t="s">
        <v>74</v>
      </c>
      <c r="BH2787" s="1" t="s">
        <v>2259</v>
      </c>
      <c r="BI2787" s="1">
        <v>15</v>
      </c>
      <c r="BJ2787" s="1" t="s">
        <v>95</v>
      </c>
      <c r="BK2787" s="1" t="s">
        <v>96</v>
      </c>
      <c r="BL2787" s="1" t="s">
        <v>95</v>
      </c>
      <c r="BM2787" s="1" t="s">
        <v>44288</v>
      </c>
      <c r="BN2787" s="1">
        <v>37398572</v>
      </c>
      <c r="BO2787" s="1" t="s">
        <v>2784</v>
      </c>
      <c r="BP2787" s="1" t="s">
        <v>74</v>
      </c>
      <c r="BQ2787" s="1" t="s">
        <v>74</v>
      </c>
      <c r="BR2787" s="1" t="s">
        <v>98</v>
      </c>
      <c r="BS2787" s="1" t="s">
        <v>44289</v>
      </c>
      <c r="BT2787" s="1" t="str">
        <f>HYPERLINK("https%3A%2F%2Fwww.webofscience.com%2Fwos%2Fwoscc%2Ffull-record%2FWOS:000993015800001","View Full Record in Web of Science")</f>
        <v>View Full Record in Web of Science</v>
      </c>
      <c r="BU2787" s="1"/>
      <c r="BV2787" s="1"/>
    </row>
    <row r="2788" spans="1:74">
      <c r="A2788" s="1" t="s">
        <v>72</v>
      </c>
      <c r="B2788" s="1" t="s">
        <v>44290</v>
      </c>
      <c r="C2788" s="1" t="s">
        <v>74</v>
      </c>
      <c r="D2788" s="1" t="s">
        <v>74</v>
      </c>
      <c r="E2788" s="1" t="s">
        <v>74</v>
      </c>
      <c r="F2788" s="1" t="s">
        <v>44291</v>
      </c>
      <c r="G2788" s="1" t="s">
        <v>74</v>
      </c>
      <c r="H2788" s="1" t="s">
        <v>74</v>
      </c>
      <c r="I2788" s="1" t="s">
        <v>44292</v>
      </c>
      <c r="J2788" s="1" t="s">
        <v>44293</v>
      </c>
      <c r="K2788" s="1" t="s">
        <v>74</v>
      </c>
      <c r="L2788" s="1" t="s">
        <v>74</v>
      </c>
      <c r="M2788" s="1" t="s">
        <v>78</v>
      </c>
      <c r="N2788" s="1" t="s">
        <v>79</v>
      </c>
      <c r="O2788" s="1" t="s">
        <v>74</v>
      </c>
      <c r="P2788" s="1" t="s">
        <v>74</v>
      </c>
      <c r="Q2788" s="1" t="s">
        <v>74</v>
      </c>
      <c r="R2788" s="1" t="s">
        <v>74</v>
      </c>
      <c r="S2788" s="1" t="s">
        <v>74</v>
      </c>
      <c r="T2788" s="1" t="s">
        <v>44294</v>
      </c>
      <c r="U2788" s="1" t="s">
        <v>44295</v>
      </c>
      <c r="V2788" s="1" t="s">
        <v>44296</v>
      </c>
      <c r="W2788" s="1" t="s">
        <v>44297</v>
      </c>
      <c r="X2788" s="1" t="s">
        <v>44298</v>
      </c>
      <c r="Y2788" s="1" t="s">
        <v>44299</v>
      </c>
      <c r="Z2788" s="1" t="s">
        <v>44300</v>
      </c>
      <c r="AA2788" s="1" t="s">
        <v>74</v>
      </c>
      <c r="AB2788" s="1" t="s">
        <v>44301</v>
      </c>
      <c r="AC2788" s="1" t="s">
        <v>44302</v>
      </c>
      <c r="AD2788" s="1" t="s">
        <v>44303</v>
      </c>
      <c r="AE2788" s="1" t="s">
        <v>44304</v>
      </c>
      <c r="AF2788" s="1" t="s">
        <v>74</v>
      </c>
      <c r="AG2788" s="1">
        <v>192</v>
      </c>
      <c r="AH2788" s="1">
        <v>5</v>
      </c>
      <c r="AI2788" s="1">
        <v>5</v>
      </c>
      <c r="AJ2788" s="1">
        <v>2</v>
      </c>
      <c r="AK2788" s="1">
        <v>12</v>
      </c>
      <c r="AL2788" s="1" t="s">
        <v>44305</v>
      </c>
      <c r="AM2788" s="1" t="s">
        <v>286</v>
      </c>
      <c r="AN2788" s="1" t="s">
        <v>44306</v>
      </c>
      <c r="AO2788" s="1" t="s">
        <v>44307</v>
      </c>
      <c r="AP2788" s="1" t="s">
        <v>74</v>
      </c>
      <c r="AQ2788" s="1" t="s">
        <v>74</v>
      </c>
      <c r="AR2788" s="1" t="s">
        <v>44293</v>
      </c>
      <c r="AS2788" s="1" t="s">
        <v>44308</v>
      </c>
      <c r="AT2788" s="1" t="s">
        <v>36385</v>
      </c>
      <c r="AU2788" s="1">
        <v>2021</v>
      </c>
      <c r="AV2788" s="1">
        <v>9</v>
      </c>
      <c r="AW2788" s="1" t="s">
        <v>74</v>
      </c>
      <c r="AX2788" s="1" t="s">
        <v>74</v>
      </c>
      <c r="AY2788" s="1" t="s">
        <v>74</v>
      </c>
      <c r="AZ2788" s="1" t="s">
        <v>74</v>
      </c>
      <c r="BA2788" s="1" t="s">
        <v>74</v>
      </c>
      <c r="BB2788" s="1" t="s">
        <v>74</v>
      </c>
      <c r="BC2788" s="1" t="s">
        <v>74</v>
      </c>
      <c r="BD2788" s="1" t="s">
        <v>44309</v>
      </c>
      <c r="BE2788" s="1" t="s">
        <v>44310</v>
      </c>
      <c r="BF2788" s="1" t="str">
        <f>HYPERLINK("http://dx.doi.org/10.7717/peerj.11247","http://dx.doi.org/10.7717/peerj.11247")</f>
        <v>http://dx.doi.org/10.7717/peerj.11247</v>
      </c>
      <c r="BG2788" s="1" t="s">
        <v>74</v>
      </c>
      <c r="BH2788" s="1" t="s">
        <v>74</v>
      </c>
      <c r="BI2788" s="1">
        <v>106</v>
      </c>
      <c r="BJ2788" s="1" t="s">
        <v>3202</v>
      </c>
      <c r="BK2788" s="1" t="s">
        <v>96</v>
      </c>
      <c r="BL2788" s="1" t="s">
        <v>3203</v>
      </c>
      <c r="BM2788" s="1" t="s">
        <v>44311</v>
      </c>
      <c r="BN2788" s="1">
        <v>34055477</v>
      </c>
      <c r="BO2788" s="1" t="s">
        <v>5306</v>
      </c>
      <c r="BP2788" s="1" t="s">
        <v>74</v>
      </c>
      <c r="BQ2788" s="1" t="s">
        <v>74</v>
      </c>
      <c r="BR2788" s="1" t="s">
        <v>98</v>
      </c>
      <c r="BS2788" s="1" t="s">
        <v>44312</v>
      </c>
      <c r="BT2788" s="1" t="str">
        <f>HYPERLINK("https%3A%2F%2Fwww.webofscience.com%2Fwos%2Fwoscc%2Ffull-record%2FWOS:000653142600001","View Full Record in Web of Science")</f>
        <v>View Full Record in Web of Science</v>
      </c>
      <c r="BU2788" s="1"/>
      <c r="BV2788" s="1"/>
    </row>
    <row r="2789" spans="1:74">
      <c r="A2789" s="1" t="s">
        <v>72</v>
      </c>
      <c r="B2789" s="1" t="s">
        <v>44313</v>
      </c>
      <c r="C2789" s="1" t="s">
        <v>74</v>
      </c>
      <c r="D2789" s="1" t="s">
        <v>74</v>
      </c>
      <c r="E2789" s="1" t="s">
        <v>74</v>
      </c>
      <c r="F2789" s="1" t="s">
        <v>44314</v>
      </c>
      <c r="G2789" s="1" t="s">
        <v>74</v>
      </c>
      <c r="H2789" s="1" t="s">
        <v>74</v>
      </c>
      <c r="I2789" s="1" t="s">
        <v>44315</v>
      </c>
      <c r="J2789" s="1" t="s">
        <v>3926</v>
      </c>
      <c r="K2789" s="1" t="s">
        <v>74</v>
      </c>
      <c r="L2789" s="1" t="s">
        <v>74</v>
      </c>
      <c r="M2789" s="1" t="s">
        <v>78</v>
      </c>
      <c r="N2789" s="1" t="s">
        <v>79</v>
      </c>
      <c r="O2789" s="1" t="s">
        <v>74</v>
      </c>
      <c r="P2789" s="1" t="s">
        <v>74</v>
      </c>
      <c r="Q2789" s="1" t="s">
        <v>74</v>
      </c>
      <c r="R2789" s="1" t="s">
        <v>74</v>
      </c>
      <c r="S2789" s="1" t="s">
        <v>74</v>
      </c>
      <c r="T2789" s="1" t="s">
        <v>44316</v>
      </c>
      <c r="U2789" s="1" t="s">
        <v>44317</v>
      </c>
      <c r="V2789" s="1" t="s">
        <v>44318</v>
      </c>
      <c r="W2789" s="1" t="s">
        <v>44319</v>
      </c>
      <c r="X2789" s="1" t="s">
        <v>44320</v>
      </c>
      <c r="Y2789" s="1" t="s">
        <v>44321</v>
      </c>
      <c r="Z2789" s="1" t="s">
        <v>44322</v>
      </c>
      <c r="AA2789" s="1" t="s">
        <v>44323</v>
      </c>
      <c r="AB2789" s="1" t="s">
        <v>74</v>
      </c>
      <c r="AC2789" s="1" t="s">
        <v>44324</v>
      </c>
      <c r="AD2789" s="1" t="s">
        <v>44325</v>
      </c>
      <c r="AE2789" s="1" t="s">
        <v>44326</v>
      </c>
      <c r="AF2789" s="1" t="s">
        <v>74</v>
      </c>
      <c r="AG2789" s="1">
        <v>45</v>
      </c>
      <c r="AH2789" s="1">
        <v>0</v>
      </c>
      <c r="AI2789" s="1">
        <v>0</v>
      </c>
      <c r="AJ2789" s="1">
        <v>2</v>
      </c>
      <c r="AK2789" s="1">
        <v>2</v>
      </c>
      <c r="AL2789" s="1" t="s">
        <v>650</v>
      </c>
      <c r="AM2789" s="1" t="s">
        <v>651</v>
      </c>
      <c r="AN2789" s="1" t="s">
        <v>652</v>
      </c>
      <c r="AO2789" s="1" t="s">
        <v>3939</v>
      </c>
      <c r="AP2789" s="1" t="s">
        <v>3940</v>
      </c>
      <c r="AQ2789" s="1" t="s">
        <v>74</v>
      </c>
      <c r="AR2789" s="1" t="s">
        <v>3926</v>
      </c>
      <c r="AS2789" s="1" t="s">
        <v>3941</v>
      </c>
      <c r="AT2789" s="1" t="s">
        <v>1965</v>
      </c>
      <c r="AU2789" s="1">
        <v>2024</v>
      </c>
      <c r="AV2789" s="1">
        <v>593</v>
      </c>
      <c r="AW2789" s="1" t="s">
        <v>74</v>
      </c>
      <c r="AX2789" s="1" t="s">
        <v>74</v>
      </c>
      <c r="AY2789" s="1" t="s">
        <v>74</v>
      </c>
      <c r="AZ2789" s="1" t="s">
        <v>74</v>
      </c>
      <c r="BA2789" s="1" t="s">
        <v>74</v>
      </c>
      <c r="BB2789" s="1" t="s">
        <v>74</v>
      </c>
      <c r="BC2789" s="1" t="s">
        <v>74</v>
      </c>
      <c r="BD2789" s="1">
        <v>741369</v>
      </c>
      <c r="BE2789" s="1" t="s">
        <v>44327</v>
      </c>
      <c r="BF2789" s="1" t="str">
        <f>HYPERLINK("http://dx.doi.org/10.1016/j.aquaculture.2024.741369","http://dx.doi.org/10.1016/j.aquaculture.2024.741369")</f>
        <v>http://dx.doi.org/10.1016/j.aquaculture.2024.741369</v>
      </c>
      <c r="BG2789" s="1" t="s">
        <v>74</v>
      </c>
      <c r="BH2789" s="1" t="s">
        <v>5962</v>
      </c>
      <c r="BI2789" s="1">
        <v>9</v>
      </c>
      <c r="BJ2789" s="1" t="s">
        <v>2391</v>
      </c>
      <c r="BK2789" s="1" t="s">
        <v>96</v>
      </c>
      <c r="BL2789" s="1" t="s">
        <v>2391</v>
      </c>
      <c r="BM2789" s="1" t="s">
        <v>44328</v>
      </c>
      <c r="BN2789" s="1" t="s">
        <v>74</v>
      </c>
      <c r="BO2789" s="1" t="s">
        <v>74</v>
      </c>
      <c r="BP2789" s="1" t="s">
        <v>74</v>
      </c>
      <c r="BQ2789" s="1" t="s">
        <v>74</v>
      </c>
      <c r="BR2789" s="1" t="s">
        <v>98</v>
      </c>
      <c r="BS2789" s="1" t="s">
        <v>44329</v>
      </c>
      <c r="BT2789" s="1" t="str">
        <f>HYPERLINK("https%3A%2F%2Fwww.webofscience.com%2Fwos%2Fwoscc%2Ffull-record%2FWOS:001275684400001","View Full Record in Web of Science")</f>
        <v>View Full Record in Web of Science</v>
      </c>
      <c r="BU2789" s="1"/>
      <c r="BV2789" s="1"/>
    </row>
    <row r="2790" spans="1:74">
      <c r="A2790" s="1" t="s">
        <v>72</v>
      </c>
      <c r="B2790" s="1" t="s">
        <v>44330</v>
      </c>
      <c r="C2790" s="1" t="s">
        <v>74</v>
      </c>
      <c r="D2790" s="1" t="s">
        <v>74</v>
      </c>
      <c r="E2790" s="1" t="s">
        <v>74</v>
      </c>
      <c r="F2790" s="1" t="s">
        <v>44331</v>
      </c>
      <c r="G2790" s="1" t="s">
        <v>74</v>
      </c>
      <c r="H2790" s="1" t="s">
        <v>74</v>
      </c>
      <c r="I2790" s="1" t="s">
        <v>44332</v>
      </c>
      <c r="J2790" s="1" t="s">
        <v>421</v>
      </c>
      <c r="K2790" s="1" t="s">
        <v>74</v>
      </c>
      <c r="L2790" s="1" t="s">
        <v>74</v>
      </c>
      <c r="M2790" s="1" t="s">
        <v>78</v>
      </c>
      <c r="N2790" s="1" t="s">
        <v>79</v>
      </c>
      <c r="O2790" s="1" t="s">
        <v>74</v>
      </c>
      <c r="P2790" s="1" t="s">
        <v>74</v>
      </c>
      <c r="Q2790" s="1" t="s">
        <v>74</v>
      </c>
      <c r="R2790" s="1" t="s">
        <v>74</v>
      </c>
      <c r="S2790" s="1" t="s">
        <v>74</v>
      </c>
      <c r="T2790" s="1" t="s">
        <v>44333</v>
      </c>
      <c r="U2790" s="1" t="s">
        <v>44334</v>
      </c>
      <c r="V2790" s="1" t="s">
        <v>44335</v>
      </c>
      <c r="W2790" s="1" t="s">
        <v>44336</v>
      </c>
      <c r="X2790" s="1" t="s">
        <v>44337</v>
      </c>
      <c r="Y2790" s="1" t="s">
        <v>24685</v>
      </c>
      <c r="Z2790" s="1" t="s">
        <v>36299</v>
      </c>
      <c r="AA2790" s="1" t="s">
        <v>44338</v>
      </c>
      <c r="AB2790" s="1" t="s">
        <v>44339</v>
      </c>
      <c r="AC2790" s="1" t="s">
        <v>44340</v>
      </c>
      <c r="AD2790" s="1" t="s">
        <v>44341</v>
      </c>
      <c r="AE2790" s="1" t="s">
        <v>44342</v>
      </c>
      <c r="AF2790" s="1" t="s">
        <v>74</v>
      </c>
      <c r="AG2790" s="1">
        <v>77</v>
      </c>
      <c r="AH2790" s="1">
        <v>12</v>
      </c>
      <c r="AI2790" s="1">
        <v>12</v>
      </c>
      <c r="AJ2790" s="1">
        <v>3</v>
      </c>
      <c r="AK2790" s="1">
        <v>22</v>
      </c>
      <c r="AL2790" s="1" t="s">
        <v>430</v>
      </c>
      <c r="AM2790" s="1" t="s">
        <v>137</v>
      </c>
      <c r="AN2790" s="1" t="s">
        <v>431</v>
      </c>
      <c r="AO2790" s="1" t="s">
        <v>432</v>
      </c>
      <c r="AP2790" s="1" t="s">
        <v>1394</v>
      </c>
      <c r="AQ2790" s="1" t="s">
        <v>74</v>
      </c>
      <c r="AR2790" s="1" t="s">
        <v>433</v>
      </c>
      <c r="AS2790" s="1" t="s">
        <v>434</v>
      </c>
      <c r="AT2790" s="1" t="s">
        <v>8920</v>
      </c>
      <c r="AU2790" s="1">
        <v>2022</v>
      </c>
      <c r="AV2790" s="1">
        <v>312</v>
      </c>
      <c r="AW2790" s="1" t="s">
        <v>74</v>
      </c>
      <c r="AX2790" s="1" t="s">
        <v>74</v>
      </c>
      <c r="AY2790" s="1" t="s">
        <v>74</v>
      </c>
      <c r="AZ2790" s="1" t="s">
        <v>74</v>
      </c>
      <c r="BA2790" s="1" t="s">
        <v>74</v>
      </c>
      <c r="BB2790" s="1" t="s">
        <v>74</v>
      </c>
      <c r="BC2790" s="1" t="s">
        <v>74</v>
      </c>
      <c r="BD2790" s="1">
        <v>119987</v>
      </c>
      <c r="BE2790" s="1" t="s">
        <v>44343</v>
      </c>
      <c r="BF2790" s="1" t="str">
        <f>HYPERLINK("http://dx.doi.org/10.1016/j.envpol.2022.119987","http://dx.doi.org/10.1016/j.envpol.2022.119987")</f>
        <v>http://dx.doi.org/10.1016/j.envpol.2022.119987</v>
      </c>
      <c r="BG2790" s="1" t="s">
        <v>74</v>
      </c>
      <c r="BH2790" s="1" t="s">
        <v>4632</v>
      </c>
      <c r="BI2790" s="1">
        <v>11</v>
      </c>
      <c r="BJ2790" s="1" t="s">
        <v>144</v>
      </c>
      <c r="BK2790" s="1" t="s">
        <v>96</v>
      </c>
      <c r="BL2790" s="1" t="s">
        <v>145</v>
      </c>
      <c r="BM2790" s="1" t="s">
        <v>44344</v>
      </c>
      <c r="BN2790" s="1">
        <v>35995291</v>
      </c>
      <c r="BO2790" s="1" t="s">
        <v>74</v>
      </c>
      <c r="BP2790" s="1" t="s">
        <v>74</v>
      </c>
      <c r="BQ2790" s="1" t="s">
        <v>74</v>
      </c>
      <c r="BR2790" s="1" t="s">
        <v>98</v>
      </c>
      <c r="BS2790" s="1" t="s">
        <v>44345</v>
      </c>
      <c r="BT2790" s="1" t="str">
        <f>HYPERLINK("https%3A%2F%2Fwww.webofscience.com%2Fwos%2Fwoscc%2Ffull-record%2FWOS:000862854900009","View Full Record in Web of Science")</f>
        <v>View Full Record in Web of Science</v>
      </c>
      <c r="BU2790" s="1"/>
      <c r="BV2790" s="1"/>
    </row>
    <row r="2791" spans="1:74">
      <c r="A2791" s="1" t="s">
        <v>72</v>
      </c>
      <c r="B2791" s="1" t="s">
        <v>44346</v>
      </c>
      <c r="C2791" s="1" t="s">
        <v>74</v>
      </c>
      <c r="D2791" s="1" t="s">
        <v>74</v>
      </c>
      <c r="E2791" s="1" t="s">
        <v>74</v>
      </c>
      <c r="F2791" s="1" t="s">
        <v>44347</v>
      </c>
      <c r="G2791" s="1" t="s">
        <v>74</v>
      </c>
      <c r="H2791" s="1" t="s">
        <v>74</v>
      </c>
      <c r="I2791" s="1" t="s">
        <v>44348</v>
      </c>
      <c r="J2791" s="1" t="s">
        <v>44349</v>
      </c>
      <c r="K2791" s="1" t="s">
        <v>74</v>
      </c>
      <c r="L2791" s="1" t="s">
        <v>74</v>
      </c>
      <c r="M2791" s="1" t="s">
        <v>78</v>
      </c>
      <c r="N2791" s="1" t="s">
        <v>79</v>
      </c>
      <c r="O2791" s="1" t="s">
        <v>74</v>
      </c>
      <c r="P2791" s="1" t="s">
        <v>74</v>
      </c>
      <c r="Q2791" s="1" t="s">
        <v>74</v>
      </c>
      <c r="R2791" s="1" t="s">
        <v>74</v>
      </c>
      <c r="S2791" s="1" t="s">
        <v>74</v>
      </c>
      <c r="T2791" s="1" t="s">
        <v>44350</v>
      </c>
      <c r="U2791" s="1" t="s">
        <v>44351</v>
      </c>
      <c r="V2791" s="1" t="s">
        <v>44352</v>
      </c>
      <c r="W2791" s="1" t="s">
        <v>44353</v>
      </c>
      <c r="X2791" s="1" t="s">
        <v>44354</v>
      </c>
      <c r="Y2791" s="1" t="s">
        <v>44355</v>
      </c>
      <c r="Z2791" s="1" t="s">
        <v>44356</v>
      </c>
      <c r="AA2791" s="1" t="s">
        <v>44357</v>
      </c>
      <c r="AB2791" s="1" t="s">
        <v>44358</v>
      </c>
      <c r="AC2791" s="1" t="s">
        <v>74</v>
      </c>
      <c r="AD2791" s="1" t="s">
        <v>74</v>
      </c>
      <c r="AE2791" s="1" t="s">
        <v>74</v>
      </c>
      <c r="AF2791" s="1" t="s">
        <v>74</v>
      </c>
      <c r="AG2791" s="1">
        <v>20</v>
      </c>
      <c r="AH2791" s="1">
        <v>4</v>
      </c>
      <c r="AI2791" s="1">
        <v>4</v>
      </c>
      <c r="AJ2791" s="1">
        <v>0</v>
      </c>
      <c r="AK2791" s="1">
        <v>4</v>
      </c>
      <c r="AL2791" s="1" t="s">
        <v>2074</v>
      </c>
      <c r="AM2791" s="1" t="s">
        <v>2075</v>
      </c>
      <c r="AN2791" s="1" t="s">
        <v>2076</v>
      </c>
      <c r="AO2791" s="1" t="s">
        <v>44359</v>
      </c>
      <c r="AP2791" s="1" t="s">
        <v>44360</v>
      </c>
      <c r="AQ2791" s="1" t="s">
        <v>74</v>
      </c>
      <c r="AR2791" s="1" t="s">
        <v>44361</v>
      </c>
      <c r="AS2791" s="1" t="s">
        <v>44362</v>
      </c>
      <c r="AT2791" s="1" t="s">
        <v>74</v>
      </c>
      <c r="AU2791" s="1">
        <v>2018</v>
      </c>
      <c r="AV2791" s="1">
        <v>32</v>
      </c>
      <c r="AW2791" s="1">
        <v>12</v>
      </c>
      <c r="AX2791" s="1" t="s">
        <v>74</v>
      </c>
      <c r="AY2791" s="1" t="s">
        <v>74</v>
      </c>
      <c r="AZ2791" s="1" t="s">
        <v>74</v>
      </c>
      <c r="BA2791" s="1" t="s">
        <v>74</v>
      </c>
      <c r="BB2791" s="1">
        <v>1402</v>
      </c>
      <c r="BC2791" s="1">
        <v>1406</v>
      </c>
      <c r="BD2791" s="1" t="s">
        <v>74</v>
      </c>
      <c r="BE2791" s="1" t="s">
        <v>44363</v>
      </c>
      <c r="BF2791" s="1" t="str">
        <f>HYPERLINK("http://dx.doi.org/10.1080/14786419.2017.1350674","http://dx.doi.org/10.1080/14786419.2017.1350674")</f>
        <v>http://dx.doi.org/10.1080/14786419.2017.1350674</v>
      </c>
      <c r="BG2791" s="1" t="s">
        <v>74</v>
      </c>
      <c r="BH2791" s="1" t="s">
        <v>74</v>
      </c>
      <c r="BI2791" s="1">
        <v>5</v>
      </c>
      <c r="BJ2791" s="1" t="s">
        <v>44364</v>
      </c>
      <c r="BK2791" s="1" t="s">
        <v>96</v>
      </c>
      <c r="BL2791" s="1" t="s">
        <v>44365</v>
      </c>
      <c r="BM2791" s="1" t="s">
        <v>44366</v>
      </c>
      <c r="BN2791" s="1">
        <v>28691872</v>
      </c>
      <c r="BO2791" s="1" t="s">
        <v>74</v>
      </c>
      <c r="BP2791" s="1" t="s">
        <v>74</v>
      </c>
      <c r="BQ2791" s="1" t="s">
        <v>74</v>
      </c>
      <c r="BR2791" s="1" t="s">
        <v>98</v>
      </c>
      <c r="BS2791" s="1" t="s">
        <v>44367</v>
      </c>
      <c r="BT2791" s="1" t="str">
        <f>HYPERLINK("https%3A%2F%2Fwww.webofscience.com%2Fwos%2Fwoscc%2Ffull-record%2FWOS:000430863800006","View Full Record in Web of Science")</f>
        <v>View Full Record in Web of Science</v>
      </c>
      <c r="BU2791" s="1"/>
      <c r="BV2791" s="1"/>
    </row>
    <row r="2792" spans="1:74">
      <c r="A2792" s="1" t="s">
        <v>72</v>
      </c>
      <c r="B2792" s="1" t="s">
        <v>44368</v>
      </c>
      <c r="C2792" s="1" t="s">
        <v>74</v>
      </c>
      <c r="D2792" s="1" t="s">
        <v>74</v>
      </c>
      <c r="E2792" s="1" t="s">
        <v>74</v>
      </c>
      <c r="F2792" s="1" t="s">
        <v>44368</v>
      </c>
      <c r="G2792" s="1" t="s">
        <v>74</v>
      </c>
      <c r="H2792" s="1" t="s">
        <v>74</v>
      </c>
      <c r="I2792" s="1" t="s">
        <v>44369</v>
      </c>
      <c r="J2792" s="1" t="s">
        <v>232</v>
      </c>
      <c r="K2792" s="1" t="s">
        <v>74</v>
      </c>
      <c r="L2792" s="1" t="s">
        <v>74</v>
      </c>
      <c r="M2792" s="1" t="s">
        <v>78</v>
      </c>
      <c r="N2792" s="1" t="s">
        <v>79</v>
      </c>
      <c r="O2792" s="1" t="s">
        <v>74</v>
      </c>
      <c r="P2792" s="1" t="s">
        <v>74</v>
      </c>
      <c r="Q2792" s="1" t="s">
        <v>74</v>
      </c>
      <c r="R2792" s="1" t="s">
        <v>74</v>
      </c>
      <c r="S2792" s="1" t="s">
        <v>74</v>
      </c>
      <c r="T2792" s="1" t="s">
        <v>44370</v>
      </c>
      <c r="U2792" s="1" t="s">
        <v>44371</v>
      </c>
      <c r="V2792" s="1" t="s">
        <v>44372</v>
      </c>
      <c r="W2792" s="1" t="s">
        <v>44373</v>
      </c>
      <c r="X2792" s="1" t="s">
        <v>44374</v>
      </c>
      <c r="Y2792" s="1" t="s">
        <v>44375</v>
      </c>
      <c r="Z2792" s="1" t="s">
        <v>74</v>
      </c>
      <c r="AA2792" s="1" t="s">
        <v>44376</v>
      </c>
      <c r="AB2792" s="1" t="s">
        <v>44377</v>
      </c>
      <c r="AC2792" s="1" t="s">
        <v>74</v>
      </c>
      <c r="AD2792" s="1" t="s">
        <v>74</v>
      </c>
      <c r="AE2792" s="1" t="s">
        <v>74</v>
      </c>
      <c r="AF2792" s="1" t="s">
        <v>74</v>
      </c>
      <c r="AG2792" s="1">
        <v>29</v>
      </c>
      <c r="AH2792" s="1">
        <v>98</v>
      </c>
      <c r="AI2792" s="1">
        <v>100</v>
      </c>
      <c r="AJ2792" s="1">
        <v>0</v>
      </c>
      <c r="AK2792" s="1">
        <v>34</v>
      </c>
      <c r="AL2792" s="1" t="s">
        <v>136</v>
      </c>
      <c r="AM2792" s="1" t="s">
        <v>137</v>
      </c>
      <c r="AN2792" s="1" t="s">
        <v>138</v>
      </c>
      <c r="AO2792" s="1" t="s">
        <v>240</v>
      </c>
      <c r="AP2792" s="1" t="s">
        <v>241</v>
      </c>
      <c r="AQ2792" s="1" t="s">
        <v>74</v>
      </c>
      <c r="AR2792" s="1" t="s">
        <v>242</v>
      </c>
      <c r="AS2792" s="1" t="s">
        <v>243</v>
      </c>
      <c r="AT2792" s="1" t="s">
        <v>5113</v>
      </c>
      <c r="AU2792" s="1">
        <v>2000</v>
      </c>
      <c r="AV2792" s="1">
        <v>41</v>
      </c>
      <c r="AW2792" s="1" t="s">
        <v>5114</v>
      </c>
      <c r="AX2792" s="1" t="s">
        <v>74</v>
      </c>
      <c r="AY2792" s="1" t="s">
        <v>74</v>
      </c>
      <c r="AZ2792" s="1" t="s">
        <v>74</v>
      </c>
      <c r="BA2792" s="1" t="s">
        <v>74</v>
      </c>
      <c r="BB2792" s="1">
        <v>319</v>
      </c>
      <c r="BC2792" s="1">
        <v>326</v>
      </c>
      <c r="BD2792" s="1" t="s">
        <v>74</v>
      </c>
      <c r="BE2792" s="1" t="s">
        <v>44378</v>
      </c>
      <c r="BF2792" s="1" t="str">
        <f>HYPERLINK("http://dx.doi.org/10.1016/S0025-326X(00)00138-7","http://dx.doi.org/10.1016/S0025-326X(00)00138-7")</f>
        <v>http://dx.doi.org/10.1016/S0025-326X(00)00138-7</v>
      </c>
      <c r="BG2792" s="1" t="s">
        <v>74</v>
      </c>
      <c r="BH2792" s="1" t="s">
        <v>74</v>
      </c>
      <c r="BI2792" s="1">
        <v>8</v>
      </c>
      <c r="BJ2792" s="1" t="s">
        <v>247</v>
      </c>
      <c r="BK2792" s="1" t="s">
        <v>96</v>
      </c>
      <c r="BL2792" s="1" t="s">
        <v>248</v>
      </c>
      <c r="BM2792" s="1" t="s">
        <v>5116</v>
      </c>
      <c r="BN2792" s="1" t="s">
        <v>74</v>
      </c>
      <c r="BO2792" s="1" t="s">
        <v>74</v>
      </c>
      <c r="BP2792" s="1" t="s">
        <v>74</v>
      </c>
      <c r="BQ2792" s="1" t="s">
        <v>74</v>
      </c>
      <c r="BR2792" s="1" t="s">
        <v>98</v>
      </c>
      <c r="BS2792" s="1" t="s">
        <v>44379</v>
      </c>
      <c r="BT2792" s="1" t="str">
        <f>HYPERLINK("https%3A%2F%2Fwww.webofscience.com%2Fwos%2Fwoscc%2Ffull-record%2FWOS:000166052900008","View Full Record in Web of Science")</f>
        <v>View Full Record in Web of Science</v>
      </c>
      <c r="BU2792" s="1"/>
      <c r="BV2792" s="1"/>
    </row>
    <row r="2793" spans="1:74">
      <c r="A2793" s="1" t="s">
        <v>72</v>
      </c>
      <c r="B2793" s="1" t="s">
        <v>44380</v>
      </c>
      <c r="C2793" s="1" t="s">
        <v>74</v>
      </c>
      <c r="D2793" s="1" t="s">
        <v>74</v>
      </c>
      <c r="E2793" s="1" t="s">
        <v>74</v>
      </c>
      <c r="F2793" s="1" t="s">
        <v>44381</v>
      </c>
      <c r="G2793" s="1" t="s">
        <v>74</v>
      </c>
      <c r="H2793" s="1" t="s">
        <v>74</v>
      </c>
      <c r="I2793" s="1" t="s">
        <v>44382</v>
      </c>
      <c r="J2793" s="1" t="s">
        <v>204</v>
      </c>
      <c r="K2793" s="1" t="s">
        <v>74</v>
      </c>
      <c r="L2793" s="1" t="s">
        <v>74</v>
      </c>
      <c r="M2793" s="1" t="s">
        <v>78</v>
      </c>
      <c r="N2793" s="1" t="s">
        <v>79</v>
      </c>
      <c r="O2793" s="1" t="s">
        <v>74</v>
      </c>
      <c r="P2793" s="1" t="s">
        <v>74</v>
      </c>
      <c r="Q2793" s="1" t="s">
        <v>74</v>
      </c>
      <c r="R2793" s="1" t="s">
        <v>74</v>
      </c>
      <c r="S2793" s="1" t="s">
        <v>74</v>
      </c>
      <c r="T2793" s="1" t="s">
        <v>44383</v>
      </c>
      <c r="U2793" s="1" t="s">
        <v>44384</v>
      </c>
      <c r="V2793" s="1" t="s">
        <v>44385</v>
      </c>
      <c r="W2793" s="1" t="s">
        <v>44386</v>
      </c>
      <c r="X2793" s="1" t="s">
        <v>44387</v>
      </c>
      <c r="Y2793" s="1" t="s">
        <v>44388</v>
      </c>
      <c r="Z2793" s="1" t="s">
        <v>44389</v>
      </c>
      <c r="AA2793" s="1" t="s">
        <v>44390</v>
      </c>
      <c r="AB2793" s="1" t="s">
        <v>44391</v>
      </c>
      <c r="AC2793" s="1" t="s">
        <v>44392</v>
      </c>
      <c r="AD2793" s="1" t="s">
        <v>44393</v>
      </c>
      <c r="AE2793" s="1" t="s">
        <v>44394</v>
      </c>
      <c r="AF2793" s="1" t="s">
        <v>74</v>
      </c>
      <c r="AG2793" s="1">
        <v>66</v>
      </c>
      <c r="AH2793" s="1">
        <v>10</v>
      </c>
      <c r="AI2793" s="1">
        <v>12</v>
      </c>
      <c r="AJ2793" s="1">
        <v>1</v>
      </c>
      <c r="AK2793" s="1">
        <v>137</v>
      </c>
      <c r="AL2793" s="1" t="s">
        <v>217</v>
      </c>
      <c r="AM2793" s="1" t="s">
        <v>218</v>
      </c>
      <c r="AN2793" s="1" t="s">
        <v>219</v>
      </c>
      <c r="AO2793" s="1" t="s">
        <v>220</v>
      </c>
      <c r="AP2793" s="1" t="s">
        <v>221</v>
      </c>
      <c r="AQ2793" s="1" t="s">
        <v>74</v>
      </c>
      <c r="AR2793" s="1" t="s">
        <v>222</v>
      </c>
      <c r="AS2793" s="1" t="s">
        <v>223</v>
      </c>
      <c r="AT2793" s="1" t="s">
        <v>142</v>
      </c>
      <c r="AU2793" s="1">
        <v>2017</v>
      </c>
      <c r="AV2793" s="1">
        <v>24</v>
      </c>
      <c r="AW2793" s="1">
        <v>17</v>
      </c>
      <c r="AX2793" s="1" t="s">
        <v>74</v>
      </c>
      <c r="AY2793" s="1" t="s">
        <v>74</v>
      </c>
      <c r="AZ2793" s="1" t="s">
        <v>74</v>
      </c>
      <c r="BA2793" s="1" t="s">
        <v>74</v>
      </c>
      <c r="BB2793" s="1">
        <v>14847</v>
      </c>
      <c r="BC2793" s="1">
        <v>14856</v>
      </c>
      <c r="BD2793" s="1" t="s">
        <v>74</v>
      </c>
      <c r="BE2793" s="1" t="s">
        <v>44395</v>
      </c>
      <c r="BF2793" s="1" t="str">
        <f>HYPERLINK("http://dx.doi.org/10.1007/s11356-017-9069-3","http://dx.doi.org/10.1007/s11356-017-9069-3")</f>
        <v>http://dx.doi.org/10.1007/s11356-017-9069-3</v>
      </c>
      <c r="BG2793" s="1" t="s">
        <v>74</v>
      </c>
      <c r="BH2793" s="1" t="s">
        <v>74</v>
      </c>
      <c r="BI2793" s="1">
        <v>10</v>
      </c>
      <c r="BJ2793" s="1" t="s">
        <v>144</v>
      </c>
      <c r="BK2793" s="1" t="s">
        <v>96</v>
      </c>
      <c r="BL2793" s="1" t="s">
        <v>145</v>
      </c>
      <c r="BM2793" s="1" t="s">
        <v>9323</v>
      </c>
      <c r="BN2793" s="1">
        <v>28477252</v>
      </c>
      <c r="BO2793" s="1" t="s">
        <v>2784</v>
      </c>
      <c r="BP2793" s="1" t="s">
        <v>74</v>
      </c>
      <c r="BQ2793" s="1" t="s">
        <v>74</v>
      </c>
      <c r="BR2793" s="1" t="s">
        <v>98</v>
      </c>
      <c r="BS2793" s="1" t="s">
        <v>44396</v>
      </c>
      <c r="BT2793" s="1" t="str">
        <f>HYPERLINK("https%3A%2F%2Fwww.webofscience.com%2Fwos%2Fwoscc%2Ffull-record%2FWOS:000402997700026","View Full Record in Web of Science")</f>
        <v>View Full Record in Web of Science</v>
      </c>
      <c r="BU2793" s="1"/>
      <c r="BV2793" s="1"/>
    </row>
    <row r="2794" spans="1:74">
      <c r="A2794" s="1" t="s">
        <v>72</v>
      </c>
      <c r="B2794" s="1" t="s">
        <v>44397</v>
      </c>
      <c r="C2794" s="1" t="s">
        <v>74</v>
      </c>
      <c r="D2794" s="1" t="s">
        <v>74</v>
      </c>
      <c r="E2794" s="1" t="s">
        <v>74</v>
      </c>
      <c r="F2794" s="1" t="s">
        <v>44398</v>
      </c>
      <c r="G2794" s="1" t="s">
        <v>74</v>
      </c>
      <c r="H2794" s="1" t="s">
        <v>74</v>
      </c>
      <c r="I2794" s="1" t="s">
        <v>44399</v>
      </c>
      <c r="J2794" s="1" t="s">
        <v>752</v>
      </c>
      <c r="K2794" s="1" t="s">
        <v>74</v>
      </c>
      <c r="L2794" s="1" t="s">
        <v>74</v>
      </c>
      <c r="M2794" s="1" t="s">
        <v>78</v>
      </c>
      <c r="N2794" s="1" t="s">
        <v>79</v>
      </c>
      <c r="O2794" s="1" t="s">
        <v>74</v>
      </c>
      <c r="P2794" s="1" t="s">
        <v>74</v>
      </c>
      <c r="Q2794" s="1" t="s">
        <v>74</v>
      </c>
      <c r="R2794" s="1" t="s">
        <v>74</v>
      </c>
      <c r="S2794" s="1" t="s">
        <v>74</v>
      </c>
      <c r="T2794" s="1" t="s">
        <v>44400</v>
      </c>
      <c r="U2794" s="1" t="s">
        <v>44401</v>
      </c>
      <c r="V2794" s="1" t="s">
        <v>44402</v>
      </c>
      <c r="W2794" s="1" t="s">
        <v>44403</v>
      </c>
      <c r="X2794" s="1" t="s">
        <v>1022</v>
      </c>
      <c r="Y2794" s="1" t="s">
        <v>44404</v>
      </c>
      <c r="Z2794" s="1" t="s">
        <v>30187</v>
      </c>
      <c r="AA2794" s="1" t="s">
        <v>44405</v>
      </c>
      <c r="AB2794" s="1" t="s">
        <v>44406</v>
      </c>
      <c r="AC2794" s="1" t="s">
        <v>44407</v>
      </c>
      <c r="AD2794" s="1" t="s">
        <v>44408</v>
      </c>
      <c r="AE2794" s="1" t="s">
        <v>44409</v>
      </c>
      <c r="AF2794" s="1" t="s">
        <v>74</v>
      </c>
      <c r="AG2794" s="1">
        <v>61</v>
      </c>
      <c r="AH2794" s="1">
        <v>12</v>
      </c>
      <c r="AI2794" s="1">
        <v>12</v>
      </c>
      <c r="AJ2794" s="1">
        <v>0</v>
      </c>
      <c r="AK2794" s="1">
        <v>19</v>
      </c>
      <c r="AL2794" s="1" t="s">
        <v>430</v>
      </c>
      <c r="AM2794" s="1" t="s">
        <v>137</v>
      </c>
      <c r="AN2794" s="1" t="s">
        <v>431</v>
      </c>
      <c r="AO2794" s="1" t="s">
        <v>761</v>
      </c>
      <c r="AP2794" s="1" t="s">
        <v>762</v>
      </c>
      <c r="AQ2794" s="1" t="s">
        <v>74</v>
      </c>
      <c r="AR2794" s="1" t="s">
        <v>763</v>
      </c>
      <c r="AS2794" s="1" t="s">
        <v>764</v>
      </c>
      <c r="AT2794" s="1" t="s">
        <v>119</v>
      </c>
      <c r="AU2794" s="1">
        <v>2017</v>
      </c>
      <c r="AV2794" s="1">
        <v>129</v>
      </c>
      <c r="AW2794" s="1" t="s">
        <v>74</v>
      </c>
      <c r="AX2794" s="1" t="s">
        <v>74</v>
      </c>
      <c r="AY2794" s="1" t="s">
        <v>74</v>
      </c>
      <c r="AZ2794" s="1" t="s">
        <v>74</v>
      </c>
      <c r="BA2794" s="1" t="s">
        <v>74</v>
      </c>
      <c r="BB2794" s="1">
        <v>195</v>
      </c>
      <c r="BC2794" s="1">
        <v>206</v>
      </c>
      <c r="BD2794" s="1" t="s">
        <v>74</v>
      </c>
      <c r="BE2794" s="1" t="s">
        <v>44410</v>
      </c>
      <c r="BF2794" s="1" t="str">
        <f>HYPERLINK("http://dx.doi.org/10.1016/j.marenvres.2017.06.004","http://dx.doi.org/10.1016/j.marenvres.2017.06.004")</f>
        <v>http://dx.doi.org/10.1016/j.marenvres.2017.06.004</v>
      </c>
      <c r="BG2794" s="1" t="s">
        <v>74</v>
      </c>
      <c r="BH2794" s="1" t="s">
        <v>74</v>
      </c>
      <c r="BI2794" s="1">
        <v>12</v>
      </c>
      <c r="BJ2794" s="1" t="s">
        <v>768</v>
      </c>
      <c r="BK2794" s="1" t="s">
        <v>96</v>
      </c>
      <c r="BL2794" s="1" t="s">
        <v>769</v>
      </c>
      <c r="BM2794" s="1" t="s">
        <v>44411</v>
      </c>
      <c r="BN2794" s="1">
        <v>28622846</v>
      </c>
      <c r="BO2794" s="1" t="s">
        <v>810</v>
      </c>
      <c r="BP2794" s="1" t="s">
        <v>74</v>
      </c>
      <c r="BQ2794" s="1" t="s">
        <v>74</v>
      </c>
      <c r="BR2794" s="1" t="s">
        <v>98</v>
      </c>
      <c r="BS2794" s="1" t="s">
        <v>44412</v>
      </c>
      <c r="BT2794" s="1" t="str">
        <f>HYPERLINK("https%3A%2F%2Fwww.webofscience.com%2Fwos%2Fwoscc%2Ffull-record%2FWOS:000407981500017","View Full Record in Web of Science")</f>
        <v>View Full Record in Web of Science</v>
      </c>
      <c r="BU2794" s="1"/>
      <c r="BV2794" s="1"/>
    </row>
    <row r="2795" spans="1:74">
      <c r="A2795" s="1" t="s">
        <v>72</v>
      </c>
      <c r="B2795" s="1" t="s">
        <v>44413</v>
      </c>
      <c r="C2795" s="1" t="s">
        <v>74</v>
      </c>
      <c r="D2795" s="1" t="s">
        <v>74</v>
      </c>
      <c r="E2795" s="1" t="s">
        <v>74</v>
      </c>
      <c r="F2795" s="1" t="s">
        <v>44414</v>
      </c>
      <c r="G2795" s="1" t="s">
        <v>74</v>
      </c>
      <c r="H2795" s="1" t="s">
        <v>74</v>
      </c>
      <c r="I2795" s="1" t="s">
        <v>44415</v>
      </c>
      <c r="J2795" s="1" t="s">
        <v>44416</v>
      </c>
      <c r="K2795" s="1" t="s">
        <v>74</v>
      </c>
      <c r="L2795" s="1" t="s">
        <v>74</v>
      </c>
      <c r="M2795" s="1" t="s">
        <v>78</v>
      </c>
      <c r="N2795" s="1" t="s">
        <v>79</v>
      </c>
      <c r="O2795" s="1" t="s">
        <v>74</v>
      </c>
      <c r="P2795" s="1" t="s">
        <v>74</v>
      </c>
      <c r="Q2795" s="1" t="s">
        <v>74</v>
      </c>
      <c r="R2795" s="1" t="s">
        <v>74</v>
      </c>
      <c r="S2795" s="1" t="s">
        <v>74</v>
      </c>
      <c r="T2795" s="1" t="s">
        <v>44417</v>
      </c>
      <c r="U2795" s="1" t="s">
        <v>44418</v>
      </c>
      <c r="V2795" s="1" t="s">
        <v>44419</v>
      </c>
      <c r="W2795" s="1" t="s">
        <v>44420</v>
      </c>
      <c r="X2795" s="1" t="s">
        <v>44421</v>
      </c>
      <c r="Y2795" s="1" t="s">
        <v>44422</v>
      </c>
      <c r="Z2795" s="1" t="s">
        <v>44423</v>
      </c>
      <c r="AA2795" s="1" t="s">
        <v>44424</v>
      </c>
      <c r="AB2795" s="1" t="s">
        <v>44425</v>
      </c>
      <c r="AC2795" s="1" t="s">
        <v>44426</v>
      </c>
      <c r="AD2795" s="1" t="s">
        <v>44427</v>
      </c>
      <c r="AE2795" s="1" t="s">
        <v>44428</v>
      </c>
      <c r="AF2795" s="1" t="s">
        <v>74</v>
      </c>
      <c r="AG2795" s="1">
        <v>42</v>
      </c>
      <c r="AH2795" s="1">
        <v>5</v>
      </c>
      <c r="AI2795" s="1">
        <v>7</v>
      </c>
      <c r="AJ2795" s="1">
        <v>0</v>
      </c>
      <c r="AK2795" s="1">
        <v>47</v>
      </c>
      <c r="AL2795" s="1" t="s">
        <v>86</v>
      </c>
      <c r="AM2795" s="1" t="s">
        <v>87</v>
      </c>
      <c r="AN2795" s="1" t="s">
        <v>88</v>
      </c>
      <c r="AO2795" s="1" t="s">
        <v>44429</v>
      </c>
      <c r="AP2795" s="1" t="s">
        <v>44430</v>
      </c>
      <c r="AQ2795" s="1" t="s">
        <v>74</v>
      </c>
      <c r="AR2795" s="1" t="s">
        <v>44431</v>
      </c>
      <c r="AS2795" s="1" t="s">
        <v>44432</v>
      </c>
      <c r="AT2795" s="1" t="s">
        <v>142</v>
      </c>
      <c r="AU2795" s="1">
        <v>2017</v>
      </c>
      <c r="AV2795" s="1">
        <v>33</v>
      </c>
      <c r="AW2795" s="1">
        <v>5</v>
      </c>
      <c r="AX2795" s="1" t="s">
        <v>74</v>
      </c>
      <c r="AY2795" s="1" t="s">
        <v>74</v>
      </c>
      <c r="AZ2795" s="1" t="s">
        <v>74</v>
      </c>
      <c r="BA2795" s="1" t="s">
        <v>74</v>
      </c>
      <c r="BB2795" s="1">
        <v>718</v>
      </c>
      <c r="BC2795" s="1">
        <v>728</v>
      </c>
      <c r="BD2795" s="1" t="s">
        <v>74</v>
      </c>
      <c r="BE2795" s="1" t="s">
        <v>44433</v>
      </c>
      <c r="BF2795" s="1" t="str">
        <f>HYPERLINK("http://dx.doi.org/10.1002/rra.3126","http://dx.doi.org/10.1002/rra.3126")</f>
        <v>http://dx.doi.org/10.1002/rra.3126</v>
      </c>
      <c r="BG2795" s="1" t="s">
        <v>74</v>
      </c>
      <c r="BH2795" s="1" t="s">
        <v>74</v>
      </c>
      <c r="BI2795" s="1">
        <v>11</v>
      </c>
      <c r="BJ2795" s="1" t="s">
        <v>6623</v>
      </c>
      <c r="BK2795" s="1" t="s">
        <v>96</v>
      </c>
      <c r="BL2795" s="1" t="s">
        <v>6624</v>
      </c>
      <c r="BM2795" s="1" t="s">
        <v>44434</v>
      </c>
      <c r="BN2795" s="1" t="s">
        <v>74</v>
      </c>
      <c r="BO2795" s="1" t="s">
        <v>74</v>
      </c>
      <c r="BP2795" s="1" t="s">
        <v>74</v>
      </c>
      <c r="BQ2795" s="1" t="s">
        <v>74</v>
      </c>
      <c r="BR2795" s="1" t="s">
        <v>98</v>
      </c>
      <c r="BS2795" s="1" t="s">
        <v>44435</v>
      </c>
      <c r="BT2795" s="1" t="str">
        <f>HYPERLINK("https%3A%2F%2Fwww.webofscience.com%2Fwos%2Fwoscc%2Ffull-record%2FWOS:000402840900008","View Full Record in Web of Science")</f>
        <v>View Full Record in Web of Science</v>
      </c>
      <c r="BU2795" s="1"/>
      <c r="BV2795" s="1"/>
    </row>
    <row r="2796" spans="1:74">
      <c r="A2796" s="1" t="s">
        <v>72</v>
      </c>
      <c r="B2796" s="1" t="s">
        <v>44436</v>
      </c>
      <c r="C2796" s="1" t="s">
        <v>74</v>
      </c>
      <c r="D2796" s="1" t="s">
        <v>74</v>
      </c>
      <c r="E2796" s="1" t="s">
        <v>74</v>
      </c>
      <c r="F2796" s="1" t="s">
        <v>44437</v>
      </c>
      <c r="G2796" s="1" t="s">
        <v>74</v>
      </c>
      <c r="H2796" s="1" t="s">
        <v>74</v>
      </c>
      <c r="I2796" s="1" t="s">
        <v>44438</v>
      </c>
      <c r="J2796" s="1" t="s">
        <v>752</v>
      </c>
      <c r="K2796" s="1" t="s">
        <v>74</v>
      </c>
      <c r="L2796" s="1" t="s">
        <v>74</v>
      </c>
      <c r="M2796" s="1" t="s">
        <v>78</v>
      </c>
      <c r="N2796" s="1" t="s">
        <v>79</v>
      </c>
      <c r="O2796" s="1" t="s">
        <v>74</v>
      </c>
      <c r="P2796" s="1" t="s">
        <v>74</v>
      </c>
      <c r="Q2796" s="1" t="s">
        <v>74</v>
      </c>
      <c r="R2796" s="1" t="s">
        <v>74</v>
      </c>
      <c r="S2796" s="1" t="s">
        <v>74</v>
      </c>
      <c r="T2796" s="1" t="s">
        <v>44439</v>
      </c>
      <c r="U2796" s="1" t="s">
        <v>44440</v>
      </c>
      <c r="V2796" s="1" t="s">
        <v>44441</v>
      </c>
      <c r="W2796" s="1" t="s">
        <v>44442</v>
      </c>
      <c r="X2796" s="1" t="s">
        <v>44443</v>
      </c>
      <c r="Y2796" s="1" t="s">
        <v>44444</v>
      </c>
      <c r="Z2796" s="1" t="s">
        <v>44445</v>
      </c>
      <c r="AA2796" s="1" t="s">
        <v>44446</v>
      </c>
      <c r="AB2796" s="1" t="s">
        <v>2183</v>
      </c>
      <c r="AC2796" s="1" t="s">
        <v>44447</v>
      </c>
      <c r="AD2796" s="1" t="s">
        <v>44448</v>
      </c>
      <c r="AE2796" s="1" t="s">
        <v>44449</v>
      </c>
      <c r="AF2796" s="1" t="s">
        <v>74</v>
      </c>
      <c r="AG2796" s="1">
        <v>45</v>
      </c>
      <c r="AH2796" s="1">
        <v>16</v>
      </c>
      <c r="AI2796" s="1">
        <v>21</v>
      </c>
      <c r="AJ2796" s="1">
        <v>1</v>
      </c>
      <c r="AK2796" s="1">
        <v>40</v>
      </c>
      <c r="AL2796" s="1" t="s">
        <v>430</v>
      </c>
      <c r="AM2796" s="1" t="s">
        <v>7361</v>
      </c>
      <c r="AN2796" s="1" t="s">
        <v>7362</v>
      </c>
      <c r="AO2796" s="1" t="s">
        <v>761</v>
      </c>
      <c r="AP2796" s="1" t="s">
        <v>762</v>
      </c>
      <c r="AQ2796" s="1" t="s">
        <v>74</v>
      </c>
      <c r="AR2796" s="1" t="s">
        <v>763</v>
      </c>
      <c r="AS2796" s="1" t="s">
        <v>764</v>
      </c>
      <c r="AT2796" s="1" t="s">
        <v>142</v>
      </c>
      <c r="AU2796" s="1">
        <v>2012</v>
      </c>
      <c r="AV2796" s="1">
        <v>77</v>
      </c>
      <c r="AW2796" s="1" t="s">
        <v>74</v>
      </c>
      <c r="AX2796" s="1" t="s">
        <v>74</v>
      </c>
      <c r="AY2796" s="1" t="s">
        <v>74</v>
      </c>
      <c r="AZ2796" s="1" t="s">
        <v>74</v>
      </c>
      <c r="BA2796" s="1" t="s">
        <v>74</v>
      </c>
      <c r="BB2796" s="1">
        <v>112</v>
      </c>
      <c r="BC2796" s="1">
        <v>119</v>
      </c>
      <c r="BD2796" s="1" t="s">
        <v>74</v>
      </c>
      <c r="BE2796" s="1" t="s">
        <v>44450</v>
      </c>
      <c r="BF2796" s="1" t="str">
        <f>HYPERLINK("http://dx.doi.org/10.1016/j.marenvres.2012.03.002","http://dx.doi.org/10.1016/j.marenvres.2012.03.002")</f>
        <v>http://dx.doi.org/10.1016/j.marenvres.2012.03.002</v>
      </c>
      <c r="BG2796" s="1" t="s">
        <v>74</v>
      </c>
      <c r="BH2796" s="1" t="s">
        <v>74</v>
      </c>
      <c r="BI2796" s="1">
        <v>8</v>
      </c>
      <c r="BJ2796" s="1" t="s">
        <v>768</v>
      </c>
      <c r="BK2796" s="1" t="s">
        <v>96</v>
      </c>
      <c r="BL2796" s="1" t="s">
        <v>769</v>
      </c>
      <c r="BM2796" s="1" t="s">
        <v>44451</v>
      </c>
      <c r="BN2796" s="1">
        <v>22480793</v>
      </c>
      <c r="BO2796" s="1" t="s">
        <v>74</v>
      </c>
      <c r="BP2796" s="1" t="s">
        <v>74</v>
      </c>
      <c r="BQ2796" s="1" t="s">
        <v>74</v>
      </c>
      <c r="BR2796" s="1" t="s">
        <v>98</v>
      </c>
      <c r="BS2796" s="1" t="s">
        <v>44452</v>
      </c>
      <c r="BT2796" s="1" t="str">
        <f>HYPERLINK("https%3A%2F%2Fwww.webofscience.com%2Fwos%2Fwoscc%2Ffull-record%2FWOS:000304296700014","View Full Record in Web of Science")</f>
        <v>View Full Record in Web of Science</v>
      </c>
      <c r="BU2796" s="1"/>
      <c r="BV2796" s="1"/>
    </row>
    <row r="2797" spans="1:74">
      <c r="A2797" s="1" t="s">
        <v>72</v>
      </c>
      <c r="B2797" s="1" t="s">
        <v>44453</v>
      </c>
      <c r="C2797" s="1" t="s">
        <v>74</v>
      </c>
      <c r="D2797" s="1" t="s">
        <v>74</v>
      </c>
      <c r="E2797" s="1" t="s">
        <v>74</v>
      </c>
      <c r="F2797" s="1" t="s">
        <v>44453</v>
      </c>
      <c r="G2797" s="1" t="s">
        <v>74</v>
      </c>
      <c r="H2797" s="1" t="s">
        <v>74</v>
      </c>
      <c r="I2797" s="1" t="s">
        <v>44454</v>
      </c>
      <c r="J2797" s="1" t="s">
        <v>232</v>
      </c>
      <c r="K2797" s="1" t="s">
        <v>74</v>
      </c>
      <c r="L2797" s="1" t="s">
        <v>74</v>
      </c>
      <c r="M2797" s="1" t="s">
        <v>78</v>
      </c>
      <c r="N2797" s="1" t="s">
        <v>79</v>
      </c>
      <c r="O2797" s="1" t="s">
        <v>74</v>
      </c>
      <c r="P2797" s="1" t="s">
        <v>74</v>
      </c>
      <c r="Q2797" s="1" t="s">
        <v>74</v>
      </c>
      <c r="R2797" s="1" t="s">
        <v>74</v>
      </c>
      <c r="S2797" s="1" t="s">
        <v>74</v>
      </c>
      <c r="T2797" s="1" t="s">
        <v>74</v>
      </c>
      <c r="U2797" s="1" t="s">
        <v>74</v>
      </c>
      <c r="V2797" s="1" t="s">
        <v>44455</v>
      </c>
      <c r="W2797" s="1" t="s">
        <v>74</v>
      </c>
      <c r="X2797" s="1" t="s">
        <v>74</v>
      </c>
      <c r="Y2797" s="1" t="s">
        <v>44456</v>
      </c>
      <c r="Z2797" s="1" t="s">
        <v>74</v>
      </c>
      <c r="AA2797" s="1" t="s">
        <v>74</v>
      </c>
      <c r="AB2797" s="1" t="s">
        <v>74</v>
      </c>
      <c r="AC2797" s="1" t="s">
        <v>74</v>
      </c>
      <c r="AD2797" s="1" t="s">
        <v>74</v>
      </c>
      <c r="AE2797" s="1" t="s">
        <v>74</v>
      </c>
      <c r="AF2797" s="1" t="s">
        <v>74</v>
      </c>
      <c r="AG2797" s="1">
        <v>0</v>
      </c>
      <c r="AH2797" s="1">
        <v>18</v>
      </c>
      <c r="AI2797" s="1">
        <v>18</v>
      </c>
      <c r="AJ2797" s="1">
        <v>1</v>
      </c>
      <c r="AK2797" s="1">
        <v>2</v>
      </c>
      <c r="AL2797" s="1" t="s">
        <v>136</v>
      </c>
      <c r="AM2797" s="1" t="s">
        <v>137</v>
      </c>
      <c r="AN2797" s="1" t="s">
        <v>138</v>
      </c>
      <c r="AO2797" s="1" t="s">
        <v>240</v>
      </c>
      <c r="AP2797" s="1" t="s">
        <v>241</v>
      </c>
      <c r="AQ2797" s="1" t="s">
        <v>74</v>
      </c>
      <c r="AR2797" s="1" t="s">
        <v>242</v>
      </c>
      <c r="AS2797" s="1" t="s">
        <v>243</v>
      </c>
      <c r="AT2797" s="1" t="s">
        <v>74</v>
      </c>
      <c r="AU2797" s="1">
        <v>1978</v>
      </c>
      <c r="AV2797" s="1">
        <v>9</v>
      </c>
      <c r="AW2797" s="1">
        <v>3</v>
      </c>
      <c r="AX2797" s="1" t="s">
        <v>74</v>
      </c>
      <c r="AY2797" s="1" t="s">
        <v>74</v>
      </c>
      <c r="AZ2797" s="1" t="s">
        <v>74</v>
      </c>
      <c r="BA2797" s="1" t="s">
        <v>74</v>
      </c>
      <c r="BB2797" s="1">
        <v>76</v>
      </c>
      <c r="BC2797" s="1">
        <v>79</v>
      </c>
      <c r="BD2797" s="1" t="s">
        <v>74</v>
      </c>
      <c r="BE2797" s="1" t="s">
        <v>44457</v>
      </c>
      <c r="BF2797" s="1" t="str">
        <f>HYPERLINK("http://dx.doi.org/10.1016/0025-326X(78)90453-8","http://dx.doi.org/10.1016/0025-326X(78)90453-8")</f>
        <v>http://dx.doi.org/10.1016/0025-326X(78)90453-8</v>
      </c>
      <c r="BG2797" s="1" t="s">
        <v>74</v>
      </c>
      <c r="BH2797" s="1" t="s">
        <v>74</v>
      </c>
      <c r="BI2797" s="1">
        <v>4</v>
      </c>
      <c r="BJ2797" s="1" t="s">
        <v>247</v>
      </c>
      <c r="BK2797" s="1" t="s">
        <v>96</v>
      </c>
      <c r="BL2797" s="1" t="s">
        <v>248</v>
      </c>
      <c r="BM2797" s="1" t="s">
        <v>44458</v>
      </c>
      <c r="BN2797" s="1" t="s">
        <v>74</v>
      </c>
      <c r="BO2797" s="1" t="s">
        <v>74</v>
      </c>
      <c r="BP2797" s="1" t="s">
        <v>74</v>
      </c>
      <c r="BQ2797" s="1" t="s">
        <v>74</v>
      </c>
      <c r="BR2797" s="1" t="s">
        <v>98</v>
      </c>
      <c r="BS2797" s="1" t="s">
        <v>44459</v>
      </c>
      <c r="BT2797" s="1" t="str">
        <f>HYPERLINK("https%3A%2F%2Fwww.webofscience.com%2Fwos%2Fwoscc%2Ffull-record%2FWOS:A1978EU79500006","View Full Record in Web of Science")</f>
        <v>View Full Record in Web of Science</v>
      </c>
      <c r="BU2797" s="1"/>
      <c r="BV2797" s="1"/>
    </row>
    <row r="2798" spans="1:74">
      <c r="A2798" s="1" t="s">
        <v>72</v>
      </c>
      <c r="B2798" s="1" t="s">
        <v>44460</v>
      </c>
      <c r="C2798" s="1" t="s">
        <v>74</v>
      </c>
      <c r="D2798" s="1" t="s">
        <v>74</v>
      </c>
      <c r="E2798" s="1" t="s">
        <v>74</v>
      </c>
      <c r="F2798" s="1" t="s">
        <v>44461</v>
      </c>
      <c r="G2798" s="1" t="s">
        <v>74</v>
      </c>
      <c r="H2798" s="1" t="s">
        <v>74</v>
      </c>
      <c r="I2798" s="1" t="s">
        <v>44462</v>
      </c>
      <c r="J2798" s="1" t="s">
        <v>7246</v>
      </c>
      <c r="K2798" s="1" t="s">
        <v>74</v>
      </c>
      <c r="L2798" s="1" t="s">
        <v>74</v>
      </c>
      <c r="M2798" s="1" t="s">
        <v>78</v>
      </c>
      <c r="N2798" s="1" t="s">
        <v>79</v>
      </c>
      <c r="O2798" s="1" t="s">
        <v>74</v>
      </c>
      <c r="P2798" s="1" t="s">
        <v>74</v>
      </c>
      <c r="Q2798" s="1" t="s">
        <v>74</v>
      </c>
      <c r="R2798" s="1" t="s">
        <v>74</v>
      </c>
      <c r="S2798" s="1" t="s">
        <v>74</v>
      </c>
      <c r="T2798" s="1" t="s">
        <v>44463</v>
      </c>
      <c r="U2798" s="1" t="s">
        <v>44464</v>
      </c>
      <c r="V2798" s="1" t="s">
        <v>44465</v>
      </c>
      <c r="W2798" s="1" t="s">
        <v>44466</v>
      </c>
      <c r="X2798" s="1" t="s">
        <v>44467</v>
      </c>
      <c r="Y2798" s="1" t="s">
        <v>44468</v>
      </c>
      <c r="Z2798" s="1" t="s">
        <v>44469</v>
      </c>
      <c r="AA2798" s="1" t="s">
        <v>44470</v>
      </c>
      <c r="AB2798" s="1" t="s">
        <v>44471</v>
      </c>
      <c r="AC2798" s="1" t="s">
        <v>44472</v>
      </c>
      <c r="AD2798" s="1" t="s">
        <v>44473</v>
      </c>
      <c r="AE2798" s="1" t="s">
        <v>44474</v>
      </c>
      <c r="AF2798" s="1" t="s">
        <v>74</v>
      </c>
      <c r="AG2798" s="1">
        <v>89</v>
      </c>
      <c r="AH2798" s="1">
        <v>7</v>
      </c>
      <c r="AI2798" s="1">
        <v>8</v>
      </c>
      <c r="AJ2798" s="1">
        <v>0</v>
      </c>
      <c r="AK2798" s="1">
        <v>14</v>
      </c>
      <c r="AL2798" s="1" t="s">
        <v>1566</v>
      </c>
      <c r="AM2798" s="1" t="s">
        <v>1567</v>
      </c>
      <c r="AN2798" s="1" t="s">
        <v>1568</v>
      </c>
      <c r="AO2798" s="1" t="s">
        <v>74</v>
      </c>
      <c r="AP2798" s="1" t="s">
        <v>7258</v>
      </c>
      <c r="AQ2798" s="1" t="s">
        <v>74</v>
      </c>
      <c r="AR2798" s="1" t="s">
        <v>7259</v>
      </c>
      <c r="AS2798" s="1" t="s">
        <v>7260</v>
      </c>
      <c r="AT2798" s="1" t="s">
        <v>305</v>
      </c>
      <c r="AU2798" s="1">
        <v>2021</v>
      </c>
      <c r="AV2798" s="1">
        <v>9</v>
      </c>
      <c r="AW2798" s="1">
        <v>9</v>
      </c>
      <c r="AX2798" s="1" t="s">
        <v>74</v>
      </c>
      <c r="AY2798" s="1" t="s">
        <v>74</v>
      </c>
      <c r="AZ2798" s="1" t="s">
        <v>74</v>
      </c>
      <c r="BA2798" s="1" t="s">
        <v>74</v>
      </c>
      <c r="BB2798" s="1" t="s">
        <v>74</v>
      </c>
      <c r="BC2798" s="1" t="s">
        <v>74</v>
      </c>
      <c r="BD2798" s="1">
        <v>991</v>
      </c>
      <c r="BE2798" s="1" t="s">
        <v>44475</v>
      </c>
      <c r="BF2798" s="1" t="str">
        <f>HYPERLINK("http://dx.doi.org/10.3390/jmse9090991","http://dx.doi.org/10.3390/jmse9090991")</f>
        <v>http://dx.doi.org/10.3390/jmse9090991</v>
      </c>
      <c r="BG2798" s="1" t="s">
        <v>74</v>
      </c>
      <c r="BH2798" s="1" t="s">
        <v>74</v>
      </c>
      <c r="BI2798" s="1">
        <v>16</v>
      </c>
      <c r="BJ2798" s="1" t="s">
        <v>7262</v>
      </c>
      <c r="BK2798" s="1" t="s">
        <v>96</v>
      </c>
      <c r="BL2798" s="1" t="s">
        <v>7263</v>
      </c>
      <c r="BM2798" s="1" t="s">
        <v>44476</v>
      </c>
      <c r="BN2798" s="1" t="s">
        <v>74</v>
      </c>
      <c r="BO2798" s="1" t="s">
        <v>873</v>
      </c>
      <c r="BP2798" s="1" t="s">
        <v>74</v>
      </c>
      <c r="BQ2798" s="1" t="s">
        <v>74</v>
      </c>
      <c r="BR2798" s="1" t="s">
        <v>98</v>
      </c>
      <c r="BS2798" s="1" t="s">
        <v>44477</v>
      </c>
      <c r="BT2798" s="1" t="str">
        <f>HYPERLINK("https%3A%2F%2Fwww.webofscience.com%2Fwos%2Fwoscc%2Ffull-record%2FWOS:000699930400001","View Full Record in Web of Science")</f>
        <v>View Full Record in Web of Science</v>
      </c>
      <c r="BU2798" s="1"/>
      <c r="BV2798" s="1"/>
    </row>
    <row r="2799" spans="1:74">
      <c r="A2799" s="1" t="s">
        <v>72</v>
      </c>
      <c r="B2799" s="1" t="s">
        <v>44478</v>
      </c>
      <c r="C2799" s="1" t="s">
        <v>74</v>
      </c>
      <c r="D2799" s="1" t="s">
        <v>74</v>
      </c>
      <c r="E2799" s="1" t="s">
        <v>74</v>
      </c>
      <c r="F2799" s="1" t="s">
        <v>44479</v>
      </c>
      <c r="G2799" s="1" t="s">
        <v>74</v>
      </c>
      <c r="H2799" s="1" t="s">
        <v>74</v>
      </c>
      <c r="I2799" s="1" t="s">
        <v>44480</v>
      </c>
      <c r="J2799" s="1" t="s">
        <v>2063</v>
      </c>
      <c r="K2799" s="1" t="s">
        <v>74</v>
      </c>
      <c r="L2799" s="1" t="s">
        <v>74</v>
      </c>
      <c r="M2799" s="1" t="s">
        <v>78</v>
      </c>
      <c r="N2799" s="1" t="s">
        <v>79</v>
      </c>
      <c r="O2799" s="1" t="s">
        <v>74</v>
      </c>
      <c r="P2799" s="1" t="s">
        <v>74</v>
      </c>
      <c r="Q2799" s="1" t="s">
        <v>74</v>
      </c>
      <c r="R2799" s="1" t="s">
        <v>74</v>
      </c>
      <c r="S2799" s="1" t="s">
        <v>74</v>
      </c>
      <c r="T2799" s="1" t="s">
        <v>44481</v>
      </c>
      <c r="U2799" s="1" t="s">
        <v>44482</v>
      </c>
      <c r="V2799" s="1" t="s">
        <v>44483</v>
      </c>
      <c r="W2799" s="1" t="s">
        <v>44484</v>
      </c>
      <c r="X2799" s="1" t="s">
        <v>44485</v>
      </c>
      <c r="Y2799" s="1" t="s">
        <v>44486</v>
      </c>
      <c r="Z2799" s="1" t="s">
        <v>44487</v>
      </c>
      <c r="AA2799" s="1" t="s">
        <v>44488</v>
      </c>
      <c r="AB2799" s="1" t="s">
        <v>44489</v>
      </c>
      <c r="AC2799" s="1" t="s">
        <v>74</v>
      </c>
      <c r="AD2799" s="1" t="s">
        <v>74</v>
      </c>
      <c r="AE2799" s="1" t="s">
        <v>74</v>
      </c>
      <c r="AF2799" s="1" t="s">
        <v>74</v>
      </c>
      <c r="AG2799" s="1">
        <v>43</v>
      </c>
      <c r="AH2799" s="1">
        <v>24</v>
      </c>
      <c r="AI2799" s="1">
        <v>24</v>
      </c>
      <c r="AJ2799" s="1">
        <v>2</v>
      </c>
      <c r="AK2799" s="1">
        <v>19</v>
      </c>
      <c r="AL2799" s="1" t="s">
        <v>2074</v>
      </c>
      <c r="AM2799" s="1" t="s">
        <v>2075</v>
      </c>
      <c r="AN2799" s="1" t="s">
        <v>2076</v>
      </c>
      <c r="AO2799" s="1" t="s">
        <v>2077</v>
      </c>
      <c r="AP2799" s="1" t="s">
        <v>2078</v>
      </c>
      <c r="AQ2799" s="1" t="s">
        <v>74</v>
      </c>
      <c r="AR2799" s="1" t="s">
        <v>2079</v>
      </c>
      <c r="AS2799" s="1" t="s">
        <v>2080</v>
      </c>
      <c r="AT2799" s="1" t="s">
        <v>74</v>
      </c>
      <c r="AU2799" s="1">
        <v>2009</v>
      </c>
      <c r="AV2799" s="1">
        <v>25</v>
      </c>
      <c r="AW2799" s="1">
        <v>6</v>
      </c>
      <c r="AX2799" s="1" t="s">
        <v>74</v>
      </c>
      <c r="AY2799" s="1" t="s">
        <v>74</v>
      </c>
      <c r="AZ2799" s="1" t="s">
        <v>74</v>
      </c>
      <c r="BA2799" s="1" t="s">
        <v>74</v>
      </c>
      <c r="BB2799" s="1">
        <v>467</v>
      </c>
      <c r="BC2799" s="1">
        <v>478</v>
      </c>
      <c r="BD2799" s="1" t="s">
        <v>44490</v>
      </c>
      <c r="BE2799" s="1" t="s">
        <v>44491</v>
      </c>
      <c r="BF2799" s="1" t="str">
        <f>HYPERLINK("http://dx.doi.org/10.1080/02757540903325120","http://dx.doi.org/10.1080/02757540903325120")</f>
        <v>http://dx.doi.org/10.1080/02757540903325120</v>
      </c>
      <c r="BG2799" s="1" t="s">
        <v>74</v>
      </c>
      <c r="BH2799" s="1" t="s">
        <v>74</v>
      </c>
      <c r="BI2799" s="1">
        <v>12</v>
      </c>
      <c r="BJ2799" s="1" t="s">
        <v>2083</v>
      </c>
      <c r="BK2799" s="1" t="s">
        <v>96</v>
      </c>
      <c r="BL2799" s="1" t="s">
        <v>2084</v>
      </c>
      <c r="BM2799" s="1" t="s">
        <v>44492</v>
      </c>
      <c r="BN2799" s="1" t="s">
        <v>74</v>
      </c>
      <c r="BO2799" s="1" t="s">
        <v>74</v>
      </c>
      <c r="BP2799" s="1" t="s">
        <v>74</v>
      </c>
      <c r="BQ2799" s="1" t="s">
        <v>74</v>
      </c>
      <c r="BR2799" s="1" t="s">
        <v>98</v>
      </c>
      <c r="BS2799" s="1" t="s">
        <v>44493</v>
      </c>
      <c r="BT2799" s="1" t="str">
        <f>HYPERLINK("https%3A%2F%2Fwww.webofscience.com%2Fwos%2Fwoscc%2Ffull-record%2FWOS:000274353200007","View Full Record in Web of Science")</f>
        <v>View Full Record in Web of Science</v>
      </c>
      <c r="BU2799" s="1"/>
      <c r="BV2799" s="1"/>
    </row>
    <row r="2800" spans="1:74">
      <c r="A2800" s="1" t="s">
        <v>72</v>
      </c>
      <c r="B2800" s="1" t="s">
        <v>44494</v>
      </c>
      <c r="C2800" s="1" t="s">
        <v>74</v>
      </c>
      <c r="D2800" s="1" t="s">
        <v>74</v>
      </c>
      <c r="E2800" s="1" t="s">
        <v>74</v>
      </c>
      <c r="F2800" s="1" t="s">
        <v>44495</v>
      </c>
      <c r="G2800" s="1" t="s">
        <v>74</v>
      </c>
      <c r="H2800" s="1" t="s">
        <v>74</v>
      </c>
      <c r="I2800" s="1" t="s">
        <v>44496</v>
      </c>
      <c r="J2800" s="1" t="s">
        <v>44497</v>
      </c>
      <c r="K2800" s="1" t="s">
        <v>74</v>
      </c>
      <c r="L2800" s="1" t="s">
        <v>74</v>
      </c>
      <c r="M2800" s="1" t="s">
        <v>78</v>
      </c>
      <c r="N2800" s="1" t="s">
        <v>79</v>
      </c>
      <c r="O2800" s="1" t="s">
        <v>74</v>
      </c>
      <c r="P2800" s="1" t="s">
        <v>74</v>
      </c>
      <c r="Q2800" s="1" t="s">
        <v>74</v>
      </c>
      <c r="R2800" s="1" t="s">
        <v>74</v>
      </c>
      <c r="S2800" s="1" t="s">
        <v>74</v>
      </c>
      <c r="T2800" s="1" t="s">
        <v>44498</v>
      </c>
      <c r="U2800" s="1" t="s">
        <v>44499</v>
      </c>
      <c r="V2800" s="1" t="s">
        <v>44500</v>
      </c>
      <c r="W2800" s="1" t="s">
        <v>44501</v>
      </c>
      <c r="X2800" s="1" t="s">
        <v>44502</v>
      </c>
      <c r="Y2800" s="1" t="s">
        <v>44503</v>
      </c>
      <c r="Z2800" s="1" t="s">
        <v>43939</v>
      </c>
      <c r="AA2800" s="1" t="s">
        <v>44504</v>
      </c>
      <c r="AB2800" s="1" t="s">
        <v>44505</v>
      </c>
      <c r="AC2800" s="1" t="s">
        <v>44506</v>
      </c>
      <c r="AD2800" s="1" t="s">
        <v>44507</v>
      </c>
      <c r="AE2800" s="1" t="s">
        <v>44508</v>
      </c>
      <c r="AF2800" s="1" t="s">
        <v>74</v>
      </c>
      <c r="AG2800" s="1">
        <v>59</v>
      </c>
      <c r="AH2800" s="1">
        <v>37</v>
      </c>
      <c r="AI2800" s="1">
        <v>38</v>
      </c>
      <c r="AJ2800" s="1">
        <v>1</v>
      </c>
      <c r="AK2800" s="1">
        <v>60</v>
      </c>
      <c r="AL2800" s="1" t="s">
        <v>2074</v>
      </c>
      <c r="AM2800" s="1" t="s">
        <v>2075</v>
      </c>
      <c r="AN2800" s="1" t="s">
        <v>2076</v>
      </c>
      <c r="AO2800" s="1" t="s">
        <v>44509</v>
      </c>
      <c r="AP2800" s="1" t="s">
        <v>44510</v>
      </c>
      <c r="AQ2800" s="1" t="s">
        <v>74</v>
      </c>
      <c r="AR2800" s="1" t="s">
        <v>44497</v>
      </c>
      <c r="AS2800" s="1" t="s">
        <v>44511</v>
      </c>
      <c r="AT2800" s="1" t="s">
        <v>74</v>
      </c>
      <c r="AU2800" s="1">
        <v>2016</v>
      </c>
      <c r="AV2800" s="1">
        <v>10</v>
      </c>
      <c r="AW2800" s="1">
        <v>7</v>
      </c>
      <c r="AX2800" s="1" t="s">
        <v>74</v>
      </c>
      <c r="AY2800" s="1" t="s">
        <v>74</v>
      </c>
      <c r="AZ2800" s="1" t="s">
        <v>74</v>
      </c>
      <c r="BA2800" s="1" t="s">
        <v>74</v>
      </c>
      <c r="BB2800" s="1">
        <v>935</v>
      </c>
      <c r="BC2800" s="1">
        <v>944</v>
      </c>
      <c r="BD2800" s="1" t="s">
        <v>74</v>
      </c>
      <c r="BE2800" s="1" t="s">
        <v>44512</v>
      </c>
      <c r="BF2800" s="1" t="str">
        <f>HYPERLINK("http://dx.doi.org/10.3109/17435390.2016.1146363","http://dx.doi.org/10.3109/17435390.2016.1146363")</f>
        <v>http://dx.doi.org/10.3109/17435390.2016.1146363</v>
      </c>
      <c r="BG2800" s="1" t="s">
        <v>74</v>
      </c>
      <c r="BH2800" s="1" t="s">
        <v>74</v>
      </c>
      <c r="BI2800" s="1">
        <v>10</v>
      </c>
      <c r="BJ2800" s="1" t="s">
        <v>44513</v>
      </c>
      <c r="BK2800" s="1" t="s">
        <v>96</v>
      </c>
      <c r="BL2800" s="1" t="s">
        <v>44514</v>
      </c>
      <c r="BM2800" s="1" t="s">
        <v>44515</v>
      </c>
      <c r="BN2800" s="1">
        <v>26830045</v>
      </c>
      <c r="BO2800" s="1" t="s">
        <v>1752</v>
      </c>
      <c r="BP2800" s="1" t="s">
        <v>74</v>
      </c>
      <c r="BQ2800" s="1" t="s">
        <v>74</v>
      </c>
      <c r="BR2800" s="1" t="s">
        <v>98</v>
      </c>
      <c r="BS2800" s="1" t="s">
        <v>44516</v>
      </c>
      <c r="BT2800" s="1" t="str">
        <f>HYPERLINK("https%3A%2F%2Fwww.webofscience.com%2Fwos%2Fwoscc%2Ffull-record%2FWOS:000379248800010","View Full Record in Web of Science")</f>
        <v>View Full Record in Web of Science</v>
      </c>
      <c r="BU2800" s="1"/>
      <c r="BV2800" s="1"/>
    </row>
    <row r="2801" spans="1:74">
      <c r="A2801" s="1" t="s">
        <v>72</v>
      </c>
      <c r="B2801" s="1" t="s">
        <v>44517</v>
      </c>
      <c r="C2801" s="1" t="s">
        <v>74</v>
      </c>
      <c r="D2801" s="1" t="s">
        <v>74</v>
      </c>
      <c r="E2801" s="1" t="s">
        <v>74</v>
      </c>
      <c r="F2801" s="1" t="s">
        <v>44518</v>
      </c>
      <c r="G2801" s="1" t="s">
        <v>74</v>
      </c>
      <c r="H2801" s="1" t="s">
        <v>74</v>
      </c>
      <c r="I2801" s="1" t="s">
        <v>44519</v>
      </c>
      <c r="J2801" s="1" t="s">
        <v>641</v>
      </c>
      <c r="K2801" s="1" t="s">
        <v>74</v>
      </c>
      <c r="L2801" s="1" t="s">
        <v>74</v>
      </c>
      <c r="M2801" s="1" t="s">
        <v>78</v>
      </c>
      <c r="N2801" s="1" t="s">
        <v>79</v>
      </c>
      <c r="O2801" s="1" t="s">
        <v>74</v>
      </c>
      <c r="P2801" s="1" t="s">
        <v>74</v>
      </c>
      <c r="Q2801" s="1" t="s">
        <v>74</v>
      </c>
      <c r="R2801" s="1" t="s">
        <v>74</v>
      </c>
      <c r="S2801" s="1" t="s">
        <v>74</v>
      </c>
      <c r="T2801" s="1" t="s">
        <v>44520</v>
      </c>
      <c r="U2801" s="1" t="s">
        <v>44521</v>
      </c>
      <c r="V2801" s="1" t="s">
        <v>44522</v>
      </c>
      <c r="W2801" s="1" t="s">
        <v>44523</v>
      </c>
      <c r="X2801" s="1" t="s">
        <v>44524</v>
      </c>
      <c r="Y2801" s="1" t="s">
        <v>44525</v>
      </c>
      <c r="Z2801" s="1" t="s">
        <v>44526</v>
      </c>
      <c r="AA2801" s="1" t="s">
        <v>44527</v>
      </c>
      <c r="AB2801" s="1" t="s">
        <v>44528</v>
      </c>
      <c r="AC2801" s="1" t="s">
        <v>74</v>
      </c>
      <c r="AD2801" s="1" t="s">
        <v>74</v>
      </c>
      <c r="AE2801" s="1" t="s">
        <v>74</v>
      </c>
      <c r="AF2801" s="1" t="s">
        <v>74</v>
      </c>
      <c r="AG2801" s="1">
        <v>51</v>
      </c>
      <c r="AH2801" s="1">
        <v>47</v>
      </c>
      <c r="AI2801" s="1">
        <v>50</v>
      </c>
      <c r="AJ2801" s="1">
        <v>0</v>
      </c>
      <c r="AK2801" s="1">
        <v>28</v>
      </c>
      <c r="AL2801" s="1" t="s">
        <v>650</v>
      </c>
      <c r="AM2801" s="1" t="s">
        <v>651</v>
      </c>
      <c r="AN2801" s="1" t="s">
        <v>652</v>
      </c>
      <c r="AO2801" s="1" t="s">
        <v>653</v>
      </c>
      <c r="AP2801" s="1" t="s">
        <v>654</v>
      </c>
      <c r="AQ2801" s="1" t="s">
        <v>74</v>
      </c>
      <c r="AR2801" s="1" t="s">
        <v>655</v>
      </c>
      <c r="AS2801" s="1" t="s">
        <v>656</v>
      </c>
      <c r="AT2801" s="1" t="s">
        <v>5542</v>
      </c>
      <c r="AU2801" s="1">
        <v>2006</v>
      </c>
      <c r="AV2801" s="1">
        <v>78</v>
      </c>
      <c r="AW2801" s="1" t="s">
        <v>74</v>
      </c>
      <c r="AX2801" s="1" t="s">
        <v>74</v>
      </c>
      <c r="AY2801" s="1">
        <v>1</v>
      </c>
      <c r="AZ2801" s="1" t="s">
        <v>74</v>
      </c>
      <c r="BA2801" s="1" t="s">
        <v>74</v>
      </c>
      <c r="BB2801" s="1" t="s">
        <v>44529</v>
      </c>
      <c r="BC2801" s="1" t="s">
        <v>44530</v>
      </c>
      <c r="BD2801" s="1" t="s">
        <v>74</v>
      </c>
      <c r="BE2801" s="1" t="s">
        <v>44531</v>
      </c>
      <c r="BF2801" s="1" t="str">
        <f>HYPERLINK("http://dx.doi.org/10.1016/j.aquatox.2006.02.018","http://dx.doi.org/10.1016/j.aquatox.2006.02.018")</f>
        <v>http://dx.doi.org/10.1016/j.aquatox.2006.02.018</v>
      </c>
      <c r="BG2801" s="1" t="s">
        <v>74</v>
      </c>
      <c r="BH2801" s="1" t="s">
        <v>74</v>
      </c>
      <c r="BI2801" s="1">
        <v>8</v>
      </c>
      <c r="BJ2801" s="1" t="s">
        <v>659</v>
      </c>
      <c r="BK2801" s="1" t="s">
        <v>96</v>
      </c>
      <c r="BL2801" s="1" t="s">
        <v>659</v>
      </c>
      <c r="BM2801" s="1" t="s">
        <v>14553</v>
      </c>
      <c r="BN2801" s="1">
        <v>16600398</v>
      </c>
      <c r="BO2801" s="1" t="s">
        <v>74</v>
      </c>
      <c r="BP2801" s="1" t="s">
        <v>74</v>
      </c>
      <c r="BQ2801" s="1" t="s">
        <v>74</v>
      </c>
      <c r="BR2801" s="1" t="s">
        <v>98</v>
      </c>
      <c r="BS2801" s="1" t="s">
        <v>44532</v>
      </c>
      <c r="BT2801" s="1" t="str">
        <f>HYPERLINK("https%3A%2F%2Fwww.webofscience.com%2Fwos%2Fwoscc%2Ffull-record%2FWOS:000238130600009","View Full Record in Web of Science")</f>
        <v>View Full Record in Web of Science</v>
      </c>
      <c r="BU2801" s="1"/>
      <c r="BV2801" s="1"/>
    </row>
    <row r="2802" spans="1:74">
      <c r="A2802" s="1" t="s">
        <v>72</v>
      </c>
      <c r="B2802" s="1" t="s">
        <v>44533</v>
      </c>
      <c r="C2802" s="1" t="s">
        <v>74</v>
      </c>
      <c r="D2802" s="1" t="s">
        <v>74</v>
      </c>
      <c r="E2802" s="1" t="s">
        <v>74</v>
      </c>
      <c r="F2802" s="1" t="s">
        <v>44533</v>
      </c>
      <c r="G2802" s="1" t="s">
        <v>74</v>
      </c>
      <c r="H2802" s="1" t="s">
        <v>74</v>
      </c>
      <c r="I2802" s="1" t="s">
        <v>44534</v>
      </c>
      <c r="J2802" s="1" t="s">
        <v>421</v>
      </c>
      <c r="K2802" s="1" t="s">
        <v>74</v>
      </c>
      <c r="L2802" s="1" t="s">
        <v>74</v>
      </c>
      <c r="M2802" s="1" t="s">
        <v>78</v>
      </c>
      <c r="N2802" s="1" t="s">
        <v>79</v>
      </c>
      <c r="O2802" s="1" t="s">
        <v>74</v>
      </c>
      <c r="P2802" s="1" t="s">
        <v>74</v>
      </c>
      <c r="Q2802" s="1" t="s">
        <v>74</v>
      </c>
      <c r="R2802" s="1" t="s">
        <v>74</v>
      </c>
      <c r="S2802" s="1" t="s">
        <v>74</v>
      </c>
      <c r="T2802" s="1" t="s">
        <v>44535</v>
      </c>
      <c r="U2802" s="1" t="s">
        <v>44536</v>
      </c>
      <c r="V2802" s="1" t="s">
        <v>44537</v>
      </c>
      <c r="W2802" s="1" t="s">
        <v>44538</v>
      </c>
      <c r="X2802" s="1" t="s">
        <v>44539</v>
      </c>
      <c r="Y2802" s="1" t="s">
        <v>21458</v>
      </c>
      <c r="Z2802" s="1" t="s">
        <v>74</v>
      </c>
      <c r="AA2802" s="1" t="s">
        <v>74</v>
      </c>
      <c r="AB2802" s="1" t="s">
        <v>74</v>
      </c>
      <c r="AC2802" s="1" t="s">
        <v>74</v>
      </c>
      <c r="AD2802" s="1" t="s">
        <v>74</v>
      </c>
      <c r="AE2802" s="1" t="s">
        <v>74</v>
      </c>
      <c r="AF2802" s="1" t="s">
        <v>74</v>
      </c>
      <c r="AG2802" s="1">
        <v>43</v>
      </c>
      <c r="AH2802" s="1">
        <v>113</v>
      </c>
      <c r="AI2802" s="1">
        <v>124</v>
      </c>
      <c r="AJ2802" s="1">
        <v>0</v>
      </c>
      <c r="AK2802" s="1">
        <v>15</v>
      </c>
      <c r="AL2802" s="1" t="s">
        <v>430</v>
      </c>
      <c r="AM2802" s="1" t="s">
        <v>137</v>
      </c>
      <c r="AN2802" s="1" t="s">
        <v>431</v>
      </c>
      <c r="AO2802" s="1" t="s">
        <v>432</v>
      </c>
      <c r="AP2802" s="1" t="s">
        <v>74</v>
      </c>
      <c r="AQ2802" s="1" t="s">
        <v>74</v>
      </c>
      <c r="AR2802" s="1" t="s">
        <v>433</v>
      </c>
      <c r="AS2802" s="1" t="s">
        <v>434</v>
      </c>
      <c r="AT2802" s="1" t="s">
        <v>74</v>
      </c>
      <c r="AU2802" s="1">
        <v>1999</v>
      </c>
      <c r="AV2802" s="1">
        <v>106</v>
      </c>
      <c r="AW2802" s="1">
        <v>3</v>
      </c>
      <c r="AX2802" s="1" t="s">
        <v>74</v>
      </c>
      <c r="AY2802" s="1" t="s">
        <v>74</v>
      </c>
      <c r="AZ2802" s="1" t="s">
        <v>74</v>
      </c>
      <c r="BA2802" s="1" t="s">
        <v>74</v>
      </c>
      <c r="BB2802" s="1">
        <v>299</v>
      </c>
      <c r="BC2802" s="1">
        <v>314</v>
      </c>
      <c r="BD2802" s="1" t="s">
        <v>74</v>
      </c>
      <c r="BE2802" s="1" t="s">
        <v>44540</v>
      </c>
      <c r="BF2802" s="1" t="str">
        <f>HYPERLINK("http://dx.doi.org/10.1016/S0269-7491(99)00108-6","http://dx.doi.org/10.1016/S0269-7491(99)00108-6")</f>
        <v>http://dx.doi.org/10.1016/S0269-7491(99)00108-6</v>
      </c>
      <c r="BG2802" s="1" t="s">
        <v>74</v>
      </c>
      <c r="BH2802" s="1" t="s">
        <v>74</v>
      </c>
      <c r="BI2802" s="1">
        <v>16</v>
      </c>
      <c r="BJ2802" s="1" t="s">
        <v>144</v>
      </c>
      <c r="BK2802" s="1" t="s">
        <v>96</v>
      </c>
      <c r="BL2802" s="1" t="s">
        <v>145</v>
      </c>
      <c r="BM2802" s="1" t="s">
        <v>44541</v>
      </c>
      <c r="BN2802" s="1">
        <v>15093026</v>
      </c>
      <c r="BO2802" s="1" t="s">
        <v>74</v>
      </c>
      <c r="BP2802" s="1" t="s">
        <v>74</v>
      </c>
      <c r="BQ2802" s="1" t="s">
        <v>74</v>
      </c>
      <c r="BR2802" s="1" t="s">
        <v>98</v>
      </c>
      <c r="BS2802" s="1" t="s">
        <v>44542</v>
      </c>
      <c r="BT2802" s="1" t="str">
        <f>HYPERLINK("https%3A%2F%2Fwww.webofscience.com%2Fwos%2Fwoscc%2Ffull-record%2FWOS:000081741500006","View Full Record in Web of Science")</f>
        <v>View Full Record in Web of Science</v>
      </c>
      <c r="BU2802" s="1"/>
      <c r="BV2802" s="1"/>
    </row>
    <row r="2803" spans="1:74">
      <c r="A2803" s="1" t="s">
        <v>72</v>
      </c>
      <c r="B2803" s="1" t="s">
        <v>44543</v>
      </c>
      <c r="C2803" s="1" t="s">
        <v>74</v>
      </c>
      <c r="D2803" s="1" t="s">
        <v>74</v>
      </c>
      <c r="E2803" s="1" t="s">
        <v>74</v>
      </c>
      <c r="F2803" s="1" t="s">
        <v>44544</v>
      </c>
      <c r="G2803" s="1" t="s">
        <v>74</v>
      </c>
      <c r="H2803" s="1" t="s">
        <v>74</v>
      </c>
      <c r="I2803" s="1" t="s">
        <v>44545</v>
      </c>
      <c r="J2803" s="1" t="s">
        <v>44546</v>
      </c>
      <c r="K2803" s="1" t="s">
        <v>74</v>
      </c>
      <c r="L2803" s="1" t="s">
        <v>74</v>
      </c>
      <c r="M2803" s="1" t="s">
        <v>78</v>
      </c>
      <c r="N2803" s="1" t="s">
        <v>79</v>
      </c>
      <c r="O2803" s="1" t="s">
        <v>74</v>
      </c>
      <c r="P2803" s="1" t="s">
        <v>74</v>
      </c>
      <c r="Q2803" s="1" t="s">
        <v>74</v>
      </c>
      <c r="R2803" s="1" t="s">
        <v>74</v>
      </c>
      <c r="S2803" s="1" t="s">
        <v>74</v>
      </c>
      <c r="T2803" s="1" t="s">
        <v>44547</v>
      </c>
      <c r="U2803" s="1" t="s">
        <v>44548</v>
      </c>
      <c r="V2803" s="1" t="s">
        <v>44549</v>
      </c>
      <c r="W2803" s="1" t="s">
        <v>44550</v>
      </c>
      <c r="X2803" s="1" t="s">
        <v>44551</v>
      </c>
      <c r="Y2803" s="1" t="s">
        <v>44552</v>
      </c>
      <c r="Z2803" s="1" t="s">
        <v>44553</v>
      </c>
      <c r="AA2803" s="1" t="s">
        <v>44554</v>
      </c>
      <c r="AB2803" s="1" t="s">
        <v>44555</v>
      </c>
      <c r="AC2803" s="1" t="s">
        <v>44556</v>
      </c>
      <c r="AD2803" s="1" t="s">
        <v>44556</v>
      </c>
      <c r="AE2803" s="1" t="s">
        <v>44557</v>
      </c>
      <c r="AF2803" s="1" t="s">
        <v>74</v>
      </c>
      <c r="AG2803" s="1">
        <v>110</v>
      </c>
      <c r="AH2803" s="1">
        <v>13</v>
      </c>
      <c r="AI2803" s="1">
        <v>13</v>
      </c>
      <c r="AJ2803" s="1">
        <v>1</v>
      </c>
      <c r="AK2803" s="1">
        <v>11</v>
      </c>
      <c r="AL2803" s="1" t="s">
        <v>44558</v>
      </c>
      <c r="AM2803" s="1" t="s">
        <v>44559</v>
      </c>
      <c r="AN2803" s="1" t="s">
        <v>44560</v>
      </c>
      <c r="AO2803" s="1" t="s">
        <v>44561</v>
      </c>
      <c r="AP2803" s="1" t="s">
        <v>44562</v>
      </c>
      <c r="AQ2803" s="1" t="s">
        <v>74</v>
      </c>
      <c r="AR2803" s="1" t="s">
        <v>44563</v>
      </c>
      <c r="AS2803" s="1" t="s">
        <v>44564</v>
      </c>
      <c r="AT2803" s="1" t="s">
        <v>197</v>
      </c>
      <c r="AU2803" s="1">
        <v>2019</v>
      </c>
      <c r="AV2803" s="1">
        <v>39</v>
      </c>
      <c r="AW2803" s="1">
        <v>4</v>
      </c>
      <c r="AX2803" s="1" t="s">
        <v>74</v>
      </c>
      <c r="AY2803" s="1" t="s">
        <v>74</v>
      </c>
      <c r="AZ2803" s="1" t="s">
        <v>74</v>
      </c>
      <c r="BA2803" s="1" t="s">
        <v>74</v>
      </c>
      <c r="BB2803" s="1">
        <v>584</v>
      </c>
      <c r="BC2803" s="1">
        <v>606</v>
      </c>
      <c r="BD2803" s="1" t="s">
        <v>74</v>
      </c>
      <c r="BE2803" s="1" t="s">
        <v>44565</v>
      </c>
      <c r="BF2803" s="1" t="str">
        <f>HYPERLINK("http://dx.doi.org/10.2993/0278-0771-39.4.584","http://dx.doi.org/10.2993/0278-0771-39.4.584")</f>
        <v>http://dx.doi.org/10.2993/0278-0771-39.4.584</v>
      </c>
      <c r="BG2803" s="1" t="s">
        <v>74</v>
      </c>
      <c r="BH2803" s="1" t="s">
        <v>74</v>
      </c>
      <c r="BI2803" s="1">
        <v>23</v>
      </c>
      <c r="BJ2803" s="1" t="s">
        <v>44566</v>
      </c>
      <c r="BK2803" s="1" t="s">
        <v>11915</v>
      </c>
      <c r="BL2803" s="1" t="s">
        <v>44567</v>
      </c>
      <c r="BM2803" s="1" t="s">
        <v>44568</v>
      </c>
      <c r="BN2803" s="1" t="s">
        <v>74</v>
      </c>
      <c r="BO2803" s="1" t="s">
        <v>74</v>
      </c>
      <c r="BP2803" s="1" t="s">
        <v>74</v>
      </c>
      <c r="BQ2803" s="1" t="s">
        <v>74</v>
      </c>
      <c r="BR2803" s="1" t="s">
        <v>98</v>
      </c>
      <c r="BS2803" s="1" t="s">
        <v>44569</v>
      </c>
      <c r="BT2803" s="1" t="str">
        <f>HYPERLINK("https%3A%2F%2Fwww.webofscience.com%2Fwos%2Fwoscc%2Ffull-record%2FWOS:000504008000006","View Full Record in Web of Science")</f>
        <v>View Full Record in Web of Science</v>
      </c>
      <c r="BU2803" s="1"/>
      <c r="BV2803" s="1"/>
    </row>
    <row r="2804" spans="1:74">
      <c r="A2804" s="1" t="s">
        <v>72</v>
      </c>
      <c r="B2804" s="1" t="s">
        <v>44570</v>
      </c>
      <c r="C2804" s="1" t="s">
        <v>74</v>
      </c>
      <c r="D2804" s="1" t="s">
        <v>74</v>
      </c>
      <c r="E2804" s="1" t="s">
        <v>74</v>
      </c>
      <c r="F2804" s="1" t="s">
        <v>44571</v>
      </c>
      <c r="G2804" s="1" t="s">
        <v>74</v>
      </c>
      <c r="H2804" s="1" t="s">
        <v>74</v>
      </c>
      <c r="I2804" s="1" t="s">
        <v>44572</v>
      </c>
      <c r="J2804" s="1" t="s">
        <v>909</v>
      </c>
      <c r="K2804" s="1" t="s">
        <v>74</v>
      </c>
      <c r="L2804" s="1" t="s">
        <v>74</v>
      </c>
      <c r="M2804" s="1" t="s">
        <v>78</v>
      </c>
      <c r="N2804" s="1" t="s">
        <v>79</v>
      </c>
      <c r="O2804" s="1" t="s">
        <v>74</v>
      </c>
      <c r="P2804" s="1" t="s">
        <v>74</v>
      </c>
      <c r="Q2804" s="1" t="s">
        <v>74</v>
      </c>
      <c r="R2804" s="1" t="s">
        <v>74</v>
      </c>
      <c r="S2804" s="1" t="s">
        <v>74</v>
      </c>
      <c r="T2804" s="1" t="s">
        <v>44573</v>
      </c>
      <c r="U2804" s="1" t="s">
        <v>44574</v>
      </c>
      <c r="V2804" s="1" t="s">
        <v>44575</v>
      </c>
      <c r="W2804" s="1" t="s">
        <v>44576</v>
      </c>
      <c r="X2804" s="1" t="s">
        <v>44577</v>
      </c>
      <c r="Y2804" s="1" t="s">
        <v>44578</v>
      </c>
      <c r="Z2804" s="1" t="s">
        <v>44579</v>
      </c>
      <c r="AA2804" s="1" t="s">
        <v>44580</v>
      </c>
      <c r="AB2804" s="1" t="s">
        <v>74</v>
      </c>
      <c r="AC2804" s="1" t="s">
        <v>44581</v>
      </c>
      <c r="AD2804" s="1" t="s">
        <v>44582</v>
      </c>
      <c r="AE2804" s="1" t="s">
        <v>44583</v>
      </c>
      <c r="AF2804" s="1" t="s">
        <v>74</v>
      </c>
      <c r="AG2804" s="1">
        <v>45</v>
      </c>
      <c r="AH2804" s="1">
        <v>0</v>
      </c>
      <c r="AI2804" s="1">
        <v>0</v>
      </c>
      <c r="AJ2804" s="1">
        <v>10</v>
      </c>
      <c r="AK2804" s="1">
        <v>10</v>
      </c>
      <c r="AL2804" s="1" t="s">
        <v>650</v>
      </c>
      <c r="AM2804" s="1" t="s">
        <v>651</v>
      </c>
      <c r="AN2804" s="1" t="s">
        <v>652</v>
      </c>
      <c r="AO2804" s="1" t="s">
        <v>921</v>
      </c>
      <c r="AP2804" s="1" t="s">
        <v>922</v>
      </c>
      <c r="AQ2804" s="1" t="s">
        <v>74</v>
      </c>
      <c r="AR2804" s="1" t="s">
        <v>923</v>
      </c>
      <c r="AS2804" s="1" t="s">
        <v>924</v>
      </c>
      <c r="AT2804" s="1" t="s">
        <v>8920</v>
      </c>
      <c r="AU2804" s="1">
        <v>2024</v>
      </c>
      <c r="AV2804" s="1">
        <v>949</v>
      </c>
      <c r="AW2804" s="1" t="s">
        <v>74</v>
      </c>
      <c r="AX2804" s="1" t="s">
        <v>74</v>
      </c>
      <c r="AY2804" s="1" t="s">
        <v>74</v>
      </c>
      <c r="AZ2804" s="1" t="s">
        <v>74</v>
      </c>
      <c r="BA2804" s="1" t="s">
        <v>74</v>
      </c>
      <c r="BB2804" s="1" t="s">
        <v>74</v>
      </c>
      <c r="BC2804" s="1" t="s">
        <v>74</v>
      </c>
      <c r="BD2804" s="1">
        <v>175130</v>
      </c>
      <c r="BE2804" s="1" t="s">
        <v>44584</v>
      </c>
      <c r="BF2804" s="1" t="str">
        <f>HYPERLINK("http://dx.doi.org/10.1016/j.scitotenv.2024.175130","http://dx.doi.org/10.1016/j.scitotenv.2024.175130")</f>
        <v>http://dx.doi.org/10.1016/j.scitotenv.2024.175130</v>
      </c>
      <c r="BG2804" s="1" t="s">
        <v>74</v>
      </c>
      <c r="BH2804" s="1" t="s">
        <v>10999</v>
      </c>
      <c r="BI2804" s="1">
        <v>7</v>
      </c>
      <c r="BJ2804" s="1" t="s">
        <v>144</v>
      </c>
      <c r="BK2804" s="1" t="s">
        <v>96</v>
      </c>
      <c r="BL2804" s="1" t="s">
        <v>145</v>
      </c>
      <c r="BM2804" s="1" t="s">
        <v>44585</v>
      </c>
      <c r="BN2804" s="1">
        <v>39084364</v>
      </c>
      <c r="BO2804" s="1" t="s">
        <v>476</v>
      </c>
      <c r="BP2804" s="1" t="s">
        <v>74</v>
      </c>
      <c r="BQ2804" s="1" t="s">
        <v>74</v>
      </c>
      <c r="BR2804" s="1" t="s">
        <v>98</v>
      </c>
      <c r="BS2804" s="1" t="s">
        <v>44586</v>
      </c>
      <c r="BT2804" s="1" t="str">
        <f>HYPERLINK("https%3A%2F%2Fwww.webofscience.com%2Fwos%2Fwoscc%2Ffull-record%2FWOS:001289299900001","View Full Record in Web of Science")</f>
        <v>View Full Record in Web of Science</v>
      </c>
      <c r="BU2804" s="1"/>
      <c r="BV2804" s="1"/>
    </row>
    <row r="2805" spans="1:74">
      <c r="A2805" s="1" t="s">
        <v>72</v>
      </c>
      <c r="B2805" s="1" t="s">
        <v>44587</v>
      </c>
      <c r="C2805" s="1" t="s">
        <v>74</v>
      </c>
      <c r="D2805" s="1" t="s">
        <v>74</v>
      </c>
      <c r="E2805" s="1" t="s">
        <v>74</v>
      </c>
      <c r="F2805" s="1" t="s">
        <v>44588</v>
      </c>
      <c r="G2805" s="1" t="s">
        <v>74</v>
      </c>
      <c r="H2805" s="1" t="s">
        <v>74</v>
      </c>
      <c r="I2805" s="1" t="s">
        <v>44589</v>
      </c>
      <c r="J2805" s="1" t="s">
        <v>752</v>
      </c>
      <c r="K2805" s="1" t="s">
        <v>74</v>
      </c>
      <c r="L2805" s="1" t="s">
        <v>74</v>
      </c>
      <c r="M2805" s="1" t="s">
        <v>78</v>
      </c>
      <c r="N2805" s="1" t="s">
        <v>79</v>
      </c>
      <c r="O2805" s="1" t="s">
        <v>74</v>
      </c>
      <c r="P2805" s="1" t="s">
        <v>74</v>
      </c>
      <c r="Q2805" s="1" t="s">
        <v>74</v>
      </c>
      <c r="R2805" s="1" t="s">
        <v>74</v>
      </c>
      <c r="S2805" s="1" t="s">
        <v>74</v>
      </c>
      <c r="T2805" s="1" t="s">
        <v>44590</v>
      </c>
      <c r="U2805" s="1" t="s">
        <v>44591</v>
      </c>
      <c r="V2805" s="1" t="s">
        <v>44592</v>
      </c>
      <c r="W2805" s="1" t="s">
        <v>44593</v>
      </c>
      <c r="X2805" s="1" t="s">
        <v>44594</v>
      </c>
      <c r="Y2805" s="1" t="s">
        <v>44595</v>
      </c>
      <c r="Z2805" s="1" t="s">
        <v>44596</v>
      </c>
      <c r="AA2805" s="1" t="s">
        <v>44597</v>
      </c>
      <c r="AB2805" s="1" t="s">
        <v>44598</v>
      </c>
      <c r="AC2805" s="1" t="s">
        <v>44599</v>
      </c>
      <c r="AD2805" s="1" t="s">
        <v>44600</v>
      </c>
      <c r="AE2805" s="1" t="s">
        <v>44601</v>
      </c>
      <c r="AF2805" s="1" t="s">
        <v>74</v>
      </c>
      <c r="AG2805" s="1">
        <v>48</v>
      </c>
      <c r="AH2805" s="1">
        <v>0</v>
      </c>
      <c r="AI2805" s="1">
        <v>0</v>
      </c>
      <c r="AJ2805" s="1">
        <v>15</v>
      </c>
      <c r="AK2805" s="1">
        <v>22</v>
      </c>
      <c r="AL2805" s="1" t="s">
        <v>430</v>
      </c>
      <c r="AM2805" s="1" t="s">
        <v>7361</v>
      </c>
      <c r="AN2805" s="1" t="s">
        <v>7362</v>
      </c>
      <c r="AO2805" s="1" t="s">
        <v>761</v>
      </c>
      <c r="AP2805" s="1" t="s">
        <v>762</v>
      </c>
      <c r="AQ2805" s="1" t="s">
        <v>74</v>
      </c>
      <c r="AR2805" s="1" t="s">
        <v>763</v>
      </c>
      <c r="AS2805" s="1" t="s">
        <v>764</v>
      </c>
      <c r="AT2805" s="1" t="s">
        <v>1223</v>
      </c>
      <c r="AU2805" s="1">
        <v>2024</v>
      </c>
      <c r="AV2805" s="1">
        <v>195</v>
      </c>
      <c r="AW2805" s="1" t="s">
        <v>74</v>
      </c>
      <c r="AX2805" s="1" t="s">
        <v>74</v>
      </c>
      <c r="AY2805" s="1" t="s">
        <v>74</v>
      </c>
      <c r="AZ2805" s="1" t="s">
        <v>74</v>
      </c>
      <c r="BA2805" s="1" t="s">
        <v>74</v>
      </c>
      <c r="BB2805" s="1" t="s">
        <v>74</v>
      </c>
      <c r="BC2805" s="1" t="s">
        <v>74</v>
      </c>
      <c r="BD2805" s="1">
        <v>106348</v>
      </c>
      <c r="BE2805" s="1" t="s">
        <v>44602</v>
      </c>
      <c r="BF2805" s="1" t="str">
        <f>HYPERLINK("http://dx.doi.org/10.1016/j.marenvres.2024.106348","http://dx.doi.org/10.1016/j.marenvres.2024.106348")</f>
        <v>http://dx.doi.org/10.1016/j.marenvres.2024.106348</v>
      </c>
      <c r="BG2805" s="1" t="s">
        <v>74</v>
      </c>
      <c r="BH2805" s="1" t="s">
        <v>5287</v>
      </c>
      <c r="BI2805" s="1">
        <v>8</v>
      </c>
      <c r="BJ2805" s="1" t="s">
        <v>768</v>
      </c>
      <c r="BK2805" s="1" t="s">
        <v>96</v>
      </c>
      <c r="BL2805" s="1" t="s">
        <v>769</v>
      </c>
      <c r="BM2805" s="1" t="s">
        <v>44603</v>
      </c>
      <c r="BN2805" s="1">
        <v>38237468</v>
      </c>
      <c r="BO2805" s="1" t="s">
        <v>2744</v>
      </c>
      <c r="BP2805" s="1" t="s">
        <v>74</v>
      </c>
      <c r="BQ2805" s="1" t="s">
        <v>74</v>
      </c>
      <c r="BR2805" s="1" t="s">
        <v>98</v>
      </c>
      <c r="BS2805" s="1" t="s">
        <v>44604</v>
      </c>
      <c r="BT2805" s="1" t="str">
        <f>HYPERLINK("https%3A%2F%2Fwww.webofscience.com%2Fwos%2Fwoscc%2Ffull-record%2FWOS:001164434800001","View Full Record in Web of Science")</f>
        <v>View Full Record in Web of Science</v>
      </c>
      <c r="BU2805" s="1"/>
      <c r="BV2805" s="1"/>
    </row>
    <row r="2806" spans="1:74">
      <c r="A2806" s="1" t="s">
        <v>72</v>
      </c>
      <c r="B2806" s="1" t="s">
        <v>44605</v>
      </c>
      <c r="C2806" s="1" t="s">
        <v>74</v>
      </c>
      <c r="D2806" s="1" t="s">
        <v>74</v>
      </c>
      <c r="E2806" s="1" t="s">
        <v>74</v>
      </c>
      <c r="F2806" s="1" t="s">
        <v>44605</v>
      </c>
      <c r="G2806" s="1" t="s">
        <v>74</v>
      </c>
      <c r="H2806" s="1" t="s">
        <v>74</v>
      </c>
      <c r="I2806" s="1" t="s">
        <v>44606</v>
      </c>
      <c r="J2806" s="1" t="s">
        <v>232</v>
      </c>
      <c r="K2806" s="1" t="s">
        <v>74</v>
      </c>
      <c r="L2806" s="1" t="s">
        <v>74</v>
      </c>
      <c r="M2806" s="1" t="s">
        <v>78</v>
      </c>
      <c r="N2806" s="1" t="s">
        <v>79</v>
      </c>
      <c r="O2806" s="1" t="s">
        <v>74</v>
      </c>
      <c r="P2806" s="1" t="s">
        <v>74</v>
      </c>
      <c r="Q2806" s="1" t="s">
        <v>74</v>
      </c>
      <c r="R2806" s="1" t="s">
        <v>74</v>
      </c>
      <c r="S2806" s="1" t="s">
        <v>74</v>
      </c>
      <c r="T2806" s="1" t="s">
        <v>74</v>
      </c>
      <c r="U2806" s="1" t="s">
        <v>74</v>
      </c>
      <c r="V2806" s="1" t="s">
        <v>44607</v>
      </c>
      <c r="W2806" s="1" t="s">
        <v>44608</v>
      </c>
      <c r="X2806" s="1" t="s">
        <v>44609</v>
      </c>
      <c r="Y2806" s="1" t="s">
        <v>44610</v>
      </c>
      <c r="Z2806" s="1" t="s">
        <v>74</v>
      </c>
      <c r="AA2806" s="1" t="s">
        <v>74</v>
      </c>
      <c r="AB2806" s="1" t="s">
        <v>74</v>
      </c>
      <c r="AC2806" s="1" t="s">
        <v>74</v>
      </c>
      <c r="AD2806" s="1" t="s">
        <v>74</v>
      </c>
      <c r="AE2806" s="1" t="s">
        <v>74</v>
      </c>
      <c r="AF2806" s="1" t="s">
        <v>74</v>
      </c>
      <c r="AG2806" s="1">
        <v>12</v>
      </c>
      <c r="AH2806" s="1">
        <v>7</v>
      </c>
      <c r="AI2806" s="1">
        <v>7</v>
      </c>
      <c r="AJ2806" s="1">
        <v>0</v>
      </c>
      <c r="AK2806" s="1">
        <v>1</v>
      </c>
      <c r="AL2806" s="1" t="s">
        <v>136</v>
      </c>
      <c r="AM2806" s="1" t="s">
        <v>137</v>
      </c>
      <c r="AN2806" s="1" t="s">
        <v>138</v>
      </c>
      <c r="AO2806" s="1" t="s">
        <v>240</v>
      </c>
      <c r="AP2806" s="1" t="s">
        <v>241</v>
      </c>
      <c r="AQ2806" s="1" t="s">
        <v>74</v>
      </c>
      <c r="AR2806" s="1" t="s">
        <v>242</v>
      </c>
      <c r="AS2806" s="1" t="s">
        <v>243</v>
      </c>
      <c r="AT2806" s="1" t="s">
        <v>93</v>
      </c>
      <c r="AU2806" s="1">
        <v>1987</v>
      </c>
      <c r="AV2806" s="1">
        <v>18</v>
      </c>
      <c r="AW2806" s="1">
        <v>4</v>
      </c>
      <c r="AX2806" s="1" t="s">
        <v>74</v>
      </c>
      <c r="AY2806" s="1" t="s">
        <v>74</v>
      </c>
      <c r="AZ2806" s="1" t="s">
        <v>74</v>
      </c>
      <c r="BA2806" s="1" t="s">
        <v>74</v>
      </c>
      <c r="BB2806" s="1">
        <v>175</v>
      </c>
      <c r="BC2806" s="1">
        <v>179</v>
      </c>
      <c r="BD2806" s="1" t="s">
        <v>74</v>
      </c>
      <c r="BE2806" s="1" t="s">
        <v>44611</v>
      </c>
      <c r="BF2806" s="1" t="str">
        <f>HYPERLINK("http://dx.doi.org/10.1016/0025-326X(87)90242-6","http://dx.doi.org/10.1016/0025-326X(87)90242-6")</f>
        <v>http://dx.doi.org/10.1016/0025-326X(87)90242-6</v>
      </c>
      <c r="BG2806" s="1" t="s">
        <v>74</v>
      </c>
      <c r="BH2806" s="1" t="s">
        <v>74</v>
      </c>
      <c r="BI2806" s="1">
        <v>5</v>
      </c>
      <c r="BJ2806" s="1" t="s">
        <v>247</v>
      </c>
      <c r="BK2806" s="1" t="s">
        <v>96</v>
      </c>
      <c r="BL2806" s="1" t="s">
        <v>248</v>
      </c>
      <c r="BM2806" s="1" t="s">
        <v>15345</v>
      </c>
      <c r="BN2806" s="1" t="s">
        <v>74</v>
      </c>
      <c r="BO2806" s="1" t="s">
        <v>74</v>
      </c>
      <c r="BP2806" s="1" t="s">
        <v>74</v>
      </c>
      <c r="BQ2806" s="1" t="s">
        <v>74</v>
      </c>
      <c r="BR2806" s="1" t="s">
        <v>98</v>
      </c>
      <c r="BS2806" s="1" t="s">
        <v>44612</v>
      </c>
      <c r="BT2806" s="1" t="str">
        <f>HYPERLINK("https%3A%2F%2Fwww.webofscience.com%2Fwos%2Fwoscc%2Ffull-record%2FWOS:A1987H523600006","View Full Record in Web of Science")</f>
        <v>View Full Record in Web of Science</v>
      </c>
      <c r="BU2806" s="1"/>
      <c r="BV2806" s="1"/>
    </row>
    <row r="2807" spans="1:74">
      <c r="A2807" s="1" t="s">
        <v>72</v>
      </c>
      <c r="B2807" s="1" t="s">
        <v>44613</v>
      </c>
      <c r="C2807" s="1" t="s">
        <v>74</v>
      </c>
      <c r="D2807" s="1" t="s">
        <v>74</v>
      </c>
      <c r="E2807" s="1" t="s">
        <v>74</v>
      </c>
      <c r="F2807" s="1" t="s">
        <v>44614</v>
      </c>
      <c r="G2807" s="1" t="s">
        <v>74</v>
      </c>
      <c r="H2807" s="1" t="s">
        <v>74</v>
      </c>
      <c r="I2807" s="1" t="s">
        <v>44615</v>
      </c>
      <c r="J2807" s="1" t="s">
        <v>909</v>
      </c>
      <c r="K2807" s="1" t="s">
        <v>74</v>
      </c>
      <c r="L2807" s="1" t="s">
        <v>74</v>
      </c>
      <c r="M2807" s="1" t="s">
        <v>78</v>
      </c>
      <c r="N2807" s="1" t="s">
        <v>79</v>
      </c>
      <c r="O2807" s="1" t="s">
        <v>74</v>
      </c>
      <c r="P2807" s="1" t="s">
        <v>74</v>
      </c>
      <c r="Q2807" s="1" t="s">
        <v>74</v>
      </c>
      <c r="R2807" s="1" t="s">
        <v>74</v>
      </c>
      <c r="S2807" s="1" t="s">
        <v>74</v>
      </c>
      <c r="T2807" s="1" t="s">
        <v>39811</v>
      </c>
      <c r="U2807" s="1" t="s">
        <v>44616</v>
      </c>
      <c r="V2807" s="1" t="s">
        <v>44617</v>
      </c>
      <c r="W2807" s="1" t="s">
        <v>44618</v>
      </c>
      <c r="X2807" s="1" t="s">
        <v>39815</v>
      </c>
      <c r="Y2807" s="1" t="s">
        <v>44619</v>
      </c>
      <c r="Z2807" s="1" t="s">
        <v>44620</v>
      </c>
      <c r="AA2807" s="1" t="s">
        <v>74</v>
      </c>
      <c r="AB2807" s="1" t="s">
        <v>74</v>
      </c>
      <c r="AC2807" s="1" t="s">
        <v>74</v>
      </c>
      <c r="AD2807" s="1" t="s">
        <v>74</v>
      </c>
      <c r="AE2807" s="1" t="s">
        <v>74</v>
      </c>
      <c r="AF2807" s="1" t="s">
        <v>74</v>
      </c>
      <c r="AG2807" s="1">
        <v>158</v>
      </c>
      <c r="AH2807" s="1">
        <v>2</v>
      </c>
      <c r="AI2807" s="1">
        <v>2</v>
      </c>
      <c r="AJ2807" s="1">
        <v>5</v>
      </c>
      <c r="AK2807" s="1">
        <v>5</v>
      </c>
      <c r="AL2807" s="1" t="s">
        <v>650</v>
      </c>
      <c r="AM2807" s="1" t="s">
        <v>651</v>
      </c>
      <c r="AN2807" s="1" t="s">
        <v>652</v>
      </c>
      <c r="AO2807" s="1" t="s">
        <v>921</v>
      </c>
      <c r="AP2807" s="1" t="s">
        <v>922</v>
      </c>
      <c r="AQ2807" s="1" t="s">
        <v>74</v>
      </c>
      <c r="AR2807" s="1" t="s">
        <v>923</v>
      </c>
      <c r="AS2807" s="1" t="s">
        <v>924</v>
      </c>
      <c r="AT2807" s="1" t="s">
        <v>44621</v>
      </c>
      <c r="AU2807" s="1">
        <v>2024</v>
      </c>
      <c r="AV2807" s="1">
        <v>915</v>
      </c>
      <c r="AW2807" s="1" t="s">
        <v>74</v>
      </c>
      <c r="AX2807" s="1" t="s">
        <v>74</v>
      </c>
      <c r="AY2807" s="1" t="s">
        <v>74</v>
      </c>
      <c r="AZ2807" s="1" t="s">
        <v>74</v>
      </c>
      <c r="BA2807" s="1" t="s">
        <v>74</v>
      </c>
      <c r="BB2807" s="1" t="s">
        <v>74</v>
      </c>
      <c r="BC2807" s="1" t="s">
        <v>74</v>
      </c>
      <c r="BD2807" s="1">
        <v>169492</v>
      </c>
      <c r="BE2807" s="1" t="s">
        <v>44622</v>
      </c>
      <c r="BF2807" s="1" t="str">
        <f>HYPERLINK("http://dx.doi.org/10.1016/j.scitotenv.2023.169492","http://dx.doi.org/10.1016/j.scitotenv.2023.169492")</f>
        <v>http://dx.doi.org/10.1016/j.scitotenv.2023.169492</v>
      </c>
      <c r="BG2807" s="1" t="s">
        <v>74</v>
      </c>
      <c r="BH2807" s="1" t="s">
        <v>5287</v>
      </c>
      <c r="BI2807" s="1">
        <v>15</v>
      </c>
      <c r="BJ2807" s="1" t="s">
        <v>144</v>
      </c>
      <c r="BK2807" s="1" t="s">
        <v>96</v>
      </c>
      <c r="BL2807" s="1" t="s">
        <v>145</v>
      </c>
      <c r="BM2807" s="1" t="s">
        <v>44623</v>
      </c>
      <c r="BN2807" s="1">
        <v>38142987</v>
      </c>
      <c r="BO2807" s="1" t="s">
        <v>74</v>
      </c>
      <c r="BP2807" s="1" t="s">
        <v>74</v>
      </c>
      <c r="BQ2807" s="1" t="s">
        <v>74</v>
      </c>
      <c r="BR2807" s="1" t="s">
        <v>98</v>
      </c>
      <c r="BS2807" s="1" t="s">
        <v>44624</v>
      </c>
      <c r="BT2807" s="1" t="str">
        <f>HYPERLINK("https%3A%2F%2Fwww.webofscience.com%2Fwos%2Fwoscc%2Ffull-record%2FWOS:001171914200001","View Full Record in Web of Science")</f>
        <v>View Full Record in Web of Science</v>
      </c>
      <c r="BU2807" s="1"/>
      <c r="BV2807" s="1"/>
    </row>
    <row r="2808" spans="1:74">
      <c r="A2808" s="1" t="s">
        <v>72</v>
      </c>
      <c r="B2808" s="1" t="s">
        <v>44625</v>
      </c>
      <c r="C2808" s="1" t="s">
        <v>74</v>
      </c>
      <c r="D2808" s="1" t="s">
        <v>74</v>
      </c>
      <c r="E2808" s="1" t="s">
        <v>74</v>
      </c>
      <c r="F2808" s="1" t="s">
        <v>44626</v>
      </c>
      <c r="G2808" s="1" t="s">
        <v>74</v>
      </c>
      <c r="H2808" s="1" t="s">
        <v>74</v>
      </c>
      <c r="I2808" s="1" t="s">
        <v>44627</v>
      </c>
      <c r="J2808" s="1" t="s">
        <v>2063</v>
      </c>
      <c r="K2808" s="1" t="s">
        <v>74</v>
      </c>
      <c r="L2808" s="1" t="s">
        <v>74</v>
      </c>
      <c r="M2808" s="1" t="s">
        <v>78</v>
      </c>
      <c r="N2808" s="1" t="s">
        <v>79</v>
      </c>
      <c r="O2808" s="1" t="s">
        <v>74</v>
      </c>
      <c r="P2808" s="1" t="s">
        <v>74</v>
      </c>
      <c r="Q2808" s="1" t="s">
        <v>74</v>
      </c>
      <c r="R2808" s="1" t="s">
        <v>74</v>
      </c>
      <c r="S2808" s="1" t="s">
        <v>74</v>
      </c>
      <c r="T2808" s="1" t="s">
        <v>44628</v>
      </c>
      <c r="U2808" s="1" t="s">
        <v>44629</v>
      </c>
      <c r="V2808" s="1" t="s">
        <v>44630</v>
      </c>
      <c r="W2808" s="1" t="s">
        <v>44631</v>
      </c>
      <c r="X2808" s="1" t="s">
        <v>14304</v>
      </c>
      <c r="Y2808" s="1" t="s">
        <v>44632</v>
      </c>
      <c r="Z2808" s="1" t="s">
        <v>31526</v>
      </c>
      <c r="AA2808" s="1" t="s">
        <v>44633</v>
      </c>
      <c r="AB2808" s="1" t="s">
        <v>44634</v>
      </c>
      <c r="AC2808" s="1" t="s">
        <v>74</v>
      </c>
      <c r="AD2808" s="1" t="s">
        <v>74</v>
      </c>
      <c r="AE2808" s="1" t="s">
        <v>74</v>
      </c>
      <c r="AF2808" s="1" t="s">
        <v>74</v>
      </c>
      <c r="AG2808" s="1">
        <v>50</v>
      </c>
      <c r="AH2808" s="1">
        <v>4</v>
      </c>
      <c r="AI2808" s="1">
        <v>4</v>
      </c>
      <c r="AJ2808" s="1">
        <v>1</v>
      </c>
      <c r="AK2808" s="1">
        <v>70</v>
      </c>
      <c r="AL2808" s="1" t="s">
        <v>2074</v>
      </c>
      <c r="AM2808" s="1" t="s">
        <v>2075</v>
      </c>
      <c r="AN2808" s="1" t="s">
        <v>5365</v>
      </c>
      <c r="AO2808" s="1" t="s">
        <v>2077</v>
      </c>
      <c r="AP2808" s="1" t="s">
        <v>2078</v>
      </c>
      <c r="AQ2808" s="1" t="s">
        <v>74</v>
      </c>
      <c r="AR2808" s="1" t="s">
        <v>2079</v>
      </c>
      <c r="AS2808" s="1" t="s">
        <v>2080</v>
      </c>
      <c r="AT2808" s="1" t="s">
        <v>6805</v>
      </c>
      <c r="AU2808" s="1">
        <v>2015</v>
      </c>
      <c r="AV2808" s="1">
        <v>31</v>
      </c>
      <c r="AW2808" s="1">
        <v>5</v>
      </c>
      <c r="AX2808" s="1" t="s">
        <v>74</v>
      </c>
      <c r="AY2808" s="1" t="s">
        <v>74</v>
      </c>
      <c r="AZ2808" s="1" t="s">
        <v>74</v>
      </c>
      <c r="BA2808" s="1" t="s">
        <v>74</v>
      </c>
      <c r="BB2808" s="1">
        <v>416</v>
      </c>
      <c r="BC2808" s="1">
        <v>431</v>
      </c>
      <c r="BD2808" s="1" t="s">
        <v>74</v>
      </c>
      <c r="BE2808" s="1" t="s">
        <v>44635</v>
      </c>
      <c r="BF2808" s="1" t="str">
        <f>HYPERLINK("http://dx.doi.org/10.1080/02757540.2015.1051041","http://dx.doi.org/10.1080/02757540.2015.1051041")</f>
        <v>http://dx.doi.org/10.1080/02757540.2015.1051041</v>
      </c>
      <c r="BG2808" s="1" t="s">
        <v>74</v>
      </c>
      <c r="BH2808" s="1" t="s">
        <v>74</v>
      </c>
      <c r="BI2808" s="1">
        <v>16</v>
      </c>
      <c r="BJ2808" s="1" t="s">
        <v>2083</v>
      </c>
      <c r="BK2808" s="1" t="s">
        <v>96</v>
      </c>
      <c r="BL2808" s="1" t="s">
        <v>2084</v>
      </c>
      <c r="BM2808" s="1" t="s">
        <v>39517</v>
      </c>
      <c r="BN2808" s="1" t="s">
        <v>74</v>
      </c>
      <c r="BO2808" s="1" t="s">
        <v>810</v>
      </c>
      <c r="BP2808" s="1" t="s">
        <v>74</v>
      </c>
      <c r="BQ2808" s="1" t="s">
        <v>74</v>
      </c>
      <c r="BR2808" s="1" t="s">
        <v>98</v>
      </c>
      <c r="BS2808" s="1" t="s">
        <v>44636</v>
      </c>
      <c r="BT2808" s="1" t="str">
        <f>HYPERLINK("https%3A%2F%2Fwww.webofscience.com%2Fwos%2Fwoscc%2Ffull-record%2FWOS:000359746800003","View Full Record in Web of Science")</f>
        <v>View Full Record in Web of Science</v>
      </c>
      <c r="BU2808" s="1"/>
      <c r="BV2808" s="1"/>
    </row>
    <row r="2809" spans="1:74">
      <c r="A2809" s="1" t="s">
        <v>72</v>
      </c>
      <c r="B2809" s="1" t="s">
        <v>44637</v>
      </c>
      <c r="C2809" s="1" t="s">
        <v>74</v>
      </c>
      <c r="D2809" s="1" t="s">
        <v>74</v>
      </c>
      <c r="E2809" s="1" t="s">
        <v>74</v>
      </c>
      <c r="F2809" s="1" t="s">
        <v>44638</v>
      </c>
      <c r="G2809" s="1" t="s">
        <v>74</v>
      </c>
      <c r="H2809" s="1" t="s">
        <v>74</v>
      </c>
      <c r="I2809" s="1" t="s">
        <v>44639</v>
      </c>
      <c r="J2809" s="1" t="s">
        <v>232</v>
      </c>
      <c r="K2809" s="1" t="s">
        <v>74</v>
      </c>
      <c r="L2809" s="1" t="s">
        <v>74</v>
      </c>
      <c r="M2809" s="1" t="s">
        <v>78</v>
      </c>
      <c r="N2809" s="1" t="s">
        <v>79</v>
      </c>
      <c r="O2809" s="1" t="s">
        <v>74</v>
      </c>
      <c r="P2809" s="1" t="s">
        <v>74</v>
      </c>
      <c r="Q2809" s="1" t="s">
        <v>74</v>
      </c>
      <c r="R2809" s="1" t="s">
        <v>74</v>
      </c>
      <c r="S2809" s="1" t="s">
        <v>74</v>
      </c>
      <c r="T2809" s="1" t="s">
        <v>44640</v>
      </c>
      <c r="U2809" s="1" t="s">
        <v>44641</v>
      </c>
      <c r="V2809" s="1" t="s">
        <v>44642</v>
      </c>
      <c r="W2809" s="1" t="s">
        <v>44643</v>
      </c>
      <c r="X2809" s="1" t="s">
        <v>44644</v>
      </c>
      <c r="Y2809" s="1" t="s">
        <v>44645</v>
      </c>
      <c r="Z2809" s="1" t="s">
        <v>44646</v>
      </c>
      <c r="AA2809" s="1" t="s">
        <v>74</v>
      </c>
      <c r="AB2809" s="1" t="s">
        <v>44647</v>
      </c>
      <c r="AC2809" s="1" t="s">
        <v>44648</v>
      </c>
      <c r="AD2809" s="1" t="s">
        <v>44649</v>
      </c>
      <c r="AE2809" s="1" t="s">
        <v>44650</v>
      </c>
      <c r="AF2809" s="1" t="s">
        <v>74</v>
      </c>
      <c r="AG2809" s="1">
        <v>55</v>
      </c>
      <c r="AH2809" s="1">
        <v>32</v>
      </c>
      <c r="AI2809" s="1">
        <v>32</v>
      </c>
      <c r="AJ2809" s="1">
        <v>0</v>
      </c>
      <c r="AK2809" s="1">
        <v>17</v>
      </c>
      <c r="AL2809" s="1" t="s">
        <v>136</v>
      </c>
      <c r="AM2809" s="1" t="s">
        <v>137</v>
      </c>
      <c r="AN2809" s="1" t="s">
        <v>138</v>
      </c>
      <c r="AO2809" s="1" t="s">
        <v>240</v>
      </c>
      <c r="AP2809" s="1" t="s">
        <v>241</v>
      </c>
      <c r="AQ2809" s="1" t="s">
        <v>74</v>
      </c>
      <c r="AR2809" s="1" t="s">
        <v>242</v>
      </c>
      <c r="AS2809" s="1" t="s">
        <v>243</v>
      </c>
      <c r="AT2809" s="1" t="s">
        <v>197</v>
      </c>
      <c r="AU2809" s="1">
        <v>2020</v>
      </c>
      <c r="AV2809" s="1">
        <v>161</v>
      </c>
      <c r="AW2809" s="1" t="s">
        <v>74</v>
      </c>
      <c r="AX2809" s="1" t="s">
        <v>13570</v>
      </c>
      <c r="AY2809" s="1" t="s">
        <v>74</v>
      </c>
      <c r="AZ2809" s="1" t="s">
        <v>74</v>
      </c>
      <c r="BA2809" s="1" t="s">
        <v>74</v>
      </c>
      <c r="BB2809" s="1" t="s">
        <v>74</v>
      </c>
      <c r="BC2809" s="1" t="s">
        <v>74</v>
      </c>
      <c r="BD2809" s="1">
        <v>111753</v>
      </c>
      <c r="BE2809" s="1" t="s">
        <v>44651</v>
      </c>
      <c r="BF2809" s="1" t="str">
        <f>HYPERLINK("http://dx.doi.org/10.1016/j.marpolbul.2020.111753","http://dx.doi.org/10.1016/j.marpolbul.2020.111753")</f>
        <v>http://dx.doi.org/10.1016/j.marpolbul.2020.111753</v>
      </c>
      <c r="BG2809" s="1" t="s">
        <v>74</v>
      </c>
      <c r="BH2809" s="1" t="s">
        <v>74</v>
      </c>
      <c r="BI2809" s="1">
        <v>8</v>
      </c>
      <c r="BJ2809" s="1" t="s">
        <v>247</v>
      </c>
      <c r="BK2809" s="1" t="s">
        <v>96</v>
      </c>
      <c r="BL2809" s="1" t="s">
        <v>248</v>
      </c>
      <c r="BM2809" s="1" t="s">
        <v>44652</v>
      </c>
      <c r="BN2809" s="1">
        <v>33128984</v>
      </c>
      <c r="BO2809" s="1" t="s">
        <v>74</v>
      </c>
      <c r="BP2809" s="1" t="s">
        <v>74</v>
      </c>
      <c r="BQ2809" s="1" t="s">
        <v>74</v>
      </c>
      <c r="BR2809" s="1" t="s">
        <v>98</v>
      </c>
      <c r="BS2809" s="1" t="s">
        <v>44653</v>
      </c>
      <c r="BT2809" s="1" t="str">
        <f>HYPERLINK("https%3A%2F%2Fwww.webofscience.com%2Fwos%2Fwoscc%2Ffull-record%2FWOS:000599843400005","View Full Record in Web of Science")</f>
        <v>View Full Record in Web of Science</v>
      </c>
      <c r="BU2809" s="1"/>
      <c r="BV2809" s="1"/>
    </row>
    <row r="2810" spans="1:74">
      <c r="A2810" s="1" t="s">
        <v>72</v>
      </c>
      <c r="B2810" s="1" t="s">
        <v>44654</v>
      </c>
      <c r="C2810" s="1" t="s">
        <v>74</v>
      </c>
      <c r="D2810" s="1" t="s">
        <v>74</v>
      </c>
      <c r="E2810" s="1" t="s">
        <v>74</v>
      </c>
      <c r="F2810" s="1" t="s">
        <v>44654</v>
      </c>
      <c r="G2810" s="1" t="s">
        <v>74</v>
      </c>
      <c r="H2810" s="1" t="s">
        <v>74</v>
      </c>
      <c r="I2810" s="1" t="s">
        <v>44655</v>
      </c>
      <c r="J2810" s="1" t="s">
        <v>10129</v>
      </c>
      <c r="K2810" s="1" t="s">
        <v>74</v>
      </c>
      <c r="L2810" s="1" t="s">
        <v>74</v>
      </c>
      <c r="M2810" s="1" t="s">
        <v>78</v>
      </c>
      <c r="N2810" s="1" t="s">
        <v>79</v>
      </c>
      <c r="O2810" s="1" t="s">
        <v>74</v>
      </c>
      <c r="P2810" s="1" t="s">
        <v>74</v>
      </c>
      <c r="Q2810" s="1" t="s">
        <v>74</v>
      </c>
      <c r="R2810" s="1" t="s">
        <v>74</v>
      </c>
      <c r="S2810" s="1" t="s">
        <v>74</v>
      </c>
      <c r="T2810" s="1" t="s">
        <v>44656</v>
      </c>
      <c r="U2810" s="1" t="s">
        <v>44657</v>
      </c>
      <c r="V2810" s="1" t="s">
        <v>44658</v>
      </c>
      <c r="W2810" s="1" t="s">
        <v>44659</v>
      </c>
      <c r="X2810" s="1" t="s">
        <v>44660</v>
      </c>
      <c r="Y2810" s="1" t="s">
        <v>44661</v>
      </c>
      <c r="Z2810" s="1" t="s">
        <v>44662</v>
      </c>
      <c r="AA2810" s="1" t="s">
        <v>44663</v>
      </c>
      <c r="AB2810" s="1" t="s">
        <v>44664</v>
      </c>
      <c r="AC2810" s="1" t="s">
        <v>74</v>
      </c>
      <c r="AD2810" s="1" t="s">
        <v>74</v>
      </c>
      <c r="AE2810" s="1" t="s">
        <v>74</v>
      </c>
      <c r="AF2810" s="1" t="s">
        <v>74</v>
      </c>
      <c r="AG2810" s="1">
        <v>74</v>
      </c>
      <c r="AH2810" s="1">
        <v>35</v>
      </c>
      <c r="AI2810" s="1">
        <v>42</v>
      </c>
      <c r="AJ2810" s="1">
        <v>0</v>
      </c>
      <c r="AK2810" s="1">
        <v>11</v>
      </c>
      <c r="AL2810" s="1" t="s">
        <v>3362</v>
      </c>
      <c r="AM2810" s="1" t="s">
        <v>3363</v>
      </c>
      <c r="AN2810" s="1" t="s">
        <v>3364</v>
      </c>
      <c r="AO2810" s="1" t="s">
        <v>10137</v>
      </c>
      <c r="AP2810" s="1" t="s">
        <v>10138</v>
      </c>
      <c r="AQ2810" s="1" t="s">
        <v>74</v>
      </c>
      <c r="AR2810" s="1" t="s">
        <v>10139</v>
      </c>
      <c r="AS2810" s="1" t="s">
        <v>10140</v>
      </c>
      <c r="AT2810" s="1" t="s">
        <v>267</v>
      </c>
      <c r="AU2810" s="1">
        <v>2004</v>
      </c>
      <c r="AV2810" s="1">
        <v>96</v>
      </c>
      <c r="AW2810" s="1">
        <v>2</v>
      </c>
      <c r="AX2810" s="1" t="s">
        <v>74</v>
      </c>
      <c r="AY2810" s="1" t="s">
        <v>74</v>
      </c>
      <c r="AZ2810" s="1" t="s">
        <v>74</v>
      </c>
      <c r="BA2810" s="1" t="s">
        <v>74</v>
      </c>
      <c r="BB2810" s="1">
        <v>163</v>
      </c>
      <c r="BC2810" s="1">
        <v>175</v>
      </c>
      <c r="BD2810" s="1" t="s">
        <v>74</v>
      </c>
      <c r="BE2810" s="1" t="s">
        <v>44665</v>
      </c>
      <c r="BF2810" s="1" t="str">
        <f>HYPERLINK("http://dx.doi.org/10.1016/j.envres.2004.02.011","http://dx.doi.org/10.1016/j.envres.2004.02.011")</f>
        <v>http://dx.doi.org/10.1016/j.envres.2004.02.011</v>
      </c>
      <c r="BG2810" s="1" t="s">
        <v>74</v>
      </c>
      <c r="BH2810" s="1" t="s">
        <v>74</v>
      </c>
      <c r="BI2810" s="1">
        <v>13</v>
      </c>
      <c r="BJ2810" s="1" t="s">
        <v>10142</v>
      </c>
      <c r="BK2810" s="1" t="s">
        <v>96</v>
      </c>
      <c r="BL2810" s="1" t="s">
        <v>10143</v>
      </c>
      <c r="BM2810" s="1" t="s">
        <v>44666</v>
      </c>
      <c r="BN2810" s="1">
        <v>15325877</v>
      </c>
      <c r="BO2810" s="1" t="s">
        <v>74</v>
      </c>
      <c r="BP2810" s="1" t="s">
        <v>74</v>
      </c>
      <c r="BQ2810" s="1" t="s">
        <v>74</v>
      </c>
      <c r="BR2810" s="1" t="s">
        <v>98</v>
      </c>
      <c r="BS2810" s="1" t="s">
        <v>44667</v>
      </c>
      <c r="BT2810" s="1" t="str">
        <f>HYPERLINK("https%3A%2F%2Fwww.webofscience.com%2Fwos%2Fwoscc%2Ffull-record%2FWOS:000223943900007","View Full Record in Web of Science")</f>
        <v>View Full Record in Web of Science</v>
      </c>
      <c r="BU2810" s="1"/>
      <c r="BV2810" s="1"/>
    </row>
    <row r="2811" spans="1:74">
      <c r="A2811" s="1" t="s">
        <v>72</v>
      </c>
      <c r="B2811" s="1" t="s">
        <v>44668</v>
      </c>
      <c r="C2811" s="1" t="s">
        <v>74</v>
      </c>
      <c r="D2811" s="1" t="s">
        <v>74</v>
      </c>
      <c r="E2811" s="1" t="s">
        <v>74</v>
      </c>
      <c r="F2811" s="1" t="s">
        <v>44669</v>
      </c>
      <c r="G2811" s="1" t="s">
        <v>74</v>
      </c>
      <c r="H2811" s="1" t="s">
        <v>74</v>
      </c>
      <c r="I2811" s="1" t="s">
        <v>44670</v>
      </c>
      <c r="J2811" s="1" t="s">
        <v>15579</v>
      </c>
      <c r="K2811" s="1" t="s">
        <v>74</v>
      </c>
      <c r="L2811" s="1" t="s">
        <v>74</v>
      </c>
      <c r="M2811" s="1" t="s">
        <v>78</v>
      </c>
      <c r="N2811" s="1" t="s">
        <v>79</v>
      </c>
      <c r="O2811" s="1" t="s">
        <v>74</v>
      </c>
      <c r="P2811" s="1" t="s">
        <v>74</v>
      </c>
      <c r="Q2811" s="1" t="s">
        <v>74</v>
      </c>
      <c r="R2811" s="1" t="s">
        <v>74</v>
      </c>
      <c r="S2811" s="1" t="s">
        <v>74</v>
      </c>
      <c r="T2811" s="1" t="s">
        <v>44671</v>
      </c>
      <c r="U2811" s="1" t="s">
        <v>44672</v>
      </c>
      <c r="V2811" s="1" t="s">
        <v>44673</v>
      </c>
      <c r="W2811" s="1" t="s">
        <v>44674</v>
      </c>
      <c r="X2811" s="1" t="s">
        <v>34868</v>
      </c>
      <c r="Y2811" s="1" t="s">
        <v>44675</v>
      </c>
      <c r="Z2811" s="1" t="s">
        <v>36365</v>
      </c>
      <c r="AA2811" s="1" t="s">
        <v>44676</v>
      </c>
      <c r="AB2811" s="1" t="s">
        <v>34872</v>
      </c>
      <c r="AC2811" s="1" t="s">
        <v>74</v>
      </c>
      <c r="AD2811" s="1" t="s">
        <v>74</v>
      </c>
      <c r="AE2811" s="1" t="s">
        <v>74</v>
      </c>
      <c r="AF2811" s="1" t="s">
        <v>74</v>
      </c>
      <c r="AG2811" s="1">
        <v>101</v>
      </c>
      <c r="AH2811" s="1">
        <v>4</v>
      </c>
      <c r="AI2811" s="1">
        <v>4</v>
      </c>
      <c r="AJ2811" s="1">
        <v>1</v>
      </c>
      <c r="AK2811" s="1">
        <v>5</v>
      </c>
      <c r="AL2811" s="1" t="s">
        <v>1566</v>
      </c>
      <c r="AM2811" s="1" t="s">
        <v>1567</v>
      </c>
      <c r="AN2811" s="1" t="s">
        <v>1568</v>
      </c>
      <c r="AO2811" s="1" t="s">
        <v>15587</v>
      </c>
      <c r="AP2811" s="1" t="s">
        <v>74</v>
      </c>
      <c r="AQ2811" s="1" t="s">
        <v>74</v>
      </c>
      <c r="AR2811" s="1" t="s">
        <v>15588</v>
      </c>
      <c r="AS2811" s="1" t="s">
        <v>15589</v>
      </c>
      <c r="AT2811" s="1" t="s">
        <v>142</v>
      </c>
      <c r="AU2811" s="1">
        <v>2023</v>
      </c>
      <c r="AV2811" s="1">
        <v>13</v>
      </c>
      <c r="AW2811" s="1">
        <v>12</v>
      </c>
      <c r="AX2811" s="1" t="s">
        <v>74</v>
      </c>
      <c r="AY2811" s="1" t="s">
        <v>74</v>
      </c>
      <c r="AZ2811" s="1" t="s">
        <v>74</v>
      </c>
      <c r="BA2811" s="1" t="s">
        <v>74</v>
      </c>
      <c r="BB2811" s="1" t="s">
        <v>74</v>
      </c>
      <c r="BC2811" s="1" t="s">
        <v>74</v>
      </c>
      <c r="BD2811" s="1">
        <v>1950</v>
      </c>
      <c r="BE2811" s="1" t="s">
        <v>44677</v>
      </c>
      <c r="BF2811" s="1" t="str">
        <f>HYPERLINK("http://dx.doi.org/10.3390/ani13121950","http://dx.doi.org/10.3390/ani13121950")</f>
        <v>http://dx.doi.org/10.3390/ani13121950</v>
      </c>
      <c r="BG2811" s="1" t="s">
        <v>74</v>
      </c>
      <c r="BH2811" s="1" t="s">
        <v>74</v>
      </c>
      <c r="BI2811" s="1">
        <v>22</v>
      </c>
      <c r="BJ2811" s="1" t="s">
        <v>15591</v>
      </c>
      <c r="BK2811" s="1" t="s">
        <v>96</v>
      </c>
      <c r="BL2811" s="1" t="s">
        <v>15592</v>
      </c>
      <c r="BM2811" s="1" t="s">
        <v>44678</v>
      </c>
      <c r="BN2811" s="1">
        <v>37370460</v>
      </c>
      <c r="BO2811" s="1" t="s">
        <v>550</v>
      </c>
      <c r="BP2811" s="1" t="s">
        <v>74</v>
      </c>
      <c r="BQ2811" s="1" t="s">
        <v>74</v>
      </c>
      <c r="BR2811" s="1" t="s">
        <v>98</v>
      </c>
      <c r="BS2811" s="1" t="s">
        <v>44679</v>
      </c>
      <c r="BT2811" s="1" t="str">
        <f>HYPERLINK("https%3A%2F%2Fwww.webofscience.com%2Fwos%2Fwoscc%2Ffull-record%2FWOS:001013762000001","View Full Record in Web of Science")</f>
        <v>View Full Record in Web of Science</v>
      </c>
      <c r="BU2811" s="1"/>
      <c r="BV2811" s="1"/>
    </row>
    <row r="2812" spans="1:74">
      <c r="A2812" s="1" t="s">
        <v>72</v>
      </c>
      <c r="B2812" s="1" t="s">
        <v>44680</v>
      </c>
      <c r="C2812" s="1" t="s">
        <v>74</v>
      </c>
      <c r="D2812" s="1" t="s">
        <v>74</v>
      </c>
      <c r="E2812" s="1" t="s">
        <v>74</v>
      </c>
      <c r="F2812" s="1" t="s">
        <v>44681</v>
      </c>
      <c r="G2812" s="1" t="s">
        <v>74</v>
      </c>
      <c r="H2812" s="1" t="s">
        <v>74</v>
      </c>
      <c r="I2812" s="1" t="s">
        <v>44682</v>
      </c>
      <c r="J2812" s="1" t="s">
        <v>232</v>
      </c>
      <c r="K2812" s="1" t="s">
        <v>74</v>
      </c>
      <c r="L2812" s="1" t="s">
        <v>74</v>
      </c>
      <c r="M2812" s="1" t="s">
        <v>78</v>
      </c>
      <c r="N2812" s="1" t="s">
        <v>79</v>
      </c>
      <c r="O2812" s="1" t="s">
        <v>74</v>
      </c>
      <c r="P2812" s="1" t="s">
        <v>74</v>
      </c>
      <c r="Q2812" s="1" t="s">
        <v>74</v>
      </c>
      <c r="R2812" s="1" t="s">
        <v>74</v>
      </c>
      <c r="S2812" s="1" t="s">
        <v>74</v>
      </c>
      <c r="T2812" s="1" t="s">
        <v>44683</v>
      </c>
      <c r="U2812" s="1" t="s">
        <v>44684</v>
      </c>
      <c r="V2812" s="1" t="s">
        <v>44685</v>
      </c>
      <c r="W2812" s="1" t="s">
        <v>44686</v>
      </c>
      <c r="X2812" s="1" t="s">
        <v>44687</v>
      </c>
      <c r="Y2812" s="1" t="s">
        <v>44688</v>
      </c>
      <c r="Z2812" s="1" t="s">
        <v>8611</v>
      </c>
      <c r="AA2812" s="1" t="s">
        <v>44689</v>
      </c>
      <c r="AB2812" s="1" t="s">
        <v>44690</v>
      </c>
      <c r="AC2812" s="1" t="s">
        <v>44691</v>
      </c>
      <c r="AD2812" s="1" t="s">
        <v>44691</v>
      </c>
      <c r="AE2812" s="1" t="s">
        <v>44692</v>
      </c>
      <c r="AF2812" s="1" t="s">
        <v>74</v>
      </c>
      <c r="AG2812" s="1">
        <v>25</v>
      </c>
      <c r="AH2812" s="1">
        <v>50</v>
      </c>
      <c r="AI2812" s="1">
        <v>50</v>
      </c>
      <c r="AJ2812" s="1">
        <v>0</v>
      </c>
      <c r="AK2812" s="1">
        <v>78</v>
      </c>
      <c r="AL2812" s="1" t="s">
        <v>136</v>
      </c>
      <c r="AM2812" s="1" t="s">
        <v>137</v>
      </c>
      <c r="AN2812" s="1" t="s">
        <v>138</v>
      </c>
      <c r="AO2812" s="1" t="s">
        <v>240</v>
      </c>
      <c r="AP2812" s="1" t="s">
        <v>241</v>
      </c>
      <c r="AQ2812" s="1" t="s">
        <v>74</v>
      </c>
      <c r="AR2812" s="1" t="s">
        <v>242</v>
      </c>
      <c r="AS2812" s="1" t="s">
        <v>243</v>
      </c>
      <c r="AT2812" s="1" t="s">
        <v>7041</v>
      </c>
      <c r="AU2812" s="1">
        <v>2016</v>
      </c>
      <c r="AV2812" s="1">
        <v>103</v>
      </c>
      <c r="AW2812" s="1" t="s">
        <v>326</v>
      </c>
      <c r="AX2812" s="1" t="s">
        <v>74</v>
      </c>
      <c r="AY2812" s="1" t="s">
        <v>74</v>
      </c>
      <c r="AZ2812" s="1" t="s">
        <v>74</v>
      </c>
      <c r="BA2812" s="1" t="s">
        <v>74</v>
      </c>
      <c r="BB2812" s="1">
        <v>339</v>
      </c>
      <c r="BC2812" s="1">
        <v>343</v>
      </c>
      <c r="BD2812" s="1" t="s">
        <v>74</v>
      </c>
      <c r="BE2812" s="1" t="s">
        <v>44693</v>
      </c>
      <c r="BF2812" s="1" t="str">
        <f>HYPERLINK("http://dx.doi.org/10.1016/j.marpolbul.2015.12.038","http://dx.doi.org/10.1016/j.marpolbul.2015.12.038")</f>
        <v>http://dx.doi.org/10.1016/j.marpolbul.2015.12.038</v>
      </c>
      <c r="BG2812" s="1" t="s">
        <v>74</v>
      </c>
      <c r="BH2812" s="1" t="s">
        <v>74</v>
      </c>
      <c r="BI2812" s="1">
        <v>5</v>
      </c>
      <c r="BJ2812" s="1" t="s">
        <v>247</v>
      </c>
      <c r="BK2812" s="1" t="s">
        <v>96</v>
      </c>
      <c r="BL2812" s="1" t="s">
        <v>248</v>
      </c>
      <c r="BM2812" s="1" t="s">
        <v>44694</v>
      </c>
      <c r="BN2812" s="1">
        <v>26763317</v>
      </c>
      <c r="BO2812" s="1" t="s">
        <v>74</v>
      </c>
      <c r="BP2812" s="1" t="s">
        <v>74</v>
      </c>
      <c r="BQ2812" s="1" t="s">
        <v>74</v>
      </c>
      <c r="BR2812" s="1" t="s">
        <v>98</v>
      </c>
      <c r="BS2812" s="1" t="s">
        <v>44695</v>
      </c>
      <c r="BT2812" s="1" t="str">
        <f>HYPERLINK("https%3A%2F%2Fwww.webofscience.com%2Fwos%2Fwoscc%2Ffull-record%2FWOS:000374195800050","View Full Record in Web of Science")</f>
        <v>View Full Record in Web of Science</v>
      </c>
      <c r="BU2812" s="1"/>
      <c r="BV2812" s="1"/>
    </row>
    <row r="2813" spans="1:74">
      <c r="A2813" s="1" t="s">
        <v>72</v>
      </c>
      <c r="B2813" s="1" t="s">
        <v>44696</v>
      </c>
      <c r="C2813" s="1" t="s">
        <v>74</v>
      </c>
      <c r="D2813" s="1" t="s">
        <v>74</v>
      </c>
      <c r="E2813" s="1" t="s">
        <v>74</v>
      </c>
      <c r="F2813" s="1" t="s">
        <v>44697</v>
      </c>
      <c r="G2813" s="1" t="s">
        <v>74</v>
      </c>
      <c r="H2813" s="1" t="s">
        <v>74</v>
      </c>
      <c r="I2813" s="1" t="s">
        <v>44698</v>
      </c>
      <c r="J2813" s="1" t="s">
        <v>3349</v>
      </c>
      <c r="K2813" s="1" t="s">
        <v>74</v>
      </c>
      <c r="L2813" s="1" t="s">
        <v>74</v>
      </c>
      <c r="M2813" s="1" t="s">
        <v>78</v>
      </c>
      <c r="N2813" s="1" t="s">
        <v>79</v>
      </c>
      <c r="O2813" s="1" t="s">
        <v>74</v>
      </c>
      <c r="P2813" s="1" t="s">
        <v>74</v>
      </c>
      <c r="Q2813" s="1" t="s">
        <v>74</v>
      </c>
      <c r="R2813" s="1" t="s">
        <v>74</v>
      </c>
      <c r="S2813" s="1" t="s">
        <v>74</v>
      </c>
      <c r="T2813" s="1" t="s">
        <v>44699</v>
      </c>
      <c r="U2813" s="1" t="s">
        <v>44700</v>
      </c>
      <c r="V2813" s="1" t="s">
        <v>44701</v>
      </c>
      <c r="W2813" s="1" t="s">
        <v>44702</v>
      </c>
      <c r="X2813" s="1" t="s">
        <v>21792</v>
      </c>
      <c r="Y2813" s="1" t="s">
        <v>44703</v>
      </c>
      <c r="Z2813" s="1" t="s">
        <v>44704</v>
      </c>
      <c r="AA2813" s="1" t="s">
        <v>74</v>
      </c>
      <c r="AB2813" s="1" t="s">
        <v>44705</v>
      </c>
      <c r="AC2813" s="1" t="s">
        <v>44706</v>
      </c>
      <c r="AD2813" s="1" t="s">
        <v>44706</v>
      </c>
      <c r="AE2813" s="1" t="s">
        <v>44707</v>
      </c>
      <c r="AF2813" s="1" t="s">
        <v>74</v>
      </c>
      <c r="AG2813" s="1">
        <v>64</v>
      </c>
      <c r="AH2813" s="1">
        <v>24</v>
      </c>
      <c r="AI2813" s="1">
        <v>29</v>
      </c>
      <c r="AJ2813" s="1">
        <v>1</v>
      </c>
      <c r="AK2813" s="1">
        <v>9</v>
      </c>
      <c r="AL2813" s="1" t="s">
        <v>3362</v>
      </c>
      <c r="AM2813" s="1" t="s">
        <v>3363</v>
      </c>
      <c r="AN2813" s="1" t="s">
        <v>3364</v>
      </c>
      <c r="AO2813" s="1" t="s">
        <v>3365</v>
      </c>
      <c r="AP2813" s="1" t="s">
        <v>3366</v>
      </c>
      <c r="AQ2813" s="1" t="s">
        <v>74</v>
      </c>
      <c r="AR2813" s="1" t="s">
        <v>3367</v>
      </c>
      <c r="AS2813" s="1" t="s">
        <v>3368</v>
      </c>
      <c r="AT2813" s="1" t="s">
        <v>267</v>
      </c>
      <c r="AU2813" s="1">
        <v>2008</v>
      </c>
      <c r="AV2813" s="1">
        <v>71</v>
      </c>
      <c r="AW2813" s="1">
        <v>2</v>
      </c>
      <c r="AX2813" s="1" t="s">
        <v>74</v>
      </c>
      <c r="AY2813" s="1" t="s">
        <v>74</v>
      </c>
      <c r="AZ2813" s="1" t="s">
        <v>74</v>
      </c>
      <c r="BA2813" s="1" t="s">
        <v>74</v>
      </c>
      <c r="BB2813" s="1">
        <v>473</v>
      </c>
      <c r="BC2813" s="1">
        <v>482</v>
      </c>
      <c r="BD2813" s="1" t="s">
        <v>74</v>
      </c>
      <c r="BE2813" s="1" t="s">
        <v>44708</v>
      </c>
      <c r="BF2813" s="1" t="str">
        <f>HYPERLINK("http://dx.doi.org/10.1016/j.ecoenv.2008.01.006","http://dx.doi.org/10.1016/j.ecoenv.2008.01.006")</f>
        <v>http://dx.doi.org/10.1016/j.ecoenv.2008.01.006</v>
      </c>
      <c r="BG2813" s="1" t="s">
        <v>74</v>
      </c>
      <c r="BH2813" s="1" t="s">
        <v>74</v>
      </c>
      <c r="BI2813" s="1">
        <v>10</v>
      </c>
      <c r="BJ2813" s="1" t="s">
        <v>121</v>
      </c>
      <c r="BK2813" s="1" t="s">
        <v>96</v>
      </c>
      <c r="BL2813" s="1" t="s">
        <v>122</v>
      </c>
      <c r="BM2813" s="1" t="s">
        <v>44709</v>
      </c>
      <c r="BN2813" s="1">
        <v>18358533</v>
      </c>
      <c r="BO2813" s="1" t="s">
        <v>74</v>
      </c>
      <c r="BP2813" s="1" t="s">
        <v>74</v>
      </c>
      <c r="BQ2813" s="1" t="s">
        <v>74</v>
      </c>
      <c r="BR2813" s="1" t="s">
        <v>98</v>
      </c>
      <c r="BS2813" s="1" t="s">
        <v>44710</v>
      </c>
      <c r="BT2813" s="1" t="str">
        <f>HYPERLINK("https%3A%2F%2Fwww.webofscience.com%2Fwos%2Fwoscc%2Ffull-record%2FWOS:000259713900018","View Full Record in Web of Science")</f>
        <v>View Full Record in Web of Science</v>
      </c>
      <c r="BU2813" s="1"/>
      <c r="BV2813" s="1"/>
    </row>
    <row r="2814" spans="1:74">
      <c r="A2814" s="1" t="s">
        <v>72</v>
      </c>
      <c r="B2814" s="1" t="s">
        <v>44711</v>
      </c>
      <c r="C2814" s="1" t="s">
        <v>74</v>
      </c>
      <c r="D2814" s="1" t="s">
        <v>74</v>
      </c>
      <c r="E2814" s="1" t="s">
        <v>74</v>
      </c>
      <c r="F2814" s="1" t="s">
        <v>44711</v>
      </c>
      <c r="G2814" s="1" t="s">
        <v>74</v>
      </c>
      <c r="H2814" s="1" t="s">
        <v>74</v>
      </c>
      <c r="I2814" s="1" t="s">
        <v>44712</v>
      </c>
      <c r="J2814" s="1" t="s">
        <v>1756</v>
      </c>
      <c r="K2814" s="1" t="s">
        <v>74</v>
      </c>
      <c r="L2814" s="1" t="s">
        <v>74</v>
      </c>
      <c r="M2814" s="1" t="s">
        <v>78</v>
      </c>
      <c r="N2814" s="1" t="s">
        <v>79</v>
      </c>
      <c r="O2814" s="1" t="s">
        <v>74</v>
      </c>
      <c r="P2814" s="1" t="s">
        <v>74</v>
      </c>
      <c r="Q2814" s="1" t="s">
        <v>74</v>
      </c>
      <c r="R2814" s="1" t="s">
        <v>74</v>
      </c>
      <c r="S2814" s="1" t="s">
        <v>74</v>
      </c>
      <c r="T2814" s="1" t="s">
        <v>44713</v>
      </c>
      <c r="U2814" s="1" t="s">
        <v>44714</v>
      </c>
      <c r="V2814" s="1" t="s">
        <v>44715</v>
      </c>
      <c r="W2814" s="1" t="s">
        <v>44716</v>
      </c>
      <c r="X2814" s="1" t="s">
        <v>29631</v>
      </c>
      <c r="Y2814" s="1" t="s">
        <v>74</v>
      </c>
      <c r="Z2814" s="1" t="s">
        <v>44717</v>
      </c>
      <c r="AA2814" s="1" t="s">
        <v>74</v>
      </c>
      <c r="AB2814" s="1" t="s">
        <v>74</v>
      </c>
      <c r="AC2814" s="1" t="s">
        <v>74</v>
      </c>
      <c r="AD2814" s="1" t="s">
        <v>74</v>
      </c>
      <c r="AE2814" s="1" t="s">
        <v>74</v>
      </c>
      <c r="AF2814" s="1" t="s">
        <v>74</v>
      </c>
      <c r="AG2814" s="1">
        <v>92</v>
      </c>
      <c r="AH2814" s="1">
        <v>95</v>
      </c>
      <c r="AI2814" s="1">
        <v>102</v>
      </c>
      <c r="AJ2814" s="1">
        <v>1</v>
      </c>
      <c r="AK2814" s="1">
        <v>16</v>
      </c>
      <c r="AL2814" s="1" t="s">
        <v>86</v>
      </c>
      <c r="AM2814" s="1" t="s">
        <v>87</v>
      </c>
      <c r="AN2814" s="1" t="s">
        <v>88</v>
      </c>
      <c r="AO2814" s="1" t="s">
        <v>1764</v>
      </c>
      <c r="AP2814" s="1" t="s">
        <v>1765</v>
      </c>
      <c r="AQ2814" s="1" t="s">
        <v>74</v>
      </c>
      <c r="AR2814" s="1" t="s">
        <v>1766</v>
      </c>
      <c r="AS2814" s="1" t="s">
        <v>1767</v>
      </c>
      <c r="AT2814" s="1" t="s">
        <v>951</v>
      </c>
      <c r="AU2814" s="1">
        <v>2002</v>
      </c>
      <c r="AV2814" s="1">
        <v>21</v>
      </c>
      <c r="AW2814" s="1">
        <v>11</v>
      </c>
      <c r="AX2814" s="1" t="s">
        <v>74</v>
      </c>
      <c r="AY2814" s="1" t="s">
        <v>74</v>
      </c>
      <c r="AZ2814" s="1" t="s">
        <v>74</v>
      </c>
      <c r="BA2814" s="1" t="s">
        <v>74</v>
      </c>
      <c r="BB2814" s="1">
        <v>2434</v>
      </c>
      <c r="BC2814" s="1">
        <v>2444</v>
      </c>
      <c r="BD2814" s="1" t="s">
        <v>74</v>
      </c>
      <c r="BE2814" s="1" t="s">
        <v>44718</v>
      </c>
      <c r="BF2814" s="1" t="str">
        <f>HYPERLINK("http://dx.doi.org/10.1002/etc.5620211124","http://dx.doi.org/10.1002/etc.5620211124")</f>
        <v>http://dx.doi.org/10.1002/etc.5620211124</v>
      </c>
      <c r="BG2814" s="1" t="s">
        <v>74</v>
      </c>
      <c r="BH2814" s="1" t="s">
        <v>74</v>
      </c>
      <c r="BI2814" s="1">
        <v>11</v>
      </c>
      <c r="BJ2814" s="1" t="s">
        <v>121</v>
      </c>
      <c r="BK2814" s="1" t="s">
        <v>96</v>
      </c>
      <c r="BL2814" s="1" t="s">
        <v>122</v>
      </c>
      <c r="BM2814" s="1" t="s">
        <v>37610</v>
      </c>
      <c r="BN2814" s="1">
        <v>12389924</v>
      </c>
      <c r="BO2814" s="1" t="s">
        <v>74</v>
      </c>
      <c r="BP2814" s="1" t="s">
        <v>74</v>
      </c>
      <c r="BQ2814" s="1" t="s">
        <v>74</v>
      </c>
      <c r="BR2814" s="1" t="s">
        <v>98</v>
      </c>
      <c r="BS2814" s="1" t="s">
        <v>44719</v>
      </c>
      <c r="BT2814" s="1" t="str">
        <f>HYPERLINK("https%3A%2F%2Fwww.webofscience.com%2Fwos%2Fwoscc%2Ffull-record%2FWOS:000178651200024","View Full Record in Web of Science")</f>
        <v>View Full Record in Web of Science</v>
      </c>
      <c r="BU2814" s="1"/>
      <c r="BV2814" s="1"/>
    </row>
    <row r="2815" spans="1:74">
      <c r="A2815" s="1" t="s">
        <v>72</v>
      </c>
      <c r="B2815" s="1" t="s">
        <v>44720</v>
      </c>
      <c r="C2815" s="1" t="s">
        <v>74</v>
      </c>
      <c r="D2815" s="1" t="s">
        <v>74</v>
      </c>
      <c r="E2815" s="1" t="s">
        <v>74</v>
      </c>
      <c r="F2815" s="1" t="s">
        <v>44721</v>
      </c>
      <c r="G2815" s="1" t="s">
        <v>74</v>
      </c>
      <c r="H2815" s="1" t="s">
        <v>74</v>
      </c>
      <c r="I2815" s="1" t="s">
        <v>44722</v>
      </c>
      <c r="J2815" s="1" t="s">
        <v>775</v>
      </c>
      <c r="K2815" s="1" t="s">
        <v>74</v>
      </c>
      <c r="L2815" s="1" t="s">
        <v>74</v>
      </c>
      <c r="M2815" s="1" t="s">
        <v>78</v>
      </c>
      <c r="N2815" s="1" t="s">
        <v>2873</v>
      </c>
      <c r="O2815" s="1" t="s">
        <v>74</v>
      </c>
      <c r="P2815" s="1" t="s">
        <v>74</v>
      </c>
      <c r="Q2815" s="1" t="s">
        <v>74</v>
      </c>
      <c r="R2815" s="1" t="s">
        <v>74</v>
      </c>
      <c r="S2815" s="1" t="s">
        <v>74</v>
      </c>
      <c r="T2815" s="1" t="s">
        <v>44723</v>
      </c>
      <c r="U2815" s="1" t="s">
        <v>44724</v>
      </c>
      <c r="V2815" s="1" t="s">
        <v>44725</v>
      </c>
      <c r="W2815" s="1" t="s">
        <v>44726</v>
      </c>
      <c r="X2815" s="1" t="s">
        <v>3772</v>
      </c>
      <c r="Y2815" s="1" t="s">
        <v>44727</v>
      </c>
      <c r="Z2815" s="1" t="s">
        <v>44728</v>
      </c>
      <c r="AA2815" s="1" t="s">
        <v>44729</v>
      </c>
      <c r="AB2815" s="1" t="s">
        <v>44730</v>
      </c>
      <c r="AC2815" s="1" t="s">
        <v>14228</v>
      </c>
      <c r="AD2815" s="1" t="s">
        <v>44731</v>
      </c>
      <c r="AE2815" s="1" t="s">
        <v>44732</v>
      </c>
      <c r="AF2815" s="1" t="s">
        <v>74</v>
      </c>
      <c r="AG2815" s="1">
        <v>103</v>
      </c>
      <c r="AH2815" s="1">
        <v>0</v>
      </c>
      <c r="AI2815" s="1">
        <v>0</v>
      </c>
      <c r="AJ2815" s="1">
        <v>1</v>
      </c>
      <c r="AK2815" s="1">
        <v>1</v>
      </c>
      <c r="AL2815" s="1" t="s">
        <v>2883</v>
      </c>
      <c r="AM2815" s="1" t="s">
        <v>286</v>
      </c>
      <c r="AN2815" s="1" t="s">
        <v>2884</v>
      </c>
      <c r="AO2815" s="1" t="s">
        <v>791</v>
      </c>
      <c r="AP2815" s="1" t="s">
        <v>2885</v>
      </c>
      <c r="AQ2815" s="1" t="s">
        <v>74</v>
      </c>
      <c r="AR2815" s="1" t="s">
        <v>792</v>
      </c>
      <c r="AS2815" s="1" t="s">
        <v>793</v>
      </c>
      <c r="AT2815" s="1" t="s">
        <v>44733</v>
      </c>
      <c r="AU2815" s="1">
        <v>2024</v>
      </c>
      <c r="AV2815" s="1" t="s">
        <v>74</v>
      </c>
      <c r="AW2815" s="1" t="s">
        <v>74</v>
      </c>
      <c r="AX2815" s="1" t="s">
        <v>74</v>
      </c>
      <c r="AY2815" s="1" t="s">
        <v>74</v>
      </c>
      <c r="AZ2815" s="1" t="s">
        <v>74</v>
      </c>
      <c r="BA2815" s="1" t="s">
        <v>74</v>
      </c>
      <c r="BB2815" s="1" t="s">
        <v>74</v>
      </c>
      <c r="BC2815" s="1" t="s">
        <v>74</v>
      </c>
      <c r="BD2815" s="1" t="s">
        <v>74</v>
      </c>
      <c r="BE2815" s="1" t="s">
        <v>44734</v>
      </c>
      <c r="BF2815" s="1" t="str">
        <f>HYPERLINK("http://dx.doi.org/10.1007/s12011-024-04230-4","http://dx.doi.org/10.1007/s12011-024-04230-4")</f>
        <v>http://dx.doi.org/10.1007/s12011-024-04230-4</v>
      </c>
      <c r="BG2815" s="1" t="s">
        <v>74</v>
      </c>
      <c r="BH2815" s="1" t="s">
        <v>11425</v>
      </c>
      <c r="BI2815" s="1">
        <v>11</v>
      </c>
      <c r="BJ2815" s="1" t="s">
        <v>795</v>
      </c>
      <c r="BK2815" s="1" t="s">
        <v>96</v>
      </c>
      <c r="BL2815" s="1" t="s">
        <v>795</v>
      </c>
      <c r="BM2815" s="1" t="s">
        <v>44735</v>
      </c>
      <c r="BN2815" s="1">
        <v>38743317</v>
      </c>
      <c r="BO2815" s="1" t="s">
        <v>476</v>
      </c>
      <c r="BP2815" s="1" t="s">
        <v>74</v>
      </c>
      <c r="BQ2815" s="1" t="s">
        <v>74</v>
      </c>
      <c r="BR2815" s="1" t="s">
        <v>98</v>
      </c>
      <c r="BS2815" s="1" t="s">
        <v>44736</v>
      </c>
      <c r="BT2815" s="1" t="str">
        <f>HYPERLINK("https%3A%2F%2Fwww.webofscience.com%2Fwos%2Fwoscc%2Ffull-record%2FWOS:001222580800002","View Full Record in Web of Science")</f>
        <v>View Full Record in Web of Science</v>
      </c>
      <c r="BU2815" s="1"/>
      <c r="BV2815" s="1"/>
    </row>
    <row r="2816" spans="1:74">
      <c r="A2816" s="1" t="s">
        <v>72</v>
      </c>
      <c r="B2816" s="1" t="s">
        <v>44737</v>
      </c>
      <c r="C2816" s="1" t="s">
        <v>74</v>
      </c>
      <c r="D2816" s="1" t="s">
        <v>74</v>
      </c>
      <c r="E2816" s="1" t="s">
        <v>74</v>
      </c>
      <c r="F2816" s="1" t="s">
        <v>44738</v>
      </c>
      <c r="G2816" s="1" t="s">
        <v>74</v>
      </c>
      <c r="H2816" s="1" t="s">
        <v>74</v>
      </c>
      <c r="I2816" s="1" t="s">
        <v>44739</v>
      </c>
      <c r="J2816" s="1" t="s">
        <v>1756</v>
      </c>
      <c r="K2816" s="1" t="s">
        <v>74</v>
      </c>
      <c r="L2816" s="1" t="s">
        <v>74</v>
      </c>
      <c r="M2816" s="1" t="s">
        <v>78</v>
      </c>
      <c r="N2816" s="1" t="s">
        <v>79</v>
      </c>
      <c r="O2816" s="1" t="s">
        <v>74</v>
      </c>
      <c r="P2816" s="1" t="s">
        <v>74</v>
      </c>
      <c r="Q2816" s="1" t="s">
        <v>74</v>
      </c>
      <c r="R2816" s="1" t="s">
        <v>74</v>
      </c>
      <c r="S2816" s="1" t="s">
        <v>74</v>
      </c>
      <c r="T2816" s="1" t="s">
        <v>44740</v>
      </c>
      <c r="U2816" s="1" t="s">
        <v>44741</v>
      </c>
      <c r="V2816" s="1" t="s">
        <v>44742</v>
      </c>
      <c r="W2816" s="1" t="s">
        <v>44743</v>
      </c>
      <c r="X2816" s="1" t="s">
        <v>44744</v>
      </c>
      <c r="Y2816" s="1" t="s">
        <v>44745</v>
      </c>
      <c r="Z2816" s="1" t="s">
        <v>44746</v>
      </c>
      <c r="AA2816" s="1" t="s">
        <v>44747</v>
      </c>
      <c r="AB2816" s="1" t="s">
        <v>44748</v>
      </c>
      <c r="AC2816" s="1" t="s">
        <v>44749</v>
      </c>
      <c r="AD2816" s="1" t="s">
        <v>44749</v>
      </c>
      <c r="AE2816" s="1" t="s">
        <v>44750</v>
      </c>
      <c r="AF2816" s="1" t="s">
        <v>74</v>
      </c>
      <c r="AG2816" s="1">
        <v>39</v>
      </c>
      <c r="AH2816" s="1">
        <v>17</v>
      </c>
      <c r="AI2816" s="1">
        <v>23</v>
      </c>
      <c r="AJ2816" s="1">
        <v>3</v>
      </c>
      <c r="AK2816" s="1">
        <v>100</v>
      </c>
      <c r="AL2816" s="1" t="s">
        <v>4153</v>
      </c>
      <c r="AM2816" s="1" t="s">
        <v>87</v>
      </c>
      <c r="AN2816" s="1" t="s">
        <v>88</v>
      </c>
      <c r="AO2816" s="1" t="s">
        <v>1764</v>
      </c>
      <c r="AP2816" s="1" t="s">
        <v>1765</v>
      </c>
      <c r="AQ2816" s="1" t="s">
        <v>74</v>
      </c>
      <c r="AR2816" s="1" t="s">
        <v>1766</v>
      </c>
      <c r="AS2816" s="1" t="s">
        <v>1767</v>
      </c>
      <c r="AT2816" s="1" t="s">
        <v>267</v>
      </c>
      <c r="AU2816" s="1">
        <v>2014</v>
      </c>
      <c r="AV2816" s="1">
        <v>33</v>
      </c>
      <c r="AW2816" s="1">
        <v>10</v>
      </c>
      <c r="AX2816" s="1" t="s">
        <v>74</v>
      </c>
      <c r="AY2816" s="1" t="s">
        <v>74</v>
      </c>
      <c r="AZ2816" s="1" t="s">
        <v>74</v>
      </c>
      <c r="BA2816" s="1" t="s">
        <v>74</v>
      </c>
      <c r="BB2816" s="1">
        <v>2323</v>
      </c>
      <c r="BC2816" s="1">
        <v>2332</v>
      </c>
      <c r="BD2816" s="1" t="s">
        <v>74</v>
      </c>
      <c r="BE2816" s="1" t="s">
        <v>44751</v>
      </c>
      <c r="BF2816" s="1" t="str">
        <f>HYPERLINK("http://dx.doi.org/10.1002/etc.2679","http://dx.doi.org/10.1002/etc.2679")</f>
        <v>http://dx.doi.org/10.1002/etc.2679</v>
      </c>
      <c r="BG2816" s="1" t="s">
        <v>74</v>
      </c>
      <c r="BH2816" s="1" t="s">
        <v>74</v>
      </c>
      <c r="BI2816" s="1">
        <v>10</v>
      </c>
      <c r="BJ2816" s="1" t="s">
        <v>121</v>
      </c>
      <c r="BK2816" s="1" t="s">
        <v>96</v>
      </c>
      <c r="BL2816" s="1" t="s">
        <v>122</v>
      </c>
      <c r="BM2816" s="1" t="s">
        <v>44752</v>
      </c>
      <c r="BN2816" s="1">
        <v>24995545</v>
      </c>
      <c r="BO2816" s="1" t="s">
        <v>74</v>
      </c>
      <c r="BP2816" s="1" t="s">
        <v>74</v>
      </c>
      <c r="BQ2816" s="1" t="s">
        <v>74</v>
      </c>
      <c r="BR2816" s="1" t="s">
        <v>98</v>
      </c>
      <c r="BS2816" s="1" t="s">
        <v>44753</v>
      </c>
      <c r="BT2816" s="1" t="str">
        <f>HYPERLINK("https%3A%2F%2Fwww.webofscience.com%2Fwos%2Fwoscc%2Ffull-record%2FWOS:000342619100019","View Full Record in Web of Science")</f>
        <v>View Full Record in Web of Science</v>
      </c>
      <c r="BU2816" s="1"/>
      <c r="BV2816" s="1"/>
    </row>
    <row r="2817" spans="1:74">
      <c r="A2817" s="1" t="s">
        <v>72</v>
      </c>
      <c r="B2817" s="1" t="s">
        <v>44754</v>
      </c>
      <c r="C2817" s="1" t="s">
        <v>74</v>
      </c>
      <c r="D2817" s="1" t="s">
        <v>74</v>
      </c>
      <c r="E2817" s="1" t="s">
        <v>74</v>
      </c>
      <c r="F2817" s="1" t="s">
        <v>44755</v>
      </c>
      <c r="G2817" s="1" t="s">
        <v>74</v>
      </c>
      <c r="H2817" s="1" t="s">
        <v>74</v>
      </c>
      <c r="I2817" s="1" t="s">
        <v>44756</v>
      </c>
      <c r="J2817" s="1" t="s">
        <v>232</v>
      </c>
      <c r="K2817" s="1" t="s">
        <v>74</v>
      </c>
      <c r="L2817" s="1" t="s">
        <v>74</v>
      </c>
      <c r="M2817" s="1" t="s">
        <v>78</v>
      </c>
      <c r="N2817" s="1" t="s">
        <v>79</v>
      </c>
      <c r="O2817" s="1" t="s">
        <v>74</v>
      </c>
      <c r="P2817" s="1" t="s">
        <v>74</v>
      </c>
      <c r="Q2817" s="1" t="s">
        <v>74</v>
      </c>
      <c r="R2817" s="1" t="s">
        <v>74</v>
      </c>
      <c r="S2817" s="1" t="s">
        <v>74</v>
      </c>
      <c r="T2817" s="1" t="s">
        <v>44757</v>
      </c>
      <c r="U2817" s="1" t="s">
        <v>44758</v>
      </c>
      <c r="V2817" s="1" t="s">
        <v>44759</v>
      </c>
      <c r="W2817" s="1" t="s">
        <v>44760</v>
      </c>
      <c r="X2817" s="1" t="s">
        <v>44761</v>
      </c>
      <c r="Y2817" s="1" t="s">
        <v>44762</v>
      </c>
      <c r="Z2817" s="1" t="s">
        <v>7783</v>
      </c>
      <c r="AA2817" s="1" t="s">
        <v>44763</v>
      </c>
      <c r="AB2817" s="1" t="s">
        <v>44764</v>
      </c>
      <c r="AC2817" s="1" t="s">
        <v>74</v>
      </c>
      <c r="AD2817" s="1" t="s">
        <v>74</v>
      </c>
      <c r="AE2817" s="1" t="s">
        <v>74</v>
      </c>
      <c r="AF2817" s="1" t="s">
        <v>74</v>
      </c>
      <c r="AG2817" s="1">
        <v>59</v>
      </c>
      <c r="AH2817" s="1">
        <v>10</v>
      </c>
      <c r="AI2817" s="1">
        <v>10</v>
      </c>
      <c r="AJ2817" s="1">
        <v>1</v>
      </c>
      <c r="AK2817" s="1">
        <v>22</v>
      </c>
      <c r="AL2817" s="1" t="s">
        <v>136</v>
      </c>
      <c r="AM2817" s="1" t="s">
        <v>137</v>
      </c>
      <c r="AN2817" s="1" t="s">
        <v>138</v>
      </c>
      <c r="AO2817" s="1" t="s">
        <v>240</v>
      </c>
      <c r="AP2817" s="1" t="s">
        <v>241</v>
      </c>
      <c r="AQ2817" s="1" t="s">
        <v>74</v>
      </c>
      <c r="AR2817" s="1" t="s">
        <v>242</v>
      </c>
      <c r="AS2817" s="1" t="s">
        <v>243</v>
      </c>
      <c r="AT2817" s="1" t="s">
        <v>4761</v>
      </c>
      <c r="AU2817" s="1">
        <v>2017</v>
      </c>
      <c r="AV2817" s="1">
        <v>116</v>
      </c>
      <c r="AW2817" s="1" t="s">
        <v>326</v>
      </c>
      <c r="AX2817" s="1" t="s">
        <v>74</v>
      </c>
      <c r="AY2817" s="1" t="s">
        <v>74</v>
      </c>
      <c r="AZ2817" s="1" t="s">
        <v>74</v>
      </c>
      <c r="BA2817" s="1" t="s">
        <v>74</v>
      </c>
      <c r="BB2817" s="1">
        <v>216</v>
      </c>
      <c r="BC2817" s="1">
        <v>225</v>
      </c>
      <c r="BD2817" s="1" t="s">
        <v>74</v>
      </c>
      <c r="BE2817" s="1" t="s">
        <v>44765</v>
      </c>
      <c r="BF2817" s="1" t="str">
        <f>HYPERLINK("http://dx.doi.org/10.1016/j.marpolbul.2016.12.076","http://dx.doi.org/10.1016/j.marpolbul.2016.12.076")</f>
        <v>http://dx.doi.org/10.1016/j.marpolbul.2016.12.076</v>
      </c>
      <c r="BG2817" s="1" t="s">
        <v>74</v>
      </c>
      <c r="BH2817" s="1" t="s">
        <v>74</v>
      </c>
      <c r="BI2817" s="1">
        <v>10</v>
      </c>
      <c r="BJ2817" s="1" t="s">
        <v>247</v>
      </c>
      <c r="BK2817" s="1" t="s">
        <v>96</v>
      </c>
      <c r="BL2817" s="1" t="s">
        <v>248</v>
      </c>
      <c r="BM2817" s="1" t="s">
        <v>15067</v>
      </c>
      <c r="BN2817" s="1">
        <v>28081959</v>
      </c>
      <c r="BO2817" s="1" t="s">
        <v>74</v>
      </c>
      <c r="BP2817" s="1" t="s">
        <v>74</v>
      </c>
      <c r="BQ2817" s="1" t="s">
        <v>74</v>
      </c>
      <c r="BR2817" s="1" t="s">
        <v>98</v>
      </c>
      <c r="BS2817" s="1" t="s">
        <v>44766</v>
      </c>
      <c r="BT2817" s="1" t="str">
        <f>HYPERLINK("https%3A%2F%2Fwww.webofscience.com%2Fwos%2Fwoscc%2Ffull-record%2FWOS:000399507600039","View Full Record in Web of Science")</f>
        <v>View Full Record in Web of Science</v>
      </c>
      <c r="BU2817" s="1"/>
      <c r="BV2817" s="1"/>
    </row>
    <row r="2818" spans="1:74">
      <c r="A2818" s="1" t="s">
        <v>72</v>
      </c>
      <c r="B2818" s="1" t="s">
        <v>44767</v>
      </c>
      <c r="C2818" s="1" t="s">
        <v>74</v>
      </c>
      <c r="D2818" s="1" t="s">
        <v>74</v>
      </c>
      <c r="E2818" s="1" t="s">
        <v>74</v>
      </c>
      <c r="F2818" s="1" t="s">
        <v>44768</v>
      </c>
      <c r="G2818" s="1" t="s">
        <v>74</v>
      </c>
      <c r="H2818" s="1" t="s">
        <v>74</v>
      </c>
      <c r="I2818" s="1" t="s">
        <v>44769</v>
      </c>
      <c r="J2818" s="1" t="s">
        <v>204</v>
      </c>
      <c r="K2818" s="1" t="s">
        <v>74</v>
      </c>
      <c r="L2818" s="1" t="s">
        <v>74</v>
      </c>
      <c r="M2818" s="1" t="s">
        <v>78</v>
      </c>
      <c r="N2818" s="1" t="s">
        <v>151</v>
      </c>
      <c r="O2818" s="1" t="s">
        <v>10606</v>
      </c>
      <c r="P2818" s="1" t="s">
        <v>10607</v>
      </c>
      <c r="Q2818" s="1" t="s">
        <v>10608</v>
      </c>
      <c r="R2818" s="1" t="s">
        <v>74</v>
      </c>
      <c r="S2818" s="1" t="s">
        <v>10609</v>
      </c>
      <c r="T2818" s="1" t="s">
        <v>44770</v>
      </c>
      <c r="U2818" s="1" t="s">
        <v>44771</v>
      </c>
      <c r="V2818" s="1" t="s">
        <v>44772</v>
      </c>
      <c r="W2818" s="1" t="s">
        <v>44773</v>
      </c>
      <c r="X2818" s="1" t="s">
        <v>44774</v>
      </c>
      <c r="Y2818" s="1" t="s">
        <v>44775</v>
      </c>
      <c r="Z2818" s="1" t="s">
        <v>44776</v>
      </c>
      <c r="AA2818" s="1" t="s">
        <v>44777</v>
      </c>
      <c r="AB2818" s="1" t="s">
        <v>44778</v>
      </c>
      <c r="AC2818" s="1" t="s">
        <v>44779</v>
      </c>
      <c r="AD2818" s="1" t="s">
        <v>44780</v>
      </c>
      <c r="AE2818" s="1" t="s">
        <v>44781</v>
      </c>
      <c r="AF2818" s="1" t="s">
        <v>74</v>
      </c>
      <c r="AG2818" s="1">
        <v>71</v>
      </c>
      <c r="AH2818" s="1">
        <v>6</v>
      </c>
      <c r="AI2818" s="1">
        <v>6</v>
      </c>
      <c r="AJ2818" s="1">
        <v>0</v>
      </c>
      <c r="AK2818" s="1">
        <v>8</v>
      </c>
      <c r="AL2818" s="1" t="s">
        <v>217</v>
      </c>
      <c r="AM2818" s="1" t="s">
        <v>218</v>
      </c>
      <c r="AN2818" s="1" t="s">
        <v>219</v>
      </c>
      <c r="AO2818" s="1" t="s">
        <v>220</v>
      </c>
      <c r="AP2818" s="1" t="s">
        <v>221</v>
      </c>
      <c r="AQ2818" s="1" t="s">
        <v>74</v>
      </c>
      <c r="AR2818" s="1" t="s">
        <v>222</v>
      </c>
      <c r="AS2818" s="1" t="s">
        <v>223</v>
      </c>
      <c r="AT2818" s="1" t="s">
        <v>224</v>
      </c>
      <c r="AU2818" s="1">
        <v>2020</v>
      </c>
      <c r="AV2818" s="1">
        <v>27</v>
      </c>
      <c r="AW2818" s="1">
        <v>4</v>
      </c>
      <c r="AX2818" s="1" t="s">
        <v>74</v>
      </c>
      <c r="AY2818" s="1" t="s">
        <v>74</v>
      </c>
      <c r="AZ2818" s="1" t="s">
        <v>74</v>
      </c>
      <c r="BA2818" s="1" t="s">
        <v>74</v>
      </c>
      <c r="BB2818" s="1">
        <v>3584</v>
      </c>
      <c r="BC2818" s="1">
        <v>3599</v>
      </c>
      <c r="BD2818" s="1" t="s">
        <v>74</v>
      </c>
      <c r="BE2818" s="1" t="s">
        <v>44782</v>
      </c>
      <c r="BF2818" s="1" t="str">
        <f>HYPERLINK("http://dx.doi.org/10.1007/s11356-018-3443-7","http://dx.doi.org/10.1007/s11356-018-3443-7")</f>
        <v>http://dx.doi.org/10.1007/s11356-018-3443-7</v>
      </c>
      <c r="BG2818" s="1" t="s">
        <v>74</v>
      </c>
      <c r="BH2818" s="1" t="s">
        <v>74</v>
      </c>
      <c r="BI2818" s="1">
        <v>16</v>
      </c>
      <c r="BJ2818" s="1" t="s">
        <v>144</v>
      </c>
      <c r="BK2818" s="1" t="s">
        <v>172</v>
      </c>
      <c r="BL2818" s="1" t="s">
        <v>145</v>
      </c>
      <c r="BM2818" s="1" t="s">
        <v>10618</v>
      </c>
      <c r="BN2818" s="1">
        <v>30357671</v>
      </c>
      <c r="BO2818" s="1" t="s">
        <v>74</v>
      </c>
      <c r="BP2818" s="1" t="s">
        <v>74</v>
      </c>
      <c r="BQ2818" s="1" t="s">
        <v>74</v>
      </c>
      <c r="BR2818" s="1" t="s">
        <v>98</v>
      </c>
      <c r="BS2818" s="1" t="s">
        <v>44783</v>
      </c>
      <c r="BT2818" s="1" t="str">
        <f>HYPERLINK("https%3A%2F%2Fwww.webofscience.com%2Fwos%2Fwoscc%2Ffull-record%2FWOS:000519703100006","View Full Record in Web of Science")</f>
        <v>View Full Record in Web of Science</v>
      </c>
      <c r="BU2818" s="1"/>
      <c r="BV2818" s="1"/>
    </row>
    <row r="2819" spans="1:74">
      <c r="A2819" s="1" t="s">
        <v>72</v>
      </c>
      <c r="B2819" s="1" t="s">
        <v>44784</v>
      </c>
      <c r="C2819" s="1" t="s">
        <v>74</v>
      </c>
      <c r="D2819" s="1" t="s">
        <v>74</v>
      </c>
      <c r="E2819" s="1" t="s">
        <v>74</v>
      </c>
      <c r="F2819" s="1" t="s">
        <v>44785</v>
      </c>
      <c r="G2819" s="1" t="s">
        <v>74</v>
      </c>
      <c r="H2819" s="1" t="s">
        <v>74</v>
      </c>
      <c r="I2819" s="1" t="s">
        <v>44786</v>
      </c>
      <c r="J2819" s="1" t="s">
        <v>13382</v>
      </c>
      <c r="K2819" s="1" t="s">
        <v>74</v>
      </c>
      <c r="L2819" s="1" t="s">
        <v>74</v>
      </c>
      <c r="M2819" s="1" t="s">
        <v>78</v>
      </c>
      <c r="N2819" s="1" t="s">
        <v>79</v>
      </c>
      <c r="O2819" s="1" t="s">
        <v>74</v>
      </c>
      <c r="P2819" s="1" t="s">
        <v>74</v>
      </c>
      <c r="Q2819" s="1" t="s">
        <v>74</v>
      </c>
      <c r="R2819" s="1" t="s">
        <v>74</v>
      </c>
      <c r="S2819" s="1" t="s">
        <v>74</v>
      </c>
      <c r="T2819" s="1" t="s">
        <v>44787</v>
      </c>
      <c r="U2819" s="1" t="s">
        <v>44788</v>
      </c>
      <c r="V2819" s="1" t="s">
        <v>44789</v>
      </c>
      <c r="W2819" s="1" t="s">
        <v>44790</v>
      </c>
      <c r="X2819" s="1" t="s">
        <v>44791</v>
      </c>
      <c r="Y2819" s="1" t="s">
        <v>44792</v>
      </c>
      <c r="Z2819" s="1" t="s">
        <v>44793</v>
      </c>
      <c r="AA2819" s="1" t="s">
        <v>74</v>
      </c>
      <c r="AB2819" s="1" t="s">
        <v>44794</v>
      </c>
      <c r="AC2819" s="1" t="s">
        <v>44795</v>
      </c>
      <c r="AD2819" s="1" t="s">
        <v>44796</v>
      </c>
      <c r="AE2819" s="1" t="s">
        <v>44797</v>
      </c>
      <c r="AF2819" s="1" t="s">
        <v>74</v>
      </c>
      <c r="AG2819" s="1">
        <v>77</v>
      </c>
      <c r="AH2819" s="1">
        <v>11</v>
      </c>
      <c r="AI2819" s="1">
        <v>12</v>
      </c>
      <c r="AJ2819" s="1">
        <v>0</v>
      </c>
      <c r="AK2819" s="1">
        <v>14</v>
      </c>
      <c r="AL2819" s="1" t="s">
        <v>112</v>
      </c>
      <c r="AM2819" s="1" t="s">
        <v>113</v>
      </c>
      <c r="AN2819" s="1" t="s">
        <v>114</v>
      </c>
      <c r="AO2819" s="1" t="s">
        <v>13393</v>
      </c>
      <c r="AP2819" s="1" t="s">
        <v>13394</v>
      </c>
      <c r="AQ2819" s="1" t="s">
        <v>74</v>
      </c>
      <c r="AR2819" s="1" t="s">
        <v>13395</v>
      </c>
      <c r="AS2819" s="1" t="s">
        <v>13396</v>
      </c>
      <c r="AT2819" s="1" t="s">
        <v>197</v>
      </c>
      <c r="AU2819" s="1">
        <v>2021</v>
      </c>
      <c r="AV2819" s="1">
        <v>33</v>
      </c>
      <c r="AW2819" s="1">
        <v>1</v>
      </c>
      <c r="AX2819" s="1" t="s">
        <v>74</v>
      </c>
      <c r="AY2819" s="1" t="s">
        <v>74</v>
      </c>
      <c r="AZ2819" s="1" t="s">
        <v>74</v>
      </c>
      <c r="BA2819" s="1" t="s">
        <v>74</v>
      </c>
      <c r="BB2819" s="1" t="s">
        <v>74</v>
      </c>
      <c r="BC2819" s="1" t="s">
        <v>74</v>
      </c>
      <c r="BD2819" s="1">
        <v>93</v>
      </c>
      <c r="BE2819" s="1" t="s">
        <v>44798</v>
      </c>
      <c r="BF2819" s="1" t="str">
        <f>HYPERLINK("http://dx.doi.org/10.1186/s12302-021-00530-x","http://dx.doi.org/10.1186/s12302-021-00530-x")</f>
        <v>http://dx.doi.org/10.1186/s12302-021-00530-x</v>
      </c>
      <c r="BG2819" s="1" t="s">
        <v>74</v>
      </c>
      <c r="BH2819" s="1" t="s">
        <v>74</v>
      </c>
      <c r="BI2819" s="1">
        <v>20</v>
      </c>
      <c r="BJ2819" s="1" t="s">
        <v>144</v>
      </c>
      <c r="BK2819" s="1" t="s">
        <v>96</v>
      </c>
      <c r="BL2819" s="1" t="s">
        <v>145</v>
      </c>
      <c r="BM2819" s="1" t="s">
        <v>44799</v>
      </c>
      <c r="BN2819" s="1" t="s">
        <v>74</v>
      </c>
      <c r="BO2819" s="1" t="s">
        <v>873</v>
      </c>
      <c r="BP2819" s="1" t="s">
        <v>74</v>
      </c>
      <c r="BQ2819" s="1" t="s">
        <v>74</v>
      </c>
      <c r="BR2819" s="1" t="s">
        <v>98</v>
      </c>
      <c r="BS2819" s="1" t="s">
        <v>44800</v>
      </c>
      <c r="BT2819" s="1" t="str">
        <f>HYPERLINK("https%3A%2F%2Fwww.webofscience.com%2Fwos%2Fwoscc%2Ffull-record%2FWOS:000686719300002","View Full Record in Web of Science")</f>
        <v>View Full Record in Web of Science</v>
      </c>
      <c r="BU2819" s="1"/>
      <c r="BV2819" s="1"/>
    </row>
    <row r="2820" spans="1:74">
      <c r="A2820" s="1" t="s">
        <v>72</v>
      </c>
      <c r="B2820" s="1" t="s">
        <v>44801</v>
      </c>
      <c r="C2820" s="1" t="s">
        <v>74</v>
      </c>
      <c r="D2820" s="1" t="s">
        <v>74</v>
      </c>
      <c r="E2820" s="1" t="s">
        <v>74</v>
      </c>
      <c r="F2820" s="1" t="s">
        <v>44802</v>
      </c>
      <c r="G2820" s="1" t="s">
        <v>74</v>
      </c>
      <c r="H2820" s="1" t="s">
        <v>74</v>
      </c>
      <c r="I2820" s="1" t="s">
        <v>44803</v>
      </c>
      <c r="J2820" s="1" t="s">
        <v>909</v>
      </c>
      <c r="K2820" s="1" t="s">
        <v>74</v>
      </c>
      <c r="L2820" s="1" t="s">
        <v>74</v>
      </c>
      <c r="M2820" s="1" t="s">
        <v>78</v>
      </c>
      <c r="N2820" s="1" t="s">
        <v>79</v>
      </c>
      <c r="O2820" s="1" t="s">
        <v>74</v>
      </c>
      <c r="P2820" s="1" t="s">
        <v>74</v>
      </c>
      <c r="Q2820" s="1" t="s">
        <v>74</v>
      </c>
      <c r="R2820" s="1" t="s">
        <v>74</v>
      </c>
      <c r="S2820" s="1" t="s">
        <v>74</v>
      </c>
      <c r="T2820" s="1" t="s">
        <v>44804</v>
      </c>
      <c r="U2820" s="1" t="s">
        <v>44805</v>
      </c>
      <c r="V2820" s="1" t="s">
        <v>44806</v>
      </c>
      <c r="W2820" s="1" t="s">
        <v>44807</v>
      </c>
      <c r="X2820" s="1" t="s">
        <v>44808</v>
      </c>
      <c r="Y2820" s="1" t="s">
        <v>44809</v>
      </c>
      <c r="Z2820" s="1" t="s">
        <v>44810</v>
      </c>
      <c r="AA2820" s="1" t="s">
        <v>4408</v>
      </c>
      <c r="AB2820" s="1" t="s">
        <v>44811</v>
      </c>
      <c r="AC2820" s="1" t="s">
        <v>44812</v>
      </c>
      <c r="AD2820" s="1" t="s">
        <v>44813</v>
      </c>
      <c r="AE2820" s="1" t="s">
        <v>44814</v>
      </c>
      <c r="AF2820" s="1" t="s">
        <v>74</v>
      </c>
      <c r="AG2820" s="1">
        <v>95</v>
      </c>
      <c r="AH2820" s="1">
        <v>2</v>
      </c>
      <c r="AI2820" s="1">
        <v>2</v>
      </c>
      <c r="AJ2820" s="1">
        <v>1</v>
      </c>
      <c r="AK2820" s="1">
        <v>25</v>
      </c>
      <c r="AL2820" s="1" t="s">
        <v>650</v>
      </c>
      <c r="AM2820" s="1" t="s">
        <v>651</v>
      </c>
      <c r="AN2820" s="1" t="s">
        <v>652</v>
      </c>
      <c r="AO2820" s="1" t="s">
        <v>921</v>
      </c>
      <c r="AP2820" s="1" t="s">
        <v>922</v>
      </c>
      <c r="AQ2820" s="1" t="s">
        <v>74</v>
      </c>
      <c r="AR2820" s="1" t="s">
        <v>923</v>
      </c>
      <c r="AS2820" s="1" t="s">
        <v>924</v>
      </c>
      <c r="AT2820" s="1" t="s">
        <v>8761</v>
      </c>
      <c r="AU2820" s="1">
        <v>2019</v>
      </c>
      <c r="AV2820" s="1">
        <v>692</v>
      </c>
      <c r="AW2820" s="1" t="s">
        <v>74</v>
      </c>
      <c r="AX2820" s="1" t="s">
        <v>74</v>
      </c>
      <c r="AY2820" s="1" t="s">
        <v>74</v>
      </c>
      <c r="AZ2820" s="1" t="s">
        <v>74</v>
      </c>
      <c r="BA2820" s="1" t="s">
        <v>74</v>
      </c>
      <c r="BB2820" s="1">
        <v>319</v>
      </c>
      <c r="BC2820" s="1">
        <v>332</v>
      </c>
      <c r="BD2820" s="1" t="s">
        <v>74</v>
      </c>
      <c r="BE2820" s="1" t="s">
        <v>44815</v>
      </c>
      <c r="BF2820" s="1" t="str">
        <f>HYPERLINK("http://dx.doi.org/10.1016/j.scitotenv.2019.07.258","http://dx.doi.org/10.1016/j.scitotenv.2019.07.258")</f>
        <v>http://dx.doi.org/10.1016/j.scitotenv.2019.07.258</v>
      </c>
      <c r="BG2820" s="1" t="s">
        <v>74</v>
      </c>
      <c r="BH2820" s="1" t="s">
        <v>74</v>
      </c>
      <c r="BI2820" s="1">
        <v>14</v>
      </c>
      <c r="BJ2820" s="1" t="s">
        <v>144</v>
      </c>
      <c r="BK2820" s="1" t="s">
        <v>96</v>
      </c>
      <c r="BL2820" s="1" t="s">
        <v>145</v>
      </c>
      <c r="BM2820" s="1" t="s">
        <v>44816</v>
      </c>
      <c r="BN2820" s="1">
        <v>31349171</v>
      </c>
      <c r="BO2820" s="1" t="s">
        <v>9930</v>
      </c>
      <c r="BP2820" s="1" t="s">
        <v>74</v>
      </c>
      <c r="BQ2820" s="1" t="s">
        <v>74</v>
      </c>
      <c r="BR2820" s="1" t="s">
        <v>98</v>
      </c>
      <c r="BS2820" s="1" t="s">
        <v>44817</v>
      </c>
      <c r="BT2820" s="1" t="str">
        <f>HYPERLINK("https%3A%2F%2Fwww.webofscience.com%2Fwos%2Fwoscc%2Ffull-record%2FWOS:000484994700032","View Full Record in Web of Science")</f>
        <v>View Full Record in Web of Science</v>
      </c>
      <c r="BU2820" s="1"/>
      <c r="BV2820" s="1"/>
    </row>
    <row r="2821" spans="1:74">
      <c r="A2821" s="1" t="s">
        <v>72</v>
      </c>
      <c r="B2821" s="1" t="s">
        <v>44818</v>
      </c>
      <c r="C2821" s="1" t="s">
        <v>74</v>
      </c>
      <c r="D2821" s="1" t="s">
        <v>74</v>
      </c>
      <c r="E2821" s="1" t="s">
        <v>74</v>
      </c>
      <c r="F2821" s="1" t="s">
        <v>44819</v>
      </c>
      <c r="G2821" s="1" t="s">
        <v>74</v>
      </c>
      <c r="H2821" s="1" t="s">
        <v>74</v>
      </c>
      <c r="I2821" s="1" t="s">
        <v>44820</v>
      </c>
      <c r="J2821" s="1" t="s">
        <v>1275</v>
      </c>
      <c r="K2821" s="1" t="s">
        <v>74</v>
      </c>
      <c r="L2821" s="1" t="s">
        <v>74</v>
      </c>
      <c r="M2821" s="1" t="s">
        <v>78</v>
      </c>
      <c r="N2821" s="1" t="s">
        <v>79</v>
      </c>
      <c r="O2821" s="1" t="s">
        <v>74</v>
      </c>
      <c r="P2821" s="1" t="s">
        <v>74</v>
      </c>
      <c r="Q2821" s="1" t="s">
        <v>74</v>
      </c>
      <c r="R2821" s="1" t="s">
        <v>74</v>
      </c>
      <c r="S2821" s="1" t="s">
        <v>74</v>
      </c>
      <c r="T2821" s="1" t="s">
        <v>44821</v>
      </c>
      <c r="U2821" s="1" t="s">
        <v>44822</v>
      </c>
      <c r="V2821" s="1" t="s">
        <v>44823</v>
      </c>
      <c r="W2821" s="1" t="s">
        <v>44824</v>
      </c>
      <c r="X2821" s="1" t="s">
        <v>44825</v>
      </c>
      <c r="Y2821" s="1" t="s">
        <v>44826</v>
      </c>
      <c r="Z2821" s="1" t="s">
        <v>44827</v>
      </c>
      <c r="AA2821" s="1" t="s">
        <v>74</v>
      </c>
      <c r="AB2821" s="1" t="s">
        <v>44828</v>
      </c>
      <c r="AC2821" s="1" t="s">
        <v>74</v>
      </c>
      <c r="AD2821" s="1" t="s">
        <v>74</v>
      </c>
      <c r="AE2821" s="1" t="s">
        <v>74</v>
      </c>
      <c r="AF2821" s="1" t="s">
        <v>74</v>
      </c>
      <c r="AG2821" s="1">
        <v>62</v>
      </c>
      <c r="AH2821" s="1">
        <v>0</v>
      </c>
      <c r="AI2821" s="1">
        <v>0</v>
      </c>
      <c r="AJ2821" s="1">
        <v>2</v>
      </c>
      <c r="AK2821" s="1">
        <v>5</v>
      </c>
      <c r="AL2821" s="1" t="s">
        <v>650</v>
      </c>
      <c r="AM2821" s="1" t="s">
        <v>651</v>
      </c>
      <c r="AN2821" s="1" t="s">
        <v>652</v>
      </c>
      <c r="AO2821" s="1" t="s">
        <v>1287</v>
      </c>
      <c r="AP2821" s="1" t="s">
        <v>74</v>
      </c>
      <c r="AQ2821" s="1" t="s">
        <v>74</v>
      </c>
      <c r="AR2821" s="1" t="s">
        <v>1288</v>
      </c>
      <c r="AS2821" s="1" t="s">
        <v>1289</v>
      </c>
      <c r="AT2821" s="1" t="s">
        <v>5609</v>
      </c>
      <c r="AU2821" s="1">
        <v>2023</v>
      </c>
      <c r="AV2821" s="1">
        <v>67</v>
      </c>
      <c r="AW2821" s="1" t="s">
        <v>74</v>
      </c>
      <c r="AX2821" s="1" t="s">
        <v>74</v>
      </c>
      <c r="AY2821" s="1" t="s">
        <v>74</v>
      </c>
      <c r="AZ2821" s="1" t="s">
        <v>74</v>
      </c>
      <c r="BA2821" s="1" t="s">
        <v>74</v>
      </c>
      <c r="BB2821" s="1" t="s">
        <v>74</v>
      </c>
      <c r="BC2821" s="1" t="s">
        <v>74</v>
      </c>
      <c r="BD2821" s="1">
        <v>103201</v>
      </c>
      <c r="BE2821" s="1" t="s">
        <v>44829</v>
      </c>
      <c r="BF2821" s="1" t="str">
        <f>HYPERLINK("http://dx.doi.org/10.1016/j.rsma.2023.103201","http://dx.doi.org/10.1016/j.rsma.2023.103201")</f>
        <v>http://dx.doi.org/10.1016/j.rsma.2023.103201</v>
      </c>
      <c r="BG2821" s="1" t="s">
        <v>74</v>
      </c>
      <c r="BH2821" s="1" t="s">
        <v>2000</v>
      </c>
      <c r="BI2821" s="1">
        <v>15</v>
      </c>
      <c r="BJ2821" s="1" t="s">
        <v>1292</v>
      </c>
      <c r="BK2821" s="1" t="s">
        <v>96</v>
      </c>
      <c r="BL2821" s="1" t="s">
        <v>248</v>
      </c>
      <c r="BM2821" s="1" t="s">
        <v>44830</v>
      </c>
      <c r="BN2821" s="1" t="s">
        <v>74</v>
      </c>
      <c r="BO2821" s="1" t="s">
        <v>74</v>
      </c>
      <c r="BP2821" s="1" t="s">
        <v>74</v>
      </c>
      <c r="BQ2821" s="1" t="s">
        <v>74</v>
      </c>
      <c r="BR2821" s="1" t="s">
        <v>98</v>
      </c>
      <c r="BS2821" s="1" t="s">
        <v>44831</v>
      </c>
      <c r="BT2821" s="1" t="str">
        <f>HYPERLINK("https%3A%2F%2Fwww.webofscience.com%2Fwos%2Fwoscc%2Ffull-record%2FWOS:001084125600001","View Full Record in Web of Science")</f>
        <v>View Full Record in Web of Science</v>
      </c>
      <c r="BU2821" s="1"/>
      <c r="BV2821" s="1"/>
    </row>
    <row r="2822" spans="1:74">
      <c r="A2822" s="1" t="s">
        <v>72</v>
      </c>
      <c r="B2822" s="1" t="s">
        <v>44832</v>
      </c>
      <c r="C2822" s="1" t="s">
        <v>74</v>
      </c>
      <c r="D2822" s="1" t="s">
        <v>74</v>
      </c>
      <c r="E2822" s="1" t="s">
        <v>74</v>
      </c>
      <c r="F2822" s="1" t="s">
        <v>44833</v>
      </c>
      <c r="G2822" s="1" t="s">
        <v>74</v>
      </c>
      <c r="H2822" s="1" t="s">
        <v>74</v>
      </c>
      <c r="I2822" s="1" t="s">
        <v>44834</v>
      </c>
      <c r="J2822" s="1" t="s">
        <v>232</v>
      </c>
      <c r="K2822" s="1" t="s">
        <v>74</v>
      </c>
      <c r="L2822" s="1" t="s">
        <v>74</v>
      </c>
      <c r="M2822" s="1" t="s">
        <v>78</v>
      </c>
      <c r="N2822" s="1" t="s">
        <v>79</v>
      </c>
      <c r="O2822" s="1" t="s">
        <v>74</v>
      </c>
      <c r="P2822" s="1" t="s">
        <v>74</v>
      </c>
      <c r="Q2822" s="1" t="s">
        <v>74</v>
      </c>
      <c r="R2822" s="1" t="s">
        <v>74</v>
      </c>
      <c r="S2822" s="1" t="s">
        <v>74</v>
      </c>
      <c r="T2822" s="1" t="s">
        <v>44835</v>
      </c>
      <c r="U2822" s="1" t="s">
        <v>44836</v>
      </c>
      <c r="V2822" s="1" t="s">
        <v>44837</v>
      </c>
      <c r="W2822" s="1" t="s">
        <v>44838</v>
      </c>
      <c r="X2822" s="1" t="s">
        <v>44839</v>
      </c>
      <c r="Y2822" s="1" t="s">
        <v>44840</v>
      </c>
      <c r="Z2822" s="1" t="s">
        <v>44841</v>
      </c>
      <c r="AA2822" s="1" t="s">
        <v>44842</v>
      </c>
      <c r="AB2822" s="1" t="s">
        <v>44843</v>
      </c>
      <c r="AC2822" s="1" t="s">
        <v>74</v>
      </c>
      <c r="AD2822" s="1" t="s">
        <v>74</v>
      </c>
      <c r="AE2822" s="1" t="s">
        <v>74</v>
      </c>
      <c r="AF2822" s="1" t="s">
        <v>74</v>
      </c>
      <c r="AG2822" s="1">
        <v>84</v>
      </c>
      <c r="AH2822" s="1">
        <v>1</v>
      </c>
      <c r="AI2822" s="1">
        <v>1</v>
      </c>
      <c r="AJ2822" s="1">
        <v>3</v>
      </c>
      <c r="AK2822" s="1">
        <v>7</v>
      </c>
      <c r="AL2822" s="1" t="s">
        <v>136</v>
      </c>
      <c r="AM2822" s="1" t="s">
        <v>137</v>
      </c>
      <c r="AN2822" s="1" t="s">
        <v>138</v>
      </c>
      <c r="AO2822" s="1" t="s">
        <v>240</v>
      </c>
      <c r="AP2822" s="1" t="s">
        <v>241</v>
      </c>
      <c r="AQ2822" s="1" t="s">
        <v>74</v>
      </c>
      <c r="AR2822" s="1" t="s">
        <v>242</v>
      </c>
      <c r="AS2822" s="1" t="s">
        <v>243</v>
      </c>
      <c r="AT2822" s="1" t="s">
        <v>224</v>
      </c>
      <c r="AU2822" s="1">
        <v>2024</v>
      </c>
      <c r="AV2822" s="1">
        <v>199</v>
      </c>
      <c r="AW2822" s="1" t="s">
        <v>74</v>
      </c>
      <c r="AX2822" s="1" t="s">
        <v>74</v>
      </c>
      <c r="AY2822" s="1" t="s">
        <v>74</v>
      </c>
      <c r="AZ2822" s="1" t="s">
        <v>74</v>
      </c>
      <c r="BA2822" s="1" t="s">
        <v>74</v>
      </c>
      <c r="BB2822" s="1" t="s">
        <v>74</v>
      </c>
      <c r="BC2822" s="1" t="s">
        <v>74</v>
      </c>
      <c r="BD2822" s="1">
        <v>115900</v>
      </c>
      <c r="BE2822" s="1" t="s">
        <v>44844</v>
      </c>
      <c r="BF2822" s="1" t="str">
        <f>HYPERLINK("http://dx.doi.org/10.1016/j.marpolbul.2023.115900","http://dx.doi.org/10.1016/j.marpolbul.2023.115900")</f>
        <v>http://dx.doi.org/10.1016/j.marpolbul.2023.115900</v>
      </c>
      <c r="BG2822" s="1" t="s">
        <v>74</v>
      </c>
      <c r="BH2822" s="1" t="s">
        <v>3832</v>
      </c>
      <c r="BI2822" s="1">
        <v>10</v>
      </c>
      <c r="BJ2822" s="1" t="s">
        <v>247</v>
      </c>
      <c r="BK2822" s="1" t="s">
        <v>96</v>
      </c>
      <c r="BL2822" s="1" t="s">
        <v>248</v>
      </c>
      <c r="BM2822" s="1" t="s">
        <v>44845</v>
      </c>
      <c r="BN2822" s="1">
        <v>38154173</v>
      </c>
      <c r="BO2822" s="1" t="s">
        <v>74</v>
      </c>
      <c r="BP2822" s="1" t="s">
        <v>74</v>
      </c>
      <c r="BQ2822" s="1" t="s">
        <v>74</v>
      </c>
      <c r="BR2822" s="1" t="s">
        <v>98</v>
      </c>
      <c r="BS2822" s="1" t="s">
        <v>44846</v>
      </c>
      <c r="BT2822" s="1" t="str">
        <f>HYPERLINK("https%3A%2F%2Fwww.webofscience.com%2Fwos%2Fwoscc%2Ffull-record%2FWOS:001150124300001","View Full Record in Web of Science")</f>
        <v>View Full Record in Web of Science</v>
      </c>
      <c r="BU2822" s="1"/>
      <c r="BV2822" s="1"/>
    </row>
    <row r="2823" spans="1:74">
      <c r="A2823" s="1" t="s">
        <v>72</v>
      </c>
      <c r="B2823" s="1" t="s">
        <v>44847</v>
      </c>
      <c r="C2823" s="1" t="s">
        <v>74</v>
      </c>
      <c r="D2823" s="1" t="s">
        <v>74</v>
      </c>
      <c r="E2823" s="1" t="s">
        <v>74</v>
      </c>
      <c r="F2823" s="1" t="s">
        <v>44847</v>
      </c>
      <c r="G2823" s="1" t="s">
        <v>74</v>
      </c>
      <c r="H2823" s="1" t="s">
        <v>74</v>
      </c>
      <c r="I2823" s="1" t="s">
        <v>44848</v>
      </c>
      <c r="J2823" s="1" t="s">
        <v>127</v>
      </c>
      <c r="K2823" s="1" t="s">
        <v>74</v>
      </c>
      <c r="L2823" s="1" t="s">
        <v>74</v>
      </c>
      <c r="M2823" s="1" t="s">
        <v>78</v>
      </c>
      <c r="N2823" s="1" t="s">
        <v>79</v>
      </c>
      <c r="O2823" s="1" t="s">
        <v>74</v>
      </c>
      <c r="P2823" s="1" t="s">
        <v>74</v>
      </c>
      <c r="Q2823" s="1" t="s">
        <v>74</v>
      </c>
      <c r="R2823" s="1" t="s">
        <v>74</v>
      </c>
      <c r="S2823" s="1" t="s">
        <v>74</v>
      </c>
      <c r="T2823" s="1" t="s">
        <v>44849</v>
      </c>
      <c r="U2823" s="1" t="s">
        <v>44850</v>
      </c>
      <c r="V2823" s="1" t="s">
        <v>44851</v>
      </c>
      <c r="W2823" s="1" t="s">
        <v>44852</v>
      </c>
      <c r="X2823" s="1" t="s">
        <v>44853</v>
      </c>
      <c r="Y2823" s="1" t="s">
        <v>44854</v>
      </c>
      <c r="Z2823" s="1" t="s">
        <v>44855</v>
      </c>
      <c r="AA2823" s="1" t="s">
        <v>44856</v>
      </c>
      <c r="AB2823" s="1" t="s">
        <v>44857</v>
      </c>
      <c r="AC2823" s="1" t="s">
        <v>74</v>
      </c>
      <c r="AD2823" s="1" t="s">
        <v>74</v>
      </c>
      <c r="AE2823" s="1" t="s">
        <v>74</v>
      </c>
      <c r="AF2823" s="1" t="s">
        <v>74</v>
      </c>
      <c r="AG2823" s="1">
        <v>38</v>
      </c>
      <c r="AH2823" s="1">
        <v>28</v>
      </c>
      <c r="AI2823" s="1">
        <v>30</v>
      </c>
      <c r="AJ2823" s="1">
        <v>0</v>
      </c>
      <c r="AK2823" s="1">
        <v>16</v>
      </c>
      <c r="AL2823" s="1" t="s">
        <v>136</v>
      </c>
      <c r="AM2823" s="1" t="s">
        <v>137</v>
      </c>
      <c r="AN2823" s="1" t="s">
        <v>138</v>
      </c>
      <c r="AO2823" s="1" t="s">
        <v>139</v>
      </c>
      <c r="AP2823" s="1" t="s">
        <v>140</v>
      </c>
      <c r="AQ2823" s="1" t="s">
        <v>74</v>
      </c>
      <c r="AR2823" s="1" t="s">
        <v>127</v>
      </c>
      <c r="AS2823" s="1" t="s">
        <v>141</v>
      </c>
      <c r="AT2823" s="1" t="s">
        <v>170</v>
      </c>
      <c r="AU2823" s="1">
        <v>2002</v>
      </c>
      <c r="AV2823" s="1">
        <v>47</v>
      </c>
      <c r="AW2823" s="1">
        <v>5</v>
      </c>
      <c r="AX2823" s="1" t="s">
        <v>74</v>
      </c>
      <c r="AY2823" s="1" t="s">
        <v>74</v>
      </c>
      <c r="AZ2823" s="1" t="s">
        <v>74</v>
      </c>
      <c r="BA2823" s="1" t="s">
        <v>74</v>
      </c>
      <c r="BB2823" s="1">
        <v>475</v>
      </c>
      <c r="BC2823" s="1">
        <v>484</v>
      </c>
      <c r="BD2823" s="1" t="s">
        <v>44858</v>
      </c>
      <c r="BE2823" s="1" t="s">
        <v>44859</v>
      </c>
      <c r="BF2823" s="1" t="str">
        <f>HYPERLINK("http://dx.doi.org/10.1016/S0045-6535(02)00002-4","http://dx.doi.org/10.1016/S0045-6535(02)00002-4")</f>
        <v>http://dx.doi.org/10.1016/S0045-6535(02)00002-4</v>
      </c>
      <c r="BG2823" s="1" t="s">
        <v>74</v>
      </c>
      <c r="BH2823" s="1" t="s">
        <v>74</v>
      </c>
      <c r="BI2823" s="1">
        <v>10</v>
      </c>
      <c r="BJ2823" s="1" t="s">
        <v>144</v>
      </c>
      <c r="BK2823" s="1" t="s">
        <v>96</v>
      </c>
      <c r="BL2823" s="1" t="s">
        <v>145</v>
      </c>
      <c r="BM2823" s="1" t="s">
        <v>33510</v>
      </c>
      <c r="BN2823" s="1">
        <v>11996123</v>
      </c>
      <c r="BO2823" s="1" t="s">
        <v>74</v>
      </c>
      <c r="BP2823" s="1" t="s">
        <v>74</v>
      </c>
      <c r="BQ2823" s="1" t="s">
        <v>74</v>
      </c>
      <c r="BR2823" s="1" t="s">
        <v>98</v>
      </c>
      <c r="BS2823" s="1" t="s">
        <v>44860</v>
      </c>
      <c r="BT2823" s="1" t="str">
        <f>HYPERLINK("https%3A%2F%2Fwww.webofscience.com%2Fwos%2Fwoscc%2Ffull-record%2FWOS:000175339500002","View Full Record in Web of Science")</f>
        <v>View Full Record in Web of Science</v>
      </c>
      <c r="BU2823" s="1"/>
      <c r="BV2823" s="1"/>
    </row>
    <row r="2824" spans="1:74">
      <c r="A2824" s="1" t="s">
        <v>72</v>
      </c>
      <c r="B2824" s="1" t="s">
        <v>44861</v>
      </c>
      <c r="C2824" s="1" t="s">
        <v>74</v>
      </c>
      <c r="D2824" s="1" t="s">
        <v>74</v>
      </c>
      <c r="E2824" s="1" t="s">
        <v>74</v>
      </c>
      <c r="F2824" s="1" t="s">
        <v>44862</v>
      </c>
      <c r="G2824" s="1" t="s">
        <v>74</v>
      </c>
      <c r="H2824" s="1" t="s">
        <v>74</v>
      </c>
      <c r="I2824" s="1" t="s">
        <v>44863</v>
      </c>
      <c r="J2824" s="1" t="s">
        <v>204</v>
      </c>
      <c r="K2824" s="1" t="s">
        <v>74</v>
      </c>
      <c r="L2824" s="1" t="s">
        <v>74</v>
      </c>
      <c r="M2824" s="1" t="s">
        <v>78</v>
      </c>
      <c r="N2824" s="1" t="s">
        <v>79</v>
      </c>
      <c r="O2824" s="1" t="s">
        <v>74</v>
      </c>
      <c r="P2824" s="1" t="s">
        <v>74</v>
      </c>
      <c r="Q2824" s="1" t="s">
        <v>74</v>
      </c>
      <c r="R2824" s="1" t="s">
        <v>74</v>
      </c>
      <c r="S2824" s="1" t="s">
        <v>74</v>
      </c>
      <c r="T2824" s="1" t="s">
        <v>44864</v>
      </c>
      <c r="U2824" s="1" t="s">
        <v>44865</v>
      </c>
      <c r="V2824" s="1" t="s">
        <v>44866</v>
      </c>
      <c r="W2824" s="1" t="s">
        <v>44867</v>
      </c>
      <c r="X2824" s="1" t="s">
        <v>44868</v>
      </c>
      <c r="Y2824" s="1" t="s">
        <v>44869</v>
      </c>
      <c r="Z2824" s="1" t="s">
        <v>44870</v>
      </c>
      <c r="AA2824" s="1" t="s">
        <v>44871</v>
      </c>
      <c r="AB2824" s="1" t="s">
        <v>44872</v>
      </c>
      <c r="AC2824" s="1" t="s">
        <v>44873</v>
      </c>
      <c r="AD2824" s="1" t="s">
        <v>44873</v>
      </c>
      <c r="AE2824" s="1" t="s">
        <v>44874</v>
      </c>
      <c r="AF2824" s="1" t="s">
        <v>74</v>
      </c>
      <c r="AG2824" s="1">
        <v>64</v>
      </c>
      <c r="AH2824" s="1">
        <v>3</v>
      </c>
      <c r="AI2824" s="1">
        <v>3</v>
      </c>
      <c r="AJ2824" s="1">
        <v>1</v>
      </c>
      <c r="AK2824" s="1">
        <v>14</v>
      </c>
      <c r="AL2824" s="1" t="s">
        <v>217</v>
      </c>
      <c r="AM2824" s="1" t="s">
        <v>218</v>
      </c>
      <c r="AN2824" s="1" t="s">
        <v>219</v>
      </c>
      <c r="AO2824" s="1" t="s">
        <v>220</v>
      </c>
      <c r="AP2824" s="1" t="s">
        <v>221</v>
      </c>
      <c r="AQ2824" s="1" t="s">
        <v>74</v>
      </c>
      <c r="AR2824" s="1" t="s">
        <v>222</v>
      </c>
      <c r="AS2824" s="1" t="s">
        <v>223</v>
      </c>
      <c r="AT2824" s="1" t="s">
        <v>224</v>
      </c>
      <c r="AU2824" s="1">
        <v>2021</v>
      </c>
      <c r="AV2824" s="1">
        <v>28</v>
      </c>
      <c r="AW2824" s="1">
        <v>5</v>
      </c>
      <c r="AX2824" s="1" t="s">
        <v>74</v>
      </c>
      <c r="AY2824" s="1" t="s">
        <v>74</v>
      </c>
      <c r="AZ2824" s="1" t="s">
        <v>74</v>
      </c>
      <c r="BA2824" s="1" t="s">
        <v>74</v>
      </c>
      <c r="BB2824" s="1">
        <v>5283</v>
      </c>
      <c r="BC2824" s="1">
        <v>5295</v>
      </c>
      <c r="BD2824" s="1" t="s">
        <v>74</v>
      </c>
      <c r="BE2824" s="1" t="s">
        <v>44875</v>
      </c>
      <c r="BF2824" s="1" t="str">
        <f>HYPERLINK("http://dx.doi.org/10.1007/s11356-020-10836-7","http://dx.doi.org/10.1007/s11356-020-10836-7")</f>
        <v>http://dx.doi.org/10.1007/s11356-020-10836-7</v>
      </c>
      <c r="BG2824" s="1" t="s">
        <v>74</v>
      </c>
      <c r="BH2824" s="1" t="s">
        <v>11230</v>
      </c>
      <c r="BI2824" s="1">
        <v>13</v>
      </c>
      <c r="BJ2824" s="1" t="s">
        <v>144</v>
      </c>
      <c r="BK2824" s="1" t="s">
        <v>96</v>
      </c>
      <c r="BL2824" s="1" t="s">
        <v>145</v>
      </c>
      <c r="BM2824" s="1" t="s">
        <v>44876</v>
      </c>
      <c r="BN2824" s="1">
        <v>32960446</v>
      </c>
      <c r="BO2824" s="1" t="s">
        <v>74</v>
      </c>
      <c r="BP2824" s="1" t="s">
        <v>74</v>
      </c>
      <c r="BQ2824" s="1" t="s">
        <v>74</v>
      </c>
      <c r="BR2824" s="1" t="s">
        <v>98</v>
      </c>
      <c r="BS2824" s="1" t="s">
        <v>44877</v>
      </c>
      <c r="BT2824" s="1" t="str">
        <f>HYPERLINK("https%3A%2F%2Fwww.webofscience.com%2Fwos%2Fwoscc%2Ffull-record%2FWOS:000572020700005","View Full Record in Web of Science")</f>
        <v>View Full Record in Web of Science</v>
      </c>
      <c r="BU2824" s="1"/>
      <c r="BV2824" s="1"/>
    </row>
    <row r="2825" spans="1:74">
      <c r="A2825" s="1" t="s">
        <v>72</v>
      </c>
      <c r="B2825" s="1" t="s">
        <v>44878</v>
      </c>
      <c r="C2825" s="1" t="s">
        <v>74</v>
      </c>
      <c r="D2825" s="1" t="s">
        <v>74</v>
      </c>
      <c r="E2825" s="1" t="s">
        <v>74</v>
      </c>
      <c r="F2825" s="1" t="s">
        <v>44878</v>
      </c>
      <c r="G2825" s="1" t="s">
        <v>74</v>
      </c>
      <c r="H2825" s="1" t="s">
        <v>74</v>
      </c>
      <c r="I2825" s="1" t="s">
        <v>44879</v>
      </c>
      <c r="J2825" s="1" t="s">
        <v>752</v>
      </c>
      <c r="K2825" s="1" t="s">
        <v>74</v>
      </c>
      <c r="L2825" s="1" t="s">
        <v>74</v>
      </c>
      <c r="M2825" s="1" t="s">
        <v>78</v>
      </c>
      <c r="N2825" s="1" t="s">
        <v>151</v>
      </c>
      <c r="O2825" s="1" t="s">
        <v>16463</v>
      </c>
      <c r="P2825" s="1" t="s">
        <v>16464</v>
      </c>
      <c r="Q2825" s="1" t="s">
        <v>16465</v>
      </c>
      <c r="R2825" s="1" t="s">
        <v>74</v>
      </c>
      <c r="S2825" s="1" t="s">
        <v>74</v>
      </c>
      <c r="T2825" s="1" t="s">
        <v>74</v>
      </c>
      <c r="U2825" s="1" t="s">
        <v>44880</v>
      </c>
      <c r="V2825" s="1" t="s">
        <v>44881</v>
      </c>
      <c r="W2825" s="1" t="s">
        <v>44882</v>
      </c>
      <c r="X2825" s="1" t="s">
        <v>44883</v>
      </c>
      <c r="Y2825" s="1" t="s">
        <v>44884</v>
      </c>
      <c r="Z2825" s="1" t="s">
        <v>74</v>
      </c>
      <c r="AA2825" s="1" t="s">
        <v>74</v>
      </c>
      <c r="AB2825" s="1" t="s">
        <v>74</v>
      </c>
      <c r="AC2825" s="1" t="s">
        <v>74</v>
      </c>
      <c r="AD2825" s="1" t="s">
        <v>74</v>
      </c>
      <c r="AE2825" s="1" t="s">
        <v>74</v>
      </c>
      <c r="AF2825" s="1" t="s">
        <v>74</v>
      </c>
      <c r="AG2825" s="1">
        <v>8</v>
      </c>
      <c r="AH2825" s="1">
        <v>5</v>
      </c>
      <c r="AI2825" s="1">
        <v>6</v>
      </c>
      <c r="AJ2825" s="1">
        <v>0</v>
      </c>
      <c r="AK2825" s="1">
        <v>6</v>
      </c>
      <c r="AL2825" s="1" t="s">
        <v>430</v>
      </c>
      <c r="AM2825" s="1" t="s">
        <v>137</v>
      </c>
      <c r="AN2825" s="1" t="s">
        <v>431</v>
      </c>
      <c r="AO2825" s="1" t="s">
        <v>761</v>
      </c>
      <c r="AP2825" s="1" t="s">
        <v>74</v>
      </c>
      <c r="AQ2825" s="1" t="s">
        <v>74</v>
      </c>
      <c r="AR2825" s="1" t="s">
        <v>763</v>
      </c>
      <c r="AS2825" s="1" t="s">
        <v>764</v>
      </c>
      <c r="AT2825" s="1" t="s">
        <v>5113</v>
      </c>
      <c r="AU2825" s="1">
        <v>1998</v>
      </c>
      <c r="AV2825" s="1">
        <v>46</v>
      </c>
      <c r="AW2825" s="1" t="s">
        <v>9558</v>
      </c>
      <c r="AX2825" s="1" t="s">
        <v>74</v>
      </c>
      <c r="AY2825" s="1" t="s">
        <v>74</v>
      </c>
      <c r="AZ2825" s="1" t="s">
        <v>74</v>
      </c>
      <c r="BA2825" s="1" t="s">
        <v>74</v>
      </c>
      <c r="BB2825" s="1">
        <v>425</v>
      </c>
      <c r="BC2825" s="1">
        <v>428</v>
      </c>
      <c r="BD2825" s="1" t="s">
        <v>74</v>
      </c>
      <c r="BE2825" s="1" t="s">
        <v>44885</v>
      </c>
      <c r="BF2825" s="1" t="str">
        <f>HYPERLINK("http://dx.doi.org/10.1016/S0141-1136(97)00076-7","http://dx.doi.org/10.1016/S0141-1136(97)00076-7")</f>
        <v>http://dx.doi.org/10.1016/S0141-1136(97)00076-7</v>
      </c>
      <c r="BG2825" s="1" t="s">
        <v>74</v>
      </c>
      <c r="BH2825" s="1" t="s">
        <v>74</v>
      </c>
      <c r="BI2825" s="1">
        <v>4</v>
      </c>
      <c r="BJ2825" s="1" t="s">
        <v>768</v>
      </c>
      <c r="BK2825" s="1" t="s">
        <v>588</v>
      </c>
      <c r="BL2825" s="1" t="s">
        <v>769</v>
      </c>
      <c r="BM2825" s="1" t="s">
        <v>16472</v>
      </c>
      <c r="BN2825" s="1" t="s">
        <v>74</v>
      </c>
      <c r="BO2825" s="1" t="s">
        <v>74</v>
      </c>
      <c r="BP2825" s="1" t="s">
        <v>74</v>
      </c>
      <c r="BQ2825" s="1" t="s">
        <v>74</v>
      </c>
      <c r="BR2825" s="1" t="s">
        <v>98</v>
      </c>
      <c r="BS2825" s="1" t="s">
        <v>44886</v>
      </c>
      <c r="BT2825" s="1" t="str">
        <f>HYPERLINK("https%3A%2F%2Fwww.webofscience.com%2Fwos%2Fwoscc%2Ffull-record%2FWOS:000075806100085","View Full Record in Web of Science")</f>
        <v>View Full Record in Web of Science</v>
      </c>
      <c r="BU2825" s="1"/>
      <c r="BV2825" s="1"/>
    </row>
    <row r="2826" spans="1:74">
      <c r="A2826" s="1" t="s">
        <v>72</v>
      </c>
      <c r="B2826" s="1" t="s">
        <v>44887</v>
      </c>
      <c r="C2826" s="1" t="s">
        <v>74</v>
      </c>
      <c r="D2826" s="1" t="s">
        <v>74</v>
      </c>
      <c r="E2826" s="1" t="s">
        <v>74</v>
      </c>
      <c r="F2826" s="1" t="s">
        <v>44888</v>
      </c>
      <c r="G2826" s="1" t="s">
        <v>74</v>
      </c>
      <c r="H2826" s="1" t="s">
        <v>74</v>
      </c>
      <c r="I2826" s="1" t="s">
        <v>44889</v>
      </c>
      <c r="J2826" s="1" t="s">
        <v>6864</v>
      </c>
      <c r="K2826" s="1" t="s">
        <v>74</v>
      </c>
      <c r="L2826" s="1" t="s">
        <v>74</v>
      </c>
      <c r="M2826" s="1" t="s">
        <v>78</v>
      </c>
      <c r="N2826" s="1" t="s">
        <v>151</v>
      </c>
      <c r="O2826" s="1" t="s">
        <v>6865</v>
      </c>
      <c r="P2826" s="1" t="s">
        <v>6866</v>
      </c>
      <c r="Q2826" s="1" t="s">
        <v>6867</v>
      </c>
      <c r="R2826" s="1" t="s">
        <v>74</v>
      </c>
      <c r="S2826" s="1" t="s">
        <v>74</v>
      </c>
      <c r="T2826" s="1" t="s">
        <v>44890</v>
      </c>
      <c r="U2826" s="1" t="s">
        <v>44891</v>
      </c>
      <c r="V2826" s="1" t="s">
        <v>44892</v>
      </c>
      <c r="W2826" s="1" t="s">
        <v>44893</v>
      </c>
      <c r="X2826" s="1" t="s">
        <v>44894</v>
      </c>
      <c r="Y2826" s="1" t="s">
        <v>35604</v>
      </c>
      <c r="Z2826" s="1" t="s">
        <v>35605</v>
      </c>
      <c r="AA2826" s="1" t="s">
        <v>44895</v>
      </c>
      <c r="AB2826" s="1" t="s">
        <v>44896</v>
      </c>
      <c r="AC2826" s="1" t="s">
        <v>35608</v>
      </c>
      <c r="AD2826" s="1" t="s">
        <v>35609</v>
      </c>
      <c r="AE2826" s="1" t="s">
        <v>6877</v>
      </c>
      <c r="AF2826" s="1" t="s">
        <v>74</v>
      </c>
      <c r="AG2826" s="1">
        <v>54</v>
      </c>
      <c r="AH2826" s="1">
        <v>21</v>
      </c>
      <c r="AI2826" s="1">
        <v>23</v>
      </c>
      <c r="AJ2826" s="1">
        <v>1</v>
      </c>
      <c r="AK2826" s="1">
        <v>13</v>
      </c>
      <c r="AL2826" s="1" t="s">
        <v>6878</v>
      </c>
      <c r="AM2826" s="1" t="s">
        <v>6879</v>
      </c>
      <c r="AN2826" s="1" t="s">
        <v>6880</v>
      </c>
      <c r="AO2826" s="1" t="s">
        <v>6881</v>
      </c>
      <c r="AP2826" s="1" t="s">
        <v>35541</v>
      </c>
      <c r="AQ2826" s="1" t="s">
        <v>74</v>
      </c>
      <c r="AR2826" s="1" t="s">
        <v>6882</v>
      </c>
      <c r="AS2826" s="1" t="s">
        <v>6883</v>
      </c>
      <c r="AT2826" s="1" t="s">
        <v>74</v>
      </c>
      <c r="AU2826" s="1">
        <v>2018</v>
      </c>
      <c r="AV2826" s="1">
        <v>50</v>
      </c>
      <c r="AW2826" s="1" t="s">
        <v>74</v>
      </c>
      <c r="AX2826" s="1" t="s">
        <v>74</v>
      </c>
      <c r="AY2826" s="1" t="s">
        <v>74</v>
      </c>
      <c r="AZ2826" s="1" t="s">
        <v>74</v>
      </c>
      <c r="BA2826" s="1" t="s">
        <v>74</v>
      </c>
      <c r="BB2826" s="1">
        <v>554</v>
      </c>
      <c r="BC2826" s="1">
        <v>559</v>
      </c>
      <c r="BD2826" s="1" t="s">
        <v>74</v>
      </c>
      <c r="BE2826" s="1" t="s">
        <v>44897</v>
      </c>
      <c r="BF2826" s="1" t="str">
        <f>HYPERLINK("http://dx.doi.org/10.1016/j.jtemb.2018.03.018","http://dx.doi.org/10.1016/j.jtemb.2018.03.018")</f>
        <v>http://dx.doi.org/10.1016/j.jtemb.2018.03.018</v>
      </c>
      <c r="BG2826" s="1" t="s">
        <v>74</v>
      </c>
      <c r="BH2826" s="1" t="s">
        <v>74</v>
      </c>
      <c r="BI2826" s="1">
        <v>6</v>
      </c>
      <c r="BJ2826" s="1" t="s">
        <v>795</v>
      </c>
      <c r="BK2826" s="1" t="s">
        <v>172</v>
      </c>
      <c r="BL2826" s="1" t="s">
        <v>795</v>
      </c>
      <c r="BM2826" s="1" t="s">
        <v>6885</v>
      </c>
      <c r="BN2826" s="1">
        <v>29625781</v>
      </c>
      <c r="BO2826" s="1" t="s">
        <v>74</v>
      </c>
      <c r="BP2826" s="1" t="s">
        <v>74</v>
      </c>
      <c r="BQ2826" s="1" t="s">
        <v>74</v>
      </c>
      <c r="BR2826" s="1" t="s">
        <v>98</v>
      </c>
      <c r="BS2826" s="1" t="s">
        <v>44898</v>
      </c>
      <c r="BT2826" s="1" t="str">
        <f>HYPERLINK("https%3A%2F%2Fwww.webofscience.com%2Fwos%2Fwoscc%2Ffull-record%2FWOS:000448633900074","View Full Record in Web of Science")</f>
        <v>View Full Record in Web of Science</v>
      </c>
      <c r="BU2826" s="1"/>
      <c r="BV2826" s="1"/>
    </row>
    <row r="2827" spans="1:74">
      <c r="A2827" s="1" t="s">
        <v>72</v>
      </c>
      <c r="B2827" s="1" t="s">
        <v>44899</v>
      </c>
      <c r="C2827" s="1" t="s">
        <v>74</v>
      </c>
      <c r="D2827" s="1" t="s">
        <v>74</v>
      </c>
      <c r="E2827" s="1" t="s">
        <v>74</v>
      </c>
      <c r="F2827" s="1" t="s">
        <v>44899</v>
      </c>
      <c r="G2827" s="1" t="s">
        <v>74</v>
      </c>
      <c r="H2827" s="1" t="s">
        <v>74</v>
      </c>
      <c r="I2827" s="1" t="s">
        <v>44900</v>
      </c>
      <c r="J2827" s="1" t="s">
        <v>232</v>
      </c>
      <c r="K2827" s="1" t="s">
        <v>74</v>
      </c>
      <c r="L2827" s="1" t="s">
        <v>74</v>
      </c>
      <c r="M2827" s="1" t="s">
        <v>78</v>
      </c>
      <c r="N2827" s="1" t="s">
        <v>151</v>
      </c>
      <c r="O2827" s="1" t="s">
        <v>44901</v>
      </c>
      <c r="P2827" s="1" t="s">
        <v>44902</v>
      </c>
      <c r="Q2827" s="1" t="s">
        <v>44903</v>
      </c>
      <c r="R2827" s="1" t="s">
        <v>74</v>
      </c>
      <c r="S2827" s="1" t="s">
        <v>74</v>
      </c>
      <c r="T2827" s="1" t="s">
        <v>74</v>
      </c>
      <c r="U2827" s="1" t="s">
        <v>74</v>
      </c>
      <c r="V2827" s="1" t="s">
        <v>44904</v>
      </c>
      <c r="W2827" s="1" t="s">
        <v>44905</v>
      </c>
      <c r="X2827" s="1" t="s">
        <v>44906</v>
      </c>
      <c r="Y2827" s="1" t="s">
        <v>44907</v>
      </c>
      <c r="Z2827" s="1" t="s">
        <v>74</v>
      </c>
      <c r="AA2827" s="1" t="s">
        <v>74</v>
      </c>
      <c r="AB2827" s="1" t="s">
        <v>74</v>
      </c>
      <c r="AC2827" s="1" t="s">
        <v>74</v>
      </c>
      <c r="AD2827" s="1" t="s">
        <v>74</v>
      </c>
      <c r="AE2827" s="1" t="s">
        <v>74</v>
      </c>
      <c r="AF2827" s="1" t="s">
        <v>74</v>
      </c>
      <c r="AG2827" s="1">
        <v>21</v>
      </c>
      <c r="AH2827" s="1">
        <v>6</v>
      </c>
      <c r="AI2827" s="1">
        <v>6</v>
      </c>
      <c r="AJ2827" s="1">
        <v>0</v>
      </c>
      <c r="AK2827" s="1">
        <v>1</v>
      </c>
      <c r="AL2827" s="1" t="s">
        <v>136</v>
      </c>
      <c r="AM2827" s="1" t="s">
        <v>137</v>
      </c>
      <c r="AN2827" s="1" t="s">
        <v>138</v>
      </c>
      <c r="AO2827" s="1" t="s">
        <v>240</v>
      </c>
      <c r="AP2827" s="1" t="s">
        <v>241</v>
      </c>
      <c r="AQ2827" s="1" t="s">
        <v>74</v>
      </c>
      <c r="AR2827" s="1" t="s">
        <v>242</v>
      </c>
      <c r="AS2827" s="1" t="s">
        <v>243</v>
      </c>
      <c r="AT2827" s="1" t="s">
        <v>44908</v>
      </c>
      <c r="AU2827" s="1">
        <v>1997</v>
      </c>
      <c r="AV2827" s="1">
        <v>35</v>
      </c>
      <c r="AW2827" s="1" t="s">
        <v>9648</v>
      </c>
      <c r="AX2827" s="1" t="s">
        <v>74</v>
      </c>
      <c r="AY2827" s="1" t="s">
        <v>74</v>
      </c>
      <c r="AZ2827" s="1" t="s">
        <v>225</v>
      </c>
      <c r="BA2827" s="1" t="s">
        <v>74</v>
      </c>
      <c r="BB2827" s="1">
        <v>109</v>
      </c>
      <c r="BC2827" s="1">
        <v>124</v>
      </c>
      <c r="BD2827" s="1" t="s">
        <v>74</v>
      </c>
      <c r="BE2827" s="1" t="s">
        <v>44909</v>
      </c>
      <c r="BF2827" s="1" t="str">
        <f>HYPERLINK("http://dx.doi.org/10.1016/S0025-326X(97)00208-7","http://dx.doi.org/10.1016/S0025-326X(97)00208-7")</f>
        <v>http://dx.doi.org/10.1016/S0025-326X(97)00208-7</v>
      </c>
      <c r="BG2827" s="1" t="s">
        <v>74</v>
      </c>
      <c r="BH2827" s="1" t="s">
        <v>74</v>
      </c>
      <c r="BI2827" s="1">
        <v>16</v>
      </c>
      <c r="BJ2827" s="1" t="s">
        <v>247</v>
      </c>
      <c r="BK2827" s="1" t="s">
        <v>172</v>
      </c>
      <c r="BL2827" s="1" t="s">
        <v>248</v>
      </c>
      <c r="BM2827" s="1" t="s">
        <v>44910</v>
      </c>
      <c r="BN2827" s="1" t="s">
        <v>74</v>
      </c>
      <c r="BO2827" s="1" t="s">
        <v>74</v>
      </c>
      <c r="BP2827" s="1" t="s">
        <v>74</v>
      </c>
      <c r="BQ2827" s="1" t="s">
        <v>74</v>
      </c>
      <c r="BR2827" s="1" t="s">
        <v>98</v>
      </c>
      <c r="BS2827" s="1" t="s">
        <v>44911</v>
      </c>
      <c r="BT2827" s="1" t="str">
        <f>HYPERLINK("https%3A%2F%2Fwww.webofscience.com%2Fwos%2Fwoscc%2Ffull-record%2FWOS:000072900800011","View Full Record in Web of Science")</f>
        <v>View Full Record in Web of Science</v>
      </c>
      <c r="BU2827" s="1"/>
      <c r="BV2827" s="1"/>
    </row>
    <row r="2828" spans="1:74">
      <c r="A2828" s="1" t="s">
        <v>72</v>
      </c>
      <c r="B2828" s="1" t="s">
        <v>34965</v>
      </c>
      <c r="C2828" s="1" t="s">
        <v>74</v>
      </c>
      <c r="D2828" s="1" t="s">
        <v>74</v>
      </c>
      <c r="E2828" s="1" t="s">
        <v>74</v>
      </c>
      <c r="F2828" s="1" t="s">
        <v>34966</v>
      </c>
      <c r="G2828" s="1" t="s">
        <v>74</v>
      </c>
      <c r="H2828" s="1" t="s">
        <v>74</v>
      </c>
      <c r="I2828" s="1" t="s">
        <v>44912</v>
      </c>
      <c r="J2828" s="1" t="s">
        <v>7097</v>
      </c>
      <c r="K2828" s="1" t="s">
        <v>74</v>
      </c>
      <c r="L2828" s="1" t="s">
        <v>74</v>
      </c>
      <c r="M2828" s="1" t="s">
        <v>78</v>
      </c>
      <c r="N2828" s="1" t="s">
        <v>79</v>
      </c>
      <c r="O2828" s="1" t="s">
        <v>74</v>
      </c>
      <c r="P2828" s="1" t="s">
        <v>74</v>
      </c>
      <c r="Q2828" s="1" t="s">
        <v>74</v>
      </c>
      <c r="R2828" s="1" t="s">
        <v>74</v>
      </c>
      <c r="S2828" s="1" t="s">
        <v>74</v>
      </c>
      <c r="T2828" s="1" t="s">
        <v>44913</v>
      </c>
      <c r="U2828" s="1" t="s">
        <v>44914</v>
      </c>
      <c r="V2828" s="1" t="s">
        <v>44915</v>
      </c>
      <c r="W2828" s="1" t="s">
        <v>44916</v>
      </c>
      <c r="X2828" s="1" t="s">
        <v>34972</v>
      </c>
      <c r="Y2828" s="1" t="s">
        <v>44917</v>
      </c>
      <c r="Z2828" s="1" t="s">
        <v>34974</v>
      </c>
      <c r="AA2828" s="1" t="s">
        <v>34975</v>
      </c>
      <c r="AB2828" s="1" t="s">
        <v>16852</v>
      </c>
      <c r="AC2828" s="1" t="s">
        <v>44918</v>
      </c>
      <c r="AD2828" s="1" t="s">
        <v>44919</v>
      </c>
      <c r="AE2828" s="1" t="s">
        <v>44920</v>
      </c>
      <c r="AF2828" s="1" t="s">
        <v>74</v>
      </c>
      <c r="AG2828" s="1">
        <v>66</v>
      </c>
      <c r="AH2828" s="1">
        <v>54</v>
      </c>
      <c r="AI2828" s="1">
        <v>58</v>
      </c>
      <c r="AJ2828" s="1">
        <v>0</v>
      </c>
      <c r="AK2828" s="1">
        <v>60</v>
      </c>
      <c r="AL2828" s="1" t="s">
        <v>650</v>
      </c>
      <c r="AM2828" s="1" t="s">
        <v>651</v>
      </c>
      <c r="AN2828" s="1" t="s">
        <v>652</v>
      </c>
      <c r="AO2828" s="1" t="s">
        <v>7110</v>
      </c>
      <c r="AP2828" s="1" t="s">
        <v>7111</v>
      </c>
      <c r="AQ2828" s="1" t="s">
        <v>74</v>
      </c>
      <c r="AR2828" s="1" t="s">
        <v>7112</v>
      </c>
      <c r="AS2828" s="1" t="s">
        <v>7113</v>
      </c>
      <c r="AT2828" s="1" t="s">
        <v>1470</v>
      </c>
      <c r="AU2828" s="1">
        <v>2014</v>
      </c>
      <c r="AV2828" s="1">
        <v>36</v>
      </c>
      <c r="AW2828" s="1" t="s">
        <v>74</v>
      </c>
      <c r="AX2828" s="1" t="s">
        <v>74</v>
      </c>
      <c r="AY2828" s="1" t="s">
        <v>74</v>
      </c>
      <c r="AZ2828" s="1" t="s">
        <v>74</v>
      </c>
      <c r="BA2828" s="1" t="s">
        <v>74</v>
      </c>
      <c r="BB2828" s="1">
        <v>33</v>
      </c>
      <c r="BC2828" s="1">
        <v>47</v>
      </c>
      <c r="BD2828" s="1" t="s">
        <v>74</v>
      </c>
      <c r="BE2828" s="1" t="s">
        <v>44921</v>
      </c>
      <c r="BF2828" s="1" t="str">
        <f>HYPERLINK("http://dx.doi.org/10.1016/j.ecolind.2013.06.021","http://dx.doi.org/10.1016/j.ecolind.2013.06.021")</f>
        <v>http://dx.doi.org/10.1016/j.ecolind.2013.06.021</v>
      </c>
      <c r="BG2828" s="1" t="s">
        <v>74</v>
      </c>
      <c r="BH2828" s="1" t="s">
        <v>74</v>
      </c>
      <c r="BI2828" s="1">
        <v>15</v>
      </c>
      <c r="BJ2828" s="1" t="s">
        <v>4923</v>
      </c>
      <c r="BK2828" s="1" t="s">
        <v>96</v>
      </c>
      <c r="BL2828" s="1" t="s">
        <v>4924</v>
      </c>
      <c r="BM2828" s="1" t="s">
        <v>44922</v>
      </c>
      <c r="BN2828" s="1" t="s">
        <v>74</v>
      </c>
      <c r="BO2828" s="1" t="s">
        <v>1752</v>
      </c>
      <c r="BP2828" s="1" t="s">
        <v>74</v>
      </c>
      <c r="BQ2828" s="1" t="s">
        <v>74</v>
      </c>
      <c r="BR2828" s="1" t="s">
        <v>98</v>
      </c>
      <c r="BS2828" s="1" t="s">
        <v>44923</v>
      </c>
      <c r="BT2828" s="1" t="str">
        <f>HYPERLINK("https%3A%2F%2Fwww.webofscience.com%2Fwos%2Fwoscc%2Ffull-record%2FWOS:000329081100004","View Full Record in Web of Science")</f>
        <v>View Full Record in Web of Science</v>
      </c>
      <c r="BU2828" s="1"/>
      <c r="BV2828" s="1"/>
    </row>
    <row r="2829" spans="1:74">
      <c r="A2829" s="1" t="s">
        <v>72</v>
      </c>
      <c r="B2829" s="1" t="s">
        <v>44924</v>
      </c>
      <c r="C2829" s="1" t="s">
        <v>74</v>
      </c>
      <c r="D2829" s="1" t="s">
        <v>74</v>
      </c>
      <c r="E2829" s="1" t="s">
        <v>74</v>
      </c>
      <c r="F2829" s="1" t="s">
        <v>44925</v>
      </c>
      <c r="G2829" s="1" t="s">
        <v>74</v>
      </c>
      <c r="H2829" s="1" t="s">
        <v>74</v>
      </c>
      <c r="I2829" s="1" t="s">
        <v>44926</v>
      </c>
      <c r="J2829" s="1" t="s">
        <v>421</v>
      </c>
      <c r="K2829" s="1" t="s">
        <v>74</v>
      </c>
      <c r="L2829" s="1" t="s">
        <v>74</v>
      </c>
      <c r="M2829" s="1" t="s">
        <v>78</v>
      </c>
      <c r="N2829" s="1" t="s">
        <v>79</v>
      </c>
      <c r="O2829" s="1" t="s">
        <v>74</v>
      </c>
      <c r="P2829" s="1" t="s">
        <v>74</v>
      </c>
      <c r="Q2829" s="1" t="s">
        <v>74</v>
      </c>
      <c r="R2829" s="1" t="s">
        <v>74</v>
      </c>
      <c r="S2829" s="1" t="s">
        <v>74</v>
      </c>
      <c r="T2829" s="1" t="s">
        <v>44927</v>
      </c>
      <c r="U2829" s="1" t="s">
        <v>44928</v>
      </c>
      <c r="V2829" s="1" t="s">
        <v>44929</v>
      </c>
      <c r="W2829" s="1" t="s">
        <v>44930</v>
      </c>
      <c r="X2829" s="1" t="s">
        <v>9952</v>
      </c>
      <c r="Y2829" s="1" t="s">
        <v>44931</v>
      </c>
      <c r="Z2829" s="1" t="s">
        <v>21443</v>
      </c>
      <c r="AA2829" s="1" t="s">
        <v>74</v>
      </c>
      <c r="AB2829" s="1" t="s">
        <v>74</v>
      </c>
      <c r="AC2829" s="1" t="s">
        <v>44932</v>
      </c>
      <c r="AD2829" s="1" t="s">
        <v>44933</v>
      </c>
      <c r="AE2829" s="1" t="s">
        <v>44934</v>
      </c>
      <c r="AF2829" s="1" t="s">
        <v>74</v>
      </c>
      <c r="AG2829" s="1">
        <v>57</v>
      </c>
      <c r="AH2829" s="1">
        <v>33</v>
      </c>
      <c r="AI2829" s="1">
        <v>35</v>
      </c>
      <c r="AJ2829" s="1">
        <v>2</v>
      </c>
      <c r="AK2829" s="1">
        <v>44</v>
      </c>
      <c r="AL2829" s="1" t="s">
        <v>430</v>
      </c>
      <c r="AM2829" s="1" t="s">
        <v>137</v>
      </c>
      <c r="AN2829" s="1" t="s">
        <v>431</v>
      </c>
      <c r="AO2829" s="1" t="s">
        <v>432</v>
      </c>
      <c r="AP2829" s="1" t="s">
        <v>1394</v>
      </c>
      <c r="AQ2829" s="1" t="s">
        <v>74</v>
      </c>
      <c r="AR2829" s="1" t="s">
        <v>433</v>
      </c>
      <c r="AS2829" s="1" t="s">
        <v>434</v>
      </c>
      <c r="AT2829" s="1" t="s">
        <v>142</v>
      </c>
      <c r="AU2829" s="1">
        <v>2014</v>
      </c>
      <c r="AV2829" s="1">
        <v>189</v>
      </c>
      <c r="AW2829" s="1" t="s">
        <v>74</v>
      </c>
      <c r="AX2829" s="1" t="s">
        <v>74</v>
      </c>
      <c r="AY2829" s="1" t="s">
        <v>74</v>
      </c>
      <c r="AZ2829" s="1" t="s">
        <v>74</v>
      </c>
      <c r="BA2829" s="1" t="s">
        <v>74</v>
      </c>
      <c r="BB2829" s="1">
        <v>1</v>
      </c>
      <c r="BC2829" s="1">
        <v>8</v>
      </c>
      <c r="BD2829" s="1" t="s">
        <v>74</v>
      </c>
      <c r="BE2829" s="1" t="s">
        <v>44935</v>
      </c>
      <c r="BF2829" s="1" t="str">
        <f>HYPERLINK("http://dx.doi.org/10.1016/j.envpol.2014.02.013","http://dx.doi.org/10.1016/j.envpol.2014.02.013")</f>
        <v>http://dx.doi.org/10.1016/j.envpol.2014.02.013</v>
      </c>
      <c r="BG2829" s="1" t="s">
        <v>74</v>
      </c>
      <c r="BH2829" s="1" t="s">
        <v>74</v>
      </c>
      <c r="BI2829" s="1">
        <v>8</v>
      </c>
      <c r="BJ2829" s="1" t="s">
        <v>144</v>
      </c>
      <c r="BK2829" s="1" t="s">
        <v>96</v>
      </c>
      <c r="BL2829" s="1" t="s">
        <v>145</v>
      </c>
      <c r="BM2829" s="1" t="s">
        <v>44936</v>
      </c>
      <c r="BN2829" s="1">
        <v>24602878</v>
      </c>
      <c r="BO2829" s="1" t="s">
        <v>74</v>
      </c>
      <c r="BP2829" s="1" t="s">
        <v>74</v>
      </c>
      <c r="BQ2829" s="1" t="s">
        <v>74</v>
      </c>
      <c r="BR2829" s="1" t="s">
        <v>98</v>
      </c>
      <c r="BS2829" s="1" t="s">
        <v>44937</v>
      </c>
      <c r="BT2829" s="1" t="str">
        <f>HYPERLINK("https%3A%2F%2Fwww.webofscience.com%2Fwos%2Fwoscc%2Ffull-record%2FWOS:000336466900001","View Full Record in Web of Science")</f>
        <v>View Full Record in Web of Science</v>
      </c>
      <c r="BU2829" s="1"/>
      <c r="BV2829" s="1"/>
    </row>
    <row r="2830" spans="1:74">
      <c r="A2830" s="1" t="s">
        <v>72</v>
      </c>
      <c r="B2830" s="1" t="s">
        <v>44938</v>
      </c>
      <c r="C2830" s="1" t="s">
        <v>74</v>
      </c>
      <c r="D2830" s="1" t="s">
        <v>74</v>
      </c>
      <c r="E2830" s="1" t="s">
        <v>74</v>
      </c>
      <c r="F2830" s="1" t="s">
        <v>44939</v>
      </c>
      <c r="G2830" s="1" t="s">
        <v>74</v>
      </c>
      <c r="H2830" s="1" t="s">
        <v>74</v>
      </c>
      <c r="I2830" s="1" t="s">
        <v>44940</v>
      </c>
      <c r="J2830" s="1" t="s">
        <v>704</v>
      </c>
      <c r="K2830" s="1" t="s">
        <v>74</v>
      </c>
      <c r="L2830" s="1" t="s">
        <v>74</v>
      </c>
      <c r="M2830" s="1" t="s">
        <v>78</v>
      </c>
      <c r="N2830" s="1" t="s">
        <v>79</v>
      </c>
      <c r="O2830" s="1" t="s">
        <v>74</v>
      </c>
      <c r="P2830" s="1" t="s">
        <v>74</v>
      </c>
      <c r="Q2830" s="1" t="s">
        <v>74</v>
      </c>
      <c r="R2830" s="1" t="s">
        <v>74</v>
      </c>
      <c r="S2830" s="1" t="s">
        <v>74</v>
      </c>
      <c r="T2830" s="1" t="s">
        <v>44941</v>
      </c>
      <c r="U2830" s="1" t="s">
        <v>44942</v>
      </c>
      <c r="V2830" s="1" t="s">
        <v>44943</v>
      </c>
      <c r="W2830" s="1" t="s">
        <v>44944</v>
      </c>
      <c r="X2830" s="1" t="s">
        <v>44945</v>
      </c>
      <c r="Y2830" s="1" t="s">
        <v>44946</v>
      </c>
      <c r="Z2830" s="1" t="s">
        <v>44947</v>
      </c>
      <c r="AA2830" s="1" t="s">
        <v>44948</v>
      </c>
      <c r="AB2830" s="1" t="s">
        <v>44949</v>
      </c>
      <c r="AC2830" s="1" t="s">
        <v>44950</v>
      </c>
      <c r="AD2830" s="1" t="s">
        <v>44951</v>
      </c>
      <c r="AE2830" s="1" t="s">
        <v>44952</v>
      </c>
      <c r="AF2830" s="1" t="s">
        <v>74</v>
      </c>
      <c r="AG2830" s="1">
        <v>14</v>
      </c>
      <c r="AH2830" s="1">
        <v>11</v>
      </c>
      <c r="AI2830" s="1">
        <v>11</v>
      </c>
      <c r="AJ2830" s="1">
        <v>0</v>
      </c>
      <c r="AK2830" s="1">
        <v>2</v>
      </c>
      <c r="AL2830" s="1" t="s">
        <v>4010</v>
      </c>
      <c r="AM2830" s="1" t="s">
        <v>1167</v>
      </c>
      <c r="AN2830" s="1" t="s">
        <v>1168</v>
      </c>
      <c r="AO2830" s="1" t="s">
        <v>718</v>
      </c>
      <c r="AP2830" s="1" t="s">
        <v>1169</v>
      </c>
      <c r="AQ2830" s="1" t="s">
        <v>74</v>
      </c>
      <c r="AR2830" s="1" t="s">
        <v>719</v>
      </c>
      <c r="AS2830" s="1" t="s">
        <v>720</v>
      </c>
      <c r="AT2830" s="1" t="s">
        <v>170</v>
      </c>
      <c r="AU2830" s="1">
        <v>2011</v>
      </c>
      <c r="AV2830" s="1">
        <v>217</v>
      </c>
      <c r="AW2830" s="1" t="s">
        <v>721</v>
      </c>
      <c r="AX2830" s="1" t="s">
        <v>74</v>
      </c>
      <c r="AY2830" s="1" t="s">
        <v>74</v>
      </c>
      <c r="AZ2830" s="1" t="s">
        <v>74</v>
      </c>
      <c r="BA2830" s="1" t="s">
        <v>74</v>
      </c>
      <c r="BB2830" s="1">
        <v>317</v>
      </c>
      <c r="BC2830" s="1">
        <v>320</v>
      </c>
      <c r="BD2830" s="1" t="s">
        <v>74</v>
      </c>
      <c r="BE2830" s="1" t="s">
        <v>44953</v>
      </c>
      <c r="BF2830" s="1" t="str">
        <f>HYPERLINK("http://dx.doi.org/10.1007/s11270-010-0589-4","http://dx.doi.org/10.1007/s11270-010-0589-4")</f>
        <v>http://dx.doi.org/10.1007/s11270-010-0589-4</v>
      </c>
      <c r="BG2830" s="1" t="s">
        <v>74</v>
      </c>
      <c r="BH2830" s="1" t="s">
        <v>74</v>
      </c>
      <c r="BI2830" s="1">
        <v>4</v>
      </c>
      <c r="BJ2830" s="1" t="s">
        <v>722</v>
      </c>
      <c r="BK2830" s="1" t="s">
        <v>96</v>
      </c>
      <c r="BL2830" s="1" t="s">
        <v>723</v>
      </c>
      <c r="BM2830" s="1" t="s">
        <v>44954</v>
      </c>
      <c r="BN2830" s="1" t="s">
        <v>74</v>
      </c>
      <c r="BO2830" s="1" t="s">
        <v>74</v>
      </c>
      <c r="BP2830" s="1" t="s">
        <v>74</v>
      </c>
      <c r="BQ2830" s="1" t="s">
        <v>74</v>
      </c>
      <c r="BR2830" s="1" t="s">
        <v>98</v>
      </c>
      <c r="BS2830" s="1" t="s">
        <v>44955</v>
      </c>
      <c r="BT2830" s="1" t="str">
        <f>HYPERLINK("https%3A%2F%2Fwww.webofscience.com%2Fwos%2Fwoscc%2Ffull-record%2FWOS:000289561000027","View Full Record in Web of Science")</f>
        <v>View Full Record in Web of Science</v>
      </c>
      <c r="BU2830" s="1"/>
      <c r="BV2830" s="1"/>
    </row>
    <row r="2831" spans="1:74">
      <c r="A2831" s="1" t="s">
        <v>72</v>
      </c>
      <c r="B2831" s="1" t="s">
        <v>44956</v>
      </c>
      <c r="C2831" s="1" t="s">
        <v>74</v>
      </c>
      <c r="D2831" s="1" t="s">
        <v>74</v>
      </c>
      <c r="E2831" s="1" t="s">
        <v>74</v>
      </c>
      <c r="F2831" s="1" t="s">
        <v>44957</v>
      </c>
      <c r="G2831" s="1" t="s">
        <v>74</v>
      </c>
      <c r="H2831" s="1" t="s">
        <v>74</v>
      </c>
      <c r="I2831" s="1" t="s">
        <v>44958</v>
      </c>
      <c r="J2831" s="1" t="s">
        <v>204</v>
      </c>
      <c r="K2831" s="1" t="s">
        <v>74</v>
      </c>
      <c r="L2831" s="1" t="s">
        <v>74</v>
      </c>
      <c r="M2831" s="1" t="s">
        <v>78</v>
      </c>
      <c r="N2831" s="1" t="s">
        <v>79</v>
      </c>
      <c r="O2831" s="1" t="s">
        <v>74</v>
      </c>
      <c r="P2831" s="1" t="s">
        <v>74</v>
      </c>
      <c r="Q2831" s="1" t="s">
        <v>74</v>
      </c>
      <c r="R2831" s="1" t="s">
        <v>74</v>
      </c>
      <c r="S2831" s="1" t="s">
        <v>74</v>
      </c>
      <c r="T2831" s="1" t="s">
        <v>44959</v>
      </c>
      <c r="U2831" s="1" t="s">
        <v>44960</v>
      </c>
      <c r="V2831" s="1" t="s">
        <v>44961</v>
      </c>
      <c r="W2831" s="1" t="s">
        <v>44962</v>
      </c>
      <c r="X2831" s="1" t="s">
        <v>44963</v>
      </c>
      <c r="Y2831" s="1" t="s">
        <v>44964</v>
      </c>
      <c r="Z2831" s="1" t="s">
        <v>44965</v>
      </c>
      <c r="AA2831" s="1" t="s">
        <v>27228</v>
      </c>
      <c r="AB2831" s="1" t="s">
        <v>38155</v>
      </c>
      <c r="AC2831" s="1" t="s">
        <v>44966</v>
      </c>
      <c r="AD2831" s="1" t="s">
        <v>44967</v>
      </c>
      <c r="AE2831" s="1" t="s">
        <v>44968</v>
      </c>
      <c r="AF2831" s="1" t="s">
        <v>74</v>
      </c>
      <c r="AG2831" s="1">
        <v>41</v>
      </c>
      <c r="AH2831" s="1">
        <v>15</v>
      </c>
      <c r="AI2831" s="1">
        <v>17</v>
      </c>
      <c r="AJ2831" s="1">
        <v>0</v>
      </c>
      <c r="AK2831" s="1">
        <v>16</v>
      </c>
      <c r="AL2831" s="1" t="s">
        <v>217</v>
      </c>
      <c r="AM2831" s="1" t="s">
        <v>218</v>
      </c>
      <c r="AN2831" s="1" t="s">
        <v>219</v>
      </c>
      <c r="AO2831" s="1" t="s">
        <v>220</v>
      </c>
      <c r="AP2831" s="1" t="s">
        <v>221</v>
      </c>
      <c r="AQ2831" s="1" t="s">
        <v>74</v>
      </c>
      <c r="AR2831" s="1" t="s">
        <v>222</v>
      </c>
      <c r="AS2831" s="1" t="s">
        <v>223</v>
      </c>
      <c r="AT2831" s="1" t="s">
        <v>119</v>
      </c>
      <c r="AU2831" s="1">
        <v>2016</v>
      </c>
      <c r="AV2831" s="1">
        <v>23</v>
      </c>
      <c r="AW2831" s="1">
        <v>16</v>
      </c>
      <c r="AX2831" s="1" t="s">
        <v>74</v>
      </c>
      <c r="AY2831" s="1" t="s">
        <v>74</v>
      </c>
      <c r="AZ2831" s="1" t="s">
        <v>74</v>
      </c>
      <c r="BA2831" s="1" t="s">
        <v>74</v>
      </c>
      <c r="BB2831" s="1">
        <v>16504</v>
      </c>
      <c r="BC2831" s="1">
        <v>16512</v>
      </c>
      <c r="BD2831" s="1" t="s">
        <v>74</v>
      </c>
      <c r="BE2831" s="1" t="s">
        <v>44969</v>
      </c>
      <c r="BF2831" s="1" t="str">
        <f>HYPERLINK("http://dx.doi.org/10.1007/s11356-016-6572-x","http://dx.doi.org/10.1007/s11356-016-6572-x")</f>
        <v>http://dx.doi.org/10.1007/s11356-016-6572-x</v>
      </c>
      <c r="BG2831" s="1" t="s">
        <v>74</v>
      </c>
      <c r="BH2831" s="1" t="s">
        <v>74</v>
      </c>
      <c r="BI2831" s="1">
        <v>9</v>
      </c>
      <c r="BJ2831" s="1" t="s">
        <v>144</v>
      </c>
      <c r="BK2831" s="1" t="s">
        <v>96</v>
      </c>
      <c r="BL2831" s="1" t="s">
        <v>145</v>
      </c>
      <c r="BM2831" s="1" t="s">
        <v>3458</v>
      </c>
      <c r="BN2831" s="1">
        <v>27169408</v>
      </c>
      <c r="BO2831" s="1" t="s">
        <v>74</v>
      </c>
      <c r="BP2831" s="1" t="s">
        <v>74</v>
      </c>
      <c r="BQ2831" s="1" t="s">
        <v>74</v>
      </c>
      <c r="BR2831" s="1" t="s">
        <v>98</v>
      </c>
      <c r="BS2831" s="1" t="s">
        <v>44970</v>
      </c>
      <c r="BT2831" s="1" t="str">
        <f>HYPERLINK("https%3A%2F%2Fwww.webofscience.com%2Fwos%2Fwoscc%2Ffull-record%2FWOS:000381156600066","View Full Record in Web of Science")</f>
        <v>View Full Record in Web of Science</v>
      </c>
      <c r="BU2831" s="1"/>
      <c r="BV2831" s="1"/>
    </row>
    <row r="2832" spans="1:74">
      <c r="A2832" s="1" t="s">
        <v>72</v>
      </c>
      <c r="B2832" s="1" t="s">
        <v>44971</v>
      </c>
      <c r="C2832" s="1" t="s">
        <v>74</v>
      </c>
      <c r="D2832" s="1" t="s">
        <v>74</v>
      </c>
      <c r="E2832" s="1" t="s">
        <v>74</v>
      </c>
      <c r="F2832" s="1" t="s">
        <v>44972</v>
      </c>
      <c r="G2832" s="1" t="s">
        <v>74</v>
      </c>
      <c r="H2832" s="1" t="s">
        <v>74</v>
      </c>
      <c r="I2832" s="1" t="s">
        <v>44973</v>
      </c>
      <c r="J2832" s="1" t="s">
        <v>44974</v>
      </c>
      <c r="K2832" s="1" t="s">
        <v>74</v>
      </c>
      <c r="L2832" s="1" t="s">
        <v>74</v>
      </c>
      <c r="M2832" s="1" t="s">
        <v>78</v>
      </c>
      <c r="N2832" s="1" t="s">
        <v>79</v>
      </c>
      <c r="O2832" s="1" t="s">
        <v>74</v>
      </c>
      <c r="P2832" s="1" t="s">
        <v>74</v>
      </c>
      <c r="Q2832" s="1" t="s">
        <v>74</v>
      </c>
      <c r="R2832" s="1" t="s">
        <v>74</v>
      </c>
      <c r="S2832" s="1" t="s">
        <v>74</v>
      </c>
      <c r="T2832" s="1" t="s">
        <v>74</v>
      </c>
      <c r="U2832" s="1" t="s">
        <v>44975</v>
      </c>
      <c r="V2832" s="1" t="s">
        <v>44976</v>
      </c>
      <c r="W2832" s="1" t="s">
        <v>44977</v>
      </c>
      <c r="X2832" s="1" t="s">
        <v>44978</v>
      </c>
      <c r="Y2832" s="1" t="s">
        <v>44979</v>
      </c>
      <c r="Z2832" s="1" t="s">
        <v>44980</v>
      </c>
      <c r="AA2832" s="1" t="s">
        <v>74</v>
      </c>
      <c r="AB2832" s="1" t="s">
        <v>74</v>
      </c>
      <c r="AC2832" s="1" t="s">
        <v>44981</v>
      </c>
      <c r="AD2832" s="1" t="s">
        <v>44982</v>
      </c>
      <c r="AE2832" s="1" t="s">
        <v>44983</v>
      </c>
      <c r="AF2832" s="1" t="s">
        <v>74</v>
      </c>
      <c r="AG2832" s="1">
        <v>44</v>
      </c>
      <c r="AH2832" s="1">
        <v>49</v>
      </c>
      <c r="AI2832" s="1">
        <v>52</v>
      </c>
      <c r="AJ2832" s="1">
        <v>1</v>
      </c>
      <c r="AK2832" s="1">
        <v>21</v>
      </c>
      <c r="AL2832" s="1" t="s">
        <v>112</v>
      </c>
      <c r="AM2832" s="1" t="s">
        <v>113</v>
      </c>
      <c r="AN2832" s="1" t="s">
        <v>114</v>
      </c>
      <c r="AO2832" s="1" t="s">
        <v>44984</v>
      </c>
      <c r="AP2832" s="1" t="s">
        <v>44985</v>
      </c>
      <c r="AQ2832" s="1" t="s">
        <v>74</v>
      </c>
      <c r="AR2832" s="1" t="s">
        <v>44986</v>
      </c>
      <c r="AS2832" s="1" t="s">
        <v>44987</v>
      </c>
      <c r="AT2832" s="1" t="s">
        <v>267</v>
      </c>
      <c r="AU2832" s="1">
        <v>2008</v>
      </c>
      <c r="AV2832" s="1">
        <v>28</v>
      </c>
      <c r="AW2832" s="1" t="s">
        <v>2706</v>
      </c>
      <c r="AX2832" s="1" t="s">
        <v>74</v>
      </c>
      <c r="AY2832" s="1" t="s">
        <v>74</v>
      </c>
      <c r="AZ2832" s="1" t="s">
        <v>74</v>
      </c>
      <c r="BA2832" s="1" t="s">
        <v>74</v>
      </c>
      <c r="BB2832" s="1">
        <v>369</v>
      </c>
      <c r="BC2832" s="1">
        <v>381</v>
      </c>
      <c r="BD2832" s="1" t="s">
        <v>74</v>
      </c>
      <c r="BE2832" s="1" t="s">
        <v>44988</v>
      </c>
      <c r="BF2832" s="1" t="str">
        <f>HYPERLINK("http://dx.doi.org/10.1007/s00367-008-0117-3","http://dx.doi.org/10.1007/s00367-008-0117-3")</f>
        <v>http://dx.doi.org/10.1007/s00367-008-0117-3</v>
      </c>
      <c r="BG2832" s="1" t="s">
        <v>74</v>
      </c>
      <c r="BH2832" s="1" t="s">
        <v>74</v>
      </c>
      <c r="BI2832" s="1">
        <v>13</v>
      </c>
      <c r="BJ2832" s="1" t="s">
        <v>44989</v>
      </c>
      <c r="BK2832" s="1" t="s">
        <v>96</v>
      </c>
      <c r="BL2832" s="1" t="s">
        <v>44990</v>
      </c>
      <c r="BM2832" s="1" t="s">
        <v>44991</v>
      </c>
      <c r="BN2832" s="1" t="s">
        <v>74</v>
      </c>
      <c r="BO2832" s="1" t="s">
        <v>74</v>
      </c>
      <c r="BP2832" s="1" t="s">
        <v>74</v>
      </c>
      <c r="BQ2832" s="1" t="s">
        <v>74</v>
      </c>
      <c r="BR2832" s="1" t="s">
        <v>98</v>
      </c>
      <c r="BS2832" s="1" t="s">
        <v>44992</v>
      </c>
      <c r="BT2832" s="1" t="str">
        <f>HYPERLINK("https%3A%2F%2Fwww.webofscience.com%2Fwos%2Fwoscc%2Ffull-record%2FWOS:000259005500010","View Full Record in Web of Science")</f>
        <v>View Full Record in Web of Science</v>
      </c>
      <c r="BU2832" s="1"/>
      <c r="BV2832" s="1"/>
    </row>
    <row r="2833" spans="1:74">
      <c r="A2833" s="1" t="s">
        <v>72</v>
      </c>
      <c r="B2833" s="1" t="s">
        <v>44993</v>
      </c>
      <c r="C2833" s="1" t="s">
        <v>74</v>
      </c>
      <c r="D2833" s="1" t="s">
        <v>74</v>
      </c>
      <c r="E2833" s="1" t="s">
        <v>74</v>
      </c>
      <c r="F2833" s="1" t="s">
        <v>44994</v>
      </c>
      <c r="G2833" s="1" t="s">
        <v>74</v>
      </c>
      <c r="H2833" s="1" t="s">
        <v>74</v>
      </c>
      <c r="I2833" s="1" t="s">
        <v>44995</v>
      </c>
      <c r="J2833" s="1" t="s">
        <v>31052</v>
      </c>
      <c r="K2833" s="1" t="s">
        <v>74</v>
      </c>
      <c r="L2833" s="1" t="s">
        <v>74</v>
      </c>
      <c r="M2833" s="1" t="s">
        <v>78</v>
      </c>
      <c r="N2833" s="1" t="s">
        <v>79</v>
      </c>
      <c r="O2833" s="1" t="s">
        <v>74</v>
      </c>
      <c r="P2833" s="1" t="s">
        <v>74</v>
      </c>
      <c r="Q2833" s="1" t="s">
        <v>74</v>
      </c>
      <c r="R2833" s="1" t="s">
        <v>74</v>
      </c>
      <c r="S2833" s="1" t="s">
        <v>74</v>
      </c>
      <c r="T2833" s="1" t="s">
        <v>44996</v>
      </c>
      <c r="U2833" s="1" t="s">
        <v>44997</v>
      </c>
      <c r="V2833" s="1" t="s">
        <v>44998</v>
      </c>
      <c r="W2833" s="1" t="s">
        <v>44999</v>
      </c>
      <c r="X2833" s="1" t="s">
        <v>45000</v>
      </c>
      <c r="Y2833" s="1" t="s">
        <v>45001</v>
      </c>
      <c r="Z2833" s="1" t="s">
        <v>45002</v>
      </c>
      <c r="AA2833" s="1" t="s">
        <v>45003</v>
      </c>
      <c r="AB2833" s="1" t="s">
        <v>45004</v>
      </c>
      <c r="AC2833" s="1" t="s">
        <v>74</v>
      </c>
      <c r="AD2833" s="1" t="s">
        <v>74</v>
      </c>
      <c r="AE2833" s="1" t="s">
        <v>74</v>
      </c>
      <c r="AF2833" s="1" t="s">
        <v>74</v>
      </c>
      <c r="AG2833" s="1">
        <v>52</v>
      </c>
      <c r="AH2833" s="1">
        <v>6</v>
      </c>
      <c r="AI2833" s="1">
        <v>8</v>
      </c>
      <c r="AJ2833" s="1">
        <v>0</v>
      </c>
      <c r="AK2833" s="1">
        <v>15</v>
      </c>
      <c r="AL2833" s="1" t="s">
        <v>112</v>
      </c>
      <c r="AM2833" s="1" t="s">
        <v>191</v>
      </c>
      <c r="AN2833" s="1" t="s">
        <v>192</v>
      </c>
      <c r="AO2833" s="1" t="s">
        <v>31061</v>
      </c>
      <c r="AP2833" s="1" t="s">
        <v>31062</v>
      </c>
      <c r="AQ2833" s="1" t="s">
        <v>74</v>
      </c>
      <c r="AR2833" s="1" t="s">
        <v>31063</v>
      </c>
      <c r="AS2833" s="1" t="s">
        <v>31064</v>
      </c>
      <c r="AT2833" s="1" t="s">
        <v>119</v>
      </c>
      <c r="AU2833" s="1">
        <v>2006</v>
      </c>
      <c r="AV2833" s="1">
        <v>14</v>
      </c>
      <c r="AW2833" s="1">
        <v>4</v>
      </c>
      <c r="AX2833" s="1" t="s">
        <v>74</v>
      </c>
      <c r="AY2833" s="1" t="s">
        <v>74</v>
      </c>
      <c r="AZ2833" s="1" t="s">
        <v>74</v>
      </c>
      <c r="BA2833" s="1" t="s">
        <v>74</v>
      </c>
      <c r="BB2833" s="1">
        <v>395</v>
      </c>
      <c r="BC2833" s="1">
        <v>403</v>
      </c>
      <c r="BD2833" s="1" t="s">
        <v>74</v>
      </c>
      <c r="BE2833" s="1" t="s">
        <v>45005</v>
      </c>
      <c r="BF2833" s="1" t="str">
        <f>HYPERLINK("http://dx.doi.org/10.1007/s10499-005-9040-z","http://dx.doi.org/10.1007/s10499-005-9040-z")</f>
        <v>http://dx.doi.org/10.1007/s10499-005-9040-z</v>
      </c>
      <c r="BG2833" s="1" t="s">
        <v>74</v>
      </c>
      <c r="BH2833" s="1" t="s">
        <v>74</v>
      </c>
      <c r="BI2833" s="1">
        <v>9</v>
      </c>
      <c r="BJ2833" s="1" t="s">
        <v>746</v>
      </c>
      <c r="BK2833" s="1" t="s">
        <v>96</v>
      </c>
      <c r="BL2833" s="1" t="s">
        <v>746</v>
      </c>
      <c r="BM2833" s="1" t="s">
        <v>45006</v>
      </c>
      <c r="BN2833" s="1" t="s">
        <v>74</v>
      </c>
      <c r="BO2833" s="1" t="s">
        <v>74</v>
      </c>
      <c r="BP2833" s="1" t="s">
        <v>74</v>
      </c>
      <c r="BQ2833" s="1" t="s">
        <v>74</v>
      </c>
      <c r="BR2833" s="1" t="s">
        <v>98</v>
      </c>
      <c r="BS2833" s="1" t="s">
        <v>45007</v>
      </c>
      <c r="BT2833" s="1" t="str">
        <f>HYPERLINK("https%3A%2F%2Fwww.webofscience.com%2Fwos%2Fwoscc%2Ffull-record%2FWOS:000239722400005","View Full Record in Web of Science")</f>
        <v>View Full Record in Web of Science</v>
      </c>
      <c r="BU2833" s="1"/>
      <c r="BV2833" s="1"/>
    </row>
    <row r="2834" spans="1:74">
      <c r="A2834" s="1" t="s">
        <v>72</v>
      </c>
      <c r="B2834" s="1" t="s">
        <v>45008</v>
      </c>
      <c r="C2834" s="1" t="s">
        <v>74</v>
      </c>
      <c r="D2834" s="1" t="s">
        <v>74</v>
      </c>
      <c r="E2834" s="1" t="s">
        <v>74</v>
      </c>
      <c r="F2834" s="1" t="s">
        <v>45009</v>
      </c>
      <c r="G2834" s="1" t="s">
        <v>74</v>
      </c>
      <c r="H2834" s="1" t="s">
        <v>74</v>
      </c>
      <c r="I2834" s="1" t="s">
        <v>45010</v>
      </c>
      <c r="J2834" s="1" t="s">
        <v>7269</v>
      </c>
      <c r="K2834" s="1" t="s">
        <v>74</v>
      </c>
      <c r="L2834" s="1" t="s">
        <v>74</v>
      </c>
      <c r="M2834" s="1" t="s">
        <v>78</v>
      </c>
      <c r="N2834" s="1" t="s">
        <v>79</v>
      </c>
      <c r="O2834" s="1" t="s">
        <v>74</v>
      </c>
      <c r="P2834" s="1" t="s">
        <v>74</v>
      </c>
      <c r="Q2834" s="1" t="s">
        <v>74</v>
      </c>
      <c r="R2834" s="1" t="s">
        <v>74</v>
      </c>
      <c r="S2834" s="1" t="s">
        <v>74</v>
      </c>
      <c r="T2834" s="1" t="s">
        <v>45011</v>
      </c>
      <c r="U2834" s="1" t="s">
        <v>45012</v>
      </c>
      <c r="V2834" s="1" t="s">
        <v>45013</v>
      </c>
      <c r="W2834" s="1" t="s">
        <v>45014</v>
      </c>
      <c r="X2834" s="1" t="s">
        <v>45015</v>
      </c>
      <c r="Y2834" s="1" t="s">
        <v>45016</v>
      </c>
      <c r="Z2834" s="1" t="s">
        <v>45017</v>
      </c>
      <c r="AA2834" s="1" t="s">
        <v>45018</v>
      </c>
      <c r="AB2834" s="1" t="s">
        <v>74</v>
      </c>
      <c r="AC2834" s="1" t="s">
        <v>45019</v>
      </c>
      <c r="AD2834" s="1" t="s">
        <v>45020</v>
      </c>
      <c r="AE2834" s="1" t="s">
        <v>45021</v>
      </c>
      <c r="AF2834" s="1" t="s">
        <v>74</v>
      </c>
      <c r="AG2834" s="1">
        <v>55</v>
      </c>
      <c r="AH2834" s="1">
        <v>11</v>
      </c>
      <c r="AI2834" s="1">
        <v>11</v>
      </c>
      <c r="AJ2834" s="1">
        <v>18</v>
      </c>
      <c r="AK2834" s="1">
        <v>64</v>
      </c>
      <c r="AL2834" s="1" t="s">
        <v>650</v>
      </c>
      <c r="AM2834" s="1" t="s">
        <v>651</v>
      </c>
      <c r="AN2834" s="1" t="s">
        <v>652</v>
      </c>
      <c r="AO2834" s="1" t="s">
        <v>7282</v>
      </c>
      <c r="AP2834" s="1" t="s">
        <v>7283</v>
      </c>
      <c r="AQ2834" s="1" t="s">
        <v>74</v>
      </c>
      <c r="AR2834" s="1" t="s">
        <v>7284</v>
      </c>
      <c r="AS2834" s="1" t="s">
        <v>7285</v>
      </c>
      <c r="AT2834" s="1" t="s">
        <v>3506</v>
      </c>
      <c r="AU2834" s="1">
        <v>2023</v>
      </c>
      <c r="AV2834" s="1">
        <v>631</v>
      </c>
      <c r="AW2834" s="1" t="s">
        <v>74</v>
      </c>
      <c r="AX2834" s="1" t="s">
        <v>74</v>
      </c>
      <c r="AY2834" s="1" t="s">
        <v>74</v>
      </c>
      <c r="AZ2834" s="1" t="s">
        <v>74</v>
      </c>
      <c r="BA2834" s="1" t="s">
        <v>74</v>
      </c>
      <c r="BB2834" s="1" t="s">
        <v>74</v>
      </c>
      <c r="BC2834" s="1" t="s">
        <v>74</v>
      </c>
      <c r="BD2834" s="1">
        <v>157566</v>
      </c>
      <c r="BE2834" s="1" t="s">
        <v>45022</v>
      </c>
      <c r="BF2834" s="1" t="str">
        <f>HYPERLINK("http://dx.doi.org/10.1016/j.apsusc.2023.157566","http://dx.doi.org/10.1016/j.apsusc.2023.157566")</f>
        <v>http://dx.doi.org/10.1016/j.apsusc.2023.157566</v>
      </c>
      <c r="BG2834" s="1" t="s">
        <v>74</v>
      </c>
      <c r="BH2834" s="1" t="s">
        <v>2259</v>
      </c>
      <c r="BI2834" s="1">
        <v>10</v>
      </c>
      <c r="BJ2834" s="1" t="s">
        <v>7287</v>
      </c>
      <c r="BK2834" s="1" t="s">
        <v>96</v>
      </c>
      <c r="BL2834" s="1" t="s">
        <v>7288</v>
      </c>
      <c r="BM2834" s="1" t="s">
        <v>45023</v>
      </c>
      <c r="BN2834" s="1" t="s">
        <v>74</v>
      </c>
      <c r="BO2834" s="1" t="s">
        <v>74</v>
      </c>
      <c r="BP2834" s="1" t="s">
        <v>74</v>
      </c>
      <c r="BQ2834" s="1" t="s">
        <v>74</v>
      </c>
      <c r="BR2834" s="1" t="s">
        <v>98</v>
      </c>
      <c r="BS2834" s="1" t="s">
        <v>45024</v>
      </c>
      <c r="BT2834" s="1" t="str">
        <f>HYPERLINK("https%3A%2F%2Fwww.webofscience.com%2Fwos%2Fwoscc%2Ffull-record%2FWOS:001011441900001","View Full Record in Web of Science")</f>
        <v>View Full Record in Web of Science</v>
      </c>
      <c r="BU2834" s="1"/>
      <c r="BV2834" s="1"/>
    </row>
    <row r="2835" spans="1:74">
      <c r="A2835" s="1" t="s">
        <v>72</v>
      </c>
      <c r="B2835" s="1" t="s">
        <v>43325</v>
      </c>
      <c r="C2835" s="1" t="s">
        <v>74</v>
      </c>
      <c r="D2835" s="1" t="s">
        <v>74</v>
      </c>
      <c r="E2835" s="1" t="s">
        <v>74</v>
      </c>
      <c r="F2835" s="1" t="s">
        <v>43326</v>
      </c>
      <c r="G2835" s="1" t="s">
        <v>74</v>
      </c>
      <c r="H2835" s="1" t="s">
        <v>74</v>
      </c>
      <c r="I2835" s="1" t="s">
        <v>45025</v>
      </c>
      <c r="J2835" s="1" t="s">
        <v>6542</v>
      </c>
      <c r="K2835" s="1" t="s">
        <v>74</v>
      </c>
      <c r="L2835" s="1" t="s">
        <v>74</v>
      </c>
      <c r="M2835" s="1" t="s">
        <v>78</v>
      </c>
      <c r="N2835" s="1" t="s">
        <v>79</v>
      </c>
      <c r="O2835" s="1" t="s">
        <v>74</v>
      </c>
      <c r="P2835" s="1" t="s">
        <v>74</v>
      </c>
      <c r="Q2835" s="1" t="s">
        <v>74</v>
      </c>
      <c r="R2835" s="1" t="s">
        <v>74</v>
      </c>
      <c r="S2835" s="1" t="s">
        <v>74</v>
      </c>
      <c r="T2835" s="1" t="s">
        <v>74</v>
      </c>
      <c r="U2835" s="1" t="s">
        <v>45026</v>
      </c>
      <c r="V2835" s="1" t="s">
        <v>45027</v>
      </c>
      <c r="W2835" s="1" t="s">
        <v>45028</v>
      </c>
      <c r="X2835" s="1" t="s">
        <v>7465</v>
      </c>
      <c r="Y2835" s="1" t="s">
        <v>45029</v>
      </c>
      <c r="Z2835" s="1" t="s">
        <v>43333</v>
      </c>
      <c r="AA2835" s="1" t="s">
        <v>43334</v>
      </c>
      <c r="AB2835" s="1" t="s">
        <v>43335</v>
      </c>
      <c r="AC2835" s="1" t="s">
        <v>45030</v>
      </c>
      <c r="AD2835" s="1" t="s">
        <v>45031</v>
      </c>
      <c r="AE2835" s="1" t="s">
        <v>45032</v>
      </c>
      <c r="AF2835" s="1" t="s">
        <v>74</v>
      </c>
      <c r="AG2835" s="1">
        <v>23</v>
      </c>
      <c r="AH2835" s="1">
        <v>4</v>
      </c>
      <c r="AI2835" s="1">
        <v>4</v>
      </c>
      <c r="AJ2835" s="1">
        <v>0</v>
      </c>
      <c r="AK2835" s="1">
        <v>1</v>
      </c>
      <c r="AL2835" s="1" t="s">
        <v>6554</v>
      </c>
      <c r="AM2835" s="1" t="s">
        <v>113</v>
      </c>
      <c r="AN2835" s="1" t="s">
        <v>6555</v>
      </c>
      <c r="AO2835" s="1" t="s">
        <v>6556</v>
      </c>
      <c r="AP2835" s="1" t="s">
        <v>6557</v>
      </c>
      <c r="AQ2835" s="1" t="s">
        <v>74</v>
      </c>
      <c r="AR2835" s="1" t="s">
        <v>6558</v>
      </c>
      <c r="AS2835" s="1" t="s">
        <v>6559</v>
      </c>
      <c r="AT2835" s="1" t="s">
        <v>1470</v>
      </c>
      <c r="AU2835" s="1">
        <v>2019</v>
      </c>
      <c r="AV2835" s="1">
        <v>59</v>
      </c>
      <c r="AW2835" s="1">
        <v>1</v>
      </c>
      <c r="AX2835" s="1" t="s">
        <v>74</v>
      </c>
      <c r="AY2835" s="1" t="s">
        <v>74</v>
      </c>
      <c r="AZ2835" s="1" t="s">
        <v>74</v>
      </c>
      <c r="BA2835" s="1" t="s">
        <v>74</v>
      </c>
      <c r="BB2835" s="1">
        <v>75</v>
      </c>
      <c r="BC2835" s="1">
        <v>85</v>
      </c>
      <c r="BD2835" s="1" t="s">
        <v>74</v>
      </c>
      <c r="BE2835" s="1" t="s">
        <v>45033</v>
      </c>
      <c r="BF2835" s="1" t="str">
        <f>HYPERLINK("http://dx.doi.org/10.1134/S000143701901020X","http://dx.doi.org/10.1134/S000143701901020X")</f>
        <v>http://dx.doi.org/10.1134/S000143701901020X</v>
      </c>
      <c r="BG2835" s="1" t="s">
        <v>74</v>
      </c>
      <c r="BH2835" s="1" t="s">
        <v>74</v>
      </c>
      <c r="BI2835" s="1">
        <v>11</v>
      </c>
      <c r="BJ2835" s="1" t="s">
        <v>1439</v>
      </c>
      <c r="BK2835" s="1" t="s">
        <v>96</v>
      </c>
      <c r="BL2835" s="1" t="s">
        <v>1439</v>
      </c>
      <c r="BM2835" s="1" t="s">
        <v>45034</v>
      </c>
      <c r="BN2835" s="1" t="s">
        <v>74</v>
      </c>
      <c r="BO2835" s="1" t="s">
        <v>74</v>
      </c>
      <c r="BP2835" s="1" t="s">
        <v>74</v>
      </c>
      <c r="BQ2835" s="1" t="s">
        <v>74</v>
      </c>
      <c r="BR2835" s="1" t="s">
        <v>98</v>
      </c>
      <c r="BS2835" s="1" t="s">
        <v>45035</v>
      </c>
      <c r="BT2835" s="1" t="str">
        <f>HYPERLINK("https%3A%2F%2Fwww.webofscience.com%2Fwos%2Fwoscc%2Ffull-record%2FWOS:000467499600008","View Full Record in Web of Science")</f>
        <v>View Full Record in Web of Science</v>
      </c>
      <c r="BU2835" s="1"/>
      <c r="BV2835" s="1"/>
    </row>
    <row r="2836" spans="1:74">
      <c r="A2836" s="1" t="s">
        <v>72</v>
      </c>
      <c r="B2836" s="1" t="s">
        <v>45036</v>
      </c>
      <c r="C2836" s="1" t="s">
        <v>74</v>
      </c>
      <c r="D2836" s="1" t="s">
        <v>74</v>
      </c>
      <c r="E2836" s="1" t="s">
        <v>74</v>
      </c>
      <c r="F2836" s="1" t="s">
        <v>45037</v>
      </c>
      <c r="G2836" s="1" t="s">
        <v>74</v>
      </c>
      <c r="H2836" s="1" t="s">
        <v>74</v>
      </c>
      <c r="I2836" s="1" t="s">
        <v>45038</v>
      </c>
      <c r="J2836" s="1" t="s">
        <v>421</v>
      </c>
      <c r="K2836" s="1" t="s">
        <v>74</v>
      </c>
      <c r="L2836" s="1" t="s">
        <v>74</v>
      </c>
      <c r="M2836" s="1" t="s">
        <v>78</v>
      </c>
      <c r="N2836" s="1" t="s">
        <v>79</v>
      </c>
      <c r="O2836" s="1" t="s">
        <v>74</v>
      </c>
      <c r="P2836" s="1" t="s">
        <v>74</v>
      </c>
      <c r="Q2836" s="1" t="s">
        <v>74</v>
      </c>
      <c r="R2836" s="1" t="s">
        <v>74</v>
      </c>
      <c r="S2836" s="1" t="s">
        <v>74</v>
      </c>
      <c r="T2836" s="1" t="s">
        <v>45039</v>
      </c>
      <c r="U2836" s="1" t="s">
        <v>45040</v>
      </c>
      <c r="V2836" s="1" t="s">
        <v>45041</v>
      </c>
      <c r="W2836" s="1" t="s">
        <v>45042</v>
      </c>
      <c r="X2836" s="1" t="s">
        <v>45043</v>
      </c>
      <c r="Y2836" s="1" t="s">
        <v>45044</v>
      </c>
      <c r="Z2836" s="1" t="s">
        <v>30655</v>
      </c>
      <c r="AA2836" s="1" t="s">
        <v>45045</v>
      </c>
      <c r="AB2836" s="1" t="s">
        <v>18035</v>
      </c>
      <c r="AC2836" s="1" t="s">
        <v>45046</v>
      </c>
      <c r="AD2836" s="1" t="s">
        <v>45046</v>
      </c>
      <c r="AE2836" s="1" t="s">
        <v>45047</v>
      </c>
      <c r="AF2836" s="1" t="s">
        <v>74</v>
      </c>
      <c r="AG2836" s="1">
        <v>58</v>
      </c>
      <c r="AH2836" s="1">
        <v>0</v>
      </c>
      <c r="AI2836" s="1">
        <v>0</v>
      </c>
      <c r="AJ2836" s="1">
        <v>3</v>
      </c>
      <c r="AK2836" s="1">
        <v>3</v>
      </c>
      <c r="AL2836" s="1" t="s">
        <v>430</v>
      </c>
      <c r="AM2836" s="1" t="s">
        <v>7361</v>
      </c>
      <c r="AN2836" s="1" t="s">
        <v>7362</v>
      </c>
      <c r="AO2836" s="1" t="s">
        <v>432</v>
      </c>
      <c r="AP2836" s="1" t="s">
        <v>1394</v>
      </c>
      <c r="AQ2836" s="1" t="s">
        <v>74</v>
      </c>
      <c r="AR2836" s="1" t="s">
        <v>433</v>
      </c>
      <c r="AS2836" s="1" t="s">
        <v>434</v>
      </c>
      <c r="AT2836" s="1" t="s">
        <v>6052</v>
      </c>
      <c r="AU2836" s="1">
        <v>2024</v>
      </c>
      <c r="AV2836" s="1">
        <v>344</v>
      </c>
      <c r="AW2836" s="1" t="s">
        <v>74</v>
      </c>
      <c r="AX2836" s="1" t="s">
        <v>74</v>
      </c>
      <c r="AY2836" s="1" t="s">
        <v>74</v>
      </c>
      <c r="AZ2836" s="1" t="s">
        <v>74</v>
      </c>
      <c r="BA2836" s="1" t="s">
        <v>74</v>
      </c>
      <c r="BB2836" s="1" t="s">
        <v>74</v>
      </c>
      <c r="BC2836" s="1" t="s">
        <v>74</v>
      </c>
      <c r="BD2836" s="1">
        <v>123420</v>
      </c>
      <c r="BE2836" s="1" t="s">
        <v>45048</v>
      </c>
      <c r="BF2836" s="1" t="str">
        <f>HYPERLINK("http://dx.doi.org/10.1016/j.envpol.2024.123420","http://dx.doi.org/10.1016/j.envpol.2024.123420")</f>
        <v>http://dx.doi.org/10.1016/j.envpol.2024.123420</v>
      </c>
      <c r="BG2836" s="1" t="s">
        <v>74</v>
      </c>
      <c r="BH2836" s="1" t="s">
        <v>5287</v>
      </c>
      <c r="BI2836" s="1">
        <v>9</v>
      </c>
      <c r="BJ2836" s="1" t="s">
        <v>144</v>
      </c>
      <c r="BK2836" s="1" t="s">
        <v>96</v>
      </c>
      <c r="BL2836" s="1" t="s">
        <v>145</v>
      </c>
      <c r="BM2836" s="1" t="s">
        <v>45049</v>
      </c>
      <c r="BN2836" s="1" t="s">
        <v>74</v>
      </c>
      <c r="BO2836" s="1" t="s">
        <v>74</v>
      </c>
      <c r="BP2836" s="1" t="s">
        <v>74</v>
      </c>
      <c r="BQ2836" s="1" t="s">
        <v>74</v>
      </c>
      <c r="BR2836" s="1" t="s">
        <v>98</v>
      </c>
      <c r="BS2836" s="1" t="s">
        <v>45050</v>
      </c>
      <c r="BT2836" s="1" t="str">
        <f>HYPERLINK("https%3A%2F%2Fwww.webofscience.com%2Fwos%2Fwoscc%2Ffull-record%2FWOS:001177250600001","View Full Record in Web of Science")</f>
        <v>View Full Record in Web of Science</v>
      </c>
      <c r="BU2836" s="1"/>
      <c r="BV2836" s="1"/>
    </row>
    <row r="2837" spans="1:74">
      <c r="A2837" s="1" t="s">
        <v>72</v>
      </c>
      <c r="B2837" s="1" t="s">
        <v>45051</v>
      </c>
      <c r="C2837" s="1" t="s">
        <v>74</v>
      </c>
      <c r="D2837" s="1" t="s">
        <v>74</v>
      </c>
      <c r="E2837" s="1" t="s">
        <v>74</v>
      </c>
      <c r="F2837" s="1" t="s">
        <v>45052</v>
      </c>
      <c r="G2837" s="1" t="s">
        <v>74</v>
      </c>
      <c r="H2837" s="1" t="s">
        <v>74</v>
      </c>
      <c r="I2837" s="1" t="s">
        <v>45053</v>
      </c>
      <c r="J2837" s="1" t="s">
        <v>909</v>
      </c>
      <c r="K2837" s="1" t="s">
        <v>74</v>
      </c>
      <c r="L2837" s="1" t="s">
        <v>74</v>
      </c>
      <c r="M2837" s="1" t="s">
        <v>78</v>
      </c>
      <c r="N2837" s="1" t="s">
        <v>79</v>
      </c>
      <c r="O2837" s="1" t="s">
        <v>74</v>
      </c>
      <c r="P2837" s="1" t="s">
        <v>74</v>
      </c>
      <c r="Q2837" s="1" t="s">
        <v>74</v>
      </c>
      <c r="R2837" s="1" t="s">
        <v>74</v>
      </c>
      <c r="S2837" s="1" t="s">
        <v>74</v>
      </c>
      <c r="T2837" s="1" t="s">
        <v>45054</v>
      </c>
      <c r="U2837" s="1" t="s">
        <v>45055</v>
      </c>
      <c r="V2837" s="1" t="s">
        <v>45056</v>
      </c>
      <c r="W2837" s="1" t="s">
        <v>45057</v>
      </c>
      <c r="X2837" s="1" t="s">
        <v>45058</v>
      </c>
      <c r="Y2837" s="1" t="s">
        <v>45059</v>
      </c>
      <c r="Z2837" s="1" t="s">
        <v>45060</v>
      </c>
      <c r="AA2837" s="1" t="s">
        <v>45061</v>
      </c>
      <c r="AB2837" s="1" t="s">
        <v>45062</v>
      </c>
      <c r="AC2837" s="1" t="s">
        <v>45063</v>
      </c>
      <c r="AD2837" s="1" t="s">
        <v>45064</v>
      </c>
      <c r="AE2837" s="1" t="s">
        <v>45065</v>
      </c>
      <c r="AF2837" s="1" t="s">
        <v>74</v>
      </c>
      <c r="AG2837" s="1">
        <v>152</v>
      </c>
      <c r="AH2837" s="1">
        <v>14</v>
      </c>
      <c r="AI2837" s="1">
        <v>15</v>
      </c>
      <c r="AJ2837" s="1">
        <v>26</v>
      </c>
      <c r="AK2837" s="1">
        <v>138</v>
      </c>
      <c r="AL2837" s="1" t="s">
        <v>650</v>
      </c>
      <c r="AM2837" s="1" t="s">
        <v>651</v>
      </c>
      <c r="AN2837" s="1" t="s">
        <v>652</v>
      </c>
      <c r="AO2837" s="1" t="s">
        <v>921</v>
      </c>
      <c r="AP2837" s="1" t="s">
        <v>922</v>
      </c>
      <c r="AQ2837" s="1" t="s">
        <v>74</v>
      </c>
      <c r="AR2837" s="1" t="s">
        <v>923</v>
      </c>
      <c r="AS2837" s="1" t="s">
        <v>924</v>
      </c>
      <c r="AT2837" s="1" t="s">
        <v>6177</v>
      </c>
      <c r="AU2837" s="1">
        <v>2023</v>
      </c>
      <c r="AV2837" s="1">
        <v>870</v>
      </c>
      <c r="AW2837" s="1" t="s">
        <v>74</v>
      </c>
      <c r="AX2837" s="1" t="s">
        <v>74</v>
      </c>
      <c r="AY2837" s="1" t="s">
        <v>74</v>
      </c>
      <c r="AZ2837" s="1" t="s">
        <v>74</v>
      </c>
      <c r="BA2837" s="1" t="s">
        <v>74</v>
      </c>
      <c r="BB2837" s="1" t="s">
        <v>74</v>
      </c>
      <c r="BC2837" s="1" t="s">
        <v>74</v>
      </c>
      <c r="BD2837" s="1">
        <v>161950</v>
      </c>
      <c r="BE2837" s="1" t="s">
        <v>45066</v>
      </c>
      <c r="BF2837" s="1" t="str">
        <f>HYPERLINK("http://dx.doi.org/10.1016/j.scitotenv.2023.161950","http://dx.doi.org/10.1016/j.scitotenv.2023.161950")</f>
        <v>http://dx.doi.org/10.1016/j.scitotenv.2023.161950</v>
      </c>
      <c r="BG2837" s="1" t="s">
        <v>74</v>
      </c>
      <c r="BH2837" s="1" t="s">
        <v>10846</v>
      </c>
      <c r="BI2837" s="1">
        <v>21</v>
      </c>
      <c r="BJ2837" s="1" t="s">
        <v>144</v>
      </c>
      <c r="BK2837" s="1" t="s">
        <v>96</v>
      </c>
      <c r="BL2837" s="1" t="s">
        <v>145</v>
      </c>
      <c r="BM2837" s="1" t="s">
        <v>45067</v>
      </c>
      <c r="BN2837" s="1">
        <v>36740075</v>
      </c>
      <c r="BO2837" s="1" t="s">
        <v>74</v>
      </c>
      <c r="BP2837" s="1" t="s">
        <v>74</v>
      </c>
      <c r="BQ2837" s="1" t="s">
        <v>74</v>
      </c>
      <c r="BR2837" s="1" t="s">
        <v>98</v>
      </c>
      <c r="BS2837" s="1" t="s">
        <v>45068</v>
      </c>
      <c r="BT2837" s="1" t="str">
        <f>HYPERLINK("https%3A%2F%2Fwww.webofscience.com%2Fwos%2Fwoscc%2Ffull-record%2FWOS:000935416200001","View Full Record in Web of Science")</f>
        <v>View Full Record in Web of Science</v>
      </c>
      <c r="BU2837" s="1"/>
      <c r="BV2837" s="1"/>
    </row>
    <row r="2838" spans="1:74">
      <c r="A2838" s="1" t="s">
        <v>72</v>
      </c>
      <c r="B2838" s="1" t="s">
        <v>45069</v>
      </c>
      <c r="C2838" s="1" t="s">
        <v>74</v>
      </c>
      <c r="D2838" s="1" t="s">
        <v>74</v>
      </c>
      <c r="E2838" s="1" t="s">
        <v>74</v>
      </c>
      <c r="F2838" s="1" t="s">
        <v>45070</v>
      </c>
      <c r="G2838" s="1" t="s">
        <v>74</v>
      </c>
      <c r="H2838" s="1" t="s">
        <v>74</v>
      </c>
      <c r="I2838" s="1" t="s">
        <v>45071</v>
      </c>
      <c r="J2838" s="1" t="s">
        <v>232</v>
      </c>
      <c r="K2838" s="1" t="s">
        <v>74</v>
      </c>
      <c r="L2838" s="1" t="s">
        <v>74</v>
      </c>
      <c r="M2838" s="1" t="s">
        <v>78</v>
      </c>
      <c r="N2838" s="1" t="s">
        <v>79</v>
      </c>
      <c r="O2838" s="1" t="s">
        <v>74</v>
      </c>
      <c r="P2838" s="1" t="s">
        <v>74</v>
      </c>
      <c r="Q2838" s="1" t="s">
        <v>74</v>
      </c>
      <c r="R2838" s="1" t="s">
        <v>74</v>
      </c>
      <c r="S2838" s="1" t="s">
        <v>74</v>
      </c>
      <c r="T2838" s="1" t="s">
        <v>45072</v>
      </c>
      <c r="U2838" s="1" t="s">
        <v>45073</v>
      </c>
      <c r="V2838" s="1" t="s">
        <v>45074</v>
      </c>
      <c r="W2838" s="1" t="s">
        <v>45075</v>
      </c>
      <c r="X2838" s="1" t="s">
        <v>45076</v>
      </c>
      <c r="Y2838" s="1" t="s">
        <v>9733</v>
      </c>
      <c r="Z2838" s="1" t="s">
        <v>45077</v>
      </c>
      <c r="AA2838" s="1" t="s">
        <v>9735</v>
      </c>
      <c r="AB2838" s="1" t="s">
        <v>9736</v>
      </c>
      <c r="AC2838" s="1" t="s">
        <v>45078</v>
      </c>
      <c r="AD2838" s="1" t="s">
        <v>45079</v>
      </c>
      <c r="AE2838" s="1" t="s">
        <v>45080</v>
      </c>
      <c r="AF2838" s="1" t="s">
        <v>74</v>
      </c>
      <c r="AG2838" s="1">
        <v>49</v>
      </c>
      <c r="AH2838" s="1">
        <v>15</v>
      </c>
      <c r="AI2838" s="1">
        <v>15</v>
      </c>
      <c r="AJ2838" s="1">
        <v>0</v>
      </c>
      <c r="AK2838" s="1">
        <v>14</v>
      </c>
      <c r="AL2838" s="1" t="s">
        <v>136</v>
      </c>
      <c r="AM2838" s="1" t="s">
        <v>137</v>
      </c>
      <c r="AN2838" s="1" t="s">
        <v>138</v>
      </c>
      <c r="AO2838" s="1" t="s">
        <v>240</v>
      </c>
      <c r="AP2838" s="1" t="s">
        <v>241</v>
      </c>
      <c r="AQ2838" s="1" t="s">
        <v>74</v>
      </c>
      <c r="AR2838" s="1" t="s">
        <v>242</v>
      </c>
      <c r="AS2838" s="1" t="s">
        <v>243</v>
      </c>
      <c r="AT2838" s="1" t="s">
        <v>119</v>
      </c>
      <c r="AU2838" s="1">
        <v>2020</v>
      </c>
      <c r="AV2838" s="1">
        <v>157</v>
      </c>
      <c r="AW2838" s="1" t="s">
        <v>74</v>
      </c>
      <c r="AX2838" s="1" t="s">
        <v>74</v>
      </c>
      <c r="AY2838" s="1" t="s">
        <v>74</v>
      </c>
      <c r="AZ2838" s="1" t="s">
        <v>74</v>
      </c>
      <c r="BA2838" s="1" t="s">
        <v>74</v>
      </c>
      <c r="BB2838" s="1" t="s">
        <v>74</v>
      </c>
      <c r="BC2838" s="1" t="s">
        <v>74</v>
      </c>
      <c r="BD2838" s="1">
        <v>111372</v>
      </c>
      <c r="BE2838" s="1" t="s">
        <v>45081</v>
      </c>
      <c r="BF2838" s="1" t="str">
        <f>HYPERLINK("http://dx.doi.org/10.1016/j.marpolbul.2020.111372","http://dx.doi.org/10.1016/j.marpolbul.2020.111372")</f>
        <v>http://dx.doi.org/10.1016/j.marpolbul.2020.111372</v>
      </c>
      <c r="BG2838" s="1" t="s">
        <v>74</v>
      </c>
      <c r="BH2838" s="1" t="s">
        <v>74</v>
      </c>
      <c r="BI2838" s="1">
        <v>9</v>
      </c>
      <c r="BJ2838" s="1" t="s">
        <v>247</v>
      </c>
      <c r="BK2838" s="1" t="s">
        <v>96</v>
      </c>
      <c r="BL2838" s="1" t="s">
        <v>248</v>
      </c>
      <c r="BM2838" s="1" t="s">
        <v>42672</v>
      </c>
      <c r="BN2838" s="1">
        <v>32658714</v>
      </c>
      <c r="BO2838" s="1" t="s">
        <v>74</v>
      </c>
      <c r="BP2838" s="1" t="s">
        <v>74</v>
      </c>
      <c r="BQ2838" s="1" t="s">
        <v>74</v>
      </c>
      <c r="BR2838" s="1" t="s">
        <v>98</v>
      </c>
      <c r="BS2838" s="1" t="s">
        <v>45082</v>
      </c>
      <c r="BT2838" s="1" t="str">
        <f>HYPERLINK("https%3A%2F%2Fwww.webofscience.com%2Fwos%2Fwoscc%2Ffull-record%2FWOS:000548531100008","View Full Record in Web of Science")</f>
        <v>View Full Record in Web of Science</v>
      </c>
      <c r="BU2838" s="1"/>
      <c r="BV2838" s="1"/>
    </row>
    <row r="2839" spans="1:74">
      <c r="A2839" s="1" t="s">
        <v>72</v>
      </c>
      <c r="B2839" s="1" t="s">
        <v>45083</v>
      </c>
      <c r="C2839" s="1" t="s">
        <v>74</v>
      </c>
      <c r="D2839" s="1" t="s">
        <v>74</v>
      </c>
      <c r="E2839" s="1" t="s">
        <v>74</v>
      </c>
      <c r="F2839" s="1" t="s">
        <v>45084</v>
      </c>
      <c r="G2839" s="1" t="s">
        <v>74</v>
      </c>
      <c r="H2839" s="1" t="s">
        <v>74</v>
      </c>
      <c r="I2839" s="1" t="s">
        <v>45085</v>
      </c>
      <c r="J2839" s="1" t="s">
        <v>27473</v>
      </c>
      <c r="K2839" s="1" t="s">
        <v>74</v>
      </c>
      <c r="L2839" s="1" t="s">
        <v>74</v>
      </c>
      <c r="M2839" s="1" t="s">
        <v>78</v>
      </c>
      <c r="N2839" s="1" t="s">
        <v>79</v>
      </c>
      <c r="O2839" s="1" t="s">
        <v>74</v>
      </c>
      <c r="P2839" s="1" t="s">
        <v>74</v>
      </c>
      <c r="Q2839" s="1" t="s">
        <v>74</v>
      </c>
      <c r="R2839" s="1" t="s">
        <v>74</v>
      </c>
      <c r="S2839" s="1" t="s">
        <v>74</v>
      </c>
      <c r="T2839" s="1" t="s">
        <v>45086</v>
      </c>
      <c r="U2839" s="1" t="s">
        <v>45087</v>
      </c>
      <c r="V2839" s="1" t="s">
        <v>45088</v>
      </c>
      <c r="W2839" s="1" t="s">
        <v>45089</v>
      </c>
      <c r="X2839" s="1" t="s">
        <v>45090</v>
      </c>
      <c r="Y2839" s="1" t="s">
        <v>45091</v>
      </c>
      <c r="Z2839" s="1" t="s">
        <v>45092</v>
      </c>
      <c r="AA2839" s="1" t="s">
        <v>45093</v>
      </c>
      <c r="AB2839" s="1" t="s">
        <v>45094</v>
      </c>
      <c r="AC2839" s="1" t="s">
        <v>45095</v>
      </c>
      <c r="AD2839" s="1" t="s">
        <v>45096</v>
      </c>
      <c r="AE2839" s="1" t="s">
        <v>45097</v>
      </c>
      <c r="AF2839" s="1" t="s">
        <v>74</v>
      </c>
      <c r="AG2839" s="1">
        <v>74</v>
      </c>
      <c r="AH2839" s="1">
        <v>5</v>
      </c>
      <c r="AI2839" s="1">
        <v>6</v>
      </c>
      <c r="AJ2839" s="1">
        <v>2</v>
      </c>
      <c r="AK2839" s="1">
        <v>34</v>
      </c>
      <c r="AL2839" s="1" t="s">
        <v>650</v>
      </c>
      <c r="AM2839" s="1" t="s">
        <v>651</v>
      </c>
      <c r="AN2839" s="1" t="s">
        <v>652</v>
      </c>
      <c r="AO2839" s="1" t="s">
        <v>27481</v>
      </c>
      <c r="AP2839" s="1" t="s">
        <v>27482</v>
      </c>
      <c r="AQ2839" s="1" t="s">
        <v>74</v>
      </c>
      <c r="AR2839" s="1" t="s">
        <v>27473</v>
      </c>
      <c r="AS2839" s="1" t="s">
        <v>27483</v>
      </c>
      <c r="AT2839" s="1" t="s">
        <v>3891</v>
      </c>
      <c r="AU2839" s="1">
        <v>2023</v>
      </c>
      <c r="AV2839" s="1">
        <v>252</v>
      </c>
      <c r="AW2839" s="1" t="s">
        <v>74</v>
      </c>
      <c r="AX2839" s="1" t="s">
        <v>74</v>
      </c>
      <c r="AY2839" s="1" t="s">
        <v>74</v>
      </c>
      <c r="AZ2839" s="1" t="s">
        <v>74</v>
      </c>
      <c r="BA2839" s="1" t="s">
        <v>74</v>
      </c>
      <c r="BB2839" s="1" t="s">
        <v>74</v>
      </c>
      <c r="BC2839" s="1" t="s">
        <v>74</v>
      </c>
      <c r="BD2839" s="1">
        <v>123804</v>
      </c>
      <c r="BE2839" s="1" t="s">
        <v>45098</v>
      </c>
      <c r="BF2839" s="1" t="str">
        <f>HYPERLINK("http://dx.doi.org/10.1016/j.talanta.2022.123804","http://dx.doi.org/10.1016/j.talanta.2022.123804")</f>
        <v>http://dx.doi.org/10.1016/j.talanta.2022.123804</v>
      </c>
      <c r="BG2839" s="1" t="s">
        <v>74</v>
      </c>
      <c r="BH2839" s="1" t="s">
        <v>13858</v>
      </c>
      <c r="BI2839" s="1">
        <v>10</v>
      </c>
      <c r="BJ2839" s="1" t="s">
        <v>1196</v>
      </c>
      <c r="BK2839" s="1" t="s">
        <v>96</v>
      </c>
      <c r="BL2839" s="1" t="s">
        <v>1197</v>
      </c>
      <c r="BM2839" s="1" t="s">
        <v>45099</v>
      </c>
      <c r="BN2839" s="1">
        <v>35998445</v>
      </c>
      <c r="BO2839" s="1" t="s">
        <v>74</v>
      </c>
      <c r="BP2839" s="1" t="s">
        <v>74</v>
      </c>
      <c r="BQ2839" s="1" t="s">
        <v>74</v>
      </c>
      <c r="BR2839" s="1" t="s">
        <v>98</v>
      </c>
      <c r="BS2839" s="1" t="s">
        <v>45100</v>
      </c>
      <c r="BT2839" s="1" t="str">
        <f>HYPERLINK("https%3A%2F%2Fwww.webofscience.com%2Fwos%2Fwoscc%2Ffull-record%2FWOS:000860344000008","View Full Record in Web of Science")</f>
        <v>View Full Record in Web of Science</v>
      </c>
      <c r="BU2839" s="1"/>
      <c r="BV2839" s="1"/>
    </row>
    <row r="2840" spans="1:74">
      <c r="A2840" s="1" t="s">
        <v>72</v>
      </c>
      <c r="B2840" s="1" t="s">
        <v>45101</v>
      </c>
      <c r="C2840" s="1" t="s">
        <v>74</v>
      </c>
      <c r="D2840" s="1" t="s">
        <v>74</v>
      </c>
      <c r="E2840" s="1" t="s">
        <v>74</v>
      </c>
      <c r="F2840" s="1" t="s">
        <v>45102</v>
      </c>
      <c r="G2840" s="1" t="s">
        <v>74</v>
      </c>
      <c r="H2840" s="1" t="s">
        <v>74</v>
      </c>
      <c r="I2840" s="1" t="s">
        <v>45103</v>
      </c>
      <c r="J2840" s="1" t="s">
        <v>3349</v>
      </c>
      <c r="K2840" s="1" t="s">
        <v>74</v>
      </c>
      <c r="L2840" s="1" t="s">
        <v>74</v>
      </c>
      <c r="M2840" s="1" t="s">
        <v>78</v>
      </c>
      <c r="N2840" s="1" t="s">
        <v>79</v>
      </c>
      <c r="O2840" s="1" t="s">
        <v>74</v>
      </c>
      <c r="P2840" s="1" t="s">
        <v>74</v>
      </c>
      <c r="Q2840" s="1" t="s">
        <v>74</v>
      </c>
      <c r="R2840" s="1" t="s">
        <v>74</v>
      </c>
      <c r="S2840" s="1" t="s">
        <v>74</v>
      </c>
      <c r="T2840" s="1" t="s">
        <v>45104</v>
      </c>
      <c r="U2840" s="1" t="s">
        <v>45105</v>
      </c>
      <c r="V2840" s="1" t="s">
        <v>45106</v>
      </c>
      <c r="W2840" s="1" t="s">
        <v>45107</v>
      </c>
      <c r="X2840" s="1" t="s">
        <v>4489</v>
      </c>
      <c r="Y2840" s="1" t="s">
        <v>45108</v>
      </c>
      <c r="Z2840" s="1" t="s">
        <v>45109</v>
      </c>
      <c r="AA2840" s="1" t="s">
        <v>45110</v>
      </c>
      <c r="AB2840" s="1" t="s">
        <v>45111</v>
      </c>
      <c r="AC2840" s="1" t="s">
        <v>45112</v>
      </c>
      <c r="AD2840" s="1" t="s">
        <v>45113</v>
      </c>
      <c r="AE2840" s="1" t="s">
        <v>45114</v>
      </c>
      <c r="AF2840" s="1" t="s">
        <v>74</v>
      </c>
      <c r="AG2840" s="1">
        <v>36</v>
      </c>
      <c r="AH2840" s="1">
        <v>42</v>
      </c>
      <c r="AI2840" s="1">
        <v>52</v>
      </c>
      <c r="AJ2840" s="1">
        <v>1</v>
      </c>
      <c r="AK2840" s="1">
        <v>105</v>
      </c>
      <c r="AL2840" s="1" t="s">
        <v>3362</v>
      </c>
      <c r="AM2840" s="1" t="s">
        <v>3363</v>
      </c>
      <c r="AN2840" s="1" t="s">
        <v>3364</v>
      </c>
      <c r="AO2840" s="1" t="s">
        <v>3365</v>
      </c>
      <c r="AP2840" s="1" t="s">
        <v>3366</v>
      </c>
      <c r="AQ2840" s="1" t="s">
        <v>74</v>
      </c>
      <c r="AR2840" s="1" t="s">
        <v>3367</v>
      </c>
      <c r="AS2840" s="1" t="s">
        <v>3368</v>
      </c>
      <c r="AT2840" s="1" t="s">
        <v>951</v>
      </c>
      <c r="AU2840" s="1">
        <v>2014</v>
      </c>
      <c r="AV2840" s="1">
        <v>109</v>
      </c>
      <c r="AW2840" s="1" t="s">
        <v>74</v>
      </c>
      <c r="AX2840" s="1" t="s">
        <v>74</v>
      </c>
      <c r="AY2840" s="1" t="s">
        <v>74</v>
      </c>
      <c r="AZ2840" s="1" t="s">
        <v>74</v>
      </c>
      <c r="BA2840" s="1" t="s">
        <v>74</v>
      </c>
      <c r="BB2840" s="1">
        <v>1</v>
      </c>
      <c r="BC2840" s="1">
        <v>9</v>
      </c>
      <c r="BD2840" s="1" t="s">
        <v>74</v>
      </c>
      <c r="BE2840" s="1" t="s">
        <v>45115</v>
      </c>
      <c r="BF2840" s="1" t="str">
        <f>HYPERLINK("http://dx.doi.org/10.1016/j.ecoenv.2014.07.023","http://dx.doi.org/10.1016/j.ecoenv.2014.07.023")</f>
        <v>http://dx.doi.org/10.1016/j.ecoenv.2014.07.023</v>
      </c>
      <c r="BG2840" s="1" t="s">
        <v>74</v>
      </c>
      <c r="BH2840" s="1" t="s">
        <v>74</v>
      </c>
      <c r="BI2840" s="1">
        <v>9</v>
      </c>
      <c r="BJ2840" s="1" t="s">
        <v>121</v>
      </c>
      <c r="BK2840" s="1" t="s">
        <v>96</v>
      </c>
      <c r="BL2840" s="1" t="s">
        <v>122</v>
      </c>
      <c r="BM2840" s="1" t="s">
        <v>20692</v>
      </c>
      <c r="BN2840" s="1">
        <v>25128644</v>
      </c>
      <c r="BO2840" s="1" t="s">
        <v>1752</v>
      </c>
      <c r="BP2840" s="1" t="s">
        <v>74</v>
      </c>
      <c r="BQ2840" s="1" t="s">
        <v>74</v>
      </c>
      <c r="BR2840" s="1" t="s">
        <v>98</v>
      </c>
      <c r="BS2840" s="1" t="s">
        <v>45116</v>
      </c>
      <c r="BT2840" s="1" t="str">
        <f>HYPERLINK("https%3A%2F%2Fwww.webofscience.com%2Fwos%2Fwoscc%2Ffull-record%2FWOS:000343523900001","View Full Record in Web of Science")</f>
        <v>View Full Record in Web of Science</v>
      </c>
      <c r="BU2840" s="1"/>
      <c r="BV2840" s="1"/>
    </row>
    <row r="2841" spans="1:74">
      <c r="A2841" s="1" t="s">
        <v>72</v>
      </c>
      <c r="B2841" s="1" t="s">
        <v>45117</v>
      </c>
      <c r="C2841" s="1" t="s">
        <v>74</v>
      </c>
      <c r="D2841" s="1" t="s">
        <v>74</v>
      </c>
      <c r="E2841" s="1" t="s">
        <v>74</v>
      </c>
      <c r="F2841" s="1" t="s">
        <v>45118</v>
      </c>
      <c r="G2841" s="1" t="s">
        <v>74</v>
      </c>
      <c r="H2841" s="1" t="s">
        <v>74</v>
      </c>
      <c r="I2841" s="1" t="s">
        <v>45119</v>
      </c>
      <c r="J2841" s="1" t="s">
        <v>909</v>
      </c>
      <c r="K2841" s="1" t="s">
        <v>74</v>
      </c>
      <c r="L2841" s="1" t="s">
        <v>74</v>
      </c>
      <c r="M2841" s="1" t="s">
        <v>78</v>
      </c>
      <c r="N2841" s="1" t="s">
        <v>79</v>
      </c>
      <c r="O2841" s="1" t="s">
        <v>74</v>
      </c>
      <c r="P2841" s="1" t="s">
        <v>74</v>
      </c>
      <c r="Q2841" s="1" t="s">
        <v>74</v>
      </c>
      <c r="R2841" s="1" t="s">
        <v>74</v>
      </c>
      <c r="S2841" s="1" t="s">
        <v>74</v>
      </c>
      <c r="T2841" s="1" t="s">
        <v>45120</v>
      </c>
      <c r="U2841" s="1" t="s">
        <v>45121</v>
      </c>
      <c r="V2841" s="1" t="s">
        <v>45122</v>
      </c>
      <c r="W2841" s="1" t="s">
        <v>45123</v>
      </c>
      <c r="X2841" s="1" t="s">
        <v>45124</v>
      </c>
      <c r="Y2841" s="1" t="s">
        <v>45125</v>
      </c>
      <c r="Z2841" s="1" t="s">
        <v>45126</v>
      </c>
      <c r="AA2841" s="1" t="s">
        <v>45127</v>
      </c>
      <c r="AB2841" s="1" t="s">
        <v>45128</v>
      </c>
      <c r="AC2841" s="1" t="s">
        <v>45129</v>
      </c>
      <c r="AD2841" s="1" t="s">
        <v>45130</v>
      </c>
      <c r="AE2841" s="1" t="s">
        <v>45131</v>
      </c>
      <c r="AF2841" s="1" t="s">
        <v>74</v>
      </c>
      <c r="AG2841" s="1">
        <v>55</v>
      </c>
      <c r="AH2841" s="1">
        <v>39</v>
      </c>
      <c r="AI2841" s="1">
        <v>40</v>
      </c>
      <c r="AJ2841" s="1">
        <v>1</v>
      </c>
      <c r="AK2841" s="1">
        <v>100</v>
      </c>
      <c r="AL2841" s="1" t="s">
        <v>919</v>
      </c>
      <c r="AM2841" s="1" t="s">
        <v>651</v>
      </c>
      <c r="AN2841" s="1" t="s">
        <v>920</v>
      </c>
      <c r="AO2841" s="1" t="s">
        <v>921</v>
      </c>
      <c r="AP2841" s="1" t="s">
        <v>922</v>
      </c>
      <c r="AQ2841" s="1" t="s">
        <v>74</v>
      </c>
      <c r="AR2841" s="1" t="s">
        <v>923</v>
      </c>
      <c r="AS2841" s="1" t="s">
        <v>924</v>
      </c>
      <c r="AT2841" s="1" t="s">
        <v>8920</v>
      </c>
      <c r="AU2841" s="1">
        <v>2018</v>
      </c>
      <c r="AV2841" s="1">
        <v>640</v>
      </c>
      <c r="AW2841" s="1" t="s">
        <v>74</v>
      </c>
      <c r="AX2841" s="1" t="s">
        <v>74</v>
      </c>
      <c r="AY2841" s="1" t="s">
        <v>74</v>
      </c>
      <c r="AZ2841" s="1" t="s">
        <v>74</v>
      </c>
      <c r="BA2841" s="1" t="s">
        <v>74</v>
      </c>
      <c r="BB2841" s="1">
        <v>501</v>
      </c>
      <c r="BC2841" s="1">
        <v>511</v>
      </c>
      <c r="BD2841" s="1" t="s">
        <v>74</v>
      </c>
      <c r="BE2841" s="1" t="s">
        <v>45132</v>
      </c>
      <c r="BF2841" s="1" t="str">
        <f>HYPERLINK("http://dx.doi.org/10.1016/j.scitotenv.2018.05.302","http://dx.doi.org/10.1016/j.scitotenv.2018.05.302")</f>
        <v>http://dx.doi.org/10.1016/j.scitotenv.2018.05.302</v>
      </c>
      <c r="BG2841" s="1" t="s">
        <v>74</v>
      </c>
      <c r="BH2841" s="1" t="s">
        <v>74</v>
      </c>
      <c r="BI2841" s="1">
        <v>11</v>
      </c>
      <c r="BJ2841" s="1" t="s">
        <v>144</v>
      </c>
      <c r="BK2841" s="1" t="s">
        <v>96</v>
      </c>
      <c r="BL2841" s="1" t="s">
        <v>145</v>
      </c>
      <c r="BM2841" s="1" t="s">
        <v>27926</v>
      </c>
      <c r="BN2841" s="1">
        <v>29864664</v>
      </c>
      <c r="BO2841" s="1" t="s">
        <v>1752</v>
      </c>
      <c r="BP2841" s="1" t="s">
        <v>74</v>
      </c>
      <c r="BQ2841" s="1" t="s">
        <v>74</v>
      </c>
      <c r="BR2841" s="1" t="s">
        <v>98</v>
      </c>
      <c r="BS2841" s="1" t="s">
        <v>45133</v>
      </c>
      <c r="BT2841" s="1" t="str">
        <f>HYPERLINK("https%3A%2F%2Fwww.webofscience.com%2Fwos%2Fwoscc%2Ffull-record%2FWOS:000438408800051","View Full Record in Web of Science")</f>
        <v>View Full Record in Web of Science</v>
      </c>
      <c r="BU2841" s="1"/>
      <c r="BV2841" s="1"/>
    </row>
    <row r="2842" spans="1:74">
      <c r="A2842" s="1" t="s">
        <v>72</v>
      </c>
      <c r="B2842" s="1" t="s">
        <v>45134</v>
      </c>
      <c r="C2842" s="1" t="s">
        <v>74</v>
      </c>
      <c r="D2842" s="1" t="s">
        <v>74</v>
      </c>
      <c r="E2842" s="1" t="s">
        <v>74</v>
      </c>
      <c r="F2842" s="1" t="s">
        <v>45135</v>
      </c>
      <c r="G2842" s="1" t="s">
        <v>74</v>
      </c>
      <c r="H2842" s="1" t="s">
        <v>74</v>
      </c>
      <c r="I2842" s="1" t="s">
        <v>45136</v>
      </c>
      <c r="J2842" s="1" t="s">
        <v>1275</v>
      </c>
      <c r="K2842" s="1" t="s">
        <v>74</v>
      </c>
      <c r="L2842" s="1" t="s">
        <v>74</v>
      </c>
      <c r="M2842" s="1" t="s">
        <v>78</v>
      </c>
      <c r="N2842" s="1" t="s">
        <v>79</v>
      </c>
      <c r="O2842" s="1" t="s">
        <v>74</v>
      </c>
      <c r="P2842" s="1" t="s">
        <v>74</v>
      </c>
      <c r="Q2842" s="1" t="s">
        <v>74</v>
      </c>
      <c r="R2842" s="1" t="s">
        <v>74</v>
      </c>
      <c r="S2842" s="1" t="s">
        <v>74</v>
      </c>
      <c r="T2842" s="1" t="s">
        <v>45137</v>
      </c>
      <c r="U2842" s="1" t="s">
        <v>45138</v>
      </c>
      <c r="V2842" s="1" t="s">
        <v>45139</v>
      </c>
      <c r="W2842" s="1" t="s">
        <v>45140</v>
      </c>
      <c r="X2842" s="1" t="s">
        <v>21697</v>
      </c>
      <c r="Y2842" s="1" t="s">
        <v>14692</v>
      </c>
      <c r="Z2842" s="1" t="s">
        <v>45141</v>
      </c>
      <c r="AA2842" s="1" t="s">
        <v>45142</v>
      </c>
      <c r="AB2842" s="1" t="s">
        <v>45143</v>
      </c>
      <c r="AC2842" s="1" t="s">
        <v>45144</v>
      </c>
      <c r="AD2842" s="1" t="s">
        <v>45145</v>
      </c>
      <c r="AE2842" s="1" t="s">
        <v>45146</v>
      </c>
      <c r="AF2842" s="1" t="s">
        <v>74</v>
      </c>
      <c r="AG2842" s="1">
        <v>41</v>
      </c>
      <c r="AH2842" s="1">
        <v>8</v>
      </c>
      <c r="AI2842" s="1">
        <v>8</v>
      </c>
      <c r="AJ2842" s="1">
        <v>4</v>
      </c>
      <c r="AK2842" s="1">
        <v>18</v>
      </c>
      <c r="AL2842" s="1" t="s">
        <v>650</v>
      </c>
      <c r="AM2842" s="1" t="s">
        <v>651</v>
      </c>
      <c r="AN2842" s="1" t="s">
        <v>652</v>
      </c>
      <c r="AO2842" s="1" t="s">
        <v>1287</v>
      </c>
      <c r="AP2842" s="1" t="s">
        <v>74</v>
      </c>
      <c r="AQ2842" s="1" t="s">
        <v>74</v>
      </c>
      <c r="AR2842" s="1" t="s">
        <v>1288</v>
      </c>
      <c r="AS2842" s="1" t="s">
        <v>1289</v>
      </c>
      <c r="AT2842" s="1" t="s">
        <v>1470</v>
      </c>
      <c r="AU2842" s="1">
        <v>2020</v>
      </c>
      <c r="AV2842" s="1">
        <v>33</v>
      </c>
      <c r="AW2842" s="1" t="s">
        <v>74</v>
      </c>
      <c r="AX2842" s="1" t="s">
        <v>74</v>
      </c>
      <c r="AY2842" s="1" t="s">
        <v>74</v>
      </c>
      <c r="AZ2842" s="1" t="s">
        <v>74</v>
      </c>
      <c r="BA2842" s="1" t="s">
        <v>74</v>
      </c>
      <c r="BB2842" s="1" t="s">
        <v>74</v>
      </c>
      <c r="BC2842" s="1" t="s">
        <v>74</v>
      </c>
      <c r="BD2842" s="1">
        <v>100948</v>
      </c>
      <c r="BE2842" s="1" t="s">
        <v>45147</v>
      </c>
      <c r="BF2842" s="1" t="str">
        <f>HYPERLINK("http://dx.doi.org/10.1016/j.rsma.2019.100948","http://dx.doi.org/10.1016/j.rsma.2019.100948")</f>
        <v>http://dx.doi.org/10.1016/j.rsma.2019.100948</v>
      </c>
      <c r="BG2842" s="1" t="s">
        <v>74</v>
      </c>
      <c r="BH2842" s="1" t="s">
        <v>74</v>
      </c>
      <c r="BI2842" s="1">
        <v>7</v>
      </c>
      <c r="BJ2842" s="1" t="s">
        <v>1292</v>
      </c>
      <c r="BK2842" s="1" t="s">
        <v>96</v>
      </c>
      <c r="BL2842" s="1" t="s">
        <v>248</v>
      </c>
      <c r="BM2842" s="1" t="s">
        <v>45148</v>
      </c>
      <c r="BN2842" s="1" t="s">
        <v>74</v>
      </c>
      <c r="BO2842" s="1" t="s">
        <v>74</v>
      </c>
      <c r="BP2842" s="1" t="s">
        <v>74</v>
      </c>
      <c r="BQ2842" s="1" t="s">
        <v>74</v>
      </c>
      <c r="BR2842" s="1" t="s">
        <v>98</v>
      </c>
      <c r="BS2842" s="1" t="s">
        <v>45149</v>
      </c>
      <c r="BT2842" s="1" t="str">
        <f>HYPERLINK("https%3A%2F%2Fwww.webofscience.com%2Fwos%2Fwoscc%2Ffull-record%2FWOS:000512766500028","View Full Record in Web of Science")</f>
        <v>View Full Record in Web of Science</v>
      </c>
      <c r="BU2842" s="1"/>
      <c r="BV2842" s="1"/>
    </row>
    <row r="2843" spans="1:74">
      <c r="A2843" s="1" t="s">
        <v>72</v>
      </c>
      <c r="B2843" s="1" t="s">
        <v>35878</v>
      </c>
      <c r="C2843" s="1" t="s">
        <v>74</v>
      </c>
      <c r="D2843" s="1" t="s">
        <v>74</v>
      </c>
      <c r="E2843" s="1" t="s">
        <v>74</v>
      </c>
      <c r="F2843" s="1" t="s">
        <v>35879</v>
      </c>
      <c r="G2843" s="1" t="s">
        <v>74</v>
      </c>
      <c r="H2843" s="1" t="s">
        <v>74</v>
      </c>
      <c r="I2843" s="1" t="s">
        <v>45150</v>
      </c>
      <c r="J2843" s="1" t="s">
        <v>909</v>
      </c>
      <c r="K2843" s="1" t="s">
        <v>74</v>
      </c>
      <c r="L2843" s="1" t="s">
        <v>74</v>
      </c>
      <c r="M2843" s="1" t="s">
        <v>78</v>
      </c>
      <c r="N2843" s="1" t="s">
        <v>79</v>
      </c>
      <c r="O2843" s="1" t="s">
        <v>74</v>
      </c>
      <c r="P2843" s="1" t="s">
        <v>74</v>
      </c>
      <c r="Q2843" s="1" t="s">
        <v>74</v>
      </c>
      <c r="R2843" s="1" t="s">
        <v>74</v>
      </c>
      <c r="S2843" s="1" t="s">
        <v>74</v>
      </c>
      <c r="T2843" s="1" t="s">
        <v>45151</v>
      </c>
      <c r="U2843" s="1" t="s">
        <v>45152</v>
      </c>
      <c r="V2843" s="1" t="s">
        <v>45153</v>
      </c>
      <c r="W2843" s="1" t="s">
        <v>45154</v>
      </c>
      <c r="X2843" s="1" t="s">
        <v>7102</v>
      </c>
      <c r="Y2843" s="1" t="s">
        <v>45155</v>
      </c>
      <c r="Z2843" s="1" t="s">
        <v>45156</v>
      </c>
      <c r="AA2843" s="1" t="s">
        <v>45157</v>
      </c>
      <c r="AB2843" s="1" t="s">
        <v>45158</v>
      </c>
      <c r="AC2843" s="1" t="s">
        <v>45159</v>
      </c>
      <c r="AD2843" s="1" t="s">
        <v>45160</v>
      </c>
      <c r="AE2843" s="1" t="s">
        <v>45161</v>
      </c>
      <c r="AF2843" s="1" t="s">
        <v>74</v>
      </c>
      <c r="AG2843" s="1">
        <v>91</v>
      </c>
      <c r="AH2843" s="1">
        <v>1</v>
      </c>
      <c r="AI2843" s="1">
        <v>1</v>
      </c>
      <c r="AJ2843" s="1">
        <v>4</v>
      </c>
      <c r="AK2843" s="1">
        <v>5</v>
      </c>
      <c r="AL2843" s="1" t="s">
        <v>650</v>
      </c>
      <c r="AM2843" s="1" t="s">
        <v>651</v>
      </c>
      <c r="AN2843" s="1" t="s">
        <v>652</v>
      </c>
      <c r="AO2843" s="1" t="s">
        <v>921</v>
      </c>
      <c r="AP2843" s="1" t="s">
        <v>922</v>
      </c>
      <c r="AQ2843" s="1" t="s">
        <v>74</v>
      </c>
      <c r="AR2843" s="1" t="s">
        <v>923</v>
      </c>
      <c r="AS2843" s="1" t="s">
        <v>924</v>
      </c>
      <c r="AT2843" s="1" t="s">
        <v>14898</v>
      </c>
      <c r="AU2843" s="1">
        <v>2024</v>
      </c>
      <c r="AV2843" s="1">
        <v>913</v>
      </c>
      <c r="AW2843" s="1" t="s">
        <v>74</v>
      </c>
      <c r="AX2843" s="1" t="s">
        <v>74</v>
      </c>
      <c r="AY2843" s="1" t="s">
        <v>74</v>
      </c>
      <c r="AZ2843" s="1" t="s">
        <v>74</v>
      </c>
      <c r="BA2843" s="1" t="s">
        <v>74</v>
      </c>
      <c r="BB2843" s="1" t="s">
        <v>74</v>
      </c>
      <c r="BC2843" s="1" t="s">
        <v>74</v>
      </c>
      <c r="BD2843" s="1">
        <v>169676</v>
      </c>
      <c r="BE2843" s="1" t="s">
        <v>45162</v>
      </c>
      <c r="BF2843" s="1" t="str">
        <f>HYPERLINK("http://dx.doi.org/10.1016/j.scitotenv.2023.169676","http://dx.doi.org/10.1016/j.scitotenv.2023.169676")</f>
        <v>http://dx.doi.org/10.1016/j.scitotenv.2023.169676</v>
      </c>
      <c r="BG2843" s="1" t="s">
        <v>74</v>
      </c>
      <c r="BH2843" s="1" t="s">
        <v>5287</v>
      </c>
      <c r="BI2843" s="1">
        <v>13</v>
      </c>
      <c r="BJ2843" s="1" t="s">
        <v>144</v>
      </c>
      <c r="BK2843" s="1" t="s">
        <v>96</v>
      </c>
      <c r="BL2843" s="1" t="s">
        <v>145</v>
      </c>
      <c r="BM2843" s="1" t="s">
        <v>45163</v>
      </c>
      <c r="BN2843" s="1">
        <v>38160819</v>
      </c>
      <c r="BO2843" s="1" t="s">
        <v>476</v>
      </c>
      <c r="BP2843" s="1" t="s">
        <v>74</v>
      </c>
      <c r="BQ2843" s="1" t="s">
        <v>74</v>
      </c>
      <c r="BR2843" s="1" t="s">
        <v>98</v>
      </c>
      <c r="BS2843" s="1" t="s">
        <v>45164</v>
      </c>
      <c r="BT2843" s="1" t="str">
        <f>HYPERLINK("https%3A%2F%2Fwww.webofscience.com%2Fwos%2Fwoscc%2Ffull-record%2FWOS:001154613700001","View Full Record in Web of Science")</f>
        <v>View Full Record in Web of Science</v>
      </c>
      <c r="BU2843" s="1"/>
      <c r="BV2843" s="1"/>
    </row>
    <row r="2844" spans="1:74">
      <c r="A2844" s="1" t="s">
        <v>72</v>
      </c>
      <c r="B2844" s="1" t="s">
        <v>45165</v>
      </c>
      <c r="C2844" s="1" t="s">
        <v>74</v>
      </c>
      <c r="D2844" s="1" t="s">
        <v>74</v>
      </c>
      <c r="E2844" s="1" t="s">
        <v>74</v>
      </c>
      <c r="F2844" s="1" t="s">
        <v>45166</v>
      </c>
      <c r="G2844" s="1" t="s">
        <v>74</v>
      </c>
      <c r="H2844" s="1" t="s">
        <v>74</v>
      </c>
      <c r="I2844" s="1" t="s">
        <v>45167</v>
      </c>
      <c r="J2844" s="1" t="s">
        <v>421</v>
      </c>
      <c r="K2844" s="1" t="s">
        <v>74</v>
      </c>
      <c r="L2844" s="1" t="s">
        <v>74</v>
      </c>
      <c r="M2844" s="1" t="s">
        <v>78</v>
      </c>
      <c r="N2844" s="1" t="s">
        <v>79</v>
      </c>
      <c r="O2844" s="1" t="s">
        <v>74</v>
      </c>
      <c r="P2844" s="1" t="s">
        <v>74</v>
      </c>
      <c r="Q2844" s="1" t="s">
        <v>74</v>
      </c>
      <c r="R2844" s="1" t="s">
        <v>74</v>
      </c>
      <c r="S2844" s="1" t="s">
        <v>74</v>
      </c>
      <c r="T2844" s="1" t="s">
        <v>45168</v>
      </c>
      <c r="U2844" s="1" t="s">
        <v>45169</v>
      </c>
      <c r="V2844" s="1" t="s">
        <v>45170</v>
      </c>
      <c r="W2844" s="1" t="s">
        <v>45171</v>
      </c>
      <c r="X2844" s="1" t="s">
        <v>45172</v>
      </c>
      <c r="Y2844" s="1" t="s">
        <v>40489</v>
      </c>
      <c r="Z2844" s="1" t="s">
        <v>21657</v>
      </c>
      <c r="AA2844" s="1" t="s">
        <v>2900</v>
      </c>
      <c r="AB2844" s="1" t="s">
        <v>2183</v>
      </c>
      <c r="AC2844" s="1" t="s">
        <v>74</v>
      </c>
      <c r="AD2844" s="1" t="s">
        <v>74</v>
      </c>
      <c r="AE2844" s="1" t="s">
        <v>74</v>
      </c>
      <c r="AF2844" s="1" t="s">
        <v>74</v>
      </c>
      <c r="AG2844" s="1">
        <v>24</v>
      </c>
      <c r="AH2844" s="1">
        <v>50</v>
      </c>
      <c r="AI2844" s="1">
        <v>53</v>
      </c>
      <c r="AJ2844" s="1">
        <v>1</v>
      </c>
      <c r="AK2844" s="1">
        <v>53</v>
      </c>
      <c r="AL2844" s="1" t="s">
        <v>430</v>
      </c>
      <c r="AM2844" s="1" t="s">
        <v>137</v>
      </c>
      <c r="AN2844" s="1" t="s">
        <v>431</v>
      </c>
      <c r="AO2844" s="1" t="s">
        <v>432</v>
      </c>
      <c r="AP2844" s="1" t="s">
        <v>74</v>
      </c>
      <c r="AQ2844" s="1" t="s">
        <v>74</v>
      </c>
      <c r="AR2844" s="1" t="s">
        <v>433</v>
      </c>
      <c r="AS2844" s="1" t="s">
        <v>434</v>
      </c>
      <c r="AT2844" s="1" t="s">
        <v>267</v>
      </c>
      <c r="AU2844" s="1">
        <v>2011</v>
      </c>
      <c r="AV2844" s="1">
        <v>159</v>
      </c>
      <c r="AW2844" s="1">
        <v>10</v>
      </c>
      <c r="AX2844" s="1" t="s">
        <v>74</v>
      </c>
      <c r="AY2844" s="1" t="s">
        <v>74</v>
      </c>
      <c r="AZ2844" s="1" t="s">
        <v>74</v>
      </c>
      <c r="BA2844" s="1" t="s">
        <v>74</v>
      </c>
      <c r="BB2844" s="1">
        <v>2347</v>
      </c>
      <c r="BC2844" s="1">
        <v>2349</v>
      </c>
      <c r="BD2844" s="1" t="s">
        <v>74</v>
      </c>
      <c r="BE2844" s="1" t="s">
        <v>45173</v>
      </c>
      <c r="BF2844" s="1" t="str">
        <f>HYPERLINK("http://dx.doi.org/10.1016/j.envpol.2011.06.040","http://dx.doi.org/10.1016/j.envpol.2011.06.040")</f>
        <v>http://dx.doi.org/10.1016/j.envpol.2011.06.040</v>
      </c>
      <c r="BG2844" s="1" t="s">
        <v>74</v>
      </c>
      <c r="BH2844" s="1" t="s">
        <v>74</v>
      </c>
      <c r="BI2844" s="1">
        <v>3</v>
      </c>
      <c r="BJ2844" s="1" t="s">
        <v>144</v>
      </c>
      <c r="BK2844" s="1" t="s">
        <v>96</v>
      </c>
      <c r="BL2844" s="1" t="s">
        <v>145</v>
      </c>
      <c r="BM2844" s="1" t="s">
        <v>4185</v>
      </c>
      <c r="BN2844" s="1">
        <v>21782298</v>
      </c>
      <c r="BO2844" s="1" t="s">
        <v>74</v>
      </c>
      <c r="BP2844" s="1" t="s">
        <v>74</v>
      </c>
      <c r="BQ2844" s="1" t="s">
        <v>74</v>
      </c>
      <c r="BR2844" s="1" t="s">
        <v>98</v>
      </c>
      <c r="BS2844" s="1" t="s">
        <v>45174</v>
      </c>
      <c r="BT2844" s="1" t="str">
        <f>HYPERLINK("https%3A%2F%2Fwww.webofscience.com%2Fwos%2Fwoscc%2Ffull-record%2FWOS:000295493100015","View Full Record in Web of Science")</f>
        <v>View Full Record in Web of Science</v>
      </c>
      <c r="BU2844" s="1"/>
      <c r="BV2844" s="1"/>
    </row>
    <row r="2845" spans="1:74">
      <c r="A2845" s="1" t="s">
        <v>72</v>
      </c>
      <c r="B2845" s="1" t="s">
        <v>45175</v>
      </c>
      <c r="C2845" s="1" t="s">
        <v>74</v>
      </c>
      <c r="D2845" s="1" t="s">
        <v>74</v>
      </c>
      <c r="E2845" s="1" t="s">
        <v>74</v>
      </c>
      <c r="F2845" s="1" t="s">
        <v>45175</v>
      </c>
      <c r="G2845" s="1" t="s">
        <v>74</v>
      </c>
      <c r="H2845" s="1" t="s">
        <v>74</v>
      </c>
      <c r="I2845" s="1" t="s">
        <v>45176</v>
      </c>
      <c r="J2845" s="1" t="s">
        <v>44038</v>
      </c>
      <c r="K2845" s="1" t="s">
        <v>74</v>
      </c>
      <c r="L2845" s="1" t="s">
        <v>74</v>
      </c>
      <c r="M2845" s="1" t="s">
        <v>78</v>
      </c>
      <c r="N2845" s="1" t="s">
        <v>79</v>
      </c>
      <c r="O2845" s="1" t="s">
        <v>74</v>
      </c>
      <c r="P2845" s="1" t="s">
        <v>74</v>
      </c>
      <c r="Q2845" s="1" t="s">
        <v>74</v>
      </c>
      <c r="R2845" s="1" t="s">
        <v>74</v>
      </c>
      <c r="S2845" s="1" t="s">
        <v>74</v>
      </c>
      <c r="T2845" s="1" t="s">
        <v>45177</v>
      </c>
      <c r="U2845" s="1" t="s">
        <v>45178</v>
      </c>
      <c r="V2845" s="1" t="s">
        <v>45179</v>
      </c>
      <c r="W2845" s="1" t="s">
        <v>45180</v>
      </c>
      <c r="X2845" s="1" t="s">
        <v>45181</v>
      </c>
      <c r="Y2845" s="1" t="s">
        <v>45182</v>
      </c>
      <c r="Z2845" s="1" t="s">
        <v>74</v>
      </c>
      <c r="AA2845" s="1" t="s">
        <v>45183</v>
      </c>
      <c r="AB2845" s="1" t="s">
        <v>45184</v>
      </c>
      <c r="AC2845" s="1" t="s">
        <v>74</v>
      </c>
      <c r="AD2845" s="1" t="s">
        <v>74</v>
      </c>
      <c r="AE2845" s="1" t="s">
        <v>74</v>
      </c>
      <c r="AF2845" s="1" t="s">
        <v>74</v>
      </c>
      <c r="AG2845" s="1">
        <v>37</v>
      </c>
      <c r="AH2845" s="1">
        <v>18</v>
      </c>
      <c r="AI2845" s="1">
        <v>25</v>
      </c>
      <c r="AJ2845" s="1">
        <v>0</v>
      </c>
      <c r="AK2845" s="1">
        <v>51</v>
      </c>
      <c r="AL2845" s="1" t="s">
        <v>112</v>
      </c>
      <c r="AM2845" s="1" t="s">
        <v>113</v>
      </c>
      <c r="AN2845" s="1" t="s">
        <v>1008</v>
      </c>
      <c r="AO2845" s="1" t="s">
        <v>44045</v>
      </c>
      <c r="AP2845" s="1" t="s">
        <v>74</v>
      </c>
      <c r="AQ2845" s="1" t="s">
        <v>74</v>
      </c>
      <c r="AR2845" s="1" t="s">
        <v>44046</v>
      </c>
      <c r="AS2845" s="1" t="s">
        <v>44047</v>
      </c>
      <c r="AT2845" s="1" t="s">
        <v>170</v>
      </c>
      <c r="AU2845" s="1">
        <v>2004</v>
      </c>
      <c r="AV2845" s="1">
        <v>33</v>
      </c>
      <c r="AW2845" s="1">
        <v>5</v>
      </c>
      <c r="AX2845" s="1" t="s">
        <v>74</v>
      </c>
      <c r="AY2845" s="1" t="s">
        <v>74</v>
      </c>
      <c r="AZ2845" s="1" t="s">
        <v>74</v>
      </c>
      <c r="BA2845" s="1" t="s">
        <v>74</v>
      </c>
      <c r="BB2845" s="1">
        <v>730</v>
      </c>
      <c r="BC2845" s="1">
        <v>740</v>
      </c>
      <c r="BD2845" s="1" t="s">
        <v>74</v>
      </c>
      <c r="BE2845" s="1" t="s">
        <v>45185</v>
      </c>
      <c r="BF2845" s="1" t="str">
        <f>HYPERLINK("http://dx.doi.org/10.1007/s00267-004-0085-y","http://dx.doi.org/10.1007/s00267-004-0085-y")</f>
        <v>http://dx.doi.org/10.1007/s00267-004-0085-y</v>
      </c>
      <c r="BG2845" s="1" t="s">
        <v>74</v>
      </c>
      <c r="BH2845" s="1" t="s">
        <v>74</v>
      </c>
      <c r="BI2845" s="1">
        <v>11</v>
      </c>
      <c r="BJ2845" s="1" t="s">
        <v>144</v>
      </c>
      <c r="BK2845" s="1" t="s">
        <v>96</v>
      </c>
      <c r="BL2845" s="1" t="s">
        <v>145</v>
      </c>
      <c r="BM2845" s="1" t="s">
        <v>45186</v>
      </c>
      <c r="BN2845" s="1">
        <v>15503390</v>
      </c>
      <c r="BO2845" s="1" t="s">
        <v>74</v>
      </c>
      <c r="BP2845" s="1" t="s">
        <v>74</v>
      </c>
      <c r="BQ2845" s="1" t="s">
        <v>74</v>
      </c>
      <c r="BR2845" s="1" t="s">
        <v>98</v>
      </c>
      <c r="BS2845" s="1" t="s">
        <v>45187</v>
      </c>
      <c r="BT2845" s="1" t="str">
        <f>HYPERLINK("https%3A%2F%2Fwww.webofscience.com%2Fwos%2Fwoscc%2Ffull-record%2FWOS:000223105800011","View Full Record in Web of Science")</f>
        <v>View Full Record in Web of Science</v>
      </c>
      <c r="BU2845" s="1"/>
      <c r="BV2845" s="1"/>
    </row>
    <row r="2846" spans="1:74">
      <c r="A2846" s="1" t="s">
        <v>72</v>
      </c>
      <c r="B2846" s="1" t="s">
        <v>45188</v>
      </c>
      <c r="C2846" s="1" t="s">
        <v>74</v>
      </c>
      <c r="D2846" s="1" t="s">
        <v>74</v>
      </c>
      <c r="E2846" s="1" t="s">
        <v>74</v>
      </c>
      <c r="F2846" s="1" t="s">
        <v>45188</v>
      </c>
      <c r="G2846" s="1" t="s">
        <v>74</v>
      </c>
      <c r="H2846" s="1" t="s">
        <v>74</v>
      </c>
      <c r="I2846" s="1" t="s">
        <v>45189</v>
      </c>
      <c r="J2846" s="1" t="s">
        <v>13780</v>
      </c>
      <c r="K2846" s="1" t="s">
        <v>74</v>
      </c>
      <c r="L2846" s="1" t="s">
        <v>74</v>
      </c>
      <c r="M2846" s="1" t="s">
        <v>78</v>
      </c>
      <c r="N2846" s="1" t="s">
        <v>79</v>
      </c>
      <c r="O2846" s="1" t="s">
        <v>74</v>
      </c>
      <c r="P2846" s="1" t="s">
        <v>74</v>
      </c>
      <c r="Q2846" s="1" t="s">
        <v>74</v>
      </c>
      <c r="R2846" s="1" t="s">
        <v>74</v>
      </c>
      <c r="S2846" s="1" t="s">
        <v>74</v>
      </c>
      <c r="T2846" s="1" t="s">
        <v>45190</v>
      </c>
      <c r="U2846" s="1" t="s">
        <v>45191</v>
      </c>
      <c r="V2846" s="1" t="s">
        <v>45192</v>
      </c>
      <c r="W2846" s="1" t="s">
        <v>45193</v>
      </c>
      <c r="X2846" s="1" t="s">
        <v>45194</v>
      </c>
      <c r="Y2846" s="1" t="s">
        <v>45195</v>
      </c>
      <c r="Z2846" s="1" t="s">
        <v>74</v>
      </c>
      <c r="AA2846" s="1" t="s">
        <v>74</v>
      </c>
      <c r="AB2846" s="1" t="s">
        <v>74</v>
      </c>
      <c r="AC2846" s="1" t="s">
        <v>74</v>
      </c>
      <c r="AD2846" s="1" t="s">
        <v>74</v>
      </c>
      <c r="AE2846" s="1" t="s">
        <v>74</v>
      </c>
      <c r="AF2846" s="1" t="s">
        <v>74</v>
      </c>
      <c r="AG2846" s="1">
        <v>32</v>
      </c>
      <c r="AH2846" s="1">
        <v>8</v>
      </c>
      <c r="AI2846" s="1">
        <v>10</v>
      </c>
      <c r="AJ2846" s="1">
        <v>0</v>
      </c>
      <c r="AK2846" s="1">
        <v>3</v>
      </c>
      <c r="AL2846" s="1" t="s">
        <v>19416</v>
      </c>
      <c r="AM2846" s="1" t="s">
        <v>1621</v>
      </c>
      <c r="AN2846" s="1" t="s">
        <v>45196</v>
      </c>
      <c r="AO2846" s="1" t="s">
        <v>13793</v>
      </c>
      <c r="AP2846" s="1" t="s">
        <v>74</v>
      </c>
      <c r="AQ2846" s="1" t="s">
        <v>74</v>
      </c>
      <c r="AR2846" s="1" t="s">
        <v>13795</v>
      </c>
      <c r="AS2846" s="1" t="s">
        <v>13796</v>
      </c>
      <c r="AT2846" s="1" t="s">
        <v>93</v>
      </c>
      <c r="AU2846" s="1">
        <v>2000</v>
      </c>
      <c r="AV2846" s="1">
        <v>35</v>
      </c>
      <c r="AW2846" s="1">
        <v>1</v>
      </c>
      <c r="AX2846" s="1" t="s">
        <v>74</v>
      </c>
      <c r="AY2846" s="1" t="s">
        <v>74</v>
      </c>
      <c r="AZ2846" s="1" t="s">
        <v>74</v>
      </c>
      <c r="BA2846" s="1" t="s">
        <v>74</v>
      </c>
      <c r="BB2846" s="1">
        <v>121</v>
      </c>
      <c r="BC2846" s="1">
        <v>129</v>
      </c>
      <c r="BD2846" s="1" t="s">
        <v>74</v>
      </c>
      <c r="BE2846" s="1" t="s">
        <v>74</v>
      </c>
      <c r="BF2846" s="1" t="s">
        <v>74</v>
      </c>
      <c r="BG2846" s="1" t="s">
        <v>74</v>
      </c>
      <c r="BH2846" s="1" t="s">
        <v>74</v>
      </c>
      <c r="BI2846" s="1">
        <v>9</v>
      </c>
      <c r="BJ2846" s="1" t="s">
        <v>2210</v>
      </c>
      <c r="BK2846" s="1" t="s">
        <v>96</v>
      </c>
      <c r="BL2846" s="1" t="s">
        <v>2210</v>
      </c>
      <c r="BM2846" s="1" t="s">
        <v>45197</v>
      </c>
      <c r="BN2846" s="1" t="s">
        <v>74</v>
      </c>
      <c r="BO2846" s="1" t="s">
        <v>74</v>
      </c>
      <c r="BP2846" s="1" t="s">
        <v>74</v>
      </c>
      <c r="BQ2846" s="1" t="s">
        <v>74</v>
      </c>
      <c r="BR2846" s="1" t="s">
        <v>98</v>
      </c>
      <c r="BS2846" s="1" t="s">
        <v>45198</v>
      </c>
      <c r="BT2846" s="1" t="str">
        <f>HYPERLINK("https%3A%2F%2Fwww.webofscience.com%2Fwos%2Fwoscc%2Ffull-record%2FWOS:000165307200014","View Full Record in Web of Science")</f>
        <v>View Full Record in Web of Science</v>
      </c>
      <c r="BU2846" s="1"/>
      <c r="BV2846" s="1"/>
    </row>
    <row r="2847" spans="1:74">
      <c r="A2847" s="1" t="s">
        <v>72</v>
      </c>
      <c r="B2847" s="1" t="s">
        <v>45199</v>
      </c>
      <c r="C2847" s="1" t="s">
        <v>74</v>
      </c>
      <c r="D2847" s="1" t="s">
        <v>74</v>
      </c>
      <c r="E2847" s="1" t="s">
        <v>74</v>
      </c>
      <c r="F2847" s="1" t="s">
        <v>45200</v>
      </c>
      <c r="G2847" s="1" t="s">
        <v>74</v>
      </c>
      <c r="H2847" s="1" t="s">
        <v>74</v>
      </c>
      <c r="I2847" s="1" t="s">
        <v>45201</v>
      </c>
      <c r="J2847" s="1" t="s">
        <v>232</v>
      </c>
      <c r="K2847" s="1" t="s">
        <v>74</v>
      </c>
      <c r="L2847" s="1" t="s">
        <v>74</v>
      </c>
      <c r="M2847" s="1" t="s">
        <v>78</v>
      </c>
      <c r="N2847" s="1" t="s">
        <v>79</v>
      </c>
      <c r="O2847" s="1" t="s">
        <v>74</v>
      </c>
      <c r="P2847" s="1" t="s">
        <v>74</v>
      </c>
      <c r="Q2847" s="1" t="s">
        <v>74</v>
      </c>
      <c r="R2847" s="1" t="s">
        <v>74</v>
      </c>
      <c r="S2847" s="1" t="s">
        <v>74</v>
      </c>
      <c r="T2847" s="1" t="s">
        <v>45202</v>
      </c>
      <c r="U2847" s="1" t="s">
        <v>45203</v>
      </c>
      <c r="V2847" s="1" t="s">
        <v>45204</v>
      </c>
      <c r="W2847" s="1" t="s">
        <v>45205</v>
      </c>
      <c r="X2847" s="1" t="s">
        <v>45206</v>
      </c>
      <c r="Y2847" s="1" t="s">
        <v>45207</v>
      </c>
      <c r="Z2847" s="1" t="s">
        <v>45208</v>
      </c>
      <c r="AA2847" s="1" t="s">
        <v>45209</v>
      </c>
      <c r="AB2847" s="1" t="s">
        <v>45210</v>
      </c>
      <c r="AC2847" s="1" t="s">
        <v>45211</v>
      </c>
      <c r="AD2847" s="1" t="s">
        <v>74</v>
      </c>
      <c r="AE2847" s="1" t="s">
        <v>45212</v>
      </c>
      <c r="AF2847" s="1" t="s">
        <v>74</v>
      </c>
      <c r="AG2847" s="1">
        <v>108</v>
      </c>
      <c r="AH2847" s="1">
        <v>58</v>
      </c>
      <c r="AI2847" s="1">
        <v>59</v>
      </c>
      <c r="AJ2847" s="1">
        <v>1</v>
      </c>
      <c r="AK2847" s="1">
        <v>29</v>
      </c>
      <c r="AL2847" s="1" t="s">
        <v>136</v>
      </c>
      <c r="AM2847" s="1" t="s">
        <v>137</v>
      </c>
      <c r="AN2847" s="1" t="s">
        <v>138</v>
      </c>
      <c r="AO2847" s="1" t="s">
        <v>240</v>
      </c>
      <c r="AP2847" s="1" t="s">
        <v>241</v>
      </c>
      <c r="AQ2847" s="1" t="s">
        <v>74</v>
      </c>
      <c r="AR2847" s="1" t="s">
        <v>242</v>
      </c>
      <c r="AS2847" s="1" t="s">
        <v>243</v>
      </c>
      <c r="AT2847" s="1" t="s">
        <v>119</v>
      </c>
      <c r="AU2847" s="1">
        <v>2019</v>
      </c>
      <c r="AV2847" s="1">
        <v>145</v>
      </c>
      <c r="AW2847" s="1" t="s">
        <v>74</v>
      </c>
      <c r="AX2847" s="1" t="s">
        <v>74</v>
      </c>
      <c r="AY2847" s="1" t="s">
        <v>74</v>
      </c>
      <c r="AZ2847" s="1" t="s">
        <v>74</v>
      </c>
      <c r="BA2847" s="1" t="s">
        <v>74</v>
      </c>
      <c r="BB2847" s="1">
        <v>56</v>
      </c>
      <c r="BC2847" s="1">
        <v>66</v>
      </c>
      <c r="BD2847" s="1" t="s">
        <v>74</v>
      </c>
      <c r="BE2847" s="1" t="s">
        <v>45213</v>
      </c>
      <c r="BF2847" s="1" t="str">
        <f>HYPERLINK("http://dx.doi.org/10.1016/j.marpolbul.2019.05.002","http://dx.doi.org/10.1016/j.marpolbul.2019.05.002")</f>
        <v>http://dx.doi.org/10.1016/j.marpolbul.2019.05.002</v>
      </c>
      <c r="BG2847" s="1" t="s">
        <v>74</v>
      </c>
      <c r="BH2847" s="1" t="s">
        <v>74</v>
      </c>
      <c r="BI2847" s="1">
        <v>11</v>
      </c>
      <c r="BJ2847" s="1" t="s">
        <v>247</v>
      </c>
      <c r="BK2847" s="1" t="s">
        <v>96</v>
      </c>
      <c r="BL2847" s="1" t="s">
        <v>248</v>
      </c>
      <c r="BM2847" s="1" t="s">
        <v>45214</v>
      </c>
      <c r="BN2847" s="1">
        <v>31590824</v>
      </c>
      <c r="BO2847" s="1" t="s">
        <v>74</v>
      </c>
      <c r="BP2847" s="1" t="s">
        <v>74</v>
      </c>
      <c r="BQ2847" s="1" t="s">
        <v>74</v>
      </c>
      <c r="BR2847" s="1" t="s">
        <v>98</v>
      </c>
      <c r="BS2847" s="1" t="s">
        <v>45215</v>
      </c>
      <c r="BT2847" s="1" t="str">
        <f>HYPERLINK("https%3A%2F%2Fwww.webofscience.com%2Fwos%2Fwoscc%2Ffull-record%2FWOS:000482493000009","View Full Record in Web of Science")</f>
        <v>View Full Record in Web of Science</v>
      </c>
      <c r="BU2847" s="1"/>
      <c r="BV2847" s="1"/>
    </row>
    <row r="2848" spans="1:74">
      <c r="A2848" s="1" t="s">
        <v>72</v>
      </c>
      <c r="B2848" s="1" t="s">
        <v>45216</v>
      </c>
      <c r="C2848" s="1" t="s">
        <v>74</v>
      </c>
      <c r="D2848" s="1" t="s">
        <v>74</v>
      </c>
      <c r="E2848" s="1" t="s">
        <v>74</v>
      </c>
      <c r="F2848" s="1" t="s">
        <v>45217</v>
      </c>
      <c r="G2848" s="1" t="s">
        <v>74</v>
      </c>
      <c r="H2848" s="1" t="s">
        <v>74</v>
      </c>
      <c r="I2848" s="1" t="s">
        <v>45218</v>
      </c>
      <c r="J2848" s="1" t="s">
        <v>45219</v>
      </c>
      <c r="K2848" s="1" t="s">
        <v>74</v>
      </c>
      <c r="L2848" s="1" t="s">
        <v>74</v>
      </c>
      <c r="M2848" s="1" t="s">
        <v>78</v>
      </c>
      <c r="N2848" s="1" t="s">
        <v>79</v>
      </c>
      <c r="O2848" s="1" t="s">
        <v>74</v>
      </c>
      <c r="P2848" s="1" t="s">
        <v>74</v>
      </c>
      <c r="Q2848" s="1" t="s">
        <v>74</v>
      </c>
      <c r="R2848" s="1" t="s">
        <v>74</v>
      </c>
      <c r="S2848" s="1" t="s">
        <v>74</v>
      </c>
      <c r="T2848" s="1" t="s">
        <v>74</v>
      </c>
      <c r="U2848" s="1" t="s">
        <v>45220</v>
      </c>
      <c r="V2848" s="1" t="s">
        <v>45221</v>
      </c>
      <c r="W2848" s="1" t="s">
        <v>45222</v>
      </c>
      <c r="X2848" s="1" t="s">
        <v>45223</v>
      </c>
      <c r="Y2848" s="1" t="s">
        <v>45224</v>
      </c>
      <c r="Z2848" s="1" t="s">
        <v>45225</v>
      </c>
      <c r="AA2848" s="1" t="s">
        <v>45226</v>
      </c>
      <c r="AB2848" s="1" t="s">
        <v>45227</v>
      </c>
      <c r="AC2848" s="1" t="s">
        <v>45228</v>
      </c>
      <c r="AD2848" s="1" t="s">
        <v>45229</v>
      </c>
      <c r="AE2848" s="1" t="s">
        <v>45230</v>
      </c>
      <c r="AF2848" s="1" t="s">
        <v>74</v>
      </c>
      <c r="AG2848" s="1">
        <v>56</v>
      </c>
      <c r="AH2848" s="1">
        <v>21</v>
      </c>
      <c r="AI2848" s="1">
        <v>26</v>
      </c>
      <c r="AJ2848" s="1">
        <v>2</v>
      </c>
      <c r="AK2848" s="1">
        <v>64</v>
      </c>
      <c r="AL2848" s="1" t="s">
        <v>261</v>
      </c>
      <c r="AM2848" s="1" t="s">
        <v>262</v>
      </c>
      <c r="AN2848" s="1" t="s">
        <v>19471</v>
      </c>
      <c r="AO2848" s="1" t="s">
        <v>45231</v>
      </c>
      <c r="AP2848" s="1" t="s">
        <v>45232</v>
      </c>
      <c r="AQ2848" s="1" t="s">
        <v>74</v>
      </c>
      <c r="AR2848" s="1" t="s">
        <v>45233</v>
      </c>
      <c r="AS2848" s="1" t="s">
        <v>45234</v>
      </c>
      <c r="AT2848" s="1" t="s">
        <v>3237</v>
      </c>
      <c r="AU2848" s="1">
        <v>2019</v>
      </c>
      <c r="AV2848" s="1">
        <v>6</v>
      </c>
      <c r="AW2848" s="1">
        <v>9</v>
      </c>
      <c r="AX2848" s="1" t="s">
        <v>74</v>
      </c>
      <c r="AY2848" s="1" t="s">
        <v>74</v>
      </c>
      <c r="AZ2848" s="1" t="s">
        <v>74</v>
      </c>
      <c r="BA2848" s="1" t="s">
        <v>74</v>
      </c>
      <c r="BB2848" s="1">
        <v>2736</v>
      </c>
      <c r="BC2848" s="1">
        <v>2748</v>
      </c>
      <c r="BD2848" s="1" t="s">
        <v>74</v>
      </c>
      <c r="BE2848" s="1" t="s">
        <v>45235</v>
      </c>
      <c r="BF2848" s="1" t="str">
        <f>HYPERLINK("http://dx.doi.org/10.1039/c9en00320g","http://dx.doi.org/10.1039/c9en00320g")</f>
        <v>http://dx.doi.org/10.1039/c9en00320g</v>
      </c>
      <c r="BG2848" s="1" t="s">
        <v>74</v>
      </c>
      <c r="BH2848" s="1" t="s">
        <v>74</v>
      </c>
      <c r="BI2848" s="1">
        <v>13</v>
      </c>
      <c r="BJ2848" s="1" t="s">
        <v>45236</v>
      </c>
      <c r="BK2848" s="1" t="s">
        <v>96</v>
      </c>
      <c r="BL2848" s="1" t="s">
        <v>45237</v>
      </c>
      <c r="BM2848" s="1" t="s">
        <v>45238</v>
      </c>
      <c r="BN2848" s="1" t="s">
        <v>74</v>
      </c>
      <c r="BO2848" s="1" t="s">
        <v>74</v>
      </c>
      <c r="BP2848" s="1" t="s">
        <v>74</v>
      </c>
      <c r="BQ2848" s="1" t="s">
        <v>74</v>
      </c>
      <c r="BR2848" s="1" t="s">
        <v>98</v>
      </c>
      <c r="BS2848" s="1" t="s">
        <v>45239</v>
      </c>
      <c r="BT2848" s="1" t="str">
        <f>HYPERLINK("https%3A%2F%2Fwww.webofscience.com%2Fwos%2Fwoscc%2Ffull-record%2FWOS:000486118600019","View Full Record in Web of Science")</f>
        <v>View Full Record in Web of Science</v>
      </c>
      <c r="BU2848" s="1"/>
      <c r="BV2848" s="1"/>
    </row>
    <row r="2849" spans="1:74">
      <c r="A2849" s="1" t="s">
        <v>72</v>
      </c>
      <c r="B2849" s="1" t="s">
        <v>45240</v>
      </c>
      <c r="C2849" s="1" t="s">
        <v>74</v>
      </c>
      <c r="D2849" s="1" t="s">
        <v>74</v>
      </c>
      <c r="E2849" s="1" t="s">
        <v>74</v>
      </c>
      <c r="F2849" s="1" t="s">
        <v>45241</v>
      </c>
      <c r="G2849" s="1" t="s">
        <v>74</v>
      </c>
      <c r="H2849" s="1" t="s">
        <v>74</v>
      </c>
      <c r="I2849" s="1" t="s">
        <v>45242</v>
      </c>
      <c r="J2849" s="1" t="s">
        <v>495</v>
      </c>
      <c r="K2849" s="1" t="s">
        <v>74</v>
      </c>
      <c r="L2849" s="1" t="s">
        <v>74</v>
      </c>
      <c r="M2849" s="1" t="s">
        <v>78</v>
      </c>
      <c r="N2849" s="1" t="s">
        <v>79</v>
      </c>
      <c r="O2849" s="1" t="s">
        <v>74</v>
      </c>
      <c r="P2849" s="1" t="s">
        <v>74</v>
      </c>
      <c r="Q2849" s="1" t="s">
        <v>74</v>
      </c>
      <c r="R2849" s="1" t="s">
        <v>74</v>
      </c>
      <c r="S2849" s="1" t="s">
        <v>74</v>
      </c>
      <c r="T2849" s="1" t="s">
        <v>45243</v>
      </c>
      <c r="U2849" s="1" t="s">
        <v>45244</v>
      </c>
      <c r="V2849" s="1" t="s">
        <v>45245</v>
      </c>
      <c r="W2849" s="1" t="s">
        <v>45246</v>
      </c>
      <c r="X2849" s="1" t="s">
        <v>45247</v>
      </c>
      <c r="Y2849" s="1" t="s">
        <v>45248</v>
      </c>
      <c r="Z2849" s="1" t="s">
        <v>45249</v>
      </c>
      <c r="AA2849" s="1" t="s">
        <v>7983</v>
      </c>
      <c r="AB2849" s="1" t="s">
        <v>74</v>
      </c>
      <c r="AC2849" s="1" t="s">
        <v>45250</v>
      </c>
      <c r="AD2849" s="1" t="s">
        <v>45251</v>
      </c>
      <c r="AE2849" s="1" t="s">
        <v>45252</v>
      </c>
      <c r="AF2849" s="1" t="s">
        <v>74</v>
      </c>
      <c r="AG2849" s="1">
        <v>51</v>
      </c>
      <c r="AH2849" s="1">
        <v>3</v>
      </c>
      <c r="AI2849" s="1">
        <v>6</v>
      </c>
      <c r="AJ2849" s="1">
        <v>0</v>
      </c>
      <c r="AK2849" s="1">
        <v>0</v>
      </c>
      <c r="AL2849" s="1" t="s">
        <v>1030</v>
      </c>
      <c r="AM2849" s="1" t="s">
        <v>1031</v>
      </c>
      <c r="AN2849" s="1" t="s">
        <v>1032</v>
      </c>
      <c r="AO2849" s="1" t="s">
        <v>507</v>
      </c>
      <c r="AP2849" s="1" t="s">
        <v>1033</v>
      </c>
      <c r="AQ2849" s="1" t="s">
        <v>74</v>
      </c>
      <c r="AR2849" s="1" t="s">
        <v>508</v>
      </c>
      <c r="AS2849" s="1" t="s">
        <v>509</v>
      </c>
      <c r="AT2849" s="1" t="s">
        <v>74</v>
      </c>
      <c r="AU2849" s="1">
        <v>2021</v>
      </c>
      <c r="AV2849" s="1">
        <v>30</v>
      </c>
      <c r="AW2849" s="1">
        <v>3</v>
      </c>
      <c r="AX2849" s="1" t="s">
        <v>74</v>
      </c>
      <c r="AY2849" s="1" t="s">
        <v>74</v>
      </c>
      <c r="AZ2849" s="1" t="s">
        <v>74</v>
      </c>
      <c r="BA2849" s="1" t="s">
        <v>74</v>
      </c>
      <c r="BB2849" s="1">
        <v>2416</v>
      </c>
      <c r="BC2849" s="1">
        <v>2422</v>
      </c>
      <c r="BD2849" s="1" t="s">
        <v>74</v>
      </c>
      <c r="BE2849" s="1" t="s">
        <v>74</v>
      </c>
      <c r="BF2849" s="1" t="s">
        <v>74</v>
      </c>
      <c r="BG2849" s="1" t="s">
        <v>74</v>
      </c>
      <c r="BH2849" s="1" t="s">
        <v>74</v>
      </c>
      <c r="BI2849" s="1">
        <v>7</v>
      </c>
      <c r="BJ2849" s="1" t="s">
        <v>144</v>
      </c>
      <c r="BK2849" s="1" t="s">
        <v>96</v>
      </c>
      <c r="BL2849" s="1" t="s">
        <v>145</v>
      </c>
      <c r="BM2849" s="1" t="s">
        <v>45253</v>
      </c>
      <c r="BN2849" s="1" t="s">
        <v>74</v>
      </c>
      <c r="BO2849" s="1" t="s">
        <v>74</v>
      </c>
      <c r="BP2849" s="1" t="s">
        <v>74</v>
      </c>
      <c r="BQ2849" s="1" t="s">
        <v>74</v>
      </c>
      <c r="BR2849" s="1" t="s">
        <v>98</v>
      </c>
      <c r="BS2849" s="1" t="s">
        <v>45254</v>
      </c>
      <c r="BT2849" s="1" t="str">
        <f>HYPERLINK("https%3A%2F%2Fwww.webofscience.com%2Fwos%2Fwoscc%2Ffull-record%2FWOS:000629181400015","View Full Record in Web of Science")</f>
        <v>View Full Record in Web of Science</v>
      </c>
      <c r="BU2849" s="1"/>
      <c r="BV2849" s="1"/>
    </row>
    <row r="2850" spans="1:74">
      <c r="A2850" s="1" t="s">
        <v>72</v>
      </c>
      <c r="B2850" s="1" t="s">
        <v>45255</v>
      </c>
      <c r="C2850" s="1" t="s">
        <v>74</v>
      </c>
      <c r="D2850" s="1" t="s">
        <v>74</v>
      </c>
      <c r="E2850" s="1" t="s">
        <v>74</v>
      </c>
      <c r="F2850" s="1" t="s">
        <v>45256</v>
      </c>
      <c r="G2850" s="1" t="s">
        <v>74</v>
      </c>
      <c r="H2850" s="1" t="s">
        <v>74</v>
      </c>
      <c r="I2850" s="1" t="s">
        <v>45257</v>
      </c>
      <c r="J2850" s="1" t="s">
        <v>232</v>
      </c>
      <c r="K2850" s="1" t="s">
        <v>74</v>
      </c>
      <c r="L2850" s="1" t="s">
        <v>74</v>
      </c>
      <c r="M2850" s="1" t="s">
        <v>78</v>
      </c>
      <c r="N2850" s="1" t="s">
        <v>79</v>
      </c>
      <c r="O2850" s="1" t="s">
        <v>74</v>
      </c>
      <c r="P2850" s="1" t="s">
        <v>74</v>
      </c>
      <c r="Q2850" s="1" t="s">
        <v>74</v>
      </c>
      <c r="R2850" s="1" t="s">
        <v>74</v>
      </c>
      <c r="S2850" s="1" t="s">
        <v>74</v>
      </c>
      <c r="T2850" s="1" t="s">
        <v>45258</v>
      </c>
      <c r="U2850" s="1" t="s">
        <v>45259</v>
      </c>
      <c r="V2850" s="1" t="s">
        <v>45260</v>
      </c>
      <c r="W2850" s="1" t="s">
        <v>45261</v>
      </c>
      <c r="X2850" s="1" t="s">
        <v>45262</v>
      </c>
      <c r="Y2850" s="1" t="s">
        <v>45263</v>
      </c>
      <c r="Z2850" s="1" t="s">
        <v>45264</v>
      </c>
      <c r="AA2850" s="1" t="s">
        <v>45265</v>
      </c>
      <c r="AB2850" s="1" t="s">
        <v>45266</v>
      </c>
      <c r="AC2850" s="1" t="s">
        <v>74</v>
      </c>
      <c r="AD2850" s="1" t="s">
        <v>74</v>
      </c>
      <c r="AE2850" s="1" t="s">
        <v>74</v>
      </c>
      <c r="AF2850" s="1" t="s">
        <v>74</v>
      </c>
      <c r="AG2850" s="1">
        <v>29</v>
      </c>
      <c r="AH2850" s="1">
        <v>2</v>
      </c>
      <c r="AI2850" s="1">
        <v>2</v>
      </c>
      <c r="AJ2850" s="1">
        <v>0</v>
      </c>
      <c r="AK2850" s="1">
        <v>30</v>
      </c>
      <c r="AL2850" s="1" t="s">
        <v>136</v>
      </c>
      <c r="AM2850" s="1" t="s">
        <v>137</v>
      </c>
      <c r="AN2850" s="1" t="s">
        <v>138</v>
      </c>
      <c r="AO2850" s="1" t="s">
        <v>240</v>
      </c>
      <c r="AP2850" s="1" t="s">
        <v>241</v>
      </c>
      <c r="AQ2850" s="1" t="s">
        <v>74</v>
      </c>
      <c r="AR2850" s="1" t="s">
        <v>242</v>
      </c>
      <c r="AS2850" s="1" t="s">
        <v>243</v>
      </c>
      <c r="AT2850" s="1" t="s">
        <v>267</v>
      </c>
      <c r="AU2850" s="1">
        <v>2012</v>
      </c>
      <c r="AV2850" s="1">
        <v>64</v>
      </c>
      <c r="AW2850" s="1">
        <v>10</v>
      </c>
      <c r="AX2850" s="1" t="s">
        <v>74</v>
      </c>
      <c r="AY2850" s="1" t="s">
        <v>74</v>
      </c>
      <c r="AZ2850" s="1" t="s">
        <v>74</v>
      </c>
      <c r="BA2850" s="1" t="s">
        <v>74</v>
      </c>
      <c r="BB2850" s="1">
        <v>2233</v>
      </c>
      <c r="BC2850" s="1">
        <v>2237</v>
      </c>
      <c r="BD2850" s="1" t="s">
        <v>74</v>
      </c>
      <c r="BE2850" s="1" t="s">
        <v>45267</v>
      </c>
      <c r="BF2850" s="1" t="str">
        <f>HYPERLINK("http://dx.doi.org/10.1016/j.marpolbul.2012.06.019","http://dx.doi.org/10.1016/j.marpolbul.2012.06.019")</f>
        <v>http://dx.doi.org/10.1016/j.marpolbul.2012.06.019</v>
      </c>
      <c r="BG2850" s="1" t="s">
        <v>74</v>
      </c>
      <c r="BH2850" s="1" t="s">
        <v>74</v>
      </c>
      <c r="BI2850" s="1">
        <v>5</v>
      </c>
      <c r="BJ2850" s="1" t="s">
        <v>247</v>
      </c>
      <c r="BK2850" s="1" t="s">
        <v>96</v>
      </c>
      <c r="BL2850" s="1" t="s">
        <v>248</v>
      </c>
      <c r="BM2850" s="1" t="s">
        <v>45268</v>
      </c>
      <c r="BN2850" s="1">
        <v>22776777</v>
      </c>
      <c r="BO2850" s="1" t="s">
        <v>74</v>
      </c>
      <c r="BP2850" s="1" t="s">
        <v>74</v>
      </c>
      <c r="BQ2850" s="1" t="s">
        <v>74</v>
      </c>
      <c r="BR2850" s="1" t="s">
        <v>98</v>
      </c>
      <c r="BS2850" s="1" t="s">
        <v>45269</v>
      </c>
      <c r="BT2850" s="1" t="str">
        <f>HYPERLINK("https%3A%2F%2Fwww.webofscience.com%2Fwos%2Fwoscc%2Ffull-record%2FWOS:000310929500044","View Full Record in Web of Science")</f>
        <v>View Full Record in Web of Science</v>
      </c>
      <c r="BU2850" s="1"/>
      <c r="BV2850" s="1"/>
    </row>
    <row r="2851" spans="1:74">
      <c r="A2851" s="1" t="s">
        <v>72</v>
      </c>
      <c r="B2851" s="1" t="s">
        <v>45270</v>
      </c>
      <c r="C2851" s="1" t="s">
        <v>74</v>
      </c>
      <c r="D2851" s="1" t="s">
        <v>74</v>
      </c>
      <c r="E2851" s="1" t="s">
        <v>74</v>
      </c>
      <c r="F2851" s="1" t="s">
        <v>45271</v>
      </c>
      <c r="G2851" s="1" t="s">
        <v>74</v>
      </c>
      <c r="H2851" s="1" t="s">
        <v>74</v>
      </c>
      <c r="I2851" s="1" t="s">
        <v>45272</v>
      </c>
      <c r="J2851" s="1" t="s">
        <v>45273</v>
      </c>
      <c r="K2851" s="1" t="s">
        <v>74</v>
      </c>
      <c r="L2851" s="1" t="s">
        <v>74</v>
      </c>
      <c r="M2851" s="1" t="s">
        <v>78</v>
      </c>
      <c r="N2851" s="1" t="s">
        <v>79</v>
      </c>
      <c r="O2851" s="1" t="s">
        <v>74</v>
      </c>
      <c r="P2851" s="1" t="s">
        <v>74</v>
      </c>
      <c r="Q2851" s="1" t="s">
        <v>74</v>
      </c>
      <c r="R2851" s="1" t="s">
        <v>74</v>
      </c>
      <c r="S2851" s="1" t="s">
        <v>74</v>
      </c>
      <c r="T2851" s="1" t="s">
        <v>45274</v>
      </c>
      <c r="U2851" s="1" t="s">
        <v>45275</v>
      </c>
      <c r="V2851" s="1" t="s">
        <v>45276</v>
      </c>
      <c r="W2851" s="1" t="s">
        <v>45277</v>
      </c>
      <c r="X2851" s="1" t="s">
        <v>45278</v>
      </c>
      <c r="Y2851" s="1" t="s">
        <v>45279</v>
      </c>
      <c r="Z2851" s="1" t="s">
        <v>45280</v>
      </c>
      <c r="AA2851" s="1" t="s">
        <v>45281</v>
      </c>
      <c r="AB2851" s="1" t="s">
        <v>45282</v>
      </c>
      <c r="AC2851" s="1" t="s">
        <v>45283</v>
      </c>
      <c r="AD2851" s="1" t="s">
        <v>45284</v>
      </c>
      <c r="AE2851" s="1" t="s">
        <v>45285</v>
      </c>
      <c r="AF2851" s="1" t="s">
        <v>74</v>
      </c>
      <c r="AG2851" s="1">
        <v>56</v>
      </c>
      <c r="AH2851" s="1">
        <v>5</v>
      </c>
      <c r="AI2851" s="1">
        <v>6</v>
      </c>
      <c r="AJ2851" s="1">
        <v>6</v>
      </c>
      <c r="AK2851" s="1">
        <v>24</v>
      </c>
      <c r="AL2851" s="1" t="s">
        <v>2074</v>
      </c>
      <c r="AM2851" s="1" t="s">
        <v>2075</v>
      </c>
      <c r="AN2851" s="1" t="s">
        <v>2076</v>
      </c>
      <c r="AO2851" s="1" t="s">
        <v>45286</v>
      </c>
      <c r="AP2851" s="1" t="s">
        <v>45287</v>
      </c>
      <c r="AQ2851" s="1" t="s">
        <v>74</v>
      </c>
      <c r="AR2851" s="1" t="s">
        <v>45288</v>
      </c>
      <c r="AS2851" s="1" t="s">
        <v>45289</v>
      </c>
      <c r="AT2851" s="1" t="s">
        <v>45290</v>
      </c>
      <c r="AU2851" s="1">
        <v>2022</v>
      </c>
      <c r="AV2851" s="1">
        <v>34</v>
      </c>
      <c r="AW2851" s="1">
        <v>1</v>
      </c>
      <c r="AX2851" s="1" t="s">
        <v>74</v>
      </c>
      <c r="AY2851" s="1" t="s">
        <v>74</v>
      </c>
      <c r="AZ2851" s="1" t="s">
        <v>74</v>
      </c>
      <c r="BA2851" s="1" t="s">
        <v>74</v>
      </c>
      <c r="BB2851" s="1">
        <v>338</v>
      </c>
      <c r="BC2851" s="1">
        <v>351</v>
      </c>
      <c r="BD2851" s="1" t="s">
        <v>74</v>
      </c>
      <c r="BE2851" s="1" t="s">
        <v>45291</v>
      </c>
      <c r="BF2851" s="1" t="str">
        <f>HYPERLINK("http://dx.doi.org/10.1080/26395940.2022.2110520","http://dx.doi.org/10.1080/26395940.2022.2110520")</f>
        <v>http://dx.doi.org/10.1080/26395940.2022.2110520</v>
      </c>
      <c r="BG2851" s="1" t="s">
        <v>74</v>
      </c>
      <c r="BH2851" s="1" t="s">
        <v>74</v>
      </c>
      <c r="BI2851" s="1">
        <v>14</v>
      </c>
      <c r="BJ2851" s="1" t="s">
        <v>2574</v>
      </c>
      <c r="BK2851" s="1" t="s">
        <v>96</v>
      </c>
      <c r="BL2851" s="1" t="s">
        <v>2575</v>
      </c>
      <c r="BM2851" s="1" t="s">
        <v>45292</v>
      </c>
      <c r="BN2851" s="1" t="s">
        <v>74</v>
      </c>
      <c r="BO2851" s="1" t="s">
        <v>550</v>
      </c>
      <c r="BP2851" s="1" t="s">
        <v>74</v>
      </c>
      <c r="BQ2851" s="1" t="s">
        <v>74</v>
      </c>
      <c r="BR2851" s="1" t="s">
        <v>98</v>
      </c>
      <c r="BS2851" s="1" t="s">
        <v>45293</v>
      </c>
      <c r="BT2851" s="1" t="str">
        <f>HYPERLINK("https%3A%2F%2Fwww.webofscience.com%2Fwos%2Fwoscc%2Ffull-record%2FWOS:000839307100001","View Full Record in Web of Science")</f>
        <v>View Full Record in Web of Science</v>
      </c>
      <c r="BU2851" s="1"/>
      <c r="BV2851" s="1"/>
    </row>
    <row r="2852" spans="1:74">
      <c r="A2852" s="1" t="s">
        <v>72</v>
      </c>
      <c r="B2852" s="1" t="s">
        <v>45294</v>
      </c>
      <c r="C2852" s="1" t="s">
        <v>74</v>
      </c>
      <c r="D2852" s="1" t="s">
        <v>74</v>
      </c>
      <c r="E2852" s="1" t="s">
        <v>74</v>
      </c>
      <c r="F2852" s="1" t="s">
        <v>45295</v>
      </c>
      <c r="G2852" s="1" t="s">
        <v>74</v>
      </c>
      <c r="H2852" s="1" t="s">
        <v>74</v>
      </c>
      <c r="I2852" s="1" t="s">
        <v>45296</v>
      </c>
      <c r="J2852" s="1" t="s">
        <v>45297</v>
      </c>
      <c r="K2852" s="1" t="s">
        <v>74</v>
      </c>
      <c r="L2852" s="1" t="s">
        <v>74</v>
      </c>
      <c r="M2852" s="1" t="s">
        <v>78</v>
      </c>
      <c r="N2852" s="1" t="s">
        <v>79</v>
      </c>
      <c r="O2852" s="1" t="s">
        <v>74</v>
      </c>
      <c r="P2852" s="1" t="s">
        <v>74</v>
      </c>
      <c r="Q2852" s="1" t="s">
        <v>74</v>
      </c>
      <c r="R2852" s="1" t="s">
        <v>74</v>
      </c>
      <c r="S2852" s="1" t="s">
        <v>74</v>
      </c>
      <c r="T2852" s="1" t="s">
        <v>45298</v>
      </c>
      <c r="U2852" s="1" t="s">
        <v>45299</v>
      </c>
      <c r="V2852" s="1" t="s">
        <v>45300</v>
      </c>
      <c r="W2852" s="1" t="s">
        <v>45301</v>
      </c>
      <c r="X2852" s="1" t="s">
        <v>45302</v>
      </c>
      <c r="Y2852" s="1" t="s">
        <v>45303</v>
      </c>
      <c r="Z2852" s="1" t="s">
        <v>45304</v>
      </c>
      <c r="AA2852" s="1" t="s">
        <v>45305</v>
      </c>
      <c r="AB2852" s="1" t="s">
        <v>45306</v>
      </c>
      <c r="AC2852" s="1" t="s">
        <v>45307</v>
      </c>
      <c r="AD2852" s="1" t="s">
        <v>45308</v>
      </c>
      <c r="AE2852" s="1" t="s">
        <v>45309</v>
      </c>
      <c r="AF2852" s="1" t="s">
        <v>74</v>
      </c>
      <c r="AG2852" s="1">
        <v>73</v>
      </c>
      <c r="AH2852" s="1">
        <v>20</v>
      </c>
      <c r="AI2852" s="1">
        <v>21</v>
      </c>
      <c r="AJ2852" s="1">
        <v>1</v>
      </c>
      <c r="AK2852" s="1">
        <v>23</v>
      </c>
      <c r="AL2852" s="1" t="s">
        <v>6878</v>
      </c>
      <c r="AM2852" s="1" t="s">
        <v>6879</v>
      </c>
      <c r="AN2852" s="1" t="s">
        <v>6880</v>
      </c>
      <c r="AO2852" s="1" t="s">
        <v>45310</v>
      </c>
      <c r="AP2852" s="1" t="s">
        <v>45311</v>
      </c>
      <c r="AQ2852" s="1" t="s">
        <v>74</v>
      </c>
      <c r="AR2852" s="1" t="s">
        <v>45297</v>
      </c>
      <c r="AS2852" s="1" t="s">
        <v>45312</v>
      </c>
      <c r="AT2852" s="1" t="s">
        <v>1470</v>
      </c>
      <c r="AU2852" s="1">
        <v>2014</v>
      </c>
      <c r="AV2852" s="1">
        <v>44</v>
      </c>
      <c r="AW2852" s="1" t="s">
        <v>74</v>
      </c>
      <c r="AX2852" s="1" t="s">
        <v>74</v>
      </c>
      <c r="AY2852" s="1" t="s">
        <v>74</v>
      </c>
      <c r="AZ2852" s="1" t="s">
        <v>74</v>
      </c>
      <c r="BA2852" s="1" t="s">
        <v>74</v>
      </c>
      <c r="BB2852" s="1">
        <v>72</v>
      </c>
      <c r="BC2852" s="1">
        <v>80</v>
      </c>
      <c r="BD2852" s="1" t="s">
        <v>74</v>
      </c>
      <c r="BE2852" s="1" t="s">
        <v>45313</v>
      </c>
      <c r="BF2852" s="1" t="str">
        <f>HYPERLINK("http://dx.doi.org/10.1016/j.limno.2013.06.004","http://dx.doi.org/10.1016/j.limno.2013.06.004")</f>
        <v>http://dx.doi.org/10.1016/j.limno.2013.06.004</v>
      </c>
      <c r="BG2852" s="1" t="s">
        <v>74</v>
      </c>
      <c r="BH2852" s="1" t="s">
        <v>74</v>
      </c>
      <c r="BI2852" s="1">
        <v>9</v>
      </c>
      <c r="BJ2852" s="1" t="s">
        <v>14249</v>
      </c>
      <c r="BK2852" s="1" t="s">
        <v>96</v>
      </c>
      <c r="BL2852" s="1" t="s">
        <v>680</v>
      </c>
      <c r="BM2852" s="1" t="s">
        <v>45314</v>
      </c>
      <c r="BN2852" s="1" t="s">
        <v>74</v>
      </c>
      <c r="BO2852" s="1" t="s">
        <v>1752</v>
      </c>
      <c r="BP2852" s="1" t="s">
        <v>74</v>
      </c>
      <c r="BQ2852" s="1" t="s">
        <v>74</v>
      </c>
      <c r="BR2852" s="1" t="s">
        <v>98</v>
      </c>
      <c r="BS2852" s="1" t="s">
        <v>45315</v>
      </c>
      <c r="BT2852" s="1" t="str">
        <f>HYPERLINK("https%3A%2F%2Fwww.webofscience.com%2Fwos%2Fwoscc%2Ffull-record%2FWOS:000328721900010","View Full Record in Web of Science")</f>
        <v>View Full Record in Web of Science</v>
      </c>
      <c r="BU2852" s="1"/>
      <c r="BV2852" s="1"/>
    </row>
    <row r="2853" spans="1:74">
      <c r="A2853" s="1" t="s">
        <v>72</v>
      </c>
      <c r="B2853" s="1" t="s">
        <v>45316</v>
      </c>
      <c r="C2853" s="1" t="s">
        <v>74</v>
      </c>
      <c r="D2853" s="1" t="s">
        <v>74</v>
      </c>
      <c r="E2853" s="1" t="s">
        <v>74</v>
      </c>
      <c r="F2853" s="1" t="s">
        <v>45317</v>
      </c>
      <c r="G2853" s="1" t="s">
        <v>74</v>
      </c>
      <c r="H2853" s="1" t="s">
        <v>74</v>
      </c>
      <c r="I2853" s="1" t="s">
        <v>45318</v>
      </c>
      <c r="J2853" s="1" t="s">
        <v>641</v>
      </c>
      <c r="K2853" s="1" t="s">
        <v>74</v>
      </c>
      <c r="L2853" s="1" t="s">
        <v>74</v>
      </c>
      <c r="M2853" s="1" t="s">
        <v>78</v>
      </c>
      <c r="N2853" s="1" t="s">
        <v>79</v>
      </c>
      <c r="O2853" s="1" t="s">
        <v>74</v>
      </c>
      <c r="P2853" s="1" t="s">
        <v>74</v>
      </c>
      <c r="Q2853" s="1" t="s">
        <v>74</v>
      </c>
      <c r="R2853" s="1" t="s">
        <v>74</v>
      </c>
      <c r="S2853" s="1" t="s">
        <v>74</v>
      </c>
      <c r="T2853" s="1" t="s">
        <v>45319</v>
      </c>
      <c r="U2853" s="1" t="s">
        <v>45320</v>
      </c>
      <c r="V2853" s="1" t="s">
        <v>45321</v>
      </c>
      <c r="W2853" s="1" t="s">
        <v>45322</v>
      </c>
      <c r="X2853" s="1" t="s">
        <v>257</v>
      </c>
      <c r="Y2853" s="1" t="s">
        <v>45323</v>
      </c>
      <c r="Z2853" s="1" t="s">
        <v>45324</v>
      </c>
      <c r="AA2853" s="1" t="s">
        <v>45325</v>
      </c>
      <c r="AB2853" s="1" t="s">
        <v>45326</v>
      </c>
      <c r="AC2853" s="1" t="s">
        <v>74</v>
      </c>
      <c r="AD2853" s="1" t="s">
        <v>74</v>
      </c>
      <c r="AE2853" s="1" t="s">
        <v>74</v>
      </c>
      <c r="AF2853" s="1" t="s">
        <v>74</v>
      </c>
      <c r="AG2853" s="1">
        <v>30</v>
      </c>
      <c r="AH2853" s="1">
        <v>38</v>
      </c>
      <c r="AI2853" s="1">
        <v>42</v>
      </c>
      <c r="AJ2853" s="1">
        <v>1</v>
      </c>
      <c r="AK2853" s="1">
        <v>15</v>
      </c>
      <c r="AL2853" s="1" t="s">
        <v>650</v>
      </c>
      <c r="AM2853" s="1" t="s">
        <v>651</v>
      </c>
      <c r="AN2853" s="1" t="s">
        <v>652</v>
      </c>
      <c r="AO2853" s="1" t="s">
        <v>653</v>
      </c>
      <c r="AP2853" s="1" t="s">
        <v>654</v>
      </c>
      <c r="AQ2853" s="1" t="s">
        <v>74</v>
      </c>
      <c r="AR2853" s="1" t="s">
        <v>655</v>
      </c>
      <c r="AS2853" s="1" t="s">
        <v>656</v>
      </c>
      <c r="AT2853" s="1" t="s">
        <v>5542</v>
      </c>
      <c r="AU2853" s="1">
        <v>2006</v>
      </c>
      <c r="AV2853" s="1">
        <v>78</v>
      </c>
      <c r="AW2853" s="1" t="s">
        <v>74</v>
      </c>
      <c r="AX2853" s="1" t="s">
        <v>74</v>
      </c>
      <c r="AY2853" s="1">
        <v>1</v>
      </c>
      <c r="AZ2853" s="1" t="s">
        <v>74</v>
      </c>
      <c r="BA2853" s="1" t="s">
        <v>74</v>
      </c>
      <c r="BB2853" s="1" t="s">
        <v>45327</v>
      </c>
      <c r="BC2853" s="1" t="s">
        <v>45328</v>
      </c>
      <c r="BD2853" s="1" t="s">
        <v>74</v>
      </c>
      <c r="BE2853" s="1" t="s">
        <v>45329</v>
      </c>
      <c r="BF2853" s="1" t="str">
        <f>HYPERLINK("http://dx.doi.org/10.1016/j.aquatox.2006.02.014","http://dx.doi.org/10.1016/j.aquatox.2006.02.014")</f>
        <v>http://dx.doi.org/10.1016/j.aquatox.2006.02.014</v>
      </c>
      <c r="BG2853" s="1" t="s">
        <v>74</v>
      </c>
      <c r="BH2853" s="1" t="s">
        <v>74</v>
      </c>
      <c r="BI2853" s="1">
        <v>7</v>
      </c>
      <c r="BJ2853" s="1" t="s">
        <v>659</v>
      </c>
      <c r="BK2853" s="1" t="s">
        <v>96</v>
      </c>
      <c r="BL2853" s="1" t="s">
        <v>659</v>
      </c>
      <c r="BM2853" s="1" t="s">
        <v>14553</v>
      </c>
      <c r="BN2853" s="1">
        <v>16581143</v>
      </c>
      <c r="BO2853" s="1" t="s">
        <v>74</v>
      </c>
      <c r="BP2853" s="1" t="s">
        <v>74</v>
      </c>
      <c r="BQ2853" s="1" t="s">
        <v>74</v>
      </c>
      <c r="BR2853" s="1" t="s">
        <v>98</v>
      </c>
      <c r="BS2853" s="1" t="s">
        <v>45330</v>
      </c>
      <c r="BT2853" s="1" t="str">
        <f>HYPERLINK("https%3A%2F%2Fwww.webofscience.com%2Fwos%2Fwoscc%2Ffull-record%2FWOS:000238130600006","View Full Record in Web of Science")</f>
        <v>View Full Record in Web of Science</v>
      </c>
      <c r="BU2853" s="1"/>
      <c r="BV2853" s="1"/>
    </row>
    <row r="2854" spans="1:74">
      <c r="A2854" s="1" t="s">
        <v>72</v>
      </c>
      <c r="B2854" s="1" t="s">
        <v>45331</v>
      </c>
      <c r="C2854" s="1" t="s">
        <v>74</v>
      </c>
      <c r="D2854" s="1" t="s">
        <v>74</v>
      </c>
      <c r="E2854" s="1" t="s">
        <v>74</v>
      </c>
      <c r="F2854" s="1" t="s">
        <v>45331</v>
      </c>
      <c r="G2854" s="1" t="s">
        <v>74</v>
      </c>
      <c r="H2854" s="1" t="s">
        <v>74</v>
      </c>
      <c r="I2854" s="1" t="s">
        <v>45332</v>
      </c>
      <c r="J2854" s="1" t="s">
        <v>1756</v>
      </c>
      <c r="K2854" s="1" t="s">
        <v>74</v>
      </c>
      <c r="L2854" s="1" t="s">
        <v>74</v>
      </c>
      <c r="M2854" s="1" t="s">
        <v>78</v>
      </c>
      <c r="N2854" s="1" t="s">
        <v>79</v>
      </c>
      <c r="O2854" s="1" t="s">
        <v>74</v>
      </c>
      <c r="P2854" s="1" t="s">
        <v>74</v>
      </c>
      <c r="Q2854" s="1" t="s">
        <v>74</v>
      </c>
      <c r="R2854" s="1" t="s">
        <v>74</v>
      </c>
      <c r="S2854" s="1" t="s">
        <v>74</v>
      </c>
      <c r="T2854" s="1" t="s">
        <v>45333</v>
      </c>
      <c r="U2854" s="1" t="s">
        <v>45334</v>
      </c>
      <c r="V2854" s="1" t="s">
        <v>45335</v>
      </c>
      <c r="W2854" s="1" t="s">
        <v>45336</v>
      </c>
      <c r="X2854" s="1" t="s">
        <v>4386</v>
      </c>
      <c r="Y2854" s="1" t="s">
        <v>45337</v>
      </c>
      <c r="Z2854" s="1" t="s">
        <v>45338</v>
      </c>
      <c r="AA2854" s="1" t="s">
        <v>45339</v>
      </c>
      <c r="AB2854" s="1" t="s">
        <v>38504</v>
      </c>
      <c r="AC2854" s="1" t="s">
        <v>74</v>
      </c>
      <c r="AD2854" s="1" t="s">
        <v>74</v>
      </c>
      <c r="AE2854" s="1" t="s">
        <v>74</v>
      </c>
      <c r="AF2854" s="1" t="s">
        <v>74</v>
      </c>
      <c r="AG2854" s="1">
        <v>41</v>
      </c>
      <c r="AH2854" s="1">
        <v>41</v>
      </c>
      <c r="AI2854" s="1">
        <v>46</v>
      </c>
      <c r="AJ2854" s="1">
        <v>0</v>
      </c>
      <c r="AK2854" s="1">
        <v>13</v>
      </c>
      <c r="AL2854" s="1" t="s">
        <v>86</v>
      </c>
      <c r="AM2854" s="1" t="s">
        <v>87</v>
      </c>
      <c r="AN2854" s="1" t="s">
        <v>88</v>
      </c>
      <c r="AO2854" s="1" t="s">
        <v>1764</v>
      </c>
      <c r="AP2854" s="1" t="s">
        <v>1765</v>
      </c>
      <c r="AQ2854" s="1" t="s">
        <v>74</v>
      </c>
      <c r="AR2854" s="1" t="s">
        <v>1766</v>
      </c>
      <c r="AS2854" s="1" t="s">
        <v>1767</v>
      </c>
      <c r="AT2854" s="1" t="s">
        <v>305</v>
      </c>
      <c r="AU2854" s="1">
        <v>2002</v>
      </c>
      <c r="AV2854" s="1">
        <v>21</v>
      </c>
      <c r="AW2854" s="1">
        <v>9</v>
      </c>
      <c r="AX2854" s="1" t="s">
        <v>74</v>
      </c>
      <c r="AY2854" s="1" t="s">
        <v>74</v>
      </c>
      <c r="AZ2854" s="1" t="s">
        <v>74</v>
      </c>
      <c r="BA2854" s="1" t="s">
        <v>74</v>
      </c>
      <c r="BB2854" s="1">
        <v>1889</v>
      </c>
      <c r="BC2854" s="1">
        <v>1896</v>
      </c>
      <c r="BD2854" s="1" t="s">
        <v>74</v>
      </c>
      <c r="BE2854" s="1" t="s">
        <v>45340</v>
      </c>
      <c r="BF2854" s="1" t="str">
        <f>HYPERLINK("http://dx.doi.org/10.1897/1551-5028(2002)021&lt;1889:TZMDPA&gt;2.0.CO;2","http://dx.doi.org/10.1897/1551-5028(2002)021&lt;1889:TZMDPA&gt;2.0.CO;2")</f>
        <v>http://dx.doi.org/10.1897/1551-5028(2002)021&lt;1889:TZMDPA&gt;2.0.CO;2</v>
      </c>
      <c r="BG2854" s="1" t="s">
        <v>74</v>
      </c>
      <c r="BH2854" s="1" t="s">
        <v>74</v>
      </c>
      <c r="BI2854" s="1">
        <v>8</v>
      </c>
      <c r="BJ2854" s="1" t="s">
        <v>121</v>
      </c>
      <c r="BK2854" s="1" t="s">
        <v>96</v>
      </c>
      <c r="BL2854" s="1" t="s">
        <v>122</v>
      </c>
      <c r="BM2854" s="1" t="s">
        <v>45341</v>
      </c>
      <c r="BN2854" s="1">
        <v>12206428</v>
      </c>
      <c r="BO2854" s="1" t="s">
        <v>74</v>
      </c>
      <c r="BP2854" s="1" t="s">
        <v>74</v>
      </c>
      <c r="BQ2854" s="1" t="s">
        <v>74</v>
      </c>
      <c r="BR2854" s="1" t="s">
        <v>98</v>
      </c>
      <c r="BS2854" s="1" t="s">
        <v>45342</v>
      </c>
      <c r="BT2854" s="1" t="str">
        <f>HYPERLINK("https%3A%2F%2Fwww.webofscience.com%2Fwos%2Fwoscc%2Ffull-record%2FWOS:000177434900016","View Full Record in Web of Science")</f>
        <v>View Full Record in Web of Science</v>
      </c>
      <c r="BU2854" s="1"/>
      <c r="BV2854" s="1"/>
    </row>
    <row r="2855" spans="1:74">
      <c r="A2855" s="1" t="s">
        <v>72</v>
      </c>
      <c r="B2855" s="1" t="s">
        <v>45343</v>
      </c>
      <c r="C2855" s="1" t="s">
        <v>74</v>
      </c>
      <c r="D2855" s="1" t="s">
        <v>74</v>
      </c>
      <c r="E2855" s="1" t="s">
        <v>74</v>
      </c>
      <c r="F2855" s="1" t="s">
        <v>45344</v>
      </c>
      <c r="G2855" s="1" t="s">
        <v>74</v>
      </c>
      <c r="H2855" s="1" t="s">
        <v>74</v>
      </c>
      <c r="I2855" s="1" t="s">
        <v>45345</v>
      </c>
      <c r="J2855" s="1" t="s">
        <v>6608</v>
      </c>
      <c r="K2855" s="1" t="s">
        <v>74</v>
      </c>
      <c r="L2855" s="1" t="s">
        <v>74</v>
      </c>
      <c r="M2855" s="1" t="s">
        <v>78</v>
      </c>
      <c r="N2855" s="1" t="s">
        <v>79</v>
      </c>
      <c r="O2855" s="1" t="s">
        <v>74</v>
      </c>
      <c r="P2855" s="1" t="s">
        <v>74</v>
      </c>
      <c r="Q2855" s="1" t="s">
        <v>74</v>
      </c>
      <c r="R2855" s="1" t="s">
        <v>74</v>
      </c>
      <c r="S2855" s="1" t="s">
        <v>74</v>
      </c>
      <c r="T2855" s="1" t="s">
        <v>45346</v>
      </c>
      <c r="U2855" s="1" t="s">
        <v>45347</v>
      </c>
      <c r="V2855" s="1" t="s">
        <v>45348</v>
      </c>
      <c r="W2855" s="1" t="s">
        <v>45349</v>
      </c>
      <c r="X2855" s="1" t="s">
        <v>45350</v>
      </c>
      <c r="Y2855" s="1" t="s">
        <v>45351</v>
      </c>
      <c r="Z2855" s="1" t="s">
        <v>45352</v>
      </c>
      <c r="AA2855" s="1" t="s">
        <v>45353</v>
      </c>
      <c r="AB2855" s="1" t="s">
        <v>45354</v>
      </c>
      <c r="AC2855" s="1" t="s">
        <v>74</v>
      </c>
      <c r="AD2855" s="1" t="s">
        <v>74</v>
      </c>
      <c r="AE2855" s="1" t="s">
        <v>74</v>
      </c>
      <c r="AF2855" s="1" t="s">
        <v>74</v>
      </c>
      <c r="AG2855" s="1">
        <v>83</v>
      </c>
      <c r="AH2855" s="1">
        <v>2</v>
      </c>
      <c r="AI2855" s="1">
        <v>2</v>
      </c>
      <c r="AJ2855" s="1">
        <v>0</v>
      </c>
      <c r="AK2855" s="1">
        <v>9</v>
      </c>
      <c r="AL2855" s="1" t="s">
        <v>1566</v>
      </c>
      <c r="AM2855" s="1" t="s">
        <v>1567</v>
      </c>
      <c r="AN2855" s="1" t="s">
        <v>1568</v>
      </c>
      <c r="AO2855" s="1" t="s">
        <v>74</v>
      </c>
      <c r="AP2855" s="1" t="s">
        <v>6619</v>
      </c>
      <c r="AQ2855" s="1" t="s">
        <v>74</v>
      </c>
      <c r="AR2855" s="1" t="s">
        <v>6620</v>
      </c>
      <c r="AS2855" s="1" t="s">
        <v>6621</v>
      </c>
      <c r="AT2855" s="1" t="s">
        <v>267</v>
      </c>
      <c r="AU2855" s="1">
        <v>2021</v>
      </c>
      <c r="AV2855" s="1">
        <v>13</v>
      </c>
      <c r="AW2855" s="1">
        <v>19</v>
      </c>
      <c r="AX2855" s="1" t="s">
        <v>74</v>
      </c>
      <c r="AY2855" s="1" t="s">
        <v>74</v>
      </c>
      <c r="AZ2855" s="1" t="s">
        <v>74</v>
      </c>
      <c r="BA2855" s="1" t="s">
        <v>74</v>
      </c>
      <c r="BB2855" s="1" t="s">
        <v>74</v>
      </c>
      <c r="BC2855" s="1" t="s">
        <v>74</v>
      </c>
      <c r="BD2855" s="1">
        <v>2626</v>
      </c>
      <c r="BE2855" s="1" t="s">
        <v>45355</v>
      </c>
      <c r="BF2855" s="1" t="str">
        <f>HYPERLINK("http://dx.doi.org/10.3390/w13192626","http://dx.doi.org/10.3390/w13192626")</f>
        <v>http://dx.doi.org/10.3390/w13192626</v>
      </c>
      <c r="BG2855" s="1" t="s">
        <v>74</v>
      </c>
      <c r="BH2855" s="1" t="s">
        <v>74</v>
      </c>
      <c r="BI2855" s="1">
        <v>14</v>
      </c>
      <c r="BJ2855" s="1" t="s">
        <v>6623</v>
      </c>
      <c r="BK2855" s="1" t="s">
        <v>96</v>
      </c>
      <c r="BL2855" s="1" t="s">
        <v>6624</v>
      </c>
      <c r="BM2855" s="1" t="s">
        <v>45356</v>
      </c>
      <c r="BN2855" s="1" t="s">
        <v>74</v>
      </c>
      <c r="BO2855" s="1" t="s">
        <v>2155</v>
      </c>
      <c r="BP2855" s="1" t="s">
        <v>74</v>
      </c>
      <c r="BQ2855" s="1" t="s">
        <v>74</v>
      </c>
      <c r="BR2855" s="1" t="s">
        <v>98</v>
      </c>
      <c r="BS2855" s="1" t="s">
        <v>45357</v>
      </c>
      <c r="BT2855" s="1" t="str">
        <f>HYPERLINK("https%3A%2F%2Fwww.webofscience.com%2Fwos%2Fwoscc%2Ffull-record%2FWOS:000707203500001","View Full Record in Web of Science")</f>
        <v>View Full Record in Web of Science</v>
      </c>
      <c r="BU2855" s="1"/>
      <c r="BV2855" s="1"/>
    </row>
    <row r="2856" spans="1:74">
      <c r="A2856" s="1" t="s">
        <v>72</v>
      </c>
      <c r="B2856" s="1" t="s">
        <v>45358</v>
      </c>
      <c r="C2856" s="1" t="s">
        <v>74</v>
      </c>
      <c r="D2856" s="1" t="s">
        <v>74</v>
      </c>
      <c r="E2856" s="1" t="s">
        <v>74</v>
      </c>
      <c r="F2856" s="1" t="s">
        <v>45359</v>
      </c>
      <c r="G2856" s="1" t="s">
        <v>74</v>
      </c>
      <c r="H2856" s="1" t="s">
        <v>74</v>
      </c>
      <c r="I2856" s="1" t="s">
        <v>45360</v>
      </c>
      <c r="J2856" s="1" t="s">
        <v>204</v>
      </c>
      <c r="K2856" s="1" t="s">
        <v>74</v>
      </c>
      <c r="L2856" s="1" t="s">
        <v>74</v>
      </c>
      <c r="M2856" s="1" t="s">
        <v>78</v>
      </c>
      <c r="N2856" s="1" t="s">
        <v>79</v>
      </c>
      <c r="O2856" s="1" t="s">
        <v>74</v>
      </c>
      <c r="P2856" s="1" t="s">
        <v>74</v>
      </c>
      <c r="Q2856" s="1" t="s">
        <v>74</v>
      </c>
      <c r="R2856" s="1" t="s">
        <v>74</v>
      </c>
      <c r="S2856" s="1" t="s">
        <v>74</v>
      </c>
      <c r="T2856" s="1" t="s">
        <v>45361</v>
      </c>
      <c r="U2856" s="1" t="s">
        <v>45362</v>
      </c>
      <c r="V2856" s="1" t="s">
        <v>45363</v>
      </c>
      <c r="W2856" s="1" t="s">
        <v>45364</v>
      </c>
      <c r="X2856" s="1" t="s">
        <v>45365</v>
      </c>
      <c r="Y2856" s="1" t="s">
        <v>45366</v>
      </c>
      <c r="Z2856" s="1" t="s">
        <v>45367</v>
      </c>
      <c r="AA2856" s="1" t="s">
        <v>45368</v>
      </c>
      <c r="AB2856" s="1" t="s">
        <v>45369</v>
      </c>
      <c r="AC2856" s="1" t="s">
        <v>45370</v>
      </c>
      <c r="AD2856" s="1" t="s">
        <v>45371</v>
      </c>
      <c r="AE2856" s="1" t="s">
        <v>45372</v>
      </c>
      <c r="AF2856" s="1" t="s">
        <v>74</v>
      </c>
      <c r="AG2856" s="1">
        <v>81</v>
      </c>
      <c r="AH2856" s="1">
        <v>15</v>
      </c>
      <c r="AI2856" s="1">
        <v>15</v>
      </c>
      <c r="AJ2856" s="1">
        <v>10</v>
      </c>
      <c r="AK2856" s="1">
        <v>39</v>
      </c>
      <c r="AL2856" s="1" t="s">
        <v>217</v>
      </c>
      <c r="AM2856" s="1" t="s">
        <v>218</v>
      </c>
      <c r="AN2856" s="1" t="s">
        <v>219</v>
      </c>
      <c r="AO2856" s="1" t="s">
        <v>220</v>
      </c>
      <c r="AP2856" s="1" t="s">
        <v>221</v>
      </c>
      <c r="AQ2856" s="1" t="s">
        <v>74</v>
      </c>
      <c r="AR2856" s="1" t="s">
        <v>222</v>
      </c>
      <c r="AS2856" s="1" t="s">
        <v>223</v>
      </c>
      <c r="AT2856" s="1" t="s">
        <v>1223</v>
      </c>
      <c r="AU2856" s="1">
        <v>2021</v>
      </c>
      <c r="AV2856" s="1">
        <v>28</v>
      </c>
      <c r="AW2856" s="1">
        <v>11</v>
      </c>
      <c r="AX2856" s="1" t="s">
        <v>74</v>
      </c>
      <c r="AY2856" s="1" t="s">
        <v>74</v>
      </c>
      <c r="AZ2856" s="1" t="s">
        <v>74</v>
      </c>
      <c r="BA2856" s="1" t="s">
        <v>74</v>
      </c>
      <c r="BB2856" s="1">
        <v>13761</v>
      </c>
      <c r="BC2856" s="1">
        <v>13775</v>
      </c>
      <c r="BD2856" s="1" t="s">
        <v>74</v>
      </c>
      <c r="BE2856" s="1" t="s">
        <v>45373</v>
      </c>
      <c r="BF2856" s="1" t="str">
        <f>HYPERLINK("http://dx.doi.org/10.1007/s11356-020-11435-2","http://dx.doi.org/10.1007/s11356-020-11435-2")</f>
        <v>http://dx.doi.org/10.1007/s11356-020-11435-2</v>
      </c>
      <c r="BG2856" s="1" t="s">
        <v>74</v>
      </c>
      <c r="BH2856" s="1" t="s">
        <v>17167</v>
      </c>
      <c r="BI2856" s="1">
        <v>15</v>
      </c>
      <c r="BJ2856" s="1" t="s">
        <v>144</v>
      </c>
      <c r="BK2856" s="1" t="s">
        <v>96</v>
      </c>
      <c r="BL2856" s="1" t="s">
        <v>145</v>
      </c>
      <c r="BM2856" s="1" t="s">
        <v>45374</v>
      </c>
      <c r="BN2856" s="1">
        <v>33196993</v>
      </c>
      <c r="BO2856" s="1" t="s">
        <v>74</v>
      </c>
      <c r="BP2856" s="1" t="s">
        <v>74</v>
      </c>
      <c r="BQ2856" s="1" t="s">
        <v>74</v>
      </c>
      <c r="BR2856" s="1" t="s">
        <v>98</v>
      </c>
      <c r="BS2856" s="1" t="s">
        <v>45375</v>
      </c>
      <c r="BT2856" s="1" t="str">
        <f>HYPERLINK("https%3A%2F%2Fwww.webofscience.com%2Fwos%2Fwoscc%2Ffull-record%2FWOS:000590460200009","View Full Record in Web of Science")</f>
        <v>View Full Record in Web of Science</v>
      </c>
      <c r="BU2856" s="1"/>
      <c r="BV2856" s="1"/>
    </row>
    <row r="2857" spans="1:74">
      <c r="A2857" s="1" t="s">
        <v>72</v>
      </c>
      <c r="B2857" s="1" t="s">
        <v>45376</v>
      </c>
      <c r="C2857" s="1" t="s">
        <v>74</v>
      </c>
      <c r="D2857" s="1" t="s">
        <v>74</v>
      </c>
      <c r="E2857" s="1" t="s">
        <v>74</v>
      </c>
      <c r="F2857" s="1" t="s">
        <v>45377</v>
      </c>
      <c r="G2857" s="1" t="s">
        <v>74</v>
      </c>
      <c r="H2857" s="1" t="s">
        <v>74</v>
      </c>
      <c r="I2857" s="1" t="s">
        <v>45378</v>
      </c>
      <c r="J2857" s="1" t="s">
        <v>127</v>
      </c>
      <c r="K2857" s="1" t="s">
        <v>74</v>
      </c>
      <c r="L2857" s="1" t="s">
        <v>74</v>
      </c>
      <c r="M2857" s="1" t="s">
        <v>78</v>
      </c>
      <c r="N2857" s="1" t="s">
        <v>79</v>
      </c>
      <c r="O2857" s="1" t="s">
        <v>74</v>
      </c>
      <c r="P2857" s="1" t="s">
        <v>74</v>
      </c>
      <c r="Q2857" s="1" t="s">
        <v>74</v>
      </c>
      <c r="R2857" s="1" t="s">
        <v>74</v>
      </c>
      <c r="S2857" s="1" t="s">
        <v>74</v>
      </c>
      <c r="T2857" s="1" t="s">
        <v>45379</v>
      </c>
      <c r="U2857" s="1" t="s">
        <v>45380</v>
      </c>
      <c r="V2857" s="1" t="s">
        <v>45381</v>
      </c>
      <c r="W2857" s="1" t="s">
        <v>45382</v>
      </c>
      <c r="X2857" s="1" t="s">
        <v>45383</v>
      </c>
      <c r="Y2857" s="1" t="s">
        <v>45384</v>
      </c>
      <c r="Z2857" s="1" t="s">
        <v>45385</v>
      </c>
      <c r="AA2857" s="1" t="s">
        <v>45386</v>
      </c>
      <c r="AB2857" s="1" t="s">
        <v>74</v>
      </c>
      <c r="AC2857" s="1" t="s">
        <v>45387</v>
      </c>
      <c r="AD2857" s="1" t="s">
        <v>45388</v>
      </c>
      <c r="AE2857" s="1" t="s">
        <v>45389</v>
      </c>
      <c r="AF2857" s="1" t="s">
        <v>74</v>
      </c>
      <c r="AG2857" s="1">
        <v>63</v>
      </c>
      <c r="AH2857" s="1">
        <v>67</v>
      </c>
      <c r="AI2857" s="1">
        <v>73</v>
      </c>
      <c r="AJ2857" s="1">
        <v>13</v>
      </c>
      <c r="AK2857" s="1">
        <v>183</v>
      </c>
      <c r="AL2857" s="1" t="s">
        <v>136</v>
      </c>
      <c r="AM2857" s="1" t="s">
        <v>137</v>
      </c>
      <c r="AN2857" s="1" t="s">
        <v>138</v>
      </c>
      <c r="AO2857" s="1" t="s">
        <v>139</v>
      </c>
      <c r="AP2857" s="1" t="s">
        <v>140</v>
      </c>
      <c r="AQ2857" s="1" t="s">
        <v>74</v>
      </c>
      <c r="AR2857" s="1" t="s">
        <v>127</v>
      </c>
      <c r="AS2857" s="1" t="s">
        <v>141</v>
      </c>
      <c r="AT2857" s="1" t="s">
        <v>305</v>
      </c>
      <c r="AU2857" s="1">
        <v>2020</v>
      </c>
      <c r="AV2857" s="1">
        <v>254</v>
      </c>
      <c r="AW2857" s="1" t="s">
        <v>74</v>
      </c>
      <c r="AX2857" s="1" t="s">
        <v>74</v>
      </c>
      <c r="AY2857" s="1" t="s">
        <v>74</v>
      </c>
      <c r="AZ2857" s="1" t="s">
        <v>74</v>
      </c>
      <c r="BA2857" s="1" t="s">
        <v>74</v>
      </c>
      <c r="BB2857" s="1" t="s">
        <v>74</v>
      </c>
      <c r="BC2857" s="1" t="s">
        <v>74</v>
      </c>
      <c r="BD2857" s="1">
        <v>126873</v>
      </c>
      <c r="BE2857" s="1" t="s">
        <v>45390</v>
      </c>
      <c r="BF2857" s="1" t="str">
        <f>HYPERLINK("http://dx.doi.org/10.1016/j.chemosphere.2020.126873","http://dx.doi.org/10.1016/j.chemosphere.2020.126873")</f>
        <v>http://dx.doi.org/10.1016/j.chemosphere.2020.126873</v>
      </c>
      <c r="BG2857" s="1" t="s">
        <v>74</v>
      </c>
      <c r="BH2857" s="1" t="s">
        <v>74</v>
      </c>
      <c r="BI2857" s="1">
        <v>14</v>
      </c>
      <c r="BJ2857" s="1" t="s">
        <v>144</v>
      </c>
      <c r="BK2857" s="1" t="s">
        <v>96</v>
      </c>
      <c r="BL2857" s="1" t="s">
        <v>145</v>
      </c>
      <c r="BM2857" s="1" t="s">
        <v>45391</v>
      </c>
      <c r="BN2857" s="1">
        <v>32957285</v>
      </c>
      <c r="BO2857" s="1" t="s">
        <v>74</v>
      </c>
      <c r="BP2857" s="1" t="s">
        <v>74</v>
      </c>
      <c r="BQ2857" s="1" t="s">
        <v>74</v>
      </c>
      <c r="BR2857" s="1" t="s">
        <v>98</v>
      </c>
      <c r="BS2857" s="1" t="s">
        <v>45392</v>
      </c>
      <c r="BT2857" s="1" t="str">
        <f>HYPERLINK("https%3A%2F%2Fwww.webofscience.com%2Fwos%2Fwoscc%2Ffull-record%2FWOS:000538150400107","View Full Record in Web of Science")</f>
        <v>View Full Record in Web of Science</v>
      </c>
      <c r="BU2857" s="1"/>
      <c r="BV2857" s="1"/>
    </row>
    <row r="2858" spans="1:74">
      <c r="A2858" s="1" t="s">
        <v>72</v>
      </c>
      <c r="B2858" s="1" t="s">
        <v>45393</v>
      </c>
      <c r="C2858" s="1" t="s">
        <v>74</v>
      </c>
      <c r="D2858" s="1" t="s">
        <v>74</v>
      </c>
      <c r="E2858" s="1" t="s">
        <v>74</v>
      </c>
      <c r="F2858" s="1" t="s">
        <v>45394</v>
      </c>
      <c r="G2858" s="1" t="s">
        <v>74</v>
      </c>
      <c r="H2858" s="1" t="s">
        <v>74</v>
      </c>
      <c r="I2858" s="1" t="s">
        <v>45395</v>
      </c>
      <c r="J2858" s="1" t="s">
        <v>3973</v>
      </c>
      <c r="K2858" s="1" t="s">
        <v>74</v>
      </c>
      <c r="L2858" s="1" t="s">
        <v>74</v>
      </c>
      <c r="M2858" s="1" t="s">
        <v>78</v>
      </c>
      <c r="N2858" s="1" t="s">
        <v>79</v>
      </c>
      <c r="O2858" s="1" t="s">
        <v>74</v>
      </c>
      <c r="P2858" s="1" t="s">
        <v>74</v>
      </c>
      <c r="Q2858" s="1" t="s">
        <v>74</v>
      </c>
      <c r="R2858" s="1" t="s">
        <v>74</v>
      </c>
      <c r="S2858" s="1" t="s">
        <v>74</v>
      </c>
      <c r="T2858" s="1" t="s">
        <v>45396</v>
      </c>
      <c r="U2858" s="1" t="s">
        <v>45397</v>
      </c>
      <c r="V2858" s="1" t="s">
        <v>45398</v>
      </c>
      <c r="W2858" s="1" t="s">
        <v>45399</v>
      </c>
      <c r="X2858" s="1" t="s">
        <v>45400</v>
      </c>
      <c r="Y2858" s="1" t="s">
        <v>45401</v>
      </c>
      <c r="Z2858" s="1" t="s">
        <v>45402</v>
      </c>
      <c r="AA2858" s="1" t="s">
        <v>45403</v>
      </c>
      <c r="AB2858" s="1" t="s">
        <v>74</v>
      </c>
      <c r="AC2858" s="1" t="s">
        <v>45404</v>
      </c>
      <c r="AD2858" s="1" t="s">
        <v>45405</v>
      </c>
      <c r="AE2858" s="1" t="s">
        <v>45406</v>
      </c>
      <c r="AF2858" s="1" t="s">
        <v>74</v>
      </c>
      <c r="AG2858" s="1">
        <v>70</v>
      </c>
      <c r="AH2858" s="1">
        <v>2</v>
      </c>
      <c r="AI2858" s="1">
        <v>2</v>
      </c>
      <c r="AJ2858" s="1">
        <v>8</v>
      </c>
      <c r="AK2858" s="1">
        <v>22</v>
      </c>
      <c r="AL2858" s="1" t="s">
        <v>650</v>
      </c>
      <c r="AM2858" s="1" t="s">
        <v>651</v>
      </c>
      <c r="AN2858" s="1" t="s">
        <v>652</v>
      </c>
      <c r="AO2858" s="1" t="s">
        <v>3986</v>
      </c>
      <c r="AP2858" s="1" t="s">
        <v>3987</v>
      </c>
      <c r="AQ2858" s="1" t="s">
        <v>74</v>
      </c>
      <c r="AR2858" s="1" t="s">
        <v>3988</v>
      </c>
      <c r="AS2858" s="1" t="s">
        <v>3989</v>
      </c>
      <c r="AT2858" s="1" t="s">
        <v>142</v>
      </c>
      <c r="AU2858" s="1">
        <v>2023</v>
      </c>
      <c r="AV2858" s="1">
        <v>174</v>
      </c>
      <c r="AW2858" s="1" t="s">
        <v>74</v>
      </c>
      <c r="AX2858" s="1" t="s">
        <v>74</v>
      </c>
      <c r="AY2858" s="1" t="s">
        <v>74</v>
      </c>
      <c r="AZ2858" s="1" t="s">
        <v>74</v>
      </c>
      <c r="BA2858" s="1" t="s">
        <v>74</v>
      </c>
      <c r="BB2858" s="1">
        <v>53</v>
      </c>
      <c r="BC2858" s="1">
        <v>62</v>
      </c>
      <c r="BD2858" s="1" t="s">
        <v>74</v>
      </c>
      <c r="BE2858" s="1" t="s">
        <v>45407</v>
      </c>
      <c r="BF2858" s="1" t="str">
        <f>HYPERLINK("http://dx.doi.org/10.1016/j.psep.2023.04.003","http://dx.doi.org/10.1016/j.psep.2023.04.003")</f>
        <v>http://dx.doi.org/10.1016/j.psep.2023.04.003</v>
      </c>
      <c r="BG2858" s="1" t="s">
        <v>74</v>
      </c>
      <c r="BH2858" s="1" t="s">
        <v>2540</v>
      </c>
      <c r="BI2858" s="1">
        <v>10</v>
      </c>
      <c r="BJ2858" s="1" t="s">
        <v>3991</v>
      </c>
      <c r="BK2858" s="1" t="s">
        <v>96</v>
      </c>
      <c r="BL2858" s="1" t="s">
        <v>3992</v>
      </c>
      <c r="BM2858" s="1" t="s">
        <v>45408</v>
      </c>
      <c r="BN2858" s="1" t="s">
        <v>74</v>
      </c>
      <c r="BO2858" s="1" t="s">
        <v>74</v>
      </c>
      <c r="BP2858" s="1" t="s">
        <v>74</v>
      </c>
      <c r="BQ2858" s="1" t="s">
        <v>74</v>
      </c>
      <c r="BR2858" s="1" t="s">
        <v>98</v>
      </c>
      <c r="BS2858" s="1" t="s">
        <v>45409</v>
      </c>
      <c r="BT2858" s="1" t="str">
        <f>HYPERLINK("https%3A%2F%2Fwww.webofscience.com%2Fwos%2Fwoscc%2Ffull-record%2FWOS:000979747800001","View Full Record in Web of Science")</f>
        <v>View Full Record in Web of Science</v>
      </c>
      <c r="BU2858" s="1"/>
      <c r="BV2858" s="1"/>
    </row>
    <row r="2859" spans="1:74">
      <c r="A2859" s="1" t="s">
        <v>72</v>
      </c>
      <c r="B2859" s="1" t="s">
        <v>45410</v>
      </c>
      <c r="C2859" s="1" t="s">
        <v>74</v>
      </c>
      <c r="D2859" s="1" t="s">
        <v>74</v>
      </c>
      <c r="E2859" s="1" t="s">
        <v>74</v>
      </c>
      <c r="F2859" s="1" t="s">
        <v>45411</v>
      </c>
      <c r="G2859" s="1" t="s">
        <v>74</v>
      </c>
      <c r="H2859" s="1" t="s">
        <v>74</v>
      </c>
      <c r="I2859" s="1" t="s">
        <v>45412</v>
      </c>
      <c r="J2859" s="1" t="s">
        <v>641</v>
      </c>
      <c r="K2859" s="1" t="s">
        <v>74</v>
      </c>
      <c r="L2859" s="1" t="s">
        <v>74</v>
      </c>
      <c r="M2859" s="1" t="s">
        <v>78</v>
      </c>
      <c r="N2859" s="1" t="s">
        <v>79</v>
      </c>
      <c r="O2859" s="1" t="s">
        <v>74</v>
      </c>
      <c r="P2859" s="1" t="s">
        <v>74</v>
      </c>
      <c r="Q2859" s="1" t="s">
        <v>74</v>
      </c>
      <c r="R2859" s="1" t="s">
        <v>74</v>
      </c>
      <c r="S2859" s="1" t="s">
        <v>74</v>
      </c>
      <c r="T2859" s="1" t="s">
        <v>45413</v>
      </c>
      <c r="U2859" s="1" t="s">
        <v>45414</v>
      </c>
      <c r="V2859" s="1" t="s">
        <v>45415</v>
      </c>
      <c r="W2859" s="1" t="s">
        <v>45416</v>
      </c>
      <c r="X2859" s="1" t="s">
        <v>45417</v>
      </c>
      <c r="Y2859" s="1" t="s">
        <v>9287</v>
      </c>
      <c r="Z2859" s="1" t="s">
        <v>9288</v>
      </c>
      <c r="AA2859" s="1" t="s">
        <v>45418</v>
      </c>
      <c r="AB2859" s="1" t="s">
        <v>45419</v>
      </c>
      <c r="AC2859" s="1" t="s">
        <v>45420</v>
      </c>
      <c r="AD2859" s="1" t="s">
        <v>45421</v>
      </c>
      <c r="AE2859" s="1" t="s">
        <v>45422</v>
      </c>
      <c r="AF2859" s="1" t="s">
        <v>74</v>
      </c>
      <c r="AG2859" s="1">
        <v>102</v>
      </c>
      <c r="AH2859" s="1">
        <v>12</v>
      </c>
      <c r="AI2859" s="1">
        <v>12</v>
      </c>
      <c r="AJ2859" s="1">
        <v>1</v>
      </c>
      <c r="AK2859" s="1">
        <v>30</v>
      </c>
      <c r="AL2859" s="1" t="s">
        <v>919</v>
      </c>
      <c r="AM2859" s="1" t="s">
        <v>651</v>
      </c>
      <c r="AN2859" s="1" t="s">
        <v>920</v>
      </c>
      <c r="AO2859" s="1" t="s">
        <v>653</v>
      </c>
      <c r="AP2859" s="1" t="s">
        <v>654</v>
      </c>
      <c r="AQ2859" s="1" t="s">
        <v>74</v>
      </c>
      <c r="AR2859" s="1" t="s">
        <v>655</v>
      </c>
      <c r="AS2859" s="1" t="s">
        <v>656</v>
      </c>
      <c r="AT2859" s="1" t="s">
        <v>305</v>
      </c>
      <c r="AU2859" s="1">
        <v>2018</v>
      </c>
      <c r="AV2859" s="1">
        <v>202</v>
      </c>
      <c r="AW2859" s="1" t="s">
        <v>74</v>
      </c>
      <c r="AX2859" s="1" t="s">
        <v>74</v>
      </c>
      <c r="AY2859" s="1" t="s">
        <v>74</v>
      </c>
      <c r="AZ2859" s="1" t="s">
        <v>74</v>
      </c>
      <c r="BA2859" s="1" t="s">
        <v>74</v>
      </c>
      <c r="BB2859" s="1">
        <v>163</v>
      </c>
      <c r="BC2859" s="1">
        <v>172</v>
      </c>
      <c r="BD2859" s="1" t="s">
        <v>74</v>
      </c>
      <c r="BE2859" s="1" t="s">
        <v>45423</v>
      </c>
      <c r="BF2859" s="1" t="str">
        <f>HYPERLINK("http://dx.doi.org/10.1016/j.aquatox.2018.07.006","http://dx.doi.org/10.1016/j.aquatox.2018.07.006")</f>
        <v>http://dx.doi.org/10.1016/j.aquatox.2018.07.006</v>
      </c>
      <c r="BG2859" s="1" t="s">
        <v>74</v>
      </c>
      <c r="BH2859" s="1" t="s">
        <v>74</v>
      </c>
      <c r="BI2859" s="1">
        <v>10</v>
      </c>
      <c r="BJ2859" s="1" t="s">
        <v>659</v>
      </c>
      <c r="BK2859" s="1" t="s">
        <v>96</v>
      </c>
      <c r="BL2859" s="1" t="s">
        <v>659</v>
      </c>
      <c r="BM2859" s="1" t="s">
        <v>45424</v>
      </c>
      <c r="BN2859" s="1">
        <v>30048902</v>
      </c>
      <c r="BO2859" s="1" t="s">
        <v>74</v>
      </c>
      <c r="BP2859" s="1" t="s">
        <v>74</v>
      </c>
      <c r="BQ2859" s="1" t="s">
        <v>74</v>
      </c>
      <c r="BR2859" s="1" t="s">
        <v>98</v>
      </c>
      <c r="BS2859" s="1" t="s">
        <v>45425</v>
      </c>
      <c r="BT2859" s="1" t="str">
        <f>HYPERLINK("https%3A%2F%2Fwww.webofscience.com%2Fwos%2Fwoscc%2Ffull-record%2FWOS:000445168900018","View Full Record in Web of Science")</f>
        <v>View Full Record in Web of Science</v>
      </c>
      <c r="BU2859" s="1"/>
      <c r="BV2859" s="1"/>
    </row>
    <row r="2860" spans="1:74">
      <c r="A2860" s="1" t="s">
        <v>72</v>
      </c>
      <c r="B2860" s="1" t="s">
        <v>45426</v>
      </c>
      <c r="C2860" s="1" t="s">
        <v>74</v>
      </c>
      <c r="D2860" s="1" t="s">
        <v>74</v>
      </c>
      <c r="E2860" s="1" t="s">
        <v>74</v>
      </c>
      <c r="F2860" s="1" t="s">
        <v>45427</v>
      </c>
      <c r="G2860" s="1" t="s">
        <v>74</v>
      </c>
      <c r="H2860" s="1" t="s">
        <v>74</v>
      </c>
      <c r="I2860" s="1" t="s">
        <v>45428</v>
      </c>
      <c r="J2860" s="1" t="s">
        <v>7584</v>
      </c>
      <c r="K2860" s="1" t="s">
        <v>74</v>
      </c>
      <c r="L2860" s="1" t="s">
        <v>74</v>
      </c>
      <c r="M2860" s="1" t="s">
        <v>78</v>
      </c>
      <c r="N2860" s="1" t="s">
        <v>79</v>
      </c>
      <c r="O2860" s="1" t="s">
        <v>74</v>
      </c>
      <c r="P2860" s="1" t="s">
        <v>74</v>
      </c>
      <c r="Q2860" s="1" t="s">
        <v>74</v>
      </c>
      <c r="R2860" s="1" t="s">
        <v>74</v>
      </c>
      <c r="S2860" s="1" t="s">
        <v>74</v>
      </c>
      <c r="T2860" s="1" t="s">
        <v>45429</v>
      </c>
      <c r="U2860" s="1" t="s">
        <v>45430</v>
      </c>
      <c r="V2860" s="1" t="s">
        <v>45431</v>
      </c>
      <c r="W2860" s="1" t="s">
        <v>45432</v>
      </c>
      <c r="X2860" s="1" t="s">
        <v>45433</v>
      </c>
      <c r="Y2860" s="1" t="s">
        <v>45434</v>
      </c>
      <c r="Z2860" s="1" t="s">
        <v>45435</v>
      </c>
      <c r="AA2860" s="1" t="s">
        <v>45436</v>
      </c>
      <c r="AB2860" s="1" t="s">
        <v>45437</v>
      </c>
      <c r="AC2860" s="1" t="s">
        <v>45438</v>
      </c>
      <c r="AD2860" s="1" t="s">
        <v>45439</v>
      </c>
      <c r="AE2860" s="1" t="s">
        <v>45440</v>
      </c>
      <c r="AF2860" s="1" t="s">
        <v>74</v>
      </c>
      <c r="AG2860" s="1">
        <v>64</v>
      </c>
      <c r="AH2860" s="1">
        <v>25</v>
      </c>
      <c r="AI2860" s="1">
        <v>27</v>
      </c>
      <c r="AJ2860" s="1">
        <v>3</v>
      </c>
      <c r="AK2860" s="1">
        <v>55</v>
      </c>
      <c r="AL2860" s="1" t="s">
        <v>136</v>
      </c>
      <c r="AM2860" s="1" t="s">
        <v>137</v>
      </c>
      <c r="AN2860" s="1" t="s">
        <v>138</v>
      </c>
      <c r="AO2860" s="1" t="s">
        <v>7589</v>
      </c>
      <c r="AP2860" s="1" t="s">
        <v>7590</v>
      </c>
      <c r="AQ2860" s="1" t="s">
        <v>74</v>
      </c>
      <c r="AR2860" s="1" t="s">
        <v>7591</v>
      </c>
      <c r="AS2860" s="1" t="s">
        <v>7592</v>
      </c>
      <c r="AT2860" s="1" t="s">
        <v>546</v>
      </c>
      <c r="AU2860" s="1">
        <v>2016</v>
      </c>
      <c r="AV2860" s="1">
        <v>105</v>
      </c>
      <c r="AW2860" s="1" t="s">
        <v>74</v>
      </c>
      <c r="AX2860" s="1" t="s">
        <v>74</v>
      </c>
      <c r="AY2860" s="1" t="s">
        <v>74</v>
      </c>
      <c r="AZ2860" s="1" t="s">
        <v>74</v>
      </c>
      <c r="BA2860" s="1" t="s">
        <v>74</v>
      </c>
      <c r="BB2860" s="1">
        <v>241</v>
      </c>
      <c r="BC2860" s="1">
        <v>250</v>
      </c>
      <c r="BD2860" s="1" t="s">
        <v>74</v>
      </c>
      <c r="BE2860" s="1" t="s">
        <v>45441</v>
      </c>
      <c r="BF2860" s="1" t="str">
        <f>HYPERLINK("http://dx.doi.org/10.1016/j.watres.2016.09.002","http://dx.doi.org/10.1016/j.watres.2016.09.002")</f>
        <v>http://dx.doi.org/10.1016/j.watres.2016.09.002</v>
      </c>
      <c r="BG2860" s="1" t="s">
        <v>74</v>
      </c>
      <c r="BH2860" s="1" t="s">
        <v>74</v>
      </c>
      <c r="BI2860" s="1">
        <v>10</v>
      </c>
      <c r="BJ2860" s="1" t="s">
        <v>587</v>
      </c>
      <c r="BK2860" s="1" t="s">
        <v>96</v>
      </c>
      <c r="BL2860" s="1" t="s">
        <v>589</v>
      </c>
      <c r="BM2860" s="1" t="s">
        <v>45442</v>
      </c>
      <c r="BN2860" s="1">
        <v>27619500</v>
      </c>
      <c r="BO2860" s="1" t="s">
        <v>810</v>
      </c>
      <c r="BP2860" s="1" t="s">
        <v>74</v>
      </c>
      <c r="BQ2860" s="1" t="s">
        <v>74</v>
      </c>
      <c r="BR2860" s="1" t="s">
        <v>98</v>
      </c>
      <c r="BS2860" s="1" t="s">
        <v>45443</v>
      </c>
      <c r="BT2860" s="1" t="str">
        <f>HYPERLINK("https%3A%2F%2Fwww.webofscience.com%2Fwos%2Fwoscc%2Ffull-record%2FWOS:000385902000024","View Full Record in Web of Science")</f>
        <v>View Full Record in Web of Science</v>
      </c>
      <c r="BU2860" s="1"/>
      <c r="BV2860" s="1"/>
    </row>
    <row r="2861" spans="1:74">
      <c r="A2861" s="1" t="s">
        <v>72</v>
      </c>
      <c r="B2861" s="1" t="s">
        <v>45444</v>
      </c>
      <c r="C2861" s="1" t="s">
        <v>74</v>
      </c>
      <c r="D2861" s="1" t="s">
        <v>74</v>
      </c>
      <c r="E2861" s="1" t="s">
        <v>74</v>
      </c>
      <c r="F2861" s="1" t="s">
        <v>45445</v>
      </c>
      <c r="G2861" s="1" t="s">
        <v>74</v>
      </c>
      <c r="H2861" s="1" t="s">
        <v>74</v>
      </c>
      <c r="I2861" s="1" t="s">
        <v>45446</v>
      </c>
      <c r="J2861" s="1" t="s">
        <v>554</v>
      </c>
      <c r="K2861" s="1" t="s">
        <v>74</v>
      </c>
      <c r="L2861" s="1" t="s">
        <v>74</v>
      </c>
      <c r="M2861" s="1" t="s">
        <v>78</v>
      </c>
      <c r="N2861" s="1" t="s">
        <v>79</v>
      </c>
      <c r="O2861" s="1" t="s">
        <v>74</v>
      </c>
      <c r="P2861" s="1" t="s">
        <v>74</v>
      </c>
      <c r="Q2861" s="1" t="s">
        <v>74</v>
      </c>
      <c r="R2861" s="1" t="s">
        <v>74</v>
      </c>
      <c r="S2861" s="1" t="s">
        <v>74</v>
      </c>
      <c r="T2861" s="1" t="s">
        <v>45447</v>
      </c>
      <c r="U2861" s="1" t="s">
        <v>45448</v>
      </c>
      <c r="V2861" s="1" t="s">
        <v>45449</v>
      </c>
      <c r="W2861" s="1" t="s">
        <v>45450</v>
      </c>
      <c r="X2861" s="1" t="s">
        <v>45451</v>
      </c>
      <c r="Y2861" s="1" t="s">
        <v>45452</v>
      </c>
      <c r="Z2861" s="1" t="s">
        <v>30655</v>
      </c>
      <c r="AA2861" s="1" t="s">
        <v>74</v>
      </c>
      <c r="AB2861" s="1" t="s">
        <v>43083</v>
      </c>
      <c r="AC2861" s="1" t="s">
        <v>74</v>
      </c>
      <c r="AD2861" s="1" t="s">
        <v>74</v>
      </c>
      <c r="AE2861" s="1" t="s">
        <v>74</v>
      </c>
      <c r="AF2861" s="1" t="s">
        <v>74</v>
      </c>
      <c r="AG2861" s="1">
        <v>57</v>
      </c>
      <c r="AH2861" s="1">
        <v>44</v>
      </c>
      <c r="AI2861" s="1">
        <v>44</v>
      </c>
      <c r="AJ2861" s="1">
        <v>0</v>
      </c>
      <c r="AK2861" s="1">
        <v>22</v>
      </c>
      <c r="AL2861" s="1" t="s">
        <v>564</v>
      </c>
      <c r="AM2861" s="1" t="s">
        <v>113</v>
      </c>
      <c r="AN2861" s="1" t="s">
        <v>565</v>
      </c>
      <c r="AO2861" s="1" t="s">
        <v>566</v>
      </c>
      <c r="AP2861" s="1" t="s">
        <v>567</v>
      </c>
      <c r="AQ2861" s="1" t="s">
        <v>74</v>
      </c>
      <c r="AR2861" s="1" t="s">
        <v>568</v>
      </c>
      <c r="AS2861" s="1" t="s">
        <v>569</v>
      </c>
      <c r="AT2861" s="1" t="s">
        <v>170</v>
      </c>
      <c r="AU2861" s="1">
        <v>2007</v>
      </c>
      <c r="AV2861" s="1">
        <v>145</v>
      </c>
      <c r="AW2861" s="1">
        <v>4</v>
      </c>
      <c r="AX2861" s="1" t="s">
        <v>74</v>
      </c>
      <c r="AY2861" s="1" t="s">
        <v>74</v>
      </c>
      <c r="AZ2861" s="1" t="s">
        <v>74</v>
      </c>
      <c r="BA2861" s="1" t="s">
        <v>74</v>
      </c>
      <c r="BB2861" s="1">
        <v>632</v>
      </c>
      <c r="BC2861" s="1">
        <v>640</v>
      </c>
      <c r="BD2861" s="1" t="s">
        <v>74</v>
      </c>
      <c r="BE2861" s="1" t="s">
        <v>45453</v>
      </c>
      <c r="BF2861" s="1" t="str">
        <f>HYPERLINK("http://dx.doi.org/10.1016/j.cbpc.2007.02.012","http://dx.doi.org/10.1016/j.cbpc.2007.02.012")</f>
        <v>http://dx.doi.org/10.1016/j.cbpc.2007.02.012</v>
      </c>
      <c r="BG2861" s="1" t="s">
        <v>74</v>
      </c>
      <c r="BH2861" s="1" t="s">
        <v>74</v>
      </c>
      <c r="BI2861" s="1">
        <v>9</v>
      </c>
      <c r="BJ2861" s="1" t="s">
        <v>571</v>
      </c>
      <c r="BK2861" s="1" t="s">
        <v>96</v>
      </c>
      <c r="BL2861" s="1" t="s">
        <v>571</v>
      </c>
      <c r="BM2861" s="1" t="s">
        <v>26274</v>
      </c>
      <c r="BN2861" s="1">
        <v>17382598</v>
      </c>
      <c r="BO2861" s="1" t="s">
        <v>74</v>
      </c>
      <c r="BP2861" s="1" t="s">
        <v>74</v>
      </c>
      <c r="BQ2861" s="1" t="s">
        <v>74</v>
      </c>
      <c r="BR2861" s="1" t="s">
        <v>98</v>
      </c>
      <c r="BS2861" s="1" t="s">
        <v>45454</v>
      </c>
      <c r="BT2861" s="1" t="str">
        <f>HYPERLINK("https%3A%2F%2Fwww.webofscience.com%2Fwos%2Fwoscc%2Ffull-record%2FWOS:000246935300015","View Full Record in Web of Science")</f>
        <v>View Full Record in Web of Science</v>
      </c>
      <c r="BU2861" s="1"/>
      <c r="BV2861" s="1"/>
    </row>
    <row r="2862" spans="1:74">
      <c r="A2862" s="1" t="s">
        <v>72</v>
      </c>
      <c r="B2862" s="1" t="s">
        <v>45455</v>
      </c>
      <c r="C2862" s="1" t="s">
        <v>74</v>
      </c>
      <c r="D2862" s="1" t="s">
        <v>74</v>
      </c>
      <c r="E2862" s="1" t="s">
        <v>74</v>
      </c>
      <c r="F2862" s="1" t="s">
        <v>45456</v>
      </c>
      <c r="G2862" s="1" t="s">
        <v>74</v>
      </c>
      <c r="H2862" s="1" t="s">
        <v>74</v>
      </c>
      <c r="I2862" s="1" t="s">
        <v>45457</v>
      </c>
      <c r="J2862" s="1" t="s">
        <v>704</v>
      </c>
      <c r="K2862" s="1" t="s">
        <v>74</v>
      </c>
      <c r="L2862" s="1" t="s">
        <v>74</v>
      </c>
      <c r="M2862" s="1" t="s">
        <v>78</v>
      </c>
      <c r="N2862" s="1" t="s">
        <v>79</v>
      </c>
      <c r="O2862" s="1" t="s">
        <v>74</v>
      </c>
      <c r="P2862" s="1" t="s">
        <v>74</v>
      </c>
      <c r="Q2862" s="1" t="s">
        <v>74</v>
      </c>
      <c r="R2862" s="1" t="s">
        <v>74</v>
      </c>
      <c r="S2862" s="1" t="s">
        <v>74</v>
      </c>
      <c r="T2862" s="1" t="s">
        <v>45458</v>
      </c>
      <c r="U2862" s="1" t="s">
        <v>45459</v>
      </c>
      <c r="V2862" s="1" t="s">
        <v>45460</v>
      </c>
      <c r="W2862" s="1" t="s">
        <v>45461</v>
      </c>
      <c r="X2862" s="1" t="s">
        <v>45462</v>
      </c>
      <c r="Y2862" s="1" t="s">
        <v>45463</v>
      </c>
      <c r="Z2862" s="1" t="s">
        <v>45464</v>
      </c>
      <c r="AA2862" s="1" t="s">
        <v>45465</v>
      </c>
      <c r="AB2862" s="1" t="s">
        <v>45466</v>
      </c>
      <c r="AC2862" s="1" t="s">
        <v>45467</v>
      </c>
      <c r="AD2862" s="1" t="s">
        <v>45468</v>
      </c>
      <c r="AE2862" s="1" t="s">
        <v>45469</v>
      </c>
      <c r="AF2862" s="1" t="s">
        <v>74</v>
      </c>
      <c r="AG2862" s="1">
        <v>33</v>
      </c>
      <c r="AH2862" s="1">
        <v>11</v>
      </c>
      <c r="AI2862" s="1">
        <v>12</v>
      </c>
      <c r="AJ2862" s="1">
        <v>3</v>
      </c>
      <c r="AK2862" s="1">
        <v>42</v>
      </c>
      <c r="AL2862" s="1" t="s">
        <v>112</v>
      </c>
      <c r="AM2862" s="1" t="s">
        <v>191</v>
      </c>
      <c r="AN2862" s="1" t="s">
        <v>192</v>
      </c>
      <c r="AO2862" s="1" t="s">
        <v>718</v>
      </c>
      <c r="AP2862" s="1" t="s">
        <v>1169</v>
      </c>
      <c r="AQ2862" s="1" t="s">
        <v>74</v>
      </c>
      <c r="AR2862" s="1" t="s">
        <v>719</v>
      </c>
      <c r="AS2862" s="1" t="s">
        <v>720</v>
      </c>
      <c r="AT2862" s="1" t="s">
        <v>142</v>
      </c>
      <c r="AU2862" s="1">
        <v>2017</v>
      </c>
      <c r="AV2862" s="1">
        <v>228</v>
      </c>
      <c r="AW2862" s="1">
        <v>6</v>
      </c>
      <c r="AX2862" s="1" t="s">
        <v>74</v>
      </c>
      <c r="AY2862" s="1" t="s">
        <v>74</v>
      </c>
      <c r="AZ2862" s="1" t="s">
        <v>74</v>
      </c>
      <c r="BA2862" s="1" t="s">
        <v>74</v>
      </c>
      <c r="BB2862" s="1" t="s">
        <v>74</v>
      </c>
      <c r="BC2862" s="1" t="s">
        <v>74</v>
      </c>
      <c r="BD2862" s="1">
        <v>222</v>
      </c>
      <c r="BE2862" s="1" t="s">
        <v>45470</v>
      </c>
      <c r="BF2862" s="1" t="str">
        <f>HYPERLINK("http://dx.doi.org/10.1007/s11270-017-3387-4","http://dx.doi.org/10.1007/s11270-017-3387-4")</f>
        <v>http://dx.doi.org/10.1007/s11270-017-3387-4</v>
      </c>
      <c r="BG2862" s="1" t="s">
        <v>74</v>
      </c>
      <c r="BH2862" s="1" t="s">
        <v>74</v>
      </c>
      <c r="BI2862" s="1">
        <v>13</v>
      </c>
      <c r="BJ2862" s="1" t="s">
        <v>722</v>
      </c>
      <c r="BK2862" s="1" t="s">
        <v>96</v>
      </c>
      <c r="BL2862" s="1" t="s">
        <v>723</v>
      </c>
      <c r="BM2862" s="1" t="s">
        <v>15229</v>
      </c>
      <c r="BN2862" s="1" t="s">
        <v>74</v>
      </c>
      <c r="BO2862" s="1" t="s">
        <v>74</v>
      </c>
      <c r="BP2862" s="1" t="s">
        <v>74</v>
      </c>
      <c r="BQ2862" s="1" t="s">
        <v>74</v>
      </c>
      <c r="BR2862" s="1" t="s">
        <v>98</v>
      </c>
      <c r="BS2862" s="1" t="s">
        <v>45471</v>
      </c>
      <c r="BT2862" s="1" t="str">
        <f>HYPERLINK("https%3A%2F%2Fwww.webofscience.com%2Fwos%2Fwoscc%2Ffull-record%2FWOS:000403574100017","View Full Record in Web of Science")</f>
        <v>View Full Record in Web of Science</v>
      </c>
      <c r="BU2862" s="1"/>
      <c r="BV2862" s="1"/>
    </row>
    <row r="2863" spans="1:74">
      <c r="A2863" s="1" t="s">
        <v>72</v>
      </c>
      <c r="B2863" s="1" t="s">
        <v>45472</v>
      </c>
      <c r="C2863" s="1" t="s">
        <v>74</v>
      </c>
      <c r="D2863" s="1" t="s">
        <v>74</v>
      </c>
      <c r="E2863" s="1" t="s">
        <v>74</v>
      </c>
      <c r="F2863" s="1" t="s">
        <v>45472</v>
      </c>
      <c r="G2863" s="1" t="s">
        <v>74</v>
      </c>
      <c r="H2863" s="1" t="s">
        <v>74</v>
      </c>
      <c r="I2863" s="1" t="s">
        <v>45473</v>
      </c>
      <c r="J2863" s="1" t="s">
        <v>4463</v>
      </c>
      <c r="K2863" s="1" t="s">
        <v>74</v>
      </c>
      <c r="L2863" s="1" t="s">
        <v>74</v>
      </c>
      <c r="M2863" s="1" t="s">
        <v>78</v>
      </c>
      <c r="N2863" s="1" t="s">
        <v>79</v>
      </c>
      <c r="O2863" s="1" t="s">
        <v>74</v>
      </c>
      <c r="P2863" s="1" t="s">
        <v>74</v>
      </c>
      <c r="Q2863" s="1" t="s">
        <v>74</v>
      </c>
      <c r="R2863" s="1" t="s">
        <v>74</v>
      </c>
      <c r="S2863" s="1" t="s">
        <v>74</v>
      </c>
      <c r="T2863" s="1" t="s">
        <v>74</v>
      </c>
      <c r="U2863" s="1" t="s">
        <v>45474</v>
      </c>
      <c r="V2863" s="1" t="s">
        <v>45475</v>
      </c>
      <c r="W2863" s="1" t="s">
        <v>45476</v>
      </c>
      <c r="X2863" s="1" t="s">
        <v>45477</v>
      </c>
      <c r="Y2863" s="1" t="s">
        <v>45478</v>
      </c>
      <c r="Z2863" s="1" t="s">
        <v>45479</v>
      </c>
      <c r="AA2863" s="1" t="s">
        <v>45480</v>
      </c>
      <c r="AB2863" s="1" t="s">
        <v>45481</v>
      </c>
      <c r="AC2863" s="1" t="s">
        <v>45482</v>
      </c>
      <c r="AD2863" s="1" t="s">
        <v>43853</v>
      </c>
      <c r="AE2863" s="1" t="s">
        <v>74</v>
      </c>
      <c r="AF2863" s="1" t="s">
        <v>74</v>
      </c>
      <c r="AG2863" s="1">
        <v>41</v>
      </c>
      <c r="AH2863" s="1">
        <v>104</v>
      </c>
      <c r="AI2863" s="1">
        <v>121</v>
      </c>
      <c r="AJ2863" s="1">
        <v>1</v>
      </c>
      <c r="AK2863" s="1">
        <v>43</v>
      </c>
      <c r="AL2863" s="1" t="s">
        <v>4471</v>
      </c>
      <c r="AM2863" s="1" t="s">
        <v>4472</v>
      </c>
      <c r="AN2863" s="1" t="s">
        <v>4473</v>
      </c>
      <c r="AO2863" s="1" t="s">
        <v>4474</v>
      </c>
      <c r="AP2863" s="1" t="s">
        <v>4475</v>
      </c>
      <c r="AQ2863" s="1" t="s">
        <v>74</v>
      </c>
      <c r="AR2863" s="1" t="s">
        <v>4476</v>
      </c>
      <c r="AS2863" s="1" t="s">
        <v>4477</v>
      </c>
      <c r="AT2863" s="1" t="s">
        <v>387</v>
      </c>
      <c r="AU2863" s="1">
        <v>2002</v>
      </c>
      <c r="AV2863" s="1">
        <v>36</v>
      </c>
      <c r="AW2863" s="1">
        <v>10</v>
      </c>
      <c r="AX2863" s="1" t="s">
        <v>74</v>
      </c>
      <c r="AY2863" s="1" t="s">
        <v>74</v>
      </c>
      <c r="AZ2863" s="1" t="s">
        <v>74</v>
      </c>
      <c r="BA2863" s="1" t="s">
        <v>74</v>
      </c>
      <c r="BB2863" s="1">
        <v>2219</v>
      </c>
      <c r="BC2863" s="1">
        <v>2226</v>
      </c>
      <c r="BD2863" s="1" t="s">
        <v>74</v>
      </c>
      <c r="BE2863" s="1" t="s">
        <v>45483</v>
      </c>
      <c r="BF2863" s="1" t="str">
        <f>HYPERLINK("http://dx.doi.org/10.1021/es010300w","http://dx.doi.org/10.1021/es010300w")</f>
        <v>http://dx.doi.org/10.1021/es010300w</v>
      </c>
      <c r="BG2863" s="1" t="s">
        <v>74</v>
      </c>
      <c r="BH2863" s="1" t="s">
        <v>74</v>
      </c>
      <c r="BI2863" s="1">
        <v>8</v>
      </c>
      <c r="BJ2863" s="1" t="s">
        <v>415</v>
      </c>
      <c r="BK2863" s="1" t="s">
        <v>96</v>
      </c>
      <c r="BL2863" s="1" t="s">
        <v>416</v>
      </c>
      <c r="BM2863" s="1" t="s">
        <v>45484</v>
      </c>
      <c r="BN2863" s="1">
        <v>12038833</v>
      </c>
      <c r="BO2863" s="1" t="s">
        <v>74</v>
      </c>
      <c r="BP2863" s="1" t="s">
        <v>74</v>
      </c>
      <c r="BQ2863" s="1" t="s">
        <v>74</v>
      </c>
      <c r="BR2863" s="1" t="s">
        <v>98</v>
      </c>
      <c r="BS2863" s="1" t="s">
        <v>45485</v>
      </c>
      <c r="BT2863" s="1" t="str">
        <f>HYPERLINK("https%3A%2F%2Fwww.webofscience.com%2Fwos%2Fwoscc%2Ffull-record%2FWOS:000175653500016","View Full Record in Web of Science")</f>
        <v>View Full Record in Web of Science</v>
      </c>
      <c r="BU2863" s="1"/>
      <c r="BV2863" s="1"/>
    </row>
    <row r="2864" spans="1:74">
      <c r="A2864" s="1" t="s">
        <v>72</v>
      </c>
      <c r="B2864" s="1" t="s">
        <v>45486</v>
      </c>
      <c r="C2864" s="1" t="s">
        <v>74</v>
      </c>
      <c r="D2864" s="1" t="s">
        <v>74</v>
      </c>
      <c r="E2864" s="1" t="s">
        <v>74</v>
      </c>
      <c r="F2864" s="1" t="s">
        <v>45486</v>
      </c>
      <c r="G2864" s="1" t="s">
        <v>74</v>
      </c>
      <c r="H2864" s="1" t="s">
        <v>74</v>
      </c>
      <c r="I2864" s="1" t="s">
        <v>45487</v>
      </c>
      <c r="J2864" s="1" t="s">
        <v>909</v>
      </c>
      <c r="K2864" s="1" t="s">
        <v>74</v>
      </c>
      <c r="L2864" s="1" t="s">
        <v>74</v>
      </c>
      <c r="M2864" s="1" t="s">
        <v>78</v>
      </c>
      <c r="N2864" s="1" t="s">
        <v>151</v>
      </c>
      <c r="O2864" s="1" t="s">
        <v>13934</v>
      </c>
      <c r="P2864" s="1" t="s">
        <v>13935</v>
      </c>
      <c r="Q2864" s="1" t="s">
        <v>13936</v>
      </c>
      <c r="R2864" s="1" t="s">
        <v>74</v>
      </c>
      <c r="S2864" s="1" t="s">
        <v>74</v>
      </c>
      <c r="T2864" s="1" t="s">
        <v>45488</v>
      </c>
      <c r="U2864" s="1" t="s">
        <v>45489</v>
      </c>
      <c r="V2864" s="1" t="s">
        <v>45490</v>
      </c>
      <c r="W2864" s="1" t="s">
        <v>45491</v>
      </c>
      <c r="X2864" s="1" t="s">
        <v>39747</v>
      </c>
      <c r="Y2864" s="1" t="s">
        <v>45492</v>
      </c>
      <c r="Z2864" s="1" t="s">
        <v>45493</v>
      </c>
      <c r="AA2864" s="1" t="s">
        <v>45494</v>
      </c>
      <c r="AB2864" s="1" t="s">
        <v>45495</v>
      </c>
      <c r="AC2864" s="1" t="s">
        <v>74</v>
      </c>
      <c r="AD2864" s="1" t="s">
        <v>74</v>
      </c>
      <c r="AE2864" s="1" t="s">
        <v>74</v>
      </c>
      <c r="AF2864" s="1" t="s">
        <v>74</v>
      </c>
      <c r="AG2864" s="1">
        <v>34</v>
      </c>
      <c r="AH2864" s="1">
        <v>30</v>
      </c>
      <c r="AI2864" s="1">
        <v>34</v>
      </c>
      <c r="AJ2864" s="1">
        <v>0</v>
      </c>
      <c r="AK2864" s="1">
        <v>7</v>
      </c>
      <c r="AL2864" s="1" t="s">
        <v>919</v>
      </c>
      <c r="AM2864" s="1" t="s">
        <v>651</v>
      </c>
      <c r="AN2864" s="1" t="s">
        <v>920</v>
      </c>
      <c r="AO2864" s="1" t="s">
        <v>921</v>
      </c>
      <c r="AP2864" s="1" t="s">
        <v>922</v>
      </c>
      <c r="AQ2864" s="1" t="s">
        <v>74</v>
      </c>
      <c r="AR2864" s="1" t="s">
        <v>923</v>
      </c>
      <c r="AS2864" s="1" t="s">
        <v>924</v>
      </c>
      <c r="AT2864" s="1" t="s">
        <v>2846</v>
      </c>
      <c r="AU2864" s="1">
        <v>2000</v>
      </c>
      <c r="AV2864" s="1">
        <v>247</v>
      </c>
      <c r="AW2864" s="1" t="s">
        <v>1723</v>
      </c>
      <c r="AX2864" s="1" t="s">
        <v>74</v>
      </c>
      <c r="AY2864" s="1" t="s">
        <v>74</v>
      </c>
      <c r="AZ2864" s="1" t="s">
        <v>74</v>
      </c>
      <c r="BA2864" s="1" t="s">
        <v>74</v>
      </c>
      <c r="BB2864" s="1">
        <v>227</v>
      </c>
      <c r="BC2864" s="1">
        <v>237</v>
      </c>
      <c r="BD2864" s="1" t="s">
        <v>74</v>
      </c>
      <c r="BE2864" s="1" t="s">
        <v>45496</v>
      </c>
      <c r="BF2864" s="1" t="str">
        <f>HYPERLINK("http://dx.doi.org/10.1016/S0048-9697(00)00367-3","http://dx.doi.org/10.1016/S0048-9697(00)00367-3")</f>
        <v>http://dx.doi.org/10.1016/S0048-9697(00)00367-3</v>
      </c>
      <c r="BG2864" s="1" t="s">
        <v>74</v>
      </c>
      <c r="BH2864" s="1" t="s">
        <v>74</v>
      </c>
      <c r="BI2864" s="1">
        <v>11</v>
      </c>
      <c r="BJ2864" s="1" t="s">
        <v>144</v>
      </c>
      <c r="BK2864" s="1" t="s">
        <v>172</v>
      </c>
      <c r="BL2864" s="1" t="s">
        <v>145</v>
      </c>
      <c r="BM2864" s="1" t="s">
        <v>13946</v>
      </c>
      <c r="BN2864" s="1">
        <v>10803550</v>
      </c>
      <c r="BO2864" s="1" t="s">
        <v>370</v>
      </c>
      <c r="BP2864" s="1" t="s">
        <v>74</v>
      </c>
      <c r="BQ2864" s="1" t="s">
        <v>74</v>
      </c>
      <c r="BR2864" s="1" t="s">
        <v>98</v>
      </c>
      <c r="BS2864" s="1" t="s">
        <v>45497</v>
      </c>
      <c r="BT2864" s="1" t="str">
        <f>HYPERLINK("https%3A%2F%2Fwww.webofscience.com%2Fwos%2Fwoscc%2Ffull-record%2FWOS:000086537200014","View Full Record in Web of Science")</f>
        <v>View Full Record in Web of Science</v>
      </c>
      <c r="BU2864" s="1"/>
      <c r="BV2864" s="1"/>
    </row>
    <row r="2865" spans="1:74">
      <c r="A2865" s="1" t="s">
        <v>72</v>
      </c>
      <c r="B2865" s="1" t="s">
        <v>45498</v>
      </c>
      <c r="C2865" s="1" t="s">
        <v>74</v>
      </c>
      <c r="D2865" s="1" t="s">
        <v>74</v>
      </c>
      <c r="E2865" s="1" t="s">
        <v>74</v>
      </c>
      <c r="F2865" s="1" t="s">
        <v>45499</v>
      </c>
      <c r="G2865" s="1" t="s">
        <v>74</v>
      </c>
      <c r="H2865" s="1" t="s">
        <v>74</v>
      </c>
      <c r="I2865" s="1" t="s">
        <v>45500</v>
      </c>
      <c r="J2865" s="1" t="s">
        <v>13465</v>
      </c>
      <c r="K2865" s="1" t="s">
        <v>74</v>
      </c>
      <c r="L2865" s="1" t="s">
        <v>74</v>
      </c>
      <c r="M2865" s="1" t="s">
        <v>78</v>
      </c>
      <c r="N2865" s="1" t="s">
        <v>79</v>
      </c>
      <c r="O2865" s="1" t="s">
        <v>74</v>
      </c>
      <c r="P2865" s="1" t="s">
        <v>74</v>
      </c>
      <c r="Q2865" s="1" t="s">
        <v>74</v>
      </c>
      <c r="R2865" s="1" t="s">
        <v>74</v>
      </c>
      <c r="S2865" s="1" t="s">
        <v>74</v>
      </c>
      <c r="T2865" s="1" t="s">
        <v>45501</v>
      </c>
      <c r="U2865" s="1" t="s">
        <v>45502</v>
      </c>
      <c r="V2865" s="1" t="s">
        <v>45503</v>
      </c>
      <c r="W2865" s="1" t="s">
        <v>45504</v>
      </c>
      <c r="X2865" s="1" t="s">
        <v>45505</v>
      </c>
      <c r="Y2865" s="1" t="s">
        <v>45506</v>
      </c>
      <c r="Z2865" s="1" t="s">
        <v>45507</v>
      </c>
      <c r="AA2865" s="1" t="s">
        <v>45508</v>
      </c>
      <c r="AB2865" s="1" t="s">
        <v>45509</v>
      </c>
      <c r="AC2865" s="1" t="s">
        <v>74</v>
      </c>
      <c r="AD2865" s="1" t="s">
        <v>74</v>
      </c>
      <c r="AE2865" s="1" t="s">
        <v>74</v>
      </c>
      <c r="AF2865" s="1" t="s">
        <v>74</v>
      </c>
      <c r="AG2865" s="1">
        <v>59</v>
      </c>
      <c r="AH2865" s="1">
        <v>8</v>
      </c>
      <c r="AI2865" s="1">
        <v>8</v>
      </c>
      <c r="AJ2865" s="1">
        <v>0</v>
      </c>
      <c r="AK2865" s="1">
        <v>12</v>
      </c>
      <c r="AL2865" s="1" t="s">
        <v>13473</v>
      </c>
      <c r="AM2865" s="1" t="s">
        <v>13474</v>
      </c>
      <c r="AN2865" s="1" t="s">
        <v>13475</v>
      </c>
      <c r="AO2865" s="1" t="s">
        <v>13476</v>
      </c>
      <c r="AP2865" s="1" t="s">
        <v>13477</v>
      </c>
      <c r="AQ2865" s="1" t="s">
        <v>74</v>
      </c>
      <c r="AR2865" s="1" t="s">
        <v>13465</v>
      </c>
      <c r="AS2865" s="1" t="s">
        <v>13478</v>
      </c>
      <c r="AT2865" s="1" t="s">
        <v>2935</v>
      </c>
      <c r="AU2865" s="1">
        <v>2016</v>
      </c>
      <c r="AV2865" s="1">
        <v>58</v>
      </c>
      <c r="AW2865" s="1">
        <v>2</v>
      </c>
      <c r="AX2865" s="1" t="s">
        <v>74</v>
      </c>
      <c r="AY2865" s="1" t="s">
        <v>74</v>
      </c>
      <c r="AZ2865" s="1" t="s">
        <v>74</v>
      </c>
      <c r="BA2865" s="1" t="s">
        <v>74</v>
      </c>
      <c r="BB2865" s="1">
        <v>135</v>
      </c>
      <c r="BC2865" s="1">
        <v>149</v>
      </c>
      <c r="BD2865" s="1" t="s">
        <v>74</v>
      </c>
      <c r="BE2865" s="1" t="s">
        <v>45510</v>
      </c>
      <c r="BF2865" s="1" t="str">
        <f>HYPERLINK("http://dx.doi.org/10.1016/j.oceano.2016.01.001","http://dx.doi.org/10.1016/j.oceano.2016.01.001")</f>
        <v>http://dx.doi.org/10.1016/j.oceano.2016.01.001</v>
      </c>
      <c r="BG2865" s="1" t="s">
        <v>74</v>
      </c>
      <c r="BH2865" s="1" t="s">
        <v>74</v>
      </c>
      <c r="BI2865" s="1">
        <v>15</v>
      </c>
      <c r="BJ2865" s="1" t="s">
        <v>1439</v>
      </c>
      <c r="BK2865" s="1" t="s">
        <v>96</v>
      </c>
      <c r="BL2865" s="1" t="s">
        <v>1439</v>
      </c>
      <c r="BM2865" s="1" t="s">
        <v>45511</v>
      </c>
      <c r="BN2865" s="1" t="s">
        <v>74</v>
      </c>
      <c r="BO2865" s="1" t="s">
        <v>873</v>
      </c>
      <c r="BP2865" s="1" t="s">
        <v>74</v>
      </c>
      <c r="BQ2865" s="1" t="s">
        <v>74</v>
      </c>
      <c r="BR2865" s="1" t="s">
        <v>98</v>
      </c>
      <c r="BS2865" s="1" t="s">
        <v>45512</v>
      </c>
      <c r="BT2865" s="1" t="str">
        <f>HYPERLINK("https%3A%2F%2Fwww.webofscience.com%2Fwos%2Fwoscc%2Ffull-record%2FWOS:000373492300007","View Full Record in Web of Science")</f>
        <v>View Full Record in Web of Science</v>
      </c>
      <c r="BU2865" s="1"/>
      <c r="BV2865" s="1"/>
    </row>
    <row r="2866" spans="1:74">
      <c r="A2866" s="1" t="s">
        <v>72</v>
      </c>
      <c r="B2866" s="1" t="s">
        <v>45513</v>
      </c>
      <c r="C2866" s="1" t="s">
        <v>74</v>
      </c>
      <c r="D2866" s="1" t="s">
        <v>74</v>
      </c>
      <c r="E2866" s="1" t="s">
        <v>74</v>
      </c>
      <c r="F2866" s="1" t="s">
        <v>45514</v>
      </c>
      <c r="G2866" s="1" t="s">
        <v>74</v>
      </c>
      <c r="H2866" s="1" t="s">
        <v>74</v>
      </c>
      <c r="I2866" s="1" t="s">
        <v>45515</v>
      </c>
      <c r="J2866" s="1" t="s">
        <v>24961</v>
      </c>
      <c r="K2866" s="1" t="s">
        <v>74</v>
      </c>
      <c r="L2866" s="1" t="s">
        <v>74</v>
      </c>
      <c r="M2866" s="1" t="s">
        <v>78</v>
      </c>
      <c r="N2866" s="1" t="s">
        <v>79</v>
      </c>
      <c r="O2866" s="1" t="s">
        <v>74</v>
      </c>
      <c r="P2866" s="1" t="s">
        <v>74</v>
      </c>
      <c r="Q2866" s="1" t="s">
        <v>74</v>
      </c>
      <c r="R2866" s="1" t="s">
        <v>74</v>
      </c>
      <c r="S2866" s="1" t="s">
        <v>74</v>
      </c>
      <c r="T2866" s="1" t="s">
        <v>45516</v>
      </c>
      <c r="U2866" s="1" t="s">
        <v>45517</v>
      </c>
      <c r="V2866" s="1" t="s">
        <v>45518</v>
      </c>
      <c r="W2866" s="1" t="s">
        <v>45519</v>
      </c>
      <c r="X2866" s="1" t="s">
        <v>45520</v>
      </c>
      <c r="Y2866" s="1" t="s">
        <v>45521</v>
      </c>
      <c r="Z2866" s="1" t="s">
        <v>45522</v>
      </c>
      <c r="AA2866" s="1" t="s">
        <v>45523</v>
      </c>
      <c r="AB2866" s="1" t="s">
        <v>45524</v>
      </c>
      <c r="AC2866" s="1" t="s">
        <v>74</v>
      </c>
      <c r="AD2866" s="1" t="s">
        <v>74</v>
      </c>
      <c r="AE2866" s="1" t="s">
        <v>74</v>
      </c>
      <c r="AF2866" s="1" t="s">
        <v>74</v>
      </c>
      <c r="AG2866" s="1">
        <v>88</v>
      </c>
      <c r="AH2866" s="1">
        <v>13</v>
      </c>
      <c r="AI2866" s="1">
        <v>14</v>
      </c>
      <c r="AJ2866" s="1">
        <v>0</v>
      </c>
      <c r="AK2866" s="1">
        <v>19</v>
      </c>
      <c r="AL2866" s="1" t="s">
        <v>39130</v>
      </c>
      <c r="AM2866" s="1" t="s">
        <v>39131</v>
      </c>
      <c r="AN2866" s="1" t="s">
        <v>39132</v>
      </c>
      <c r="AO2866" s="1" t="s">
        <v>24972</v>
      </c>
      <c r="AP2866" s="1" t="s">
        <v>39133</v>
      </c>
      <c r="AQ2866" s="1" t="s">
        <v>74</v>
      </c>
      <c r="AR2866" s="1" t="s">
        <v>24973</v>
      </c>
      <c r="AS2866" s="1" t="s">
        <v>24974</v>
      </c>
      <c r="AT2866" s="1" t="s">
        <v>74</v>
      </c>
      <c r="AU2866" s="1">
        <v>2016</v>
      </c>
      <c r="AV2866" s="1">
        <v>75</v>
      </c>
      <c r="AW2866" s="1" t="s">
        <v>74</v>
      </c>
      <c r="AX2866" s="1" t="s">
        <v>74</v>
      </c>
      <c r="AY2866" s="1">
        <v>2</v>
      </c>
      <c r="AZ2866" s="1" t="s">
        <v>74</v>
      </c>
      <c r="BA2866" s="1" t="s">
        <v>74</v>
      </c>
      <c r="BB2866" s="1">
        <v>120</v>
      </c>
      <c r="BC2866" s="1">
        <v>130</v>
      </c>
      <c r="BD2866" s="1" t="s">
        <v>74</v>
      </c>
      <c r="BE2866" s="1" t="s">
        <v>45525</v>
      </c>
      <c r="BF2866" s="1" t="str">
        <f>HYPERLINK("http://dx.doi.org/10.4081/jlimnol.2016.1286","http://dx.doi.org/10.4081/jlimnol.2016.1286")</f>
        <v>http://dx.doi.org/10.4081/jlimnol.2016.1286</v>
      </c>
      <c r="BG2866" s="1" t="s">
        <v>74</v>
      </c>
      <c r="BH2866" s="1" t="s">
        <v>74</v>
      </c>
      <c r="BI2866" s="1">
        <v>11</v>
      </c>
      <c r="BJ2866" s="1" t="s">
        <v>14249</v>
      </c>
      <c r="BK2866" s="1" t="s">
        <v>96</v>
      </c>
      <c r="BL2866" s="1" t="s">
        <v>680</v>
      </c>
      <c r="BM2866" s="1" t="s">
        <v>45526</v>
      </c>
      <c r="BN2866" s="1" t="s">
        <v>74</v>
      </c>
      <c r="BO2866" s="1" t="s">
        <v>12986</v>
      </c>
      <c r="BP2866" s="1" t="s">
        <v>74</v>
      </c>
      <c r="BQ2866" s="1" t="s">
        <v>74</v>
      </c>
      <c r="BR2866" s="1" t="s">
        <v>98</v>
      </c>
      <c r="BS2866" s="1" t="s">
        <v>45527</v>
      </c>
      <c r="BT2866" s="1" t="str">
        <f>HYPERLINK("https%3A%2F%2Fwww.webofscience.com%2Fwos%2Fwoscc%2Ffull-record%2FWOS:000374772200016","View Full Record in Web of Science")</f>
        <v>View Full Record in Web of Science</v>
      </c>
      <c r="BU2866" s="1"/>
      <c r="BV2866" s="1"/>
    </row>
    <row r="2867" spans="1:74">
      <c r="A2867" s="1" t="s">
        <v>72</v>
      </c>
      <c r="B2867" s="1" t="s">
        <v>45528</v>
      </c>
      <c r="C2867" s="1" t="s">
        <v>74</v>
      </c>
      <c r="D2867" s="1" t="s">
        <v>74</v>
      </c>
      <c r="E2867" s="1" t="s">
        <v>74</v>
      </c>
      <c r="F2867" s="1" t="s">
        <v>45528</v>
      </c>
      <c r="G2867" s="1" t="s">
        <v>74</v>
      </c>
      <c r="H2867" s="1" t="s">
        <v>74</v>
      </c>
      <c r="I2867" s="1" t="s">
        <v>45529</v>
      </c>
      <c r="J2867" s="1" t="s">
        <v>103</v>
      </c>
      <c r="K2867" s="1" t="s">
        <v>74</v>
      </c>
      <c r="L2867" s="1" t="s">
        <v>74</v>
      </c>
      <c r="M2867" s="1" t="s">
        <v>78</v>
      </c>
      <c r="N2867" s="1" t="s">
        <v>79</v>
      </c>
      <c r="O2867" s="1" t="s">
        <v>74</v>
      </c>
      <c r="P2867" s="1" t="s">
        <v>74</v>
      </c>
      <c r="Q2867" s="1" t="s">
        <v>74</v>
      </c>
      <c r="R2867" s="1" t="s">
        <v>74</v>
      </c>
      <c r="S2867" s="1" t="s">
        <v>74</v>
      </c>
      <c r="T2867" s="1" t="s">
        <v>74</v>
      </c>
      <c r="U2867" s="1" t="s">
        <v>45530</v>
      </c>
      <c r="V2867" s="1" t="s">
        <v>74</v>
      </c>
      <c r="W2867" s="1" t="s">
        <v>45531</v>
      </c>
      <c r="X2867" s="1" t="s">
        <v>31713</v>
      </c>
      <c r="Y2867" s="1" t="s">
        <v>45532</v>
      </c>
      <c r="Z2867" s="1" t="s">
        <v>74</v>
      </c>
      <c r="AA2867" s="1" t="s">
        <v>74</v>
      </c>
      <c r="AB2867" s="1" t="s">
        <v>74</v>
      </c>
      <c r="AC2867" s="1" t="s">
        <v>74</v>
      </c>
      <c r="AD2867" s="1" t="s">
        <v>74</v>
      </c>
      <c r="AE2867" s="1" t="s">
        <v>74</v>
      </c>
      <c r="AF2867" s="1" t="s">
        <v>74</v>
      </c>
      <c r="AG2867" s="1">
        <v>11</v>
      </c>
      <c r="AH2867" s="1">
        <v>34</v>
      </c>
      <c r="AI2867" s="1">
        <v>40</v>
      </c>
      <c r="AJ2867" s="1">
        <v>0</v>
      </c>
      <c r="AK2867" s="1">
        <v>15</v>
      </c>
      <c r="AL2867" s="1" t="s">
        <v>6584</v>
      </c>
      <c r="AM2867" s="1" t="s">
        <v>113</v>
      </c>
      <c r="AN2867" s="1" t="s">
        <v>2719</v>
      </c>
      <c r="AO2867" s="1" t="s">
        <v>115</v>
      </c>
      <c r="AP2867" s="1" t="s">
        <v>74</v>
      </c>
      <c r="AQ2867" s="1" t="s">
        <v>74</v>
      </c>
      <c r="AR2867" s="1" t="s">
        <v>117</v>
      </c>
      <c r="AS2867" s="1" t="s">
        <v>118</v>
      </c>
      <c r="AT2867" s="1" t="s">
        <v>224</v>
      </c>
      <c r="AU2867" s="1">
        <v>1998</v>
      </c>
      <c r="AV2867" s="1">
        <v>60</v>
      </c>
      <c r="AW2867" s="1">
        <v>2</v>
      </c>
      <c r="AX2867" s="1" t="s">
        <v>74</v>
      </c>
      <c r="AY2867" s="1" t="s">
        <v>74</v>
      </c>
      <c r="AZ2867" s="1" t="s">
        <v>74</v>
      </c>
      <c r="BA2867" s="1" t="s">
        <v>74</v>
      </c>
      <c r="BB2867" s="1">
        <v>245</v>
      </c>
      <c r="BC2867" s="1">
        <v>251</v>
      </c>
      <c r="BD2867" s="1" t="s">
        <v>74</v>
      </c>
      <c r="BE2867" s="1" t="s">
        <v>45533</v>
      </c>
      <c r="BF2867" s="1" t="str">
        <f>HYPERLINK("http://dx.doi.org/10.1007/s001289900617","http://dx.doi.org/10.1007/s001289900617")</f>
        <v>http://dx.doi.org/10.1007/s001289900617</v>
      </c>
      <c r="BG2867" s="1" t="s">
        <v>74</v>
      </c>
      <c r="BH2867" s="1" t="s">
        <v>74</v>
      </c>
      <c r="BI2867" s="1">
        <v>7</v>
      </c>
      <c r="BJ2867" s="1" t="s">
        <v>121</v>
      </c>
      <c r="BK2867" s="1" t="s">
        <v>96</v>
      </c>
      <c r="BL2867" s="1" t="s">
        <v>122</v>
      </c>
      <c r="BM2867" s="1" t="s">
        <v>45534</v>
      </c>
      <c r="BN2867" s="1">
        <v>9470985</v>
      </c>
      <c r="BO2867" s="1" t="s">
        <v>74</v>
      </c>
      <c r="BP2867" s="1" t="s">
        <v>74</v>
      </c>
      <c r="BQ2867" s="1" t="s">
        <v>74</v>
      </c>
      <c r="BR2867" s="1" t="s">
        <v>98</v>
      </c>
      <c r="BS2867" s="1" t="s">
        <v>45535</v>
      </c>
      <c r="BT2867" s="1" t="str">
        <f>HYPERLINK("https%3A%2F%2Fwww.webofscience.com%2Fwos%2Fwoscc%2Ffull-record%2FWOS:000071741400010","View Full Record in Web of Science")</f>
        <v>View Full Record in Web of Science</v>
      </c>
      <c r="BU2867" s="1"/>
      <c r="BV2867" s="1"/>
    </row>
    <row r="2868" spans="1:74">
      <c r="A2868" s="1" t="s">
        <v>72</v>
      </c>
      <c r="B2868" s="1" t="s">
        <v>45536</v>
      </c>
      <c r="C2868" s="1" t="s">
        <v>74</v>
      </c>
      <c r="D2868" s="1" t="s">
        <v>74</v>
      </c>
      <c r="E2868" s="1" t="s">
        <v>74</v>
      </c>
      <c r="F2868" s="1" t="s">
        <v>45537</v>
      </c>
      <c r="G2868" s="1" t="s">
        <v>74</v>
      </c>
      <c r="H2868" s="1" t="s">
        <v>74</v>
      </c>
      <c r="I2868" s="1" t="s">
        <v>45538</v>
      </c>
      <c r="J2868" s="1" t="s">
        <v>3405</v>
      </c>
      <c r="K2868" s="1" t="s">
        <v>74</v>
      </c>
      <c r="L2868" s="1" t="s">
        <v>74</v>
      </c>
      <c r="M2868" s="1" t="s">
        <v>78</v>
      </c>
      <c r="N2868" s="1" t="s">
        <v>79</v>
      </c>
      <c r="O2868" s="1" t="s">
        <v>74</v>
      </c>
      <c r="P2868" s="1" t="s">
        <v>74</v>
      </c>
      <c r="Q2868" s="1" t="s">
        <v>74</v>
      </c>
      <c r="R2868" s="1" t="s">
        <v>74</v>
      </c>
      <c r="S2868" s="1" t="s">
        <v>74</v>
      </c>
      <c r="T2868" s="1" t="s">
        <v>45539</v>
      </c>
      <c r="U2868" s="1" t="s">
        <v>45540</v>
      </c>
      <c r="V2868" s="1" t="s">
        <v>45541</v>
      </c>
      <c r="W2868" s="1" t="s">
        <v>45542</v>
      </c>
      <c r="X2868" s="1" t="s">
        <v>45543</v>
      </c>
      <c r="Y2868" s="1" t="s">
        <v>45544</v>
      </c>
      <c r="Z2868" s="1" t="s">
        <v>45545</v>
      </c>
      <c r="AA2868" s="1" t="s">
        <v>45546</v>
      </c>
      <c r="AB2868" s="1" t="s">
        <v>45547</v>
      </c>
      <c r="AC2868" s="1" t="s">
        <v>45548</v>
      </c>
      <c r="AD2868" s="1" t="s">
        <v>45549</v>
      </c>
      <c r="AE2868" s="1" t="s">
        <v>45550</v>
      </c>
      <c r="AF2868" s="1" t="s">
        <v>74</v>
      </c>
      <c r="AG2868" s="1">
        <v>41</v>
      </c>
      <c r="AH2868" s="1">
        <v>12</v>
      </c>
      <c r="AI2868" s="1">
        <v>13</v>
      </c>
      <c r="AJ2868" s="1">
        <v>0</v>
      </c>
      <c r="AK2868" s="1">
        <v>26</v>
      </c>
      <c r="AL2868" s="1" t="s">
        <v>408</v>
      </c>
      <c r="AM2868" s="1" t="s">
        <v>409</v>
      </c>
      <c r="AN2868" s="1" t="s">
        <v>1188</v>
      </c>
      <c r="AO2868" s="1" t="s">
        <v>3421</v>
      </c>
      <c r="AP2868" s="1" t="s">
        <v>3422</v>
      </c>
      <c r="AQ2868" s="1" t="s">
        <v>74</v>
      </c>
      <c r="AR2868" s="1" t="s">
        <v>3423</v>
      </c>
      <c r="AS2868" s="1" t="s">
        <v>3424</v>
      </c>
      <c r="AT2868" s="1" t="s">
        <v>2763</v>
      </c>
      <c r="AU2868" s="1">
        <v>2016</v>
      </c>
      <c r="AV2868" s="1">
        <v>57</v>
      </c>
      <c r="AW2868" s="1">
        <v>1</v>
      </c>
      <c r="AX2868" s="1" t="s">
        <v>74</v>
      </c>
      <c r="AY2868" s="1" t="s">
        <v>74</v>
      </c>
      <c r="AZ2868" s="1" t="s">
        <v>74</v>
      </c>
      <c r="BA2868" s="1" t="s">
        <v>74</v>
      </c>
      <c r="BB2868" s="1">
        <v>105</v>
      </c>
      <c r="BC2868" s="1">
        <v>114</v>
      </c>
      <c r="BD2868" s="1" t="s">
        <v>74</v>
      </c>
      <c r="BE2868" s="1" t="s">
        <v>45551</v>
      </c>
      <c r="BF2868" s="1" t="str">
        <f>HYPERLINK("http://dx.doi.org/10.1080/19443994.2015.1012335","http://dx.doi.org/10.1080/19443994.2015.1012335")</f>
        <v>http://dx.doi.org/10.1080/19443994.2015.1012335</v>
      </c>
      <c r="BG2868" s="1" t="s">
        <v>74</v>
      </c>
      <c r="BH2868" s="1" t="s">
        <v>74</v>
      </c>
      <c r="BI2868" s="1">
        <v>10</v>
      </c>
      <c r="BJ2868" s="1" t="s">
        <v>3426</v>
      </c>
      <c r="BK2868" s="1" t="s">
        <v>96</v>
      </c>
      <c r="BL2868" s="1" t="s">
        <v>3427</v>
      </c>
      <c r="BM2868" s="1" t="s">
        <v>45552</v>
      </c>
      <c r="BN2868" s="1" t="s">
        <v>74</v>
      </c>
      <c r="BO2868" s="1" t="s">
        <v>74</v>
      </c>
      <c r="BP2868" s="1" t="s">
        <v>74</v>
      </c>
      <c r="BQ2868" s="1" t="s">
        <v>74</v>
      </c>
      <c r="BR2868" s="1" t="s">
        <v>98</v>
      </c>
      <c r="BS2868" s="1" t="s">
        <v>45553</v>
      </c>
      <c r="BT2868" s="1" t="str">
        <f>HYPERLINK("https%3A%2F%2Fwww.webofscience.com%2Fwos%2Fwoscc%2Ffull-record%2FWOS:000366662700012","View Full Record in Web of Science")</f>
        <v>View Full Record in Web of Science</v>
      </c>
      <c r="BU2868" s="1"/>
      <c r="BV2868" s="1"/>
    </row>
    <row r="2869" spans="1:74">
      <c r="A2869" s="1" t="s">
        <v>72</v>
      </c>
      <c r="B2869" s="1" t="s">
        <v>45554</v>
      </c>
      <c r="C2869" s="1" t="s">
        <v>74</v>
      </c>
      <c r="D2869" s="1" t="s">
        <v>74</v>
      </c>
      <c r="E2869" s="1" t="s">
        <v>74</v>
      </c>
      <c r="F2869" s="1" t="s">
        <v>45554</v>
      </c>
      <c r="G2869" s="1" t="s">
        <v>74</v>
      </c>
      <c r="H2869" s="1" t="s">
        <v>74</v>
      </c>
      <c r="I2869" s="1" t="s">
        <v>45555</v>
      </c>
      <c r="J2869" s="1" t="s">
        <v>1254</v>
      </c>
      <c r="K2869" s="1" t="s">
        <v>74</v>
      </c>
      <c r="L2869" s="1" t="s">
        <v>74</v>
      </c>
      <c r="M2869" s="1" t="s">
        <v>78</v>
      </c>
      <c r="N2869" s="1" t="s">
        <v>79</v>
      </c>
      <c r="O2869" s="1" t="s">
        <v>74</v>
      </c>
      <c r="P2869" s="1" t="s">
        <v>74</v>
      </c>
      <c r="Q2869" s="1" t="s">
        <v>74</v>
      </c>
      <c r="R2869" s="1" t="s">
        <v>74</v>
      </c>
      <c r="S2869" s="1" t="s">
        <v>74</v>
      </c>
      <c r="T2869" s="1" t="s">
        <v>45556</v>
      </c>
      <c r="U2869" s="1" t="s">
        <v>45557</v>
      </c>
      <c r="V2869" s="1" t="s">
        <v>45558</v>
      </c>
      <c r="W2869" s="1" t="s">
        <v>45559</v>
      </c>
      <c r="X2869" s="1" t="s">
        <v>30009</v>
      </c>
      <c r="Y2869" s="1" t="s">
        <v>45560</v>
      </c>
      <c r="Z2869" s="1" t="s">
        <v>31058</v>
      </c>
      <c r="AA2869" s="1" t="s">
        <v>45561</v>
      </c>
      <c r="AB2869" s="1" t="s">
        <v>45562</v>
      </c>
      <c r="AC2869" s="1" t="s">
        <v>74</v>
      </c>
      <c r="AD2869" s="1" t="s">
        <v>74</v>
      </c>
      <c r="AE2869" s="1" t="s">
        <v>74</v>
      </c>
      <c r="AF2869" s="1" t="s">
        <v>74</v>
      </c>
      <c r="AG2869" s="1">
        <v>56</v>
      </c>
      <c r="AH2869" s="1">
        <v>31</v>
      </c>
      <c r="AI2869" s="1">
        <v>31</v>
      </c>
      <c r="AJ2869" s="1">
        <v>0</v>
      </c>
      <c r="AK2869" s="1">
        <v>14</v>
      </c>
      <c r="AL2869" s="1" t="s">
        <v>136</v>
      </c>
      <c r="AM2869" s="1" t="s">
        <v>137</v>
      </c>
      <c r="AN2869" s="1" t="s">
        <v>138</v>
      </c>
      <c r="AO2869" s="1" t="s">
        <v>1264</v>
      </c>
      <c r="AP2869" s="1" t="s">
        <v>74</v>
      </c>
      <c r="AQ2869" s="1" t="s">
        <v>74</v>
      </c>
      <c r="AR2869" s="1" t="s">
        <v>1266</v>
      </c>
      <c r="AS2869" s="1" t="s">
        <v>1267</v>
      </c>
      <c r="AT2869" s="1" t="s">
        <v>305</v>
      </c>
      <c r="AU2869" s="1">
        <v>2005</v>
      </c>
      <c r="AV2869" s="1">
        <v>31</v>
      </c>
      <c r="AW2869" s="1">
        <v>7</v>
      </c>
      <c r="AX2869" s="1" t="s">
        <v>74</v>
      </c>
      <c r="AY2869" s="1" t="s">
        <v>74</v>
      </c>
      <c r="AZ2869" s="1" t="s">
        <v>74</v>
      </c>
      <c r="BA2869" s="1" t="s">
        <v>74</v>
      </c>
      <c r="BB2869" s="1">
        <v>1078</v>
      </c>
      <c r="BC2869" s="1">
        <v>1088</v>
      </c>
      <c r="BD2869" s="1" t="s">
        <v>74</v>
      </c>
      <c r="BE2869" s="1" t="s">
        <v>45563</v>
      </c>
      <c r="BF2869" s="1" t="str">
        <f>HYPERLINK("http://dx.doi.org/10.1016/j.envint.2005.05.018","http://dx.doi.org/10.1016/j.envint.2005.05.018")</f>
        <v>http://dx.doi.org/10.1016/j.envint.2005.05.018</v>
      </c>
      <c r="BG2869" s="1" t="s">
        <v>74</v>
      </c>
      <c r="BH2869" s="1" t="s">
        <v>74</v>
      </c>
      <c r="BI2869" s="1">
        <v>11</v>
      </c>
      <c r="BJ2869" s="1" t="s">
        <v>144</v>
      </c>
      <c r="BK2869" s="1" t="s">
        <v>96</v>
      </c>
      <c r="BL2869" s="1" t="s">
        <v>145</v>
      </c>
      <c r="BM2869" s="1" t="s">
        <v>45564</v>
      </c>
      <c r="BN2869" s="1">
        <v>16083961</v>
      </c>
      <c r="BO2869" s="1" t="s">
        <v>74</v>
      </c>
      <c r="BP2869" s="1" t="s">
        <v>74</v>
      </c>
      <c r="BQ2869" s="1" t="s">
        <v>74</v>
      </c>
      <c r="BR2869" s="1" t="s">
        <v>98</v>
      </c>
      <c r="BS2869" s="1" t="s">
        <v>45565</v>
      </c>
      <c r="BT2869" s="1" t="str">
        <f>HYPERLINK("https%3A%2F%2Fwww.webofscience.com%2Fwos%2Fwoscc%2Ffull-record%2FWOS:000231529000018","View Full Record in Web of Science")</f>
        <v>View Full Record in Web of Science</v>
      </c>
      <c r="BU2869" s="1"/>
      <c r="BV2869" s="1"/>
    </row>
    <row r="2870" spans="1:74">
      <c r="A2870" s="1" t="s">
        <v>72</v>
      </c>
      <c r="B2870" s="1" t="s">
        <v>45566</v>
      </c>
      <c r="C2870" s="1" t="s">
        <v>74</v>
      </c>
      <c r="D2870" s="1" t="s">
        <v>74</v>
      </c>
      <c r="E2870" s="1" t="s">
        <v>74</v>
      </c>
      <c r="F2870" s="1" t="s">
        <v>45566</v>
      </c>
      <c r="G2870" s="1" t="s">
        <v>74</v>
      </c>
      <c r="H2870" s="1" t="s">
        <v>74</v>
      </c>
      <c r="I2870" s="1" t="s">
        <v>45567</v>
      </c>
      <c r="J2870" s="1" t="s">
        <v>6211</v>
      </c>
      <c r="K2870" s="1" t="s">
        <v>74</v>
      </c>
      <c r="L2870" s="1" t="s">
        <v>74</v>
      </c>
      <c r="M2870" s="1" t="s">
        <v>78</v>
      </c>
      <c r="N2870" s="1" t="s">
        <v>79</v>
      </c>
      <c r="O2870" s="1" t="s">
        <v>74</v>
      </c>
      <c r="P2870" s="1" t="s">
        <v>74</v>
      </c>
      <c r="Q2870" s="1" t="s">
        <v>74</v>
      </c>
      <c r="R2870" s="1" t="s">
        <v>74</v>
      </c>
      <c r="S2870" s="1" t="s">
        <v>74</v>
      </c>
      <c r="T2870" s="1" t="s">
        <v>74</v>
      </c>
      <c r="U2870" s="1" t="s">
        <v>45568</v>
      </c>
      <c r="V2870" s="1" t="s">
        <v>45569</v>
      </c>
      <c r="W2870" s="1" t="s">
        <v>45570</v>
      </c>
      <c r="X2870" s="1" t="s">
        <v>40608</v>
      </c>
      <c r="Y2870" s="1" t="s">
        <v>74</v>
      </c>
      <c r="Z2870" s="1" t="s">
        <v>74</v>
      </c>
      <c r="AA2870" s="1" t="s">
        <v>74</v>
      </c>
      <c r="AB2870" s="1" t="s">
        <v>74</v>
      </c>
      <c r="AC2870" s="1" t="s">
        <v>74</v>
      </c>
      <c r="AD2870" s="1" t="s">
        <v>74</v>
      </c>
      <c r="AE2870" s="1" t="s">
        <v>74</v>
      </c>
      <c r="AF2870" s="1" t="s">
        <v>74</v>
      </c>
      <c r="AG2870" s="1">
        <v>27</v>
      </c>
      <c r="AH2870" s="1">
        <v>28</v>
      </c>
      <c r="AI2870" s="1">
        <v>31</v>
      </c>
      <c r="AJ2870" s="1">
        <v>0</v>
      </c>
      <c r="AK2870" s="1">
        <v>3</v>
      </c>
      <c r="AL2870" s="1" t="s">
        <v>45571</v>
      </c>
      <c r="AM2870" s="1" t="s">
        <v>45572</v>
      </c>
      <c r="AN2870" s="1" t="s">
        <v>45573</v>
      </c>
      <c r="AO2870" s="1" t="s">
        <v>6219</v>
      </c>
      <c r="AP2870" s="1" t="s">
        <v>74</v>
      </c>
      <c r="AQ2870" s="1" t="s">
        <v>74</v>
      </c>
      <c r="AR2870" s="1" t="s">
        <v>6211</v>
      </c>
      <c r="AS2870" s="1" t="s">
        <v>6221</v>
      </c>
      <c r="AT2870" s="1" t="s">
        <v>142</v>
      </c>
      <c r="AU2870" s="1">
        <v>1992</v>
      </c>
      <c r="AV2870" s="1">
        <v>21</v>
      </c>
      <c r="AW2870" s="1">
        <v>4</v>
      </c>
      <c r="AX2870" s="1" t="s">
        <v>74</v>
      </c>
      <c r="AY2870" s="1" t="s">
        <v>74</v>
      </c>
      <c r="AZ2870" s="1" t="s">
        <v>74</v>
      </c>
      <c r="BA2870" s="1" t="s">
        <v>74</v>
      </c>
      <c r="BB2870" s="1">
        <v>292</v>
      </c>
      <c r="BC2870" s="1">
        <v>296</v>
      </c>
      <c r="BD2870" s="1" t="s">
        <v>74</v>
      </c>
      <c r="BE2870" s="1" t="s">
        <v>74</v>
      </c>
      <c r="BF2870" s="1" t="s">
        <v>74</v>
      </c>
      <c r="BG2870" s="1" t="s">
        <v>74</v>
      </c>
      <c r="BH2870" s="1" t="s">
        <v>74</v>
      </c>
      <c r="BI2870" s="1">
        <v>5</v>
      </c>
      <c r="BJ2870" s="1" t="s">
        <v>415</v>
      </c>
      <c r="BK2870" s="1" t="s">
        <v>96</v>
      </c>
      <c r="BL2870" s="1" t="s">
        <v>416</v>
      </c>
      <c r="BM2870" s="1" t="s">
        <v>45574</v>
      </c>
      <c r="BN2870" s="1" t="s">
        <v>74</v>
      </c>
      <c r="BO2870" s="1" t="s">
        <v>74</v>
      </c>
      <c r="BP2870" s="1" t="s">
        <v>74</v>
      </c>
      <c r="BQ2870" s="1" t="s">
        <v>74</v>
      </c>
      <c r="BR2870" s="1" t="s">
        <v>98</v>
      </c>
      <c r="BS2870" s="1" t="s">
        <v>45575</v>
      </c>
      <c r="BT2870" s="1" t="str">
        <f>HYPERLINK("https%3A%2F%2Fwww.webofscience.com%2Fwos%2Fwoscc%2Ffull-record%2FWOS:A1992JE83100004","View Full Record in Web of Science")</f>
        <v>View Full Record in Web of Science</v>
      </c>
      <c r="BU2870" s="1"/>
      <c r="BV2870" s="1"/>
    </row>
    <row r="2871" spans="1:74">
      <c r="A2871" s="1" t="s">
        <v>72</v>
      </c>
      <c r="B2871" s="1" t="s">
        <v>45576</v>
      </c>
      <c r="C2871" s="1" t="s">
        <v>74</v>
      </c>
      <c r="D2871" s="1" t="s">
        <v>74</v>
      </c>
      <c r="E2871" s="1" t="s">
        <v>74</v>
      </c>
      <c r="F2871" s="1" t="s">
        <v>45576</v>
      </c>
      <c r="G2871" s="1" t="s">
        <v>74</v>
      </c>
      <c r="H2871" s="1" t="s">
        <v>74</v>
      </c>
      <c r="I2871" s="1" t="s">
        <v>45577</v>
      </c>
      <c r="J2871" s="1" t="s">
        <v>998</v>
      </c>
      <c r="K2871" s="1" t="s">
        <v>74</v>
      </c>
      <c r="L2871" s="1" t="s">
        <v>74</v>
      </c>
      <c r="M2871" s="1" t="s">
        <v>78</v>
      </c>
      <c r="N2871" s="1" t="s">
        <v>79</v>
      </c>
      <c r="O2871" s="1" t="s">
        <v>74</v>
      </c>
      <c r="P2871" s="1" t="s">
        <v>74</v>
      </c>
      <c r="Q2871" s="1" t="s">
        <v>74</v>
      </c>
      <c r="R2871" s="1" t="s">
        <v>74</v>
      </c>
      <c r="S2871" s="1" t="s">
        <v>74</v>
      </c>
      <c r="T2871" s="1" t="s">
        <v>74</v>
      </c>
      <c r="U2871" s="1" t="s">
        <v>45578</v>
      </c>
      <c r="V2871" s="1" t="s">
        <v>45579</v>
      </c>
      <c r="W2871" s="1" t="s">
        <v>45580</v>
      </c>
      <c r="X2871" s="1" t="s">
        <v>45581</v>
      </c>
      <c r="Y2871" s="1" t="s">
        <v>45582</v>
      </c>
      <c r="Z2871" s="1" t="s">
        <v>45583</v>
      </c>
      <c r="AA2871" s="1" t="s">
        <v>74</v>
      </c>
      <c r="AB2871" s="1" t="s">
        <v>74</v>
      </c>
      <c r="AC2871" s="1" t="s">
        <v>74</v>
      </c>
      <c r="AD2871" s="1" t="s">
        <v>74</v>
      </c>
      <c r="AE2871" s="1" t="s">
        <v>74</v>
      </c>
      <c r="AF2871" s="1" t="s">
        <v>74</v>
      </c>
      <c r="AG2871" s="1">
        <v>37</v>
      </c>
      <c r="AH2871" s="1">
        <v>22</v>
      </c>
      <c r="AI2871" s="1">
        <v>24</v>
      </c>
      <c r="AJ2871" s="1">
        <v>0</v>
      </c>
      <c r="AK2871" s="1">
        <v>4</v>
      </c>
      <c r="AL2871" s="1" t="s">
        <v>112</v>
      </c>
      <c r="AM2871" s="1" t="s">
        <v>113</v>
      </c>
      <c r="AN2871" s="1" t="s">
        <v>469</v>
      </c>
      <c r="AO2871" s="1" t="s">
        <v>1009</v>
      </c>
      <c r="AP2871" s="1" t="s">
        <v>74</v>
      </c>
      <c r="AQ2871" s="1" t="s">
        <v>74</v>
      </c>
      <c r="AR2871" s="1" t="s">
        <v>1010</v>
      </c>
      <c r="AS2871" s="1" t="s">
        <v>1011</v>
      </c>
      <c r="AT2871" s="1" t="s">
        <v>93</v>
      </c>
      <c r="AU2871" s="1">
        <v>2002</v>
      </c>
      <c r="AV2871" s="1">
        <v>42</v>
      </c>
      <c r="AW2871" s="1">
        <v>3</v>
      </c>
      <c r="AX2871" s="1" t="s">
        <v>74</v>
      </c>
      <c r="AY2871" s="1" t="s">
        <v>74</v>
      </c>
      <c r="AZ2871" s="1" t="s">
        <v>74</v>
      </c>
      <c r="BA2871" s="1" t="s">
        <v>74</v>
      </c>
      <c r="BB2871" s="1">
        <v>303</v>
      </c>
      <c r="BC2871" s="1">
        <v>312</v>
      </c>
      <c r="BD2871" s="1" t="s">
        <v>74</v>
      </c>
      <c r="BE2871" s="1" t="s">
        <v>45584</v>
      </c>
      <c r="BF2871" s="1" t="str">
        <f>HYPERLINK("http://dx.doi.org/10.1007/s00244-001-0031-4","http://dx.doi.org/10.1007/s00244-001-0031-4")</f>
        <v>http://dx.doi.org/10.1007/s00244-001-0031-4</v>
      </c>
      <c r="BG2871" s="1" t="s">
        <v>74</v>
      </c>
      <c r="BH2871" s="1" t="s">
        <v>74</v>
      </c>
      <c r="BI2871" s="1">
        <v>10</v>
      </c>
      <c r="BJ2871" s="1" t="s">
        <v>121</v>
      </c>
      <c r="BK2871" s="1" t="s">
        <v>96</v>
      </c>
      <c r="BL2871" s="1" t="s">
        <v>122</v>
      </c>
      <c r="BM2871" s="1" t="s">
        <v>45585</v>
      </c>
      <c r="BN2871" s="1">
        <v>11910458</v>
      </c>
      <c r="BO2871" s="1" t="s">
        <v>74</v>
      </c>
      <c r="BP2871" s="1" t="s">
        <v>74</v>
      </c>
      <c r="BQ2871" s="1" t="s">
        <v>74</v>
      </c>
      <c r="BR2871" s="1" t="s">
        <v>98</v>
      </c>
      <c r="BS2871" s="1" t="s">
        <v>45586</v>
      </c>
      <c r="BT2871" s="1" t="str">
        <f>HYPERLINK("https%3A%2F%2Fwww.webofscience.com%2Fwos%2Fwoscc%2Ffull-record%2FWOS:000174513600006","View Full Record in Web of Science")</f>
        <v>View Full Record in Web of Science</v>
      </c>
      <c r="BU2871" s="1"/>
      <c r="BV2871" s="1"/>
    </row>
    <row r="2872" spans="1:74">
      <c r="A2872" s="1" t="s">
        <v>72</v>
      </c>
      <c r="B2872" s="1" t="s">
        <v>45587</v>
      </c>
      <c r="C2872" s="1" t="s">
        <v>74</v>
      </c>
      <c r="D2872" s="1" t="s">
        <v>74</v>
      </c>
      <c r="E2872" s="1" t="s">
        <v>74</v>
      </c>
      <c r="F2872" s="1" t="s">
        <v>45588</v>
      </c>
      <c r="G2872" s="1" t="s">
        <v>74</v>
      </c>
      <c r="H2872" s="1" t="s">
        <v>74</v>
      </c>
      <c r="I2872" s="1" t="s">
        <v>45589</v>
      </c>
      <c r="J2872" s="1" t="s">
        <v>641</v>
      </c>
      <c r="K2872" s="1" t="s">
        <v>74</v>
      </c>
      <c r="L2872" s="1" t="s">
        <v>74</v>
      </c>
      <c r="M2872" s="1" t="s">
        <v>78</v>
      </c>
      <c r="N2872" s="1" t="s">
        <v>79</v>
      </c>
      <c r="O2872" s="1" t="s">
        <v>74</v>
      </c>
      <c r="P2872" s="1" t="s">
        <v>74</v>
      </c>
      <c r="Q2872" s="1" t="s">
        <v>74</v>
      </c>
      <c r="R2872" s="1" t="s">
        <v>74</v>
      </c>
      <c r="S2872" s="1" t="s">
        <v>74</v>
      </c>
      <c r="T2872" s="1" t="s">
        <v>45590</v>
      </c>
      <c r="U2872" s="1" t="s">
        <v>45591</v>
      </c>
      <c r="V2872" s="1" t="s">
        <v>45592</v>
      </c>
      <c r="W2872" s="1" t="s">
        <v>45593</v>
      </c>
      <c r="X2872" s="1" t="s">
        <v>1481</v>
      </c>
      <c r="Y2872" s="1" t="s">
        <v>11543</v>
      </c>
      <c r="Z2872" s="1" t="s">
        <v>1483</v>
      </c>
      <c r="AA2872" s="1" t="s">
        <v>1484</v>
      </c>
      <c r="AB2872" s="1" t="s">
        <v>11545</v>
      </c>
      <c r="AC2872" s="1" t="s">
        <v>45594</v>
      </c>
      <c r="AD2872" s="1" t="s">
        <v>45595</v>
      </c>
      <c r="AE2872" s="1" t="s">
        <v>45596</v>
      </c>
      <c r="AF2872" s="1" t="s">
        <v>74</v>
      </c>
      <c r="AG2872" s="1">
        <v>52</v>
      </c>
      <c r="AH2872" s="1">
        <v>17</v>
      </c>
      <c r="AI2872" s="1">
        <v>23</v>
      </c>
      <c r="AJ2872" s="1">
        <v>0</v>
      </c>
      <c r="AK2872" s="1">
        <v>37</v>
      </c>
      <c r="AL2872" s="1" t="s">
        <v>919</v>
      </c>
      <c r="AM2872" s="1" t="s">
        <v>651</v>
      </c>
      <c r="AN2872" s="1" t="s">
        <v>920</v>
      </c>
      <c r="AO2872" s="1" t="s">
        <v>653</v>
      </c>
      <c r="AP2872" s="1" t="s">
        <v>654</v>
      </c>
      <c r="AQ2872" s="1" t="s">
        <v>74</v>
      </c>
      <c r="AR2872" s="1" t="s">
        <v>655</v>
      </c>
      <c r="AS2872" s="1" t="s">
        <v>656</v>
      </c>
      <c r="AT2872" s="1" t="s">
        <v>267</v>
      </c>
      <c r="AU2872" s="1">
        <v>2011</v>
      </c>
      <c r="AV2872" s="1">
        <v>105</v>
      </c>
      <c r="AW2872" s="1" t="s">
        <v>1070</v>
      </c>
      <c r="AX2872" s="1" t="s">
        <v>74</v>
      </c>
      <c r="AY2872" s="1" t="s">
        <v>74</v>
      </c>
      <c r="AZ2872" s="1" t="s">
        <v>74</v>
      </c>
      <c r="BA2872" s="1" t="s">
        <v>74</v>
      </c>
      <c r="BB2872" s="1">
        <v>361</v>
      </c>
      <c r="BC2872" s="1">
        <v>368</v>
      </c>
      <c r="BD2872" s="1" t="s">
        <v>74</v>
      </c>
      <c r="BE2872" s="1" t="s">
        <v>45597</v>
      </c>
      <c r="BF2872" s="1" t="str">
        <f>HYPERLINK("http://dx.doi.org/10.1016/j.aquatox.2011.07.011","http://dx.doi.org/10.1016/j.aquatox.2011.07.011")</f>
        <v>http://dx.doi.org/10.1016/j.aquatox.2011.07.011</v>
      </c>
      <c r="BG2872" s="1" t="s">
        <v>74</v>
      </c>
      <c r="BH2872" s="1" t="s">
        <v>74</v>
      </c>
      <c r="BI2872" s="1">
        <v>8</v>
      </c>
      <c r="BJ2872" s="1" t="s">
        <v>659</v>
      </c>
      <c r="BK2872" s="1" t="s">
        <v>96</v>
      </c>
      <c r="BL2872" s="1" t="s">
        <v>659</v>
      </c>
      <c r="BM2872" s="1" t="s">
        <v>45598</v>
      </c>
      <c r="BN2872" s="1">
        <v>21820382</v>
      </c>
      <c r="BO2872" s="1" t="s">
        <v>74</v>
      </c>
      <c r="BP2872" s="1" t="s">
        <v>74</v>
      </c>
      <c r="BQ2872" s="1" t="s">
        <v>74</v>
      </c>
      <c r="BR2872" s="1" t="s">
        <v>98</v>
      </c>
      <c r="BS2872" s="1" t="s">
        <v>45599</v>
      </c>
      <c r="BT2872" s="1" t="str">
        <f>HYPERLINK("https%3A%2F%2Fwww.webofscience.com%2Fwos%2Fwoscc%2Ffull-record%2FWOS:000298120600018","View Full Record in Web of Science")</f>
        <v>View Full Record in Web of Science</v>
      </c>
      <c r="BU2872" s="1"/>
      <c r="BV2872" s="1"/>
    </row>
    <row r="2873" spans="1:74">
      <c r="A2873" s="1" t="s">
        <v>72</v>
      </c>
      <c r="B2873" s="1" t="s">
        <v>45600</v>
      </c>
      <c r="C2873" s="1" t="s">
        <v>74</v>
      </c>
      <c r="D2873" s="1" t="s">
        <v>74</v>
      </c>
      <c r="E2873" s="1" t="s">
        <v>74</v>
      </c>
      <c r="F2873" s="1" t="s">
        <v>45601</v>
      </c>
      <c r="G2873" s="1" t="s">
        <v>74</v>
      </c>
      <c r="H2873" s="1" t="s">
        <v>74</v>
      </c>
      <c r="I2873" s="1" t="s">
        <v>45602</v>
      </c>
      <c r="J2873" s="1" t="s">
        <v>37313</v>
      </c>
      <c r="K2873" s="1" t="s">
        <v>74</v>
      </c>
      <c r="L2873" s="1" t="s">
        <v>74</v>
      </c>
      <c r="M2873" s="1" t="s">
        <v>78</v>
      </c>
      <c r="N2873" s="1" t="s">
        <v>79</v>
      </c>
      <c r="O2873" s="1" t="s">
        <v>74</v>
      </c>
      <c r="P2873" s="1" t="s">
        <v>74</v>
      </c>
      <c r="Q2873" s="1" t="s">
        <v>74</v>
      </c>
      <c r="R2873" s="1" t="s">
        <v>74</v>
      </c>
      <c r="S2873" s="1" t="s">
        <v>74</v>
      </c>
      <c r="T2873" s="1" t="s">
        <v>45603</v>
      </c>
      <c r="U2873" s="1" t="s">
        <v>45604</v>
      </c>
      <c r="V2873" s="1" t="s">
        <v>45605</v>
      </c>
      <c r="W2873" s="1" t="s">
        <v>45606</v>
      </c>
      <c r="X2873" s="1" t="s">
        <v>45607</v>
      </c>
      <c r="Y2873" s="1" t="s">
        <v>45608</v>
      </c>
      <c r="Z2873" s="1" t="s">
        <v>45609</v>
      </c>
      <c r="AA2873" s="1" t="s">
        <v>74</v>
      </c>
      <c r="AB2873" s="1" t="s">
        <v>74</v>
      </c>
      <c r="AC2873" s="1" t="s">
        <v>74</v>
      </c>
      <c r="AD2873" s="1" t="s">
        <v>74</v>
      </c>
      <c r="AE2873" s="1" t="s">
        <v>74</v>
      </c>
      <c r="AF2873" s="1" t="s">
        <v>74</v>
      </c>
      <c r="AG2873" s="1">
        <v>41</v>
      </c>
      <c r="AH2873" s="1">
        <v>3</v>
      </c>
      <c r="AI2873" s="1">
        <v>3</v>
      </c>
      <c r="AJ2873" s="1">
        <v>9</v>
      </c>
      <c r="AK2873" s="1">
        <v>10</v>
      </c>
      <c r="AL2873" s="1" t="s">
        <v>430</v>
      </c>
      <c r="AM2873" s="1" t="s">
        <v>7361</v>
      </c>
      <c r="AN2873" s="1" t="s">
        <v>7362</v>
      </c>
      <c r="AO2873" s="1" t="s">
        <v>37326</v>
      </c>
      <c r="AP2873" s="1" t="s">
        <v>37327</v>
      </c>
      <c r="AQ2873" s="1" t="s">
        <v>74</v>
      </c>
      <c r="AR2873" s="1" t="s">
        <v>37328</v>
      </c>
      <c r="AS2873" s="1" t="s">
        <v>37329</v>
      </c>
      <c r="AT2873" s="1" t="s">
        <v>38456</v>
      </c>
      <c r="AU2873" s="1">
        <v>2024</v>
      </c>
      <c r="AV2873" s="1">
        <v>412</v>
      </c>
      <c r="AW2873" s="1" t="s">
        <v>74</v>
      </c>
      <c r="AX2873" s="1" t="s">
        <v>74</v>
      </c>
      <c r="AY2873" s="1" t="s">
        <v>74</v>
      </c>
      <c r="AZ2873" s="1" t="s">
        <v>74</v>
      </c>
      <c r="BA2873" s="1" t="s">
        <v>74</v>
      </c>
      <c r="BB2873" s="1" t="s">
        <v>74</v>
      </c>
      <c r="BC2873" s="1" t="s">
        <v>74</v>
      </c>
      <c r="BD2873" s="1">
        <v>134887</v>
      </c>
      <c r="BE2873" s="1" t="s">
        <v>45610</v>
      </c>
      <c r="BF2873" s="1" t="str">
        <f>HYPERLINK("http://dx.doi.org/10.1016/j.conbuildmat.2024.134887","http://dx.doi.org/10.1016/j.conbuildmat.2024.134887")</f>
        <v>http://dx.doi.org/10.1016/j.conbuildmat.2024.134887</v>
      </c>
      <c r="BG2873" s="1" t="s">
        <v>74</v>
      </c>
      <c r="BH2873" s="1" t="s">
        <v>5287</v>
      </c>
      <c r="BI2873" s="1">
        <v>11</v>
      </c>
      <c r="BJ2873" s="1" t="s">
        <v>37332</v>
      </c>
      <c r="BK2873" s="1" t="s">
        <v>96</v>
      </c>
      <c r="BL2873" s="1" t="s">
        <v>37333</v>
      </c>
      <c r="BM2873" s="1" t="s">
        <v>45611</v>
      </c>
      <c r="BN2873" s="1" t="s">
        <v>74</v>
      </c>
      <c r="BO2873" s="1" t="s">
        <v>476</v>
      </c>
      <c r="BP2873" s="1" t="s">
        <v>74</v>
      </c>
      <c r="BQ2873" s="1" t="s">
        <v>74</v>
      </c>
      <c r="BR2873" s="1" t="s">
        <v>98</v>
      </c>
      <c r="BS2873" s="1" t="s">
        <v>45612</v>
      </c>
      <c r="BT2873" s="1" t="str">
        <f>HYPERLINK("https%3A%2F%2Fwww.webofscience.com%2Fwos%2Fwoscc%2Ffull-record%2FWOS:001153084200001","View Full Record in Web of Science")</f>
        <v>View Full Record in Web of Science</v>
      </c>
      <c r="BU2873" s="1"/>
      <c r="BV2873" s="1"/>
    </row>
    <row r="2874" spans="1:74">
      <c r="A2874" s="1" t="s">
        <v>72</v>
      </c>
      <c r="B2874" s="1" t="s">
        <v>45613</v>
      </c>
      <c r="C2874" s="1" t="s">
        <v>74</v>
      </c>
      <c r="D2874" s="1" t="s">
        <v>74</v>
      </c>
      <c r="E2874" s="1" t="s">
        <v>74</v>
      </c>
      <c r="F2874" s="1" t="s">
        <v>45614</v>
      </c>
      <c r="G2874" s="1" t="s">
        <v>74</v>
      </c>
      <c r="H2874" s="1" t="s">
        <v>74</v>
      </c>
      <c r="I2874" s="1" t="s">
        <v>45615</v>
      </c>
      <c r="J2874" s="1" t="s">
        <v>11177</v>
      </c>
      <c r="K2874" s="1" t="s">
        <v>74</v>
      </c>
      <c r="L2874" s="1" t="s">
        <v>74</v>
      </c>
      <c r="M2874" s="1" t="s">
        <v>78</v>
      </c>
      <c r="N2874" s="1" t="s">
        <v>79</v>
      </c>
      <c r="O2874" s="1" t="s">
        <v>74</v>
      </c>
      <c r="P2874" s="1" t="s">
        <v>74</v>
      </c>
      <c r="Q2874" s="1" t="s">
        <v>74</v>
      </c>
      <c r="R2874" s="1" t="s">
        <v>74</v>
      </c>
      <c r="S2874" s="1" t="s">
        <v>74</v>
      </c>
      <c r="T2874" s="1" t="s">
        <v>45616</v>
      </c>
      <c r="U2874" s="1" t="s">
        <v>45617</v>
      </c>
      <c r="V2874" s="1" t="s">
        <v>45618</v>
      </c>
      <c r="W2874" s="1" t="s">
        <v>45619</v>
      </c>
      <c r="X2874" s="1" t="s">
        <v>45620</v>
      </c>
      <c r="Y2874" s="1" t="s">
        <v>45621</v>
      </c>
      <c r="Z2874" s="1" t="s">
        <v>45622</v>
      </c>
      <c r="AA2874" s="1" t="s">
        <v>45623</v>
      </c>
      <c r="AB2874" s="1" t="s">
        <v>45624</v>
      </c>
      <c r="AC2874" s="1" t="s">
        <v>45625</v>
      </c>
      <c r="AD2874" s="1" t="s">
        <v>45626</v>
      </c>
      <c r="AE2874" s="1" t="s">
        <v>45627</v>
      </c>
      <c r="AF2874" s="1" t="s">
        <v>74</v>
      </c>
      <c r="AG2874" s="1">
        <v>82</v>
      </c>
      <c r="AH2874" s="1">
        <v>23</v>
      </c>
      <c r="AI2874" s="1">
        <v>24</v>
      </c>
      <c r="AJ2874" s="1">
        <v>7</v>
      </c>
      <c r="AK2874" s="1">
        <v>32</v>
      </c>
      <c r="AL2874" s="1" t="s">
        <v>430</v>
      </c>
      <c r="AM2874" s="1" t="s">
        <v>137</v>
      </c>
      <c r="AN2874" s="1" t="s">
        <v>431</v>
      </c>
      <c r="AO2874" s="1" t="s">
        <v>11187</v>
      </c>
      <c r="AP2874" s="1" t="s">
        <v>11188</v>
      </c>
      <c r="AQ2874" s="1" t="s">
        <v>74</v>
      </c>
      <c r="AR2874" s="1" t="s">
        <v>11189</v>
      </c>
      <c r="AS2874" s="1" t="s">
        <v>11190</v>
      </c>
      <c r="AT2874" s="1" t="s">
        <v>142</v>
      </c>
      <c r="AU2874" s="1">
        <v>2022</v>
      </c>
      <c r="AV2874" s="1">
        <v>10</v>
      </c>
      <c r="AW2874" s="1">
        <v>3</v>
      </c>
      <c r="AX2874" s="1" t="s">
        <v>74</v>
      </c>
      <c r="AY2874" s="1" t="s">
        <v>74</v>
      </c>
      <c r="AZ2874" s="1" t="s">
        <v>74</v>
      </c>
      <c r="BA2874" s="1" t="s">
        <v>74</v>
      </c>
      <c r="BB2874" s="1" t="s">
        <v>74</v>
      </c>
      <c r="BC2874" s="1" t="s">
        <v>74</v>
      </c>
      <c r="BD2874" s="1">
        <v>107652</v>
      </c>
      <c r="BE2874" s="1" t="s">
        <v>45628</v>
      </c>
      <c r="BF2874" s="1" t="str">
        <f>HYPERLINK("http://dx.doi.org/10.1016/j.jece.2022.107652","http://dx.doi.org/10.1016/j.jece.2022.107652")</f>
        <v>http://dx.doi.org/10.1016/j.jece.2022.107652</v>
      </c>
      <c r="BG2874" s="1" t="s">
        <v>74</v>
      </c>
      <c r="BH2874" s="1" t="s">
        <v>1291</v>
      </c>
      <c r="BI2874" s="1">
        <v>10</v>
      </c>
      <c r="BJ2874" s="1" t="s">
        <v>3991</v>
      </c>
      <c r="BK2874" s="1" t="s">
        <v>96</v>
      </c>
      <c r="BL2874" s="1" t="s">
        <v>3992</v>
      </c>
      <c r="BM2874" s="1" t="s">
        <v>45629</v>
      </c>
      <c r="BN2874" s="1" t="s">
        <v>74</v>
      </c>
      <c r="BO2874" s="1" t="s">
        <v>74</v>
      </c>
      <c r="BP2874" s="1" t="s">
        <v>74</v>
      </c>
      <c r="BQ2874" s="1" t="s">
        <v>74</v>
      </c>
      <c r="BR2874" s="1" t="s">
        <v>98</v>
      </c>
      <c r="BS2874" s="1" t="s">
        <v>45630</v>
      </c>
      <c r="BT2874" s="1" t="str">
        <f>HYPERLINK("https%3A%2F%2Fwww.webofscience.com%2Fwos%2Fwoscc%2Ffull-record%2FWOS:000796981300004","View Full Record in Web of Science")</f>
        <v>View Full Record in Web of Science</v>
      </c>
      <c r="BU2874" s="1"/>
      <c r="BV2874" s="1"/>
    </row>
    <row r="2875" spans="1:74">
      <c r="A2875" s="1" t="s">
        <v>72</v>
      </c>
      <c r="B2875" s="1" t="s">
        <v>45631</v>
      </c>
      <c r="C2875" s="1" t="s">
        <v>74</v>
      </c>
      <c r="D2875" s="1" t="s">
        <v>74</v>
      </c>
      <c r="E2875" s="1" t="s">
        <v>74</v>
      </c>
      <c r="F2875" s="1" t="s">
        <v>45631</v>
      </c>
      <c r="G2875" s="1" t="s">
        <v>74</v>
      </c>
      <c r="H2875" s="1" t="s">
        <v>74</v>
      </c>
      <c r="I2875" s="1" t="s">
        <v>45632</v>
      </c>
      <c r="J2875" s="1" t="s">
        <v>127</v>
      </c>
      <c r="K2875" s="1" t="s">
        <v>74</v>
      </c>
      <c r="L2875" s="1" t="s">
        <v>74</v>
      </c>
      <c r="M2875" s="1" t="s">
        <v>78</v>
      </c>
      <c r="N2875" s="1" t="s">
        <v>79</v>
      </c>
      <c r="O2875" s="1" t="s">
        <v>74</v>
      </c>
      <c r="P2875" s="1" t="s">
        <v>74</v>
      </c>
      <c r="Q2875" s="1" t="s">
        <v>74</v>
      </c>
      <c r="R2875" s="1" t="s">
        <v>74</v>
      </c>
      <c r="S2875" s="1" t="s">
        <v>74</v>
      </c>
      <c r="T2875" s="1" t="s">
        <v>45633</v>
      </c>
      <c r="U2875" s="1" t="s">
        <v>45634</v>
      </c>
      <c r="V2875" s="1" t="s">
        <v>45635</v>
      </c>
      <c r="W2875" s="1" t="s">
        <v>45636</v>
      </c>
      <c r="X2875" s="1" t="s">
        <v>74</v>
      </c>
      <c r="Y2875" s="1" t="s">
        <v>45637</v>
      </c>
      <c r="Z2875" s="1" t="s">
        <v>74</v>
      </c>
      <c r="AA2875" s="1" t="s">
        <v>45638</v>
      </c>
      <c r="AB2875" s="1" t="s">
        <v>74</v>
      </c>
      <c r="AC2875" s="1" t="s">
        <v>74</v>
      </c>
      <c r="AD2875" s="1" t="s">
        <v>74</v>
      </c>
      <c r="AE2875" s="1" t="s">
        <v>74</v>
      </c>
      <c r="AF2875" s="1" t="s">
        <v>74</v>
      </c>
      <c r="AG2875" s="1">
        <v>48</v>
      </c>
      <c r="AH2875" s="1">
        <v>50</v>
      </c>
      <c r="AI2875" s="1">
        <v>52</v>
      </c>
      <c r="AJ2875" s="1">
        <v>0</v>
      </c>
      <c r="AK2875" s="1">
        <v>5</v>
      </c>
      <c r="AL2875" s="1" t="s">
        <v>136</v>
      </c>
      <c r="AM2875" s="1" t="s">
        <v>137</v>
      </c>
      <c r="AN2875" s="1" t="s">
        <v>583</v>
      </c>
      <c r="AO2875" s="1" t="s">
        <v>139</v>
      </c>
      <c r="AP2875" s="1" t="s">
        <v>74</v>
      </c>
      <c r="AQ2875" s="1" t="s">
        <v>74</v>
      </c>
      <c r="AR2875" s="1" t="s">
        <v>127</v>
      </c>
      <c r="AS2875" s="1" t="s">
        <v>141</v>
      </c>
      <c r="AT2875" s="1" t="s">
        <v>119</v>
      </c>
      <c r="AU2875" s="1">
        <v>1994</v>
      </c>
      <c r="AV2875" s="1">
        <v>29</v>
      </c>
      <c r="AW2875" s="1">
        <v>4</v>
      </c>
      <c r="AX2875" s="1" t="s">
        <v>74</v>
      </c>
      <c r="AY2875" s="1" t="s">
        <v>74</v>
      </c>
      <c r="AZ2875" s="1" t="s">
        <v>74</v>
      </c>
      <c r="BA2875" s="1" t="s">
        <v>74</v>
      </c>
      <c r="BB2875" s="1">
        <v>729</v>
      </c>
      <c r="BC2875" s="1">
        <v>745</v>
      </c>
      <c r="BD2875" s="1" t="s">
        <v>74</v>
      </c>
      <c r="BE2875" s="1" t="s">
        <v>45639</v>
      </c>
      <c r="BF2875" s="1" t="str">
        <f>HYPERLINK("http://dx.doi.org/10.1016/0045-6535(94)90042-6","http://dx.doi.org/10.1016/0045-6535(94)90042-6")</f>
        <v>http://dx.doi.org/10.1016/0045-6535(94)90042-6</v>
      </c>
      <c r="BG2875" s="1" t="s">
        <v>74</v>
      </c>
      <c r="BH2875" s="1" t="s">
        <v>74</v>
      </c>
      <c r="BI2875" s="1">
        <v>17</v>
      </c>
      <c r="BJ2875" s="1" t="s">
        <v>144</v>
      </c>
      <c r="BK2875" s="1" t="s">
        <v>96</v>
      </c>
      <c r="BL2875" s="1" t="s">
        <v>145</v>
      </c>
      <c r="BM2875" s="1" t="s">
        <v>23522</v>
      </c>
      <c r="BN2875" s="1" t="s">
        <v>74</v>
      </c>
      <c r="BO2875" s="1" t="s">
        <v>74</v>
      </c>
      <c r="BP2875" s="1" t="s">
        <v>74</v>
      </c>
      <c r="BQ2875" s="1" t="s">
        <v>74</v>
      </c>
      <c r="BR2875" s="1" t="s">
        <v>98</v>
      </c>
      <c r="BS2875" s="1" t="s">
        <v>45640</v>
      </c>
      <c r="BT2875" s="1" t="str">
        <f>HYPERLINK("https%3A%2F%2Fwww.webofscience.com%2Fwos%2Fwoscc%2Ffull-record%2FWOS:A1994PE85100008","View Full Record in Web of Science")</f>
        <v>View Full Record in Web of Science</v>
      </c>
      <c r="BU2875" s="1"/>
      <c r="BV2875" s="1"/>
    </row>
    <row r="2876" spans="1:74">
      <c r="A2876" s="1" t="s">
        <v>72</v>
      </c>
      <c r="B2876" s="1" t="s">
        <v>45641</v>
      </c>
      <c r="C2876" s="1" t="s">
        <v>74</v>
      </c>
      <c r="D2876" s="1" t="s">
        <v>74</v>
      </c>
      <c r="E2876" s="1" t="s">
        <v>74</v>
      </c>
      <c r="F2876" s="1" t="s">
        <v>45642</v>
      </c>
      <c r="G2876" s="1" t="s">
        <v>74</v>
      </c>
      <c r="H2876" s="1" t="s">
        <v>74</v>
      </c>
      <c r="I2876" s="1" t="s">
        <v>45643</v>
      </c>
      <c r="J2876" s="1" t="s">
        <v>45644</v>
      </c>
      <c r="K2876" s="1" t="s">
        <v>74</v>
      </c>
      <c r="L2876" s="1" t="s">
        <v>74</v>
      </c>
      <c r="M2876" s="1" t="s">
        <v>78</v>
      </c>
      <c r="N2876" s="1" t="s">
        <v>79</v>
      </c>
      <c r="O2876" s="1" t="s">
        <v>74</v>
      </c>
      <c r="P2876" s="1" t="s">
        <v>74</v>
      </c>
      <c r="Q2876" s="1" t="s">
        <v>74</v>
      </c>
      <c r="R2876" s="1" t="s">
        <v>74</v>
      </c>
      <c r="S2876" s="1" t="s">
        <v>74</v>
      </c>
      <c r="T2876" s="1" t="s">
        <v>45645</v>
      </c>
      <c r="U2876" s="1" t="s">
        <v>45646</v>
      </c>
      <c r="V2876" s="1" t="s">
        <v>45647</v>
      </c>
      <c r="W2876" s="1" t="s">
        <v>45648</v>
      </c>
      <c r="X2876" s="1" t="s">
        <v>74</v>
      </c>
      <c r="Y2876" s="1" t="s">
        <v>45649</v>
      </c>
      <c r="Z2876" s="1" t="s">
        <v>45650</v>
      </c>
      <c r="AA2876" s="1" t="s">
        <v>45651</v>
      </c>
      <c r="AB2876" s="1" t="s">
        <v>45652</v>
      </c>
      <c r="AC2876" s="1" t="s">
        <v>74</v>
      </c>
      <c r="AD2876" s="1" t="s">
        <v>74</v>
      </c>
      <c r="AE2876" s="1" t="s">
        <v>74</v>
      </c>
      <c r="AF2876" s="1" t="s">
        <v>74</v>
      </c>
      <c r="AG2876" s="1">
        <v>44</v>
      </c>
      <c r="AH2876" s="1">
        <v>4</v>
      </c>
      <c r="AI2876" s="1">
        <v>5</v>
      </c>
      <c r="AJ2876" s="1">
        <v>2</v>
      </c>
      <c r="AK2876" s="1">
        <v>8</v>
      </c>
      <c r="AL2876" s="1" t="s">
        <v>45653</v>
      </c>
      <c r="AM2876" s="1" t="s">
        <v>45654</v>
      </c>
      <c r="AN2876" s="1" t="s">
        <v>45655</v>
      </c>
      <c r="AO2876" s="1" t="s">
        <v>45656</v>
      </c>
      <c r="AP2876" s="1" t="s">
        <v>45657</v>
      </c>
      <c r="AQ2876" s="1" t="s">
        <v>74</v>
      </c>
      <c r="AR2876" s="1" t="s">
        <v>45658</v>
      </c>
      <c r="AS2876" s="1" t="s">
        <v>45659</v>
      </c>
      <c r="AT2876" s="1" t="s">
        <v>74</v>
      </c>
      <c r="AU2876" s="1">
        <v>2018</v>
      </c>
      <c r="AV2876" s="1">
        <v>44</v>
      </c>
      <c r="AW2876" s="1">
        <v>4</v>
      </c>
      <c r="AX2876" s="1" t="s">
        <v>74</v>
      </c>
      <c r="AY2876" s="1" t="s">
        <v>74</v>
      </c>
      <c r="AZ2876" s="1" t="s">
        <v>74</v>
      </c>
      <c r="BA2876" s="1" t="s">
        <v>74</v>
      </c>
      <c r="BB2876" s="1" t="s">
        <v>74</v>
      </c>
      <c r="BC2876" s="1" t="s">
        <v>74</v>
      </c>
      <c r="BD2876" s="1" t="s">
        <v>45660</v>
      </c>
      <c r="BE2876" s="1" t="s">
        <v>45661</v>
      </c>
      <c r="BF2876" s="1" t="str">
        <f>HYPERLINK("http://dx.doi.org/10.20950/1678-2305.2018.44.4.374","http://dx.doi.org/10.20950/1678-2305.2018.44.4.374")</f>
        <v>http://dx.doi.org/10.20950/1678-2305.2018.44.4.374</v>
      </c>
      <c r="BG2876" s="1" t="s">
        <v>74</v>
      </c>
      <c r="BH2876" s="1" t="s">
        <v>74</v>
      </c>
      <c r="BI2876" s="1">
        <v>8</v>
      </c>
      <c r="BJ2876" s="1" t="s">
        <v>45662</v>
      </c>
      <c r="BK2876" s="1" t="s">
        <v>96</v>
      </c>
      <c r="BL2876" s="1" t="s">
        <v>45662</v>
      </c>
      <c r="BM2876" s="1" t="s">
        <v>45663</v>
      </c>
      <c r="BN2876" s="1" t="s">
        <v>74</v>
      </c>
      <c r="BO2876" s="1" t="s">
        <v>12986</v>
      </c>
      <c r="BP2876" s="1" t="s">
        <v>74</v>
      </c>
      <c r="BQ2876" s="1" t="s">
        <v>74</v>
      </c>
      <c r="BR2876" s="1" t="s">
        <v>98</v>
      </c>
      <c r="BS2876" s="1" t="s">
        <v>45664</v>
      </c>
      <c r="BT2876" s="1" t="str">
        <f>HYPERLINK("https%3A%2F%2Fwww.webofscience.com%2Fwos%2Fwoscc%2Ffull-record%2FWOS:000452598300013","View Full Record in Web of Science")</f>
        <v>View Full Record in Web of Science</v>
      </c>
      <c r="BU2876" s="1"/>
      <c r="BV2876" s="1"/>
    </row>
    <row r="2877" spans="1:74">
      <c r="A2877" s="1" t="s">
        <v>72</v>
      </c>
      <c r="B2877" s="1" t="s">
        <v>45665</v>
      </c>
      <c r="C2877" s="1" t="s">
        <v>74</v>
      </c>
      <c r="D2877" s="1" t="s">
        <v>74</v>
      </c>
      <c r="E2877" s="1" t="s">
        <v>74</v>
      </c>
      <c r="F2877" s="1" t="s">
        <v>45666</v>
      </c>
      <c r="G2877" s="1" t="s">
        <v>74</v>
      </c>
      <c r="H2877" s="1" t="s">
        <v>74</v>
      </c>
      <c r="I2877" s="1" t="s">
        <v>45667</v>
      </c>
      <c r="J2877" s="1" t="s">
        <v>3349</v>
      </c>
      <c r="K2877" s="1" t="s">
        <v>74</v>
      </c>
      <c r="L2877" s="1" t="s">
        <v>74</v>
      </c>
      <c r="M2877" s="1" t="s">
        <v>78</v>
      </c>
      <c r="N2877" s="1" t="s">
        <v>79</v>
      </c>
      <c r="O2877" s="1" t="s">
        <v>74</v>
      </c>
      <c r="P2877" s="1" t="s">
        <v>74</v>
      </c>
      <c r="Q2877" s="1" t="s">
        <v>74</v>
      </c>
      <c r="R2877" s="1" t="s">
        <v>74</v>
      </c>
      <c r="S2877" s="1" t="s">
        <v>74</v>
      </c>
      <c r="T2877" s="1" t="s">
        <v>45668</v>
      </c>
      <c r="U2877" s="1" t="s">
        <v>45669</v>
      </c>
      <c r="V2877" s="1" t="s">
        <v>45670</v>
      </c>
      <c r="W2877" s="1" t="s">
        <v>45671</v>
      </c>
      <c r="X2877" s="1" t="s">
        <v>45672</v>
      </c>
      <c r="Y2877" s="1" t="s">
        <v>45673</v>
      </c>
      <c r="Z2877" s="1" t="s">
        <v>45674</v>
      </c>
      <c r="AA2877" s="1" t="s">
        <v>45675</v>
      </c>
      <c r="AB2877" s="1" t="s">
        <v>45676</v>
      </c>
      <c r="AC2877" s="1" t="s">
        <v>45677</v>
      </c>
      <c r="AD2877" s="1" t="s">
        <v>45678</v>
      </c>
      <c r="AE2877" s="1" t="s">
        <v>45679</v>
      </c>
      <c r="AF2877" s="1" t="s">
        <v>74</v>
      </c>
      <c r="AG2877" s="1">
        <v>57</v>
      </c>
      <c r="AH2877" s="1">
        <v>66</v>
      </c>
      <c r="AI2877" s="1">
        <v>67</v>
      </c>
      <c r="AJ2877" s="1">
        <v>1</v>
      </c>
      <c r="AK2877" s="1">
        <v>70</v>
      </c>
      <c r="AL2877" s="1" t="s">
        <v>3362</v>
      </c>
      <c r="AM2877" s="1" t="s">
        <v>3363</v>
      </c>
      <c r="AN2877" s="1" t="s">
        <v>3364</v>
      </c>
      <c r="AO2877" s="1" t="s">
        <v>3365</v>
      </c>
      <c r="AP2877" s="1" t="s">
        <v>3366</v>
      </c>
      <c r="AQ2877" s="1" t="s">
        <v>74</v>
      </c>
      <c r="AR2877" s="1" t="s">
        <v>3367</v>
      </c>
      <c r="AS2877" s="1" t="s">
        <v>3368</v>
      </c>
      <c r="AT2877" s="1" t="s">
        <v>15610</v>
      </c>
      <c r="AU2877" s="1">
        <v>2012</v>
      </c>
      <c r="AV2877" s="1">
        <v>76</v>
      </c>
      <c r="AW2877" s="1" t="s">
        <v>74</v>
      </c>
      <c r="AX2877" s="1" t="s">
        <v>74</v>
      </c>
      <c r="AY2877" s="1" t="s">
        <v>74</v>
      </c>
      <c r="AZ2877" s="1" t="s">
        <v>74</v>
      </c>
      <c r="BA2877" s="1" t="s">
        <v>74</v>
      </c>
      <c r="BB2877" s="1">
        <v>153</v>
      </c>
      <c r="BC2877" s="1">
        <v>161</v>
      </c>
      <c r="BD2877" s="1" t="s">
        <v>74</v>
      </c>
      <c r="BE2877" s="1" t="s">
        <v>45680</v>
      </c>
      <c r="BF2877" s="1" t="str">
        <f>HYPERLINK("http://dx.doi.org/10.1016/j.ecoenv.2011.09.018","http://dx.doi.org/10.1016/j.ecoenv.2011.09.018")</f>
        <v>http://dx.doi.org/10.1016/j.ecoenv.2011.09.018</v>
      </c>
      <c r="BG2877" s="1" t="s">
        <v>74</v>
      </c>
      <c r="BH2877" s="1" t="s">
        <v>74</v>
      </c>
      <c r="BI2877" s="1">
        <v>9</v>
      </c>
      <c r="BJ2877" s="1" t="s">
        <v>121</v>
      </c>
      <c r="BK2877" s="1" t="s">
        <v>96</v>
      </c>
      <c r="BL2877" s="1" t="s">
        <v>122</v>
      </c>
      <c r="BM2877" s="1" t="s">
        <v>45681</v>
      </c>
      <c r="BN2877" s="1">
        <v>22036209</v>
      </c>
      <c r="BO2877" s="1" t="s">
        <v>74</v>
      </c>
      <c r="BP2877" s="1" t="s">
        <v>74</v>
      </c>
      <c r="BQ2877" s="1" t="s">
        <v>74</v>
      </c>
      <c r="BR2877" s="1" t="s">
        <v>98</v>
      </c>
      <c r="BS2877" s="1" t="s">
        <v>45682</v>
      </c>
      <c r="BT2877" s="1" t="str">
        <f>HYPERLINK("https%3A%2F%2Fwww.webofscience.com%2Fwos%2Fwoscc%2Ffull-record%2FWOS:000297663100018","View Full Record in Web of Science")</f>
        <v>View Full Record in Web of Science</v>
      </c>
      <c r="BU2877" s="1"/>
      <c r="BV2877" s="1"/>
    </row>
    <row r="2878" spans="1:74">
      <c r="A2878" s="1" t="s">
        <v>72</v>
      </c>
      <c r="B2878" s="1" t="s">
        <v>45683</v>
      </c>
      <c r="C2878" s="1" t="s">
        <v>74</v>
      </c>
      <c r="D2878" s="1" t="s">
        <v>74</v>
      </c>
      <c r="E2878" s="1" t="s">
        <v>74</v>
      </c>
      <c r="F2878" s="1" t="s">
        <v>45684</v>
      </c>
      <c r="G2878" s="1" t="s">
        <v>74</v>
      </c>
      <c r="H2878" s="1" t="s">
        <v>74</v>
      </c>
      <c r="I2878" s="1" t="s">
        <v>45685</v>
      </c>
      <c r="J2878" s="1" t="s">
        <v>45686</v>
      </c>
      <c r="K2878" s="1" t="s">
        <v>74</v>
      </c>
      <c r="L2878" s="1" t="s">
        <v>74</v>
      </c>
      <c r="M2878" s="1" t="s">
        <v>78</v>
      </c>
      <c r="N2878" s="1" t="s">
        <v>79</v>
      </c>
      <c r="O2878" s="1" t="s">
        <v>74</v>
      </c>
      <c r="P2878" s="1" t="s">
        <v>74</v>
      </c>
      <c r="Q2878" s="1" t="s">
        <v>74</v>
      </c>
      <c r="R2878" s="1" t="s">
        <v>74</v>
      </c>
      <c r="S2878" s="1" t="s">
        <v>74</v>
      </c>
      <c r="T2878" s="1" t="s">
        <v>45687</v>
      </c>
      <c r="U2878" s="1" t="s">
        <v>45688</v>
      </c>
      <c r="V2878" s="1" t="s">
        <v>45689</v>
      </c>
      <c r="W2878" s="1" t="s">
        <v>45690</v>
      </c>
      <c r="X2878" s="1" t="s">
        <v>45691</v>
      </c>
      <c r="Y2878" s="1" t="s">
        <v>45692</v>
      </c>
      <c r="Z2878" s="1" t="s">
        <v>45693</v>
      </c>
      <c r="AA2878" s="1" t="s">
        <v>45694</v>
      </c>
      <c r="AB2878" s="1" t="s">
        <v>45695</v>
      </c>
      <c r="AC2878" s="1" t="s">
        <v>45696</v>
      </c>
      <c r="AD2878" s="1" t="s">
        <v>45697</v>
      </c>
      <c r="AE2878" s="1" t="s">
        <v>45698</v>
      </c>
      <c r="AF2878" s="1" t="s">
        <v>74</v>
      </c>
      <c r="AG2878" s="1">
        <v>46</v>
      </c>
      <c r="AH2878" s="1">
        <v>2</v>
      </c>
      <c r="AI2878" s="1">
        <v>2</v>
      </c>
      <c r="AJ2878" s="1">
        <v>3</v>
      </c>
      <c r="AK2878" s="1">
        <v>10</v>
      </c>
      <c r="AL2878" s="1" t="s">
        <v>45699</v>
      </c>
      <c r="AM2878" s="1" t="s">
        <v>32532</v>
      </c>
      <c r="AN2878" s="1" t="s">
        <v>45700</v>
      </c>
      <c r="AO2878" s="1" t="s">
        <v>45701</v>
      </c>
      <c r="AP2878" s="1" t="s">
        <v>45702</v>
      </c>
      <c r="AQ2878" s="1" t="s">
        <v>74</v>
      </c>
      <c r="AR2878" s="1" t="s">
        <v>45703</v>
      </c>
      <c r="AS2878" s="1" t="s">
        <v>45704</v>
      </c>
      <c r="AT2878" s="1" t="s">
        <v>1470</v>
      </c>
      <c r="AU2878" s="1">
        <v>2023</v>
      </c>
      <c r="AV2878" s="1">
        <v>40</v>
      </c>
      <c r="AW2878" s="1">
        <v>1</v>
      </c>
      <c r="AX2878" s="1" t="s">
        <v>74</v>
      </c>
      <c r="AY2878" s="1" t="s">
        <v>74</v>
      </c>
      <c r="AZ2878" s="1" t="s">
        <v>74</v>
      </c>
      <c r="BA2878" s="1" t="s">
        <v>74</v>
      </c>
      <c r="BB2878" s="1">
        <v>136</v>
      </c>
      <c r="BC2878" s="1">
        <v>144</v>
      </c>
      <c r="BD2878" s="1" t="s">
        <v>74</v>
      </c>
      <c r="BE2878" s="1" t="s">
        <v>45705</v>
      </c>
      <c r="BF2878" s="1" t="str">
        <f>HYPERLINK("http://dx.doi.org/10.1007/s11814-022-1243-8","http://dx.doi.org/10.1007/s11814-022-1243-8")</f>
        <v>http://dx.doi.org/10.1007/s11814-022-1243-8</v>
      </c>
      <c r="BG2878" s="1" t="s">
        <v>74</v>
      </c>
      <c r="BH2878" s="1" t="s">
        <v>74</v>
      </c>
      <c r="BI2878" s="1">
        <v>9</v>
      </c>
      <c r="BJ2878" s="1" t="s">
        <v>11939</v>
      </c>
      <c r="BK2878" s="1" t="s">
        <v>96</v>
      </c>
      <c r="BL2878" s="1" t="s">
        <v>11940</v>
      </c>
      <c r="BM2878" s="1" t="s">
        <v>45706</v>
      </c>
      <c r="BN2878" s="1" t="s">
        <v>74</v>
      </c>
      <c r="BO2878" s="1" t="s">
        <v>74</v>
      </c>
      <c r="BP2878" s="1" t="s">
        <v>74</v>
      </c>
      <c r="BQ2878" s="1" t="s">
        <v>74</v>
      </c>
      <c r="BR2878" s="1" t="s">
        <v>98</v>
      </c>
      <c r="BS2878" s="1" t="s">
        <v>45707</v>
      </c>
      <c r="BT2878" s="1" t="str">
        <f>HYPERLINK("https%3A%2F%2Fwww.webofscience.com%2Fwos%2Fwoscc%2Ffull-record%2FWOS:000908933500013","View Full Record in Web of Science")</f>
        <v>View Full Record in Web of Science</v>
      </c>
      <c r="BU2878" s="1"/>
      <c r="BV2878" s="1"/>
    </row>
    <row r="2879" spans="1:74">
      <c r="A2879" s="1" t="s">
        <v>72</v>
      </c>
      <c r="B2879" s="1" t="s">
        <v>45708</v>
      </c>
      <c r="C2879" s="1" t="s">
        <v>74</v>
      </c>
      <c r="D2879" s="1" t="s">
        <v>74</v>
      </c>
      <c r="E2879" s="1" t="s">
        <v>74</v>
      </c>
      <c r="F2879" s="1" t="s">
        <v>45708</v>
      </c>
      <c r="G2879" s="1" t="s">
        <v>74</v>
      </c>
      <c r="H2879" s="1" t="s">
        <v>74</v>
      </c>
      <c r="I2879" s="1" t="s">
        <v>45709</v>
      </c>
      <c r="J2879" s="1" t="s">
        <v>752</v>
      </c>
      <c r="K2879" s="1" t="s">
        <v>74</v>
      </c>
      <c r="L2879" s="1" t="s">
        <v>74</v>
      </c>
      <c r="M2879" s="1" t="s">
        <v>78</v>
      </c>
      <c r="N2879" s="1" t="s">
        <v>151</v>
      </c>
      <c r="O2879" s="1" t="s">
        <v>35375</v>
      </c>
      <c r="P2879" s="1" t="s">
        <v>35376</v>
      </c>
      <c r="Q2879" s="1" t="s">
        <v>35377</v>
      </c>
      <c r="R2879" s="1" t="s">
        <v>74</v>
      </c>
      <c r="S2879" s="1" t="s">
        <v>74</v>
      </c>
      <c r="T2879" s="1" t="s">
        <v>74</v>
      </c>
      <c r="U2879" s="1" t="s">
        <v>74</v>
      </c>
      <c r="V2879" s="1" t="s">
        <v>45710</v>
      </c>
      <c r="W2879" s="1" t="s">
        <v>45711</v>
      </c>
      <c r="X2879" s="1" t="s">
        <v>44609</v>
      </c>
      <c r="Y2879" s="1" t="s">
        <v>45712</v>
      </c>
      <c r="Z2879" s="1" t="s">
        <v>74</v>
      </c>
      <c r="AA2879" s="1" t="s">
        <v>74</v>
      </c>
      <c r="AB2879" s="1" t="s">
        <v>74</v>
      </c>
      <c r="AC2879" s="1" t="s">
        <v>74</v>
      </c>
      <c r="AD2879" s="1" t="s">
        <v>74</v>
      </c>
      <c r="AE2879" s="1" t="s">
        <v>74</v>
      </c>
      <c r="AF2879" s="1" t="s">
        <v>74</v>
      </c>
      <c r="AG2879" s="1">
        <v>7</v>
      </c>
      <c r="AH2879" s="1">
        <v>77</v>
      </c>
      <c r="AI2879" s="1">
        <v>86</v>
      </c>
      <c r="AJ2879" s="1">
        <v>0</v>
      </c>
      <c r="AK2879" s="1">
        <v>7</v>
      </c>
      <c r="AL2879" s="1" t="s">
        <v>430</v>
      </c>
      <c r="AM2879" s="1" t="s">
        <v>137</v>
      </c>
      <c r="AN2879" s="1" t="s">
        <v>431</v>
      </c>
      <c r="AO2879" s="1" t="s">
        <v>761</v>
      </c>
      <c r="AP2879" s="1" t="s">
        <v>74</v>
      </c>
      <c r="AQ2879" s="1" t="s">
        <v>74</v>
      </c>
      <c r="AR2879" s="1" t="s">
        <v>763</v>
      </c>
      <c r="AS2879" s="1" t="s">
        <v>764</v>
      </c>
      <c r="AT2879" s="1" t="s">
        <v>35385</v>
      </c>
      <c r="AU2879" s="1">
        <v>1996</v>
      </c>
      <c r="AV2879" s="1">
        <v>42</v>
      </c>
      <c r="AW2879" s="1" t="s">
        <v>721</v>
      </c>
      <c r="AX2879" s="1" t="s">
        <v>74</v>
      </c>
      <c r="AY2879" s="1" t="s">
        <v>74</v>
      </c>
      <c r="AZ2879" s="1" t="s">
        <v>74</v>
      </c>
      <c r="BA2879" s="1" t="s">
        <v>74</v>
      </c>
      <c r="BB2879" s="1">
        <v>253</v>
      </c>
      <c r="BC2879" s="1">
        <v>259</v>
      </c>
      <c r="BD2879" s="1" t="s">
        <v>74</v>
      </c>
      <c r="BE2879" s="1" t="s">
        <v>45713</v>
      </c>
      <c r="BF2879" s="1" t="str">
        <f>HYPERLINK("http://dx.doi.org/10.1016/0141-1136(95)00056-9","http://dx.doi.org/10.1016/0141-1136(95)00056-9")</f>
        <v>http://dx.doi.org/10.1016/0141-1136(95)00056-9</v>
      </c>
      <c r="BG2879" s="1" t="s">
        <v>74</v>
      </c>
      <c r="BH2879" s="1" t="s">
        <v>74</v>
      </c>
      <c r="BI2879" s="1">
        <v>7</v>
      </c>
      <c r="BJ2879" s="1" t="s">
        <v>768</v>
      </c>
      <c r="BK2879" s="1" t="s">
        <v>172</v>
      </c>
      <c r="BL2879" s="1" t="s">
        <v>769</v>
      </c>
      <c r="BM2879" s="1" t="s">
        <v>35387</v>
      </c>
      <c r="BN2879" s="1" t="s">
        <v>74</v>
      </c>
      <c r="BO2879" s="1" t="s">
        <v>74</v>
      </c>
      <c r="BP2879" s="1" t="s">
        <v>74</v>
      </c>
      <c r="BQ2879" s="1" t="s">
        <v>74</v>
      </c>
      <c r="BR2879" s="1" t="s">
        <v>98</v>
      </c>
      <c r="BS2879" s="1" t="s">
        <v>45714</v>
      </c>
      <c r="BT2879" s="1" t="str">
        <f>HYPERLINK("https%3A%2F%2Fwww.webofscience.com%2Fwos%2Fwoscc%2Ffull-record%2FWOS:A1996UU36900042","View Full Record in Web of Science")</f>
        <v>View Full Record in Web of Science</v>
      </c>
      <c r="BU2879" s="1"/>
      <c r="BV2879" s="1"/>
    </row>
    <row r="2880" spans="1:74">
      <c r="A2880" s="1" t="s">
        <v>72</v>
      </c>
      <c r="B2880" s="1" t="s">
        <v>45715</v>
      </c>
      <c r="C2880" s="1" t="s">
        <v>74</v>
      </c>
      <c r="D2880" s="1" t="s">
        <v>74</v>
      </c>
      <c r="E2880" s="1" t="s">
        <v>74</v>
      </c>
      <c r="F2880" s="1" t="s">
        <v>45716</v>
      </c>
      <c r="G2880" s="1" t="s">
        <v>74</v>
      </c>
      <c r="H2880" s="1" t="s">
        <v>74</v>
      </c>
      <c r="I2880" s="1" t="s">
        <v>45717</v>
      </c>
      <c r="J2880" s="1" t="s">
        <v>1337</v>
      </c>
      <c r="K2880" s="1" t="s">
        <v>74</v>
      </c>
      <c r="L2880" s="1" t="s">
        <v>74</v>
      </c>
      <c r="M2880" s="1" t="s">
        <v>78</v>
      </c>
      <c r="N2880" s="1" t="s">
        <v>79</v>
      </c>
      <c r="O2880" s="1" t="s">
        <v>74</v>
      </c>
      <c r="P2880" s="1" t="s">
        <v>74</v>
      </c>
      <c r="Q2880" s="1" t="s">
        <v>74</v>
      </c>
      <c r="R2880" s="1" t="s">
        <v>74</v>
      </c>
      <c r="S2880" s="1" t="s">
        <v>74</v>
      </c>
      <c r="T2880" s="1" t="s">
        <v>45718</v>
      </c>
      <c r="U2880" s="1" t="s">
        <v>45719</v>
      </c>
      <c r="V2880" s="1" t="s">
        <v>45720</v>
      </c>
      <c r="W2880" s="1" t="s">
        <v>45721</v>
      </c>
      <c r="X2880" s="1" t="s">
        <v>45722</v>
      </c>
      <c r="Y2880" s="1" t="s">
        <v>45723</v>
      </c>
      <c r="Z2880" s="1" t="s">
        <v>45724</v>
      </c>
      <c r="AA2880" s="1" t="s">
        <v>45725</v>
      </c>
      <c r="AB2880" s="1" t="s">
        <v>45726</v>
      </c>
      <c r="AC2880" s="1" t="s">
        <v>74</v>
      </c>
      <c r="AD2880" s="1" t="s">
        <v>74</v>
      </c>
      <c r="AE2880" s="1" t="s">
        <v>74</v>
      </c>
      <c r="AF2880" s="1" t="s">
        <v>74</v>
      </c>
      <c r="AG2880" s="1">
        <v>71</v>
      </c>
      <c r="AH2880" s="1">
        <v>6</v>
      </c>
      <c r="AI2880" s="1">
        <v>7</v>
      </c>
      <c r="AJ2880" s="1">
        <v>2</v>
      </c>
      <c r="AK2880" s="1">
        <v>12</v>
      </c>
      <c r="AL2880" s="1" t="s">
        <v>1350</v>
      </c>
      <c r="AM2880" s="1" t="s">
        <v>1351</v>
      </c>
      <c r="AN2880" s="1" t="s">
        <v>1352</v>
      </c>
      <c r="AO2880" s="1" t="s">
        <v>74</v>
      </c>
      <c r="AP2880" s="1" t="s">
        <v>1353</v>
      </c>
      <c r="AQ2880" s="1" t="s">
        <v>74</v>
      </c>
      <c r="AR2880" s="1" t="s">
        <v>1354</v>
      </c>
      <c r="AS2880" s="1" t="s">
        <v>1355</v>
      </c>
      <c r="AT2880" s="1" t="s">
        <v>39679</v>
      </c>
      <c r="AU2880" s="1">
        <v>2022</v>
      </c>
      <c r="AV2880" s="1">
        <v>8</v>
      </c>
      <c r="AW2880" s="1" t="s">
        <v>74</v>
      </c>
      <c r="AX2880" s="1" t="s">
        <v>74</v>
      </c>
      <c r="AY2880" s="1" t="s">
        <v>74</v>
      </c>
      <c r="AZ2880" s="1" t="s">
        <v>74</v>
      </c>
      <c r="BA2880" s="1" t="s">
        <v>74</v>
      </c>
      <c r="BB2880" s="1" t="s">
        <v>74</v>
      </c>
      <c r="BC2880" s="1" t="s">
        <v>74</v>
      </c>
      <c r="BD2880" s="1">
        <v>734814</v>
      </c>
      <c r="BE2880" s="1" t="s">
        <v>45727</v>
      </c>
      <c r="BF2880" s="1" t="str">
        <f>HYPERLINK("http://dx.doi.org/10.3389/fmars.2021.734814","http://dx.doi.org/10.3389/fmars.2021.734814")</f>
        <v>http://dx.doi.org/10.3389/fmars.2021.734814</v>
      </c>
      <c r="BG2880" s="1" t="s">
        <v>74</v>
      </c>
      <c r="BH2880" s="1" t="s">
        <v>74</v>
      </c>
      <c r="BI2880" s="1">
        <v>16</v>
      </c>
      <c r="BJ2880" s="1" t="s">
        <v>247</v>
      </c>
      <c r="BK2880" s="1" t="s">
        <v>96</v>
      </c>
      <c r="BL2880" s="1" t="s">
        <v>248</v>
      </c>
      <c r="BM2880" s="1" t="s">
        <v>45728</v>
      </c>
      <c r="BN2880" s="1" t="s">
        <v>74</v>
      </c>
      <c r="BO2880" s="1" t="s">
        <v>873</v>
      </c>
      <c r="BP2880" s="1" t="s">
        <v>74</v>
      </c>
      <c r="BQ2880" s="1" t="s">
        <v>74</v>
      </c>
      <c r="BR2880" s="1" t="s">
        <v>98</v>
      </c>
      <c r="BS2880" s="1" t="s">
        <v>45729</v>
      </c>
      <c r="BT2880" s="1" t="str">
        <f>HYPERLINK("https%3A%2F%2Fwww.webofscience.com%2Fwos%2Fwoscc%2Ffull-record%2FWOS:000751879300001","View Full Record in Web of Science")</f>
        <v>View Full Record in Web of Science</v>
      </c>
      <c r="BU2880" s="1"/>
      <c r="BV2880" s="1"/>
    </row>
    <row r="2881" spans="1:74">
      <c r="A2881" s="1" t="s">
        <v>72</v>
      </c>
      <c r="B2881" s="1" t="s">
        <v>45730</v>
      </c>
      <c r="C2881" s="1" t="s">
        <v>74</v>
      </c>
      <c r="D2881" s="1" t="s">
        <v>74</v>
      </c>
      <c r="E2881" s="1" t="s">
        <v>74</v>
      </c>
      <c r="F2881" s="1" t="s">
        <v>45731</v>
      </c>
      <c r="G2881" s="1" t="s">
        <v>74</v>
      </c>
      <c r="H2881" s="1" t="s">
        <v>74</v>
      </c>
      <c r="I2881" s="1" t="s">
        <v>45732</v>
      </c>
      <c r="J2881" s="1" t="s">
        <v>39706</v>
      </c>
      <c r="K2881" s="1" t="s">
        <v>74</v>
      </c>
      <c r="L2881" s="1" t="s">
        <v>74</v>
      </c>
      <c r="M2881" s="1" t="s">
        <v>78</v>
      </c>
      <c r="N2881" s="1" t="s">
        <v>79</v>
      </c>
      <c r="O2881" s="1" t="s">
        <v>74</v>
      </c>
      <c r="P2881" s="1" t="s">
        <v>74</v>
      </c>
      <c r="Q2881" s="1" t="s">
        <v>74</v>
      </c>
      <c r="R2881" s="1" t="s">
        <v>74</v>
      </c>
      <c r="S2881" s="1" t="s">
        <v>74</v>
      </c>
      <c r="T2881" s="1" t="s">
        <v>45733</v>
      </c>
      <c r="U2881" s="1" t="s">
        <v>45734</v>
      </c>
      <c r="V2881" s="1" t="s">
        <v>45735</v>
      </c>
      <c r="W2881" s="1" t="s">
        <v>45736</v>
      </c>
      <c r="X2881" s="1" t="s">
        <v>45737</v>
      </c>
      <c r="Y2881" s="1" t="s">
        <v>45738</v>
      </c>
      <c r="Z2881" s="1" t="s">
        <v>45739</v>
      </c>
      <c r="AA2881" s="1" t="s">
        <v>45740</v>
      </c>
      <c r="AB2881" s="1" t="s">
        <v>45741</v>
      </c>
      <c r="AC2881" s="1" t="s">
        <v>74</v>
      </c>
      <c r="AD2881" s="1" t="s">
        <v>74</v>
      </c>
      <c r="AE2881" s="1" t="s">
        <v>74</v>
      </c>
      <c r="AF2881" s="1" t="s">
        <v>74</v>
      </c>
      <c r="AG2881" s="1">
        <v>63</v>
      </c>
      <c r="AH2881" s="1">
        <v>34</v>
      </c>
      <c r="AI2881" s="1">
        <v>39</v>
      </c>
      <c r="AJ2881" s="1">
        <v>1</v>
      </c>
      <c r="AK2881" s="1">
        <v>20</v>
      </c>
      <c r="AL2881" s="1" t="s">
        <v>4471</v>
      </c>
      <c r="AM2881" s="1" t="s">
        <v>4472</v>
      </c>
      <c r="AN2881" s="1" t="s">
        <v>4473</v>
      </c>
      <c r="AO2881" s="1" t="s">
        <v>39718</v>
      </c>
      <c r="AP2881" s="1" t="s">
        <v>74</v>
      </c>
      <c r="AQ2881" s="1" t="s">
        <v>74</v>
      </c>
      <c r="AR2881" s="1" t="s">
        <v>39720</v>
      </c>
      <c r="AS2881" s="1" t="s">
        <v>39721</v>
      </c>
      <c r="AT2881" s="1" t="s">
        <v>74</v>
      </c>
      <c r="AU2881" s="1">
        <v>2007</v>
      </c>
      <c r="AV2881" s="1">
        <v>6</v>
      </c>
      <c r="AW2881" s="1">
        <v>6</v>
      </c>
      <c r="AX2881" s="1" t="s">
        <v>74</v>
      </c>
      <c r="AY2881" s="1" t="s">
        <v>74</v>
      </c>
      <c r="AZ2881" s="1" t="s">
        <v>74</v>
      </c>
      <c r="BA2881" s="1" t="s">
        <v>74</v>
      </c>
      <c r="BB2881" s="1">
        <v>2094</v>
      </c>
      <c r="BC2881" s="1">
        <v>2104</v>
      </c>
      <c r="BD2881" s="1" t="s">
        <v>74</v>
      </c>
      <c r="BE2881" s="1" t="s">
        <v>45742</v>
      </c>
      <c r="BF2881" s="1" t="str">
        <f>HYPERLINK("http://dx.doi.org/10.1021/pr060689s","http://dx.doi.org/10.1021/pr060689s")</f>
        <v>http://dx.doi.org/10.1021/pr060689s</v>
      </c>
      <c r="BG2881" s="1" t="s">
        <v>74</v>
      </c>
      <c r="BH2881" s="1" t="s">
        <v>74</v>
      </c>
      <c r="BI2881" s="1">
        <v>11</v>
      </c>
      <c r="BJ2881" s="1" t="s">
        <v>27736</v>
      </c>
      <c r="BK2881" s="1" t="s">
        <v>96</v>
      </c>
      <c r="BL2881" s="1" t="s">
        <v>3805</v>
      </c>
      <c r="BM2881" s="1" t="s">
        <v>45743</v>
      </c>
      <c r="BN2881" s="1">
        <v>17458988</v>
      </c>
      <c r="BO2881" s="1" t="s">
        <v>74</v>
      </c>
      <c r="BP2881" s="1" t="s">
        <v>74</v>
      </c>
      <c r="BQ2881" s="1" t="s">
        <v>74</v>
      </c>
      <c r="BR2881" s="1" t="s">
        <v>98</v>
      </c>
      <c r="BS2881" s="1" t="s">
        <v>45744</v>
      </c>
      <c r="BT2881" s="1" t="str">
        <f>HYPERLINK("https%3A%2F%2Fwww.webofscience.com%2Fwos%2Fwoscc%2Ffull-record%2FWOS:000246893500004","View Full Record in Web of Science")</f>
        <v>View Full Record in Web of Science</v>
      </c>
      <c r="BU2881" s="1"/>
      <c r="BV2881" s="1"/>
    </row>
    <row r="2882" spans="1:74">
      <c r="A2882" s="1" t="s">
        <v>72</v>
      </c>
      <c r="B2882" s="1" t="s">
        <v>45745</v>
      </c>
      <c r="C2882" s="1" t="s">
        <v>74</v>
      </c>
      <c r="D2882" s="1" t="s">
        <v>74</v>
      </c>
      <c r="E2882" s="1" t="s">
        <v>74</v>
      </c>
      <c r="F2882" s="1" t="s">
        <v>45746</v>
      </c>
      <c r="G2882" s="1" t="s">
        <v>74</v>
      </c>
      <c r="H2882" s="1" t="s">
        <v>74</v>
      </c>
      <c r="I2882" s="1" t="s">
        <v>45747</v>
      </c>
      <c r="J2882" s="1" t="s">
        <v>909</v>
      </c>
      <c r="K2882" s="1" t="s">
        <v>74</v>
      </c>
      <c r="L2882" s="1" t="s">
        <v>74</v>
      </c>
      <c r="M2882" s="1" t="s">
        <v>78</v>
      </c>
      <c r="N2882" s="1" t="s">
        <v>79</v>
      </c>
      <c r="O2882" s="1" t="s">
        <v>74</v>
      </c>
      <c r="P2882" s="1" t="s">
        <v>74</v>
      </c>
      <c r="Q2882" s="1" t="s">
        <v>74</v>
      </c>
      <c r="R2882" s="1" t="s">
        <v>74</v>
      </c>
      <c r="S2882" s="1" t="s">
        <v>74</v>
      </c>
      <c r="T2882" s="1" t="s">
        <v>45748</v>
      </c>
      <c r="U2882" s="1" t="s">
        <v>45749</v>
      </c>
      <c r="V2882" s="1" t="s">
        <v>45750</v>
      </c>
      <c r="W2882" s="1" t="s">
        <v>45751</v>
      </c>
      <c r="X2882" s="1" t="s">
        <v>45752</v>
      </c>
      <c r="Y2882" s="1" t="s">
        <v>45753</v>
      </c>
      <c r="Z2882" s="1" t="s">
        <v>45754</v>
      </c>
      <c r="AA2882" s="1" t="s">
        <v>45755</v>
      </c>
      <c r="AB2882" s="1" t="s">
        <v>45756</v>
      </c>
      <c r="AC2882" s="1" t="s">
        <v>45757</v>
      </c>
      <c r="AD2882" s="1" t="s">
        <v>45758</v>
      </c>
      <c r="AE2882" s="1" t="s">
        <v>45759</v>
      </c>
      <c r="AF2882" s="1" t="s">
        <v>74</v>
      </c>
      <c r="AG2882" s="1">
        <v>58</v>
      </c>
      <c r="AH2882" s="1">
        <v>10</v>
      </c>
      <c r="AI2882" s="1">
        <v>12</v>
      </c>
      <c r="AJ2882" s="1">
        <v>18</v>
      </c>
      <c r="AK2882" s="1">
        <v>117</v>
      </c>
      <c r="AL2882" s="1" t="s">
        <v>650</v>
      </c>
      <c r="AM2882" s="1" t="s">
        <v>651</v>
      </c>
      <c r="AN2882" s="1" t="s">
        <v>652</v>
      </c>
      <c r="AO2882" s="1" t="s">
        <v>921</v>
      </c>
      <c r="AP2882" s="1" t="s">
        <v>922</v>
      </c>
      <c r="AQ2882" s="1" t="s">
        <v>74</v>
      </c>
      <c r="AR2882" s="1" t="s">
        <v>923</v>
      </c>
      <c r="AS2882" s="1" t="s">
        <v>924</v>
      </c>
      <c r="AT2882" s="1" t="s">
        <v>26591</v>
      </c>
      <c r="AU2882" s="1">
        <v>2022</v>
      </c>
      <c r="AV2882" s="1">
        <v>840</v>
      </c>
      <c r="AW2882" s="1" t="s">
        <v>74</v>
      </c>
      <c r="AX2882" s="1" t="s">
        <v>74</v>
      </c>
      <c r="AY2882" s="1" t="s">
        <v>74</v>
      </c>
      <c r="AZ2882" s="1" t="s">
        <v>74</v>
      </c>
      <c r="BA2882" s="1" t="s">
        <v>74</v>
      </c>
      <c r="BB2882" s="1" t="s">
        <v>74</v>
      </c>
      <c r="BC2882" s="1" t="s">
        <v>74</v>
      </c>
      <c r="BD2882" s="1">
        <v>156634</v>
      </c>
      <c r="BE2882" s="1" t="s">
        <v>45760</v>
      </c>
      <c r="BF2882" s="1" t="str">
        <f>HYPERLINK("http://dx.doi.org/10.1016/j.scitotenv.2022.156634","http://dx.doi.org/10.1016/j.scitotenv.2022.156634")</f>
        <v>http://dx.doi.org/10.1016/j.scitotenv.2022.156634</v>
      </c>
      <c r="BG2882" s="1" t="s">
        <v>74</v>
      </c>
      <c r="BH2882" s="1" t="s">
        <v>74</v>
      </c>
      <c r="BI2882" s="1">
        <v>10</v>
      </c>
      <c r="BJ2882" s="1" t="s">
        <v>144</v>
      </c>
      <c r="BK2882" s="1" t="s">
        <v>96</v>
      </c>
      <c r="BL2882" s="1" t="s">
        <v>145</v>
      </c>
      <c r="BM2882" s="1" t="s">
        <v>45761</v>
      </c>
      <c r="BN2882" s="1">
        <v>35710012</v>
      </c>
      <c r="BO2882" s="1" t="s">
        <v>74</v>
      </c>
      <c r="BP2882" s="1" t="s">
        <v>74</v>
      </c>
      <c r="BQ2882" s="1" t="s">
        <v>74</v>
      </c>
      <c r="BR2882" s="1" t="s">
        <v>98</v>
      </c>
      <c r="BS2882" s="1" t="s">
        <v>45762</v>
      </c>
      <c r="BT2882" s="1" t="str">
        <f>HYPERLINK("https%3A%2F%2Fwww.webofscience.com%2Fwos%2Fwoscc%2Ffull-record%2FWOS:000817017500013","View Full Record in Web of Science")</f>
        <v>View Full Record in Web of Science</v>
      </c>
      <c r="BU2882" s="1"/>
      <c r="BV2882" s="1"/>
    </row>
    <row r="2883" spans="1:74">
      <c r="A2883" s="1" t="s">
        <v>72</v>
      </c>
      <c r="B2883" s="1" t="s">
        <v>45763</v>
      </c>
      <c r="C2883" s="1" t="s">
        <v>74</v>
      </c>
      <c r="D2883" s="1" t="s">
        <v>74</v>
      </c>
      <c r="E2883" s="1" t="s">
        <v>74</v>
      </c>
      <c r="F2883" s="1" t="s">
        <v>45764</v>
      </c>
      <c r="G2883" s="1" t="s">
        <v>74</v>
      </c>
      <c r="H2883" s="1" t="s">
        <v>74</v>
      </c>
      <c r="I2883" s="1" t="s">
        <v>45765</v>
      </c>
      <c r="J2883" s="1" t="s">
        <v>232</v>
      </c>
      <c r="K2883" s="1" t="s">
        <v>74</v>
      </c>
      <c r="L2883" s="1" t="s">
        <v>74</v>
      </c>
      <c r="M2883" s="1" t="s">
        <v>78</v>
      </c>
      <c r="N2883" s="1" t="s">
        <v>79</v>
      </c>
      <c r="O2883" s="1" t="s">
        <v>74</v>
      </c>
      <c r="P2883" s="1" t="s">
        <v>74</v>
      </c>
      <c r="Q2883" s="1" t="s">
        <v>74</v>
      </c>
      <c r="R2883" s="1" t="s">
        <v>74</v>
      </c>
      <c r="S2883" s="1" t="s">
        <v>74</v>
      </c>
      <c r="T2883" s="1" t="s">
        <v>45766</v>
      </c>
      <c r="U2883" s="1" t="s">
        <v>45767</v>
      </c>
      <c r="V2883" s="1" t="s">
        <v>45768</v>
      </c>
      <c r="W2883" s="1" t="s">
        <v>45769</v>
      </c>
      <c r="X2883" s="1" t="s">
        <v>37222</v>
      </c>
      <c r="Y2883" s="1" t="s">
        <v>45770</v>
      </c>
      <c r="Z2883" s="1" t="s">
        <v>45771</v>
      </c>
      <c r="AA2883" s="1" t="s">
        <v>45772</v>
      </c>
      <c r="AB2883" s="1" t="s">
        <v>45773</v>
      </c>
      <c r="AC2883" s="1" t="s">
        <v>74</v>
      </c>
      <c r="AD2883" s="1" t="s">
        <v>74</v>
      </c>
      <c r="AE2883" s="1" t="s">
        <v>74</v>
      </c>
      <c r="AF2883" s="1" t="s">
        <v>74</v>
      </c>
      <c r="AG2883" s="1">
        <v>92</v>
      </c>
      <c r="AH2883" s="1">
        <v>28</v>
      </c>
      <c r="AI2883" s="1">
        <v>29</v>
      </c>
      <c r="AJ2883" s="1">
        <v>1</v>
      </c>
      <c r="AK2883" s="1">
        <v>28</v>
      </c>
      <c r="AL2883" s="1" t="s">
        <v>136</v>
      </c>
      <c r="AM2883" s="1" t="s">
        <v>137</v>
      </c>
      <c r="AN2883" s="1" t="s">
        <v>138</v>
      </c>
      <c r="AO2883" s="1" t="s">
        <v>240</v>
      </c>
      <c r="AP2883" s="1" t="s">
        <v>241</v>
      </c>
      <c r="AQ2883" s="1" t="s">
        <v>74</v>
      </c>
      <c r="AR2883" s="1" t="s">
        <v>242</v>
      </c>
      <c r="AS2883" s="1" t="s">
        <v>243</v>
      </c>
      <c r="AT2883" s="1" t="s">
        <v>951</v>
      </c>
      <c r="AU2883" s="1">
        <v>2011</v>
      </c>
      <c r="AV2883" s="1">
        <v>62</v>
      </c>
      <c r="AW2883" s="1">
        <v>11</v>
      </c>
      <c r="AX2883" s="1" t="s">
        <v>74</v>
      </c>
      <c r="AY2883" s="1" t="s">
        <v>74</v>
      </c>
      <c r="AZ2883" s="1" t="s">
        <v>74</v>
      </c>
      <c r="BA2883" s="1" t="s">
        <v>74</v>
      </c>
      <c r="BB2883" s="1">
        <v>2483</v>
      </c>
      <c r="BC2883" s="1">
        <v>2495</v>
      </c>
      <c r="BD2883" s="1" t="s">
        <v>74</v>
      </c>
      <c r="BE2883" s="1" t="s">
        <v>45774</v>
      </c>
      <c r="BF2883" s="1" t="str">
        <f>HYPERLINK("http://dx.doi.org/10.1016/j.marpolbul.2011.08.015","http://dx.doi.org/10.1016/j.marpolbul.2011.08.015")</f>
        <v>http://dx.doi.org/10.1016/j.marpolbul.2011.08.015</v>
      </c>
      <c r="BG2883" s="1" t="s">
        <v>74</v>
      </c>
      <c r="BH2883" s="1" t="s">
        <v>74</v>
      </c>
      <c r="BI2883" s="1">
        <v>13</v>
      </c>
      <c r="BJ2883" s="1" t="s">
        <v>247</v>
      </c>
      <c r="BK2883" s="1" t="s">
        <v>96</v>
      </c>
      <c r="BL2883" s="1" t="s">
        <v>248</v>
      </c>
      <c r="BM2883" s="1" t="s">
        <v>45775</v>
      </c>
      <c r="BN2883" s="1">
        <v>21920562</v>
      </c>
      <c r="BO2883" s="1" t="s">
        <v>74</v>
      </c>
      <c r="BP2883" s="1" t="s">
        <v>74</v>
      </c>
      <c r="BQ2883" s="1" t="s">
        <v>74</v>
      </c>
      <c r="BR2883" s="1" t="s">
        <v>98</v>
      </c>
      <c r="BS2883" s="1" t="s">
        <v>45776</v>
      </c>
      <c r="BT2883" s="1" t="str">
        <f>HYPERLINK("https%3A%2F%2Fwww.webofscience.com%2Fwos%2Fwoscc%2Ffull-record%2FWOS:000297393800038","View Full Record in Web of Science")</f>
        <v>View Full Record in Web of Science</v>
      </c>
      <c r="BU2883" s="1"/>
      <c r="BV2883" s="1"/>
    </row>
    <row r="2884" spans="1:74">
      <c r="A2884" s="1" t="s">
        <v>72</v>
      </c>
      <c r="B2884" s="1" t="s">
        <v>45777</v>
      </c>
      <c r="C2884" s="1" t="s">
        <v>74</v>
      </c>
      <c r="D2884" s="1" t="s">
        <v>74</v>
      </c>
      <c r="E2884" s="1" t="s">
        <v>74</v>
      </c>
      <c r="F2884" s="1" t="s">
        <v>45778</v>
      </c>
      <c r="G2884" s="1" t="s">
        <v>74</v>
      </c>
      <c r="H2884" s="1" t="s">
        <v>74</v>
      </c>
      <c r="I2884" s="1" t="s">
        <v>45779</v>
      </c>
      <c r="J2884" s="1" t="s">
        <v>958</v>
      </c>
      <c r="K2884" s="1" t="s">
        <v>74</v>
      </c>
      <c r="L2884" s="1" t="s">
        <v>74</v>
      </c>
      <c r="M2884" s="1" t="s">
        <v>78</v>
      </c>
      <c r="N2884" s="1" t="s">
        <v>79</v>
      </c>
      <c r="O2884" s="1" t="s">
        <v>74</v>
      </c>
      <c r="P2884" s="1" t="s">
        <v>74</v>
      </c>
      <c r="Q2884" s="1" t="s">
        <v>74</v>
      </c>
      <c r="R2884" s="1" t="s">
        <v>74</v>
      </c>
      <c r="S2884" s="1" t="s">
        <v>74</v>
      </c>
      <c r="T2884" s="1" t="s">
        <v>45780</v>
      </c>
      <c r="U2884" s="1" t="s">
        <v>45781</v>
      </c>
      <c r="V2884" s="1" t="s">
        <v>45782</v>
      </c>
      <c r="W2884" s="1" t="s">
        <v>45783</v>
      </c>
      <c r="X2884" s="1" t="s">
        <v>9166</v>
      </c>
      <c r="Y2884" s="1" t="s">
        <v>24685</v>
      </c>
      <c r="Z2884" s="1" t="s">
        <v>9288</v>
      </c>
      <c r="AA2884" s="1" t="s">
        <v>43225</v>
      </c>
      <c r="AB2884" s="1" t="s">
        <v>43226</v>
      </c>
      <c r="AC2884" s="1" t="s">
        <v>45784</v>
      </c>
      <c r="AD2884" s="1" t="s">
        <v>45785</v>
      </c>
      <c r="AE2884" s="1" t="s">
        <v>45786</v>
      </c>
      <c r="AF2884" s="1" t="s">
        <v>74</v>
      </c>
      <c r="AG2884" s="1">
        <v>85</v>
      </c>
      <c r="AH2884" s="1">
        <v>11</v>
      </c>
      <c r="AI2884" s="1">
        <v>14</v>
      </c>
      <c r="AJ2884" s="1">
        <v>1</v>
      </c>
      <c r="AK2884" s="1">
        <v>13</v>
      </c>
      <c r="AL2884" s="1" t="s">
        <v>86</v>
      </c>
      <c r="AM2884" s="1" t="s">
        <v>87</v>
      </c>
      <c r="AN2884" s="1" t="s">
        <v>88</v>
      </c>
      <c r="AO2884" s="1" t="s">
        <v>967</v>
      </c>
      <c r="AP2884" s="1" t="s">
        <v>968</v>
      </c>
      <c r="AQ2884" s="1" t="s">
        <v>74</v>
      </c>
      <c r="AR2884" s="1" t="s">
        <v>969</v>
      </c>
      <c r="AS2884" s="1" t="s">
        <v>970</v>
      </c>
      <c r="AT2884" s="1" t="s">
        <v>170</v>
      </c>
      <c r="AU2884" s="1">
        <v>2016</v>
      </c>
      <c r="AV2884" s="1">
        <v>31</v>
      </c>
      <c r="AW2884" s="1">
        <v>5</v>
      </c>
      <c r="AX2884" s="1" t="s">
        <v>74</v>
      </c>
      <c r="AY2884" s="1" t="s">
        <v>74</v>
      </c>
      <c r="AZ2884" s="1" t="s">
        <v>74</v>
      </c>
      <c r="BA2884" s="1" t="s">
        <v>74</v>
      </c>
      <c r="BB2884" s="1">
        <v>569</v>
      </c>
      <c r="BC2884" s="1">
        <v>583</v>
      </c>
      <c r="BD2884" s="1" t="s">
        <v>74</v>
      </c>
      <c r="BE2884" s="1" t="s">
        <v>45787</v>
      </c>
      <c r="BF2884" s="1" t="str">
        <f>HYPERLINK("http://dx.doi.org/10.1002/tox.22070","http://dx.doi.org/10.1002/tox.22070")</f>
        <v>http://dx.doi.org/10.1002/tox.22070</v>
      </c>
      <c r="BG2884" s="1" t="s">
        <v>74</v>
      </c>
      <c r="BH2884" s="1" t="s">
        <v>74</v>
      </c>
      <c r="BI2884" s="1">
        <v>15</v>
      </c>
      <c r="BJ2884" s="1" t="s">
        <v>972</v>
      </c>
      <c r="BK2884" s="1" t="s">
        <v>96</v>
      </c>
      <c r="BL2884" s="1" t="s">
        <v>973</v>
      </c>
      <c r="BM2884" s="1" t="s">
        <v>45788</v>
      </c>
      <c r="BN2884" s="1">
        <v>25410524</v>
      </c>
      <c r="BO2884" s="1" t="s">
        <v>74</v>
      </c>
      <c r="BP2884" s="1" t="s">
        <v>74</v>
      </c>
      <c r="BQ2884" s="1" t="s">
        <v>74</v>
      </c>
      <c r="BR2884" s="1" t="s">
        <v>98</v>
      </c>
      <c r="BS2884" s="1" t="s">
        <v>45789</v>
      </c>
      <c r="BT2884" s="1" t="str">
        <f>HYPERLINK("https%3A%2F%2Fwww.webofscience.com%2Fwos%2Fwoscc%2Ffull-record%2FWOS:000374332800007","View Full Record in Web of Science")</f>
        <v>View Full Record in Web of Science</v>
      </c>
      <c r="BU2884" s="1"/>
      <c r="BV2884" s="1"/>
    </row>
    <row r="2885" spans="1:74">
      <c r="A2885" s="1" t="s">
        <v>72</v>
      </c>
      <c r="B2885" s="1" t="s">
        <v>45790</v>
      </c>
      <c r="C2885" s="1" t="s">
        <v>74</v>
      </c>
      <c r="D2885" s="1" t="s">
        <v>74</v>
      </c>
      <c r="E2885" s="1" t="s">
        <v>74</v>
      </c>
      <c r="F2885" s="1" t="s">
        <v>45790</v>
      </c>
      <c r="G2885" s="1" t="s">
        <v>74</v>
      </c>
      <c r="H2885" s="1" t="s">
        <v>74</v>
      </c>
      <c r="I2885" s="1" t="s">
        <v>45791</v>
      </c>
      <c r="J2885" s="1" t="s">
        <v>7584</v>
      </c>
      <c r="K2885" s="1" t="s">
        <v>74</v>
      </c>
      <c r="L2885" s="1" t="s">
        <v>74</v>
      </c>
      <c r="M2885" s="1" t="s">
        <v>78</v>
      </c>
      <c r="N2885" s="1" t="s">
        <v>79</v>
      </c>
      <c r="O2885" s="1" t="s">
        <v>74</v>
      </c>
      <c r="P2885" s="1" t="s">
        <v>74</v>
      </c>
      <c r="Q2885" s="1" t="s">
        <v>74</v>
      </c>
      <c r="R2885" s="1" t="s">
        <v>74</v>
      </c>
      <c r="S2885" s="1" t="s">
        <v>74</v>
      </c>
      <c r="T2885" s="1" t="s">
        <v>45792</v>
      </c>
      <c r="U2885" s="1" t="s">
        <v>45793</v>
      </c>
      <c r="V2885" s="1" t="s">
        <v>45794</v>
      </c>
      <c r="W2885" s="1" t="s">
        <v>45795</v>
      </c>
      <c r="X2885" s="1" t="s">
        <v>10674</v>
      </c>
      <c r="Y2885" s="1" t="s">
        <v>45796</v>
      </c>
      <c r="Z2885" s="1" t="s">
        <v>45797</v>
      </c>
      <c r="AA2885" s="1" t="s">
        <v>45798</v>
      </c>
      <c r="AB2885" s="1" t="s">
        <v>45799</v>
      </c>
      <c r="AC2885" s="1" t="s">
        <v>74</v>
      </c>
      <c r="AD2885" s="1" t="s">
        <v>74</v>
      </c>
      <c r="AE2885" s="1" t="s">
        <v>74</v>
      </c>
      <c r="AF2885" s="1" t="s">
        <v>74</v>
      </c>
      <c r="AG2885" s="1">
        <v>32</v>
      </c>
      <c r="AH2885" s="1">
        <v>45</v>
      </c>
      <c r="AI2885" s="1">
        <v>48</v>
      </c>
      <c r="AJ2885" s="1">
        <v>0</v>
      </c>
      <c r="AK2885" s="1">
        <v>19</v>
      </c>
      <c r="AL2885" s="1" t="s">
        <v>136</v>
      </c>
      <c r="AM2885" s="1" t="s">
        <v>137</v>
      </c>
      <c r="AN2885" s="1" t="s">
        <v>138</v>
      </c>
      <c r="AO2885" s="1" t="s">
        <v>7589</v>
      </c>
      <c r="AP2885" s="1" t="s">
        <v>7590</v>
      </c>
      <c r="AQ2885" s="1" t="s">
        <v>74</v>
      </c>
      <c r="AR2885" s="1" t="s">
        <v>7591</v>
      </c>
      <c r="AS2885" s="1" t="s">
        <v>7592</v>
      </c>
      <c r="AT2885" s="1" t="s">
        <v>951</v>
      </c>
      <c r="AU2885" s="1">
        <v>2003</v>
      </c>
      <c r="AV2885" s="1">
        <v>37</v>
      </c>
      <c r="AW2885" s="1">
        <v>19</v>
      </c>
      <c r="AX2885" s="1" t="s">
        <v>74</v>
      </c>
      <c r="AY2885" s="1" t="s">
        <v>74</v>
      </c>
      <c r="AZ2885" s="1" t="s">
        <v>74</v>
      </c>
      <c r="BA2885" s="1" t="s">
        <v>74</v>
      </c>
      <c r="BB2885" s="1">
        <v>4613</v>
      </c>
      <c r="BC2885" s="1">
        <v>4622</v>
      </c>
      <c r="BD2885" s="1" t="s">
        <v>74</v>
      </c>
      <c r="BE2885" s="1" t="s">
        <v>45800</v>
      </c>
      <c r="BF2885" s="1" t="str">
        <f>HYPERLINK("http://dx.doi.org/10.1016/S0043-1354(03)00396-8","http://dx.doi.org/10.1016/S0043-1354(03)00396-8")</f>
        <v>http://dx.doi.org/10.1016/S0043-1354(03)00396-8</v>
      </c>
      <c r="BG2885" s="1" t="s">
        <v>74</v>
      </c>
      <c r="BH2885" s="1" t="s">
        <v>74</v>
      </c>
      <c r="BI2885" s="1">
        <v>10</v>
      </c>
      <c r="BJ2885" s="1" t="s">
        <v>587</v>
      </c>
      <c r="BK2885" s="1" t="s">
        <v>96</v>
      </c>
      <c r="BL2885" s="1" t="s">
        <v>589</v>
      </c>
      <c r="BM2885" s="1" t="s">
        <v>45801</v>
      </c>
      <c r="BN2885" s="1">
        <v>14568047</v>
      </c>
      <c r="BO2885" s="1" t="s">
        <v>74</v>
      </c>
      <c r="BP2885" s="1" t="s">
        <v>74</v>
      </c>
      <c r="BQ2885" s="1" t="s">
        <v>74</v>
      </c>
      <c r="BR2885" s="1" t="s">
        <v>98</v>
      </c>
      <c r="BS2885" s="1" t="s">
        <v>45802</v>
      </c>
      <c r="BT2885" s="1" t="str">
        <f>HYPERLINK("https%3A%2F%2Fwww.webofscience.com%2Fwos%2Fwoscc%2Ffull-record%2FWOS:000186247200008","View Full Record in Web of Science")</f>
        <v>View Full Record in Web of Science</v>
      </c>
      <c r="BU2885" s="1"/>
      <c r="BV2885" s="1"/>
    </row>
    <row r="2886" spans="1:74">
      <c r="A2886" s="1" t="s">
        <v>72</v>
      </c>
      <c r="B2886" s="1" t="s">
        <v>45803</v>
      </c>
      <c r="C2886" s="1" t="s">
        <v>74</v>
      </c>
      <c r="D2886" s="1" t="s">
        <v>74</v>
      </c>
      <c r="E2886" s="1" t="s">
        <v>74</v>
      </c>
      <c r="F2886" s="1" t="s">
        <v>45804</v>
      </c>
      <c r="G2886" s="1" t="s">
        <v>74</v>
      </c>
      <c r="H2886" s="1" t="s">
        <v>74</v>
      </c>
      <c r="I2886" s="1" t="s">
        <v>45805</v>
      </c>
      <c r="J2886" s="1" t="s">
        <v>232</v>
      </c>
      <c r="K2886" s="1" t="s">
        <v>74</v>
      </c>
      <c r="L2886" s="1" t="s">
        <v>74</v>
      </c>
      <c r="M2886" s="1" t="s">
        <v>78</v>
      </c>
      <c r="N2886" s="1" t="s">
        <v>79</v>
      </c>
      <c r="O2886" s="1" t="s">
        <v>74</v>
      </c>
      <c r="P2886" s="1" t="s">
        <v>74</v>
      </c>
      <c r="Q2886" s="1" t="s">
        <v>74</v>
      </c>
      <c r="R2886" s="1" t="s">
        <v>74</v>
      </c>
      <c r="S2886" s="1" t="s">
        <v>74</v>
      </c>
      <c r="T2886" s="1" t="s">
        <v>45806</v>
      </c>
      <c r="U2886" s="1" t="s">
        <v>45807</v>
      </c>
      <c r="V2886" s="1" t="s">
        <v>45808</v>
      </c>
      <c r="W2886" s="1" t="s">
        <v>45809</v>
      </c>
      <c r="X2886" s="1" t="s">
        <v>45810</v>
      </c>
      <c r="Y2886" s="1" t="s">
        <v>45811</v>
      </c>
      <c r="Z2886" s="1" t="s">
        <v>45812</v>
      </c>
      <c r="AA2886" s="1" t="s">
        <v>74</v>
      </c>
      <c r="AB2886" s="1" t="s">
        <v>45813</v>
      </c>
      <c r="AC2886" s="1" t="s">
        <v>45814</v>
      </c>
      <c r="AD2886" s="1" t="s">
        <v>2129</v>
      </c>
      <c r="AE2886" s="1" t="s">
        <v>45815</v>
      </c>
      <c r="AF2886" s="1" t="s">
        <v>74</v>
      </c>
      <c r="AG2886" s="1">
        <v>37</v>
      </c>
      <c r="AH2886" s="1">
        <v>22</v>
      </c>
      <c r="AI2886" s="1">
        <v>22</v>
      </c>
      <c r="AJ2886" s="1">
        <v>0</v>
      </c>
      <c r="AK2886" s="1">
        <v>28</v>
      </c>
      <c r="AL2886" s="1" t="s">
        <v>136</v>
      </c>
      <c r="AM2886" s="1" t="s">
        <v>137</v>
      </c>
      <c r="AN2886" s="1" t="s">
        <v>138</v>
      </c>
      <c r="AO2886" s="1" t="s">
        <v>240</v>
      </c>
      <c r="AP2886" s="1" t="s">
        <v>241</v>
      </c>
      <c r="AQ2886" s="1" t="s">
        <v>74</v>
      </c>
      <c r="AR2886" s="1" t="s">
        <v>242</v>
      </c>
      <c r="AS2886" s="1" t="s">
        <v>243</v>
      </c>
      <c r="AT2886" s="1" t="s">
        <v>1507</v>
      </c>
      <c r="AU2886" s="1">
        <v>2016</v>
      </c>
      <c r="AV2886" s="1">
        <v>105</v>
      </c>
      <c r="AW2886" s="1">
        <v>1</v>
      </c>
      <c r="AX2886" s="1" t="s">
        <v>74</v>
      </c>
      <c r="AY2886" s="1" t="s">
        <v>74</v>
      </c>
      <c r="AZ2886" s="1" t="s">
        <v>74</v>
      </c>
      <c r="BA2886" s="1" t="s">
        <v>74</v>
      </c>
      <c r="BB2886" s="1">
        <v>227</v>
      </c>
      <c r="BC2886" s="1">
        <v>236</v>
      </c>
      <c r="BD2886" s="1" t="s">
        <v>74</v>
      </c>
      <c r="BE2886" s="1" t="s">
        <v>45816</v>
      </c>
      <c r="BF2886" s="1" t="str">
        <f>HYPERLINK("http://dx.doi.org/10.1016/j.marpolbul.2016.02.026","http://dx.doi.org/10.1016/j.marpolbul.2016.02.026")</f>
        <v>http://dx.doi.org/10.1016/j.marpolbul.2016.02.026</v>
      </c>
      <c r="BG2886" s="1" t="s">
        <v>74</v>
      </c>
      <c r="BH2886" s="1" t="s">
        <v>74</v>
      </c>
      <c r="BI2886" s="1">
        <v>10</v>
      </c>
      <c r="BJ2886" s="1" t="s">
        <v>247</v>
      </c>
      <c r="BK2886" s="1" t="s">
        <v>96</v>
      </c>
      <c r="BL2886" s="1" t="s">
        <v>248</v>
      </c>
      <c r="BM2886" s="1" t="s">
        <v>1509</v>
      </c>
      <c r="BN2886" s="1">
        <v>26920425</v>
      </c>
      <c r="BO2886" s="1" t="s">
        <v>74</v>
      </c>
      <c r="BP2886" s="1" t="s">
        <v>74</v>
      </c>
      <c r="BQ2886" s="1" t="s">
        <v>74</v>
      </c>
      <c r="BR2886" s="1" t="s">
        <v>98</v>
      </c>
      <c r="BS2886" s="1" t="s">
        <v>45817</v>
      </c>
      <c r="BT2886" s="1" t="str">
        <f>HYPERLINK("https%3A%2F%2Fwww.webofscience.com%2Fwos%2Fwoscc%2Ffull-record%2FWOS:000375816000040","View Full Record in Web of Science")</f>
        <v>View Full Record in Web of Science</v>
      </c>
      <c r="BU2886" s="1"/>
      <c r="BV2886" s="1"/>
    </row>
    <row r="2887" spans="1:74">
      <c r="A2887" s="1" t="s">
        <v>72</v>
      </c>
      <c r="B2887" s="1" t="s">
        <v>45818</v>
      </c>
      <c r="C2887" s="1" t="s">
        <v>74</v>
      </c>
      <c r="D2887" s="1" t="s">
        <v>74</v>
      </c>
      <c r="E2887" s="1" t="s">
        <v>74</v>
      </c>
      <c r="F2887" s="1" t="s">
        <v>45819</v>
      </c>
      <c r="G2887" s="1" t="s">
        <v>74</v>
      </c>
      <c r="H2887" s="1" t="s">
        <v>74</v>
      </c>
      <c r="I2887" s="1" t="s">
        <v>45820</v>
      </c>
      <c r="J2887" s="1" t="s">
        <v>4747</v>
      </c>
      <c r="K2887" s="1" t="s">
        <v>74</v>
      </c>
      <c r="L2887" s="1" t="s">
        <v>74</v>
      </c>
      <c r="M2887" s="1" t="s">
        <v>78</v>
      </c>
      <c r="N2887" s="1" t="s">
        <v>79</v>
      </c>
      <c r="O2887" s="1" t="s">
        <v>74</v>
      </c>
      <c r="P2887" s="1" t="s">
        <v>74</v>
      </c>
      <c r="Q2887" s="1" t="s">
        <v>74</v>
      </c>
      <c r="R2887" s="1" t="s">
        <v>74</v>
      </c>
      <c r="S2887" s="1" t="s">
        <v>74</v>
      </c>
      <c r="T2887" s="1" t="s">
        <v>45821</v>
      </c>
      <c r="U2887" s="1" t="s">
        <v>45822</v>
      </c>
      <c r="V2887" s="1" t="s">
        <v>45823</v>
      </c>
      <c r="W2887" s="1" t="s">
        <v>45824</v>
      </c>
      <c r="X2887" s="1" t="s">
        <v>45825</v>
      </c>
      <c r="Y2887" s="1" t="s">
        <v>45826</v>
      </c>
      <c r="Z2887" s="1" t="s">
        <v>31135</v>
      </c>
      <c r="AA2887" s="1" t="s">
        <v>45827</v>
      </c>
      <c r="AB2887" s="1" t="s">
        <v>45828</v>
      </c>
      <c r="AC2887" s="1" t="s">
        <v>45829</v>
      </c>
      <c r="AD2887" s="1" t="s">
        <v>45830</v>
      </c>
      <c r="AE2887" s="1" t="s">
        <v>45831</v>
      </c>
      <c r="AF2887" s="1" t="s">
        <v>74</v>
      </c>
      <c r="AG2887" s="1">
        <v>104</v>
      </c>
      <c r="AH2887" s="1">
        <v>35</v>
      </c>
      <c r="AI2887" s="1">
        <v>35</v>
      </c>
      <c r="AJ2887" s="1">
        <v>11</v>
      </c>
      <c r="AK2887" s="1">
        <v>98</v>
      </c>
      <c r="AL2887" s="1" t="s">
        <v>650</v>
      </c>
      <c r="AM2887" s="1" t="s">
        <v>651</v>
      </c>
      <c r="AN2887" s="1" t="s">
        <v>652</v>
      </c>
      <c r="AO2887" s="1" t="s">
        <v>4758</v>
      </c>
      <c r="AP2887" s="1" t="s">
        <v>11139</v>
      </c>
      <c r="AQ2887" s="1" t="s">
        <v>74</v>
      </c>
      <c r="AR2887" s="1" t="s">
        <v>4759</v>
      </c>
      <c r="AS2887" s="1" t="s">
        <v>4760</v>
      </c>
      <c r="AT2887" s="1" t="s">
        <v>3871</v>
      </c>
      <c r="AU2887" s="1">
        <v>2022</v>
      </c>
      <c r="AV2887" s="1">
        <v>435</v>
      </c>
      <c r="AW2887" s="1" t="s">
        <v>74</v>
      </c>
      <c r="AX2887" s="1" t="s">
        <v>74</v>
      </c>
      <c r="AY2887" s="1" t="s">
        <v>74</v>
      </c>
      <c r="AZ2887" s="1" t="s">
        <v>74</v>
      </c>
      <c r="BA2887" s="1" t="s">
        <v>74</v>
      </c>
      <c r="BB2887" s="1" t="s">
        <v>74</v>
      </c>
      <c r="BC2887" s="1" t="s">
        <v>74</v>
      </c>
      <c r="BD2887" s="1">
        <v>128952</v>
      </c>
      <c r="BE2887" s="1" t="s">
        <v>45832</v>
      </c>
      <c r="BF2887" s="1" t="str">
        <f>HYPERLINK("http://dx.doi.org/10.1016/j.jhazmat.2022.128952","http://dx.doi.org/10.1016/j.jhazmat.2022.128952")</f>
        <v>http://dx.doi.org/10.1016/j.jhazmat.2022.128952</v>
      </c>
      <c r="BG2887" s="1" t="s">
        <v>74</v>
      </c>
      <c r="BH2887" s="1" t="s">
        <v>1291</v>
      </c>
      <c r="BI2887" s="1">
        <v>13</v>
      </c>
      <c r="BJ2887" s="1" t="s">
        <v>415</v>
      </c>
      <c r="BK2887" s="1" t="s">
        <v>96</v>
      </c>
      <c r="BL2887" s="1" t="s">
        <v>416</v>
      </c>
      <c r="BM2887" s="1" t="s">
        <v>45833</v>
      </c>
      <c r="BN2887" s="1">
        <v>35472537</v>
      </c>
      <c r="BO2887" s="1" t="s">
        <v>74</v>
      </c>
      <c r="BP2887" s="1" t="s">
        <v>74</v>
      </c>
      <c r="BQ2887" s="1" t="s">
        <v>74</v>
      </c>
      <c r="BR2887" s="1" t="s">
        <v>98</v>
      </c>
      <c r="BS2887" s="1" t="s">
        <v>45834</v>
      </c>
      <c r="BT2887" s="1" t="str">
        <f>HYPERLINK("https%3A%2F%2Fwww.webofscience.com%2Fwos%2Fwoscc%2Ffull-record%2FWOS:000798745400006","View Full Record in Web of Science")</f>
        <v>View Full Record in Web of Science</v>
      </c>
      <c r="BU2887" s="1"/>
      <c r="BV2887" s="1"/>
    </row>
    <row r="2888" spans="1:74">
      <c r="A2888" s="1" t="s">
        <v>72</v>
      </c>
      <c r="B2888" s="1" t="s">
        <v>45835</v>
      </c>
      <c r="C2888" s="1" t="s">
        <v>74</v>
      </c>
      <c r="D2888" s="1" t="s">
        <v>74</v>
      </c>
      <c r="E2888" s="1" t="s">
        <v>74</v>
      </c>
      <c r="F2888" s="1" t="s">
        <v>45836</v>
      </c>
      <c r="G2888" s="1" t="s">
        <v>74</v>
      </c>
      <c r="H2888" s="1" t="s">
        <v>74</v>
      </c>
      <c r="I2888" s="1" t="s">
        <v>45837</v>
      </c>
      <c r="J2888" s="1" t="s">
        <v>29160</v>
      </c>
      <c r="K2888" s="1" t="s">
        <v>74</v>
      </c>
      <c r="L2888" s="1" t="s">
        <v>74</v>
      </c>
      <c r="M2888" s="1" t="s">
        <v>78</v>
      </c>
      <c r="N2888" s="1" t="s">
        <v>79</v>
      </c>
      <c r="O2888" s="1" t="s">
        <v>74</v>
      </c>
      <c r="P2888" s="1" t="s">
        <v>74</v>
      </c>
      <c r="Q2888" s="1" t="s">
        <v>74</v>
      </c>
      <c r="R2888" s="1" t="s">
        <v>74</v>
      </c>
      <c r="S2888" s="1" t="s">
        <v>74</v>
      </c>
      <c r="T2888" s="1" t="s">
        <v>45838</v>
      </c>
      <c r="U2888" s="1" t="s">
        <v>45839</v>
      </c>
      <c r="V2888" s="1" t="s">
        <v>45840</v>
      </c>
      <c r="W2888" s="1" t="s">
        <v>45841</v>
      </c>
      <c r="X2888" s="1" t="s">
        <v>45842</v>
      </c>
      <c r="Y2888" s="1" t="s">
        <v>45843</v>
      </c>
      <c r="Z2888" s="1" t="s">
        <v>45844</v>
      </c>
      <c r="AA2888" s="1" t="s">
        <v>45845</v>
      </c>
      <c r="AB2888" s="1" t="s">
        <v>45846</v>
      </c>
      <c r="AC2888" s="1" t="s">
        <v>45847</v>
      </c>
      <c r="AD2888" s="1" t="s">
        <v>45848</v>
      </c>
      <c r="AE2888" s="1" t="s">
        <v>45849</v>
      </c>
      <c r="AF2888" s="1" t="s">
        <v>74</v>
      </c>
      <c r="AG2888" s="1">
        <v>56</v>
      </c>
      <c r="AH2888" s="1">
        <v>43</v>
      </c>
      <c r="AI2888" s="1">
        <v>44</v>
      </c>
      <c r="AJ2888" s="1">
        <v>9</v>
      </c>
      <c r="AK2888" s="1">
        <v>277</v>
      </c>
      <c r="AL2888" s="1" t="s">
        <v>3362</v>
      </c>
      <c r="AM2888" s="1" t="s">
        <v>3363</v>
      </c>
      <c r="AN2888" s="1" t="s">
        <v>3364</v>
      </c>
      <c r="AO2888" s="1" t="s">
        <v>29172</v>
      </c>
      <c r="AP2888" s="1" t="s">
        <v>29173</v>
      </c>
      <c r="AQ2888" s="1" t="s">
        <v>74</v>
      </c>
      <c r="AR2888" s="1" t="s">
        <v>29174</v>
      </c>
      <c r="AS2888" s="1" t="s">
        <v>29175</v>
      </c>
      <c r="AT2888" s="1" t="s">
        <v>546</v>
      </c>
      <c r="AU2888" s="1">
        <v>2020</v>
      </c>
      <c r="AV2888" s="1">
        <v>580</v>
      </c>
      <c r="AW2888" s="1" t="s">
        <v>74</v>
      </c>
      <c r="AX2888" s="1" t="s">
        <v>74</v>
      </c>
      <c r="AY2888" s="1" t="s">
        <v>74</v>
      </c>
      <c r="AZ2888" s="1" t="s">
        <v>74</v>
      </c>
      <c r="BA2888" s="1" t="s">
        <v>74</v>
      </c>
      <c r="BB2888" s="1">
        <v>211</v>
      </c>
      <c r="BC2888" s="1">
        <v>222</v>
      </c>
      <c r="BD2888" s="1" t="s">
        <v>74</v>
      </c>
      <c r="BE2888" s="1" t="s">
        <v>45850</v>
      </c>
      <c r="BF2888" s="1" t="str">
        <f>HYPERLINK("http://dx.doi.org/10.1016/j.jcis.2020.07.027","http://dx.doi.org/10.1016/j.jcis.2020.07.027")</f>
        <v>http://dx.doi.org/10.1016/j.jcis.2020.07.027</v>
      </c>
      <c r="BG2888" s="1" t="s">
        <v>74</v>
      </c>
      <c r="BH2888" s="1" t="s">
        <v>74</v>
      </c>
      <c r="BI2888" s="1">
        <v>12</v>
      </c>
      <c r="BJ2888" s="1" t="s">
        <v>29178</v>
      </c>
      <c r="BK2888" s="1" t="s">
        <v>96</v>
      </c>
      <c r="BL2888" s="1" t="s">
        <v>1197</v>
      </c>
      <c r="BM2888" s="1" t="s">
        <v>45851</v>
      </c>
      <c r="BN2888" s="1">
        <v>32683118</v>
      </c>
      <c r="BO2888" s="1" t="s">
        <v>74</v>
      </c>
      <c r="BP2888" s="1" t="s">
        <v>74</v>
      </c>
      <c r="BQ2888" s="1" t="s">
        <v>74</v>
      </c>
      <c r="BR2888" s="1" t="s">
        <v>98</v>
      </c>
      <c r="BS2888" s="1" t="s">
        <v>45852</v>
      </c>
      <c r="BT2888" s="1" t="str">
        <f>HYPERLINK("https%3A%2F%2Fwww.webofscience.com%2Fwos%2Fwoscc%2Ffull-record%2FWOS:000581780400019","View Full Record in Web of Science")</f>
        <v>View Full Record in Web of Science</v>
      </c>
      <c r="BU2888" s="1"/>
      <c r="BV2888" s="1"/>
    </row>
    <row r="2889" spans="1:74">
      <c r="A2889" s="1" t="s">
        <v>72</v>
      </c>
      <c r="B2889" s="1" t="s">
        <v>45853</v>
      </c>
      <c r="C2889" s="1" t="s">
        <v>74</v>
      </c>
      <c r="D2889" s="1" t="s">
        <v>74</v>
      </c>
      <c r="E2889" s="1" t="s">
        <v>74</v>
      </c>
      <c r="F2889" s="1" t="s">
        <v>45854</v>
      </c>
      <c r="G2889" s="1" t="s">
        <v>74</v>
      </c>
      <c r="H2889" s="1" t="s">
        <v>74</v>
      </c>
      <c r="I2889" s="1" t="s">
        <v>45855</v>
      </c>
      <c r="J2889" s="1" t="s">
        <v>641</v>
      </c>
      <c r="K2889" s="1" t="s">
        <v>74</v>
      </c>
      <c r="L2889" s="1" t="s">
        <v>74</v>
      </c>
      <c r="M2889" s="1" t="s">
        <v>78</v>
      </c>
      <c r="N2889" s="1" t="s">
        <v>79</v>
      </c>
      <c r="O2889" s="1" t="s">
        <v>74</v>
      </c>
      <c r="P2889" s="1" t="s">
        <v>74</v>
      </c>
      <c r="Q2889" s="1" t="s">
        <v>74</v>
      </c>
      <c r="R2889" s="1" t="s">
        <v>74</v>
      </c>
      <c r="S2889" s="1" t="s">
        <v>74</v>
      </c>
      <c r="T2889" s="1" t="s">
        <v>45856</v>
      </c>
      <c r="U2889" s="1" t="s">
        <v>45857</v>
      </c>
      <c r="V2889" s="1" t="s">
        <v>45858</v>
      </c>
      <c r="W2889" s="1" t="s">
        <v>45859</v>
      </c>
      <c r="X2889" s="1" t="s">
        <v>45860</v>
      </c>
      <c r="Y2889" s="1" t="s">
        <v>45861</v>
      </c>
      <c r="Z2889" s="1" t="s">
        <v>45862</v>
      </c>
      <c r="AA2889" s="1" t="s">
        <v>45863</v>
      </c>
      <c r="AB2889" s="1" t="s">
        <v>74</v>
      </c>
      <c r="AC2889" s="1" t="s">
        <v>45864</v>
      </c>
      <c r="AD2889" s="1" t="s">
        <v>45865</v>
      </c>
      <c r="AE2889" s="1" t="s">
        <v>45866</v>
      </c>
      <c r="AF2889" s="1" t="s">
        <v>74</v>
      </c>
      <c r="AG2889" s="1">
        <v>45</v>
      </c>
      <c r="AH2889" s="1">
        <v>8</v>
      </c>
      <c r="AI2889" s="1">
        <v>9</v>
      </c>
      <c r="AJ2889" s="1">
        <v>16</v>
      </c>
      <c r="AK2889" s="1">
        <v>55</v>
      </c>
      <c r="AL2889" s="1" t="s">
        <v>650</v>
      </c>
      <c r="AM2889" s="1" t="s">
        <v>651</v>
      </c>
      <c r="AN2889" s="1" t="s">
        <v>652</v>
      </c>
      <c r="AO2889" s="1" t="s">
        <v>653</v>
      </c>
      <c r="AP2889" s="1" t="s">
        <v>654</v>
      </c>
      <c r="AQ2889" s="1" t="s">
        <v>74</v>
      </c>
      <c r="AR2889" s="1" t="s">
        <v>655</v>
      </c>
      <c r="AS2889" s="1" t="s">
        <v>656</v>
      </c>
      <c r="AT2889" s="1" t="s">
        <v>1223</v>
      </c>
      <c r="AU2889" s="1">
        <v>2023</v>
      </c>
      <c r="AV2889" s="1">
        <v>256</v>
      </c>
      <c r="AW2889" s="1" t="s">
        <v>74</v>
      </c>
      <c r="AX2889" s="1" t="s">
        <v>74</v>
      </c>
      <c r="AY2889" s="1" t="s">
        <v>74</v>
      </c>
      <c r="AZ2889" s="1" t="s">
        <v>74</v>
      </c>
      <c r="BA2889" s="1" t="s">
        <v>74</v>
      </c>
      <c r="BB2889" s="1" t="s">
        <v>74</v>
      </c>
      <c r="BC2889" s="1" t="s">
        <v>74</v>
      </c>
      <c r="BD2889" s="1">
        <v>106430</v>
      </c>
      <c r="BE2889" s="1" t="s">
        <v>45867</v>
      </c>
      <c r="BF2889" s="1" t="str">
        <f>HYPERLINK("http://dx.doi.org/10.1016/j.aquatox.2023.106430","http://dx.doi.org/10.1016/j.aquatox.2023.106430")</f>
        <v>http://dx.doi.org/10.1016/j.aquatox.2023.106430</v>
      </c>
      <c r="BG2889" s="1" t="s">
        <v>74</v>
      </c>
      <c r="BH2889" s="1" t="s">
        <v>10846</v>
      </c>
      <c r="BI2889" s="1">
        <v>9</v>
      </c>
      <c r="BJ2889" s="1" t="s">
        <v>659</v>
      </c>
      <c r="BK2889" s="1" t="s">
        <v>96</v>
      </c>
      <c r="BL2889" s="1" t="s">
        <v>659</v>
      </c>
      <c r="BM2889" s="1" t="s">
        <v>45868</v>
      </c>
      <c r="BN2889" s="1">
        <v>36812700</v>
      </c>
      <c r="BO2889" s="1" t="s">
        <v>74</v>
      </c>
      <c r="BP2889" s="1" t="s">
        <v>74</v>
      </c>
      <c r="BQ2889" s="1" t="s">
        <v>74</v>
      </c>
      <c r="BR2889" s="1" t="s">
        <v>98</v>
      </c>
      <c r="BS2889" s="1" t="s">
        <v>45869</v>
      </c>
      <c r="BT2889" s="1" t="str">
        <f>HYPERLINK("https%3A%2F%2Fwww.webofscience.com%2Fwos%2Fwoscc%2Ffull-record%2FWOS:000944571300001","View Full Record in Web of Science")</f>
        <v>View Full Record in Web of Science</v>
      </c>
      <c r="BU2889" s="1"/>
      <c r="BV2889" s="1"/>
    </row>
    <row r="2890" spans="1:74">
      <c r="A2890" s="1" t="s">
        <v>72</v>
      </c>
      <c r="B2890" s="1" t="s">
        <v>45870</v>
      </c>
      <c r="C2890" s="1" t="s">
        <v>74</v>
      </c>
      <c r="D2890" s="1" t="s">
        <v>74</v>
      </c>
      <c r="E2890" s="1" t="s">
        <v>74</v>
      </c>
      <c r="F2890" s="1" t="s">
        <v>45871</v>
      </c>
      <c r="G2890" s="1" t="s">
        <v>74</v>
      </c>
      <c r="H2890" s="1" t="s">
        <v>74</v>
      </c>
      <c r="I2890" s="1" t="s">
        <v>45872</v>
      </c>
      <c r="J2890" s="1" t="s">
        <v>12106</v>
      </c>
      <c r="K2890" s="1" t="s">
        <v>74</v>
      </c>
      <c r="L2890" s="1" t="s">
        <v>74</v>
      </c>
      <c r="M2890" s="1" t="s">
        <v>78</v>
      </c>
      <c r="N2890" s="1" t="s">
        <v>79</v>
      </c>
      <c r="O2890" s="1" t="s">
        <v>74</v>
      </c>
      <c r="P2890" s="1" t="s">
        <v>74</v>
      </c>
      <c r="Q2890" s="1" t="s">
        <v>74</v>
      </c>
      <c r="R2890" s="1" t="s">
        <v>74</v>
      </c>
      <c r="S2890" s="1" t="s">
        <v>74</v>
      </c>
      <c r="T2890" s="1" t="s">
        <v>45873</v>
      </c>
      <c r="U2890" s="1" t="s">
        <v>45874</v>
      </c>
      <c r="V2890" s="1" t="s">
        <v>45875</v>
      </c>
      <c r="W2890" s="1" t="s">
        <v>45876</v>
      </c>
      <c r="X2890" s="1" t="s">
        <v>45877</v>
      </c>
      <c r="Y2890" s="1" t="s">
        <v>45878</v>
      </c>
      <c r="Z2890" s="1" t="s">
        <v>4556</v>
      </c>
      <c r="AA2890" s="1" t="s">
        <v>45879</v>
      </c>
      <c r="AB2890" s="1" t="s">
        <v>45880</v>
      </c>
      <c r="AC2890" s="1" t="s">
        <v>45881</v>
      </c>
      <c r="AD2890" s="1" t="s">
        <v>45882</v>
      </c>
      <c r="AE2890" s="1" t="s">
        <v>45883</v>
      </c>
      <c r="AF2890" s="1" t="s">
        <v>74</v>
      </c>
      <c r="AG2890" s="1">
        <v>95</v>
      </c>
      <c r="AH2890" s="1">
        <v>12</v>
      </c>
      <c r="AI2890" s="1">
        <v>13</v>
      </c>
      <c r="AJ2890" s="1">
        <v>0</v>
      </c>
      <c r="AK2890" s="1">
        <v>20</v>
      </c>
      <c r="AL2890" s="1" t="s">
        <v>4010</v>
      </c>
      <c r="AM2890" s="1" t="s">
        <v>1167</v>
      </c>
      <c r="AN2890" s="1" t="s">
        <v>1168</v>
      </c>
      <c r="AO2890" s="1" t="s">
        <v>12119</v>
      </c>
      <c r="AP2890" s="1" t="s">
        <v>12120</v>
      </c>
      <c r="AQ2890" s="1" t="s">
        <v>74</v>
      </c>
      <c r="AR2890" s="1" t="s">
        <v>12121</v>
      </c>
      <c r="AS2890" s="1" t="s">
        <v>12122</v>
      </c>
      <c r="AT2890" s="1" t="s">
        <v>224</v>
      </c>
      <c r="AU2890" s="1">
        <v>2020</v>
      </c>
      <c r="AV2890" s="1">
        <v>14</v>
      </c>
      <c r="AW2890" s="1">
        <v>1</v>
      </c>
      <c r="AX2890" s="1" t="s">
        <v>74</v>
      </c>
      <c r="AY2890" s="1" t="s">
        <v>74</v>
      </c>
      <c r="AZ2890" s="1" t="s">
        <v>74</v>
      </c>
      <c r="BA2890" s="1" t="s">
        <v>74</v>
      </c>
      <c r="BB2890" s="1">
        <v>15</v>
      </c>
      <c r="BC2890" s="1">
        <v>27</v>
      </c>
      <c r="BD2890" s="1" t="s">
        <v>74</v>
      </c>
      <c r="BE2890" s="1" t="s">
        <v>45884</v>
      </c>
      <c r="BF2890" s="1" t="str">
        <f>HYPERLINK("http://dx.doi.org/10.1007/s41742-019-00237-1","http://dx.doi.org/10.1007/s41742-019-00237-1")</f>
        <v>http://dx.doi.org/10.1007/s41742-019-00237-1</v>
      </c>
      <c r="BG2890" s="1" t="s">
        <v>74</v>
      </c>
      <c r="BH2890" s="1" t="s">
        <v>45885</v>
      </c>
      <c r="BI2890" s="1">
        <v>13</v>
      </c>
      <c r="BJ2890" s="1" t="s">
        <v>144</v>
      </c>
      <c r="BK2890" s="1" t="s">
        <v>96</v>
      </c>
      <c r="BL2890" s="1" t="s">
        <v>145</v>
      </c>
      <c r="BM2890" s="1" t="s">
        <v>45886</v>
      </c>
      <c r="BN2890" s="1" t="s">
        <v>74</v>
      </c>
      <c r="BO2890" s="1" t="s">
        <v>74</v>
      </c>
      <c r="BP2890" s="1" t="s">
        <v>74</v>
      </c>
      <c r="BQ2890" s="1" t="s">
        <v>74</v>
      </c>
      <c r="BR2890" s="1" t="s">
        <v>98</v>
      </c>
      <c r="BS2890" s="1" t="s">
        <v>45887</v>
      </c>
      <c r="BT2890" s="1" t="str">
        <f>HYPERLINK("https%3A%2F%2Fwww.webofscience.com%2Fwos%2Fwoscc%2Ffull-record%2FWOS:000492333200002","View Full Record in Web of Science")</f>
        <v>View Full Record in Web of Science</v>
      </c>
      <c r="BU2890" s="1"/>
      <c r="BV2890" s="1"/>
    </row>
    <row r="2891" spans="1:74">
      <c r="A2891" s="1" t="s">
        <v>72</v>
      </c>
      <c r="B2891" s="1" t="s">
        <v>45888</v>
      </c>
      <c r="C2891" s="1" t="s">
        <v>74</v>
      </c>
      <c r="D2891" s="1" t="s">
        <v>74</v>
      </c>
      <c r="E2891" s="1" t="s">
        <v>74</v>
      </c>
      <c r="F2891" s="1" t="s">
        <v>45888</v>
      </c>
      <c r="G2891" s="1" t="s">
        <v>74</v>
      </c>
      <c r="H2891" s="1" t="s">
        <v>74</v>
      </c>
      <c r="I2891" s="1" t="s">
        <v>45889</v>
      </c>
      <c r="J2891" s="1" t="s">
        <v>752</v>
      </c>
      <c r="K2891" s="1" t="s">
        <v>74</v>
      </c>
      <c r="L2891" s="1" t="s">
        <v>74</v>
      </c>
      <c r="M2891" s="1" t="s">
        <v>78</v>
      </c>
      <c r="N2891" s="1" t="s">
        <v>79</v>
      </c>
      <c r="O2891" s="1" t="s">
        <v>74</v>
      </c>
      <c r="P2891" s="1" t="s">
        <v>74</v>
      </c>
      <c r="Q2891" s="1" t="s">
        <v>74</v>
      </c>
      <c r="R2891" s="1" t="s">
        <v>74</v>
      </c>
      <c r="S2891" s="1" t="s">
        <v>74</v>
      </c>
      <c r="T2891" s="1" t="s">
        <v>74</v>
      </c>
      <c r="U2891" s="1" t="s">
        <v>45890</v>
      </c>
      <c r="V2891" s="1" t="s">
        <v>45891</v>
      </c>
      <c r="W2891" s="1" t="s">
        <v>74</v>
      </c>
      <c r="X2891" s="1" t="s">
        <v>74</v>
      </c>
      <c r="Y2891" s="1" t="s">
        <v>45892</v>
      </c>
      <c r="Z2891" s="1" t="s">
        <v>74</v>
      </c>
      <c r="AA2891" s="1" t="s">
        <v>74</v>
      </c>
      <c r="AB2891" s="1" t="s">
        <v>45893</v>
      </c>
      <c r="AC2891" s="1" t="s">
        <v>74</v>
      </c>
      <c r="AD2891" s="1" t="s">
        <v>74</v>
      </c>
      <c r="AE2891" s="1" t="s">
        <v>74</v>
      </c>
      <c r="AF2891" s="1" t="s">
        <v>74</v>
      </c>
      <c r="AG2891" s="1">
        <v>49</v>
      </c>
      <c r="AH2891" s="1">
        <v>22</v>
      </c>
      <c r="AI2891" s="1">
        <v>23</v>
      </c>
      <c r="AJ2891" s="1">
        <v>0</v>
      </c>
      <c r="AK2891" s="1">
        <v>4</v>
      </c>
      <c r="AL2891" s="1" t="s">
        <v>430</v>
      </c>
      <c r="AM2891" s="1" t="s">
        <v>137</v>
      </c>
      <c r="AN2891" s="1" t="s">
        <v>1600</v>
      </c>
      <c r="AO2891" s="1" t="s">
        <v>761</v>
      </c>
      <c r="AP2891" s="1" t="s">
        <v>74</v>
      </c>
      <c r="AQ2891" s="1" t="s">
        <v>74</v>
      </c>
      <c r="AR2891" s="1" t="s">
        <v>763</v>
      </c>
      <c r="AS2891" s="1" t="s">
        <v>764</v>
      </c>
      <c r="AT2891" s="1" t="s">
        <v>74</v>
      </c>
      <c r="AU2891" s="1">
        <v>1991</v>
      </c>
      <c r="AV2891" s="1">
        <v>31</v>
      </c>
      <c r="AW2891" s="1">
        <v>3</v>
      </c>
      <c r="AX2891" s="1" t="s">
        <v>74</v>
      </c>
      <c r="AY2891" s="1" t="s">
        <v>74</v>
      </c>
      <c r="AZ2891" s="1" t="s">
        <v>74</v>
      </c>
      <c r="BA2891" s="1" t="s">
        <v>74</v>
      </c>
      <c r="BB2891" s="1">
        <v>197</v>
      </c>
      <c r="BC2891" s="1">
        <v>214</v>
      </c>
      <c r="BD2891" s="1" t="s">
        <v>74</v>
      </c>
      <c r="BE2891" s="1" t="s">
        <v>45894</v>
      </c>
      <c r="BF2891" s="1" t="str">
        <f>HYPERLINK("http://dx.doi.org/10.1016/0141-1136(91)90011-V","http://dx.doi.org/10.1016/0141-1136(91)90011-V")</f>
        <v>http://dx.doi.org/10.1016/0141-1136(91)90011-V</v>
      </c>
      <c r="BG2891" s="1" t="s">
        <v>74</v>
      </c>
      <c r="BH2891" s="1" t="s">
        <v>74</v>
      </c>
      <c r="BI2891" s="1">
        <v>18</v>
      </c>
      <c r="BJ2891" s="1" t="s">
        <v>768</v>
      </c>
      <c r="BK2891" s="1" t="s">
        <v>96</v>
      </c>
      <c r="BL2891" s="1" t="s">
        <v>769</v>
      </c>
      <c r="BM2891" s="1" t="s">
        <v>45895</v>
      </c>
      <c r="BN2891" s="1" t="s">
        <v>74</v>
      </c>
      <c r="BO2891" s="1" t="s">
        <v>74</v>
      </c>
      <c r="BP2891" s="1" t="s">
        <v>74</v>
      </c>
      <c r="BQ2891" s="1" t="s">
        <v>74</v>
      </c>
      <c r="BR2891" s="1" t="s">
        <v>98</v>
      </c>
      <c r="BS2891" s="1" t="s">
        <v>45896</v>
      </c>
      <c r="BT2891" s="1" t="str">
        <f>HYPERLINK("https%3A%2F%2Fwww.webofscience.com%2Fwos%2Fwoscc%2Ffull-record%2FWOS:A1991GL08900003","View Full Record in Web of Science")</f>
        <v>View Full Record in Web of Science</v>
      </c>
      <c r="BU2891" s="1"/>
      <c r="BV2891" s="1"/>
    </row>
    <row r="2892" spans="1:74">
      <c r="A2892" s="1" t="s">
        <v>72</v>
      </c>
      <c r="B2892" s="1" t="s">
        <v>45897</v>
      </c>
      <c r="C2892" s="1" t="s">
        <v>74</v>
      </c>
      <c r="D2892" s="1" t="s">
        <v>74</v>
      </c>
      <c r="E2892" s="1" t="s">
        <v>74</v>
      </c>
      <c r="F2892" s="1" t="s">
        <v>45898</v>
      </c>
      <c r="G2892" s="1" t="s">
        <v>74</v>
      </c>
      <c r="H2892" s="1" t="s">
        <v>74</v>
      </c>
      <c r="I2892" s="1" t="s">
        <v>45899</v>
      </c>
      <c r="J2892" s="1" t="s">
        <v>11276</v>
      </c>
      <c r="K2892" s="1" t="s">
        <v>74</v>
      </c>
      <c r="L2892" s="1" t="s">
        <v>74</v>
      </c>
      <c r="M2892" s="1" t="s">
        <v>78</v>
      </c>
      <c r="N2892" s="1" t="s">
        <v>79</v>
      </c>
      <c r="O2892" s="1" t="s">
        <v>74</v>
      </c>
      <c r="P2892" s="1" t="s">
        <v>74</v>
      </c>
      <c r="Q2892" s="1" t="s">
        <v>74</v>
      </c>
      <c r="R2892" s="1" t="s">
        <v>74</v>
      </c>
      <c r="S2892" s="1" t="s">
        <v>74</v>
      </c>
      <c r="T2892" s="1" t="s">
        <v>45900</v>
      </c>
      <c r="U2892" s="1" t="s">
        <v>45901</v>
      </c>
      <c r="V2892" s="1" t="s">
        <v>45902</v>
      </c>
      <c r="W2892" s="1" t="s">
        <v>45903</v>
      </c>
      <c r="X2892" s="1" t="s">
        <v>45904</v>
      </c>
      <c r="Y2892" s="1" t="s">
        <v>45905</v>
      </c>
      <c r="Z2892" s="1" t="s">
        <v>45906</v>
      </c>
      <c r="AA2892" s="1" t="s">
        <v>45907</v>
      </c>
      <c r="AB2892" s="1" t="s">
        <v>45908</v>
      </c>
      <c r="AC2892" s="1" t="s">
        <v>45909</v>
      </c>
      <c r="AD2892" s="1" t="s">
        <v>45910</v>
      </c>
      <c r="AE2892" s="1" t="s">
        <v>45911</v>
      </c>
      <c r="AF2892" s="1" t="s">
        <v>74</v>
      </c>
      <c r="AG2892" s="1">
        <v>31</v>
      </c>
      <c r="AH2892" s="1">
        <v>7</v>
      </c>
      <c r="AI2892" s="1">
        <v>7</v>
      </c>
      <c r="AJ2892" s="1">
        <v>0</v>
      </c>
      <c r="AK2892" s="1">
        <v>10</v>
      </c>
      <c r="AL2892" s="1" t="s">
        <v>430</v>
      </c>
      <c r="AM2892" s="1" t="s">
        <v>137</v>
      </c>
      <c r="AN2892" s="1" t="s">
        <v>431</v>
      </c>
      <c r="AO2892" s="1" t="s">
        <v>11284</v>
      </c>
      <c r="AP2892" s="1" t="s">
        <v>25110</v>
      </c>
      <c r="AQ2892" s="1" t="s">
        <v>74</v>
      </c>
      <c r="AR2892" s="1" t="s">
        <v>11285</v>
      </c>
      <c r="AS2892" s="1" t="s">
        <v>11286</v>
      </c>
      <c r="AT2892" s="1" t="s">
        <v>224</v>
      </c>
      <c r="AU2892" s="1">
        <v>2021</v>
      </c>
      <c r="AV2892" s="1">
        <v>227</v>
      </c>
      <c r="AW2892" s="1" t="s">
        <v>74</v>
      </c>
      <c r="AX2892" s="1" t="s">
        <v>74</v>
      </c>
      <c r="AY2892" s="1" t="s">
        <v>74</v>
      </c>
      <c r="AZ2892" s="1" t="s">
        <v>74</v>
      </c>
      <c r="BA2892" s="1" t="s">
        <v>74</v>
      </c>
      <c r="BB2892" s="1" t="s">
        <v>74</v>
      </c>
      <c r="BC2892" s="1" t="s">
        <v>74</v>
      </c>
      <c r="BD2892" s="1">
        <v>106464</v>
      </c>
      <c r="BE2892" s="1" t="s">
        <v>45912</v>
      </c>
      <c r="BF2892" s="1" t="str">
        <f>HYPERLINK("http://dx.doi.org/10.1016/j.jenvrad.2020.106464","http://dx.doi.org/10.1016/j.jenvrad.2020.106464")</f>
        <v>http://dx.doi.org/10.1016/j.jenvrad.2020.106464</v>
      </c>
      <c r="BG2892" s="1" t="s">
        <v>74</v>
      </c>
      <c r="BH2892" s="1" t="s">
        <v>74</v>
      </c>
      <c r="BI2892" s="1">
        <v>10</v>
      </c>
      <c r="BJ2892" s="1" t="s">
        <v>144</v>
      </c>
      <c r="BK2892" s="1" t="s">
        <v>96</v>
      </c>
      <c r="BL2892" s="1" t="s">
        <v>145</v>
      </c>
      <c r="BM2892" s="1" t="s">
        <v>45913</v>
      </c>
      <c r="BN2892" s="1">
        <v>33232850</v>
      </c>
      <c r="BO2892" s="1" t="s">
        <v>74</v>
      </c>
      <c r="BP2892" s="1" t="s">
        <v>74</v>
      </c>
      <c r="BQ2892" s="1" t="s">
        <v>74</v>
      </c>
      <c r="BR2892" s="1" t="s">
        <v>98</v>
      </c>
      <c r="BS2892" s="1" t="s">
        <v>45914</v>
      </c>
      <c r="BT2892" s="1" t="str">
        <f>HYPERLINK("https%3A%2F%2Fwww.webofscience.com%2Fwos%2Fwoscc%2Ffull-record%2FWOS:000605483400005","View Full Record in Web of Science")</f>
        <v>View Full Record in Web of Science</v>
      </c>
      <c r="BU2892" s="1"/>
      <c r="BV2892" s="1"/>
    </row>
    <row r="2893" spans="1:74">
      <c r="A2893" s="1" t="s">
        <v>72</v>
      </c>
      <c r="B2893" s="1" t="s">
        <v>45915</v>
      </c>
      <c r="C2893" s="1" t="s">
        <v>74</v>
      </c>
      <c r="D2893" s="1" t="s">
        <v>74</v>
      </c>
      <c r="E2893" s="1" t="s">
        <v>74</v>
      </c>
      <c r="F2893" s="1" t="s">
        <v>45916</v>
      </c>
      <c r="G2893" s="1" t="s">
        <v>74</v>
      </c>
      <c r="H2893" s="1" t="s">
        <v>74</v>
      </c>
      <c r="I2893" s="1" t="s">
        <v>45917</v>
      </c>
      <c r="J2893" s="1" t="s">
        <v>421</v>
      </c>
      <c r="K2893" s="1" t="s">
        <v>74</v>
      </c>
      <c r="L2893" s="1" t="s">
        <v>74</v>
      </c>
      <c r="M2893" s="1" t="s">
        <v>78</v>
      </c>
      <c r="N2893" s="1" t="s">
        <v>79</v>
      </c>
      <c r="O2893" s="1" t="s">
        <v>74</v>
      </c>
      <c r="P2893" s="1" t="s">
        <v>74</v>
      </c>
      <c r="Q2893" s="1" t="s">
        <v>74</v>
      </c>
      <c r="R2893" s="1" t="s">
        <v>74</v>
      </c>
      <c r="S2893" s="1" t="s">
        <v>74</v>
      </c>
      <c r="T2893" s="1" t="s">
        <v>45918</v>
      </c>
      <c r="U2893" s="1" t="s">
        <v>74</v>
      </c>
      <c r="V2893" s="1" t="s">
        <v>45919</v>
      </c>
      <c r="W2893" s="1" t="s">
        <v>45920</v>
      </c>
      <c r="X2893" s="1" t="s">
        <v>45921</v>
      </c>
      <c r="Y2893" s="1" t="s">
        <v>45922</v>
      </c>
      <c r="Z2893" s="1" t="s">
        <v>9288</v>
      </c>
      <c r="AA2893" s="1" t="s">
        <v>45923</v>
      </c>
      <c r="AB2893" s="1" t="s">
        <v>45924</v>
      </c>
      <c r="AC2893" s="1" t="s">
        <v>45925</v>
      </c>
      <c r="AD2893" s="1" t="s">
        <v>45926</v>
      </c>
      <c r="AE2893" s="1" t="s">
        <v>45927</v>
      </c>
      <c r="AF2893" s="1" t="s">
        <v>74</v>
      </c>
      <c r="AG2893" s="1">
        <v>81</v>
      </c>
      <c r="AH2893" s="1">
        <v>22</v>
      </c>
      <c r="AI2893" s="1">
        <v>22</v>
      </c>
      <c r="AJ2893" s="1">
        <v>3</v>
      </c>
      <c r="AK2893" s="1">
        <v>16</v>
      </c>
      <c r="AL2893" s="1" t="s">
        <v>430</v>
      </c>
      <c r="AM2893" s="1" t="s">
        <v>137</v>
      </c>
      <c r="AN2893" s="1" t="s">
        <v>431</v>
      </c>
      <c r="AO2893" s="1" t="s">
        <v>432</v>
      </c>
      <c r="AP2893" s="1" t="s">
        <v>1394</v>
      </c>
      <c r="AQ2893" s="1" t="s">
        <v>74</v>
      </c>
      <c r="AR2893" s="1" t="s">
        <v>433</v>
      </c>
      <c r="AS2893" s="1" t="s">
        <v>434</v>
      </c>
      <c r="AT2893" s="1" t="s">
        <v>197</v>
      </c>
      <c r="AU2893" s="1">
        <v>2020</v>
      </c>
      <c r="AV2893" s="1">
        <v>267</v>
      </c>
      <c r="AW2893" s="1" t="s">
        <v>74</v>
      </c>
      <c r="AX2893" s="1" t="s">
        <v>74</v>
      </c>
      <c r="AY2893" s="1" t="s">
        <v>74</v>
      </c>
      <c r="AZ2893" s="1" t="s">
        <v>74</v>
      </c>
      <c r="BA2893" s="1" t="s">
        <v>74</v>
      </c>
      <c r="BB2893" s="1" t="s">
        <v>74</v>
      </c>
      <c r="BC2893" s="1" t="s">
        <v>74</v>
      </c>
      <c r="BD2893" s="1">
        <v>115458</v>
      </c>
      <c r="BE2893" s="1" t="s">
        <v>45928</v>
      </c>
      <c r="BF2893" s="1" t="str">
        <f>HYPERLINK("http://dx.doi.org/10.1016/j.envpol.2020.115458","http://dx.doi.org/10.1016/j.envpol.2020.115458")</f>
        <v>http://dx.doi.org/10.1016/j.envpol.2020.115458</v>
      </c>
      <c r="BG2893" s="1" t="s">
        <v>74</v>
      </c>
      <c r="BH2893" s="1" t="s">
        <v>74</v>
      </c>
      <c r="BI2893" s="1">
        <v>9</v>
      </c>
      <c r="BJ2893" s="1" t="s">
        <v>144</v>
      </c>
      <c r="BK2893" s="1" t="s">
        <v>96</v>
      </c>
      <c r="BL2893" s="1" t="s">
        <v>145</v>
      </c>
      <c r="BM2893" s="1" t="s">
        <v>45929</v>
      </c>
      <c r="BN2893" s="1">
        <v>33254618</v>
      </c>
      <c r="BO2893" s="1" t="s">
        <v>1752</v>
      </c>
      <c r="BP2893" s="1" t="s">
        <v>74</v>
      </c>
      <c r="BQ2893" s="1" t="s">
        <v>74</v>
      </c>
      <c r="BR2893" s="1" t="s">
        <v>98</v>
      </c>
      <c r="BS2893" s="1" t="s">
        <v>45930</v>
      </c>
      <c r="BT2893" s="1" t="str">
        <f>HYPERLINK("https%3A%2F%2Fwww.webofscience.com%2Fwos%2Fwoscc%2Ffull-record%2FWOS:000631909700031","View Full Record in Web of Science")</f>
        <v>View Full Record in Web of Science</v>
      </c>
      <c r="BU2893" s="1"/>
      <c r="BV2893" s="1"/>
    </row>
    <row r="2894" spans="1:74">
      <c r="A2894" s="1" t="s">
        <v>72</v>
      </c>
      <c r="B2894" s="1" t="s">
        <v>45931</v>
      </c>
      <c r="C2894" s="1" t="s">
        <v>74</v>
      </c>
      <c r="D2894" s="1" t="s">
        <v>74</v>
      </c>
      <c r="E2894" s="1" t="s">
        <v>74</v>
      </c>
      <c r="F2894" s="1" t="s">
        <v>45932</v>
      </c>
      <c r="G2894" s="1" t="s">
        <v>74</v>
      </c>
      <c r="H2894" s="1" t="s">
        <v>74</v>
      </c>
      <c r="I2894" s="1" t="s">
        <v>45933</v>
      </c>
      <c r="J2894" s="1" t="s">
        <v>4747</v>
      </c>
      <c r="K2894" s="1" t="s">
        <v>74</v>
      </c>
      <c r="L2894" s="1" t="s">
        <v>74</v>
      </c>
      <c r="M2894" s="1" t="s">
        <v>78</v>
      </c>
      <c r="N2894" s="1" t="s">
        <v>79</v>
      </c>
      <c r="O2894" s="1" t="s">
        <v>74</v>
      </c>
      <c r="P2894" s="1" t="s">
        <v>74</v>
      </c>
      <c r="Q2894" s="1" t="s">
        <v>74</v>
      </c>
      <c r="R2894" s="1" t="s">
        <v>74</v>
      </c>
      <c r="S2894" s="1" t="s">
        <v>74</v>
      </c>
      <c r="T2894" s="1" t="s">
        <v>45934</v>
      </c>
      <c r="U2894" s="1" t="s">
        <v>45935</v>
      </c>
      <c r="V2894" s="1" t="s">
        <v>45936</v>
      </c>
      <c r="W2894" s="1" t="s">
        <v>45937</v>
      </c>
      <c r="X2894" s="1" t="s">
        <v>45938</v>
      </c>
      <c r="Y2894" s="1" t="s">
        <v>45939</v>
      </c>
      <c r="Z2894" s="1" t="s">
        <v>45940</v>
      </c>
      <c r="AA2894" s="1" t="s">
        <v>45941</v>
      </c>
      <c r="AB2894" s="1" t="s">
        <v>45942</v>
      </c>
      <c r="AC2894" s="1" t="s">
        <v>45943</v>
      </c>
      <c r="AD2894" s="1" t="s">
        <v>45944</v>
      </c>
      <c r="AE2894" s="1" t="s">
        <v>45945</v>
      </c>
      <c r="AF2894" s="1" t="s">
        <v>74</v>
      </c>
      <c r="AG2894" s="1">
        <v>111</v>
      </c>
      <c r="AH2894" s="1">
        <v>15</v>
      </c>
      <c r="AI2894" s="1">
        <v>15</v>
      </c>
      <c r="AJ2894" s="1">
        <v>2</v>
      </c>
      <c r="AK2894" s="1">
        <v>38</v>
      </c>
      <c r="AL2894" s="1" t="s">
        <v>650</v>
      </c>
      <c r="AM2894" s="1" t="s">
        <v>651</v>
      </c>
      <c r="AN2894" s="1" t="s">
        <v>652</v>
      </c>
      <c r="AO2894" s="1" t="s">
        <v>4758</v>
      </c>
      <c r="AP2894" s="1" t="s">
        <v>11139</v>
      </c>
      <c r="AQ2894" s="1" t="s">
        <v>74</v>
      </c>
      <c r="AR2894" s="1" t="s">
        <v>4759</v>
      </c>
      <c r="AS2894" s="1" t="s">
        <v>4760</v>
      </c>
      <c r="AT2894" s="1" t="s">
        <v>12177</v>
      </c>
      <c r="AU2894" s="1">
        <v>2022</v>
      </c>
      <c r="AV2894" s="1">
        <v>437</v>
      </c>
      <c r="AW2894" s="1" t="s">
        <v>74</v>
      </c>
      <c r="AX2894" s="1" t="s">
        <v>74</v>
      </c>
      <c r="AY2894" s="1" t="s">
        <v>74</v>
      </c>
      <c r="AZ2894" s="1" t="s">
        <v>74</v>
      </c>
      <c r="BA2894" s="1" t="s">
        <v>74</v>
      </c>
      <c r="BB2894" s="1" t="s">
        <v>74</v>
      </c>
      <c r="BC2894" s="1" t="s">
        <v>74</v>
      </c>
      <c r="BD2894" s="1">
        <v>129351</v>
      </c>
      <c r="BE2894" s="1" t="s">
        <v>45946</v>
      </c>
      <c r="BF2894" s="1" t="str">
        <f>HYPERLINK("http://dx.doi.org/10.1016/j.jhazmat.2022.129351","http://dx.doi.org/10.1016/j.jhazmat.2022.129351")</f>
        <v>http://dx.doi.org/10.1016/j.jhazmat.2022.129351</v>
      </c>
      <c r="BG2894" s="1" t="s">
        <v>74</v>
      </c>
      <c r="BH2894" s="1" t="s">
        <v>74</v>
      </c>
      <c r="BI2894" s="1">
        <v>15</v>
      </c>
      <c r="BJ2894" s="1" t="s">
        <v>415</v>
      </c>
      <c r="BK2894" s="1" t="s">
        <v>96</v>
      </c>
      <c r="BL2894" s="1" t="s">
        <v>416</v>
      </c>
      <c r="BM2894" s="1" t="s">
        <v>45947</v>
      </c>
      <c r="BN2894" s="1">
        <v>35728319</v>
      </c>
      <c r="BO2894" s="1" t="s">
        <v>810</v>
      </c>
      <c r="BP2894" s="1" t="s">
        <v>74</v>
      </c>
      <c r="BQ2894" s="1" t="s">
        <v>74</v>
      </c>
      <c r="BR2894" s="1" t="s">
        <v>98</v>
      </c>
      <c r="BS2894" s="1" t="s">
        <v>45948</v>
      </c>
      <c r="BT2894" s="1" t="str">
        <f>HYPERLINK("https%3A%2F%2Fwww.webofscience.com%2Fwos%2Fwoscc%2Ffull-record%2FWOS:000816924500003","View Full Record in Web of Science")</f>
        <v>View Full Record in Web of Science</v>
      </c>
      <c r="BU2894" s="1"/>
      <c r="BV2894" s="1"/>
    </row>
    <row r="2895" spans="1:74">
      <c r="A2895" s="1" t="s">
        <v>72</v>
      </c>
      <c r="B2895" s="1" t="s">
        <v>45949</v>
      </c>
      <c r="C2895" s="1" t="s">
        <v>74</v>
      </c>
      <c r="D2895" s="1" t="s">
        <v>74</v>
      </c>
      <c r="E2895" s="1" t="s">
        <v>74</v>
      </c>
      <c r="F2895" s="1" t="s">
        <v>45950</v>
      </c>
      <c r="G2895" s="1" t="s">
        <v>74</v>
      </c>
      <c r="H2895" s="1" t="s">
        <v>74</v>
      </c>
      <c r="I2895" s="1" t="s">
        <v>45951</v>
      </c>
      <c r="J2895" s="1" t="s">
        <v>4747</v>
      </c>
      <c r="K2895" s="1" t="s">
        <v>74</v>
      </c>
      <c r="L2895" s="1" t="s">
        <v>74</v>
      </c>
      <c r="M2895" s="1" t="s">
        <v>78</v>
      </c>
      <c r="N2895" s="1" t="s">
        <v>79</v>
      </c>
      <c r="O2895" s="1" t="s">
        <v>74</v>
      </c>
      <c r="P2895" s="1" t="s">
        <v>74</v>
      </c>
      <c r="Q2895" s="1" t="s">
        <v>74</v>
      </c>
      <c r="R2895" s="1" t="s">
        <v>74</v>
      </c>
      <c r="S2895" s="1" t="s">
        <v>74</v>
      </c>
      <c r="T2895" s="1" t="s">
        <v>45952</v>
      </c>
      <c r="U2895" s="1" t="s">
        <v>45953</v>
      </c>
      <c r="V2895" s="1" t="s">
        <v>45954</v>
      </c>
      <c r="W2895" s="1" t="s">
        <v>45955</v>
      </c>
      <c r="X2895" s="1" t="s">
        <v>45956</v>
      </c>
      <c r="Y2895" s="1" t="s">
        <v>45957</v>
      </c>
      <c r="Z2895" s="1" t="s">
        <v>45958</v>
      </c>
      <c r="AA2895" s="1" t="s">
        <v>45959</v>
      </c>
      <c r="AB2895" s="1" t="s">
        <v>45960</v>
      </c>
      <c r="AC2895" s="1" t="s">
        <v>45961</v>
      </c>
      <c r="AD2895" s="1" t="s">
        <v>45962</v>
      </c>
      <c r="AE2895" s="1" t="s">
        <v>45963</v>
      </c>
      <c r="AF2895" s="1" t="s">
        <v>74</v>
      </c>
      <c r="AG2895" s="1">
        <v>69</v>
      </c>
      <c r="AH2895" s="1">
        <v>70</v>
      </c>
      <c r="AI2895" s="1">
        <v>71</v>
      </c>
      <c r="AJ2895" s="1">
        <v>17</v>
      </c>
      <c r="AK2895" s="1">
        <v>210</v>
      </c>
      <c r="AL2895" s="1" t="s">
        <v>650</v>
      </c>
      <c r="AM2895" s="1" t="s">
        <v>651</v>
      </c>
      <c r="AN2895" s="1" t="s">
        <v>652</v>
      </c>
      <c r="AO2895" s="1" t="s">
        <v>4758</v>
      </c>
      <c r="AP2895" s="1" t="s">
        <v>11139</v>
      </c>
      <c r="AQ2895" s="1" t="s">
        <v>74</v>
      </c>
      <c r="AR2895" s="1" t="s">
        <v>4759</v>
      </c>
      <c r="AS2895" s="1" t="s">
        <v>4760</v>
      </c>
      <c r="AT2895" s="1" t="s">
        <v>43149</v>
      </c>
      <c r="AU2895" s="1">
        <v>2020</v>
      </c>
      <c r="AV2895" s="1">
        <v>398</v>
      </c>
      <c r="AW2895" s="1" t="s">
        <v>74</v>
      </c>
      <c r="AX2895" s="1" t="s">
        <v>74</v>
      </c>
      <c r="AY2895" s="1" t="s">
        <v>74</v>
      </c>
      <c r="AZ2895" s="1" t="s">
        <v>74</v>
      </c>
      <c r="BA2895" s="1" t="s">
        <v>74</v>
      </c>
      <c r="BB2895" s="1" t="s">
        <v>74</v>
      </c>
      <c r="BC2895" s="1" t="s">
        <v>74</v>
      </c>
      <c r="BD2895" s="1">
        <v>122909</v>
      </c>
      <c r="BE2895" s="1" t="s">
        <v>45964</v>
      </c>
      <c r="BF2895" s="1" t="str">
        <f>HYPERLINK("http://dx.doi.org/10.1016/j.jhazmat.2020.122909","http://dx.doi.org/10.1016/j.jhazmat.2020.122909")</f>
        <v>http://dx.doi.org/10.1016/j.jhazmat.2020.122909</v>
      </c>
      <c r="BG2895" s="1" t="s">
        <v>74</v>
      </c>
      <c r="BH2895" s="1" t="s">
        <v>74</v>
      </c>
      <c r="BI2895" s="1">
        <v>9</v>
      </c>
      <c r="BJ2895" s="1" t="s">
        <v>415</v>
      </c>
      <c r="BK2895" s="1" t="s">
        <v>96</v>
      </c>
      <c r="BL2895" s="1" t="s">
        <v>416</v>
      </c>
      <c r="BM2895" s="1" t="s">
        <v>45965</v>
      </c>
      <c r="BN2895" s="1">
        <v>32460126</v>
      </c>
      <c r="BO2895" s="1" t="s">
        <v>74</v>
      </c>
      <c r="BP2895" s="1" t="s">
        <v>74</v>
      </c>
      <c r="BQ2895" s="1" t="s">
        <v>74</v>
      </c>
      <c r="BR2895" s="1" t="s">
        <v>98</v>
      </c>
      <c r="BS2895" s="1" t="s">
        <v>45966</v>
      </c>
      <c r="BT2895" s="1" t="str">
        <f>HYPERLINK("https%3A%2F%2Fwww.webofscience.com%2Fwos%2Fwoscc%2Ffull-record%2FWOS:000569088300003","View Full Record in Web of Science")</f>
        <v>View Full Record in Web of Science</v>
      </c>
      <c r="BU2895" s="1"/>
      <c r="BV2895" s="1"/>
    </row>
    <row r="2896" spans="1:74">
      <c r="A2896" s="1" t="s">
        <v>72</v>
      </c>
      <c r="B2896" s="1" t="s">
        <v>45967</v>
      </c>
      <c r="C2896" s="1" t="s">
        <v>74</v>
      </c>
      <c r="D2896" s="1" t="s">
        <v>74</v>
      </c>
      <c r="E2896" s="1" t="s">
        <v>74</v>
      </c>
      <c r="F2896" s="1" t="s">
        <v>45968</v>
      </c>
      <c r="G2896" s="1" t="s">
        <v>74</v>
      </c>
      <c r="H2896" s="1" t="s">
        <v>74</v>
      </c>
      <c r="I2896" s="1" t="s">
        <v>45969</v>
      </c>
      <c r="J2896" s="1" t="s">
        <v>204</v>
      </c>
      <c r="K2896" s="1" t="s">
        <v>74</v>
      </c>
      <c r="L2896" s="1" t="s">
        <v>74</v>
      </c>
      <c r="M2896" s="1" t="s">
        <v>78</v>
      </c>
      <c r="N2896" s="1" t="s">
        <v>79</v>
      </c>
      <c r="O2896" s="1" t="s">
        <v>74</v>
      </c>
      <c r="P2896" s="1" t="s">
        <v>74</v>
      </c>
      <c r="Q2896" s="1" t="s">
        <v>74</v>
      </c>
      <c r="R2896" s="1" t="s">
        <v>74</v>
      </c>
      <c r="S2896" s="1" t="s">
        <v>74</v>
      </c>
      <c r="T2896" s="1" t="s">
        <v>45970</v>
      </c>
      <c r="U2896" s="1" t="s">
        <v>45971</v>
      </c>
      <c r="V2896" s="1" t="s">
        <v>45972</v>
      </c>
      <c r="W2896" s="1" t="s">
        <v>45973</v>
      </c>
      <c r="X2896" s="1" t="s">
        <v>45974</v>
      </c>
      <c r="Y2896" s="1" t="s">
        <v>45975</v>
      </c>
      <c r="Z2896" s="1" t="s">
        <v>8840</v>
      </c>
      <c r="AA2896" s="1" t="s">
        <v>45976</v>
      </c>
      <c r="AB2896" s="1" t="s">
        <v>45977</v>
      </c>
      <c r="AC2896" s="1" t="s">
        <v>45978</v>
      </c>
      <c r="AD2896" s="1" t="s">
        <v>45979</v>
      </c>
      <c r="AE2896" s="1" t="s">
        <v>45980</v>
      </c>
      <c r="AF2896" s="1" t="s">
        <v>74</v>
      </c>
      <c r="AG2896" s="1">
        <v>87</v>
      </c>
      <c r="AH2896" s="1">
        <v>14</v>
      </c>
      <c r="AI2896" s="1">
        <v>16</v>
      </c>
      <c r="AJ2896" s="1">
        <v>0</v>
      </c>
      <c r="AK2896" s="1">
        <v>18</v>
      </c>
      <c r="AL2896" s="1" t="s">
        <v>217</v>
      </c>
      <c r="AM2896" s="1" t="s">
        <v>218</v>
      </c>
      <c r="AN2896" s="1" t="s">
        <v>219</v>
      </c>
      <c r="AO2896" s="1" t="s">
        <v>220</v>
      </c>
      <c r="AP2896" s="1" t="s">
        <v>221</v>
      </c>
      <c r="AQ2896" s="1" t="s">
        <v>74</v>
      </c>
      <c r="AR2896" s="1" t="s">
        <v>222</v>
      </c>
      <c r="AS2896" s="1" t="s">
        <v>223</v>
      </c>
      <c r="AT2896" s="1" t="s">
        <v>951</v>
      </c>
      <c r="AU2896" s="1">
        <v>2015</v>
      </c>
      <c r="AV2896" s="1">
        <v>22</v>
      </c>
      <c r="AW2896" s="1">
        <v>22</v>
      </c>
      <c r="AX2896" s="1" t="s">
        <v>74</v>
      </c>
      <c r="AY2896" s="1" t="s">
        <v>74</v>
      </c>
      <c r="AZ2896" s="1" t="s">
        <v>74</v>
      </c>
      <c r="BA2896" s="1" t="s">
        <v>74</v>
      </c>
      <c r="BB2896" s="1">
        <v>17267</v>
      </c>
      <c r="BC2896" s="1">
        <v>17279</v>
      </c>
      <c r="BD2896" s="1" t="s">
        <v>74</v>
      </c>
      <c r="BE2896" s="1" t="s">
        <v>45981</v>
      </c>
      <c r="BF2896" s="1" t="str">
        <f>HYPERLINK("http://dx.doi.org/10.1007/s11356-014-3821-8","http://dx.doi.org/10.1007/s11356-014-3821-8")</f>
        <v>http://dx.doi.org/10.1007/s11356-014-3821-8</v>
      </c>
      <c r="BG2896" s="1" t="s">
        <v>74</v>
      </c>
      <c r="BH2896" s="1" t="s">
        <v>74</v>
      </c>
      <c r="BI2896" s="1">
        <v>13</v>
      </c>
      <c r="BJ2896" s="1" t="s">
        <v>144</v>
      </c>
      <c r="BK2896" s="1" t="s">
        <v>96</v>
      </c>
      <c r="BL2896" s="1" t="s">
        <v>145</v>
      </c>
      <c r="BM2896" s="1" t="s">
        <v>7802</v>
      </c>
      <c r="BN2896" s="1">
        <v>25398216</v>
      </c>
      <c r="BO2896" s="1" t="s">
        <v>74</v>
      </c>
      <c r="BP2896" s="1" t="s">
        <v>74</v>
      </c>
      <c r="BQ2896" s="1" t="s">
        <v>74</v>
      </c>
      <c r="BR2896" s="1" t="s">
        <v>98</v>
      </c>
      <c r="BS2896" s="1" t="s">
        <v>45982</v>
      </c>
      <c r="BT2896" s="1" t="str">
        <f>HYPERLINK("https%3A%2F%2Fwww.webofscience.com%2Fwos%2Fwoscc%2Ffull-record%2FWOS:000365423100002","View Full Record in Web of Science")</f>
        <v>View Full Record in Web of Science</v>
      </c>
      <c r="BU2896" s="1"/>
      <c r="BV2896" s="1"/>
    </row>
    <row r="2897" spans="1:74">
      <c r="A2897" s="1" t="s">
        <v>72</v>
      </c>
      <c r="B2897" s="1" t="s">
        <v>45983</v>
      </c>
      <c r="C2897" s="1" t="s">
        <v>74</v>
      </c>
      <c r="D2897" s="1" t="s">
        <v>74</v>
      </c>
      <c r="E2897" s="1" t="s">
        <v>74</v>
      </c>
      <c r="F2897" s="1" t="s">
        <v>45984</v>
      </c>
      <c r="G2897" s="1" t="s">
        <v>74</v>
      </c>
      <c r="H2897" s="1" t="s">
        <v>74</v>
      </c>
      <c r="I2897" s="1" t="s">
        <v>45985</v>
      </c>
      <c r="J2897" s="1" t="s">
        <v>179</v>
      </c>
      <c r="K2897" s="1" t="s">
        <v>74</v>
      </c>
      <c r="L2897" s="1" t="s">
        <v>74</v>
      </c>
      <c r="M2897" s="1" t="s">
        <v>78</v>
      </c>
      <c r="N2897" s="1" t="s">
        <v>79</v>
      </c>
      <c r="O2897" s="1" t="s">
        <v>74</v>
      </c>
      <c r="P2897" s="1" t="s">
        <v>74</v>
      </c>
      <c r="Q2897" s="1" t="s">
        <v>74</v>
      </c>
      <c r="R2897" s="1" t="s">
        <v>74</v>
      </c>
      <c r="S2897" s="1" t="s">
        <v>74</v>
      </c>
      <c r="T2897" s="1" t="s">
        <v>45986</v>
      </c>
      <c r="U2897" s="1" t="s">
        <v>45987</v>
      </c>
      <c r="V2897" s="1" t="s">
        <v>45988</v>
      </c>
      <c r="W2897" s="1" t="s">
        <v>45989</v>
      </c>
      <c r="X2897" s="1" t="s">
        <v>45990</v>
      </c>
      <c r="Y2897" s="1" t="s">
        <v>45991</v>
      </c>
      <c r="Z2897" s="1" t="s">
        <v>45992</v>
      </c>
      <c r="AA2897" s="1" t="s">
        <v>74</v>
      </c>
      <c r="AB2897" s="1" t="s">
        <v>74</v>
      </c>
      <c r="AC2897" s="1" t="s">
        <v>45993</v>
      </c>
      <c r="AD2897" s="1" t="s">
        <v>45993</v>
      </c>
      <c r="AE2897" s="1" t="s">
        <v>12379</v>
      </c>
      <c r="AF2897" s="1" t="s">
        <v>74</v>
      </c>
      <c r="AG2897" s="1">
        <v>54</v>
      </c>
      <c r="AH2897" s="1">
        <v>0</v>
      </c>
      <c r="AI2897" s="1">
        <v>0</v>
      </c>
      <c r="AJ2897" s="1">
        <v>0</v>
      </c>
      <c r="AK2897" s="1">
        <v>0</v>
      </c>
      <c r="AL2897" s="1" t="s">
        <v>112</v>
      </c>
      <c r="AM2897" s="1" t="s">
        <v>191</v>
      </c>
      <c r="AN2897" s="1" t="s">
        <v>192</v>
      </c>
      <c r="AO2897" s="1" t="s">
        <v>193</v>
      </c>
      <c r="AP2897" s="1" t="s">
        <v>194</v>
      </c>
      <c r="AQ2897" s="1" t="s">
        <v>74</v>
      </c>
      <c r="AR2897" s="1" t="s">
        <v>195</v>
      </c>
      <c r="AS2897" s="1" t="s">
        <v>196</v>
      </c>
      <c r="AT2897" s="1" t="s">
        <v>305</v>
      </c>
      <c r="AU2897" s="1">
        <v>2024</v>
      </c>
      <c r="AV2897" s="1">
        <v>196</v>
      </c>
      <c r="AW2897" s="1">
        <v>9</v>
      </c>
      <c r="AX2897" s="1" t="s">
        <v>74</v>
      </c>
      <c r="AY2897" s="1" t="s">
        <v>74</v>
      </c>
      <c r="AZ2897" s="1" t="s">
        <v>74</v>
      </c>
      <c r="BA2897" s="1" t="s">
        <v>74</v>
      </c>
      <c r="BB2897" s="1" t="s">
        <v>74</v>
      </c>
      <c r="BC2897" s="1" t="s">
        <v>74</v>
      </c>
      <c r="BD2897" s="1">
        <v>835</v>
      </c>
      <c r="BE2897" s="1" t="s">
        <v>45994</v>
      </c>
      <c r="BF2897" s="1" t="str">
        <f>HYPERLINK("http://dx.doi.org/10.1007/s10661-024-12950-2","http://dx.doi.org/10.1007/s10661-024-12950-2")</f>
        <v>http://dx.doi.org/10.1007/s10661-024-12950-2</v>
      </c>
      <c r="BG2897" s="1" t="s">
        <v>74</v>
      </c>
      <c r="BH2897" s="1" t="s">
        <v>74</v>
      </c>
      <c r="BI2897" s="1">
        <v>19</v>
      </c>
      <c r="BJ2897" s="1" t="s">
        <v>144</v>
      </c>
      <c r="BK2897" s="1" t="s">
        <v>96</v>
      </c>
      <c r="BL2897" s="1" t="s">
        <v>145</v>
      </c>
      <c r="BM2897" s="1" t="s">
        <v>45995</v>
      </c>
      <c r="BN2897" s="1">
        <v>39179682</v>
      </c>
      <c r="BO2897" s="1" t="s">
        <v>476</v>
      </c>
      <c r="BP2897" s="1" t="s">
        <v>74</v>
      </c>
      <c r="BQ2897" s="1" t="s">
        <v>74</v>
      </c>
      <c r="BR2897" s="1" t="s">
        <v>98</v>
      </c>
      <c r="BS2897" s="1" t="s">
        <v>45996</v>
      </c>
      <c r="BT2897" s="1" t="str">
        <f>HYPERLINK("https%3A%2F%2Fwww.webofscience.com%2Fwos%2Fwoscc%2Ffull-record%2FWOS:001297135100001","View Full Record in Web of Science")</f>
        <v>View Full Record in Web of Science</v>
      </c>
      <c r="BU2897" s="1"/>
      <c r="BV2897" s="1"/>
    </row>
    <row r="2898" spans="1:74">
      <c r="A2898" s="1" t="s">
        <v>72</v>
      </c>
      <c r="B2898" s="1" t="s">
        <v>45997</v>
      </c>
      <c r="C2898" s="1" t="s">
        <v>74</v>
      </c>
      <c r="D2898" s="1" t="s">
        <v>74</v>
      </c>
      <c r="E2898" s="1" t="s">
        <v>74</v>
      </c>
      <c r="F2898" s="1" t="s">
        <v>45997</v>
      </c>
      <c r="G2898" s="1" t="s">
        <v>74</v>
      </c>
      <c r="H2898" s="1" t="s">
        <v>74</v>
      </c>
      <c r="I2898" s="1" t="s">
        <v>45998</v>
      </c>
      <c r="J2898" s="1" t="s">
        <v>1202</v>
      </c>
      <c r="K2898" s="1" t="s">
        <v>74</v>
      </c>
      <c r="L2898" s="1" t="s">
        <v>74</v>
      </c>
      <c r="M2898" s="1" t="s">
        <v>78</v>
      </c>
      <c r="N2898" s="1" t="s">
        <v>151</v>
      </c>
      <c r="O2898" s="1" t="s">
        <v>16730</v>
      </c>
      <c r="P2898" s="1" t="s">
        <v>16731</v>
      </c>
      <c r="Q2898" s="1" t="s">
        <v>3304</v>
      </c>
      <c r="R2898" s="1" t="s">
        <v>74</v>
      </c>
      <c r="S2898" s="1" t="s">
        <v>74</v>
      </c>
      <c r="T2898" s="1" t="s">
        <v>45999</v>
      </c>
      <c r="U2898" s="1" t="s">
        <v>46000</v>
      </c>
      <c r="V2898" s="1" t="s">
        <v>46001</v>
      </c>
      <c r="W2898" s="1" t="s">
        <v>3592</v>
      </c>
      <c r="X2898" s="1" t="s">
        <v>46002</v>
      </c>
      <c r="Y2898" s="1" t="s">
        <v>46003</v>
      </c>
      <c r="Z2898" s="1" t="s">
        <v>74</v>
      </c>
      <c r="AA2898" s="1" t="s">
        <v>74</v>
      </c>
      <c r="AB2898" s="1" t="s">
        <v>74</v>
      </c>
      <c r="AC2898" s="1" t="s">
        <v>74</v>
      </c>
      <c r="AD2898" s="1" t="s">
        <v>74</v>
      </c>
      <c r="AE2898" s="1" t="s">
        <v>74</v>
      </c>
      <c r="AF2898" s="1" t="s">
        <v>74</v>
      </c>
      <c r="AG2898" s="1">
        <v>82</v>
      </c>
      <c r="AH2898" s="1">
        <v>25</v>
      </c>
      <c r="AI2898" s="1">
        <v>25</v>
      </c>
      <c r="AJ2898" s="1">
        <v>0</v>
      </c>
      <c r="AK2898" s="1">
        <v>17</v>
      </c>
      <c r="AL2898" s="1" t="s">
        <v>716</v>
      </c>
      <c r="AM2898" s="1" t="s">
        <v>191</v>
      </c>
      <c r="AN2898" s="1" t="s">
        <v>717</v>
      </c>
      <c r="AO2898" s="1" t="s">
        <v>1207</v>
      </c>
      <c r="AP2898" s="1" t="s">
        <v>74</v>
      </c>
      <c r="AQ2898" s="1" t="s">
        <v>74</v>
      </c>
      <c r="AR2898" s="1" t="s">
        <v>1202</v>
      </c>
      <c r="AS2898" s="1" t="s">
        <v>1208</v>
      </c>
      <c r="AT2898" s="1" t="s">
        <v>224</v>
      </c>
      <c r="AU2898" s="1">
        <v>2000</v>
      </c>
      <c r="AV2898" s="1">
        <v>420</v>
      </c>
      <c r="AW2898" s="1" t="s">
        <v>74</v>
      </c>
      <c r="AX2898" s="1" t="s">
        <v>74</v>
      </c>
      <c r="AY2898" s="1" t="s">
        <v>74</v>
      </c>
      <c r="AZ2898" s="1" t="s">
        <v>74</v>
      </c>
      <c r="BA2898" s="1" t="s">
        <v>74</v>
      </c>
      <c r="BB2898" s="1">
        <v>29</v>
      </c>
      <c r="BC2898" s="1">
        <v>43</v>
      </c>
      <c r="BD2898" s="1" t="s">
        <v>74</v>
      </c>
      <c r="BE2898" s="1" t="s">
        <v>46004</v>
      </c>
      <c r="BF2898" s="1" t="str">
        <f>HYPERLINK("http://dx.doi.org/10.1023/A:1003921201153","http://dx.doi.org/10.1023/A:1003921201153")</f>
        <v>http://dx.doi.org/10.1023/A:1003921201153</v>
      </c>
      <c r="BG2898" s="1" t="s">
        <v>74</v>
      </c>
      <c r="BH2898" s="1" t="s">
        <v>74</v>
      </c>
      <c r="BI2898" s="1">
        <v>15</v>
      </c>
      <c r="BJ2898" s="1" t="s">
        <v>680</v>
      </c>
      <c r="BK2898" s="1" t="s">
        <v>588</v>
      </c>
      <c r="BL2898" s="1" t="s">
        <v>680</v>
      </c>
      <c r="BM2898" s="1" t="s">
        <v>16741</v>
      </c>
      <c r="BN2898" s="1" t="s">
        <v>74</v>
      </c>
      <c r="BO2898" s="1" t="s">
        <v>74</v>
      </c>
      <c r="BP2898" s="1" t="s">
        <v>74</v>
      </c>
      <c r="BQ2898" s="1" t="s">
        <v>74</v>
      </c>
      <c r="BR2898" s="1" t="s">
        <v>98</v>
      </c>
      <c r="BS2898" s="1" t="s">
        <v>46005</v>
      </c>
      <c r="BT2898" s="1" t="str">
        <f>HYPERLINK("https%3A%2F%2Fwww.webofscience.com%2Fwos%2Fwoscc%2Ffull-record%2FWOS:000086541700005","View Full Record in Web of Science")</f>
        <v>View Full Record in Web of Science</v>
      </c>
      <c r="BU2898" s="1"/>
      <c r="BV2898" s="1"/>
    </row>
    <row r="2899" spans="1:74">
      <c r="A2899" s="1" t="s">
        <v>72</v>
      </c>
      <c r="B2899" s="1" t="s">
        <v>46006</v>
      </c>
      <c r="C2899" s="1" t="s">
        <v>74</v>
      </c>
      <c r="D2899" s="1" t="s">
        <v>74</v>
      </c>
      <c r="E2899" s="1" t="s">
        <v>74</v>
      </c>
      <c r="F2899" s="1" t="s">
        <v>46007</v>
      </c>
      <c r="G2899" s="1" t="s">
        <v>74</v>
      </c>
      <c r="H2899" s="1" t="s">
        <v>74</v>
      </c>
      <c r="I2899" s="1" t="s">
        <v>46008</v>
      </c>
      <c r="J2899" s="1" t="s">
        <v>204</v>
      </c>
      <c r="K2899" s="1" t="s">
        <v>74</v>
      </c>
      <c r="L2899" s="1" t="s">
        <v>74</v>
      </c>
      <c r="M2899" s="1" t="s">
        <v>78</v>
      </c>
      <c r="N2899" s="1" t="s">
        <v>79</v>
      </c>
      <c r="O2899" s="1" t="s">
        <v>74</v>
      </c>
      <c r="P2899" s="1" t="s">
        <v>74</v>
      </c>
      <c r="Q2899" s="1" t="s">
        <v>74</v>
      </c>
      <c r="R2899" s="1" t="s">
        <v>74</v>
      </c>
      <c r="S2899" s="1" t="s">
        <v>74</v>
      </c>
      <c r="T2899" s="1" t="s">
        <v>46009</v>
      </c>
      <c r="U2899" s="1" t="s">
        <v>46010</v>
      </c>
      <c r="V2899" s="1" t="s">
        <v>46011</v>
      </c>
      <c r="W2899" s="1" t="s">
        <v>46012</v>
      </c>
      <c r="X2899" s="1" t="s">
        <v>7142</v>
      </c>
      <c r="Y2899" s="1" t="s">
        <v>46013</v>
      </c>
      <c r="Z2899" s="1" t="s">
        <v>46014</v>
      </c>
      <c r="AA2899" s="1" t="s">
        <v>46015</v>
      </c>
      <c r="AB2899" s="1" t="s">
        <v>34872</v>
      </c>
      <c r="AC2899" s="1" t="s">
        <v>46016</v>
      </c>
      <c r="AD2899" s="1" t="s">
        <v>46017</v>
      </c>
      <c r="AE2899" s="1" t="s">
        <v>46018</v>
      </c>
      <c r="AF2899" s="1" t="s">
        <v>74</v>
      </c>
      <c r="AG2899" s="1">
        <v>121</v>
      </c>
      <c r="AH2899" s="1">
        <v>7</v>
      </c>
      <c r="AI2899" s="1">
        <v>7</v>
      </c>
      <c r="AJ2899" s="1">
        <v>0</v>
      </c>
      <c r="AK2899" s="1">
        <v>10</v>
      </c>
      <c r="AL2899" s="1" t="s">
        <v>217</v>
      </c>
      <c r="AM2899" s="1" t="s">
        <v>218</v>
      </c>
      <c r="AN2899" s="1" t="s">
        <v>219</v>
      </c>
      <c r="AO2899" s="1" t="s">
        <v>220</v>
      </c>
      <c r="AP2899" s="1" t="s">
        <v>221</v>
      </c>
      <c r="AQ2899" s="1" t="s">
        <v>74</v>
      </c>
      <c r="AR2899" s="1" t="s">
        <v>222</v>
      </c>
      <c r="AS2899" s="1" t="s">
        <v>223</v>
      </c>
      <c r="AT2899" s="1" t="s">
        <v>119</v>
      </c>
      <c r="AU2899" s="1">
        <v>2022</v>
      </c>
      <c r="AV2899" s="1">
        <v>29</v>
      </c>
      <c r="AW2899" s="1">
        <v>40</v>
      </c>
      <c r="AX2899" s="1" t="s">
        <v>74</v>
      </c>
      <c r="AY2899" s="1" t="s">
        <v>74</v>
      </c>
      <c r="AZ2899" s="1" t="s">
        <v>74</v>
      </c>
      <c r="BA2899" s="1" t="s">
        <v>74</v>
      </c>
      <c r="BB2899" s="1">
        <v>61352</v>
      </c>
      <c r="BC2899" s="1">
        <v>61369</v>
      </c>
      <c r="BD2899" s="1" t="s">
        <v>74</v>
      </c>
      <c r="BE2899" s="1" t="s">
        <v>46019</v>
      </c>
      <c r="BF2899" s="1" t="str">
        <f>HYPERLINK("http://dx.doi.org/10.1007/s11356-022-20186-1","http://dx.doi.org/10.1007/s11356-022-20186-1")</f>
        <v>http://dx.doi.org/10.1007/s11356-022-20186-1</v>
      </c>
      <c r="BG2899" s="1" t="s">
        <v>74</v>
      </c>
      <c r="BH2899" s="1" t="s">
        <v>1291</v>
      </c>
      <c r="BI2899" s="1">
        <v>18</v>
      </c>
      <c r="BJ2899" s="1" t="s">
        <v>144</v>
      </c>
      <c r="BK2899" s="1" t="s">
        <v>96</v>
      </c>
      <c r="BL2899" s="1" t="s">
        <v>145</v>
      </c>
      <c r="BM2899" s="1" t="s">
        <v>46020</v>
      </c>
      <c r="BN2899" s="1">
        <v>35441295</v>
      </c>
      <c r="BO2899" s="1" t="s">
        <v>74</v>
      </c>
      <c r="BP2899" s="1" t="s">
        <v>74</v>
      </c>
      <c r="BQ2899" s="1" t="s">
        <v>74</v>
      </c>
      <c r="BR2899" s="1" t="s">
        <v>98</v>
      </c>
      <c r="BS2899" s="1" t="s">
        <v>46021</v>
      </c>
      <c r="BT2899" s="1" t="str">
        <f>HYPERLINK("https%3A%2F%2Fwww.webofscience.com%2Fwos%2Fwoscc%2Ffull-record%2FWOS:000784277800001","View Full Record in Web of Science")</f>
        <v>View Full Record in Web of Science</v>
      </c>
      <c r="BU2899" s="1"/>
      <c r="BV2899" s="1"/>
    </row>
    <row r="2900" spans="1:74">
      <c r="A2900" s="1" t="s">
        <v>72</v>
      </c>
      <c r="B2900" s="1" t="s">
        <v>46022</v>
      </c>
      <c r="C2900" s="1" t="s">
        <v>74</v>
      </c>
      <c r="D2900" s="1" t="s">
        <v>74</v>
      </c>
      <c r="E2900" s="1" t="s">
        <v>74</v>
      </c>
      <c r="F2900" s="1" t="s">
        <v>46023</v>
      </c>
      <c r="G2900" s="1" t="s">
        <v>74</v>
      </c>
      <c r="H2900" s="1" t="s">
        <v>74</v>
      </c>
      <c r="I2900" s="1" t="s">
        <v>46024</v>
      </c>
      <c r="J2900" s="1" t="s">
        <v>204</v>
      </c>
      <c r="K2900" s="1" t="s">
        <v>74</v>
      </c>
      <c r="L2900" s="1" t="s">
        <v>74</v>
      </c>
      <c r="M2900" s="1" t="s">
        <v>78</v>
      </c>
      <c r="N2900" s="1" t="s">
        <v>79</v>
      </c>
      <c r="O2900" s="1" t="s">
        <v>74</v>
      </c>
      <c r="P2900" s="1" t="s">
        <v>74</v>
      </c>
      <c r="Q2900" s="1" t="s">
        <v>74</v>
      </c>
      <c r="R2900" s="1" t="s">
        <v>74</v>
      </c>
      <c r="S2900" s="1" t="s">
        <v>74</v>
      </c>
      <c r="T2900" s="1" t="s">
        <v>46025</v>
      </c>
      <c r="U2900" s="1" t="s">
        <v>46026</v>
      </c>
      <c r="V2900" s="1" t="s">
        <v>46027</v>
      </c>
      <c r="W2900" s="1" t="s">
        <v>46028</v>
      </c>
      <c r="X2900" s="1" t="s">
        <v>46029</v>
      </c>
      <c r="Y2900" s="1" t="s">
        <v>46030</v>
      </c>
      <c r="Z2900" s="1" t="s">
        <v>46031</v>
      </c>
      <c r="AA2900" s="1" t="s">
        <v>46032</v>
      </c>
      <c r="AB2900" s="1" t="s">
        <v>46033</v>
      </c>
      <c r="AC2900" s="1" t="s">
        <v>46034</v>
      </c>
      <c r="AD2900" s="1" t="s">
        <v>46035</v>
      </c>
      <c r="AE2900" s="1" t="s">
        <v>46036</v>
      </c>
      <c r="AF2900" s="1" t="s">
        <v>74</v>
      </c>
      <c r="AG2900" s="1">
        <v>78</v>
      </c>
      <c r="AH2900" s="1">
        <v>27</v>
      </c>
      <c r="AI2900" s="1">
        <v>27</v>
      </c>
      <c r="AJ2900" s="1">
        <v>3</v>
      </c>
      <c r="AK2900" s="1">
        <v>80</v>
      </c>
      <c r="AL2900" s="1" t="s">
        <v>217</v>
      </c>
      <c r="AM2900" s="1" t="s">
        <v>218</v>
      </c>
      <c r="AN2900" s="1" t="s">
        <v>219</v>
      </c>
      <c r="AO2900" s="1" t="s">
        <v>220</v>
      </c>
      <c r="AP2900" s="1" t="s">
        <v>221</v>
      </c>
      <c r="AQ2900" s="1" t="s">
        <v>74</v>
      </c>
      <c r="AR2900" s="1" t="s">
        <v>222</v>
      </c>
      <c r="AS2900" s="1" t="s">
        <v>223</v>
      </c>
      <c r="AT2900" s="1" t="s">
        <v>765</v>
      </c>
      <c r="AU2900" s="1">
        <v>2016</v>
      </c>
      <c r="AV2900" s="1">
        <v>23</v>
      </c>
      <c r="AW2900" s="1">
        <v>13</v>
      </c>
      <c r="AX2900" s="1" t="s">
        <v>74</v>
      </c>
      <c r="AY2900" s="1" t="s">
        <v>74</v>
      </c>
      <c r="AZ2900" s="1" t="s">
        <v>74</v>
      </c>
      <c r="BA2900" s="1" t="s">
        <v>74</v>
      </c>
      <c r="BB2900" s="1">
        <v>12566</v>
      </c>
      <c r="BC2900" s="1">
        <v>12581</v>
      </c>
      <c r="BD2900" s="1" t="s">
        <v>74</v>
      </c>
      <c r="BE2900" s="1" t="s">
        <v>46037</v>
      </c>
      <c r="BF2900" s="1" t="str">
        <f>HYPERLINK("http://dx.doi.org/10.1007/s11356-015-4999-0","http://dx.doi.org/10.1007/s11356-015-4999-0")</f>
        <v>http://dx.doi.org/10.1007/s11356-015-4999-0</v>
      </c>
      <c r="BG2900" s="1" t="s">
        <v>74</v>
      </c>
      <c r="BH2900" s="1" t="s">
        <v>74</v>
      </c>
      <c r="BI2900" s="1">
        <v>16</v>
      </c>
      <c r="BJ2900" s="1" t="s">
        <v>144</v>
      </c>
      <c r="BK2900" s="1" t="s">
        <v>96</v>
      </c>
      <c r="BL2900" s="1" t="s">
        <v>145</v>
      </c>
      <c r="BM2900" s="1" t="s">
        <v>17732</v>
      </c>
      <c r="BN2900" s="1">
        <v>26154044</v>
      </c>
      <c r="BO2900" s="1" t="s">
        <v>74</v>
      </c>
      <c r="BP2900" s="1" t="s">
        <v>74</v>
      </c>
      <c r="BQ2900" s="1" t="s">
        <v>74</v>
      </c>
      <c r="BR2900" s="1" t="s">
        <v>98</v>
      </c>
      <c r="BS2900" s="1" t="s">
        <v>46038</v>
      </c>
      <c r="BT2900" s="1" t="str">
        <f>HYPERLINK("https%3A%2F%2Fwww.webofscience.com%2Fwos%2Fwoscc%2Ffull-record%2FWOS:000378817300007","View Full Record in Web of Science")</f>
        <v>View Full Record in Web of Science</v>
      </c>
      <c r="BU2900" s="1"/>
      <c r="BV2900" s="1"/>
    </row>
    <row r="2901" spans="1:74">
      <c r="A2901" s="1" t="s">
        <v>72</v>
      </c>
      <c r="B2901" s="1" t="s">
        <v>46039</v>
      </c>
      <c r="C2901" s="1" t="s">
        <v>74</v>
      </c>
      <c r="D2901" s="1" t="s">
        <v>74</v>
      </c>
      <c r="E2901" s="1" t="s">
        <v>74</v>
      </c>
      <c r="F2901" s="1" t="s">
        <v>46039</v>
      </c>
      <c r="G2901" s="1" t="s">
        <v>74</v>
      </c>
      <c r="H2901" s="1" t="s">
        <v>74</v>
      </c>
      <c r="I2901" s="1" t="s">
        <v>46040</v>
      </c>
      <c r="J2901" s="1" t="s">
        <v>46041</v>
      </c>
      <c r="K2901" s="1" t="s">
        <v>74</v>
      </c>
      <c r="L2901" s="1" t="s">
        <v>74</v>
      </c>
      <c r="M2901" s="1" t="s">
        <v>78</v>
      </c>
      <c r="N2901" s="1" t="s">
        <v>79</v>
      </c>
      <c r="O2901" s="1" t="s">
        <v>74</v>
      </c>
      <c r="P2901" s="1" t="s">
        <v>74</v>
      </c>
      <c r="Q2901" s="1" t="s">
        <v>74</v>
      </c>
      <c r="R2901" s="1" t="s">
        <v>74</v>
      </c>
      <c r="S2901" s="1" t="s">
        <v>74</v>
      </c>
      <c r="T2901" s="1" t="s">
        <v>74</v>
      </c>
      <c r="U2901" s="1" t="s">
        <v>46042</v>
      </c>
      <c r="V2901" s="1" t="s">
        <v>46043</v>
      </c>
      <c r="W2901" s="1" t="s">
        <v>46044</v>
      </c>
      <c r="X2901" s="1" t="s">
        <v>46045</v>
      </c>
      <c r="Y2901" s="1" t="s">
        <v>46046</v>
      </c>
      <c r="Z2901" s="1" t="s">
        <v>46047</v>
      </c>
      <c r="AA2901" s="1" t="s">
        <v>46048</v>
      </c>
      <c r="AB2901" s="1" t="s">
        <v>46049</v>
      </c>
      <c r="AC2901" s="1" t="s">
        <v>74</v>
      </c>
      <c r="AD2901" s="1" t="s">
        <v>74</v>
      </c>
      <c r="AE2901" s="1" t="s">
        <v>74</v>
      </c>
      <c r="AF2901" s="1" t="s">
        <v>74</v>
      </c>
      <c r="AG2901" s="1">
        <v>44</v>
      </c>
      <c r="AH2901" s="1">
        <v>175</v>
      </c>
      <c r="AI2901" s="1">
        <v>209</v>
      </c>
      <c r="AJ2901" s="1">
        <v>1</v>
      </c>
      <c r="AK2901" s="1">
        <v>31</v>
      </c>
      <c r="AL2901" s="1" t="s">
        <v>46050</v>
      </c>
      <c r="AM2901" s="1" t="s">
        <v>46051</v>
      </c>
      <c r="AN2901" s="1" t="s">
        <v>46052</v>
      </c>
      <c r="AO2901" s="1" t="s">
        <v>46053</v>
      </c>
      <c r="AP2901" s="1" t="s">
        <v>46054</v>
      </c>
      <c r="AQ2901" s="1" t="s">
        <v>74</v>
      </c>
      <c r="AR2901" s="1" t="s">
        <v>46055</v>
      </c>
      <c r="AS2901" s="1" t="s">
        <v>46056</v>
      </c>
      <c r="AT2901" s="1" t="s">
        <v>93</v>
      </c>
      <c r="AU2901" s="1">
        <v>2005</v>
      </c>
      <c r="AV2901" s="1">
        <v>62</v>
      </c>
      <c r="AW2901" s="1">
        <v>4</v>
      </c>
      <c r="AX2901" s="1" t="s">
        <v>74</v>
      </c>
      <c r="AY2901" s="1" t="s">
        <v>74</v>
      </c>
      <c r="AZ2901" s="1" t="s">
        <v>74</v>
      </c>
      <c r="BA2901" s="1" t="s">
        <v>74</v>
      </c>
      <c r="BB2901" s="1">
        <v>974</v>
      </c>
      <c r="BC2901" s="1">
        <v>992</v>
      </c>
      <c r="BD2901" s="1" t="s">
        <v>74</v>
      </c>
      <c r="BE2901" s="1" t="s">
        <v>46057</v>
      </c>
      <c r="BF2901" s="1" t="str">
        <f>HYPERLINK("http://dx.doi.org/10.1175/JAS3391.1","http://dx.doi.org/10.1175/JAS3391.1")</f>
        <v>http://dx.doi.org/10.1175/JAS3391.1</v>
      </c>
      <c r="BG2901" s="1" t="s">
        <v>74</v>
      </c>
      <c r="BH2901" s="1" t="s">
        <v>74</v>
      </c>
      <c r="BI2901" s="1">
        <v>19</v>
      </c>
      <c r="BJ2901" s="1" t="s">
        <v>46058</v>
      </c>
      <c r="BK2901" s="1" t="s">
        <v>96</v>
      </c>
      <c r="BL2901" s="1" t="s">
        <v>46058</v>
      </c>
      <c r="BM2901" s="1" t="s">
        <v>46059</v>
      </c>
      <c r="BN2901" s="1" t="s">
        <v>74</v>
      </c>
      <c r="BO2901" s="1" t="s">
        <v>2784</v>
      </c>
      <c r="BP2901" s="1" t="s">
        <v>74</v>
      </c>
      <c r="BQ2901" s="1" t="s">
        <v>74</v>
      </c>
      <c r="BR2901" s="1" t="s">
        <v>98</v>
      </c>
      <c r="BS2901" s="1" t="s">
        <v>46060</v>
      </c>
      <c r="BT2901" s="1" t="str">
        <f>HYPERLINK("https%3A%2F%2Fwww.webofscience.com%2Fwos%2Fwoscc%2Ffull-record%2FWOS:000228525000006","View Full Record in Web of Science")</f>
        <v>View Full Record in Web of Science</v>
      </c>
      <c r="BU2901" s="1"/>
      <c r="BV2901" s="1"/>
    </row>
    <row r="2902" spans="1:74">
      <c r="A2902" s="1" t="s">
        <v>72</v>
      </c>
      <c r="B2902" s="1" t="s">
        <v>46061</v>
      </c>
      <c r="C2902" s="1" t="s">
        <v>74</v>
      </c>
      <c r="D2902" s="1" t="s">
        <v>74</v>
      </c>
      <c r="E2902" s="1" t="s">
        <v>74</v>
      </c>
      <c r="F2902" s="1" t="s">
        <v>46062</v>
      </c>
      <c r="G2902" s="1" t="s">
        <v>74</v>
      </c>
      <c r="H2902" s="1" t="s">
        <v>74</v>
      </c>
      <c r="I2902" s="1" t="s">
        <v>46063</v>
      </c>
      <c r="J2902" s="1" t="s">
        <v>179</v>
      </c>
      <c r="K2902" s="1" t="s">
        <v>74</v>
      </c>
      <c r="L2902" s="1" t="s">
        <v>74</v>
      </c>
      <c r="M2902" s="1" t="s">
        <v>78</v>
      </c>
      <c r="N2902" s="1" t="s">
        <v>79</v>
      </c>
      <c r="O2902" s="1" t="s">
        <v>74</v>
      </c>
      <c r="P2902" s="1" t="s">
        <v>74</v>
      </c>
      <c r="Q2902" s="1" t="s">
        <v>74</v>
      </c>
      <c r="R2902" s="1" t="s">
        <v>74</v>
      </c>
      <c r="S2902" s="1" t="s">
        <v>74</v>
      </c>
      <c r="T2902" s="1" t="s">
        <v>46064</v>
      </c>
      <c r="U2902" s="1" t="s">
        <v>46065</v>
      </c>
      <c r="V2902" s="1" t="s">
        <v>46066</v>
      </c>
      <c r="W2902" s="1" t="s">
        <v>46067</v>
      </c>
      <c r="X2902" s="1" t="s">
        <v>46068</v>
      </c>
      <c r="Y2902" s="1" t="s">
        <v>46069</v>
      </c>
      <c r="Z2902" s="1" t="s">
        <v>46070</v>
      </c>
      <c r="AA2902" s="1" t="s">
        <v>74</v>
      </c>
      <c r="AB2902" s="1" t="s">
        <v>46071</v>
      </c>
      <c r="AC2902" s="1" t="s">
        <v>46072</v>
      </c>
      <c r="AD2902" s="1" t="s">
        <v>46072</v>
      </c>
      <c r="AE2902" s="1" t="s">
        <v>46073</v>
      </c>
      <c r="AF2902" s="1" t="s">
        <v>74</v>
      </c>
      <c r="AG2902" s="1">
        <v>42</v>
      </c>
      <c r="AH2902" s="1">
        <v>4</v>
      </c>
      <c r="AI2902" s="1">
        <v>4</v>
      </c>
      <c r="AJ2902" s="1">
        <v>0</v>
      </c>
      <c r="AK2902" s="1">
        <v>5</v>
      </c>
      <c r="AL2902" s="1" t="s">
        <v>112</v>
      </c>
      <c r="AM2902" s="1" t="s">
        <v>191</v>
      </c>
      <c r="AN2902" s="1" t="s">
        <v>192</v>
      </c>
      <c r="AO2902" s="1" t="s">
        <v>193</v>
      </c>
      <c r="AP2902" s="1" t="s">
        <v>194</v>
      </c>
      <c r="AQ2902" s="1" t="s">
        <v>74</v>
      </c>
      <c r="AR2902" s="1" t="s">
        <v>195</v>
      </c>
      <c r="AS2902" s="1" t="s">
        <v>196</v>
      </c>
      <c r="AT2902" s="1" t="s">
        <v>93</v>
      </c>
      <c r="AU2902" s="1">
        <v>2021</v>
      </c>
      <c r="AV2902" s="1">
        <v>193</v>
      </c>
      <c r="AW2902" s="1">
        <v>4</v>
      </c>
      <c r="AX2902" s="1" t="s">
        <v>74</v>
      </c>
      <c r="AY2902" s="1" t="s">
        <v>74</v>
      </c>
      <c r="AZ2902" s="1" t="s">
        <v>74</v>
      </c>
      <c r="BA2902" s="1" t="s">
        <v>74</v>
      </c>
      <c r="BB2902" s="1" t="s">
        <v>74</v>
      </c>
      <c r="BC2902" s="1" t="s">
        <v>74</v>
      </c>
      <c r="BD2902" s="1">
        <v>202</v>
      </c>
      <c r="BE2902" s="1" t="s">
        <v>46074</v>
      </c>
      <c r="BF2902" s="1" t="str">
        <f>HYPERLINK("http://dx.doi.org/10.1007/s10661-021-09008-y","http://dx.doi.org/10.1007/s10661-021-09008-y")</f>
        <v>http://dx.doi.org/10.1007/s10661-021-09008-y</v>
      </c>
      <c r="BG2902" s="1" t="s">
        <v>74</v>
      </c>
      <c r="BH2902" s="1" t="s">
        <v>74</v>
      </c>
      <c r="BI2902" s="1">
        <v>12</v>
      </c>
      <c r="BJ2902" s="1" t="s">
        <v>144</v>
      </c>
      <c r="BK2902" s="1" t="s">
        <v>96</v>
      </c>
      <c r="BL2902" s="1" t="s">
        <v>145</v>
      </c>
      <c r="BM2902" s="1" t="s">
        <v>46075</v>
      </c>
      <c r="BN2902" s="1">
        <v>33745015</v>
      </c>
      <c r="BO2902" s="1" t="s">
        <v>74</v>
      </c>
      <c r="BP2902" s="1" t="s">
        <v>74</v>
      </c>
      <c r="BQ2902" s="1" t="s">
        <v>74</v>
      </c>
      <c r="BR2902" s="1" t="s">
        <v>98</v>
      </c>
      <c r="BS2902" s="1" t="s">
        <v>46076</v>
      </c>
      <c r="BT2902" s="1" t="str">
        <f>HYPERLINK("https%3A%2F%2Fwww.webofscience.com%2Fwos%2Fwoscc%2Ffull-record%2FWOS:000630862500001","View Full Record in Web of Science")</f>
        <v>View Full Record in Web of Science</v>
      </c>
      <c r="BU2902" s="1"/>
      <c r="BV2902" s="1"/>
    </row>
    <row r="2903" spans="1:74">
      <c r="A2903" s="1" t="s">
        <v>72</v>
      </c>
      <c r="B2903" s="1" t="s">
        <v>46077</v>
      </c>
      <c r="C2903" s="1" t="s">
        <v>74</v>
      </c>
      <c r="D2903" s="1" t="s">
        <v>74</v>
      </c>
      <c r="E2903" s="1" t="s">
        <v>74</v>
      </c>
      <c r="F2903" s="1" t="s">
        <v>46078</v>
      </c>
      <c r="G2903" s="1" t="s">
        <v>74</v>
      </c>
      <c r="H2903" s="1" t="s">
        <v>74</v>
      </c>
      <c r="I2903" s="1" t="s">
        <v>46079</v>
      </c>
      <c r="J2903" s="1" t="s">
        <v>595</v>
      </c>
      <c r="K2903" s="1" t="s">
        <v>74</v>
      </c>
      <c r="L2903" s="1" t="s">
        <v>74</v>
      </c>
      <c r="M2903" s="1" t="s">
        <v>78</v>
      </c>
      <c r="N2903" s="1" t="s">
        <v>79</v>
      </c>
      <c r="O2903" s="1" t="s">
        <v>74</v>
      </c>
      <c r="P2903" s="1" t="s">
        <v>74</v>
      </c>
      <c r="Q2903" s="1" t="s">
        <v>74</v>
      </c>
      <c r="R2903" s="1" t="s">
        <v>74</v>
      </c>
      <c r="S2903" s="1" t="s">
        <v>74</v>
      </c>
      <c r="T2903" s="1" t="s">
        <v>46080</v>
      </c>
      <c r="U2903" s="1" t="s">
        <v>46081</v>
      </c>
      <c r="V2903" s="1" t="s">
        <v>46082</v>
      </c>
      <c r="W2903" s="1" t="s">
        <v>46083</v>
      </c>
      <c r="X2903" s="1" t="s">
        <v>46084</v>
      </c>
      <c r="Y2903" s="1" t="s">
        <v>46085</v>
      </c>
      <c r="Z2903" s="1" t="s">
        <v>46086</v>
      </c>
      <c r="AA2903" s="1" t="s">
        <v>74</v>
      </c>
      <c r="AB2903" s="1" t="s">
        <v>74</v>
      </c>
      <c r="AC2903" s="1" t="s">
        <v>46087</v>
      </c>
      <c r="AD2903" s="1" t="s">
        <v>46088</v>
      </c>
      <c r="AE2903" s="1" t="s">
        <v>46089</v>
      </c>
      <c r="AF2903" s="1" t="s">
        <v>74</v>
      </c>
      <c r="AG2903" s="1">
        <v>94</v>
      </c>
      <c r="AH2903" s="1">
        <v>2</v>
      </c>
      <c r="AI2903" s="1">
        <v>2</v>
      </c>
      <c r="AJ2903" s="1">
        <v>1</v>
      </c>
      <c r="AK2903" s="1">
        <v>6</v>
      </c>
      <c r="AL2903" s="1" t="s">
        <v>112</v>
      </c>
      <c r="AM2903" s="1" t="s">
        <v>191</v>
      </c>
      <c r="AN2903" s="1" t="s">
        <v>192</v>
      </c>
      <c r="AO2903" s="1" t="s">
        <v>608</v>
      </c>
      <c r="AP2903" s="1" t="s">
        <v>609</v>
      </c>
      <c r="AQ2903" s="1" t="s">
        <v>74</v>
      </c>
      <c r="AR2903" s="1" t="s">
        <v>595</v>
      </c>
      <c r="AS2903" s="1" t="s">
        <v>610</v>
      </c>
      <c r="AT2903" s="1" t="s">
        <v>170</v>
      </c>
      <c r="AU2903" s="1">
        <v>2023</v>
      </c>
      <c r="AV2903" s="1">
        <v>32</v>
      </c>
      <c r="AW2903" s="1">
        <v>4</v>
      </c>
      <c r="AX2903" s="1" t="s">
        <v>74</v>
      </c>
      <c r="AY2903" s="1" t="s">
        <v>74</v>
      </c>
      <c r="AZ2903" s="1" t="s">
        <v>74</v>
      </c>
      <c r="BA2903" s="1" t="s">
        <v>74</v>
      </c>
      <c r="BB2903" s="1">
        <v>451</v>
      </c>
      <c r="BC2903" s="1">
        <v>468</v>
      </c>
      <c r="BD2903" s="1" t="s">
        <v>74</v>
      </c>
      <c r="BE2903" s="1" t="s">
        <v>46090</v>
      </c>
      <c r="BF2903" s="1" t="str">
        <f>HYPERLINK("http://dx.doi.org/10.1007/s10646-023-02645-8","http://dx.doi.org/10.1007/s10646-023-02645-8")</f>
        <v>http://dx.doi.org/10.1007/s10646-023-02645-8</v>
      </c>
      <c r="BG2903" s="1" t="s">
        <v>74</v>
      </c>
      <c r="BH2903" s="1" t="s">
        <v>2540</v>
      </c>
      <c r="BI2903" s="1">
        <v>18</v>
      </c>
      <c r="BJ2903" s="1" t="s">
        <v>612</v>
      </c>
      <c r="BK2903" s="1" t="s">
        <v>96</v>
      </c>
      <c r="BL2903" s="1" t="s">
        <v>122</v>
      </c>
      <c r="BM2903" s="1" t="s">
        <v>2541</v>
      </c>
      <c r="BN2903" s="1">
        <v>37079163</v>
      </c>
      <c r="BO2903" s="1" t="s">
        <v>2744</v>
      </c>
      <c r="BP2903" s="1" t="s">
        <v>74</v>
      </c>
      <c r="BQ2903" s="1" t="s">
        <v>74</v>
      </c>
      <c r="BR2903" s="1" t="s">
        <v>98</v>
      </c>
      <c r="BS2903" s="1" t="s">
        <v>46091</v>
      </c>
      <c r="BT2903" s="1" t="str">
        <f>HYPERLINK("https%3A%2F%2Fwww.webofscience.com%2Fwos%2Fwoscc%2Ffull-record%2FWOS:000972774700001","View Full Record in Web of Science")</f>
        <v>View Full Record in Web of Science</v>
      </c>
      <c r="BU2903" s="1"/>
      <c r="BV2903" s="1"/>
    </row>
    <row r="2904" spans="1:74">
      <c r="A2904" s="1" t="s">
        <v>72</v>
      </c>
      <c r="B2904" s="1" t="s">
        <v>46092</v>
      </c>
      <c r="C2904" s="1" t="s">
        <v>74</v>
      </c>
      <c r="D2904" s="1" t="s">
        <v>74</v>
      </c>
      <c r="E2904" s="1" t="s">
        <v>74</v>
      </c>
      <c r="F2904" s="1" t="s">
        <v>46093</v>
      </c>
      <c r="G2904" s="1" t="s">
        <v>74</v>
      </c>
      <c r="H2904" s="1" t="s">
        <v>74</v>
      </c>
      <c r="I2904" s="1" t="s">
        <v>46094</v>
      </c>
      <c r="J2904" s="1" t="s">
        <v>1756</v>
      </c>
      <c r="K2904" s="1" t="s">
        <v>74</v>
      </c>
      <c r="L2904" s="1" t="s">
        <v>74</v>
      </c>
      <c r="M2904" s="1" t="s">
        <v>78</v>
      </c>
      <c r="N2904" s="1" t="s">
        <v>79</v>
      </c>
      <c r="O2904" s="1" t="s">
        <v>74</v>
      </c>
      <c r="P2904" s="1" t="s">
        <v>74</v>
      </c>
      <c r="Q2904" s="1" t="s">
        <v>74</v>
      </c>
      <c r="R2904" s="1" t="s">
        <v>74</v>
      </c>
      <c r="S2904" s="1" t="s">
        <v>74</v>
      </c>
      <c r="T2904" s="1" t="s">
        <v>46095</v>
      </c>
      <c r="U2904" s="1" t="s">
        <v>46096</v>
      </c>
      <c r="V2904" s="1" t="s">
        <v>46097</v>
      </c>
      <c r="W2904" s="1" t="s">
        <v>46098</v>
      </c>
      <c r="X2904" s="1" t="s">
        <v>46099</v>
      </c>
      <c r="Y2904" s="1" t="s">
        <v>46100</v>
      </c>
      <c r="Z2904" s="1" t="s">
        <v>8087</v>
      </c>
      <c r="AA2904" s="1" t="s">
        <v>74</v>
      </c>
      <c r="AB2904" s="1" t="s">
        <v>74</v>
      </c>
      <c r="AC2904" s="1" t="s">
        <v>74</v>
      </c>
      <c r="AD2904" s="1" t="s">
        <v>74</v>
      </c>
      <c r="AE2904" s="1" t="s">
        <v>74</v>
      </c>
      <c r="AF2904" s="1" t="s">
        <v>74</v>
      </c>
      <c r="AG2904" s="1">
        <v>32</v>
      </c>
      <c r="AH2904" s="1">
        <v>30</v>
      </c>
      <c r="AI2904" s="1">
        <v>35</v>
      </c>
      <c r="AJ2904" s="1">
        <v>1</v>
      </c>
      <c r="AK2904" s="1">
        <v>28</v>
      </c>
      <c r="AL2904" s="1" t="s">
        <v>28929</v>
      </c>
      <c r="AM2904" s="1" t="s">
        <v>24032</v>
      </c>
      <c r="AN2904" s="1" t="s">
        <v>28930</v>
      </c>
      <c r="AO2904" s="1" t="s">
        <v>1764</v>
      </c>
      <c r="AP2904" s="1" t="s">
        <v>74</v>
      </c>
      <c r="AQ2904" s="1" t="s">
        <v>74</v>
      </c>
      <c r="AR2904" s="1" t="s">
        <v>1766</v>
      </c>
      <c r="AS2904" s="1" t="s">
        <v>1767</v>
      </c>
      <c r="AT2904" s="1" t="s">
        <v>305</v>
      </c>
      <c r="AU2904" s="1">
        <v>2006</v>
      </c>
      <c r="AV2904" s="1">
        <v>25</v>
      </c>
      <c r="AW2904" s="1">
        <v>9</v>
      </c>
      <c r="AX2904" s="1" t="s">
        <v>74</v>
      </c>
      <c r="AY2904" s="1" t="s">
        <v>74</v>
      </c>
      <c r="AZ2904" s="1" t="s">
        <v>74</v>
      </c>
      <c r="BA2904" s="1" t="s">
        <v>74</v>
      </c>
      <c r="BB2904" s="1">
        <v>2512</v>
      </c>
      <c r="BC2904" s="1">
        <v>2518</v>
      </c>
      <c r="BD2904" s="1" t="s">
        <v>74</v>
      </c>
      <c r="BE2904" s="1" t="s">
        <v>46101</v>
      </c>
      <c r="BF2904" s="1" t="str">
        <f>HYPERLINK("http://dx.doi.org/10.1897/05-527R1.1","http://dx.doi.org/10.1897/05-527R1.1")</f>
        <v>http://dx.doi.org/10.1897/05-527R1.1</v>
      </c>
      <c r="BG2904" s="1" t="s">
        <v>74</v>
      </c>
      <c r="BH2904" s="1" t="s">
        <v>74</v>
      </c>
      <c r="BI2904" s="1">
        <v>7</v>
      </c>
      <c r="BJ2904" s="1" t="s">
        <v>121</v>
      </c>
      <c r="BK2904" s="1" t="s">
        <v>96</v>
      </c>
      <c r="BL2904" s="1" t="s">
        <v>122</v>
      </c>
      <c r="BM2904" s="1" t="s">
        <v>46102</v>
      </c>
      <c r="BN2904" s="1">
        <v>16986807</v>
      </c>
      <c r="BO2904" s="1" t="s">
        <v>74</v>
      </c>
      <c r="BP2904" s="1" t="s">
        <v>74</v>
      </c>
      <c r="BQ2904" s="1" t="s">
        <v>74</v>
      </c>
      <c r="BR2904" s="1" t="s">
        <v>98</v>
      </c>
      <c r="BS2904" s="1" t="s">
        <v>46103</v>
      </c>
      <c r="BT2904" s="1" t="str">
        <f>HYPERLINK("https%3A%2F%2Fwww.webofscience.com%2Fwos%2Fwoscc%2Ffull-record%2FWOS:000239912100030","View Full Record in Web of Science")</f>
        <v>View Full Record in Web of Science</v>
      </c>
      <c r="BU2904" s="1"/>
      <c r="BV2904" s="1"/>
    </row>
    <row r="2905" spans="1:74">
      <c r="A2905" s="1" t="s">
        <v>72</v>
      </c>
      <c r="B2905" s="1" t="s">
        <v>46104</v>
      </c>
      <c r="C2905" s="1" t="s">
        <v>74</v>
      </c>
      <c r="D2905" s="1" t="s">
        <v>74</v>
      </c>
      <c r="E2905" s="1" t="s">
        <v>74</v>
      </c>
      <c r="F2905" s="1" t="s">
        <v>46104</v>
      </c>
      <c r="G2905" s="1" t="s">
        <v>74</v>
      </c>
      <c r="H2905" s="1" t="s">
        <v>74</v>
      </c>
      <c r="I2905" s="1" t="s">
        <v>46105</v>
      </c>
      <c r="J2905" s="1" t="s">
        <v>1254</v>
      </c>
      <c r="K2905" s="1" t="s">
        <v>74</v>
      </c>
      <c r="L2905" s="1" t="s">
        <v>74</v>
      </c>
      <c r="M2905" s="1" t="s">
        <v>78</v>
      </c>
      <c r="N2905" s="1" t="s">
        <v>151</v>
      </c>
      <c r="O2905" s="1" t="s">
        <v>46106</v>
      </c>
      <c r="P2905" s="1" t="s">
        <v>46107</v>
      </c>
      <c r="Q2905" s="1" t="s">
        <v>46108</v>
      </c>
      <c r="R2905" s="1" t="s">
        <v>74</v>
      </c>
      <c r="S2905" s="1" t="s">
        <v>74</v>
      </c>
      <c r="T2905" s="1" t="s">
        <v>46109</v>
      </c>
      <c r="U2905" s="1" t="s">
        <v>46110</v>
      </c>
      <c r="V2905" s="1" t="s">
        <v>46111</v>
      </c>
      <c r="W2905" s="1" t="s">
        <v>46112</v>
      </c>
      <c r="X2905" s="1" t="s">
        <v>46113</v>
      </c>
      <c r="Y2905" s="1" t="s">
        <v>46114</v>
      </c>
      <c r="Z2905" s="1" t="s">
        <v>74</v>
      </c>
      <c r="AA2905" s="1" t="s">
        <v>46115</v>
      </c>
      <c r="AB2905" s="1" t="s">
        <v>46116</v>
      </c>
      <c r="AC2905" s="1" t="s">
        <v>74</v>
      </c>
      <c r="AD2905" s="1" t="s">
        <v>74</v>
      </c>
      <c r="AE2905" s="1" t="s">
        <v>74</v>
      </c>
      <c r="AF2905" s="1" t="s">
        <v>74</v>
      </c>
      <c r="AG2905" s="1">
        <v>20</v>
      </c>
      <c r="AH2905" s="1">
        <v>35</v>
      </c>
      <c r="AI2905" s="1">
        <v>38</v>
      </c>
      <c r="AJ2905" s="1">
        <v>3</v>
      </c>
      <c r="AK2905" s="1">
        <v>60</v>
      </c>
      <c r="AL2905" s="1" t="s">
        <v>136</v>
      </c>
      <c r="AM2905" s="1" t="s">
        <v>137</v>
      </c>
      <c r="AN2905" s="1" t="s">
        <v>138</v>
      </c>
      <c r="AO2905" s="1" t="s">
        <v>1264</v>
      </c>
      <c r="AP2905" s="1" t="s">
        <v>74</v>
      </c>
      <c r="AQ2905" s="1" t="s">
        <v>74</v>
      </c>
      <c r="AR2905" s="1" t="s">
        <v>1266</v>
      </c>
      <c r="AS2905" s="1" t="s">
        <v>1267</v>
      </c>
      <c r="AT2905" s="1" t="s">
        <v>142</v>
      </c>
      <c r="AU2905" s="1">
        <v>2003</v>
      </c>
      <c r="AV2905" s="1">
        <v>29</v>
      </c>
      <c r="AW2905" s="1" t="s">
        <v>1723</v>
      </c>
      <c r="AX2905" s="1" t="s">
        <v>74</v>
      </c>
      <c r="AY2905" s="1" t="s">
        <v>74</v>
      </c>
      <c r="AZ2905" s="1" t="s">
        <v>74</v>
      </c>
      <c r="BA2905" s="1" t="s">
        <v>74</v>
      </c>
      <c r="BB2905" s="1">
        <v>367</v>
      </c>
      <c r="BC2905" s="1">
        <v>376</v>
      </c>
      <c r="BD2905" s="1" t="s">
        <v>74</v>
      </c>
      <c r="BE2905" s="1" t="s">
        <v>46117</v>
      </c>
      <c r="BF2905" s="1" t="str">
        <f>HYPERLINK("http://dx.doi.org/10.1016/S0160-4120(02)00172-1","http://dx.doi.org/10.1016/S0160-4120(02)00172-1")</f>
        <v>http://dx.doi.org/10.1016/S0160-4120(02)00172-1</v>
      </c>
      <c r="BG2905" s="1" t="s">
        <v>74</v>
      </c>
      <c r="BH2905" s="1" t="s">
        <v>74</v>
      </c>
      <c r="BI2905" s="1">
        <v>10</v>
      </c>
      <c r="BJ2905" s="1" t="s">
        <v>144</v>
      </c>
      <c r="BK2905" s="1" t="s">
        <v>588</v>
      </c>
      <c r="BL2905" s="1" t="s">
        <v>145</v>
      </c>
      <c r="BM2905" s="1" t="s">
        <v>46118</v>
      </c>
      <c r="BN2905" s="1">
        <v>12676229</v>
      </c>
      <c r="BO2905" s="1" t="s">
        <v>74</v>
      </c>
      <c r="BP2905" s="1" t="s">
        <v>74</v>
      </c>
      <c r="BQ2905" s="1" t="s">
        <v>74</v>
      </c>
      <c r="BR2905" s="1" t="s">
        <v>98</v>
      </c>
      <c r="BS2905" s="1" t="s">
        <v>46119</v>
      </c>
      <c r="BT2905" s="1" t="str">
        <f>HYPERLINK("https%3A%2F%2Fwww.webofscience.com%2Fwos%2Fwoscc%2Ffull-record%2FWOS:000182461900031","View Full Record in Web of Science")</f>
        <v>View Full Record in Web of Science</v>
      </c>
      <c r="BU2905" s="1"/>
      <c r="BV2905" s="1"/>
    </row>
    <row r="2906" spans="1:74">
      <c r="A2906" s="1" t="s">
        <v>72</v>
      </c>
      <c r="B2906" s="1" t="s">
        <v>46120</v>
      </c>
      <c r="C2906" s="1" t="s">
        <v>74</v>
      </c>
      <c r="D2906" s="1" t="s">
        <v>74</v>
      </c>
      <c r="E2906" s="1" t="s">
        <v>74</v>
      </c>
      <c r="F2906" s="1" t="s">
        <v>46121</v>
      </c>
      <c r="G2906" s="1" t="s">
        <v>74</v>
      </c>
      <c r="H2906" s="1" t="s">
        <v>74</v>
      </c>
      <c r="I2906" s="1" t="s">
        <v>46122</v>
      </c>
      <c r="J2906" s="1" t="s">
        <v>46123</v>
      </c>
      <c r="K2906" s="1" t="s">
        <v>74</v>
      </c>
      <c r="L2906" s="1" t="s">
        <v>74</v>
      </c>
      <c r="M2906" s="1" t="s">
        <v>78</v>
      </c>
      <c r="N2906" s="1" t="s">
        <v>79</v>
      </c>
      <c r="O2906" s="1" t="s">
        <v>74</v>
      </c>
      <c r="P2906" s="1" t="s">
        <v>74</v>
      </c>
      <c r="Q2906" s="1" t="s">
        <v>74</v>
      </c>
      <c r="R2906" s="1" t="s">
        <v>74</v>
      </c>
      <c r="S2906" s="1" t="s">
        <v>74</v>
      </c>
      <c r="T2906" s="1" t="s">
        <v>46124</v>
      </c>
      <c r="U2906" s="1" t="s">
        <v>46125</v>
      </c>
      <c r="V2906" s="1" t="s">
        <v>46126</v>
      </c>
      <c r="W2906" s="1" t="s">
        <v>46127</v>
      </c>
      <c r="X2906" s="1" t="s">
        <v>26336</v>
      </c>
      <c r="Y2906" s="1" t="s">
        <v>46128</v>
      </c>
      <c r="Z2906" s="1" t="s">
        <v>6404</v>
      </c>
      <c r="AA2906" s="1" t="s">
        <v>46129</v>
      </c>
      <c r="AB2906" s="1" t="s">
        <v>74</v>
      </c>
      <c r="AC2906" s="1" t="s">
        <v>74</v>
      </c>
      <c r="AD2906" s="1" t="s">
        <v>74</v>
      </c>
      <c r="AE2906" s="1" t="s">
        <v>74</v>
      </c>
      <c r="AF2906" s="1" t="s">
        <v>74</v>
      </c>
      <c r="AG2906" s="1">
        <v>77</v>
      </c>
      <c r="AH2906" s="1">
        <v>11</v>
      </c>
      <c r="AI2906" s="1">
        <v>11</v>
      </c>
      <c r="AJ2906" s="1">
        <v>8</v>
      </c>
      <c r="AK2906" s="1">
        <v>54</v>
      </c>
      <c r="AL2906" s="1" t="s">
        <v>13224</v>
      </c>
      <c r="AM2906" s="1" t="s">
        <v>13225</v>
      </c>
      <c r="AN2906" s="1" t="s">
        <v>13226</v>
      </c>
      <c r="AO2906" s="1" t="s">
        <v>46130</v>
      </c>
      <c r="AP2906" s="1" t="s">
        <v>46131</v>
      </c>
      <c r="AQ2906" s="1" t="s">
        <v>74</v>
      </c>
      <c r="AR2906" s="1" t="s">
        <v>46132</v>
      </c>
      <c r="AS2906" s="1" t="s">
        <v>46133</v>
      </c>
      <c r="AT2906" s="1" t="s">
        <v>74</v>
      </c>
      <c r="AU2906" s="1">
        <v>2022</v>
      </c>
      <c r="AV2906" s="1">
        <v>46</v>
      </c>
      <c r="AW2906" s="1">
        <v>5</v>
      </c>
      <c r="AX2906" s="1" t="s">
        <v>74</v>
      </c>
      <c r="AY2906" s="1" t="s">
        <v>74</v>
      </c>
      <c r="AZ2906" s="1" t="s">
        <v>74</v>
      </c>
      <c r="BA2906" s="1" t="s">
        <v>74</v>
      </c>
      <c r="BB2906" s="1">
        <v>397</v>
      </c>
      <c r="BC2906" s="1">
        <v>408</v>
      </c>
      <c r="BD2906" s="1" t="s">
        <v>74</v>
      </c>
      <c r="BE2906" s="1" t="s">
        <v>46134</v>
      </c>
      <c r="BF2906" s="1" t="str">
        <f>HYPERLINK("http://dx.doi.org/10.55730/1300-0179.3093","http://dx.doi.org/10.55730/1300-0179.3093")</f>
        <v>http://dx.doi.org/10.55730/1300-0179.3093</v>
      </c>
      <c r="BG2906" s="1" t="s">
        <v>74</v>
      </c>
      <c r="BH2906" s="1" t="s">
        <v>74</v>
      </c>
      <c r="BI2906" s="1">
        <v>13</v>
      </c>
      <c r="BJ2906" s="1" t="s">
        <v>2210</v>
      </c>
      <c r="BK2906" s="1" t="s">
        <v>96</v>
      </c>
      <c r="BL2906" s="1" t="s">
        <v>2210</v>
      </c>
      <c r="BM2906" s="1" t="s">
        <v>46135</v>
      </c>
      <c r="BN2906" s="1" t="s">
        <v>74</v>
      </c>
      <c r="BO2906" s="1" t="s">
        <v>370</v>
      </c>
      <c r="BP2906" s="1" t="s">
        <v>74</v>
      </c>
      <c r="BQ2906" s="1" t="s">
        <v>74</v>
      </c>
      <c r="BR2906" s="1" t="s">
        <v>98</v>
      </c>
      <c r="BS2906" s="1" t="s">
        <v>46136</v>
      </c>
      <c r="BT2906" s="1" t="str">
        <f>HYPERLINK("https%3A%2F%2Fwww.webofscience.com%2Fwos%2Fwoscc%2Ffull-record%2FWOS:000858620600001","View Full Record in Web of Science")</f>
        <v>View Full Record in Web of Science</v>
      </c>
      <c r="BU2906" s="1"/>
      <c r="BV2906" s="1"/>
    </row>
    <row r="2907" spans="1:74">
      <c r="A2907" s="1" t="s">
        <v>72</v>
      </c>
      <c r="B2907" s="1" t="s">
        <v>46137</v>
      </c>
      <c r="C2907" s="1" t="s">
        <v>74</v>
      </c>
      <c r="D2907" s="1" t="s">
        <v>74</v>
      </c>
      <c r="E2907" s="1" t="s">
        <v>74</v>
      </c>
      <c r="F2907" s="1" t="s">
        <v>46138</v>
      </c>
      <c r="G2907" s="1" t="s">
        <v>74</v>
      </c>
      <c r="H2907" s="1" t="s">
        <v>74</v>
      </c>
      <c r="I2907" s="1" t="s">
        <v>46139</v>
      </c>
      <c r="J2907" s="1" t="s">
        <v>752</v>
      </c>
      <c r="K2907" s="1" t="s">
        <v>74</v>
      </c>
      <c r="L2907" s="1" t="s">
        <v>74</v>
      </c>
      <c r="M2907" s="1" t="s">
        <v>78</v>
      </c>
      <c r="N2907" s="1" t="s">
        <v>79</v>
      </c>
      <c r="O2907" s="1" t="s">
        <v>74</v>
      </c>
      <c r="P2907" s="1" t="s">
        <v>74</v>
      </c>
      <c r="Q2907" s="1" t="s">
        <v>74</v>
      </c>
      <c r="R2907" s="1" t="s">
        <v>74</v>
      </c>
      <c r="S2907" s="1" t="s">
        <v>74</v>
      </c>
      <c r="T2907" s="1" t="s">
        <v>46140</v>
      </c>
      <c r="U2907" s="1" t="s">
        <v>46141</v>
      </c>
      <c r="V2907" s="1" t="s">
        <v>46142</v>
      </c>
      <c r="W2907" s="1" t="s">
        <v>46143</v>
      </c>
      <c r="X2907" s="1" t="s">
        <v>46144</v>
      </c>
      <c r="Y2907" s="1" t="s">
        <v>46145</v>
      </c>
      <c r="Z2907" s="1" t="s">
        <v>34170</v>
      </c>
      <c r="AA2907" s="1" t="s">
        <v>46146</v>
      </c>
      <c r="AB2907" s="1" t="s">
        <v>46147</v>
      </c>
      <c r="AC2907" s="1" t="s">
        <v>46148</v>
      </c>
      <c r="AD2907" s="1" t="s">
        <v>46149</v>
      </c>
      <c r="AE2907" s="1" t="s">
        <v>46150</v>
      </c>
      <c r="AF2907" s="1" t="s">
        <v>74</v>
      </c>
      <c r="AG2907" s="1">
        <v>84</v>
      </c>
      <c r="AH2907" s="1">
        <v>7</v>
      </c>
      <c r="AI2907" s="1">
        <v>7</v>
      </c>
      <c r="AJ2907" s="1">
        <v>0</v>
      </c>
      <c r="AK2907" s="1">
        <v>9</v>
      </c>
      <c r="AL2907" s="1" t="s">
        <v>430</v>
      </c>
      <c r="AM2907" s="1" t="s">
        <v>137</v>
      </c>
      <c r="AN2907" s="1" t="s">
        <v>431</v>
      </c>
      <c r="AO2907" s="1" t="s">
        <v>761</v>
      </c>
      <c r="AP2907" s="1" t="s">
        <v>762</v>
      </c>
      <c r="AQ2907" s="1" t="s">
        <v>74</v>
      </c>
      <c r="AR2907" s="1" t="s">
        <v>763</v>
      </c>
      <c r="AS2907" s="1" t="s">
        <v>764</v>
      </c>
      <c r="AT2907" s="1" t="s">
        <v>765</v>
      </c>
      <c r="AU2907" s="1">
        <v>2020</v>
      </c>
      <c r="AV2907" s="1">
        <v>159</v>
      </c>
      <c r="AW2907" s="1" t="s">
        <v>74</v>
      </c>
      <c r="AX2907" s="1" t="s">
        <v>74</v>
      </c>
      <c r="AY2907" s="1" t="s">
        <v>74</v>
      </c>
      <c r="AZ2907" s="1" t="s">
        <v>74</v>
      </c>
      <c r="BA2907" s="1" t="s">
        <v>74</v>
      </c>
      <c r="BB2907" s="1" t="s">
        <v>74</v>
      </c>
      <c r="BC2907" s="1" t="s">
        <v>74</v>
      </c>
      <c r="BD2907" s="1">
        <v>105000</v>
      </c>
      <c r="BE2907" s="1" t="s">
        <v>46151</v>
      </c>
      <c r="BF2907" s="1" t="str">
        <f>HYPERLINK("http://dx.doi.org/10.1016/j.marenvres.2020.105000","http://dx.doi.org/10.1016/j.marenvres.2020.105000")</f>
        <v>http://dx.doi.org/10.1016/j.marenvres.2020.105000</v>
      </c>
      <c r="BG2907" s="1" t="s">
        <v>74</v>
      </c>
      <c r="BH2907" s="1" t="s">
        <v>74</v>
      </c>
      <c r="BI2907" s="1">
        <v>12</v>
      </c>
      <c r="BJ2907" s="1" t="s">
        <v>768</v>
      </c>
      <c r="BK2907" s="1" t="s">
        <v>96</v>
      </c>
      <c r="BL2907" s="1" t="s">
        <v>769</v>
      </c>
      <c r="BM2907" s="1" t="s">
        <v>46152</v>
      </c>
      <c r="BN2907" s="1">
        <v>32662434</v>
      </c>
      <c r="BO2907" s="1" t="s">
        <v>810</v>
      </c>
      <c r="BP2907" s="1" t="s">
        <v>74</v>
      </c>
      <c r="BQ2907" s="1" t="s">
        <v>74</v>
      </c>
      <c r="BR2907" s="1" t="s">
        <v>98</v>
      </c>
      <c r="BS2907" s="1" t="s">
        <v>46153</v>
      </c>
      <c r="BT2907" s="1" t="str">
        <f>HYPERLINK("https%3A%2F%2Fwww.webofscience.com%2Fwos%2Fwoscc%2Ffull-record%2FWOS:000549328000021","View Full Record in Web of Science")</f>
        <v>View Full Record in Web of Science</v>
      </c>
      <c r="BU2907" s="1"/>
      <c r="BV2907" s="1"/>
    </row>
    <row r="2908" spans="1:74">
      <c r="A2908" s="1" t="s">
        <v>72</v>
      </c>
      <c r="B2908" s="1" t="s">
        <v>46154</v>
      </c>
      <c r="C2908" s="1" t="s">
        <v>74</v>
      </c>
      <c r="D2908" s="1" t="s">
        <v>74</v>
      </c>
      <c r="E2908" s="1" t="s">
        <v>74</v>
      </c>
      <c r="F2908" s="1" t="s">
        <v>46155</v>
      </c>
      <c r="G2908" s="1" t="s">
        <v>74</v>
      </c>
      <c r="H2908" s="1" t="s">
        <v>74</v>
      </c>
      <c r="I2908" s="1" t="s">
        <v>46156</v>
      </c>
      <c r="J2908" s="1" t="s">
        <v>595</v>
      </c>
      <c r="K2908" s="1" t="s">
        <v>74</v>
      </c>
      <c r="L2908" s="1" t="s">
        <v>74</v>
      </c>
      <c r="M2908" s="1" t="s">
        <v>78</v>
      </c>
      <c r="N2908" s="1" t="s">
        <v>79</v>
      </c>
      <c r="O2908" s="1" t="s">
        <v>74</v>
      </c>
      <c r="P2908" s="1" t="s">
        <v>74</v>
      </c>
      <c r="Q2908" s="1" t="s">
        <v>74</v>
      </c>
      <c r="R2908" s="1" t="s">
        <v>74</v>
      </c>
      <c r="S2908" s="1" t="s">
        <v>74</v>
      </c>
      <c r="T2908" s="1" t="s">
        <v>46157</v>
      </c>
      <c r="U2908" s="1" t="s">
        <v>46158</v>
      </c>
      <c r="V2908" s="1" t="s">
        <v>46159</v>
      </c>
      <c r="W2908" s="1" t="s">
        <v>46160</v>
      </c>
      <c r="X2908" s="1" t="s">
        <v>46161</v>
      </c>
      <c r="Y2908" s="1" t="s">
        <v>46162</v>
      </c>
      <c r="Z2908" s="1" t="s">
        <v>46163</v>
      </c>
      <c r="AA2908" s="1" t="s">
        <v>46164</v>
      </c>
      <c r="AB2908" s="1" t="s">
        <v>46165</v>
      </c>
      <c r="AC2908" s="1" t="s">
        <v>74</v>
      </c>
      <c r="AD2908" s="1" t="s">
        <v>74</v>
      </c>
      <c r="AE2908" s="1" t="s">
        <v>74</v>
      </c>
      <c r="AF2908" s="1" t="s">
        <v>74</v>
      </c>
      <c r="AG2908" s="1">
        <v>85</v>
      </c>
      <c r="AH2908" s="1">
        <v>22</v>
      </c>
      <c r="AI2908" s="1">
        <v>26</v>
      </c>
      <c r="AJ2908" s="1">
        <v>0</v>
      </c>
      <c r="AK2908" s="1">
        <v>19</v>
      </c>
      <c r="AL2908" s="1" t="s">
        <v>112</v>
      </c>
      <c r="AM2908" s="1" t="s">
        <v>191</v>
      </c>
      <c r="AN2908" s="1" t="s">
        <v>192</v>
      </c>
      <c r="AO2908" s="1" t="s">
        <v>608</v>
      </c>
      <c r="AP2908" s="1" t="s">
        <v>609</v>
      </c>
      <c r="AQ2908" s="1" t="s">
        <v>74</v>
      </c>
      <c r="AR2908" s="1" t="s">
        <v>595</v>
      </c>
      <c r="AS2908" s="1" t="s">
        <v>610</v>
      </c>
      <c r="AT2908" s="1" t="s">
        <v>951</v>
      </c>
      <c r="AU2908" s="1">
        <v>2011</v>
      </c>
      <c r="AV2908" s="1">
        <v>20</v>
      </c>
      <c r="AW2908" s="1">
        <v>8</v>
      </c>
      <c r="AX2908" s="1" t="s">
        <v>74</v>
      </c>
      <c r="AY2908" s="1" t="s">
        <v>74</v>
      </c>
      <c r="AZ2908" s="1" t="s">
        <v>74</v>
      </c>
      <c r="BA2908" s="1" t="s">
        <v>74</v>
      </c>
      <c r="BB2908" s="1">
        <v>2030</v>
      </c>
      <c r="BC2908" s="1">
        <v>2041</v>
      </c>
      <c r="BD2908" s="1" t="s">
        <v>74</v>
      </c>
      <c r="BE2908" s="1" t="s">
        <v>46166</v>
      </c>
      <c r="BF2908" s="1" t="str">
        <f>HYPERLINK("http://dx.doi.org/10.1007/s10646-011-0746-6","http://dx.doi.org/10.1007/s10646-011-0746-6")</f>
        <v>http://dx.doi.org/10.1007/s10646-011-0746-6</v>
      </c>
      <c r="BG2908" s="1" t="s">
        <v>74</v>
      </c>
      <c r="BH2908" s="1" t="s">
        <v>74</v>
      </c>
      <c r="BI2908" s="1">
        <v>12</v>
      </c>
      <c r="BJ2908" s="1" t="s">
        <v>612</v>
      </c>
      <c r="BK2908" s="1" t="s">
        <v>96</v>
      </c>
      <c r="BL2908" s="1" t="s">
        <v>122</v>
      </c>
      <c r="BM2908" s="1" t="s">
        <v>46167</v>
      </c>
      <c r="BN2908" s="1">
        <v>21805215</v>
      </c>
      <c r="BO2908" s="1" t="s">
        <v>74</v>
      </c>
      <c r="BP2908" s="1" t="s">
        <v>74</v>
      </c>
      <c r="BQ2908" s="1" t="s">
        <v>74</v>
      </c>
      <c r="BR2908" s="1" t="s">
        <v>98</v>
      </c>
      <c r="BS2908" s="1" t="s">
        <v>46168</v>
      </c>
      <c r="BT2908" s="1" t="str">
        <f>HYPERLINK("https%3A%2F%2Fwww.webofscience.com%2Fwos%2Fwoscc%2Ffull-record%2FWOS:000298582500028","View Full Record in Web of Science")</f>
        <v>View Full Record in Web of Science</v>
      </c>
      <c r="BU2908" s="1"/>
      <c r="BV2908" s="1"/>
    </row>
    <row r="2909" spans="1:74">
      <c r="A2909" s="1" t="s">
        <v>72</v>
      </c>
      <c r="B2909" s="1" t="s">
        <v>46169</v>
      </c>
      <c r="C2909" s="1" t="s">
        <v>74</v>
      </c>
      <c r="D2909" s="1" t="s">
        <v>74</v>
      </c>
      <c r="E2909" s="1" t="s">
        <v>74</v>
      </c>
      <c r="F2909" s="1" t="s">
        <v>46170</v>
      </c>
      <c r="G2909" s="1" t="s">
        <v>74</v>
      </c>
      <c r="H2909" s="1" t="s">
        <v>74</v>
      </c>
      <c r="I2909" s="1" t="s">
        <v>46171</v>
      </c>
      <c r="J2909" s="1" t="s">
        <v>909</v>
      </c>
      <c r="K2909" s="1" t="s">
        <v>74</v>
      </c>
      <c r="L2909" s="1" t="s">
        <v>74</v>
      </c>
      <c r="M2909" s="1" t="s">
        <v>78</v>
      </c>
      <c r="N2909" s="1" t="s">
        <v>79</v>
      </c>
      <c r="O2909" s="1" t="s">
        <v>74</v>
      </c>
      <c r="P2909" s="1" t="s">
        <v>74</v>
      </c>
      <c r="Q2909" s="1" t="s">
        <v>74</v>
      </c>
      <c r="R2909" s="1" t="s">
        <v>74</v>
      </c>
      <c r="S2909" s="1" t="s">
        <v>74</v>
      </c>
      <c r="T2909" s="1" t="s">
        <v>46172</v>
      </c>
      <c r="U2909" s="1" t="s">
        <v>46173</v>
      </c>
      <c r="V2909" s="1" t="s">
        <v>46174</v>
      </c>
      <c r="W2909" s="1" t="s">
        <v>46175</v>
      </c>
      <c r="X2909" s="1" t="s">
        <v>46176</v>
      </c>
      <c r="Y2909" s="1" t="s">
        <v>46177</v>
      </c>
      <c r="Z2909" s="1" t="s">
        <v>46178</v>
      </c>
      <c r="AA2909" s="1" t="s">
        <v>46179</v>
      </c>
      <c r="AB2909" s="1" t="s">
        <v>46180</v>
      </c>
      <c r="AC2909" s="1" t="s">
        <v>46181</v>
      </c>
      <c r="AD2909" s="1" t="s">
        <v>46182</v>
      </c>
      <c r="AE2909" s="1" t="s">
        <v>46183</v>
      </c>
      <c r="AF2909" s="1" t="s">
        <v>74</v>
      </c>
      <c r="AG2909" s="1">
        <v>45</v>
      </c>
      <c r="AH2909" s="1">
        <v>16</v>
      </c>
      <c r="AI2909" s="1">
        <v>17</v>
      </c>
      <c r="AJ2909" s="1">
        <v>3</v>
      </c>
      <c r="AK2909" s="1">
        <v>60</v>
      </c>
      <c r="AL2909" s="1" t="s">
        <v>650</v>
      </c>
      <c r="AM2909" s="1" t="s">
        <v>651</v>
      </c>
      <c r="AN2909" s="1" t="s">
        <v>652</v>
      </c>
      <c r="AO2909" s="1" t="s">
        <v>921</v>
      </c>
      <c r="AP2909" s="1" t="s">
        <v>922</v>
      </c>
      <c r="AQ2909" s="1" t="s">
        <v>74</v>
      </c>
      <c r="AR2909" s="1" t="s">
        <v>923</v>
      </c>
      <c r="AS2909" s="1" t="s">
        <v>924</v>
      </c>
      <c r="AT2909" s="1" t="s">
        <v>546</v>
      </c>
      <c r="AU2909" s="1">
        <v>2018</v>
      </c>
      <c r="AV2909" s="1">
        <v>642</v>
      </c>
      <c r="AW2909" s="1" t="s">
        <v>74</v>
      </c>
      <c r="AX2909" s="1" t="s">
        <v>74</v>
      </c>
      <c r="AY2909" s="1" t="s">
        <v>74</v>
      </c>
      <c r="AZ2909" s="1" t="s">
        <v>74</v>
      </c>
      <c r="BA2909" s="1" t="s">
        <v>74</v>
      </c>
      <c r="BB2909" s="1">
        <v>854</v>
      </c>
      <c r="BC2909" s="1">
        <v>863</v>
      </c>
      <c r="BD2909" s="1" t="s">
        <v>74</v>
      </c>
      <c r="BE2909" s="1" t="s">
        <v>46184</v>
      </c>
      <c r="BF2909" s="1" t="str">
        <f>HYPERLINK("http://dx.doi.org/10.1016/j.scitotenv.2018.06.139","http://dx.doi.org/10.1016/j.scitotenv.2018.06.139")</f>
        <v>http://dx.doi.org/10.1016/j.scitotenv.2018.06.139</v>
      </c>
      <c r="BG2909" s="1" t="s">
        <v>74</v>
      </c>
      <c r="BH2909" s="1" t="s">
        <v>74</v>
      </c>
      <c r="BI2909" s="1">
        <v>10</v>
      </c>
      <c r="BJ2909" s="1" t="s">
        <v>144</v>
      </c>
      <c r="BK2909" s="1" t="s">
        <v>96</v>
      </c>
      <c r="BL2909" s="1" t="s">
        <v>145</v>
      </c>
      <c r="BM2909" s="1" t="s">
        <v>13325</v>
      </c>
      <c r="BN2909" s="1">
        <v>29925056</v>
      </c>
      <c r="BO2909" s="1" t="s">
        <v>74</v>
      </c>
      <c r="BP2909" s="1" t="s">
        <v>74</v>
      </c>
      <c r="BQ2909" s="1" t="s">
        <v>74</v>
      </c>
      <c r="BR2909" s="1" t="s">
        <v>98</v>
      </c>
      <c r="BS2909" s="1" t="s">
        <v>46185</v>
      </c>
      <c r="BT2909" s="1" t="str">
        <f>HYPERLINK("https%3A%2F%2Fwww.webofscience.com%2Fwos%2Fwoscc%2Ffull-record%2FWOS:000439405600084","View Full Record in Web of Science")</f>
        <v>View Full Record in Web of Science</v>
      </c>
      <c r="BU2909" s="1"/>
      <c r="BV2909" s="1"/>
    </row>
    <row r="2910" spans="1:74">
      <c r="A2910" s="1" t="s">
        <v>72</v>
      </c>
      <c r="B2910" s="1" t="s">
        <v>46186</v>
      </c>
      <c r="C2910" s="1" t="s">
        <v>74</v>
      </c>
      <c r="D2910" s="1" t="s">
        <v>74</v>
      </c>
      <c r="E2910" s="1" t="s">
        <v>74</v>
      </c>
      <c r="F2910" s="1" t="s">
        <v>46187</v>
      </c>
      <c r="G2910" s="1" t="s">
        <v>74</v>
      </c>
      <c r="H2910" s="1" t="s">
        <v>74</v>
      </c>
      <c r="I2910" s="1" t="s">
        <v>46188</v>
      </c>
      <c r="J2910" s="1" t="s">
        <v>46189</v>
      </c>
      <c r="K2910" s="1" t="s">
        <v>74</v>
      </c>
      <c r="L2910" s="1" t="s">
        <v>74</v>
      </c>
      <c r="M2910" s="1" t="s">
        <v>78</v>
      </c>
      <c r="N2910" s="1" t="s">
        <v>79</v>
      </c>
      <c r="O2910" s="1" t="s">
        <v>74</v>
      </c>
      <c r="P2910" s="1" t="s">
        <v>74</v>
      </c>
      <c r="Q2910" s="1" t="s">
        <v>74</v>
      </c>
      <c r="R2910" s="1" t="s">
        <v>74</v>
      </c>
      <c r="S2910" s="1" t="s">
        <v>74</v>
      </c>
      <c r="T2910" s="1" t="s">
        <v>46190</v>
      </c>
      <c r="U2910" s="1" t="s">
        <v>46191</v>
      </c>
      <c r="V2910" s="1" t="s">
        <v>46192</v>
      </c>
      <c r="W2910" s="1" t="s">
        <v>46193</v>
      </c>
      <c r="X2910" s="1" t="s">
        <v>22971</v>
      </c>
      <c r="Y2910" s="1" t="s">
        <v>46194</v>
      </c>
      <c r="Z2910" s="1" t="s">
        <v>46195</v>
      </c>
      <c r="AA2910" s="1" t="s">
        <v>46196</v>
      </c>
      <c r="AB2910" s="1" t="s">
        <v>46197</v>
      </c>
      <c r="AC2910" s="1" t="s">
        <v>46198</v>
      </c>
      <c r="AD2910" s="1" t="s">
        <v>46199</v>
      </c>
      <c r="AE2910" s="1" t="s">
        <v>46200</v>
      </c>
      <c r="AF2910" s="1" t="s">
        <v>74</v>
      </c>
      <c r="AG2910" s="1">
        <v>32</v>
      </c>
      <c r="AH2910" s="1">
        <v>0</v>
      </c>
      <c r="AI2910" s="1">
        <v>0</v>
      </c>
      <c r="AJ2910" s="1">
        <v>3</v>
      </c>
      <c r="AK2910" s="1">
        <v>3</v>
      </c>
      <c r="AL2910" s="1" t="s">
        <v>4471</v>
      </c>
      <c r="AM2910" s="1" t="s">
        <v>4472</v>
      </c>
      <c r="AN2910" s="1" t="s">
        <v>4473</v>
      </c>
      <c r="AO2910" s="1" t="s">
        <v>46201</v>
      </c>
      <c r="AP2910" s="1" t="s">
        <v>74</v>
      </c>
      <c r="AQ2910" s="1" t="s">
        <v>74</v>
      </c>
      <c r="AR2910" s="1" t="s">
        <v>46202</v>
      </c>
      <c r="AS2910" s="1" t="s">
        <v>46203</v>
      </c>
      <c r="AT2910" s="1" t="s">
        <v>46204</v>
      </c>
      <c r="AU2910" s="1">
        <v>2024</v>
      </c>
      <c r="AV2910" s="1">
        <v>12</v>
      </c>
      <c r="AW2910" s="1">
        <v>35</v>
      </c>
      <c r="AX2910" s="1" t="s">
        <v>74</v>
      </c>
      <c r="AY2910" s="1" t="s">
        <v>74</v>
      </c>
      <c r="AZ2910" s="1" t="s">
        <v>74</v>
      </c>
      <c r="BA2910" s="1" t="s">
        <v>74</v>
      </c>
      <c r="BB2910" s="1">
        <v>13048</v>
      </c>
      <c r="BC2910" s="1">
        <v>13061</v>
      </c>
      <c r="BD2910" s="1" t="s">
        <v>74</v>
      </c>
      <c r="BE2910" s="1" t="s">
        <v>46205</v>
      </c>
      <c r="BF2910" s="1" t="str">
        <f>HYPERLINK("http://dx.doi.org/10.1021/acssuschemeng.4c01179","http://dx.doi.org/10.1021/acssuschemeng.4c01179")</f>
        <v>http://dx.doi.org/10.1021/acssuschemeng.4c01179</v>
      </c>
      <c r="BG2910" s="1" t="s">
        <v>74</v>
      </c>
      <c r="BH2910" s="1" t="s">
        <v>10999</v>
      </c>
      <c r="BI2910" s="1">
        <v>14</v>
      </c>
      <c r="BJ2910" s="1" t="s">
        <v>46206</v>
      </c>
      <c r="BK2910" s="1" t="s">
        <v>96</v>
      </c>
      <c r="BL2910" s="1" t="s">
        <v>46207</v>
      </c>
      <c r="BM2910" s="1" t="s">
        <v>46208</v>
      </c>
      <c r="BN2910" s="1" t="s">
        <v>74</v>
      </c>
      <c r="BO2910" s="1" t="s">
        <v>74</v>
      </c>
      <c r="BP2910" s="1" t="s">
        <v>74</v>
      </c>
      <c r="BQ2910" s="1" t="s">
        <v>74</v>
      </c>
      <c r="BR2910" s="1" t="s">
        <v>98</v>
      </c>
      <c r="BS2910" s="1" t="s">
        <v>46209</v>
      </c>
      <c r="BT2910" s="1" t="str">
        <f>HYPERLINK("https%3A%2F%2Fwww.webofscience.com%2Fwos%2Fwoscc%2Ffull-record%2FWOS:001296008300001","View Full Record in Web of Science")</f>
        <v>View Full Record in Web of Science</v>
      </c>
      <c r="BU2910" s="1"/>
      <c r="BV2910" s="1"/>
    </row>
    <row r="2911" spans="1:74">
      <c r="A2911" s="1" t="s">
        <v>72</v>
      </c>
      <c r="B2911" s="1" t="s">
        <v>46210</v>
      </c>
      <c r="C2911" s="1" t="s">
        <v>74</v>
      </c>
      <c r="D2911" s="1" t="s">
        <v>74</v>
      </c>
      <c r="E2911" s="1" t="s">
        <v>74</v>
      </c>
      <c r="F2911" s="1" t="s">
        <v>46210</v>
      </c>
      <c r="G2911" s="1" t="s">
        <v>74</v>
      </c>
      <c r="H2911" s="1" t="s">
        <v>74</v>
      </c>
      <c r="I2911" s="1" t="s">
        <v>46211</v>
      </c>
      <c r="J2911" s="1" t="s">
        <v>46212</v>
      </c>
      <c r="K2911" s="1" t="s">
        <v>74</v>
      </c>
      <c r="L2911" s="1" t="s">
        <v>74</v>
      </c>
      <c r="M2911" s="1" t="s">
        <v>78</v>
      </c>
      <c r="N2911" s="1" t="s">
        <v>79</v>
      </c>
      <c r="O2911" s="1" t="s">
        <v>74</v>
      </c>
      <c r="P2911" s="1" t="s">
        <v>74</v>
      </c>
      <c r="Q2911" s="1" t="s">
        <v>74</v>
      </c>
      <c r="R2911" s="1" t="s">
        <v>74</v>
      </c>
      <c r="S2911" s="1" t="s">
        <v>74</v>
      </c>
      <c r="T2911" s="1" t="s">
        <v>74</v>
      </c>
      <c r="U2911" s="1" t="s">
        <v>46213</v>
      </c>
      <c r="V2911" s="1" t="s">
        <v>46214</v>
      </c>
      <c r="W2911" s="1" t="s">
        <v>46215</v>
      </c>
      <c r="X2911" s="1" t="s">
        <v>46216</v>
      </c>
      <c r="Y2911" s="1" t="s">
        <v>74</v>
      </c>
      <c r="Z2911" s="1" t="s">
        <v>74</v>
      </c>
      <c r="AA2911" s="1" t="s">
        <v>74</v>
      </c>
      <c r="AB2911" s="1" t="s">
        <v>74</v>
      </c>
      <c r="AC2911" s="1" t="s">
        <v>74</v>
      </c>
      <c r="AD2911" s="1" t="s">
        <v>74</v>
      </c>
      <c r="AE2911" s="1" t="s">
        <v>74</v>
      </c>
      <c r="AF2911" s="1" t="s">
        <v>74</v>
      </c>
      <c r="AG2911" s="1">
        <v>52</v>
      </c>
      <c r="AH2911" s="1">
        <v>41</v>
      </c>
      <c r="AI2911" s="1">
        <v>44</v>
      </c>
      <c r="AJ2911" s="1">
        <v>0</v>
      </c>
      <c r="AK2911" s="1">
        <v>9</v>
      </c>
      <c r="AL2911" s="1" t="s">
        <v>3362</v>
      </c>
      <c r="AM2911" s="1" t="s">
        <v>3363</v>
      </c>
      <c r="AN2911" s="1" t="s">
        <v>3364</v>
      </c>
      <c r="AO2911" s="1" t="s">
        <v>46217</v>
      </c>
      <c r="AP2911" s="1" t="s">
        <v>46218</v>
      </c>
      <c r="AQ2911" s="1" t="s">
        <v>74</v>
      </c>
      <c r="AR2911" s="1" t="s">
        <v>46219</v>
      </c>
      <c r="AS2911" s="1" t="s">
        <v>46220</v>
      </c>
      <c r="AT2911" s="1" t="s">
        <v>93</v>
      </c>
      <c r="AU2911" s="1">
        <v>1995</v>
      </c>
      <c r="AV2911" s="1">
        <v>131</v>
      </c>
      <c r="AW2911" s="1">
        <v>2</v>
      </c>
      <c r="AX2911" s="1" t="s">
        <v>74</v>
      </c>
      <c r="AY2911" s="1" t="s">
        <v>74</v>
      </c>
      <c r="AZ2911" s="1" t="s">
        <v>74</v>
      </c>
      <c r="BA2911" s="1" t="s">
        <v>74</v>
      </c>
      <c r="BB2911" s="1">
        <v>332</v>
      </c>
      <c r="BC2911" s="1">
        <v>341</v>
      </c>
      <c r="BD2911" s="1" t="s">
        <v>74</v>
      </c>
      <c r="BE2911" s="1" t="s">
        <v>46221</v>
      </c>
      <c r="BF2911" s="1" t="str">
        <f>HYPERLINK("http://dx.doi.org/10.1006/taap.1995.1076","http://dx.doi.org/10.1006/taap.1995.1076")</f>
        <v>http://dx.doi.org/10.1006/taap.1995.1076</v>
      </c>
      <c r="BG2911" s="1" t="s">
        <v>74</v>
      </c>
      <c r="BH2911" s="1" t="s">
        <v>74</v>
      </c>
      <c r="BI2911" s="1">
        <v>10</v>
      </c>
      <c r="BJ2911" s="1" t="s">
        <v>46222</v>
      </c>
      <c r="BK2911" s="1" t="s">
        <v>96</v>
      </c>
      <c r="BL2911" s="1" t="s">
        <v>46222</v>
      </c>
      <c r="BM2911" s="1" t="s">
        <v>46223</v>
      </c>
      <c r="BN2911" s="1">
        <v>7716774</v>
      </c>
      <c r="BO2911" s="1" t="s">
        <v>74</v>
      </c>
      <c r="BP2911" s="1" t="s">
        <v>74</v>
      </c>
      <c r="BQ2911" s="1" t="s">
        <v>74</v>
      </c>
      <c r="BR2911" s="1" t="s">
        <v>98</v>
      </c>
      <c r="BS2911" s="1" t="s">
        <v>46224</v>
      </c>
      <c r="BT2911" s="1" t="str">
        <f>HYPERLINK("https%3A%2F%2Fwww.webofscience.com%2Fwos%2Fwoscc%2Ffull-record%2FWOS:A1995QU17600017","View Full Record in Web of Science")</f>
        <v>View Full Record in Web of Science</v>
      </c>
      <c r="BU2911" s="1"/>
      <c r="BV2911" s="1"/>
    </row>
    <row r="2912" spans="1:74">
      <c r="A2912" s="1" t="s">
        <v>72</v>
      </c>
      <c r="B2912" s="1" t="s">
        <v>46225</v>
      </c>
      <c r="C2912" s="1" t="s">
        <v>74</v>
      </c>
      <c r="D2912" s="1" t="s">
        <v>74</v>
      </c>
      <c r="E2912" s="1" t="s">
        <v>74</v>
      </c>
      <c r="F2912" s="1" t="s">
        <v>46226</v>
      </c>
      <c r="G2912" s="1" t="s">
        <v>74</v>
      </c>
      <c r="H2912" s="1" t="s">
        <v>74</v>
      </c>
      <c r="I2912" s="1" t="s">
        <v>46227</v>
      </c>
      <c r="J2912" s="1" t="s">
        <v>909</v>
      </c>
      <c r="K2912" s="1" t="s">
        <v>74</v>
      </c>
      <c r="L2912" s="1" t="s">
        <v>74</v>
      </c>
      <c r="M2912" s="1" t="s">
        <v>78</v>
      </c>
      <c r="N2912" s="1" t="s">
        <v>79</v>
      </c>
      <c r="O2912" s="1" t="s">
        <v>74</v>
      </c>
      <c r="P2912" s="1" t="s">
        <v>74</v>
      </c>
      <c r="Q2912" s="1" t="s">
        <v>74</v>
      </c>
      <c r="R2912" s="1" t="s">
        <v>74</v>
      </c>
      <c r="S2912" s="1" t="s">
        <v>74</v>
      </c>
      <c r="T2912" s="1" t="s">
        <v>46228</v>
      </c>
      <c r="U2912" s="1" t="s">
        <v>46229</v>
      </c>
      <c r="V2912" s="1" t="s">
        <v>46230</v>
      </c>
      <c r="W2912" s="1" t="s">
        <v>46231</v>
      </c>
      <c r="X2912" s="1" t="s">
        <v>46232</v>
      </c>
      <c r="Y2912" s="1" t="s">
        <v>45957</v>
      </c>
      <c r="Z2912" s="1" t="s">
        <v>45958</v>
      </c>
      <c r="AA2912" s="1" t="s">
        <v>46233</v>
      </c>
      <c r="AB2912" s="1" t="s">
        <v>74</v>
      </c>
      <c r="AC2912" s="1" t="s">
        <v>46234</v>
      </c>
      <c r="AD2912" s="1" t="s">
        <v>46235</v>
      </c>
      <c r="AE2912" s="1" t="s">
        <v>46236</v>
      </c>
      <c r="AF2912" s="1" t="s">
        <v>74</v>
      </c>
      <c r="AG2912" s="1">
        <v>104</v>
      </c>
      <c r="AH2912" s="1">
        <v>8</v>
      </c>
      <c r="AI2912" s="1">
        <v>8</v>
      </c>
      <c r="AJ2912" s="1">
        <v>14</v>
      </c>
      <c r="AK2912" s="1">
        <v>55</v>
      </c>
      <c r="AL2912" s="1" t="s">
        <v>650</v>
      </c>
      <c r="AM2912" s="1" t="s">
        <v>651</v>
      </c>
      <c r="AN2912" s="1" t="s">
        <v>652</v>
      </c>
      <c r="AO2912" s="1" t="s">
        <v>921</v>
      </c>
      <c r="AP2912" s="1" t="s">
        <v>922</v>
      </c>
      <c r="AQ2912" s="1" t="s">
        <v>74</v>
      </c>
      <c r="AR2912" s="1" t="s">
        <v>923</v>
      </c>
      <c r="AS2912" s="1" t="s">
        <v>924</v>
      </c>
      <c r="AT2912" s="1" t="s">
        <v>3542</v>
      </c>
      <c r="AU2912" s="1">
        <v>2023</v>
      </c>
      <c r="AV2912" s="1">
        <v>893</v>
      </c>
      <c r="AW2912" s="1" t="s">
        <v>74</v>
      </c>
      <c r="AX2912" s="1" t="s">
        <v>74</v>
      </c>
      <c r="AY2912" s="1" t="s">
        <v>74</v>
      </c>
      <c r="AZ2912" s="1" t="s">
        <v>74</v>
      </c>
      <c r="BA2912" s="1" t="s">
        <v>74</v>
      </c>
      <c r="BB2912" s="1" t="s">
        <v>74</v>
      </c>
      <c r="BC2912" s="1" t="s">
        <v>74</v>
      </c>
      <c r="BD2912" s="1">
        <v>164836</v>
      </c>
      <c r="BE2912" s="1" t="s">
        <v>46237</v>
      </c>
      <c r="BF2912" s="1" t="str">
        <f>HYPERLINK("http://dx.doi.org/10.1016/j.scitotenv.2023.164836","http://dx.doi.org/10.1016/j.scitotenv.2023.164836")</f>
        <v>http://dx.doi.org/10.1016/j.scitotenv.2023.164836</v>
      </c>
      <c r="BG2912" s="1" t="s">
        <v>74</v>
      </c>
      <c r="BH2912" s="1" t="s">
        <v>767</v>
      </c>
      <c r="BI2912" s="1">
        <v>15</v>
      </c>
      <c r="BJ2912" s="1" t="s">
        <v>144</v>
      </c>
      <c r="BK2912" s="1" t="s">
        <v>96</v>
      </c>
      <c r="BL2912" s="1" t="s">
        <v>145</v>
      </c>
      <c r="BM2912" s="1" t="s">
        <v>46238</v>
      </c>
      <c r="BN2912" s="1">
        <v>37321498</v>
      </c>
      <c r="BO2912" s="1" t="s">
        <v>74</v>
      </c>
      <c r="BP2912" s="1" t="s">
        <v>74</v>
      </c>
      <c r="BQ2912" s="1" t="s">
        <v>74</v>
      </c>
      <c r="BR2912" s="1" t="s">
        <v>98</v>
      </c>
      <c r="BS2912" s="1" t="s">
        <v>46239</v>
      </c>
      <c r="BT2912" s="1" t="str">
        <f>HYPERLINK("https%3A%2F%2Fwww.webofscience.com%2Fwos%2Fwoscc%2Ffull-record%2FWOS:001032873500001","View Full Record in Web of Science")</f>
        <v>View Full Record in Web of Science</v>
      </c>
      <c r="BU2912" s="1"/>
      <c r="BV2912" s="1"/>
    </row>
    <row r="2913" spans="1:74">
      <c r="A2913" s="1" t="s">
        <v>72</v>
      </c>
      <c r="B2913" s="1" t="s">
        <v>46240</v>
      </c>
      <c r="C2913" s="1" t="s">
        <v>74</v>
      </c>
      <c r="D2913" s="1" t="s">
        <v>74</v>
      </c>
      <c r="E2913" s="1" t="s">
        <v>74</v>
      </c>
      <c r="F2913" s="1" t="s">
        <v>46241</v>
      </c>
      <c r="G2913" s="1" t="s">
        <v>74</v>
      </c>
      <c r="H2913" s="1" t="s">
        <v>74</v>
      </c>
      <c r="I2913" s="1" t="s">
        <v>46242</v>
      </c>
      <c r="J2913" s="1" t="s">
        <v>909</v>
      </c>
      <c r="K2913" s="1" t="s">
        <v>74</v>
      </c>
      <c r="L2913" s="1" t="s">
        <v>74</v>
      </c>
      <c r="M2913" s="1" t="s">
        <v>78</v>
      </c>
      <c r="N2913" s="1" t="s">
        <v>79</v>
      </c>
      <c r="O2913" s="1" t="s">
        <v>74</v>
      </c>
      <c r="P2913" s="1" t="s">
        <v>74</v>
      </c>
      <c r="Q2913" s="1" t="s">
        <v>74</v>
      </c>
      <c r="R2913" s="1" t="s">
        <v>74</v>
      </c>
      <c r="S2913" s="1" t="s">
        <v>74</v>
      </c>
      <c r="T2913" s="1" t="s">
        <v>46243</v>
      </c>
      <c r="U2913" s="1" t="s">
        <v>46244</v>
      </c>
      <c r="V2913" s="1" t="s">
        <v>46245</v>
      </c>
      <c r="W2913" s="1" t="s">
        <v>46246</v>
      </c>
      <c r="X2913" s="1" t="s">
        <v>46247</v>
      </c>
      <c r="Y2913" s="1" t="s">
        <v>46248</v>
      </c>
      <c r="Z2913" s="1" t="s">
        <v>46249</v>
      </c>
      <c r="AA2913" s="1" t="s">
        <v>46250</v>
      </c>
      <c r="AB2913" s="1" t="s">
        <v>46251</v>
      </c>
      <c r="AC2913" s="1" t="s">
        <v>46252</v>
      </c>
      <c r="AD2913" s="1" t="s">
        <v>46252</v>
      </c>
      <c r="AE2913" s="1" t="s">
        <v>46253</v>
      </c>
      <c r="AF2913" s="1" t="s">
        <v>74</v>
      </c>
      <c r="AG2913" s="1">
        <v>96</v>
      </c>
      <c r="AH2913" s="1">
        <v>9</v>
      </c>
      <c r="AI2913" s="1">
        <v>9</v>
      </c>
      <c r="AJ2913" s="1">
        <v>1</v>
      </c>
      <c r="AK2913" s="1">
        <v>38</v>
      </c>
      <c r="AL2913" s="1" t="s">
        <v>650</v>
      </c>
      <c r="AM2913" s="1" t="s">
        <v>651</v>
      </c>
      <c r="AN2913" s="1" t="s">
        <v>652</v>
      </c>
      <c r="AO2913" s="1" t="s">
        <v>921</v>
      </c>
      <c r="AP2913" s="1" t="s">
        <v>922</v>
      </c>
      <c r="AQ2913" s="1" t="s">
        <v>74</v>
      </c>
      <c r="AR2913" s="1" t="s">
        <v>923</v>
      </c>
      <c r="AS2913" s="1" t="s">
        <v>924</v>
      </c>
      <c r="AT2913" s="1" t="s">
        <v>21346</v>
      </c>
      <c r="AU2913" s="1">
        <v>2024</v>
      </c>
      <c r="AV2913" s="1">
        <v>907</v>
      </c>
      <c r="AW2913" s="1" t="s">
        <v>74</v>
      </c>
      <c r="AX2913" s="1" t="s">
        <v>74</v>
      </c>
      <c r="AY2913" s="1" t="s">
        <v>74</v>
      </c>
      <c r="AZ2913" s="1" t="s">
        <v>74</v>
      </c>
      <c r="BA2913" s="1" t="s">
        <v>74</v>
      </c>
      <c r="BB2913" s="1" t="s">
        <v>74</v>
      </c>
      <c r="BC2913" s="1" t="s">
        <v>74</v>
      </c>
      <c r="BD2913" s="1">
        <v>167898</v>
      </c>
      <c r="BE2913" s="1" t="s">
        <v>46254</v>
      </c>
      <c r="BF2913" s="1" t="str">
        <f>HYPERLINK("http://dx.doi.org/10.1016/j.scitotenv.2023.167898","http://dx.doi.org/10.1016/j.scitotenv.2023.167898")</f>
        <v>http://dx.doi.org/10.1016/j.scitotenv.2023.167898</v>
      </c>
      <c r="BG2913" s="1" t="s">
        <v>74</v>
      </c>
      <c r="BH2913" s="1" t="s">
        <v>26143</v>
      </c>
      <c r="BI2913" s="1">
        <v>17</v>
      </c>
      <c r="BJ2913" s="1" t="s">
        <v>144</v>
      </c>
      <c r="BK2913" s="1" t="s">
        <v>96</v>
      </c>
      <c r="BL2913" s="1" t="s">
        <v>145</v>
      </c>
      <c r="BM2913" s="1" t="s">
        <v>46255</v>
      </c>
      <c r="BN2913" s="1">
        <v>37858826</v>
      </c>
      <c r="BO2913" s="1" t="s">
        <v>74</v>
      </c>
      <c r="BP2913" s="1" t="s">
        <v>74</v>
      </c>
      <c r="BQ2913" s="1" t="s">
        <v>74</v>
      </c>
      <c r="BR2913" s="1" t="s">
        <v>98</v>
      </c>
      <c r="BS2913" s="1" t="s">
        <v>46256</v>
      </c>
      <c r="BT2913" s="1" t="str">
        <f>HYPERLINK("https%3A%2F%2Fwww.webofscience.com%2Fwos%2Fwoscc%2Ffull-record%2FWOS:001102899400001","View Full Record in Web of Science")</f>
        <v>View Full Record in Web of Science</v>
      </c>
      <c r="BU2913" s="1"/>
      <c r="BV2913" s="1"/>
    </row>
    <row r="2914" spans="1:74">
      <c r="A2914" s="1" t="s">
        <v>72</v>
      </c>
      <c r="B2914" s="1" t="s">
        <v>46257</v>
      </c>
      <c r="C2914" s="1" t="s">
        <v>74</v>
      </c>
      <c r="D2914" s="1" t="s">
        <v>74</v>
      </c>
      <c r="E2914" s="1" t="s">
        <v>74</v>
      </c>
      <c r="F2914" s="1" t="s">
        <v>46258</v>
      </c>
      <c r="G2914" s="1" t="s">
        <v>74</v>
      </c>
      <c r="H2914" s="1" t="s">
        <v>74</v>
      </c>
      <c r="I2914" s="1" t="s">
        <v>46259</v>
      </c>
      <c r="J2914" s="1" t="s">
        <v>30301</v>
      </c>
      <c r="K2914" s="1" t="s">
        <v>74</v>
      </c>
      <c r="L2914" s="1" t="s">
        <v>74</v>
      </c>
      <c r="M2914" s="1" t="s">
        <v>78</v>
      </c>
      <c r="N2914" s="1" t="s">
        <v>79</v>
      </c>
      <c r="O2914" s="1" t="s">
        <v>74</v>
      </c>
      <c r="P2914" s="1" t="s">
        <v>74</v>
      </c>
      <c r="Q2914" s="1" t="s">
        <v>74</v>
      </c>
      <c r="R2914" s="1" t="s">
        <v>74</v>
      </c>
      <c r="S2914" s="1" t="s">
        <v>74</v>
      </c>
      <c r="T2914" s="1" t="s">
        <v>46260</v>
      </c>
      <c r="U2914" s="1" t="s">
        <v>46261</v>
      </c>
      <c r="V2914" s="1" t="s">
        <v>46262</v>
      </c>
      <c r="W2914" s="1" t="s">
        <v>46263</v>
      </c>
      <c r="X2914" s="1" t="s">
        <v>46264</v>
      </c>
      <c r="Y2914" s="1" t="s">
        <v>28813</v>
      </c>
      <c r="Z2914" s="1" t="s">
        <v>46265</v>
      </c>
      <c r="AA2914" s="1" t="s">
        <v>74</v>
      </c>
      <c r="AB2914" s="1" t="s">
        <v>74</v>
      </c>
      <c r="AC2914" s="1" t="s">
        <v>9855</v>
      </c>
      <c r="AD2914" s="1" t="s">
        <v>9856</v>
      </c>
      <c r="AE2914" s="1" t="s">
        <v>9857</v>
      </c>
      <c r="AF2914" s="1" t="s">
        <v>74</v>
      </c>
      <c r="AG2914" s="1">
        <v>68</v>
      </c>
      <c r="AH2914" s="1">
        <v>0</v>
      </c>
      <c r="AI2914" s="1">
        <v>0</v>
      </c>
      <c r="AJ2914" s="1">
        <v>0</v>
      </c>
      <c r="AK2914" s="1">
        <v>3</v>
      </c>
      <c r="AL2914" s="1" t="s">
        <v>650</v>
      </c>
      <c r="AM2914" s="1" t="s">
        <v>651</v>
      </c>
      <c r="AN2914" s="1" t="s">
        <v>652</v>
      </c>
      <c r="AO2914" s="1" t="s">
        <v>30313</v>
      </c>
      <c r="AP2914" s="1" t="s">
        <v>30314</v>
      </c>
      <c r="AQ2914" s="1" t="s">
        <v>74</v>
      </c>
      <c r="AR2914" s="1" t="s">
        <v>30315</v>
      </c>
      <c r="AS2914" s="1" t="s">
        <v>30316</v>
      </c>
      <c r="AT2914" s="1" t="s">
        <v>119</v>
      </c>
      <c r="AU2914" s="1">
        <v>2023</v>
      </c>
      <c r="AV2914" s="1">
        <v>30</v>
      </c>
      <c r="AW2914" s="1">
        <v>8</v>
      </c>
      <c r="AX2914" s="1" t="s">
        <v>74</v>
      </c>
      <c r="AY2914" s="1" t="s">
        <v>74</v>
      </c>
      <c r="AZ2914" s="1" t="s">
        <v>74</v>
      </c>
      <c r="BA2914" s="1" t="s">
        <v>74</v>
      </c>
      <c r="BB2914" s="1" t="s">
        <v>74</v>
      </c>
      <c r="BC2914" s="1" t="s">
        <v>74</v>
      </c>
      <c r="BD2914" s="1">
        <v>103718</v>
      </c>
      <c r="BE2914" s="1" t="s">
        <v>46266</v>
      </c>
      <c r="BF2914" s="1" t="str">
        <f>HYPERLINK("http://dx.doi.org/10.1016/j.sjbs.2023.103718","http://dx.doi.org/10.1016/j.sjbs.2023.103718")</f>
        <v>http://dx.doi.org/10.1016/j.sjbs.2023.103718</v>
      </c>
      <c r="BG2914" s="1" t="s">
        <v>74</v>
      </c>
      <c r="BH2914" s="1" t="s">
        <v>1121</v>
      </c>
      <c r="BI2914" s="1">
        <v>8</v>
      </c>
      <c r="BJ2914" s="1" t="s">
        <v>171</v>
      </c>
      <c r="BK2914" s="1" t="s">
        <v>96</v>
      </c>
      <c r="BL2914" s="1" t="s">
        <v>173</v>
      </c>
      <c r="BM2914" s="1" t="s">
        <v>46267</v>
      </c>
      <c r="BN2914" s="1">
        <v>37576067</v>
      </c>
      <c r="BO2914" s="1" t="s">
        <v>2155</v>
      </c>
      <c r="BP2914" s="1" t="s">
        <v>74</v>
      </c>
      <c r="BQ2914" s="1" t="s">
        <v>74</v>
      </c>
      <c r="BR2914" s="1" t="s">
        <v>98</v>
      </c>
      <c r="BS2914" s="1" t="s">
        <v>46268</v>
      </c>
      <c r="BT2914" s="1" t="str">
        <f>HYPERLINK("https%3A%2F%2Fwww.webofscience.com%2Fwos%2Fwoscc%2Ffull-record%2FWOS:001038654100001","View Full Record in Web of Science")</f>
        <v>View Full Record in Web of Science</v>
      </c>
      <c r="BU2914" s="1"/>
      <c r="BV2914" s="1"/>
    </row>
    <row r="2915" spans="1:74">
      <c r="A2915" s="1" t="s">
        <v>72</v>
      </c>
      <c r="B2915" s="1" t="s">
        <v>46269</v>
      </c>
      <c r="C2915" s="1" t="s">
        <v>74</v>
      </c>
      <c r="D2915" s="1" t="s">
        <v>74</v>
      </c>
      <c r="E2915" s="1" t="s">
        <v>74</v>
      </c>
      <c r="F2915" s="1" t="s">
        <v>46269</v>
      </c>
      <c r="G2915" s="1" t="s">
        <v>74</v>
      </c>
      <c r="H2915" s="1" t="s">
        <v>74</v>
      </c>
      <c r="I2915" s="1" t="s">
        <v>46270</v>
      </c>
      <c r="J2915" s="1" t="s">
        <v>421</v>
      </c>
      <c r="K2915" s="1" t="s">
        <v>74</v>
      </c>
      <c r="L2915" s="1" t="s">
        <v>74</v>
      </c>
      <c r="M2915" s="1" t="s">
        <v>78</v>
      </c>
      <c r="N2915" s="1" t="s">
        <v>79</v>
      </c>
      <c r="O2915" s="1" t="s">
        <v>74</v>
      </c>
      <c r="P2915" s="1" t="s">
        <v>74</v>
      </c>
      <c r="Q2915" s="1" t="s">
        <v>74</v>
      </c>
      <c r="R2915" s="1" t="s">
        <v>74</v>
      </c>
      <c r="S2915" s="1" t="s">
        <v>74</v>
      </c>
      <c r="T2915" s="1" t="s">
        <v>46271</v>
      </c>
      <c r="U2915" s="1" t="s">
        <v>46272</v>
      </c>
      <c r="V2915" s="1" t="s">
        <v>46273</v>
      </c>
      <c r="W2915" s="1" t="s">
        <v>46274</v>
      </c>
      <c r="X2915" s="1" t="s">
        <v>9614</v>
      </c>
      <c r="Y2915" s="1" t="s">
        <v>46275</v>
      </c>
      <c r="Z2915" s="1" t="s">
        <v>74</v>
      </c>
      <c r="AA2915" s="1" t="s">
        <v>46276</v>
      </c>
      <c r="AB2915" s="1" t="s">
        <v>46277</v>
      </c>
      <c r="AC2915" s="1" t="s">
        <v>74</v>
      </c>
      <c r="AD2915" s="1" t="s">
        <v>74</v>
      </c>
      <c r="AE2915" s="1" t="s">
        <v>74</v>
      </c>
      <c r="AF2915" s="1" t="s">
        <v>74</v>
      </c>
      <c r="AG2915" s="1">
        <v>36</v>
      </c>
      <c r="AH2915" s="1">
        <v>115</v>
      </c>
      <c r="AI2915" s="1">
        <v>122</v>
      </c>
      <c r="AJ2915" s="1">
        <v>0</v>
      </c>
      <c r="AK2915" s="1">
        <v>26</v>
      </c>
      <c r="AL2915" s="1" t="s">
        <v>430</v>
      </c>
      <c r="AM2915" s="1" t="s">
        <v>137</v>
      </c>
      <c r="AN2915" s="1" t="s">
        <v>431</v>
      </c>
      <c r="AO2915" s="1" t="s">
        <v>432</v>
      </c>
      <c r="AP2915" s="1" t="s">
        <v>74</v>
      </c>
      <c r="AQ2915" s="1" t="s">
        <v>74</v>
      </c>
      <c r="AR2915" s="1" t="s">
        <v>433</v>
      </c>
      <c r="AS2915" s="1" t="s">
        <v>434</v>
      </c>
      <c r="AT2915" s="1" t="s">
        <v>74</v>
      </c>
      <c r="AU2915" s="1">
        <v>2001</v>
      </c>
      <c r="AV2915" s="1">
        <v>113</v>
      </c>
      <c r="AW2915" s="1">
        <v>3</v>
      </c>
      <c r="AX2915" s="1" t="s">
        <v>74</v>
      </c>
      <c r="AY2915" s="1" t="s">
        <v>74</v>
      </c>
      <c r="AZ2915" s="1" t="s">
        <v>74</v>
      </c>
      <c r="BA2915" s="1" t="s">
        <v>74</v>
      </c>
      <c r="BB2915" s="1">
        <v>341</v>
      </c>
      <c r="BC2915" s="1">
        <v>345</v>
      </c>
      <c r="BD2915" s="1" t="s">
        <v>74</v>
      </c>
      <c r="BE2915" s="1" t="s">
        <v>46278</v>
      </c>
      <c r="BF2915" s="1" t="str">
        <f>HYPERLINK("http://dx.doi.org/10.1016/S0269-7491(00)00185-8","http://dx.doi.org/10.1016/S0269-7491(00)00185-8")</f>
        <v>http://dx.doi.org/10.1016/S0269-7491(00)00185-8</v>
      </c>
      <c r="BG2915" s="1" t="s">
        <v>74</v>
      </c>
      <c r="BH2915" s="1" t="s">
        <v>74</v>
      </c>
      <c r="BI2915" s="1">
        <v>5</v>
      </c>
      <c r="BJ2915" s="1" t="s">
        <v>144</v>
      </c>
      <c r="BK2915" s="1" t="s">
        <v>96</v>
      </c>
      <c r="BL2915" s="1" t="s">
        <v>145</v>
      </c>
      <c r="BM2915" s="1" t="s">
        <v>46279</v>
      </c>
      <c r="BN2915" s="1">
        <v>11428142</v>
      </c>
      <c r="BO2915" s="1" t="s">
        <v>74</v>
      </c>
      <c r="BP2915" s="1" t="s">
        <v>74</v>
      </c>
      <c r="BQ2915" s="1" t="s">
        <v>74</v>
      </c>
      <c r="BR2915" s="1" t="s">
        <v>98</v>
      </c>
      <c r="BS2915" s="1" t="s">
        <v>46280</v>
      </c>
      <c r="BT2915" s="1" t="str">
        <f>HYPERLINK("https%3A%2F%2Fwww.webofscience.com%2Fwos%2Fwoscc%2Ffull-record%2FWOS:000169271200011","View Full Record in Web of Science")</f>
        <v>View Full Record in Web of Science</v>
      </c>
      <c r="BU2915" s="1"/>
      <c r="BV2915" s="1"/>
    </row>
    <row r="2916" spans="1:74">
      <c r="A2916" s="1" t="s">
        <v>72</v>
      </c>
      <c r="B2916" s="1" t="s">
        <v>46281</v>
      </c>
      <c r="C2916" s="1" t="s">
        <v>74</v>
      </c>
      <c r="D2916" s="1" t="s">
        <v>74</v>
      </c>
      <c r="E2916" s="1" t="s">
        <v>74</v>
      </c>
      <c r="F2916" s="1" t="s">
        <v>46282</v>
      </c>
      <c r="G2916" s="1" t="s">
        <v>74</v>
      </c>
      <c r="H2916" s="1" t="s">
        <v>74</v>
      </c>
      <c r="I2916" s="1" t="s">
        <v>46283</v>
      </c>
      <c r="J2916" s="1" t="s">
        <v>204</v>
      </c>
      <c r="K2916" s="1" t="s">
        <v>74</v>
      </c>
      <c r="L2916" s="1" t="s">
        <v>74</v>
      </c>
      <c r="M2916" s="1" t="s">
        <v>78</v>
      </c>
      <c r="N2916" s="1" t="s">
        <v>79</v>
      </c>
      <c r="O2916" s="1" t="s">
        <v>74</v>
      </c>
      <c r="P2916" s="1" t="s">
        <v>74</v>
      </c>
      <c r="Q2916" s="1" t="s">
        <v>74</v>
      </c>
      <c r="R2916" s="1" t="s">
        <v>74</v>
      </c>
      <c r="S2916" s="1" t="s">
        <v>74</v>
      </c>
      <c r="T2916" s="1" t="s">
        <v>46284</v>
      </c>
      <c r="U2916" s="1" t="s">
        <v>46285</v>
      </c>
      <c r="V2916" s="1" t="s">
        <v>46286</v>
      </c>
      <c r="W2916" s="1" t="s">
        <v>46287</v>
      </c>
      <c r="X2916" s="1" t="s">
        <v>46288</v>
      </c>
      <c r="Y2916" s="1" t="s">
        <v>46289</v>
      </c>
      <c r="Z2916" s="1" t="s">
        <v>20483</v>
      </c>
      <c r="AA2916" s="1" t="s">
        <v>46290</v>
      </c>
      <c r="AB2916" s="1" t="s">
        <v>46291</v>
      </c>
      <c r="AC2916" s="1" t="s">
        <v>46292</v>
      </c>
      <c r="AD2916" s="1" t="s">
        <v>46293</v>
      </c>
      <c r="AE2916" s="1" t="s">
        <v>46294</v>
      </c>
      <c r="AF2916" s="1" t="s">
        <v>74</v>
      </c>
      <c r="AG2916" s="1">
        <v>92</v>
      </c>
      <c r="AH2916" s="1">
        <v>27</v>
      </c>
      <c r="AI2916" s="1">
        <v>29</v>
      </c>
      <c r="AJ2916" s="1">
        <v>2</v>
      </c>
      <c r="AK2916" s="1">
        <v>37</v>
      </c>
      <c r="AL2916" s="1" t="s">
        <v>217</v>
      </c>
      <c r="AM2916" s="1" t="s">
        <v>218</v>
      </c>
      <c r="AN2916" s="1" t="s">
        <v>219</v>
      </c>
      <c r="AO2916" s="1" t="s">
        <v>220</v>
      </c>
      <c r="AP2916" s="1" t="s">
        <v>221</v>
      </c>
      <c r="AQ2916" s="1" t="s">
        <v>74</v>
      </c>
      <c r="AR2916" s="1" t="s">
        <v>222</v>
      </c>
      <c r="AS2916" s="1" t="s">
        <v>223</v>
      </c>
      <c r="AT2916" s="1" t="s">
        <v>142</v>
      </c>
      <c r="AU2916" s="1">
        <v>2016</v>
      </c>
      <c r="AV2916" s="1">
        <v>23</v>
      </c>
      <c r="AW2916" s="1">
        <v>12</v>
      </c>
      <c r="AX2916" s="1" t="s">
        <v>74</v>
      </c>
      <c r="AY2916" s="1" t="s">
        <v>74</v>
      </c>
      <c r="AZ2916" s="1" t="s">
        <v>74</v>
      </c>
      <c r="BA2916" s="1" t="s">
        <v>74</v>
      </c>
      <c r="BB2916" s="1">
        <v>11584</v>
      </c>
      <c r="BC2916" s="1">
        <v>11597</v>
      </c>
      <c r="BD2916" s="1" t="s">
        <v>74</v>
      </c>
      <c r="BE2916" s="1" t="s">
        <v>46295</v>
      </c>
      <c r="BF2916" s="1" t="str">
        <f>HYPERLINK("http://dx.doi.org/10.1007/s11356-016-6152-0","http://dx.doi.org/10.1007/s11356-016-6152-0")</f>
        <v>http://dx.doi.org/10.1007/s11356-016-6152-0</v>
      </c>
      <c r="BG2916" s="1" t="s">
        <v>74</v>
      </c>
      <c r="BH2916" s="1" t="s">
        <v>74</v>
      </c>
      <c r="BI2916" s="1">
        <v>14</v>
      </c>
      <c r="BJ2916" s="1" t="s">
        <v>144</v>
      </c>
      <c r="BK2916" s="1" t="s">
        <v>96</v>
      </c>
      <c r="BL2916" s="1" t="s">
        <v>145</v>
      </c>
      <c r="BM2916" s="1" t="s">
        <v>8617</v>
      </c>
      <c r="BN2916" s="1">
        <v>26931662</v>
      </c>
      <c r="BO2916" s="1" t="s">
        <v>74</v>
      </c>
      <c r="BP2916" s="1" t="s">
        <v>74</v>
      </c>
      <c r="BQ2916" s="1" t="s">
        <v>74</v>
      </c>
      <c r="BR2916" s="1" t="s">
        <v>98</v>
      </c>
      <c r="BS2916" s="1" t="s">
        <v>46296</v>
      </c>
      <c r="BT2916" s="1" t="str">
        <f>HYPERLINK("https%3A%2F%2Fwww.webofscience.com%2Fwos%2Fwoscc%2Ffull-record%2FWOS:000377476700015","View Full Record in Web of Science")</f>
        <v>View Full Record in Web of Science</v>
      </c>
      <c r="BU2916" s="1"/>
      <c r="BV2916" s="1"/>
    </row>
    <row r="2917" spans="1:74">
      <c r="A2917" s="1" t="s">
        <v>72</v>
      </c>
      <c r="B2917" s="1" t="s">
        <v>46297</v>
      </c>
      <c r="C2917" s="1" t="s">
        <v>74</v>
      </c>
      <c r="D2917" s="1" t="s">
        <v>74</v>
      </c>
      <c r="E2917" s="1" t="s">
        <v>74</v>
      </c>
      <c r="F2917" s="1" t="s">
        <v>46298</v>
      </c>
      <c r="G2917" s="1" t="s">
        <v>74</v>
      </c>
      <c r="H2917" s="1" t="s">
        <v>74</v>
      </c>
      <c r="I2917" s="1" t="s">
        <v>46299</v>
      </c>
      <c r="J2917" s="1" t="s">
        <v>3349</v>
      </c>
      <c r="K2917" s="1" t="s">
        <v>74</v>
      </c>
      <c r="L2917" s="1" t="s">
        <v>74</v>
      </c>
      <c r="M2917" s="1" t="s">
        <v>78</v>
      </c>
      <c r="N2917" s="1" t="s">
        <v>79</v>
      </c>
      <c r="O2917" s="1" t="s">
        <v>74</v>
      </c>
      <c r="P2917" s="1" t="s">
        <v>74</v>
      </c>
      <c r="Q2917" s="1" t="s">
        <v>74</v>
      </c>
      <c r="R2917" s="1" t="s">
        <v>74</v>
      </c>
      <c r="S2917" s="1" t="s">
        <v>74</v>
      </c>
      <c r="T2917" s="1" t="s">
        <v>46300</v>
      </c>
      <c r="U2917" s="1" t="s">
        <v>46301</v>
      </c>
      <c r="V2917" s="1" t="s">
        <v>46302</v>
      </c>
      <c r="W2917" s="1" t="s">
        <v>46303</v>
      </c>
      <c r="X2917" s="1" t="s">
        <v>26301</v>
      </c>
      <c r="Y2917" s="1" t="s">
        <v>23805</v>
      </c>
      <c r="Z2917" s="1" t="s">
        <v>9288</v>
      </c>
      <c r="AA2917" s="1" t="s">
        <v>46304</v>
      </c>
      <c r="AB2917" s="1" t="s">
        <v>46305</v>
      </c>
      <c r="AC2917" s="1" t="s">
        <v>46306</v>
      </c>
      <c r="AD2917" s="1" t="s">
        <v>46307</v>
      </c>
      <c r="AE2917" s="1" t="s">
        <v>46308</v>
      </c>
      <c r="AF2917" s="1" t="s">
        <v>74</v>
      </c>
      <c r="AG2917" s="1">
        <v>94</v>
      </c>
      <c r="AH2917" s="1">
        <v>84</v>
      </c>
      <c r="AI2917" s="1">
        <v>90</v>
      </c>
      <c r="AJ2917" s="1">
        <v>2</v>
      </c>
      <c r="AK2917" s="1">
        <v>57</v>
      </c>
      <c r="AL2917" s="1" t="s">
        <v>3362</v>
      </c>
      <c r="AM2917" s="1" t="s">
        <v>3363</v>
      </c>
      <c r="AN2917" s="1" t="s">
        <v>3364</v>
      </c>
      <c r="AO2917" s="1" t="s">
        <v>3365</v>
      </c>
      <c r="AP2917" s="1" t="s">
        <v>3366</v>
      </c>
      <c r="AQ2917" s="1" t="s">
        <v>74</v>
      </c>
      <c r="AR2917" s="1" t="s">
        <v>3367</v>
      </c>
      <c r="AS2917" s="1" t="s">
        <v>3368</v>
      </c>
      <c r="AT2917" s="1" t="s">
        <v>1470</v>
      </c>
      <c r="AU2917" s="1">
        <v>2018</v>
      </c>
      <c r="AV2917" s="1">
        <v>147</v>
      </c>
      <c r="AW2917" s="1" t="s">
        <v>74</v>
      </c>
      <c r="AX2917" s="1" t="s">
        <v>74</v>
      </c>
      <c r="AY2917" s="1" t="s">
        <v>74</v>
      </c>
      <c r="AZ2917" s="1" t="s">
        <v>74</v>
      </c>
      <c r="BA2917" s="1" t="s">
        <v>74</v>
      </c>
      <c r="BB2917" s="1">
        <v>954</v>
      </c>
      <c r="BC2917" s="1">
        <v>962</v>
      </c>
      <c r="BD2917" s="1" t="s">
        <v>74</v>
      </c>
      <c r="BE2917" s="1" t="s">
        <v>46309</v>
      </c>
      <c r="BF2917" s="1" t="str">
        <f>HYPERLINK("http://dx.doi.org/10.1016/j.ecoenv.2017.09.051","http://dx.doi.org/10.1016/j.ecoenv.2017.09.051")</f>
        <v>http://dx.doi.org/10.1016/j.ecoenv.2017.09.051</v>
      </c>
      <c r="BG2917" s="1" t="s">
        <v>74</v>
      </c>
      <c r="BH2917" s="1" t="s">
        <v>74</v>
      </c>
      <c r="BI2917" s="1">
        <v>9</v>
      </c>
      <c r="BJ2917" s="1" t="s">
        <v>121</v>
      </c>
      <c r="BK2917" s="1" t="s">
        <v>96</v>
      </c>
      <c r="BL2917" s="1" t="s">
        <v>122</v>
      </c>
      <c r="BM2917" s="1" t="s">
        <v>46310</v>
      </c>
      <c r="BN2917" s="1">
        <v>29029381</v>
      </c>
      <c r="BO2917" s="1" t="s">
        <v>74</v>
      </c>
      <c r="BP2917" s="1" t="s">
        <v>74</v>
      </c>
      <c r="BQ2917" s="1" t="s">
        <v>74</v>
      </c>
      <c r="BR2917" s="1" t="s">
        <v>98</v>
      </c>
      <c r="BS2917" s="1" t="s">
        <v>46311</v>
      </c>
      <c r="BT2917" s="1" t="str">
        <f>HYPERLINK("https%3A%2F%2Fwww.webofscience.com%2Fwos%2Fwoscc%2Ffull-record%2FWOS:000416199700117","View Full Record in Web of Science")</f>
        <v>View Full Record in Web of Science</v>
      </c>
      <c r="BU2917" s="1"/>
      <c r="BV2917" s="1"/>
    </row>
    <row r="2918" spans="1:74">
      <c r="A2918" s="1" t="s">
        <v>72</v>
      </c>
      <c r="B2918" s="1" t="s">
        <v>46312</v>
      </c>
      <c r="C2918" s="1" t="s">
        <v>74</v>
      </c>
      <c r="D2918" s="1" t="s">
        <v>74</v>
      </c>
      <c r="E2918" s="1" t="s">
        <v>74</v>
      </c>
      <c r="F2918" s="1" t="s">
        <v>46313</v>
      </c>
      <c r="G2918" s="1" t="s">
        <v>74</v>
      </c>
      <c r="H2918" s="1" t="s">
        <v>74</v>
      </c>
      <c r="I2918" s="1" t="s">
        <v>46314</v>
      </c>
      <c r="J2918" s="1" t="s">
        <v>31868</v>
      </c>
      <c r="K2918" s="1" t="s">
        <v>74</v>
      </c>
      <c r="L2918" s="1" t="s">
        <v>74</v>
      </c>
      <c r="M2918" s="1" t="s">
        <v>78</v>
      </c>
      <c r="N2918" s="1" t="s">
        <v>79</v>
      </c>
      <c r="O2918" s="1" t="s">
        <v>74</v>
      </c>
      <c r="P2918" s="1" t="s">
        <v>74</v>
      </c>
      <c r="Q2918" s="1" t="s">
        <v>74</v>
      </c>
      <c r="R2918" s="1" t="s">
        <v>74</v>
      </c>
      <c r="S2918" s="1" t="s">
        <v>74</v>
      </c>
      <c r="T2918" s="1" t="s">
        <v>74</v>
      </c>
      <c r="U2918" s="1" t="s">
        <v>46315</v>
      </c>
      <c r="V2918" s="1" t="s">
        <v>46316</v>
      </c>
      <c r="W2918" s="1" t="s">
        <v>46317</v>
      </c>
      <c r="X2918" s="1" t="s">
        <v>19550</v>
      </c>
      <c r="Y2918" s="1" t="s">
        <v>23078</v>
      </c>
      <c r="Z2918" s="1" t="s">
        <v>19552</v>
      </c>
      <c r="AA2918" s="1" t="s">
        <v>74</v>
      </c>
      <c r="AB2918" s="1" t="s">
        <v>74</v>
      </c>
      <c r="AC2918" s="1" t="s">
        <v>74</v>
      </c>
      <c r="AD2918" s="1" t="s">
        <v>74</v>
      </c>
      <c r="AE2918" s="1" t="s">
        <v>74</v>
      </c>
      <c r="AF2918" s="1" t="s">
        <v>74</v>
      </c>
      <c r="AG2918" s="1">
        <v>36</v>
      </c>
      <c r="AH2918" s="1">
        <v>24</v>
      </c>
      <c r="AI2918" s="1">
        <v>27</v>
      </c>
      <c r="AJ2918" s="1">
        <v>0</v>
      </c>
      <c r="AK2918" s="1">
        <v>14</v>
      </c>
      <c r="AL2918" s="1" t="s">
        <v>31879</v>
      </c>
      <c r="AM2918" s="1" t="s">
        <v>137</v>
      </c>
      <c r="AN2918" s="1" t="s">
        <v>31880</v>
      </c>
      <c r="AO2918" s="1" t="s">
        <v>31881</v>
      </c>
      <c r="AP2918" s="1" t="s">
        <v>31882</v>
      </c>
      <c r="AQ2918" s="1" t="s">
        <v>74</v>
      </c>
      <c r="AR2918" s="1" t="s">
        <v>31883</v>
      </c>
      <c r="AS2918" s="1" t="s">
        <v>31884</v>
      </c>
      <c r="AT2918" s="1" t="s">
        <v>119</v>
      </c>
      <c r="AU2918" s="1">
        <v>2009</v>
      </c>
      <c r="AV2918" s="1">
        <v>75</v>
      </c>
      <c r="AW2918" s="1" t="s">
        <v>74</v>
      </c>
      <c r="AX2918" s="1">
        <v>3</v>
      </c>
      <c r="AY2918" s="1" t="s">
        <v>74</v>
      </c>
      <c r="AZ2918" s="1" t="s">
        <v>74</v>
      </c>
      <c r="BA2918" s="1" t="s">
        <v>74</v>
      </c>
      <c r="BB2918" s="1">
        <v>261</v>
      </c>
      <c r="BC2918" s="1">
        <v>267</v>
      </c>
      <c r="BD2918" s="1" t="s">
        <v>74</v>
      </c>
      <c r="BE2918" s="1" t="s">
        <v>46318</v>
      </c>
      <c r="BF2918" s="1" t="str">
        <f>HYPERLINK("http://dx.doi.org/10.1093/mollus/eyp022","http://dx.doi.org/10.1093/mollus/eyp022")</f>
        <v>http://dx.doi.org/10.1093/mollus/eyp022</v>
      </c>
      <c r="BG2918" s="1" t="s">
        <v>74</v>
      </c>
      <c r="BH2918" s="1" t="s">
        <v>74</v>
      </c>
      <c r="BI2918" s="1">
        <v>7</v>
      </c>
      <c r="BJ2918" s="1" t="s">
        <v>7993</v>
      </c>
      <c r="BK2918" s="1" t="s">
        <v>96</v>
      </c>
      <c r="BL2918" s="1" t="s">
        <v>7993</v>
      </c>
      <c r="BM2918" s="1" t="s">
        <v>46319</v>
      </c>
      <c r="BN2918" s="1" t="s">
        <v>74</v>
      </c>
      <c r="BO2918" s="1" t="s">
        <v>370</v>
      </c>
      <c r="BP2918" s="1" t="s">
        <v>74</v>
      </c>
      <c r="BQ2918" s="1" t="s">
        <v>74</v>
      </c>
      <c r="BR2918" s="1" t="s">
        <v>98</v>
      </c>
      <c r="BS2918" s="1" t="s">
        <v>46320</v>
      </c>
      <c r="BT2918" s="1" t="str">
        <f>HYPERLINK("https%3A%2F%2Fwww.webofscience.com%2Fwos%2Fwoscc%2Ffull-record%2FWOS:000268114800007","View Full Record in Web of Science")</f>
        <v>View Full Record in Web of Science</v>
      </c>
      <c r="BU2918" s="1"/>
      <c r="BV2918" s="1"/>
    </row>
    <row r="2919" spans="1:74">
      <c r="A2919" s="1" t="s">
        <v>72</v>
      </c>
      <c r="B2919" s="1" t="s">
        <v>46321</v>
      </c>
      <c r="C2919" s="1" t="s">
        <v>74</v>
      </c>
      <c r="D2919" s="1" t="s">
        <v>74</v>
      </c>
      <c r="E2919" s="1" t="s">
        <v>74</v>
      </c>
      <c r="F2919" s="1" t="s">
        <v>46321</v>
      </c>
      <c r="G2919" s="1" t="s">
        <v>74</v>
      </c>
      <c r="H2919" s="1" t="s">
        <v>74</v>
      </c>
      <c r="I2919" s="1" t="s">
        <v>46322</v>
      </c>
      <c r="J2919" s="1" t="s">
        <v>752</v>
      </c>
      <c r="K2919" s="1" t="s">
        <v>74</v>
      </c>
      <c r="L2919" s="1" t="s">
        <v>74</v>
      </c>
      <c r="M2919" s="1" t="s">
        <v>78</v>
      </c>
      <c r="N2919" s="1" t="s">
        <v>151</v>
      </c>
      <c r="O2919" s="1" t="s">
        <v>16463</v>
      </c>
      <c r="P2919" s="1" t="s">
        <v>16464</v>
      </c>
      <c r="Q2919" s="1" t="s">
        <v>16465</v>
      </c>
      <c r="R2919" s="1" t="s">
        <v>74</v>
      </c>
      <c r="S2919" s="1" t="s">
        <v>74</v>
      </c>
      <c r="T2919" s="1" t="s">
        <v>74</v>
      </c>
      <c r="U2919" s="1" t="s">
        <v>46323</v>
      </c>
      <c r="V2919" s="1" t="s">
        <v>46324</v>
      </c>
      <c r="W2919" s="1" t="s">
        <v>46325</v>
      </c>
      <c r="X2919" s="1" t="s">
        <v>46326</v>
      </c>
      <c r="Y2919" s="1" t="s">
        <v>46327</v>
      </c>
      <c r="Z2919" s="1" t="s">
        <v>74</v>
      </c>
      <c r="AA2919" s="1" t="s">
        <v>46328</v>
      </c>
      <c r="AB2919" s="1" t="s">
        <v>46329</v>
      </c>
      <c r="AC2919" s="1" t="s">
        <v>74</v>
      </c>
      <c r="AD2919" s="1" t="s">
        <v>74</v>
      </c>
      <c r="AE2919" s="1" t="s">
        <v>74</v>
      </c>
      <c r="AF2919" s="1" t="s">
        <v>74</v>
      </c>
      <c r="AG2919" s="1">
        <v>9</v>
      </c>
      <c r="AH2919" s="1">
        <v>12</v>
      </c>
      <c r="AI2919" s="1">
        <v>13</v>
      </c>
      <c r="AJ2919" s="1">
        <v>0</v>
      </c>
      <c r="AK2919" s="1">
        <v>2</v>
      </c>
      <c r="AL2919" s="1" t="s">
        <v>430</v>
      </c>
      <c r="AM2919" s="1" t="s">
        <v>137</v>
      </c>
      <c r="AN2919" s="1" t="s">
        <v>431</v>
      </c>
      <c r="AO2919" s="1" t="s">
        <v>761</v>
      </c>
      <c r="AP2919" s="1" t="s">
        <v>762</v>
      </c>
      <c r="AQ2919" s="1" t="s">
        <v>74</v>
      </c>
      <c r="AR2919" s="1" t="s">
        <v>763</v>
      </c>
      <c r="AS2919" s="1" t="s">
        <v>764</v>
      </c>
      <c r="AT2919" s="1" t="s">
        <v>5113</v>
      </c>
      <c r="AU2919" s="1">
        <v>1998</v>
      </c>
      <c r="AV2919" s="1">
        <v>46</v>
      </c>
      <c r="AW2919" s="1" t="s">
        <v>9558</v>
      </c>
      <c r="AX2919" s="1" t="s">
        <v>74</v>
      </c>
      <c r="AY2919" s="1" t="s">
        <v>74</v>
      </c>
      <c r="AZ2919" s="1" t="s">
        <v>74</v>
      </c>
      <c r="BA2919" s="1" t="s">
        <v>74</v>
      </c>
      <c r="BB2919" s="1">
        <v>583</v>
      </c>
      <c r="BC2919" s="1">
        <v>586</v>
      </c>
      <c r="BD2919" s="1" t="s">
        <v>74</v>
      </c>
      <c r="BE2919" s="1" t="s">
        <v>46330</v>
      </c>
      <c r="BF2919" s="1" t="str">
        <f>HYPERLINK("http://dx.doi.org/10.1016/S0141-1136(97)00079-2","http://dx.doi.org/10.1016/S0141-1136(97)00079-2")</f>
        <v>http://dx.doi.org/10.1016/S0141-1136(97)00079-2</v>
      </c>
      <c r="BG2919" s="1" t="s">
        <v>74</v>
      </c>
      <c r="BH2919" s="1" t="s">
        <v>74</v>
      </c>
      <c r="BI2919" s="1">
        <v>4</v>
      </c>
      <c r="BJ2919" s="1" t="s">
        <v>768</v>
      </c>
      <c r="BK2919" s="1" t="s">
        <v>172</v>
      </c>
      <c r="BL2919" s="1" t="s">
        <v>769</v>
      </c>
      <c r="BM2919" s="1" t="s">
        <v>16472</v>
      </c>
      <c r="BN2919" s="1" t="s">
        <v>74</v>
      </c>
      <c r="BO2919" s="1" t="s">
        <v>74</v>
      </c>
      <c r="BP2919" s="1" t="s">
        <v>74</v>
      </c>
      <c r="BQ2919" s="1" t="s">
        <v>74</v>
      </c>
      <c r="BR2919" s="1" t="s">
        <v>98</v>
      </c>
      <c r="BS2919" s="1" t="s">
        <v>46331</v>
      </c>
      <c r="BT2919" s="1" t="str">
        <f>HYPERLINK("https%3A%2F%2Fwww.webofscience.com%2Fwos%2Fwoscc%2Ffull-record%2FWOS:000075806100120","View Full Record in Web of Science")</f>
        <v>View Full Record in Web of Science</v>
      </c>
      <c r="BU2919" s="1"/>
      <c r="BV2919" s="1"/>
    </row>
    <row r="2920" spans="1:74">
      <c r="A2920" s="1" t="s">
        <v>72</v>
      </c>
      <c r="B2920" s="1" t="s">
        <v>46332</v>
      </c>
      <c r="C2920" s="1" t="s">
        <v>74</v>
      </c>
      <c r="D2920" s="1" t="s">
        <v>74</v>
      </c>
      <c r="E2920" s="1" t="s">
        <v>74</v>
      </c>
      <c r="F2920" s="1" t="s">
        <v>46333</v>
      </c>
      <c r="G2920" s="1" t="s">
        <v>74</v>
      </c>
      <c r="H2920" s="1" t="s">
        <v>74</v>
      </c>
      <c r="I2920" s="1" t="s">
        <v>46334</v>
      </c>
      <c r="J2920" s="1" t="s">
        <v>421</v>
      </c>
      <c r="K2920" s="1" t="s">
        <v>74</v>
      </c>
      <c r="L2920" s="1" t="s">
        <v>74</v>
      </c>
      <c r="M2920" s="1" t="s">
        <v>78</v>
      </c>
      <c r="N2920" s="1" t="s">
        <v>79</v>
      </c>
      <c r="O2920" s="1" t="s">
        <v>74</v>
      </c>
      <c r="P2920" s="1" t="s">
        <v>74</v>
      </c>
      <c r="Q2920" s="1" t="s">
        <v>74</v>
      </c>
      <c r="R2920" s="1" t="s">
        <v>74</v>
      </c>
      <c r="S2920" s="1" t="s">
        <v>74</v>
      </c>
      <c r="T2920" s="1" t="s">
        <v>46335</v>
      </c>
      <c r="U2920" s="1" t="s">
        <v>46336</v>
      </c>
      <c r="V2920" s="1" t="s">
        <v>46337</v>
      </c>
      <c r="W2920" s="1" t="s">
        <v>46338</v>
      </c>
      <c r="X2920" s="1" t="s">
        <v>46339</v>
      </c>
      <c r="Y2920" s="1" t="s">
        <v>46340</v>
      </c>
      <c r="Z2920" s="1" t="s">
        <v>46341</v>
      </c>
      <c r="AA2920" s="1" t="s">
        <v>46342</v>
      </c>
      <c r="AB2920" s="1" t="s">
        <v>46343</v>
      </c>
      <c r="AC2920" s="1" t="s">
        <v>46344</v>
      </c>
      <c r="AD2920" s="1" t="s">
        <v>46345</v>
      </c>
      <c r="AE2920" s="1" t="s">
        <v>46346</v>
      </c>
      <c r="AF2920" s="1" t="s">
        <v>74</v>
      </c>
      <c r="AG2920" s="1">
        <v>65</v>
      </c>
      <c r="AH2920" s="1">
        <v>320</v>
      </c>
      <c r="AI2920" s="1">
        <v>344</v>
      </c>
      <c r="AJ2920" s="1">
        <v>18</v>
      </c>
      <c r="AK2920" s="1">
        <v>347</v>
      </c>
      <c r="AL2920" s="1" t="s">
        <v>430</v>
      </c>
      <c r="AM2920" s="1" t="s">
        <v>137</v>
      </c>
      <c r="AN2920" s="1" t="s">
        <v>431</v>
      </c>
      <c r="AO2920" s="1" t="s">
        <v>432</v>
      </c>
      <c r="AP2920" s="1" t="s">
        <v>1394</v>
      </c>
      <c r="AQ2920" s="1" t="s">
        <v>74</v>
      </c>
      <c r="AR2920" s="1" t="s">
        <v>433</v>
      </c>
      <c r="AS2920" s="1" t="s">
        <v>434</v>
      </c>
      <c r="AT2920" s="1" t="s">
        <v>267</v>
      </c>
      <c r="AU2920" s="1">
        <v>2018</v>
      </c>
      <c r="AV2920" s="1">
        <v>241</v>
      </c>
      <c r="AW2920" s="1" t="s">
        <v>74</v>
      </c>
      <c r="AX2920" s="1" t="s">
        <v>74</v>
      </c>
      <c r="AY2920" s="1" t="s">
        <v>74</v>
      </c>
      <c r="AZ2920" s="1" t="s">
        <v>74</v>
      </c>
      <c r="BA2920" s="1" t="s">
        <v>74</v>
      </c>
      <c r="BB2920" s="1">
        <v>35</v>
      </c>
      <c r="BC2920" s="1">
        <v>44</v>
      </c>
      <c r="BD2920" s="1" t="s">
        <v>74</v>
      </c>
      <c r="BE2920" s="1" t="s">
        <v>46347</v>
      </c>
      <c r="BF2920" s="1" t="str">
        <f>HYPERLINK("http://dx.doi.org/10.1016/j.envpol.2018.05.038","http://dx.doi.org/10.1016/j.envpol.2018.05.038")</f>
        <v>http://dx.doi.org/10.1016/j.envpol.2018.05.038</v>
      </c>
      <c r="BG2920" s="1" t="s">
        <v>74</v>
      </c>
      <c r="BH2920" s="1" t="s">
        <v>74</v>
      </c>
      <c r="BI2920" s="1">
        <v>10</v>
      </c>
      <c r="BJ2920" s="1" t="s">
        <v>144</v>
      </c>
      <c r="BK2920" s="1" t="s">
        <v>96</v>
      </c>
      <c r="BL2920" s="1" t="s">
        <v>145</v>
      </c>
      <c r="BM2920" s="1" t="s">
        <v>26094</v>
      </c>
      <c r="BN2920" s="1">
        <v>29793106</v>
      </c>
      <c r="BO2920" s="1" t="s">
        <v>6830</v>
      </c>
      <c r="BP2920" s="1" t="s">
        <v>74</v>
      </c>
      <c r="BQ2920" s="1" t="s">
        <v>74</v>
      </c>
      <c r="BR2920" s="1" t="s">
        <v>98</v>
      </c>
      <c r="BS2920" s="1" t="s">
        <v>46348</v>
      </c>
      <c r="BT2920" s="1" t="str">
        <f>HYPERLINK("https%3A%2F%2Fwww.webofscience.com%2Fwos%2Fwoscc%2Ffull-record%2FWOS:000440390800005","View Full Record in Web of Science")</f>
        <v>View Full Record in Web of Science</v>
      </c>
      <c r="BU2920" s="1"/>
      <c r="BV2920" s="1"/>
    </row>
    <row r="2921" spans="1:74">
      <c r="A2921" s="1" t="s">
        <v>72</v>
      </c>
      <c r="B2921" s="1" t="s">
        <v>46349</v>
      </c>
      <c r="C2921" s="1" t="s">
        <v>74</v>
      </c>
      <c r="D2921" s="1" t="s">
        <v>74</v>
      </c>
      <c r="E2921" s="1" t="s">
        <v>74</v>
      </c>
      <c r="F2921" s="1" t="s">
        <v>46350</v>
      </c>
      <c r="G2921" s="1" t="s">
        <v>74</v>
      </c>
      <c r="H2921" s="1" t="s">
        <v>74</v>
      </c>
      <c r="I2921" s="1" t="s">
        <v>46351</v>
      </c>
      <c r="J2921" s="1" t="s">
        <v>3005</v>
      </c>
      <c r="K2921" s="1" t="s">
        <v>74</v>
      </c>
      <c r="L2921" s="1" t="s">
        <v>74</v>
      </c>
      <c r="M2921" s="1" t="s">
        <v>78</v>
      </c>
      <c r="N2921" s="1" t="s">
        <v>79</v>
      </c>
      <c r="O2921" s="1" t="s">
        <v>74</v>
      </c>
      <c r="P2921" s="1" t="s">
        <v>74</v>
      </c>
      <c r="Q2921" s="1" t="s">
        <v>74</v>
      </c>
      <c r="R2921" s="1" t="s">
        <v>74</v>
      </c>
      <c r="S2921" s="1" t="s">
        <v>74</v>
      </c>
      <c r="T2921" s="1" t="s">
        <v>46352</v>
      </c>
      <c r="U2921" s="1" t="s">
        <v>46353</v>
      </c>
      <c r="V2921" s="1" t="s">
        <v>46354</v>
      </c>
      <c r="W2921" s="1" t="s">
        <v>46355</v>
      </c>
      <c r="X2921" s="1" t="s">
        <v>46356</v>
      </c>
      <c r="Y2921" s="1" t="s">
        <v>46357</v>
      </c>
      <c r="Z2921" s="1" t="s">
        <v>46358</v>
      </c>
      <c r="AA2921" s="1" t="s">
        <v>46359</v>
      </c>
      <c r="AB2921" s="1" t="s">
        <v>46360</v>
      </c>
      <c r="AC2921" s="1" t="s">
        <v>74</v>
      </c>
      <c r="AD2921" s="1" t="s">
        <v>74</v>
      </c>
      <c r="AE2921" s="1" t="s">
        <v>74</v>
      </c>
      <c r="AF2921" s="1" t="s">
        <v>74</v>
      </c>
      <c r="AG2921" s="1">
        <v>42</v>
      </c>
      <c r="AH2921" s="1">
        <v>19</v>
      </c>
      <c r="AI2921" s="1">
        <v>20</v>
      </c>
      <c r="AJ2921" s="1">
        <v>0</v>
      </c>
      <c r="AK2921" s="1">
        <v>13</v>
      </c>
      <c r="AL2921" s="1" t="s">
        <v>2904</v>
      </c>
      <c r="AM2921" s="1" t="s">
        <v>2905</v>
      </c>
      <c r="AN2921" s="1" t="s">
        <v>2906</v>
      </c>
      <c r="AO2921" s="1" t="s">
        <v>3010</v>
      </c>
      <c r="AP2921" s="1" t="s">
        <v>18833</v>
      </c>
      <c r="AQ2921" s="1" t="s">
        <v>74</v>
      </c>
      <c r="AR2921" s="1" t="s">
        <v>3011</v>
      </c>
      <c r="AS2921" s="1" t="s">
        <v>3012</v>
      </c>
      <c r="AT2921" s="1" t="s">
        <v>3312</v>
      </c>
      <c r="AU2921" s="1">
        <v>2014</v>
      </c>
      <c r="AV2921" s="1">
        <v>111</v>
      </c>
      <c r="AW2921" s="1">
        <v>3</v>
      </c>
      <c r="AX2921" s="1" t="s">
        <v>74</v>
      </c>
      <c r="AY2921" s="1" t="s">
        <v>74</v>
      </c>
      <c r="AZ2921" s="1" t="s">
        <v>74</v>
      </c>
      <c r="BA2921" s="1" t="s">
        <v>74</v>
      </c>
      <c r="BB2921" s="1">
        <v>259</v>
      </c>
      <c r="BC2921" s="1">
        <v>267</v>
      </c>
      <c r="BD2921" s="1" t="s">
        <v>74</v>
      </c>
      <c r="BE2921" s="1" t="s">
        <v>46361</v>
      </c>
      <c r="BF2921" s="1" t="str">
        <f>HYPERLINK("http://dx.doi.org/10.3354/dao02769","http://dx.doi.org/10.3354/dao02769")</f>
        <v>http://dx.doi.org/10.3354/dao02769</v>
      </c>
      <c r="BG2921" s="1" t="s">
        <v>74</v>
      </c>
      <c r="BH2921" s="1" t="s">
        <v>74</v>
      </c>
      <c r="BI2921" s="1">
        <v>9</v>
      </c>
      <c r="BJ2921" s="1" t="s">
        <v>368</v>
      </c>
      <c r="BK2921" s="1" t="s">
        <v>96</v>
      </c>
      <c r="BL2921" s="1" t="s">
        <v>368</v>
      </c>
      <c r="BM2921" s="1" t="s">
        <v>46362</v>
      </c>
      <c r="BN2921" s="1">
        <v>25320038</v>
      </c>
      <c r="BO2921" s="1" t="s">
        <v>9583</v>
      </c>
      <c r="BP2921" s="1" t="s">
        <v>74</v>
      </c>
      <c r="BQ2921" s="1" t="s">
        <v>74</v>
      </c>
      <c r="BR2921" s="1" t="s">
        <v>98</v>
      </c>
      <c r="BS2921" s="1" t="s">
        <v>46363</v>
      </c>
      <c r="BT2921" s="1" t="str">
        <f>HYPERLINK("https%3A%2F%2Fwww.webofscience.com%2Fwos%2Fwoscc%2Ffull-record%2FWOS:000345700200008","View Full Record in Web of Science")</f>
        <v>View Full Record in Web of Science</v>
      </c>
      <c r="BU2921" s="1"/>
      <c r="BV2921" s="1"/>
    </row>
    <row r="2922" spans="1:74">
      <c r="A2922" s="1" t="s">
        <v>72</v>
      </c>
      <c r="B2922" s="1" t="s">
        <v>46364</v>
      </c>
      <c r="C2922" s="1" t="s">
        <v>74</v>
      </c>
      <c r="D2922" s="1" t="s">
        <v>74</v>
      </c>
      <c r="E2922" s="1" t="s">
        <v>74</v>
      </c>
      <c r="F2922" s="1" t="s">
        <v>46365</v>
      </c>
      <c r="G2922" s="1" t="s">
        <v>74</v>
      </c>
      <c r="H2922" s="1" t="s">
        <v>74</v>
      </c>
      <c r="I2922" s="1" t="s">
        <v>46366</v>
      </c>
      <c r="J2922" s="1" t="s">
        <v>495</v>
      </c>
      <c r="K2922" s="1" t="s">
        <v>74</v>
      </c>
      <c r="L2922" s="1" t="s">
        <v>74</v>
      </c>
      <c r="M2922" s="1" t="s">
        <v>78</v>
      </c>
      <c r="N2922" s="1" t="s">
        <v>151</v>
      </c>
      <c r="O2922" s="1" t="s">
        <v>46367</v>
      </c>
      <c r="P2922" s="1" t="s">
        <v>46368</v>
      </c>
      <c r="Q2922" s="1" t="s">
        <v>46369</v>
      </c>
      <c r="R2922" s="1" t="s">
        <v>74</v>
      </c>
      <c r="S2922" s="1" t="s">
        <v>74</v>
      </c>
      <c r="T2922" s="1" t="s">
        <v>46370</v>
      </c>
      <c r="U2922" s="1" t="s">
        <v>46371</v>
      </c>
      <c r="V2922" s="1" t="s">
        <v>46372</v>
      </c>
      <c r="W2922" s="1" t="s">
        <v>46373</v>
      </c>
      <c r="X2922" s="1" t="s">
        <v>46374</v>
      </c>
      <c r="Y2922" s="1" t="s">
        <v>46375</v>
      </c>
      <c r="Z2922" s="1" t="s">
        <v>46376</v>
      </c>
      <c r="AA2922" s="1" t="s">
        <v>46377</v>
      </c>
      <c r="AB2922" s="1" t="s">
        <v>46378</v>
      </c>
      <c r="AC2922" s="1" t="s">
        <v>74</v>
      </c>
      <c r="AD2922" s="1" t="s">
        <v>74</v>
      </c>
      <c r="AE2922" s="1" t="s">
        <v>74</v>
      </c>
      <c r="AF2922" s="1" t="s">
        <v>74</v>
      </c>
      <c r="AG2922" s="1">
        <v>23</v>
      </c>
      <c r="AH2922" s="1">
        <v>15</v>
      </c>
      <c r="AI2922" s="1">
        <v>15</v>
      </c>
      <c r="AJ2922" s="1">
        <v>0</v>
      </c>
      <c r="AK2922" s="1">
        <v>6</v>
      </c>
      <c r="AL2922" s="1" t="s">
        <v>1030</v>
      </c>
      <c r="AM2922" s="1" t="s">
        <v>1031</v>
      </c>
      <c r="AN2922" s="1" t="s">
        <v>1032</v>
      </c>
      <c r="AO2922" s="1" t="s">
        <v>507</v>
      </c>
      <c r="AP2922" s="1" t="s">
        <v>1033</v>
      </c>
      <c r="AQ2922" s="1" t="s">
        <v>74</v>
      </c>
      <c r="AR2922" s="1" t="s">
        <v>508</v>
      </c>
      <c r="AS2922" s="1" t="s">
        <v>509</v>
      </c>
      <c r="AT2922" s="1" t="s">
        <v>74</v>
      </c>
      <c r="AU2922" s="1">
        <v>2008</v>
      </c>
      <c r="AV2922" s="1">
        <v>17</v>
      </c>
      <c r="AW2922" s="1" t="s">
        <v>3279</v>
      </c>
      <c r="AX2922" s="1" t="s">
        <v>74</v>
      </c>
      <c r="AY2922" s="1" t="s">
        <v>74</v>
      </c>
      <c r="AZ2922" s="1" t="s">
        <v>225</v>
      </c>
      <c r="BA2922" s="1" t="s">
        <v>74</v>
      </c>
      <c r="BB2922" s="1">
        <v>1466</v>
      </c>
      <c r="BC2922" s="1">
        <v>1470</v>
      </c>
      <c r="BD2922" s="1" t="s">
        <v>74</v>
      </c>
      <c r="BE2922" s="1" t="s">
        <v>74</v>
      </c>
      <c r="BF2922" s="1" t="s">
        <v>74</v>
      </c>
      <c r="BG2922" s="1" t="s">
        <v>74</v>
      </c>
      <c r="BH2922" s="1" t="s">
        <v>74</v>
      </c>
      <c r="BI2922" s="1">
        <v>5</v>
      </c>
      <c r="BJ2922" s="1" t="s">
        <v>144</v>
      </c>
      <c r="BK2922" s="1" t="s">
        <v>172</v>
      </c>
      <c r="BL2922" s="1" t="s">
        <v>145</v>
      </c>
      <c r="BM2922" s="1" t="s">
        <v>46379</v>
      </c>
      <c r="BN2922" s="1" t="s">
        <v>74</v>
      </c>
      <c r="BO2922" s="1" t="s">
        <v>74</v>
      </c>
      <c r="BP2922" s="1" t="s">
        <v>74</v>
      </c>
      <c r="BQ2922" s="1" t="s">
        <v>74</v>
      </c>
      <c r="BR2922" s="1" t="s">
        <v>98</v>
      </c>
      <c r="BS2922" s="1" t="s">
        <v>46380</v>
      </c>
      <c r="BT2922" s="1" t="str">
        <f>HYPERLINK("https%3A%2F%2Fwww.webofscience.com%2Fwos%2Fwoscc%2Ffull-record%2FWOS:000260802100012","View Full Record in Web of Science")</f>
        <v>View Full Record in Web of Science</v>
      </c>
      <c r="BU2922" s="1"/>
      <c r="BV2922" s="1"/>
    </row>
    <row r="2923" spans="1:74">
      <c r="A2923" s="1" t="s">
        <v>72</v>
      </c>
      <c r="B2923" s="1" t="s">
        <v>46381</v>
      </c>
      <c r="C2923" s="1" t="s">
        <v>74</v>
      </c>
      <c r="D2923" s="1" t="s">
        <v>74</v>
      </c>
      <c r="E2923" s="1" t="s">
        <v>74</v>
      </c>
      <c r="F2923" s="1" t="s">
        <v>46381</v>
      </c>
      <c r="G2923" s="1" t="s">
        <v>74</v>
      </c>
      <c r="H2923" s="1" t="s">
        <v>74</v>
      </c>
      <c r="I2923" s="1" t="s">
        <v>46382</v>
      </c>
      <c r="J2923" s="1" t="s">
        <v>1756</v>
      </c>
      <c r="K2923" s="1" t="s">
        <v>74</v>
      </c>
      <c r="L2923" s="1" t="s">
        <v>74</v>
      </c>
      <c r="M2923" s="1" t="s">
        <v>78</v>
      </c>
      <c r="N2923" s="1" t="s">
        <v>79</v>
      </c>
      <c r="O2923" s="1" t="s">
        <v>74</v>
      </c>
      <c r="P2923" s="1" t="s">
        <v>74</v>
      </c>
      <c r="Q2923" s="1" t="s">
        <v>74</v>
      </c>
      <c r="R2923" s="1" t="s">
        <v>74</v>
      </c>
      <c r="S2923" s="1" t="s">
        <v>74</v>
      </c>
      <c r="T2923" s="1" t="s">
        <v>46383</v>
      </c>
      <c r="U2923" s="1" t="s">
        <v>46384</v>
      </c>
      <c r="V2923" s="1" t="s">
        <v>46385</v>
      </c>
      <c r="W2923" s="1" t="s">
        <v>74</v>
      </c>
      <c r="X2923" s="1" t="s">
        <v>74</v>
      </c>
      <c r="Y2923" s="1" t="s">
        <v>46386</v>
      </c>
      <c r="Z2923" s="1" t="s">
        <v>74</v>
      </c>
      <c r="AA2923" s="1" t="s">
        <v>74</v>
      </c>
      <c r="AB2923" s="1" t="s">
        <v>74</v>
      </c>
      <c r="AC2923" s="1" t="s">
        <v>74</v>
      </c>
      <c r="AD2923" s="1" t="s">
        <v>74</v>
      </c>
      <c r="AE2923" s="1" t="s">
        <v>74</v>
      </c>
      <c r="AF2923" s="1" t="s">
        <v>74</v>
      </c>
      <c r="AG2923" s="1">
        <v>44</v>
      </c>
      <c r="AH2923" s="1">
        <v>18</v>
      </c>
      <c r="AI2923" s="1">
        <v>22</v>
      </c>
      <c r="AJ2923" s="1">
        <v>0</v>
      </c>
      <c r="AK2923" s="1">
        <v>15</v>
      </c>
      <c r="AL2923" s="1" t="s">
        <v>24031</v>
      </c>
      <c r="AM2923" s="1" t="s">
        <v>24032</v>
      </c>
      <c r="AN2923" s="1" t="s">
        <v>24033</v>
      </c>
      <c r="AO2923" s="1" t="s">
        <v>1764</v>
      </c>
      <c r="AP2923" s="1" t="s">
        <v>74</v>
      </c>
      <c r="AQ2923" s="1" t="s">
        <v>74</v>
      </c>
      <c r="AR2923" s="1" t="s">
        <v>1766</v>
      </c>
      <c r="AS2923" s="1" t="s">
        <v>1767</v>
      </c>
      <c r="AT2923" s="1" t="s">
        <v>305</v>
      </c>
      <c r="AU2923" s="1">
        <v>1994</v>
      </c>
      <c r="AV2923" s="1">
        <v>13</v>
      </c>
      <c r="AW2923" s="1">
        <v>9</v>
      </c>
      <c r="AX2923" s="1" t="s">
        <v>74</v>
      </c>
      <c r="AY2923" s="1" t="s">
        <v>74</v>
      </c>
      <c r="AZ2923" s="1" t="s">
        <v>74</v>
      </c>
      <c r="BA2923" s="1" t="s">
        <v>74</v>
      </c>
      <c r="BB2923" s="1">
        <v>1433</v>
      </c>
      <c r="BC2923" s="1">
        <v>1443</v>
      </c>
      <c r="BD2923" s="1" t="s">
        <v>74</v>
      </c>
      <c r="BE2923" s="1" t="s">
        <v>46387</v>
      </c>
      <c r="BF2923" s="1" t="str">
        <f>HYPERLINK("http://dx.doi.org/10.1897/1552-8618(1994)13[1433:IOSASO]2.0.CO;2","http://dx.doi.org/10.1897/1552-8618(1994)13[1433:IOSASO]2.0.CO;2")</f>
        <v>http://dx.doi.org/10.1897/1552-8618(1994)13[1433:IOSASO]2.0.CO;2</v>
      </c>
      <c r="BG2923" s="1" t="s">
        <v>74</v>
      </c>
      <c r="BH2923" s="1" t="s">
        <v>74</v>
      </c>
      <c r="BI2923" s="1">
        <v>11</v>
      </c>
      <c r="BJ2923" s="1" t="s">
        <v>121</v>
      </c>
      <c r="BK2923" s="1" t="s">
        <v>96</v>
      </c>
      <c r="BL2923" s="1" t="s">
        <v>122</v>
      </c>
      <c r="BM2923" s="1" t="s">
        <v>46388</v>
      </c>
      <c r="BN2923" s="1" t="s">
        <v>74</v>
      </c>
      <c r="BO2923" s="1" t="s">
        <v>74</v>
      </c>
      <c r="BP2923" s="1" t="s">
        <v>74</v>
      </c>
      <c r="BQ2923" s="1" t="s">
        <v>74</v>
      </c>
      <c r="BR2923" s="1" t="s">
        <v>98</v>
      </c>
      <c r="BS2923" s="1" t="s">
        <v>46389</v>
      </c>
      <c r="BT2923" s="1" t="str">
        <f>HYPERLINK("https%3A%2F%2Fwww.webofscience.com%2Fwos%2Fwoscc%2Ffull-record%2FWOS:A1994PE17000007","View Full Record in Web of Science")</f>
        <v>View Full Record in Web of Science</v>
      </c>
      <c r="BU2923" s="1"/>
      <c r="BV2923" s="1"/>
    </row>
    <row r="2924" spans="1:74">
      <c r="A2924" s="1" t="s">
        <v>72</v>
      </c>
      <c r="B2924" s="1" t="s">
        <v>46390</v>
      </c>
      <c r="C2924" s="1" t="s">
        <v>74</v>
      </c>
      <c r="D2924" s="1" t="s">
        <v>74</v>
      </c>
      <c r="E2924" s="1" t="s">
        <v>74</v>
      </c>
      <c r="F2924" s="1" t="s">
        <v>46391</v>
      </c>
      <c r="G2924" s="1" t="s">
        <v>74</v>
      </c>
      <c r="H2924" s="1" t="s">
        <v>74</v>
      </c>
      <c r="I2924" s="1" t="s">
        <v>46392</v>
      </c>
      <c r="J2924" s="1" t="s">
        <v>232</v>
      </c>
      <c r="K2924" s="1" t="s">
        <v>74</v>
      </c>
      <c r="L2924" s="1" t="s">
        <v>74</v>
      </c>
      <c r="M2924" s="1" t="s">
        <v>78</v>
      </c>
      <c r="N2924" s="1" t="s">
        <v>79</v>
      </c>
      <c r="O2924" s="1" t="s">
        <v>74</v>
      </c>
      <c r="P2924" s="1" t="s">
        <v>74</v>
      </c>
      <c r="Q2924" s="1" t="s">
        <v>74</v>
      </c>
      <c r="R2924" s="1" t="s">
        <v>74</v>
      </c>
      <c r="S2924" s="1" t="s">
        <v>74</v>
      </c>
      <c r="T2924" s="1" t="s">
        <v>46393</v>
      </c>
      <c r="U2924" s="1" t="s">
        <v>46394</v>
      </c>
      <c r="V2924" s="1" t="s">
        <v>46395</v>
      </c>
      <c r="W2924" s="1" t="s">
        <v>46396</v>
      </c>
      <c r="X2924" s="1" t="s">
        <v>21792</v>
      </c>
      <c r="Y2924" s="1" t="s">
        <v>46397</v>
      </c>
      <c r="Z2924" s="1" t="s">
        <v>22145</v>
      </c>
      <c r="AA2924" s="1" t="s">
        <v>74</v>
      </c>
      <c r="AB2924" s="1" t="s">
        <v>46398</v>
      </c>
      <c r="AC2924" s="1" t="s">
        <v>46399</v>
      </c>
      <c r="AD2924" s="1" t="s">
        <v>46400</v>
      </c>
      <c r="AE2924" s="1" t="s">
        <v>46401</v>
      </c>
      <c r="AF2924" s="1" t="s">
        <v>74</v>
      </c>
      <c r="AG2924" s="1">
        <v>65</v>
      </c>
      <c r="AH2924" s="1">
        <v>48</v>
      </c>
      <c r="AI2924" s="1">
        <v>50</v>
      </c>
      <c r="AJ2924" s="1">
        <v>1</v>
      </c>
      <c r="AK2924" s="1">
        <v>34</v>
      </c>
      <c r="AL2924" s="1" t="s">
        <v>136</v>
      </c>
      <c r="AM2924" s="1" t="s">
        <v>137</v>
      </c>
      <c r="AN2924" s="1" t="s">
        <v>138</v>
      </c>
      <c r="AO2924" s="1" t="s">
        <v>240</v>
      </c>
      <c r="AP2924" s="1" t="s">
        <v>241</v>
      </c>
      <c r="AQ2924" s="1" t="s">
        <v>74</v>
      </c>
      <c r="AR2924" s="1" t="s">
        <v>242</v>
      </c>
      <c r="AS2924" s="1" t="s">
        <v>243</v>
      </c>
      <c r="AT2924" s="1" t="s">
        <v>387</v>
      </c>
      <c r="AU2924" s="1">
        <v>2016</v>
      </c>
      <c r="AV2924" s="1">
        <v>106</v>
      </c>
      <c r="AW2924" s="1" t="s">
        <v>326</v>
      </c>
      <c r="AX2924" s="1" t="s">
        <v>74</v>
      </c>
      <c r="AY2924" s="1" t="s">
        <v>74</v>
      </c>
      <c r="AZ2924" s="1" t="s">
        <v>74</v>
      </c>
      <c r="BA2924" s="1" t="s">
        <v>74</v>
      </c>
      <c r="BB2924" s="1">
        <v>274</v>
      </c>
      <c r="BC2924" s="1">
        <v>282</v>
      </c>
      <c r="BD2924" s="1" t="s">
        <v>74</v>
      </c>
      <c r="BE2924" s="1" t="s">
        <v>46402</v>
      </c>
      <c r="BF2924" s="1" t="str">
        <f>HYPERLINK("http://dx.doi.org/10.1016/j.marpolbul.2015.12.025","http://dx.doi.org/10.1016/j.marpolbul.2015.12.025")</f>
        <v>http://dx.doi.org/10.1016/j.marpolbul.2015.12.025</v>
      </c>
      <c r="BG2924" s="1" t="s">
        <v>74</v>
      </c>
      <c r="BH2924" s="1" t="s">
        <v>74</v>
      </c>
      <c r="BI2924" s="1">
        <v>9</v>
      </c>
      <c r="BJ2924" s="1" t="s">
        <v>247</v>
      </c>
      <c r="BK2924" s="1" t="s">
        <v>96</v>
      </c>
      <c r="BL2924" s="1" t="s">
        <v>248</v>
      </c>
      <c r="BM2924" s="1" t="s">
        <v>31097</v>
      </c>
      <c r="BN2924" s="1">
        <v>26874748</v>
      </c>
      <c r="BO2924" s="1" t="s">
        <v>74</v>
      </c>
      <c r="BP2924" s="1" t="s">
        <v>74</v>
      </c>
      <c r="BQ2924" s="1" t="s">
        <v>74</v>
      </c>
      <c r="BR2924" s="1" t="s">
        <v>98</v>
      </c>
      <c r="BS2924" s="1" t="s">
        <v>46403</v>
      </c>
      <c r="BT2924" s="1" t="str">
        <f>HYPERLINK("https%3A%2F%2Fwww.webofscience.com%2Fwos%2Fwoscc%2Ffull-record%2FWOS:000376545900044","View Full Record in Web of Science")</f>
        <v>View Full Record in Web of Science</v>
      </c>
      <c r="BU2924" s="1"/>
      <c r="BV2924" s="1"/>
    </row>
    <row r="2925" spans="1:74">
      <c r="A2925" s="1" t="s">
        <v>72</v>
      </c>
      <c r="B2925" s="1" t="s">
        <v>46404</v>
      </c>
      <c r="C2925" s="1" t="s">
        <v>74</v>
      </c>
      <c r="D2925" s="1" t="s">
        <v>74</v>
      </c>
      <c r="E2925" s="1" t="s">
        <v>74</v>
      </c>
      <c r="F2925" s="1" t="s">
        <v>46405</v>
      </c>
      <c r="G2925" s="1" t="s">
        <v>74</v>
      </c>
      <c r="H2925" s="1" t="s">
        <v>74</v>
      </c>
      <c r="I2925" s="1" t="s">
        <v>46406</v>
      </c>
      <c r="J2925" s="1" t="s">
        <v>17604</v>
      </c>
      <c r="K2925" s="1" t="s">
        <v>74</v>
      </c>
      <c r="L2925" s="1" t="s">
        <v>74</v>
      </c>
      <c r="M2925" s="1" t="s">
        <v>78</v>
      </c>
      <c r="N2925" s="1" t="s">
        <v>79</v>
      </c>
      <c r="O2925" s="1" t="s">
        <v>74</v>
      </c>
      <c r="P2925" s="1" t="s">
        <v>74</v>
      </c>
      <c r="Q2925" s="1" t="s">
        <v>74</v>
      </c>
      <c r="R2925" s="1" t="s">
        <v>74</v>
      </c>
      <c r="S2925" s="1" t="s">
        <v>74</v>
      </c>
      <c r="T2925" s="1" t="s">
        <v>46407</v>
      </c>
      <c r="U2925" s="1" t="s">
        <v>46408</v>
      </c>
      <c r="V2925" s="1" t="s">
        <v>46409</v>
      </c>
      <c r="W2925" s="1" t="s">
        <v>46410</v>
      </c>
      <c r="X2925" s="1" t="s">
        <v>9952</v>
      </c>
      <c r="Y2925" s="1" t="s">
        <v>37267</v>
      </c>
      <c r="Z2925" s="1" t="s">
        <v>21443</v>
      </c>
      <c r="AA2925" s="1" t="s">
        <v>38001</v>
      </c>
      <c r="AB2925" s="1" t="s">
        <v>38002</v>
      </c>
      <c r="AC2925" s="1" t="s">
        <v>46411</v>
      </c>
      <c r="AD2925" s="1" t="s">
        <v>46412</v>
      </c>
      <c r="AE2925" s="1" t="s">
        <v>46413</v>
      </c>
      <c r="AF2925" s="1" t="s">
        <v>74</v>
      </c>
      <c r="AG2925" s="1">
        <v>56</v>
      </c>
      <c r="AH2925" s="1">
        <v>12</v>
      </c>
      <c r="AI2925" s="1">
        <v>14</v>
      </c>
      <c r="AJ2925" s="1">
        <v>0</v>
      </c>
      <c r="AK2925" s="1">
        <v>39</v>
      </c>
      <c r="AL2925" s="1" t="s">
        <v>650</v>
      </c>
      <c r="AM2925" s="1" t="s">
        <v>651</v>
      </c>
      <c r="AN2925" s="1" t="s">
        <v>652</v>
      </c>
      <c r="AO2925" s="1" t="s">
        <v>17613</v>
      </c>
      <c r="AP2925" s="1" t="s">
        <v>17614</v>
      </c>
      <c r="AQ2925" s="1" t="s">
        <v>74</v>
      </c>
      <c r="AR2925" s="1" t="s">
        <v>17615</v>
      </c>
      <c r="AS2925" s="1" t="s">
        <v>17616</v>
      </c>
      <c r="AT2925" s="1" t="s">
        <v>765</v>
      </c>
      <c r="AU2925" s="1">
        <v>2013</v>
      </c>
      <c r="AV2925" s="1">
        <v>445</v>
      </c>
      <c r="AW2925" s="1" t="s">
        <v>74</v>
      </c>
      <c r="AX2925" s="1" t="s">
        <v>74</v>
      </c>
      <c r="AY2925" s="1" t="s">
        <v>74</v>
      </c>
      <c r="AZ2925" s="1" t="s">
        <v>74</v>
      </c>
      <c r="BA2925" s="1" t="s">
        <v>74</v>
      </c>
      <c r="BB2925" s="1">
        <v>166</v>
      </c>
      <c r="BC2925" s="1">
        <v>173</v>
      </c>
      <c r="BD2925" s="1" t="s">
        <v>74</v>
      </c>
      <c r="BE2925" s="1" t="s">
        <v>46414</v>
      </c>
      <c r="BF2925" s="1" t="str">
        <f>HYPERLINK("http://dx.doi.org/10.1016/j.jembe.2013.03.002","http://dx.doi.org/10.1016/j.jembe.2013.03.002")</f>
        <v>http://dx.doi.org/10.1016/j.jembe.2013.03.002</v>
      </c>
      <c r="BG2925" s="1" t="s">
        <v>74</v>
      </c>
      <c r="BH2925" s="1" t="s">
        <v>74</v>
      </c>
      <c r="BI2925" s="1">
        <v>8</v>
      </c>
      <c r="BJ2925" s="1" t="s">
        <v>1292</v>
      </c>
      <c r="BK2925" s="1" t="s">
        <v>96</v>
      </c>
      <c r="BL2925" s="1" t="s">
        <v>248</v>
      </c>
      <c r="BM2925" s="1" t="s">
        <v>46415</v>
      </c>
      <c r="BN2925" s="1" t="s">
        <v>74</v>
      </c>
      <c r="BO2925" s="1" t="s">
        <v>74</v>
      </c>
      <c r="BP2925" s="1" t="s">
        <v>74</v>
      </c>
      <c r="BQ2925" s="1" t="s">
        <v>74</v>
      </c>
      <c r="BR2925" s="1" t="s">
        <v>98</v>
      </c>
      <c r="BS2925" s="1" t="s">
        <v>46416</v>
      </c>
      <c r="BT2925" s="1" t="str">
        <f>HYPERLINK("https%3A%2F%2Fwww.webofscience.com%2Fwos%2Fwoscc%2Ffull-record%2FWOS:000320895500021","View Full Record in Web of Science")</f>
        <v>View Full Record in Web of Science</v>
      </c>
      <c r="BU2925" s="1"/>
      <c r="BV2925" s="1"/>
    </row>
    <row r="2926" spans="1:74">
      <c r="A2926" s="1" t="s">
        <v>72</v>
      </c>
      <c r="B2926" s="1" t="s">
        <v>46417</v>
      </c>
      <c r="C2926" s="1" t="s">
        <v>74</v>
      </c>
      <c r="D2926" s="1" t="s">
        <v>74</v>
      </c>
      <c r="E2926" s="1" t="s">
        <v>74</v>
      </c>
      <c r="F2926" s="1" t="s">
        <v>46417</v>
      </c>
      <c r="G2926" s="1" t="s">
        <v>74</v>
      </c>
      <c r="H2926" s="1" t="s">
        <v>74</v>
      </c>
      <c r="I2926" s="1" t="s">
        <v>46418</v>
      </c>
      <c r="J2926" s="1" t="s">
        <v>2323</v>
      </c>
      <c r="K2926" s="1" t="s">
        <v>74</v>
      </c>
      <c r="L2926" s="1" t="s">
        <v>74</v>
      </c>
      <c r="M2926" s="1" t="s">
        <v>78</v>
      </c>
      <c r="N2926" s="1" t="s">
        <v>151</v>
      </c>
      <c r="O2926" s="1" t="s">
        <v>2324</v>
      </c>
      <c r="P2926" s="1" t="s">
        <v>2325</v>
      </c>
      <c r="Q2926" s="1" t="s">
        <v>2326</v>
      </c>
      <c r="R2926" s="1" t="s">
        <v>74</v>
      </c>
      <c r="S2926" s="1" t="s">
        <v>74</v>
      </c>
      <c r="T2926" s="1" t="s">
        <v>46419</v>
      </c>
      <c r="U2926" s="1" t="s">
        <v>46420</v>
      </c>
      <c r="V2926" s="1" t="s">
        <v>46421</v>
      </c>
      <c r="W2926" s="1" t="s">
        <v>46422</v>
      </c>
      <c r="X2926" s="1" t="s">
        <v>46423</v>
      </c>
      <c r="Y2926" s="1" t="s">
        <v>23254</v>
      </c>
      <c r="Z2926" s="1" t="s">
        <v>46424</v>
      </c>
      <c r="AA2926" s="1" t="s">
        <v>46425</v>
      </c>
      <c r="AB2926" s="1" t="s">
        <v>74</v>
      </c>
      <c r="AC2926" s="1" t="s">
        <v>74</v>
      </c>
      <c r="AD2926" s="1" t="s">
        <v>74</v>
      </c>
      <c r="AE2926" s="1" t="s">
        <v>74</v>
      </c>
      <c r="AF2926" s="1" t="s">
        <v>74</v>
      </c>
      <c r="AG2926" s="1">
        <v>179</v>
      </c>
      <c r="AH2926" s="1">
        <v>76</v>
      </c>
      <c r="AI2926" s="1">
        <v>85</v>
      </c>
      <c r="AJ2926" s="1">
        <v>0</v>
      </c>
      <c r="AK2926" s="1">
        <v>22</v>
      </c>
      <c r="AL2926" s="1" t="s">
        <v>2336</v>
      </c>
      <c r="AM2926" s="1" t="s">
        <v>113</v>
      </c>
      <c r="AN2926" s="1" t="s">
        <v>2337</v>
      </c>
      <c r="AO2926" s="1" t="s">
        <v>2338</v>
      </c>
      <c r="AP2926" s="1" t="s">
        <v>2339</v>
      </c>
      <c r="AQ2926" s="1" t="s">
        <v>74</v>
      </c>
      <c r="AR2926" s="1" t="s">
        <v>2323</v>
      </c>
      <c r="AS2926" s="1" t="s">
        <v>2340</v>
      </c>
      <c r="AT2926" s="1" t="s">
        <v>74</v>
      </c>
      <c r="AU2926" s="1">
        <v>2003</v>
      </c>
      <c r="AV2926" s="1">
        <v>126</v>
      </c>
      <c r="AW2926" s="1" t="s">
        <v>74</v>
      </c>
      <c r="AX2926" s="1" t="s">
        <v>74</v>
      </c>
      <c r="AY2926" s="1" t="s">
        <v>2341</v>
      </c>
      <c r="AZ2926" s="1" t="s">
        <v>74</v>
      </c>
      <c r="BA2926" s="1" t="s">
        <v>74</v>
      </c>
      <c r="BB2926" s="1" t="s">
        <v>46426</v>
      </c>
      <c r="BC2926" s="1" t="s">
        <v>46427</v>
      </c>
      <c r="BD2926" s="1" t="s">
        <v>74</v>
      </c>
      <c r="BE2926" s="1" t="s">
        <v>46428</v>
      </c>
      <c r="BF2926" s="1" t="str">
        <f>HYPERLINK("http://dx.doi.org/10.1017/S0031182003003755","http://dx.doi.org/10.1017/S0031182003003755")</f>
        <v>http://dx.doi.org/10.1017/S0031182003003755</v>
      </c>
      <c r="BG2926" s="1" t="s">
        <v>74</v>
      </c>
      <c r="BH2926" s="1" t="s">
        <v>74</v>
      </c>
      <c r="BI2926" s="1">
        <v>22</v>
      </c>
      <c r="BJ2926" s="1" t="s">
        <v>2340</v>
      </c>
      <c r="BK2926" s="1" t="s">
        <v>172</v>
      </c>
      <c r="BL2926" s="1" t="s">
        <v>2340</v>
      </c>
      <c r="BM2926" s="1" t="s">
        <v>2345</v>
      </c>
      <c r="BN2926" s="1">
        <v>14667169</v>
      </c>
      <c r="BO2926" s="1" t="s">
        <v>74</v>
      </c>
      <c r="BP2926" s="1" t="s">
        <v>74</v>
      </c>
      <c r="BQ2926" s="1" t="s">
        <v>74</v>
      </c>
      <c r="BR2926" s="1" t="s">
        <v>98</v>
      </c>
      <c r="BS2926" s="1" t="s">
        <v>46429</v>
      </c>
      <c r="BT2926" s="1" t="str">
        <f>HYPERLINK("https%3A%2F%2Fwww.webofscience.com%2Fwos%2Fwoscc%2Ffull-record%2FWOS:000187344700002","View Full Record in Web of Science")</f>
        <v>View Full Record in Web of Science</v>
      </c>
      <c r="BU2926" s="1"/>
      <c r="BV2926" s="1"/>
    </row>
    <row r="2927" spans="1:74">
      <c r="A2927" s="1" t="s">
        <v>72</v>
      </c>
      <c r="B2927" s="1" t="s">
        <v>46430</v>
      </c>
      <c r="C2927" s="1" t="s">
        <v>74</v>
      </c>
      <c r="D2927" s="1" t="s">
        <v>74</v>
      </c>
      <c r="E2927" s="1" t="s">
        <v>74</v>
      </c>
      <c r="F2927" s="1" t="s">
        <v>46431</v>
      </c>
      <c r="G2927" s="1" t="s">
        <v>74</v>
      </c>
      <c r="H2927" s="1" t="s">
        <v>74</v>
      </c>
      <c r="I2927" s="1" t="s">
        <v>46432</v>
      </c>
      <c r="J2927" s="1" t="s">
        <v>909</v>
      </c>
      <c r="K2927" s="1" t="s">
        <v>74</v>
      </c>
      <c r="L2927" s="1" t="s">
        <v>74</v>
      </c>
      <c r="M2927" s="1" t="s">
        <v>78</v>
      </c>
      <c r="N2927" s="1" t="s">
        <v>79</v>
      </c>
      <c r="O2927" s="1" t="s">
        <v>74</v>
      </c>
      <c r="P2927" s="1" t="s">
        <v>74</v>
      </c>
      <c r="Q2927" s="1" t="s">
        <v>74</v>
      </c>
      <c r="R2927" s="1" t="s">
        <v>74</v>
      </c>
      <c r="S2927" s="1" t="s">
        <v>74</v>
      </c>
      <c r="T2927" s="1" t="s">
        <v>46433</v>
      </c>
      <c r="U2927" s="1" t="s">
        <v>46434</v>
      </c>
      <c r="V2927" s="1" t="s">
        <v>46435</v>
      </c>
      <c r="W2927" s="1" t="s">
        <v>46436</v>
      </c>
      <c r="X2927" s="1" t="s">
        <v>46437</v>
      </c>
      <c r="Y2927" s="1" t="s">
        <v>46438</v>
      </c>
      <c r="Z2927" s="1" t="s">
        <v>30998</v>
      </c>
      <c r="AA2927" s="1" t="s">
        <v>46439</v>
      </c>
      <c r="AB2927" s="1" t="s">
        <v>46440</v>
      </c>
      <c r="AC2927" s="1" t="s">
        <v>46441</v>
      </c>
      <c r="AD2927" s="1" t="s">
        <v>46442</v>
      </c>
      <c r="AE2927" s="1" t="s">
        <v>46443</v>
      </c>
      <c r="AF2927" s="1" t="s">
        <v>74</v>
      </c>
      <c r="AG2927" s="1">
        <v>112</v>
      </c>
      <c r="AH2927" s="1">
        <v>15</v>
      </c>
      <c r="AI2927" s="1">
        <v>15</v>
      </c>
      <c r="AJ2927" s="1">
        <v>0</v>
      </c>
      <c r="AK2927" s="1">
        <v>22</v>
      </c>
      <c r="AL2927" s="1" t="s">
        <v>650</v>
      </c>
      <c r="AM2927" s="1" t="s">
        <v>651</v>
      </c>
      <c r="AN2927" s="1" t="s">
        <v>652</v>
      </c>
      <c r="AO2927" s="1" t="s">
        <v>921</v>
      </c>
      <c r="AP2927" s="1" t="s">
        <v>922</v>
      </c>
      <c r="AQ2927" s="1" t="s">
        <v>74</v>
      </c>
      <c r="AR2927" s="1" t="s">
        <v>923</v>
      </c>
      <c r="AS2927" s="1" t="s">
        <v>924</v>
      </c>
      <c r="AT2927" s="1" t="s">
        <v>46444</v>
      </c>
      <c r="AU2927" s="1">
        <v>2020</v>
      </c>
      <c r="AV2927" s="1">
        <v>740</v>
      </c>
      <c r="AW2927" s="1" t="s">
        <v>74</v>
      </c>
      <c r="AX2927" s="1" t="s">
        <v>74</v>
      </c>
      <c r="AY2927" s="1" t="s">
        <v>74</v>
      </c>
      <c r="AZ2927" s="1" t="s">
        <v>74</v>
      </c>
      <c r="BA2927" s="1" t="s">
        <v>74</v>
      </c>
      <c r="BB2927" s="1" t="s">
        <v>74</v>
      </c>
      <c r="BC2927" s="1" t="s">
        <v>74</v>
      </c>
      <c r="BD2927" s="1">
        <v>140178</v>
      </c>
      <c r="BE2927" s="1" t="s">
        <v>46445</v>
      </c>
      <c r="BF2927" s="1" t="str">
        <f>HYPERLINK("http://dx.doi.org/10.1016/j.scitotenv.2020.140178","http://dx.doi.org/10.1016/j.scitotenv.2020.140178")</f>
        <v>http://dx.doi.org/10.1016/j.scitotenv.2020.140178</v>
      </c>
      <c r="BG2927" s="1" t="s">
        <v>74</v>
      </c>
      <c r="BH2927" s="1" t="s">
        <v>74</v>
      </c>
      <c r="BI2927" s="1">
        <v>15</v>
      </c>
      <c r="BJ2927" s="1" t="s">
        <v>144</v>
      </c>
      <c r="BK2927" s="1" t="s">
        <v>96</v>
      </c>
      <c r="BL2927" s="1" t="s">
        <v>145</v>
      </c>
      <c r="BM2927" s="1" t="s">
        <v>46446</v>
      </c>
      <c r="BN2927" s="1">
        <v>32569916</v>
      </c>
      <c r="BO2927" s="1" t="s">
        <v>74</v>
      </c>
      <c r="BP2927" s="1" t="s">
        <v>74</v>
      </c>
      <c r="BQ2927" s="1" t="s">
        <v>74</v>
      </c>
      <c r="BR2927" s="1" t="s">
        <v>98</v>
      </c>
      <c r="BS2927" s="1" t="s">
        <v>46447</v>
      </c>
      <c r="BT2927" s="1" t="str">
        <f>HYPERLINK("https%3A%2F%2Fwww.webofscience.com%2Fwos%2Fwoscc%2Ffull-record%2FWOS:000562379400017","View Full Record in Web of Science")</f>
        <v>View Full Record in Web of Science</v>
      </c>
      <c r="BU2927" s="1"/>
      <c r="BV2927" s="1"/>
    </row>
    <row r="2928" spans="1:74">
      <c r="A2928" s="1" t="s">
        <v>72</v>
      </c>
      <c r="B2928" s="1" t="s">
        <v>46448</v>
      </c>
      <c r="C2928" s="1" t="s">
        <v>74</v>
      </c>
      <c r="D2928" s="1" t="s">
        <v>74</v>
      </c>
      <c r="E2928" s="1" t="s">
        <v>74</v>
      </c>
      <c r="F2928" s="1" t="s">
        <v>46449</v>
      </c>
      <c r="G2928" s="1" t="s">
        <v>74</v>
      </c>
      <c r="H2928" s="1" t="s">
        <v>74</v>
      </c>
      <c r="I2928" s="1" t="s">
        <v>46450</v>
      </c>
      <c r="J2928" s="1" t="s">
        <v>204</v>
      </c>
      <c r="K2928" s="1" t="s">
        <v>74</v>
      </c>
      <c r="L2928" s="1" t="s">
        <v>74</v>
      </c>
      <c r="M2928" s="1" t="s">
        <v>78</v>
      </c>
      <c r="N2928" s="1" t="s">
        <v>79</v>
      </c>
      <c r="O2928" s="1" t="s">
        <v>74</v>
      </c>
      <c r="P2928" s="1" t="s">
        <v>74</v>
      </c>
      <c r="Q2928" s="1" t="s">
        <v>74</v>
      </c>
      <c r="R2928" s="1" t="s">
        <v>74</v>
      </c>
      <c r="S2928" s="1" t="s">
        <v>74</v>
      </c>
      <c r="T2928" s="1" t="s">
        <v>46451</v>
      </c>
      <c r="U2928" s="1" t="s">
        <v>46452</v>
      </c>
      <c r="V2928" s="1" t="s">
        <v>46453</v>
      </c>
      <c r="W2928" s="1" t="s">
        <v>46454</v>
      </c>
      <c r="X2928" s="1" t="s">
        <v>46455</v>
      </c>
      <c r="Y2928" s="1" t="s">
        <v>46456</v>
      </c>
      <c r="Z2928" s="1" t="s">
        <v>9288</v>
      </c>
      <c r="AA2928" s="1" t="s">
        <v>46457</v>
      </c>
      <c r="AB2928" s="1" t="s">
        <v>46458</v>
      </c>
      <c r="AC2928" s="1" t="s">
        <v>46459</v>
      </c>
      <c r="AD2928" s="1" t="s">
        <v>46460</v>
      </c>
      <c r="AE2928" s="1" t="s">
        <v>46461</v>
      </c>
      <c r="AF2928" s="1" t="s">
        <v>74</v>
      </c>
      <c r="AG2928" s="1">
        <v>61</v>
      </c>
      <c r="AH2928" s="1">
        <v>12</v>
      </c>
      <c r="AI2928" s="1">
        <v>12</v>
      </c>
      <c r="AJ2928" s="1">
        <v>0</v>
      </c>
      <c r="AK2928" s="1">
        <v>64</v>
      </c>
      <c r="AL2928" s="1" t="s">
        <v>217</v>
      </c>
      <c r="AM2928" s="1" t="s">
        <v>218</v>
      </c>
      <c r="AN2928" s="1" t="s">
        <v>219</v>
      </c>
      <c r="AO2928" s="1" t="s">
        <v>220</v>
      </c>
      <c r="AP2928" s="1" t="s">
        <v>221</v>
      </c>
      <c r="AQ2928" s="1" t="s">
        <v>74</v>
      </c>
      <c r="AR2928" s="1" t="s">
        <v>222</v>
      </c>
      <c r="AS2928" s="1" t="s">
        <v>223</v>
      </c>
      <c r="AT2928" s="1" t="s">
        <v>765</v>
      </c>
      <c r="AU2928" s="1">
        <v>2019</v>
      </c>
      <c r="AV2928" s="1">
        <v>26</v>
      </c>
      <c r="AW2928" s="1">
        <v>20</v>
      </c>
      <c r="AX2928" s="1" t="s">
        <v>74</v>
      </c>
      <c r="AY2928" s="1" t="s">
        <v>74</v>
      </c>
      <c r="AZ2928" s="1" t="s">
        <v>225</v>
      </c>
      <c r="BA2928" s="1" t="s">
        <v>74</v>
      </c>
      <c r="BB2928" s="1">
        <v>20742</v>
      </c>
      <c r="BC2928" s="1">
        <v>20752</v>
      </c>
      <c r="BD2928" s="1" t="s">
        <v>74</v>
      </c>
      <c r="BE2928" s="1" t="s">
        <v>46462</v>
      </c>
      <c r="BF2928" s="1" t="str">
        <f>HYPERLINK("http://dx.doi.org/10.1007/s11356-019-05306-8","http://dx.doi.org/10.1007/s11356-019-05306-8")</f>
        <v>http://dx.doi.org/10.1007/s11356-019-05306-8</v>
      </c>
      <c r="BG2928" s="1" t="s">
        <v>74</v>
      </c>
      <c r="BH2928" s="1" t="s">
        <v>74</v>
      </c>
      <c r="BI2928" s="1">
        <v>11</v>
      </c>
      <c r="BJ2928" s="1" t="s">
        <v>144</v>
      </c>
      <c r="BK2928" s="1" t="s">
        <v>96</v>
      </c>
      <c r="BL2928" s="1" t="s">
        <v>145</v>
      </c>
      <c r="BM2928" s="1" t="s">
        <v>30381</v>
      </c>
      <c r="BN2928" s="1">
        <v>31104242</v>
      </c>
      <c r="BO2928" s="1" t="s">
        <v>74</v>
      </c>
      <c r="BP2928" s="1" t="s">
        <v>74</v>
      </c>
      <c r="BQ2928" s="1" t="s">
        <v>74</v>
      </c>
      <c r="BR2928" s="1" t="s">
        <v>98</v>
      </c>
      <c r="BS2928" s="1" t="s">
        <v>46463</v>
      </c>
      <c r="BT2928" s="1" t="str">
        <f>HYPERLINK("https%3A%2F%2Fwww.webofscience.com%2Fwos%2Fwoscc%2Ffull-record%2FWOS:000473172800060","View Full Record in Web of Science")</f>
        <v>View Full Record in Web of Science</v>
      </c>
      <c r="BU2928" s="1"/>
      <c r="BV2928" s="1"/>
    </row>
    <row r="2929" spans="1:74">
      <c r="A2929" s="1" t="s">
        <v>72</v>
      </c>
      <c r="B2929" s="1" t="s">
        <v>46464</v>
      </c>
      <c r="C2929" s="1" t="s">
        <v>74</v>
      </c>
      <c r="D2929" s="1" t="s">
        <v>74</v>
      </c>
      <c r="E2929" s="1" t="s">
        <v>74</v>
      </c>
      <c r="F2929" s="1" t="s">
        <v>46465</v>
      </c>
      <c r="G2929" s="1" t="s">
        <v>74</v>
      </c>
      <c r="H2929" s="1" t="s">
        <v>74</v>
      </c>
      <c r="I2929" s="1" t="s">
        <v>46466</v>
      </c>
      <c r="J2929" s="1" t="s">
        <v>46467</v>
      </c>
      <c r="K2929" s="1" t="s">
        <v>74</v>
      </c>
      <c r="L2929" s="1" t="s">
        <v>74</v>
      </c>
      <c r="M2929" s="1" t="s">
        <v>78</v>
      </c>
      <c r="N2929" s="1" t="s">
        <v>79</v>
      </c>
      <c r="O2929" s="1" t="s">
        <v>74</v>
      </c>
      <c r="P2929" s="1" t="s">
        <v>74</v>
      </c>
      <c r="Q2929" s="1" t="s">
        <v>74</v>
      </c>
      <c r="R2929" s="1" t="s">
        <v>74</v>
      </c>
      <c r="S2929" s="1" t="s">
        <v>74</v>
      </c>
      <c r="T2929" s="1" t="s">
        <v>46468</v>
      </c>
      <c r="U2929" s="1" t="s">
        <v>46469</v>
      </c>
      <c r="V2929" s="1" t="s">
        <v>46470</v>
      </c>
      <c r="W2929" s="1" t="s">
        <v>46471</v>
      </c>
      <c r="X2929" s="1" t="s">
        <v>46472</v>
      </c>
      <c r="Y2929" s="1" t="s">
        <v>46473</v>
      </c>
      <c r="Z2929" s="1" t="s">
        <v>46474</v>
      </c>
      <c r="AA2929" s="1" t="s">
        <v>74</v>
      </c>
      <c r="AB2929" s="1" t="s">
        <v>46475</v>
      </c>
      <c r="AC2929" s="1" t="s">
        <v>46476</v>
      </c>
      <c r="AD2929" s="1" t="s">
        <v>46477</v>
      </c>
      <c r="AE2929" s="1" t="s">
        <v>46478</v>
      </c>
      <c r="AF2929" s="1" t="s">
        <v>74</v>
      </c>
      <c r="AG2929" s="1">
        <v>27</v>
      </c>
      <c r="AH2929" s="1">
        <v>2</v>
      </c>
      <c r="AI2929" s="1">
        <v>2</v>
      </c>
      <c r="AJ2929" s="1">
        <v>0</v>
      </c>
      <c r="AK2929" s="1">
        <v>25</v>
      </c>
      <c r="AL2929" s="1" t="s">
        <v>112</v>
      </c>
      <c r="AM2929" s="1" t="s">
        <v>113</v>
      </c>
      <c r="AN2929" s="1" t="s">
        <v>114</v>
      </c>
      <c r="AO2929" s="1" t="s">
        <v>46479</v>
      </c>
      <c r="AP2929" s="1" t="s">
        <v>46480</v>
      </c>
      <c r="AQ2929" s="1" t="s">
        <v>74</v>
      </c>
      <c r="AR2929" s="1" t="s">
        <v>46481</v>
      </c>
      <c r="AS2929" s="1" t="s">
        <v>46482</v>
      </c>
      <c r="AT2929" s="1" t="s">
        <v>142</v>
      </c>
      <c r="AU2929" s="1">
        <v>2019</v>
      </c>
      <c r="AV2929" s="1">
        <v>12</v>
      </c>
      <c r="AW2929" s="1">
        <v>6</v>
      </c>
      <c r="AX2929" s="1" t="s">
        <v>74</v>
      </c>
      <c r="AY2929" s="1" t="s">
        <v>74</v>
      </c>
      <c r="AZ2929" s="1" t="s">
        <v>74</v>
      </c>
      <c r="BA2929" s="1" t="s">
        <v>74</v>
      </c>
      <c r="BB2929" s="1">
        <v>1308</v>
      </c>
      <c r="BC2929" s="1">
        <v>1315</v>
      </c>
      <c r="BD2929" s="1" t="s">
        <v>74</v>
      </c>
      <c r="BE2929" s="1" t="s">
        <v>46483</v>
      </c>
      <c r="BF2929" s="1" t="str">
        <f>HYPERLINK("http://dx.doi.org/10.1007/s12161-019-01474-y","http://dx.doi.org/10.1007/s12161-019-01474-y")</f>
        <v>http://dx.doi.org/10.1007/s12161-019-01474-y</v>
      </c>
      <c r="BG2929" s="1" t="s">
        <v>74</v>
      </c>
      <c r="BH2929" s="1" t="s">
        <v>74</v>
      </c>
      <c r="BI2929" s="1">
        <v>8</v>
      </c>
      <c r="BJ2929" s="1" t="s">
        <v>2598</v>
      </c>
      <c r="BK2929" s="1" t="s">
        <v>96</v>
      </c>
      <c r="BL2929" s="1" t="s">
        <v>2598</v>
      </c>
      <c r="BM2929" s="1" t="s">
        <v>46484</v>
      </c>
      <c r="BN2929" s="1" t="s">
        <v>74</v>
      </c>
      <c r="BO2929" s="1" t="s">
        <v>74</v>
      </c>
      <c r="BP2929" s="1" t="s">
        <v>74</v>
      </c>
      <c r="BQ2929" s="1" t="s">
        <v>74</v>
      </c>
      <c r="BR2929" s="1" t="s">
        <v>98</v>
      </c>
      <c r="BS2929" s="1" t="s">
        <v>46485</v>
      </c>
      <c r="BT2929" s="1" t="str">
        <f>HYPERLINK("https%3A%2F%2Fwww.webofscience.com%2Fwos%2Fwoscc%2Ffull-record%2FWOS:000468847900004","View Full Record in Web of Science")</f>
        <v>View Full Record in Web of Science</v>
      </c>
      <c r="BU2929" s="1"/>
      <c r="BV2929" s="1"/>
    </row>
    <row r="2930" spans="1:74">
      <c r="A2930" s="1" t="s">
        <v>72</v>
      </c>
      <c r="B2930" s="1" t="s">
        <v>46486</v>
      </c>
      <c r="C2930" s="1" t="s">
        <v>74</v>
      </c>
      <c r="D2930" s="1" t="s">
        <v>74</v>
      </c>
      <c r="E2930" s="1" t="s">
        <v>74</v>
      </c>
      <c r="F2930" s="1" t="s">
        <v>46487</v>
      </c>
      <c r="G2930" s="1" t="s">
        <v>74</v>
      </c>
      <c r="H2930" s="1" t="s">
        <v>74</v>
      </c>
      <c r="I2930" s="1" t="s">
        <v>46488</v>
      </c>
      <c r="J2930" s="1" t="s">
        <v>232</v>
      </c>
      <c r="K2930" s="1" t="s">
        <v>74</v>
      </c>
      <c r="L2930" s="1" t="s">
        <v>74</v>
      </c>
      <c r="M2930" s="1" t="s">
        <v>78</v>
      </c>
      <c r="N2930" s="1" t="s">
        <v>79</v>
      </c>
      <c r="O2930" s="1" t="s">
        <v>74</v>
      </c>
      <c r="P2930" s="1" t="s">
        <v>74</v>
      </c>
      <c r="Q2930" s="1" t="s">
        <v>74</v>
      </c>
      <c r="R2930" s="1" t="s">
        <v>74</v>
      </c>
      <c r="S2930" s="1" t="s">
        <v>74</v>
      </c>
      <c r="T2930" s="1" t="s">
        <v>46489</v>
      </c>
      <c r="U2930" s="1" t="s">
        <v>46490</v>
      </c>
      <c r="V2930" s="1" t="s">
        <v>46491</v>
      </c>
      <c r="W2930" s="1" t="s">
        <v>46492</v>
      </c>
      <c r="X2930" s="1" t="s">
        <v>46493</v>
      </c>
      <c r="Y2930" s="1" t="s">
        <v>46494</v>
      </c>
      <c r="Z2930" s="1" t="s">
        <v>46495</v>
      </c>
      <c r="AA2930" s="1" t="s">
        <v>46496</v>
      </c>
      <c r="AB2930" s="1" t="s">
        <v>46497</v>
      </c>
      <c r="AC2930" s="1" t="s">
        <v>46498</v>
      </c>
      <c r="AD2930" s="1" t="s">
        <v>46499</v>
      </c>
      <c r="AE2930" s="1" t="s">
        <v>46500</v>
      </c>
      <c r="AF2930" s="1" t="s">
        <v>74</v>
      </c>
      <c r="AG2930" s="1">
        <v>61</v>
      </c>
      <c r="AH2930" s="1">
        <v>10</v>
      </c>
      <c r="AI2930" s="1">
        <v>10</v>
      </c>
      <c r="AJ2930" s="1">
        <v>2</v>
      </c>
      <c r="AK2930" s="1">
        <v>41</v>
      </c>
      <c r="AL2930" s="1" t="s">
        <v>136</v>
      </c>
      <c r="AM2930" s="1" t="s">
        <v>137</v>
      </c>
      <c r="AN2930" s="1" t="s">
        <v>138</v>
      </c>
      <c r="AO2930" s="1" t="s">
        <v>240</v>
      </c>
      <c r="AP2930" s="1" t="s">
        <v>241</v>
      </c>
      <c r="AQ2930" s="1" t="s">
        <v>74</v>
      </c>
      <c r="AR2930" s="1" t="s">
        <v>242</v>
      </c>
      <c r="AS2930" s="1" t="s">
        <v>243</v>
      </c>
      <c r="AT2930" s="1" t="s">
        <v>1091</v>
      </c>
      <c r="AU2930" s="1">
        <v>2013</v>
      </c>
      <c r="AV2930" s="1">
        <v>71</v>
      </c>
      <c r="AW2930" s="1" t="s">
        <v>326</v>
      </c>
      <c r="AX2930" s="1" t="s">
        <v>74</v>
      </c>
      <c r="AY2930" s="1" t="s">
        <v>74</v>
      </c>
      <c r="AZ2930" s="1" t="s">
        <v>74</v>
      </c>
      <c r="BA2930" s="1" t="s">
        <v>74</v>
      </c>
      <c r="BB2930" s="1">
        <v>222</v>
      </c>
      <c r="BC2930" s="1">
        <v>229</v>
      </c>
      <c r="BD2930" s="1" t="s">
        <v>74</v>
      </c>
      <c r="BE2930" s="1" t="s">
        <v>46501</v>
      </c>
      <c r="BF2930" s="1" t="str">
        <f>HYPERLINK("http://dx.doi.org/10.1016/j.marpolbul.2013.03.004","http://dx.doi.org/10.1016/j.marpolbul.2013.03.004")</f>
        <v>http://dx.doi.org/10.1016/j.marpolbul.2013.03.004</v>
      </c>
      <c r="BG2930" s="1" t="s">
        <v>74</v>
      </c>
      <c r="BH2930" s="1" t="s">
        <v>74</v>
      </c>
      <c r="BI2930" s="1">
        <v>8</v>
      </c>
      <c r="BJ2930" s="1" t="s">
        <v>247</v>
      </c>
      <c r="BK2930" s="1" t="s">
        <v>96</v>
      </c>
      <c r="BL2930" s="1" t="s">
        <v>248</v>
      </c>
      <c r="BM2930" s="1" t="s">
        <v>40511</v>
      </c>
      <c r="BN2930" s="1">
        <v>23660441</v>
      </c>
      <c r="BO2930" s="1" t="s">
        <v>74</v>
      </c>
      <c r="BP2930" s="1" t="s">
        <v>74</v>
      </c>
      <c r="BQ2930" s="1" t="s">
        <v>74</v>
      </c>
      <c r="BR2930" s="1" t="s">
        <v>98</v>
      </c>
      <c r="BS2930" s="1" t="s">
        <v>46502</v>
      </c>
      <c r="BT2930" s="1" t="str">
        <f>HYPERLINK("https%3A%2F%2Fwww.webofscience.com%2Fwos%2Fwoscc%2Ffull-record%2FWOS:000321088200039","View Full Record in Web of Science")</f>
        <v>View Full Record in Web of Science</v>
      </c>
      <c r="BU2930" s="1"/>
      <c r="BV2930" s="1"/>
    </row>
    <row r="2931" spans="1:74">
      <c r="A2931" s="1" t="s">
        <v>72</v>
      </c>
      <c r="B2931" s="1" t="s">
        <v>46503</v>
      </c>
      <c r="C2931" s="1" t="s">
        <v>74</v>
      </c>
      <c r="D2931" s="1" t="s">
        <v>74</v>
      </c>
      <c r="E2931" s="1" t="s">
        <v>74</v>
      </c>
      <c r="F2931" s="1" t="s">
        <v>46504</v>
      </c>
      <c r="G2931" s="1" t="s">
        <v>74</v>
      </c>
      <c r="H2931" s="1" t="s">
        <v>74</v>
      </c>
      <c r="I2931" s="1" t="s">
        <v>46505</v>
      </c>
      <c r="J2931" s="1" t="s">
        <v>127</v>
      </c>
      <c r="K2931" s="1" t="s">
        <v>74</v>
      </c>
      <c r="L2931" s="1" t="s">
        <v>74</v>
      </c>
      <c r="M2931" s="1" t="s">
        <v>78</v>
      </c>
      <c r="N2931" s="1" t="s">
        <v>79</v>
      </c>
      <c r="O2931" s="1" t="s">
        <v>74</v>
      </c>
      <c r="P2931" s="1" t="s">
        <v>74</v>
      </c>
      <c r="Q2931" s="1" t="s">
        <v>74</v>
      </c>
      <c r="R2931" s="1" t="s">
        <v>74</v>
      </c>
      <c r="S2931" s="1" t="s">
        <v>74</v>
      </c>
      <c r="T2931" s="1" t="s">
        <v>46506</v>
      </c>
      <c r="U2931" s="1" t="s">
        <v>46507</v>
      </c>
      <c r="V2931" s="1" t="s">
        <v>46508</v>
      </c>
      <c r="W2931" s="1" t="s">
        <v>46509</v>
      </c>
      <c r="X2931" s="1" t="s">
        <v>10674</v>
      </c>
      <c r="Y2931" s="1" t="s">
        <v>46510</v>
      </c>
      <c r="Z2931" s="1" t="s">
        <v>12664</v>
      </c>
      <c r="AA2931" s="1" t="s">
        <v>46511</v>
      </c>
      <c r="AB2931" s="1" t="s">
        <v>46512</v>
      </c>
      <c r="AC2931" s="1" t="s">
        <v>74</v>
      </c>
      <c r="AD2931" s="1" t="s">
        <v>74</v>
      </c>
      <c r="AE2931" s="1" t="s">
        <v>74</v>
      </c>
      <c r="AF2931" s="1" t="s">
        <v>74</v>
      </c>
      <c r="AG2931" s="1">
        <v>39</v>
      </c>
      <c r="AH2931" s="1">
        <v>47</v>
      </c>
      <c r="AI2931" s="1">
        <v>54</v>
      </c>
      <c r="AJ2931" s="1">
        <v>0</v>
      </c>
      <c r="AK2931" s="1">
        <v>18</v>
      </c>
      <c r="AL2931" s="1" t="s">
        <v>136</v>
      </c>
      <c r="AM2931" s="1" t="s">
        <v>137</v>
      </c>
      <c r="AN2931" s="1" t="s">
        <v>138</v>
      </c>
      <c r="AO2931" s="1" t="s">
        <v>139</v>
      </c>
      <c r="AP2931" s="1" t="s">
        <v>140</v>
      </c>
      <c r="AQ2931" s="1" t="s">
        <v>74</v>
      </c>
      <c r="AR2931" s="1" t="s">
        <v>127</v>
      </c>
      <c r="AS2931" s="1" t="s">
        <v>141</v>
      </c>
      <c r="AT2931" s="1" t="s">
        <v>142</v>
      </c>
      <c r="AU2931" s="1">
        <v>2008</v>
      </c>
      <c r="AV2931" s="1">
        <v>72</v>
      </c>
      <c r="AW2931" s="1">
        <v>5</v>
      </c>
      <c r="AX2931" s="1" t="s">
        <v>74</v>
      </c>
      <c r="AY2931" s="1" t="s">
        <v>74</v>
      </c>
      <c r="AZ2931" s="1" t="s">
        <v>74</v>
      </c>
      <c r="BA2931" s="1" t="s">
        <v>74</v>
      </c>
      <c r="BB2931" s="1">
        <v>826</v>
      </c>
      <c r="BC2931" s="1">
        <v>835</v>
      </c>
      <c r="BD2931" s="1" t="s">
        <v>74</v>
      </c>
      <c r="BE2931" s="1" t="s">
        <v>46513</v>
      </c>
      <c r="BF2931" s="1" t="str">
        <f>HYPERLINK("http://dx.doi.org/10.1016/j.chemosphere.2008.02.039","http://dx.doi.org/10.1016/j.chemosphere.2008.02.039")</f>
        <v>http://dx.doi.org/10.1016/j.chemosphere.2008.02.039</v>
      </c>
      <c r="BG2931" s="1" t="s">
        <v>74</v>
      </c>
      <c r="BH2931" s="1" t="s">
        <v>74</v>
      </c>
      <c r="BI2931" s="1">
        <v>10</v>
      </c>
      <c r="BJ2931" s="1" t="s">
        <v>144</v>
      </c>
      <c r="BK2931" s="1" t="s">
        <v>96</v>
      </c>
      <c r="BL2931" s="1" t="s">
        <v>145</v>
      </c>
      <c r="BM2931" s="1" t="s">
        <v>40858</v>
      </c>
      <c r="BN2931" s="1">
        <v>18377949</v>
      </c>
      <c r="BO2931" s="1" t="s">
        <v>74</v>
      </c>
      <c r="BP2931" s="1" t="s">
        <v>74</v>
      </c>
      <c r="BQ2931" s="1" t="s">
        <v>74</v>
      </c>
      <c r="BR2931" s="1" t="s">
        <v>98</v>
      </c>
      <c r="BS2931" s="1" t="s">
        <v>46514</v>
      </c>
      <c r="BT2931" s="1" t="str">
        <f>HYPERLINK("https%3A%2F%2Fwww.webofscience.com%2Fwos%2Fwoscc%2Ffull-record%2FWOS:000257223700020","View Full Record in Web of Science")</f>
        <v>View Full Record in Web of Science</v>
      </c>
      <c r="BU2931" s="1"/>
      <c r="BV2931" s="1"/>
    </row>
    <row r="2932" spans="1:74">
      <c r="A2932" s="1" t="s">
        <v>72</v>
      </c>
      <c r="B2932" s="1" t="s">
        <v>46515</v>
      </c>
      <c r="C2932" s="1" t="s">
        <v>74</v>
      </c>
      <c r="D2932" s="1" t="s">
        <v>74</v>
      </c>
      <c r="E2932" s="1" t="s">
        <v>74</v>
      </c>
      <c r="F2932" s="1" t="s">
        <v>46516</v>
      </c>
      <c r="G2932" s="1" t="s">
        <v>74</v>
      </c>
      <c r="H2932" s="1" t="s">
        <v>74</v>
      </c>
      <c r="I2932" s="1" t="s">
        <v>46517</v>
      </c>
      <c r="J2932" s="1" t="s">
        <v>3405</v>
      </c>
      <c r="K2932" s="1" t="s">
        <v>74</v>
      </c>
      <c r="L2932" s="1" t="s">
        <v>74</v>
      </c>
      <c r="M2932" s="1" t="s">
        <v>78</v>
      </c>
      <c r="N2932" s="1" t="s">
        <v>79</v>
      </c>
      <c r="O2932" s="1" t="s">
        <v>74</v>
      </c>
      <c r="P2932" s="1" t="s">
        <v>74</v>
      </c>
      <c r="Q2932" s="1" t="s">
        <v>74</v>
      </c>
      <c r="R2932" s="1" t="s">
        <v>74</v>
      </c>
      <c r="S2932" s="1" t="s">
        <v>74</v>
      </c>
      <c r="T2932" s="1" t="s">
        <v>46518</v>
      </c>
      <c r="U2932" s="1" t="s">
        <v>46519</v>
      </c>
      <c r="V2932" s="1" t="s">
        <v>46520</v>
      </c>
      <c r="W2932" s="1" t="s">
        <v>46521</v>
      </c>
      <c r="X2932" s="1" t="s">
        <v>46522</v>
      </c>
      <c r="Y2932" s="1" t="s">
        <v>46523</v>
      </c>
      <c r="Z2932" s="1" t="s">
        <v>46524</v>
      </c>
      <c r="AA2932" s="1" t="s">
        <v>46525</v>
      </c>
      <c r="AB2932" s="1" t="s">
        <v>46526</v>
      </c>
      <c r="AC2932" s="1" t="s">
        <v>46527</v>
      </c>
      <c r="AD2932" s="1" t="s">
        <v>46527</v>
      </c>
      <c r="AE2932" s="1" t="s">
        <v>46528</v>
      </c>
      <c r="AF2932" s="1" t="s">
        <v>74</v>
      </c>
      <c r="AG2932" s="1">
        <v>36</v>
      </c>
      <c r="AH2932" s="1">
        <v>10</v>
      </c>
      <c r="AI2932" s="1">
        <v>10</v>
      </c>
      <c r="AJ2932" s="1">
        <v>2</v>
      </c>
      <c r="AK2932" s="1">
        <v>30</v>
      </c>
      <c r="AL2932" s="1" t="s">
        <v>3418</v>
      </c>
      <c r="AM2932" s="1" t="s">
        <v>3419</v>
      </c>
      <c r="AN2932" s="1" t="s">
        <v>3420</v>
      </c>
      <c r="AO2932" s="1" t="s">
        <v>3421</v>
      </c>
      <c r="AP2932" s="1" t="s">
        <v>3422</v>
      </c>
      <c r="AQ2932" s="1" t="s">
        <v>74</v>
      </c>
      <c r="AR2932" s="1" t="s">
        <v>3423</v>
      </c>
      <c r="AS2932" s="1" t="s">
        <v>3424</v>
      </c>
      <c r="AT2932" s="1" t="s">
        <v>197</v>
      </c>
      <c r="AU2932" s="1">
        <v>2016</v>
      </c>
      <c r="AV2932" s="1">
        <v>57</v>
      </c>
      <c r="AW2932" s="1">
        <v>60</v>
      </c>
      <c r="AX2932" s="1" t="s">
        <v>74</v>
      </c>
      <c r="AY2932" s="1" t="s">
        <v>74</v>
      </c>
      <c r="AZ2932" s="1" t="s">
        <v>74</v>
      </c>
      <c r="BA2932" s="1" t="s">
        <v>74</v>
      </c>
      <c r="BB2932" s="1">
        <v>29254</v>
      </c>
      <c r="BC2932" s="1">
        <v>29263</v>
      </c>
      <c r="BD2932" s="1" t="s">
        <v>74</v>
      </c>
      <c r="BE2932" s="1" t="s">
        <v>46529</v>
      </c>
      <c r="BF2932" s="1" t="str">
        <f>HYPERLINK("http://dx.doi.org/10.1080/19443994.2016.1138148","http://dx.doi.org/10.1080/19443994.2016.1138148")</f>
        <v>http://dx.doi.org/10.1080/19443994.2016.1138148</v>
      </c>
      <c r="BG2932" s="1" t="s">
        <v>74</v>
      </c>
      <c r="BH2932" s="1" t="s">
        <v>74</v>
      </c>
      <c r="BI2932" s="1">
        <v>10</v>
      </c>
      <c r="BJ2932" s="1" t="s">
        <v>3426</v>
      </c>
      <c r="BK2932" s="1" t="s">
        <v>96</v>
      </c>
      <c r="BL2932" s="1" t="s">
        <v>3427</v>
      </c>
      <c r="BM2932" s="1" t="s">
        <v>46530</v>
      </c>
      <c r="BN2932" s="1" t="s">
        <v>74</v>
      </c>
      <c r="BO2932" s="1" t="s">
        <v>74</v>
      </c>
      <c r="BP2932" s="1" t="s">
        <v>74</v>
      </c>
      <c r="BQ2932" s="1" t="s">
        <v>74</v>
      </c>
      <c r="BR2932" s="1" t="s">
        <v>98</v>
      </c>
      <c r="BS2932" s="1" t="s">
        <v>46531</v>
      </c>
      <c r="BT2932" s="1" t="str">
        <f>HYPERLINK("https%3A%2F%2Fwww.webofscience.com%2Fwos%2Fwoscc%2Ffull-record%2FWOS:000388591300023","View Full Record in Web of Science")</f>
        <v>View Full Record in Web of Science</v>
      </c>
      <c r="BU2932" s="1"/>
      <c r="BV2932" s="1"/>
    </row>
    <row r="2933" spans="1:74">
      <c r="A2933" s="1" t="s">
        <v>72</v>
      </c>
      <c r="B2933" s="1" t="s">
        <v>46532</v>
      </c>
      <c r="C2933" s="1" t="s">
        <v>74</v>
      </c>
      <c r="D2933" s="1" t="s">
        <v>74</v>
      </c>
      <c r="E2933" s="1" t="s">
        <v>74</v>
      </c>
      <c r="F2933" s="1" t="s">
        <v>46533</v>
      </c>
      <c r="G2933" s="1" t="s">
        <v>74</v>
      </c>
      <c r="H2933" s="1" t="s">
        <v>74</v>
      </c>
      <c r="I2933" s="1" t="s">
        <v>46534</v>
      </c>
      <c r="J2933" s="1" t="s">
        <v>46535</v>
      </c>
      <c r="K2933" s="1" t="s">
        <v>74</v>
      </c>
      <c r="L2933" s="1" t="s">
        <v>74</v>
      </c>
      <c r="M2933" s="1" t="s">
        <v>78</v>
      </c>
      <c r="N2933" s="1" t="s">
        <v>79</v>
      </c>
      <c r="O2933" s="1" t="s">
        <v>74</v>
      </c>
      <c r="P2933" s="1" t="s">
        <v>74</v>
      </c>
      <c r="Q2933" s="1" t="s">
        <v>74</v>
      </c>
      <c r="R2933" s="1" t="s">
        <v>74</v>
      </c>
      <c r="S2933" s="1" t="s">
        <v>74</v>
      </c>
      <c r="T2933" s="1" t="s">
        <v>46536</v>
      </c>
      <c r="U2933" s="1" t="s">
        <v>46537</v>
      </c>
      <c r="V2933" s="1" t="s">
        <v>46538</v>
      </c>
      <c r="W2933" s="1" t="s">
        <v>46539</v>
      </c>
      <c r="X2933" s="1" t="s">
        <v>9746</v>
      </c>
      <c r="Y2933" s="1" t="s">
        <v>46540</v>
      </c>
      <c r="Z2933" s="1" t="s">
        <v>4133</v>
      </c>
      <c r="AA2933" s="1" t="s">
        <v>9747</v>
      </c>
      <c r="AB2933" s="1" t="s">
        <v>46541</v>
      </c>
      <c r="AC2933" s="1" t="s">
        <v>46542</v>
      </c>
      <c r="AD2933" s="1" t="s">
        <v>46543</v>
      </c>
      <c r="AE2933" s="1" t="s">
        <v>46544</v>
      </c>
      <c r="AF2933" s="1" t="s">
        <v>74</v>
      </c>
      <c r="AG2933" s="1">
        <v>33</v>
      </c>
      <c r="AH2933" s="1">
        <v>1</v>
      </c>
      <c r="AI2933" s="1">
        <v>1</v>
      </c>
      <c r="AJ2933" s="1">
        <v>0</v>
      </c>
      <c r="AK2933" s="1">
        <v>7</v>
      </c>
      <c r="AL2933" s="1" t="s">
        <v>46545</v>
      </c>
      <c r="AM2933" s="1" t="s">
        <v>8139</v>
      </c>
      <c r="AN2933" s="1" t="s">
        <v>46546</v>
      </c>
      <c r="AO2933" s="1" t="s">
        <v>46547</v>
      </c>
      <c r="AP2933" s="1" t="s">
        <v>74</v>
      </c>
      <c r="AQ2933" s="1" t="s">
        <v>74</v>
      </c>
      <c r="AR2933" s="1" t="s">
        <v>46548</v>
      </c>
      <c r="AS2933" s="1" t="s">
        <v>46549</v>
      </c>
      <c r="AT2933" s="1" t="s">
        <v>1223</v>
      </c>
      <c r="AU2933" s="1">
        <v>2018</v>
      </c>
      <c r="AV2933" s="1">
        <v>33</v>
      </c>
      <c r="AW2933" s="1">
        <v>1</v>
      </c>
      <c r="AX2933" s="1" t="s">
        <v>74</v>
      </c>
      <c r="AY2933" s="1" t="s">
        <v>74</v>
      </c>
      <c r="AZ2933" s="1" t="s">
        <v>74</v>
      </c>
      <c r="BA2933" s="1" t="s">
        <v>74</v>
      </c>
      <c r="BB2933" s="1">
        <v>125</v>
      </c>
      <c r="BC2933" s="1">
        <v>132</v>
      </c>
      <c r="BD2933" s="1" t="s">
        <v>74</v>
      </c>
      <c r="BE2933" s="1" t="s">
        <v>46550</v>
      </c>
      <c r="BF2933" s="1" t="str">
        <f>HYPERLINK("http://dx.doi.org/10.2298/NTRP1801125K","http://dx.doi.org/10.2298/NTRP1801125K")</f>
        <v>http://dx.doi.org/10.2298/NTRP1801125K</v>
      </c>
      <c r="BG2933" s="1" t="s">
        <v>74</v>
      </c>
      <c r="BH2933" s="1" t="s">
        <v>74</v>
      </c>
      <c r="BI2933" s="1">
        <v>8</v>
      </c>
      <c r="BJ2933" s="1" t="s">
        <v>46551</v>
      </c>
      <c r="BK2933" s="1" t="s">
        <v>96</v>
      </c>
      <c r="BL2933" s="1" t="s">
        <v>46551</v>
      </c>
      <c r="BM2933" s="1" t="s">
        <v>46552</v>
      </c>
      <c r="BN2933" s="1" t="s">
        <v>74</v>
      </c>
      <c r="BO2933" s="1" t="s">
        <v>873</v>
      </c>
      <c r="BP2933" s="1" t="s">
        <v>74</v>
      </c>
      <c r="BQ2933" s="1" t="s">
        <v>74</v>
      </c>
      <c r="BR2933" s="1" t="s">
        <v>98</v>
      </c>
      <c r="BS2933" s="1" t="s">
        <v>46553</v>
      </c>
      <c r="BT2933" s="1" t="str">
        <f>HYPERLINK("https%3A%2F%2Fwww.webofscience.com%2Fwos%2Fwoscc%2Ffull-record%2FWOS:000436369300016","View Full Record in Web of Science")</f>
        <v>View Full Record in Web of Science</v>
      </c>
      <c r="BU2933" s="1"/>
      <c r="BV2933" s="1"/>
    </row>
    <row r="2934" spans="1:74">
      <c r="A2934" s="1" t="s">
        <v>72</v>
      </c>
      <c r="B2934" s="1" t="s">
        <v>46554</v>
      </c>
      <c r="C2934" s="1" t="s">
        <v>74</v>
      </c>
      <c r="D2934" s="1" t="s">
        <v>74</v>
      </c>
      <c r="E2934" s="1" t="s">
        <v>74</v>
      </c>
      <c r="F2934" s="1" t="s">
        <v>46555</v>
      </c>
      <c r="G2934" s="1" t="s">
        <v>74</v>
      </c>
      <c r="H2934" s="1" t="s">
        <v>74</v>
      </c>
      <c r="I2934" s="1" t="s">
        <v>46556</v>
      </c>
      <c r="J2934" s="1" t="s">
        <v>8639</v>
      </c>
      <c r="K2934" s="1" t="s">
        <v>74</v>
      </c>
      <c r="L2934" s="1" t="s">
        <v>74</v>
      </c>
      <c r="M2934" s="1" t="s">
        <v>78</v>
      </c>
      <c r="N2934" s="1" t="s">
        <v>79</v>
      </c>
      <c r="O2934" s="1" t="s">
        <v>74</v>
      </c>
      <c r="P2934" s="1" t="s">
        <v>74</v>
      </c>
      <c r="Q2934" s="1" t="s">
        <v>74</v>
      </c>
      <c r="R2934" s="1" t="s">
        <v>74</v>
      </c>
      <c r="S2934" s="1" t="s">
        <v>74</v>
      </c>
      <c r="T2934" s="1" t="s">
        <v>46557</v>
      </c>
      <c r="U2934" s="1" t="s">
        <v>46558</v>
      </c>
      <c r="V2934" s="1" t="s">
        <v>46559</v>
      </c>
      <c r="W2934" s="1" t="s">
        <v>46560</v>
      </c>
      <c r="X2934" s="1" t="s">
        <v>46561</v>
      </c>
      <c r="Y2934" s="1" t="s">
        <v>46562</v>
      </c>
      <c r="Z2934" s="1" t="s">
        <v>46563</v>
      </c>
      <c r="AA2934" s="1" t="s">
        <v>46564</v>
      </c>
      <c r="AB2934" s="1" t="s">
        <v>74</v>
      </c>
      <c r="AC2934" s="1" t="s">
        <v>46565</v>
      </c>
      <c r="AD2934" s="1" t="s">
        <v>46566</v>
      </c>
      <c r="AE2934" s="1" t="s">
        <v>46567</v>
      </c>
      <c r="AF2934" s="1" t="s">
        <v>74</v>
      </c>
      <c r="AG2934" s="1">
        <v>83</v>
      </c>
      <c r="AH2934" s="1">
        <v>8</v>
      </c>
      <c r="AI2934" s="1">
        <v>10</v>
      </c>
      <c r="AJ2934" s="1">
        <v>0</v>
      </c>
      <c r="AK2934" s="1">
        <v>65</v>
      </c>
      <c r="AL2934" s="1" t="s">
        <v>650</v>
      </c>
      <c r="AM2934" s="1" t="s">
        <v>651</v>
      </c>
      <c r="AN2934" s="1" t="s">
        <v>652</v>
      </c>
      <c r="AO2934" s="1" t="s">
        <v>8649</v>
      </c>
      <c r="AP2934" s="1" t="s">
        <v>8650</v>
      </c>
      <c r="AQ2934" s="1" t="s">
        <v>74</v>
      </c>
      <c r="AR2934" s="1" t="s">
        <v>8651</v>
      </c>
      <c r="AS2934" s="1" t="s">
        <v>8652</v>
      </c>
      <c r="AT2934" s="1" t="s">
        <v>197</v>
      </c>
      <c r="AU2934" s="1">
        <v>2017</v>
      </c>
      <c r="AV2934" s="1">
        <v>248</v>
      </c>
      <c r="AW2934" s="1" t="s">
        <v>74</v>
      </c>
      <c r="AX2934" s="1" t="s">
        <v>74</v>
      </c>
      <c r="AY2934" s="1" t="s">
        <v>74</v>
      </c>
      <c r="AZ2934" s="1" t="s">
        <v>74</v>
      </c>
      <c r="BA2934" s="1" t="s">
        <v>74</v>
      </c>
      <c r="BB2934" s="1">
        <v>871</v>
      </c>
      <c r="BC2934" s="1">
        <v>879</v>
      </c>
      <c r="BD2934" s="1" t="s">
        <v>74</v>
      </c>
      <c r="BE2934" s="1" t="s">
        <v>46568</v>
      </c>
      <c r="BF2934" s="1" t="str">
        <f>HYPERLINK("http://dx.doi.org/10.1016/j.molliq.2017.10.101","http://dx.doi.org/10.1016/j.molliq.2017.10.101")</f>
        <v>http://dx.doi.org/10.1016/j.molliq.2017.10.101</v>
      </c>
      <c r="BG2934" s="1" t="s">
        <v>74</v>
      </c>
      <c r="BH2934" s="1" t="s">
        <v>74</v>
      </c>
      <c r="BI2934" s="1">
        <v>9</v>
      </c>
      <c r="BJ2934" s="1" t="s">
        <v>8655</v>
      </c>
      <c r="BK2934" s="1" t="s">
        <v>96</v>
      </c>
      <c r="BL2934" s="1" t="s">
        <v>8656</v>
      </c>
      <c r="BM2934" s="1" t="s">
        <v>46569</v>
      </c>
      <c r="BN2934" s="1" t="s">
        <v>74</v>
      </c>
      <c r="BO2934" s="1" t="s">
        <v>370</v>
      </c>
      <c r="BP2934" s="1" t="s">
        <v>74</v>
      </c>
      <c r="BQ2934" s="1" t="s">
        <v>74</v>
      </c>
      <c r="BR2934" s="1" t="s">
        <v>98</v>
      </c>
      <c r="BS2934" s="1" t="s">
        <v>46570</v>
      </c>
      <c r="BT2934" s="1" t="str">
        <f>HYPERLINK("https%3A%2F%2Fwww.webofscience.com%2Fwos%2Fwoscc%2Ffull-record%2FWOS:000418314400099","View Full Record in Web of Science")</f>
        <v>View Full Record in Web of Science</v>
      </c>
      <c r="BU2934" s="1"/>
      <c r="BV2934" s="1"/>
    </row>
    <row r="2935" spans="1:74">
      <c r="A2935" s="1" t="s">
        <v>72</v>
      </c>
      <c r="B2935" s="1" t="s">
        <v>46571</v>
      </c>
      <c r="C2935" s="1" t="s">
        <v>74</v>
      </c>
      <c r="D2935" s="1" t="s">
        <v>74</v>
      </c>
      <c r="E2935" s="1" t="s">
        <v>74</v>
      </c>
      <c r="F2935" s="1" t="s">
        <v>46572</v>
      </c>
      <c r="G2935" s="1" t="s">
        <v>74</v>
      </c>
      <c r="H2935" s="1" t="s">
        <v>74</v>
      </c>
      <c r="I2935" s="1" t="s">
        <v>46573</v>
      </c>
      <c r="J2935" s="1" t="s">
        <v>25606</v>
      </c>
      <c r="K2935" s="1" t="s">
        <v>74</v>
      </c>
      <c r="L2935" s="1" t="s">
        <v>74</v>
      </c>
      <c r="M2935" s="1" t="s">
        <v>78</v>
      </c>
      <c r="N2935" s="1" t="s">
        <v>79</v>
      </c>
      <c r="O2935" s="1" t="s">
        <v>74</v>
      </c>
      <c r="P2935" s="1" t="s">
        <v>74</v>
      </c>
      <c r="Q2935" s="1" t="s">
        <v>74</v>
      </c>
      <c r="R2935" s="1" t="s">
        <v>74</v>
      </c>
      <c r="S2935" s="1" t="s">
        <v>74</v>
      </c>
      <c r="T2935" s="1" t="s">
        <v>46574</v>
      </c>
      <c r="U2935" s="1" t="s">
        <v>46575</v>
      </c>
      <c r="V2935" s="1" t="s">
        <v>46576</v>
      </c>
      <c r="W2935" s="1" t="s">
        <v>46577</v>
      </c>
      <c r="X2935" s="1" t="s">
        <v>46578</v>
      </c>
      <c r="Y2935" s="1" t="s">
        <v>46579</v>
      </c>
      <c r="Z2935" s="1" t="s">
        <v>46580</v>
      </c>
      <c r="AA2935" s="1" t="s">
        <v>46581</v>
      </c>
      <c r="AB2935" s="1" t="s">
        <v>46582</v>
      </c>
      <c r="AC2935" s="1" t="s">
        <v>46583</v>
      </c>
      <c r="AD2935" s="1" t="s">
        <v>46584</v>
      </c>
      <c r="AE2935" s="1" t="s">
        <v>46585</v>
      </c>
      <c r="AF2935" s="1" t="s">
        <v>74</v>
      </c>
      <c r="AG2935" s="1">
        <v>73</v>
      </c>
      <c r="AH2935" s="1">
        <v>26</v>
      </c>
      <c r="AI2935" s="1">
        <v>26</v>
      </c>
      <c r="AJ2935" s="1">
        <v>2</v>
      </c>
      <c r="AK2935" s="1">
        <v>29</v>
      </c>
      <c r="AL2935" s="1" t="s">
        <v>650</v>
      </c>
      <c r="AM2935" s="1" t="s">
        <v>651</v>
      </c>
      <c r="AN2935" s="1" t="s">
        <v>652</v>
      </c>
      <c r="AO2935" s="1" t="s">
        <v>25619</v>
      </c>
      <c r="AP2935" s="1" t="s">
        <v>74</v>
      </c>
      <c r="AQ2935" s="1" t="s">
        <v>74</v>
      </c>
      <c r="AR2935" s="1" t="s">
        <v>25620</v>
      </c>
      <c r="AS2935" s="1" t="s">
        <v>25621</v>
      </c>
      <c r="AT2935" s="1" t="s">
        <v>305</v>
      </c>
      <c r="AU2935" s="1">
        <v>2020</v>
      </c>
      <c r="AV2935" s="1">
        <v>20</v>
      </c>
      <c r="AW2935" s="1" t="s">
        <v>74</v>
      </c>
      <c r="AX2935" s="1" t="s">
        <v>74</v>
      </c>
      <c r="AY2935" s="1" t="s">
        <v>74</v>
      </c>
      <c r="AZ2935" s="1" t="s">
        <v>74</v>
      </c>
      <c r="BA2935" s="1" t="s">
        <v>74</v>
      </c>
      <c r="BB2935" s="1" t="s">
        <v>74</v>
      </c>
      <c r="BC2935" s="1" t="s">
        <v>74</v>
      </c>
      <c r="BD2935" s="1">
        <v>100581</v>
      </c>
      <c r="BE2935" s="1" t="s">
        <v>46586</v>
      </c>
      <c r="BF2935" s="1" t="str">
        <f>HYPERLINK("http://dx.doi.org/10.1016/j.surfin.2020.100581","http://dx.doi.org/10.1016/j.surfin.2020.100581")</f>
        <v>http://dx.doi.org/10.1016/j.surfin.2020.100581</v>
      </c>
      <c r="BG2935" s="1" t="s">
        <v>74</v>
      </c>
      <c r="BH2935" s="1" t="s">
        <v>74</v>
      </c>
      <c r="BI2935" s="1">
        <v>12</v>
      </c>
      <c r="BJ2935" s="1" t="s">
        <v>7287</v>
      </c>
      <c r="BK2935" s="1" t="s">
        <v>96</v>
      </c>
      <c r="BL2935" s="1" t="s">
        <v>7288</v>
      </c>
      <c r="BM2935" s="1" t="s">
        <v>46587</v>
      </c>
      <c r="BN2935" s="1" t="s">
        <v>74</v>
      </c>
      <c r="BO2935" s="1" t="s">
        <v>74</v>
      </c>
      <c r="BP2935" s="1" t="s">
        <v>74</v>
      </c>
      <c r="BQ2935" s="1" t="s">
        <v>74</v>
      </c>
      <c r="BR2935" s="1" t="s">
        <v>98</v>
      </c>
      <c r="BS2935" s="1" t="s">
        <v>46588</v>
      </c>
      <c r="BT2935" s="1" t="str">
        <f>HYPERLINK("https%3A%2F%2Fwww.webofscience.com%2Fwos%2Fwoscc%2Ffull-record%2FWOS:000572912400013","View Full Record in Web of Science")</f>
        <v>View Full Record in Web of Science</v>
      </c>
      <c r="BU2935" s="1"/>
      <c r="BV2935" s="1"/>
    </row>
    <row r="2936" spans="1:74">
      <c r="A2936" s="1" t="s">
        <v>72</v>
      </c>
      <c r="B2936" s="1" t="s">
        <v>46589</v>
      </c>
      <c r="C2936" s="1" t="s">
        <v>74</v>
      </c>
      <c r="D2936" s="1" t="s">
        <v>74</v>
      </c>
      <c r="E2936" s="1" t="s">
        <v>74</v>
      </c>
      <c r="F2936" s="1" t="s">
        <v>46590</v>
      </c>
      <c r="G2936" s="1" t="s">
        <v>74</v>
      </c>
      <c r="H2936" s="1" t="s">
        <v>74</v>
      </c>
      <c r="I2936" s="1" t="s">
        <v>46591</v>
      </c>
      <c r="J2936" s="1" t="s">
        <v>10129</v>
      </c>
      <c r="K2936" s="1" t="s">
        <v>74</v>
      </c>
      <c r="L2936" s="1" t="s">
        <v>74</v>
      </c>
      <c r="M2936" s="1" t="s">
        <v>78</v>
      </c>
      <c r="N2936" s="1" t="s">
        <v>79</v>
      </c>
      <c r="O2936" s="1" t="s">
        <v>74</v>
      </c>
      <c r="P2936" s="1" t="s">
        <v>74</v>
      </c>
      <c r="Q2936" s="1" t="s">
        <v>74</v>
      </c>
      <c r="R2936" s="1" t="s">
        <v>74</v>
      </c>
      <c r="S2936" s="1" t="s">
        <v>74</v>
      </c>
      <c r="T2936" s="1" t="s">
        <v>46592</v>
      </c>
      <c r="U2936" s="1" t="s">
        <v>46593</v>
      </c>
      <c r="V2936" s="1" t="s">
        <v>46594</v>
      </c>
      <c r="W2936" s="1" t="s">
        <v>46595</v>
      </c>
      <c r="X2936" s="1" t="s">
        <v>46596</v>
      </c>
      <c r="Y2936" s="1" t="s">
        <v>46597</v>
      </c>
      <c r="Z2936" s="1" t="s">
        <v>6705</v>
      </c>
      <c r="AA2936" s="1" t="s">
        <v>46598</v>
      </c>
      <c r="AB2936" s="1" t="s">
        <v>46599</v>
      </c>
      <c r="AC2936" s="1" t="s">
        <v>46600</v>
      </c>
      <c r="AD2936" s="1" t="s">
        <v>34993</v>
      </c>
      <c r="AE2936" s="1" t="s">
        <v>46601</v>
      </c>
      <c r="AF2936" s="1" t="s">
        <v>74</v>
      </c>
      <c r="AG2936" s="1">
        <v>22</v>
      </c>
      <c r="AH2936" s="1">
        <v>58</v>
      </c>
      <c r="AI2936" s="1">
        <v>64</v>
      </c>
      <c r="AJ2936" s="1">
        <v>6</v>
      </c>
      <c r="AK2936" s="1">
        <v>95</v>
      </c>
      <c r="AL2936" s="1" t="s">
        <v>3362</v>
      </c>
      <c r="AM2936" s="1" t="s">
        <v>3363</v>
      </c>
      <c r="AN2936" s="1" t="s">
        <v>3364</v>
      </c>
      <c r="AO2936" s="1" t="s">
        <v>10137</v>
      </c>
      <c r="AP2936" s="1" t="s">
        <v>10138</v>
      </c>
      <c r="AQ2936" s="1" t="s">
        <v>74</v>
      </c>
      <c r="AR2936" s="1" t="s">
        <v>10139</v>
      </c>
      <c r="AS2936" s="1" t="s">
        <v>10140</v>
      </c>
      <c r="AT2936" s="1" t="s">
        <v>951</v>
      </c>
      <c r="AU2936" s="1">
        <v>2015</v>
      </c>
      <c r="AV2936" s="1">
        <v>143</v>
      </c>
      <c r="AW2936" s="1" t="s">
        <v>74</v>
      </c>
      <c r="AX2936" s="1" t="s">
        <v>13570</v>
      </c>
      <c r="AY2936" s="1" t="s">
        <v>74</v>
      </c>
      <c r="AZ2936" s="1" t="s">
        <v>225</v>
      </c>
      <c r="BA2936" s="1" t="s">
        <v>74</v>
      </c>
      <c r="BB2936" s="1">
        <v>65</v>
      </c>
      <c r="BC2936" s="1">
        <v>71</v>
      </c>
      <c r="BD2936" s="1" t="s">
        <v>74</v>
      </c>
      <c r="BE2936" s="1" t="s">
        <v>46602</v>
      </c>
      <c r="BF2936" s="1" t="str">
        <f>HYPERLINK("http://dx.doi.org/10.1016/j.envres.2015.05.003","http://dx.doi.org/10.1016/j.envres.2015.05.003")</f>
        <v>http://dx.doi.org/10.1016/j.envres.2015.05.003</v>
      </c>
      <c r="BG2936" s="1" t="s">
        <v>74</v>
      </c>
      <c r="BH2936" s="1" t="s">
        <v>74</v>
      </c>
      <c r="BI2936" s="1">
        <v>7</v>
      </c>
      <c r="BJ2936" s="1" t="s">
        <v>10142</v>
      </c>
      <c r="BK2936" s="1" t="s">
        <v>96</v>
      </c>
      <c r="BL2936" s="1" t="s">
        <v>10143</v>
      </c>
      <c r="BM2936" s="1" t="s">
        <v>46603</v>
      </c>
      <c r="BN2936" s="1">
        <v>25985745</v>
      </c>
      <c r="BO2936" s="1" t="s">
        <v>74</v>
      </c>
      <c r="BP2936" s="1" t="s">
        <v>74</v>
      </c>
      <c r="BQ2936" s="1" t="s">
        <v>74</v>
      </c>
      <c r="BR2936" s="1" t="s">
        <v>98</v>
      </c>
      <c r="BS2936" s="1" t="s">
        <v>46604</v>
      </c>
      <c r="BT2936" s="1" t="str">
        <f>HYPERLINK("https%3A%2F%2Fwww.webofscience.com%2Fwos%2Fwoscc%2Ffull-record%2FWOS:000365931300009","View Full Record in Web of Science")</f>
        <v>View Full Record in Web of Science</v>
      </c>
      <c r="BU2936" s="1"/>
      <c r="BV2936" s="1"/>
    </row>
    <row r="2937" spans="1:74">
      <c r="A2937" s="1" t="s">
        <v>72</v>
      </c>
      <c r="B2937" s="1" t="s">
        <v>46605</v>
      </c>
      <c r="C2937" s="1" t="s">
        <v>74</v>
      </c>
      <c r="D2937" s="1" t="s">
        <v>74</v>
      </c>
      <c r="E2937" s="1" t="s">
        <v>74</v>
      </c>
      <c r="F2937" s="1" t="s">
        <v>46606</v>
      </c>
      <c r="G2937" s="1" t="s">
        <v>74</v>
      </c>
      <c r="H2937" s="1" t="s">
        <v>74</v>
      </c>
      <c r="I2937" s="1" t="s">
        <v>46607</v>
      </c>
      <c r="J2937" s="1" t="s">
        <v>909</v>
      </c>
      <c r="K2937" s="1" t="s">
        <v>74</v>
      </c>
      <c r="L2937" s="1" t="s">
        <v>74</v>
      </c>
      <c r="M2937" s="1" t="s">
        <v>78</v>
      </c>
      <c r="N2937" s="1" t="s">
        <v>79</v>
      </c>
      <c r="O2937" s="1" t="s">
        <v>74</v>
      </c>
      <c r="P2937" s="1" t="s">
        <v>74</v>
      </c>
      <c r="Q2937" s="1" t="s">
        <v>74</v>
      </c>
      <c r="R2937" s="1" t="s">
        <v>74</v>
      </c>
      <c r="S2937" s="1" t="s">
        <v>74</v>
      </c>
      <c r="T2937" s="1" t="s">
        <v>46608</v>
      </c>
      <c r="U2937" s="1" t="s">
        <v>46609</v>
      </c>
      <c r="V2937" s="1" t="s">
        <v>46610</v>
      </c>
      <c r="W2937" s="1" t="s">
        <v>46611</v>
      </c>
      <c r="X2937" s="1" t="s">
        <v>40770</v>
      </c>
      <c r="Y2937" s="1" t="s">
        <v>46612</v>
      </c>
      <c r="Z2937" s="1" t="s">
        <v>46613</v>
      </c>
      <c r="AA2937" s="1" t="s">
        <v>46614</v>
      </c>
      <c r="AB2937" s="1" t="s">
        <v>46615</v>
      </c>
      <c r="AC2937" s="1" t="s">
        <v>46616</v>
      </c>
      <c r="AD2937" s="1" t="s">
        <v>46617</v>
      </c>
      <c r="AE2937" s="1" t="s">
        <v>46618</v>
      </c>
      <c r="AF2937" s="1" t="s">
        <v>74</v>
      </c>
      <c r="AG2937" s="1">
        <v>61</v>
      </c>
      <c r="AH2937" s="1">
        <v>41</v>
      </c>
      <c r="AI2937" s="1">
        <v>45</v>
      </c>
      <c r="AJ2937" s="1">
        <v>1</v>
      </c>
      <c r="AK2937" s="1">
        <v>120</v>
      </c>
      <c r="AL2937" s="1" t="s">
        <v>650</v>
      </c>
      <c r="AM2937" s="1" t="s">
        <v>651</v>
      </c>
      <c r="AN2937" s="1" t="s">
        <v>652</v>
      </c>
      <c r="AO2937" s="1" t="s">
        <v>921</v>
      </c>
      <c r="AP2937" s="1" t="s">
        <v>922</v>
      </c>
      <c r="AQ2937" s="1" t="s">
        <v>74</v>
      </c>
      <c r="AR2937" s="1" t="s">
        <v>923</v>
      </c>
      <c r="AS2937" s="1" t="s">
        <v>924</v>
      </c>
      <c r="AT2937" s="1" t="s">
        <v>3752</v>
      </c>
      <c r="AU2937" s="1">
        <v>2019</v>
      </c>
      <c r="AV2937" s="1">
        <v>650</v>
      </c>
      <c r="AW2937" s="1" t="s">
        <v>74</v>
      </c>
      <c r="AX2937" s="1">
        <v>2</v>
      </c>
      <c r="AY2937" s="1" t="s">
        <v>74</v>
      </c>
      <c r="AZ2937" s="1" t="s">
        <v>74</v>
      </c>
      <c r="BA2937" s="1" t="s">
        <v>74</v>
      </c>
      <c r="BB2937" s="1">
        <v>2614</v>
      </c>
      <c r="BC2937" s="1">
        <v>2623</v>
      </c>
      <c r="BD2937" s="1" t="s">
        <v>74</v>
      </c>
      <c r="BE2937" s="1" t="s">
        <v>46619</v>
      </c>
      <c r="BF2937" s="1" t="str">
        <f>HYPERLINK("http://dx.doi.org/10.1016/j.scitotenv.2018.10.023","http://dx.doi.org/10.1016/j.scitotenv.2018.10.023")</f>
        <v>http://dx.doi.org/10.1016/j.scitotenv.2018.10.023</v>
      </c>
      <c r="BG2937" s="1" t="s">
        <v>74</v>
      </c>
      <c r="BH2937" s="1" t="s">
        <v>74</v>
      </c>
      <c r="BI2937" s="1">
        <v>10</v>
      </c>
      <c r="BJ2937" s="1" t="s">
        <v>144</v>
      </c>
      <c r="BK2937" s="1" t="s">
        <v>96</v>
      </c>
      <c r="BL2937" s="1" t="s">
        <v>145</v>
      </c>
      <c r="BM2937" s="1" t="s">
        <v>38978</v>
      </c>
      <c r="BN2937" s="1">
        <v>30373048</v>
      </c>
      <c r="BO2937" s="1" t="s">
        <v>74</v>
      </c>
      <c r="BP2937" s="1" t="s">
        <v>74</v>
      </c>
      <c r="BQ2937" s="1" t="s">
        <v>74</v>
      </c>
      <c r="BR2937" s="1" t="s">
        <v>98</v>
      </c>
      <c r="BS2937" s="1" t="s">
        <v>46620</v>
      </c>
      <c r="BT2937" s="1" t="str">
        <f>HYPERLINK("https%3A%2F%2Fwww.webofscience.com%2Fwos%2Fwoscc%2Ffull-record%2FWOS:000447871400090","View Full Record in Web of Science")</f>
        <v>View Full Record in Web of Science</v>
      </c>
      <c r="BU2937" s="1"/>
      <c r="BV2937" s="1"/>
    </row>
    <row r="2938" spans="1:74">
      <c r="A2938" s="1" t="s">
        <v>72</v>
      </c>
      <c r="B2938" s="1" t="s">
        <v>46621</v>
      </c>
      <c r="C2938" s="1" t="s">
        <v>74</v>
      </c>
      <c r="D2938" s="1" t="s">
        <v>74</v>
      </c>
      <c r="E2938" s="1" t="s">
        <v>74</v>
      </c>
      <c r="F2938" s="1" t="s">
        <v>46622</v>
      </c>
      <c r="G2938" s="1" t="s">
        <v>74</v>
      </c>
      <c r="H2938" s="1" t="s">
        <v>74</v>
      </c>
      <c r="I2938" s="1" t="s">
        <v>46623</v>
      </c>
      <c r="J2938" s="1" t="s">
        <v>46624</v>
      </c>
      <c r="K2938" s="1" t="s">
        <v>74</v>
      </c>
      <c r="L2938" s="1" t="s">
        <v>74</v>
      </c>
      <c r="M2938" s="1" t="s">
        <v>78</v>
      </c>
      <c r="N2938" s="1" t="s">
        <v>151</v>
      </c>
      <c r="O2938" s="1" t="s">
        <v>46625</v>
      </c>
      <c r="P2938" s="1" t="s">
        <v>46626</v>
      </c>
      <c r="Q2938" s="1" t="s">
        <v>46627</v>
      </c>
      <c r="R2938" s="1" t="s">
        <v>74</v>
      </c>
      <c r="S2938" s="1" t="s">
        <v>46628</v>
      </c>
      <c r="T2938" s="1" t="s">
        <v>74</v>
      </c>
      <c r="U2938" s="1" t="s">
        <v>46629</v>
      </c>
      <c r="V2938" s="1" t="s">
        <v>46630</v>
      </c>
      <c r="W2938" s="1" t="s">
        <v>46631</v>
      </c>
      <c r="X2938" s="1" t="s">
        <v>46632</v>
      </c>
      <c r="Y2938" s="1" t="s">
        <v>46633</v>
      </c>
      <c r="Z2938" s="1" t="s">
        <v>46634</v>
      </c>
      <c r="AA2938" s="1" t="s">
        <v>46635</v>
      </c>
      <c r="AB2938" s="1" t="s">
        <v>46636</v>
      </c>
      <c r="AC2938" s="1" t="s">
        <v>74</v>
      </c>
      <c r="AD2938" s="1" t="s">
        <v>74</v>
      </c>
      <c r="AE2938" s="1" t="s">
        <v>74</v>
      </c>
      <c r="AF2938" s="1" t="s">
        <v>74</v>
      </c>
      <c r="AG2938" s="1">
        <v>61</v>
      </c>
      <c r="AH2938" s="1">
        <v>161</v>
      </c>
      <c r="AI2938" s="1">
        <v>171</v>
      </c>
      <c r="AJ2938" s="1">
        <v>5</v>
      </c>
      <c r="AK2938" s="1">
        <v>212</v>
      </c>
      <c r="AL2938" s="1" t="s">
        <v>86</v>
      </c>
      <c r="AM2938" s="1" t="s">
        <v>87</v>
      </c>
      <c r="AN2938" s="1" t="s">
        <v>88</v>
      </c>
      <c r="AO2938" s="1" t="s">
        <v>46637</v>
      </c>
      <c r="AP2938" s="1" t="s">
        <v>46638</v>
      </c>
      <c r="AQ2938" s="1" t="s">
        <v>74</v>
      </c>
      <c r="AR2938" s="1" t="s">
        <v>46639</v>
      </c>
      <c r="AS2938" s="1" t="s">
        <v>46640</v>
      </c>
      <c r="AT2938" s="1" t="s">
        <v>119</v>
      </c>
      <c r="AU2938" s="1">
        <v>2010</v>
      </c>
      <c r="AV2938" s="1">
        <v>26</v>
      </c>
      <c r="AW2938" s="1" t="s">
        <v>74</v>
      </c>
      <c r="AX2938" s="1" t="s">
        <v>74</v>
      </c>
      <c r="AY2938" s="1">
        <v>2</v>
      </c>
      <c r="AZ2938" s="1" t="s">
        <v>74</v>
      </c>
      <c r="BA2938" s="1" t="s">
        <v>74</v>
      </c>
      <c r="BB2938" s="1">
        <v>1</v>
      </c>
      <c r="BC2938" s="1">
        <v>7</v>
      </c>
      <c r="BD2938" s="1" t="s">
        <v>74</v>
      </c>
      <c r="BE2938" s="1" t="s">
        <v>46641</v>
      </c>
      <c r="BF2938" s="1" t="str">
        <f>HYPERLINK("http://dx.doi.org/10.1111/j.1439-0426.2010.01503.x","http://dx.doi.org/10.1111/j.1439-0426.2010.01503.x")</f>
        <v>http://dx.doi.org/10.1111/j.1439-0426.2010.01503.x</v>
      </c>
      <c r="BG2938" s="1" t="s">
        <v>74</v>
      </c>
      <c r="BH2938" s="1" t="s">
        <v>74</v>
      </c>
      <c r="BI2938" s="1">
        <v>7</v>
      </c>
      <c r="BJ2938" s="1" t="s">
        <v>2391</v>
      </c>
      <c r="BK2938" s="1" t="s">
        <v>172</v>
      </c>
      <c r="BL2938" s="1" t="s">
        <v>2391</v>
      </c>
      <c r="BM2938" s="1" t="s">
        <v>46642</v>
      </c>
      <c r="BN2938" s="1" t="s">
        <v>74</v>
      </c>
      <c r="BO2938" s="1" t="s">
        <v>810</v>
      </c>
      <c r="BP2938" s="1" t="s">
        <v>74</v>
      </c>
      <c r="BQ2938" s="1" t="s">
        <v>74</v>
      </c>
      <c r="BR2938" s="1" t="s">
        <v>98</v>
      </c>
      <c r="BS2938" s="1" t="s">
        <v>46643</v>
      </c>
      <c r="BT2938" s="1" t="str">
        <f>HYPERLINK("https%3A%2F%2Fwww.webofscience.com%2Fwos%2Fwoscc%2Ffull-record%2FWOS:000280979500002","View Full Record in Web of Science")</f>
        <v>View Full Record in Web of Science</v>
      </c>
      <c r="BU2938" s="1"/>
      <c r="BV2938" s="1"/>
    </row>
    <row r="2939" spans="1:74">
      <c r="A2939" s="1" t="s">
        <v>72</v>
      </c>
      <c r="B2939" s="1" t="s">
        <v>46644</v>
      </c>
      <c r="C2939" s="1" t="s">
        <v>74</v>
      </c>
      <c r="D2939" s="1" t="s">
        <v>74</v>
      </c>
      <c r="E2939" s="1" t="s">
        <v>74</v>
      </c>
      <c r="F2939" s="1" t="s">
        <v>46645</v>
      </c>
      <c r="G2939" s="1" t="s">
        <v>74</v>
      </c>
      <c r="H2939" s="1" t="s">
        <v>74</v>
      </c>
      <c r="I2939" s="1" t="s">
        <v>46646</v>
      </c>
      <c r="J2939" s="1" t="s">
        <v>4549</v>
      </c>
      <c r="K2939" s="1" t="s">
        <v>74</v>
      </c>
      <c r="L2939" s="1" t="s">
        <v>74</v>
      </c>
      <c r="M2939" s="1" t="s">
        <v>78</v>
      </c>
      <c r="N2939" s="1" t="s">
        <v>79</v>
      </c>
      <c r="O2939" s="1" t="s">
        <v>74</v>
      </c>
      <c r="P2939" s="1" t="s">
        <v>74</v>
      </c>
      <c r="Q2939" s="1" t="s">
        <v>74</v>
      </c>
      <c r="R2939" s="1" t="s">
        <v>74</v>
      </c>
      <c r="S2939" s="1" t="s">
        <v>74</v>
      </c>
      <c r="T2939" s="1" t="s">
        <v>46647</v>
      </c>
      <c r="U2939" s="1" t="s">
        <v>46648</v>
      </c>
      <c r="V2939" s="1" t="s">
        <v>46649</v>
      </c>
      <c r="W2939" s="1" t="s">
        <v>46650</v>
      </c>
      <c r="X2939" s="1" t="s">
        <v>46651</v>
      </c>
      <c r="Y2939" s="1" t="s">
        <v>46652</v>
      </c>
      <c r="Z2939" s="1" t="s">
        <v>46653</v>
      </c>
      <c r="AA2939" s="1" t="s">
        <v>46654</v>
      </c>
      <c r="AB2939" s="1" t="s">
        <v>46655</v>
      </c>
      <c r="AC2939" s="1" t="s">
        <v>46656</v>
      </c>
      <c r="AD2939" s="1" t="s">
        <v>46656</v>
      </c>
      <c r="AE2939" s="1" t="s">
        <v>46657</v>
      </c>
      <c r="AF2939" s="1" t="s">
        <v>74</v>
      </c>
      <c r="AG2939" s="1">
        <v>48</v>
      </c>
      <c r="AH2939" s="1">
        <v>1</v>
      </c>
      <c r="AI2939" s="1">
        <v>2</v>
      </c>
      <c r="AJ2939" s="1">
        <v>0</v>
      </c>
      <c r="AK2939" s="1">
        <v>12</v>
      </c>
      <c r="AL2939" s="1" t="s">
        <v>136</v>
      </c>
      <c r="AM2939" s="1" t="s">
        <v>137</v>
      </c>
      <c r="AN2939" s="1" t="s">
        <v>138</v>
      </c>
      <c r="AO2939" s="1" t="s">
        <v>4559</v>
      </c>
      <c r="AP2939" s="1" t="s">
        <v>4560</v>
      </c>
      <c r="AQ2939" s="1" t="s">
        <v>74</v>
      </c>
      <c r="AR2939" s="1" t="s">
        <v>4561</v>
      </c>
      <c r="AS2939" s="1" t="s">
        <v>4562</v>
      </c>
      <c r="AT2939" s="1" t="s">
        <v>142</v>
      </c>
      <c r="AU2939" s="1">
        <v>2019</v>
      </c>
      <c r="AV2939" s="1">
        <v>128</v>
      </c>
      <c r="AW2939" s="1" t="s">
        <v>74</v>
      </c>
      <c r="AX2939" s="1" t="s">
        <v>74</v>
      </c>
      <c r="AY2939" s="1" t="s">
        <v>74</v>
      </c>
      <c r="AZ2939" s="1" t="s">
        <v>74</v>
      </c>
      <c r="BA2939" s="1" t="s">
        <v>74</v>
      </c>
      <c r="BB2939" s="1">
        <v>154</v>
      </c>
      <c r="BC2939" s="1">
        <v>162</v>
      </c>
      <c r="BD2939" s="1" t="s">
        <v>74</v>
      </c>
      <c r="BE2939" s="1" t="s">
        <v>46658</v>
      </c>
      <c r="BF2939" s="1" t="str">
        <f>HYPERLINK("http://dx.doi.org/10.1016/j.fct.2019.04.005","http://dx.doi.org/10.1016/j.fct.2019.04.005")</f>
        <v>http://dx.doi.org/10.1016/j.fct.2019.04.005</v>
      </c>
      <c r="BG2939" s="1" t="s">
        <v>74</v>
      </c>
      <c r="BH2939" s="1" t="s">
        <v>74</v>
      </c>
      <c r="BI2939" s="1">
        <v>9</v>
      </c>
      <c r="BJ2939" s="1" t="s">
        <v>4564</v>
      </c>
      <c r="BK2939" s="1" t="s">
        <v>96</v>
      </c>
      <c r="BL2939" s="1" t="s">
        <v>4564</v>
      </c>
      <c r="BM2939" s="1" t="s">
        <v>46659</v>
      </c>
      <c r="BN2939" s="1">
        <v>30965104</v>
      </c>
      <c r="BO2939" s="1" t="s">
        <v>74</v>
      </c>
      <c r="BP2939" s="1" t="s">
        <v>74</v>
      </c>
      <c r="BQ2939" s="1" t="s">
        <v>74</v>
      </c>
      <c r="BR2939" s="1" t="s">
        <v>98</v>
      </c>
      <c r="BS2939" s="1" t="s">
        <v>46660</v>
      </c>
      <c r="BT2939" s="1" t="str">
        <f>HYPERLINK("https%3A%2F%2Fwww.webofscience.com%2Fwos%2Fwoscc%2Ffull-record%2FWOS:000468712200018","View Full Record in Web of Science")</f>
        <v>View Full Record in Web of Science</v>
      </c>
      <c r="BU2939" s="1"/>
      <c r="BV2939" s="1"/>
    </row>
    <row r="2940" spans="1:74">
      <c r="A2940" s="1" t="s">
        <v>72</v>
      </c>
      <c r="B2940" s="1" t="s">
        <v>46661</v>
      </c>
      <c r="C2940" s="1" t="s">
        <v>74</v>
      </c>
      <c r="D2940" s="1" t="s">
        <v>74</v>
      </c>
      <c r="E2940" s="1" t="s">
        <v>74</v>
      </c>
      <c r="F2940" s="1" t="s">
        <v>46662</v>
      </c>
      <c r="G2940" s="1" t="s">
        <v>74</v>
      </c>
      <c r="H2940" s="1" t="s">
        <v>74</v>
      </c>
      <c r="I2940" s="1" t="s">
        <v>46663</v>
      </c>
      <c r="J2940" s="1" t="s">
        <v>46664</v>
      </c>
      <c r="K2940" s="1" t="s">
        <v>74</v>
      </c>
      <c r="L2940" s="1" t="s">
        <v>74</v>
      </c>
      <c r="M2940" s="1" t="s">
        <v>78</v>
      </c>
      <c r="N2940" s="1" t="s">
        <v>79</v>
      </c>
      <c r="O2940" s="1" t="s">
        <v>74</v>
      </c>
      <c r="P2940" s="1" t="s">
        <v>74</v>
      </c>
      <c r="Q2940" s="1" t="s">
        <v>74</v>
      </c>
      <c r="R2940" s="1" t="s">
        <v>74</v>
      </c>
      <c r="S2940" s="1" t="s">
        <v>74</v>
      </c>
      <c r="T2940" s="1" t="s">
        <v>46665</v>
      </c>
      <c r="U2940" s="1" t="s">
        <v>46666</v>
      </c>
      <c r="V2940" s="1" t="s">
        <v>46667</v>
      </c>
      <c r="W2940" s="1" t="s">
        <v>46668</v>
      </c>
      <c r="X2940" s="1" t="s">
        <v>46669</v>
      </c>
      <c r="Y2940" s="1" t="s">
        <v>46670</v>
      </c>
      <c r="Z2940" s="1" t="s">
        <v>46671</v>
      </c>
      <c r="AA2940" s="1" t="s">
        <v>46672</v>
      </c>
      <c r="AB2940" s="1" t="s">
        <v>46673</v>
      </c>
      <c r="AC2940" s="1" t="s">
        <v>46674</v>
      </c>
      <c r="AD2940" s="1" t="s">
        <v>46675</v>
      </c>
      <c r="AE2940" s="1" t="s">
        <v>46676</v>
      </c>
      <c r="AF2940" s="1" t="s">
        <v>74</v>
      </c>
      <c r="AG2940" s="1">
        <v>48</v>
      </c>
      <c r="AH2940" s="1">
        <v>4</v>
      </c>
      <c r="AI2940" s="1">
        <v>5</v>
      </c>
      <c r="AJ2940" s="1">
        <v>8</v>
      </c>
      <c r="AK2940" s="1">
        <v>37</v>
      </c>
      <c r="AL2940" s="1" t="s">
        <v>430</v>
      </c>
      <c r="AM2940" s="1" t="s">
        <v>137</v>
      </c>
      <c r="AN2940" s="1" t="s">
        <v>431</v>
      </c>
      <c r="AO2940" s="1" t="s">
        <v>46677</v>
      </c>
      <c r="AP2940" s="1" t="s">
        <v>46678</v>
      </c>
      <c r="AQ2940" s="1" t="s">
        <v>74</v>
      </c>
      <c r="AR2940" s="1" t="s">
        <v>46679</v>
      </c>
      <c r="AS2940" s="1" t="s">
        <v>46680</v>
      </c>
      <c r="AT2940" s="1" t="s">
        <v>170</v>
      </c>
      <c r="AU2940" s="1">
        <v>2023</v>
      </c>
      <c r="AV2940" s="1">
        <v>375</v>
      </c>
      <c r="AW2940" s="1" t="s">
        <v>74</v>
      </c>
      <c r="AX2940" s="1" t="s">
        <v>74</v>
      </c>
      <c r="AY2940" s="1" t="s">
        <v>74</v>
      </c>
      <c r="AZ2940" s="1" t="s">
        <v>74</v>
      </c>
      <c r="BA2940" s="1" t="s">
        <v>74</v>
      </c>
      <c r="BB2940" s="1" t="s">
        <v>74</v>
      </c>
      <c r="BC2940" s="1" t="s">
        <v>74</v>
      </c>
      <c r="BD2940" s="1">
        <v>128820</v>
      </c>
      <c r="BE2940" s="1" t="s">
        <v>46681</v>
      </c>
      <c r="BF2940" s="1" t="str">
        <f>HYPERLINK("http://dx.doi.org/10.1016/j.biortech.2023.128820","http://dx.doi.org/10.1016/j.biortech.2023.128820")</f>
        <v>http://dx.doi.org/10.1016/j.biortech.2023.128820</v>
      </c>
      <c r="BG2940" s="1" t="s">
        <v>74</v>
      </c>
      <c r="BH2940" s="1" t="s">
        <v>6536</v>
      </c>
      <c r="BI2940" s="1">
        <v>12</v>
      </c>
      <c r="BJ2940" s="1" t="s">
        <v>46682</v>
      </c>
      <c r="BK2940" s="1" t="s">
        <v>96</v>
      </c>
      <c r="BL2940" s="1" t="s">
        <v>46683</v>
      </c>
      <c r="BM2940" s="1" t="s">
        <v>46684</v>
      </c>
      <c r="BN2940" s="1">
        <v>36871699</v>
      </c>
      <c r="BO2940" s="1" t="s">
        <v>370</v>
      </c>
      <c r="BP2940" s="1" t="s">
        <v>74</v>
      </c>
      <c r="BQ2940" s="1" t="s">
        <v>74</v>
      </c>
      <c r="BR2940" s="1" t="s">
        <v>98</v>
      </c>
      <c r="BS2940" s="1" t="s">
        <v>46685</v>
      </c>
      <c r="BT2940" s="1" t="str">
        <f>HYPERLINK("https%3A%2F%2Fwww.webofscience.com%2Fwos%2Fwoscc%2Ffull-record%2FWOS:001005683100001","View Full Record in Web of Science")</f>
        <v>View Full Record in Web of Science</v>
      </c>
      <c r="BU2940" s="1"/>
      <c r="BV2940" s="1"/>
    </row>
    <row r="2941" spans="1:74">
      <c r="A2941" s="1" t="s">
        <v>72</v>
      </c>
      <c r="B2941" s="1" t="s">
        <v>42716</v>
      </c>
      <c r="C2941" s="1" t="s">
        <v>74</v>
      </c>
      <c r="D2941" s="1" t="s">
        <v>74</v>
      </c>
      <c r="E2941" s="1" t="s">
        <v>74</v>
      </c>
      <c r="F2941" s="1" t="s">
        <v>42717</v>
      </c>
      <c r="G2941" s="1" t="s">
        <v>74</v>
      </c>
      <c r="H2941" s="1" t="s">
        <v>74</v>
      </c>
      <c r="I2941" s="1" t="s">
        <v>46686</v>
      </c>
      <c r="J2941" s="1" t="s">
        <v>909</v>
      </c>
      <c r="K2941" s="1" t="s">
        <v>74</v>
      </c>
      <c r="L2941" s="1" t="s">
        <v>74</v>
      </c>
      <c r="M2941" s="1" t="s">
        <v>78</v>
      </c>
      <c r="N2941" s="1" t="s">
        <v>79</v>
      </c>
      <c r="O2941" s="1" t="s">
        <v>74</v>
      </c>
      <c r="P2941" s="1" t="s">
        <v>74</v>
      </c>
      <c r="Q2941" s="1" t="s">
        <v>74</v>
      </c>
      <c r="R2941" s="1" t="s">
        <v>74</v>
      </c>
      <c r="S2941" s="1" t="s">
        <v>74</v>
      </c>
      <c r="T2941" s="1" t="s">
        <v>46687</v>
      </c>
      <c r="U2941" s="1" t="s">
        <v>46688</v>
      </c>
      <c r="V2941" s="1" t="s">
        <v>46689</v>
      </c>
      <c r="W2941" s="1" t="s">
        <v>46690</v>
      </c>
      <c r="X2941" s="1" t="s">
        <v>46691</v>
      </c>
      <c r="Y2941" s="1" t="s">
        <v>9287</v>
      </c>
      <c r="Z2941" s="1" t="s">
        <v>9288</v>
      </c>
      <c r="AA2941" s="1" t="s">
        <v>46692</v>
      </c>
      <c r="AB2941" s="1" t="s">
        <v>46693</v>
      </c>
      <c r="AC2941" s="1" t="s">
        <v>46694</v>
      </c>
      <c r="AD2941" s="1" t="s">
        <v>42727</v>
      </c>
      <c r="AE2941" s="1" t="s">
        <v>46695</v>
      </c>
      <c r="AF2941" s="1" t="s">
        <v>74</v>
      </c>
      <c r="AG2941" s="1">
        <v>81</v>
      </c>
      <c r="AH2941" s="1">
        <v>4</v>
      </c>
      <c r="AI2941" s="1">
        <v>4</v>
      </c>
      <c r="AJ2941" s="1">
        <v>2</v>
      </c>
      <c r="AK2941" s="1">
        <v>6</v>
      </c>
      <c r="AL2941" s="1" t="s">
        <v>650</v>
      </c>
      <c r="AM2941" s="1" t="s">
        <v>651</v>
      </c>
      <c r="AN2941" s="1" t="s">
        <v>652</v>
      </c>
      <c r="AO2941" s="1" t="s">
        <v>921</v>
      </c>
      <c r="AP2941" s="1" t="s">
        <v>922</v>
      </c>
      <c r="AQ2941" s="1" t="s">
        <v>74</v>
      </c>
      <c r="AR2941" s="1" t="s">
        <v>923</v>
      </c>
      <c r="AS2941" s="1" t="s">
        <v>924</v>
      </c>
      <c r="AT2941" s="1" t="s">
        <v>2303</v>
      </c>
      <c r="AU2941" s="1">
        <v>2023</v>
      </c>
      <c r="AV2941" s="1">
        <v>902</v>
      </c>
      <c r="AW2941" s="1" t="s">
        <v>74</v>
      </c>
      <c r="AX2941" s="1" t="s">
        <v>74</v>
      </c>
      <c r="AY2941" s="1" t="s">
        <v>74</v>
      </c>
      <c r="AZ2941" s="1" t="s">
        <v>74</v>
      </c>
      <c r="BA2941" s="1" t="s">
        <v>74</v>
      </c>
      <c r="BB2941" s="1" t="s">
        <v>74</v>
      </c>
      <c r="BC2941" s="1" t="s">
        <v>74</v>
      </c>
      <c r="BD2941" s="1">
        <v>166085</v>
      </c>
      <c r="BE2941" s="1" t="s">
        <v>46696</v>
      </c>
      <c r="BF2941" s="1" t="str">
        <f>HYPERLINK("http://dx.doi.org/10.1016/j.scitotenv.2023.166085","http://dx.doi.org/10.1016/j.scitotenv.2023.166085")</f>
        <v>http://dx.doi.org/10.1016/j.scitotenv.2023.166085</v>
      </c>
      <c r="BG2941" s="1" t="s">
        <v>74</v>
      </c>
      <c r="BH2941" s="1" t="s">
        <v>6411</v>
      </c>
      <c r="BI2941" s="1">
        <v>11</v>
      </c>
      <c r="BJ2941" s="1" t="s">
        <v>144</v>
      </c>
      <c r="BK2941" s="1" t="s">
        <v>96</v>
      </c>
      <c r="BL2941" s="1" t="s">
        <v>145</v>
      </c>
      <c r="BM2941" s="1" t="s">
        <v>46697</v>
      </c>
      <c r="BN2941" s="1">
        <v>37549702</v>
      </c>
      <c r="BO2941" s="1" t="s">
        <v>476</v>
      </c>
      <c r="BP2941" s="1" t="s">
        <v>74</v>
      </c>
      <c r="BQ2941" s="1" t="s">
        <v>74</v>
      </c>
      <c r="BR2941" s="1" t="s">
        <v>98</v>
      </c>
      <c r="BS2941" s="1" t="s">
        <v>46698</v>
      </c>
      <c r="BT2941" s="1" t="str">
        <f>HYPERLINK("https%3A%2F%2Fwww.webofscience.com%2Fwos%2Fwoscc%2Ffull-record%2FWOS:001068916300001","View Full Record in Web of Science")</f>
        <v>View Full Record in Web of Science</v>
      </c>
      <c r="BU2941" s="1"/>
      <c r="BV2941" s="1"/>
    </row>
    <row r="2942" spans="1:74">
      <c r="A2942" s="1" t="s">
        <v>72</v>
      </c>
      <c r="B2942" s="1" t="s">
        <v>46699</v>
      </c>
      <c r="C2942" s="1" t="s">
        <v>74</v>
      </c>
      <c r="D2942" s="1" t="s">
        <v>74</v>
      </c>
      <c r="E2942" s="1" t="s">
        <v>74</v>
      </c>
      <c r="F2942" s="1" t="s">
        <v>46700</v>
      </c>
      <c r="G2942" s="1" t="s">
        <v>74</v>
      </c>
      <c r="H2942" s="1" t="s">
        <v>74</v>
      </c>
      <c r="I2942" s="1" t="s">
        <v>46701</v>
      </c>
      <c r="J2942" s="1" t="s">
        <v>12608</v>
      </c>
      <c r="K2942" s="1" t="s">
        <v>74</v>
      </c>
      <c r="L2942" s="1" t="s">
        <v>74</v>
      </c>
      <c r="M2942" s="1" t="s">
        <v>78</v>
      </c>
      <c r="N2942" s="1" t="s">
        <v>79</v>
      </c>
      <c r="O2942" s="1" t="s">
        <v>74</v>
      </c>
      <c r="P2942" s="1" t="s">
        <v>74</v>
      </c>
      <c r="Q2942" s="1" t="s">
        <v>74</v>
      </c>
      <c r="R2942" s="1" t="s">
        <v>74</v>
      </c>
      <c r="S2942" s="1" t="s">
        <v>74</v>
      </c>
      <c r="T2942" s="1" t="s">
        <v>46702</v>
      </c>
      <c r="U2942" s="1" t="s">
        <v>46703</v>
      </c>
      <c r="V2942" s="1" t="s">
        <v>46704</v>
      </c>
      <c r="W2942" s="1" t="s">
        <v>46705</v>
      </c>
      <c r="X2942" s="1" t="s">
        <v>46706</v>
      </c>
      <c r="Y2942" s="1" t="s">
        <v>46707</v>
      </c>
      <c r="Z2942" s="1" t="s">
        <v>46708</v>
      </c>
      <c r="AA2942" s="1" t="s">
        <v>46709</v>
      </c>
      <c r="AB2942" s="1" t="s">
        <v>46710</v>
      </c>
      <c r="AC2942" s="1" t="s">
        <v>46711</v>
      </c>
      <c r="AD2942" s="1" t="s">
        <v>46711</v>
      </c>
      <c r="AE2942" s="1" t="s">
        <v>46712</v>
      </c>
      <c r="AF2942" s="1" t="s">
        <v>74</v>
      </c>
      <c r="AG2942" s="1">
        <v>66</v>
      </c>
      <c r="AH2942" s="1">
        <v>27</v>
      </c>
      <c r="AI2942" s="1">
        <v>31</v>
      </c>
      <c r="AJ2942" s="1">
        <v>3</v>
      </c>
      <c r="AK2942" s="1">
        <v>42</v>
      </c>
      <c r="AL2942" s="1" t="s">
        <v>650</v>
      </c>
      <c r="AM2942" s="1" t="s">
        <v>651</v>
      </c>
      <c r="AN2942" s="1" t="s">
        <v>652</v>
      </c>
      <c r="AO2942" s="1" t="s">
        <v>12621</v>
      </c>
      <c r="AP2942" s="1" t="s">
        <v>74</v>
      </c>
      <c r="AQ2942" s="1" t="s">
        <v>74</v>
      </c>
      <c r="AR2942" s="1" t="s">
        <v>12622</v>
      </c>
      <c r="AS2942" s="1" t="s">
        <v>12623</v>
      </c>
      <c r="AT2942" s="1" t="s">
        <v>1223</v>
      </c>
      <c r="AU2942" s="1">
        <v>2019</v>
      </c>
      <c r="AV2942" s="1">
        <v>13</v>
      </c>
      <c r="AW2942" s="1" t="s">
        <v>74</v>
      </c>
      <c r="AX2942" s="1" t="s">
        <v>74</v>
      </c>
      <c r="AY2942" s="1" t="s">
        <v>74</v>
      </c>
      <c r="AZ2942" s="1" t="s">
        <v>74</v>
      </c>
      <c r="BA2942" s="1" t="s">
        <v>74</v>
      </c>
      <c r="BB2942" s="1" t="s">
        <v>74</v>
      </c>
      <c r="BC2942" s="1" t="s">
        <v>74</v>
      </c>
      <c r="BD2942" s="1">
        <v>100183</v>
      </c>
      <c r="BE2942" s="1" t="s">
        <v>46713</v>
      </c>
      <c r="BF2942" s="1" t="str">
        <f>HYPERLINK("http://dx.doi.org/10.1016/j.aqrep.2019.100183","http://dx.doi.org/10.1016/j.aqrep.2019.100183")</f>
        <v>http://dx.doi.org/10.1016/j.aqrep.2019.100183</v>
      </c>
      <c r="BG2942" s="1" t="s">
        <v>74</v>
      </c>
      <c r="BH2942" s="1" t="s">
        <v>74</v>
      </c>
      <c r="BI2942" s="1">
        <v>12</v>
      </c>
      <c r="BJ2942" s="1" t="s">
        <v>746</v>
      </c>
      <c r="BK2942" s="1" t="s">
        <v>96</v>
      </c>
      <c r="BL2942" s="1" t="s">
        <v>746</v>
      </c>
      <c r="BM2942" s="1" t="s">
        <v>46714</v>
      </c>
      <c r="BN2942" s="1" t="s">
        <v>74</v>
      </c>
      <c r="BO2942" s="1" t="s">
        <v>2155</v>
      </c>
      <c r="BP2942" s="1" t="s">
        <v>74</v>
      </c>
      <c r="BQ2942" s="1" t="s">
        <v>74</v>
      </c>
      <c r="BR2942" s="1" t="s">
        <v>98</v>
      </c>
      <c r="BS2942" s="1" t="s">
        <v>46715</v>
      </c>
      <c r="BT2942" s="1" t="str">
        <f>HYPERLINK("https%3A%2F%2Fwww.webofscience.com%2Fwos%2Fwoscc%2Ffull-record%2FWOS:000460603900011","View Full Record in Web of Science")</f>
        <v>View Full Record in Web of Science</v>
      </c>
      <c r="BU2942" s="1"/>
      <c r="BV2942" s="1"/>
    </row>
    <row r="2943" spans="1:74">
      <c r="A2943" s="1" t="s">
        <v>72</v>
      </c>
      <c r="B2943" s="1" t="s">
        <v>46716</v>
      </c>
      <c r="C2943" s="1" t="s">
        <v>74</v>
      </c>
      <c r="D2943" s="1" t="s">
        <v>74</v>
      </c>
      <c r="E2943" s="1" t="s">
        <v>74</v>
      </c>
      <c r="F2943" s="1" t="s">
        <v>46717</v>
      </c>
      <c r="G2943" s="1" t="s">
        <v>74</v>
      </c>
      <c r="H2943" s="1" t="s">
        <v>74</v>
      </c>
      <c r="I2943" s="1" t="s">
        <v>46718</v>
      </c>
      <c r="J2943" s="1" t="s">
        <v>232</v>
      </c>
      <c r="K2943" s="1" t="s">
        <v>74</v>
      </c>
      <c r="L2943" s="1" t="s">
        <v>74</v>
      </c>
      <c r="M2943" s="1" t="s">
        <v>78</v>
      </c>
      <c r="N2943" s="1" t="s">
        <v>79</v>
      </c>
      <c r="O2943" s="1" t="s">
        <v>74</v>
      </c>
      <c r="P2943" s="1" t="s">
        <v>74</v>
      </c>
      <c r="Q2943" s="1" t="s">
        <v>74</v>
      </c>
      <c r="R2943" s="1" t="s">
        <v>74</v>
      </c>
      <c r="S2943" s="1" t="s">
        <v>74</v>
      </c>
      <c r="T2943" s="1" t="s">
        <v>46719</v>
      </c>
      <c r="U2943" s="1" t="s">
        <v>46720</v>
      </c>
      <c r="V2943" s="1" t="s">
        <v>46721</v>
      </c>
      <c r="W2943" s="1" t="s">
        <v>46722</v>
      </c>
      <c r="X2943" s="1" t="s">
        <v>46723</v>
      </c>
      <c r="Y2943" s="1" t="s">
        <v>46724</v>
      </c>
      <c r="Z2943" s="1" t="s">
        <v>46725</v>
      </c>
      <c r="AA2943" s="1" t="s">
        <v>46726</v>
      </c>
      <c r="AB2943" s="1" t="s">
        <v>46727</v>
      </c>
      <c r="AC2943" s="1" t="s">
        <v>46728</v>
      </c>
      <c r="AD2943" s="1" t="s">
        <v>46729</v>
      </c>
      <c r="AE2943" s="1" t="s">
        <v>46730</v>
      </c>
      <c r="AF2943" s="1" t="s">
        <v>74</v>
      </c>
      <c r="AG2943" s="1">
        <v>96</v>
      </c>
      <c r="AH2943" s="1">
        <v>1</v>
      </c>
      <c r="AI2943" s="1">
        <v>1</v>
      </c>
      <c r="AJ2943" s="1">
        <v>48</v>
      </c>
      <c r="AK2943" s="1">
        <v>54</v>
      </c>
      <c r="AL2943" s="1" t="s">
        <v>136</v>
      </c>
      <c r="AM2943" s="1" t="s">
        <v>137</v>
      </c>
      <c r="AN2943" s="1" t="s">
        <v>138</v>
      </c>
      <c r="AO2943" s="1" t="s">
        <v>240</v>
      </c>
      <c r="AP2943" s="1" t="s">
        <v>241</v>
      </c>
      <c r="AQ2943" s="1" t="s">
        <v>74</v>
      </c>
      <c r="AR2943" s="1" t="s">
        <v>242</v>
      </c>
      <c r="AS2943" s="1" t="s">
        <v>243</v>
      </c>
      <c r="AT2943" s="1" t="s">
        <v>197</v>
      </c>
      <c r="AU2943" s="1">
        <v>2023</v>
      </c>
      <c r="AV2943" s="1">
        <v>197</v>
      </c>
      <c r="AW2943" s="1" t="s">
        <v>74</v>
      </c>
      <c r="AX2943" s="1" t="s">
        <v>74</v>
      </c>
      <c r="AY2943" s="1" t="s">
        <v>74</v>
      </c>
      <c r="AZ2943" s="1" t="s">
        <v>74</v>
      </c>
      <c r="BA2943" s="1" t="s">
        <v>74</v>
      </c>
      <c r="BB2943" s="1" t="s">
        <v>74</v>
      </c>
      <c r="BC2943" s="1" t="s">
        <v>74</v>
      </c>
      <c r="BD2943" s="1">
        <v>115709</v>
      </c>
      <c r="BE2943" s="1" t="s">
        <v>46731</v>
      </c>
      <c r="BF2943" s="1" t="str">
        <f>HYPERLINK("http://dx.doi.org/10.1016/j.marpolbul.2023.115709","http://dx.doi.org/10.1016/j.marpolbul.2023.115709")</f>
        <v>http://dx.doi.org/10.1016/j.marpolbul.2023.115709</v>
      </c>
      <c r="BG2943" s="1" t="s">
        <v>74</v>
      </c>
      <c r="BH2943" s="1" t="s">
        <v>26143</v>
      </c>
      <c r="BI2943" s="1">
        <v>16</v>
      </c>
      <c r="BJ2943" s="1" t="s">
        <v>247</v>
      </c>
      <c r="BK2943" s="1" t="s">
        <v>96</v>
      </c>
      <c r="BL2943" s="1" t="s">
        <v>248</v>
      </c>
      <c r="BM2943" s="1" t="s">
        <v>46732</v>
      </c>
      <c r="BN2943" s="1">
        <v>37890315</v>
      </c>
      <c r="BO2943" s="1" t="s">
        <v>74</v>
      </c>
      <c r="BP2943" s="1" t="s">
        <v>74</v>
      </c>
      <c r="BQ2943" s="1" t="s">
        <v>74</v>
      </c>
      <c r="BR2943" s="1" t="s">
        <v>98</v>
      </c>
      <c r="BS2943" s="1" t="s">
        <v>46733</v>
      </c>
      <c r="BT2943" s="1" t="str">
        <f>HYPERLINK("https%3A%2F%2Fwww.webofscience.com%2Fwos%2Fwoscc%2Ffull-record%2FWOS:001099966800001","View Full Record in Web of Science")</f>
        <v>View Full Record in Web of Science</v>
      </c>
      <c r="BU2943" s="1"/>
      <c r="BV2943" s="1"/>
    </row>
    <row r="2944" spans="1:74">
      <c r="A2944" s="1" t="s">
        <v>72</v>
      </c>
      <c r="B2944" s="1" t="s">
        <v>46734</v>
      </c>
      <c r="C2944" s="1" t="s">
        <v>74</v>
      </c>
      <c r="D2944" s="1" t="s">
        <v>74</v>
      </c>
      <c r="E2944" s="1" t="s">
        <v>74</v>
      </c>
      <c r="F2944" s="1" t="s">
        <v>46735</v>
      </c>
      <c r="G2944" s="1" t="s">
        <v>74</v>
      </c>
      <c r="H2944" s="1" t="s">
        <v>74</v>
      </c>
      <c r="I2944" s="1" t="s">
        <v>46736</v>
      </c>
      <c r="J2944" s="1" t="s">
        <v>22867</v>
      </c>
      <c r="K2944" s="1" t="s">
        <v>74</v>
      </c>
      <c r="L2944" s="1" t="s">
        <v>74</v>
      </c>
      <c r="M2944" s="1" t="s">
        <v>78</v>
      </c>
      <c r="N2944" s="1" t="s">
        <v>79</v>
      </c>
      <c r="O2944" s="1" t="s">
        <v>74</v>
      </c>
      <c r="P2944" s="1" t="s">
        <v>74</v>
      </c>
      <c r="Q2944" s="1" t="s">
        <v>74</v>
      </c>
      <c r="R2944" s="1" t="s">
        <v>74</v>
      </c>
      <c r="S2944" s="1" t="s">
        <v>74</v>
      </c>
      <c r="T2944" s="1" t="s">
        <v>46737</v>
      </c>
      <c r="U2944" s="1" t="s">
        <v>46738</v>
      </c>
      <c r="V2944" s="1" t="s">
        <v>46739</v>
      </c>
      <c r="W2944" s="1" t="s">
        <v>46740</v>
      </c>
      <c r="X2944" s="1" t="s">
        <v>74</v>
      </c>
      <c r="Y2944" s="1" t="s">
        <v>46741</v>
      </c>
      <c r="Z2944" s="1" t="s">
        <v>46742</v>
      </c>
      <c r="AA2944" s="1" t="s">
        <v>74</v>
      </c>
      <c r="AB2944" s="1" t="s">
        <v>46743</v>
      </c>
      <c r="AC2944" s="1" t="s">
        <v>46744</v>
      </c>
      <c r="AD2944" s="1" t="s">
        <v>46745</v>
      </c>
      <c r="AE2944" s="1" t="s">
        <v>46746</v>
      </c>
      <c r="AF2944" s="1" t="s">
        <v>74</v>
      </c>
      <c r="AG2944" s="1">
        <v>25</v>
      </c>
      <c r="AH2944" s="1">
        <v>6</v>
      </c>
      <c r="AI2944" s="1">
        <v>6</v>
      </c>
      <c r="AJ2944" s="1">
        <v>1</v>
      </c>
      <c r="AK2944" s="1">
        <v>20</v>
      </c>
      <c r="AL2944" s="1" t="s">
        <v>2074</v>
      </c>
      <c r="AM2944" s="1" t="s">
        <v>2075</v>
      </c>
      <c r="AN2944" s="1" t="s">
        <v>2076</v>
      </c>
      <c r="AO2944" s="1" t="s">
        <v>22873</v>
      </c>
      <c r="AP2944" s="1" t="s">
        <v>22874</v>
      </c>
      <c r="AQ2944" s="1" t="s">
        <v>74</v>
      </c>
      <c r="AR2944" s="1" t="s">
        <v>22875</v>
      </c>
      <c r="AS2944" s="1" t="s">
        <v>22876</v>
      </c>
      <c r="AT2944" s="1" t="s">
        <v>4761</v>
      </c>
      <c r="AU2944" s="1">
        <v>2019</v>
      </c>
      <c r="AV2944" s="1">
        <v>39</v>
      </c>
      <c r="AW2944" s="1">
        <v>2</v>
      </c>
      <c r="AX2944" s="1" t="s">
        <v>74</v>
      </c>
      <c r="AY2944" s="1" t="s">
        <v>74</v>
      </c>
      <c r="AZ2944" s="1" t="s">
        <v>74</v>
      </c>
      <c r="BA2944" s="1" t="s">
        <v>74</v>
      </c>
      <c r="BB2944" s="1">
        <v>139</v>
      </c>
      <c r="BC2944" s="1">
        <v>147</v>
      </c>
      <c r="BD2944" s="1" t="s">
        <v>74</v>
      </c>
      <c r="BE2944" s="1" t="s">
        <v>46747</v>
      </c>
      <c r="BF2944" s="1" t="str">
        <f>HYPERLINK("http://dx.doi.org/10.1080/10406638.2017.1293697","http://dx.doi.org/10.1080/10406638.2017.1293697")</f>
        <v>http://dx.doi.org/10.1080/10406638.2017.1293697</v>
      </c>
      <c r="BG2944" s="1" t="s">
        <v>74</v>
      </c>
      <c r="BH2944" s="1" t="s">
        <v>74</v>
      </c>
      <c r="BI2944" s="1">
        <v>9</v>
      </c>
      <c r="BJ2944" s="1" t="s">
        <v>22879</v>
      </c>
      <c r="BK2944" s="1" t="s">
        <v>96</v>
      </c>
      <c r="BL2944" s="1" t="s">
        <v>1197</v>
      </c>
      <c r="BM2944" s="1" t="s">
        <v>46748</v>
      </c>
      <c r="BN2944" s="1" t="s">
        <v>74</v>
      </c>
      <c r="BO2944" s="1" t="s">
        <v>74</v>
      </c>
      <c r="BP2944" s="1" t="s">
        <v>74</v>
      </c>
      <c r="BQ2944" s="1" t="s">
        <v>74</v>
      </c>
      <c r="BR2944" s="1" t="s">
        <v>98</v>
      </c>
      <c r="BS2944" s="1" t="s">
        <v>46749</v>
      </c>
      <c r="BT2944" s="1" t="str">
        <f>HYPERLINK("https%3A%2F%2Fwww.webofscience.com%2Fwos%2Fwoscc%2Ffull-record%2FWOS:000463784100005","View Full Record in Web of Science")</f>
        <v>View Full Record in Web of Science</v>
      </c>
      <c r="BU2944" s="1"/>
      <c r="BV2944" s="1"/>
    </row>
    <row r="2945" spans="1:74">
      <c r="A2945" s="1" t="s">
        <v>72</v>
      </c>
      <c r="B2945" s="1" t="s">
        <v>46750</v>
      </c>
      <c r="C2945" s="1" t="s">
        <v>74</v>
      </c>
      <c r="D2945" s="1" t="s">
        <v>74</v>
      </c>
      <c r="E2945" s="1" t="s">
        <v>74</v>
      </c>
      <c r="F2945" s="1" t="s">
        <v>46750</v>
      </c>
      <c r="G2945" s="1" t="s">
        <v>74</v>
      </c>
      <c r="H2945" s="1" t="s">
        <v>74</v>
      </c>
      <c r="I2945" s="1" t="s">
        <v>46751</v>
      </c>
      <c r="J2945" s="1" t="s">
        <v>232</v>
      </c>
      <c r="K2945" s="1" t="s">
        <v>74</v>
      </c>
      <c r="L2945" s="1" t="s">
        <v>74</v>
      </c>
      <c r="M2945" s="1" t="s">
        <v>78</v>
      </c>
      <c r="N2945" s="1" t="s">
        <v>79</v>
      </c>
      <c r="O2945" s="1" t="s">
        <v>74</v>
      </c>
      <c r="P2945" s="1" t="s">
        <v>74</v>
      </c>
      <c r="Q2945" s="1" t="s">
        <v>74</v>
      </c>
      <c r="R2945" s="1" t="s">
        <v>74</v>
      </c>
      <c r="S2945" s="1" t="s">
        <v>74</v>
      </c>
      <c r="T2945" s="1" t="s">
        <v>46752</v>
      </c>
      <c r="U2945" s="1" t="s">
        <v>46753</v>
      </c>
      <c r="V2945" s="1" t="s">
        <v>46754</v>
      </c>
      <c r="W2945" s="1" t="s">
        <v>6299</v>
      </c>
      <c r="X2945" s="1" t="s">
        <v>6300</v>
      </c>
      <c r="Y2945" s="1" t="s">
        <v>46755</v>
      </c>
      <c r="Z2945" s="1" t="s">
        <v>46756</v>
      </c>
      <c r="AA2945" s="1" t="s">
        <v>46377</v>
      </c>
      <c r="AB2945" s="1" t="s">
        <v>46757</v>
      </c>
      <c r="AC2945" s="1" t="s">
        <v>74</v>
      </c>
      <c r="AD2945" s="1" t="s">
        <v>74</v>
      </c>
      <c r="AE2945" s="1" t="s">
        <v>74</v>
      </c>
      <c r="AF2945" s="1" t="s">
        <v>74</v>
      </c>
      <c r="AG2945" s="1">
        <v>40</v>
      </c>
      <c r="AH2945" s="1">
        <v>110</v>
      </c>
      <c r="AI2945" s="1">
        <v>113</v>
      </c>
      <c r="AJ2945" s="1">
        <v>0</v>
      </c>
      <c r="AK2945" s="1">
        <v>23</v>
      </c>
      <c r="AL2945" s="1" t="s">
        <v>136</v>
      </c>
      <c r="AM2945" s="1" t="s">
        <v>137</v>
      </c>
      <c r="AN2945" s="1" t="s">
        <v>138</v>
      </c>
      <c r="AO2945" s="1" t="s">
        <v>240</v>
      </c>
      <c r="AP2945" s="1" t="s">
        <v>241</v>
      </c>
      <c r="AQ2945" s="1" t="s">
        <v>74</v>
      </c>
      <c r="AR2945" s="1" t="s">
        <v>242</v>
      </c>
      <c r="AS2945" s="1" t="s">
        <v>243</v>
      </c>
      <c r="AT2945" s="1" t="s">
        <v>197</v>
      </c>
      <c r="AU2945" s="1">
        <v>2005</v>
      </c>
      <c r="AV2945" s="1">
        <v>50</v>
      </c>
      <c r="AW2945" s="1">
        <v>12</v>
      </c>
      <c r="AX2945" s="1" t="s">
        <v>74</v>
      </c>
      <c r="AY2945" s="1" t="s">
        <v>74</v>
      </c>
      <c r="AZ2945" s="1" t="s">
        <v>74</v>
      </c>
      <c r="BA2945" s="1" t="s">
        <v>74</v>
      </c>
      <c r="BB2945" s="1">
        <v>1686</v>
      </c>
      <c r="BC2945" s="1">
        <v>1693</v>
      </c>
      <c r="BD2945" s="1" t="s">
        <v>74</v>
      </c>
      <c r="BE2945" s="1" t="s">
        <v>46758</v>
      </c>
      <c r="BF2945" s="1" t="str">
        <f>HYPERLINK("http://dx.doi.org/10.1016/j.marpolbul.2005.07.011","http://dx.doi.org/10.1016/j.marpolbul.2005.07.011")</f>
        <v>http://dx.doi.org/10.1016/j.marpolbul.2005.07.011</v>
      </c>
      <c r="BG2945" s="1" t="s">
        <v>74</v>
      </c>
      <c r="BH2945" s="1" t="s">
        <v>74</v>
      </c>
      <c r="BI2945" s="1">
        <v>8</v>
      </c>
      <c r="BJ2945" s="1" t="s">
        <v>247</v>
      </c>
      <c r="BK2945" s="1" t="s">
        <v>96</v>
      </c>
      <c r="BL2945" s="1" t="s">
        <v>248</v>
      </c>
      <c r="BM2945" s="1" t="s">
        <v>9157</v>
      </c>
      <c r="BN2945" s="1">
        <v>16115653</v>
      </c>
      <c r="BO2945" s="1" t="s">
        <v>74</v>
      </c>
      <c r="BP2945" s="1" t="s">
        <v>74</v>
      </c>
      <c r="BQ2945" s="1" t="s">
        <v>74</v>
      </c>
      <c r="BR2945" s="1" t="s">
        <v>98</v>
      </c>
      <c r="BS2945" s="1" t="s">
        <v>46759</v>
      </c>
      <c r="BT2945" s="1" t="str">
        <f>HYPERLINK("https%3A%2F%2Fwww.webofscience.com%2Fwos%2Fwoscc%2Ffull-record%2FWOS:000234236600035","View Full Record in Web of Science")</f>
        <v>View Full Record in Web of Science</v>
      </c>
      <c r="BU2945" s="1"/>
      <c r="BV2945" s="1"/>
    </row>
    <row r="2946" spans="1:74">
      <c r="A2946" s="1" t="s">
        <v>72</v>
      </c>
      <c r="B2946" s="1" t="s">
        <v>46760</v>
      </c>
      <c r="C2946" s="1" t="s">
        <v>74</v>
      </c>
      <c r="D2946" s="1" t="s">
        <v>74</v>
      </c>
      <c r="E2946" s="1" t="s">
        <v>74</v>
      </c>
      <c r="F2946" s="1" t="s">
        <v>46761</v>
      </c>
      <c r="G2946" s="1" t="s">
        <v>74</v>
      </c>
      <c r="H2946" s="1" t="s">
        <v>74</v>
      </c>
      <c r="I2946" s="1" t="s">
        <v>46762</v>
      </c>
      <c r="J2946" s="1" t="s">
        <v>204</v>
      </c>
      <c r="K2946" s="1" t="s">
        <v>74</v>
      </c>
      <c r="L2946" s="1" t="s">
        <v>74</v>
      </c>
      <c r="M2946" s="1" t="s">
        <v>78</v>
      </c>
      <c r="N2946" s="1" t="s">
        <v>79</v>
      </c>
      <c r="O2946" s="1" t="s">
        <v>74</v>
      </c>
      <c r="P2946" s="1" t="s">
        <v>74</v>
      </c>
      <c r="Q2946" s="1" t="s">
        <v>74</v>
      </c>
      <c r="R2946" s="1" t="s">
        <v>74</v>
      </c>
      <c r="S2946" s="1" t="s">
        <v>74</v>
      </c>
      <c r="T2946" s="1" t="s">
        <v>46763</v>
      </c>
      <c r="U2946" s="1" t="s">
        <v>46764</v>
      </c>
      <c r="V2946" s="1" t="s">
        <v>46765</v>
      </c>
      <c r="W2946" s="1" t="s">
        <v>46766</v>
      </c>
      <c r="X2946" s="1" t="s">
        <v>46767</v>
      </c>
      <c r="Y2946" s="1" t="s">
        <v>46768</v>
      </c>
      <c r="Z2946" s="1" t="s">
        <v>36471</v>
      </c>
      <c r="AA2946" s="1" t="s">
        <v>46769</v>
      </c>
      <c r="AB2946" s="1" t="s">
        <v>46770</v>
      </c>
      <c r="AC2946" s="1" t="s">
        <v>46771</v>
      </c>
      <c r="AD2946" s="1" t="s">
        <v>46771</v>
      </c>
      <c r="AE2946" s="1" t="s">
        <v>46772</v>
      </c>
      <c r="AF2946" s="1" t="s">
        <v>74</v>
      </c>
      <c r="AG2946" s="1">
        <v>48</v>
      </c>
      <c r="AH2946" s="1">
        <v>13</v>
      </c>
      <c r="AI2946" s="1">
        <v>13</v>
      </c>
      <c r="AJ2946" s="1">
        <v>1</v>
      </c>
      <c r="AK2946" s="1">
        <v>61</v>
      </c>
      <c r="AL2946" s="1" t="s">
        <v>217</v>
      </c>
      <c r="AM2946" s="1" t="s">
        <v>218</v>
      </c>
      <c r="AN2946" s="1" t="s">
        <v>219</v>
      </c>
      <c r="AO2946" s="1" t="s">
        <v>220</v>
      </c>
      <c r="AP2946" s="1" t="s">
        <v>221</v>
      </c>
      <c r="AQ2946" s="1" t="s">
        <v>74</v>
      </c>
      <c r="AR2946" s="1" t="s">
        <v>222</v>
      </c>
      <c r="AS2946" s="1" t="s">
        <v>223</v>
      </c>
      <c r="AT2946" s="1" t="s">
        <v>119</v>
      </c>
      <c r="AU2946" s="1">
        <v>2016</v>
      </c>
      <c r="AV2946" s="1">
        <v>23</v>
      </c>
      <c r="AW2946" s="1">
        <v>15</v>
      </c>
      <c r="AX2946" s="1" t="s">
        <v>74</v>
      </c>
      <c r="AY2946" s="1" t="s">
        <v>74</v>
      </c>
      <c r="AZ2946" s="1" t="s">
        <v>74</v>
      </c>
      <c r="BA2946" s="1" t="s">
        <v>74</v>
      </c>
      <c r="BB2946" s="1">
        <v>14945</v>
      </c>
      <c r="BC2946" s="1">
        <v>14956</v>
      </c>
      <c r="BD2946" s="1" t="s">
        <v>74</v>
      </c>
      <c r="BE2946" s="1" t="s">
        <v>46773</v>
      </c>
      <c r="BF2946" s="1" t="str">
        <f>HYPERLINK("http://dx.doi.org/10.1007/s11356-016-6622-4","http://dx.doi.org/10.1007/s11356-016-6622-4")</f>
        <v>http://dx.doi.org/10.1007/s11356-016-6622-4</v>
      </c>
      <c r="BG2946" s="1" t="s">
        <v>74</v>
      </c>
      <c r="BH2946" s="1" t="s">
        <v>74</v>
      </c>
      <c r="BI2946" s="1">
        <v>12</v>
      </c>
      <c r="BJ2946" s="1" t="s">
        <v>144</v>
      </c>
      <c r="BK2946" s="1" t="s">
        <v>96</v>
      </c>
      <c r="BL2946" s="1" t="s">
        <v>145</v>
      </c>
      <c r="BM2946" s="1" t="s">
        <v>12069</v>
      </c>
      <c r="BN2946" s="1">
        <v>27074931</v>
      </c>
      <c r="BO2946" s="1" t="s">
        <v>74</v>
      </c>
      <c r="BP2946" s="1" t="s">
        <v>74</v>
      </c>
      <c r="BQ2946" s="1" t="s">
        <v>74</v>
      </c>
      <c r="BR2946" s="1" t="s">
        <v>98</v>
      </c>
      <c r="BS2946" s="1" t="s">
        <v>46774</v>
      </c>
      <c r="BT2946" s="1" t="str">
        <f>HYPERLINK("https%3A%2F%2Fwww.webofscience.com%2Fwos%2Fwoscc%2Ffull-record%2FWOS:000380369900025","View Full Record in Web of Science")</f>
        <v>View Full Record in Web of Science</v>
      </c>
      <c r="BU2946" s="1"/>
      <c r="BV2946" s="1"/>
    </row>
    <row r="2947" spans="1:74">
      <c r="A2947" s="1" t="s">
        <v>72</v>
      </c>
      <c r="B2947" s="1" t="s">
        <v>46775</v>
      </c>
      <c r="C2947" s="1" t="s">
        <v>74</v>
      </c>
      <c r="D2947" s="1" t="s">
        <v>74</v>
      </c>
      <c r="E2947" s="1" t="s">
        <v>74</v>
      </c>
      <c r="F2947" s="1" t="s">
        <v>46776</v>
      </c>
      <c r="G2947" s="1" t="s">
        <v>74</v>
      </c>
      <c r="H2947" s="1" t="s">
        <v>74</v>
      </c>
      <c r="I2947" s="1" t="s">
        <v>46777</v>
      </c>
      <c r="J2947" s="1" t="s">
        <v>232</v>
      </c>
      <c r="K2947" s="1" t="s">
        <v>74</v>
      </c>
      <c r="L2947" s="1" t="s">
        <v>74</v>
      </c>
      <c r="M2947" s="1" t="s">
        <v>78</v>
      </c>
      <c r="N2947" s="1" t="s">
        <v>79</v>
      </c>
      <c r="O2947" s="1" t="s">
        <v>74</v>
      </c>
      <c r="P2947" s="1" t="s">
        <v>74</v>
      </c>
      <c r="Q2947" s="1" t="s">
        <v>74</v>
      </c>
      <c r="R2947" s="1" t="s">
        <v>74</v>
      </c>
      <c r="S2947" s="1" t="s">
        <v>74</v>
      </c>
      <c r="T2947" s="1" t="s">
        <v>46778</v>
      </c>
      <c r="U2947" s="1" t="s">
        <v>46779</v>
      </c>
      <c r="V2947" s="1" t="s">
        <v>46780</v>
      </c>
      <c r="W2947" s="1" t="s">
        <v>46781</v>
      </c>
      <c r="X2947" s="1" t="s">
        <v>46782</v>
      </c>
      <c r="Y2947" s="1" t="s">
        <v>46783</v>
      </c>
      <c r="Z2947" s="1" t="s">
        <v>46784</v>
      </c>
      <c r="AA2947" s="1" t="s">
        <v>74</v>
      </c>
      <c r="AB2947" s="1" t="s">
        <v>74</v>
      </c>
      <c r="AC2947" s="1" t="s">
        <v>46785</v>
      </c>
      <c r="AD2947" s="1" t="s">
        <v>34993</v>
      </c>
      <c r="AE2947" s="1" t="s">
        <v>46786</v>
      </c>
      <c r="AF2947" s="1" t="s">
        <v>74</v>
      </c>
      <c r="AG2947" s="1">
        <v>62</v>
      </c>
      <c r="AH2947" s="1">
        <v>0</v>
      </c>
      <c r="AI2947" s="1">
        <v>0</v>
      </c>
      <c r="AJ2947" s="1">
        <v>0</v>
      </c>
      <c r="AK2947" s="1">
        <v>0</v>
      </c>
      <c r="AL2947" s="1" t="s">
        <v>136</v>
      </c>
      <c r="AM2947" s="1" t="s">
        <v>137</v>
      </c>
      <c r="AN2947" s="1" t="s">
        <v>138</v>
      </c>
      <c r="AO2947" s="1" t="s">
        <v>240</v>
      </c>
      <c r="AP2947" s="1" t="s">
        <v>241</v>
      </c>
      <c r="AQ2947" s="1" t="s">
        <v>74</v>
      </c>
      <c r="AR2947" s="1" t="s">
        <v>242</v>
      </c>
      <c r="AS2947" s="1" t="s">
        <v>243</v>
      </c>
      <c r="AT2947" s="1" t="s">
        <v>142</v>
      </c>
      <c r="AU2947" s="1">
        <v>2024</v>
      </c>
      <c r="AV2947" s="1">
        <v>203</v>
      </c>
      <c r="AW2947" s="1" t="s">
        <v>74</v>
      </c>
      <c r="AX2947" s="1" t="s">
        <v>74</v>
      </c>
      <c r="AY2947" s="1" t="s">
        <v>74</v>
      </c>
      <c r="AZ2947" s="1" t="s">
        <v>74</v>
      </c>
      <c r="BA2947" s="1" t="s">
        <v>74</v>
      </c>
      <c r="BB2947" s="1" t="s">
        <v>74</v>
      </c>
      <c r="BC2947" s="1" t="s">
        <v>74</v>
      </c>
      <c r="BD2947" s="1">
        <v>116435</v>
      </c>
      <c r="BE2947" s="1" t="s">
        <v>46787</v>
      </c>
      <c r="BF2947" s="1" t="str">
        <f>HYPERLINK("http://dx.doi.org/10.1016/j.marpolbul.2024.116435","http://dx.doi.org/10.1016/j.marpolbul.2024.116435")</f>
        <v>http://dx.doi.org/10.1016/j.marpolbul.2024.116435</v>
      </c>
      <c r="BG2947" s="1" t="s">
        <v>74</v>
      </c>
      <c r="BH2947" s="1" t="s">
        <v>11425</v>
      </c>
      <c r="BI2947" s="1">
        <v>8</v>
      </c>
      <c r="BJ2947" s="1" t="s">
        <v>247</v>
      </c>
      <c r="BK2947" s="1" t="s">
        <v>96</v>
      </c>
      <c r="BL2947" s="1" t="s">
        <v>248</v>
      </c>
      <c r="BM2947" s="1" t="s">
        <v>46788</v>
      </c>
      <c r="BN2947" s="1">
        <v>38772171</v>
      </c>
      <c r="BO2947" s="1" t="s">
        <v>74</v>
      </c>
      <c r="BP2947" s="1" t="s">
        <v>74</v>
      </c>
      <c r="BQ2947" s="1" t="s">
        <v>74</v>
      </c>
      <c r="BR2947" s="1" t="s">
        <v>98</v>
      </c>
      <c r="BS2947" s="1" t="s">
        <v>46789</v>
      </c>
      <c r="BT2947" s="1" t="str">
        <f>HYPERLINK("https%3A%2F%2Fwww.webofscience.com%2Fwos%2Fwoscc%2Ffull-record%2FWOS:001298649600001","View Full Record in Web of Science")</f>
        <v>View Full Record in Web of Science</v>
      </c>
      <c r="BU2947" s="1"/>
      <c r="BV2947" s="1"/>
    </row>
    <row r="2948" spans="1:74">
      <c r="A2948" s="1" t="s">
        <v>72</v>
      </c>
      <c r="B2948" s="1" t="s">
        <v>46790</v>
      </c>
      <c r="C2948" s="1" t="s">
        <v>74</v>
      </c>
      <c r="D2948" s="1" t="s">
        <v>74</v>
      </c>
      <c r="E2948" s="1" t="s">
        <v>74</v>
      </c>
      <c r="F2948" s="1" t="s">
        <v>46790</v>
      </c>
      <c r="G2948" s="1" t="s">
        <v>74</v>
      </c>
      <c r="H2948" s="1" t="s">
        <v>74</v>
      </c>
      <c r="I2948" s="1" t="s">
        <v>46791</v>
      </c>
      <c r="J2948" s="1" t="s">
        <v>2285</v>
      </c>
      <c r="K2948" s="1" t="s">
        <v>74</v>
      </c>
      <c r="L2948" s="1" t="s">
        <v>74</v>
      </c>
      <c r="M2948" s="1" t="s">
        <v>78</v>
      </c>
      <c r="N2948" s="1" t="s">
        <v>79</v>
      </c>
      <c r="O2948" s="1" t="s">
        <v>74</v>
      </c>
      <c r="P2948" s="1" t="s">
        <v>74</v>
      </c>
      <c r="Q2948" s="1" t="s">
        <v>74</v>
      </c>
      <c r="R2948" s="1" t="s">
        <v>74</v>
      </c>
      <c r="S2948" s="1" t="s">
        <v>74</v>
      </c>
      <c r="T2948" s="1" t="s">
        <v>46792</v>
      </c>
      <c r="U2948" s="1" t="s">
        <v>46793</v>
      </c>
      <c r="V2948" s="1" t="s">
        <v>46794</v>
      </c>
      <c r="W2948" s="1" t="s">
        <v>46795</v>
      </c>
      <c r="X2948" s="1" t="s">
        <v>46796</v>
      </c>
      <c r="Y2948" s="1" t="s">
        <v>46797</v>
      </c>
      <c r="Z2948" s="1" t="s">
        <v>46798</v>
      </c>
      <c r="AA2948" s="1" t="s">
        <v>74</v>
      </c>
      <c r="AB2948" s="1" t="s">
        <v>74</v>
      </c>
      <c r="AC2948" s="1" t="s">
        <v>74</v>
      </c>
      <c r="AD2948" s="1" t="s">
        <v>74</v>
      </c>
      <c r="AE2948" s="1" t="s">
        <v>74</v>
      </c>
      <c r="AF2948" s="1" t="s">
        <v>74</v>
      </c>
      <c r="AG2948" s="1">
        <v>27</v>
      </c>
      <c r="AH2948" s="1">
        <v>14</v>
      </c>
      <c r="AI2948" s="1">
        <v>33</v>
      </c>
      <c r="AJ2948" s="1">
        <v>1</v>
      </c>
      <c r="AK2948" s="1">
        <v>15</v>
      </c>
      <c r="AL2948" s="1" t="s">
        <v>2297</v>
      </c>
      <c r="AM2948" s="1" t="s">
        <v>1786</v>
      </c>
      <c r="AN2948" s="1" t="s">
        <v>2298</v>
      </c>
      <c r="AO2948" s="1" t="s">
        <v>2299</v>
      </c>
      <c r="AP2948" s="1" t="s">
        <v>2300</v>
      </c>
      <c r="AQ2948" s="1" t="s">
        <v>74</v>
      </c>
      <c r="AR2948" s="1" t="s">
        <v>14781</v>
      </c>
      <c r="AS2948" s="1" t="s">
        <v>2302</v>
      </c>
      <c r="AT2948" s="1" t="s">
        <v>74</v>
      </c>
      <c r="AU2948" s="1">
        <v>2004</v>
      </c>
      <c r="AV2948" s="1">
        <v>16</v>
      </c>
      <c r="AW2948" s="1">
        <v>2</v>
      </c>
      <c r="AX2948" s="1" t="s">
        <v>74</v>
      </c>
      <c r="AY2948" s="1" t="s">
        <v>74</v>
      </c>
      <c r="AZ2948" s="1" t="s">
        <v>74</v>
      </c>
      <c r="BA2948" s="1" t="s">
        <v>74</v>
      </c>
      <c r="BB2948" s="1">
        <v>321</v>
      </c>
      <c r="BC2948" s="1">
        <v>327</v>
      </c>
      <c r="BD2948" s="1" t="s">
        <v>74</v>
      </c>
      <c r="BE2948" s="1" t="s">
        <v>74</v>
      </c>
      <c r="BF2948" s="1" t="s">
        <v>74</v>
      </c>
      <c r="BG2948" s="1" t="s">
        <v>74</v>
      </c>
      <c r="BH2948" s="1" t="s">
        <v>74</v>
      </c>
      <c r="BI2948" s="1">
        <v>7</v>
      </c>
      <c r="BJ2948" s="1" t="s">
        <v>144</v>
      </c>
      <c r="BK2948" s="1" t="s">
        <v>96</v>
      </c>
      <c r="BL2948" s="1" t="s">
        <v>145</v>
      </c>
      <c r="BM2948" s="1" t="s">
        <v>46799</v>
      </c>
      <c r="BN2948" s="1">
        <v>15137663</v>
      </c>
      <c r="BO2948" s="1" t="s">
        <v>74</v>
      </c>
      <c r="BP2948" s="1" t="s">
        <v>74</v>
      </c>
      <c r="BQ2948" s="1" t="s">
        <v>74</v>
      </c>
      <c r="BR2948" s="1" t="s">
        <v>98</v>
      </c>
      <c r="BS2948" s="1" t="s">
        <v>46800</v>
      </c>
      <c r="BT2948" s="1" t="str">
        <f>HYPERLINK("https%3A%2F%2Fwww.webofscience.com%2Fwos%2Fwoscc%2Ffull-record%2FWOS:000189331700031","View Full Record in Web of Science")</f>
        <v>View Full Record in Web of Science</v>
      </c>
      <c r="BU2948" s="1"/>
      <c r="BV2948" s="1"/>
    </row>
    <row r="2949" spans="1:74">
      <c r="A2949" s="1" t="s">
        <v>72</v>
      </c>
      <c r="B2949" s="1" t="s">
        <v>46801</v>
      </c>
      <c r="C2949" s="1" t="s">
        <v>74</v>
      </c>
      <c r="D2949" s="1" t="s">
        <v>74</v>
      </c>
      <c r="E2949" s="1" t="s">
        <v>74</v>
      </c>
      <c r="F2949" s="1" t="s">
        <v>46802</v>
      </c>
      <c r="G2949" s="1" t="s">
        <v>74</v>
      </c>
      <c r="H2949" s="1" t="s">
        <v>74</v>
      </c>
      <c r="I2949" s="1" t="s">
        <v>46803</v>
      </c>
      <c r="J2949" s="1" t="s">
        <v>38983</v>
      </c>
      <c r="K2949" s="1" t="s">
        <v>74</v>
      </c>
      <c r="L2949" s="1" t="s">
        <v>74</v>
      </c>
      <c r="M2949" s="1" t="s">
        <v>78</v>
      </c>
      <c r="N2949" s="1" t="s">
        <v>151</v>
      </c>
      <c r="O2949" s="1" t="s">
        <v>46804</v>
      </c>
      <c r="P2949" s="1" t="s">
        <v>46805</v>
      </c>
      <c r="Q2949" s="1" t="s">
        <v>46806</v>
      </c>
      <c r="R2949" s="1" t="s">
        <v>74</v>
      </c>
      <c r="S2949" s="1" t="s">
        <v>74</v>
      </c>
      <c r="T2949" s="1" t="s">
        <v>46807</v>
      </c>
      <c r="U2949" s="1" t="s">
        <v>46808</v>
      </c>
      <c r="V2949" s="1" t="s">
        <v>46809</v>
      </c>
      <c r="W2949" s="1" t="s">
        <v>46810</v>
      </c>
      <c r="X2949" s="1" t="s">
        <v>46811</v>
      </c>
      <c r="Y2949" s="1" t="s">
        <v>46812</v>
      </c>
      <c r="Z2949" s="1" t="s">
        <v>46813</v>
      </c>
      <c r="AA2949" s="1" t="s">
        <v>46814</v>
      </c>
      <c r="AB2949" s="1" t="s">
        <v>46815</v>
      </c>
      <c r="AC2949" s="1" t="s">
        <v>46816</v>
      </c>
      <c r="AD2949" s="1" t="s">
        <v>31415</v>
      </c>
      <c r="AE2949" s="1" t="s">
        <v>74</v>
      </c>
      <c r="AF2949" s="1" t="s">
        <v>74</v>
      </c>
      <c r="AG2949" s="1">
        <v>37</v>
      </c>
      <c r="AH2949" s="1">
        <v>45</v>
      </c>
      <c r="AI2949" s="1">
        <v>52</v>
      </c>
      <c r="AJ2949" s="1">
        <v>1</v>
      </c>
      <c r="AK2949" s="1">
        <v>27</v>
      </c>
      <c r="AL2949" s="1" t="s">
        <v>217</v>
      </c>
      <c r="AM2949" s="1" t="s">
        <v>218</v>
      </c>
      <c r="AN2949" s="1" t="s">
        <v>219</v>
      </c>
      <c r="AO2949" s="1" t="s">
        <v>38993</v>
      </c>
      <c r="AP2949" s="1" t="s">
        <v>38994</v>
      </c>
      <c r="AQ2949" s="1" t="s">
        <v>74</v>
      </c>
      <c r="AR2949" s="1" t="s">
        <v>38995</v>
      </c>
      <c r="AS2949" s="1" t="s">
        <v>38996</v>
      </c>
      <c r="AT2949" s="1" t="s">
        <v>1470</v>
      </c>
      <c r="AU2949" s="1">
        <v>2010</v>
      </c>
      <c r="AV2949" s="1">
        <v>396</v>
      </c>
      <c r="AW2949" s="1">
        <v>2</v>
      </c>
      <c r="AX2949" s="1" t="s">
        <v>74</v>
      </c>
      <c r="AY2949" s="1" t="s">
        <v>74</v>
      </c>
      <c r="AZ2949" s="1" t="s">
        <v>74</v>
      </c>
      <c r="BA2949" s="1" t="s">
        <v>74</v>
      </c>
      <c r="BB2949" s="1">
        <v>657</v>
      </c>
      <c r="BC2949" s="1">
        <v>666</v>
      </c>
      <c r="BD2949" s="1" t="s">
        <v>74</v>
      </c>
      <c r="BE2949" s="1" t="s">
        <v>46817</v>
      </c>
      <c r="BF2949" s="1" t="str">
        <f>HYPERLINK("http://dx.doi.org/10.1007/s00216-009-3191-0","http://dx.doi.org/10.1007/s00216-009-3191-0")</f>
        <v>http://dx.doi.org/10.1007/s00216-009-3191-0</v>
      </c>
      <c r="BG2949" s="1" t="s">
        <v>74</v>
      </c>
      <c r="BH2949" s="1" t="s">
        <v>74</v>
      </c>
      <c r="BI2949" s="1">
        <v>10</v>
      </c>
      <c r="BJ2949" s="1" t="s">
        <v>14155</v>
      </c>
      <c r="BK2949" s="1" t="s">
        <v>172</v>
      </c>
      <c r="BL2949" s="1" t="s">
        <v>2153</v>
      </c>
      <c r="BM2949" s="1" t="s">
        <v>46818</v>
      </c>
      <c r="BN2949" s="1">
        <v>19821161</v>
      </c>
      <c r="BO2949" s="1" t="s">
        <v>74</v>
      </c>
      <c r="BP2949" s="1" t="s">
        <v>74</v>
      </c>
      <c r="BQ2949" s="1" t="s">
        <v>74</v>
      </c>
      <c r="BR2949" s="1" t="s">
        <v>98</v>
      </c>
      <c r="BS2949" s="1" t="s">
        <v>46819</v>
      </c>
      <c r="BT2949" s="1" t="str">
        <f>HYPERLINK("https%3A%2F%2Fwww.webofscience.com%2Fwos%2Fwoscc%2Ffull-record%2FWOS:000272910400013","View Full Record in Web of Science")</f>
        <v>View Full Record in Web of Science</v>
      </c>
      <c r="BU2949" s="1"/>
      <c r="BV2949" s="1"/>
    </row>
    <row r="2950" spans="1:74">
      <c r="A2950" s="1" t="s">
        <v>72</v>
      </c>
      <c r="B2950" s="1" t="s">
        <v>46820</v>
      </c>
      <c r="C2950" s="1" t="s">
        <v>74</v>
      </c>
      <c r="D2950" s="1" t="s">
        <v>74</v>
      </c>
      <c r="E2950" s="1" t="s">
        <v>74</v>
      </c>
      <c r="F2950" s="1" t="s">
        <v>46820</v>
      </c>
      <c r="G2950" s="1" t="s">
        <v>74</v>
      </c>
      <c r="H2950" s="1" t="s">
        <v>74</v>
      </c>
      <c r="I2950" s="1" t="s">
        <v>46821</v>
      </c>
      <c r="J2950" s="1" t="s">
        <v>421</v>
      </c>
      <c r="K2950" s="1" t="s">
        <v>74</v>
      </c>
      <c r="L2950" s="1" t="s">
        <v>74</v>
      </c>
      <c r="M2950" s="1" t="s">
        <v>78</v>
      </c>
      <c r="N2950" s="1" t="s">
        <v>79</v>
      </c>
      <c r="O2950" s="1" t="s">
        <v>74</v>
      </c>
      <c r="P2950" s="1" t="s">
        <v>74</v>
      </c>
      <c r="Q2950" s="1" t="s">
        <v>74</v>
      </c>
      <c r="R2950" s="1" t="s">
        <v>74</v>
      </c>
      <c r="S2950" s="1" t="s">
        <v>74</v>
      </c>
      <c r="T2950" s="1" t="s">
        <v>46822</v>
      </c>
      <c r="U2950" s="1" t="s">
        <v>46823</v>
      </c>
      <c r="V2950" s="1" t="s">
        <v>46824</v>
      </c>
      <c r="W2950" s="1" t="s">
        <v>46825</v>
      </c>
      <c r="X2950" s="1" t="s">
        <v>46826</v>
      </c>
      <c r="Y2950" s="1" t="s">
        <v>46827</v>
      </c>
      <c r="Z2950" s="1" t="s">
        <v>46828</v>
      </c>
      <c r="AA2950" s="1" t="s">
        <v>46829</v>
      </c>
      <c r="AB2950" s="1" t="s">
        <v>46830</v>
      </c>
      <c r="AC2950" s="1" t="s">
        <v>74</v>
      </c>
      <c r="AD2950" s="1" t="s">
        <v>74</v>
      </c>
      <c r="AE2950" s="1" t="s">
        <v>74</v>
      </c>
      <c r="AF2950" s="1" t="s">
        <v>74</v>
      </c>
      <c r="AG2950" s="1">
        <v>54</v>
      </c>
      <c r="AH2950" s="1">
        <v>42</v>
      </c>
      <c r="AI2950" s="1">
        <v>46</v>
      </c>
      <c r="AJ2950" s="1">
        <v>1</v>
      </c>
      <c r="AK2950" s="1">
        <v>20</v>
      </c>
      <c r="AL2950" s="1" t="s">
        <v>430</v>
      </c>
      <c r="AM2950" s="1" t="s">
        <v>137</v>
      </c>
      <c r="AN2950" s="1" t="s">
        <v>431</v>
      </c>
      <c r="AO2950" s="1" t="s">
        <v>432</v>
      </c>
      <c r="AP2950" s="1" t="s">
        <v>1394</v>
      </c>
      <c r="AQ2950" s="1" t="s">
        <v>74</v>
      </c>
      <c r="AR2950" s="1" t="s">
        <v>433</v>
      </c>
      <c r="AS2950" s="1" t="s">
        <v>434</v>
      </c>
      <c r="AT2950" s="1" t="s">
        <v>224</v>
      </c>
      <c r="AU2950" s="1">
        <v>2005</v>
      </c>
      <c r="AV2950" s="1">
        <v>133</v>
      </c>
      <c r="AW2950" s="1">
        <v>3</v>
      </c>
      <c r="AX2950" s="1" t="s">
        <v>74</v>
      </c>
      <c r="AY2950" s="1" t="s">
        <v>74</v>
      </c>
      <c r="AZ2950" s="1" t="s">
        <v>74</v>
      </c>
      <c r="BA2950" s="1" t="s">
        <v>74</v>
      </c>
      <c r="BB2950" s="1">
        <v>489</v>
      </c>
      <c r="BC2950" s="1">
        <v>499</v>
      </c>
      <c r="BD2950" s="1" t="s">
        <v>74</v>
      </c>
      <c r="BE2950" s="1" t="s">
        <v>46831</v>
      </c>
      <c r="BF2950" s="1" t="str">
        <f>HYPERLINK("http://dx.doi.org/10.1016/j.envpol.2004.06.018","http://dx.doi.org/10.1016/j.envpol.2004.06.018")</f>
        <v>http://dx.doi.org/10.1016/j.envpol.2004.06.018</v>
      </c>
      <c r="BG2950" s="1" t="s">
        <v>74</v>
      </c>
      <c r="BH2950" s="1" t="s">
        <v>74</v>
      </c>
      <c r="BI2950" s="1">
        <v>11</v>
      </c>
      <c r="BJ2950" s="1" t="s">
        <v>144</v>
      </c>
      <c r="BK2950" s="1" t="s">
        <v>96</v>
      </c>
      <c r="BL2950" s="1" t="s">
        <v>145</v>
      </c>
      <c r="BM2950" s="1" t="s">
        <v>46832</v>
      </c>
      <c r="BN2950" s="1">
        <v>15519724</v>
      </c>
      <c r="BO2950" s="1" t="s">
        <v>74</v>
      </c>
      <c r="BP2950" s="1" t="s">
        <v>74</v>
      </c>
      <c r="BQ2950" s="1" t="s">
        <v>74</v>
      </c>
      <c r="BR2950" s="1" t="s">
        <v>98</v>
      </c>
      <c r="BS2950" s="1" t="s">
        <v>46833</v>
      </c>
      <c r="BT2950" s="1" t="str">
        <f>HYPERLINK("https%3A%2F%2Fwww.webofscience.com%2Fwos%2Fwoscc%2Ffull-record%2FWOS:000225420400010","View Full Record in Web of Science")</f>
        <v>View Full Record in Web of Science</v>
      </c>
      <c r="BU2950" s="1"/>
      <c r="BV2950" s="1"/>
    </row>
    <row r="2951" spans="1:74">
      <c r="A2951" s="1" t="s">
        <v>72</v>
      </c>
      <c r="B2951" s="1" t="s">
        <v>46834</v>
      </c>
      <c r="C2951" s="1" t="s">
        <v>74</v>
      </c>
      <c r="D2951" s="1" t="s">
        <v>74</v>
      </c>
      <c r="E2951" s="1" t="s">
        <v>74</v>
      </c>
      <c r="F2951" s="1" t="s">
        <v>46835</v>
      </c>
      <c r="G2951" s="1" t="s">
        <v>74</v>
      </c>
      <c r="H2951" s="1" t="s">
        <v>74</v>
      </c>
      <c r="I2951" s="1" t="s">
        <v>46836</v>
      </c>
      <c r="J2951" s="1" t="s">
        <v>14385</v>
      </c>
      <c r="K2951" s="1" t="s">
        <v>74</v>
      </c>
      <c r="L2951" s="1" t="s">
        <v>74</v>
      </c>
      <c r="M2951" s="1" t="s">
        <v>78</v>
      </c>
      <c r="N2951" s="1" t="s">
        <v>79</v>
      </c>
      <c r="O2951" s="1" t="s">
        <v>74</v>
      </c>
      <c r="P2951" s="1" t="s">
        <v>74</v>
      </c>
      <c r="Q2951" s="1" t="s">
        <v>74</v>
      </c>
      <c r="R2951" s="1" t="s">
        <v>74</v>
      </c>
      <c r="S2951" s="1" t="s">
        <v>74</v>
      </c>
      <c r="T2951" s="1" t="s">
        <v>46837</v>
      </c>
      <c r="U2951" s="1" t="s">
        <v>46838</v>
      </c>
      <c r="V2951" s="1" t="s">
        <v>46839</v>
      </c>
      <c r="W2951" s="1" t="s">
        <v>46840</v>
      </c>
      <c r="X2951" s="1" t="s">
        <v>46841</v>
      </c>
      <c r="Y2951" s="1" t="s">
        <v>46842</v>
      </c>
      <c r="Z2951" s="1" t="s">
        <v>46843</v>
      </c>
      <c r="AA2951" s="1" t="s">
        <v>46844</v>
      </c>
      <c r="AB2951" s="1" t="s">
        <v>74</v>
      </c>
      <c r="AC2951" s="1" t="s">
        <v>46845</v>
      </c>
      <c r="AD2951" s="1" t="s">
        <v>14277</v>
      </c>
      <c r="AE2951" s="1" t="s">
        <v>46846</v>
      </c>
      <c r="AF2951" s="1" t="s">
        <v>74</v>
      </c>
      <c r="AG2951" s="1">
        <v>19</v>
      </c>
      <c r="AH2951" s="1">
        <v>2</v>
      </c>
      <c r="AI2951" s="1">
        <v>2</v>
      </c>
      <c r="AJ2951" s="1">
        <v>2</v>
      </c>
      <c r="AK2951" s="1">
        <v>2</v>
      </c>
      <c r="AL2951" s="1" t="s">
        <v>7923</v>
      </c>
      <c r="AM2951" s="1" t="s">
        <v>113</v>
      </c>
      <c r="AN2951" s="1" t="s">
        <v>7924</v>
      </c>
      <c r="AO2951" s="1" t="s">
        <v>14397</v>
      </c>
      <c r="AP2951" s="1" t="s">
        <v>14398</v>
      </c>
      <c r="AQ2951" s="1" t="s">
        <v>74</v>
      </c>
      <c r="AR2951" s="1" t="s">
        <v>14399</v>
      </c>
      <c r="AS2951" s="1" t="s">
        <v>14400</v>
      </c>
      <c r="AT2951" s="1" t="s">
        <v>197</v>
      </c>
      <c r="AU2951" s="1">
        <v>2022</v>
      </c>
      <c r="AV2951" s="1">
        <v>58</v>
      </c>
      <c r="AW2951" s="1" t="s">
        <v>46847</v>
      </c>
      <c r="AX2951" s="1" t="s">
        <v>74</v>
      </c>
      <c r="AY2951" s="1">
        <v>1</v>
      </c>
      <c r="AZ2951" s="1" t="s">
        <v>225</v>
      </c>
      <c r="BA2951" s="1" t="s">
        <v>74</v>
      </c>
      <c r="BB2951" s="1" t="s">
        <v>46848</v>
      </c>
      <c r="BC2951" s="1" t="s">
        <v>46849</v>
      </c>
      <c r="BD2951" s="1" t="s">
        <v>74</v>
      </c>
      <c r="BE2951" s="1" t="s">
        <v>46850</v>
      </c>
      <c r="BF2951" s="1" t="str">
        <f>HYPERLINK("http://dx.doi.org/10.1134/S0022093022070055","http://dx.doi.org/10.1134/S0022093022070055")</f>
        <v>http://dx.doi.org/10.1134/S0022093022070055</v>
      </c>
      <c r="BG2951" s="1" t="s">
        <v>74</v>
      </c>
      <c r="BH2951" s="1" t="s">
        <v>74</v>
      </c>
      <c r="BI2951" s="1">
        <v>8</v>
      </c>
      <c r="BJ2951" s="1" t="s">
        <v>14402</v>
      </c>
      <c r="BK2951" s="1" t="s">
        <v>96</v>
      </c>
      <c r="BL2951" s="1" t="s">
        <v>14402</v>
      </c>
      <c r="BM2951" s="1" t="s">
        <v>46851</v>
      </c>
      <c r="BN2951" s="1" t="s">
        <v>74</v>
      </c>
      <c r="BO2951" s="1" t="s">
        <v>74</v>
      </c>
      <c r="BP2951" s="1" t="s">
        <v>74</v>
      </c>
      <c r="BQ2951" s="1" t="s">
        <v>74</v>
      </c>
      <c r="BR2951" s="1" t="s">
        <v>98</v>
      </c>
      <c r="BS2951" s="1" t="s">
        <v>46852</v>
      </c>
      <c r="BT2951" s="1" t="str">
        <f>HYPERLINK("https%3A%2F%2Fwww.webofscience.com%2Fwos%2Fwoscc%2Ffull-record%2FWOS:000935467900005","View Full Record in Web of Science")</f>
        <v>View Full Record in Web of Science</v>
      </c>
      <c r="BU2951" s="1"/>
      <c r="BV2951" s="1"/>
    </row>
    <row r="2952" spans="1:74">
      <c r="A2952" s="1" t="s">
        <v>72</v>
      </c>
      <c r="B2952" s="1" t="s">
        <v>46853</v>
      </c>
      <c r="C2952" s="1" t="s">
        <v>74</v>
      </c>
      <c r="D2952" s="1" t="s">
        <v>74</v>
      </c>
      <c r="E2952" s="1" t="s">
        <v>74</v>
      </c>
      <c r="F2952" s="1" t="s">
        <v>46854</v>
      </c>
      <c r="G2952" s="1" t="s">
        <v>74</v>
      </c>
      <c r="H2952" s="1" t="s">
        <v>74</v>
      </c>
      <c r="I2952" s="1" t="s">
        <v>46855</v>
      </c>
      <c r="J2952" s="1" t="s">
        <v>46856</v>
      </c>
      <c r="K2952" s="1" t="s">
        <v>74</v>
      </c>
      <c r="L2952" s="1" t="s">
        <v>74</v>
      </c>
      <c r="M2952" s="1" t="s">
        <v>78</v>
      </c>
      <c r="N2952" s="1" t="s">
        <v>79</v>
      </c>
      <c r="O2952" s="1" t="s">
        <v>74</v>
      </c>
      <c r="P2952" s="1" t="s">
        <v>74</v>
      </c>
      <c r="Q2952" s="1" t="s">
        <v>74</v>
      </c>
      <c r="R2952" s="1" t="s">
        <v>74</v>
      </c>
      <c r="S2952" s="1" t="s">
        <v>74</v>
      </c>
      <c r="T2952" s="1" t="s">
        <v>46857</v>
      </c>
      <c r="U2952" s="1" t="s">
        <v>46858</v>
      </c>
      <c r="V2952" s="1" t="s">
        <v>46859</v>
      </c>
      <c r="W2952" s="1" t="s">
        <v>46860</v>
      </c>
      <c r="X2952" s="1" t="s">
        <v>46861</v>
      </c>
      <c r="Y2952" s="1" t="s">
        <v>46862</v>
      </c>
      <c r="Z2952" s="1" t="s">
        <v>46863</v>
      </c>
      <c r="AA2952" s="1" t="s">
        <v>46864</v>
      </c>
      <c r="AB2952" s="1" t="s">
        <v>46865</v>
      </c>
      <c r="AC2952" s="1" t="s">
        <v>74</v>
      </c>
      <c r="AD2952" s="1" t="s">
        <v>74</v>
      </c>
      <c r="AE2952" s="1" t="s">
        <v>74</v>
      </c>
      <c r="AF2952" s="1" t="s">
        <v>74</v>
      </c>
      <c r="AG2952" s="1">
        <v>60</v>
      </c>
      <c r="AH2952" s="1">
        <v>70</v>
      </c>
      <c r="AI2952" s="1">
        <v>86</v>
      </c>
      <c r="AJ2952" s="1">
        <v>2</v>
      </c>
      <c r="AK2952" s="1">
        <v>80</v>
      </c>
      <c r="AL2952" s="1" t="s">
        <v>86</v>
      </c>
      <c r="AM2952" s="1" t="s">
        <v>87</v>
      </c>
      <c r="AN2952" s="1" t="s">
        <v>88</v>
      </c>
      <c r="AO2952" s="1" t="s">
        <v>46866</v>
      </c>
      <c r="AP2952" s="1" t="s">
        <v>46867</v>
      </c>
      <c r="AQ2952" s="1" t="s">
        <v>74</v>
      </c>
      <c r="AR2952" s="1" t="s">
        <v>46868</v>
      </c>
      <c r="AS2952" s="1" t="s">
        <v>46869</v>
      </c>
      <c r="AT2952" s="1" t="s">
        <v>119</v>
      </c>
      <c r="AU2952" s="1">
        <v>2008</v>
      </c>
      <c r="AV2952" s="1">
        <v>45</v>
      </c>
      <c r="AW2952" s="1">
        <v>4</v>
      </c>
      <c r="AX2952" s="1" t="s">
        <v>74</v>
      </c>
      <c r="AY2952" s="1" t="s">
        <v>74</v>
      </c>
      <c r="AZ2952" s="1" t="s">
        <v>74</v>
      </c>
      <c r="BA2952" s="1" t="s">
        <v>74</v>
      </c>
      <c r="BB2952" s="1">
        <v>1284</v>
      </c>
      <c r="BC2952" s="1">
        <v>1292</v>
      </c>
      <c r="BD2952" s="1" t="s">
        <v>74</v>
      </c>
      <c r="BE2952" s="1" t="s">
        <v>46870</v>
      </c>
      <c r="BF2952" s="1" t="str">
        <f>HYPERLINK("http://dx.doi.org/10.1111/j.1365-2664.2008.01477.x","http://dx.doi.org/10.1111/j.1365-2664.2008.01477.x")</f>
        <v>http://dx.doi.org/10.1111/j.1365-2664.2008.01477.x</v>
      </c>
      <c r="BG2952" s="1" t="s">
        <v>74</v>
      </c>
      <c r="BH2952" s="1" t="s">
        <v>74</v>
      </c>
      <c r="BI2952" s="1">
        <v>9</v>
      </c>
      <c r="BJ2952" s="1" t="s">
        <v>17252</v>
      </c>
      <c r="BK2952" s="1" t="s">
        <v>96</v>
      </c>
      <c r="BL2952" s="1" t="s">
        <v>4924</v>
      </c>
      <c r="BM2952" s="1" t="s">
        <v>46871</v>
      </c>
      <c r="BN2952" s="1" t="s">
        <v>74</v>
      </c>
      <c r="BO2952" s="1" t="s">
        <v>370</v>
      </c>
      <c r="BP2952" s="1" t="s">
        <v>74</v>
      </c>
      <c r="BQ2952" s="1" t="s">
        <v>74</v>
      </c>
      <c r="BR2952" s="1" t="s">
        <v>98</v>
      </c>
      <c r="BS2952" s="1" t="s">
        <v>46872</v>
      </c>
      <c r="BT2952" s="1" t="str">
        <f>HYPERLINK("https%3A%2F%2Fwww.webofscience.com%2Fwos%2Fwoscc%2Ffull-record%2FWOS:000257497300033","View Full Record in Web of Science")</f>
        <v>View Full Record in Web of Science</v>
      </c>
      <c r="BU2952" s="1"/>
      <c r="BV2952" s="1"/>
    </row>
    <row r="2953" spans="1:74">
      <c r="A2953" s="1" t="s">
        <v>72</v>
      </c>
      <c r="B2953" s="1" t="s">
        <v>46873</v>
      </c>
      <c r="C2953" s="1" t="s">
        <v>74</v>
      </c>
      <c r="D2953" s="1" t="s">
        <v>74</v>
      </c>
      <c r="E2953" s="1" t="s">
        <v>74</v>
      </c>
      <c r="F2953" s="1" t="s">
        <v>46874</v>
      </c>
      <c r="G2953" s="1" t="s">
        <v>74</v>
      </c>
      <c r="H2953" s="1" t="s">
        <v>74</v>
      </c>
      <c r="I2953" s="1" t="s">
        <v>46875</v>
      </c>
      <c r="J2953" s="1" t="s">
        <v>9565</v>
      </c>
      <c r="K2953" s="1" t="s">
        <v>74</v>
      </c>
      <c r="L2953" s="1" t="s">
        <v>74</v>
      </c>
      <c r="M2953" s="1" t="s">
        <v>78</v>
      </c>
      <c r="N2953" s="1" t="s">
        <v>79</v>
      </c>
      <c r="O2953" s="1" t="s">
        <v>74</v>
      </c>
      <c r="P2953" s="1" t="s">
        <v>74</v>
      </c>
      <c r="Q2953" s="1" t="s">
        <v>74</v>
      </c>
      <c r="R2953" s="1" t="s">
        <v>74</v>
      </c>
      <c r="S2953" s="1" t="s">
        <v>74</v>
      </c>
      <c r="T2953" s="1" t="s">
        <v>46876</v>
      </c>
      <c r="U2953" s="1" t="s">
        <v>46877</v>
      </c>
      <c r="V2953" s="1" t="s">
        <v>46878</v>
      </c>
      <c r="W2953" s="1" t="s">
        <v>46879</v>
      </c>
      <c r="X2953" s="1" t="s">
        <v>46880</v>
      </c>
      <c r="Y2953" s="1" t="s">
        <v>46881</v>
      </c>
      <c r="Z2953" s="1" t="s">
        <v>46882</v>
      </c>
      <c r="AA2953" s="1" t="s">
        <v>46883</v>
      </c>
      <c r="AB2953" s="1" t="s">
        <v>46884</v>
      </c>
      <c r="AC2953" s="1" t="s">
        <v>46885</v>
      </c>
      <c r="AD2953" s="1" t="s">
        <v>46886</v>
      </c>
      <c r="AE2953" s="1" t="s">
        <v>46887</v>
      </c>
      <c r="AF2953" s="1" t="s">
        <v>74</v>
      </c>
      <c r="AG2953" s="1">
        <v>43</v>
      </c>
      <c r="AH2953" s="1">
        <v>2</v>
      </c>
      <c r="AI2953" s="1">
        <v>2</v>
      </c>
      <c r="AJ2953" s="1">
        <v>1</v>
      </c>
      <c r="AK2953" s="1">
        <v>5</v>
      </c>
      <c r="AL2953" s="1" t="s">
        <v>564</v>
      </c>
      <c r="AM2953" s="1" t="s">
        <v>113</v>
      </c>
      <c r="AN2953" s="1" t="s">
        <v>807</v>
      </c>
      <c r="AO2953" s="1" t="s">
        <v>9576</v>
      </c>
      <c r="AP2953" s="1" t="s">
        <v>9577</v>
      </c>
      <c r="AQ2953" s="1" t="s">
        <v>74</v>
      </c>
      <c r="AR2953" s="1" t="s">
        <v>9578</v>
      </c>
      <c r="AS2953" s="1" t="s">
        <v>9579</v>
      </c>
      <c r="AT2953" s="1" t="s">
        <v>1223</v>
      </c>
      <c r="AU2953" s="1">
        <v>2023</v>
      </c>
      <c r="AV2953" s="1">
        <v>45</v>
      </c>
      <c r="AW2953" s="1" t="s">
        <v>74</v>
      </c>
      <c r="AX2953" s="1" t="s">
        <v>74</v>
      </c>
      <c r="AY2953" s="1" t="s">
        <v>74</v>
      </c>
      <c r="AZ2953" s="1" t="s">
        <v>74</v>
      </c>
      <c r="BA2953" s="1" t="s">
        <v>74</v>
      </c>
      <c r="BB2953" s="1" t="s">
        <v>74</v>
      </c>
      <c r="BC2953" s="1" t="s">
        <v>74</v>
      </c>
      <c r="BD2953" s="1">
        <v>101051</v>
      </c>
      <c r="BE2953" s="1" t="s">
        <v>46888</v>
      </c>
      <c r="BF2953" s="1" t="str">
        <f>HYPERLINK("http://dx.doi.org/10.1016/j.cbd.2022.101051","http://dx.doi.org/10.1016/j.cbd.2022.101051")</f>
        <v>http://dx.doi.org/10.1016/j.cbd.2022.101051</v>
      </c>
      <c r="BG2953" s="1" t="s">
        <v>74</v>
      </c>
      <c r="BH2953" s="1" t="s">
        <v>4283</v>
      </c>
      <c r="BI2953" s="1">
        <v>8</v>
      </c>
      <c r="BJ2953" s="1" t="s">
        <v>9581</v>
      </c>
      <c r="BK2953" s="1" t="s">
        <v>96</v>
      </c>
      <c r="BL2953" s="1" t="s">
        <v>9581</v>
      </c>
      <c r="BM2953" s="1" t="s">
        <v>46889</v>
      </c>
      <c r="BN2953" s="1">
        <v>36527760</v>
      </c>
      <c r="BO2953" s="1" t="s">
        <v>9583</v>
      </c>
      <c r="BP2953" s="1" t="s">
        <v>74</v>
      </c>
      <c r="BQ2953" s="1" t="s">
        <v>74</v>
      </c>
      <c r="BR2953" s="1" t="s">
        <v>98</v>
      </c>
      <c r="BS2953" s="1" t="s">
        <v>46890</v>
      </c>
      <c r="BT2953" s="1" t="str">
        <f>HYPERLINK("https%3A%2F%2Fwww.webofscience.com%2Fwos%2Fwoscc%2Ffull-record%2FWOS:000992314000001","View Full Record in Web of Science")</f>
        <v>View Full Record in Web of Science</v>
      </c>
      <c r="BU2953" s="1"/>
      <c r="BV2953" s="1"/>
    </row>
    <row r="2954" spans="1:74">
      <c r="A2954" s="1" t="s">
        <v>72</v>
      </c>
      <c r="B2954" s="1" t="s">
        <v>46891</v>
      </c>
      <c r="C2954" s="1" t="s">
        <v>74</v>
      </c>
      <c r="D2954" s="1" t="s">
        <v>74</v>
      </c>
      <c r="E2954" s="1" t="s">
        <v>74</v>
      </c>
      <c r="F2954" s="1" t="s">
        <v>46892</v>
      </c>
      <c r="G2954" s="1" t="s">
        <v>74</v>
      </c>
      <c r="H2954" s="1" t="s">
        <v>74</v>
      </c>
      <c r="I2954" s="1" t="s">
        <v>46893</v>
      </c>
      <c r="J2954" s="1" t="s">
        <v>421</v>
      </c>
      <c r="K2954" s="1" t="s">
        <v>74</v>
      </c>
      <c r="L2954" s="1" t="s">
        <v>74</v>
      </c>
      <c r="M2954" s="1" t="s">
        <v>78</v>
      </c>
      <c r="N2954" s="1" t="s">
        <v>79</v>
      </c>
      <c r="O2954" s="1" t="s">
        <v>74</v>
      </c>
      <c r="P2954" s="1" t="s">
        <v>74</v>
      </c>
      <c r="Q2954" s="1" t="s">
        <v>74</v>
      </c>
      <c r="R2954" s="1" t="s">
        <v>74</v>
      </c>
      <c r="S2954" s="1" t="s">
        <v>74</v>
      </c>
      <c r="T2954" s="1" t="s">
        <v>46894</v>
      </c>
      <c r="U2954" s="1" t="s">
        <v>46895</v>
      </c>
      <c r="V2954" s="1" t="s">
        <v>46896</v>
      </c>
      <c r="W2954" s="1" t="s">
        <v>46897</v>
      </c>
      <c r="X2954" s="1" t="s">
        <v>46898</v>
      </c>
      <c r="Y2954" s="1" t="s">
        <v>46899</v>
      </c>
      <c r="Z2954" s="1" t="s">
        <v>46900</v>
      </c>
      <c r="AA2954" s="1" t="s">
        <v>46901</v>
      </c>
      <c r="AB2954" s="1" t="s">
        <v>46902</v>
      </c>
      <c r="AC2954" s="1" t="s">
        <v>46903</v>
      </c>
      <c r="AD2954" s="1" t="s">
        <v>46904</v>
      </c>
      <c r="AE2954" s="1" t="s">
        <v>46905</v>
      </c>
      <c r="AF2954" s="1" t="s">
        <v>74</v>
      </c>
      <c r="AG2954" s="1">
        <v>136</v>
      </c>
      <c r="AH2954" s="1">
        <v>0</v>
      </c>
      <c r="AI2954" s="1">
        <v>0</v>
      </c>
      <c r="AJ2954" s="1">
        <v>5</v>
      </c>
      <c r="AK2954" s="1">
        <v>12</v>
      </c>
      <c r="AL2954" s="1" t="s">
        <v>430</v>
      </c>
      <c r="AM2954" s="1" t="s">
        <v>7361</v>
      </c>
      <c r="AN2954" s="1" t="s">
        <v>7362</v>
      </c>
      <c r="AO2954" s="1" t="s">
        <v>432</v>
      </c>
      <c r="AP2954" s="1" t="s">
        <v>1394</v>
      </c>
      <c r="AQ2954" s="1" t="s">
        <v>74</v>
      </c>
      <c r="AR2954" s="1" t="s">
        <v>433</v>
      </c>
      <c r="AS2954" s="1" t="s">
        <v>434</v>
      </c>
      <c r="AT2954" s="1" t="s">
        <v>11873</v>
      </c>
      <c r="AU2954" s="1">
        <v>2024</v>
      </c>
      <c r="AV2954" s="1">
        <v>340</v>
      </c>
      <c r="AW2954" s="1" t="s">
        <v>74</v>
      </c>
      <c r="AX2954" s="1">
        <v>1</v>
      </c>
      <c r="AY2954" s="1" t="s">
        <v>74</v>
      </c>
      <c r="AZ2954" s="1" t="s">
        <v>74</v>
      </c>
      <c r="BA2954" s="1" t="s">
        <v>74</v>
      </c>
      <c r="BB2954" s="1" t="s">
        <v>74</v>
      </c>
      <c r="BC2954" s="1" t="s">
        <v>74</v>
      </c>
      <c r="BD2954" s="1">
        <v>122779</v>
      </c>
      <c r="BE2954" s="1" t="s">
        <v>46906</v>
      </c>
      <c r="BF2954" s="1" t="str">
        <f>HYPERLINK("http://dx.doi.org/10.1016/j.envpol.2023.122779","http://dx.doi.org/10.1016/j.envpol.2023.122779")</f>
        <v>http://dx.doi.org/10.1016/j.envpol.2023.122779</v>
      </c>
      <c r="BG2954" s="1" t="s">
        <v>74</v>
      </c>
      <c r="BH2954" s="1" t="s">
        <v>7992</v>
      </c>
      <c r="BI2954" s="1">
        <v>13</v>
      </c>
      <c r="BJ2954" s="1" t="s">
        <v>144</v>
      </c>
      <c r="BK2954" s="1" t="s">
        <v>96</v>
      </c>
      <c r="BL2954" s="1" t="s">
        <v>145</v>
      </c>
      <c r="BM2954" s="1" t="s">
        <v>46907</v>
      </c>
      <c r="BN2954" s="1">
        <v>37863252</v>
      </c>
      <c r="BO2954" s="1" t="s">
        <v>2784</v>
      </c>
      <c r="BP2954" s="1" t="s">
        <v>74</v>
      </c>
      <c r="BQ2954" s="1" t="s">
        <v>74</v>
      </c>
      <c r="BR2954" s="1" t="s">
        <v>98</v>
      </c>
      <c r="BS2954" s="1" t="s">
        <v>46908</v>
      </c>
      <c r="BT2954" s="1" t="str">
        <f>HYPERLINK("https%3A%2F%2Fwww.webofscience.com%2Fwos%2Fwoscc%2Ffull-record%2FWOS:001109345300001","View Full Record in Web of Science")</f>
        <v>View Full Record in Web of Science</v>
      </c>
      <c r="BU2954" s="1"/>
      <c r="BV2954" s="1"/>
    </row>
    <row r="2955" spans="1:74">
      <c r="A2955" s="1" t="s">
        <v>72</v>
      </c>
      <c r="B2955" s="1" t="s">
        <v>46909</v>
      </c>
      <c r="C2955" s="1" t="s">
        <v>74</v>
      </c>
      <c r="D2955" s="1" t="s">
        <v>74</v>
      </c>
      <c r="E2955" s="1" t="s">
        <v>74</v>
      </c>
      <c r="F2955" s="1" t="s">
        <v>46909</v>
      </c>
      <c r="G2955" s="1" t="s">
        <v>74</v>
      </c>
      <c r="H2955" s="1" t="s">
        <v>74</v>
      </c>
      <c r="I2955" s="1" t="s">
        <v>46910</v>
      </c>
      <c r="J2955" s="1" t="s">
        <v>17957</v>
      </c>
      <c r="K2955" s="1" t="s">
        <v>74</v>
      </c>
      <c r="L2955" s="1" t="s">
        <v>74</v>
      </c>
      <c r="M2955" s="1" t="s">
        <v>78</v>
      </c>
      <c r="N2955" s="1" t="s">
        <v>79</v>
      </c>
      <c r="O2955" s="1" t="s">
        <v>74</v>
      </c>
      <c r="P2955" s="1" t="s">
        <v>74</v>
      </c>
      <c r="Q2955" s="1" t="s">
        <v>74</v>
      </c>
      <c r="R2955" s="1" t="s">
        <v>74</v>
      </c>
      <c r="S2955" s="1" t="s">
        <v>74</v>
      </c>
      <c r="T2955" s="1" t="s">
        <v>74</v>
      </c>
      <c r="U2955" s="1" t="s">
        <v>46911</v>
      </c>
      <c r="V2955" s="1" t="s">
        <v>46912</v>
      </c>
      <c r="W2955" s="1" t="s">
        <v>74</v>
      </c>
      <c r="X2955" s="1" t="s">
        <v>74</v>
      </c>
      <c r="Y2955" s="1" t="s">
        <v>46913</v>
      </c>
      <c r="Z2955" s="1" t="s">
        <v>74</v>
      </c>
      <c r="AA2955" s="1" t="s">
        <v>46914</v>
      </c>
      <c r="AB2955" s="1" t="s">
        <v>46915</v>
      </c>
      <c r="AC2955" s="1" t="s">
        <v>74</v>
      </c>
      <c r="AD2955" s="1" t="s">
        <v>74</v>
      </c>
      <c r="AE2955" s="1" t="s">
        <v>74</v>
      </c>
      <c r="AF2955" s="1" t="s">
        <v>74</v>
      </c>
      <c r="AG2955" s="1">
        <v>35</v>
      </c>
      <c r="AH2955" s="1">
        <v>58</v>
      </c>
      <c r="AI2955" s="1">
        <v>64</v>
      </c>
      <c r="AJ2955" s="1">
        <v>0</v>
      </c>
      <c r="AK2955" s="1">
        <v>5</v>
      </c>
      <c r="AL2955" s="1" t="s">
        <v>17960</v>
      </c>
      <c r="AM2955" s="1" t="s">
        <v>113</v>
      </c>
      <c r="AN2955" s="1" t="s">
        <v>17961</v>
      </c>
      <c r="AO2955" s="1" t="s">
        <v>17962</v>
      </c>
      <c r="AP2955" s="1" t="s">
        <v>74</v>
      </c>
      <c r="AQ2955" s="1" t="s">
        <v>74</v>
      </c>
      <c r="AR2955" s="1" t="s">
        <v>17963</v>
      </c>
      <c r="AS2955" s="1" t="s">
        <v>17964</v>
      </c>
      <c r="AT2955" s="1" t="s">
        <v>224</v>
      </c>
      <c r="AU2955" s="1">
        <v>1995</v>
      </c>
      <c r="AV2955" s="1">
        <v>10</v>
      </c>
      <c r="AW2955" s="1">
        <v>1</v>
      </c>
      <c r="AX2955" s="1" t="s">
        <v>74</v>
      </c>
      <c r="AY2955" s="1" t="s">
        <v>74</v>
      </c>
      <c r="AZ2955" s="1" t="s">
        <v>74</v>
      </c>
      <c r="BA2955" s="1" t="s">
        <v>74</v>
      </c>
      <c r="BB2955" s="1">
        <v>1</v>
      </c>
      <c r="BC2955" s="1">
        <v>8</v>
      </c>
      <c r="BD2955" s="1" t="s">
        <v>74</v>
      </c>
      <c r="BE2955" s="1" t="s">
        <v>46916</v>
      </c>
      <c r="BF2955" s="1" t="str">
        <f>HYPERLINK("http://dx.doi.org/10.1002/tox.2530100102","http://dx.doi.org/10.1002/tox.2530100102")</f>
        <v>http://dx.doi.org/10.1002/tox.2530100102</v>
      </c>
      <c r="BG2955" s="1" t="s">
        <v>74</v>
      </c>
      <c r="BH2955" s="1" t="s">
        <v>74</v>
      </c>
      <c r="BI2955" s="1">
        <v>8</v>
      </c>
      <c r="BJ2955" s="1" t="s">
        <v>972</v>
      </c>
      <c r="BK2955" s="1" t="s">
        <v>96</v>
      </c>
      <c r="BL2955" s="1" t="s">
        <v>973</v>
      </c>
      <c r="BM2955" s="1" t="s">
        <v>46917</v>
      </c>
      <c r="BN2955" s="1" t="s">
        <v>74</v>
      </c>
      <c r="BO2955" s="1" t="s">
        <v>74</v>
      </c>
      <c r="BP2955" s="1" t="s">
        <v>74</v>
      </c>
      <c r="BQ2955" s="1" t="s">
        <v>74</v>
      </c>
      <c r="BR2955" s="1" t="s">
        <v>98</v>
      </c>
      <c r="BS2955" s="1" t="s">
        <v>46918</v>
      </c>
      <c r="BT2955" s="1" t="str">
        <f>HYPERLINK("https%3A%2F%2Fwww.webofscience.com%2Fwos%2Fwoscc%2Ffull-record%2FWOS:A1995QF94900001","View Full Record in Web of Science")</f>
        <v>View Full Record in Web of Science</v>
      </c>
      <c r="BU2955" s="1"/>
      <c r="BV2955" s="1"/>
    </row>
    <row r="2956" spans="1:74">
      <c r="A2956" s="1" t="s">
        <v>72</v>
      </c>
      <c r="B2956" s="1" t="s">
        <v>46919</v>
      </c>
      <c r="C2956" s="1" t="s">
        <v>74</v>
      </c>
      <c r="D2956" s="1" t="s">
        <v>74</v>
      </c>
      <c r="E2956" s="1" t="s">
        <v>74</v>
      </c>
      <c r="F2956" s="1" t="s">
        <v>46920</v>
      </c>
      <c r="G2956" s="1" t="s">
        <v>74</v>
      </c>
      <c r="H2956" s="1" t="s">
        <v>74</v>
      </c>
      <c r="I2956" s="1" t="s">
        <v>46921</v>
      </c>
      <c r="J2956" s="1" t="s">
        <v>232</v>
      </c>
      <c r="K2956" s="1" t="s">
        <v>74</v>
      </c>
      <c r="L2956" s="1" t="s">
        <v>74</v>
      </c>
      <c r="M2956" s="1" t="s">
        <v>78</v>
      </c>
      <c r="N2956" s="1" t="s">
        <v>151</v>
      </c>
      <c r="O2956" s="1" t="s">
        <v>36432</v>
      </c>
      <c r="P2956" s="1" t="s">
        <v>36433</v>
      </c>
      <c r="Q2956" s="1" t="s">
        <v>36434</v>
      </c>
      <c r="R2956" s="1" t="s">
        <v>74</v>
      </c>
      <c r="S2956" s="1" t="s">
        <v>74</v>
      </c>
      <c r="T2956" s="1" t="s">
        <v>46922</v>
      </c>
      <c r="U2956" s="1" t="s">
        <v>46923</v>
      </c>
      <c r="V2956" s="1" t="s">
        <v>46924</v>
      </c>
      <c r="W2956" s="1" t="s">
        <v>46925</v>
      </c>
      <c r="X2956" s="1" t="s">
        <v>358</v>
      </c>
      <c r="Y2956" s="1" t="s">
        <v>46926</v>
      </c>
      <c r="Z2956" s="1" t="s">
        <v>46927</v>
      </c>
      <c r="AA2956" s="1" t="s">
        <v>74</v>
      </c>
      <c r="AB2956" s="1" t="s">
        <v>74</v>
      </c>
      <c r="AC2956" s="1" t="s">
        <v>46928</v>
      </c>
      <c r="AD2956" s="1" t="s">
        <v>46929</v>
      </c>
      <c r="AE2956" s="1" t="s">
        <v>46930</v>
      </c>
      <c r="AF2956" s="1" t="s">
        <v>74</v>
      </c>
      <c r="AG2956" s="1">
        <v>35</v>
      </c>
      <c r="AH2956" s="1">
        <v>10</v>
      </c>
      <c r="AI2956" s="1">
        <v>10</v>
      </c>
      <c r="AJ2956" s="1">
        <v>0</v>
      </c>
      <c r="AK2956" s="1">
        <v>10</v>
      </c>
      <c r="AL2956" s="1" t="s">
        <v>136</v>
      </c>
      <c r="AM2956" s="1" t="s">
        <v>137</v>
      </c>
      <c r="AN2956" s="1" t="s">
        <v>138</v>
      </c>
      <c r="AO2956" s="1" t="s">
        <v>240</v>
      </c>
      <c r="AP2956" s="1" t="s">
        <v>241</v>
      </c>
      <c r="AQ2956" s="1" t="s">
        <v>74</v>
      </c>
      <c r="AR2956" s="1" t="s">
        <v>242</v>
      </c>
      <c r="AS2956" s="1" t="s">
        <v>243</v>
      </c>
      <c r="AT2956" s="1" t="s">
        <v>33045</v>
      </c>
      <c r="AU2956" s="1">
        <v>2017</v>
      </c>
      <c r="AV2956" s="1">
        <v>124</v>
      </c>
      <c r="AW2956" s="1">
        <v>2</v>
      </c>
      <c r="AX2956" s="1" t="s">
        <v>74</v>
      </c>
      <c r="AY2956" s="1" t="s">
        <v>74</v>
      </c>
      <c r="AZ2956" s="1" t="s">
        <v>225</v>
      </c>
      <c r="BA2956" s="1" t="s">
        <v>74</v>
      </c>
      <c r="BB2956" s="1">
        <v>1006</v>
      </c>
      <c r="BC2956" s="1">
        <v>1013</v>
      </c>
      <c r="BD2956" s="1" t="s">
        <v>74</v>
      </c>
      <c r="BE2956" s="1" t="s">
        <v>46931</v>
      </c>
      <c r="BF2956" s="1" t="str">
        <f>HYPERLINK("http://dx.doi.org/10.1016/j.marpolbul.2017.02.059","http://dx.doi.org/10.1016/j.marpolbul.2017.02.059")</f>
        <v>http://dx.doi.org/10.1016/j.marpolbul.2017.02.059</v>
      </c>
      <c r="BG2956" s="1" t="s">
        <v>74</v>
      </c>
      <c r="BH2956" s="1" t="s">
        <v>74</v>
      </c>
      <c r="BI2956" s="1">
        <v>8</v>
      </c>
      <c r="BJ2956" s="1" t="s">
        <v>247</v>
      </c>
      <c r="BK2956" s="1" t="s">
        <v>172</v>
      </c>
      <c r="BL2956" s="1" t="s">
        <v>248</v>
      </c>
      <c r="BM2956" s="1" t="s">
        <v>36448</v>
      </c>
      <c r="BN2956" s="1">
        <v>28274472</v>
      </c>
      <c r="BO2956" s="1" t="s">
        <v>74</v>
      </c>
      <c r="BP2956" s="1" t="s">
        <v>74</v>
      </c>
      <c r="BQ2956" s="1" t="s">
        <v>74</v>
      </c>
      <c r="BR2956" s="1" t="s">
        <v>98</v>
      </c>
      <c r="BS2956" s="1" t="s">
        <v>46932</v>
      </c>
      <c r="BT2956" s="1" t="str">
        <f>HYPERLINK("https%3A%2F%2Fwww.webofscience.com%2Fwos%2Fwoscc%2Ffull-record%2FWOS:000417964500054","View Full Record in Web of Science")</f>
        <v>View Full Record in Web of Science</v>
      </c>
      <c r="BU2956" s="1"/>
      <c r="BV2956" s="1"/>
    </row>
    <row r="2957" spans="1:74">
      <c r="A2957" s="1" t="s">
        <v>72</v>
      </c>
      <c r="B2957" s="1" t="s">
        <v>46933</v>
      </c>
      <c r="C2957" s="1" t="s">
        <v>74</v>
      </c>
      <c r="D2957" s="1" t="s">
        <v>74</v>
      </c>
      <c r="E2957" s="1" t="s">
        <v>74</v>
      </c>
      <c r="F2957" s="1" t="s">
        <v>46934</v>
      </c>
      <c r="G2957" s="1" t="s">
        <v>74</v>
      </c>
      <c r="H2957" s="1" t="s">
        <v>74</v>
      </c>
      <c r="I2957" s="1" t="s">
        <v>46935</v>
      </c>
      <c r="J2957" s="1" t="s">
        <v>127</v>
      </c>
      <c r="K2957" s="1" t="s">
        <v>74</v>
      </c>
      <c r="L2957" s="1" t="s">
        <v>74</v>
      </c>
      <c r="M2957" s="1" t="s">
        <v>78</v>
      </c>
      <c r="N2957" s="1" t="s">
        <v>79</v>
      </c>
      <c r="O2957" s="1" t="s">
        <v>74</v>
      </c>
      <c r="P2957" s="1" t="s">
        <v>74</v>
      </c>
      <c r="Q2957" s="1" t="s">
        <v>74</v>
      </c>
      <c r="R2957" s="1" t="s">
        <v>74</v>
      </c>
      <c r="S2957" s="1" t="s">
        <v>74</v>
      </c>
      <c r="T2957" s="1" t="s">
        <v>46936</v>
      </c>
      <c r="U2957" s="1" t="s">
        <v>46937</v>
      </c>
      <c r="V2957" s="1" t="s">
        <v>46938</v>
      </c>
      <c r="W2957" s="1" t="s">
        <v>46939</v>
      </c>
      <c r="X2957" s="1" t="s">
        <v>46940</v>
      </c>
      <c r="Y2957" s="1" t="s">
        <v>46941</v>
      </c>
      <c r="Z2957" s="1" t="s">
        <v>46942</v>
      </c>
      <c r="AA2957" s="1" t="s">
        <v>46943</v>
      </c>
      <c r="AB2957" s="1" t="s">
        <v>46944</v>
      </c>
      <c r="AC2957" s="1" t="s">
        <v>46945</v>
      </c>
      <c r="AD2957" s="1" t="s">
        <v>46946</v>
      </c>
      <c r="AE2957" s="1" t="s">
        <v>46947</v>
      </c>
      <c r="AF2957" s="1" t="s">
        <v>74</v>
      </c>
      <c r="AG2957" s="1">
        <v>160</v>
      </c>
      <c r="AH2957" s="1">
        <v>18</v>
      </c>
      <c r="AI2957" s="1">
        <v>18</v>
      </c>
      <c r="AJ2957" s="1">
        <v>8</v>
      </c>
      <c r="AK2957" s="1">
        <v>41</v>
      </c>
      <c r="AL2957" s="1" t="s">
        <v>136</v>
      </c>
      <c r="AM2957" s="1" t="s">
        <v>137</v>
      </c>
      <c r="AN2957" s="1" t="s">
        <v>138</v>
      </c>
      <c r="AO2957" s="1" t="s">
        <v>139</v>
      </c>
      <c r="AP2957" s="1" t="s">
        <v>140</v>
      </c>
      <c r="AQ2957" s="1" t="s">
        <v>74</v>
      </c>
      <c r="AR2957" s="1" t="s">
        <v>127</v>
      </c>
      <c r="AS2957" s="1" t="s">
        <v>141</v>
      </c>
      <c r="AT2957" s="1" t="s">
        <v>305</v>
      </c>
      <c r="AU2957" s="1">
        <v>2022</v>
      </c>
      <c r="AV2957" s="1">
        <v>302</v>
      </c>
      <c r="AW2957" s="1" t="s">
        <v>74</v>
      </c>
      <c r="AX2957" s="1" t="s">
        <v>74</v>
      </c>
      <c r="AY2957" s="1" t="s">
        <v>74</v>
      </c>
      <c r="AZ2957" s="1" t="s">
        <v>74</v>
      </c>
      <c r="BA2957" s="1" t="s">
        <v>74</v>
      </c>
      <c r="BB2957" s="1" t="s">
        <v>74</v>
      </c>
      <c r="BC2957" s="1" t="s">
        <v>74</v>
      </c>
      <c r="BD2957" s="1">
        <v>134746</v>
      </c>
      <c r="BE2957" s="1" t="s">
        <v>46948</v>
      </c>
      <c r="BF2957" s="1" t="str">
        <f>HYPERLINK("http://dx.doi.org/10.1016/j.chemosphere.2022.134746","http://dx.doi.org/10.1016/j.chemosphere.2022.134746")</f>
        <v>http://dx.doi.org/10.1016/j.chemosphere.2022.134746</v>
      </c>
      <c r="BG2957" s="1" t="s">
        <v>74</v>
      </c>
      <c r="BH2957" s="1" t="s">
        <v>2765</v>
      </c>
      <c r="BI2957" s="1">
        <v>13</v>
      </c>
      <c r="BJ2957" s="1" t="s">
        <v>144</v>
      </c>
      <c r="BK2957" s="1" t="s">
        <v>96</v>
      </c>
      <c r="BL2957" s="1" t="s">
        <v>145</v>
      </c>
      <c r="BM2957" s="1" t="s">
        <v>46949</v>
      </c>
      <c r="BN2957" s="1">
        <v>35489464</v>
      </c>
      <c r="BO2957" s="1" t="s">
        <v>74</v>
      </c>
      <c r="BP2957" s="1" t="s">
        <v>74</v>
      </c>
      <c r="BQ2957" s="1" t="s">
        <v>74</v>
      </c>
      <c r="BR2957" s="1" t="s">
        <v>98</v>
      </c>
      <c r="BS2957" s="1" t="s">
        <v>46950</v>
      </c>
      <c r="BT2957" s="1" t="str">
        <f>HYPERLINK("https%3A%2F%2Fwww.webofscience.com%2Fwos%2Fwoscc%2Ffull-record%2FWOS:000802790600003","View Full Record in Web of Science")</f>
        <v>View Full Record in Web of Science</v>
      </c>
      <c r="BU2957" s="1"/>
      <c r="BV2957" s="1"/>
    </row>
    <row r="2958" spans="1:74">
      <c r="A2958" s="1" t="s">
        <v>72</v>
      </c>
      <c r="B2958" s="1" t="s">
        <v>46951</v>
      </c>
      <c r="C2958" s="1" t="s">
        <v>74</v>
      </c>
      <c r="D2958" s="1" t="s">
        <v>74</v>
      </c>
      <c r="E2958" s="1" t="s">
        <v>74</v>
      </c>
      <c r="F2958" s="1" t="s">
        <v>46952</v>
      </c>
      <c r="G2958" s="1" t="s">
        <v>74</v>
      </c>
      <c r="H2958" s="1" t="s">
        <v>74</v>
      </c>
      <c r="I2958" s="1" t="s">
        <v>46953</v>
      </c>
      <c r="J2958" s="1" t="s">
        <v>204</v>
      </c>
      <c r="K2958" s="1" t="s">
        <v>74</v>
      </c>
      <c r="L2958" s="1" t="s">
        <v>74</v>
      </c>
      <c r="M2958" s="1" t="s">
        <v>78</v>
      </c>
      <c r="N2958" s="1" t="s">
        <v>79</v>
      </c>
      <c r="O2958" s="1" t="s">
        <v>74</v>
      </c>
      <c r="P2958" s="1" t="s">
        <v>74</v>
      </c>
      <c r="Q2958" s="1" t="s">
        <v>74</v>
      </c>
      <c r="R2958" s="1" t="s">
        <v>74</v>
      </c>
      <c r="S2958" s="1" t="s">
        <v>74</v>
      </c>
      <c r="T2958" s="1" t="s">
        <v>46954</v>
      </c>
      <c r="U2958" s="1" t="s">
        <v>46955</v>
      </c>
      <c r="V2958" s="1" t="s">
        <v>46956</v>
      </c>
      <c r="W2958" s="1" t="s">
        <v>46957</v>
      </c>
      <c r="X2958" s="1" t="s">
        <v>46958</v>
      </c>
      <c r="Y2958" s="1" t="s">
        <v>46959</v>
      </c>
      <c r="Z2958" s="1" t="s">
        <v>46960</v>
      </c>
      <c r="AA2958" s="1" t="s">
        <v>46961</v>
      </c>
      <c r="AB2958" s="1" t="s">
        <v>46962</v>
      </c>
      <c r="AC2958" s="1" t="s">
        <v>46963</v>
      </c>
      <c r="AD2958" s="1" t="s">
        <v>46964</v>
      </c>
      <c r="AE2958" s="1" t="s">
        <v>46965</v>
      </c>
      <c r="AF2958" s="1" t="s">
        <v>74</v>
      </c>
      <c r="AG2958" s="1">
        <v>64</v>
      </c>
      <c r="AH2958" s="1">
        <v>6</v>
      </c>
      <c r="AI2958" s="1">
        <v>6</v>
      </c>
      <c r="AJ2958" s="1">
        <v>10</v>
      </c>
      <c r="AK2958" s="1">
        <v>112</v>
      </c>
      <c r="AL2958" s="1" t="s">
        <v>217</v>
      </c>
      <c r="AM2958" s="1" t="s">
        <v>218</v>
      </c>
      <c r="AN2958" s="1" t="s">
        <v>219</v>
      </c>
      <c r="AO2958" s="1" t="s">
        <v>220</v>
      </c>
      <c r="AP2958" s="1" t="s">
        <v>221</v>
      </c>
      <c r="AQ2958" s="1" t="s">
        <v>74</v>
      </c>
      <c r="AR2958" s="1" t="s">
        <v>222</v>
      </c>
      <c r="AS2958" s="1" t="s">
        <v>223</v>
      </c>
      <c r="AT2958" s="1" t="s">
        <v>93</v>
      </c>
      <c r="AU2958" s="1">
        <v>2022</v>
      </c>
      <c r="AV2958" s="1">
        <v>29</v>
      </c>
      <c r="AW2958" s="1">
        <v>16</v>
      </c>
      <c r="AX2958" s="1" t="s">
        <v>74</v>
      </c>
      <c r="AY2958" s="1" t="s">
        <v>74</v>
      </c>
      <c r="AZ2958" s="1" t="s">
        <v>74</v>
      </c>
      <c r="BA2958" s="1" t="s">
        <v>74</v>
      </c>
      <c r="BB2958" s="1">
        <v>23700</v>
      </c>
      <c r="BC2958" s="1">
        <v>23711</v>
      </c>
      <c r="BD2958" s="1" t="s">
        <v>74</v>
      </c>
      <c r="BE2958" s="1" t="s">
        <v>46966</v>
      </c>
      <c r="BF2958" s="1" t="str">
        <f>HYPERLINK("http://dx.doi.org/10.1007/s11356-021-17509-z","http://dx.doi.org/10.1007/s11356-021-17509-z")</f>
        <v>http://dx.doi.org/10.1007/s11356-021-17509-z</v>
      </c>
      <c r="BG2958" s="1" t="s">
        <v>74</v>
      </c>
      <c r="BH2958" s="1" t="s">
        <v>10880</v>
      </c>
      <c r="BI2958" s="1">
        <v>12</v>
      </c>
      <c r="BJ2958" s="1" t="s">
        <v>144</v>
      </c>
      <c r="BK2958" s="1" t="s">
        <v>96</v>
      </c>
      <c r="BL2958" s="1" t="s">
        <v>145</v>
      </c>
      <c r="BM2958" s="1" t="s">
        <v>12854</v>
      </c>
      <c r="BN2958" s="1">
        <v>34811616</v>
      </c>
      <c r="BO2958" s="1" t="s">
        <v>810</v>
      </c>
      <c r="BP2958" s="1" t="s">
        <v>74</v>
      </c>
      <c r="BQ2958" s="1" t="s">
        <v>74</v>
      </c>
      <c r="BR2958" s="1" t="s">
        <v>98</v>
      </c>
      <c r="BS2958" s="1" t="s">
        <v>46967</v>
      </c>
      <c r="BT2958" s="1" t="str">
        <f>HYPERLINK("https%3A%2F%2Fwww.webofscience.com%2Fwos%2Fwoscc%2Ffull-record%2FWOS:000721458400002","View Full Record in Web of Science")</f>
        <v>View Full Record in Web of Science</v>
      </c>
      <c r="BU2958" s="1"/>
      <c r="BV2958" s="1"/>
    </row>
    <row r="2959" spans="1:74">
      <c r="A2959" s="1" t="s">
        <v>72</v>
      </c>
      <c r="B2959" s="1" t="s">
        <v>46968</v>
      </c>
      <c r="C2959" s="1" t="s">
        <v>74</v>
      </c>
      <c r="D2959" s="1" t="s">
        <v>74</v>
      </c>
      <c r="E2959" s="1" t="s">
        <v>74</v>
      </c>
      <c r="F2959" s="1" t="s">
        <v>46969</v>
      </c>
      <c r="G2959" s="1" t="s">
        <v>74</v>
      </c>
      <c r="H2959" s="1" t="s">
        <v>74</v>
      </c>
      <c r="I2959" s="1" t="s">
        <v>46970</v>
      </c>
      <c r="J2959" s="1" t="s">
        <v>909</v>
      </c>
      <c r="K2959" s="1" t="s">
        <v>74</v>
      </c>
      <c r="L2959" s="1" t="s">
        <v>74</v>
      </c>
      <c r="M2959" s="1" t="s">
        <v>78</v>
      </c>
      <c r="N2959" s="1" t="s">
        <v>79</v>
      </c>
      <c r="O2959" s="1" t="s">
        <v>74</v>
      </c>
      <c r="P2959" s="1" t="s">
        <v>74</v>
      </c>
      <c r="Q2959" s="1" t="s">
        <v>74</v>
      </c>
      <c r="R2959" s="1" t="s">
        <v>74</v>
      </c>
      <c r="S2959" s="1" t="s">
        <v>74</v>
      </c>
      <c r="T2959" s="1" t="s">
        <v>46971</v>
      </c>
      <c r="U2959" s="1" t="s">
        <v>46972</v>
      </c>
      <c r="V2959" s="1" t="s">
        <v>46973</v>
      </c>
      <c r="W2959" s="1" t="s">
        <v>46974</v>
      </c>
      <c r="X2959" s="1" t="s">
        <v>16205</v>
      </c>
      <c r="Y2959" s="1" t="s">
        <v>46975</v>
      </c>
      <c r="Z2959" s="1" t="s">
        <v>46976</v>
      </c>
      <c r="AA2959" s="1" t="s">
        <v>46977</v>
      </c>
      <c r="AB2959" s="1" t="s">
        <v>46978</v>
      </c>
      <c r="AC2959" s="1" t="s">
        <v>46979</v>
      </c>
      <c r="AD2959" s="1" t="s">
        <v>46980</v>
      </c>
      <c r="AE2959" s="1" t="s">
        <v>46981</v>
      </c>
      <c r="AF2959" s="1" t="s">
        <v>74</v>
      </c>
      <c r="AG2959" s="1">
        <v>68</v>
      </c>
      <c r="AH2959" s="1">
        <v>21</v>
      </c>
      <c r="AI2959" s="1">
        <v>23</v>
      </c>
      <c r="AJ2959" s="1">
        <v>1</v>
      </c>
      <c r="AK2959" s="1">
        <v>14</v>
      </c>
      <c r="AL2959" s="1" t="s">
        <v>650</v>
      </c>
      <c r="AM2959" s="1" t="s">
        <v>651</v>
      </c>
      <c r="AN2959" s="1" t="s">
        <v>652</v>
      </c>
      <c r="AO2959" s="1" t="s">
        <v>921</v>
      </c>
      <c r="AP2959" s="1" t="s">
        <v>922</v>
      </c>
      <c r="AQ2959" s="1" t="s">
        <v>74</v>
      </c>
      <c r="AR2959" s="1" t="s">
        <v>923</v>
      </c>
      <c r="AS2959" s="1" t="s">
        <v>924</v>
      </c>
      <c r="AT2959" s="1" t="s">
        <v>325</v>
      </c>
      <c r="AU2959" s="1">
        <v>2020</v>
      </c>
      <c r="AV2959" s="1">
        <v>739</v>
      </c>
      <c r="AW2959" s="1" t="s">
        <v>74</v>
      </c>
      <c r="AX2959" s="1" t="s">
        <v>74</v>
      </c>
      <c r="AY2959" s="1" t="s">
        <v>74</v>
      </c>
      <c r="AZ2959" s="1" t="s">
        <v>74</v>
      </c>
      <c r="BA2959" s="1" t="s">
        <v>74</v>
      </c>
      <c r="BB2959" s="1" t="s">
        <v>74</v>
      </c>
      <c r="BC2959" s="1" t="s">
        <v>74</v>
      </c>
      <c r="BD2959" s="1">
        <v>139886</v>
      </c>
      <c r="BE2959" s="1" t="s">
        <v>46982</v>
      </c>
      <c r="BF2959" s="1" t="str">
        <f>HYPERLINK("http://dx.doi.org/10.1016/j.scitotenv.2020.139886","http://dx.doi.org/10.1016/j.scitotenv.2020.139886")</f>
        <v>http://dx.doi.org/10.1016/j.scitotenv.2020.139886</v>
      </c>
      <c r="BG2959" s="1" t="s">
        <v>74</v>
      </c>
      <c r="BH2959" s="1" t="s">
        <v>74</v>
      </c>
      <c r="BI2959" s="1">
        <v>15</v>
      </c>
      <c r="BJ2959" s="1" t="s">
        <v>144</v>
      </c>
      <c r="BK2959" s="1" t="s">
        <v>96</v>
      </c>
      <c r="BL2959" s="1" t="s">
        <v>145</v>
      </c>
      <c r="BM2959" s="1" t="s">
        <v>46983</v>
      </c>
      <c r="BN2959" s="1">
        <v>32554117</v>
      </c>
      <c r="BO2959" s="1" t="s">
        <v>74</v>
      </c>
      <c r="BP2959" s="1" t="s">
        <v>74</v>
      </c>
      <c r="BQ2959" s="1" t="s">
        <v>74</v>
      </c>
      <c r="BR2959" s="1" t="s">
        <v>98</v>
      </c>
      <c r="BS2959" s="1" t="s">
        <v>46984</v>
      </c>
      <c r="BT2959" s="1" t="str">
        <f>HYPERLINK("https%3A%2F%2Fwww.webofscience.com%2Fwos%2Fwoscc%2Ffull-record%2FWOS:000561798600020","View Full Record in Web of Science")</f>
        <v>View Full Record in Web of Science</v>
      </c>
      <c r="BU2959" s="1"/>
      <c r="BV2959" s="1"/>
    </row>
    <row r="2960" spans="1:74">
      <c r="A2960" s="1" t="s">
        <v>72</v>
      </c>
      <c r="B2960" s="1" t="s">
        <v>46985</v>
      </c>
      <c r="C2960" s="1" t="s">
        <v>74</v>
      </c>
      <c r="D2960" s="1" t="s">
        <v>74</v>
      </c>
      <c r="E2960" s="1" t="s">
        <v>74</v>
      </c>
      <c r="F2960" s="1" t="s">
        <v>46986</v>
      </c>
      <c r="G2960" s="1" t="s">
        <v>74</v>
      </c>
      <c r="H2960" s="1" t="s">
        <v>74</v>
      </c>
      <c r="I2960" s="1" t="s">
        <v>46987</v>
      </c>
      <c r="J2960" s="1" t="s">
        <v>46988</v>
      </c>
      <c r="K2960" s="1" t="s">
        <v>74</v>
      </c>
      <c r="L2960" s="1" t="s">
        <v>74</v>
      </c>
      <c r="M2960" s="1" t="s">
        <v>78</v>
      </c>
      <c r="N2960" s="1" t="s">
        <v>79</v>
      </c>
      <c r="O2960" s="1" t="s">
        <v>74</v>
      </c>
      <c r="P2960" s="1" t="s">
        <v>74</v>
      </c>
      <c r="Q2960" s="1" t="s">
        <v>74</v>
      </c>
      <c r="R2960" s="1" t="s">
        <v>74</v>
      </c>
      <c r="S2960" s="1" t="s">
        <v>74</v>
      </c>
      <c r="T2960" s="1" t="s">
        <v>46989</v>
      </c>
      <c r="U2960" s="1" t="s">
        <v>46990</v>
      </c>
      <c r="V2960" s="1" t="s">
        <v>46991</v>
      </c>
      <c r="W2960" s="1" t="s">
        <v>46992</v>
      </c>
      <c r="X2960" s="1" t="s">
        <v>46993</v>
      </c>
      <c r="Y2960" s="1" t="s">
        <v>46994</v>
      </c>
      <c r="Z2960" s="1" t="s">
        <v>46995</v>
      </c>
      <c r="AA2960" s="1" t="s">
        <v>74</v>
      </c>
      <c r="AB2960" s="1" t="s">
        <v>74</v>
      </c>
      <c r="AC2960" s="1" t="s">
        <v>74</v>
      </c>
      <c r="AD2960" s="1" t="s">
        <v>74</v>
      </c>
      <c r="AE2960" s="1" t="s">
        <v>74</v>
      </c>
      <c r="AF2960" s="1" t="s">
        <v>74</v>
      </c>
      <c r="AG2960" s="1">
        <v>23</v>
      </c>
      <c r="AH2960" s="1">
        <v>0</v>
      </c>
      <c r="AI2960" s="1">
        <v>0</v>
      </c>
      <c r="AJ2960" s="1">
        <v>0</v>
      </c>
      <c r="AK2960" s="1">
        <v>11</v>
      </c>
      <c r="AL2960" s="1" t="s">
        <v>46996</v>
      </c>
      <c r="AM2960" s="1" t="s">
        <v>46997</v>
      </c>
      <c r="AN2960" s="1" t="s">
        <v>46998</v>
      </c>
      <c r="AO2960" s="1" t="s">
        <v>46999</v>
      </c>
      <c r="AP2960" s="1" t="s">
        <v>74</v>
      </c>
      <c r="AQ2960" s="1" t="s">
        <v>74</v>
      </c>
      <c r="AR2960" s="1" t="s">
        <v>47000</v>
      </c>
      <c r="AS2960" s="1" t="s">
        <v>47001</v>
      </c>
      <c r="AT2960" s="1" t="s">
        <v>93</v>
      </c>
      <c r="AU2960" s="1">
        <v>2007</v>
      </c>
      <c r="AV2960" s="1">
        <v>21</v>
      </c>
      <c r="AW2960" s="1">
        <v>1</v>
      </c>
      <c r="AX2960" s="1" t="s">
        <v>74</v>
      </c>
      <c r="AY2960" s="1" t="s">
        <v>74</v>
      </c>
      <c r="AZ2960" s="1" t="s">
        <v>74</v>
      </c>
      <c r="BA2960" s="1" t="s">
        <v>74</v>
      </c>
      <c r="BB2960" s="1">
        <v>145</v>
      </c>
      <c r="BC2960" s="1">
        <v>149</v>
      </c>
      <c r="BD2960" s="1" t="s">
        <v>74</v>
      </c>
      <c r="BE2960" s="1" t="s">
        <v>74</v>
      </c>
      <c r="BF2960" s="1" t="s">
        <v>74</v>
      </c>
      <c r="BG2960" s="1" t="s">
        <v>74</v>
      </c>
      <c r="BH2960" s="1" t="s">
        <v>74</v>
      </c>
      <c r="BI2960" s="1">
        <v>5</v>
      </c>
      <c r="BJ2960" s="1" t="s">
        <v>3919</v>
      </c>
      <c r="BK2960" s="1" t="s">
        <v>96</v>
      </c>
      <c r="BL2960" s="1" t="s">
        <v>1197</v>
      </c>
      <c r="BM2960" s="1" t="s">
        <v>47002</v>
      </c>
      <c r="BN2960" s="1" t="s">
        <v>74</v>
      </c>
      <c r="BO2960" s="1" t="s">
        <v>74</v>
      </c>
      <c r="BP2960" s="1" t="s">
        <v>74</v>
      </c>
      <c r="BQ2960" s="1" t="s">
        <v>74</v>
      </c>
      <c r="BR2960" s="1" t="s">
        <v>98</v>
      </c>
      <c r="BS2960" s="1" t="s">
        <v>47003</v>
      </c>
      <c r="BT2960" s="1" t="str">
        <f>HYPERLINK("https%3A%2F%2Fwww.webofscience.com%2Fwos%2Fwoscc%2Ffull-record%2FWOS:000246489500017","View Full Record in Web of Science")</f>
        <v>View Full Record in Web of Science</v>
      </c>
      <c r="BU2960" s="1"/>
      <c r="BV2960" s="1"/>
    </row>
    <row r="2961" spans="1:74">
      <c r="A2961" s="1" t="s">
        <v>72</v>
      </c>
      <c r="B2961" s="1" t="s">
        <v>47004</v>
      </c>
      <c r="C2961" s="1" t="s">
        <v>74</v>
      </c>
      <c r="D2961" s="1" t="s">
        <v>74</v>
      </c>
      <c r="E2961" s="1" t="s">
        <v>74</v>
      </c>
      <c r="F2961" s="1" t="s">
        <v>47005</v>
      </c>
      <c r="G2961" s="1" t="s">
        <v>74</v>
      </c>
      <c r="H2961" s="1" t="s">
        <v>74</v>
      </c>
      <c r="I2961" s="1" t="s">
        <v>47006</v>
      </c>
      <c r="J2961" s="1" t="s">
        <v>3349</v>
      </c>
      <c r="K2961" s="1" t="s">
        <v>74</v>
      </c>
      <c r="L2961" s="1" t="s">
        <v>74</v>
      </c>
      <c r="M2961" s="1" t="s">
        <v>78</v>
      </c>
      <c r="N2961" s="1" t="s">
        <v>79</v>
      </c>
      <c r="O2961" s="1" t="s">
        <v>74</v>
      </c>
      <c r="P2961" s="1" t="s">
        <v>74</v>
      </c>
      <c r="Q2961" s="1" t="s">
        <v>74</v>
      </c>
      <c r="R2961" s="1" t="s">
        <v>74</v>
      </c>
      <c r="S2961" s="1" t="s">
        <v>74</v>
      </c>
      <c r="T2961" s="1" t="s">
        <v>47007</v>
      </c>
      <c r="U2961" s="1" t="s">
        <v>47008</v>
      </c>
      <c r="V2961" s="1" t="s">
        <v>47009</v>
      </c>
      <c r="W2961" s="1" t="s">
        <v>47010</v>
      </c>
      <c r="X2961" s="1" t="s">
        <v>47011</v>
      </c>
      <c r="Y2961" s="1" t="s">
        <v>47012</v>
      </c>
      <c r="Z2961" s="1" t="s">
        <v>47013</v>
      </c>
      <c r="AA2961" s="1" t="s">
        <v>74</v>
      </c>
      <c r="AB2961" s="1" t="s">
        <v>47014</v>
      </c>
      <c r="AC2961" s="1" t="s">
        <v>47015</v>
      </c>
      <c r="AD2961" s="1" t="s">
        <v>47016</v>
      </c>
      <c r="AE2961" s="1" t="s">
        <v>47017</v>
      </c>
      <c r="AF2961" s="1" t="s">
        <v>74</v>
      </c>
      <c r="AG2961" s="1">
        <v>45</v>
      </c>
      <c r="AH2961" s="1">
        <v>27</v>
      </c>
      <c r="AI2961" s="1">
        <v>27</v>
      </c>
      <c r="AJ2961" s="1">
        <v>1</v>
      </c>
      <c r="AK2961" s="1">
        <v>55</v>
      </c>
      <c r="AL2961" s="1" t="s">
        <v>3362</v>
      </c>
      <c r="AM2961" s="1" t="s">
        <v>3363</v>
      </c>
      <c r="AN2961" s="1" t="s">
        <v>3364</v>
      </c>
      <c r="AO2961" s="1" t="s">
        <v>3365</v>
      </c>
      <c r="AP2961" s="1" t="s">
        <v>3366</v>
      </c>
      <c r="AQ2961" s="1" t="s">
        <v>74</v>
      </c>
      <c r="AR2961" s="1" t="s">
        <v>3367</v>
      </c>
      <c r="AS2961" s="1" t="s">
        <v>3368</v>
      </c>
      <c r="AT2961" s="1" t="s">
        <v>197</v>
      </c>
      <c r="AU2961" s="1">
        <v>2016</v>
      </c>
      <c r="AV2961" s="1">
        <v>134</v>
      </c>
      <c r="AW2961" s="1" t="s">
        <v>74</v>
      </c>
      <c r="AX2961" s="1">
        <v>1</v>
      </c>
      <c r="AY2961" s="1" t="s">
        <v>74</v>
      </c>
      <c r="AZ2961" s="1" t="s">
        <v>74</v>
      </c>
      <c r="BA2961" s="1" t="s">
        <v>74</v>
      </c>
      <c r="BB2961" s="1">
        <v>53</v>
      </c>
      <c r="BC2961" s="1">
        <v>63</v>
      </c>
      <c r="BD2961" s="1" t="s">
        <v>74</v>
      </c>
      <c r="BE2961" s="1" t="s">
        <v>47018</v>
      </c>
      <c r="BF2961" s="1" t="str">
        <f>HYPERLINK("http://dx.doi.org/10.1016/j.ecoenv.2016.08.018","http://dx.doi.org/10.1016/j.ecoenv.2016.08.018")</f>
        <v>http://dx.doi.org/10.1016/j.ecoenv.2016.08.018</v>
      </c>
      <c r="BG2961" s="1" t="s">
        <v>74</v>
      </c>
      <c r="BH2961" s="1" t="s">
        <v>74</v>
      </c>
      <c r="BI2961" s="1">
        <v>11</v>
      </c>
      <c r="BJ2961" s="1" t="s">
        <v>121</v>
      </c>
      <c r="BK2961" s="1" t="s">
        <v>96</v>
      </c>
      <c r="BL2961" s="1" t="s">
        <v>122</v>
      </c>
      <c r="BM2961" s="1" t="s">
        <v>47019</v>
      </c>
      <c r="BN2961" s="1">
        <v>27588554</v>
      </c>
      <c r="BO2961" s="1" t="s">
        <v>74</v>
      </c>
      <c r="BP2961" s="1" t="s">
        <v>74</v>
      </c>
      <c r="BQ2961" s="1" t="s">
        <v>74</v>
      </c>
      <c r="BR2961" s="1" t="s">
        <v>98</v>
      </c>
      <c r="BS2961" s="1" t="s">
        <v>47020</v>
      </c>
      <c r="BT2961" s="1" t="str">
        <f>HYPERLINK("https%3A%2F%2Fwww.webofscience.com%2Fwos%2Fwoscc%2Ffull-record%2FWOS:000385607400008","View Full Record in Web of Science")</f>
        <v>View Full Record in Web of Science</v>
      </c>
      <c r="BU2961" s="1"/>
      <c r="BV2961" s="1"/>
    </row>
    <row r="2962" spans="1:74">
      <c r="A2962" s="1" t="s">
        <v>72</v>
      </c>
      <c r="B2962" s="1" t="s">
        <v>47021</v>
      </c>
      <c r="C2962" s="1" t="s">
        <v>74</v>
      </c>
      <c r="D2962" s="1" t="s">
        <v>74</v>
      </c>
      <c r="E2962" s="1" t="s">
        <v>74</v>
      </c>
      <c r="F2962" s="1" t="s">
        <v>47022</v>
      </c>
      <c r="G2962" s="1" t="s">
        <v>74</v>
      </c>
      <c r="H2962" s="1" t="s">
        <v>74</v>
      </c>
      <c r="I2962" s="1" t="s">
        <v>47023</v>
      </c>
      <c r="J2962" s="1" t="s">
        <v>47024</v>
      </c>
      <c r="K2962" s="1" t="s">
        <v>74</v>
      </c>
      <c r="L2962" s="1" t="s">
        <v>74</v>
      </c>
      <c r="M2962" s="1" t="s">
        <v>78</v>
      </c>
      <c r="N2962" s="1" t="s">
        <v>2873</v>
      </c>
      <c r="O2962" s="1" t="s">
        <v>74</v>
      </c>
      <c r="P2962" s="1" t="s">
        <v>74</v>
      </c>
      <c r="Q2962" s="1" t="s">
        <v>74</v>
      </c>
      <c r="R2962" s="1" t="s">
        <v>74</v>
      </c>
      <c r="S2962" s="1" t="s">
        <v>74</v>
      </c>
      <c r="T2962" s="1" t="s">
        <v>47025</v>
      </c>
      <c r="U2962" s="1" t="s">
        <v>47026</v>
      </c>
      <c r="V2962" s="1" t="s">
        <v>47027</v>
      </c>
      <c r="W2962" s="1" t="s">
        <v>47028</v>
      </c>
      <c r="X2962" s="1" t="s">
        <v>47029</v>
      </c>
      <c r="Y2962" s="1" t="s">
        <v>47030</v>
      </c>
      <c r="Z2962" s="1" t="s">
        <v>47031</v>
      </c>
      <c r="AA2962" s="1" t="s">
        <v>47032</v>
      </c>
      <c r="AB2962" s="1" t="s">
        <v>47033</v>
      </c>
      <c r="AC2962" s="1" t="s">
        <v>74</v>
      </c>
      <c r="AD2962" s="1" t="s">
        <v>74</v>
      </c>
      <c r="AE2962" s="1" t="s">
        <v>74</v>
      </c>
      <c r="AF2962" s="1" t="s">
        <v>74</v>
      </c>
      <c r="AG2962" s="1">
        <v>44</v>
      </c>
      <c r="AH2962" s="1">
        <v>0</v>
      </c>
      <c r="AI2962" s="1">
        <v>0</v>
      </c>
      <c r="AJ2962" s="1">
        <v>0</v>
      </c>
      <c r="AK2962" s="1">
        <v>0</v>
      </c>
      <c r="AL2962" s="1" t="s">
        <v>112</v>
      </c>
      <c r="AM2962" s="1" t="s">
        <v>113</v>
      </c>
      <c r="AN2962" s="1" t="s">
        <v>114</v>
      </c>
      <c r="AO2962" s="1" t="s">
        <v>47034</v>
      </c>
      <c r="AP2962" s="1" t="s">
        <v>47035</v>
      </c>
      <c r="AQ2962" s="1" t="s">
        <v>74</v>
      </c>
      <c r="AR2962" s="1" t="s">
        <v>47036</v>
      </c>
      <c r="AS2962" s="1" t="s">
        <v>47037</v>
      </c>
      <c r="AT2962" s="1" t="s">
        <v>47038</v>
      </c>
      <c r="AU2962" s="1">
        <v>2024</v>
      </c>
      <c r="AV2962" s="1" t="s">
        <v>74</v>
      </c>
      <c r="AW2962" s="1" t="s">
        <v>74</v>
      </c>
      <c r="AX2962" s="1" t="s">
        <v>74</v>
      </c>
      <c r="AY2962" s="1" t="s">
        <v>74</v>
      </c>
      <c r="AZ2962" s="1" t="s">
        <v>74</v>
      </c>
      <c r="BA2962" s="1" t="s">
        <v>74</v>
      </c>
      <c r="BB2962" s="1" t="s">
        <v>74</v>
      </c>
      <c r="BC2962" s="1" t="s">
        <v>74</v>
      </c>
      <c r="BD2962" s="1" t="s">
        <v>74</v>
      </c>
      <c r="BE2962" s="1" t="s">
        <v>47039</v>
      </c>
      <c r="BF2962" s="1" t="str">
        <f>HYPERLINK("http://dx.doi.org/10.1007/s11090-024-10477-5","http://dx.doi.org/10.1007/s11090-024-10477-5")</f>
        <v>http://dx.doi.org/10.1007/s11090-024-10477-5</v>
      </c>
      <c r="BG2962" s="1" t="s">
        <v>74</v>
      </c>
      <c r="BH2962" s="1" t="s">
        <v>11425</v>
      </c>
      <c r="BI2962" s="1">
        <v>18</v>
      </c>
      <c r="BJ2962" s="1" t="s">
        <v>47040</v>
      </c>
      <c r="BK2962" s="1" t="s">
        <v>96</v>
      </c>
      <c r="BL2962" s="1" t="s">
        <v>47041</v>
      </c>
      <c r="BM2962" s="1" t="s">
        <v>47042</v>
      </c>
      <c r="BN2962" s="1" t="s">
        <v>74</v>
      </c>
      <c r="BO2962" s="1" t="s">
        <v>74</v>
      </c>
      <c r="BP2962" s="1" t="s">
        <v>74</v>
      </c>
      <c r="BQ2962" s="1" t="s">
        <v>74</v>
      </c>
      <c r="BR2962" s="1" t="s">
        <v>98</v>
      </c>
      <c r="BS2962" s="1" t="s">
        <v>47043</v>
      </c>
      <c r="BT2962" s="1" t="str">
        <f>HYPERLINK("https%3A%2F%2Fwww.webofscience.com%2Fwos%2Fwoscc%2Ffull-record%2FWOS:001226721700001","View Full Record in Web of Science")</f>
        <v>View Full Record in Web of Science</v>
      </c>
      <c r="BU2962" s="1"/>
      <c r="BV2962" s="1"/>
    </row>
    <row r="2963" spans="1:74">
      <c r="A2963" s="1" t="s">
        <v>72</v>
      </c>
      <c r="B2963" s="1" t="s">
        <v>47044</v>
      </c>
      <c r="C2963" s="1" t="s">
        <v>74</v>
      </c>
      <c r="D2963" s="1" t="s">
        <v>74</v>
      </c>
      <c r="E2963" s="1" t="s">
        <v>74</v>
      </c>
      <c r="F2963" s="1" t="s">
        <v>47045</v>
      </c>
      <c r="G2963" s="1" t="s">
        <v>74</v>
      </c>
      <c r="H2963" s="1" t="s">
        <v>74</v>
      </c>
      <c r="I2963" s="1" t="s">
        <v>47046</v>
      </c>
      <c r="J2963" s="1" t="s">
        <v>47047</v>
      </c>
      <c r="K2963" s="1" t="s">
        <v>74</v>
      </c>
      <c r="L2963" s="1" t="s">
        <v>74</v>
      </c>
      <c r="M2963" s="1" t="s">
        <v>78</v>
      </c>
      <c r="N2963" s="1" t="s">
        <v>79</v>
      </c>
      <c r="O2963" s="1" t="s">
        <v>74</v>
      </c>
      <c r="P2963" s="1" t="s">
        <v>74</v>
      </c>
      <c r="Q2963" s="1" t="s">
        <v>74</v>
      </c>
      <c r="R2963" s="1" t="s">
        <v>74</v>
      </c>
      <c r="S2963" s="1" t="s">
        <v>74</v>
      </c>
      <c r="T2963" s="1" t="s">
        <v>47048</v>
      </c>
      <c r="U2963" s="1" t="s">
        <v>47049</v>
      </c>
      <c r="V2963" s="1" t="s">
        <v>47050</v>
      </c>
      <c r="W2963" s="1" t="s">
        <v>47051</v>
      </c>
      <c r="X2963" s="1" t="s">
        <v>47052</v>
      </c>
      <c r="Y2963" s="1" t="s">
        <v>47053</v>
      </c>
      <c r="Z2963" s="1" t="s">
        <v>47054</v>
      </c>
      <c r="AA2963" s="1" t="s">
        <v>47055</v>
      </c>
      <c r="AB2963" s="1" t="s">
        <v>47056</v>
      </c>
      <c r="AC2963" s="1" t="s">
        <v>47057</v>
      </c>
      <c r="AD2963" s="1" t="s">
        <v>47057</v>
      </c>
      <c r="AE2963" s="1" t="s">
        <v>47058</v>
      </c>
      <c r="AF2963" s="1" t="s">
        <v>74</v>
      </c>
      <c r="AG2963" s="1">
        <v>64</v>
      </c>
      <c r="AH2963" s="1">
        <v>2</v>
      </c>
      <c r="AI2963" s="1">
        <v>2</v>
      </c>
      <c r="AJ2963" s="1">
        <v>1</v>
      </c>
      <c r="AK2963" s="1">
        <v>14</v>
      </c>
      <c r="AL2963" s="1" t="s">
        <v>217</v>
      </c>
      <c r="AM2963" s="1" t="s">
        <v>218</v>
      </c>
      <c r="AN2963" s="1" t="s">
        <v>219</v>
      </c>
      <c r="AO2963" s="1" t="s">
        <v>47059</v>
      </c>
      <c r="AP2963" s="1" t="s">
        <v>47060</v>
      </c>
      <c r="AQ2963" s="1" t="s">
        <v>74</v>
      </c>
      <c r="AR2963" s="1" t="s">
        <v>47061</v>
      </c>
      <c r="AS2963" s="1" t="s">
        <v>47062</v>
      </c>
      <c r="AT2963" s="1" t="s">
        <v>197</v>
      </c>
      <c r="AU2963" s="1">
        <v>2013</v>
      </c>
      <c r="AV2963" s="1">
        <v>465</v>
      </c>
      <c r="AW2963" s="1">
        <v>12</v>
      </c>
      <c r="AX2963" s="1" t="s">
        <v>74</v>
      </c>
      <c r="AY2963" s="1" t="s">
        <v>74</v>
      </c>
      <c r="AZ2963" s="1" t="s">
        <v>74</v>
      </c>
      <c r="BA2963" s="1" t="s">
        <v>74</v>
      </c>
      <c r="BB2963" s="1">
        <v>1727</v>
      </c>
      <c r="BC2963" s="1">
        <v>1740</v>
      </c>
      <c r="BD2963" s="1" t="s">
        <v>74</v>
      </c>
      <c r="BE2963" s="1" t="s">
        <v>47063</v>
      </c>
      <c r="BF2963" s="1" t="str">
        <f>HYPERLINK("http://dx.doi.org/10.1007/s00424-013-1311-3","http://dx.doi.org/10.1007/s00424-013-1311-3")</f>
        <v>http://dx.doi.org/10.1007/s00424-013-1311-3</v>
      </c>
      <c r="BG2963" s="1" t="s">
        <v>74</v>
      </c>
      <c r="BH2963" s="1" t="s">
        <v>74</v>
      </c>
      <c r="BI2963" s="1">
        <v>14</v>
      </c>
      <c r="BJ2963" s="1" t="s">
        <v>7548</v>
      </c>
      <c r="BK2963" s="1" t="s">
        <v>96</v>
      </c>
      <c r="BL2963" s="1" t="s">
        <v>7548</v>
      </c>
      <c r="BM2963" s="1" t="s">
        <v>47064</v>
      </c>
      <c r="BN2963" s="1">
        <v>23821297</v>
      </c>
      <c r="BO2963" s="1" t="s">
        <v>74</v>
      </c>
      <c r="BP2963" s="1" t="s">
        <v>74</v>
      </c>
      <c r="BQ2963" s="1" t="s">
        <v>74</v>
      </c>
      <c r="BR2963" s="1" t="s">
        <v>98</v>
      </c>
      <c r="BS2963" s="1" t="s">
        <v>47065</v>
      </c>
      <c r="BT2963" s="1" t="str">
        <f>HYPERLINK("https%3A%2F%2Fwww.webofscience.com%2Fwos%2Fwoscc%2Ffull-record%2FWOS:000327409000006","View Full Record in Web of Science")</f>
        <v>View Full Record in Web of Science</v>
      </c>
      <c r="BU2963" s="1"/>
      <c r="BV2963" s="1"/>
    </row>
    <row r="2964" spans="1:74">
      <c r="A2964" s="1" t="s">
        <v>72</v>
      </c>
      <c r="B2964" s="1" t="s">
        <v>47066</v>
      </c>
      <c r="C2964" s="1" t="s">
        <v>74</v>
      </c>
      <c r="D2964" s="1" t="s">
        <v>74</v>
      </c>
      <c r="E2964" s="1" t="s">
        <v>74</v>
      </c>
      <c r="F2964" s="1" t="s">
        <v>47067</v>
      </c>
      <c r="G2964" s="1" t="s">
        <v>74</v>
      </c>
      <c r="H2964" s="1" t="s">
        <v>74</v>
      </c>
      <c r="I2964" s="1" t="s">
        <v>47068</v>
      </c>
      <c r="J2964" s="1" t="s">
        <v>232</v>
      </c>
      <c r="K2964" s="1" t="s">
        <v>74</v>
      </c>
      <c r="L2964" s="1" t="s">
        <v>74</v>
      </c>
      <c r="M2964" s="1" t="s">
        <v>78</v>
      </c>
      <c r="N2964" s="1" t="s">
        <v>79</v>
      </c>
      <c r="O2964" s="1" t="s">
        <v>74</v>
      </c>
      <c r="P2964" s="1" t="s">
        <v>74</v>
      </c>
      <c r="Q2964" s="1" t="s">
        <v>74</v>
      </c>
      <c r="R2964" s="1" t="s">
        <v>74</v>
      </c>
      <c r="S2964" s="1" t="s">
        <v>74</v>
      </c>
      <c r="T2964" s="1" t="s">
        <v>47069</v>
      </c>
      <c r="U2964" s="1" t="s">
        <v>47070</v>
      </c>
      <c r="V2964" s="1" t="s">
        <v>47071</v>
      </c>
      <c r="W2964" s="1" t="s">
        <v>47072</v>
      </c>
      <c r="X2964" s="1" t="s">
        <v>47073</v>
      </c>
      <c r="Y2964" s="1" t="s">
        <v>47074</v>
      </c>
      <c r="Z2964" s="1" t="s">
        <v>47075</v>
      </c>
      <c r="AA2964" s="1" t="s">
        <v>47076</v>
      </c>
      <c r="AB2964" s="1" t="s">
        <v>47077</v>
      </c>
      <c r="AC2964" s="1" t="s">
        <v>74</v>
      </c>
      <c r="AD2964" s="1" t="s">
        <v>74</v>
      </c>
      <c r="AE2964" s="1" t="s">
        <v>74</v>
      </c>
      <c r="AF2964" s="1" t="s">
        <v>74</v>
      </c>
      <c r="AG2964" s="1">
        <v>76</v>
      </c>
      <c r="AH2964" s="1">
        <v>31</v>
      </c>
      <c r="AI2964" s="1">
        <v>33</v>
      </c>
      <c r="AJ2964" s="1">
        <v>0</v>
      </c>
      <c r="AK2964" s="1">
        <v>23</v>
      </c>
      <c r="AL2964" s="1" t="s">
        <v>136</v>
      </c>
      <c r="AM2964" s="1" t="s">
        <v>137</v>
      </c>
      <c r="AN2964" s="1" t="s">
        <v>138</v>
      </c>
      <c r="AO2964" s="1" t="s">
        <v>240</v>
      </c>
      <c r="AP2964" s="1" t="s">
        <v>241</v>
      </c>
      <c r="AQ2964" s="1" t="s">
        <v>74</v>
      </c>
      <c r="AR2964" s="1" t="s">
        <v>242</v>
      </c>
      <c r="AS2964" s="1" t="s">
        <v>243</v>
      </c>
      <c r="AT2964" s="1" t="s">
        <v>267</v>
      </c>
      <c r="AU2964" s="1">
        <v>2006</v>
      </c>
      <c r="AV2964" s="1">
        <v>52</v>
      </c>
      <c r="AW2964" s="1">
        <v>10</v>
      </c>
      <c r="AX2964" s="1" t="s">
        <v>74</v>
      </c>
      <c r="AY2964" s="1" t="s">
        <v>74</v>
      </c>
      <c r="AZ2964" s="1" t="s">
        <v>74</v>
      </c>
      <c r="BA2964" s="1" t="s">
        <v>74</v>
      </c>
      <c r="BB2964" s="1">
        <v>1231</v>
      </c>
      <c r="BC2964" s="1">
        <v>1248</v>
      </c>
      <c r="BD2964" s="1" t="s">
        <v>74</v>
      </c>
      <c r="BE2964" s="1" t="s">
        <v>47078</v>
      </c>
      <c r="BF2964" s="1" t="str">
        <f>HYPERLINK("http://dx.doi.org/10.1016/j.marpolbul.2006.02.025","http://dx.doi.org/10.1016/j.marpolbul.2006.02.025")</f>
        <v>http://dx.doi.org/10.1016/j.marpolbul.2006.02.025</v>
      </c>
      <c r="BG2964" s="1" t="s">
        <v>74</v>
      </c>
      <c r="BH2964" s="1" t="s">
        <v>74</v>
      </c>
      <c r="BI2964" s="1">
        <v>18</v>
      </c>
      <c r="BJ2964" s="1" t="s">
        <v>247</v>
      </c>
      <c r="BK2964" s="1" t="s">
        <v>96</v>
      </c>
      <c r="BL2964" s="1" t="s">
        <v>248</v>
      </c>
      <c r="BM2964" s="1" t="s">
        <v>47079</v>
      </c>
      <c r="BN2964" s="1">
        <v>16643962</v>
      </c>
      <c r="BO2964" s="1" t="s">
        <v>74</v>
      </c>
      <c r="BP2964" s="1" t="s">
        <v>74</v>
      </c>
      <c r="BQ2964" s="1" t="s">
        <v>74</v>
      </c>
      <c r="BR2964" s="1" t="s">
        <v>98</v>
      </c>
      <c r="BS2964" s="1" t="s">
        <v>47080</v>
      </c>
      <c r="BT2964" s="1" t="str">
        <f>HYPERLINK("https%3A%2F%2Fwww.webofscience.com%2Fwos%2Fwoscc%2Ffull-record%2FWOS:000241461700021","View Full Record in Web of Science")</f>
        <v>View Full Record in Web of Science</v>
      </c>
      <c r="BU2964" s="1"/>
      <c r="BV2964" s="1"/>
    </row>
    <row r="2965" spans="1:74">
      <c r="A2965" s="1" t="s">
        <v>72</v>
      </c>
      <c r="B2965" s="1" t="s">
        <v>47081</v>
      </c>
      <c r="C2965" s="1" t="s">
        <v>74</v>
      </c>
      <c r="D2965" s="1" t="s">
        <v>74</v>
      </c>
      <c r="E2965" s="1" t="s">
        <v>74</v>
      </c>
      <c r="F2965" s="1" t="s">
        <v>47082</v>
      </c>
      <c r="G2965" s="1" t="s">
        <v>74</v>
      </c>
      <c r="H2965" s="1" t="s">
        <v>74</v>
      </c>
      <c r="I2965" s="1" t="s">
        <v>47083</v>
      </c>
      <c r="J2965" s="1" t="s">
        <v>32518</v>
      </c>
      <c r="K2965" s="1" t="s">
        <v>74</v>
      </c>
      <c r="L2965" s="1" t="s">
        <v>74</v>
      </c>
      <c r="M2965" s="1" t="s">
        <v>78</v>
      </c>
      <c r="N2965" s="1" t="s">
        <v>79</v>
      </c>
      <c r="O2965" s="1" t="s">
        <v>74</v>
      </c>
      <c r="P2965" s="1" t="s">
        <v>74</v>
      </c>
      <c r="Q2965" s="1" t="s">
        <v>74</v>
      </c>
      <c r="R2965" s="1" t="s">
        <v>74</v>
      </c>
      <c r="S2965" s="1" t="s">
        <v>74</v>
      </c>
      <c r="T2965" s="1" t="s">
        <v>47084</v>
      </c>
      <c r="U2965" s="1" t="s">
        <v>47085</v>
      </c>
      <c r="V2965" s="1" t="s">
        <v>47086</v>
      </c>
      <c r="W2965" s="1" t="s">
        <v>47087</v>
      </c>
      <c r="X2965" s="1" t="s">
        <v>47088</v>
      </c>
      <c r="Y2965" s="1" t="s">
        <v>47089</v>
      </c>
      <c r="Z2965" s="1" t="s">
        <v>47090</v>
      </c>
      <c r="AA2965" s="1" t="s">
        <v>47091</v>
      </c>
      <c r="AB2965" s="1" t="s">
        <v>47092</v>
      </c>
      <c r="AC2965" s="1" t="s">
        <v>47093</v>
      </c>
      <c r="AD2965" s="1" t="s">
        <v>47094</v>
      </c>
      <c r="AE2965" s="1" t="s">
        <v>47095</v>
      </c>
      <c r="AF2965" s="1" t="s">
        <v>74</v>
      </c>
      <c r="AG2965" s="1">
        <v>60</v>
      </c>
      <c r="AH2965" s="1">
        <v>0</v>
      </c>
      <c r="AI2965" s="1">
        <v>0</v>
      </c>
      <c r="AJ2965" s="1">
        <v>0</v>
      </c>
      <c r="AK2965" s="1">
        <v>0</v>
      </c>
      <c r="AL2965" s="1" t="s">
        <v>38692</v>
      </c>
      <c r="AM2965" s="1" t="s">
        <v>38693</v>
      </c>
      <c r="AN2965" s="1" t="s">
        <v>38694</v>
      </c>
      <c r="AO2965" s="1" t="s">
        <v>32534</v>
      </c>
      <c r="AP2965" s="1" t="s">
        <v>32535</v>
      </c>
      <c r="AQ2965" s="1" t="s">
        <v>74</v>
      </c>
      <c r="AR2965" s="1" t="s">
        <v>32536</v>
      </c>
      <c r="AS2965" s="1" t="s">
        <v>32537</v>
      </c>
      <c r="AT2965" s="1" t="s">
        <v>142</v>
      </c>
      <c r="AU2965" s="1">
        <v>2024</v>
      </c>
      <c r="AV2965" s="1">
        <v>59</v>
      </c>
      <c r="AW2965" s="1">
        <v>2</v>
      </c>
      <c r="AX2965" s="1" t="s">
        <v>74</v>
      </c>
      <c r="AY2965" s="1" t="s">
        <v>74</v>
      </c>
      <c r="AZ2965" s="1" t="s">
        <v>74</v>
      </c>
      <c r="BA2965" s="1" t="s">
        <v>74</v>
      </c>
      <c r="BB2965" s="1" t="s">
        <v>74</v>
      </c>
      <c r="BC2965" s="1" t="s">
        <v>74</v>
      </c>
      <c r="BD2965" s="1">
        <v>23</v>
      </c>
      <c r="BE2965" s="1" t="s">
        <v>47096</v>
      </c>
      <c r="BF2965" s="1" t="str">
        <f>HYPERLINK("http://dx.doi.org/10.1007/s12601-024-00146-1","http://dx.doi.org/10.1007/s12601-024-00146-1")</f>
        <v>http://dx.doi.org/10.1007/s12601-024-00146-1</v>
      </c>
      <c r="BG2965" s="1" t="s">
        <v>74</v>
      </c>
      <c r="BH2965" s="1" t="s">
        <v>74</v>
      </c>
      <c r="BI2965" s="1">
        <v>10</v>
      </c>
      <c r="BJ2965" s="1" t="s">
        <v>4241</v>
      </c>
      <c r="BK2965" s="1" t="s">
        <v>96</v>
      </c>
      <c r="BL2965" s="1" t="s">
        <v>4241</v>
      </c>
      <c r="BM2965" s="1" t="s">
        <v>47097</v>
      </c>
      <c r="BN2965" s="1" t="s">
        <v>74</v>
      </c>
      <c r="BO2965" s="1" t="s">
        <v>74</v>
      </c>
      <c r="BP2965" s="1" t="s">
        <v>74</v>
      </c>
      <c r="BQ2965" s="1" t="s">
        <v>74</v>
      </c>
      <c r="BR2965" s="1" t="s">
        <v>98</v>
      </c>
      <c r="BS2965" s="1" t="s">
        <v>47098</v>
      </c>
      <c r="BT2965" s="1" t="str">
        <f>HYPERLINK("https%3A%2F%2Fwww.webofscience.com%2Fwos%2Fwoscc%2Ffull-record%2FWOS:001216267300001","View Full Record in Web of Science")</f>
        <v>View Full Record in Web of Science</v>
      </c>
      <c r="BU2965" s="1"/>
      <c r="BV2965" s="1"/>
    </row>
    <row r="2966" spans="1:74">
      <c r="A2966" s="1" t="s">
        <v>72</v>
      </c>
      <c r="B2966" s="1" t="s">
        <v>47099</v>
      </c>
      <c r="C2966" s="1" t="s">
        <v>74</v>
      </c>
      <c r="D2966" s="1" t="s">
        <v>74</v>
      </c>
      <c r="E2966" s="1" t="s">
        <v>74</v>
      </c>
      <c r="F2966" s="1" t="s">
        <v>47100</v>
      </c>
      <c r="G2966" s="1" t="s">
        <v>74</v>
      </c>
      <c r="H2966" s="1" t="s">
        <v>74</v>
      </c>
      <c r="I2966" s="1" t="s">
        <v>47101</v>
      </c>
      <c r="J2966" s="1" t="s">
        <v>204</v>
      </c>
      <c r="K2966" s="1" t="s">
        <v>74</v>
      </c>
      <c r="L2966" s="1" t="s">
        <v>74</v>
      </c>
      <c r="M2966" s="1" t="s">
        <v>78</v>
      </c>
      <c r="N2966" s="1" t="s">
        <v>79</v>
      </c>
      <c r="O2966" s="1" t="s">
        <v>74</v>
      </c>
      <c r="P2966" s="1" t="s">
        <v>74</v>
      </c>
      <c r="Q2966" s="1" t="s">
        <v>74</v>
      </c>
      <c r="R2966" s="1" t="s">
        <v>74</v>
      </c>
      <c r="S2966" s="1" t="s">
        <v>74</v>
      </c>
      <c r="T2966" s="1" t="s">
        <v>47102</v>
      </c>
      <c r="U2966" s="1" t="s">
        <v>47103</v>
      </c>
      <c r="V2966" s="1" t="s">
        <v>47104</v>
      </c>
      <c r="W2966" s="1" t="s">
        <v>47105</v>
      </c>
      <c r="X2966" s="1" t="s">
        <v>47106</v>
      </c>
      <c r="Y2966" s="1" t="s">
        <v>47107</v>
      </c>
      <c r="Z2966" s="1" t="s">
        <v>47108</v>
      </c>
      <c r="AA2966" s="1" t="s">
        <v>47109</v>
      </c>
      <c r="AB2966" s="1" t="s">
        <v>74</v>
      </c>
      <c r="AC2966" s="1" t="s">
        <v>47110</v>
      </c>
      <c r="AD2966" s="1" t="s">
        <v>47111</v>
      </c>
      <c r="AE2966" s="1" t="s">
        <v>47112</v>
      </c>
      <c r="AF2966" s="1" t="s">
        <v>74</v>
      </c>
      <c r="AG2966" s="1">
        <v>60</v>
      </c>
      <c r="AH2966" s="1">
        <v>8</v>
      </c>
      <c r="AI2966" s="1">
        <v>10</v>
      </c>
      <c r="AJ2966" s="1">
        <v>10</v>
      </c>
      <c r="AK2966" s="1">
        <v>56</v>
      </c>
      <c r="AL2966" s="1" t="s">
        <v>217</v>
      </c>
      <c r="AM2966" s="1" t="s">
        <v>218</v>
      </c>
      <c r="AN2966" s="1" t="s">
        <v>219</v>
      </c>
      <c r="AO2966" s="1" t="s">
        <v>220</v>
      </c>
      <c r="AP2966" s="1" t="s">
        <v>221</v>
      </c>
      <c r="AQ2966" s="1" t="s">
        <v>74</v>
      </c>
      <c r="AR2966" s="1" t="s">
        <v>222</v>
      </c>
      <c r="AS2966" s="1" t="s">
        <v>223</v>
      </c>
      <c r="AT2966" s="1" t="s">
        <v>119</v>
      </c>
      <c r="AU2966" s="1">
        <v>2022</v>
      </c>
      <c r="AV2966" s="1">
        <v>29</v>
      </c>
      <c r="AW2966" s="1">
        <v>37</v>
      </c>
      <c r="AX2966" s="1" t="s">
        <v>74</v>
      </c>
      <c r="AY2966" s="1" t="s">
        <v>74</v>
      </c>
      <c r="AZ2966" s="1" t="s">
        <v>74</v>
      </c>
      <c r="BA2966" s="1" t="s">
        <v>74</v>
      </c>
      <c r="BB2966" s="1">
        <v>56200</v>
      </c>
      <c r="BC2966" s="1">
        <v>56214</v>
      </c>
      <c r="BD2966" s="1" t="s">
        <v>74</v>
      </c>
      <c r="BE2966" s="1" t="s">
        <v>47113</v>
      </c>
      <c r="BF2966" s="1" t="str">
        <f>HYPERLINK("http://dx.doi.org/10.1007/s11356-022-19911-7","http://dx.doi.org/10.1007/s11356-022-19911-7")</f>
        <v>http://dx.doi.org/10.1007/s11356-022-19911-7</v>
      </c>
      <c r="BG2966" s="1" t="s">
        <v>74</v>
      </c>
      <c r="BH2966" s="1" t="s">
        <v>5038</v>
      </c>
      <c r="BI2966" s="1">
        <v>15</v>
      </c>
      <c r="BJ2966" s="1" t="s">
        <v>144</v>
      </c>
      <c r="BK2966" s="1" t="s">
        <v>96</v>
      </c>
      <c r="BL2966" s="1" t="s">
        <v>145</v>
      </c>
      <c r="BM2966" s="1" t="s">
        <v>47114</v>
      </c>
      <c r="BN2966" s="1">
        <v>35334051</v>
      </c>
      <c r="BO2966" s="1" t="s">
        <v>74</v>
      </c>
      <c r="BP2966" s="1" t="s">
        <v>74</v>
      </c>
      <c r="BQ2966" s="1" t="s">
        <v>74</v>
      </c>
      <c r="BR2966" s="1" t="s">
        <v>98</v>
      </c>
      <c r="BS2966" s="1" t="s">
        <v>47115</v>
      </c>
      <c r="BT2966" s="1" t="str">
        <f>HYPERLINK("https%3A%2F%2Fwww.webofscience.com%2Fwos%2Fwoscc%2Ffull-record%2FWOS:000773193000002","View Full Record in Web of Science")</f>
        <v>View Full Record in Web of Science</v>
      </c>
      <c r="BU2966" s="1"/>
      <c r="BV2966" s="1"/>
    </row>
    <row r="2967" spans="1:74">
      <c r="A2967" s="1" t="s">
        <v>72</v>
      </c>
      <c r="B2967" s="1" t="s">
        <v>47116</v>
      </c>
      <c r="C2967" s="1" t="s">
        <v>74</v>
      </c>
      <c r="D2967" s="1" t="s">
        <v>74</v>
      </c>
      <c r="E2967" s="1" t="s">
        <v>74</v>
      </c>
      <c r="F2967" s="1" t="s">
        <v>47116</v>
      </c>
      <c r="G2967" s="1" t="s">
        <v>74</v>
      </c>
      <c r="H2967" s="1" t="s">
        <v>74</v>
      </c>
      <c r="I2967" s="1" t="s">
        <v>47117</v>
      </c>
      <c r="J2967" s="1" t="s">
        <v>641</v>
      </c>
      <c r="K2967" s="1" t="s">
        <v>74</v>
      </c>
      <c r="L2967" s="1" t="s">
        <v>74</v>
      </c>
      <c r="M2967" s="1" t="s">
        <v>78</v>
      </c>
      <c r="N2967" s="1" t="s">
        <v>79</v>
      </c>
      <c r="O2967" s="1" t="s">
        <v>74</v>
      </c>
      <c r="P2967" s="1" t="s">
        <v>74</v>
      </c>
      <c r="Q2967" s="1" t="s">
        <v>74</v>
      </c>
      <c r="R2967" s="1" t="s">
        <v>74</v>
      </c>
      <c r="S2967" s="1" t="s">
        <v>74</v>
      </c>
      <c r="T2967" s="1" t="s">
        <v>47118</v>
      </c>
      <c r="U2967" s="1" t="s">
        <v>47119</v>
      </c>
      <c r="V2967" s="1" t="s">
        <v>47120</v>
      </c>
      <c r="W2967" s="1" t="s">
        <v>47121</v>
      </c>
      <c r="X2967" s="1" t="s">
        <v>47122</v>
      </c>
      <c r="Y2967" s="1" t="s">
        <v>47123</v>
      </c>
      <c r="Z2967" s="1" t="s">
        <v>47124</v>
      </c>
      <c r="AA2967" s="1" t="s">
        <v>40167</v>
      </c>
      <c r="AB2967" s="1" t="s">
        <v>40168</v>
      </c>
      <c r="AC2967" s="1" t="s">
        <v>74</v>
      </c>
      <c r="AD2967" s="1" t="s">
        <v>74</v>
      </c>
      <c r="AE2967" s="1" t="s">
        <v>74</v>
      </c>
      <c r="AF2967" s="1" t="s">
        <v>74</v>
      </c>
      <c r="AG2967" s="1">
        <v>55</v>
      </c>
      <c r="AH2967" s="1">
        <v>128</v>
      </c>
      <c r="AI2967" s="1">
        <v>144</v>
      </c>
      <c r="AJ2967" s="1">
        <v>1</v>
      </c>
      <c r="AK2967" s="1">
        <v>28</v>
      </c>
      <c r="AL2967" s="1" t="s">
        <v>650</v>
      </c>
      <c r="AM2967" s="1" t="s">
        <v>651</v>
      </c>
      <c r="AN2967" s="1" t="s">
        <v>652</v>
      </c>
      <c r="AO2967" s="1" t="s">
        <v>653</v>
      </c>
      <c r="AP2967" s="1" t="s">
        <v>654</v>
      </c>
      <c r="AQ2967" s="1" t="s">
        <v>74</v>
      </c>
      <c r="AR2967" s="1" t="s">
        <v>655</v>
      </c>
      <c r="AS2967" s="1" t="s">
        <v>656</v>
      </c>
      <c r="AT2967" s="1" t="s">
        <v>32145</v>
      </c>
      <c r="AU2967" s="1">
        <v>2004</v>
      </c>
      <c r="AV2967" s="1">
        <v>67</v>
      </c>
      <c r="AW2967" s="1">
        <v>1</v>
      </c>
      <c r="AX2967" s="1" t="s">
        <v>74</v>
      </c>
      <c r="AY2967" s="1" t="s">
        <v>74</v>
      </c>
      <c r="AZ2967" s="1" t="s">
        <v>74</v>
      </c>
      <c r="BA2967" s="1" t="s">
        <v>74</v>
      </c>
      <c r="BB2967" s="1">
        <v>45</v>
      </c>
      <c r="BC2967" s="1">
        <v>56</v>
      </c>
      <c r="BD2967" s="1" t="s">
        <v>74</v>
      </c>
      <c r="BE2967" s="1" t="s">
        <v>47125</v>
      </c>
      <c r="BF2967" s="1" t="str">
        <f>HYPERLINK("http://dx.doi.org/10.1016/j.aquatox.2003.11.004","http://dx.doi.org/10.1016/j.aquatox.2003.11.004")</f>
        <v>http://dx.doi.org/10.1016/j.aquatox.2003.11.004</v>
      </c>
      <c r="BG2967" s="1" t="s">
        <v>74</v>
      </c>
      <c r="BH2967" s="1" t="s">
        <v>74</v>
      </c>
      <c r="BI2967" s="1">
        <v>12</v>
      </c>
      <c r="BJ2967" s="1" t="s">
        <v>659</v>
      </c>
      <c r="BK2967" s="1" t="s">
        <v>96</v>
      </c>
      <c r="BL2967" s="1" t="s">
        <v>659</v>
      </c>
      <c r="BM2967" s="1" t="s">
        <v>43855</v>
      </c>
      <c r="BN2967" s="1">
        <v>15019250</v>
      </c>
      <c r="BO2967" s="1" t="s">
        <v>74</v>
      </c>
      <c r="BP2967" s="1" t="s">
        <v>74</v>
      </c>
      <c r="BQ2967" s="1" t="s">
        <v>74</v>
      </c>
      <c r="BR2967" s="1" t="s">
        <v>98</v>
      </c>
      <c r="BS2967" s="1" t="s">
        <v>47126</v>
      </c>
      <c r="BT2967" s="1" t="str">
        <f>HYPERLINK("https%3A%2F%2Fwww.webofscience.com%2Fwos%2Fwoscc%2Ffull-record%2FWOS:000220264200005","View Full Record in Web of Science")</f>
        <v>View Full Record in Web of Science</v>
      </c>
      <c r="BU2967" s="1"/>
      <c r="BV2967" s="1"/>
    </row>
    <row r="2968" spans="1:74">
      <c r="A2968" s="1" t="s">
        <v>72</v>
      </c>
      <c r="B2968" s="1" t="s">
        <v>47127</v>
      </c>
      <c r="C2968" s="1" t="s">
        <v>74</v>
      </c>
      <c r="D2968" s="1" t="s">
        <v>74</v>
      </c>
      <c r="E2968" s="1" t="s">
        <v>74</v>
      </c>
      <c r="F2968" s="1" t="s">
        <v>47127</v>
      </c>
      <c r="G2968" s="1" t="s">
        <v>74</v>
      </c>
      <c r="H2968" s="1" t="s">
        <v>74</v>
      </c>
      <c r="I2968" s="1" t="s">
        <v>47128</v>
      </c>
      <c r="J2968" s="1" t="s">
        <v>47129</v>
      </c>
      <c r="K2968" s="1" t="s">
        <v>74</v>
      </c>
      <c r="L2968" s="1" t="s">
        <v>74</v>
      </c>
      <c r="M2968" s="1" t="s">
        <v>78</v>
      </c>
      <c r="N2968" s="1" t="s">
        <v>79</v>
      </c>
      <c r="O2968" s="1" t="s">
        <v>74</v>
      </c>
      <c r="P2968" s="1" t="s">
        <v>74</v>
      </c>
      <c r="Q2968" s="1" t="s">
        <v>74</v>
      </c>
      <c r="R2968" s="1" t="s">
        <v>74</v>
      </c>
      <c r="S2968" s="1" t="s">
        <v>74</v>
      </c>
      <c r="T2968" s="1" t="s">
        <v>47130</v>
      </c>
      <c r="U2968" s="1" t="s">
        <v>47131</v>
      </c>
      <c r="V2968" s="1" t="s">
        <v>47132</v>
      </c>
      <c r="W2968" s="1" t="s">
        <v>47133</v>
      </c>
      <c r="X2968" s="1" t="s">
        <v>74</v>
      </c>
      <c r="Y2968" s="1" t="s">
        <v>47134</v>
      </c>
      <c r="Z2968" s="1" t="s">
        <v>74</v>
      </c>
      <c r="AA2968" s="1" t="s">
        <v>74</v>
      </c>
      <c r="AB2968" s="1" t="s">
        <v>74</v>
      </c>
      <c r="AC2968" s="1" t="s">
        <v>74</v>
      </c>
      <c r="AD2968" s="1" t="s">
        <v>74</v>
      </c>
      <c r="AE2968" s="1" t="s">
        <v>74</v>
      </c>
      <c r="AF2968" s="1" t="s">
        <v>74</v>
      </c>
      <c r="AG2968" s="1">
        <v>70</v>
      </c>
      <c r="AH2968" s="1">
        <v>4</v>
      </c>
      <c r="AI2968" s="1">
        <v>4</v>
      </c>
      <c r="AJ2968" s="1">
        <v>0</v>
      </c>
      <c r="AK2968" s="1">
        <v>2</v>
      </c>
      <c r="AL2968" s="1" t="s">
        <v>47135</v>
      </c>
      <c r="AM2968" s="1" t="s">
        <v>9395</v>
      </c>
      <c r="AN2968" s="1" t="s">
        <v>47136</v>
      </c>
      <c r="AO2968" s="1" t="s">
        <v>47137</v>
      </c>
      <c r="AP2968" s="1" t="s">
        <v>74</v>
      </c>
      <c r="AQ2968" s="1" t="s">
        <v>74</v>
      </c>
      <c r="AR2968" s="1" t="s">
        <v>47138</v>
      </c>
      <c r="AS2968" s="1" t="s">
        <v>47139</v>
      </c>
      <c r="AT2968" s="1" t="s">
        <v>74</v>
      </c>
      <c r="AU2968" s="1">
        <v>1997</v>
      </c>
      <c r="AV2968" s="1">
        <v>82</v>
      </c>
      <c r="AW2968" s="1">
        <v>2</v>
      </c>
      <c r="AX2968" s="1" t="s">
        <v>74</v>
      </c>
      <c r="AY2968" s="1" t="s">
        <v>74</v>
      </c>
      <c r="AZ2968" s="1" t="s">
        <v>74</v>
      </c>
      <c r="BA2968" s="1" t="s">
        <v>74</v>
      </c>
      <c r="BB2968" s="1">
        <v>225</v>
      </c>
      <c r="BC2968" s="1">
        <v>245</v>
      </c>
      <c r="BD2968" s="1" t="s">
        <v>74</v>
      </c>
      <c r="BE2968" s="1" t="s">
        <v>47140</v>
      </c>
      <c r="BF2968" s="1" t="str">
        <f>HYPERLINK("http://dx.doi.org/10.1002/iroh.19970820209","http://dx.doi.org/10.1002/iroh.19970820209")</f>
        <v>http://dx.doi.org/10.1002/iroh.19970820209</v>
      </c>
      <c r="BG2968" s="1" t="s">
        <v>74</v>
      </c>
      <c r="BH2968" s="1" t="s">
        <v>74</v>
      </c>
      <c r="BI2968" s="1">
        <v>21</v>
      </c>
      <c r="BJ2968" s="1" t="s">
        <v>680</v>
      </c>
      <c r="BK2968" s="1" t="s">
        <v>96</v>
      </c>
      <c r="BL2968" s="1" t="s">
        <v>680</v>
      </c>
      <c r="BM2968" s="1" t="s">
        <v>47141</v>
      </c>
      <c r="BN2968" s="1" t="s">
        <v>74</v>
      </c>
      <c r="BO2968" s="1" t="s">
        <v>74</v>
      </c>
      <c r="BP2968" s="1" t="s">
        <v>74</v>
      </c>
      <c r="BQ2968" s="1" t="s">
        <v>74</v>
      </c>
      <c r="BR2968" s="1" t="s">
        <v>98</v>
      </c>
      <c r="BS2968" s="1" t="s">
        <v>47142</v>
      </c>
      <c r="BT2968" s="1" t="str">
        <f>HYPERLINK("https%3A%2F%2Fwww.webofscience.com%2Fwos%2Fwoscc%2Ffull-record%2FWOS:A1997XK40000008","View Full Record in Web of Science")</f>
        <v>View Full Record in Web of Science</v>
      </c>
      <c r="BU2968" s="1"/>
      <c r="BV2968" s="1"/>
    </row>
    <row r="2969" spans="1:74">
      <c r="A2969" s="1" t="s">
        <v>72</v>
      </c>
      <c r="B2969" s="1" t="s">
        <v>47143</v>
      </c>
      <c r="C2969" s="1" t="s">
        <v>74</v>
      </c>
      <c r="D2969" s="1" t="s">
        <v>74</v>
      </c>
      <c r="E2969" s="1" t="s">
        <v>74</v>
      </c>
      <c r="F2969" s="1" t="s">
        <v>47144</v>
      </c>
      <c r="G2969" s="1" t="s">
        <v>74</v>
      </c>
      <c r="H2969" s="1" t="s">
        <v>74</v>
      </c>
      <c r="I2969" s="1" t="s">
        <v>47145</v>
      </c>
      <c r="J2969" s="1" t="s">
        <v>275</v>
      </c>
      <c r="K2969" s="1" t="s">
        <v>74</v>
      </c>
      <c r="L2969" s="1" t="s">
        <v>74</v>
      </c>
      <c r="M2969" s="1" t="s">
        <v>78</v>
      </c>
      <c r="N2969" s="1" t="s">
        <v>79</v>
      </c>
      <c r="O2969" s="1" t="s">
        <v>74</v>
      </c>
      <c r="P2969" s="1" t="s">
        <v>74</v>
      </c>
      <c r="Q2969" s="1" t="s">
        <v>74</v>
      </c>
      <c r="R2969" s="1" t="s">
        <v>74</v>
      </c>
      <c r="S2969" s="1" t="s">
        <v>74</v>
      </c>
      <c r="T2969" s="1" t="s">
        <v>47146</v>
      </c>
      <c r="U2969" s="1" t="s">
        <v>47147</v>
      </c>
      <c r="V2969" s="1" t="s">
        <v>47148</v>
      </c>
      <c r="W2969" s="1" t="s">
        <v>47149</v>
      </c>
      <c r="X2969" s="1" t="s">
        <v>47150</v>
      </c>
      <c r="Y2969" s="1" t="s">
        <v>47151</v>
      </c>
      <c r="Z2969" s="1" t="s">
        <v>47152</v>
      </c>
      <c r="AA2969" s="1" t="s">
        <v>47153</v>
      </c>
      <c r="AB2969" s="1" t="s">
        <v>74</v>
      </c>
      <c r="AC2969" s="1" t="s">
        <v>47154</v>
      </c>
      <c r="AD2969" s="1" t="s">
        <v>47155</v>
      </c>
      <c r="AE2969" s="1" t="s">
        <v>47156</v>
      </c>
      <c r="AF2969" s="1" t="s">
        <v>74</v>
      </c>
      <c r="AG2969" s="1">
        <v>62</v>
      </c>
      <c r="AH2969" s="1">
        <v>14</v>
      </c>
      <c r="AI2969" s="1">
        <v>16</v>
      </c>
      <c r="AJ2969" s="1">
        <v>0</v>
      </c>
      <c r="AK2969" s="1">
        <v>21</v>
      </c>
      <c r="AL2969" s="1" t="s">
        <v>285</v>
      </c>
      <c r="AM2969" s="1" t="s">
        <v>286</v>
      </c>
      <c r="AN2969" s="1" t="s">
        <v>287</v>
      </c>
      <c r="AO2969" s="1" t="s">
        <v>288</v>
      </c>
      <c r="AP2969" s="1" t="s">
        <v>289</v>
      </c>
      <c r="AQ2969" s="1" t="s">
        <v>74</v>
      </c>
      <c r="AR2969" s="1" t="s">
        <v>290</v>
      </c>
      <c r="AS2969" s="1" t="s">
        <v>291</v>
      </c>
      <c r="AT2969" s="1" t="s">
        <v>1470</v>
      </c>
      <c r="AU2969" s="1">
        <v>2018</v>
      </c>
      <c r="AV2969" s="1">
        <v>72</v>
      </c>
      <c r="AW2969" s="1" t="s">
        <v>74</v>
      </c>
      <c r="AX2969" s="1" t="s">
        <v>74</v>
      </c>
      <c r="AY2969" s="1" t="s">
        <v>74</v>
      </c>
      <c r="AZ2969" s="1" t="s">
        <v>74</v>
      </c>
      <c r="BA2969" s="1" t="s">
        <v>74</v>
      </c>
      <c r="BB2969" s="1">
        <v>528</v>
      </c>
      <c r="BC2969" s="1">
        <v>543</v>
      </c>
      <c r="BD2969" s="1" t="s">
        <v>74</v>
      </c>
      <c r="BE2969" s="1" t="s">
        <v>47157</v>
      </c>
      <c r="BF2969" s="1" t="str">
        <f>HYPERLINK("http://dx.doi.org/10.1016/j.fsi.2017.11.024","http://dx.doi.org/10.1016/j.fsi.2017.11.024")</f>
        <v>http://dx.doi.org/10.1016/j.fsi.2017.11.024</v>
      </c>
      <c r="BG2969" s="1" t="s">
        <v>74</v>
      </c>
      <c r="BH2969" s="1" t="s">
        <v>74</v>
      </c>
      <c r="BI2969" s="1">
        <v>16</v>
      </c>
      <c r="BJ2969" s="1" t="s">
        <v>293</v>
      </c>
      <c r="BK2969" s="1" t="s">
        <v>96</v>
      </c>
      <c r="BL2969" s="1" t="s">
        <v>293</v>
      </c>
      <c r="BM2969" s="1" t="s">
        <v>47158</v>
      </c>
      <c r="BN2969" s="1">
        <v>29155030</v>
      </c>
      <c r="BO2969" s="1" t="s">
        <v>74</v>
      </c>
      <c r="BP2969" s="1" t="s">
        <v>74</v>
      </c>
      <c r="BQ2969" s="1" t="s">
        <v>74</v>
      </c>
      <c r="BR2969" s="1" t="s">
        <v>98</v>
      </c>
      <c r="BS2969" s="1" t="s">
        <v>47159</v>
      </c>
      <c r="BT2969" s="1" t="str">
        <f>HYPERLINK("https%3A%2F%2Fwww.webofscience.com%2Fwos%2Fwoscc%2Ffull-record%2FWOS:000423644600062","View Full Record in Web of Science")</f>
        <v>View Full Record in Web of Science</v>
      </c>
      <c r="BU2969" s="1"/>
      <c r="BV2969" s="1"/>
    </row>
    <row r="2970" spans="1:74">
      <c r="A2970" s="1" t="s">
        <v>72</v>
      </c>
      <c r="B2970" s="1" t="s">
        <v>47160</v>
      </c>
      <c r="C2970" s="1" t="s">
        <v>74</v>
      </c>
      <c r="D2970" s="1" t="s">
        <v>74</v>
      </c>
      <c r="E2970" s="1" t="s">
        <v>74</v>
      </c>
      <c r="F2970" s="1" t="s">
        <v>47161</v>
      </c>
      <c r="G2970" s="1" t="s">
        <v>74</v>
      </c>
      <c r="H2970" s="1" t="s">
        <v>74</v>
      </c>
      <c r="I2970" s="1" t="s">
        <v>47162</v>
      </c>
      <c r="J2970" s="1" t="s">
        <v>3926</v>
      </c>
      <c r="K2970" s="1" t="s">
        <v>74</v>
      </c>
      <c r="L2970" s="1" t="s">
        <v>74</v>
      </c>
      <c r="M2970" s="1" t="s">
        <v>78</v>
      </c>
      <c r="N2970" s="1" t="s">
        <v>79</v>
      </c>
      <c r="O2970" s="1" t="s">
        <v>74</v>
      </c>
      <c r="P2970" s="1" t="s">
        <v>74</v>
      </c>
      <c r="Q2970" s="1" t="s">
        <v>74</v>
      </c>
      <c r="R2970" s="1" t="s">
        <v>74</v>
      </c>
      <c r="S2970" s="1" t="s">
        <v>74</v>
      </c>
      <c r="T2970" s="1" t="s">
        <v>47163</v>
      </c>
      <c r="U2970" s="1" t="s">
        <v>47164</v>
      </c>
      <c r="V2970" s="1" t="s">
        <v>47165</v>
      </c>
      <c r="W2970" s="1" t="s">
        <v>47166</v>
      </c>
      <c r="X2970" s="1" t="s">
        <v>47167</v>
      </c>
      <c r="Y2970" s="1" t="s">
        <v>47168</v>
      </c>
      <c r="Z2970" s="1" t="s">
        <v>47169</v>
      </c>
      <c r="AA2970" s="1" t="s">
        <v>47170</v>
      </c>
      <c r="AB2970" s="1" t="s">
        <v>47171</v>
      </c>
      <c r="AC2970" s="1" t="s">
        <v>74</v>
      </c>
      <c r="AD2970" s="1" t="s">
        <v>74</v>
      </c>
      <c r="AE2970" s="1" t="s">
        <v>74</v>
      </c>
      <c r="AF2970" s="1" t="s">
        <v>74</v>
      </c>
      <c r="AG2970" s="1">
        <v>57</v>
      </c>
      <c r="AH2970" s="1">
        <v>79</v>
      </c>
      <c r="AI2970" s="1">
        <v>91</v>
      </c>
      <c r="AJ2970" s="1">
        <v>0</v>
      </c>
      <c r="AK2970" s="1">
        <v>41</v>
      </c>
      <c r="AL2970" s="1" t="s">
        <v>650</v>
      </c>
      <c r="AM2970" s="1" t="s">
        <v>651</v>
      </c>
      <c r="AN2970" s="1" t="s">
        <v>652</v>
      </c>
      <c r="AO2970" s="1" t="s">
        <v>3939</v>
      </c>
      <c r="AP2970" s="1" t="s">
        <v>3940</v>
      </c>
      <c r="AQ2970" s="1" t="s">
        <v>74</v>
      </c>
      <c r="AR2970" s="1" t="s">
        <v>3926</v>
      </c>
      <c r="AS2970" s="1" t="s">
        <v>3941</v>
      </c>
      <c r="AT2970" s="1" t="s">
        <v>27393</v>
      </c>
      <c r="AU2970" s="1">
        <v>2008</v>
      </c>
      <c r="AV2970" s="1">
        <v>278</v>
      </c>
      <c r="AW2970" s="1" t="s">
        <v>721</v>
      </c>
      <c r="AX2970" s="1" t="s">
        <v>74</v>
      </c>
      <c r="AY2970" s="1" t="s">
        <v>74</v>
      </c>
      <c r="AZ2970" s="1" t="s">
        <v>74</v>
      </c>
      <c r="BA2970" s="1" t="s">
        <v>74</v>
      </c>
      <c r="BB2970" s="1">
        <v>77</v>
      </c>
      <c r="BC2970" s="1">
        <v>88</v>
      </c>
      <c r="BD2970" s="1" t="s">
        <v>74</v>
      </c>
      <c r="BE2970" s="1" t="s">
        <v>47172</v>
      </c>
      <c r="BF2970" s="1" t="str">
        <f>HYPERLINK("http://dx.doi.org/10.1016/j.aquaculture.2008.03.026","http://dx.doi.org/10.1016/j.aquaculture.2008.03.026")</f>
        <v>http://dx.doi.org/10.1016/j.aquaculture.2008.03.026</v>
      </c>
      <c r="BG2970" s="1" t="s">
        <v>74</v>
      </c>
      <c r="BH2970" s="1" t="s">
        <v>74</v>
      </c>
      <c r="BI2970" s="1">
        <v>12</v>
      </c>
      <c r="BJ2970" s="1" t="s">
        <v>2391</v>
      </c>
      <c r="BK2970" s="1" t="s">
        <v>96</v>
      </c>
      <c r="BL2970" s="1" t="s">
        <v>2391</v>
      </c>
      <c r="BM2970" s="1" t="s">
        <v>47173</v>
      </c>
      <c r="BN2970" s="1" t="s">
        <v>74</v>
      </c>
      <c r="BO2970" s="1" t="s">
        <v>74</v>
      </c>
      <c r="BP2970" s="1" t="s">
        <v>74</v>
      </c>
      <c r="BQ2970" s="1" t="s">
        <v>74</v>
      </c>
      <c r="BR2970" s="1" t="s">
        <v>98</v>
      </c>
      <c r="BS2970" s="1" t="s">
        <v>47174</v>
      </c>
      <c r="BT2970" s="1" t="str">
        <f>HYPERLINK("https%3A%2F%2Fwww.webofscience.com%2Fwos%2Fwoscc%2Ffull-record%2FWOS:000257004800014","View Full Record in Web of Science")</f>
        <v>View Full Record in Web of Science</v>
      </c>
      <c r="BU2970" s="1"/>
      <c r="BV2970" s="1"/>
    </row>
    <row r="2971" spans="1:74">
      <c r="A2971" s="1" t="s">
        <v>72</v>
      </c>
      <c r="B2971" s="1" t="s">
        <v>47175</v>
      </c>
      <c r="C2971" s="1" t="s">
        <v>74</v>
      </c>
      <c r="D2971" s="1" t="s">
        <v>74</v>
      </c>
      <c r="E2971" s="1" t="s">
        <v>74</v>
      </c>
      <c r="F2971" s="1" t="s">
        <v>47175</v>
      </c>
      <c r="G2971" s="1" t="s">
        <v>74</v>
      </c>
      <c r="H2971" s="1" t="s">
        <v>74</v>
      </c>
      <c r="I2971" s="1" t="s">
        <v>47176</v>
      </c>
      <c r="J2971" s="1" t="s">
        <v>1254</v>
      </c>
      <c r="K2971" s="1" t="s">
        <v>74</v>
      </c>
      <c r="L2971" s="1" t="s">
        <v>74</v>
      </c>
      <c r="M2971" s="1" t="s">
        <v>78</v>
      </c>
      <c r="N2971" s="1" t="s">
        <v>79</v>
      </c>
      <c r="O2971" s="1" t="s">
        <v>74</v>
      </c>
      <c r="P2971" s="1" t="s">
        <v>74</v>
      </c>
      <c r="Q2971" s="1" t="s">
        <v>74</v>
      </c>
      <c r="R2971" s="1" t="s">
        <v>74</v>
      </c>
      <c r="S2971" s="1" t="s">
        <v>74</v>
      </c>
      <c r="T2971" s="1" t="s">
        <v>47177</v>
      </c>
      <c r="U2971" s="1" t="s">
        <v>74</v>
      </c>
      <c r="V2971" s="1" t="s">
        <v>47178</v>
      </c>
      <c r="W2971" s="1" t="s">
        <v>47179</v>
      </c>
      <c r="X2971" s="1" t="s">
        <v>734</v>
      </c>
      <c r="Y2971" s="1" t="s">
        <v>47180</v>
      </c>
      <c r="Z2971" s="1" t="s">
        <v>47181</v>
      </c>
      <c r="AA2971" s="1" t="s">
        <v>47182</v>
      </c>
      <c r="AB2971" s="1" t="s">
        <v>47183</v>
      </c>
      <c r="AC2971" s="1" t="s">
        <v>74</v>
      </c>
      <c r="AD2971" s="1" t="s">
        <v>74</v>
      </c>
      <c r="AE2971" s="1" t="s">
        <v>74</v>
      </c>
      <c r="AF2971" s="1" t="s">
        <v>74</v>
      </c>
      <c r="AG2971" s="1">
        <v>51</v>
      </c>
      <c r="AH2971" s="1">
        <v>18</v>
      </c>
      <c r="AI2971" s="1">
        <v>18</v>
      </c>
      <c r="AJ2971" s="1">
        <v>0</v>
      </c>
      <c r="AK2971" s="1">
        <v>9</v>
      </c>
      <c r="AL2971" s="1" t="s">
        <v>136</v>
      </c>
      <c r="AM2971" s="1" t="s">
        <v>137</v>
      </c>
      <c r="AN2971" s="1" t="s">
        <v>138</v>
      </c>
      <c r="AO2971" s="1" t="s">
        <v>1264</v>
      </c>
      <c r="AP2971" s="1" t="s">
        <v>74</v>
      </c>
      <c r="AQ2971" s="1" t="s">
        <v>74</v>
      </c>
      <c r="AR2971" s="1" t="s">
        <v>1266</v>
      </c>
      <c r="AS2971" s="1" t="s">
        <v>1267</v>
      </c>
      <c r="AT2971" s="1" t="s">
        <v>93</v>
      </c>
      <c r="AU2971" s="1">
        <v>2004</v>
      </c>
      <c r="AV2971" s="1">
        <v>30</v>
      </c>
      <c r="AW2971" s="1">
        <v>2</v>
      </c>
      <c r="AX2971" s="1" t="s">
        <v>74</v>
      </c>
      <c r="AY2971" s="1" t="s">
        <v>74</v>
      </c>
      <c r="AZ2971" s="1" t="s">
        <v>74</v>
      </c>
      <c r="BA2971" s="1" t="s">
        <v>74</v>
      </c>
      <c r="BB2971" s="1">
        <v>199</v>
      </c>
      <c r="BC2971" s="1">
        <v>208</v>
      </c>
      <c r="BD2971" s="1" t="s">
        <v>74</v>
      </c>
      <c r="BE2971" s="1" t="s">
        <v>47184</v>
      </c>
      <c r="BF2971" s="1" t="str">
        <f>HYPERLINK("http://dx.doi.org/10.1016/S0160-4120(03)00174-0","http://dx.doi.org/10.1016/S0160-4120(03)00174-0")</f>
        <v>http://dx.doi.org/10.1016/S0160-4120(03)00174-0</v>
      </c>
      <c r="BG2971" s="1" t="s">
        <v>74</v>
      </c>
      <c r="BH2971" s="1" t="s">
        <v>74</v>
      </c>
      <c r="BI2971" s="1">
        <v>10</v>
      </c>
      <c r="BJ2971" s="1" t="s">
        <v>144</v>
      </c>
      <c r="BK2971" s="1" t="s">
        <v>96</v>
      </c>
      <c r="BL2971" s="1" t="s">
        <v>145</v>
      </c>
      <c r="BM2971" s="1" t="s">
        <v>47185</v>
      </c>
      <c r="BN2971" s="1">
        <v>14749109</v>
      </c>
      <c r="BO2971" s="1" t="s">
        <v>74</v>
      </c>
      <c r="BP2971" s="1" t="s">
        <v>74</v>
      </c>
      <c r="BQ2971" s="1" t="s">
        <v>74</v>
      </c>
      <c r="BR2971" s="1" t="s">
        <v>98</v>
      </c>
      <c r="BS2971" s="1" t="s">
        <v>47186</v>
      </c>
      <c r="BT2971" s="1" t="str">
        <f>HYPERLINK("https%3A%2F%2Fwww.webofscience.com%2Fwos%2Fwoscc%2Ffull-record%2FWOS:000220204900009","View Full Record in Web of Science")</f>
        <v>View Full Record in Web of Science</v>
      </c>
      <c r="BU2971" s="1"/>
      <c r="BV2971" s="1"/>
    </row>
    <row r="2972" spans="1:74">
      <c r="A2972" s="1" t="s">
        <v>72</v>
      </c>
      <c r="B2972" s="1" t="s">
        <v>47187</v>
      </c>
      <c r="C2972" s="1" t="s">
        <v>74</v>
      </c>
      <c r="D2972" s="1" t="s">
        <v>74</v>
      </c>
      <c r="E2972" s="1" t="s">
        <v>74</v>
      </c>
      <c r="F2972" s="1" t="s">
        <v>47188</v>
      </c>
      <c r="G2972" s="1" t="s">
        <v>74</v>
      </c>
      <c r="H2972" s="1" t="s">
        <v>74</v>
      </c>
      <c r="I2972" s="1" t="s">
        <v>47189</v>
      </c>
      <c r="J2972" s="1" t="s">
        <v>204</v>
      </c>
      <c r="K2972" s="1" t="s">
        <v>74</v>
      </c>
      <c r="L2972" s="1" t="s">
        <v>74</v>
      </c>
      <c r="M2972" s="1" t="s">
        <v>78</v>
      </c>
      <c r="N2972" s="1" t="s">
        <v>79</v>
      </c>
      <c r="O2972" s="1" t="s">
        <v>74</v>
      </c>
      <c r="P2972" s="1" t="s">
        <v>74</v>
      </c>
      <c r="Q2972" s="1" t="s">
        <v>74</v>
      </c>
      <c r="R2972" s="1" t="s">
        <v>74</v>
      </c>
      <c r="S2972" s="1" t="s">
        <v>74</v>
      </c>
      <c r="T2972" s="1" t="s">
        <v>47190</v>
      </c>
      <c r="U2972" s="1" t="s">
        <v>47191</v>
      </c>
      <c r="V2972" s="1" t="s">
        <v>47192</v>
      </c>
      <c r="W2972" s="1" t="s">
        <v>47193</v>
      </c>
      <c r="X2972" s="1" t="s">
        <v>47194</v>
      </c>
      <c r="Y2972" s="1" t="s">
        <v>47195</v>
      </c>
      <c r="Z2972" s="1" t="s">
        <v>47196</v>
      </c>
      <c r="AA2972" s="1" t="s">
        <v>47197</v>
      </c>
      <c r="AB2972" s="1" t="s">
        <v>47198</v>
      </c>
      <c r="AC2972" s="1" t="s">
        <v>74</v>
      </c>
      <c r="AD2972" s="1" t="s">
        <v>74</v>
      </c>
      <c r="AE2972" s="1" t="s">
        <v>74</v>
      </c>
      <c r="AF2972" s="1" t="s">
        <v>74</v>
      </c>
      <c r="AG2972" s="1">
        <v>31</v>
      </c>
      <c r="AH2972" s="1">
        <v>19</v>
      </c>
      <c r="AI2972" s="1">
        <v>19</v>
      </c>
      <c r="AJ2972" s="1">
        <v>0</v>
      </c>
      <c r="AK2972" s="1">
        <v>36</v>
      </c>
      <c r="AL2972" s="1" t="s">
        <v>217</v>
      </c>
      <c r="AM2972" s="1" t="s">
        <v>218</v>
      </c>
      <c r="AN2972" s="1" t="s">
        <v>219</v>
      </c>
      <c r="AO2972" s="1" t="s">
        <v>220</v>
      </c>
      <c r="AP2972" s="1" t="s">
        <v>221</v>
      </c>
      <c r="AQ2972" s="1" t="s">
        <v>74</v>
      </c>
      <c r="AR2972" s="1" t="s">
        <v>222</v>
      </c>
      <c r="AS2972" s="1" t="s">
        <v>223</v>
      </c>
      <c r="AT2972" s="1" t="s">
        <v>1223</v>
      </c>
      <c r="AU2972" s="1">
        <v>2019</v>
      </c>
      <c r="AV2972" s="1">
        <v>26</v>
      </c>
      <c r="AW2972" s="1">
        <v>7</v>
      </c>
      <c r="AX2972" s="1" t="s">
        <v>74</v>
      </c>
      <c r="AY2972" s="1" t="s">
        <v>74</v>
      </c>
      <c r="AZ2972" s="1" t="s">
        <v>74</v>
      </c>
      <c r="BA2972" s="1" t="s">
        <v>74</v>
      </c>
      <c r="BB2972" s="1">
        <v>7263</v>
      </c>
      <c r="BC2972" s="1">
        <v>7271</v>
      </c>
      <c r="BD2972" s="1" t="s">
        <v>74</v>
      </c>
      <c r="BE2972" s="1" t="s">
        <v>47199</v>
      </c>
      <c r="BF2972" s="1" t="str">
        <f>HYPERLINK("http://dx.doi.org/10.1007/s11356-019-04187-1","http://dx.doi.org/10.1007/s11356-019-04187-1")</f>
        <v>http://dx.doi.org/10.1007/s11356-019-04187-1</v>
      </c>
      <c r="BG2972" s="1" t="s">
        <v>74</v>
      </c>
      <c r="BH2972" s="1" t="s">
        <v>74</v>
      </c>
      <c r="BI2972" s="1">
        <v>9</v>
      </c>
      <c r="BJ2972" s="1" t="s">
        <v>144</v>
      </c>
      <c r="BK2972" s="1" t="s">
        <v>96</v>
      </c>
      <c r="BL2972" s="1" t="s">
        <v>145</v>
      </c>
      <c r="BM2972" s="1" t="s">
        <v>47200</v>
      </c>
      <c r="BN2972" s="1">
        <v>30659485</v>
      </c>
      <c r="BO2972" s="1" t="s">
        <v>74</v>
      </c>
      <c r="BP2972" s="1" t="s">
        <v>74</v>
      </c>
      <c r="BQ2972" s="1" t="s">
        <v>74</v>
      </c>
      <c r="BR2972" s="1" t="s">
        <v>98</v>
      </c>
      <c r="BS2972" s="1" t="s">
        <v>47201</v>
      </c>
      <c r="BT2972" s="1" t="str">
        <f>HYPERLINK("https%3A%2F%2Fwww.webofscience.com%2Fwos%2Fwoscc%2Ffull-record%2FWOS:000462457500087","View Full Record in Web of Science")</f>
        <v>View Full Record in Web of Science</v>
      </c>
      <c r="BU2972" s="1"/>
      <c r="BV2972" s="1"/>
    </row>
    <row r="2973" spans="1:74">
      <c r="A2973" s="1" t="s">
        <v>72</v>
      </c>
      <c r="B2973" s="1" t="s">
        <v>47202</v>
      </c>
      <c r="C2973" s="1" t="s">
        <v>74</v>
      </c>
      <c r="D2973" s="1" t="s">
        <v>74</v>
      </c>
      <c r="E2973" s="1" t="s">
        <v>74</v>
      </c>
      <c r="F2973" s="1" t="s">
        <v>47203</v>
      </c>
      <c r="G2973" s="1" t="s">
        <v>74</v>
      </c>
      <c r="H2973" s="1" t="s">
        <v>74</v>
      </c>
      <c r="I2973" s="1" t="s">
        <v>47204</v>
      </c>
      <c r="J2973" s="1" t="s">
        <v>204</v>
      </c>
      <c r="K2973" s="1" t="s">
        <v>74</v>
      </c>
      <c r="L2973" s="1" t="s">
        <v>74</v>
      </c>
      <c r="M2973" s="1" t="s">
        <v>78</v>
      </c>
      <c r="N2973" s="1" t="s">
        <v>79</v>
      </c>
      <c r="O2973" s="1" t="s">
        <v>74</v>
      </c>
      <c r="P2973" s="1" t="s">
        <v>74</v>
      </c>
      <c r="Q2973" s="1" t="s">
        <v>74</v>
      </c>
      <c r="R2973" s="1" t="s">
        <v>74</v>
      </c>
      <c r="S2973" s="1" t="s">
        <v>74</v>
      </c>
      <c r="T2973" s="1" t="s">
        <v>47205</v>
      </c>
      <c r="U2973" s="1" t="s">
        <v>47206</v>
      </c>
      <c r="V2973" s="1" t="s">
        <v>47207</v>
      </c>
      <c r="W2973" s="1" t="s">
        <v>47208</v>
      </c>
      <c r="X2973" s="1" t="s">
        <v>47209</v>
      </c>
      <c r="Y2973" s="1" t="s">
        <v>47210</v>
      </c>
      <c r="Z2973" s="1" t="s">
        <v>26270</v>
      </c>
      <c r="AA2973" s="1" t="s">
        <v>74</v>
      </c>
      <c r="AB2973" s="1" t="s">
        <v>74</v>
      </c>
      <c r="AC2973" s="1" t="s">
        <v>47211</v>
      </c>
      <c r="AD2973" s="1" t="s">
        <v>47211</v>
      </c>
      <c r="AE2973" s="1" t="s">
        <v>47212</v>
      </c>
      <c r="AF2973" s="1" t="s">
        <v>74</v>
      </c>
      <c r="AG2973" s="1">
        <v>39</v>
      </c>
      <c r="AH2973" s="1">
        <v>14</v>
      </c>
      <c r="AI2973" s="1">
        <v>19</v>
      </c>
      <c r="AJ2973" s="1">
        <v>0</v>
      </c>
      <c r="AK2973" s="1">
        <v>119</v>
      </c>
      <c r="AL2973" s="1" t="s">
        <v>217</v>
      </c>
      <c r="AM2973" s="1" t="s">
        <v>218</v>
      </c>
      <c r="AN2973" s="1" t="s">
        <v>219</v>
      </c>
      <c r="AO2973" s="1" t="s">
        <v>220</v>
      </c>
      <c r="AP2973" s="1" t="s">
        <v>221</v>
      </c>
      <c r="AQ2973" s="1" t="s">
        <v>74</v>
      </c>
      <c r="AR2973" s="1" t="s">
        <v>222</v>
      </c>
      <c r="AS2973" s="1" t="s">
        <v>223</v>
      </c>
      <c r="AT2973" s="1" t="s">
        <v>1223</v>
      </c>
      <c r="AU2973" s="1">
        <v>2013</v>
      </c>
      <c r="AV2973" s="1">
        <v>20</v>
      </c>
      <c r="AW2973" s="1">
        <v>3</v>
      </c>
      <c r="AX2973" s="1" t="s">
        <v>74</v>
      </c>
      <c r="AY2973" s="1" t="s">
        <v>74</v>
      </c>
      <c r="AZ2973" s="1" t="s">
        <v>74</v>
      </c>
      <c r="BA2973" s="1" t="s">
        <v>74</v>
      </c>
      <c r="BB2973" s="1">
        <v>1706</v>
      </c>
      <c r="BC2973" s="1">
        <v>1718</v>
      </c>
      <c r="BD2973" s="1" t="s">
        <v>74</v>
      </c>
      <c r="BE2973" s="1" t="s">
        <v>47213</v>
      </c>
      <c r="BF2973" s="1" t="str">
        <f>HYPERLINK("http://dx.doi.org/10.1007/s11356-012-1174-8","http://dx.doi.org/10.1007/s11356-012-1174-8")</f>
        <v>http://dx.doi.org/10.1007/s11356-012-1174-8</v>
      </c>
      <c r="BG2973" s="1" t="s">
        <v>74</v>
      </c>
      <c r="BH2973" s="1" t="s">
        <v>74</v>
      </c>
      <c r="BI2973" s="1">
        <v>13</v>
      </c>
      <c r="BJ2973" s="1" t="s">
        <v>144</v>
      </c>
      <c r="BK2973" s="1" t="s">
        <v>96</v>
      </c>
      <c r="BL2973" s="1" t="s">
        <v>145</v>
      </c>
      <c r="BM2973" s="1" t="s">
        <v>47214</v>
      </c>
      <c r="BN2973" s="1">
        <v>23010963</v>
      </c>
      <c r="BO2973" s="1" t="s">
        <v>74</v>
      </c>
      <c r="BP2973" s="1" t="s">
        <v>74</v>
      </c>
      <c r="BQ2973" s="1" t="s">
        <v>74</v>
      </c>
      <c r="BR2973" s="1" t="s">
        <v>98</v>
      </c>
      <c r="BS2973" s="1" t="s">
        <v>47215</v>
      </c>
      <c r="BT2973" s="1" t="str">
        <f>HYPERLINK("https%3A%2F%2Fwww.webofscience.com%2Fwos%2Fwoscc%2Ffull-record%2FWOS:000315442500046","View Full Record in Web of Science")</f>
        <v>View Full Record in Web of Science</v>
      </c>
      <c r="BU2973" s="1"/>
      <c r="BV2973" s="1"/>
    </row>
    <row r="2974" spans="1:74">
      <c r="A2974" s="1" t="s">
        <v>72</v>
      </c>
      <c r="B2974" s="1" t="s">
        <v>47216</v>
      </c>
      <c r="C2974" s="1" t="s">
        <v>74</v>
      </c>
      <c r="D2974" s="1" t="s">
        <v>74</v>
      </c>
      <c r="E2974" s="1" t="s">
        <v>74</v>
      </c>
      <c r="F2974" s="1" t="s">
        <v>47216</v>
      </c>
      <c r="G2974" s="1" t="s">
        <v>74</v>
      </c>
      <c r="H2974" s="1" t="s">
        <v>74</v>
      </c>
      <c r="I2974" s="1" t="s">
        <v>47217</v>
      </c>
      <c r="J2974" s="1" t="s">
        <v>232</v>
      </c>
      <c r="K2974" s="1" t="s">
        <v>74</v>
      </c>
      <c r="L2974" s="1" t="s">
        <v>74</v>
      </c>
      <c r="M2974" s="1" t="s">
        <v>78</v>
      </c>
      <c r="N2974" s="1" t="s">
        <v>79</v>
      </c>
      <c r="O2974" s="1" t="s">
        <v>74</v>
      </c>
      <c r="P2974" s="1" t="s">
        <v>74</v>
      </c>
      <c r="Q2974" s="1" t="s">
        <v>74</v>
      </c>
      <c r="R2974" s="1" t="s">
        <v>74</v>
      </c>
      <c r="S2974" s="1" t="s">
        <v>74</v>
      </c>
      <c r="T2974" s="1" t="s">
        <v>47218</v>
      </c>
      <c r="U2974" s="1" t="s">
        <v>47219</v>
      </c>
      <c r="V2974" s="1" t="s">
        <v>47220</v>
      </c>
      <c r="W2974" s="1" t="s">
        <v>6299</v>
      </c>
      <c r="X2974" s="1" t="s">
        <v>6300</v>
      </c>
      <c r="Y2974" s="1" t="s">
        <v>46755</v>
      </c>
      <c r="Z2974" s="1" t="s">
        <v>46756</v>
      </c>
      <c r="AA2974" s="1" t="s">
        <v>47221</v>
      </c>
      <c r="AB2974" s="1" t="s">
        <v>47222</v>
      </c>
      <c r="AC2974" s="1" t="s">
        <v>74</v>
      </c>
      <c r="AD2974" s="1" t="s">
        <v>74</v>
      </c>
      <c r="AE2974" s="1" t="s">
        <v>74</v>
      </c>
      <c r="AF2974" s="1" t="s">
        <v>74</v>
      </c>
      <c r="AG2974" s="1">
        <v>51</v>
      </c>
      <c r="AH2974" s="1">
        <v>37</v>
      </c>
      <c r="AI2974" s="1">
        <v>50</v>
      </c>
      <c r="AJ2974" s="1">
        <v>1</v>
      </c>
      <c r="AK2974" s="1">
        <v>15</v>
      </c>
      <c r="AL2974" s="1" t="s">
        <v>136</v>
      </c>
      <c r="AM2974" s="1" t="s">
        <v>137</v>
      </c>
      <c r="AN2974" s="1" t="s">
        <v>138</v>
      </c>
      <c r="AO2974" s="1" t="s">
        <v>240</v>
      </c>
      <c r="AP2974" s="1" t="s">
        <v>241</v>
      </c>
      <c r="AQ2974" s="1" t="s">
        <v>74</v>
      </c>
      <c r="AR2974" s="1" t="s">
        <v>242</v>
      </c>
      <c r="AS2974" s="1" t="s">
        <v>243</v>
      </c>
      <c r="AT2974" s="1" t="s">
        <v>1223</v>
      </c>
      <c r="AU2974" s="1">
        <v>2004</v>
      </c>
      <c r="AV2974" s="1">
        <v>48</v>
      </c>
      <c r="AW2974" s="1" t="s">
        <v>2706</v>
      </c>
      <c r="AX2974" s="1" t="s">
        <v>74</v>
      </c>
      <c r="AY2974" s="1" t="s">
        <v>74</v>
      </c>
      <c r="AZ2974" s="1" t="s">
        <v>74</v>
      </c>
      <c r="BA2974" s="1" t="s">
        <v>74</v>
      </c>
      <c r="BB2974" s="1">
        <v>563</v>
      </c>
      <c r="BC2974" s="1">
        <v>571</v>
      </c>
      <c r="BD2974" s="1" t="s">
        <v>74</v>
      </c>
      <c r="BE2974" s="1" t="s">
        <v>47223</v>
      </c>
      <c r="BF2974" s="1" t="str">
        <f>HYPERLINK("http://dx.doi.org/10.1016/j.marpolbul.2004.01.011","http://dx.doi.org/10.1016/j.marpolbul.2004.01.011")</f>
        <v>http://dx.doi.org/10.1016/j.marpolbul.2004.01.011</v>
      </c>
      <c r="BG2974" s="1" t="s">
        <v>74</v>
      </c>
      <c r="BH2974" s="1" t="s">
        <v>74</v>
      </c>
      <c r="BI2974" s="1">
        <v>9</v>
      </c>
      <c r="BJ2974" s="1" t="s">
        <v>247</v>
      </c>
      <c r="BK2974" s="1" t="s">
        <v>96</v>
      </c>
      <c r="BL2974" s="1" t="s">
        <v>248</v>
      </c>
      <c r="BM2974" s="1" t="s">
        <v>20246</v>
      </c>
      <c r="BN2974" s="1">
        <v>14980472</v>
      </c>
      <c r="BO2974" s="1" t="s">
        <v>74</v>
      </c>
      <c r="BP2974" s="1" t="s">
        <v>74</v>
      </c>
      <c r="BQ2974" s="1" t="s">
        <v>74</v>
      </c>
      <c r="BR2974" s="1" t="s">
        <v>98</v>
      </c>
      <c r="BS2974" s="1" t="s">
        <v>47224</v>
      </c>
      <c r="BT2974" s="1" t="str">
        <f>HYPERLINK("https%3A%2F%2Fwww.webofscience.com%2Fwos%2Fwoscc%2Ffull-record%2FWOS:000220131500030","View Full Record in Web of Science")</f>
        <v>View Full Record in Web of Science</v>
      </c>
      <c r="BU2974" s="1"/>
      <c r="BV2974" s="1"/>
    </row>
    <row r="2975" spans="1:74">
      <c r="A2975" s="1" t="s">
        <v>72</v>
      </c>
      <c r="B2975" s="1" t="s">
        <v>47225</v>
      </c>
      <c r="C2975" s="1" t="s">
        <v>74</v>
      </c>
      <c r="D2975" s="1" t="s">
        <v>74</v>
      </c>
      <c r="E2975" s="1" t="s">
        <v>74</v>
      </c>
      <c r="F2975" s="1" t="s">
        <v>47226</v>
      </c>
      <c r="G2975" s="1" t="s">
        <v>74</v>
      </c>
      <c r="H2975" s="1" t="s">
        <v>74</v>
      </c>
      <c r="I2975" s="1" t="s">
        <v>47227</v>
      </c>
      <c r="J2975" s="1" t="s">
        <v>421</v>
      </c>
      <c r="K2975" s="1" t="s">
        <v>74</v>
      </c>
      <c r="L2975" s="1" t="s">
        <v>74</v>
      </c>
      <c r="M2975" s="1" t="s">
        <v>78</v>
      </c>
      <c r="N2975" s="1" t="s">
        <v>79</v>
      </c>
      <c r="O2975" s="1" t="s">
        <v>74</v>
      </c>
      <c r="P2975" s="1" t="s">
        <v>74</v>
      </c>
      <c r="Q2975" s="1" t="s">
        <v>74</v>
      </c>
      <c r="R2975" s="1" t="s">
        <v>74</v>
      </c>
      <c r="S2975" s="1" t="s">
        <v>74</v>
      </c>
      <c r="T2975" s="1" t="s">
        <v>47228</v>
      </c>
      <c r="U2975" s="1" t="s">
        <v>47229</v>
      </c>
      <c r="V2975" s="1" t="s">
        <v>47230</v>
      </c>
      <c r="W2975" s="1" t="s">
        <v>47231</v>
      </c>
      <c r="X2975" s="1" t="s">
        <v>47232</v>
      </c>
      <c r="Y2975" s="1" t="s">
        <v>47233</v>
      </c>
      <c r="Z2975" s="1" t="s">
        <v>35199</v>
      </c>
      <c r="AA2975" s="1" t="s">
        <v>47234</v>
      </c>
      <c r="AB2975" s="1" t="s">
        <v>47235</v>
      </c>
      <c r="AC2975" s="1" t="s">
        <v>47236</v>
      </c>
      <c r="AD2975" s="1" t="s">
        <v>47237</v>
      </c>
      <c r="AE2975" s="1" t="s">
        <v>47238</v>
      </c>
      <c r="AF2975" s="1" t="s">
        <v>74</v>
      </c>
      <c r="AG2975" s="1">
        <v>58</v>
      </c>
      <c r="AH2975" s="1">
        <v>572</v>
      </c>
      <c r="AI2975" s="1">
        <v>643</v>
      </c>
      <c r="AJ2975" s="1">
        <v>29</v>
      </c>
      <c r="AK2975" s="1">
        <v>617</v>
      </c>
      <c r="AL2975" s="1" t="s">
        <v>430</v>
      </c>
      <c r="AM2975" s="1" t="s">
        <v>137</v>
      </c>
      <c r="AN2975" s="1" t="s">
        <v>431</v>
      </c>
      <c r="AO2975" s="1" t="s">
        <v>432</v>
      </c>
      <c r="AP2975" s="1" t="s">
        <v>1394</v>
      </c>
      <c r="AQ2975" s="1" t="s">
        <v>74</v>
      </c>
      <c r="AR2975" s="1" t="s">
        <v>433</v>
      </c>
      <c r="AS2975" s="1" t="s">
        <v>434</v>
      </c>
      <c r="AT2975" s="1" t="s">
        <v>119</v>
      </c>
      <c r="AU2975" s="1">
        <v>2016</v>
      </c>
      <c r="AV2975" s="1">
        <v>215</v>
      </c>
      <c r="AW2975" s="1" t="s">
        <v>74</v>
      </c>
      <c r="AX2975" s="1" t="s">
        <v>74</v>
      </c>
      <c r="AY2975" s="1" t="s">
        <v>74</v>
      </c>
      <c r="AZ2975" s="1" t="s">
        <v>74</v>
      </c>
      <c r="BA2975" s="1" t="s">
        <v>74</v>
      </c>
      <c r="BB2975" s="1">
        <v>223</v>
      </c>
      <c r="BC2975" s="1">
        <v>233</v>
      </c>
      <c r="BD2975" s="1" t="s">
        <v>74</v>
      </c>
      <c r="BE2975" s="1" t="s">
        <v>47239</v>
      </c>
      <c r="BF2975" s="1" t="str">
        <f>HYPERLINK("http://dx.doi.org/10.1016/j.envpol.2016.05.018","http://dx.doi.org/10.1016/j.envpol.2016.05.018")</f>
        <v>http://dx.doi.org/10.1016/j.envpol.2016.05.018</v>
      </c>
      <c r="BG2975" s="1" t="s">
        <v>74</v>
      </c>
      <c r="BH2975" s="1" t="s">
        <v>74</v>
      </c>
      <c r="BI2975" s="1">
        <v>11</v>
      </c>
      <c r="BJ2975" s="1" t="s">
        <v>144</v>
      </c>
      <c r="BK2975" s="1" t="s">
        <v>96</v>
      </c>
      <c r="BL2975" s="1" t="s">
        <v>145</v>
      </c>
      <c r="BM2975" s="1" t="s">
        <v>9175</v>
      </c>
      <c r="BN2975" s="1">
        <v>27209243</v>
      </c>
      <c r="BO2975" s="1" t="s">
        <v>1752</v>
      </c>
      <c r="BP2975" s="1" t="s">
        <v>74</v>
      </c>
      <c r="BQ2975" s="1" t="s">
        <v>74</v>
      </c>
      <c r="BR2975" s="1" t="s">
        <v>98</v>
      </c>
      <c r="BS2975" s="1" t="s">
        <v>47240</v>
      </c>
      <c r="BT2975" s="1" t="str">
        <f>HYPERLINK("https%3A%2F%2Fwww.webofscience.com%2Fwos%2Fwoscc%2Ffull-record%2FWOS:000378961000025","View Full Record in Web of Science")</f>
        <v>View Full Record in Web of Science</v>
      </c>
      <c r="BU2975" s="1"/>
      <c r="BV2975" s="1"/>
    </row>
    <row r="2976" spans="1:74">
      <c r="A2976" s="1" t="s">
        <v>72</v>
      </c>
      <c r="B2976" s="1" t="s">
        <v>47241</v>
      </c>
      <c r="C2976" s="1" t="s">
        <v>74</v>
      </c>
      <c r="D2976" s="1" t="s">
        <v>74</v>
      </c>
      <c r="E2976" s="1" t="s">
        <v>74</v>
      </c>
      <c r="F2976" s="1" t="s">
        <v>47242</v>
      </c>
      <c r="G2976" s="1" t="s">
        <v>74</v>
      </c>
      <c r="H2976" s="1" t="s">
        <v>74</v>
      </c>
      <c r="I2976" s="1" t="s">
        <v>47243</v>
      </c>
      <c r="J2976" s="1" t="s">
        <v>641</v>
      </c>
      <c r="K2976" s="1" t="s">
        <v>74</v>
      </c>
      <c r="L2976" s="1" t="s">
        <v>74</v>
      </c>
      <c r="M2976" s="1" t="s">
        <v>78</v>
      </c>
      <c r="N2976" s="1" t="s">
        <v>79</v>
      </c>
      <c r="O2976" s="1" t="s">
        <v>74</v>
      </c>
      <c r="P2976" s="1" t="s">
        <v>74</v>
      </c>
      <c r="Q2976" s="1" t="s">
        <v>74</v>
      </c>
      <c r="R2976" s="1" t="s">
        <v>74</v>
      </c>
      <c r="S2976" s="1" t="s">
        <v>74</v>
      </c>
      <c r="T2976" s="1" t="s">
        <v>47244</v>
      </c>
      <c r="U2976" s="1" t="s">
        <v>47245</v>
      </c>
      <c r="V2976" s="1" t="s">
        <v>47246</v>
      </c>
      <c r="W2976" s="1" t="s">
        <v>47247</v>
      </c>
      <c r="X2976" s="1" t="s">
        <v>47248</v>
      </c>
      <c r="Y2976" s="1" t="s">
        <v>30287</v>
      </c>
      <c r="Z2976" s="1" t="s">
        <v>30288</v>
      </c>
      <c r="AA2976" s="1" t="s">
        <v>30289</v>
      </c>
      <c r="AB2976" s="1" t="s">
        <v>47249</v>
      </c>
      <c r="AC2976" s="1" t="s">
        <v>47250</v>
      </c>
      <c r="AD2976" s="1" t="s">
        <v>47251</v>
      </c>
      <c r="AE2976" s="1" t="s">
        <v>47252</v>
      </c>
      <c r="AF2976" s="1" t="s">
        <v>74</v>
      </c>
      <c r="AG2976" s="1">
        <v>49</v>
      </c>
      <c r="AH2976" s="1">
        <v>9</v>
      </c>
      <c r="AI2976" s="1">
        <v>9</v>
      </c>
      <c r="AJ2976" s="1">
        <v>1</v>
      </c>
      <c r="AK2976" s="1">
        <v>25</v>
      </c>
      <c r="AL2976" s="1" t="s">
        <v>919</v>
      </c>
      <c r="AM2976" s="1" t="s">
        <v>651</v>
      </c>
      <c r="AN2976" s="1" t="s">
        <v>920</v>
      </c>
      <c r="AO2976" s="1" t="s">
        <v>653</v>
      </c>
      <c r="AP2976" s="1" t="s">
        <v>654</v>
      </c>
      <c r="AQ2976" s="1" t="s">
        <v>74</v>
      </c>
      <c r="AR2976" s="1" t="s">
        <v>655</v>
      </c>
      <c r="AS2976" s="1" t="s">
        <v>656</v>
      </c>
      <c r="AT2976" s="1" t="s">
        <v>170</v>
      </c>
      <c r="AU2976" s="1">
        <v>2018</v>
      </c>
      <c r="AV2976" s="1">
        <v>198</v>
      </c>
      <c r="AW2976" s="1" t="s">
        <v>74</v>
      </c>
      <c r="AX2976" s="1" t="s">
        <v>74</v>
      </c>
      <c r="AY2976" s="1" t="s">
        <v>74</v>
      </c>
      <c r="AZ2976" s="1" t="s">
        <v>74</v>
      </c>
      <c r="BA2976" s="1" t="s">
        <v>74</v>
      </c>
      <c r="BB2976" s="1">
        <v>49</v>
      </c>
      <c r="BC2976" s="1">
        <v>62</v>
      </c>
      <c r="BD2976" s="1" t="s">
        <v>74</v>
      </c>
      <c r="BE2976" s="1" t="s">
        <v>47253</v>
      </c>
      <c r="BF2976" s="1" t="str">
        <f>HYPERLINK("http://dx.doi.org/10.1016/j.aquatox.2018.02.018","http://dx.doi.org/10.1016/j.aquatox.2018.02.018")</f>
        <v>http://dx.doi.org/10.1016/j.aquatox.2018.02.018</v>
      </c>
      <c r="BG2976" s="1" t="s">
        <v>74</v>
      </c>
      <c r="BH2976" s="1" t="s">
        <v>74</v>
      </c>
      <c r="BI2976" s="1">
        <v>14</v>
      </c>
      <c r="BJ2976" s="1" t="s">
        <v>659</v>
      </c>
      <c r="BK2976" s="1" t="s">
        <v>96</v>
      </c>
      <c r="BL2976" s="1" t="s">
        <v>659</v>
      </c>
      <c r="BM2976" s="1" t="s">
        <v>47254</v>
      </c>
      <c r="BN2976" s="1">
        <v>29501937</v>
      </c>
      <c r="BO2976" s="1" t="s">
        <v>74</v>
      </c>
      <c r="BP2976" s="1" t="s">
        <v>74</v>
      </c>
      <c r="BQ2976" s="1" t="s">
        <v>74</v>
      </c>
      <c r="BR2976" s="1" t="s">
        <v>98</v>
      </c>
      <c r="BS2976" s="1" t="s">
        <v>47255</v>
      </c>
      <c r="BT2976" s="1" t="str">
        <f>HYPERLINK("https%3A%2F%2Fwww.webofscience.com%2Fwos%2Fwoscc%2Ffull-record%2FWOS:000430630100006","View Full Record in Web of Science")</f>
        <v>View Full Record in Web of Science</v>
      </c>
      <c r="BU2976" s="1"/>
      <c r="BV2976" s="1"/>
    </row>
    <row r="2977" spans="1:74">
      <c r="A2977" s="1" t="s">
        <v>72</v>
      </c>
      <c r="B2977" s="1" t="s">
        <v>47256</v>
      </c>
      <c r="C2977" s="1" t="s">
        <v>74</v>
      </c>
      <c r="D2977" s="1" t="s">
        <v>74</v>
      </c>
      <c r="E2977" s="1" t="s">
        <v>74</v>
      </c>
      <c r="F2977" s="1" t="s">
        <v>47257</v>
      </c>
      <c r="G2977" s="1" t="s">
        <v>74</v>
      </c>
      <c r="H2977" s="1" t="s">
        <v>74</v>
      </c>
      <c r="I2977" s="1" t="s">
        <v>47258</v>
      </c>
      <c r="J2977" s="1" t="s">
        <v>421</v>
      </c>
      <c r="K2977" s="1" t="s">
        <v>74</v>
      </c>
      <c r="L2977" s="1" t="s">
        <v>74</v>
      </c>
      <c r="M2977" s="1" t="s">
        <v>78</v>
      </c>
      <c r="N2977" s="1" t="s">
        <v>79</v>
      </c>
      <c r="O2977" s="1" t="s">
        <v>74</v>
      </c>
      <c r="P2977" s="1" t="s">
        <v>74</v>
      </c>
      <c r="Q2977" s="1" t="s">
        <v>74</v>
      </c>
      <c r="R2977" s="1" t="s">
        <v>74</v>
      </c>
      <c r="S2977" s="1" t="s">
        <v>74</v>
      </c>
      <c r="T2977" s="1" t="s">
        <v>47259</v>
      </c>
      <c r="U2977" s="1" t="s">
        <v>47260</v>
      </c>
      <c r="V2977" s="1" t="s">
        <v>47261</v>
      </c>
      <c r="W2977" s="1" t="s">
        <v>47262</v>
      </c>
      <c r="X2977" s="1" t="s">
        <v>47263</v>
      </c>
      <c r="Y2977" s="1" t="s">
        <v>47264</v>
      </c>
      <c r="Z2977" s="1" t="s">
        <v>46813</v>
      </c>
      <c r="AA2977" s="1" t="s">
        <v>47265</v>
      </c>
      <c r="AB2977" s="1" t="s">
        <v>47266</v>
      </c>
      <c r="AC2977" s="1" t="s">
        <v>47267</v>
      </c>
      <c r="AD2977" s="1" t="s">
        <v>47268</v>
      </c>
      <c r="AE2977" s="1" t="s">
        <v>47269</v>
      </c>
      <c r="AF2977" s="1" t="s">
        <v>74</v>
      </c>
      <c r="AG2977" s="1">
        <v>59</v>
      </c>
      <c r="AH2977" s="1">
        <v>34</v>
      </c>
      <c r="AI2977" s="1">
        <v>43</v>
      </c>
      <c r="AJ2977" s="1">
        <v>4</v>
      </c>
      <c r="AK2977" s="1">
        <v>43</v>
      </c>
      <c r="AL2977" s="1" t="s">
        <v>430</v>
      </c>
      <c r="AM2977" s="1" t="s">
        <v>137</v>
      </c>
      <c r="AN2977" s="1" t="s">
        <v>431</v>
      </c>
      <c r="AO2977" s="1" t="s">
        <v>432</v>
      </c>
      <c r="AP2977" s="1" t="s">
        <v>1394</v>
      </c>
      <c r="AQ2977" s="1" t="s">
        <v>74</v>
      </c>
      <c r="AR2977" s="1" t="s">
        <v>433</v>
      </c>
      <c r="AS2977" s="1" t="s">
        <v>434</v>
      </c>
      <c r="AT2977" s="1" t="s">
        <v>197</v>
      </c>
      <c r="AU2977" s="1">
        <v>2010</v>
      </c>
      <c r="AV2977" s="1">
        <v>158</v>
      </c>
      <c r="AW2977" s="1">
        <v>12</v>
      </c>
      <c r="AX2977" s="1" t="s">
        <v>74</v>
      </c>
      <c r="AY2977" s="1" t="s">
        <v>74</v>
      </c>
      <c r="AZ2977" s="1" t="s">
        <v>74</v>
      </c>
      <c r="BA2977" s="1" t="s">
        <v>74</v>
      </c>
      <c r="BB2977" s="1">
        <v>3490</v>
      </c>
      <c r="BC2977" s="1">
        <v>3497</v>
      </c>
      <c r="BD2977" s="1" t="s">
        <v>74</v>
      </c>
      <c r="BE2977" s="1" t="s">
        <v>47270</v>
      </c>
      <c r="BF2977" s="1" t="str">
        <f>HYPERLINK("http://dx.doi.org/10.1016/j.envpol.2010.03.025","http://dx.doi.org/10.1016/j.envpol.2010.03.025")</f>
        <v>http://dx.doi.org/10.1016/j.envpol.2010.03.025</v>
      </c>
      <c r="BG2977" s="1" t="s">
        <v>74</v>
      </c>
      <c r="BH2977" s="1" t="s">
        <v>74</v>
      </c>
      <c r="BI2977" s="1">
        <v>8</v>
      </c>
      <c r="BJ2977" s="1" t="s">
        <v>144</v>
      </c>
      <c r="BK2977" s="1" t="s">
        <v>96</v>
      </c>
      <c r="BL2977" s="1" t="s">
        <v>145</v>
      </c>
      <c r="BM2977" s="1" t="s">
        <v>47271</v>
      </c>
      <c r="BN2977" s="1">
        <v>20430496</v>
      </c>
      <c r="BO2977" s="1" t="s">
        <v>74</v>
      </c>
      <c r="BP2977" s="1" t="s">
        <v>74</v>
      </c>
      <c r="BQ2977" s="1" t="s">
        <v>74</v>
      </c>
      <c r="BR2977" s="1" t="s">
        <v>98</v>
      </c>
      <c r="BS2977" s="1" t="s">
        <v>47272</v>
      </c>
      <c r="BT2977" s="1" t="str">
        <f>HYPERLINK("https%3A%2F%2Fwww.webofscience.com%2Fwos%2Fwoscc%2Ffull-record%2FWOS:000283690500005","View Full Record in Web of Science")</f>
        <v>View Full Record in Web of Science</v>
      </c>
      <c r="BU2977" s="1"/>
      <c r="BV2977" s="1"/>
    </row>
    <row r="2978" spans="1:74">
      <c r="A2978" s="1" t="s">
        <v>72</v>
      </c>
      <c r="B2978" s="1" t="s">
        <v>47273</v>
      </c>
      <c r="C2978" s="1" t="s">
        <v>74</v>
      </c>
      <c r="D2978" s="1" t="s">
        <v>74</v>
      </c>
      <c r="E2978" s="1" t="s">
        <v>74</v>
      </c>
      <c r="F2978" s="1" t="s">
        <v>47273</v>
      </c>
      <c r="G2978" s="1" t="s">
        <v>74</v>
      </c>
      <c r="H2978" s="1" t="s">
        <v>74</v>
      </c>
      <c r="I2978" s="1" t="s">
        <v>47274</v>
      </c>
      <c r="J2978" s="1" t="s">
        <v>909</v>
      </c>
      <c r="K2978" s="1" t="s">
        <v>74</v>
      </c>
      <c r="L2978" s="1" t="s">
        <v>74</v>
      </c>
      <c r="M2978" s="1" t="s">
        <v>78</v>
      </c>
      <c r="N2978" s="1" t="s">
        <v>79</v>
      </c>
      <c r="O2978" s="1" t="s">
        <v>74</v>
      </c>
      <c r="P2978" s="1" t="s">
        <v>74</v>
      </c>
      <c r="Q2978" s="1" t="s">
        <v>74</v>
      </c>
      <c r="R2978" s="1" t="s">
        <v>74</v>
      </c>
      <c r="S2978" s="1" t="s">
        <v>74</v>
      </c>
      <c r="T2978" s="1" t="s">
        <v>47275</v>
      </c>
      <c r="U2978" s="1" t="s">
        <v>47276</v>
      </c>
      <c r="V2978" s="1" t="s">
        <v>47277</v>
      </c>
      <c r="W2978" s="1" t="s">
        <v>47278</v>
      </c>
      <c r="X2978" s="1" t="s">
        <v>47279</v>
      </c>
      <c r="Y2978" s="1" t="s">
        <v>47280</v>
      </c>
      <c r="Z2978" s="1" t="s">
        <v>74</v>
      </c>
      <c r="AA2978" s="1" t="s">
        <v>47281</v>
      </c>
      <c r="AB2978" s="1" t="s">
        <v>74</v>
      </c>
      <c r="AC2978" s="1" t="s">
        <v>74</v>
      </c>
      <c r="AD2978" s="1" t="s">
        <v>74</v>
      </c>
      <c r="AE2978" s="1" t="s">
        <v>74</v>
      </c>
      <c r="AF2978" s="1" t="s">
        <v>74</v>
      </c>
      <c r="AG2978" s="1">
        <v>35</v>
      </c>
      <c r="AH2978" s="1">
        <v>11</v>
      </c>
      <c r="AI2978" s="1">
        <v>11</v>
      </c>
      <c r="AJ2978" s="1">
        <v>0</v>
      </c>
      <c r="AK2978" s="1">
        <v>5</v>
      </c>
      <c r="AL2978" s="1" t="s">
        <v>650</v>
      </c>
      <c r="AM2978" s="1" t="s">
        <v>651</v>
      </c>
      <c r="AN2978" s="1" t="s">
        <v>652</v>
      </c>
      <c r="AO2978" s="1" t="s">
        <v>921</v>
      </c>
      <c r="AP2978" s="1" t="s">
        <v>922</v>
      </c>
      <c r="AQ2978" s="1" t="s">
        <v>74</v>
      </c>
      <c r="AR2978" s="1" t="s">
        <v>923</v>
      </c>
      <c r="AS2978" s="1" t="s">
        <v>924</v>
      </c>
      <c r="AT2978" s="1" t="s">
        <v>4761</v>
      </c>
      <c r="AU2978" s="1">
        <v>1996</v>
      </c>
      <c r="AV2978" s="1">
        <v>181</v>
      </c>
      <c r="AW2978" s="1">
        <v>2</v>
      </c>
      <c r="AX2978" s="1" t="s">
        <v>74</v>
      </c>
      <c r="AY2978" s="1" t="s">
        <v>74</v>
      </c>
      <c r="AZ2978" s="1" t="s">
        <v>74</v>
      </c>
      <c r="BA2978" s="1" t="s">
        <v>74</v>
      </c>
      <c r="BB2978" s="1">
        <v>111</v>
      </c>
      <c r="BC2978" s="1">
        <v>123</v>
      </c>
      <c r="BD2978" s="1" t="s">
        <v>74</v>
      </c>
      <c r="BE2978" s="1" t="s">
        <v>47282</v>
      </c>
      <c r="BF2978" s="1" t="str">
        <f>HYPERLINK("http://dx.doi.org/10.1016/0048-9697(95)04950-9","http://dx.doi.org/10.1016/0048-9697(95)04950-9")</f>
        <v>http://dx.doi.org/10.1016/0048-9697(95)04950-9</v>
      </c>
      <c r="BG2978" s="1" t="s">
        <v>74</v>
      </c>
      <c r="BH2978" s="1" t="s">
        <v>74</v>
      </c>
      <c r="BI2978" s="1">
        <v>13</v>
      </c>
      <c r="BJ2978" s="1" t="s">
        <v>144</v>
      </c>
      <c r="BK2978" s="1" t="s">
        <v>96</v>
      </c>
      <c r="BL2978" s="1" t="s">
        <v>145</v>
      </c>
      <c r="BM2978" s="1" t="s">
        <v>47283</v>
      </c>
      <c r="BN2978" s="1">
        <v>8820382</v>
      </c>
      <c r="BO2978" s="1" t="s">
        <v>74</v>
      </c>
      <c r="BP2978" s="1" t="s">
        <v>74</v>
      </c>
      <c r="BQ2978" s="1" t="s">
        <v>74</v>
      </c>
      <c r="BR2978" s="1" t="s">
        <v>98</v>
      </c>
      <c r="BS2978" s="1" t="s">
        <v>47284</v>
      </c>
      <c r="BT2978" s="1" t="str">
        <f>HYPERLINK("https%3A%2F%2Fwww.webofscience.com%2Fwos%2Fwoscc%2Ffull-record%2FWOS:A1996TZ29900003","View Full Record in Web of Science")</f>
        <v>View Full Record in Web of Science</v>
      </c>
      <c r="BU2978" s="1"/>
      <c r="BV2978" s="1"/>
    </row>
    <row r="2979" spans="1:74">
      <c r="A2979" s="1" t="s">
        <v>72</v>
      </c>
      <c r="B2979" s="1" t="s">
        <v>31675</v>
      </c>
      <c r="C2979" s="1" t="s">
        <v>74</v>
      </c>
      <c r="D2979" s="1" t="s">
        <v>74</v>
      </c>
      <c r="E2979" s="1" t="s">
        <v>74</v>
      </c>
      <c r="F2979" s="1" t="s">
        <v>31675</v>
      </c>
      <c r="G2979" s="1" t="s">
        <v>74</v>
      </c>
      <c r="H2979" s="1" t="s">
        <v>74</v>
      </c>
      <c r="I2979" s="1" t="s">
        <v>47285</v>
      </c>
      <c r="J2979" s="1" t="s">
        <v>909</v>
      </c>
      <c r="K2979" s="1" t="s">
        <v>74</v>
      </c>
      <c r="L2979" s="1" t="s">
        <v>74</v>
      </c>
      <c r="M2979" s="1" t="s">
        <v>78</v>
      </c>
      <c r="N2979" s="1" t="s">
        <v>79</v>
      </c>
      <c r="O2979" s="1" t="s">
        <v>74</v>
      </c>
      <c r="P2979" s="1" t="s">
        <v>74</v>
      </c>
      <c r="Q2979" s="1" t="s">
        <v>74</v>
      </c>
      <c r="R2979" s="1" t="s">
        <v>74</v>
      </c>
      <c r="S2979" s="1" t="s">
        <v>74</v>
      </c>
      <c r="T2979" s="1" t="s">
        <v>47286</v>
      </c>
      <c r="U2979" s="1" t="s">
        <v>47287</v>
      </c>
      <c r="V2979" s="1" t="s">
        <v>47288</v>
      </c>
      <c r="W2979" s="1" t="s">
        <v>31680</v>
      </c>
      <c r="X2979" s="1" t="s">
        <v>21287</v>
      </c>
      <c r="Y2979" s="1" t="s">
        <v>47289</v>
      </c>
      <c r="Z2979" s="1" t="s">
        <v>74</v>
      </c>
      <c r="AA2979" s="1" t="s">
        <v>20314</v>
      </c>
      <c r="AB2979" s="1" t="s">
        <v>20315</v>
      </c>
      <c r="AC2979" s="1" t="s">
        <v>74</v>
      </c>
      <c r="AD2979" s="1" t="s">
        <v>74</v>
      </c>
      <c r="AE2979" s="1" t="s">
        <v>74</v>
      </c>
      <c r="AF2979" s="1" t="s">
        <v>74</v>
      </c>
      <c r="AG2979" s="1">
        <v>43</v>
      </c>
      <c r="AH2979" s="1">
        <v>26</v>
      </c>
      <c r="AI2979" s="1">
        <v>27</v>
      </c>
      <c r="AJ2979" s="1">
        <v>1</v>
      </c>
      <c r="AK2979" s="1">
        <v>10</v>
      </c>
      <c r="AL2979" s="1" t="s">
        <v>919</v>
      </c>
      <c r="AM2979" s="1" t="s">
        <v>651</v>
      </c>
      <c r="AN2979" s="1" t="s">
        <v>920</v>
      </c>
      <c r="AO2979" s="1" t="s">
        <v>921</v>
      </c>
      <c r="AP2979" s="1" t="s">
        <v>74</v>
      </c>
      <c r="AQ2979" s="1" t="s">
        <v>74</v>
      </c>
      <c r="AR2979" s="1" t="s">
        <v>923</v>
      </c>
      <c r="AS2979" s="1" t="s">
        <v>924</v>
      </c>
      <c r="AT2979" s="1" t="s">
        <v>31682</v>
      </c>
      <c r="AU2979" s="1">
        <v>1997</v>
      </c>
      <c r="AV2979" s="1">
        <v>198</v>
      </c>
      <c r="AW2979" s="1">
        <v>2</v>
      </c>
      <c r="AX2979" s="1" t="s">
        <v>74</v>
      </c>
      <c r="AY2979" s="1" t="s">
        <v>74</v>
      </c>
      <c r="AZ2979" s="1" t="s">
        <v>74</v>
      </c>
      <c r="BA2979" s="1" t="s">
        <v>74</v>
      </c>
      <c r="BB2979" s="1">
        <v>149</v>
      </c>
      <c r="BC2979" s="1">
        <v>160</v>
      </c>
      <c r="BD2979" s="1" t="s">
        <v>74</v>
      </c>
      <c r="BE2979" s="1" t="s">
        <v>47290</v>
      </c>
      <c r="BF2979" s="1" t="str">
        <f>HYPERLINK("http://dx.doi.org/10.1016/S0048-9697(97)05451-X","http://dx.doi.org/10.1016/S0048-9697(97)05451-X")</f>
        <v>http://dx.doi.org/10.1016/S0048-9697(97)05451-X</v>
      </c>
      <c r="BG2979" s="1" t="s">
        <v>74</v>
      </c>
      <c r="BH2979" s="1" t="s">
        <v>74</v>
      </c>
      <c r="BI2979" s="1">
        <v>12</v>
      </c>
      <c r="BJ2979" s="1" t="s">
        <v>144</v>
      </c>
      <c r="BK2979" s="1" t="s">
        <v>96</v>
      </c>
      <c r="BL2979" s="1" t="s">
        <v>145</v>
      </c>
      <c r="BM2979" s="1" t="s">
        <v>31685</v>
      </c>
      <c r="BN2979" s="1" t="s">
        <v>74</v>
      </c>
      <c r="BO2979" s="1" t="s">
        <v>74</v>
      </c>
      <c r="BP2979" s="1" t="s">
        <v>74</v>
      </c>
      <c r="BQ2979" s="1" t="s">
        <v>74</v>
      </c>
      <c r="BR2979" s="1" t="s">
        <v>98</v>
      </c>
      <c r="BS2979" s="1" t="s">
        <v>47291</v>
      </c>
      <c r="BT2979" s="1" t="str">
        <f>HYPERLINK("https%3A%2F%2Fwww.webofscience.com%2Fwos%2Fwoscc%2Ffull-record%2FWOS:A1997WY41200004","View Full Record in Web of Science")</f>
        <v>View Full Record in Web of Science</v>
      </c>
      <c r="BU2979" s="1"/>
      <c r="BV2979" s="1"/>
    </row>
    <row r="2980" spans="1:74">
      <c r="A2980" s="1" t="s">
        <v>72</v>
      </c>
      <c r="B2980" s="1" t="s">
        <v>47292</v>
      </c>
      <c r="C2980" s="1" t="s">
        <v>74</v>
      </c>
      <c r="D2980" s="1" t="s">
        <v>74</v>
      </c>
      <c r="E2980" s="1" t="s">
        <v>74</v>
      </c>
      <c r="F2980" s="1" t="s">
        <v>47293</v>
      </c>
      <c r="G2980" s="1" t="s">
        <v>74</v>
      </c>
      <c r="H2980" s="1" t="s">
        <v>74</v>
      </c>
      <c r="I2980" s="1" t="s">
        <v>47294</v>
      </c>
      <c r="J2980" s="1" t="s">
        <v>8398</v>
      </c>
      <c r="K2980" s="1" t="s">
        <v>74</v>
      </c>
      <c r="L2980" s="1" t="s">
        <v>74</v>
      </c>
      <c r="M2980" s="1" t="s">
        <v>78</v>
      </c>
      <c r="N2980" s="1" t="s">
        <v>79</v>
      </c>
      <c r="O2980" s="1" t="s">
        <v>74</v>
      </c>
      <c r="P2980" s="1" t="s">
        <v>74</v>
      </c>
      <c r="Q2980" s="1" t="s">
        <v>74</v>
      </c>
      <c r="R2980" s="1" t="s">
        <v>74</v>
      </c>
      <c r="S2980" s="1" t="s">
        <v>74</v>
      </c>
      <c r="T2980" s="1" t="s">
        <v>47295</v>
      </c>
      <c r="U2980" s="1" t="s">
        <v>47296</v>
      </c>
      <c r="V2980" s="1" t="s">
        <v>47297</v>
      </c>
      <c r="W2980" s="1" t="s">
        <v>47298</v>
      </c>
      <c r="X2980" s="1" t="s">
        <v>47299</v>
      </c>
      <c r="Y2980" s="1" t="s">
        <v>47300</v>
      </c>
      <c r="Z2980" s="1" t="s">
        <v>47301</v>
      </c>
      <c r="AA2980" s="1" t="s">
        <v>74</v>
      </c>
      <c r="AB2980" s="1" t="s">
        <v>47302</v>
      </c>
      <c r="AC2980" s="1" t="s">
        <v>47303</v>
      </c>
      <c r="AD2980" s="1" t="s">
        <v>47304</v>
      </c>
      <c r="AE2980" s="1" t="s">
        <v>47305</v>
      </c>
      <c r="AF2980" s="1" t="s">
        <v>74</v>
      </c>
      <c r="AG2980" s="1">
        <v>75</v>
      </c>
      <c r="AH2980" s="1">
        <v>9</v>
      </c>
      <c r="AI2980" s="1">
        <v>11</v>
      </c>
      <c r="AJ2980" s="1">
        <v>6</v>
      </c>
      <c r="AK2980" s="1">
        <v>20</v>
      </c>
      <c r="AL2980" s="1" t="s">
        <v>1566</v>
      </c>
      <c r="AM2980" s="1" t="s">
        <v>1567</v>
      </c>
      <c r="AN2980" s="1" t="s">
        <v>1568</v>
      </c>
      <c r="AO2980" s="1" t="s">
        <v>74</v>
      </c>
      <c r="AP2980" s="1" t="s">
        <v>8411</v>
      </c>
      <c r="AQ2980" s="1" t="s">
        <v>74</v>
      </c>
      <c r="AR2980" s="1" t="s">
        <v>8412</v>
      </c>
      <c r="AS2980" s="1" t="s">
        <v>8413</v>
      </c>
      <c r="AT2980" s="1" t="s">
        <v>197</v>
      </c>
      <c r="AU2980" s="1">
        <v>2022</v>
      </c>
      <c r="AV2980" s="1">
        <v>7</v>
      </c>
      <c r="AW2980" s="1">
        <v>6</v>
      </c>
      <c r="AX2980" s="1" t="s">
        <v>74</v>
      </c>
      <c r="AY2980" s="1" t="s">
        <v>74</v>
      </c>
      <c r="AZ2980" s="1" t="s">
        <v>74</v>
      </c>
      <c r="BA2980" s="1" t="s">
        <v>74</v>
      </c>
      <c r="BB2980" s="1" t="s">
        <v>74</v>
      </c>
      <c r="BC2980" s="1" t="s">
        <v>74</v>
      </c>
      <c r="BD2980" s="1">
        <v>307</v>
      </c>
      <c r="BE2980" s="1" t="s">
        <v>47306</v>
      </c>
      <c r="BF2980" s="1" t="str">
        <f>HYPERLINK("http://dx.doi.org/10.3390/fishes7060307","http://dx.doi.org/10.3390/fishes7060307")</f>
        <v>http://dx.doi.org/10.3390/fishes7060307</v>
      </c>
      <c r="BG2980" s="1" t="s">
        <v>74</v>
      </c>
      <c r="BH2980" s="1" t="s">
        <v>74</v>
      </c>
      <c r="BI2980" s="1">
        <v>21</v>
      </c>
      <c r="BJ2980" s="1" t="s">
        <v>2391</v>
      </c>
      <c r="BK2980" s="1" t="s">
        <v>96</v>
      </c>
      <c r="BL2980" s="1" t="s">
        <v>2391</v>
      </c>
      <c r="BM2980" s="1" t="s">
        <v>47307</v>
      </c>
      <c r="BN2980" s="1" t="s">
        <v>74</v>
      </c>
      <c r="BO2980" s="1" t="s">
        <v>550</v>
      </c>
      <c r="BP2980" s="1" t="s">
        <v>74</v>
      </c>
      <c r="BQ2980" s="1" t="s">
        <v>74</v>
      </c>
      <c r="BR2980" s="1" t="s">
        <v>98</v>
      </c>
      <c r="BS2980" s="1" t="s">
        <v>47308</v>
      </c>
      <c r="BT2980" s="1" t="str">
        <f>HYPERLINK("https%3A%2F%2Fwww.webofscience.com%2Fwos%2Fwoscc%2Ffull-record%2FWOS:000901083000001","View Full Record in Web of Science")</f>
        <v>View Full Record in Web of Science</v>
      </c>
      <c r="BU2980" s="1"/>
      <c r="BV2980" s="1"/>
    </row>
    <row r="2981" spans="1:74">
      <c r="A2981" s="1" t="s">
        <v>72</v>
      </c>
      <c r="B2981" s="1" t="s">
        <v>47309</v>
      </c>
      <c r="C2981" s="1" t="s">
        <v>74</v>
      </c>
      <c r="D2981" s="1" t="s">
        <v>74</v>
      </c>
      <c r="E2981" s="1" t="s">
        <v>74</v>
      </c>
      <c r="F2981" s="1" t="s">
        <v>47310</v>
      </c>
      <c r="G2981" s="1" t="s">
        <v>74</v>
      </c>
      <c r="H2981" s="1" t="s">
        <v>74</v>
      </c>
      <c r="I2981" s="1" t="s">
        <v>47311</v>
      </c>
      <c r="J2981" s="1" t="s">
        <v>641</v>
      </c>
      <c r="K2981" s="1" t="s">
        <v>74</v>
      </c>
      <c r="L2981" s="1" t="s">
        <v>74</v>
      </c>
      <c r="M2981" s="1" t="s">
        <v>78</v>
      </c>
      <c r="N2981" s="1" t="s">
        <v>79</v>
      </c>
      <c r="O2981" s="1" t="s">
        <v>74</v>
      </c>
      <c r="P2981" s="1" t="s">
        <v>74</v>
      </c>
      <c r="Q2981" s="1" t="s">
        <v>74</v>
      </c>
      <c r="R2981" s="1" t="s">
        <v>74</v>
      </c>
      <c r="S2981" s="1" t="s">
        <v>74</v>
      </c>
      <c r="T2981" s="1" t="s">
        <v>47312</v>
      </c>
      <c r="U2981" s="1" t="s">
        <v>47313</v>
      </c>
      <c r="V2981" s="1" t="s">
        <v>47314</v>
      </c>
      <c r="W2981" s="1" t="s">
        <v>47315</v>
      </c>
      <c r="X2981" s="1" t="s">
        <v>47316</v>
      </c>
      <c r="Y2981" s="1" t="s">
        <v>47317</v>
      </c>
      <c r="Z2981" s="1" t="s">
        <v>1483</v>
      </c>
      <c r="AA2981" s="1" t="s">
        <v>47318</v>
      </c>
      <c r="AB2981" s="1" t="s">
        <v>47319</v>
      </c>
      <c r="AC2981" s="1" t="s">
        <v>47320</v>
      </c>
      <c r="AD2981" s="1" t="s">
        <v>43562</v>
      </c>
      <c r="AE2981" s="1" t="s">
        <v>47321</v>
      </c>
      <c r="AF2981" s="1" t="s">
        <v>74</v>
      </c>
      <c r="AG2981" s="1">
        <v>31</v>
      </c>
      <c r="AH2981" s="1">
        <v>13</v>
      </c>
      <c r="AI2981" s="1">
        <v>15</v>
      </c>
      <c r="AJ2981" s="1">
        <v>2</v>
      </c>
      <c r="AK2981" s="1">
        <v>49</v>
      </c>
      <c r="AL2981" s="1" t="s">
        <v>919</v>
      </c>
      <c r="AM2981" s="1" t="s">
        <v>651</v>
      </c>
      <c r="AN2981" s="1" t="s">
        <v>920</v>
      </c>
      <c r="AO2981" s="1" t="s">
        <v>653</v>
      </c>
      <c r="AP2981" s="1" t="s">
        <v>654</v>
      </c>
      <c r="AQ2981" s="1" t="s">
        <v>74</v>
      </c>
      <c r="AR2981" s="1" t="s">
        <v>655</v>
      </c>
      <c r="AS2981" s="1" t="s">
        <v>656</v>
      </c>
      <c r="AT2981" s="1" t="s">
        <v>224</v>
      </c>
      <c r="AU2981" s="1">
        <v>2015</v>
      </c>
      <c r="AV2981" s="1">
        <v>159</v>
      </c>
      <c r="AW2981" s="1" t="s">
        <v>74</v>
      </c>
      <c r="AX2981" s="1" t="s">
        <v>74</v>
      </c>
      <c r="AY2981" s="1" t="s">
        <v>74</v>
      </c>
      <c r="AZ2981" s="1" t="s">
        <v>74</v>
      </c>
      <c r="BA2981" s="1" t="s">
        <v>74</v>
      </c>
      <c r="BB2981" s="1">
        <v>62</v>
      </c>
      <c r="BC2981" s="1">
        <v>68</v>
      </c>
      <c r="BD2981" s="1" t="s">
        <v>74</v>
      </c>
      <c r="BE2981" s="1" t="s">
        <v>47322</v>
      </c>
      <c r="BF2981" s="1" t="str">
        <f>HYPERLINK("http://dx.doi.org/10.1016/j.aquatox.2014.11.024","http://dx.doi.org/10.1016/j.aquatox.2014.11.024")</f>
        <v>http://dx.doi.org/10.1016/j.aquatox.2014.11.024</v>
      </c>
      <c r="BG2981" s="1" t="s">
        <v>74</v>
      </c>
      <c r="BH2981" s="1" t="s">
        <v>74</v>
      </c>
      <c r="BI2981" s="1">
        <v>7</v>
      </c>
      <c r="BJ2981" s="1" t="s">
        <v>659</v>
      </c>
      <c r="BK2981" s="1" t="s">
        <v>96</v>
      </c>
      <c r="BL2981" s="1" t="s">
        <v>659</v>
      </c>
      <c r="BM2981" s="1" t="s">
        <v>30267</v>
      </c>
      <c r="BN2981" s="1">
        <v>25528420</v>
      </c>
      <c r="BO2981" s="1" t="s">
        <v>74</v>
      </c>
      <c r="BP2981" s="1" t="s">
        <v>74</v>
      </c>
      <c r="BQ2981" s="1" t="s">
        <v>74</v>
      </c>
      <c r="BR2981" s="1" t="s">
        <v>98</v>
      </c>
      <c r="BS2981" s="1" t="s">
        <v>47323</v>
      </c>
      <c r="BT2981" s="1" t="str">
        <f>HYPERLINK("https%3A%2F%2Fwww.webofscience.com%2Fwos%2Fwoscc%2Ffull-record%2FWOS:000349592100007","View Full Record in Web of Science")</f>
        <v>View Full Record in Web of Science</v>
      </c>
      <c r="BU2981" s="1"/>
      <c r="BV2981" s="1"/>
    </row>
    <row r="2982" spans="1:74">
      <c r="A2982" s="1" t="s">
        <v>72</v>
      </c>
      <c r="B2982" s="1" t="s">
        <v>47324</v>
      </c>
      <c r="C2982" s="1" t="s">
        <v>74</v>
      </c>
      <c r="D2982" s="1" t="s">
        <v>74</v>
      </c>
      <c r="E2982" s="1" t="s">
        <v>74</v>
      </c>
      <c r="F2982" s="1" t="s">
        <v>47325</v>
      </c>
      <c r="G2982" s="1" t="s">
        <v>74</v>
      </c>
      <c r="H2982" s="1" t="s">
        <v>74</v>
      </c>
      <c r="I2982" s="1" t="s">
        <v>47326</v>
      </c>
      <c r="J2982" s="1" t="s">
        <v>13162</v>
      </c>
      <c r="K2982" s="1" t="s">
        <v>74</v>
      </c>
      <c r="L2982" s="1" t="s">
        <v>74</v>
      </c>
      <c r="M2982" s="1" t="s">
        <v>78</v>
      </c>
      <c r="N2982" s="1" t="s">
        <v>79</v>
      </c>
      <c r="O2982" s="1" t="s">
        <v>74</v>
      </c>
      <c r="P2982" s="1" t="s">
        <v>74</v>
      </c>
      <c r="Q2982" s="1" t="s">
        <v>74</v>
      </c>
      <c r="R2982" s="1" t="s">
        <v>74</v>
      </c>
      <c r="S2982" s="1" t="s">
        <v>74</v>
      </c>
      <c r="T2982" s="1" t="s">
        <v>47327</v>
      </c>
      <c r="U2982" s="1" t="s">
        <v>47328</v>
      </c>
      <c r="V2982" s="1" t="s">
        <v>47329</v>
      </c>
      <c r="W2982" s="1" t="s">
        <v>47330</v>
      </c>
      <c r="X2982" s="1" t="s">
        <v>47331</v>
      </c>
      <c r="Y2982" s="1" t="s">
        <v>47332</v>
      </c>
      <c r="Z2982" s="1" t="s">
        <v>47333</v>
      </c>
      <c r="AA2982" s="1" t="s">
        <v>47334</v>
      </c>
      <c r="AB2982" s="1" t="s">
        <v>47335</v>
      </c>
      <c r="AC2982" s="1" t="s">
        <v>74</v>
      </c>
      <c r="AD2982" s="1" t="s">
        <v>74</v>
      </c>
      <c r="AE2982" s="1" t="s">
        <v>74</v>
      </c>
      <c r="AF2982" s="1" t="s">
        <v>74</v>
      </c>
      <c r="AG2982" s="1">
        <v>16</v>
      </c>
      <c r="AH2982" s="1">
        <v>4</v>
      </c>
      <c r="AI2982" s="1">
        <v>5</v>
      </c>
      <c r="AJ2982" s="1">
        <v>0</v>
      </c>
      <c r="AK2982" s="1">
        <v>8</v>
      </c>
      <c r="AL2982" s="1" t="s">
        <v>13171</v>
      </c>
      <c r="AM2982" s="1" t="s">
        <v>4197</v>
      </c>
      <c r="AN2982" s="1" t="s">
        <v>13172</v>
      </c>
      <c r="AO2982" s="1" t="s">
        <v>13173</v>
      </c>
      <c r="AP2982" s="1" t="s">
        <v>47336</v>
      </c>
      <c r="AQ2982" s="1" t="s">
        <v>74</v>
      </c>
      <c r="AR2982" s="1" t="s">
        <v>13174</v>
      </c>
      <c r="AS2982" s="1" t="s">
        <v>13175</v>
      </c>
      <c r="AT2982" s="1" t="s">
        <v>93</v>
      </c>
      <c r="AU2982" s="1">
        <v>2010</v>
      </c>
      <c r="AV2982" s="1">
        <v>8</v>
      </c>
      <c r="AW2982" s="1">
        <v>2</v>
      </c>
      <c r="AX2982" s="1">
        <v>2</v>
      </c>
      <c r="AY2982" s="1" t="s">
        <v>74</v>
      </c>
      <c r="AZ2982" s="1" t="s">
        <v>74</v>
      </c>
      <c r="BA2982" s="1" t="s">
        <v>74</v>
      </c>
      <c r="BB2982" s="1">
        <v>1199</v>
      </c>
      <c r="BC2982" s="1">
        <v>1202</v>
      </c>
      <c r="BD2982" s="1" t="s">
        <v>74</v>
      </c>
      <c r="BE2982" s="1" t="s">
        <v>74</v>
      </c>
      <c r="BF2982" s="1" t="s">
        <v>74</v>
      </c>
      <c r="BG2982" s="1" t="s">
        <v>74</v>
      </c>
      <c r="BH2982" s="1" t="s">
        <v>74</v>
      </c>
      <c r="BI2982" s="1">
        <v>4</v>
      </c>
      <c r="BJ2982" s="1" t="s">
        <v>2598</v>
      </c>
      <c r="BK2982" s="1" t="s">
        <v>96</v>
      </c>
      <c r="BL2982" s="1" t="s">
        <v>2598</v>
      </c>
      <c r="BM2982" s="1" t="s">
        <v>47337</v>
      </c>
      <c r="BN2982" s="1" t="s">
        <v>74</v>
      </c>
      <c r="BO2982" s="1" t="s">
        <v>74</v>
      </c>
      <c r="BP2982" s="1" t="s">
        <v>74</v>
      </c>
      <c r="BQ2982" s="1" t="s">
        <v>74</v>
      </c>
      <c r="BR2982" s="1" t="s">
        <v>98</v>
      </c>
      <c r="BS2982" s="1" t="s">
        <v>47338</v>
      </c>
      <c r="BT2982" s="1" t="str">
        <f>HYPERLINK("https%3A%2F%2Fwww.webofscience.com%2Fwos%2Fwoscc%2Ffull-record%2FWOS:000279103700108","View Full Record in Web of Science")</f>
        <v>View Full Record in Web of Science</v>
      </c>
      <c r="BU2982" s="1"/>
      <c r="BV2982" s="1"/>
    </row>
    <row r="2983" spans="1:74">
      <c r="A2983" s="1" t="s">
        <v>72</v>
      </c>
      <c r="B2983" s="1" t="s">
        <v>47339</v>
      </c>
      <c r="C2983" s="1" t="s">
        <v>74</v>
      </c>
      <c r="D2983" s="1" t="s">
        <v>74</v>
      </c>
      <c r="E2983" s="1" t="s">
        <v>74</v>
      </c>
      <c r="F2983" s="1" t="s">
        <v>47340</v>
      </c>
      <c r="G2983" s="1" t="s">
        <v>74</v>
      </c>
      <c r="H2983" s="1" t="s">
        <v>74</v>
      </c>
      <c r="I2983" s="1" t="s">
        <v>47341</v>
      </c>
      <c r="J2983" s="1" t="s">
        <v>47342</v>
      </c>
      <c r="K2983" s="1" t="s">
        <v>74</v>
      </c>
      <c r="L2983" s="1" t="s">
        <v>74</v>
      </c>
      <c r="M2983" s="1" t="s">
        <v>78</v>
      </c>
      <c r="N2983" s="1" t="s">
        <v>79</v>
      </c>
      <c r="O2983" s="1" t="s">
        <v>74</v>
      </c>
      <c r="P2983" s="1" t="s">
        <v>74</v>
      </c>
      <c r="Q2983" s="1" t="s">
        <v>74</v>
      </c>
      <c r="R2983" s="1" t="s">
        <v>74</v>
      </c>
      <c r="S2983" s="1" t="s">
        <v>74</v>
      </c>
      <c r="T2983" s="1" t="s">
        <v>47343</v>
      </c>
      <c r="U2983" s="1" t="s">
        <v>47344</v>
      </c>
      <c r="V2983" s="1" t="s">
        <v>47345</v>
      </c>
      <c r="W2983" s="1" t="s">
        <v>47346</v>
      </c>
      <c r="X2983" s="1" t="s">
        <v>47347</v>
      </c>
      <c r="Y2983" s="1" t="s">
        <v>47348</v>
      </c>
      <c r="Z2983" s="1" t="s">
        <v>47349</v>
      </c>
      <c r="AA2983" s="1" t="s">
        <v>47350</v>
      </c>
      <c r="AB2983" s="1" t="s">
        <v>47351</v>
      </c>
      <c r="AC2983" s="1" t="s">
        <v>47352</v>
      </c>
      <c r="AD2983" s="1" t="s">
        <v>47353</v>
      </c>
      <c r="AE2983" s="1" t="s">
        <v>47354</v>
      </c>
      <c r="AF2983" s="1" t="s">
        <v>74</v>
      </c>
      <c r="AG2983" s="1">
        <v>77</v>
      </c>
      <c r="AH2983" s="1">
        <v>28</v>
      </c>
      <c r="AI2983" s="1">
        <v>28</v>
      </c>
      <c r="AJ2983" s="1">
        <v>1</v>
      </c>
      <c r="AK2983" s="1">
        <v>37</v>
      </c>
      <c r="AL2983" s="1" t="s">
        <v>4471</v>
      </c>
      <c r="AM2983" s="1" t="s">
        <v>4472</v>
      </c>
      <c r="AN2983" s="1" t="s">
        <v>4473</v>
      </c>
      <c r="AO2983" s="1" t="s">
        <v>47355</v>
      </c>
      <c r="AP2983" s="1" t="s">
        <v>74</v>
      </c>
      <c r="AQ2983" s="1" t="s">
        <v>74</v>
      </c>
      <c r="AR2983" s="1" t="s">
        <v>47356</v>
      </c>
      <c r="AS2983" s="1" t="s">
        <v>47357</v>
      </c>
      <c r="AT2983" s="1" t="s">
        <v>47358</v>
      </c>
      <c r="AU2983" s="1">
        <v>2021</v>
      </c>
      <c r="AV2983" s="1">
        <v>5</v>
      </c>
      <c r="AW2983" s="1">
        <v>6</v>
      </c>
      <c r="AX2983" s="1" t="s">
        <v>74</v>
      </c>
      <c r="AY2983" s="1" t="s">
        <v>74</v>
      </c>
      <c r="AZ2983" s="1" t="s">
        <v>74</v>
      </c>
      <c r="BA2983" s="1" t="s">
        <v>74</v>
      </c>
      <c r="BB2983" s="1">
        <v>1407</v>
      </c>
      <c r="BC2983" s="1">
        <v>1417</v>
      </c>
      <c r="BD2983" s="1" t="s">
        <v>74</v>
      </c>
      <c r="BE2983" s="1" t="s">
        <v>47359</v>
      </c>
      <c r="BF2983" s="1" t="str">
        <f>HYPERLINK("http://dx.doi.org/10.1021/acsearthspacechem.1c00045","http://dx.doi.org/10.1021/acsearthspacechem.1c00045")</f>
        <v>http://dx.doi.org/10.1021/acsearthspacechem.1c00045</v>
      </c>
      <c r="BG2983" s="1" t="s">
        <v>74</v>
      </c>
      <c r="BH2983" s="1" t="s">
        <v>3508</v>
      </c>
      <c r="BI2983" s="1">
        <v>11</v>
      </c>
      <c r="BJ2983" s="1" t="s">
        <v>47360</v>
      </c>
      <c r="BK2983" s="1" t="s">
        <v>96</v>
      </c>
      <c r="BL2983" s="1" t="s">
        <v>47361</v>
      </c>
      <c r="BM2983" s="1" t="s">
        <v>47362</v>
      </c>
      <c r="BN2983" s="1" t="s">
        <v>74</v>
      </c>
      <c r="BO2983" s="1" t="s">
        <v>810</v>
      </c>
      <c r="BP2983" s="1" t="s">
        <v>74</v>
      </c>
      <c r="BQ2983" s="1" t="s">
        <v>74</v>
      </c>
      <c r="BR2983" s="1" t="s">
        <v>98</v>
      </c>
      <c r="BS2983" s="1" t="s">
        <v>47363</v>
      </c>
      <c r="BT2983" s="1" t="str">
        <f>HYPERLINK("https%3A%2F%2Fwww.webofscience.com%2Fwos%2Fwoscc%2Ffull-record%2FWOS:000664308000014","View Full Record in Web of Science")</f>
        <v>View Full Record in Web of Science</v>
      </c>
      <c r="BU2983" s="1"/>
      <c r="BV2983" s="1"/>
    </row>
    <row r="2984" spans="1:74">
      <c r="A2984" s="1" t="s">
        <v>72</v>
      </c>
      <c r="B2984" s="1" t="s">
        <v>47364</v>
      </c>
      <c r="C2984" s="1" t="s">
        <v>74</v>
      </c>
      <c r="D2984" s="1" t="s">
        <v>74</v>
      </c>
      <c r="E2984" s="1" t="s">
        <v>74</v>
      </c>
      <c r="F2984" s="1" t="s">
        <v>47365</v>
      </c>
      <c r="G2984" s="1" t="s">
        <v>74</v>
      </c>
      <c r="H2984" s="1" t="s">
        <v>74</v>
      </c>
      <c r="I2984" s="1" t="s">
        <v>47366</v>
      </c>
      <c r="J2984" s="1" t="s">
        <v>11378</v>
      </c>
      <c r="K2984" s="1" t="s">
        <v>74</v>
      </c>
      <c r="L2984" s="1" t="s">
        <v>74</v>
      </c>
      <c r="M2984" s="1" t="s">
        <v>78</v>
      </c>
      <c r="N2984" s="1" t="s">
        <v>79</v>
      </c>
      <c r="O2984" s="1" t="s">
        <v>74</v>
      </c>
      <c r="P2984" s="1" t="s">
        <v>74</v>
      </c>
      <c r="Q2984" s="1" t="s">
        <v>74</v>
      </c>
      <c r="R2984" s="1" t="s">
        <v>74</v>
      </c>
      <c r="S2984" s="1" t="s">
        <v>74</v>
      </c>
      <c r="T2984" s="1" t="s">
        <v>47367</v>
      </c>
      <c r="U2984" s="1" t="s">
        <v>47368</v>
      </c>
      <c r="V2984" s="1" t="s">
        <v>47369</v>
      </c>
      <c r="W2984" s="1" t="s">
        <v>47370</v>
      </c>
      <c r="X2984" s="1" t="s">
        <v>47371</v>
      </c>
      <c r="Y2984" s="1" t="s">
        <v>47372</v>
      </c>
      <c r="Z2984" s="1" t="s">
        <v>47373</v>
      </c>
      <c r="AA2984" s="1" t="s">
        <v>47374</v>
      </c>
      <c r="AB2984" s="1" t="s">
        <v>47375</v>
      </c>
      <c r="AC2984" s="1" t="s">
        <v>47376</v>
      </c>
      <c r="AD2984" s="1" t="s">
        <v>47377</v>
      </c>
      <c r="AE2984" s="1" t="s">
        <v>47378</v>
      </c>
      <c r="AF2984" s="1" t="s">
        <v>74</v>
      </c>
      <c r="AG2984" s="1">
        <v>75</v>
      </c>
      <c r="AH2984" s="1">
        <v>0</v>
      </c>
      <c r="AI2984" s="1">
        <v>0</v>
      </c>
      <c r="AJ2984" s="1">
        <v>6</v>
      </c>
      <c r="AK2984" s="1">
        <v>6</v>
      </c>
      <c r="AL2984" s="1" t="s">
        <v>1566</v>
      </c>
      <c r="AM2984" s="1" t="s">
        <v>1567</v>
      </c>
      <c r="AN2984" s="1" t="s">
        <v>1568</v>
      </c>
      <c r="AO2984" s="1" t="s">
        <v>74</v>
      </c>
      <c r="AP2984" s="1" t="s">
        <v>11389</v>
      </c>
      <c r="AQ2984" s="1" t="s">
        <v>74</v>
      </c>
      <c r="AR2984" s="1" t="s">
        <v>11378</v>
      </c>
      <c r="AS2984" s="1" t="s">
        <v>11390</v>
      </c>
      <c r="AT2984" s="1" t="s">
        <v>170</v>
      </c>
      <c r="AU2984" s="1">
        <v>2024</v>
      </c>
      <c r="AV2984" s="1">
        <v>12</v>
      </c>
      <c r="AW2984" s="1">
        <v>5</v>
      </c>
      <c r="AX2984" s="1" t="s">
        <v>74</v>
      </c>
      <c r="AY2984" s="1" t="s">
        <v>74</v>
      </c>
      <c r="AZ2984" s="1" t="s">
        <v>74</v>
      </c>
      <c r="BA2984" s="1" t="s">
        <v>74</v>
      </c>
      <c r="BB2984" s="1" t="s">
        <v>74</v>
      </c>
      <c r="BC2984" s="1" t="s">
        <v>74</v>
      </c>
      <c r="BD2984" s="1">
        <v>319</v>
      </c>
      <c r="BE2984" s="1" t="s">
        <v>47379</v>
      </c>
      <c r="BF2984" s="1" t="str">
        <f>HYPERLINK("http://dx.doi.org/10.3390/toxics12050319","http://dx.doi.org/10.3390/toxics12050319")</f>
        <v>http://dx.doi.org/10.3390/toxics12050319</v>
      </c>
      <c r="BG2984" s="1" t="s">
        <v>74</v>
      </c>
      <c r="BH2984" s="1" t="s">
        <v>74</v>
      </c>
      <c r="BI2984" s="1">
        <v>17</v>
      </c>
      <c r="BJ2984" s="1" t="s">
        <v>121</v>
      </c>
      <c r="BK2984" s="1" t="s">
        <v>96</v>
      </c>
      <c r="BL2984" s="1" t="s">
        <v>122</v>
      </c>
      <c r="BM2984" s="1" t="s">
        <v>47380</v>
      </c>
      <c r="BN2984" s="1">
        <v>38787099</v>
      </c>
      <c r="BO2984" s="1" t="s">
        <v>2155</v>
      </c>
      <c r="BP2984" s="1" t="s">
        <v>74</v>
      </c>
      <c r="BQ2984" s="1" t="s">
        <v>74</v>
      </c>
      <c r="BR2984" s="1" t="s">
        <v>98</v>
      </c>
      <c r="BS2984" s="1" t="s">
        <v>47381</v>
      </c>
      <c r="BT2984" s="1" t="str">
        <f>HYPERLINK("https%3A%2F%2Fwww.webofscience.com%2Fwos%2Fwoscc%2Ffull-record%2FWOS:001231227400001","View Full Record in Web of Science")</f>
        <v>View Full Record in Web of Science</v>
      </c>
      <c r="BU2984" s="1"/>
      <c r="BV2984" s="1"/>
    </row>
    <row r="2985" spans="1:74">
      <c r="A2985" s="1" t="s">
        <v>72</v>
      </c>
      <c r="B2985" s="1" t="s">
        <v>47382</v>
      </c>
      <c r="C2985" s="1" t="s">
        <v>74</v>
      </c>
      <c r="D2985" s="1" t="s">
        <v>74</v>
      </c>
      <c r="E2985" s="1" t="s">
        <v>74</v>
      </c>
      <c r="F2985" s="1" t="s">
        <v>47383</v>
      </c>
      <c r="G2985" s="1" t="s">
        <v>74</v>
      </c>
      <c r="H2985" s="1" t="s">
        <v>74</v>
      </c>
      <c r="I2985" s="1" t="s">
        <v>47384</v>
      </c>
      <c r="J2985" s="1" t="s">
        <v>421</v>
      </c>
      <c r="K2985" s="1" t="s">
        <v>74</v>
      </c>
      <c r="L2985" s="1" t="s">
        <v>74</v>
      </c>
      <c r="M2985" s="1" t="s">
        <v>78</v>
      </c>
      <c r="N2985" s="1" t="s">
        <v>79</v>
      </c>
      <c r="O2985" s="1" t="s">
        <v>74</v>
      </c>
      <c r="P2985" s="1" t="s">
        <v>74</v>
      </c>
      <c r="Q2985" s="1" t="s">
        <v>74</v>
      </c>
      <c r="R2985" s="1" t="s">
        <v>74</v>
      </c>
      <c r="S2985" s="1" t="s">
        <v>74</v>
      </c>
      <c r="T2985" s="1" t="s">
        <v>47385</v>
      </c>
      <c r="U2985" s="1" t="s">
        <v>47386</v>
      </c>
      <c r="V2985" s="1" t="s">
        <v>47387</v>
      </c>
      <c r="W2985" s="1" t="s">
        <v>47388</v>
      </c>
      <c r="X2985" s="1" t="s">
        <v>47389</v>
      </c>
      <c r="Y2985" s="1" t="s">
        <v>47390</v>
      </c>
      <c r="Z2985" s="1" t="s">
        <v>806</v>
      </c>
      <c r="AA2985" s="1" t="s">
        <v>74</v>
      </c>
      <c r="AB2985" s="1" t="s">
        <v>74</v>
      </c>
      <c r="AC2985" s="1" t="s">
        <v>74</v>
      </c>
      <c r="AD2985" s="1" t="s">
        <v>74</v>
      </c>
      <c r="AE2985" s="1" t="s">
        <v>74</v>
      </c>
      <c r="AF2985" s="1" t="s">
        <v>74</v>
      </c>
      <c r="AG2985" s="1">
        <v>56</v>
      </c>
      <c r="AH2985" s="1">
        <v>25</v>
      </c>
      <c r="AI2985" s="1">
        <v>27</v>
      </c>
      <c r="AJ2985" s="1">
        <v>2</v>
      </c>
      <c r="AK2985" s="1">
        <v>44</v>
      </c>
      <c r="AL2985" s="1" t="s">
        <v>430</v>
      </c>
      <c r="AM2985" s="1" t="s">
        <v>137</v>
      </c>
      <c r="AN2985" s="1" t="s">
        <v>431</v>
      </c>
      <c r="AO2985" s="1" t="s">
        <v>432</v>
      </c>
      <c r="AP2985" s="1" t="s">
        <v>1394</v>
      </c>
      <c r="AQ2985" s="1" t="s">
        <v>74</v>
      </c>
      <c r="AR2985" s="1" t="s">
        <v>433</v>
      </c>
      <c r="AS2985" s="1" t="s">
        <v>434</v>
      </c>
      <c r="AT2985" s="1" t="s">
        <v>119</v>
      </c>
      <c r="AU2985" s="1">
        <v>2012</v>
      </c>
      <c r="AV2985" s="1">
        <v>167</v>
      </c>
      <c r="AW2985" s="1" t="s">
        <v>74</v>
      </c>
      <c r="AX2985" s="1" t="s">
        <v>74</v>
      </c>
      <c r="AY2985" s="1" t="s">
        <v>74</v>
      </c>
      <c r="AZ2985" s="1" t="s">
        <v>74</v>
      </c>
      <c r="BA2985" s="1" t="s">
        <v>74</v>
      </c>
      <c r="BB2985" s="1">
        <v>70</v>
      </c>
      <c r="BC2985" s="1">
        <v>77</v>
      </c>
      <c r="BD2985" s="1" t="s">
        <v>74</v>
      </c>
      <c r="BE2985" s="1" t="s">
        <v>47391</v>
      </c>
      <c r="BF2985" s="1" t="str">
        <f>HYPERLINK("http://dx.doi.org/10.1016/j.envpol.2012.03.031","http://dx.doi.org/10.1016/j.envpol.2012.03.031")</f>
        <v>http://dx.doi.org/10.1016/j.envpol.2012.03.031</v>
      </c>
      <c r="BG2985" s="1" t="s">
        <v>74</v>
      </c>
      <c r="BH2985" s="1" t="s">
        <v>74</v>
      </c>
      <c r="BI2985" s="1">
        <v>8</v>
      </c>
      <c r="BJ2985" s="1" t="s">
        <v>144</v>
      </c>
      <c r="BK2985" s="1" t="s">
        <v>96</v>
      </c>
      <c r="BL2985" s="1" t="s">
        <v>145</v>
      </c>
      <c r="BM2985" s="1" t="s">
        <v>47392</v>
      </c>
      <c r="BN2985" s="1">
        <v>22537660</v>
      </c>
      <c r="BO2985" s="1" t="s">
        <v>74</v>
      </c>
      <c r="BP2985" s="1" t="s">
        <v>74</v>
      </c>
      <c r="BQ2985" s="1" t="s">
        <v>74</v>
      </c>
      <c r="BR2985" s="1" t="s">
        <v>98</v>
      </c>
      <c r="BS2985" s="1" t="s">
        <v>47393</v>
      </c>
      <c r="BT2985" s="1" t="str">
        <f>HYPERLINK("https%3A%2F%2Fwww.webofscience.com%2Fwos%2Fwoscc%2Ffull-record%2FWOS:000305377300009","View Full Record in Web of Science")</f>
        <v>View Full Record in Web of Science</v>
      </c>
      <c r="BU2985" s="1"/>
      <c r="BV2985" s="1"/>
    </row>
    <row r="2986" spans="1:74">
      <c r="A2986" s="1" t="s">
        <v>72</v>
      </c>
      <c r="B2986" s="1" t="s">
        <v>47394</v>
      </c>
      <c r="C2986" s="1" t="s">
        <v>74</v>
      </c>
      <c r="D2986" s="1" t="s">
        <v>74</v>
      </c>
      <c r="E2986" s="1" t="s">
        <v>74</v>
      </c>
      <c r="F2986" s="1" t="s">
        <v>47395</v>
      </c>
      <c r="G2986" s="1" t="s">
        <v>74</v>
      </c>
      <c r="H2986" s="1" t="s">
        <v>74</v>
      </c>
      <c r="I2986" s="1" t="s">
        <v>47396</v>
      </c>
      <c r="J2986" s="1" t="s">
        <v>47397</v>
      </c>
      <c r="K2986" s="1" t="s">
        <v>74</v>
      </c>
      <c r="L2986" s="1" t="s">
        <v>74</v>
      </c>
      <c r="M2986" s="1" t="s">
        <v>78</v>
      </c>
      <c r="N2986" s="1" t="s">
        <v>79</v>
      </c>
      <c r="O2986" s="1" t="s">
        <v>74</v>
      </c>
      <c r="P2986" s="1" t="s">
        <v>74</v>
      </c>
      <c r="Q2986" s="1" t="s">
        <v>74</v>
      </c>
      <c r="R2986" s="1" t="s">
        <v>74</v>
      </c>
      <c r="S2986" s="1" t="s">
        <v>74</v>
      </c>
      <c r="T2986" s="1" t="s">
        <v>47398</v>
      </c>
      <c r="U2986" s="1" t="s">
        <v>47399</v>
      </c>
      <c r="V2986" s="1" t="s">
        <v>47400</v>
      </c>
      <c r="W2986" s="1" t="s">
        <v>47401</v>
      </c>
      <c r="X2986" s="1" t="s">
        <v>47402</v>
      </c>
      <c r="Y2986" s="1" t="s">
        <v>47403</v>
      </c>
      <c r="Z2986" s="1" t="s">
        <v>47404</v>
      </c>
      <c r="AA2986" s="1" t="s">
        <v>74</v>
      </c>
      <c r="AB2986" s="1" t="s">
        <v>74</v>
      </c>
      <c r="AC2986" s="1" t="s">
        <v>47405</v>
      </c>
      <c r="AD2986" s="1" t="s">
        <v>47406</v>
      </c>
      <c r="AE2986" s="1" t="s">
        <v>47407</v>
      </c>
      <c r="AF2986" s="1" t="s">
        <v>74</v>
      </c>
      <c r="AG2986" s="1">
        <v>55</v>
      </c>
      <c r="AH2986" s="1">
        <v>0</v>
      </c>
      <c r="AI2986" s="1">
        <v>0</v>
      </c>
      <c r="AJ2986" s="1">
        <v>2</v>
      </c>
      <c r="AK2986" s="1">
        <v>2</v>
      </c>
      <c r="AL2986" s="1" t="s">
        <v>430</v>
      </c>
      <c r="AM2986" s="1" t="s">
        <v>7361</v>
      </c>
      <c r="AN2986" s="1" t="s">
        <v>7362</v>
      </c>
      <c r="AO2986" s="1" t="s">
        <v>47408</v>
      </c>
      <c r="AP2986" s="1" t="s">
        <v>47409</v>
      </c>
      <c r="AQ2986" s="1" t="s">
        <v>74</v>
      </c>
      <c r="AR2986" s="1" t="s">
        <v>47410</v>
      </c>
      <c r="AS2986" s="1" t="s">
        <v>47411</v>
      </c>
      <c r="AT2986" s="1" t="s">
        <v>387</v>
      </c>
      <c r="AU2986" s="1">
        <v>2024</v>
      </c>
      <c r="AV2986" s="1">
        <v>50</v>
      </c>
      <c r="AW2986" s="1">
        <v>10</v>
      </c>
      <c r="AX2986" s="1" t="s">
        <v>74</v>
      </c>
      <c r="AY2986" s="1" t="s">
        <v>74</v>
      </c>
      <c r="AZ2986" s="1" t="s">
        <v>74</v>
      </c>
      <c r="BA2986" s="1" t="s">
        <v>74</v>
      </c>
      <c r="BB2986" s="1">
        <v>18002</v>
      </c>
      <c r="BC2986" s="1">
        <v>18011</v>
      </c>
      <c r="BD2986" s="1" t="s">
        <v>74</v>
      </c>
      <c r="BE2986" s="1" t="s">
        <v>47412</v>
      </c>
      <c r="BF2986" s="1" t="str">
        <f>HYPERLINK("http://dx.doi.org/10.1016/j.ceramint.2024.02.289","http://dx.doi.org/10.1016/j.ceramint.2024.02.289")</f>
        <v>http://dx.doi.org/10.1016/j.ceramint.2024.02.289</v>
      </c>
      <c r="BG2986" s="1" t="s">
        <v>74</v>
      </c>
      <c r="BH2986" s="1" t="s">
        <v>9434</v>
      </c>
      <c r="BI2986" s="1">
        <v>10</v>
      </c>
      <c r="BJ2986" s="1" t="s">
        <v>47413</v>
      </c>
      <c r="BK2986" s="1" t="s">
        <v>96</v>
      </c>
      <c r="BL2986" s="1" t="s">
        <v>39379</v>
      </c>
      <c r="BM2986" s="1" t="s">
        <v>47414</v>
      </c>
      <c r="BN2986" s="1" t="s">
        <v>74</v>
      </c>
      <c r="BO2986" s="1" t="s">
        <v>74</v>
      </c>
      <c r="BP2986" s="1" t="s">
        <v>74</v>
      </c>
      <c r="BQ2986" s="1" t="s">
        <v>74</v>
      </c>
      <c r="BR2986" s="1" t="s">
        <v>98</v>
      </c>
      <c r="BS2986" s="1" t="s">
        <v>47415</v>
      </c>
      <c r="BT2986" s="1" t="str">
        <f>HYPERLINK("https%3A%2F%2Fwww.webofscience.com%2Fwos%2Fwoscc%2Ffull-record%2FWOS:001218170200015","View Full Record in Web of Science")</f>
        <v>View Full Record in Web of Science</v>
      </c>
      <c r="BU2986" s="1"/>
      <c r="BV2986" s="1"/>
    </row>
    <row r="2987" spans="1:74">
      <c r="A2987" s="1" t="s">
        <v>72</v>
      </c>
      <c r="B2987" s="1" t="s">
        <v>47416</v>
      </c>
      <c r="C2987" s="1" t="s">
        <v>74</v>
      </c>
      <c r="D2987" s="1" t="s">
        <v>74</v>
      </c>
      <c r="E2987" s="1" t="s">
        <v>74</v>
      </c>
      <c r="F2987" s="1" t="s">
        <v>47417</v>
      </c>
      <c r="G2987" s="1" t="s">
        <v>74</v>
      </c>
      <c r="H2987" s="1" t="s">
        <v>74</v>
      </c>
      <c r="I2987" s="1" t="s">
        <v>47418</v>
      </c>
      <c r="J2987" s="1" t="s">
        <v>421</v>
      </c>
      <c r="K2987" s="1" t="s">
        <v>74</v>
      </c>
      <c r="L2987" s="1" t="s">
        <v>74</v>
      </c>
      <c r="M2987" s="1" t="s">
        <v>78</v>
      </c>
      <c r="N2987" s="1" t="s">
        <v>79</v>
      </c>
      <c r="O2987" s="1" t="s">
        <v>74</v>
      </c>
      <c r="P2987" s="1" t="s">
        <v>74</v>
      </c>
      <c r="Q2987" s="1" t="s">
        <v>74</v>
      </c>
      <c r="R2987" s="1" t="s">
        <v>74</v>
      </c>
      <c r="S2987" s="1" t="s">
        <v>74</v>
      </c>
      <c r="T2987" s="1" t="s">
        <v>47419</v>
      </c>
      <c r="U2987" s="1" t="s">
        <v>47420</v>
      </c>
      <c r="V2987" s="1" t="s">
        <v>47421</v>
      </c>
      <c r="W2987" s="1" t="s">
        <v>47422</v>
      </c>
      <c r="X2987" s="1" t="s">
        <v>47423</v>
      </c>
      <c r="Y2987" s="1" t="s">
        <v>47424</v>
      </c>
      <c r="Z2987" s="1" t="s">
        <v>47425</v>
      </c>
      <c r="AA2987" s="1" t="s">
        <v>47426</v>
      </c>
      <c r="AB2987" s="1" t="s">
        <v>47427</v>
      </c>
      <c r="AC2987" s="1" t="s">
        <v>47428</v>
      </c>
      <c r="AD2987" s="1" t="s">
        <v>47429</v>
      </c>
      <c r="AE2987" s="1" t="s">
        <v>47430</v>
      </c>
      <c r="AF2987" s="1" t="s">
        <v>74</v>
      </c>
      <c r="AG2987" s="1">
        <v>48</v>
      </c>
      <c r="AH2987" s="1">
        <v>23</v>
      </c>
      <c r="AI2987" s="1">
        <v>23</v>
      </c>
      <c r="AJ2987" s="1">
        <v>1</v>
      </c>
      <c r="AK2987" s="1">
        <v>57</v>
      </c>
      <c r="AL2987" s="1" t="s">
        <v>430</v>
      </c>
      <c r="AM2987" s="1" t="s">
        <v>137</v>
      </c>
      <c r="AN2987" s="1" t="s">
        <v>431</v>
      </c>
      <c r="AO2987" s="1" t="s">
        <v>432</v>
      </c>
      <c r="AP2987" s="1" t="s">
        <v>1394</v>
      </c>
      <c r="AQ2987" s="1" t="s">
        <v>74</v>
      </c>
      <c r="AR2987" s="1" t="s">
        <v>433</v>
      </c>
      <c r="AS2987" s="1" t="s">
        <v>434</v>
      </c>
      <c r="AT2987" s="1" t="s">
        <v>1470</v>
      </c>
      <c r="AU2987" s="1">
        <v>2017</v>
      </c>
      <c r="AV2987" s="1">
        <v>220</v>
      </c>
      <c r="AW2987" s="1" t="s">
        <v>74</v>
      </c>
      <c r="AX2987" s="1" t="s">
        <v>13570</v>
      </c>
      <c r="AY2987" s="1" t="s">
        <v>74</v>
      </c>
      <c r="AZ2987" s="1" t="s">
        <v>74</v>
      </c>
      <c r="BA2987" s="1" t="s">
        <v>74</v>
      </c>
      <c r="BB2987" s="1">
        <v>1147</v>
      </c>
      <c r="BC2987" s="1">
        <v>1159</v>
      </c>
      <c r="BD2987" s="1" t="s">
        <v>74</v>
      </c>
      <c r="BE2987" s="1" t="s">
        <v>47431</v>
      </c>
      <c r="BF2987" s="1" t="str">
        <f>HYPERLINK("http://dx.doi.org/10.1016/j.envpol.2016.11.020","http://dx.doi.org/10.1016/j.envpol.2016.11.020")</f>
        <v>http://dx.doi.org/10.1016/j.envpol.2016.11.020</v>
      </c>
      <c r="BG2987" s="1" t="s">
        <v>74</v>
      </c>
      <c r="BH2987" s="1" t="s">
        <v>74</v>
      </c>
      <c r="BI2987" s="1">
        <v>13</v>
      </c>
      <c r="BJ2987" s="1" t="s">
        <v>144</v>
      </c>
      <c r="BK2987" s="1" t="s">
        <v>96</v>
      </c>
      <c r="BL2987" s="1" t="s">
        <v>145</v>
      </c>
      <c r="BM2987" s="1" t="s">
        <v>47432</v>
      </c>
      <c r="BN2987" s="1">
        <v>27843016</v>
      </c>
      <c r="BO2987" s="1" t="s">
        <v>74</v>
      </c>
      <c r="BP2987" s="1" t="s">
        <v>74</v>
      </c>
      <c r="BQ2987" s="1" t="s">
        <v>74</v>
      </c>
      <c r="BR2987" s="1" t="s">
        <v>98</v>
      </c>
      <c r="BS2987" s="1" t="s">
        <v>47433</v>
      </c>
      <c r="BT2987" s="1" t="str">
        <f>HYPERLINK("https%3A%2F%2Fwww.webofscience.com%2Fwos%2Fwoscc%2Ffull-record%2FWOS:000390732300043","View Full Record in Web of Science")</f>
        <v>View Full Record in Web of Science</v>
      </c>
      <c r="BU2987" s="1"/>
      <c r="BV2987" s="1"/>
    </row>
    <row r="2988" spans="1:74">
      <c r="A2988" s="1" t="s">
        <v>72</v>
      </c>
      <c r="B2988" s="1" t="s">
        <v>47434</v>
      </c>
      <c r="C2988" s="1" t="s">
        <v>74</v>
      </c>
      <c r="D2988" s="1" t="s">
        <v>74</v>
      </c>
      <c r="E2988" s="1" t="s">
        <v>74</v>
      </c>
      <c r="F2988" s="1" t="s">
        <v>47435</v>
      </c>
      <c r="G2988" s="1" t="s">
        <v>74</v>
      </c>
      <c r="H2988" s="1" t="s">
        <v>74</v>
      </c>
      <c r="I2988" s="1" t="s">
        <v>47436</v>
      </c>
      <c r="J2988" s="1" t="s">
        <v>595</v>
      </c>
      <c r="K2988" s="1" t="s">
        <v>74</v>
      </c>
      <c r="L2988" s="1" t="s">
        <v>74</v>
      </c>
      <c r="M2988" s="1" t="s">
        <v>78</v>
      </c>
      <c r="N2988" s="1" t="s">
        <v>79</v>
      </c>
      <c r="O2988" s="1" t="s">
        <v>74</v>
      </c>
      <c r="P2988" s="1" t="s">
        <v>74</v>
      </c>
      <c r="Q2988" s="1" t="s">
        <v>74</v>
      </c>
      <c r="R2988" s="1" t="s">
        <v>74</v>
      </c>
      <c r="S2988" s="1" t="s">
        <v>74</v>
      </c>
      <c r="T2988" s="1" t="s">
        <v>47437</v>
      </c>
      <c r="U2988" s="1" t="s">
        <v>47438</v>
      </c>
      <c r="V2988" s="1" t="s">
        <v>47439</v>
      </c>
      <c r="W2988" s="1" t="s">
        <v>47440</v>
      </c>
      <c r="X2988" s="1" t="s">
        <v>8056</v>
      </c>
      <c r="Y2988" s="1" t="s">
        <v>47441</v>
      </c>
      <c r="Z2988" s="1" t="s">
        <v>19239</v>
      </c>
      <c r="AA2988" s="1" t="s">
        <v>74</v>
      </c>
      <c r="AB2988" s="1" t="s">
        <v>74</v>
      </c>
      <c r="AC2988" s="1" t="s">
        <v>47442</v>
      </c>
      <c r="AD2988" s="1" t="s">
        <v>47442</v>
      </c>
      <c r="AE2988" s="1" t="s">
        <v>47443</v>
      </c>
      <c r="AF2988" s="1" t="s">
        <v>74</v>
      </c>
      <c r="AG2988" s="1">
        <v>33</v>
      </c>
      <c r="AH2988" s="1">
        <v>3</v>
      </c>
      <c r="AI2988" s="1">
        <v>5</v>
      </c>
      <c r="AJ2988" s="1">
        <v>0</v>
      </c>
      <c r="AK2988" s="1">
        <v>8</v>
      </c>
      <c r="AL2988" s="1" t="s">
        <v>112</v>
      </c>
      <c r="AM2988" s="1" t="s">
        <v>191</v>
      </c>
      <c r="AN2988" s="1" t="s">
        <v>192</v>
      </c>
      <c r="AO2988" s="1" t="s">
        <v>608</v>
      </c>
      <c r="AP2988" s="1" t="s">
        <v>609</v>
      </c>
      <c r="AQ2988" s="1" t="s">
        <v>74</v>
      </c>
      <c r="AR2988" s="1" t="s">
        <v>595</v>
      </c>
      <c r="AS2988" s="1" t="s">
        <v>610</v>
      </c>
      <c r="AT2988" s="1" t="s">
        <v>1470</v>
      </c>
      <c r="AU2988" s="1">
        <v>2009</v>
      </c>
      <c r="AV2988" s="1">
        <v>18</v>
      </c>
      <c r="AW2988" s="1">
        <v>1</v>
      </c>
      <c r="AX2988" s="1" t="s">
        <v>74</v>
      </c>
      <c r="AY2988" s="1" t="s">
        <v>74</v>
      </c>
      <c r="AZ2988" s="1" t="s">
        <v>74</v>
      </c>
      <c r="BA2988" s="1" t="s">
        <v>74</v>
      </c>
      <c r="BB2988" s="1">
        <v>69</v>
      </c>
      <c r="BC2988" s="1">
        <v>74</v>
      </c>
      <c r="BD2988" s="1" t="s">
        <v>74</v>
      </c>
      <c r="BE2988" s="1" t="s">
        <v>47444</v>
      </c>
      <c r="BF2988" s="1" t="str">
        <f>HYPERLINK("http://dx.doi.org/10.1007/s10646-008-0258-1","http://dx.doi.org/10.1007/s10646-008-0258-1")</f>
        <v>http://dx.doi.org/10.1007/s10646-008-0258-1</v>
      </c>
      <c r="BG2988" s="1" t="s">
        <v>74</v>
      </c>
      <c r="BH2988" s="1" t="s">
        <v>74</v>
      </c>
      <c r="BI2988" s="1">
        <v>6</v>
      </c>
      <c r="BJ2988" s="1" t="s">
        <v>612</v>
      </c>
      <c r="BK2988" s="1" t="s">
        <v>96</v>
      </c>
      <c r="BL2988" s="1" t="s">
        <v>122</v>
      </c>
      <c r="BM2988" s="1" t="s">
        <v>47445</v>
      </c>
      <c r="BN2988" s="1">
        <v>18763037</v>
      </c>
      <c r="BO2988" s="1" t="s">
        <v>74</v>
      </c>
      <c r="BP2988" s="1" t="s">
        <v>74</v>
      </c>
      <c r="BQ2988" s="1" t="s">
        <v>74</v>
      </c>
      <c r="BR2988" s="1" t="s">
        <v>98</v>
      </c>
      <c r="BS2988" s="1" t="s">
        <v>47446</v>
      </c>
      <c r="BT2988" s="1" t="str">
        <f>HYPERLINK("https%3A%2F%2Fwww.webofscience.com%2Fwos%2Fwoscc%2Ffull-record%2FWOS:000262589200010","View Full Record in Web of Science")</f>
        <v>View Full Record in Web of Science</v>
      </c>
      <c r="BU2988" s="1"/>
      <c r="BV2988" s="1"/>
    </row>
    <row r="2989" spans="1:74">
      <c r="A2989" s="1" t="s">
        <v>72</v>
      </c>
      <c r="B2989" s="1" t="s">
        <v>47447</v>
      </c>
      <c r="C2989" s="1" t="s">
        <v>74</v>
      </c>
      <c r="D2989" s="1" t="s">
        <v>74</v>
      </c>
      <c r="E2989" s="1" t="s">
        <v>74</v>
      </c>
      <c r="F2989" s="1" t="s">
        <v>47448</v>
      </c>
      <c r="G2989" s="1" t="s">
        <v>74</v>
      </c>
      <c r="H2989" s="1" t="s">
        <v>74</v>
      </c>
      <c r="I2989" s="1" t="s">
        <v>47449</v>
      </c>
      <c r="J2989" s="1" t="s">
        <v>47450</v>
      </c>
      <c r="K2989" s="1" t="s">
        <v>74</v>
      </c>
      <c r="L2989" s="1" t="s">
        <v>74</v>
      </c>
      <c r="M2989" s="1" t="s">
        <v>78</v>
      </c>
      <c r="N2989" s="1" t="s">
        <v>79</v>
      </c>
      <c r="O2989" s="1" t="s">
        <v>74</v>
      </c>
      <c r="P2989" s="1" t="s">
        <v>74</v>
      </c>
      <c r="Q2989" s="1" t="s">
        <v>74</v>
      </c>
      <c r="R2989" s="1" t="s">
        <v>74</v>
      </c>
      <c r="S2989" s="1" t="s">
        <v>74</v>
      </c>
      <c r="T2989" s="1" t="s">
        <v>74</v>
      </c>
      <c r="U2989" s="1" t="s">
        <v>47451</v>
      </c>
      <c r="V2989" s="1" t="s">
        <v>47452</v>
      </c>
      <c r="W2989" s="1" t="s">
        <v>47453</v>
      </c>
      <c r="X2989" s="1" t="s">
        <v>47454</v>
      </c>
      <c r="Y2989" s="1" t="s">
        <v>47455</v>
      </c>
      <c r="Z2989" s="1" t="s">
        <v>47456</v>
      </c>
      <c r="AA2989" s="1" t="s">
        <v>74</v>
      </c>
      <c r="AB2989" s="1" t="s">
        <v>74</v>
      </c>
      <c r="AC2989" s="1" t="s">
        <v>47457</v>
      </c>
      <c r="AD2989" s="1" t="s">
        <v>47458</v>
      </c>
      <c r="AE2989" s="1" t="s">
        <v>47459</v>
      </c>
      <c r="AF2989" s="1" t="s">
        <v>74</v>
      </c>
      <c r="AG2989" s="1">
        <v>70</v>
      </c>
      <c r="AH2989" s="1">
        <v>56</v>
      </c>
      <c r="AI2989" s="1">
        <v>59</v>
      </c>
      <c r="AJ2989" s="1">
        <v>2</v>
      </c>
      <c r="AK2989" s="1">
        <v>11</v>
      </c>
      <c r="AL2989" s="1" t="s">
        <v>18255</v>
      </c>
      <c r="AM2989" s="1" t="s">
        <v>286</v>
      </c>
      <c r="AN2989" s="1" t="s">
        <v>18256</v>
      </c>
      <c r="AO2989" s="1" t="s">
        <v>34529</v>
      </c>
      <c r="AP2989" s="1" t="s">
        <v>74</v>
      </c>
      <c r="AQ2989" s="1" t="s">
        <v>74</v>
      </c>
      <c r="AR2989" s="1" t="s">
        <v>47460</v>
      </c>
      <c r="AS2989" s="1" t="s">
        <v>47461</v>
      </c>
      <c r="AT2989" s="1" t="s">
        <v>74</v>
      </c>
      <c r="AU2989" s="1">
        <v>2012</v>
      </c>
      <c r="AV2989" s="1" t="s">
        <v>74</v>
      </c>
      <c r="AW2989" s="1" t="s">
        <v>74</v>
      </c>
      <c r="AX2989" s="1" t="s">
        <v>74</v>
      </c>
      <c r="AY2989" s="1" t="s">
        <v>74</v>
      </c>
      <c r="AZ2989" s="1" t="s">
        <v>74</v>
      </c>
      <c r="BA2989" s="1" t="s">
        <v>74</v>
      </c>
      <c r="BB2989" s="1" t="s">
        <v>74</v>
      </c>
      <c r="BC2989" s="1" t="s">
        <v>74</v>
      </c>
      <c r="BD2989" s="1">
        <v>972839</v>
      </c>
      <c r="BE2989" s="1" t="s">
        <v>47462</v>
      </c>
      <c r="BF2989" s="1" t="str">
        <f>HYPERLINK("http://dx.doi.org/10.1100/2012/972839","http://dx.doi.org/10.1100/2012/972839")</f>
        <v>http://dx.doi.org/10.1100/2012/972839</v>
      </c>
      <c r="BG2989" s="1" t="s">
        <v>74</v>
      </c>
      <c r="BH2989" s="1" t="s">
        <v>74</v>
      </c>
      <c r="BI2989" s="1">
        <v>17</v>
      </c>
      <c r="BJ2989" s="1" t="s">
        <v>3202</v>
      </c>
      <c r="BK2989" s="1" t="s">
        <v>96</v>
      </c>
      <c r="BL2989" s="1" t="s">
        <v>3203</v>
      </c>
      <c r="BM2989" s="1" t="s">
        <v>47463</v>
      </c>
      <c r="BN2989" s="1">
        <v>22645488</v>
      </c>
      <c r="BO2989" s="1" t="s">
        <v>20619</v>
      </c>
      <c r="BP2989" s="1" t="s">
        <v>74</v>
      </c>
      <c r="BQ2989" s="1" t="s">
        <v>74</v>
      </c>
      <c r="BR2989" s="1" t="s">
        <v>98</v>
      </c>
      <c r="BS2989" s="1" t="s">
        <v>47464</v>
      </c>
      <c r="BT2989" s="1" t="str">
        <f>HYPERLINK("https%3A%2F%2Fwww.webofscience.com%2Fwos%2Fwoscc%2Ffull-record%2FWOS:000307073200001","View Full Record in Web of Science")</f>
        <v>View Full Record in Web of Science</v>
      </c>
      <c r="BU2989" s="1"/>
      <c r="BV2989" s="1"/>
    </row>
    <row r="2990" spans="1:74">
      <c r="A2990" s="1" t="s">
        <v>72</v>
      </c>
      <c r="B2990" s="1" t="s">
        <v>47465</v>
      </c>
      <c r="C2990" s="1" t="s">
        <v>74</v>
      </c>
      <c r="D2990" s="1" t="s">
        <v>74</v>
      </c>
      <c r="E2990" s="1" t="s">
        <v>74</v>
      </c>
      <c r="F2990" s="1" t="s">
        <v>47466</v>
      </c>
      <c r="G2990" s="1" t="s">
        <v>74</v>
      </c>
      <c r="H2990" s="1" t="s">
        <v>74</v>
      </c>
      <c r="I2990" s="1" t="s">
        <v>47467</v>
      </c>
      <c r="J2990" s="1" t="s">
        <v>179</v>
      </c>
      <c r="K2990" s="1" t="s">
        <v>74</v>
      </c>
      <c r="L2990" s="1" t="s">
        <v>74</v>
      </c>
      <c r="M2990" s="1" t="s">
        <v>78</v>
      </c>
      <c r="N2990" s="1" t="s">
        <v>79</v>
      </c>
      <c r="O2990" s="1" t="s">
        <v>74</v>
      </c>
      <c r="P2990" s="1" t="s">
        <v>74</v>
      </c>
      <c r="Q2990" s="1" t="s">
        <v>74</v>
      </c>
      <c r="R2990" s="1" t="s">
        <v>74</v>
      </c>
      <c r="S2990" s="1" t="s">
        <v>74</v>
      </c>
      <c r="T2990" s="1" t="s">
        <v>47468</v>
      </c>
      <c r="U2990" s="1" t="s">
        <v>47469</v>
      </c>
      <c r="V2990" s="1" t="s">
        <v>47470</v>
      </c>
      <c r="W2990" s="1" t="s">
        <v>47471</v>
      </c>
      <c r="X2990" s="1" t="s">
        <v>47472</v>
      </c>
      <c r="Y2990" s="1" t="s">
        <v>47473</v>
      </c>
      <c r="Z2990" s="1" t="s">
        <v>47474</v>
      </c>
      <c r="AA2990" s="1" t="s">
        <v>74</v>
      </c>
      <c r="AB2990" s="1" t="s">
        <v>74</v>
      </c>
      <c r="AC2990" s="1" t="s">
        <v>47475</v>
      </c>
      <c r="AD2990" s="1" t="s">
        <v>47476</v>
      </c>
      <c r="AE2990" s="1" t="s">
        <v>47477</v>
      </c>
      <c r="AF2990" s="1" t="s">
        <v>74</v>
      </c>
      <c r="AG2990" s="1">
        <v>47</v>
      </c>
      <c r="AH2990" s="1">
        <v>3</v>
      </c>
      <c r="AI2990" s="1">
        <v>3</v>
      </c>
      <c r="AJ2990" s="1">
        <v>0</v>
      </c>
      <c r="AK2990" s="1">
        <v>16</v>
      </c>
      <c r="AL2990" s="1" t="s">
        <v>112</v>
      </c>
      <c r="AM2990" s="1" t="s">
        <v>191</v>
      </c>
      <c r="AN2990" s="1" t="s">
        <v>192</v>
      </c>
      <c r="AO2990" s="1" t="s">
        <v>193</v>
      </c>
      <c r="AP2990" s="1" t="s">
        <v>194</v>
      </c>
      <c r="AQ2990" s="1" t="s">
        <v>74</v>
      </c>
      <c r="AR2990" s="1" t="s">
        <v>195</v>
      </c>
      <c r="AS2990" s="1" t="s">
        <v>196</v>
      </c>
      <c r="AT2990" s="1" t="s">
        <v>765</v>
      </c>
      <c r="AU2990" s="1">
        <v>2015</v>
      </c>
      <c r="AV2990" s="1">
        <v>187</v>
      </c>
      <c r="AW2990" s="1">
        <v>7</v>
      </c>
      <c r="AX2990" s="1" t="s">
        <v>74</v>
      </c>
      <c r="AY2990" s="1" t="s">
        <v>74</v>
      </c>
      <c r="AZ2990" s="1" t="s">
        <v>74</v>
      </c>
      <c r="BA2990" s="1" t="s">
        <v>74</v>
      </c>
      <c r="BB2990" s="1" t="s">
        <v>74</v>
      </c>
      <c r="BC2990" s="1" t="s">
        <v>74</v>
      </c>
      <c r="BD2990" s="1">
        <v>468</v>
      </c>
      <c r="BE2990" s="1" t="s">
        <v>47478</v>
      </c>
      <c r="BF2990" s="1" t="str">
        <f>HYPERLINK("http://dx.doi.org/10.1007/s10661-015-4683-3","http://dx.doi.org/10.1007/s10661-015-4683-3")</f>
        <v>http://dx.doi.org/10.1007/s10661-015-4683-3</v>
      </c>
      <c r="BG2990" s="1" t="s">
        <v>74</v>
      </c>
      <c r="BH2990" s="1" t="s">
        <v>74</v>
      </c>
      <c r="BI2990" s="1">
        <v>12</v>
      </c>
      <c r="BJ2990" s="1" t="s">
        <v>144</v>
      </c>
      <c r="BK2990" s="1" t="s">
        <v>96</v>
      </c>
      <c r="BL2990" s="1" t="s">
        <v>145</v>
      </c>
      <c r="BM2990" s="1" t="s">
        <v>47479</v>
      </c>
      <c r="BN2990" s="1">
        <v>26116197</v>
      </c>
      <c r="BO2990" s="1" t="s">
        <v>74</v>
      </c>
      <c r="BP2990" s="1" t="s">
        <v>74</v>
      </c>
      <c r="BQ2990" s="1" t="s">
        <v>74</v>
      </c>
      <c r="BR2990" s="1" t="s">
        <v>98</v>
      </c>
      <c r="BS2990" s="1" t="s">
        <v>47480</v>
      </c>
      <c r="BT2990" s="1" t="str">
        <f>HYPERLINK("https%3A%2F%2Fwww.webofscience.com%2Fwos%2Fwoscc%2Ffull-record%2FWOS:000357340500076","View Full Record in Web of Science")</f>
        <v>View Full Record in Web of Science</v>
      </c>
      <c r="BU2990" s="1"/>
      <c r="BV2990" s="1"/>
    </row>
    <row r="2991" spans="1:74">
      <c r="A2991" s="1" t="s">
        <v>72</v>
      </c>
      <c r="B2991" s="1" t="s">
        <v>47481</v>
      </c>
      <c r="C2991" s="1" t="s">
        <v>74</v>
      </c>
      <c r="D2991" s="1" t="s">
        <v>74</v>
      </c>
      <c r="E2991" s="1" t="s">
        <v>74</v>
      </c>
      <c r="F2991" s="1" t="s">
        <v>47482</v>
      </c>
      <c r="G2991" s="1" t="s">
        <v>74</v>
      </c>
      <c r="H2991" s="1" t="s">
        <v>74</v>
      </c>
      <c r="I2991" s="1" t="s">
        <v>47483</v>
      </c>
      <c r="J2991" s="1" t="s">
        <v>232</v>
      </c>
      <c r="K2991" s="1" t="s">
        <v>74</v>
      </c>
      <c r="L2991" s="1" t="s">
        <v>74</v>
      </c>
      <c r="M2991" s="1" t="s">
        <v>78</v>
      </c>
      <c r="N2991" s="1" t="s">
        <v>79</v>
      </c>
      <c r="O2991" s="1" t="s">
        <v>74</v>
      </c>
      <c r="P2991" s="1" t="s">
        <v>74</v>
      </c>
      <c r="Q2991" s="1" t="s">
        <v>74</v>
      </c>
      <c r="R2991" s="1" t="s">
        <v>74</v>
      </c>
      <c r="S2991" s="1" t="s">
        <v>74</v>
      </c>
      <c r="T2991" s="1" t="s">
        <v>47484</v>
      </c>
      <c r="U2991" s="1" t="s">
        <v>47485</v>
      </c>
      <c r="V2991" s="1" t="s">
        <v>47486</v>
      </c>
      <c r="W2991" s="1" t="s">
        <v>47487</v>
      </c>
      <c r="X2991" s="1" t="s">
        <v>47488</v>
      </c>
      <c r="Y2991" s="1" t="s">
        <v>47489</v>
      </c>
      <c r="Z2991" s="1" t="s">
        <v>47490</v>
      </c>
      <c r="AA2991" s="1" t="s">
        <v>47491</v>
      </c>
      <c r="AB2991" s="1" t="s">
        <v>47492</v>
      </c>
      <c r="AC2991" s="1" t="s">
        <v>47493</v>
      </c>
      <c r="AD2991" s="1" t="s">
        <v>47494</v>
      </c>
      <c r="AE2991" s="1" t="s">
        <v>47495</v>
      </c>
      <c r="AF2991" s="1" t="s">
        <v>74</v>
      </c>
      <c r="AG2991" s="1">
        <v>87</v>
      </c>
      <c r="AH2991" s="1">
        <v>26</v>
      </c>
      <c r="AI2991" s="1">
        <v>33</v>
      </c>
      <c r="AJ2991" s="1">
        <v>0</v>
      </c>
      <c r="AK2991" s="1">
        <v>29</v>
      </c>
      <c r="AL2991" s="1" t="s">
        <v>136</v>
      </c>
      <c r="AM2991" s="1" t="s">
        <v>137</v>
      </c>
      <c r="AN2991" s="1" t="s">
        <v>138</v>
      </c>
      <c r="AO2991" s="1" t="s">
        <v>240</v>
      </c>
      <c r="AP2991" s="1" t="s">
        <v>241</v>
      </c>
      <c r="AQ2991" s="1" t="s">
        <v>74</v>
      </c>
      <c r="AR2991" s="1" t="s">
        <v>242</v>
      </c>
      <c r="AS2991" s="1" t="s">
        <v>243</v>
      </c>
      <c r="AT2991" s="1" t="s">
        <v>7041</v>
      </c>
      <c r="AU2991" s="1">
        <v>2015</v>
      </c>
      <c r="AV2991" s="1">
        <v>91</v>
      </c>
      <c r="AW2991" s="1">
        <v>1</v>
      </c>
      <c r="AX2991" s="1" t="s">
        <v>74</v>
      </c>
      <c r="AY2991" s="1" t="s">
        <v>74</v>
      </c>
      <c r="AZ2991" s="1" t="s">
        <v>74</v>
      </c>
      <c r="BA2991" s="1" t="s">
        <v>74</v>
      </c>
      <c r="BB2991" s="1">
        <v>317</v>
      </c>
      <c r="BC2991" s="1">
        <v>329</v>
      </c>
      <c r="BD2991" s="1" t="s">
        <v>74</v>
      </c>
      <c r="BE2991" s="1" t="s">
        <v>47496</v>
      </c>
      <c r="BF2991" s="1" t="str">
        <f>HYPERLINK("http://dx.doi.org/10.1016/j.marpolbul.2014.11.015","http://dx.doi.org/10.1016/j.marpolbul.2014.11.015")</f>
        <v>http://dx.doi.org/10.1016/j.marpolbul.2014.11.015</v>
      </c>
      <c r="BG2991" s="1" t="s">
        <v>74</v>
      </c>
      <c r="BH2991" s="1" t="s">
        <v>74</v>
      </c>
      <c r="BI2991" s="1">
        <v>13</v>
      </c>
      <c r="BJ2991" s="1" t="s">
        <v>247</v>
      </c>
      <c r="BK2991" s="1" t="s">
        <v>96</v>
      </c>
      <c r="BL2991" s="1" t="s">
        <v>248</v>
      </c>
      <c r="BM2991" s="1" t="s">
        <v>47497</v>
      </c>
      <c r="BN2991" s="1">
        <v>25510545</v>
      </c>
      <c r="BO2991" s="1" t="s">
        <v>74</v>
      </c>
      <c r="BP2991" s="1" t="s">
        <v>74</v>
      </c>
      <c r="BQ2991" s="1" t="s">
        <v>74</v>
      </c>
      <c r="BR2991" s="1" t="s">
        <v>98</v>
      </c>
      <c r="BS2991" s="1" t="s">
        <v>47498</v>
      </c>
      <c r="BT2991" s="1" t="str">
        <f>HYPERLINK("https%3A%2F%2Fwww.webofscience.com%2Fwos%2Fwoscc%2Ffull-record%2FWOS:000350079700052","View Full Record in Web of Science")</f>
        <v>View Full Record in Web of Science</v>
      </c>
      <c r="BU2991" s="1"/>
      <c r="BV2991" s="1"/>
    </row>
    <row r="2992" spans="1:74">
      <c r="A2992" s="1" t="s">
        <v>72</v>
      </c>
      <c r="B2992" s="1" t="s">
        <v>47499</v>
      </c>
      <c r="C2992" s="1" t="s">
        <v>74</v>
      </c>
      <c r="D2992" s="1" t="s">
        <v>74</v>
      </c>
      <c r="E2992" s="1" t="s">
        <v>74</v>
      </c>
      <c r="F2992" s="1" t="s">
        <v>47500</v>
      </c>
      <c r="G2992" s="1" t="s">
        <v>74</v>
      </c>
      <c r="H2992" s="1" t="s">
        <v>74</v>
      </c>
      <c r="I2992" s="1" t="s">
        <v>47501</v>
      </c>
      <c r="J2992" s="1" t="s">
        <v>232</v>
      </c>
      <c r="K2992" s="1" t="s">
        <v>74</v>
      </c>
      <c r="L2992" s="1" t="s">
        <v>74</v>
      </c>
      <c r="M2992" s="1" t="s">
        <v>78</v>
      </c>
      <c r="N2992" s="1" t="s">
        <v>79</v>
      </c>
      <c r="O2992" s="1" t="s">
        <v>74</v>
      </c>
      <c r="P2992" s="1" t="s">
        <v>74</v>
      </c>
      <c r="Q2992" s="1" t="s">
        <v>74</v>
      </c>
      <c r="R2992" s="1" t="s">
        <v>74</v>
      </c>
      <c r="S2992" s="1" t="s">
        <v>74</v>
      </c>
      <c r="T2992" s="1" t="s">
        <v>47502</v>
      </c>
      <c r="U2992" s="1" t="s">
        <v>47503</v>
      </c>
      <c r="V2992" s="1" t="s">
        <v>47504</v>
      </c>
      <c r="W2992" s="1" t="s">
        <v>47505</v>
      </c>
      <c r="X2992" s="1" t="s">
        <v>47506</v>
      </c>
      <c r="Y2992" s="1" t="s">
        <v>47507</v>
      </c>
      <c r="Z2992" s="1" t="s">
        <v>47508</v>
      </c>
      <c r="AA2992" s="1" t="s">
        <v>74</v>
      </c>
      <c r="AB2992" s="1" t="s">
        <v>74</v>
      </c>
      <c r="AC2992" s="1" t="s">
        <v>47509</v>
      </c>
      <c r="AD2992" s="1" t="s">
        <v>47509</v>
      </c>
      <c r="AE2992" s="1" t="s">
        <v>47510</v>
      </c>
      <c r="AF2992" s="1" t="s">
        <v>74</v>
      </c>
      <c r="AG2992" s="1">
        <v>34</v>
      </c>
      <c r="AH2992" s="1">
        <v>15</v>
      </c>
      <c r="AI2992" s="1">
        <v>17</v>
      </c>
      <c r="AJ2992" s="1">
        <v>1</v>
      </c>
      <c r="AK2992" s="1">
        <v>38</v>
      </c>
      <c r="AL2992" s="1" t="s">
        <v>136</v>
      </c>
      <c r="AM2992" s="1" t="s">
        <v>137</v>
      </c>
      <c r="AN2992" s="1" t="s">
        <v>138</v>
      </c>
      <c r="AO2992" s="1" t="s">
        <v>240</v>
      </c>
      <c r="AP2992" s="1" t="s">
        <v>241</v>
      </c>
      <c r="AQ2992" s="1" t="s">
        <v>74</v>
      </c>
      <c r="AR2992" s="1" t="s">
        <v>242</v>
      </c>
      <c r="AS2992" s="1" t="s">
        <v>243</v>
      </c>
      <c r="AT2992" s="1" t="s">
        <v>4761</v>
      </c>
      <c r="AU2992" s="1">
        <v>2014</v>
      </c>
      <c r="AV2992" s="1">
        <v>80</v>
      </c>
      <c r="AW2992" s="1" t="s">
        <v>326</v>
      </c>
      <c r="AX2992" s="1" t="s">
        <v>74</v>
      </c>
      <c r="AY2992" s="1" t="s">
        <v>74</v>
      </c>
      <c r="AZ2992" s="1" t="s">
        <v>74</v>
      </c>
      <c r="BA2992" s="1" t="s">
        <v>74</v>
      </c>
      <c r="BB2992" s="1">
        <v>282</v>
      </c>
      <c r="BC2992" s="1">
        <v>287</v>
      </c>
      <c r="BD2992" s="1" t="s">
        <v>74</v>
      </c>
      <c r="BE2992" s="1" t="s">
        <v>47511</v>
      </c>
      <c r="BF2992" s="1" t="str">
        <f>HYPERLINK("http://dx.doi.org/10.1016/j.marpolbul.2013.10.018","http://dx.doi.org/10.1016/j.marpolbul.2013.10.018")</f>
        <v>http://dx.doi.org/10.1016/j.marpolbul.2013.10.018</v>
      </c>
      <c r="BG2992" s="1" t="s">
        <v>74</v>
      </c>
      <c r="BH2992" s="1" t="s">
        <v>74</v>
      </c>
      <c r="BI2992" s="1">
        <v>6</v>
      </c>
      <c r="BJ2992" s="1" t="s">
        <v>247</v>
      </c>
      <c r="BK2992" s="1" t="s">
        <v>96</v>
      </c>
      <c r="BL2992" s="1" t="s">
        <v>248</v>
      </c>
      <c r="BM2992" s="1" t="s">
        <v>37388</v>
      </c>
      <c r="BN2992" s="1">
        <v>24461698</v>
      </c>
      <c r="BO2992" s="1" t="s">
        <v>476</v>
      </c>
      <c r="BP2992" s="1" t="s">
        <v>74</v>
      </c>
      <c r="BQ2992" s="1" t="s">
        <v>74</v>
      </c>
      <c r="BR2992" s="1" t="s">
        <v>98</v>
      </c>
      <c r="BS2992" s="1" t="s">
        <v>47512</v>
      </c>
      <c r="BT2992" s="1" t="str">
        <f>HYPERLINK("https%3A%2F%2Fwww.webofscience.com%2Fwos%2Fwoscc%2Ffull-record%2FWOS:000333946500043","View Full Record in Web of Science")</f>
        <v>View Full Record in Web of Science</v>
      </c>
      <c r="BU2992" s="1"/>
      <c r="BV2992" s="1"/>
    </row>
    <row r="2993" spans="1:74">
      <c r="A2993" s="1" t="s">
        <v>72</v>
      </c>
      <c r="B2993" s="1" t="s">
        <v>47513</v>
      </c>
      <c r="C2993" s="1" t="s">
        <v>74</v>
      </c>
      <c r="D2993" s="1" t="s">
        <v>74</v>
      </c>
      <c r="E2993" s="1" t="s">
        <v>74</v>
      </c>
      <c r="F2993" s="1" t="s">
        <v>47514</v>
      </c>
      <c r="G2993" s="1" t="s">
        <v>74</v>
      </c>
      <c r="H2993" s="1" t="s">
        <v>74</v>
      </c>
      <c r="I2993" s="1" t="s">
        <v>47515</v>
      </c>
      <c r="J2993" s="1" t="s">
        <v>909</v>
      </c>
      <c r="K2993" s="1" t="s">
        <v>74</v>
      </c>
      <c r="L2993" s="1" t="s">
        <v>74</v>
      </c>
      <c r="M2993" s="1" t="s">
        <v>78</v>
      </c>
      <c r="N2993" s="1" t="s">
        <v>79</v>
      </c>
      <c r="O2993" s="1" t="s">
        <v>74</v>
      </c>
      <c r="P2993" s="1" t="s">
        <v>74</v>
      </c>
      <c r="Q2993" s="1" t="s">
        <v>74</v>
      </c>
      <c r="R2993" s="1" t="s">
        <v>74</v>
      </c>
      <c r="S2993" s="1" t="s">
        <v>74</v>
      </c>
      <c r="T2993" s="1" t="s">
        <v>47516</v>
      </c>
      <c r="U2993" s="1" t="s">
        <v>47517</v>
      </c>
      <c r="V2993" s="1" t="s">
        <v>47518</v>
      </c>
      <c r="W2993" s="1" t="s">
        <v>47519</v>
      </c>
      <c r="X2993" s="1" t="s">
        <v>47520</v>
      </c>
      <c r="Y2993" s="1" t="s">
        <v>47521</v>
      </c>
      <c r="Z2993" s="1" t="s">
        <v>47522</v>
      </c>
      <c r="AA2993" s="1" t="s">
        <v>47523</v>
      </c>
      <c r="AB2993" s="1" t="s">
        <v>47524</v>
      </c>
      <c r="AC2993" s="1" t="s">
        <v>47525</v>
      </c>
      <c r="AD2993" s="1" t="s">
        <v>47526</v>
      </c>
      <c r="AE2993" s="1" t="s">
        <v>47527</v>
      </c>
      <c r="AF2993" s="1" t="s">
        <v>74</v>
      </c>
      <c r="AG2993" s="1">
        <v>72</v>
      </c>
      <c r="AH2993" s="1">
        <v>3</v>
      </c>
      <c r="AI2993" s="1">
        <v>4</v>
      </c>
      <c r="AJ2993" s="1">
        <v>10</v>
      </c>
      <c r="AK2993" s="1">
        <v>26</v>
      </c>
      <c r="AL2993" s="1" t="s">
        <v>650</v>
      </c>
      <c r="AM2993" s="1" t="s">
        <v>651</v>
      </c>
      <c r="AN2993" s="1" t="s">
        <v>652</v>
      </c>
      <c r="AO2993" s="1" t="s">
        <v>921</v>
      </c>
      <c r="AP2993" s="1" t="s">
        <v>922</v>
      </c>
      <c r="AQ2993" s="1" t="s">
        <v>74</v>
      </c>
      <c r="AR2993" s="1" t="s">
        <v>923</v>
      </c>
      <c r="AS2993" s="1" t="s">
        <v>924</v>
      </c>
      <c r="AT2993" s="1" t="s">
        <v>10334</v>
      </c>
      <c r="AU2993" s="1">
        <v>2023</v>
      </c>
      <c r="AV2993" s="1">
        <v>871</v>
      </c>
      <c r="AW2993" s="1" t="s">
        <v>74</v>
      </c>
      <c r="AX2993" s="1" t="s">
        <v>74</v>
      </c>
      <c r="AY2993" s="1" t="s">
        <v>74</v>
      </c>
      <c r="AZ2993" s="1" t="s">
        <v>74</v>
      </c>
      <c r="BA2993" s="1" t="s">
        <v>74</v>
      </c>
      <c r="BB2993" s="1" t="s">
        <v>74</v>
      </c>
      <c r="BC2993" s="1" t="s">
        <v>74</v>
      </c>
      <c r="BD2993" s="1">
        <v>161955</v>
      </c>
      <c r="BE2993" s="1" t="s">
        <v>47528</v>
      </c>
      <c r="BF2993" s="1" t="str">
        <f>HYPERLINK("http://dx.doi.org/10.1016/j.scitotenv.2023.161955","http://dx.doi.org/10.1016/j.scitotenv.2023.161955")</f>
        <v>http://dx.doi.org/10.1016/j.scitotenv.2023.161955</v>
      </c>
      <c r="BG2993" s="1" t="s">
        <v>74</v>
      </c>
      <c r="BH2993" s="1" t="s">
        <v>10846</v>
      </c>
      <c r="BI2993" s="1">
        <v>11</v>
      </c>
      <c r="BJ2993" s="1" t="s">
        <v>144</v>
      </c>
      <c r="BK2993" s="1" t="s">
        <v>96</v>
      </c>
      <c r="BL2993" s="1" t="s">
        <v>145</v>
      </c>
      <c r="BM2993" s="1" t="s">
        <v>47529</v>
      </c>
      <c r="BN2993" s="1">
        <v>36737013</v>
      </c>
      <c r="BO2993" s="1" t="s">
        <v>74</v>
      </c>
      <c r="BP2993" s="1" t="s">
        <v>74</v>
      </c>
      <c r="BQ2993" s="1" t="s">
        <v>74</v>
      </c>
      <c r="BR2993" s="1" t="s">
        <v>98</v>
      </c>
      <c r="BS2993" s="1" t="s">
        <v>47530</v>
      </c>
      <c r="BT2993" s="1" t="str">
        <f>HYPERLINK("https%3A%2F%2Fwww.webofscience.com%2Fwos%2Fwoscc%2Ffull-record%2FWOS:000945828600001","View Full Record in Web of Science")</f>
        <v>View Full Record in Web of Science</v>
      </c>
      <c r="BU2993" s="1"/>
      <c r="BV2993" s="1"/>
    </row>
    <row r="2994" spans="1:74">
      <c r="A2994" s="1" t="s">
        <v>72</v>
      </c>
      <c r="B2994" s="1" t="s">
        <v>47531</v>
      </c>
      <c r="C2994" s="1" t="s">
        <v>74</v>
      </c>
      <c r="D2994" s="1" t="s">
        <v>74</v>
      </c>
      <c r="E2994" s="1" t="s">
        <v>74</v>
      </c>
      <c r="F2994" s="1" t="s">
        <v>47532</v>
      </c>
      <c r="G2994" s="1" t="s">
        <v>74</v>
      </c>
      <c r="H2994" s="1" t="s">
        <v>74</v>
      </c>
      <c r="I2994" s="1" t="s">
        <v>47533</v>
      </c>
      <c r="J2994" s="1" t="s">
        <v>7097</v>
      </c>
      <c r="K2994" s="1" t="s">
        <v>74</v>
      </c>
      <c r="L2994" s="1" t="s">
        <v>74</v>
      </c>
      <c r="M2994" s="1" t="s">
        <v>78</v>
      </c>
      <c r="N2994" s="1" t="s">
        <v>79</v>
      </c>
      <c r="O2994" s="1" t="s">
        <v>74</v>
      </c>
      <c r="P2994" s="1" t="s">
        <v>74</v>
      </c>
      <c r="Q2994" s="1" t="s">
        <v>74</v>
      </c>
      <c r="R2994" s="1" t="s">
        <v>74</v>
      </c>
      <c r="S2994" s="1" t="s">
        <v>74</v>
      </c>
      <c r="T2994" s="1" t="s">
        <v>47534</v>
      </c>
      <c r="U2994" s="1" t="s">
        <v>47535</v>
      </c>
      <c r="V2994" s="1" t="s">
        <v>47536</v>
      </c>
      <c r="W2994" s="1" t="s">
        <v>47537</v>
      </c>
      <c r="X2994" s="1" t="s">
        <v>47538</v>
      </c>
      <c r="Y2994" s="1" t="s">
        <v>20944</v>
      </c>
      <c r="Z2994" s="1" t="s">
        <v>47539</v>
      </c>
      <c r="AA2994" s="1" t="s">
        <v>47540</v>
      </c>
      <c r="AB2994" s="1" t="s">
        <v>47541</v>
      </c>
      <c r="AC2994" s="1" t="s">
        <v>47542</v>
      </c>
      <c r="AD2994" s="1" t="s">
        <v>47543</v>
      </c>
      <c r="AE2994" s="1" t="s">
        <v>47544</v>
      </c>
      <c r="AF2994" s="1" t="s">
        <v>74</v>
      </c>
      <c r="AG2994" s="1">
        <v>76</v>
      </c>
      <c r="AH2994" s="1">
        <v>4</v>
      </c>
      <c r="AI2994" s="1">
        <v>4</v>
      </c>
      <c r="AJ2994" s="1">
        <v>3</v>
      </c>
      <c r="AK2994" s="1">
        <v>23</v>
      </c>
      <c r="AL2994" s="1" t="s">
        <v>650</v>
      </c>
      <c r="AM2994" s="1" t="s">
        <v>651</v>
      </c>
      <c r="AN2994" s="1" t="s">
        <v>652</v>
      </c>
      <c r="AO2994" s="1" t="s">
        <v>7110</v>
      </c>
      <c r="AP2994" s="1" t="s">
        <v>7111</v>
      </c>
      <c r="AQ2994" s="1" t="s">
        <v>74</v>
      </c>
      <c r="AR2994" s="1" t="s">
        <v>7112</v>
      </c>
      <c r="AS2994" s="1" t="s">
        <v>7113</v>
      </c>
      <c r="AT2994" s="1" t="s">
        <v>765</v>
      </c>
      <c r="AU2994" s="1">
        <v>2017</v>
      </c>
      <c r="AV2994" s="1">
        <v>78</v>
      </c>
      <c r="AW2994" s="1" t="s">
        <v>74</v>
      </c>
      <c r="AX2994" s="1" t="s">
        <v>74</v>
      </c>
      <c r="AY2994" s="1" t="s">
        <v>74</v>
      </c>
      <c r="AZ2994" s="1" t="s">
        <v>74</v>
      </c>
      <c r="BA2994" s="1" t="s">
        <v>74</v>
      </c>
      <c r="BB2994" s="1">
        <v>115</v>
      </c>
      <c r="BC2994" s="1">
        <v>124</v>
      </c>
      <c r="BD2994" s="1" t="s">
        <v>74</v>
      </c>
      <c r="BE2994" s="1" t="s">
        <v>47545</v>
      </c>
      <c r="BF2994" s="1" t="str">
        <f>HYPERLINK("http://dx.doi.org/10.1016/j.ecolind.2017.02.014","http://dx.doi.org/10.1016/j.ecolind.2017.02.014")</f>
        <v>http://dx.doi.org/10.1016/j.ecolind.2017.02.014</v>
      </c>
      <c r="BG2994" s="1" t="s">
        <v>74</v>
      </c>
      <c r="BH2994" s="1" t="s">
        <v>74</v>
      </c>
      <c r="BI2994" s="1">
        <v>10</v>
      </c>
      <c r="BJ2994" s="1" t="s">
        <v>4923</v>
      </c>
      <c r="BK2994" s="1" t="s">
        <v>96</v>
      </c>
      <c r="BL2994" s="1" t="s">
        <v>4924</v>
      </c>
      <c r="BM2994" s="1" t="s">
        <v>47546</v>
      </c>
      <c r="BN2994" s="1" t="s">
        <v>74</v>
      </c>
      <c r="BO2994" s="1" t="s">
        <v>74</v>
      </c>
      <c r="BP2994" s="1" t="s">
        <v>74</v>
      </c>
      <c r="BQ2994" s="1" t="s">
        <v>74</v>
      </c>
      <c r="BR2994" s="1" t="s">
        <v>98</v>
      </c>
      <c r="BS2994" s="1" t="s">
        <v>47547</v>
      </c>
      <c r="BT2994" s="1" t="str">
        <f>HYPERLINK("https%3A%2F%2Fwww.webofscience.com%2Fwos%2Fwoscc%2Ffull-record%2FWOS:000406435900013","View Full Record in Web of Science")</f>
        <v>View Full Record in Web of Science</v>
      </c>
      <c r="BU2994" s="1"/>
      <c r="BV2994" s="1"/>
    </row>
    <row r="2995" spans="1:74">
      <c r="A2995" s="1" t="s">
        <v>72</v>
      </c>
      <c r="B2995" s="1" t="s">
        <v>47548</v>
      </c>
      <c r="C2995" s="1" t="s">
        <v>74</v>
      </c>
      <c r="D2995" s="1" t="s">
        <v>74</v>
      </c>
      <c r="E2995" s="1" t="s">
        <v>74</v>
      </c>
      <c r="F2995" s="1" t="s">
        <v>47549</v>
      </c>
      <c r="G2995" s="1" t="s">
        <v>74</v>
      </c>
      <c r="H2995" s="1" t="s">
        <v>74</v>
      </c>
      <c r="I2995" s="1" t="s">
        <v>47550</v>
      </c>
      <c r="J2995" s="1" t="s">
        <v>204</v>
      </c>
      <c r="K2995" s="1" t="s">
        <v>74</v>
      </c>
      <c r="L2995" s="1" t="s">
        <v>74</v>
      </c>
      <c r="M2995" s="1" t="s">
        <v>78</v>
      </c>
      <c r="N2995" s="1" t="s">
        <v>79</v>
      </c>
      <c r="O2995" s="1" t="s">
        <v>74</v>
      </c>
      <c r="P2995" s="1" t="s">
        <v>74</v>
      </c>
      <c r="Q2995" s="1" t="s">
        <v>74</v>
      </c>
      <c r="R2995" s="1" t="s">
        <v>74</v>
      </c>
      <c r="S2995" s="1" t="s">
        <v>74</v>
      </c>
      <c r="T2995" s="1" t="s">
        <v>47551</v>
      </c>
      <c r="U2995" s="1" t="s">
        <v>47552</v>
      </c>
      <c r="V2995" s="1" t="s">
        <v>47553</v>
      </c>
      <c r="W2995" s="1" t="s">
        <v>47554</v>
      </c>
      <c r="X2995" s="1" t="s">
        <v>47555</v>
      </c>
      <c r="Y2995" s="1" t="s">
        <v>47556</v>
      </c>
      <c r="Z2995" s="1" t="s">
        <v>37808</v>
      </c>
      <c r="AA2995" s="1" t="s">
        <v>20164</v>
      </c>
      <c r="AB2995" s="1" t="s">
        <v>20165</v>
      </c>
      <c r="AC2995" s="1" t="s">
        <v>74</v>
      </c>
      <c r="AD2995" s="1" t="s">
        <v>74</v>
      </c>
      <c r="AE2995" s="1" t="s">
        <v>74</v>
      </c>
      <c r="AF2995" s="1" t="s">
        <v>74</v>
      </c>
      <c r="AG2995" s="1">
        <v>58</v>
      </c>
      <c r="AH2995" s="1">
        <v>5</v>
      </c>
      <c r="AI2995" s="1">
        <v>5</v>
      </c>
      <c r="AJ2995" s="1">
        <v>0</v>
      </c>
      <c r="AK2995" s="1">
        <v>5</v>
      </c>
      <c r="AL2995" s="1" t="s">
        <v>217</v>
      </c>
      <c r="AM2995" s="1" t="s">
        <v>218</v>
      </c>
      <c r="AN2995" s="1" t="s">
        <v>219</v>
      </c>
      <c r="AO2995" s="1" t="s">
        <v>220</v>
      </c>
      <c r="AP2995" s="1" t="s">
        <v>221</v>
      </c>
      <c r="AQ2995" s="1" t="s">
        <v>74</v>
      </c>
      <c r="AR2995" s="1" t="s">
        <v>222</v>
      </c>
      <c r="AS2995" s="1" t="s">
        <v>223</v>
      </c>
      <c r="AT2995" s="1" t="s">
        <v>305</v>
      </c>
      <c r="AU2995" s="1">
        <v>2021</v>
      </c>
      <c r="AV2995" s="1">
        <v>28</v>
      </c>
      <c r="AW2995" s="1">
        <v>34</v>
      </c>
      <c r="AX2995" s="1" t="s">
        <v>74</v>
      </c>
      <c r="AY2995" s="1" t="s">
        <v>74</v>
      </c>
      <c r="AZ2995" s="1" t="s">
        <v>74</v>
      </c>
      <c r="BA2995" s="1" t="s">
        <v>74</v>
      </c>
      <c r="BB2995" s="1">
        <v>46448</v>
      </c>
      <c r="BC2995" s="1">
        <v>46457</v>
      </c>
      <c r="BD2995" s="1" t="s">
        <v>74</v>
      </c>
      <c r="BE2995" s="1" t="s">
        <v>47557</v>
      </c>
      <c r="BF2995" s="1" t="str">
        <f>HYPERLINK("http://dx.doi.org/10.1007/s11356-020-09775-0","http://dx.doi.org/10.1007/s11356-020-09775-0")</f>
        <v>http://dx.doi.org/10.1007/s11356-020-09775-0</v>
      </c>
      <c r="BG2995" s="1" t="s">
        <v>74</v>
      </c>
      <c r="BH2995" s="1" t="s">
        <v>10954</v>
      </c>
      <c r="BI2995" s="1">
        <v>10</v>
      </c>
      <c r="BJ2995" s="1" t="s">
        <v>144</v>
      </c>
      <c r="BK2995" s="1" t="s">
        <v>96</v>
      </c>
      <c r="BL2995" s="1" t="s">
        <v>145</v>
      </c>
      <c r="BM2995" s="1" t="s">
        <v>47558</v>
      </c>
      <c r="BN2995" s="1">
        <v>32572743</v>
      </c>
      <c r="BO2995" s="1" t="s">
        <v>74</v>
      </c>
      <c r="BP2995" s="1" t="s">
        <v>74</v>
      </c>
      <c r="BQ2995" s="1" t="s">
        <v>74</v>
      </c>
      <c r="BR2995" s="1" t="s">
        <v>98</v>
      </c>
      <c r="BS2995" s="1" t="s">
        <v>47559</v>
      </c>
      <c r="BT2995" s="1" t="str">
        <f>HYPERLINK("https%3A%2F%2Fwww.webofscience.com%2Fwos%2Fwoscc%2Ffull-record%2FWOS:000542112300003","View Full Record in Web of Science")</f>
        <v>View Full Record in Web of Science</v>
      </c>
      <c r="BU2995" s="1"/>
      <c r="BV2995" s="1"/>
    </row>
    <row r="2996" spans="1:74">
      <c r="A2996" s="1" t="s">
        <v>72</v>
      </c>
      <c r="B2996" s="1" t="s">
        <v>47560</v>
      </c>
      <c r="C2996" s="1" t="s">
        <v>74</v>
      </c>
      <c r="D2996" s="1" t="s">
        <v>74</v>
      </c>
      <c r="E2996" s="1" t="s">
        <v>74</v>
      </c>
      <c r="F2996" s="1" t="s">
        <v>47561</v>
      </c>
      <c r="G2996" s="1" t="s">
        <v>74</v>
      </c>
      <c r="H2996" s="1" t="s">
        <v>74</v>
      </c>
      <c r="I2996" s="1" t="s">
        <v>47562</v>
      </c>
      <c r="J2996" s="1" t="s">
        <v>232</v>
      </c>
      <c r="K2996" s="1" t="s">
        <v>74</v>
      </c>
      <c r="L2996" s="1" t="s">
        <v>74</v>
      </c>
      <c r="M2996" s="1" t="s">
        <v>78</v>
      </c>
      <c r="N2996" s="1" t="s">
        <v>79</v>
      </c>
      <c r="O2996" s="1" t="s">
        <v>74</v>
      </c>
      <c r="P2996" s="1" t="s">
        <v>74</v>
      </c>
      <c r="Q2996" s="1" t="s">
        <v>74</v>
      </c>
      <c r="R2996" s="1" t="s">
        <v>74</v>
      </c>
      <c r="S2996" s="1" t="s">
        <v>74</v>
      </c>
      <c r="T2996" s="1" t="s">
        <v>47563</v>
      </c>
      <c r="U2996" s="1" t="s">
        <v>47564</v>
      </c>
      <c r="V2996" s="1" t="s">
        <v>47565</v>
      </c>
      <c r="W2996" s="1" t="s">
        <v>47566</v>
      </c>
      <c r="X2996" s="1" t="s">
        <v>47567</v>
      </c>
      <c r="Y2996" s="1" t="s">
        <v>47568</v>
      </c>
      <c r="Z2996" s="1" t="s">
        <v>47569</v>
      </c>
      <c r="AA2996" s="1" t="s">
        <v>47570</v>
      </c>
      <c r="AB2996" s="1" t="s">
        <v>47571</v>
      </c>
      <c r="AC2996" s="1" t="s">
        <v>47572</v>
      </c>
      <c r="AD2996" s="1" t="s">
        <v>47572</v>
      </c>
      <c r="AE2996" s="1" t="s">
        <v>47573</v>
      </c>
      <c r="AF2996" s="1" t="s">
        <v>74</v>
      </c>
      <c r="AG2996" s="1">
        <v>99</v>
      </c>
      <c r="AH2996" s="1">
        <v>30</v>
      </c>
      <c r="AI2996" s="1">
        <v>38</v>
      </c>
      <c r="AJ2996" s="1">
        <v>0</v>
      </c>
      <c r="AK2996" s="1">
        <v>42</v>
      </c>
      <c r="AL2996" s="1" t="s">
        <v>136</v>
      </c>
      <c r="AM2996" s="1" t="s">
        <v>137</v>
      </c>
      <c r="AN2996" s="1" t="s">
        <v>138</v>
      </c>
      <c r="AO2996" s="1" t="s">
        <v>240</v>
      </c>
      <c r="AP2996" s="1" t="s">
        <v>241</v>
      </c>
      <c r="AQ2996" s="1" t="s">
        <v>74</v>
      </c>
      <c r="AR2996" s="1" t="s">
        <v>242</v>
      </c>
      <c r="AS2996" s="1" t="s">
        <v>243</v>
      </c>
      <c r="AT2996" s="1" t="s">
        <v>546</v>
      </c>
      <c r="AU2996" s="1">
        <v>2015</v>
      </c>
      <c r="AV2996" s="1">
        <v>100</v>
      </c>
      <c r="AW2996" s="1">
        <v>1</v>
      </c>
      <c r="AX2996" s="1" t="s">
        <v>74</v>
      </c>
      <c r="AY2996" s="1" t="s">
        <v>74</v>
      </c>
      <c r="AZ2996" s="1" t="s">
        <v>74</v>
      </c>
      <c r="BA2996" s="1" t="s">
        <v>74</v>
      </c>
      <c r="BB2996" s="1">
        <v>426</v>
      </c>
      <c r="BC2996" s="1">
        <v>437</v>
      </c>
      <c r="BD2996" s="1" t="s">
        <v>74</v>
      </c>
      <c r="BE2996" s="1" t="s">
        <v>47574</v>
      </c>
      <c r="BF2996" s="1" t="str">
        <f>HYPERLINK("http://dx.doi.org/10.1016/j.marpolbul.2015.08.011","http://dx.doi.org/10.1016/j.marpolbul.2015.08.011")</f>
        <v>http://dx.doi.org/10.1016/j.marpolbul.2015.08.011</v>
      </c>
      <c r="BG2996" s="1" t="s">
        <v>74</v>
      </c>
      <c r="BH2996" s="1" t="s">
        <v>74</v>
      </c>
      <c r="BI2996" s="1">
        <v>12</v>
      </c>
      <c r="BJ2996" s="1" t="s">
        <v>247</v>
      </c>
      <c r="BK2996" s="1" t="s">
        <v>96</v>
      </c>
      <c r="BL2996" s="1" t="s">
        <v>248</v>
      </c>
      <c r="BM2996" s="1" t="s">
        <v>26903</v>
      </c>
      <c r="BN2996" s="1">
        <v>26320981</v>
      </c>
      <c r="BO2996" s="1" t="s">
        <v>1752</v>
      </c>
      <c r="BP2996" s="1" t="s">
        <v>74</v>
      </c>
      <c r="BQ2996" s="1" t="s">
        <v>74</v>
      </c>
      <c r="BR2996" s="1" t="s">
        <v>98</v>
      </c>
      <c r="BS2996" s="1" t="s">
        <v>47575</v>
      </c>
      <c r="BT2996" s="1" t="str">
        <f>HYPERLINK("https%3A%2F%2Fwww.webofscience.com%2Fwos%2Fwoscc%2Ffull-record%2FWOS:000366771400059","View Full Record in Web of Science")</f>
        <v>View Full Record in Web of Science</v>
      </c>
      <c r="BU2996" s="1"/>
      <c r="BV2996" s="1"/>
    </row>
    <row r="2997" spans="1:74">
      <c r="A2997" s="1" t="s">
        <v>72</v>
      </c>
      <c r="B2997" s="1" t="s">
        <v>47576</v>
      </c>
      <c r="C2997" s="1" t="s">
        <v>74</v>
      </c>
      <c r="D2997" s="1" t="s">
        <v>74</v>
      </c>
      <c r="E2997" s="1" t="s">
        <v>74</v>
      </c>
      <c r="F2997" s="1" t="s">
        <v>47577</v>
      </c>
      <c r="G2997" s="1" t="s">
        <v>74</v>
      </c>
      <c r="H2997" s="1" t="s">
        <v>74</v>
      </c>
      <c r="I2997" s="1" t="s">
        <v>47578</v>
      </c>
      <c r="J2997" s="1" t="s">
        <v>3349</v>
      </c>
      <c r="K2997" s="1" t="s">
        <v>74</v>
      </c>
      <c r="L2997" s="1" t="s">
        <v>74</v>
      </c>
      <c r="M2997" s="1" t="s">
        <v>78</v>
      </c>
      <c r="N2997" s="1" t="s">
        <v>79</v>
      </c>
      <c r="O2997" s="1" t="s">
        <v>74</v>
      </c>
      <c r="P2997" s="1" t="s">
        <v>74</v>
      </c>
      <c r="Q2997" s="1" t="s">
        <v>74</v>
      </c>
      <c r="R2997" s="1" t="s">
        <v>74</v>
      </c>
      <c r="S2997" s="1" t="s">
        <v>74</v>
      </c>
      <c r="T2997" s="1" t="s">
        <v>47579</v>
      </c>
      <c r="U2997" s="1" t="s">
        <v>47580</v>
      </c>
      <c r="V2997" s="1" t="s">
        <v>47581</v>
      </c>
      <c r="W2997" s="1" t="s">
        <v>47582</v>
      </c>
      <c r="X2997" s="1" t="s">
        <v>25649</v>
      </c>
      <c r="Y2997" s="1" t="s">
        <v>47583</v>
      </c>
      <c r="Z2997" s="1" t="s">
        <v>25651</v>
      </c>
      <c r="AA2997" s="1" t="s">
        <v>47584</v>
      </c>
      <c r="AB2997" s="1" t="s">
        <v>74</v>
      </c>
      <c r="AC2997" s="1" t="s">
        <v>47585</v>
      </c>
      <c r="AD2997" s="1" t="s">
        <v>47586</v>
      </c>
      <c r="AE2997" s="1" t="s">
        <v>47587</v>
      </c>
      <c r="AF2997" s="1" t="s">
        <v>74</v>
      </c>
      <c r="AG2997" s="1">
        <v>68</v>
      </c>
      <c r="AH2997" s="1">
        <v>8</v>
      </c>
      <c r="AI2997" s="1">
        <v>8</v>
      </c>
      <c r="AJ2997" s="1">
        <v>0</v>
      </c>
      <c r="AK2997" s="1">
        <v>37</v>
      </c>
      <c r="AL2997" s="1" t="s">
        <v>3362</v>
      </c>
      <c r="AM2997" s="1" t="s">
        <v>3363</v>
      </c>
      <c r="AN2997" s="1" t="s">
        <v>3364</v>
      </c>
      <c r="AO2997" s="1" t="s">
        <v>3365</v>
      </c>
      <c r="AP2997" s="1" t="s">
        <v>3366</v>
      </c>
      <c r="AQ2997" s="1" t="s">
        <v>74</v>
      </c>
      <c r="AR2997" s="1" t="s">
        <v>3367</v>
      </c>
      <c r="AS2997" s="1" t="s">
        <v>3368</v>
      </c>
      <c r="AT2997" s="1" t="s">
        <v>1223</v>
      </c>
      <c r="AU2997" s="1">
        <v>2019</v>
      </c>
      <c r="AV2997" s="1">
        <v>169</v>
      </c>
      <c r="AW2997" s="1" t="s">
        <v>74</v>
      </c>
      <c r="AX2997" s="1" t="s">
        <v>74</v>
      </c>
      <c r="AY2997" s="1" t="s">
        <v>74</v>
      </c>
      <c r="AZ2997" s="1" t="s">
        <v>74</v>
      </c>
      <c r="BA2997" s="1" t="s">
        <v>74</v>
      </c>
      <c r="BB2997" s="1">
        <v>529</v>
      </c>
      <c r="BC2997" s="1">
        <v>538</v>
      </c>
      <c r="BD2997" s="1" t="s">
        <v>74</v>
      </c>
      <c r="BE2997" s="1" t="s">
        <v>47588</v>
      </c>
      <c r="BF2997" s="1" t="str">
        <f>HYPERLINK("http://dx.doi.org/10.1016/j.ecoenv.2018.11.066","http://dx.doi.org/10.1016/j.ecoenv.2018.11.066")</f>
        <v>http://dx.doi.org/10.1016/j.ecoenv.2018.11.066</v>
      </c>
      <c r="BG2997" s="1" t="s">
        <v>74</v>
      </c>
      <c r="BH2997" s="1" t="s">
        <v>74</v>
      </c>
      <c r="BI2997" s="1">
        <v>10</v>
      </c>
      <c r="BJ2997" s="1" t="s">
        <v>121</v>
      </c>
      <c r="BK2997" s="1" t="s">
        <v>96</v>
      </c>
      <c r="BL2997" s="1" t="s">
        <v>122</v>
      </c>
      <c r="BM2997" s="1" t="s">
        <v>12004</v>
      </c>
      <c r="BN2997" s="1">
        <v>30476815</v>
      </c>
      <c r="BO2997" s="1" t="s">
        <v>74</v>
      </c>
      <c r="BP2997" s="1" t="s">
        <v>74</v>
      </c>
      <c r="BQ2997" s="1" t="s">
        <v>74</v>
      </c>
      <c r="BR2997" s="1" t="s">
        <v>98</v>
      </c>
      <c r="BS2997" s="1" t="s">
        <v>47589</v>
      </c>
      <c r="BT2997" s="1" t="str">
        <f>HYPERLINK("https%3A%2F%2Fwww.webofscience.com%2Fwos%2Fwoscc%2Ffull-record%2FWOS:000456226600064","View Full Record in Web of Science")</f>
        <v>View Full Record in Web of Science</v>
      </c>
      <c r="BU2997" s="1"/>
      <c r="BV2997" s="1"/>
    </row>
    <row r="2998" spans="1:74">
      <c r="A2998" s="1" t="s">
        <v>72</v>
      </c>
      <c r="B2998" s="1" t="s">
        <v>47590</v>
      </c>
      <c r="C2998" s="1" t="s">
        <v>74</v>
      </c>
      <c r="D2998" s="1" t="s">
        <v>74</v>
      </c>
      <c r="E2998" s="1" t="s">
        <v>74</v>
      </c>
      <c r="F2998" s="1" t="s">
        <v>47591</v>
      </c>
      <c r="G2998" s="1" t="s">
        <v>74</v>
      </c>
      <c r="H2998" s="1" t="s">
        <v>74</v>
      </c>
      <c r="I2998" s="1" t="s">
        <v>47592</v>
      </c>
      <c r="J2998" s="1" t="s">
        <v>103</v>
      </c>
      <c r="K2998" s="1" t="s">
        <v>74</v>
      </c>
      <c r="L2998" s="1" t="s">
        <v>74</v>
      </c>
      <c r="M2998" s="1" t="s">
        <v>78</v>
      </c>
      <c r="N2998" s="1" t="s">
        <v>79</v>
      </c>
      <c r="O2998" s="1" t="s">
        <v>74</v>
      </c>
      <c r="P2998" s="1" t="s">
        <v>74</v>
      </c>
      <c r="Q2998" s="1" t="s">
        <v>74</v>
      </c>
      <c r="R2998" s="1" t="s">
        <v>74</v>
      </c>
      <c r="S2998" s="1" t="s">
        <v>74</v>
      </c>
      <c r="T2998" s="1" t="s">
        <v>47593</v>
      </c>
      <c r="U2998" s="1" t="s">
        <v>47594</v>
      </c>
      <c r="V2998" s="1" t="s">
        <v>47595</v>
      </c>
      <c r="W2998" s="1" t="s">
        <v>47596</v>
      </c>
      <c r="X2998" s="1" t="s">
        <v>9746</v>
      </c>
      <c r="Y2998" s="1" t="s">
        <v>47597</v>
      </c>
      <c r="Z2998" s="1" t="s">
        <v>47598</v>
      </c>
      <c r="AA2998" s="1" t="s">
        <v>47599</v>
      </c>
      <c r="AB2998" s="1" t="s">
        <v>19622</v>
      </c>
      <c r="AC2998" s="1" t="s">
        <v>47600</v>
      </c>
      <c r="AD2998" s="1" t="s">
        <v>47601</v>
      </c>
      <c r="AE2998" s="1" t="s">
        <v>47602</v>
      </c>
      <c r="AF2998" s="1" t="s">
        <v>74</v>
      </c>
      <c r="AG2998" s="1">
        <v>50</v>
      </c>
      <c r="AH2998" s="1">
        <v>10</v>
      </c>
      <c r="AI2998" s="1">
        <v>11</v>
      </c>
      <c r="AJ2998" s="1">
        <v>1</v>
      </c>
      <c r="AK2998" s="1">
        <v>43</v>
      </c>
      <c r="AL2998" s="1" t="s">
        <v>112</v>
      </c>
      <c r="AM2998" s="1" t="s">
        <v>113</v>
      </c>
      <c r="AN2998" s="1" t="s">
        <v>469</v>
      </c>
      <c r="AO2998" s="1" t="s">
        <v>115</v>
      </c>
      <c r="AP2998" s="1" t="s">
        <v>116</v>
      </c>
      <c r="AQ2998" s="1" t="s">
        <v>74</v>
      </c>
      <c r="AR2998" s="1" t="s">
        <v>117</v>
      </c>
      <c r="AS2998" s="1" t="s">
        <v>118</v>
      </c>
      <c r="AT2998" s="1" t="s">
        <v>119</v>
      </c>
      <c r="AU2998" s="1">
        <v>2016</v>
      </c>
      <c r="AV2998" s="1">
        <v>97</v>
      </c>
      <c r="AW2998" s="1">
        <v>2</v>
      </c>
      <c r="AX2998" s="1" t="s">
        <v>74</v>
      </c>
      <c r="AY2998" s="1" t="s">
        <v>74</v>
      </c>
      <c r="AZ2998" s="1" t="s">
        <v>74</v>
      </c>
      <c r="BA2998" s="1" t="s">
        <v>74</v>
      </c>
      <c r="BB2998" s="1">
        <v>191</v>
      </c>
      <c r="BC2998" s="1">
        <v>197</v>
      </c>
      <c r="BD2998" s="1" t="s">
        <v>74</v>
      </c>
      <c r="BE2998" s="1" t="s">
        <v>47603</v>
      </c>
      <c r="BF2998" s="1" t="str">
        <f>HYPERLINK("http://dx.doi.org/10.1007/s00128-016-1848-x","http://dx.doi.org/10.1007/s00128-016-1848-x")</f>
        <v>http://dx.doi.org/10.1007/s00128-016-1848-x</v>
      </c>
      <c r="BG2998" s="1" t="s">
        <v>74</v>
      </c>
      <c r="BH2998" s="1" t="s">
        <v>74</v>
      </c>
      <c r="BI2998" s="1">
        <v>7</v>
      </c>
      <c r="BJ2998" s="1" t="s">
        <v>121</v>
      </c>
      <c r="BK2998" s="1" t="s">
        <v>96</v>
      </c>
      <c r="BL2998" s="1" t="s">
        <v>122</v>
      </c>
      <c r="BM2998" s="1" t="s">
        <v>47604</v>
      </c>
      <c r="BN2998" s="1">
        <v>27329111</v>
      </c>
      <c r="BO2998" s="1" t="s">
        <v>74</v>
      </c>
      <c r="BP2998" s="1" t="s">
        <v>74</v>
      </c>
      <c r="BQ2998" s="1" t="s">
        <v>74</v>
      </c>
      <c r="BR2998" s="1" t="s">
        <v>98</v>
      </c>
      <c r="BS2998" s="1" t="s">
        <v>47605</v>
      </c>
      <c r="BT2998" s="1" t="str">
        <f>HYPERLINK("https%3A%2F%2Fwww.webofscience.com%2Fwos%2Fwoscc%2Ffull-record%2FWOS:000379749800008","View Full Record in Web of Science")</f>
        <v>View Full Record in Web of Science</v>
      </c>
      <c r="BU2998" s="1"/>
      <c r="BV2998" s="1"/>
    </row>
    <row r="2999" spans="1:74">
      <c r="A2999" s="1" t="s">
        <v>72</v>
      </c>
      <c r="B2999" s="1" t="s">
        <v>47606</v>
      </c>
      <c r="C2999" s="1" t="s">
        <v>74</v>
      </c>
      <c r="D2999" s="1" t="s">
        <v>74</v>
      </c>
      <c r="E2999" s="1" t="s">
        <v>74</v>
      </c>
      <c r="F2999" s="1" t="s">
        <v>47607</v>
      </c>
      <c r="G2999" s="1" t="s">
        <v>74</v>
      </c>
      <c r="H2999" s="1" t="s">
        <v>74</v>
      </c>
      <c r="I2999" s="1" t="s">
        <v>47608</v>
      </c>
      <c r="J2999" s="1" t="s">
        <v>34077</v>
      </c>
      <c r="K2999" s="1" t="s">
        <v>74</v>
      </c>
      <c r="L2999" s="1" t="s">
        <v>74</v>
      </c>
      <c r="M2999" s="1" t="s">
        <v>78</v>
      </c>
      <c r="N2999" s="1" t="s">
        <v>79</v>
      </c>
      <c r="O2999" s="1" t="s">
        <v>74</v>
      </c>
      <c r="P2999" s="1" t="s">
        <v>74</v>
      </c>
      <c r="Q2999" s="1" t="s">
        <v>74</v>
      </c>
      <c r="R2999" s="1" t="s">
        <v>74</v>
      </c>
      <c r="S2999" s="1" t="s">
        <v>74</v>
      </c>
      <c r="T2999" s="1" t="s">
        <v>47609</v>
      </c>
      <c r="U2999" s="1" t="s">
        <v>47610</v>
      </c>
      <c r="V2999" s="1" t="s">
        <v>47611</v>
      </c>
      <c r="W2999" s="1" t="s">
        <v>47612</v>
      </c>
      <c r="X2999" s="1" t="s">
        <v>8340</v>
      </c>
      <c r="Y2999" s="1" t="s">
        <v>47613</v>
      </c>
      <c r="Z2999" s="1" t="s">
        <v>47614</v>
      </c>
      <c r="AA2999" s="1" t="s">
        <v>74</v>
      </c>
      <c r="AB2999" s="1" t="s">
        <v>47615</v>
      </c>
      <c r="AC2999" s="1" t="s">
        <v>47616</v>
      </c>
      <c r="AD2999" s="1" t="s">
        <v>47617</v>
      </c>
      <c r="AE2999" s="1" t="s">
        <v>47618</v>
      </c>
      <c r="AF2999" s="1" t="s">
        <v>74</v>
      </c>
      <c r="AG2999" s="1">
        <v>50</v>
      </c>
      <c r="AH2999" s="1">
        <v>8</v>
      </c>
      <c r="AI2999" s="1">
        <v>11</v>
      </c>
      <c r="AJ2999" s="1">
        <v>1</v>
      </c>
      <c r="AK2999" s="1">
        <v>19</v>
      </c>
      <c r="AL2999" s="1" t="s">
        <v>2074</v>
      </c>
      <c r="AM2999" s="1" t="s">
        <v>2075</v>
      </c>
      <c r="AN2999" s="1" t="s">
        <v>2076</v>
      </c>
      <c r="AO2999" s="1" t="s">
        <v>34086</v>
      </c>
      <c r="AP2999" s="1" t="s">
        <v>34087</v>
      </c>
      <c r="AQ2999" s="1" t="s">
        <v>74</v>
      </c>
      <c r="AR2999" s="1" t="s">
        <v>34088</v>
      </c>
      <c r="AS2999" s="1" t="s">
        <v>34089</v>
      </c>
      <c r="AT2999" s="1" t="s">
        <v>38749</v>
      </c>
      <c r="AU2999" s="1">
        <v>2015</v>
      </c>
      <c r="AV2999" s="1">
        <v>82</v>
      </c>
      <c r="AW2999" s="1">
        <v>3</v>
      </c>
      <c r="AX2999" s="1" t="s">
        <v>74</v>
      </c>
      <c r="AY2999" s="1" t="s">
        <v>74</v>
      </c>
      <c r="AZ2999" s="1" t="s">
        <v>74</v>
      </c>
      <c r="BA2999" s="1" t="s">
        <v>74</v>
      </c>
      <c r="BB2999" s="1">
        <v>378</v>
      </c>
      <c r="BC2999" s="1">
        <v>386</v>
      </c>
      <c r="BD2999" s="1" t="s">
        <v>74</v>
      </c>
      <c r="BE2999" s="1" t="s">
        <v>47619</v>
      </c>
      <c r="BF2999" s="1" t="str">
        <f>HYPERLINK("http://dx.doi.org/10.1080/11250003.2015.1043963","http://dx.doi.org/10.1080/11250003.2015.1043963")</f>
        <v>http://dx.doi.org/10.1080/11250003.2015.1043963</v>
      </c>
      <c r="BG2999" s="1" t="s">
        <v>74</v>
      </c>
      <c r="BH2999" s="1" t="s">
        <v>74</v>
      </c>
      <c r="BI2999" s="1">
        <v>9</v>
      </c>
      <c r="BJ2999" s="1" t="s">
        <v>2210</v>
      </c>
      <c r="BK2999" s="1" t="s">
        <v>96</v>
      </c>
      <c r="BL2999" s="1" t="s">
        <v>2210</v>
      </c>
      <c r="BM2999" s="1" t="s">
        <v>47620</v>
      </c>
      <c r="BN2999" s="1" t="s">
        <v>74</v>
      </c>
      <c r="BO2999" s="1" t="s">
        <v>74</v>
      </c>
      <c r="BP2999" s="1" t="s">
        <v>74</v>
      </c>
      <c r="BQ2999" s="1" t="s">
        <v>74</v>
      </c>
      <c r="BR2999" s="1" t="s">
        <v>98</v>
      </c>
      <c r="BS2999" s="1" t="s">
        <v>47621</v>
      </c>
      <c r="BT2999" s="1" t="str">
        <f>HYPERLINK("https%3A%2F%2Fwww.webofscience.com%2Fwos%2Fwoscc%2Ffull-record%2FWOS:000359742100009","View Full Record in Web of Science")</f>
        <v>View Full Record in Web of Science</v>
      </c>
      <c r="BU2999" s="1"/>
      <c r="BV2999" s="1"/>
    </row>
    <row r="3000" spans="1:74">
      <c r="A3000" s="1" t="s">
        <v>72</v>
      </c>
      <c r="B3000" s="1" t="s">
        <v>47622</v>
      </c>
      <c r="C3000" s="1" t="s">
        <v>74</v>
      </c>
      <c r="D3000" s="1" t="s">
        <v>74</v>
      </c>
      <c r="E3000" s="1" t="s">
        <v>74</v>
      </c>
      <c r="F3000" s="1" t="s">
        <v>47623</v>
      </c>
      <c r="G3000" s="1" t="s">
        <v>74</v>
      </c>
      <c r="H3000" s="1" t="s">
        <v>74</v>
      </c>
      <c r="I3000" s="1" t="s">
        <v>47624</v>
      </c>
      <c r="J3000" s="1" t="s">
        <v>47625</v>
      </c>
      <c r="K3000" s="1" t="s">
        <v>74</v>
      </c>
      <c r="L3000" s="1" t="s">
        <v>74</v>
      </c>
      <c r="M3000" s="1" t="s">
        <v>78</v>
      </c>
      <c r="N3000" s="1" t="s">
        <v>79</v>
      </c>
      <c r="O3000" s="1" t="s">
        <v>74</v>
      </c>
      <c r="P3000" s="1" t="s">
        <v>74</v>
      </c>
      <c r="Q3000" s="1" t="s">
        <v>74</v>
      </c>
      <c r="R3000" s="1" t="s">
        <v>74</v>
      </c>
      <c r="S3000" s="1" t="s">
        <v>74</v>
      </c>
      <c r="T3000" s="1" t="s">
        <v>47626</v>
      </c>
      <c r="U3000" s="1" t="s">
        <v>47627</v>
      </c>
      <c r="V3000" s="1" t="s">
        <v>47628</v>
      </c>
      <c r="W3000" s="1" t="s">
        <v>47629</v>
      </c>
      <c r="X3000" s="1" t="s">
        <v>47630</v>
      </c>
      <c r="Y3000" s="1" t="s">
        <v>47631</v>
      </c>
      <c r="Z3000" s="1" t="s">
        <v>47632</v>
      </c>
      <c r="AA3000" s="1" t="s">
        <v>74</v>
      </c>
      <c r="AB3000" s="1" t="s">
        <v>47633</v>
      </c>
      <c r="AC3000" s="1" t="s">
        <v>47634</v>
      </c>
      <c r="AD3000" s="1" t="s">
        <v>47635</v>
      </c>
      <c r="AE3000" s="1" t="s">
        <v>47636</v>
      </c>
      <c r="AF3000" s="1" t="s">
        <v>74</v>
      </c>
      <c r="AG3000" s="1">
        <v>50</v>
      </c>
      <c r="AH3000" s="1">
        <v>1</v>
      </c>
      <c r="AI3000" s="1">
        <v>1</v>
      </c>
      <c r="AJ3000" s="1">
        <v>3</v>
      </c>
      <c r="AK3000" s="1">
        <v>10</v>
      </c>
      <c r="AL3000" s="1" t="s">
        <v>47637</v>
      </c>
      <c r="AM3000" s="1" t="s">
        <v>286</v>
      </c>
      <c r="AN3000" s="1" t="s">
        <v>47638</v>
      </c>
      <c r="AO3000" s="1" t="s">
        <v>47639</v>
      </c>
      <c r="AP3000" s="1" t="s">
        <v>74</v>
      </c>
      <c r="AQ3000" s="1" t="s">
        <v>74</v>
      </c>
      <c r="AR3000" s="1" t="s">
        <v>47640</v>
      </c>
      <c r="AS3000" s="1" t="s">
        <v>47641</v>
      </c>
      <c r="AT3000" s="1" t="s">
        <v>197</v>
      </c>
      <c r="AU3000" s="1">
        <v>2023</v>
      </c>
      <c r="AV3000" s="1">
        <v>9</v>
      </c>
      <c r="AW3000" s="1">
        <v>12</v>
      </c>
      <c r="AX3000" s="1" t="s">
        <v>74</v>
      </c>
      <c r="AY3000" s="1" t="s">
        <v>74</v>
      </c>
      <c r="AZ3000" s="1" t="s">
        <v>74</v>
      </c>
      <c r="BA3000" s="1" t="s">
        <v>74</v>
      </c>
      <c r="BB3000" s="1" t="s">
        <v>74</v>
      </c>
      <c r="BC3000" s="1" t="s">
        <v>74</v>
      </c>
      <c r="BD3000" s="1">
        <v>1154</v>
      </c>
      <c r="BE3000" s="1" t="s">
        <v>47642</v>
      </c>
      <c r="BF3000" s="1" t="str">
        <f>HYPERLINK("http://dx.doi.org/10.1099/mgen.0.001154","http://dx.doi.org/10.1099/mgen.0.001154")</f>
        <v>http://dx.doi.org/10.1099/mgen.0.001154</v>
      </c>
      <c r="BG3000" s="1" t="s">
        <v>74</v>
      </c>
      <c r="BH3000" s="1" t="s">
        <v>74</v>
      </c>
      <c r="BI3000" s="1">
        <v>15</v>
      </c>
      <c r="BJ3000" s="1" t="s">
        <v>47643</v>
      </c>
      <c r="BK3000" s="1" t="s">
        <v>96</v>
      </c>
      <c r="BL3000" s="1" t="s">
        <v>47643</v>
      </c>
      <c r="BM3000" s="1" t="s">
        <v>47644</v>
      </c>
      <c r="BN3000" s="1">
        <v>38085805</v>
      </c>
      <c r="BO3000" s="1" t="s">
        <v>550</v>
      </c>
      <c r="BP3000" s="1" t="s">
        <v>74</v>
      </c>
      <c r="BQ3000" s="1" t="s">
        <v>74</v>
      </c>
      <c r="BR3000" s="1" t="s">
        <v>98</v>
      </c>
      <c r="BS3000" s="1" t="s">
        <v>47645</v>
      </c>
      <c r="BT3000" s="1" t="str">
        <f>HYPERLINK("https%3A%2F%2Fwww.webofscience.com%2Fwos%2Fwoscc%2Ffull-record%2FWOS:001126874500004","View Full Record in Web of Science")</f>
        <v>View Full Record in Web of Science</v>
      </c>
      <c r="BU3000" s="1"/>
      <c r="BV3000" s="1"/>
    </row>
    <row r="3001" spans="1:74">
      <c r="A3001" s="1" t="s">
        <v>72</v>
      </c>
      <c r="B3001" s="1" t="s">
        <v>47646</v>
      </c>
      <c r="C3001" s="1" t="s">
        <v>74</v>
      </c>
      <c r="D3001" s="1" t="s">
        <v>74</v>
      </c>
      <c r="E3001" s="1" t="s">
        <v>74</v>
      </c>
      <c r="F3001" s="1" t="s">
        <v>47647</v>
      </c>
      <c r="G3001" s="1" t="s">
        <v>74</v>
      </c>
      <c r="H3001" s="1" t="s">
        <v>74</v>
      </c>
      <c r="I3001" s="1" t="s">
        <v>47648</v>
      </c>
      <c r="J3001" s="1" t="s">
        <v>909</v>
      </c>
      <c r="K3001" s="1" t="s">
        <v>74</v>
      </c>
      <c r="L3001" s="1" t="s">
        <v>74</v>
      </c>
      <c r="M3001" s="1" t="s">
        <v>78</v>
      </c>
      <c r="N3001" s="1" t="s">
        <v>79</v>
      </c>
      <c r="O3001" s="1" t="s">
        <v>74</v>
      </c>
      <c r="P3001" s="1" t="s">
        <v>74</v>
      </c>
      <c r="Q3001" s="1" t="s">
        <v>74</v>
      </c>
      <c r="R3001" s="1" t="s">
        <v>74</v>
      </c>
      <c r="S3001" s="1" t="s">
        <v>74</v>
      </c>
      <c r="T3001" s="1" t="s">
        <v>47649</v>
      </c>
      <c r="U3001" s="1" t="s">
        <v>47650</v>
      </c>
      <c r="V3001" s="1" t="s">
        <v>47651</v>
      </c>
      <c r="W3001" s="1" t="s">
        <v>47652</v>
      </c>
      <c r="X3001" s="1" t="s">
        <v>47653</v>
      </c>
      <c r="Y3001" s="1" t="s">
        <v>47654</v>
      </c>
      <c r="Z3001" s="1" t="s">
        <v>4276</v>
      </c>
      <c r="AA3001" s="1" t="s">
        <v>74</v>
      </c>
      <c r="AB3001" s="1" t="s">
        <v>74</v>
      </c>
      <c r="AC3001" s="1" t="s">
        <v>47655</v>
      </c>
      <c r="AD3001" s="1" t="s">
        <v>47656</v>
      </c>
      <c r="AE3001" s="1" t="s">
        <v>47657</v>
      </c>
      <c r="AF3001" s="1" t="s">
        <v>74</v>
      </c>
      <c r="AG3001" s="1">
        <v>101</v>
      </c>
      <c r="AH3001" s="1">
        <v>3</v>
      </c>
      <c r="AI3001" s="1">
        <v>3</v>
      </c>
      <c r="AJ3001" s="1">
        <v>21</v>
      </c>
      <c r="AK3001" s="1">
        <v>25</v>
      </c>
      <c r="AL3001" s="1" t="s">
        <v>650</v>
      </c>
      <c r="AM3001" s="1" t="s">
        <v>651</v>
      </c>
      <c r="AN3001" s="1" t="s">
        <v>652</v>
      </c>
      <c r="AO3001" s="1" t="s">
        <v>921</v>
      </c>
      <c r="AP3001" s="1" t="s">
        <v>922</v>
      </c>
      <c r="AQ3001" s="1" t="s">
        <v>74</v>
      </c>
      <c r="AR3001" s="1" t="s">
        <v>923</v>
      </c>
      <c r="AS3001" s="1" t="s">
        <v>924</v>
      </c>
      <c r="AT3001" s="1" t="s">
        <v>4761</v>
      </c>
      <c r="AU3001" s="1">
        <v>2024</v>
      </c>
      <c r="AV3001" s="1">
        <v>916</v>
      </c>
      <c r="AW3001" s="1" t="s">
        <v>74</v>
      </c>
      <c r="AX3001" s="1" t="s">
        <v>74</v>
      </c>
      <c r="AY3001" s="1" t="s">
        <v>74</v>
      </c>
      <c r="AZ3001" s="1" t="s">
        <v>74</v>
      </c>
      <c r="BA3001" s="1" t="s">
        <v>74</v>
      </c>
      <c r="BB3001" s="1" t="s">
        <v>74</v>
      </c>
      <c r="BC3001" s="1" t="s">
        <v>74</v>
      </c>
      <c r="BD3001" s="1">
        <v>170341</v>
      </c>
      <c r="BE3001" s="1" t="s">
        <v>47658</v>
      </c>
      <c r="BF3001" s="1" t="str">
        <f>HYPERLINK("http://dx.doi.org/10.1016/j.scitotenv.2024.170341","http://dx.doi.org/10.1016/j.scitotenv.2024.170341")</f>
        <v>http://dx.doi.org/10.1016/j.scitotenv.2024.170341</v>
      </c>
      <c r="BG3001" s="1" t="s">
        <v>74</v>
      </c>
      <c r="BH3001" s="1" t="s">
        <v>5287</v>
      </c>
      <c r="BI3001" s="1">
        <v>13</v>
      </c>
      <c r="BJ3001" s="1" t="s">
        <v>144</v>
      </c>
      <c r="BK3001" s="1" t="s">
        <v>96</v>
      </c>
      <c r="BL3001" s="1" t="s">
        <v>145</v>
      </c>
      <c r="BM3001" s="1" t="s">
        <v>47659</v>
      </c>
      <c r="BN3001" s="1">
        <v>38272093</v>
      </c>
      <c r="BO3001" s="1" t="s">
        <v>74</v>
      </c>
      <c r="BP3001" s="1" t="s">
        <v>74</v>
      </c>
      <c r="BQ3001" s="1" t="s">
        <v>74</v>
      </c>
      <c r="BR3001" s="1" t="s">
        <v>98</v>
      </c>
      <c r="BS3001" s="1" t="s">
        <v>47660</v>
      </c>
      <c r="BT3001" s="1" t="str">
        <f>HYPERLINK("https%3A%2F%2Fwww.webofscience.com%2Fwos%2Fwoscc%2Ffull-record%2FWOS:001173719400001","View Full Record in Web of Science")</f>
        <v>View Full Record in Web of Science</v>
      </c>
      <c r="BU3001" s="1"/>
      <c r="BV3001" s="1"/>
    </row>
    <row r="3002" spans="1:74">
      <c r="A3002" s="1" t="s">
        <v>72</v>
      </c>
      <c r="B3002" s="1" t="s">
        <v>47661</v>
      </c>
      <c r="C3002" s="1" t="s">
        <v>74</v>
      </c>
      <c r="D3002" s="1" t="s">
        <v>74</v>
      </c>
      <c r="E3002" s="1" t="s">
        <v>74</v>
      </c>
      <c r="F3002" s="1" t="s">
        <v>47662</v>
      </c>
      <c r="G3002" s="1" t="s">
        <v>74</v>
      </c>
      <c r="H3002" s="1" t="s">
        <v>74</v>
      </c>
      <c r="I3002" s="1" t="s">
        <v>47663</v>
      </c>
      <c r="J3002" s="1" t="s">
        <v>204</v>
      </c>
      <c r="K3002" s="1" t="s">
        <v>74</v>
      </c>
      <c r="L3002" s="1" t="s">
        <v>74</v>
      </c>
      <c r="M3002" s="1" t="s">
        <v>78</v>
      </c>
      <c r="N3002" s="1" t="s">
        <v>79</v>
      </c>
      <c r="O3002" s="1" t="s">
        <v>74</v>
      </c>
      <c r="P3002" s="1" t="s">
        <v>74</v>
      </c>
      <c r="Q3002" s="1" t="s">
        <v>74</v>
      </c>
      <c r="R3002" s="1" t="s">
        <v>74</v>
      </c>
      <c r="S3002" s="1" t="s">
        <v>74</v>
      </c>
      <c r="T3002" s="1" t="s">
        <v>47664</v>
      </c>
      <c r="U3002" s="1" t="s">
        <v>47665</v>
      </c>
      <c r="V3002" s="1" t="s">
        <v>47666</v>
      </c>
      <c r="W3002" s="1" t="s">
        <v>47667</v>
      </c>
      <c r="X3002" s="1" t="s">
        <v>47668</v>
      </c>
      <c r="Y3002" s="1" t="s">
        <v>47669</v>
      </c>
      <c r="Z3002" s="1" t="s">
        <v>47670</v>
      </c>
      <c r="AA3002" s="1" t="s">
        <v>47671</v>
      </c>
      <c r="AB3002" s="1" t="s">
        <v>47672</v>
      </c>
      <c r="AC3002" s="1" t="s">
        <v>47673</v>
      </c>
      <c r="AD3002" s="1" t="s">
        <v>47673</v>
      </c>
      <c r="AE3002" s="1" t="s">
        <v>47674</v>
      </c>
      <c r="AF3002" s="1" t="s">
        <v>74</v>
      </c>
      <c r="AG3002" s="1">
        <v>57</v>
      </c>
      <c r="AH3002" s="1">
        <v>3</v>
      </c>
      <c r="AI3002" s="1">
        <v>3</v>
      </c>
      <c r="AJ3002" s="1">
        <v>0</v>
      </c>
      <c r="AK3002" s="1">
        <v>11</v>
      </c>
      <c r="AL3002" s="1" t="s">
        <v>217</v>
      </c>
      <c r="AM3002" s="1" t="s">
        <v>218</v>
      </c>
      <c r="AN3002" s="1" t="s">
        <v>219</v>
      </c>
      <c r="AO3002" s="1" t="s">
        <v>220</v>
      </c>
      <c r="AP3002" s="1" t="s">
        <v>221</v>
      </c>
      <c r="AQ3002" s="1" t="s">
        <v>74</v>
      </c>
      <c r="AR3002" s="1" t="s">
        <v>222</v>
      </c>
      <c r="AS3002" s="1" t="s">
        <v>223</v>
      </c>
      <c r="AT3002" s="1" t="s">
        <v>305</v>
      </c>
      <c r="AU3002" s="1">
        <v>2017</v>
      </c>
      <c r="AV3002" s="1">
        <v>24</v>
      </c>
      <c r="AW3002" s="1">
        <v>26</v>
      </c>
      <c r="AX3002" s="1" t="s">
        <v>74</v>
      </c>
      <c r="AY3002" s="1" t="s">
        <v>74</v>
      </c>
      <c r="AZ3002" s="1" t="s">
        <v>74</v>
      </c>
      <c r="BA3002" s="1" t="s">
        <v>74</v>
      </c>
      <c r="BB3002" s="1">
        <v>21361</v>
      </c>
      <c r="BC3002" s="1">
        <v>21374</v>
      </c>
      <c r="BD3002" s="1" t="s">
        <v>74</v>
      </c>
      <c r="BE3002" s="1" t="s">
        <v>47675</v>
      </c>
      <c r="BF3002" s="1" t="str">
        <f>HYPERLINK("http://dx.doi.org/10.1007/s11356-017-9759-x","http://dx.doi.org/10.1007/s11356-017-9759-x")</f>
        <v>http://dx.doi.org/10.1007/s11356-017-9759-x</v>
      </c>
      <c r="BG3002" s="1" t="s">
        <v>74</v>
      </c>
      <c r="BH3002" s="1" t="s">
        <v>74</v>
      </c>
      <c r="BI3002" s="1">
        <v>14</v>
      </c>
      <c r="BJ3002" s="1" t="s">
        <v>144</v>
      </c>
      <c r="BK3002" s="1" t="s">
        <v>96</v>
      </c>
      <c r="BL3002" s="1" t="s">
        <v>145</v>
      </c>
      <c r="BM3002" s="1" t="s">
        <v>47676</v>
      </c>
      <c r="BN3002" s="1">
        <v>28741215</v>
      </c>
      <c r="BO3002" s="1" t="s">
        <v>74</v>
      </c>
      <c r="BP3002" s="1" t="s">
        <v>74</v>
      </c>
      <c r="BQ3002" s="1" t="s">
        <v>74</v>
      </c>
      <c r="BR3002" s="1" t="s">
        <v>98</v>
      </c>
      <c r="BS3002" s="1" t="s">
        <v>47677</v>
      </c>
      <c r="BT3002" s="1" t="str">
        <f>HYPERLINK("https%3A%2F%2Fwww.webofscience.com%2Fwos%2Fwoscc%2Ffull-record%2FWOS:000409040700047","View Full Record in Web of Science")</f>
        <v>View Full Record in Web of Science</v>
      </c>
      <c r="BU3002" s="1"/>
      <c r="BV3002" s="1"/>
    </row>
    <row r="3003" spans="1:74">
      <c r="A3003" s="1" t="s">
        <v>72</v>
      </c>
      <c r="B3003" s="1" t="s">
        <v>47678</v>
      </c>
      <c r="C3003" s="1" t="s">
        <v>74</v>
      </c>
      <c r="D3003" s="1" t="s">
        <v>74</v>
      </c>
      <c r="E3003" s="1" t="s">
        <v>74</v>
      </c>
      <c r="F3003" s="1" t="s">
        <v>47678</v>
      </c>
      <c r="G3003" s="1" t="s">
        <v>74</v>
      </c>
      <c r="H3003" s="1" t="s">
        <v>74</v>
      </c>
      <c r="I3003" s="1" t="s">
        <v>47679</v>
      </c>
      <c r="J3003" s="1" t="s">
        <v>704</v>
      </c>
      <c r="K3003" s="1" t="s">
        <v>74</v>
      </c>
      <c r="L3003" s="1" t="s">
        <v>74</v>
      </c>
      <c r="M3003" s="1" t="s">
        <v>78</v>
      </c>
      <c r="N3003" s="1" t="s">
        <v>79</v>
      </c>
      <c r="O3003" s="1" t="s">
        <v>74</v>
      </c>
      <c r="P3003" s="1" t="s">
        <v>74</v>
      </c>
      <c r="Q3003" s="1" t="s">
        <v>74</v>
      </c>
      <c r="R3003" s="1" t="s">
        <v>74</v>
      </c>
      <c r="S3003" s="1" t="s">
        <v>74</v>
      </c>
      <c r="T3003" s="1" t="s">
        <v>47680</v>
      </c>
      <c r="U3003" s="1" t="s">
        <v>47681</v>
      </c>
      <c r="V3003" s="1" t="s">
        <v>47682</v>
      </c>
      <c r="W3003" s="1" t="s">
        <v>47683</v>
      </c>
      <c r="X3003" s="1" t="s">
        <v>37235</v>
      </c>
      <c r="Y3003" s="1" t="s">
        <v>47684</v>
      </c>
      <c r="Z3003" s="1" t="s">
        <v>74</v>
      </c>
      <c r="AA3003" s="1" t="s">
        <v>74</v>
      </c>
      <c r="AB3003" s="1" t="s">
        <v>74</v>
      </c>
      <c r="AC3003" s="1" t="s">
        <v>74</v>
      </c>
      <c r="AD3003" s="1" t="s">
        <v>74</v>
      </c>
      <c r="AE3003" s="1" t="s">
        <v>74</v>
      </c>
      <c r="AF3003" s="1" t="s">
        <v>74</v>
      </c>
      <c r="AG3003" s="1">
        <v>28</v>
      </c>
      <c r="AH3003" s="1">
        <v>14</v>
      </c>
      <c r="AI3003" s="1">
        <v>17</v>
      </c>
      <c r="AJ3003" s="1">
        <v>0</v>
      </c>
      <c r="AK3003" s="1">
        <v>6</v>
      </c>
      <c r="AL3003" s="1" t="s">
        <v>112</v>
      </c>
      <c r="AM3003" s="1" t="s">
        <v>191</v>
      </c>
      <c r="AN3003" s="1" t="s">
        <v>192</v>
      </c>
      <c r="AO3003" s="1" t="s">
        <v>718</v>
      </c>
      <c r="AP3003" s="1" t="s">
        <v>74</v>
      </c>
      <c r="AQ3003" s="1" t="s">
        <v>74</v>
      </c>
      <c r="AR3003" s="1" t="s">
        <v>719</v>
      </c>
      <c r="AS3003" s="1" t="s">
        <v>720</v>
      </c>
      <c r="AT3003" s="1" t="s">
        <v>170</v>
      </c>
      <c r="AU3003" s="1">
        <v>1999</v>
      </c>
      <c r="AV3003" s="1">
        <v>112</v>
      </c>
      <c r="AW3003" s="1" t="s">
        <v>326</v>
      </c>
      <c r="AX3003" s="1" t="s">
        <v>74</v>
      </c>
      <c r="AY3003" s="1" t="s">
        <v>74</v>
      </c>
      <c r="AZ3003" s="1" t="s">
        <v>74</v>
      </c>
      <c r="BA3003" s="1" t="s">
        <v>74</v>
      </c>
      <c r="BB3003" s="1">
        <v>187</v>
      </c>
      <c r="BC3003" s="1">
        <v>196</v>
      </c>
      <c r="BD3003" s="1" t="s">
        <v>74</v>
      </c>
      <c r="BE3003" s="1" t="s">
        <v>47685</v>
      </c>
      <c r="BF3003" s="1" t="str">
        <f>HYPERLINK("http://dx.doi.org/10.1023/A:1005058915408","http://dx.doi.org/10.1023/A:1005058915408")</f>
        <v>http://dx.doi.org/10.1023/A:1005058915408</v>
      </c>
      <c r="BG3003" s="1" t="s">
        <v>74</v>
      </c>
      <c r="BH3003" s="1" t="s">
        <v>74</v>
      </c>
      <c r="BI3003" s="1">
        <v>10</v>
      </c>
      <c r="BJ3003" s="1" t="s">
        <v>722</v>
      </c>
      <c r="BK3003" s="1" t="s">
        <v>96</v>
      </c>
      <c r="BL3003" s="1" t="s">
        <v>723</v>
      </c>
      <c r="BM3003" s="1" t="s">
        <v>47686</v>
      </c>
      <c r="BN3003" s="1" t="s">
        <v>74</v>
      </c>
      <c r="BO3003" s="1" t="s">
        <v>74</v>
      </c>
      <c r="BP3003" s="1" t="s">
        <v>74</v>
      </c>
      <c r="BQ3003" s="1" t="s">
        <v>74</v>
      </c>
      <c r="BR3003" s="1" t="s">
        <v>98</v>
      </c>
      <c r="BS3003" s="1" t="s">
        <v>47687</v>
      </c>
      <c r="BT3003" s="1" t="str">
        <f>HYPERLINK("https%3A%2F%2Fwww.webofscience.com%2Fwos%2Fwoscc%2Ffull-record%2FWOS:000080629300012","View Full Record in Web of Science")</f>
        <v>View Full Record in Web of Science</v>
      </c>
      <c r="BU3003" s="1"/>
      <c r="BV3003" s="1"/>
    </row>
    <row r="3004" spans="1:74">
      <c r="A3004" s="1" t="s">
        <v>72</v>
      </c>
      <c r="B3004" s="1" t="s">
        <v>47688</v>
      </c>
      <c r="C3004" s="1" t="s">
        <v>74</v>
      </c>
      <c r="D3004" s="1" t="s">
        <v>74</v>
      </c>
      <c r="E3004" s="1" t="s">
        <v>74</v>
      </c>
      <c r="F3004" s="1" t="s">
        <v>47689</v>
      </c>
      <c r="G3004" s="1" t="s">
        <v>74</v>
      </c>
      <c r="H3004" s="1" t="s">
        <v>74</v>
      </c>
      <c r="I3004" s="1" t="s">
        <v>47690</v>
      </c>
      <c r="J3004" s="1" t="s">
        <v>41328</v>
      </c>
      <c r="K3004" s="1" t="s">
        <v>74</v>
      </c>
      <c r="L3004" s="1" t="s">
        <v>74</v>
      </c>
      <c r="M3004" s="1" t="s">
        <v>78</v>
      </c>
      <c r="N3004" s="1" t="s">
        <v>79</v>
      </c>
      <c r="O3004" s="1" t="s">
        <v>74</v>
      </c>
      <c r="P3004" s="1" t="s">
        <v>74</v>
      </c>
      <c r="Q3004" s="1" t="s">
        <v>74</v>
      </c>
      <c r="R3004" s="1" t="s">
        <v>74</v>
      </c>
      <c r="S3004" s="1" t="s">
        <v>74</v>
      </c>
      <c r="T3004" s="1" t="s">
        <v>74</v>
      </c>
      <c r="U3004" s="1" t="s">
        <v>47691</v>
      </c>
      <c r="V3004" s="1" t="s">
        <v>47692</v>
      </c>
      <c r="W3004" s="1" t="s">
        <v>47693</v>
      </c>
      <c r="X3004" s="1" t="s">
        <v>47694</v>
      </c>
      <c r="Y3004" s="1" t="s">
        <v>47695</v>
      </c>
      <c r="Z3004" s="1" t="s">
        <v>41334</v>
      </c>
      <c r="AA3004" s="1" t="s">
        <v>47696</v>
      </c>
      <c r="AB3004" s="1" t="s">
        <v>19467</v>
      </c>
      <c r="AC3004" s="1" t="s">
        <v>41336</v>
      </c>
      <c r="AD3004" s="1" t="s">
        <v>41337</v>
      </c>
      <c r="AE3004" s="1" t="s">
        <v>47697</v>
      </c>
      <c r="AF3004" s="1" t="s">
        <v>74</v>
      </c>
      <c r="AG3004" s="1">
        <v>68</v>
      </c>
      <c r="AH3004" s="1">
        <v>39</v>
      </c>
      <c r="AI3004" s="1">
        <v>40</v>
      </c>
      <c r="AJ3004" s="1">
        <v>1</v>
      </c>
      <c r="AK3004" s="1">
        <v>189</v>
      </c>
      <c r="AL3004" s="1" t="s">
        <v>112</v>
      </c>
      <c r="AM3004" s="1" t="s">
        <v>113</v>
      </c>
      <c r="AN3004" s="1" t="s">
        <v>469</v>
      </c>
      <c r="AO3004" s="1" t="s">
        <v>41339</v>
      </c>
      <c r="AP3004" s="1" t="s">
        <v>41340</v>
      </c>
      <c r="AQ3004" s="1" t="s">
        <v>74</v>
      </c>
      <c r="AR3004" s="1" t="s">
        <v>41341</v>
      </c>
      <c r="AS3004" s="1" t="s">
        <v>41342</v>
      </c>
      <c r="AT3004" s="1" t="s">
        <v>1470</v>
      </c>
      <c r="AU3004" s="1">
        <v>2017</v>
      </c>
      <c r="AV3004" s="1">
        <v>52</v>
      </c>
      <c r="AW3004" s="1">
        <v>1</v>
      </c>
      <c r="AX3004" s="1" t="s">
        <v>74</v>
      </c>
      <c r="AY3004" s="1" t="s">
        <v>74</v>
      </c>
      <c r="AZ3004" s="1" t="s">
        <v>74</v>
      </c>
      <c r="BA3004" s="1" t="s">
        <v>74</v>
      </c>
      <c r="BB3004" s="1">
        <v>504</v>
      </c>
      <c r="BC3004" s="1">
        <v>518</v>
      </c>
      <c r="BD3004" s="1" t="s">
        <v>74</v>
      </c>
      <c r="BE3004" s="1" t="s">
        <v>47698</v>
      </c>
      <c r="BF3004" s="1" t="str">
        <f>HYPERLINK("http://dx.doi.org/10.1007/s10853-016-0349-y","http://dx.doi.org/10.1007/s10853-016-0349-y")</f>
        <v>http://dx.doi.org/10.1007/s10853-016-0349-y</v>
      </c>
      <c r="BG3004" s="1" t="s">
        <v>74</v>
      </c>
      <c r="BH3004" s="1" t="s">
        <v>74</v>
      </c>
      <c r="BI3004" s="1">
        <v>15</v>
      </c>
      <c r="BJ3004" s="1" t="s">
        <v>39378</v>
      </c>
      <c r="BK3004" s="1" t="s">
        <v>96</v>
      </c>
      <c r="BL3004" s="1" t="s">
        <v>39379</v>
      </c>
      <c r="BM3004" s="1" t="s">
        <v>47699</v>
      </c>
      <c r="BN3004" s="1" t="s">
        <v>74</v>
      </c>
      <c r="BO3004" s="1" t="s">
        <v>74</v>
      </c>
      <c r="BP3004" s="1" t="s">
        <v>74</v>
      </c>
      <c r="BQ3004" s="1" t="s">
        <v>74</v>
      </c>
      <c r="BR3004" s="1" t="s">
        <v>98</v>
      </c>
      <c r="BS3004" s="1" t="s">
        <v>47700</v>
      </c>
      <c r="BT3004" s="1" t="str">
        <f>HYPERLINK("https%3A%2F%2Fwww.webofscience.com%2Fwos%2Fwoscc%2Ffull-record%2FWOS:000386785600042","View Full Record in Web of Science")</f>
        <v>View Full Record in Web of Science</v>
      </c>
      <c r="BU3004" s="1"/>
      <c r="BV3004" s="1"/>
    </row>
    <row r="3005" spans="1:74">
      <c r="A3005" s="1" t="s">
        <v>72</v>
      </c>
      <c r="B3005" s="1" t="s">
        <v>47701</v>
      </c>
      <c r="C3005" s="1" t="s">
        <v>74</v>
      </c>
      <c r="D3005" s="1" t="s">
        <v>74</v>
      </c>
      <c r="E3005" s="1" t="s">
        <v>74</v>
      </c>
      <c r="F3005" s="1" t="s">
        <v>47702</v>
      </c>
      <c r="G3005" s="1" t="s">
        <v>74</v>
      </c>
      <c r="H3005" s="1" t="s">
        <v>74</v>
      </c>
      <c r="I3005" s="1" t="s">
        <v>47703</v>
      </c>
      <c r="J3005" s="1" t="s">
        <v>27473</v>
      </c>
      <c r="K3005" s="1" t="s">
        <v>74</v>
      </c>
      <c r="L3005" s="1" t="s">
        <v>74</v>
      </c>
      <c r="M3005" s="1" t="s">
        <v>78</v>
      </c>
      <c r="N3005" s="1" t="s">
        <v>79</v>
      </c>
      <c r="O3005" s="1" t="s">
        <v>74</v>
      </c>
      <c r="P3005" s="1" t="s">
        <v>74</v>
      </c>
      <c r="Q3005" s="1" t="s">
        <v>74</v>
      </c>
      <c r="R3005" s="1" t="s">
        <v>74</v>
      </c>
      <c r="S3005" s="1" t="s">
        <v>74</v>
      </c>
      <c r="T3005" s="1" t="s">
        <v>47704</v>
      </c>
      <c r="U3005" s="1" t="s">
        <v>47705</v>
      </c>
      <c r="V3005" s="1" t="s">
        <v>47706</v>
      </c>
      <c r="W3005" s="1" t="s">
        <v>47707</v>
      </c>
      <c r="X3005" s="1" t="s">
        <v>39747</v>
      </c>
      <c r="Y3005" s="1" t="s">
        <v>47708</v>
      </c>
      <c r="Z3005" s="1" t="s">
        <v>47709</v>
      </c>
      <c r="AA3005" s="1" t="s">
        <v>47710</v>
      </c>
      <c r="AB3005" s="1" t="s">
        <v>47711</v>
      </c>
      <c r="AC3005" s="1" t="s">
        <v>47712</v>
      </c>
      <c r="AD3005" s="1" t="s">
        <v>47712</v>
      </c>
      <c r="AE3005" s="1" t="s">
        <v>47713</v>
      </c>
      <c r="AF3005" s="1" t="s">
        <v>74</v>
      </c>
      <c r="AG3005" s="1">
        <v>55</v>
      </c>
      <c r="AH3005" s="1">
        <v>23</v>
      </c>
      <c r="AI3005" s="1">
        <v>23</v>
      </c>
      <c r="AJ3005" s="1">
        <v>1</v>
      </c>
      <c r="AK3005" s="1">
        <v>20</v>
      </c>
      <c r="AL3005" s="1" t="s">
        <v>650</v>
      </c>
      <c r="AM3005" s="1" t="s">
        <v>651</v>
      </c>
      <c r="AN3005" s="1" t="s">
        <v>652</v>
      </c>
      <c r="AO3005" s="1" t="s">
        <v>27481</v>
      </c>
      <c r="AP3005" s="1" t="s">
        <v>27482</v>
      </c>
      <c r="AQ3005" s="1" t="s">
        <v>74</v>
      </c>
      <c r="AR3005" s="1" t="s">
        <v>27473</v>
      </c>
      <c r="AS3005" s="1" t="s">
        <v>27483</v>
      </c>
      <c r="AT3005" s="1" t="s">
        <v>1965</v>
      </c>
      <c r="AU3005" s="1">
        <v>2011</v>
      </c>
      <c r="AV3005" s="1">
        <v>87</v>
      </c>
      <c r="AW3005" s="1" t="s">
        <v>74</v>
      </c>
      <c r="AX3005" s="1" t="s">
        <v>74</v>
      </c>
      <c r="AY3005" s="1" t="s">
        <v>74</v>
      </c>
      <c r="AZ3005" s="1" t="s">
        <v>74</v>
      </c>
      <c r="BA3005" s="1" t="s">
        <v>74</v>
      </c>
      <c r="BB3005" s="1">
        <v>197</v>
      </c>
      <c r="BC3005" s="1">
        <v>209</v>
      </c>
      <c r="BD3005" s="1" t="s">
        <v>74</v>
      </c>
      <c r="BE3005" s="1" t="s">
        <v>47714</v>
      </c>
      <c r="BF3005" s="1" t="str">
        <f>HYPERLINK("http://dx.doi.org/10.1016/j.talanta.2011.09.062","http://dx.doi.org/10.1016/j.talanta.2011.09.062")</f>
        <v>http://dx.doi.org/10.1016/j.talanta.2011.09.062</v>
      </c>
      <c r="BG3005" s="1" t="s">
        <v>74</v>
      </c>
      <c r="BH3005" s="1" t="s">
        <v>74</v>
      </c>
      <c r="BI3005" s="1">
        <v>13</v>
      </c>
      <c r="BJ3005" s="1" t="s">
        <v>1196</v>
      </c>
      <c r="BK3005" s="1" t="s">
        <v>96</v>
      </c>
      <c r="BL3005" s="1" t="s">
        <v>1197</v>
      </c>
      <c r="BM3005" s="1" t="s">
        <v>47715</v>
      </c>
      <c r="BN3005" s="1">
        <v>22099668</v>
      </c>
      <c r="BO3005" s="1" t="s">
        <v>810</v>
      </c>
      <c r="BP3005" s="1" t="s">
        <v>74</v>
      </c>
      <c r="BQ3005" s="1" t="s">
        <v>74</v>
      </c>
      <c r="BR3005" s="1" t="s">
        <v>98</v>
      </c>
      <c r="BS3005" s="1" t="s">
        <v>47716</v>
      </c>
      <c r="BT3005" s="1" t="str">
        <f>HYPERLINK("https%3A%2F%2Fwww.webofscience.com%2Fwos%2Fwoscc%2Ffull-record%2FWOS:000298452500029","View Full Record in Web of Science")</f>
        <v>View Full Record in Web of Science</v>
      </c>
      <c r="BU3005" s="1"/>
      <c r="BV3005" s="1"/>
    </row>
    <row r="3006" spans="1:74">
      <c r="A3006" s="1" t="s">
        <v>72</v>
      </c>
      <c r="B3006" s="1" t="s">
        <v>47717</v>
      </c>
      <c r="C3006" s="1" t="s">
        <v>74</v>
      </c>
      <c r="D3006" s="1" t="s">
        <v>74</v>
      </c>
      <c r="E3006" s="1" t="s">
        <v>74</v>
      </c>
      <c r="F3006" s="1" t="s">
        <v>47718</v>
      </c>
      <c r="G3006" s="1" t="s">
        <v>74</v>
      </c>
      <c r="H3006" s="1" t="s">
        <v>74</v>
      </c>
      <c r="I3006" s="1" t="s">
        <v>47719</v>
      </c>
      <c r="J3006" s="1" t="s">
        <v>421</v>
      </c>
      <c r="K3006" s="1" t="s">
        <v>74</v>
      </c>
      <c r="L3006" s="1" t="s">
        <v>74</v>
      </c>
      <c r="M3006" s="1" t="s">
        <v>78</v>
      </c>
      <c r="N3006" s="1" t="s">
        <v>79</v>
      </c>
      <c r="O3006" s="1" t="s">
        <v>74</v>
      </c>
      <c r="P3006" s="1" t="s">
        <v>74</v>
      </c>
      <c r="Q3006" s="1" t="s">
        <v>74</v>
      </c>
      <c r="R3006" s="1" t="s">
        <v>74</v>
      </c>
      <c r="S3006" s="1" t="s">
        <v>74</v>
      </c>
      <c r="T3006" s="1" t="s">
        <v>47720</v>
      </c>
      <c r="U3006" s="1" t="s">
        <v>47721</v>
      </c>
      <c r="V3006" s="1" t="s">
        <v>47722</v>
      </c>
      <c r="W3006" s="1" t="s">
        <v>47723</v>
      </c>
      <c r="X3006" s="1" t="s">
        <v>47724</v>
      </c>
      <c r="Y3006" s="1" t="s">
        <v>47725</v>
      </c>
      <c r="Z3006" s="1" t="s">
        <v>47726</v>
      </c>
      <c r="AA3006" s="1" t="s">
        <v>47727</v>
      </c>
      <c r="AB3006" s="1" t="s">
        <v>47728</v>
      </c>
      <c r="AC3006" s="1" t="s">
        <v>74</v>
      </c>
      <c r="AD3006" s="1" t="s">
        <v>74</v>
      </c>
      <c r="AE3006" s="1" t="s">
        <v>74</v>
      </c>
      <c r="AF3006" s="1" t="s">
        <v>74</v>
      </c>
      <c r="AG3006" s="1">
        <v>87</v>
      </c>
      <c r="AH3006" s="1">
        <v>33</v>
      </c>
      <c r="AI3006" s="1">
        <v>38</v>
      </c>
      <c r="AJ3006" s="1">
        <v>1</v>
      </c>
      <c r="AK3006" s="1">
        <v>20</v>
      </c>
      <c r="AL3006" s="1" t="s">
        <v>430</v>
      </c>
      <c r="AM3006" s="1" t="s">
        <v>137</v>
      </c>
      <c r="AN3006" s="1" t="s">
        <v>431</v>
      </c>
      <c r="AO3006" s="1" t="s">
        <v>432</v>
      </c>
      <c r="AP3006" s="1" t="s">
        <v>74</v>
      </c>
      <c r="AQ3006" s="1" t="s">
        <v>74</v>
      </c>
      <c r="AR3006" s="1" t="s">
        <v>433</v>
      </c>
      <c r="AS3006" s="1" t="s">
        <v>434</v>
      </c>
      <c r="AT3006" s="1" t="s">
        <v>1223</v>
      </c>
      <c r="AU3006" s="1">
        <v>2008</v>
      </c>
      <c r="AV3006" s="1">
        <v>152</v>
      </c>
      <c r="AW3006" s="1">
        <v>2</v>
      </c>
      <c r="AX3006" s="1" t="s">
        <v>74</v>
      </c>
      <c r="AY3006" s="1" t="s">
        <v>74</v>
      </c>
      <c r="AZ3006" s="1" t="s">
        <v>74</v>
      </c>
      <c r="BA3006" s="1" t="s">
        <v>74</v>
      </c>
      <c r="BB3006" s="1">
        <v>293</v>
      </c>
      <c r="BC3006" s="1">
        <v>303</v>
      </c>
      <c r="BD3006" s="1" t="s">
        <v>74</v>
      </c>
      <c r="BE3006" s="1" t="s">
        <v>47729</v>
      </c>
      <c r="BF3006" s="1" t="str">
        <f>HYPERLINK("http://dx.doi.org/10.1016/j.envpol.2007.06.052","http://dx.doi.org/10.1016/j.envpol.2007.06.052")</f>
        <v>http://dx.doi.org/10.1016/j.envpol.2007.06.052</v>
      </c>
      <c r="BG3006" s="1" t="s">
        <v>74</v>
      </c>
      <c r="BH3006" s="1" t="s">
        <v>74</v>
      </c>
      <c r="BI3006" s="1">
        <v>11</v>
      </c>
      <c r="BJ3006" s="1" t="s">
        <v>144</v>
      </c>
      <c r="BK3006" s="1" t="s">
        <v>96</v>
      </c>
      <c r="BL3006" s="1" t="s">
        <v>145</v>
      </c>
      <c r="BM3006" s="1" t="s">
        <v>47730</v>
      </c>
      <c r="BN3006" s="1">
        <v>17949868</v>
      </c>
      <c r="BO3006" s="1" t="s">
        <v>74</v>
      </c>
      <c r="BP3006" s="1" t="s">
        <v>74</v>
      </c>
      <c r="BQ3006" s="1" t="s">
        <v>74</v>
      </c>
      <c r="BR3006" s="1" t="s">
        <v>98</v>
      </c>
      <c r="BS3006" s="1" t="s">
        <v>47731</v>
      </c>
      <c r="BT3006" s="1" t="str">
        <f>HYPERLINK("https%3A%2F%2Fwww.webofscience.com%2Fwos%2Fwoscc%2Ffull-record%2FWOS:000254968200005","View Full Record in Web of Science")</f>
        <v>View Full Record in Web of Science</v>
      </c>
      <c r="BU3006" s="1"/>
      <c r="BV3006" s="1"/>
    </row>
    <row r="3007" spans="1:74">
      <c r="A3007" s="1" t="s">
        <v>72</v>
      </c>
      <c r="B3007" s="1" t="s">
        <v>47732</v>
      </c>
      <c r="C3007" s="1" t="s">
        <v>74</v>
      </c>
      <c r="D3007" s="1" t="s">
        <v>74</v>
      </c>
      <c r="E3007" s="1" t="s">
        <v>74</v>
      </c>
      <c r="F3007" s="1" t="s">
        <v>47733</v>
      </c>
      <c r="G3007" s="1" t="s">
        <v>74</v>
      </c>
      <c r="H3007" s="1" t="s">
        <v>74</v>
      </c>
      <c r="I3007" s="1" t="s">
        <v>47734</v>
      </c>
      <c r="J3007" s="1" t="s">
        <v>909</v>
      </c>
      <c r="K3007" s="1" t="s">
        <v>74</v>
      </c>
      <c r="L3007" s="1" t="s">
        <v>74</v>
      </c>
      <c r="M3007" s="1" t="s">
        <v>78</v>
      </c>
      <c r="N3007" s="1" t="s">
        <v>79</v>
      </c>
      <c r="O3007" s="1" t="s">
        <v>74</v>
      </c>
      <c r="P3007" s="1" t="s">
        <v>74</v>
      </c>
      <c r="Q3007" s="1" t="s">
        <v>74</v>
      </c>
      <c r="R3007" s="1" t="s">
        <v>74</v>
      </c>
      <c r="S3007" s="1" t="s">
        <v>74</v>
      </c>
      <c r="T3007" s="1" t="s">
        <v>47735</v>
      </c>
      <c r="U3007" s="1" t="s">
        <v>47736</v>
      </c>
      <c r="V3007" s="1" t="s">
        <v>47737</v>
      </c>
      <c r="W3007" s="1" t="s">
        <v>47738</v>
      </c>
      <c r="X3007" s="1" t="s">
        <v>47739</v>
      </c>
      <c r="Y3007" s="1" t="s">
        <v>47740</v>
      </c>
      <c r="Z3007" s="1" t="s">
        <v>47741</v>
      </c>
      <c r="AA3007" s="1" t="s">
        <v>47742</v>
      </c>
      <c r="AB3007" s="1" t="s">
        <v>47743</v>
      </c>
      <c r="AC3007" s="1" t="s">
        <v>47744</v>
      </c>
      <c r="AD3007" s="1" t="s">
        <v>47744</v>
      </c>
      <c r="AE3007" s="1" t="s">
        <v>47745</v>
      </c>
      <c r="AF3007" s="1" t="s">
        <v>74</v>
      </c>
      <c r="AG3007" s="1">
        <v>91</v>
      </c>
      <c r="AH3007" s="1">
        <v>15</v>
      </c>
      <c r="AI3007" s="1">
        <v>16</v>
      </c>
      <c r="AJ3007" s="1">
        <v>11</v>
      </c>
      <c r="AK3007" s="1">
        <v>124</v>
      </c>
      <c r="AL3007" s="1" t="s">
        <v>650</v>
      </c>
      <c r="AM3007" s="1" t="s">
        <v>651</v>
      </c>
      <c r="AN3007" s="1" t="s">
        <v>652</v>
      </c>
      <c r="AO3007" s="1" t="s">
        <v>921</v>
      </c>
      <c r="AP3007" s="1" t="s">
        <v>922</v>
      </c>
      <c r="AQ3007" s="1" t="s">
        <v>74</v>
      </c>
      <c r="AR3007" s="1" t="s">
        <v>923</v>
      </c>
      <c r="AS3007" s="1" t="s">
        <v>924</v>
      </c>
      <c r="AT3007" s="1" t="s">
        <v>26591</v>
      </c>
      <c r="AU3007" s="1">
        <v>2020</v>
      </c>
      <c r="AV3007" s="1">
        <v>736</v>
      </c>
      <c r="AW3007" s="1" t="s">
        <v>74</v>
      </c>
      <c r="AX3007" s="1" t="s">
        <v>74</v>
      </c>
      <c r="AY3007" s="1" t="s">
        <v>74</v>
      </c>
      <c r="AZ3007" s="1" t="s">
        <v>74</v>
      </c>
      <c r="BA3007" s="1" t="s">
        <v>74</v>
      </c>
      <c r="BB3007" s="1" t="s">
        <v>74</v>
      </c>
      <c r="BC3007" s="1" t="s">
        <v>74</v>
      </c>
      <c r="BD3007" s="1">
        <v>139081</v>
      </c>
      <c r="BE3007" s="1" t="s">
        <v>47746</v>
      </c>
      <c r="BF3007" s="1" t="str">
        <f>HYPERLINK("http://dx.doi.org/10.1016/j.scitotenv.2020.139081","http://dx.doi.org/10.1016/j.scitotenv.2020.139081")</f>
        <v>http://dx.doi.org/10.1016/j.scitotenv.2020.139081</v>
      </c>
      <c r="BG3007" s="1" t="s">
        <v>74</v>
      </c>
      <c r="BH3007" s="1" t="s">
        <v>74</v>
      </c>
      <c r="BI3007" s="1">
        <v>10</v>
      </c>
      <c r="BJ3007" s="1" t="s">
        <v>144</v>
      </c>
      <c r="BK3007" s="1" t="s">
        <v>96</v>
      </c>
      <c r="BL3007" s="1" t="s">
        <v>145</v>
      </c>
      <c r="BM3007" s="1" t="s">
        <v>47747</v>
      </c>
      <c r="BN3007" s="1">
        <v>32504866</v>
      </c>
      <c r="BO3007" s="1" t="s">
        <v>74</v>
      </c>
      <c r="BP3007" s="1" t="s">
        <v>74</v>
      </c>
      <c r="BQ3007" s="1" t="s">
        <v>74</v>
      </c>
      <c r="BR3007" s="1" t="s">
        <v>98</v>
      </c>
      <c r="BS3007" s="1" t="s">
        <v>47748</v>
      </c>
      <c r="BT3007" s="1" t="str">
        <f>HYPERLINK("https%3A%2F%2Fwww.webofscience.com%2Fwos%2Fwoscc%2Ffull-record%2FWOS:000542087400001","View Full Record in Web of Science")</f>
        <v>View Full Record in Web of Science</v>
      </c>
      <c r="BU3007" s="1"/>
      <c r="BV3007" s="1"/>
    </row>
    <row r="3008" spans="1:74">
      <c r="A3008" s="1" t="s">
        <v>72</v>
      </c>
      <c r="B3008" s="1" t="s">
        <v>47749</v>
      </c>
      <c r="C3008" s="1" t="s">
        <v>74</v>
      </c>
      <c r="D3008" s="1" t="s">
        <v>74</v>
      </c>
      <c r="E3008" s="1" t="s">
        <v>74</v>
      </c>
      <c r="F3008" s="1" t="s">
        <v>47750</v>
      </c>
      <c r="G3008" s="1" t="s">
        <v>74</v>
      </c>
      <c r="H3008" s="1" t="s">
        <v>74</v>
      </c>
      <c r="I3008" s="1" t="s">
        <v>47751</v>
      </c>
      <c r="J3008" s="1" t="s">
        <v>421</v>
      </c>
      <c r="K3008" s="1" t="s">
        <v>74</v>
      </c>
      <c r="L3008" s="1" t="s">
        <v>74</v>
      </c>
      <c r="M3008" s="1" t="s">
        <v>78</v>
      </c>
      <c r="N3008" s="1" t="s">
        <v>79</v>
      </c>
      <c r="O3008" s="1" t="s">
        <v>74</v>
      </c>
      <c r="P3008" s="1" t="s">
        <v>74</v>
      </c>
      <c r="Q3008" s="1" t="s">
        <v>74</v>
      </c>
      <c r="R3008" s="1" t="s">
        <v>74</v>
      </c>
      <c r="S3008" s="1" t="s">
        <v>74</v>
      </c>
      <c r="T3008" s="1" t="s">
        <v>47752</v>
      </c>
      <c r="U3008" s="1" t="s">
        <v>47753</v>
      </c>
      <c r="V3008" s="1" t="s">
        <v>47754</v>
      </c>
      <c r="W3008" s="1" t="s">
        <v>47755</v>
      </c>
      <c r="X3008" s="1" t="s">
        <v>11094</v>
      </c>
      <c r="Y3008" s="1" t="s">
        <v>47756</v>
      </c>
      <c r="Z3008" s="1" t="s">
        <v>47757</v>
      </c>
      <c r="AA3008" s="1" t="s">
        <v>47758</v>
      </c>
      <c r="AB3008" s="1" t="s">
        <v>47759</v>
      </c>
      <c r="AC3008" s="1" t="s">
        <v>47760</v>
      </c>
      <c r="AD3008" s="1" t="s">
        <v>47761</v>
      </c>
      <c r="AE3008" s="1" t="s">
        <v>47762</v>
      </c>
      <c r="AF3008" s="1" t="s">
        <v>74</v>
      </c>
      <c r="AG3008" s="1">
        <v>89</v>
      </c>
      <c r="AH3008" s="1">
        <v>99</v>
      </c>
      <c r="AI3008" s="1">
        <v>107</v>
      </c>
      <c r="AJ3008" s="1">
        <v>8</v>
      </c>
      <c r="AK3008" s="1">
        <v>206</v>
      </c>
      <c r="AL3008" s="1" t="s">
        <v>430</v>
      </c>
      <c r="AM3008" s="1" t="s">
        <v>137</v>
      </c>
      <c r="AN3008" s="1" t="s">
        <v>431</v>
      </c>
      <c r="AO3008" s="1" t="s">
        <v>432</v>
      </c>
      <c r="AP3008" s="1" t="s">
        <v>1394</v>
      </c>
      <c r="AQ3008" s="1" t="s">
        <v>74</v>
      </c>
      <c r="AR3008" s="1" t="s">
        <v>433</v>
      </c>
      <c r="AS3008" s="1" t="s">
        <v>434</v>
      </c>
      <c r="AT3008" s="1" t="s">
        <v>142</v>
      </c>
      <c r="AU3008" s="1">
        <v>2019</v>
      </c>
      <c r="AV3008" s="1">
        <v>249</v>
      </c>
      <c r="AW3008" s="1" t="s">
        <v>74</v>
      </c>
      <c r="AX3008" s="1" t="s">
        <v>74</v>
      </c>
      <c r="AY3008" s="1" t="s">
        <v>74</v>
      </c>
      <c r="AZ3008" s="1" t="s">
        <v>74</v>
      </c>
      <c r="BA3008" s="1" t="s">
        <v>74</v>
      </c>
      <c r="BB3008" s="1">
        <v>321</v>
      </c>
      <c r="BC3008" s="1">
        <v>329</v>
      </c>
      <c r="BD3008" s="1" t="s">
        <v>74</v>
      </c>
      <c r="BE3008" s="1" t="s">
        <v>47763</v>
      </c>
      <c r="BF3008" s="1" t="str">
        <f>HYPERLINK("http://dx.doi.org/10.1016/j.envpol.2019.03.037","http://dx.doi.org/10.1016/j.envpol.2019.03.037")</f>
        <v>http://dx.doi.org/10.1016/j.envpol.2019.03.037</v>
      </c>
      <c r="BG3008" s="1" t="s">
        <v>74</v>
      </c>
      <c r="BH3008" s="1" t="s">
        <v>74</v>
      </c>
      <c r="BI3008" s="1">
        <v>9</v>
      </c>
      <c r="BJ3008" s="1" t="s">
        <v>144</v>
      </c>
      <c r="BK3008" s="1" t="s">
        <v>96</v>
      </c>
      <c r="BL3008" s="1" t="s">
        <v>145</v>
      </c>
      <c r="BM3008" s="1" t="s">
        <v>15301</v>
      </c>
      <c r="BN3008" s="1">
        <v>30901646</v>
      </c>
      <c r="BO3008" s="1" t="s">
        <v>74</v>
      </c>
      <c r="BP3008" s="1" t="s">
        <v>74</v>
      </c>
      <c r="BQ3008" s="1" t="s">
        <v>74</v>
      </c>
      <c r="BR3008" s="1" t="s">
        <v>98</v>
      </c>
      <c r="BS3008" s="1" t="s">
        <v>47764</v>
      </c>
      <c r="BT3008" s="1" t="str">
        <f>HYPERLINK("https%3A%2F%2Fwww.webofscience.com%2Fwos%2Fwoscc%2Ffull-record%2FWOS:000471081300035","View Full Record in Web of Science")</f>
        <v>View Full Record in Web of Science</v>
      </c>
      <c r="BU3008" s="1"/>
      <c r="BV3008" s="1"/>
    </row>
    <row r="3009" spans="1:74">
      <c r="A3009" s="1" t="s">
        <v>72</v>
      </c>
      <c r="B3009" s="1" t="s">
        <v>47765</v>
      </c>
      <c r="C3009" s="1" t="s">
        <v>74</v>
      </c>
      <c r="D3009" s="1" t="s">
        <v>74</v>
      </c>
      <c r="E3009" s="1" t="s">
        <v>74</v>
      </c>
      <c r="F3009" s="1" t="s">
        <v>47765</v>
      </c>
      <c r="G3009" s="1" t="s">
        <v>74</v>
      </c>
      <c r="H3009" s="1" t="s">
        <v>74</v>
      </c>
      <c r="I3009" s="1" t="s">
        <v>47766</v>
      </c>
      <c r="J3009" s="1" t="s">
        <v>3349</v>
      </c>
      <c r="K3009" s="1" t="s">
        <v>74</v>
      </c>
      <c r="L3009" s="1" t="s">
        <v>74</v>
      </c>
      <c r="M3009" s="1" t="s">
        <v>78</v>
      </c>
      <c r="N3009" s="1" t="s">
        <v>151</v>
      </c>
      <c r="O3009" s="1" t="s">
        <v>47767</v>
      </c>
      <c r="P3009" s="1" t="s">
        <v>47768</v>
      </c>
      <c r="Q3009" s="1" t="s">
        <v>47769</v>
      </c>
      <c r="R3009" s="1" t="s">
        <v>74</v>
      </c>
      <c r="S3009" s="1" t="s">
        <v>47770</v>
      </c>
      <c r="T3009" s="1" t="s">
        <v>47771</v>
      </c>
      <c r="U3009" s="1" t="s">
        <v>47772</v>
      </c>
      <c r="V3009" s="1" t="s">
        <v>47773</v>
      </c>
      <c r="W3009" s="1" t="s">
        <v>47774</v>
      </c>
      <c r="X3009" s="1" t="s">
        <v>47775</v>
      </c>
      <c r="Y3009" s="1" t="s">
        <v>47776</v>
      </c>
      <c r="Z3009" s="1" t="s">
        <v>47777</v>
      </c>
      <c r="AA3009" s="1" t="s">
        <v>47778</v>
      </c>
      <c r="AB3009" s="1" t="s">
        <v>47779</v>
      </c>
      <c r="AC3009" s="1" t="s">
        <v>74</v>
      </c>
      <c r="AD3009" s="1" t="s">
        <v>74</v>
      </c>
      <c r="AE3009" s="1" t="s">
        <v>74</v>
      </c>
      <c r="AF3009" s="1" t="s">
        <v>74</v>
      </c>
      <c r="AG3009" s="1">
        <v>35</v>
      </c>
      <c r="AH3009" s="1">
        <v>117</v>
      </c>
      <c r="AI3009" s="1">
        <v>126</v>
      </c>
      <c r="AJ3009" s="1">
        <v>1</v>
      </c>
      <c r="AK3009" s="1">
        <v>31</v>
      </c>
      <c r="AL3009" s="1" t="s">
        <v>3362</v>
      </c>
      <c r="AM3009" s="1" t="s">
        <v>3363</v>
      </c>
      <c r="AN3009" s="1" t="s">
        <v>3364</v>
      </c>
      <c r="AO3009" s="1" t="s">
        <v>3365</v>
      </c>
      <c r="AP3009" s="1" t="s">
        <v>3366</v>
      </c>
      <c r="AQ3009" s="1" t="s">
        <v>74</v>
      </c>
      <c r="AR3009" s="1" t="s">
        <v>3367</v>
      </c>
      <c r="AS3009" s="1" t="s">
        <v>3368</v>
      </c>
      <c r="AT3009" s="1" t="s">
        <v>1470</v>
      </c>
      <c r="AU3009" s="1">
        <v>2004</v>
      </c>
      <c r="AV3009" s="1">
        <v>57</v>
      </c>
      <c r="AW3009" s="1">
        <v>1</v>
      </c>
      <c r="AX3009" s="1" t="s">
        <v>74</v>
      </c>
      <c r="AY3009" s="1" t="s">
        <v>74</v>
      </c>
      <c r="AZ3009" s="1" t="s">
        <v>74</v>
      </c>
      <c r="BA3009" s="1" t="s">
        <v>74</v>
      </c>
      <c r="BB3009" s="1">
        <v>20</v>
      </c>
      <c r="BC3009" s="1">
        <v>29</v>
      </c>
      <c r="BD3009" s="1" t="s">
        <v>74</v>
      </c>
      <c r="BE3009" s="1" t="s">
        <v>47780</v>
      </c>
      <c r="BF3009" s="1" t="str">
        <f>HYPERLINK("http://dx.doi.org/10.1016/j.ecoenv.2003.08.009","http://dx.doi.org/10.1016/j.ecoenv.2003.08.009")</f>
        <v>http://dx.doi.org/10.1016/j.ecoenv.2003.08.009</v>
      </c>
      <c r="BG3009" s="1" t="s">
        <v>74</v>
      </c>
      <c r="BH3009" s="1" t="s">
        <v>74</v>
      </c>
      <c r="BI3009" s="1">
        <v>10</v>
      </c>
      <c r="BJ3009" s="1" t="s">
        <v>121</v>
      </c>
      <c r="BK3009" s="1" t="s">
        <v>172</v>
      </c>
      <c r="BL3009" s="1" t="s">
        <v>122</v>
      </c>
      <c r="BM3009" s="1" t="s">
        <v>47781</v>
      </c>
      <c r="BN3009" s="1">
        <v>14659363</v>
      </c>
      <c r="BO3009" s="1" t="s">
        <v>74</v>
      </c>
      <c r="BP3009" s="1" t="s">
        <v>74</v>
      </c>
      <c r="BQ3009" s="1" t="s">
        <v>74</v>
      </c>
      <c r="BR3009" s="1" t="s">
        <v>98</v>
      </c>
      <c r="BS3009" s="1" t="s">
        <v>47782</v>
      </c>
      <c r="BT3009" s="1" t="str">
        <f>HYPERLINK("https%3A%2F%2Fwww.webofscience.com%2Fwos%2Fwoscc%2Ffull-record%2FWOS:000187634000004","View Full Record in Web of Science")</f>
        <v>View Full Record in Web of Science</v>
      </c>
      <c r="BU3009" s="1"/>
      <c r="BV3009" s="1"/>
    </row>
    <row r="3010" spans="1:74">
      <c r="A3010" s="1" t="s">
        <v>72</v>
      </c>
      <c r="B3010" s="1" t="s">
        <v>47783</v>
      </c>
      <c r="C3010" s="1" t="s">
        <v>74</v>
      </c>
      <c r="D3010" s="1" t="s">
        <v>74</v>
      </c>
      <c r="E3010" s="1" t="s">
        <v>74</v>
      </c>
      <c r="F3010" s="1" t="s">
        <v>47784</v>
      </c>
      <c r="G3010" s="1" t="s">
        <v>74</v>
      </c>
      <c r="H3010" s="1" t="s">
        <v>74</v>
      </c>
      <c r="I3010" s="1" t="s">
        <v>47785</v>
      </c>
      <c r="J3010" s="1" t="s">
        <v>909</v>
      </c>
      <c r="K3010" s="1" t="s">
        <v>74</v>
      </c>
      <c r="L3010" s="1" t="s">
        <v>74</v>
      </c>
      <c r="M3010" s="1" t="s">
        <v>78</v>
      </c>
      <c r="N3010" s="1" t="s">
        <v>79</v>
      </c>
      <c r="O3010" s="1" t="s">
        <v>74</v>
      </c>
      <c r="P3010" s="1" t="s">
        <v>74</v>
      </c>
      <c r="Q3010" s="1" t="s">
        <v>74</v>
      </c>
      <c r="R3010" s="1" t="s">
        <v>74</v>
      </c>
      <c r="S3010" s="1" t="s">
        <v>74</v>
      </c>
      <c r="T3010" s="1" t="s">
        <v>47786</v>
      </c>
      <c r="U3010" s="1" t="s">
        <v>47787</v>
      </c>
      <c r="V3010" s="1" t="s">
        <v>47788</v>
      </c>
      <c r="W3010" s="1" t="s">
        <v>47789</v>
      </c>
      <c r="X3010" s="1" t="s">
        <v>47790</v>
      </c>
      <c r="Y3010" s="1" t="s">
        <v>47791</v>
      </c>
      <c r="Z3010" s="1" t="s">
        <v>47792</v>
      </c>
      <c r="AA3010" s="1" t="s">
        <v>47793</v>
      </c>
      <c r="AB3010" s="1" t="s">
        <v>47794</v>
      </c>
      <c r="AC3010" s="1" t="s">
        <v>47795</v>
      </c>
      <c r="AD3010" s="1" t="s">
        <v>47796</v>
      </c>
      <c r="AE3010" s="1" t="s">
        <v>47797</v>
      </c>
      <c r="AF3010" s="1" t="s">
        <v>74</v>
      </c>
      <c r="AG3010" s="1">
        <v>53</v>
      </c>
      <c r="AH3010" s="1">
        <v>45</v>
      </c>
      <c r="AI3010" s="1">
        <v>46</v>
      </c>
      <c r="AJ3010" s="1">
        <v>24</v>
      </c>
      <c r="AK3010" s="1">
        <v>298</v>
      </c>
      <c r="AL3010" s="1" t="s">
        <v>650</v>
      </c>
      <c r="AM3010" s="1" t="s">
        <v>651</v>
      </c>
      <c r="AN3010" s="1" t="s">
        <v>652</v>
      </c>
      <c r="AO3010" s="1" t="s">
        <v>921</v>
      </c>
      <c r="AP3010" s="1" t="s">
        <v>922</v>
      </c>
      <c r="AQ3010" s="1" t="s">
        <v>74</v>
      </c>
      <c r="AR3010" s="1" t="s">
        <v>923</v>
      </c>
      <c r="AS3010" s="1" t="s">
        <v>924</v>
      </c>
      <c r="AT3010" s="1" t="s">
        <v>3542</v>
      </c>
      <c r="AU3010" s="1">
        <v>2021</v>
      </c>
      <c r="AV3010" s="1">
        <v>789</v>
      </c>
      <c r="AW3010" s="1" t="s">
        <v>74</v>
      </c>
      <c r="AX3010" s="1" t="s">
        <v>74</v>
      </c>
      <c r="AY3010" s="1" t="s">
        <v>74</v>
      </c>
      <c r="AZ3010" s="1" t="s">
        <v>74</v>
      </c>
      <c r="BA3010" s="1" t="s">
        <v>74</v>
      </c>
      <c r="BB3010" s="1" t="s">
        <v>74</v>
      </c>
      <c r="BC3010" s="1" t="s">
        <v>74</v>
      </c>
      <c r="BD3010" s="1">
        <v>147887</v>
      </c>
      <c r="BE3010" s="1" t="s">
        <v>47798</v>
      </c>
      <c r="BF3010" s="1" t="str">
        <f>HYPERLINK("http://dx.doi.org/10.1016/j.scitotenv.2021.147887","http://dx.doi.org/10.1016/j.scitotenv.2021.147887")</f>
        <v>http://dx.doi.org/10.1016/j.scitotenv.2021.147887</v>
      </c>
      <c r="BG3010" s="1" t="s">
        <v>74</v>
      </c>
      <c r="BH3010" s="1" t="s">
        <v>3508</v>
      </c>
      <c r="BI3010" s="1">
        <v>10</v>
      </c>
      <c r="BJ3010" s="1" t="s">
        <v>144</v>
      </c>
      <c r="BK3010" s="1" t="s">
        <v>96</v>
      </c>
      <c r="BL3010" s="1" t="s">
        <v>145</v>
      </c>
      <c r="BM3010" s="1" t="s">
        <v>47799</v>
      </c>
      <c r="BN3010" s="1">
        <v>34051493</v>
      </c>
      <c r="BO3010" s="1" t="s">
        <v>74</v>
      </c>
      <c r="BP3010" s="1" t="s">
        <v>74</v>
      </c>
      <c r="BQ3010" s="1" t="s">
        <v>74</v>
      </c>
      <c r="BR3010" s="1" t="s">
        <v>98</v>
      </c>
      <c r="BS3010" s="1" t="s">
        <v>47800</v>
      </c>
      <c r="BT3010" s="1" t="str">
        <f>HYPERLINK("https%3A%2F%2Fwww.webofscience.com%2Fwos%2Fwoscc%2Ffull-record%2FWOS:000677549900003","View Full Record in Web of Science")</f>
        <v>View Full Record in Web of Science</v>
      </c>
      <c r="BU3010" s="1"/>
      <c r="BV3010" s="1"/>
    </row>
    <row r="3011" spans="1:74">
      <c r="A3011" s="1" t="s">
        <v>72</v>
      </c>
      <c r="B3011" s="1" t="s">
        <v>47801</v>
      </c>
      <c r="C3011" s="1" t="s">
        <v>74</v>
      </c>
      <c r="D3011" s="1" t="s">
        <v>74</v>
      </c>
      <c r="E3011" s="1" t="s">
        <v>74</v>
      </c>
      <c r="F3011" s="1" t="s">
        <v>47801</v>
      </c>
      <c r="G3011" s="1" t="s">
        <v>74</v>
      </c>
      <c r="H3011" s="1" t="s">
        <v>74</v>
      </c>
      <c r="I3011" s="1" t="s">
        <v>47802</v>
      </c>
      <c r="J3011" s="1" t="s">
        <v>421</v>
      </c>
      <c r="K3011" s="1" t="s">
        <v>74</v>
      </c>
      <c r="L3011" s="1" t="s">
        <v>74</v>
      </c>
      <c r="M3011" s="1" t="s">
        <v>78</v>
      </c>
      <c r="N3011" s="1" t="s">
        <v>79</v>
      </c>
      <c r="O3011" s="1" t="s">
        <v>74</v>
      </c>
      <c r="P3011" s="1" t="s">
        <v>74</v>
      </c>
      <c r="Q3011" s="1" t="s">
        <v>74</v>
      </c>
      <c r="R3011" s="1" t="s">
        <v>74</v>
      </c>
      <c r="S3011" s="1" t="s">
        <v>74</v>
      </c>
      <c r="T3011" s="1" t="s">
        <v>47803</v>
      </c>
      <c r="U3011" s="1" t="s">
        <v>47804</v>
      </c>
      <c r="V3011" s="1" t="s">
        <v>47805</v>
      </c>
      <c r="W3011" s="1" t="s">
        <v>47806</v>
      </c>
      <c r="X3011" s="1" t="s">
        <v>25731</v>
      </c>
      <c r="Y3011" s="1" t="s">
        <v>47807</v>
      </c>
      <c r="Z3011" s="1" t="s">
        <v>3249</v>
      </c>
      <c r="AA3011" s="1" t="s">
        <v>74</v>
      </c>
      <c r="AB3011" s="1" t="s">
        <v>74</v>
      </c>
      <c r="AC3011" s="1" t="s">
        <v>74</v>
      </c>
      <c r="AD3011" s="1" t="s">
        <v>74</v>
      </c>
      <c r="AE3011" s="1" t="s">
        <v>74</v>
      </c>
      <c r="AF3011" s="1" t="s">
        <v>74</v>
      </c>
      <c r="AG3011" s="1">
        <v>36</v>
      </c>
      <c r="AH3011" s="1">
        <v>102</v>
      </c>
      <c r="AI3011" s="1">
        <v>120</v>
      </c>
      <c r="AJ3011" s="1">
        <v>1</v>
      </c>
      <c r="AK3011" s="1">
        <v>17</v>
      </c>
      <c r="AL3011" s="1" t="s">
        <v>430</v>
      </c>
      <c r="AM3011" s="1" t="s">
        <v>137</v>
      </c>
      <c r="AN3011" s="1" t="s">
        <v>431</v>
      </c>
      <c r="AO3011" s="1" t="s">
        <v>432</v>
      </c>
      <c r="AP3011" s="1" t="s">
        <v>1394</v>
      </c>
      <c r="AQ3011" s="1" t="s">
        <v>74</v>
      </c>
      <c r="AR3011" s="1" t="s">
        <v>433</v>
      </c>
      <c r="AS3011" s="1" t="s">
        <v>434</v>
      </c>
      <c r="AT3011" s="1" t="s">
        <v>1470</v>
      </c>
      <c r="AU3011" s="1">
        <v>2005</v>
      </c>
      <c r="AV3011" s="1">
        <v>133</v>
      </c>
      <c r="AW3011" s="1">
        <v>2</v>
      </c>
      <c r="AX3011" s="1" t="s">
        <v>74</v>
      </c>
      <c r="AY3011" s="1" t="s">
        <v>74</v>
      </c>
      <c r="AZ3011" s="1" t="s">
        <v>74</v>
      </c>
      <c r="BA3011" s="1" t="s">
        <v>74</v>
      </c>
      <c r="BB3011" s="1">
        <v>275</v>
      </c>
      <c r="BC3011" s="1">
        <v>281</v>
      </c>
      <c r="BD3011" s="1" t="s">
        <v>74</v>
      </c>
      <c r="BE3011" s="1" t="s">
        <v>47808</v>
      </c>
      <c r="BF3011" s="1" t="str">
        <f>HYPERLINK("http://dx.doi.org/10.1016/j.envpol.2004.05.035","http://dx.doi.org/10.1016/j.envpol.2004.05.035")</f>
        <v>http://dx.doi.org/10.1016/j.envpol.2004.05.035</v>
      </c>
      <c r="BG3011" s="1" t="s">
        <v>74</v>
      </c>
      <c r="BH3011" s="1" t="s">
        <v>74</v>
      </c>
      <c r="BI3011" s="1">
        <v>7</v>
      </c>
      <c r="BJ3011" s="1" t="s">
        <v>144</v>
      </c>
      <c r="BK3011" s="1" t="s">
        <v>96</v>
      </c>
      <c r="BL3011" s="1" t="s">
        <v>145</v>
      </c>
      <c r="BM3011" s="1" t="s">
        <v>47809</v>
      </c>
      <c r="BN3011" s="1">
        <v>15519458</v>
      </c>
      <c r="BO3011" s="1" t="s">
        <v>74</v>
      </c>
      <c r="BP3011" s="1" t="s">
        <v>74</v>
      </c>
      <c r="BQ3011" s="1" t="s">
        <v>74</v>
      </c>
      <c r="BR3011" s="1" t="s">
        <v>98</v>
      </c>
      <c r="BS3011" s="1" t="s">
        <v>47810</v>
      </c>
      <c r="BT3011" s="1" t="str">
        <f>HYPERLINK("https%3A%2F%2Fwww.webofscience.com%2Fwos%2Fwoscc%2Ffull-record%2FWOS:000225533200009","View Full Record in Web of Science")</f>
        <v>View Full Record in Web of Science</v>
      </c>
      <c r="BU3011" s="1"/>
      <c r="BV3011" s="1"/>
    </row>
    <row r="3012" spans="1:74">
      <c r="A3012" s="1" t="s">
        <v>72</v>
      </c>
      <c r="B3012" s="1" t="s">
        <v>47811</v>
      </c>
      <c r="C3012" s="1" t="s">
        <v>74</v>
      </c>
      <c r="D3012" s="1" t="s">
        <v>74</v>
      </c>
      <c r="E3012" s="1" t="s">
        <v>74</v>
      </c>
      <c r="F3012" s="1" t="s">
        <v>47812</v>
      </c>
      <c r="G3012" s="1" t="s">
        <v>74</v>
      </c>
      <c r="H3012" s="1" t="s">
        <v>74</v>
      </c>
      <c r="I3012" s="1" t="s">
        <v>47813</v>
      </c>
      <c r="J3012" s="1" t="s">
        <v>42794</v>
      </c>
      <c r="K3012" s="1" t="s">
        <v>74</v>
      </c>
      <c r="L3012" s="1" t="s">
        <v>74</v>
      </c>
      <c r="M3012" s="1" t="s">
        <v>78</v>
      </c>
      <c r="N3012" s="1" t="s">
        <v>79</v>
      </c>
      <c r="O3012" s="1" t="s">
        <v>74</v>
      </c>
      <c r="P3012" s="1" t="s">
        <v>74</v>
      </c>
      <c r="Q3012" s="1" t="s">
        <v>74</v>
      </c>
      <c r="R3012" s="1" t="s">
        <v>74</v>
      </c>
      <c r="S3012" s="1" t="s">
        <v>74</v>
      </c>
      <c r="T3012" s="1" t="s">
        <v>47814</v>
      </c>
      <c r="U3012" s="1" t="s">
        <v>47815</v>
      </c>
      <c r="V3012" s="1" t="s">
        <v>47816</v>
      </c>
      <c r="W3012" s="1" t="s">
        <v>47817</v>
      </c>
      <c r="X3012" s="1" t="s">
        <v>47818</v>
      </c>
      <c r="Y3012" s="1" t="s">
        <v>47819</v>
      </c>
      <c r="Z3012" s="1" t="s">
        <v>47820</v>
      </c>
      <c r="AA3012" s="1" t="s">
        <v>47821</v>
      </c>
      <c r="AB3012" s="1" t="s">
        <v>47822</v>
      </c>
      <c r="AC3012" s="1" t="s">
        <v>47823</v>
      </c>
      <c r="AD3012" s="1" t="s">
        <v>47824</v>
      </c>
      <c r="AE3012" s="1" t="s">
        <v>47825</v>
      </c>
      <c r="AF3012" s="1" t="s">
        <v>74</v>
      </c>
      <c r="AG3012" s="1">
        <v>47</v>
      </c>
      <c r="AH3012" s="1">
        <v>10</v>
      </c>
      <c r="AI3012" s="1">
        <v>10</v>
      </c>
      <c r="AJ3012" s="1">
        <v>0</v>
      </c>
      <c r="AK3012" s="1">
        <v>53</v>
      </c>
      <c r="AL3012" s="1" t="s">
        <v>4153</v>
      </c>
      <c r="AM3012" s="1" t="s">
        <v>87</v>
      </c>
      <c r="AN3012" s="1" t="s">
        <v>88</v>
      </c>
      <c r="AO3012" s="1" t="s">
        <v>42805</v>
      </c>
      <c r="AP3012" s="1" t="s">
        <v>42806</v>
      </c>
      <c r="AQ3012" s="1" t="s">
        <v>74</v>
      </c>
      <c r="AR3012" s="1" t="s">
        <v>42807</v>
      </c>
      <c r="AS3012" s="1" t="s">
        <v>42808</v>
      </c>
      <c r="AT3012" s="1" t="s">
        <v>170</v>
      </c>
      <c r="AU3012" s="1">
        <v>2014</v>
      </c>
      <c r="AV3012" s="1">
        <v>59</v>
      </c>
      <c r="AW3012" s="1">
        <v>5</v>
      </c>
      <c r="AX3012" s="1" t="s">
        <v>74</v>
      </c>
      <c r="AY3012" s="1" t="s">
        <v>74</v>
      </c>
      <c r="AZ3012" s="1" t="s">
        <v>74</v>
      </c>
      <c r="BA3012" s="1" t="s">
        <v>74</v>
      </c>
      <c r="BB3012" s="1">
        <v>1026</v>
      </c>
      <c r="BC3012" s="1">
        <v>1038</v>
      </c>
      <c r="BD3012" s="1" t="s">
        <v>74</v>
      </c>
      <c r="BE3012" s="1" t="s">
        <v>47826</v>
      </c>
      <c r="BF3012" s="1" t="str">
        <f>HYPERLINK("http://dx.doi.org/10.1111/fwb.12325","http://dx.doi.org/10.1111/fwb.12325")</f>
        <v>http://dx.doi.org/10.1111/fwb.12325</v>
      </c>
      <c r="BG3012" s="1" t="s">
        <v>74</v>
      </c>
      <c r="BH3012" s="1" t="s">
        <v>74</v>
      </c>
      <c r="BI3012" s="1">
        <v>13</v>
      </c>
      <c r="BJ3012" s="1" t="s">
        <v>1292</v>
      </c>
      <c r="BK3012" s="1" t="s">
        <v>96</v>
      </c>
      <c r="BL3012" s="1" t="s">
        <v>248</v>
      </c>
      <c r="BM3012" s="1" t="s">
        <v>47827</v>
      </c>
      <c r="BN3012" s="1" t="s">
        <v>74</v>
      </c>
      <c r="BO3012" s="1" t="s">
        <v>370</v>
      </c>
      <c r="BP3012" s="1" t="s">
        <v>74</v>
      </c>
      <c r="BQ3012" s="1" t="s">
        <v>74</v>
      </c>
      <c r="BR3012" s="1" t="s">
        <v>98</v>
      </c>
      <c r="BS3012" s="1" t="s">
        <v>47828</v>
      </c>
      <c r="BT3012" s="1" t="str">
        <f>HYPERLINK("https%3A%2F%2Fwww.webofscience.com%2Fwos%2Fwoscc%2Ffull-record%2FWOS:000333698500011","View Full Record in Web of Science")</f>
        <v>View Full Record in Web of Science</v>
      </c>
      <c r="BU3012" s="1"/>
      <c r="BV3012" s="1"/>
    </row>
    <row r="3013" spans="1:74">
      <c r="A3013" s="1" t="s">
        <v>72</v>
      </c>
      <c r="B3013" s="1" t="s">
        <v>47829</v>
      </c>
      <c r="C3013" s="1" t="s">
        <v>74</v>
      </c>
      <c r="D3013" s="1" t="s">
        <v>74</v>
      </c>
      <c r="E3013" s="1" t="s">
        <v>74</v>
      </c>
      <c r="F3013" s="1" t="s">
        <v>47830</v>
      </c>
      <c r="G3013" s="1" t="s">
        <v>74</v>
      </c>
      <c r="H3013" s="1" t="s">
        <v>74</v>
      </c>
      <c r="I3013" s="1" t="s">
        <v>47831</v>
      </c>
      <c r="J3013" s="1" t="s">
        <v>909</v>
      </c>
      <c r="K3013" s="1" t="s">
        <v>74</v>
      </c>
      <c r="L3013" s="1" t="s">
        <v>74</v>
      </c>
      <c r="M3013" s="1" t="s">
        <v>78</v>
      </c>
      <c r="N3013" s="1" t="s">
        <v>79</v>
      </c>
      <c r="O3013" s="1" t="s">
        <v>74</v>
      </c>
      <c r="P3013" s="1" t="s">
        <v>74</v>
      </c>
      <c r="Q3013" s="1" t="s">
        <v>74</v>
      </c>
      <c r="R3013" s="1" t="s">
        <v>74</v>
      </c>
      <c r="S3013" s="1" t="s">
        <v>74</v>
      </c>
      <c r="T3013" s="1" t="s">
        <v>47832</v>
      </c>
      <c r="U3013" s="1" t="s">
        <v>47833</v>
      </c>
      <c r="V3013" s="1" t="s">
        <v>47834</v>
      </c>
      <c r="W3013" s="1" t="s">
        <v>47835</v>
      </c>
      <c r="X3013" s="1" t="s">
        <v>9166</v>
      </c>
      <c r="Y3013" s="1" t="s">
        <v>24685</v>
      </c>
      <c r="Z3013" s="1" t="s">
        <v>9288</v>
      </c>
      <c r="AA3013" s="1" t="s">
        <v>47836</v>
      </c>
      <c r="AB3013" s="1" t="s">
        <v>47837</v>
      </c>
      <c r="AC3013" s="1" t="s">
        <v>47838</v>
      </c>
      <c r="AD3013" s="1" t="s">
        <v>47839</v>
      </c>
      <c r="AE3013" s="1" t="s">
        <v>47840</v>
      </c>
      <c r="AF3013" s="1" t="s">
        <v>74</v>
      </c>
      <c r="AG3013" s="1">
        <v>83</v>
      </c>
      <c r="AH3013" s="1">
        <v>41</v>
      </c>
      <c r="AI3013" s="1">
        <v>41</v>
      </c>
      <c r="AJ3013" s="1">
        <v>1</v>
      </c>
      <c r="AK3013" s="1">
        <v>49</v>
      </c>
      <c r="AL3013" s="1" t="s">
        <v>650</v>
      </c>
      <c r="AM3013" s="1" t="s">
        <v>651</v>
      </c>
      <c r="AN3013" s="1" t="s">
        <v>652</v>
      </c>
      <c r="AO3013" s="1" t="s">
        <v>921</v>
      </c>
      <c r="AP3013" s="1" t="s">
        <v>922</v>
      </c>
      <c r="AQ3013" s="1" t="s">
        <v>74</v>
      </c>
      <c r="AR3013" s="1" t="s">
        <v>923</v>
      </c>
      <c r="AS3013" s="1" t="s">
        <v>924</v>
      </c>
      <c r="AT3013" s="1" t="s">
        <v>21346</v>
      </c>
      <c r="AU3013" s="1">
        <v>2019</v>
      </c>
      <c r="AV3013" s="1">
        <v>647</v>
      </c>
      <c r="AW3013" s="1" t="s">
        <v>74</v>
      </c>
      <c r="AX3013" s="1" t="s">
        <v>74</v>
      </c>
      <c r="AY3013" s="1" t="s">
        <v>74</v>
      </c>
      <c r="AZ3013" s="1" t="s">
        <v>74</v>
      </c>
      <c r="BA3013" s="1" t="s">
        <v>74</v>
      </c>
      <c r="BB3013" s="1">
        <v>431</v>
      </c>
      <c r="BC3013" s="1">
        <v>440</v>
      </c>
      <c r="BD3013" s="1" t="s">
        <v>74</v>
      </c>
      <c r="BE3013" s="1" t="s">
        <v>47841</v>
      </c>
      <c r="BF3013" s="1" t="str">
        <f>HYPERLINK("http://dx.doi.org/10.1016/j.scitotenv.2018.07.293","http://dx.doi.org/10.1016/j.scitotenv.2018.07.293")</f>
        <v>http://dx.doi.org/10.1016/j.scitotenv.2018.07.293</v>
      </c>
      <c r="BG3013" s="1" t="s">
        <v>74</v>
      </c>
      <c r="BH3013" s="1" t="s">
        <v>74</v>
      </c>
      <c r="BI3013" s="1">
        <v>10</v>
      </c>
      <c r="BJ3013" s="1" t="s">
        <v>144</v>
      </c>
      <c r="BK3013" s="1" t="s">
        <v>96</v>
      </c>
      <c r="BL3013" s="1" t="s">
        <v>145</v>
      </c>
      <c r="BM3013" s="1" t="s">
        <v>47842</v>
      </c>
      <c r="BN3013" s="1">
        <v>30086495</v>
      </c>
      <c r="BO3013" s="1" t="s">
        <v>370</v>
      </c>
      <c r="BP3013" s="1" t="s">
        <v>74</v>
      </c>
      <c r="BQ3013" s="1" t="s">
        <v>74</v>
      </c>
      <c r="BR3013" s="1" t="s">
        <v>98</v>
      </c>
      <c r="BS3013" s="1" t="s">
        <v>47843</v>
      </c>
      <c r="BT3013" s="1" t="str">
        <f>HYPERLINK("https%3A%2F%2Fwww.webofscience.com%2Fwos%2Fwoscc%2Ffull-record%2FWOS:000447090400044","View Full Record in Web of Science")</f>
        <v>View Full Record in Web of Science</v>
      </c>
      <c r="BU3013" s="1"/>
      <c r="BV3013" s="1"/>
    </row>
    <row r="3014" spans="1:74">
      <c r="A3014" s="1" t="s">
        <v>72</v>
      </c>
      <c r="B3014" s="1" t="s">
        <v>47844</v>
      </c>
      <c r="C3014" s="1" t="s">
        <v>74</v>
      </c>
      <c r="D3014" s="1" t="s">
        <v>74</v>
      </c>
      <c r="E3014" s="1" t="s">
        <v>74</v>
      </c>
      <c r="F3014" s="1" t="s">
        <v>47844</v>
      </c>
      <c r="G3014" s="1" t="s">
        <v>74</v>
      </c>
      <c r="H3014" s="1" t="s">
        <v>74</v>
      </c>
      <c r="I3014" s="1" t="s">
        <v>47845</v>
      </c>
      <c r="J3014" s="1" t="s">
        <v>11293</v>
      </c>
      <c r="K3014" s="1" t="s">
        <v>74</v>
      </c>
      <c r="L3014" s="1" t="s">
        <v>74</v>
      </c>
      <c r="M3014" s="1" t="s">
        <v>78</v>
      </c>
      <c r="N3014" s="1" t="s">
        <v>151</v>
      </c>
      <c r="O3014" s="1" t="s">
        <v>47846</v>
      </c>
      <c r="P3014" s="1" t="s">
        <v>47847</v>
      </c>
      <c r="Q3014" s="1" t="s">
        <v>47848</v>
      </c>
      <c r="R3014" s="1" t="s">
        <v>74</v>
      </c>
      <c r="S3014" s="1" t="s">
        <v>74</v>
      </c>
      <c r="T3014" s="1" t="s">
        <v>47849</v>
      </c>
      <c r="U3014" s="1" t="s">
        <v>47850</v>
      </c>
      <c r="V3014" s="1" t="s">
        <v>47851</v>
      </c>
      <c r="W3014" s="1" t="s">
        <v>47852</v>
      </c>
      <c r="X3014" s="1" t="s">
        <v>47853</v>
      </c>
      <c r="Y3014" s="1" t="s">
        <v>47854</v>
      </c>
      <c r="Z3014" s="1" t="s">
        <v>47855</v>
      </c>
      <c r="AA3014" s="1" t="s">
        <v>29123</v>
      </c>
      <c r="AB3014" s="1" t="s">
        <v>29124</v>
      </c>
      <c r="AC3014" s="1" t="s">
        <v>74</v>
      </c>
      <c r="AD3014" s="1" t="s">
        <v>74</v>
      </c>
      <c r="AE3014" s="1" t="s">
        <v>74</v>
      </c>
      <c r="AF3014" s="1" t="s">
        <v>74</v>
      </c>
      <c r="AG3014" s="1">
        <v>25</v>
      </c>
      <c r="AH3014" s="1">
        <v>10</v>
      </c>
      <c r="AI3014" s="1">
        <v>11</v>
      </c>
      <c r="AJ3014" s="1">
        <v>0</v>
      </c>
      <c r="AK3014" s="1">
        <v>8</v>
      </c>
      <c r="AL3014" s="1" t="s">
        <v>136</v>
      </c>
      <c r="AM3014" s="1" t="s">
        <v>137</v>
      </c>
      <c r="AN3014" s="1" t="s">
        <v>138</v>
      </c>
      <c r="AO3014" s="1" t="s">
        <v>11305</v>
      </c>
      <c r="AP3014" s="1" t="s">
        <v>74</v>
      </c>
      <c r="AQ3014" s="1" t="s">
        <v>74</v>
      </c>
      <c r="AR3014" s="1" t="s">
        <v>11307</v>
      </c>
      <c r="AS3014" s="1" t="s">
        <v>11308</v>
      </c>
      <c r="AT3014" s="1" t="s">
        <v>33045</v>
      </c>
      <c r="AU3014" s="1">
        <v>2001</v>
      </c>
      <c r="AV3014" s="1">
        <v>56</v>
      </c>
      <c r="AW3014" s="1">
        <v>11</v>
      </c>
      <c r="AX3014" s="1" t="s">
        <v>74</v>
      </c>
      <c r="AY3014" s="1" t="s">
        <v>74</v>
      </c>
      <c r="AZ3014" s="1" t="s">
        <v>225</v>
      </c>
      <c r="BA3014" s="1" t="s">
        <v>74</v>
      </c>
      <c r="BB3014" s="1">
        <v>2147</v>
      </c>
      <c r="BC3014" s="1">
        <v>2155</v>
      </c>
      <c r="BD3014" s="1" t="s">
        <v>74</v>
      </c>
      <c r="BE3014" s="1" t="s">
        <v>47856</v>
      </c>
      <c r="BF3014" s="1" t="str">
        <f>HYPERLINK("http://dx.doi.org/10.1016/S0584-8547(01)00288-9","http://dx.doi.org/10.1016/S0584-8547(01)00288-9")</f>
        <v>http://dx.doi.org/10.1016/S0584-8547(01)00288-9</v>
      </c>
      <c r="BG3014" s="1" t="s">
        <v>74</v>
      </c>
      <c r="BH3014" s="1" t="s">
        <v>74</v>
      </c>
      <c r="BI3014" s="1">
        <v>9</v>
      </c>
      <c r="BJ3014" s="1" t="s">
        <v>11310</v>
      </c>
      <c r="BK3014" s="1" t="s">
        <v>172</v>
      </c>
      <c r="BL3014" s="1" t="s">
        <v>11310</v>
      </c>
      <c r="BM3014" s="1" t="s">
        <v>47857</v>
      </c>
      <c r="BN3014" s="1" t="s">
        <v>74</v>
      </c>
      <c r="BO3014" s="1" t="s">
        <v>74</v>
      </c>
      <c r="BP3014" s="1" t="s">
        <v>74</v>
      </c>
      <c r="BQ3014" s="1" t="s">
        <v>74</v>
      </c>
      <c r="BR3014" s="1" t="s">
        <v>98</v>
      </c>
      <c r="BS3014" s="1" t="s">
        <v>47858</v>
      </c>
      <c r="BT3014" s="1" t="str">
        <f>HYPERLINK("https%3A%2F%2Fwww.webofscience.com%2Fwos%2Fwoscc%2Ffull-record%2FWOS:000172711200017","View Full Record in Web of Science")</f>
        <v>View Full Record in Web of Science</v>
      </c>
      <c r="BU3014" s="1"/>
      <c r="BV3014" s="1"/>
    </row>
    <row r="3015" spans="1:74">
      <c r="A3015" s="1" t="s">
        <v>72</v>
      </c>
      <c r="B3015" s="1" t="s">
        <v>47859</v>
      </c>
      <c r="C3015" s="1" t="s">
        <v>74</v>
      </c>
      <c r="D3015" s="1" t="s">
        <v>74</v>
      </c>
      <c r="E3015" s="1" t="s">
        <v>74</v>
      </c>
      <c r="F3015" s="1" t="s">
        <v>47859</v>
      </c>
      <c r="G3015" s="1" t="s">
        <v>74</v>
      </c>
      <c r="H3015" s="1" t="s">
        <v>74</v>
      </c>
      <c r="I3015" s="1" t="s">
        <v>47860</v>
      </c>
      <c r="J3015" s="1" t="s">
        <v>232</v>
      </c>
      <c r="K3015" s="1" t="s">
        <v>74</v>
      </c>
      <c r="L3015" s="1" t="s">
        <v>74</v>
      </c>
      <c r="M3015" s="1" t="s">
        <v>78</v>
      </c>
      <c r="N3015" s="1" t="s">
        <v>79</v>
      </c>
      <c r="O3015" s="1" t="s">
        <v>74</v>
      </c>
      <c r="P3015" s="1" t="s">
        <v>74</v>
      </c>
      <c r="Q3015" s="1" t="s">
        <v>74</v>
      </c>
      <c r="R3015" s="1" t="s">
        <v>74</v>
      </c>
      <c r="S3015" s="1" t="s">
        <v>74</v>
      </c>
      <c r="T3015" s="1" t="s">
        <v>47861</v>
      </c>
      <c r="U3015" s="1" t="s">
        <v>47862</v>
      </c>
      <c r="V3015" s="1" t="s">
        <v>47863</v>
      </c>
      <c r="W3015" s="1" t="s">
        <v>47864</v>
      </c>
      <c r="X3015" s="1" t="s">
        <v>1003</v>
      </c>
      <c r="Y3015" s="1" t="s">
        <v>47865</v>
      </c>
      <c r="Z3015" s="1" t="s">
        <v>47866</v>
      </c>
      <c r="AA3015" s="1" t="s">
        <v>47867</v>
      </c>
      <c r="AB3015" s="1" t="s">
        <v>47868</v>
      </c>
      <c r="AC3015" s="1" t="s">
        <v>74</v>
      </c>
      <c r="AD3015" s="1" t="s">
        <v>74</v>
      </c>
      <c r="AE3015" s="1" t="s">
        <v>74</v>
      </c>
      <c r="AF3015" s="1" t="s">
        <v>74</v>
      </c>
      <c r="AG3015" s="1">
        <v>70</v>
      </c>
      <c r="AH3015" s="1">
        <v>267</v>
      </c>
      <c r="AI3015" s="1">
        <v>281</v>
      </c>
      <c r="AJ3015" s="1">
        <v>4</v>
      </c>
      <c r="AK3015" s="1">
        <v>60</v>
      </c>
      <c r="AL3015" s="1" t="s">
        <v>136</v>
      </c>
      <c r="AM3015" s="1" t="s">
        <v>137</v>
      </c>
      <c r="AN3015" s="1" t="s">
        <v>138</v>
      </c>
      <c r="AO3015" s="1" t="s">
        <v>240</v>
      </c>
      <c r="AP3015" s="1" t="s">
        <v>241</v>
      </c>
      <c r="AQ3015" s="1" t="s">
        <v>74</v>
      </c>
      <c r="AR3015" s="1" t="s">
        <v>242</v>
      </c>
      <c r="AS3015" s="1" t="s">
        <v>243</v>
      </c>
      <c r="AT3015" s="1" t="s">
        <v>197</v>
      </c>
      <c r="AU3015" s="1">
        <v>2005</v>
      </c>
      <c r="AV3015" s="1">
        <v>50</v>
      </c>
      <c r="AW3015" s="1">
        <v>12</v>
      </c>
      <c r="AX3015" s="1" t="s">
        <v>74</v>
      </c>
      <c r="AY3015" s="1" t="s">
        <v>74</v>
      </c>
      <c r="AZ3015" s="1" t="s">
        <v>74</v>
      </c>
      <c r="BA3015" s="1" t="s">
        <v>74</v>
      </c>
      <c r="BB3015" s="1">
        <v>1472</v>
      </c>
      <c r="BC3015" s="1">
        <v>1489</v>
      </c>
      <c r="BD3015" s="1" t="s">
        <v>74</v>
      </c>
      <c r="BE3015" s="1" t="s">
        <v>47869</v>
      </c>
      <c r="BF3015" s="1" t="str">
        <f>HYPERLINK("http://dx.doi.org/10.1016/j.marpolbul.2005.06.014","http://dx.doi.org/10.1016/j.marpolbul.2005.06.014")</f>
        <v>http://dx.doi.org/10.1016/j.marpolbul.2005.06.014</v>
      </c>
      <c r="BG3015" s="1" t="s">
        <v>74</v>
      </c>
      <c r="BH3015" s="1" t="s">
        <v>74</v>
      </c>
      <c r="BI3015" s="1">
        <v>18</v>
      </c>
      <c r="BJ3015" s="1" t="s">
        <v>247</v>
      </c>
      <c r="BK3015" s="1" t="s">
        <v>96</v>
      </c>
      <c r="BL3015" s="1" t="s">
        <v>248</v>
      </c>
      <c r="BM3015" s="1" t="s">
        <v>9157</v>
      </c>
      <c r="BN3015" s="1">
        <v>16026805</v>
      </c>
      <c r="BO3015" s="1" t="s">
        <v>74</v>
      </c>
      <c r="BP3015" s="1" t="s">
        <v>74</v>
      </c>
      <c r="BQ3015" s="1" t="s">
        <v>74</v>
      </c>
      <c r="BR3015" s="1" t="s">
        <v>98</v>
      </c>
      <c r="BS3015" s="1" t="s">
        <v>47870</v>
      </c>
      <c r="BT3015" s="1" t="str">
        <f>HYPERLINK("https%3A%2F%2Fwww.webofscience.com%2Fwos%2Fwoscc%2Ffull-record%2FWOS:000234236600014","View Full Record in Web of Science")</f>
        <v>View Full Record in Web of Science</v>
      </c>
      <c r="BU3015" s="1"/>
      <c r="BV3015" s="1"/>
    </row>
    <row r="3016" spans="1:74">
      <c r="A3016" s="1" t="s">
        <v>72</v>
      </c>
      <c r="B3016" s="1" t="s">
        <v>47871</v>
      </c>
      <c r="C3016" s="1" t="s">
        <v>74</v>
      </c>
      <c r="D3016" s="1" t="s">
        <v>74</v>
      </c>
      <c r="E3016" s="1" t="s">
        <v>74</v>
      </c>
      <c r="F3016" s="1" t="s">
        <v>47872</v>
      </c>
      <c r="G3016" s="1" t="s">
        <v>74</v>
      </c>
      <c r="H3016" s="1" t="s">
        <v>74</v>
      </c>
      <c r="I3016" s="1" t="s">
        <v>47873</v>
      </c>
      <c r="J3016" s="1" t="s">
        <v>909</v>
      </c>
      <c r="K3016" s="1" t="s">
        <v>74</v>
      </c>
      <c r="L3016" s="1" t="s">
        <v>74</v>
      </c>
      <c r="M3016" s="1" t="s">
        <v>78</v>
      </c>
      <c r="N3016" s="1" t="s">
        <v>79</v>
      </c>
      <c r="O3016" s="1" t="s">
        <v>74</v>
      </c>
      <c r="P3016" s="1" t="s">
        <v>74</v>
      </c>
      <c r="Q3016" s="1" t="s">
        <v>74</v>
      </c>
      <c r="R3016" s="1" t="s">
        <v>74</v>
      </c>
      <c r="S3016" s="1" t="s">
        <v>74</v>
      </c>
      <c r="T3016" s="1" t="s">
        <v>47874</v>
      </c>
      <c r="U3016" s="1" t="s">
        <v>47875</v>
      </c>
      <c r="V3016" s="1" t="s">
        <v>47876</v>
      </c>
      <c r="W3016" s="1" t="s">
        <v>47877</v>
      </c>
      <c r="X3016" s="1" t="s">
        <v>47878</v>
      </c>
      <c r="Y3016" s="1" t="s">
        <v>47879</v>
      </c>
      <c r="Z3016" s="1" t="s">
        <v>47880</v>
      </c>
      <c r="AA3016" s="1" t="s">
        <v>47881</v>
      </c>
      <c r="AB3016" s="1" t="s">
        <v>47882</v>
      </c>
      <c r="AC3016" s="1" t="s">
        <v>47883</v>
      </c>
      <c r="AD3016" s="1" t="s">
        <v>47884</v>
      </c>
      <c r="AE3016" s="1" t="s">
        <v>47885</v>
      </c>
      <c r="AF3016" s="1" t="s">
        <v>74</v>
      </c>
      <c r="AG3016" s="1">
        <v>69</v>
      </c>
      <c r="AH3016" s="1">
        <v>268</v>
      </c>
      <c r="AI3016" s="1">
        <v>280</v>
      </c>
      <c r="AJ3016" s="1">
        <v>21</v>
      </c>
      <c r="AK3016" s="1">
        <v>347</v>
      </c>
      <c r="AL3016" s="1" t="s">
        <v>650</v>
      </c>
      <c r="AM3016" s="1" t="s">
        <v>651</v>
      </c>
      <c r="AN3016" s="1" t="s">
        <v>652</v>
      </c>
      <c r="AO3016" s="1" t="s">
        <v>921</v>
      </c>
      <c r="AP3016" s="1" t="s">
        <v>922</v>
      </c>
      <c r="AQ3016" s="1" t="s">
        <v>74</v>
      </c>
      <c r="AR3016" s="1" t="s">
        <v>923</v>
      </c>
      <c r="AS3016" s="1" t="s">
        <v>924</v>
      </c>
      <c r="AT3016" s="1" t="s">
        <v>2303</v>
      </c>
      <c r="AU3016" s="1">
        <v>2018</v>
      </c>
      <c r="AV3016" s="1">
        <v>643</v>
      </c>
      <c r="AW3016" s="1" t="s">
        <v>74</v>
      </c>
      <c r="AX3016" s="1" t="s">
        <v>74</v>
      </c>
      <c r="AY3016" s="1" t="s">
        <v>74</v>
      </c>
      <c r="AZ3016" s="1" t="s">
        <v>74</v>
      </c>
      <c r="BA3016" s="1" t="s">
        <v>74</v>
      </c>
      <c r="BB3016" s="1">
        <v>775</v>
      </c>
      <c r="BC3016" s="1">
        <v>784</v>
      </c>
      <c r="BD3016" s="1" t="s">
        <v>74</v>
      </c>
      <c r="BE3016" s="1" t="s">
        <v>47886</v>
      </c>
      <c r="BF3016" s="1" t="str">
        <f>HYPERLINK("http://dx.doi.org/10.1016/j.scitotenv.2018.06.257","http://dx.doi.org/10.1016/j.scitotenv.2018.06.257")</f>
        <v>http://dx.doi.org/10.1016/j.scitotenv.2018.06.257</v>
      </c>
      <c r="BG3016" s="1" t="s">
        <v>74</v>
      </c>
      <c r="BH3016" s="1" t="s">
        <v>74</v>
      </c>
      <c r="BI3016" s="1">
        <v>10</v>
      </c>
      <c r="BJ3016" s="1" t="s">
        <v>144</v>
      </c>
      <c r="BK3016" s="1" t="s">
        <v>96</v>
      </c>
      <c r="BL3016" s="1" t="s">
        <v>145</v>
      </c>
      <c r="BM3016" s="1" t="s">
        <v>32556</v>
      </c>
      <c r="BN3016" s="1">
        <v>29958167</v>
      </c>
      <c r="BO3016" s="1" t="s">
        <v>74</v>
      </c>
      <c r="BP3016" s="1" t="s">
        <v>74</v>
      </c>
      <c r="BQ3016" s="1" t="s">
        <v>74</v>
      </c>
      <c r="BR3016" s="1" t="s">
        <v>98</v>
      </c>
      <c r="BS3016" s="1" t="s">
        <v>47887</v>
      </c>
      <c r="BT3016" s="1" t="str">
        <f>HYPERLINK("https%3A%2F%2Fwww.webofscience.com%2Fwos%2Fwoscc%2Ffull-record%2FWOS:000444625900071","View Full Record in Web of Science")</f>
        <v>View Full Record in Web of Science</v>
      </c>
      <c r="BU3016" s="1"/>
      <c r="BV3016" s="1"/>
    </row>
    <row r="3017" spans="1:74">
      <c r="A3017" s="1" t="s">
        <v>72</v>
      </c>
      <c r="B3017" s="1" t="s">
        <v>47888</v>
      </c>
      <c r="C3017" s="1" t="s">
        <v>74</v>
      </c>
      <c r="D3017" s="1" t="s">
        <v>74</v>
      </c>
      <c r="E3017" s="1" t="s">
        <v>74</v>
      </c>
      <c r="F3017" s="1" t="s">
        <v>47889</v>
      </c>
      <c r="G3017" s="1" t="s">
        <v>74</v>
      </c>
      <c r="H3017" s="1" t="s">
        <v>74</v>
      </c>
      <c r="I3017" s="1" t="s">
        <v>47890</v>
      </c>
      <c r="J3017" s="1" t="s">
        <v>3349</v>
      </c>
      <c r="K3017" s="1" t="s">
        <v>74</v>
      </c>
      <c r="L3017" s="1" t="s">
        <v>74</v>
      </c>
      <c r="M3017" s="1" t="s">
        <v>78</v>
      </c>
      <c r="N3017" s="1" t="s">
        <v>79</v>
      </c>
      <c r="O3017" s="1" t="s">
        <v>74</v>
      </c>
      <c r="P3017" s="1" t="s">
        <v>74</v>
      </c>
      <c r="Q3017" s="1" t="s">
        <v>74</v>
      </c>
      <c r="R3017" s="1" t="s">
        <v>74</v>
      </c>
      <c r="S3017" s="1" t="s">
        <v>74</v>
      </c>
      <c r="T3017" s="1" t="s">
        <v>47891</v>
      </c>
      <c r="U3017" s="1" t="s">
        <v>47892</v>
      </c>
      <c r="V3017" s="1" t="s">
        <v>47893</v>
      </c>
      <c r="W3017" s="1" t="s">
        <v>47894</v>
      </c>
      <c r="X3017" s="1" t="s">
        <v>47895</v>
      </c>
      <c r="Y3017" s="1" t="s">
        <v>47896</v>
      </c>
      <c r="Z3017" s="1" t="s">
        <v>47897</v>
      </c>
      <c r="AA3017" s="1" t="s">
        <v>950</v>
      </c>
      <c r="AB3017" s="1" t="s">
        <v>47898</v>
      </c>
      <c r="AC3017" s="1" t="s">
        <v>47899</v>
      </c>
      <c r="AD3017" s="1" t="s">
        <v>47900</v>
      </c>
      <c r="AE3017" s="1" t="s">
        <v>47901</v>
      </c>
      <c r="AF3017" s="1" t="s">
        <v>74</v>
      </c>
      <c r="AG3017" s="1">
        <v>52</v>
      </c>
      <c r="AH3017" s="1">
        <v>75</v>
      </c>
      <c r="AI3017" s="1">
        <v>82</v>
      </c>
      <c r="AJ3017" s="1">
        <v>8</v>
      </c>
      <c r="AK3017" s="1">
        <v>67</v>
      </c>
      <c r="AL3017" s="1" t="s">
        <v>3362</v>
      </c>
      <c r="AM3017" s="1" t="s">
        <v>3363</v>
      </c>
      <c r="AN3017" s="1" t="s">
        <v>3364</v>
      </c>
      <c r="AO3017" s="1" t="s">
        <v>3365</v>
      </c>
      <c r="AP3017" s="1" t="s">
        <v>3366</v>
      </c>
      <c r="AQ3017" s="1" t="s">
        <v>74</v>
      </c>
      <c r="AR3017" s="1" t="s">
        <v>3367</v>
      </c>
      <c r="AS3017" s="1" t="s">
        <v>3368</v>
      </c>
      <c r="AT3017" s="1" t="s">
        <v>10334</v>
      </c>
      <c r="AU3017" s="1">
        <v>2012</v>
      </c>
      <c r="AV3017" s="1">
        <v>79</v>
      </c>
      <c r="AW3017" s="1" t="s">
        <v>74</v>
      </c>
      <c r="AX3017" s="1" t="s">
        <v>74</v>
      </c>
      <c r="AY3017" s="1" t="s">
        <v>74</v>
      </c>
      <c r="AZ3017" s="1" t="s">
        <v>74</v>
      </c>
      <c r="BA3017" s="1" t="s">
        <v>74</v>
      </c>
      <c r="BB3017" s="1">
        <v>80</v>
      </c>
      <c r="BC3017" s="1">
        <v>89</v>
      </c>
      <c r="BD3017" s="1" t="s">
        <v>74</v>
      </c>
      <c r="BE3017" s="1" t="s">
        <v>47902</v>
      </c>
      <c r="BF3017" s="1" t="str">
        <f>HYPERLINK("http://dx.doi.org/10.1016/j.ecoenv.2011.12.005","http://dx.doi.org/10.1016/j.ecoenv.2011.12.005")</f>
        <v>http://dx.doi.org/10.1016/j.ecoenv.2011.12.005</v>
      </c>
      <c r="BG3017" s="1" t="s">
        <v>74</v>
      </c>
      <c r="BH3017" s="1" t="s">
        <v>74</v>
      </c>
      <c r="BI3017" s="1">
        <v>10</v>
      </c>
      <c r="BJ3017" s="1" t="s">
        <v>121</v>
      </c>
      <c r="BK3017" s="1" t="s">
        <v>96</v>
      </c>
      <c r="BL3017" s="1" t="s">
        <v>122</v>
      </c>
      <c r="BM3017" s="1" t="s">
        <v>47903</v>
      </c>
      <c r="BN3017" s="1">
        <v>22209019</v>
      </c>
      <c r="BO3017" s="1" t="s">
        <v>74</v>
      </c>
      <c r="BP3017" s="1" t="s">
        <v>74</v>
      </c>
      <c r="BQ3017" s="1" t="s">
        <v>74</v>
      </c>
      <c r="BR3017" s="1" t="s">
        <v>98</v>
      </c>
      <c r="BS3017" s="1" t="s">
        <v>47904</v>
      </c>
      <c r="BT3017" s="1" t="str">
        <f>HYPERLINK("https%3A%2F%2Fwww.webofscience.com%2Fwos%2Fwoscc%2Ffull-record%2FWOS:000302107000012","View Full Record in Web of Science")</f>
        <v>View Full Record in Web of Science</v>
      </c>
      <c r="BU3017" s="1"/>
      <c r="BV3017" s="1"/>
    </row>
    <row r="3018" spans="1:74">
      <c r="A3018" s="1" t="s">
        <v>72</v>
      </c>
      <c r="B3018" s="1" t="s">
        <v>47905</v>
      </c>
      <c r="C3018" s="1" t="s">
        <v>74</v>
      </c>
      <c r="D3018" s="1" t="s">
        <v>74</v>
      </c>
      <c r="E3018" s="1" t="s">
        <v>74</v>
      </c>
      <c r="F3018" s="1" t="s">
        <v>47906</v>
      </c>
      <c r="G3018" s="1" t="s">
        <v>74</v>
      </c>
      <c r="H3018" s="1" t="s">
        <v>74</v>
      </c>
      <c r="I3018" s="1" t="s">
        <v>47907</v>
      </c>
      <c r="J3018" s="1" t="s">
        <v>909</v>
      </c>
      <c r="K3018" s="1" t="s">
        <v>74</v>
      </c>
      <c r="L3018" s="1" t="s">
        <v>74</v>
      </c>
      <c r="M3018" s="1" t="s">
        <v>78</v>
      </c>
      <c r="N3018" s="1" t="s">
        <v>79</v>
      </c>
      <c r="O3018" s="1" t="s">
        <v>74</v>
      </c>
      <c r="P3018" s="1" t="s">
        <v>74</v>
      </c>
      <c r="Q3018" s="1" t="s">
        <v>74</v>
      </c>
      <c r="R3018" s="1" t="s">
        <v>74</v>
      </c>
      <c r="S3018" s="1" t="s">
        <v>74</v>
      </c>
      <c r="T3018" s="1" t="s">
        <v>47908</v>
      </c>
      <c r="U3018" s="1" t="s">
        <v>47909</v>
      </c>
      <c r="V3018" s="1" t="s">
        <v>47910</v>
      </c>
      <c r="W3018" s="1" t="s">
        <v>47911</v>
      </c>
      <c r="X3018" s="1" t="s">
        <v>47912</v>
      </c>
      <c r="Y3018" s="1" t="s">
        <v>47913</v>
      </c>
      <c r="Z3018" s="1" t="s">
        <v>47914</v>
      </c>
      <c r="AA3018" s="1" t="s">
        <v>47915</v>
      </c>
      <c r="AB3018" s="1" t="s">
        <v>74</v>
      </c>
      <c r="AC3018" s="1" t="s">
        <v>47916</v>
      </c>
      <c r="AD3018" s="1" t="s">
        <v>47917</v>
      </c>
      <c r="AE3018" s="1" t="s">
        <v>47918</v>
      </c>
      <c r="AF3018" s="1" t="s">
        <v>74</v>
      </c>
      <c r="AG3018" s="1">
        <v>114</v>
      </c>
      <c r="AH3018" s="1">
        <v>0</v>
      </c>
      <c r="AI3018" s="1">
        <v>0</v>
      </c>
      <c r="AJ3018" s="1">
        <v>35</v>
      </c>
      <c r="AK3018" s="1">
        <v>35</v>
      </c>
      <c r="AL3018" s="1" t="s">
        <v>650</v>
      </c>
      <c r="AM3018" s="1" t="s">
        <v>651</v>
      </c>
      <c r="AN3018" s="1" t="s">
        <v>652</v>
      </c>
      <c r="AO3018" s="1" t="s">
        <v>921</v>
      </c>
      <c r="AP3018" s="1" t="s">
        <v>922</v>
      </c>
      <c r="AQ3018" s="1" t="s">
        <v>74</v>
      </c>
      <c r="AR3018" s="1" t="s">
        <v>923</v>
      </c>
      <c r="AS3018" s="1" t="s">
        <v>924</v>
      </c>
      <c r="AT3018" s="1" t="s">
        <v>26591</v>
      </c>
      <c r="AU3018" s="1">
        <v>2024</v>
      </c>
      <c r="AV3018" s="1">
        <v>944</v>
      </c>
      <c r="AW3018" s="1" t="s">
        <v>74</v>
      </c>
      <c r="AX3018" s="1" t="s">
        <v>74</v>
      </c>
      <c r="AY3018" s="1" t="s">
        <v>74</v>
      </c>
      <c r="AZ3018" s="1" t="s">
        <v>74</v>
      </c>
      <c r="BA3018" s="1" t="s">
        <v>74</v>
      </c>
      <c r="BB3018" s="1" t="s">
        <v>74</v>
      </c>
      <c r="BC3018" s="1" t="s">
        <v>74</v>
      </c>
      <c r="BD3018" s="1">
        <v>173885</v>
      </c>
      <c r="BE3018" s="1" t="s">
        <v>47919</v>
      </c>
      <c r="BF3018" s="1" t="str">
        <f>HYPERLINK("http://dx.doi.org/10.1016/j.scitotenv.2024.173885","http://dx.doi.org/10.1016/j.scitotenv.2024.173885")</f>
        <v>http://dx.doi.org/10.1016/j.scitotenv.2024.173885</v>
      </c>
      <c r="BG3018" s="1" t="s">
        <v>74</v>
      </c>
      <c r="BH3018" s="1" t="s">
        <v>7912</v>
      </c>
      <c r="BI3018" s="1">
        <v>15</v>
      </c>
      <c r="BJ3018" s="1" t="s">
        <v>144</v>
      </c>
      <c r="BK3018" s="1" t="s">
        <v>96</v>
      </c>
      <c r="BL3018" s="1" t="s">
        <v>145</v>
      </c>
      <c r="BM3018" s="1" t="s">
        <v>47920</v>
      </c>
      <c r="BN3018" s="1">
        <v>38871310</v>
      </c>
      <c r="BO3018" s="1" t="s">
        <v>74</v>
      </c>
      <c r="BP3018" s="1" t="s">
        <v>74</v>
      </c>
      <c r="BQ3018" s="1" t="s">
        <v>74</v>
      </c>
      <c r="BR3018" s="1" t="s">
        <v>98</v>
      </c>
      <c r="BS3018" s="1" t="s">
        <v>47921</v>
      </c>
      <c r="BT3018" s="1" t="str">
        <f>HYPERLINK("https%3A%2F%2Fwww.webofscience.com%2Fwos%2Fwoscc%2Ffull-record%2FWOS:001257835100001","View Full Record in Web of Science")</f>
        <v>View Full Record in Web of Science</v>
      </c>
      <c r="BU3018" s="1"/>
      <c r="BV3018" s="1"/>
    </row>
    <row r="3019" spans="1:74">
      <c r="A3019" s="1" t="s">
        <v>72</v>
      </c>
      <c r="B3019" s="1" t="s">
        <v>47922</v>
      </c>
      <c r="C3019" s="1" t="s">
        <v>74</v>
      </c>
      <c r="D3019" s="1" t="s">
        <v>74</v>
      </c>
      <c r="E3019" s="1" t="s">
        <v>74</v>
      </c>
      <c r="F3019" s="1" t="s">
        <v>47923</v>
      </c>
      <c r="G3019" s="1" t="s">
        <v>74</v>
      </c>
      <c r="H3019" s="1" t="s">
        <v>74</v>
      </c>
      <c r="I3019" s="1" t="s">
        <v>47924</v>
      </c>
      <c r="J3019" s="1" t="s">
        <v>232</v>
      </c>
      <c r="K3019" s="1" t="s">
        <v>74</v>
      </c>
      <c r="L3019" s="1" t="s">
        <v>74</v>
      </c>
      <c r="M3019" s="1" t="s">
        <v>78</v>
      </c>
      <c r="N3019" s="1" t="s">
        <v>79</v>
      </c>
      <c r="O3019" s="1" t="s">
        <v>74</v>
      </c>
      <c r="P3019" s="1" t="s">
        <v>74</v>
      </c>
      <c r="Q3019" s="1" t="s">
        <v>74</v>
      </c>
      <c r="R3019" s="1" t="s">
        <v>74</v>
      </c>
      <c r="S3019" s="1" t="s">
        <v>74</v>
      </c>
      <c r="T3019" s="1" t="s">
        <v>47925</v>
      </c>
      <c r="U3019" s="1" t="s">
        <v>47926</v>
      </c>
      <c r="V3019" s="1" t="s">
        <v>47927</v>
      </c>
      <c r="W3019" s="1" t="s">
        <v>47928</v>
      </c>
      <c r="X3019" s="1" t="s">
        <v>12771</v>
      </c>
      <c r="Y3019" s="1" t="s">
        <v>12772</v>
      </c>
      <c r="Z3019" s="1" t="s">
        <v>15063</v>
      </c>
      <c r="AA3019" s="1" t="s">
        <v>47929</v>
      </c>
      <c r="AB3019" s="1" t="s">
        <v>47930</v>
      </c>
      <c r="AC3019" s="1" t="s">
        <v>12776</v>
      </c>
      <c r="AD3019" s="1" t="s">
        <v>12777</v>
      </c>
      <c r="AE3019" s="1" t="s">
        <v>47931</v>
      </c>
      <c r="AF3019" s="1" t="s">
        <v>74</v>
      </c>
      <c r="AG3019" s="1">
        <v>40</v>
      </c>
      <c r="AH3019" s="1">
        <v>14</v>
      </c>
      <c r="AI3019" s="1">
        <v>14</v>
      </c>
      <c r="AJ3019" s="1">
        <v>0</v>
      </c>
      <c r="AK3019" s="1">
        <v>35</v>
      </c>
      <c r="AL3019" s="1" t="s">
        <v>136</v>
      </c>
      <c r="AM3019" s="1" t="s">
        <v>137</v>
      </c>
      <c r="AN3019" s="1" t="s">
        <v>138</v>
      </c>
      <c r="AO3019" s="1" t="s">
        <v>240</v>
      </c>
      <c r="AP3019" s="1" t="s">
        <v>241</v>
      </c>
      <c r="AQ3019" s="1" t="s">
        <v>74</v>
      </c>
      <c r="AR3019" s="1" t="s">
        <v>242</v>
      </c>
      <c r="AS3019" s="1" t="s">
        <v>243</v>
      </c>
      <c r="AT3019" s="1" t="s">
        <v>1091</v>
      </c>
      <c r="AU3019" s="1">
        <v>2016</v>
      </c>
      <c r="AV3019" s="1">
        <v>107</v>
      </c>
      <c r="AW3019" s="1">
        <v>1</v>
      </c>
      <c r="AX3019" s="1" t="s">
        <v>74</v>
      </c>
      <c r="AY3019" s="1" t="s">
        <v>74</v>
      </c>
      <c r="AZ3019" s="1" t="s">
        <v>74</v>
      </c>
      <c r="BA3019" s="1" t="s">
        <v>74</v>
      </c>
      <c r="BB3019" s="1">
        <v>402</v>
      </c>
      <c r="BC3019" s="1">
        <v>407</v>
      </c>
      <c r="BD3019" s="1" t="s">
        <v>74</v>
      </c>
      <c r="BE3019" s="1" t="s">
        <v>47932</v>
      </c>
      <c r="BF3019" s="1" t="str">
        <f>HYPERLINK("http://dx.doi.org/10.1016/j.marpolbul.2016.03.032","http://dx.doi.org/10.1016/j.marpolbul.2016.03.032")</f>
        <v>http://dx.doi.org/10.1016/j.marpolbul.2016.03.032</v>
      </c>
      <c r="BG3019" s="1" t="s">
        <v>74</v>
      </c>
      <c r="BH3019" s="1" t="s">
        <v>74</v>
      </c>
      <c r="BI3019" s="1">
        <v>6</v>
      </c>
      <c r="BJ3019" s="1" t="s">
        <v>247</v>
      </c>
      <c r="BK3019" s="1" t="s">
        <v>96</v>
      </c>
      <c r="BL3019" s="1" t="s">
        <v>248</v>
      </c>
      <c r="BM3019" s="1" t="s">
        <v>1093</v>
      </c>
      <c r="BN3019" s="1">
        <v>27021268</v>
      </c>
      <c r="BO3019" s="1" t="s">
        <v>74</v>
      </c>
      <c r="BP3019" s="1" t="s">
        <v>74</v>
      </c>
      <c r="BQ3019" s="1" t="s">
        <v>74</v>
      </c>
      <c r="BR3019" s="1" t="s">
        <v>98</v>
      </c>
      <c r="BS3019" s="1" t="s">
        <v>47933</v>
      </c>
      <c r="BT3019" s="1" t="str">
        <f>HYPERLINK("https%3A%2F%2Fwww.webofscience.com%2Fwos%2Fwoscc%2Ffull-record%2FWOS:000377726700064","View Full Record in Web of Science")</f>
        <v>View Full Record in Web of Science</v>
      </c>
      <c r="BU3019" s="1"/>
      <c r="BV3019" s="1"/>
    </row>
    <row r="3020" spans="1:74">
      <c r="A3020" s="1" t="s">
        <v>72</v>
      </c>
      <c r="B3020" s="1" t="s">
        <v>47934</v>
      </c>
      <c r="C3020" s="1" t="s">
        <v>74</v>
      </c>
      <c r="D3020" s="1" t="s">
        <v>74</v>
      </c>
      <c r="E3020" s="1" t="s">
        <v>74</v>
      </c>
      <c r="F3020" s="1" t="s">
        <v>47935</v>
      </c>
      <c r="G3020" s="1" t="s">
        <v>74</v>
      </c>
      <c r="H3020" s="1" t="s">
        <v>74</v>
      </c>
      <c r="I3020" s="1" t="s">
        <v>47936</v>
      </c>
      <c r="J3020" s="1" t="s">
        <v>641</v>
      </c>
      <c r="K3020" s="1" t="s">
        <v>74</v>
      </c>
      <c r="L3020" s="1" t="s">
        <v>74</v>
      </c>
      <c r="M3020" s="1" t="s">
        <v>78</v>
      </c>
      <c r="N3020" s="1" t="s">
        <v>151</v>
      </c>
      <c r="O3020" s="1" t="s">
        <v>8198</v>
      </c>
      <c r="P3020" s="1" t="s">
        <v>8199</v>
      </c>
      <c r="Q3020" s="1" t="s">
        <v>8200</v>
      </c>
      <c r="R3020" s="1" t="s">
        <v>74</v>
      </c>
      <c r="S3020" s="1" t="s">
        <v>8201</v>
      </c>
      <c r="T3020" s="1" t="s">
        <v>47937</v>
      </c>
      <c r="U3020" s="1" t="s">
        <v>47938</v>
      </c>
      <c r="V3020" s="1" t="s">
        <v>47939</v>
      </c>
      <c r="W3020" s="1" t="s">
        <v>47940</v>
      </c>
      <c r="X3020" s="1" t="s">
        <v>47941</v>
      </c>
      <c r="Y3020" s="1" t="s">
        <v>47942</v>
      </c>
      <c r="Z3020" s="1" t="s">
        <v>19077</v>
      </c>
      <c r="AA3020" s="1" t="s">
        <v>47943</v>
      </c>
      <c r="AB3020" s="1" t="s">
        <v>47944</v>
      </c>
      <c r="AC3020" s="1" t="s">
        <v>74</v>
      </c>
      <c r="AD3020" s="1" t="s">
        <v>74</v>
      </c>
      <c r="AE3020" s="1" t="s">
        <v>74</v>
      </c>
      <c r="AF3020" s="1" t="s">
        <v>74</v>
      </c>
      <c r="AG3020" s="1">
        <v>73</v>
      </c>
      <c r="AH3020" s="1">
        <v>116</v>
      </c>
      <c r="AI3020" s="1">
        <v>132</v>
      </c>
      <c r="AJ3020" s="1">
        <v>4</v>
      </c>
      <c r="AK3020" s="1">
        <v>90</v>
      </c>
      <c r="AL3020" s="1" t="s">
        <v>650</v>
      </c>
      <c r="AM3020" s="1" t="s">
        <v>651</v>
      </c>
      <c r="AN3020" s="1" t="s">
        <v>652</v>
      </c>
      <c r="AO3020" s="1" t="s">
        <v>653</v>
      </c>
      <c r="AP3020" s="1" t="s">
        <v>654</v>
      </c>
      <c r="AQ3020" s="1" t="s">
        <v>74</v>
      </c>
      <c r="AR3020" s="1" t="s">
        <v>655</v>
      </c>
      <c r="AS3020" s="1" t="s">
        <v>656</v>
      </c>
      <c r="AT3020" s="1" t="s">
        <v>119</v>
      </c>
      <c r="AU3020" s="1">
        <v>2014</v>
      </c>
      <c r="AV3020" s="1">
        <v>153</v>
      </c>
      <c r="AW3020" s="1" t="s">
        <v>74</v>
      </c>
      <c r="AX3020" s="1" t="s">
        <v>74</v>
      </c>
      <c r="AY3020" s="1" t="s">
        <v>74</v>
      </c>
      <c r="AZ3020" s="1" t="s">
        <v>225</v>
      </c>
      <c r="BA3020" s="1" t="s">
        <v>74</v>
      </c>
      <c r="BB3020" s="1">
        <v>39</v>
      </c>
      <c r="BC3020" s="1">
        <v>52</v>
      </c>
      <c r="BD3020" s="1" t="s">
        <v>74</v>
      </c>
      <c r="BE3020" s="1" t="s">
        <v>47945</v>
      </c>
      <c r="BF3020" s="1" t="str">
        <f>HYPERLINK("http://dx.doi.org/10.1016/j.aquatox.2014.02.003","http://dx.doi.org/10.1016/j.aquatox.2014.02.003")</f>
        <v>http://dx.doi.org/10.1016/j.aquatox.2014.02.003</v>
      </c>
      <c r="BG3020" s="1" t="s">
        <v>74</v>
      </c>
      <c r="BH3020" s="1" t="s">
        <v>74</v>
      </c>
      <c r="BI3020" s="1">
        <v>14</v>
      </c>
      <c r="BJ3020" s="1" t="s">
        <v>659</v>
      </c>
      <c r="BK3020" s="1" t="s">
        <v>172</v>
      </c>
      <c r="BL3020" s="1" t="s">
        <v>659</v>
      </c>
      <c r="BM3020" s="1" t="s">
        <v>8212</v>
      </c>
      <c r="BN3020" s="1">
        <v>24636493</v>
      </c>
      <c r="BO3020" s="1" t="s">
        <v>74</v>
      </c>
      <c r="BP3020" s="1" t="s">
        <v>74</v>
      </c>
      <c r="BQ3020" s="1" t="s">
        <v>74</v>
      </c>
      <c r="BR3020" s="1" t="s">
        <v>98</v>
      </c>
      <c r="BS3020" s="1" t="s">
        <v>47946</v>
      </c>
      <c r="BT3020" s="1" t="str">
        <f>HYPERLINK("https%3A%2F%2Fwww.webofscience.com%2Fwos%2Fwoscc%2Ffull-record%2FWOS:000339149200005","View Full Record in Web of Science")</f>
        <v>View Full Record in Web of Science</v>
      </c>
      <c r="BU3020" s="1"/>
      <c r="BV3020" s="1"/>
    </row>
    <row r="3021" spans="1:74">
      <c r="A3021" s="1" t="s">
        <v>72</v>
      </c>
      <c r="B3021" s="1" t="s">
        <v>47947</v>
      </c>
      <c r="C3021" s="1" t="s">
        <v>74</v>
      </c>
      <c r="D3021" s="1" t="s">
        <v>74</v>
      </c>
      <c r="E3021" s="1" t="s">
        <v>74</v>
      </c>
      <c r="F3021" s="1" t="s">
        <v>47948</v>
      </c>
      <c r="G3021" s="1" t="s">
        <v>74</v>
      </c>
      <c r="H3021" s="1" t="s">
        <v>74</v>
      </c>
      <c r="I3021" s="1" t="s">
        <v>47949</v>
      </c>
      <c r="J3021" s="1" t="s">
        <v>1337</v>
      </c>
      <c r="K3021" s="1" t="s">
        <v>74</v>
      </c>
      <c r="L3021" s="1" t="s">
        <v>74</v>
      </c>
      <c r="M3021" s="1" t="s">
        <v>78</v>
      </c>
      <c r="N3021" s="1" t="s">
        <v>79</v>
      </c>
      <c r="O3021" s="1" t="s">
        <v>74</v>
      </c>
      <c r="P3021" s="1" t="s">
        <v>74</v>
      </c>
      <c r="Q3021" s="1" t="s">
        <v>74</v>
      </c>
      <c r="R3021" s="1" t="s">
        <v>74</v>
      </c>
      <c r="S3021" s="1" t="s">
        <v>74</v>
      </c>
      <c r="T3021" s="1" t="s">
        <v>47950</v>
      </c>
      <c r="U3021" s="1" t="s">
        <v>47951</v>
      </c>
      <c r="V3021" s="1" t="s">
        <v>47952</v>
      </c>
      <c r="W3021" s="1" t="s">
        <v>47953</v>
      </c>
      <c r="X3021" s="1" t="s">
        <v>47954</v>
      </c>
      <c r="Y3021" s="1" t="s">
        <v>47955</v>
      </c>
      <c r="Z3021" s="1" t="s">
        <v>47956</v>
      </c>
      <c r="AA3021" s="1" t="s">
        <v>47957</v>
      </c>
      <c r="AB3021" s="1" t="s">
        <v>74</v>
      </c>
      <c r="AC3021" s="1" t="s">
        <v>47958</v>
      </c>
      <c r="AD3021" s="1" t="s">
        <v>47959</v>
      </c>
      <c r="AE3021" s="1" t="s">
        <v>47960</v>
      </c>
      <c r="AF3021" s="1" t="s">
        <v>74</v>
      </c>
      <c r="AG3021" s="1">
        <v>63</v>
      </c>
      <c r="AH3021" s="1">
        <v>0</v>
      </c>
      <c r="AI3021" s="1">
        <v>0</v>
      </c>
      <c r="AJ3021" s="1">
        <v>5</v>
      </c>
      <c r="AK3021" s="1">
        <v>5</v>
      </c>
      <c r="AL3021" s="1" t="s">
        <v>1350</v>
      </c>
      <c r="AM3021" s="1" t="s">
        <v>1351</v>
      </c>
      <c r="AN3021" s="1" t="s">
        <v>1352</v>
      </c>
      <c r="AO3021" s="1" t="s">
        <v>74</v>
      </c>
      <c r="AP3021" s="1" t="s">
        <v>1353</v>
      </c>
      <c r="AQ3021" s="1" t="s">
        <v>74</v>
      </c>
      <c r="AR3021" s="1" t="s">
        <v>1354</v>
      </c>
      <c r="AS3021" s="1" t="s">
        <v>1355</v>
      </c>
      <c r="AT3021" s="1" t="s">
        <v>35743</v>
      </c>
      <c r="AU3021" s="1">
        <v>2024</v>
      </c>
      <c r="AV3021" s="1">
        <v>11</v>
      </c>
      <c r="AW3021" s="1" t="s">
        <v>74</v>
      </c>
      <c r="AX3021" s="1" t="s">
        <v>74</v>
      </c>
      <c r="AY3021" s="1" t="s">
        <v>74</v>
      </c>
      <c r="AZ3021" s="1" t="s">
        <v>74</v>
      </c>
      <c r="BA3021" s="1" t="s">
        <v>74</v>
      </c>
      <c r="BB3021" s="1" t="s">
        <v>74</v>
      </c>
      <c r="BC3021" s="1" t="s">
        <v>74</v>
      </c>
      <c r="BD3021" s="1">
        <v>1371196</v>
      </c>
      <c r="BE3021" s="1" t="s">
        <v>47961</v>
      </c>
      <c r="BF3021" s="1" t="str">
        <f>HYPERLINK("http://dx.doi.org/10.3389/fmars.2024.1371196","http://dx.doi.org/10.3389/fmars.2024.1371196")</f>
        <v>http://dx.doi.org/10.3389/fmars.2024.1371196</v>
      </c>
      <c r="BG3021" s="1" t="s">
        <v>74</v>
      </c>
      <c r="BH3021" s="1" t="s">
        <v>74</v>
      </c>
      <c r="BI3021" s="1">
        <v>10</v>
      </c>
      <c r="BJ3021" s="1" t="s">
        <v>247</v>
      </c>
      <c r="BK3021" s="1" t="s">
        <v>96</v>
      </c>
      <c r="BL3021" s="1" t="s">
        <v>248</v>
      </c>
      <c r="BM3021" s="1" t="s">
        <v>47962</v>
      </c>
      <c r="BN3021" s="1" t="s">
        <v>74</v>
      </c>
      <c r="BO3021" s="1" t="s">
        <v>873</v>
      </c>
      <c r="BP3021" s="1" t="s">
        <v>74</v>
      </c>
      <c r="BQ3021" s="1" t="s">
        <v>74</v>
      </c>
      <c r="BR3021" s="1" t="s">
        <v>98</v>
      </c>
      <c r="BS3021" s="1" t="s">
        <v>47963</v>
      </c>
      <c r="BT3021" s="1" t="str">
        <f>HYPERLINK("https%3A%2F%2Fwww.webofscience.com%2Fwos%2Fwoscc%2Ffull-record%2FWOS:001248462500001","View Full Record in Web of Science")</f>
        <v>View Full Record in Web of Science</v>
      </c>
      <c r="BU3021" s="1"/>
      <c r="BV3021" s="1"/>
    </row>
    <row r="3022" spans="1:74">
      <c r="A3022" s="1" t="s">
        <v>72</v>
      </c>
      <c r="B3022" s="1" t="s">
        <v>47964</v>
      </c>
      <c r="C3022" s="1" t="s">
        <v>74</v>
      </c>
      <c r="D3022" s="1" t="s">
        <v>74</v>
      </c>
      <c r="E3022" s="1" t="s">
        <v>74</v>
      </c>
      <c r="F3022" s="1" t="s">
        <v>47965</v>
      </c>
      <c r="G3022" s="1" t="s">
        <v>74</v>
      </c>
      <c r="H3022" s="1" t="s">
        <v>74</v>
      </c>
      <c r="I3022" s="1" t="s">
        <v>47966</v>
      </c>
      <c r="J3022" s="1" t="s">
        <v>47967</v>
      </c>
      <c r="K3022" s="1" t="s">
        <v>74</v>
      </c>
      <c r="L3022" s="1" t="s">
        <v>74</v>
      </c>
      <c r="M3022" s="1" t="s">
        <v>78</v>
      </c>
      <c r="N3022" s="1" t="s">
        <v>79</v>
      </c>
      <c r="O3022" s="1" t="s">
        <v>74</v>
      </c>
      <c r="P3022" s="1" t="s">
        <v>74</v>
      </c>
      <c r="Q3022" s="1" t="s">
        <v>74</v>
      </c>
      <c r="R3022" s="1" t="s">
        <v>74</v>
      </c>
      <c r="S3022" s="1" t="s">
        <v>74</v>
      </c>
      <c r="T3022" s="1" t="s">
        <v>47968</v>
      </c>
      <c r="U3022" s="1" t="s">
        <v>47969</v>
      </c>
      <c r="V3022" s="1" t="s">
        <v>47970</v>
      </c>
      <c r="W3022" s="1" t="s">
        <v>47971</v>
      </c>
      <c r="X3022" s="1" t="s">
        <v>47972</v>
      </c>
      <c r="Y3022" s="1" t="s">
        <v>47973</v>
      </c>
      <c r="Z3022" s="1" t="s">
        <v>47974</v>
      </c>
      <c r="AA3022" s="1" t="s">
        <v>47975</v>
      </c>
      <c r="AB3022" s="1" t="s">
        <v>47976</v>
      </c>
      <c r="AC3022" s="1" t="s">
        <v>47977</v>
      </c>
      <c r="AD3022" s="1" t="s">
        <v>47978</v>
      </c>
      <c r="AE3022" s="1" t="s">
        <v>47979</v>
      </c>
      <c r="AF3022" s="1" t="s">
        <v>74</v>
      </c>
      <c r="AG3022" s="1">
        <v>50</v>
      </c>
      <c r="AH3022" s="1">
        <v>2</v>
      </c>
      <c r="AI3022" s="1">
        <v>2</v>
      </c>
      <c r="AJ3022" s="1">
        <v>2</v>
      </c>
      <c r="AK3022" s="1">
        <v>10</v>
      </c>
      <c r="AL3022" s="1" t="s">
        <v>1350</v>
      </c>
      <c r="AM3022" s="1" t="s">
        <v>1351</v>
      </c>
      <c r="AN3022" s="1" t="s">
        <v>1352</v>
      </c>
      <c r="AO3022" s="1" t="s">
        <v>74</v>
      </c>
      <c r="AP3022" s="1" t="s">
        <v>47980</v>
      </c>
      <c r="AQ3022" s="1" t="s">
        <v>74</v>
      </c>
      <c r="AR3022" s="1" t="s">
        <v>47981</v>
      </c>
      <c r="AS3022" s="1" t="s">
        <v>47982</v>
      </c>
      <c r="AT3022" s="1" t="s">
        <v>47983</v>
      </c>
      <c r="AU3022" s="1">
        <v>2023</v>
      </c>
      <c r="AV3022" s="1">
        <v>14</v>
      </c>
      <c r="AW3022" s="1" t="s">
        <v>74</v>
      </c>
      <c r="AX3022" s="1" t="s">
        <v>74</v>
      </c>
      <c r="AY3022" s="1" t="s">
        <v>74</v>
      </c>
      <c r="AZ3022" s="1" t="s">
        <v>74</v>
      </c>
      <c r="BA3022" s="1" t="s">
        <v>74</v>
      </c>
      <c r="BB3022" s="1" t="s">
        <v>74</v>
      </c>
      <c r="BC3022" s="1" t="s">
        <v>74</v>
      </c>
      <c r="BD3022" s="1">
        <v>1191500</v>
      </c>
      <c r="BE3022" s="1" t="s">
        <v>47984</v>
      </c>
      <c r="BF3022" s="1" t="str">
        <f>HYPERLINK("http://dx.doi.org/10.3389/fmicb.2023.1191500","http://dx.doi.org/10.3389/fmicb.2023.1191500")</f>
        <v>http://dx.doi.org/10.3389/fmicb.2023.1191500</v>
      </c>
      <c r="BG3022" s="1" t="s">
        <v>74</v>
      </c>
      <c r="BH3022" s="1" t="s">
        <v>74</v>
      </c>
      <c r="BI3022" s="1">
        <v>10</v>
      </c>
      <c r="BJ3022" s="1" t="s">
        <v>36882</v>
      </c>
      <c r="BK3022" s="1" t="s">
        <v>96</v>
      </c>
      <c r="BL3022" s="1" t="s">
        <v>36882</v>
      </c>
      <c r="BM3022" s="1" t="s">
        <v>47985</v>
      </c>
      <c r="BN3022" s="1">
        <v>37180275</v>
      </c>
      <c r="BO3022" s="1" t="s">
        <v>2155</v>
      </c>
      <c r="BP3022" s="1" t="s">
        <v>74</v>
      </c>
      <c r="BQ3022" s="1" t="s">
        <v>74</v>
      </c>
      <c r="BR3022" s="1" t="s">
        <v>98</v>
      </c>
      <c r="BS3022" s="1" t="s">
        <v>47986</v>
      </c>
      <c r="BT3022" s="1" t="str">
        <f>HYPERLINK("https%3A%2F%2Fwww.webofscience.com%2Fwos%2Fwoscc%2Ffull-record%2FWOS:000985874600001","View Full Record in Web of Science")</f>
        <v>View Full Record in Web of Science</v>
      </c>
      <c r="BU3022" s="1"/>
      <c r="BV3022" s="1"/>
    </row>
    <row r="3023" spans="1:74">
      <c r="A3023" s="1" t="s">
        <v>72</v>
      </c>
      <c r="B3023" s="1" t="s">
        <v>47987</v>
      </c>
      <c r="C3023" s="1" t="s">
        <v>74</v>
      </c>
      <c r="D3023" s="1" t="s">
        <v>74</v>
      </c>
      <c r="E3023" s="1" t="s">
        <v>74</v>
      </c>
      <c r="F3023" s="1" t="s">
        <v>47988</v>
      </c>
      <c r="G3023" s="1" t="s">
        <v>74</v>
      </c>
      <c r="H3023" s="1" t="s">
        <v>74</v>
      </c>
      <c r="I3023" s="1" t="s">
        <v>47989</v>
      </c>
      <c r="J3023" s="1" t="s">
        <v>47990</v>
      </c>
      <c r="K3023" s="1" t="s">
        <v>74</v>
      </c>
      <c r="L3023" s="1" t="s">
        <v>74</v>
      </c>
      <c r="M3023" s="1" t="s">
        <v>78</v>
      </c>
      <c r="N3023" s="1" t="s">
        <v>79</v>
      </c>
      <c r="O3023" s="1" t="s">
        <v>74</v>
      </c>
      <c r="P3023" s="1" t="s">
        <v>74</v>
      </c>
      <c r="Q3023" s="1" t="s">
        <v>74</v>
      </c>
      <c r="R3023" s="1" t="s">
        <v>74</v>
      </c>
      <c r="S3023" s="1" t="s">
        <v>74</v>
      </c>
      <c r="T3023" s="1" t="s">
        <v>47991</v>
      </c>
      <c r="U3023" s="1" t="s">
        <v>47992</v>
      </c>
      <c r="V3023" s="1" t="s">
        <v>47993</v>
      </c>
      <c r="W3023" s="1" t="s">
        <v>47994</v>
      </c>
      <c r="X3023" s="1" t="s">
        <v>47995</v>
      </c>
      <c r="Y3023" s="1" t="s">
        <v>47996</v>
      </c>
      <c r="Z3023" s="1" t="s">
        <v>47997</v>
      </c>
      <c r="AA3023" s="1" t="s">
        <v>74</v>
      </c>
      <c r="AB3023" s="1" t="s">
        <v>47998</v>
      </c>
      <c r="AC3023" s="1" t="s">
        <v>47999</v>
      </c>
      <c r="AD3023" s="1" t="s">
        <v>48000</v>
      </c>
      <c r="AE3023" s="1" t="s">
        <v>48001</v>
      </c>
      <c r="AF3023" s="1" t="s">
        <v>74</v>
      </c>
      <c r="AG3023" s="1">
        <v>34</v>
      </c>
      <c r="AH3023" s="1">
        <v>12</v>
      </c>
      <c r="AI3023" s="1">
        <v>16</v>
      </c>
      <c r="AJ3023" s="1">
        <v>0</v>
      </c>
      <c r="AK3023" s="1">
        <v>1</v>
      </c>
      <c r="AL3023" s="1" t="s">
        <v>7539</v>
      </c>
      <c r="AM3023" s="1" t="s">
        <v>7540</v>
      </c>
      <c r="AN3023" s="1" t="s">
        <v>7541</v>
      </c>
      <c r="AO3023" s="1" t="s">
        <v>48002</v>
      </c>
      <c r="AP3023" s="1" t="s">
        <v>48003</v>
      </c>
      <c r="AQ3023" s="1" t="s">
        <v>74</v>
      </c>
      <c r="AR3023" s="1" t="s">
        <v>48004</v>
      </c>
      <c r="AS3023" s="1" t="s">
        <v>48005</v>
      </c>
      <c r="AT3023" s="1" t="s">
        <v>305</v>
      </c>
      <c r="AU3023" s="1">
        <v>2008</v>
      </c>
      <c r="AV3023" s="1">
        <v>295</v>
      </c>
      <c r="AW3023" s="1">
        <v>3</v>
      </c>
      <c r="AX3023" s="1" t="s">
        <v>74</v>
      </c>
      <c r="AY3023" s="1" t="s">
        <v>74</v>
      </c>
      <c r="AZ3023" s="1" t="s">
        <v>74</v>
      </c>
      <c r="BA3023" s="1" t="s">
        <v>74</v>
      </c>
      <c r="BB3023" s="1" t="s">
        <v>48006</v>
      </c>
      <c r="BC3023" s="1" t="s">
        <v>48007</v>
      </c>
      <c r="BD3023" s="1" t="s">
        <v>74</v>
      </c>
      <c r="BE3023" s="1" t="s">
        <v>48008</v>
      </c>
      <c r="BF3023" s="1" t="str">
        <f>HYPERLINK("http://dx.doi.org/10.1152/ajplung.90282.2008","http://dx.doi.org/10.1152/ajplung.90282.2008")</f>
        <v>http://dx.doi.org/10.1152/ajplung.90282.2008</v>
      </c>
      <c r="BG3023" s="1" t="s">
        <v>74</v>
      </c>
      <c r="BH3023" s="1" t="s">
        <v>74</v>
      </c>
      <c r="BI3023" s="1">
        <v>8</v>
      </c>
      <c r="BJ3023" s="1" t="s">
        <v>48009</v>
      </c>
      <c r="BK3023" s="1" t="s">
        <v>96</v>
      </c>
      <c r="BL3023" s="1" t="s">
        <v>48009</v>
      </c>
      <c r="BM3023" s="1" t="s">
        <v>48010</v>
      </c>
      <c r="BN3023" s="1">
        <v>18586953</v>
      </c>
      <c r="BO3023" s="1" t="s">
        <v>74</v>
      </c>
      <c r="BP3023" s="1" t="s">
        <v>74</v>
      </c>
      <c r="BQ3023" s="1" t="s">
        <v>74</v>
      </c>
      <c r="BR3023" s="1" t="s">
        <v>98</v>
      </c>
      <c r="BS3023" s="1" t="s">
        <v>48011</v>
      </c>
      <c r="BT3023" s="1" t="str">
        <f>HYPERLINK("https%3A%2F%2Fwww.webofscience.com%2Fwos%2Fwoscc%2Ffull-record%2FWOS:000258874700011","View Full Record in Web of Science")</f>
        <v>View Full Record in Web of Science</v>
      </c>
      <c r="BU3023" s="1"/>
      <c r="BV3023" s="1"/>
    </row>
    <row r="3024" spans="1:74">
      <c r="A3024" s="1" t="s">
        <v>72</v>
      </c>
      <c r="B3024" s="1" t="s">
        <v>48012</v>
      </c>
      <c r="C3024" s="1" t="s">
        <v>74</v>
      </c>
      <c r="D3024" s="1" t="s">
        <v>74</v>
      </c>
      <c r="E3024" s="1" t="s">
        <v>74</v>
      </c>
      <c r="F3024" s="1" t="s">
        <v>48013</v>
      </c>
      <c r="G3024" s="1" t="s">
        <v>74</v>
      </c>
      <c r="H3024" s="1" t="s">
        <v>74</v>
      </c>
      <c r="I3024" s="1" t="s">
        <v>48014</v>
      </c>
      <c r="J3024" s="1" t="s">
        <v>29399</v>
      </c>
      <c r="K3024" s="1" t="s">
        <v>74</v>
      </c>
      <c r="L3024" s="1" t="s">
        <v>74</v>
      </c>
      <c r="M3024" s="1" t="s">
        <v>78</v>
      </c>
      <c r="N3024" s="1" t="s">
        <v>79</v>
      </c>
      <c r="O3024" s="1" t="s">
        <v>74</v>
      </c>
      <c r="P3024" s="1" t="s">
        <v>74</v>
      </c>
      <c r="Q3024" s="1" t="s">
        <v>74</v>
      </c>
      <c r="R3024" s="1" t="s">
        <v>74</v>
      </c>
      <c r="S3024" s="1" t="s">
        <v>74</v>
      </c>
      <c r="T3024" s="1" t="s">
        <v>48015</v>
      </c>
      <c r="U3024" s="1" t="s">
        <v>48016</v>
      </c>
      <c r="V3024" s="1" t="s">
        <v>48017</v>
      </c>
      <c r="W3024" s="1" t="s">
        <v>48018</v>
      </c>
      <c r="X3024" s="1" t="s">
        <v>3483</v>
      </c>
      <c r="Y3024" s="1" t="s">
        <v>48019</v>
      </c>
      <c r="Z3024" s="1" t="s">
        <v>48020</v>
      </c>
      <c r="AA3024" s="1" t="s">
        <v>48021</v>
      </c>
      <c r="AB3024" s="1" t="s">
        <v>48022</v>
      </c>
      <c r="AC3024" s="1" t="s">
        <v>48023</v>
      </c>
      <c r="AD3024" s="1" t="s">
        <v>48024</v>
      </c>
      <c r="AE3024" s="1" t="s">
        <v>48025</v>
      </c>
      <c r="AF3024" s="1" t="s">
        <v>74</v>
      </c>
      <c r="AG3024" s="1">
        <v>71</v>
      </c>
      <c r="AH3024" s="1">
        <v>11</v>
      </c>
      <c r="AI3024" s="1">
        <v>11</v>
      </c>
      <c r="AJ3024" s="1">
        <v>6</v>
      </c>
      <c r="AK3024" s="1">
        <v>21</v>
      </c>
      <c r="AL3024" s="1" t="s">
        <v>1566</v>
      </c>
      <c r="AM3024" s="1" t="s">
        <v>1567</v>
      </c>
      <c r="AN3024" s="1" t="s">
        <v>1568</v>
      </c>
      <c r="AO3024" s="1" t="s">
        <v>74</v>
      </c>
      <c r="AP3024" s="1" t="s">
        <v>29411</v>
      </c>
      <c r="AQ3024" s="1" t="s">
        <v>74</v>
      </c>
      <c r="AR3024" s="1" t="s">
        <v>29399</v>
      </c>
      <c r="AS3024" s="1" t="s">
        <v>29412</v>
      </c>
      <c r="AT3024" s="1" t="s">
        <v>170</v>
      </c>
      <c r="AU3024" s="1">
        <v>2022</v>
      </c>
      <c r="AV3024" s="1">
        <v>15</v>
      </c>
      <c r="AW3024" s="1">
        <v>9</v>
      </c>
      <c r="AX3024" s="1" t="s">
        <v>74</v>
      </c>
      <c r="AY3024" s="1" t="s">
        <v>74</v>
      </c>
      <c r="AZ3024" s="1" t="s">
        <v>74</v>
      </c>
      <c r="BA3024" s="1" t="s">
        <v>74</v>
      </c>
      <c r="BB3024" s="1" t="s">
        <v>74</v>
      </c>
      <c r="BC3024" s="1" t="s">
        <v>74</v>
      </c>
      <c r="BD3024" s="1">
        <v>3200</v>
      </c>
      <c r="BE3024" s="1" t="s">
        <v>48026</v>
      </c>
      <c r="BF3024" s="1" t="str">
        <f>HYPERLINK("http://dx.doi.org/10.3390/ma15093200","http://dx.doi.org/10.3390/ma15093200")</f>
        <v>http://dx.doi.org/10.3390/ma15093200</v>
      </c>
      <c r="BG3024" s="1" t="s">
        <v>74</v>
      </c>
      <c r="BH3024" s="1" t="s">
        <v>74</v>
      </c>
      <c r="BI3024" s="1">
        <v>12</v>
      </c>
      <c r="BJ3024" s="1" t="s">
        <v>29415</v>
      </c>
      <c r="BK3024" s="1" t="s">
        <v>96</v>
      </c>
      <c r="BL3024" s="1" t="s">
        <v>29416</v>
      </c>
      <c r="BM3024" s="1" t="s">
        <v>48027</v>
      </c>
      <c r="BN3024" s="1">
        <v>35591534</v>
      </c>
      <c r="BO3024" s="1" t="s">
        <v>2155</v>
      </c>
      <c r="BP3024" s="1" t="s">
        <v>74</v>
      </c>
      <c r="BQ3024" s="1" t="s">
        <v>74</v>
      </c>
      <c r="BR3024" s="1" t="s">
        <v>98</v>
      </c>
      <c r="BS3024" s="1" t="s">
        <v>48028</v>
      </c>
      <c r="BT3024" s="1" t="str">
        <f>HYPERLINK("https%3A%2F%2Fwww.webofscience.com%2Fwos%2Fwoscc%2Ffull-record%2FWOS:000795436300001","View Full Record in Web of Science")</f>
        <v>View Full Record in Web of Science</v>
      </c>
      <c r="BU3024" s="1"/>
      <c r="BV3024" s="1"/>
    </row>
    <row r="3025" spans="1:74">
      <c r="A3025" s="1" t="s">
        <v>72</v>
      </c>
      <c r="B3025" s="1" t="s">
        <v>48029</v>
      </c>
      <c r="C3025" s="1" t="s">
        <v>74</v>
      </c>
      <c r="D3025" s="1" t="s">
        <v>74</v>
      </c>
      <c r="E3025" s="1" t="s">
        <v>74</v>
      </c>
      <c r="F3025" s="1" t="s">
        <v>48030</v>
      </c>
      <c r="G3025" s="1" t="s">
        <v>74</v>
      </c>
      <c r="H3025" s="1" t="s">
        <v>74</v>
      </c>
      <c r="I3025" s="1" t="s">
        <v>48031</v>
      </c>
      <c r="J3025" s="1" t="s">
        <v>204</v>
      </c>
      <c r="K3025" s="1" t="s">
        <v>74</v>
      </c>
      <c r="L3025" s="1" t="s">
        <v>74</v>
      </c>
      <c r="M3025" s="1" t="s">
        <v>78</v>
      </c>
      <c r="N3025" s="1" t="s">
        <v>79</v>
      </c>
      <c r="O3025" s="1" t="s">
        <v>74</v>
      </c>
      <c r="P3025" s="1" t="s">
        <v>74</v>
      </c>
      <c r="Q3025" s="1" t="s">
        <v>74</v>
      </c>
      <c r="R3025" s="1" t="s">
        <v>74</v>
      </c>
      <c r="S3025" s="1" t="s">
        <v>74</v>
      </c>
      <c r="T3025" s="1" t="s">
        <v>48032</v>
      </c>
      <c r="U3025" s="1" t="s">
        <v>48033</v>
      </c>
      <c r="V3025" s="1" t="s">
        <v>48034</v>
      </c>
      <c r="W3025" s="1" t="s">
        <v>48035</v>
      </c>
      <c r="X3025" s="1" t="s">
        <v>48036</v>
      </c>
      <c r="Y3025" s="1" t="s">
        <v>48037</v>
      </c>
      <c r="Z3025" s="1" t="s">
        <v>48038</v>
      </c>
      <c r="AA3025" s="1" t="s">
        <v>48039</v>
      </c>
      <c r="AB3025" s="1" t="s">
        <v>48040</v>
      </c>
      <c r="AC3025" s="1" t="s">
        <v>48041</v>
      </c>
      <c r="AD3025" s="1" t="s">
        <v>48042</v>
      </c>
      <c r="AE3025" s="1" t="s">
        <v>48043</v>
      </c>
      <c r="AF3025" s="1" t="s">
        <v>74</v>
      </c>
      <c r="AG3025" s="1">
        <v>43</v>
      </c>
      <c r="AH3025" s="1">
        <v>16</v>
      </c>
      <c r="AI3025" s="1">
        <v>17</v>
      </c>
      <c r="AJ3025" s="1">
        <v>0</v>
      </c>
      <c r="AK3025" s="1">
        <v>23</v>
      </c>
      <c r="AL3025" s="1" t="s">
        <v>217</v>
      </c>
      <c r="AM3025" s="1" t="s">
        <v>218</v>
      </c>
      <c r="AN3025" s="1" t="s">
        <v>219</v>
      </c>
      <c r="AO3025" s="1" t="s">
        <v>220</v>
      </c>
      <c r="AP3025" s="1" t="s">
        <v>221</v>
      </c>
      <c r="AQ3025" s="1" t="s">
        <v>74</v>
      </c>
      <c r="AR3025" s="1" t="s">
        <v>222</v>
      </c>
      <c r="AS3025" s="1" t="s">
        <v>223</v>
      </c>
      <c r="AT3025" s="1" t="s">
        <v>93</v>
      </c>
      <c r="AU3025" s="1">
        <v>2016</v>
      </c>
      <c r="AV3025" s="1">
        <v>23</v>
      </c>
      <c r="AW3025" s="1">
        <v>7</v>
      </c>
      <c r="AX3025" s="1" t="s">
        <v>74</v>
      </c>
      <c r="AY3025" s="1" t="s">
        <v>74</v>
      </c>
      <c r="AZ3025" s="1" t="s">
        <v>74</v>
      </c>
      <c r="BA3025" s="1" t="s">
        <v>74</v>
      </c>
      <c r="BB3025" s="1">
        <v>7060</v>
      </c>
      <c r="BC3025" s="1">
        <v>7066</v>
      </c>
      <c r="BD3025" s="1" t="s">
        <v>74</v>
      </c>
      <c r="BE3025" s="1" t="s">
        <v>48044</v>
      </c>
      <c r="BF3025" s="1" t="str">
        <f>HYPERLINK("http://dx.doi.org/10.1007/s11356-016-6268-2","http://dx.doi.org/10.1007/s11356-016-6268-2")</f>
        <v>http://dx.doi.org/10.1007/s11356-016-6268-2</v>
      </c>
      <c r="BG3025" s="1" t="s">
        <v>74</v>
      </c>
      <c r="BH3025" s="1" t="s">
        <v>74</v>
      </c>
      <c r="BI3025" s="1">
        <v>7</v>
      </c>
      <c r="BJ3025" s="1" t="s">
        <v>144</v>
      </c>
      <c r="BK3025" s="1" t="s">
        <v>96</v>
      </c>
      <c r="BL3025" s="1" t="s">
        <v>145</v>
      </c>
      <c r="BM3025" s="1" t="s">
        <v>48045</v>
      </c>
      <c r="BN3025" s="1">
        <v>26884235</v>
      </c>
      <c r="BO3025" s="1" t="s">
        <v>810</v>
      </c>
      <c r="BP3025" s="1" t="s">
        <v>74</v>
      </c>
      <c r="BQ3025" s="1" t="s">
        <v>74</v>
      </c>
      <c r="BR3025" s="1" t="s">
        <v>98</v>
      </c>
      <c r="BS3025" s="1" t="s">
        <v>48046</v>
      </c>
      <c r="BT3025" s="1" t="str">
        <f>HYPERLINK("https%3A%2F%2Fwww.webofscience.com%2Fwos%2Fwoscc%2Ffull-record%2FWOS:000373632400100","View Full Record in Web of Science")</f>
        <v>View Full Record in Web of Science</v>
      </c>
      <c r="BU3025" s="1"/>
      <c r="BV3025" s="1"/>
    </row>
    <row r="3026" spans="1:74">
      <c r="A3026" s="1" t="s">
        <v>72</v>
      </c>
      <c r="B3026" s="1" t="s">
        <v>48047</v>
      </c>
      <c r="C3026" s="1" t="s">
        <v>74</v>
      </c>
      <c r="D3026" s="1" t="s">
        <v>74</v>
      </c>
      <c r="E3026" s="1" t="s">
        <v>74</v>
      </c>
      <c r="F3026" s="1" t="s">
        <v>48048</v>
      </c>
      <c r="G3026" s="1" t="s">
        <v>74</v>
      </c>
      <c r="H3026" s="1" t="s">
        <v>74</v>
      </c>
      <c r="I3026" s="1" t="s">
        <v>48049</v>
      </c>
      <c r="J3026" s="1" t="s">
        <v>20850</v>
      </c>
      <c r="K3026" s="1" t="s">
        <v>74</v>
      </c>
      <c r="L3026" s="1" t="s">
        <v>74</v>
      </c>
      <c r="M3026" s="1" t="s">
        <v>78</v>
      </c>
      <c r="N3026" s="1" t="s">
        <v>79</v>
      </c>
      <c r="O3026" s="1" t="s">
        <v>74</v>
      </c>
      <c r="P3026" s="1" t="s">
        <v>74</v>
      </c>
      <c r="Q3026" s="1" t="s">
        <v>74</v>
      </c>
      <c r="R3026" s="1" t="s">
        <v>74</v>
      </c>
      <c r="S3026" s="1" t="s">
        <v>74</v>
      </c>
      <c r="T3026" s="1" t="s">
        <v>74</v>
      </c>
      <c r="U3026" s="1" t="s">
        <v>48050</v>
      </c>
      <c r="V3026" s="1" t="s">
        <v>48051</v>
      </c>
      <c r="W3026" s="1" t="s">
        <v>48052</v>
      </c>
      <c r="X3026" s="1" t="s">
        <v>27166</v>
      </c>
      <c r="Y3026" s="1" t="s">
        <v>39660</v>
      </c>
      <c r="Z3026" s="1" t="s">
        <v>21443</v>
      </c>
      <c r="AA3026" s="1" t="s">
        <v>48053</v>
      </c>
      <c r="AB3026" s="1" t="s">
        <v>48054</v>
      </c>
      <c r="AC3026" s="1" t="s">
        <v>48055</v>
      </c>
      <c r="AD3026" s="1" t="s">
        <v>48056</v>
      </c>
      <c r="AE3026" s="1" t="s">
        <v>48057</v>
      </c>
      <c r="AF3026" s="1" t="s">
        <v>74</v>
      </c>
      <c r="AG3026" s="1">
        <v>93</v>
      </c>
      <c r="AH3026" s="1">
        <v>2</v>
      </c>
      <c r="AI3026" s="1">
        <v>2</v>
      </c>
      <c r="AJ3026" s="1">
        <v>8</v>
      </c>
      <c r="AK3026" s="1">
        <v>22</v>
      </c>
      <c r="AL3026" s="1" t="s">
        <v>261</v>
      </c>
      <c r="AM3026" s="1" t="s">
        <v>262</v>
      </c>
      <c r="AN3026" s="1" t="s">
        <v>19471</v>
      </c>
      <c r="AO3026" s="1" t="s">
        <v>20861</v>
      </c>
      <c r="AP3026" s="1" t="s">
        <v>20862</v>
      </c>
      <c r="AQ3026" s="1" t="s">
        <v>74</v>
      </c>
      <c r="AR3026" s="1" t="s">
        <v>20863</v>
      </c>
      <c r="AS3026" s="1" t="s">
        <v>20864</v>
      </c>
      <c r="AT3026" s="1" t="s">
        <v>39679</v>
      </c>
      <c r="AU3026" s="1">
        <v>2024</v>
      </c>
      <c r="AV3026" s="1">
        <v>26</v>
      </c>
      <c r="AW3026" s="1">
        <v>1</v>
      </c>
      <c r="AX3026" s="1" t="s">
        <v>74</v>
      </c>
      <c r="AY3026" s="1" t="s">
        <v>74</v>
      </c>
      <c r="AZ3026" s="1" t="s">
        <v>74</v>
      </c>
      <c r="BA3026" s="1" t="s">
        <v>74</v>
      </c>
      <c r="BB3026" s="1">
        <v>146</v>
      </c>
      <c r="BC3026" s="1">
        <v>160</v>
      </c>
      <c r="BD3026" s="1" t="s">
        <v>74</v>
      </c>
      <c r="BE3026" s="1" t="s">
        <v>48058</v>
      </c>
      <c r="BF3026" s="1" t="str">
        <f>HYPERLINK("http://dx.doi.org/10.1039/d3em00419h","http://dx.doi.org/10.1039/d3em00419h")</f>
        <v>http://dx.doi.org/10.1039/d3em00419h</v>
      </c>
      <c r="BG3026" s="1" t="s">
        <v>74</v>
      </c>
      <c r="BH3026" s="1" t="s">
        <v>7992</v>
      </c>
      <c r="BI3026" s="1">
        <v>15</v>
      </c>
      <c r="BJ3026" s="1" t="s">
        <v>269</v>
      </c>
      <c r="BK3026" s="1" t="s">
        <v>96</v>
      </c>
      <c r="BL3026" s="1" t="s">
        <v>270</v>
      </c>
      <c r="BM3026" s="1" t="s">
        <v>48059</v>
      </c>
      <c r="BN3026" s="1">
        <v>38009362</v>
      </c>
      <c r="BO3026" s="1" t="s">
        <v>74</v>
      </c>
      <c r="BP3026" s="1" t="s">
        <v>74</v>
      </c>
      <c r="BQ3026" s="1" t="s">
        <v>74</v>
      </c>
      <c r="BR3026" s="1" t="s">
        <v>98</v>
      </c>
      <c r="BS3026" s="1" t="s">
        <v>48060</v>
      </c>
      <c r="BT3026" s="1" t="str">
        <f>HYPERLINK("https%3A%2F%2Fwww.webofscience.com%2Fwos%2Fwoscc%2Ffull-record%2FWOS:001109777800001","View Full Record in Web of Science")</f>
        <v>View Full Record in Web of Science</v>
      </c>
      <c r="BU3026" s="1"/>
      <c r="BV3026" s="1"/>
    </row>
    <row r="3027" spans="1:74">
      <c r="A3027" s="1" t="s">
        <v>72</v>
      </c>
      <c r="B3027" s="1" t="s">
        <v>48061</v>
      </c>
      <c r="C3027" s="1" t="s">
        <v>74</v>
      </c>
      <c r="D3027" s="1" t="s">
        <v>74</v>
      </c>
      <c r="E3027" s="1" t="s">
        <v>74</v>
      </c>
      <c r="F3027" s="1" t="s">
        <v>48062</v>
      </c>
      <c r="G3027" s="1" t="s">
        <v>74</v>
      </c>
      <c r="H3027" s="1" t="s">
        <v>74</v>
      </c>
      <c r="I3027" s="1" t="s">
        <v>48063</v>
      </c>
      <c r="J3027" s="1" t="s">
        <v>232</v>
      </c>
      <c r="K3027" s="1" t="s">
        <v>74</v>
      </c>
      <c r="L3027" s="1" t="s">
        <v>74</v>
      </c>
      <c r="M3027" s="1" t="s">
        <v>78</v>
      </c>
      <c r="N3027" s="1" t="s">
        <v>79</v>
      </c>
      <c r="O3027" s="1" t="s">
        <v>74</v>
      </c>
      <c r="P3027" s="1" t="s">
        <v>74</v>
      </c>
      <c r="Q3027" s="1" t="s">
        <v>74</v>
      </c>
      <c r="R3027" s="1" t="s">
        <v>74</v>
      </c>
      <c r="S3027" s="1" t="s">
        <v>74</v>
      </c>
      <c r="T3027" s="1" t="s">
        <v>48064</v>
      </c>
      <c r="U3027" s="1" t="s">
        <v>48065</v>
      </c>
      <c r="V3027" s="1" t="s">
        <v>48066</v>
      </c>
      <c r="W3027" s="1" t="s">
        <v>48067</v>
      </c>
      <c r="X3027" s="1" t="s">
        <v>539</v>
      </c>
      <c r="Y3027" s="1" t="s">
        <v>48068</v>
      </c>
      <c r="Z3027" s="1" t="s">
        <v>48069</v>
      </c>
      <c r="AA3027" s="1" t="s">
        <v>48070</v>
      </c>
      <c r="AB3027" s="1" t="s">
        <v>48071</v>
      </c>
      <c r="AC3027" s="1" t="s">
        <v>74</v>
      </c>
      <c r="AD3027" s="1" t="s">
        <v>74</v>
      </c>
      <c r="AE3027" s="1" t="s">
        <v>74</v>
      </c>
      <c r="AF3027" s="1" t="s">
        <v>74</v>
      </c>
      <c r="AG3027" s="1">
        <v>114</v>
      </c>
      <c r="AH3027" s="1">
        <v>29</v>
      </c>
      <c r="AI3027" s="1">
        <v>29</v>
      </c>
      <c r="AJ3027" s="1">
        <v>1</v>
      </c>
      <c r="AK3027" s="1">
        <v>40</v>
      </c>
      <c r="AL3027" s="1" t="s">
        <v>136</v>
      </c>
      <c r="AM3027" s="1" t="s">
        <v>137</v>
      </c>
      <c r="AN3027" s="1" t="s">
        <v>138</v>
      </c>
      <c r="AO3027" s="1" t="s">
        <v>240</v>
      </c>
      <c r="AP3027" s="1" t="s">
        <v>241</v>
      </c>
      <c r="AQ3027" s="1" t="s">
        <v>74</v>
      </c>
      <c r="AR3027" s="1" t="s">
        <v>242</v>
      </c>
      <c r="AS3027" s="1" t="s">
        <v>243</v>
      </c>
      <c r="AT3027" s="1" t="s">
        <v>119</v>
      </c>
      <c r="AU3027" s="1">
        <v>2019</v>
      </c>
      <c r="AV3027" s="1">
        <v>145</v>
      </c>
      <c r="AW3027" s="1" t="s">
        <v>74</v>
      </c>
      <c r="AX3027" s="1" t="s">
        <v>74</v>
      </c>
      <c r="AY3027" s="1" t="s">
        <v>74</v>
      </c>
      <c r="AZ3027" s="1" t="s">
        <v>74</v>
      </c>
      <c r="BA3027" s="1" t="s">
        <v>74</v>
      </c>
      <c r="BB3027" s="1">
        <v>377</v>
      </c>
      <c r="BC3027" s="1">
        <v>389</v>
      </c>
      <c r="BD3027" s="1" t="s">
        <v>74</v>
      </c>
      <c r="BE3027" s="1" t="s">
        <v>48072</v>
      </c>
      <c r="BF3027" s="1" t="str">
        <f>HYPERLINK("http://dx.doi.org/10.1016/j.marpolbul.2019.05.030","http://dx.doi.org/10.1016/j.marpolbul.2019.05.030")</f>
        <v>http://dx.doi.org/10.1016/j.marpolbul.2019.05.030</v>
      </c>
      <c r="BG3027" s="1" t="s">
        <v>74</v>
      </c>
      <c r="BH3027" s="1" t="s">
        <v>74</v>
      </c>
      <c r="BI3027" s="1">
        <v>13</v>
      </c>
      <c r="BJ3027" s="1" t="s">
        <v>247</v>
      </c>
      <c r="BK3027" s="1" t="s">
        <v>96</v>
      </c>
      <c r="BL3027" s="1" t="s">
        <v>248</v>
      </c>
      <c r="BM3027" s="1" t="s">
        <v>45214</v>
      </c>
      <c r="BN3027" s="1">
        <v>31590800</v>
      </c>
      <c r="BO3027" s="1" t="s">
        <v>74</v>
      </c>
      <c r="BP3027" s="1" t="s">
        <v>74</v>
      </c>
      <c r="BQ3027" s="1" t="s">
        <v>74</v>
      </c>
      <c r="BR3027" s="1" t="s">
        <v>98</v>
      </c>
      <c r="BS3027" s="1" t="s">
        <v>48073</v>
      </c>
      <c r="BT3027" s="1" t="str">
        <f>HYPERLINK("https%3A%2F%2Fwww.webofscience.com%2Fwos%2Fwoscc%2Ffull-record%2FWOS:000482493000044","View Full Record in Web of Science")</f>
        <v>View Full Record in Web of Science</v>
      </c>
      <c r="BU3027" s="1"/>
      <c r="BV3027" s="1"/>
    </row>
    <row r="3028" spans="1:74">
      <c r="A3028" s="1" t="s">
        <v>72</v>
      </c>
      <c r="B3028" s="1" t="s">
        <v>48074</v>
      </c>
      <c r="C3028" s="1" t="s">
        <v>74</v>
      </c>
      <c r="D3028" s="1" t="s">
        <v>74</v>
      </c>
      <c r="E3028" s="1" t="s">
        <v>74</v>
      </c>
      <c r="F3028" s="1" t="s">
        <v>48075</v>
      </c>
      <c r="G3028" s="1" t="s">
        <v>74</v>
      </c>
      <c r="H3028" s="1" t="s">
        <v>74</v>
      </c>
      <c r="I3028" s="1" t="s">
        <v>48076</v>
      </c>
      <c r="J3028" s="1" t="s">
        <v>12106</v>
      </c>
      <c r="K3028" s="1" t="s">
        <v>74</v>
      </c>
      <c r="L3028" s="1" t="s">
        <v>74</v>
      </c>
      <c r="M3028" s="1" t="s">
        <v>78</v>
      </c>
      <c r="N3028" s="1" t="s">
        <v>79</v>
      </c>
      <c r="O3028" s="1" t="s">
        <v>74</v>
      </c>
      <c r="P3028" s="1" t="s">
        <v>74</v>
      </c>
      <c r="Q3028" s="1" t="s">
        <v>74</v>
      </c>
      <c r="R3028" s="1" t="s">
        <v>74</v>
      </c>
      <c r="S3028" s="1" t="s">
        <v>74</v>
      </c>
      <c r="T3028" s="1" t="s">
        <v>48077</v>
      </c>
      <c r="U3028" s="1" t="s">
        <v>48078</v>
      </c>
      <c r="V3028" s="1" t="s">
        <v>48079</v>
      </c>
      <c r="W3028" s="1" t="s">
        <v>48080</v>
      </c>
      <c r="X3028" s="1" t="s">
        <v>48081</v>
      </c>
      <c r="Y3028" s="1" t="s">
        <v>48082</v>
      </c>
      <c r="Z3028" s="1" t="s">
        <v>32593</v>
      </c>
      <c r="AA3028" s="1" t="s">
        <v>48083</v>
      </c>
      <c r="AB3028" s="1" t="s">
        <v>48084</v>
      </c>
      <c r="AC3028" s="1" t="s">
        <v>32596</v>
      </c>
      <c r="AD3028" s="1" t="s">
        <v>32596</v>
      </c>
      <c r="AE3028" s="1" t="s">
        <v>48085</v>
      </c>
      <c r="AF3028" s="1" t="s">
        <v>74</v>
      </c>
      <c r="AG3028" s="1">
        <v>70</v>
      </c>
      <c r="AH3028" s="1">
        <v>29</v>
      </c>
      <c r="AI3028" s="1">
        <v>29</v>
      </c>
      <c r="AJ3028" s="1">
        <v>1</v>
      </c>
      <c r="AK3028" s="1">
        <v>39</v>
      </c>
      <c r="AL3028" s="1" t="s">
        <v>1166</v>
      </c>
      <c r="AM3028" s="1" t="s">
        <v>1167</v>
      </c>
      <c r="AN3028" s="1" t="s">
        <v>1168</v>
      </c>
      <c r="AO3028" s="1" t="s">
        <v>12119</v>
      </c>
      <c r="AP3028" s="1" t="s">
        <v>12120</v>
      </c>
      <c r="AQ3028" s="1" t="s">
        <v>74</v>
      </c>
      <c r="AR3028" s="1" t="s">
        <v>12121</v>
      </c>
      <c r="AS3028" s="1" t="s">
        <v>12122</v>
      </c>
      <c r="AT3028" s="1" t="s">
        <v>142</v>
      </c>
      <c r="AU3028" s="1">
        <v>2019</v>
      </c>
      <c r="AV3028" s="1">
        <v>13</v>
      </c>
      <c r="AW3028" s="1">
        <v>3</v>
      </c>
      <c r="AX3028" s="1" t="s">
        <v>74</v>
      </c>
      <c r="AY3028" s="1" t="s">
        <v>74</v>
      </c>
      <c r="AZ3028" s="1" t="s">
        <v>74</v>
      </c>
      <c r="BA3028" s="1" t="s">
        <v>74</v>
      </c>
      <c r="BB3028" s="1">
        <v>443</v>
      </c>
      <c r="BC3028" s="1">
        <v>455</v>
      </c>
      <c r="BD3028" s="1" t="s">
        <v>74</v>
      </c>
      <c r="BE3028" s="1" t="s">
        <v>48086</v>
      </c>
      <c r="BF3028" s="1" t="str">
        <f>HYPERLINK("http://dx.doi.org/10.1007/s41742-019-00185-w","http://dx.doi.org/10.1007/s41742-019-00185-w")</f>
        <v>http://dx.doi.org/10.1007/s41742-019-00185-w</v>
      </c>
      <c r="BG3028" s="1" t="s">
        <v>74</v>
      </c>
      <c r="BH3028" s="1" t="s">
        <v>74</v>
      </c>
      <c r="BI3028" s="1">
        <v>13</v>
      </c>
      <c r="BJ3028" s="1" t="s">
        <v>144</v>
      </c>
      <c r="BK3028" s="1" t="s">
        <v>96</v>
      </c>
      <c r="BL3028" s="1" t="s">
        <v>145</v>
      </c>
      <c r="BM3028" s="1" t="s">
        <v>48087</v>
      </c>
      <c r="BN3028" s="1" t="s">
        <v>74</v>
      </c>
      <c r="BO3028" s="1" t="s">
        <v>74</v>
      </c>
      <c r="BP3028" s="1" t="s">
        <v>74</v>
      </c>
      <c r="BQ3028" s="1" t="s">
        <v>74</v>
      </c>
      <c r="BR3028" s="1" t="s">
        <v>98</v>
      </c>
      <c r="BS3028" s="1" t="s">
        <v>48088</v>
      </c>
      <c r="BT3028" s="1" t="str">
        <f>HYPERLINK("https%3A%2F%2Fwww.webofscience.com%2Fwos%2Fwoscc%2Ffull-record%2FWOS:000469882000001","View Full Record in Web of Science")</f>
        <v>View Full Record in Web of Science</v>
      </c>
      <c r="BU3028" s="1"/>
      <c r="BV3028" s="1"/>
    </row>
    <row r="3029" spans="1:74">
      <c r="A3029" s="1" t="s">
        <v>72</v>
      </c>
      <c r="B3029" s="1" t="s">
        <v>48089</v>
      </c>
      <c r="C3029" s="1" t="s">
        <v>74</v>
      </c>
      <c r="D3029" s="1" t="s">
        <v>74</v>
      </c>
      <c r="E3029" s="1" t="s">
        <v>74</v>
      </c>
      <c r="F3029" s="1" t="s">
        <v>48090</v>
      </c>
      <c r="G3029" s="1" t="s">
        <v>74</v>
      </c>
      <c r="H3029" s="1" t="s">
        <v>74</v>
      </c>
      <c r="I3029" s="1" t="s">
        <v>48091</v>
      </c>
      <c r="J3029" s="1" t="s">
        <v>421</v>
      </c>
      <c r="K3029" s="1" t="s">
        <v>74</v>
      </c>
      <c r="L3029" s="1" t="s">
        <v>74</v>
      </c>
      <c r="M3029" s="1" t="s">
        <v>78</v>
      </c>
      <c r="N3029" s="1" t="s">
        <v>79</v>
      </c>
      <c r="O3029" s="1" t="s">
        <v>74</v>
      </c>
      <c r="P3029" s="1" t="s">
        <v>74</v>
      </c>
      <c r="Q3029" s="1" t="s">
        <v>74</v>
      </c>
      <c r="R3029" s="1" t="s">
        <v>74</v>
      </c>
      <c r="S3029" s="1" t="s">
        <v>74</v>
      </c>
      <c r="T3029" s="1" t="s">
        <v>48092</v>
      </c>
      <c r="U3029" s="1" t="s">
        <v>48093</v>
      </c>
      <c r="V3029" s="1" t="s">
        <v>48094</v>
      </c>
      <c r="W3029" s="1" t="s">
        <v>48095</v>
      </c>
      <c r="X3029" s="1" t="s">
        <v>48096</v>
      </c>
      <c r="Y3029" s="1" t="s">
        <v>48097</v>
      </c>
      <c r="Z3029" s="1" t="s">
        <v>48098</v>
      </c>
      <c r="AA3029" s="1" t="s">
        <v>48099</v>
      </c>
      <c r="AB3029" s="1" t="s">
        <v>48100</v>
      </c>
      <c r="AC3029" s="1" t="s">
        <v>48101</v>
      </c>
      <c r="AD3029" s="1" t="s">
        <v>48102</v>
      </c>
      <c r="AE3029" s="1" t="s">
        <v>48103</v>
      </c>
      <c r="AF3029" s="1" t="s">
        <v>74</v>
      </c>
      <c r="AG3029" s="1">
        <v>60</v>
      </c>
      <c r="AH3029" s="1">
        <v>45</v>
      </c>
      <c r="AI3029" s="1">
        <v>50</v>
      </c>
      <c r="AJ3029" s="1">
        <v>0</v>
      </c>
      <c r="AK3029" s="1">
        <v>21</v>
      </c>
      <c r="AL3029" s="1" t="s">
        <v>430</v>
      </c>
      <c r="AM3029" s="1" t="s">
        <v>137</v>
      </c>
      <c r="AN3029" s="1" t="s">
        <v>431</v>
      </c>
      <c r="AO3029" s="1" t="s">
        <v>432</v>
      </c>
      <c r="AP3029" s="1" t="s">
        <v>1394</v>
      </c>
      <c r="AQ3029" s="1" t="s">
        <v>74</v>
      </c>
      <c r="AR3029" s="1" t="s">
        <v>433</v>
      </c>
      <c r="AS3029" s="1" t="s">
        <v>434</v>
      </c>
      <c r="AT3029" s="1" t="s">
        <v>765</v>
      </c>
      <c r="AU3029" s="1">
        <v>2011</v>
      </c>
      <c r="AV3029" s="1">
        <v>159</v>
      </c>
      <c r="AW3029" s="1">
        <v>7</v>
      </c>
      <c r="AX3029" s="1" t="s">
        <v>74</v>
      </c>
      <c r="AY3029" s="1" t="s">
        <v>74</v>
      </c>
      <c r="AZ3029" s="1" t="s">
        <v>74</v>
      </c>
      <c r="BA3029" s="1" t="s">
        <v>74</v>
      </c>
      <c r="BB3029" s="1">
        <v>1914</v>
      </c>
      <c r="BC3029" s="1">
        <v>1922</v>
      </c>
      <c r="BD3029" s="1" t="s">
        <v>74</v>
      </c>
      <c r="BE3029" s="1" t="s">
        <v>48104</v>
      </c>
      <c r="BF3029" s="1" t="str">
        <f>HYPERLINK("http://dx.doi.org/10.1016/j.envpol.2011.03.030","http://dx.doi.org/10.1016/j.envpol.2011.03.030")</f>
        <v>http://dx.doi.org/10.1016/j.envpol.2011.03.030</v>
      </c>
      <c r="BG3029" s="1" t="s">
        <v>74</v>
      </c>
      <c r="BH3029" s="1" t="s">
        <v>74</v>
      </c>
      <c r="BI3029" s="1">
        <v>9</v>
      </c>
      <c r="BJ3029" s="1" t="s">
        <v>144</v>
      </c>
      <c r="BK3029" s="1" t="s">
        <v>96</v>
      </c>
      <c r="BL3029" s="1" t="s">
        <v>145</v>
      </c>
      <c r="BM3029" s="1" t="s">
        <v>21200</v>
      </c>
      <c r="BN3029" s="1">
        <v>21531489</v>
      </c>
      <c r="BO3029" s="1" t="s">
        <v>74</v>
      </c>
      <c r="BP3029" s="1" t="s">
        <v>74</v>
      </c>
      <c r="BQ3029" s="1" t="s">
        <v>74</v>
      </c>
      <c r="BR3029" s="1" t="s">
        <v>98</v>
      </c>
      <c r="BS3029" s="1" t="s">
        <v>48105</v>
      </c>
      <c r="BT3029" s="1" t="str">
        <f>HYPERLINK("https%3A%2F%2Fwww.webofscience.com%2Fwos%2Fwoscc%2Ffull-record%2FWOS:000291774200023","View Full Record in Web of Science")</f>
        <v>View Full Record in Web of Science</v>
      </c>
      <c r="BU3029" s="1"/>
      <c r="BV3029" s="1"/>
    </row>
    <row r="3030" spans="1:74">
      <c r="A3030" s="1" t="s">
        <v>72</v>
      </c>
      <c r="B3030" s="1" t="s">
        <v>48106</v>
      </c>
      <c r="C3030" s="1" t="s">
        <v>74</v>
      </c>
      <c r="D3030" s="1" t="s">
        <v>74</v>
      </c>
      <c r="E3030" s="1" t="s">
        <v>74</v>
      </c>
      <c r="F3030" s="1" t="s">
        <v>48107</v>
      </c>
      <c r="G3030" s="1" t="s">
        <v>74</v>
      </c>
      <c r="H3030" s="1" t="s">
        <v>74</v>
      </c>
      <c r="I3030" s="1" t="s">
        <v>48108</v>
      </c>
      <c r="J3030" s="1" t="s">
        <v>421</v>
      </c>
      <c r="K3030" s="1" t="s">
        <v>74</v>
      </c>
      <c r="L3030" s="1" t="s">
        <v>74</v>
      </c>
      <c r="M3030" s="1" t="s">
        <v>78</v>
      </c>
      <c r="N3030" s="1" t="s">
        <v>79</v>
      </c>
      <c r="O3030" s="1" t="s">
        <v>74</v>
      </c>
      <c r="P3030" s="1" t="s">
        <v>74</v>
      </c>
      <c r="Q3030" s="1" t="s">
        <v>74</v>
      </c>
      <c r="R3030" s="1" t="s">
        <v>74</v>
      </c>
      <c r="S3030" s="1" t="s">
        <v>74</v>
      </c>
      <c r="T3030" s="1" t="s">
        <v>48109</v>
      </c>
      <c r="U3030" s="1" t="s">
        <v>48110</v>
      </c>
      <c r="V3030" s="1" t="s">
        <v>48111</v>
      </c>
      <c r="W3030" s="1" t="s">
        <v>48112</v>
      </c>
      <c r="X3030" s="1" t="s">
        <v>48113</v>
      </c>
      <c r="Y3030" s="1" t="s">
        <v>48114</v>
      </c>
      <c r="Z3030" s="1" t="s">
        <v>48115</v>
      </c>
      <c r="AA3030" s="1" t="s">
        <v>74</v>
      </c>
      <c r="AB3030" s="1" t="s">
        <v>74</v>
      </c>
      <c r="AC3030" s="1" t="s">
        <v>48116</v>
      </c>
      <c r="AD3030" s="1" t="s">
        <v>48117</v>
      </c>
      <c r="AE3030" s="1" t="s">
        <v>48118</v>
      </c>
      <c r="AF3030" s="1" t="s">
        <v>74</v>
      </c>
      <c r="AG3030" s="1">
        <v>39</v>
      </c>
      <c r="AH3030" s="1">
        <v>24</v>
      </c>
      <c r="AI3030" s="1">
        <v>24</v>
      </c>
      <c r="AJ3030" s="1">
        <v>0</v>
      </c>
      <c r="AK3030" s="1">
        <v>24</v>
      </c>
      <c r="AL3030" s="1" t="s">
        <v>430</v>
      </c>
      <c r="AM3030" s="1" t="s">
        <v>137</v>
      </c>
      <c r="AN3030" s="1" t="s">
        <v>431</v>
      </c>
      <c r="AO3030" s="1" t="s">
        <v>432</v>
      </c>
      <c r="AP3030" s="1" t="s">
        <v>1394</v>
      </c>
      <c r="AQ3030" s="1" t="s">
        <v>74</v>
      </c>
      <c r="AR3030" s="1" t="s">
        <v>433</v>
      </c>
      <c r="AS3030" s="1" t="s">
        <v>434</v>
      </c>
      <c r="AT3030" s="1" t="s">
        <v>15328</v>
      </c>
      <c r="AU3030" s="1">
        <v>2009</v>
      </c>
      <c r="AV3030" s="1">
        <v>157</v>
      </c>
      <c r="AW3030" s="1" t="s">
        <v>10021</v>
      </c>
      <c r="AX3030" s="1" t="s">
        <v>74</v>
      </c>
      <c r="AY3030" s="1" t="s">
        <v>74</v>
      </c>
      <c r="AZ3030" s="1" t="s">
        <v>74</v>
      </c>
      <c r="BA3030" s="1" t="s">
        <v>74</v>
      </c>
      <c r="BB3030" s="1">
        <v>2239</v>
      </c>
      <c r="BC3030" s="1">
        <v>2247</v>
      </c>
      <c r="BD3030" s="1" t="s">
        <v>74</v>
      </c>
      <c r="BE3030" s="1" t="s">
        <v>48119</v>
      </c>
      <c r="BF3030" s="1" t="str">
        <f>HYPERLINK("http://dx.doi.org/10.1016/j.envpol.2009.04.006","http://dx.doi.org/10.1016/j.envpol.2009.04.006")</f>
        <v>http://dx.doi.org/10.1016/j.envpol.2009.04.006</v>
      </c>
      <c r="BG3030" s="1" t="s">
        <v>74</v>
      </c>
      <c r="BH3030" s="1" t="s">
        <v>74</v>
      </c>
      <c r="BI3030" s="1">
        <v>9</v>
      </c>
      <c r="BJ3030" s="1" t="s">
        <v>144</v>
      </c>
      <c r="BK3030" s="1" t="s">
        <v>96</v>
      </c>
      <c r="BL3030" s="1" t="s">
        <v>145</v>
      </c>
      <c r="BM3030" s="1" t="s">
        <v>48120</v>
      </c>
      <c r="BN3030" s="1">
        <v>19446937</v>
      </c>
      <c r="BO3030" s="1" t="s">
        <v>74</v>
      </c>
      <c r="BP3030" s="1" t="s">
        <v>74</v>
      </c>
      <c r="BQ3030" s="1" t="s">
        <v>74</v>
      </c>
      <c r="BR3030" s="1" t="s">
        <v>98</v>
      </c>
      <c r="BS3030" s="1" t="s">
        <v>48121</v>
      </c>
      <c r="BT3030" s="1" t="str">
        <f>HYPERLINK("https%3A%2F%2Fwww.webofscience.com%2Fwos%2Fwoscc%2Ffull-record%2FWOS:000267586200008","View Full Record in Web of Science")</f>
        <v>View Full Record in Web of Science</v>
      </c>
      <c r="BU3030" s="1"/>
      <c r="BV3030" s="1"/>
    </row>
    <row r="3031" spans="1:74">
      <c r="A3031" s="1" t="s">
        <v>72</v>
      </c>
      <c r="B3031" s="1" t="s">
        <v>13482</v>
      </c>
      <c r="C3031" s="1" t="s">
        <v>74</v>
      </c>
      <c r="D3031" s="1" t="s">
        <v>74</v>
      </c>
      <c r="E3031" s="1" t="s">
        <v>74</v>
      </c>
      <c r="F3031" s="1" t="s">
        <v>13483</v>
      </c>
      <c r="G3031" s="1" t="s">
        <v>74</v>
      </c>
      <c r="H3031" s="1" t="s">
        <v>74</v>
      </c>
      <c r="I3031" s="1" t="s">
        <v>48122</v>
      </c>
      <c r="J3031" s="1" t="s">
        <v>127</v>
      </c>
      <c r="K3031" s="1" t="s">
        <v>74</v>
      </c>
      <c r="L3031" s="1" t="s">
        <v>74</v>
      </c>
      <c r="M3031" s="1" t="s">
        <v>78</v>
      </c>
      <c r="N3031" s="1" t="s">
        <v>79</v>
      </c>
      <c r="O3031" s="1" t="s">
        <v>74</v>
      </c>
      <c r="P3031" s="1" t="s">
        <v>74</v>
      </c>
      <c r="Q3031" s="1" t="s">
        <v>74</v>
      </c>
      <c r="R3031" s="1" t="s">
        <v>74</v>
      </c>
      <c r="S3031" s="1" t="s">
        <v>74</v>
      </c>
      <c r="T3031" s="1" t="s">
        <v>48123</v>
      </c>
      <c r="U3031" s="1" t="s">
        <v>48124</v>
      </c>
      <c r="V3031" s="1" t="s">
        <v>48125</v>
      </c>
      <c r="W3031" s="1" t="s">
        <v>48126</v>
      </c>
      <c r="X3031" s="1" t="s">
        <v>13489</v>
      </c>
      <c r="Y3031" s="1" t="s">
        <v>13490</v>
      </c>
      <c r="Z3031" s="1" t="s">
        <v>6259</v>
      </c>
      <c r="AA3031" s="1" t="s">
        <v>4408</v>
      </c>
      <c r="AB3031" s="1" t="s">
        <v>5177</v>
      </c>
      <c r="AC3031" s="1" t="s">
        <v>48127</v>
      </c>
      <c r="AD3031" s="1" t="s">
        <v>48128</v>
      </c>
      <c r="AE3031" s="1" t="s">
        <v>48129</v>
      </c>
      <c r="AF3031" s="1" t="s">
        <v>74</v>
      </c>
      <c r="AG3031" s="1">
        <v>44</v>
      </c>
      <c r="AH3031" s="1">
        <v>13</v>
      </c>
      <c r="AI3031" s="1">
        <v>14</v>
      </c>
      <c r="AJ3031" s="1">
        <v>0</v>
      </c>
      <c r="AK3031" s="1">
        <v>43</v>
      </c>
      <c r="AL3031" s="1" t="s">
        <v>136</v>
      </c>
      <c r="AM3031" s="1" t="s">
        <v>137</v>
      </c>
      <c r="AN3031" s="1" t="s">
        <v>138</v>
      </c>
      <c r="AO3031" s="1" t="s">
        <v>139</v>
      </c>
      <c r="AP3031" s="1" t="s">
        <v>140</v>
      </c>
      <c r="AQ3031" s="1" t="s">
        <v>74</v>
      </c>
      <c r="AR3031" s="1" t="s">
        <v>127</v>
      </c>
      <c r="AS3031" s="1" t="s">
        <v>141</v>
      </c>
      <c r="AT3031" s="1" t="s">
        <v>119</v>
      </c>
      <c r="AU3031" s="1">
        <v>2014</v>
      </c>
      <c r="AV3031" s="1">
        <v>108</v>
      </c>
      <c r="AW3031" s="1" t="s">
        <v>74</v>
      </c>
      <c r="AX3031" s="1" t="s">
        <v>74</v>
      </c>
      <c r="AY3031" s="1" t="s">
        <v>74</v>
      </c>
      <c r="AZ3031" s="1" t="s">
        <v>74</v>
      </c>
      <c r="BA3031" s="1" t="s">
        <v>74</v>
      </c>
      <c r="BB3031" s="1">
        <v>214</v>
      </c>
      <c r="BC3031" s="1">
        <v>224</v>
      </c>
      <c r="BD3031" s="1" t="s">
        <v>74</v>
      </c>
      <c r="BE3031" s="1" t="s">
        <v>48130</v>
      </c>
      <c r="BF3031" s="1" t="str">
        <f>HYPERLINK("http://dx.doi.org/10.1016/j.chemosphere.2014.01.042","http://dx.doi.org/10.1016/j.chemosphere.2014.01.042")</f>
        <v>http://dx.doi.org/10.1016/j.chemosphere.2014.01.042</v>
      </c>
      <c r="BG3031" s="1" t="s">
        <v>74</v>
      </c>
      <c r="BH3031" s="1" t="s">
        <v>74</v>
      </c>
      <c r="BI3031" s="1">
        <v>11</v>
      </c>
      <c r="BJ3031" s="1" t="s">
        <v>144</v>
      </c>
      <c r="BK3031" s="1" t="s">
        <v>96</v>
      </c>
      <c r="BL3031" s="1" t="s">
        <v>145</v>
      </c>
      <c r="BM3031" s="1" t="s">
        <v>48131</v>
      </c>
      <c r="BN3031" s="1">
        <v>24594487</v>
      </c>
      <c r="BO3031" s="1" t="s">
        <v>74</v>
      </c>
      <c r="BP3031" s="1" t="s">
        <v>74</v>
      </c>
      <c r="BQ3031" s="1" t="s">
        <v>74</v>
      </c>
      <c r="BR3031" s="1" t="s">
        <v>98</v>
      </c>
      <c r="BS3031" s="1" t="s">
        <v>48132</v>
      </c>
      <c r="BT3031" s="1" t="str">
        <f>HYPERLINK("https%3A%2F%2Fwww.webofscience.com%2Fwos%2Fwoscc%2Ffull-record%2FWOS:000337881600028","View Full Record in Web of Science")</f>
        <v>View Full Record in Web of Science</v>
      </c>
      <c r="BU3031" s="1"/>
      <c r="BV3031" s="1"/>
    </row>
    <row r="3032" spans="1:74">
      <c r="A3032" s="1" t="s">
        <v>72</v>
      </c>
      <c r="B3032" s="1" t="s">
        <v>48133</v>
      </c>
      <c r="C3032" s="1" t="s">
        <v>74</v>
      </c>
      <c r="D3032" s="1" t="s">
        <v>74</v>
      </c>
      <c r="E3032" s="1" t="s">
        <v>74</v>
      </c>
      <c r="F3032" s="1" t="s">
        <v>48134</v>
      </c>
      <c r="G3032" s="1" t="s">
        <v>74</v>
      </c>
      <c r="H3032" s="1" t="s">
        <v>74</v>
      </c>
      <c r="I3032" s="1" t="s">
        <v>48135</v>
      </c>
      <c r="J3032" s="1" t="s">
        <v>48136</v>
      </c>
      <c r="K3032" s="1" t="s">
        <v>74</v>
      </c>
      <c r="L3032" s="1" t="s">
        <v>74</v>
      </c>
      <c r="M3032" s="1" t="s">
        <v>78</v>
      </c>
      <c r="N3032" s="1" t="s">
        <v>151</v>
      </c>
      <c r="O3032" s="1" t="s">
        <v>48137</v>
      </c>
      <c r="P3032" s="1" t="s">
        <v>48138</v>
      </c>
      <c r="Q3032" s="1" t="s">
        <v>48139</v>
      </c>
      <c r="R3032" s="1" t="s">
        <v>74</v>
      </c>
      <c r="S3032" s="1" t="s">
        <v>74</v>
      </c>
      <c r="T3032" s="1" t="s">
        <v>48140</v>
      </c>
      <c r="U3032" s="1" t="s">
        <v>48141</v>
      </c>
      <c r="V3032" s="1" t="s">
        <v>48142</v>
      </c>
      <c r="W3032" s="1" t="s">
        <v>48143</v>
      </c>
      <c r="X3032" s="1" t="s">
        <v>48144</v>
      </c>
      <c r="Y3032" s="1" t="s">
        <v>48145</v>
      </c>
      <c r="Z3032" s="1" t="s">
        <v>48146</v>
      </c>
      <c r="AA3032" s="1" t="s">
        <v>74</v>
      </c>
      <c r="AB3032" s="1" t="s">
        <v>74</v>
      </c>
      <c r="AC3032" s="1" t="s">
        <v>74</v>
      </c>
      <c r="AD3032" s="1" t="s">
        <v>74</v>
      </c>
      <c r="AE3032" s="1" t="s">
        <v>74</v>
      </c>
      <c r="AF3032" s="1" t="s">
        <v>74</v>
      </c>
      <c r="AG3032" s="1">
        <v>72</v>
      </c>
      <c r="AH3032" s="1">
        <v>59</v>
      </c>
      <c r="AI3032" s="1">
        <v>75</v>
      </c>
      <c r="AJ3032" s="1">
        <v>6</v>
      </c>
      <c r="AK3032" s="1">
        <v>106</v>
      </c>
      <c r="AL3032" s="1" t="s">
        <v>408</v>
      </c>
      <c r="AM3032" s="1" t="s">
        <v>409</v>
      </c>
      <c r="AN3032" s="1" t="s">
        <v>1188</v>
      </c>
      <c r="AO3032" s="1" t="s">
        <v>48147</v>
      </c>
      <c r="AP3032" s="1" t="s">
        <v>48148</v>
      </c>
      <c r="AQ3032" s="1" t="s">
        <v>74</v>
      </c>
      <c r="AR3032" s="1" t="s">
        <v>48149</v>
      </c>
      <c r="AS3032" s="1" t="s">
        <v>48150</v>
      </c>
      <c r="AT3032" s="1" t="s">
        <v>197</v>
      </c>
      <c r="AU3032" s="1">
        <v>2007</v>
      </c>
      <c r="AV3032" s="1">
        <v>23</v>
      </c>
      <c r="AW3032" s="1">
        <v>4</v>
      </c>
      <c r="AX3032" s="1" t="s">
        <v>74</v>
      </c>
      <c r="AY3032" s="1" t="s">
        <v>74</v>
      </c>
      <c r="AZ3032" s="1" t="s">
        <v>74</v>
      </c>
      <c r="BA3032" s="1" t="s">
        <v>74</v>
      </c>
      <c r="BB3032" s="1">
        <v>345</v>
      </c>
      <c r="BC3032" s="1">
        <v>365</v>
      </c>
      <c r="BD3032" s="1" t="s">
        <v>74</v>
      </c>
      <c r="BE3032" s="1" t="s">
        <v>48151</v>
      </c>
      <c r="BF3032" s="1" t="str">
        <f>HYPERLINK("http://dx.doi.org/10.1080/07438140709354023","http://dx.doi.org/10.1080/07438140709354023")</f>
        <v>http://dx.doi.org/10.1080/07438140709354023</v>
      </c>
      <c r="BG3032" s="1" t="s">
        <v>74</v>
      </c>
      <c r="BH3032" s="1" t="s">
        <v>74</v>
      </c>
      <c r="BI3032" s="1">
        <v>21</v>
      </c>
      <c r="BJ3032" s="1" t="s">
        <v>48152</v>
      </c>
      <c r="BK3032" s="1" t="s">
        <v>172</v>
      </c>
      <c r="BL3032" s="1" t="s">
        <v>48153</v>
      </c>
      <c r="BM3032" s="1" t="s">
        <v>48154</v>
      </c>
      <c r="BN3032" s="1" t="s">
        <v>74</v>
      </c>
      <c r="BO3032" s="1" t="s">
        <v>370</v>
      </c>
      <c r="BP3032" s="1" t="s">
        <v>74</v>
      </c>
      <c r="BQ3032" s="1" t="s">
        <v>74</v>
      </c>
      <c r="BR3032" s="1" t="s">
        <v>98</v>
      </c>
      <c r="BS3032" s="1" t="s">
        <v>48155</v>
      </c>
      <c r="BT3032" s="1" t="str">
        <f>HYPERLINK("https%3A%2F%2Fwww.webofscience.com%2Fwos%2Fwoscc%2Ffull-record%2FWOS:000258162200004","View Full Record in Web of Science")</f>
        <v>View Full Record in Web of Science</v>
      </c>
      <c r="BU3032" s="1"/>
      <c r="BV3032" s="1"/>
    </row>
    <row r="3033" spans="1:74">
      <c r="A3033" s="1" t="s">
        <v>72</v>
      </c>
      <c r="B3033" s="1" t="s">
        <v>48156</v>
      </c>
      <c r="C3033" s="1" t="s">
        <v>74</v>
      </c>
      <c r="D3033" s="1" t="s">
        <v>74</v>
      </c>
      <c r="E3033" s="1" t="s">
        <v>74</v>
      </c>
      <c r="F3033" s="1" t="s">
        <v>48156</v>
      </c>
      <c r="G3033" s="1" t="s">
        <v>74</v>
      </c>
      <c r="H3033" s="1" t="s">
        <v>74</v>
      </c>
      <c r="I3033" s="1" t="s">
        <v>48157</v>
      </c>
      <c r="J3033" s="1" t="s">
        <v>232</v>
      </c>
      <c r="K3033" s="1" t="s">
        <v>74</v>
      </c>
      <c r="L3033" s="1" t="s">
        <v>74</v>
      </c>
      <c r="M3033" s="1" t="s">
        <v>78</v>
      </c>
      <c r="N3033" s="1" t="s">
        <v>79</v>
      </c>
      <c r="O3033" s="1" t="s">
        <v>74</v>
      </c>
      <c r="P3033" s="1" t="s">
        <v>74</v>
      </c>
      <c r="Q3033" s="1" t="s">
        <v>74</v>
      </c>
      <c r="R3033" s="1" t="s">
        <v>74</v>
      </c>
      <c r="S3033" s="1" t="s">
        <v>74</v>
      </c>
      <c r="T3033" s="1" t="s">
        <v>74</v>
      </c>
      <c r="U3033" s="1" t="s">
        <v>48158</v>
      </c>
      <c r="V3033" s="1" t="s">
        <v>48159</v>
      </c>
      <c r="W3033" s="1" t="s">
        <v>74</v>
      </c>
      <c r="X3033" s="1" t="s">
        <v>74</v>
      </c>
      <c r="Y3033" s="1" t="s">
        <v>48160</v>
      </c>
      <c r="Z3033" s="1" t="s">
        <v>74</v>
      </c>
      <c r="AA3033" s="1" t="s">
        <v>74</v>
      </c>
      <c r="AB3033" s="1" t="s">
        <v>74</v>
      </c>
      <c r="AC3033" s="1" t="s">
        <v>74</v>
      </c>
      <c r="AD3033" s="1" t="s">
        <v>74</v>
      </c>
      <c r="AE3033" s="1" t="s">
        <v>74</v>
      </c>
      <c r="AF3033" s="1" t="s">
        <v>74</v>
      </c>
      <c r="AG3033" s="1">
        <v>56</v>
      </c>
      <c r="AH3033" s="1">
        <v>291</v>
      </c>
      <c r="AI3033" s="1">
        <v>350</v>
      </c>
      <c r="AJ3033" s="1">
        <v>0</v>
      </c>
      <c r="AK3033" s="1">
        <v>94</v>
      </c>
      <c r="AL3033" s="1" t="s">
        <v>136</v>
      </c>
      <c r="AM3033" s="1" t="s">
        <v>137</v>
      </c>
      <c r="AN3033" s="1" t="s">
        <v>138</v>
      </c>
      <c r="AO3033" s="1" t="s">
        <v>240</v>
      </c>
      <c r="AP3033" s="1" t="s">
        <v>241</v>
      </c>
      <c r="AQ3033" s="1" t="s">
        <v>74</v>
      </c>
      <c r="AR3033" s="1" t="s">
        <v>242</v>
      </c>
      <c r="AS3033" s="1" t="s">
        <v>243</v>
      </c>
      <c r="AT3033" s="1" t="s">
        <v>170</v>
      </c>
      <c r="AU3033" s="1">
        <v>1993</v>
      </c>
      <c r="AV3033" s="1">
        <v>26</v>
      </c>
      <c r="AW3033" s="1">
        <v>5</v>
      </c>
      <c r="AX3033" s="1" t="s">
        <v>74</v>
      </c>
      <c r="AY3033" s="1" t="s">
        <v>74</v>
      </c>
      <c r="AZ3033" s="1" t="s">
        <v>74</v>
      </c>
      <c r="BA3033" s="1" t="s">
        <v>74</v>
      </c>
      <c r="BB3033" s="1">
        <v>249</v>
      </c>
      <c r="BC3033" s="1">
        <v>257</v>
      </c>
      <c r="BD3033" s="1" t="s">
        <v>74</v>
      </c>
      <c r="BE3033" s="1" t="s">
        <v>48161</v>
      </c>
      <c r="BF3033" s="1" t="str">
        <f>HYPERLINK("http://dx.doi.org/10.1016/0025-326X(93)90063-P","http://dx.doi.org/10.1016/0025-326X(93)90063-P")</f>
        <v>http://dx.doi.org/10.1016/0025-326X(93)90063-P</v>
      </c>
      <c r="BG3033" s="1" t="s">
        <v>74</v>
      </c>
      <c r="BH3033" s="1" t="s">
        <v>74</v>
      </c>
      <c r="BI3033" s="1">
        <v>9</v>
      </c>
      <c r="BJ3033" s="1" t="s">
        <v>247</v>
      </c>
      <c r="BK3033" s="1" t="s">
        <v>96</v>
      </c>
      <c r="BL3033" s="1" t="s">
        <v>248</v>
      </c>
      <c r="BM3033" s="1" t="s">
        <v>48162</v>
      </c>
      <c r="BN3033" s="1" t="s">
        <v>74</v>
      </c>
      <c r="BO3033" s="1" t="s">
        <v>74</v>
      </c>
      <c r="BP3033" s="1" t="s">
        <v>74</v>
      </c>
      <c r="BQ3033" s="1" t="s">
        <v>74</v>
      </c>
      <c r="BR3033" s="1" t="s">
        <v>98</v>
      </c>
      <c r="BS3033" s="1" t="s">
        <v>48163</v>
      </c>
      <c r="BT3033" s="1" t="str">
        <f>HYPERLINK("https%3A%2F%2Fwww.webofscience.com%2Fwos%2Fwoscc%2Ffull-record%2FWOS:A1993LF39600006","View Full Record in Web of Science")</f>
        <v>View Full Record in Web of Science</v>
      </c>
      <c r="BU3033" s="1"/>
      <c r="BV3033" s="1"/>
    </row>
    <row r="3034" spans="1:74">
      <c r="A3034" s="1" t="s">
        <v>72</v>
      </c>
      <c r="B3034" s="1" t="s">
        <v>48164</v>
      </c>
      <c r="C3034" s="1" t="s">
        <v>74</v>
      </c>
      <c r="D3034" s="1" t="s">
        <v>74</v>
      </c>
      <c r="E3034" s="1" t="s">
        <v>74</v>
      </c>
      <c r="F3034" s="1" t="s">
        <v>48164</v>
      </c>
      <c r="G3034" s="1" t="s">
        <v>74</v>
      </c>
      <c r="H3034" s="1" t="s">
        <v>74</v>
      </c>
      <c r="I3034" s="1" t="s">
        <v>48165</v>
      </c>
      <c r="J3034" s="1" t="s">
        <v>752</v>
      </c>
      <c r="K3034" s="1" t="s">
        <v>74</v>
      </c>
      <c r="L3034" s="1" t="s">
        <v>74</v>
      </c>
      <c r="M3034" s="1" t="s">
        <v>78</v>
      </c>
      <c r="N3034" s="1" t="s">
        <v>151</v>
      </c>
      <c r="O3034" s="1" t="s">
        <v>5658</v>
      </c>
      <c r="P3034" s="1">
        <v>1993</v>
      </c>
      <c r="Q3034" s="1" t="s">
        <v>5659</v>
      </c>
      <c r="R3034" s="1" t="s">
        <v>74</v>
      </c>
      <c r="S3034" s="1" t="s">
        <v>74</v>
      </c>
      <c r="T3034" s="1" t="s">
        <v>74</v>
      </c>
      <c r="U3034" s="1" t="s">
        <v>3857</v>
      </c>
      <c r="V3034" s="1" t="s">
        <v>48166</v>
      </c>
      <c r="W3034" s="1" t="s">
        <v>74</v>
      </c>
      <c r="X3034" s="1" t="s">
        <v>74</v>
      </c>
      <c r="Y3034" s="1" t="s">
        <v>48167</v>
      </c>
      <c r="Z3034" s="1" t="s">
        <v>74</v>
      </c>
      <c r="AA3034" s="1" t="s">
        <v>2808</v>
      </c>
      <c r="AB3034" s="1" t="s">
        <v>2809</v>
      </c>
      <c r="AC3034" s="1" t="s">
        <v>74</v>
      </c>
      <c r="AD3034" s="1" t="s">
        <v>74</v>
      </c>
      <c r="AE3034" s="1" t="s">
        <v>74</v>
      </c>
      <c r="AF3034" s="1" t="s">
        <v>74</v>
      </c>
      <c r="AG3034" s="1">
        <v>6</v>
      </c>
      <c r="AH3034" s="1">
        <v>4</v>
      </c>
      <c r="AI3034" s="1">
        <v>4</v>
      </c>
      <c r="AJ3034" s="1">
        <v>0</v>
      </c>
      <c r="AK3034" s="1">
        <v>3</v>
      </c>
      <c r="AL3034" s="1" t="s">
        <v>430</v>
      </c>
      <c r="AM3034" s="1" t="s">
        <v>137</v>
      </c>
      <c r="AN3034" s="1" t="s">
        <v>1600</v>
      </c>
      <c r="AO3034" s="1" t="s">
        <v>761</v>
      </c>
      <c r="AP3034" s="1" t="s">
        <v>74</v>
      </c>
      <c r="AQ3034" s="1" t="s">
        <v>74</v>
      </c>
      <c r="AR3034" s="1" t="s">
        <v>763</v>
      </c>
      <c r="AS3034" s="1" t="s">
        <v>764</v>
      </c>
      <c r="AT3034" s="1" t="s">
        <v>74</v>
      </c>
      <c r="AU3034" s="1">
        <v>1995</v>
      </c>
      <c r="AV3034" s="1">
        <v>39</v>
      </c>
      <c r="AW3034" s="1" t="s">
        <v>721</v>
      </c>
      <c r="AX3034" s="1" t="s">
        <v>74</v>
      </c>
      <c r="AY3034" s="1" t="s">
        <v>74</v>
      </c>
      <c r="AZ3034" s="1" t="s">
        <v>74</v>
      </c>
      <c r="BA3034" s="1" t="s">
        <v>74</v>
      </c>
      <c r="BB3034" s="1">
        <v>267</v>
      </c>
      <c r="BC3034" s="1">
        <v>270</v>
      </c>
      <c r="BD3034" s="1" t="s">
        <v>74</v>
      </c>
      <c r="BE3034" s="1" t="s">
        <v>48168</v>
      </c>
      <c r="BF3034" s="1" t="str">
        <f>HYPERLINK("http://dx.doi.org/10.1016/0141-1136(94)00056-U","http://dx.doi.org/10.1016/0141-1136(94)00056-U")</f>
        <v>http://dx.doi.org/10.1016/0141-1136(94)00056-U</v>
      </c>
      <c r="BG3034" s="1" t="s">
        <v>74</v>
      </c>
      <c r="BH3034" s="1" t="s">
        <v>74</v>
      </c>
      <c r="BI3034" s="1">
        <v>4</v>
      </c>
      <c r="BJ3034" s="1" t="s">
        <v>768</v>
      </c>
      <c r="BK3034" s="1" t="s">
        <v>588</v>
      </c>
      <c r="BL3034" s="1" t="s">
        <v>769</v>
      </c>
      <c r="BM3034" s="1" t="s">
        <v>5666</v>
      </c>
      <c r="BN3034" s="1" t="s">
        <v>74</v>
      </c>
      <c r="BO3034" s="1" t="s">
        <v>74</v>
      </c>
      <c r="BP3034" s="1" t="s">
        <v>74</v>
      </c>
      <c r="BQ3034" s="1" t="s">
        <v>74</v>
      </c>
      <c r="BR3034" s="1" t="s">
        <v>98</v>
      </c>
      <c r="BS3034" s="1" t="s">
        <v>48169</v>
      </c>
      <c r="BT3034" s="1" t="str">
        <f>HYPERLINK("https%3A%2F%2Fwww.webofscience.com%2Fwos%2Fwoscc%2Ffull-record%2FWOS:A1995QR26100054","View Full Record in Web of Science")</f>
        <v>View Full Record in Web of Science</v>
      </c>
      <c r="BU3034" s="1"/>
      <c r="BV3034" s="1"/>
    </row>
    <row r="3035" spans="1:74">
      <c r="A3035" s="1" t="s">
        <v>72</v>
      </c>
      <c r="B3035" s="1" t="s">
        <v>48170</v>
      </c>
      <c r="C3035" s="1" t="s">
        <v>74</v>
      </c>
      <c r="D3035" s="1" t="s">
        <v>74</v>
      </c>
      <c r="E3035" s="1" t="s">
        <v>74</v>
      </c>
      <c r="F3035" s="1" t="s">
        <v>48171</v>
      </c>
      <c r="G3035" s="1" t="s">
        <v>74</v>
      </c>
      <c r="H3035" s="1" t="s">
        <v>74</v>
      </c>
      <c r="I3035" s="1" t="s">
        <v>48172</v>
      </c>
      <c r="J3035" s="1" t="s">
        <v>48173</v>
      </c>
      <c r="K3035" s="1" t="s">
        <v>74</v>
      </c>
      <c r="L3035" s="1" t="s">
        <v>74</v>
      </c>
      <c r="M3035" s="1" t="s">
        <v>78</v>
      </c>
      <c r="N3035" s="1" t="s">
        <v>79</v>
      </c>
      <c r="O3035" s="1" t="s">
        <v>74</v>
      </c>
      <c r="P3035" s="1" t="s">
        <v>74</v>
      </c>
      <c r="Q3035" s="1" t="s">
        <v>74</v>
      </c>
      <c r="R3035" s="1" t="s">
        <v>74</v>
      </c>
      <c r="S3035" s="1" t="s">
        <v>74</v>
      </c>
      <c r="T3035" s="1" t="s">
        <v>48174</v>
      </c>
      <c r="U3035" s="1" t="s">
        <v>48175</v>
      </c>
      <c r="V3035" s="1" t="s">
        <v>48176</v>
      </c>
      <c r="W3035" s="1" t="s">
        <v>48177</v>
      </c>
      <c r="X3035" s="1" t="s">
        <v>48178</v>
      </c>
      <c r="Y3035" s="1" t="s">
        <v>48179</v>
      </c>
      <c r="Z3035" s="1" t="s">
        <v>48180</v>
      </c>
      <c r="AA3035" s="1" t="s">
        <v>74</v>
      </c>
      <c r="AB3035" s="1" t="s">
        <v>48181</v>
      </c>
      <c r="AC3035" s="1" t="s">
        <v>48182</v>
      </c>
      <c r="AD3035" s="1" t="s">
        <v>48183</v>
      </c>
      <c r="AE3035" s="1" t="s">
        <v>48184</v>
      </c>
      <c r="AF3035" s="1" t="s">
        <v>74</v>
      </c>
      <c r="AG3035" s="1">
        <v>33</v>
      </c>
      <c r="AH3035" s="1">
        <v>0</v>
      </c>
      <c r="AI3035" s="1">
        <v>0</v>
      </c>
      <c r="AJ3035" s="1">
        <v>0</v>
      </c>
      <c r="AK3035" s="1">
        <v>28</v>
      </c>
      <c r="AL3035" s="1" t="s">
        <v>2297</v>
      </c>
      <c r="AM3035" s="1" t="s">
        <v>1786</v>
      </c>
      <c r="AN3035" s="1" t="s">
        <v>2298</v>
      </c>
      <c r="AO3035" s="1" t="s">
        <v>48185</v>
      </c>
      <c r="AP3035" s="1" t="s">
        <v>74</v>
      </c>
      <c r="AQ3035" s="1" t="s">
        <v>74</v>
      </c>
      <c r="AR3035" s="1" t="s">
        <v>48186</v>
      </c>
      <c r="AS3035" s="1" t="s">
        <v>48187</v>
      </c>
      <c r="AT3035" s="1" t="s">
        <v>197</v>
      </c>
      <c r="AU3035" s="1">
        <v>2012</v>
      </c>
      <c r="AV3035" s="1">
        <v>9</v>
      </c>
      <c r="AW3035" s="1">
        <v>6</v>
      </c>
      <c r="AX3035" s="1" t="s">
        <v>74</v>
      </c>
      <c r="AY3035" s="1" t="s">
        <v>74</v>
      </c>
      <c r="AZ3035" s="1" t="s">
        <v>74</v>
      </c>
      <c r="BA3035" s="1" t="s">
        <v>74</v>
      </c>
      <c r="BB3035" s="1">
        <v>835</v>
      </c>
      <c r="BC3035" s="1">
        <v>841</v>
      </c>
      <c r="BD3035" s="1" t="s">
        <v>74</v>
      </c>
      <c r="BE3035" s="1" t="s">
        <v>48188</v>
      </c>
      <c r="BF3035" s="1" t="str">
        <f>HYPERLINK("http://dx.doi.org/10.1007/s11629-012-2553-9","http://dx.doi.org/10.1007/s11629-012-2553-9")</f>
        <v>http://dx.doi.org/10.1007/s11629-012-2553-9</v>
      </c>
      <c r="BG3035" s="1" t="s">
        <v>74</v>
      </c>
      <c r="BH3035" s="1" t="s">
        <v>74</v>
      </c>
      <c r="BI3035" s="1">
        <v>7</v>
      </c>
      <c r="BJ3035" s="1" t="s">
        <v>144</v>
      </c>
      <c r="BK3035" s="1" t="s">
        <v>96</v>
      </c>
      <c r="BL3035" s="1" t="s">
        <v>145</v>
      </c>
      <c r="BM3035" s="1" t="s">
        <v>48189</v>
      </c>
      <c r="BN3035" s="1" t="s">
        <v>74</v>
      </c>
      <c r="BO3035" s="1" t="s">
        <v>74</v>
      </c>
      <c r="BP3035" s="1" t="s">
        <v>74</v>
      </c>
      <c r="BQ3035" s="1" t="s">
        <v>74</v>
      </c>
      <c r="BR3035" s="1" t="s">
        <v>98</v>
      </c>
      <c r="BS3035" s="1" t="s">
        <v>48190</v>
      </c>
      <c r="BT3035" s="1" t="str">
        <f>HYPERLINK("https%3A%2F%2Fwww.webofscience.com%2Fwos%2Fwoscc%2Ffull-record%2FWOS:000312199400010","View Full Record in Web of Science")</f>
        <v>View Full Record in Web of Science</v>
      </c>
      <c r="BU3035" s="1"/>
      <c r="BV3035" s="1"/>
    </row>
    <row r="3036" spans="1:74">
      <c r="A3036" s="1" t="s">
        <v>72</v>
      </c>
      <c r="B3036" s="1" t="s">
        <v>48191</v>
      </c>
      <c r="C3036" s="1" t="s">
        <v>74</v>
      </c>
      <c r="D3036" s="1" t="s">
        <v>74</v>
      </c>
      <c r="E3036" s="1" t="s">
        <v>74</v>
      </c>
      <c r="F3036" s="1" t="s">
        <v>48191</v>
      </c>
      <c r="G3036" s="1" t="s">
        <v>74</v>
      </c>
      <c r="H3036" s="1" t="s">
        <v>74</v>
      </c>
      <c r="I3036" s="1" t="s">
        <v>48192</v>
      </c>
      <c r="J3036" s="1" t="s">
        <v>232</v>
      </c>
      <c r="K3036" s="1" t="s">
        <v>74</v>
      </c>
      <c r="L3036" s="1" t="s">
        <v>74</v>
      </c>
      <c r="M3036" s="1" t="s">
        <v>78</v>
      </c>
      <c r="N3036" s="1" t="s">
        <v>79</v>
      </c>
      <c r="O3036" s="1" t="s">
        <v>74</v>
      </c>
      <c r="P3036" s="1" t="s">
        <v>74</v>
      </c>
      <c r="Q3036" s="1" t="s">
        <v>74</v>
      </c>
      <c r="R3036" s="1" t="s">
        <v>74</v>
      </c>
      <c r="S3036" s="1" t="s">
        <v>74</v>
      </c>
      <c r="T3036" s="1" t="s">
        <v>48193</v>
      </c>
      <c r="U3036" s="1" t="s">
        <v>48194</v>
      </c>
      <c r="V3036" s="1" t="s">
        <v>48195</v>
      </c>
      <c r="W3036" s="1" t="s">
        <v>48196</v>
      </c>
      <c r="X3036" s="1" t="s">
        <v>27863</v>
      </c>
      <c r="Y3036" s="1" t="s">
        <v>48197</v>
      </c>
      <c r="Z3036" s="1" t="s">
        <v>27865</v>
      </c>
      <c r="AA3036" s="1" t="s">
        <v>27866</v>
      </c>
      <c r="AB3036" s="1" t="s">
        <v>48198</v>
      </c>
      <c r="AC3036" s="1" t="s">
        <v>74</v>
      </c>
      <c r="AD3036" s="1" t="s">
        <v>74</v>
      </c>
      <c r="AE3036" s="1" t="s">
        <v>74</v>
      </c>
      <c r="AF3036" s="1" t="s">
        <v>74</v>
      </c>
      <c r="AG3036" s="1">
        <v>32</v>
      </c>
      <c r="AH3036" s="1">
        <v>228</v>
      </c>
      <c r="AI3036" s="1">
        <v>272</v>
      </c>
      <c r="AJ3036" s="1">
        <v>1</v>
      </c>
      <c r="AK3036" s="1">
        <v>47</v>
      </c>
      <c r="AL3036" s="1" t="s">
        <v>136</v>
      </c>
      <c r="AM3036" s="1" t="s">
        <v>137</v>
      </c>
      <c r="AN3036" s="1" t="s">
        <v>138</v>
      </c>
      <c r="AO3036" s="1" t="s">
        <v>240</v>
      </c>
      <c r="AP3036" s="1" t="s">
        <v>241</v>
      </c>
      <c r="AQ3036" s="1" t="s">
        <v>74</v>
      </c>
      <c r="AR3036" s="1" t="s">
        <v>242</v>
      </c>
      <c r="AS3036" s="1" t="s">
        <v>243</v>
      </c>
      <c r="AT3036" s="1" t="s">
        <v>1223</v>
      </c>
      <c r="AU3036" s="1">
        <v>2003</v>
      </c>
      <c r="AV3036" s="1">
        <v>46</v>
      </c>
      <c r="AW3036" s="1">
        <v>3</v>
      </c>
      <c r="AX3036" s="1" t="s">
        <v>74</v>
      </c>
      <c r="AY3036" s="1" t="s">
        <v>74</v>
      </c>
      <c r="AZ3036" s="1" t="s">
        <v>74</v>
      </c>
      <c r="BA3036" s="1" t="s">
        <v>74</v>
      </c>
      <c r="BB3036" s="1">
        <v>324</v>
      </c>
      <c r="BC3036" s="1">
        <v>330</v>
      </c>
      <c r="BD3036" s="1" t="s">
        <v>74</v>
      </c>
      <c r="BE3036" s="1" t="s">
        <v>48199</v>
      </c>
      <c r="BF3036" s="1" t="str">
        <f>HYPERLINK("http://dx.doi.org/10.1016/S0025-326X(02)00403-4","http://dx.doi.org/10.1016/S0025-326X(02)00403-4")</f>
        <v>http://dx.doi.org/10.1016/S0025-326X(02)00403-4</v>
      </c>
      <c r="BG3036" s="1" t="s">
        <v>74</v>
      </c>
      <c r="BH3036" s="1" t="s">
        <v>74</v>
      </c>
      <c r="BI3036" s="1">
        <v>7</v>
      </c>
      <c r="BJ3036" s="1" t="s">
        <v>247</v>
      </c>
      <c r="BK3036" s="1" t="s">
        <v>96</v>
      </c>
      <c r="BL3036" s="1" t="s">
        <v>248</v>
      </c>
      <c r="BM3036" s="1" t="s">
        <v>38380</v>
      </c>
      <c r="BN3036" s="1">
        <v>12604066</v>
      </c>
      <c r="BO3036" s="1" t="s">
        <v>74</v>
      </c>
      <c r="BP3036" s="1" t="s">
        <v>74</v>
      </c>
      <c r="BQ3036" s="1" t="s">
        <v>74</v>
      </c>
      <c r="BR3036" s="1" t="s">
        <v>98</v>
      </c>
      <c r="BS3036" s="1" t="s">
        <v>48200</v>
      </c>
      <c r="BT3036" s="1" t="str">
        <f>HYPERLINK("https%3A%2F%2Fwww.webofscience.com%2Fwos%2Fwoscc%2Ffull-record%2FWOS:000181579000018","View Full Record in Web of Science")</f>
        <v>View Full Record in Web of Science</v>
      </c>
      <c r="BU3036" s="1"/>
      <c r="BV3036" s="1"/>
    </row>
    <row r="3037" spans="1:74">
      <c r="A3037" s="1" t="s">
        <v>72</v>
      </c>
      <c r="B3037" s="1" t="s">
        <v>48201</v>
      </c>
      <c r="C3037" s="1" t="s">
        <v>74</v>
      </c>
      <c r="D3037" s="1" t="s">
        <v>74</v>
      </c>
      <c r="E3037" s="1" t="s">
        <v>74</v>
      </c>
      <c r="F3037" s="1" t="s">
        <v>48202</v>
      </c>
      <c r="G3037" s="1" t="s">
        <v>74</v>
      </c>
      <c r="H3037" s="1" t="s">
        <v>74</v>
      </c>
      <c r="I3037" s="1" t="s">
        <v>48203</v>
      </c>
      <c r="J3037" s="1" t="s">
        <v>7369</v>
      </c>
      <c r="K3037" s="1" t="s">
        <v>74</v>
      </c>
      <c r="L3037" s="1" t="s">
        <v>74</v>
      </c>
      <c r="M3037" s="1" t="s">
        <v>78</v>
      </c>
      <c r="N3037" s="1" t="s">
        <v>79</v>
      </c>
      <c r="O3037" s="1" t="s">
        <v>74</v>
      </c>
      <c r="P3037" s="1" t="s">
        <v>74</v>
      </c>
      <c r="Q3037" s="1" t="s">
        <v>74</v>
      </c>
      <c r="R3037" s="1" t="s">
        <v>74</v>
      </c>
      <c r="S3037" s="1" t="s">
        <v>74</v>
      </c>
      <c r="T3037" s="1" t="s">
        <v>48204</v>
      </c>
      <c r="U3037" s="1" t="s">
        <v>48205</v>
      </c>
      <c r="V3037" s="1" t="s">
        <v>48206</v>
      </c>
      <c r="W3037" s="1" t="s">
        <v>48207</v>
      </c>
      <c r="X3037" s="1" t="s">
        <v>48208</v>
      </c>
      <c r="Y3037" s="1" t="s">
        <v>48209</v>
      </c>
      <c r="Z3037" s="1" t="s">
        <v>48210</v>
      </c>
      <c r="AA3037" s="1" t="s">
        <v>48211</v>
      </c>
      <c r="AB3037" s="1" t="s">
        <v>48212</v>
      </c>
      <c r="AC3037" s="1" t="s">
        <v>74</v>
      </c>
      <c r="AD3037" s="1" t="s">
        <v>74</v>
      </c>
      <c r="AE3037" s="1" t="s">
        <v>74</v>
      </c>
      <c r="AF3037" s="1" t="s">
        <v>74</v>
      </c>
      <c r="AG3037" s="1">
        <v>37</v>
      </c>
      <c r="AH3037" s="1">
        <v>1</v>
      </c>
      <c r="AI3037" s="1">
        <v>1</v>
      </c>
      <c r="AJ3037" s="1">
        <v>1</v>
      </c>
      <c r="AK3037" s="1">
        <v>3</v>
      </c>
      <c r="AL3037" s="1" t="s">
        <v>1566</v>
      </c>
      <c r="AM3037" s="1" t="s">
        <v>1567</v>
      </c>
      <c r="AN3037" s="1" t="s">
        <v>1568</v>
      </c>
      <c r="AO3037" s="1" t="s">
        <v>74</v>
      </c>
      <c r="AP3037" s="1" t="s">
        <v>7378</v>
      </c>
      <c r="AQ3037" s="1" t="s">
        <v>74</v>
      </c>
      <c r="AR3037" s="1" t="s">
        <v>7369</v>
      </c>
      <c r="AS3037" s="1" t="s">
        <v>7379</v>
      </c>
      <c r="AT3037" s="1" t="s">
        <v>197</v>
      </c>
      <c r="AU3037" s="1">
        <v>2022</v>
      </c>
      <c r="AV3037" s="1">
        <v>11</v>
      </c>
      <c r="AW3037" s="1">
        <v>12</v>
      </c>
      <c r="AX3037" s="1" t="s">
        <v>74</v>
      </c>
      <c r="AY3037" s="1" t="s">
        <v>74</v>
      </c>
      <c r="AZ3037" s="1" t="s">
        <v>74</v>
      </c>
      <c r="BA3037" s="1" t="s">
        <v>74</v>
      </c>
      <c r="BB3037" s="1" t="s">
        <v>74</v>
      </c>
      <c r="BC3037" s="1" t="s">
        <v>74</v>
      </c>
      <c r="BD3037" s="1">
        <v>1709</v>
      </c>
      <c r="BE3037" s="1" t="s">
        <v>48213</v>
      </c>
      <c r="BF3037" s="1" t="str">
        <f>HYPERLINK("http://dx.doi.org/10.3390/biology11121709","http://dx.doi.org/10.3390/biology11121709")</f>
        <v>http://dx.doi.org/10.3390/biology11121709</v>
      </c>
      <c r="BG3037" s="1" t="s">
        <v>74</v>
      </c>
      <c r="BH3037" s="1" t="s">
        <v>74</v>
      </c>
      <c r="BI3037" s="1">
        <v>17</v>
      </c>
      <c r="BJ3037" s="1" t="s">
        <v>171</v>
      </c>
      <c r="BK3037" s="1" t="s">
        <v>96</v>
      </c>
      <c r="BL3037" s="1" t="s">
        <v>173</v>
      </c>
      <c r="BM3037" s="1" t="s">
        <v>48214</v>
      </c>
      <c r="BN3037" s="1">
        <v>36552218</v>
      </c>
      <c r="BO3037" s="1" t="s">
        <v>2155</v>
      </c>
      <c r="BP3037" s="1" t="s">
        <v>74</v>
      </c>
      <c r="BQ3037" s="1" t="s">
        <v>74</v>
      </c>
      <c r="BR3037" s="1" t="s">
        <v>98</v>
      </c>
      <c r="BS3037" s="1" t="s">
        <v>48215</v>
      </c>
      <c r="BT3037" s="1" t="str">
        <f>HYPERLINK("https%3A%2F%2Fwww.webofscience.com%2Fwos%2Fwoscc%2Ffull-record%2FWOS:000900567900001","View Full Record in Web of Science")</f>
        <v>View Full Record in Web of Science</v>
      </c>
      <c r="BU3037" s="1"/>
      <c r="BV3037" s="1"/>
    </row>
    <row r="3038" spans="1:74">
      <c r="A3038" s="1" t="s">
        <v>72</v>
      </c>
      <c r="B3038" s="1" t="s">
        <v>48216</v>
      </c>
      <c r="C3038" s="1" t="s">
        <v>74</v>
      </c>
      <c r="D3038" s="1" t="s">
        <v>74</v>
      </c>
      <c r="E3038" s="1" t="s">
        <v>74</v>
      </c>
      <c r="F3038" s="1" t="s">
        <v>48217</v>
      </c>
      <c r="G3038" s="1" t="s">
        <v>74</v>
      </c>
      <c r="H3038" s="1" t="s">
        <v>74</v>
      </c>
      <c r="I3038" s="1" t="s">
        <v>48218</v>
      </c>
      <c r="J3038" s="1" t="s">
        <v>9383</v>
      </c>
      <c r="K3038" s="1" t="s">
        <v>74</v>
      </c>
      <c r="L3038" s="1" t="s">
        <v>74</v>
      </c>
      <c r="M3038" s="1" t="s">
        <v>78</v>
      </c>
      <c r="N3038" s="1" t="s">
        <v>79</v>
      </c>
      <c r="O3038" s="1" t="s">
        <v>74</v>
      </c>
      <c r="P3038" s="1" t="s">
        <v>74</v>
      </c>
      <c r="Q3038" s="1" t="s">
        <v>74</v>
      </c>
      <c r="R3038" s="1" t="s">
        <v>74</v>
      </c>
      <c r="S3038" s="1" t="s">
        <v>74</v>
      </c>
      <c r="T3038" s="1" t="s">
        <v>48219</v>
      </c>
      <c r="U3038" s="1" t="s">
        <v>48220</v>
      </c>
      <c r="V3038" s="1" t="s">
        <v>48221</v>
      </c>
      <c r="W3038" s="1" t="s">
        <v>48222</v>
      </c>
      <c r="X3038" s="1" t="s">
        <v>48223</v>
      </c>
      <c r="Y3038" s="1" t="s">
        <v>48224</v>
      </c>
      <c r="Z3038" s="1" t="s">
        <v>48225</v>
      </c>
      <c r="AA3038" s="1" t="s">
        <v>74</v>
      </c>
      <c r="AB3038" s="1" t="s">
        <v>48226</v>
      </c>
      <c r="AC3038" s="1" t="s">
        <v>74</v>
      </c>
      <c r="AD3038" s="1" t="s">
        <v>74</v>
      </c>
      <c r="AE3038" s="1" t="s">
        <v>74</v>
      </c>
      <c r="AF3038" s="1" t="s">
        <v>74</v>
      </c>
      <c r="AG3038" s="1">
        <v>34</v>
      </c>
      <c r="AH3038" s="1">
        <v>0</v>
      </c>
      <c r="AI3038" s="1">
        <v>0</v>
      </c>
      <c r="AJ3038" s="1">
        <v>0</v>
      </c>
      <c r="AK3038" s="1">
        <v>0</v>
      </c>
      <c r="AL3038" s="1" t="s">
        <v>9394</v>
      </c>
      <c r="AM3038" s="1" t="s">
        <v>9395</v>
      </c>
      <c r="AN3038" s="1" t="s">
        <v>9396</v>
      </c>
      <c r="AO3038" s="1" t="s">
        <v>9397</v>
      </c>
      <c r="AP3038" s="1" t="s">
        <v>74</v>
      </c>
      <c r="AQ3038" s="1" t="s">
        <v>74</v>
      </c>
      <c r="AR3038" s="1" t="s">
        <v>9398</v>
      </c>
      <c r="AS3038" s="1" t="s">
        <v>9399</v>
      </c>
      <c r="AT3038" s="1" t="s">
        <v>18563</v>
      </c>
      <c r="AU3038" s="1">
        <v>2024</v>
      </c>
      <c r="AV3038" s="1">
        <v>14</v>
      </c>
      <c r="AW3038" s="1">
        <v>1</v>
      </c>
      <c r="AX3038" s="1" t="s">
        <v>74</v>
      </c>
      <c r="AY3038" s="1" t="s">
        <v>74</v>
      </c>
      <c r="AZ3038" s="1" t="s">
        <v>74</v>
      </c>
      <c r="BA3038" s="1" t="s">
        <v>74</v>
      </c>
      <c r="BB3038" s="1" t="s">
        <v>74</v>
      </c>
      <c r="BC3038" s="1" t="s">
        <v>74</v>
      </c>
      <c r="BD3038" s="1">
        <v>18437</v>
      </c>
      <c r="BE3038" s="1" t="s">
        <v>48227</v>
      </c>
      <c r="BF3038" s="1" t="str">
        <f>HYPERLINK("http://dx.doi.org/10.1038/s41598-024-68793-x","http://dx.doi.org/10.1038/s41598-024-68793-x")</f>
        <v>http://dx.doi.org/10.1038/s41598-024-68793-x</v>
      </c>
      <c r="BG3038" s="1" t="s">
        <v>74</v>
      </c>
      <c r="BH3038" s="1" t="s">
        <v>74</v>
      </c>
      <c r="BI3038" s="1">
        <v>26</v>
      </c>
      <c r="BJ3038" s="1" t="s">
        <v>3202</v>
      </c>
      <c r="BK3038" s="1" t="s">
        <v>96</v>
      </c>
      <c r="BL3038" s="1" t="s">
        <v>3203</v>
      </c>
      <c r="BM3038" s="1" t="s">
        <v>48228</v>
      </c>
      <c r="BN3038" s="1">
        <v>39117706</v>
      </c>
      <c r="BO3038" s="1" t="s">
        <v>48229</v>
      </c>
      <c r="BP3038" s="1" t="s">
        <v>74</v>
      </c>
      <c r="BQ3038" s="1" t="s">
        <v>74</v>
      </c>
      <c r="BR3038" s="1" t="s">
        <v>98</v>
      </c>
      <c r="BS3038" s="1" t="s">
        <v>48230</v>
      </c>
      <c r="BT3038" s="1" t="str">
        <f>HYPERLINK("https%3A%2F%2Fwww.webofscience.com%2Fwos%2Fwoscc%2Ffull-record%2FWOS:001294094100074","View Full Record in Web of Science")</f>
        <v>View Full Record in Web of Science</v>
      </c>
      <c r="BU3038" s="1"/>
      <c r="BV3038" s="1"/>
    </row>
    <row r="3039" spans="1:74">
      <c r="A3039" s="1" t="s">
        <v>72</v>
      </c>
      <c r="B3039" s="1" t="s">
        <v>48231</v>
      </c>
      <c r="C3039" s="1" t="s">
        <v>74</v>
      </c>
      <c r="D3039" s="1" t="s">
        <v>74</v>
      </c>
      <c r="E3039" s="1" t="s">
        <v>74</v>
      </c>
      <c r="F3039" s="1" t="s">
        <v>48232</v>
      </c>
      <c r="G3039" s="1" t="s">
        <v>74</v>
      </c>
      <c r="H3039" s="1" t="s">
        <v>74</v>
      </c>
      <c r="I3039" s="1" t="s">
        <v>48233</v>
      </c>
      <c r="J3039" s="1" t="s">
        <v>127</v>
      </c>
      <c r="K3039" s="1" t="s">
        <v>74</v>
      </c>
      <c r="L3039" s="1" t="s">
        <v>74</v>
      </c>
      <c r="M3039" s="1" t="s">
        <v>78</v>
      </c>
      <c r="N3039" s="1" t="s">
        <v>79</v>
      </c>
      <c r="O3039" s="1" t="s">
        <v>74</v>
      </c>
      <c r="P3039" s="1" t="s">
        <v>74</v>
      </c>
      <c r="Q3039" s="1" t="s">
        <v>74</v>
      </c>
      <c r="R3039" s="1" t="s">
        <v>74</v>
      </c>
      <c r="S3039" s="1" t="s">
        <v>74</v>
      </c>
      <c r="T3039" s="1" t="s">
        <v>48234</v>
      </c>
      <c r="U3039" s="1" t="s">
        <v>48235</v>
      </c>
      <c r="V3039" s="1" t="s">
        <v>48236</v>
      </c>
      <c r="W3039" s="1" t="s">
        <v>48237</v>
      </c>
      <c r="X3039" s="1" t="s">
        <v>48238</v>
      </c>
      <c r="Y3039" s="1" t="s">
        <v>4093</v>
      </c>
      <c r="Z3039" s="1" t="s">
        <v>32720</v>
      </c>
      <c r="AA3039" s="1" t="s">
        <v>48239</v>
      </c>
      <c r="AB3039" s="1" t="s">
        <v>48240</v>
      </c>
      <c r="AC3039" s="1" t="s">
        <v>48241</v>
      </c>
      <c r="AD3039" s="1" t="s">
        <v>48242</v>
      </c>
      <c r="AE3039" s="1" t="s">
        <v>48243</v>
      </c>
      <c r="AF3039" s="1" t="s">
        <v>74</v>
      </c>
      <c r="AG3039" s="1">
        <v>96</v>
      </c>
      <c r="AH3039" s="1">
        <v>6</v>
      </c>
      <c r="AI3039" s="1">
        <v>6</v>
      </c>
      <c r="AJ3039" s="1">
        <v>5</v>
      </c>
      <c r="AK3039" s="1">
        <v>22</v>
      </c>
      <c r="AL3039" s="1" t="s">
        <v>136</v>
      </c>
      <c r="AM3039" s="1" t="s">
        <v>137</v>
      </c>
      <c r="AN3039" s="1" t="s">
        <v>138</v>
      </c>
      <c r="AO3039" s="1" t="s">
        <v>139</v>
      </c>
      <c r="AP3039" s="1" t="s">
        <v>140</v>
      </c>
      <c r="AQ3039" s="1" t="s">
        <v>74</v>
      </c>
      <c r="AR3039" s="1" t="s">
        <v>127</v>
      </c>
      <c r="AS3039" s="1" t="s">
        <v>141</v>
      </c>
      <c r="AT3039" s="1" t="s">
        <v>951</v>
      </c>
      <c r="AU3039" s="1">
        <v>2022</v>
      </c>
      <c r="AV3039" s="1">
        <v>307</v>
      </c>
      <c r="AW3039" s="1" t="s">
        <v>74</v>
      </c>
      <c r="AX3039" s="1">
        <v>4</v>
      </c>
      <c r="AY3039" s="1" t="s">
        <v>74</v>
      </c>
      <c r="AZ3039" s="1" t="s">
        <v>74</v>
      </c>
      <c r="BA3039" s="1" t="s">
        <v>74</v>
      </c>
      <c r="BB3039" s="1" t="s">
        <v>74</v>
      </c>
      <c r="BC3039" s="1" t="s">
        <v>74</v>
      </c>
      <c r="BD3039" s="1">
        <v>136009</v>
      </c>
      <c r="BE3039" s="1" t="s">
        <v>48244</v>
      </c>
      <c r="BF3039" s="1" t="str">
        <f>HYPERLINK("http://dx.doi.org/10.1016/j.chemosphere.2022.136009","http://dx.doi.org/10.1016/j.chemosphere.2022.136009")</f>
        <v>http://dx.doi.org/10.1016/j.chemosphere.2022.136009</v>
      </c>
      <c r="BG3039" s="1" t="s">
        <v>74</v>
      </c>
      <c r="BH3039" s="1" t="s">
        <v>13858</v>
      </c>
      <c r="BI3039" s="1">
        <v>10</v>
      </c>
      <c r="BJ3039" s="1" t="s">
        <v>144</v>
      </c>
      <c r="BK3039" s="1" t="s">
        <v>96</v>
      </c>
      <c r="BL3039" s="1" t="s">
        <v>145</v>
      </c>
      <c r="BM3039" s="1" t="s">
        <v>48245</v>
      </c>
      <c r="BN3039" s="1">
        <v>35977572</v>
      </c>
      <c r="BO3039" s="1" t="s">
        <v>74</v>
      </c>
      <c r="BP3039" s="1" t="s">
        <v>74</v>
      </c>
      <c r="BQ3039" s="1" t="s">
        <v>74</v>
      </c>
      <c r="BR3039" s="1" t="s">
        <v>98</v>
      </c>
      <c r="BS3039" s="1" t="s">
        <v>48246</v>
      </c>
      <c r="BT3039" s="1" t="str">
        <f>HYPERLINK("https%3A%2F%2Fwww.webofscience.com%2Fwos%2Fwoscc%2Ffull-record%2FWOS:000861086200010","View Full Record in Web of Science")</f>
        <v>View Full Record in Web of Science</v>
      </c>
      <c r="BU3039" s="1"/>
      <c r="BV3039" s="1"/>
    </row>
    <row r="3040" spans="1:74">
      <c r="A3040" s="1" t="s">
        <v>72</v>
      </c>
      <c r="B3040" s="1" t="s">
        <v>48247</v>
      </c>
      <c r="C3040" s="1" t="s">
        <v>74</v>
      </c>
      <c r="D3040" s="1" t="s">
        <v>74</v>
      </c>
      <c r="E3040" s="1" t="s">
        <v>74</v>
      </c>
      <c r="F3040" s="1" t="s">
        <v>48248</v>
      </c>
      <c r="G3040" s="1" t="s">
        <v>74</v>
      </c>
      <c r="H3040" s="1" t="s">
        <v>74</v>
      </c>
      <c r="I3040" s="1" t="s">
        <v>48249</v>
      </c>
      <c r="J3040" s="1" t="s">
        <v>704</v>
      </c>
      <c r="K3040" s="1" t="s">
        <v>74</v>
      </c>
      <c r="L3040" s="1" t="s">
        <v>74</v>
      </c>
      <c r="M3040" s="1" t="s">
        <v>78</v>
      </c>
      <c r="N3040" s="1" t="s">
        <v>79</v>
      </c>
      <c r="O3040" s="1" t="s">
        <v>74</v>
      </c>
      <c r="P3040" s="1" t="s">
        <v>74</v>
      </c>
      <c r="Q3040" s="1" t="s">
        <v>74</v>
      </c>
      <c r="R3040" s="1" t="s">
        <v>74</v>
      </c>
      <c r="S3040" s="1" t="s">
        <v>74</v>
      </c>
      <c r="T3040" s="1" t="s">
        <v>48250</v>
      </c>
      <c r="U3040" s="1" t="s">
        <v>48251</v>
      </c>
      <c r="V3040" s="1" t="s">
        <v>48252</v>
      </c>
      <c r="W3040" s="1" t="s">
        <v>48253</v>
      </c>
      <c r="X3040" s="1" t="s">
        <v>48254</v>
      </c>
      <c r="Y3040" s="1" t="s">
        <v>48255</v>
      </c>
      <c r="Z3040" s="1" t="s">
        <v>48256</v>
      </c>
      <c r="AA3040" s="1" t="s">
        <v>74</v>
      </c>
      <c r="AB3040" s="1" t="s">
        <v>48257</v>
      </c>
      <c r="AC3040" s="1" t="s">
        <v>48258</v>
      </c>
      <c r="AD3040" s="1" t="s">
        <v>48258</v>
      </c>
      <c r="AE3040" s="1" t="s">
        <v>48259</v>
      </c>
      <c r="AF3040" s="1" t="s">
        <v>74</v>
      </c>
      <c r="AG3040" s="1">
        <v>63</v>
      </c>
      <c r="AH3040" s="1">
        <v>4</v>
      </c>
      <c r="AI3040" s="1">
        <v>4</v>
      </c>
      <c r="AJ3040" s="1">
        <v>3</v>
      </c>
      <c r="AK3040" s="1">
        <v>34</v>
      </c>
      <c r="AL3040" s="1" t="s">
        <v>1166</v>
      </c>
      <c r="AM3040" s="1" t="s">
        <v>1167</v>
      </c>
      <c r="AN3040" s="1" t="s">
        <v>1168</v>
      </c>
      <c r="AO3040" s="1" t="s">
        <v>718</v>
      </c>
      <c r="AP3040" s="1" t="s">
        <v>1169</v>
      </c>
      <c r="AQ3040" s="1" t="s">
        <v>74</v>
      </c>
      <c r="AR3040" s="1" t="s">
        <v>719</v>
      </c>
      <c r="AS3040" s="1" t="s">
        <v>720</v>
      </c>
      <c r="AT3040" s="1" t="s">
        <v>267</v>
      </c>
      <c r="AU3040" s="1">
        <v>2021</v>
      </c>
      <c r="AV3040" s="1">
        <v>232</v>
      </c>
      <c r="AW3040" s="1">
        <v>10</v>
      </c>
      <c r="AX3040" s="1" t="s">
        <v>74</v>
      </c>
      <c r="AY3040" s="1" t="s">
        <v>74</v>
      </c>
      <c r="AZ3040" s="1" t="s">
        <v>74</v>
      </c>
      <c r="BA3040" s="1" t="s">
        <v>74</v>
      </c>
      <c r="BB3040" s="1" t="s">
        <v>74</v>
      </c>
      <c r="BC3040" s="1" t="s">
        <v>74</v>
      </c>
      <c r="BD3040" s="1">
        <v>400</v>
      </c>
      <c r="BE3040" s="1" t="s">
        <v>48260</v>
      </c>
      <c r="BF3040" s="1" t="str">
        <f>HYPERLINK("http://dx.doi.org/10.1007/s11270-021-05352-4","http://dx.doi.org/10.1007/s11270-021-05352-4")</f>
        <v>http://dx.doi.org/10.1007/s11270-021-05352-4</v>
      </c>
      <c r="BG3040" s="1" t="s">
        <v>74</v>
      </c>
      <c r="BH3040" s="1" t="s">
        <v>74</v>
      </c>
      <c r="BI3040" s="1">
        <v>18</v>
      </c>
      <c r="BJ3040" s="1" t="s">
        <v>722</v>
      </c>
      <c r="BK3040" s="1" t="s">
        <v>11915</v>
      </c>
      <c r="BL3040" s="1" t="s">
        <v>723</v>
      </c>
      <c r="BM3040" s="1" t="s">
        <v>48261</v>
      </c>
      <c r="BN3040" s="1" t="s">
        <v>74</v>
      </c>
      <c r="BO3040" s="1" t="s">
        <v>74</v>
      </c>
      <c r="BP3040" s="1" t="s">
        <v>74</v>
      </c>
      <c r="BQ3040" s="1" t="s">
        <v>74</v>
      </c>
      <c r="BR3040" s="1" t="s">
        <v>98</v>
      </c>
      <c r="BS3040" s="1" t="s">
        <v>48262</v>
      </c>
      <c r="BT3040" s="1" t="str">
        <f>HYPERLINK("https%3A%2F%2Fwww.webofscience.com%2Fwos%2Fwoscc%2Ffull-record%2FWOS:000698669500001","View Full Record in Web of Science")</f>
        <v>View Full Record in Web of Science</v>
      </c>
      <c r="BU3040" s="1"/>
      <c r="BV3040" s="1"/>
    </row>
    <row r="3041" spans="1:74">
      <c r="A3041" s="1" t="s">
        <v>72</v>
      </c>
      <c r="B3041" s="1" t="s">
        <v>48263</v>
      </c>
      <c r="C3041" s="1" t="s">
        <v>74</v>
      </c>
      <c r="D3041" s="1" t="s">
        <v>74</v>
      </c>
      <c r="E3041" s="1" t="s">
        <v>74</v>
      </c>
      <c r="F3041" s="1" t="s">
        <v>48264</v>
      </c>
      <c r="G3041" s="1" t="s">
        <v>74</v>
      </c>
      <c r="H3041" s="1" t="s">
        <v>74</v>
      </c>
      <c r="I3041" s="1" t="s">
        <v>48265</v>
      </c>
      <c r="J3041" s="1" t="s">
        <v>204</v>
      </c>
      <c r="K3041" s="1" t="s">
        <v>74</v>
      </c>
      <c r="L3041" s="1" t="s">
        <v>74</v>
      </c>
      <c r="M3041" s="1" t="s">
        <v>78</v>
      </c>
      <c r="N3041" s="1" t="s">
        <v>2873</v>
      </c>
      <c r="O3041" s="1" t="s">
        <v>74</v>
      </c>
      <c r="P3041" s="1" t="s">
        <v>74</v>
      </c>
      <c r="Q3041" s="1" t="s">
        <v>74</v>
      </c>
      <c r="R3041" s="1" t="s">
        <v>74</v>
      </c>
      <c r="S3041" s="1" t="s">
        <v>74</v>
      </c>
      <c r="T3041" s="1" t="s">
        <v>48266</v>
      </c>
      <c r="U3041" s="1" t="s">
        <v>48267</v>
      </c>
      <c r="V3041" s="1" t="s">
        <v>48268</v>
      </c>
      <c r="W3041" s="1" t="s">
        <v>48269</v>
      </c>
      <c r="X3041" s="1" t="s">
        <v>48270</v>
      </c>
      <c r="Y3041" s="1" t="s">
        <v>48271</v>
      </c>
      <c r="Z3041" s="1" t="s">
        <v>48272</v>
      </c>
      <c r="AA3041" s="1" t="s">
        <v>48273</v>
      </c>
      <c r="AB3041" s="1" t="s">
        <v>74</v>
      </c>
      <c r="AC3041" s="1" t="s">
        <v>48274</v>
      </c>
      <c r="AD3041" s="1" t="s">
        <v>48275</v>
      </c>
      <c r="AE3041" s="1" t="s">
        <v>48276</v>
      </c>
      <c r="AF3041" s="1" t="s">
        <v>74</v>
      </c>
      <c r="AG3041" s="1">
        <v>56</v>
      </c>
      <c r="AH3041" s="1">
        <v>0</v>
      </c>
      <c r="AI3041" s="1">
        <v>0</v>
      </c>
      <c r="AJ3041" s="1">
        <v>7</v>
      </c>
      <c r="AK3041" s="1">
        <v>9</v>
      </c>
      <c r="AL3041" s="1" t="s">
        <v>217</v>
      </c>
      <c r="AM3041" s="1" t="s">
        <v>218</v>
      </c>
      <c r="AN3041" s="1" t="s">
        <v>219</v>
      </c>
      <c r="AO3041" s="1" t="s">
        <v>220</v>
      </c>
      <c r="AP3041" s="1" t="s">
        <v>221</v>
      </c>
      <c r="AQ3041" s="1" t="s">
        <v>74</v>
      </c>
      <c r="AR3041" s="1" t="s">
        <v>222</v>
      </c>
      <c r="AS3041" s="1" t="s">
        <v>223</v>
      </c>
      <c r="AT3041" s="1" t="s">
        <v>48277</v>
      </c>
      <c r="AU3041" s="1">
        <v>2024</v>
      </c>
      <c r="AV3041" s="1" t="s">
        <v>74</v>
      </c>
      <c r="AW3041" s="1" t="s">
        <v>74</v>
      </c>
      <c r="AX3041" s="1" t="s">
        <v>74</v>
      </c>
      <c r="AY3041" s="1" t="s">
        <v>74</v>
      </c>
      <c r="AZ3041" s="1" t="s">
        <v>74</v>
      </c>
      <c r="BA3041" s="1" t="s">
        <v>74</v>
      </c>
      <c r="BB3041" s="1" t="s">
        <v>74</v>
      </c>
      <c r="BC3041" s="1" t="s">
        <v>74</v>
      </c>
      <c r="BD3041" s="1" t="s">
        <v>74</v>
      </c>
      <c r="BE3041" s="1" t="s">
        <v>48278</v>
      </c>
      <c r="BF3041" s="1" t="str">
        <f>HYPERLINK("http://dx.doi.org/10.1007/s11356-024-32635-0","http://dx.doi.org/10.1007/s11356-024-32635-0")</f>
        <v>http://dx.doi.org/10.1007/s11356-024-32635-0</v>
      </c>
      <c r="BG3041" s="1" t="s">
        <v>74</v>
      </c>
      <c r="BH3041" s="1" t="s">
        <v>2782</v>
      </c>
      <c r="BI3041" s="1">
        <v>15</v>
      </c>
      <c r="BJ3041" s="1" t="s">
        <v>144</v>
      </c>
      <c r="BK3041" s="1" t="s">
        <v>96</v>
      </c>
      <c r="BL3041" s="1" t="s">
        <v>145</v>
      </c>
      <c r="BM3041" s="1" t="s">
        <v>48279</v>
      </c>
      <c r="BN3041" s="1">
        <v>38407712</v>
      </c>
      <c r="BO3041" s="1" t="s">
        <v>74</v>
      </c>
      <c r="BP3041" s="1" t="s">
        <v>74</v>
      </c>
      <c r="BQ3041" s="1" t="s">
        <v>74</v>
      </c>
      <c r="BR3041" s="1" t="s">
        <v>98</v>
      </c>
      <c r="BS3041" s="1" t="s">
        <v>48280</v>
      </c>
      <c r="BT3041" s="1" t="str">
        <f>HYPERLINK("https%3A%2F%2Fwww.webofscience.com%2Fwos%2Fwoscc%2Ffull-record%2FWOS:001173086700010","View Full Record in Web of Science")</f>
        <v>View Full Record in Web of Science</v>
      </c>
      <c r="BU3041" s="1"/>
      <c r="BV3041" s="1"/>
    </row>
    <row r="3042" spans="1:74">
      <c r="A3042" s="1" t="s">
        <v>72</v>
      </c>
      <c r="B3042" s="1" t="s">
        <v>48281</v>
      </c>
      <c r="C3042" s="1" t="s">
        <v>74</v>
      </c>
      <c r="D3042" s="1" t="s">
        <v>74</v>
      </c>
      <c r="E3042" s="1" t="s">
        <v>74</v>
      </c>
      <c r="F3042" s="1" t="s">
        <v>48282</v>
      </c>
      <c r="G3042" s="1" t="s">
        <v>74</v>
      </c>
      <c r="H3042" s="1" t="s">
        <v>74</v>
      </c>
      <c r="I3042" s="1" t="s">
        <v>48283</v>
      </c>
      <c r="J3042" s="1" t="s">
        <v>11045</v>
      </c>
      <c r="K3042" s="1" t="s">
        <v>74</v>
      </c>
      <c r="L3042" s="1" t="s">
        <v>74</v>
      </c>
      <c r="M3042" s="1" t="s">
        <v>78</v>
      </c>
      <c r="N3042" s="1" t="s">
        <v>79</v>
      </c>
      <c r="O3042" s="1" t="s">
        <v>74</v>
      </c>
      <c r="P3042" s="1" t="s">
        <v>74</v>
      </c>
      <c r="Q3042" s="1" t="s">
        <v>74</v>
      </c>
      <c r="R3042" s="1" t="s">
        <v>74</v>
      </c>
      <c r="S3042" s="1" t="s">
        <v>74</v>
      </c>
      <c r="T3042" s="1" t="s">
        <v>74</v>
      </c>
      <c r="U3042" s="1" t="s">
        <v>48284</v>
      </c>
      <c r="V3042" s="1" t="s">
        <v>48285</v>
      </c>
      <c r="W3042" s="1" t="s">
        <v>48286</v>
      </c>
      <c r="X3042" s="1" t="s">
        <v>48287</v>
      </c>
      <c r="Y3042" s="1" t="s">
        <v>48288</v>
      </c>
      <c r="Z3042" s="1" t="s">
        <v>48289</v>
      </c>
      <c r="AA3042" s="1" t="s">
        <v>74</v>
      </c>
      <c r="AB3042" s="1" t="s">
        <v>74</v>
      </c>
      <c r="AC3042" s="1" t="s">
        <v>48287</v>
      </c>
      <c r="AD3042" s="1" t="s">
        <v>48287</v>
      </c>
      <c r="AE3042" s="1" t="s">
        <v>48290</v>
      </c>
      <c r="AF3042" s="1" t="s">
        <v>74</v>
      </c>
      <c r="AG3042" s="1">
        <v>61</v>
      </c>
      <c r="AH3042" s="1">
        <v>17</v>
      </c>
      <c r="AI3042" s="1">
        <v>18</v>
      </c>
      <c r="AJ3042" s="1">
        <v>0</v>
      </c>
      <c r="AK3042" s="1">
        <v>32</v>
      </c>
      <c r="AL3042" s="1" t="s">
        <v>11056</v>
      </c>
      <c r="AM3042" s="1" t="s">
        <v>11057</v>
      </c>
      <c r="AN3042" s="1" t="s">
        <v>11058</v>
      </c>
      <c r="AO3042" s="1" t="s">
        <v>11059</v>
      </c>
      <c r="AP3042" s="1" t="s">
        <v>74</v>
      </c>
      <c r="AQ3042" s="1" t="s">
        <v>74</v>
      </c>
      <c r="AR3042" s="1" t="s">
        <v>11045</v>
      </c>
      <c r="AS3042" s="1" t="s">
        <v>11060</v>
      </c>
      <c r="AT3042" s="1" t="s">
        <v>33045</v>
      </c>
      <c r="AU3042" s="1">
        <v>2012</v>
      </c>
      <c r="AV3042" s="1">
        <v>7</v>
      </c>
      <c r="AW3042" s="1">
        <v>11</v>
      </c>
      <c r="AX3042" s="1" t="s">
        <v>74</v>
      </c>
      <c r="AY3042" s="1" t="s">
        <v>74</v>
      </c>
      <c r="AZ3042" s="1" t="s">
        <v>74</v>
      </c>
      <c r="BA3042" s="1" t="s">
        <v>74</v>
      </c>
      <c r="BB3042" s="1" t="s">
        <v>74</v>
      </c>
      <c r="BC3042" s="1" t="s">
        <v>74</v>
      </c>
      <c r="BD3042" s="1" t="s">
        <v>48291</v>
      </c>
      <c r="BE3042" s="1" t="s">
        <v>48292</v>
      </c>
      <c r="BF3042" s="1" t="str">
        <f>HYPERLINK("http://dx.doi.org/10.1371/journal.pone.0050861","http://dx.doi.org/10.1371/journal.pone.0050861")</f>
        <v>http://dx.doi.org/10.1371/journal.pone.0050861</v>
      </c>
      <c r="BG3042" s="1" t="s">
        <v>74</v>
      </c>
      <c r="BH3042" s="1" t="s">
        <v>74</v>
      </c>
      <c r="BI3042" s="1">
        <v>10</v>
      </c>
      <c r="BJ3042" s="1" t="s">
        <v>3202</v>
      </c>
      <c r="BK3042" s="1" t="s">
        <v>96</v>
      </c>
      <c r="BL3042" s="1" t="s">
        <v>3203</v>
      </c>
      <c r="BM3042" s="1" t="s">
        <v>48293</v>
      </c>
      <c r="BN3042" s="1">
        <v>23226407</v>
      </c>
      <c r="BO3042" s="1" t="s">
        <v>5306</v>
      </c>
      <c r="BP3042" s="1" t="s">
        <v>74</v>
      </c>
      <c r="BQ3042" s="1" t="s">
        <v>74</v>
      </c>
      <c r="BR3042" s="1" t="s">
        <v>98</v>
      </c>
      <c r="BS3042" s="1" t="s">
        <v>48294</v>
      </c>
      <c r="BT3042" s="1" t="str">
        <f>HYPERLINK("https%3A%2F%2Fwww.webofscience.com%2Fwos%2Fwoscc%2Ffull-record%2FWOS:000312376100218","View Full Record in Web of Science")</f>
        <v>View Full Record in Web of Science</v>
      </c>
      <c r="BU3042" s="1"/>
      <c r="BV3042" s="1"/>
    </row>
    <row r="3043" spans="1:74">
      <c r="A3043" s="1" t="s">
        <v>72</v>
      </c>
      <c r="B3043" s="1" t="s">
        <v>48295</v>
      </c>
      <c r="C3043" s="1" t="s">
        <v>74</v>
      </c>
      <c r="D3043" s="1" t="s">
        <v>74</v>
      </c>
      <c r="E3043" s="1" t="s">
        <v>74</v>
      </c>
      <c r="F3043" s="1" t="s">
        <v>48296</v>
      </c>
      <c r="G3043" s="1" t="s">
        <v>74</v>
      </c>
      <c r="H3043" s="1" t="s">
        <v>74</v>
      </c>
      <c r="I3043" s="1" t="s">
        <v>48297</v>
      </c>
      <c r="J3043" s="1" t="s">
        <v>232</v>
      </c>
      <c r="K3043" s="1" t="s">
        <v>74</v>
      </c>
      <c r="L3043" s="1" t="s">
        <v>74</v>
      </c>
      <c r="M3043" s="1" t="s">
        <v>78</v>
      </c>
      <c r="N3043" s="1" t="s">
        <v>79</v>
      </c>
      <c r="O3043" s="1" t="s">
        <v>74</v>
      </c>
      <c r="P3043" s="1" t="s">
        <v>74</v>
      </c>
      <c r="Q3043" s="1" t="s">
        <v>74</v>
      </c>
      <c r="R3043" s="1" t="s">
        <v>74</v>
      </c>
      <c r="S3043" s="1" t="s">
        <v>74</v>
      </c>
      <c r="T3043" s="1" t="s">
        <v>48298</v>
      </c>
      <c r="U3043" s="1" t="s">
        <v>48299</v>
      </c>
      <c r="V3043" s="1" t="s">
        <v>48300</v>
      </c>
      <c r="W3043" s="1" t="s">
        <v>48301</v>
      </c>
      <c r="X3043" s="1" t="s">
        <v>48302</v>
      </c>
      <c r="Y3043" s="1" t="s">
        <v>48303</v>
      </c>
      <c r="Z3043" s="1" t="s">
        <v>48304</v>
      </c>
      <c r="AA3043" s="1" t="s">
        <v>74</v>
      </c>
      <c r="AB3043" s="1" t="s">
        <v>74</v>
      </c>
      <c r="AC3043" s="1" t="s">
        <v>48305</v>
      </c>
      <c r="AD3043" s="1" t="s">
        <v>48306</v>
      </c>
      <c r="AE3043" s="1" t="s">
        <v>48307</v>
      </c>
      <c r="AF3043" s="1" t="s">
        <v>74</v>
      </c>
      <c r="AG3043" s="1">
        <v>42</v>
      </c>
      <c r="AH3043" s="1">
        <v>22</v>
      </c>
      <c r="AI3043" s="1">
        <v>23</v>
      </c>
      <c r="AJ3043" s="1">
        <v>0</v>
      </c>
      <c r="AK3043" s="1">
        <v>31</v>
      </c>
      <c r="AL3043" s="1" t="s">
        <v>136</v>
      </c>
      <c r="AM3043" s="1" t="s">
        <v>137</v>
      </c>
      <c r="AN3043" s="1" t="s">
        <v>138</v>
      </c>
      <c r="AO3043" s="1" t="s">
        <v>240</v>
      </c>
      <c r="AP3043" s="1" t="s">
        <v>241</v>
      </c>
      <c r="AQ3043" s="1" t="s">
        <v>74</v>
      </c>
      <c r="AR3043" s="1" t="s">
        <v>242</v>
      </c>
      <c r="AS3043" s="1" t="s">
        <v>243</v>
      </c>
      <c r="AT3043" s="1" t="s">
        <v>197</v>
      </c>
      <c r="AU3043" s="1">
        <v>2011</v>
      </c>
      <c r="AV3043" s="1">
        <v>62</v>
      </c>
      <c r="AW3043" s="1">
        <v>12</v>
      </c>
      <c r="AX3043" s="1" t="s">
        <v>74</v>
      </c>
      <c r="AY3043" s="1" t="s">
        <v>74</v>
      </c>
      <c r="AZ3043" s="1" t="s">
        <v>74</v>
      </c>
      <c r="BA3043" s="1" t="s">
        <v>74</v>
      </c>
      <c r="BB3043" s="1">
        <v>2707</v>
      </c>
      <c r="BC3043" s="1">
        <v>2713</v>
      </c>
      <c r="BD3043" s="1" t="s">
        <v>74</v>
      </c>
      <c r="BE3043" s="1" t="s">
        <v>48308</v>
      </c>
      <c r="BF3043" s="1" t="str">
        <f>HYPERLINK("http://dx.doi.org/10.1016/j.marpolbul.2011.09.017","http://dx.doi.org/10.1016/j.marpolbul.2011.09.017")</f>
        <v>http://dx.doi.org/10.1016/j.marpolbul.2011.09.017</v>
      </c>
      <c r="BG3043" s="1" t="s">
        <v>74</v>
      </c>
      <c r="BH3043" s="1" t="s">
        <v>74</v>
      </c>
      <c r="BI3043" s="1">
        <v>7</v>
      </c>
      <c r="BJ3043" s="1" t="s">
        <v>247</v>
      </c>
      <c r="BK3043" s="1" t="s">
        <v>96</v>
      </c>
      <c r="BL3043" s="1" t="s">
        <v>248</v>
      </c>
      <c r="BM3043" s="1" t="s">
        <v>18453</v>
      </c>
      <c r="BN3043" s="1">
        <v>22041497</v>
      </c>
      <c r="BO3043" s="1" t="s">
        <v>74</v>
      </c>
      <c r="BP3043" s="1" t="s">
        <v>74</v>
      </c>
      <c r="BQ3043" s="1" t="s">
        <v>74</v>
      </c>
      <c r="BR3043" s="1" t="s">
        <v>98</v>
      </c>
      <c r="BS3043" s="1" t="s">
        <v>48309</v>
      </c>
      <c r="BT3043" s="1" t="str">
        <f>HYPERLINK("https%3A%2F%2Fwww.webofscience.com%2Fwos%2Fwoscc%2Ffull-record%2FWOS:000298520400030","View Full Record in Web of Science")</f>
        <v>View Full Record in Web of Science</v>
      </c>
      <c r="BU3043" s="1"/>
      <c r="BV3043" s="1"/>
    </row>
    <row r="3044" spans="1:74">
      <c r="A3044" s="1" t="s">
        <v>72</v>
      </c>
      <c r="B3044" s="1" t="s">
        <v>48310</v>
      </c>
      <c r="C3044" s="1" t="s">
        <v>74</v>
      </c>
      <c r="D3044" s="1" t="s">
        <v>74</v>
      </c>
      <c r="E3044" s="1" t="s">
        <v>74</v>
      </c>
      <c r="F3044" s="1" t="s">
        <v>48311</v>
      </c>
      <c r="G3044" s="1" t="s">
        <v>74</v>
      </c>
      <c r="H3044" s="1" t="s">
        <v>74</v>
      </c>
      <c r="I3044" s="1" t="s">
        <v>48312</v>
      </c>
      <c r="J3044" s="1" t="s">
        <v>909</v>
      </c>
      <c r="K3044" s="1" t="s">
        <v>74</v>
      </c>
      <c r="L3044" s="1" t="s">
        <v>74</v>
      </c>
      <c r="M3044" s="1" t="s">
        <v>78</v>
      </c>
      <c r="N3044" s="1" t="s">
        <v>79</v>
      </c>
      <c r="O3044" s="1" t="s">
        <v>74</v>
      </c>
      <c r="P3044" s="1" t="s">
        <v>74</v>
      </c>
      <c r="Q3044" s="1" t="s">
        <v>74</v>
      </c>
      <c r="R3044" s="1" t="s">
        <v>74</v>
      </c>
      <c r="S3044" s="1" t="s">
        <v>74</v>
      </c>
      <c r="T3044" s="1" t="s">
        <v>48313</v>
      </c>
      <c r="U3044" s="1" t="s">
        <v>48314</v>
      </c>
      <c r="V3044" s="1" t="s">
        <v>48315</v>
      </c>
      <c r="W3044" s="1" t="s">
        <v>48316</v>
      </c>
      <c r="X3044" s="1" t="s">
        <v>48317</v>
      </c>
      <c r="Y3044" s="1" t="s">
        <v>48318</v>
      </c>
      <c r="Z3044" s="1" t="s">
        <v>48319</v>
      </c>
      <c r="AA3044" s="1" t="s">
        <v>74</v>
      </c>
      <c r="AB3044" s="1" t="s">
        <v>48320</v>
      </c>
      <c r="AC3044" s="1" t="s">
        <v>48321</v>
      </c>
      <c r="AD3044" s="1" t="s">
        <v>34993</v>
      </c>
      <c r="AE3044" s="1" t="s">
        <v>48322</v>
      </c>
      <c r="AF3044" s="1" t="s">
        <v>74</v>
      </c>
      <c r="AG3044" s="1">
        <v>102</v>
      </c>
      <c r="AH3044" s="1">
        <v>8</v>
      </c>
      <c r="AI3044" s="1">
        <v>9</v>
      </c>
      <c r="AJ3044" s="1">
        <v>1</v>
      </c>
      <c r="AK3044" s="1">
        <v>24</v>
      </c>
      <c r="AL3044" s="1" t="s">
        <v>650</v>
      </c>
      <c r="AM3044" s="1" t="s">
        <v>651</v>
      </c>
      <c r="AN3044" s="1" t="s">
        <v>652</v>
      </c>
      <c r="AO3044" s="1" t="s">
        <v>921</v>
      </c>
      <c r="AP3044" s="1" t="s">
        <v>922</v>
      </c>
      <c r="AQ3044" s="1" t="s">
        <v>74</v>
      </c>
      <c r="AR3044" s="1" t="s">
        <v>923</v>
      </c>
      <c r="AS3044" s="1" t="s">
        <v>924</v>
      </c>
      <c r="AT3044" s="1" t="s">
        <v>5237</v>
      </c>
      <c r="AU3044" s="1">
        <v>2021</v>
      </c>
      <c r="AV3044" s="1">
        <v>756</v>
      </c>
      <c r="AW3044" s="1" t="s">
        <v>74</v>
      </c>
      <c r="AX3044" s="1" t="s">
        <v>74</v>
      </c>
      <c r="AY3044" s="1" t="s">
        <v>74</v>
      </c>
      <c r="AZ3044" s="1" t="s">
        <v>74</v>
      </c>
      <c r="BA3044" s="1" t="s">
        <v>74</v>
      </c>
      <c r="BB3044" s="1" t="s">
        <v>74</v>
      </c>
      <c r="BC3044" s="1" t="s">
        <v>74</v>
      </c>
      <c r="BD3044" s="1">
        <v>143675</v>
      </c>
      <c r="BE3044" s="1" t="s">
        <v>48323</v>
      </c>
      <c r="BF3044" s="1" t="str">
        <f>HYPERLINK("http://dx.doi.org/10.1016/j.scitotenv.2020.143675","http://dx.doi.org/10.1016/j.scitotenv.2020.143675")</f>
        <v>http://dx.doi.org/10.1016/j.scitotenv.2020.143675</v>
      </c>
      <c r="BG3044" s="1" t="s">
        <v>74</v>
      </c>
      <c r="BH3044" s="1" t="s">
        <v>74</v>
      </c>
      <c r="BI3044" s="1">
        <v>11</v>
      </c>
      <c r="BJ3044" s="1" t="s">
        <v>144</v>
      </c>
      <c r="BK3044" s="1" t="s">
        <v>96</v>
      </c>
      <c r="BL3044" s="1" t="s">
        <v>145</v>
      </c>
      <c r="BM3044" s="1" t="s">
        <v>42846</v>
      </c>
      <c r="BN3044" s="1">
        <v>33310214</v>
      </c>
      <c r="BO3044" s="1" t="s">
        <v>18961</v>
      </c>
      <c r="BP3044" s="1" t="s">
        <v>74</v>
      </c>
      <c r="BQ3044" s="1" t="s">
        <v>74</v>
      </c>
      <c r="BR3044" s="1" t="s">
        <v>98</v>
      </c>
      <c r="BS3044" s="1" t="s">
        <v>48324</v>
      </c>
      <c r="BT3044" s="1" t="str">
        <f>HYPERLINK("https%3A%2F%2Fwww.webofscience.com%2Fwos%2Fwoscc%2Ffull-record%2FWOS:000603487500023","View Full Record in Web of Science")</f>
        <v>View Full Record in Web of Science</v>
      </c>
      <c r="BU3044" s="1"/>
      <c r="BV3044" s="1"/>
    </row>
    <row r="3045" spans="1:74">
      <c r="A3045" s="1" t="s">
        <v>72</v>
      </c>
      <c r="B3045" s="1" t="s">
        <v>48325</v>
      </c>
      <c r="C3045" s="1" t="s">
        <v>74</v>
      </c>
      <c r="D3045" s="1" t="s">
        <v>74</v>
      </c>
      <c r="E3045" s="1" t="s">
        <v>74</v>
      </c>
      <c r="F3045" s="1" t="s">
        <v>48326</v>
      </c>
      <c r="G3045" s="1" t="s">
        <v>74</v>
      </c>
      <c r="H3045" s="1" t="s">
        <v>74</v>
      </c>
      <c r="I3045" s="1" t="s">
        <v>48327</v>
      </c>
      <c r="J3045" s="1" t="s">
        <v>421</v>
      </c>
      <c r="K3045" s="1" t="s">
        <v>74</v>
      </c>
      <c r="L3045" s="1" t="s">
        <v>74</v>
      </c>
      <c r="M3045" s="1" t="s">
        <v>78</v>
      </c>
      <c r="N3045" s="1" t="s">
        <v>79</v>
      </c>
      <c r="O3045" s="1" t="s">
        <v>74</v>
      </c>
      <c r="P3045" s="1" t="s">
        <v>74</v>
      </c>
      <c r="Q3045" s="1" t="s">
        <v>74</v>
      </c>
      <c r="R3045" s="1" t="s">
        <v>74</v>
      </c>
      <c r="S3045" s="1" t="s">
        <v>74</v>
      </c>
      <c r="T3045" s="1" t="s">
        <v>48328</v>
      </c>
      <c r="U3045" s="1" t="s">
        <v>48329</v>
      </c>
      <c r="V3045" s="1" t="s">
        <v>48330</v>
      </c>
      <c r="W3045" s="1" t="s">
        <v>48331</v>
      </c>
      <c r="X3045" s="1" t="s">
        <v>48332</v>
      </c>
      <c r="Y3045" s="1" t="s">
        <v>48333</v>
      </c>
      <c r="Z3045" s="1" t="s">
        <v>48334</v>
      </c>
      <c r="AA3045" s="1" t="s">
        <v>22498</v>
      </c>
      <c r="AB3045" s="1" t="s">
        <v>48335</v>
      </c>
      <c r="AC3045" s="1" t="s">
        <v>48336</v>
      </c>
      <c r="AD3045" s="1" t="s">
        <v>48337</v>
      </c>
      <c r="AE3045" s="1" t="s">
        <v>48338</v>
      </c>
      <c r="AF3045" s="1" t="s">
        <v>74</v>
      </c>
      <c r="AG3045" s="1">
        <v>39</v>
      </c>
      <c r="AH3045" s="1">
        <v>29</v>
      </c>
      <c r="AI3045" s="1">
        <v>30</v>
      </c>
      <c r="AJ3045" s="1">
        <v>0</v>
      </c>
      <c r="AK3045" s="1">
        <v>30</v>
      </c>
      <c r="AL3045" s="1" t="s">
        <v>430</v>
      </c>
      <c r="AM3045" s="1" t="s">
        <v>137</v>
      </c>
      <c r="AN3045" s="1" t="s">
        <v>431</v>
      </c>
      <c r="AO3045" s="1" t="s">
        <v>432</v>
      </c>
      <c r="AP3045" s="1" t="s">
        <v>1394</v>
      </c>
      <c r="AQ3045" s="1" t="s">
        <v>74</v>
      </c>
      <c r="AR3045" s="1" t="s">
        <v>433</v>
      </c>
      <c r="AS3045" s="1" t="s">
        <v>434</v>
      </c>
      <c r="AT3045" s="1" t="s">
        <v>305</v>
      </c>
      <c r="AU3045" s="1">
        <v>2015</v>
      </c>
      <c r="AV3045" s="1">
        <v>204</v>
      </c>
      <c r="AW3045" s="1" t="s">
        <v>74</v>
      </c>
      <c r="AX3045" s="1" t="s">
        <v>74</v>
      </c>
      <c r="AY3045" s="1" t="s">
        <v>74</v>
      </c>
      <c r="AZ3045" s="1" t="s">
        <v>74</v>
      </c>
      <c r="BA3045" s="1" t="s">
        <v>74</v>
      </c>
      <c r="BB3045" s="1">
        <v>48</v>
      </c>
      <c r="BC3045" s="1">
        <v>57</v>
      </c>
      <c r="BD3045" s="1" t="s">
        <v>74</v>
      </c>
      <c r="BE3045" s="1" t="s">
        <v>48339</v>
      </c>
      <c r="BF3045" s="1" t="str">
        <f>HYPERLINK("http://dx.doi.org/10.1016/j.envpol.2015.03.048","http://dx.doi.org/10.1016/j.envpol.2015.03.048")</f>
        <v>http://dx.doi.org/10.1016/j.envpol.2015.03.048</v>
      </c>
      <c r="BG3045" s="1" t="s">
        <v>74</v>
      </c>
      <c r="BH3045" s="1" t="s">
        <v>74</v>
      </c>
      <c r="BI3045" s="1">
        <v>10</v>
      </c>
      <c r="BJ3045" s="1" t="s">
        <v>144</v>
      </c>
      <c r="BK3045" s="1" t="s">
        <v>96</v>
      </c>
      <c r="BL3045" s="1" t="s">
        <v>145</v>
      </c>
      <c r="BM3045" s="1" t="s">
        <v>13743</v>
      </c>
      <c r="BN3045" s="1">
        <v>25912886</v>
      </c>
      <c r="BO3045" s="1" t="s">
        <v>74</v>
      </c>
      <c r="BP3045" s="1" t="s">
        <v>74</v>
      </c>
      <c r="BQ3045" s="1" t="s">
        <v>74</v>
      </c>
      <c r="BR3045" s="1" t="s">
        <v>98</v>
      </c>
      <c r="BS3045" s="1" t="s">
        <v>48340</v>
      </c>
      <c r="BT3045" s="1" t="str">
        <f>HYPERLINK("https%3A%2F%2Fwww.webofscience.com%2Fwos%2Fwoscc%2Ffull-record%2FWOS:000362608300008","View Full Record in Web of Science")</f>
        <v>View Full Record in Web of Science</v>
      </c>
      <c r="BU3045" s="1"/>
      <c r="BV3045" s="1"/>
    </row>
    <row r="3046" spans="1:74">
      <c r="A3046" s="1" t="s">
        <v>72</v>
      </c>
      <c r="B3046" s="1" t="s">
        <v>48341</v>
      </c>
      <c r="C3046" s="1" t="s">
        <v>74</v>
      </c>
      <c r="D3046" s="1" t="s">
        <v>74</v>
      </c>
      <c r="E3046" s="1" t="s">
        <v>74</v>
      </c>
      <c r="F3046" s="1" t="s">
        <v>48342</v>
      </c>
      <c r="G3046" s="1" t="s">
        <v>74</v>
      </c>
      <c r="H3046" s="1" t="s">
        <v>74</v>
      </c>
      <c r="I3046" s="1" t="s">
        <v>48343</v>
      </c>
      <c r="J3046" s="1" t="s">
        <v>17604</v>
      </c>
      <c r="K3046" s="1" t="s">
        <v>74</v>
      </c>
      <c r="L3046" s="1" t="s">
        <v>74</v>
      </c>
      <c r="M3046" s="1" t="s">
        <v>78</v>
      </c>
      <c r="N3046" s="1" t="s">
        <v>79</v>
      </c>
      <c r="O3046" s="1" t="s">
        <v>74</v>
      </c>
      <c r="P3046" s="1" t="s">
        <v>74</v>
      </c>
      <c r="Q3046" s="1" t="s">
        <v>74</v>
      </c>
      <c r="R3046" s="1" t="s">
        <v>74</v>
      </c>
      <c r="S3046" s="1" t="s">
        <v>74</v>
      </c>
      <c r="T3046" s="1" t="s">
        <v>48344</v>
      </c>
      <c r="U3046" s="1" t="s">
        <v>48345</v>
      </c>
      <c r="V3046" s="1" t="s">
        <v>48346</v>
      </c>
      <c r="W3046" s="1" t="s">
        <v>48347</v>
      </c>
      <c r="X3046" s="1" t="s">
        <v>48348</v>
      </c>
      <c r="Y3046" s="1" t="s">
        <v>48349</v>
      </c>
      <c r="Z3046" s="1" t="s">
        <v>48350</v>
      </c>
      <c r="AA3046" s="1" t="s">
        <v>48351</v>
      </c>
      <c r="AB3046" s="1" t="s">
        <v>48352</v>
      </c>
      <c r="AC3046" s="1" t="s">
        <v>74</v>
      </c>
      <c r="AD3046" s="1" t="s">
        <v>74</v>
      </c>
      <c r="AE3046" s="1" t="s">
        <v>74</v>
      </c>
      <c r="AF3046" s="1" t="s">
        <v>74</v>
      </c>
      <c r="AG3046" s="1">
        <v>56</v>
      </c>
      <c r="AH3046" s="1">
        <v>44</v>
      </c>
      <c r="AI3046" s="1">
        <v>53</v>
      </c>
      <c r="AJ3046" s="1">
        <v>0</v>
      </c>
      <c r="AK3046" s="1">
        <v>37</v>
      </c>
      <c r="AL3046" s="1" t="s">
        <v>650</v>
      </c>
      <c r="AM3046" s="1" t="s">
        <v>651</v>
      </c>
      <c r="AN3046" s="1" t="s">
        <v>652</v>
      </c>
      <c r="AO3046" s="1" t="s">
        <v>17613</v>
      </c>
      <c r="AP3046" s="1" t="s">
        <v>17614</v>
      </c>
      <c r="AQ3046" s="1" t="s">
        <v>74</v>
      </c>
      <c r="AR3046" s="1" t="s">
        <v>17615</v>
      </c>
      <c r="AS3046" s="1" t="s">
        <v>17616</v>
      </c>
      <c r="AT3046" s="1" t="s">
        <v>48353</v>
      </c>
      <c r="AU3046" s="1">
        <v>2008</v>
      </c>
      <c r="AV3046" s="1">
        <v>355</v>
      </c>
      <c r="AW3046" s="1">
        <v>2</v>
      </c>
      <c r="AX3046" s="1" t="s">
        <v>74</v>
      </c>
      <c r="AY3046" s="1" t="s">
        <v>74</v>
      </c>
      <c r="AZ3046" s="1" t="s">
        <v>74</v>
      </c>
      <c r="BA3046" s="1" t="s">
        <v>74</v>
      </c>
      <c r="BB3046" s="1">
        <v>153</v>
      </c>
      <c r="BC3046" s="1">
        <v>163</v>
      </c>
      <c r="BD3046" s="1" t="s">
        <v>74</v>
      </c>
      <c r="BE3046" s="1" t="s">
        <v>48354</v>
      </c>
      <c r="BF3046" s="1" t="str">
        <f>HYPERLINK("http://dx.doi.org/10.1016/j.jembe.2007.12.022","http://dx.doi.org/10.1016/j.jembe.2007.12.022")</f>
        <v>http://dx.doi.org/10.1016/j.jembe.2007.12.022</v>
      </c>
      <c r="BG3046" s="1" t="s">
        <v>74</v>
      </c>
      <c r="BH3046" s="1" t="s">
        <v>74</v>
      </c>
      <c r="BI3046" s="1">
        <v>11</v>
      </c>
      <c r="BJ3046" s="1" t="s">
        <v>1292</v>
      </c>
      <c r="BK3046" s="1" t="s">
        <v>96</v>
      </c>
      <c r="BL3046" s="1" t="s">
        <v>248</v>
      </c>
      <c r="BM3046" s="1" t="s">
        <v>48355</v>
      </c>
      <c r="BN3046" s="1" t="s">
        <v>74</v>
      </c>
      <c r="BO3046" s="1" t="s">
        <v>810</v>
      </c>
      <c r="BP3046" s="1" t="s">
        <v>74</v>
      </c>
      <c r="BQ3046" s="1" t="s">
        <v>74</v>
      </c>
      <c r="BR3046" s="1" t="s">
        <v>98</v>
      </c>
      <c r="BS3046" s="1" t="s">
        <v>48356</v>
      </c>
      <c r="BT3046" s="1" t="str">
        <f>HYPERLINK("https%3A%2F%2Fwww.webofscience.com%2Fwos%2Fwoscc%2Ffull-record%2FWOS:000254137600008","View Full Record in Web of Science")</f>
        <v>View Full Record in Web of Science</v>
      </c>
      <c r="BU3046" s="1"/>
      <c r="BV3046" s="1"/>
    </row>
    <row r="3047" spans="1:74">
      <c r="A3047" s="1" t="s">
        <v>72</v>
      </c>
      <c r="B3047" s="1" t="s">
        <v>48357</v>
      </c>
      <c r="C3047" s="1" t="s">
        <v>74</v>
      </c>
      <c r="D3047" s="1" t="s">
        <v>74</v>
      </c>
      <c r="E3047" s="1" t="s">
        <v>74</v>
      </c>
      <c r="F3047" s="1" t="s">
        <v>48358</v>
      </c>
      <c r="G3047" s="1" t="s">
        <v>74</v>
      </c>
      <c r="H3047" s="1" t="s">
        <v>74</v>
      </c>
      <c r="I3047" s="1" t="s">
        <v>48359</v>
      </c>
      <c r="J3047" s="1" t="s">
        <v>204</v>
      </c>
      <c r="K3047" s="1" t="s">
        <v>74</v>
      </c>
      <c r="L3047" s="1" t="s">
        <v>74</v>
      </c>
      <c r="M3047" s="1" t="s">
        <v>78</v>
      </c>
      <c r="N3047" s="1" t="s">
        <v>79</v>
      </c>
      <c r="O3047" s="1" t="s">
        <v>74</v>
      </c>
      <c r="P3047" s="1" t="s">
        <v>74</v>
      </c>
      <c r="Q3047" s="1" t="s">
        <v>74</v>
      </c>
      <c r="R3047" s="1" t="s">
        <v>74</v>
      </c>
      <c r="S3047" s="1" t="s">
        <v>74</v>
      </c>
      <c r="T3047" s="1" t="s">
        <v>48360</v>
      </c>
      <c r="U3047" s="1" t="s">
        <v>48361</v>
      </c>
      <c r="V3047" s="1" t="s">
        <v>48362</v>
      </c>
      <c r="W3047" s="1" t="s">
        <v>48363</v>
      </c>
      <c r="X3047" s="1" t="s">
        <v>2142</v>
      </c>
      <c r="Y3047" s="1" t="s">
        <v>48364</v>
      </c>
      <c r="Z3047" s="1" t="s">
        <v>48365</v>
      </c>
      <c r="AA3047" s="1" t="s">
        <v>74</v>
      </c>
      <c r="AB3047" s="1" t="s">
        <v>48366</v>
      </c>
      <c r="AC3047" s="1" t="s">
        <v>48367</v>
      </c>
      <c r="AD3047" s="1" t="s">
        <v>48368</v>
      </c>
      <c r="AE3047" s="1" t="s">
        <v>48369</v>
      </c>
      <c r="AF3047" s="1" t="s">
        <v>74</v>
      </c>
      <c r="AG3047" s="1">
        <v>66</v>
      </c>
      <c r="AH3047" s="1">
        <v>3</v>
      </c>
      <c r="AI3047" s="1">
        <v>3</v>
      </c>
      <c r="AJ3047" s="1">
        <v>5</v>
      </c>
      <c r="AK3047" s="1">
        <v>40</v>
      </c>
      <c r="AL3047" s="1" t="s">
        <v>217</v>
      </c>
      <c r="AM3047" s="1" t="s">
        <v>218</v>
      </c>
      <c r="AN3047" s="1" t="s">
        <v>219</v>
      </c>
      <c r="AO3047" s="1" t="s">
        <v>220</v>
      </c>
      <c r="AP3047" s="1" t="s">
        <v>221</v>
      </c>
      <c r="AQ3047" s="1" t="s">
        <v>74</v>
      </c>
      <c r="AR3047" s="1" t="s">
        <v>222</v>
      </c>
      <c r="AS3047" s="1" t="s">
        <v>223</v>
      </c>
      <c r="AT3047" s="1" t="s">
        <v>197</v>
      </c>
      <c r="AU3047" s="1">
        <v>2022</v>
      </c>
      <c r="AV3047" s="1">
        <v>29</v>
      </c>
      <c r="AW3047" s="1">
        <v>57</v>
      </c>
      <c r="AX3047" s="1" t="s">
        <v>74</v>
      </c>
      <c r="AY3047" s="1" t="s">
        <v>74</v>
      </c>
      <c r="AZ3047" s="1" t="s">
        <v>74</v>
      </c>
      <c r="BA3047" s="1" t="s">
        <v>74</v>
      </c>
      <c r="BB3047" s="1">
        <v>86887</v>
      </c>
      <c r="BC3047" s="1">
        <v>86897</v>
      </c>
      <c r="BD3047" s="1" t="s">
        <v>74</v>
      </c>
      <c r="BE3047" s="1" t="s">
        <v>48370</v>
      </c>
      <c r="BF3047" s="1" t="str">
        <f>HYPERLINK("http://dx.doi.org/10.1007/s11356-022-21731-8","http://dx.doi.org/10.1007/s11356-022-21731-8")</f>
        <v>http://dx.doi.org/10.1007/s11356-022-21731-8</v>
      </c>
      <c r="BG3047" s="1" t="s">
        <v>74</v>
      </c>
      <c r="BH3047" s="1" t="s">
        <v>8654</v>
      </c>
      <c r="BI3047" s="1">
        <v>11</v>
      </c>
      <c r="BJ3047" s="1" t="s">
        <v>144</v>
      </c>
      <c r="BK3047" s="1" t="s">
        <v>96</v>
      </c>
      <c r="BL3047" s="1" t="s">
        <v>145</v>
      </c>
      <c r="BM3047" s="1" t="s">
        <v>48371</v>
      </c>
      <c r="BN3047" s="1">
        <v>35802327</v>
      </c>
      <c r="BO3047" s="1" t="s">
        <v>74</v>
      </c>
      <c r="BP3047" s="1" t="s">
        <v>74</v>
      </c>
      <c r="BQ3047" s="1" t="s">
        <v>74</v>
      </c>
      <c r="BR3047" s="1" t="s">
        <v>98</v>
      </c>
      <c r="BS3047" s="1" t="s">
        <v>48372</v>
      </c>
      <c r="BT3047" s="1" t="str">
        <f>HYPERLINK("https%3A%2F%2Fwww.webofscience.com%2Fwos%2Fwoscc%2Ffull-record%2FWOS:000824989700004","View Full Record in Web of Science")</f>
        <v>View Full Record in Web of Science</v>
      </c>
      <c r="BU3047" s="1"/>
      <c r="BV3047" s="1"/>
    </row>
    <row r="3048" spans="1:74">
      <c r="A3048" s="1" t="s">
        <v>72</v>
      </c>
      <c r="B3048" s="1" t="s">
        <v>48373</v>
      </c>
      <c r="C3048" s="1" t="s">
        <v>74</v>
      </c>
      <c r="D3048" s="1" t="s">
        <v>74</v>
      </c>
      <c r="E3048" s="1" t="s">
        <v>74</v>
      </c>
      <c r="F3048" s="1" t="s">
        <v>48374</v>
      </c>
      <c r="G3048" s="1" t="s">
        <v>74</v>
      </c>
      <c r="H3048" s="1" t="s">
        <v>74</v>
      </c>
      <c r="I3048" s="1" t="s">
        <v>48375</v>
      </c>
      <c r="J3048" s="1" t="s">
        <v>8952</v>
      </c>
      <c r="K3048" s="1" t="s">
        <v>74</v>
      </c>
      <c r="L3048" s="1" t="s">
        <v>74</v>
      </c>
      <c r="M3048" s="1" t="s">
        <v>78</v>
      </c>
      <c r="N3048" s="1" t="s">
        <v>79</v>
      </c>
      <c r="O3048" s="1" t="s">
        <v>74</v>
      </c>
      <c r="P3048" s="1" t="s">
        <v>74</v>
      </c>
      <c r="Q3048" s="1" t="s">
        <v>74</v>
      </c>
      <c r="R3048" s="1" t="s">
        <v>74</v>
      </c>
      <c r="S3048" s="1" t="s">
        <v>74</v>
      </c>
      <c r="T3048" s="1" t="s">
        <v>48376</v>
      </c>
      <c r="U3048" s="1" t="s">
        <v>48377</v>
      </c>
      <c r="V3048" s="1" t="s">
        <v>48378</v>
      </c>
      <c r="W3048" s="1" t="s">
        <v>48379</v>
      </c>
      <c r="X3048" s="1" t="s">
        <v>36991</v>
      </c>
      <c r="Y3048" s="1" t="s">
        <v>48380</v>
      </c>
      <c r="Z3048" s="1" t="s">
        <v>30998</v>
      </c>
      <c r="AA3048" s="1" t="s">
        <v>48381</v>
      </c>
      <c r="AB3048" s="1" t="s">
        <v>48382</v>
      </c>
      <c r="AC3048" s="1" t="s">
        <v>48383</v>
      </c>
      <c r="AD3048" s="1" t="s">
        <v>48384</v>
      </c>
      <c r="AE3048" s="1" t="s">
        <v>48385</v>
      </c>
      <c r="AF3048" s="1" t="s">
        <v>74</v>
      </c>
      <c r="AG3048" s="1">
        <v>46</v>
      </c>
      <c r="AH3048" s="1">
        <v>7</v>
      </c>
      <c r="AI3048" s="1">
        <v>7</v>
      </c>
      <c r="AJ3048" s="1">
        <v>0</v>
      </c>
      <c r="AK3048" s="1">
        <v>14</v>
      </c>
      <c r="AL3048" s="1" t="s">
        <v>3362</v>
      </c>
      <c r="AM3048" s="1" t="s">
        <v>3363</v>
      </c>
      <c r="AN3048" s="1" t="s">
        <v>3364</v>
      </c>
      <c r="AO3048" s="1" t="s">
        <v>8955</v>
      </c>
      <c r="AP3048" s="1" t="s">
        <v>8956</v>
      </c>
      <c r="AQ3048" s="1" t="s">
        <v>74</v>
      </c>
      <c r="AR3048" s="1" t="s">
        <v>8957</v>
      </c>
      <c r="AS3048" s="1" t="s">
        <v>8958</v>
      </c>
      <c r="AT3048" s="1" t="s">
        <v>224</v>
      </c>
      <c r="AU3048" s="1">
        <v>2019</v>
      </c>
      <c r="AV3048" s="1">
        <v>161</v>
      </c>
      <c r="AW3048" s="1" t="s">
        <v>74</v>
      </c>
      <c r="AX3048" s="1" t="s">
        <v>74</v>
      </c>
      <c r="AY3048" s="1" t="s">
        <v>74</v>
      </c>
      <c r="AZ3048" s="1" t="s">
        <v>74</v>
      </c>
      <c r="BA3048" s="1" t="s">
        <v>74</v>
      </c>
      <c r="BB3048" s="1">
        <v>29</v>
      </c>
      <c r="BC3048" s="1">
        <v>39</v>
      </c>
      <c r="BD3048" s="1" t="s">
        <v>74</v>
      </c>
      <c r="BE3048" s="1" t="s">
        <v>48386</v>
      </c>
      <c r="BF3048" s="1" t="str">
        <f>HYPERLINK("http://dx.doi.org/10.1016/j.jip.2019.01.001","http://dx.doi.org/10.1016/j.jip.2019.01.001")</f>
        <v>http://dx.doi.org/10.1016/j.jip.2019.01.001</v>
      </c>
      <c r="BG3048" s="1" t="s">
        <v>74</v>
      </c>
      <c r="BH3048" s="1" t="s">
        <v>74</v>
      </c>
      <c r="BI3048" s="1">
        <v>11</v>
      </c>
      <c r="BJ3048" s="1" t="s">
        <v>2210</v>
      </c>
      <c r="BK3048" s="1" t="s">
        <v>96</v>
      </c>
      <c r="BL3048" s="1" t="s">
        <v>2210</v>
      </c>
      <c r="BM3048" s="1" t="s">
        <v>48387</v>
      </c>
      <c r="BN3048" s="1">
        <v>30615864</v>
      </c>
      <c r="BO3048" s="1" t="s">
        <v>74</v>
      </c>
      <c r="BP3048" s="1" t="s">
        <v>74</v>
      </c>
      <c r="BQ3048" s="1" t="s">
        <v>74</v>
      </c>
      <c r="BR3048" s="1" t="s">
        <v>98</v>
      </c>
      <c r="BS3048" s="1" t="s">
        <v>48388</v>
      </c>
      <c r="BT3048" s="1" t="str">
        <f>HYPERLINK("https%3A%2F%2Fwww.webofscience.com%2Fwos%2Fwoscc%2Ffull-record%2FWOS:000459523500005","View Full Record in Web of Science")</f>
        <v>View Full Record in Web of Science</v>
      </c>
      <c r="BU3048" s="1"/>
      <c r="BV3048" s="1"/>
    </row>
    <row r="3049" spans="1:74">
      <c r="A3049" s="1" t="s">
        <v>72</v>
      </c>
      <c r="B3049" s="1" t="s">
        <v>48389</v>
      </c>
      <c r="C3049" s="1" t="s">
        <v>74</v>
      </c>
      <c r="D3049" s="1" t="s">
        <v>74</v>
      </c>
      <c r="E3049" s="1" t="s">
        <v>74</v>
      </c>
      <c r="F3049" s="1" t="s">
        <v>48390</v>
      </c>
      <c r="G3049" s="1" t="s">
        <v>74</v>
      </c>
      <c r="H3049" s="1" t="s">
        <v>74</v>
      </c>
      <c r="I3049" s="1" t="s">
        <v>48391</v>
      </c>
      <c r="J3049" s="1" t="s">
        <v>909</v>
      </c>
      <c r="K3049" s="1" t="s">
        <v>74</v>
      </c>
      <c r="L3049" s="1" t="s">
        <v>74</v>
      </c>
      <c r="M3049" s="1" t="s">
        <v>78</v>
      </c>
      <c r="N3049" s="1" t="s">
        <v>79</v>
      </c>
      <c r="O3049" s="1" t="s">
        <v>74</v>
      </c>
      <c r="P3049" s="1" t="s">
        <v>74</v>
      </c>
      <c r="Q3049" s="1" t="s">
        <v>74</v>
      </c>
      <c r="R3049" s="1" t="s">
        <v>74</v>
      </c>
      <c r="S3049" s="1" t="s">
        <v>74</v>
      </c>
      <c r="T3049" s="1" t="s">
        <v>48392</v>
      </c>
      <c r="U3049" s="1" t="s">
        <v>48393</v>
      </c>
      <c r="V3049" s="1" t="s">
        <v>48394</v>
      </c>
      <c r="W3049" s="1" t="s">
        <v>48395</v>
      </c>
      <c r="X3049" s="1" t="s">
        <v>48396</v>
      </c>
      <c r="Y3049" s="1" t="s">
        <v>48397</v>
      </c>
      <c r="Z3049" s="1" t="s">
        <v>48398</v>
      </c>
      <c r="AA3049" s="1" t="s">
        <v>48399</v>
      </c>
      <c r="AB3049" s="1" t="s">
        <v>48400</v>
      </c>
      <c r="AC3049" s="1" t="s">
        <v>74</v>
      </c>
      <c r="AD3049" s="1" t="s">
        <v>74</v>
      </c>
      <c r="AE3049" s="1" t="s">
        <v>74</v>
      </c>
      <c r="AF3049" s="1" t="s">
        <v>74</v>
      </c>
      <c r="AG3049" s="1">
        <v>32</v>
      </c>
      <c r="AH3049" s="1">
        <v>20</v>
      </c>
      <c r="AI3049" s="1">
        <v>26</v>
      </c>
      <c r="AJ3049" s="1">
        <v>0</v>
      </c>
      <c r="AK3049" s="1">
        <v>2</v>
      </c>
      <c r="AL3049" s="1" t="s">
        <v>650</v>
      </c>
      <c r="AM3049" s="1" t="s">
        <v>651</v>
      </c>
      <c r="AN3049" s="1" t="s">
        <v>652</v>
      </c>
      <c r="AO3049" s="1" t="s">
        <v>921</v>
      </c>
      <c r="AP3049" s="1" t="s">
        <v>922</v>
      </c>
      <c r="AQ3049" s="1" t="s">
        <v>74</v>
      </c>
      <c r="AR3049" s="1" t="s">
        <v>923</v>
      </c>
      <c r="AS3049" s="1" t="s">
        <v>924</v>
      </c>
      <c r="AT3049" s="1" t="s">
        <v>1856</v>
      </c>
      <c r="AU3049" s="1">
        <v>2006</v>
      </c>
      <c r="AV3049" s="1">
        <v>367</v>
      </c>
      <c r="AW3049" s="1">
        <v>1</v>
      </c>
      <c r="AX3049" s="1" t="s">
        <v>74</v>
      </c>
      <c r="AY3049" s="1" t="s">
        <v>74</v>
      </c>
      <c r="AZ3049" s="1" t="s">
        <v>74</v>
      </c>
      <c r="BA3049" s="1" t="s">
        <v>74</v>
      </c>
      <c r="BB3049" s="1">
        <v>163</v>
      </c>
      <c r="BC3049" s="1">
        <v>169</v>
      </c>
      <c r="BD3049" s="1" t="s">
        <v>74</v>
      </c>
      <c r="BE3049" s="1" t="s">
        <v>48401</v>
      </c>
      <c r="BF3049" s="1" t="str">
        <f>HYPERLINK("http://dx.doi.org/10.1016/j.scitotenv.2006.02.021","http://dx.doi.org/10.1016/j.scitotenv.2006.02.021")</f>
        <v>http://dx.doi.org/10.1016/j.scitotenv.2006.02.021</v>
      </c>
      <c r="BG3049" s="1" t="s">
        <v>74</v>
      </c>
      <c r="BH3049" s="1" t="s">
        <v>74</v>
      </c>
      <c r="BI3049" s="1">
        <v>7</v>
      </c>
      <c r="BJ3049" s="1" t="s">
        <v>144</v>
      </c>
      <c r="BK3049" s="1" t="s">
        <v>96</v>
      </c>
      <c r="BL3049" s="1" t="s">
        <v>145</v>
      </c>
      <c r="BM3049" s="1" t="s">
        <v>48402</v>
      </c>
      <c r="BN3049" s="1">
        <v>16600332</v>
      </c>
      <c r="BO3049" s="1" t="s">
        <v>74</v>
      </c>
      <c r="BP3049" s="1" t="s">
        <v>74</v>
      </c>
      <c r="BQ3049" s="1" t="s">
        <v>74</v>
      </c>
      <c r="BR3049" s="1" t="s">
        <v>98</v>
      </c>
      <c r="BS3049" s="1" t="s">
        <v>48403</v>
      </c>
      <c r="BT3049" s="1" t="str">
        <f>HYPERLINK("https%3A%2F%2Fwww.webofscience.com%2Fwos%2Fwoscc%2Ffull-record%2FWOS:000240179700015","View Full Record in Web of Science")</f>
        <v>View Full Record in Web of Science</v>
      </c>
      <c r="BU3049" s="1"/>
      <c r="BV3049" s="1"/>
    </row>
    <row r="3050" spans="1:74">
      <c r="A3050" s="1" t="s">
        <v>72</v>
      </c>
      <c r="B3050" s="1" t="s">
        <v>48404</v>
      </c>
      <c r="C3050" s="1" t="s">
        <v>74</v>
      </c>
      <c r="D3050" s="1" t="s">
        <v>74</v>
      </c>
      <c r="E3050" s="1" t="s">
        <v>74</v>
      </c>
      <c r="F3050" s="1" t="s">
        <v>48405</v>
      </c>
      <c r="G3050" s="1" t="s">
        <v>74</v>
      </c>
      <c r="H3050" s="1" t="s">
        <v>74</v>
      </c>
      <c r="I3050" s="1" t="s">
        <v>48406</v>
      </c>
      <c r="J3050" s="1" t="s">
        <v>48407</v>
      </c>
      <c r="K3050" s="1" t="s">
        <v>74</v>
      </c>
      <c r="L3050" s="1" t="s">
        <v>74</v>
      </c>
      <c r="M3050" s="1" t="s">
        <v>78</v>
      </c>
      <c r="N3050" s="1" t="s">
        <v>79</v>
      </c>
      <c r="O3050" s="1" t="s">
        <v>74</v>
      </c>
      <c r="P3050" s="1" t="s">
        <v>74</v>
      </c>
      <c r="Q3050" s="1" t="s">
        <v>74</v>
      </c>
      <c r="R3050" s="1" t="s">
        <v>74</v>
      </c>
      <c r="S3050" s="1" t="s">
        <v>74</v>
      </c>
      <c r="T3050" s="1" t="s">
        <v>48408</v>
      </c>
      <c r="U3050" s="1" t="s">
        <v>48409</v>
      </c>
      <c r="V3050" s="1" t="s">
        <v>48410</v>
      </c>
      <c r="W3050" s="1" t="s">
        <v>48411</v>
      </c>
      <c r="X3050" s="1" t="s">
        <v>48412</v>
      </c>
      <c r="Y3050" s="1" t="s">
        <v>48413</v>
      </c>
      <c r="Z3050" s="1" t="s">
        <v>48414</v>
      </c>
      <c r="AA3050" s="1" t="s">
        <v>48415</v>
      </c>
      <c r="AB3050" s="1" t="s">
        <v>48416</v>
      </c>
      <c r="AC3050" s="1" t="s">
        <v>48417</v>
      </c>
      <c r="AD3050" s="1" t="s">
        <v>48418</v>
      </c>
      <c r="AE3050" s="1" t="s">
        <v>48419</v>
      </c>
      <c r="AF3050" s="1" t="s">
        <v>74</v>
      </c>
      <c r="AG3050" s="1">
        <v>61</v>
      </c>
      <c r="AH3050" s="1">
        <v>20</v>
      </c>
      <c r="AI3050" s="1">
        <v>21</v>
      </c>
      <c r="AJ3050" s="1">
        <v>0</v>
      </c>
      <c r="AK3050" s="1">
        <v>19</v>
      </c>
      <c r="AL3050" s="1" t="s">
        <v>48420</v>
      </c>
      <c r="AM3050" s="1" t="s">
        <v>45654</v>
      </c>
      <c r="AN3050" s="1" t="s">
        <v>48421</v>
      </c>
      <c r="AO3050" s="1" t="s">
        <v>48422</v>
      </c>
      <c r="AP3050" s="1" t="s">
        <v>48423</v>
      </c>
      <c r="AQ3050" s="1" t="s">
        <v>74</v>
      </c>
      <c r="AR3050" s="1" t="s">
        <v>48424</v>
      </c>
      <c r="AS3050" s="1" t="s">
        <v>48425</v>
      </c>
      <c r="AT3050" s="1" t="s">
        <v>48426</v>
      </c>
      <c r="AU3050" s="1">
        <v>2013</v>
      </c>
      <c r="AV3050" s="1">
        <v>61</v>
      </c>
      <c r="AW3050" s="1">
        <v>3</v>
      </c>
      <c r="AX3050" s="1" t="s">
        <v>74</v>
      </c>
      <c r="AY3050" s="1" t="s">
        <v>74</v>
      </c>
      <c r="AZ3050" s="1" t="s">
        <v>74</v>
      </c>
      <c r="BA3050" s="1" t="s">
        <v>74</v>
      </c>
      <c r="BB3050" s="1">
        <v>177</v>
      </c>
      <c r="BC3050" s="1">
        <v>186</v>
      </c>
      <c r="BD3050" s="1" t="s">
        <v>74</v>
      </c>
      <c r="BE3050" s="1" t="s">
        <v>74</v>
      </c>
      <c r="BF3050" s="1" t="s">
        <v>74</v>
      </c>
      <c r="BG3050" s="1" t="s">
        <v>74</v>
      </c>
      <c r="BH3050" s="1" t="s">
        <v>74</v>
      </c>
      <c r="BI3050" s="1">
        <v>10</v>
      </c>
      <c r="BJ3050" s="1" t="s">
        <v>4241</v>
      </c>
      <c r="BK3050" s="1" t="s">
        <v>96</v>
      </c>
      <c r="BL3050" s="1" t="s">
        <v>4241</v>
      </c>
      <c r="BM3050" s="1" t="s">
        <v>48427</v>
      </c>
      <c r="BN3050" s="1" t="s">
        <v>74</v>
      </c>
      <c r="BO3050" s="1" t="s">
        <v>74</v>
      </c>
      <c r="BP3050" s="1" t="s">
        <v>74</v>
      </c>
      <c r="BQ3050" s="1" t="s">
        <v>74</v>
      </c>
      <c r="BR3050" s="1" t="s">
        <v>98</v>
      </c>
      <c r="BS3050" s="1" t="s">
        <v>48428</v>
      </c>
      <c r="BT3050" s="1" t="str">
        <f>HYPERLINK("https%3A%2F%2Fwww.webofscience.com%2Fwos%2Fwoscc%2Ffull-record%2FWOS:000327260200002","View Full Record in Web of Science")</f>
        <v>View Full Record in Web of Science</v>
      </c>
      <c r="BU3050" s="1"/>
      <c r="BV3050" s="1"/>
    </row>
    <row r="3051" spans="1:74">
      <c r="A3051" s="1" t="s">
        <v>72</v>
      </c>
      <c r="B3051" s="1" t="s">
        <v>48429</v>
      </c>
      <c r="C3051" s="1" t="s">
        <v>74</v>
      </c>
      <c r="D3051" s="1" t="s">
        <v>74</v>
      </c>
      <c r="E3051" s="1" t="s">
        <v>74</v>
      </c>
      <c r="F3051" s="1" t="s">
        <v>48430</v>
      </c>
      <c r="G3051" s="1" t="s">
        <v>74</v>
      </c>
      <c r="H3051" s="1" t="s">
        <v>74</v>
      </c>
      <c r="I3051" s="1" t="s">
        <v>48431</v>
      </c>
      <c r="J3051" s="1" t="s">
        <v>421</v>
      </c>
      <c r="K3051" s="1" t="s">
        <v>74</v>
      </c>
      <c r="L3051" s="1" t="s">
        <v>74</v>
      </c>
      <c r="M3051" s="1" t="s">
        <v>78</v>
      </c>
      <c r="N3051" s="1" t="s">
        <v>79</v>
      </c>
      <c r="O3051" s="1" t="s">
        <v>74</v>
      </c>
      <c r="P3051" s="1" t="s">
        <v>74</v>
      </c>
      <c r="Q3051" s="1" t="s">
        <v>74</v>
      </c>
      <c r="R3051" s="1" t="s">
        <v>74</v>
      </c>
      <c r="S3051" s="1" t="s">
        <v>74</v>
      </c>
      <c r="T3051" s="1" t="s">
        <v>48432</v>
      </c>
      <c r="U3051" s="1" t="s">
        <v>48433</v>
      </c>
      <c r="V3051" s="1" t="s">
        <v>48434</v>
      </c>
      <c r="W3051" s="1" t="s">
        <v>48435</v>
      </c>
      <c r="X3051" s="1" t="s">
        <v>48436</v>
      </c>
      <c r="Y3051" s="1" t="s">
        <v>48437</v>
      </c>
      <c r="Z3051" s="1" t="s">
        <v>14843</v>
      </c>
      <c r="AA3051" s="1" t="s">
        <v>2900</v>
      </c>
      <c r="AB3051" s="1" t="s">
        <v>2183</v>
      </c>
      <c r="AC3051" s="1" t="s">
        <v>48438</v>
      </c>
      <c r="AD3051" s="1" t="s">
        <v>48439</v>
      </c>
      <c r="AE3051" s="1" t="s">
        <v>48440</v>
      </c>
      <c r="AF3051" s="1" t="s">
        <v>74</v>
      </c>
      <c r="AG3051" s="1">
        <v>75</v>
      </c>
      <c r="AH3051" s="1">
        <v>8</v>
      </c>
      <c r="AI3051" s="1">
        <v>8</v>
      </c>
      <c r="AJ3051" s="1">
        <v>6</v>
      </c>
      <c r="AK3051" s="1">
        <v>42</v>
      </c>
      <c r="AL3051" s="1" t="s">
        <v>430</v>
      </c>
      <c r="AM3051" s="1" t="s">
        <v>137</v>
      </c>
      <c r="AN3051" s="1" t="s">
        <v>431</v>
      </c>
      <c r="AO3051" s="1" t="s">
        <v>432</v>
      </c>
      <c r="AP3051" s="1" t="s">
        <v>1394</v>
      </c>
      <c r="AQ3051" s="1" t="s">
        <v>74</v>
      </c>
      <c r="AR3051" s="1" t="s">
        <v>433</v>
      </c>
      <c r="AS3051" s="1" t="s">
        <v>434</v>
      </c>
      <c r="AT3051" s="1" t="s">
        <v>951</v>
      </c>
      <c r="AU3051" s="1">
        <v>2020</v>
      </c>
      <c r="AV3051" s="1">
        <v>266</v>
      </c>
      <c r="AW3051" s="1" t="s">
        <v>74</v>
      </c>
      <c r="AX3051" s="1">
        <v>2</v>
      </c>
      <c r="AY3051" s="1" t="s">
        <v>74</v>
      </c>
      <c r="AZ3051" s="1" t="s">
        <v>74</v>
      </c>
      <c r="BA3051" s="1" t="s">
        <v>74</v>
      </c>
      <c r="BB3051" s="1" t="s">
        <v>74</v>
      </c>
      <c r="BC3051" s="1" t="s">
        <v>74</v>
      </c>
      <c r="BD3051" s="1">
        <v>115303</v>
      </c>
      <c r="BE3051" s="1" t="s">
        <v>48441</v>
      </c>
      <c r="BF3051" s="1" t="str">
        <f>HYPERLINK("http://dx.doi.org/10.1016/j.envpol.2020.115303","http://dx.doi.org/10.1016/j.envpol.2020.115303")</f>
        <v>http://dx.doi.org/10.1016/j.envpol.2020.115303</v>
      </c>
      <c r="BG3051" s="1" t="s">
        <v>74</v>
      </c>
      <c r="BH3051" s="1" t="s">
        <v>74</v>
      </c>
      <c r="BI3051" s="1">
        <v>11</v>
      </c>
      <c r="BJ3051" s="1" t="s">
        <v>144</v>
      </c>
      <c r="BK3051" s="1" t="s">
        <v>96</v>
      </c>
      <c r="BL3051" s="1" t="s">
        <v>145</v>
      </c>
      <c r="BM3051" s="1" t="s">
        <v>48442</v>
      </c>
      <c r="BN3051" s="1">
        <v>32836047</v>
      </c>
      <c r="BO3051" s="1" t="s">
        <v>74</v>
      </c>
      <c r="BP3051" s="1" t="s">
        <v>74</v>
      </c>
      <c r="BQ3051" s="1" t="s">
        <v>74</v>
      </c>
      <c r="BR3051" s="1" t="s">
        <v>98</v>
      </c>
      <c r="BS3051" s="1" t="s">
        <v>48443</v>
      </c>
      <c r="BT3051" s="1" t="str">
        <f>HYPERLINK("https%3A%2F%2Fwww.webofscience.com%2Fwos%2Fwoscc%2Ffull-record%2FWOS:000571665100001","View Full Record in Web of Science")</f>
        <v>View Full Record in Web of Science</v>
      </c>
      <c r="BU3051" s="1"/>
      <c r="BV3051" s="1"/>
    </row>
    <row r="3052" spans="1:74">
      <c r="A3052" s="1" t="s">
        <v>72</v>
      </c>
      <c r="B3052" s="1" t="s">
        <v>48444</v>
      </c>
      <c r="C3052" s="1" t="s">
        <v>74</v>
      </c>
      <c r="D3052" s="1" t="s">
        <v>74</v>
      </c>
      <c r="E3052" s="1" t="s">
        <v>74</v>
      </c>
      <c r="F3052" s="1" t="s">
        <v>48445</v>
      </c>
      <c r="G3052" s="1" t="s">
        <v>74</v>
      </c>
      <c r="H3052" s="1" t="s">
        <v>74</v>
      </c>
      <c r="I3052" s="1" t="s">
        <v>48446</v>
      </c>
      <c r="J3052" s="1" t="s">
        <v>48447</v>
      </c>
      <c r="K3052" s="1" t="s">
        <v>74</v>
      </c>
      <c r="L3052" s="1" t="s">
        <v>74</v>
      </c>
      <c r="M3052" s="1" t="s">
        <v>78</v>
      </c>
      <c r="N3052" s="1" t="s">
        <v>79</v>
      </c>
      <c r="O3052" s="1" t="s">
        <v>74</v>
      </c>
      <c r="P3052" s="1" t="s">
        <v>74</v>
      </c>
      <c r="Q3052" s="1" t="s">
        <v>74</v>
      </c>
      <c r="R3052" s="1" t="s">
        <v>74</v>
      </c>
      <c r="S3052" s="1" t="s">
        <v>74</v>
      </c>
      <c r="T3052" s="1" t="s">
        <v>48448</v>
      </c>
      <c r="U3052" s="1" t="s">
        <v>48449</v>
      </c>
      <c r="V3052" s="1" t="s">
        <v>48450</v>
      </c>
      <c r="W3052" s="1" t="s">
        <v>48451</v>
      </c>
      <c r="X3052" s="1" t="s">
        <v>48452</v>
      </c>
      <c r="Y3052" s="1" t="s">
        <v>48453</v>
      </c>
      <c r="Z3052" s="1" t="s">
        <v>48454</v>
      </c>
      <c r="AA3052" s="1" t="s">
        <v>48455</v>
      </c>
      <c r="AB3052" s="1" t="s">
        <v>48456</v>
      </c>
      <c r="AC3052" s="1" t="s">
        <v>48457</v>
      </c>
      <c r="AD3052" s="1" t="s">
        <v>48458</v>
      </c>
      <c r="AE3052" s="1" t="s">
        <v>48459</v>
      </c>
      <c r="AF3052" s="1" t="s">
        <v>74</v>
      </c>
      <c r="AG3052" s="1">
        <v>30</v>
      </c>
      <c r="AH3052" s="1">
        <v>1</v>
      </c>
      <c r="AI3052" s="1">
        <v>2</v>
      </c>
      <c r="AJ3052" s="1">
        <v>1</v>
      </c>
      <c r="AK3052" s="1">
        <v>20</v>
      </c>
      <c r="AL3052" s="1" t="s">
        <v>48460</v>
      </c>
      <c r="AM3052" s="1" t="s">
        <v>48461</v>
      </c>
      <c r="AN3052" s="1" t="s">
        <v>48462</v>
      </c>
      <c r="AO3052" s="1" t="s">
        <v>48463</v>
      </c>
      <c r="AP3052" s="1" t="s">
        <v>48464</v>
      </c>
      <c r="AQ3052" s="1" t="s">
        <v>74</v>
      </c>
      <c r="AR3052" s="1" t="s">
        <v>48465</v>
      </c>
      <c r="AS3052" s="1" t="s">
        <v>48466</v>
      </c>
      <c r="AT3052" s="1" t="s">
        <v>765</v>
      </c>
      <c r="AU3052" s="1">
        <v>2021</v>
      </c>
      <c r="AV3052" s="1">
        <v>60</v>
      </c>
      <c r="AW3052" s="1">
        <v>7</v>
      </c>
      <c r="AX3052" s="1" t="s">
        <v>74</v>
      </c>
      <c r="AY3052" s="1" t="s">
        <v>74</v>
      </c>
      <c r="AZ3052" s="1" t="s">
        <v>74</v>
      </c>
      <c r="BA3052" s="1" t="s">
        <v>74</v>
      </c>
      <c r="BB3052" s="1" t="s">
        <v>74</v>
      </c>
      <c r="BC3052" s="1" t="s">
        <v>74</v>
      </c>
      <c r="BD3052" s="1">
        <v>76105</v>
      </c>
      <c r="BE3052" s="1" t="s">
        <v>48467</v>
      </c>
      <c r="BF3052" s="1" t="str">
        <f>HYPERLINK("http://dx.doi.org/10.1117/1.OE.60.7.076105","http://dx.doi.org/10.1117/1.OE.60.7.076105")</f>
        <v>http://dx.doi.org/10.1117/1.OE.60.7.076105</v>
      </c>
      <c r="BG3052" s="1" t="s">
        <v>74</v>
      </c>
      <c r="BH3052" s="1" t="s">
        <v>74</v>
      </c>
      <c r="BI3052" s="1">
        <v>6</v>
      </c>
      <c r="BJ3052" s="1" t="s">
        <v>48468</v>
      </c>
      <c r="BK3052" s="1" t="s">
        <v>96</v>
      </c>
      <c r="BL3052" s="1" t="s">
        <v>48468</v>
      </c>
      <c r="BM3052" s="1" t="s">
        <v>48469</v>
      </c>
      <c r="BN3052" s="1" t="s">
        <v>74</v>
      </c>
      <c r="BO3052" s="1" t="s">
        <v>74</v>
      </c>
      <c r="BP3052" s="1" t="s">
        <v>74</v>
      </c>
      <c r="BQ3052" s="1" t="s">
        <v>74</v>
      </c>
      <c r="BR3052" s="1" t="s">
        <v>98</v>
      </c>
      <c r="BS3052" s="1" t="s">
        <v>48470</v>
      </c>
      <c r="BT3052" s="1" t="str">
        <f>HYPERLINK("https%3A%2F%2Fwww.webofscience.com%2Fwos%2Fwoscc%2Ffull-record%2FWOS:000685477500027","View Full Record in Web of Science")</f>
        <v>View Full Record in Web of Science</v>
      </c>
      <c r="BU3052" s="1"/>
      <c r="BV3052" s="1"/>
    </row>
    <row r="3053" spans="1:74">
      <c r="A3053" s="1" t="s">
        <v>72</v>
      </c>
      <c r="B3053" s="1" t="s">
        <v>48471</v>
      </c>
      <c r="C3053" s="1" t="s">
        <v>74</v>
      </c>
      <c r="D3053" s="1" t="s">
        <v>74</v>
      </c>
      <c r="E3053" s="1" t="s">
        <v>74</v>
      </c>
      <c r="F3053" s="1" t="s">
        <v>48472</v>
      </c>
      <c r="G3053" s="1" t="s">
        <v>74</v>
      </c>
      <c r="H3053" s="1" t="s">
        <v>74</v>
      </c>
      <c r="I3053" s="1" t="s">
        <v>48473</v>
      </c>
      <c r="J3053" s="1" t="s">
        <v>554</v>
      </c>
      <c r="K3053" s="1" t="s">
        <v>74</v>
      </c>
      <c r="L3053" s="1" t="s">
        <v>74</v>
      </c>
      <c r="M3053" s="1" t="s">
        <v>78</v>
      </c>
      <c r="N3053" s="1" t="s">
        <v>79</v>
      </c>
      <c r="O3053" s="1" t="s">
        <v>74</v>
      </c>
      <c r="P3053" s="1" t="s">
        <v>74</v>
      </c>
      <c r="Q3053" s="1" t="s">
        <v>74</v>
      </c>
      <c r="R3053" s="1" t="s">
        <v>74</v>
      </c>
      <c r="S3053" s="1" t="s">
        <v>74</v>
      </c>
      <c r="T3053" s="1" t="s">
        <v>48474</v>
      </c>
      <c r="U3053" s="1" t="s">
        <v>48475</v>
      </c>
      <c r="V3053" s="1" t="s">
        <v>48476</v>
      </c>
      <c r="W3053" s="1" t="s">
        <v>48477</v>
      </c>
      <c r="X3053" s="1" t="s">
        <v>48478</v>
      </c>
      <c r="Y3053" s="1" t="s">
        <v>48479</v>
      </c>
      <c r="Z3053" s="1" t="s">
        <v>48480</v>
      </c>
      <c r="AA3053" s="1" t="s">
        <v>74</v>
      </c>
      <c r="AB3053" s="1" t="s">
        <v>74</v>
      </c>
      <c r="AC3053" s="1" t="s">
        <v>48481</v>
      </c>
      <c r="AD3053" s="1" t="s">
        <v>48482</v>
      </c>
      <c r="AE3053" s="1" t="s">
        <v>48483</v>
      </c>
      <c r="AF3053" s="1" t="s">
        <v>74</v>
      </c>
      <c r="AG3053" s="1">
        <v>62</v>
      </c>
      <c r="AH3053" s="1">
        <v>5</v>
      </c>
      <c r="AI3053" s="1">
        <v>5</v>
      </c>
      <c r="AJ3053" s="1">
        <v>0</v>
      </c>
      <c r="AK3053" s="1">
        <v>16</v>
      </c>
      <c r="AL3053" s="1" t="s">
        <v>564</v>
      </c>
      <c r="AM3053" s="1" t="s">
        <v>113</v>
      </c>
      <c r="AN3053" s="1" t="s">
        <v>807</v>
      </c>
      <c r="AO3053" s="1" t="s">
        <v>566</v>
      </c>
      <c r="AP3053" s="1" t="s">
        <v>567</v>
      </c>
      <c r="AQ3053" s="1" t="s">
        <v>74</v>
      </c>
      <c r="AR3053" s="1" t="s">
        <v>568</v>
      </c>
      <c r="AS3053" s="1" t="s">
        <v>569</v>
      </c>
      <c r="AT3053" s="1" t="s">
        <v>15328</v>
      </c>
      <c r="AU3053" s="1">
        <v>2015</v>
      </c>
      <c r="AV3053" s="1">
        <v>174</v>
      </c>
      <c r="AW3053" s="1" t="s">
        <v>74</v>
      </c>
      <c r="AX3053" s="1" t="s">
        <v>74</v>
      </c>
      <c r="AY3053" s="1" t="s">
        <v>74</v>
      </c>
      <c r="AZ3053" s="1" t="s">
        <v>74</v>
      </c>
      <c r="BA3053" s="1" t="s">
        <v>74</v>
      </c>
      <c r="BB3053" s="1">
        <v>54</v>
      </c>
      <c r="BC3053" s="1">
        <v>64</v>
      </c>
      <c r="BD3053" s="1" t="s">
        <v>74</v>
      </c>
      <c r="BE3053" s="1" t="s">
        <v>48484</v>
      </c>
      <c r="BF3053" s="1" t="str">
        <f>HYPERLINK("http://dx.doi.org/10.1016/j.cbpc.2015.06.009","http://dx.doi.org/10.1016/j.cbpc.2015.06.009")</f>
        <v>http://dx.doi.org/10.1016/j.cbpc.2015.06.009</v>
      </c>
      <c r="BG3053" s="1" t="s">
        <v>74</v>
      </c>
      <c r="BH3053" s="1" t="s">
        <v>74</v>
      </c>
      <c r="BI3053" s="1">
        <v>11</v>
      </c>
      <c r="BJ3053" s="1" t="s">
        <v>571</v>
      </c>
      <c r="BK3053" s="1" t="s">
        <v>96</v>
      </c>
      <c r="BL3053" s="1" t="s">
        <v>571</v>
      </c>
      <c r="BM3053" s="1" t="s">
        <v>35280</v>
      </c>
      <c r="BN3053" s="1">
        <v>26122312</v>
      </c>
      <c r="BO3053" s="1" t="s">
        <v>74</v>
      </c>
      <c r="BP3053" s="1" t="s">
        <v>74</v>
      </c>
      <c r="BQ3053" s="1" t="s">
        <v>74</v>
      </c>
      <c r="BR3053" s="1" t="s">
        <v>98</v>
      </c>
      <c r="BS3053" s="1" t="s">
        <v>48485</v>
      </c>
      <c r="BT3053" s="1" t="str">
        <f>HYPERLINK("https%3A%2F%2Fwww.webofscience.com%2Fwos%2Fwoscc%2Ffull-record%2FWOS:000359275000007","View Full Record in Web of Science")</f>
        <v>View Full Record in Web of Science</v>
      </c>
      <c r="BU3053" s="1"/>
      <c r="BV3053" s="1"/>
    </row>
    <row r="3054" spans="1:74">
      <c r="A3054" s="1" t="s">
        <v>72</v>
      </c>
      <c r="B3054" s="1" t="s">
        <v>48486</v>
      </c>
      <c r="C3054" s="1" t="s">
        <v>74</v>
      </c>
      <c r="D3054" s="1" t="s">
        <v>74</v>
      </c>
      <c r="E3054" s="1" t="s">
        <v>74</v>
      </c>
      <c r="F3054" s="1" t="s">
        <v>48487</v>
      </c>
      <c r="G3054" s="1" t="s">
        <v>74</v>
      </c>
      <c r="H3054" s="1" t="s">
        <v>74</v>
      </c>
      <c r="I3054" s="1" t="s">
        <v>48488</v>
      </c>
      <c r="J3054" s="1" t="s">
        <v>48489</v>
      </c>
      <c r="K3054" s="1" t="s">
        <v>74</v>
      </c>
      <c r="L3054" s="1" t="s">
        <v>74</v>
      </c>
      <c r="M3054" s="1" t="s">
        <v>78</v>
      </c>
      <c r="N3054" s="1" t="s">
        <v>79</v>
      </c>
      <c r="O3054" s="1" t="s">
        <v>74</v>
      </c>
      <c r="P3054" s="1" t="s">
        <v>74</v>
      </c>
      <c r="Q3054" s="1" t="s">
        <v>74</v>
      </c>
      <c r="R3054" s="1" t="s">
        <v>74</v>
      </c>
      <c r="S3054" s="1" t="s">
        <v>74</v>
      </c>
      <c r="T3054" s="1" t="s">
        <v>48490</v>
      </c>
      <c r="U3054" s="1" t="s">
        <v>48491</v>
      </c>
      <c r="V3054" s="1" t="s">
        <v>48492</v>
      </c>
      <c r="W3054" s="1" t="s">
        <v>48493</v>
      </c>
      <c r="X3054" s="1" t="s">
        <v>48494</v>
      </c>
      <c r="Y3054" s="1" t="s">
        <v>48495</v>
      </c>
      <c r="Z3054" s="1" t="s">
        <v>48496</v>
      </c>
      <c r="AA3054" s="1" t="s">
        <v>48497</v>
      </c>
      <c r="AB3054" s="1" t="s">
        <v>48498</v>
      </c>
      <c r="AC3054" s="1" t="s">
        <v>48499</v>
      </c>
      <c r="AD3054" s="1" t="s">
        <v>48500</v>
      </c>
      <c r="AE3054" s="1" t="s">
        <v>48501</v>
      </c>
      <c r="AF3054" s="1" t="s">
        <v>74</v>
      </c>
      <c r="AG3054" s="1">
        <v>62</v>
      </c>
      <c r="AH3054" s="1">
        <v>5</v>
      </c>
      <c r="AI3054" s="1">
        <v>5</v>
      </c>
      <c r="AJ3054" s="1">
        <v>1</v>
      </c>
      <c r="AK3054" s="1">
        <v>15</v>
      </c>
      <c r="AL3054" s="1" t="s">
        <v>86</v>
      </c>
      <c r="AM3054" s="1" t="s">
        <v>87</v>
      </c>
      <c r="AN3054" s="1" t="s">
        <v>88</v>
      </c>
      <c r="AO3054" s="1" t="s">
        <v>48502</v>
      </c>
      <c r="AP3054" s="1" t="s">
        <v>48503</v>
      </c>
      <c r="AQ3054" s="1" t="s">
        <v>74</v>
      </c>
      <c r="AR3054" s="1" t="s">
        <v>48504</v>
      </c>
      <c r="AS3054" s="1" t="s">
        <v>48505</v>
      </c>
      <c r="AT3054" s="1" t="s">
        <v>93</v>
      </c>
      <c r="AU3054" s="1">
        <v>2022</v>
      </c>
      <c r="AV3054" s="1">
        <v>53</v>
      </c>
      <c r="AW3054" s="1">
        <v>2</v>
      </c>
      <c r="AX3054" s="1" t="s">
        <v>74</v>
      </c>
      <c r="AY3054" s="1" t="s">
        <v>74</v>
      </c>
      <c r="AZ3054" s="1" t="s">
        <v>74</v>
      </c>
      <c r="BA3054" s="1" t="s">
        <v>74</v>
      </c>
      <c r="BB3054" s="1">
        <v>452</v>
      </c>
      <c r="BC3054" s="1">
        <v>474</v>
      </c>
      <c r="BD3054" s="1" t="s">
        <v>74</v>
      </c>
      <c r="BE3054" s="1" t="s">
        <v>48506</v>
      </c>
      <c r="BF3054" s="1" t="str">
        <f>HYPERLINK("http://dx.doi.org/10.1111/jwas.12822","http://dx.doi.org/10.1111/jwas.12822")</f>
        <v>http://dx.doi.org/10.1111/jwas.12822</v>
      </c>
      <c r="BG3054" s="1" t="s">
        <v>74</v>
      </c>
      <c r="BH3054" s="1" t="s">
        <v>4940</v>
      </c>
      <c r="BI3054" s="1">
        <v>23</v>
      </c>
      <c r="BJ3054" s="1" t="s">
        <v>746</v>
      </c>
      <c r="BK3054" s="1" t="s">
        <v>96</v>
      </c>
      <c r="BL3054" s="1" t="s">
        <v>746</v>
      </c>
      <c r="BM3054" s="1" t="s">
        <v>48507</v>
      </c>
      <c r="BN3054" s="1" t="s">
        <v>74</v>
      </c>
      <c r="BO3054" s="1" t="s">
        <v>1752</v>
      </c>
      <c r="BP3054" s="1" t="s">
        <v>74</v>
      </c>
      <c r="BQ3054" s="1" t="s">
        <v>74</v>
      </c>
      <c r="BR3054" s="1" t="s">
        <v>98</v>
      </c>
      <c r="BS3054" s="1" t="s">
        <v>48508</v>
      </c>
      <c r="BT3054" s="1" t="str">
        <f>HYPERLINK("https%3A%2F%2Fwww.webofscience.com%2Fwos%2Fwoscc%2Ffull-record%2FWOS:000662055800001","View Full Record in Web of Science")</f>
        <v>View Full Record in Web of Science</v>
      </c>
      <c r="BU3054" s="1"/>
      <c r="BV3054" s="1"/>
    </row>
    <row r="3055" spans="1:74">
      <c r="A3055" s="1" t="s">
        <v>72</v>
      </c>
      <c r="B3055" s="1" t="s">
        <v>48509</v>
      </c>
      <c r="C3055" s="1" t="s">
        <v>74</v>
      </c>
      <c r="D3055" s="1" t="s">
        <v>74</v>
      </c>
      <c r="E3055" s="1" t="s">
        <v>74</v>
      </c>
      <c r="F3055" s="1" t="s">
        <v>48510</v>
      </c>
      <c r="G3055" s="1" t="s">
        <v>74</v>
      </c>
      <c r="H3055" s="1" t="s">
        <v>74</v>
      </c>
      <c r="I3055" s="1" t="s">
        <v>48511</v>
      </c>
      <c r="J3055" s="1" t="s">
        <v>204</v>
      </c>
      <c r="K3055" s="1" t="s">
        <v>74</v>
      </c>
      <c r="L3055" s="1" t="s">
        <v>74</v>
      </c>
      <c r="M3055" s="1" t="s">
        <v>78</v>
      </c>
      <c r="N3055" s="1" t="s">
        <v>151</v>
      </c>
      <c r="O3055" s="1" t="s">
        <v>48512</v>
      </c>
      <c r="P3055" s="1" t="s">
        <v>48513</v>
      </c>
      <c r="Q3055" s="1" t="s">
        <v>48514</v>
      </c>
      <c r="R3055" s="1" t="s">
        <v>74</v>
      </c>
      <c r="S3055" s="1" t="s">
        <v>74</v>
      </c>
      <c r="T3055" s="1" t="s">
        <v>48515</v>
      </c>
      <c r="U3055" s="1" t="s">
        <v>48516</v>
      </c>
      <c r="V3055" s="1" t="s">
        <v>48517</v>
      </c>
      <c r="W3055" s="1" t="s">
        <v>48518</v>
      </c>
      <c r="X3055" s="1" t="s">
        <v>48519</v>
      </c>
      <c r="Y3055" s="1" t="s">
        <v>48520</v>
      </c>
      <c r="Z3055" s="1" t="s">
        <v>48521</v>
      </c>
      <c r="AA3055" s="1" t="s">
        <v>48522</v>
      </c>
      <c r="AB3055" s="1" t="s">
        <v>74</v>
      </c>
      <c r="AC3055" s="1" t="s">
        <v>48523</v>
      </c>
      <c r="AD3055" s="1" t="s">
        <v>48524</v>
      </c>
      <c r="AE3055" s="1" t="s">
        <v>48525</v>
      </c>
      <c r="AF3055" s="1" t="s">
        <v>74</v>
      </c>
      <c r="AG3055" s="1">
        <v>32</v>
      </c>
      <c r="AH3055" s="1">
        <v>7</v>
      </c>
      <c r="AI3055" s="1">
        <v>8</v>
      </c>
      <c r="AJ3055" s="1">
        <v>2</v>
      </c>
      <c r="AK3055" s="1">
        <v>26</v>
      </c>
      <c r="AL3055" s="1" t="s">
        <v>217</v>
      </c>
      <c r="AM3055" s="1" t="s">
        <v>218</v>
      </c>
      <c r="AN3055" s="1" t="s">
        <v>219</v>
      </c>
      <c r="AO3055" s="1" t="s">
        <v>220</v>
      </c>
      <c r="AP3055" s="1" t="s">
        <v>221</v>
      </c>
      <c r="AQ3055" s="1" t="s">
        <v>74</v>
      </c>
      <c r="AR3055" s="1" t="s">
        <v>222</v>
      </c>
      <c r="AS3055" s="1" t="s">
        <v>223</v>
      </c>
      <c r="AT3055" s="1" t="s">
        <v>224</v>
      </c>
      <c r="AU3055" s="1">
        <v>2015</v>
      </c>
      <c r="AV3055" s="1">
        <v>22</v>
      </c>
      <c r="AW3055" s="1">
        <v>3</v>
      </c>
      <c r="AX3055" s="1" t="s">
        <v>74</v>
      </c>
      <c r="AY3055" s="1" t="s">
        <v>74</v>
      </c>
      <c r="AZ3055" s="1" t="s">
        <v>74</v>
      </c>
      <c r="BA3055" s="1" t="s">
        <v>74</v>
      </c>
      <c r="BB3055" s="1">
        <v>1587</v>
      </c>
      <c r="BC3055" s="1">
        <v>1596</v>
      </c>
      <c r="BD3055" s="1" t="s">
        <v>74</v>
      </c>
      <c r="BE3055" s="1" t="s">
        <v>48526</v>
      </c>
      <c r="BF3055" s="1" t="str">
        <f>HYPERLINK("http://dx.doi.org/10.1007/s11356-014-3039-9","http://dx.doi.org/10.1007/s11356-014-3039-9")</f>
        <v>http://dx.doi.org/10.1007/s11356-014-3039-9</v>
      </c>
      <c r="BG3055" s="1" t="s">
        <v>74</v>
      </c>
      <c r="BH3055" s="1" t="s">
        <v>74</v>
      </c>
      <c r="BI3055" s="1">
        <v>10</v>
      </c>
      <c r="BJ3055" s="1" t="s">
        <v>144</v>
      </c>
      <c r="BK3055" s="1" t="s">
        <v>172</v>
      </c>
      <c r="BL3055" s="1" t="s">
        <v>145</v>
      </c>
      <c r="BM3055" s="1" t="s">
        <v>48527</v>
      </c>
      <c r="BN3055" s="1">
        <v>24865503</v>
      </c>
      <c r="BO3055" s="1" t="s">
        <v>74</v>
      </c>
      <c r="BP3055" s="1" t="s">
        <v>74</v>
      </c>
      <c r="BQ3055" s="1" t="s">
        <v>74</v>
      </c>
      <c r="BR3055" s="1" t="s">
        <v>98</v>
      </c>
      <c r="BS3055" s="1" t="s">
        <v>48528</v>
      </c>
      <c r="BT3055" s="1" t="str">
        <f>HYPERLINK("https%3A%2F%2Fwww.webofscience.com%2Fwos%2Fwoscc%2Ffull-record%2FWOS:000348917400006","View Full Record in Web of Science")</f>
        <v>View Full Record in Web of Science</v>
      </c>
      <c r="BU3055" s="1"/>
      <c r="BV3055" s="1"/>
    </row>
    <row r="3056" spans="1:74">
      <c r="A3056" s="1" t="s">
        <v>72</v>
      </c>
      <c r="B3056" s="1" t="s">
        <v>48529</v>
      </c>
      <c r="C3056" s="1" t="s">
        <v>74</v>
      </c>
      <c r="D3056" s="1" t="s">
        <v>74</v>
      </c>
      <c r="E3056" s="1" t="s">
        <v>74</v>
      </c>
      <c r="F3056" s="1" t="s">
        <v>48530</v>
      </c>
      <c r="G3056" s="1" t="s">
        <v>74</v>
      </c>
      <c r="H3056" s="1" t="s">
        <v>74</v>
      </c>
      <c r="I3056" s="1" t="s">
        <v>48531</v>
      </c>
      <c r="J3056" s="1" t="s">
        <v>909</v>
      </c>
      <c r="K3056" s="1" t="s">
        <v>74</v>
      </c>
      <c r="L3056" s="1" t="s">
        <v>74</v>
      </c>
      <c r="M3056" s="1" t="s">
        <v>78</v>
      </c>
      <c r="N3056" s="1" t="s">
        <v>79</v>
      </c>
      <c r="O3056" s="1" t="s">
        <v>74</v>
      </c>
      <c r="P3056" s="1" t="s">
        <v>74</v>
      </c>
      <c r="Q3056" s="1" t="s">
        <v>74</v>
      </c>
      <c r="R3056" s="1" t="s">
        <v>74</v>
      </c>
      <c r="S3056" s="1" t="s">
        <v>74</v>
      </c>
      <c r="T3056" s="1" t="s">
        <v>48532</v>
      </c>
      <c r="U3056" s="1" t="s">
        <v>48533</v>
      </c>
      <c r="V3056" s="1" t="s">
        <v>48534</v>
      </c>
      <c r="W3056" s="1" t="s">
        <v>48535</v>
      </c>
      <c r="X3056" s="1" t="s">
        <v>48536</v>
      </c>
      <c r="Y3056" s="1" t="s">
        <v>48537</v>
      </c>
      <c r="Z3056" s="1" t="s">
        <v>48538</v>
      </c>
      <c r="AA3056" s="1" t="s">
        <v>74</v>
      </c>
      <c r="AB3056" s="1" t="s">
        <v>74</v>
      </c>
      <c r="AC3056" s="1" t="s">
        <v>48539</v>
      </c>
      <c r="AD3056" s="1" t="s">
        <v>48540</v>
      </c>
      <c r="AE3056" s="1" t="s">
        <v>48541</v>
      </c>
      <c r="AF3056" s="1" t="s">
        <v>74</v>
      </c>
      <c r="AG3056" s="1">
        <v>79</v>
      </c>
      <c r="AH3056" s="1">
        <v>1</v>
      </c>
      <c r="AI3056" s="1">
        <v>1</v>
      </c>
      <c r="AJ3056" s="1">
        <v>14</v>
      </c>
      <c r="AK3056" s="1">
        <v>15</v>
      </c>
      <c r="AL3056" s="1" t="s">
        <v>650</v>
      </c>
      <c r="AM3056" s="1" t="s">
        <v>651</v>
      </c>
      <c r="AN3056" s="1" t="s">
        <v>652</v>
      </c>
      <c r="AO3056" s="1" t="s">
        <v>921</v>
      </c>
      <c r="AP3056" s="1" t="s">
        <v>922</v>
      </c>
      <c r="AQ3056" s="1" t="s">
        <v>74</v>
      </c>
      <c r="AR3056" s="1" t="s">
        <v>923</v>
      </c>
      <c r="AS3056" s="1" t="s">
        <v>924</v>
      </c>
      <c r="AT3056" s="1" t="s">
        <v>10334</v>
      </c>
      <c r="AU3056" s="1">
        <v>2024</v>
      </c>
      <c r="AV3056" s="1">
        <v>923</v>
      </c>
      <c r="AW3056" s="1" t="s">
        <v>74</v>
      </c>
      <c r="AX3056" s="1" t="s">
        <v>74</v>
      </c>
      <c r="AY3056" s="1" t="s">
        <v>74</v>
      </c>
      <c r="AZ3056" s="1" t="s">
        <v>74</v>
      </c>
      <c r="BA3056" s="1" t="s">
        <v>74</v>
      </c>
      <c r="BB3056" s="1" t="s">
        <v>74</v>
      </c>
      <c r="BC3056" s="1" t="s">
        <v>74</v>
      </c>
      <c r="BD3056" s="1">
        <v>171358</v>
      </c>
      <c r="BE3056" s="1" t="s">
        <v>48542</v>
      </c>
      <c r="BF3056" s="1" t="str">
        <f>HYPERLINK("http://dx.doi.org/10.1016/j.scitotenv.2024.171358","http://dx.doi.org/10.1016/j.scitotenv.2024.171358")</f>
        <v>http://dx.doi.org/10.1016/j.scitotenv.2024.171358</v>
      </c>
      <c r="BG3056" s="1" t="s">
        <v>74</v>
      </c>
      <c r="BH3056" s="1" t="s">
        <v>2888</v>
      </c>
      <c r="BI3056" s="1">
        <v>11</v>
      </c>
      <c r="BJ3056" s="1" t="s">
        <v>144</v>
      </c>
      <c r="BK3056" s="1" t="s">
        <v>96</v>
      </c>
      <c r="BL3056" s="1" t="s">
        <v>145</v>
      </c>
      <c r="BM3056" s="1" t="s">
        <v>48543</v>
      </c>
      <c r="BN3056" s="1">
        <v>38438024</v>
      </c>
      <c r="BO3056" s="1" t="s">
        <v>74</v>
      </c>
      <c r="BP3056" s="1" t="s">
        <v>74</v>
      </c>
      <c r="BQ3056" s="1" t="s">
        <v>74</v>
      </c>
      <c r="BR3056" s="1" t="s">
        <v>98</v>
      </c>
      <c r="BS3056" s="1" t="s">
        <v>48544</v>
      </c>
      <c r="BT3056" s="1" t="str">
        <f>HYPERLINK("https%3A%2F%2Fwww.webofscience.com%2Fwos%2Fwoscc%2Ffull-record%2FWOS:001205853900001","View Full Record in Web of Science")</f>
        <v>View Full Record in Web of Science</v>
      </c>
      <c r="BU3056" s="1"/>
      <c r="BV3056" s="1"/>
    </row>
    <row r="3057" spans="1:74">
      <c r="A3057" s="1" t="s">
        <v>72</v>
      </c>
      <c r="B3057" s="1" t="s">
        <v>48545</v>
      </c>
      <c r="C3057" s="1" t="s">
        <v>74</v>
      </c>
      <c r="D3057" s="1" t="s">
        <v>74</v>
      </c>
      <c r="E3057" s="1" t="s">
        <v>74</v>
      </c>
      <c r="F3057" s="1" t="s">
        <v>48546</v>
      </c>
      <c r="G3057" s="1" t="s">
        <v>74</v>
      </c>
      <c r="H3057" s="1" t="s">
        <v>74</v>
      </c>
      <c r="I3057" s="1" t="s">
        <v>48547</v>
      </c>
      <c r="J3057" s="1" t="s">
        <v>7246</v>
      </c>
      <c r="K3057" s="1" t="s">
        <v>74</v>
      </c>
      <c r="L3057" s="1" t="s">
        <v>74</v>
      </c>
      <c r="M3057" s="1" t="s">
        <v>78</v>
      </c>
      <c r="N3057" s="1" t="s">
        <v>79</v>
      </c>
      <c r="O3057" s="1" t="s">
        <v>74</v>
      </c>
      <c r="P3057" s="1" t="s">
        <v>74</v>
      </c>
      <c r="Q3057" s="1" t="s">
        <v>74</v>
      </c>
      <c r="R3057" s="1" t="s">
        <v>74</v>
      </c>
      <c r="S3057" s="1" t="s">
        <v>74</v>
      </c>
      <c r="T3057" s="1" t="s">
        <v>48548</v>
      </c>
      <c r="U3057" s="1" t="s">
        <v>48549</v>
      </c>
      <c r="V3057" s="1" t="s">
        <v>48550</v>
      </c>
      <c r="W3057" s="1" t="s">
        <v>48551</v>
      </c>
      <c r="X3057" s="1" t="s">
        <v>48552</v>
      </c>
      <c r="Y3057" s="1" t="s">
        <v>48553</v>
      </c>
      <c r="Z3057" s="1" t="s">
        <v>48554</v>
      </c>
      <c r="AA3057" s="1" t="s">
        <v>48555</v>
      </c>
      <c r="AB3057" s="1" t="s">
        <v>48556</v>
      </c>
      <c r="AC3057" s="1" t="s">
        <v>74</v>
      </c>
      <c r="AD3057" s="1" t="s">
        <v>74</v>
      </c>
      <c r="AE3057" s="1" t="s">
        <v>74</v>
      </c>
      <c r="AF3057" s="1" t="s">
        <v>74</v>
      </c>
      <c r="AG3057" s="1">
        <v>52</v>
      </c>
      <c r="AH3057" s="1">
        <v>1</v>
      </c>
      <c r="AI3057" s="1">
        <v>1</v>
      </c>
      <c r="AJ3057" s="1">
        <v>2</v>
      </c>
      <c r="AK3057" s="1">
        <v>12</v>
      </c>
      <c r="AL3057" s="1" t="s">
        <v>1566</v>
      </c>
      <c r="AM3057" s="1" t="s">
        <v>1567</v>
      </c>
      <c r="AN3057" s="1" t="s">
        <v>1568</v>
      </c>
      <c r="AO3057" s="1" t="s">
        <v>74</v>
      </c>
      <c r="AP3057" s="1" t="s">
        <v>7258</v>
      </c>
      <c r="AQ3057" s="1" t="s">
        <v>74</v>
      </c>
      <c r="AR3057" s="1" t="s">
        <v>7259</v>
      </c>
      <c r="AS3057" s="1" t="s">
        <v>7260</v>
      </c>
      <c r="AT3057" s="1" t="s">
        <v>765</v>
      </c>
      <c r="AU3057" s="1">
        <v>2023</v>
      </c>
      <c r="AV3057" s="1">
        <v>11</v>
      </c>
      <c r="AW3057" s="1">
        <v>7</v>
      </c>
      <c r="AX3057" s="1" t="s">
        <v>74</v>
      </c>
      <c r="AY3057" s="1" t="s">
        <v>74</v>
      </c>
      <c r="AZ3057" s="1" t="s">
        <v>74</v>
      </c>
      <c r="BA3057" s="1" t="s">
        <v>74</v>
      </c>
      <c r="BB3057" s="1" t="s">
        <v>74</v>
      </c>
      <c r="BC3057" s="1" t="s">
        <v>74</v>
      </c>
      <c r="BD3057" s="1">
        <v>1309</v>
      </c>
      <c r="BE3057" s="1" t="s">
        <v>48557</v>
      </c>
      <c r="BF3057" s="1" t="str">
        <f>HYPERLINK("http://dx.doi.org/10.3390/jmse11071309","http://dx.doi.org/10.3390/jmse11071309")</f>
        <v>http://dx.doi.org/10.3390/jmse11071309</v>
      </c>
      <c r="BG3057" s="1" t="s">
        <v>74</v>
      </c>
      <c r="BH3057" s="1" t="s">
        <v>74</v>
      </c>
      <c r="BI3057" s="1">
        <v>10</v>
      </c>
      <c r="BJ3057" s="1" t="s">
        <v>7262</v>
      </c>
      <c r="BK3057" s="1" t="s">
        <v>96</v>
      </c>
      <c r="BL3057" s="1" t="s">
        <v>7263</v>
      </c>
      <c r="BM3057" s="1" t="s">
        <v>48558</v>
      </c>
      <c r="BN3057" s="1" t="s">
        <v>74</v>
      </c>
      <c r="BO3057" s="1" t="s">
        <v>873</v>
      </c>
      <c r="BP3057" s="1" t="s">
        <v>74</v>
      </c>
      <c r="BQ3057" s="1" t="s">
        <v>74</v>
      </c>
      <c r="BR3057" s="1" t="s">
        <v>98</v>
      </c>
      <c r="BS3057" s="1" t="s">
        <v>48559</v>
      </c>
      <c r="BT3057" s="1" t="str">
        <f>HYPERLINK("https%3A%2F%2Fwww.webofscience.com%2Fwos%2Fwoscc%2Ffull-record%2FWOS:001035961000001","View Full Record in Web of Science")</f>
        <v>View Full Record in Web of Science</v>
      </c>
      <c r="BU3057" s="1"/>
      <c r="BV3057" s="1"/>
    </row>
    <row r="3058" spans="1:74">
      <c r="A3058" s="1" t="s">
        <v>72</v>
      </c>
      <c r="B3058" s="1" t="s">
        <v>48560</v>
      </c>
      <c r="C3058" s="1" t="s">
        <v>74</v>
      </c>
      <c r="D3058" s="1" t="s">
        <v>74</v>
      </c>
      <c r="E3058" s="1" t="s">
        <v>74</v>
      </c>
      <c r="F3058" s="1" t="s">
        <v>48561</v>
      </c>
      <c r="G3058" s="1" t="s">
        <v>74</v>
      </c>
      <c r="H3058" s="1" t="s">
        <v>74</v>
      </c>
      <c r="I3058" s="1" t="s">
        <v>48562</v>
      </c>
      <c r="J3058" s="1" t="s">
        <v>275</v>
      </c>
      <c r="K3058" s="1" t="s">
        <v>74</v>
      </c>
      <c r="L3058" s="1" t="s">
        <v>74</v>
      </c>
      <c r="M3058" s="1" t="s">
        <v>78</v>
      </c>
      <c r="N3058" s="1" t="s">
        <v>79</v>
      </c>
      <c r="O3058" s="1" t="s">
        <v>74</v>
      </c>
      <c r="P3058" s="1" t="s">
        <v>74</v>
      </c>
      <c r="Q3058" s="1" t="s">
        <v>74</v>
      </c>
      <c r="R3058" s="1" t="s">
        <v>74</v>
      </c>
      <c r="S3058" s="1" t="s">
        <v>74</v>
      </c>
      <c r="T3058" s="1" t="s">
        <v>48563</v>
      </c>
      <c r="U3058" s="1" t="s">
        <v>48564</v>
      </c>
      <c r="V3058" s="1" t="s">
        <v>48565</v>
      </c>
      <c r="W3058" s="1" t="s">
        <v>48566</v>
      </c>
      <c r="X3058" s="1" t="s">
        <v>5454</v>
      </c>
      <c r="Y3058" s="1" t="s">
        <v>48567</v>
      </c>
      <c r="Z3058" s="1" t="s">
        <v>74</v>
      </c>
      <c r="AA3058" s="1" t="s">
        <v>74</v>
      </c>
      <c r="AB3058" s="1" t="s">
        <v>74</v>
      </c>
      <c r="AC3058" s="1" t="s">
        <v>48568</v>
      </c>
      <c r="AD3058" s="1" t="s">
        <v>48569</v>
      </c>
      <c r="AE3058" s="1" t="s">
        <v>48570</v>
      </c>
      <c r="AF3058" s="1" t="s">
        <v>74</v>
      </c>
      <c r="AG3058" s="1">
        <v>71</v>
      </c>
      <c r="AH3058" s="1">
        <v>41</v>
      </c>
      <c r="AI3058" s="1">
        <v>46</v>
      </c>
      <c r="AJ3058" s="1">
        <v>0</v>
      </c>
      <c r="AK3058" s="1">
        <v>18</v>
      </c>
      <c r="AL3058" s="1" t="s">
        <v>285</v>
      </c>
      <c r="AM3058" s="1" t="s">
        <v>286</v>
      </c>
      <c r="AN3058" s="1" t="s">
        <v>287</v>
      </c>
      <c r="AO3058" s="1" t="s">
        <v>288</v>
      </c>
      <c r="AP3058" s="1" t="s">
        <v>289</v>
      </c>
      <c r="AQ3058" s="1" t="s">
        <v>74</v>
      </c>
      <c r="AR3058" s="1" t="s">
        <v>290</v>
      </c>
      <c r="AS3058" s="1" t="s">
        <v>291</v>
      </c>
      <c r="AT3058" s="1" t="s">
        <v>765</v>
      </c>
      <c r="AU3058" s="1">
        <v>2010</v>
      </c>
      <c r="AV3058" s="1">
        <v>29</v>
      </c>
      <c r="AW3058" s="1">
        <v>1</v>
      </c>
      <c r="AX3058" s="1" t="s">
        <v>74</v>
      </c>
      <c r="AY3058" s="1" t="s">
        <v>74</v>
      </c>
      <c r="AZ3058" s="1" t="s">
        <v>74</v>
      </c>
      <c r="BA3058" s="1" t="s">
        <v>74</v>
      </c>
      <c r="BB3058" s="1">
        <v>136</v>
      </c>
      <c r="BC3058" s="1">
        <v>148</v>
      </c>
      <c r="BD3058" s="1" t="s">
        <v>74</v>
      </c>
      <c r="BE3058" s="1" t="s">
        <v>48571</v>
      </c>
      <c r="BF3058" s="1" t="str">
        <f>HYPERLINK("http://dx.doi.org/10.1016/j.fsi.2010.02.025","http://dx.doi.org/10.1016/j.fsi.2010.02.025")</f>
        <v>http://dx.doi.org/10.1016/j.fsi.2010.02.025</v>
      </c>
      <c r="BG3058" s="1" t="s">
        <v>74</v>
      </c>
      <c r="BH3058" s="1" t="s">
        <v>74</v>
      </c>
      <c r="BI3058" s="1">
        <v>13</v>
      </c>
      <c r="BJ3058" s="1" t="s">
        <v>293</v>
      </c>
      <c r="BK3058" s="1" t="s">
        <v>96</v>
      </c>
      <c r="BL3058" s="1" t="s">
        <v>293</v>
      </c>
      <c r="BM3058" s="1" t="s">
        <v>48572</v>
      </c>
      <c r="BN3058" s="1">
        <v>20211736</v>
      </c>
      <c r="BO3058" s="1" t="s">
        <v>74</v>
      </c>
      <c r="BP3058" s="1" t="s">
        <v>74</v>
      </c>
      <c r="BQ3058" s="1" t="s">
        <v>74</v>
      </c>
      <c r="BR3058" s="1" t="s">
        <v>98</v>
      </c>
      <c r="BS3058" s="1" t="s">
        <v>48573</v>
      </c>
      <c r="BT3058" s="1" t="str">
        <f>HYPERLINK("https%3A%2F%2Fwww.webofscience.com%2Fwos%2Fwoscc%2Ffull-record%2FWOS:000278649000016","View Full Record in Web of Science")</f>
        <v>View Full Record in Web of Science</v>
      </c>
      <c r="BU3058" s="1"/>
      <c r="BV3058" s="1"/>
    </row>
    <row r="3059" spans="1:74">
      <c r="A3059" s="1" t="s">
        <v>72</v>
      </c>
      <c r="B3059" s="1" t="s">
        <v>48574</v>
      </c>
      <c r="C3059" s="1" t="s">
        <v>74</v>
      </c>
      <c r="D3059" s="1" t="s">
        <v>74</v>
      </c>
      <c r="E3059" s="1" t="s">
        <v>74</v>
      </c>
      <c r="F3059" s="1" t="s">
        <v>48575</v>
      </c>
      <c r="G3059" s="1" t="s">
        <v>74</v>
      </c>
      <c r="H3059" s="1" t="s">
        <v>74</v>
      </c>
      <c r="I3059" s="1" t="s">
        <v>48576</v>
      </c>
      <c r="J3059" s="1" t="s">
        <v>5639</v>
      </c>
      <c r="K3059" s="1" t="s">
        <v>74</v>
      </c>
      <c r="L3059" s="1" t="s">
        <v>74</v>
      </c>
      <c r="M3059" s="1" t="s">
        <v>78</v>
      </c>
      <c r="N3059" s="1" t="s">
        <v>151</v>
      </c>
      <c r="O3059" s="1" t="s">
        <v>48577</v>
      </c>
      <c r="P3059" s="1" t="s">
        <v>48578</v>
      </c>
      <c r="Q3059" s="1" t="s">
        <v>48579</v>
      </c>
      <c r="R3059" s="1" t="s">
        <v>74</v>
      </c>
      <c r="S3059" s="1" t="s">
        <v>74</v>
      </c>
      <c r="T3059" s="1" t="s">
        <v>48580</v>
      </c>
      <c r="U3059" s="1" t="s">
        <v>48581</v>
      </c>
      <c r="V3059" s="1" t="s">
        <v>48582</v>
      </c>
      <c r="W3059" s="1" t="s">
        <v>48583</v>
      </c>
      <c r="X3059" s="1" t="s">
        <v>48584</v>
      </c>
      <c r="Y3059" s="1" t="s">
        <v>48585</v>
      </c>
      <c r="Z3059" s="1" t="s">
        <v>48586</v>
      </c>
      <c r="AA3059" s="1" t="s">
        <v>48587</v>
      </c>
      <c r="AB3059" s="1" t="s">
        <v>48588</v>
      </c>
      <c r="AC3059" s="1" t="s">
        <v>74</v>
      </c>
      <c r="AD3059" s="1" t="s">
        <v>74</v>
      </c>
      <c r="AE3059" s="1" t="s">
        <v>74</v>
      </c>
      <c r="AF3059" s="1" t="s">
        <v>74</v>
      </c>
      <c r="AG3059" s="1">
        <v>25</v>
      </c>
      <c r="AH3059" s="1">
        <v>26</v>
      </c>
      <c r="AI3059" s="1">
        <v>30</v>
      </c>
      <c r="AJ3059" s="1">
        <v>0</v>
      </c>
      <c r="AK3059" s="1">
        <v>13</v>
      </c>
      <c r="AL3059" s="1" t="s">
        <v>5644</v>
      </c>
      <c r="AM3059" s="1" t="s">
        <v>5645</v>
      </c>
      <c r="AN3059" s="1" t="s">
        <v>5646</v>
      </c>
      <c r="AO3059" s="1" t="s">
        <v>5647</v>
      </c>
      <c r="AP3059" s="1" t="s">
        <v>5648</v>
      </c>
      <c r="AQ3059" s="1" t="s">
        <v>74</v>
      </c>
      <c r="AR3059" s="1" t="s">
        <v>5649</v>
      </c>
      <c r="AS3059" s="1" t="s">
        <v>5650</v>
      </c>
      <c r="AT3059" s="1" t="s">
        <v>93</v>
      </c>
      <c r="AU3059" s="1">
        <v>2014</v>
      </c>
      <c r="AV3059" s="1" t="s">
        <v>74</v>
      </c>
      <c r="AW3059" s="1" t="s">
        <v>74</v>
      </c>
      <c r="AX3059" s="1" t="s">
        <v>74</v>
      </c>
      <c r="AY3059" s="1" t="s">
        <v>74</v>
      </c>
      <c r="AZ3059" s="1">
        <v>70</v>
      </c>
      <c r="BA3059" s="1" t="s">
        <v>74</v>
      </c>
      <c r="BB3059" s="1">
        <v>431</v>
      </c>
      <c r="BC3059" s="1">
        <v>436</v>
      </c>
      <c r="BD3059" s="1" t="s">
        <v>74</v>
      </c>
      <c r="BE3059" s="1" t="s">
        <v>48589</v>
      </c>
      <c r="BF3059" s="1" t="str">
        <f>HYPERLINK("http://dx.doi.org/10.2112/SI70-073.1","http://dx.doi.org/10.2112/SI70-073.1")</f>
        <v>http://dx.doi.org/10.2112/SI70-073.1</v>
      </c>
      <c r="BG3059" s="1" t="s">
        <v>74</v>
      </c>
      <c r="BH3059" s="1" t="s">
        <v>74</v>
      </c>
      <c r="BI3059" s="1">
        <v>6</v>
      </c>
      <c r="BJ3059" s="1" t="s">
        <v>5652</v>
      </c>
      <c r="BK3059" s="1" t="s">
        <v>172</v>
      </c>
      <c r="BL3059" s="1" t="s">
        <v>5653</v>
      </c>
      <c r="BM3059" s="1" t="s">
        <v>48590</v>
      </c>
      <c r="BN3059" s="1" t="s">
        <v>74</v>
      </c>
      <c r="BO3059" s="1" t="s">
        <v>74</v>
      </c>
      <c r="BP3059" s="1" t="s">
        <v>74</v>
      </c>
      <c r="BQ3059" s="1" t="s">
        <v>74</v>
      </c>
      <c r="BR3059" s="1" t="s">
        <v>98</v>
      </c>
      <c r="BS3059" s="1" t="s">
        <v>48591</v>
      </c>
      <c r="BT3059" s="1" t="str">
        <f>HYPERLINK("https%3A%2F%2Fwww.webofscience.com%2Fwos%2Fwoscc%2Ffull-record%2FWOS:000338176100074","View Full Record in Web of Science")</f>
        <v>View Full Record in Web of Science</v>
      </c>
      <c r="BU3059" s="1"/>
      <c r="BV3059" s="1"/>
    </row>
    <row r="3060" spans="1:74">
      <c r="A3060" s="1" t="s">
        <v>72</v>
      </c>
      <c r="B3060" s="1" t="s">
        <v>48592</v>
      </c>
      <c r="C3060" s="1" t="s">
        <v>74</v>
      </c>
      <c r="D3060" s="1" t="s">
        <v>74</v>
      </c>
      <c r="E3060" s="1" t="s">
        <v>74</v>
      </c>
      <c r="F3060" s="1" t="s">
        <v>48593</v>
      </c>
      <c r="G3060" s="1" t="s">
        <v>74</v>
      </c>
      <c r="H3060" s="1" t="s">
        <v>74</v>
      </c>
      <c r="I3060" s="1" t="s">
        <v>48594</v>
      </c>
      <c r="J3060" s="1" t="s">
        <v>48595</v>
      </c>
      <c r="K3060" s="1" t="s">
        <v>74</v>
      </c>
      <c r="L3060" s="1" t="s">
        <v>74</v>
      </c>
      <c r="M3060" s="1" t="s">
        <v>78</v>
      </c>
      <c r="N3060" s="1" t="s">
        <v>79</v>
      </c>
      <c r="O3060" s="1" t="s">
        <v>74</v>
      </c>
      <c r="P3060" s="1" t="s">
        <v>74</v>
      </c>
      <c r="Q3060" s="1" t="s">
        <v>74</v>
      </c>
      <c r="R3060" s="1" t="s">
        <v>74</v>
      </c>
      <c r="S3060" s="1" t="s">
        <v>74</v>
      </c>
      <c r="T3060" s="1" t="s">
        <v>74</v>
      </c>
      <c r="U3060" s="1" t="s">
        <v>48596</v>
      </c>
      <c r="V3060" s="1" t="s">
        <v>48597</v>
      </c>
      <c r="W3060" s="1" t="s">
        <v>48598</v>
      </c>
      <c r="X3060" s="1" t="s">
        <v>48599</v>
      </c>
      <c r="Y3060" s="1" t="s">
        <v>48600</v>
      </c>
      <c r="Z3060" s="1" t="s">
        <v>48601</v>
      </c>
      <c r="AA3060" s="1" t="s">
        <v>48602</v>
      </c>
      <c r="AB3060" s="1" t="s">
        <v>48603</v>
      </c>
      <c r="AC3060" s="1" t="s">
        <v>48604</v>
      </c>
      <c r="AD3060" s="1" t="s">
        <v>48605</v>
      </c>
      <c r="AE3060" s="1" t="s">
        <v>48606</v>
      </c>
      <c r="AF3060" s="1" t="s">
        <v>74</v>
      </c>
      <c r="AG3060" s="1">
        <v>95</v>
      </c>
      <c r="AH3060" s="1">
        <v>88</v>
      </c>
      <c r="AI3060" s="1">
        <v>102</v>
      </c>
      <c r="AJ3060" s="1">
        <v>5</v>
      </c>
      <c r="AK3060" s="1">
        <v>77</v>
      </c>
      <c r="AL3060" s="1" t="s">
        <v>21002</v>
      </c>
      <c r="AM3060" s="1" t="s">
        <v>21003</v>
      </c>
      <c r="AN3060" s="1" t="s">
        <v>21004</v>
      </c>
      <c r="AO3060" s="1" t="s">
        <v>48607</v>
      </c>
      <c r="AP3060" s="1" t="s">
        <v>48608</v>
      </c>
      <c r="AQ3060" s="1" t="s">
        <v>74</v>
      </c>
      <c r="AR3060" s="1" t="s">
        <v>48609</v>
      </c>
      <c r="AS3060" s="1" t="s">
        <v>48610</v>
      </c>
      <c r="AT3060" s="1" t="s">
        <v>7041</v>
      </c>
      <c r="AU3060" s="1">
        <v>2018</v>
      </c>
      <c r="AV3060" s="1">
        <v>18</v>
      </c>
      <c r="AW3060" s="1">
        <v>3</v>
      </c>
      <c r="AX3060" s="1" t="s">
        <v>74</v>
      </c>
      <c r="AY3060" s="1" t="s">
        <v>74</v>
      </c>
      <c r="AZ3060" s="1" t="s">
        <v>74</v>
      </c>
      <c r="BA3060" s="1" t="s">
        <v>74</v>
      </c>
      <c r="BB3060" s="1">
        <v>2259</v>
      </c>
      <c r="BC3060" s="1">
        <v>2286</v>
      </c>
      <c r="BD3060" s="1" t="s">
        <v>74</v>
      </c>
      <c r="BE3060" s="1" t="s">
        <v>48611</v>
      </c>
      <c r="BF3060" s="1" t="str">
        <f>HYPERLINK("http://dx.doi.org/10.5194/acp-18-2259-2018","http://dx.doi.org/10.5194/acp-18-2259-2018")</f>
        <v>http://dx.doi.org/10.5194/acp-18-2259-2018</v>
      </c>
      <c r="BG3060" s="1" t="s">
        <v>74</v>
      </c>
      <c r="BH3060" s="1" t="s">
        <v>74</v>
      </c>
      <c r="BI3060" s="1">
        <v>28</v>
      </c>
      <c r="BJ3060" s="1" t="s">
        <v>48612</v>
      </c>
      <c r="BK3060" s="1" t="s">
        <v>96</v>
      </c>
      <c r="BL3060" s="1" t="s">
        <v>48613</v>
      </c>
      <c r="BM3060" s="1" t="s">
        <v>48614</v>
      </c>
      <c r="BN3060" s="1" t="s">
        <v>74</v>
      </c>
      <c r="BO3060" s="1" t="s">
        <v>12986</v>
      </c>
      <c r="BP3060" s="1" t="s">
        <v>74</v>
      </c>
      <c r="BQ3060" s="1" t="s">
        <v>74</v>
      </c>
      <c r="BR3060" s="1" t="s">
        <v>98</v>
      </c>
      <c r="BS3060" s="1" t="s">
        <v>48615</v>
      </c>
      <c r="BT3060" s="1" t="str">
        <f>HYPERLINK("https%3A%2F%2Fwww.webofscience.com%2Fwos%2Fwoscc%2Ffull-record%2FWOS:000425311300004","View Full Record in Web of Science")</f>
        <v>View Full Record in Web of Science</v>
      </c>
      <c r="BU3060" s="1"/>
      <c r="BV3060" s="1"/>
    </row>
    <row r="3061" spans="1:74">
      <c r="A3061" s="1" t="s">
        <v>72</v>
      </c>
      <c r="B3061" s="1" t="s">
        <v>48616</v>
      </c>
      <c r="C3061" s="1" t="s">
        <v>74</v>
      </c>
      <c r="D3061" s="1" t="s">
        <v>74</v>
      </c>
      <c r="E3061" s="1" t="s">
        <v>74</v>
      </c>
      <c r="F3061" s="1" t="s">
        <v>48617</v>
      </c>
      <c r="G3061" s="1" t="s">
        <v>74</v>
      </c>
      <c r="H3061" s="1" t="s">
        <v>74</v>
      </c>
      <c r="I3061" s="1" t="s">
        <v>48618</v>
      </c>
      <c r="J3061" s="1" t="s">
        <v>48619</v>
      </c>
      <c r="K3061" s="1" t="s">
        <v>74</v>
      </c>
      <c r="L3061" s="1" t="s">
        <v>74</v>
      </c>
      <c r="M3061" s="1" t="s">
        <v>78</v>
      </c>
      <c r="N3061" s="1" t="s">
        <v>79</v>
      </c>
      <c r="O3061" s="1" t="s">
        <v>74</v>
      </c>
      <c r="P3061" s="1" t="s">
        <v>74</v>
      </c>
      <c r="Q3061" s="1" t="s">
        <v>74</v>
      </c>
      <c r="R3061" s="1" t="s">
        <v>74</v>
      </c>
      <c r="S3061" s="1" t="s">
        <v>74</v>
      </c>
      <c r="T3061" s="1" t="s">
        <v>48620</v>
      </c>
      <c r="U3061" s="1" t="s">
        <v>48621</v>
      </c>
      <c r="V3061" s="1" t="s">
        <v>48622</v>
      </c>
      <c r="W3061" s="1" t="s">
        <v>48623</v>
      </c>
      <c r="X3061" s="1" t="s">
        <v>48624</v>
      </c>
      <c r="Y3061" s="1" t="s">
        <v>48625</v>
      </c>
      <c r="Z3061" s="1" t="s">
        <v>48626</v>
      </c>
      <c r="AA3061" s="1" t="s">
        <v>74</v>
      </c>
      <c r="AB3061" s="1" t="s">
        <v>48627</v>
      </c>
      <c r="AC3061" s="1" t="s">
        <v>48628</v>
      </c>
      <c r="AD3061" s="1" t="s">
        <v>48629</v>
      </c>
      <c r="AE3061" s="1" t="s">
        <v>48630</v>
      </c>
      <c r="AF3061" s="1" t="s">
        <v>74</v>
      </c>
      <c r="AG3061" s="1">
        <v>32</v>
      </c>
      <c r="AH3061" s="1">
        <v>14</v>
      </c>
      <c r="AI3061" s="1">
        <v>15</v>
      </c>
      <c r="AJ3061" s="1">
        <v>1</v>
      </c>
      <c r="AK3061" s="1">
        <v>29</v>
      </c>
      <c r="AL3061" s="1" t="s">
        <v>48631</v>
      </c>
      <c r="AM3061" s="1" t="s">
        <v>48632</v>
      </c>
      <c r="AN3061" s="1" t="s">
        <v>48633</v>
      </c>
      <c r="AO3061" s="1" t="s">
        <v>48634</v>
      </c>
      <c r="AP3061" s="1" t="s">
        <v>48635</v>
      </c>
      <c r="AQ3061" s="1" t="s">
        <v>74</v>
      </c>
      <c r="AR3061" s="1" t="s">
        <v>48636</v>
      </c>
      <c r="AS3061" s="1" t="s">
        <v>48637</v>
      </c>
      <c r="AT3061" s="1" t="s">
        <v>3542</v>
      </c>
      <c r="AU3061" s="1">
        <v>2020</v>
      </c>
      <c r="AV3061" s="1">
        <v>42</v>
      </c>
      <c r="AW3061" s="1">
        <v>4</v>
      </c>
      <c r="AX3061" s="1" t="s">
        <v>74</v>
      </c>
      <c r="AY3061" s="1" t="s">
        <v>74</v>
      </c>
      <c r="AZ3061" s="1" t="s">
        <v>74</v>
      </c>
      <c r="BA3061" s="1" t="s">
        <v>74</v>
      </c>
      <c r="BB3061" s="1">
        <v>405</v>
      </c>
      <c r="BC3061" s="1">
        <v>411</v>
      </c>
      <c r="BD3061" s="1" t="s">
        <v>74</v>
      </c>
      <c r="BE3061" s="1" t="s">
        <v>48638</v>
      </c>
      <c r="BF3061" s="1" t="str">
        <f>HYPERLINK("http://dx.doi.org/10.2989/1814232X.2020.1829045","http://dx.doi.org/10.2989/1814232X.2020.1829045")</f>
        <v>http://dx.doi.org/10.2989/1814232X.2020.1829045</v>
      </c>
      <c r="BG3061" s="1" t="s">
        <v>74</v>
      </c>
      <c r="BH3061" s="1" t="s">
        <v>74</v>
      </c>
      <c r="BI3061" s="1">
        <v>7</v>
      </c>
      <c r="BJ3061" s="1" t="s">
        <v>680</v>
      </c>
      <c r="BK3061" s="1" t="s">
        <v>96</v>
      </c>
      <c r="BL3061" s="1" t="s">
        <v>680</v>
      </c>
      <c r="BM3061" s="1" t="s">
        <v>48639</v>
      </c>
      <c r="BN3061" s="1" t="s">
        <v>74</v>
      </c>
      <c r="BO3061" s="1" t="s">
        <v>74</v>
      </c>
      <c r="BP3061" s="1" t="s">
        <v>74</v>
      </c>
      <c r="BQ3061" s="1" t="s">
        <v>74</v>
      </c>
      <c r="BR3061" s="1" t="s">
        <v>98</v>
      </c>
      <c r="BS3061" s="1" t="s">
        <v>48640</v>
      </c>
      <c r="BT3061" s="1" t="str">
        <f>HYPERLINK("https%3A%2F%2Fwww.webofscience.com%2Fwos%2Fwoscc%2Ffull-record%2FWOS:000599359400003","View Full Record in Web of Science")</f>
        <v>View Full Record in Web of Science</v>
      </c>
      <c r="BU3061" s="1"/>
      <c r="BV3061" s="1"/>
    </row>
    <row r="3062" spans="1:74">
      <c r="A3062" s="1" t="s">
        <v>72</v>
      </c>
      <c r="B3062" s="1" t="s">
        <v>48641</v>
      </c>
      <c r="C3062" s="1" t="s">
        <v>74</v>
      </c>
      <c r="D3062" s="1" t="s">
        <v>74</v>
      </c>
      <c r="E3062" s="1" t="s">
        <v>74</v>
      </c>
      <c r="F3062" s="1" t="s">
        <v>48641</v>
      </c>
      <c r="G3062" s="1" t="s">
        <v>74</v>
      </c>
      <c r="H3062" s="1" t="s">
        <v>74</v>
      </c>
      <c r="I3062" s="1" t="s">
        <v>48642</v>
      </c>
      <c r="J3062" s="1" t="s">
        <v>421</v>
      </c>
      <c r="K3062" s="1" t="s">
        <v>74</v>
      </c>
      <c r="L3062" s="1" t="s">
        <v>74</v>
      </c>
      <c r="M3062" s="1" t="s">
        <v>78</v>
      </c>
      <c r="N3062" s="1" t="s">
        <v>79</v>
      </c>
      <c r="O3062" s="1" t="s">
        <v>74</v>
      </c>
      <c r="P3062" s="1" t="s">
        <v>74</v>
      </c>
      <c r="Q3062" s="1" t="s">
        <v>74</v>
      </c>
      <c r="R3062" s="1" t="s">
        <v>74</v>
      </c>
      <c r="S3062" s="1" t="s">
        <v>74</v>
      </c>
      <c r="T3062" s="1" t="s">
        <v>48643</v>
      </c>
      <c r="U3062" s="1" t="s">
        <v>48644</v>
      </c>
      <c r="V3062" s="1" t="s">
        <v>48645</v>
      </c>
      <c r="W3062" s="1" t="s">
        <v>48646</v>
      </c>
      <c r="X3062" s="1" t="s">
        <v>48647</v>
      </c>
      <c r="Y3062" s="1" t="s">
        <v>48648</v>
      </c>
      <c r="Z3062" s="1" t="s">
        <v>48649</v>
      </c>
      <c r="AA3062" s="1" t="s">
        <v>48650</v>
      </c>
      <c r="AB3062" s="1" t="s">
        <v>48651</v>
      </c>
      <c r="AC3062" s="1" t="s">
        <v>74</v>
      </c>
      <c r="AD3062" s="1" t="s">
        <v>74</v>
      </c>
      <c r="AE3062" s="1" t="s">
        <v>74</v>
      </c>
      <c r="AF3062" s="1" t="s">
        <v>74</v>
      </c>
      <c r="AG3062" s="1">
        <v>53</v>
      </c>
      <c r="AH3062" s="1">
        <v>57</v>
      </c>
      <c r="AI3062" s="1">
        <v>57</v>
      </c>
      <c r="AJ3062" s="1">
        <v>0</v>
      </c>
      <c r="AK3062" s="1">
        <v>12</v>
      </c>
      <c r="AL3062" s="1" t="s">
        <v>430</v>
      </c>
      <c r="AM3062" s="1" t="s">
        <v>137</v>
      </c>
      <c r="AN3062" s="1" t="s">
        <v>431</v>
      </c>
      <c r="AO3062" s="1" t="s">
        <v>432</v>
      </c>
      <c r="AP3062" s="1" t="s">
        <v>1394</v>
      </c>
      <c r="AQ3062" s="1" t="s">
        <v>74</v>
      </c>
      <c r="AR3062" s="1" t="s">
        <v>433</v>
      </c>
      <c r="AS3062" s="1" t="s">
        <v>434</v>
      </c>
      <c r="AT3062" s="1" t="s">
        <v>765</v>
      </c>
      <c r="AU3062" s="1">
        <v>2005</v>
      </c>
      <c r="AV3062" s="1">
        <v>136</v>
      </c>
      <c r="AW3062" s="1">
        <v>1</v>
      </c>
      <c r="AX3062" s="1" t="s">
        <v>74</v>
      </c>
      <c r="AY3062" s="1" t="s">
        <v>74</v>
      </c>
      <c r="AZ3062" s="1" t="s">
        <v>74</v>
      </c>
      <c r="BA3062" s="1" t="s">
        <v>74</v>
      </c>
      <c r="BB3062" s="1">
        <v>119</v>
      </c>
      <c r="BC3062" s="1">
        <v>134</v>
      </c>
      <c r="BD3062" s="1" t="s">
        <v>74</v>
      </c>
      <c r="BE3062" s="1" t="s">
        <v>48652</v>
      </c>
      <c r="BF3062" s="1" t="str">
        <f>HYPERLINK("http://dx.doi.org/10.1016/j.envpol.2004.11.026","http://dx.doi.org/10.1016/j.envpol.2004.11.026")</f>
        <v>http://dx.doi.org/10.1016/j.envpol.2004.11.026</v>
      </c>
      <c r="BG3062" s="1" t="s">
        <v>74</v>
      </c>
      <c r="BH3062" s="1" t="s">
        <v>74</v>
      </c>
      <c r="BI3062" s="1">
        <v>16</v>
      </c>
      <c r="BJ3062" s="1" t="s">
        <v>144</v>
      </c>
      <c r="BK3062" s="1" t="s">
        <v>96</v>
      </c>
      <c r="BL3062" s="1" t="s">
        <v>145</v>
      </c>
      <c r="BM3062" s="1" t="s">
        <v>48653</v>
      </c>
      <c r="BN3062" s="1">
        <v>15809114</v>
      </c>
      <c r="BO3062" s="1" t="s">
        <v>74</v>
      </c>
      <c r="BP3062" s="1" t="s">
        <v>74</v>
      </c>
      <c r="BQ3062" s="1" t="s">
        <v>74</v>
      </c>
      <c r="BR3062" s="1" t="s">
        <v>98</v>
      </c>
      <c r="BS3062" s="1" t="s">
        <v>48654</v>
      </c>
      <c r="BT3062" s="1" t="str">
        <f>HYPERLINK("https%3A%2F%2Fwww.webofscience.com%2Fwos%2Fwoscc%2Ffull-record%2FWOS:000228788700012","View Full Record in Web of Science")</f>
        <v>View Full Record in Web of Science</v>
      </c>
      <c r="BU3062" s="1"/>
      <c r="BV3062" s="1"/>
    </row>
    <row r="3063" spans="1:74">
      <c r="A3063" s="1" t="s">
        <v>72</v>
      </c>
      <c r="B3063" s="1" t="s">
        <v>48655</v>
      </c>
      <c r="C3063" s="1" t="s">
        <v>74</v>
      </c>
      <c r="D3063" s="1" t="s">
        <v>74</v>
      </c>
      <c r="E3063" s="1" t="s">
        <v>74</v>
      </c>
      <c r="F3063" s="1" t="s">
        <v>48656</v>
      </c>
      <c r="G3063" s="1" t="s">
        <v>74</v>
      </c>
      <c r="H3063" s="1" t="s">
        <v>74</v>
      </c>
      <c r="I3063" s="1" t="s">
        <v>48657</v>
      </c>
      <c r="J3063" s="1" t="s">
        <v>752</v>
      </c>
      <c r="K3063" s="1" t="s">
        <v>74</v>
      </c>
      <c r="L3063" s="1" t="s">
        <v>74</v>
      </c>
      <c r="M3063" s="1" t="s">
        <v>78</v>
      </c>
      <c r="N3063" s="1" t="s">
        <v>79</v>
      </c>
      <c r="O3063" s="1" t="s">
        <v>74</v>
      </c>
      <c r="P3063" s="1" t="s">
        <v>74</v>
      </c>
      <c r="Q3063" s="1" t="s">
        <v>74</v>
      </c>
      <c r="R3063" s="1" t="s">
        <v>74</v>
      </c>
      <c r="S3063" s="1" t="s">
        <v>74</v>
      </c>
      <c r="T3063" s="1" t="s">
        <v>48658</v>
      </c>
      <c r="U3063" s="1" t="s">
        <v>48659</v>
      </c>
      <c r="V3063" s="1" t="s">
        <v>48660</v>
      </c>
      <c r="W3063" s="1" t="s">
        <v>48661</v>
      </c>
      <c r="X3063" s="1" t="s">
        <v>48662</v>
      </c>
      <c r="Y3063" s="1" t="s">
        <v>48663</v>
      </c>
      <c r="Z3063" s="1" t="s">
        <v>48664</v>
      </c>
      <c r="AA3063" s="1" t="s">
        <v>48665</v>
      </c>
      <c r="AB3063" s="1" t="s">
        <v>48666</v>
      </c>
      <c r="AC3063" s="1" t="s">
        <v>48667</v>
      </c>
      <c r="AD3063" s="1" t="s">
        <v>48668</v>
      </c>
      <c r="AE3063" s="1" t="s">
        <v>48669</v>
      </c>
      <c r="AF3063" s="1" t="s">
        <v>74</v>
      </c>
      <c r="AG3063" s="1">
        <v>53</v>
      </c>
      <c r="AH3063" s="1">
        <v>34</v>
      </c>
      <c r="AI3063" s="1">
        <v>35</v>
      </c>
      <c r="AJ3063" s="1">
        <v>1</v>
      </c>
      <c r="AK3063" s="1">
        <v>107</v>
      </c>
      <c r="AL3063" s="1" t="s">
        <v>430</v>
      </c>
      <c r="AM3063" s="1" t="s">
        <v>137</v>
      </c>
      <c r="AN3063" s="1" t="s">
        <v>431</v>
      </c>
      <c r="AO3063" s="1" t="s">
        <v>761</v>
      </c>
      <c r="AP3063" s="1" t="s">
        <v>762</v>
      </c>
      <c r="AQ3063" s="1" t="s">
        <v>74</v>
      </c>
      <c r="AR3063" s="1" t="s">
        <v>763</v>
      </c>
      <c r="AS3063" s="1" t="s">
        <v>764</v>
      </c>
      <c r="AT3063" s="1" t="s">
        <v>1223</v>
      </c>
      <c r="AU3063" s="1">
        <v>2017</v>
      </c>
      <c r="AV3063" s="1">
        <v>124</v>
      </c>
      <c r="AW3063" s="1" t="s">
        <v>74</v>
      </c>
      <c r="AX3063" s="1" t="s">
        <v>74</v>
      </c>
      <c r="AY3063" s="1" t="s">
        <v>74</v>
      </c>
      <c r="AZ3063" s="1" t="s">
        <v>225</v>
      </c>
      <c r="BA3063" s="1" t="s">
        <v>74</v>
      </c>
      <c r="BB3063" s="1">
        <v>21</v>
      </c>
      <c r="BC3063" s="1">
        <v>31</v>
      </c>
      <c r="BD3063" s="1" t="s">
        <v>74</v>
      </c>
      <c r="BE3063" s="1" t="s">
        <v>48670</v>
      </c>
      <c r="BF3063" s="1" t="str">
        <f>HYPERLINK("http://dx.doi.org/10.1016/j.marenvres.2016.04.005","http://dx.doi.org/10.1016/j.marenvres.2016.04.005")</f>
        <v>http://dx.doi.org/10.1016/j.marenvres.2016.04.005</v>
      </c>
      <c r="BG3063" s="1" t="s">
        <v>74</v>
      </c>
      <c r="BH3063" s="1" t="s">
        <v>74</v>
      </c>
      <c r="BI3063" s="1">
        <v>11</v>
      </c>
      <c r="BJ3063" s="1" t="s">
        <v>768</v>
      </c>
      <c r="BK3063" s="1" t="s">
        <v>96</v>
      </c>
      <c r="BL3063" s="1" t="s">
        <v>769</v>
      </c>
      <c r="BM3063" s="1" t="s">
        <v>48671</v>
      </c>
      <c r="BN3063" s="1">
        <v>27112302</v>
      </c>
      <c r="BO3063" s="1" t="s">
        <v>1752</v>
      </c>
      <c r="BP3063" s="1" t="s">
        <v>74</v>
      </c>
      <c r="BQ3063" s="1" t="s">
        <v>74</v>
      </c>
      <c r="BR3063" s="1" t="s">
        <v>98</v>
      </c>
      <c r="BS3063" s="1" t="s">
        <v>48672</v>
      </c>
      <c r="BT3063" s="1" t="str">
        <f>HYPERLINK("https%3A%2F%2Fwww.webofscience.com%2Fwos%2Fwoscc%2Ffull-record%2FWOS:000392678200004","View Full Record in Web of Science")</f>
        <v>View Full Record in Web of Science</v>
      </c>
      <c r="BU3063" s="1"/>
      <c r="BV3063" s="1"/>
    </row>
    <row r="3064" spans="1:74">
      <c r="A3064" s="1" t="s">
        <v>72</v>
      </c>
      <c r="B3064" s="1" t="s">
        <v>48673</v>
      </c>
      <c r="C3064" s="1" t="s">
        <v>74</v>
      </c>
      <c r="D3064" s="1" t="s">
        <v>74</v>
      </c>
      <c r="E3064" s="1" t="s">
        <v>74</v>
      </c>
      <c r="F3064" s="1" t="s">
        <v>48673</v>
      </c>
      <c r="G3064" s="1" t="s">
        <v>74</v>
      </c>
      <c r="H3064" s="1" t="s">
        <v>74</v>
      </c>
      <c r="I3064" s="1" t="s">
        <v>48674</v>
      </c>
      <c r="J3064" s="1" t="s">
        <v>421</v>
      </c>
      <c r="K3064" s="1" t="s">
        <v>74</v>
      </c>
      <c r="L3064" s="1" t="s">
        <v>74</v>
      </c>
      <c r="M3064" s="1" t="s">
        <v>78</v>
      </c>
      <c r="N3064" s="1" t="s">
        <v>79</v>
      </c>
      <c r="O3064" s="1" t="s">
        <v>74</v>
      </c>
      <c r="P3064" s="1" t="s">
        <v>74</v>
      </c>
      <c r="Q3064" s="1" t="s">
        <v>74</v>
      </c>
      <c r="R3064" s="1" t="s">
        <v>74</v>
      </c>
      <c r="S3064" s="1" t="s">
        <v>74</v>
      </c>
      <c r="T3064" s="1" t="s">
        <v>74</v>
      </c>
      <c r="U3064" s="1" t="s">
        <v>48675</v>
      </c>
      <c r="V3064" s="1" t="s">
        <v>48676</v>
      </c>
      <c r="W3064" s="1" t="s">
        <v>74</v>
      </c>
      <c r="X3064" s="1" t="s">
        <v>74</v>
      </c>
      <c r="Y3064" s="1" t="s">
        <v>48677</v>
      </c>
      <c r="Z3064" s="1" t="s">
        <v>74</v>
      </c>
      <c r="AA3064" s="1" t="s">
        <v>74</v>
      </c>
      <c r="AB3064" s="1" t="s">
        <v>74</v>
      </c>
      <c r="AC3064" s="1" t="s">
        <v>74</v>
      </c>
      <c r="AD3064" s="1" t="s">
        <v>74</v>
      </c>
      <c r="AE3064" s="1" t="s">
        <v>74</v>
      </c>
      <c r="AF3064" s="1" t="s">
        <v>74</v>
      </c>
      <c r="AG3064" s="1">
        <v>26</v>
      </c>
      <c r="AH3064" s="1">
        <v>6</v>
      </c>
      <c r="AI3064" s="1">
        <v>6</v>
      </c>
      <c r="AJ3064" s="1">
        <v>0</v>
      </c>
      <c r="AK3064" s="1">
        <v>11</v>
      </c>
      <c r="AL3064" s="1" t="s">
        <v>430</v>
      </c>
      <c r="AM3064" s="1" t="s">
        <v>137</v>
      </c>
      <c r="AN3064" s="1" t="s">
        <v>1600</v>
      </c>
      <c r="AO3064" s="1" t="s">
        <v>432</v>
      </c>
      <c r="AP3064" s="1" t="s">
        <v>74</v>
      </c>
      <c r="AQ3064" s="1" t="s">
        <v>74</v>
      </c>
      <c r="AR3064" s="1" t="s">
        <v>433</v>
      </c>
      <c r="AS3064" s="1" t="s">
        <v>434</v>
      </c>
      <c r="AT3064" s="1" t="s">
        <v>74</v>
      </c>
      <c r="AU3064" s="1">
        <v>1997</v>
      </c>
      <c r="AV3064" s="1">
        <v>95</v>
      </c>
      <c r="AW3064" s="1">
        <v>3</v>
      </c>
      <c r="AX3064" s="1" t="s">
        <v>74</v>
      </c>
      <c r="AY3064" s="1" t="s">
        <v>74</v>
      </c>
      <c r="AZ3064" s="1" t="s">
        <v>74</v>
      </c>
      <c r="BA3064" s="1" t="s">
        <v>74</v>
      </c>
      <c r="BB3064" s="1">
        <v>303</v>
      </c>
      <c r="BC3064" s="1">
        <v>309</v>
      </c>
      <c r="BD3064" s="1" t="s">
        <v>74</v>
      </c>
      <c r="BE3064" s="1" t="s">
        <v>48678</v>
      </c>
      <c r="BF3064" s="1" t="str">
        <f>HYPERLINK("http://dx.doi.org/10.1016/S0269-7491(96)00143-1","http://dx.doi.org/10.1016/S0269-7491(96)00143-1")</f>
        <v>http://dx.doi.org/10.1016/S0269-7491(96)00143-1</v>
      </c>
      <c r="BG3064" s="1" t="s">
        <v>74</v>
      </c>
      <c r="BH3064" s="1" t="s">
        <v>74</v>
      </c>
      <c r="BI3064" s="1">
        <v>7</v>
      </c>
      <c r="BJ3064" s="1" t="s">
        <v>144</v>
      </c>
      <c r="BK3064" s="1" t="s">
        <v>96</v>
      </c>
      <c r="BL3064" s="1" t="s">
        <v>145</v>
      </c>
      <c r="BM3064" s="1" t="s">
        <v>48679</v>
      </c>
      <c r="BN3064" s="1">
        <v>15093444</v>
      </c>
      <c r="BO3064" s="1" t="s">
        <v>74</v>
      </c>
      <c r="BP3064" s="1" t="s">
        <v>74</v>
      </c>
      <c r="BQ3064" s="1" t="s">
        <v>74</v>
      </c>
      <c r="BR3064" s="1" t="s">
        <v>98</v>
      </c>
      <c r="BS3064" s="1" t="s">
        <v>48680</v>
      </c>
      <c r="BT3064" s="1" t="str">
        <f>HYPERLINK("https%3A%2F%2Fwww.webofscience.com%2Fwos%2Fwoscc%2Ffull-record%2FWOS:A1997XC30500005","View Full Record in Web of Science")</f>
        <v>View Full Record in Web of Science</v>
      </c>
      <c r="BU3064" s="1"/>
      <c r="BV3064" s="1"/>
    </row>
    <row r="3065" spans="1:74">
      <c r="A3065" s="1" t="s">
        <v>72</v>
      </c>
      <c r="B3065" s="1" t="s">
        <v>48681</v>
      </c>
      <c r="C3065" s="1" t="s">
        <v>74</v>
      </c>
      <c r="D3065" s="1" t="s">
        <v>74</v>
      </c>
      <c r="E3065" s="1" t="s">
        <v>74</v>
      </c>
      <c r="F3065" s="1" t="s">
        <v>48682</v>
      </c>
      <c r="G3065" s="1" t="s">
        <v>74</v>
      </c>
      <c r="H3065" s="1" t="s">
        <v>74</v>
      </c>
      <c r="I3065" s="1" t="s">
        <v>48683</v>
      </c>
      <c r="J3065" s="1" t="s">
        <v>204</v>
      </c>
      <c r="K3065" s="1" t="s">
        <v>74</v>
      </c>
      <c r="L3065" s="1" t="s">
        <v>74</v>
      </c>
      <c r="M3065" s="1" t="s">
        <v>78</v>
      </c>
      <c r="N3065" s="1" t="s">
        <v>79</v>
      </c>
      <c r="O3065" s="1" t="s">
        <v>74</v>
      </c>
      <c r="P3065" s="1" t="s">
        <v>74</v>
      </c>
      <c r="Q3065" s="1" t="s">
        <v>74</v>
      </c>
      <c r="R3065" s="1" t="s">
        <v>74</v>
      </c>
      <c r="S3065" s="1" t="s">
        <v>74</v>
      </c>
      <c r="T3065" s="1" t="s">
        <v>48684</v>
      </c>
      <c r="U3065" s="1" t="s">
        <v>48685</v>
      </c>
      <c r="V3065" s="1" t="s">
        <v>48686</v>
      </c>
      <c r="W3065" s="1" t="s">
        <v>48687</v>
      </c>
      <c r="X3065" s="1" t="s">
        <v>48688</v>
      </c>
      <c r="Y3065" s="1" t="s">
        <v>48689</v>
      </c>
      <c r="Z3065" s="1" t="s">
        <v>48690</v>
      </c>
      <c r="AA3065" s="1" t="s">
        <v>48691</v>
      </c>
      <c r="AB3065" s="1" t="s">
        <v>48692</v>
      </c>
      <c r="AC3065" s="1" t="s">
        <v>48693</v>
      </c>
      <c r="AD3065" s="1" t="s">
        <v>48694</v>
      </c>
      <c r="AE3065" s="1" t="s">
        <v>48695</v>
      </c>
      <c r="AF3065" s="1" t="s">
        <v>74</v>
      </c>
      <c r="AG3065" s="1">
        <v>41</v>
      </c>
      <c r="AH3065" s="1">
        <v>21</v>
      </c>
      <c r="AI3065" s="1">
        <v>21</v>
      </c>
      <c r="AJ3065" s="1">
        <v>3</v>
      </c>
      <c r="AK3065" s="1">
        <v>49</v>
      </c>
      <c r="AL3065" s="1" t="s">
        <v>217</v>
      </c>
      <c r="AM3065" s="1" t="s">
        <v>218</v>
      </c>
      <c r="AN3065" s="1" t="s">
        <v>219</v>
      </c>
      <c r="AO3065" s="1" t="s">
        <v>220</v>
      </c>
      <c r="AP3065" s="1" t="s">
        <v>221</v>
      </c>
      <c r="AQ3065" s="1" t="s">
        <v>74</v>
      </c>
      <c r="AR3065" s="1" t="s">
        <v>222</v>
      </c>
      <c r="AS3065" s="1" t="s">
        <v>223</v>
      </c>
      <c r="AT3065" s="1" t="s">
        <v>765</v>
      </c>
      <c r="AU3065" s="1">
        <v>2017</v>
      </c>
      <c r="AV3065" s="1">
        <v>24</v>
      </c>
      <c r="AW3065" s="1">
        <v>20</v>
      </c>
      <c r="AX3065" s="1" t="s">
        <v>74</v>
      </c>
      <c r="AY3065" s="1" t="s">
        <v>74</v>
      </c>
      <c r="AZ3065" s="1" t="s">
        <v>74</v>
      </c>
      <c r="BA3065" s="1" t="s">
        <v>74</v>
      </c>
      <c r="BB3065" s="1">
        <v>16893</v>
      </c>
      <c r="BC3065" s="1">
        <v>16904</v>
      </c>
      <c r="BD3065" s="1" t="s">
        <v>74</v>
      </c>
      <c r="BE3065" s="1" t="s">
        <v>48696</v>
      </c>
      <c r="BF3065" s="1" t="str">
        <f>HYPERLINK("http://dx.doi.org/10.1007/s11356-017-9297-6","http://dx.doi.org/10.1007/s11356-017-9297-6")</f>
        <v>http://dx.doi.org/10.1007/s11356-017-9297-6</v>
      </c>
      <c r="BG3065" s="1" t="s">
        <v>74</v>
      </c>
      <c r="BH3065" s="1" t="s">
        <v>74</v>
      </c>
      <c r="BI3065" s="1">
        <v>12</v>
      </c>
      <c r="BJ3065" s="1" t="s">
        <v>144</v>
      </c>
      <c r="BK3065" s="1" t="s">
        <v>96</v>
      </c>
      <c r="BL3065" s="1" t="s">
        <v>145</v>
      </c>
      <c r="BM3065" s="1" t="s">
        <v>48697</v>
      </c>
      <c r="BN3065" s="1">
        <v>28573566</v>
      </c>
      <c r="BO3065" s="1" t="s">
        <v>74</v>
      </c>
      <c r="BP3065" s="1" t="s">
        <v>74</v>
      </c>
      <c r="BQ3065" s="1" t="s">
        <v>74</v>
      </c>
      <c r="BR3065" s="1" t="s">
        <v>98</v>
      </c>
      <c r="BS3065" s="1" t="s">
        <v>48698</v>
      </c>
      <c r="BT3065" s="1" t="str">
        <f>HYPERLINK("https%3A%2F%2Fwww.webofscience.com%2Fwos%2Fwoscc%2Ffull-record%2FWOS:000405580000030","View Full Record in Web of Science")</f>
        <v>View Full Record in Web of Science</v>
      </c>
      <c r="BU3065" s="1"/>
      <c r="BV3065" s="1"/>
    </row>
    <row r="3066" spans="1:74">
      <c r="A3066" s="1" t="s">
        <v>72</v>
      </c>
      <c r="B3066" s="1" t="s">
        <v>48699</v>
      </c>
      <c r="C3066" s="1" t="s">
        <v>74</v>
      </c>
      <c r="D3066" s="1" t="s">
        <v>74</v>
      </c>
      <c r="E3066" s="1" t="s">
        <v>74</v>
      </c>
      <c r="F3066" s="1" t="s">
        <v>48700</v>
      </c>
      <c r="G3066" s="1" t="s">
        <v>74</v>
      </c>
      <c r="H3066" s="1" t="s">
        <v>74</v>
      </c>
      <c r="I3066" s="1" t="s">
        <v>48701</v>
      </c>
      <c r="J3066" s="1" t="s">
        <v>48702</v>
      </c>
      <c r="K3066" s="1" t="s">
        <v>74</v>
      </c>
      <c r="L3066" s="1" t="s">
        <v>74</v>
      </c>
      <c r="M3066" s="1" t="s">
        <v>78</v>
      </c>
      <c r="N3066" s="1" t="s">
        <v>79</v>
      </c>
      <c r="O3066" s="1" t="s">
        <v>74</v>
      </c>
      <c r="P3066" s="1" t="s">
        <v>74</v>
      </c>
      <c r="Q3066" s="1" t="s">
        <v>74</v>
      </c>
      <c r="R3066" s="1" t="s">
        <v>74</v>
      </c>
      <c r="S3066" s="1" t="s">
        <v>74</v>
      </c>
      <c r="T3066" s="1" t="s">
        <v>48703</v>
      </c>
      <c r="U3066" s="1" t="s">
        <v>48704</v>
      </c>
      <c r="V3066" s="1" t="s">
        <v>48705</v>
      </c>
      <c r="W3066" s="1" t="s">
        <v>48706</v>
      </c>
      <c r="X3066" s="1" t="s">
        <v>48707</v>
      </c>
      <c r="Y3066" s="1" t="s">
        <v>48708</v>
      </c>
      <c r="Z3066" s="1" t="s">
        <v>48709</v>
      </c>
      <c r="AA3066" s="1" t="s">
        <v>48710</v>
      </c>
      <c r="AB3066" s="1" t="s">
        <v>48711</v>
      </c>
      <c r="AC3066" s="1" t="s">
        <v>48712</v>
      </c>
      <c r="AD3066" s="1" t="s">
        <v>48712</v>
      </c>
      <c r="AE3066" s="1" t="s">
        <v>48713</v>
      </c>
      <c r="AF3066" s="1" t="s">
        <v>74</v>
      </c>
      <c r="AG3066" s="1">
        <v>60</v>
      </c>
      <c r="AH3066" s="1">
        <v>9</v>
      </c>
      <c r="AI3066" s="1">
        <v>9</v>
      </c>
      <c r="AJ3066" s="1">
        <v>0</v>
      </c>
      <c r="AK3066" s="1">
        <v>5</v>
      </c>
      <c r="AL3066" s="1" t="s">
        <v>86</v>
      </c>
      <c r="AM3066" s="1" t="s">
        <v>87</v>
      </c>
      <c r="AN3066" s="1" t="s">
        <v>88</v>
      </c>
      <c r="AO3066" s="1" t="s">
        <v>48714</v>
      </c>
      <c r="AP3066" s="1" t="s">
        <v>48715</v>
      </c>
      <c r="AQ3066" s="1" t="s">
        <v>74</v>
      </c>
      <c r="AR3066" s="1" t="s">
        <v>48716</v>
      </c>
      <c r="AS3066" s="1" t="s">
        <v>48717</v>
      </c>
      <c r="AT3066" s="1" t="s">
        <v>1223</v>
      </c>
      <c r="AU3066" s="1">
        <v>2021</v>
      </c>
      <c r="AV3066" s="1">
        <v>16</v>
      </c>
      <c r="AW3066" s="1">
        <v>2</v>
      </c>
      <c r="AX3066" s="1" t="s">
        <v>74</v>
      </c>
      <c r="AY3066" s="1" t="s">
        <v>74</v>
      </c>
      <c r="AZ3066" s="1" t="s">
        <v>74</v>
      </c>
      <c r="BA3066" s="1" t="s">
        <v>74</v>
      </c>
      <c r="BB3066" s="1">
        <v>138</v>
      </c>
      <c r="BC3066" s="1">
        <v>148</v>
      </c>
      <c r="BD3066" s="1" t="s">
        <v>74</v>
      </c>
      <c r="BE3066" s="1" t="s">
        <v>48718</v>
      </c>
      <c r="BF3066" s="1" t="str">
        <f>HYPERLINK("http://dx.doi.org/10.1111/1749-4877.12471","http://dx.doi.org/10.1111/1749-4877.12471")</f>
        <v>http://dx.doi.org/10.1111/1749-4877.12471</v>
      </c>
      <c r="BG3066" s="1" t="s">
        <v>74</v>
      </c>
      <c r="BH3066" s="1" t="s">
        <v>3851</v>
      </c>
      <c r="BI3066" s="1">
        <v>11</v>
      </c>
      <c r="BJ3066" s="1" t="s">
        <v>2210</v>
      </c>
      <c r="BK3066" s="1" t="s">
        <v>96</v>
      </c>
      <c r="BL3066" s="1" t="s">
        <v>2210</v>
      </c>
      <c r="BM3066" s="1" t="s">
        <v>48719</v>
      </c>
      <c r="BN3066" s="1">
        <v>32644287</v>
      </c>
      <c r="BO3066" s="1" t="s">
        <v>1270</v>
      </c>
      <c r="BP3066" s="1" t="s">
        <v>74</v>
      </c>
      <c r="BQ3066" s="1" t="s">
        <v>74</v>
      </c>
      <c r="BR3066" s="1" t="s">
        <v>98</v>
      </c>
      <c r="BS3066" s="1" t="s">
        <v>48720</v>
      </c>
      <c r="BT3066" s="1" t="str">
        <f>HYPERLINK("https%3A%2F%2Fwww.webofscience.com%2Fwos%2Fwoscc%2Ffull-record%2FWOS:000554739300001","View Full Record in Web of Science")</f>
        <v>View Full Record in Web of Science</v>
      </c>
      <c r="BU3066" s="1"/>
      <c r="BV3066" s="1"/>
    </row>
    <row r="3067" spans="1:74">
      <c r="A3067" s="1" t="s">
        <v>72</v>
      </c>
      <c r="B3067" s="1" t="s">
        <v>48721</v>
      </c>
      <c r="C3067" s="1" t="s">
        <v>74</v>
      </c>
      <c r="D3067" s="1" t="s">
        <v>74</v>
      </c>
      <c r="E3067" s="1" t="s">
        <v>74</v>
      </c>
      <c r="F3067" s="1" t="s">
        <v>48722</v>
      </c>
      <c r="G3067" s="1" t="s">
        <v>74</v>
      </c>
      <c r="H3067" s="1" t="s">
        <v>74</v>
      </c>
      <c r="I3067" s="1" t="s">
        <v>48723</v>
      </c>
      <c r="J3067" s="1" t="s">
        <v>1202</v>
      </c>
      <c r="K3067" s="1" t="s">
        <v>74</v>
      </c>
      <c r="L3067" s="1" t="s">
        <v>74</v>
      </c>
      <c r="M3067" s="1" t="s">
        <v>78</v>
      </c>
      <c r="N3067" s="1" t="s">
        <v>79</v>
      </c>
      <c r="O3067" s="1" t="s">
        <v>74</v>
      </c>
      <c r="P3067" s="1" t="s">
        <v>74</v>
      </c>
      <c r="Q3067" s="1" t="s">
        <v>74</v>
      </c>
      <c r="R3067" s="1" t="s">
        <v>74</v>
      </c>
      <c r="S3067" s="1" t="s">
        <v>74</v>
      </c>
      <c r="T3067" s="1" t="s">
        <v>48724</v>
      </c>
      <c r="U3067" s="1" t="s">
        <v>48725</v>
      </c>
      <c r="V3067" s="1" t="s">
        <v>48726</v>
      </c>
      <c r="W3067" s="1" t="s">
        <v>48727</v>
      </c>
      <c r="X3067" s="1" t="s">
        <v>48728</v>
      </c>
      <c r="Y3067" s="1" t="s">
        <v>48729</v>
      </c>
      <c r="Z3067" s="1" t="s">
        <v>48730</v>
      </c>
      <c r="AA3067" s="1" t="s">
        <v>48731</v>
      </c>
      <c r="AB3067" s="1" t="s">
        <v>48732</v>
      </c>
      <c r="AC3067" s="1" t="s">
        <v>48733</v>
      </c>
      <c r="AD3067" s="1" t="s">
        <v>48734</v>
      </c>
      <c r="AE3067" s="1" t="s">
        <v>48735</v>
      </c>
      <c r="AF3067" s="1" t="s">
        <v>74</v>
      </c>
      <c r="AG3067" s="1">
        <v>54</v>
      </c>
      <c r="AH3067" s="1">
        <v>7</v>
      </c>
      <c r="AI3067" s="1">
        <v>11</v>
      </c>
      <c r="AJ3067" s="1">
        <v>1</v>
      </c>
      <c r="AK3067" s="1">
        <v>33</v>
      </c>
      <c r="AL3067" s="1" t="s">
        <v>112</v>
      </c>
      <c r="AM3067" s="1" t="s">
        <v>191</v>
      </c>
      <c r="AN3067" s="1" t="s">
        <v>192</v>
      </c>
      <c r="AO3067" s="1" t="s">
        <v>1207</v>
      </c>
      <c r="AP3067" s="1" t="s">
        <v>4902</v>
      </c>
      <c r="AQ3067" s="1" t="s">
        <v>74</v>
      </c>
      <c r="AR3067" s="1" t="s">
        <v>1202</v>
      </c>
      <c r="AS3067" s="1" t="s">
        <v>1208</v>
      </c>
      <c r="AT3067" s="1" t="s">
        <v>1223</v>
      </c>
      <c r="AU3067" s="1">
        <v>2018</v>
      </c>
      <c r="AV3067" s="1">
        <v>810</v>
      </c>
      <c r="AW3067" s="1">
        <v>1</v>
      </c>
      <c r="AX3067" s="1" t="s">
        <v>74</v>
      </c>
      <c r="AY3067" s="1" t="s">
        <v>74</v>
      </c>
      <c r="AZ3067" s="1" t="s">
        <v>225</v>
      </c>
      <c r="BA3067" s="1" t="s">
        <v>74</v>
      </c>
      <c r="BB3067" s="1">
        <v>465</v>
      </c>
      <c r="BC3067" s="1">
        <v>476</v>
      </c>
      <c r="BD3067" s="1" t="s">
        <v>74</v>
      </c>
      <c r="BE3067" s="1" t="s">
        <v>48736</v>
      </c>
      <c r="BF3067" s="1" t="str">
        <f>HYPERLINK("http://dx.doi.org/10.1007/s10750-017-3101-y","http://dx.doi.org/10.1007/s10750-017-3101-y")</f>
        <v>http://dx.doi.org/10.1007/s10750-017-3101-y</v>
      </c>
      <c r="BG3067" s="1" t="s">
        <v>74</v>
      </c>
      <c r="BH3067" s="1" t="s">
        <v>74</v>
      </c>
      <c r="BI3067" s="1">
        <v>12</v>
      </c>
      <c r="BJ3067" s="1" t="s">
        <v>680</v>
      </c>
      <c r="BK3067" s="1" t="s">
        <v>96</v>
      </c>
      <c r="BL3067" s="1" t="s">
        <v>680</v>
      </c>
      <c r="BM3067" s="1" t="s">
        <v>48737</v>
      </c>
      <c r="BN3067" s="1" t="s">
        <v>74</v>
      </c>
      <c r="BO3067" s="1" t="s">
        <v>74</v>
      </c>
      <c r="BP3067" s="1" t="s">
        <v>74</v>
      </c>
      <c r="BQ3067" s="1" t="s">
        <v>74</v>
      </c>
      <c r="BR3067" s="1" t="s">
        <v>98</v>
      </c>
      <c r="BS3067" s="1" t="s">
        <v>48738</v>
      </c>
      <c r="BT3067" s="1" t="str">
        <f>HYPERLINK("https%3A%2F%2Fwww.webofscience.com%2Fwos%2Fwoscc%2Ffull-record%2FWOS:000425296400033","View Full Record in Web of Science")</f>
        <v>View Full Record in Web of Science</v>
      </c>
      <c r="BU3067" s="1"/>
      <c r="BV3067" s="1"/>
    </row>
    <row r="3068" spans="1:74">
      <c r="A3068" s="1" t="s">
        <v>72</v>
      </c>
      <c r="B3068" s="1" t="s">
        <v>48739</v>
      </c>
      <c r="C3068" s="1" t="s">
        <v>74</v>
      </c>
      <c r="D3068" s="1" t="s">
        <v>74</v>
      </c>
      <c r="E3068" s="1" t="s">
        <v>74</v>
      </c>
      <c r="F3068" s="1" t="s">
        <v>48740</v>
      </c>
      <c r="G3068" s="1" t="s">
        <v>74</v>
      </c>
      <c r="H3068" s="1" t="s">
        <v>74</v>
      </c>
      <c r="I3068" s="1" t="s">
        <v>48741</v>
      </c>
      <c r="J3068" s="1" t="s">
        <v>421</v>
      </c>
      <c r="K3068" s="1" t="s">
        <v>74</v>
      </c>
      <c r="L3068" s="1" t="s">
        <v>74</v>
      </c>
      <c r="M3068" s="1" t="s">
        <v>78</v>
      </c>
      <c r="N3068" s="1" t="s">
        <v>79</v>
      </c>
      <c r="O3068" s="1" t="s">
        <v>74</v>
      </c>
      <c r="P3068" s="1" t="s">
        <v>74</v>
      </c>
      <c r="Q3068" s="1" t="s">
        <v>74</v>
      </c>
      <c r="R3068" s="1" t="s">
        <v>74</v>
      </c>
      <c r="S3068" s="1" t="s">
        <v>74</v>
      </c>
      <c r="T3068" s="1" t="s">
        <v>48742</v>
      </c>
      <c r="U3068" s="1" t="s">
        <v>48743</v>
      </c>
      <c r="V3068" s="1" t="s">
        <v>48744</v>
      </c>
      <c r="W3068" s="1" t="s">
        <v>48745</v>
      </c>
      <c r="X3068" s="1" t="s">
        <v>48746</v>
      </c>
      <c r="Y3068" s="1" t="s">
        <v>48747</v>
      </c>
      <c r="Z3068" s="1" t="s">
        <v>48748</v>
      </c>
      <c r="AA3068" s="1" t="s">
        <v>48749</v>
      </c>
      <c r="AB3068" s="1" t="s">
        <v>48750</v>
      </c>
      <c r="AC3068" s="1" t="s">
        <v>48751</v>
      </c>
      <c r="AD3068" s="1" t="s">
        <v>48752</v>
      </c>
      <c r="AE3068" s="1" t="s">
        <v>48753</v>
      </c>
      <c r="AF3068" s="1" t="s">
        <v>74</v>
      </c>
      <c r="AG3068" s="1">
        <v>49</v>
      </c>
      <c r="AH3068" s="1">
        <v>88</v>
      </c>
      <c r="AI3068" s="1">
        <v>106</v>
      </c>
      <c r="AJ3068" s="1">
        <v>6</v>
      </c>
      <c r="AK3068" s="1">
        <v>113</v>
      </c>
      <c r="AL3068" s="1" t="s">
        <v>430</v>
      </c>
      <c r="AM3068" s="1" t="s">
        <v>137</v>
      </c>
      <c r="AN3068" s="1" t="s">
        <v>431</v>
      </c>
      <c r="AO3068" s="1" t="s">
        <v>432</v>
      </c>
      <c r="AP3068" s="1" t="s">
        <v>1394</v>
      </c>
      <c r="AQ3068" s="1" t="s">
        <v>74</v>
      </c>
      <c r="AR3068" s="1" t="s">
        <v>433</v>
      </c>
      <c r="AS3068" s="1" t="s">
        <v>434</v>
      </c>
      <c r="AT3068" s="1" t="s">
        <v>305</v>
      </c>
      <c r="AU3068" s="1">
        <v>2012</v>
      </c>
      <c r="AV3068" s="1">
        <v>168</v>
      </c>
      <c r="AW3068" s="1" t="s">
        <v>74</v>
      </c>
      <c r="AX3068" s="1" t="s">
        <v>74</v>
      </c>
      <c r="AY3068" s="1" t="s">
        <v>74</v>
      </c>
      <c r="AZ3068" s="1" t="s">
        <v>74</v>
      </c>
      <c r="BA3068" s="1" t="s">
        <v>74</v>
      </c>
      <c r="BB3068" s="1">
        <v>37</v>
      </c>
      <c r="BC3068" s="1">
        <v>43</v>
      </c>
      <c r="BD3068" s="1" t="s">
        <v>74</v>
      </c>
      <c r="BE3068" s="1" t="s">
        <v>48754</v>
      </c>
      <c r="BF3068" s="1" t="str">
        <f>HYPERLINK("http://dx.doi.org/10.1016/j.envpol.2012.03.051","http://dx.doi.org/10.1016/j.envpol.2012.03.051")</f>
        <v>http://dx.doi.org/10.1016/j.envpol.2012.03.051</v>
      </c>
      <c r="BG3068" s="1" t="s">
        <v>74</v>
      </c>
      <c r="BH3068" s="1" t="s">
        <v>74</v>
      </c>
      <c r="BI3068" s="1">
        <v>7</v>
      </c>
      <c r="BJ3068" s="1" t="s">
        <v>144</v>
      </c>
      <c r="BK3068" s="1" t="s">
        <v>96</v>
      </c>
      <c r="BL3068" s="1" t="s">
        <v>145</v>
      </c>
      <c r="BM3068" s="1" t="s">
        <v>48755</v>
      </c>
      <c r="BN3068" s="1">
        <v>22595760</v>
      </c>
      <c r="BO3068" s="1" t="s">
        <v>74</v>
      </c>
      <c r="BP3068" s="1" t="s">
        <v>74</v>
      </c>
      <c r="BQ3068" s="1" t="s">
        <v>74</v>
      </c>
      <c r="BR3068" s="1" t="s">
        <v>98</v>
      </c>
      <c r="BS3068" s="1" t="s">
        <v>48756</v>
      </c>
      <c r="BT3068" s="1" t="str">
        <f>HYPERLINK("https%3A%2F%2Fwww.webofscience.com%2Fwos%2Fwoscc%2Ffull-record%2FWOS:000306034900006","View Full Record in Web of Science")</f>
        <v>View Full Record in Web of Science</v>
      </c>
      <c r="BU3068" s="1"/>
      <c r="BV3068" s="1"/>
    </row>
    <row r="3069" spans="1:74">
      <c r="A3069" s="1" t="s">
        <v>72</v>
      </c>
      <c r="B3069" s="1" t="s">
        <v>48757</v>
      </c>
      <c r="C3069" s="1" t="s">
        <v>74</v>
      </c>
      <c r="D3069" s="1" t="s">
        <v>74</v>
      </c>
      <c r="E3069" s="1" t="s">
        <v>74</v>
      </c>
      <c r="F3069" s="1" t="s">
        <v>48757</v>
      </c>
      <c r="G3069" s="1" t="s">
        <v>74</v>
      </c>
      <c r="H3069" s="1" t="s">
        <v>74</v>
      </c>
      <c r="I3069" s="1" t="s">
        <v>48758</v>
      </c>
      <c r="J3069" s="1" t="s">
        <v>232</v>
      </c>
      <c r="K3069" s="1" t="s">
        <v>74</v>
      </c>
      <c r="L3069" s="1" t="s">
        <v>74</v>
      </c>
      <c r="M3069" s="1" t="s">
        <v>78</v>
      </c>
      <c r="N3069" s="1" t="s">
        <v>79</v>
      </c>
      <c r="O3069" s="1" t="s">
        <v>74</v>
      </c>
      <c r="P3069" s="1" t="s">
        <v>74</v>
      </c>
      <c r="Q3069" s="1" t="s">
        <v>74</v>
      </c>
      <c r="R3069" s="1" t="s">
        <v>74</v>
      </c>
      <c r="S3069" s="1" t="s">
        <v>74</v>
      </c>
      <c r="T3069" s="1" t="s">
        <v>74</v>
      </c>
      <c r="U3069" s="1" t="s">
        <v>48759</v>
      </c>
      <c r="V3069" s="1" t="s">
        <v>48760</v>
      </c>
      <c r="W3069" s="1" t="s">
        <v>48761</v>
      </c>
      <c r="X3069" s="1" t="s">
        <v>2697</v>
      </c>
      <c r="Y3069" s="1" t="s">
        <v>74</v>
      </c>
      <c r="Z3069" s="1" t="s">
        <v>74</v>
      </c>
      <c r="AA3069" s="1" t="s">
        <v>46914</v>
      </c>
      <c r="AB3069" s="1" t="s">
        <v>46915</v>
      </c>
      <c r="AC3069" s="1" t="s">
        <v>74</v>
      </c>
      <c r="AD3069" s="1" t="s">
        <v>74</v>
      </c>
      <c r="AE3069" s="1" t="s">
        <v>74</v>
      </c>
      <c r="AF3069" s="1" t="s">
        <v>74</v>
      </c>
      <c r="AG3069" s="1">
        <v>23</v>
      </c>
      <c r="AH3069" s="1">
        <v>48</v>
      </c>
      <c r="AI3069" s="1">
        <v>53</v>
      </c>
      <c r="AJ3069" s="1">
        <v>0</v>
      </c>
      <c r="AK3069" s="1">
        <v>3</v>
      </c>
      <c r="AL3069" s="1" t="s">
        <v>136</v>
      </c>
      <c r="AM3069" s="1" t="s">
        <v>137</v>
      </c>
      <c r="AN3069" s="1" t="s">
        <v>138</v>
      </c>
      <c r="AO3069" s="1" t="s">
        <v>240</v>
      </c>
      <c r="AP3069" s="1" t="s">
        <v>241</v>
      </c>
      <c r="AQ3069" s="1" t="s">
        <v>74</v>
      </c>
      <c r="AR3069" s="1" t="s">
        <v>242</v>
      </c>
      <c r="AS3069" s="1" t="s">
        <v>243</v>
      </c>
      <c r="AT3069" s="1" t="s">
        <v>305</v>
      </c>
      <c r="AU3069" s="1">
        <v>1995</v>
      </c>
      <c r="AV3069" s="1">
        <v>30</v>
      </c>
      <c r="AW3069" s="1">
        <v>9</v>
      </c>
      <c r="AX3069" s="1" t="s">
        <v>74</v>
      </c>
      <c r="AY3069" s="1" t="s">
        <v>74</v>
      </c>
      <c r="AZ3069" s="1" t="s">
        <v>74</v>
      </c>
      <c r="BA3069" s="1" t="s">
        <v>74</v>
      </c>
      <c r="BB3069" s="1">
        <v>599</v>
      </c>
      <c r="BC3069" s="1">
        <v>603</v>
      </c>
      <c r="BD3069" s="1" t="s">
        <v>74</v>
      </c>
      <c r="BE3069" s="1" t="s">
        <v>48762</v>
      </c>
      <c r="BF3069" s="1" t="str">
        <f>HYPERLINK("http://dx.doi.org/10.1016/0025-326X(94)00248-8","http://dx.doi.org/10.1016/0025-326X(94)00248-8")</f>
        <v>http://dx.doi.org/10.1016/0025-326X(94)00248-8</v>
      </c>
      <c r="BG3069" s="1" t="s">
        <v>74</v>
      </c>
      <c r="BH3069" s="1" t="s">
        <v>74</v>
      </c>
      <c r="BI3069" s="1">
        <v>5</v>
      </c>
      <c r="BJ3069" s="1" t="s">
        <v>247</v>
      </c>
      <c r="BK3069" s="1" t="s">
        <v>96</v>
      </c>
      <c r="BL3069" s="1" t="s">
        <v>248</v>
      </c>
      <c r="BM3069" s="1" t="s">
        <v>48763</v>
      </c>
      <c r="BN3069" s="1" t="s">
        <v>74</v>
      </c>
      <c r="BO3069" s="1" t="s">
        <v>74</v>
      </c>
      <c r="BP3069" s="1" t="s">
        <v>74</v>
      </c>
      <c r="BQ3069" s="1" t="s">
        <v>74</v>
      </c>
      <c r="BR3069" s="1" t="s">
        <v>98</v>
      </c>
      <c r="BS3069" s="1" t="s">
        <v>48764</v>
      </c>
      <c r="BT3069" s="1" t="str">
        <f>HYPERLINK("https%3A%2F%2Fwww.webofscience.com%2Fwos%2Fwoscc%2Ffull-record%2FWOS:A1995RV93600009","View Full Record in Web of Science")</f>
        <v>View Full Record in Web of Science</v>
      </c>
      <c r="BU3069" s="1"/>
      <c r="BV3069" s="1"/>
    </row>
    <row r="3070" spans="1:74">
      <c r="A3070" s="1" t="s">
        <v>72</v>
      </c>
      <c r="B3070" s="1" t="s">
        <v>48765</v>
      </c>
      <c r="C3070" s="1" t="s">
        <v>74</v>
      </c>
      <c r="D3070" s="1" t="s">
        <v>74</v>
      </c>
      <c r="E3070" s="1" t="s">
        <v>74</v>
      </c>
      <c r="F3070" s="1" t="s">
        <v>48766</v>
      </c>
      <c r="G3070" s="1" t="s">
        <v>74</v>
      </c>
      <c r="H3070" s="1" t="s">
        <v>74</v>
      </c>
      <c r="I3070" s="1" t="s">
        <v>48767</v>
      </c>
      <c r="J3070" s="1" t="s">
        <v>1948</v>
      </c>
      <c r="K3070" s="1" t="s">
        <v>74</v>
      </c>
      <c r="L3070" s="1" t="s">
        <v>74</v>
      </c>
      <c r="M3070" s="1" t="s">
        <v>78</v>
      </c>
      <c r="N3070" s="1" t="s">
        <v>79</v>
      </c>
      <c r="O3070" s="1" t="s">
        <v>74</v>
      </c>
      <c r="P3070" s="1" t="s">
        <v>74</v>
      </c>
      <c r="Q3070" s="1" t="s">
        <v>74</v>
      </c>
      <c r="R3070" s="1" t="s">
        <v>74</v>
      </c>
      <c r="S3070" s="1" t="s">
        <v>74</v>
      </c>
      <c r="T3070" s="1" t="s">
        <v>48768</v>
      </c>
      <c r="U3070" s="1" t="s">
        <v>48769</v>
      </c>
      <c r="V3070" s="1" t="s">
        <v>48770</v>
      </c>
      <c r="W3070" s="1" t="s">
        <v>48771</v>
      </c>
      <c r="X3070" s="1" t="s">
        <v>41539</v>
      </c>
      <c r="Y3070" s="1" t="s">
        <v>48772</v>
      </c>
      <c r="Z3070" s="1" t="s">
        <v>41541</v>
      </c>
      <c r="AA3070" s="1" t="s">
        <v>48773</v>
      </c>
      <c r="AB3070" s="1" t="s">
        <v>48774</v>
      </c>
      <c r="AC3070" s="1" t="s">
        <v>48775</v>
      </c>
      <c r="AD3070" s="1" t="s">
        <v>48776</v>
      </c>
      <c r="AE3070" s="1" t="s">
        <v>48777</v>
      </c>
      <c r="AF3070" s="1" t="s">
        <v>74</v>
      </c>
      <c r="AG3070" s="1">
        <v>51</v>
      </c>
      <c r="AH3070" s="1">
        <v>17</v>
      </c>
      <c r="AI3070" s="1">
        <v>17</v>
      </c>
      <c r="AJ3070" s="1">
        <v>12</v>
      </c>
      <c r="AK3070" s="1">
        <v>89</v>
      </c>
      <c r="AL3070" s="1" t="s">
        <v>430</v>
      </c>
      <c r="AM3070" s="1" t="s">
        <v>137</v>
      </c>
      <c r="AN3070" s="1" t="s">
        <v>431</v>
      </c>
      <c r="AO3070" s="1" t="s">
        <v>1961</v>
      </c>
      <c r="AP3070" s="1" t="s">
        <v>1962</v>
      </c>
      <c r="AQ3070" s="1" t="s">
        <v>74</v>
      </c>
      <c r="AR3070" s="1" t="s">
        <v>1963</v>
      </c>
      <c r="AS3070" s="1" t="s">
        <v>1964</v>
      </c>
      <c r="AT3070" s="1" t="s">
        <v>3891</v>
      </c>
      <c r="AU3070" s="1">
        <v>2023</v>
      </c>
      <c r="AV3070" s="1">
        <v>384</v>
      </c>
      <c r="AW3070" s="1" t="s">
        <v>74</v>
      </c>
      <c r="AX3070" s="1" t="s">
        <v>74</v>
      </c>
      <c r="AY3070" s="1" t="s">
        <v>74</v>
      </c>
      <c r="AZ3070" s="1" t="s">
        <v>74</v>
      </c>
      <c r="BA3070" s="1" t="s">
        <v>74</v>
      </c>
      <c r="BB3070" s="1" t="s">
        <v>74</v>
      </c>
      <c r="BC3070" s="1" t="s">
        <v>74</v>
      </c>
      <c r="BD3070" s="1">
        <v>135572</v>
      </c>
      <c r="BE3070" s="1" t="s">
        <v>48778</v>
      </c>
      <c r="BF3070" s="1" t="str">
        <f>HYPERLINK("http://dx.doi.org/10.1016/j.jclepro.2022.135572","http://dx.doi.org/10.1016/j.jclepro.2022.135572")</f>
        <v>http://dx.doi.org/10.1016/j.jclepro.2022.135572</v>
      </c>
      <c r="BG3070" s="1" t="s">
        <v>74</v>
      </c>
      <c r="BH3070" s="1" t="s">
        <v>4283</v>
      </c>
      <c r="BI3070" s="1">
        <v>11</v>
      </c>
      <c r="BJ3070" s="1" t="s">
        <v>1967</v>
      </c>
      <c r="BK3070" s="1" t="s">
        <v>96</v>
      </c>
      <c r="BL3070" s="1" t="s">
        <v>1968</v>
      </c>
      <c r="BM3070" s="1" t="s">
        <v>48779</v>
      </c>
      <c r="BN3070" s="1" t="s">
        <v>74</v>
      </c>
      <c r="BO3070" s="1" t="s">
        <v>74</v>
      </c>
      <c r="BP3070" s="1" t="s">
        <v>74</v>
      </c>
      <c r="BQ3070" s="1" t="s">
        <v>74</v>
      </c>
      <c r="BR3070" s="1" t="s">
        <v>98</v>
      </c>
      <c r="BS3070" s="1" t="s">
        <v>48780</v>
      </c>
      <c r="BT3070" s="1" t="str">
        <f>HYPERLINK("https%3A%2F%2Fwww.webofscience.com%2Fwos%2Fwoscc%2Ffull-record%2FWOS:000905081600001","View Full Record in Web of Science")</f>
        <v>View Full Record in Web of Science</v>
      </c>
      <c r="BU3070" s="1"/>
      <c r="BV3070" s="1"/>
    </row>
    <row r="3071" spans="1:74">
      <c r="A3071" s="1" t="s">
        <v>72</v>
      </c>
      <c r="B3071" s="1" t="s">
        <v>48781</v>
      </c>
      <c r="C3071" s="1" t="s">
        <v>74</v>
      </c>
      <c r="D3071" s="1" t="s">
        <v>74</v>
      </c>
      <c r="E3071" s="1" t="s">
        <v>74</v>
      </c>
      <c r="F3071" s="1" t="s">
        <v>48782</v>
      </c>
      <c r="G3071" s="1" t="s">
        <v>74</v>
      </c>
      <c r="H3071" s="1" t="s">
        <v>74</v>
      </c>
      <c r="I3071" s="1" t="s">
        <v>48783</v>
      </c>
      <c r="J3071" s="1" t="s">
        <v>13525</v>
      </c>
      <c r="K3071" s="1" t="s">
        <v>74</v>
      </c>
      <c r="L3071" s="1" t="s">
        <v>74</v>
      </c>
      <c r="M3071" s="1" t="s">
        <v>78</v>
      </c>
      <c r="N3071" s="1" t="s">
        <v>79</v>
      </c>
      <c r="O3071" s="1" t="s">
        <v>74</v>
      </c>
      <c r="P3071" s="1" t="s">
        <v>74</v>
      </c>
      <c r="Q3071" s="1" t="s">
        <v>74</v>
      </c>
      <c r="R3071" s="1" t="s">
        <v>74</v>
      </c>
      <c r="S3071" s="1" t="s">
        <v>74</v>
      </c>
      <c r="T3071" s="1" t="s">
        <v>48784</v>
      </c>
      <c r="U3071" s="1" t="s">
        <v>48785</v>
      </c>
      <c r="V3071" s="1" t="s">
        <v>48786</v>
      </c>
      <c r="W3071" s="1" t="s">
        <v>48787</v>
      </c>
      <c r="X3071" s="1" t="s">
        <v>48788</v>
      </c>
      <c r="Y3071" s="1" t="s">
        <v>48789</v>
      </c>
      <c r="Z3071" s="1" t="s">
        <v>48790</v>
      </c>
      <c r="AA3071" s="1" t="s">
        <v>48791</v>
      </c>
      <c r="AB3071" s="1" t="s">
        <v>48792</v>
      </c>
      <c r="AC3071" s="1" t="s">
        <v>48793</v>
      </c>
      <c r="AD3071" s="1" t="s">
        <v>48794</v>
      </c>
      <c r="AE3071" s="1" t="s">
        <v>48795</v>
      </c>
      <c r="AF3071" s="1" t="s">
        <v>74</v>
      </c>
      <c r="AG3071" s="1">
        <v>109</v>
      </c>
      <c r="AH3071" s="1">
        <v>23</v>
      </c>
      <c r="AI3071" s="1">
        <v>24</v>
      </c>
      <c r="AJ3071" s="1">
        <v>1</v>
      </c>
      <c r="AK3071" s="1">
        <v>75</v>
      </c>
      <c r="AL3071" s="1" t="s">
        <v>2336</v>
      </c>
      <c r="AM3071" s="1" t="s">
        <v>113</v>
      </c>
      <c r="AN3071" s="1" t="s">
        <v>2337</v>
      </c>
      <c r="AO3071" s="1" t="s">
        <v>13529</v>
      </c>
      <c r="AP3071" s="1" t="s">
        <v>21660</v>
      </c>
      <c r="AQ3071" s="1" t="s">
        <v>74</v>
      </c>
      <c r="AR3071" s="1" t="s">
        <v>13530</v>
      </c>
      <c r="AS3071" s="1" t="s">
        <v>13531</v>
      </c>
      <c r="AT3071" s="1" t="s">
        <v>170</v>
      </c>
      <c r="AU3071" s="1">
        <v>2013</v>
      </c>
      <c r="AV3071" s="1">
        <v>93</v>
      </c>
      <c r="AW3071" s="1">
        <v>3</v>
      </c>
      <c r="AX3071" s="1" t="s">
        <v>74</v>
      </c>
      <c r="AY3071" s="1" t="s">
        <v>74</v>
      </c>
      <c r="AZ3071" s="1" t="s">
        <v>74</v>
      </c>
      <c r="BA3071" s="1" t="s">
        <v>74</v>
      </c>
      <c r="BB3071" s="1">
        <v>577</v>
      </c>
      <c r="BC3071" s="1">
        <v>589</v>
      </c>
      <c r="BD3071" s="1" t="s">
        <v>74</v>
      </c>
      <c r="BE3071" s="1" t="s">
        <v>48796</v>
      </c>
      <c r="BF3071" s="1" t="str">
        <f>HYPERLINK("http://dx.doi.org/10.1017/S0025315412001105","http://dx.doi.org/10.1017/S0025315412001105")</f>
        <v>http://dx.doi.org/10.1017/S0025315412001105</v>
      </c>
      <c r="BG3071" s="1" t="s">
        <v>74</v>
      </c>
      <c r="BH3071" s="1" t="s">
        <v>74</v>
      </c>
      <c r="BI3071" s="1">
        <v>13</v>
      </c>
      <c r="BJ3071" s="1" t="s">
        <v>680</v>
      </c>
      <c r="BK3071" s="1" t="s">
        <v>96</v>
      </c>
      <c r="BL3071" s="1" t="s">
        <v>680</v>
      </c>
      <c r="BM3071" s="1" t="s">
        <v>48797</v>
      </c>
      <c r="BN3071" s="1" t="s">
        <v>74</v>
      </c>
      <c r="BO3071" s="1" t="s">
        <v>74</v>
      </c>
      <c r="BP3071" s="1" t="s">
        <v>74</v>
      </c>
      <c r="BQ3071" s="1" t="s">
        <v>74</v>
      </c>
      <c r="BR3071" s="1" t="s">
        <v>98</v>
      </c>
      <c r="BS3071" s="1" t="s">
        <v>48798</v>
      </c>
      <c r="BT3071" s="1" t="str">
        <f>HYPERLINK("https%3A%2F%2Fwww.webofscience.com%2Fwos%2Fwoscc%2Ffull-record%2FWOS:000317238100001","View Full Record in Web of Science")</f>
        <v>View Full Record in Web of Science</v>
      </c>
      <c r="BU3071" s="1"/>
      <c r="BV3071" s="1"/>
    </row>
    <row r="3072" spans="1:74">
      <c r="A3072" s="1" t="s">
        <v>72</v>
      </c>
      <c r="B3072" s="1" t="s">
        <v>48799</v>
      </c>
      <c r="C3072" s="1" t="s">
        <v>74</v>
      </c>
      <c r="D3072" s="1" t="s">
        <v>74</v>
      </c>
      <c r="E3072" s="1" t="s">
        <v>74</v>
      </c>
      <c r="F3072" s="1" t="s">
        <v>48799</v>
      </c>
      <c r="G3072" s="1" t="s">
        <v>74</v>
      </c>
      <c r="H3072" s="1" t="s">
        <v>74</v>
      </c>
      <c r="I3072" s="1" t="s">
        <v>48800</v>
      </c>
      <c r="J3072" s="1" t="s">
        <v>232</v>
      </c>
      <c r="K3072" s="1" t="s">
        <v>74</v>
      </c>
      <c r="L3072" s="1" t="s">
        <v>74</v>
      </c>
      <c r="M3072" s="1" t="s">
        <v>78</v>
      </c>
      <c r="N3072" s="1" t="s">
        <v>79</v>
      </c>
      <c r="O3072" s="1" t="s">
        <v>74</v>
      </c>
      <c r="P3072" s="1" t="s">
        <v>74</v>
      </c>
      <c r="Q3072" s="1" t="s">
        <v>74</v>
      </c>
      <c r="R3072" s="1" t="s">
        <v>74</v>
      </c>
      <c r="S3072" s="1" t="s">
        <v>74</v>
      </c>
      <c r="T3072" s="1" t="s">
        <v>48801</v>
      </c>
      <c r="U3072" s="1" t="s">
        <v>48802</v>
      </c>
      <c r="V3072" s="1" t="s">
        <v>48803</v>
      </c>
      <c r="W3072" s="1" t="s">
        <v>48804</v>
      </c>
      <c r="X3072" s="1" t="s">
        <v>48805</v>
      </c>
      <c r="Y3072" s="1" t="s">
        <v>48806</v>
      </c>
      <c r="Z3072" s="1" t="s">
        <v>44855</v>
      </c>
      <c r="AA3072" s="1" t="s">
        <v>48807</v>
      </c>
      <c r="AB3072" s="1" t="s">
        <v>48808</v>
      </c>
      <c r="AC3072" s="1" t="s">
        <v>74</v>
      </c>
      <c r="AD3072" s="1" t="s">
        <v>74</v>
      </c>
      <c r="AE3072" s="1" t="s">
        <v>74</v>
      </c>
      <c r="AF3072" s="1" t="s">
        <v>74</v>
      </c>
      <c r="AG3072" s="1">
        <v>28</v>
      </c>
      <c r="AH3072" s="1">
        <v>3</v>
      </c>
      <c r="AI3072" s="1">
        <v>4</v>
      </c>
      <c r="AJ3072" s="1">
        <v>0</v>
      </c>
      <c r="AK3072" s="1">
        <v>7</v>
      </c>
      <c r="AL3072" s="1" t="s">
        <v>136</v>
      </c>
      <c r="AM3072" s="1" t="s">
        <v>137</v>
      </c>
      <c r="AN3072" s="1" t="s">
        <v>138</v>
      </c>
      <c r="AO3072" s="1" t="s">
        <v>240</v>
      </c>
      <c r="AP3072" s="1" t="s">
        <v>241</v>
      </c>
      <c r="AQ3072" s="1" t="s">
        <v>74</v>
      </c>
      <c r="AR3072" s="1" t="s">
        <v>242</v>
      </c>
      <c r="AS3072" s="1" t="s">
        <v>243</v>
      </c>
      <c r="AT3072" s="1" t="s">
        <v>267</v>
      </c>
      <c r="AU3072" s="1">
        <v>2003</v>
      </c>
      <c r="AV3072" s="1">
        <v>46</v>
      </c>
      <c r="AW3072" s="1">
        <v>10</v>
      </c>
      <c r="AX3072" s="1" t="s">
        <v>74</v>
      </c>
      <c r="AY3072" s="1" t="s">
        <v>74</v>
      </c>
      <c r="AZ3072" s="1" t="s">
        <v>74</v>
      </c>
      <c r="BA3072" s="1" t="s">
        <v>74</v>
      </c>
      <c r="BB3072" s="1">
        <v>1326</v>
      </c>
      <c r="BC3072" s="1">
        <v>1333</v>
      </c>
      <c r="BD3072" s="1" t="s">
        <v>74</v>
      </c>
      <c r="BE3072" s="1" t="s">
        <v>48809</v>
      </c>
      <c r="BF3072" s="1" t="str">
        <f>HYPERLINK("http://dx.doi.org/10.1016/S0025-326X(03)00241-8","http://dx.doi.org/10.1016/S0025-326X(03)00241-8")</f>
        <v>http://dx.doi.org/10.1016/S0025-326X(03)00241-8</v>
      </c>
      <c r="BG3072" s="1" t="s">
        <v>74</v>
      </c>
      <c r="BH3072" s="1" t="s">
        <v>74</v>
      </c>
      <c r="BI3072" s="1">
        <v>8</v>
      </c>
      <c r="BJ3072" s="1" t="s">
        <v>247</v>
      </c>
      <c r="BK3072" s="1" t="s">
        <v>96</v>
      </c>
      <c r="BL3072" s="1" t="s">
        <v>248</v>
      </c>
      <c r="BM3072" s="1" t="s">
        <v>41161</v>
      </c>
      <c r="BN3072" s="1">
        <v>14550345</v>
      </c>
      <c r="BO3072" s="1" t="s">
        <v>74</v>
      </c>
      <c r="BP3072" s="1" t="s">
        <v>74</v>
      </c>
      <c r="BQ3072" s="1" t="s">
        <v>74</v>
      </c>
      <c r="BR3072" s="1" t="s">
        <v>98</v>
      </c>
      <c r="BS3072" s="1" t="s">
        <v>48810</v>
      </c>
      <c r="BT3072" s="1" t="str">
        <f>HYPERLINK("https%3A%2F%2Fwww.webofscience.com%2Fwos%2Fwoscc%2Ffull-record%2FWOS:000186106900023","View Full Record in Web of Science")</f>
        <v>View Full Record in Web of Science</v>
      </c>
      <c r="BU3072" s="1"/>
      <c r="BV3072" s="1"/>
    </row>
    <row r="3073" spans="1:74">
      <c r="A3073" s="1" t="s">
        <v>72</v>
      </c>
      <c r="B3073" s="1" t="s">
        <v>48811</v>
      </c>
      <c r="C3073" s="1" t="s">
        <v>74</v>
      </c>
      <c r="D3073" s="1" t="s">
        <v>74</v>
      </c>
      <c r="E3073" s="1" t="s">
        <v>74</v>
      </c>
      <c r="F3073" s="1" t="s">
        <v>48812</v>
      </c>
      <c r="G3073" s="1" t="s">
        <v>74</v>
      </c>
      <c r="H3073" s="1" t="s">
        <v>74</v>
      </c>
      <c r="I3073" s="1" t="s">
        <v>48813</v>
      </c>
      <c r="J3073" s="1" t="s">
        <v>48814</v>
      </c>
      <c r="K3073" s="1" t="s">
        <v>74</v>
      </c>
      <c r="L3073" s="1" t="s">
        <v>74</v>
      </c>
      <c r="M3073" s="1" t="s">
        <v>78</v>
      </c>
      <c r="N3073" s="1" t="s">
        <v>79</v>
      </c>
      <c r="O3073" s="1" t="s">
        <v>74</v>
      </c>
      <c r="P3073" s="1" t="s">
        <v>74</v>
      </c>
      <c r="Q3073" s="1" t="s">
        <v>74</v>
      </c>
      <c r="R3073" s="1" t="s">
        <v>74</v>
      </c>
      <c r="S3073" s="1" t="s">
        <v>74</v>
      </c>
      <c r="T3073" s="1" t="s">
        <v>74</v>
      </c>
      <c r="U3073" s="1" t="s">
        <v>48815</v>
      </c>
      <c r="V3073" s="1" t="s">
        <v>48816</v>
      </c>
      <c r="W3073" s="1" t="s">
        <v>48817</v>
      </c>
      <c r="X3073" s="1" t="s">
        <v>48818</v>
      </c>
      <c r="Y3073" s="1" t="s">
        <v>48819</v>
      </c>
      <c r="Z3073" s="1" t="s">
        <v>48820</v>
      </c>
      <c r="AA3073" s="1" t="s">
        <v>48821</v>
      </c>
      <c r="AB3073" s="1" t="s">
        <v>74</v>
      </c>
      <c r="AC3073" s="1" t="s">
        <v>48822</v>
      </c>
      <c r="AD3073" s="1" t="s">
        <v>48823</v>
      </c>
      <c r="AE3073" s="1" t="s">
        <v>48824</v>
      </c>
      <c r="AF3073" s="1" t="s">
        <v>74</v>
      </c>
      <c r="AG3073" s="1">
        <v>47</v>
      </c>
      <c r="AH3073" s="1">
        <v>117</v>
      </c>
      <c r="AI3073" s="1">
        <v>121</v>
      </c>
      <c r="AJ3073" s="1">
        <v>2</v>
      </c>
      <c r="AK3073" s="1">
        <v>309</v>
      </c>
      <c r="AL3073" s="1" t="s">
        <v>4471</v>
      </c>
      <c r="AM3073" s="1" t="s">
        <v>4472</v>
      </c>
      <c r="AN3073" s="1" t="s">
        <v>4473</v>
      </c>
      <c r="AO3073" s="1" t="s">
        <v>48825</v>
      </c>
      <c r="AP3073" s="1" t="s">
        <v>48826</v>
      </c>
      <c r="AQ3073" s="1" t="s">
        <v>74</v>
      </c>
      <c r="AR3073" s="1" t="s">
        <v>48827</v>
      </c>
      <c r="AS3073" s="1" t="s">
        <v>48828</v>
      </c>
      <c r="AT3073" s="1" t="s">
        <v>16426</v>
      </c>
      <c r="AU3073" s="1">
        <v>2013</v>
      </c>
      <c r="AV3073" s="1">
        <v>117</v>
      </c>
      <c r="AW3073" s="1">
        <v>36</v>
      </c>
      <c r="AX3073" s="1" t="s">
        <v>74</v>
      </c>
      <c r="AY3073" s="1" t="s">
        <v>74</v>
      </c>
      <c r="AZ3073" s="1" t="s">
        <v>74</v>
      </c>
      <c r="BA3073" s="1" t="s">
        <v>74</v>
      </c>
      <c r="BB3073" s="1">
        <v>18448</v>
      </c>
      <c r="BC3073" s="1">
        <v>18456</v>
      </c>
      <c r="BD3073" s="1" t="s">
        <v>74</v>
      </c>
      <c r="BE3073" s="1" t="s">
        <v>48829</v>
      </c>
      <c r="BF3073" s="1" t="str">
        <f>HYPERLINK("http://dx.doi.org/10.1021/jp405171w","http://dx.doi.org/10.1021/jp405171w")</f>
        <v>http://dx.doi.org/10.1021/jp405171w</v>
      </c>
      <c r="BG3073" s="1" t="s">
        <v>74</v>
      </c>
      <c r="BH3073" s="1" t="s">
        <v>74</v>
      </c>
      <c r="BI3073" s="1">
        <v>9</v>
      </c>
      <c r="BJ3073" s="1" t="s">
        <v>48830</v>
      </c>
      <c r="BK3073" s="1" t="s">
        <v>96</v>
      </c>
      <c r="BL3073" s="1" t="s">
        <v>48831</v>
      </c>
      <c r="BM3073" s="1" t="s">
        <v>48832</v>
      </c>
      <c r="BN3073" s="1" t="s">
        <v>74</v>
      </c>
      <c r="BO3073" s="1" t="s">
        <v>74</v>
      </c>
      <c r="BP3073" s="1" t="s">
        <v>74</v>
      </c>
      <c r="BQ3073" s="1" t="s">
        <v>74</v>
      </c>
      <c r="BR3073" s="1" t="s">
        <v>98</v>
      </c>
      <c r="BS3073" s="1" t="s">
        <v>48833</v>
      </c>
      <c r="BT3073" s="1" t="str">
        <f>HYPERLINK("https%3A%2F%2Fwww.webofscience.com%2Fwos%2Fwoscc%2Ffull-record%2FWOS:000330162700020","View Full Record in Web of Science")</f>
        <v>View Full Record in Web of Science</v>
      </c>
      <c r="BU3073" s="1"/>
      <c r="BV3073" s="1"/>
    </row>
    <row r="3074" spans="1:74">
      <c r="A3074" s="1" t="s">
        <v>72</v>
      </c>
      <c r="B3074" s="1" t="s">
        <v>48834</v>
      </c>
      <c r="C3074" s="1" t="s">
        <v>74</v>
      </c>
      <c r="D3074" s="1" t="s">
        <v>74</v>
      </c>
      <c r="E3074" s="1" t="s">
        <v>74</v>
      </c>
      <c r="F3074" s="1" t="s">
        <v>48834</v>
      </c>
      <c r="G3074" s="1" t="s">
        <v>74</v>
      </c>
      <c r="H3074" s="1" t="s">
        <v>74</v>
      </c>
      <c r="I3074" s="1" t="s">
        <v>48835</v>
      </c>
      <c r="J3074" s="1" t="s">
        <v>232</v>
      </c>
      <c r="K3074" s="1" t="s">
        <v>74</v>
      </c>
      <c r="L3074" s="1" t="s">
        <v>74</v>
      </c>
      <c r="M3074" s="1" t="s">
        <v>78</v>
      </c>
      <c r="N3074" s="1" t="s">
        <v>79</v>
      </c>
      <c r="O3074" s="1" t="s">
        <v>74</v>
      </c>
      <c r="P3074" s="1" t="s">
        <v>74</v>
      </c>
      <c r="Q3074" s="1" t="s">
        <v>74</v>
      </c>
      <c r="R3074" s="1" t="s">
        <v>74</v>
      </c>
      <c r="S3074" s="1" t="s">
        <v>74</v>
      </c>
      <c r="T3074" s="1" t="s">
        <v>74</v>
      </c>
      <c r="U3074" s="1" t="s">
        <v>48836</v>
      </c>
      <c r="V3074" s="1" t="s">
        <v>74</v>
      </c>
      <c r="W3074" s="1" t="s">
        <v>48837</v>
      </c>
      <c r="X3074" s="1" t="s">
        <v>15325</v>
      </c>
      <c r="Y3074" s="1" t="s">
        <v>48838</v>
      </c>
      <c r="Z3074" s="1" t="s">
        <v>38051</v>
      </c>
      <c r="AA3074" s="1" t="s">
        <v>74</v>
      </c>
      <c r="AB3074" s="1" t="s">
        <v>74</v>
      </c>
      <c r="AC3074" s="1" t="s">
        <v>74</v>
      </c>
      <c r="AD3074" s="1" t="s">
        <v>74</v>
      </c>
      <c r="AE3074" s="1" t="s">
        <v>74</v>
      </c>
      <c r="AF3074" s="1" t="s">
        <v>74</v>
      </c>
      <c r="AG3074" s="1">
        <v>54</v>
      </c>
      <c r="AH3074" s="1">
        <v>39</v>
      </c>
      <c r="AI3074" s="1">
        <v>41</v>
      </c>
      <c r="AJ3074" s="1">
        <v>0</v>
      </c>
      <c r="AK3074" s="1">
        <v>12</v>
      </c>
      <c r="AL3074" s="1" t="s">
        <v>136</v>
      </c>
      <c r="AM3074" s="1" t="s">
        <v>137</v>
      </c>
      <c r="AN3074" s="1" t="s">
        <v>138</v>
      </c>
      <c r="AO3074" s="1" t="s">
        <v>240</v>
      </c>
      <c r="AP3074" s="1" t="s">
        <v>241</v>
      </c>
      <c r="AQ3074" s="1" t="s">
        <v>74</v>
      </c>
      <c r="AR3074" s="1" t="s">
        <v>242</v>
      </c>
      <c r="AS3074" s="1" t="s">
        <v>243</v>
      </c>
      <c r="AT3074" s="1" t="s">
        <v>170</v>
      </c>
      <c r="AU3074" s="1">
        <v>2002</v>
      </c>
      <c r="AV3074" s="1">
        <v>44</v>
      </c>
      <c r="AW3074" s="1">
        <v>5</v>
      </c>
      <c r="AX3074" s="1" t="s">
        <v>74</v>
      </c>
      <c r="AY3074" s="1" t="s">
        <v>74</v>
      </c>
      <c r="AZ3074" s="1" t="s">
        <v>74</v>
      </c>
      <c r="BA3074" s="1" t="s">
        <v>74</v>
      </c>
      <c r="BB3074" s="1">
        <v>424</v>
      </c>
      <c r="BC3074" s="1">
        <v>431</v>
      </c>
      <c r="BD3074" s="1" t="s">
        <v>48839</v>
      </c>
      <c r="BE3074" s="1" t="s">
        <v>48840</v>
      </c>
      <c r="BF3074" s="1" t="str">
        <f>HYPERLINK("http://dx.doi.org/10.1016/S0025-326X(01)00297-1","http://dx.doi.org/10.1016/S0025-326X(01)00297-1")</f>
        <v>http://dx.doi.org/10.1016/S0025-326X(01)00297-1</v>
      </c>
      <c r="BG3074" s="1" t="s">
        <v>74</v>
      </c>
      <c r="BH3074" s="1" t="s">
        <v>74</v>
      </c>
      <c r="BI3074" s="1">
        <v>8</v>
      </c>
      <c r="BJ3074" s="1" t="s">
        <v>247</v>
      </c>
      <c r="BK3074" s="1" t="s">
        <v>96</v>
      </c>
      <c r="BL3074" s="1" t="s">
        <v>248</v>
      </c>
      <c r="BM3074" s="1" t="s">
        <v>48841</v>
      </c>
      <c r="BN3074" s="1">
        <v>12146826</v>
      </c>
      <c r="BO3074" s="1" t="s">
        <v>74</v>
      </c>
      <c r="BP3074" s="1" t="s">
        <v>74</v>
      </c>
      <c r="BQ3074" s="1" t="s">
        <v>74</v>
      </c>
      <c r="BR3074" s="1" t="s">
        <v>98</v>
      </c>
      <c r="BS3074" s="1" t="s">
        <v>48842</v>
      </c>
      <c r="BT3074" s="1" t="str">
        <f>HYPERLINK("https%3A%2F%2Fwww.webofscience.com%2Fwos%2Fwoscc%2Ffull-record%2FWOS:000176654600019","View Full Record in Web of Science")</f>
        <v>View Full Record in Web of Science</v>
      </c>
      <c r="BU3074" s="1"/>
      <c r="BV3074" s="1"/>
    </row>
    <row r="3075" spans="1:74">
      <c r="A3075" s="1" t="s">
        <v>72</v>
      </c>
      <c r="B3075" s="1" t="s">
        <v>48843</v>
      </c>
      <c r="C3075" s="1" t="s">
        <v>74</v>
      </c>
      <c r="D3075" s="1" t="s">
        <v>74</v>
      </c>
      <c r="E3075" s="1" t="s">
        <v>74</v>
      </c>
      <c r="F3075" s="1" t="s">
        <v>48844</v>
      </c>
      <c r="G3075" s="1" t="s">
        <v>74</v>
      </c>
      <c r="H3075" s="1" t="s">
        <v>74</v>
      </c>
      <c r="I3075" s="1" t="s">
        <v>48845</v>
      </c>
      <c r="J3075" s="1" t="s">
        <v>3349</v>
      </c>
      <c r="K3075" s="1" t="s">
        <v>74</v>
      </c>
      <c r="L3075" s="1" t="s">
        <v>74</v>
      </c>
      <c r="M3075" s="1" t="s">
        <v>78</v>
      </c>
      <c r="N3075" s="1" t="s">
        <v>79</v>
      </c>
      <c r="O3075" s="1" t="s">
        <v>74</v>
      </c>
      <c r="P3075" s="1" t="s">
        <v>74</v>
      </c>
      <c r="Q3075" s="1" t="s">
        <v>74</v>
      </c>
      <c r="R3075" s="1" t="s">
        <v>74</v>
      </c>
      <c r="S3075" s="1" t="s">
        <v>74</v>
      </c>
      <c r="T3075" s="1" t="s">
        <v>48846</v>
      </c>
      <c r="U3075" s="1" t="s">
        <v>48847</v>
      </c>
      <c r="V3075" s="1" t="s">
        <v>48848</v>
      </c>
      <c r="W3075" s="1" t="s">
        <v>48849</v>
      </c>
      <c r="X3075" s="1" t="s">
        <v>48850</v>
      </c>
      <c r="Y3075" s="1" t="s">
        <v>48851</v>
      </c>
      <c r="Z3075" s="1" t="s">
        <v>48852</v>
      </c>
      <c r="AA3075" s="1" t="s">
        <v>48853</v>
      </c>
      <c r="AB3075" s="1" t="s">
        <v>74</v>
      </c>
      <c r="AC3075" s="1" t="s">
        <v>48854</v>
      </c>
      <c r="AD3075" s="1" t="s">
        <v>48855</v>
      </c>
      <c r="AE3075" s="1" t="s">
        <v>48856</v>
      </c>
      <c r="AF3075" s="1" t="s">
        <v>74</v>
      </c>
      <c r="AG3075" s="1">
        <v>74</v>
      </c>
      <c r="AH3075" s="1">
        <v>1</v>
      </c>
      <c r="AI3075" s="1">
        <v>1</v>
      </c>
      <c r="AJ3075" s="1">
        <v>10</v>
      </c>
      <c r="AK3075" s="1">
        <v>19</v>
      </c>
      <c r="AL3075" s="1" t="s">
        <v>3362</v>
      </c>
      <c r="AM3075" s="1" t="s">
        <v>3363</v>
      </c>
      <c r="AN3075" s="1" t="s">
        <v>3364</v>
      </c>
      <c r="AO3075" s="1" t="s">
        <v>3365</v>
      </c>
      <c r="AP3075" s="1" t="s">
        <v>3366</v>
      </c>
      <c r="AQ3075" s="1" t="s">
        <v>74</v>
      </c>
      <c r="AR3075" s="1" t="s">
        <v>3367</v>
      </c>
      <c r="AS3075" s="1" t="s">
        <v>3368</v>
      </c>
      <c r="AT3075" s="1" t="s">
        <v>170</v>
      </c>
      <c r="AU3075" s="1">
        <v>2023</v>
      </c>
      <c r="AV3075" s="1">
        <v>256</v>
      </c>
      <c r="AW3075" s="1" t="s">
        <v>74</v>
      </c>
      <c r="AX3075" s="1" t="s">
        <v>74</v>
      </c>
      <c r="AY3075" s="1" t="s">
        <v>74</v>
      </c>
      <c r="AZ3075" s="1" t="s">
        <v>74</v>
      </c>
      <c r="BA3075" s="1" t="s">
        <v>74</v>
      </c>
      <c r="BB3075" s="1" t="s">
        <v>74</v>
      </c>
      <c r="BC3075" s="1" t="s">
        <v>74</v>
      </c>
      <c r="BD3075" s="1">
        <v>114909</v>
      </c>
      <c r="BE3075" s="1" t="s">
        <v>48857</v>
      </c>
      <c r="BF3075" s="1" t="str">
        <f>HYPERLINK("http://dx.doi.org/10.1016/j.ecoenv.2023.114909","http://dx.doi.org/10.1016/j.ecoenv.2023.114909")</f>
        <v>http://dx.doi.org/10.1016/j.ecoenv.2023.114909</v>
      </c>
      <c r="BG3075" s="1" t="s">
        <v>74</v>
      </c>
      <c r="BH3075" s="1" t="s">
        <v>2540</v>
      </c>
      <c r="BI3075" s="1">
        <v>8</v>
      </c>
      <c r="BJ3075" s="1" t="s">
        <v>121</v>
      </c>
      <c r="BK3075" s="1" t="s">
        <v>96</v>
      </c>
      <c r="BL3075" s="1" t="s">
        <v>122</v>
      </c>
      <c r="BM3075" s="1" t="s">
        <v>48858</v>
      </c>
      <c r="BN3075" s="1">
        <v>37062260</v>
      </c>
      <c r="BO3075" s="1" t="s">
        <v>873</v>
      </c>
      <c r="BP3075" s="1" t="s">
        <v>74</v>
      </c>
      <c r="BQ3075" s="1" t="s">
        <v>74</v>
      </c>
      <c r="BR3075" s="1" t="s">
        <v>98</v>
      </c>
      <c r="BS3075" s="1" t="s">
        <v>48859</v>
      </c>
      <c r="BT3075" s="1" t="str">
        <f>HYPERLINK("https%3A%2F%2Fwww.webofscience.com%2Fwos%2Fwoscc%2Ffull-record%2FWOS:000982720300001","View Full Record in Web of Science")</f>
        <v>View Full Record in Web of Science</v>
      </c>
      <c r="BU3075" s="1"/>
      <c r="BV3075" s="1"/>
    </row>
    <row r="3076" spans="1:74">
      <c r="A3076" s="1" t="s">
        <v>72</v>
      </c>
      <c r="B3076" s="1" t="s">
        <v>42185</v>
      </c>
      <c r="C3076" s="1" t="s">
        <v>74</v>
      </c>
      <c r="D3076" s="1" t="s">
        <v>74</v>
      </c>
      <c r="E3076" s="1" t="s">
        <v>74</v>
      </c>
      <c r="F3076" s="1" t="s">
        <v>48860</v>
      </c>
      <c r="G3076" s="1" t="s">
        <v>74</v>
      </c>
      <c r="H3076" s="1" t="s">
        <v>74</v>
      </c>
      <c r="I3076" s="1" t="s">
        <v>48861</v>
      </c>
      <c r="J3076" s="1" t="s">
        <v>232</v>
      </c>
      <c r="K3076" s="1" t="s">
        <v>74</v>
      </c>
      <c r="L3076" s="1" t="s">
        <v>74</v>
      </c>
      <c r="M3076" s="1" t="s">
        <v>78</v>
      </c>
      <c r="N3076" s="1" t="s">
        <v>151</v>
      </c>
      <c r="O3076" s="1" t="s">
        <v>31690</v>
      </c>
      <c r="P3076" s="1" t="s">
        <v>31691</v>
      </c>
      <c r="Q3076" s="1" t="s">
        <v>27951</v>
      </c>
      <c r="R3076" s="1" t="s">
        <v>74</v>
      </c>
      <c r="S3076" s="1" t="s">
        <v>27952</v>
      </c>
      <c r="T3076" s="1" t="s">
        <v>48862</v>
      </c>
      <c r="U3076" s="1" t="s">
        <v>48863</v>
      </c>
      <c r="V3076" s="1" t="s">
        <v>48864</v>
      </c>
      <c r="W3076" s="1" t="s">
        <v>48865</v>
      </c>
      <c r="X3076" s="1" t="s">
        <v>18677</v>
      </c>
      <c r="Y3076" s="1" t="s">
        <v>48866</v>
      </c>
      <c r="Z3076" s="1" t="s">
        <v>32475</v>
      </c>
      <c r="AA3076" s="1" t="s">
        <v>42193</v>
      </c>
      <c r="AB3076" s="1" t="s">
        <v>42194</v>
      </c>
      <c r="AC3076" s="1" t="s">
        <v>74</v>
      </c>
      <c r="AD3076" s="1" t="s">
        <v>74</v>
      </c>
      <c r="AE3076" s="1" t="s">
        <v>74</v>
      </c>
      <c r="AF3076" s="1" t="s">
        <v>74</v>
      </c>
      <c r="AG3076" s="1">
        <v>31</v>
      </c>
      <c r="AH3076" s="1">
        <v>11</v>
      </c>
      <c r="AI3076" s="1">
        <v>11</v>
      </c>
      <c r="AJ3076" s="1">
        <v>0</v>
      </c>
      <c r="AK3076" s="1">
        <v>6</v>
      </c>
      <c r="AL3076" s="1" t="s">
        <v>136</v>
      </c>
      <c r="AM3076" s="1" t="s">
        <v>137</v>
      </c>
      <c r="AN3076" s="1" t="s">
        <v>138</v>
      </c>
      <c r="AO3076" s="1" t="s">
        <v>240</v>
      </c>
      <c r="AP3076" s="1" t="s">
        <v>241</v>
      </c>
      <c r="AQ3076" s="1" t="s">
        <v>74</v>
      </c>
      <c r="AR3076" s="1" t="s">
        <v>242</v>
      </c>
      <c r="AS3076" s="1" t="s">
        <v>243</v>
      </c>
      <c r="AT3076" s="1" t="s">
        <v>74</v>
      </c>
      <c r="AU3076" s="1">
        <v>2008</v>
      </c>
      <c r="AV3076" s="1">
        <v>57</v>
      </c>
      <c r="AW3076" s="1" t="s">
        <v>31701</v>
      </c>
      <c r="AX3076" s="1" t="s">
        <v>74</v>
      </c>
      <c r="AY3076" s="1" t="s">
        <v>74</v>
      </c>
      <c r="AZ3076" s="1" t="s">
        <v>74</v>
      </c>
      <c r="BA3076" s="1" t="s">
        <v>74</v>
      </c>
      <c r="BB3076" s="1">
        <v>467</v>
      </c>
      <c r="BC3076" s="1">
        <v>472</v>
      </c>
      <c r="BD3076" s="1" t="s">
        <v>74</v>
      </c>
      <c r="BE3076" s="1" t="s">
        <v>48867</v>
      </c>
      <c r="BF3076" s="1" t="str">
        <f>HYPERLINK("http://dx.doi.org/10.1016/j.marpolbul.2008.03.038","http://dx.doi.org/10.1016/j.marpolbul.2008.03.038")</f>
        <v>http://dx.doi.org/10.1016/j.marpolbul.2008.03.038</v>
      </c>
      <c r="BG3076" s="1" t="s">
        <v>74</v>
      </c>
      <c r="BH3076" s="1" t="s">
        <v>74</v>
      </c>
      <c r="BI3076" s="1">
        <v>6</v>
      </c>
      <c r="BJ3076" s="1" t="s">
        <v>247</v>
      </c>
      <c r="BK3076" s="1" t="s">
        <v>172</v>
      </c>
      <c r="BL3076" s="1" t="s">
        <v>248</v>
      </c>
      <c r="BM3076" s="1" t="s">
        <v>31704</v>
      </c>
      <c r="BN3076" s="1">
        <v>18466928</v>
      </c>
      <c r="BO3076" s="1" t="s">
        <v>74</v>
      </c>
      <c r="BP3076" s="1" t="s">
        <v>74</v>
      </c>
      <c r="BQ3076" s="1" t="s">
        <v>74</v>
      </c>
      <c r="BR3076" s="1" t="s">
        <v>98</v>
      </c>
      <c r="BS3076" s="1" t="s">
        <v>48868</v>
      </c>
      <c r="BT3076" s="1" t="str">
        <f>HYPERLINK("https%3A%2F%2Fwww.webofscience.com%2Fwos%2Fwoscc%2Ffull-record%2FWOS:000257816300032","View Full Record in Web of Science")</f>
        <v>View Full Record in Web of Science</v>
      </c>
      <c r="BU3076" s="1"/>
      <c r="BV3076" s="1"/>
    </row>
    <row r="3077" spans="1:74">
      <c r="A3077" s="1" t="s">
        <v>72</v>
      </c>
      <c r="B3077" s="1" t="s">
        <v>48869</v>
      </c>
      <c r="C3077" s="1" t="s">
        <v>74</v>
      </c>
      <c r="D3077" s="1" t="s">
        <v>74</v>
      </c>
      <c r="E3077" s="1" t="s">
        <v>74</v>
      </c>
      <c r="F3077" s="1" t="s">
        <v>48869</v>
      </c>
      <c r="G3077" s="1" t="s">
        <v>74</v>
      </c>
      <c r="H3077" s="1" t="s">
        <v>74</v>
      </c>
      <c r="I3077" s="1" t="s">
        <v>48870</v>
      </c>
      <c r="J3077" s="1" t="s">
        <v>9914</v>
      </c>
      <c r="K3077" s="1" t="s">
        <v>74</v>
      </c>
      <c r="L3077" s="1" t="s">
        <v>74</v>
      </c>
      <c r="M3077" s="1" t="s">
        <v>78</v>
      </c>
      <c r="N3077" s="1" t="s">
        <v>79</v>
      </c>
      <c r="O3077" s="1" t="s">
        <v>74</v>
      </c>
      <c r="P3077" s="1" t="s">
        <v>74</v>
      </c>
      <c r="Q3077" s="1" t="s">
        <v>74</v>
      </c>
      <c r="R3077" s="1" t="s">
        <v>74</v>
      </c>
      <c r="S3077" s="1" t="s">
        <v>74</v>
      </c>
      <c r="T3077" s="1" t="s">
        <v>74</v>
      </c>
      <c r="U3077" s="1" t="s">
        <v>48871</v>
      </c>
      <c r="V3077" s="1" t="s">
        <v>48872</v>
      </c>
      <c r="W3077" s="1" t="s">
        <v>48873</v>
      </c>
      <c r="X3077" s="1" t="s">
        <v>48874</v>
      </c>
      <c r="Y3077" s="1" t="s">
        <v>28233</v>
      </c>
      <c r="Z3077" s="1" t="s">
        <v>28234</v>
      </c>
      <c r="AA3077" s="1" t="s">
        <v>48875</v>
      </c>
      <c r="AB3077" s="1" t="s">
        <v>48876</v>
      </c>
      <c r="AC3077" s="1" t="s">
        <v>74</v>
      </c>
      <c r="AD3077" s="1" t="s">
        <v>74</v>
      </c>
      <c r="AE3077" s="1" t="s">
        <v>74</v>
      </c>
      <c r="AF3077" s="1" t="s">
        <v>74</v>
      </c>
      <c r="AG3077" s="1">
        <v>65</v>
      </c>
      <c r="AH3077" s="1">
        <v>46</v>
      </c>
      <c r="AI3077" s="1">
        <v>53</v>
      </c>
      <c r="AJ3077" s="1">
        <v>0</v>
      </c>
      <c r="AK3077" s="1">
        <v>2</v>
      </c>
      <c r="AL3077" s="1" t="s">
        <v>136</v>
      </c>
      <c r="AM3077" s="1" t="s">
        <v>137</v>
      </c>
      <c r="AN3077" s="1" t="s">
        <v>138</v>
      </c>
      <c r="AO3077" s="1" t="s">
        <v>9925</v>
      </c>
      <c r="AP3077" s="1" t="s">
        <v>34583</v>
      </c>
      <c r="AQ3077" s="1" t="s">
        <v>74</v>
      </c>
      <c r="AR3077" s="1" t="s">
        <v>9926</v>
      </c>
      <c r="AS3077" s="1" t="s">
        <v>9927</v>
      </c>
      <c r="AT3077" s="1" t="s">
        <v>765</v>
      </c>
      <c r="AU3077" s="1">
        <v>2003</v>
      </c>
      <c r="AV3077" s="1">
        <v>18</v>
      </c>
      <c r="AW3077" s="1">
        <v>7</v>
      </c>
      <c r="AX3077" s="1" t="s">
        <v>74</v>
      </c>
      <c r="AY3077" s="1" t="s">
        <v>74</v>
      </c>
      <c r="AZ3077" s="1" t="s">
        <v>74</v>
      </c>
      <c r="BA3077" s="1" t="s">
        <v>74</v>
      </c>
      <c r="BB3077" s="1">
        <v>973</v>
      </c>
      <c r="BC3077" s="1">
        <v>996</v>
      </c>
      <c r="BD3077" s="1" t="s">
        <v>48877</v>
      </c>
      <c r="BE3077" s="1" t="s">
        <v>48878</v>
      </c>
      <c r="BF3077" s="1" t="str">
        <f>HYPERLINK("http://dx.doi.org/10.1016/S0883-2927(02)00203-2","http://dx.doi.org/10.1016/S0883-2927(02)00203-2")</f>
        <v>http://dx.doi.org/10.1016/S0883-2927(02)00203-2</v>
      </c>
      <c r="BG3077" s="1" t="s">
        <v>74</v>
      </c>
      <c r="BH3077" s="1" t="s">
        <v>74</v>
      </c>
      <c r="BI3077" s="1">
        <v>24</v>
      </c>
      <c r="BJ3077" s="1" t="s">
        <v>9863</v>
      </c>
      <c r="BK3077" s="1" t="s">
        <v>96</v>
      </c>
      <c r="BL3077" s="1" t="s">
        <v>9863</v>
      </c>
      <c r="BM3077" s="1" t="s">
        <v>48879</v>
      </c>
      <c r="BN3077" s="1" t="s">
        <v>74</v>
      </c>
      <c r="BO3077" s="1" t="s">
        <v>74</v>
      </c>
      <c r="BP3077" s="1" t="s">
        <v>74</v>
      </c>
      <c r="BQ3077" s="1" t="s">
        <v>74</v>
      </c>
      <c r="BR3077" s="1" t="s">
        <v>98</v>
      </c>
      <c r="BS3077" s="1" t="s">
        <v>48880</v>
      </c>
      <c r="BT3077" s="1" t="str">
        <f>HYPERLINK("https%3A%2F%2Fwww.webofscience.com%2Fwos%2Fwoscc%2Ffull-record%2FWOS:000183080900002","View Full Record in Web of Science")</f>
        <v>View Full Record in Web of Science</v>
      </c>
      <c r="BU3077" s="1"/>
      <c r="BV3077" s="1"/>
    </row>
    <row r="3078" spans="1:74">
      <c r="A3078" s="1" t="s">
        <v>72</v>
      </c>
      <c r="B3078" s="1" t="s">
        <v>48881</v>
      </c>
      <c r="C3078" s="1" t="s">
        <v>74</v>
      </c>
      <c r="D3078" s="1" t="s">
        <v>74</v>
      </c>
      <c r="E3078" s="1" t="s">
        <v>74</v>
      </c>
      <c r="F3078" s="1" t="s">
        <v>48881</v>
      </c>
      <c r="G3078" s="1" t="s">
        <v>74</v>
      </c>
      <c r="H3078" s="1" t="s">
        <v>74</v>
      </c>
      <c r="I3078" s="1" t="s">
        <v>48882</v>
      </c>
      <c r="J3078" s="1" t="s">
        <v>10129</v>
      </c>
      <c r="K3078" s="1" t="s">
        <v>74</v>
      </c>
      <c r="L3078" s="1" t="s">
        <v>74</v>
      </c>
      <c r="M3078" s="1" t="s">
        <v>78</v>
      </c>
      <c r="N3078" s="1" t="s">
        <v>79</v>
      </c>
      <c r="O3078" s="1" t="s">
        <v>74</v>
      </c>
      <c r="P3078" s="1" t="s">
        <v>74</v>
      </c>
      <c r="Q3078" s="1" t="s">
        <v>74</v>
      </c>
      <c r="R3078" s="1" t="s">
        <v>74</v>
      </c>
      <c r="S3078" s="1" t="s">
        <v>74</v>
      </c>
      <c r="T3078" s="1" t="s">
        <v>48883</v>
      </c>
      <c r="U3078" s="1" t="s">
        <v>48884</v>
      </c>
      <c r="V3078" s="1" t="s">
        <v>48885</v>
      </c>
      <c r="W3078" s="1" t="s">
        <v>48886</v>
      </c>
      <c r="X3078" s="1" t="s">
        <v>32564</v>
      </c>
      <c r="Y3078" s="1" t="s">
        <v>48887</v>
      </c>
      <c r="Z3078" s="1" t="s">
        <v>48888</v>
      </c>
      <c r="AA3078" s="1" t="s">
        <v>48889</v>
      </c>
      <c r="AB3078" s="1" t="s">
        <v>32568</v>
      </c>
      <c r="AC3078" s="1" t="s">
        <v>74</v>
      </c>
      <c r="AD3078" s="1" t="s">
        <v>74</v>
      </c>
      <c r="AE3078" s="1" t="s">
        <v>74</v>
      </c>
      <c r="AF3078" s="1" t="s">
        <v>74</v>
      </c>
      <c r="AG3078" s="1">
        <v>29</v>
      </c>
      <c r="AH3078" s="1">
        <v>45</v>
      </c>
      <c r="AI3078" s="1">
        <v>52</v>
      </c>
      <c r="AJ3078" s="1">
        <v>0</v>
      </c>
      <c r="AK3078" s="1">
        <v>24</v>
      </c>
      <c r="AL3078" s="1" t="s">
        <v>3362</v>
      </c>
      <c r="AM3078" s="1" t="s">
        <v>3363</v>
      </c>
      <c r="AN3078" s="1" t="s">
        <v>3364</v>
      </c>
      <c r="AO3078" s="1" t="s">
        <v>10137</v>
      </c>
      <c r="AP3078" s="1" t="s">
        <v>10138</v>
      </c>
      <c r="AQ3078" s="1" t="s">
        <v>74</v>
      </c>
      <c r="AR3078" s="1" t="s">
        <v>10139</v>
      </c>
      <c r="AS3078" s="1" t="s">
        <v>10140</v>
      </c>
      <c r="AT3078" s="1" t="s">
        <v>170</v>
      </c>
      <c r="AU3078" s="1">
        <v>2005</v>
      </c>
      <c r="AV3078" s="1">
        <v>98</v>
      </c>
      <c r="AW3078" s="1">
        <v>1</v>
      </c>
      <c r="AX3078" s="1" t="s">
        <v>74</v>
      </c>
      <c r="AY3078" s="1" t="s">
        <v>74</v>
      </c>
      <c r="AZ3078" s="1" t="s">
        <v>74</v>
      </c>
      <c r="BA3078" s="1" t="s">
        <v>74</v>
      </c>
      <c r="BB3078" s="1">
        <v>83</v>
      </c>
      <c r="BC3078" s="1">
        <v>88</v>
      </c>
      <c r="BD3078" s="1" t="s">
        <v>74</v>
      </c>
      <c r="BE3078" s="1" t="s">
        <v>48890</v>
      </c>
      <c r="BF3078" s="1" t="str">
        <f>HYPERLINK("http://dx.doi.org/10.1016/j.envres.2004.05.010","http://dx.doi.org/10.1016/j.envres.2004.05.010")</f>
        <v>http://dx.doi.org/10.1016/j.envres.2004.05.010</v>
      </c>
      <c r="BG3078" s="1" t="s">
        <v>74</v>
      </c>
      <c r="BH3078" s="1" t="s">
        <v>74</v>
      </c>
      <c r="BI3078" s="1">
        <v>6</v>
      </c>
      <c r="BJ3078" s="1" t="s">
        <v>10142</v>
      </c>
      <c r="BK3078" s="1" t="s">
        <v>96</v>
      </c>
      <c r="BL3078" s="1" t="s">
        <v>10143</v>
      </c>
      <c r="BM3078" s="1" t="s">
        <v>48891</v>
      </c>
      <c r="BN3078" s="1">
        <v>15721887</v>
      </c>
      <c r="BO3078" s="1" t="s">
        <v>74</v>
      </c>
      <c r="BP3078" s="1" t="s">
        <v>74</v>
      </c>
      <c r="BQ3078" s="1" t="s">
        <v>74</v>
      </c>
      <c r="BR3078" s="1" t="s">
        <v>98</v>
      </c>
      <c r="BS3078" s="1" t="s">
        <v>48892</v>
      </c>
      <c r="BT3078" s="1" t="str">
        <f>HYPERLINK("https%3A%2F%2Fwww.webofscience.com%2Fwos%2Fwoscc%2Ffull-record%2FWOS:000227518200011","View Full Record in Web of Science")</f>
        <v>View Full Record in Web of Science</v>
      </c>
      <c r="BU3078" s="1"/>
      <c r="BV3078" s="1"/>
    </row>
    <row r="3079" spans="1:74">
      <c r="A3079" s="1" t="s">
        <v>72</v>
      </c>
      <c r="B3079" s="1" t="s">
        <v>48893</v>
      </c>
      <c r="C3079" s="1" t="s">
        <v>74</v>
      </c>
      <c r="D3079" s="1" t="s">
        <v>74</v>
      </c>
      <c r="E3079" s="1" t="s">
        <v>74</v>
      </c>
      <c r="F3079" s="1" t="s">
        <v>48893</v>
      </c>
      <c r="G3079" s="1" t="s">
        <v>74</v>
      </c>
      <c r="H3079" s="1" t="s">
        <v>74</v>
      </c>
      <c r="I3079" s="1" t="s">
        <v>48894</v>
      </c>
      <c r="J3079" s="1" t="s">
        <v>43250</v>
      </c>
      <c r="K3079" s="1" t="s">
        <v>74</v>
      </c>
      <c r="L3079" s="1" t="s">
        <v>74</v>
      </c>
      <c r="M3079" s="1" t="s">
        <v>78</v>
      </c>
      <c r="N3079" s="1" t="s">
        <v>79</v>
      </c>
      <c r="O3079" s="1" t="s">
        <v>74</v>
      </c>
      <c r="P3079" s="1" t="s">
        <v>74</v>
      </c>
      <c r="Q3079" s="1" t="s">
        <v>74</v>
      </c>
      <c r="R3079" s="1" t="s">
        <v>74</v>
      </c>
      <c r="S3079" s="1" t="s">
        <v>74</v>
      </c>
      <c r="T3079" s="1" t="s">
        <v>48895</v>
      </c>
      <c r="U3079" s="1" t="s">
        <v>74</v>
      </c>
      <c r="V3079" s="1" t="s">
        <v>48896</v>
      </c>
      <c r="W3079" s="1" t="s">
        <v>48897</v>
      </c>
      <c r="X3079" s="1" t="s">
        <v>48898</v>
      </c>
      <c r="Y3079" s="1" t="s">
        <v>48899</v>
      </c>
      <c r="Z3079" s="1" t="s">
        <v>74</v>
      </c>
      <c r="AA3079" s="1" t="s">
        <v>74</v>
      </c>
      <c r="AB3079" s="1" t="s">
        <v>74</v>
      </c>
      <c r="AC3079" s="1" t="s">
        <v>74</v>
      </c>
      <c r="AD3079" s="1" t="s">
        <v>74</v>
      </c>
      <c r="AE3079" s="1" t="s">
        <v>74</v>
      </c>
      <c r="AF3079" s="1" t="s">
        <v>74</v>
      </c>
      <c r="AG3079" s="1">
        <v>21</v>
      </c>
      <c r="AH3079" s="1">
        <v>12</v>
      </c>
      <c r="AI3079" s="1">
        <v>13</v>
      </c>
      <c r="AJ3079" s="1">
        <v>1</v>
      </c>
      <c r="AK3079" s="1">
        <v>8</v>
      </c>
      <c r="AL3079" s="1" t="s">
        <v>430</v>
      </c>
      <c r="AM3079" s="1" t="s">
        <v>137</v>
      </c>
      <c r="AN3079" s="1" t="s">
        <v>431</v>
      </c>
      <c r="AO3079" s="1" t="s">
        <v>43255</v>
      </c>
      <c r="AP3079" s="1" t="s">
        <v>74</v>
      </c>
      <c r="AQ3079" s="1" t="s">
        <v>74</v>
      </c>
      <c r="AR3079" s="1" t="s">
        <v>43256</v>
      </c>
      <c r="AS3079" s="1" t="s">
        <v>43257</v>
      </c>
      <c r="AT3079" s="1" t="s">
        <v>74</v>
      </c>
      <c r="AU3079" s="1">
        <v>1999</v>
      </c>
      <c r="AV3079" s="1">
        <v>42</v>
      </c>
      <c r="AW3079" s="1" t="s">
        <v>30100</v>
      </c>
      <c r="AX3079" s="1" t="s">
        <v>74</v>
      </c>
      <c r="AY3079" s="1" t="s">
        <v>74</v>
      </c>
      <c r="AZ3079" s="1" t="s">
        <v>74</v>
      </c>
      <c r="BA3079" s="1" t="s">
        <v>74</v>
      </c>
      <c r="BB3079" s="1">
        <v>591</v>
      </c>
      <c r="BC3079" s="1">
        <v>601</v>
      </c>
      <c r="BD3079" s="1" t="s">
        <v>74</v>
      </c>
      <c r="BE3079" s="1" t="s">
        <v>48900</v>
      </c>
      <c r="BF3079" s="1" t="str">
        <f>HYPERLINK("http://dx.doi.org/10.1016/S0964-5691(99)00035-6","http://dx.doi.org/10.1016/S0964-5691(99)00035-6")</f>
        <v>http://dx.doi.org/10.1016/S0964-5691(99)00035-6</v>
      </c>
      <c r="BG3079" s="1" t="s">
        <v>74</v>
      </c>
      <c r="BH3079" s="1" t="s">
        <v>74</v>
      </c>
      <c r="BI3079" s="1">
        <v>11</v>
      </c>
      <c r="BJ3079" s="1" t="s">
        <v>43259</v>
      </c>
      <c r="BK3079" s="1" t="s">
        <v>96</v>
      </c>
      <c r="BL3079" s="1" t="s">
        <v>43259</v>
      </c>
      <c r="BM3079" s="1" t="s">
        <v>48901</v>
      </c>
      <c r="BN3079" s="1" t="s">
        <v>74</v>
      </c>
      <c r="BO3079" s="1" t="s">
        <v>74</v>
      </c>
      <c r="BP3079" s="1" t="s">
        <v>74</v>
      </c>
      <c r="BQ3079" s="1" t="s">
        <v>74</v>
      </c>
      <c r="BR3079" s="1" t="s">
        <v>98</v>
      </c>
      <c r="BS3079" s="1" t="s">
        <v>48902</v>
      </c>
      <c r="BT3079" s="1" t="str">
        <f>HYPERLINK("https%3A%2F%2Fwww.webofscience.com%2Fwos%2Fwoscc%2Ffull-record%2FWOS:000081996900009","View Full Record in Web of Science")</f>
        <v>View Full Record in Web of Science</v>
      </c>
      <c r="BU3079" s="1"/>
      <c r="BV3079" s="1"/>
    </row>
    <row r="3080" spans="1:74">
      <c r="A3080" s="1" t="s">
        <v>72</v>
      </c>
      <c r="B3080" s="1" t="s">
        <v>48903</v>
      </c>
      <c r="C3080" s="1" t="s">
        <v>74</v>
      </c>
      <c r="D3080" s="1" t="s">
        <v>74</v>
      </c>
      <c r="E3080" s="1" t="s">
        <v>74</v>
      </c>
      <c r="F3080" s="1" t="s">
        <v>48903</v>
      </c>
      <c r="G3080" s="1" t="s">
        <v>74</v>
      </c>
      <c r="H3080" s="1" t="s">
        <v>74</v>
      </c>
      <c r="I3080" s="1" t="s">
        <v>48904</v>
      </c>
      <c r="J3080" s="1" t="s">
        <v>16476</v>
      </c>
      <c r="K3080" s="1" t="s">
        <v>74</v>
      </c>
      <c r="L3080" s="1" t="s">
        <v>74</v>
      </c>
      <c r="M3080" s="1" t="s">
        <v>78</v>
      </c>
      <c r="N3080" s="1" t="s">
        <v>79</v>
      </c>
      <c r="O3080" s="1" t="s">
        <v>74</v>
      </c>
      <c r="P3080" s="1" t="s">
        <v>74</v>
      </c>
      <c r="Q3080" s="1" t="s">
        <v>74</v>
      </c>
      <c r="R3080" s="1" t="s">
        <v>74</v>
      </c>
      <c r="S3080" s="1" t="s">
        <v>74</v>
      </c>
      <c r="T3080" s="1" t="s">
        <v>48905</v>
      </c>
      <c r="U3080" s="1" t="s">
        <v>48906</v>
      </c>
      <c r="V3080" s="1" t="s">
        <v>48907</v>
      </c>
      <c r="W3080" s="1" t="s">
        <v>48908</v>
      </c>
      <c r="X3080" s="1" t="s">
        <v>8002</v>
      </c>
      <c r="Y3080" s="1" t="s">
        <v>48909</v>
      </c>
      <c r="Z3080" s="1" t="s">
        <v>74</v>
      </c>
      <c r="AA3080" s="1" t="s">
        <v>74</v>
      </c>
      <c r="AB3080" s="1" t="s">
        <v>74</v>
      </c>
      <c r="AC3080" s="1" t="s">
        <v>74</v>
      </c>
      <c r="AD3080" s="1" t="s">
        <v>74</v>
      </c>
      <c r="AE3080" s="1" t="s">
        <v>74</v>
      </c>
      <c r="AF3080" s="1" t="s">
        <v>74</v>
      </c>
      <c r="AG3080" s="1">
        <v>29</v>
      </c>
      <c r="AH3080" s="1">
        <v>79</v>
      </c>
      <c r="AI3080" s="1">
        <v>85</v>
      </c>
      <c r="AJ3080" s="1">
        <v>0</v>
      </c>
      <c r="AK3080" s="1">
        <v>11</v>
      </c>
      <c r="AL3080" s="1" t="s">
        <v>919</v>
      </c>
      <c r="AM3080" s="1" t="s">
        <v>651</v>
      </c>
      <c r="AN3080" s="1" t="s">
        <v>920</v>
      </c>
      <c r="AO3080" s="1" t="s">
        <v>16484</v>
      </c>
      <c r="AP3080" s="1" t="s">
        <v>74</v>
      </c>
      <c r="AQ3080" s="1" t="s">
        <v>74</v>
      </c>
      <c r="AR3080" s="1" t="s">
        <v>16486</v>
      </c>
      <c r="AS3080" s="1" t="s">
        <v>16487</v>
      </c>
      <c r="AT3080" s="1" t="s">
        <v>48910</v>
      </c>
      <c r="AU3080" s="1">
        <v>1997</v>
      </c>
      <c r="AV3080" s="1">
        <v>393</v>
      </c>
      <c r="AW3080" s="1" t="s">
        <v>326</v>
      </c>
      <c r="AX3080" s="1" t="s">
        <v>74</v>
      </c>
      <c r="AY3080" s="1" t="s">
        <v>74</v>
      </c>
      <c r="AZ3080" s="1" t="s">
        <v>74</v>
      </c>
      <c r="BA3080" s="1" t="s">
        <v>74</v>
      </c>
      <c r="BB3080" s="1">
        <v>141</v>
      </c>
      <c r="BC3080" s="1">
        <v>149</v>
      </c>
      <c r="BD3080" s="1" t="s">
        <v>74</v>
      </c>
      <c r="BE3080" s="1" t="s">
        <v>48911</v>
      </c>
      <c r="BF3080" s="1" t="str">
        <f>HYPERLINK("http://dx.doi.org/10.1016/S1383-5718(97)00099-5","http://dx.doi.org/10.1016/S1383-5718(97)00099-5")</f>
        <v>http://dx.doi.org/10.1016/S1383-5718(97)00099-5</v>
      </c>
      <c r="BG3080" s="1" t="s">
        <v>74</v>
      </c>
      <c r="BH3080" s="1" t="s">
        <v>74</v>
      </c>
      <c r="BI3080" s="1">
        <v>9</v>
      </c>
      <c r="BJ3080" s="1" t="s">
        <v>16489</v>
      </c>
      <c r="BK3080" s="1" t="s">
        <v>96</v>
      </c>
      <c r="BL3080" s="1" t="s">
        <v>16489</v>
      </c>
      <c r="BM3080" s="1" t="s">
        <v>48912</v>
      </c>
      <c r="BN3080" s="1">
        <v>9357571</v>
      </c>
      <c r="BO3080" s="1" t="s">
        <v>74</v>
      </c>
      <c r="BP3080" s="1" t="s">
        <v>74</v>
      </c>
      <c r="BQ3080" s="1" t="s">
        <v>74</v>
      </c>
      <c r="BR3080" s="1" t="s">
        <v>98</v>
      </c>
      <c r="BS3080" s="1" t="s">
        <v>48913</v>
      </c>
      <c r="BT3080" s="1" t="str">
        <f>HYPERLINK("https%3A%2F%2Fwww.webofscience.com%2Fwos%2Fwoscc%2Ffull-record%2FWOS:A1997YD30500016","View Full Record in Web of Science")</f>
        <v>View Full Record in Web of Science</v>
      </c>
      <c r="BU3080" s="1"/>
      <c r="BV3080" s="1"/>
    </row>
    <row r="3081" spans="1:74">
      <c r="A3081" s="1" t="s">
        <v>72</v>
      </c>
      <c r="B3081" s="1" t="s">
        <v>48914</v>
      </c>
      <c r="C3081" s="1" t="s">
        <v>74</v>
      </c>
      <c r="D3081" s="1" t="s">
        <v>74</v>
      </c>
      <c r="E3081" s="1" t="s">
        <v>74</v>
      </c>
      <c r="F3081" s="1" t="s">
        <v>48914</v>
      </c>
      <c r="G3081" s="1" t="s">
        <v>74</v>
      </c>
      <c r="H3081" s="1" t="s">
        <v>74</v>
      </c>
      <c r="I3081" s="1" t="s">
        <v>48915</v>
      </c>
      <c r="J3081" s="1" t="s">
        <v>179</v>
      </c>
      <c r="K3081" s="1" t="s">
        <v>74</v>
      </c>
      <c r="L3081" s="1" t="s">
        <v>74</v>
      </c>
      <c r="M3081" s="1" t="s">
        <v>78</v>
      </c>
      <c r="N3081" s="1" t="s">
        <v>79</v>
      </c>
      <c r="O3081" s="1" t="s">
        <v>74</v>
      </c>
      <c r="P3081" s="1" t="s">
        <v>74</v>
      </c>
      <c r="Q3081" s="1" t="s">
        <v>74</v>
      </c>
      <c r="R3081" s="1" t="s">
        <v>74</v>
      </c>
      <c r="S3081" s="1" t="s">
        <v>74</v>
      </c>
      <c r="T3081" s="1" t="s">
        <v>48916</v>
      </c>
      <c r="U3081" s="1" t="s">
        <v>48917</v>
      </c>
      <c r="V3081" s="1" t="s">
        <v>48918</v>
      </c>
      <c r="W3081" s="1" t="s">
        <v>48919</v>
      </c>
      <c r="X3081" s="1" t="s">
        <v>4252</v>
      </c>
      <c r="Y3081" s="1" t="s">
        <v>48920</v>
      </c>
      <c r="Z3081" s="1" t="s">
        <v>48921</v>
      </c>
      <c r="AA3081" s="1" t="s">
        <v>48922</v>
      </c>
      <c r="AB3081" s="1" t="s">
        <v>48923</v>
      </c>
      <c r="AC3081" s="1" t="s">
        <v>74</v>
      </c>
      <c r="AD3081" s="1" t="s">
        <v>74</v>
      </c>
      <c r="AE3081" s="1" t="s">
        <v>74</v>
      </c>
      <c r="AF3081" s="1" t="s">
        <v>74</v>
      </c>
      <c r="AG3081" s="1">
        <v>44</v>
      </c>
      <c r="AH3081" s="1">
        <v>84</v>
      </c>
      <c r="AI3081" s="1">
        <v>96</v>
      </c>
      <c r="AJ3081" s="1">
        <v>1</v>
      </c>
      <c r="AK3081" s="1">
        <v>26</v>
      </c>
      <c r="AL3081" s="1" t="s">
        <v>112</v>
      </c>
      <c r="AM3081" s="1" t="s">
        <v>191</v>
      </c>
      <c r="AN3081" s="1" t="s">
        <v>192</v>
      </c>
      <c r="AO3081" s="1" t="s">
        <v>193</v>
      </c>
      <c r="AP3081" s="1" t="s">
        <v>194</v>
      </c>
      <c r="AQ3081" s="1" t="s">
        <v>74</v>
      </c>
      <c r="AR3081" s="1" t="s">
        <v>195</v>
      </c>
      <c r="AS3081" s="1" t="s">
        <v>196</v>
      </c>
      <c r="AT3081" s="1" t="s">
        <v>142</v>
      </c>
      <c r="AU3081" s="1">
        <v>2005</v>
      </c>
      <c r="AV3081" s="1">
        <v>105</v>
      </c>
      <c r="AW3081" s="1" t="s">
        <v>2847</v>
      </c>
      <c r="AX3081" s="1" t="s">
        <v>74</v>
      </c>
      <c r="AY3081" s="1" t="s">
        <v>74</v>
      </c>
      <c r="AZ3081" s="1" t="s">
        <v>74</v>
      </c>
      <c r="BA3081" s="1" t="s">
        <v>74</v>
      </c>
      <c r="BB3081" s="1">
        <v>309</v>
      </c>
      <c r="BC3081" s="1">
        <v>325</v>
      </c>
      <c r="BD3081" s="1" t="s">
        <v>74</v>
      </c>
      <c r="BE3081" s="1" t="s">
        <v>48924</v>
      </c>
      <c r="BF3081" s="1" t="str">
        <f>HYPERLINK("http://dx.doi.org/10.1007/s10661-005-3854-z","http://dx.doi.org/10.1007/s10661-005-3854-z")</f>
        <v>http://dx.doi.org/10.1007/s10661-005-3854-z</v>
      </c>
      <c r="BG3081" s="1" t="s">
        <v>74</v>
      </c>
      <c r="BH3081" s="1" t="s">
        <v>74</v>
      </c>
      <c r="BI3081" s="1">
        <v>17</v>
      </c>
      <c r="BJ3081" s="1" t="s">
        <v>144</v>
      </c>
      <c r="BK3081" s="1" t="s">
        <v>96</v>
      </c>
      <c r="BL3081" s="1" t="s">
        <v>145</v>
      </c>
      <c r="BM3081" s="1" t="s">
        <v>48925</v>
      </c>
      <c r="BN3081" s="1">
        <v>15952525</v>
      </c>
      <c r="BO3081" s="1" t="s">
        <v>74</v>
      </c>
      <c r="BP3081" s="1" t="s">
        <v>74</v>
      </c>
      <c r="BQ3081" s="1" t="s">
        <v>74</v>
      </c>
      <c r="BR3081" s="1" t="s">
        <v>98</v>
      </c>
      <c r="BS3081" s="1" t="s">
        <v>48926</v>
      </c>
      <c r="BT3081" s="1" t="str">
        <f>HYPERLINK("https%3A%2F%2Fwww.webofscience.com%2Fwos%2Fwoscc%2Ffull-record%2FWOS:000228971100018","View Full Record in Web of Science")</f>
        <v>View Full Record in Web of Science</v>
      </c>
      <c r="BU3081" s="1"/>
      <c r="BV3081" s="1"/>
    </row>
    <row r="3082" spans="1:74">
      <c r="A3082" s="1" t="s">
        <v>72</v>
      </c>
      <c r="B3082" s="1" t="s">
        <v>48927</v>
      </c>
      <c r="C3082" s="1" t="s">
        <v>74</v>
      </c>
      <c r="D3082" s="1" t="s">
        <v>74</v>
      </c>
      <c r="E3082" s="1" t="s">
        <v>74</v>
      </c>
      <c r="F3082" s="1" t="s">
        <v>48928</v>
      </c>
      <c r="G3082" s="1" t="s">
        <v>74</v>
      </c>
      <c r="H3082" s="1" t="s">
        <v>74</v>
      </c>
      <c r="I3082" s="1" t="s">
        <v>48929</v>
      </c>
      <c r="J3082" s="1" t="s">
        <v>11898</v>
      </c>
      <c r="K3082" s="1" t="s">
        <v>74</v>
      </c>
      <c r="L3082" s="1" t="s">
        <v>74</v>
      </c>
      <c r="M3082" s="1" t="s">
        <v>78</v>
      </c>
      <c r="N3082" s="1" t="s">
        <v>79</v>
      </c>
      <c r="O3082" s="1" t="s">
        <v>74</v>
      </c>
      <c r="P3082" s="1" t="s">
        <v>74</v>
      </c>
      <c r="Q3082" s="1" t="s">
        <v>74</v>
      </c>
      <c r="R3082" s="1" t="s">
        <v>74</v>
      </c>
      <c r="S3082" s="1" t="s">
        <v>74</v>
      </c>
      <c r="T3082" s="1" t="s">
        <v>48930</v>
      </c>
      <c r="U3082" s="1" t="s">
        <v>48931</v>
      </c>
      <c r="V3082" s="1" t="s">
        <v>48932</v>
      </c>
      <c r="W3082" s="1" t="s">
        <v>48933</v>
      </c>
      <c r="X3082" s="1" t="s">
        <v>48934</v>
      </c>
      <c r="Y3082" s="1" t="s">
        <v>48935</v>
      </c>
      <c r="Z3082" s="1" t="s">
        <v>48936</v>
      </c>
      <c r="AA3082" s="1" t="s">
        <v>48937</v>
      </c>
      <c r="AB3082" s="1" t="s">
        <v>74</v>
      </c>
      <c r="AC3082" s="1" t="s">
        <v>48938</v>
      </c>
      <c r="AD3082" s="1" t="s">
        <v>48939</v>
      </c>
      <c r="AE3082" s="1" t="s">
        <v>48940</v>
      </c>
      <c r="AF3082" s="1" t="s">
        <v>74</v>
      </c>
      <c r="AG3082" s="1">
        <v>41</v>
      </c>
      <c r="AH3082" s="1">
        <v>25</v>
      </c>
      <c r="AI3082" s="1">
        <v>33</v>
      </c>
      <c r="AJ3082" s="1">
        <v>3</v>
      </c>
      <c r="AK3082" s="1">
        <v>57</v>
      </c>
      <c r="AL3082" s="1" t="s">
        <v>1566</v>
      </c>
      <c r="AM3082" s="1" t="s">
        <v>1567</v>
      </c>
      <c r="AN3082" s="1" t="s">
        <v>1568</v>
      </c>
      <c r="AO3082" s="1" t="s">
        <v>11911</v>
      </c>
      <c r="AP3082" s="1" t="s">
        <v>74</v>
      </c>
      <c r="AQ3082" s="1" t="s">
        <v>74</v>
      </c>
      <c r="AR3082" s="1" t="s">
        <v>11912</v>
      </c>
      <c r="AS3082" s="1" t="s">
        <v>11913</v>
      </c>
      <c r="AT3082" s="1" t="s">
        <v>93</v>
      </c>
      <c r="AU3082" s="1">
        <v>2013</v>
      </c>
      <c r="AV3082" s="1">
        <v>10</v>
      </c>
      <c r="AW3082" s="1">
        <v>4</v>
      </c>
      <c r="AX3082" s="1" t="s">
        <v>74</v>
      </c>
      <c r="AY3082" s="1" t="s">
        <v>74</v>
      </c>
      <c r="AZ3082" s="1" t="s">
        <v>74</v>
      </c>
      <c r="BA3082" s="1" t="s">
        <v>74</v>
      </c>
      <c r="BB3082" s="1">
        <v>1392</v>
      </c>
      <c r="BC3082" s="1">
        <v>1405</v>
      </c>
      <c r="BD3082" s="1" t="s">
        <v>74</v>
      </c>
      <c r="BE3082" s="1" t="s">
        <v>48941</v>
      </c>
      <c r="BF3082" s="1" t="str">
        <f>HYPERLINK("http://dx.doi.org/10.3390/ijerph10041392","http://dx.doi.org/10.3390/ijerph10041392")</f>
        <v>http://dx.doi.org/10.3390/ijerph10041392</v>
      </c>
      <c r="BG3082" s="1" t="s">
        <v>74</v>
      </c>
      <c r="BH3082" s="1" t="s">
        <v>74</v>
      </c>
      <c r="BI3082" s="1">
        <v>14</v>
      </c>
      <c r="BJ3082" s="1" t="s">
        <v>10142</v>
      </c>
      <c r="BK3082" s="1" t="s">
        <v>96</v>
      </c>
      <c r="BL3082" s="1" t="s">
        <v>10143</v>
      </c>
      <c r="BM3082" s="1" t="s">
        <v>48942</v>
      </c>
      <c r="BN3082" s="1">
        <v>23549229</v>
      </c>
      <c r="BO3082" s="1" t="s">
        <v>20619</v>
      </c>
      <c r="BP3082" s="1" t="s">
        <v>74</v>
      </c>
      <c r="BQ3082" s="1" t="s">
        <v>74</v>
      </c>
      <c r="BR3082" s="1" t="s">
        <v>98</v>
      </c>
      <c r="BS3082" s="1" t="s">
        <v>48943</v>
      </c>
      <c r="BT3082" s="1" t="str">
        <f>HYPERLINK("https%3A%2F%2Fwww.webofscience.com%2Fwos%2Fwoscc%2Ffull-record%2FWOS:000318032300015","View Full Record in Web of Science")</f>
        <v>View Full Record in Web of Science</v>
      </c>
      <c r="BU3082" s="1"/>
      <c r="BV3082" s="1"/>
    </row>
    <row r="3083" spans="1:74">
      <c r="A3083" s="1" t="s">
        <v>72</v>
      </c>
      <c r="B3083" s="1" t="s">
        <v>46297</v>
      </c>
      <c r="C3083" s="1" t="s">
        <v>74</v>
      </c>
      <c r="D3083" s="1" t="s">
        <v>74</v>
      </c>
      <c r="E3083" s="1" t="s">
        <v>74</v>
      </c>
      <c r="F3083" s="1" t="s">
        <v>46298</v>
      </c>
      <c r="G3083" s="1" t="s">
        <v>74</v>
      </c>
      <c r="H3083" s="1" t="s">
        <v>74</v>
      </c>
      <c r="I3083" s="1" t="s">
        <v>48944</v>
      </c>
      <c r="J3083" s="1" t="s">
        <v>909</v>
      </c>
      <c r="K3083" s="1" t="s">
        <v>74</v>
      </c>
      <c r="L3083" s="1" t="s">
        <v>74</v>
      </c>
      <c r="M3083" s="1" t="s">
        <v>78</v>
      </c>
      <c r="N3083" s="1" t="s">
        <v>79</v>
      </c>
      <c r="O3083" s="1" t="s">
        <v>74</v>
      </c>
      <c r="P3083" s="1" t="s">
        <v>74</v>
      </c>
      <c r="Q3083" s="1" t="s">
        <v>74</v>
      </c>
      <c r="R3083" s="1" t="s">
        <v>74</v>
      </c>
      <c r="S3083" s="1" t="s">
        <v>74</v>
      </c>
      <c r="T3083" s="1" t="s">
        <v>48945</v>
      </c>
      <c r="U3083" s="1" t="s">
        <v>48946</v>
      </c>
      <c r="V3083" s="1" t="s">
        <v>48947</v>
      </c>
      <c r="W3083" s="1" t="s">
        <v>48948</v>
      </c>
      <c r="X3083" s="1" t="s">
        <v>26301</v>
      </c>
      <c r="Y3083" s="1" t="s">
        <v>48949</v>
      </c>
      <c r="Z3083" s="1" t="s">
        <v>9288</v>
      </c>
      <c r="AA3083" s="1" t="s">
        <v>48950</v>
      </c>
      <c r="AB3083" s="1" t="s">
        <v>48951</v>
      </c>
      <c r="AC3083" s="1" t="s">
        <v>48952</v>
      </c>
      <c r="AD3083" s="1" t="s">
        <v>48953</v>
      </c>
      <c r="AE3083" s="1" t="s">
        <v>48954</v>
      </c>
      <c r="AF3083" s="1" t="s">
        <v>74</v>
      </c>
      <c r="AG3083" s="1">
        <v>101</v>
      </c>
      <c r="AH3083" s="1">
        <v>88</v>
      </c>
      <c r="AI3083" s="1">
        <v>94</v>
      </c>
      <c r="AJ3083" s="1">
        <v>2</v>
      </c>
      <c r="AK3083" s="1">
        <v>70</v>
      </c>
      <c r="AL3083" s="1" t="s">
        <v>650</v>
      </c>
      <c r="AM3083" s="1" t="s">
        <v>651</v>
      </c>
      <c r="AN3083" s="1" t="s">
        <v>652</v>
      </c>
      <c r="AO3083" s="1" t="s">
        <v>921</v>
      </c>
      <c r="AP3083" s="1" t="s">
        <v>922</v>
      </c>
      <c r="AQ3083" s="1" t="s">
        <v>74</v>
      </c>
      <c r="AR3083" s="1" t="s">
        <v>923</v>
      </c>
      <c r="AS3083" s="1" t="s">
        <v>924</v>
      </c>
      <c r="AT3083" s="1" t="s">
        <v>2303</v>
      </c>
      <c r="AU3083" s="1">
        <v>2017</v>
      </c>
      <c r="AV3083" s="1">
        <v>601</v>
      </c>
      <c r="AW3083" s="1" t="s">
        <v>74</v>
      </c>
      <c r="AX3083" s="1" t="s">
        <v>74</v>
      </c>
      <c r="AY3083" s="1" t="s">
        <v>74</v>
      </c>
      <c r="AZ3083" s="1" t="s">
        <v>74</v>
      </c>
      <c r="BA3083" s="1" t="s">
        <v>74</v>
      </c>
      <c r="BB3083" s="1">
        <v>1129</v>
      </c>
      <c r="BC3083" s="1">
        <v>1138</v>
      </c>
      <c r="BD3083" s="1" t="s">
        <v>74</v>
      </c>
      <c r="BE3083" s="1" t="s">
        <v>48955</v>
      </c>
      <c r="BF3083" s="1" t="str">
        <f>HYPERLINK("http://dx.doi.org/10.1016/j.scitotenv.2017.05.201","http://dx.doi.org/10.1016/j.scitotenv.2017.05.201")</f>
        <v>http://dx.doi.org/10.1016/j.scitotenv.2017.05.201</v>
      </c>
      <c r="BG3083" s="1" t="s">
        <v>74</v>
      </c>
      <c r="BH3083" s="1" t="s">
        <v>74</v>
      </c>
      <c r="BI3083" s="1">
        <v>10</v>
      </c>
      <c r="BJ3083" s="1" t="s">
        <v>144</v>
      </c>
      <c r="BK3083" s="1" t="s">
        <v>96</v>
      </c>
      <c r="BL3083" s="1" t="s">
        <v>145</v>
      </c>
      <c r="BM3083" s="1" t="s">
        <v>48956</v>
      </c>
      <c r="BN3083" s="1">
        <v>28599369</v>
      </c>
      <c r="BO3083" s="1" t="s">
        <v>74</v>
      </c>
      <c r="BP3083" s="1" t="s">
        <v>74</v>
      </c>
      <c r="BQ3083" s="1" t="s">
        <v>74</v>
      </c>
      <c r="BR3083" s="1" t="s">
        <v>98</v>
      </c>
      <c r="BS3083" s="1" t="s">
        <v>48957</v>
      </c>
      <c r="BT3083" s="1" t="str">
        <f>HYPERLINK("https%3A%2F%2Fwww.webofscience.com%2Fwos%2Fwoscc%2Ffull-record%2FWOS:000406294900110","View Full Record in Web of Science")</f>
        <v>View Full Record in Web of Science</v>
      </c>
      <c r="BU3083" s="1"/>
      <c r="BV3083" s="1"/>
    </row>
    <row r="3084" spans="1:74">
      <c r="A3084" s="1" t="s">
        <v>72</v>
      </c>
      <c r="B3084" s="1" t="s">
        <v>48958</v>
      </c>
      <c r="C3084" s="1" t="s">
        <v>74</v>
      </c>
      <c r="D3084" s="1" t="s">
        <v>74</v>
      </c>
      <c r="E3084" s="1" t="s">
        <v>74</v>
      </c>
      <c r="F3084" s="1" t="s">
        <v>48958</v>
      </c>
      <c r="G3084" s="1" t="s">
        <v>74</v>
      </c>
      <c r="H3084" s="1" t="s">
        <v>74</v>
      </c>
      <c r="I3084" s="1" t="s">
        <v>48959</v>
      </c>
      <c r="J3084" s="1" t="s">
        <v>752</v>
      </c>
      <c r="K3084" s="1" t="s">
        <v>74</v>
      </c>
      <c r="L3084" s="1" t="s">
        <v>74</v>
      </c>
      <c r="M3084" s="1" t="s">
        <v>78</v>
      </c>
      <c r="N3084" s="1" t="s">
        <v>79</v>
      </c>
      <c r="O3084" s="1" t="s">
        <v>74</v>
      </c>
      <c r="P3084" s="1" t="s">
        <v>74</v>
      </c>
      <c r="Q3084" s="1" t="s">
        <v>74</v>
      </c>
      <c r="R3084" s="1" t="s">
        <v>74</v>
      </c>
      <c r="S3084" s="1" t="s">
        <v>74</v>
      </c>
      <c r="T3084" s="1" t="s">
        <v>48960</v>
      </c>
      <c r="U3084" s="1" t="s">
        <v>48961</v>
      </c>
      <c r="V3084" s="1" t="s">
        <v>48962</v>
      </c>
      <c r="W3084" s="1" t="s">
        <v>48963</v>
      </c>
      <c r="X3084" s="1" t="s">
        <v>48964</v>
      </c>
      <c r="Y3084" s="1" t="s">
        <v>48965</v>
      </c>
      <c r="Z3084" s="1" t="s">
        <v>48966</v>
      </c>
      <c r="AA3084" s="1" t="s">
        <v>48967</v>
      </c>
      <c r="AB3084" s="1" t="s">
        <v>48968</v>
      </c>
      <c r="AC3084" s="1" t="s">
        <v>74</v>
      </c>
      <c r="AD3084" s="1" t="s">
        <v>74</v>
      </c>
      <c r="AE3084" s="1" t="s">
        <v>74</v>
      </c>
      <c r="AF3084" s="1" t="s">
        <v>74</v>
      </c>
      <c r="AG3084" s="1">
        <v>39</v>
      </c>
      <c r="AH3084" s="1">
        <v>20</v>
      </c>
      <c r="AI3084" s="1">
        <v>22</v>
      </c>
      <c r="AJ3084" s="1">
        <v>1</v>
      </c>
      <c r="AK3084" s="1">
        <v>36</v>
      </c>
      <c r="AL3084" s="1" t="s">
        <v>430</v>
      </c>
      <c r="AM3084" s="1" t="s">
        <v>137</v>
      </c>
      <c r="AN3084" s="1" t="s">
        <v>431</v>
      </c>
      <c r="AO3084" s="1" t="s">
        <v>761</v>
      </c>
      <c r="AP3084" s="1" t="s">
        <v>762</v>
      </c>
      <c r="AQ3084" s="1" t="s">
        <v>74</v>
      </c>
      <c r="AR3084" s="1" t="s">
        <v>763</v>
      </c>
      <c r="AS3084" s="1" t="s">
        <v>764</v>
      </c>
      <c r="AT3084" s="1" t="s">
        <v>765</v>
      </c>
      <c r="AU3084" s="1">
        <v>2005</v>
      </c>
      <c r="AV3084" s="1">
        <v>60</v>
      </c>
      <c r="AW3084" s="1">
        <v>1</v>
      </c>
      <c r="AX3084" s="1" t="s">
        <v>74</v>
      </c>
      <c r="AY3084" s="1" t="s">
        <v>74</v>
      </c>
      <c r="AZ3084" s="1" t="s">
        <v>74</v>
      </c>
      <c r="BA3084" s="1" t="s">
        <v>74</v>
      </c>
      <c r="BB3084" s="1">
        <v>111</v>
      </c>
      <c r="BC3084" s="1">
        <v>130</v>
      </c>
      <c r="BD3084" s="1" t="s">
        <v>74</v>
      </c>
      <c r="BE3084" s="1" t="s">
        <v>48969</v>
      </c>
      <c r="BF3084" s="1" t="str">
        <f>HYPERLINK("http://dx.doi.org/10.1016/j.marenvres.2004.10.001","http://dx.doi.org/10.1016/j.marenvres.2004.10.001")</f>
        <v>http://dx.doi.org/10.1016/j.marenvres.2004.10.001</v>
      </c>
      <c r="BG3084" s="1" t="s">
        <v>74</v>
      </c>
      <c r="BH3084" s="1" t="s">
        <v>74</v>
      </c>
      <c r="BI3084" s="1">
        <v>20</v>
      </c>
      <c r="BJ3084" s="1" t="s">
        <v>768</v>
      </c>
      <c r="BK3084" s="1" t="s">
        <v>96</v>
      </c>
      <c r="BL3084" s="1" t="s">
        <v>769</v>
      </c>
      <c r="BM3084" s="1" t="s">
        <v>48970</v>
      </c>
      <c r="BN3084" s="1">
        <v>15649530</v>
      </c>
      <c r="BO3084" s="1" t="s">
        <v>74</v>
      </c>
      <c r="BP3084" s="1" t="s">
        <v>74</v>
      </c>
      <c r="BQ3084" s="1" t="s">
        <v>74</v>
      </c>
      <c r="BR3084" s="1" t="s">
        <v>98</v>
      </c>
      <c r="BS3084" s="1" t="s">
        <v>48971</v>
      </c>
      <c r="BT3084" s="1" t="str">
        <f>HYPERLINK("https%3A%2F%2Fwww.webofscience.com%2Fwos%2Fwoscc%2Ffull-record%2FWOS:000227597000006","View Full Record in Web of Science")</f>
        <v>View Full Record in Web of Science</v>
      </c>
      <c r="BU3084" s="1"/>
      <c r="BV3084" s="1"/>
    </row>
    <row r="3085" spans="1:74">
      <c r="A3085" s="1" t="s">
        <v>72</v>
      </c>
      <c r="B3085" s="1" t="s">
        <v>48972</v>
      </c>
      <c r="C3085" s="1" t="s">
        <v>74</v>
      </c>
      <c r="D3085" s="1" t="s">
        <v>74</v>
      </c>
      <c r="E3085" s="1" t="s">
        <v>74</v>
      </c>
      <c r="F3085" s="1" t="s">
        <v>48973</v>
      </c>
      <c r="G3085" s="1" t="s">
        <v>74</v>
      </c>
      <c r="H3085" s="1" t="s">
        <v>74</v>
      </c>
      <c r="I3085" s="1" t="s">
        <v>48974</v>
      </c>
      <c r="J3085" s="1" t="s">
        <v>11177</v>
      </c>
      <c r="K3085" s="1" t="s">
        <v>74</v>
      </c>
      <c r="L3085" s="1" t="s">
        <v>74</v>
      </c>
      <c r="M3085" s="1" t="s">
        <v>78</v>
      </c>
      <c r="N3085" s="1" t="s">
        <v>79</v>
      </c>
      <c r="O3085" s="1" t="s">
        <v>74</v>
      </c>
      <c r="P3085" s="1" t="s">
        <v>74</v>
      </c>
      <c r="Q3085" s="1" t="s">
        <v>74</v>
      </c>
      <c r="R3085" s="1" t="s">
        <v>74</v>
      </c>
      <c r="S3085" s="1" t="s">
        <v>74</v>
      </c>
      <c r="T3085" s="1" t="s">
        <v>48975</v>
      </c>
      <c r="U3085" s="1" t="s">
        <v>48976</v>
      </c>
      <c r="V3085" s="1" t="s">
        <v>48977</v>
      </c>
      <c r="W3085" s="1" t="s">
        <v>48978</v>
      </c>
      <c r="X3085" s="1" t="s">
        <v>48979</v>
      </c>
      <c r="Y3085" s="1" t="s">
        <v>48980</v>
      </c>
      <c r="Z3085" s="1" t="s">
        <v>48981</v>
      </c>
      <c r="AA3085" s="1" t="s">
        <v>48982</v>
      </c>
      <c r="AB3085" s="1" t="s">
        <v>74</v>
      </c>
      <c r="AC3085" s="1" t="s">
        <v>48983</v>
      </c>
      <c r="AD3085" s="1" t="s">
        <v>48984</v>
      </c>
      <c r="AE3085" s="1" t="s">
        <v>48985</v>
      </c>
      <c r="AF3085" s="1" t="s">
        <v>74</v>
      </c>
      <c r="AG3085" s="1">
        <v>41</v>
      </c>
      <c r="AH3085" s="1">
        <v>0</v>
      </c>
      <c r="AI3085" s="1">
        <v>0</v>
      </c>
      <c r="AJ3085" s="1">
        <v>24</v>
      </c>
      <c r="AK3085" s="1">
        <v>24</v>
      </c>
      <c r="AL3085" s="1" t="s">
        <v>430</v>
      </c>
      <c r="AM3085" s="1" t="s">
        <v>7361</v>
      </c>
      <c r="AN3085" s="1" t="s">
        <v>7362</v>
      </c>
      <c r="AO3085" s="1" t="s">
        <v>11187</v>
      </c>
      <c r="AP3085" s="1" t="s">
        <v>11188</v>
      </c>
      <c r="AQ3085" s="1" t="s">
        <v>74</v>
      </c>
      <c r="AR3085" s="1" t="s">
        <v>11189</v>
      </c>
      <c r="AS3085" s="1" t="s">
        <v>11190</v>
      </c>
      <c r="AT3085" s="1" t="s">
        <v>119</v>
      </c>
      <c r="AU3085" s="1">
        <v>2024</v>
      </c>
      <c r="AV3085" s="1">
        <v>12</v>
      </c>
      <c r="AW3085" s="1">
        <v>4</v>
      </c>
      <c r="AX3085" s="1" t="s">
        <v>74</v>
      </c>
      <c r="AY3085" s="1" t="s">
        <v>74</v>
      </c>
      <c r="AZ3085" s="1" t="s">
        <v>74</v>
      </c>
      <c r="BA3085" s="1" t="s">
        <v>74</v>
      </c>
      <c r="BB3085" s="1" t="s">
        <v>74</v>
      </c>
      <c r="BC3085" s="1" t="s">
        <v>74</v>
      </c>
      <c r="BD3085" s="1">
        <v>113133</v>
      </c>
      <c r="BE3085" s="1" t="s">
        <v>48986</v>
      </c>
      <c r="BF3085" s="1" t="str">
        <f>HYPERLINK("http://dx.doi.org/10.1016/j.jece.2024.113133","http://dx.doi.org/10.1016/j.jece.2024.113133")</f>
        <v>http://dx.doi.org/10.1016/j.jece.2024.113133</v>
      </c>
      <c r="BG3085" s="1" t="s">
        <v>74</v>
      </c>
      <c r="BH3085" s="1" t="s">
        <v>11425</v>
      </c>
      <c r="BI3085" s="1">
        <v>13</v>
      </c>
      <c r="BJ3085" s="1" t="s">
        <v>3991</v>
      </c>
      <c r="BK3085" s="1" t="s">
        <v>96</v>
      </c>
      <c r="BL3085" s="1" t="s">
        <v>3992</v>
      </c>
      <c r="BM3085" s="1" t="s">
        <v>48987</v>
      </c>
      <c r="BN3085" s="1" t="s">
        <v>74</v>
      </c>
      <c r="BO3085" s="1" t="s">
        <v>74</v>
      </c>
      <c r="BP3085" s="1" t="s">
        <v>74</v>
      </c>
      <c r="BQ3085" s="1" t="s">
        <v>74</v>
      </c>
      <c r="BR3085" s="1" t="s">
        <v>98</v>
      </c>
      <c r="BS3085" s="1" t="s">
        <v>48988</v>
      </c>
      <c r="BT3085" s="1" t="str">
        <f>HYPERLINK("https%3A%2F%2Fwww.webofscience.com%2Fwos%2Fwoscc%2Ffull-record%2FWOS:001244283900001","View Full Record in Web of Science")</f>
        <v>View Full Record in Web of Science</v>
      </c>
      <c r="BU3085" s="1"/>
      <c r="BV3085" s="1"/>
    </row>
    <row r="3086" spans="1:74">
      <c r="A3086" s="1" t="s">
        <v>72</v>
      </c>
      <c r="B3086" s="1" t="s">
        <v>48989</v>
      </c>
      <c r="C3086" s="1" t="s">
        <v>74</v>
      </c>
      <c r="D3086" s="1" t="s">
        <v>74</v>
      </c>
      <c r="E3086" s="1" t="s">
        <v>74</v>
      </c>
      <c r="F3086" s="1" t="s">
        <v>48990</v>
      </c>
      <c r="G3086" s="1" t="s">
        <v>74</v>
      </c>
      <c r="H3086" s="1" t="s">
        <v>74</v>
      </c>
      <c r="I3086" s="1" t="s">
        <v>48991</v>
      </c>
      <c r="J3086" s="1" t="s">
        <v>10129</v>
      </c>
      <c r="K3086" s="1" t="s">
        <v>74</v>
      </c>
      <c r="L3086" s="1" t="s">
        <v>74</v>
      </c>
      <c r="M3086" s="1" t="s">
        <v>78</v>
      </c>
      <c r="N3086" s="1" t="s">
        <v>79</v>
      </c>
      <c r="O3086" s="1" t="s">
        <v>74</v>
      </c>
      <c r="P3086" s="1" t="s">
        <v>74</v>
      </c>
      <c r="Q3086" s="1" t="s">
        <v>74</v>
      </c>
      <c r="R3086" s="1" t="s">
        <v>74</v>
      </c>
      <c r="S3086" s="1" t="s">
        <v>74</v>
      </c>
      <c r="T3086" s="1" t="s">
        <v>48992</v>
      </c>
      <c r="U3086" s="1" t="s">
        <v>48993</v>
      </c>
      <c r="V3086" s="1" t="s">
        <v>48994</v>
      </c>
      <c r="W3086" s="1" t="s">
        <v>48995</v>
      </c>
      <c r="X3086" s="1" t="s">
        <v>48996</v>
      </c>
      <c r="Y3086" s="1" t="s">
        <v>48997</v>
      </c>
      <c r="Z3086" s="1" t="s">
        <v>48998</v>
      </c>
      <c r="AA3086" s="1" t="s">
        <v>48999</v>
      </c>
      <c r="AB3086" s="1" t="s">
        <v>49000</v>
      </c>
      <c r="AC3086" s="1" t="s">
        <v>49001</v>
      </c>
      <c r="AD3086" s="1" t="s">
        <v>49001</v>
      </c>
      <c r="AE3086" s="1" t="s">
        <v>49002</v>
      </c>
      <c r="AF3086" s="1" t="s">
        <v>74</v>
      </c>
      <c r="AG3086" s="1">
        <v>70</v>
      </c>
      <c r="AH3086" s="1">
        <v>55</v>
      </c>
      <c r="AI3086" s="1">
        <v>58</v>
      </c>
      <c r="AJ3086" s="1">
        <v>5</v>
      </c>
      <c r="AK3086" s="1">
        <v>136</v>
      </c>
      <c r="AL3086" s="1" t="s">
        <v>3362</v>
      </c>
      <c r="AM3086" s="1" t="s">
        <v>3363</v>
      </c>
      <c r="AN3086" s="1" t="s">
        <v>3364</v>
      </c>
      <c r="AO3086" s="1" t="s">
        <v>10137</v>
      </c>
      <c r="AP3086" s="1" t="s">
        <v>10138</v>
      </c>
      <c r="AQ3086" s="1" t="s">
        <v>74</v>
      </c>
      <c r="AR3086" s="1" t="s">
        <v>10139</v>
      </c>
      <c r="AS3086" s="1" t="s">
        <v>10140</v>
      </c>
      <c r="AT3086" s="1" t="s">
        <v>305</v>
      </c>
      <c r="AU3086" s="1">
        <v>2020</v>
      </c>
      <c r="AV3086" s="1">
        <v>188</v>
      </c>
      <c r="AW3086" s="1" t="s">
        <v>74</v>
      </c>
      <c r="AX3086" s="1" t="s">
        <v>74</v>
      </c>
      <c r="AY3086" s="1" t="s">
        <v>74</v>
      </c>
      <c r="AZ3086" s="1" t="s">
        <v>74</v>
      </c>
      <c r="BA3086" s="1" t="s">
        <v>74</v>
      </c>
      <c r="BB3086" s="1" t="s">
        <v>74</v>
      </c>
      <c r="BC3086" s="1" t="s">
        <v>74</v>
      </c>
      <c r="BD3086" s="1">
        <v>109555</v>
      </c>
      <c r="BE3086" s="1" t="s">
        <v>49003</v>
      </c>
      <c r="BF3086" s="1" t="str">
        <f>HYPERLINK("http://dx.doi.org/10.1016/j.envres.2020.109555","http://dx.doi.org/10.1016/j.envres.2020.109555")</f>
        <v>http://dx.doi.org/10.1016/j.envres.2020.109555</v>
      </c>
      <c r="BG3086" s="1" t="s">
        <v>74</v>
      </c>
      <c r="BH3086" s="1" t="s">
        <v>74</v>
      </c>
      <c r="BI3086" s="1">
        <v>9</v>
      </c>
      <c r="BJ3086" s="1" t="s">
        <v>10142</v>
      </c>
      <c r="BK3086" s="1" t="s">
        <v>96</v>
      </c>
      <c r="BL3086" s="1" t="s">
        <v>10143</v>
      </c>
      <c r="BM3086" s="1" t="s">
        <v>49004</v>
      </c>
      <c r="BN3086" s="1">
        <v>32559687</v>
      </c>
      <c r="BO3086" s="1" t="s">
        <v>74</v>
      </c>
      <c r="BP3086" s="1" t="s">
        <v>74</v>
      </c>
      <c r="BQ3086" s="1" t="s">
        <v>74</v>
      </c>
      <c r="BR3086" s="1" t="s">
        <v>98</v>
      </c>
      <c r="BS3086" s="1" t="s">
        <v>49005</v>
      </c>
      <c r="BT3086" s="1" t="str">
        <f>HYPERLINK("https%3A%2F%2Fwww.webofscience.com%2Fwos%2Fwoscc%2Ffull-record%2FWOS:000564656800004","View Full Record in Web of Science")</f>
        <v>View Full Record in Web of Science</v>
      </c>
      <c r="BU3086" s="1"/>
      <c r="BV3086" s="1"/>
    </row>
    <row r="3087" spans="1:74">
      <c r="A3087" s="1" t="s">
        <v>72</v>
      </c>
      <c r="B3087" s="1" t="s">
        <v>49006</v>
      </c>
      <c r="C3087" s="1" t="s">
        <v>74</v>
      </c>
      <c r="D3087" s="1" t="s">
        <v>74</v>
      </c>
      <c r="E3087" s="1" t="s">
        <v>74</v>
      </c>
      <c r="F3087" s="1" t="s">
        <v>49007</v>
      </c>
      <c r="G3087" s="1" t="s">
        <v>74</v>
      </c>
      <c r="H3087" s="1" t="s">
        <v>74</v>
      </c>
      <c r="I3087" s="1" t="s">
        <v>49008</v>
      </c>
      <c r="J3087" s="1" t="s">
        <v>204</v>
      </c>
      <c r="K3087" s="1" t="s">
        <v>74</v>
      </c>
      <c r="L3087" s="1" t="s">
        <v>74</v>
      </c>
      <c r="M3087" s="1" t="s">
        <v>78</v>
      </c>
      <c r="N3087" s="1" t="s">
        <v>79</v>
      </c>
      <c r="O3087" s="1" t="s">
        <v>74</v>
      </c>
      <c r="P3087" s="1" t="s">
        <v>74</v>
      </c>
      <c r="Q3087" s="1" t="s">
        <v>74</v>
      </c>
      <c r="R3087" s="1" t="s">
        <v>74</v>
      </c>
      <c r="S3087" s="1" t="s">
        <v>74</v>
      </c>
      <c r="T3087" s="1" t="s">
        <v>49009</v>
      </c>
      <c r="U3087" s="1" t="s">
        <v>49010</v>
      </c>
      <c r="V3087" s="1" t="s">
        <v>49011</v>
      </c>
      <c r="W3087" s="1" t="s">
        <v>49012</v>
      </c>
      <c r="X3087" s="1" t="s">
        <v>49013</v>
      </c>
      <c r="Y3087" s="1" t="s">
        <v>49014</v>
      </c>
      <c r="Z3087" s="1" t="s">
        <v>49015</v>
      </c>
      <c r="AA3087" s="1" t="s">
        <v>49016</v>
      </c>
      <c r="AB3087" s="1" t="s">
        <v>49017</v>
      </c>
      <c r="AC3087" s="1" t="s">
        <v>49018</v>
      </c>
      <c r="AD3087" s="1" t="s">
        <v>49019</v>
      </c>
      <c r="AE3087" s="1" t="s">
        <v>49020</v>
      </c>
      <c r="AF3087" s="1" t="s">
        <v>74</v>
      </c>
      <c r="AG3087" s="1">
        <v>81</v>
      </c>
      <c r="AH3087" s="1">
        <v>2</v>
      </c>
      <c r="AI3087" s="1">
        <v>2</v>
      </c>
      <c r="AJ3087" s="1">
        <v>4</v>
      </c>
      <c r="AK3087" s="1">
        <v>16</v>
      </c>
      <c r="AL3087" s="1" t="s">
        <v>217</v>
      </c>
      <c r="AM3087" s="1" t="s">
        <v>218</v>
      </c>
      <c r="AN3087" s="1" t="s">
        <v>219</v>
      </c>
      <c r="AO3087" s="1" t="s">
        <v>220</v>
      </c>
      <c r="AP3087" s="1" t="s">
        <v>221</v>
      </c>
      <c r="AQ3087" s="1" t="s">
        <v>74</v>
      </c>
      <c r="AR3087" s="1" t="s">
        <v>222</v>
      </c>
      <c r="AS3087" s="1" t="s">
        <v>223</v>
      </c>
      <c r="AT3087" s="1" t="s">
        <v>951</v>
      </c>
      <c r="AU3087" s="1">
        <v>2022</v>
      </c>
      <c r="AV3087" s="1">
        <v>29</v>
      </c>
      <c r="AW3087" s="1">
        <v>52</v>
      </c>
      <c r="AX3087" s="1" t="s">
        <v>74</v>
      </c>
      <c r="AY3087" s="1" t="s">
        <v>74</v>
      </c>
      <c r="AZ3087" s="1" t="s">
        <v>74</v>
      </c>
      <c r="BA3087" s="1" t="s">
        <v>74</v>
      </c>
      <c r="BB3087" s="1">
        <v>78396</v>
      </c>
      <c r="BC3087" s="1">
        <v>78413</v>
      </c>
      <c r="BD3087" s="1" t="s">
        <v>74</v>
      </c>
      <c r="BE3087" s="1" t="s">
        <v>49021</v>
      </c>
      <c r="BF3087" s="1" t="str">
        <f>HYPERLINK("http://dx.doi.org/10.1007/s11356-022-21027-x","http://dx.doi.org/10.1007/s11356-022-21027-x")</f>
        <v>http://dx.doi.org/10.1007/s11356-022-21027-x</v>
      </c>
      <c r="BG3087" s="1" t="s">
        <v>74</v>
      </c>
      <c r="BH3087" s="1" t="s">
        <v>18991</v>
      </c>
      <c r="BI3087" s="1">
        <v>18</v>
      </c>
      <c r="BJ3087" s="1" t="s">
        <v>144</v>
      </c>
      <c r="BK3087" s="1" t="s">
        <v>96</v>
      </c>
      <c r="BL3087" s="1" t="s">
        <v>145</v>
      </c>
      <c r="BM3087" s="1" t="s">
        <v>49022</v>
      </c>
      <c r="BN3087" s="1">
        <v>35688986</v>
      </c>
      <c r="BO3087" s="1" t="s">
        <v>74</v>
      </c>
      <c r="BP3087" s="1" t="s">
        <v>74</v>
      </c>
      <c r="BQ3087" s="1" t="s">
        <v>74</v>
      </c>
      <c r="BR3087" s="1" t="s">
        <v>98</v>
      </c>
      <c r="BS3087" s="1" t="s">
        <v>49023</v>
      </c>
      <c r="BT3087" s="1" t="str">
        <f>HYPERLINK("https%3A%2F%2Fwww.webofscience.com%2Fwos%2Fwoscc%2Ffull-record%2FWOS:000810030800003","View Full Record in Web of Science")</f>
        <v>View Full Record in Web of Science</v>
      </c>
      <c r="BU3087" s="1"/>
      <c r="BV3087" s="1"/>
    </row>
    <row r="3088" spans="1:74">
      <c r="A3088" s="1" t="s">
        <v>72</v>
      </c>
      <c r="B3088" s="1" t="s">
        <v>49024</v>
      </c>
      <c r="C3088" s="1" t="s">
        <v>74</v>
      </c>
      <c r="D3088" s="1" t="s">
        <v>74</v>
      </c>
      <c r="E3088" s="1" t="s">
        <v>74</v>
      </c>
      <c r="F3088" s="1" t="s">
        <v>49025</v>
      </c>
      <c r="G3088" s="1" t="s">
        <v>74</v>
      </c>
      <c r="H3088" s="1" t="s">
        <v>74</v>
      </c>
      <c r="I3088" s="1" t="s">
        <v>49026</v>
      </c>
      <c r="J3088" s="1" t="s">
        <v>23022</v>
      </c>
      <c r="K3088" s="1" t="s">
        <v>74</v>
      </c>
      <c r="L3088" s="1" t="s">
        <v>74</v>
      </c>
      <c r="M3088" s="1" t="s">
        <v>78</v>
      </c>
      <c r="N3088" s="1" t="s">
        <v>79</v>
      </c>
      <c r="O3088" s="1" t="s">
        <v>74</v>
      </c>
      <c r="P3088" s="1" t="s">
        <v>74</v>
      </c>
      <c r="Q3088" s="1" t="s">
        <v>74</v>
      </c>
      <c r="R3088" s="1" t="s">
        <v>74</v>
      </c>
      <c r="S3088" s="1" t="s">
        <v>74</v>
      </c>
      <c r="T3088" s="1" t="s">
        <v>49027</v>
      </c>
      <c r="U3088" s="1" t="s">
        <v>49028</v>
      </c>
      <c r="V3088" s="1" t="s">
        <v>49029</v>
      </c>
      <c r="W3088" s="1" t="s">
        <v>49030</v>
      </c>
      <c r="X3088" s="1" t="s">
        <v>49031</v>
      </c>
      <c r="Y3088" s="1" t="s">
        <v>49032</v>
      </c>
      <c r="Z3088" s="1" t="s">
        <v>49033</v>
      </c>
      <c r="AA3088" s="1" t="s">
        <v>49034</v>
      </c>
      <c r="AB3088" s="1" t="s">
        <v>49035</v>
      </c>
      <c r="AC3088" s="1" t="s">
        <v>49036</v>
      </c>
      <c r="AD3088" s="1" t="s">
        <v>49037</v>
      </c>
      <c r="AE3088" s="1" t="s">
        <v>49038</v>
      </c>
      <c r="AF3088" s="1" t="s">
        <v>74</v>
      </c>
      <c r="AG3088" s="1">
        <v>34</v>
      </c>
      <c r="AH3088" s="1">
        <v>0</v>
      </c>
      <c r="AI3088" s="1">
        <v>0</v>
      </c>
      <c r="AJ3088" s="1">
        <v>0</v>
      </c>
      <c r="AK3088" s="1">
        <v>0</v>
      </c>
      <c r="AL3088" s="1" t="s">
        <v>6554</v>
      </c>
      <c r="AM3088" s="1" t="s">
        <v>113</v>
      </c>
      <c r="AN3088" s="1" t="s">
        <v>6555</v>
      </c>
      <c r="AO3088" s="1" t="s">
        <v>23033</v>
      </c>
      <c r="AP3088" s="1" t="s">
        <v>23034</v>
      </c>
      <c r="AQ3088" s="1" t="s">
        <v>74</v>
      </c>
      <c r="AR3088" s="1" t="s">
        <v>23035</v>
      </c>
      <c r="AS3088" s="1" t="s">
        <v>23036</v>
      </c>
      <c r="AT3088" s="1" t="s">
        <v>224</v>
      </c>
      <c r="AU3088" s="1">
        <v>2024</v>
      </c>
      <c r="AV3088" s="1">
        <v>17</v>
      </c>
      <c r="AW3088" s="1">
        <v>1</v>
      </c>
      <c r="AX3088" s="1" t="s">
        <v>74</v>
      </c>
      <c r="AY3088" s="1" t="s">
        <v>74</v>
      </c>
      <c r="AZ3088" s="1" t="s">
        <v>74</v>
      </c>
      <c r="BA3088" s="1" t="s">
        <v>74</v>
      </c>
      <c r="BB3088" s="1">
        <v>37</v>
      </c>
      <c r="BC3088" s="1">
        <v>47</v>
      </c>
      <c r="BD3088" s="1" t="s">
        <v>74</v>
      </c>
      <c r="BE3088" s="1" t="s">
        <v>49039</v>
      </c>
      <c r="BF3088" s="1" t="str">
        <f>HYPERLINK("http://dx.doi.org/10.1134/S1995082924010036","http://dx.doi.org/10.1134/S1995082924010036")</f>
        <v>http://dx.doi.org/10.1134/S1995082924010036</v>
      </c>
      <c r="BG3088" s="1" t="s">
        <v>74</v>
      </c>
      <c r="BH3088" s="1" t="s">
        <v>74</v>
      </c>
      <c r="BI3088" s="1">
        <v>11</v>
      </c>
      <c r="BJ3088" s="1" t="s">
        <v>680</v>
      </c>
      <c r="BK3088" s="1" t="s">
        <v>96</v>
      </c>
      <c r="BL3088" s="1" t="s">
        <v>680</v>
      </c>
      <c r="BM3088" s="1" t="s">
        <v>49040</v>
      </c>
      <c r="BN3088" s="1" t="s">
        <v>74</v>
      </c>
      <c r="BO3088" s="1" t="s">
        <v>74</v>
      </c>
      <c r="BP3088" s="1" t="s">
        <v>74</v>
      </c>
      <c r="BQ3088" s="1" t="s">
        <v>74</v>
      </c>
      <c r="BR3088" s="1" t="s">
        <v>98</v>
      </c>
      <c r="BS3088" s="1" t="s">
        <v>49041</v>
      </c>
      <c r="BT3088" s="1" t="str">
        <f>HYPERLINK("https%3A%2F%2Fwww.webofscience.com%2Fwos%2Fwoscc%2Ffull-record%2FWOS:001186945300007","View Full Record in Web of Science")</f>
        <v>View Full Record in Web of Science</v>
      </c>
      <c r="BU3088" s="1"/>
      <c r="BV3088" s="1"/>
    </row>
    <row r="3089" spans="1:74">
      <c r="A3089" s="1" t="s">
        <v>72</v>
      </c>
      <c r="B3089" s="1" t="s">
        <v>49042</v>
      </c>
      <c r="C3089" s="1" t="s">
        <v>74</v>
      </c>
      <c r="D3089" s="1" t="s">
        <v>74</v>
      </c>
      <c r="E3089" s="1" t="s">
        <v>74</v>
      </c>
      <c r="F3089" s="1" t="s">
        <v>49042</v>
      </c>
      <c r="G3089" s="1" t="s">
        <v>74</v>
      </c>
      <c r="H3089" s="1" t="s">
        <v>74</v>
      </c>
      <c r="I3089" s="1" t="s">
        <v>49043</v>
      </c>
      <c r="J3089" s="1" t="s">
        <v>998</v>
      </c>
      <c r="K3089" s="1" t="s">
        <v>74</v>
      </c>
      <c r="L3089" s="1" t="s">
        <v>74</v>
      </c>
      <c r="M3089" s="1" t="s">
        <v>78</v>
      </c>
      <c r="N3089" s="1" t="s">
        <v>79</v>
      </c>
      <c r="O3089" s="1" t="s">
        <v>74</v>
      </c>
      <c r="P3089" s="1" t="s">
        <v>74</v>
      </c>
      <c r="Q3089" s="1" t="s">
        <v>74</v>
      </c>
      <c r="R3089" s="1" t="s">
        <v>74</v>
      </c>
      <c r="S3089" s="1" t="s">
        <v>74</v>
      </c>
      <c r="T3089" s="1" t="s">
        <v>74</v>
      </c>
      <c r="U3089" s="1" t="s">
        <v>49044</v>
      </c>
      <c r="V3089" s="1" t="s">
        <v>49045</v>
      </c>
      <c r="W3089" s="1" t="s">
        <v>49046</v>
      </c>
      <c r="X3089" s="1" t="s">
        <v>74</v>
      </c>
      <c r="Y3089" s="1" t="s">
        <v>49047</v>
      </c>
      <c r="Z3089" s="1" t="s">
        <v>74</v>
      </c>
      <c r="AA3089" s="1" t="s">
        <v>74</v>
      </c>
      <c r="AB3089" s="1" t="s">
        <v>74</v>
      </c>
      <c r="AC3089" s="1" t="s">
        <v>74</v>
      </c>
      <c r="AD3089" s="1" t="s">
        <v>74</v>
      </c>
      <c r="AE3089" s="1" t="s">
        <v>74</v>
      </c>
      <c r="AF3089" s="1" t="s">
        <v>74</v>
      </c>
      <c r="AG3089" s="1">
        <v>31</v>
      </c>
      <c r="AH3089" s="1">
        <v>38</v>
      </c>
      <c r="AI3089" s="1">
        <v>39</v>
      </c>
      <c r="AJ3089" s="1">
        <v>0</v>
      </c>
      <c r="AK3089" s="1">
        <v>7</v>
      </c>
      <c r="AL3089" s="1" t="s">
        <v>6584</v>
      </c>
      <c r="AM3089" s="1" t="s">
        <v>113</v>
      </c>
      <c r="AN3089" s="1" t="s">
        <v>6585</v>
      </c>
      <c r="AO3089" s="1" t="s">
        <v>1009</v>
      </c>
      <c r="AP3089" s="1" t="s">
        <v>74</v>
      </c>
      <c r="AQ3089" s="1" t="s">
        <v>74</v>
      </c>
      <c r="AR3089" s="1" t="s">
        <v>1010</v>
      </c>
      <c r="AS3089" s="1" t="s">
        <v>1011</v>
      </c>
      <c r="AT3089" s="1" t="s">
        <v>951</v>
      </c>
      <c r="AU3089" s="1">
        <v>1991</v>
      </c>
      <c r="AV3089" s="1">
        <v>21</v>
      </c>
      <c r="AW3089" s="1">
        <v>4</v>
      </c>
      <c r="AX3089" s="1" t="s">
        <v>74</v>
      </c>
      <c r="AY3089" s="1" t="s">
        <v>74</v>
      </c>
      <c r="AZ3089" s="1" t="s">
        <v>74</v>
      </c>
      <c r="BA3089" s="1" t="s">
        <v>74</v>
      </c>
      <c r="BB3089" s="1">
        <v>497</v>
      </c>
      <c r="BC3089" s="1">
        <v>504</v>
      </c>
      <c r="BD3089" s="1" t="s">
        <v>74</v>
      </c>
      <c r="BE3089" s="1" t="s">
        <v>49048</v>
      </c>
      <c r="BF3089" s="1" t="str">
        <f>HYPERLINK("http://dx.doi.org/10.1007/BF01183870","http://dx.doi.org/10.1007/BF01183870")</f>
        <v>http://dx.doi.org/10.1007/BF01183870</v>
      </c>
      <c r="BG3089" s="1" t="s">
        <v>74</v>
      </c>
      <c r="BH3089" s="1" t="s">
        <v>74</v>
      </c>
      <c r="BI3089" s="1">
        <v>8</v>
      </c>
      <c r="BJ3089" s="1" t="s">
        <v>121</v>
      </c>
      <c r="BK3089" s="1" t="s">
        <v>96</v>
      </c>
      <c r="BL3089" s="1" t="s">
        <v>122</v>
      </c>
      <c r="BM3089" s="1" t="s">
        <v>49049</v>
      </c>
      <c r="BN3089" s="1">
        <v>1759845</v>
      </c>
      <c r="BO3089" s="1" t="s">
        <v>74</v>
      </c>
      <c r="BP3089" s="1" t="s">
        <v>74</v>
      </c>
      <c r="BQ3089" s="1" t="s">
        <v>74</v>
      </c>
      <c r="BR3089" s="1" t="s">
        <v>98</v>
      </c>
      <c r="BS3089" s="1" t="s">
        <v>49050</v>
      </c>
      <c r="BT3089" s="1" t="str">
        <f>HYPERLINK("https%3A%2F%2Fwww.webofscience.com%2Fwos%2Fwoscc%2Ffull-record%2FWOS:A1991GM20600003","View Full Record in Web of Science")</f>
        <v>View Full Record in Web of Science</v>
      </c>
      <c r="BU3089" s="1"/>
      <c r="BV3089" s="1"/>
    </row>
    <row r="3090" spans="1:74">
      <c r="A3090" s="1" t="s">
        <v>72</v>
      </c>
      <c r="B3090" s="1" t="s">
        <v>49051</v>
      </c>
      <c r="C3090" s="1" t="s">
        <v>74</v>
      </c>
      <c r="D3090" s="1" t="s">
        <v>74</v>
      </c>
      <c r="E3090" s="1" t="s">
        <v>74</v>
      </c>
      <c r="F3090" s="1" t="s">
        <v>49052</v>
      </c>
      <c r="G3090" s="1" t="s">
        <v>74</v>
      </c>
      <c r="H3090" s="1" t="s">
        <v>74</v>
      </c>
      <c r="I3090" s="1" t="s">
        <v>49053</v>
      </c>
      <c r="J3090" s="1" t="s">
        <v>36110</v>
      </c>
      <c r="K3090" s="1" t="s">
        <v>74</v>
      </c>
      <c r="L3090" s="1" t="s">
        <v>74</v>
      </c>
      <c r="M3090" s="1" t="s">
        <v>78</v>
      </c>
      <c r="N3090" s="1" t="s">
        <v>79</v>
      </c>
      <c r="O3090" s="1" t="s">
        <v>74</v>
      </c>
      <c r="P3090" s="1" t="s">
        <v>74</v>
      </c>
      <c r="Q3090" s="1" t="s">
        <v>74</v>
      </c>
      <c r="R3090" s="1" t="s">
        <v>74</v>
      </c>
      <c r="S3090" s="1" t="s">
        <v>74</v>
      </c>
      <c r="T3090" s="1" t="s">
        <v>49054</v>
      </c>
      <c r="U3090" s="1" t="s">
        <v>49055</v>
      </c>
      <c r="V3090" s="1" t="s">
        <v>49056</v>
      </c>
      <c r="W3090" s="1" t="s">
        <v>49057</v>
      </c>
      <c r="X3090" s="1" t="s">
        <v>49058</v>
      </c>
      <c r="Y3090" s="1" t="s">
        <v>49059</v>
      </c>
      <c r="Z3090" s="1" t="s">
        <v>49060</v>
      </c>
      <c r="AA3090" s="1" t="s">
        <v>49061</v>
      </c>
      <c r="AB3090" s="1" t="s">
        <v>49062</v>
      </c>
      <c r="AC3090" s="1" t="s">
        <v>49063</v>
      </c>
      <c r="AD3090" s="1" t="s">
        <v>49064</v>
      </c>
      <c r="AE3090" s="1" t="s">
        <v>49065</v>
      </c>
      <c r="AF3090" s="1" t="s">
        <v>74</v>
      </c>
      <c r="AG3090" s="1">
        <v>52</v>
      </c>
      <c r="AH3090" s="1">
        <v>17</v>
      </c>
      <c r="AI3090" s="1">
        <v>17</v>
      </c>
      <c r="AJ3090" s="1">
        <v>1</v>
      </c>
      <c r="AK3090" s="1">
        <v>49</v>
      </c>
      <c r="AL3090" s="1" t="s">
        <v>112</v>
      </c>
      <c r="AM3090" s="1" t="s">
        <v>191</v>
      </c>
      <c r="AN3090" s="1" t="s">
        <v>192</v>
      </c>
      <c r="AO3090" s="1" t="s">
        <v>36122</v>
      </c>
      <c r="AP3090" s="1" t="s">
        <v>74</v>
      </c>
      <c r="AQ3090" s="1" t="s">
        <v>74</v>
      </c>
      <c r="AR3090" s="1" t="s">
        <v>36124</v>
      </c>
      <c r="AS3090" s="1" t="s">
        <v>36125</v>
      </c>
      <c r="AT3090" s="1" t="s">
        <v>119</v>
      </c>
      <c r="AU3090" s="1">
        <v>2013</v>
      </c>
      <c r="AV3090" s="1">
        <v>15</v>
      </c>
      <c r="AW3090" s="1">
        <v>8</v>
      </c>
      <c r="AX3090" s="1" t="s">
        <v>74</v>
      </c>
      <c r="AY3090" s="1" t="s">
        <v>74</v>
      </c>
      <c r="AZ3090" s="1" t="s">
        <v>74</v>
      </c>
      <c r="BA3090" s="1" t="s">
        <v>74</v>
      </c>
      <c r="BB3090" s="1">
        <v>1783</v>
      </c>
      <c r="BC3090" s="1">
        <v>1793</v>
      </c>
      <c r="BD3090" s="1" t="s">
        <v>74</v>
      </c>
      <c r="BE3090" s="1" t="s">
        <v>49066</v>
      </c>
      <c r="BF3090" s="1" t="str">
        <f>HYPERLINK("http://dx.doi.org/10.1007/s10530-013-0408-0","http://dx.doi.org/10.1007/s10530-013-0408-0")</f>
        <v>http://dx.doi.org/10.1007/s10530-013-0408-0</v>
      </c>
      <c r="BG3090" s="1" t="s">
        <v>74</v>
      </c>
      <c r="BH3090" s="1" t="s">
        <v>74</v>
      </c>
      <c r="BI3090" s="1">
        <v>11</v>
      </c>
      <c r="BJ3090" s="1" t="s">
        <v>17252</v>
      </c>
      <c r="BK3090" s="1" t="s">
        <v>96</v>
      </c>
      <c r="BL3090" s="1" t="s">
        <v>4924</v>
      </c>
      <c r="BM3090" s="1" t="s">
        <v>49067</v>
      </c>
      <c r="BN3090" s="1" t="s">
        <v>74</v>
      </c>
      <c r="BO3090" s="1" t="s">
        <v>74</v>
      </c>
      <c r="BP3090" s="1" t="s">
        <v>74</v>
      </c>
      <c r="BQ3090" s="1" t="s">
        <v>74</v>
      </c>
      <c r="BR3090" s="1" t="s">
        <v>98</v>
      </c>
      <c r="BS3090" s="1" t="s">
        <v>49068</v>
      </c>
      <c r="BT3090" s="1" t="str">
        <f>HYPERLINK("https%3A%2F%2Fwww.webofscience.com%2Fwos%2Fwoscc%2Ffull-record%2FWOS:000321264300012","View Full Record in Web of Science")</f>
        <v>View Full Record in Web of Science</v>
      </c>
      <c r="BU3090" s="1"/>
      <c r="BV3090" s="1"/>
    </row>
    <row r="3091" spans="1:74">
      <c r="A3091" s="1" t="s">
        <v>72</v>
      </c>
      <c r="B3091" s="1" t="s">
        <v>49069</v>
      </c>
      <c r="C3091" s="1" t="s">
        <v>74</v>
      </c>
      <c r="D3091" s="1" t="s">
        <v>74</v>
      </c>
      <c r="E3091" s="1" t="s">
        <v>74</v>
      </c>
      <c r="F3091" s="1" t="s">
        <v>49070</v>
      </c>
      <c r="G3091" s="1" t="s">
        <v>74</v>
      </c>
      <c r="H3091" s="1" t="s">
        <v>74</v>
      </c>
      <c r="I3091" s="1" t="s">
        <v>49071</v>
      </c>
      <c r="J3091" s="1" t="s">
        <v>6608</v>
      </c>
      <c r="K3091" s="1" t="s">
        <v>74</v>
      </c>
      <c r="L3091" s="1" t="s">
        <v>74</v>
      </c>
      <c r="M3091" s="1" t="s">
        <v>78</v>
      </c>
      <c r="N3091" s="1" t="s">
        <v>79</v>
      </c>
      <c r="O3091" s="1" t="s">
        <v>74</v>
      </c>
      <c r="P3091" s="1" t="s">
        <v>74</v>
      </c>
      <c r="Q3091" s="1" t="s">
        <v>74</v>
      </c>
      <c r="R3091" s="1" t="s">
        <v>74</v>
      </c>
      <c r="S3091" s="1" t="s">
        <v>74</v>
      </c>
      <c r="T3091" s="1" t="s">
        <v>49072</v>
      </c>
      <c r="U3091" s="1" t="s">
        <v>49073</v>
      </c>
      <c r="V3091" s="1" t="s">
        <v>49074</v>
      </c>
      <c r="W3091" s="1" t="s">
        <v>49075</v>
      </c>
      <c r="X3091" s="1" t="s">
        <v>49076</v>
      </c>
      <c r="Y3091" s="1" t="s">
        <v>49077</v>
      </c>
      <c r="Z3091" s="1" t="s">
        <v>49078</v>
      </c>
      <c r="AA3091" s="1" t="s">
        <v>49079</v>
      </c>
      <c r="AB3091" s="1" t="s">
        <v>49080</v>
      </c>
      <c r="AC3091" s="1" t="s">
        <v>49081</v>
      </c>
      <c r="AD3091" s="1" t="s">
        <v>49082</v>
      </c>
      <c r="AE3091" s="1" t="s">
        <v>49083</v>
      </c>
      <c r="AF3091" s="1" t="s">
        <v>74</v>
      </c>
      <c r="AG3091" s="1">
        <v>63</v>
      </c>
      <c r="AH3091" s="1">
        <v>2</v>
      </c>
      <c r="AI3091" s="1">
        <v>4</v>
      </c>
      <c r="AJ3091" s="1">
        <v>0</v>
      </c>
      <c r="AK3091" s="1">
        <v>19</v>
      </c>
      <c r="AL3091" s="1" t="s">
        <v>1566</v>
      </c>
      <c r="AM3091" s="1" t="s">
        <v>1567</v>
      </c>
      <c r="AN3091" s="1" t="s">
        <v>1568</v>
      </c>
      <c r="AO3091" s="1" t="s">
        <v>74</v>
      </c>
      <c r="AP3091" s="1" t="s">
        <v>6619</v>
      </c>
      <c r="AQ3091" s="1" t="s">
        <v>74</v>
      </c>
      <c r="AR3091" s="1" t="s">
        <v>6620</v>
      </c>
      <c r="AS3091" s="1" t="s">
        <v>6621</v>
      </c>
      <c r="AT3091" s="1" t="s">
        <v>119</v>
      </c>
      <c r="AU3091" s="1">
        <v>2019</v>
      </c>
      <c r="AV3091" s="1">
        <v>11</v>
      </c>
      <c r="AW3091" s="1">
        <v>8</v>
      </c>
      <c r="AX3091" s="1" t="s">
        <v>74</v>
      </c>
      <c r="AY3091" s="1" t="s">
        <v>74</v>
      </c>
      <c r="AZ3091" s="1" t="s">
        <v>74</v>
      </c>
      <c r="BA3091" s="1" t="s">
        <v>74</v>
      </c>
      <c r="BB3091" s="1" t="s">
        <v>74</v>
      </c>
      <c r="BC3091" s="1" t="s">
        <v>74</v>
      </c>
      <c r="BD3091" s="1">
        <v>1536</v>
      </c>
      <c r="BE3091" s="1" t="s">
        <v>49084</v>
      </c>
      <c r="BF3091" s="1" t="str">
        <f>HYPERLINK("http://dx.doi.org/10.3390/w11081536","http://dx.doi.org/10.3390/w11081536")</f>
        <v>http://dx.doi.org/10.3390/w11081536</v>
      </c>
      <c r="BG3091" s="1" t="s">
        <v>74</v>
      </c>
      <c r="BH3091" s="1" t="s">
        <v>74</v>
      </c>
      <c r="BI3091" s="1">
        <v>10</v>
      </c>
      <c r="BJ3091" s="1" t="s">
        <v>6623</v>
      </c>
      <c r="BK3091" s="1" t="s">
        <v>96</v>
      </c>
      <c r="BL3091" s="1" t="s">
        <v>6624</v>
      </c>
      <c r="BM3091" s="1" t="s">
        <v>49085</v>
      </c>
      <c r="BN3091" s="1" t="s">
        <v>74</v>
      </c>
      <c r="BO3091" s="1" t="s">
        <v>550</v>
      </c>
      <c r="BP3091" s="1" t="s">
        <v>74</v>
      </c>
      <c r="BQ3091" s="1" t="s">
        <v>74</v>
      </c>
      <c r="BR3091" s="1" t="s">
        <v>98</v>
      </c>
      <c r="BS3091" s="1" t="s">
        <v>49086</v>
      </c>
      <c r="BT3091" s="1" t="str">
        <f>HYPERLINK("https%3A%2F%2Fwww.webofscience.com%2Fwos%2Fwoscc%2Ffull-record%2FWOS:000484561500011","View Full Record in Web of Science")</f>
        <v>View Full Record in Web of Science</v>
      </c>
      <c r="BU3091" s="1"/>
      <c r="BV3091" s="1"/>
    </row>
    <row r="3092" spans="1:74">
      <c r="A3092" s="1" t="s">
        <v>72</v>
      </c>
      <c r="B3092" s="1" t="s">
        <v>49087</v>
      </c>
      <c r="C3092" s="1" t="s">
        <v>74</v>
      </c>
      <c r="D3092" s="1" t="s">
        <v>74</v>
      </c>
      <c r="E3092" s="1" t="s">
        <v>74</v>
      </c>
      <c r="F3092" s="1" t="s">
        <v>49088</v>
      </c>
      <c r="G3092" s="1" t="s">
        <v>74</v>
      </c>
      <c r="H3092" s="1" t="s">
        <v>74</v>
      </c>
      <c r="I3092" s="1" t="s">
        <v>49089</v>
      </c>
      <c r="J3092" s="1" t="s">
        <v>204</v>
      </c>
      <c r="K3092" s="1" t="s">
        <v>74</v>
      </c>
      <c r="L3092" s="1" t="s">
        <v>74</v>
      </c>
      <c r="M3092" s="1" t="s">
        <v>78</v>
      </c>
      <c r="N3092" s="1" t="s">
        <v>79</v>
      </c>
      <c r="O3092" s="1" t="s">
        <v>74</v>
      </c>
      <c r="P3092" s="1" t="s">
        <v>74</v>
      </c>
      <c r="Q3092" s="1" t="s">
        <v>74</v>
      </c>
      <c r="R3092" s="1" t="s">
        <v>74</v>
      </c>
      <c r="S3092" s="1" t="s">
        <v>74</v>
      </c>
      <c r="T3092" s="1" t="s">
        <v>49090</v>
      </c>
      <c r="U3092" s="1" t="s">
        <v>49091</v>
      </c>
      <c r="V3092" s="1" t="s">
        <v>49092</v>
      </c>
      <c r="W3092" s="1" t="s">
        <v>49093</v>
      </c>
      <c r="X3092" s="1" t="s">
        <v>49094</v>
      </c>
      <c r="Y3092" s="1" t="s">
        <v>49095</v>
      </c>
      <c r="Z3092" s="1" t="s">
        <v>49096</v>
      </c>
      <c r="AA3092" s="1" t="s">
        <v>49097</v>
      </c>
      <c r="AB3092" s="1" t="s">
        <v>49098</v>
      </c>
      <c r="AC3092" s="1" t="s">
        <v>49099</v>
      </c>
      <c r="AD3092" s="1" t="s">
        <v>49100</v>
      </c>
      <c r="AE3092" s="1" t="s">
        <v>49101</v>
      </c>
      <c r="AF3092" s="1" t="s">
        <v>74</v>
      </c>
      <c r="AG3092" s="1">
        <v>54</v>
      </c>
      <c r="AH3092" s="1">
        <v>7</v>
      </c>
      <c r="AI3092" s="1">
        <v>7</v>
      </c>
      <c r="AJ3092" s="1">
        <v>1</v>
      </c>
      <c r="AK3092" s="1">
        <v>15</v>
      </c>
      <c r="AL3092" s="1" t="s">
        <v>217</v>
      </c>
      <c r="AM3092" s="1" t="s">
        <v>218</v>
      </c>
      <c r="AN3092" s="1" t="s">
        <v>219</v>
      </c>
      <c r="AO3092" s="1" t="s">
        <v>220</v>
      </c>
      <c r="AP3092" s="1" t="s">
        <v>221</v>
      </c>
      <c r="AQ3092" s="1" t="s">
        <v>74</v>
      </c>
      <c r="AR3092" s="1" t="s">
        <v>222</v>
      </c>
      <c r="AS3092" s="1" t="s">
        <v>223</v>
      </c>
      <c r="AT3092" s="1" t="s">
        <v>305</v>
      </c>
      <c r="AU3092" s="1">
        <v>2021</v>
      </c>
      <c r="AV3092" s="1">
        <v>28</v>
      </c>
      <c r="AW3092" s="1">
        <v>35</v>
      </c>
      <c r="AX3092" s="1" t="s">
        <v>74</v>
      </c>
      <c r="AY3092" s="1" t="s">
        <v>74</v>
      </c>
      <c r="AZ3092" s="1" t="s">
        <v>74</v>
      </c>
      <c r="BA3092" s="1" t="s">
        <v>74</v>
      </c>
      <c r="BB3092" s="1">
        <v>48408</v>
      </c>
      <c r="BC3092" s="1">
        <v>48416</v>
      </c>
      <c r="BD3092" s="1" t="s">
        <v>74</v>
      </c>
      <c r="BE3092" s="1" t="s">
        <v>49102</v>
      </c>
      <c r="BF3092" s="1" t="str">
        <f>HYPERLINK("http://dx.doi.org/10.1007/s11356-021-14139-3","http://dx.doi.org/10.1007/s11356-021-14139-3")</f>
        <v>http://dx.doi.org/10.1007/s11356-021-14139-3</v>
      </c>
      <c r="BG3092" s="1" t="s">
        <v>74</v>
      </c>
      <c r="BH3092" s="1" t="s">
        <v>14421</v>
      </c>
      <c r="BI3092" s="1">
        <v>9</v>
      </c>
      <c r="BJ3092" s="1" t="s">
        <v>144</v>
      </c>
      <c r="BK3092" s="1" t="s">
        <v>96</v>
      </c>
      <c r="BL3092" s="1" t="s">
        <v>145</v>
      </c>
      <c r="BM3092" s="1" t="s">
        <v>49103</v>
      </c>
      <c r="BN3092" s="1">
        <v>33913106</v>
      </c>
      <c r="BO3092" s="1" t="s">
        <v>74</v>
      </c>
      <c r="BP3092" s="1" t="s">
        <v>74</v>
      </c>
      <c r="BQ3092" s="1" t="s">
        <v>74</v>
      </c>
      <c r="BR3092" s="1" t="s">
        <v>98</v>
      </c>
      <c r="BS3092" s="1" t="s">
        <v>49104</v>
      </c>
      <c r="BT3092" s="1" t="str">
        <f>HYPERLINK("https%3A%2F%2Fwww.webofscience.com%2Fwos%2Fwoscc%2Ffull-record%2FWOS:000645190100007","View Full Record in Web of Science")</f>
        <v>View Full Record in Web of Science</v>
      </c>
      <c r="BU3092" s="1"/>
      <c r="BV3092" s="1"/>
    </row>
    <row r="3093" spans="1:74">
      <c r="A3093" s="1" t="s">
        <v>72</v>
      </c>
      <c r="B3093" s="1" t="s">
        <v>49105</v>
      </c>
      <c r="C3093" s="1" t="s">
        <v>74</v>
      </c>
      <c r="D3093" s="1" t="s">
        <v>74</v>
      </c>
      <c r="E3093" s="1" t="s">
        <v>74</v>
      </c>
      <c r="F3093" s="1" t="s">
        <v>49106</v>
      </c>
      <c r="G3093" s="1" t="s">
        <v>74</v>
      </c>
      <c r="H3093" s="1" t="s">
        <v>74</v>
      </c>
      <c r="I3093" s="1" t="s">
        <v>49107</v>
      </c>
      <c r="J3093" s="1" t="s">
        <v>204</v>
      </c>
      <c r="K3093" s="1" t="s">
        <v>74</v>
      </c>
      <c r="L3093" s="1" t="s">
        <v>74</v>
      </c>
      <c r="M3093" s="1" t="s">
        <v>78</v>
      </c>
      <c r="N3093" s="1" t="s">
        <v>79</v>
      </c>
      <c r="O3093" s="1" t="s">
        <v>74</v>
      </c>
      <c r="P3093" s="1" t="s">
        <v>74</v>
      </c>
      <c r="Q3093" s="1" t="s">
        <v>74</v>
      </c>
      <c r="R3093" s="1" t="s">
        <v>74</v>
      </c>
      <c r="S3093" s="1" t="s">
        <v>74</v>
      </c>
      <c r="T3093" s="1" t="s">
        <v>49108</v>
      </c>
      <c r="U3093" s="1" t="s">
        <v>49109</v>
      </c>
      <c r="V3093" s="1" t="s">
        <v>49110</v>
      </c>
      <c r="W3093" s="1" t="s">
        <v>49111</v>
      </c>
      <c r="X3093" s="1" t="s">
        <v>44014</v>
      </c>
      <c r="Y3093" s="1" t="s">
        <v>49112</v>
      </c>
      <c r="Z3093" s="1" t="s">
        <v>8840</v>
      </c>
      <c r="AA3093" s="1" t="s">
        <v>49113</v>
      </c>
      <c r="AB3093" s="1" t="s">
        <v>49114</v>
      </c>
      <c r="AC3093" s="1" t="s">
        <v>49115</v>
      </c>
      <c r="AD3093" s="1" t="s">
        <v>49116</v>
      </c>
      <c r="AE3093" s="1" t="s">
        <v>49117</v>
      </c>
      <c r="AF3093" s="1" t="s">
        <v>74</v>
      </c>
      <c r="AG3093" s="1">
        <v>46</v>
      </c>
      <c r="AH3093" s="1">
        <v>21</v>
      </c>
      <c r="AI3093" s="1">
        <v>23</v>
      </c>
      <c r="AJ3093" s="1">
        <v>1</v>
      </c>
      <c r="AK3093" s="1">
        <v>36</v>
      </c>
      <c r="AL3093" s="1" t="s">
        <v>217</v>
      </c>
      <c r="AM3093" s="1" t="s">
        <v>218</v>
      </c>
      <c r="AN3093" s="1" t="s">
        <v>219</v>
      </c>
      <c r="AO3093" s="1" t="s">
        <v>220</v>
      </c>
      <c r="AP3093" s="1" t="s">
        <v>221</v>
      </c>
      <c r="AQ3093" s="1" t="s">
        <v>74</v>
      </c>
      <c r="AR3093" s="1" t="s">
        <v>222</v>
      </c>
      <c r="AS3093" s="1" t="s">
        <v>223</v>
      </c>
      <c r="AT3093" s="1" t="s">
        <v>951</v>
      </c>
      <c r="AU3093" s="1">
        <v>2015</v>
      </c>
      <c r="AV3093" s="1">
        <v>22</v>
      </c>
      <c r="AW3093" s="1">
        <v>22</v>
      </c>
      <c r="AX3093" s="1" t="s">
        <v>74</v>
      </c>
      <c r="AY3093" s="1" t="s">
        <v>74</v>
      </c>
      <c r="AZ3093" s="1" t="s">
        <v>74</v>
      </c>
      <c r="BA3093" s="1" t="s">
        <v>74</v>
      </c>
      <c r="BB3093" s="1">
        <v>17425</v>
      </c>
      <c r="BC3093" s="1">
        <v>17433</v>
      </c>
      <c r="BD3093" s="1" t="s">
        <v>74</v>
      </c>
      <c r="BE3093" s="1" t="s">
        <v>49118</v>
      </c>
      <c r="BF3093" s="1" t="str">
        <f>HYPERLINK("http://dx.doi.org/10.1007/s11356-015-5186-z","http://dx.doi.org/10.1007/s11356-015-5186-z")</f>
        <v>http://dx.doi.org/10.1007/s11356-015-5186-z</v>
      </c>
      <c r="BG3093" s="1" t="s">
        <v>74</v>
      </c>
      <c r="BH3093" s="1" t="s">
        <v>74</v>
      </c>
      <c r="BI3093" s="1">
        <v>9</v>
      </c>
      <c r="BJ3093" s="1" t="s">
        <v>144</v>
      </c>
      <c r="BK3093" s="1" t="s">
        <v>96</v>
      </c>
      <c r="BL3093" s="1" t="s">
        <v>145</v>
      </c>
      <c r="BM3093" s="1" t="s">
        <v>7802</v>
      </c>
      <c r="BN3093" s="1">
        <v>26278907</v>
      </c>
      <c r="BO3093" s="1" t="s">
        <v>74</v>
      </c>
      <c r="BP3093" s="1" t="s">
        <v>74</v>
      </c>
      <c r="BQ3093" s="1" t="s">
        <v>74</v>
      </c>
      <c r="BR3093" s="1" t="s">
        <v>98</v>
      </c>
      <c r="BS3093" s="1" t="s">
        <v>49119</v>
      </c>
      <c r="BT3093" s="1" t="str">
        <f>HYPERLINK("https%3A%2F%2Fwww.webofscience.com%2Fwos%2Fwoscc%2Ffull-record%2FWOS:000365423100015","View Full Record in Web of Science")</f>
        <v>View Full Record in Web of Science</v>
      </c>
      <c r="BU3093" s="1"/>
      <c r="BV3093" s="1"/>
    </row>
    <row r="3094" spans="1:74">
      <c r="A3094" s="1" t="s">
        <v>72</v>
      </c>
      <c r="B3094" s="1" t="s">
        <v>49120</v>
      </c>
      <c r="C3094" s="1" t="s">
        <v>74</v>
      </c>
      <c r="D3094" s="1" t="s">
        <v>74</v>
      </c>
      <c r="E3094" s="1" t="s">
        <v>74</v>
      </c>
      <c r="F3094" s="1" t="s">
        <v>49120</v>
      </c>
      <c r="G3094" s="1" t="s">
        <v>74</v>
      </c>
      <c r="H3094" s="1" t="s">
        <v>74</v>
      </c>
      <c r="I3094" s="1" t="s">
        <v>49121</v>
      </c>
      <c r="J3094" s="1" t="s">
        <v>20957</v>
      </c>
      <c r="K3094" s="1" t="s">
        <v>74</v>
      </c>
      <c r="L3094" s="1" t="s">
        <v>74</v>
      </c>
      <c r="M3094" s="1" t="s">
        <v>78</v>
      </c>
      <c r="N3094" s="1" t="s">
        <v>79</v>
      </c>
      <c r="O3094" s="1" t="s">
        <v>74</v>
      </c>
      <c r="P3094" s="1" t="s">
        <v>74</v>
      </c>
      <c r="Q3094" s="1" t="s">
        <v>74</v>
      </c>
      <c r="R3094" s="1" t="s">
        <v>74</v>
      </c>
      <c r="S3094" s="1" t="s">
        <v>74</v>
      </c>
      <c r="T3094" s="1" t="s">
        <v>74</v>
      </c>
      <c r="U3094" s="1" t="s">
        <v>49122</v>
      </c>
      <c r="V3094" s="1" t="s">
        <v>49123</v>
      </c>
      <c r="W3094" s="1" t="s">
        <v>49124</v>
      </c>
      <c r="X3094" s="1" t="s">
        <v>33766</v>
      </c>
      <c r="Y3094" s="1" t="s">
        <v>49125</v>
      </c>
      <c r="Z3094" s="1" t="s">
        <v>49126</v>
      </c>
      <c r="AA3094" s="1" t="s">
        <v>74</v>
      </c>
      <c r="AB3094" s="1" t="s">
        <v>18035</v>
      </c>
      <c r="AC3094" s="1" t="s">
        <v>74</v>
      </c>
      <c r="AD3094" s="1" t="s">
        <v>74</v>
      </c>
      <c r="AE3094" s="1" t="s">
        <v>74</v>
      </c>
      <c r="AF3094" s="1" t="s">
        <v>74</v>
      </c>
      <c r="AG3094" s="1">
        <v>37</v>
      </c>
      <c r="AH3094" s="1">
        <v>43</v>
      </c>
      <c r="AI3094" s="1">
        <v>46</v>
      </c>
      <c r="AJ3094" s="1">
        <v>1</v>
      </c>
      <c r="AK3094" s="1">
        <v>9</v>
      </c>
      <c r="AL3094" s="1" t="s">
        <v>13246</v>
      </c>
      <c r="AM3094" s="1" t="s">
        <v>13247</v>
      </c>
      <c r="AN3094" s="1" t="s">
        <v>24546</v>
      </c>
      <c r="AO3094" s="1" t="s">
        <v>20966</v>
      </c>
      <c r="AP3094" s="1" t="s">
        <v>24547</v>
      </c>
      <c r="AQ3094" s="1" t="s">
        <v>74</v>
      </c>
      <c r="AR3094" s="1" t="s">
        <v>20967</v>
      </c>
      <c r="AS3094" s="1" t="s">
        <v>20968</v>
      </c>
      <c r="AT3094" s="1" t="s">
        <v>1470</v>
      </c>
      <c r="AU3094" s="1">
        <v>2000</v>
      </c>
      <c r="AV3094" s="1">
        <v>57</v>
      </c>
      <c r="AW3094" s="1">
        <v>1</v>
      </c>
      <c r="AX3094" s="1" t="s">
        <v>74</v>
      </c>
      <c r="AY3094" s="1" t="s">
        <v>74</v>
      </c>
      <c r="AZ3094" s="1" t="s">
        <v>74</v>
      </c>
      <c r="BA3094" s="1" t="s">
        <v>74</v>
      </c>
      <c r="BB3094" s="1">
        <v>34</v>
      </c>
      <c r="BC3094" s="1">
        <v>42</v>
      </c>
      <c r="BD3094" s="1" t="s">
        <v>74</v>
      </c>
      <c r="BE3094" s="1" t="s">
        <v>49127</v>
      </c>
      <c r="BF3094" s="1" t="str">
        <f>HYPERLINK("http://dx.doi.org/10.1139/cjfas-57-1-34","http://dx.doi.org/10.1139/cjfas-57-1-34")</f>
        <v>http://dx.doi.org/10.1139/cjfas-57-1-34</v>
      </c>
      <c r="BG3094" s="1" t="s">
        <v>74</v>
      </c>
      <c r="BH3094" s="1" t="s">
        <v>74</v>
      </c>
      <c r="BI3094" s="1">
        <v>9</v>
      </c>
      <c r="BJ3094" s="1" t="s">
        <v>2391</v>
      </c>
      <c r="BK3094" s="1" t="s">
        <v>96</v>
      </c>
      <c r="BL3094" s="1" t="s">
        <v>2391</v>
      </c>
      <c r="BM3094" s="1" t="s">
        <v>49128</v>
      </c>
      <c r="BN3094" s="1" t="s">
        <v>74</v>
      </c>
      <c r="BO3094" s="1" t="s">
        <v>74</v>
      </c>
      <c r="BP3094" s="1" t="s">
        <v>74</v>
      </c>
      <c r="BQ3094" s="1" t="s">
        <v>74</v>
      </c>
      <c r="BR3094" s="1" t="s">
        <v>98</v>
      </c>
      <c r="BS3094" s="1" t="s">
        <v>49129</v>
      </c>
      <c r="BT3094" s="1" t="str">
        <f>HYPERLINK("https%3A%2F%2Fwww.webofscience.com%2Fwos%2Fwoscc%2Ffull-record%2FWOS:000084870600005","View Full Record in Web of Science")</f>
        <v>View Full Record in Web of Science</v>
      </c>
      <c r="BU3094" s="1"/>
      <c r="BV3094" s="1"/>
    </row>
    <row r="3095" spans="1:74">
      <c r="A3095" s="1" t="s">
        <v>72</v>
      </c>
      <c r="B3095" s="1" t="s">
        <v>49130</v>
      </c>
      <c r="C3095" s="1" t="s">
        <v>74</v>
      </c>
      <c r="D3095" s="1" t="s">
        <v>74</v>
      </c>
      <c r="E3095" s="1" t="s">
        <v>74</v>
      </c>
      <c r="F3095" s="1" t="s">
        <v>49131</v>
      </c>
      <c r="G3095" s="1" t="s">
        <v>74</v>
      </c>
      <c r="H3095" s="1" t="s">
        <v>74</v>
      </c>
      <c r="I3095" s="1" t="s">
        <v>49132</v>
      </c>
      <c r="J3095" s="1" t="s">
        <v>127</v>
      </c>
      <c r="K3095" s="1" t="s">
        <v>74</v>
      </c>
      <c r="L3095" s="1" t="s">
        <v>74</v>
      </c>
      <c r="M3095" s="1" t="s">
        <v>78</v>
      </c>
      <c r="N3095" s="1" t="s">
        <v>79</v>
      </c>
      <c r="O3095" s="1" t="s">
        <v>74</v>
      </c>
      <c r="P3095" s="1" t="s">
        <v>74</v>
      </c>
      <c r="Q3095" s="1" t="s">
        <v>74</v>
      </c>
      <c r="R3095" s="1" t="s">
        <v>74</v>
      </c>
      <c r="S3095" s="1" t="s">
        <v>74</v>
      </c>
      <c r="T3095" s="1" t="s">
        <v>49133</v>
      </c>
      <c r="U3095" s="1" t="s">
        <v>49134</v>
      </c>
      <c r="V3095" s="1" t="s">
        <v>49135</v>
      </c>
      <c r="W3095" s="1" t="s">
        <v>49136</v>
      </c>
      <c r="X3095" s="1" t="s">
        <v>49137</v>
      </c>
      <c r="Y3095" s="1" t="s">
        <v>49138</v>
      </c>
      <c r="Z3095" s="1" t="s">
        <v>49139</v>
      </c>
      <c r="AA3095" s="1" t="s">
        <v>49140</v>
      </c>
      <c r="AB3095" s="1" t="s">
        <v>49141</v>
      </c>
      <c r="AC3095" s="1" t="s">
        <v>49142</v>
      </c>
      <c r="AD3095" s="1" t="s">
        <v>49143</v>
      </c>
      <c r="AE3095" s="1" t="s">
        <v>49144</v>
      </c>
      <c r="AF3095" s="1" t="s">
        <v>74</v>
      </c>
      <c r="AG3095" s="1">
        <v>57</v>
      </c>
      <c r="AH3095" s="1">
        <v>10</v>
      </c>
      <c r="AI3095" s="1">
        <v>10</v>
      </c>
      <c r="AJ3095" s="1">
        <v>1</v>
      </c>
      <c r="AK3095" s="1">
        <v>15</v>
      </c>
      <c r="AL3095" s="1" t="s">
        <v>136</v>
      </c>
      <c r="AM3095" s="1" t="s">
        <v>137</v>
      </c>
      <c r="AN3095" s="1" t="s">
        <v>138</v>
      </c>
      <c r="AO3095" s="1" t="s">
        <v>139</v>
      </c>
      <c r="AP3095" s="1" t="s">
        <v>140</v>
      </c>
      <c r="AQ3095" s="1" t="s">
        <v>74</v>
      </c>
      <c r="AR3095" s="1" t="s">
        <v>127</v>
      </c>
      <c r="AS3095" s="1" t="s">
        <v>141</v>
      </c>
      <c r="AT3095" s="1" t="s">
        <v>224</v>
      </c>
      <c r="AU3095" s="1">
        <v>2021</v>
      </c>
      <c r="AV3095" s="1">
        <v>265</v>
      </c>
      <c r="AW3095" s="1" t="s">
        <v>74</v>
      </c>
      <c r="AX3095" s="1" t="s">
        <v>74</v>
      </c>
      <c r="AY3095" s="1" t="s">
        <v>74</v>
      </c>
      <c r="AZ3095" s="1" t="s">
        <v>74</v>
      </c>
      <c r="BA3095" s="1" t="s">
        <v>74</v>
      </c>
      <c r="BB3095" s="1" t="s">
        <v>74</v>
      </c>
      <c r="BC3095" s="1" t="s">
        <v>74</v>
      </c>
      <c r="BD3095" s="1">
        <v>129078</v>
      </c>
      <c r="BE3095" s="1" t="s">
        <v>49145</v>
      </c>
      <c r="BF3095" s="1" t="str">
        <f>HYPERLINK("http://dx.doi.org/10.1016/j.chemosphere.2020.129078","http://dx.doi.org/10.1016/j.chemosphere.2020.129078")</f>
        <v>http://dx.doi.org/10.1016/j.chemosphere.2020.129078</v>
      </c>
      <c r="BG3095" s="1" t="s">
        <v>74</v>
      </c>
      <c r="BH3095" s="1" t="s">
        <v>74</v>
      </c>
      <c r="BI3095" s="1">
        <v>9</v>
      </c>
      <c r="BJ3095" s="1" t="s">
        <v>144</v>
      </c>
      <c r="BK3095" s="1" t="s">
        <v>96</v>
      </c>
      <c r="BL3095" s="1" t="s">
        <v>145</v>
      </c>
      <c r="BM3095" s="1" t="s">
        <v>3298</v>
      </c>
      <c r="BN3095" s="1">
        <v>33272670</v>
      </c>
      <c r="BO3095" s="1" t="s">
        <v>74</v>
      </c>
      <c r="BP3095" s="1" t="s">
        <v>74</v>
      </c>
      <c r="BQ3095" s="1" t="s">
        <v>74</v>
      </c>
      <c r="BR3095" s="1" t="s">
        <v>98</v>
      </c>
      <c r="BS3095" s="1" t="s">
        <v>49146</v>
      </c>
      <c r="BT3095" s="1" t="str">
        <f>HYPERLINK("https%3A%2F%2Fwww.webofscience.com%2Fwos%2Fwoscc%2Ffull-record%2FWOS:000603465000059","View Full Record in Web of Science")</f>
        <v>View Full Record in Web of Science</v>
      </c>
      <c r="BU3095" s="1"/>
      <c r="BV3095" s="1"/>
    </row>
    <row r="3096" spans="1:74">
      <c r="A3096" s="1" t="s">
        <v>72</v>
      </c>
      <c r="B3096" s="1" t="s">
        <v>49147</v>
      </c>
      <c r="C3096" s="1" t="s">
        <v>74</v>
      </c>
      <c r="D3096" s="1" t="s">
        <v>74</v>
      </c>
      <c r="E3096" s="1" t="s">
        <v>74</v>
      </c>
      <c r="F3096" s="1" t="s">
        <v>49148</v>
      </c>
      <c r="G3096" s="1" t="s">
        <v>74</v>
      </c>
      <c r="H3096" s="1" t="s">
        <v>74</v>
      </c>
      <c r="I3096" s="1" t="s">
        <v>49149</v>
      </c>
      <c r="J3096" s="1" t="s">
        <v>6608</v>
      </c>
      <c r="K3096" s="1" t="s">
        <v>74</v>
      </c>
      <c r="L3096" s="1" t="s">
        <v>74</v>
      </c>
      <c r="M3096" s="1" t="s">
        <v>78</v>
      </c>
      <c r="N3096" s="1" t="s">
        <v>79</v>
      </c>
      <c r="O3096" s="1" t="s">
        <v>74</v>
      </c>
      <c r="P3096" s="1" t="s">
        <v>74</v>
      </c>
      <c r="Q3096" s="1" t="s">
        <v>74</v>
      </c>
      <c r="R3096" s="1" t="s">
        <v>74</v>
      </c>
      <c r="S3096" s="1" t="s">
        <v>74</v>
      </c>
      <c r="T3096" s="1" t="s">
        <v>49150</v>
      </c>
      <c r="U3096" s="1" t="s">
        <v>49151</v>
      </c>
      <c r="V3096" s="1" t="s">
        <v>49152</v>
      </c>
      <c r="W3096" s="1" t="s">
        <v>49153</v>
      </c>
      <c r="X3096" s="1" t="s">
        <v>49154</v>
      </c>
      <c r="Y3096" s="1" t="s">
        <v>49155</v>
      </c>
      <c r="Z3096" s="1" t="s">
        <v>49156</v>
      </c>
      <c r="AA3096" s="1" t="s">
        <v>49157</v>
      </c>
      <c r="AB3096" s="1" t="s">
        <v>49158</v>
      </c>
      <c r="AC3096" s="1" t="s">
        <v>49159</v>
      </c>
      <c r="AD3096" s="1" t="s">
        <v>49160</v>
      </c>
      <c r="AE3096" s="1" t="s">
        <v>49161</v>
      </c>
      <c r="AF3096" s="1" t="s">
        <v>74</v>
      </c>
      <c r="AG3096" s="1">
        <v>43</v>
      </c>
      <c r="AH3096" s="1">
        <v>3</v>
      </c>
      <c r="AI3096" s="1">
        <v>3</v>
      </c>
      <c r="AJ3096" s="1">
        <v>3</v>
      </c>
      <c r="AK3096" s="1">
        <v>17</v>
      </c>
      <c r="AL3096" s="1" t="s">
        <v>1566</v>
      </c>
      <c r="AM3096" s="1" t="s">
        <v>1567</v>
      </c>
      <c r="AN3096" s="1" t="s">
        <v>1568</v>
      </c>
      <c r="AO3096" s="1" t="s">
        <v>74</v>
      </c>
      <c r="AP3096" s="1" t="s">
        <v>6619</v>
      </c>
      <c r="AQ3096" s="1" t="s">
        <v>74</v>
      </c>
      <c r="AR3096" s="1" t="s">
        <v>6620</v>
      </c>
      <c r="AS3096" s="1" t="s">
        <v>6621</v>
      </c>
      <c r="AT3096" s="1" t="s">
        <v>119</v>
      </c>
      <c r="AU3096" s="1">
        <v>2020</v>
      </c>
      <c r="AV3096" s="1">
        <v>12</v>
      </c>
      <c r="AW3096" s="1">
        <v>8</v>
      </c>
      <c r="AX3096" s="1" t="s">
        <v>74</v>
      </c>
      <c r="AY3096" s="1" t="s">
        <v>74</v>
      </c>
      <c r="AZ3096" s="1" t="s">
        <v>74</v>
      </c>
      <c r="BA3096" s="1" t="s">
        <v>74</v>
      </c>
      <c r="BB3096" s="1" t="s">
        <v>74</v>
      </c>
      <c r="BC3096" s="1" t="s">
        <v>74</v>
      </c>
      <c r="BD3096" s="1">
        <v>2197</v>
      </c>
      <c r="BE3096" s="1" t="s">
        <v>49162</v>
      </c>
      <c r="BF3096" s="1" t="str">
        <f>HYPERLINK("http://dx.doi.org/10.3390/w12082197","http://dx.doi.org/10.3390/w12082197")</f>
        <v>http://dx.doi.org/10.3390/w12082197</v>
      </c>
      <c r="BG3096" s="1" t="s">
        <v>74</v>
      </c>
      <c r="BH3096" s="1" t="s">
        <v>74</v>
      </c>
      <c r="BI3096" s="1">
        <v>10</v>
      </c>
      <c r="BJ3096" s="1" t="s">
        <v>6623</v>
      </c>
      <c r="BK3096" s="1" t="s">
        <v>96</v>
      </c>
      <c r="BL3096" s="1" t="s">
        <v>6624</v>
      </c>
      <c r="BM3096" s="1" t="s">
        <v>49163</v>
      </c>
      <c r="BN3096" s="1" t="s">
        <v>74</v>
      </c>
      <c r="BO3096" s="1" t="s">
        <v>873</v>
      </c>
      <c r="BP3096" s="1" t="s">
        <v>74</v>
      </c>
      <c r="BQ3096" s="1" t="s">
        <v>74</v>
      </c>
      <c r="BR3096" s="1" t="s">
        <v>98</v>
      </c>
      <c r="BS3096" s="1" t="s">
        <v>49164</v>
      </c>
      <c r="BT3096" s="1" t="str">
        <f>HYPERLINK("https%3A%2F%2Fwww.webofscience.com%2Fwos%2Fwoscc%2Ffull-record%2FWOS:000567681700001","View Full Record in Web of Science")</f>
        <v>View Full Record in Web of Science</v>
      </c>
      <c r="BU3096" s="1"/>
      <c r="BV3096" s="1"/>
    </row>
    <row r="3097" spans="1:74">
      <c r="A3097" s="1" t="s">
        <v>72</v>
      </c>
      <c r="B3097" s="1" t="s">
        <v>49165</v>
      </c>
      <c r="C3097" s="1" t="s">
        <v>74</v>
      </c>
      <c r="D3097" s="1" t="s">
        <v>74</v>
      </c>
      <c r="E3097" s="1" t="s">
        <v>74</v>
      </c>
      <c r="F3097" s="1" t="s">
        <v>49166</v>
      </c>
      <c r="G3097" s="1" t="s">
        <v>74</v>
      </c>
      <c r="H3097" s="1" t="s">
        <v>74</v>
      </c>
      <c r="I3097" s="1" t="s">
        <v>49167</v>
      </c>
      <c r="J3097" s="1" t="s">
        <v>704</v>
      </c>
      <c r="K3097" s="1" t="s">
        <v>74</v>
      </c>
      <c r="L3097" s="1" t="s">
        <v>74</v>
      </c>
      <c r="M3097" s="1" t="s">
        <v>78</v>
      </c>
      <c r="N3097" s="1" t="s">
        <v>79</v>
      </c>
      <c r="O3097" s="1" t="s">
        <v>74</v>
      </c>
      <c r="P3097" s="1" t="s">
        <v>74</v>
      </c>
      <c r="Q3097" s="1" t="s">
        <v>74</v>
      </c>
      <c r="R3097" s="1" t="s">
        <v>74</v>
      </c>
      <c r="S3097" s="1" t="s">
        <v>74</v>
      </c>
      <c r="T3097" s="1" t="s">
        <v>49168</v>
      </c>
      <c r="U3097" s="1" t="s">
        <v>49169</v>
      </c>
      <c r="V3097" s="1" t="s">
        <v>49170</v>
      </c>
      <c r="W3097" s="1" t="s">
        <v>49171</v>
      </c>
      <c r="X3097" s="1" t="s">
        <v>49172</v>
      </c>
      <c r="Y3097" s="1" t="s">
        <v>7651</v>
      </c>
      <c r="Z3097" s="1" t="s">
        <v>7652</v>
      </c>
      <c r="AA3097" s="1" t="s">
        <v>49173</v>
      </c>
      <c r="AB3097" s="1" t="s">
        <v>49174</v>
      </c>
      <c r="AC3097" s="1" t="s">
        <v>49175</v>
      </c>
      <c r="AD3097" s="1" t="s">
        <v>49176</v>
      </c>
      <c r="AE3097" s="1" t="s">
        <v>49177</v>
      </c>
      <c r="AF3097" s="1" t="s">
        <v>74</v>
      </c>
      <c r="AG3097" s="1">
        <v>78</v>
      </c>
      <c r="AH3097" s="1">
        <v>52</v>
      </c>
      <c r="AI3097" s="1">
        <v>54</v>
      </c>
      <c r="AJ3097" s="1">
        <v>2</v>
      </c>
      <c r="AK3097" s="1">
        <v>31</v>
      </c>
      <c r="AL3097" s="1" t="s">
        <v>4010</v>
      </c>
      <c r="AM3097" s="1" t="s">
        <v>1167</v>
      </c>
      <c r="AN3097" s="1" t="s">
        <v>1168</v>
      </c>
      <c r="AO3097" s="1" t="s">
        <v>718</v>
      </c>
      <c r="AP3097" s="1" t="s">
        <v>1169</v>
      </c>
      <c r="AQ3097" s="1" t="s">
        <v>74</v>
      </c>
      <c r="AR3097" s="1" t="s">
        <v>719</v>
      </c>
      <c r="AS3097" s="1" t="s">
        <v>720</v>
      </c>
      <c r="AT3097" s="1" t="s">
        <v>765</v>
      </c>
      <c r="AU3097" s="1">
        <v>2009</v>
      </c>
      <c r="AV3097" s="1">
        <v>201</v>
      </c>
      <c r="AW3097" s="1" t="s">
        <v>721</v>
      </c>
      <c r="AX3097" s="1" t="s">
        <v>74</v>
      </c>
      <c r="AY3097" s="1" t="s">
        <v>74</v>
      </c>
      <c r="AZ3097" s="1" t="s">
        <v>74</v>
      </c>
      <c r="BA3097" s="1" t="s">
        <v>74</v>
      </c>
      <c r="BB3097" s="1">
        <v>305</v>
      </c>
      <c r="BC3097" s="1">
        <v>318</v>
      </c>
      <c r="BD3097" s="1" t="s">
        <v>74</v>
      </c>
      <c r="BE3097" s="1" t="s">
        <v>49178</v>
      </c>
      <c r="BF3097" s="1" t="str">
        <f>HYPERLINK("http://dx.doi.org/10.1007/s11270-008-9946-y","http://dx.doi.org/10.1007/s11270-008-9946-y")</f>
        <v>http://dx.doi.org/10.1007/s11270-008-9946-y</v>
      </c>
      <c r="BG3097" s="1" t="s">
        <v>74</v>
      </c>
      <c r="BH3097" s="1" t="s">
        <v>74</v>
      </c>
      <c r="BI3097" s="1">
        <v>14</v>
      </c>
      <c r="BJ3097" s="1" t="s">
        <v>722</v>
      </c>
      <c r="BK3097" s="1" t="s">
        <v>96</v>
      </c>
      <c r="BL3097" s="1" t="s">
        <v>723</v>
      </c>
      <c r="BM3097" s="1" t="s">
        <v>49179</v>
      </c>
      <c r="BN3097" s="1" t="s">
        <v>74</v>
      </c>
      <c r="BO3097" s="1" t="s">
        <v>74</v>
      </c>
      <c r="BP3097" s="1" t="s">
        <v>74</v>
      </c>
      <c r="BQ3097" s="1" t="s">
        <v>74</v>
      </c>
      <c r="BR3097" s="1" t="s">
        <v>98</v>
      </c>
      <c r="BS3097" s="1" t="s">
        <v>49180</v>
      </c>
      <c r="BT3097" s="1" t="str">
        <f>HYPERLINK("https%3A%2F%2Fwww.webofscience.com%2Fwos%2Fwoscc%2Ffull-record%2FWOS:000266928600026","View Full Record in Web of Science")</f>
        <v>View Full Record in Web of Science</v>
      </c>
      <c r="BU3097" s="1"/>
      <c r="BV3097" s="1"/>
    </row>
    <row r="3098" spans="1:74">
      <c r="A3098" s="1" t="s">
        <v>72</v>
      </c>
      <c r="B3098" s="1" t="s">
        <v>49181</v>
      </c>
      <c r="C3098" s="1" t="s">
        <v>74</v>
      </c>
      <c r="D3098" s="1" t="s">
        <v>74</v>
      </c>
      <c r="E3098" s="1" t="s">
        <v>74</v>
      </c>
      <c r="F3098" s="1" t="s">
        <v>49182</v>
      </c>
      <c r="G3098" s="1" t="s">
        <v>74</v>
      </c>
      <c r="H3098" s="1" t="s">
        <v>74</v>
      </c>
      <c r="I3098" s="1" t="s">
        <v>49183</v>
      </c>
      <c r="J3098" s="1" t="s">
        <v>204</v>
      </c>
      <c r="K3098" s="1" t="s">
        <v>74</v>
      </c>
      <c r="L3098" s="1" t="s">
        <v>74</v>
      </c>
      <c r="M3098" s="1" t="s">
        <v>78</v>
      </c>
      <c r="N3098" s="1" t="s">
        <v>79</v>
      </c>
      <c r="O3098" s="1" t="s">
        <v>74</v>
      </c>
      <c r="P3098" s="1" t="s">
        <v>74</v>
      </c>
      <c r="Q3098" s="1" t="s">
        <v>74</v>
      </c>
      <c r="R3098" s="1" t="s">
        <v>74</v>
      </c>
      <c r="S3098" s="1" t="s">
        <v>74</v>
      </c>
      <c r="T3098" s="1" t="s">
        <v>49184</v>
      </c>
      <c r="U3098" s="1" t="s">
        <v>49185</v>
      </c>
      <c r="V3098" s="1" t="s">
        <v>49186</v>
      </c>
      <c r="W3098" s="1" t="s">
        <v>49187</v>
      </c>
      <c r="X3098" s="1" t="s">
        <v>49188</v>
      </c>
      <c r="Y3098" s="1" t="s">
        <v>49189</v>
      </c>
      <c r="Z3098" s="1" t="s">
        <v>49190</v>
      </c>
      <c r="AA3098" s="1" t="s">
        <v>74</v>
      </c>
      <c r="AB3098" s="1" t="s">
        <v>49191</v>
      </c>
      <c r="AC3098" s="1" t="s">
        <v>49192</v>
      </c>
      <c r="AD3098" s="1" t="s">
        <v>49193</v>
      </c>
      <c r="AE3098" s="1" t="s">
        <v>49194</v>
      </c>
      <c r="AF3098" s="1" t="s">
        <v>74</v>
      </c>
      <c r="AG3098" s="1">
        <v>115</v>
      </c>
      <c r="AH3098" s="1">
        <v>5</v>
      </c>
      <c r="AI3098" s="1">
        <v>6</v>
      </c>
      <c r="AJ3098" s="1">
        <v>13</v>
      </c>
      <c r="AK3098" s="1">
        <v>22</v>
      </c>
      <c r="AL3098" s="1" t="s">
        <v>217</v>
      </c>
      <c r="AM3098" s="1" t="s">
        <v>218</v>
      </c>
      <c r="AN3098" s="1" t="s">
        <v>219</v>
      </c>
      <c r="AO3098" s="1" t="s">
        <v>220</v>
      </c>
      <c r="AP3098" s="1" t="s">
        <v>221</v>
      </c>
      <c r="AQ3098" s="1" t="s">
        <v>74</v>
      </c>
      <c r="AR3098" s="1" t="s">
        <v>222</v>
      </c>
      <c r="AS3098" s="1" t="s">
        <v>223</v>
      </c>
      <c r="AT3098" s="1" t="s">
        <v>305</v>
      </c>
      <c r="AU3098" s="1">
        <v>2021</v>
      </c>
      <c r="AV3098" s="1">
        <v>28</v>
      </c>
      <c r="AW3098" s="1">
        <v>33</v>
      </c>
      <c r="AX3098" s="1" t="s">
        <v>74</v>
      </c>
      <c r="AY3098" s="1" t="s">
        <v>74</v>
      </c>
      <c r="AZ3098" s="1" t="s">
        <v>74</v>
      </c>
      <c r="BA3098" s="1" t="s">
        <v>74</v>
      </c>
      <c r="BB3098" s="1">
        <v>46035</v>
      </c>
      <c r="BC3098" s="1">
        <v>46052</v>
      </c>
      <c r="BD3098" s="1" t="s">
        <v>74</v>
      </c>
      <c r="BE3098" s="1" t="s">
        <v>49195</v>
      </c>
      <c r="BF3098" s="1" t="str">
        <f>HYPERLINK("http://dx.doi.org/10.1007/s11356-021-13978-4","http://dx.doi.org/10.1007/s11356-021-13978-4")</f>
        <v>http://dx.doi.org/10.1007/s11356-021-13978-4</v>
      </c>
      <c r="BG3098" s="1" t="s">
        <v>74</v>
      </c>
      <c r="BH3098" s="1" t="s">
        <v>14421</v>
      </c>
      <c r="BI3098" s="1">
        <v>18</v>
      </c>
      <c r="BJ3098" s="1" t="s">
        <v>144</v>
      </c>
      <c r="BK3098" s="1" t="s">
        <v>96</v>
      </c>
      <c r="BL3098" s="1" t="s">
        <v>145</v>
      </c>
      <c r="BM3098" s="1" t="s">
        <v>49196</v>
      </c>
      <c r="BN3098" s="1">
        <v>33884549</v>
      </c>
      <c r="BO3098" s="1" t="s">
        <v>810</v>
      </c>
      <c r="BP3098" s="1" t="s">
        <v>74</v>
      </c>
      <c r="BQ3098" s="1" t="s">
        <v>74</v>
      </c>
      <c r="BR3098" s="1" t="s">
        <v>98</v>
      </c>
      <c r="BS3098" s="1" t="s">
        <v>49197</v>
      </c>
      <c r="BT3098" s="1" t="str">
        <f>HYPERLINK("https%3A%2F%2Fwww.webofscience.com%2Fwos%2Fwoscc%2Ffull-record%2FWOS:000642062400003","View Full Record in Web of Science")</f>
        <v>View Full Record in Web of Science</v>
      </c>
      <c r="BU3098" s="1"/>
      <c r="BV3098" s="1"/>
    </row>
    <row r="3099" spans="1:74">
      <c r="A3099" s="1" t="s">
        <v>72</v>
      </c>
      <c r="B3099" s="1" t="s">
        <v>49198</v>
      </c>
      <c r="C3099" s="1" t="s">
        <v>74</v>
      </c>
      <c r="D3099" s="1" t="s">
        <v>74</v>
      </c>
      <c r="E3099" s="1" t="s">
        <v>74</v>
      </c>
      <c r="F3099" s="1" t="s">
        <v>49199</v>
      </c>
      <c r="G3099" s="1" t="s">
        <v>74</v>
      </c>
      <c r="H3099" s="1" t="s">
        <v>74</v>
      </c>
      <c r="I3099" s="1" t="s">
        <v>49200</v>
      </c>
      <c r="J3099" s="1" t="s">
        <v>37668</v>
      </c>
      <c r="K3099" s="1" t="s">
        <v>74</v>
      </c>
      <c r="L3099" s="1" t="s">
        <v>74</v>
      </c>
      <c r="M3099" s="1" t="s">
        <v>78</v>
      </c>
      <c r="N3099" s="1" t="s">
        <v>28427</v>
      </c>
      <c r="O3099" s="1" t="s">
        <v>74</v>
      </c>
      <c r="P3099" s="1" t="s">
        <v>74</v>
      </c>
      <c r="Q3099" s="1" t="s">
        <v>74</v>
      </c>
      <c r="R3099" s="1" t="s">
        <v>74</v>
      </c>
      <c r="S3099" s="1" t="s">
        <v>74</v>
      </c>
      <c r="T3099" s="1" t="s">
        <v>74</v>
      </c>
      <c r="U3099" s="1" t="s">
        <v>49201</v>
      </c>
      <c r="V3099" s="1" t="s">
        <v>49202</v>
      </c>
      <c r="W3099" s="1" t="s">
        <v>49203</v>
      </c>
      <c r="X3099" s="1" t="s">
        <v>49204</v>
      </c>
      <c r="Y3099" s="1" t="s">
        <v>49205</v>
      </c>
      <c r="Z3099" s="1" t="s">
        <v>49206</v>
      </c>
      <c r="AA3099" s="1" t="s">
        <v>49207</v>
      </c>
      <c r="AB3099" s="1" t="s">
        <v>49208</v>
      </c>
      <c r="AC3099" s="1" t="s">
        <v>49209</v>
      </c>
      <c r="AD3099" s="1" t="s">
        <v>49210</v>
      </c>
      <c r="AE3099" s="1" t="s">
        <v>49211</v>
      </c>
      <c r="AF3099" s="1" t="s">
        <v>74</v>
      </c>
      <c r="AG3099" s="1">
        <v>48</v>
      </c>
      <c r="AH3099" s="1">
        <v>255</v>
      </c>
      <c r="AI3099" s="1">
        <v>264</v>
      </c>
      <c r="AJ3099" s="1">
        <v>6</v>
      </c>
      <c r="AK3099" s="1">
        <v>483</v>
      </c>
      <c r="AL3099" s="1" t="s">
        <v>261</v>
      </c>
      <c r="AM3099" s="1" t="s">
        <v>262</v>
      </c>
      <c r="AN3099" s="1" t="s">
        <v>19471</v>
      </c>
      <c r="AO3099" s="1" t="s">
        <v>37677</v>
      </c>
      <c r="AP3099" s="1" t="s">
        <v>37678</v>
      </c>
      <c r="AQ3099" s="1" t="s">
        <v>74</v>
      </c>
      <c r="AR3099" s="1" t="s">
        <v>37679</v>
      </c>
      <c r="AS3099" s="1" t="s">
        <v>37680</v>
      </c>
      <c r="AT3099" s="1" t="s">
        <v>74</v>
      </c>
      <c r="AU3099" s="1">
        <v>2016</v>
      </c>
      <c r="AV3099" s="1">
        <v>4</v>
      </c>
      <c r="AW3099" s="1">
        <v>5</v>
      </c>
      <c r="AX3099" s="1" t="s">
        <v>74</v>
      </c>
      <c r="AY3099" s="1" t="s">
        <v>74</v>
      </c>
      <c r="AZ3099" s="1" t="s">
        <v>74</v>
      </c>
      <c r="BA3099" s="1" t="s">
        <v>74</v>
      </c>
      <c r="BB3099" s="1">
        <v>1737</v>
      </c>
      <c r="BC3099" s="1">
        <v>1746</v>
      </c>
      <c r="BD3099" s="1" t="s">
        <v>74</v>
      </c>
      <c r="BE3099" s="1" t="s">
        <v>49212</v>
      </c>
      <c r="BF3099" s="1" t="str">
        <f>HYPERLINK("http://dx.doi.org/10.1039/c5ta09132b","http://dx.doi.org/10.1039/c5ta09132b")</f>
        <v>http://dx.doi.org/10.1039/c5ta09132b</v>
      </c>
      <c r="BG3099" s="1" t="s">
        <v>74</v>
      </c>
      <c r="BH3099" s="1" t="s">
        <v>74</v>
      </c>
      <c r="BI3099" s="1">
        <v>10</v>
      </c>
      <c r="BJ3099" s="1" t="s">
        <v>37683</v>
      </c>
      <c r="BK3099" s="1" t="s">
        <v>96</v>
      </c>
      <c r="BL3099" s="1" t="s">
        <v>37684</v>
      </c>
      <c r="BM3099" s="1" t="s">
        <v>49213</v>
      </c>
      <c r="BN3099" s="1" t="s">
        <v>74</v>
      </c>
      <c r="BO3099" s="1" t="s">
        <v>74</v>
      </c>
      <c r="BP3099" s="1" t="s">
        <v>74</v>
      </c>
      <c r="BQ3099" s="1" t="s">
        <v>74</v>
      </c>
      <c r="BR3099" s="1" t="s">
        <v>98</v>
      </c>
      <c r="BS3099" s="1" t="s">
        <v>49214</v>
      </c>
      <c r="BT3099" s="1" t="str">
        <f>HYPERLINK("https%3A%2F%2Fwww.webofscience.com%2Fwos%2Fwoscc%2Ffull-record%2FWOS:000368839200025","View Full Record in Web of Science")</f>
        <v>View Full Record in Web of Science</v>
      </c>
      <c r="BU3099" s="1"/>
      <c r="BV3099" s="1"/>
    </row>
    <row r="3100" spans="1:74">
      <c r="A3100" s="1" t="s">
        <v>72</v>
      </c>
      <c r="B3100" s="1" t="s">
        <v>49215</v>
      </c>
      <c r="C3100" s="1" t="s">
        <v>74</v>
      </c>
      <c r="D3100" s="1" t="s">
        <v>74</v>
      </c>
      <c r="E3100" s="1" t="s">
        <v>74</v>
      </c>
      <c r="F3100" s="1" t="s">
        <v>49216</v>
      </c>
      <c r="G3100" s="1" t="s">
        <v>74</v>
      </c>
      <c r="H3100" s="1" t="s">
        <v>74</v>
      </c>
      <c r="I3100" s="1" t="s">
        <v>49217</v>
      </c>
      <c r="J3100" s="1" t="s">
        <v>8431</v>
      </c>
      <c r="K3100" s="1" t="s">
        <v>74</v>
      </c>
      <c r="L3100" s="1" t="s">
        <v>74</v>
      </c>
      <c r="M3100" s="1" t="s">
        <v>78</v>
      </c>
      <c r="N3100" s="1" t="s">
        <v>79</v>
      </c>
      <c r="O3100" s="1" t="s">
        <v>74</v>
      </c>
      <c r="P3100" s="1" t="s">
        <v>74</v>
      </c>
      <c r="Q3100" s="1" t="s">
        <v>74</v>
      </c>
      <c r="R3100" s="1" t="s">
        <v>74</v>
      </c>
      <c r="S3100" s="1" t="s">
        <v>74</v>
      </c>
      <c r="T3100" s="1" t="s">
        <v>49218</v>
      </c>
      <c r="U3100" s="1" t="s">
        <v>49219</v>
      </c>
      <c r="V3100" s="1" t="s">
        <v>49220</v>
      </c>
      <c r="W3100" s="1" t="s">
        <v>49221</v>
      </c>
      <c r="X3100" s="1" t="s">
        <v>49222</v>
      </c>
      <c r="Y3100" s="1" t="s">
        <v>49223</v>
      </c>
      <c r="Z3100" s="1" t="s">
        <v>49224</v>
      </c>
      <c r="AA3100" s="1" t="s">
        <v>49225</v>
      </c>
      <c r="AB3100" s="1" t="s">
        <v>49226</v>
      </c>
      <c r="AC3100" s="1" t="s">
        <v>74</v>
      </c>
      <c r="AD3100" s="1" t="s">
        <v>74</v>
      </c>
      <c r="AE3100" s="1" t="s">
        <v>74</v>
      </c>
      <c r="AF3100" s="1" t="s">
        <v>74</v>
      </c>
      <c r="AG3100" s="1">
        <v>55</v>
      </c>
      <c r="AH3100" s="1">
        <v>4</v>
      </c>
      <c r="AI3100" s="1">
        <v>4</v>
      </c>
      <c r="AJ3100" s="1">
        <v>0</v>
      </c>
      <c r="AK3100" s="1">
        <v>27</v>
      </c>
      <c r="AL3100" s="1" t="s">
        <v>8440</v>
      </c>
      <c r="AM3100" s="1" t="s">
        <v>8441</v>
      </c>
      <c r="AN3100" s="1" t="s">
        <v>8442</v>
      </c>
      <c r="AO3100" s="1" t="s">
        <v>8443</v>
      </c>
      <c r="AP3100" s="1" t="s">
        <v>8444</v>
      </c>
      <c r="AQ3100" s="1" t="s">
        <v>74</v>
      </c>
      <c r="AR3100" s="1" t="s">
        <v>8445</v>
      </c>
      <c r="AS3100" s="1" t="s">
        <v>8446</v>
      </c>
      <c r="AT3100" s="1" t="s">
        <v>224</v>
      </c>
      <c r="AU3100" s="1">
        <v>2018</v>
      </c>
      <c r="AV3100" s="1">
        <v>81</v>
      </c>
      <c r="AW3100" s="1">
        <v>2</v>
      </c>
      <c r="AX3100" s="1" t="s">
        <v>74</v>
      </c>
      <c r="AY3100" s="1" t="s">
        <v>74</v>
      </c>
      <c r="AZ3100" s="1" t="s">
        <v>74</v>
      </c>
      <c r="BA3100" s="1" t="s">
        <v>74</v>
      </c>
      <c r="BB3100" s="1">
        <v>316</v>
      </c>
      <c r="BC3100" s="1">
        <v>324</v>
      </c>
      <c r="BD3100" s="1" t="s">
        <v>74</v>
      </c>
      <c r="BE3100" s="1" t="s">
        <v>49227</v>
      </c>
      <c r="BF3100" s="1" t="str">
        <f>HYPERLINK("http://dx.doi.org/10.4315/0362-028X.JFP-17-148","http://dx.doi.org/10.4315/0362-028X.JFP-17-148")</f>
        <v>http://dx.doi.org/10.4315/0362-028X.JFP-17-148</v>
      </c>
      <c r="BG3100" s="1" t="s">
        <v>74</v>
      </c>
      <c r="BH3100" s="1" t="s">
        <v>74</v>
      </c>
      <c r="BI3100" s="1">
        <v>9</v>
      </c>
      <c r="BJ3100" s="1" t="s">
        <v>8448</v>
      </c>
      <c r="BK3100" s="1" t="s">
        <v>96</v>
      </c>
      <c r="BL3100" s="1" t="s">
        <v>8448</v>
      </c>
      <c r="BM3100" s="1" t="s">
        <v>49228</v>
      </c>
      <c r="BN3100" s="1">
        <v>29369691</v>
      </c>
      <c r="BO3100" s="1" t="s">
        <v>9583</v>
      </c>
      <c r="BP3100" s="1" t="s">
        <v>74</v>
      </c>
      <c r="BQ3100" s="1" t="s">
        <v>74</v>
      </c>
      <c r="BR3100" s="1" t="s">
        <v>98</v>
      </c>
      <c r="BS3100" s="1" t="s">
        <v>49229</v>
      </c>
      <c r="BT3100" s="1" t="str">
        <f>HYPERLINK("https%3A%2F%2Fwww.webofscience.com%2Fwos%2Fwoscc%2Ffull-record%2FWOS:000425170300023","View Full Record in Web of Science")</f>
        <v>View Full Record in Web of Science</v>
      </c>
      <c r="BU3100" s="1"/>
      <c r="BV3100" s="1"/>
    </row>
    <row r="3101" spans="1:74">
      <c r="A3101" s="1" t="s">
        <v>72</v>
      </c>
      <c r="B3101" s="1" t="s">
        <v>49230</v>
      </c>
      <c r="C3101" s="1" t="s">
        <v>74</v>
      </c>
      <c r="D3101" s="1" t="s">
        <v>74</v>
      </c>
      <c r="E3101" s="1" t="s">
        <v>74</v>
      </c>
      <c r="F3101" s="1" t="s">
        <v>49230</v>
      </c>
      <c r="G3101" s="1" t="s">
        <v>74</v>
      </c>
      <c r="H3101" s="1" t="s">
        <v>74</v>
      </c>
      <c r="I3101" s="1" t="s">
        <v>49231</v>
      </c>
      <c r="J3101" s="1" t="s">
        <v>641</v>
      </c>
      <c r="K3101" s="1" t="s">
        <v>74</v>
      </c>
      <c r="L3101" s="1" t="s">
        <v>74</v>
      </c>
      <c r="M3101" s="1" t="s">
        <v>78</v>
      </c>
      <c r="N3101" s="1" t="s">
        <v>79</v>
      </c>
      <c r="O3101" s="1" t="s">
        <v>74</v>
      </c>
      <c r="P3101" s="1" t="s">
        <v>74</v>
      </c>
      <c r="Q3101" s="1" t="s">
        <v>74</v>
      </c>
      <c r="R3101" s="1" t="s">
        <v>74</v>
      </c>
      <c r="S3101" s="1" t="s">
        <v>74</v>
      </c>
      <c r="T3101" s="1" t="s">
        <v>49232</v>
      </c>
      <c r="U3101" s="1" t="s">
        <v>49233</v>
      </c>
      <c r="V3101" s="1" t="s">
        <v>49234</v>
      </c>
      <c r="W3101" s="1" t="s">
        <v>49235</v>
      </c>
      <c r="X3101" s="1" t="s">
        <v>74</v>
      </c>
      <c r="Y3101" s="1" t="s">
        <v>74</v>
      </c>
      <c r="Z3101" s="1" t="s">
        <v>74</v>
      </c>
      <c r="AA3101" s="1" t="s">
        <v>23191</v>
      </c>
      <c r="AB3101" s="1" t="s">
        <v>74</v>
      </c>
      <c r="AC3101" s="1" t="s">
        <v>74</v>
      </c>
      <c r="AD3101" s="1" t="s">
        <v>74</v>
      </c>
      <c r="AE3101" s="1" t="s">
        <v>74</v>
      </c>
      <c r="AF3101" s="1" t="s">
        <v>74</v>
      </c>
      <c r="AG3101" s="1">
        <v>20</v>
      </c>
      <c r="AH3101" s="1">
        <v>8</v>
      </c>
      <c r="AI3101" s="1">
        <v>9</v>
      </c>
      <c r="AJ3101" s="1">
        <v>0</v>
      </c>
      <c r="AK3101" s="1">
        <v>6</v>
      </c>
      <c r="AL3101" s="1" t="s">
        <v>919</v>
      </c>
      <c r="AM3101" s="1" t="s">
        <v>651</v>
      </c>
      <c r="AN3101" s="1" t="s">
        <v>920</v>
      </c>
      <c r="AO3101" s="1" t="s">
        <v>653</v>
      </c>
      <c r="AP3101" s="1" t="s">
        <v>74</v>
      </c>
      <c r="AQ3101" s="1" t="s">
        <v>74</v>
      </c>
      <c r="AR3101" s="1" t="s">
        <v>655</v>
      </c>
      <c r="AS3101" s="1" t="s">
        <v>656</v>
      </c>
      <c r="AT3101" s="1" t="s">
        <v>1223</v>
      </c>
      <c r="AU3101" s="1">
        <v>1995</v>
      </c>
      <c r="AV3101" s="1">
        <v>31</v>
      </c>
      <c r="AW3101" s="1">
        <v>3</v>
      </c>
      <c r="AX3101" s="1" t="s">
        <v>74</v>
      </c>
      <c r="AY3101" s="1" t="s">
        <v>74</v>
      </c>
      <c r="AZ3101" s="1" t="s">
        <v>74</v>
      </c>
      <c r="BA3101" s="1" t="s">
        <v>74</v>
      </c>
      <c r="BB3101" s="1">
        <v>263</v>
      </c>
      <c r="BC3101" s="1">
        <v>276</v>
      </c>
      <c r="BD3101" s="1" t="s">
        <v>74</v>
      </c>
      <c r="BE3101" s="1" t="s">
        <v>49236</v>
      </c>
      <c r="BF3101" s="1" t="str">
        <f>HYPERLINK("http://dx.doi.org/10.1016/0166-445X(94)00072-X","http://dx.doi.org/10.1016/0166-445X(94)00072-X")</f>
        <v>http://dx.doi.org/10.1016/0166-445X(94)00072-X</v>
      </c>
      <c r="BG3101" s="1" t="s">
        <v>74</v>
      </c>
      <c r="BH3101" s="1" t="s">
        <v>74</v>
      </c>
      <c r="BI3101" s="1">
        <v>14</v>
      </c>
      <c r="BJ3101" s="1" t="s">
        <v>659</v>
      </c>
      <c r="BK3101" s="1" t="s">
        <v>96</v>
      </c>
      <c r="BL3101" s="1" t="s">
        <v>659</v>
      </c>
      <c r="BM3101" s="1" t="s">
        <v>49237</v>
      </c>
      <c r="BN3101" s="1" t="s">
        <v>74</v>
      </c>
      <c r="BO3101" s="1" t="s">
        <v>74</v>
      </c>
      <c r="BP3101" s="1" t="s">
        <v>74</v>
      </c>
      <c r="BQ3101" s="1" t="s">
        <v>74</v>
      </c>
      <c r="BR3101" s="1" t="s">
        <v>98</v>
      </c>
      <c r="BS3101" s="1" t="s">
        <v>49238</v>
      </c>
      <c r="BT3101" s="1" t="str">
        <f>HYPERLINK("https%3A%2F%2Fwww.webofscience.com%2Fwos%2Fwoscc%2Ffull-record%2FWOS:A1995QN19000007","View Full Record in Web of Science")</f>
        <v>View Full Record in Web of Science</v>
      </c>
      <c r="BU3101" s="1"/>
      <c r="BV3101" s="1"/>
    </row>
    <row r="3102" spans="1:74">
      <c r="A3102" s="1" t="s">
        <v>72</v>
      </c>
      <c r="B3102" s="1" t="s">
        <v>49239</v>
      </c>
      <c r="C3102" s="1" t="s">
        <v>74</v>
      </c>
      <c r="D3102" s="1" t="s">
        <v>74</v>
      </c>
      <c r="E3102" s="1" t="s">
        <v>74</v>
      </c>
      <c r="F3102" s="1" t="s">
        <v>49240</v>
      </c>
      <c r="G3102" s="1" t="s">
        <v>74</v>
      </c>
      <c r="H3102" s="1" t="s">
        <v>74</v>
      </c>
      <c r="I3102" s="1" t="s">
        <v>49241</v>
      </c>
      <c r="J3102" s="1" t="s">
        <v>4596</v>
      </c>
      <c r="K3102" s="1" t="s">
        <v>74</v>
      </c>
      <c r="L3102" s="1" t="s">
        <v>74</v>
      </c>
      <c r="M3102" s="1" t="s">
        <v>78</v>
      </c>
      <c r="N3102" s="1" t="s">
        <v>79</v>
      </c>
      <c r="O3102" s="1" t="s">
        <v>74</v>
      </c>
      <c r="P3102" s="1" t="s">
        <v>74</v>
      </c>
      <c r="Q3102" s="1" t="s">
        <v>74</v>
      </c>
      <c r="R3102" s="1" t="s">
        <v>74</v>
      </c>
      <c r="S3102" s="1" t="s">
        <v>74</v>
      </c>
      <c r="T3102" s="1" t="s">
        <v>49242</v>
      </c>
      <c r="U3102" s="1" t="s">
        <v>49243</v>
      </c>
      <c r="V3102" s="1" t="s">
        <v>49244</v>
      </c>
      <c r="W3102" s="1" t="s">
        <v>49245</v>
      </c>
      <c r="X3102" s="1" t="s">
        <v>49246</v>
      </c>
      <c r="Y3102" s="1" t="s">
        <v>49247</v>
      </c>
      <c r="Z3102" s="1" t="s">
        <v>49248</v>
      </c>
      <c r="AA3102" s="1" t="s">
        <v>49249</v>
      </c>
      <c r="AB3102" s="1" t="s">
        <v>49250</v>
      </c>
      <c r="AC3102" s="1" t="s">
        <v>49251</v>
      </c>
      <c r="AD3102" s="1" t="s">
        <v>49251</v>
      </c>
      <c r="AE3102" s="1" t="s">
        <v>49252</v>
      </c>
      <c r="AF3102" s="1" t="s">
        <v>74</v>
      </c>
      <c r="AG3102" s="1">
        <v>132</v>
      </c>
      <c r="AH3102" s="1">
        <v>70</v>
      </c>
      <c r="AI3102" s="1">
        <v>74</v>
      </c>
      <c r="AJ3102" s="1">
        <v>1</v>
      </c>
      <c r="AK3102" s="1">
        <v>51</v>
      </c>
      <c r="AL3102" s="1" t="s">
        <v>136</v>
      </c>
      <c r="AM3102" s="1" t="s">
        <v>137</v>
      </c>
      <c r="AN3102" s="1" t="s">
        <v>138</v>
      </c>
      <c r="AO3102" s="1" t="s">
        <v>4608</v>
      </c>
      <c r="AP3102" s="1" t="s">
        <v>4609</v>
      </c>
      <c r="AQ3102" s="1" t="s">
        <v>74</v>
      </c>
      <c r="AR3102" s="1" t="s">
        <v>4610</v>
      </c>
      <c r="AS3102" s="1" t="s">
        <v>4611</v>
      </c>
      <c r="AT3102" s="1" t="s">
        <v>2257</v>
      </c>
      <c r="AU3102" s="1">
        <v>2016</v>
      </c>
      <c r="AV3102" s="1">
        <v>124</v>
      </c>
      <c r="AW3102" s="1" t="s">
        <v>74</v>
      </c>
      <c r="AX3102" s="1" t="s">
        <v>74</v>
      </c>
      <c r="AY3102" s="1" t="s">
        <v>74</v>
      </c>
      <c r="AZ3102" s="1" t="s">
        <v>74</v>
      </c>
      <c r="BA3102" s="1" t="s">
        <v>74</v>
      </c>
      <c r="BB3102" s="1">
        <v>104</v>
      </c>
      <c r="BC3102" s="1">
        <v>116</v>
      </c>
      <c r="BD3102" s="1" t="s">
        <v>74</v>
      </c>
      <c r="BE3102" s="1" t="s">
        <v>49253</v>
      </c>
      <c r="BF3102" s="1" t="str">
        <f>HYPERLINK("http://dx.doi.org/10.1016/j.csr.2016.05.012","http://dx.doi.org/10.1016/j.csr.2016.05.012")</f>
        <v>http://dx.doi.org/10.1016/j.csr.2016.05.012</v>
      </c>
      <c r="BG3102" s="1" t="s">
        <v>74</v>
      </c>
      <c r="BH3102" s="1" t="s">
        <v>74</v>
      </c>
      <c r="BI3102" s="1">
        <v>13</v>
      </c>
      <c r="BJ3102" s="1" t="s">
        <v>1439</v>
      </c>
      <c r="BK3102" s="1" t="s">
        <v>96</v>
      </c>
      <c r="BL3102" s="1" t="s">
        <v>1439</v>
      </c>
      <c r="BM3102" s="1" t="s">
        <v>49254</v>
      </c>
      <c r="BN3102" s="1" t="s">
        <v>74</v>
      </c>
      <c r="BO3102" s="1" t="s">
        <v>74</v>
      </c>
      <c r="BP3102" s="1" t="s">
        <v>74</v>
      </c>
      <c r="BQ3102" s="1" t="s">
        <v>74</v>
      </c>
      <c r="BR3102" s="1" t="s">
        <v>98</v>
      </c>
      <c r="BS3102" s="1" t="s">
        <v>49255</v>
      </c>
      <c r="BT3102" s="1" t="str">
        <f>HYPERLINK("https%3A%2F%2Fwww.webofscience.com%2Fwos%2Fwoscc%2Ffull-record%2FWOS:000382346900009","View Full Record in Web of Science")</f>
        <v>View Full Record in Web of Science</v>
      </c>
      <c r="BU3102" s="1"/>
      <c r="BV3102" s="1"/>
    </row>
    <row r="3103" spans="1:74">
      <c r="A3103" s="1" t="s">
        <v>72</v>
      </c>
      <c r="B3103" s="1" t="s">
        <v>49256</v>
      </c>
      <c r="C3103" s="1" t="s">
        <v>74</v>
      </c>
      <c r="D3103" s="1" t="s">
        <v>74</v>
      </c>
      <c r="E3103" s="1" t="s">
        <v>74</v>
      </c>
      <c r="F3103" s="1" t="s">
        <v>49256</v>
      </c>
      <c r="G3103" s="1" t="s">
        <v>74</v>
      </c>
      <c r="H3103" s="1" t="s">
        <v>74</v>
      </c>
      <c r="I3103" s="1" t="s">
        <v>49257</v>
      </c>
      <c r="J3103" s="1" t="s">
        <v>704</v>
      </c>
      <c r="K3103" s="1" t="s">
        <v>74</v>
      </c>
      <c r="L3103" s="1" t="s">
        <v>74</v>
      </c>
      <c r="M3103" s="1" t="s">
        <v>78</v>
      </c>
      <c r="N3103" s="1" t="s">
        <v>79</v>
      </c>
      <c r="O3103" s="1" t="s">
        <v>74</v>
      </c>
      <c r="P3103" s="1" t="s">
        <v>74</v>
      </c>
      <c r="Q3103" s="1" t="s">
        <v>74</v>
      </c>
      <c r="R3103" s="1" t="s">
        <v>74</v>
      </c>
      <c r="S3103" s="1" t="s">
        <v>74</v>
      </c>
      <c r="T3103" s="1" t="s">
        <v>74</v>
      </c>
      <c r="U3103" s="1" t="s">
        <v>49258</v>
      </c>
      <c r="V3103" s="1" t="s">
        <v>49259</v>
      </c>
      <c r="W3103" s="1" t="s">
        <v>74</v>
      </c>
      <c r="X3103" s="1" t="s">
        <v>74</v>
      </c>
      <c r="Y3103" s="1" t="s">
        <v>49260</v>
      </c>
      <c r="Z3103" s="1" t="s">
        <v>74</v>
      </c>
      <c r="AA3103" s="1" t="s">
        <v>74</v>
      </c>
      <c r="AB3103" s="1" t="s">
        <v>74</v>
      </c>
      <c r="AC3103" s="1" t="s">
        <v>74</v>
      </c>
      <c r="AD3103" s="1" t="s">
        <v>74</v>
      </c>
      <c r="AE3103" s="1" t="s">
        <v>74</v>
      </c>
      <c r="AF3103" s="1" t="s">
        <v>74</v>
      </c>
      <c r="AG3103" s="1">
        <v>14</v>
      </c>
      <c r="AH3103" s="1">
        <v>51</v>
      </c>
      <c r="AI3103" s="1">
        <v>52</v>
      </c>
      <c r="AJ3103" s="1">
        <v>1</v>
      </c>
      <c r="AK3103" s="1">
        <v>9</v>
      </c>
      <c r="AL3103" s="1" t="s">
        <v>4010</v>
      </c>
      <c r="AM3103" s="1" t="s">
        <v>1167</v>
      </c>
      <c r="AN3103" s="1" t="s">
        <v>1168</v>
      </c>
      <c r="AO3103" s="1" t="s">
        <v>718</v>
      </c>
      <c r="AP3103" s="1" t="s">
        <v>1169</v>
      </c>
      <c r="AQ3103" s="1" t="s">
        <v>74</v>
      </c>
      <c r="AR3103" s="1" t="s">
        <v>719</v>
      </c>
      <c r="AS3103" s="1" t="s">
        <v>720</v>
      </c>
      <c r="AT3103" s="1" t="s">
        <v>93</v>
      </c>
      <c r="AU3103" s="1">
        <v>1991</v>
      </c>
      <c r="AV3103" s="1">
        <v>56</v>
      </c>
      <c r="AW3103" s="1" t="s">
        <v>74</v>
      </c>
      <c r="AX3103" s="1" t="s">
        <v>74</v>
      </c>
      <c r="AY3103" s="1" t="s">
        <v>74</v>
      </c>
      <c r="AZ3103" s="1" t="s">
        <v>74</v>
      </c>
      <c r="BA3103" s="1" t="s">
        <v>74</v>
      </c>
      <c r="BB3103" s="1">
        <v>95</v>
      </c>
      <c r="BC3103" s="1">
        <v>102</v>
      </c>
      <c r="BD3103" s="1" t="s">
        <v>74</v>
      </c>
      <c r="BE3103" s="1" t="s">
        <v>49261</v>
      </c>
      <c r="BF3103" s="1" t="str">
        <f>HYPERLINK("http://dx.doi.org/10.1007/BF00342264","http://dx.doi.org/10.1007/BF00342264")</f>
        <v>http://dx.doi.org/10.1007/BF00342264</v>
      </c>
      <c r="BG3103" s="1" t="s">
        <v>74</v>
      </c>
      <c r="BH3103" s="1" t="s">
        <v>74</v>
      </c>
      <c r="BI3103" s="1">
        <v>8</v>
      </c>
      <c r="BJ3103" s="1" t="s">
        <v>722</v>
      </c>
      <c r="BK3103" s="1" t="s">
        <v>96</v>
      </c>
      <c r="BL3103" s="1" t="s">
        <v>723</v>
      </c>
      <c r="BM3103" s="1" t="s">
        <v>49262</v>
      </c>
      <c r="BN3103" s="1" t="s">
        <v>74</v>
      </c>
      <c r="BO3103" s="1" t="s">
        <v>74</v>
      </c>
      <c r="BP3103" s="1" t="s">
        <v>74</v>
      </c>
      <c r="BQ3103" s="1" t="s">
        <v>74</v>
      </c>
      <c r="BR3103" s="1" t="s">
        <v>98</v>
      </c>
      <c r="BS3103" s="1" t="s">
        <v>49263</v>
      </c>
      <c r="BT3103" s="1" t="str">
        <f>HYPERLINK("https%3A%2F%2Fwww.webofscience.com%2Fwos%2Fwoscc%2Ffull-record%2FWOS:A1991GM38200009","View Full Record in Web of Science")</f>
        <v>View Full Record in Web of Science</v>
      </c>
      <c r="BU3103" s="1"/>
      <c r="BV3103" s="1"/>
    </row>
    <row r="3104" spans="1:74">
      <c r="A3104" s="1" t="s">
        <v>72</v>
      </c>
      <c r="B3104" s="1" t="s">
        <v>49264</v>
      </c>
      <c r="C3104" s="1" t="s">
        <v>74</v>
      </c>
      <c r="D3104" s="1" t="s">
        <v>74</v>
      </c>
      <c r="E3104" s="1" t="s">
        <v>74</v>
      </c>
      <c r="F3104" s="1" t="s">
        <v>49265</v>
      </c>
      <c r="G3104" s="1" t="s">
        <v>74</v>
      </c>
      <c r="H3104" s="1" t="s">
        <v>74</v>
      </c>
      <c r="I3104" s="1" t="s">
        <v>49266</v>
      </c>
      <c r="J3104" s="1" t="s">
        <v>275</v>
      </c>
      <c r="K3104" s="1" t="s">
        <v>74</v>
      </c>
      <c r="L3104" s="1" t="s">
        <v>74</v>
      </c>
      <c r="M3104" s="1" t="s">
        <v>78</v>
      </c>
      <c r="N3104" s="1" t="s">
        <v>79</v>
      </c>
      <c r="O3104" s="1" t="s">
        <v>74</v>
      </c>
      <c r="P3104" s="1" t="s">
        <v>74</v>
      </c>
      <c r="Q3104" s="1" t="s">
        <v>74</v>
      </c>
      <c r="R3104" s="1" t="s">
        <v>74</v>
      </c>
      <c r="S3104" s="1" t="s">
        <v>74</v>
      </c>
      <c r="T3104" s="1" t="s">
        <v>49267</v>
      </c>
      <c r="U3104" s="1" t="s">
        <v>49268</v>
      </c>
      <c r="V3104" s="1" t="s">
        <v>49269</v>
      </c>
      <c r="W3104" s="1" t="s">
        <v>49270</v>
      </c>
      <c r="X3104" s="1" t="s">
        <v>49271</v>
      </c>
      <c r="Y3104" s="1" t="s">
        <v>49272</v>
      </c>
      <c r="Z3104" s="1" t="s">
        <v>49273</v>
      </c>
      <c r="AA3104" s="1" t="s">
        <v>49274</v>
      </c>
      <c r="AB3104" s="1" t="s">
        <v>74</v>
      </c>
      <c r="AC3104" s="1" t="s">
        <v>49275</v>
      </c>
      <c r="AD3104" s="1" t="s">
        <v>49276</v>
      </c>
      <c r="AE3104" s="1" t="s">
        <v>49277</v>
      </c>
      <c r="AF3104" s="1" t="s">
        <v>74</v>
      </c>
      <c r="AG3104" s="1">
        <v>44</v>
      </c>
      <c r="AH3104" s="1">
        <v>19</v>
      </c>
      <c r="AI3104" s="1">
        <v>24</v>
      </c>
      <c r="AJ3104" s="1">
        <v>1</v>
      </c>
      <c r="AK3104" s="1">
        <v>44</v>
      </c>
      <c r="AL3104" s="1" t="s">
        <v>285</v>
      </c>
      <c r="AM3104" s="1" t="s">
        <v>286</v>
      </c>
      <c r="AN3104" s="1" t="s">
        <v>287</v>
      </c>
      <c r="AO3104" s="1" t="s">
        <v>288</v>
      </c>
      <c r="AP3104" s="1" t="s">
        <v>289</v>
      </c>
      <c r="AQ3104" s="1" t="s">
        <v>74</v>
      </c>
      <c r="AR3104" s="1" t="s">
        <v>290</v>
      </c>
      <c r="AS3104" s="1" t="s">
        <v>291</v>
      </c>
      <c r="AT3104" s="1" t="s">
        <v>119</v>
      </c>
      <c r="AU3104" s="1">
        <v>2016</v>
      </c>
      <c r="AV3104" s="1">
        <v>55</v>
      </c>
      <c r="AW3104" s="1" t="s">
        <v>74</v>
      </c>
      <c r="AX3104" s="1" t="s">
        <v>74</v>
      </c>
      <c r="AY3104" s="1" t="s">
        <v>74</v>
      </c>
      <c r="AZ3104" s="1" t="s">
        <v>74</v>
      </c>
      <c r="BA3104" s="1" t="s">
        <v>74</v>
      </c>
      <c r="BB3104" s="1">
        <v>499</v>
      </c>
      <c r="BC3104" s="1">
        <v>509</v>
      </c>
      <c r="BD3104" s="1" t="s">
        <v>74</v>
      </c>
      <c r="BE3104" s="1" t="s">
        <v>49278</v>
      </c>
      <c r="BF3104" s="1" t="str">
        <f>HYPERLINK("http://dx.doi.org/10.1016/j.fsi.2016.06.012","http://dx.doi.org/10.1016/j.fsi.2016.06.012")</f>
        <v>http://dx.doi.org/10.1016/j.fsi.2016.06.012</v>
      </c>
      <c r="BG3104" s="1" t="s">
        <v>74</v>
      </c>
      <c r="BH3104" s="1" t="s">
        <v>74</v>
      </c>
      <c r="BI3104" s="1">
        <v>11</v>
      </c>
      <c r="BJ3104" s="1" t="s">
        <v>293</v>
      </c>
      <c r="BK3104" s="1" t="s">
        <v>96</v>
      </c>
      <c r="BL3104" s="1" t="s">
        <v>293</v>
      </c>
      <c r="BM3104" s="1" t="s">
        <v>49279</v>
      </c>
      <c r="BN3104" s="1">
        <v>27291351</v>
      </c>
      <c r="BO3104" s="1" t="s">
        <v>74</v>
      </c>
      <c r="BP3104" s="1" t="s">
        <v>74</v>
      </c>
      <c r="BQ3104" s="1" t="s">
        <v>74</v>
      </c>
      <c r="BR3104" s="1" t="s">
        <v>98</v>
      </c>
      <c r="BS3104" s="1" t="s">
        <v>49280</v>
      </c>
      <c r="BT3104" s="1" t="str">
        <f>HYPERLINK("https%3A%2F%2Fwww.webofscience.com%2Fwos%2Fwoscc%2Ffull-record%2FWOS:000381537000054","View Full Record in Web of Science")</f>
        <v>View Full Record in Web of Science</v>
      </c>
      <c r="BU3104" s="1"/>
      <c r="BV3104" s="1"/>
    </row>
    <row r="3105" spans="1:74">
      <c r="A3105" s="1" t="s">
        <v>72</v>
      </c>
      <c r="B3105" s="1" t="s">
        <v>49281</v>
      </c>
      <c r="C3105" s="1" t="s">
        <v>74</v>
      </c>
      <c r="D3105" s="1" t="s">
        <v>74</v>
      </c>
      <c r="E3105" s="1" t="s">
        <v>74</v>
      </c>
      <c r="F3105" s="1" t="s">
        <v>49281</v>
      </c>
      <c r="G3105" s="1" t="s">
        <v>74</v>
      </c>
      <c r="H3105" s="1" t="s">
        <v>74</v>
      </c>
      <c r="I3105" s="1" t="s">
        <v>49282</v>
      </c>
      <c r="J3105" s="1" t="s">
        <v>127</v>
      </c>
      <c r="K3105" s="1" t="s">
        <v>74</v>
      </c>
      <c r="L3105" s="1" t="s">
        <v>74</v>
      </c>
      <c r="M3105" s="1" t="s">
        <v>78</v>
      </c>
      <c r="N3105" s="1" t="s">
        <v>79</v>
      </c>
      <c r="O3105" s="1" t="s">
        <v>74</v>
      </c>
      <c r="P3105" s="1" t="s">
        <v>74</v>
      </c>
      <c r="Q3105" s="1" t="s">
        <v>74</v>
      </c>
      <c r="R3105" s="1" t="s">
        <v>74</v>
      </c>
      <c r="S3105" s="1" t="s">
        <v>74</v>
      </c>
      <c r="T3105" s="1" t="s">
        <v>49283</v>
      </c>
      <c r="U3105" s="1" t="s">
        <v>49284</v>
      </c>
      <c r="V3105" s="1" t="s">
        <v>49285</v>
      </c>
      <c r="W3105" s="1" t="s">
        <v>49286</v>
      </c>
      <c r="X3105" s="1" t="s">
        <v>25649</v>
      </c>
      <c r="Y3105" s="1" t="s">
        <v>49287</v>
      </c>
      <c r="Z3105" s="1" t="s">
        <v>49288</v>
      </c>
      <c r="AA3105" s="1" t="s">
        <v>49289</v>
      </c>
      <c r="AB3105" s="1" t="s">
        <v>49290</v>
      </c>
      <c r="AC3105" s="1" t="s">
        <v>74</v>
      </c>
      <c r="AD3105" s="1" t="s">
        <v>74</v>
      </c>
      <c r="AE3105" s="1" t="s">
        <v>74</v>
      </c>
      <c r="AF3105" s="1" t="s">
        <v>74</v>
      </c>
      <c r="AG3105" s="1">
        <v>31</v>
      </c>
      <c r="AH3105" s="1">
        <v>68</v>
      </c>
      <c r="AI3105" s="1">
        <v>81</v>
      </c>
      <c r="AJ3105" s="1">
        <v>1</v>
      </c>
      <c r="AK3105" s="1">
        <v>57</v>
      </c>
      <c r="AL3105" s="1" t="s">
        <v>136</v>
      </c>
      <c r="AM3105" s="1" t="s">
        <v>137</v>
      </c>
      <c r="AN3105" s="1" t="s">
        <v>138</v>
      </c>
      <c r="AO3105" s="1" t="s">
        <v>139</v>
      </c>
      <c r="AP3105" s="1" t="s">
        <v>140</v>
      </c>
      <c r="AQ3105" s="1" t="s">
        <v>74</v>
      </c>
      <c r="AR3105" s="1" t="s">
        <v>127</v>
      </c>
      <c r="AS3105" s="1" t="s">
        <v>141</v>
      </c>
      <c r="AT3105" s="1" t="s">
        <v>305</v>
      </c>
      <c r="AU3105" s="1">
        <v>2004</v>
      </c>
      <c r="AV3105" s="1">
        <v>56</v>
      </c>
      <c r="AW3105" s="1">
        <v>11</v>
      </c>
      <c r="AX3105" s="1" t="s">
        <v>74</v>
      </c>
      <c r="AY3105" s="1" t="s">
        <v>74</v>
      </c>
      <c r="AZ3105" s="1" t="s">
        <v>74</v>
      </c>
      <c r="BA3105" s="1" t="s">
        <v>74</v>
      </c>
      <c r="BB3105" s="1">
        <v>1085</v>
      </c>
      <c r="BC3105" s="1">
        <v>1095</v>
      </c>
      <c r="BD3105" s="1" t="s">
        <v>74</v>
      </c>
      <c r="BE3105" s="1" t="s">
        <v>49291</v>
      </c>
      <c r="BF3105" s="1" t="str">
        <f>HYPERLINK("http://dx.doi.org/10.1016/j.chemosphere.2004.05.025","http://dx.doi.org/10.1016/j.chemosphere.2004.05.025")</f>
        <v>http://dx.doi.org/10.1016/j.chemosphere.2004.05.025</v>
      </c>
      <c r="BG3105" s="1" t="s">
        <v>74</v>
      </c>
      <c r="BH3105" s="1" t="s">
        <v>74</v>
      </c>
      <c r="BI3105" s="1">
        <v>11</v>
      </c>
      <c r="BJ3105" s="1" t="s">
        <v>144</v>
      </c>
      <c r="BK3105" s="1" t="s">
        <v>96</v>
      </c>
      <c r="BL3105" s="1" t="s">
        <v>145</v>
      </c>
      <c r="BM3105" s="1" t="s">
        <v>49292</v>
      </c>
      <c r="BN3105" s="1">
        <v>15276721</v>
      </c>
      <c r="BO3105" s="1" t="s">
        <v>74</v>
      </c>
      <c r="BP3105" s="1" t="s">
        <v>74</v>
      </c>
      <c r="BQ3105" s="1" t="s">
        <v>74</v>
      </c>
      <c r="BR3105" s="1" t="s">
        <v>98</v>
      </c>
      <c r="BS3105" s="1" t="s">
        <v>49293</v>
      </c>
      <c r="BT3105" s="1" t="str">
        <f>HYPERLINK("https%3A%2F%2Fwww.webofscience.com%2Fwos%2Fwoscc%2Ffull-record%2FWOS:000223209300007","View Full Record in Web of Science")</f>
        <v>View Full Record in Web of Science</v>
      </c>
      <c r="BU3105" s="1"/>
      <c r="BV3105" s="1"/>
    </row>
    <row r="3106" spans="1:74">
      <c r="A3106" s="1" t="s">
        <v>72</v>
      </c>
      <c r="B3106" s="1" t="s">
        <v>49294</v>
      </c>
      <c r="C3106" s="1" t="s">
        <v>74</v>
      </c>
      <c r="D3106" s="1" t="s">
        <v>74</v>
      </c>
      <c r="E3106" s="1" t="s">
        <v>74</v>
      </c>
      <c r="F3106" s="1" t="s">
        <v>49295</v>
      </c>
      <c r="G3106" s="1" t="s">
        <v>74</v>
      </c>
      <c r="H3106" s="1" t="s">
        <v>74</v>
      </c>
      <c r="I3106" s="1" t="s">
        <v>49296</v>
      </c>
      <c r="J3106" s="1" t="s">
        <v>421</v>
      </c>
      <c r="K3106" s="1" t="s">
        <v>74</v>
      </c>
      <c r="L3106" s="1" t="s">
        <v>74</v>
      </c>
      <c r="M3106" s="1" t="s">
        <v>78</v>
      </c>
      <c r="N3106" s="1" t="s">
        <v>79</v>
      </c>
      <c r="O3106" s="1" t="s">
        <v>74</v>
      </c>
      <c r="P3106" s="1" t="s">
        <v>74</v>
      </c>
      <c r="Q3106" s="1" t="s">
        <v>74</v>
      </c>
      <c r="R3106" s="1" t="s">
        <v>74</v>
      </c>
      <c r="S3106" s="1" t="s">
        <v>74</v>
      </c>
      <c r="T3106" s="1" t="s">
        <v>49297</v>
      </c>
      <c r="U3106" s="1" t="s">
        <v>49298</v>
      </c>
      <c r="V3106" s="1" t="s">
        <v>49299</v>
      </c>
      <c r="W3106" s="1" t="s">
        <v>49300</v>
      </c>
      <c r="X3106" s="1" t="s">
        <v>49301</v>
      </c>
      <c r="Y3106" s="1" t="s">
        <v>49302</v>
      </c>
      <c r="Z3106" s="1" t="s">
        <v>49303</v>
      </c>
      <c r="AA3106" s="1" t="s">
        <v>74</v>
      </c>
      <c r="AB3106" s="1" t="s">
        <v>74</v>
      </c>
      <c r="AC3106" s="1" t="s">
        <v>74</v>
      </c>
      <c r="AD3106" s="1" t="s">
        <v>74</v>
      </c>
      <c r="AE3106" s="1" t="s">
        <v>74</v>
      </c>
      <c r="AF3106" s="1" t="s">
        <v>74</v>
      </c>
      <c r="AG3106" s="1">
        <v>47</v>
      </c>
      <c r="AH3106" s="1">
        <v>118</v>
      </c>
      <c r="AI3106" s="1">
        <v>129</v>
      </c>
      <c r="AJ3106" s="1">
        <v>2</v>
      </c>
      <c r="AK3106" s="1">
        <v>82</v>
      </c>
      <c r="AL3106" s="1" t="s">
        <v>430</v>
      </c>
      <c r="AM3106" s="1" t="s">
        <v>137</v>
      </c>
      <c r="AN3106" s="1" t="s">
        <v>431</v>
      </c>
      <c r="AO3106" s="1" t="s">
        <v>432</v>
      </c>
      <c r="AP3106" s="1" t="s">
        <v>1394</v>
      </c>
      <c r="AQ3106" s="1" t="s">
        <v>74</v>
      </c>
      <c r="AR3106" s="1" t="s">
        <v>433</v>
      </c>
      <c r="AS3106" s="1" t="s">
        <v>434</v>
      </c>
      <c r="AT3106" s="1" t="s">
        <v>142</v>
      </c>
      <c r="AU3106" s="1">
        <v>2011</v>
      </c>
      <c r="AV3106" s="1">
        <v>159</v>
      </c>
      <c r="AW3106" s="1">
        <v>6</v>
      </c>
      <c r="AX3106" s="1" t="s">
        <v>74</v>
      </c>
      <c r="AY3106" s="1" t="s">
        <v>74</v>
      </c>
      <c r="AZ3106" s="1" t="s">
        <v>74</v>
      </c>
      <c r="BA3106" s="1" t="s">
        <v>74</v>
      </c>
      <c r="BB3106" s="1">
        <v>1702</v>
      </c>
      <c r="BC3106" s="1">
        <v>1708</v>
      </c>
      <c r="BD3106" s="1" t="s">
        <v>74</v>
      </c>
      <c r="BE3106" s="1" t="s">
        <v>49304</v>
      </c>
      <c r="BF3106" s="1" t="str">
        <f>HYPERLINK("http://dx.doi.org/10.1016/j.envpol.2011.02.032","http://dx.doi.org/10.1016/j.envpol.2011.02.032")</f>
        <v>http://dx.doi.org/10.1016/j.envpol.2011.02.032</v>
      </c>
      <c r="BG3106" s="1" t="s">
        <v>74</v>
      </c>
      <c r="BH3106" s="1" t="s">
        <v>74</v>
      </c>
      <c r="BI3106" s="1">
        <v>7</v>
      </c>
      <c r="BJ3106" s="1" t="s">
        <v>144</v>
      </c>
      <c r="BK3106" s="1" t="s">
        <v>96</v>
      </c>
      <c r="BL3106" s="1" t="s">
        <v>145</v>
      </c>
      <c r="BM3106" s="1" t="s">
        <v>20599</v>
      </c>
      <c r="BN3106" s="1">
        <v>21429642</v>
      </c>
      <c r="BO3106" s="1" t="s">
        <v>74</v>
      </c>
      <c r="BP3106" s="1" t="s">
        <v>74</v>
      </c>
      <c r="BQ3106" s="1" t="s">
        <v>74</v>
      </c>
      <c r="BR3106" s="1" t="s">
        <v>98</v>
      </c>
      <c r="BS3106" s="1" t="s">
        <v>49305</v>
      </c>
      <c r="BT3106" s="1" t="str">
        <f>HYPERLINK("https%3A%2F%2Fwww.webofscience.com%2Fwos%2Fwoscc%2Ffull-record%2FWOS:000290839900031","View Full Record in Web of Science")</f>
        <v>View Full Record in Web of Science</v>
      </c>
      <c r="BU3106" s="1"/>
      <c r="BV3106" s="1"/>
    </row>
    <row r="3107" spans="1:74">
      <c r="A3107" s="1" t="s">
        <v>72</v>
      </c>
      <c r="B3107" s="1" t="s">
        <v>49306</v>
      </c>
      <c r="C3107" s="1" t="s">
        <v>74</v>
      </c>
      <c r="D3107" s="1" t="s">
        <v>74</v>
      </c>
      <c r="E3107" s="1" t="s">
        <v>74</v>
      </c>
      <c r="F3107" s="1" t="s">
        <v>49306</v>
      </c>
      <c r="G3107" s="1" t="s">
        <v>74</v>
      </c>
      <c r="H3107" s="1" t="s">
        <v>74</v>
      </c>
      <c r="I3107" s="1" t="s">
        <v>49307</v>
      </c>
      <c r="J3107" s="1" t="s">
        <v>127</v>
      </c>
      <c r="K3107" s="1" t="s">
        <v>74</v>
      </c>
      <c r="L3107" s="1" t="s">
        <v>74</v>
      </c>
      <c r="M3107" s="1" t="s">
        <v>78</v>
      </c>
      <c r="N3107" s="1" t="s">
        <v>79</v>
      </c>
      <c r="O3107" s="1" t="s">
        <v>74</v>
      </c>
      <c r="P3107" s="1" t="s">
        <v>74</v>
      </c>
      <c r="Q3107" s="1" t="s">
        <v>74</v>
      </c>
      <c r="R3107" s="1" t="s">
        <v>74</v>
      </c>
      <c r="S3107" s="1" t="s">
        <v>74</v>
      </c>
      <c r="T3107" s="1" t="s">
        <v>74</v>
      </c>
      <c r="U3107" s="1" t="s">
        <v>49308</v>
      </c>
      <c r="V3107" s="1" t="s">
        <v>49309</v>
      </c>
      <c r="W3107" s="1" t="s">
        <v>49310</v>
      </c>
      <c r="X3107" s="1" t="s">
        <v>445</v>
      </c>
      <c r="Y3107" s="1" t="s">
        <v>49311</v>
      </c>
      <c r="Z3107" s="1" t="s">
        <v>74</v>
      </c>
      <c r="AA3107" s="1" t="s">
        <v>49312</v>
      </c>
      <c r="AB3107" s="1" t="s">
        <v>49313</v>
      </c>
      <c r="AC3107" s="1" t="s">
        <v>74</v>
      </c>
      <c r="AD3107" s="1" t="s">
        <v>74</v>
      </c>
      <c r="AE3107" s="1" t="s">
        <v>74</v>
      </c>
      <c r="AF3107" s="1" t="s">
        <v>74</v>
      </c>
      <c r="AG3107" s="1">
        <v>33</v>
      </c>
      <c r="AH3107" s="1">
        <v>26</v>
      </c>
      <c r="AI3107" s="1">
        <v>29</v>
      </c>
      <c r="AJ3107" s="1">
        <v>0</v>
      </c>
      <c r="AK3107" s="1">
        <v>31</v>
      </c>
      <c r="AL3107" s="1" t="s">
        <v>136</v>
      </c>
      <c r="AM3107" s="1" t="s">
        <v>137</v>
      </c>
      <c r="AN3107" s="1" t="s">
        <v>138</v>
      </c>
      <c r="AO3107" s="1" t="s">
        <v>139</v>
      </c>
      <c r="AP3107" s="1" t="s">
        <v>74</v>
      </c>
      <c r="AQ3107" s="1" t="s">
        <v>74</v>
      </c>
      <c r="AR3107" s="1" t="s">
        <v>127</v>
      </c>
      <c r="AS3107" s="1" t="s">
        <v>141</v>
      </c>
      <c r="AT3107" s="1" t="s">
        <v>142</v>
      </c>
      <c r="AU3107" s="1">
        <v>1999</v>
      </c>
      <c r="AV3107" s="1">
        <v>38</v>
      </c>
      <c r="AW3107" s="1">
        <v>13</v>
      </c>
      <c r="AX3107" s="1" t="s">
        <v>74</v>
      </c>
      <c r="AY3107" s="1" t="s">
        <v>74</v>
      </c>
      <c r="AZ3107" s="1" t="s">
        <v>74</v>
      </c>
      <c r="BA3107" s="1" t="s">
        <v>74</v>
      </c>
      <c r="BB3107" s="1">
        <v>3075</v>
      </c>
      <c r="BC3107" s="1">
        <v>3093</v>
      </c>
      <c r="BD3107" s="1" t="s">
        <v>74</v>
      </c>
      <c r="BE3107" s="1" t="s">
        <v>49314</v>
      </c>
      <c r="BF3107" s="1" t="str">
        <f>HYPERLINK("http://dx.doi.org/10.1016/S0045-6535(98)00514-1","http://dx.doi.org/10.1016/S0045-6535(98)00514-1")</f>
        <v>http://dx.doi.org/10.1016/S0045-6535(98)00514-1</v>
      </c>
      <c r="BG3107" s="1" t="s">
        <v>74</v>
      </c>
      <c r="BH3107" s="1" t="s">
        <v>74</v>
      </c>
      <c r="BI3107" s="1">
        <v>19</v>
      </c>
      <c r="BJ3107" s="1" t="s">
        <v>144</v>
      </c>
      <c r="BK3107" s="1" t="s">
        <v>96</v>
      </c>
      <c r="BL3107" s="1" t="s">
        <v>145</v>
      </c>
      <c r="BM3107" s="1" t="s">
        <v>49315</v>
      </c>
      <c r="BN3107" s="1">
        <v>10230048</v>
      </c>
      <c r="BO3107" s="1" t="s">
        <v>74</v>
      </c>
      <c r="BP3107" s="1" t="s">
        <v>74</v>
      </c>
      <c r="BQ3107" s="1" t="s">
        <v>74</v>
      </c>
      <c r="BR3107" s="1" t="s">
        <v>98</v>
      </c>
      <c r="BS3107" s="1" t="s">
        <v>49316</v>
      </c>
      <c r="BT3107" s="1" t="str">
        <f>HYPERLINK("https%3A%2F%2Fwww.webofscience.com%2Fwos%2Fwoscc%2Ffull-record%2FWOS:000079590300011","View Full Record in Web of Science")</f>
        <v>View Full Record in Web of Science</v>
      </c>
      <c r="BU3107" s="1"/>
      <c r="BV3107" s="1"/>
    </row>
    <row r="3108" spans="1:74">
      <c r="A3108" s="1" t="s">
        <v>72</v>
      </c>
      <c r="B3108" s="1" t="s">
        <v>49317</v>
      </c>
      <c r="C3108" s="1" t="s">
        <v>74</v>
      </c>
      <c r="D3108" s="1" t="s">
        <v>74</v>
      </c>
      <c r="E3108" s="1" t="s">
        <v>74</v>
      </c>
      <c r="F3108" s="1" t="s">
        <v>49317</v>
      </c>
      <c r="G3108" s="1" t="s">
        <v>74</v>
      </c>
      <c r="H3108" s="1" t="s">
        <v>74</v>
      </c>
      <c r="I3108" s="1" t="s">
        <v>49318</v>
      </c>
      <c r="J3108" s="1" t="s">
        <v>49319</v>
      </c>
      <c r="K3108" s="1" t="s">
        <v>74</v>
      </c>
      <c r="L3108" s="1" t="s">
        <v>74</v>
      </c>
      <c r="M3108" s="1" t="s">
        <v>78</v>
      </c>
      <c r="N3108" s="1" t="s">
        <v>79</v>
      </c>
      <c r="O3108" s="1" t="s">
        <v>74</v>
      </c>
      <c r="P3108" s="1" t="s">
        <v>74</v>
      </c>
      <c r="Q3108" s="1" t="s">
        <v>74</v>
      </c>
      <c r="R3108" s="1" t="s">
        <v>74</v>
      </c>
      <c r="S3108" s="1" t="s">
        <v>74</v>
      </c>
      <c r="T3108" s="1" t="s">
        <v>49320</v>
      </c>
      <c r="U3108" s="1" t="s">
        <v>49321</v>
      </c>
      <c r="V3108" s="1" t="s">
        <v>49322</v>
      </c>
      <c r="W3108" s="1" t="s">
        <v>49323</v>
      </c>
      <c r="X3108" s="1" t="s">
        <v>49324</v>
      </c>
      <c r="Y3108" s="1" t="s">
        <v>74</v>
      </c>
      <c r="Z3108" s="1" t="s">
        <v>49325</v>
      </c>
      <c r="AA3108" s="1" t="s">
        <v>74</v>
      </c>
      <c r="AB3108" s="1" t="s">
        <v>74</v>
      </c>
      <c r="AC3108" s="1" t="s">
        <v>74</v>
      </c>
      <c r="AD3108" s="1" t="s">
        <v>74</v>
      </c>
      <c r="AE3108" s="1" t="s">
        <v>74</v>
      </c>
      <c r="AF3108" s="1" t="s">
        <v>74</v>
      </c>
      <c r="AG3108" s="1">
        <v>64</v>
      </c>
      <c r="AH3108" s="1">
        <v>4</v>
      </c>
      <c r="AI3108" s="1">
        <v>6</v>
      </c>
      <c r="AJ3108" s="1">
        <v>0</v>
      </c>
      <c r="AK3108" s="1">
        <v>8</v>
      </c>
      <c r="AL3108" s="1" t="s">
        <v>2074</v>
      </c>
      <c r="AM3108" s="1" t="s">
        <v>2075</v>
      </c>
      <c r="AN3108" s="1" t="s">
        <v>5365</v>
      </c>
      <c r="AO3108" s="1" t="s">
        <v>49326</v>
      </c>
      <c r="AP3108" s="1" t="s">
        <v>74</v>
      </c>
      <c r="AQ3108" s="1" t="s">
        <v>74</v>
      </c>
      <c r="AR3108" s="1" t="s">
        <v>49319</v>
      </c>
      <c r="AS3108" s="1" t="s">
        <v>49327</v>
      </c>
      <c r="AT3108" s="1" t="s">
        <v>1223</v>
      </c>
      <c r="AU3108" s="1">
        <v>2002</v>
      </c>
      <c r="AV3108" s="1">
        <v>18</v>
      </c>
      <c r="AW3108" s="1">
        <v>1</v>
      </c>
      <c r="AX3108" s="1" t="s">
        <v>74</v>
      </c>
      <c r="AY3108" s="1" t="s">
        <v>74</v>
      </c>
      <c r="AZ3108" s="1" t="s">
        <v>74</v>
      </c>
      <c r="BA3108" s="1" t="s">
        <v>74</v>
      </c>
      <c r="BB3108" s="1">
        <v>29</v>
      </c>
      <c r="BC3108" s="1">
        <v>36</v>
      </c>
      <c r="BD3108" s="1" t="s">
        <v>74</v>
      </c>
      <c r="BE3108" s="1" t="s">
        <v>49328</v>
      </c>
      <c r="BF3108" s="1" t="str">
        <f>HYPERLINK("http://dx.doi.org/10.1080/08927010290017707","http://dx.doi.org/10.1080/08927010290017707")</f>
        <v>http://dx.doi.org/10.1080/08927010290017707</v>
      </c>
      <c r="BG3108" s="1" t="s">
        <v>74</v>
      </c>
      <c r="BH3108" s="1" t="s">
        <v>74</v>
      </c>
      <c r="BI3108" s="1">
        <v>8</v>
      </c>
      <c r="BJ3108" s="1" t="s">
        <v>12933</v>
      </c>
      <c r="BK3108" s="1" t="s">
        <v>96</v>
      </c>
      <c r="BL3108" s="1" t="s">
        <v>12933</v>
      </c>
      <c r="BM3108" s="1" t="s">
        <v>49329</v>
      </c>
      <c r="BN3108" s="1" t="s">
        <v>74</v>
      </c>
      <c r="BO3108" s="1" t="s">
        <v>74</v>
      </c>
      <c r="BP3108" s="1" t="s">
        <v>74</v>
      </c>
      <c r="BQ3108" s="1" t="s">
        <v>74</v>
      </c>
      <c r="BR3108" s="1" t="s">
        <v>98</v>
      </c>
      <c r="BS3108" s="1" t="s">
        <v>49330</v>
      </c>
      <c r="BT3108" s="1" t="str">
        <f>HYPERLINK("https%3A%2F%2Fwww.webofscience.com%2Fwos%2Fwoscc%2Ffull-record%2FWOS:000175989400004","View Full Record in Web of Science")</f>
        <v>View Full Record in Web of Science</v>
      </c>
      <c r="BU3108" s="1"/>
      <c r="BV3108" s="1"/>
    </row>
    <row r="3109" spans="1:74">
      <c r="A3109" s="1" t="s">
        <v>72</v>
      </c>
      <c r="B3109" s="1" t="s">
        <v>49331</v>
      </c>
      <c r="C3109" s="1" t="s">
        <v>74</v>
      </c>
      <c r="D3109" s="1" t="s">
        <v>74</v>
      </c>
      <c r="E3109" s="1" t="s">
        <v>74</v>
      </c>
      <c r="F3109" s="1" t="s">
        <v>49332</v>
      </c>
      <c r="G3109" s="1" t="s">
        <v>74</v>
      </c>
      <c r="H3109" s="1" t="s">
        <v>74</v>
      </c>
      <c r="I3109" s="1" t="s">
        <v>49333</v>
      </c>
      <c r="J3109" s="1" t="s">
        <v>127</v>
      </c>
      <c r="K3109" s="1" t="s">
        <v>74</v>
      </c>
      <c r="L3109" s="1" t="s">
        <v>74</v>
      </c>
      <c r="M3109" s="1" t="s">
        <v>78</v>
      </c>
      <c r="N3109" s="1" t="s">
        <v>79</v>
      </c>
      <c r="O3109" s="1" t="s">
        <v>74</v>
      </c>
      <c r="P3109" s="1" t="s">
        <v>74</v>
      </c>
      <c r="Q3109" s="1" t="s">
        <v>74</v>
      </c>
      <c r="R3109" s="1" t="s">
        <v>74</v>
      </c>
      <c r="S3109" s="1" t="s">
        <v>74</v>
      </c>
      <c r="T3109" s="1" t="s">
        <v>49334</v>
      </c>
      <c r="U3109" s="1" t="s">
        <v>49335</v>
      </c>
      <c r="V3109" s="1" t="s">
        <v>49336</v>
      </c>
      <c r="W3109" s="1" t="s">
        <v>49337</v>
      </c>
      <c r="X3109" s="1" t="s">
        <v>36991</v>
      </c>
      <c r="Y3109" s="1" t="s">
        <v>49338</v>
      </c>
      <c r="Z3109" s="1" t="s">
        <v>49339</v>
      </c>
      <c r="AA3109" s="1" t="s">
        <v>49340</v>
      </c>
      <c r="AB3109" s="1" t="s">
        <v>49341</v>
      </c>
      <c r="AC3109" s="1" t="s">
        <v>49342</v>
      </c>
      <c r="AD3109" s="1" t="s">
        <v>49343</v>
      </c>
      <c r="AE3109" s="1" t="s">
        <v>49344</v>
      </c>
      <c r="AF3109" s="1" t="s">
        <v>74</v>
      </c>
      <c r="AG3109" s="1">
        <v>54</v>
      </c>
      <c r="AH3109" s="1">
        <v>11</v>
      </c>
      <c r="AI3109" s="1">
        <v>12</v>
      </c>
      <c r="AJ3109" s="1">
        <v>3</v>
      </c>
      <c r="AK3109" s="1">
        <v>28</v>
      </c>
      <c r="AL3109" s="1" t="s">
        <v>136</v>
      </c>
      <c r="AM3109" s="1" t="s">
        <v>137</v>
      </c>
      <c r="AN3109" s="1" t="s">
        <v>138</v>
      </c>
      <c r="AO3109" s="1" t="s">
        <v>139</v>
      </c>
      <c r="AP3109" s="1" t="s">
        <v>140</v>
      </c>
      <c r="AQ3109" s="1" t="s">
        <v>74</v>
      </c>
      <c r="AR3109" s="1" t="s">
        <v>127</v>
      </c>
      <c r="AS3109" s="1" t="s">
        <v>141</v>
      </c>
      <c r="AT3109" s="1" t="s">
        <v>1470</v>
      </c>
      <c r="AU3109" s="1">
        <v>2023</v>
      </c>
      <c r="AV3109" s="1">
        <v>311</v>
      </c>
      <c r="AW3109" s="1" t="s">
        <v>74</v>
      </c>
      <c r="AX3109" s="1">
        <v>2</v>
      </c>
      <c r="AY3109" s="1" t="s">
        <v>74</v>
      </c>
      <c r="AZ3109" s="1" t="s">
        <v>74</v>
      </c>
      <c r="BA3109" s="1" t="s">
        <v>74</v>
      </c>
      <c r="BB3109" s="1" t="s">
        <v>74</v>
      </c>
      <c r="BC3109" s="1" t="s">
        <v>74</v>
      </c>
      <c r="BD3109" s="1">
        <v>137087</v>
      </c>
      <c r="BE3109" s="1" t="s">
        <v>49345</v>
      </c>
      <c r="BF3109" s="1" t="str">
        <f>HYPERLINK("http://dx.doi.org/10.1016/j.chemosphere.2022.137087","http://dx.doi.org/10.1016/j.chemosphere.2022.137087")</f>
        <v>http://dx.doi.org/10.1016/j.chemosphere.2022.137087</v>
      </c>
      <c r="BG3109" s="1" t="s">
        <v>74</v>
      </c>
      <c r="BH3109" s="1" t="s">
        <v>699</v>
      </c>
      <c r="BI3109" s="1">
        <v>11</v>
      </c>
      <c r="BJ3109" s="1" t="s">
        <v>144</v>
      </c>
      <c r="BK3109" s="1" t="s">
        <v>96</v>
      </c>
      <c r="BL3109" s="1" t="s">
        <v>145</v>
      </c>
      <c r="BM3109" s="1" t="s">
        <v>49346</v>
      </c>
      <c r="BN3109" s="1">
        <v>36332739</v>
      </c>
      <c r="BO3109" s="1" t="s">
        <v>2784</v>
      </c>
      <c r="BP3109" s="1" t="s">
        <v>74</v>
      </c>
      <c r="BQ3109" s="1" t="s">
        <v>74</v>
      </c>
      <c r="BR3109" s="1" t="s">
        <v>98</v>
      </c>
      <c r="BS3109" s="1" t="s">
        <v>49347</v>
      </c>
      <c r="BT3109" s="1" t="str">
        <f>HYPERLINK("https%3A%2F%2Fwww.webofscience.com%2Fwos%2Fwoscc%2Ffull-record%2FWOS:000903882700003","View Full Record in Web of Science")</f>
        <v>View Full Record in Web of Science</v>
      </c>
      <c r="BU3109" s="1"/>
      <c r="BV3109" s="1"/>
    </row>
    <row r="3110" spans="1:74">
      <c r="A3110" s="1" t="s">
        <v>72</v>
      </c>
      <c r="B3110" s="1" t="s">
        <v>49348</v>
      </c>
      <c r="C3110" s="1" t="s">
        <v>74</v>
      </c>
      <c r="D3110" s="1" t="s">
        <v>74</v>
      </c>
      <c r="E3110" s="1" t="s">
        <v>74</v>
      </c>
      <c r="F3110" s="1" t="s">
        <v>49349</v>
      </c>
      <c r="G3110" s="1" t="s">
        <v>74</v>
      </c>
      <c r="H3110" s="1" t="s">
        <v>74</v>
      </c>
      <c r="I3110" s="1" t="s">
        <v>49350</v>
      </c>
      <c r="J3110" s="1" t="s">
        <v>421</v>
      </c>
      <c r="K3110" s="1" t="s">
        <v>74</v>
      </c>
      <c r="L3110" s="1" t="s">
        <v>74</v>
      </c>
      <c r="M3110" s="1" t="s">
        <v>78</v>
      </c>
      <c r="N3110" s="1" t="s">
        <v>79</v>
      </c>
      <c r="O3110" s="1" t="s">
        <v>74</v>
      </c>
      <c r="P3110" s="1" t="s">
        <v>74</v>
      </c>
      <c r="Q3110" s="1" t="s">
        <v>74</v>
      </c>
      <c r="R3110" s="1" t="s">
        <v>74</v>
      </c>
      <c r="S3110" s="1" t="s">
        <v>74</v>
      </c>
      <c r="T3110" s="1" t="s">
        <v>49351</v>
      </c>
      <c r="U3110" s="1" t="s">
        <v>49352</v>
      </c>
      <c r="V3110" s="1" t="s">
        <v>49353</v>
      </c>
      <c r="W3110" s="1" t="s">
        <v>49354</v>
      </c>
      <c r="X3110" s="1" t="s">
        <v>10928</v>
      </c>
      <c r="Y3110" s="1" t="s">
        <v>49355</v>
      </c>
      <c r="Z3110" s="1" t="s">
        <v>3709</v>
      </c>
      <c r="AA3110" s="1" t="s">
        <v>10930</v>
      </c>
      <c r="AB3110" s="1" t="s">
        <v>10931</v>
      </c>
      <c r="AC3110" s="1" t="s">
        <v>49356</v>
      </c>
      <c r="AD3110" s="1" t="s">
        <v>49357</v>
      </c>
      <c r="AE3110" s="1" t="s">
        <v>49358</v>
      </c>
      <c r="AF3110" s="1" t="s">
        <v>74</v>
      </c>
      <c r="AG3110" s="1">
        <v>75</v>
      </c>
      <c r="AH3110" s="1">
        <v>16</v>
      </c>
      <c r="AI3110" s="1">
        <v>17</v>
      </c>
      <c r="AJ3110" s="1">
        <v>12</v>
      </c>
      <c r="AK3110" s="1">
        <v>105</v>
      </c>
      <c r="AL3110" s="1" t="s">
        <v>430</v>
      </c>
      <c r="AM3110" s="1" t="s">
        <v>137</v>
      </c>
      <c r="AN3110" s="1" t="s">
        <v>431</v>
      </c>
      <c r="AO3110" s="1" t="s">
        <v>432</v>
      </c>
      <c r="AP3110" s="1" t="s">
        <v>1394</v>
      </c>
      <c r="AQ3110" s="1" t="s">
        <v>74</v>
      </c>
      <c r="AR3110" s="1" t="s">
        <v>433</v>
      </c>
      <c r="AS3110" s="1" t="s">
        <v>434</v>
      </c>
      <c r="AT3110" s="1" t="s">
        <v>197</v>
      </c>
      <c r="AU3110" s="1">
        <v>2019</v>
      </c>
      <c r="AV3110" s="1">
        <v>255</v>
      </c>
      <c r="AW3110" s="1" t="s">
        <v>74</v>
      </c>
      <c r="AX3110" s="1">
        <v>2</v>
      </c>
      <c r="AY3110" s="1" t="s">
        <v>74</v>
      </c>
      <c r="AZ3110" s="1" t="s">
        <v>74</v>
      </c>
      <c r="BA3110" s="1" t="s">
        <v>74</v>
      </c>
      <c r="BB3110" s="1" t="s">
        <v>74</v>
      </c>
      <c r="BC3110" s="1" t="s">
        <v>74</v>
      </c>
      <c r="BD3110" s="1">
        <v>113333</v>
      </c>
      <c r="BE3110" s="1" t="s">
        <v>49359</v>
      </c>
      <c r="BF3110" s="1" t="str">
        <f>HYPERLINK("http://dx.doi.org/10.1016/j.envpol.2019.113333","http://dx.doi.org/10.1016/j.envpol.2019.113333")</f>
        <v>http://dx.doi.org/10.1016/j.envpol.2019.113333</v>
      </c>
      <c r="BG3110" s="1" t="s">
        <v>74</v>
      </c>
      <c r="BH3110" s="1" t="s">
        <v>74</v>
      </c>
      <c r="BI3110" s="1">
        <v>11</v>
      </c>
      <c r="BJ3110" s="1" t="s">
        <v>144</v>
      </c>
      <c r="BK3110" s="1" t="s">
        <v>96</v>
      </c>
      <c r="BL3110" s="1" t="s">
        <v>145</v>
      </c>
      <c r="BM3110" s="1" t="s">
        <v>49360</v>
      </c>
      <c r="BN3110" s="1">
        <v>31610518</v>
      </c>
      <c r="BO3110" s="1" t="s">
        <v>1752</v>
      </c>
      <c r="BP3110" s="1" t="s">
        <v>74</v>
      </c>
      <c r="BQ3110" s="1" t="s">
        <v>74</v>
      </c>
      <c r="BR3110" s="1" t="s">
        <v>98</v>
      </c>
      <c r="BS3110" s="1" t="s">
        <v>49361</v>
      </c>
      <c r="BT3110" s="1" t="str">
        <f>HYPERLINK("https%3A%2F%2Fwww.webofscience.com%2Fwos%2Fwoscc%2Ffull-record%2FWOS:000498340400088","View Full Record in Web of Science")</f>
        <v>View Full Record in Web of Science</v>
      </c>
      <c r="BU3110" s="1"/>
      <c r="BV3110" s="1"/>
    </row>
    <row r="3111" spans="1:74">
      <c r="A3111" s="1" t="s">
        <v>72</v>
      </c>
      <c r="B3111" s="1" t="s">
        <v>49362</v>
      </c>
      <c r="C3111" s="1" t="s">
        <v>74</v>
      </c>
      <c r="D3111" s="1" t="s">
        <v>74</v>
      </c>
      <c r="E3111" s="1" t="s">
        <v>74</v>
      </c>
      <c r="F3111" s="1" t="s">
        <v>49363</v>
      </c>
      <c r="G3111" s="1" t="s">
        <v>74</v>
      </c>
      <c r="H3111" s="1" t="s">
        <v>74</v>
      </c>
      <c r="I3111" s="1" t="s">
        <v>49364</v>
      </c>
      <c r="J3111" s="1" t="s">
        <v>909</v>
      </c>
      <c r="K3111" s="1" t="s">
        <v>74</v>
      </c>
      <c r="L3111" s="1" t="s">
        <v>74</v>
      </c>
      <c r="M3111" s="1" t="s">
        <v>78</v>
      </c>
      <c r="N3111" s="1" t="s">
        <v>79</v>
      </c>
      <c r="O3111" s="1" t="s">
        <v>74</v>
      </c>
      <c r="P3111" s="1" t="s">
        <v>74</v>
      </c>
      <c r="Q3111" s="1" t="s">
        <v>74</v>
      </c>
      <c r="R3111" s="1" t="s">
        <v>74</v>
      </c>
      <c r="S3111" s="1" t="s">
        <v>74</v>
      </c>
      <c r="T3111" s="1" t="s">
        <v>49365</v>
      </c>
      <c r="U3111" s="1" t="s">
        <v>49366</v>
      </c>
      <c r="V3111" s="1" t="s">
        <v>49367</v>
      </c>
      <c r="W3111" s="1" t="s">
        <v>49368</v>
      </c>
      <c r="X3111" s="1" t="s">
        <v>49369</v>
      </c>
      <c r="Y3111" s="1" t="s">
        <v>49370</v>
      </c>
      <c r="Z3111" s="1" t="s">
        <v>49371</v>
      </c>
      <c r="AA3111" s="1" t="s">
        <v>49372</v>
      </c>
      <c r="AB3111" s="1" t="s">
        <v>49373</v>
      </c>
      <c r="AC3111" s="1" t="s">
        <v>49374</v>
      </c>
      <c r="AD3111" s="1" t="s">
        <v>49375</v>
      </c>
      <c r="AE3111" s="1" t="s">
        <v>49376</v>
      </c>
      <c r="AF3111" s="1" t="s">
        <v>74</v>
      </c>
      <c r="AG3111" s="1">
        <v>54</v>
      </c>
      <c r="AH3111" s="1">
        <v>16</v>
      </c>
      <c r="AI3111" s="1">
        <v>20</v>
      </c>
      <c r="AJ3111" s="1">
        <v>1</v>
      </c>
      <c r="AK3111" s="1">
        <v>41</v>
      </c>
      <c r="AL3111" s="1" t="s">
        <v>919</v>
      </c>
      <c r="AM3111" s="1" t="s">
        <v>651</v>
      </c>
      <c r="AN3111" s="1" t="s">
        <v>920</v>
      </c>
      <c r="AO3111" s="1" t="s">
        <v>921</v>
      </c>
      <c r="AP3111" s="1" t="s">
        <v>74</v>
      </c>
      <c r="AQ3111" s="1" t="s">
        <v>74</v>
      </c>
      <c r="AR3111" s="1" t="s">
        <v>923</v>
      </c>
      <c r="AS3111" s="1" t="s">
        <v>924</v>
      </c>
      <c r="AT3111" s="1" t="s">
        <v>3237</v>
      </c>
      <c r="AU3111" s="1">
        <v>2013</v>
      </c>
      <c r="AV3111" s="1">
        <v>461</v>
      </c>
      <c r="AW3111" s="1" t="s">
        <v>74</v>
      </c>
      <c r="AX3111" s="1" t="s">
        <v>74</v>
      </c>
      <c r="AY3111" s="1" t="s">
        <v>74</v>
      </c>
      <c r="AZ3111" s="1" t="s">
        <v>74</v>
      </c>
      <c r="BA3111" s="1" t="s">
        <v>74</v>
      </c>
      <c r="BB3111" s="1">
        <v>188</v>
      </c>
      <c r="BC3111" s="1">
        <v>197</v>
      </c>
      <c r="BD3111" s="1" t="s">
        <v>74</v>
      </c>
      <c r="BE3111" s="1" t="s">
        <v>49377</v>
      </c>
      <c r="BF3111" s="1" t="str">
        <f>HYPERLINK("http://dx.doi.org/10.1016/j.scitotenv.2013.04.096","http://dx.doi.org/10.1016/j.scitotenv.2013.04.096")</f>
        <v>http://dx.doi.org/10.1016/j.scitotenv.2013.04.096</v>
      </c>
      <c r="BG3111" s="1" t="s">
        <v>74</v>
      </c>
      <c r="BH3111" s="1" t="s">
        <v>74</v>
      </c>
      <c r="BI3111" s="1">
        <v>10</v>
      </c>
      <c r="BJ3111" s="1" t="s">
        <v>144</v>
      </c>
      <c r="BK3111" s="1" t="s">
        <v>96</v>
      </c>
      <c r="BL3111" s="1" t="s">
        <v>145</v>
      </c>
      <c r="BM3111" s="1" t="s">
        <v>49378</v>
      </c>
      <c r="BN3111" s="1">
        <v>23727603</v>
      </c>
      <c r="BO3111" s="1" t="s">
        <v>1752</v>
      </c>
      <c r="BP3111" s="1" t="s">
        <v>74</v>
      </c>
      <c r="BQ3111" s="1" t="s">
        <v>74</v>
      </c>
      <c r="BR3111" s="1" t="s">
        <v>98</v>
      </c>
      <c r="BS3111" s="1" t="s">
        <v>49379</v>
      </c>
      <c r="BT3111" s="1" t="str">
        <f>HYPERLINK("https%3A%2F%2Fwww.webofscience.com%2Fwos%2Fwoscc%2Ffull-record%2FWOS:000323851500021","View Full Record in Web of Science")</f>
        <v>View Full Record in Web of Science</v>
      </c>
      <c r="BU3111" s="1"/>
      <c r="BV3111" s="1"/>
    </row>
    <row r="3112" spans="1:74">
      <c r="A3112" s="1" t="s">
        <v>72</v>
      </c>
      <c r="B3112" s="1" t="s">
        <v>49380</v>
      </c>
      <c r="C3112" s="1" t="s">
        <v>74</v>
      </c>
      <c r="D3112" s="1" t="s">
        <v>74</v>
      </c>
      <c r="E3112" s="1" t="s">
        <v>74</v>
      </c>
      <c r="F3112" s="1" t="s">
        <v>49381</v>
      </c>
      <c r="G3112" s="1" t="s">
        <v>74</v>
      </c>
      <c r="H3112" s="1" t="s">
        <v>74</v>
      </c>
      <c r="I3112" s="1" t="s">
        <v>49382</v>
      </c>
      <c r="J3112" s="1" t="s">
        <v>1202</v>
      </c>
      <c r="K3112" s="1" t="s">
        <v>74</v>
      </c>
      <c r="L3112" s="1" t="s">
        <v>74</v>
      </c>
      <c r="M3112" s="1" t="s">
        <v>78</v>
      </c>
      <c r="N3112" s="1" t="s">
        <v>79</v>
      </c>
      <c r="O3112" s="1" t="s">
        <v>74</v>
      </c>
      <c r="P3112" s="1" t="s">
        <v>74</v>
      </c>
      <c r="Q3112" s="1" t="s">
        <v>74</v>
      </c>
      <c r="R3112" s="1" t="s">
        <v>74</v>
      </c>
      <c r="S3112" s="1" t="s">
        <v>74</v>
      </c>
      <c r="T3112" s="1" t="s">
        <v>49383</v>
      </c>
      <c r="U3112" s="1" t="s">
        <v>49384</v>
      </c>
      <c r="V3112" s="1" t="s">
        <v>49385</v>
      </c>
      <c r="W3112" s="1" t="s">
        <v>49386</v>
      </c>
      <c r="X3112" s="1" t="s">
        <v>49387</v>
      </c>
      <c r="Y3112" s="1" t="s">
        <v>49388</v>
      </c>
      <c r="Z3112" s="1" t="s">
        <v>49389</v>
      </c>
      <c r="AA3112" s="1" t="s">
        <v>49390</v>
      </c>
      <c r="AB3112" s="1" t="s">
        <v>49391</v>
      </c>
      <c r="AC3112" s="1" t="s">
        <v>49392</v>
      </c>
      <c r="AD3112" s="1" t="s">
        <v>49393</v>
      </c>
      <c r="AE3112" s="1" t="s">
        <v>49394</v>
      </c>
      <c r="AF3112" s="1" t="s">
        <v>74</v>
      </c>
      <c r="AG3112" s="1">
        <v>47</v>
      </c>
      <c r="AH3112" s="1">
        <v>19</v>
      </c>
      <c r="AI3112" s="1">
        <v>19</v>
      </c>
      <c r="AJ3112" s="1">
        <v>0</v>
      </c>
      <c r="AK3112" s="1">
        <v>23</v>
      </c>
      <c r="AL3112" s="1" t="s">
        <v>112</v>
      </c>
      <c r="AM3112" s="1" t="s">
        <v>191</v>
      </c>
      <c r="AN3112" s="1" t="s">
        <v>192</v>
      </c>
      <c r="AO3112" s="1" t="s">
        <v>1207</v>
      </c>
      <c r="AP3112" s="1" t="s">
        <v>4902</v>
      </c>
      <c r="AQ3112" s="1" t="s">
        <v>74</v>
      </c>
      <c r="AR3112" s="1" t="s">
        <v>1202</v>
      </c>
      <c r="AS3112" s="1" t="s">
        <v>1208</v>
      </c>
      <c r="AT3112" s="1" t="s">
        <v>224</v>
      </c>
      <c r="AU3112" s="1">
        <v>2020</v>
      </c>
      <c r="AV3112" s="1">
        <v>847</v>
      </c>
      <c r="AW3112" s="1">
        <v>3</v>
      </c>
      <c r="AX3112" s="1" t="s">
        <v>74</v>
      </c>
      <c r="AY3112" s="1" t="s">
        <v>74</v>
      </c>
      <c r="AZ3112" s="1" t="s">
        <v>74</v>
      </c>
      <c r="BA3112" s="1" t="s">
        <v>74</v>
      </c>
      <c r="BB3112" s="1">
        <v>771</v>
      </c>
      <c r="BC3112" s="1">
        <v>786</v>
      </c>
      <c r="BD3112" s="1" t="s">
        <v>74</v>
      </c>
      <c r="BE3112" s="1" t="s">
        <v>49395</v>
      </c>
      <c r="BF3112" s="1" t="str">
        <f>HYPERLINK("http://dx.doi.org/10.1007/s10750-019-04137-5","http://dx.doi.org/10.1007/s10750-019-04137-5")</f>
        <v>http://dx.doi.org/10.1007/s10750-019-04137-5</v>
      </c>
      <c r="BG3112" s="1" t="s">
        <v>74</v>
      </c>
      <c r="BH3112" s="1" t="s">
        <v>15786</v>
      </c>
      <c r="BI3112" s="1">
        <v>16</v>
      </c>
      <c r="BJ3112" s="1" t="s">
        <v>680</v>
      </c>
      <c r="BK3112" s="1" t="s">
        <v>96</v>
      </c>
      <c r="BL3112" s="1" t="s">
        <v>680</v>
      </c>
      <c r="BM3112" s="1" t="s">
        <v>49396</v>
      </c>
      <c r="BN3112" s="1" t="s">
        <v>74</v>
      </c>
      <c r="BO3112" s="1" t="s">
        <v>74</v>
      </c>
      <c r="BP3112" s="1" t="s">
        <v>74</v>
      </c>
      <c r="BQ3112" s="1" t="s">
        <v>74</v>
      </c>
      <c r="BR3112" s="1" t="s">
        <v>98</v>
      </c>
      <c r="BS3112" s="1" t="s">
        <v>49397</v>
      </c>
      <c r="BT3112" s="1" t="str">
        <f>HYPERLINK("https%3A%2F%2Fwww.webofscience.com%2Fwos%2Fwoscc%2Ffull-record%2FWOS:000498951300001","View Full Record in Web of Science")</f>
        <v>View Full Record in Web of Science</v>
      </c>
      <c r="BU3112" s="1"/>
      <c r="BV3112" s="1"/>
    </row>
    <row r="3113" spans="1:74">
      <c r="A3113" s="1" t="s">
        <v>72</v>
      </c>
      <c r="B3113" s="1" t="s">
        <v>49398</v>
      </c>
      <c r="C3113" s="1" t="s">
        <v>74</v>
      </c>
      <c r="D3113" s="1" t="s">
        <v>74</v>
      </c>
      <c r="E3113" s="1" t="s">
        <v>74</v>
      </c>
      <c r="F3113" s="1" t="s">
        <v>49399</v>
      </c>
      <c r="G3113" s="1" t="s">
        <v>74</v>
      </c>
      <c r="H3113" s="1" t="s">
        <v>74</v>
      </c>
      <c r="I3113" s="1" t="s">
        <v>49400</v>
      </c>
      <c r="J3113" s="1" t="s">
        <v>46856</v>
      </c>
      <c r="K3113" s="1" t="s">
        <v>74</v>
      </c>
      <c r="L3113" s="1" t="s">
        <v>74</v>
      </c>
      <c r="M3113" s="1" t="s">
        <v>78</v>
      </c>
      <c r="N3113" s="1" t="s">
        <v>79</v>
      </c>
      <c r="O3113" s="1" t="s">
        <v>74</v>
      </c>
      <c r="P3113" s="1" t="s">
        <v>74</v>
      </c>
      <c r="Q3113" s="1" t="s">
        <v>74</v>
      </c>
      <c r="R3113" s="1" t="s">
        <v>74</v>
      </c>
      <c r="S3113" s="1" t="s">
        <v>74</v>
      </c>
      <c r="T3113" s="1" t="s">
        <v>49401</v>
      </c>
      <c r="U3113" s="1" t="s">
        <v>49402</v>
      </c>
      <c r="V3113" s="1" t="s">
        <v>49403</v>
      </c>
      <c r="W3113" s="1" t="s">
        <v>49404</v>
      </c>
      <c r="X3113" s="1" t="s">
        <v>49405</v>
      </c>
      <c r="Y3113" s="1" t="s">
        <v>49406</v>
      </c>
      <c r="Z3113" s="1" t="s">
        <v>49407</v>
      </c>
      <c r="AA3113" s="1" t="s">
        <v>49408</v>
      </c>
      <c r="AB3113" s="1" t="s">
        <v>49409</v>
      </c>
      <c r="AC3113" s="1" t="s">
        <v>49410</v>
      </c>
      <c r="AD3113" s="1" t="s">
        <v>49410</v>
      </c>
      <c r="AE3113" s="1" t="s">
        <v>49411</v>
      </c>
      <c r="AF3113" s="1" t="s">
        <v>74</v>
      </c>
      <c r="AG3113" s="1">
        <v>49</v>
      </c>
      <c r="AH3113" s="1">
        <v>1</v>
      </c>
      <c r="AI3113" s="1">
        <v>1</v>
      </c>
      <c r="AJ3113" s="1">
        <v>2</v>
      </c>
      <c r="AK3113" s="1">
        <v>26</v>
      </c>
      <c r="AL3113" s="1" t="s">
        <v>86</v>
      </c>
      <c r="AM3113" s="1" t="s">
        <v>87</v>
      </c>
      <c r="AN3113" s="1" t="s">
        <v>88</v>
      </c>
      <c r="AO3113" s="1" t="s">
        <v>46866</v>
      </c>
      <c r="AP3113" s="1" t="s">
        <v>46867</v>
      </c>
      <c r="AQ3113" s="1" t="s">
        <v>74</v>
      </c>
      <c r="AR3113" s="1" t="s">
        <v>46868</v>
      </c>
      <c r="AS3113" s="1" t="s">
        <v>46869</v>
      </c>
      <c r="AT3113" s="1" t="s">
        <v>119</v>
      </c>
      <c r="AU3113" s="1">
        <v>2022</v>
      </c>
      <c r="AV3113" s="1">
        <v>59</v>
      </c>
      <c r="AW3113" s="1">
        <v>8</v>
      </c>
      <c r="AX3113" s="1" t="s">
        <v>74</v>
      </c>
      <c r="AY3113" s="1" t="s">
        <v>74</v>
      </c>
      <c r="AZ3113" s="1" t="s">
        <v>74</v>
      </c>
      <c r="BA3113" s="1" t="s">
        <v>74</v>
      </c>
      <c r="BB3113" s="1">
        <v>2094</v>
      </c>
      <c r="BC3113" s="1">
        <v>2105</v>
      </c>
      <c r="BD3113" s="1" t="s">
        <v>74</v>
      </c>
      <c r="BE3113" s="1" t="s">
        <v>49412</v>
      </c>
      <c r="BF3113" s="1" t="str">
        <f>HYPERLINK("http://dx.doi.org/10.1111/1365-2664.14221","http://dx.doi.org/10.1111/1365-2664.14221")</f>
        <v>http://dx.doi.org/10.1111/1365-2664.14221</v>
      </c>
      <c r="BG3113" s="1" t="s">
        <v>74</v>
      </c>
      <c r="BH3113" s="1" t="s">
        <v>2765</v>
      </c>
      <c r="BI3113" s="1">
        <v>12</v>
      </c>
      <c r="BJ3113" s="1" t="s">
        <v>17252</v>
      </c>
      <c r="BK3113" s="1" t="s">
        <v>96</v>
      </c>
      <c r="BL3113" s="1" t="s">
        <v>4924</v>
      </c>
      <c r="BM3113" s="1" t="s">
        <v>49413</v>
      </c>
      <c r="BN3113" s="1" t="s">
        <v>74</v>
      </c>
      <c r="BO3113" s="1" t="s">
        <v>476</v>
      </c>
      <c r="BP3113" s="1" t="s">
        <v>74</v>
      </c>
      <c r="BQ3113" s="1" t="s">
        <v>74</v>
      </c>
      <c r="BR3113" s="1" t="s">
        <v>98</v>
      </c>
      <c r="BS3113" s="1" t="s">
        <v>49414</v>
      </c>
      <c r="BT3113" s="1" t="str">
        <f>HYPERLINK("https%3A%2F%2Fwww.webofscience.com%2Fwos%2Fwoscc%2Ffull-record%2FWOS:000803049400001","View Full Record in Web of Science")</f>
        <v>View Full Record in Web of Science</v>
      </c>
      <c r="BU3113" s="1"/>
      <c r="BV3113" s="1"/>
    </row>
    <row r="3114" spans="1:74">
      <c r="A3114" s="1" t="s">
        <v>72</v>
      </c>
      <c r="B3114" s="1" t="s">
        <v>49415</v>
      </c>
      <c r="C3114" s="1" t="s">
        <v>74</v>
      </c>
      <c r="D3114" s="1" t="s">
        <v>74</v>
      </c>
      <c r="E3114" s="1" t="s">
        <v>74</v>
      </c>
      <c r="F3114" s="1" t="s">
        <v>49416</v>
      </c>
      <c r="G3114" s="1" t="s">
        <v>74</v>
      </c>
      <c r="H3114" s="1" t="s">
        <v>74</v>
      </c>
      <c r="I3114" s="1" t="s">
        <v>49417</v>
      </c>
      <c r="J3114" s="1" t="s">
        <v>17028</v>
      </c>
      <c r="K3114" s="1" t="s">
        <v>74</v>
      </c>
      <c r="L3114" s="1" t="s">
        <v>74</v>
      </c>
      <c r="M3114" s="1" t="s">
        <v>78</v>
      </c>
      <c r="N3114" s="1" t="s">
        <v>79</v>
      </c>
      <c r="O3114" s="1" t="s">
        <v>74</v>
      </c>
      <c r="P3114" s="1" t="s">
        <v>74</v>
      </c>
      <c r="Q3114" s="1" t="s">
        <v>74</v>
      </c>
      <c r="R3114" s="1" t="s">
        <v>74</v>
      </c>
      <c r="S3114" s="1" t="s">
        <v>74</v>
      </c>
      <c r="T3114" s="1" t="s">
        <v>49418</v>
      </c>
      <c r="U3114" s="1" t="s">
        <v>49419</v>
      </c>
      <c r="V3114" s="1" t="s">
        <v>49420</v>
      </c>
      <c r="W3114" s="1" t="s">
        <v>49421</v>
      </c>
      <c r="X3114" s="1" t="s">
        <v>49422</v>
      </c>
      <c r="Y3114" s="1" t="s">
        <v>49423</v>
      </c>
      <c r="Z3114" s="1" t="s">
        <v>49424</v>
      </c>
      <c r="AA3114" s="1" t="s">
        <v>49425</v>
      </c>
      <c r="AB3114" s="1" t="s">
        <v>49426</v>
      </c>
      <c r="AC3114" s="1" t="s">
        <v>49427</v>
      </c>
      <c r="AD3114" s="1" t="s">
        <v>49428</v>
      </c>
      <c r="AE3114" s="1" t="s">
        <v>49429</v>
      </c>
      <c r="AF3114" s="1" t="s">
        <v>74</v>
      </c>
      <c r="AG3114" s="1">
        <v>83</v>
      </c>
      <c r="AH3114" s="1">
        <v>6</v>
      </c>
      <c r="AI3114" s="1">
        <v>7</v>
      </c>
      <c r="AJ3114" s="1">
        <v>0</v>
      </c>
      <c r="AK3114" s="1">
        <v>109</v>
      </c>
      <c r="AL3114" s="1" t="s">
        <v>285</v>
      </c>
      <c r="AM3114" s="1" t="s">
        <v>286</v>
      </c>
      <c r="AN3114" s="1" t="s">
        <v>287</v>
      </c>
      <c r="AO3114" s="1" t="s">
        <v>17040</v>
      </c>
      <c r="AP3114" s="1" t="s">
        <v>17041</v>
      </c>
      <c r="AQ3114" s="1" t="s">
        <v>74</v>
      </c>
      <c r="AR3114" s="1" t="s">
        <v>17042</v>
      </c>
      <c r="AS3114" s="1" t="s">
        <v>17043</v>
      </c>
      <c r="AT3114" s="1" t="s">
        <v>3542</v>
      </c>
      <c r="AU3114" s="1">
        <v>2018</v>
      </c>
      <c r="AV3114" s="1">
        <v>223</v>
      </c>
      <c r="AW3114" s="1" t="s">
        <v>74</v>
      </c>
      <c r="AX3114" s="1" t="s">
        <v>74</v>
      </c>
      <c r="AY3114" s="1" t="s">
        <v>74</v>
      </c>
      <c r="AZ3114" s="1" t="s">
        <v>74</v>
      </c>
      <c r="BA3114" s="1" t="s">
        <v>74</v>
      </c>
      <c r="BB3114" s="1">
        <v>749</v>
      </c>
      <c r="BC3114" s="1">
        <v>757</v>
      </c>
      <c r="BD3114" s="1" t="s">
        <v>74</v>
      </c>
      <c r="BE3114" s="1" t="s">
        <v>49430</v>
      </c>
      <c r="BF3114" s="1" t="str">
        <f>HYPERLINK("http://dx.doi.org/10.1016/j.jenvman.2018.06.094","http://dx.doi.org/10.1016/j.jenvman.2018.06.094")</f>
        <v>http://dx.doi.org/10.1016/j.jenvman.2018.06.094</v>
      </c>
      <c r="BG3114" s="1" t="s">
        <v>74</v>
      </c>
      <c r="BH3114" s="1" t="s">
        <v>74</v>
      </c>
      <c r="BI3114" s="1">
        <v>9</v>
      </c>
      <c r="BJ3114" s="1" t="s">
        <v>144</v>
      </c>
      <c r="BK3114" s="1" t="s">
        <v>96</v>
      </c>
      <c r="BL3114" s="1" t="s">
        <v>145</v>
      </c>
      <c r="BM3114" s="1" t="s">
        <v>49431</v>
      </c>
      <c r="BN3114" s="1">
        <v>29986322</v>
      </c>
      <c r="BO3114" s="1" t="s">
        <v>1752</v>
      </c>
      <c r="BP3114" s="1" t="s">
        <v>74</v>
      </c>
      <c r="BQ3114" s="1" t="s">
        <v>74</v>
      </c>
      <c r="BR3114" s="1" t="s">
        <v>98</v>
      </c>
      <c r="BS3114" s="1" t="s">
        <v>49432</v>
      </c>
      <c r="BT3114" s="1" t="str">
        <f>HYPERLINK("https%3A%2F%2Fwww.webofscience.com%2Fwos%2Fwoscc%2Ffull-record%2FWOS:000442057500075","View Full Record in Web of Science")</f>
        <v>View Full Record in Web of Science</v>
      </c>
      <c r="BU3114" s="1"/>
      <c r="BV3114" s="1"/>
    </row>
    <row r="3115" spans="1:74">
      <c r="A3115" s="1" t="s">
        <v>72</v>
      </c>
      <c r="B3115" s="1" t="s">
        <v>49433</v>
      </c>
      <c r="C3115" s="1" t="s">
        <v>74</v>
      </c>
      <c r="D3115" s="1" t="s">
        <v>74</v>
      </c>
      <c r="E3115" s="1" t="s">
        <v>74</v>
      </c>
      <c r="F3115" s="1" t="s">
        <v>49433</v>
      </c>
      <c r="G3115" s="1" t="s">
        <v>74</v>
      </c>
      <c r="H3115" s="1" t="s">
        <v>74</v>
      </c>
      <c r="I3115" s="1" t="s">
        <v>49434</v>
      </c>
      <c r="J3115" s="1" t="s">
        <v>641</v>
      </c>
      <c r="K3115" s="1" t="s">
        <v>74</v>
      </c>
      <c r="L3115" s="1" t="s">
        <v>74</v>
      </c>
      <c r="M3115" s="1" t="s">
        <v>78</v>
      </c>
      <c r="N3115" s="1" t="s">
        <v>79</v>
      </c>
      <c r="O3115" s="1" t="s">
        <v>74</v>
      </c>
      <c r="P3115" s="1" t="s">
        <v>74</v>
      </c>
      <c r="Q3115" s="1" t="s">
        <v>74</v>
      </c>
      <c r="R3115" s="1" t="s">
        <v>74</v>
      </c>
      <c r="S3115" s="1" t="s">
        <v>74</v>
      </c>
      <c r="T3115" s="1" t="s">
        <v>49435</v>
      </c>
      <c r="U3115" s="1" t="s">
        <v>49436</v>
      </c>
      <c r="V3115" s="1" t="s">
        <v>49437</v>
      </c>
      <c r="W3115" s="1" t="s">
        <v>49438</v>
      </c>
      <c r="X3115" s="1" t="s">
        <v>49439</v>
      </c>
      <c r="Y3115" s="1" t="s">
        <v>49440</v>
      </c>
      <c r="Z3115" s="1" t="s">
        <v>49441</v>
      </c>
      <c r="AA3115" s="1" t="s">
        <v>49442</v>
      </c>
      <c r="AB3115" s="1" t="s">
        <v>49443</v>
      </c>
      <c r="AC3115" s="1" t="s">
        <v>74</v>
      </c>
      <c r="AD3115" s="1" t="s">
        <v>74</v>
      </c>
      <c r="AE3115" s="1" t="s">
        <v>74</v>
      </c>
      <c r="AF3115" s="1" t="s">
        <v>74</v>
      </c>
      <c r="AG3115" s="1">
        <v>87</v>
      </c>
      <c r="AH3115" s="1">
        <v>136</v>
      </c>
      <c r="AI3115" s="1">
        <v>145</v>
      </c>
      <c r="AJ3115" s="1">
        <v>0</v>
      </c>
      <c r="AK3115" s="1">
        <v>39</v>
      </c>
      <c r="AL3115" s="1" t="s">
        <v>650</v>
      </c>
      <c r="AM3115" s="1" t="s">
        <v>651</v>
      </c>
      <c r="AN3115" s="1" t="s">
        <v>652</v>
      </c>
      <c r="AO3115" s="1" t="s">
        <v>653</v>
      </c>
      <c r="AP3115" s="1" t="s">
        <v>654</v>
      </c>
      <c r="AQ3115" s="1" t="s">
        <v>74</v>
      </c>
      <c r="AR3115" s="1" t="s">
        <v>655</v>
      </c>
      <c r="AS3115" s="1" t="s">
        <v>656</v>
      </c>
      <c r="AT3115" s="1" t="s">
        <v>1856</v>
      </c>
      <c r="AU3115" s="1">
        <v>2005</v>
      </c>
      <c r="AV3115" s="1">
        <v>74</v>
      </c>
      <c r="AW3115" s="1">
        <v>1</v>
      </c>
      <c r="AX3115" s="1" t="s">
        <v>74</v>
      </c>
      <c r="AY3115" s="1" t="s">
        <v>74</v>
      </c>
      <c r="AZ3115" s="1" t="s">
        <v>74</v>
      </c>
      <c r="BA3115" s="1" t="s">
        <v>74</v>
      </c>
      <c r="BB3115" s="1">
        <v>3</v>
      </c>
      <c r="BC3115" s="1">
        <v>19</v>
      </c>
      <c r="BD3115" s="1" t="s">
        <v>74</v>
      </c>
      <c r="BE3115" s="1" t="s">
        <v>49444</v>
      </c>
      <c r="BF3115" s="1" t="str">
        <f>HYPERLINK("http://dx.doi.org/10.1016/j.aquatox.2005.04.002","http://dx.doi.org/10.1016/j.aquatox.2005.04.002")</f>
        <v>http://dx.doi.org/10.1016/j.aquatox.2005.04.002</v>
      </c>
      <c r="BG3115" s="1" t="s">
        <v>74</v>
      </c>
      <c r="BH3115" s="1" t="s">
        <v>74</v>
      </c>
      <c r="BI3115" s="1">
        <v>17</v>
      </c>
      <c r="BJ3115" s="1" t="s">
        <v>659</v>
      </c>
      <c r="BK3115" s="1" t="s">
        <v>96</v>
      </c>
      <c r="BL3115" s="1" t="s">
        <v>659</v>
      </c>
      <c r="BM3115" s="1" t="s">
        <v>49445</v>
      </c>
      <c r="BN3115" s="1">
        <v>15916818</v>
      </c>
      <c r="BO3115" s="1" t="s">
        <v>74</v>
      </c>
      <c r="BP3115" s="1" t="s">
        <v>74</v>
      </c>
      <c r="BQ3115" s="1" t="s">
        <v>74</v>
      </c>
      <c r="BR3115" s="1" t="s">
        <v>98</v>
      </c>
      <c r="BS3115" s="1" t="s">
        <v>49446</v>
      </c>
      <c r="BT3115" s="1" t="str">
        <f>HYPERLINK("https%3A%2F%2Fwww.webofscience.com%2Fwos%2Fwoscc%2Ffull-record%2FWOS:000231039800001","View Full Record in Web of Science")</f>
        <v>View Full Record in Web of Science</v>
      </c>
      <c r="BU3115" s="1"/>
      <c r="BV3115" s="1"/>
    </row>
    <row r="3116" spans="1:74">
      <c r="A3116" s="1" t="s">
        <v>72</v>
      </c>
      <c r="B3116" s="1" t="s">
        <v>49447</v>
      </c>
      <c r="C3116" s="1" t="s">
        <v>74</v>
      </c>
      <c r="D3116" s="1" t="s">
        <v>74</v>
      </c>
      <c r="E3116" s="1" t="s">
        <v>74</v>
      </c>
      <c r="F3116" s="1" t="s">
        <v>49447</v>
      </c>
      <c r="G3116" s="1" t="s">
        <v>74</v>
      </c>
      <c r="H3116" s="1" t="s">
        <v>74</v>
      </c>
      <c r="I3116" s="1" t="s">
        <v>49448</v>
      </c>
      <c r="J3116" s="1" t="s">
        <v>17604</v>
      </c>
      <c r="K3116" s="1" t="s">
        <v>74</v>
      </c>
      <c r="L3116" s="1" t="s">
        <v>74</v>
      </c>
      <c r="M3116" s="1" t="s">
        <v>78</v>
      </c>
      <c r="N3116" s="1" t="s">
        <v>79</v>
      </c>
      <c r="O3116" s="1" t="s">
        <v>74</v>
      </c>
      <c r="P3116" s="1" t="s">
        <v>74</v>
      </c>
      <c r="Q3116" s="1" t="s">
        <v>74</v>
      </c>
      <c r="R3116" s="1" t="s">
        <v>74</v>
      </c>
      <c r="S3116" s="1" t="s">
        <v>74</v>
      </c>
      <c r="T3116" s="1" t="s">
        <v>49449</v>
      </c>
      <c r="U3116" s="1" t="s">
        <v>49450</v>
      </c>
      <c r="V3116" s="1" t="s">
        <v>49451</v>
      </c>
      <c r="W3116" s="1" t="s">
        <v>49452</v>
      </c>
      <c r="X3116" s="1" t="s">
        <v>49453</v>
      </c>
      <c r="Y3116" s="1" t="s">
        <v>49454</v>
      </c>
      <c r="Z3116" s="1" t="s">
        <v>74</v>
      </c>
      <c r="AA3116" s="1" t="s">
        <v>74</v>
      </c>
      <c r="AB3116" s="1" t="s">
        <v>74</v>
      </c>
      <c r="AC3116" s="1" t="s">
        <v>74</v>
      </c>
      <c r="AD3116" s="1" t="s">
        <v>74</v>
      </c>
      <c r="AE3116" s="1" t="s">
        <v>74</v>
      </c>
      <c r="AF3116" s="1" t="s">
        <v>74</v>
      </c>
      <c r="AG3116" s="1">
        <v>82</v>
      </c>
      <c r="AH3116" s="1">
        <v>15</v>
      </c>
      <c r="AI3116" s="1">
        <v>17</v>
      </c>
      <c r="AJ3116" s="1">
        <v>0</v>
      </c>
      <c r="AK3116" s="1">
        <v>7</v>
      </c>
      <c r="AL3116" s="1" t="s">
        <v>919</v>
      </c>
      <c r="AM3116" s="1" t="s">
        <v>651</v>
      </c>
      <c r="AN3116" s="1" t="s">
        <v>920</v>
      </c>
      <c r="AO3116" s="1" t="s">
        <v>17613</v>
      </c>
      <c r="AP3116" s="1" t="s">
        <v>74</v>
      </c>
      <c r="AQ3116" s="1" t="s">
        <v>74</v>
      </c>
      <c r="AR3116" s="1" t="s">
        <v>17615</v>
      </c>
      <c r="AS3116" s="1" t="s">
        <v>17616</v>
      </c>
      <c r="AT3116" s="1" t="s">
        <v>3237</v>
      </c>
      <c r="AU3116" s="1">
        <v>1996</v>
      </c>
      <c r="AV3116" s="1">
        <v>201</v>
      </c>
      <c r="AW3116" s="1" t="s">
        <v>326</v>
      </c>
      <c r="AX3116" s="1" t="s">
        <v>74</v>
      </c>
      <c r="AY3116" s="1" t="s">
        <v>74</v>
      </c>
      <c r="AZ3116" s="1" t="s">
        <v>74</v>
      </c>
      <c r="BA3116" s="1" t="s">
        <v>74</v>
      </c>
      <c r="BB3116" s="1">
        <v>87</v>
      </c>
      <c r="BC3116" s="1">
        <v>135</v>
      </c>
      <c r="BD3116" s="1" t="s">
        <v>74</v>
      </c>
      <c r="BE3116" s="1" t="s">
        <v>49455</v>
      </c>
      <c r="BF3116" s="1" t="str">
        <f>HYPERLINK("http://dx.doi.org/10.1016/0022-0981(96)00013-5","http://dx.doi.org/10.1016/0022-0981(96)00013-5")</f>
        <v>http://dx.doi.org/10.1016/0022-0981(96)00013-5</v>
      </c>
      <c r="BG3116" s="1" t="s">
        <v>74</v>
      </c>
      <c r="BH3116" s="1" t="s">
        <v>74</v>
      </c>
      <c r="BI3116" s="1">
        <v>49</v>
      </c>
      <c r="BJ3116" s="1" t="s">
        <v>1292</v>
      </c>
      <c r="BK3116" s="1" t="s">
        <v>96</v>
      </c>
      <c r="BL3116" s="1" t="s">
        <v>248</v>
      </c>
      <c r="BM3116" s="1" t="s">
        <v>49456</v>
      </c>
      <c r="BN3116" s="1" t="s">
        <v>74</v>
      </c>
      <c r="BO3116" s="1" t="s">
        <v>74</v>
      </c>
      <c r="BP3116" s="1" t="s">
        <v>74</v>
      </c>
      <c r="BQ3116" s="1" t="s">
        <v>74</v>
      </c>
      <c r="BR3116" s="1" t="s">
        <v>98</v>
      </c>
      <c r="BS3116" s="1" t="s">
        <v>49457</v>
      </c>
      <c r="BT3116" s="1" t="str">
        <f>HYPERLINK("https%3A%2F%2Fwww.webofscience.com%2Fwos%2Fwoscc%2Ffull-record%2FWOS:A1996VJ05900006","View Full Record in Web of Science")</f>
        <v>View Full Record in Web of Science</v>
      </c>
      <c r="BU3116" s="1"/>
      <c r="BV3116" s="1"/>
    </row>
    <row r="3117" spans="1:74">
      <c r="A3117" s="1" t="s">
        <v>72</v>
      </c>
      <c r="B3117" s="1" t="s">
        <v>43345</v>
      </c>
      <c r="C3117" s="1" t="s">
        <v>74</v>
      </c>
      <c r="D3117" s="1" t="s">
        <v>74</v>
      </c>
      <c r="E3117" s="1" t="s">
        <v>74</v>
      </c>
      <c r="F3117" s="1" t="s">
        <v>43346</v>
      </c>
      <c r="G3117" s="1" t="s">
        <v>74</v>
      </c>
      <c r="H3117" s="1" t="s">
        <v>74</v>
      </c>
      <c r="I3117" s="1" t="s">
        <v>49458</v>
      </c>
      <c r="J3117" s="1" t="s">
        <v>998</v>
      </c>
      <c r="K3117" s="1" t="s">
        <v>74</v>
      </c>
      <c r="L3117" s="1" t="s">
        <v>74</v>
      </c>
      <c r="M3117" s="1" t="s">
        <v>78</v>
      </c>
      <c r="N3117" s="1" t="s">
        <v>79</v>
      </c>
      <c r="O3117" s="1" t="s">
        <v>74</v>
      </c>
      <c r="P3117" s="1" t="s">
        <v>74</v>
      </c>
      <c r="Q3117" s="1" t="s">
        <v>74</v>
      </c>
      <c r="R3117" s="1" t="s">
        <v>74</v>
      </c>
      <c r="S3117" s="1" t="s">
        <v>74</v>
      </c>
      <c r="T3117" s="1" t="s">
        <v>74</v>
      </c>
      <c r="U3117" s="1" t="s">
        <v>49459</v>
      </c>
      <c r="V3117" s="1" t="s">
        <v>49460</v>
      </c>
      <c r="W3117" s="1" t="s">
        <v>49461</v>
      </c>
      <c r="X3117" s="1" t="s">
        <v>43352</v>
      </c>
      <c r="Y3117" s="1" t="s">
        <v>49462</v>
      </c>
      <c r="Z3117" s="1" t="s">
        <v>43354</v>
      </c>
      <c r="AA3117" s="1" t="s">
        <v>43355</v>
      </c>
      <c r="AB3117" s="1" t="s">
        <v>49463</v>
      </c>
      <c r="AC3117" s="1" t="s">
        <v>49464</v>
      </c>
      <c r="AD3117" s="1" t="s">
        <v>49465</v>
      </c>
      <c r="AE3117" s="1" t="s">
        <v>49466</v>
      </c>
      <c r="AF3117" s="1" t="s">
        <v>74</v>
      </c>
      <c r="AG3117" s="1">
        <v>51</v>
      </c>
      <c r="AH3117" s="1">
        <v>11</v>
      </c>
      <c r="AI3117" s="1">
        <v>13</v>
      </c>
      <c r="AJ3117" s="1">
        <v>0</v>
      </c>
      <c r="AK3117" s="1">
        <v>29</v>
      </c>
      <c r="AL3117" s="1" t="s">
        <v>112</v>
      </c>
      <c r="AM3117" s="1" t="s">
        <v>113</v>
      </c>
      <c r="AN3117" s="1" t="s">
        <v>114</v>
      </c>
      <c r="AO3117" s="1" t="s">
        <v>1009</v>
      </c>
      <c r="AP3117" s="1" t="s">
        <v>5996</v>
      </c>
      <c r="AQ3117" s="1" t="s">
        <v>74</v>
      </c>
      <c r="AR3117" s="1" t="s">
        <v>1010</v>
      </c>
      <c r="AS3117" s="1" t="s">
        <v>1011</v>
      </c>
      <c r="AT3117" s="1" t="s">
        <v>170</v>
      </c>
      <c r="AU3117" s="1">
        <v>2020</v>
      </c>
      <c r="AV3117" s="1">
        <v>78</v>
      </c>
      <c r="AW3117" s="1">
        <v>4</v>
      </c>
      <c r="AX3117" s="1" t="s">
        <v>74</v>
      </c>
      <c r="AY3117" s="1" t="s">
        <v>74</v>
      </c>
      <c r="AZ3117" s="1" t="s">
        <v>74</v>
      </c>
      <c r="BA3117" s="1" t="s">
        <v>74</v>
      </c>
      <c r="BB3117" s="1">
        <v>536</v>
      </c>
      <c r="BC3117" s="1">
        <v>544</v>
      </c>
      <c r="BD3117" s="1" t="s">
        <v>74</v>
      </c>
      <c r="BE3117" s="1" t="s">
        <v>49467</v>
      </c>
      <c r="BF3117" s="1" t="str">
        <f>HYPERLINK("http://dx.doi.org/10.1007/s00244-020-00708-z","http://dx.doi.org/10.1007/s00244-020-00708-z")</f>
        <v>http://dx.doi.org/10.1007/s00244-020-00708-z</v>
      </c>
      <c r="BG3117" s="1" t="s">
        <v>74</v>
      </c>
      <c r="BH3117" s="1" t="s">
        <v>16855</v>
      </c>
      <c r="BI3117" s="1">
        <v>9</v>
      </c>
      <c r="BJ3117" s="1" t="s">
        <v>121</v>
      </c>
      <c r="BK3117" s="1" t="s">
        <v>96</v>
      </c>
      <c r="BL3117" s="1" t="s">
        <v>122</v>
      </c>
      <c r="BM3117" s="1" t="s">
        <v>49468</v>
      </c>
      <c r="BN3117" s="1">
        <v>32008050</v>
      </c>
      <c r="BO3117" s="1" t="s">
        <v>74</v>
      </c>
      <c r="BP3117" s="1" t="s">
        <v>74</v>
      </c>
      <c r="BQ3117" s="1" t="s">
        <v>74</v>
      </c>
      <c r="BR3117" s="1" t="s">
        <v>98</v>
      </c>
      <c r="BS3117" s="1" t="s">
        <v>49469</v>
      </c>
      <c r="BT3117" s="1" t="str">
        <f>HYPERLINK("https%3A%2F%2Fwww.webofscience.com%2Fwos%2Fwoscc%2Ffull-record%2FWOS:000510373900001","View Full Record in Web of Science")</f>
        <v>View Full Record in Web of Science</v>
      </c>
      <c r="BU3117" s="1"/>
      <c r="BV3117" s="1"/>
    </row>
    <row r="3118" spans="1:74">
      <c r="A3118" s="1" t="s">
        <v>72</v>
      </c>
      <c r="B3118" s="1" t="s">
        <v>49470</v>
      </c>
      <c r="C3118" s="1" t="s">
        <v>74</v>
      </c>
      <c r="D3118" s="1" t="s">
        <v>74</v>
      </c>
      <c r="E3118" s="1" t="s">
        <v>74</v>
      </c>
      <c r="F3118" s="1" t="s">
        <v>49471</v>
      </c>
      <c r="G3118" s="1" t="s">
        <v>74</v>
      </c>
      <c r="H3118" s="1" t="s">
        <v>74</v>
      </c>
      <c r="I3118" s="1" t="s">
        <v>49472</v>
      </c>
      <c r="J3118" s="1" t="s">
        <v>11045</v>
      </c>
      <c r="K3118" s="1" t="s">
        <v>74</v>
      </c>
      <c r="L3118" s="1" t="s">
        <v>74</v>
      </c>
      <c r="M3118" s="1" t="s">
        <v>78</v>
      </c>
      <c r="N3118" s="1" t="s">
        <v>79</v>
      </c>
      <c r="O3118" s="1" t="s">
        <v>74</v>
      </c>
      <c r="P3118" s="1" t="s">
        <v>74</v>
      </c>
      <c r="Q3118" s="1" t="s">
        <v>74</v>
      </c>
      <c r="R3118" s="1" t="s">
        <v>74</v>
      </c>
      <c r="S3118" s="1" t="s">
        <v>74</v>
      </c>
      <c r="T3118" s="1" t="s">
        <v>74</v>
      </c>
      <c r="U3118" s="1" t="s">
        <v>49473</v>
      </c>
      <c r="V3118" s="1" t="s">
        <v>49474</v>
      </c>
      <c r="W3118" s="1" t="s">
        <v>49475</v>
      </c>
      <c r="X3118" s="1" t="s">
        <v>49476</v>
      </c>
      <c r="Y3118" s="1" t="s">
        <v>34824</v>
      </c>
      <c r="Z3118" s="1" t="s">
        <v>30998</v>
      </c>
      <c r="AA3118" s="1" t="s">
        <v>49477</v>
      </c>
      <c r="AB3118" s="1" t="s">
        <v>49478</v>
      </c>
      <c r="AC3118" s="1" t="s">
        <v>49479</v>
      </c>
      <c r="AD3118" s="1" t="s">
        <v>49480</v>
      </c>
      <c r="AE3118" s="1" t="s">
        <v>49481</v>
      </c>
      <c r="AF3118" s="1" t="s">
        <v>74</v>
      </c>
      <c r="AG3118" s="1">
        <v>127</v>
      </c>
      <c r="AH3118" s="1">
        <v>7</v>
      </c>
      <c r="AI3118" s="1">
        <v>7</v>
      </c>
      <c r="AJ3118" s="1">
        <v>0</v>
      </c>
      <c r="AK3118" s="1">
        <v>15</v>
      </c>
      <c r="AL3118" s="1" t="s">
        <v>11056</v>
      </c>
      <c r="AM3118" s="1" t="s">
        <v>11057</v>
      </c>
      <c r="AN3118" s="1" t="s">
        <v>11058</v>
      </c>
      <c r="AO3118" s="1" t="s">
        <v>11059</v>
      </c>
      <c r="AP3118" s="1" t="s">
        <v>74</v>
      </c>
      <c r="AQ3118" s="1" t="s">
        <v>74</v>
      </c>
      <c r="AR3118" s="1" t="s">
        <v>11045</v>
      </c>
      <c r="AS3118" s="1" t="s">
        <v>11060</v>
      </c>
      <c r="AT3118" s="1" t="s">
        <v>3871</v>
      </c>
      <c r="AU3118" s="1">
        <v>2019</v>
      </c>
      <c r="AV3118" s="1">
        <v>14</v>
      </c>
      <c r="AW3118" s="1">
        <v>8</v>
      </c>
      <c r="AX3118" s="1" t="s">
        <v>74</v>
      </c>
      <c r="AY3118" s="1" t="s">
        <v>74</v>
      </c>
      <c r="AZ3118" s="1" t="s">
        <v>74</v>
      </c>
      <c r="BA3118" s="1" t="s">
        <v>74</v>
      </c>
      <c r="BB3118" s="1" t="s">
        <v>74</v>
      </c>
      <c r="BC3118" s="1" t="s">
        <v>74</v>
      </c>
      <c r="BD3118" s="1" t="s">
        <v>49482</v>
      </c>
      <c r="BE3118" s="1" t="s">
        <v>49483</v>
      </c>
      <c r="BF3118" s="1" t="str">
        <f>HYPERLINK("http://dx.doi.org/10.1371/journal.pone.0220661","http://dx.doi.org/10.1371/journal.pone.0220661")</f>
        <v>http://dx.doi.org/10.1371/journal.pone.0220661</v>
      </c>
      <c r="BG3118" s="1" t="s">
        <v>74</v>
      </c>
      <c r="BH3118" s="1" t="s">
        <v>74</v>
      </c>
      <c r="BI3118" s="1">
        <v>25</v>
      </c>
      <c r="BJ3118" s="1" t="s">
        <v>3202</v>
      </c>
      <c r="BK3118" s="1" t="s">
        <v>96</v>
      </c>
      <c r="BL3118" s="1" t="s">
        <v>3203</v>
      </c>
      <c r="BM3118" s="1" t="s">
        <v>49484</v>
      </c>
      <c r="BN3118" s="1">
        <v>31381612</v>
      </c>
      <c r="BO3118" s="1" t="s">
        <v>5306</v>
      </c>
      <c r="BP3118" s="1" t="s">
        <v>74</v>
      </c>
      <c r="BQ3118" s="1" t="s">
        <v>74</v>
      </c>
      <c r="BR3118" s="1" t="s">
        <v>98</v>
      </c>
      <c r="BS3118" s="1" t="s">
        <v>49485</v>
      </c>
      <c r="BT3118" s="1" t="str">
        <f>HYPERLINK("https%3A%2F%2Fwww.webofscience.com%2Fwos%2Fwoscc%2Ffull-record%2FWOS:000484993600027","View Full Record in Web of Science")</f>
        <v>View Full Record in Web of Science</v>
      </c>
      <c r="BU3118" s="1"/>
      <c r="BV3118" s="1"/>
    </row>
    <row r="3119" spans="1:74">
      <c r="A3119" s="1" t="s">
        <v>72</v>
      </c>
      <c r="B3119" s="1" t="s">
        <v>49486</v>
      </c>
      <c r="C3119" s="1" t="s">
        <v>74</v>
      </c>
      <c r="D3119" s="1" t="s">
        <v>74</v>
      </c>
      <c r="E3119" s="1" t="s">
        <v>74</v>
      </c>
      <c r="F3119" s="1" t="s">
        <v>49487</v>
      </c>
      <c r="G3119" s="1" t="s">
        <v>74</v>
      </c>
      <c r="H3119" s="1" t="s">
        <v>74</v>
      </c>
      <c r="I3119" s="1" t="s">
        <v>49488</v>
      </c>
      <c r="J3119" s="1" t="s">
        <v>232</v>
      </c>
      <c r="K3119" s="1" t="s">
        <v>74</v>
      </c>
      <c r="L3119" s="1" t="s">
        <v>74</v>
      </c>
      <c r="M3119" s="1" t="s">
        <v>78</v>
      </c>
      <c r="N3119" s="1" t="s">
        <v>79</v>
      </c>
      <c r="O3119" s="1" t="s">
        <v>74</v>
      </c>
      <c r="P3119" s="1" t="s">
        <v>74</v>
      </c>
      <c r="Q3119" s="1" t="s">
        <v>74</v>
      </c>
      <c r="R3119" s="1" t="s">
        <v>74</v>
      </c>
      <c r="S3119" s="1" t="s">
        <v>74</v>
      </c>
      <c r="T3119" s="1" t="s">
        <v>49489</v>
      </c>
      <c r="U3119" s="1" t="s">
        <v>49490</v>
      </c>
      <c r="V3119" s="1" t="s">
        <v>49491</v>
      </c>
      <c r="W3119" s="1" t="s">
        <v>49492</v>
      </c>
      <c r="X3119" s="1" t="s">
        <v>11347</v>
      </c>
      <c r="Y3119" s="1" t="s">
        <v>49493</v>
      </c>
      <c r="Z3119" s="1" t="s">
        <v>49494</v>
      </c>
      <c r="AA3119" s="1" t="s">
        <v>49495</v>
      </c>
      <c r="AB3119" s="1" t="s">
        <v>49496</v>
      </c>
      <c r="AC3119" s="1" t="s">
        <v>49497</v>
      </c>
      <c r="AD3119" s="1" t="s">
        <v>49498</v>
      </c>
      <c r="AE3119" s="1" t="s">
        <v>49499</v>
      </c>
      <c r="AF3119" s="1" t="s">
        <v>74</v>
      </c>
      <c r="AG3119" s="1">
        <v>61</v>
      </c>
      <c r="AH3119" s="1">
        <v>22</v>
      </c>
      <c r="AI3119" s="1">
        <v>25</v>
      </c>
      <c r="AJ3119" s="1">
        <v>1</v>
      </c>
      <c r="AK3119" s="1">
        <v>50</v>
      </c>
      <c r="AL3119" s="1" t="s">
        <v>136</v>
      </c>
      <c r="AM3119" s="1" t="s">
        <v>137</v>
      </c>
      <c r="AN3119" s="1" t="s">
        <v>138</v>
      </c>
      <c r="AO3119" s="1" t="s">
        <v>240</v>
      </c>
      <c r="AP3119" s="1" t="s">
        <v>241</v>
      </c>
      <c r="AQ3119" s="1" t="s">
        <v>74</v>
      </c>
      <c r="AR3119" s="1" t="s">
        <v>242</v>
      </c>
      <c r="AS3119" s="1" t="s">
        <v>243</v>
      </c>
      <c r="AT3119" s="1" t="s">
        <v>305</v>
      </c>
      <c r="AU3119" s="1">
        <v>2020</v>
      </c>
      <c r="AV3119" s="1">
        <v>158</v>
      </c>
      <c r="AW3119" s="1" t="s">
        <v>74</v>
      </c>
      <c r="AX3119" s="1" t="s">
        <v>74</v>
      </c>
      <c r="AY3119" s="1" t="s">
        <v>74</v>
      </c>
      <c r="AZ3119" s="1" t="s">
        <v>74</v>
      </c>
      <c r="BA3119" s="1" t="s">
        <v>74</v>
      </c>
      <c r="BB3119" s="1" t="s">
        <v>74</v>
      </c>
      <c r="BC3119" s="1" t="s">
        <v>74</v>
      </c>
      <c r="BD3119" s="1">
        <v>111401</v>
      </c>
      <c r="BE3119" s="1" t="s">
        <v>49500</v>
      </c>
      <c r="BF3119" s="1" t="str">
        <f>HYPERLINK("http://dx.doi.org/10.1016/j.marpolbul.2020.111401","http://dx.doi.org/10.1016/j.marpolbul.2020.111401")</f>
        <v>http://dx.doi.org/10.1016/j.marpolbul.2020.111401</v>
      </c>
      <c r="BG3119" s="1" t="s">
        <v>74</v>
      </c>
      <c r="BH3119" s="1" t="s">
        <v>74</v>
      </c>
      <c r="BI3119" s="1">
        <v>10</v>
      </c>
      <c r="BJ3119" s="1" t="s">
        <v>247</v>
      </c>
      <c r="BK3119" s="1" t="s">
        <v>96</v>
      </c>
      <c r="BL3119" s="1" t="s">
        <v>248</v>
      </c>
      <c r="BM3119" s="1" t="s">
        <v>20307</v>
      </c>
      <c r="BN3119" s="1">
        <v>32753186</v>
      </c>
      <c r="BO3119" s="1" t="s">
        <v>74</v>
      </c>
      <c r="BP3119" s="1" t="s">
        <v>74</v>
      </c>
      <c r="BQ3119" s="1" t="s">
        <v>74</v>
      </c>
      <c r="BR3119" s="1" t="s">
        <v>98</v>
      </c>
      <c r="BS3119" s="1" t="s">
        <v>49501</v>
      </c>
      <c r="BT3119" s="1" t="str">
        <f>HYPERLINK("https%3A%2F%2Fwww.webofscience.com%2Fwos%2Fwoscc%2Ffull-record%2FWOS:000555500000041","View Full Record in Web of Science")</f>
        <v>View Full Record in Web of Science</v>
      </c>
      <c r="BU3119" s="1"/>
      <c r="BV3119" s="1"/>
    </row>
    <row r="3120" spans="1:74">
      <c r="A3120" s="1" t="s">
        <v>72</v>
      </c>
      <c r="B3120" s="1" t="s">
        <v>49502</v>
      </c>
      <c r="C3120" s="1" t="s">
        <v>74</v>
      </c>
      <c r="D3120" s="1" t="s">
        <v>74</v>
      </c>
      <c r="E3120" s="1" t="s">
        <v>74</v>
      </c>
      <c r="F3120" s="1" t="s">
        <v>49503</v>
      </c>
      <c r="G3120" s="1" t="s">
        <v>74</v>
      </c>
      <c r="H3120" s="1" t="s">
        <v>74</v>
      </c>
      <c r="I3120" s="1" t="s">
        <v>49504</v>
      </c>
      <c r="J3120" s="1" t="s">
        <v>24606</v>
      </c>
      <c r="K3120" s="1" t="s">
        <v>74</v>
      </c>
      <c r="L3120" s="1" t="s">
        <v>74</v>
      </c>
      <c r="M3120" s="1" t="s">
        <v>78</v>
      </c>
      <c r="N3120" s="1" t="s">
        <v>79</v>
      </c>
      <c r="O3120" s="1" t="s">
        <v>74</v>
      </c>
      <c r="P3120" s="1" t="s">
        <v>74</v>
      </c>
      <c r="Q3120" s="1" t="s">
        <v>74</v>
      </c>
      <c r="R3120" s="1" t="s">
        <v>74</v>
      </c>
      <c r="S3120" s="1" t="s">
        <v>74</v>
      </c>
      <c r="T3120" s="1" t="s">
        <v>49505</v>
      </c>
      <c r="U3120" s="1" t="s">
        <v>49506</v>
      </c>
      <c r="V3120" s="1" t="s">
        <v>49507</v>
      </c>
      <c r="W3120" s="1" t="s">
        <v>49508</v>
      </c>
      <c r="X3120" s="1" t="s">
        <v>49509</v>
      </c>
      <c r="Y3120" s="1" t="s">
        <v>49510</v>
      </c>
      <c r="Z3120" s="1" t="s">
        <v>49511</v>
      </c>
      <c r="AA3120" s="1" t="s">
        <v>49512</v>
      </c>
      <c r="AB3120" s="1" t="s">
        <v>74</v>
      </c>
      <c r="AC3120" s="1" t="s">
        <v>49513</v>
      </c>
      <c r="AD3120" s="1" t="s">
        <v>49513</v>
      </c>
      <c r="AE3120" s="1" t="s">
        <v>49514</v>
      </c>
      <c r="AF3120" s="1" t="s">
        <v>74</v>
      </c>
      <c r="AG3120" s="1">
        <v>45</v>
      </c>
      <c r="AH3120" s="1">
        <v>0</v>
      </c>
      <c r="AI3120" s="1">
        <v>0</v>
      </c>
      <c r="AJ3120" s="1">
        <v>0</v>
      </c>
      <c r="AK3120" s="1">
        <v>0</v>
      </c>
      <c r="AL3120" s="1" t="s">
        <v>1566</v>
      </c>
      <c r="AM3120" s="1" t="s">
        <v>1567</v>
      </c>
      <c r="AN3120" s="1" t="s">
        <v>1568</v>
      </c>
      <c r="AO3120" s="1" t="s">
        <v>74</v>
      </c>
      <c r="AP3120" s="1" t="s">
        <v>24619</v>
      </c>
      <c r="AQ3120" s="1" t="s">
        <v>74</v>
      </c>
      <c r="AR3120" s="1" t="s">
        <v>24620</v>
      </c>
      <c r="AS3120" s="1" t="s">
        <v>24621</v>
      </c>
      <c r="AT3120" s="1" t="s">
        <v>93</v>
      </c>
      <c r="AU3120" s="1">
        <v>2024</v>
      </c>
      <c r="AV3120" s="1">
        <v>13</v>
      </c>
      <c r="AW3120" s="1">
        <v>4</v>
      </c>
      <c r="AX3120" s="1" t="s">
        <v>74</v>
      </c>
      <c r="AY3120" s="1" t="s">
        <v>74</v>
      </c>
      <c r="AZ3120" s="1" t="s">
        <v>74</v>
      </c>
      <c r="BA3120" s="1" t="s">
        <v>74</v>
      </c>
      <c r="BB3120" s="1" t="s">
        <v>74</v>
      </c>
      <c r="BC3120" s="1" t="s">
        <v>74</v>
      </c>
      <c r="BD3120" s="1">
        <v>464</v>
      </c>
      <c r="BE3120" s="1" t="s">
        <v>49515</v>
      </c>
      <c r="BF3120" s="1" t="str">
        <f>HYPERLINK("http://dx.doi.org/10.3390/antiox13040464","http://dx.doi.org/10.3390/antiox13040464")</f>
        <v>http://dx.doi.org/10.3390/antiox13040464</v>
      </c>
      <c r="BG3120" s="1" t="s">
        <v>74</v>
      </c>
      <c r="BH3120" s="1" t="s">
        <v>74</v>
      </c>
      <c r="BI3120" s="1">
        <v>13</v>
      </c>
      <c r="BJ3120" s="1" t="s">
        <v>24624</v>
      </c>
      <c r="BK3120" s="1" t="s">
        <v>96</v>
      </c>
      <c r="BL3120" s="1" t="s">
        <v>24625</v>
      </c>
      <c r="BM3120" s="1" t="s">
        <v>49516</v>
      </c>
      <c r="BN3120" s="1">
        <v>38671912</v>
      </c>
      <c r="BO3120" s="1" t="s">
        <v>550</v>
      </c>
      <c r="BP3120" s="1" t="s">
        <v>74</v>
      </c>
      <c r="BQ3120" s="1" t="s">
        <v>74</v>
      </c>
      <c r="BR3120" s="1" t="s">
        <v>98</v>
      </c>
      <c r="BS3120" s="1" t="s">
        <v>49517</v>
      </c>
      <c r="BT3120" s="1" t="str">
        <f>HYPERLINK("https%3A%2F%2Fwww.webofscience.com%2Fwos%2Fwoscc%2Ffull-record%2FWOS:001222236300001","View Full Record in Web of Science")</f>
        <v>View Full Record in Web of Science</v>
      </c>
      <c r="BU3120" s="1"/>
      <c r="BV3120" s="1"/>
    </row>
    <row r="3121" spans="1:74">
      <c r="A3121" s="1" t="s">
        <v>72</v>
      </c>
      <c r="B3121" s="1" t="s">
        <v>49518</v>
      </c>
      <c r="C3121" s="1" t="s">
        <v>74</v>
      </c>
      <c r="D3121" s="1" t="s">
        <v>74</v>
      </c>
      <c r="E3121" s="1" t="s">
        <v>74</v>
      </c>
      <c r="F3121" s="1" t="s">
        <v>49519</v>
      </c>
      <c r="G3121" s="1" t="s">
        <v>74</v>
      </c>
      <c r="H3121" s="1" t="s">
        <v>74</v>
      </c>
      <c r="I3121" s="1" t="s">
        <v>49520</v>
      </c>
      <c r="J3121" s="1" t="s">
        <v>998</v>
      </c>
      <c r="K3121" s="1" t="s">
        <v>74</v>
      </c>
      <c r="L3121" s="1" t="s">
        <v>74</v>
      </c>
      <c r="M3121" s="1" t="s">
        <v>78</v>
      </c>
      <c r="N3121" s="1" t="s">
        <v>79</v>
      </c>
      <c r="O3121" s="1" t="s">
        <v>74</v>
      </c>
      <c r="P3121" s="1" t="s">
        <v>74</v>
      </c>
      <c r="Q3121" s="1" t="s">
        <v>74</v>
      </c>
      <c r="R3121" s="1" t="s">
        <v>74</v>
      </c>
      <c r="S3121" s="1" t="s">
        <v>74</v>
      </c>
      <c r="T3121" s="1" t="s">
        <v>74</v>
      </c>
      <c r="U3121" s="1" t="s">
        <v>49521</v>
      </c>
      <c r="V3121" s="1" t="s">
        <v>49522</v>
      </c>
      <c r="W3121" s="1" t="s">
        <v>49523</v>
      </c>
      <c r="X3121" s="1" t="s">
        <v>49524</v>
      </c>
      <c r="Y3121" s="1" t="s">
        <v>49525</v>
      </c>
      <c r="Z3121" s="1" t="s">
        <v>49526</v>
      </c>
      <c r="AA3121" s="1" t="s">
        <v>49527</v>
      </c>
      <c r="AB3121" s="1" t="s">
        <v>49528</v>
      </c>
      <c r="AC3121" s="1" t="s">
        <v>49529</v>
      </c>
      <c r="AD3121" s="1" t="s">
        <v>49529</v>
      </c>
      <c r="AE3121" s="1" t="s">
        <v>49530</v>
      </c>
      <c r="AF3121" s="1" t="s">
        <v>74</v>
      </c>
      <c r="AG3121" s="1">
        <v>53</v>
      </c>
      <c r="AH3121" s="1">
        <v>53</v>
      </c>
      <c r="AI3121" s="1">
        <v>63</v>
      </c>
      <c r="AJ3121" s="1">
        <v>3</v>
      </c>
      <c r="AK3121" s="1">
        <v>135</v>
      </c>
      <c r="AL3121" s="1" t="s">
        <v>112</v>
      </c>
      <c r="AM3121" s="1" t="s">
        <v>113</v>
      </c>
      <c r="AN3121" s="1" t="s">
        <v>114</v>
      </c>
      <c r="AO3121" s="1" t="s">
        <v>1009</v>
      </c>
      <c r="AP3121" s="1" t="s">
        <v>5996</v>
      </c>
      <c r="AQ3121" s="1" t="s">
        <v>74</v>
      </c>
      <c r="AR3121" s="1" t="s">
        <v>1010</v>
      </c>
      <c r="AS3121" s="1" t="s">
        <v>1011</v>
      </c>
      <c r="AT3121" s="1" t="s">
        <v>224</v>
      </c>
      <c r="AU3121" s="1">
        <v>2012</v>
      </c>
      <c r="AV3121" s="1">
        <v>62</v>
      </c>
      <c r="AW3121" s="1">
        <v>2</v>
      </c>
      <c r="AX3121" s="1" t="s">
        <v>74</v>
      </c>
      <c r="AY3121" s="1" t="s">
        <v>74</v>
      </c>
      <c r="AZ3121" s="1" t="s">
        <v>74</v>
      </c>
      <c r="BA3121" s="1" t="s">
        <v>74</v>
      </c>
      <c r="BB3121" s="1">
        <v>233</v>
      </c>
      <c r="BC3121" s="1">
        <v>242</v>
      </c>
      <c r="BD3121" s="1" t="s">
        <v>74</v>
      </c>
      <c r="BE3121" s="1" t="s">
        <v>49531</v>
      </c>
      <c r="BF3121" s="1" t="str">
        <f>HYPERLINK("http://dx.doi.org/10.1007/s00244-011-9705-8","http://dx.doi.org/10.1007/s00244-011-9705-8")</f>
        <v>http://dx.doi.org/10.1007/s00244-011-9705-8</v>
      </c>
      <c r="BG3121" s="1" t="s">
        <v>74</v>
      </c>
      <c r="BH3121" s="1" t="s">
        <v>74</v>
      </c>
      <c r="BI3121" s="1">
        <v>10</v>
      </c>
      <c r="BJ3121" s="1" t="s">
        <v>121</v>
      </c>
      <c r="BK3121" s="1" t="s">
        <v>96</v>
      </c>
      <c r="BL3121" s="1" t="s">
        <v>122</v>
      </c>
      <c r="BM3121" s="1" t="s">
        <v>49532</v>
      </c>
      <c r="BN3121" s="1">
        <v>21877224</v>
      </c>
      <c r="BO3121" s="1" t="s">
        <v>74</v>
      </c>
      <c r="BP3121" s="1" t="s">
        <v>74</v>
      </c>
      <c r="BQ3121" s="1" t="s">
        <v>74</v>
      </c>
      <c r="BR3121" s="1" t="s">
        <v>98</v>
      </c>
      <c r="BS3121" s="1" t="s">
        <v>49533</v>
      </c>
      <c r="BT3121" s="1" t="str">
        <f>HYPERLINK("https%3A%2F%2Fwww.webofscience.com%2Fwos%2Fwoscc%2Ffull-record%2FWOS:000299509400005","View Full Record in Web of Science")</f>
        <v>View Full Record in Web of Science</v>
      </c>
      <c r="BU3121" s="1"/>
      <c r="BV3121" s="1"/>
    </row>
    <row r="3122" spans="1:74">
      <c r="A3122" s="1" t="s">
        <v>72</v>
      </c>
      <c r="B3122" s="1" t="s">
        <v>49534</v>
      </c>
      <c r="C3122" s="1" t="s">
        <v>74</v>
      </c>
      <c r="D3122" s="1" t="s">
        <v>74</v>
      </c>
      <c r="E3122" s="1" t="s">
        <v>74</v>
      </c>
      <c r="F3122" s="1" t="s">
        <v>49535</v>
      </c>
      <c r="G3122" s="1" t="s">
        <v>74</v>
      </c>
      <c r="H3122" s="1" t="s">
        <v>74</v>
      </c>
      <c r="I3122" s="1" t="s">
        <v>49536</v>
      </c>
      <c r="J3122" s="1" t="s">
        <v>595</v>
      </c>
      <c r="K3122" s="1" t="s">
        <v>74</v>
      </c>
      <c r="L3122" s="1" t="s">
        <v>74</v>
      </c>
      <c r="M3122" s="1" t="s">
        <v>78</v>
      </c>
      <c r="N3122" s="1" t="s">
        <v>79</v>
      </c>
      <c r="O3122" s="1" t="s">
        <v>74</v>
      </c>
      <c r="P3122" s="1" t="s">
        <v>74</v>
      </c>
      <c r="Q3122" s="1" t="s">
        <v>74</v>
      </c>
      <c r="R3122" s="1" t="s">
        <v>74</v>
      </c>
      <c r="S3122" s="1" t="s">
        <v>74</v>
      </c>
      <c r="T3122" s="1" t="s">
        <v>49537</v>
      </c>
      <c r="U3122" s="1" t="s">
        <v>49538</v>
      </c>
      <c r="V3122" s="1" t="s">
        <v>49539</v>
      </c>
      <c r="W3122" s="1" t="s">
        <v>49540</v>
      </c>
      <c r="X3122" s="1" t="s">
        <v>34972</v>
      </c>
      <c r="Y3122" s="1" t="s">
        <v>49541</v>
      </c>
      <c r="Z3122" s="1" t="s">
        <v>49542</v>
      </c>
      <c r="AA3122" s="1" t="s">
        <v>49543</v>
      </c>
      <c r="AB3122" s="1" t="s">
        <v>49544</v>
      </c>
      <c r="AC3122" s="1" t="s">
        <v>49545</v>
      </c>
      <c r="AD3122" s="1" t="s">
        <v>49546</v>
      </c>
      <c r="AE3122" s="1" t="s">
        <v>49547</v>
      </c>
      <c r="AF3122" s="1" t="s">
        <v>74</v>
      </c>
      <c r="AG3122" s="1">
        <v>38</v>
      </c>
      <c r="AH3122" s="1">
        <v>15</v>
      </c>
      <c r="AI3122" s="1">
        <v>16</v>
      </c>
      <c r="AJ3122" s="1">
        <v>0</v>
      </c>
      <c r="AK3122" s="1">
        <v>37</v>
      </c>
      <c r="AL3122" s="1" t="s">
        <v>112</v>
      </c>
      <c r="AM3122" s="1" t="s">
        <v>191</v>
      </c>
      <c r="AN3122" s="1" t="s">
        <v>192</v>
      </c>
      <c r="AO3122" s="1" t="s">
        <v>608</v>
      </c>
      <c r="AP3122" s="1" t="s">
        <v>609</v>
      </c>
      <c r="AQ3122" s="1" t="s">
        <v>74</v>
      </c>
      <c r="AR3122" s="1" t="s">
        <v>595</v>
      </c>
      <c r="AS3122" s="1" t="s">
        <v>610</v>
      </c>
      <c r="AT3122" s="1" t="s">
        <v>170</v>
      </c>
      <c r="AU3122" s="1">
        <v>2015</v>
      </c>
      <c r="AV3122" s="1">
        <v>24</v>
      </c>
      <c r="AW3122" s="1">
        <v>4</v>
      </c>
      <c r="AX3122" s="1" t="s">
        <v>74</v>
      </c>
      <c r="AY3122" s="1" t="s">
        <v>74</v>
      </c>
      <c r="AZ3122" s="1" t="s">
        <v>74</v>
      </c>
      <c r="BA3122" s="1" t="s">
        <v>74</v>
      </c>
      <c r="BB3122" s="1">
        <v>959</v>
      </c>
      <c r="BC3122" s="1">
        <v>966</v>
      </c>
      <c r="BD3122" s="1" t="s">
        <v>74</v>
      </c>
      <c r="BE3122" s="1" t="s">
        <v>49548</v>
      </c>
      <c r="BF3122" s="1" t="str">
        <f>HYPERLINK("http://dx.doi.org/10.1007/s10646-015-1438-4","http://dx.doi.org/10.1007/s10646-015-1438-4")</f>
        <v>http://dx.doi.org/10.1007/s10646-015-1438-4</v>
      </c>
      <c r="BG3122" s="1" t="s">
        <v>74</v>
      </c>
      <c r="BH3122" s="1" t="s">
        <v>74</v>
      </c>
      <c r="BI3122" s="1">
        <v>8</v>
      </c>
      <c r="BJ3122" s="1" t="s">
        <v>612</v>
      </c>
      <c r="BK3122" s="1" t="s">
        <v>96</v>
      </c>
      <c r="BL3122" s="1" t="s">
        <v>122</v>
      </c>
      <c r="BM3122" s="1" t="s">
        <v>49549</v>
      </c>
      <c r="BN3122" s="1">
        <v>25732806</v>
      </c>
      <c r="BO3122" s="1" t="s">
        <v>74</v>
      </c>
      <c r="BP3122" s="1" t="s">
        <v>74</v>
      </c>
      <c r="BQ3122" s="1" t="s">
        <v>74</v>
      </c>
      <c r="BR3122" s="1" t="s">
        <v>98</v>
      </c>
      <c r="BS3122" s="1" t="s">
        <v>49550</v>
      </c>
      <c r="BT3122" s="1" t="str">
        <f>HYPERLINK("https%3A%2F%2Fwww.webofscience.com%2Fwos%2Fwoscc%2Ffull-record%2FWOS:000352441500021","View Full Record in Web of Science")</f>
        <v>View Full Record in Web of Science</v>
      </c>
      <c r="BU3122" s="1"/>
      <c r="BV3122" s="1"/>
    </row>
    <row r="3123" spans="1:74">
      <c r="A3123" s="1" t="s">
        <v>72</v>
      </c>
      <c r="B3123" s="1" t="s">
        <v>49551</v>
      </c>
      <c r="C3123" s="1" t="s">
        <v>74</v>
      </c>
      <c r="D3123" s="1" t="s">
        <v>74</v>
      </c>
      <c r="E3123" s="1" t="s">
        <v>74</v>
      </c>
      <c r="F3123" s="1" t="s">
        <v>49552</v>
      </c>
      <c r="G3123" s="1" t="s">
        <v>74</v>
      </c>
      <c r="H3123" s="1" t="s">
        <v>74</v>
      </c>
      <c r="I3123" s="1" t="s">
        <v>49553</v>
      </c>
      <c r="J3123" s="1" t="s">
        <v>3349</v>
      </c>
      <c r="K3123" s="1" t="s">
        <v>74</v>
      </c>
      <c r="L3123" s="1" t="s">
        <v>74</v>
      </c>
      <c r="M3123" s="1" t="s">
        <v>78</v>
      </c>
      <c r="N3123" s="1" t="s">
        <v>79</v>
      </c>
      <c r="O3123" s="1" t="s">
        <v>74</v>
      </c>
      <c r="P3123" s="1" t="s">
        <v>74</v>
      </c>
      <c r="Q3123" s="1" t="s">
        <v>74</v>
      </c>
      <c r="R3123" s="1" t="s">
        <v>74</v>
      </c>
      <c r="S3123" s="1" t="s">
        <v>74</v>
      </c>
      <c r="T3123" s="1" t="s">
        <v>49554</v>
      </c>
      <c r="U3123" s="1" t="s">
        <v>49555</v>
      </c>
      <c r="V3123" s="1" t="s">
        <v>49556</v>
      </c>
      <c r="W3123" s="1" t="s">
        <v>49557</v>
      </c>
      <c r="X3123" s="1" t="s">
        <v>49558</v>
      </c>
      <c r="Y3123" s="1" t="s">
        <v>49559</v>
      </c>
      <c r="Z3123" s="1" t="s">
        <v>49560</v>
      </c>
      <c r="AA3123" s="1" t="s">
        <v>49561</v>
      </c>
      <c r="AB3123" s="1" t="s">
        <v>49562</v>
      </c>
      <c r="AC3123" s="1" t="s">
        <v>49563</v>
      </c>
      <c r="AD3123" s="1" t="s">
        <v>49563</v>
      </c>
      <c r="AE3123" s="1" t="s">
        <v>49564</v>
      </c>
      <c r="AF3123" s="1" t="s">
        <v>74</v>
      </c>
      <c r="AG3123" s="1">
        <v>64</v>
      </c>
      <c r="AH3123" s="1">
        <v>8</v>
      </c>
      <c r="AI3123" s="1">
        <v>8</v>
      </c>
      <c r="AJ3123" s="1">
        <v>0</v>
      </c>
      <c r="AK3123" s="1">
        <v>21</v>
      </c>
      <c r="AL3123" s="1" t="s">
        <v>3362</v>
      </c>
      <c r="AM3123" s="1" t="s">
        <v>3363</v>
      </c>
      <c r="AN3123" s="1" t="s">
        <v>3364</v>
      </c>
      <c r="AO3123" s="1" t="s">
        <v>3365</v>
      </c>
      <c r="AP3123" s="1" t="s">
        <v>3366</v>
      </c>
      <c r="AQ3123" s="1" t="s">
        <v>74</v>
      </c>
      <c r="AR3123" s="1" t="s">
        <v>3367</v>
      </c>
      <c r="AS3123" s="1" t="s">
        <v>3368</v>
      </c>
      <c r="AT3123" s="1" t="s">
        <v>197</v>
      </c>
      <c r="AU3123" s="1">
        <v>2015</v>
      </c>
      <c r="AV3123" s="1">
        <v>122</v>
      </c>
      <c r="AW3123" s="1" t="s">
        <v>74</v>
      </c>
      <c r="AX3123" s="1" t="s">
        <v>74</v>
      </c>
      <c r="AY3123" s="1" t="s">
        <v>74</v>
      </c>
      <c r="AZ3123" s="1" t="s">
        <v>74</v>
      </c>
      <c r="BA3123" s="1" t="s">
        <v>74</v>
      </c>
      <c r="BB3123" s="1">
        <v>483</v>
      </c>
      <c r="BC3123" s="1">
        <v>489</v>
      </c>
      <c r="BD3123" s="1" t="s">
        <v>74</v>
      </c>
      <c r="BE3123" s="1" t="s">
        <v>49565</v>
      </c>
      <c r="BF3123" s="1" t="str">
        <f>HYPERLINK("http://dx.doi.org/10.1016/j.ecoenv.2015.09.027","http://dx.doi.org/10.1016/j.ecoenv.2015.09.027")</f>
        <v>http://dx.doi.org/10.1016/j.ecoenv.2015.09.027</v>
      </c>
      <c r="BG3123" s="1" t="s">
        <v>74</v>
      </c>
      <c r="BH3123" s="1" t="s">
        <v>74</v>
      </c>
      <c r="BI3123" s="1">
        <v>7</v>
      </c>
      <c r="BJ3123" s="1" t="s">
        <v>121</v>
      </c>
      <c r="BK3123" s="1" t="s">
        <v>96</v>
      </c>
      <c r="BL3123" s="1" t="s">
        <v>122</v>
      </c>
      <c r="BM3123" s="1" t="s">
        <v>49566</v>
      </c>
      <c r="BN3123" s="1">
        <v>26410193</v>
      </c>
      <c r="BO3123" s="1" t="s">
        <v>74</v>
      </c>
      <c r="BP3123" s="1" t="s">
        <v>74</v>
      </c>
      <c r="BQ3123" s="1" t="s">
        <v>74</v>
      </c>
      <c r="BR3123" s="1" t="s">
        <v>98</v>
      </c>
      <c r="BS3123" s="1" t="s">
        <v>49567</v>
      </c>
      <c r="BT3123" s="1" t="str">
        <f>HYPERLINK("https%3A%2F%2Fwww.webofscience.com%2Fwos%2Fwoscc%2Ffull-record%2FWOS:000364263000061","View Full Record in Web of Science")</f>
        <v>View Full Record in Web of Science</v>
      </c>
      <c r="BU3123" s="1"/>
      <c r="BV3123" s="1"/>
    </row>
    <row r="3124" spans="1:74">
      <c r="A3124" s="1" t="s">
        <v>72</v>
      </c>
      <c r="B3124" s="1" t="s">
        <v>49568</v>
      </c>
      <c r="C3124" s="1" t="s">
        <v>74</v>
      </c>
      <c r="D3124" s="1" t="s">
        <v>74</v>
      </c>
      <c r="E3124" s="1" t="s">
        <v>74</v>
      </c>
      <c r="F3124" s="1" t="s">
        <v>49569</v>
      </c>
      <c r="G3124" s="1" t="s">
        <v>74</v>
      </c>
      <c r="H3124" s="1" t="s">
        <v>74</v>
      </c>
      <c r="I3124" s="1" t="s">
        <v>49570</v>
      </c>
      <c r="J3124" s="1" t="s">
        <v>595</v>
      </c>
      <c r="K3124" s="1" t="s">
        <v>74</v>
      </c>
      <c r="L3124" s="1" t="s">
        <v>74</v>
      </c>
      <c r="M3124" s="1" t="s">
        <v>78</v>
      </c>
      <c r="N3124" s="1" t="s">
        <v>79</v>
      </c>
      <c r="O3124" s="1" t="s">
        <v>74</v>
      </c>
      <c r="P3124" s="1" t="s">
        <v>74</v>
      </c>
      <c r="Q3124" s="1" t="s">
        <v>74</v>
      </c>
      <c r="R3124" s="1" t="s">
        <v>74</v>
      </c>
      <c r="S3124" s="1" t="s">
        <v>74</v>
      </c>
      <c r="T3124" s="1" t="s">
        <v>49571</v>
      </c>
      <c r="U3124" s="1" t="s">
        <v>49572</v>
      </c>
      <c r="V3124" s="1" t="s">
        <v>49573</v>
      </c>
      <c r="W3124" s="1" t="s">
        <v>49574</v>
      </c>
      <c r="X3124" s="1" t="s">
        <v>49575</v>
      </c>
      <c r="Y3124" s="1" t="s">
        <v>49576</v>
      </c>
      <c r="Z3124" s="1" t="s">
        <v>49577</v>
      </c>
      <c r="AA3124" s="1" t="s">
        <v>49578</v>
      </c>
      <c r="AB3124" s="1" t="s">
        <v>49579</v>
      </c>
      <c r="AC3124" s="1" t="s">
        <v>49580</v>
      </c>
      <c r="AD3124" s="1" t="s">
        <v>49581</v>
      </c>
      <c r="AE3124" s="1" t="s">
        <v>49582</v>
      </c>
      <c r="AF3124" s="1" t="s">
        <v>74</v>
      </c>
      <c r="AG3124" s="1">
        <v>49</v>
      </c>
      <c r="AH3124" s="1">
        <v>32</v>
      </c>
      <c r="AI3124" s="1">
        <v>37</v>
      </c>
      <c r="AJ3124" s="1">
        <v>2</v>
      </c>
      <c r="AK3124" s="1">
        <v>68</v>
      </c>
      <c r="AL3124" s="1" t="s">
        <v>112</v>
      </c>
      <c r="AM3124" s="1" t="s">
        <v>191</v>
      </c>
      <c r="AN3124" s="1" t="s">
        <v>192</v>
      </c>
      <c r="AO3124" s="1" t="s">
        <v>608</v>
      </c>
      <c r="AP3124" s="1" t="s">
        <v>609</v>
      </c>
      <c r="AQ3124" s="1" t="s">
        <v>74</v>
      </c>
      <c r="AR3124" s="1" t="s">
        <v>595</v>
      </c>
      <c r="AS3124" s="1" t="s">
        <v>610</v>
      </c>
      <c r="AT3124" s="1" t="s">
        <v>305</v>
      </c>
      <c r="AU3124" s="1">
        <v>2014</v>
      </c>
      <c r="AV3124" s="1">
        <v>23</v>
      </c>
      <c r="AW3124" s="1">
        <v>7</v>
      </c>
      <c r="AX3124" s="1" t="s">
        <v>74</v>
      </c>
      <c r="AY3124" s="1" t="s">
        <v>74</v>
      </c>
      <c r="AZ3124" s="1" t="s">
        <v>74</v>
      </c>
      <c r="BA3124" s="1" t="s">
        <v>74</v>
      </c>
      <c r="BB3124" s="1">
        <v>1345</v>
      </c>
      <c r="BC3124" s="1">
        <v>1358</v>
      </c>
      <c r="BD3124" s="1" t="s">
        <v>74</v>
      </c>
      <c r="BE3124" s="1" t="s">
        <v>49583</v>
      </c>
      <c r="BF3124" s="1" t="str">
        <f>HYPERLINK("http://dx.doi.org/10.1007/s10646-014-1277-8","http://dx.doi.org/10.1007/s10646-014-1277-8")</f>
        <v>http://dx.doi.org/10.1007/s10646-014-1277-8</v>
      </c>
      <c r="BG3124" s="1" t="s">
        <v>74</v>
      </c>
      <c r="BH3124" s="1" t="s">
        <v>74</v>
      </c>
      <c r="BI3124" s="1">
        <v>14</v>
      </c>
      <c r="BJ3124" s="1" t="s">
        <v>612</v>
      </c>
      <c r="BK3124" s="1" t="s">
        <v>96</v>
      </c>
      <c r="BL3124" s="1" t="s">
        <v>122</v>
      </c>
      <c r="BM3124" s="1" t="s">
        <v>49584</v>
      </c>
      <c r="BN3124" s="1">
        <v>24996530</v>
      </c>
      <c r="BO3124" s="1" t="s">
        <v>74</v>
      </c>
      <c r="BP3124" s="1" t="s">
        <v>74</v>
      </c>
      <c r="BQ3124" s="1" t="s">
        <v>74</v>
      </c>
      <c r="BR3124" s="1" t="s">
        <v>98</v>
      </c>
      <c r="BS3124" s="1" t="s">
        <v>49585</v>
      </c>
      <c r="BT3124" s="1" t="str">
        <f>HYPERLINK("https%3A%2F%2Fwww.webofscience.com%2Fwos%2Fwoscc%2Ffull-record%2FWOS:000340548700020","View Full Record in Web of Science")</f>
        <v>View Full Record in Web of Science</v>
      </c>
      <c r="BU3124" s="1"/>
      <c r="BV3124" s="1"/>
    </row>
    <row r="3125" spans="1:74">
      <c r="A3125" s="1" t="s">
        <v>72</v>
      </c>
      <c r="B3125" s="1" t="s">
        <v>49586</v>
      </c>
      <c r="C3125" s="1" t="s">
        <v>74</v>
      </c>
      <c r="D3125" s="1" t="s">
        <v>74</v>
      </c>
      <c r="E3125" s="1" t="s">
        <v>74</v>
      </c>
      <c r="F3125" s="1" t="s">
        <v>49587</v>
      </c>
      <c r="G3125" s="1" t="s">
        <v>74</v>
      </c>
      <c r="H3125" s="1" t="s">
        <v>74</v>
      </c>
      <c r="I3125" s="1" t="s">
        <v>49588</v>
      </c>
      <c r="J3125" s="1" t="s">
        <v>49589</v>
      </c>
      <c r="K3125" s="1" t="s">
        <v>74</v>
      </c>
      <c r="L3125" s="1" t="s">
        <v>74</v>
      </c>
      <c r="M3125" s="1" t="s">
        <v>78</v>
      </c>
      <c r="N3125" s="1" t="s">
        <v>79</v>
      </c>
      <c r="O3125" s="1" t="s">
        <v>74</v>
      </c>
      <c r="P3125" s="1" t="s">
        <v>74</v>
      </c>
      <c r="Q3125" s="1" t="s">
        <v>74</v>
      </c>
      <c r="R3125" s="1" t="s">
        <v>74</v>
      </c>
      <c r="S3125" s="1" t="s">
        <v>74</v>
      </c>
      <c r="T3125" s="1" t="s">
        <v>49590</v>
      </c>
      <c r="U3125" s="1" t="s">
        <v>49591</v>
      </c>
      <c r="V3125" s="1" t="s">
        <v>49592</v>
      </c>
      <c r="W3125" s="1" t="s">
        <v>49593</v>
      </c>
      <c r="X3125" s="1" t="s">
        <v>49594</v>
      </c>
      <c r="Y3125" s="1" t="s">
        <v>49595</v>
      </c>
      <c r="Z3125" s="1" t="s">
        <v>49596</v>
      </c>
      <c r="AA3125" s="1" t="s">
        <v>49597</v>
      </c>
      <c r="AB3125" s="1" t="s">
        <v>49598</v>
      </c>
      <c r="AC3125" s="1" t="s">
        <v>74</v>
      </c>
      <c r="AD3125" s="1" t="s">
        <v>74</v>
      </c>
      <c r="AE3125" s="1" t="s">
        <v>74</v>
      </c>
      <c r="AF3125" s="1" t="s">
        <v>74</v>
      </c>
      <c r="AG3125" s="1">
        <v>145</v>
      </c>
      <c r="AH3125" s="1">
        <v>5</v>
      </c>
      <c r="AI3125" s="1">
        <v>5</v>
      </c>
      <c r="AJ3125" s="1">
        <v>3</v>
      </c>
      <c r="AK3125" s="1">
        <v>6</v>
      </c>
      <c r="AL3125" s="1" t="s">
        <v>86</v>
      </c>
      <c r="AM3125" s="1" t="s">
        <v>87</v>
      </c>
      <c r="AN3125" s="1" t="s">
        <v>88</v>
      </c>
      <c r="AO3125" s="1" t="s">
        <v>49599</v>
      </c>
      <c r="AP3125" s="1" t="s">
        <v>49600</v>
      </c>
      <c r="AQ3125" s="1" t="s">
        <v>74</v>
      </c>
      <c r="AR3125" s="1" t="s">
        <v>49601</v>
      </c>
      <c r="AS3125" s="1" t="s">
        <v>49602</v>
      </c>
      <c r="AT3125" s="1" t="s">
        <v>170</v>
      </c>
      <c r="AU3125" s="1">
        <v>2024</v>
      </c>
      <c r="AV3125" s="1">
        <v>87</v>
      </c>
      <c r="AW3125" s="1">
        <v>5</v>
      </c>
      <c r="AX3125" s="1" t="s">
        <v>74</v>
      </c>
      <c r="AY3125" s="1" t="s">
        <v>74</v>
      </c>
      <c r="AZ3125" s="1" t="s">
        <v>74</v>
      </c>
      <c r="BA3125" s="1" t="s">
        <v>74</v>
      </c>
      <c r="BB3125" s="1">
        <v>1092</v>
      </c>
      <c r="BC3125" s="1">
        <v>1110</v>
      </c>
      <c r="BD3125" s="1" t="s">
        <v>74</v>
      </c>
      <c r="BE3125" s="1" t="s">
        <v>49603</v>
      </c>
      <c r="BF3125" s="1" t="str">
        <f>HYPERLINK("http://dx.doi.org/10.1002/jemt.24483","http://dx.doi.org/10.1002/jemt.24483")</f>
        <v>http://dx.doi.org/10.1002/jemt.24483</v>
      </c>
      <c r="BG3125" s="1" t="s">
        <v>74</v>
      </c>
      <c r="BH3125" s="1" t="s">
        <v>5287</v>
      </c>
      <c r="BI3125" s="1">
        <v>19</v>
      </c>
      <c r="BJ3125" s="1" t="s">
        <v>49604</v>
      </c>
      <c r="BK3125" s="1" t="s">
        <v>96</v>
      </c>
      <c r="BL3125" s="1" t="s">
        <v>49605</v>
      </c>
      <c r="BM3125" s="1" t="s">
        <v>49606</v>
      </c>
      <c r="BN3125" s="1">
        <v>38251430</v>
      </c>
      <c r="BO3125" s="1" t="s">
        <v>476</v>
      </c>
      <c r="BP3125" s="1" t="s">
        <v>74</v>
      </c>
      <c r="BQ3125" s="1" t="s">
        <v>74</v>
      </c>
      <c r="BR3125" s="1" t="s">
        <v>98</v>
      </c>
      <c r="BS3125" s="1" t="s">
        <v>49607</v>
      </c>
      <c r="BT3125" s="1" t="str">
        <f>HYPERLINK("https%3A%2F%2Fwww.webofscience.com%2Fwos%2Fwoscc%2Ffull-record%2FWOS:001146429000001","View Full Record in Web of Science")</f>
        <v>View Full Record in Web of Science</v>
      </c>
      <c r="BU3125" s="1"/>
      <c r="BV3125" s="1"/>
    </row>
    <row r="3126" spans="1:74">
      <c r="A3126" s="1" t="s">
        <v>72</v>
      </c>
      <c r="B3126" s="1" t="s">
        <v>49608</v>
      </c>
      <c r="C3126" s="1" t="s">
        <v>74</v>
      </c>
      <c r="D3126" s="1" t="s">
        <v>74</v>
      </c>
      <c r="E3126" s="1" t="s">
        <v>74</v>
      </c>
      <c r="F3126" s="1" t="s">
        <v>49609</v>
      </c>
      <c r="G3126" s="1" t="s">
        <v>74</v>
      </c>
      <c r="H3126" s="1" t="s">
        <v>74</v>
      </c>
      <c r="I3126" s="1" t="s">
        <v>49610</v>
      </c>
      <c r="J3126" s="1" t="s">
        <v>204</v>
      </c>
      <c r="K3126" s="1" t="s">
        <v>74</v>
      </c>
      <c r="L3126" s="1" t="s">
        <v>74</v>
      </c>
      <c r="M3126" s="1" t="s">
        <v>78</v>
      </c>
      <c r="N3126" s="1" t="s">
        <v>79</v>
      </c>
      <c r="O3126" s="1" t="s">
        <v>74</v>
      </c>
      <c r="P3126" s="1" t="s">
        <v>74</v>
      </c>
      <c r="Q3126" s="1" t="s">
        <v>74</v>
      </c>
      <c r="R3126" s="1" t="s">
        <v>74</v>
      </c>
      <c r="S3126" s="1" t="s">
        <v>74</v>
      </c>
      <c r="T3126" s="1" t="s">
        <v>49611</v>
      </c>
      <c r="U3126" s="1" t="s">
        <v>49612</v>
      </c>
      <c r="V3126" s="1" t="s">
        <v>49613</v>
      </c>
      <c r="W3126" s="1" t="s">
        <v>49614</v>
      </c>
      <c r="X3126" s="1" t="s">
        <v>2697</v>
      </c>
      <c r="Y3126" s="1" t="s">
        <v>49615</v>
      </c>
      <c r="Z3126" s="1" t="s">
        <v>49616</v>
      </c>
      <c r="AA3126" s="1" t="s">
        <v>49617</v>
      </c>
      <c r="AB3126" s="1" t="s">
        <v>49618</v>
      </c>
      <c r="AC3126" s="1" t="s">
        <v>49619</v>
      </c>
      <c r="AD3126" s="1" t="s">
        <v>49620</v>
      </c>
      <c r="AE3126" s="1" t="s">
        <v>49621</v>
      </c>
      <c r="AF3126" s="1" t="s">
        <v>74</v>
      </c>
      <c r="AG3126" s="1">
        <v>88</v>
      </c>
      <c r="AH3126" s="1">
        <v>0</v>
      </c>
      <c r="AI3126" s="1">
        <v>1</v>
      </c>
      <c r="AJ3126" s="1">
        <v>5</v>
      </c>
      <c r="AK3126" s="1">
        <v>9</v>
      </c>
      <c r="AL3126" s="1" t="s">
        <v>217</v>
      </c>
      <c r="AM3126" s="1" t="s">
        <v>218</v>
      </c>
      <c r="AN3126" s="1" t="s">
        <v>219</v>
      </c>
      <c r="AO3126" s="1" t="s">
        <v>220</v>
      </c>
      <c r="AP3126" s="1" t="s">
        <v>221</v>
      </c>
      <c r="AQ3126" s="1" t="s">
        <v>74</v>
      </c>
      <c r="AR3126" s="1" t="s">
        <v>222</v>
      </c>
      <c r="AS3126" s="1" t="s">
        <v>223</v>
      </c>
      <c r="AT3126" s="1" t="s">
        <v>1470</v>
      </c>
      <c r="AU3126" s="1">
        <v>2024</v>
      </c>
      <c r="AV3126" s="1">
        <v>31</v>
      </c>
      <c r="AW3126" s="1">
        <v>4</v>
      </c>
      <c r="AX3126" s="1" t="s">
        <v>74</v>
      </c>
      <c r="AY3126" s="1" t="s">
        <v>74</v>
      </c>
      <c r="AZ3126" s="1" t="s">
        <v>74</v>
      </c>
      <c r="BA3126" s="1" t="s">
        <v>74</v>
      </c>
      <c r="BB3126" s="1">
        <v>6010</v>
      </c>
      <c r="BC3126" s="1">
        <v>6024</v>
      </c>
      <c r="BD3126" s="1" t="s">
        <v>74</v>
      </c>
      <c r="BE3126" s="1" t="s">
        <v>49622</v>
      </c>
      <c r="BF3126" s="1" t="str">
        <f>HYPERLINK("http://dx.doi.org/10.1007/s11356-023-31550-0","http://dx.doi.org/10.1007/s11356-023-31550-0")</f>
        <v>http://dx.doi.org/10.1007/s11356-023-31550-0</v>
      </c>
      <c r="BG3126" s="1" t="s">
        <v>74</v>
      </c>
      <c r="BH3126" s="1" t="s">
        <v>3832</v>
      </c>
      <c r="BI3126" s="1">
        <v>15</v>
      </c>
      <c r="BJ3126" s="1" t="s">
        <v>144</v>
      </c>
      <c r="BK3126" s="1" t="s">
        <v>96</v>
      </c>
      <c r="BL3126" s="1" t="s">
        <v>145</v>
      </c>
      <c r="BM3126" s="1" t="s">
        <v>49623</v>
      </c>
      <c r="BN3126" s="1">
        <v>38133759</v>
      </c>
      <c r="BO3126" s="1" t="s">
        <v>810</v>
      </c>
      <c r="BP3126" s="1" t="s">
        <v>74</v>
      </c>
      <c r="BQ3126" s="1" t="s">
        <v>74</v>
      </c>
      <c r="BR3126" s="1" t="s">
        <v>98</v>
      </c>
      <c r="BS3126" s="1" t="s">
        <v>49624</v>
      </c>
      <c r="BT3126" s="1" t="str">
        <f>HYPERLINK("https%3A%2F%2Fwww.webofscience.com%2Fwos%2Fwoscc%2Ffull-record%2FWOS:001131529900004","View Full Record in Web of Science")</f>
        <v>View Full Record in Web of Science</v>
      </c>
      <c r="BU3126" s="1"/>
      <c r="BV3126" s="1"/>
    </row>
    <row r="3127" spans="1:74">
      <c r="A3127" s="1" t="s">
        <v>72</v>
      </c>
      <c r="B3127" s="1" t="s">
        <v>49625</v>
      </c>
      <c r="C3127" s="1" t="s">
        <v>74</v>
      </c>
      <c r="D3127" s="1" t="s">
        <v>74</v>
      </c>
      <c r="E3127" s="1" t="s">
        <v>74</v>
      </c>
      <c r="F3127" s="1" t="s">
        <v>49625</v>
      </c>
      <c r="G3127" s="1" t="s">
        <v>74</v>
      </c>
      <c r="H3127" s="1" t="s">
        <v>74</v>
      </c>
      <c r="I3127" s="1" t="s">
        <v>49626</v>
      </c>
      <c r="J3127" s="1" t="s">
        <v>7461</v>
      </c>
      <c r="K3127" s="1" t="s">
        <v>74</v>
      </c>
      <c r="L3127" s="1" t="s">
        <v>74</v>
      </c>
      <c r="M3127" s="1" t="s">
        <v>78</v>
      </c>
      <c r="N3127" s="1" t="s">
        <v>151</v>
      </c>
      <c r="O3127" s="1" t="s">
        <v>49627</v>
      </c>
      <c r="P3127" s="1" t="s">
        <v>49628</v>
      </c>
      <c r="Q3127" s="1" t="s">
        <v>49629</v>
      </c>
      <c r="R3127" s="1" t="s">
        <v>74</v>
      </c>
      <c r="S3127" s="1" t="s">
        <v>49630</v>
      </c>
      <c r="T3127" s="1" t="s">
        <v>74</v>
      </c>
      <c r="U3127" s="1" t="s">
        <v>49631</v>
      </c>
      <c r="V3127" s="1" t="s">
        <v>49632</v>
      </c>
      <c r="W3127" s="1" t="s">
        <v>74</v>
      </c>
      <c r="X3127" s="1" t="s">
        <v>74</v>
      </c>
      <c r="Y3127" s="1" t="s">
        <v>49633</v>
      </c>
      <c r="Z3127" s="1" t="s">
        <v>74</v>
      </c>
      <c r="AA3127" s="1" t="s">
        <v>46914</v>
      </c>
      <c r="AB3127" s="1" t="s">
        <v>46915</v>
      </c>
      <c r="AC3127" s="1" t="s">
        <v>74</v>
      </c>
      <c r="AD3127" s="1" t="s">
        <v>74</v>
      </c>
      <c r="AE3127" s="1" t="s">
        <v>74</v>
      </c>
      <c r="AF3127" s="1" t="s">
        <v>74</v>
      </c>
      <c r="AG3127" s="1">
        <v>39</v>
      </c>
      <c r="AH3127" s="1">
        <v>35</v>
      </c>
      <c r="AI3127" s="1">
        <v>36</v>
      </c>
      <c r="AJ3127" s="1">
        <v>0</v>
      </c>
      <c r="AK3127" s="1">
        <v>14</v>
      </c>
      <c r="AL3127" s="1" t="s">
        <v>136</v>
      </c>
      <c r="AM3127" s="1" t="s">
        <v>137</v>
      </c>
      <c r="AN3127" s="1" t="s">
        <v>583</v>
      </c>
      <c r="AO3127" s="1" t="s">
        <v>7469</v>
      </c>
      <c r="AP3127" s="1" t="s">
        <v>74</v>
      </c>
      <c r="AQ3127" s="1" t="s">
        <v>74</v>
      </c>
      <c r="AR3127" s="1" t="s">
        <v>568</v>
      </c>
      <c r="AS3127" s="1" t="s">
        <v>7470</v>
      </c>
      <c r="AT3127" s="1" t="s">
        <v>170</v>
      </c>
      <c r="AU3127" s="1">
        <v>1992</v>
      </c>
      <c r="AV3127" s="1">
        <v>102</v>
      </c>
      <c r="AW3127" s="1">
        <v>1</v>
      </c>
      <c r="AX3127" s="1" t="s">
        <v>74</v>
      </c>
      <c r="AY3127" s="1" t="s">
        <v>74</v>
      </c>
      <c r="AZ3127" s="1" t="s">
        <v>74</v>
      </c>
      <c r="BA3127" s="1" t="s">
        <v>74</v>
      </c>
      <c r="BB3127" s="1">
        <v>103</v>
      </c>
      <c r="BC3127" s="1">
        <v>112</v>
      </c>
      <c r="BD3127" s="1" t="s">
        <v>74</v>
      </c>
      <c r="BE3127" s="1" t="s">
        <v>49634</v>
      </c>
      <c r="BF3127" s="1" t="str">
        <f>HYPERLINK("http://dx.doi.org/10.1016/0742-8413(92)90051-8","http://dx.doi.org/10.1016/0742-8413(92)90051-8")</f>
        <v>http://dx.doi.org/10.1016/0742-8413(92)90051-8</v>
      </c>
      <c r="BG3127" s="1" t="s">
        <v>74</v>
      </c>
      <c r="BH3127" s="1" t="s">
        <v>74</v>
      </c>
      <c r="BI3127" s="1">
        <v>10</v>
      </c>
      <c r="BJ3127" s="1" t="s">
        <v>571</v>
      </c>
      <c r="BK3127" s="1" t="s">
        <v>588</v>
      </c>
      <c r="BL3127" s="1" t="s">
        <v>571</v>
      </c>
      <c r="BM3127" s="1" t="s">
        <v>49635</v>
      </c>
      <c r="BN3127" s="1">
        <v>1358514</v>
      </c>
      <c r="BO3127" s="1" t="s">
        <v>74</v>
      </c>
      <c r="BP3127" s="1" t="s">
        <v>74</v>
      </c>
      <c r="BQ3127" s="1" t="s">
        <v>74</v>
      </c>
      <c r="BR3127" s="1" t="s">
        <v>98</v>
      </c>
      <c r="BS3127" s="1" t="s">
        <v>49636</v>
      </c>
      <c r="BT3127" s="1" t="str">
        <f>HYPERLINK("https%3A%2F%2Fwww.webofscience.com%2Fwos%2Fwoscc%2Ffull-record%2FWOS:A1992JC66900019","View Full Record in Web of Science")</f>
        <v>View Full Record in Web of Science</v>
      </c>
      <c r="BU3127" s="1"/>
      <c r="BV3127" s="1"/>
    </row>
    <row r="3128" spans="1:74">
      <c r="A3128" s="1" t="s">
        <v>72</v>
      </c>
      <c r="B3128" s="1" t="s">
        <v>49637</v>
      </c>
      <c r="C3128" s="1" t="s">
        <v>74</v>
      </c>
      <c r="D3128" s="1" t="s">
        <v>74</v>
      </c>
      <c r="E3128" s="1" t="s">
        <v>74</v>
      </c>
      <c r="F3128" s="1" t="s">
        <v>49638</v>
      </c>
      <c r="G3128" s="1" t="s">
        <v>74</v>
      </c>
      <c r="H3128" s="1" t="s">
        <v>74</v>
      </c>
      <c r="I3128" s="1" t="s">
        <v>49639</v>
      </c>
      <c r="J3128" s="1" t="s">
        <v>49640</v>
      </c>
      <c r="K3128" s="1" t="s">
        <v>74</v>
      </c>
      <c r="L3128" s="1" t="s">
        <v>74</v>
      </c>
      <c r="M3128" s="1" t="s">
        <v>78</v>
      </c>
      <c r="N3128" s="1" t="s">
        <v>79</v>
      </c>
      <c r="O3128" s="1" t="s">
        <v>74</v>
      </c>
      <c r="P3128" s="1" t="s">
        <v>74</v>
      </c>
      <c r="Q3128" s="1" t="s">
        <v>74</v>
      </c>
      <c r="R3128" s="1" t="s">
        <v>74</v>
      </c>
      <c r="S3128" s="1" t="s">
        <v>74</v>
      </c>
      <c r="T3128" s="1" t="s">
        <v>49641</v>
      </c>
      <c r="U3128" s="1" t="s">
        <v>49642</v>
      </c>
      <c r="V3128" s="1" t="s">
        <v>49643</v>
      </c>
      <c r="W3128" s="1" t="s">
        <v>49644</v>
      </c>
      <c r="X3128" s="1" t="s">
        <v>49645</v>
      </c>
      <c r="Y3128" s="1" t="s">
        <v>49646</v>
      </c>
      <c r="Z3128" s="1" t="s">
        <v>49647</v>
      </c>
      <c r="AA3128" s="1" t="s">
        <v>49648</v>
      </c>
      <c r="AB3128" s="1" t="s">
        <v>74</v>
      </c>
      <c r="AC3128" s="1" t="s">
        <v>74</v>
      </c>
      <c r="AD3128" s="1" t="s">
        <v>74</v>
      </c>
      <c r="AE3128" s="1" t="s">
        <v>74</v>
      </c>
      <c r="AF3128" s="1" t="s">
        <v>74</v>
      </c>
      <c r="AG3128" s="1">
        <v>31</v>
      </c>
      <c r="AH3128" s="1">
        <v>4</v>
      </c>
      <c r="AI3128" s="1">
        <v>4</v>
      </c>
      <c r="AJ3128" s="1">
        <v>0</v>
      </c>
      <c r="AK3128" s="1">
        <v>7</v>
      </c>
      <c r="AL3128" s="1" t="s">
        <v>49649</v>
      </c>
      <c r="AM3128" s="1" t="s">
        <v>49650</v>
      </c>
      <c r="AN3128" s="1" t="s">
        <v>49651</v>
      </c>
      <c r="AO3128" s="1" t="s">
        <v>49652</v>
      </c>
      <c r="AP3128" s="1" t="s">
        <v>74</v>
      </c>
      <c r="AQ3128" s="1" t="s">
        <v>74</v>
      </c>
      <c r="AR3128" s="1" t="s">
        <v>49653</v>
      </c>
      <c r="AS3128" s="1" t="s">
        <v>49654</v>
      </c>
      <c r="AT3128" s="1" t="s">
        <v>48426</v>
      </c>
      <c r="AU3128" s="1">
        <v>2022</v>
      </c>
      <c r="AV3128" s="1">
        <v>82</v>
      </c>
      <c r="AW3128" s="1">
        <v>3</v>
      </c>
      <c r="AX3128" s="1" t="s">
        <v>74</v>
      </c>
      <c r="AY3128" s="1" t="s">
        <v>74</v>
      </c>
      <c r="AZ3128" s="1" t="s">
        <v>74</v>
      </c>
      <c r="BA3128" s="1" t="s">
        <v>74</v>
      </c>
      <c r="BB3128" s="1">
        <v>399</v>
      </c>
      <c r="BC3128" s="1">
        <v>406</v>
      </c>
      <c r="BD3128" s="1" t="s">
        <v>74</v>
      </c>
      <c r="BE3128" s="1" t="s">
        <v>49655</v>
      </c>
      <c r="BF3128" s="1" t="str">
        <f>HYPERLINK("http://dx.doi.org/10.4067/S0718-58392022000300399","http://dx.doi.org/10.4067/S0718-58392022000300399")</f>
        <v>http://dx.doi.org/10.4067/S0718-58392022000300399</v>
      </c>
      <c r="BG3128" s="1" t="s">
        <v>74</v>
      </c>
      <c r="BH3128" s="1" t="s">
        <v>74</v>
      </c>
      <c r="BI3128" s="1">
        <v>8</v>
      </c>
      <c r="BJ3128" s="1" t="s">
        <v>49656</v>
      </c>
      <c r="BK3128" s="1" t="s">
        <v>96</v>
      </c>
      <c r="BL3128" s="1" t="s">
        <v>4121</v>
      </c>
      <c r="BM3128" s="1" t="s">
        <v>49657</v>
      </c>
      <c r="BN3128" s="1" t="s">
        <v>74</v>
      </c>
      <c r="BO3128" s="1" t="s">
        <v>873</v>
      </c>
      <c r="BP3128" s="1" t="s">
        <v>74</v>
      </c>
      <c r="BQ3128" s="1" t="s">
        <v>74</v>
      </c>
      <c r="BR3128" s="1" t="s">
        <v>98</v>
      </c>
      <c r="BS3128" s="1" t="s">
        <v>49658</v>
      </c>
      <c r="BT3128" s="1" t="str">
        <f>HYPERLINK("https%3A%2F%2Fwww.webofscience.com%2Fwos%2Fwoscc%2Ffull-record%2FWOS:000822716900001","View Full Record in Web of Science")</f>
        <v>View Full Record in Web of Science</v>
      </c>
      <c r="BU3128" s="1"/>
      <c r="BV3128" s="1"/>
    </row>
    <row r="3129" spans="1:74">
      <c r="A3129" s="1" t="s">
        <v>72</v>
      </c>
      <c r="B3129" s="1" t="s">
        <v>49659</v>
      </c>
      <c r="C3129" s="1" t="s">
        <v>74</v>
      </c>
      <c r="D3129" s="1" t="s">
        <v>74</v>
      </c>
      <c r="E3129" s="1" t="s">
        <v>74</v>
      </c>
      <c r="F3129" s="1" t="s">
        <v>49660</v>
      </c>
      <c r="G3129" s="1" t="s">
        <v>74</v>
      </c>
      <c r="H3129" s="1" t="s">
        <v>74</v>
      </c>
      <c r="I3129" s="1" t="s">
        <v>49661</v>
      </c>
      <c r="J3129" s="1" t="s">
        <v>49662</v>
      </c>
      <c r="K3129" s="1" t="s">
        <v>74</v>
      </c>
      <c r="L3129" s="1" t="s">
        <v>74</v>
      </c>
      <c r="M3129" s="1" t="s">
        <v>78</v>
      </c>
      <c r="N3129" s="1" t="s">
        <v>79</v>
      </c>
      <c r="O3129" s="1" t="s">
        <v>74</v>
      </c>
      <c r="P3129" s="1" t="s">
        <v>74</v>
      </c>
      <c r="Q3129" s="1" t="s">
        <v>74</v>
      </c>
      <c r="R3129" s="1" t="s">
        <v>74</v>
      </c>
      <c r="S3129" s="1" t="s">
        <v>74</v>
      </c>
      <c r="T3129" s="1" t="s">
        <v>49663</v>
      </c>
      <c r="U3129" s="1" t="s">
        <v>49664</v>
      </c>
      <c r="V3129" s="1" t="s">
        <v>49665</v>
      </c>
      <c r="W3129" s="1" t="s">
        <v>49666</v>
      </c>
      <c r="X3129" s="1" t="s">
        <v>49667</v>
      </c>
      <c r="Y3129" s="1" t="s">
        <v>49668</v>
      </c>
      <c r="Z3129" s="1" t="s">
        <v>49669</v>
      </c>
      <c r="AA3129" s="1" t="s">
        <v>49670</v>
      </c>
      <c r="AB3129" s="1" t="s">
        <v>49671</v>
      </c>
      <c r="AC3129" s="1" t="s">
        <v>49672</v>
      </c>
      <c r="AD3129" s="1" t="s">
        <v>49673</v>
      </c>
      <c r="AE3129" s="1" t="s">
        <v>49674</v>
      </c>
      <c r="AF3129" s="1" t="s">
        <v>74</v>
      </c>
      <c r="AG3129" s="1">
        <v>59</v>
      </c>
      <c r="AH3129" s="1">
        <v>1</v>
      </c>
      <c r="AI3129" s="1">
        <v>1</v>
      </c>
      <c r="AJ3129" s="1">
        <v>0</v>
      </c>
      <c r="AK3129" s="1">
        <v>3</v>
      </c>
      <c r="AL3129" s="1" t="s">
        <v>1566</v>
      </c>
      <c r="AM3129" s="1" t="s">
        <v>1567</v>
      </c>
      <c r="AN3129" s="1" t="s">
        <v>1568</v>
      </c>
      <c r="AO3129" s="1" t="s">
        <v>74</v>
      </c>
      <c r="AP3129" s="1" t="s">
        <v>49675</v>
      </c>
      <c r="AQ3129" s="1" t="s">
        <v>74</v>
      </c>
      <c r="AR3129" s="1" t="s">
        <v>49676</v>
      </c>
      <c r="AS3129" s="1" t="s">
        <v>49677</v>
      </c>
      <c r="AT3129" s="1" t="s">
        <v>305</v>
      </c>
      <c r="AU3129" s="1">
        <v>2022</v>
      </c>
      <c r="AV3129" s="1">
        <v>13</v>
      </c>
      <c r="AW3129" s="1">
        <v>9</v>
      </c>
      <c r="AX3129" s="1" t="s">
        <v>74</v>
      </c>
      <c r="AY3129" s="1" t="s">
        <v>74</v>
      </c>
      <c r="AZ3129" s="1" t="s">
        <v>74</v>
      </c>
      <c r="BA3129" s="1" t="s">
        <v>74</v>
      </c>
      <c r="BB3129" s="1" t="s">
        <v>74</v>
      </c>
      <c r="BC3129" s="1" t="s">
        <v>74</v>
      </c>
      <c r="BD3129" s="1">
        <v>1549</v>
      </c>
      <c r="BE3129" s="1" t="s">
        <v>49678</v>
      </c>
      <c r="BF3129" s="1" t="str">
        <f>HYPERLINK("http://dx.doi.org/10.3390/mi13091549","http://dx.doi.org/10.3390/mi13091549")</f>
        <v>http://dx.doi.org/10.3390/mi13091549</v>
      </c>
      <c r="BG3129" s="1" t="s">
        <v>74</v>
      </c>
      <c r="BH3129" s="1" t="s">
        <v>74</v>
      </c>
      <c r="BI3129" s="1">
        <v>12</v>
      </c>
      <c r="BJ3129" s="1" t="s">
        <v>49679</v>
      </c>
      <c r="BK3129" s="1" t="s">
        <v>96</v>
      </c>
      <c r="BL3129" s="1" t="s">
        <v>49680</v>
      </c>
      <c r="BM3129" s="1" t="s">
        <v>49681</v>
      </c>
      <c r="BN3129" s="1">
        <v>36144172</v>
      </c>
      <c r="BO3129" s="1" t="s">
        <v>2155</v>
      </c>
      <c r="BP3129" s="1" t="s">
        <v>74</v>
      </c>
      <c r="BQ3129" s="1" t="s">
        <v>74</v>
      </c>
      <c r="BR3129" s="1" t="s">
        <v>98</v>
      </c>
      <c r="BS3129" s="1" t="s">
        <v>49682</v>
      </c>
      <c r="BT3129" s="1" t="str">
        <f>HYPERLINK("https%3A%2F%2Fwww.webofscience.com%2Fwos%2Fwoscc%2Ffull-record%2FWOS:000858685200001","View Full Record in Web of Science")</f>
        <v>View Full Record in Web of Science</v>
      </c>
      <c r="BU3129" s="1"/>
      <c r="BV3129" s="1"/>
    </row>
    <row r="3130" spans="1:74">
      <c r="A3130" s="1" t="s">
        <v>72</v>
      </c>
      <c r="B3130" s="1" t="s">
        <v>49683</v>
      </c>
      <c r="C3130" s="1" t="s">
        <v>74</v>
      </c>
      <c r="D3130" s="1" t="s">
        <v>74</v>
      </c>
      <c r="E3130" s="1" t="s">
        <v>74</v>
      </c>
      <c r="F3130" s="1" t="s">
        <v>49684</v>
      </c>
      <c r="G3130" s="1" t="s">
        <v>74</v>
      </c>
      <c r="H3130" s="1" t="s">
        <v>74</v>
      </c>
      <c r="I3130" s="1" t="s">
        <v>49685</v>
      </c>
      <c r="J3130" s="1" t="s">
        <v>33356</v>
      </c>
      <c r="K3130" s="1" t="s">
        <v>74</v>
      </c>
      <c r="L3130" s="1" t="s">
        <v>74</v>
      </c>
      <c r="M3130" s="1" t="s">
        <v>78</v>
      </c>
      <c r="N3130" s="1" t="s">
        <v>79</v>
      </c>
      <c r="O3130" s="1" t="s">
        <v>74</v>
      </c>
      <c r="P3130" s="1" t="s">
        <v>74</v>
      </c>
      <c r="Q3130" s="1" t="s">
        <v>74</v>
      </c>
      <c r="R3130" s="1" t="s">
        <v>74</v>
      </c>
      <c r="S3130" s="1" t="s">
        <v>74</v>
      </c>
      <c r="T3130" s="1" t="s">
        <v>49686</v>
      </c>
      <c r="U3130" s="1" t="s">
        <v>49687</v>
      </c>
      <c r="V3130" s="1" t="s">
        <v>49688</v>
      </c>
      <c r="W3130" s="1" t="s">
        <v>49689</v>
      </c>
      <c r="X3130" s="1" t="s">
        <v>3483</v>
      </c>
      <c r="Y3130" s="1" t="s">
        <v>49690</v>
      </c>
      <c r="Z3130" s="1" t="s">
        <v>1955</v>
      </c>
      <c r="AA3130" s="1" t="s">
        <v>49691</v>
      </c>
      <c r="AB3130" s="1" t="s">
        <v>49692</v>
      </c>
      <c r="AC3130" s="1" t="s">
        <v>3488</v>
      </c>
      <c r="AD3130" s="1" t="s">
        <v>3488</v>
      </c>
      <c r="AE3130" s="1" t="s">
        <v>49693</v>
      </c>
      <c r="AF3130" s="1" t="s">
        <v>74</v>
      </c>
      <c r="AG3130" s="1">
        <v>46</v>
      </c>
      <c r="AH3130" s="1">
        <v>26</v>
      </c>
      <c r="AI3130" s="1">
        <v>27</v>
      </c>
      <c r="AJ3130" s="1">
        <v>1</v>
      </c>
      <c r="AK3130" s="1">
        <v>40</v>
      </c>
      <c r="AL3130" s="1" t="s">
        <v>919</v>
      </c>
      <c r="AM3130" s="1" t="s">
        <v>651</v>
      </c>
      <c r="AN3130" s="1" t="s">
        <v>920</v>
      </c>
      <c r="AO3130" s="1" t="s">
        <v>33369</v>
      </c>
      <c r="AP3130" s="1" t="s">
        <v>33370</v>
      </c>
      <c r="AQ3130" s="1" t="s">
        <v>74</v>
      </c>
      <c r="AR3130" s="1" t="s">
        <v>33371</v>
      </c>
      <c r="AS3130" s="1" t="s">
        <v>33372</v>
      </c>
      <c r="AT3130" s="1" t="s">
        <v>170</v>
      </c>
      <c r="AU3130" s="1">
        <v>2014</v>
      </c>
      <c r="AV3130" s="1">
        <v>45</v>
      </c>
      <c r="AW3130" s="1">
        <v>3</v>
      </c>
      <c r="AX3130" s="1" t="s">
        <v>74</v>
      </c>
      <c r="AY3130" s="1" t="s">
        <v>74</v>
      </c>
      <c r="AZ3130" s="1" t="s">
        <v>74</v>
      </c>
      <c r="BA3130" s="1" t="s">
        <v>74</v>
      </c>
      <c r="BB3130" s="1">
        <v>1007</v>
      </c>
      <c r="BC3130" s="1">
        <v>1014</v>
      </c>
      <c r="BD3130" s="1" t="s">
        <v>74</v>
      </c>
      <c r="BE3130" s="1" t="s">
        <v>49694</v>
      </c>
      <c r="BF3130" s="1" t="str">
        <f>HYPERLINK("http://dx.doi.org/10.1016/j.jtice.2013.10.001","http://dx.doi.org/10.1016/j.jtice.2013.10.001")</f>
        <v>http://dx.doi.org/10.1016/j.jtice.2013.10.001</v>
      </c>
      <c r="BG3130" s="1" t="s">
        <v>74</v>
      </c>
      <c r="BH3130" s="1" t="s">
        <v>74</v>
      </c>
      <c r="BI3130" s="1">
        <v>8</v>
      </c>
      <c r="BJ3130" s="1" t="s">
        <v>9771</v>
      </c>
      <c r="BK3130" s="1" t="s">
        <v>96</v>
      </c>
      <c r="BL3130" s="1" t="s">
        <v>3992</v>
      </c>
      <c r="BM3130" s="1" t="s">
        <v>49695</v>
      </c>
      <c r="BN3130" s="1" t="s">
        <v>74</v>
      </c>
      <c r="BO3130" s="1" t="s">
        <v>74</v>
      </c>
      <c r="BP3130" s="1" t="s">
        <v>74</v>
      </c>
      <c r="BQ3130" s="1" t="s">
        <v>74</v>
      </c>
      <c r="BR3130" s="1" t="s">
        <v>98</v>
      </c>
      <c r="BS3130" s="1" t="s">
        <v>49696</v>
      </c>
      <c r="BT3130" s="1" t="str">
        <f>HYPERLINK("https%3A%2F%2Fwww.webofscience.com%2Fwos%2Fwoscc%2Ffull-record%2FWOS:000334726700039","View Full Record in Web of Science")</f>
        <v>View Full Record in Web of Science</v>
      </c>
      <c r="BU3130" s="1"/>
      <c r="BV3130" s="1"/>
    </row>
    <row r="3131" spans="1:74">
      <c r="A3131" s="1" t="s">
        <v>72</v>
      </c>
      <c r="B3131" s="1" t="s">
        <v>49697</v>
      </c>
      <c r="C3131" s="1" t="s">
        <v>74</v>
      </c>
      <c r="D3131" s="1" t="s">
        <v>74</v>
      </c>
      <c r="E3131" s="1" t="s">
        <v>74</v>
      </c>
      <c r="F3131" s="1" t="s">
        <v>49698</v>
      </c>
      <c r="G3131" s="1" t="s">
        <v>74</v>
      </c>
      <c r="H3131" s="1" t="s">
        <v>74</v>
      </c>
      <c r="I3131" s="1" t="s">
        <v>49699</v>
      </c>
      <c r="J3131" s="1" t="s">
        <v>36713</v>
      </c>
      <c r="K3131" s="1" t="s">
        <v>74</v>
      </c>
      <c r="L3131" s="1" t="s">
        <v>74</v>
      </c>
      <c r="M3131" s="1" t="s">
        <v>78</v>
      </c>
      <c r="N3131" s="1" t="s">
        <v>79</v>
      </c>
      <c r="O3131" s="1" t="s">
        <v>74</v>
      </c>
      <c r="P3131" s="1" t="s">
        <v>74</v>
      </c>
      <c r="Q3131" s="1" t="s">
        <v>74</v>
      </c>
      <c r="R3131" s="1" t="s">
        <v>74</v>
      </c>
      <c r="S3131" s="1" t="s">
        <v>74</v>
      </c>
      <c r="T3131" s="1" t="s">
        <v>49700</v>
      </c>
      <c r="U3131" s="1" t="s">
        <v>49701</v>
      </c>
      <c r="V3131" s="1" t="s">
        <v>49702</v>
      </c>
      <c r="W3131" s="1" t="s">
        <v>49703</v>
      </c>
      <c r="X3131" s="1" t="s">
        <v>9952</v>
      </c>
      <c r="Y3131" s="1" t="s">
        <v>49704</v>
      </c>
      <c r="Z3131" s="1" t="s">
        <v>21443</v>
      </c>
      <c r="AA3131" s="1" t="s">
        <v>74</v>
      </c>
      <c r="AB3131" s="1" t="s">
        <v>74</v>
      </c>
      <c r="AC3131" s="1" t="s">
        <v>49705</v>
      </c>
      <c r="AD3131" s="1" t="s">
        <v>49706</v>
      </c>
      <c r="AE3131" s="1" t="s">
        <v>49707</v>
      </c>
      <c r="AF3131" s="1" t="s">
        <v>74</v>
      </c>
      <c r="AG3131" s="1">
        <v>55</v>
      </c>
      <c r="AH3131" s="1">
        <v>8</v>
      </c>
      <c r="AI3131" s="1">
        <v>8</v>
      </c>
      <c r="AJ3131" s="1">
        <v>3</v>
      </c>
      <c r="AK3131" s="1">
        <v>21</v>
      </c>
      <c r="AL3131" s="1" t="s">
        <v>112</v>
      </c>
      <c r="AM3131" s="1" t="s">
        <v>113</v>
      </c>
      <c r="AN3131" s="1" t="s">
        <v>469</v>
      </c>
      <c r="AO3131" s="1" t="s">
        <v>36722</v>
      </c>
      <c r="AP3131" s="1" t="s">
        <v>36723</v>
      </c>
      <c r="AQ3131" s="1" t="s">
        <v>74</v>
      </c>
      <c r="AR3131" s="1" t="s">
        <v>36724</v>
      </c>
      <c r="AS3131" s="1" t="s">
        <v>36725</v>
      </c>
      <c r="AT3131" s="1" t="s">
        <v>142</v>
      </c>
      <c r="AU3131" s="1">
        <v>2016</v>
      </c>
      <c r="AV3131" s="1">
        <v>38</v>
      </c>
      <c r="AW3131" s="1">
        <v>6</v>
      </c>
      <c r="AX3131" s="1" t="s">
        <v>74</v>
      </c>
      <c r="AY3131" s="1" t="s">
        <v>74</v>
      </c>
      <c r="AZ3131" s="1" t="s">
        <v>74</v>
      </c>
      <c r="BA3131" s="1" t="s">
        <v>74</v>
      </c>
      <c r="BB3131" s="1">
        <v>509</v>
      </c>
      <c r="BC3131" s="1">
        <v>518</v>
      </c>
      <c r="BD3131" s="1" t="s">
        <v>74</v>
      </c>
      <c r="BE3131" s="1" t="s">
        <v>49708</v>
      </c>
      <c r="BF3131" s="1" t="str">
        <f>HYPERLINK("http://dx.doi.org/10.1007/s13258-016-0397-3","http://dx.doi.org/10.1007/s13258-016-0397-3")</f>
        <v>http://dx.doi.org/10.1007/s13258-016-0397-3</v>
      </c>
      <c r="BG3131" s="1" t="s">
        <v>74</v>
      </c>
      <c r="BH3131" s="1" t="s">
        <v>74</v>
      </c>
      <c r="BI3131" s="1">
        <v>10</v>
      </c>
      <c r="BJ3131" s="1" t="s">
        <v>36727</v>
      </c>
      <c r="BK3131" s="1" t="s">
        <v>96</v>
      </c>
      <c r="BL3131" s="1" t="s">
        <v>36727</v>
      </c>
      <c r="BM3131" s="1" t="s">
        <v>49709</v>
      </c>
      <c r="BN3131" s="1" t="s">
        <v>74</v>
      </c>
      <c r="BO3131" s="1" t="s">
        <v>74</v>
      </c>
      <c r="BP3131" s="1" t="s">
        <v>74</v>
      </c>
      <c r="BQ3131" s="1" t="s">
        <v>74</v>
      </c>
      <c r="BR3131" s="1" t="s">
        <v>98</v>
      </c>
      <c r="BS3131" s="1" t="s">
        <v>49710</v>
      </c>
      <c r="BT3131" s="1" t="str">
        <f>HYPERLINK("https%3A%2F%2Fwww.webofscience.com%2Fwos%2Fwoscc%2Ffull-record%2FWOS:000376252900002","View Full Record in Web of Science")</f>
        <v>View Full Record in Web of Science</v>
      </c>
      <c r="BU3131" s="1"/>
      <c r="BV3131" s="1"/>
    </row>
    <row r="3132" spans="1:74">
      <c r="A3132" s="1" t="s">
        <v>72</v>
      </c>
      <c r="B3132" s="1" t="s">
        <v>49711</v>
      </c>
      <c r="C3132" s="1" t="s">
        <v>74</v>
      </c>
      <c r="D3132" s="1" t="s">
        <v>74</v>
      </c>
      <c r="E3132" s="1" t="s">
        <v>74</v>
      </c>
      <c r="F3132" s="1" t="s">
        <v>49712</v>
      </c>
      <c r="G3132" s="1" t="s">
        <v>74</v>
      </c>
      <c r="H3132" s="1" t="s">
        <v>74</v>
      </c>
      <c r="I3132" s="1" t="s">
        <v>49713</v>
      </c>
      <c r="J3132" s="1" t="s">
        <v>641</v>
      </c>
      <c r="K3132" s="1" t="s">
        <v>74</v>
      </c>
      <c r="L3132" s="1" t="s">
        <v>74</v>
      </c>
      <c r="M3132" s="1" t="s">
        <v>78</v>
      </c>
      <c r="N3132" s="1" t="s">
        <v>79</v>
      </c>
      <c r="O3132" s="1" t="s">
        <v>74</v>
      </c>
      <c r="P3132" s="1" t="s">
        <v>74</v>
      </c>
      <c r="Q3132" s="1" t="s">
        <v>74</v>
      </c>
      <c r="R3132" s="1" t="s">
        <v>74</v>
      </c>
      <c r="S3132" s="1" t="s">
        <v>74</v>
      </c>
      <c r="T3132" s="1" t="s">
        <v>49714</v>
      </c>
      <c r="U3132" s="1" t="s">
        <v>49715</v>
      </c>
      <c r="V3132" s="1" t="s">
        <v>49716</v>
      </c>
      <c r="W3132" s="1" t="s">
        <v>49717</v>
      </c>
      <c r="X3132" s="1" t="s">
        <v>14071</v>
      </c>
      <c r="Y3132" s="1" t="s">
        <v>49718</v>
      </c>
      <c r="Z3132" s="1" t="s">
        <v>10823</v>
      </c>
      <c r="AA3132" s="1" t="s">
        <v>49719</v>
      </c>
      <c r="AB3132" s="1" t="s">
        <v>74</v>
      </c>
      <c r="AC3132" s="1" t="s">
        <v>49720</v>
      </c>
      <c r="AD3132" s="1" t="s">
        <v>49721</v>
      </c>
      <c r="AE3132" s="1" t="s">
        <v>49722</v>
      </c>
      <c r="AF3132" s="1" t="s">
        <v>74</v>
      </c>
      <c r="AG3132" s="1">
        <v>95</v>
      </c>
      <c r="AH3132" s="1">
        <v>0</v>
      </c>
      <c r="AI3132" s="1">
        <v>0</v>
      </c>
      <c r="AJ3132" s="1">
        <v>9</v>
      </c>
      <c r="AK3132" s="1">
        <v>26</v>
      </c>
      <c r="AL3132" s="1" t="s">
        <v>650</v>
      </c>
      <c r="AM3132" s="1" t="s">
        <v>651</v>
      </c>
      <c r="AN3132" s="1" t="s">
        <v>652</v>
      </c>
      <c r="AO3132" s="1" t="s">
        <v>653</v>
      </c>
      <c r="AP3132" s="1" t="s">
        <v>654</v>
      </c>
      <c r="AQ3132" s="1" t="s">
        <v>74</v>
      </c>
      <c r="AR3132" s="1" t="s">
        <v>655</v>
      </c>
      <c r="AS3132" s="1" t="s">
        <v>656</v>
      </c>
      <c r="AT3132" s="1" t="s">
        <v>267</v>
      </c>
      <c r="AU3132" s="1">
        <v>2023</v>
      </c>
      <c r="AV3132" s="1">
        <v>263</v>
      </c>
      <c r="AW3132" s="1" t="s">
        <v>74</v>
      </c>
      <c r="AX3132" s="1" t="s">
        <v>74</v>
      </c>
      <c r="AY3132" s="1" t="s">
        <v>74</v>
      </c>
      <c r="AZ3132" s="1" t="s">
        <v>74</v>
      </c>
      <c r="BA3132" s="1" t="s">
        <v>74</v>
      </c>
      <c r="BB3132" s="1" t="s">
        <v>74</v>
      </c>
      <c r="BC3132" s="1" t="s">
        <v>74</v>
      </c>
      <c r="BD3132" s="1">
        <v>106674</v>
      </c>
      <c r="BE3132" s="1" t="s">
        <v>49723</v>
      </c>
      <c r="BF3132" s="1" t="str">
        <f>HYPERLINK("http://dx.doi.org/10.1016/j.aquatox.2023.106674","http://dx.doi.org/10.1016/j.aquatox.2023.106674")</f>
        <v>http://dx.doi.org/10.1016/j.aquatox.2023.106674</v>
      </c>
      <c r="BG3132" s="1" t="s">
        <v>74</v>
      </c>
      <c r="BH3132" s="1" t="s">
        <v>2000</v>
      </c>
      <c r="BI3132" s="1">
        <v>11</v>
      </c>
      <c r="BJ3132" s="1" t="s">
        <v>659</v>
      </c>
      <c r="BK3132" s="1" t="s">
        <v>96</v>
      </c>
      <c r="BL3132" s="1" t="s">
        <v>659</v>
      </c>
      <c r="BM3132" s="1" t="s">
        <v>49724</v>
      </c>
      <c r="BN3132" s="1">
        <v>37666107</v>
      </c>
      <c r="BO3132" s="1" t="s">
        <v>74</v>
      </c>
      <c r="BP3132" s="1" t="s">
        <v>74</v>
      </c>
      <c r="BQ3132" s="1" t="s">
        <v>74</v>
      </c>
      <c r="BR3132" s="1" t="s">
        <v>98</v>
      </c>
      <c r="BS3132" s="1" t="s">
        <v>49725</v>
      </c>
      <c r="BT3132" s="1" t="str">
        <f>HYPERLINK("https%3A%2F%2Fwww.webofscience.com%2Fwos%2Fwoscc%2Ffull-record%2FWOS:001070117600001","View Full Record in Web of Science")</f>
        <v>View Full Record in Web of Science</v>
      </c>
      <c r="BU3132" s="1"/>
      <c r="BV3132" s="1"/>
    </row>
    <row r="3133" spans="1:74">
      <c r="A3133" s="1" t="s">
        <v>72</v>
      </c>
      <c r="B3133" s="1" t="s">
        <v>49726</v>
      </c>
      <c r="C3133" s="1" t="s">
        <v>74</v>
      </c>
      <c r="D3133" s="1" t="s">
        <v>74</v>
      </c>
      <c r="E3133" s="1" t="s">
        <v>74</v>
      </c>
      <c r="F3133" s="1" t="s">
        <v>49726</v>
      </c>
      <c r="G3133" s="1" t="s">
        <v>74</v>
      </c>
      <c r="H3133" s="1" t="s">
        <v>74</v>
      </c>
      <c r="I3133" s="1" t="s">
        <v>49727</v>
      </c>
      <c r="J3133" s="1" t="s">
        <v>704</v>
      </c>
      <c r="K3133" s="1" t="s">
        <v>74</v>
      </c>
      <c r="L3133" s="1" t="s">
        <v>74</v>
      </c>
      <c r="M3133" s="1" t="s">
        <v>78</v>
      </c>
      <c r="N3133" s="1" t="s">
        <v>79</v>
      </c>
      <c r="O3133" s="1" t="s">
        <v>74</v>
      </c>
      <c r="P3133" s="1" t="s">
        <v>74</v>
      </c>
      <c r="Q3133" s="1" t="s">
        <v>74</v>
      </c>
      <c r="R3133" s="1" t="s">
        <v>74</v>
      </c>
      <c r="S3133" s="1" t="s">
        <v>74</v>
      </c>
      <c r="T3133" s="1" t="s">
        <v>74</v>
      </c>
      <c r="U3133" s="1" t="s">
        <v>49728</v>
      </c>
      <c r="V3133" s="1" t="s">
        <v>49729</v>
      </c>
      <c r="W3133" s="1" t="s">
        <v>74</v>
      </c>
      <c r="X3133" s="1" t="s">
        <v>74</v>
      </c>
      <c r="Y3133" s="1" t="s">
        <v>49730</v>
      </c>
      <c r="Z3133" s="1" t="s">
        <v>74</v>
      </c>
      <c r="AA3133" s="1" t="s">
        <v>74</v>
      </c>
      <c r="AB3133" s="1" t="s">
        <v>74</v>
      </c>
      <c r="AC3133" s="1" t="s">
        <v>74</v>
      </c>
      <c r="AD3133" s="1" t="s">
        <v>74</v>
      </c>
      <c r="AE3133" s="1" t="s">
        <v>74</v>
      </c>
      <c r="AF3133" s="1" t="s">
        <v>74</v>
      </c>
      <c r="AG3133" s="1">
        <v>22</v>
      </c>
      <c r="AH3133" s="1">
        <v>14</v>
      </c>
      <c r="AI3133" s="1">
        <v>16</v>
      </c>
      <c r="AJ3133" s="1">
        <v>0</v>
      </c>
      <c r="AK3133" s="1">
        <v>13</v>
      </c>
      <c r="AL3133" s="1" t="s">
        <v>716</v>
      </c>
      <c r="AM3133" s="1" t="s">
        <v>191</v>
      </c>
      <c r="AN3133" s="1" t="s">
        <v>717</v>
      </c>
      <c r="AO3133" s="1" t="s">
        <v>718</v>
      </c>
      <c r="AP3133" s="1" t="s">
        <v>74</v>
      </c>
      <c r="AQ3133" s="1" t="s">
        <v>74</v>
      </c>
      <c r="AR3133" s="1" t="s">
        <v>719</v>
      </c>
      <c r="AS3133" s="1" t="s">
        <v>720</v>
      </c>
      <c r="AT3133" s="1" t="s">
        <v>1470</v>
      </c>
      <c r="AU3133" s="1">
        <v>1996</v>
      </c>
      <c r="AV3133" s="1">
        <v>86</v>
      </c>
      <c r="AW3133" s="1" t="s">
        <v>721</v>
      </c>
      <c r="AX3133" s="1" t="s">
        <v>74</v>
      </c>
      <c r="AY3133" s="1" t="s">
        <v>74</v>
      </c>
      <c r="AZ3133" s="1" t="s">
        <v>74</v>
      </c>
      <c r="BA3133" s="1" t="s">
        <v>74</v>
      </c>
      <c r="BB3133" s="1">
        <v>347</v>
      </c>
      <c r="BC3133" s="1">
        <v>357</v>
      </c>
      <c r="BD3133" s="1" t="s">
        <v>74</v>
      </c>
      <c r="BE3133" s="1" t="s">
        <v>49731</v>
      </c>
      <c r="BF3133" s="1" t="str">
        <f>HYPERLINK("http://dx.doi.org/10.1007/BF00279166","http://dx.doi.org/10.1007/BF00279166")</f>
        <v>http://dx.doi.org/10.1007/BF00279166</v>
      </c>
      <c r="BG3133" s="1" t="s">
        <v>74</v>
      </c>
      <c r="BH3133" s="1" t="s">
        <v>74</v>
      </c>
      <c r="BI3133" s="1">
        <v>11</v>
      </c>
      <c r="BJ3133" s="1" t="s">
        <v>722</v>
      </c>
      <c r="BK3133" s="1" t="s">
        <v>96</v>
      </c>
      <c r="BL3133" s="1" t="s">
        <v>723</v>
      </c>
      <c r="BM3133" s="1" t="s">
        <v>49732</v>
      </c>
      <c r="BN3133" s="1" t="s">
        <v>74</v>
      </c>
      <c r="BO3133" s="1" t="s">
        <v>74</v>
      </c>
      <c r="BP3133" s="1" t="s">
        <v>74</v>
      </c>
      <c r="BQ3133" s="1" t="s">
        <v>74</v>
      </c>
      <c r="BR3133" s="1" t="s">
        <v>98</v>
      </c>
      <c r="BS3133" s="1" t="s">
        <v>49733</v>
      </c>
      <c r="BT3133" s="1" t="str">
        <f>HYPERLINK("https%3A%2F%2Fwww.webofscience.com%2Fwos%2Fwoscc%2Ffull-record%2FWOS:A1996UE41100025","View Full Record in Web of Science")</f>
        <v>View Full Record in Web of Science</v>
      </c>
      <c r="BU3133" s="1"/>
      <c r="BV3133" s="1"/>
    </row>
    <row r="3134" spans="1:74">
      <c r="A3134" s="1" t="s">
        <v>72</v>
      </c>
      <c r="B3134" s="1" t="s">
        <v>49734</v>
      </c>
      <c r="C3134" s="1" t="s">
        <v>74</v>
      </c>
      <c r="D3134" s="1" t="s">
        <v>74</v>
      </c>
      <c r="E3134" s="1" t="s">
        <v>74</v>
      </c>
      <c r="F3134" s="1" t="s">
        <v>49735</v>
      </c>
      <c r="G3134" s="1" t="s">
        <v>74</v>
      </c>
      <c r="H3134" s="1" t="s">
        <v>74</v>
      </c>
      <c r="I3134" s="1" t="s">
        <v>49736</v>
      </c>
      <c r="J3134" s="1" t="s">
        <v>16746</v>
      </c>
      <c r="K3134" s="1" t="s">
        <v>74</v>
      </c>
      <c r="L3134" s="1" t="s">
        <v>74</v>
      </c>
      <c r="M3134" s="1" t="s">
        <v>78</v>
      </c>
      <c r="N3134" s="1" t="s">
        <v>79</v>
      </c>
      <c r="O3134" s="1" t="s">
        <v>74</v>
      </c>
      <c r="P3134" s="1" t="s">
        <v>74</v>
      </c>
      <c r="Q3134" s="1" t="s">
        <v>74</v>
      </c>
      <c r="R3134" s="1" t="s">
        <v>74</v>
      </c>
      <c r="S3134" s="1" t="s">
        <v>74</v>
      </c>
      <c r="T3134" s="1" t="s">
        <v>49737</v>
      </c>
      <c r="U3134" s="1" t="s">
        <v>49738</v>
      </c>
      <c r="V3134" s="1" t="s">
        <v>49739</v>
      </c>
      <c r="W3134" s="1" t="s">
        <v>49740</v>
      </c>
      <c r="X3134" s="1" t="s">
        <v>49741</v>
      </c>
      <c r="Y3134" s="1" t="s">
        <v>49742</v>
      </c>
      <c r="Z3134" s="1" t="s">
        <v>49743</v>
      </c>
      <c r="AA3134" s="1" t="s">
        <v>49744</v>
      </c>
      <c r="AB3134" s="1" t="s">
        <v>49745</v>
      </c>
      <c r="AC3134" s="1" t="s">
        <v>49746</v>
      </c>
      <c r="AD3134" s="1" t="s">
        <v>49746</v>
      </c>
      <c r="AE3134" s="1" t="s">
        <v>49747</v>
      </c>
      <c r="AF3134" s="1" t="s">
        <v>74</v>
      </c>
      <c r="AG3134" s="1">
        <v>38</v>
      </c>
      <c r="AH3134" s="1">
        <v>8</v>
      </c>
      <c r="AI3134" s="1">
        <v>9</v>
      </c>
      <c r="AJ3134" s="1">
        <v>0</v>
      </c>
      <c r="AK3134" s="1">
        <v>9</v>
      </c>
      <c r="AL3134" s="1" t="s">
        <v>16746</v>
      </c>
      <c r="AM3134" s="1" t="s">
        <v>16754</v>
      </c>
      <c r="AN3134" s="1" t="s">
        <v>16755</v>
      </c>
      <c r="AO3134" s="1" t="s">
        <v>16756</v>
      </c>
      <c r="AP3134" s="1" t="s">
        <v>16757</v>
      </c>
      <c r="AQ3134" s="1" t="s">
        <v>74</v>
      </c>
      <c r="AR3134" s="1" t="s">
        <v>16758</v>
      </c>
      <c r="AS3134" s="1" t="s">
        <v>16759</v>
      </c>
      <c r="AT3134" s="1" t="s">
        <v>74</v>
      </c>
      <c r="AU3134" s="1">
        <v>2017</v>
      </c>
      <c r="AV3134" s="1">
        <v>58</v>
      </c>
      <c r="AW3134" s="1">
        <v>2</v>
      </c>
      <c r="AX3134" s="1" t="s">
        <v>74</v>
      </c>
      <c r="AY3134" s="1" t="s">
        <v>74</v>
      </c>
      <c r="AZ3134" s="1" t="s">
        <v>74</v>
      </c>
      <c r="BA3134" s="1" t="s">
        <v>74</v>
      </c>
      <c r="BB3134" s="1">
        <v>163</v>
      </c>
      <c r="BC3134" s="1">
        <v>172</v>
      </c>
      <c r="BD3134" s="1" t="s">
        <v>74</v>
      </c>
      <c r="BE3134" s="1" t="s">
        <v>49748</v>
      </c>
      <c r="BF3134" s="1" t="str">
        <f>HYPERLINK("http://dx.doi.org/10.21411/CBM.A.72E9D4EA","http://dx.doi.org/10.21411/CBM.A.72E9D4EA")</f>
        <v>http://dx.doi.org/10.21411/CBM.A.72E9D4EA</v>
      </c>
      <c r="BG3134" s="1" t="s">
        <v>74</v>
      </c>
      <c r="BH3134" s="1" t="s">
        <v>74</v>
      </c>
      <c r="BI3134" s="1">
        <v>10</v>
      </c>
      <c r="BJ3134" s="1" t="s">
        <v>680</v>
      </c>
      <c r="BK3134" s="1" t="s">
        <v>96</v>
      </c>
      <c r="BL3134" s="1" t="s">
        <v>680</v>
      </c>
      <c r="BM3134" s="1" t="s">
        <v>25857</v>
      </c>
      <c r="BN3134" s="1" t="s">
        <v>74</v>
      </c>
      <c r="BO3134" s="1" t="s">
        <v>74</v>
      </c>
      <c r="BP3134" s="1" t="s">
        <v>74</v>
      </c>
      <c r="BQ3134" s="1" t="s">
        <v>74</v>
      </c>
      <c r="BR3134" s="1" t="s">
        <v>98</v>
      </c>
      <c r="BS3134" s="1" t="s">
        <v>49749</v>
      </c>
      <c r="BT3134" s="1" t="str">
        <f>HYPERLINK("https%3A%2F%2Fwww.webofscience.com%2Fwos%2Fwoscc%2Ffull-record%2FWOS:000402224200004","View Full Record in Web of Science")</f>
        <v>View Full Record in Web of Science</v>
      </c>
      <c r="BU3134" s="1"/>
      <c r="BV3134" s="1"/>
    </row>
    <row r="3135" spans="1:74">
      <c r="A3135" s="1" t="s">
        <v>72</v>
      </c>
      <c r="B3135" s="1" t="s">
        <v>49750</v>
      </c>
      <c r="C3135" s="1" t="s">
        <v>74</v>
      </c>
      <c r="D3135" s="1" t="s">
        <v>74</v>
      </c>
      <c r="E3135" s="1" t="s">
        <v>74</v>
      </c>
      <c r="F3135" s="1" t="s">
        <v>49750</v>
      </c>
      <c r="G3135" s="1" t="s">
        <v>74</v>
      </c>
      <c r="H3135" s="1" t="s">
        <v>74</v>
      </c>
      <c r="I3135" s="1" t="s">
        <v>49751</v>
      </c>
      <c r="J3135" s="1" t="s">
        <v>48619</v>
      </c>
      <c r="K3135" s="1" t="s">
        <v>74</v>
      </c>
      <c r="L3135" s="1" t="s">
        <v>74</v>
      </c>
      <c r="M3135" s="1" t="s">
        <v>78</v>
      </c>
      <c r="N3135" s="1" t="s">
        <v>79</v>
      </c>
      <c r="O3135" s="1" t="s">
        <v>74</v>
      </c>
      <c r="P3135" s="1" t="s">
        <v>74</v>
      </c>
      <c r="Q3135" s="1" t="s">
        <v>74</v>
      </c>
      <c r="R3135" s="1" t="s">
        <v>74</v>
      </c>
      <c r="S3135" s="1" t="s">
        <v>74</v>
      </c>
      <c r="T3135" s="1" t="s">
        <v>49752</v>
      </c>
      <c r="U3135" s="1" t="s">
        <v>49753</v>
      </c>
      <c r="V3135" s="1" t="s">
        <v>49754</v>
      </c>
      <c r="W3135" s="1" t="s">
        <v>49755</v>
      </c>
      <c r="X3135" s="1" t="s">
        <v>49756</v>
      </c>
      <c r="Y3135" s="1" t="s">
        <v>49757</v>
      </c>
      <c r="Z3135" s="1" t="s">
        <v>49758</v>
      </c>
      <c r="AA3135" s="1" t="s">
        <v>74</v>
      </c>
      <c r="AB3135" s="1" t="s">
        <v>74</v>
      </c>
      <c r="AC3135" s="1" t="s">
        <v>74</v>
      </c>
      <c r="AD3135" s="1" t="s">
        <v>74</v>
      </c>
      <c r="AE3135" s="1" t="s">
        <v>74</v>
      </c>
      <c r="AF3135" s="1" t="s">
        <v>74</v>
      </c>
      <c r="AG3135" s="1">
        <v>33</v>
      </c>
      <c r="AH3135" s="1">
        <v>8</v>
      </c>
      <c r="AI3135" s="1">
        <v>8</v>
      </c>
      <c r="AJ3135" s="1">
        <v>0</v>
      </c>
      <c r="AK3135" s="1">
        <v>3</v>
      </c>
      <c r="AL3135" s="1" t="s">
        <v>48631</v>
      </c>
      <c r="AM3135" s="1" t="s">
        <v>48632</v>
      </c>
      <c r="AN3135" s="1" t="s">
        <v>48633</v>
      </c>
      <c r="AO3135" s="1" t="s">
        <v>48634</v>
      </c>
      <c r="AP3135" s="1" t="s">
        <v>74</v>
      </c>
      <c r="AQ3135" s="1" t="s">
        <v>74</v>
      </c>
      <c r="AR3135" s="1" t="s">
        <v>48636</v>
      </c>
      <c r="AS3135" s="1" t="s">
        <v>48637</v>
      </c>
      <c r="AT3135" s="1" t="s">
        <v>267</v>
      </c>
      <c r="AU3135" s="1">
        <v>2005</v>
      </c>
      <c r="AV3135" s="1">
        <v>27</v>
      </c>
      <c r="AW3135" s="1">
        <v>2</v>
      </c>
      <c r="AX3135" s="1" t="s">
        <v>74</v>
      </c>
      <c r="AY3135" s="1" t="s">
        <v>74</v>
      </c>
      <c r="AZ3135" s="1" t="s">
        <v>74</v>
      </c>
      <c r="BA3135" s="1" t="s">
        <v>74</v>
      </c>
      <c r="BB3135" s="1">
        <v>471</v>
      </c>
      <c r="BC3135" s="1">
        <v>477</v>
      </c>
      <c r="BD3135" s="1" t="s">
        <v>74</v>
      </c>
      <c r="BE3135" s="1" t="s">
        <v>49759</v>
      </c>
      <c r="BF3135" s="1" t="str">
        <f>HYPERLINK("http://dx.doi.org/10.2989/18142320509504105","http://dx.doi.org/10.2989/18142320509504105")</f>
        <v>http://dx.doi.org/10.2989/18142320509504105</v>
      </c>
      <c r="BG3135" s="1" t="s">
        <v>74</v>
      </c>
      <c r="BH3135" s="1" t="s">
        <v>74</v>
      </c>
      <c r="BI3135" s="1">
        <v>7</v>
      </c>
      <c r="BJ3135" s="1" t="s">
        <v>680</v>
      </c>
      <c r="BK3135" s="1" t="s">
        <v>96</v>
      </c>
      <c r="BL3135" s="1" t="s">
        <v>680</v>
      </c>
      <c r="BM3135" s="1" t="s">
        <v>49760</v>
      </c>
      <c r="BN3135" s="1" t="s">
        <v>74</v>
      </c>
      <c r="BO3135" s="1" t="s">
        <v>74</v>
      </c>
      <c r="BP3135" s="1" t="s">
        <v>74</v>
      </c>
      <c r="BQ3135" s="1" t="s">
        <v>74</v>
      </c>
      <c r="BR3135" s="1" t="s">
        <v>98</v>
      </c>
      <c r="BS3135" s="1" t="s">
        <v>49761</v>
      </c>
      <c r="BT3135" s="1" t="str">
        <f>HYPERLINK("https%3A%2F%2Fwww.webofscience.com%2Fwos%2Fwoscc%2Ffull-record%2FWOS:000233485000012","View Full Record in Web of Science")</f>
        <v>View Full Record in Web of Science</v>
      </c>
      <c r="BU3135" s="1"/>
      <c r="BV3135" s="1"/>
    </row>
    <row r="3136" spans="1:74">
      <c r="A3136" s="1" t="s">
        <v>72</v>
      </c>
      <c r="B3136" s="1" t="s">
        <v>49762</v>
      </c>
      <c r="C3136" s="1" t="s">
        <v>74</v>
      </c>
      <c r="D3136" s="1" t="s">
        <v>74</v>
      </c>
      <c r="E3136" s="1" t="s">
        <v>74</v>
      </c>
      <c r="F3136" s="1" t="s">
        <v>49762</v>
      </c>
      <c r="G3136" s="1" t="s">
        <v>74</v>
      </c>
      <c r="H3136" s="1" t="s">
        <v>74</v>
      </c>
      <c r="I3136" s="1" t="s">
        <v>49763</v>
      </c>
      <c r="J3136" s="1" t="s">
        <v>232</v>
      </c>
      <c r="K3136" s="1" t="s">
        <v>74</v>
      </c>
      <c r="L3136" s="1" t="s">
        <v>74</v>
      </c>
      <c r="M3136" s="1" t="s">
        <v>78</v>
      </c>
      <c r="N3136" s="1" t="s">
        <v>79</v>
      </c>
      <c r="O3136" s="1" t="s">
        <v>74</v>
      </c>
      <c r="P3136" s="1" t="s">
        <v>74</v>
      </c>
      <c r="Q3136" s="1" t="s">
        <v>74</v>
      </c>
      <c r="R3136" s="1" t="s">
        <v>74</v>
      </c>
      <c r="S3136" s="1" t="s">
        <v>74</v>
      </c>
      <c r="T3136" s="1" t="s">
        <v>74</v>
      </c>
      <c r="U3136" s="1" t="s">
        <v>13371</v>
      </c>
      <c r="V3136" s="1" t="s">
        <v>49764</v>
      </c>
      <c r="W3136" s="1" t="s">
        <v>49765</v>
      </c>
      <c r="X3136" s="1" t="s">
        <v>49766</v>
      </c>
      <c r="Y3136" s="1" t="s">
        <v>49767</v>
      </c>
      <c r="Z3136" s="1" t="s">
        <v>74</v>
      </c>
      <c r="AA3136" s="1" t="s">
        <v>49768</v>
      </c>
      <c r="AB3136" s="1" t="s">
        <v>49769</v>
      </c>
      <c r="AC3136" s="1" t="s">
        <v>74</v>
      </c>
      <c r="AD3136" s="1" t="s">
        <v>74</v>
      </c>
      <c r="AE3136" s="1" t="s">
        <v>74</v>
      </c>
      <c r="AF3136" s="1" t="s">
        <v>74</v>
      </c>
      <c r="AG3136" s="1">
        <v>12</v>
      </c>
      <c r="AH3136" s="1">
        <v>13</v>
      </c>
      <c r="AI3136" s="1">
        <v>16</v>
      </c>
      <c r="AJ3136" s="1">
        <v>0</v>
      </c>
      <c r="AK3136" s="1">
        <v>1</v>
      </c>
      <c r="AL3136" s="1" t="s">
        <v>136</v>
      </c>
      <c r="AM3136" s="1" t="s">
        <v>137</v>
      </c>
      <c r="AN3136" s="1" t="s">
        <v>138</v>
      </c>
      <c r="AO3136" s="1" t="s">
        <v>240</v>
      </c>
      <c r="AP3136" s="1" t="s">
        <v>241</v>
      </c>
      <c r="AQ3136" s="1" t="s">
        <v>74</v>
      </c>
      <c r="AR3136" s="1" t="s">
        <v>242</v>
      </c>
      <c r="AS3136" s="1" t="s">
        <v>243</v>
      </c>
      <c r="AT3136" s="1" t="s">
        <v>5113</v>
      </c>
      <c r="AU3136" s="1">
        <v>1997</v>
      </c>
      <c r="AV3136" s="1">
        <v>35</v>
      </c>
      <c r="AW3136" s="1" t="s">
        <v>5114</v>
      </c>
      <c r="AX3136" s="1" t="s">
        <v>74</v>
      </c>
      <c r="AY3136" s="1" t="s">
        <v>74</v>
      </c>
      <c r="AZ3136" s="1" t="s">
        <v>74</v>
      </c>
      <c r="BA3136" s="1" t="s">
        <v>74</v>
      </c>
      <c r="BB3136" s="1">
        <v>280</v>
      </c>
      <c r="BC3136" s="1">
        <v>286</v>
      </c>
      <c r="BD3136" s="1" t="s">
        <v>74</v>
      </c>
      <c r="BE3136" s="1" t="s">
        <v>49770</v>
      </c>
      <c r="BF3136" s="1" t="str">
        <f>HYPERLINK("http://dx.doi.org/10.1016/S0025-326X(97)00094-5","http://dx.doi.org/10.1016/S0025-326X(97)00094-5")</f>
        <v>http://dx.doi.org/10.1016/S0025-326X(97)00094-5</v>
      </c>
      <c r="BG3136" s="1" t="s">
        <v>74</v>
      </c>
      <c r="BH3136" s="1" t="s">
        <v>74</v>
      </c>
      <c r="BI3136" s="1">
        <v>7</v>
      </c>
      <c r="BJ3136" s="1" t="s">
        <v>247</v>
      </c>
      <c r="BK3136" s="1" t="s">
        <v>96</v>
      </c>
      <c r="BL3136" s="1" t="s">
        <v>248</v>
      </c>
      <c r="BM3136" s="1" t="s">
        <v>49771</v>
      </c>
      <c r="BN3136" s="1" t="s">
        <v>74</v>
      </c>
      <c r="BO3136" s="1" t="s">
        <v>74</v>
      </c>
      <c r="BP3136" s="1" t="s">
        <v>74</v>
      </c>
      <c r="BQ3136" s="1" t="s">
        <v>74</v>
      </c>
      <c r="BR3136" s="1" t="s">
        <v>98</v>
      </c>
      <c r="BS3136" s="1" t="s">
        <v>49772</v>
      </c>
      <c r="BT3136" s="1" t="str">
        <f>HYPERLINK("https%3A%2F%2Fwww.webofscience.com%2Fwos%2Fwoscc%2Ffull-record%2FWOS:000074877200010","View Full Record in Web of Science")</f>
        <v>View Full Record in Web of Science</v>
      </c>
      <c r="BU3136" s="1"/>
      <c r="BV3136" s="1"/>
    </row>
    <row r="3137" spans="1:74">
      <c r="A3137" s="1" t="s">
        <v>72</v>
      </c>
      <c r="B3137" s="1" t="s">
        <v>49773</v>
      </c>
      <c r="C3137" s="1" t="s">
        <v>74</v>
      </c>
      <c r="D3137" s="1" t="s">
        <v>74</v>
      </c>
      <c r="E3137" s="1" t="s">
        <v>74</v>
      </c>
      <c r="F3137" s="1" t="s">
        <v>49774</v>
      </c>
      <c r="G3137" s="1" t="s">
        <v>74</v>
      </c>
      <c r="H3137" s="1" t="s">
        <v>74</v>
      </c>
      <c r="I3137" s="1" t="s">
        <v>49775</v>
      </c>
      <c r="J3137" s="1" t="s">
        <v>9502</v>
      </c>
      <c r="K3137" s="1" t="s">
        <v>74</v>
      </c>
      <c r="L3137" s="1" t="s">
        <v>74</v>
      </c>
      <c r="M3137" s="1" t="s">
        <v>78</v>
      </c>
      <c r="N3137" s="1" t="s">
        <v>79</v>
      </c>
      <c r="O3137" s="1" t="s">
        <v>74</v>
      </c>
      <c r="P3137" s="1" t="s">
        <v>74</v>
      </c>
      <c r="Q3137" s="1" t="s">
        <v>74</v>
      </c>
      <c r="R3137" s="1" t="s">
        <v>74</v>
      </c>
      <c r="S3137" s="1" t="s">
        <v>74</v>
      </c>
      <c r="T3137" s="1" t="s">
        <v>49776</v>
      </c>
      <c r="U3137" s="1" t="s">
        <v>49777</v>
      </c>
      <c r="V3137" s="1" t="s">
        <v>49778</v>
      </c>
      <c r="W3137" s="1" t="s">
        <v>49779</v>
      </c>
      <c r="X3137" s="1" t="s">
        <v>49780</v>
      </c>
      <c r="Y3137" s="1" t="s">
        <v>49781</v>
      </c>
      <c r="Z3137" s="1" t="s">
        <v>49782</v>
      </c>
      <c r="AA3137" s="1" t="s">
        <v>49783</v>
      </c>
      <c r="AB3137" s="1" t="s">
        <v>74</v>
      </c>
      <c r="AC3137" s="1" t="s">
        <v>74</v>
      </c>
      <c r="AD3137" s="1" t="s">
        <v>74</v>
      </c>
      <c r="AE3137" s="1" t="s">
        <v>74</v>
      </c>
      <c r="AF3137" s="1" t="s">
        <v>74</v>
      </c>
      <c r="AG3137" s="1">
        <v>49</v>
      </c>
      <c r="AH3137" s="1">
        <v>28</v>
      </c>
      <c r="AI3137" s="1">
        <v>29</v>
      </c>
      <c r="AJ3137" s="1">
        <v>3</v>
      </c>
      <c r="AK3137" s="1">
        <v>30</v>
      </c>
      <c r="AL3137" s="1" t="s">
        <v>217</v>
      </c>
      <c r="AM3137" s="1" t="s">
        <v>218</v>
      </c>
      <c r="AN3137" s="1" t="s">
        <v>219</v>
      </c>
      <c r="AO3137" s="1" t="s">
        <v>9509</v>
      </c>
      <c r="AP3137" s="1" t="s">
        <v>49784</v>
      </c>
      <c r="AQ3137" s="1" t="s">
        <v>74</v>
      </c>
      <c r="AR3137" s="1" t="s">
        <v>9510</v>
      </c>
      <c r="AS3137" s="1" t="s">
        <v>9511</v>
      </c>
      <c r="AT3137" s="1" t="s">
        <v>142</v>
      </c>
      <c r="AU3137" s="1">
        <v>2020</v>
      </c>
      <c r="AV3137" s="1">
        <v>94</v>
      </c>
      <c r="AW3137" s="1">
        <v>6</v>
      </c>
      <c r="AX3137" s="1" t="s">
        <v>74</v>
      </c>
      <c r="AY3137" s="1" t="s">
        <v>74</v>
      </c>
      <c r="AZ3137" s="1" t="s">
        <v>74</v>
      </c>
      <c r="BA3137" s="1" t="s">
        <v>74</v>
      </c>
      <c r="BB3137" s="1">
        <v>1941</v>
      </c>
      <c r="BC3137" s="1">
        <v>1953</v>
      </c>
      <c r="BD3137" s="1" t="s">
        <v>74</v>
      </c>
      <c r="BE3137" s="1" t="s">
        <v>49785</v>
      </c>
      <c r="BF3137" s="1" t="str">
        <f>HYPERLINK("http://dx.doi.org/10.1007/s00204-020-02743-0","http://dx.doi.org/10.1007/s00204-020-02743-0")</f>
        <v>http://dx.doi.org/10.1007/s00204-020-02743-0</v>
      </c>
      <c r="BG3137" s="1" t="s">
        <v>74</v>
      </c>
      <c r="BH3137" s="1" t="s">
        <v>74</v>
      </c>
      <c r="BI3137" s="1">
        <v>13</v>
      </c>
      <c r="BJ3137" s="1" t="s">
        <v>95</v>
      </c>
      <c r="BK3137" s="1" t="s">
        <v>96</v>
      </c>
      <c r="BL3137" s="1" t="s">
        <v>95</v>
      </c>
      <c r="BM3137" s="1" t="s">
        <v>49786</v>
      </c>
      <c r="BN3137" s="1">
        <v>32303806</v>
      </c>
      <c r="BO3137" s="1" t="s">
        <v>2784</v>
      </c>
      <c r="BP3137" s="1" t="s">
        <v>74</v>
      </c>
      <c r="BQ3137" s="1" t="s">
        <v>74</v>
      </c>
      <c r="BR3137" s="1" t="s">
        <v>98</v>
      </c>
      <c r="BS3137" s="1" t="s">
        <v>49787</v>
      </c>
      <c r="BT3137" s="1" t="str">
        <f>HYPERLINK("https%3A%2F%2Fwww.webofscience.com%2Fwos%2Fwoscc%2Ffull-record%2FWOS:000541090500006","View Full Record in Web of Science")</f>
        <v>View Full Record in Web of Science</v>
      </c>
      <c r="BU3137" s="1"/>
      <c r="BV3137" s="1"/>
    </row>
    <row r="3138" spans="1:74">
      <c r="A3138" s="1" t="s">
        <v>72</v>
      </c>
      <c r="B3138" s="1" t="s">
        <v>49788</v>
      </c>
      <c r="C3138" s="1" t="s">
        <v>74</v>
      </c>
      <c r="D3138" s="1" t="s">
        <v>74</v>
      </c>
      <c r="E3138" s="1" t="s">
        <v>74</v>
      </c>
      <c r="F3138" s="1" t="s">
        <v>49789</v>
      </c>
      <c r="G3138" s="1" t="s">
        <v>74</v>
      </c>
      <c r="H3138" s="1" t="s">
        <v>74</v>
      </c>
      <c r="I3138" s="1" t="s">
        <v>49790</v>
      </c>
      <c r="J3138" s="1" t="s">
        <v>232</v>
      </c>
      <c r="K3138" s="1" t="s">
        <v>74</v>
      </c>
      <c r="L3138" s="1" t="s">
        <v>74</v>
      </c>
      <c r="M3138" s="1" t="s">
        <v>78</v>
      </c>
      <c r="N3138" s="1" t="s">
        <v>79</v>
      </c>
      <c r="O3138" s="1" t="s">
        <v>74</v>
      </c>
      <c r="P3138" s="1" t="s">
        <v>74</v>
      </c>
      <c r="Q3138" s="1" t="s">
        <v>74</v>
      </c>
      <c r="R3138" s="1" t="s">
        <v>74</v>
      </c>
      <c r="S3138" s="1" t="s">
        <v>74</v>
      </c>
      <c r="T3138" s="1" t="s">
        <v>49791</v>
      </c>
      <c r="U3138" s="1" t="s">
        <v>49792</v>
      </c>
      <c r="V3138" s="1" t="s">
        <v>49793</v>
      </c>
      <c r="W3138" s="1" t="s">
        <v>49794</v>
      </c>
      <c r="X3138" s="1" t="s">
        <v>49795</v>
      </c>
      <c r="Y3138" s="1" t="s">
        <v>49796</v>
      </c>
      <c r="Z3138" s="1" t="s">
        <v>18817</v>
      </c>
      <c r="AA3138" s="1" t="s">
        <v>49797</v>
      </c>
      <c r="AB3138" s="1" t="s">
        <v>49798</v>
      </c>
      <c r="AC3138" s="1" t="s">
        <v>49799</v>
      </c>
      <c r="AD3138" s="1" t="s">
        <v>49800</v>
      </c>
      <c r="AE3138" s="1" t="s">
        <v>49801</v>
      </c>
      <c r="AF3138" s="1" t="s">
        <v>74</v>
      </c>
      <c r="AG3138" s="1">
        <v>93</v>
      </c>
      <c r="AH3138" s="1">
        <v>3</v>
      </c>
      <c r="AI3138" s="1">
        <v>3</v>
      </c>
      <c r="AJ3138" s="1">
        <v>2</v>
      </c>
      <c r="AK3138" s="1">
        <v>10</v>
      </c>
      <c r="AL3138" s="1" t="s">
        <v>136</v>
      </c>
      <c r="AM3138" s="1" t="s">
        <v>137</v>
      </c>
      <c r="AN3138" s="1" t="s">
        <v>138</v>
      </c>
      <c r="AO3138" s="1" t="s">
        <v>240</v>
      </c>
      <c r="AP3138" s="1" t="s">
        <v>241</v>
      </c>
      <c r="AQ3138" s="1" t="s">
        <v>74</v>
      </c>
      <c r="AR3138" s="1" t="s">
        <v>242</v>
      </c>
      <c r="AS3138" s="1" t="s">
        <v>243</v>
      </c>
      <c r="AT3138" s="1" t="s">
        <v>951</v>
      </c>
      <c r="AU3138" s="1">
        <v>2022</v>
      </c>
      <c r="AV3138" s="1">
        <v>184</v>
      </c>
      <c r="AW3138" s="1" t="s">
        <v>74</v>
      </c>
      <c r="AX3138" s="1" t="s">
        <v>74</v>
      </c>
      <c r="AY3138" s="1" t="s">
        <v>74</v>
      </c>
      <c r="AZ3138" s="1" t="s">
        <v>74</v>
      </c>
      <c r="BA3138" s="1" t="s">
        <v>74</v>
      </c>
      <c r="BB3138" s="1" t="s">
        <v>74</v>
      </c>
      <c r="BC3138" s="1" t="s">
        <v>74</v>
      </c>
      <c r="BD3138" s="1">
        <v>114177</v>
      </c>
      <c r="BE3138" s="1" t="s">
        <v>49802</v>
      </c>
      <c r="BF3138" s="1" t="str">
        <f>HYPERLINK("http://dx.doi.org/10.1016/j.marpolbul.2022.114177","http://dx.doi.org/10.1016/j.marpolbul.2022.114177")</f>
        <v>http://dx.doi.org/10.1016/j.marpolbul.2022.114177</v>
      </c>
      <c r="BG3138" s="1" t="s">
        <v>74</v>
      </c>
      <c r="BH3138" s="1" t="s">
        <v>19875</v>
      </c>
      <c r="BI3138" s="1">
        <v>15</v>
      </c>
      <c r="BJ3138" s="1" t="s">
        <v>247</v>
      </c>
      <c r="BK3138" s="1" t="s">
        <v>96</v>
      </c>
      <c r="BL3138" s="1" t="s">
        <v>248</v>
      </c>
      <c r="BM3138" s="1" t="s">
        <v>49803</v>
      </c>
      <c r="BN3138" s="1">
        <v>36191472</v>
      </c>
      <c r="BO3138" s="1" t="s">
        <v>74</v>
      </c>
      <c r="BP3138" s="1" t="s">
        <v>74</v>
      </c>
      <c r="BQ3138" s="1" t="s">
        <v>74</v>
      </c>
      <c r="BR3138" s="1" t="s">
        <v>98</v>
      </c>
      <c r="BS3138" s="1" t="s">
        <v>49804</v>
      </c>
      <c r="BT3138" s="1" t="str">
        <f>HYPERLINK("https%3A%2F%2Fwww.webofscience.com%2Fwos%2Fwoscc%2Ffull-record%2FWOS:000876648700008","View Full Record in Web of Science")</f>
        <v>View Full Record in Web of Science</v>
      </c>
      <c r="BU3138" s="1"/>
      <c r="BV3138" s="1"/>
    </row>
    <row r="3139" spans="1:74">
      <c r="A3139" s="1" t="s">
        <v>72</v>
      </c>
      <c r="B3139" s="1" t="s">
        <v>49805</v>
      </c>
      <c r="C3139" s="1" t="s">
        <v>74</v>
      </c>
      <c r="D3139" s="1" t="s">
        <v>74</v>
      </c>
      <c r="E3139" s="1" t="s">
        <v>74</v>
      </c>
      <c r="F3139" s="1" t="s">
        <v>49806</v>
      </c>
      <c r="G3139" s="1" t="s">
        <v>74</v>
      </c>
      <c r="H3139" s="1" t="s">
        <v>74</v>
      </c>
      <c r="I3139" s="1" t="s">
        <v>49807</v>
      </c>
      <c r="J3139" s="1" t="s">
        <v>22801</v>
      </c>
      <c r="K3139" s="1" t="s">
        <v>74</v>
      </c>
      <c r="L3139" s="1" t="s">
        <v>74</v>
      </c>
      <c r="M3139" s="1" t="s">
        <v>78</v>
      </c>
      <c r="N3139" s="1" t="s">
        <v>79</v>
      </c>
      <c r="O3139" s="1" t="s">
        <v>74</v>
      </c>
      <c r="P3139" s="1" t="s">
        <v>74</v>
      </c>
      <c r="Q3139" s="1" t="s">
        <v>74</v>
      </c>
      <c r="R3139" s="1" t="s">
        <v>74</v>
      </c>
      <c r="S3139" s="1" t="s">
        <v>74</v>
      </c>
      <c r="T3139" s="1" t="s">
        <v>49808</v>
      </c>
      <c r="U3139" s="1" t="s">
        <v>49809</v>
      </c>
      <c r="V3139" s="1" t="s">
        <v>49810</v>
      </c>
      <c r="W3139" s="1" t="s">
        <v>49811</v>
      </c>
      <c r="X3139" s="1" t="s">
        <v>49812</v>
      </c>
      <c r="Y3139" s="1" t="s">
        <v>49813</v>
      </c>
      <c r="Z3139" s="1" t="s">
        <v>49814</v>
      </c>
      <c r="AA3139" s="1" t="s">
        <v>49815</v>
      </c>
      <c r="AB3139" s="1" t="s">
        <v>49816</v>
      </c>
      <c r="AC3139" s="1" t="s">
        <v>49817</v>
      </c>
      <c r="AD3139" s="1" t="s">
        <v>49818</v>
      </c>
      <c r="AE3139" s="1" t="s">
        <v>49819</v>
      </c>
      <c r="AF3139" s="1" t="s">
        <v>74</v>
      </c>
      <c r="AG3139" s="1">
        <v>71</v>
      </c>
      <c r="AH3139" s="1">
        <v>10</v>
      </c>
      <c r="AI3139" s="1">
        <v>10</v>
      </c>
      <c r="AJ3139" s="1">
        <v>3</v>
      </c>
      <c r="AK3139" s="1">
        <v>12</v>
      </c>
      <c r="AL3139" s="1" t="s">
        <v>650</v>
      </c>
      <c r="AM3139" s="1" t="s">
        <v>651</v>
      </c>
      <c r="AN3139" s="1" t="s">
        <v>652</v>
      </c>
      <c r="AO3139" s="1" t="s">
        <v>22808</v>
      </c>
      <c r="AP3139" s="1" t="s">
        <v>22809</v>
      </c>
      <c r="AQ3139" s="1" t="s">
        <v>74</v>
      </c>
      <c r="AR3139" s="1" t="s">
        <v>22810</v>
      </c>
      <c r="AS3139" s="1" t="s">
        <v>22811</v>
      </c>
      <c r="AT3139" s="1" t="s">
        <v>267</v>
      </c>
      <c r="AU3139" s="1">
        <v>2020</v>
      </c>
      <c r="AV3139" s="1">
        <v>165</v>
      </c>
      <c r="AW3139" s="1" t="s">
        <v>74</v>
      </c>
      <c r="AX3139" s="1" t="s">
        <v>74</v>
      </c>
      <c r="AY3139" s="1" t="s">
        <v>74</v>
      </c>
      <c r="AZ3139" s="1" t="s">
        <v>74</v>
      </c>
      <c r="BA3139" s="1" t="s">
        <v>74</v>
      </c>
      <c r="BB3139" s="1" t="s">
        <v>74</v>
      </c>
      <c r="BC3139" s="1" t="s">
        <v>74</v>
      </c>
      <c r="BD3139" s="1">
        <v>101954</v>
      </c>
      <c r="BE3139" s="1" t="s">
        <v>49820</v>
      </c>
      <c r="BF3139" s="1" t="str">
        <f>HYPERLINK("http://dx.doi.org/10.1016/j.seares.2020.101954","http://dx.doi.org/10.1016/j.seares.2020.101954")</f>
        <v>http://dx.doi.org/10.1016/j.seares.2020.101954</v>
      </c>
      <c r="BG3139" s="1" t="s">
        <v>74</v>
      </c>
      <c r="BH3139" s="1" t="s">
        <v>74</v>
      </c>
      <c r="BI3139" s="1">
        <v>10</v>
      </c>
      <c r="BJ3139" s="1" t="s">
        <v>4241</v>
      </c>
      <c r="BK3139" s="1" t="s">
        <v>96</v>
      </c>
      <c r="BL3139" s="1" t="s">
        <v>4241</v>
      </c>
      <c r="BM3139" s="1" t="s">
        <v>49821</v>
      </c>
      <c r="BN3139" s="1" t="s">
        <v>74</v>
      </c>
      <c r="BO3139" s="1" t="s">
        <v>74</v>
      </c>
      <c r="BP3139" s="1" t="s">
        <v>74</v>
      </c>
      <c r="BQ3139" s="1" t="s">
        <v>74</v>
      </c>
      <c r="BR3139" s="1" t="s">
        <v>98</v>
      </c>
      <c r="BS3139" s="1" t="s">
        <v>49822</v>
      </c>
      <c r="BT3139" s="1" t="str">
        <f>HYPERLINK("https%3A%2F%2Fwww.webofscience.com%2Fwos%2Fwoscc%2Ffull-record%2FWOS:000582501900004","View Full Record in Web of Science")</f>
        <v>View Full Record in Web of Science</v>
      </c>
      <c r="BU3139" s="1"/>
      <c r="BV3139" s="1"/>
    </row>
    <row r="3140" spans="1:74">
      <c r="A3140" s="1" t="s">
        <v>72</v>
      </c>
      <c r="B3140" s="1" t="s">
        <v>49823</v>
      </c>
      <c r="C3140" s="1" t="s">
        <v>74</v>
      </c>
      <c r="D3140" s="1" t="s">
        <v>74</v>
      </c>
      <c r="E3140" s="1" t="s">
        <v>74</v>
      </c>
      <c r="F3140" s="1" t="s">
        <v>49824</v>
      </c>
      <c r="G3140" s="1" t="s">
        <v>74</v>
      </c>
      <c r="H3140" s="1" t="s">
        <v>74</v>
      </c>
      <c r="I3140" s="1" t="s">
        <v>49825</v>
      </c>
      <c r="J3140" s="1" t="s">
        <v>1275</v>
      </c>
      <c r="K3140" s="1" t="s">
        <v>74</v>
      </c>
      <c r="L3140" s="1" t="s">
        <v>74</v>
      </c>
      <c r="M3140" s="1" t="s">
        <v>78</v>
      </c>
      <c r="N3140" s="1" t="s">
        <v>79</v>
      </c>
      <c r="O3140" s="1" t="s">
        <v>74</v>
      </c>
      <c r="P3140" s="1" t="s">
        <v>74</v>
      </c>
      <c r="Q3140" s="1" t="s">
        <v>74</v>
      </c>
      <c r="R3140" s="1" t="s">
        <v>74</v>
      </c>
      <c r="S3140" s="1" t="s">
        <v>74</v>
      </c>
      <c r="T3140" s="1" t="s">
        <v>49826</v>
      </c>
      <c r="U3140" s="1" t="s">
        <v>49827</v>
      </c>
      <c r="V3140" s="1" t="s">
        <v>49828</v>
      </c>
      <c r="W3140" s="1" t="s">
        <v>49829</v>
      </c>
      <c r="X3140" s="1" t="s">
        <v>49830</v>
      </c>
      <c r="Y3140" s="1" t="s">
        <v>49831</v>
      </c>
      <c r="Z3140" s="1" t="s">
        <v>49832</v>
      </c>
      <c r="AA3140" s="1" t="s">
        <v>49833</v>
      </c>
      <c r="AB3140" s="1" t="s">
        <v>49834</v>
      </c>
      <c r="AC3140" s="1" t="s">
        <v>74</v>
      </c>
      <c r="AD3140" s="1" t="s">
        <v>74</v>
      </c>
      <c r="AE3140" s="1" t="s">
        <v>74</v>
      </c>
      <c r="AF3140" s="1" t="s">
        <v>74</v>
      </c>
      <c r="AG3140" s="1">
        <v>44</v>
      </c>
      <c r="AH3140" s="1">
        <v>8</v>
      </c>
      <c r="AI3140" s="1">
        <v>9</v>
      </c>
      <c r="AJ3140" s="1">
        <v>2</v>
      </c>
      <c r="AK3140" s="1">
        <v>6</v>
      </c>
      <c r="AL3140" s="1" t="s">
        <v>650</v>
      </c>
      <c r="AM3140" s="1" t="s">
        <v>651</v>
      </c>
      <c r="AN3140" s="1" t="s">
        <v>652</v>
      </c>
      <c r="AO3140" s="1" t="s">
        <v>1287</v>
      </c>
      <c r="AP3140" s="1" t="s">
        <v>74</v>
      </c>
      <c r="AQ3140" s="1" t="s">
        <v>74</v>
      </c>
      <c r="AR3140" s="1" t="s">
        <v>1288</v>
      </c>
      <c r="AS3140" s="1" t="s">
        <v>1289</v>
      </c>
      <c r="AT3140" s="1" t="s">
        <v>765</v>
      </c>
      <c r="AU3140" s="1">
        <v>2021</v>
      </c>
      <c r="AV3140" s="1">
        <v>46</v>
      </c>
      <c r="AW3140" s="1" t="s">
        <v>74</v>
      </c>
      <c r="AX3140" s="1" t="s">
        <v>74</v>
      </c>
      <c r="AY3140" s="1" t="s">
        <v>74</v>
      </c>
      <c r="AZ3140" s="1" t="s">
        <v>74</v>
      </c>
      <c r="BA3140" s="1" t="s">
        <v>74</v>
      </c>
      <c r="BB3140" s="1" t="s">
        <v>74</v>
      </c>
      <c r="BC3140" s="1" t="s">
        <v>74</v>
      </c>
      <c r="BD3140" s="1">
        <v>101907</v>
      </c>
      <c r="BE3140" s="1" t="s">
        <v>49835</v>
      </c>
      <c r="BF3140" s="1" t="str">
        <f>HYPERLINK("http://dx.doi.org/10.1016/j.rsma.2021.101907","http://dx.doi.org/10.1016/j.rsma.2021.101907")</f>
        <v>http://dx.doi.org/10.1016/j.rsma.2021.101907</v>
      </c>
      <c r="BG3140" s="1" t="s">
        <v>74</v>
      </c>
      <c r="BH3140" s="1" t="s">
        <v>4940</v>
      </c>
      <c r="BI3140" s="1">
        <v>11</v>
      </c>
      <c r="BJ3140" s="1" t="s">
        <v>1292</v>
      </c>
      <c r="BK3140" s="1" t="s">
        <v>96</v>
      </c>
      <c r="BL3140" s="1" t="s">
        <v>248</v>
      </c>
      <c r="BM3140" s="1" t="s">
        <v>49836</v>
      </c>
      <c r="BN3140" s="1" t="s">
        <v>74</v>
      </c>
      <c r="BO3140" s="1" t="s">
        <v>74</v>
      </c>
      <c r="BP3140" s="1" t="s">
        <v>74</v>
      </c>
      <c r="BQ3140" s="1" t="s">
        <v>74</v>
      </c>
      <c r="BR3140" s="1" t="s">
        <v>98</v>
      </c>
      <c r="BS3140" s="1" t="s">
        <v>49837</v>
      </c>
      <c r="BT3140" s="1" t="str">
        <f>HYPERLINK("https%3A%2F%2Fwww.webofscience.com%2Fwos%2Fwoscc%2Ffull-record%2FWOS:000672434600002","View Full Record in Web of Science")</f>
        <v>View Full Record in Web of Science</v>
      </c>
      <c r="BU3140" s="1"/>
      <c r="BV3140" s="1"/>
    </row>
    <row r="3141" spans="1:74">
      <c r="A3141" s="1" t="s">
        <v>72</v>
      </c>
      <c r="B3141" s="1" t="s">
        <v>49838</v>
      </c>
      <c r="C3141" s="1" t="s">
        <v>74</v>
      </c>
      <c r="D3141" s="1" t="s">
        <v>74</v>
      </c>
      <c r="E3141" s="1" t="s">
        <v>74</v>
      </c>
      <c r="F3141" s="1" t="s">
        <v>49838</v>
      </c>
      <c r="G3141" s="1" t="s">
        <v>74</v>
      </c>
      <c r="H3141" s="1" t="s">
        <v>74</v>
      </c>
      <c r="I3141" s="1" t="s">
        <v>49839</v>
      </c>
      <c r="J3141" s="1" t="s">
        <v>49840</v>
      </c>
      <c r="K3141" s="1" t="s">
        <v>74</v>
      </c>
      <c r="L3141" s="1" t="s">
        <v>74</v>
      </c>
      <c r="M3141" s="1" t="s">
        <v>78</v>
      </c>
      <c r="N3141" s="1" t="s">
        <v>79</v>
      </c>
      <c r="O3141" s="1" t="s">
        <v>74</v>
      </c>
      <c r="P3141" s="1" t="s">
        <v>74</v>
      </c>
      <c r="Q3141" s="1" t="s">
        <v>74</v>
      </c>
      <c r="R3141" s="1" t="s">
        <v>74</v>
      </c>
      <c r="S3141" s="1" t="s">
        <v>74</v>
      </c>
      <c r="T3141" s="1" t="s">
        <v>74</v>
      </c>
      <c r="U3141" s="1" t="s">
        <v>49841</v>
      </c>
      <c r="V3141" s="1" t="s">
        <v>49842</v>
      </c>
      <c r="W3141" s="1" t="s">
        <v>44073</v>
      </c>
      <c r="X3141" s="1" t="s">
        <v>44074</v>
      </c>
      <c r="Y3141" s="1" t="s">
        <v>44075</v>
      </c>
      <c r="Z3141" s="1" t="s">
        <v>74</v>
      </c>
      <c r="AA3141" s="1" t="s">
        <v>74</v>
      </c>
      <c r="AB3141" s="1" t="s">
        <v>74</v>
      </c>
      <c r="AC3141" s="1" t="s">
        <v>74</v>
      </c>
      <c r="AD3141" s="1" t="s">
        <v>74</v>
      </c>
      <c r="AE3141" s="1" t="s">
        <v>74</v>
      </c>
      <c r="AF3141" s="1" t="s">
        <v>74</v>
      </c>
      <c r="AG3141" s="1">
        <v>46</v>
      </c>
      <c r="AH3141" s="1">
        <v>6</v>
      </c>
      <c r="AI3141" s="1">
        <v>6</v>
      </c>
      <c r="AJ3141" s="1">
        <v>0</v>
      </c>
      <c r="AK3141" s="1">
        <v>2</v>
      </c>
      <c r="AL3141" s="1" t="s">
        <v>49843</v>
      </c>
      <c r="AM3141" s="1" t="s">
        <v>49844</v>
      </c>
      <c r="AN3141" s="1" t="s">
        <v>49845</v>
      </c>
      <c r="AO3141" s="1" t="s">
        <v>49846</v>
      </c>
      <c r="AP3141" s="1" t="s">
        <v>49847</v>
      </c>
      <c r="AQ3141" s="1" t="s">
        <v>74</v>
      </c>
      <c r="AR3141" s="1" t="s">
        <v>49848</v>
      </c>
      <c r="AS3141" s="1" t="s">
        <v>49849</v>
      </c>
      <c r="AT3141" s="1" t="s">
        <v>305</v>
      </c>
      <c r="AU3141" s="1">
        <v>1998</v>
      </c>
      <c r="AV3141" s="1">
        <v>43</v>
      </c>
      <c r="AW3141" s="1">
        <v>3</v>
      </c>
      <c r="AX3141" s="1" t="s">
        <v>74</v>
      </c>
      <c r="AY3141" s="1" t="s">
        <v>74</v>
      </c>
      <c r="AZ3141" s="1" t="s">
        <v>74</v>
      </c>
      <c r="BA3141" s="1" t="s">
        <v>74</v>
      </c>
      <c r="BB3141" s="1">
        <v>321</v>
      </c>
      <c r="BC3141" s="1">
        <v>332</v>
      </c>
      <c r="BD3141" s="1" t="s">
        <v>74</v>
      </c>
      <c r="BE3141" s="1" t="s">
        <v>74</v>
      </c>
      <c r="BF3141" s="1" t="s">
        <v>74</v>
      </c>
      <c r="BG3141" s="1" t="s">
        <v>74</v>
      </c>
      <c r="BH3141" s="1" t="s">
        <v>74</v>
      </c>
      <c r="BI3141" s="1">
        <v>12</v>
      </c>
      <c r="BJ3141" s="1" t="s">
        <v>17252</v>
      </c>
      <c r="BK3141" s="1" t="s">
        <v>96</v>
      </c>
      <c r="BL3141" s="1" t="s">
        <v>4924</v>
      </c>
      <c r="BM3141" s="1" t="s">
        <v>49850</v>
      </c>
      <c r="BN3141" s="1" t="s">
        <v>74</v>
      </c>
      <c r="BO3141" s="1" t="s">
        <v>74</v>
      </c>
      <c r="BP3141" s="1" t="s">
        <v>74</v>
      </c>
      <c r="BQ3141" s="1" t="s">
        <v>74</v>
      </c>
      <c r="BR3141" s="1" t="s">
        <v>98</v>
      </c>
      <c r="BS3141" s="1" t="s">
        <v>49851</v>
      </c>
      <c r="BT3141" s="1" t="str">
        <f>HYPERLINK("https%3A%2F%2Fwww.webofscience.com%2Fwos%2Fwoscc%2Ffull-record%2FWOS:000076701700005","View Full Record in Web of Science")</f>
        <v>View Full Record in Web of Science</v>
      </c>
      <c r="BU3141" s="1"/>
      <c r="BV3141" s="1"/>
    </row>
    <row r="3142" spans="1:74">
      <c r="A3142" s="1" t="s">
        <v>72</v>
      </c>
      <c r="B3142" s="1" t="s">
        <v>49852</v>
      </c>
      <c r="C3142" s="1" t="s">
        <v>74</v>
      </c>
      <c r="D3142" s="1" t="s">
        <v>74</v>
      </c>
      <c r="E3142" s="1" t="s">
        <v>74</v>
      </c>
      <c r="F3142" s="1" t="s">
        <v>49853</v>
      </c>
      <c r="G3142" s="1" t="s">
        <v>74</v>
      </c>
      <c r="H3142" s="1" t="s">
        <v>74</v>
      </c>
      <c r="I3142" s="1" t="s">
        <v>49854</v>
      </c>
      <c r="J3142" s="1" t="s">
        <v>204</v>
      </c>
      <c r="K3142" s="1" t="s">
        <v>74</v>
      </c>
      <c r="L3142" s="1" t="s">
        <v>74</v>
      </c>
      <c r="M3142" s="1" t="s">
        <v>78</v>
      </c>
      <c r="N3142" s="1" t="s">
        <v>79</v>
      </c>
      <c r="O3142" s="1" t="s">
        <v>74</v>
      </c>
      <c r="P3142" s="1" t="s">
        <v>74</v>
      </c>
      <c r="Q3142" s="1" t="s">
        <v>74</v>
      </c>
      <c r="R3142" s="1" t="s">
        <v>74</v>
      </c>
      <c r="S3142" s="1" t="s">
        <v>74</v>
      </c>
      <c r="T3142" s="1" t="s">
        <v>49855</v>
      </c>
      <c r="U3142" s="1" t="s">
        <v>49856</v>
      </c>
      <c r="V3142" s="1" t="s">
        <v>49857</v>
      </c>
      <c r="W3142" s="1" t="s">
        <v>49858</v>
      </c>
      <c r="X3142" s="1" t="s">
        <v>49859</v>
      </c>
      <c r="Y3142" s="1" t="s">
        <v>49860</v>
      </c>
      <c r="Z3142" s="1" t="s">
        <v>49861</v>
      </c>
      <c r="AA3142" s="1" t="s">
        <v>49862</v>
      </c>
      <c r="AB3142" s="1" t="s">
        <v>49863</v>
      </c>
      <c r="AC3142" s="1" t="s">
        <v>49864</v>
      </c>
      <c r="AD3142" s="1" t="s">
        <v>49865</v>
      </c>
      <c r="AE3142" s="1" t="s">
        <v>49866</v>
      </c>
      <c r="AF3142" s="1" t="s">
        <v>74</v>
      </c>
      <c r="AG3142" s="1">
        <v>81</v>
      </c>
      <c r="AH3142" s="1">
        <v>17</v>
      </c>
      <c r="AI3142" s="1">
        <v>20</v>
      </c>
      <c r="AJ3142" s="1">
        <v>4</v>
      </c>
      <c r="AK3142" s="1">
        <v>16</v>
      </c>
      <c r="AL3142" s="1" t="s">
        <v>217</v>
      </c>
      <c r="AM3142" s="1" t="s">
        <v>218</v>
      </c>
      <c r="AN3142" s="1" t="s">
        <v>219</v>
      </c>
      <c r="AO3142" s="1" t="s">
        <v>220</v>
      </c>
      <c r="AP3142" s="1" t="s">
        <v>221</v>
      </c>
      <c r="AQ3142" s="1" t="s">
        <v>74</v>
      </c>
      <c r="AR3142" s="1" t="s">
        <v>222</v>
      </c>
      <c r="AS3142" s="1" t="s">
        <v>223</v>
      </c>
      <c r="AT3142" s="1" t="s">
        <v>93</v>
      </c>
      <c r="AU3142" s="1">
        <v>2020</v>
      </c>
      <c r="AV3142" s="1">
        <v>27</v>
      </c>
      <c r="AW3142" s="1">
        <v>11</v>
      </c>
      <c r="AX3142" s="1" t="s">
        <v>74</v>
      </c>
      <c r="AY3142" s="1" t="s">
        <v>74</v>
      </c>
      <c r="AZ3142" s="1" t="s">
        <v>74</v>
      </c>
      <c r="BA3142" s="1" t="s">
        <v>74</v>
      </c>
      <c r="BB3142" s="1">
        <v>12428</v>
      </c>
      <c r="BC3142" s="1">
        <v>12438</v>
      </c>
      <c r="BD3142" s="1" t="s">
        <v>74</v>
      </c>
      <c r="BE3142" s="1" t="s">
        <v>49867</v>
      </c>
      <c r="BF3142" s="1" t="str">
        <f>HYPERLINK("http://dx.doi.org/10.1007/s11356-020-07794-5","http://dx.doi.org/10.1007/s11356-020-07794-5")</f>
        <v>http://dx.doi.org/10.1007/s11356-020-07794-5</v>
      </c>
      <c r="BG3142" s="1" t="s">
        <v>74</v>
      </c>
      <c r="BH3142" s="1" t="s">
        <v>42279</v>
      </c>
      <c r="BI3142" s="1">
        <v>11</v>
      </c>
      <c r="BJ3142" s="1" t="s">
        <v>144</v>
      </c>
      <c r="BK3142" s="1" t="s">
        <v>96</v>
      </c>
      <c r="BL3142" s="1" t="s">
        <v>145</v>
      </c>
      <c r="BM3142" s="1" t="s">
        <v>49868</v>
      </c>
      <c r="BN3142" s="1">
        <v>31997242</v>
      </c>
      <c r="BO3142" s="1" t="s">
        <v>74</v>
      </c>
      <c r="BP3142" s="1" t="s">
        <v>74</v>
      </c>
      <c r="BQ3142" s="1" t="s">
        <v>74</v>
      </c>
      <c r="BR3142" s="1" t="s">
        <v>98</v>
      </c>
      <c r="BS3142" s="1" t="s">
        <v>49869</v>
      </c>
      <c r="BT3142" s="1" t="str">
        <f>HYPERLINK("https%3A%2F%2Fwww.webofscience.com%2Fwos%2Fwoscc%2Ffull-record%2FWOS:000510094800006","View Full Record in Web of Science")</f>
        <v>View Full Record in Web of Science</v>
      </c>
      <c r="BU3142" s="1"/>
      <c r="BV3142" s="1"/>
    </row>
    <row r="3143" spans="1:74">
      <c r="A3143" s="1" t="s">
        <v>72</v>
      </c>
      <c r="B3143" s="1" t="s">
        <v>49870</v>
      </c>
      <c r="C3143" s="1" t="s">
        <v>74</v>
      </c>
      <c r="D3143" s="1" t="s">
        <v>74</v>
      </c>
      <c r="E3143" s="1" t="s">
        <v>74</v>
      </c>
      <c r="F3143" s="1" t="s">
        <v>49871</v>
      </c>
      <c r="G3143" s="1" t="s">
        <v>74</v>
      </c>
      <c r="H3143" s="1" t="s">
        <v>74</v>
      </c>
      <c r="I3143" s="1" t="s">
        <v>49872</v>
      </c>
      <c r="J3143" s="1" t="s">
        <v>49873</v>
      </c>
      <c r="K3143" s="1" t="s">
        <v>74</v>
      </c>
      <c r="L3143" s="1" t="s">
        <v>74</v>
      </c>
      <c r="M3143" s="1" t="s">
        <v>78</v>
      </c>
      <c r="N3143" s="1" t="s">
        <v>79</v>
      </c>
      <c r="O3143" s="1" t="s">
        <v>74</v>
      </c>
      <c r="P3143" s="1" t="s">
        <v>74</v>
      </c>
      <c r="Q3143" s="1" t="s">
        <v>74</v>
      </c>
      <c r="R3143" s="1" t="s">
        <v>74</v>
      </c>
      <c r="S3143" s="1" t="s">
        <v>74</v>
      </c>
      <c r="T3143" s="1" t="s">
        <v>49874</v>
      </c>
      <c r="U3143" s="1" t="s">
        <v>49875</v>
      </c>
      <c r="V3143" s="1" t="s">
        <v>49876</v>
      </c>
      <c r="W3143" s="1" t="s">
        <v>49877</v>
      </c>
      <c r="X3143" s="1" t="s">
        <v>49878</v>
      </c>
      <c r="Y3143" s="1" t="s">
        <v>49879</v>
      </c>
      <c r="Z3143" s="1" t="s">
        <v>49880</v>
      </c>
      <c r="AA3143" s="1" t="s">
        <v>49881</v>
      </c>
      <c r="AB3143" s="1" t="s">
        <v>49882</v>
      </c>
      <c r="AC3143" s="1" t="s">
        <v>49883</v>
      </c>
      <c r="AD3143" s="1" t="s">
        <v>49884</v>
      </c>
      <c r="AE3143" s="1" t="s">
        <v>49885</v>
      </c>
      <c r="AF3143" s="1" t="s">
        <v>74</v>
      </c>
      <c r="AG3143" s="1">
        <v>59</v>
      </c>
      <c r="AH3143" s="1">
        <v>53</v>
      </c>
      <c r="AI3143" s="1">
        <v>55</v>
      </c>
      <c r="AJ3143" s="1">
        <v>2</v>
      </c>
      <c r="AK3143" s="1">
        <v>96</v>
      </c>
      <c r="AL3143" s="1" t="s">
        <v>919</v>
      </c>
      <c r="AM3143" s="1" t="s">
        <v>651</v>
      </c>
      <c r="AN3143" s="1" t="s">
        <v>920</v>
      </c>
      <c r="AO3143" s="1" t="s">
        <v>49886</v>
      </c>
      <c r="AP3143" s="1" t="s">
        <v>49887</v>
      </c>
      <c r="AQ3143" s="1" t="s">
        <v>74</v>
      </c>
      <c r="AR3143" s="1" t="s">
        <v>49873</v>
      </c>
      <c r="AS3143" s="1" t="s">
        <v>49888</v>
      </c>
      <c r="AT3143" s="1" t="s">
        <v>142</v>
      </c>
      <c r="AU3143" s="1">
        <v>2013</v>
      </c>
      <c r="AV3143" s="1">
        <v>26</v>
      </c>
      <c r="AW3143" s="1" t="s">
        <v>74</v>
      </c>
      <c r="AX3143" s="1" t="s">
        <v>74</v>
      </c>
      <c r="AY3143" s="1" t="s">
        <v>74</v>
      </c>
      <c r="AZ3143" s="1" t="s">
        <v>74</v>
      </c>
      <c r="BA3143" s="1" t="s">
        <v>74</v>
      </c>
      <c r="BB3143" s="1">
        <v>45</v>
      </c>
      <c r="BC3143" s="1">
        <v>51</v>
      </c>
      <c r="BD3143" s="1" t="s">
        <v>74</v>
      </c>
      <c r="BE3143" s="1" t="s">
        <v>49889</v>
      </c>
      <c r="BF3143" s="1" t="str">
        <f>HYPERLINK("http://dx.doi.org/10.1016/j.hal.2013.03.003","http://dx.doi.org/10.1016/j.hal.2013.03.003")</f>
        <v>http://dx.doi.org/10.1016/j.hal.2013.03.003</v>
      </c>
      <c r="BG3143" s="1" t="s">
        <v>74</v>
      </c>
      <c r="BH3143" s="1" t="s">
        <v>74</v>
      </c>
      <c r="BI3143" s="1">
        <v>7</v>
      </c>
      <c r="BJ3143" s="1" t="s">
        <v>680</v>
      </c>
      <c r="BK3143" s="1" t="s">
        <v>96</v>
      </c>
      <c r="BL3143" s="1" t="s">
        <v>680</v>
      </c>
      <c r="BM3143" s="1" t="s">
        <v>49890</v>
      </c>
      <c r="BN3143" s="1" t="s">
        <v>74</v>
      </c>
      <c r="BO3143" s="1" t="s">
        <v>74</v>
      </c>
      <c r="BP3143" s="1" t="s">
        <v>74</v>
      </c>
      <c r="BQ3143" s="1" t="s">
        <v>74</v>
      </c>
      <c r="BR3143" s="1" t="s">
        <v>98</v>
      </c>
      <c r="BS3143" s="1" t="s">
        <v>49891</v>
      </c>
      <c r="BT3143" s="1" t="str">
        <f>HYPERLINK("https%3A%2F%2Fwww.webofscience.com%2Fwos%2Fwoscc%2Ffull-record%2FWOS:000320418700005","View Full Record in Web of Science")</f>
        <v>View Full Record in Web of Science</v>
      </c>
      <c r="BU3143" s="1"/>
      <c r="BV3143" s="1"/>
    </row>
    <row r="3144" spans="1:74">
      <c r="A3144" s="1" t="s">
        <v>72</v>
      </c>
      <c r="B3144" s="1" t="s">
        <v>49892</v>
      </c>
      <c r="C3144" s="1" t="s">
        <v>74</v>
      </c>
      <c r="D3144" s="1" t="s">
        <v>74</v>
      </c>
      <c r="E3144" s="1" t="s">
        <v>74</v>
      </c>
      <c r="F3144" s="1" t="s">
        <v>49893</v>
      </c>
      <c r="G3144" s="1" t="s">
        <v>74</v>
      </c>
      <c r="H3144" s="1" t="s">
        <v>74</v>
      </c>
      <c r="I3144" s="1" t="s">
        <v>49894</v>
      </c>
      <c r="J3144" s="1" t="s">
        <v>204</v>
      </c>
      <c r="K3144" s="1" t="s">
        <v>74</v>
      </c>
      <c r="L3144" s="1" t="s">
        <v>74</v>
      </c>
      <c r="M3144" s="1" t="s">
        <v>78</v>
      </c>
      <c r="N3144" s="1" t="s">
        <v>79</v>
      </c>
      <c r="O3144" s="1" t="s">
        <v>74</v>
      </c>
      <c r="P3144" s="1" t="s">
        <v>74</v>
      </c>
      <c r="Q3144" s="1" t="s">
        <v>74</v>
      </c>
      <c r="R3144" s="1" t="s">
        <v>74</v>
      </c>
      <c r="S3144" s="1" t="s">
        <v>74</v>
      </c>
      <c r="T3144" s="1" t="s">
        <v>49895</v>
      </c>
      <c r="U3144" s="1" t="s">
        <v>49896</v>
      </c>
      <c r="V3144" s="1" t="s">
        <v>49897</v>
      </c>
      <c r="W3144" s="1" t="s">
        <v>49898</v>
      </c>
      <c r="X3144" s="1" t="s">
        <v>49899</v>
      </c>
      <c r="Y3144" s="1" t="s">
        <v>49900</v>
      </c>
      <c r="Z3144" s="1" t="s">
        <v>49901</v>
      </c>
      <c r="AA3144" s="1" t="s">
        <v>49902</v>
      </c>
      <c r="AB3144" s="1" t="s">
        <v>49903</v>
      </c>
      <c r="AC3144" s="1" t="s">
        <v>74</v>
      </c>
      <c r="AD3144" s="1" t="s">
        <v>74</v>
      </c>
      <c r="AE3144" s="1" t="s">
        <v>74</v>
      </c>
      <c r="AF3144" s="1" t="s">
        <v>74</v>
      </c>
      <c r="AG3144" s="1">
        <v>44</v>
      </c>
      <c r="AH3144" s="1">
        <v>1</v>
      </c>
      <c r="AI3144" s="1">
        <v>1</v>
      </c>
      <c r="AJ3144" s="1">
        <v>7</v>
      </c>
      <c r="AK3144" s="1">
        <v>11</v>
      </c>
      <c r="AL3144" s="1" t="s">
        <v>217</v>
      </c>
      <c r="AM3144" s="1" t="s">
        <v>218</v>
      </c>
      <c r="AN3144" s="1" t="s">
        <v>219</v>
      </c>
      <c r="AO3144" s="1" t="s">
        <v>220</v>
      </c>
      <c r="AP3144" s="1" t="s">
        <v>221</v>
      </c>
      <c r="AQ3144" s="1" t="s">
        <v>74</v>
      </c>
      <c r="AR3144" s="1" t="s">
        <v>222</v>
      </c>
      <c r="AS3144" s="1" t="s">
        <v>223</v>
      </c>
      <c r="AT3144" s="1" t="s">
        <v>224</v>
      </c>
      <c r="AU3144" s="1">
        <v>2024</v>
      </c>
      <c r="AV3144" s="1">
        <v>31</v>
      </c>
      <c r="AW3144" s="1">
        <v>8</v>
      </c>
      <c r="AX3144" s="1" t="s">
        <v>74</v>
      </c>
      <c r="AY3144" s="1" t="s">
        <v>74</v>
      </c>
      <c r="AZ3144" s="1" t="s">
        <v>74</v>
      </c>
      <c r="BA3144" s="1" t="s">
        <v>74</v>
      </c>
      <c r="BB3144" s="1">
        <v>11983</v>
      </c>
      <c r="BC3144" s="1">
        <v>11994</v>
      </c>
      <c r="BD3144" s="1" t="s">
        <v>74</v>
      </c>
      <c r="BE3144" s="1" t="s">
        <v>49904</v>
      </c>
      <c r="BF3144" s="1" t="str">
        <f>HYPERLINK("http://dx.doi.org/10.1007/s11356-023-31700-4","http://dx.doi.org/10.1007/s11356-023-31700-4")</f>
        <v>http://dx.doi.org/10.1007/s11356-023-31700-4</v>
      </c>
      <c r="BG3144" s="1" t="s">
        <v>74</v>
      </c>
      <c r="BH3144" s="1" t="s">
        <v>5287</v>
      </c>
      <c r="BI3144" s="1">
        <v>12</v>
      </c>
      <c r="BJ3144" s="1" t="s">
        <v>144</v>
      </c>
      <c r="BK3144" s="1" t="s">
        <v>96</v>
      </c>
      <c r="BL3144" s="1" t="s">
        <v>145</v>
      </c>
      <c r="BM3144" s="1" t="s">
        <v>49905</v>
      </c>
      <c r="BN3144" s="1">
        <v>38225494</v>
      </c>
      <c r="BO3144" s="1" t="s">
        <v>74</v>
      </c>
      <c r="BP3144" s="1" t="s">
        <v>74</v>
      </c>
      <c r="BQ3144" s="1" t="s">
        <v>74</v>
      </c>
      <c r="BR3144" s="1" t="s">
        <v>98</v>
      </c>
      <c r="BS3144" s="1" t="s">
        <v>49906</v>
      </c>
      <c r="BT3144" s="1" t="str">
        <f>HYPERLINK("https%3A%2F%2Fwww.webofscience.com%2Fwos%2Fwoscc%2Ffull-record%2FWOS:001142546300003","View Full Record in Web of Science")</f>
        <v>View Full Record in Web of Science</v>
      </c>
      <c r="BU3144" s="1"/>
      <c r="BV3144" s="1"/>
    </row>
    <row r="3145" spans="1:74">
      <c r="A3145" s="1" t="s">
        <v>72</v>
      </c>
      <c r="B3145" s="1" t="s">
        <v>49907</v>
      </c>
      <c r="C3145" s="1" t="s">
        <v>74</v>
      </c>
      <c r="D3145" s="1" t="s">
        <v>74</v>
      </c>
      <c r="E3145" s="1" t="s">
        <v>74</v>
      </c>
      <c r="F3145" s="1" t="s">
        <v>49908</v>
      </c>
      <c r="G3145" s="1" t="s">
        <v>74</v>
      </c>
      <c r="H3145" s="1" t="s">
        <v>74</v>
      </c>
      <c r="I3145" s="1" t="s">
        <v>49909</v>
      </c>
      <c r="J3145" s="1" t="s">
        <v>9565</v>
      </c>
      <c r="K3145" s="1" t="s">
        <v>74</v>
      </c>
      <c r="L3145" s="1" t="s">
        <v>74</v>
      </c>
      <c r="M3145" s="1" t="s">
        <v>78</v>
      </c>
      <c r="N3145" s="1" t="s">
        <v>79</v>
      </c>
      <c r="O3145" s="1" t="s">
        <v>74</v>
      </c>
      <c r="P3145" s="1" t="s">
        <v>74</v>
      </c>
      <c r="Q3145" s="1" t="s">
        <v>74</v>
      </c>
      <c r="R3145" s="1" t="s">
        <v>74</v>
      </c>
      <c r="S3145" s="1" t="s">
        <v>74</v>
      </c>
      <c r="T3145" s="1" t="s">
        <v>49910</v>
      </c>
      <c r="U3145" s="1" t="s">
        <v>49911</v>
      </c>
      <c r="V3145" s="1" t="s">
        <v>49912</v>
      </c>
      <c r="W3145" s="1" t="s">
        <v>49913</v>
      </c>
      <c r="X3145" s="1" t="s">
        <v>49914</v>
      </c>
      <c r="Y3145" s="1" t="s">
        <v>49915</v>
      </c>
      <c r="Z3145" s="1" t="s">
        <v>49916</v>
      </c>
      <c r="AA3145" s="1" t="s">
        <v>49917</v>
      </c>
      <c r="AB3145" s="1" t="s">
        <v>49918</v>
      </c>
      <c r="AC3145" s="1" t="s">
        <v>49919</v>
      </c>
      <c r="AD3145" s="1" t="s">
        <v>49920</v>
      </c>
      <c r="AE3145" s="1" t="s">
        <v>49921</v>
      </c>
      <c r="AF3145" s="1" t="s">
        <v>74</v>
      </c>
      <c r="AG3145" s="1">
        <v>68</v>
      </c>
      <c r="AH3145" s="1">
        <v>5</v>
      </c>
      <c r="AI3145" s="1">
        <v>8</v>
      </c>
      <c r="AJ3145" s="1">
        <v>1</v>
      </c>
      <c r="AK3145" s="1">
        <v>18</v>
      </c>
      <c r="AL3145" s="1" t="s">
        <v>564</v>
      </c>
      <c r="AM3145" s="1" t="s">
        <v>113</v>
      </c>
      <c r="AN3145" s="1" t="s">
        <v>807</v>
      </c>
      <c r="AO3145" s="1" t="s">
        <v>9576</v>
      </c>
      <c r="AP3145" s="1" t="s">
        <v>9577</v>
      </c>
      <c r="AQ3145" s="1" t="s">
        <v>74</v>
      </c>
      <c r="AR3145" s="1" t="s">
        <v>9578</v>
      </c>
      <c r="AS3145" s="1" t="s">
        <v>9579</v>
      </c>
      <c r="AT3145" s="1" t="s">
        <v>197</v>
      </c>
      <c r="AU3145" s="1">
        <v>2021</v>
      </c>
      <c r="AV3145" s="1">
        <v>40</v>
      </c>
      <c r="AW3145" s="1" t="s">
        <v>74</v>
      </c>
      <c r="AX3145" s="1" t="s">
        <v>74</v>
      </c>
      <c r="AY3145" s="1" t="s">
        <v>74</v>
      </c>
      <c r="AZ3145" s="1" t="s">
        <v>74</v>
      </c>
      <c r="BA3145" s="1" t="s">
        <v>74</v>
      </c>
      <c r="BB3145" s="1" t="s">
        <v>74</v>
      </c>
      <c r="BC3145" s="1" t="s">
        <v>74</v>
      </c>
      <c r="BD3145" s="1">
        <v>100926</v>
      </c>
      <c r="BE3145" s="1" t="s">
        <v>49922</v>
      </c>
      <c r="BF3145" s="1" t="str">
        <f>HYPERLINK("http://dx.doi.org/10.1016/j.cbd.2021.100926","http://dx.doi.org/10.1016/j.cbd.2021.100926")</f>
        <v>http://dx.doi.org/10.1016/j.cbd.2021.100926</v>
      </c>
      <c r="BG3145" s="1" t="s">
        <v>74</v>
      </c>
      <c r="BH3145" s="1" t="s">
        <v>10880</v>
      </c>
      <c r="BI3145" s="1">
        <v>9</v>
      </c>
      <c r="BJ3145" s="1" t="s">
        <v>9581</v>
      </c>
      <c r="BK3145" s="1" t="s">
        <v>96</v>
      </c>
      <c r="BL3145" s="1" t="s">
        <v>9581</v>
      </c>
      <c r="BM3145" s="1" t="s">
        <v>49923</v>
      </c>
      <c r="BN3145" s="1">
        <v>34743056</v>
      </c>
      <c r="BO3145" s="1" t="s">
        <v>74</v>
      </c>
      <c r="BP3145" s="1" t="s">
        <v>74</v>
      </c>
      <c r="BQ3145" s="1" t="s">
        <v>74</v>
      </c>
      <c r="BR3145" s="1" t="s">
        <v>98</v>
      </c>
      <c r="BS3145" s="1" t="s">
        <v>49924</v>
      </c>
      <c r="BT3145" s="1" t="str">
        <f>HYPERLINK("https%3A%2F%2Fwww.webofscience.com%2Fwos%2Fwoscc%2Ffull-record%2FWOS:000721365600001","View Full Record in Web of Science")</f>
        <v>View Full Record in Web of Science</v>
      </c>
      <c r="BU3145" s="1"/>
      <c r="BV3145" s="1"/>
    </row>
    <row r="3146" spans="1:74">
      <c r="A3146" s="1" t="s">
        <v>72</v>
      </c>
      <c r="B3146" s="1" t="s">
        <v>42716</v>
      </c>
      <c r="C3146" s="1" t="s">
        <v>74</v>
      </c>
      <c r="D3146" s="1" t="s">
        <v>74</v>
      </c>
      <c r="E3146" s="1" t="s">
        <v>74</v>
      </c>
      <c r="F3146" s="1" t="s">
        <v>42717</v>
      </c>
      <c r="G3146" s="1" t="s">
        <v>74</v>
      </c>
      <c r="H3146" s="1" t="s">
        <v>74</v>
      </c>
      <c r="I3146" s="1" t="s">
        <v>49925</v>
      </c>
      <c r="J3146" s="1" t="s">
        <v>17028</v>
      </c>
      <c r="K3146" s="1" t="s">
        <v>74</v>
      </c>
      <c r="L3146" s="1" t="s">
        <v>74</v>
      </c>
      <c r="M3146" s="1" t="s">
        <v>78</v>
      </c>
      <c r="N3146" s="1" t="s">
        <v>79</v>
      </c>
      <c r="O3146" s="1" t="s">
        <v>74</v>
      </c>
      <c r="P3146" s="1" t="s">
        <v>74</v>
      </c>
      <c r="Q3146" s="1" t="s">
        <v>74</v>
      </c>
      <c r="R3146" s="1" t="s">
        <v>74</v>
      </c>
      <c r="S3146" s="1" t="s">
        <v>74</v>
      </c>
      <c r="T3146" s="1" t="s">
        <v>49926</v>
      </c>
      <c r="U3146" s="1" t="s">
        <v>49927</v>
      </c>
      <c r="V3146" s="1" t="s">
        <v>49928</v>
      </c>
      <c r="W3146" s="1" t="s">
        <v>49929</v>
      </c>
      <c r="X3146" s="1" t="s">
        <v>49930</v>
      </c>
      <c r="Y3146" s="1" t="s">
        <v>9287</v>
      </c>
      <c r="Z3146" s="1" t="s">
        <v>9288</v>
      </c>
      <c r="AA3146" s="1" t="s">
        <v>49931</v>
      </c>
      <c r="AB3146" s="1" t="s">
        <v>49932</v>
      </c>
      <c r="AC3146" s="1" t="s">
        <v>49933</v>
      </c>
      <c r="AD3146" s="1" t="s">
        <v>49934</v>
      </c>
      <c r="AE3146" s="1" t="s">
        <v>49935</v>
      </c>
      <c r="AF3146" s="1" t="s">
        <v>74</v>
      </c>
      <c r="AG3146" s="1">
        <v>109</v>
      </c>
      <c r="AH3146" s="1">
        <v>1</v>
      </c>
      <c r="AI3146" s="1">
        <v>1</v>
      </c>
      <c r="AJ3146" s="1">
        <v>1</v>
      </c>
      <c r="AK3146" s="1">
        <v>1</v>
      </c>
      <c r="AL3146" s="1" t="s">
        <v>285</v>
      </c>
      <c r="AM3146" s="1" t="s">
        <v>286</v>
      </c>
      <c r="AN3146" s="1" t="s">
        <v>287</v>
      </c>
      <c r="AO3146" s="1" t="s">
        <v>17040</v>
      </c>
      <c r="AP3146" s="1" t="s">
        <v>17041</v>
      </c>
      <c r="AQ3146" s="1" t="s">
        <v>74</v>
      </c>
      <c r="AR3146" s="1" t="s">
        <v>17042</v>
      </c>
      <c r="AS3146" s="1" t="s">
        <v>17043</v>
      </c>
      <c r="AT3146" s="1" t="s">
        <v>170</v>
      </c>
      <c r="AU3146" s="1">
        <v>2024</v>
      </c>
      <c r="AV3146" s="1">
        <v>358</v>
      </c>
      <c r="AW3146" s="1" t="s">
        <v>74</v>
      </c>
      <c r="AX3146" s="1" t="s">
        <v>74</v>
      </c>
      <c r="AY3146" s="1" t="s">
        <v>74</v>
      </c>
      <c r="AZ3146" s="1" t="s">
        <v>74</v>
      </c>
      <c r="BA3146" s="1" t="s">
        <v>74</v>
      </c>
      <c r="BB3146" s="1" t="s">
        <v>74</v>
      </c>
      <c r="BC3146" s="1" t="s">
        <v>74</v>
      </c>
      <c r="BD3146" s="1">
        <v>120854</v>
      </c>
      <c r="BE3146" s="1" t="s">
        <v>49936</v>
      </c>
      <c r="BF3146" s="1" t="str">
        <f>HYPERLINK("http://dx.doi.org/10.1016/j.jenvman.2024.120854","http://dx.doi.org/10.1016/j.jenvman.2024.120854")</f>
        <v>http://dx.doi.org/10.1016/j.jenvman.2024.120854</v>
      </c>
      <c r="BG3146" s="1" t="s">
        <v>74</v>
      </c>
      <c r="BH3146" s="1" t="s">
        <v>9434</v>
      </c>
      <c r="BI3146" s="1">
        <v>13</v>
      </c>
      <c r="BJ3146" s="1" t="s">
        <v>144</v>
      </c>
      <c r="BK3146" s="1" t="s">
        <v>96</v>
      </c>
      <c r="BL3146" s="1" t="s">
        <v>145</v>
      </c>
      <c r="BM3146" s="1" t="s">
        <v>49937</v>
      </c>
      <c r="BN3146" s="1">
        <v>38640759</v>
      </c>
      <c r="BO3146" s="1" t="s">
        <v>476</v>
      </c>
      <c r="BP3146" s="1" t="s">
        <v>74</v>
      </c>
      <c r="BQ3146" s="1" t="s">
        <v>74</v>
      </c>
      <c r="BR3146" s="1" t="s">
        <v>98</v>
      </c>
      <c r="BS3146" s="1" t="s">
        <v>49938</v>
      </c>
      <c r="BT3146" s="1" t="str">
        <f>HYPERLINK("https%3A%2F%2Fwww.webofscience.com%2Fwos%2Fwoscc%2Ffull-record%2FWOS:001296345700001","View Full Record in Web of Science")</f>
        <v>View Full Record in Web of Science</v>
      </c>
      <c r="BU3146" s="1"/>
      <c r="BV3146" s="1"/>
    </row>
    <row r="3147" spans="1:74">
      <c r="A3147" s="1" t="s">
        <v>72</v>
      </c>
      <c r="B3147" s="1" t="s">
        <v>49939</v>
      </c>
      <c r="C3147" s="1" t="s">
        <v>74</v>
      </c>
      <c r="D3147" s="1" t="s">
        <v>74</v>
      </c>
      <c r="E3147" s="1" t="s">
        <v>74</v>
      </c>
      <c r="F3147" s="1" t="s">
        <v>49940</v>
      </c>
      <c r="G3147" s="1" t="s">
        <v>74</v>
      </c>
      <c r="H3147" s="1" t="s">
        <v>74</v>
      </c>
      <c r="I3147" s="1" t="s">
        <v>49941</v>
      </c>
      <c r="J3147" s="1" t="s">
        <v>253</v>
      </c>
      <c r="K3147" s="1" t="s">
        <v>74</v>
      </c>
      <c r="L3147" s="1" t="s">
        <v>74</v>
      </c>
      <c r="M3147" s="1" t="s">
        <v>78</v>
      </c>
      <c r="N3147" s="1" t="s">
        <v>79</v>
      </c>
      <c r="O3147" s="1" t="s">
        <v>74</v>
      </c>
      <c r="P3147" s="1" t="s">
        <v>74</v>
      </c>
      <c r="Q3147" s="1" t="s">
        <v>74</v>
      </c>
      <c r="R3147" s="1" t="s">
        <v>74</v>
      </c>
      <c r="S3147" s="1" t="s">
        <v>74</v>
      </c>
      <c r="T3147" s="1" t="s">
        <v>74</v>
      </c>
      <c r="U3147" s="1" t="s">
        <v>49942</v>
      </c>
      <c r="V3147" s="1" t="s">
        <v>49943</v>
      </c>
      <c r="W3147" s="1" t="s">
        <v>49944</v>
      </c>
      <c r="X3147" s="1" t="s">
        <v>49945</v>
      </c>
      <c r="Y3147" s="1" t="s">
        <v>49946</v>
      </c>
      <c r="Z3147" s="1" t="s">
        <v>49947</v>
      </c>
      <c r="AA3147" s="1" t="s">
        <v>74</v>
      </c>
      <c r="AB3147" s="1" t="s">
        <v>49948</v>
      </c>
      <c r="AC3147" s="1" t="s">
        <v>49949</v>
      </c>
      <c r="AD3147" s="1" t="s">
        <v>49950</v>
      </c>
      <c r="AE3147" s="1" t="s">
        <v>49951</v>
      </c>
      <c r="AF3147" s="1" t="s">
        <v>74</v>
      </c>
      <c r="AG3147" s="1">
        <v>60</v>
      </c>
      <c r="AH3147" s="1">
        <v>19</v>
      </c>
      <c r="AI3147" s="1">
        <v>20</v>
      </c>
      <c r="AJ3147" s="1">
        <v>2</v>
      </c>
      <c r="AK3147" s="1">
        <v>49</v>
      </c>
      <c r="AL3147" s="1" t="s">
        <v>261</v>
      </c>
      <c r="AM3147" s="1" t="s">
        <v>262</v>
      </c>
      <c r="AN3147" s="1" t="s">
        <v>19471</v>
      </c>
      <c r="AO3147" s="1" t="s">
        <v>264</v>
      </c>
      <c r="AP3147" s="1" t="s">
        <v>20119</v>
      </c>
      <c r="AQ3147" s="1" t="s">
        <v>74</v>
      </c>
      <c r="AR3147" s="1" t="s">
        <v>265</v>
      </c>
      <c r="AS3147" s="1" t="s">
        <v>266</v>
      </c>
      <c r="AT3147" s="1" t="s">
        <v>197</v>
      </c>
      <c r="AU3147" s="1">
        <v>2011</v>
      </c>
      <c r="AV3147" s="1">
        <v>13</v>
      </c>
      <c r="AW3147" s="1">
        <v>12</v>
      </c>
      <c r="AX3147" s="1" t="s">
        <v>74</v>
      </c>
      <c r="AY3147" s="1" t="s">
        <v>74</v>
      </c>
      <c r="AZ3147" s="1" t="s">
        <v>74</v>
      </c>
      <c r="BA3147" s="1" t="s">
        <v>74</v>
      </c>
      <c r="BB3147" s="1">
        <v>3386</v>
      </c>
      <c r="BC3147" s="1">
        <v>3398</v>
      </c>
      <c r="BD3147" s="1" t="s">
        <v>74</v>
      </c>
      <c r="BE3147" s="1" t="s">
        <v>49952</v>
      </c>
      <c r="BF3147" s="1" t="str">
        <f>HYPERLINK("http://dx.doi.org/10.1039/c1em10581g","http://dx.doi.org/10.1039/c1em10581g")</f>
        <v>http://dx.doi.org/10.1039/c1em10581g</v>
      </c>
      <c r="BG3147" s="1" t="s">
        <v>74</v>
      </c>
      <c r="BH3147" s="1" t="s">
        <v>74</v>
      </c>
      <c r="BI3147" s="1">
        <v>13</v>
      </c>
      <c r="BJ3147" s="1" t="s">
        <v>269</v>
      </c>
      <c r="BK3147" s="1" t="s">
        <v>96</v>
      </c>
      <c r="BL3147" s="1" t="s">
        <v>270</v>
      </c>
      <c r="BM3147" s="1" t="s">
        <v>49953</v>
      </c>
      <c r="BN3147" s="1">
        <v>22031464</v>
      </c>
      <c r="BO3147" s="1" t="s">
        <v>74</v>
      </c>
      <c r="BP3147" s="1" t="s">
        <v>74</v>
      </c>
      <c r="BQ3147" s="1" t="s">
        <v>74</v>
      </c>
      <c r="BR3147" s="1" t="s">
        <v>98</v>
      </c>
      <c r="BS3147" s="1" t="s">
        <v>49954</v>
      </c>
      <c r="BT3147" s="1" t="str">
        <f>HYPERLINK("https%3A%2F%2Fwww.webofscience.com%2Fwos%2Fwoscc%2Ffull-record%2FWOS:000297558200010","View Full Record in Web of Science")</f>
        <v>View Full Record in Web of Science</v>
      </c>
      <c r="BU3147" s="1"/>
      <c r="BV3147" s="1"/>
    </row>
    <row r="3148" spans="1:74">
      <c r="A3148" s="1" t="s">
        <v>72</v>
      </c>
      <c r="B3148" s="1" t="s">
        <v>49955</v>
      </c>
      <c r="C3148" s="1" t="s">
        <v>74</v>
      </c>
      <c r="D3148" s="1" t="s">
        <v>74</v>
      </c>
      <c r="E3148" s="1" t="s">
        <v>74</v>
      </c>
      <c r="F3148" s="1" t="s">
        <v>49956</v>
      </c>
      <c r="G3148" s="1" t="s">
        <v>74</v>
      </c>
      <c r="H3148" s="1" t="s">
        <v>74</v>
      </c>
      <c r="I3148" s="1" t="s">
        <v>49957</v>
      </c>
      <c r="J3148" s="1" t="s">
        <v>10129</v>
      </c>
      <c r="K3148" s="1" t="s">
        <v>74</v>
      </c>
      <c r="L3148" s="1" t="s">
        <v>74</v>
      </c>
      <c r="M3148" s="1" t="s">
        <v>78</v>
      </c>
      <c r="N3148" s="1" t="s">
        <v>79</v>
      </c>
      <c r="O3148" s="1" t="s">
        <v>74</v>
      </c>
      <c r="P3148" s="1" t="s">
        <v>74</v>
      </c>
      <c r="Q3148" s="1" t="s">
        <v>74</v>
      </c>
      <c r="R3148" s="1" t="s">
        <v>74</v>
      </c>
      <c r="S3148" s="1" t="s">
        <v>74</v>
      </c>
      <c r="T3148" s="1" t="s">
        <v>49958</v>
      </c>
      <c r="U3148" s="1" t="s">
        <v>49959</v>
      </c>
      <c r="V3148" s="1" t="s">
        <v>49960</v>
      </c>
      <c r="W3148" s="1" t="s">
        <v>49961</v>
      </c>
      <c r="X3148" s="1" t="s">
        <v>49962</v>
      </c>
      <c r="Y3148" s="1" t="s">
        <v>49963</v>
      </c>
      <c r="Z3148" s="1" t="s">
        <v>26568</v>
      </c>
      <c r="AA3148" s="1" t="s">
        <v>2334</v>
      </c>
      <c r="AB3148" s="1" t="s">
        <v>9616</v>
      </c>
      <c r="AC3148" s="1" t="s">
        <v>74</v>
      </c>
      <c r="AD3148" s="1" t="s">
        <v>74</v>
      </c>
      <c r="AE3148" s="1" t="s">
        <v>74</v>
      </c>
      <c r="AF3148" s="1" t="s">
        <v>74</v>
      </c>
      <c r="AG3148" s="1">
        <v>41</v>
      </c>
      <c r="AH3148" s="1">
        <v>27</v>
      </c>
      <c r="AI3148" s="1">
        <v>29</v>
      </c>
      <c r="AJ3148" s="1">
        <v>0</v>
      </c>
      <c r="AK3148" s="1">
        <v>20</v>
      </c>
      <c r="AL3148" s="1" t="s">
        <v>3362</v>
      </c>
      <c r="AM3148" s="1" t="s">
        <v>3363</v>
      </c>
      <c r="AN3148" s="1" t="s">
        <v>3364</v>
      </c>
      <c r="AO3148" s="1" t="s">
        <v>10137</v>
      </c>
      <c r="AP3148" s="1" t="s">
        <v>10138</v>
      </c>
      <c r="AQ3148" s="1" t="s">
        <v>74</v>
      </c>
      <c r="AR3148" s="1" t="s">
        <v>10139</v>
      </c>
      <c r="AS3148" s="1" t="s">
        <v>10140</v>
      </c>
      <c r="AT3148" s="1" t="s">
        <v>951</v>
      </c>
      <c r="AU3148" s="1">
        <v>2008</v>
      </c>
      <c r="AV3148" s="1">
        <v>108</v>
      </c>
      <c r="AW3148" s="1">
        <v>3</v>
      </c>
      <c r="AX3148" s="1" t="s">
        <v>74</v>
      </c>
      <c r="AY3148" s="1" t="s">
        <v>74</v>
      </c>
      <c r="AZ3148" s="1" t="s">
        <v>74</v>
      </c>
      <c r="BA3148" s="1" t="s">
        <v>74</v>
      </c>
      <c r="BB3148" s="1">
        <v>309</v>
      </c>
      <c r="BC3148" s="1">
        <v>314</v>
      </c>
      <c r="BD3148" s="1" t="s">
        <v>74</v>
      </c>
      <c r="BE3148" s="1" t="s">
        <v>49964</v>
      </c>
      <c r="BF3148" s="1" t="str">
        <f>HYPERLINK("http://dx.doi.org/10.1016/j.envres.2008.07.021","http://dx.doi.org/10.1016/j.envres.2008.07.021")</f>
        <v>http://dx.doi.org/10.1016/j.envres.2008.07.021</v>
      </c>
      <c r="BG3148" s="1" t="s">
        <v>74</v>
      </c>
      <c r="BH3148" s="1" t="s">
        <v>74</v>
      </c>
      <c r="BI3148" s="1">
        <v>6</v>
      </c>
      <c r="BJ3148" s="1" t="s">
        <v>10142</v>
      </c>
      <c r="BK3148" s="1" t="s">
        <v>96</v>
      </c>
      <c r="BL3148" s="1" t="s">
        <v>10143</v>
      </c>
      <c r="BM3148" s="1" t="s">
        <v>49965</v>
      </c>
      <c r="BN3148" s="1">
        <v>18762294</v>
      </c>
      <c r="BO3148" s="1" t="s">
        <v>74</v>
      </c>
      <c r="BP3148" s="1" t="s">
        <v>74</v>
      </c>
      <c r="BQ3148" s="1" t="s">
        <v>74</v>
      </c>
      <c r="BR3148" s="1" t="s">
        <v>98</v>
      </c>
      <c r="BS3148" s="1" t="s">
        <v>49966</v>
      </c>
      <c r="BT3148" s="1" t="str">
        <f>HYPERLINK("https%3A%2F%2Fwww.webofscience.com%2Fwos%2Fwoscc%2Ffull-record%2FWOS:000260660000006","View Full Record in Web of Science")</f>
        <v>View Full Record in Web of Science</v>
      </c>
      <c r="BU3148" s="1"/>
      <c r="BV3148" s="1"/>
    </row>
    <row r="3149" spans="1:74">
      <c r="A3149" s="1" t="s">
        <v>72</v>
      </c>
      <c r="B3149" s="1" t="s">
        <v>49967</v>
      </c>
      <c r="C3149" s="1" t="s">
        <v>74</v>
      </c>
      <c r="D3149" s="1" t="s">
        <v>74</v>
      </c>
      <c r="E3149" s="1" t="s">
        <v>74</v>
      </c>
      <c r="F3149" s="1" t="s">
        <v>49968</v>
      </c>
      <c r="G3149" s="1" t="s">
        <v>74</v>
      </c>
      <c r="H3149" s="1" t="s">
        <v>74</v>
      </c>
      <c r="I3149" s="1" t="s">
        <v>49969</v>
      </c>
      <c r="J3149" s="1" t="s">
        <v>49970</v>
      </c>
      <c r="K3149" s="1" t="s">
        <v>74</v>
      </c>
      <c r="L3149" s="1" t="s">
        <v>74</v>
      </c>
      <c r="M3149" s="1" t="s">
        <v>78</v>
      </c>
      <c r="N3149" s="1" t="s">
        <v>79</v>
      </c>
      <c r="O3149" s="1" t="s">
        <v>74</v>
      </c>
      <c r="P3149" s="1" t="s">
        <v>74</v>
      </c>
      <c r="Q3149" s="1" t="s">
        <v>74</v>
      </c>
      <c r="R3149" s="1" t="s">
        <v>74</v>
      </c>
      <c r="S3149" s="1" t="s">
        <v>74</v>
      </c>
      <c r="T3149" s="1" t="s">
        <v>49971</v>
      </c>
      <c r="U3149" s="1" t="s">
        <v>49972</v>
      </c>
      <c r="V3149" s="1" t="s">
        <v>49973</v>
      </c>
      <c r="W3149" s="1" t="s">
        <v>49974</v>
      </c>
      <c r="X3149" s="1" t="s">
        <v>49975</v>
      </c>
      <c r="Y3149" s="1" t="s">
        <v>49976</v>
      </c>
      <c r="Z3149" s="1" t="s">
        <v>49977</v>
      </c>
      <c r="AA3149" s="1" t="s">
        <v>49978</v>
      </c>
      <c r="AB3149" s="1" t="s">
        <v>49979</v>
      </c>
      <c r="AC3149" s="1" t="s">
        <v>49980</v>
      </c>
      <c r="AD3149" s="1" t="s">
        <v>49981</v>
      </c>
      <c r="AE3149" s="1" t="s">
        <v>49982</v>
      </c>
      <c r="AF3149" s="1" t="s">
        <v>74</v>
      </c>
      <c r="AG3149" s="1">
        <v>74</v>
      </c>
      <c r="AH3149" s="1">
        <v>77</v>
      </c>
      <c r="AI3149" s="1">
        <v>81</v>
      </c>
      <c r="AJ3149" s="1">
        <v>14</v>
      </c>
      <c r="AK3149" s="1">
        <v>146</v>
      </c>
      <c r="AL3149" s="1" t="s">
        <v>1350</v>
      </c>
      <c r="AM3149" s="1" t="s">
        <v>1351</v>
      </c>
      <c r="AN3149" s="1" t="s">
        <v>1352</v>
      </c>
      <c r="AO3149" s="1" t="s">
        <v>49983</v>
      </c>
      <c r="AP3149" s="1" t="s">
        <v>74</v>
      </c>
      <c r="AQ3149" s="1" t="s">
        <v>74</v>
      </c>
      <c r="AR3149" s="1" t="s">
        <v>49984</v>
      </c>
      <c r="AS3149" s="1" t="s">
        <v>49985</v>
      </c>
      <c r="AT3149" s="1" t="s">
        <v>49986</v>
      </c>
      <c r="AU3149" s="1">
        <v>2020</v>
      </c>
      <c r="AV3149" s="1">
        <v>8</v>
      </c>
      <c r="AW3149" s="1" t="s">
        <v>74</v>
      </c>
      <c r="AX3149" s="1" t="s">
        <v>74</v>
      </c>
      <c r="AY3149" s="1" t="s">
        <v>74</v>
      </c>
      <c r="AZ3149" s="1" t="s">
        <v>74</v>
      </c>
      <c r="BA3149" s="1" t="s">
        <v>74</v>
      </c>
      <c r="BB3149" s="1" t="s">
        <v>74</v>
      </c>
      <c r="BC3149" s="1" t="s">
        <v>74</v>
      </c>
      <c r="BD3149" s="1">
        <v>562760</v>
      </c>
      <c r="BE3149" s="1" t="s">
        <v>49987</v>
      </c>
      <c r="BF3149" s="1" t="str">
        <f>HYPERLINK("http://dx.doi.org/10.3389/fbioe.2020.562760","http://dx.doi.org/10.3389/fbioe.2020.562760")</f>
        <v>http://dx.doi.org/10.3389/fbioe.2020.562760</v>
      </c>
      <c r="BG3149" s="1" t="s">
        <v>74</v>
      </c>
      <c r="BH3149" s="1" t="s">
        <v>74</v>
      </c>
      <c r="BI3149" s="1">
        <v>9</v>
      </c>
      <c r="BJ3149" s="1" t="s">
        <v>49988</v>
      </c>
      <c r="BK3149" s="1" t="s">
        <v>96</v>
      </c>
      <c r="BL3149" s="1" t="s">
        <v>49989</v>
      </c>
      <c r="BM3149" s="1" t="s">
        <v>49990</v>
      </c>
      <c r="BN3149" s="1">
        <v>33344429</v>
      </c>
      <c r="BO3149" s="1" t="s">
        <v>2155</v>
      </c>
      <c r="BP3149" s="1" t="s">
        <v>74</v>
      </c>
      <c r="BQ3149" s="1" t="s">
        <v>74</v>
      </c>
      <c r="BR3149" s="1" t="s">
        <v>98</v>
      </c>
      <c r="BS3149" s="1" t="s">
        <v>49991</v>
      </c>
      <c r="BT3149" s="1" t="str">
        <f>HYPERLINK("https%3A%2F%2Fwww.webofscience.com%2Fwos%2Fwoscc%2Ffull-record%2FWOS:000599596000001","View Full Record in Web of Science")</f>
        <v>View Full Record in Web of Science</v>
      </c>
      <c r="BU3149" s="1"/>
      <c r="BV3149" s="1"/>
    </row>
    <row r="3150" spans="1:74">
      <c r="A3150" s="1" t="s">
        <v>72</v>
      </c>
      <c r="B3150" s="1" t="s">
        <v>49992</v>
      </c>
      <c r="C3150" s="1" t="s">
        <v>74</v>
      </c>
      <c r="D3150" s="1" t="s">
        <v>74</v>
      </c>
      <c r="E3150" s="1" t="s">
        <v>74</v>
      </c>
      <c r="F3150" s="1" t="s">
        <v>49993</v>
      </c>
      <c r="G3150" s="1" t="s">
        <v>74</v>
      </c>
      <c r="H3150" s="1" t="s">
        <v>74</v>
      </c>
      <c r="I3150" s="1" t="s">
        <v>49994</v>
      </c>
      <c r="J3150" s="1" t="s">
        <v>10129</v>
      </c>
      <c r="K3150" s="1" t="s">
        <v>74</v>
      </c>
      <c r="L3150" s="1" t="s">
        <v>74</v>
      </c>
      <c r="M3150" s="1" t="s">
        <v>78</v>
      </c>
      <c r="N3150" s="1" t="s">
        <v>79</v>
      </c>
      <c r="O3150" s="1" t="s">
        <v>74</v>
      </c>
      <c r="P3150" s="1" t="s">
        <v>74</v>
      </c>
      <c r="Q3150" s="1" t="s">
        <v>74</v>
      </c>
      <c r="R3150" s="1" t="s">
        <v>74</v>
      </c>
      <c r="S3150" s="1" t="s">
        <v>74</v>
      </c>
      <c r="T3150" s="1" t="s">
        <v>49995</v>
      </c>
      <c r="U3150" s="1" t="s">
        <v>49996</v>
      </c>
      <c r="V3150" s="1" t="s">
        <v>49997</v>
      </c>
      <c r="W3150" s="1" t="s">
        <v>49998</v>
      </c>
      <c r="X3150" s="1" t="s">
        <v>49999</v>
      </c>
      <c r="Y3150" s="1" t="s">
        <v>50000</v>
      </c>
      <c r="Z3150" s="1" t="s">
        <v>50001</v>
      </c>
      <c r="AA3150" s="1" t="s">
        <v>50002</v>
      </c>
      <c r="AB3150" s="1" t="s">
        <v>50003</v>
      </c>
      <c r="AC3150" s="1" t="s">
        <v>50004</v>
      </c>
      <c r="AD3150" s="1" t="s">
        <v>50005</v>
      </c>
      <c r="AE3150" s="1" t="s">
        <v>50006</v>
      </c>
      <c r="AF3150" s="1" t="s">
        <v>74</v>
      </c>
      <c r="AG3150" s="1">
        <v>60</v>
      </c>
      <c r="AH3150" s="1">
        <v>10</v>
      </c>
      <c r="AI3150" s="1">
        <v>11</v>
      </c>
      <c r="AJ3150" s="1">
        <v>11</v>
      </c>
      <c r="AK3150" s="1">
        <v>58</v>
      </c>
      <c r="AL3150" s="1" t="s">
        <v>3362</v>
      </c>
      <c r="AM3150" s="1" t="s">
        <v>3363</v>
      </c>
      <c r="AN3150" s="1" t="s">
        <v>3364</v>
      </c>
      <c r="AO3150" s="1" t="s">
        <v>10137</v>
      </c>
      <c r="AP3150" s="1" t="s">
        <v>10138</v>
      </c>
      <c r="AQ3150" s="1" t="s">
        <v>74</v>
      </c>
      <c r="AR3150" s="1" t="s">
        <v>10139</v>
      </c>
      <c r="AS3150" s="1" t="s">
        <v>10140</v>
      </c>
      <c r="AT3150" s="1" t="s">
        <v>11873</v>
      </c>
      <c r="AU3150" s="1">
        <v>2023</v>
      </c>
      <c r="AV3150" s="1">
        <v>216</v>
      </c>
      <c r="AW3150" s="1" t="s">
        <v>74</v>
      </c>
      <c r="AX3150" s="1">
        <v>1</v>
      </c>
      <c r="AY3150" s="1" t="s">
        <v>74</v>
      </c>
      <c r="AZ3150" s="1" t="s">
        <v>74</v>
      </c>
      <c r="BA3150" s="1" t="s">
        <v>74</v>
      </c>
      <c r="BB3150" s="1" t="s">
        <v>74</v>
      </c>
      <c r="BC3150" s="1" t="s">
        <v>74</v>
      </c>
      <c r="BD3150" s="1">
        <v>114459</v>
      </c>
      <c r="BE3150" s="1" t="s">
        <v>50007</v>
      </c>
      <c r="BF3150" s="1" t="str">
        <f>HYPERLINK("http://dx.doi.org/10.1016/j.envres.2022.114459","http://dx.doi.org/10.1016/j.envres.2022.114459")</f>
        <v>http://dx.doi.org/10.1016/j.envres.2022.114459</v>
      </c>
      <c r="BG3150" s="1" t="s">
        <v>74</v>
      </c>
      <c r="BH3150" s="1" t="s">
        <v>19875</v>
      </c>
      <c r="BI3150" s="1">
        <v>10</v>
      </c>
      <c r="BJ3150" s="1" t="s">
        <v>10142</v>
      </c>
      <c r="BK3150" s="1" t="s">
        <v>96</v>
      </c>
      <c r="BL3150" s="1" t="s">
        <v>10143</v>
      </c>
      <c r="BM3150" s="1" t="s">
        <v>50008</v>
      </c>
      <c r="BN3150" s="1">
        <v>36181899</v>
      </c>
      <c r="BO3150" s="1" t="s">
        <v>74</v>
      </c>
      <c r="BP3150" s="1" t="s">
        <v>74</v>
      </c>
      <c r="BQ3150" s="1" t="s">
        <v>74</v>
      </c>
      <c r="BR3150" s="1" t="s">
        <v>98</v>
      </c>
      <c r="BS3150" s="1" t="s">
        <v>50009</v>
      </c>
      <c r="BT3150" s="1" t="str">
        <f>HYPERLINK("https%3A%2F%2Fwww.webofscience.com%2Fwos%2Fwoscc%2Ffull-record%2FWOS:000868324800001","View Full Record in Web of Science")</f>
        <v>View Full Record in Web of Science</v>
      </c>
      <c r="BU3150" s="1"/>
      <c r="BV3150" s="1"/>
    </row>
    <row r="3151" spans="1:74">
      <c r="A3151" s="1" t="s">
        <v>72</v>
      </c>
      <c r="B3151" s="1" t="s">
        <v>50010</v>
      </c>
      <c r="C3151" s="1" t="s">
        <v>74</v>
      </c>
      <c r="D3151" s="1" t="s">
        <v>74</v>
      </c>
      <c r="E3151" s="1" t="s">
        <v>74</v>
      </c>
      <c r="F3151" s="1" t="s">
        <v>50011</v>
      </c>
      <c r="G3151" s="1" t="s">
        <v>74</v>
      </c>
      <c r="H3151" s="1" t="s">
        <v>74</v>
      </c>
      <c r="I3151" s="1" t="s">
        <v>50012</v>
      </c>
      <c r="J3151" s="1" t="s">
        <v>3349</v>
      </c>
      <c r="K3151" s="1" t="s">
        <v>74</v>
      </c>
      <c r="L3151" s="1" t="s">
        <v>74</v>
      </c>
      <c r="M3151" s="1" t="s">
        <v>78</v>
      </c>
      <c r="N3151" s="1" t="s">
        <v>79</v>
      </c>
      <c r="O3151" s="1" t="s">
        <v>74</v>
      </c>
      <c r="P3151" s="1" t="s">
        <v>74</v>
      </c>
      <c r="Q3151" s="1" t="s">
        <v>74</v>
      </c>
      <c r="R3151" s="1" t="s">
        <v>74</v>
      </c>
      <c r="S3151" s="1" t="s">
        <v>74</v>
      </c>
      <c r="T3151" s="1" t="s">
        <v>50013</v>
      </c>
      <c r="U3151" s="1" t="s">
        <v>50014</v>
      </c>
      <c r="V3151" s="1" t="s">
        <v>50015</v>
      </c>
      <c r="W3151" s="1" t="s">
        <v>50016</v>
      </c>
      <c r="X3151" s="1" t="s">
        <v>9952</v>
      </c>
      <c r="Y3151" s="1" t="s">
        <v>50017</v>
      </c>
      <c r="Z3151" s="1" t="s">
        <v>21443</v>
      </c>
      <c r="AA3151" s="1" t="s">
        <v>37268</v>
      </c>
      <c r="AB3151" s="1" t="s">
        <v>37269</v>
      </c>
      <c r="AC3151" s="1" t="s">
        <v>42208</v>
      </c>
      <c r="AD3151" s="1" t="s">
        <v>42209</v>
      </c>
      <c r="AE3151" s="1" t="s">
        <v>50018</v>
      </c>
      <c r="AF3151" s="1" t="s">
        <v>74</v>
      </c>
      <c r="AG3151" s="1">
        <v>63</v>
      </c>
      <c r="AH3151" s="1">
        <v>53</v>
      </c>
      <c r="AI3151" s="1">
        <v>57</v>
      </c>
      <c r="AJ3151" s="1">
        <v>1</v>
      </c>
      <c r="AK3151" s="1">
        <v>48</v>
      </c>
      <c r="AL3151" s="1" t="s">
        <v>3362</v>
      </c>
      <c r="AM3151" s="1" t="s">
        <v>3363</v>
      </c>
      <c r="AN3151" s="1" t="s">
        <v>3364</v>
      </c>
      <c r="AO3151" s="1" t="s">
        <v>3365</v>
      </c>
      <c r="AP3151" s="1" t="s">
        <v>3366</v>
      </c>
      <c r="AQ3151" s="1" t="s">
        <v>74</v>
      </c>
      <c r="AR3151" s="1" t="s">
        <v>3367</v>
      </c>
      <c r="AS3151" s="1" t="s">
        <v>3368</v>
      </c>
      <c r="AT3151" s="1" t="s">
        <v>305</v>
      </c>
      <c r="AU3151" s="1">
        <v>2014</v>
      </c>
      <c r="AV3151" s="1">
        <v>107</v>
      </c>
      <c r="AW3151" s="1" t="s">
        <v>74</v>
      </c>
      <c r="AX3151" s="1" t="s">
        <v>74</v>
      </c>
      <c r="AY3151" s="1" t="s">
        <v>74</v>
      </c>
      <c r="AZ3151" s="1" t="s">
        <v>74</v>
      </c>
      <c r="BA3151" s="1" t="s">
        <v>74</v>
      </c>
      <c r="BB3151" s="1">
        <v>103</v>
      </c>
      <c r="BC3151" s="1">
        <v>110</v>
      </c>
      <c r="BD3151" s="1" t="s">
        <v>74</v>
      </c>
      <c r="BE3151" s="1" t="s">
        <v>50019</v>
      </c>
      <c r="BF3151" s="1" t="str">
        <f>HYPERLINK("http://dx.doi.org/10.1016/j.ecoenv.2014.05.016","http://dx.doi.org/10.1016/j.ecoenv.2014.05.016")</f>
        <v>http://dx.doi.org/10.1016/j.ecoenv.2014.05.016</v>
      </c>
      <c r="BG3151" s="1" t="s">
        <v>74</v>
      </c>
      <c r="BH3151" s="1" t="s">
        <v>74</v>
      </c>
      <c r="BI3151" s="1">
        <v>8</v>
      </c>
      <c r="BJ3151" s="1" t="s">
        <v>121</v>
      </c>
      <c r="BK3151" s="1" t="s">
        <v>96</v>
      </c>
      <c r="BL3151" s="1" t="s">
        <v>122</v>
      </c>
      <c r="BM3151" s="1" t="s">
        <v>50020</v>
      </c>
      <c r="BN3151" s="1">
        <v>24967756</v>
      </c>
      <c r="BO3151" s="1" t="s">
        <v>74</v>
      </c>
      <c r="BP3151" s="1" t="s">
        <v>74</v>
      </c>
      <c r="BQ3151" s="1" t="s">
        <v>74</v>
      </c>
      <c r="BR3151" s="1" t="s">
        <v>98</v>
      </c>
      <c r="BS3151" s="1" t="s">
        <v>50021</v>
      </c>
      <c r="BT3151" s="1" t="str">
        <f>HYPERLINK("https%3A%2F%2Fwww.webofscience.com%2Fwos%2Fwoscc%2Ffull-record%2FWOS:000342122000015","View Full Record in Web of Science")</f>
        <v>View Full Record in Web of Science</v>
      </c>
      <c r="BU3151" s="1"/>
      <c r="BV3151" s="1"/>
    </row>
    <row r="3152" spans="1:74">
      <c r="A3152" s="1" t="s">
        <v>72</v>
      </c>
      <c r="B3152" s="1" t="s">
        <v>50022</v>
      </c>
      <c r="C3152" s="1" t="s">
        <v>74</v>
      </c>
      <c r="D3152" s="1" t="s">
        <v>74</v>
      </c>
      <c r="E3152" s="1" t="s">
        <v>74</v>
      </c>
      <c r="F3152" s="1" t="s">
        <v>50023</v>
      </c>
      <c r="G3152" s="1" t="s">
        <v>74</v>
      </c>
      <c r="H3152" s="1" t="s">
        <v>74</v>
      </c>
      <c r="I3152" s="1" t="s">
        <v>50024</v>
      </c>
      <c r="J3152" s="1" t="s">
        <v>15109</v>
      </c>
      <c r="K3152" s="1" t="s">
        <v>74</v>
      </c>
      <c r="L3152" s="1" t="s">
        <v>74</v>
      </c>
      <c r="M3152" s="1" t="s">
        <v>78</v>
      </c>
      <c r="N3152" s="1" t="s">
        <v>151</v>
      </c>
      <c r="O3152" s="1" t="s">
        <v>50025</v>
      </c>
      <c r="P3152" s="1">
        <v>2005</v>
      </c>
      <c r="Q3152" s="1" t="s">
        <v>50026</v>
      </c>
      <c r="R3152" s="1" t="s">
        <v>74</v>
      </c>
      <c r="S3152" s="1" t="s">
        <v>74</v>
      </c>
      <c r="T3152" s="1" t="s">
        <v>74</v>
      </c>
      <c r="U3152" s="1" t="s">
        <v>50027</v>
      </c>
      <c r="V3152" s="1" t="s">
        <v>50028</v>
      </c>
      <c r="W3152" s="1" t="s">
        <v>50029</v>
      </c>
      <c r="X3152" s="1" t="s">
        <v>50030</v>
      </c>
      <c r="Y3152" s="1" t="s">
        <v>50031</v>
      </c>
      <c r="Z3152" s="1" t="s">
        <v>46424</v>
      </c>
      <c r="AA3152" s="1" t="s">
        <v>50032</v>
      </c>
      <c r="AB3152" s="1" t="s">
        <v>74</v>
      </c>
      <c r="AC3152" s="1" t="s">
        <v>74</v>
      </c>
      <c r="AD3152" s="1" t="s">
        <v>74</v>
      </c>
      <c r="AE3152" s="1" t="s">
        <v>74</v>
      </c>
      <c r="AF3152" s="1" t="s">
        <v>74</v>
      </c>
      <c r="AG3152" s="1">
        <v>133</v>
      </c>
      <c r="AH3152" s="1">
        <v>55</v>
      </c>
      <c r="AI3152" s="1">
        <v>64</v>
      </c>
      <c r="AJ3152" s="1">
        <v>0</v>
      </c>
      <c r="AK3152" s="1">
        <v>36</v>
      </c>
      <c r="AL3152" s="1" t="s">
        <v>2336</v>
      </c>
      <c r="AM3152" s="1" t="s">
        <v>262</v>
      </c>
      <c r="AN3152" s="1" t="s">
        <v>15117</v>
      </c>
      <c r="AO3152" s="1" t="s">
        <v>15118</v>
      </c>
      <c r="AP3152" s="1" t="s">
        <v>15119</v>
      </c>
      <c r="AQ3152" s="1" t="s">
        <v>74</v>
      </c>
      <c r="AR3152" s="1" t="s">
        <v>15120</v>
      </c>
      <c r="AS3152" s="1" t="s">
        <v>15121</v>
      </c>
      <c r="AT3152" s="1" t="s">
        <v>142</v>
      </c>
      <c r="AU3152" s="1">
        <v>2006</v>
      </c>
      <c r="AV3152" s="1">
        <v>80</v>
      </c>
      <c r="AW3152" s="1">
        <v>2</v>
      </c>
      <c r="AX3152" s="1" t="s">
        <v>74</v>
      </c>
      <c r="AY3152" s="1" t="s">
        <v>74</v>
      </c>
      <c r="AZ3152" s="1" t="s">
        <v>74</v>
      </c>
      <c r="BA3152" s="1" t="s">
        <v>74</v>
      </c>
      <c r="BB3152" s="1">
        <v>137</v>
      </c>
      <c r="BC3152" s="1">
        <v>149</v>
      </c>
      <c r="BD3152" s="1" t="s">
        <v>74</v>
      </c>
      <c r="BE3152" s="1" t="s">
        <v>50033</v>
      </c>
      <c r="BF3152" s="1" t="str">
        <f>HYPERLINK("http://dx.doi.org/10.1079/JOH2006345","http://dx.doi.org/10.1079/JOH2006345")</f>
        <v>http://dx.doi.org/10.1079/JOH2006345</v>
      </c>
      <c r="BG3152" s="1" t="s">
        <v>74</v>
      </c>
      <c r="BH3152" s="1" t="s">
        <v>74</v>
      </c>
      <c r="BI3152" s="1">
        <v>13</v>
      </c>
      <c r="BJ3152" s="1" t="s">
        <v>15125</v>
      </c>
      <c r="BK3152" s="1" t="s">
        <v>172</v>
      </c>
      <c r="BL3152" s="1" t="s">
        <v>15125</v>
      </c>
      <c r="BM3152" s="1" t="s">
        <v>50034</v>
      </c>
      <c r="BN3152" s="1">
        <v>16768857</v>
      </c>
      <c r="BO3152" s="1" t="s">
        <v>74</v>
      </c>
      <c r="BP3152" s="1" t="s">
        <v>74</v>
      </c>
      <c r="BQ3152" s="1" t="s">
        <v>74</v>
      </c>
      <c r="BR3152" s="1" t="s">
        <v>98</v>
      </c>
      <c r="BS3152" s="1" t="s">
        <v>50035</v>
      </c>
      <c r="BT3152" s="1" t="str">
        <f>HYPERLINK("https%3A%2F%2Fwww.webofscience.com%2Fwos%2Fwoscc%2Ffull-record%2FWOS:000238202100005","View Full Record in Web of Science")</f>
        <v>View Full Record in Web of Science</v>
      </c>
      <c r="BU3152" s="1"/>
      <c r="BV3152" s="1"/>
    </row>
    <row r="3153" spans="1:74">
      <c r="A3153" s="1" t="s">
        <v>72</v>
      </c>
      <c r="B3153" s="1" t="s">
        <v>50036</v>
      </c>
      <c r="C3153" s="1" t="s">
        <v>74</v>
      </c>
      <c r="D3153" s="1" t="s">
        <v>74</v>
      </c>
      <c r="E3153" s="1" t="s">
        <v>74</v>
      </c>
      <c r="F3153" s="1" t="s">
        <v>50036</v>
      </c>
      <c r="G3153" s="1" t="s">
        <v>74</v>
      </c>
      <c r="H3153" s="1" t="s">
        <v>74</v>
      </c>
      <c r="I3153" s="1" t="s">
        <v>50037</v>
      </c>
      <c r="J3153" s="1" t="s">
        <v>103</v>
      </c>
      <c r="K3153" s="1" t="s">
        <v>74</v>
      </c>
      <c r="L3153" s="1" t="s">
        <v>74</v>
      </c>
      <c r="M3153" s="1" t="s">
        <v>78</v>
      </c>
      <c r="N3153" s="1" t="s">
        <v>79</v>
      </c>
      <c r="O3153" s="1" t="s">
        <v>74</v>
      </c>
      <c r="P3153" s="1" t="s">
        <v>74</v>
      </c>
      <c r="Q3153" s="1" t="s">
        <v>74</v>
      </c>
      <c r="R3153" s="1" t="s">
        <v>74</v>
      </c>
      <c r="S3153" s="1" t="s">
        <v>74</v>
      </c>
      <c r="T3153" s="1" t="s">
        <v>74</v>
      </c>
      <c r="U3153" s="1" t="s">
        <v>50038</v>
      </c>
      <c r="V3153" s="1" t="s">
        <v>74</v>
      </c>
      <c r="W3153" s="1" t="s">
        <v>50039</v>
      </c>
      <c r="X3153" s="1" t="s">
        <v>5820</v>
      </c>
      <c r="Y3153" s="1" t="s">
        <v>50040</v>
      </c>
      <c r="Z3153" s="1" t="s">
        <v>74</v>
      </c>
      <c r="AA3153" s="1" t="s">
        <v>50041</v>
      </c>
      <c r="AB3153" s="1" t="s">
        <v>50042</v>
      </c>
      <c r="AC3153" s="1" t="s">
        <v>74</v>
      </c>
      <c r="AD3153" s="1" t="s">
        <v>74</v>
      </c>
      <c r="AE3153" s="1" t="s">
        <v>74</v>
      </c>
      <c r="AF3153" s="1" t="s">
        <v>74</v>
      </c>
      <c r="AG3153" s="1">
        <v>17</v>
      </c>
      <c r="AH3153" s="1">
        <v>6</v>
      </c>
      <c r="AI3153" s="1">
        <v>9</v>
      </c>
      <c r="AJ3153" s="1">
        <v>0</v>
      </c>
      <c r="AK3153" s="1">
        <v>7</v>
      </c>
      <c r="AL3153" s="1" t="s">
        <v>112</v>
      </c>
      <c r="AM3153" s="1" t="s">
        <v>113</v>
      </c>
      <c r="AN3153" s="1" t="s">
        <v>1008</v>
      </c>
      <c r="AO3153" s="1" t="s">
        <v>115</v>
      </c>
      <c r="AP3153" s="1" t="s">
        <v>74</v>
      </c>
      <c r="AQ3153" s="1" t="s">
        <v>74</v>
      </c>
      <c r="AR3153" s="1" t="s">
        <v>117</v>
      </c>
      <c r="AS3153" s="1" t="s">
        <v>118</v>
      </c>
      <c r="AT3153" s="1" t="s">
        <v>224</v>
      </c>
      <c r="AU3153" s="1">
        <v>2005</v>
      </c>
      <c r="AV3153" s="1">
        <v>74</v>
      </c>
      <c r="AW3153" s="1">
        <v>2</v>
      </c>
      <c r="AX3153" s="1" t="s">
        <v>74</v>
      </c>
      <c r="AY3153" s="1" t="s">
        <v>74</v>
      </c>
      <c r="AZ3153" s="1" t="s">
        <v>74</v>
      </c>
      <c r="BA3153" s="1" t="s">
        <v>74</v>
      </c>
      <c r="BB3153" s="1">
        <v>250</v>
      </c>
      <c r="BC3153" s="1">
        <v>255</v>
      </c>
      <c r="BD3153" s="1" t="s">
        <v>74</v>
      </c>
      <c r="BE3153" s="1" t="s">
        <v>50043</v>
      </c>
      <c r="BF3153" s="1" t="str">
        <f>HYPERLINK("http://dx.doi.org/10.1007/s00128-004-0577-8","http://dx.doi.org/10.1007/s00128-004-0577-8")</f>
        <v>http://dx.doi.org/10.1007/s00128-004-0577-8</v>
      </c>
      <c r="BG3153" s="1" t="s">
        <v>74</v>
      </c>
      <c r="BH3153" s="1" t="s">
        <v>74</v>
      </c>
      <c r="BI3153" s="1">
        <v>6</v>
      </c>
      <c r="BJ3153" s="1" t="s">
        <v>121</v>
      </c>
      <c r="BK3153" s="1" t="s">
        <v>96</v>
      </c>
      <c r="BL3153" s="1" t="s">
        <v>122</v>
      </c>
      <c r="BM3153" s="1" t="s">
        <v>50044</v>
      </c>
      <c r="BN3153" s="1">
        <v>15841964</v>
      </c>
      <c r="BO3153" s="1" t="s">
        <v>74</v>
      </c>
      <c r="BP3153" s="1" t="s">
        <v>74</v>
      </c>
      <c r="BQ3153" s="1" t="s">
        <v>74</v>
      </c>
      <c r="BR3153" s="1" t="s">
        <v>98</v>
      </c>
      <c r="BS3153" s="1" t="s">
        <v>50045</v>
      </c>
      <c r="BT3153" s="1" t="str">
        <f>HYPERLINK("https%3A%2F%2Fwww.webofscience.com%2Fwos%2Fwoscc%2Ffull-record%2FWOS:000226551800005","View Full Record in Web of Science")</f>
        <v>View Full Record in Web of Science</v>
      </c>
      <c r="BU3153" s="1"/>
      <c r="BV3153" s="1"/>
    </row>
    <row r="3154" spans="1:74">
      <c r="A3154" s="1" t="s">
        <v>72</v>
      </c>
      <c r="B3154" s="1" t="s">
        <v>36357</v>
      </c>
      <c r="C3154" s="1" t="s">
        <v>74</v>
      </c>
      <c r="D3154" s="1" t="s">
        <v>74</v>
      </c>
      <c r="E3154" s="1" t="s">
        <v>74</v>
      </c>
      <c r="F3154" s="1" t="s">
        <v>36358</v>
      </c>
      <c r="G3154" s="1" t="s">
        <v>74</v>
      </c>
      <c r="H3154" s="1" t="s">
        <v>74</v>
      </c>
      <c r="I3154" s="1" t="s">
        <v>50046</v>
      </c>
      <c r="J3154" s="1" t="s">
        <v>2818</v>
      </c>
      <c r="K3154" s="1" t="s">
        <v>74</v>
      </c>
      <c r="L3154" s="1" t="s">
        <v>74</v>
      </c>
      <c r="M3154" s="1" t="s">
        <v>78</v>
      </c>
      <c r="N3154" s="1" t="s">
        <v>79</v>
      </c>
      <c r="O3154" s="1" t="s">
        <v>74</v>
      </c>
      <c r="P3154" s="1" t="s">
        <v>74</v>
      </c>
      <c r="Q3154" s="1" t="s">
        <v>74</v>
      </c>
      <c r="R3154" s="1" t="s">
        <v>74</v>
      </c>
      <c r="S3154" s="1" t="s">
        <v>74</v>
      </c>
      <c r="T3154" s="1" t="s">
        <v>50047</v>
      </c>
      <c r="U3154" s="1" t="s">
        <v>50048</v>
      </c>
      <c r="V3154" s="1" t="s">
        <v>50049</v>
      </c>
      <c r="W3154" s="1" t="s">
        <v>50050</v>
      </c>
      <c r="X3154" s="1" t="s">
        <v>34868</v>
      </c>
      <c r="Y3154" s="1" t="s">
        <v>50051</v>
      </c>
      <c r="Z3154" s="1" t="s">
        <v>50052</v>
      </c>
      <c r="AA3154" s="1" t="s">
        <v>36366</v>
      </c>
      <c r="AB3154" s="1" t="s">
        <v>36367</v>
      </c>
      <c r="AC3154" s="1" t="s">
        <v>50053</v>
      </c>
      <c r="AD3154" s="1" t="s">
        <v>10121</v>
      </c>
      <c r="AE3154" s="1" t="s">
        <v>50054</v>
      </c>
      <c r="AF3154" s="1" t="s">
        <v>74</v>
      </c>
      <c r="AG3154" s="1">
        <v>99</v>
      </c>
      <c r="AH3154" s="1">
        <v>14</v>
      </c>
      <c r="AI3154" s="1">
        <v>15</v>
      </c>
      <c r="AJ3154" s="1">
        <v>13</v>
      </c>
      <c r="AK3154" s="1">
        <v>21</v>
      </c>
      <c r="AL3154" s="1" t="s">
        <v>1566</v>
      </c>
      <c r="AM3154" s="1" t="s">
        <v>1567</v>
      </c>
      <c r="AN3154" s="1" t="s">
        <v>1568</v>
      </c>
      <c r="AO3154" s="1" t="s">
        <v>74</v>
      </c>
      <c r="AP3154" s="1" t="s">
        <v>2829</v>
      </c>
      <c r="AQ3154" s="1" t="s">
        <v>74</v>
      </c>
      <c r="AR3154" s="1" t="s">
        <v>2818</v>
      </c>
      <c r="AS3154" s="1" t="s">
        <v>2830</v>
      </c>
      <c r="AT3154" s="1" t="s">
        <v>267</v>
      </c>
      <c r="AU3154" s="1">
        <v>2021</v>
      </c>
      <c r="AV3154" s="1">
        <v>10</v>
      </c>
      <c r="AW3154" s="1">
        <v>10</v>
      </c>
      <c r="AX3154" s="1" t="s">
        <v>74</v>
      </c>
      <c r="AY3154" s="1" t="s">
        <v>74</v>
      </c>
      <c r="AZ3154" s="1" t="s">
        <v>74</v>
      </c>
      <c r="BA3154" s="1" t="s">
        <v>74</v>
      </c>
      <c r="BB3154" s="1" t="s">
        <v>74</v>
      </c>
      <c r="BC3154" s="1" t="s">
        <v>74</v>
      </c>
      <c r="BD3154" s="1">
        <v>2313</v>
      </c>
      <c r="BE3154" s="1" t="s">
        <v>50055</v>
      </c>
      <c r="BF3154" s="1" t="str">
        <f>HYPERLINK("http://dx.doi.org/10.3390/foods10102313","http://dx.doi.org/10.3390/foods10102313")</f>
        <v>http://dx.doi.org/10.3390/foods10102313</v>
      </c>
      <c r="BG3154" s="1" t="s">
        <v>74</v>
      </c>
      <c r="BH3154" s="1" t="s">
        <v>74</v>
      </c>
      <c r="BI3154" s="1">
        <v>26</v>
      </c>
      <c r="BJ3154" s="1" t="s">
        <v>2598</v>
      </c>
      <c r="BK3154" s="1" t="s">
        <v>96</v>
      </c>
      <c r="BL3154" s="1" t="s">
        <v>2598</v>
      </c>
      <c r="BM3154" s="1" t="s">
        <v>50056</v>
      </c>
      <c r="BN3154" s="1">
        <v>34681363</v>
      </c>
      <c r="BO3154" s="1" t="s">
        <v>550</v>
      </c>
      <c r="BP3154" s="1" t="s">
        <v>74</v>
      </c>
      <c r="BQ3154" s="1" t="s">
        <v>74</v>
      </c>
      <c r="BR3154" s="1" t="s">
        <v>98</v>
      </c>
      <c r="BS3154" s="1" t="s">
        <v>50057</v>
      </c>
      <c r="BT3154" s="1" t="str">
        <f>HYPERLINK("https%3A%2F%2Fwww.webofscience.com%2Fwos%2Fwoscc%2Ffull-record%2FWOS:000712105100001","View Full Record in Web of Science")</f>
        <v>View Full Record in Web of Science</v>
      </c>
      <c r="BU3154" s="1"/>
      <c r="BV3154" s="1"/>
    </row>
    <row r="3155" spans="1:74">
      <c r="A3155" s="1" t="s">
        <v>72</v>
      </c>
      <c r="B3155" s="1" t="s">
        <v>50058</v>
      </c>
      <c r="C3155" s="1" t="s">
        <v>74</v>
      </c>
      <c r="D3155" s="1" t="s">
        <v>74</v>
      </c>
      <c r="E3155" s="1" t="s">
        <v>74</v>
      </c>
      <c r="F3155" s="1" t="s">
        <v>50059</v>
      </c>
      <c r="G3155" s="1" t="s">
        <v>74</v>
      </c>
      <c r="H3155" s="1" t="s">
        <v>74</v>
      </c>
      <c r="I3155" s="1" t="s">
        <v>50060</v>
      </c>
      <c r="J3155" s="1" t="s">
        <v>50061</v>
      </c>
      <c r="K3155" s="1" t="s">
        <v>74</v>
      </c>
      <c r="L3155" s="1" t="s">
        <v>74</v>
      </c>
      <c r="M3155" s="1" t="s">
        <v>78</v>
      </c>
      <c r="N3155" s="1" t="s">
        <v>79</v>
      </c>
      <c r="O3155" s="1" t="s">
        <v>74</v>
      </c>
      <c r="P3155" s="1" t="s">
        <v>74</v>
      </c>
      <c r="Q3155" s="1" t="s">
        <v>74</v>
      </c>
      <c r="R3155" s="1" t="s">
        <v>74</v>
      </c>
      <c r="S3155" s="1" t="s">
        <v>74</v>
      </c>
      <c r="T3155" s="1" t="s">
        <v>50062</v>
      </c>
      <c r="U3155" s="1" t="s">
        <v>50063</v>
      </c>
      <c r="V3155" s="1" t="s">
        <v>50064</v>
      </c>
      <c r="W3155" s="1" t="s">
        <v>50065</v>
      </c>
      <c r="X3155" s="1" t="s">
        <v>50066</v>
      </c>
      <c r="Y3155" s="1" t="s">
        <v>50067</v>
      </c>
      <c r="Z3155" s="1" t="s">
        <v>50068</v>
      </c>
      <c r="AA3155" s="1" t="s">
        <v>74</v>
      </c>
      <c r="AB3155" s="1" t="s">
        <v>74</v>
      </c>
      <c r="AC3155" s="1" t="s">
        <v>50069</v>
      </c>
      <c r="AD3155" s="1" t="s">
        <v>50070</v>
      </c>
      <c r="AE3155" s="1" t="s">
        <v>50071</v>
      </c>
      <c r="AF3155" s="1" t="s">
        <v>74</v>
      </c>
      <c r="AG3155" s="1">
        <v>39</v>
      </c>
      <c r="AH3155" s="1">
        <v>4</v>
      </c>
      <c r="AI3155" s="1">
        <v>4</v>
      </c>
      <c r="AJ3155" s="1">
        <v>1</v>
      </c>
      <c r="AK3155" s="1">
        <v>3</v>
      </c>
      <c r="AL3155" s="1" t="s">
        <v>86</v>
      </c>
      <c r="AM3155" s="1" t="s">
        <v>87</v>
      </c>
      <c r="AN3155" s="1" t="s">
        <v>88</v>
      </c>
      <c r="AO3155" s="1" t="s">
        <v>50072</v>
      </c>
      <c r="AP3155" s="1" t="s">
        <v>50073</v>
      </c>
      <c r="AQ3155" s="1" t="s">
        <v>74</v>
      </c>
      <c r="AR3155" s="1" t="s">
        <v>50074</v>
      </c>
      <c r="AS3155" s="1" t="s">
        <v>50075</v>
      </c>
      <c r="AT3155" s="1" t="s">
        <v>305</v>
      </c>
      <c r="AU3155" s="1">
        <v>2008</v>
      </c>
      <c r="AV3155" s="1">
        <v>32</v>
      </c>
      <c r="AW3155" s="1">
        <v>9</v>
      </c>
      <c r="AX3155" s="1" t="s">
        <v>74</v>
      </c>
      <c r="AY3155" s="1" t="s">
        <v>74</v>
      </c>
      <c r="AZ3155" s="1" t="s">
        <v>74</v>
      </c>
      <c r="BA3155" s="1" t="s">
        <v>74</v>
      </c>
      <c r="BB3155" s="1">
        <v>1143</v>
      </c>
      <c r="BC3155" s="1">
        <v>1149</v>
      </c>
      <c r="BD3155" s="1" t="s">
        <v>74</v>
      </c>
      <c r="BE3155" s="1" t="s">
        <v>50076</v>
      </c>
      <c r="BF3155" s="1" t="str">
        <f>HYPERLINK("http://dx.doi.org/10.1016/j.cellbi.2008.06.004","http://dx.doi.org/10.1016/j.cellbi.2008.06.004")</f>
        <v>http://dx.doi.org/10.1016/j.cellbi.2008.06.004</v>
      </c>
      <c r="BG3155" s="1" t="s">
        <v>74</v>
      </c>
      <c r="BH3155" s="1" t="s">
        <v>74</v>
      </c>
      <c r="BI3155" s="1">
        <v>7</v>
      </c>
      <c r="BJ3155" s="1" t="s">
        <v>12307</v>
      </c>
      <c r="BK3155" s="1" t="s">
        <v>96</v>
      </c>
      <c r="BL3155" s="1" t="s">
        <v>12307</v>
      </c>
      <c r="BM3155" s="1" t="s">
        <v>50077</v>
      </c>
      <c r="BN3155" s="1">
        <v>18606235</v>
      </c>
      <c r="BO3155" s="1" t="s">
        <v>74</v>
      </c>
      <c r="BP3155" s="1" t="s">
        <v>74</v>
      </c>
      <c r="BQ3155" s="1" t="s">
        <v>74</v>
      </c>
      <c r="BR3155" s="1" t="s">
        <v>98</v>
      </c>
      <c r="BS3155" s="1" t="s">
        <v>50078</v>
      </c>
      <c r="BT3155" s="1" t="str">
        <f>HYPERLINK("https%3A%2F%2Fwww.webofscience.com%2Fwos%2Fwoscc%2Ffull-record%2FWOS:000260671700014","View Full Record in Web of Science")</f>
        <v>View Full Record in Web of Science</v>
      </c>
      <c r="BU3155" s="1"/>
      <c r="BV3155" s="1"/>
    </row>
    <row r="3156" spans="1:74">
      <c r="A3156" s="1" t="s">
        <v>72</v>
      </c>
      <c r="B3156" s="1" t="s">
        <v>50079</v>
      </c>
      <c r="C3156" s="1" t="s">
        <v>74</v>
      </c>
      <c r="D3156" s="1" t="s">
        <v>74</v>
      </c>
      <c r="E3156" s="1" t="s">
        <v>74</v>
      </c>
      <c r="F3156" s="1" t="s">
        <v>50080</v>
      </c>
      <c r="G3156" s="1" t="s">
        <v>74</v>
      </c>
      <c r="H3156" s="1" t="s">
        <v>74</v>
      </c>
      <c r="I3156" s="1" t="s">
        <v>50081</v>
      </c>
      <c r="J3156" s="1" t="s">
        <v>232</v>
      </c>
      <c r="K3156" s="1" t="s">
        <v>74</v>
      </c>
      <c r="L3156" s="1" t="s">
        <v>74</v>
      </c>
      <c r="M3156" s="1" t="s">
        <v>78</v>
      </c>
      <c r="N3156" s="1" t="s">
        <v>79</v>
      </c>
      <c r="O3156" s="1" t="s">
        <v>74</v>
      </c>
      <c r="P3156" s="1" t="s">
        <v>74</v>
      </c>
      <c r="Q3156" s="1" t="s">
        <v>74</v>
      </c>
      <c r="R3156" s="1" t="s">
        <v>74</v>
      </c>
      <c r="S3156" s="1" t="s">
        <v>74</v>
      </c>
      <c r="T3156" s="1" t="s">
        <v>50082</v>
      </c>
      <c r="U3156" s="1" t="s">
        <v>50083</v>
      </c>
      <c r="V3156" s="1" t="s">
        <v>50084</v>
      </c>
      <c r="W3156" s="1" t="s">
        <v>50085</v>
      </c>
      <c r="X3156" s="1" t="s">
        <v>50086</v>
      </c>
      <c r="Y3156" s="1" t="s">
        <v>50087</v>
      </c>
      <c r="Z3156" s="1" t="s">
        <v>50088</v>
      </c>
      <c r="AA3156" s="1" t="s">
        <v>74</v>
      </c>
      <c r="AB3156" s="1" t="s">
        <v>74</v>
      </c>
      <c r="AC3156" s="1" t="s">
        <v>50089</v>
      </c>
      <c r="AD3156" s="1" t="s">
        <v>50090</v>
      </c>
      <c r="AE3156" s="1" t="s">
        <v>50091</v>
      </c>
      <c r="AF3156" s="1" t="s">
        <v>74</v>
      </c>
      <c r="AG3156" s="1">
        <v>114</v>
      </c>
      <c r="AH3156" s="1">
        <v>55</v>
      </c>
      <c r="AI3156" s="1">
        <v>58</v>
      </c>
      <c r="AJ3156" s="1">
        <v>11</v>
      </c>
      <c r="AK3156" s="1">
        <v>95</v>
      </c>
      <c r="AL3156" s="1" t="s">
        <v>136</v>
      </c>
      <c r="AM3156" s="1" t="s">
        <v>137</v>
      </c>
      <c r="AN3156" s="1" t="s">
        <v>138</v>
      </c>
      <c r="AO3156" s="1" t="s">
        <v>240</v>
      </c>
      <c r="AP3156" s="1" t="s">
        <v>241</v>
      </c>
      <c r="AQ3156" s="1" t="s">
        <v>74</v>
      </c>
      <c r="AR3156" s="1" t="s">
        <v>242</v>
      </c>
      <c r="AS3156" s="1" t="s">
        <v>243</v>
      </c>
      <c r="AT3156" s="1" t="s">
        <v>1470</v>
      </c>
      <c r="AU3156" s="1">
        <v>2022</v>
      </c>
      <c r="AV3156" s="1">
        <v>174</v>
      </c>
      <c r="AW3156" s="1" t="s">
        <v>74</v>
      </c>
      <c r="AX3156" s="1" t="s">
        <v>74</v>
      </c>
      <c r="AY3156" s="1" t="s">
        <v>74</v>
      </c>
      <c r="AZ3156" s="1" t="s">
        <v>74</v>
      </c>
      <c r="BA3156" s="1" t="s">
        <v>74</v>
      </c>
      <c r="BB3156" s="1" t="s">
        <v>74</v>
      </c>
      <c r="BC3156" s="1" t="s">
        <v>74</v>
      </c>
      <c r="BD3156" s="1">
        <v>113200</v>
      </c>
      <c r="BE3156" s="1" t="s">
        <v>50092</v>
      </c>
      <c r="BF3156" s="1" t="str">
        <f>HYPERLINK("http://dx.doi.org/10.1016/j.marpolbul.2021.113200","http://dx.doi.org/10.1016/j.marpolbul.2021.113200")</f>
        <v>http://dx.doi.org/10.1016/j.marpolbul.2021.113200</v>
      </c>
      <c r="BG3156" s="1" t="s">
        <v>74</v>
      </c>
      <c r="BH3156" s="1" t="s">
        <v>4701</v>
      </c>
      <c r="BI3156" s="1">
        <v>13</v>
      </c>
      <c r="BJ3156" s="1" t="s">
        <v>247</v>
      </c>
      <c r="BK3156" s="1" t="s">
        <v>96</v>
      </c>
      <c r="BL3156" s="1" t="s">
        <v>248</v>
      </c>
      <c r="BM3156" s="1" t="s">
        <v>40190</v>
      </c>
      <c r="BN3156" s="1">
        <v>34902767</v>
      </c>
      <c r="BO3156" s="1" t="s">
        <v>74</v>
      </c>
      <c r="BP3156" s="1" t="s">
        <v>74</v>
      </c>
      <c r="BQ3156" s="1" t="s">
        <v>74</v>
      </c>
      <c r="BR3156" s="1" t="s">
        <v>98</v>
      </c>
      <c r="BS3156" s="1" t="s">
        <v>50093</v>
      </c>
      <c r="BT3156" s="1" t="str">
        <f>HYPERLINK("https%3A%2F%2Fwww.webofscience.com%2Fwos%2Fwoscc%2Ffull-record%2FWOS:000737215300002","View Full Record in Web of Science")</f>
        <v>View Full Record in Web of Science</v>
      </c>
      <c r="BU3156" s="1"/>
      <c r="BV3156" s="1"/>
    </row>
    <row r="3157" spans="1:74">
      <c r="A3157" s="1" t="s">
        <v>72</v>
      </c>
      <c r="B3157" s="1" t="s">
        <v>50094</v>
      </c>
      <c r="C3157" s="1" t="s">
        <v>74</v>
      </c>
      <c r="D3157" s="1" t="s">
        <v>74</v>
      </c>
      <c r="E3157" s="1" t="s">
        <v>74</v>
      </c>
      <c r="F3157" s="1" t="s">
        <v>50095</v>
      </c>
      <c r="G3157" s="1" t="s">
        <v>74</v>
      </c>
      <c r="H3157" s="1" t="s">
        <v>74</v>
      </c>
      <c r="I3157" s="1" t="s">
        <v>50096</v>
      </c>
      <c r="J3157" s="1" t="s">
        <v>50097</v>
      </c>
      <c r="K3157" s="1" t="s">
        <v>74</v>
      </c>
      <c r="L3157" s="1" t="s">
        <v>74</v>
      </c>
      <c r="M3157" s="1" t="s">
        <v>78</v>
      </c>
      <c r="N3157" s="1" t="s">
        <v>151</v>
      </c>
      <c r="O3157" s="1" t="s">
        <v>50098</v>
      </c>
      <c r="P3157" s="1" t="s">
        <v>50099</v>
      </c>
      <c r="Q3157" s="1" t="s">
        <v>50100</v>
      </c>
      <c r="R3157" s="1" t="s">
        <v>74</v>
      </c>
      <c r="S3157" s="1" t="s">
        <v>74</v>
      </c>
      <c r="T3157" s="1" t="s">
        <v>50101</v>
      </c>
      <c r="U3157" s="1" t="s">
        <v>50102</v>
      </c>
      <c r="V3157" s="1" t="s">
        <v>50103</v>
      </c>
      <c r="W3157" s="1" t="s">
        <v>50104</v>
      </c>
      <c r="X3157" s="1" t="s">
        <v>7947</v>
      </c>
      <c r="Y3157" s="1" t="s">
        <v>50105</v>
      </c>
      <c r="Z3157" s="1" t="s">
        <v>50106</v>
      </c>
      <c r="AA3157" s="1" t="s">
        <v>74</v>
      </c>
      <c r="AB3157" s="1" t="s">
        <v>74</v>
      </c>
      <c r="AC3157" s="1" t="s">
        <v>74</v>
      </c>
      <c r="AD3157" s="1" t="s">
        <v>74</v>
      </c>
      <c r="AE3157" s="1" t="s">
        <v>74</v>
      </c>
      <c r="AF3157" s="1" t="s">
        <v>74</v>
      </c>
      <c r="AG3157" s="1">
        <v>26</v>
      </c>
      <c r="AH3157" s="1">
        <v>55</v>
      </c>
      <c r="AI3157" s="1">
        <v>60</v>
      </c>
      <c r="AJ3157" s="1">
        <v>1</v>
      </c>
      <c r="AK3157" s="1">
        <v>14</v>
      </c>
      <c r="AL3157" s="1" t="s">
        <v>50107</v>
      </c>
      <c r="AM3157" s="1" t="s">
        <v>50108</v>
      </c>
      <c r="AN3157" s="1" t="s">
        <v>50109</v>
      </c>
      <c r="AO3157" s="1" t="s">
        <v>50110</v>
      </c>
      <c r="AP3157" s="1" t="s">
        <v>50111</v>
      </c>
      <c r="AQ3157" s="1" t="s">
        <v>74</v>
      </c>
      <c r="AR3157" s="1" t="s">
        <v>50112</v>
      </c>
      <c r="AS3157" s="1" t="s">
        <v>50113</v>
      </c>
      <c r="AT3157" s="1" t="s">
        <v>24097</v>
      </c>
      <c r="AU3157" s="1">
        <v>2018</v>
      </c>
      <c r="AV3157" s="1">
        <v>54</v>
      </c>
      <c r="AW3157" s="1">
        <v>5</v>
      </c>
      <c r="AX3157" s="1">
        <v>1</v>
      </c>
      <c r="AY3157" s="1" t="s">
        <v>74</v>
      </c>
      <c r="AZ3157" s="1" t="s">
        <v>74</v>
      </c>
      <c r="BA3157" s="1" t="s">
        <v>74</v>
      </c>
      <c r="BB3157" s="1">
        <v>4574</v>
      </c>
      <c r="BC3157" s="1">
        <v>4583</v>
      </c>
      <c r="BD3157" s="1" t="s">
        <v>74</v>
      </c>
      <c r="BE3157" s="1" t="s">
        <v>50114</v>
      </c>
      <c r="BF3157" s="1" t="str">
        <f>HYPERLINK("http://dx.doi.org/10.1109/TIA.2018.2833821","http://dx.doi.org/10.1109/TIA.2018.2833821")</f>
        <v>http://dx.doi.org/10.1109/TIA.2018.2833821</v>
      </c>
      <c r="BG3157" s="1" t="s">
        <v>74</v>
      </c>
      <c r="BH3157" s="1" t="s">
        <v>74</v>
      </c>
      <c r="BI3157" s="1">
        <v>10</v>
      </c>
      <c r="BJ3157" s="1" t="s">
        <v>50115</v>
      </c>
      <c r="BK3157" s="1" t="s">
        <v>172</v>
      </c>
      <c r="BL3157" s="1" t="s">
        <v>3992</v>
      </c>
      <c r="BM3157" s="1" t="s">
        <v>50116</v>
      </c>
      <c r="BN3157" s="1" t="s">
        <v>74</v>
      </c>
      <c r="BO3157" s="1" t="s">
        <v>74</v>
      </c>
      <c r="BP3157" s="1" t="s">
        <v>74</v>
      </c>
      <c r="BQ3157" s="1" t="s">
        <v>74</v>
      </c>
      <c r="BR3157" s="1" t="s">
        <v>98</v>
      </c>
      <c r="BS3157" s="1" t="s">
        <v>50117</v>
      </c>
      <c r="BT3157" s="1" t="str">
        <f>HYPERLINK("https%3A%2F%2Fwww.webofscience.com%2Fwos%2Fwoscc%2Ffull-record%2FWOS:000445399100055","View Full Record in Web of Science")</f>
        <v>View Full Record in Web of Science</v>
      </c>
      <c r="BU3157" s="1"/>
      <c r="BV3157" s="1"/>
    </row>
    <row r="3158" spans="1:74">
      <c r="A3158" s="1" t="s">
        <v>72</v>
      </c>
      <c r="B3158" s="1" t="s">
        <v>50118</v>
      </c>
      <c r="C3158" s="1" t="s">
        <v>74</v>
      </c>
      <c r="D3158" s="1" t="s">
        <v>74</v>
      </c>
      <c r="E3158" s="1" t="s">
        <v>74</v>
      </c>
      <c r="F3158" s="1" t="s">
        <v>50119</v>
      </c>
      <c r="G3158" s="1" t="s">
        <v>74</v>
      </c>
      <c r="H3158" s="1" t="s">
        <v>74</v>
      </c>
      <c r="I3158" s="1" t="s">
        <v>50120</v>
      </c>
      <c r="J3158" s="1" t="s">
        <v>50121</v>
      </c>
      <c r="K3158" s="1" t="s">
        <v>74</v>
      </c>
      <c r="L3158" s="1" t="s">
        <v>74</v>
      </c>
      <c r="M3158" s="1" t="s">
        <v>78</v>
      </c>
      <c r="N3158" s="1" t="s">
        <v>79</v>
      </c>
      <c r="O3158" s="1" t="s">
        <v>74</v>
      </c>
      <c r="P3158" s="1" t="s">
        <v>74</v>
      </c>
      <c r="Q3158" s="1" t="s">
        <v>74</v>
      </c>
      <c r="R3158" s="1" t="s">
        <v>74</v>
      </c>
      <c r="S3158" s="1" t="s">
        <v>74</v>
      </c>
      <c r="T3158" s="1" t="s">
        <v>50122</v>
      </c>
      <c r="U3158" s="1" t="s">
        <v>50123</v>
      </c>
      <c r="V3158" s="1" t="s">
        <v>50124</v>
      </c>
      <c r="W3158" s="1" t="s">
        <v>50125</v>
      </c>
      <c r="X3158" s="1" t="s">
        <v>50126</v>
      </c>
      <c r="Y3158" s="1" t="s">
        <v>50127</v>
      </c>
      <c r="Z3158" s="1" t="s">
        <v>50128</v>
      </c>
      <c r="AA3158" s="1" t="s">
        <v>50129</v>
      </c>
      <c r="AB3158" s="1" t="s">
        <v>50130</v>
      </c>
      <c r="AC3158" s="1" t="s">
        <v>74</v>
      </c>
      <c r="AD3158" s="1" t="s">
        <v>74</v>
      </c>
      <c r="AE3158" s="1" t="s">
        <v>74</v>
      </c>
      <c r="AF3158" s="1" t="s">
        <v>74</v>
      </c>
      <c r="AG3158" s="1">
        <v>53</v>
      </c>
      <c r="AH3158" s="1">
        <v>4</v>
      </c>
      <c r="AI3158" s="1">
        <v>5</v>
      </c>
      <c r="AJ3158" s="1">
        <v>0</v>
      </c>
      <c r="AK3158" s="1">
        <v>10</v>
      </c>
      <c r="AL3158" s="1" t="s">
        <v>6878</v>
      </c>
      <c r="AM3158" s="1" t="s">
        <v>6879</v>
      </c>
      <c r="AN3158" s="1" t="s">
        <v>6880</v>
      </c>
      <c r="AO3158" s="1" t="s">
        <v>50131</v>
      </c>
      <c r="AP3158" s="1" t="s">
        <v>74</v>
      </c>
      <c r="AQ3158" s="1" t="s">
        <v>74</v>
      </c>
      <c r="AR3158" s="1" t="s">
        <v>50132</v>
      </c>
      <c r="AS3158" s="1" t="s">
        <v>50133</v>
      </c>
      <c r="AT3158" s="1" t="s">
        <v>74</v>
      </c>
      <c r="AU3158" s="1">
        <v>2012</v>
      </c>
      <c r="AV3158" s="1">
        <v>251</v>
      </c>
      <c r="AW3158" s="1">
        <v>4</v>
      </c>
      <c r="AX3158" s="1" t="s">
        <v>74</v>
      </c>
      <c r="AY3158" s="1" t="s">
        <v>74</v>
      </c>
      <c r="AZ3158" s="1" t="s">
        <v>74</v>
      </c>
      <c r="BA3158" s="1" t="s">
        <v>74</v>
      </c>
      <c r="BB3158" s="1">
        <v>357</v>
      </c>
      <c r="BC3158" s="1">
        <v>363</v>
      </c>
      <c r="BD3158" s="1" t="s">
        <v>74</v>
      </c>
      <c r="BE3158" s="1" t="s">
        <v>50134</v>
      </c>
      <c r="BF3158" s="1" t="str">
        <f>HYPERLINK("http://dx.doi.org/10.1016/j.jcz.2011.11.001","http://dx.doi.org/10.1016/j.jcz.2011.11.001")</f>
        <v>http://dx.doi.org/10.1016/j.jcz.2011.11.001</v>
      </c>
      <c r="BG3158" s="1" t="s">
        <v>74</v>
      </c>
      <c r="BH3158" s="1" t="s">
        <v>74</v>
      </c>
      <c r="BI3158" s="1">
        <v>7</v>
      </c>
      <c r="BJ3158" s="1" t="s">
        <v>2210</v>
      </c>
      <c r="BK3158" s="1" t="s">
        <v>96</v>
      </c>
      <c r="BL3158" s="1" t="s">
        <v>2210</v>
      </c>
      <c r="BM3158" s="1" t="s">
        <v>50135</v>
      </c>
      <c r="BN3158" s="1" t="s">
        <v>74</v>
      </c>
      <c r="BO3158" s="1" t="s">
        <v>74</v>
      </c>
      <c r="BP3158" s="1" t="s">
        <v>74</v>
      </c>
      <c r="BQ3158" s="1" t="s">
        <v>74</v>
      </c>
      <c r="BR3158" s="1" t="s">
        <v>98</v>
      </c>
      <c r="BS3158" s="1" t="s">
        <v>50136</v>
      </c>
      <c r="BT3158" s="1" t="str">
        <f>HYPERLINK("https%3A%2F%2Fwww.webofscience.com%2Fwos%2Fwoscc%2Ffull-record%2FWOS:000311266200011","View Full Record in Web of Science")</f>
        <v>View Full Record in Web of Science</v>
      </c>
      <c r="BU3158" s="1"/>
      <c r="BV3158" s="1"/>
    </row>
    <row r="3159" spans="1:74">
      <c r="A3159" s="1" t="s">
        <v>72</v>
      </c>
      <c r="B3159" s="1" t="s">
        <v>50137</v>
      </c>
      <c r="C3159" s="1" t="s">
        <v>74</v>
      </c>
      <c r="D3159" s="1" t="s">
        <v>74</v>
      </c>
      <c r="E3159" s="1" t="s">
        <v>74</v>
      </c>
      <c r="F3159" s="1" t="s">
        <v>50138</v>
      </c>
      <c r="G3159" s="1" t="s">
        <v>74</v>
      </c>
      <c r="H3159" s="1" t="s">
        <v>74</v>
      </c>
      <c r="I3159" s="1" t="s">
        <v>50139</v>
      </c>
      <c r="J3159" s="1" t="s">
        <v>50140</v>
      </c>
      <c r="K3159" s="1" t="s">
        <v>74</v>
      </c>
      <c r="L3159" s="1" t="s">
        <v>74</v>
      </c>
      <c r="M3159" s="1" t="s">
        <v>78</v>
      </c>
      <c r="N3159" s="1" t="s">
        <v>79</v>
      </c>
      <c r="O3159" s="1" t="s">
        <v>74</v>
      </c>
      <c r="P3159" s="1" t="s">
        <v>74</v>
      </c>
      <c r="Q3159" s="1" t="s">
        <v>74</v>
      </c>
      <c r="R3159" s="1" t="s">
        <v>74</v>
      </c>
      <c r="S3159" s="1" t="s">
        <v>74</v>
      </c>
      <c r="T3159" s="1" t="s">
        <v>50141</v>
      </c>
      <c r="U3159" s="1" t="s">
        <v>50142</v>
      </c>
      <c r="V3159" s="1" t="s">
        <v>50143</v>
      </c>
      <c r="W3159" s="1" t="s">
        <v>50144</v>
      </c>
      <c r="X3159" s="1" t="s">
        <v>50145</v>
      </c>
      <c r="Y3159" s="1" t="s">
        <v>50146</v>
      </c>
      <c r="Z3159" s="1" t="s">
        <v>50147</v>
      </c>
      <c r="AA3159" s="1" t="s">
        <v>50148</v>
      </c>
      <c r="AB3159" s="1" t="s">
        <v>50149</v>
      </c>
      <c r="AC3159" s="1" t="s">
        <v>50150</v>
      </c>
      <c r="AD3159" s="1" t="s">
        <v>50151</v>
      </c>
      <c r="AE3159" s="1" t="s">
        <v>50152</v>
      </c>
      <c r="AF3159" s="1" t="s">
        <v>74</v>
      </c>
      <c r="AG3159" s="1">
        <v>55</v>
      </c>
      <c r="AH3159" s="1">
        <v>15</v>
      </c>
      <c r="AI3159" s="1">
        <v>15</v>
      </c>
      <c r="AJ3159" s="1">
        <v>0</v>
      </c>
      <c r="AK3159" s="1">
        <v>40</v>
      </c>
      <c r="AL3159" s="1" t="s">
        <v>112</v>
      </c>
      <c r="AM3159" s="1" t="s">
        <v>113</v>
      </c>
      <c r="AN3159" s="1" t="s">
        <v>469</v>
      </c>
      <c r="AO3159" s="1" t="s">
        <v>50153</v>
      </c>
      <c r="AP3159" s="1" t="s">
        <v>50154</v>
      </c>
      <c r="AQ3159" s="1" t="s">
        <v>74</v>
      </c>
      <c r="AR3159" s="1" t="s">
        <v>50155</v>
      </c>
      <c r="AS3159" s="1" t="s">
        <v>50156</v>
      </c>
      <c r="AT3159" s="1" t="s">
        <v>197</v>
      </c>
      <c r="AU3159" s="1">
        <v>2016</v>
      </c>
      <c r="AV3159" s="1">
        <v>99</v>
      </c>
      <c r="AW3159" s="1">
        <v>12</v>
      </c>
      <c r="AX3159" s="1" t="s">
        <v>74</v>
      </c>
      <c r="AY3159" s="1" t="s">
        <v>74</v>
      </c>
      <c r="AZ3159" s="1" t="s">
        <v>74</v>
      </c>
      <c r="BA3159" s="1" t="s">
        <v>74</v>
      </c>
      <c r="BB3159" s="1">
        <v>999</v>
      </c>
      <c r="BC3159" s="1">
        <v>1007</v>
      </c>
      <c r="BD3159" s="1" t="s">
        <v>74</v>
      </c>
      <c r="BE3159" s="1" t="s">
        <v>50157</v>
      </c>
      <c r="BF3159" s="1" t="str">
        <f>HYPERLINK("http://dx.doi.org/10.1007/s10641-016-0550-5","http://dx.doi.org/10.1007/s10641-016-0550-5")</f>
        <v>http://dx.doi.org/10.1007/s10641-016-0550-5</v>
      </c>
      <c r="BG3159" s="1" t="s">
        <v>74</v>
      </c>
      <c r="BH3159" s="1" t="s">
        <v>74</v>
      </c>
      <c r="BI3159" s="1">
        <v>9</v>
      </c>
      <c r="BJ3159" s="1" t="s">
        <v>1292</v>
      </c>
      <c r="BK3159" s="1" t="s">
        <v>96</v>
      </c>
      <c r="BL3159" s="1" t="s">
        <v>248</v>
      </c>
      <c r="BM3159" s="1" t="s">
        <v>50158</v>
      </c>
      <c r="BN3159" s="1" t="s">
        <v>74</v>
      </c>
      <c r="BO3159" s="1" t="s">
        <v>476</v>
      </c>
      <c r="BP3159" s="1" t="s">
        <v>74</v>
      </c>
      <c r="BQ3159" s="1" t="s">
        <v>74</v>
      </c>
      <c r="BR3159" s="1" t="s">
        <v>98</v>
      </c>
      <c r="BS3159" s="1" t="s">
        <v>50159</v>
      </c>
      <c r="BT3159" s="1" t="str">
        <f>HYPERLINK("https%3A%2F%2Fwww.webofscience.com%2Fwos%2Fwoscc%2Ffull-record%2FWOS:000388829900008","View Full Record in Web of Science")</f>
        <v>View Full Record in Web of Science</v>
      </c>
      <c r="BU3159" s="1"/>
      <c r="BV3159" s="1"/>
    </row>
    <row r="3160" spans="1:74">
      <c r="A3160" s="1" t="s">
        <v>72</v>
      </c>
      <c r="B3160" s="1" t="s">
        <v>50160</v>
      </c>
      <c r="C3160" s="1" t="s">
        <v>74</v>
      </c>
      <c r="D3160" s="1" t="s">
        <v>74</v>
      </c>
      <c r="E3160" s="1" t="s">
        <v>74</v>
      </c>
      <c r="F3160" s="1" t="s">
        <v>50161</v>
      </c>
      <c r="G3160" s="1" t="s">
        <v>74</v>
      </c>
      <c r="H3160" s="1" t="s">
        <v>74</v>
      </c>
      <c r="I3160" s="1" t="s">
        <v>50162</v>
      </c>
      <c r="J3160" s="1" t="s">
        <v>421</v>
      </c>
      <c r="K3160" s="1" t="s">
        <v>74</v>
      </c>
      <c r="L3160" s="1" t="s">
        <v>74</v>
      </c>
      <c r="M3160" s="1" t="s">
        <v>78</v>
      </c>
      <c r="N3160" s="1" t="s">
        <v>79</v>
      </c>
      <c r="O3160" s="1" t="s">
        <v>74</v>
      </c>
      <c r="P3160" s="1" t="s">
        <v>74</v>
      </c>
      <c r="Q3160" s="1" t="s">
        <v>74</v>
      </c>
      <c r="R3160" s="1" t="s">
        <v>74</v>
      </c>
      <c r="S3160" s="1" t="s">
        <v>74</v>
      </c>
      <c r="T3160" s="1" t="s">
        <v>50163</v>
      </c>
      <c r="U3160" s="1" t="s">
        <v>50164</v>
      </c>
      <c r="V3160" s="1" t="s">
        <v>50165</v>
      </c>
      <c r="W3160" s="1" t="s">
        <v>50166</v>
      </c>
      <c r="X3160" s="1" t="s">
        <v>50167</v>
      </c>
      <c r="Y3160" s="1" t="s">
        <v>50168</v>
      </c>
      <c r="Z3160" s="1" t="s">
        <v>36117</v>
      </c>
      <c r="AA3160" s="1" t="s">
        <v>74</v>
      </c>
      <c r="AB3160" s="1" t="s">
        <v>74</v>
      </c>
      <c r="AC3160" s="1" t="s">
        <v>50169</v>
      </c>
      <c r="AD3160" s="1" t="s">
        <v>50170</v>
      </c>
      <c r="AE3160" s="1" t="s">
        <v>50171</v>
      </c>
      <c r="AF3160" s="1" t="s">
        <v>74</v>
      </c>
      <c r="AG3160" s="1">
        <v>85</v>
      </c>
      <c r="AH3160" s="1">
        <v>8</v>
      </c>
      <c r="AI3160" s="1">
        <v>8</v>
      </c>
      <c r="AJ3160" s="1">
        <v>6</v>
      </c>
      <c r="AK3160" s="1">
        <v>46</v>
      </c>
      <c r="AL3160" s="1" t="s">
        <v>430</v>
      </c>
      <c r="AM3160" s="1" t="s">
        <v>137</v>
      </c>
      <c r="AN3160" s="1" t="s">
        <v>431</v>
      </c>
      <c r="AO3160" s="1" t="s">
        <v>432</v>
      </c>
      <c r="AP3160" s="1" t="s">
        <v>1394</v>
      </c>
      <c r="AQ3160" s="1" t="s">
        <v>74</v>
      </c>
      <c r="AR3160" s="1" t="s">
        <v>433</v>
      </c>
      <c r="AS3160" s="1" t="s">
        <v>434</v>
      </c>
      <c r="AT3160" s="1" t="s">
        <v>325</v>
      </c>
      <c r="AU3160" s="1">
        <v>2021</v>
      </c>
      <c r="AV3160" s="1">
        <v>287</v>
      </c>
      <c r="AW3160" s="1" t="s">
        <v>74</v>
      </c>
      <c r="AX3160" s="1" t="s">
        <v>74</v>
      </c>
      <c r="AY3160" s="1" t="s">
        <v>74</v>
      </c>
      <c r="AZ3160" s="1" t="s">
        <v>74</v>
      </c>
      <c r="BA3160" s="1" t="s">
        <v>74</v>
      </c>
      <c r="BB3160" s="1" t="s">
        <v>74</v>
      </c>
      <c r="BC3160" s="1" t="s">
        <v>74</v>
      </c>
      <c r="BD3160" s="1">
        <v>117652</v>
      </c>
      <c r="BE3160" s="1" t="s">
        <v>50172</v>
      </c>
      <c r="BF3160" s="1" t="str">
        <f>HYPERLINK("http://dx.doi.org/10.1016/j.envpol.2021.117652","http://dx.doi.org/10.1016/j.envpol.2021.117652")</f>
        <v>http://dx.doi.org/10.1016/j.envpol.2021.117652</v>
      </c>
      <c r="BG3160" s="1" t="s">
        <v>74</v>
      </c>
      <c r="BH3160" s="1" t="s">
        <v>4940</v>
      </c>
      <c r="BI3160" s="1">
        <v>12</v>
      </c>
      <c r="BJ3160" s="1" t="s">
        <v>144</v>
      </c>
      <c r="BK3160" s="1" t="s">
        <v>96</v>
      </c>
      <c r="BL3160" s="1" t="s">
        <v>145</v>
      </c>
      <c r="BM3160" s="1" t="s">
        <v>21030</v>
      </c>
      <c r="BN3160" s="1">
        <v>34186499</v>
      </c>
      <c r="BO3160" s="1" t="s">
        <v>476</v>
      </c>
      <c r="BP3160" s="1" t="s">
        <v>74</v>
      </c>
      <c r="BQ3160" s="1" t="s">
        <v>74</v>
      </c>
      <c r="BR3160" s="1" t="s">
        <v>98</v>
      </c>
      <c r="BS3160" s="1" t="s">
        <v>50173</v>
      </c>
      <c r="BT3160" s="1" t="str">
        <f>HYPERLINK("https%3A%2F%2Fwww.webofscience.com%2Fwos%2Fwoscc%2Ffull-record%2FWOS:000696310700005","View Full Record in Web of Science")</f>
        <v>View Full Record in Web of Science</v>
      </c>
      <c r="BU3160" s="1"/>
      <c r="BV3160" s="1"/>
    </row>
    <row r="3161" spans="1:74">
      <c r="A3161" s="1" t="s">
        <v>72</v>
      </c>
      <c r="B3161" s="1" t="s">
        <v>50174</v>
      </c>
      <c r="C3161" s="1" t="s">
        <v>74</v>
      </c>
      <c r="D3161" s="1" t="s">
        <v>74</v>
      </c>
      <c r="E3161" s="1" t="s">
        <v>74</v>
      </c>
      <c r="F3161" s="1" t="s">
        <v>50174</v>
      </c>
      <c r="G3161" s="1" t="s">
        <v>74</v>
      </c>
      <c r="H3161" s="1" t="s">
        <v>74</v>
      </c>
      <c r="I3161" s="1" t="s">
        <v>50175</v>
      </c>
      <c r="J3161" s="1" t="s">
        <v>50176</v>
      </c>
      <c r="K3161" s="1" t="s">
        <v>74</v>
      </c>
      <c r="L3161" s="1" t="s">
        <v>74</v>
      </c>
      <c r="M3161" s="1" t="s">
        <v>78</v>
      </c>
      <c r="N3161" s="1" t="s">
        <v>79</v>
      </c>
      <c r="O3161" s="1" t="s">
        <v>74</v>
      </c>
      <c r="P3161" s="1" t="s">
        <v>74</v>
      </c>
      <c r="Q3161" s="1" t="s">
        <v>74</v>
      </c>
      <c r="R3161" s="1" t="s">
        <v>74</v>
      </c>
      <c r="S3161" s="1" t="s">
        <v>74</v>
      </c>
      <c r="T3161" s="1" t="s">
        <v>50177</v>
      </c>
      <c r="U3161" s="1" t="s">
        <v>50178</v>
      </c>
      <c r="V3161" s="1" t="s">
        <v>50179</v>
      </c>
      <c r="W3161" s="1" t="s">
        <v>50180</v>
      </c>
      <c r="X3161" s="1" t="s">
        <v>2697</v>
      </c>
      <c r="Y3161" s="1" t="s">
        <v>50181</v>
      </c>
      <c r="Z3161" s="1" t="s">
        <v>2699</v>
      </c>
      <c r="AA3161" s="1" t="s">
        <v>50182</v>
      </c>
      <c r="AB3161" s="1" t="s">
        <v>50183</v>
      </c>
      <c r="AC3161" s="1" t="s">
        <v>74</v>
      </c>
      <c r="AD3161" s="1" t="s">
        <v>74</v>
      </c>
      <c r="AE3161" s="1" t="s">
        <v>74</v>
      </c>
      <c r="AF3161" s="1" t="s">
        <v>74</v>
      </c>
      <c r="AG3161" s="1">
        <v>65</v>
      </c>
      <c r="AH3161" s="1">
        <v>92</v>
      </c>
      <c r="AI3161" s="1">
        <v>101</v>
      </c>
      <c r="AJ3161" s="1">
        <v>0</v>
      </c>
      <c r="AK3161" s="1">
        <v>13</v>
      </c>
      <c r="AL3161" s="1" t="s">
        <v>112</v>
      </c>
      <c r="AM3161" s="1" t="s">
        <v>113</v>
      </c>
      <c r="AN3161" s="1" t="s">
        <v>469</v>
      </c>
      <c r="AO3161" s="1" t="s">
        <v>50184</v>
      </c>
      <c r="AP3161" s="1" t="s">
        <v>50185</v>
      </c>
      <c r="AQ3161" s="1" t="s">
        <v>74</v>
      </c>
      <c r="AR3161" s="1" t="s">
        <v>50186</v>
      </c>
      <c r="AS3161" s="1" t="s">
        <v>50187</v>
      </c>
      <c r="AT3161" s="1" t="s">
        <v>951</v>
      </c>
      <c r="AU3161" s="1">
        <v>2000</v>
      </c>
      <c r="AV3161" s="1">
        <v>114</v>
      </c>
      <c r="AW3161" s="1">
        <v>5</v>
      </c>
      <c r="AX3161" s="1" t="s">
        <v>74</v>
      </c>
      <c r="AY3161" s="1" t="s">
        <v>74</v>
      </c>
      <c r="AZ3161" s="1" t="s">
        <v>74</v>
      </c>
      <c r="BA3161" s="1" t="s">
        <v>74</v>
      </c>
      <c r="BB3161" s="1">
        <v>393</v>
      </c>
      <c r="BC3161" s="1">
        <v>404</v>
      </c>
      <c r="BD3161" s="1" t="s">
        <v>74</v>
      </c>
      <c r="BE3161" s="1" t="s">
        <v>74</v>
      </c>
      <c r="BF3161" s="1" t="s">
        <v>74</v>
      </c>
      <c r="BG3161" s="1" t="s">
        <v>74</v>
      </c>
      <c r="BH3161" s="1" t="s">
        <v>74</v>
      </c>
      <c r="BI3161" s="1">
        <v>12</v>
      </c>
      <c r="BJ3161" s="1" t="s">
        <v>50188</v>
      </c>
      <c r="BK3161" s="1" t="s">
        <v>96</v>
      </c>
      <c r="BL3161" s="1" t="s">
        <v>50188</v>
      </c>
      <c r="BM3161" s="1" t="s">
        <v>50189</v>
      </c>
      <c r="BN3161" s="1">
        <v>11151409</v>
      </c>
      <c r="BO3161" s="1" t="s">
        <v>74</v>
      </c>
      <c r="BP3161" s="1" t="s">
        <v>74</v>
      </c>
      <c r="BQ3161" s="1" t="s">
        <v>74</v>
      </c>
      <c r="BR3161" s="1" t="s">
        <v>98</v>
      </c>
      <c r="BS3161" s="1" t="s">
        <v>50190</v>
      </c>
      <c r="BT3161" s="1" t="str">
        <f>HYPERLINK("https%3A%2F%2Fwww.webofscience.com%2Fwos%2Fwoscc%2Ffull-record%2FWOS:000165752400006","View Full Record in Web of Science")</f>
        <v>View Full Record in Web of Science</v>
      </c>
      <c r="BU3161" s="1"/>
      <c r="BV3161" s="1"/>
    </row>
    <row r="3162" spans="1:74">
      <c r="A3162" s="1" t="s">
        <v>72</v>
      </c>
      <c r="B3162" s="1" t="s">
        <v>50191</v>
      </c>
      <c r="C3162" s="1" t="s">
        <v>74</v>
      </c>
      <c r="D3162" s="1" t="s">
        <v>74</v>
      </c>
      <c r="E3162" s="1" t="s">
        <v>74</v>
      </c>
      <c r="F3162" s="1" t="s">
        <v>50192</v>
      </c>
      <c r="G3162" s="1" t="s">
        <v>74</v>
      </c>
      <c r="H3162" s="1" t="s">
        <v>74</v>
      </c>
      <c r="I3162" s="1" t="s">
        <v>50193</v>
      </c>
      <c r="J3162" s="1" t="s">
        <v>11045</v>
      </c>
      <c r="K3162" s="1" t="s">
        <v>74</v>
      </c>
      <c r="L3162" s="1" t="s">
        <v>74</v>
      </c>
      <c r="M3162" s="1" t="s">
        <v>78</v>
      </c>
      <c r="N3162" s="1" t="s">
        <v>79</v>
      </c>
      <c r="O3162" s="1" t="s">
        <v>74</v>
      </c>
      <c r="P3162" s="1" t="s">
        <v>74</v>
      </c>
      <c r="Q3162" s="1" t="s">
        <v>74</v>
      </c>
      <c r="R3162" s="1" t="s">
        <v>74</v>
      </c>
      <c r="S3162" s="1" t="s">
        <v>74</v>
      </c>
      <c r="T3162" s="1" t="s">
        <v>74</v>
      </c>
      <c r="U3162" s="1" t="s">
        <v>50194</v>
      </c>
      <c r="V3162" s="1" t="s">
        <v>50195</v>
      </c>
      <c r="W3162" s="1" t="s">
        <v>50196</v>
      </c>
      <c r="X3162" s="1" t="s">
        <v>26480</v>
      </c>
      <c r="Y3162" s="1" t="s">
        <v>50197</v>
      </c>
      <c r="Z3162" s="1" t="s">
        <v>50198</v>
      </c>
      <c r="AA3162" s="1" t="s">
        <v>50199</v>
      </c>
      <c r="AB3162" s="1" t="s">
        <v>50200</v>
      </c>
      <c r="AC3162" s="1" t="s">
        <v>50201</v>
      </c>
      <c r="AD3162" s="1" t="s">
        <v>50202</v>
      </c>
      <c r="AE3162" s="1" t="s">
        <v>50203</v>
      </c>
      <c r="AF3162" s="1" t="s">
        <v>74</v>
      </c>
      <c r="AG3162" s="1">
        <v>84</v>
      </c>
      <c r="AH3162" s="1">
        <v>64</v>
      </c>
      <c r="AI3162" s="1">
        <v>67</v>
      </c>
      <c r="AJ3162" s="1">
        <v>0</v>
      </c>
      <c r="AK3162" s="1">
        <v>45</v>
      </c>
      <c r="AL3162" s="1" t="s">
        <v>11056</v>
      </c>
      <c r="AM3162" s="1" t="s">
        <v>11057</v>
      </c>
      <c r="AN3162" s="1" t="s">
        <v>11058</v>
      </c>
      <c r="AO3162" s="1" t="s">
        <v>11059</v>
      </c>
      <c r="AP3162" s="1" t="s">
        <v>74</v>
      </c>
      <c r="AQ3162" s="1" t="s">
        <v>74</v>
      </c>
      <c r="AR3162" s="1" t="s">
        <v>11045</v>
      </c>
      <c r="AS3162" s="1" t="s">
        <v>11060</v>
      </c>
      <c r="AT3162" s="1" t="s">
        <v>50204</v>
      </c>
      <c r="AU3162" s="1">
        <v>2018</v>
      </c>
      <c r="AV3162" s="1">
        <v>13</v>
      </c>
      <c r="AW3162" s="1">
        <v>1</v>
      </c>
      <c r="AX3162" s="1" t="s">
        <v>74</v>
      </c>
      <c r="AY3162" s="1" t="s">
        <v>74</v>
      </c>
      <c r="AZ3162" s="1" t="s">
        <v>74</v>
      </c>
      <c r="BA3162" s="1" t="s">
        <v>74</v>
      </c>
      <c r="BB3162" s="1" t="s">
        <v>74</v>
      </c>
      <c r="BC3162" s="1" t="s">
        <v>74</v>
      </c>
      <c r="BD3162" s="1" t="s">
        <v>50205</v>
      </c>
      <c r="BE3162" s="1" t="s">
        <v>50206</v>
      </c>
      <c r="BF3162" s="1" t="str">
        <f>HYPERLINK("http://dx.doi.org/10.1371/journal.pone.0191859","http://dx.doi.org/10.1371/journal.pone.0191859")</f>
        <v>http://dx.doi.org/10.1371/journal.pone.0191859</v>
      </c>
      <c r="BG3162" s="1" t="s">
        <v>74</v>
      </c>
      <c r="BH3162" s="1" t="s">
        <v>74</v>
      </c>
      <c r="BI3162" s="1">
        <v>22</v>
      </c>
      <c r="BJ3162" s="1" t="s">
        <v>3202</v>
      </c>
      <c r="BK3162" s="1" t="s">
        <v>96</v>
      </c>
      <c r="BL3162" s="1" t="s">
        <v>3203</v>
      </c>
      <c r="BM3162" s="1" t="s">
        <v>50207</v>
      </c>
      <c r="BN3162" s="1">
        <v>29385195</v>
      </c>
      <c r="BO3162" s="1" t="s">
        <v>13965</v>
      </c>
      <c r="BP3162" s="1" t="s">
        <v>74</v>
      </c>
      <c r="BQ3162" s="1" t="s">
        <v>74</v>
      </c>
      <c r="BR3162" s="1" t="s">
        <v>98</v>
      </c>
      <c r="BS3162" s="1" t="s">
        <v>50208</v>
      </c>
      <c r="BT3162" s="1" t="str">
        <f>HYPERLINK("https%3A%2F%2Fwww.webofscience.com%2Fwos%2Fwoscc%2Ffull-record%2FWOS:000423668400058","View Full Record in Web of Science")</f>
        <v>View Full Record in Web of Science</v>
      </c>
      <c r="BU3162" s="1"/>
      <c r="BV3162" s="1"/>
    </row>
    <row r="3163" spans="1:74">
      <c r="A3163" s="1" t="s">
        <v>72</v>
      </c>
      <c r="B3163" s="1" t="s">
        <v>50209</v>
      </c>
      <c r="C3163" s="1" t="s">
        <v>74</v>
      </c>
      <c r="D3163" s="1" t="s">
        <v>74</v>
      </c>
      <c r="E3163" s="1" t="s">
        <v>74</v>
      </c>
      <c r="F3163" s="1" t="s">
        <v>50210</v>
      </c>
      <c r="G3163" s="1" t="s">
        <v>74</v>
      </c>
      <c r="H3163" s="1" t="s">
        <v>74</v>
      </c>
      <c r="I3163" s="1" t="s">
        <v>50211</v>
      </c>
      <c r="J3163" s="1" t="s">
        <v>421</v>
      </c>
      <c r="K3163" s="1" t="s">
        <v>74</v>
      </c>
      <c r="L3163" s="1" t="s">
        <v>74</v>
      </c>
      <c r="M3163" s="1" t="s">
        <v>78</v>
      </c>
      <c r="N3163" s="1" t="s">
        <v>79</v>
      </c>
      <c r="O3163" s="1" t="s">
        <v>74</v>
      </c>
      <c r="P3163" s="1" t="s">
        <v>74</v>
      </c>
      <c r="Q3163" s="1" t="s">
        <v>74</v>
      </c>
      <c r="R3163" s="1" t="s">
        <v>74</v>
      </c>
      <c r="S3163" s="1" t="s">
        <v>74</v>
      </c>
      <c r="T3163" s="1" t="s">
        <v>50212</v>
      </c>
      <c r="U3163" s="1" t="s">
        <v>50213</v>
      </c>
      <c r="V3163" s="1" t="s">
        <v>50214</v>
      </c>
      <c r="W3163" s="1" t="s">
        <v>50215</v>
      </c>
      <c r="X3163" s="1" t="s">
        <v>50216</v>
      </c>
      <c r="Y3163" s="1" t="s">
        <v>50217</v>
      </c>
      <c r="Z3163" s="1" t="s">
        <v>50218</v>
      </c>
      <c r="AA3163" s="1" t="s">
        <v>50219</v>
      </c>
      <c r="AB3163" s="1" t="s">
        <v>50220</v>
      </c>
      <c r="AC3163" s="1" t="s">
        <v>50221</v>
      </c>
      <c r="AD3163" s="1" t="s">
        <v>50222</v>
      </c>
      <c r="AE3163" s="1" t="s">
        <v>50223</v>
      </c>
      <c r="AF3163" s="1" t="s">
        <v>74</v>
      </c>
      <c r="AG3163" s="1">
        <v>55</v>
      </c>
      <c r="AH3163" s="1">
        <v>10</v>
      </c>
      <c r="AI3163" s="1">
        <v>10</v>
      </c>
      <c r="AJ3163" s="1">
        <v>0</v>
      </c>
      <c r="AK3163" s="1">
        <v>29</v>
      </c>
      <c r="AL3163" s="1" t="s">
        <v>430</v>
      </c>
      <c r="AM3163" s="1" t="s">
        <v>137</v>
      </c>
      <c r="AN3163" s="1" t="s">
        <v>431</v>
      </c>
      <c r="AO3163" s="1" t="s">
        <v>432</v>
      </c>
      <c r="AP3163" s="1" t="s">
        <v>1394</v>
      </c>
      <c r="AQ3163" s="1" t="s">
        <v>74</v>
      </c>
      <c r="AR3163" s="1" t="s">
        <v>433</v>
      </c>
      <c r="AS3163" s="1" t="s">
        <v>434</v>
      </c>
      <c r="AT3163" s="1" t="s">
        <v>1223</v>
      </c>
      <c r="AU3163" s="1">
        <v>2020</v>
      </c>
      <c r="AV3163" s="1">
        <v>258</v>
      </c>
      <c r="AW3163" s="1" t="s">
        <v>74</v>
      </c>
      <c r="AX3163" s="1" t="s">
        <v>74</v>
      </c>
      <c r="AY3163" s="1" t="s">
        <v>74</v>
      </c>
      <c r="AZ3163" s="1" t="s">
        <v>74</v>
      </c>
      <c r="BA3163" s="1" t="s">
        <v>74</v>
      </c>
      <c r="BB3163" s="1" t="s">
        <v>74</v>
      </c>
      <c r="BC3163" s="1" t="s">
        <v>74</v>
      </c>
      <c r="BD3163" s="1">
        <v>113804</v>
      </c>
      <c r="BE3163" s="1" t="s">
        <v>50224</v>
      </c>
      <c r="BF3163" s="1" t="str">
        <f>HYPERLINK("http://dx.doi.org/10.1016/j.envpol.2019.113804","http://dx.doi.org/10.1016/j.envpol.2019.113804")</f>
        <v>http://dx.doi.org/10.1016/j.envpol.2019.113804</v>
      </c>
      <c r="BG3163" s="1" t="s">
        <v>74</v>
      </c>
      <c r="BH3163" s="1" t="s">
        <v>74</v>
      </c>
      <c r="BI3163" s="1">
        <v>8</v>
      </c>
      <c r="BJ3163" s="1" t="s">
        <v>144</v>
      </c>
      <c r="BK3163" s="1" t="s">
        <v>96</v>
      </c>
      <c r="BL3163" s="1" t="s">
        <v>145</v>
      </c>
      <c r="BM3163" s="1" t="s">
        <v>50225</v>
      </c>
      <c r="BN3163" s="1">
        <v>31874439</v>
      </c>
      <c r="BO3163" s="1" t="s">
        <v>810</v>
      </c>
      <c r="BP3163" s="1" t="s">
        <v>74</v>
      </c>
      <c r="BQ3163" s="1" t="s">
        <v>74</v>
      </c>
      <c r="BR3163" s="1" t="s">
        <v>98</v>
      </c>
      <c r="BS3163" s="1" t="s">
        <v>50226</v>
      </c>
      <c r="BT3163" s="1" t="str">
        <f>HYPERLINK("https%3A%2F%2Fwww.webofscience.com%2Fwos%2Fwoscc%2Ffull-record%2FWOS:000519655100064","View Full Record in Web of Science")</f>
        <v>View Full Record in Web of Science</v>
      </c>
      <c r="BU3163" s="1"/>
      <c r="BV3163" s="1"/>
    </row>
    <row r="3164" spans="1:74">
      <c r="A3164" s="1" t="s">
        <v>72</v>
      </c>
      <c r="B3164" s="1" t="s">
        <v>50227</v>
      </c>
      <c r="C3164" s="1" t="s">
        <v>74</v>
      </c>
      <c r="D3164" s="1" t="s">
        <v>74</v>
      </c>
      <c r="E3164" s="1" t="s">
        <v>74</v>
      </c>
      <c r="F3164" s="1" t="s">
        <v>50228</v>
      </c>
      <c r="G3164" s="1" t="s">
        <v>74</v>
      </c>
      <c r="H3164" s="1" t="s">
        <v>74</v>
      </c>
      <c r="I3164" s="1" t="s">
        <v>50229</v>
      </c>
      <c r="J3164" s="1" t="s">
        <v>50230</v>
      </c>
      <c r="K3164" s="1" t="s">
        <v>74</v>
      </c>
      <c r="L3164" s="1" t="s">
        <v>74</v>
      </c>
      <c r="M3164" s="1" t="s">
        <v>78</v>
      </c>
      <c r="N3164" s="1" t="s">
        <v>79</v>
      </c>
      <c r="O3164" s="1" t="s">
        <v>74</v>
      </c>
      <c r="P3164" s="1" t="s">
        <v>74</v>
      </c>
      <c r="Q3164" s="1" t="s">
        <v>74</v>
      </c>
      <c r="R3164" s="1" t="s">
        <v>74</v>
      </c>
      <c r="S3164" s="1" t="s">
        <v>74</v>
      </c>
      <c r="T3164" s="1" t="s">
        <v>50231</v>
      </c>
      <c r="U3164" s="1" t="s">
        <v>50232</v>
      </c>
      <c r="V3164" s="1" t="s">
        <v>50233</v>
      </c>
      <c r="W3164" s="1" t="s">
        <v>50234</v>
      </c>
      <c r="X3164" s="1" t="s">
        <v>18662</v>
      </c>
      <c r="Y3164" s="1" t="s">
        <v>50235</v>
      </c>
      <c r="Z3164" s="1" t="s">
        <v>50236</v>
      </c>
      <c r="AA3164" s="1" t="s">
        <v>74</v>
      </c>
      <c r="AB3164" s="1" t="s">
        <v>74</v>
      </c>
      <c r="AC3164" s="1" t="s">
        <v>50237</v>
      </c>
      <c r="AD3164" s="1" t="s">
        <v>50237</v>
      </c>
      <c r="AE3164" s="1" t="s">
        <v>50238</v>
      </c>
      <c r="AF3164" s="1" t="s">
        <v>74</v>
      </c>
      <c r="AG3164" s="1">
        <v>76</v>
      </c>
      <c r="AH3164" s="1">
        <v>11</v>
      </c>
      <c r="AI3164" s="1">
        <v>15</v>
      </c>
      <c r="AJ3164" s="1">
        <v>3</v>
      </c>
      <c r="AK3164" s="1">
        <v>57</v>
      </c>
      <c r="AL3164" s="1" t="s">
        <v>1350</v>
      </c>
      <c r="AM3164" s="1" t="s">
        <v>1351</v>
      </c>
      <c r="AN3164" s="1" t="s">
        <v>1352</v>
      </c>
      <c r="AO3164" s="1" t="s">
        <v>50239</v>
      </c>
      <c r="AP3164" s="1" t="s">
        <v>74</v>
      </c>
      <c r="AQ3164" s="1" t="s">
        <v>74</v>
      </c>
      <c r="AR3164" s="1" t="s">
        <v>50240</v>
      </c>
      <c r="AS3164" s="1" t="s">
        <v>50241</v>
      </c>
      <c r="AT3164" s="1" t="s">
        <v>50242</v>
      </c>
      <c r="AU3164" s="1">
        <v>2021</v>
      </c>
      <c r="AV3164" s="1">
        <v>9</v>
      </c>
      <c r="AW3164" s="1" t="s">
        <v>74</v>
      </c>
      <c r="AX3164" s="1" t="s">
        <v>74</v>
      </c>
      <c r="AY3164" s="1" t="s">
        <v>74</v>
      </c>
      <c r="AZ3164" s="1" t="s">
        <v>74</v>
      </c>
      <c r="BA3164" s="1" t="s">
        <v>74</v>
      </c>
      <c r="BB3164" s="1" t="s">
        <v>74</v>
      </c>
      <c r="BC3164" s="1" t="s">
        <v>74</v>
      </c>
      <c r="BD3164" s="1">
        <v>645727</v>
      </c>
      <c r="BE3164" s="1" t="s">
        <v>50243</v>
      </c>
      <c r="BF3164" s="1" t="str">
        <f>HYPERLINK("http://dx.doi.org/10.3389/fevo.2021.645727","http://dx.doi.org/10.3389/fevo.2021.645727")</f>
        <v>http://dx.doi.org/10.3389/fevo.2021.645727</v>
      </c>
      <c r="BG3164" s="1" t="s">
        <v>74</v>
      </c>
      <c r="BH3164" s="1" t="s">
        <v>74</v>
      </c>
      <c r="BI3164" s="1">
        <v>12</v>
      </c>
      <c r="BJ3164" s="1" t="s">
        <v>6054</v>
      </c>
      <c r="BK3164" s="1" t="s">
        <v>96</v>
      </c>
      <c r="BL3164" s="1" t="s">
        <v>145</v>
      </c>
      <c r="BM3164" s="1" t="s">
        <v>50244</v>
      </c>
      <c r="BN3164" s="1" t="s">
        <v>74</v>
      </c>
      <c r="BO3164" s="1" t="s">
        <v>873</v>
      </c>
      <c r="BP3164" s="1" t="s">
        <v>74</v>
      </c>
      <c r="BQ3164" s="1" t="s">
        <v>74</v>
      </c>
      <c r="BR3164" s="1" t="s">
        <v>98</v>
      </c>
      <c r="BS3164" s="1" t="s">
        <v>50245</v>
      </c>
      <c r="BT3164" s="1" t="str">
        <f>HYPERLINK("https%3A%2F%2Fwww.webofscience.com%2Fwos%2Fwoscc%2Ffull-record%2FWOS:000703731200001","View Full Record in Web of Science")</f>
        <v>View Full Record in Web of Science</v>
      </c>
      <c r="BU3164" s="1"/>
      <c r="BV3164" s="1"/>
    </row>
    <row r="3165" spans="1:74">
      <c r="A3165" s="1" t="s">
        <v>72</v>
      </c>
      <c r="B3165" s="1" t="s">
        <v>50246</v>
      </c>
      <c r="C3165" s="1" t="s">
        <v>74</v>
      </c>
      <c r="D3165" s="1" t="s">
        <v>74</v>
      </c>
      <c r="E3165" s="1" t="s">
        <v>74</v>
      </c>
      <c r="F3165" s="1" t="s">
        <v>50246</v>
      </c>
      <c r="G3165" s="1" t="s">
        <v>74</v>
      </c>
      <c r="H3165" s="1" t="s">
        <v>74</v>
      </c>
      <c r="I3165" s="1" t="s">
        <v>50247</v>
      </c>
      <c r="J3165" s="1" t="s">
        <v>2371</v>
      </c>
      <c r="K3165" s="1" t="s">
        <v>74</v>
      </c>
      <c r="L3165" s="1" t="s">
        <v>74</v>
      </c>
      <c r="M3165" s="1" t="s">
        <v>78</v>
      </c>
      <c r="N3165" s="1" t="s">
        <v>79</v>
      </c>
      <c r="O3165" s="1" t="s">
        <v>74</v>
      </c>
      <c r="P3165" s="1" t="s">
        <v>74</v>
      </c>
      <c r="Q3165" s="1" t="s">
        <v>74</v>
      </c>
      <c r="R3165" s="1" t="s">
        <v>74</v>
      </c>
      <c r="S3165" s="1" t="s">
        <v>74</v>
      </c>
      <c r="T3165" s="1" t="s">
        <v>50248</v>
      </c>
      <c r="U3165" s="1" t="s">
        <v>50249</v>
      </c>
      <c r="V3165" s="1" t="s">
        <v>50250</v>
      </c>
      <c r="W3165" s="1" t="s">
        <v>50251</v>
      </c>
      <c r="X3165" s="1" t="s">
        <v>16469</v>
      </c>
      <c r="Y3165" s="1" t="s">
        <v>50252</v>
      </c>
      <c r="Z3165" s="1" t="s">
        <v>50253</v>
      </c>
      <c r="AA3165" s="1" t="s">
        <v>74</v>
      </c>
      <c r="AB3165" s="1" t="s">
        <v>50254</v>
      </c>
      <c r="AC3165" s="1" t="s">
        <v>74</v>
      </c>
      <c r="AD3165" s="1" t="s">
        <v>74</v>
      </c>
      <c r="AE3165" s="1" t="s">
        <v>74</v>
      </c>
      <c r="AF3165" s="1" t="s">
        <v>74</v>
      </c>
      <c r="AG3165" s="1">
        <v>42</v>
      </c>
      <c r="AH3165" s="1">
        <v>30</v>
      </c>
      <c r="AI3165" s="1">
        <v>36</v>
      </c>
      <c r="AJ3165" s="1">
        <v>0</v>
      </c>
      <c r="AK3165" s="1">
        <v>9</v>
      </c>
      <c r="AL3165" s="1" t="s">
        <v>2383</v>
      </c>
      <c r="AM3165" s="1" t="s">
        <v>2384</v>
      </c>
      <c r="AN3165" s="1" t="s">
        <v>2385</v>
      </c>
      <c r="AO3165" s="1" t="s">
        <v>2386</v>
      </c>
      <c r="AP3165" s="1" t="s">
        <v>2387</v>
      </c>
      <c r="AQ3165" s="1" t="s">
        <v>74</v>
      </c>
      <c r="AR3165" s="1" t="s">
        <v>2388</v>
      </c>
      <c r="AS3165" s="1" t="s">
        <v>2389</v>
      </c>
      <c r="AT3165" s="1" t="s">
        <v>48426</v>
      </c>
      <c r="AU3165" s="1">
        <v>2004</v>
      </c>
      <c r="AV3165" s="1">
        <v>17</v>
      </c>
      <c r="AW3165" s="1">
        <v>3</v>
      </c>
      <c r="AX3165" s="1" t="s">
        <v>74</v>
      </c>
      <c r="AY3165" s="1" t="s">
        <v>74</v>
      </c>
      <c r="AZ3165" s="1" t="s">
        <v>74</v>
      </c>
      <c r="BA3165" s="1" t="s">
        <v>74</v>
      </c>
      <c r="BB3165" s="1">
        <v>281</v>
      </c>
      <c r="BC3165" s="1">
        <v>288</v>
      </c>
      <c r="BD3165" s="1" t="s">
        <v>74</v>
      </c>
      <c r="BE3165" s="1" t="s">
        <v>50255</v>
      </c>
      <c r="BF3165" s="1" t="str">
        <f>HYPERLINK("http://dx.doi.org/10.1051/alr:2004037","http://dx.doi.org/10.1051/alr:2004037")</f>
        <v>http://dx.doi.org/10.1051/alr:2004037</v>
      </c>
      <c r="BG3165" s="1" t="s">
        <v>74</v>
      </c>
      <c r="BH3165" s="1" t="s">
        <v>74</v>
      </c>
      <c r="BI3165" s="1">
        <v>8</v>
      </c>
      <c r="BJ3165" s="1" t="s">
        <v>2391</v>
      </c>
      <c r="BK3165" s="1" t="s">
        <v>96</v>
      </c>
      <c r="BL3165" s="1" t="s">
        <v>2391</v>
      </c>
      <c r="BM3165" s="1" t="s">
        <v>50256</v>
      </c>
      <c r="BN3165" s="1" t="s">
        <v>74</v>
      </c>
      <c r="BO3165" s="1" t="s">
        <v>370</v>
      </c>
      <c r="BP3165" s="1" t="s">
        <v>74</v>
      </c>
      <c r="BQ3165" s="1" t="s">
        <v>74</v>
      </c>
      <c r="BR3165" s="1" t="s">
        <v>98</v>
      </c>
      <c r="BS3165" s="1" t="s">
        <v>50257</v>
      </c>
      <c r="BT3165" s="1" t="str">
        <f>HYPERLINK("https%3A%2F%2Fwww.webofscience.com%2Fwos%2Fwoscc%2Ffull-record%2FWOS:000225064200007","View Full Record in Web of Science")</f>
        <v>View Full Record in Web of Science</v>
      </c>
      <c r="BU3165" s="1"/>
      <c r="BV3165" s="1"/>
    </row>
    <row r="3166" spans="1:74">
      <c r="A3166" s="1" t="s">
        <v>72</v>
      </c>
      <c r="B3166" s="1" t="s">
        <v>50258</v>
      </c>
      <c r="C3166" s="1" t="s">
        <v>74</v>
      </c>
      <c r="D3166" s="1" t="s">
        <v>74</v>
      </c>
      <c r="E3166" s="1" t="s">
        <v>74</v>
      </c>
      <c r="F3166" s="1" t="s">
        <v>50259</v>
      </c>
      <c r="G3166" s="1" t="s">
        <v>74</v>
      </c>
      <c r="H3166" s="1" t="s">
        <v>74</v>
      </c>
      <c r="I3166" s="1" t="s">
        <v>50260</v>
      </c>
      <c r="J3166" s="1" t="s">
        <v>421</v>
      </c>
      <c r="K3166" s="1" t="s">
        <v>74</v>
      </c>
      <c r="L3166" s="1" t="s">
        <v>74</v>
      </c>
      <c r="M3166" s="1" t="s">
        <v>78</v>
      </c>
      <c r="N3166" s="1" t="s">
        <v>79</v>
      </c>
      <c r="O3166" s="1" t="s">
        <v>74</v>
      </c>
      <c r="P3166" s="1" t="s">
        <v>74</v>
      </c>
      <c r="Q3166" s="1" t="s">
        <v>74</v>
      </c>
      <c r="R3166" s="1" t="s">
        <v>74</v>
      </c>
      <c r="S3166" s="1" t="s">
        <v>74</v>
      </c>
      <c r="T3166" s="1" t="s">
        <v>50261</v>
      </c>
      <c r="U3166" s="1" t="s">
        <v>50262</v>
      </c>
      <c r="V3166" s="1" t="s">
        <v>50263</v>
      </c>
      <c r="W3166" s="1" t="s">
        <v>50264</v>
      </c>
      <c r="X3166" s="1" t="s">
        <v>50265</v>
      </c>
      <c r="Y3166" s="1" t="s">
        <v>50266</v>
      </c>
      <c r="Z3166" s="1" t="s">
        <v>50267</v>
      </c>
      <c r="AA3166" s="1" t="s">
        <v>50268</v>
      </c>
      <c r="AB3166" s="1" t="s">
        <v>50269</v>
      </c>
      <c r="AC3166" s="1" t="s">
        <v>50270</v>
      </c>
      <c r="AD3166" s="1" t="s">
        <v>50271</v>
      </c>
      <c r="AE3166" s="1" t="s">
        <v>50272</v>
      </c>
      <c r="AF3166" s="1" t="s">
        <v>74</v>
      </c>
      <c r="AG3166" s="1">
        <v>54</v>
      </c>
      <c r="AH3166" s="1">
        <v>39</v>
      </c>
      <c r="AI3166" s="1">
        <v>43</v>
      </c>
      <c r="AJ3166" s="1">
        <v>1</v>
      </c>
      <c r="AK3166" s="1">
        <v>64</v>
      </c>
      <c r="AL3166" s="1" t="s">
        <v>430</v>
      </c>
      <c r="AM3166" s="1" t="s">
        <v>137</v>
      </c>
      <c r="AN3166" s="1" t="s">
        <v>431</v>
      </c>
      <c r="AO3166" s="1" t="s">
        <v>432</v>
      </c>
      <c r="AP3166" s="1" t="s">
        <v>1394</v>
      </c>
      <c r="AQ3166" s="1" t="s">
        <v>74</v>
      </c>
      <c r="AR3166" s="1" t="s">
        <v>433</v>
      </c>
      <c r="AS3166" s="1" t="s">
        <v>434</v>
      </c>
      <c r="AT3166" s="1" t="s">
        <v>142</v>
      </c>
      <c r="AU3166" s="1">
        <v>2016</v>
      </c>
      <c r="AV3166" s="1">
        <v>213</v>
      </c>
      <c r="AW3166" s="1" t="s">
        <v>74</v>
      </c>
      <c r="AX3166" s="1" t="s">
        <v>74</v>
      </c>
      <c r="AY3166" s="1" t="s">
        <v>74</v>
      </c>
      <c r="AZ3166" s="1" t="s">
        <v>74</v>
      </c>
      <c r="BA3166" s="1" t="s">
        <v>74</v>
      </c>
      <c r="BB3166" s="1">
        <v>268</v>
      </c>
      <c r="BC3166" s="1">
        <v>277</v>
      </c>
      <c r="BD3166" s="1" t="s">
        <v>74</v>
      </c>
      <c r="BE3166" s="1" t="s">
        <v>50273</v>
      </c>
      <c r="BF3166" s="1" t="str">
        <f>HYPERLINK("http://dx.doi.org/10.1016/j.envpol.2016.02.026","http://dx.doi.org/10.1016/j.envpol.2016.02.026")</f>
        <v>http://dx.doi.org/10.1016/j.envpol.2016.02.026</v>
      </c>
      <c r="BG3166" s="1" t="s">
        <v>74</v>
      </c>
      <c r="BH3166" s="1" t="s">
        <v>74</v>
      </c>
      <c r="BI3166" s="1">
        <v>10</v>
      </c>
      <c r="BJ3166" s="1" t="s">
        <v>144</v>
      </c>
      <c r="BK3166" s="1" t="s">
        <v>96</v>
      </c>
      <c r="BL3166" s="1" t="s">
        <v>145</v>
      </c>
      <c r="BM3166" s="1" t="s">
        <v>50274</v>
      </c>
      <c r="BN3166" s="1">
        <v>26924755</v>
      </c>
      <c r="BO3166" s="1" t="s">
        <v>74</v>
      </c>
      <c r="BP3166" s="1" t="s">
        <v>74</v>
      </c>
      <c r="BQ3166" s="1" t="s">
        <v>74</v>
      </c>
      <c r="BR3166" s="1" t="s">
        <v>98</v>
      </c>
      <c r="BS3166" s="1" t="s">
        <v>50275</v>
      </c>
      <c r="BT3166" s="1" t="str">
        <f>HYPERLINK("https%3A%2F%2Fwww.webofscience.com%2Fwos%2Fwoscc%2Ffull-record%2FWOS:000377921800029","View Full Record in Web of Science")</f>
        <v>View Full Record in Web of Science</v>
      </c>
      <c r="BU3166" s="1"/>
      <c r="BV3166" s="1"/>
    </row>
    <row r="3167" spans="1:74">
      <c r="A3167" s="1" t="s">
        <v>72</v>
      </c>
      <c r="B3167" s="1" t="s">
        <v>50276</v>
      </c>
      <c r="C3167" s="1" t="s">
        <v>74</v>
      </c>
      <c r="D3167" s="1" t="s">
        <v>74</v>
      </c>
      <c r="E3167" s="1" t="s">
        <v>74</v>
      </c>
      <c r="F3167" s="1" t="s">
        <v>50277</v>
      </c>
      <c r="G3167" s="1" t="s">
        <v>74</v>
      </c>
      <c r="H3167" s="1" t="s">
        <v>74</v>
      </c>
      <c r="I3167" s="1" t="s">
        <v>50278</v>
      </c>
      <c r="J3167" s="1" t="s">
        <v>421</v>
      </c>
      <c r="K3167" s="1" t="s">
        <v>74</v>
      </c>
      <c r="L3167" s="1" t="s">
        <v>74</v>
      </c>
      <c r="M3167" s="1" t="s">
        <v>78</v>
      </c>
      <c r="N3167" s="1" t="s">
        <v>79</v>
      </c>
      <c r="O3167" s="1" t="s">
        <v>74</v>
      </c>
      <c r="P3167" s="1" t="s">
        <v>74</v>
      </c>
      <c r="Q3167" s="1" t="s">
        <v>74</v>
      </c>
      <c r="R3167" s="1" t="s">
        <v>74</v>
      </c>
      <c r="S3167" s="1" t="s">
        <v>74</v>
      </c>
      <c r="T3167" s="1" t="s">
        <v>50279</v>
      </c>
      <c r="U3167" s="1" t="s">
        <v>50280</v>
      </c>
      <c r="V3167" s="1" t="s">
        <v>50281</v>
      </c>
      <c r="W3167" s="1" t="s">
        <v>50282</v>
      </c>
      <c r="X3167" s="1" t="s">
        <v>50283</v>
      </c>
      <c r="Y3167" s="1" t="s">
        <v>23805</v>
      </c>
      <c r="Z3167" s="1" t="s">
        <v>9288</v>
      </c>
      <c r="AA3167" s="1" t="s">
        <v>50284</v>
      </c>
      <c r="AB3167" s="1" t="s">
        <v>50285</v>
      </c>
      <c r="AC3167" s="1" t="s">
        <v>50286</v>
      </c>
      <c r="AD3167" s="1" t="s">
        <v>50287</v>
      </c>
      <c r="AE3167" s="1" t="s">
        <v>50288</v>
      </c>
      <c r="AF3167" s="1" t="s">
        <v>74</v>
      </c>
      <c r="AG3167" s="1">
        <v>79</v>
      </c>
      <c r="AH3167" s="1">
        <v>12</v>
      </c>
      <c r="AI3167" s="1">
        <v>12</v>
      </c>
      <c r="AJ3167" s="1">
        <v>1</v>
      </c>
      <c r="AK3167" s="1">
        <v>23</v>
      </c>
      <c r="AL3167" s="1" t="s">
        <v>430</v>
      </c>
      <c r="AM3167" s="1" t="s">
        <v>137</v>
      </c>
      <c r="AN3167" s="1" t="s">
        <v>431</v>
      </c>
      <c r="AO3167" s="1" t="s">
        <v>432</v>
      </c>
      <c r="AP3167" s="1" t="s">
        <v>1394</v>
      </c>
      <c r="AQ3167" s="1" t="s">
        <v>74</v>
      </c>
      <c r="AR3167" s="1" t="s">
        <v>433</v>
      </c>
      <c r="AS3167" s="1" t="s">
        <v>434</v>
      </c>
      <c r="AT3167" s="1" t="s">
        <v>197</v>
      </c>
      <c r="AU3167" s="1">
        <v>2018</v>
      </c>
      <c r="AV3167" s="1">
        <v>243</v>
      </c>
      <c r="AW3167" s="1" t="s">
        <v>74</v>
      </c>
      <c r="AX3167" s="1" t="s">
        <v>13570</v>
      </c>
      <c r="AY3167" s="1" t="s">
        <v>74</v>
      </c>
      <c r="AZ3167" s="1" t="s">
        <v>74</v>
      </c>
      <c r="BA3167" s="1" t="s">
        <v>74</v>
      </c>
      <c r="BB3167" s="1">
        <v>1469</v>
      </c>
      <c r="BC3167" s="1">
        <v>1478</v>
      </c>
      <c r="BD3167" s="1" t="s">
        <v>74</v>
      </c>
      <c r="BE3167" s="1" t="s">
        <v>50289</v>
      </c>
      <c r="BF3167" s="1" t="str">
        <f>HYPERLINK("http://dx.doi.org/10.1016/j.envpol.2018.09.102","http://dx.doi.org/10.1016/j.envpol.2018.09.102")</f>
        <v>http://dx.doi.org/10.1016/j.envpol.2018.09.102</v>
      </c>
      <c r="BG3167" s="1" t="s">
        <v>74</v>
      </c>
      <c r="BH3167" s="1" t="s">
        <v>74</v>
      </c>
      <c r="BI3167" s="1">
        <v>10</v>
      </c>
      <c r="BJ3167" s="1" t="s">
        <v>144</v>
      </c>
      <c r="BK3167" s="1" t="s">
        <v>96</v>
      </c>
      <c r="BL3167" s="1" t="s">
        <v>145</v>
      </c>
      <c r="BM3167" s="1" t="s">
        <v>26182</v>
      </c>
      <c r="BN3167" s="1">
        <v>30292156</v>
      </c>
      <c r="BO3167" s="1" t="s">
        <v>74</v>
      </c>
      <c r="BP3167" s="1" t="s">
        <v>74</v>
      </c>
      <c r="BQ3167" s="1" t="s">
        <v>74</v>
      </c>
      <c r="BR3167" s="1" t="s">
        <v>98</v>
      </c>
      <c r="BS3167" s="1" t="s">
        <v>50290</v>
      </c>
      <c r="BT3167" s="1" t="str">
        <f>HYPERLINK("https%3A%2F%2Fwww.webofscience.com%2Fwos%2Fwoscc%2Ffull-record%2FWOS:000449892700072","View Full Record in Web of Science")</f>
        <v>View Full Record in Web of Science</v>
      </c>
      <c r="BU3167" s="1"/>
      <c r="BV3167" s="1"/>
    </row>
    <row r="3168" spans="1:74">
      <c r="A3168" s="1" t="s">
        <v>72</v>
      </c>
      <c r="B3168" s="1" t="s">
        <v>50291</v>
      </c>
      <c r="C3168" s="1" t="s">
        <v>74</v>
      </c>
      <c r="D3168" s="1" t="s">
        <v>74</v>
      </c>
      <c r="E3168" s="1" t="s">
        <v>74</v>
      </c>
      <c r="F3168" s="1" t="s">
        <v>50292</v>
      </c>
      <c r="G3168" s="1" t="s">
        <v>74</v>
      </c>
      <c r="H3168" s="1" t="s">
        <v>74</v>
      </c>
      <c r="I3168" s="1" t="s">
        <v>50293</v>
      </c>
      <c r="J3168" s="1" t="s">
        <v>4463</v>
      </c>
      <c r="K3168" s="1" t="s">
        <v>74</v>
      </c>
      <c r="L3168" s="1" t="s">
        <v>74</v>
      </c>
      <c r="M3168" s="1" t="s">
        <v>78</v>
      </c>
      <c r="N3168" s="1" t="s">
        <v>79</v>
      </c>
      <c r="O3168" s="1" t="s">
        <v>74</v>
      </c>
      <c r="P3168" s="1" t="s">
        <v>74</v>
      </c>
      <c r="Q3168" s="1" t="s">
        <v>74</v>
      </c>
      <c r="R3168" s="1" t="s">
        <v>74</v>
      </c>
      <c r="S3168" s="1" t="s">
        <v>74</v>
      </c>
      <c r="T3168" s="1" t="s">
        <v>50294</v>
      </c>
      <c r="U3168" s="1" t="s">
        <v>50295</v>
      </c>
      <c r="V3168" s="1" t="s">
        <v>50296</v>
      </c>
      <c r="W3168" s="1" t="s">
        <v>50297</v>
      </c>
      <c r="X3168" s="1" t="s">
        <v>50298</v>
      </c>
      <c r="Y3168" s="1" t="s">
        <v>50299</v>
      </c>
      <c r="Z3168" s="1" t="s">
        <v>50300</v>
      </c>
      <c r="AA3168" s="1" t="s">
        <v>50301</v>
      </c>
      <c r="AB3168" s="1" t="s">
        <v>50302</v>
      </c>
      <c r="AC3168" s="1" t="s">
        <v>50303</v>
      </c>
      <c r="AD3168" s="1" t="s">
        <v>50304</v>
      </c>
      <c r="AE3168" s="1" t="s">
        <v>50305</v>
      </c>
      <c r="AF3168" s="1" t="s">
        <v>74</v>
      </c>
      <c r="AG3168" s="1">
        <v>117</v>
      </c>
      <c r="AH3168" s="1">
        <v>26</v>
      </c>
      <c r="AI3168" s="1">
        <v>26</v>
      </c>
      <c r="AJ3168" s="1">
        <v>25</v>
      </c>
      <c r="AK3168" s="1">
        <v>185</v>
      </c>
      <c r="AL3168" s="1" t="s">
        <v>4471</v>
      </c>
      <c r="AM3168" s="1" t="s">
        <v>4472</v>
      </c>
      <c r="AN3168" s="1" t="s">
        <v>4473</v>
      </c>
      <c r="AO3168" s="1" t="s">
        <v>4474</v>
      </c>
      <c r="AP3168" s="1" t="s">
        <v>4475</v>
      </c>
      <c r="AQ3168" s="1" t="s">
        <v>74</v>
      </c>
      <c r="AR3168" s="1" t="s">
        <v>4476</v>
      </c>
      <c r="AS3168" s="1" t="s">
        <v>4477</v>
      </c>
      <c r="AT3168" s="1" t="s">
        <v>5542</v>
      </c>
      <c r="AU3168" s="1">
        <v>2021</v>
      </c>
      <c r="AV3168" s="1">
        <v>55</v>
      </c>
      <c r="AW3168" s="1">
        <v>11</v>
      </c>
      <c r="AX3168" s="1" t="s">
        <v>74</v>
      </c>
      <c r="AY3168" s="1" t="s">
        <v>74</v>
      </c>
      <c r="AZ3168" s="1" t="s">
        <v>74</v>
      </c>
      <c r="BA3168" s="1" t="s">
        <v>74</v>
      </c>
      <c r="BB3168" s="1">
        <v>7407</v>
      </c>
      <c r="BC3168" s="1">
        <v>7417</v>
      </c>
      <c r="BD3168" s="1" t="s">
        <v>74</v>
      </c>
      <c r="BE3168" s="1" t="s">
        <v>50306</v>
      </c>
      <c r="BF3168" s="1" t="str">
        <f>HYPERLINK("http://dx.doi.org/10.1021/acs.est.1c00262","http://dx.doi.org/10.1021/acs.est.1c00262")</f>
        <v>http://dx.doi.org/10.1021/acs.est.1c00262</v>
      </c>
      <c r="BG3168" s="1" t="s">
        <v>74</v>
      </c>
      <c r="BH3168" s="1" t="s">
        <v>3508</v>
      </c>
      <c r="BI3168" s="1">
        <v>11</v>
      </c>
      <c r="BJ3168" s="1" t="s">
        <v>415</v>
      </c>
      <c r="BK3168" s="1" t="s">
        <v>96</v>
      </c>
      <c r="BL3168" s="1" t="s">
        <v>416</v>
      </c>
      <c r="BM3168" s="1" t="s">
        <v>50307</v>
      </c>
      <c r="BN3168" s="1">
        <v>34009962</v>
      </c>
      <c r="BO3168" s="1" t="s">
        <v>74</v>
      </c>
      <c r="BP3168" s="1" t="s">
        <v>74</v>
      </c>
      <c r="BQ3168" s="1" t="s">
        <v>74</v>
      </c>
      <c r="BR3168" s="1" t="s">
        <v>98</v>
      </c>
      <c r="BS3168" s="1" t="s">
        <v>50308</v>
      </c>
      <c r="BT3168" s="1" t="str">
        <f>HYPERLINK("https%3A%2F%2Fwww.webofscience.com%2Fwos%2Fwoscc%2Ffull-record%2FWOS:000659374200022","View Full Record in Web of Science")</f>
        <v>View Full Record in Web of Science</v>
      </c>
      <c r="BU3168" s="1"/>
      <c r="BV3168" s="1"/>
    </row>
    <row r="3169" spans="1:74">
      <c r="A3169" s="1" t="s">
        <v>72</v>
      </c>
      <c r="B3169" s="1" t="s">
        <v>50309</v>
      </c>
      <c r="C3169" s="1" t="s">
        <v>74</v>
      </c>
      <c r="D3169" s="1" t="s">
        <v>74</v>
      </c>
      <c r="E3169" s="1" t="s">
        <v>74</v>
      </c>
      <c r="F3169" s="1" t="s">
        <v>50309</v>
      </c>
      <c r="G3169" s="1" t="s">
        <v>74</v>
      </c>
      <c r="H3169" s="1" t="s">
        <v>74</v>
      </c>
      <c r="I3169" s="1" t="s">
        <v>50310</v>
      </c>
      <c r="J3169" s="1" t="s">
        <v>232</v>
      </c>
      <c r="K3169" s="1" t="s">
        <v>74</v>
      </c>
      <c r="L3169" s="1" t="s">
        <v>74</v>
      </c>
      <c r="M3169" s="1" t="s">
        <v>78</v>
      </c>
      <c r="N3169" s="1" t="s">
        <v>79</v>
      </c>
      <c r="O3169" s="1" t="s">
        <v>74</v>
      </c>
      <c r="P3169" s="1" t="s">
        <v>74</v>
      </c>
      <c r="Q3169" s="1" t="s">
        <v>74</v>
      </c>
      <c r="R3169" s="1" t="s">
        <v>74</v>
      </c>
      <c r="S3169" s="1" t="s">
        <v>74</v>
      </c>
      <c r="T3169" s="1" t="s">
        <v>74</v>
      </c>
      <c r="U3169" s="1" t="s">
        <v>50311</v>
      </c>
      <c r="V3169" s="1" t="s">
        <v>74</v>
      </c>
      <c r="W3169" s="1" t="s">
        <v>50312</v>
      </c>
      <c r="X3169" s="1" t="s">
        <v>50313</v>
      </c>
      <c r="Y3169" s="1" t="s">
        <v>50314</v>
      </c>
      <c r="Z3169" s="1" t="s">
        <v>50315</v>
      </c>
      <c r="AA3169" s="1" t="s">
        <v>50316</v>
      </c>
      <c r="AB3169" s="1" t="s">
        <v>74</v>
      </c>
      <c r="AC3169" s="1" t="s">
        <v>74</v>
      </c>
      <c r="AD3169" s="1" t="s">
        <v>74</v>
      </c>
      <c r="AE3169" s="1" t="s">
        <v>74</v>
      </c>
      <c r="AF3169" s="1" t="s">
        <v>74</v>
      </c>
      <c r="AG3169" s="1">
        <v>11</v>
      </c>
      <c r="AH3169" s="1">
        <v>12</v>
      </c>
      <c r="AI3169" s="1">
        <v>13</v>
      </c>
      <c r="AJ3169" s="1">
        <v>0</v>
      </c>
      <c r="AK3169" s="1">
        <v>10</v>
      </c>
      <c r="AL3169" s="1" t="s">
        <v>136</v>
      </c>
      <c r="AM3169" s="1" t="s">
        <v>137</v>
      </c>
      <c r="AN3169" s="1" t="s">
        <v>138</v>
      </c>
      <c r="AO3169" s="1" t="s">
        <v>240</v>
      </c>
      <c r="AP3169" s="1" t="s">
        <v>241</v>
      </c>
      <c r="AQ3169" s="1" t="s">
        <v>74</v>
      </c>
      <c r="AR3169" s="1" t="s">
        <v>242</v>
      </c>
      <c r="AS3169" s="1" t="s">
        <v>243</v>
      </c>
      <c r="AT3169" s="1" t="s">
        <v>267</v>
      </c>
      <c r="AU3169" s="1">
        <v>2004</v>
      </c>
      <c r="AV3169" s="1">
        <v>49</v>
      </c>
      <c r="AW3169" s="1" t="s">
        <v>6693</v>
      </c>
      <c r="AX3169" s="1" t="s">
        <v>74</v>
      </c>
      <c r="AY3169" s="1" t="s">
        <v>74</v>
      </c>
      <c r="AZ3169" s="1" t="s">
        <v>74</v>
      </c>
      <c r="BA3169" s="1" t="s">
        <v>74</v>
      </c>
      <c r="BB3169" s="1">
        <v>664</v>
      </c>
      <c r="BC3169" s="1">
        <v>667</v>
      </c>
      <c r="BD3169" s="1" t="s">
        <v>74</v>
      </c>
      <c r="BE3169" s="1" t="s">
        <v>50317</v>
      </c>
      <c r="BF3169" s="1" t="str">
        <f>HYPERLINK("http://dx.doi.org/10.1016/j.marpolbul.2004.07.011","http://dx.doi.org/10.1016/j.marpolbul.2004.07.011")</f>
        <v>http://dx.doi.org/10.1016/j.marpolbul.2004.07.011</v>
      </c>
      <c r="BG3169" s="1" t="s">
        <v>74</v>
      </c>
      <c r="BH3169" s="1" t="s">
        <v>74</v>
      </c>
      <c r="BI3169" s="1">
        <v>4</v>
      </c>
      <c r="BJ3169" s="1" t="s">
        <v>247</v>
      </c>
      <c r="BK3169" s="1" t="s">
        <v>96</v>
      </c>
      <c r="BL3169" s="1" t="s">
        <v>248</v>
      </c>
      <c r="BM3169" s="1" t="s">
        <v>50318</v>
      </c>
      <c r="BN3169" s="1">
        <v>15476846</v>
      </c>
      <c r="BO3169" s="1" t="s">
        <v>74</v>
      </c>
      <c r="BP3169" s="1" t="s">
        <v>74</v>
      </c>
      <c r="BQ3169" s="1" t="s">
        <v>74</v>
      </c>
      <c r="BR3169" s="1" t="s">
        <v>98</v>
      </c>
      <c r="BS3169" s="1" t="s">
        <v>50319</v>
      </c>
      <c r="BT3169" s="1" t="str">
        <f>HYPERLINK("https%3A%2F%2Fwww.webofscience.com%2Fwos%2Fwoscc%2Ffull-record%2FWOS:000224824600033","View Full Record in Web of Science")</f>
        <v>View Full Record in Web of Science</v>
      </c>
      <c r="BU3169" s="1"/>
      <c r="BV3169" s="1"/>
    </row>
    <row r="3170" spans="1:74">
      <c r="A3170" s="1" t="s">
        <v>72</v>
      </c>
      <c r="B3170" s="1" t="s">
        <v>50320</v>
      </c>
      <c r="C3170" s="1" t="s">
        <v>74</v>
      </c>
      <c r="D3170" s="1" t="s">
        <v>74</v>
      </c>
      <c r="E3170" s="1" t="s">
        <v>74</v>
      </c>
      <c r="F3170" s="1" t="s">
        <v>50321</v>
      </c>
      <c r="G3170" s="1" t="s">
        <v>74</v>
      </c>
      <c r="H3170" s="1" t="s">
        <v>74</v>
      </c>
      <c r="I3170" s="1" t="s">
        <v>50322</v>
      </c>
      <c r="J3170" s="1" t="s">
        <v>204</v>
      </c>
      <c r="K3170" s="1" t="s">
        <v>74</v>
      </c>
      <c r="L3170" s="1" t="s">
        <v>74</v>
      </c>
      <c r="M3170" s="1" t="s">
        <v>78</v>
      </c>
      <c r="N3170" s="1" t="s">
        <v>79</v>
      </c>
      <c r="O3170" s="1" t="s">
        <v>74</v>
      </c>
      <c r="P3170" s="1" t="s">
        <v>74</v>
      </c>
      <c r="Q3170" s="1" t="s">
        <v>74</v>
      </c>
      <c r="R3170" s="1" t="s">
        <v>74</v>
      </c>
      <c r="S3170" s="1" t="s">
        <v>74</v>
      </c>
      <c r="T3170" s="1" t="s">
        <v>50323</v>
      </c>
      <c r="U3170" s="1" t="s">
        <v>50324</v>
      </c>
      <c r="V3170" s="1" t="s">
        <v>50325</v>
      </c>
      <c r="W3170" s="1" t="s">
        <v>50326</v>
      </c>
      <c r="X3170" s="1" t="s">
        <v>9952</v>
      </c>
      <c r="Y3170" s="1" t="s">
        <v>32343</v>
      </c>
      <c r="Z3170" s="1" t="s">
        <v>21443</v>
      </c>
      <c r="AA3170" s="1" t="s">
        <v>50327</v>
      </c>
      <c r="AB3170" s="1" t="s">
        <v>74</v>
      </c>
      <c r="AC3170" s="1" t="s">
        <v>50328</v>
      </c>
      <c r="AD3170" s="1" t="s">
        <v>50329</v>
      </c>
      <c r="AE3170" s="1" t="s">
        <v>50330</v>
      </c>
      <c r="AF3170" s="1" t="s">
        <v>74</v>
      </c>
      <c r="AG3170" s="1">
        <v>77</v>
      </c>
      <c r="AH3170" s="1">
        <v>2</v>
      </c>
      <c r="AI3170" s="1">
        <v>2</v>
      </c>
      <c r="AJ3170" s="1">
        <v>9</v>
      </c>
      <c r="AK3170" s="1">
        <v>29</v>
      </c>
      <c r="AL3170" s="1" t="s">
        <v>217</v>
      </c>
      <c r="AM3170" s="1" t="s">
        <v>218</v>
      </c>
      <c r="AN3170" s="1" t="s">
        <v>219</v>
      </c>
      <c r="AO3170" s="1" t="s">
        <v>220</v>
      </c>
      <c r="AP3170" s="1" t="s">
        <v>221</v>
      </c>
      <c r="AQ3170" s="1" t="s">
        <v>74</v>
      </c>
      <c r="AR3170" s="1" t="s">
        <v>222</v>
      </c>
      <c r="AS3170" s="1" t="s">
        <v>223</v>
      </c>
      <c r="AT3170" s="1" t="s">
        <v>305</v>
      </c>
      <c r="AU3170" s="1">
        <v>2023</v>
      </c>
      <c r="AV3170" s="1">
        <v>30</v>
      </c>
      <c r="AW3170" s="1">
        <v>43</v>
      </c>
      <c r="AX3170" s="1" t="s">
        <v>74</v>
      </c>
      <c r="AY3170" s="1" t="s">
        <v>74</v>
      </c>
      <c r="AZ3170" s="1" t="s">
        <v>74</v>
      </c>
      <c r="BA3170" s="1" t="s">
        <v>74</v>
      </c>
      <c r="BB3170" s="1">
        <v>97128</v>
      </c>
      <c r="BC3170" s="1">
        <v>97146</v>
      </c>
      <c r="BD3170" s="1" t="s">
        <v>74</v>
      </c>
      <c r="BE3170" s="1" t="s">
        <v>50331</v>
      </c>
      <c r="BF3170" s="1" t="str">
        <f>HYPERLINK("http://dx.doi.org/10.1007/s11356-023-29016-4","http://dx.doi.org/10.1007/s11356-023-29016-4")</f>
        <v>http://dx.doi.org/10.1007/s11356-023-29016-4</v>
      </c>
      <c r="BG3170" s="1" t="s">
        <v>74</v>
      </c>
      <c r="BH3170" s="1" t="s">
        <v>6411</v>
      </c>
      <c r="BI3170" s="1">
        <v>19</v>
      </c>
      <c r="BJ3170" s="1" t="s">
        <v>144</v>
      </c>
      <c r="BK3170" s="1" t="s">
        <v>96</v>
      </c>
      <c r="BL3170" s="1" t="s">
        <v>145</v>
      </c>
      <c r="BM3170" s="1" t="s">
        <v>50332</v>
      </c>
      <c r="BN3170" s="1">
        <v>37582894</v>
      </c>
      <c r="BO3170" s="1" t="s">
        <v>74</v>
      </c>
      <c r="BP3170" s="1" t="s">
        <v>74</v>
      </c>
      <c r="BQ3170" s="1" t="s">
        <v>74</v>
      </c>
      <c r="BR3170" s="1" t="s">
        <v>98</v>
      </c>
      <c r="BS3170" s="1" t="s">
        <v>50333</v>
      </c>
      <c r="BT3170" s="1" t="str">
        <f>HYPERLINK("https%3A%2F%2Fwww.webofscience.com%2Fwos%2Fwoscc%2Ffull-record%2FWOS:001049105100002","View Full Record in Web of Science")</f>
        <v>View Full Record in Web of Science</v>
      </c>
      <c r="BU3170" s="1"/>
      <c r="BV3170" s="1"/>
    </row>
    <row r="3171" spans="1:74">
      <c r="A3171" s="1" t="s">
        <v>72</v>
      </c>
      <c r="B3171" s="1" t="s">
        <v>50334</v>
      </c>
      <c r="C3171" s="1" t="s">
        <v>74</v>
      </c>
      <c r="D3171" s="1" t="s">
        <v>74</v>
      </c>
      <c r="E3171" s="1" t="s">
        <v>74</v>
      </c>
      <c r="F3171" s="1" t="s">
        <v>50335</v>
      </c>
      <c r="G3171" s="1" t="s">
        <v>74</v>
      </c>
      <c r="H3171" s="1" t="s">
        <v>74</v>
      </c>
      <c r="I3171" s="1" t="s">
        <v>50336</v>
      </c>
      <c r="J3171" s="1" t="s">
        <v>232</v>
      </c>
      <c r="K3171" s="1" t="s">
        <v>74</v>
      </c>
      <c r="L3171" s="1" t="s">
        <v>74</v>
      </c>
      <c r="M3171" s="1" t="s">
        <v>78</v>
      </c>
      <c r="N3171" s="1" t="s">
        <v>79</v>
      </c>
      <c r="O3171" s="1" t="s">
        <v>74</v>
      </c>
      <c r="P3171" s="1" t="s">
        <v>74</v>
      </c>
      <c r="Q3171" s="1" t="s">
        <v>74</v>
      </c>
      <c r="R3171" s="1" t="s">
        <v>74</v>
      </c>
      <c r="S3171" s="1" t="s">
        <v>74</v>
      </c>
      <c r="T3171" s="1" t="s">
        <v>50337</v>
      </c>
      <c r="U3171" s="1" t="s">
        <v>50338</v>
      </c>
      <c r="V3171" s="1" t="s">
        <v>50339</v>
      </c>
      <c r="W3171" s="1" t="s">
        <v>50340</v>
      </c>
      <c r="X3171" s="1" t="s">
        <v>734</v>
      </c>
      <c r="Y3171" s="1" t="s">
        <v>50341</v>
      </c>
      <c r="Z3171" s="1" t="s">
        <v>50342</v>
      </c>
      <c r="AA3171" s="1" t="s">
        <v>50343</v>
      </c>
      <c r="AB3171" s="1" t="s">
        <v>50344</v>
      </c>
      <c r="AC3171" s="1" t="s">
        <v>74</v>
      </c>
      <c r="AD3171" s="1" t="s">
        <v>74</v>
      </c>
      <c r="AE3171" s="1" t="s">
        <v>74</v>
      </c>
      <c r="AF3171" s="1" t="s">
        <v>74</v>
      </c>
      <c r="AG3171" s="1">
        <v>38</v>
      </c>
      <c r="AH3171" s="1">
        <v>33</v>
      </c>
      <c r="AI3171" s="1">
        <v>33</v>
      </c>
      <c r="AJ3171" s="1">
        <v>1</v>
      </c>
      <c r="AK3171" s="1">
        <v>28</v>
      </c>
      <c r="AL3171" s="1" t="s">
        <v>136</v>
      </c>
      <c r="AM3171" s="1" t="s">
        <v>137</v>
      </c>
      <c r="AN3171" s="1" t="s">
        <v>138</v>
      </c>
      <c r="AO3171" s="1" t="s">
        <v>240</v>
      </c>
      <c r="AP3171" s="1" t="s">
        <v>241</v>
      </c>
      <c r="AQ3171" s="1" t="s">
        <v>74</v>
      </c>
      <c r="AR3171" s="1" t="s">
        <v>242</v>
      </c>
      <c r="AS3171" s="1" t="s">
        <v>243</v>
      </c>
      <c r="AT3171" s="1" t="s">
        <v>4761</v>
      </c>
      <c r="AU3171" s="1">
        <v>2016</v>
      </c>
      <c r="AV3171" s="1">
        <v>104</v>
      </c>
      <c r="AW3171" s="1" t="s">
        <v>326</v>
      </c>
      <c r="AX3171" s="1" t="s">
        <v>74</v>
      </c>
      <c r="AY3171" s="1" t="s">
        <v>74</v>
      </c>
      <c r="AZ3171" s="1" t="s">
        <v>74</v>
      </c>
      <c r="BA3171" s="1" t="s">
        <v>74</v>
      </c>
      <c r="BB3171" s="1">
        <v>386</v>
      </c>
      <c r="BC3171" s="1">
        <v>390</v>
      </c>
      <c r="BD3171" s="1" t="s">
        <v>74</v>
      </c>
      <c r="BE3171" s="1" t="s">
        <v>50345</v>
      </c>
      <c r="BF3171" s="1" t="str">
        <f>HYPERLINK("http://dx.doi.org/10.1016/j.marpolbul.2016.01.015","http://dx.doi.org/10.1016/j.marpolbul.2016.01.015")</f>
        <v>http://dx.doi.org/10.1016/j.marpolbul.2016.01.015</v>
      </c>
      <c r="BG3171" s="1" t="s">
        <v>74</v>
      </c>
      <c r="BH3171" s="1" t="s">
        <v>74</v>
      </c>
      <c r="BI3171" s="1">
        <v>5</v>
      </c>
      <c r="BJ3171" s="1" t="s">
        <v>247</v>
      </c>
      <c r="BK3171" s="1" t="s">
        <v>96</v>
      </c>
      <c r="BL3171" s="1" t="s">
        <v>248</v>
      </c>
      <c r="BM3171" s="1" t="s">
        <v>33636</v>
      </c>
      <c r="BN3171" s="1">
        <v>26806661</v>
      </c>
      <c r="BO3171" s="1" t="s">
        <v>74</v>
      </c>
      <c r="BP3171" s="1" t="s">
        <v>74</v>
      </c>
      <c r="BQ3171" s="1" t="s">
        <v>74</v>
      </c>
      <c r="BR3171" s="1" t="s">
        <v>98</v>
      </c>
      <c r="BS3171" s="1" t="s">
        <v>50346</v>
      </c>
      <c r="BT3171" s="1" t="str">
        <f>HYPERLINK("https%3A%2F%2Fwww.webofscience.com%2Fwos%2Fwoscc%2Ffull-record%2FWOS:000374198100059","View Full Record in Web of Science")</f>
        <v>View Full Record in Web of Science</v>
      </c>
      <c r="BU3171" s="1"/>
      <c r="BV3171" s="1"/>
    </row>
    <row r="3172" spans="1:74">
      <c r="A3172" s="1" t="s">
        <v>72</v>
      </c>
      <c r="B3172" s="1" t="s">
        <v>50347</v>
      </c>
      <c r="C3172" s="1" t="s">
        <v>74</v>
      </c>
      <c r="D3172" s="1" t="s">
        <v>74</v>
      </c>
      <c r="E3172" s="1" t="s">
        <v>74</v>
      </c>
      <c r="F3172" s="1" t="s">
        <v>50347</v>
      </c>
      <c r="G3172" s="1" t="s">
        <v>74</v>
      </c>
      <c r="H3172" s="1" t="s">
        <v>74</v>
      </c>
      <c r="I3172" s="1" t="s">
        <v>50348</v>
      </c>
      <c r="J3172" s="1" t="s">
        <v>50349</v>
      </c>
      <c r="K3172" s="1" t="s">
        <v>74</v>
      </c>
      <c r="L3172" s="1" t="s">
        <v>74</v>
      </c>
      <c r="M3172" s="1" t="s">
        <v>78</v>
      </c>
      <c r="N3172" s="1" t="s">
        <v>151</v>
      </c>
      <c r="O3172" s="1" t="s">
        <v>50350</v>
      </c>
      <c r="P3172" s="1" t="s">
        <v>50351</v>
      </c>
      <c r="Q3172" s="1" t="s">
        <v>50352</v>
      </c>
      <c r="R3172" s="1" t="s">
        <v>74</v>
      </c>
      <c r="S3172" s="1" t="s">
        <v>74</v>
      </c>
      <c r="T3172" s="1" t="s">
        <v>74</v>
      </c>
      <c r="U3172" s="1" t="s">
        <v>50353</v>
      </c>
      <c r="V3172" s="1" t="s">
        <v>50354</v>
      </c>
      <c r="W3172" s="1" t="s">
        <v>50355</v>
      </c>
      <c r="X3172" s="1" t="s">
        <v>50356</v>
      </c>
      <c r="Y3172" s="1" t="s">
        <v>50357</v>
      </c>
      <c r="Z3172" s="1" t="s">
        <v>74</v>
      </c>
      <c r="AA3172" s="1" t="s">
        <v>74</v>
      </c>
      <c r="AB3172" s="1" t="s">
        <v>74</v>
      </c>
      <c r="AC3172" s="1" t="s">
        <v>74</v>
      </c>
      <c r="AD3172" s="1" t="s">
        <v>74</v>
      </c>
      <c r="AE3172" s="1" t="s">
        <v>74</v>
      </c>
      <c r="AF3172" s="1" t="s">
        <v>74</v>
      </c>
      <c r="AG3172" s="1">
        <v>15</v>
      </c>
      <c r="AH3172" s="1">
        <v>5</v>
      </c>
      <c r="AI3172" s="1">
        <v>5</v>
      </c>
      <c r="AJ3172" s="1">
        <v>0</v>
      </c>
      <c r="AK3172" s="1">
        <v>2</v>
      </c>
      <c r="AL3172" s="1" t="s">
        <v>50358</v>
      </c>
      <c r="AM3172" s="1" t="s">
        <v>5155</v>
      </c>
      <c r="AN3172" s="1" t="s">
        <v>50359</v>
      </c>
      <c r="AO3172" s="1" t="s">
        <v>50360</v>
      </c>
      <c r="AP3172" s="1" t="s">
        <v>74</v>
      </c>
      <c r="AQ3172" s="1" t="s">
        <v>74</v>
      </c>
      <c r="AR3172" s="1" t="s">
        <v>50361</v>
      </c>
      <c r="AS3172" s="1" t="s">
        <v>50362</v>
      </c>
      <c r="AT3172" s="1" t="s">
        <v>510</v>
      </c>
      <c r="AU3172" s="1">
        <v>2003</v>
      </c>
      <c r="AV3172" s="1">
        <v>75</v>
      </c>
      <c r="AW3172" s="1" t="s">
        <v>511</v>
      </c>
      <c r="AX3172" s="1" t="s">
        <v>74</v>
      </c>
      <c r="AY3172" s="1" t="s">
        <v>74</v>
      </c>
      <c r="AZ3172" s="1" t="s">
        <v>74</v>
      </c>
      <c r="BA3172" s="1" t="s">
        <v>74</v>
      </c>
      <c r="BB3172" s="1">
        <v>2451</v>
      </c>
      <c r="BC3172" s="1">
        <v>2459</v>
      </c>
      <c r="BD3172" s="1" t="s">
        <v>74</v>
      </c>
      <c r="BE3172" s="1" t="s">
        <v>50363</v>
      </c>
      <c r="BF3172" s="1" t="str">
        <f>HYPERLINK("http://dx.doi.org/10.1351/pac200375112451","http://dx.doi.org/10.1351/pac200375112451")</f>
        <v>http://dx.doi.org/10.1351/pac200375112451</v>
      </c>
      <c r="BG3172" s="1" t="s">
        <v>74</v>
      </c>
      <c r="BH3172" s="1" t="s">
        <v>74</v>
      </c>
      <c r="BI3172" s="1">
        <v>9</v>
      </c>
      <c r="BJ3172" s="1" t="s">
        <v>3919</v>
      </c>
      <c r="BK3172" s="1" t="s">
        <v>172</v>
      </c>
      <c r="BL3172" s="1" t="s">
        <v>1197</v>
      </c>
      <c r="BM3172" s="1" t="s">
        <v>50364</v>
      </c>
      <c r="BN3172" s="1" t="s">
        <v>74</v>
      </c>
      <c r="BO3172" s="1" t="s">
        <v>370</v>
      </c>
      <c r="BP3172" s="1" t="s">
        <v>74</v>
      </c>
      <c r="BQ3172" s="1" t="s">
        <v>74</v>
      </c>
      <c r="BR3172" s="1" t="s">
        <v>98</v>
      </c>
      <c r="BS3172" s="1" t="s">
        <v>50365</v>
      </c>
      <c r="BT3172" s="1" t="str">
        <f>HYPERLINK("https%3A%2F%2Fwww.webofscience.com%2Fwos%2Fwoscc%2Ffull-record%2FWOS:000188233800068","View Full Record in Web of Science")</f>
        <v>View Full Record in Web of Science</v>
      </c>
      <c r="BU3172" s="1"/>
      <c r="BV3172" s="1"/>
    </row>
    <row r="3173" spans="1:74">
      <c r="A3173" s="1" t="s">
        <v>72</v>
      </c>
      <c r="B3173" s="1" t="s">
        <v>50366</v>
      </c>
      <c r="C3173" s="1" t="s">
        <v>74</v>
      </c>
      <c r="D3173" s="1" t="s">
        <v>74</v>
      </c>
      <c r="E3173" s="1" t="s">
        <v>74</v>
      </c>
      <c r="F3173" s="1" t="s">
        <v>50367</v>
      </c>
      <c r="G3173" s="1" t="s">
        <v>74</v>
      </c>
      <c r="H3173" s="1" t="s">
        <v>74</v>
      </c>
      <c r="I3173" s="1" t="s">
        <v>50368</v>
      </c>
      <c r="J3173" s="1" t="s">
        <v>20057</v>
      </c>
      <c r="K3173" s="1" t="s">
        <v>74</v>
      </c>
      <c r="L3173" s="1" t="s">
        <v>74</v>
      </c>
      <c r="M3173" s="1" t="s">
        <v>78</v>
      </c>
      <c r="N3173" s="1" t="s">
        <v>79</v>
      </c>
      <c r="O3173" s="1" t="s">
        <v>74</v>
      </c>
      <c r="P3173" s="1" t="s">
        <v>74</v>
      </c>
      <c r="Q3173" s="1" t="s">
        <v>74</v>
      </c>
      <c r="R3173" s="1" t="s">
        <v>74</v>
      </c>
      <c r="S3173" s="1" t="s">
        <v>74</v>
      </c>
      <c r="T3173" s="1" t="s">
        <v>50369</v>
      </c>
      <c r="U3173" s="1" t="s">
        <v>50370</v>
      </c>
      <c r="V3173" s="1" t="s">
        <v>50371</v>
      </c>
      <c r="W3173" s="1" t="s">
        <v>50372</v>
      </c>
      <c r="X3173" s="1" t="s">
        <v>50373</v>
      </c>
      <c r="Y3173" s="1" t="s">
        <v>50374</v>
      </c>
      <c r="Z3173" s="1" t="s">
        <v>50375</v>
      </c>
      <c r="AA3173" s="1" t="s">
        <v>50376</v>
      </c>
      <c r="AB3173" s="1" t="s">
        <v>50377</v>
      </c>
      <c r="AC3173" s="1" t="s">
        <v>50378</v>
      </c>
      <c r="AD3173" s="1" t="s">
        <v>50379</v>
      </c>
      <c r="AE3173" s="1" t="s">
        <v>50380</v>
      </c>
      <c r="AF3173" s="1" t="s">
        <v>74</v>
      </c>
      <c r="AG3173" s="1">
        <v>68</v>
      </c>
      <c r="AH3173" s="1">
        <v>7</v>
      </c>
      <c r="AI3173" s="1">
        <v>8</v>
      </c>
      <c r="AJ3173" s="1">
        <v>19</v>
      </c>
      <c r="AK3173" s="1">
        <v>54</v>
      </c>
      <c r="AL3173" s="1" t="s">
        <v>650</v>
      </c>
      <c r="AM3173" s="1" t="s">
        <v>651</v>
      </c>
      <c r="AN3173" s="1" t="s">
        <v>652</v>
      </c>
      <c r="AO3173" s="1" t="s">
        <v>20065</v>
      </c>
      <c r="AP3173" s="1" t="s">
        <v>34269</v>
      </c>
      <c r="AQ3173" s="1" t="s">
        <v>74</v>
      </c>
      <c r="AR3173" s="1" t="s">
        <v>20066</v>
      </c>
      <c r="AS3173" s="1" t="s">
        <v>20067</v>
      </c>
      <c r="AT3173" s="1" t="s">
        <v>3237</v>
      </c>
      <c r="AU3173" s="1">
        <v>2023</v>
      </c>
      <c r="AV3173" s="1">
        <v>199</v>
      </c>
      <c r="AW3173" s="1" t="s">
        <v>74</v>
      </c>
      <c r="AX3173" s="1" t="s">
        <v>74</v>
      </c>
      <c r="AY3173" s="1" t="s">
        <v>74</v>
      </c>
      <c r="AZ3173" s="1" t="s">
        <v>74</v>
      </c>
      <c r="BA3173" s="1" t="s">
        <v>74</v>
      </c>
      <c r="BB3173" s="1" t="s">
        <v>74</v>
      </c>
      <c r="BC3173" s="1" t="s">
        <v>74</v>
      </c>
      <c r="BD3173" s="1">
        <v>116762</v>
      </c>
      <c r="BE3173" s="1" t="s">
        <v>50381</v>
      </c>
      <c r="BF3173" s="1" t="str">
        <f>HYPERLINK("http://dx.doi.org/10.1016/j.indcrop.2023.116762","http://dx.doi.org/10.1016/j.indcrop.2023.116762")</f>
        <v>http://dx.doi.org/10.1016/j.indcrop.2023.116762</v>
      </c>
      <c r="BG3173" s="1" t="s">
        <v>74</v>
      </c>
      <c r="BH3173" s="1" t="s">
        <v>2540</v>
      </c>
      <c r="BI3173" s="1">
        <v>12</v>
      </c>
      <c r="BJ3173" s="1" t="s">
        <v>20071</v>
      </c>
      <c r="BK3173" s="1" t="s">
        <v>96</v>
      </c>
      <c r="BL3173" s="1" t="s">
        <v>4121</v>
      </c>
      <c r="BM3173" s="1" t="s">
        <v>50382</v>
      </c>
      <c r="BN3173" s="1" t="s">
        <v>74</v>
      </c>
      <c r="BO3173" s="1" t="s">
        <v>74</v>
      </c>
      <c r="BP3173" s="1" t="s">
        <v>74</v>
      </c>
      <c r="BQ3173" s="1" t="s">
        <v>74</v>
      </c>
      <c r="BR3173" s="1" t="s">
        <v>98</v>
      </c>
      <c r="BS3173" s="1" t="s">
        <v>50383</v>
      </c>
      <c r="BT3173" s="1" t="str">
        <f>HYPERLINK("https%3A%2F%2Fwww.webofscience.com%2Fwos%2Fwoscc%2Ffull-record%2FWOS:000984873700001","View Full Record in Web of Science")</f>
        <v>View Full Record in Web of Science</v>
      </c>
      <c r="BU3173" s="1"/>
      <c r="BV3173" s="1"/>
    </row>
    <row r="3174" spans="1:74">
      <c r="A3174" s="1" t="s">
        <v>72</v>
      </c>
      <c r="B3174" s="1" t="s">
        <v>50384</v>
      </c>
      <c r="C3174" s="1" t="s">
        <v>74</v>
      </c>
      <c r="D3174" s="1" t="s">
        <v>74</v>
      </c>
      <c r="E3174" s="1" t="s">
        <v>74</v>
      </c>
      <c r="F3174" s="1" t="s">
        <v>50384</v>
      </c>
      <c r="G3174" s="1" t="s">
        <v>74</v>
      </c>
      <c r="H3174" s="1" t="s">
        <v>74</v>
      </c>
      <c r="I3174" s="1" t="s">
        <v>50385</v>
      </c>
      <c r="J3174" s="1" t="s">
        <v>50386</v>
      </c>
      <c r="K3174" s="1" t="s">
        <v>74</v>
      </c>
      <c r="L3174" s="1" t="s">
        <v>74</v>
      </c>
      <c r="M3174" s="1" t="s">
        <v>78</v>
      </c>
      <c r="N3174" s="1" t="s">
        <v>151</v>
      </c>
      <c r="O3174" s="1" t="s">
        <v>50387</v>
      </c>
      <c r="P3174" s="1" t="s">
        <v>50388</v>
      </c>
      <c r="Q3174" s="1" t="s">
        <v>50389</v>
      </c>
      <c r="R3174" s="1" t="s">
        <v>74</v>
      </c>
      <c r="S3174" s="1" t="s">
        <v>74</v>
      </c>
      <c r="T3174" s="1" t="s">
        <v>50390</v>
      </c>
      <c r="U3174" s="1" t="s">
        <v>50391</v>
      </c>
      <c r="V3174" s="1" t="s">
        <v>50392</v>
      </c>
      <c r="W3174" s="1" t="s">
        <v>50393</v>
      </c>
      <c r="X3174" s="1" t="s">
        <v>41598</v>
      </c>
      <c r="Y3174" s="1" t="s">
        <v>50394</v>
      </c>
      <c r="Z3174" s="1" t="s">
        <v>74</v>
      </c>
      <c r="AA3174" s="1" t="s">
        <v>50395</v>
      </c>
      <c r="AB3174" s="1" t="s">
        <v>50396</v>
      </c>
      <c r="AC3174" s="1" t="s">
        <v>74</v>
      </c>
      <c r="AD3174" s="1" t="s">
        <v>74</v>
      </c>
      <c r="AE3174" s="1" t="s">
        <v>74</v>
      </c>
      <c r="AF3174" s="1" t="s">
        <v>74</v>
      </c>
      <c r="AG3174" s="1">
        <v>26</v>
      </c>
      <c r="AH3174" s="1">
        <v>73</v>
      </c>
      <c r="AI3174" s="1">
        <v>75</v>
      </c>
      <c r="AJ3174" s="1">
        <v>0</v>
      </c>
      <c r="AK3174" s="1">
        <v>11</v>
      </c>
      <c r="AL3174" s="1" t="s">
        <v>919</v>
      </c>
      <c r="AM3174" s="1" t="s">
        <v>651</v>
      </c>
      <c r="AN3174" s="1" t="s">
        <v>920</v>
      </c>
      <c r="AO3174" s="1" t="s">
        <v>42434</v>
      </c>
      <c r="AP3174" s="1" t="s">
        <v>74</v>
      </c>
      <c r="AQ3174" s="1" t="s">
        <v>74</v>
      </c>
      <c r="AR3174" s="1" t="s">
        <v>50397</v>
      </c>
      <c r="AS3174" s="1" t="s">
        <v>50398</v>
      </c>
      <c r="AT3174" s="1" t="s">
        <v>23382</v>
      </c>
      <c r="AU3174" s="1">
        <v>2000</v>
      </c>
      <c r="AV3174" s="1">
        <v>896</v>
      </c>
      <c r="AW3174" s="1" t="s">
        <v>326</v>
      </c>
      <c r="AX3174" s="1" t="s">
        <v>74</v>
      </c>
      <c r="AY3174" s="1" t="s">
        <v>74</v>
      </c>
      <c r="AZ3174" s="1" t="s">
        <v>74</v>
      </c>
      <c r="BA3174" s="1" t="s">
        <v>74</v>
      </c>
      <c r="BB3174" s="1">
        <v>149</v>
      </c>
      <c r="BC3174" s="1">
        <v>158</v>
      </c>
      <c r="BD3174" s="1" t="s">
        <v>74</v>
      </c>
      <c r="BE3174" s="1" t="s">
        <v>50399</v>
      </c>
      <c r="BF3174" s="1" t="str">
        <f>HYPERLINK("http://dx.doi.org/10.1016/S0021-9673(00)00595-1","http://dx.doi.org/10.1016/S0021-9673(00)00595-1")</f>
        <v>http://dx.doi.org/10.1016/S0021-9673(00)00595-1</v>
      </c>
      <c r="BG3174" s="1" t="s">
        <v>74</v>
      </c>
      <c r="BH3174" s="1" t="s">
        <v>74</v>
      </c>
      <c r="BI3174" s="1">
        <v>10</v>
      </c>
      <c r="BJ3174" s="1" t="s">
        <v>14155</v>
      </c>
      <c r="BK3174" s="1" t="s">
        <v>588</v>
      </c>
      <c r="BL3174" s="1" t="s">
        <v>2153</v>
      </c>
      <c r="BM3174" s="1" t="s">
        <v>50400</v>
      </c>
      <c r="BN3174" s="1">
        <v>11093650</v>
      </c>
      <c r="BO3174" s="1" t="s">
        <v>74</v>
      </c>
      <c r="BP3174" s="1" t="s">
        <v>74</v>
      </c>
      <c r="BQ3174" s="1" t="s">
        <v>74</v>
      </c>
      <c r="BR3174" s="1" t="s">
        <v>98</v>
      </c>
      <c r="BS3174" s="1" t="s">
        <v>50401</v>
      </c>
      <c r="BT3174" s="1" t="str">
        <f>HYPERLINK("https%3A%2F%2Fwww.webofscience.com%2Fwos%2Fwoscc%2Ffull-record%2FWOS:000090029400017","View Full Record in Web of Science")</f>
        <v>View Full Record in Web of Science</v>
      </c>
      <c r="BU3174" s="1"/>
      <c r="BV3174" s="1"/>
    </row>
    <row r="3175" spans="1:74">
      <c r="A3175" s="1" t="s">
        <v>72</v>
      </c>
      <c r="B3175" s="1" t="s">
        <v>50402</v>
      </c>
      <c r="C3175" s="1" t="s">
        <v>74</v>
      </c>
      <c r="D3175" s="1" t="s">
        <v>74</v>
      </c>
      <c r="E3175" s="1" t="s">
        <v>74</v>
      </c>
      <c r="F3175" s="1" t="s">
        <v>50403</v>
      </c>
      <c r="G3175" s="1" t="s">
        <v>74</v>
      </c>
      <c r="H3175" s="1" t="s">
        <v>74</v>
      </c>
      <c r="I3175" s="1" t="s">
        <v>50404</v>
      </c>
      <c r="J3175" s="1" t="s">
        <v>232</v>
      </c>
      <c r="K3175" s="1" t="s">
        <v>74</v>
      </c>
      <c r="L3175" s="1" t="s">
        <v>74</v>
      </c>
      <c r="M3175" s="1" t="s">
        <v>78</v>
      </c>
      <c r="N3175" s="1" t="s">
        <v>79</v>
      </c>
      <c r="O3175" s="1" t="s">
        <v>74</v>
      </c>
      <c r="P3175" s="1" t="s">
        <v>74</v>
      </c>
      <c r="Q3175" s="1" t="s">
        <v>74</v>
      </c>
      <c r="R3175" s="1" t="s">
        <v>74</v>
      </c>
      <c r="S3175" s="1" t="s">
        <v>74</v>
      </c>
      <c r="T3175" s="1" t="s">
        <v>50405</v>
      </c>
      <c r="U3175" s="1" t="s">
        <v>50406</v>
      </c>
      <c r="V3175" s="1" t="s">
        <v>50407</v>
      </c>
      <c r="W3175" s="1" t="s">
        <v>50408</v>
      </c>
      <c r="X3175" s="1" t="s">
        <v>50409</v>
      </c>
      <c r="Y3175" s="1" t="s">
        <v>50410</v>
      </c>
      <c r="Z3175" s="1" t="s">
        <v>50411</v>
      </c>
      <c r="AA3175" s="1" t="s">
        <v>50412</v>
      </c>
      <c r="AB3175" s="1" t="s">
        <v>50413</v>
      </c>
      <c r="AC3175" s="1" t="s">
        <v>50414</v>
      </c>
      <c r="AD3175" s="1" t="s">
        <v>50415</v>
      </c>
      <c r="AE3175" s="1" t="s">
        <v>50416</v>
      </c>
      <c r="AF3175" s="1" t="s">
        <v>74</v>
      </c>
      <c r="AG3175" s="1">
        <v>80</v>
      </c>
      <c r="AH3175" s="1">
        <v>4</v>
      </c>
      <c r="AI3175" s="1">
        <v>7</v>
      </c>
      <c r="AJ3175" s="1">
        <v>1</v>
      </c>
      <c r="AK3175" s="1">
        <v>27</v>
      </c>
      <c r="AL3175" s="1" t="s">
        <v>136</v>
      </c>
      <c r="AM3175" s="1" t="s">
        <v>137</v>
      </c>
      <c r="AN3175" s="1" t="s">
        <v>138</v>
      </c>
      <c r="AO3175" s="1" t="s">
        <v>240</v>
      </c>
      <c r="AP3175" s="1" t="s">
        <v>241</v>
      </c>
      <c r="AQ3175" s="1" t="s">
        <v>74</v>
      </c>
      <c r="AR3175" s="1" t="s">
        <v>242</v>
      </c>
      <c r="AS3175" s="1" t="s">
        <v>243</v>
      </c>
      <c r="AT3175" s="1" t="s">
        <v>1965</v>
      </c>
      <c r="AU3175" s="1">
        <v>2017</v>
      </c>
      <c r="AV3175" s="1">
        <v>125</v>
      </c>
      <c r="AW3175" s="1" t="s">
        <v>326</v>
      </c>
      <c r="AX3175" s="1" t="s">
        <v>74</v>
      </c>
      <c r="AY3175" s="1" t="s">
        <v>74</v>
      </c>
      <c r="AZ3175" s="1" t="s">
        <v>74</v>
      </c>
      <c r="BA3175" s="1" t="s">
        <v>74</v>
      </c>
      <c r="BB3175" s="1">
        <v>157</v>
      </c>
      <c r="BC3175" s="1">
        <v>165</v>
      </c>
      <c r="BD3175" s="1" t="s">
        <v>74</v>
      </c>
      <c r="BE3175" s="1" t="s">
        <v>50417</v>
      </c>
      <c r="BF3175" s="1" t="str">
        <f>HYPERLINK("http://dx.doi.org/10.1016/j.marpolbul.2017.08.014","http://dx.doi.org/10.1016/j.marpolbul.2017.08.014")</f>
        <v>http://dx.doi.org/10.1016/j.marpolbul.2017.08.014</v>
      </c>
      <c r="BG3175" s="1" t="s">
        <v>74</v>
      </c>
      <c r="BH3175" s="1" t="s">
        <v>74</v>
      </c>
      <c r="BI3175" s="1">
        <v>9</v>
      </c>
      <c r="BJ3175" s="1" t="s">
        <v>247</v>
      </c>
      <c r="BK3175" s="1" t="s">
        <v>96</v>
      </c>
      <c r="BL3175" s="1" t="s">
        <v>248</v>
      </c>
      <c r="BM3175" s="1" t="s">
        <v>12021</v>
      </c>
      <c r="BN3175" s="1">
        <v>28811037</v>
      </c>
      <c r="BO3175" s="1" t="s">
        <v>74</v>
      </c>
      <c r="BP3175" s="1" t="s">
        <v>74</v>
      </c>
      <c r="BQ3175" s="1" t="s">
        <v>74</v>
      </c>
      <c r="BR3175" s="1" t="s">
        <v>98</v>
      </c>
      <c r="BS3175" s="1" t="s">
        <v>50418</v>
      </c>
      <c r="BT3175" s="1" t="str">
        <f>HYPERLINK("https%3A%2F%2Fwww.webofscience.com%2Fwos%2Fwoscc%2Ffull-record%2FWOS:000418727000030","View Full Record in Web of Science")</f>
        <v>View Full Record in Web of Science</v>
      </c>
      <c r="BU3175" s="1"/>
      <c r="BV3175" s="1"/>
    </row>
    <row r="3176" spans="1:74">
      <c r="A3176" s="1" t="s">
        <v>72</v>
      </c>
      <c r="B3176" s="1" t="s">
        <v>50419</v>
      </c>
      <c r="C3176" s="1" t="s">
        <v>74</v>
      </c>
      <c r="D3176" s="1" t="s">
        <v>74</v>
      </c>
      <c r="E3176" s="1" t="s">
        <v>74</v>
      </c>
      <c r="F3176" s="1" t="s">
        <v>50420</v>
      </c>
      <c r="G3176" s="1" t="s">
        <v>74</v>
      </c>
      <c r="H3176" s="1" t="s">
        <v>74</v>
      </c>
      <c r="I3176" s="1" t="s">
        <v>50421</v>
      </c>
      <c r="J3176" s="1" t="s">
        <v>998</v>
      </c>
      <c r="K3176" s="1" t="s">
        <v>74</v>
      </c>
      <c r="L3176" s="1" t="s">
        <v>74</v>
      </c>
      <c r="M3176" s="1" t="s">
        <v>78</v>
      </c>
      <c r="N3176" s="1" t="s">
        <v>79</v>
      </c>
      <c r="O3176" s="1" t="s">
        <v>74</v>
      </c>
      <c r="P3176" s="1" t="s">
        <v>74</v>
      </c>
      <c r="Q3176" s="1" t="s">
        <v>74</v>
      </c>
      <c r="R3176" s="1" t="s">
        <v>74</v>
      </c>
      <c r="S3176" s="1" t="s">
        <v>74</v>
      </c>
      <c r="T3176" s="1" t="s">
        <v>74</v>
      </c>
      <c r="U3176" s="1" t="s">
        <v>50422</v>
      </c>
      <c r="V3176" s="1" t="s">
        <v>50423</v>
      </c>
      <c r="W3176" s="1" t="s">
        <v>50424</v>
      </c>
      <c r="X3176" s="1" t="s">
        <v>46651</v>
      </c>
      <c r="Y3176" s="1" t="s">
        <v>46652</v>
      </c>
      <c r="Z3176" s="1" t="s">
        <v>46653</v>
      </c>
      <c r="AA3176" s="1" t="s">
        <v>50425</v>
      </c>
      <c r="AB3176" s="1" t="s">
        <v>46655</v>
      </c>
      <c r="AC3176" s="1" t="s">
        <v>50426</v>
      </c>
      <c r="AD3176" s="1" t="s">
        <v>50427</v>
      </c>
      <c r="AE3176" s="1" t="s">
        <v>50428</v>
      </c>
      <c r="AF3176" s="1" t="s">
        <v>74</v>
      </c>
      <c r="AG3176" s="1">
        <v>32</v>
      </c>
      <c r="AH3176" s="1">
        <v>0</v>
      </c>
      <c r="AI3176" s="1">
        <v>1</v>
      </c>
      <c r="AJ3176" s="1">
        <v>0</v>
      </c>
      <c r="AK3176" s="1">
        <v>13</v>
      </c>
      <c r="AL3176" s="1" t="s">
        <v>112</v>
      </c>
      <c r="AM3176" s="1" t="s">
        <v>113</v>
      </c>
      <c r="AN3176" s="1" t="s">
        <v>114</v>
      </c>
      <c r="AO3176" s="1" t="s">
        <v>1009</v>
      </c>
      <c r="AP3176" s="1" t="s">
        <v>5996</v>
      </c>
      <c r="AQ3176" s="1" t="s">
        <v>74</v>
      </c>
      <c r="AR3176" s="1" t="s">
        <v>1010</v>
      </c>
      <c r="AS3176" s="1" t="s">
        <v>1011</v>
      </c>
      <c r="AT3176" s="1" t="s">
        <v>1470</v>
      </c>
      <c r="AU3176" s="1">
        <v>2020</v>
      </c>
      <c r="AV3176" s="1">
        <v>78</v>
      </c>
      <c r="AW3176" s="1">
        <v>1</v>
      </c>
      <c r="AX3176" s="1" t="s">
        <v>74</v>
      </c>
      <c r="AY3176" s="1" t="s">
        <v>74</v>
      </c>
      <c r="AZ3176" s="1" t="s">
        <v>74</v>
      </c>
      <c r="BA3176" s="1" t="s">
        <v>74</v>
      </c>
      <c r="BB3176" s="1">
        <v>149</v>
      </c>
      <c r="BC3176" s="1">
        <v>162</v>
      </c>
      <c r="BD3176" s="1" t="s">
        <v>74</v>
      </c>
      <c r="BE3176" s="1" t="s">
        <v>50429</v>
      </c>
      <c r="BF3176" s="1" t="str">
        <f>HYPERLINK("http://dx.doi.org/10.1007/s00244-019-00695-w","http://dx.doi.org/10.1007/s00244-019-00695-w")</f>
        <v>http://dx.doi.org/10.1007/s00244-019-00695-w</v>
      </c>
      <c r="BG3176" s="1" t="s">
        <v>74</v>
      </c>
      <c r="BH3176" s="1" t="s">
        <v>17440</v>
      </c>
      <c r="BI3176" s="1">
        <v>14</v>
      </c>
      <c r="BJ3176" s="1" t="s">
        <v>121</v>
      </c>
      <c r="BK3176" s="1" t="s">
        <v>96</v>
      </c>
      <c r="BL3176" s="1" t="s">
        <v>122</v>
      </c>
      <c r="BM3176" s="1" t="s">
        <v>50430</v>
      </c>
      <c r="BN3176" s="1">
        <v>31873759</v>
      </c>
      <c r="BO3176" s="1" t="s">
        <v>74</v>
      </c>
      <c r="BP3176" s="1" t="s">
        <v>74</v>
      </c>
      <c r="BQ3176" s="1" t="s">
        <v>74</v>
      </c>
      <c r="BR3176" s="1" t="s">
        <v>98</v>
      </c>
      <c r="BS3176" s="1" t="s">
        <v>50431</v>
      </c>
      <c r="BT3176" s="1" t="str">
        <f>HYPERLINK("https%3A%2F%2Fwww.webofscience.com%2Fwos%2Fwoscc%2Ffull-record%2FWOS:000504134300001","View Full Record in Web of Science")</f>
        <v>View Full Record in Web of Science</v>
      </c>
      <c r="BU3176" s="1"/>
      <c r="BV3176" s="1"/>
    </row>
    <row r="3177" spans="1:74">
      <c r="A3177" s="1" t="s">
        <v>72</v>
      </c>
      <c r="B3177" s="1" t="s">
        <v>50432</v>
      </c>
      <c r="C3177" s="1" t="s">
        <v>74</v>
      </c>
      <c r="D3177" s="1" t="s">
        <v>74</v>
      </c>
      <c r="E3177" s="1" t="s">
        <v>74</v>
      </c>
      <c r="F3177" s="1" t="s">
        <v>50433</v>
      </c>
      <c r="G3177" s="1" t="s">
        <v>74</v>
      </c>
      <c r="H3177" s="1" t="s">
        <v>74</v>
      </c>
      <c r="I3177" s="1" t="s">
        <v>50434</v>
      </c>
      <c r="J3177" s="1" t="s">
        <v>6325</v>
      </c>
      <c r="K3177" s="1" t="s">
        <v>74</v>
      </c>
      <c r="L3177" s="1" t="s">
        <v>74</v>
      </c>
      <c r="M3177" s="1" t="s">
        <v>78</v>
      </c>
      <c r="N3177" s="1" t="s">
        <v>151</v>
      </c>
      <c r="O3177" s="1" t="s">
        <v>50435</v>
      </c>
      <c r="P3177" s="1" t="s">
        <v>50436</v>
      </c>
      <c r="Q3177" s="1" t="s">
        <v>50437</v>
      </c>
      <c r="R3177" s="1" t="s">
        <v>74</v>
      </c>
      <c r="S3177" s="1" t="s">
        <v>74</v>
      </c>
      <c r="T3177" s="1" t="s">
        <v>50438</v>
      </c>
      <c r="U3177" s="1" t="s">
        <v>50439</v>
      </c>
      <c r="V3177" s="1" t="s">
        <v>50440</v>
      </c>
      <c r="W3177" s="1" t="s">
        <v>50441</v>
      </c>
      <c r="X3177" s="1" t="s">
        <v>50442</v>
      </c>
      <c r="Y3177" s="1" t="s">
        <v>50443</v>
      </c>
      <c r="Z3177" s="1" t="s">
        <v>50444</v>
      </c>
      <c r="AA3177" s="1" t="s">
        <v>50445</v>
      </c>
      <c r="AB3177" s="1" t="s">
        <v>74</v>
      </c>
      <c r="AC3177" s="1" t="s">
        <v>50446</v>
      </c>
      <c r="AD3177" s="1" t="s">
        <v>50447</v>
      </c>
      <c r="AE3177" s="1" t="s">
        <v>50448</v>
      </c>
      <c r="AF3177" s="1" t="s">
        <v>74</v>
      </c>
      <c r="AG3177" s="1">
        <v>37</v>
      </c>
      <c r="AH3177" s="1">
        <v>54</v>
      </c>
      <c r="AI3177" s="1">
        <v>60</v>
      </c>
      <c r="AJ3177" s="1">
        <v>7</v>
      </c>
      <c r="AK3177" s="1">
        <v>90</v>
      </c>
      <c r="AL3177" s="1" t="s">
        <v>4471</v>
      </c>
      <c r="AM3177" s="1" t="s">
        <v>4472</v>
      </c>
      <c r="AN3177" s="1" t="s">
        <v>4473</v>
      </c>
      <c r="AO3177" s="1" t="s">
        <v>6334</v>
      </c>
      <c r="AP3177" s="1" t="s">
        <v>35154</v>
      </c>
      <c r="AQ3177" s="1" t="s">
        <v>74</v>
      </c>
      <c r="AR3177" s="1" t="s">
        <v>6335</v>
      </c>
      <c r="AS3177" s="1" t="s">
        <v>6336</v>
      </c>
      <c r="AT3177" s="1" t="s">
        <v>6805</v>
      </c>
      <c r="AU3177" s="1">
        <v>2018</v>
      </c>
      <c r="AV3177" s="1">
        <v>66</v>
      </c>
      <c r="AW3177" s="1">
        <v>26</v>
      </c>
      <c r="AX3177" s="1" t="s">
        <v>74</v>
      </c>
      <c r="AY3177" s="1" t="s">
        <v>74</v>
      </c>
      <c r="AZ3177" s="1" t="s">
        <v>74</v>
      </c>
      <c r="BA3177" s="1" t="s">
        <v>74</v>
      </c>
      <c r="BB3177" s="1">
        <v>6578</v>
      </c>
      <c r="BC3177" s="1">
        <v>6584</v>
      </c>
      <c r="BD3177" s="1" t="s">
        <v>74</v>
      </c>
      <c r="BE3177" s="1" t="s">
        <v>50449</v>
      </c>
      <c r="BF3177" s="1" t="str">
        <f>HYPERLINK("http://dx.doi.org/10.1021/acs.jafc.7b01998","http://dx.doi.org/10.1021/acs.jafc.7b01998")</f>
        <v>http://dx.doi.org/10.1021/acs.jafc.7b01998</v>
      </c>
      <c r="BG3177" s="1" t="s">
        <v>74</v>
      </c>
      <c r="BH3177" s="1" t="s">
        <v>74</v>
      </c>
      <c r="BI3177" s="1">
        <v>7</v>
      </c>
      <c r="BJ3177" s="1" t="s">
        <v>6339</v>
      </c>
      <c r="BK3177" s="1" t="s">
        <v>172</v>
      </c>
      <c r="BL3177" s="1" t="s">
        <v>6340</v>
      </c>
      <c r="BM3177" s="1" t="s">
        <v>50450</v>
      </c>
      <c r="BN3177" s="1">
        <v>28727420</v>
      </c>
      <c r="BO3177" s="1" t="s">
        <v>74</v>
      </c>
      <c r="BP3177" s="1" t="s">
        <v>74</v>
      </c>
      <c r="BQ3177" s="1" t="s">
        <v>74</v>
      </c>
      <c r="BR3177" s="1" t="s">
        <v>98</v>
      </c>
      <c r="BS3177" s="1" t="s">
        <v>50451</v>
      </c>
      <c r="BT3177" s="1" t="str">
        <f>HYPERLINK("https%3A%2F%2Fwww.webofscience.com%2Fwos%2Fwoscc%2Ffull-record%2FWOS:000438312200014","View Full Record in Web of Science")</f>
        <v>View Full Record in Web of Science</v>
      </c>
      <c r="BU3177" s="1"/>
      <c r="BV3177" s="1"/>
    </row>
    <row r="3178" spans="1:74">
      <c r="A3178" s="1" t="s">
        <v>72</v>
      </c>
      <c r="B3178" s="1" t="s">
        <v>50452</v>
      </c>
      <c r="C3178" s="1" t="s">
        <v>74</v>
      </c>
      <c r="D3178" s="1" t="s">
        <v>74</v>
      </c>
      <c r="E3178" s="1" t="s">
        <v>74</v>
      </c>
      <c r="F3178" s="1" t="s">
        <v>50453</v>
      </c>
      <c r="G3178" s="1" t="s">
        <v>74</v>
      </c>
      <c r="H3178" s="1" t="s">
        <v>74</v>
      </c>
      <c r="I3178" s="1" t="s">
        <v>50454</v>
      </c>
      <c r="J3178" s="1" t="s">
        <v>421</v>
      </c>
      <c r="K3178" s="1" t="s">
        <v>74</v>
      </c>
      <c r="L3178" s="1" t="s">
        <v>74</v>
      </c>
      <c r="M3178" s="1" t="s">
        <v>78</v>
      </c>
      <c r="N3178" s="1" t="s">
        <v>79</v>
      </c>
      <c r="O3178" s="1" t="s">
        <v>74</v>
      </c>
      <c r="P3178" s="1" t="s">
        <v>74</v>
      </c>
      <c r="Q3178" s="1" t="s">
        <v>74</v>
      </c>
      <c r="R3178" s="1" t="s">
        <v>74</v>
      </c>
      <c r="S3178" s="1" t="s">
        <v>74</v>
      </c>
      <c r="T3178" s="1" t="s">
        <v>50455</v>
      </c>
      <c r="U3178" s="1" t="s">
        <v>50456</v>
      </c>
      <c r="V3178" s="1" t="s">
        <v>50457</v>
      </c>
      <c r="W3178" s="1" t="s">
        <v>50458</v>
      </c>
      <c r="X3178" s="1" t="s">
        <v>50459</v>
      </c>
      <c r="Y3178" s="1" t="s">
        <v>50460</v>
      </c>
      <c r="Z3178" s="1" t="s">
        <v>50461</v>
      </c>
      <c r="AA3178" s="1" t="s">
        <v>74</v>
      </c>
      <c r="AB3178" s="1" t="s">
        <v>26677</v>
      </c>
      <c r="AC3178" s="1" t="s">
        <v>50462</v>
      </c>
      <c r="AD3178" s="1" t="s">
        <v>50463</v>
      </c>
      <c r="AE3178" s="1" t="s">
        <v>50464</v>
      </c>
      <c r="AF3178" s="1" t="s">
        <v>74</v>
      </c>
      <c r="AG3178" s="1">
        <v>42</v>
      </c>
      <c r="AH3178" s="1">
        <v>57</v>
      </c>
      <c r="AI3178" s="1">
        <v>59</v>
      </c>
      <c r="AJ3178" s="1">
        <v>0</v>
      </c>
      <c r="AK3178" s="1">
        <v>40</v>
      </c>
      <c r="AL3178" s="1" t="s">
        <v>430</v>
      </c>
      <c r="AM3178" s="1" t="s">
        <v>137</v>
      </c>
      <c r="AN3178" s="1" t="s">
        <v>431</v>
      </c>
      <c r="AO3178" s="1" t="s">
        <v>432</v>
      </c>
      <c r="AP3178" s="1" t="s">
        <v>1394</v>
      </c>
      <c r="AQ3178" s="1" t="s">
        <v>74</v>
      </c>
      <c r="AR3178" s="1" t="s">
        <v>433</v>
      </c>
      <c r="AS3178" s="1" t="s">
        <v>434</v>
      </c>
      <c r="AT3178" s="1" t="s">
        <v>142</v>
      </c>
      <c r="AU3178" s="1">
        <v>2011</v>
      </c>
      <c r="AV3178" s="1">
        <v>159</v>
      </c>
      <c r="AW3178" s="1">
        <v>6</v>
      </c>
      <c r="AX3178" s="1" t="s">
        <v>74</v>
      </c>
      <c r="AY3178" s="1" t="s">
        <v>74</v>
      </c>
      <c r="AZ3178" s="1" t="s">
        <v>74</v>
      </c>
      <c r="BA3178" s="1" t="s">
        <v>74</v>
      </c>
      <c r="BB3178" s="1">
        <v>1682</v>
      </c>
      <c r="BC3178" s="1">
        <v>1691</v>
      </c>
      <c r="BD3178" s="1" t="s">
        <v>74</v>
      </c>
      <c r="BE3178" s="1" t="s">
        <v>50465</v>
      </c>
      <c r="BF3178" s="1" t="str">
        <f>HYPERLINK("http://dx.doi.org/10.1016/j.envpol.2011.02.038","http://dx.doi.org/10.1016/j.envpol.2011.02.038")</f>
        <v>http://dx.doi.org/10.1016/j.envpol.2011.02.038</v>
      </c>
      <c r="BG3178" s="1" t="s">
        <v>74</v>
      </c>
      <c r="BH3178" s="1" t="s">
        <v>74</v>
      </c>
      <c r="BI3178" s="1">
        <v>10</v>
      </c>
      <c r="BJ3178" s="1" t="s">
        <v>144</v>
      </c>
      <c r="BK3178" s="1" t="s">
        <v>96</v>
      </c>
      <c r="BL3178" s="1" t="s">
        <v>145</v>
      </c>
      <c r="BM3178" s="1" t="s">
        <v>20599</v>
      </c>
      <c r="BN3178" s="1">
        <v>21421282</v>
      </c>
      <c r="BO3178" s="1" t="s">
        <v>74</v>
      </c>
      <c r="BP3178" s="1" t="s">
        <v>74</v>
      </c>
      <c r="BQ3178" s="1" t="s">
        <v>74</v>
      </c>
      <c r="BR3178" s="1" t="s">
        <v>98</v>
      </c>
      <c r="BS3178" s="1" t="s">
        <v>50466</v>
      </c>
      <c r="BT3178" s="1" t="str">
        <f>HYPERLINK("https%3A%2F%2Fwww.webofscience.com%2Fwos%2Fwoscc%2Ffull-record%2FWOS:000290839900029","View Full Record in Web of Science")</f>
        <v>View Full Record in Web of Science</v>
      </c>
      <c r="BU3178" s="1"/>
      <c r="BV3178" s="1"/>
    </row>
    <row r="3179" spans="1:74">
      <c r="A3179" s="1" t="s">
        <v>72</v>
      </c>
      <c r="B3179" s="1" t="s">
        <v>50467</v>
      </c>
      <c r="C3179" s="1" t="s">
        <v>74</v>
      </c>
      <c r="D3179" s="1" t="s">
        <v>74</v>
      </c>
      <c r="E3179" s="1" t="s">
        <v>74</v>
      </c>
      <c r="F3179" s="1" t="s">
        <v>50468</v>
      </c>
      <c r="G3179" s="1" t="s">
        <v>74</v>
      </c>
      <c r="H3179" s="1" t="s">
        <v>74</v>
      </c>
      <c r="I3179" s="1" t="s">
        <v>50469</v>
      </c>
      <c r="J3179" s="1" t="s">
        <v>752</v>
      </c>
      <c r="K3179" s="1" t="s">
        <v>74</v>
      </c>
      <c r="L3179" s="1" t="s">
        <v>74</v>
      </c>
      <c r="M3179" s="1" t="s">
        <v>78</v>
      </c>
      <c r="N3179" s="1" t="s">
        <v>79</v>
      </c>
      <c r="O3179" s="1" t="s">
        <v>74</v>
      </c>
      <c r="P3179" s="1" t="s">
        <v>74</v>
      </c>
      <c r="Q3179" s="1" t="s">
        <v>74</v>
      </c>
      <c r="R3179" s="1" t="s">
        <v>74</v>
      </c>
      <c r="S3179" s="1" t="s">
        <v>74</v>
      </c>
      <c r="T3179" s="1" t="s">
        <v>50470</v>
      </c>
      <c r="U3179" s="1" t="s">
        <v>50471</v>
      </c>
      <c r="V3179" s="1" t="s">
        <v>50472</v>
      </c>
      <c r="W3179" s="1" t="s">
        <v>50473</v>
      </c>
      <c r="X3179" s="1" t="s">
        <v>50474</v>
      </c>
      <c r="Y3179" s="1" t="s">
        <v>50475</v>
      </c>
      <c r="Z3179" s="1" t="s">
        <v>50476</v>
      </c>
      <c r="AA3179" s="1" t="s">
        <v>74</v>
      </c>
      <c r="AB3179" s="1" t="s">
        <v>50477</v>
      </c>
      <c r="AC3179" s="1" t="s">
        <v>50478</v>
      </c>
      <c r="AD3179" s="1" t="s">
        <v>50478</v>
      </c>
      <c r="AE3179" s="1" t="s">
        <v>50479</v>
      </c>
      <c r="AF3179" s="1" t="s">
        <v>74</v>
      </c>
      <c r="AG3179" s="1">
        <v>60</v>
      </c>
      <c r="AH3179" s="1">
        <v>0</v>
      </c>
      <c r="AI3179" s="1">
        <v>0</v>
      </c>
      <c r="AJ3179" s="1">
        <v>1</v>
      </c>
      <c r="AK3179" s="1">
        <v>2</v>
      </c>
      <c r="AL3179" s="1" t="s">
        <v>430</v>
      </c>
      <c r="AM3179" s="1" t="s">
        <v>7361</v>
      </c>
      <c r="AN3179" s="1" t="s">
        <v>7362</v>
      </c>
      <c r="AO3179" s="1" t="s">
        <v>761</v>
      </c>
      <c r="AP3179" s="1" t="s">
        <v>762</v>
      </c>
      <c r="AQ3179" s="1" t="s">
        <v>74</v>
      </c>
      <c r="AR3179" s="1" t="s">
        <v>763</v>
      </c>
      <c r="AS3179" s="1" t="s">
        <v>764</v>
      </c>
      <c r="AT3179" s="1" t="s">
        <v>93</v>
      </c>
      <c r="AU3179" s="1">
        <v>2024</v>
      </c>
      <c r="AV3179" s="1">
        <v>196</v>
      </c>
      <c r="AW3179" s="1" t="s">
        <v>74</v>
      </c>
      <c r="AX3179" s="1" t="s">
        <v>74</v>
      </c>
      <c r="AY3179" s="1" t="s">
        <v>74</v>
      </c>
      <c r="AZ3179" s="1" t="s">
        <v>74</v>
      </c>
      <c r="BA3179" s="1" t="s">
        <v>74</v>
      </c>
      <c r="BB3179" s="1" t="s">
        <v>74</v>
      </c>
      <c r="BC3179" s="1" t="s">
        <v>74</v>
      </c>
      <c r="BD3179" s="1">
        <v>106424</v>
      </c>
      <c r="BE3179" s="1" t="s">
        <v>50480</v>
      </c>
      <c r="BF3179" s="1" t="str">
        <f>HYPERLINK("http://dx.doi.org/10.1016/j.marenvres.2024.106424","http://dx.doi.org/10.1016/j.marenvres.2024.106424")</f>
        <v>http://dx.doi.org/10.1016/j.marenvres.2024.106424</v>
      </c>
      <c r="BG3179" s="1" t="s">
        <v>74</v>
      </c>
      <c r="BH3179" s="1" t="s">
        <v>2782</v>
      </c>
      <c r="BI3179" s="1">
        <v>8</v>
      </c>
      <c r="BJ3179" s="1" t="s">
        <v>768</v>
      </c>
      <c r="BK3179" s="1" t="s">
        <v>96</v>
      </c>
      <c r="BL3179" s="1" t="s">
        <v>769</v>
      </c>
      <c r="BM3179" s="1" t="s">
        <v>50481</v>
      </c>
      <c r="BN3179" s="1">
        <v>38428315</v>
      </c>
      <c r="BO3179" s="1" t="s">
        <v>74</v>
      </c>
      <c r="BP3179" s="1" t="s">
        <v>74</v>
      </c>
      <c r="BQ3179" s="1" t="s">
        <v>74</v>
      </c>
      <c r="BR3179" s="1" t="s">
        <v>98</v>
      </c>
      <c r="BS3179" s="1" t="s">
        <v>50482</v>
      </c>
      <c r="BT3179" s="1" t="str">
        <f>HYPERLINK("https%3A%2F%2Fwww.webofscience.com%2Fwos%2Fwoscc%2Ffull-record%2FWOS:001209952700001","View Full Record in Web of Science")</f>
        <v>View Full Record in Web of Science</v>
      </c>
      <c r="BU3179" s="1"/>
      <c r="BV3179" s="1"/>
    </row>
    <row r="3180" spans="1:74">
      <c r="A3180" s="1" t="s">
        <v>72</v>
      </c>
      <c r="B3180" s="1" t="s">
        <v>50483</v>
      </c>
      <c r="C3180" s="1" t="s">
        <v>74</v>
      </c>
      <c r="D3180" s="1" t="s">
        <v>74</v>
      </c>
      <c r="E3180" s="1" t="s">
        <v>74</v>
      </c>
      <c r="F3180" s="1" t="s">
        <v>50484</v>
      </c>
      <c r="G3180" s="1" t="s">
        <v>74</v>
      </c>
      <c r="H3180" s="1" t="s">
        <v>74</v>
      </c>
      <c r="I3180" s="1" t="s">
        <v>50485</v>
      </c>
      <c r="J3180" s="1" t="s">
        <v>909</v>
      </c>
      <c r="K3180" s="1" t="s">
        <v>74</v>
      </c>
      <c r="L3180" s="1" t="s">
        <v>74</v>
      </c>
      <c r="M3180" s="1" t="s">
        <v>78</v>
      </c>
      <c r="N3180" s="1" t="s">
        <v>79</v>
      </c>
      <c r="O3180" s="1" t="s">
        <v>74</v>
      </c>
      <c r="P3180" s="1" t="s">
        <v>74</v>
      </c>
      <c r="Q3180" s="1" t="s">
        <v>74</v>
      </c>
      <c r="R3180" s="1" t="s">
        <v>74</v>
      </c>
      <c r="S3180" s="1" t="s">
        <v>74</v>
      </c>
      <c r="T3180" s="1" t="s">
        <v>50486</v>
      </c>
      <c r="U3180" s="1" t="s">
        <v>50487</v>
      </c>
      <c r="V3180" s="1" t="s">
        <v>50488</v>
      </c>
      <c r="W3180" s="1" t="s">
        <v>50489</v>
      </c>
      <c r="X3180" s="1" t="s">
        <v>50490</v>
      </c>
      <c r="Y3180" s="1" t="s">
        <v>50491</v>
      </c>
      <c r="Z3180" s="1" t="s">
        <v>50492</v>
      </c>
      <c r="AA3180" s="1" t="s">
        <v>50493</v>
      </c>
      <c r="AB3180" s="1" t="s">
        <v>50494</v>
      </c>
      <c r="AC3180" s="1" t="s">
        <v>50495</v>
      </c>
      <c r="AD3180" s="1" t="s">
        <v>50496</v>
      </c>
      <c r="AE3180" s="1" t="s">
        <v>50497</v>
      </c>
      <c r="AF3180" s="1" t="s">
        <v>74</v>
      </c>
      <c r="AG3180" s="1">
        <v>67</v>
      </c>
      <c r="AH3180" s="1">
        <v>106</v>
      </c>
      <c r="AI3180" s="1">
        <v>114</v>
      </c>
      <c r="AJ3180" s="1">
        <v>20</v>
      </c>
      <c r="AK3180" s="1">
        <v>331</v>
      </c>
      <c r="AL3180" s="1" t="s">
        <v>650</v>
      </c>
      <c r="AM3180" s="1" t="s">
        <v>651</v>
      </c>
      <c r="AN3180" s="1" t="s">
        <v>652</v>
      </c>
      <c r="AO3180" s="1" t="s">
        <v>921</v>
      </c>
      <c r="AP3180" s="1" t="s">
        <v>922</v>
      </c>
      <c r="AQ3180" s="1" t="s">
        <v>74</v>
      </c>
      <c r="AR3180" s="1" t="s">
        <v>923</v>
      </c>
      <c r="AS3180" s="1" t="s">
        <v>924</v>
      </c>
      <c r="AT3180" s="1" t="s">
        <v>15610</v>
      </c>
      <c r="AU3180" s="1">
        <v>2021</v>
      </c>
      <c r="AV3180" s="1">
        <v>754</v>
      </c>
      <c r="AW3180" s="1" t="s">
        <v>74</v>
      </c>
      <c r="AX3180" s="1" t="s">
        <v>74</v>
      </c>
      <c r="AY3180" s="1" t="s">
        <v>74</v>
      </c>
      <c r="AZ3180" s="1" t="s">
        <v>74</v>
      </c>
      <c r="BA3180" s="1" t="s">
        <v>74</v>
      </c>
      <c r="BB3180" s="1" t="s">
        <v>74</v>
      </c>
      <c r="BC3180" s="1" t="s">
        <v>74</v>
      </c>
      <c r="BD3180" s="1">
        <v>142099</v>
      </c>
      <c r="BE3180" s="1" t="s">
        <v>50498</v>
      </c>
      <c r="BF3180" s="1" t="str">
        <f>HYPERLINK("http://dx.doi.org/10.1016/j.scitotenv.2020.142099","http://dx.doi.org/10.1016/j.scitotenv.2020.142099")</f>
        <v>http://dx.doi.org/10.1016/j.scitotenv.2020.142099</v>
      </c>
      <c r="BG3180" s="1" t="s">
        <v>74</v>
      </c>
      <c r="BH3180" s="1" t="s">
        <v>74</v>
      </c>
      <c r="BI3180" s="1">
        <v>9</v>
      </c>
      <c r="BJ3180" s="1" t="s">
        <v>144</v>
      </c>
      <c r="BK3180" s="1" t="s">
        <v>96</v>
      </c>
      <c r="BL3180" s="1" t="s">
        <v>145</v>
      </c>
      <c r="BM3180" s="1" t="s">
        <v>50499</v>
      </c>
      <c r="BN3180" s="1">
        <v>32911152</v>
      </c>
      <c r="BO3180" s="1" t="s">
        <v>74</v>
      </c>
      <c r="BP3180" s="1" t="s">
        <v>74</v>
      </c>
      <c r="BQ3180" s="1" t="s">
        <v>74</v>
      </c>
      <c r="BR3180" s="1" t="s">
        <v>98</v>
      </c>
      <c r="BS3180" s="1" t="s">
        <v>50500</v>
      </c>
      <c r="BT3180" s="1" t="str">
        <f>HYPERLINK("https%3A%2F%2Fwww.webofscience.com%2Fwos%2Fwoscc%2Ffull-record%2FWOS:000593905500007","View Full Record in Web of Science")</f>
        <v>View Full Record in Web of Science</v>
      </c>
      <c r="BU3180" s="1"/>
      <c r="BV3180" s="1"/>
    </row>
    <row r="3181" spans="1:74">
      <c r="A3181" s="1" t="s">
        <v>72</v>
      </c>
      <c r="B3181" s="1" t="s">
        <v>50501</v>
      </c>
      <c r="C3181" s="1" t="s">
        <v>74</v>
      </c>
      <c r="D3181" s="1" t="s">
        <v>74</v>
      </c>
      <c r="E3181" s="1" t="s">
        <v>74</v>
      </c>
      <c r="F3181" s="1" t="s">
        <v>50502</v>
      </c>
      <c r="G3181" s="1" t="s">
        <v>74</v>
      </c>
      <c r="H3181" s="1" t="s">
        <v>74</v>
      </c>
      <c r="I3181" s="1" t="s">
        <v>50503</v>
      </c>
      <c r="J3181" s="1" t="s">
        <v>20850</v>
      </c>
      <c r="K3181" s="1" t="s">
        <v>74</v>
      </c>
      <c r="L3181" s="1" t="s">
        <v>74</v>
      </c>
      <c r="M3181" s="1" t="s">
        <v>78</v>
      </c>
      <c r="N3181" s="1" t="s">
        <v>79</v>
      </c>
      <c r="O3181" s="1" t="s">
        <v>74</v>
      </c>
      <c r="P3181" s="1" t="s">
        <v>74</v>
      </c>
      <c r="Q3181" s="1" t="s">
        <v>74</v>
      </c>
      <c r="R3181" s="1" t="s">
        <v>74</v>
      </c>
      <c r="S3181" s="1" t="s">
        <v>74</v>
      </c>
      <c r="T3181" s="1" t="s">
        <v>74</v>
      </c>
      <c r="U3181" s="1" t="s">
        <v>50504</v>
      </c>
      <c r="V3181" s="1" t="s">
        <v>50505</v>
      </c>
      <c r="W3181" s="1" t="s">
        <v>50506</v>
      </c>
      <c r="X3181" s="1" t="s">
        <v>50507</v>
      </c>
      <c r="Y3181" s="1" t="s">
        <v>50508</v>
      </c>
      <c r="Z3181" s="1" t="s">
        <v>50509</v>
      </c>
      <c r="AA3181" s="1" t="s">
        <v>30828</v>
      </c>
      <c r="AB3181" s="1" t="s">
        <v>30829</v>
      </c>
      <c r="AC3181" s="1" t="s">
        <v>50510</v>
      </c>
      <c r="AD3181" s="1" t="s">
        <v>50511</v>
      </c>
      <c r="AE3181" s="1" t="s">
        <v>50512</v>
      </c>
      <c r="AF3181" s="1" t="s">
        <v>74</v>
      </c>
      <c r="AG3181" s="1">
        <v>51</v>
      </c>
      <c r="AH3181" s="1">
        <v>14</v>
      </c>
      <c r="AI3181" s="1">
        <v>15</v>
      </c>
      <c r="AJ3181" s="1">
        <v>0</v>
      </c>
      <c r="AK3181" s="1">
        <v>20</v>
      </c>
      <c r="AL3181" s="1" t="s">
        <v>261</v>
      </c>
      <c r="AM3181" s="1" t="s">
        <v>262</v>
      </c>
      <c r="AN3181" s="1" t="s">
        <v>19471</v>
      </c>
      <c r="AO3181" s="1" t="s">
        <v>20861</v>
      </c>
      <c r="AP3181" s="1" t="s">
        <v>20862</v>
      </c>
      <c r="AQ3181" s="1" t="s">
        <v>74</v>
      </c>
      <c r="AR3181" s="1" t="s">
        <v>20863</v>
      </c>
      <c r="AS3181" s="1" t="s">
        <v>20864</v>
      </c>
      <c r="AT3181" s="1" t="s">
        <v>74</v>
      </c>
      <c r="AU3181" s="1">
        <v>2016</v>
      </c>
      <c r="AV3181" s="1">
        <v>18</v>
      </c>
      <c r="AW3181" s="1">
        <v>7</v>
      </c>
      <c r="AX3181" s="1" t="s">
        <v>74</v>
      </c>
      <c r="AY3181" s="1" t="s">
        <v>74</v>
      </c>
      <c r="AZ3181" s="1" t="s">
        <v>74</v>
      </c>
      <c r="BA3181" s="1" t="s">
        <v>74</v>
      </c>
      <c r="BB3181" s="1">
        <v>895</v>
      </c>
      <c r="BC3181" s="1">
        <v>907</v>
      </c>
      <c r="BD3181" s="1" t="s">
        <v>74</v>
      </c>
      <c r="BE3181" s="1" t="s">
        <v>50513</v>
      </c>
      <c r="BF3181" s="1" t="str">
        <f>HYPERLINK("http://dx.doi.org/10.1039/c6em00139d","http://dx.doi.org/10.1039/c6em00139d")</f>
        <v>http://dx.doi.org/10.1039/c6em00139d</v>
      </c>
      <c r="BG3181" s="1" t="s">
        <v>74</v>
      </c>
      <c r="BH3181" s="1" t="s">
        <v>74</v>
      </c>
      <c r="BI3181" s="1">
        <v>13</v>
      </c>
      <c r="BJ3181" s="1" t="s">
        <v>269</v>
      </c>
      <c r="BK3181" s="1" t="s">
        <v>96</v>
      </c>
      <c r="BL3181" s="1" t="s">
        <v>270</v>
      </c>
      <c r="BM3181" s="1" t="s">
        <v>50514</v>
      </c>
      <c r="BN3181" s="1">
        <v>27337063</v>
      </c>
      <c r="BO3181" s="1" t="s">
        <v>74</v>
      </c>
      <c r="BP3181" s="1" t="s">
        <v>74</v>
      </c>
      <c r="BQ3181" s="1" t="s">
        <v>74</v>
      </c>
      <c r="BR3181" s="1" t="s">
        <v>98</v>
      </c>
      <c r="BS3181" s="1" t="s">
        <v>50515</v>
      </c>
      <c r="BT3181" s="1" t="str">
        <f>HYPERLINK("https%3A%2F%2Fwww.webofscience.com%2Fwos%2Fwoscc%2Ffull-record%2FWOS:000379941100013","View Full Record in Web of Science")</f>
        <v>View Full Record in Web of Science</v>
      </c>
      <c r="BU3181" s="1"/>
      <c r="BV3181" s="1"/>
    </row>
    <row r="3182" spans="1:74">
      <c r="A3182" s="1" t="s">
        <v>72</v>
      </c>
      <c r="B3182" s="1" t="s">
        <v>50516</v>
      </c>
      <c r="C3182" s="1" t="s">
        <v>74</v>
      </c>
      <c r="D3182" s="1" t="s">
        <v>74</v>
      </c>
      <c r="E3182" s="1" t="s">
        <v>74</v>
      </c>
      <c r="F3182" s="1" t="s">
        <v>50517</v>
      </c>
      <c r="G3182" s="1" t="s">
        <v>74</v>
      </c>
      <c r="H3182" s="1" t="s">
        <v>74</v>
      </c>
      <c r="I3182" s="1" t="s">
        <v>50518</v>
      </c>
      <c r="J3182" s="1" t="s">
        <v>2961</v>
      </c>
      <c r="K3182" s="1" t="s">
        <v>74</v>
      </c>
      <c r="L3182" s="1" t="s">
        <v>74</v>
      </c>
      <c r="M3182" s="1" t="s">
        <v>78</v>
      </c>
      <c r="N3182" s="1" t="s">
        <v>79</v>
      </c>
      <c r="O3182" s="1" t="s">
        <v>74</v>
      </c>
      <c r="P3182" s="1" t="s">
        <v>74</v>
      </c>
      <c r="Q3182" s="1" t="s">
        <v>74</v>
      </c>
      <c r="R3182" s="1" t="s">
        <v>74</v>
      </c>
      <c r="S3182" s="1" t="s">
        <v>74</v>
      </c>
      <c r="T3182" s="1" t="s">
        <v>50519</v>
      </c>
      <c r="U3182" s="1" t="s">
        <v>50520</v>
      </c>
      <c r="V3182" s="1" t="s">
        <v>50521</v>
      </c>
      <c r="W3182" s="1" t="s">
        <v>50522</v>
      </c>
      <c r="X3182" s="1" t="s">
        <v>50523</v>
      </c>
      <c r="Y3182" s="1" t="s">
        <v>50524</v>
      </c>
      <c r="Z3182" s="1" t="s">
        <v>50525</v>
      </c>
      <c r="AA3182" s="1" t="s">
        <v>20133</v>
      </c>
      <c r="AB3182" s="1" t="s">
        <v>20134</v>
      </c>
      <c r="AC3182" s="1" t="s">
        <v>50526</v>
      </c>
      <c r="AD3182" s="1" t="s">
        <v>50527</v>
      </c>
      <c r="AE3182" s="1" t="s">
        <v>50528</v>
      </c>
      <c r="AF3182" s="1" t="s">
        <v>74</v>
      </c>
      <c r="AG3182" s="1">
        <v>38</v>
      </c>
      <c r="AH3182" s="1">
        <v>22</v>
      </c>
      <c r="AI3182" s="1">
        <v>26</v>
      </c>
      <c r="AJ3182" s="1">
        <v>0</v>
      </c>
      <c r="AK3182" s="1">
        <v>25</v>
      </c>
      <c r="AL3182" s="1" t="s">
        <v>919</v>
      </c>
      <c r="AM3182" s="1" t="s">
        <v>651</v>
      </c>
      <c r="AN3182" s="1" t="s">
        <v>920</v>
      </c>
      <c r="AO3182" s="1" t="s">
        <v>2973</v>
      </c>
      <c r="AP3182" s="1" t="s">
        <v>74</v>
      </c>
      <c r="AQ3182" s="1" t="s">
        <v>74</v>
      </c>
      <c r="AR3182" s="1" t="s">
        <v>2975</v>
      </c>
      <c r="AS3182" s="1" t="s">
        <v>2976</v>
      </c>
      <c r="AT3182" s="1" t="s">
        <v>142</v>
      </c>
      <c r="AU3182" s="1">
        <v>2011</v>
      </c>
      <c r="AV3182" s="1">
        <v>37</v>
      </c>
      <c r="AW3182" s="1">
        <v>6</v>
      </c>
      <c r="AX3182" s="1" t="s">
        <v>74</v>
      </c>
      <c r="AY3182" s="1" t="s">
        <v>74</v>
      </c>
      <c r="AZ3182" s="1" t="s">
        <v>74</v>
      </c>
      <c r="BA3182" s="1" t="s">
        <v>74</v>
      </c>
      <c r="BB3182" s="1">
        <v>999</v>
      </c>
      <c r="BC3182" s="1">
        <v>1002</v>
      </c>
      <c r="BD3182" s="1" t="s">
        <v>74</v>
      </c>
      <c r="BE3182" s="1" t="s">
        <v>50529</v>
      </c>
      <c r="BF3182" s="1" t="str">
        <f>HYPERLINK("http://dx.doi.org/10.1016/j.ecoleng.2011.02.001","http://dx.doi.org/10.1016/j.ecoleng.2011.02.001")</f>
        <v>http://dx.doi.org/10.1016/j.ecoleng.2011.02.001</v>
      </c>
      <c r="BG3182" s="1" t="s">
        <v>74</v>
      </c>
      <c r="BH3182" s="1" t="s">
        <v>74</v>
      </c>
      <c r="BI3182" s="1">
        <v>4</v>
      </c>
      <c r="BJ3182" s="1" t="s">
        <v>2978</v>
      </c>
      <c r="BK3182" s="1" t="s">
        <v>96</v>
      </c>
      <c r="BL3182" s="1" t="s">
        <v>2979</v>
      </c>
      <c r="BM3182" s="1" t="s">
        <v>50530</v>
      </c>
      <c r="BN3182" s="1" t="s">
        <v>74</v>
      </c>
      <c r="BO3182" s="1" t="s">
        <v>1752</v>
      </c>
      <c r="BP3182" s="1" t="s">
        <v>74</v>
      </c>
      <c r="BQ3182" s="1" t="s">
        <v>74</v>
      </c>
      <c r="BR3182" s="1" t="s">
        <v>98</v>
      </c>
      <c r="BS3182" s="1" t="s">
        <v>50531</v>
      </c>
      <c r="BT3182" s="1" t="str">
        <f>HYPERLINK("https%3A%2F%2Fwww.webofscience.com%2Fwos%2Fwoscc%2Ffull-record%2FWOS:000291372400025","View Full Record in Web of Science")</f>
        <v>View Full Record in Web of Science</v>
      </c>
      <c r="BU3182" s="1"/>
      <c r="BV3182" s="1"/>
    </row>
    <row r="3183" spans="1:74">
      <c r="A3183" s="1" t="s">
        <v>72</v>
      </c>
      <c r="B3183" s="1" t="s">
        <v>50532</v>
      </c>
      <c r="C3183" s="1" t="s">
        <v>74</v>
      </c>
      <c r="D3183" s="1" t="s">
        <v>74</v>
      </c>
      <c r="E3183" s="1" t="s">
        <v>74</v>
      </c>
      <c r="F3183" s="1" t="s">
        <v>50533</v>
      </c>
      <c r="G3183" s="1" t="s">
        <v>74</v>
      </c>
      <c r="H3183" s="1" t="s">
        <v>74</v>
      </c>
      <c r="I3183" s="1" t="s">
        <v>50534</v>
      </c>
      <c r="J3183" s="1" t="s">
        <v>421</v>
      </c>
      <c r="K3183" s="1" t="s">
        <v>74</v>
      </c>
      <c r="L3183" s="1" t="s">
        <v>74</v>
      </c>
      <c r="M3183" s="1" t="s">
        <v>78</v>
      </c>
      <c r="N3183" s="1" t="s">
        <v>79</v>
      </c>
      <c r="O3183" s="1" t="s">
        <v>74</v>
      </c>
      <c r="P3183" s="1" t="s">
        <v>74</v>
      </c>
      <c r="Q3183" s="1" t="s">
        <v>74</v>
      </c>
      <c r="R3183" s="1" t="s">
        <v>74</v>
      </c>
      <c r="S3183" s="1" t="s">
        <v>74</v>
      </c>
      <c r="T3183" s="1" t="s">
        <v>50535</v>
      </c>
      <c r="U3183" s="1" t="s">
        <v>50536</v>
      </c>
      <c r="V3183" s="1" t="s">
        <v>50537</v>
      </c>
      <c r="W3183" s="1" t="s">
        <v>50538</v>
      </c>
      <c r="X3183" s="1" t="s">
        <v>50539</v>
      </c>
      <c r="Y3183" s="1" t="s">
        <v>50540</v>
      </c>
      <c r="Z3183" s="1" t="s">
        <v>22554</v>
      </c>
      <c r="AA3183" s="1" t="s">
        <v>74</v>
      </c>
      <c r="AB3183" s="1" t="s">
        <v>50541</v>
      </c>
      <c r="AC3183" s="1" t="s">
        <v>74</v>
      </c>
      <c r="AD3183" s="1" t="s">
        <v>74</v>
      </c>
      <c r="AE3183" s="1" t="s">
        <v>74</v>
      </c>
      <c r="AF3183" s="1" t="s">
        <v>74</v>
      </c>
      <c r="AG3183" s="1">
        <v>29</v>
      </c>
      <c r="AH3183" s="1">
        <v>11</v>
      </c>
      <c r="AI3183" s="1">
        <v>11</v>
      </c>
      <c r="AJ3183" s="1">
        <v>25</v>
      </c>
      <c r="AK3183" s="1">
        <v>72</v>
      </c>
      <c r="AL3183" s="1" t="s">
        <v>430</v>
      </c>
      <c r="AM3183" s="1" t="s">
        <v>7361</v>
      </c>
      <c r="AN3183" s="1" t="s">
        <v>7362</v>
      </c>
      <c r="AO3183" s="1" t="s">
        <v>432</v>
      </c>
      <c r="AP3183" s="1" t="s">
        <v>1394</v>
      </c>
      <c r="AQ3183" s="1" t="s">
        <v>74</v>
      </c>
      <c r="AR3183" s="1" t="s">
        <v>433</v>
      </c>
      <c r="AS3183" s="1" t="s">
        <v>434</v>
      </c>
      <c r="AT3183" s="1" t="s">
        <v>546</v>
      </c>
      <c r="AU3183" s="1">
        <v>2023</v>
      </c>
      <c r="AV3183" s="1">
        <v>337</v>
      </c>
      <c r="AW3183" s="1" t="s">
        <v>74</v>
      </c>
      <c r="AX3183" s="1" t="s">
        <v>74</v>
      </c>
      <c r="AY3183" s="1" t="s">
        <v>74</v>
      </c>
      <c r="AZ3183" s="1" t="s">
        <v>74</v>
      </c>
      <c r="BA3183" s="1" t="s">
        <v>74</v>
      </c>
      <c r="BB3183" s="1" t="s">
        <v>74</v>
      </c>
      <c r="BC3183" s="1" t="s">
        <v>74</v>
      </c>
      <c r="BD3183" s="1">
        <v>122512</v>
      </c>
      <c r="BE3183" s="1" t="s">
        <v>50542</v>
      </c>
      <c r="BF3183" s="1" t="str">
        <f>HYPERLINK("http://dx.doi.org/10.1016/j.envpol.2023.122512","http://dx.doi.org/10.1016/j.envpol.2023.122512")</f>
        <v>http://dx.doi.org/10.1016/j.envpol.2023.122512</v>
      </c>
      <c r="BG3183" s="1" t="s">
        <v>74</v>
      </c>
      <c r="BH3183" s="1" t="s">
        <v>74</v>
      </c>
      <c r="BI3183" s="1">
        <v>6</v>
      </c>
      <c r="BJ3183" s="1" t="s">
        <v>144</v>
      </c>
      <c r="BK3183" s="1" t="s">
        <v>96</v>
      </c>
      <c r="BL3183" s="1" t="s">
        <v>145</v>
      </c>
      <c r="BM3183" s="1" t="s">
        <v>50543</v>
      </c>
      <c r="BN3183" s="1">
        <v>37673323</v>
      </c>
      <c r="BO3183" s="1" t="s">
        <v>74</v>
      </c>
      <c r="BP3183" s="1" t="s">
        <v>74</v>
      </c>
      <c r="BQ3183" s="1" t="s">
        <v>74</v>
      </c>
      <c r="BR3183" s="1" t="s">
        <v>98</v>
      </c>
      <c r="BS3183" s="1" t="s">
        <v>50544</v>
      </c>
      <c r="BT3183" s="1" t="str">
        <f>HYPERLINK("https%3A%2F%2Fwww.webofscience.com%2Fwos%2Fwoscc%2Ffull-record%2FWOS:001143961100001","View Full Record in Web of Science")</f>
        <v>View Full Record in Web of Science</v>
      </c>
      <c r="BU3183" s="1"/>
      <c r="BV3183" s="1"/>
    </row>
    <row r="3184" spans="1:74">
      <c r="A3184" s="1" t="s">
        <v>72</v>
      </c>
      <c r="B3184" s="1" t="s">
        <v>50545</v>
      </c>
      <c r="C3184" s="1" t="s">
        <v>74</v>
      </c>
      <c r="D3184" s="1" t="s">
        <v>74</v>
      </c>
      <c r="E3184" s="1" t="s">
        <v>74</v>
      </c>
      <c r="F3184" s="1" t="s">
        <v>50546</v>
      </c>
      <c r="G3184" s="1" t="s">
        <v>74</v>
      </c>
      <c r="H3184" s="1" t="s">
        <v>74</v>
      </c>
      <c r="I3184" s="1" t="s">
        <v>50547</v>
      </c>
      <c r="J3184" s="1" t="s">
        <v>33683</v>
      </c>
      <c r="K3184" s="1" t="s">
        <v>74</v>
      </c>
      <c r="L3184" s="1" t="s">
        <v>74</v>
      </c>
      <c r="M3184" s="1" t="s">
        <v>78</v>
      </c>
      <c r="N3184" s="1" t="s">
        <v>79</v>
      </c>
      <c r="O3184" s="1" t="s">
        <v>74</v>
      </c>
      <c r="P3184" s="1" t="s">
        <v>74</v>
      </c>
      <c r="Q3184" s="1" t="s">
        <v>74</v>
      </c>
      <c r="R3184" s="1" t="s">
        <v>74</v>
      </c>
      <c r="S3184" s="1" t="s">
        <v>74</v>
      </c>
      <c r="T3184" s="1" t="s">
        <v>50548</v>
      </c>
      <c r="U3184" s="1" t="s">
        <v>50549</v>
      </c>
      <c r="V3184" s="1" t="s">
        <v>50550</v>
      </c>
      <c r="W3184" s="1" t="s">
        <v>50551</v>
      </c>
      <c r="X3184" s="1" t="s">
        <v>50552</v>
      </c>
      <c r="Y3184" s="1" t="s">
        <v>50553</v>
      </c>
      <c r="Z3184" s="1" t="s">
        <v>50554</v>
      </c>
      <c r="AA3184" s="1" t="s">
        <v>50555</v>
      </c>
      <c r="AB3184" s="1" t="s">
        <v>50556</v>
      </c>
      <c r="AC3184" s="1" t="s">
        <v>50557</v>
      </c>
      <c r="AD3184" s="1" t="s">
        <v>50558</v>
      </c>
      <c r="AE3184" s="1" t="s">
        <v>50559</v>
      </c>
      <c r="AF3184" s="1" t="s">
        <v>74</v>
      </c>
      <c r="AG3184" s="1">
        <v>256</v>
      </c>
      <c r="AH3184" s="1">
        <v>24</v>
      </c>
      <c r="AI3184" s="1">
        <v>24</v>
      </c>
      <c r="AJ3184" s="1">
        <v>15</v>
      </c>
      <c r="AK3184" s="1">
        <v>101</v>
      </c>
      <c r="AL3184" s="1" t="s">
        <v>1566</v>
      </c>
      <c r="AM3184" s="1" t="s">
        <v>1567</v>
      </c>
      <c r="AN3184" s="1" t="s">
        <v>1568</v>
      </c>
      <c r="AO3184" s="1" t="s">
        <v>74</v>
      </c>
      <c r="AP3184" s="1" t="s">
        <v>33693</v>
      </c>
      <c r="AQ3184" s="1" t="s">
        <v>74</v>
      </c>
      <c r="AR3184" s="1" t="s">
        <v>33694</v>
      </c>
      <c r="AS3184" s="1" t="s">
        <v>33695</v>
      </c>
      <c r="AT3184" s="1" t="s">
        <v>197</v>
      </c>
      <c r="AU3184" s="1">
        <v>2021</v>
      </c>
      <c r="AV3184" s="1">
        <v>13</v>
      </c>
      <c r="AW3184" s="1">
        <v>23</v>
      </c>
      <c r="AX3184" s="1" t="s">
        <v>74</v>
      </c>
      <c r="AY3184" s="1" t="s">
        <v>74</v>
      </c>
      <c r="AZ3184" s="1" t="s">
        <v>74</v>
      </c>
      <c r="BA3184" s="1" t="s">
        <v>74</v>
      </c>
      <c r="BB3184" s="1" t="s">
        <v>74</v>
      </c>
      <c r="BC3184" s="1" t="s">
        <v>74</v>
      </c>
      <c r="BD3184" s="1">
        <v>12994</v>
      </c>
      <c r="BE3184" s="1" t="s">
        <v>50560</v>
      </c>
      <c r="BF3184" s="1" t="str">
        <f>HYPERLINK("http://dx.doi.org/10.3390/su132312994","http://dx.doi.org/10.3390/su132312994")</f>
        <v>http://dx.doi.org/10.3390/su132312994</v>
      </c>
      <c r="BG3184" s="1" t="s">
        <v>74</v>
      </c>
      <c r="BH3184" s="1" t="s">
        <v>74</v>
      </c>
      <c r="BI3184" s="1">
        <v>25</v>
      </c>
      <c r="BJ3184" s="1" t="s">
        <v>28100</v>
      </c>
      <c r="BK3184" s="1" t="s">
        <v>11915</v>
      </c>
      <c r="BL3184" s="1" t="s">
        <v>28101</v>
      </c>
      <c r="BM3184" s="1" t="s">
        <v>50561</v>
      </c>
      <c r="BN3184" s="1" t="s">
        <v>74</v>
      </c>
      <c r="BO3184" s="1" t="s">
        <v>873</v>
      </c>
      <c r="BP3184" s="1" t="s">
        <v>74</v>
      </c>
      <c r="BQ3184" s="1" t="s">
        <v>74</v>
      </c>
      <c r="BR3184" s="1" t="s">
        <v>98</v>
      </c>
      <c r="BS3184" s="1" t="s">
        <v>50562</v>
      </c>
      <c r="BT3184" s="1" t="str">
        <f>HYPERLINK("https%3A%2F%2Fwww.webofscience.com%2Fwos%2Fwoscc%2Ffull-record%2FWOS:000735092800001","View Full Record in Web of Science")</f>
        <v>View Full Record in Web of Science</v>
      </c>
      <c r="BU3184" s="1"/>
      <c r="BV3184" s="1"/>
    </row>
    <row r="3185" spans="1:74">
      <c r="A3185" s="1" t="s">
        <v>72</v>
      </c>
      <c r="B3185" s="1" t="s">
        <v>50563</v>
      </c>
      <c r="C3185" s="1" t="s">
        <v>74</v>
      </c>
      <c r="D3185" s="1" t="s">
        <v>74</v>
      </c>
      <c r="E3185" s="1" t="s">
        <v>74</v>
      </c>
      <c r="F3185" s="1" t="s">
        <v>50564</v>
      </c>
      <c r="G3185" s="1" t="s">
        <v>74</v>
      </c>
      <c r="H3185" s="1" t="s">
        <v>74</v>
      </c>
      <c r="I3185" s="1" t="s">
        <v>50565</v>
      </c>
      <c r="J3185" s="1" t="s">
        <v>421</v>
      </c>
      <c r="K3185" s="1" t="s">
        <v>74</v>
      </c>
      <c r="L3185" s="1" t="s">
        <v>74</v>
      </c>
      <c r="M3185" s="1" t="s">
        <v>78</v>
      </c>
      <c r="N3185" s="1" t="s">
        <v>79</v>
      </c>
      <c r="O3185" s="1" t="s">
        <v>74</v>
      </c>
      <c r="P3185" s="1" t="s">
        <v>74</v>
      </c>
      <c r="Q3185" s="1" t="s">
        <v>74</v>
      </c>
      <c r="R3185" s="1" t="s">
        <v>74</v>
      </c>
      <c r="S3185" s="1" t="s">
        <v>74</v>
      </c>
      <c r="T3185" s="1" t="s">
        <v>50566</v>
      </c>
      <c r="U3185" s="1" t="s">
        <v>50567</v>
      </c>
      <c r="V3185" s="1" t="s">
        <v>50568</v>
      </c>
      <c r="W3185" s="1" t="s">
        <v>50569</v>
      </c>
      <c r="X3185" s="1" t="s">
        <v>19904</v>
      </c>
      <c r="Y3185" s="1" t="s">
        <v>19905</v>
      </c>
      <c r="Z3185" s="1" t="s">
        <v>50570</v>
      </c>
      <c r="AA3185" s="1" t="s">
        <v>50571</v>
      </c>
      <c r="AB3185" s="1" t="s">
        <v>50572</v>
      </c>
      <c r="AC3185" s="1" t="s">
        <v>50573</v>
      </c>
      <c r="AD3185" s="1" t="s">
        <v>50574</v>
      </c>
      <c r="AE3185" s="1" t="s">
        <v>50575</v>
      </c>
      <c r="AF3185" s="1" t="s">
        <v>74</v>
      </c>
      <c r="AG3185" s="1">
        <v>39</v>
      </c>
      <c r="AH3185" s="1">
        <v>36</v>
      </c>
      <c r="AI3185" s="1">
        <v>42</v>
      </c>
      <c r="AJ3185" s="1">
        <v>1</v>
      </c>
      <c r="AK3185" s="1">
        <v>18</v>
      </c>
      <c r="AL3185" s="1" t="s">
        <v>430</v>
      </c>
      <c r="AM3185" s="1" t="s">
        <v>137</v>
      </c>
      <c r="AN3185" s="1" t="s">
        <v>431</v>
      </c>
      <c r="AO3185" s="1" t="s">
        <v>432</v>
      </c>
      <c r="AP3185" s="1" t="s">
        <v>1394</v>
      </c>
      <c r="AQ3185" s="1" t="s">
        <v>74</v>
      </c>
      <c r="AR3185" s="1" t="s">
        <v>433</v>
      </c>
      <c r="AS3185" s="1" t="s">
        <v>434</v>
      </c>
      <c r="AT3185" s="1" t="s">
        <v>119</v>
      </c>
      <c r="AU3185" s="1">
        <v>2014</v>
      </c>
      <c r="AV3185" s="1">
        <v>191</v>
      </c>
      <c r="AW3185" s="1" t="s">
        <v>74</v>
      </c>
      <c r="AX3185" s="1" t="s">
        <v>74</v>
      </c>
      <c r="AY3185" s="1" t="s">
        <v>74</v>
      </c>
      <c r="AZ3185" s="1" t="s">
        <v>74</v>
      </c>
      <c r="BA3185" s="1" t="s">
        <v>74</v>
      </c>
      <c r="BB3185" s="1">
        <v>145</v>
      </c>
      <c r="BC3185" s="1">
        <v>150</v>
      </c>
      <c r="BD3185" s="1" t="s">
        <v>74</v>
      </c>
      <c r="BE3185" s="1" t="s">
        <v>50576</v>
      </c>
      <c r="BF3185" s="1" t="str">
        <f>HYPERLINK("http://dx.doi.org/10.1016/j.envpol.2014.04.024","http://dx.doi.org/10.1016/j.envpol.2014.04.024")</f>
        <v>http://dx.doi.org/10.1016/j.envpol.2014.04.024</v>
      </c>
      <c r="BG3185" s="1" t="s">
        <v>74</v>
      </c>
      <c r="BH3185" s="1" t="s">
        <v>74</v>
      </c>
      <c r="BI3185" s="1">
        <v>6</v>
      </c>
      <c r="BJ3185" s="1" t="s">
        <v>144</v>
      </c>
      <c r="BK3185" s="1" t="s">
        <v>96</v>
      </c>
      <c r="BL3185" s="1" t="s">
        <v>145</v>
      </c>
      <c r="BM3185" s="1" t="s">
        <v>50577</v>
      </c>
      <c r="BN3185" s="1">
        <v>24836502</v>
      </c>
      <c r="BO3185" s="1" t="s">
        <v>74</v>
      </c>
      <c r="BP3185" s="1" t="s">
        <v>74</v>
      </c>
      <c r="BQ3185" s="1" t="s">
        <v>74</v>
      </c>
      <c r="BR3185" s="1" t="s">
        <v>98</v>
      </c>
      <c r="BS3185" s="1" t="s">
        <v>50578</v>
      </c>
      <c r="BT3185" s="1" t="str">
        <f>HYPERLINK("https%3A%2F%2Fwww.webofscience.com%2Fwos%2Fwoscc%2Ffull-record%2FWOS:000338605200019","View Full Record in Web of Science")</f>
        <v>View Full Record in Web of Science</v>
      </c>
      <c r="BU3185" s="1"/>
      <c r="BV3185" s="1"/>
    </row>
    <row r="3186" spans="1:74">
      <c r="A3186" s="1" t="s">
        <v>72</v>
      </c>
      <c r="B3186" s="1" t="s">
        <v>50579</v>
      </c>
      <c r="C3186" s="1" t="s">
        <v>74</v>
      </c>
      <c r="D3186" s="1" t="s">
        <v>74</v>
      </c>
      <c r="E3186" s="1" t="s">
        <v>74</v>
      </c>
      <c r="F3186" s="1" t="s">
        <v>50580</v>
      </c>
      <c r="G3186" s="1" t="s">
        <v>74</v>
      </c>
      <c r="H3186" s="1" t="s">
        <v>74</v>
      </c>
      <c r="I3186" s="1" t="s">
        <v>50581</v>
      </c>
      <c r="J3186" s="1" t="s">
        <v>3349</v>
      </c>
      <c r="K3186" s="1" t="s">
        <v>74</v>
      </c>
      <c r="L3186" s="1" t="s">
        <v>74</v>
      </c>
      <c r="M3186" s="1" t="s">
        <v>78</v>
      </c>
      <c r="N3186" s="1" t="s">
        <v>79</v>
      </c>
      <c r="O3186" s="1" t="s">
        <v>74</v>
      </c>
      <c r="P3186" s="1" t="s">
        <v>74</v>
      </c>
      <c r="Q3186" s="1" t="s">
        <v>74</v>
      </c>
      <c r="R3186" s="1" t="s">
        <v>74</v>
      </c>
      <c r="S3186" s="1" t="s">
        <v>74</v>
      </c>
      <c r="T3186" s="1" t="s">
        <v>50582</v>
      </c>
      <c r="U3186" s="1" t="s">
        <v>50583</v>
      </c>
      <c r="V3186" s="1" t="s">
        <v>50584</v>
      </c>
      <c r="W3186" s="1" t="s">
        <v>50585</v>
      </c>
      <c r="X3186" s="1" t="s">
        <v>50586</v>
      </c>
      <c r="Y3186" s="1" t="s">
        <v>50587</v>
      </c>
      <c r="Z3186" s="1" t="s">
        <v>12809</v>
      </c>
      <c r="AA3186" s="1" t="s">
        <v>50588</v>
      </c>
      <c r="AB3186" s="1" t="s">
        <v>50589</v>
      </c>
      <c r="AC3186" s="1" t="s">
        <v>50590</v>
      </c>
      <c r="AD3186" s="1" t="s">
        <v>50591</v>
      </c>
      <c r="AE3186" s="1" t="s">
        <v>50592</v>
      </c>
      <c r="AF3186" s="1" t="s">
        <v>74</v>
      </c>
      <c r="AG3186" s="1">
        <v>44</v>
      </c>
      <c r="AH3186" s="1">
        <v>63</v>
      </c>
      <c r="AI3186" s="1">
        <v>66</v>
      </c>
      <c r="AJ3186" s="1">
        <v>0</v>
      </c>
      <c r="AK3186" s="1">
        <v>26</v>
      </c>
      <c r="AL3186" s="1" t="s">
        <v>3362</v>
      </c>
      <c r="AM3186" s="1" t="s">
        <v>3363</v>
      </c>
      <c r="AN3186" s="1" t="s">
        <v>3364</v>
      </c>
      <c r="AO3186" s="1" t="s">
        <v>3365</v>
      </c>
      <c r="AP3186" s="1" t="s">
        <v>3366</v>
      </c>
      <c r="AQ3186" s="1" t="s">
        <v>74</v>
      </c>
      <c r="AR3186" s="1" t="s">
        <v>3367</v>
      </c>
      <c r="AS3186" s="1" t="s">
        <v>3368</v>
      </c>
      <c r="AT3186" s="1" t="s">
        <v>267</v>
      </c>
      <c r="AU3186" s="1">
        <v>2010</v>
      </c>
      <c r="AV3186" s="1">
        <v>73</v>
      </c>
      <c r="AW3186" s="1">
        <v>7</v>
      </c>
      <c r="AX3186" s="1" t="s">
        <v>74</v>
      </c>
      <c r="AY3186" s="1" t="s">
        <v>74</v>
      </c>
      <c r="AZ3186" s="1" t="s">
        <v>74</v>
      </c>
      <c r="BA3186" s="1" t="s">
        <v>74</v>
      </c>
      <c r="BB3186" s="1">
        <v>1712</v>
      </c>
      <c r="BC3186" s="1">
        <v>1719</v>
      </c>
      <c r="BD3186" s="1" t="s">
        <v>74</v>
      </c>
      <c r="BE3186" s="1" t="s">
        <v>50593</v>
      </c>
      <c r="BF3186" s="1" t="str">
        <f>HYPERLINK("http://dx.doi.org/10.1016/j.ecoenv.2010.08.007","http://dx.doi.org/10.1016/j.ecoenv.2010.08.007")</f>
        <v>http://dx.doi.org/10.1016/j.ecoenv.2010.08.007</v>
      </c>
      <c r="BG3186" s="1" t="s">
        <v>74</v>
      </c>
      <c r="BH3186" s="1" t="s">
        <v>74</v>
      </c>
      <c r="BI3186" s="1">
        <v>8</v>
      </c>
      <c r="BJ3186" s="1" t="s">
        <v>121</v>
      </c>
      <c r="BK3186" s="1" t="s">
        <v>96</v>
      </c>
      <c r="BL3186" s="1" t="s">
        <v>122</v>
      </c>
      <c r="BM3186" s="1" t="s">
        <v>6748</v>
      </c>
      <c r="BN3186" s="1">
        <v>20800282</v>
      </c>
      <c r="BO3186" s="1" t="s">
        <v>74</v>
      </c>
      <c r="BP3186" s="1" t="s">
        <v>74</v>
      </c>
      <c r="BQ3186" s="1" t="s">
        <v>74</v>
      </c>
      <c r="BR3186" s="1" t="s">
        <v>98</v>
      </c>
      <c r="BS3186" s="1" t="s">
        <v>50594</v>
      </c>
      <c r="BT3186" s="1" t="str">
        <f>HYPERLINK("https%3A%2F%2Fwww.webofscience.com%2Fwos%2Fwoscc%2Ffull-record%2FWOS:000282792300032","View Full Record in Web of Science")</f>
        <v>View Full Record in Web of Science</v>
      </c>
      <c r="BU3186" s="1"/>
      <c r="BV3186" s="1"/>
    </row>
    <row r="3187" spans="1:74">
      <c r="A3187" s="1" t="s">
        <v>72</v>
      </c>
      <c r="B3187" s="1" t="s">
        <v>50595</v>
      </c>
      <c r="C3187" s="1" t="s">
        <v>74</v>
      </c>
      <c r="D3187" s="1" t="s">
        <v>74</v>
      </c>
      <c r="E3187" s="1" t="s">
        <v>74</v>
      </c>
      <c r="F3187" s="1" t="s">
        <v>50596</v>
      </c>
      <c r="G3187" s="1" t="s">
        <v>74</v>
      </c>
      <c r="H3187" s="1" t="s">
        <v>74</v>
      </c>
      <c r="I3187" s="1" t="s">
        <v>50597</v>
      </c>
      <c r="J3187" s="1" t="s">
        <v>421</v>
      </c>
      <c r="K3187" s="1" t="s">
        <v>74</v>
      </c>
      <c r="L3187" s="1" t="s">
        <v>74</v>
      </c>
      <c r="M3187" s="1" t="s">
        <v>78</v>
      </c>
      <c r="N3187" s="1" t="s">
        <v>79</v>
      </c>
      <c r="O3187" s="1" t="s">
        <v>74</v>
      </c>
      <c r="P3187" s="1" t="s">
        <v>74</v>
      </c>
      <c r="Q3187" s="1" t="s">
        <v>74</v>
      </c>
      <c r="R3187" s="1" t="s">
        <v>74</v>
      </c>
      <c r="S3187" s="1" t="s">
        <v>74</v>
      </c>
      <c r="T3187" s="1" t="s">
        <v>50598</v>
      </c>
      <c r="U3187" s="1" t="s">
        <v>50599</v>
      </c>
      <c r="V3187" s="1" t="s">
        <v>50600</v>
      </c>
      <c r="W3187" s="1" t="s">
        <v>50601</v>
      </c>
      <c r="X3187" s="1" t="s">
        <v>646</v>
      </c>
      <c r="Y3187" s="1" t="s">
        <v>50602</v>
      </c>
      <c r="Z3187" s="1" t="s">
        <v>50603</v>
      </c>
      <c r="AA3187" s="1" t="s">
        <v>6572</v>
      </c>
      <c r="AB3187" s="1" t="s">
        <v>50604</v>
      </c>
      <c r="AC3187" s="1" t="s">
        <v>74</v>
      </c>
      <c r="AD3187" s="1" t="s">
        <v>74</v>
      </c>
      <c r="AE3187" s="1" t="s">
        <v>74</v>
      </c>
      <c r="AF3187" s="1" t="s">
        <v>74</v>
      </c>
      <c r="AG3187" s="1">
        <v>36</v>
      </c>
      <c r="AH3187" s="1">
        <v>5</v>
      </c>
      <c r="AI3187" s="1">
        <v>9</v>
      </c>
      <c r="AJ3187" s="1">
        <v>0</v>
      </c>
      <c r="AK3187" s="1">
        <v>27</v>
      </c>
      <c r="AL3187" s="1" t="s">
        <v>430</v>
      </c>
      <c r="AM3187" s="1" t="s">
        <v>137</v>
      </c>
      <c r="AN3187" s="1" t="s">
        <v>431</v>
      </c>
      <c r="AO3187" s="1" t="s">
        <v>432</v>
      </c>
      <c r="AP3187" s="1" t="s">
        <v>1394</v>
      </c>
      <c r="AQ3187" s="1" t="s">
        <v>74</v>
      </c>
      <c r="AR3187" s="1" t="s">
        <v>433</v>
      </c>
      <c r="AS3187" s="1" t="s">
        <v>434</v>
      </c>
      <c r="AT3187" s="1" t="s">
        <v>197</v>
      </c>
      <c r="AU3187" s="1">
        <v>2008</v>
      </c>
      <c r="AV3187" s="1">
        <v>156</v>
      </c>
      <c r="AW3187" s="1">
        <v>3</v>
      </c>
      <c r="AX3187" s="1" t="s">
        <v>74</v>
      </c>
      <c r="AY3187" s="1" t="s">
        <v>74</v>
      </c>
      <c r="AZ3187" s="1" t="s">
        <v>74</v>
      </c>
      <c r="BA3187" s="1" t="s">
        <v>74</v>
      </c>
      <c r="BB3187" s="1">
        <v>821</v>
      </c>
      <c r="BC3187" s="1">
        <v>826</v>
      </c>
      <c r="BD3187" s="1" t="s">
        <v>74</v>
      </c>
      <c r="BE3187" s="1" t="s">
        <v>50605</v>
      </c>
      <c r="BF3187" s="1" t="str">
        <f>HYPERLINK("http://dx.doi.org/10.1016/j.envpol.2008.05.023","http://dx.doi.org/10.1016/j.envpol.2008.05.023")</f>
        <v>http://dx.doi.org/10.1016/j.envpol.2008.05.023</v>
      </c>
      <c r="BG3187" s="1" t="s">
        <v>74</v>
      </c>
      <c r="BH3187" s="1" t="s">
        <v>74</v>
      </c>
      <c r="BI3187" s="1">
        <v>6</v>
      </c>
      <c r="BJ3187" s="1" t="s">
        <v>144</v>
      </c>
      <c r="BK3187" s="1" t="s">
        <v>96</v>
      </c>
      <c r="BL3187" s="1" t="s">
        <v>145</v>
      </c>
      <c r="BM3187" s="1" t="s">
        <v>36673</v>
      </c>
      <c r="BN3187" s="1">
        <v>18583003</v>
      </c>
      <c r="BO3187" s="1" t="s">
        <v>74</v>
      </c>
      <c r="BP3187" s="1" t="s">
        <v>74</v>
      </c>
      <c r="BQ3187" s="1" t="s">
        <v>74</v>
      </c>
      <c r="BR3187" s="1" t="s">
        <v>98</v>
      </c>
      <c r="BS3187" s="1" t="s">
        <v>50606</v>
      </c>
      <c r="BT3187" s="1" t="str">
        <f>HYPERLINK("https%3A%2F%2Fwww.webofscience.com%2Fwos%2Fwoscc%2Ffull-record%2FWOS:000261678700031","View Full Record in Web of Science")</f>
        <v>View Full Record in Web of Science</v>
      </c>
      <c r="BU3187" s="1"/>
      <c r="BV3187" s="1"/>
    </row>
    <row r="3188" spans="1:74">
      <c r="A3188" s="1" t="s">
        <v>72</v>
      </c>
      <c r="B3188" s="1" t="s">
        <v>50607</v>
      </c>
      <c r="C3188" s="1" t="s">
        <v>74</v>
      </c>
      <c r="D3188" s="1" t="s">
        <v>74</v>
      </c>
      <c r="E3188" s="1" t="s">
        <v>74</v>
      </c>
      <c r="F3188" s="1" t="s">
        <v>50608</v>
      </c>
      <c r="G3188" s="1" t="s">
        <v>74</v>
      </c>
      <c r="H3188" s="1" t="s">
        <v>74</v>
      </c>
      <c r="I3188" s="1" t="s">
        <v>50609</v>
      </c>
      <c r="J3188" s="1" t="s">
        <v>421</v>
      </c>
      <c r="K3188" s="1" t="s">
        <v>74</v>
      </c>
      <c r="L3188" s="1" t="s">
        <v>74</v>
      </c>
      <c r="M3188" s="1" t="s">
        <v>78</v>
      </c>
      <c r="N3188" s="1" t="s">
        <v>79</v>
      </c>
      <c r="O3188" s="1" t="s">
        <v>74</v>
      </c>
      <c r="P3188" s="1" t="s">
        <v>74</v>
      </c>
      <c r="Q3188" s="1" t="s">
        <v>74</v>
      </c>
      <c r="R3188" s="1" t="s">
        <v>74</v>
      </c>
      <c r="S3188" s="1" t="s">
        <v>74</v>
      </c>
      <c r="T3188" s="1" t="s">
        <v>50610</v>
      </c>
      <c r="U3188" s="1" t="s">
        <v>50611</v>
      </c>
      <c r="V3188" s="1" t="s">
        <v>50612</v>
      </c>
      <c r="W3188" s="1" t="s">
        <v>50613</v>
      </c>
      <c r="X3188" s="1" t="s">
        <v>6300</v>
      </c>
      <c r="Y3188" s="1" t="s">
        <v>50614</v>
      </c>
      <c r="Z3188" s="1" t="s">
        <v>4576</v>
      </c>
      <c r="AA3188" s="1" t="s">
        <v>50615</v>
      </c>
      <c r="AB3188" s="1" t="s">
        <v>50616</v>
      </c>
      <c r="AC3188" s="1" t="s">
        <v>50617</v>
      </c>
      <c r="AD3188" s="1" t="s">
        <v>50618</v>
      </c>
      <c r="AE3188" s="1" t="s">
        <v>50619</v>
      </c>
      <c r="AF3188" s="1" t="s">
        <v>74</v>
      </c>
      <c r="AG3188" s="1">
        <v>42</v>
      </c>
      <c r="AH3188" s="1">
        <v>30</v>
      </c>
      <c r="AI3188" s="1">
        <v>30</v>
      </c>
      <c r="AJ3188" s="1">
        <v>3</v>
      </c>
      <c r="AK3188" s="1">
        <v>41</v>
      </c>
      <c r="AL3188" s="1" t="s">
        <v>430</v>
      </c>
      <c r="AM3188" s="1" t="s">
        <v>137</v>
      </c>
      <c r="AN3188" s="1" t="s">
        <v>431</v>
      </c>
      <c r="AO3188" s="1" t="s">
        <v>432</v>
      </c>
      <c r="AP3188" s="1" t="s">
        <v>1394</v>
      </c>
      <c r="AQ3188" s="1" t="s">
        <v>74</v>
      </c>
      <c r="AR3188" s="1" t="s">
        <v>433</v>
      </c>
      <c r="AS3188" s="1" t="s">
        <v>434</v>
      </c>
      <c r="AT3188" s="1" t="s">
        <v>224</v>
      </c>
      <c r="AU3188" s="1">
        <v>2015</v>
      </c>
      <c r="AV3188" s="1">
        <v>197</v>
      </c>
      <c r="AW3188" s="1" t="s">
        <v>74</v>
      </c>
      <c r="AX3188" s="1" t="s">
        <v>74</v>
      </c>
      <c r="AY3188" s="1" t="s">
        <v>74</v>
      </c>
      <c r="AZ3188" s="1" t="s">
        <v>74</v>
      </c>
      <c r="BA3188" s="1" t="s">
        <v>74</v>
      </c>
      <c r="BB3188" s="1">
        <v>90</v>
      </c>
      <c r="BC3188" s="1">
        <v>98</v>
      </c>
      <c r="BD3188" s="1" t="s">
        <v>74</v>
      </c>
      <c r="BE3188" s="1" t="s">
        <v>50620</v>
      </c>
      <c r="BF3188" s="1" t="str">
        <f>HYPERLINK("http://dx.doi.org/10.1016/j.envpol.2014.12.005","http://dx.doi.org/10.1016/j.envpol.2014.12.005")</f>
        <v>http://dx.doi.org/10.1016/j.envpol.2014.12.005</v>
      </c>
      <c r="BG3188" s="1" t="s">
        <v>74</v>
      </c>
      <c r="BH3188" s="1" t="s">
        <v>74</v>
      </c>
      <c r="BI3188" s="1">
        <v>9</v>
      </c>
      <c r="BJ3188" s="1" t="s">
        <v>144</v>
      </c>
      <c r="BK3188" s="1" t="s">
        <v>96</v>
      </c>
      <c r="BL3188" s="1" t="s">
        <v>145</v>
      </c>
      <c r="BM3188" s="1" t="s">
        <v>50621</v>
      </c>
      <c r="BN3188" s="1">
        <v>25514060</v>
      </c>
      <c r="BO3188" s="1" t="s">
        <v>74</v>
      </c>
      <c r="BP3188" s="1" t="s">
        <v>74</v>
      </c>
      <c r="BQ3188" s="1" t="s">
        <v>74</v>
      </c>
      <c r="BR3188" s="1" t="s">
        <v>98</v>
      </c>
      <c r="BS3188" s="1" t="s">
        <v>50622</v>
      </c>
      <c r="BT3188" s="1" t="str">
        <f>HYPERLINK("https%3A%2F%2Fwww.webofscience.com%2Fwos%2Fwoscc%2Ffull-record%2FWOS:000350921500012","View Full Record in Web of Science")</f>
        <v>View Full Record in Web of Science</v>
      </c>
      <c r="BU3188" s="1"/>
      <c r="BV3188" s="1"/>
    </row>
    <row r="3189" spans="1:74">
      <c r="A3189" s="1" t="s">
        <v>72</v>
      </c>
      <c r="B3189" s="1" t="s">
        <v>50623</v>
      </c>
      <c r="C3189" s="1" t="s">
        <v>74</v>
      </c>
      <c r="D3189" s="1" t="s">
        <v>74</v>
      </c>
      <c r="E3189" s="1" t="s">
        <v>74</v>
      </c>
      <c r="F3189" s="1" t="s">
        <v>50624</v>
      </c>
      <c r="G3189" s="1" t="s">
        <v>74</v>
      </c>
      <c r="H3189" s="1" t="s">
        <v>74</v>
      </c>
      <c r="I3189" s="1" t="s">
        <v>50625</v>
      </c>
      <c r="J3189" s="1" t="s">
        <v>204</v>
      </c>
      <c r="K3189" s="1" t="s">
        <v>74</v>
      </c>
      <c r="L3189" s="1" t="s">
        <v>74</v>
      </c>
      <c r="M3189" s="1" t="s">
        <v>78</v>
      </c>
      <c r="N3189" s="1" t="s">
        <v>79</v>
      </c>
      <c r="O3189" s="1" t="s">
        <v>74</v>
      </c>
      <c r="P3189" s="1" t="s">
        <v>74</v>
      </c>
      <c r="Q3189" s="1" t="s">
        <v>74</v>
      </c>
      <c r="R3189" s="1" t="s">
        <v>74</v>
      </c>
      <c r="S3189" s="1" t="s">
        <v>74</v>
      </c>
      <c r="T3189" s="1" t="s">
        <v>50626</v>
      </c>
      <c r="U3189" s="1" t="s">
        <v>50627</v>
      </c>
      <c r="V3189" s="1" t="s">
        <v>50628</v>
      </c>
      <c r="W3189" s="1" t="s">
        <v>50629</v>
      </c>
      <c r="X3189" s="1" t="s">
        <v>50630</v>
      </c>
      <c r="Y3189" s="1" t="s">
        <v>50631</v>
      </c>
      <c r="Z3189" s="1" t="s">
        <v>50632</v>
      </c>
      <c r="AA3189" s="1" t="s">
        <v>50633</v>
      </c>
      <c r="AB3189" s="1" t="s">
        <v>50634</v>
      </c>
      <c r="AC3189" s="1" t="s">
        <v>74</v>
      </c>
      <c r="AD3189" s="1" t="s">
        <v>74</v>
      </c>
      <c r="AE3189" s="1" t="s">
        <v>74</v>
      </c>
      <c r="AF3189" s="1" t="s">
        <v>74</v>
      </c>
      <c r="AG3189" s="1">
        <v>29</v>
      </c>
      <c r="AH3189" s="1">
        <v>5</v>
      </c>
      <c r="AI3189" s="1">
        <v>5</v>
      </c>
      <c r="AJ3189" s="1">
        <v>1</v>
      </c>
      <c r="AK3189" s="1">
        <v>14</v>
      </c>
      <c r="AL3189" s="1" t="s">
        <v>217</v>
      </c>
      <c r="AM3189" s="1" t="s">
        <v>218</v>
      </c>
      <c r="AN3189" s="1" t="s">
        <v>219</v>
      </c>
      <c r="AO3189" s="1" t="s">
        <v>220</v>
      </c>
      <c r="AP3189" s="1" t="s">
        <v>221</v>
      </c>
      <c r="AQ3189" s="1" t="s">
        <v>74</v>
      </c>
      <c r="AR3189" s="1" t="s">
        <v>222</v>
      </c>
      <c r="AS3189" s="1" t="s">
        <v>223</v>
      </c>
      <c r="AT3189" s="1" t="s">
        <v>1470</v>
      </c>
      <c r="AU3189" s="1">
        <v>2017</v>
      </c>
      <c r="AV3189" s="1">
        <v>24</v>
      </c>
      <c r="AW3189" s="1">
        <v>1</v>
      </c>
      <c r="AX3189" s="1" t="s">
        <v>74</v>
      </c>
      <c r="AY3189" s="1" t="s">
        <v>74</v>
      </c>
      <c r="AZ3189" s="1" t="s">
        <v>74</v>
      </c>
      <c r="BA3189" s="1" t="s">
        <v>74</v>
      </c>
      <c r="BB3189" s="1">
        <v>208</v>
      </c>
      <c r="BC3189" s="1">
        <v>214</v>
      </c>
      <c r="BD3189" s="1" t="s">
        <v>74</v>
      </c>
      <c r="BE3189" s="1" t="s">
        <v>50635</v>
      </c>
      <c r="BF3189" s="1" t="str">
        <f>HYPERLINK("http://dx.doi.org/10.1007/s11356-016-7783-x","http://dx.doi.org/10.1007/s11356-016-7783-x")</f>
        <v>http://dx.doi.org/10.1007/s11356-016-7783-x</v>
      </c>
      <c r="BG3189" s="1" t="s">
        <v>74</v>
      </c>
      <c r="BH3189" s="1" t="s">
        <v>74</v>
      </c>
      <c r="BI3189" s="1">
        <v>7</v>
      </c>
      <c r="BJ3189" s="1" t="s">
        <v>144</v>
      </c>
      <c r="BK3189" s="1" t="s">
        <v>96</v>
      </c>
      <c r="BL3189" s="1" t="s">
        <v>145</v>
      </c>
      <c r="BM3189" s="1" t="s">
        <v>10696</v>
      </c>
      <c r="BN3189" s="1">
        <v>27709430</v>
      </c>
      <c r="BO3189" s="1" t="s">
        <v>74</v>
      </c>
      <c r="BP3189" s="1" t="s">
        <v>74</v>
      </c>
      <c r="BQ3189" s="1" t="s">
        <v>74</v>
      </c>
      <c r="BR3189" s="1" t="s">
        <v>98</v>
      </c>
      <c r="BS3189" s="1" t="s">
        <v>50636</v>
      </c>
      <c r="BT3189" s="1" t="str">
        <f>HYPERLINK("https%3A%2F%2Fwww.webofscience.com%2Fwos%2Fwoscc%2Ffull-record%2FWOS:000392105700020","View Full Record in Web of Science")</f>
        <v>View Full Record in Web of Science</v>
      </c>
      <c r="BU3189" s="1"/>
      <c r="BV3189" s="1"/>
    </row>
    <row r="3190" spans="1:74">
      <c r="A3190" s="1" t="s">
        <v>72</v>
      </c>
      <c r="B3190" s="1" t="s">
        <v>50637</v>
      </c>
      <c r="C3190" s="1" t="s">
        <v>74</v>
      </c>
      <c r="D3190" s="1" t="s">
        <v>74</v>
      </c>
      <c r="E3190" s="1" t="s">
        <v>74</v>
      </c>
      <c r="F3190" s="1" t="s">
        <v>50638</v>
      </c>
      <c r="G3190" s="1" t="s">
        <v>74</v>
      </c>
      <c r="H3190" s="1" t="s">
        <v>74</v>
      </c>
      <c r="I3190" s="1" t="s">
        <v>50639</v>
      </c>
      <c r="J3190" s="1" t="s">
        <v>3349</v>
      </c>
      <c r="K3190" s="1" t="s">
        <v>74</v>
      </c>
      <c r="L3190" s="1" t="s">
        <v>74</v>
      </c>
      <c r="M3190" s="1" t="s">
        <v>78</v>
      </c>
      <c r="N3190" s="1" t="s">
        <v>79</v>
      </c>
      <c r="O3190" s="1" t="s">
        <v>74</v>
      </c>
      <c r="P3190" s="1" t="s">
        <v>74</v>
      </c>
      <c r="Q3190" s="1" t="s">
        <v>74</v>
      </c>
      <c r="R3190" s="1" t="s">
        <v>74</v>
      </c>
      <c r="S3190" s="1" t="s">
        <v>74</v>
      </c>
      <c r="T3190" s="1" t="s">
        <v>50640</v>
      </c>
      <c r="U3190" s="1" t="s">
        <v>50641</v>
      </c>
      <c r="V3190" s="1" t="s">
        <v>50642</v>
      </c>
      <c r="W3190" s="1" t="s">
        <v>50643</v>
      </c>
      <c r="X3190" s="1" t="s">
        <v>50644</v>
      </c>
      <c r="Y3190" s="1" t="s">
        <v>50645</v>
      </c>
      <c r="Z3190" s="1" t="s">
        <v>50646</v>
      </c>
      <c r="AA3190" s="1" t="s">
        <v>74</v>
      </c>
      <c r="AB3190" s="1" t="s">
        <v>50647</v>
      </c>
      <c r="AC3190" s="1" t="s">
        <v>50648</v>
      </c>
      <c r="AD3190" s="1" t="s">
        <v>50649</v>
      </c>
      <c r="AE3190" s="1" t="s">
        <v>50650</v>
      </c>
      <c r="AF3190" s="1" t="s">
        <v>74</v>
      </c>
      <c r="AG3190" s="1">
        <v>67</v>
      </c>
      <c r="AH3190" s="1">
        <v>9</v>
      </c>
      <c r="AI3190" s="1">
        <v>10</v>
      </c>
      <c r="AJ3190" s="1">
        <v>2</v>
      </c>
      <c r="AK3190" s="1">
        <v>27</v>
      </c>
      <c r="AL3190" s="1" t="s">
        <v>3362</v>
      </c>
      <c r="AM3190" s="1" t="s">
        <v>3363</v>
      </c>
      <c r="AN3190" s="1" t="s">
        <v>3364</v>
      </c>
      <c r="AO3190" s="1" t="s">
        <v>3365</v>
      </c>
      <c r="AP3190" s="1" t="s">
        <v>3366</v>
      </c>
      <c r="AQ3190" s="1" t="s">
        <v>74</v>
      </c>
      <c r="AR3190" s="1" t="s">
        <v>3367</v>
      </c>
      <c r="AS3190" s="1" t="s">
        <v>3368</v>
      </c>
      <c r="AT3190" s="1" t="s">
        <v>3506</v>
      </c>
      <c r="AU3190" s="1">
        <v>2020</v>
      </c>
      <c r="AV3190" s="1">
        <v>201</v>
      </c>
      <c r="AW3190" s="1" t="s">
        <v>74</v>
      </c>
      <c r="AX3190" s="1" t="s">
        <v>74</v>
      </c>
      <c r="AY3190" s="1" t="s">
        <v>74</v>
      </c>
      <c r="AZ3190" s="1" t="s">
        <v>74</v>
      </c>
      <c r="BA3190" s="1" t="s">
        <v>74</v>
      </c>
      <c r="BB3190" s="1" t="s">
        <v>74</v>
      </c>
      <c r="BC3190" s="1" t="s">
        <v>74</v>
      </c>
      <c r="BD3190" s="1">
        <v>110794</v>
      </c>
      <c r="BE3190" s="1" t="s">
        <v>50651</v>
      </c>
      <c r="BF3190" s="1" t="str">
        <f>HYPERLINK("http://dx.doi.org/10.1016/j.ecoenv.2020.110794","http://dx.doi.org/10.1016/j.ecoenv.2020.110794")</f>
        <v>http://dx.doi.org/10.1016/j.ecoenv.2020.110794</v>
      </c>
      <c r="BG3190" s="1" t="s">
        <v>74</v>
      </c>
      <c r="BH3190" s="1" t="s">
        <v>74</v>
      </c>
      <c r="BI3190" s="1">
        <v>9</v>
      </c>
      <c r="BJ3190" s="1" t="s">
        <v>121</v>
      </c>
      <c r="BK3190" s="1" t="s">
        <v>96</v>
      </c>
      <c r="BL3190" s="1" t="s">
        <v>122</v>
      </c>
      <c r="BM3190" s="1" t="s">
        <v>50652</v>
      </c>
      <c r="BN3190" s="1">
        <v>32526590</v>
      </c>
      <c r="BO3190" s="1" t="s">
        <v>74</v>
      </c>
      <c r="BP3190" s="1" t="s">
        <v>74</v>
      </c>
      <c r="BQ3190" s="1" t="s">
        <v>74</v>
      </c>
      <c r="BR3190" s="1" t="s">
        <v>98</v>
      </c>
      <c r="BS3190" s="1" t="s">
        <v>50653</v>
      </c>
      <c r="BT3190" s="1" t="str">
        <f>HYPERLINK("https%3A%2F%2Fwww.webofscience.com%2Fwos%2Fwoscc%2Ffull-record%2FWOS:000546898000024","View Full Record in Web of Science")</f>
        <v>View Full Record in Web of Science</v>
      </c>
      <c r="BU3190" s="1"/>
      <c r="BV3190" s="1"/>
    </row>
    <row r="3191" spans="1:74">
      <c r="A3191" s="1" t="s">
        <v>72</v>
      </c>
      <c r="B3191" s="1" t="s">
        <v>50654</v>
      </c>
      <c r="C3191" s="1" t="s">
        <v>74</v>
      </c>
      <c r="D3191" s="1" t="s">
        <v>74</v>
      </c>
      <c r="E3191" s="1" t="s">
        <v>74</v>
      </c>
      <c r="F3191" s="1" t="s">
        <v>50655</v>
      </c>
      <c r="G3191" s="1" t="s">
        <v>74</v>
      </c>
      <c r="H3191" s="1" t="s">
        <v>74</v>
      </c>
      <c r="I3191" s="1" t="s">
        <v>50656</v>
      </c>
      <c r="J3191" s="1" t="s">
        <v>232</v>
      </c>
      <c r="K3191" s="1" t="s">
        <v>74</v>
      </c>
      <c r="L3191" s="1" t="s">
        <v>74</v>
      </c>
      <c r="M3191" s="1" t="s">
        <v>78</v>
      </c>
      <c r="N3191" s="1" t="s">
        <v>79</v>
      </c>
      <c r="O3191" s="1" t="s">
        <v>74</v>
      </c>
      <c r="P3191" s="1" t="s">
        <v>74</v>
      </c>
      <c r="Q3191" s="1" t="s">
        <v>74</v>
      </c>
      <c r="R3191" s="1" t="s">
        <v>74</v>
      </c>
      <c r="S3191" s="1" t="s">
        <v>74</v>
      </c>
      <c r="T3191" s="1" t="s">
        <v>50657</v>
      </c>
      <c r="U3191" s="1" t="s">
        <v>50658</v>
      </c>
      <c r="V3191" s="1" t="s">
        <v>50659</v>
      </c>
      <c r="W3191" s="1" t="s">
        <v>50660</v>
      </c>
      <c r="X3191" s="1" t="s">
        <v>50661</v>
      </c>
      <c r="Y3191" s="1" t="s">
        <v>50662</v>
      </c>
      <c r="Z3191" s="1" t="s">
        <v>50088</v>
      </c>
      <c r="AA3191" s="1" t="s">
        <v>74</v>
      </c>
      <c r="AB3191" s="1" t="s">
        <v>74</v>
      </c>
      <c r="AC3191" s="1" t="s">
        <v>50663</v>
      </c>
      <c r="AD3191" s="1" t="s">
        <v>50664</v>
      </c>
      <c r="AE3191" s="1" t="s">
        <v>50665</v>
      </c>
      <c r="AF3191" s="1" t="s">
        <v>74</v>
      </c>
      <c r="AG3191" s="1">
        <v>97</v>
      </c>
      <c r="AH3191" s="1">
        <v>3</v>
      </c>
      <c r="AI3191" s="1">
        <v>3</v>
      </c>
      <c r="AJ3191" s="1">
        <v>5</v>
      </c>
      <c r="AK3191" s="1">
        <v>5</v>
      </c>
      <c r="AL3191" s="1" t="s">
        <v>136</v>
      </c>
      <c r="AM3191" s="1" t="s">
        <v>137</v>
      </c>
      <c r="AN3191" s="1" t="s">
        <v>138</v>
      </c>
      <c r="AO3191" s="1" t="s">
        <v>240</v>
      </c>
      <c r="AP3191" s="1" t="s">
        <v>241</v>
      </c>
      <c r="AQ3191" s="1" t="s">
        <v>74</v>
      </c>
      <c r="AR3191" s="1" t="s">
        <v>242</v>
      </c>
      <c r="AS3191" s="1" t="s">
        <v>243</v>
      </c>
      <c r="AT3191" s="1" t="s">
        <v>93</v>
      </c>
      <c r="AU3191" s="1">
        <v>2024</v>
      </c>
      <c r="AV3191" s="1">
        <v>201</v>
      </c>
      <c r="AW3191" s="1" t="s">
        <v>74</v>
      </c>
      <c r="AX3191" s="1" t="s">
        <v>74</v>
      </c>
      <c r="AY3191" s="1" t="s">
        <v>74</v>
      </c>
      <c r="AZ3191" s="1" t="s">
        <v>74</v>
      </c>
      <c r="BA3191" s="1" t="s">
        <v>74</v>
      </c>
      <c r="BB3191" s="1" t="s">
        <v>74</v>
      </c>
      <c r="BC3191" s="1" t="s">
        <v>74</v>
      </c>
      <c r="BD3191" s="1">
        <v>116228</v>
      </c>
      <c r="BE3191" s="1" t="s">
        <v>50666</v>
      </c>
      <c r="BF3191" s="1" t="str">
        <f>HYPERLINK("http://dx.doi.org/10.1016/j.marpolbul.2024.116228","http://dx.doi.org/10.1016/j.marpolbul.2024.116228")</f>
        <v>http://dx.doi.org/10.1016/j.marpolbul.2024.116228</v>
      </c>
      <c r="BG3191" s="1" t="s">
        <v>74</v>
      </c>
      <c r="BH3191" s="1" t="s">
        <v>2888</v>
      </c>
      <c r="BI3191" s="1">
        <v>13</v>
      </c>
      <c r="BJ3191" s="1" t="s">
        <v>247</v>
      </c>
      <c r="BK3191" s="1" t="s">
        <v>96</v>
      </c>
      <c r="BL3191" s="1" t="s">
        <v>248</v>
      </c>
      <c r="BM3191" s="1" t="s">
        <v>50667</v>
      </c>
      <c r="BN3191" s="1">
        <v>38467085</v>
      </c>
      <c r="BO3191" s="1" t="s">
        <v>74</v>
      </c>
      <c r="BP3191" s="1" t="s">
        <v>74</v>
      </c>
      <c r="BQ3191" s="1" t="s">
        <v>74</v>
      </c>
      <c r="BR3191" s="1" t="s">
        <v>98</v>
      </c>
      <c r="BS3191" s="1" t="s">
        <v>50668</v>
      </c>
      <c r="BT3191" s="1" t="str">
        <f>HYPERLINK("https%3A%2F%2Fwww.webofscience.com%2Fwos%2Fwoscc%2Ffull-record%2FWOS:001206686600001","View Full Record in Web of Science")</f>
        <v>View Full Record in Web of Science</v>
      </c>
      <c r="BU3191" s="1"/>
      <c r="BV3191" s="1"/>
    </row>
    <row r="3192" spans="1:74">
      <c r="A3192" s="1" t="s">
        <v>72</v>
      </c>
      <c r="B3192" s="1" t="s">
        <v>50669</v>
      </c>
      <c r="C3192" s="1" t="s">
        <v>74</v>
      </c>
      <c r="D3192" s="1" t="s">
        <v>74</v>
      </c>
      <c r="E3192" s="1" t="s">
        <v>74</v>
      </c>
      <c r="F3192" s="1" t="s">
        <v>50670</v>
      </c>
      <c r="G3192" s="1" t="s">
        <v>74</v>
      </c>
      <c r="H3192" s="1" t="s">
        <v>74</v>
      </c>
      <c r="I3192" s="1" t="s">
        <v>50671</v>
      </c>
      <c r="J3192" s="1" t="s">
        <v>232</v>
      </c>
      <c r="K3192" s="1" t="s">
        <v>74</v>
      </c>
      <c r="L3192" s="1" t="s">
        <v>74</v>
      </c>
      <c r="M3192" s="1" t="s">
        <v>78</v>
      </c>
      <c r="N3192" s="1" t="s">
        <v>79</v>
      </c>
      <c r="O3192" s="1" t="s">
        <v>74</v>
      </c>
      <c r="P3192" s="1" t="s">
        <v>74</v>
      </c>
      <c r="Q3192" s="1" t="s">
        <v>74</v>
      </c>
      <c r="R3192" s="1" t="s">
        <v>74</v>
      </c>
      <c r="S3192" s="1" t="s">
        <v>74</v>
      </c>
      <c r="T3192" s="1" t="s">
        <v>50672</v>
      </c>
      <c r="U3192" s="1" t="s">
        <v>50673</v>
      </c>
      <c r="V3192" s="1" t="s">
        <v>50674</v>
      </c>
      <c r="W3192" s="1" t="s">
        <v>50675</v>
      </c>
      <c r="X3192" s="1" t="s">
        <v>50676</v>
      </c>
      <c r="Y3192" s="1" t="s">
        <v>50677</v>
      </c>
      <c r="Z3192" s="1" t="s">
        <v>50678</v>
      </c>
      <c r="AA3192" s="1" t="s">
        <v>50679</v>
      </c>
      <c r="AB3192" s="1" t="s">
        <v>50680</v>
      </c>
      <c r="AC3192" s="1" t="s">
        <v>50681</v>
      </c>
      <c r="AD3192" s="1" t="s">
        <v>50681</v>
      </c>
      <c r="AE3192" s="1" t="s">
        <v>50682</v>
      </c>
      <c r="AF3192" s="1" t="s">
        <v>74</v>
      </c>
      <c r="AG3192" s="1">
        <v>56</v>
      </c>
      <c r="AH3192" s="1">
        <v>0</v>
      </c>
      <c r="AI3192" s="1">
        <v>0</v>
      </c>
      <c r="AJ3192" s="1">
        <v>1</v>
      </c>
      <c r="AK3192" s="1">
        <v>6</v>
      </c>
      <c r="AL3192" s="1" t="s">
        <v>136</v>
      </c>
      <c r="AM3192" s="1" t="s">
        <v>137</v>
      </c>
      <c r="AN3192" s="1" t="s">
        <v>138</v>
      </c>
      <c r="AO3192" s="1" t="s">
        <v>240</v>
      </c>
      <c r="AP3192" s="1" t="s">
        <v>241</v>
      </c>
      <c r="AQ3192" s="1" t="s">
        <v>74</v>
      </c>
      <c r="AR3192" s="1" t="s">
        <v>242</v>
      </c>
      <c r="AS3192" s="1" t="s">
        <v>243</v>
      </c>
      <c r="AT3192" s="1" t="s">
        <v>93</v>
      </c>
      <c r="AU3192" s="1">
        <v>2023</v>
      </c>
      <c r="AV3192" s="1">
        <v>189</v>
      </c>
      <c r="AW3192" s="1" t="s">
        <v>74</v>
      </c>
      <c r="AX3192" s="1" t="s">
        <v>74</v>
      </c>
      <c r="AY3192" s="1" t="s">
        <v>74</v>
      </c>
      <c r="AZ3192" s="1" t="s">
        <v>74</v>
      </c>
      <c r="BA3192" s="1" t="s">
        <v>74</v>
      </c>
      <c r="BB3192" s="1" t="s">
        <v>74</v>
      </c>
      <c r="BC3192" s="1" t="s">
        <v>74</v>
      </c>
      <c r="BD3192" s="1">
        <v>114752</v>
      </c>
      <c r="BE3192" s="1" t="s">
        <v>50683</v>
      </c>
      <c r="BF3192" s="1" t="str">
        <f>HYPERLINK("http://dx.doi.org/10.1016/j.marpolbul.2023.114752","http://dx.doi.org/10.1016/j.marpolbul.2023.114752")</f>
        <v>http://dx.doi.org/10.1016/j.marpolbul.2023.114752</v>
      </c>
      <c r="BG3192" s="1" t="s">
        <v>74</v>
      </c>
      <c r="BH3192" s="1" t="s">
        <v>6536</v>
      </c>
      <c r="BI3192" s="1">
        <v>9</v>
      </c>
      <c r="BJ3192" s="1" t="s">
        <v>247</v>
      </c>
      <c r="BK3192" s="1" t="s">
        <v>96</v>
      </c>
      <c r="BL3192" s="1" t="s">
        <v>248</v>
      </c>
      <c r="BM3192" s="1" t="s">
        <v>50684</v>
      </c>
      <c r="BN3192" s="1">
        <v>36870140</v>
      </c>
      <c r="BO3192" s="1" t="s">
        <v>74</v>
      </c>
      <c r="BP3192" s="1" t="s">
        <v>74</v>
      </c>
      <c r="BQ3192" s="1" t="s">
        <v>74</v>
      </c>
      <c r="BR3192" s="1" t="s">
        <v>98</v>
      </c>
      <c r="BS3192" s="1" t="s">
        <v>50685</v>
      </c>
      <c r="BT3192" s="1" t="str">
        <f>HYPERLINK("https%3A%2F%2Fwww.webofscience.com%2Fwos%2Fwoscc%2Ffull-record%2FWOS:000962477900001","View Full Record in Web of Science")</f>
        <v>View Full Record in Web of Science</v>
      </c>
      <c r="BU3192" s="1"/>
      <c r="BV3192" s="1"/>
    </row>
    <row r="3193" spans="1:74">
      <c r="A3193" s="1" t="s">
        <v>72</v>
      </c>
      <c r="B3193" s="1" t="s">
        <v>50686</v>
      </c>
      <c r="C3193" s="1" t="s">
        <v>74</v>
      </c>
      <c r="D3193" s="1" t="s">
        <v>74</v>
      </c>
      <c r="E3193" s="1" t="s">
        <v>74</v>
      </c>
      <c r="F3193" s="1" t="s">
        <v>50687</v>
      </c>
      <c r="G3193" s="1" t="s">
        <v>74</v>
      </c>
      <c r="H3193" s="1" t="s">
        <v>74</v>
      </c>
      <c r="I3193" s="1" t="s">
        <v>50688</v>
      </c>
      <c r="J3193" s="1" t="s">
        <v>28267</v>
      </c>
      <c r="K3193" s="1" t="s">
        <v>74</v>
      </c>
      <c r="L3193" s="1" t="s">
        <v>74</v>
      </c>
      <c r="M3193" s="1" t="s">
        <v>78</v>
      </c>
      <c r="N3193" s="1" t="s">
        <v>79</v>
      </c>
      <c r="O3193" s="1" t="s">
        <v>74</v>
      </c>
      <c r="P3193" s="1" t="s">
        <v>74</v>
      </c>
      <c r="Q3193" s="1" t="s">
        <v>74</v>
      </c>
      <c r="R3193" s="1" t="s">
        <v>74</v>
      </c>
      <c r="S3193" s="1" t="s">
        <v>74</v>
      </c>
      <c r="T3193" s="1" t="s">
        <v>50689</v>
      </c>
      <c r="U3193" s="1" t="s">
        <v>50690</v>
      </c>
      <c r="V3193" s="1" t="s">
        <v>50691</v>
      </c>
      <c r="W3193" s="1" t="s">
        <v>50692</v>
      </c>
      <c r="X3193" s="1" t="s">
        <v>50693</v>
      </c>
      <c r="Y3193" s="1" t="s">
        <v>50694</v>
      </c>
      <c r="Z3193" s="1" t="s">
        <v>50695</v>
      </c>
      <c r="AA3193" s="1" t="s">
        <v>50696</v>
      </c>
      <c r="AB3193" s="1" t="s">
        <v>50697</v>
      </c>
      <c r="AC3193" s="1" t="s">
        <v>50698</v>
      </c>
      <c r="AD3193" s="1" t="s">
        <v>50699</v>
      </c>
      <c r="AE3193" s="1" t="s">
        <v>50700</v>
      </c>
      <c r="AF3193" s="1" t="s">
        <v>74</v>
      </c>
      <c r="AG3193" s="1">
        <v>42</v>
      </c>
      <c r="AH3193" s="1">
        <v>9</v>
      </c>
      <c r="AI3193" s="1">
        <v>9</v>
      </c>
      <c r="AJ3193" s="1">
        <v>2</v>
      </c>
      <c r="AK3193" s="1">
        <v>55</v>
      </c>
      <c r="AL3193" s="1" t="s">
        <v>2074</v>
      </c>
      <c r="AM3193" s="1" t="s">
        <v>2075</v>
      </c>
      <c r="AN3193" s="1" t="s">
        <v>2076</v>
      </c>
      <c r="AO3193" s="1" t="s">
        <v>28279</v>
      </c>
      <c r="AP3193" s="1" t="s">
        <v>28280</v>
      </c>
      <c r="AQ3193" s="1" t="s">
        <v>74</v>
      </c>
      <c r="AR3193" s="1" t="s">
        <v>28281</v>
      </c>
      <c r="AS3193" s="1" t="s">
        <v>28282</v>
      </c>
      <c r="AT3193" s="1" t="s">
        <v>197</v>
      </c>
      <c r="AU3193" s="1">
        <v>2011</v>
      </c>
      <c r="AV3193" s="1">
        <v>45</v>
      </c>
      <c r="AW3193" s="1">
        <v>4</v>
      </c>
      <c r="AX3193" s="1" t="s">
        <v>74</v>
      </c>
      <c r="AY3193" s="1" t="s">
        <v>74</v>
      </c>
      <c r="AZ3193" s="1" t="s">
        <v>74</v>
      </c>
      <c r="BA3193" s="1" t="s">
        <v>74</v>
      </c>
      <c r="BB3193" s="1">
        <v>665</v>
      </c>
      <c r="BC3193" s="1">
        <v>677</v>
      </c>
      <c r="BD3193" s="1" t="s">
        <v>74</v>
      </c>
      <c r="BE3193" s="1" t="s">
        <v>50701</v>
      </c>
      <c r="BF3193" s="1" t="str">
        <f>HYPERLINK("http://dx.doi.org/10.1080/00288330.2011.578652","http://dx.doi.org/10.1080/00288330.2011.578652")</f>
        <v>http://dx.doi.org/10.1080/00288330.2011.578652</v>
      </c>
      <c r="BG3193" s="1" t="s">
        <v>74</v>
      </c>
      <c r="BH3193" s="1" t="s">
        <v>74</v>
      </c>
      <c r="BI3193" s="1">
        <v>13</v>
      </c>
      <c r="BJ3193" s="1" t="s">
        <v>3117</v>
      </c>
      <c r="BK3193" s="1" t="s">
        <v>96</v>
      </c>
      <c r="BL3193" s="1" t="s">
        <v>3117</v>
      </c>
      <c r="BM3193" s="1" t="s">
        <v>50702</v>
      </c>
      <c r="BN3193" s="1" t="s">
        <v>74</v>
      </c>
      <c r="BO3193" s="1" t="s">
        <v>1752</v>
      </c>
      <c r="BP3193" s="1" t="s">
        <v>74</v>
      </c>
      <c r="BQ3193" s="1" t="s">
        <v>74</v>
      </c>
      <c r="BR3193" s="1" t="s">
        <v>98</v>
      </c>
      <c r="BS3193" s="1" t="s">
        <v>50703</v>
      </c>
      <c r="BT3193" s="1" t="str">
        <f>HYPERLINK("https%3A%2F%2Fwww.webofscience.com%2Fwos%2Fwoscc%2Ffull-record%2FWOS:000299424600008","View Full Record in Web of Science")</f>
        <v>View Full Record in Web of Science</v>
      </c>
      <c r="BU3193" s="1"/>
      <c r="BV3193" s="1"/>
    </row>
    <row r="3194" spans="1:74">
      <c r="A3194" s="1" t="s">
        <v>72</v>
      </c>
      <c r="B3194" s="1" t="s">
        <v>38980</v>
      </c>
      <c r="C3194" s="1" t="s">
        <v>74</v>
      </c>
      <c r="D3194" s="1" t="s">
        <v>74</v>
      </c>
      <c r="E3194" s="1" t="s">
        <v>74</v>
      </c>
      <c r="F3194" s="1" t="s">
        <v>38980</v>
      </c>
      <c r="G3194" s="1" t="s">
        <v>74</v>
      </c>
      <c r="H3194" s="1" t="s">
        <v>74</v>
      </c>
      <c r="I3194" s="1" t="s">
        <v>50704</v>
      </c>
      <c r="J3194" s="1" t="s">
        <v>19357</v>
      </c>
      <c r="K3194" s="1" t="s">
        <v>74</v>
      </c>
      <c r="L3194" s="1" t="s">
        <v>74</v>
      </c>
      <c r="M3194" s="1" t="s">
        <v>78</v>
      </c>
      <c r="N3194" s="1" t="s">
        <v>79</v>
      </c>
      <c r="O3194" s="1" t="s">
        <v>74</v>
      </c>
      <c r="P3194" s="1" t="s">
        <v>74</v>
      </c>
      <c r="Q3194" s="1" t="s">
        <v>74</v>
      </c>
      <c r="R3194" s="1" t="s">
        <v>74</v>
      </c>
      <c r="S3194" s="1" t="s">
        <v>74</v>
      </c>
      <c r="T3194" s="1" t="s">
        <v>74</v>
      </c>
      <c r="U3194" s="1" t="s">
        <v>50705</v>
      </c>
      <c r="V3194" s="1" t="s">
        <v>50706</v>
      </c>
      <c r="W3194" s="1" t="s">
        <v>50707</v>
      </c>
      <c r="X3194" s="1" t="s">
        <v>50708</v>
      </c>
      <c r="Y3194" s="1" t="s">
        <v>50709</v>
      </c>
      <c r="Z3194" s="1" t="s">
        <v>74</v>
      </c>
      <c r="AA3194" s="1" t="s">
        <v>38991</v>
      </c>
      <c r="AB3194" s="1" t="s">
        <v>38992</v>
      </c>
      <c r="AC3194" s="1" t="s">
        <v>74</v>
      </c>
      <c r="AD3194" s="1" t="s">
        <v>74</v>
      </c>
      <c r="AE3194" s="1" t="s">
        <v>74</v>
      </c>
      <c r="AF3194" s="1" t="s">
        <v>74</v>
      </c>
      <c r="AG3194" s="1">
        <v>21</v>
      </c>
      <c r="AH3194" s="1">
        <v>57</v>
      </c>
      <c r="AI3194" s="1">
        <v>66</v>
      </c>
      <c r="AJ3194" s="1">
        <v>1</v>
      </c>
      <c r="AK3194" s="1">
        <v>33</v>
      </c>
      <c r="AL3194" s="1" t="s">
        <v>2718</v>
      </c>
      <c r="AM3194" s="1" t="s">
        <v>113</v>
      </c>
      <c r="AN3194" s="1" t="s">
        <v>2719</v>
      </c>
      <c r="AO3194" s="1" t="s">
        <v>19363</v>
      </c>
      <c r="AP3194" s="1" t="s">
        <v>74</v>
      </c>
      <c r="AQ3194" s="1" t="s">
        <v>74</v>
      </c>
      <c r="AR3194" s="1" t="s">
        <v>19364</v>
      </c>
      <c r="AS3194" s="1" t="s">
        <v>19365</v>
      </c>
      <c r="AT3194" s="1" t="s">
        <v>119</v>
      </c>
      <c r="AU3194" s="1">
        <v>2000</v>
      </c>
      <c r="AV3194" s="1">
        <v>367</v>
      </c>
      <c r="AW3194" s="1">
        <v>7</v>
      </c>
      <c r="AX3194" s="1" t="s">
        <v>74</v>
      </c>
      <c r="AY3194" s="1" t="s">
        <v>74</v>
      </c>
      <c r="AZ3194" s="1" t="s">
        <v>74</v>
      </c>
      <c r="BA3194" s="1" t="s">
        <v>74</v>
      </c>
      <c r="BB3194" s="1">
        <v>635</v>
      </c>
      <c r="BC3194" s="1">
        <v>640</v>
      </c>
      <c r="BD3194" s="1" t="s">
        <v>74</v>
      </c>
      <c r="BE3194" s="1" t="s">
        <v>50710</v>
      </c>
      <c r="BF3194" s="1" t="str">
        <f>HYPERLINK("http://dx.doi.org/10.1007/s002160000421","http://dx.doi.org/10.1007/s002160000421")</f>
        <v>http://dx.doi.org/10.1007/s002160000421</v>
      </c>
      <c r="BG3194" s="1" t="s">
        <v>74</v>
      </c>
      <c r="BH3194" s="1" t="s">
        <v>74</v>
      </c>
      <c r="BI3194" s="1">
        <v>6</v>
      </c>
      <c r="BJ3194" s="1" t="s">
        <v>1196</v>
      </c>
      <c r="BK3194" s="1" t="s">
        <v>96</v>
      </c>
      <c r="BL3194" s="1" t="s">
        <v>1197</v>
      </c>
      <c r="BM3194" s="1" t="s">
        <v>50711</v>
      </c>
      <c r="BN3194" s="1">
        <v>11221925</v>
      </c>
      <c r="BO3194" s="1" t="s">
        <v>74</v>
      </c>
      <c r="BP3194" s="1" t="s">
        <v>74</v>
      </c>
      <c r="BQ3194" s="1" t="s">
        <v>74</v>
      </c>
      <c r="BR3194" s="1" t="s">
        <v>98</v>
      </c>
      <c r="BS3194" s="1" t="s">
        <v>50712</v>
      </c>
      <c r="BT3194" s="1" t="str">
        <f>HYPERLINK("https%3A%2F%2Fwww.webofscience.com%2Fwos%2Fwoscc%2Ffull-record%2FWOS:000088468100005","View Full Record in Web of Science")</f>
        <v>View Full Record in Web of Science</v>
      </c>
      <c r="BU3194" s="1"/>
      <c r="BV3194" s="1"/>
    </row>
    <row r="3195" spans="1:74">
      <c r="A3195" s="1" t="s">
        <v>72</v>
      </c>
      <c r="B3195" s="1" t="s">
        <v>50713</v>
      </c>
      <c r="C3195" s="1" t="s">
        <v>74</v>
      </c>
      <c r="D3195" s="1" t="s">
        <v>74</v>
      </c>
      <c r="E3195" s="1" t="s">
        <v>74</v>
      </c>
      <c r="F3195" s="1" t="s">
        <v>50714</v>
      </c>
      <c r="G3195" s="1" t="s">
        <v>74</v>
      </c>
      <c r="H3195" s="1" t="s">
        <v>74</v>
      </c>
      <c r="I3195" s="1" t="s">
        <v>50715</v>
      </c>
      <c r="J3195" s="1" t="s">
        <v>421</v>
      </c>
      <c r="K3195" s="1" t="s">
        <v>74</v>
      </c>
      <c r="L3195" s="1" t="s">
        <v>74</v>
      </c>
      <c r="M3195" s="1" t="s">
        <v>78</v>
      </c>
      <c r="N3195" s="1" t="s">
        <v>79</v>
      </c>
      <c r="O3195" s="1" t="s">
        <v>74</v>
      </c>
      <c r="P3195" s="1" t="s">
        <v>74</v>
      </c>
      <c r="Q3195" s="1" t="s">
        <v>74</v>
      </c>
      <c r="R3195" s="1" t="s">
        <v>74</v>
      </c>
      <c r="S3195" s="1" t="s">
        <v>74</v>
      </c>
      <c r="T3195" s="1" t="s">
        <v>50716</v>
      </c>
      <c r="U3195" s="1" t="s">
        <v>50717</v>
      </c>
      <c r="V3195" s="1" t="s">
        <v>50718</v>
      </c>
      <c r="W3195" s="1" t="s">
        <v>50719</v>
      </c>
      <c r="X3195" s="1" t="s">
        <v>4148</v>
      </c>
      <c r="Y3195" s="1" t="s">
        <v>50720</v>
      </c>
      <c r="Z3195" s="1" t="s">
        <v>50721</v>
      </c>
      <c r="AA3195" s="1" t="s">
        <v>50722</v>
      </c>
      <c r="AB3195" s="1" t="s">
        <v>50723</v>
      </c>
      <c r="AC3195" s="1" t="s">
        <v>50724</v>
      </c>
      <c r="AD3195" s="1" t="s">
        <v>50724</v>
      </c>
      <c r="AE3195" s="1" t="s">
        <v>50725</v>
      </c>
      <c r="AF3195" s="1" t="s">
        <v>74</v>
      </c>
      <c r="AG3195" s="1">
        <v>51</v>
      </c>
      <c r="AH3195" s="1">
        <v>18</v>
      </c>
      <c r="AI3195" s="1">
        <v>18</v>
      </c>
      <c r="AJ3195" s="1">
        <v>0</v>
      </c>
      <c r="AK3195" s="1">
        <v>36</v>
      </c>
      <c r="AL3195" s="1" t="s">
        <v>430</v>
      </c>
      <c r="AM3195" s="1" t="s">
        <v>137</v>
      </c>
      <c r="AN3195" s="1" t="s">
        <v>431</v>
      </c>
      <c r="AO3195" s="1" t="s">
        <v>432</v>
      </c>
      <c r="AP3195" s="1" t="s">
        <v>1394</v>
      </c>
      <c r="AQ3195" s="1" t="s">
        <v>74</v>
      </c>
      <c r="AR3195" s="1" t="s">
        <v>433</v>
      </c>
      <c r="AS3195" s="1" t="s">
        <v>434</v>
      </c>
      <c r="AT3195" s="1" t="s">
        <v>1470</v>
      </c>
      <c r="AU3195" s="1">
        <v>2014</v>
      </c>
      <c r="AV3195" s="1">
        <v>184</v>
      </c>
      <c r="AW3195" s="1" t="s">
        <v>74</v>
      </c>
      <c r="AX3195" s="1" t="s">
        <v>74</v>
      </c>
      <c r="AY3195" s="1" t="s">
        <v>74</v>
      </c>
      <c r="AZ3195" s="1" t="s">
        <v>225</v>
      </c>
      <c r="BA3195" s="1" t="s">
        <v>74</v>
      </c>
      <c r="BB3195" s="1">
        <v>290</v>
      </c>
      <c r="BC3195" s="1">
        <v>297</v>
      </c>
      <c r="BD3195" s="1" t="s">
        <v>74</v>
      </c>
      <c r="BE3195" s="1" t="s">
        <v>50726</v>
      </c>
      <c r="BF3195" s="1" t="str">
        <f>HYPERLINK("http://dx.doi.org/10.1016/j.envpol.2013.08.026","http://dx.doi.org/10.1016/j.envpol.2013.08.026")</f>
        <v>http://dx.doi.org/10.1016/j.envpol.2013.08.026</v>
      </c>
      <c r="BG3195" s="1" t="s">
        <v>74</v>
      </c>
      <c r="BH3195" s="1" t="s">
        <v>74</v>
      </c>
      <c r="BI3195" s="1">
        <v>8</v>
      </c>
      <c r="BJ3195" s="1" t="s">
        <v>144</v>
      </c>
      <c r="BK3195" s="1" t="s">
        <v>96</v>
      </c>
      <c r="BL3195" s="1" t="s">
        <v>145</v>
      </c>
      <c r="BM3195" s="1" t="s">
        <v>50727</v>
      </c>
      <c r="BN3195" s="1">
        <v>24077257</v>
      </c>
      <c r="BO3195" s="1" t="s">
        <v>74</v>
      </c>
      <c r="BP3195" s="1" t="s">
        <v>74</v>
      </c>
      <c r="BQ3195" s="1" t="s">
        <v>74</v>
      </c>
      <c r="BR3195" s="1" t="s">
        <v>98</v>
      </c>
      <c r="BS3195" s="1" t="s">
        <v>50728</v>
      </c>
      <c r="BT3195" s="1" t="str">
        <f>HYPERLINK("https%3A%2F%2Fwww.webofscience.com%2Fwos%2Fwoscc%2Ffull-record%2FWOS:000329419200035","View Full Record in Web of Science")</f>
        <v>View Full Record in Web of Science</v>
      </c>
      <c r="BU3195" s="1"/>
      <c r="BV3195" s="1"/>
    </row>
    <row r="3196" spans="1:74">
      <c r="A3196" s="1" t="s">
        <v>72</v>
      </c>
      <c r="B3196" s="1" t="s">
        <v>50729</v>
      </c>
      <c r="C3196" s="1" t="s">
        <v>74</v>
      </c>
      <c r="D3196" s="1" t="s">
        <v>74</v>
      </c>
      <c r="E3196" s="1" t="s">
        <v>74</v>
      </c>
      <c r="F3196" s="1" t="s">
        <v>50730</v>
      </c>
      <c r="G3196" s="1" t="s">
        <v>74</v>
      </c>
      <c r="H3196" s="1" t="s">
        <v>74</v>
      </c>
      <c r="I3196" s="1" t="s">
        <v>50731</v>
      </c>
      <c r="J3196" s="1" t="s">
        <v>3349</v>
      </c>
      <c r="K3196" s="1" t="s">
        <v>74</v>
      </c>
      <c r="L3196" s="1" t="s">
        <v>74</v>
      </c>
      <c r="M3196" s="1" t="s">
        <v>78</v>
      </c>
      <c r="N3196" s="1" t="s">
        <v>79</v>
      </c>
      <c r="O3196" s="1" t="s">
        <v>74</v>
      </c>
      <c r="P3196" s="1" t="s">
        <v>74</v>
      </c>
      <c r="Q3196" s="1" t="s">
        <v>74</v>
      </c>
      <c r="R3196" s="1" t="s">
        <v>74</v>
      </c>
      <c r="S3196" s="1" t="s">
        <v>74</v>
      </c>
      <c r="T3196" s="1" t="s">
        <v>50732</v>
      </c>
      <c r="U3196" s="1" t="s">
        <v>50733</v>
      </c>
      <c r="V3196" s="1" t="s">
        <v>50734</v>
      </c>
      <c r="W3196" s="1" t="s">
        <v>50735</v>
      </c>
      <c r="X3196" s="1" t="s">
        <v>50736</v>
      </c>
      <c r="Y3196" s="1" t="s">
        <v>50737</v>
      </c>
      <c r="Z3196" s="1" t="s">
        <v>50738</v>
      </c>
      <c r="AA3196" s="1" t="s">
        <v>50739</v>
      </c>
      <c r="AB3196" s="1" t="s">
        <v>50740</v>
      </c>
      <c r="AC3196" s="1" t="s">
        <v>50741</v>
      </c>
      <c r="AD3196" s="1" t="s">
        <v>50741</v>
      </c>
      <c r="AE3196" s="1" t="s">
        <v>50742</v>
      </c>
      <c r="AF3196" s="1" t="s">
        <v>74</v>
      </c>
      <c r="AG3196" s="1">
        <v>40</v>
      </c>
      <c r="AH3196" s="1">
        <v>20</v>
      </c>
      <c r="AI3196" s="1">
        <v>29</v>
      </c>
      <c r="AJ3196" s="1">
        <v>1</v>
      </c>
      <c r="AK3196" s="1">
        <v>7</v>
      </c>
      <c r="AL3196" s="1" t="s">
        <v>3362</v>
      </c>
      <c r="AM3196" s="1" t="s">
        <v>3363</v>
      </c>
      <c r="AN3196" s="1" t="s">
        <v>3364</v>
      </c>
      <c r="AO3196" s="1" t="s">
        <v>3365</v>
      </c>
      <c r="AP3196" s="1" t="s">
        <v>3366</v>
      </c>
      <c r="AQ3196" s="1" t="s">
        <v>74</v>
      </c>
      <c r="AR3196" s="1" t="s">
        <v>3367</v>
      </c>
      <c r="AS3196" s="1" t="s">
        <v>3368</v>
      </c>
      <c r="AT3196" s="1" t="s">
        <v>224</v>
      </c>
      <c r="AU3196" s="1">
        <v>2009</v>
      </c>
      <c r="AV3196" s="1">
        <v>72</v>
      </c>
      <c r="AW3196" s="1">
        <v>2</v>
      </c>
      <c r="AX3196" s="1" t="s">
        <v>74</v>
      </c>
      <c r="AY3196" s="1" t="s">
        <v>74</v>
      </c>
      <c r="AZ3196" s="1" t="s">
        <v>74</v>
      </c>
      <c r="BA3196" s="1" t="s">
        <v>74</v>
      </c>
      <c r="BB3196" s="1">
        <v>394</v>
      </c>
      <c r="BC3196" s="1">
        <v>399</v>
      </c>
      <c r="BD3196" s="1" t="s">
        <v>74</v>
      </c>
      <c r="BE3196" s="1" t="s">
        <v>50743</v>
      </c>
      <c r="BF3196" s="1" t="str">
        <f>HYPERLINK("http://dx.doi.org/10.1016/j.ecoenv.2008.07.016","http://dx.doi.org/10.1016/j.ecoenv.2008.07.016")</f>
        <v>http://dx.doi.org/10.1016/j.ecoenv.2008.07.016</v>
      </c>
      <c r="BG3196" s="1" t="s">
        <v>74</v>
      </c>
      <c r="BH3196" s="1" t="s">
        <v>74</v>
      </c>
      <c r="BI3196" s="1">
        <v>6</v>
      </c>
      <c r="BJ3196" s="1" t="s">
        <v>121</v>
      </c>
      <c r="BK3196" s="1" t="s">
        <v>96</v>
      </c>
      <c r="BL3196" s="1" t="s">
        <v>122</v>
      </c>
      <c r="BM3196" s="1" t="s">
        <v>50744</v>
      </c>
      <c r="BN3196" s="1">
        <v>18786724</v>
      </c>
      <c r="BO3196" s="1" t="s">
        <v>74</v>
      </c>
      <c r="BP3196" s="1" t="s">
        <v>74</v>
      </c>
      <c r="BQ3196" s="1" t="s">
        <v>74</v>
      </c>
      <c r="BR3196" s="1" t="s">
        <v>98</v>
      </c>
      <c r="BS3196" s="1" t="s">
        <v>50745</v>
      </c>
      <c r="BT3196" s="1" t="str">
        <f>HYPERLINK("https%3A%2F%2Fwww.webofscience.com%2Fwos%2Fwoscc%2Ffull-record%2FWOS:000260921000017","View Full Record in Web of Science")</f>
        <v>View Full Record in Web of Science</v>
      </c>
      <c r="BU3196" s="1"/>
      <c r="BV3196" s="1"/>
    </row>
    <row r="3197" spans="1:74">
      <c r="A3197" s="1" t="s">
        <v>72</v>
      </c>
      <c r="B3197" s="1" t="s">
        <v>50746</v>
      </c>
      <c r="C3197" s="1" t="s">
        <v>74</v>
      </c>
      <c r="D3197" s="1" t="s">
        <v>74</v>
      </c>
      <c r="E3197" s="1" t="s">
        <v>74</v>
      </c>
      <c r="F3197" s="1" t="s">
        <v>50747</v>
      </c>
      <c r="G3197" s="1" t="s">
        <v>74</v>
      </c>
      <c r="H3197" s="1" t="s">
        <v>74</v>
      </c>
      <c r="I3197" s="1" t="s">
        <v>50748</v>
      </c>
      <c r="J3197" s="1" t="s">
        <v>127</v>
      </c>
      <c r="K3197" s="1" t="s">
        <v>74</v>
      </c>
      <c r="L3197" s="1" t="s">
        <v>74</v>
      </c>
      <c r="M3197" s="1" t="s">
        <v>78</v>
      </c>
      <c r="N3197" s="1" t="s">
        <v>79</v>
      </c>
      <c r="O3197" s="1" t="s">
        <v>74</v>
      </c>
      <c r="P3197" s="1" t="s">
        <v>74</v>
      </c>
      <c r="Q3197" s="1" t="s">
        <v>74</v>
      </c>
      <c r="R3197" s="1" t="s">
        <v>74</v>
      </c>
      <c r="S3197" s="1" t="s">
        <v>74</v>
      </c>
      <c r="T3197" s="1" t="s">
        <v>50749</v>
      </c>
      <c r="U3197" s="1" t="s">
        <v>50750</v>
      </c>
      <c r="V3197" s="1" t="s">
        <v>50751</v>
      </c>
      <c r="W3197" s="1" t="s">
        <v>50752</v>
      </c>
      <c r="X3197" s="1" t="s">
        <v>42889</v>
      </c>
      <c r="Y3197" s="1" t="s">
        <v>29678</v>
      </c>
      <c r="Z3197" s="1" t="s">
        <v>29679</v>
      </c>
      <c r="AA3197" s="1" t="s">
        <v>74</v>
      </c>
      <c r="AB3197" s="1" t="s">
        <v>50753</v>
      </c>
      <c r="AC3197" s="1" t="s">
        <v>50754</v>
      </c>
      <c r="AD3197" s="1" t="s">
        <v>50755</v>
      </c>
      <c r="AE3197" s="1" t="s">
        <v>50756</v>
      </c>
      <c r="AF3197" s="1" t="s">
        <v>74</v>
      </c>
      <c r="AG3197" s="1">
        <v>85</v>
      </c>
      <c r="AH3197" s="1">
        <v>21</v>
      </c>
      <c r="AI3197" s="1">
        <v>21</v>
      </c>
      <c r="AJ3197" s="1">
        <v>3</v>
      </c>
      <c r="AK3197" s="1">
        <v>34</v>
      </c>
      <c r="AL3197" s="1" t="s">
        <v>136</v>
      </c>
      <c r="AM3197" s="1" t="s">
        <v>137</v>
      </c>
      <c r="AN3197" s="1" t="s">
        <v>138</v>
      </c>
      <c r="AO3197" s="1" t="s">
        <v>139</v>
      </c>
      <c r="AP3197" s="1" t="s">
        <v>140</v>
      </c>
      <c r="AQ3197" s="1" t="s">
        <v>74</v>
      </c>
      <c r="AR3197" s="1" t="s">
        <v>127</v>
      </c>
      <c r="AS3197" s="1" t="s">
        <v>141</v>
      </c>
      <c r="AT3197" s="1" t="s">
        <v>224</v>
      </c>
      <c r="AU3197" s="1">
        <v>2021</v>
      </c>
      <c r="AV3197" s="1">
        <v>264</v>
      </c>
      <c r="AW3197" s="1" t="s">
        <v>74</v>
      </c>
      <c r="AX3197" s="1">
        <v>2</v>
      </c>
      <c r="AY3197" s="1" t="s">
        <v>74</v>
      </c>
      <c r="AZ3197" s="1" t="s">
        <v>74</v>
      </c>
      <c r="BA3197" s="1" t="s">
        <v>74</v>
      </c>
      <c r="BB3197" s="1" t="s">
        <v>74</v>
      </c>
      <c r="BC3197" s="1" t="s">
        <v>74</v>
      </c>
      <c r="BD3197" s="1">
        <v>128512</v>
      </c>
      <c r="BE3197" s="1" t="s">
        <v>50757</v>
      </c>
      <c r="BF3197" s="1" t="str">
        <f>HYPERLINK("http://dx.doi.org/10.1016/j.chemosphere.2020.128512","http://dx.doi.org/10.1016/j.chemosphere.2020.128512")</f>
        <v>http://dx.doi.org/10.1016/j.chemosphere.2020.128512</v>
      </c>
      <c r="BG3197" s="1" t="s">
        <v>74</v>
      </c>
      <c r="BH3197" s="1" t="s">
        <v>74</v>
      </c>
      <c r="BI3197" s="1">
        <v>12</v>
      </c>
      <c r="BJ3197" s="1" t="s">
        <v>144</v>
      </c>
      <c r="BK3197" s="1" t="s">
        <v>96</v>
      </c>
      <c r="BL3197" s="1" t="s">
        <v>145</v>
      </c>
      <c r="BM3197" s="1" t="s">
        <v>50758</v>
      </c>
      <c r="BN3197" s="1">
        <v>33049511</v>
      </c>
      <c r="BO3197" s="1" t="s">
        <v>74</v>
      </c>
      <c r="BP3197" s="1" t="s">
        <v>74</v>
      </c>
      <c r="BQ3197" s="1" t="s">
        <v>74</v>
      </c>
      <c r="BR3197" s="1" t="s">
        <v>98</v>
      </c>
      <c r="BS3197" s="1" t="s">
        <v>50759</v>
      </c>
      <c r="BT3197" s="1" t="str">
        <f>HYPERLINK("https%3A%2F%2Fwww.webofscience.com%2Fwos%2Fwoscc%2Ffull-record%2FWOS:000602569900026","View Full Record in Web of Science")</f>
        <v>View Full Record in Web of Science</v>
      </c>
      <c r="BU3197" s="1"/>
      <c r="BV3197" s="1"/>
    </row>
    <row r="3198" spans="1:74">
      <c r="A3198" s="1" t="s">
        <v>72</v>
      </c>
      <c r="B3198" s="1" t="s">
        <v>50760</v>
      </c>
      <c r="C3198" s="1" t="s">
        <v>74</v>
      </c>
      <c r="D3198" s="1" t="s">
        <v>74</v>
      </c>
      <c r="E3198" s="1" t="s">
        <v>74</v>
      </c>
      <c r="F3198" s="1" t="s">
        <v>50761</v>
      </c>
      <c r="G3198" s="1" t="s">
        <v>74</v>
      </c>
      <c r="H3198" s="1" t="s">
        <v>74</v>
      </c>
      <c r="I3198" s="1" t="s">
        <v>50762</v>
      </c>
      <c r="J3198" s="1" t="s">
        <v>554</v>
      </c>
      <c r="K3198" s="1" t="s">
        <v>74</v>
      </c>
      <c r="L3198" s="1" t="s">
        <v>74</v>
      </c>
      <c r="M3198" s="1" t="s">
        <v>78</v>
      </c>
      <c r="N3198" s="1" t="s">
        <v>79</v>
      </c>
      <c r="O3198" s="1" t="s">
        <v>74</v>
      </c>
      <c r="P3198" s="1" t="s">
        <v>74</v>
      </c>
      <c r="Q3198" s="1" t="s">
        <v>74</v>
      </c>
      <c r="R3198" s="1" t="s">
        <v>74</v>
      </c>
      <c r="S3198" s="1" t="s">
        <v>74</v>
      </c>
      <c r="T3198" s="1" t="s">
        <v>50763</v>
      </c>
      <c r="U3198" s="1" t="s">
        <v>50764</v>
      </c>
      <c r="V3198" s="1" t="s">
        <v>50765</v>
      </c>
      <c r="W3198" s="1" t="s">
        <v>50766</v>
      </c>
      <c r="X3198" s="1" t="s">
        <v>26268</v>
      </c>
      <c r="Y3198" s="1" t="s">
        <v>50767</v>
      </c>
      <c r="Z3198" s="1" t="s">
        <v>50768</v>
      </c>
      <c r="AA3198" s="1" t="s">
        <v>74</v>
      </c>
      <c r="AB3198" s="1" t="s">
        <v>74</v>
      </c>
      <c r="AC3198" s="1" t="s">
        <v>50769</v>
      </c>
      <c r="AD3198" s="1" t="s">
        <v>50769</v>
      </c>
      <c r="AE3198" s="1" t="s">
        <v>50770</v>
      </c>
      <c r="AF3198" s="1" t="s">
        <v>74</v>
      </c>
      <c r="AG3198" s="1">
        <v>39</v>
      </c>
      <c r="AH3198" s="1">
        <v>6</v>
      </c>
      <c r="AI3198" s="1">
        <v>6</v>
      </c>
      <c r="AJ3198" s="1">
        <v>0</v>
      </c>
      <c r="AK3198" s="1">
        <v>3</v>
      </c>
      <c r="AL3198" s="1" t="s">
        <v>564</v>
      </c>
      <c r="AM3198" s="1" t="s">
        <v>113</v>
      </c>
      <c r="AN3198" s="1" t="s">
        <v>807</v>
      </c>
      <c r="AO3198" s="1" t="s">
        <v>566</v>
      </c>
      <c r="AP3198" s="1" t="s">
        <v>567</v>
      </c>
      <c r="AQ3198" s="1" t="s">
        <v>74</v>
      </c>
      <c r="AR3198" s="1" t="s">
        <v>568</v>
      </c>
      <c r="AS3198" s="1" t="s">
        <v>569</v>
      </c>
      <c r="AT3198" s="1" t="s">
        <v>142</v>
      </c>
      <c r="AU3198" s="1">
        <v>2020</v>
      </c>
      <c r="AV3198" s="1">
        <v>232</v>
      </c>
      <c r="AW3198" s="1" t="s">
        <v>74</v>
      </c>
      <c r="AX3198" s="1" t="s">
        <v>74</v>
      </c>
      <c r="AY3198" s="1" t="s">
        <v>74</v>
      </c>
      <c r="AZ3198" s="1" t="s">
        <v>74</v>
      </c>
      <c r="BA3198" s="1" t="s">
        <v>74</v>
      </c>
      <c r="BB3198" s="1" t="s">
        <v>74</v>
      </c>
      <c r="BC3198" s="1" t="s">
        <v>74</v>
      </c>
      <c r="BD3198" s="1">
        <v>108760</v>
      </c>
      <c r="BE3198" s="1" t="s">
        <v>50771</v>
      </c>
      <c r="BF3198" s="1" t="str">
        <f>HYPERLINK("http://dx.doi.org/10.1016/j.cbpc.2020.108760","http://dx.doi.org/10.1016/j.cbpc.2020.108760")</f>
        <v>http://dx.doi.org/10.1016/j.cbpc.2020.108760</v>
      </c>
      <c r="BG3198" s="1" t="s">
        <v>74</v>
      </c>
      <c r="BH3198" s="1" t="s">
        <v>74</v>
      </c>
      <c r="BI3198" s="1">
        <v>9</v>
      </c>
      <c r="BJ3198" s="1" t="s">
        <v>571</v>
      </c>
      <c r="BK3198" s="1" t="s">
        <v>96</v>
      </c>
      <c r="BL3198" s="1" t="s">
        <v>571</v>
      </c>
      <c r="BM3198" s="1" t="s">
        <v>50772</v>
      </c>
      <c r="BN3198" s="1">
        <v>32259594</v>
      </c>
      <c r="BO3198" s="1" t="s">
        <v>74</v>
      </c>
      <c r="BP3198" s="1" t="s">
        <v>74</v>
      </c>
      <c r="BQ3198" s="1" t="s">
        <v>74</v>
      </c>
      <c r="BR3198" s="1" t="s">
        <v>98</v>
      </c>
      <c r="BS3198" s="1" t="s">
        <v>50773</v>
      </c>
      <c r="BT3198" s="1" t="str">
        <f>HYPERLINK("https%3A%2F%2Fwww.webofscience.com%2Fwos%2Fwoscc%2Ffull-record%2FWOS:000528270100009","View Full Record in Web of Science")</f>
        <v>View Full Record in Web of Science</v>
      </c>
      <c r="BU3198" s="1"/>
      <c r="BV3198" s="1"/>
    </row>
    <row r="3199" spans="1:74">
      <c r="A3199" s="1" t="s">
        <v>72</v>
      </c>
      <c r="B3199" s="1" t="s">
        <v>50774</v>
      </c>
      <c r="C3199" s="1" t="s">
        <v>74</v>
      </c>
      <c r="D3199" s="1" t="s">
        <v>74</v>
      </c>
      <c r="E3199" s="1" t="s">
        <v>74</v>
      </c>
      <c r="F3199" s="1" t="s">
        <v>50775</v>
      </c>
      <c r="G3199" s="1" t="s">
        <v>74</v>
      </c>
      <c r="H3199" s="1" t="s">
        <v>74</v>
      </c>
      <c r="I3199" s="1" t="s">
        <v>50776</v>
      </c>
      <c r="J3199" s="1" t="s">
        <v>7269</v>
      </c>
      <c r="K3199" s="1" t="s">
        <v>74</v>
      </c>
      <c r="L3199" s="1" t="s">
        <v>74</v>
      </c>
      <c r="M3199" s="1" t="s">
        <v>78</v>
      </c>
      <c r="N3199" s="1" t="s">
        <v>79</v>
      </c>
      <c r="O3199" s="1" t="s">
        <v>74</v>
      </c>
      <c r="P3199" s="1" t="s">
        <v>74</v>
      </c>
      <c r="Q3199" s="1" t="s">
        <v>74</v>
      </c>
      <c r="R3199" s="1" t="s">
        <v>74</v>
      </c>
      <c r="S3199" s="1" t="s">
        <v>74</v>
      </c>
      <c r="T3199" s="1" t="s">
        <v>50777</v>
      </c>
      <c r="U3199" s="1" t="s">
        <v>50778</v>
      </c>
      <c r="V3199" s="1" t="s">
        <v>50779</v>
      </c>
      <c r="W3199" s="1" t="s">
        <v>50780</v>
      </c>
      <c r="X3199" s="1" t="s">
        <v>50781</v>
      </c>
      <c r="Y3199" s="1" t="s">
        <v>50782</v>
      </c>
      <c r="Z3199" s="1" t="s">
        <v>50783</v>
      </c>
      <c r="AA3199" s="1" t="s">
        <v>50784</v>
      </c>
      <c r="AB3199" s="1" t="s">
        <v>74</v>
      </c>
      <c r="AC3199" s="1" t="s">
        <v>50785</v>
      </c>
      <c r="AD3199" s="1" t="s">
        <v>50786</v>
      </c>
      <c r="AE3199" s="1" t="s">
        <v>50787</v>
      </c>
      <c r="AF3199" s="1" t="s">
        <v>74</v>
      </c>
      <c r="AG3199" s="1">
        <v>40</v>
      </c>
      <c r="AH3199" s="1">
        <v>7</v>
      </c>
      <c r="AI3199" s="1">
        <v>7</v>
      </c>
      <c r="AJ3199" s="1">
        <v>3</v>
      </c>
      <c r="AK3199" s="1">
        <v>31</v>
      </c>
      <c r="AL3199" s="1" t="s">
        <v>650</v>
      </c>
      <c r="AM3199" s="1" t="s">
        <v>651</v>
      </c>
      <c r="AN3199" s="1" t="s">
        <v>652</v>
      </c>
      <c r="AO3199" s="1" t="s">
        <v>7282</v>
      </c>
      <c r="AP3199" s="1" t="s">
        <v>7283</v>
      </c>
      <c r="AQ3199" s="1" t="s">
        <v>74</v>
      </c>
      <c r="AR3199" s="1" t="s">
        <v>7284</v>
      </c>
      <c r="AS3199" s="1" t="s">
        <v>7285</v>
      </c>
      <c r="AT3199" s="1" t="s">
        <v>16894</v>
      </c>
      <c r="AU3199" s="1">
        <v>2022</v>
      </c>
      <c r="AV3199" s="1">
        <v>589</v>
      </c>
      <c r="AW3199" s="1" t="s">
        <v>74</v>
      </c>
      <c r="AX3199" s="1" t="s">
        <v>74</v>
      </c>
      <c r="AY3199" s="1" t="s">
        <v>74</v>
      </c>
      <c r="AZ3199" s="1" t="s">
        <v>74</v>
      </c>
      <c r="BA3199" s="1" t="s">
        <v>74</v>
      </c>
      <c r="BB3199" s="1" t="s">
        <v>74</v>
      </c>
      <c r="BC3199" s="1" t="s">
        <v>74</v>
      </c>
      <c r="BD3199" s="1">
        <v>152973</v>
      </c>
      <c r="BE3199" s="1" t="s">
        <v>50788</v>
      </c>
      <c r="BF3199" s="1" t="str">
        <f>HYPERLINK("http://dx.doi.org/10.1016/j.apsusc.2022.152973","http://dx.doi.org/10.1016/j.apsusc.2022.152973")</f>
        <v>http://dx.doi.org/10.1016/j.apsusc.2022.152973</v>
      </c>
      <c r="BG3199" s="1" t="s">
        <v>74</v>
      </c>
      <c r="BH3199" s="1" t="s">
        <v>5038</v>
      </c>
      <c r="BI3199" s="1">
        <v>10</v>
      </c>
      <c r="BJ3199" s="1" t="s">
        <v>7287</v>
      </c>
      <c r="BK3199" s="1" t="s">
        <v>96</v>
      </c>
      <c r="BL3199" s="1" t="s">
        <v>7288</v>
      </c>
      <c r="BM3199" s="1" t="s">
        <v>50789</v>
      </c>
      <c r="BN3199" s="1" t="s">
        <v>74</v>
      </c>
      <c r="BO3199" s="1" t="s">
        <v>74</v>
      </c>
      <c r="BP3199" s="1" t="s">
        <v>74</v>
      </c>
      <c r="BQ3199" s="1" t="s">
        <v>74</v>
      </c>
      <c r="BR3199" s="1" t="s">
        <v>98</v>
      </c>
      <c r="BS3199" s="1" t="s">
        <v>50790</v>
      </c>
      <c r="BT3199" s="1" t="str">
        <f>HYPERLINK("https%3A%2F%2Fwww.webofscience.com%2Fwos%2Fwoscc%2Ffull-record%2FWOS:000790013000003","View Full Record in Web of Science")</f>
        <v>View Full Record in Web of Science</v>
      </c>
      <c r="BU3199" s="1"/>
      <c r="BV3199" s="1"/>
    </row>
    <row r="3200" spans="1:74">
      <c r="A3200" s="1" t="s">
        <v>72</v>
      </c>
      <c r="B3200" s="1" t="s">
        <v>50791</v>
      </c>
      <c r="C3200" s="1" t="s">
        <v>74</v>
      </c>
      <c r="D3200" s="1" t="s">
        <v>74</v>
      </c>
      <c r="E3200" s="1" t="s">
        <v>74</v>
      </c>
      <c r="F3200" s="1" t="s">
        <v>50792</v>
      </c>
      <c r="G3200" s="1" t="s">
        <v>74</v>
      </c>
      <c r="H3200" s="1" t="s">
        <v>74</v>
      </c>
      <c r="I3200" s="1" t="s">
        <v>50793</v>
      </c>
      <c r="J3200" s="1" t="s">
        <v>11045</v>
      </c>
      <c r="K3200" s="1" t="s">
        <v>74</v>
      </c>
      <c r="L3200" s="1" t="s">
        <v>74</v>
      </c>
      <c r="M3200" s="1" t="s">
        <v>78</v>
      </c>
      <c r="N3200" s="1" t="s">
        <v>79</v>
      </c>
      <c r="O3200" s="1" t="s">
        <v>74</v>
      </c>
      <c r="P3200" s="1" t="s">
        <v>74</v>
      </c>
      <c r="Q3200" s="1" t="s">
        <v>74</v>
      </c>
      <c r="R3200" s="1" t="s">
        <v>74</v>
      </c>
      <c r="S3200" s="1" t="s">
        <v>74</v>
      </c>
      <c r="T3200" s="1" t="s">
        <v>74</v>
      </c>
      <c r="U3200" s="1" t="s">
        <v>50794</v>
      </c>
      <c r="V3200" s="1" t="s">
        <v>50795</v>
      </c>
      <c r="W3200" s="1" t="s">
        <v>50796</v>
      </c>
      <c r="X3200" s="1" t="s">
        <v>50797</v>
      </c>
      <c r="Y3200" s="1" t="s">
        <v>50798</v>
      </c>
      <c r="Z3200" s="1" t="s">
        <v>30998</v>
      </c>
      <c r="AA3200" s="1" t="s">
        <v>50799</v>
      </c>
      <c r="AB3200" s="1" t="s">
        <v>50800</v>
      </c>
      <c r="AC3200" s="1" t="s">
        <v>50801</v>
      </c>
      <c r="AD3200" s="1" t="s">
        <v>50802</v>
      </c>
      <c r="AE3200" s="1" t="s">
        <v>50803</v>
      </c>
      <c r="AF3200" s="1" t="s">
        <v>74</v>
      </c>
      <c r="AG3200" s="1">
        <v>78</v>
      </c>
      <c r="AH3200" s="1">
        <v>30</v>
      </c>
      <c r="AI3200" s="1">
        <v>32</v>
      </c>
      <c r="AJ3200" s="1">
        <v>0</v>
      </c>
      <c r="AK3200" s="1">
        <v>28</v>
      </c>
      <c r="AL3200" s="1" t="s">
        <v>11056</v>
      </c>
      <c r="AM3200" s="1" t="s">
        <v>11057</v>
      </c>
      <c r="AN3200" s="1" t="s">
        <v>11058</v>
      </c>
      <c r="AO3200" s="1" t="s">
        <v>11059</v>
      </c>
      <c r="AP3200" s="1" t="s">
        <v>74</v>
      </c>
      <c r="AQ3200" s="1" t="s">
        <v>74</v>
      </c>
      <c r="AR3200" s="1" t="s">
        <v>11045</v>
      </c>
      <c r="AS3200" s="1" t="s">
        <v>11060</v>
      </c>
      <c r="AT3200" s="1" t="s">
        <v>50804</v>
      </c>
      <c r="AU3200" s="1">
        <v>2017</v>
      </c>
      <c r="AV3200" s="1">
        <v>12</v>
      </c>
      <c r="AW3200" s="1">
        <v>3</v>
      </c>
      <c r="AX3200" s="1" t="s">
        <v>74</v>
      </c>
      <c r="AY3200" s="1" t="s">
        <v>74</v>
      </c>
      <c r="AZ3200" s="1" t="s">
        <v>74</v>
      </c>
      <c r="BA3200" s="1" t="s">
        <v>74</v>
      </c>
      <c r="BB3200" s="1" t="s">
        <v>74</v>
      </c>
      <c r="BC3200" s="1" t="s">
        <v>74</v>
      </c>
      <c r="BD3200" s="1" t="s">
        <v>50805</v>
      </c>
      <c r="BE3200" s="1" t="s">
        <v>50806</v>
      </c>
      <c r="BF3200" s="1" t="str">
        <f>HYPERLINK("http://dx.doi.org/10.1371/journal.pone.0174359","http://dx.doi.org/10.1371/journal.pone.0174359")</f>
        <v>http://dx.doi.org/10.1371/journal.pone.0174359</v>
      </c>
      <c r="BG3200" s="1" t="s">
        <v>74</v>
      </c>
      <c r="BH3200" s="1" t="s">
        <v>74</v>
      </c>
      <c r="BI3200" s="1">
        <v>24</v>
      </c>
      <c r="BJ3200" s="1" t="s">
        <v>3202</v>
      </c>
      <c r="BK3200" s="1" t="s">
        <v>96</v>
      </c>
      <c r="BL3200" s="1" t="s">
        <v>3203</v>
      </c>
      <c r="BM3200" s="1" t="s">
        <v>50807</v>
      </c>
      <c r="BN3200" s="1">
        <v>28333994</v>
      </c>
      <c r="BO3200" s="1" t="s">
        <v>12743</v>
      </c>
      <c r="BP3200" s="1" t="s">
        <v>74</v>
      </c>
      <c r="BQ3200" s="1" t="s">
        <v>74</v>
      </c>
      <c r="BR3200" s="1" t="s">
        <v>98</v>
      </c>
      <c r="BS3200" s="1" t="s">
        <v>50808</v>
      </c>
      <c r="BT3200" s="1" t="str">
        <f>HYPERLINK("https%3A%2F%2Fwww.webofscience.com%2Fwos%2Fwoscc%2Ffull-record%2FWOS:000399102200086","View Full Record in Web of Science")</f>
        <v>View Full Record in Web of Science</v>
      </c>
      <c r="BU3200" s="1"/>
      <c r="BV3200" s="1"/>
    </row>
    <row r="3201" spans="1:74">
      <c r="A3201" s="1" t="s">
        <v>72</v>
      </c>
      <c r="B3201" s="1" t="s">
        <v>50809</v>
      </c>
      <c r="C3201" s="1" t="s">
        <v>74</v>
      </c>
      <c r="D3201" s="1" t="s">
        <v>74</v>
      </c>
      <c r="E3201" s="1" t="s">
        <v>74</v>
      </c>
      <c r="F3201" s="1" t="s">
        <v>50810</v>
      </c>
      <c r="G3201" s="1" t="s">
        <v>74</v>
      </c>
      <c r="H3201" s="1" t="s">
        <v>74</v>
      </c>
      <c r="I3201" s="1" t="s">
        <v>50811</v>
      </c>
      <c r="J3201" s="1" t="s">
        <v>19334</v>
      </c>
      <c r="K3201" s="1" t="s">
        <v>74</v>
      </c>
      <c r="L3201" s="1" t="s">
        <v>74</v>
      </c>
      <c r="M3201" s="1" t="s">
        <v>78</v>
      </c>
      <c r="N3201" s="1" t="s">
        <v>79</v>
      </c>
      <c r="O3201" s="1" t="s">
        <v>74</v>
      </c>
      <c r="P3201" s="1" t="s">
        <v>74</v>
      </c>
      <c r="Q3201" s="1" t="s">
        <v>74</v>
      </c>
      <c r="R3201" s="1" t="s">
        <v>74</v>
      </c>
      <c r="S3201" s="1" t="s">
        <v>74</v>
      </c>
      <c r="T3201" s="1" t="s">
        <v>50812</v>
      </c>
      <c r="U3201" s="1" t="s">
        <v>50813</v>
      </c>
      <c r="V3201" s="1" t="s">
        <v>50814</v>
      </c>
      <c r="W3201" s="1" t="s">
        <v>50815</v>
      </c>
      <c r="X3201" s="1" t="s">
        <v>47029</v>
      </c>
      <c r="Y3201" s="1" t="s">
        <v>50816</v>
      </c>
      <c r="Z3201" s="1" t="s">
        <v>50817</v>
      </c>
      <c r="AA3201" s="1" t="s">
        <v>50818</v>
      </c>
      <c r="AB3201" s="1" t="s">
        <v>74</v>
      </c>
      <c r="AC3201" s="1" t="s">
        <v>50819</v>
      </c>
      <c r="AD3201" s="1" t="s">
        <v>50820</v>
      </c>
      <c r="AE3201" s="1" t="s">
        <v>50821</v>
      </c>
      <c r="AF3201" s="1" t="s">
        <v>74</v>
      </c>
      <c r="AG3201" s="1">
        <v>60</v>
      </c>
      <c r="AH3201" s="1">
        <v>0</v>
      </c>
      <c r="AI3201" s="1">
        <v>0</v>
      </c>
      <c r="AJ3201" s="1">
        <v>12</v>
      </c>
      <c r="AK3201" s="1">
        <v>12</v>
      </c>
      <c r="AL3201" s="1" t="s">
        <v>19345</v>
      </c>
      <c r="AM3201" s="1" t="s">
        <v>1351</v>
      </c>
      <c r="AN3201" s="1" t="s">
        <v>19346</v>
      </c>
      <c r="AO3201" s="1" t="s">
        <v>19347</v>
      </c>
      <c r="AP3201" s="1" t="s">
        <v>19348</v>
      </c>
      <c r="AQ3201" s="1" t="s">
        <v>74</v>
      </c>
      <c r="AR3201" s="1" t="s">
        <v>19349</v>
      </c>
      <c r="AS3201" s="1" t="s">
        <v>19350</v>
      </c>
      <c r="AT3201" s="1" t="s">
        <v>387</v>
      </c>
      <c r="AU3201" s="1">
        <v>2024</v>
      </c>
      <c r="AV3201" s="1">
        <v>488</v>
      </c>
      <c r="AW3201" s="1" t="s">
        <v>74</v>
      </c>
      <c r="AX3201" s="1" t="s">
        <v>74</v>
      </c>
      <c r="AY3201" s="1" t="s">
        <v>74</v>
      </c>
      <c r="AZ3201" s="1" t="s">
        <v>74</v>
      </c>
      <c r="BA3201" s="1" t="s">
        <v>74</v>
      </c>
      <c r="BB3201" s="1" t="s">
        <v>74</v>
      </c>
      <c r="BC3201" s="1" t="s">
        <v>74</v>
      </c>
      <c r="BD3201" s="1">
        <v>150909</v>
      </c>
      <c r="BE3201" s="1" t="s">
        <v>50822</v>
      </c>
      <c r="BF3201" s="1" t="str">
        <f>HYPERLINK("http://dx.doi.org/10.1016/j.cej.2024.150909","http://dx.doi.org/10.1016/j.cej.2024.150909")</f>
        <v>http://dx.doi.org/10.1016/j.cej.2024.150909</v>
      </c>
      <c r="BG3201" s="1" t="s">
        <v>74</v>
      </c>
      <c r="BH3201" s="1" t="s">
        <v>9434</v>
      </c>
      <c r="BI3201" s="1">
        <v>14</v>
      </c>
      <c r="BJ3201" s="1" t="s">
        <v>3991</v>
      </c>
      <c r="BK3201" s="1" t="s">
        <v>96</v>
      </c>
      <c r="BL3201" s="1" t="s">
        <v>3992</v>
      </c>
      <c r="BM3201" s="1" t="s">
        <v>50823</v>
      </c>
      <c r="BN3201" s="1" t="s">
        <v>74</v>
      </c>
      <c r="BO3201" s="1" t="s">
        <v>74</v>
      </c>
      <c r="BP3201" s="1" t="s">
        <v>74</v>
      </c>
      <c r="BQ3201" s="1" t="s">
        <v>74</v>
      </c>
      <c r="BR3201" s="1" t="s">
        <v>98</v>
      </c>
      <c r="BS3201" s="1" t="s">
        <v>50824</v>
      </c>
      <c r="BT3201" s="1" t="str">
        <f>HYPERLINK("https%3A%2F%2Fwww.webofscience.com%2Fwos%2Fwoscc%2Ffull-record%2FWOS:001221433000001","View Full Record in Web of Science")</f>
        <v>View Full Record in Web of Science</v>
      </c>
      <c r="BU3201" s="1"/>
      <c r="BV3201" s="1"/>
    </row>
    <row r="3202" spans="1:74">
      <c r="A3202" s="1" t="s">
        <v>72</v>
      </c>
      <c r="B3202" s="1" t="s">
        <v>50825</v>
      </c>
      <c r="C3202" s="1" t="s">
        <v>74</v>
      </c>
      <c r="D3202" s="1" t="s">
        <v>74</v>
      </c>
      <c r="E3202" s="1" t="s">
        <v>74</v>
      </c>
      <c r="F3202" s="1" t="s">
        <v>50826</v>
      </c>
      <c r="G3202" s="1" t="s">
        <v>74</v>
      </c>
      <c r="H3202" s="1" t="s">
        <v>74</v>
      </c>
      <c r="I3202" s="1" t="s">
        <v>50827</v>
      </c>
      <c r="J3202" s="1" t="s">
        <v>815</v>
      </c>
      <c r="K3202" s="1" t="s">
        <v>74</v>
      </c>
      <c r="L3202" s="1" t="s">
        <v>74</v>
      </c>
      <c r="M3202" s="1" t="s">
        <v>78</v>
      </c>
      <c r="N3202" s="1" t="s">
        <v>79</v>
      </c>
      <c r="O3202" s="1" t="s">
        <v>74</v>
      </c>
      <c r="P3202" s="1" t="s">
        <v>74</v>
      </c>
      <c r="Q3202" s="1" t="s">
        <v>74</v>
      </c>
      <c r="R3202" s="1" t="s">
        <v>74</v>
      </c>
      <c r="S3202" s="1" t="s">
        <v>74</v>
      </c>
      <c r="T3202" s="1" t="s">
        <v>50828</v>
      </c>
      <c r="U3202" s="1" t="s">
        <v>50829</v>
      </c>
      <c r="V3202" s="1" t="s">
        <v>50830</v>
      </c>
      <c r="W3202" s="1" t="s">
        <v>50831</v>
      </c>
      <c r="X3202" s="1" t="s">
        <v>50832</v>
      </c>
      <c r="Y3202" s="1" t="s">
        <v>50833</v>
      </c>
      <c r="Z3202" s="1" t="s">
        <v>50834</v>
      </c>
      <c r="AA3202" s="1" t="s">
        <v>50835</v>
      </c>
      <c r="AB3202" s="1" t="s">
        <v>74</v>
      </c>
      <c r="AC3202" s="1" t="s">
        <v>50836</v>
      </c>
      <c r="AD3202" s="1" t="s">
        <v>50837</v>
      </c>
      <c r="AE3202" s="1" t="s">
        <v>50838</v>
      </c>
      <c r="AF3202" s="1" t="s">
        <v>74</v>
      </c>
      <c r="AG3202" s="1">
        <v>25</v>
      </c>
      <c r="AH3202" s="1">
        <v>0</v>
      </c>
      <c r="AI3202" s="1">
        <v>0</v>
      </c>
      <c r="AJ3202" s="1">
        <v>0</v>
      </c>
      <c r="AK3202" s="1">
        <v>0</v>
      </c>
      <c r="AL3202" s="1" t="s">
        <v>824</v>
      </c>
      <c r="AM3202" s="1" t="s">
        <v>825</v>
      </c>
      <c r="AN3202" s="1" t="s">
        <v>826</v>
      </c>
      <c r="AO3202" s="1" t="s">
        <v>827</v>
      </c>
      <c r="AP3202" s="1" t="s">
        <v>74</v>
      </c>
      <c r="AQ3202" s="1" t="s">
        <v>74</v>
      </c>
      <c r="AR3202" s="1" t="s">
        <v>828</v>
      </c>
      <c r="AS3202" s="1" t="s">
        <v>829</v>
      </c>
      <c r="AT3202" s="1" t="s">
        <v>74</v>
      </c>
      <c r="AU3202" s="1">
        <v>2021</v>
      </c>
      <c r="AV3202" s="1">
        <v>22</v>
      </c>
      <c r="AW3202" s="1">
        <v>2</v>
      </c>
      <c r="AX3202" s="1" t="s">
        <v>74</v>
      </c>
      <c r="AY3202" s="1" t="s">
        <v>74</v>
      </c>
      <c r="AZ3202" s="1" t="s">
        <v>74</v>
      </c>
      <c r="BA3202" s="1" t="s">
        <v>74</v>
      </c>
      <c r="BB3202" s="1">
        <v>532</v>
      </c>
      <c r="BC3202" s="1">
        <v>541</v>
      </c>
      <c r="BD3202" s="1" t="s">
        <v>74</v>
      </c>
      <c r="BE3202" s="1" t="s">
        <v>74</v>
      </c>
      <c r="BF3202" s="1" t="s">
        <v>74</v>
      </c>
      <c r="BG3202" s="1" t="s">
        <v>74</v>
      </c>
      <c r="BH3202" s="1" t="s">
        <v>74</v>
      </c>
      <c r="BI3202" s="1">
        <v>10</v>
      </c>
      <c r="BJ3202" s="1" t="s">
        <v>144</v>
      </c>
      <c r="BK3202" s="1" t="s">
        <v>96</v>
      </c>
      <c r="BL3202" s="1" t="s">
        <v>145</v>
      </c>
      <c r="BM3202" s="1" t="s">
        <v>50839</v>
      </c>
      <c r="BN3202" s="1" t="s">
        <v>74</v>
      </c>
      <c r="BO3202" s="1" t="s">
        <v>74</v>
      </c>
      <c r="BP3202" s="1" t="s">
        <v>74</v>
      </c>
      <c r="BQ3202" s="1" t="s">
        <v>74</v>
      </c>
      <c r="BR3202" s="1" t="s">
        <v>98</v>
      </c>
      <c r="BS3202" s="1" t="s">
        <v>50840</v>
      </c>
      <c r="BT3202" s="1" t="str">
        <f>HYPERLINK("https%3A%2F%2Fwww.webofscience.com%2Fwos%2Fwoscc%2Ffull-record%2FWOS:000664081000009","View Full Record in Web of Science")</f>
        <v>View Full Record in Web of Science</v>
      </c>
      <c r="BU3202" s="1"/>
      <c r="BV3202" s="1"/>
    </row>
    <row r="3203" spans="1:74">
      <c r="A3203" s="1" t="s">
        <v>72</v>
      </c>
      <c r="B3203" s="1" t="s">
        <v>50841</v>
      </c>
      <c r="C3203" s="1" t="s">
        <v>74</v>
      </c>
      <c r="D3203" s="1" t="s">
        <v>74</v>
      </c>
      <c r="E3203" s="1" t="s">
        <v>74</v>
      </c>
      <c r="F3203" s="1" t="s">
        <v>50842</v>
      </c>
      <c r="G3203" s="1" t="s">
        <v>74</v>
      </c>
      <c r="H3203" s="1" t="s">
        <v>74</v>
      </c>
      <c r="I3203" s="1" t="s">
        <v>50843</v>
      </c>
      <c r="J3203" s="1" t="s">
        <v>25541</v>
      </c>
      <c r="K3203" s="1" t="s">
        <v>74</v>
      </c>
      <c r="L3203" s="1" t="s">
        <v>74</v>
      </c>
      <c r="M3203" s="1" t="s">
        <v>78</v>
      </c>
      <c r="N3203" s="1" t="s">
        <v>79</v>
      </c>
      <c r="O3203" s="1" t="s">
        <v>74</v>
      </c>
      <c r="P3203" s="1" t="s">
        <v>74</v>
      </c>
      <c r="Q3203" s="1" t="s">
        <v>74</v>
      </c>
      <c r="R3203" s="1" t="s">
        <v>74</v>
      </c>
      <c r="S3203" s="1" t="s">
        <v>74</v>
      </c>
      <c r="T3203" s="1" t="s">
        <v>50844</v>
      </c>
      <c r="U3203" s="1" t="s">
        <v>50845</v>
      </c>
      <c r="V3203" s="1" t="s">
        <v>50846</v>
      </c>
      <c r="W3203" s="1" t="s">
        <v>50847</v>
      </c>
      <c r="X3203" s="1" t="s">
        <v>50848</v>
      </c>
      <c r="Y3203" s="1" t="s">
        <v>50849</v>
      </c>
      <c r="Z3203" s="1" t="s">
        <v>50850</v>
      </c>
      <c r="AA3203" s="1" t="s">
        <v>50851</v>
      </c>
      <c r="AB3203" s="1" t="s">
        <v>50852</v>
      </c>
      <c r="AC3203" s="1" t="s">
        <v>50853</v>
      </c>
      <c r="AD3203" s="1" t="s">
        <v>50854</v>
      </c>
      <c r="AE3203" s="1" t="s">
        <v>50855</v>
      </c>
      <c r="AF3203" s="1" t="s">
        <v>74</v>
      </c>
      <c r="AG3203" s="1">
        <v>35</v>
      </c>
      <c r="AH3203" s="1">
        <v>6</v>
      </c>
      <c r="AI3203" s="1">
        <v>6</v>
      </c>
      <c r="AJ3203" s="1">
        <v>0</v>
      </c>
      <c r="AK3203" s="1">
        <v>10</v>
      </c>
      <c r="AL3203" s="1" t="s">
        <v>25553</v>
      </c>
      <c r="AM3203" s="1" t="s">
        <v>25554</v>
      </c>
      <c r="AN3203" s="1" t="s">
        <v>25555</v>
      </c>
      <c r="AO3203" s="1" t="s">
        <v>25556</v>
      </c>
      <c r="AP3203" s="1" t="s">
        <v>74</v>
      </c>
      <c r="AQ3203" s="1" t="s">
        <v>74</v>
      </c>
      <c r="AR3203" s="1" t="s">
        <v>25557</v>
      </c>
      <c r="AS3203" s="1" t="s">
        <v>25558</v>
      </c>
      <c r="AT3203" s="1" t="s">
        <v>197</v>
      </c>
      <c r="AU3203" s="1">
        <v>2020</v>
      </c>
      <c r="AV3203" s="1">
        <v>27</v>
      </c>
      <c r="AW3203" s="1">
        <v>4</v>
      </c>
      <c r="AX3203" s="1" t="s">
        <v>74</v>
      </c>
      <c r="AY3203" s="1" t="s">
        <v>74</v>
      </c>
      <c r="AZ3203" s="1" t="s">
        <v>74</v>
      </c>
      <c r="BA3203" s="1" t="s">
        <v>74</v>
      </c>
      <c r="BB3203" s="1">
        <v>495</v>
      </c>
      <c r="BC3203" s="1">
        <v>508</v>
      </c>
      <c r="BD3203" s="1" t="s">
        <v>74</v>
      </c>
      <c r="BE3203" s="1" t="s">
        <v>50856</v>
      </c>
      <c r="BF3203" s="1" t="str">
        <f>HYPERLINK("http://dx.doi.org/10.2478/eces-2020-0030","http://dx.doi.org/10.2478/eces-2020-0030")</f>
        <v>http://dx.doi.org/10.2478/eces-2020-0030</v>
      </c>
      <c r="BG3203" s="1" t="s">
        <v>74</v>
      </c>
      <c r="BH3203" s="1" t="s">
        <v>74</v>
      </c>
      <c r="BI3203" s="1">
        <v>14</v>
      </c>
      <c r="BJ3203" s="1" t="s">
        <v>144</v>
      </c>
      <c r="BK3203" s="1" t="s">
        <v>96</v>
      </c>
      <c r="BL3203" s="1" t="s">
        <v>145</v>
      </c>
      <c r="BM3203" s="1" t="s">
        <v>50857</v>
      </c>
      <c r="BN3203" s="1" t="s">
        <v>74</v>
      </c>
      <c r="BO3203" s="1" t="s">
        <v>873</v>
      </c>
      <c r="BP3203" s="1" t="s">
        <v>74</v>
      </c>
      <c r="BQ3203" s="1" t="s">
        <v>74</v>
      </c>
      <c r="BR3203" s="1" t="s">
        <v>98</v>
      </c>
      <c r="BS3203" s="1" t="s">
        <v>50858</v>
      </c>
      <c r="BT3203" s="1" t="str">
        <f>HYPERLINK("https%3A%2F%2Fwww.webofscience.com%2Fwos%2Fwoscc%2Ffull-record%2FWOS:000603409900001","View Full Record in Web of Science")</f>
        <v>View Full Record in Web of Science</v>
      </c>
      <c r="BU3203" s="1"/>
      <c r="BV3203" s="1"/>
    </row>
    <row r="3204" spans="1:74">
      <c r="A3204" s="1" t="s">
        <v>72</v>
      </c>
      <c r="B3204" s="1" t="s">
        <v>50859</v>
      </c>
      <c r="C3204" s="1" t="s">
        <v>74</v>
      </c>
      <c r="D3204" s="1" t="s">
        <v>74</v>
      </c>
      <c r="E3204" s="1" t="s">
        <v>74</v>
      </c>
      <c r="F3204" s="1" t="s">
        <v>50860</v>
      </c>
      <c r="G3204" s="1" t="s">
        <v>74</v>
      </c>
      <c r="H3204" s="1" t="s">
        <v>74</v>
      </c>
      <c r="I3204" s="1" t="s">
        <v>50861</v>
      </c>
      <c r="J3204" s="1" t="s">
        <v>19334</v>
      </c>
      <c r="K3204" s="1" t="s">
        <v>74</v>
      </c>
      <c r="L3204" s="1" t="s">
        <v>74</v>
      </c>
      <c r="M3204" s="1" t="s">
        <v>78</v>
      </c>
      <c r="N3204" s="1" t="s">
        <v>79</v>
      </c>
      <c r="O3204" s="1" t="s">
        <v>74</v>
      </c>
      <c r="P3204" s="1" t="s">
        <v>74</v>
      </c>
      <c r="Q3204" s="1" t="s">
        <v>74</v>
      </c>
      <c r="R3204" s="1" t="s">
        <v>74</v>
      </c>
      <c r="S3204" s="1" t="s">
        <v>74</v>
      </c>
      <c r="T3204" s="1" t="s">
        <v>50862</v>
      </c>
      <c r="U3204" s="1" t="s">
        <v>50863</v>
      </c>
      <c r="V3204" s="1" t="s">
        <v>50864</v>
      </c>
      <c r="W3204" s="1" t="s">
        <v>50865</v>
      </c>
      <c r="X3204" s="1" t="s">
        <v>50866</v>
      </c>
      <c r="Y3204" s="1" t="s">
        <v>50867</v>
      </c>
      <c r="Z3204" s="1" t="s">
        <v>50868</v>
      </c>
      <c r="AA3204" s="1" t="s">
        <v>50869</v>
      </c>
      <c r="AB3204" s="1" t="s">
        <v>50870</v>
      </c>
      <c r="AC3204" s="1" t="s">
        <v>50871</v>
      </c>
      <c r="AD3204" s="1" t="s">
        <v>50872</v>
      </c>
      <c r="AE3204" s="1" t="s">
        <v>50873</v>
      </c>
      <c r="AF3204" s="1" t="s">
        <v>74</v>
      </c>
      <c r="AG3204" s="1">
        <v>275</v>
      </c>
      <c r="AH3204" s="1">
        <v>158</v>
      </c>
      <c r="AI3204" s="1">
        <v>164</v>
      </c>
      <c r="AJ3204" s="1">
        <v>42</v>
      </c>
      <c r="AK3204" s="1">
        <v>416</v>
      </c>
      <c r="AL3204" s="1" t="s">
        <v>19345</v>
      </c>
      <c r="AM3204" s="1" t="s">
        <v>1351</v>
      </c>
      <c r="AN3204" s="1" t="s">
        <v>19346</v>
      </c>
      <c r="AO3204" s="1" t="s">
        <v>19347</v>
      </c>
      <c r="AP3204" s="1" t="s">
        <v>19348</v>
      </c>
      <c r="AQ3204" s="1" t="s">
        <v>74</v>
      </c>
      <c r="AR3204" s="1" t="s">
        <v>19349</v>
      </c>
      <c r="AS3204" s="1" t="s">
        <v>19350</v>
      </c>
      <c r="AT3204" s="1" t="s">
        <v>4612</v>
      </c>
      <c r="AU3204" s="1">
        <v>2021</v>
      </c>
      <c r="AV3204" s="1">
        <v>409</v>
      </c>
      <c r="AW3204" s="1" t="s">
        <v>74</v>
      </c>
      <c r="AX3204" s="1" t="s">
        <v>74</v>
      </c>
      <c r="AY3204" s="1" t="s">
        <v>74</v>
      </c>
      <c r="AZ3204" s="1" t="s">
        <v>74</v>
      </c>
      <c r="BA3204" s="1" t="s">
        <v>74</v>
      </c>
      <c r="BB3204" s="1" t="s">
        <v>74</v>
      </c>
      <c r="BC3204" s="1" t="s">
        <v>74</v>
      </c>
      <c r="BD3204" s="1">
        <v>127376</v>
      </c>
      <c r="BE3204" s="1" t="s">
        <v>50874</v>
      </c>
      <c r="BF3204" s="1" t="str">
        <f>HYPERLINK("http://dx.doi.org/10.1016/j.cej.2020.127376","http://dx.doi.org/10.1016/j.cej.2020.127376")</f>
        <v>http://dx.doi.org/10.1016/j.cej.2020.127376</v>
      </c>
      <c r="BG3204" s="1" t="s">
        <v>74</v>
      </c>
      <c r="BH3204" s="1" t="s">
        <v>4518</v>
      </c>
      <c r="BI3204" s="1">
        <v>24</v>
      </c>
      <c r="BJ3204" s="1" t="s">
        <v>3991</v>
      </c>
      <c r="BK3204" s="1" t="s">
        <v>96</v>
      </c>
      <c r="BL3204" s="1" t="s">
        <v>3992</v>
      </c>
      <c r="BM3204" s="1" t="s">
        <v>50875</v>
      </c>
      <c r="BN3204" s="1" t="s">
        <v>74</v>
      </c>
      <c r="BO3204" s="1" t="s">
        <v>74</v>
      </c>
      <c r="BP3204" s="1" t="s">
        <v>74</v>
      </c>
      <c r="BQ3204" s="1" t="s">
        <v>74</v>
      </c>
      <c r="BR3204" s="1" t="s">
        <v>98</v>
      </c>
      <c r="BS3204" s="1" t="s">
        <v>50876</v>
      </c>
      <c r="BT3204" s="1" t="str">
        <f>HYPERLINK("https%3A%2F%2Fwww.webofscience.com%2Fwos%2Fwoscc%2Ffull-record%2FWOS:000618078100001","View Full Record in Web of Science")</f>
        <v>View Full Record in Web of Science</v>
      </c>
      <c r="BU3204" s="1"/>
      <c r="BV3204" s="1"/>
    </row>
    <row r="3205" spans="1:74">
      <c r="A3205" s="1" t="s">
        <v>72</v>
      </c>
      <c r="B3205" s="1" t="s">
        <v>50877</v>
      </c>
      <c r="C3205" s="1" t="s">
        <v>74</v>
      </c>
      <c r="D3205" s="1" t="s">
        <v>74</v>
      </c>
      <c r="E3205" s="1" t="s">
        <v>74</v>
      </c>
      <c r="F3205" s="1" t="s">
        <v>50878</v>
      </c>
      <c r="G3205" s="1" t="s">
        <v>74</v>
      </c>
      <c r="H3205" s="1" t="s">
        <v>74</v>
      </c>
      <c r="I3205" s="1" t="s">
        <v>50879</v>
      </c>
      <c r="J3205" s="1" t="s">
        <v>421</v>
      </c>
      <c r="K3205" s="1" t="s">
        <v>74</v>
      </c>
      <c r="L3205" s="1" t="s">
        <v>74</v>
      </c>
      <c r="M3205" s="1" t="s">
        <v>78</v>
      </c>
      <c r="N3205" s="1" t="s">
        <v>79</v>
      </c>
      <c r="O3205" s="1" t="s">
        <v>74</v>
      </c>
      <c r="P3205" s="1" t="s">
        <v>74</v>
      </c>
      <c r="Q3205" s="1" t="s">
        <v>74</v>
      </c>
      <c r="R3205" s="1" t="s">
        <v>74</v>
      </c>
      <c r="S3205" s="1" t="s">
        <v>74</v>
      </c>
      <c r="T3205" s="1" t="s">
        <v>50880</v>
      </c>
      <c r="U3205" s="1" t="s">
        <v>50881</v>
      </c>
      <c r="V3205" s="1" t="s">
        <v>50882</v>
      </c>
      <c r="W3205" s="1" t="s">
        <v>50883</v>
      </c>
      <c r="X3205" s="1" t="s">
        <v>50884</v>
      </c>
      <c r="Y3205" s="1" t="s">
        <v>50885</v>
      </c>
      <c r="Z3205" s="1" t="s">
        <v>50886</v>
      </c>
      <c r="AA3205" s="1" t="s">
        <v>50887</v>
      </c>
      <c r="AB3205" s="1" t="s">
        <v>50888</v>
      </c>
      <c r="AC3205" s="1" t="s">
        <v>50889</v>
      </c>
      <c r="AD3205" s="1" t="s">
        <v>50889</v>
      </c>
      <c r="AE3205" s="1" t="s">
        <v>50890</v>
      </c>
      <c r="AF3205" s="1" t="s">
        <v>74</v>
      </c>
      <c r="AG3205" s="1">
        <v>74</v>
      </c>
      <c r="AH3205" s="1">
        <v>6</v>
      </c>
      <c r="AI3205" s="1">
        <v>6</v>
      </c>
      <c r="AJ3205" s="1">
        <v>3</v>
      </c>
      <c r="AK3205" s="1">
        <v>35</v>
      </c>
      <c r="AL3205" s="1" t="s">
        <v>430</v>
      </c>
      <c r="AM3205" s="1" t="s">
        <v>137</v>
      </c>
      <c r="AN3205" s="1" t="s">
        <v>431</v>
      </c>
      <c r="AO3205" s="1" t="s">
        <v>432</v>
      </c>
      <c r="AP3205" s="1" t="s">
        <v>1394</v>
      </c>
      <c r="AQ3205" s="1" t="s">
        <v>74</v>
      </c>
      <c r="AR3205" s="1" t="s">
        <v>433</v>
      </c>
      <c r="AS3205" s="1" t="s">
        <v>434</v>
      </c>
      <c r="AT3205" s="1" t="s">
        <v>1965</v>
      </c>
      <c r="AU3205" s="1">
        <v>2021</v>
      </c>
      <c r="AV3205" s="1">
        <v>291</v>
      </c>
      <c r="AW3205" s="1" t="s">
        <v>74</v>
      </c>
      <c r="AX3205" s="1" t="s">
        <v>74</v>
      </c>
      <c r="AY3205" s="1" t="s">
        <v>74</v>
      </c>
      <c r="AZ3205" s="1" t="s">
        <v>74</v>
      </c>
      <c r="BA3205" s="1" t="s">
        <v>74</v>
      </c>
      <c r="BB3205" s="1" t="s">
        <v>74</v>
      </c>
      <c r="BC3205" s="1" t="s">
        <v>74</v>
      </c>
      <c r="BD3205" s="1">
        <v>118108</v>
      </c>
      <c r="BE3205" s="1" t="s">
        <v>50891</v>
      </c>
      <c r="BF3205" s="1" t="str">
        <f>HYPERLINK("http://dx.doi.org/10.1016/j.envpol.2021.118108","http://dx.doi.org/10.1016/j.envpol.2021.118108")</f>
        <v>http://dx.doi.org/10.1016/j.envpol.2021.118108</v>
      </c>
      <c r="BG3205" s="1" t="s">
        <v>74</v>
      </c>
      <c r="BH3205" s="1" t="s">
        <v>2955</v>
      </c>
      <c r="BI3205" s="1">
        <v>9</v>
      </c>
      <c r="BJ3205" s="1" t="s">
        <v>144</v>
      </c>
      <c r="BK3205" s="1" t="s">
        <v>96</v>
      </c>
      <c r="BL3205" s="1" t="s">
        <v>145</v>
      </c>
      <c r="BM3205" s="1" t="s">
        <v>50892</v>
      </c>
      <c r="BN3205" s="1">
        <v>34520946</v>
      </c>
      <c r="BO3205" s="1" t="s">
        <v>2784</v>
      </c>
      <c r="BP3205" s="1" t="s">
        <v>74</v>
      </c>
      <c r="BQ3205" s="1" t="s">
        <v>74</v>
      </c>
      <c r="BR3205" s="1" t="s">
        <v>98</v>
      </c>
      <c r="BS3205" s="1" t="s">
        <v>50893</v>
      </c>
      <c r="BT3205" s="1" t="str">
        <f>HYPERLINK("https%3A%2F%2Fwww.webofscience.com%2Fwos%2Fwoscc%2Ffull-record%2FWOS:000696647500003","View Full Record in Web of Science")</f>
        <v>View Full Record in Web of Science</v>
      </c>
      <c r="BU3205" s="1"/>
      <c r="BV3205" s="1"/>
    </row>
    <row r="3206" spans="1:74">
      <c r="A3206" s="1" t="s">
        <v>72</v>
      </c>
      <c r="B3206" s="1" t="s">
        <v>50894</v>
      </c>
      <c r="C3206" s="1" t="s">
        <v>74</v>
      </c>
      <c r="D3206" s="1" t="s">
        <v>74</v>
      </c>
      <c r="E3206" s="1" t="s">
        <v>74</v>
      </c>
      <c r="F3206" s="1" t="s">
        <v>50895</v>
      </c>
      <c r="G3206" s="1" t="s">
        <v>74</v>
      </c>
      <c r="H3206" s="1" t="s">
        <v>74</v>
      </c>
      <c r="I3206" s="1" t="s">
        <v>50896</v>
      </c>
      <c r="J3206" s="1" t="s">
        <v>495</v>
      </c>
      <c r="K3206" s="1" t="s">
        <v>74</v>
      </c>
      <c r="L3206" s="1" t="s">
        <v>74</v>
      </c>
      <c r="M3206" s="1" t="s">
        <v>78</v>
      </c>
      <c r="N3206" s="1" t="s">
        <v>79</v>
      </c>
      <c r="O3206" s="1" t="s">
        <v>74</v>
      </c>
      <c r="P3206" s="1" t="s">
        <v>74</v>
      </c>
      <c r="Q3206" s="1" t="s">
        <v>74</v>
      </c>
      <c r="R3206" s="1" t="s">
        <v>74</v>
      </c>
      <c r="S3206" s="1" t="s">
        <v>74</v>
      </c>
      <c r="T3206" s="1" t="s">
        <v>50897</v>
      </c>
      <c r="U3206" s="1" t="s">
        <v>50898</v>
      </c>
      <c r="V3206" s="1" t="s">
        <v>50899</v>
      </c>
      <c r="W3206" s="1" t="s">
        <v>50900</v>
      </c>
      <c r="X3206" s="1" t="s">
        <v>50901</v>
      </c>
      <c r="Y3206" s="1" t="s">
        <v>50902</v>
      </c>
      <c r="Z3206" s="1" t="s">
        <v>50903</v>
      </c>
      <c r="AA3206" s="1" t="s">
        <v>50904</v>
      </c>
      <c r="AB3206" s="1" t="s">
        <v>74</v>
      </c>
      <c r="AC3206" s="1" t="s">
        <v>50905</v>
      </c>
      <c r="AD3206" s="1" t="s">
        <v>50906</v>
      </c>
      <c r="AE3206" s="1" t="s">
        <v>50907</v>
      </c>
      <c r="AF3206" s="1" t="s">
        <v>74</v>
      </c>
      <c r="AG3206" s="1">
        <v>57</v>
      </c>
      <c r="AH3206" s="1">
        <v>5</v>
      </c>
      <c r="AI3206" s="1">
        <v>5</v>
      </c>
      <c r="AJ3206" s="1">
        <v>0</v>
      </c>
      <c r="AK3206" s="1">
        <v>6</v>
      </c>
      <c r="AL3206" s="1" t="s">
        <v>1030</v>
      </c>
      <c r="AM3206" s="1" t="s">
        <v>1031</v>
      </c>
      <c r="AN3206" s="1" t="s">
        <v>1032</v>
      </c>
      <c r="AO3206" s="1" t="s">
        <v>507</v>
      </c>
      <c r="AP3206" s="1" t="s">
        <v>1033</v>
      </c>
      <c r="AQ3206" s="1" t="s">
        <v>74</v>
      </c>
      <c r="AR3206" s="1" t="s">
        <v>508</v>
      </c>
      <c r="AS3206" s="1" t="s">
        <v>509</v>
      </c>
      <c r="AT3206" s="1" t="s">
        <v>74</v>
      </c>
      <c r="AU3206" s="1">
        <v>2017</v>
      </c>
      <c r="AV3206" s="1">
        <v>26</v>
      </c>
      <c r="AW3206" s="1">
        <v>12</v>
      </c>
      <c r="AX3206" s="1" t="s">
        <v>74</v>
      </c>
      <c r="AY3206" s="1" t="s">
        <v>74</v>
      </c>
      <c r="AZ3206" s="1" t="s">
        <v>74</v>
      </c>
      <c r="BA3206" s="1" t="s">
        <v>74</v>
      </c>
      <c r="BB3206" s="1">
        <v>7105</v>
      </c>
      <c r="BC3206" s="1">
        <v>7113</v>
      </c>
      <c r="BD3206" s="1" t="s">
        <v>74</v>
      </c>
      <c r="BE3206" s="1" t="s">
        <v>74</v>
      </c>
      <c r="BF3206" s="1" t="s">
        <v>74</v>
      </c>
      <c r="BG3206" s="1" t="s">
        <v>74</v>
      </c>
      <c r="BH3206" s="1" t="s">
        <v>74</v>
      </c>
      <c r="BI3206" s="1">
        <v>9</v>
      </c>
      <c r="BJ3206" s="1" t="s">
        <v>144</v>
      </c>
      <c r="BK3206" s="1" t="s">
        <v>96</v>
      </c>
      <c r="BL3206" s="1" t="s">
        <v>145</v>
      </c>
      <c r="BM3206" s="1" t="s">
        <v>1136</v>
      </c>
      <c r="BN3206" s="1" t="s">
        <v>74</v>
      </c>
      <c r="BO3206" s="1" t="s">
        <v>74</v>
      </c>
      <c r="BP3206" s="1" t="s">
        <v>74</v>
      </c>
      <c r="BQ3206" s="1" t="s">
        <v>74</v>
      </c>
      <c r="BR3206" s="1" t="s">
        <v>98</v>
      </c>
      <c r="BS3206" s="1" t="s">
        <v>50908</v>
      </c>
      <c r="BT3206" s="1" t="str">
        <f>HYPERLINK("https%3A%2F%2Fwww.webofscience.com%2Fwos%2Fwoscc%2Ffull-record%2FWOS:000419539700018","View Full Record in Web of Science")</f>
        <v>View Full Record in Web of Science</v>
      </c>
      <c r="BU3206" s="1"/>
      <c r="BV3206" s="1"/>
    </row>
    <row r="3207" spans="1:74">
      <c r="A3207" s="1" t="s">
        <v>72</v>
      </c>
      <c r="B3207" s="1" t="s">
        <v>50909</v>
      </c>
      <c r="C3207" s="1" t="s">
        <v>74</v>
      </c>
      <c r="D3207" s="1" t="s">
        <v>74</v>
      </c>
      <c r="E3207" s="1" t="s">
        <v>74</v>
      </c>
      <c r="F3207" s="1" t="s">
        <v>50909</v>
      </c>
      <c r="G3207" s="1" t="s">
        <v>74</v>
      </c>
      <c r="H3207" s="1" t="s">
        <v>74</v>
      </c>
      <c r="I3207" s="1" t="s">
        <v>50910</v>
      </c>
      <c r="J3207" s="1" t="s">
        <v>421</v>
      </c>
      <c r="K3207" s="1" t="s">
        <v>74</v>
      </c>
      <c r="L3207" s="1" t="s">
        <v>74</v>
      </c>
      <c r="M3207" s="1" t="s">
        <v>78</v>
      </c>
      <c r="N3207" s="1" t="s">
        <v>79</v>
      </c>
      <c r="O3207" s="1" t="s">
        <v>74</v>
      </c>
      <c r="P3207" s="1" t="s">
        <v>74</v>
      </c>
      <c r="Q3207" s="1" t="s">
        <v>74</v>
      </c>
      <c r="R3207" s="1" t="s">
        <v>74</v>
      </c>
      <c r="S3207" s="1" t="s">
        <v>74</v>
      </c>
      <c r="T3207" s="1" t="s">
        <v>50911</v>
      </c>
      <c r="U3207" s="1" t="s">
        <v>50912</v>
      </c>
      <c r="V3207" s="1" t="s">
        <v>50913</v>
      </c>
      <c r="W3207" s="1" t="s">
        <v>50914</v>
      </c>
      <c r="X3207" s="1" t="s">
        <v>24990</v>
      </c>
      <c r="Y3207" s="1" t="s">
        <v>50915</v>
      </c>
      <c r="Z3207" s="1" t="s">
        <v>74</v>
      </c>
      <c r="AA3207" s="1" t="s">
        <v>26285</v>
      </c>
      <c r="AB3207" s="1" t="s">
        <v>50916</v>
      </c>
      <c r="AC3207" s="1" t="s">
        <v>74</v>
      </c>
      <c r="AD3207" s="1" t="s">
        <v>74</v>
      </c>
      <c r="AE3207" s="1" t="s">
        <v>74</v>
      </c>
      <c r="AF3207" s="1" t="s">
        <v>74</v>
      </c>
      <c r="AG3207" s="1">
        <v>68</v>
      </c>
      <c r="AH3207" s="1">
        <v>124</v>
      </c>
      <c r="AI3207" s="1">
        <v>134</v>
      </c>
      <c r="AJ3207" s="1">
        <v>1</v>
      </c>
      <c r="AK3207" s="1">
        <v>28</v>
      </c>
      <c r="AL3207" s="1" t="s">
        <v>430</v>
      </c>
      <c r="AM3207" s="1" t="s">
        <v>137</v>
      </c>
      <c r="AN3207" s="1" t="s">
        <v>431</v>
      </c>
      <c r="AO3207" s="1" t="s">
        <v>432</v>
      </c>
      <c r="AP3207" s="1" t="s">
        <v>74</v>
      </c>
      <c r="AQ3207" s="1" t="s">
        <v>74</v>
      </c>
      <c r="AR3207" s="1" t="s">
        <v>433</v>
      </c>
      <c r="AS3207" s="1" t="s">
        <v>434</v>
      </c>
      <c r="AT3207" s="1" t="s">
        <v>74</v>
      </c>
      <c r="AU3207" s="1">
        <v>2001</v>
      </c>
      <c r="AV3207" s="1">
        <v>114</v>
      </c>
      <c r="AW3207" s="1">
        <v>2</v>
      </c>
      <c r="AX3207" s="1" t="s">
        <v>74</v>
      </c>
      <c r="AY3207" s="1" t="s">
        <v>74</v>
      </c>
      <c r="AZ3207" s="1" t="s">
        <v>74</v>
      </c>
      <c r="BA3207" s="1" t="s">
        <v>74</v>
      </c>
      <c r="BB3207" s="1">
        <v>145</v>
      </c>
      <c r="BC3207" s="1">
        <v>160</v>
      </c>
      <c r="BD3207" s="1" t="s">
        <v>74</v>
      </c>
      <c r="BE3207" s="1" t="s">
        <v>50917</v>
      </c>
      <c r="BF3207" s="1" t="str">
        <f>HYPERLINK("http://dx.doi.org/10.1016/S0269-7491(00)00223-2","http://dx.doi.org/10.1016/S0269-7491(00)00223-2")</f>
        <v>http://dx.doi.org/10.1016/S0269-7491(00)00223-2</v>
      </c>
      <c r="BG3207" s="1" t="s">
        <v>74</v>
      </c>
      <c r="BH3207" s="1" t="s">
        <v>74</v>
      </c>
      <c r="BI3207" s="1">
        <v>16</v>
      </c>
      <c r="BJ3207" s="1" t="s">
        <v>144</v>
      </c>
      <c r="BK3207" s="1" t="s">
        <v>96</v>
      </c>
      <c r="BL3207" s="1" t="s">
        <v>145</v>
      </c>
      <c r="BM3207" s="1" t="s">
        <v>50918</v>
      </c>
      <c r="BN3207" s="1">
        <v>11504337</v>
      </c>
      <c r="BO3207" s="1" t="s">
        <v>74</v>
      </c>
      <c r="BP3207" s="1" t="s">
        <v>74</v>
      </c>
      <c r="BQ3207" s="1" t="s">
        <v>74</v>
      </c>
      <c r="BR3207" s="1" t="s">
        <v>98</v>
      </c>
      <c r="BS3207" s="1" t="s">
        <v>50919</v>
      </c>
      <c r="BT3207" s="1" t="str">
        <f>HYPERLINK("https%3A%2F%2Fwww.webofscience.com%2Fwos%2Fwoscc%2Ffull-record%2FWOS:000170127700001","View Full Record in Web of Science")</f>
        <v>View Full Record in Web of Science</v>
      </c>
      <c r="BU3207" s="1"/>
      <c r="BV3207" s="1"/>
    </row>
    <row r="3208" spans="1:74">
      <c r="A3208" s="1" t="s">
        <v>72</v>
      </c>
      <c r="B3208" s="1" t="s">
        <v>50920</v>
      </c>
      <c r="C3208" s="1" t="s">
        <v>74</v>
      </c>
      <c r="D3208" s="1" t="s">
        <v>74</v>
      </c>
      <c r="E3208" s="1" t="s">
        <v>74</v>
      </c>
      <c r="F3208" s="1" t="s">
        <v>50921</v>
      </c>
      <c r="G3208" s="1" t="s">
        <v>74</v>
      </c>
      <c r="H3208" s="1" t="s">
        <v>74</v>
      </c>
      <c r="I3208" s="1" t="s">
        <v>50922</v>
      </c>
      <c r="J3208" s="1" t="s">
        <v>729</v>
      </c>
      <c r="K3208" s="1" t="s">
        <v>74</v>
      </c>
      <c r="L3208" s="1" t="s">
        <v>74</v>
      </c>
      <c r="M3208" s="1" t="s">
        <v>78</v>
      </c>
      <c r="N3208" s="1" t="s">
        <v>79</v>
      </c>
      <c r="O3208" s="1" t="s">
        <v>74</v>
      </c>
      <c r="P3208" s="1" t="s">
        <v>74</v>
      </c>
      <c r="Q3208" s="1" t="s">
        <v>74</v>
      </c>
      <c r="R3208" s="1" t="s">
        <v>74</v>
      </c>
      <c r="S3208" s="1" t="s">
        <v>74</v>
      </c>
      <c r="T3208" s="1" t="s">
        <v>74</v>
      </c>
      <c r="U3208" s="1" t="s">
        <v>50923</v>
      </c>
      <c r="V3208" s="1" t="s">
        <v>50924</v>
      </c>
      <c r="W3208" s="1" t="s">
        <v>50925</v>
      </c>
      <c r="X3208" s="1" t="s">
        <v>50926</v>
      </c>
      <c r="Y3208" s="1" t="s">
        <v>50927</v>
      </c>
      <c r="Z3208" s="1" t="s">
        <v>50928</v>
      </c>
      <c r="AA3208" s="1" t="s">
        <v>50929</v>
      </c>
      <c r="AB3208" s="1" t="s">
        <v>50930</v>
      </c>
      <c r="AC3208" s="1" t="s">
        <v>50931</v>
      </c>
      <c r="AD3208" s="1" t="s">
        <v>50932</v>
      </c>
      <c r="AE3208" s="1" t="s">
        <v>50933</v>
      </c>
      <c r="AF3208" s="1" t="s">
        <v>74</v>
      </c>
      <c r="AG3208" s="1">
        <v>70</v>
      </c>
      <c r="AH3208" s="1">
        <v>1</v>
      </c>
      <c r="AI3208" s="1">
        <v>1</v>
      </c>
      <c r="AJ3208" s="1">
        <v>3</v>
      </c>
      <c r="AK3208" s="1">
        <v>21</v>
      </c>
      <c r="AL3208" s="1" t="s">
        <v>86</v>
      </c>
      <c r="AM3208" s="1" t="s">
        <v>87</v>
      </c>
      <c r="AN3208" s="1" t="s">
        <v>88</v>
      </c>
      <c r="AO3208" s="1" t="s">
        <v>741</v>
      </c>
      <c r="AP3208" s="1" t="s">
        <v>742</v>
      </c>
      <c r="AQ3208" s="1" t="s">
        <v>74</v>
      </c>
      <c r="AR3208" s="1" t="s">
        <v>743</v>
      </c>
      <c r="AS3208" s="1" t="s">
        <v>744</v>
      </c>
      <c r="AT3208" s="1" t="s">
        <v>50934</v>
      </c>
      <c r="AU3208" s="1">
        <v>2023</v>
      </c>
      <c r="AV3208" s="1">
        <v>2023</v>
      </c>
      <c r="AW3208" s="1" t="s">
        <v>74</v>
      </c>
      <c r="AX3208" s="1" t="s">
        <v>74</v>
      </c>
      <c r="AY3208" s="1" t="s">
        <v>74</v>
      </c>
      <c r="AZ3208" s="1" t="s">
        <v>74</v>
      </c>
      <c r="BA3208" s="1" t="s">
        <v>74</v>
      </c>
      <c r="BB3208" s="1" t="s">
        <v>74</v>
      </c>
      <c r="BC3208" s="1" t="s">
        <v>74</v>
      </c>
      <c r="BD3208" s="1">
        <v>4729267</v>
      </c>
      <c r="BE3208" s="1" t="s">
        <v>50935</v>
      </c>
      <c r="BF3208" s="1" t="str">
        <f>HYPERLINK("http://dx.doi.org/10.1155/2023/4729267","http://dx.doi.org/10.1155/2023/4729267")</f>
        <v>http://dx.doi.org/10.1155/2023/4729267</v>
      </c>
      <c r="BG3208" s="1" t="s">
        <v>74</v>
      </c>
      <c r="BH3208" s="1" t="s">
        <v>74</v>
      </c>
      <c r="BI3208" s="1">
        <v>10</v>
      </c>
      <c r="BJ3208" s="1" t="s">
        <v>746</v>
      </c>
      <c r="BK3208" s="1" t="s">
        <v>96</v>
      </c>
      <c r="BL3208" s="1" t="s">
        <v>746</v>
      </c>
      <c r="BM3208" s="1" t="s">
        <v>50936</v>
      </c>
      <c r="BN3208" s="1" t="s">
        <v>74</v>
      </c>
      <c r="BO3208" s="1" t="s">
        <v>873</v>
      </c>
      <c r="BP3208" s="1" t="s">
        <v>74</v>
      </c>
      <c r="BQ3208" s="1" t="s">
        <v>74</v>
      </c>
      <c r="BR3208" s="1" t="s">
        <v>98</v>
      </c>
      <c r="BS3208" s="1" t="s">
        <v>50937</v>
      </c>
      <c r="BT3208" s="1" t="str">
        <f>HYPERLINK("https%3A%2F%2Fwww.webofscience.com%2Fwos%2Fwoscc%2Ffull-record%2FWOS:000929506900006","View Full Record in Web of Science")</f>
        <v>View Full Record in Web of Science</v>
      </c>
      <c r="BU3208" s="1"/>
      <c r="BV3208" s="1"/>
    </row>
    <row r="3209" spans="1:74">
      <c r="A3209" s="1" t="s">
        <v>72</v>
      </c>
      <c r="B3209" s="1" t="s">
        <v>50938</v>
      </c>
      <c r="C3209" s="1" t="s">
        <v>74</v>
      </c>
      <c r="D3209" s="1" t="s">
        <v>74</v>
      </c>
      <c r="E3209" s="1" t="s">
        <v>74</v>
      </c>
      <c r="F3209" s="1" t="s">
        <v>50939</v>
      </c>
      <c r="G3209" s="1" t="s">
        <v>74</v>
      </c>
      <c r="H3209" s="1" t="s">
        <v>74</v>
      </c>
      <c r="I3209" s="1" t="s">
        <v>50940</v>
      </c>
      <c r="J3209" s="1" t="s">
        <v>204</v>
      </c>
      <c r="K3209" s="1" t="s">
        <v>74</v>
      </c>
      <c r="L3209" s="1" t="s">
        <v>74</v>
      </c>
      <c r="M3209" s="1" t="s">
        <v>78</v>
      </c>
      <c r="N3209" s="1" t="s">
        <v>79</v>
      </c>
      <c r="O3209" s="1" t="s">
        <v>74</v>
      </c>
      <c r="P3209" s="1" t="s">
        <v>74</v>
      </c>
      <c r="Q3209" s="1" t="s">
        <v>74</v>
      </c>
      <c r="R3209" s="1" t="s">
        <v>74</v>
      </c>
      <c r="S3209" s="1" t="s">
        <v>74</v>
      </c>
      <c r="T3209" s="1" t="s">
        <v>50941</v>
      </c>
      <c r="U3209" s="1" t="s">
        <v>50942</v>
      </c>
      <c r="V3209" s="1" t="s">
        <v>50943</v>
      </c>
      <c r="W3209" s="1" t="s">
        <v>50944</v>
      </c>
      <c r="X3209" s="1" t="s">
        <v>50945</v>
      </c>
      <c r="Y3209" s="1" t="s">
        <v>50946</v>
      </c>
      <c r="Z3209" s="1" t="s">
        <v>50947</v>
      </c>
      <c r="AA3209" s="1" t="s">
        <v>50948</v>
      </c>
      <c r="AB3209" s="1" t="s">
        <v>50949</v>
      </c>
      <c r="AC3209" s="1" t="s">
        <v>50950</v>
      </c>
      <c r="AD3209" s="1" t="s">
        <v>50951</v>
      </c>
      <c r="AE3209" s="1" t="s">
        <v>50952</v>
      </c>
      <c r="AF3209" s="1" t="s">
        <v>74</v>
      </c>
      <c r="AG3209" s="1">
        <v>58</v>
      </c>
      <c r="AH3209" s="1">
        <v>50</v>
      </c>
      <c r="AI3209" s="1">
        <v>52</v>
      </c>
      <c r="AJ3209" s="1">
        <v>1</v>
      </c>
      <c r="AK3209" s="1">
        <v>87</v>
      </c>
      <c r="AL3209" s="1" t="s">
        <v>217</v>
      </c>
      <c r="AM3209" s="1" t="s">
        <v>218</v>
      </c>
      <c r="AN3209" s="1" t="s">
        <v>219</v>
      </c>
      <c r="AO3209" s="1" t="s">
        <v>220</v>
      </c>
      <c r="AP3209" s="1" t="s">
        <v>221</v>
      </c>
      <c r="AQ3209" s="1" t="s">
        <v>74</v>
      </c>
      <c r="AR3209" s="1" t="s">
        <v>222</v>
      </c>
      <c r="AS3209" s="1" t="s">
        <v>223</v>
      </c>
      <c r="AT3209" s="1" t="s">
        <v>951</v>
      </c>
      <c r="AU3209" s="1">
        <v>2015</v>
      </c>
      <c r="AV3209" s="1">
        <v>22</v>
      </c>
      <c r="AW3209" s="1">
        <v>22</v>
      </c>
      <c r="AX3209" s="1" t="s">
        <v>74</v>
      </c>
      <c r="AY3209" s="1" t="s">
        <v>74</v>
      </c>
      <c r="AZ3209" s="1" t="s">
        <v>74</v>
      </c>
      <c r="BA3209" s="1" t="s">
        <v>74</v>
      </c>
      <c r="BB3209" s="1">
        <v>17414</v>
      </c>
      <c r="BC3209" s="1">
        <v>17424</v>
      </c>
      <c r="BD3209" s="1" t="s">
        <v>74</v>
      </c>
      <c r="BE3209" s="1" t="s">
        <v>50953</v>
      </c>
      <c r="BF3209" s="1" t="str">
        <f>HYPERLINK("http://dx.doi.org/10.1007/s11356-015-4718-x","http://dx.doi.org/10.1007/s11356-015-4718-x")</f>
        <v>http://dx.doi.org/10.1007/s11356-015-4718-x</v>
      </c>
      <c r="BG3209" s="1" t="s">
        <v>74</v>
      </c>
      <c r="BH3209" s="1" t="s">
        <v>74</v>
      </c>
      <c r="BI3209" s="1">
        <v>11</v>
      </c>
      <c r="BJ3209" s="1" t="s">
        <v>144</v>
      </c>
      <c r="BK3209" s="1" t="s">
        <v>96</v>
      </c>
      <c r="BL3209" s="1" t="s">
        <v>145</v>
      </c>
      <c r="BM3209" s="1" t="s">
        <v>7802</v>
      </c>
      <c r="BN3209" s="1">
        <v>25994271</v>
      </c>
      <c r="BO3209" s="1" t="s">
        <v>74</v>
      </c>
      <c r="BP3209" s="1" t="s">
        <v>74</v>
      </c>
      <c r="BQ3209" s="1" t="s">
        <v>74</v>
      </c>
      <c r="BR3209" s="1" t="s">
        <v>98</v>
      </c>
      <c r="BS3209" s="1" t="s">
        <v>50954</v>
      </c>
      <c r="BT3209" s="1" t="str">
        <f>HYPERLINK("https%3A%2F%2Fwww.webofscience.com%2Fwos%2Fwoscc%2Ffull-record%2FWOS:000365423100014","View Full Record in Web of Science")</f>
        <v>View Full Record in Web of Science</v>
      </c>
      <c r="BU3209" s="1"/>
      <c r="BV3209" s="1"/>
    </row>
    <row r="3210" spans="1:74">
      <c r="A3210" s="1" t="s">
        <v>72</v>
      </c>
      <c r="B3210" s="1" t="s">
        <v>50955</v>
      </c>
      <c r="C3210" s="1" t="s">
        <v>74</v>
      </c>
      <c r="D3210" s="1" t="s">
        <v>74</v>
      </c>
      <c r="E3210" s="1" t="s">
        <v>74</v>
      </c>
      <c r="F3210" s="1" t="s">
        <v>50956</v>
      </c>
      <c r="G3210" s="1" t="s">
        <v>74</v>
      </c>
      <c r="H3210" s="1" t="s">
        <v>74</v>
      </c>
      <c r="I3210" s="1" t="s">
        <v>50957</v>
      </c>
      <c r="J3210" s="1" t="s">
        <v>50958</v>
      </c>
      <c r="K3210" s="1" t="s">
        <v>74</v>
      </c>
      <c r="L3210" s="1" t="s">
        <v>74</v>
      </c>
      <c r="M3210" s="1" t="s">
        <v>78</v>
      </c>
      <c r="N3210" s="1" t="s">
        <v>79</v>
      </c>
      <c r="O3210" s="1" t="s">
        <v>74</v>
      </c>
      <c r="P3210" s="1" t="s">
        <v>74</v>
      </c>
      <c r="Q3210" s="1" t="s">
        <v>74</v>
      </c>
      <c r="R3210" s="1" t="s">
        <v>74</v>
      </c>
      <c r="S3210" s="1" t="s">
        <v>74</v>
      </c>
      <c r="T3210" s="1" t="s">
        <v>50959</v>
      </c>
      <c r="U3210" s="1" t="s">
        <v>50960</v>
      </c>
      <c r="V3210" s="1" t="s">
        <v>50961</v>
      </c>
      <c r="W3210" s="1" t="s">
        <v>50962</v>
      </c>
      <c r="X3210" s="1" t="s">
        <v>50963</v>
      </c>
      <c r="Y3210" s="1" t="s">
        <v>50964</v>
      </c>
      <c r="Z3210" s="1" t="s">
        <v>50965</v>
      </c>
      <c r="AA3210" s="1" t="s">
        <v>74</v>
      </c>
      <c r="AB3210" s="1" t="s">
        <v>74</v>
      </c>
      <c r="AC3210" s="1" t="s">
        <v>50966</v>
      </c>
      <c r="AD3210" s="1" t="s">
        <v>50966</v>
      </c>
      <c r="AE3210" s="1" t="s">
        <v>50967</v>
      </c>
      <c r="AF3210" s="1" t="s">
        <v>74</v>
      </c>
      <c r="AG3210" s="1">
        <v>27</v>
      </c>
      <c r="AH3210" s="1">
        <v>137</v>
      </c>
      <c r="AI3210" s="1">
        <v>160</v>
      </c>
      <c r="AJ3210" s="1">
        <v>8</v>
      </c>
      <c r="AK3210" s="1">
        <v>202</v>
      </c>
      <c r="AL3210" s="1" t="s">
        <v>3108</v>
      </c>
      <c r="AM3210" s="1" t="s">
        <v>4769</v>
      </c>
      <c r="AN3210" s="1" t="s">
        <v>4770</v>
      </c>
      <c r="AO3210" s="1" t="s">
        <v>50968</v>
      </c>
      <c r="AP3210" s="1" t="s">
        <v>74</v>
      </c>
      <c r="AQ3210" s="1" t="s">
        <v>74</v>
      </c>
      <c r="AR3210" s="1" t="s">
        <v>50969</v>
      </c>
      <c r="AS3210" s="1" t="s">
        <v>50970</v>
      </c>
      <c r="AT3210" s="1" t="s">
        <v>74</v>
      </c>
      <c r="AU3210" s="1">
        <v>2011</v>
      </c>
      <c r="AV3210" s="1">
        <v>8</v>
      </c>
      <c r="AW3210" s="1">
        <v>4</v>
      </c>
      <c r="AX3210" s="1" t="s">
        <v>74</v>
      </c>
      <c r="AY3210" s="1" t="s">
        <v>74</v>
      </c>
      <c r="AZ3210" s="1" t="s">
        <v>74</v>
      </c>
      <c r="BA3210" s="1" t="s">
        <v>74</v>
      </c>
      <c r="BB3210" s="1">
        <v>372</v>
      </c>
      <c r="BC3210" s="1">
        <v>380</v>
      </c>
      <c r="BD3210" s="1" t="s">
        <v>74</v>
      </c>
      <c r="BE3210" s="1" t="s">
        <v>50971</v>
      </c>
      <c r="BF3210" s="1" t="str">
        <f>HYPERLINK("http://dx.doi.org/10.1071/EN10145","http://dx.doi.org/10.1071/EN10145")</f>
        <v>http://dx.doi.org/10.1071/EN10145</v>
      </c>
      <c r="BG3210" s="1" t="s">
        <v>74</v>
      </c>
      <c r="BH3210" s="1" t="s">
        <v>74</v>
      </c>
      <c r="BI3210" s="1">
        <v>9</v>
      </c>
      <c r="BJ3210" s="1" t="s">
        <v>269</v>
      </c>
      <c r="BK3210" s="1" t="s">
        <v>96</v>
      </c>
      <c r="BL3210" s="1" t="s">
        <v>270</v>
      </c>
      <c r="BM3210" s="1" t="s">
        <v>50972</v>
      </c>
      <c r="BN3210" s="1" t="s">
        <v>74</v>
      </c>
      <c r="BO3210" s="1" t="s">
        <v>476</v>
      </c>
      <c r="BP3210" s="1" t="s">
        <v>74</v>
      </c>
      <c r="BQ3210" s="1" t="s">
        <v>74</v>
      </c>
      <c r="BR3210" s="1" t="s">
        <v>98</v>
      </c>
      <c r="BS3210" s="1" t="s">
        <v>50973</v>
      </c>
      <c r="BT3210" s="1" t="str">
        <f>HYPERLINK("https%3A%2F%2Fwww.webofscience.com%2Fwos%2Fwoscc%2Ffull-record%2FWOS:000294056000005","View Full Record in Web of Science")</f>
        <v>View Full Record in Web of Science</v>
      </c>
      <c r="BU3210" s="1"/>
      <c r="BV3210" s="1"/>
    </row>
    <row r="3211" spans="1:74">
      <c r="A3211" s="1" t="s">
        <v>72</v>
      </c>
      <c r="B3211" s="1" t="s">
        <v>50974</v>
      </c>
      <c r="C3211" s="1" t="s">
        <v>74</v>
      </c>
      <c r="D3211" s="1" t="s">
        <v>74</v>
      </c>
      <c r="E3211" s="1" t="s">
        <v>74</v>
      </c>
      <c r="F3211" s="1" t="s">
        <v>50975</v>
      </c>
      <c r="G3211" s="1" t="s">
        <v>74</v>
      </c>
      <c r="H3211" s="1" t="s">
        <v>74</v>
      </c>
      <c r="I3211" s="1" t="s">
        <v>50976</v>
      </c>
      <c r="J3211" s="1" t="s">
        <v>204</v>
      </c>
      <c r="K3211" s="1" t="s">
        <v>74</v>
      </c>
      <c r="L3211" s="1" t="s">
        <v>74</v>
      </c>
      <c r="M3211" s="1" t="s">
        <v>78</v>
      </c>
      <c r="N3211" s="1" t="s">
        <v>79</v>
      </c>
      <c r="O3211" s="1" t="s">
        <v>74</v>
      </c>
      <c r="P3211" s="1" t="s">
        <v>74</v>
      </c>
      <c r="Q3211" s="1" t="s">
        <v>74</v>
      </c>
      <c r="R3211" s="1" t="s">
        <v>74</v>
      </c>
      <c r="S3211" s="1" t="s">
        <v>74</v>
      </c>
      <c r="T3211" s="1" t="s">
        <v>50977</v>
      </c>
      <c r="U3211" s="1" t="s">
        <v>50978</v>
      </c>
      <c r="V3211" s="1" t="s">
        <v>50979</v>
      </c>
      <c r="W3211" s="1" t="s">
        <v>50980</v>
      </c>
      <c r="X3211" s="1" t="s">
        <v>50981</v>
      </c>
      <c r="Y3211" s="1" t="s">
        <v>50982</v>
      </c>
      <c r="Z3211" s="1" t="s">
        <v>50983</v>
      </c>
      <c r="AA3211" s="1" t="s">
        <v>74</v>
      </c>
      <c r="AB3211" s="1" t="s">
        <v>74</v>
      </c>
      <c r="AC3211" s="1" t="s">
        <v>74</v>
      </c>
      <c r="AD3211" s="1" t="s">
        <v>74</v>
      </c>
      <c r="AE3211" s="1" t="s">
        <v>74</v>
      </c>
      <c r="AF3211" s="1" t="s">
        <v>74</v>
      </c>
      <c r="AG3211" s="1">
        <v>80</v>
      </c>
      <c r="AH3211" s="1">
        <v>14</v>
      </c>
      <c r="AI3211" s="1">
        <v>17</v>
      </c>
      <c r="AJ3211" s="1">
        <v>0</v>
      </c>
      <c r="AK3211" s="1">
        <v>18</v>
      </c>
      <c r="AL3211" s="1" t="s">
        <v>217</v>
      </c>
      <c r="AM3211" s="1" t="s">
        <v>218</v>
      </c>
      <c r="AN3211" s="1" t="s">
        <v>219</v>
      </c>
      <c r="AO3211" s="1" t="s">
        <v>220</v>
      </c>
      <c r="AP3211" s="1" t="s">
        <v>221</v>
      </c>
      <c r="AQ3211" s="1" t="s">
        <v>74</v>
      </c>
      <c r="AR3211" s="1" t="s">
        <v>222</v>
      </c>
      <c r="AS3211" s="1" t="s">
        <v>223</v>
      </c>
      <c r="AT3211" s="1" t="s">
        <v>305</v>
      </c>
      <c r="AU3211" s="1">
        <v>2015</v>
      </c>
      <c r="AV3211" s="1">
        <v>22</v>
      </c>
      <c r="AW3211" s="1">
        <v>17</v>
      </c>
      <c r="AX3211" s="1" t="s">
        <v>74</v>
      </c>
      <c r="AY3211" s="1" t="s">
        <v>74</v>
      </c>
      <c r="AZ3211" s="1" t="s">
        <v>74</v>
      </c>
      <c r="BA3211" s="1" t="s">
        <v>74</v>
      </c>
      <c r="BB3211" s="1">
        <v>13546</v>
      </c>
      <c r="BC3211" s="1">
        <v>13555</v>
      </c>
      <c r="BD3211" s="1" t="s">
        <v>74</v>
      </c>
      <c r="BE3211" s="1" t="s">
        <v>50984</v>
      </c>
      <c r="BF3211" s="1" t="str">
        <f>HYPERLINK("http://dx.doi.org/10.1007/s11356-015-4597-1","http://dx.doi.org/10.1007/s11356-015-4597-1")</f>
        <v>http://dx.doi.org/10.1007/s11356-015-4597-1</v>
      </c>
      <c r="BG3211" s="1" t="s">
        <v>74</v>
      </c>
      <c r="BH3211" s="1" t="s">
        <v>74</v>
      </c>
      <c r="BI3211" s="1">
        <v>10</v>
      </c>
      <c r="BJ3211" s="1" t="s">
        <v>144</v>
      </c>
      <c r="BK3211" s="1" t="s">
        <v>96</v>
      </c>
      <c r="BL3211" s="1" t="s">
        <v>145</v>
      </c>
      <c r="BM3211" s="1" t="s">
        <v>50985</v>
      </c>
      <c r="BN3211" s="1">
        <v>25943513</v>
      </c>
      <c r="BO3211" s="1" t="s">
        <v>2784</v>
      </c>
      <c r="BP3211" s="1" t="s">
        <v>74</v>
      </c>
      <c r="BQ3211" s="1" t="s">
        <v>74</v>
      </c>
      <c r="BR3211" s="1" t="s">
        <v>98</v>
      </c>
      <c r="BS3211" s="1" t="s">
        <v>50986</v>
      </c>
      <c r="BT3211" s="1" t="str">
        <f>HYPERLINK("https%3A%2F%2Fwww.webofscience.com%2Fwos%2Fwoscc%2Ffull-record%2FWOS:000360311500072","View Full Record in Web of Science")</f>
        <v>View Full Record in Web of Science</v>
      </c>
      <c r="BU3211" s="1"/>
      <c r="BV3211" s="1"/>
    </row>
    <row r="3212" spans="1:74">
      <c r="A3212" s="1" t="s">
        <v>72</v>
      </c>
      <c r="B3212" s="1" t="s">
        <v>50987</v>
      </c>
      <c r="C3212" s="1" t="s">
        <v>74</v>
      </c>
      <c r="D3212" s="1" t="s">
        <v>74</v>
      </c>
      <c r="E3212" s="1" t="s">
        <v>74</v>
      </c>
      <c r="F3212" s="1" t="s">
        <v>50988</v>
      </c>
      <c r="G3212" s="1" t="s">
        <v>74</v>
      </c>
      <c r="H3212" s="1" t="s">
        <v>74</v>
      </c>
      <c r="I3212" s="1" t="s">
        <v>50989</v>
      </c>
      <c r="J3212" s="1" t="s">
        <v>50990</v>
      </c>
      <c r="K3212" s="1" t="s">
        <v>74</v>
      </c>
      <c r="L3212" s="1" t="s">
        <v>74</v>
      </c>
      <c r="M3212" s="1" t="s">
        <v>78</v>
      </c>
      <c r="N3212" s="1" t="s">
        <v>79</v>
      </c>
      <c r="O3212" s="1" t="s">
        <v>74</v>
      </c>
      <c r="P3212" s="1" t="s">
        <v>74</v>
      </c>
      <c r="Q3212" s="1" t="s">
        <v>74</v>
      </c>
      <c r="R3212" s="1" t="s">
        <v>74</v>
      </c>
      <c r="S3212" s="1" t="s">
        <v>74</v>
      </c>
      <c r="T3212" s="1" t="s">
        <v>50991</v>
      </c>
      <c r="U3212" s="1" t="s">
        <v>50992</v>
      </c>
      <c r="V3212" s="1" t="s">
        <v>50993</v>
      </c>
      <c r="W3212" s="1" t="s">
        <v>50994</v>
      </c>
      <c r="X3212" s="1" t="s">
        <v>50995</v>
      </c>
      <c r="Y3212" s="1" t="s">
        <v>50996</v>
      </c>
      <c r="Z3212" s="1" t="s">
        <v>50997</v>
      </c>
      <c r="AA3212" s="1" t="s">
        <v>50998</v>
      </c>
      <c r="AB3212" s="1" t="s">
        <v>50999</v>
      </c>
      <c r="AC3212" s="1" t="s">
        <v>74</v>
      </c>
      <c r="AD3212" s="1" t="s">
        <v>74</v>
      </c>
      <c r="AE3212" s="1" t="s">
        <v>74</v>
      </c>
      <c r="AF3212" s="1" t="s">
        <v>74</v>
      </c>
      <c r="AG3212" s="1">
        <v>70</v>
      </c>
      <c r="AH3212" s="1">
        <v>3</v>
      </c>
      <c r="AI3212" s="1">
        <v>3</v>
      </c>
      <c r="AJ3212" s="1">
        <v>13</v>
      </c>
      <c r="AK3212" s="1">
        <v>66</v>
      </c>
      <c r="AL3212" s="1" t="s">
        <v>51000</v>
      </c>
      <c r="AM3212" s="1" t="s">
        <v>45654</v>
      </c>
      <c r="AN3212" s="1" t="s">
        <v>51001</v>
      </c>
      <c r="AO3212" s="1" t="s">
        <v>51002</v>
      </c>
      <c r="AP3212" s="1" t="s">
        <v>51003</v>
      </c>
      <c r="AQ3212" s="1" t="s">
        <v>74</v>
      </c>
      <c r="AR3212" s="1" t="s">
        <v>51004</v>
      </c>
      <c r="AS3212" s="1" t="s">
        <v>51005</v>
      </c>
      <c r="AT3212" s="1" t="s">
        <v>74</v>
      </c>
      <c r="AU3212" s="1">
        <v>2022</v>
      </c>
      <c r="AV3212" s="1">
        <v>45</v>
      </c>
      <c r="AW3212" s="1">
        <v>6</v>
      </c>
      <c r="AX3212" s="1" t="s">
        <v>74</v>
      </c>
      <c r="AY3212" s="1" t="s">
        <v>74</v>
      </c>
      <c r="AZ3212" s="1" t="s">
        <v>74</v>
      </c>
      <c r="BA3212" s="1" t="s">
        <v>74</v>
      </c>
      <c r="BB3212" s="1">
        <v>705</v>
      </c>
      <c r="BC3212" s="1">
        <v>711</v>
      </c>
      <c r="BD3212" s="1" t="s">
        <v>74</v>
      </c>
      <c r="BE3212" s="1" t="s">
        <v>51006</v>
      </c>
      <c r="BF3212" s="1" t="str">
        <f>HYPERLINK("http://dx.doi.org/10.21577/0100-4042.20170870","http://dx.doi.org/10.21577/0100-4042.20170870")</f>
        <v>http://dx.doi.org/10.21577/0100-4042.20170870</v>
      </c>
      <c r="BG3212" s="1" t="s">
        <v>74</v>
      </c>
      <c r="BH3212" s="1" t="s">
        <v>5038</v>
      </c>
      <c r="BI3212" s="1">
        <v>7</v>
      </c>
      <c r="BJ3212" s="1" t="s">
        <v>3919</v>
      </c>
      <c r="BK3212" s="1" t="s">
        <v>96</v>
      </c>
      <c r="BL3212" s="1" t="s">
        <v>1197</v>
      </c>
      <c r="BM3212" s="1" t="s">
        <v>51007</v>
      </c>
      <c r="BN3212" s="1" t="s">
        <v>74</v>
      </c>
      <c r="BO3212" s="1" t="s">
        <v>2155</v>
      </c>
      <c r="BP3212" s="1" t="s">
        <v>74</v>
      </c>
      <c r="BQ3212" s="1" t="s">
        <v>74</v>
      </c>
      <c r="BR3212" s="1" t="s">
        <v>98</v>
      </c>
      <c r="BS3212" s="1" t="s">
        <v>51008</v>
      </c>
      <c r="BT3212" s="1" t="str">
        <f>HYPERLINK("https%3A%2F%2Fwww.webofscience.com%2Fwos%2Fwoscc%2Ffull-record%2FWOS:000766663100001","View Full Record in Web of Science")</f>
        <v>View Full Record in Web of Science</v>
      </c>
      <c r="BU3212" s="1"/>
      <c r="BV3212" s="1"/>
    </row>
    <row r="3213" spans="1:74">
      <c r="A3213" s="1" t="s">
        <v>72</v>
      </c>
      <c r="B3213" s="1" t="s">
        <v>51009</v>
      </c>
      <c r="C3213" s="1" t="s">
        <v>74</v>
      </c>
      <c r="D3213" s="1" t="s">
        <v>74</v>
      </c>
      <c r="E3213" s="1" t="s">
        <v>74</v>
      </c>
      <c r="F3213" s="1" t="s">
        <v>51010</v>
      </c>
      <c r="G3213" s="1" t="s">
        <v>74</v>
      </c>
      <c r="H3213" s="1" t="s">
        <v>74</v>
      </c>
      <c r="I3213" s="1" t="s">
        <v>51011</v>
      </c>
      <c r="J3213" s="1" t="s">
        <v>4747</v>
      </c>
      <c r="K3213" s="1" t="s">
        <v>74</v>
      </c>
      <c r="L3213" s="1" t="s">
        <v>74</v>
      </c>
      <c r="M3213" s="1" t="s">
        <v>78</v>
      </c>
      <c r="N3213" s="1" t="s">
        <v>79</v>
      </c>
      <c r="O3213" s="1" t="s">
        <v>74</v>
      </c>
      <c r="P3213" s="1" t="s">
        <v>74</v>
      </c>
      <c r="Q3213" s="1" t="s">
        <v>74</v>
      </c>
      <c r="R3213" s="1" t="s">
        <v>74</v>
      </c>
      <c r="S3213" s="1" t="s">
        <v>74</v>
      </c>
      <c r="T3213" s="1" t="s">
        <v>51012</v>
      </c>
      <c r="U3213" s="1" t="s">
        <v>51013</v>
      </c>
      <c r="V3213" s="1" t="s">
        <v>51014</v>
      </c>
      <c r="W3213" s="1" t="s">
        <v>51015</v>
      </c>
      <c r="X3213" s="1" t="s">
        <v>51016</v>
      </c>
      <c r="Y3213" s="1" t="s">
        <v>51017</v>
      </c>
      <c r="Z3213" s="1" t="s">
        <v>51018</v>
      </c>
      <c r="AA3213" s="1" t="s">
        <v>51019</v>
      </c>
      <c r="AB3213" s="1" t="s">
        <v>51020</v>
      </c>
      <c r="AC3213" s="1" t="s">
        <v>51021</v>
      </c>
      <c r="AD3213" s="1" t="s">
        <v>51022</v>
      </c>
      <c r="AE3213" s="1" t="s">
        <v>51023</v>
      </c>
      <c r="AF3213" s="1" t="s">
        <v>74</v>
      </c>
      <c r="AG3213" s="1">
        <v>179</v>
      </c>
      <c r="AH3213" s="1">
        <v>24</v>
      </c>
      <c r="AI3213" s="1">
        <v>24</v>
      </c>
      <c r="AJ3213" s="1">
        <v>8</v>
      </c>
      <c r="AK3213" s="1">
        <v>87</v>
      </c>
      <c r="AL3213" s="1" t="s">
        <v>650</v>
      </c>
      <c r="AM3213" s="1" t="s">
        <v>651</v>
      </c>
      <c r="AN3213" s="1" t="s">
        <v>652</v>
      </c>
      <c r="AO3213" s="1" t="s">
        <v>4758</v>
      </c>
      <c r="AP3213" s="1" t="s">
        <v>11139</v>
      </c>
      <c r="AQ3213" s="1" t="s">
        <v>74</v>
      </c>
      <c r="AR3213" s="1" t="s">
        <v>4759</v>
      </c>
      <c r="AS3213" s="1" t="s">
        <v>4760</v>
      </c>
      <c r="AT3213" s="1" t="s">
        <v>1856</v>
      </c>
      <c r="AU3213" s="1">
        <v>2021</v>
      </c>
      <c r="AV3213" s="1">
        <v>416</v>
      </c>
      <c r="AW3213" s="1" t="s">
        <v>74</v>
      </c>
      <c r="AX3213" s="1" t="s">
        <v>74</v>
      </c>
      <c r="AY3213" s="1" t="s">
        <v>74</v>
      </c>
      <c r="AZ3213" s="1" t="s">
        <v>74</v>
      </c>
      <c r="BA3213" s="1" t="s">
        <v>74</v>
      </c>
      <c r="BB3213" s="1" t="s">
        <v>74</v>
      </c>
      <c r="BC3213" s="1" t="s">
        <v>74</v>
      </c>
      <c r="BD3213" s="1">
        <v>125921</v>
      </c>
      <c r="BE3213" s="1" t="s">
        <v>51024</v>
      </c>
      <c r="BF3213" s="1" t="str">
        <f>HYPERLINK("http://dx.doi.org/10.1016/j.jhazmat.2021.125921","http://dx.doi.org/10.1016/j.jhazmat.2021.125921")</f>
        <v>http://dx.doi.org/10.1016/j.jhazmat.2021.125921</v>
      </c>
      <c r="BG3213" s="1" t="s">
        <v>74</v>
      </c>
      <c r="BH3213" s="1" t="s">
        <v>3508</v>
      </c>
      <c r="BI3213" s="1">
        <v>17</v>
      </c>
      <c r="BJ3213" s="1" t="s">
        <v>415</v>
      </c>
      <c r="BK3213" s="1" t="s">
        <v>96</v>
      </c>
      <c r="BL3213" s="1" t="s">
        <v>416</v>
      </c>
      <c r="BM3213" s="1" t="s">
        <v>51025</v>
      </c>
      <c r="BN3213" s="1">
        <v>34492853</v>
      </c>
      <c r="BO3213" s="1" t="s">
        <v>74</v>
      </c>
      <c r="BP3213" s="1" t="s">
        <v>74</v>
      </c>
      <c r="BQ3213" s="1" t="s">
        <v>74</v>
      </c>
      <c r="BR3213" s="1" t="s">
        <v>98</v>
      </c>
      <c r="BS3213" s="1" t="s">
        <v>51026</v>
      </c>
      <c r="BT3213" s="1" t="str">
        <f>HYPERLINK("https%3A%2F%2Fwww.webofscience.com%2Fwos%2Fwoscc%2Ffull-record%2FWOS:000664879200003","View Full Record in Web of Science")</f>
        <v>View Full Record in Web of Science</v>
      </c>
      <c r="BU3213" s="1"/>
      <c r="BV3213" s="1"/>
    </row>
    <row r="3214" spans="1:74">
      <c r="A3214" s="1" t="s">
        <v>72</v>
      </c>
      <c r="B3214" s="1" t="s">
        <v>51027</v>
      </c>
      <c r="C3214" s="1" t="s">
        <v>74</v>
      </c>
      <c r="D3214" s="1" t="s">
        <v>74</v>
      </c>
      <c r="E3214" s="1" t="s">
        <v>74</v>
      </c>
      <c r="F3214" s="1" t="s">
        <v>51028</v>
      </c>
      <c r="G3214" s="1" t="s">
        <v>74</v>
      </c>
      <c r="H3214" s="1" t="s">
        <v>74</v>
      </c>
      <c r="I3214" s="1" t="s">
        <v>51029</v>
      </c>
      <c r="J3214" s="1" t="s">
        <v>204</v>
      </c>
      <c r="K3214" s="1" t="s">
        <v>74</v>
      </c>
      <c r="L3214" s="1" t="s">
        <v>74</v>
      </c>
      <c r="M3214" s="1" t="s">
        <v>78</v>
      </c>
      <c r="N3214" s="1" t="s">
        <v>79</v>
      </c>
      <c r="O3214" s="1" t="s">
        <v>74</v>
      </c>
      <c r="P3214" s="1" t="s">
        <v>74</v>
      </c>
      <c r="Q3214" s="1" t="s">
        <v>74</v>
      </c>
      <c r="R3214" s="1" t="s">
        <v>74</v>
      </c>
      <c r="S3214" s="1" t="s">
        <v>74</v>
      </c>
      <c r="T3214" s="1" t="s">
        <v>51030</v>
      </c>
      <c r="U3214" s="1" t="s">
        <v>51031</v>
      </c>
      <c r="V3214" s="1" t="s">
        <v>51032</v>
      </c>
      <c r="W3214" s="1" t="s">
        <v>51033</v>
      </c>
      <c r="X3214" s="1" t="s">
        <v>51034</v>
      </c>
      <c r="Y3214" s="1" t="s">
        <v>51035</v>
      </c>
      <c r="Z3214" s="1" t="s">
        <v>51036</v>
      </c>
      <c r="AA3214" s="1" t="s">
        <v>74</v>
      </c>
      <c r="AB3214" s="1" t="s">
        <v>51037</v>
      </c>
      <c r="AC3214" s="1" t="s">
        <v>51038</v>
      </c>
      <c r="AD3214" s="1" t="s">
        <v>51039</v>
      </c>
      <c r="AE3214" s="1" t="s">
        <v>51040</v>
      </c>
      <c r="AF3214" s="1" t="s">
        <v>74</v>
      </c>
      <c r="AG3214" s="1">
        <v>38</v>
      </c>
      <c r="AH3214" s="1">
        <v>3</v>
      </c>
      <c r="AI3214" s="1">
        <v>4</v>
      </c>
      <c r="AJ3214" s="1">
        <v>0</v>
      </c>
      <c r="AK3214" s="1">
        <v>28</v>
      </c>
      <c r="AL3214" s="1" t="s">
        <v>217</v>
      </c>
      <c r="AM3214" s="1" t="s">
        <v>218</v>
      </c>
      <c r="AN3214" s="1" t="s">
        <v>219</v>
      </c>
      <c r="AO3214" s="1" t="s">
        <v>220</v>
      </c>
      <c r="AP3214" s="1" t="s">
        <v>221</v>
      </c>
      <c r="AQ3214" s="1" t="s">
        <v>74</v>
      </c>
      <c r="AR3214" s="1" t="s">
        <v>222</v>
      </c>
      <c r="AS3214" s="1" t="s">
        <v>223</v>
      </c>
      <c r="AT3214" s="1" t="s">
        <v>197</v>
      </c>
      <c r="AU3214" s="1">
        <v>2015</v>
      </c>
      <c r="AV3214" s="1">
        <v>22</v>
      </c>
      <c r="AW3214" s="1">
        <v>23</v>
      </c>
      <c r="AX3214" s="1" t="s">
        <v>74</v>
      </c>
      <c r="AY3214" s="1" t="s">
        <v>74</v>
      </c>
      <c r="AZ3214" s="1" t="s">
        <v>74</v>
      </c>
      <c r="BA3214" s="1" t="s">
        <v>74</v>
      </c>
      <c r="BB3214" s="1">
        <v>18381</v>
      </c>
      <c r="BC3214" s="1">
        <v>18393</v>
      </c>
      <c r="BD3214" s="1" t="s">
        <v>74</v>
      </c>
      <c r="BE3214" s="1" t="s">
        <v>51041</v>
      </c>
      <c r="BF3214" s="1" t="str">
        <f>HYPERLINK("http://dx.doi.org/10.1007/s11356-015-5065-7","http://dx.doi.org/10.1007/s11356-015-5065-7")</f>
        <v>http://dx.doi.org/10.1007/s11356-015-5065-7</v>
      </c>
      <c r="BG3214" s="1" t="s">
        <v>74</v>
      </c>
      <c r="BH3214" s="1" t="s">
        <v>74</v>
      </c>
      <c r="BI3214" s="1">
        <v>13</v>
      </c>
      <c r="BJ3214" s="1" t="s">
        <v>144</v>
      </c>
      <c r="BK3214" s="1" t="s">
        <v>96</v>
      </c>
      <c r="BL3214" s="1" t="s">
        <v>145</v>
      </c>
      <c r="BM3214" s="1" t="s">
        <v>38160</v>
      </c>
      <c r="BN3214" s="1">
        <v>26257117</v>
      </c>
      <c r="BO3214" s="1" t="s">
        <v>2784</v>
      </c>
      <c r="BP3214" s="1" t="s">
        <v>74</v>
      </c>
      <c r="BQ3214" s="1" t="s">
        <v>74</v>
      </c>
      <c r="BR3214" s="1" t="s">
        <v>98</v>
      </c>
      <c r="BS3214" s="1" t="s">
        <v>51042</v>
      </c>
      <c r="BT3214" s="1" t="str">
        <f>HYPERLINK("https%3A%2F%2Fwww.webofscience.com%2Fwos%2Fwoscc%2Ffull-record%2FWOS:000365816000007","View Full Record in Web of Science")</f>
        <v>View Full Record in Web of Science</v>
      </c>
      <c r="BU3214" s="1"/>
      <c r="BV3214" s="1"/>
    </row>
    <row r="3215" spans="1:74">
      <c r="A3215" s="1" t="s">
        <v>72</v>
      </c>
      <c r="B3215" s="1" t="s">
        <v>51043</v>
      </c>
      <c r="C3215" s="1" t="s">
        <v>74</v>
      </c>
      <c r="D3215" s="1" t="s">
        <v>74</v>
      </c>
      <c r="E3215" s="1" t="s">
        <v>74</v>
      </c>
      <c r="F3215" s="1" t="s">
        <v>51044</v>
      </c>
      <c r="G3215" s="1" t="s">
        <v>74</v>
      </c>
      <c r="H3215" s="1" t="s">
        <v>74</v>
      </c>
      <c r="I3215" s="1" t="s">
        <v>51045</v>
      </c>
      <c r="J3215" s="1" t="s">
        <v>51046</v>
      </c>
      <c r="K3215" s="1" t="s">
        <v>74</v>
      </c>
      <c r="L3215" s="1" t="s">
        <v>74</v>
      </c>
      <c r="M3215" s="1" t="s">
        <v>78</v>
      </c>
      <c r="N3215" s="1" t="s">
        <v>79</v>
      </c>
      <c r="O3215" s="1" t="s">
        <v>74</v>
      </c>
      <c r="P3215" s="1" t="s">
        <v>74</v>
      </c>
      <c r="Q3215" s="1" t="s">
        <v>74</v>
      </c>
      <c r="R3215" s="1" t="s">
        <v>74</v>
      </c>
      <c r="S3215" s="1" t="s">
        <v>74</v>
      </c>
      <c r="T3215" s="1" t="s">
        <v>51047</v>
      </c>
      <c r="U3215" s="1" t="s">
        <v>51048</v>
      </c>
      <c r="V3215" s="1" t="s">
        <v>51049</v>
      </c>
      <c r="W3215" s="1" t="s">
        <v>51050</v>
      </c>
      <c r="X3215" s="1" t="s">
        <v>51051</v>
      </c>
      <c r="Y3215" s="1" t="s">
        <v>51052</v>
      </c>
      <c r="Z3215" s="1" t="s">
        <v>51053</v>
      </c>
      <c r="AA3215" s="1" t="s">
        <v>51054</v>
      </c>
      <c r="AB3215" s="1" t="s">
        <v>51055</v>
      </c>
      <c r="AC3215" s="1" t="s">
        <v>51056</v>
      </c>
      <c r="AD3215" s="1" t="s">
        <v>51057</v>
      </c>
      <c r="AE3215" s="1" t="s">
        <v>51058</v>
      </c>
      <c r="AF3215" s="1" t="s">
        <v>74</v>
      </c>
      <c r="AG3215" s="1">
        <v>23</v>
      </c>
      <c r="AH3215" s="1">
        <v>1</v>
      </c>
      <c r="AI3215" s="1">
        <v>1</v>
      </c>
      <c r="AJ3215" s="1">
        <v>9</v>
      </c>
      <c r="AK3215" s="1">
        <v>22</v>
      </c>
      <c r="AL3215" s="1" t="s">
        <v>1566</v>
      </c>
      <c r="AM3215" s="1" t="s">
        <v>1567</v>
      </c>
      <c r="AN3215" s="1" t="s">
        <v>1568</v>
      </c>
      <c r="AO3215" s="1" t="s">
        <v>74</v>
      </c>
      <c r="AP3215" s="1" t="s">
        <v>51059</v>
      </c>
      <c r="AQ3215" s="1" t="s">
        <v>74</v>
      </c>
      <c r="AR3215" s="1" t="s">
        <v>51046</v>
      </c>
      <c r="AS3215" s="1" t="s">
        <v>51060</v>
      </c>
      <c r="AT3215" s="1" t="s">
        <v>305</v>
      </c>
      <c r="AU3215" s="1">
        <v>2023</v>
      </c>
      <c r="AV3215" s="1">
        <v>16</v>
      </c>
      <c r="AW3215" s="1">
        <v>17</v>
      </c>
      <c r="AX3215" s="1" t="s">
        <v>74</v>
      </c>
      <c r="AY3215" s="1" t="s">
        <v>74</v>
      </c>
      <c r="AZ3215" s="1" t="s">
        <v>74</v>
      </c>
      <c r="BA3215" s="1" t="s">
        <v>74</v>
      </c>
      <c r="BB3215" s="1" t="s">
        <v>74</v>
      </c>
      <c r="BC3215" s="1" t="s">
        <v>74</v>
      </c>
      <c r="BD3215" s="1">
        <v>6255</v>
      </c>
      <c r="BE3215" s="1" t="s">
        <v>51061</v>
      </c>
      <c r="BF3215" s="1" t="str">
        <f>HYPERLINK("http://dx.doi.org/10.3390/en16176255","http://dx.doi.org/10.3390/en16176255")</f>
        <v>http://dx.doi.org/10.3390/en16176255</v>
      </c>
      <c r="BG3215" s="1" t="s">
        <v>74</v>
      </c>
      <c r="BH3215" s="1" t="s">
        <v>74</v>
      </c>
      <c r="BI3215" s="1">
        <v>17</v>
      </c>
      <c r="BJ3215" s="1" t="s">
        <v>51062</v>
      </c>
      <c r="BK3215" s="1" t="s">
        <v>96</v>
      </c>
      <c r="BL3215" s="1" t="s">
        <v>51062</v>
      </c>
      <c r="BM3215" s="1" t="s">
        <v>51063</v>
      </c>
      <c r="BN3215" s="1" t="s">
        <v>74</v>
      </c>
      <c r="BO3215" s="1" t="s">
        <v>873</v>
      </c>
      <c r="BP3215" s="1" t="s">
        <v>74</v>
      </c>
      <c r="BQ3215" s="1" t="s">
        <v>74</v>
      </c>
      <c r="BR3215" s="1" t="s">
        <v>98</v>
      </c>
      <c r="BS3215" s="1" t="s">
        <v>51064</v>
      </c>
      <c r="BT3215" s="1" t="str">
        <f>HYPERLINK("https%3A%2F%2Fwww.webofscience.com%2Fwos%2Fwoscc%2Ffull-record%2FWOS:001062866200001","View Full Record in Web of Science")</f>
        <v>View Full Record in Web of Science</v>
      </c>
      <c r="BU3215" s="1"/>
      <c r="BV3215" s="1"/>
    </row>
    <row r="3216" spans="1:74">
      <c r="A3216" s="1" t="s">
        <v>72</v>
      </c>
      <c r="B3216" s="1" t="s">
        <v>51065</v>
      </c>
      <c r="C3216" s="1" t="s">
        <v>74</v>
      </c>
      <c r="D3216" s="1" t="s">
        <v>74</v>
      </c>
      <c r="E3216" s="1" t="s">
        <v>74</v>
      </c>
      <c r="F3216" s="1" t="s">
        <v>51066</v>
      </c>
      <c r="G3216" s="1" t="s">
        <v>74</v>
      </c>
      <c r="H3216" s="1" t="s">
        <v>74</v>
      </c>
      <c r="I3216" s="1" t="s">
        <v>51067</v>
      </c>
      <c r="J3216" s="1" t="s">
        <v>421</v>
      </c>
      <c r="K3216" s="1" t="s">
        <v>74</v>
      </c>
      <c r="L3216" s="1" t="s">
        <v>74</v>
      </c>
      <c r="M3216" s="1" t="s">
        <v>78</v>
      </c>
      <c r="N3216" s="1" t="s">
        <v>79</v>
      </c>
      <c r="O3216" s="1" t="s">
        <v>74</v>
      </c>
      <c r="P3216" s="1" t="s">
        <v>74</v>
      </c>
      <c r="Q3216" s="1" t="s">
        <v>74</v>
      </c>
      <c r="R3216" s="1" t="s">
        <v>74</v>
      </c>
      <c r="S3216" s="1" t="s">
        <v>74</v>
      </c>
      <c r="T3216" s="1" t="s">
        <v>51068</v>
      </c>
      <c r="U3216" s="1" t="s">
        <v>51069</v>
      </c>
      <c r="V3216" s="1" t="s">
        <v>51070</v>
      </c>
      <c r="W3216" s="1" t="s">
        <v>51071</v>
      </c>
      <c r="X3216" s="1" t="s">
        <v>51072</v>
      </c>
      <c r="Y3216" s="1" t="s">
        <v>51073</v>
      </c>
      <c r="Z3216" s="1" t="s">
        <v>51074</v>
      </c>
      <c r="AA3216" s="1" t="s">
        <v>51075</v>
      </c>
      <c r="AB3216" s="1" t="s">
        <v>51076</v>
      </c>
      <c r="AC3216" s="1" t="s">
        <v>51077</v>
      </c>
      <c r="AD3216" s="1" t="s">
        <v>51078</v>
      </c>
      <c r="AE3216" s="1" t="s">
        <v>51079</v>
      </c>
      <c r="AF3216" s="1" t="s">
        <v>74</v>
      </c>
      <c r="AG3216" s="1">
        <v>75</v>
      </c>
      <c r="AH3216" s="1">
        <v>4</v>
      </c>
      <c r="AI3216" s="1">
        <v>4</v>
      </c>
      <c r="AJ3216" s="1">
        <v>7</v>
      </c>
      <c r="AK3216" s="1">
        <v>17</v>
      </c>
      <c r="AL3216" s="1" t="s">
        <v>430</v>
      </c>
      <c r="AM3216" s="1" t="s">
        <v>7361</v>
      </c>
      <c r="AN3216" s="1" t="s">
        <v>7362</v>
      </c>
      <c r="AO3216" s="1" t="s">
        <v>432</v>
      </c>
      <c r="AP3216" s="1" t="s">
        <v>1394</v>
      </c>
      <c r="AQ3216" s="1" t="s">
        <v>74</v>
      </c>
      <c r="AR3216" s="1" t="s">
        <v>433</v>
      </c>
      <c r="AS3216" s="1" t="s">
        <v>434</v>
      </c>
      <c r="AT3216" s="1" t="s">
        <v>3542</v>
      </c>
      <c r="AU3216" s="1">
        <v>2023</v>
      </c>
      <c r="AV3216" s="1">
        <v>334</v>
      </c>
      <c r="AW3216" s="1" t="s">
        <v>74</v>
      </c>
      <c r="AX3216" s="1" t="s">
        <v>74</v>
      </c>
      <c r="AY3216" s="1" t="s">
        <v>74</v>
      </c>
      <c r="AZ3216" s="1" t="s">
        <v>74</v>
      </c>
      <c r="BA3216" s="1" t="s">
        <v>74</v>
      </c>
      <c r="BB3216" s="1" t="s">
        <v>74</v>
      </c>
      <c r="BC3216" s="1" t="s">
        <v>74</v>
      </c>
      <c r="BD3216" s="1">
        <v>122176</v>
      </c>
      <c r="BE3216" s="1" t="s">
        <v>51080</v>
      </c>
      <c r="BF3216" s="1" t="str">
        <f>HYPERLINK("http://dx.doi.org/10.1016/j.envpol.2023.122176","http://dx.doi.org/10.1016/j.envpol.2023.122176")</f>
        <v>http://dx.doi.org/10.1016/j.envpol.2023.122176</v>
      </c>
      <c r="BG3216" s="1" t="s">
        <v>74</v>
      </c>
      <c r="BH3216" s="1" t="s">
        <v>1121</v>
      </c>
      <c r="BI3216" s="1">
        <v>12</v>
      </c>
      <c r="BJ3216" s="1" t="s">
        <v>144</v>
      </c>
      <c r="BK3216" s="1" t="s">
        <v>96</v>
      </c>
      <c r="BL3216" s="1" t="s">
        <v>145</v>
      </c>
      <c r="BM3216" s="1" t="s">
        <v>51081</v>
      </c>
      <c r="BN3216" s="1">
        <v>37437757</v>
      </c>
      <c r="BO3216" s="1" t="s">
        <v>2744</v>
      </c>
      <c r="BP3216" s="1" t="s">
        <v>74</v>
      </c>
      <c r="BQ3216" s="1" t="s">
        <v>74</v>
      </c>
      <c r="BR3216" s="1" t="s">
        <v>98</v>
      </c>
      <c r="BS3216" s="1" t="s">
        <v>51082</v>
      </c>
      <c r="BT3216" s="1" t="str">
        <f>HYPERLINK("https%3A%2F%2Fwww.webofscience.com%2Fwos%2Fwoscc%2Ffull-record%2FWOS:001147785200001","View Full Record in Web of Science")</f>
        <v>View Full Record in Web of Science</v>
      </c>
      <c r="BU3216" s="1"/>
      <c r="BV3216" s="1"/>
    </row>
    <row r="3217" spans="1:74">
      <c r="A3217" s="1" t="s">
        <v>72</v>
      </c>
      <c r="B3217" s="1" t="s">
        <v>51083</v>
      </c>
      <c r="C3217" s="1" t="s">
        <v>74</v>
      </c>
      <c r="D3217" s="1" t="s">
        <v>74</v>
      </c>
      <c r="E3217" s="1" t="s">
        <v>74</v>
      </c>
      <c r="F3217" s="1" t="s">
        <v>51084</v>
      </c>
      <c r="G3217" s="1" t="s">
        <v>74</v>
      </c>
      <c r="H3217" s="1" t="s">
        <v>74</v>
      </c>
      <c r="I3217" s="1" t="s">
        <v>51085</v>
      </c>
      <c r="J3217" s="1" t="s">
        <v>51086</v>
      </c>
      <c r="K3217" s="1" t="s">
        <v>74</v>
      </c>
      <c r="L3217" s="1" t="s">
        <v>74</v>
      </c>
      <c r="M3217" s="1" t="s">
        <v>78</v>
      </c>
      <c r="N3217" s="1" t="s">
        <v>79</v>
      </c>
      <c r="O3217" s="1" t="s">
        <v>74</v>
      </c>
      <c r="P3217" s="1" t="s">
        <v>74</v>
      </c>
      <c r="Q3217" s="1" t="s">
        <v>74</v>
      </c>
      <c r="R3217" s="1" t="s">
        <v>74</v>
      </c>
      <c r="S3217" s="1" t="s">
        <v>74</v>
      </c>
      <c r="T3217" s="1" t="s">
        <v>51087</v>
      </c>
      <c r="U3217" s="1" t="s">
        <v>51088</v>
      </c>
      <c r="V3217" s="1" t="s">
        <v>51089</v>
      </c>
      <c r="W3217" s="1" t="s">
        <v>51090</v>
      </c>
      <c r="X3217" s="1" t="s">
        <v>51091</v>
      </c>
      <c r="Y3217" s="1" t="s">
        <v>51092</v>
      </c>
      <c r="Z3217" s="1" t="s">
        <v>51093</v>
      </c>
      <c r="AA3217" s="1" t="s">
        <v>51094</v>
      </c>
      <c r="AB3217" s="1" t="s">
        <v>51095</v>
      </c>
      <c r="AC3217" s="1" t="s">
        <v>74</v>
      </c>
      <c r="AD3217" s="1" t="s">
        <v>74</v>
      </c>
      <c r="AE3217" s="1" t="s">
        <v>74</v>
      </c>
      <c r="AF3217" s="1" t="s">
        <v>74</v>
      </c>
      <c r="AG3217" s="1">
        <v>72</v>
      </c>
      <c r="AH3217" s="1">
        <v>57</v>
      </c>
      <c r="AI3217" s="1">
        <v>62</v>
      </c>
      <c r="AJ3217" s="1">
        <v>0</v>
      </c>
      <c r="AK3217" s="1">
        <v>38</v>
      </c>
      <c r="AL3217" s="1" t="s">
        <v>112</v>
      </c>
      <c r="AM3217" s="1" t="s">
        <v>113</v>
      </c>
      <c r="AN3217" s="1" t="s">
        <v>114</v>
      </c>
      <c r="AO3217" s="1" t="s">
        <v>51096</v>
      </c>
      <c r="AP3217" s="1" t="s">
        <v>51097</v>
      </c>
      <c r="AQ3217" s="1" t="s">
        <v>74</v>
      </c>
      <c r="AR3217" s="1" t="s">
        <v>51086</v>
      </c>
      <c r="AS3217" s="1" t="s">
        <v>51098</v>
      </c>
      <c r="AT3217" s="1" t="s">
        <v>224</v>
      </c>
      <c r="AU3217" s="1">
        <v>2009</v>
      </c>
      <c r="AV3217" s="1">
        <v>12</v>
      </c>
      <c r="AW3217" s="1">
        <v>2</v>
      </c>
      <c r="AX3217" s="1" t="s">
        <v>74</v>
      </c>
      <c r="AY3217" s="1" t="s">
        <v>74</v>
      </c>
      <c r="AZ3217" s="1" t="s">
        <v>74</v>
      </c>
      <c r="BA3217" s="1" t="s">
        <v>74</v>
      </c>
      <c r="BB3217" s="1">
        <v>311</v>
      </c>
      <c r="BC3217" s="1">
        <v>321</v>
      </c>
      <c r="BD3217" s="1" t="s">
        <v>74</v>
      </c>
      <c r="BE3217" s="1" t="s">
        <v>51099</v>
      </c>
      <c r="BF3217" s="1" t="str">
        <f>HYPERLINK("http://dx.doi.org/10.1007/s10021-008-9224-2","http://dx.doi.org/10.1007/s10021-008-9224-2")</f>
        <v>http://dx.doi.org/10.1007/s10021-008-9224-2</v>
      </c>
      <c r="BG3217" s="1" t="s">
        <v>74</v>
      </c>
      <c r="BH3217" s="1" t="s">
        <v>74</v>
      </c>
      <c r="BI3217" s="1">
        <v>11</v>
      </c>
      <c r="BJ3217" s="1" t="s">
        <v>6054</v>
      </c>
      <c r="BK3217" s="1" t="s">
        <v>96</v>
      </c>
      <c r="BL3217" s="1" t="s">
        <v>145</v>
      </c>
      <c r="BM3217" s="1" t="s">
        <v>51100</v>
      </c>
      <c r="BN3217" s="1" t="s">
        <v>74</v>
      </c>
      <c r="BO3217" s="1" t="s">
        <v>74</v>
      </c>
      <c r="BP3217" s="1" t="s">
        <v>74</v>
      </c>
      <c r="BQ3217" s="1" t="s">
        <v>74</v>
      </c>
      <c r="BR3217" s="1" t="s">
        <v>98</v>
      </c>
      <c r="BS3217" s="1" t="s">
        <v>51101</v>
      </c>
      <c r="BT3217" s="1" t="str">
        <f>HYPERLINK("https%3A%2F%2Fwww.webofscience.com%2Fwos%2Fwoscc%2Ffull-record%2FWOS:000263672100009","View Full Record in Web of Science")</f>
        <v>View Full Record in Web of Science</v>
      </c>
      <c r="BU3217" s="1"/>
      <c r="BV3217" s="1"/>
    </row>
    <row r="3218" spans="1:74">
      <c r="A3218" s="1" t="s">
        <v>72</v>
      </c>
      <c r="B3218" s="1" t="s">
        <v>51102</v>
      </c>
      <c r="C3218" s="1" t="s">
        <v>74</v>
      </c>
      <c r="D3218" s="1" t="s">
        <v>74</v>
      </c>
      <c r="E3218" s="1" t="s">
        <v>74</v>
      </c>
      <c r="F3218" s="1" t="s">
        <v>51103</v>
      </c>
      <c r="G3218" s="1" t="s">
        <v>74</v>
      </c>
      <c r="H3218" s="1" t="s">
        <v>74</v>
      </c>
      <c r="I3218" s="1" t="s">
        <v>51104</v>
      </c>
      <c r="J3218" s="1" t="s">
        <v>421</v>
      </c>
      <c r="K3218" s="1" t="s">
        <v>74</v>
      </c>
      <c r="L3218" s="1" t="s">
        <v>74</v>
      </c>
      <c r="M3218" s="1" t="s">
        <v>78</v>
      </c>
      <c r="N3218" s="1" t="s">
        <v>79</v>
      </c>
      <c r="O3218" s="1" t="s">
        <v>74</v>
      </c>
      <c r="P3218" s="1" t="s">
        <v>74</v>
      </c>
      <c r="Q3218" s="1" t="s">
        <v>74</v>
      </c>
      <c r="R3218" s="1" t="s">
        <v>74</v>
      </c>
      <c r="S3218" s="1" t="s">
        <v>74</v>
      </c>
      <c r="T3218" s="1" t="s">
        <v>51105</v>
      </c>
      <c r="U3218" s="1" t="s">
        <v>51106</v>
      </c>
      <c r="V3218" s="1" t="s">
        <v>51107</v>
      </c>
      <c r="W3218" s="1" t="s">
        <v>51108</v>
      </c>
      <c r="X3218" s="1" t="s">
        <v>51109</v>
      </c>
      <c r="Y3218" s="1" t="s">
        <v>51110</v>
      </c>
      <c r="Z3218" s="1" t="s">
        <v>51111</v>
      </c>
      <c r="AA3218" s="1" t="s">
        <v>51112</v>
      </c>
      <c r="AB3218" s="1" t="s">
        <v>51113</v>
      </c>
      <c r="AC3218" s="1" t="s">
        <v>51114</v>
      </c>
      <c r="AD3218" s="1" t="s">
        <v>51115</v>
      </c>
      <c r="AE3218" s="1" t="s">
        <v>51116</v>
      </c>
      <c r="AF3218" s="1" t="s">
        <v>74</v>
      </c>
      <c r="AG3218" s="1">
        <v>92</v>
      </c>
      <c r="AH3218" s="1">
        <v>6</v>
      </c>
      <c r="AI3218" s="1">
        <v>6</v>
      </c>
      <c r="AJ3218" s="1">
        <v>2</v>
      </c>
      <c r="AK3218" s="1">
        <v>38</v>
      </c>
      <c r="AL3218" s="1" t="s">
        <v>430</v>
      </c>
      <c r="AM3218" s="1" t="s">
        <v>137</v>
      </c>
      <c r="AN3218" s="1" t="s">
        <v>431</v>
      </c>
      <c r="AO3218" s="1" t="s">
        <v>432</v>
      </c>
      <c r="AP3218" s="1" t="s">
        <v>1394</v>
      </c>
      <c r="AQ3218" s="1" t="s">
        <v>74</v>
      </c>
      <c r="AR3218" s="1" t="s">
        <v>433</v>
      </c>
      <c r="AS3218" s="1" t="s">
        <v>434</v>
      </c>
      <c r="AT3218" s="1" t="s">
        <v>10334</v>
      </c>
      <c r="AU3218" s="1">
        <v>2022</v>
      </c>
      <c r="AV3218" s="1">
        <v>300</v>
      </c>
      <c r="AW3218" s="1" t="s">
        <v>74</v>
      </c>
      <c r="AX3218" s="1" t="s">
        <v>74</v>
      </c>
      <c r="AY3218" s="1" t="s">
        <v>74</v>
      </c>
      <c r="AZ3218" s="1" t="s">
        <v>74</v>
      </c>
      <c r="BA3218" s="1" t="s">
        <v>74</v>
      </c>
      <c r="BB3218" s="1" t="s">
        <v>74</v>
      </c>
      <c r="BC3218" s="1" t="s">
        <v>74</v>
      </c>
      <c r="BD3218" s="1">
        <v>118933</v>
      </c>
      <c r="BE3218" s="1" t="s">
        <v>51117</v>
      </c>
      <c r="BF3218" s="1" t="str">
        <f>HYPERLINK("http://dx.doi.org/10.1016/j.envpol.2022.118933","http://dx.doi.org/10.1016/j.envpol.2022.118933")</f>
        <v>http://dx.doi.org/10.1016/j.envpol.2022.118933</v>
      </c>
      <c r="BG3218" s="1" t="s">
        <v>74</v>
      </c>
      <c r="BH3218" s="1" t="s">
        <v>528</v>
      </c>
      <c r="BI3218" s="1">
        <v>11</v>
      </c>
      <c r="BJ3218" s="1" t="s">
        <v>144</v>
      </c>
      <c r="BK3218" s="1" t="s">
        <v>96</v>
      </c>
      <c r="BL3218" s="1" t="s">
        <v>145</v>
      </c>
      <c r="BM3218" s="1" t="s">
        <v>51118</v>
      </c>
      <c r="BN3218" s="1">
        <v>35122922</v>
      </c>
      <c r="BO3218" s="1" t="s">
        <v>810</v>
      </c>
      <c r="BP3218" s="1" t="s">
        <v>74</v>
      </c>
      <c r="BQ3218" s="1" t="s">
        <v>74</v>
      </c>
      <c r="BR3218" s="1" t="s">
        <v>98</v>
      </c>
      <c r="BS3218" s="1" t="s">
        <v>51119</v>
      </c>
      <c r="BT3218" s="1" t="str">
        <f>HYPERLINK("https%3A%2F%2Fwww.webofscience.com%2Fwos%2Fwoscc%2Ffull-record%2FWOS:000758454600004","View Full Record in Web of Science")</f>
        <v>View Full Record in Web of Science</v>
      </c>
      <c r="BU3218" s="1"/>
      <c r="BV3218" s="1"/>
    </row>
    <row r="3219" spans="1:74">
      <c r="A3219" s="1" t="s">
        <v>72</v>
      </c>
      <c r="B3219" s="1" t="s">
        <v>51120</v>
      </c>
      <c r="C3219" s="1" t="s">
        <v>74</v>
      </c>
      <c r="D3219" s="1" t="s">
        <v>74</v>
      </c>
      <c r="E3219" s="1" t="s">
        <v>74</v>
      </c>
      <c r="F3219" s="1" t="s">
        <v>51121</v>
      </c>
      <c r="G3219" s="1" t="s">
        <v>74</v>
      </c>
      <c r="H3219" s="1" t="s">
        <v>74</v>
      </c>
      <c r="I3219" s="1" t="s">
        <v>51122</v>
      </c>
      <c r="J3219" s="1" t="s">
        <v>13465</v>
      </c>
      <c r="K3219" s="1" t="s">
        <v>74</v>
      </c>
      <c r="L3219" s="1" t="s">
        <v>74</v>
      </c>
      <c r="M3219" s="1" t="s">
        <v>78</v>
      </c>
      <c r="N3219" s="1" t="s">
        <v>79</v>
      </c>
      <c r="O3219" s="1" t="s">
        <v>74</v>
      </c>
      <c r="P3219" s="1" t="s">
        <v>74</v>
      </c>
      <c r="Q3219" s="1" t="s">
        <v>74</v>
      </c>
      <c r="R3219" s="1" t="s">
        <v>74</v>
      </c>
      <c r="S3219" s="1" t="s">
        <v>74</v>
      </c>
      <c r="T3219" s="1" t="s">
        <v>51123</v>
      </c>
      <c r="U3219" s="1" t="s">
        <v>51124</v>
      </c>
      <c r="V3219" s="1" t="s">
        <v>51125</v>
      </c>
      <c r="W3219" s="1" t="s">
        <v>51126</v>
      </c>
      <c r="X3219" s="1" t="s">
        <v>51127</v>
      </c>
      <c r="Y3219" s="1" t="s">
        <v>51128</v>
      </c>
      <c r="Z3219" s="1" t="s">
        <v>51129</v>
      </c>
      <c r="AA3219" s="1" t="s">
        <v>51130</v>
      </c>
      <c r="AB3219" s="1" t="s">
        <v>51131</v>
      </c>
      <c r="AC3219" s="1" t="s">
        <v>74</v>
      </c>
      <c r="AD3219" s="1" t="s">
        <v>74</v>
      </c>
      <c r="AE3219" s="1" t="s">
        <v>74</v>
      </c>
      <c r="AF3219" s="1" t="s">
        <v>74</v>
      </c>
      <c r="AG3219" s="1">
        <v>20</v>
      </c>
      <c r="AH3219" s="1">
        <v>0</v>
      </c>
      <c r="AI3219" s="1">
        <v>0</v>
      </c>
      <c r="AJ3219" s="1">
        <v>0</v>
      </c>
      <c r="AK3219" s="1">
        <v>0</v>
      </c>
      <c r="AL3219" s="1" t="s">
        <v>13473</v>
      </c>
      <c r="AM3219" s="1" t="s">
        <v>13474</v>
      </c>
      <c r="AN3219" s="1" t="s">
        <v>13475</v>
      </c>
      <c r="AO3219" s="1" t="s">
        <v>13476</v>
      </c>
      <c r="AP3219" s="1" t="s">
        <v>13477</v>
      </c>
      <c r="AQ3219" s="1" t="s">
        <v>74</v>
      </c>
      <c r="AR3219" s="1" t="s">
        <v>13465</v>
      </c>
      <c r="AS3219" s="1" t="s">
        <v>13478</v>
      </c>
      <c r="AT3219" s="1" t="s">
        <v>2935</v>
      </c>
      <c r="AU3219" s="1">
        <v>2024</v>
      </c>
      <c r="AV3219" s="1">
        <v>66</v>
      </c>
      <c r="AW3219" s="1">
        <v>2</v>
      </c>
      <c r="AX3219" s="1" t="s">
        <v>74</v>
      </c>
      <c r="AY3219" s="1" t="s">
        <v>74</v>
      </c>
      <c r="AZ3219" s="1" t="s">
        <v>74</v>
      </c>
      <c r="BA3219" s="1" t="s">
        <v>74</v>
      </c>
      <c r="BB3219" s="1">
        <v>424</v>
      </c>
      <c r="BC3219" s="1">
        <v>428</v>
      </c>
      <c r="BD3219" s="1" t="s">
        <v>74</v>
      </c>
      <c r="BE3219" s="1" t="s">
        <v>51132</v>
      </c>
      <c r="BF3219" s="1" t="str">
        <f>HYPERLINK("http://dx.doi.org/10.1016/j.oceano.2024.02.004","http://dx.doi.org/10.1016/j.oceano.2024.02.004")</f>
        <v>http://dx.doi.org/10.1016/j.oceano.2024.02.004</v>
      </c>
      <c r="BG3219" s="1" t="s">
        <v>74</v>
      </c>
      <c r="BH3219" s="1" t="s">
        <v>11425</v>
      </c>
      <c r="BI3219" s="1">
        <v>5</v>
      </c>
      <c r="BJ3219" s="1" t="s">
        <v>1439</v>
      </c>
      <c r="BK3219" s="1" t="s">
        <v>96</v>
      </c>
      <c r="BL3219" s="1" t="s">
        <v>1439</v>
      </c>
      <c r="BM3219" s="1" t="s">
        <v>51133</v>
      </c>
      <c r="BN3219" s="1" t="s">
        <v>74</v>
      </c>
      <c r="BO3219" s="1" t="s">
        <v>873</v>
      </c>
      <c r="BP3219" s="1" t="s">
        <v>74</v>
      </c>
      <c r="BQ3219" s="1" t="s">
        <v>74</v>
      </c>
      <c r="BR3219" s="1" t="s">
        <v>98</v>
      </c>
      <c r="BS3219" s="1" t="s">
        <v>51134</v>
      </c>
      <c r="BT3219" s="1" t="str">
        <f>HYPERLINK("https%3A%2F%2Fwww.webofscience.com%2Fwos%2Fwoscc%2Ffull-record%2FWOS:001239743200001","View Full Record in Web of Science")</f>
        <v>View Full Record in Web of Science</v>
      </c>
      <c r="BU3219" s="1"/>
      <c r="BV3219" s="1"/>
    </row>
    <row r="3220" spans="1:74">
      <c r="A3220" s="1" t="s">
        <v>72</v>
      </c>
      <c r="B3220" s="1" t="s">
        <v>51135</v>
      </c>
      <c r="C3220" s="1" t="s">
        <v>74</v>
      </c>
      <c r="D3220" s="1" t="s">
        <v>74</v>
      </c>
      <c r="E3220" s="1" t="s">
        <v>74</v>
      </c>
      <c r="F3220" s="1" t="s">
        <v>51136</v>
      </c>
      <c r="G3220" s="1" t="s">
        <v>74</v>
      </c>
      <c r="H3220" s="1" t="s">
        <v>74</v>
      </c>
      <c r="I3220" s="1" t="s">
        <v>51137</v>
      </c>
      <c r="J3220" s="1" t="s">
        <v>10129</v>
      </c>
      <c r="K3220" s="1" t="s">
        <v>74</v>
      </c>
      <c r="L3220" s="1" t="s">
        <v>74</v>
      </c>
      <c r="M3220" s="1" t="s">
        <v>78</v>
      </c>
      <c r="N3220" s="1" t="s">
        <v>79</v>
      </c>
      <c r="O3220" s="1" t="s">
        <v>74</v>
      </c>
      <c r="P3220" s="1" t="s">
        <v>74</v>
      </c>
      <c r="Q3220" s="1" t="s">
        <v>74</v>
      </c>
      <c r="R3220" s="1" t="s">
        <v>74</v>
      </c>
      <c r="S3220" s="1" t="s">
        <v>74</v>
      </c>
      <c r="T3220" s="1" t="s">
        <v>51138</v>
      </c>
      <c r="U3220" s="1" t="s">
        <v>51139</v>
      </c>
      <c r="V3220" s="1" t="s">
        <v>51140</v>
      </c>
      <c r="W3220" s="1" t="s">
        <v>51141</v>
      </c>
      <c r="X3220" s="1" t="s">
        <v>51142</v>
      </c>
      <c r="Y3220" s="1" t="s">
        <v>51143</v>
      </c>
      <c r="Z3220" s="1" t="s">
        <v>51144</v>
      </c>
      <c r="AA3220" s="1" t="s">
        <v>74</v>
      </c>
      <c r="AB3220" s="1" t="s">
        <v>51145</v>
      </c>
      <c r="AC3220" s="1" t="s">
        <v>51146</v>
      </c>
      <c r="AD3220" s="1" t="s">
        <v>51146</v>
      </c>
      <c r="AE3220" s="1" t="s">
        <v>51147</v>
      </c>
      <c r="AF3220" s="1" t="s">
        <v>74</v>
      </c>
      <c r="AG3220" s="1">
        <v>51</v>
      </c>
      <c r="AH3220" s="1">
        <v>8</v>
      </c>
      <c r="AI3220" s="1">
        <v>9</v>
      </c>
      <c r="AJ3220" s="1">
        <v>0</v>
      </c>
      <c r="AK3220" s="1">
        <v>34</v>
      </c>
      <c r="AL3220" s="1" t="s">
        <v>3362</v>
      </c>
      <c r="AM3220" s="1" t="s">
        <v>3363</v>
      </c>
      <c r="AN3220" s="1" t="s">
        <v>3364</v>
      </c>
      <c r="AO3220" s="1" t="s">
        <v>10137</v>
      </c>
      <c r="AP3220" s="1" t="s">
        <v>10138</v>
      </c>
      <c r="AQ3220" s="1" t="s">
        <v>74</v>
      </c>
      <c r="AR3220" s="1" t="s">
        <v>10139</v>
      </c>
      <c r="AS3220" s="1" t="s">
        <v>10140</v>
      </c>
      <c r="AT3220" s="1" t="s">
        <v>224</v>
      </c>
      <c r="AU3220" s="1">
        <v>2020</v>
      </c>
      <c r="AV3220" s="1">
        <v>181</v>
      </c>
      <c r="AW3220" s="1" t="s">
        <v>74</v>
      </c>
      <c r="AX3220" s="1" t="s">
        <v>74</v>
      </c>
      <c r="AY3220" s="1" t="s">
        <v>74</v>
      </c>
      <c r="AZ3220" s="1" t="s">
        <v>74</v>
      </c>
      <c r="BA3220" s="1" t="s">
        <v>74</v>
      </c>
      <c r="BB3220" s="1" t="s">
        <v>74</v>
      </c>
      <c r="BC3220" s="1" t="s">
        <v>74</v>
      </c>
      <c r="BD3220" s="1">
        <v>108921</v>
      </c>
      <c r="BE3220" s="1" t="s">
        <v>51148</v>
      </c>
      <c r="BF3220" s="1" t="str">
        <f>HYPERLINK("http://dx.doi.org/10.1016/j.envres.2019.108921","http://dx.doi.org/10.1016/j.envres.2019.108921")</f>
        <v>http://dx.doi.org/10.1016/j.envres.2019.108921</v>
      </c>
      <c r="BG3220" s="1" t="s">
        <v>74</v>
      </c>
      <c r="BH3220" s="1" t="s">
        <v>74</v>
      </c>
      <c r="BI3220" s="1">
        <v>10</v>
      </c>
      <c r="BJ3220" s="1" t="s">
        <v>10142</v>
      </c>
      <c r="BK3220" s="1" t="s">
        <v>96</v>
      </c>
      <c r="BL3220" s="1" t="s">
        <v>10143</v>
      </c>
      <c r="BM3220" s="1" t="s">
        <v>51149</v>
      </c>
      <c r="BN3220" s="1">
        <v>31757407</v>
      </c>
      <c r="BO3220" s="1" t="s">
        <v>74</v>
      </c>
      <c r="BP3220" s="1" t="s">
        <v>74</v>
      </c>
      <c r="BQ3220" s="1" t="s">
        <v>74</v>
      </c>
      <c r="BR3220" s="1" t="s">
        <v>98</v>
      </c>
      <c r="BS3220" s="1" t="s">
        <v>51150</v>
      </c>
      <c r="BT3220" s="1" t="str">
        <f>HYPERLINK("https%3A%2F%2Fwww.webofscience.com%2Fwos%2Fwoscc%2Ffull-record%2FWOS:000510109700017","View Full Record in Web of Science")</f>
        <v>View Full Record in Web of Science</v>
      </c>
      <c r="BU3220" s="1"/>
      <c r="BV3220" s="1"/>
    </row>
    <row r="3221" spans="1:74">
      <c r="A3221" s="1" t="s">
        <v>72</v>
      </c>
      <c r="B3221" s="1" t="s">
        <v>51151</v>
      </c>
      <c r="C3221" s="1" t="s">
        <v>74</v>
      </c>
      <c r="D3221" s="1" t="s">
        <v>74</v>
      </c>
      <c r="E3221" s="1" t="s">
        <v>74</v>
      </c>
      <c r="F3221" s="1" t="s">
        <v>51152</v>
      </c>
      <c r="G3221" s="1" t="s">
        <v>74</v>
      </c>
      <c r="H3221" s="1" t="s">
        <v>74</v>
      </c>
      <c r="I3221" s="1" t="s">
        <v>51153</v>
      </c>
      <c r="J3221" s="1" t="s">
        <v>51154</v>
      </c>
      <c r="K3221" s="1" t="s">
        <v>74</v>
      </c>
      <c r="L3221" s="1" t="s">
        <v>74</v>
      </c>
      <c r="M3221" s="1" t="s">
        <v>78</v>
      </c>
      <c r="N3221" s="1" t="s">
        <v>79</v>
      </c>
      <c r="O3221" s="1" t="s">
        <v>74</v>
      </c>
      <c r="P3221" s="1" t="s">
        <v>74</v>
      </c>
      <c r="Q3221" s="1" t="s">
        <v>74</v>
      </c>
      <c r="R3221" s="1" t="s">
        <v>74</v>
      </c>
      <c r="S3221" s="1" t="s">
        <v>74</v>
      </c>
      <c r="T3221" s="1" t="s">
        <v>51155</v>
      </c>
      <c r="U3221" s="1" t="s">
        <v>51156</v>
      </c>
      <c r="V3221" s="1" t="s">
        <v>51157</v>
      </c>
      <c r="W3221" s="1" t="s">
        <v>51158</v>
      </c>
      <c r="X3221" s="1" t="s">
        <v>74</v>
      </c>
      <c r="Y3221" s="1" t="s">
        <v>51159</v>
      </c>
      <c r="Z3221" s="1" t="s">
        <v>51160</v>
      </c>
      <c r="AA3221" s="1" t="s">
        <v>51161</v>
      </c>
      <c r="AB3221" s="1" t="s">
        <v>51162</v>
      </c>
      <c r="AC3221" s="1" t="s">
        <v>51163</v>
      </c>
      <c r="AD3221" s="1" t="s">
        <v>51164</v>
      </c>
      <c r="AE3221" s="1" t="s">
        <v>51165</v>
      </c>
      <c r="AF3221" s="1" t="s">
        <v>74</v>
      </c>
      <c r="AG3221" s="1">
        <v>61</v>
      </c>
      <c r="AH3221" s="1">
        <v>2</v>
      </c>
      <c r="AI3221" s="1">
        <v>2</v>
      </c>
      <c r="AJ3221" s="1">
        <v>2</v>
      </c>
      <c r="AK3221" s="1">
        <v>29</v>
      </c>
      <c r="AL3221" s="1" t="s">
        <v>51000</v>
      </c>
      <c r="AM3221" s="1" t="s">
        <v>45654</v>
      </c>
      <c r="AN3221" s="1" t="s">
        <v>51001</v>
      </c>
      <c r="AO3221" s="1" t="s">
        <v>51166</v>
      </c>
      <c r="AP3221" s="1" t="s">
        <v>51167</v>
      </c>
      <c r="AQ3221" s="1" t="s">
        <v>74</v>
      </c>
      <c r="AR3221" s="1" t="s">
        <v>51168</v>
      </c>
      <c r="AS3221" s="1" t="s">
        <v>51169</v>
      </c>
      <c r="AT3221" s="1" t="s">
        <v>305</v>
      </c>
      <c r="AU3221" s="1">
        <v>2021</v>
      </c>
      <c r="AV3221" s="1">
        <v>32</v>
      </c>
      <c r="AW3221" s="1">
        <v>9</v>
      </c>
      <c r="AX3221" s="1" t="s">
        <v>74</v>
      </c>
      <c r="AY3221" s="1" t="s">
        <v>74</v>
      </c>
      <c r="AZ3221" s="1" t="s">
        <v>74</v>
      </c>
      <c r="BA3221" s="1" t="s">
        <v>74</v>
      </c>
      <c r="BB3221" s="1">
        <v>1762</v>
      </c>
      <c r="BC3221" s="1">
        <v>1772</v>
      </c>
      <c r="BD3221" s="1" t="s">
        <v>74</v>
      </c>
      <c r="BE3221" s="1" t="s">
        <v>51170</v>
      </c>
      <c r="BF3221" s="1" t="str">
        <f>HYPERLINK("http://dx.doi.org/10.21577/0103-5053.20210067","http://dx.doi.org/10.21577/0103-5053.20210067")</f>
        <v>http://dx.doi.org/10.21577/0103-5053.20210067</v>
      </c>
      <c r="BG3221" s="1" t="s">
        <v>74</v>
      </c>
      <c r="BH3221" s="1" t="s">
        <v>74</v>
      </c>
      <c r="BI3221" s="1">
        <v>11</v>
      </c>
      <c r="BJ3221" s="1" t="s">
        <v>3919</v>
      </c>
      <c r="BK3221" s="1" t="s">
        <v>96</v>
      </c>
      <c r="BL3221" s="1" t="s">
        <v>1197</v>
      </c>
      <c r="BM3221" s="1" t="s">
        <v>51171</v>
      </c>
      <c r="BN3221" s="1" t="s">
        <v>74</v>
      </c>
      <c r="BO3221" s="1" t="s">
        <v>550</v>
      </c>
      <c r="BP3221" s="1" t="s">
        <v>74</v>
      </c>
      <c r="BQ3221" s="1" t="s">
        <v>74</v>
      </c>
      <c r="BR3221" s="1" t="s">
        <v>98</v>
      </c>
      <c r="BS3221" s="1" t="s">
        <v>51172</v>
      </c>
      <c r="BT3221" s="1" t="str">
        <f>HYPERLINK("https%3A%2F%2Fwww.webofscience.com%2Fwos%2Fwoscc%2Ffull-record%2FWOS:000680003400005","View Full Record in Web of Science")</f>
        <v>View Full Record in Web of Science</v>
      </c>
      <c r="BU3221" s="1"/>
      <c r="BV3221" s="1"/>
    </row>
    <row r="3222" spans="1:74">
      <c r="A3222" s="1" t="s">
        <v>72</v>
      </c>
      <c r="B3222" s="1" t="s">
        <v>51173</v>
      </c>
      <c r="C3222" s="1" t="s">
        <v>74</v>
      </c>
      <c r="D3222" s="1" t="s">
        <v>74</v>
      </c>
      <c r="E3222" s="1" t="s">
        <v>74</v>
      </c>
      <c r="F3222" s="1" t="s">
        <v>51174</v>
      </c>
      <c r="G3222" s="1" t="s">
        <v>74</v>
      </c>
      <c r="H3222" s="1" t="s">
        <v>74</v>
      </c>
      <c r="I3222" s="1" t="s">
        <v>51175</v>
      </c>
      <c r="J3222" s="1" t="s">
        <v>232</v>
      </c>
      <c r="K3222" s="1" t="s">
        <v>74</v>
      </c>
      <c r="L3222" s="1" t="s">
        <v>74</v>
      </c>
      <c r="M3222" s="1" t="s">
        <v>78</v>
      </c>
      <c r="N3222" s="1" t="s">
        <v>79</v>
      </c>
      <c r="O3222" s="1" t="s">
        <v>74</v>
      </c>
      <c r="P3222" s="1" t="s">
        <v>74</v>
      </c>
      <c r="Q3222" s="1" t="s">
        <v>74</v>
      </c>
      <c r="R3222" s="1" t="s">
        <v>74</v>
      </c>
      <c r="S3222" s="1" t="s">
        <v>74</v>
      </c>
      <c r="T3222" s="1" t="s">
        <v>51176</v>
      </c>
      <c r="U3222" s="1" t="s">
        <v>51177</v>
      </c>
      <c r="V3222" s="1" t="s">
        <v>51178</v>
      </c>
      <c r="W3222" s="1" t="s">
        <v>51179</v>
      </c>
      <c r="X3222" s="1" t="s">
        <v>26380</v>
      </c>
      <c r="Y3222" s="1" t="s">
        <v>51180</v>
      </c>
      <c r="Z3222" s="1" t="s">
        <v>26382</v>
      </c>
      <c r="AA3222" s="1" t="s">
        <v>74</v>
      </c>
      <c r="AB3222" s="1" t="s">
        <v>26384</v>
      </c>
      <c r="AC3222" s="1" t="s">
        <v>51181</v>
      </c>
      <c r="AD3222" s="1" t="s">
        <v>51182</v>
      </c>
      <c r="AE3222" s="1" t="s">
        <v>51183</v>
      </c>
      <c r="AF3222" s="1" t="s">
        <v>74</v>
      </c>
      <c r="AG3222" s="1">
        <v>51</v>
      </c>
      <c r="AH3222" s="1">
        <v>45</v>
      </c>
      <c r="AI3222" s="1">
        <v>56</v>
      </c>
      <c r="AJ3222" s="1">
        <v>0</v>
      </c>
      <c r="AK3222" s="1">
        <v>9</v>
      </c>
      <c r="AL3222" s="1" t="s">
        <v>136</v>
      </c>
      <c r="AM3222" s="1" t="s">
        <v>137</v>
      </c>
      <c r="AN3222" s="1" t="s">
        <v>138</v>
      </c>
      <c r="AO3222" s="1" t="s">
        <v>240</v>
      </c>
      <c r="AP3222" s="1" t="s">
        <v>241</v>
      </c>
      <c r="AQ3222" s="1" t="s">
        <v>74</v>
      </c>
      <c r="AR3222" s="1" t="s">
        <v>242</v>
      </c>
      <c r="AS3222" s="1" t="s">
        <v>243</v>
      </c>
      <c r="AT3222" s="1" t="s">
        <v>1470</v>
      </c>
      <c r="AU3222" s="1">
        <v>2009</v>
      </c>
      <c r="AV3222" s="1">
        <v>58</v>
      </c>
      <c r="AW3222" s="1">
        <v>1</v>
      </c>
      <c r="AX3222" s="1" t="s">
        <v>74</v>
      </c>
      <c r="AY3222" s="1" t="s">
        <v>74</v>
      </c>
      <c r="AZ3222" s="1" t="s">
        <v>74</v>
      </c>
      <c r="BA3222" s="1" t="s">
        <v>74</v>
      </c>
      <c r="BB3222" s="1">
        <v>107</v>
      </c>
      <c r="BC3222" s="1">
        <v>113</v>
      </c>
      <c r="BD3222" s="1" t="s">
        <v>74</v>
      </c>
      <c r="BE3222" s="1" t="s">
        <v>51184</v>
      </c>
      <c r="BF3222" s="1" t="str">
        <f>HYPERLINK("http://dx.doi.org/10.1016/j.marpolbul.2008.08.018","http://dx.doi.org/10.1016/j.marpolbul.2008.08.018")</f>
        <v>http://dx.doi.org/10.1016/j.marpolbul.2008.08.018</v>
      </c>
      <c r="BG3222" s="1" t="s">
        <v>74</v>
      </c>
      <c r="BH3222" s="1" t="s">
        <v>74</v>
      </c>
      <c r="BI3222" s="1">
        <v>7</v>
      </c>
      <c r="BJ3222" s="1" t="s">
        <v>247</v>
      </c>
      <c r="BK3222" s="1" t="s">
        <v>96</v>
      </c>
      <c r="BL3222" s="1" t="s">
        <v>248</v>
      </c>
      <c r="BM3222" s="1" t="s">
        <v>27645</v>
      </c>
      <c r="BN3222" s="1">
        <v>18849055</v>
      </c>
      <c r="BO3222" s="1" t="s">
        <v>74</v>
      </c>
      <c r="BP3222" s="1" t="s">
        <v>74</v>
      </c>
      <c r="BQ3222" s="1" t="s">
        <v>74</v>
      </c>
      <c r="BR3222" s="1" t="s">
        <v>98</v>
      </c>
      <c r="BS3222" s="1" t="s">
        <v>51185</v>
      </c>
      <c r="BT3222" s="1" t="str">
        <f>HYPERLINK("https%3A%2F%2Fwww.webofscience.com%2Fwos%2Fwoscc%2Ffull-record%2FWOS:000262963500025","View Full Record in Web of Science")</f>
        <v>View Full Record in Web of Science</v>
      </c>
      <c r="BU3222" s="1"/>
      <c r="BV3222" s="1"/>
    </row>
    <row r="3223" spans="1:74">
      <c r="A3223" s="1" t="s">
        <v>72</v>
      </c>
      <c r="B3223" s="1" t="s">
        <v>51186</v>
      </c>
      <c r="C3223" s="1" t="s">
        <v>74</v>
      </c>
      <c r="D3223" s="1" t="s">
        <v>74</v>
      </c>
      <c r="E3223" s="1" t="s">
        <v>74</v>
      </c>
      <c r="F3223" s="1" t="s">
        <v>51187</v>
      </c>
      <c r="G3223" s="1" t="s">
        <v>74</v>
      </c>
      <c r="H3223" s="1" t="s">
        <v>74</v>
      </c>
      <c r="I3223" s="1" t="s">
        <v>51188</v>
      </c>
      <c r="J3223" s="1" t="s">
        <v>421</v>
      </c>
      <c r="K3223" s="1" t="s">
        <v>74</v>
      </c>
      <c r="L3223" s="1" t="s">
        <v>74</v>
      </c>
      <c r="M3223" s="1" t="s">
        <v>78</v>
      </c>
      <c r="N3223" s="1" t="s">
        <v>79</v>
      </c>
      <c r="O3223" s="1" t="s">
        <v>74</v>
      </c>
      <c r="P3223" s="1" t="s">
        <v>74</v>
      </c>
      <c r="Q3223" s="1" t="s">
        <v>74</v>
      </c>
      <c r="R3223" s="1" t="s">
        <v>74</v>
      </c>
      <c r="S3223" s="1" t="s">
        <v>74</v>
      </c>
      <c r="T3223" s="1" t="s">
        <v>74</v>
      </c>
      <c r="U3223" s="1" t="s">
        <v>51189</v>
      </c>
      <c r="V3223" s="1" t="s">
        <v>51190</v>
      </c>
      <c r="W3223" s="1" t="s">
        <v>51191</v>
      </c>
      <c r="X3223" s="1" t="s">
        <v>51192</v>
      </c>
      <c r="Y3223" s="1" t="s">
        <v>51193</v>
      </c>
      <c r="Z3223" s="1" t="s">
        <v>22554</v>
      </c>
      <c r="AA3223" s="1" t="s">
        <v>51194</v>
      </c>
      <c r="AB3223" s="1" t="s">
        <v>51195</v>
      </c>
      <c r="AC3223" s="1" t="s">
        <v>51196</v>
      </c>
      <c r="AD3223" s="1" t="s">
        <v>51196</v>
      </c>
      <c r="AE3223" s="1" t="s">
        <v>51197</v>
      </c>
      <c r="AF3223" s="1" t="s">
        <v>74</v>
      </c>
      <c r="AG3223" s="1">
        <v>29</v>
      </c>
      <c r="AH3223" s="1">
        <v>19</v>
      </c>
      <c r="AI3223" s="1">
        <v>19</v>
      </c>
      <c r="AJ3223" s="1">
        <v>7</v>
      </c>
      <c r="AK3223" s="1">
        <v>38</v>
      </c>
      <c r="AL3223" s="1" t="s">
        <v>430</v>
      </c>
      <c r="AM3223" s="1" t="s">
        <v>137</v>
      </c>
      <c r="AN3223" s="1" t="s">
        <v>431</v>
      </c>
      <c r="AO3223" s="1" t="s">
        <v>432</v>
      </c>
      <c r="AP3223" s="1" t="s">
        <v>1394</v>
      </c>
      <c r="AQ3223" s="1" t="s">
        <v>74</v>
      </c>
      <c r="AR3223" s="1" t="s">
        <v>433</v>
      </c>
      <c r="AS3223" s="1" t="s">
        <v>434</v>
      </c>
      <c r="AT3223" s="1" t="s">
        <v>267</v>
      </c>
      <c r="AU3223" s="1">
        <v>2017</v>
      </c>
      <c r="AV3223" s="1">
        <v>229</v>
      </c>
      <c r="AW3223" s="1" t="s">
        <v>74</v>
      </c>
      <c r="AX3223" s="1" t="s">
        <v>74</v>
      </c>
      <c r="AY3223" s="1" t="s">
        <v>74</v>
      </c>
      <c r="AZ3223" s="1" t="s">
        <v>74</v>
      </c>
      <c r="BA3223" s="1" t="s">
        <v>74</v>
      </c>
      <c r="BB3223" s="1">
        <v>281</v>
      </c>
      <c r="BC3223" s="1">
        <v>289</v>
      </c>
      <c r="BD3223" s="1" t="s">
        <v>74</v>
      </c>
      <c r="BE3223" s="1" t="s">
        <v>51198</v>
      </c>
      <c r="BF3223" s="1" t="str">
        <f>HYPERLINK("http://dx.doi.org/10.1016/j.envpol.2017.05.086","http://dx.doi.org/10.1016/j.envpol.2017.05.086")</f>
        <v>http://dx.doi.org/10.1016/j.envpol.2017.05.086</v>
      </c>
      <c r="BG3223" s="1" t="s">
        <v>74</v>
      </c>
      <c r="BH3223" s="1" t="s">
        <v>74</v>
      </c>
      <c r="BI3223" s="1">
        <v>9</v>
      </c>
      <c r="BJ3223" s="1" t="s">
        <v>144</v>
      </c>
      <c r="BK3223" s="1" t="s">
        <v>96</v>
      </c>
      <c r="BL3223" s="1" t="s">
        <v>145</v>
      </c>
      <c r="BM3223" s="1" t="s">
        <v>51199</v>
      </c>
      <c r="BN3223" s="1">
        <v>28601017</v>
      </c>
      <c r="BO3223" s="1" t="s">
        <v>74</v>
      </c>
      <c r="BP3223" s="1" t="s">
        <v>74</v>
      </c>
      <c r="BQ3223" s="1" t="s">
        <v>74</v>
      </c>
      <c r="BR3223" s="1" t="s">
        <v>98</v>
      </c>
      <c r="BS3223" s="1" t="s">
        <v>51200</v>
      </c>
      <c r="BT3223" s="1" t="str">
        <f>HYPERLINK("https%3A%2F%2Fwww.webofscience.com%2Fwos%2Fwoscc%2Ffull-record%2FWOS:000410010200029","View Full Record in Web of Science")</f>
        <v>View Full Record in Web of Science</v>
      </c>
      <c r="BU3223" s="1"/>
      <c r="BV3223" s="1"/>
    </row>
    <row r="3224" spans="1:74">
      <c r="A3224" s="1" t="s">
        <v>72</v>
      </c>
      <c r="B3224" s="1" t="s">
        <v>51201</v>
      </c>
      <c r="C3224" s="1" t="s">
        <v>74</v>
      </c>
      <c r="D3224" s="1" t="s">
        <v>74</v>
      </c>
      <c r="E3224" s="1" t="s">
        <v>74</v>
      </c>
      <c r="F3224" s="1" t="s">
        <v>51202</v>
      </c>
      <c r="G3224" s="1" t="s">
        <v>74</v>
      </c>
      <c r="H3224" s="1" t="s">
        <v>74</v>
      </c>
      <c r="I3224" s="1" t="s">
        <v>51203</v>
      </c>
      <c r="J3224" s="1" t="s">
        <v>909</v>
      </c>
      <c r="K3224" s="1" t="s">
        <v>74</v>
      </c>
      <c r="L3224" s="1" t="s">
        <v>74</v>
      </c>
      <c r="M3224" s="1" t="s">
        <v>78</v>
      </c>
      <c r="N3224" s="1" t="s">
        <v>79</v>
      </c>
      <c r="O3224" s="1" t="s">
        <v>74</v>
      </c>
      <c r="P3224" s="1" t="s">
        <v>74</v>
      </c>
      <c r="Q3224" s="1" t="s">
        <v>74</v>
      </c>
      <c r="R3224" s="1" t="s">
        <v>74</v>
      </c>
      <c r="S3224" s="1" t="s">
        <v>74</v>
      </c>
      <c r="T3224" s="1" t="s">
        <v>51204</v>
      </c>
      <c r="U3224" s="1" t="s">
        <v>51205</v>
      </c>
      <c r="V3224" s="1" t="s">
        <v>51206</v>
      </c>
      <c r="W3224" s="1" t="s">
        <v>51207</v>
      </c>
      <c r="X3224" s="1" t="s">
        <v>51208</v>
      </c>
      <c r="Y3224" s="1" t="s">
        <v>43786</v>
      </c>
      <c r="Z3224" s="1" t="s">
        <v>51209</v>
      </c>
      <c r="AA3224" s="1" t="s">
        <v>43788</v>
      </c>
      <c r="AB3224" s="1" t="s">
        <v>51210</v>
      </c>
      <c r="AC3224" s="1" t="s">
        <v>51211</v>
      </c>
      <c r="AD3224" s="1" t="s">
        <v>51211</v>
      </c>
      <c r="AE3224" s="1" t="s">
        <v>51212</v>
      </c>
      <c r="AF3224" s="1" t="s">
        <v>74</v>
      </c>
      <c r="AG3224" s="1">
        <v>59</v>
      </c>
      <c r="AH3224" s="1">
        <v>7</v>
      </c>
      <c r="AI3224" s="1">
        <v>7</v>
      </c>
      <c r="AJ3224" s="1">
        <v>3</v>
      </c>
      <c r="AK3224" s="1">
        <v>43</v>
      </c>
      <c r="AL3224" s="1" t="s">
        <v>650</v>
      </c>
      <c r="AM3224" s="1" t="s">
        <v>651</v>
      </c>
      <c r="AN3224" s="1" t="s">
        <v>652</v>
      </c>
      <c r="AO3224" s="1" t="s">
        <v>921</v>
      </c>
      <c r="AP3224" s="1" t="s">
        <v>922</v>
      </c>
      <c r="AQ3224" s="1" t="s">
        <v>74</v>
      </c>
      <c r="AR3224" s="1" t="s">
        <v>923</v>
      </c>
      <c r="AS3224" s="1" t="s">
        <v>924</v>
      </c>
      <c r="AT3224" s="1" t="s">
        <v>27393</v>
      </c>
      <c r="AU3224" s="1">
        <v>2021</v>
      </c>
      <c r="AV3224" s="1">
        <v>772</v>
      </c>
      <c r="AW3224" s="1" t="s">
        <v>74</v>
      </c>
      <c r="AX3224" s="1" t="s">
        <v>74</v>
      </c>
      <c r="AY3224" s="1" t="s">
        <v>74</v>
      </c>
      <c r="AZ3224" s="1" t="s">
        <v>74</v>
      </c>
      <c r="BA3224" s="1" t="s">
        <v>74</v>
      </c>
      <c r="BB3224" s="1" t="s">
        <v>74</v>
      </c>
      <c r="BC3224" s="1" t="s">
        <v>74</v>
      </c>
      <c r="BD3224" s="1">
        <v>145498</v>
      </c>
      <c r="BE3224" s="1" t="s">
        <v>51213</v>
      </c>
      <c r="BF3224" s="1" t="str">
        <f>HYPERLINK("http://dx.doi.org/10.1016/j.scitotenv.2021.145498","http://dx.doi.org/10.1016/j.scitotenv.2021.145498")</f>
        <v>http://dx.doi.org/10.1016/j.scitotenv.2021.145498</v>
      </c>
      <c r="BG3224" s="1" t="s">
        <v>74</v>
      </c>
      <c r="BH3224" s="1" t="s">
        <v>4518</v>
      </c>
      <c r="BI3224" s="1">
        <v>12</v>
      </c>
      <c r="BJ3224" s="1" t="s">
        <v>144</v>
      </c>
      <c r="BK3224" s="1" t="s">
        <v>96</v>
      </c>
      <c r="BL3224" s="1" t="s">
        <v>145</v>
      </c>
      <c r="BM3224" s="1" t="s">
        <v>51214</v>
      </c>
      <c r="BN3224" s="1">
        <v>33581512</v>
      </c>
      <c r="BO3224" s="1" t="s">
        <v>74</v>
      </c>
      <c r="BP3224" s="1" t="s">
        <v>74</v>
      </c>
      <c r="BQ3224" s="1" t="s">
        <v>74</v>
      </c>
      <c r="BR3224" s="1" t="s">
        <v>98</v>
      </c>
      <c r="BS3224" s="1" t="s">
        <v>51215</v>
      </c>
      <c r="BT3224" s="1" t="str">
        <f>HYPERLINK("https%3A%2F%2Fwww.webofscience.com%2Fwos%2Fwoscc%2Ffull-record%2FWOS:000628753700102","View Full Record in Web of Science")</f>
        <v>View Full Record in Web of Science</v>
      </c>
      <c r="BU3224" s="1"/>
      <c r="BV3224" s="1"/>
    </row>
    <row r="3225" spans="1:74">
      <c r="A3225" s="1" t="s">
        <v>72</v>
      </c>
      <c r="B3225" s="1" t="s">
        <v>51216</v>
      </c>
      <c r="C3225" s="1" t="s">
        <v>74</v>
      </c>
      <c r="D3225" s="1" t="s">
        <v>74</v>
      </c>
      <c r="E3225" s="1" t="s">
        <v>74</v>
      </c>
      <c r="F3225" s="1" t="s">
        <v>51217</v>
      </c>
      <c r="G3225" s="1" t="s">
        <v>74</v>
      </c>
      <c r="H3225" s="1" t="s">
        <v>74</v>
      </c>
      <c r="I3225" s="1" t="s">
        <v>51218</v>
      </c>
      <c r="J3225" s="1" t="s">
        <v>11177</v>
      </c>
      <c r="K3225" s="1" t="s">
        <v>74</v>
      </c>
      <c r="L3225" s="1" t="s">
        <v>74</v>
      </c>
      <c r="M3225" s="1" t="s">
        <v>78</v>
      </c>
      <c r="N3225" s="1" t="s">
        <v>79</v>
      </c>
      <c r="O3225" s="1" t="s">
        <v>74</v>
      </c>
      <c r="P3225" s="1" t="s">
        <v>74</v>
      </c>
      <c r="Q3225" s="1" t="s">
        <v>74</v>
      </c>
      <c r="R3225" s="1" t="s">
        <v>74</v>
      </c>
      <c r="S3225" s="1" t="s">
        <v>74</v>
      </c>
      <c r="T3225" s="1" t="s">
        <v>51219</v>
      </c>
      <c r="U3225" s="1" t="s">
        <v>51220</v>
      </c>
      <c r="V3225" s="1" t="s">
        <v>51221</v>
      </c>
      <c r="W3225" s="1" t="s">
        <v>51222</v>
      </c>
      <c r="X3225" s="1" t="s">
        <v>51223</v>
      </c>
      <c r="Y3225" s="1" t="s">
        <v>51224</v>
      </c>
      <c r="Z3225" s="1" t="s">
        <v>51225</v>
      </c>
      <c r="AA3225" s="1" t="s">
        <v>51226</v>
      </c>
      <c r="AB3225" s="1" t="s">
        <v>51227</v>
      </c>
      <c r="AC3225" s="1" t="s">
        <v>51228</v>
      </c>
      <c r="AD3225" s="1" t="s">
        <v>525</v>
      </c>
      <c r="AE3225" s="1" t="s">
        <v>51229</v>
      </c>
      <c r="AF3225" s="1" t="s">
        <v>74</v>
      </c>
      <c r="AG3225" s="1">
        <v>61</v>
      </c>
      <c r="AH3225" s="1">
        <v>13</v>
      </c>
      <c r="AI3225" s="1">
        <v>14</v>
      </c>
      <c r="AJ3225" s="1">
        <v>2</v>
      </c>
      <c r="AK3225" s="1">
        <v>30</v>
      </c>
      <c r="AL3225" s="1" t="s">
        <v>430</v>
      </c>
      <c r="AM3225" s="1" t="s">
        <v>137</v>
      </c>
      <c r="AN3225" s="1" t="s">
        <v>431</v>
      </c>
      <c r="AO3225" s="1" t="s">
        <v>11187</v>
      </c>
      <c r="AP3225" s="1" t="s">
        <v>11188</v>
      </c>
      <c r="AQ3225" s="1" t="s">
        <v>74</v>
      </c>
      <c r="AR3225" s="1" t="s">
        <v>11189</v>
      </c>
      <c r="AS3225" s="1" t="s">
        <v>11190</v>
      </c>
      <c r="AT3225" s="1" t="s">
        <v>93</v>
      </c>
      <c r="AU3225" s="1">
        <v>2020</v>
      </c>
      <c r="AV3225" s="1">
        <v>8</v>
      </c>
      <c r="AW3225" s="1">
        <v>2</v>
      </c>
      <c r="AX3225" s="1" t="s">
        <v>74</v>
      </c>
      <c r="AY3225" s="1" t="s">
        <v>74</v>
      </c>
      <c r="AZ3225" s="1" t="s">
        <v>74</v>
      </c>
      <c r="BA3225" s="1" t="s">
        <v>74</v>
      </c>
      <c r="BB3225" s="1" t="s">
        <v>74</v>
      </c>
      <c r="BC3225" s="1" t="s">
        <v>74</v>
      </c>
      <c r="BD3225" s="1">
        <v>103525</v>
      </c>
      <c r="BE3225" s="1" t="s">
        <v>51230</v>
      </c>
      <c r="BF3225" s="1" t="str">
        <f>HYPERLINK("http://dx.doi.org/10.1016/j.jece.2019.103525","http://dx.doi.org/10.1016/j.jece.2019.103525")</f>
        <v>http://dx.doi.org/10.1016/j.jece.2019.103525</v>
      </c>
      <c r="BG3225" s="1" t="s">
        <v>74</v>
      </c>
      <c r="BH3225" s="1" t="s">
        <v>74</v>
      </c>
      <c r="BI3225" s="1">
        <v>9</v>
      </c>
      <c r="BJ3225" s="1" t="s">
        <v>3991</v>
      </c>
      <c r="BK3225" s="1" t="s">
        <v>96</v>
      </c>
      <c r="BL3225" s="1" t="s">
        <v>3992</v>
      </c>
      <c r="BM3225" s="1" t="s">
        <v>51231</v>
      </c>
      <c r="BN3225" s="1" t="s">
        <v>74</v>
      </c>
      <c r="BO3225" s="1" t="s">
        <v>74</v>
      </c>
      <c r="BP3225" s="1" t="s">
        <v>74</v>
      </c>
      <c r="BQ3225" s="1" t="s">
        <v>74</v>
      </c>
      <c r="BR3225" s="1" t="s">
        <v>98</v>
      </c>
      <c r="BS3225" s="1" t="s">
        <v>51232</v>
      </c>
      <c r="BT3225" s="1" t="str">
        <f>HYPERLINK("https%3A%2F%2Fwww.webofscience.com%2Fwos%2Fwoscc%2Ffull-record%2FWOS:000524743700014","View Full Record in Web of Science")</f>
        <v>View Full Record in Web of Science</v>
      </c>
      <c r="BU3225" s="1"/>
      <c r="BV3225" s="1"/>
    </row>
    <row r="3226" spans="1:74">
      <c r="A3226" s="1" t="s">
        <v>72</v>
      </c>
      <c r="B3226" s="1" t="s">
        <v>51233</v>
      </c>
      <c r="C3226" s="1" t="s">
        <v>74</v>
      </c>
      <c r="D3226" s="1" t="s">
        <v>74</v>
      </c>
      <c r="E3226" s="1" t="s">
        <v>74</v>
      </c>
      <c r="F3226" s="1" t="s">
        <v>51234</v>
      </c>
      <c r="G3226" s="1" t="s">
        <v>74</v>
      </c>
      <c r="H3226" s="1" t="s">
        <v>74</v>
      </c>
      <c r="I3226" s="1" t="s">
        <v>51235</v>
      </c>
      <c r="J3226" s="1" t="s">
        <v>24373</v>
      </c>
      <c r="K3226" s="1" t="s">
        <v>74</v>
      </c>
      <c r="L3226" s="1" t="s">
        <v>74</v>
      </c>
      <c r="M3226" s="1" t="s">
        <v>78</v>
      </c>
      <c r="N3226" s="1" t="s">
        <v>79</v>
      </c>
      <c r="O3226" s="1" t="s">
        <v>74</v>
      </c>
      <c r="P3226" s="1" t="s">
        <v>74</v>
      </c>
      <c r="Q3226" s="1" t="s">
        <v>74</v>
      </c>
      <c r="R3226" s="1" t="s">
        <v>74</v>
      </c>
      <c r="S3226" s="1" t="s">
        <v>74</v>
      </c>
      <c r="T3226" s="1" t="s">
        <v>74</v>
      </c>
      <c r="U3226" s="1" t="s">
        <v>51236</v>
      </c>
      <c r="V3226" s="1" t="s">
        <v>51237</v>
      </c>
      <c r="W3226" s="1" t="s">
        <v>51238</v>
      </c>
      <c r="X3226" s="1" t="s">
        <v>51239</v>
      </c>
      <c r="Y3226" s="1" t="s">
        <v>51240</v>
      </c>
      <c r="Z3226" s="1" t="s">
        <v>22673</v>
      </c>
      <c r="AA3226" s="1" t="s">
        <v>22674</v>
      </c>
      <c r="AB3226" s="1" t="s">
        <v>51241</v>
      </c>
      <c r="AC3226" s="1" t="s">
        <v>74</v>
      </c>
      <c r="AD3226" s="1" t="s">
        <v>74</v>
      </c>
      <c r="AE3226" s="1" t="s">
        <v>74</v>
      </c>
      <c r="AF3226" s="1" t="s">
        <v>74</v>
      </c>
      <c r="AG3226" s="1">
        <v>28</v>
      </c>
      <c r="AH3226" s="1">
        <v>2</v>
      </c>
      <c r="AI3226" s="1">
        <v>2</v>
      </c>
      <c r="AJ3226" s="1">
        <v>0</v>
      </c>
      <c r="AK3226" s="1">
        <v>17</v>
      </c>
      <c r="AL3226" s="1" t="s">
        <v>25699</v>
      </c>
      <c r="AM3226" s="1" t="s">
        <v>25700</v>
      </c>
      <c r="AN3226" s="1" t="s">
        <v>25701</v>
      </c>
      <c r="AO3226" s="1" t="s">
        <v>24383</v>
      </c>
      <c r="AP3226" s="1" t="s">
        <v>51242</v>
      </c>
      <c r="AQ3226" s="1" t="s">
        <v>74</v>
      </c>
      <c r="AR3226" s="1" t="s">
        <v>24384</v>
      </c>
      <c r="AS3226" s="1" t="s">
        <v>24385</v>
      </c>
      <c r="AT3226" s="1" t="s">
        <v>24097</v>
      </c>
      <c r="AU3226" s="1">
        <v>2010</v>
      </c>
      <c r="AV3226" s="1">
        <v>93</v>
      </c>
      <c r="AW3226" s="1">
        <v>5</v>
      </c>
      <c r="AX3226" s="1" t="s">
        <v>74</v>
      </c>
      <c r="AY3226" s="1" t="s">
        <v>74</v>
      </c>
      <c r="AZ3226" s="1" t="s">
        <v>74</v>
      </c>
      <c r="BA3226" s="1" t="s">
        <v>74</v>
      </c>
      <c r="BB3226" s="1">
        <v>1600</v>
      </c>
      <c r="BC3226" s="1">
        <v>1608</v>
      </c>
      <c r="BD3226" s="1" t="s">
        <v>74</v>
      </c>
      <c r="BE3226" s="1" t="s">
        <v>74</v>
      </c>
      <c r="BF3226" s="1" t="s">
        <v>74</v>
      </c>
      <c r="BG3226" s="1" t="s">
        <v>74</v>
      </c>
      <c r="BH3226" s="1" t="s">
        <v>74</v>
      </c>
      <c r="BI3226" s="1">
        <v>9</v>
      </c>
      <c r="BJ3226" s="1" t="s">
        <v>24386</v>
      </c>
      <c r="BK3226" s="1" t="s">
        <v>96</v>
      </c>
      <c r="BL3226" s="1" t="s">
        <v>22662</v>
      </c>
      <c r="BM3226" s="1" t="s">
        <v>51243</v>
      </c>
      <c r="BN3226" s="1">
        <v>21140673</v>
      </c>
      <c r="BO3226" s="1" t="s">
        <v>74</v>
      </c>
      <c r="BP3226" s="1" t="s">
        <v>74</v>
      </c>
      <c r="BQ3226" s="1" t="s">
        <v>74</v>
      </c>
      <c r="BR3226" s="1" t="s">
        <v>98</v>
      </c>
      <c r="BS3226" s="1" t="s">
        <v>51244</v>
      </c>
      <c r="BT3226" s="1" t="str">
        <f>HYPERLINK("https%3A%2F%2Fwww.webofscience.com%2Fwos%2Fwoscc%2Ffull-record%2FWOS:000284190900032","View Full Record in Web of Science")</f>
        <v>View Full Record in Web of Science</v>
      </c>
      <c r="BU3226" s="1"/>
      <c r="BV3226" s="1"/>
    </row>
    <row r="3227" spans="1:74">
      <c r="A3227" s="1" t="s">
        <v>72</v>
      </c>
      <c r="B3227" s="1" t="s">
        <v>51245</v>
      </c>
      <c r="C3227" s="1" t="s">
        <v>74</v>
      </c>
      <c r="D3227" s="1" t="s">
        <v>74</v>
      </c>
      <c r="E3227" s="1" t="s">
        <v>74</v>
      </c>
      <c r="F3227" s="1" t="s">
        <v>51245</v>
      </c>
      <c r="G3227" s="1" t="s">
        <v>74</v>
      </c>
      <c r="H3227" s="1" t="s">
        <v>74</v>
      </c>
      <c r="I3227" s="1" t="s">
        <v>51246</v>
      </c>
      <c r="J3227" s="1" t="s">
        <v>51247</v>
      </c>
      <c r="K3227" s="1" t="s">
        <v>74</v>
      </c>
      <c r="L3227" s="1" t="s">
        <v>74</v>
      </c>
      <c r="M3227" s="1" t="s">
        <v>78</v>
      </c>
      <c r="N3227" s="1" t="s">
        <v>79</v>
      </c>
      <c r="O3227" s="1" t="s">
        <v>74</v>
      </c>
      <c r="P3227" s="1" t="s">
        <v>74</v>
      </c>
      <c r="Q3227" s="1" t="s">
        <v>74</v>
      </c>
      <c r="R3227" s="1" t="s">
        <v>74</v>
      </c>
      <c r="S3227" s="1" t="s">
        <v>74</v>
      </c>
      <c r="T3227" s="1" t="s">
        <v>74</v>
      </c>
      <c r="U3227" s="1" t="s">
        <v>51248</v>
      </c>
      <c r="V3227" s="1" t="s">
        <v>51249</v>
      </c>
      <c r="W3227" s="1" t="s">
        <v>51250</v>
      </c>
      <c r="X3227" s="1" t="s">
        <v>51251</v>
      </c>
      <c r="Y3227" s="1" t="s">
        <v>27437</v>
      </c>
      <c r="Z3227" s="1" t="s">
        <v>74</v>
      </c>
      <c r="AA3227" s="1" t="s">
        <v>74</v>
      </c>
      <c r="AB3227" s="1" t="s">
        <v>74</v>
      </c>
      <c r="AC3227" s="1" t="s">
        <v>74</v>
      </c>
      <c r="AD3227" s="1" t="s">
        <v>74</v>
      </c>
      <c r="AE3227" s="1" t="s">
        <v>74</v>
      </c>
      <c r="AF3227" s="1" t="s">
        <v>74</v>
      </c>
      <c r="AG3227" s="1">
        <v>27</v>
      </c>
      <c r="AH3227" s="1">
        <v>10</v>
      </c>
      <c r="AI3227" s="1">
        <v>11</v>
      </c>
      <c r="AJ3227" s="1">
        <v>0</v>
      </c>
      <c r="AK3227" s="1">
        <v>3</v>
      </c>
      <c r="AL3227" s="1" t="s">
        <v>112</v>
      </c>
      <c r="AM3227" s="1" t="s">
        <v>191</v>
      </c>
      <c r="AN3227" s="1" t="s">
        <v>192</v>
      </c>
      <c r="AO3227" s="1" t="s">
        <v>51252</v>
      </c>
      <c r="AP3227" s="1" t="s">
        <v>51253</v>
      </c>
      <c r="AQ3227" s="1" t="s">
        <v>74</v>
      </c>
      <c r="AR3227" s="1" t="s">
        <v>51254</v>
      </c>
      <c r="AS3227" s="1" t="s">
        <v>51255</v>
      </c>
      <c r="AT3227" s="1" t="s">
        <v>305</v>
      </c>
      <c r="AU3227" s="1">
        <v>2004</v>
      </c>
      <c r="AV3227" s="1">
        <v>35</v>
      </c>
      <c r="AW3227" s="1">
        <v>7</v>
      </c>
      <c r="AX3227" s="1" t="s">
        <v>74</v>
      </c>
      <c r="AY3227" s="1" t="s">
        <v>74</v>
      </c>
      <c r="AZ3227" s="1" t="s">
        <v>74</v>
      </c>
      <c r="BA3227" s="1" t="s">
        <v>74</v>
      </c>
      <c r="BB3227" s="1">
        <v>697</v>
      </c>
      <c r="BC3227" s="1">
        <v>706</v>
      </c>
      <c r="BD3227" s="1" t="s">
        <v>74</v>
      </c>
      <c r="BE3227" s="1" t="s">
        <v>74</v>
      </c>
      <c r="BF3227" s="1" t="s">
        <v>74</v>
      </c>
      <c r="BG3227" s="1" t="s">
        <v>74</v>
      </c>
      <c r="BH3227" s="1" t="s">
        <v>74</v>
      </c>
      <c r="BI3227" s="1">
        <v>10</v>
      </c>
      <c r="BJ3227" s="1" t="s">
        <v>12307</v>
      </c>
      <c r="BK3227" s="1" t="s">
        <v>96</v>
      </c>
      <c r="BL3227" s="1" t="s">
        <v>12307</v>
      </c>
      <c r="BM3227" s="1" t="s">
        <v>51256</v>
      </c>
      <c r="BN3227" s="1">
        <v>15614625</v>
      </c>
      <c r="BO3227" s="1" t="s">
        <v>74</v>
      </c>
      <c r="BP3227" s="1" t="s">
        <v>74</v>
      </c>
      <c r="BQ3227" s="1" t="s">
        <v>74</v>
      </c>
      <c r="BR3227" s="1" t="s">
        <v>98</v>
      </c>
      <c r="BS3227" s="1" t="s">
        <v>51257</v>
      </c>
      <c r="BT3227" s="1" t="str">
        <f>HYPERLINK("https%3A%2F%2Fwww.webofscience.com%2Fwos%2Fwoscc%2Ffull-record%2FWOS:000225904000006","View Full Record in Web of Science")</f>
        <v>View Full Record in Web of Science</v>
      </c>
      <c r="BU3227" s="1"/>
      <c r="BV3227" s="1"/>
    </row>
    <row r="3228" spans="1:74">
      <c r="A3228" s="1" t="s">
        <v>72</v>
      </c>
      <c r="B3228" s="1" t="s">
        <v>51258</v>
      </c>
      <c r="C3228" s="1" t="s">
        <v>74</v>
      </c>
      <c r="D3228" s="1" t="s">
        <v>74</v>
      </c>
      <c r="E3228" s="1" t="s">
        <v>74</v>
      </c>
      <c r="F3228" s="1" t="s">
        <v>51259</v>
      </c>
      <c r="G3228" s="1" t="s">
        <v>74</v>
      </c>
      <c r="H3228" s="1" t="s">
        <v>74</v>
      </c>
      <c r="I3228" s="1" t="s">
        <v>51260</v>
      </c>
      <c r="J3228" s="1" t="s">
        <v>554</v>
      </c>
      <c r="K3228" s="1" t="s">
        <v>74</v>
      </c>
      <c r="L3228" s="1" t="s">
        <v>74</v>
      </c>
      <c r="M3228" s="1" t="s">
        <v>78</v>
      </c>
      <c r="N3228" s="1" t="s">
        <v>79</v>
      </c>
      <c r="O3228" s="1" t="s">
        <v>74</v>
      </c>
      <c r="P3228" s="1" t="s">
        <v>74</v>
      </c>
      <c r="Q3228" s="1" t="s">
        <v>74</v>
      </c>
      <c r="R3228" s="1" t="s">
        <v>74</v>
      </c>
      <c r="S3228" s="1" t="s">
        <v>74</v>
      </c>
      <c r="T3228" s="1" t="s">
        <v>51261</v>
      </c>
      <c r="U3228" s="1" t="s">
        <v>51262</v>
      </c>
      <c r="V3228" s="1" t="s">
        <v>51263</v>
      </c>
      <c r="W3228" s="1" t="s">
        <v>51264</v>
      </c>
      <c r="X3228" s="1" t="s">
        <v>11435</v>
      </c>
      <c r="Y3228" s="1" t="s">
        <v>23805</v>
      </c>
      <c r="Z3228" s="1" t="s">
        <v>9288</v>
      </c>
      <c r="AA3228" s="1" t="s">
        <v>51265</v>
      </c>
      <c r="AB3228" s="1" t="s">
        <v>51266</v>
      </c>
      <c r="AC3228" s="1" t="s">
        <v>51267</v>
      </c>
      <c r="AD3228" s="1" t="s">
        <v>51268</v>
      </c>
      <c r="AE3228" s="1" t="s">
        <v>51269</v>
      </c>
      <c r="AF3228" s="1" t="s">
        <v>74</v>
      </c>
      <c r="AG3228" s="1">
        <v>69</v>
      </c>
      <c r="AH3228" s="1">
        <v>10</v>
      </c>
      <c r="AI3228" s="1">
        <v>10</v>
      </c>
      <c r="AJ3228" s="1">
        <v>1</v>
      </c>
      <c r="AK3228" s="1">
        <v>37</v>
      </c>
      <c r="AL3228" s="1" t="s">
        <v>564</v>
      </c>
      <c r="AM3228" s="1" t="s">
        <v>113</v>
      </c>
      <c r="AN3228" s="1" t="s">
        <v>565</v>
      </c>
      <c r="AO3228" s="1" t="s">
        <v>566</v>
      </c>
      <c r="AP3228" s="1" t="s">
        <v>567</v>
      </c>
      <c r="AQ3228" s="1" t="s">
        <v>74</v>
      </c>
      <c r="AR3228" s="1" t="s">
        <v>568</v>
      </c>
      <c r="AS3228" s="1" t="s">
        <v>569</v>
      </c>
      <c r="AT3228" s="1" t="s">
        <v>951</v>
      </c>
      <c r="AU3228" s="1">
        <v>2016</v>
      </c>
      <c r="AV3228" s="1">
        <v>189</v>
      </c>
      <c r="AW3228" s="1" t="s">
        <v>74</v>
      </c>
      <c r="AX3228" s="1" t="s">
        <v>74</v>
      </c>
      <c r="AY3228" s="1" t="s">
        <v>74</v>
      </c>
      <c r="AZ3228" s="1" t="s">
        <v>74</v>
      </c>
      <c r="BA3228" s="1" t="s">
        <v>74</v>
      </c>
      <c r="BB3228" s="1">
        <v>1</v>
      </c>
      <c r="BC3228" s="1">
        <v>9</v>
      </c>
      <c r="BD3228" s="1" t="s">
        <v>74</v>
      </c>
      <c r="BE3228" s="1" t="s">
        <v>51270</v>
      </c>
      <c r="BF3228" s="1" t="str">
        <f>HYPERLINK("http://dx.doi.org/10.1016/j.cbpc.2016.06.006","http://dx.doi.org/10.1016/j.cbpc.2016.06.006")</f>
        <v>http://dx.doi.org/10.1016/j.cbpc.2016.06.006</v>
      </c>
      <c r="BG3228" s="1" t="s">
        <v>74</v>
      </c>
      <c r="BH3228" s="1" t="s">
        <v>74</v>
      </c>
      <c r="BI3228" s="1">
        <v>9</v>
      </c>
      <c r="BJ3228" s="1" t="s">
        <v>571</v>
      </c>
      <c r="BK3228" s="1" t="s">
        <v>96</v>
      </c>
      <c r="BL3228" s="1" t="s">
        <v>571</v>
      </c>
      <c r="BM3228" s="1" t="s">
        <v>51271</v>
      </c>
      <c r="BN3228" s="1">
        <v>27349727</v>
      </c>
      <c r="BO3228" s="1" t="s">
        <v>74</v>
      </c>
      <c r="BP3228" s="1" t="s">
        <v>74</v>
      </c>
      <c r="BQ3228" s="1" t="s">
        <v>74</v>
      </c>
      <c r="BR3228" s="1" t="s">
        <v>98</v>
      </c>
      <c r="BS3228" s="1" t="s">
        <v>51272</v>
      </c>
      <c r="BT3228" s="1" t="str">
        <f>HYPERLINK("https%3A%2F%2Fwww.webofscience.com%2Fwos%2Fwoscc%2Ffull-record%2FWOS:000385325600001","View Full Record in Web of Science")</f>
        <v>View Full Record in Web of Science</v>
      </c>
      <c r="BU3228" s="1"/>
      <c r="BV3228" s="1"/>
    </row>
    <row r="3229" spans="1:74">
      <c r="A3229" s="1" t="s">
        <v>72</v>
      </c>
      <c r="B3229" s="1" t="s">
        <v>51273</v>
      </c>
      <c r="C3229" s="1" t="s">
        <v>74</v>
      </c>
      <c r="D3229" s="1" t="s">
        <v>74</v>
      </c>
      <c r="E3229" s="1" t="s">
        <v>74</v>
      </c>
      <c r="F3229" s="1" t="s">
        <v>51274</v>
      </c>
      <c r="G3229" s="1" t="s">
        <v>74</v>
      </c>
      <c r="H3229" s="1" t="s">
        <v>74</v>
      </c>
      <c r="I3229" s="1" t="s">
        <v>51275</v>
      </c>
      <c r="J3229" s="1" t="s">
        <v>595</v>
      </c>
      <c r="K3229" s="1" t="s">
        <v>74</v>
      </c>
      <c r="L3229" s="1" t="s">
        <v>74</v>
      </c>
      <c r="M3229" s="1" t="s">
        <v>78</v>
      </c>
      <c r="N3229" s="1" t="s">
        <v>79</v>
      </c>
      <c r="O3229" s="1" t="s">
        <v>74</v>
      </c>
      <c r="P3229" s="1" t="s">
        <v>74</v>
      </c>
      <c r="Q3229" s="1" t="s">
        <v>74</v>
      </c>
      <c r="R3229" s="1" t="s">
        <v>74</v>
      </c>
      <c r="S3229" s="1" t="s">
        <v>74</v>
      </c>
      <c r="T3229" s="1" t="s">
        <v>51276</v>
      </c>
      <c r="U3229" s="1" t="s">
        <v>51277</v>
      </c>
      <c r="V3229" s="1" t="s">
        <v>51278</v>
      </c>
      <c r="W3229" s="1" t="s">
        <v>51279</v>
      </c>
      <c r="X3229" s="1" t="s">
        <v>51280</v>
      </c>
      <c r="Y3229" s="1" t="s">
        <v>51281</v>
      </c>
      <c r="Z3229" s="1" t="s">
        <v>31166</v>
      </c>
      <c r="AA3229" s="1" t="s">
        <v>51282</v>
      </c>
      <c r="AB3229" s="1" t="s">
        <v>51283</v>
      </c>
      <c r="AC3229" s="1" t="s">
        <v>51284</v>
      </c>
      <c r="AD3229" s="1" t="s">
        <v>51285</v>
      </c>
      <c r="AE3229" s="1" t="s">
        <v>51286</v>
      </c>
      <c r="AF3229" s="1" t="s">
        <v>74</v>
      </c>
      <c r="AG3229" s="1">
        <v>29</v>
      </c>
      <c r="AH3229" s="1">
        <v>16</v>
      </c>
      <c r="AI3229" s="1">
        <v>18</v>
      </c>
      <c r="AJ3229" s="1">
        <v>0</v>
      </c>
      <c r="AK3229" s="1">
        <v>21</v>
      </c>
      <c r="AL3229" s="1" t="s">
        <v>112</v>
      </c>
      <c r="AM3229" s="1" t="s">
        <v>191</v>
      </c>
      <c r="AN3229" s="1" t="s">
        <v>192</v>
      </c>
      <c r="AO3229" s="1" t="s">
        <v>608</v>
      </c>
      <c r="AP3229" s="1" t="s">
        <v>74</v>
      </c>
      <c r="AQ3229" s="1" t="s">
        <v>74</v>
      </c>
      <c r="AR3229" s="1" t="s">
        <v>595</v>
      </c>
      <c r="AS3229" s="1" t="s">
        <v>610</v>
      </c>
      <c r="AT3229" s="1" t="s">
        <v>1470</v>
      </c>
      <c r="AU3229" s="1">
        <v>2010</v>
      </c>
      <c r="AV3229" s="1">
        <v>19</v>
      </c>
      <c r="AW3229" s="1">
        <v>1</v>
      </c>
      <c r="AX3229" s="1" t="s">
        <v>74</v>
      </c>
      <c r="AY3229" s="1" t="s">
        <v>74</v>
      </c>
      <c r="AZ3229" s="1" t="s">
        <v>74</v>
      </c>
      <c r="BA3229" s="1" t="s">
        <v>74</v>
      </c>
      <c r="BB3229" s="1">
        <v>38</v>
      </c>
      <c r="BC3229" s="1">
        <v>47</v>
      </c>
      <c r="BD3229" s="1" t="s">
        <v>74</v>
      </c>
      <c r="BE3229" s="1" t="s">
        <v>51287</v>
      </c>
      <c r="BF3229" s="1" t="str">
        <f>HYPERLINK("http://dx.doi.org/10.1007/s10646-009-0384-4","http://dx.doi.org/10.1007/s10646-009-0384-4")</f>
        <v>http://dx.doi.org/10.1007/s10646-009-0384-4</v>
      </c>
      <c r="BG3229" s="1" t="s">
        <v>74</v>
      </c>
      <c r="BH3229" s="1" t="s">
        <v>74</v>
      </c>
      <c r="BI3229" s="1">
        <v>10</v>
      </c>
      <c r="BJ3229" s="1" t="s">
        <v>612</v>
      </c>
      <c r="BK3229" s="1" t="s">
        <v>96</v>
      </c>
      <c r="BL3229" s="1" t="s">
        <v>122</v>
      </c>
      <c r="BM3229" s="1" t="s">
        <v>31174</v>
      </c>
      <c r="BN3229" s="1">
        <v>19629682</v>
      </c>
      <c r="BO3229" s="1" t="s">
        <v>2744</v>
      </c>
      <c r="BP3229" s="1" t="s">
        <v>74</v>
      </c>
      <c r="BQ3229" s="1" t="s">
        <v>74</v>
      </c>
      <c r="BR3229" s="1" t="s">
        <v>98</v>
      </c>
      <c r="BS3229" s="1" t="s">
        <v>51288</v>
      </c>
      <c r="BT3229" s="1" t="str">
        <f>HYPERLINK("https%3A%2F%2Fwww.webofscience.com%2Fwos%2Fwoscc%2Ffull-record%2FWOS:000273032100004","View Full Record in Web of Science")</f>
        <v>View Full Record in Web of Science</v>
      </c>
      <c r="BU3229" s="1"/>
      <c r="BV3229" s="1"/>
    </row>
    <row r="3230" spans="1:74">
      <c r="A3230" s="1" t="s">
        <v>72</v>
      </c>
      <c r="B3230" s="1" t="s">
        <v>51289</v>
      </c>
      <c r="C3230" s="1" t="s">
        <v>74</v>
      </c>
      <c r="D3230" s="1" t="s">
        <v>74</v>
      </c>
      <c r="E3230" s="1" t="s">
        <v>74</v>
      </c>
      <c r="F3230" s="1" t="s">
        <v>51290</v>
      </c>
      <c r="G3230" s="1" t="s">
        <v>74</v>
      </c>
      <c r="H3230" s="1" t="s">
        <v>74</v>
      </c>
      <c r="I3230" s="1" t="s">
        <v>51291</v>
      </c>
      <c r="J3230" s="1" t="s">
        <v>19334</v>
      </c>
      <c r="K3230" s="1" t="s">
        <v>74</v>
      </c>
      <c r="L3230" s="1" t="s">
        <v>74</v>
      </c>
      <c r="M3230" s="1" t="s">
        <v>78</v>
      </c>
      <c r="N3230" s="1" t="s">
        <v>79</v>
      </c>
      <c r="O3230" s="1" t="s">
        <v>74</v>
      </c>
      <c r="P3230" s="1" t="s">
        <v>74</v>
      </c>
      <c r="Q3230" s="1" t="s">
        <v>74</v>
      </c>
      <c r="R3230" s="1" t="s">
        <v>74</v>
      </c>
      <c r="S3230" s="1" t="s">
        <v>74</v>
      </c>
      <c r="T3230" s="1" t="s">
        <v>51292</v>
      </c>
      <c r="U3230" s="1" t="s">
        <v>51293</v>
      </c>
      <c r="V3230" s="1" t="s">
        <v>51294</v>
      </c>
      <c r="W3230" s="1" t="s">
        <v>51295</v>
      </c>
      <c r="X3230" s="1" t="s">
        <v>51296</v>
      </c>
      <c r="Y3230" s="1" t="s">
        <v>51297</v>
      </c>
      <c r="Z3230" s="1" t="s">
        <v>51298</v>
      </c>
      <c r="AA3230" s="1" t="s">
        <v>51299</v>
      </c>
      <c r="AB3230" s="1" t="s">
        <v>74</v>
      </c>
      <c r="AC3230" s="1" t="s">
        <v>51300</v>
      </c>
      <c r="AD3230" s="1" t="s">
        <v>51301</v>
      </c>
      <c r="AE3230" s="1" t="s">
        <v>51302</v>
      </c>
      <c r="AF3230" s="1" t="s">
        <v>74</v>
      </c>
      <c r="AG3230" s="1">
        <v>56</v>
      </c>
      <c r="AH3230" s="1">
        <v>2</v>
      </c>
      <c r="AI3230" s="1">
        <v>2</v>
      </c>
      <c r="AJ3230" s="1">
        <v>17</v>
      </c>
      <c r="AK3230" s="1">
        <v>85</v>
      </c>
      <c r="AL3230" s="1" t="s">
        <v>19345</v>
      </c>
      <c r="AM3230" s="1" t="s">
        <v>1351</v>
      </c>
      <c r="AN3230" s="1" t="s">
        <v>19346</v>
      </c>
      <c r="AO3230" s="1" t="s">
        <v>19347</v>
      </c>
      <c r="AP3230" s="1" t="s">
        <v>19348</v>
      </c>
      <c r="AQ3230" s="1" t="s">
        <v>74</v>
      </c>
      <c r="AR3230" s="1" t="s">
        <v>19349</v>
      </c>
      <c r="AS3230" s="1" t="s">
        <v>19350</v>
      </c>
      <c r="AT3230" s="1" t="s">
        <v>7041</v>
      </c>
      <c r="AU3230" s="1">
        <v>2023</v>
      </c>
      <c r="AV3230" s="1">
        <v>454</v>
      </c>
      <c r="AW3230" s="1" t="s">
        <v>74</v>
      </c>
      <c r="AX3230" s="1">
        <v>2</v>
      </c>
      <c r="AY3230" s="1" t="s">
        <v>74</v>
      </c>
      <c r="AZ3230" s="1" t="s">
        <v>74</v>
      </c>
      <c r="BA3230" s="1" t="s">
        <v>74</v>
      </c>
      <c r="BB3230" s="1" t="s">
        <v>74</v>
      </c>
      <c r="BC3230" s="1" t="s">
        <v>74</v>
      </c>
      <c r="BD3230" s="1">
        <v>140026</v>
      </c>
      <c r="BE3230" s="1" t="s">
        <v>51303</v>
      </c>
      <c r="BF3230" s="1" t="str">
        <f>HYPERLINK("http://dx.doi.org/10.1016/j.cej.2022.140026","http://dx.doi.org/10.1016/j.cej.2022.140026")</f>
        <v>http://dx.doi.org/10.1016/j.cej.2022.140026</v>
      </c>
      <c r="BG3230" s="1" t="s">
        <v>74</v>
      </c>
      <c r="BH3230" s="1" t="s">
        <v>699</v>
      </c>
      <c r="BI3230" s="1">
        <v>10</v>
      </c>
      <c r="BJ3230" s="1" t="s">
        <v>3991</v>
      </c>
      <c r="BK3230" s="1" t="s">
        <v>96</v>
      </c>
      <c r="BL3230" s="1" t="s">
        <v>3992</v>
      </c>
      <c r="BM3230" s="1" t="s">
        <v>51304</v>
      </c>
      <c r="BN3230" s="1" t="s">
        <v>74</v>
      </c>
      <c r="BO3230" s="1" t="s">
        <v>74</v>
      </c>
      <c r="BP3230" s="1" t="s">
        <v>74</v>
      </c>
      <c r="BQ3230" s="1" t="s">
        <v>74</v>
      </c>
      <c r="BR3230" s="1" t="s">
        <v>98</v>
      </c>
      <c r="BS3230" s="1" t="s">
        <v>51305</v>
      </c>
      <c r="BT3230" s="1" t="str">
        <f>HYPERLINK("https%3A%2F%2Fwww.webofscience.com%2Fwos%2Fwoscc%2Ffull-record%2FWOS:000897138500001","View Full Record in Web of Science")</f>
        <v>View Full Record in Web of Science</v>
      </c>
      <c r="BU3230" s="1"/>
      <c r="BV3230" s="1"/>
    </row>
    <row r="3231" spans="1:74">
      <c r="A3231" s="1" t="s">
        <v>72</v>
      </c>
      <c r="B3231" s="1" t="s">
        <v>51306</v>
      </c>
      <c r="C3231" s="1" t="s">
        <v>74</v>
      </c>
      <c r="D3231" s="1" t="s">
        <v>74</v>
      </c>
      <c r="E3231" s="1" t="s">
        <v>74</v>
      </c>
      <c r="F3231" s="1" t="s">
        <v>51307</v>
      </c>
      <c r="G3231" s="1" t="s">
        <v>74</v>
      </c>
      <c r="H3231" s="1" t="s">
        <v>74</v>
      </c>
      <c r="I3231" s="1" t="s">
        <v>51308</v>
      </c>
      <c r="J3231" s="1" t="s">
        <v>421</v>
      </c>
      <c r="K3231" s="1" t="s">
        <v>74</v>
      </c>
      <c r="L3231" s="1" t="s">
        <v>74</v>
      </c>
      <c r="M3231" s="1" t="s">
        <v>78</v>
      </c>
      <c r="N3231" s="1" t="s">
        <v>79</v>
      </c>
      <c r="O3231" s="1" t="s">
        <v>74</v>
      </c>
      <c r="P3231" s="1" t="s">
        <v>74</v>
      </c>
      <c r="Q3231" s="1" t="s">
        <v>74</v>
      </c>
      <c r="R3231" s="1" t="s">
        <v>74</v>
      </c>
      <c r="S3231" s="1" t="s">
        <v>74</v>
      </c>
      <c r="T3231" s="1" t="s">
        <v>51309</v>
      </c>
      <c r="U3231" s="1" t="s">
        <v>51310</v>
      </c>
      <c r="V3231" s="1" t="s">
        <v>51311</v>
      </c>
      <c r="W3231" s="1" t="s">
        <v>51312</v>
      </c>
      <c r="X3231" s="1" t="s">
        <v>14642</v>
      </c>
      <c r="Y3231" s="1" t="s">
        <v>51313</v>
      </c>
      <c r="Z3231" s="1" t="s">
        <v>51314</v>
      </c>
      <c r="AA3231" s="1" t="s">
        <v>51315</v>
      </c>
      <c r="AB3231" s="1" t="s">
        <v>51316</v>
      </c>
      <c r="AC3231" s="1" t="s">
        <v>74</v>
      </c>
      <c r="AD3231" s="1" t="s">
        <v>74</v>
      </c>
      <c r="AE3231" s="1" t="s">
        <v>74</v>
      </c>
      <c r="AF3231" s="1" t="s">
        <v>74</v>
      </c>
      <c r="AG3231" s="1">
        <v>27</v>
      </c>
      <c r="AH3231" s="1">
        <v>77</v>
      </c>
      <c r="AI3231" s="1">
        <v>90</v>
      </c>
      <c r="AJ3231" s="1">
        <v>0</v>
      </c>
      <c r="AK3231" s="1">
        <v>19</v>
      </c>
      <c r="AL3231" s="1" t="s">
        <v>430</v>
      </c>
      <c r="AM3231" s="1" t="s">
        <v>137</v>
      </c>
      <c r="AN3231" s="1" t="s">
        <v>431</v>
      </c>
      <c r="AO3231" s="1" t="s">
        <v>432</v>
      </c>
      <c r="AP3231" s="1" t="s">
        <v>1394</v>
      </c>
      <c r="AQ3231" s="1" t="s">
        <v>74</v>
      </c>
      <c r="AR3231" s="1" t="s">
        <v>433</v>
      </c>
      <c r="AS3231" s="1" t="s">
        <v>434</v>
      </c>
      <c r="AT3231" s="1" t="s">
        <v>224</v>
      </c>
      <c r="AU3231" s="1">
        <v>2008</v>
      </c>
      <c r="AV3231" s="1">
        <v>151</v>
      </c>
      <c r="AW3231" s="1">
        <v>3</v>
      </c>
      <c r="AX3231" s="1" t="s">
        <v>74</v>
      </c>
      <c r="AY3231" s="1" t="s">
        <v>74</v>
      </c>
      <c r="AZ3231" s="1" t="s">
        <v>74</v>
      </c>
      <c r="BA3231" s="1" t="s">
        <v>74</v>
      </c>
      <c r="BB3231" s="1">
        <v>631</v>
      </c>
      <c r="BC3231" s="1">
        <v>640</v>
      </c>
      <c r="BD3231" s="1" t="s">
        <v>74</v>
      </c>
      <c r="BE3231" s="1" t="s">
        <v>51317</v>
      </c>
      <c r="BF3231" s="1" t="str">
        <f>HYPERLINK("http://dx.doi.org/10.1016/j.envpol.2007.03.019","http://dx.doi.org/10.1016/j.envpol.2007.03.019")</f>
        <v>http://dx.doi.org/10.1016/j.envpol.2007.03.019</v>
      </c>
      <c r="BG3231" s="1" t="s">
        <v>74</v>
      </c>
      <c r="BH3231" s="1" t="s">
        <v>74</v>
      </c>
      <c r="BI3231" s="1">
        <v>10</v>
      </c>
      <c r="BJ3231" s="1" t="s">
        <v>144</v>
      </c>
      <c r="BK3231" s="1" t="s">
        <v>96</v>
      </c>
      <c r="BL3231" s="1" t="s">
        <v>145</v>
      </c>
      <c r="BM3231" s="1" t="s">
        <v>51318</v>
      </c>
      <c r="BN3231" s="1">
        <v>17582664</v>
      </c>
      <c r="BO3231" s="1" t="s">
        <v>74</v>
      </c>
      <c r="BP3231" s="1" t="s">
        <v>74</v>
      </c>
      <c r="BQ3231" s="1" t="s">
        <v>74</v>
      </c>
      <c r="BR3231" s="1" t="s">
        <v>98</v>
      </c>
      <c r="BS3231" s="1" t="s">
        <v>51319</v>
      </c>
      <c r="BT3231" s="1" t="str">
        <f>HYPERLINK("https%3A%2F%2Fwww.webofscience.com%2Fwos%2Fwoscc%2Ffull-record%2FWOS:000254144200024","View Full Record in Web of Science")</f>
        <v>View Full Record in Web of Science</v>
      </c>
      <c r="BU3231" s="1"/>
      <c r="BV3231" s="1"/>
    </row>
    <row r="3232" spans="1:74">
      <c r="A3232" s="1" t="s">
        <v>72</v>
      </c>
      <c r="B3232" s="1" t="s">
        <v>51320</v>
      </c>
      <c r="C3232" s="1" t="s">
        <v>74</v>
      </c>
      <c r="D3232" s="1" t="s">
        <v>74</v>
      </c>
      <c r="E3232" s="1" t="s">
        <v>74</v>
      </c>
      <c r="F3232" s="1" t="s">
        <v>51321</v>
      </c>
      <c r="G3232" s="1" t="s">
        <v>74</v>
      </c>
      <c r="H3232" s="1" t="s">
        <v>74</v>
      </c>
      <c r="I3232" s="1" t="s">
        <v>51322</v>
      </c>
      <c r="J3232" s="1" t="s">
        <v>51323</v>
      </c>
      <c r="K3232" s="1" t="s">
        <v>74</v>
      </c>
      <c r="L3232" s="1" t="s">
        <v>74</v>
      </c>
      <c r="M3232" s="1" t="s">
        <v>78</v>
      </c>
      <c r="N3232" s="1" t="s">
        <v>79</v>
      </c>
      <c r="O3232" s="1" t="s">
        <v>74</v>
      </c>
      <c r="P3232" s="1" t="s">
        <v>74</v>
      </c>
      <c r="Q3232" s="1" t="s">
        <v>74</v>
      </c>
      <c r="R3232" s="1" t="s">
        <v>74</v>
      </c>
      <c r="S3232" s="1" t="s">
        <v>74</v>
      </c>
      <c r="T3232" s="1" t="s">
        <v>74</v>
      </c>
      <c r="U3232" s="1" t="s">
        <v>51324</v>
      </c>
      <c r="V3232" s="1" t="s">
        <v>51325</v>
      </c>
      <c r="W3232" s="1" t="s">
        <v>51326</v>
      </c>
      <c r="X3232" s="1" t="s">
        <v>51327</v>
      </c>
      <c r="Y3232" s="1" t="s">
        <v>51328</v>
      </c>
      <c r="Z3232" s="1" t="s">
        <v>51329</v>
      </c>
      <c r="AA3232" s="1" t="s">
        <v>51330</v>
      </c>
      <c r="AB3232" s="1" t="s">
        <v>74</v>
      </c>
      <c r="AC3232" s="1" t="s">
        <v>51331</v>
      </c>
      <c r="AD3232" s="1" t="s">
        <v>51332</v>
      </c>
      <c r="AE3232" s="1" t="s">
        <v>51333</v>
      </c>
      <c r="AF3232" s="1" t="s">
        <v>74</v>
      </c>
      <c r="AG3232" s="1">
        <v>27</v>
      </c>
      <c r="AH3232" s="1">
        <v>17</v>
      </c>
      <c r="AI3232" s="1">
        <v>17</v>
      </c>
      <c r="AJ3232" s="1">
        <v>2</v>
      </c>
      <c r="AK3232" s="1">
        <v>27</v>
      </c>
      <c r="AL3232" s="1" t="s">
        <v>51334</v>
      </c>
      <c r="AM3232" s="1" t="s">
        <v>51335</v>
      </c>
      <c r="AN3232" s="1" t="s">
        <v>51336</v>
      </c>
      <c r="AO3232" s="1" t="s">
        <v>51337</v>
      </c>
      <c r="AP3232" s="1" t="s">
        <v>51338</v>
      </c>
      <c r="AQ3232" s="1" t="s">
        <v>74</v>
      </c>
      <c r="AR3232" s="1" t="s">
        <v>51339</v>
      </c>
      <c r="AS3232" s="1" t="s">
        <v>51340</v>
      </c>
      <c r="AT3232" s="1" t="s">
        <v>765</v>
      </c>
      <c r="AU3232" s="1">
        <v>2013</v>
      </c>
      <c r="AV3232" s="1">
        <v>67</v>
      </c>
      <c r="AW3232" s="1">
        <v>3</v>
      </c>
      <c r="AX3232" s="1" t="s">
        <v>74</v>
      </c>
      <c r="AY3232" s="1" t="s">
        <v>74</v>
      </c>
      <c r="AZ3232" s="1" t="s">
        <v>225</v>
      </c>
      <c r="BA3232" s="1" t="s">
        <v>74</v>
      </c>
      <c r="BB3232" s="1">
        <v>395</v>
      </c>
      <c r="BC3232" s="1">
        <v>407</v>
      </c>
      <c r="BD3232" s="1" t="s">
        <v>74</v>
      </c>
      <c r="BE3232" s="1" t="s">
        <v>51341</v>
      </c>
      <c r="BF3232" s="1" t="str">
        <f>HYPERLINK("http://dx.doi.org/10.2984/67.3.7","http://dx.doi.org/10.2984/67.3.7")</f>
        <v>http://dx.doi.org/10.2984/67.3.7</v>
      </c>
      <c r="BG3232" s="1" t="s">
        <v>74</v>
      </c>
      <c r="BH3232" s="1" t="s">
        <v>74</v>
      </c>
      <c r="BI3232" s="1">
        <v>13</v>
      </c>
      <c r="BJ3232" s="1" t="s">
        <v>7993</v>
      </c>
      <c r="BK3232" s="1" t="s">
        <v>96</v>
      </c>
      <c r="BL3232" s="1" t="s">
        <v>7993</v>
      </c>
      <c r="BM3232" s="1" t="s">
        <v>51342</v>
      </c>
      <c r="BN3232" s="1" t="s">
        <v>74</v>
      </c>
      <c r="BO3232" s="1" t="s">
        <v>74</v>
      </c>
      <c r="BP3232" s="1" t="s">
        <v>74</v>
      </c>
      <c r="BQ3232" s="1" t="s">
        <v>74</v>
      </c>
      <c r="BR3232" s="1" t="s">
        <v>98</v>
      </c>
      <c r="BS3232" s="1" t="s">
        <v>51343</v>
      </c>
      <c r="BT3232" s="1" t="str">
        <f>HYPERLINK("https%3A%2F%2Fwww.webofscience.com%2Fwos%2Fwoscc%2Ffull-record%2FWOS:000329260100007","View Full Record in Web of Science")</f>
        <v>View Full Record in Web of Science</v>
      </c>
      <c r="BU3232" s="1"/>
      <c r="BV3232" s="1"/>
    </row>
    <row r="3233" spans="1:74">
      <c r="A3233" s="1" t="s">
        <v>72</v>
      </c>
      <c r="B3233" s="1" t="s">
        <v>51344</v>
      </c>
      <c r="C3233" s="1" t="s">
        <v>74</v>
      </c>
      <c r="D3233" s="1" t="s">
        <v>74</v>
      </c>
      <c r="E3233" s="1" t="s">
        <v>74</v>
      </c>
      <c r="F3233" s="1" t="s">
        <v>51345</v>
      </c>
      <c r="G3233" s="1" t="s">
        <v>74</v>
      </c>
      <c r="H3233" s="1" t="s">
        <v>74</v>
      </c>
      <c r="I3233" s="1" t="s">
        <v>51346</v>
      </c>
      <c r="J3233" s="1" t="s">
        <v>909</v>
      </c>
      <c r="K3233" s="1" t="s">
        <v>74</v>
      </c>
      <c r="L3233" s="1" t="s">
        <v>74</v>
      </c>
      <c r="M3233" s="1" t="s">
        <v>78</v>
      </c>
      <c r="N3233" s="1" t="s">
        <v>79</v>
      </c>
      <c r="O3233" s="1" t="s">
        <v>74</v>
      </c>
      <c r="P3233" s="1" t="s">
        <v>74</v>
      </c>
      <c r="Q3233" s="1" t="s">
        <v>74</v>
      </c>
      <c r="R3233" s="1" t="s">
        <v>74</v>
      </c>
      <c r="S3233" s="1" t="s">
        <v>74</v>
      </c>
      <c r="T3233" s="1" t="s">
        <v>51347</v>
      </c>
      <c r="U3233" s="1" t="s">
        <v>51348</v>
      </c>
      <c r="V3233" s="1" t="s">
        <v>51349</v>
      </c>
      <c r="W3233" s="1" t="s">
        <v>51350</v>
      </c>
      <c r="X3233" s="1" t="s">
        <v>51351</v>
      </c>
      <c r="Y3233" s="1" t="s">
        <v>51352</v>
      </c>
      <c r="Z3233" s="1" t="s">
        <v>51353</v>
      </c>
      <c r="AA3233" s="1" t="s">
        <v>51354</v>
      </c>
      <c r="AB3233" s="1" t="s">
        <v>51355</v>
      </c>
      <c r="AC3233" s="1" t="s">
        <v>51356</v>
      </c>
      <c r="AD3233" s="1" t="s">
        <v>51357</v>
      </c>
      <c r="AE3233" s="1" t="s">
        <v>51358</v>
      </c>
      <c r="AF3233" s="1" t="s">
        <v>74</v>
      </c>
      <c r="AG3233" s="1">
        <v>63</v>
      </c>
      <c r="AH3233" s="1">
        <v>18</v>
      </c>
      <c r="AI3233" s="1">
        <v>18</v>
      </c>
      <c r="AJ3233" s="1">
        <v>3</v>
      </c>
      <c r="AK3233" s="1">
        <v>61</v>
      </c>
      <c r="AL3233" s="1" t="s">
        <v>650</v>
      </c>
      <c r="AM3233" s="1" t="s">
        <v>651</v>
      </c>
      <c r="AN3233" s="1" t="s">
        <v>652</v>
      </c>
      <c r="AO3233" s="1" t="s">
        <v>921</v>
      </c>
      <c r="AP3233" s="1" t="s">
        <v>922</v>
      </c>
      <c r="AQ3233" s="1" t="s">
        <v>74</v>
      </c>
      <c r="AR3233" s="1" t="s">
        <v>923</v>
      </c>
      <c r="AS3233" s="1" t="s">
        <v>924</v>
      </c>
      <c r="AT3233" s="1" t="s">
        <v>13306</v>
      </c>
      <c r="AU3233" s="1">
        <v>2021</v>
      </c>
      <c r="AV3233" s="1">
        <v>779</v>
      </c>
      <c r="AW3233" s="1" t="s">
        <v>74</v>
      </c>
      <c r="AX3233" s="1" t="s">
        <v>74</v>
      </c>
      <c r="AY3233" s="1" t="s">
        <v>74</v>
      </c>
      <c r="AZ3233" s="1" t="s">
        <v>74</v>
      </c>
      <c r="BA3233" s="1" t="s">
        <v>74</v>
      </c>
      <c r="BB3233" s="1" t="s">
        <v>74</v>
      </c>
      <c r="BC3233" s="1" t="s">
        <v>74</v>
      </c>
      <c r="BD3233" s="1">
        <v>146487</v>
      </c>
      <c r="BE3233" s="1" t="s">
        <v>51359</v>
      </c>
      <c r="BF3233" s="1" t="str">
        <f>HYPERLINK("http://dx.doi.org/10.1016/j.scitotenv.2021.146487","http://dx.doi.org/10.1016/j.scitotenv.2021.146487")</f>
        <v>http://dx.doi.org/10.1016/j.scitotenv.2021.146487</v>
      </c>
      <c r="BG3233" s="1" t="s">
        <v>74</v>
      </c>
      <c r="BH3233" s="1" t="s">
        <v>992</v>
      </c>
      <c r="BI3233" s="1">
        <v>7</v>
      </c>
      <c r="BJ3233" s="1" t="s">
        <v>144</v>
      </c>
      <c r="BK3233" s="1" t="s">
        <v>96</v>
      </c>
      <c r="BL3233" s="1" t="s">
        <v>145</v>
      </c>
      <c r="BM3233" s="1" t="s">
        <v>51360</v>
      </c>
      <c r="BN3233" s="1">
        <v>34030230</v>
      </c>
      <c r="BO3233" s="1" t="s">
        <v>30545</v>
      </c>
      <c r="BP3233" s="1" t="s">
        <v>74</v>
      </c>
      <c r="BQ3233" s="1" t="s">
        <v>74</v>
      </c>
      <c r="BR3233" s="1" t="s">
        <v>98</v>
      </c>
      <c r="BS3233" s="1" t="s">
        <v>51361</v>
      </c>
      <c r="BT3233" s="1" t="str">
        <f>HYPERLINK("https%3A%2F%2Fwww.webofscience.com%2Fwos%2Fwoscc%2Ffull-record%2FWOS:000655679800010","View Full Record in Web of Science")</f>
        <v>View Full Record in Web of Science</v>
      </c>
      <c r="BU3233" s="1"/>
      <c r="BV3233" s="1"/>
    </row>
    <row r="3234" spans="1:74">
      <c r="A3234" s="1" t="s">
        <v>72</v>
      </c>
      <c r="B3234" s="1" t="s">
        <v>51362</v>
      </c>
      <c r="C3234" s="1" t="s">
        <v>74</v>
      </c>
      <c r="D3234" s="1" t="s">
        <v>74</v>
      </c>
      <c r="E3234" s="1" t="s">
        <v>74</v>
      </c>
      <c r="F3234" s="1" t="s">
        <v>51363</v>
      </c>
      <c r="G3234" s="1" t="s">
        <v>74</v>
      </c>
      <c r="H3234" s="1" t="s">
        <v>74</v>
      </c>
      <c r="I3234" s="1" t="s">
        <v>51364</v>
      </c>
      <c r="J3234" s="1" t="s">
        <v>204</v>
      </c>
      <c r="K3234" s="1" t="s">
        <v>74</v>
      </c>
      <c r="L3234" s="1" t="s">
        <v>74</v>
      </c>
      <c r="M3234" s="1" t="s">
        <v>78</v>
      </c>
      <c r="N3234" s="1" t="s">
        <v>79</v>
      </c>
      <c r="O3234" s="1" t="s">
        <v>74</v>
      </c>
      <c r="P3234" s="1" t="s">
        <v>74</v>
      </c>
      <c r="Q3234" s="1" t="s">
        <v>74</v>
      </c>
      <c r="R3234" s="1" t="s">
        <v>74</v>
      </c>
      <c r="S3234" s="1" t="s">
        <v>74</v>
      </c>
      <c r="T3234" s="1" t="s">
        <v>51365</v>
      </c>
      <c r="U3234" s="1" t="s">
        <v>51366</v>
      </c>
      <c r="V3234" s="1" t="s">
        <v>51367</v>
      </c>
      <c r="W3234" s="1" t="s">
        <v>51368</v>
      </c>
      <c r="X3234" s="1" t="s">
        <v>51369</v>
      </c>
      <c r="Y3234" s="1" t="s">
        <v>51370</v>
      </c>
      <c r="Z3234" s="1" t="s">
        <v>51371</v>
      </c>
      <c r="AA3234" s="1" t="s">
        <v>51372</v>
      </c>
      <c r="AB3234" s="1" t="s">
        <v>51373</v>
      </c>
      <c r="AC3234" s="1" t="s">
        <v>51374</v>
      </c>
      <c r="AD3234" s="1" t="s">
        <v>51375</v>
      </c>
      <c r="AE3234" s="1" t="s">
        <v>51376</v>
      </c>
      <c r="AF3234" s="1" t="s">
        <v>74</v>
      </c>
      <c r="AG3234" s="1">
        <v>52</v>
      </c>
      <c r="AH3234" s="1">
        <v>12</v>
      </c>
      <c r="AI3234" s="1">
        <v>12</v>
      </c>
      <c r="AJ3234" s="1">
        <v>5</v>
      </c>
      <c r="AK3234" s="1">
        <v>101</v>
      </c>
      <c r="AL3234" s="1" t="s">
        <v>217</v>
      </c>
      <c r="AM3234" s="1" t="s">
        <v>218</v>
      </c>
      <c r="AN3234" s="1" t="s">
        <v>219</v>
      </c>
      <c r="AO3234" s="1" t="s">
        <v>220</v>
      </c>
      <c r="AP3234" s="1" t="s">
        <v>221</v>
      </c>
      <c r="AQ3234" s="1" t="s">
        <v>74</v>
      </c>
      <c r="AR3234" s="1" t="s">
        <v>222</v>
      </c>
      <c r="AS3234" s="1" t="s">
        <v>223</v>
      </c>
      <c r="AT3234" s="1" t="s">
        <v>305</v>
      </c>
      <c r="AU3234" s="1">
        <v>2020</v>
      </c>
      <c r="AV3234" s="1">
        <v>27</v>
      </c>
      <c r="AW3234" s="1">
        <v>27</v>
      </c>
      <c r="AX3234" s="1" t="s">
        <v>74</v>
      </c>
      <c r="AY3234" s="1" t="s">
        <v>74</v>
      </c>
      <c r="AZ3234" s="1" t="s">
        <v>74</v>
      </c>
      <c r="BA3234" s="1" t="s">
        <v>74</v>
      </c>
      <c r="BB3234" s="1">
        <v>33732</v>
      </c>
      <c r="BC3234" s="1">
        <v>33742</v>
      </c>
      <c r="BD3234" s="1" t="s">
        <v>74</v>
      </c>
      <c r="BE3234" s="1" t="s">
        <v>51377</v>
      </c>
      <c r="BF3234" s="1" t="str">
        <f>HYPERLINK("http://dx.doi.org/10.1007/s11356-020-09460-2","http://dx.doi.org/10.1007/s11356-020-09460-2")</f>
        <v>http://dx.doi.org/10.1007/s11356-020-09460-2</v>
      </c>
      <c r="BG3234" s="1" t="s">
        <v>74</v>
      </c>
      <c r="BH3234" s="1" t="s">
        <v>10954</v>
      </c>
      <c r="BI3234" s="1">
        <v>11</v>
      </c>
      <c r="BJ3234" s="1" t="s">
        <v>144</v>
      </c>
      <c r="BK3234" s="1" t="s">
        <v>96</v>
      </c>
      <c r="BL3234" s="1" t="s">
        <v>145</v>
      </c>
      <c r="BM3234" s="1" t="s">
        <v>51378</v>
      </c>
      <c r="BN3234" s="1">
        <v>32535820</v>
      </c>
      <c r="BO3234" s="1" t="s">
        <v>74</v>
      </c>
      <c r="BP3234" s="1" t="s">
        <v>74</v>
      </c>
      <c r="BQ3234" s="1" t="s">
        <v>74</v>
      </c>
      <c r="BR3234" s="1" t="s">
        <v>98</v>
      </c>
      <c r="BS3234" s="1" t="s">
        <v>51379</v>
      </c>
      <c r="BT3234" s="1" t="str">
        <f>HYPERLINK("https%3A%2F%2Fwww.webofscience.com%2Fwos%2Fwoscc%2Ffull-record%2FWOS:000539968900002","View Full Record in Web of Science")</f>
        <v>View Full Record in Web of Science</v>
      </c>
      <c r="BU3234" s="1"/>
      <c r="BV3234" s="1"/>
    </row>
    <row r="3235" spans="1:74">
      <c r="A3235" s="1" t="s">
        <v>72</v>
      </c>
      <c r="B3235" s="1" t="s">
        <v>29111</v>
      </c>
      <c r="C3235" s="1" t="s">
        <v>74</v>
      </c>
      <c r="D3235" s="1" t="s">
        <v>74</v>
      </c>
      <c r="E3235" s="1" t="s">
        <v>74</v>
      </c>
      <c r="F3235" s="1" t="s">
        <v>29111</v>
      </c>
      <c r="G3235" s="1" t="s">
        <v>74</v>
      </c>
      <c r="H3235" s="1" t="s">
        <v>74</v>
      </c>
      <c r="I3235" s="1" t="s">
        <v>51380</v>
      </c>
      <c r="J3235" s="1" t="s">
        <v>11293</v>
      </c>
      <c r="K3235" s="1" t="s">
        <v>74</v>
      </c>
      <c r="L3235" s="1" t="s">
        <v>74</v>
      </c>
      <c r="M3235" s="1" t="s">
        <v>78</v>
      </c>
      <c r="N3235" s="1" t="s">
        <v>151</v>
      </c>
      <c r="O3235" s="1" t="s">
        <v>51381</v>
      </c>
      <c r="P3235" s="1" t="s">
        <v>51382</v>
      </c>
      <c r="Q3235" s="1" t="s">
        <v>51383</v>
      </c>
      <c r="R3235" s="1" t="s">
        <v>74</v>
      </c>
      <c r="S3235" s="1" t="s">
        <v>51384</v>
      </c>
      <c r="T3235" s="1" t="s">
        <v>51385</v>
      </c>
      <c r="U3235" s="1" t="s">
        <v>51386</v>
      </c>
      <c r="V3235" s="1" t="s">
        <v>51387</v>
      </c>
      <c r="W3235" s="1" t="s">
        <v>51388</v>
      </c>
      <c r="X3235" s="1" t="s">
        <v>29120</v>
      </c>
      <c r="Y3235" s="1" t="s">
        <v>51389</v>
      </c>
      <c r="Z3235" s="1" t="s">
        <v>29122</v>
      </c>
      <c r="AA3235" s="1" t="s">
        <v>29123</v>
      </c>
      <c r="AB3235" s="1" t="s">
        <v>29124</v>
      </c>
      <c r="AC3235" s="1" t="s">
        <v>74</v>
      </c>
      <c r="AD3235" s="1" t="s">
        <v>74</v>
      </c>
      <c r="AE3235" s="1" t="s">
        <v>74</v>
      </c>
      <c r="AF3235" s="1" t="s">
        <v>74</v>
      </c>
      <c r="AG3235" s="1">
        <v>45</v>
      </c>
      <c r="AH3235" s="1">
        <v>128</v>
      </c>
      <c r="AI3235" s="1">
        <v>141</v>
      </c>
      <c r="AJ3235" s="1">
        <v>0</v>
      </c>
      <c r="AK3235" s="1">
        <v>23</v>
      </c>
      <c r="AL3235" s="1" t="s">
        <v>136</v>
      </c>
      <c r="AM3235" s="1" t="s">
        <v>137</v>
      </c>
      <c r="AN3235" s="1" t="s">
        <v>138</v>
      </c>
      <c r="AO3235" s="1" t="s">
        <v>11305</v>
      </c>
      <c r="AP3235" s="1" t="s">
        <v>74</v>
      </c>
      <c r="AQ3235" s="1" t="s">
        <v>74</v>
      </c>
      <c r="AR3235" s="1" t="s">
        <v>11307</v>
      </c>
      <c r="AS3235" s="1" t="s">
        <v>11308</v>
      </c>
      <c r="AT3235" s="1" t="s">
        <v>1965</v>
      </c>
      <c r="AU3235" s="1">
        <v>2003</v>
      </c>
      <c r="AV3235" s="1">
        <v>58</v>
      </c>
      <c r="AW3235" s="1">
        <v>12</v>
      </c>
      <c r="AX3235" s="1" t="s">
        <v>74</v>
      </c>
      <c r="AY3235" s="1" t="s">
        <v>74</v>
      </c>
      <c r="AZ3235" s="1" t="s">
        <v>74</v>
      </c>
      <c r="BA3235" s="1" t="s">
        <v>74</v>
      </c>
      <c r="BB3235" s="1">
        <v>2215</v>
      </c>
      <c r="BC3235" s="1">
        <v>2226</v>
      </c>
      <c r="BD3235" s="1" t="s">
        <v>74</v>
      </c>
      <c r="BE3235" s="1" t="s">
        <v>51390</v>
      </c>
      <c r="BF3235" s="1" t="str">
        <f>HYPERLINK("http://dx.doi.org/10.1016/j.sab.2003.05.003","http://dx.doi.org/10.1016/j.sab.2003.05.003")</f>
        <v>http://dx.doi.org/10.1016/j.sab.2003.05.003</v>
      </c>
      <c r="BG3235" s="1" t="s">
        <v>74</v>
      </c>
      <c r="BH3235" s="1" t="s">
        <v>74</v>
      </c>
      <c r="BI3235" s="1">
        <v>12</v>
      </c>
      <c r="BJ3235" s="1" t="s">
        <v>11310</v>
      </c>
      <c r="BK3235" s="1" t="s">
        <v>172</v>
      </c>
      <c r="BL3235" s="1" t="s">
        <v>11310</v>
      </c>
      <c r="BM3235" s="1" t="s">
        <v>51391</v>
      </c>
      <c r="BN3235" s="1" t="s">
        <v>74</v>
      </c>
      <c r="BO3235" s="1" t="s">
        <v>74</v>
      </c>
      <c r="BP3235" s="1" t="s">
        <v>74</v>
      </c>
      <c r="BQ3235" s="1" t="s">
        <v>74</v>
      </c>
      <c r="BR3235" s="1" t="s">
        <v>98</v>
      </c>
      <c r="BS3235" s="1" t="s">
        <v>51392</v>
      </c>
      <c r="BT3235" s="1" t="str">
        <f>HYPERLINK("https%3A%2F%2Fwww.webofscience.com%2Fwos%2Fwoscc%2Ffull-record%2FWOS:000187360200023","View Full Record in Web of Science")</f>
        <v>View Full Record in Web of Science</v>
      </c>
      <c r="BU3235" s="1"/>
      <c r="BV3235" s="1"/>
    </row>
    <row r="3236" spans="1:74">
      <c r="A3236" s="1" t="s">
        <v>72</v>
      </c>
      <c r="B3236" s="1" t="s">
        <v>51393</v>
      </c>
      <c r="C3236" s="1" t="s">
        <v>74</v>
      </c>
      <c r="D3236" s="1" t="s">
        <v>74</v>
      </c>
      <c r="E3236" s="1" t="s">
        <v>74</v>
      </c>
      <c r="F3236" s="1" t="s">
        <v>51394</v>
      </c>
      <c r="G3236" s="1" t="s">
        <v>74</v>
      </c>
      <c r="H3236" s="1" t="s">
        <v>74</v>
      </c>
      <c r="I3236" s="1" t="s">
        <v>51395</v>
      </c>
      <c r="J3236" s="1" t="s">
        <v>204</v>
      </c>
      <c r="K3236" s="1" t="s">
        <v>74</v>
      </c>
      <c r="L3236" s="1" t="s">
        <v>74</v>
      </c>
      <c r="M3236" s="1" t="s">
        <v>78</v>
      </c>
      <c r="N3236" s="1" t="s">
        <v>79</v>
      </c>
      <c r="O3236" s="1" t="s">
        <v>74</v>
      </c>
      <c r="P3236" s="1" t="s">
        <v>74</v>
      </c>
      <c r="Q3236" s="1" t="s">
        <v>74</v>
      </c>
      <c r="R3236" s="1" t="s">
        <v>74</v>
      </c>
      <c r="S3236" s="1" t="s">
        <v>74</v>
      </c>
      <c r="T3236" s="1" t="s">
        <v>51396</v>
      </c>
      <c r="U3236" s="1" t="s">
        <v>51397</v>
      </c>
      <c r="V3236" s="1" t="s">
        <v>51398</v>
      </c>
      <c r="W3236" s="1" t="s">
        <v>51399</v>
      </c>
      <c r="X3236" s="1" t="s">
        <v>51400</v>
      </c>
      <c r="Y3236" s="1" t="s">
        <v>51401</v>
      </c>
      <c r="Z3236" s="1" t="s">
        <v>51402</v>
      </c>
      <c r="AA3236" s="1" t="s">
        <v>51403</v>
      </c>
      <c r="AB3236" s="1" t="s">
        <v>51404</v>
      </c>
      <c r="AC3236" s="1" t="s">
        <v>51405</v>
      </c>
      <c r="AD3236" s="1" t="s">
        <v>51406</v>
      </c>
      <c r="AE3236" s="1" t="s">
        <v>51407</v>
      </c>
      <c r="AF3236" s="1" t="s">
        <v>74</v>
      </c>
      <c r="AG3236" s="1">
        <v>40</v>
      </c>
      <c r="AH3236" s="1">
        <v>49</v>
      </c>
      <c r="AI3236" s="1">
        <v>51</v>
      </c>
      <c r="AJ3236" s="1">
        <v>5</v>
      </c>
      <c r="AK3236" s="1">
        <v>88</v>
      </c>
      <c r="AL3236" s="1" t="s">
        <v>217</v>
      </c>
      <c r="AM3236" s="1" t="s">
        <v>218</v>
      </c>
      <c r="AN3236" s="1" t="s">
        <v>219</v>
      </c>
      <c r="AO3236" s="1" t="s">
        <v>220</v>
      </c>
      <c r="AP3236" s="1" t="s">
        <v>221</v>
      </c>
      <c r="AQ3236" s="1" t="s">
        <v>74</v>
      </c>
      <c r="AR3236" s="1" t="s">
        <v>222</v>
      </c>
      <c r="AS3236" s="1" t="s">
        <v>223</v>
      </c>
      <c r="AT3236" s="1" t="s">
        <v>1223</v>
      </c>
      <c r="AU3236" s="1">
        <v>2021</v>
      </c>
      <c r="AV3236" s="1">
        <v>28</v>
      </c>
      <c r="AW3236" s="1">
        <v>12</v>
      </c>
      <c r="AX3236" s="1" t="s">
        <v>74</v>
      </c>
      <c r="AY3236" s="1" t="s">
        <v>74</v>
      </c>
      <c r="AZ3236" s="1" t="s">
        <v>74</v>
      </c>
      <c r="BA3236" s="1" t="s">
        <v>74</v>
      </c>
      <c r="BB3236" s="1">
        <v>14488</v>
      </c>
      <c r="BC3236" s="1">
        <v>14497</v>
      </c>
      <c r="BD3236" s="1" t="s">
        <v>74</v>
      </c>
      <c r="BE3236" s="1" t="s">
        <v>51408</v>
      </c>
      <c r="BF3236" s="1" t="str">
        <f>HYPERLINK("http://dx.doi.org/10.1007/s11356-020-11605-2","http://dx.doi.org/10.1007/s11356-020-11605-2")</f>
        <v>http://dx.doi.org/10.1007/s11356-020-11605-2</v>
      </c>
      <c r="BG3236" s="1" t="s">
        <v>74</v>
      </c>
      <c r="BH3236" s="1" t="s">
        <v>17167</v>
      </c>
      <c r="BI3236" s="1">
        <v>10</v>
      </c>
      <c r="BJ3236" s="1" t="s">
        <v>144</v>
      </c>
      <c r="BK3236" s="1" t="s">
        <v>96</v>
      </c>
      <c r="BL3236" s="1" t="s">
        <v>145</v>
      </c>
      <c r="BM3236" s="1" t="s">
        <v>51409</v>
      </c>
      <c r="BN3236" s="1">
        <v>33211292</v>
      </c>
      <c r="BO3236" s="1" t="s">
        <v>74</v>
      </c>
      <c r="BP3236" s="1" t="s">
        <v>74</v>
      </c>
      <c r="BQ3236" s="1" t="s">
        <v>74</v>
      </c>
      <c r="BR3236" s="1" t="s">
        <v>98</v>
      </c>
      <c r="BS3236" s="1" t="s">
        <v>51410</v>
      </c>
      <c r="BT3236" s="1" t="str">
        <f>HYPERLINK("https%3A%2F%2Fwww.webofscience.com%2Fwos%2Fwoscc%2Ffull-record%2FWOS:000590962800003","View Full Record in Web of Science")</f>
        <v>View Full Record in Web of Science</v>
      </c>
      <c r="BU3236" s="1"/>
      <c r="BV3236" s="1"/>
    </row>
    <row r="3237" spans="1:74">
      <c r="A3237" s="1" t="s">
        <v>72</v>
      </c>
      <c r="B3237" s="1" t="s">
        <v>51411</v>
      </c>
      <c r="C3237" s="1" t="s">
        <v>74</v>
      </c>
      <c r="D3237" s="1" t="s">
        <v>74</v>
      </c>
      <c r="E3237" s="1" t="s">
        <v>74</v>
      </c>
      <c r="F3237" s="1" t="s">
        <v>51412</v>
      </c>
      <c r="G3237" s="1" t="s">
        <v>74</v>
      </c>
      <c r="H3237" s="1" t="s">
        <v>74</v>
      </c>
      <c r="I3237" s="1" t="s">
        <v>51413</v>
      </c>
      <c r="J3237" s="1" t="s">
        <v>421</v>
      </c>
      <c r="K3237" s="1" t="s">
        <v>74</v>
      </c>
      <c r="L3237" s="1" t="s">
        <v>74</v>
      </c>
      <c r="M3237" s="1" t="s">
        <v>78</v>
      </c>
      <c r="N3237" s="1" t="s">
        <v>79</v>
      </c>
      <c r="O3237" s="1" t="s">
        <v>74</v>
      </c>
      <c r="P3237" s="1" t="s">
        <v>74</v>
      </c>
      <c r="Q3237" s="1" t="s">
        <v>74</v>
      </c>
      <c r="R3237" s="1" t="s">
        <v>74</v>
      </c>
      <c r="S3237" s="1" t="s">
        <v>74</v>
      </c>
      <c r="T3237" s="1" t="s">
        <v>51414</v>
      </c>
      <c r="U3237" s="1" t="s">
        <v>51415</v>
      </c>
      <c r="V3237" s="1" t="s">
        <v>51416</v>
      </c>
      <c r="W3237" s="1" t="s">
        <v>51417</v>
      </c>
      <c r="X3237" s="1" t="s">
        <v>51418</v>
      </c>
      <c r="Y3237" s="1" t="s">
        <v>51419</v>
      </c>
      <c r="Z3237" s="1" t="s">
        <v>51420</v>
      </c>
      <c r="AA3237" s="1" t="s">
        <v>74</v>
      </c>
      <c r="AB3237" s="1" t="s">
        <v>51421</v>
      </c>
      <c r="AC3237" s="1" t="s">
        <v>51422</v>
      </c>
      <c r="AD3237" s="1" t="s">
        <v>51423</v>
      </c>
      <c r="AE3237" s="1" t="s">
        <v>51424</v>
      </c>
      <c r="AF3237" s="1" t="s">
        <v>74</v>
      </c>
      <c r="AG3237" s="1">
        <v>98</v>
      </c>
      <c r="AH3237" s="1">
        <v>6</v>
      </c>
      <c r="AI3237" s="1">
        <v>7</v>
      </c>
      <c r="AJ3237" s="1">
        <v>2</v>
      </c>
      <c r="AK3237" s="1">
        <v>17</v>
      </c>
      <c r="AL3237" s="1" t="s">
        <v>430</v>
      </c>
      <c r="AM3237" s="1" t="s">
        <v>137</v>
      </c>
      <c r="AN3237" s="1" t="s">
        <v>431</v>
      </c>
      <c r="AO3237" s="1" t="s">
        <v>432</v>
      </c>
      <c r="AP3237" s="1" t="s">
        <v>1394</v>
      </c>
      <c r="AQ3237" s="1" t="s">
        <v>74</v>
      </c>
      <c r="AR3237" s="1" t="s">
        <v>433</v>
      </c>
      <c r="AS3237" s="1" t="s">
        <v>434</v>
      </c>
      <c r="AT3237" s="1" t="s">
        <v>170</v>
      </c>
      <c r="AU3237" s="1">
        <v>2020</v>
      </c>
      <c r="AV3237" s="1">
        <v>260</v>
      </c>
      <c r="AW3237" s="1" t="s">
        <v>74</v>
      </c>
      <c r="AX3237" s="1" t="s">
        <v>74</v>
      </c>
      <c r="AY3237" s="1" t="s">
        <v>74</v>
      </c>
      <c r="AZ3237" s="1" t="s">
        <v>74</v>
      </c>
      <c r="BA3237" s="1" t="s">
        <v>74</v>
      </c>
      <c r="BB3237" s="1" t="s">
        <v>74</v>
      </c>
      <c r="BC3237" s="1" t="s">
        <v>74</v>
      </c>
      <c r="BD3237" s="1">
        <v>114000</v>
      </c>
      <c r="BE3237" s="1" t="s">
        <v>51425</v>
      </c>
      <c r="BF3237" s="1" t="str">
        <f>HYPERLINK("http://dx.doi.org/10.1016/j.envpol.2020.114000","http://dx.doi.org/10.1016/j.envpol.2020.114000")</f>
        <v>http://dx.doi.org/10.1016/j.envpol.2020.114000</v>
      </c>
      <c r="BG3237" s="1" t="s">
        <v>74</v>
      </c>
      <c r="BH3237" s="1" t="s">
        <v>74</v>
      </c>
      <c r="BI3237" s="1">
        <v>10</v>
      </c>
      <c r="BJ3237" s="1" t="s">
        <v>144</v>
      </c>
      <c r="BK3237" s="1" t="s">
        <v>96</v>
      </c>
      <c r="BL3237" s="1" t="s">
        <v>145</v>
      </c>
      <c r="BM3237" s="1" t="s">
        <v>6068</v>
      </c>
      <c r="BN3237" s="1">
        <v>32000023</v>
      </c>
      <c r="BO3237" s="1" t="s">
        <v>74</v>
      </c>
      <c r="BP3237" s="1" t="s">
        <v>74</v>
      </c>
      <c r="BQ3237" s="1" t="s">
        <v>74</v>
      </c>
      <c r="BR3237" s="1" t="s">
        <v>98</v>
      </c>
      <c r="BS3237" s="1" t="s">
        <v>51426</v>
      </c>
      <c r="BT3237" s="1" t="str">
        <f>HYPERLINK("https%3A%2F%2Fwww.webofscience.com%2Fwos%2Fwoscc%2Ffull-record%2FWOS:000528537600074","View Full Record in Web of Science")</f>
        <v>View Full Record in Web of Science</v>
      </c>
      <c r="BU3237" s="1"/>
      <c r="BV3237" s="1"/>
    </row>
    <row r="3238" spans="1:74">
      <c r="A3238" s="1" t="s">
        <v>72</v>
      </c>
      <c r="B3238" s="1" t="s">
        <v>51427</v>
      </c>
      <c r="C3238" s="1" t="s">
        <v>74</v>
      </c>
      <c r="D3238" s="1" t="s">
        <v>74</v>
      </c>
      <c r="E3238" s="1" t="s">
        <v>74</v>
      </c>
      <c r="F3238" s="1" t="s">
        <v>51428</v>
      </c>
      <c r="G3238" s="1" t="s">
        <v>74</v>
      </c>
      <c r="H3238" s="1" t="s">
        <v>74</v>
      </c>
      <c r="I3238" s="1" t="s">
        <v>51429</v>
      </c>
      <c r="J3238" s="1" t="s">
        <v>1275</v>
      </c>
      <c r="K3238" s="1" t="s">
        <v>74</v>
      </c>
      <c r="L3238" s="1" t="s">
        <v>74</v>
      </c>
      <c r="M3238" s="1" t="s">
        <v>78</v>
      </c>
      <c r="N3238" s="1" t="s">
        <v>79</v>
      </c>
      <c r="O3238" s="1" t="s">
        <v>74</v>
      </c>
      <c r="P3238" s="1" t="s">
        <v>74</v>
      </c>
      <c r="Q3238" s="1" t="s">
        <v>74</v>
      </c>
      <c r="R3238" s="1" t="s">
        <v>74</v>
      </c>
      <c r="S3238" s="1" t="s">
        <v>74</v>
      </c>
      <c r="T3238" s="1" t="s">
        <v>51430</v>
      </c>
      <c r="U3238" s="1" t="s">
        <v>51431</v>
      </c>
      <c r="V3238" s="1" t="s">
        <v>51432</v>
      </c>
      <c r="W3238" s="1" t="s">
        <v>51433</v>
      </c>
      <c r="X3238" s="1" t="s">
        <v>51434</v>
      </c>
      <c r="Y3238" s="1" t="s">
        <v>51435</v>
      </c>
      <c r="Z3238" s="1" t="s">
        <v>51436</v>
      </c>
      <c r="AA3238" s="1" t="s">
        <v>51437</v>
      </c>
      <c r="AB3238" s="1" t="s">
        <v>51438</v>
      </c>
      <c r="AC3238" s="1" t="s">
        <v>74</v>
      </c>
      <c r="AD3238" s="1" t="s">
        <v>74</v>
      </c>
      <c r="AE3238" s="1" t="s">
        <v>74</v>
      </c>
      <c r="AF3238" s="1" t="s">
        <v>74</v>
      </c>
      <c r="AG3238" s="1">
        <v>67</v>
      </c>
      <c r="AH3238" s="1">
        <v>2</v>
      </c>
      <c r="AI3238" s="1">
        <v>2</v>
      </c>
      <c r="AJ3238" s="1">
        <v>1</v>
      </c>
      <c r="AK3238" s="1">
        <v>7</v>
      </c>
      <c r="AL3238" s="1" t="s">
        <v>650</v>
      </c>
      <c r="AM3238" s="1" t="s">
        <v>651</v>
      </c>
      <c r="AN3238" s="1" t="s">
        <v>652</v>
      </c>
      <c r="AO3238" s="1" t="s">
        <v>1287</v>
      </c>
      <c r="AP3238" s="1" t="s">
        <v>74</v>
      </c>
      <c r="AQ3238" s="1" t="s">
        <v>74</v>
      </c>
      <c r="AR3238" s="1" t="s">
        <v>1288</v>
      </c>
      <c r="AS3238" s="1" t="s">
        <v>1289</v>
      </c>
      <c r="AT3238" s="1" t="s">
        <v>1223</v>
      </c>
      <c r="AU3238" s="1">
        <v>2021</v>
      </c>
      <c r="AV3238" s="1">
        <v>43</v>
      </c>
      <c r="AW3238" s="1" t="s">
        <v>74</v>
      </c>
      <c r="AX3238" s="1" t="s">
        <v>74</v>
      </c>
      <c r="AY3238" s="1" t="s">
        <v>74</v>
      </c>
      <c r="AZ3238" s="1" t="s">
        <v>74</v>
      </c>
      <c r="BA3238" s="1" t="s">
        <v>74</v>
      </c>
      <c r="BB3238" s="1" t="s">
        <v>74</v>
      </c>
      <c r="BC3238" s="1" t="s">
        <v>74</v>
      </c>
      <c r="BD3238" s="1">
        <v>101676</v>
      </c>
      <c r="BE3238" s="1" t="s">
        <v>51439</v>
      </c>
      <c r="BF3238" s="1" t="str">
        <f>HYPERLINK("http://dx.doi.org/10.1016/j.rsma.2021.101676","http://dx.doi.org/10.1016/j.rsma.2021.101676")</f>
        <v>http://dx.doi.org/10.1016/j.rsma.2021.101676</v>
      </c>
      <c r="BG3238" s="1" t="s">
        <v>74</v>
      </c>
      <c r="BH3238" s="1" t="s">
        <v>4518</v>
      </c>
      <c r="BI3238" s="1">
        <v>10</v>
      </c>
      <c r="BJ3238" s="1" t="s">
        <v>1292</v>
      </c>
      <c r="BK3238" s="1" t="s">
        <v>96</v>
      </c>
      <c r="BL3238" s="1" t="s">
        <v>248</v>
      </c>
      <c r="BM3238" s="1" t="s">
        <v>51440</v>
      </c>
      <c r="BN3238" s="1" t="s">
        <v>74</v>
      </c>
      <c r="BO3238" s="1" t="s">
        <v>1752</v>
      </c>
      <c r="BP3238" s="1" t="s">
        <v>74</v>
      </c>
      <c r="BQ3238" s="1" t="s">
        <v>74</v>
      </c>
      <c r="BR3238" s="1" t="s">
        <v>98</v>
      </c>
      <c r="BS3238" s="1" t="s">
        <v>51441</v>
      </c>
      <c r="BT3238" s="1" t="str">
        <f>HYPERLINK("https%3A%2F%2Fwww.webofscience.com%2Fwos%2Fwoscc%2Ffull-record%2FWOS:000632815700002","View Full Record in Web of Science")</f>
        <v>View Full Record in Web of Science</v>
      </c>
      <c r="BU3238" s="1"/>
      <c r="BV3238" s="1"/>
    </row>
    <row r="3239" spans="1:74">
      <c r="A3239" s="1" t="s">
        <v>72</v>
      </c>
      <c r="B3239" s="1" t="s">
        <v>51442</v>
      </c>
      <c r="C3239" s="1" t="s">
        <v>74</v>
      </c>
      <c r="D3239" s="1" t="s">
        <v>74</v>
      </c>
      <c r="E3239" s="1" t="s">
        <v>74</v>
      </c>
      <c r="F3239" s="1" t="s">
        <v>51443</v>
      </c>
      <c r="G3239" s="1" t="s">
        <v>74</v>
      </c>
      <c r="H3239" s="1" t="s">
        <v>74</v>
      </c>
      <c r="I3239" s="1" t="s">
        <v>51444</v>
      </c>
      <c r="J3239" s="1" t="s">
        <v>3349</v>
      </c>
      <c r="K3239" s="1" t="s">
        <v>74</v>
      </c>
      <c r="L3239" s="1" t="s">
        <v>74</v>
      </c>
      <c r="M3239" s="1" t="s">
        <v>78</v>
      </c>
      <c r="N3239" s="1" t="s">
        <v>79</v>
      </c>
      <c r="O3239" s="1" t="s">
        <v>74</v>
      </c>
      <c r="P3239" s="1" t="s">
        <v>74</v>
      </c>
      <c r="Q3239" s="1" t="s">
        <v>74</v>
      </c>
      <c r="R3239" s="1" t="s">
        <v>74</v>
      </c>
      <c r="S3239" s="1" t="s">
        <v>74</v>
      </c>
      <c r="T3239" s="1" t="s">
        <v>51445</v>
      </c>
      <c r="U3239" s="1" t="s">
        <v>51446</v>
      </c>
      <c r="V3239" s="1" t="s">
        <v>51447</v>
      </c>
      <c r="W3239" s="1" t="s">
        <v>51448</v>
      </c>
      <c r="X3239" s="1" t="s">
        <v>51449</v>
      </c>
      <c r="Y3239" s="1" t="s">
        <v>51450</v>
      </c>
      <c r="Z3239" s="1" t="s">
        <v>3249</v>
      </c>
      <c r="AA3239" s="1" t="s">
        <v>43110</v>
      </c>
      <c r="AB3239" s="1" t="s">
        <v>51451</v>
      </c>
      <c r="AC3239" s="1" t="s">
        <v>51452</v>
      </c>
      <c r="AD3239" s="1" t="s">
        <v>51452</v>
      </c>
      <c r="AE3239" s="1" t="s">
        <v>51453</v>
      </c>
      <c r="AF3239" s="1" t="s">
        <v>74</v>
      </c>
      <c r="AG3239" s="1">
        <v>58</v>
      </c>
      <c r="AH3239" s="1">
        <v>16</v>
      </c>
      <c r="AI3239" s="1">
        <v>17</v>
      </c>
      <c r="AJ3239" s="1">
        <v>0</v>
      </c>
      <c r="AK3239" s="1">
        <v>34</v>
      </c>
      <c r="AL3239" s="1" t="s">
        <v>3362</v>
      </c>
      <c r="AM3239" s="1" t="s">
        <v>3363</v>
      </c>
      <c r="AN3239" s="1" t="s">
        <v>3364</v>
      </c>
      <c r="AO3239" s="1" t="s">
        <v>3365</v>
      </c>
      <c r="AP3239" s="1" t="s">
        <v>3366</v>
      </c>
      <c r="AQ3239" s="1" t="s">
        <v>74</v>
      </c>
      <c r="AR3239" s="1" t="s">
        <v>3367</v>
      </c>
      <c r="AS3239" s="1" t="s">
        <v>3368</v>
      </c>
      <c r="AT3239" s="1" t="s">
        <v>267</v>
      </c>
      <c r="AU3239" s="1">
        <v>2010</v>
      </c>
      <c r="AV3239" s="1">
        <v>73</v>
      </c>
      <c r="AW3239" s="1">
        <v>7</v>
      </c>
      <c r="AX3239" s="1" t="s">
        <v>74</v>
      </c>
      <c r="AY3239" s="1" t="s">
        <v>74</v>
      </c>
      <c r="AZ3239" s="1" t="s">
        <v>74</v>
      </c>
      <c r="BA3239" s="1" t="s">
        <v>74</v>
      </c>
      <c r="BB3239" s="1">
        <v>1748</v>
      </c>
      <c r="BC3239" s="1">
        <v>1754</v>
      </c>
      <c r="BD3239" s="1" t="s">
        <v>74</v>
      </c>
      <c r="BE3239" s="1" t="s">
        <v>51454</v>
      </c>
      <c r="BF3239" s="1" t="str">
        <f>HYPERLINK("http://dx.doi.org/10.1016/j.ecoenv.2010.07.044","http://dx.doi.org/10.1016/j.ecoenv.2010.07.044")</f>
        <v>http://dx.doi.org/10.1016/j.ecoenv.2010.07.044</v>
      </c>
      <c r="BG3239" s="1" t="s">
        <v>74</v>
      </c>
      <c r="BH3239" s="1" t="s">
        <v>74</v>
      </c>
      <c r="BI3239" s="1">
        <v>7</v>
      </c>
      <c r="BJ3239" s="1" t="s">
        <v>121</v>
      </c>
      <c r="BK3239" s="1" t="s">
        <v>96</v>
      </c>
      <c r="BL3239" s="1" t="s">
        <v>122</v>
      </c>
      <c r="BM3239" s="1" t="s">
        <v>6748</v>
      </c>
      <c r="BN3239" s="1">
        <v>20708265</v>
      </c>
      <c r="BO3239" s="1" t="s">
        <v>1752</v>
      </c>
      <c r="BP3239" s="1" t="s">
        <v>74</v>
      </c>
      <c r="BQ3239" s="1" t="s">
        <v>74</v>
      </c>
      <c r="BR3239" s="1" t="s">
        <v>98</v>
      </c>
      <c r="BS3239" s="1" t="s">
        <v>51455</v>
      </c>
      <c r="BT3239" s="1" t="str">
        <f>HYPERLINK("https%3A%2F%2Fwww.webofscience.com%2Fwos%2Fwoscc%2Ffull-record%2FWOS:000282792300037","View Full Record in Web of Science")</f>
        <v>View Full Record in Web of Science</v>
      </c>
      <c r="BU3239" s="1"/>
      <c r="BV3239" s="1"/>
    </row>
    <row r="3240" spans="1:74">
      <c r="A3240" s="1" t="s">
        <v>72</v>
      </c>
      <c r="B3240" s="1" t="s">
        <v>51456</v>
      </c>
      <c r="C3240" s="1" t="s">
        <v>74</v>
      </c>
      <c r="D3240" s="1" t="s">
        <v>74</v>
      </c>
      <c r="E3240" s="1" t="s">
        <v>74</v>
      </c>
      <c r="F3240" s="1" t="s">
        <v>51457</v>
      </c>
      <c r="G3240" s="1" t="s">
        <v>74</v>
      </c>
      <c r="H3240" s="1" t="s">
        <v>74</v>
      </c>
      <c r="I3240" s="1" t="s">
        <v>51458</v>
      </c>
      <c r="J3240" s="1" t="s">
        <v>204</v>
      </c>
      <c r="K3240" s="1" t="s">
        <v>74</v>
      </c>
      <c r="L3240" s="1" t="s">
        <v>74</v>
      </c>
      <c r="M3240" s="1" t="s">
        <v>78</v>
      </c>
      <c r="N3240" s="1" t="s">
        <v>79</v>
      </c>
      <c r="O3240" s="1" t="s">
        <v>74</v>
      </c>
      <c r="P3240" s="1" t="s">
        <v>74</v>
      </c>
      <c r="Q3240" s="1" t="s">
        <v>74</v>
      </c>
      <c r="R3240" s="1" t="s">
        <v>74</v>
      </c>
      <c r="S3240" s="1" t="s">
        <v>74</v>
      </c>
      <c r="T3240" s="1" t="s">
        <v>51459</v>
      </c>
      <c r="U3240" s="1" t="s">
        <v>51460</v>
      </c>
      <c r="V3240" s="1" t="s">
        <v>51461</v>
      </c>
      <c r="W3240" s="1" t="s">
        <v>51462</v>
      </c>
      <c r="X3240" s="1" t="s">
        <v>51463</v>
      </c>
      <c r="Y3240" s="1" t="s">
        <v>51464</v>
      </c>
      <c r="Z3240" s="1" t="s">
        <v>51465</v>
      </c>
      <c r="AA3240" s="1" t="s">
        <v>51466</v>
      </c>
      <c r="AB3240" s="1" t="s">
        <v>51467</v>
      </c>
      <c r="AC3240" s="1" t="s">
        <v>51468</v>
      </c>
      <c r="AD3240" s="1" t="s">
        <v>51469</v>
      </c>
      <c r="AE3240" s="1" t="s">
        <v>51470</v>
      </c>
      <c r="AF3240" s="1" t="s">
        <v>74</v>
      </c>
      <c r="AG3240" s="1">
        <v>45</v>
      </c>
      <c r="AH3240" s="1">
        <v>31</v>
      </c>
      <c r="AI3240" s="1">
        <v>32</v>
      </c>
      <c r="AJ3240" s="1">
        <v>2</v>
      </c>
      <c r="AK3240" s="1">
        <v>53</v>
      </c>
      <c r="AL3240" s="1" t="s">
        <v>217</v>
      </c>
      <c r="AM3240" s="1" t="s">
        <v>218</v>
      </c>
      <c r="AN3240" s="1" t="s">
        <v>219</v>
      </c>
      <c r="AO3240" s="1" t="s">
        <v>220</v>
      </c>
      <c r="AP3240" s="1" t="s">
        <v>221</v>
      </c>
      <c r="AQ3240" s="1" t="s">
        <v>74</v>
      </c>
      <c r="AR3240" s="1" t="s">
        <v>222</v>
      </c>
      <c r="AS3240" s="1" t="s">
        <v>223</v>
      </c>
      <c r="AT3240" s="1" t="s">
        <v>93</v>
      </c>
      <c r="AU3240" s="1">
        <v>2015</v>
      </c>
      <c r="AV3240" s="1">
        <v>22</v>
      </c>
      <c r="AW3240" s="1">
        <v>7</v>
      </c>
      <c r="AX3240" s="1" t="s">
        <v>74</v>
      </c>
      <c r="AY3240" s="1" t="s">
        <v>74</v>
      </c>
      <c r="AZ3240" s="1" t="s">
        <v>74</v>
      </c>
      <c r="BA3240" s="1" t="s">
        <v>74</v>
      </c>
      <c r="BB3240" s="1">
        <v>5092</v>
      </c>
      <c r="BC3240" s="1">
        <v>5099</v>
      </c>
      <c r="BD3240" s="1" t="s">
        <v>74</v>
      </c>
      <c r="BE3240" s="1" t="s">
        <v>51471</v>
      </c>
      <c r="BF3240" s="1" t="str">
        <f>HYPERLINK("http://dx.doi.org/10.1007/s11356-014-3859-7","http://dx.doi.org/10.1007/s11356-014-3859-7")</f>
        <v>http://dx.doi.org/10.1007/s11356-014-3859-7</v>
      </c>
      <c r="BG3240" s="1" t="s">
        <v>74</v>
      </c>
      <c r="BH3240" s="1" t="s">
        <v>74</v>
      </c>
      <c r="BI3240" s="1">
        <v>8</v>
      </c>
      <c r="BJ3240" s="1" t="s">
        <v>144</v>
      </c>
      <c r="BK3240" s="1" t="s">
        <v>96</v>
      </c>
      <c r="BL3240" s="1" t="s">
        <v>145</v>
      </c>
      <c r="BM3240" s="1" t="s">
        <v>51472</v>
      </c>
      <c r="BN3240" s="1">
        <v>25416503</v>
      </c>
      <c r="BO3240" s="1" t="s">
        <v>74</v>
      </c>
      <c r="BP3240" s="1" t="s">
        <v>74</v>
      </c>
      <c r="BQ3240" s="1" t="s">
        <v>74</v>
      </c>
      <c r="BR3240" s="1" t="s">
        <v>98</v>
      </c>
      <c r="BS3240" s="1" t="s">
        <v>51473</v>
      </c>
      <c r="BT3240" s="1" t="str">
        <f>HYPERLINK("https%3A%2F%2Fwww.webofscience.com%2Fwos%2Fwoscc%2Ffull-record%2FWOS:000351586500028","View Full Record in Web of Science")</f>
        <v>View Full Record in Web of Science</v>
      </c>
      <c r="BU3240" s="1"/>
      <c r="BV3240" s="1"/>
    </row>
    <row r="3241" spans="1:74">
      <c r="A3241" s="1" t="s">
        <v>72</v>
      </c>
      <c r="B3241" s="1" t="s">
        <v>51474</v>
      </c>
      <c r="C3241" s="1" t="s">
        <v>74</v>
      </c>
      <c r="D3241" s="1" t="s">
        <v>74</v>
      </c>
      <c r="E3241" s="1" t="s">
        <v>74</v>
      </c>
      <c r="F3241" s="1" t="s">
        <v>51475</v>
      </c>
      <c r="G3241" s="1" t="s">
        <v>74</v>
      </c>
      <c r="H3241" s="1" t="s">
        <v>74</v>
      </c>
      <c r="I3241" s="1" t="s">
        <v>51476</v>
      </c>
      <c r="J3241" s="1" t="s">
        <v>204</v>
      </c>
      <c r="K3241" s="1" t="s">
        <v>74</v>
      </c>
      <c r="L3241" s="1" t="s">
        <v>74</v>
      </c>
      <c r="M3241" s="1" t="s">
        <v>78</v>
      </c>
      <c r="N3241" s="1" t="s">
        <v>79</v>
      </c>
      <c r="O3241" s="1" t="s">
        <v>74</v>
      </c>
      <c r="P3241" s="1" t="s">
        <v>74</v>
      </c>
      <c r="Q3241" s="1" t="s">
        <v>74</v>
      </c>
      <c r="R3241" s="1" t="s">
        <v>74</v>
      </c>
      <c r="S3241" s="1" t="s">
        <v>74</v>
      </c>
      <c r="T3241" s="1" t="s">
        <v>51477</v>
      </c>
      <c r="U3241" s="1" t="s">
        <v>51478</v>
      </c>
      <c r="V3241" s="1" t="s">
        <v>51479</v>
      </c>
      <c r="W3241" s="1" t="s">
        <v>51480</v>
      </c>
      <c r="X3241" s="1" t="s">
        <v>51481</v>
      </c>
      <c r="Y3241" s="1" t="s">
        <v>51482</v>
      </c>
      <c r="Z3241" s="1" t="s">
        <v>51483</v>
      </c>
      <c r="AA3241" s="1" t="s">
        <v>51484</v>
      </c>
      <c r="AB3241" s="1" t="s">
        <v>51485</v>
      </c>
      <c r="AC3241" s="1" t="s">
        <v>51486</v>
      </c>
      <c r="AD3241" s="1" t="s">
        <v>51487</v>
      </c>
      <c r="AE3241" s="1" t="s">
        <v>51488</v>
      </c>
      <c r="AF3241" s="1" t="s">
        <v>74</v>
      </c>
      <c r="AG3241" s="1">
        <v>61</v>
      </c>
      <c r="AH3241" s="1">
        <v>10</v>
      </c>
      <c r="AI3241" s="1">
        <v>11</v>
      </c>
      <c r="AJ3241" s="1">
        <v>0</v>
      </c>
      <c r="AK3241" s="1">
        <v>20</v>
      </c>
      <c r="AL3241" s="1" t="s">
        <v>217</v>
      </c>
      <c r="AM3241" s="1" t="s">
        <v>218</v>
      </c>
      <c r="AN3241" s="1" t="s">
        <v>219</v>
      </c>
      <c r="AO3241" s="1" t="s">
        <v>220</v>
      </c>
      <c r="AP3241" s="1" t="s">
        <v>221</v>
      </c>
      <c r="AQ3241" s="1" t="s">
        <v>74</v>
      </c>
      <c r="AR3241" s="1" t="s">
        <v>222</v>
      </c>
      <c r="AS3241" s="1" t="s">
        <v>223</v>
      </c>
      <c r="AT3241" s="1" t="s">
        <v>197</v>
      </c>
      <c r="AU3241" s="1">
        <v>2017</v>
      </c>
      <c r="AV3241" s="1">
        <v>24</v>
      </c>
      <c r="AW3241" s="1">
        <v>35</v>
      </c>
      <c r="AX3241" s="1" t="s">
        <v>74</v>
      </c>
      <c r="AY3241" s="1" t="s">
        <v>74</v>
      </c>
      <c r="AZ3241" s="1" t="s">
        <v>74</v>
      </c>
      <c r="BA3241" s="1" t="s">
        <v>74</v>
      </c>
      <c r="BB3241" s="1">
        <v>27490</v>
      </c>
      <c r="BC3241" s="1">
        <v>27501</v>
      </c>
      <c r="BD3241" s="1" t="s">
        <v>74</v>
      </c>
      <c r="BE3241" s="1" t="s">
        <v>51489</v>
      </c>
      <c r="BF3241" s="1" t="str">
        <f>HYPERLINK("http://dx.doi.org/10.1007/s11356-017-0297-3","http://dx.doi.org/10.1007/s11356-017-0297-3")</f>
        <v>http://dx.doi.org/10.1007/s11356-017-0297-3</v>
      </c>
      <c r="BG3241" s="1" t="s">
        <v>74</v>
      </c>
      <c r="BH3241" s="1" t="s">
        <v>74</v>
      </c>
      <c r="BI3241" s="1">
        <v>12</v>
      </c>
      <c r="BJ3241" s="1" t="s">
        <v>144</v>
      </c>
      <c r="BK3241" s="1" t="s">
        <v>96</v>
      </c>
      <c r="BL3241" s="1" t="s">
        <v>145</v>
      </c>
      <c r="BM3241" s="1" t="s">
        <v>4958</v>
      </c>
      <c r="BN3241" s="1">
        <v>28980213</v>
      </c>
      <c r="BO3241" s="1" t="s">
        <v>74</v>
      </c>
      <c r="BP3241" s="1" t="s">
        <v>74</v>
      </c>
      <c r="BQ3241" s="1" t="s">
        <v>74</v>
      </c>
      <c r="BR3241" s="1" t="s">
        <v>98</v>
      </c>
      <c r="BS3241" s="1" t="s">
        <v>51490</v>
      </c>
      <c r="BT3241" s="1" t="str">
        <f>HYPERLINK("https%3A%2F%2Fwww.webofscience.com%2Fwos%2Fwoscc%2Ffull-record%2FWOS:000417545800054","View Full Record in Web of Science")</f>
        <v>View Full Record in Web of Science</v>
      </c>
      <c r="BU3241" s="1"/>
      <c r="BV3241" s="1"/>
    </row>
    <row r="3242" spans="1:74">
      <c r="A3242" s="1" t="s">
        <v>72</v>
      </c>
      <c r="B3242" s="1" t="s">
        <v>51491</v>
      </c>
      <c r="C3242" s="1" t="s">
        <v>74</v>
      </c>
      <c r="D3242" s="1" t="s">
        <v>74</v>
      </c>
      <c r="E3242" s="1" t="s">
        <v>74</v>
      </c>
      <c r="F3242" s="1" t="s">
        <v>51491</v>
      </c>
      <c r="G3242" s="1" t="s">
        <v>74</v>
      </c>
      <c r="H3242" s="1" t="s">
        <v>74</v>
      </c>
      <c r="I3242" s="1" t="s">
        <v>51492</v>
      </c>
      <c r="J3242" s="1" t="s">
        <v>232</v>
      </c>
      <c r="K3242" s="1" t="s">
        <v>74</v>
      </c>
      <c r="L3242" s="1" t="s">
        <v>74</v>
      </c>
      <c r="M3242" s="1" t="s">
        <v>78</v>
      </c>
      <c r="N3242" s="1" t="s">
        <v>79</v>
      </c>
      <c r="O3242" s="1" t="s">
        <v>74</v>
      </c>
      <c r="P3242" s="1" t="s">
        <v>74</v>
      </c>
      <c r="Q3242" s="1" t="s">
        <v>74</v>
      </c>
      <c r="R3242" s="1" t="s">
        <v>74</v>
      </c>
      <c r="S3242" s="1" t="s">
        <v>74</v>
      </c>
      <c r="T3242" s="1" t="s">
        <v>51493</v>
      </c>
      <c r="U3242" s="1" t="s">
        <v>51494</v>
      </c>
      <c r="V3242" s="1" t="s">
        <v>51495</v>
      </c>
      <c r="W3242" s="1" t="s">
        <v>51496</v>
      </c>
      <c r="X3242" s="1" t="s">
        <v>51497</v>
      </c>
      <c r="Y3242" s="1" t="s">
        <v>51498</v>
      </c>
      <c r="Z3242" s="1" t="s">
        <v>41370</v>
      </c>
      <c r="AA3242" s="1" t="s">
        <v>74</v>
      </c>
      <c r="AB3242" s="1" t="s">
        <v>74</v>
      </c>
      <c r="AC3242" s="1" t="s">
        <v>74</v>
      </c>
      <c r="AD3242" s="1" t="s">
        <v>74</v>
      </c>
      <c r="AE3242" s="1" t="s">
        <v>74</v>
      </c>
      <c r="AF3242" s="1" t="s">
        <v>74</v>
      </c>
      <c r="AG3242" s="1">
        <v>27</v>
      </c>
      <c r="AH3242" s="1">
        <v>19</v>
      </c>
      <c r="AI3242" s="1">
        <v>25</v>
      </c>
      <c r="AJ3242" s="1">
        <v>0</v>
      </c>
      <c r="AK3242" s="1">
        <v>27</v>
      </c>
      <c r="AL3242" s="1" t="s">
        <v>136</v>
      </c>
      <c r="AM3242" s="1" t="s">
        <v>137</v>
      </c>
      <c r="AN3242" s="1" t="s">
        <v>138</v>
      </c>
      <c r="AO3242" s="1" t="s">
        <v>240</v>
      </c>
      <c r="AP3242" s="1" t="s">
        <v>241</v>
      </c>
      <c r="AQ3242" s="1" t="s">
        <v>74</v>
      </c>
      <c r="AR3242" s="1" t="s">
        <v>242</v>
      </c>
      <c r="AS3242" s="1" t="s">
        <v>243</v>
      </c>
      <c r="AT3242" s="1" t="s">
        <v>142</v>
      </c>
      <c r="AU3242" s="1">
        <v>2003</v>
      </c>
      <c r="AV3242" s="1">
        <v>46</v>
      </c>
      <c r="AW3242" s="1">
        <v>6</v>
      </c>
      <c r="AX3242" s="1" t="s">
        <v>74</v>
      </c>
      <c r="AY3242" s="1" t="s">
        <v>74</v>
      </c>
      <c r="AZ3242" s="1" t="s">
        <v>74</v>
      </c>
      <c r="BA3242" s="1" t="s">
        <v>74</v>
      </c>
      <c r="BB3242" s="1">
        <v>756</v>
      </c>
      <c r="BC3242" s="1">
        <v>762</v>
      </c>
      <c r="BD3242" s="1" t="s">
        <v>74</v>
      </c>
      <c r="BE3242" s="1" t="s">
        <v>51499</v>
      </c>
      <c r="BF3242" s="1" t="str">
        <f>HYPERLINK("http://dx.doi.org/10.1016/S0025-326X(03)00045-6","http://dx.doi.org/10.1016/S0025-326X(03)00045-6")</f>
        <v>http://dx.doi.org/10.1016/S0025-326X(03)00045-6</v>
      </c>
      <c r="BG3242" s="1" t="s">
        <v>74</v>
      </c>
      <c r="BH3242" s="1" t="s">
        <v>74</v>
      </c>
      <c r="BI3242" s="1">
        <v>7</v>
      </c>
      <c r="BJ3242" s="1" t="s">
        <v>247</v>
      </c>
      <c r="BK3242" s="1" t="s">
        <v>96</v>
      </c>
      <c r="BL3242" s="1" t="s">
        <v>248</v>
      </c>
      <c r="BM3242" s="1" t="s">
        <v>19510</v>
      </c>
      <c r="BN3242" s="1">
        <v>12787584</v>
      </c>
      <c r="BO3242" s="1" t="s">
        <v>74</v>
      </c>
      <c r="BP3242" s="1" t="s">
        <v>74</v>
      </c>
      <c r="BQ3242" s="1" t="s">
        <v>74</v>
      </c>
      <c r="BR3242" s="1" t="s">
        <v>98</v>
      </c>
      <c r="BS3242" s="1" t="s">
        <v>51500</v>
      </c>
      <c r="BT3242" s="1" t="str">
        <f>HYPERLINK("https%3A%2F%2Fwww.webofscience.com%2Fwos%2Fwoscc%2Ffull-record%2FWOS:000183749500020","View Full Record in Web of Science")</f>
        <v>View Full Record in Web of Science</v>
      </c>
      <c r="BU3242" s="1"/>
      <c r="BV3242" s="1"/>
    </row>
    <row r="3243" spans="1:74">
      <c r="A3243" s="1" t="s">
        <v>72</v>
      </c>
      <c r="B3243" s="1" t="s">
        <v>51501</v>
      </c>
      <c r="C3243" s="1" t="s">
        <v>74</v>
      </c>
      <c r="D3243" s="1" t="s">
        <v>74</v>
      </c>
      <c r="E3243" s="1" t="s">
        <v>74</v>
      </c>
      <c r="F3243" s="1" t="s">
        <v>51502</v>
      </c>
      <c r="G3243" s="1" t="s">
        <v>74</v>
      </c>
      <c r="H3243" s="1" t="s">
        <v>74</v>
      </c>
      <c r="I3243" s="1" t="s">
        <v>51503</v>
      </c>
      <c r="J3243" s="1" t="s">
        <v>232</v>
      </c>
      <c r="K3243" s="1" t="s">
        <v>74</v>
      </c>
      <c r="L3243" s="1" t="s">
        <v>74</v>
      </c>
      <c r="M3243" s="1" t="s">
        <v>78</v>
      </c>
      <c r="N3243" s="1" t="s">
        <v>79</v>
      </c>
      <c r="O3243" s="1" t="s">
        <v>74</v>
      </c>
      <c r="P3243" s="1" t="s">
        <v>74</v>
      </c>
      <c r="Q3243" s="1" t="s">
        <v>74</v>
      </c>
      <c r="R3243" s="1" t="s">
        <v>74</v>
      </c>
      <c r="S3243" s="1" t="s">
        <v>74</v>
      </c>
      <c r="T3243" s="1" t="s">
        <v>51504</v>
      </c>
      <c r="U3243" s="1" t="s">
        <v>51505</v>
      </c>
      <c r="V3243" s="1" t="s">
        <v>51506</v>
      </c>
      <c r="W3243" s="1" t="s">
        <v>51507</v>
      </c>
      <c r="X3243" s="1" t="s">
        <v>27459</v>
      </c>
      <c r="Y3243" s="1" t="s">
        <v>14101</v>
      </c>
      <c r="Z3243" s="1" t="s">
        <v>8371</v>
      </c>
      <c r="AA3243" s="1" t="s">
        <v>51508</v>
      </c>
      <c r="AB3243" s="1" t="s">
        <v>51509</v>
      </c>
      <c r="AC3243" s="1" t="s">
        <v>74</v>
      </c>
      <c r="AD3243" s="1" t="s">
        <v>74</v>
      </c>
      <c r="AE3243" s="1" t="s">
        <v>74</v>
      </c>
      <c r="AF3243" s="1" t="s">
        <v>74</v>
      </c>
      <c r="AG3243" s="1">
        <v>42</v>
      </c>
      <c r="AH3243" s="1">
        <v>19</v>
      </c>
      <c r="AI3243" s="1">
        <v>24</v>
      </c>
      <c r="AJ3243" s="1">
        <v>6</v>
      </c>
      <c r="AK3243" s="1">
        <v>37</v>
      </c>
      <c r="AL3243" s="1" t="s">
        <v>136</v>
      </c>
      <c r="AM3243" s="1" t="s">
        <v>137</v>
      </c>
      <c r="AN3243" s="1" t="s">
        <v>138</v>
      </c>
      <c r="AO3243" s="1" t="s">
        <v>240</v>
      </c>
      <c r="AP3243" s="1" t="s">
        <v>241</v>
      </c>
      <c r="AQ3243" s="1" t="s">
        <v>74</v>
      </c>
      <c r="AR3243" s="1" t="s">
        <v>242</v>
      </c>
      <c r="AS3243" s="1" t="s">
        <v>243</v>
      </c>
      <c r="AT3243" s="1" t="s">
        <v>305</v>
      </c>
      <c r="AU3243" s="1">
        <v>2011</v>
      </c>
      <c r="AV3243" s="1">
        <v>62</v>
      </c>
      <c r="AW3243" s="1">
        <v>9</v>
      </c>
      <c r="AX3243" s="1" t="s">
        <v>74</v>
      </c>
      <c r="AY3243" s="1" t="s">
        <v>74</v>
      </c>
      <c r="AZ3243" s="1" t="s">
        <v>74</v>
      </c>
      <c r="BA3243" s="1" t="s">
        <v>74</v>
      </c>
      <c r="BB3243" s="1">
        <v>1984</v>
      </c>
      <c r="BC3243" s="1">
        <v>1988</v>
      </c>
      <c r="BD3243" s="1" t="s">
        <v>74</v>
      </c>
      <c r="BE3243" s="1" t="s">
        <v>51510</v>
      </c>
      <c r="BF3243" s="1" t="str">
        <f>HYPERLINK("http://dx.doi.org/10.1016/j.marpolbul.2011.06.020","http://dx.doi.org/10.1016/j.marpolbul.2011.06.020")</f>
        <v>http://dx.doi.org/10.1016/j.marpolbul.2011.06.020</v>
      </c>
      <c r="BG3243" s="1" t="s">
        <v>74</v>
      </c>
      <c r="BH3243" s="1" t="s">
        <v>74</v>
      </c>
      <c r="BI3243" s="1">
        <v>5</v>
      </c>
      <c r="BJ3243" s="1" t="s">
        <v>247</v>
      </c>
      <c r="BK3243" s="1" t="s">
        <v>96</v>
      </c>
      <c r="BL3243" s="1" t="s">
        <v>248</v>
      </c>
      <c r="BM3243" s="1" t="s">
        <v>51511</v>
      </c>
      <c r="BN3243" s="1">
        <v>21764084</v>
      </c>
      <c r="BO3243" s="1" t="s">
        <v>74</v>
      </c>
      <c r="BP3243" s="1" t="s">
        <v>74</v>
      </c>
      <c r="BQ3243" s="1" t="s">
        <v>74</v>
      </c>
      <c r="BR3243" s="1" t="s">
        <v>98</v>
      </c>
      <c r="BS3243" s="1" t="s">
        <v>51512</v>
      </c>
      <c r="BT3243" s="1" t="str">
        <f>HYPERLINK("https%3A%2F%2Fwww.webofscience.com%2Fwos%2Fwoscc%2Ffull-record%2FWOS:000294985800020","View Full Record in Web of Science")</f>
        <v>View Full Record in Web of Science</v>
      </c>
      <c r="BU3243" s="1"/>
      <c r="BV3243" s="1"/>
    </row>
    <row r="3244" spans="1:74">
      <c r="A3244" s="1" t="s">
        <v>72</v>
      </c>
      <c r="B3244" s="1" t="s">
        <v>51513</v>
      </c>
      <c r="C3244" s="1" t="s">
        <v>74</v>
      </c>
      <c r="D3244" s="1" t="s">
        <v>74</v>
      </c>
      <c r="E3244" s="1" t="s">
        <v>74</v>
      </c>
      <c r="F3244" s="1" t="s">
        <v>51513</v>
      </c>
      <c r="G3244" s="1" t="s">
        <v>74</v>
      </c>
      <c r="H3244" s="1" t="s">
        <v>74</v>
      </c>
      <c r="I3244" s="1" t="s">
        <v>51514</v>
      </c>
      <c r="J3244" s="1" t="s">
        <v>7584</v>
      </c>
      <c r="K3244" s="1" t="s">
        <v>74</v>
      </c>
      <c r="L3244" s="1" t="s">
        <v>74</v>
      </c>
      <c r="M3244" s="1" t="s">
        <v>78</v>
      </c>
      <c r="N3244" s="1" t="s">
        <v>79</v>
      </c>
      <c r="O3244" s="1" t="s">
        <v>74</v>
      </c>
      <c r="P3244" s="1" t="s">
        <v>74</v>
      </c>
      <c r="Q3244" s="1" t="s">
        <v>74</v>
      </c>
      <c r="R3244" s="1" t="s">
        <v>74</v>
      </c>
      <c r="S3244" s="1" t="s">
        <v>74</v>
      </c>
      <c r="T3244" s="1" t="s">
        <v>51515</v>
      </c>
      <c r="U3244" s="1" t="s">
        <v>51516</v>
      </c>
      <c r="V3244" s="1" t="s">
        <v>51517</v>
      </c>
      <c r="W3244" s="1" t="s">
        <v>51518</v>
      </c>
      <c r="X3244" s="1" t="s">
        <v>51519</v>
      </c>
      <c r="Y3244" s="1" t="s">
        <v>51520</v>
      </c>
      <c r="Z3244" s="1" t="s">
        <v>51521</v>
      </c>
      <c r="AA3244" s="1" t="s">
        <v>74</v>
      </c>
      <c r="AB3244" s="1" t="s">
        <v>51522</v>
      </c>
      <c r="AC3244" s="1" t="s">
        <v>74</v>
      </c>
      <c r="AD3244" s="1" t="s">
        <v>74</v>
      </c>
      <c r="AE3244" s="1" t="s">
        <v>74</v>
      </c>
      <c r="AF3244" s="1" t="s">
        <v>74</v>
      </c>
      <c r="AG3244" s="1">
        <v>33</v>
      </c>
      <c r="AH3244" s="1">
        <v>44</v>
      </c>
      <c r="AI3244" s="1">
        <v>48</v>
      </c>
      <c r="AJ3244" s="1">
        <v>1</v>
      </c>
      <c r="AK3244" s="1">
        <v>12</v>
      </c>
      <c r="AL3244" s="1" t="s">
        <v>136</v>
      </c>
      <c r="AM3244" s="1" t="s">
        <v>137</v>
      </c>
      <c r="AN3244" s="1" t="s">
        <v>138</v>
      </c>
      <c r="AO3244" s="1" t="s">
        <v>7589</v>
      </c>
      <c r="AP3244" s="1" t="s">
        <v>74</v>
      </c>
      <c r="AQ3244" s="1" t="s">
        <v>74</v>
      </c>
      <c r="AR3244" s="1" t="s">
        <v>7591</v>
      </c>
      <c r="AS3244" s="1" t="s">
        <v>7592</v>
      </c>
      <c r="AT3244" s="1" t="s">
        <v>93</v>
      </c>
      <c r="AU3244" s="1">
        <v>2003</v>
      </c>
      <c r="AV3244" s="1">
        <v>37</v>
      </c>
      <c r="AW3244" s="1">
        <v>8</v>
      </c>
      <c r="AX3244" s="1" t="s">
        <v>74</v>
      </c>
      <c r="AY3244" s="1" t="s">
        <v>74</v>
      </c>
      <c r="AZ3244" s="1" t="s">
        <v>74</v>
      </c>
      <c r="BA3244" s="1" t="s">
        <v>74</v>
      </c>
      <c r="BB3244" s="1">
        <v>1711</v>
      </c>
      <c r="BC3244" s="1">
        <v>1722</v>
      </c>
      <c r="BD3244" s="1" t="s">
        <v>74</v>
      </c>
      <c r="BE3244" s="1" t="s">
        <v>51523</v>
      </c>
      <c r="BF3244" s="1" t="str">
        <f>HYPERLINK("http://dx.doi.org/10.1016/S0043-1354(02)00573-0","http://dx.doi.org/10.1016/S0043-1354(02)00573-0")</f>
        <v>http://dx.doi.org/10.1016/S0043-1354(02)00573-0</v>
      </c>
      <c r="BG3244" s="1" t="s">
        <v>74</v>
      </c>
      <c r="BH3244" s="1" t="s">
        <v>74</v>
      </c>
      <c r="BI3244" s="1">
        <v>12</v>
      </c>
      <c r="BJ3244" s="1" t="s">
        <v>587</v>
      </c>
      <c r="BK3244" s="1" t="s">
        <v>96</v>
      </c>
      <c r="BL3244" s="1" t="s">
        <v>589</v>
      </c>
      <c r="BM3244" s="1" t="s">
        <v>51524</v>
      </c>
      <c r="BN3244" s="1">
        <v>12697215</v>
      </c>
      <c r="BO3244" s="1" t="s">
        <v>74</v>
      </c>
      <c r="BP3244" s="1" t="s">
        <v>74</v>
      </c>
      <c r="BQ3244" s="1" t="s">
        <v>74</v>
      </c>
      <c r="BR3244" s="1" t="s">
        <v>98</v>
      </c>
      <c r="BS3244" s="1" t="s">
        <v>51525</v>
      </c>
      <c r="BT3244" s="1" t="str">
        <f>HYPERLINK("https%3A%2F%2Fwww.webofscience.com%2Fwos%2Fwoscc%2Ffull-record%2FWOS:000182344600003","View Full Record in Web of Science")</f>
        <v>View Full Record in Web of Science</v>
      </c>
      <c r="BU3244" s="1"/>
      <c r="BV3244" s="1"/>
    </row>
    <row r="3245" spans="1:74">
      <c r="A3245" s="1" t="s">
        <v>72</v>
      </c>
      <c r="B3245" s="1" t="s">
        <v>51526</v>
      </c>
      <c r="C3245" s="1" t="s">
        <v>74</v>
      </c>
      <c r="D3245" s="1" t="s">
        <v>74</v>
      </c>
      <c r="E3245" s="1" t="s">
        <v>74</v>
      </c>
      <c r="F3245" s="1" t="s">
        <v>51527</v>
      </c>
      <c r="G3245" s="1" t="s">
        <v>74</v>
      </c>
      <c r="H3245" s="1" t="s">
        <v>74</v>
      </c>
      <c r="I3245" s="1" t="s">
        <v>51528</v>
      </c>
      <c r="J3245" s="1" t="s">
        <v>51529</v>
      </c>
      <c r="K3245" s="1" t="s">
        <v>74</v>
      </c>
      <c r="L3245" s="1" t="s">
        <v>74</v>
      </c>
      <c r="M3245" s="1" t="s">
        <v>78</v>
      </c>
      <c r="N3245" s="1" t="s">
        <v>79</v>
      </c>
      <c r="O3245" s="1" t="s">
        <v>74</v>
      </c>
      <c r="P3245" s="1" t="s">
        <v>74</v>
      </c>
      <c r="Q3245" s="1" t="s">
        <v>74</v>
      </c>
      <c r="R3245" s="1" t="s">
        <v>74</v>
      </c>
      <c r="S3245" s="1" t="s">
        <v>74</v>
      </c>
      <c r="T3245" s="1" t="s">
        <v>51530</v>
      </c>
      <c r="U3245" s="1" t="s">
        <v>51531</v>
      </c>
      <c r="V3245" s="1" t="s">
        <v>51532</v>
      </c>
      <c r="W3245" s="1" t="s">
        <v>51533</v>
      </c>
      <c r="X3245" s="1" t="s">
        <v>51534</v>
      </c>
      <c r="Y3245" s="1" t="s">
        <v>51535</v>
      </c>
      <c r="Z3245" s="1" t="s">
        <v>51536</v>
      </c>
      <c r="AA3245" s="1" t="s">
        <v>51537</v>
      </c>
      <c r="AB3245" s="1" t="s">
        <v>74</v>
      </c>
      <c r="AC3245" s="1" t="s">
        <v>51538</v>
      </c>
      <c r="AD3245" s="1" t="s">
        <v>51539</v>
      </c>
      <c r="AE3245" s="1" t="s">
        <v>51540</v>
      </c>
      <c r="AF3245" s="1" t="s">
        <v>74</v>
      </c>
      <c r="AG3245" s="1">
        <v>38</v>
      </c>
      <c r="AH3245" s="1">
        <v>6</v>
      </c>
      <c r="AI3245" s="1">
        <v>7</v>
      </c>
      <c r="AJ3245" s="1">
        <v>5</v>
      </c>
      <c r="AK3245" s="1">
        <v>31</v>
      </c>
      <c r="AL3245" s="1" t="s">
        <v>2904</v>
      </c>
      <c r="AM3245" s="1" t="s">
        <v>2905</v>
      </c>
      <c r="AN3245" s="1" t="s">
        <v>2906</v>
      </c>
      <c r="AO3245" s="1" t="s">
        <v>51541</v>
      </c>
      <c r="AP3245" s="1" t="s">
        <v>51542</v>
      </c>
      <c r="AQ3245" s="1" t="s">
        <v>74</v>
      </c>
      <c r="AR3245" s="1" t="s">
        <v>51543</v>
      </c>
      <c r="AS3245" s="1" t="s">
        <v>51544</v>
      </c>
      <c r="AT3245" s="1" t="s">
        <v>74</v>
      </c>
      <c r="AU3245" s="1">
        <v>2018</v>
      </c>
      <c r="AV3245" s="1">
        <v>10</v>
      </c>
      <c r="AW3245" s="1" t="s">
        <v>74</v>
      </c>
      <c r="AX3245" s="1" t="s">
        <v>74</v>
      </c>
      <c r="AY3245" s="1" t="s">
        <v>74</v>
      </c>
      <c r="AZ3245" s="1" t="s">
        <v>74</v>
      </c>
      <c r="BA3245" s="1" t="s">
        <v>74</v>
      </c>
      <c r="BB3245" s="1">
        <v>547</v>
      </c>
      <c r="BC3245" s="1">
        <v>556</v>
      </c>
      <c r="BD3245" s="1" t="s">
        <v>74</v>
      </c>
      <c r="BE3245" s="1" t="s">
        <v>51545</v>
      </c>
      <c r="BF3245" s="1" t="str">
        <f>HYPERLINK("http://dx.doi.org/10.3354/aei00287","http://dx.doi.org/10.3354/aei00287")</f>
        <v>http://dx.doi.org/10.3354/aei00287</v>
      </c>
      <c r="BG3245" s="1" t="s">
        <v>74</v>
      </c>
      <c r="BH3245" s="1" t="s">
        <v>74</v>
      </c>
      <c r="BI3245" s="1">
        <v>10</v>
      </c>
      <c r="BJ3245" s="1" t="s">
        <v>2391</v>
      </c>
      <c r="BK3245" s="1" t="s">
        <v>96</v>
      </c>
      <c r="BL3245" s="1" t="s">
        <v>2391</v>
      </c>
      <c r="BM3245" s="1" t="s">
        <v>51546</v>
      </c>
      <c r="BN3245" s="1" t="s">
        <v>74</v>
      </c>
      <c r="BO3245" s="1" t="s">
        <v>637</v>
      </c>
      <c r="BP3245" s="1" t="s">
        <v>74</v>
      </c>
      <c r="BQ3245" s="1" t="s">
        <v>74</v>
      </c>
      <c r="BR3245" s="1" t="s">
        <v>98</v>
      </c>
      <c r="BS3245" s="1" t="s">
        <v>51547</v>
      </c>
      <c r="BT3245" s="1" t="str">
        <f>HYPERLINK("https%3A%2F%2Fwww.webofscience.com%2Fwos%2Fwoscc%2Ffull-record%2FWOS:000454301700003","View Full Record in Web of Science")</f>
        <v>View Full Record in Web of Science</v>
      </c>
      <c r="BU3245" s="1"/>
      <c r="BV3245" s="1"/>
    </row>
    <row r="3246" spans="1:74">
      <c r="A3246" s="1" t="s">
        <v>72</v>
      </c>
      <c r="B3246" s="1" t="s">
        <v>51548</v>
      </c>
      <c r="C3246" s="1" t="s">
        <v>74</v>
      </c>
      <c r="D3246" s="1" t="s">
        <v>74</v>
      </c>
      <c r="E3246" s="1" t="s">
        <v>74</v>
      </c>
      <c r="F3246" s="1" t="s">
        <v>51549</v>
      </c>
      <c r="G3246" s="1" t="s">
        <v>74</v>
      </c>
      <c r="H3246" s="1" t="s">
        <v>74</v>
      </c>
      <c r="I3246" s="1" t="s">
        <v>51550</v>
      </c>
      <c r="J3246" s="1" t="s">
        <v>1275</v>
      </c>
      <c r="K3246" s="1" t="s">
        <v>74</v>
      </c>
      <c r="L3246" s="1" t="s">
        <v>74</v>
      </c>
      <c r="M3246" s="1" t="s">
        <v>78</v>
      </c>
      <c r="N3246" s="1" t="s">
        <v>79</v>
      </c>
      <c r="O3246" s="1" t="s">
        <v>74</v>
      </c>
      <c r="P3246" s="1" t="s">
        <v>74</v>
      </c>
      <c r="Q3246" s="1" t="s">
        <v>74</v>
      </c>
      <c r="R3246" s="1" t="s">
        <v>74</v>
      </c>
      <c r="S3246" s="1" t="s">
        <v>74</v>
      </c>
      <c r="T3246" s="1" t="s">
        <v>51551</v>
      </c>
      <c r="U3246" s="1" t="s">
        <v>51552</v>
      </c>
      <c r="V3246" s="1" t="s">
        <v>51553</v>
      </c>
      <c r="W3246" s="1" t="s">
        <v>51554</v>
      </c>
      <c r="X3246" s="1" t="s">
        <v>51555</v>
      </c>
      <c r="Y3246" s="1" t="s">
        <v>51556</v>
      </c>
      <c r="Z3246" s="1" t="s">
        <v>51557</v>
      </c>
      <c r="AA3246" s="1" t="s">
        <v>74</v>
      </c>
      <c r="AB3246" s="1" t="s">
        <v>74</v>
      </c>
      <c r="AC3246" s="1" t="s">
        <v>51558</v>
      </c>
      <c r="AD3246" s="1" t="s">
        <v>51558</v>
      </c>
      <c r="AE3246" s="1" t="s">
        <v>51559</v>
      </c>
      <c r="AF3246" s="1" t="s">
        <v>74</v>
      </c>
      <c r="AG3246" s="1">
        <v>62</v>
      </c>
      <c r="AH3246" s="1">
        <v>0</v>
      </c>
      <c r="AI3246" s="1">
        <v>0</v>
      </c>
      <c r="AJ3246" s="1">
        <v>1</v>
      </c>
      <c r="AK3246" s="1">
        <v>1</v>
      </c>
      <c r="AL3246" s="1" t="s">
        <v>650</v>
      </c>
      <c r="AM3246" s="1" t="s">
        <v>651</v>
      </c>
      <c r="AN3246" s="1" t="s">
        <v>652</v>
      </c>
      <c r="AO3246" s="1" t="s">
        <v>1287</v>
      </c>
      <c r="AP3246" s="1" t="s">
        <v>74</v>
      </c>
      <c r="AQ3246" s="1" t="s">
        <v>74</v>
      </c>
      <c r="AR3246" s="1" t="s">
        <v>1288</v>
      </c>
      <c r="AS3246" s="1" t="s">
        <v>1289</v>
      </c>
      <c r="AT3246" s="1" t="s">
        <v>93</v>
      </c>
      <c r="AU3246" s="1">
        <v>2024</v>
      </c>
      <c r="AV3246" s="1">
        <v>71</v>
      </c>
      <c r="AW3246" s="1" t="s">
        <v>74</v>
      </c>
      <c r="AX3246" s="1" t="s">
        <v>74</v>
      </c>
      <c r="AY3246" s="1" t="s">
        <v>74</v>
      </c>
      <c r="AZ3246" s="1" t="s">
        <v>74</v>
      </c>
      <c r="BA3246" s="1" t="s">
        <v>74</v>
      </c>
      <c r="BB3246" s="1" t="s">
        <v>74</v>
      </c>
      <c r="BC3246" s="1" t="s">
        <v>74</v>
      </c>
      <c r="BD3246" s="1">
        <v>103392</v>
      </c>
      <c r="BE3246" s="1" t="s">
        <v>51560</v>
      </c>
      <c r="BF3246" s="1" t="str">
        <f>HYPERLINK("http://dx.doi.org/10.1016/j.rsma.2024.103392","http://dx.doi.org/10.1016/j.rsma.2024.103392")</f>
        <v>http://dx.doi.org/10.1016/j.rsma.2024.103392</v>
      </c>
      <c r="BG3246" s="1" t="s">
        <v>74</v>
      </c>
      <c r="BH3246" s="1" t="s">
        <v>2782</v>
      </c>
      <c r="BI3246" s="1">
        <v>8</v>
      </c>
      <c r="BJ3246" s="1" t="s">
        <v>1292</v>
      </c>
      <c r="BK3246" s="1" t="s">
        <v>96</v>
      </c>
      <c r="BL3246" s="1" t="s">
        <v>248</v>
      </c>
      <c r="BM3246" s="1" t="s">
        <v>51561</v>
      </c>
      <c r="BN3246" s="1" t="s">
        <v>74</v>
      </c>
      <c r="BO3246" s="1" t="s">
        <v>74</v>
      </c>
      <c r="BP3246" s="1" t="s">
        <v>74</v>
      </c>
      <c r="BQ3246" s="1" t="s">
        <v>74</v>
      </c>
      <c r="BR3246" s="1" t="s">
        <v>98</v>
      </c>
      <c r="BS3246" s="1" t="s">
        <v>51562</v>
      </c>
      <c r="BT3246" s="1" t="str">
        <f>HYPERLINK("https%3A%2F%2Fwww.webofscience.com%2Fwos%2Fwoscc%2Ffull-record%2FWOS:001181923800001","View Full Record in Web of Science")</f>
        <v>View Full Record in Web of Science</v>
      </c>
      <c r="BU3246" s="1"/>
      <c r="BV3246" s="1"/>
    </row>
    <row r="3247" spans="1:74">
      <c r="A3247" s="1" t="s">
        <v>72</v>
      </c>
      <c r="B3247" s="1" t="s">
        <v>51563</v>
      </c>
      <c r="C3247" s="1" t="s">
        <v>74</v>
      </c>
      <c r="D3247" s="1" t="s">
        <v>74</v>
      </c>
      <c r="E3247" s="1" t="s">
        <v>74</v>
      </c>
      <c r="F3247" s="1" t="s">
        <v>51563</v>
      </c>
      <c r="G3247" s="1" t="s">
        <v>74</v>
      </c>
      <c r="H3247" s="1" t="s">
        <v>74</v>
      </c>
      <c r="I3247" s="1" t="s">
        <v>51564</v>
      </c>
      <c r="J3247" s="1" t="s">
        <v>21316</v>
      </c>
      <c r="K3247" s="1" t="s">
        <v>74</v>
      </c>
      <c r="L3247" s="1" t="s">
        <v>74</v>
      </c>
      <c r="M3247" s="1" t="s">
        <v>78</v>
      </c>
      <c r="N3247" s="1" t="s">
        <v>79</v>
      </c>
      <c r="O3247" s="1" t="s">
        <v>74</v>
      </c>
      <c r="P3247" s="1" t="s">
        <v>74</v>
      </c>
      <c r="Q3247" s="1" t="s">
        <v>74</v>
      </c>
      <c r="R3247" s="1" t="s">
        <v>74</v>
      </c>
      <c r="S3247" s="1" t="s">
        <v>74</v>
      </c>
      <c r="T3247" s="1" t="s">
        <v>51565</v>
      </c>
      <c r="U3247" s="1" t="s">
        <v>51566</v>
      </c>
      <c r="V3247" s="1" t="s">
        <v>51567</v>
      </c>
      <c r="W3247" s="1" t="s">
        <v>51568</v>
      </c>
      <c r="X3247" s="1" t="s">
        <v>51569</v>
      </c>
      <c r="Y3247" s="1" t="s">
        <v>51570</v>
      </c>
      <c r="Z3247" s="1" t="s">
        <v>51571</v>
      </c>
      <c r="AA3247" s="1" t="s">
        <v>74</v>
      </c>
      <c r="AB3247" s="1" t="s">
        <v>51572</v>
      </c>
      <c r="AC3247" s="1" t="s">
        <v>74</v>
      </c>
      <c r="AD3247" s="1" t="s">
        <v>74</v>
      </c>
      <c r="AE3247" s="1" t="s">
        <v>74</v>
      </c>
      <c r="AF3247" s="1" t="s">
        <v>74</v>
      </c>
      <c r="AG3247" s="1">
        <v>73</v>
      </c>
      <c r="AH3247" s="1">
        <v>70</v>
      </c>
      <c r="AI3247" s="1">
        <v>78</v>
      </c>
      <c r="AJ3247" s="1">
        <v>2</v>
      </c>
      <c r="AK3247" s="1">
        <v>42</v>
      </c>
      <c r="AL3247" s="1" t="s">
        <v>5232</v>
      </c>
      <c r="AM3247" s="1" t="s">
        <v>286</v>
      </c>
      <c r="AN3247" s="1" t="s">
        <v>5233</v>
      </c>
      <c r="AO3247" s="1" t="s">
        <v>21324</v>
      </c>
      <c r="AP3247" s="1" t="s">
        <v>21325</v>
      </c>
      <c r="AQ3247" s="1" t="s">
        <v>74</v>
      </c>
      <c r="AR3247" s="1" t="s">
        <v>21326</v>
      </c>
      <c r="AS3247" s="1" t="s">
        <v>21327</v>
      </c>
      <c r="AT3247" s="1" t="s">
        <v>93</v>
      </c>
      <c r="AU3247" s="1">
        <v>2005</v>
      </c>
      <c r="AV3247" s="1">
        <v>59</v>
      </c>
      <c r="AW3247" s="1">
        <v>1</v>
      </c>
      <c r="AX3247" s="1" t="s">
        <v>74</v>
      </c>
      <c r="AY3247" s="1" t="s">
        <v>74</v>
      </c>
      <c r="AZ3247" s="1" t="s">
        <v>74</v>
      </c>
      <c r="BA3247" s="1" t="s">
        <v>74</v>
      </c>
      <c r="BB3247" s="1">
        <v>71</v>
      </c>
      <c r="BC3247" s="1">
        <v>83</v>
      </c>
      <c r="BD3247" s="1" t="s">
        <v>74</v>
      </c>
      <c r="BE3247" s="1" t="s">
        <v>51573</v>
      </c>
      <c r="BF3247" s="1" t="str">
        <f>HYPERLINK("http://dx.doi.org/10.1007/s10152-004-0208-0","http://dx.doi.org/10.1007/s10152-004-0208-0")</f>
        <v>http://dx.doi.org/10.1007/s10152-004-0208-0</v>
      </c>
      <c r="BG3247" s="1" t="s">
        <v>74</v>
      </c>
      <c r="BH3247" s="1" t="s">
        <v>74</v>
      </c>
      <c r="BI3247" s="1">
        <v>13</v>
      </c>
      <c r="BJ3247" s="1" t="s">
        <v>4241</v>
      </c>
      <c r="BK3247" s="1" t="s">
        <v>96</v>
      </c>
      <c r="BL3247" s="1" t="s">
        <v>4241</v>
      </c>
      <c r="BM3247" s="1" t="s">
        <v>51574</v>
      </c>
      <c r="BN3247" s="1" t="s">
        <v>74</v>
      </c>
      <c r="BO3247" s="1" t="s">
        <v>17672</v>
      </c>
      <c r="BP3247" s="1" t="s">
        <v>74</v>
      </c>
      <c r="BQ3247" s="1" t="s">
        <v>74</v>
      </c>
      <c r="BR3247" s="1" t="s">
        <v>98</v>
      </c>
      <c r="BS3247" s="1" t="s">
        <v>51575</v>
      </c>
      <c r="BT3247" s="1" t="str">
        <f>HYPERLINK("https%3A%2F%2Fwww.webofscience.com%2Fwos%2Fwoscc%2Ffull-record%2FWOS:000228334500009","View Full Record in Web of Science")</f>
        <v>View Full Record in Web of Science</v>
      </c>
      <c r="BU3247" s="1"/>
      <c r="BV3247" s="1"/>
    </row>
    <row r="3248" spans="1:74">
      <c r="A3248" s="1" t="s">
        <v>72</v>
      </c>
      <c r="B3248" s="1" t="s">
        <v>51576</v>
      </c>
      <c r="C3248" s="1" t="s">
        <v>74</v>
      </c>
      <c r="D3248" s="1" t="s">
        <v>74</v>
      </c>
      <c r="E3248" s="1" t="s">
        <v>74</v>
      </c>
      <c r="F3248" s="1" t="s">
        <v>51576</v>
      </c>
      <c r="G3248" s="1" t="s">
        <v>74</v>
      </c>
      <c r="H3248" s="1" t="s">
        <v>74</v>
      </c>
      <c r="I3248" s="1" t="s">
        <v>51577</v>
      </c>
      <c r="J3248" s="1" t="s">
        <v>752</v>
      </c>
      <c r="K3248" s="1" t="s">
        <v>74</v>
      </c>
      <c r="L3248" s="1" t="s">
        <v>74</v>
      </c>
      <c r="M3248" s="1" t="s">
        <v>78</v>
      </c>
      <c r="N3248" s="1" t="s">
        <v>151</v>
      </c>
      <c r="O3248" s="1" t="s">
        <v>16463</v>
      </c>
      <c r="P3248" s="1" t="s">
        <v>16464</v>
      </c>
      <c r="Q3248" s="1" t="s">
        <v>16465</v>
      </c>
      <c r="R3248" s="1" t="s">
        <v>74</v>
      </c>
      <c r="S3248" s="1" t="s">
        <v>74</v>
      </c>
      <c r="T3248" s="1" t="s">
        <v>74</v>
      </c>
      <c r="U3248" s="1" t="s">
        <v>51578</v>
      </c>
      <c r="V3248" s="1" t="s">
        <v>51579</v>
      </c>
      <c r="W3248" s="1" t="s">
        <v>51580</v>
      </c>
      <c r="X3248" s="1" t="s">
        <v>51581</v>
      </c>
      <c r="Y3248" s="1" t="s">
        <v>51582</v>
      </c>
      <c r="Z3248" s="1" t="s">
        <v>74</v>
      </c>
      <c r="AA3248" s="1" t="s">
        <v>74</v>
      </c>
      <c r="AB3248" s="1" t="s">
        <v>74</v>
      </c>
      <c r="AC3248" s="1" t="s">
        <v>74</v>
      </c>
      <c r="AD3248" s="1" t="s">
        <v>74</v>
      </c>
      <c r="AE3248" s="1" t="s">
        <v>74</v>
      </c>
      <c r="AF3248" s="1" t="s">
        <v>74</v>
      </c>
      <c r="AG3248" s="1">
        <v>10</v>
      </c>
      <c r="AH3248" s="1">
        <v>10</v>
      </c>
      <c r="AI3248" s="1">
        <v>10</v>
      </c>
      <c r="AJ3248" s="1">
        <v>0</v>
      </c>
      <c r="AK3248" s="1">
        <v>2</v>
      </c>
      <c r="AL3248" s="1" t="s">
        <v>430</v>
      </c>
      <c r="AM3248" s="1" t="s">
        <v>137</v>
      </c>
      <c r="AN3248" s="1" t="s">
        <v>431</v>
      </c>
      <c r="AO3248" s="1" t="s">
        <v>761</v>
      </c>
      <c r="AP3248" s="1" t="s">
        <v>74</v>
      </c>
      <c r="AQ3248" s="1" t="s">
        <v>74</v>
      </c>
      <c r="AR3248" s="1" t="s">
        <v>763</v>
      </c>
      <c r="AS3248" s="1" t="s">
        <v>764</v>
      </c>
      <c r="AT3248" s="1" t="s">
        <v>5113</v>
      </c>
      <c r="AU3248" s="1">
        <v>1998</v>
      </c>
      <c r="AV3248" s="1">
        <v>46</v>
      </c>
      <c r="AW3248" s="1" t="s">
        <v>9558</v>
      </c>
      <c r="AX3248" s="1" t="s">
        <v>74</v>
      </c>
      <c r="AY3248" s="1" t="s">
        <v>74</v>
      </c>
      <c r="AZ3248" s="1" t="s">
        <v>74</v>
      </c>
      <c r="BA3248" s="1" t="s">
        <v>74</v>
      </c>
      <c r="BB3248" s="1">
        <v>433</v>
      </c>
      <c r="BC3248" s="1">
        <v>437</v>
      </c>
      <c r="BD3248" s="1" t="s">
        <v>74</v>
      </c>
      <c r="BE3248" s="1" t="s">
        <v>51583</v>
      </c>
      <c r="BF3248" s="1" t="str">
        <f>HYPERLINK("http://dx.doi.org/10.1016/S0141-1136(97)00116-5","http://dx.doi.org/10.1016/S0141-1136(97)00116-5")</f>
        <v>http://dx.doi.org/10.1016/S0141-1136(97)00116-5</v>
      </c>
      <c r="BG3248" s="1" t="s">
        <v>74</v>
      </c>
      <c r="BH3248" s="1" t="s">
        <v>74</v>
      </c>
      <c r="BI3248" s="1">
        <v>5</v>
      </c>
      <c r="BJ3248" s="1" t="s">
        <v>768</v>
      </c>
      <c r="BK3248" s="1" t="s">
        <v>588</v>
      </c>
      <c r="BL3248" s="1" t="s">
        <v>769</v>
      </c>
      <c r="BM3248" s="1" t="s">
        <v>16472</v>
      </c>
      <c r="BN3248" s="1" t="s">
        <v>74</v>
      </c>
      <c r="BO3248" s="1" t="s">
        <v>74</v>
      </c>
      <c r="BP3248" s="1" t="s">
        <v>74</v>
      </c>
      <c r="BQ3248" s="1" t="s">
        <v>74</v>
      </c>
      <c r="BR3248" s="1" t="s">
        <v>98</v>
      </c>
      <c r="BS3248" s="1" t="s">
        <v>51584</v>
      </c>
      <c r="BT3248" s="1" t="str">
        <f>HYPERLINK("https%3A%2F%2Fwww.webofscience.com%2Fwos%2Fwoscc%2Ffull-record%2FWOS:000075806100087","View Full Record in Web of Science")</f>
        <v>View Full Record in Web of Science</v>
      </c>
      <c r="BU3248" s="1"/>
      <c r="BV3248" s="1"/>
    </row>
    <row r="3249" spans="1:74">
      <c r="A3249" s="1" t="s">
        <v>72</v>
      </c>
      <c r="B3249" s="1" t="s">
        <v>51585</v>
      </c>
      <c r="C3249" s="1" t="s">
        <v>74</v>
      </c>
      <c r="D3249" s="1" t="s">
        <v>74</v>
      </c>
      <c r="E3249" s="1" t="s">
        <v>74</v>
      </c>
      <c r="F3249" s="1" t="s">
        <v>51585</v>
      </c>
      <c r="G3249" s="1" t="s">
        <v>74</v>
      </c>
      <c r="H3249" s="1" t="s">
        <v>74</v>
      </c>
      <c r="I3249" s="1" t="s">
        <v>51586</v>
      </c>
      <c r="J3249" s="1" t="s">
        <v>51587</v>
      </c>
      <c r="K3249" s="1" t="s">
        <v>74</v>
      </c>
      <c r="L3249" s="1" t="s">
        <v>74</v>
      </c>
      <c r="M3249" s="1" t="s">
        <v>78</v>
      </c>
      <c r="N3249" s="1" t="s">
        <v>79</v>
      </c>
      <c r="O3249" s="1" t="s">
        <v>74</v>
      </c>
      <c r="P3249" s="1" t="s">
        <v>74</v>
      </c>
      <c r="Q3249" s="1" t="s">
        <v>74</v>
      </c>
      <c r="R3249" s="1" t="s">
        <v>74</v>
      </c>
      <c r="S3249" s="1" t="s">
        <v>74</v>
      </c>
      <c r="T3249" s="1" t="s">
        <v>74</v>
      </c>
      <c r="U3249" s="1" t="s">
        <v>51588</v>
      </c>
      <c r="V3249" s="1" t="s">
        <v>51589</v>
      </c>
      <c r="W3249" s="1" t="s">
        <v>51590</v>
      </c>
      <c r="X3249" s="1" t="s">
        <v>51591</v>
      </c>
      <c r="Y3249" s="1" t="s">
        <v>51592</v>
      </c>
      <c r="Z3249" s="1" t="s">
        <v>74</v>
      </c>
      <c r="AA3249" s="1" t="s">
        <v>74</v>
      </c>
      <c r="AB3249" s="1" t="s">
        <v>74</v>
      </c>
      <c r="AC3249" s="1" t="s">
        <v>74</v>
      </c>
      <c r="AD3249" s="1" t="s">
        <v>74</v>
      </c>
      <c r="AE3249" s="1" t="s">
        <v>74</v>
      </c>
      <c r="AF3249" s="1" t="s">
        <v>74</v>
      </c>
      <c r="AG3249" s="1">
        <v>28</v>
      </c>
      <c r="AH3249" s="1">
        <v>482</v>
      </c>
      <c r="AI3249" s="1">
        <v>605</v>
      </c>
      <c r="AJ3249" s="1">
        <v>5</v>
      </c>
      <c r="AK3249" s="1">
        <v>244</v>
      </c>
      <c r="AL3249" s="1" t="s">
        <v>51593</v>
      </c>
      <c r="AM3249" s="1" t="s">
        <v>4154</v>
      </c>
      <c r="AN3249" s="1" t="s">
        <v>51594</v>
      </c>
      <c r="AO3249" s="1" t="s">
        <v>51595</v>
      </c>
      <c r="AP3249" s="1" t="s">
        <v>74</v>
      </c>
      <c r="AQ3249" s="1" t="s">
        <v>74</v>
      </c>
      <c r="AR3249" s="1" t="s">
        <v>51596</v>
      </c>
      <c r="AS3249" s="1" t="s">
        <v>51597</v>
      </c>
      <c r="AT3249" s="1" t="s">
        <v>267</v>
      </c>
      <c r="AU3249" s="1">
        <v>1997</v>
      </c>
      <c r="AV3249" s="1">
        <v>11</v>
      </c>
      <c r="AW3249" s="1">
        <v>5</v>
      </c>
      <c r="AX3249" s="1" t="s">
        <v>74</v>
      </c>
      <c r="AY3249" s="1" t="s">
        <v>74</v>
      </c>
      <c r="AZ3249" s="1" t="s">
        <v>74</v>
      </c>
      <c r="BA3249" s="1" t="s">
        <v>74</v>
      </c>
      <c r="BB3249" s="1">
        <v>1081</v>
      </c>
      <c r="BC3249" s="1">
        <v>1093</v>
      </c>
      <c r="BD3249" s="1" t="s">
        <v>74</v>
      </c>
      <c r="BE3249" s="1" t="s">
        <v>51598</v>
      </c>
      <c r="BF3249" s="1" t="str">
        <f>HYPERLINK("http://dx.doi.org/10.1046/j.1523-1739.1997.96236.x","http://dx.doi.org/10.1046/j.1523-1739.1997.96236.x")</f>
        <v>http://dx.doi.org/10.1046/j.1523-1739.1997.96236.x</v>
      </c>
      <c r="BG3249" s="1" t="s">
        <v>74</v>
      </c>
      <c r="BH3249" s="1" t="s">
        <v>74</v>
      </c>
      <c r="BI3249" s="1">
        <v>13</v>
      </c>
      <c r="BJ3249" s="1" t="s">
        <v>51599</v>
      </c>
      <c r="BK3249" s="1" t="s">
        <v>96</v>
      </c>
      <c r="BL3249" s="1" t="s">
        <v>4924</v>
      </c>
      <c r="BM3249" s="1" t="s">
        <v>51600</v>
      </c>
      <c r="BN3249" s="1" t="s">
        <v>74</v>
      </c>
      <c r="BO3249" s="1" t="s">
        <v>74</v>
      </c>
      <c r="BP3249" s="1" t="s">
        <v>74</v>
      </c>
      <c r="BQ3249" s="1" t="s">
        <v>74</v>
      </c>
      <c r="BR3249" s="1" t="s">
        <v>98</v>
      </c>
      <c r="BS3249" s="1" t="s">
        <v>51601</v>
      </c>
      <c r="BT3249" s="1" t="str">
        <f>HYPERLINK("https%3A%2F%2Fwww.webofscience.com%2Fwos%2Fwoscc%2Ffull-record%2FWOS:A1997YB76000006","View Full Record in Web of Science")</f>
        <v>View Full Record in Web of Science</v>
      </c>
      <c r="BU3249" s="1"/>
      <c r="BV3249" s="1"/>
    </row>
    <row r="3250" spans="1:74">
      <c r="A3250" s="1" t="s">
        <v>72</v>
      </c>
      <c r="B3250" s="1" t="s">
        <v>51602</v>
      </c>
      <c r="C3250" s="1" t="s">
        <v>74</v>
      </c>
      <c r="D3250" s="1" t="s">
        <v>74</v>
      </c>
      <c r="E3250" s="1" t="s">
        <v>74</v>
      </c>
      <c r="F3250" s="1" t="s">
        <v>51603</v>
      </c>
      <c r="G3250" s="1" t="s">
        <v>74</v>
      </c>
      <c r="H3250" s="1" t="s">
        <v>74</v>
      </c>
      <c r="I3250" s="1" t="s">
        <v>51604</v>
      </c>
      <c r="J3250" s="1" t="s">
        <v>641</v>
      </c>
      <c r="K3250" s="1" t="s">
        <v>74</v>
      </c>
      <c r="L3250" s="1" t="s">
        <v>74</v>
      </c>
      <c r="M3250" s="1" t="s">
        <v>78</v>
      </c>
      <c r="N3250" s="1" t="s">
        <v>79</v>
      </c>
      <c r="O3250" s="1" t="s">
        <v>74</v>
      </c>
      <c r="P3250" s="1" t="s">
        <v>74</v>
      </c>
      <c r="Q3250" s="1" t="s">
        <v>74</v>
      </c>
      <c r="R3250" s="1" t="s">
        <v>74</v>
      </c>
      <c r="S3250" s="1" t="s">
        <v>74</v>
      </c>
      <c r="T3250" s="1" t="s">
        <v>51605</v>
      </c>
      <c r="U3250" s="1" t="s">
        <v>51606</v>
      </c>
      <c r="V3250" s="1" t="s">
        <v>51607</v>
      </c>
      <c r="W3250" s="1" t="s">
        <v>51608</v>
      </c>
      <c r="X3250" s="1" t="s">
        <v>4386</v>
      </c>
      <c r="Y3250" s="1" t="s">
        <v>51609</v>
      </c>
      <c r="Z3250" s="1" t="s">
        <v>51610</v>
      </c>
      <c r="AA3250" s="1" t="s">
        <v>51611</v>
      </c>
      <c r="AB3250" s="1" t="s">
        <v>51612</v>
      </c>
      <c r="AC3250" s="1" t="s">
        <v>74</v>
      </c>
      <c r="AD3250" s="1" t="s">
        <v>74</v>
      </c>
      <c r="AE3250" s="1" t="s">
        <v>74</v>
      </c>
      <c r="AF3250" s="1" t="s">
        <v>74</v>
      </c>
      <c r="AG3250" s="1">
        <v>52</v>
      </c>
      <c r="AH3250" s="1">
        <v>62</v>
      </c>
      <c r="AI3250" s="1">
        <v>71</v>
      </c>
      <c r="AJ3250" s="1">
        <v>0</v>
      </c>
      <c r="AK3250" s="1">
        <v>23</v>
      </c>
      <c r="AL3250" s="1" t="s">
        <v>650</v>
      </c>
      <c r="AM3250" s="1" t="s">
        <v>651</v>
      </c>
      <c r="AN3250" s="1" t="s">
        <v>652</v>
      </c>
      <c r="AO3250" s="1" t="s">
        <v>653</v>
      </c>
      <c r="AP3250" s="1" t="s">
        <v>654</v>
      </c>
      <c r="AQ3250" s="1" t="s">
        <v>74</v>
      </c>
      <c r="AR3250" s="1" t="s">
        <v>655</v>
      </c>
      <c r="AS3250" s="1" t="s">
        <v>656</v>
      </c>
      <c r="AT3250" s="1" t="s">
        <v>387</v>
      </c>
      <c r="AU3250" s="1">
        <v>2007</v>
      </c>
      <c r="AV3250" s="1">
        <v>82</v>
      </c>
      <c r="AW3250" s="1">
        <v>3</v>
      </c>
      <c r="AX3250" s="1" t="s">
        <v>74</v>
      </c>
      <c r="AY3250" s="1" t="s">
        <v>74</v>
      </c>
      <c r="AZ3250" s="1" t="s">
        <v>74</v>
      </c>
      <c r="BA3250" s="1" t="s">
        <v>74</v>
      </c>
      <c r="BB3250" s="1">
        <v>163</v>
      </c>
      <c r="BC3250" s="1">
        <v>172</v>
      </c>
      <c r="BD3250" s="1" t="s">
        <v>74</v>
      </c>
      <c r="BE3250" s="1" t="s">
        <v>51613</v>
      </c>
      <c r="BF3250" s="1" t="str">
        <f>HYPERLINK("http://dx.doi.org/10.1016/j.aquatox.2007.02.008","http://dx.doi.org/10.1016/j.aquatox.2007.02.008")</f>
        <v>http://dx.doi.org/10.1016/j.aquatox.2007.02.008</v>
      </c>
      <c r="BG3250" s="1" t="s">
        <v>74</v>
      </c>
      <c r="BH3250" s="1" t="s">
        <v>74</v>
      </c>
      <c r="BI3250" s="1">
        <v>10</v>
      </c>
      <c r="BJ3250" s="1" t="s">
        <v>659</v>
      </c>
      <c r="BK3250" s="1" t="s">
        <v>96</v>
      </c>
      <c r="BL3250" s="1" t="s">
        <v>659</v>
      </c>
      <c r="BM3250" s="1" t="s">
        <v>51614</v>
      </c>
      <c r="BN3250" s="1">
        <v>17379326</v>
      </c>
      <c r="BO3250" s="1" t="s">
        <v>74</v>
      </c>
      <c r="BP3250" s="1" t="s">
        <v>74</v>
      </c>
      <c r="BQ3250" s="1" t="s">
        <v>74</v>
      </c>
      <c r="BR3250" s="1" t="s">
        <v>98</v>
      </c>
      <c r="BS3250" s="1" t="s">
        <v>51615</v>
      </c>
      <c r="BT3250" s="1" t="str">
        <f>HYPERLINK("https%3A%2F%2Fwww.webofscience.com%2Fwos%2Fwoscc%2Ffull-record%2FWOS:000246138800002","View Full Record in Web of Science")</f>
        <v>View Full Record in Web of Science</v>
      </c>
      <c r="BU3250" s="1"/>
      <c r="BV3250" s="1"/>
    </row>
    <row r="3251" spans="1:74">
      <c r="A3251" s="1" t="s">
        <v>72</v>
      </c>
      <c r="B3251" s="1" t="s">
        <v>51616</v>
      </c>
      <c r="C3251" s="1" t="s">
        <v>74</v>
      </c>
      <c r="D3251" s="1" t="s">
        <v>74</v>
      </c>
      <c r="E3251" s="1" t="s">
        <v>74</v>
      </c>
      <c r="F3251" s="1" t="s">
        <v>51616</v>
      </c>
      <c r="G3251" s="1" t="s">
        <v>74</v>
      </c>
      <c r="H3251" s="1" t="s">
        <v>74</v>
      </c>
      <c r="I3251" s="1" t="s">
        <v>51617</v>
      </c>
      <c r="J3251" s="1" t="s">
        <v>752</v>
      </c>
      <c r="K3251" s="1" t="s">
        <v>74</v>
      </c>
      <c r="L3251" s="1" t="s">
        <v>74</v>
      </c>
      <c r="M3251" s="1" t="s">
        <v>78</v>
      </c>
      <c r="N3251" s="1" t="s">
        <v>151</v>
      </c>
      <c r="O3251" s="1" t="s">
        <v>16463</v>
      </c>
      <c r="P3251" s="1" t="s">
        <v>16464</v>
      </c>
      <c r="Q3251" s="1" t="s">
        <v>16465</v>
      </c>
      <c r="R3251" s="1" t="s">
        <v>74</v>
      </c>
      <c r="S3251" s="1" t="s">
        <v>74</v>
      </c>
      <c r="T3251" s="1" t="s">
        <v>74</v>
      </c>
      <c r="U3251" s="1" t="s">
        <v>51618</v>
      </c>
      <c r="V3251" s="1" t="s">
        <v>51619</v>
      </c>
      <c r="W3251" s="1" t="s">
        <v>51620</v>
      </c>
      <c r="X3251" s="1" t="s">
        <v>33766</v>
      </c>
      <c r="Y3251" s="1" t="s">
        <v>51621</v>
      </c>
      <c r="Z3251" s="1" t="s">
        <v>74</v>
      </c>
      <c r="AA3251" s="1" t="s">
        <v>74</v>
      </c>
      <c r="AB3251" s="1" t="s">
        <v>74</v>
      </c>
      <c r="AC3251" s="1" t="s">
        <v>74</v>
      </c>
      <c r="AD3251" s="1" t="s">
        <v>74</v>
      </c>
      <c r="AE3251" s="1" t="s">
        <v>74</v>
      </c>
      <c r="AF3251" s="1" t="s">
        <v>74</v>
      </c>
      <c r="AG3251" s="1">
        <v>11</v>
      </c>
      <c r="AH3251" s="1">
        <v>30</v>
      </c>
      <c r="AI3251" s="1">
        <v>33</v>
      </c>
      <c r="AJ3251" s="1">
        <v>0</v>
      </c>
      <c r="AK3251" s="1">
        <v>5</v>
      </c>
      <c r="AL3251" s="1" t="s">
        <v>430</v>
      </c>
      <c r="AM3251" s="1" t="s">
        <v>137</v>
      </c>
      <c r="AN3251" s="1" t="s">
        <v>431</v>
      </c>
      <c r="AO3251" s="1" t="s">
        <v>761</v>
      </c>
      <c r="AP3251" s="1" t="s">
        <v>74</v>
      </c>
      <c r="AQ3251" s="1" t="s">
        <v>74</v>
      </c>
      <c r="AR3251" s="1" t="s">
        <v>763</v>
      </c>
      <c r="AS3251" s="1" t="s">
        <v>764</v>
      </c>
      <c r="AT3251" s="1" t="s">
        <v>5113</v>
      </c>
      <c r="AU3251" s="1">
        <v>1998</v>
      </c>
      <c r="AV3251" s="1">
        <v>46</v>
      </c>
      <c r="AW3251" s="1" t="s">
        <v>9558</v>
      </c>
      <c r="AX3251" s="1" t="s">
        <v>74</v>
      </c>
      <c r="AY3251" s="1" t="s">
        <v>74</v>
      </c>
      <c r="AZ3251" s="1" t="s">
        <v>74</v>
      </c>
      <c r="BA3251" s="1" t="s">
        <v>74</v>
      </c>
      <c r="BB3251" s="1">
        <v>545</v>
      </c>
      <c r="BC3251" s="1">
        <v>550</v>
      </c>
      <c r="BD3251" s="1" t="s">
        <v>74</v>
      </c>
      <c r="BE3251" s="1" t="s">
        <v>51622</v>
      </c>
      <c r="BF3251" s="1" t="str">
        <f>HYPERLINK("http://dx.doi.org/10.1016/S0141-1136(97)00106-2","http://dx.doi.org/10.1016/S0141-1136(97)00106-2")</f>
        <v>http://dx.doi.org/10.1016/S0141-1136(97)00106-2</v>
      </c>
      <c r="BG3251" s="1" t="s">
        <v>74</v>
      </c>
      <c r="BH3251" s="1" t="s">
        <v>74</v>
      </c>
      <c r="BI3251" s="1">
        <v>6</v>
      </c>
      <c r="BJ3251" s="1" t="s">
        <v>768</v>
      </c>
      <c r="BK3251" s="1" t="s">
        <v>588</v>
      </c>
      <c r="BL3251" s="1" t="s">
        <v>769</v>
      </c>
      <c r="BM3251" s="1" t="s">
        <v>16472</v>
      </c>
      <c r="BN3251" s="1" t="s">
        <v>74</v>
      </c>
      <c r="BO3251" s="1" t="s">
        <v>74</v>
      </c>
      <c r="BP3251" s="1" t="s">
        <v>74</v>
      </c>
      <c r="BQ3251" s="1" t="s">
        <v>74</v>
      </c>
      <c r="BR3251" s="1" t="s">
        <v>98</v>
      </c>
      <c r="BS3251" s="1" t="s">
        <v>51623</v>
      </c>
      <c r="BT3251" s="1" t="str">
        <f>HYPERLINK("https%3A%2F%2Fwww.webofscience.com%2Fwos%2Fwoscc%2Ffull-record%2FWOS:000075806100112","View Full Record in Web of Science")</f>
        <v>View Full Record in Web of Science</v>
      </c>
      <c r="BU3251" s="1"/>
      <c r="BV3251" s="1"/>
    </row>
    <row r="3252" spans="1:74">
      <c r="A3252" s="1" t="s">
        <v>72</v>
      </c>
      <c r="B3252" s="1" t="s">
        <v>51624</v>
      </c>
      <c r="C3252" s="1" t="s">
        <v>74</v>
      </c>
      <c r="D3252" s="1" t="s">
        <v>74</v>
      </c>
      <c r="E3252" s="1" t="s">
        <v>74</v>
      </c>
      <c r="F3252" s="1" t="s">
        <v>51625</v>
      </c>
      <c r="G3252" s="1" t="s">
        <v>74</v>
      </c>
      <c r="H3252" s="1" t="s">
        <v>74</v>
      </c>
      <c r="I3252" s="1" t="s">
        <v>51626</v>
      </c>
      <c r="J3252" s="1" t="s">
        <v>51627</v>
      </c>
      <c r="K3252" s="1" t="s">
        <v>74</v>
      </c>
      <c r="L3252" s="1" t="s">
        <v>74</v>
      </c>
      <c r="M3252" s="1" t="s">
        <v>78</v>
      </c>
      <c r="N3252" s="1" t="s">
        <v>79</v>
      </c>
      <c r="O3252" s="1" t="s">
        <v>74</v>
      </c>
      <c r="P3252" s="1" t="s">
        <v>74</v>
      </c>
      <c r="Q3252" s="1" t="s">
        <v>74</v>
      </c>
      <c r="R3252" s="1" t="s">
        <v>74</v>
      </c>
      <c r="S3252" s="1" t="s">
        <v>74</v>
      </c>
      <c r="T3252" s="1" t="s">
        <v>51628</v>
      </c>
      <c r="U3252" s="1" t="s">
        <v>51629</v>
      </c>
      <c r="V3252" s="1" t="s">
        <v>51630</v>
      </c>
      <c r="W3252" s="1" t="s">
        <v>51631</v>
      </c>
      <c r="X3252" s="1" t="s">
        <v>51632</v>
      </c>
      <c r="Y3252" s="1" t="s">
        <v>51633</v>
      </c>
      <c r="Z3252" s="1" t="s">
        <v>51634</v>
      </c>
      <c r="AA3252" s="1" t="s">
        <v>51635</v>
      </c>
      <c r="AB3252" s="1" t="s">
        <v>51636</v>
      </c>
      <c r="AC3252" s="1" t="s">
        <v>51637</v>
      </c>
      <c r="AD3252" s="1" t="s">
        <v>51638</v>
      </c>
      <c r="AE3252" s="1" t="s">
        <v>51639</v>
      </c>
      <c r="AF3252" s="1" t="s">
        <v>74</v>
      </c>
      <c r="AG3252" s="1">
        <v>64</v>
      </c>
      <c r="AH3252" s="1">
        <v>3</v>
      </c>
      <c r="AI3252" s="1">
        <v>3</v>
      </c>
      <c r="AJ3252" s="1">
        <v>5</v>
      </c>
      <c r="AK3252" s="1">
        <v>19</v>
      </c>
      <c r="AL3252" s="1" t="s">
        <v>136</v>
      </c>
      <c r="AM3252" s="1" t="s">
        <v>137</v>
      </c>
      <c r="AN3252" s="1" t="s">
        <v>138</v>
      </c>
      <c r="AO3252" s="1" t="s">
        <v>51640</v>
      </c>
      <c r="AP3252" s="1" t="s">
        <v>51641</v>
      </c>
      <c r="AQ3252" s="1" t="s">
        <v>74</v>
      </c>
      <c r="AR3252" s="1" t="s">
        <v>51642</v>
      </c>
      <c r="AS3252" s="1" t="s">
        <v>51643</v>
      </c>
      <c r="AT3252" s="1" t="s">
        <v>267</v>
      </c>
      <c r="AU3252" s="1">
        <v>2023</v>
      </c>
      <c r="AV3252" s="1">
        <v>181</v>
      </c>
      <c r="AW3252" s="1" t="s">
        <v>74</v>
      </c>
      <c r="AX3252" s="1" t="s">
        <v>74</v>
      </c>
      <c r="AY3252" s="1" t="s">
        <v>74</v>
      </c>
      <c r="AZ3252" s="1" t="s">
        <v>74</v>
      </c>
      <c r="BA3252" s="1" t="s">
        <v>74</v>
      </c>
      <c r="BB3252" s="1" t="s">
        <v>74</v>
      </c>
      <c r="BC3252" s="1" t="s">
        <v>74</v>
      </c>
      <c r="BD3252" s="1">
        <v>111556</v>
      </c>
      <c r="BE3252" s="1" t="s">
        <v>51644</v>
      </c>
      <c r="BF3252" s="1" t="str">
        <f>HYPERLINK("http://dx.doi.org/10.1016/j.jpcs.2023.111556","http://dx.doi.org/10.1016/j.jpcs.2023.111556")</f>
        <v>http://dx.doi.org/10.1016/j.jpcs.2023.111556</v>
      </c>
      <c r="BG3252" s="1" t="s">
        <v>74</v>
      </c>
      <c r="BH3252" s="1" t="s">
        <v>1121</v>
      </c>
      <c r="BI3252" s="1">
        <v>13</v>
      </c>
      <c r="BJ3252" s="1" t="s">
        <v>51645</v>
      </c>
      <c r="BK3252" s="1" t="s">
        <v>96</v>
      </c>
      <c r="BL3252" s="1" t="s">
        <v>8656</v>
      </c>
      <c r="BM3252" s="1" t="s">
        <v>51646</v>
      </c>
      <c r="BN3252" s="1" t="s">
        <v>74</v>
      </c>
      <c r="BO3252" s="1" t="s">
        <v>74</v>
      </c>
      <c r="BP3252" s="1" t="s">
        <v>74</v>
      </c>
      <c r="BQ3252" s="1" t="s">
        <v>74</v>
      </c>
      <c r="BR3252" s="1" t="s">
        <v>98</v>
      </c>
      <c r="BS3252" s="1" t="s">
        <v>51647</v>
      </c>
      <c r="BT3252" s="1" t="str">
        <f>HYPERLINK("https%3A%2F%2Fwww.webofscience.com%2Fwos%2Fwoscc%2Ffull-record%2FWOS:001045730600001","View Full Record in Web of Science")</f>
        <v>View Full Record in Web of Science</v>
      </c>
      <c r="BU3252" s="1"/>
      <c r="BV3252" s="1"/>
    </row>
    <row r="3253" spans="1:74">
      <c r="A3253" s="1" t="s">
        <v>72</v>
      </c>
      <c r="B3253" s="1" t="s">
        <v>51648</v>
      </c>
      <c r="C3253" s="1" t="s">
        <v>74</v>
      </c>
      <c r="D3253" s="1" t="s">
        <v>74</v>
      </c>
      <c r="E3253" s="1" t="s">
        <v>74</v>
      </c>
      <c r="F3253" s="1" t="s">
        <v>51648</v>
      </c>
      <c r="G3253" s="1" t="s">
        <v>74</v>
      </c>
      <c r="H3253" s="1" t="s">
        <v>74</v>
      </c>
      <c r="I3253" s="1" t="s">
        <v>51649</v>
      </c>
      <c r="J3253" s="1" t="s">
        <v>232</v>
      </c>
      <c r="K3253" s="1" t="s">
        <v>74</v>
      </c>
      <c r="L3253" s="1" t="s">
        <v>74</v>
      </c>
      <c r="M3253" s="1" t="s">
        <v>78</v>
      </c>
      <c r="N3253" s="1" t="s">
        <v>79</v>
      </c>
      <c r="O3253" s="1" t="s">
        <v>74</v>
      </c>
      <c r="P3253" s="1" t="s">
        <v>74</v>
      </c>
      <c r="Q3253" s="1" t="s">
        <v>74</v>
      </c>
      <c r="R3253" s="1" t="s">
        <v>74</v>
      </c>
      <c r="S3253" s="1" t="s">
        <v>74</v>
      </c>
      <c r="T3253" s="1" t="s">
        <v>74</v>
      </c>
      <c r="U3253" s="1" t="s">
        <v>51650</v>
      </c>
      <c r="V3253" s="1" t="s">
        <v>51651</v>
      </c>
      <c r="W3253" s="1" t="s">
        <v>51652</v>
      </c>
      <c r="X3253" s="1" t="s">
        <v>5402</v>
      </c>
      <c r="Y3253" s="1" t="s">
        <v>51653</v>
      </c>
      <c r="Z3253" s="1" t="s">
        <v>74</v>
      </c>
      <c r="AA3253" s="1" t="s">
        <v>2808</v>
      </c>
      <c r="AB3253" s="1" t="s">
        <v>2809</v>
      </c>
      <c r="AC3253" s="1" t="s">
        <v>74</v>
      </c>
      <c r="AD3253" s="1" t="s">
        <v>74</v>
      </c>
      <c r="AE3253" s="1" t="s">
        <v>74</v>
      </c>
      <c r="AF3253" s="1" t="s">
        <v>74</v>
      </c>
      <c r="AG3253" s="1">
        <v>37</v>
      </c>
      <c r="AH3253" s="1">
        <v>42</v>
      </c>
      <c r="AI3253" s="1">
        <v>46</v>
      </c>
      <c r="AJ3253" s="1">
        <v>1</v>
      </c>
      <c r="AK3253" s="1">
        <v>7</v>
      </c>
      <c r="AL3253" s="1" t="s">
        <v>136</v>
      </c>
      <c r="AM3253" s="1" t="s">
        <v>137</v>
      </c>
      <c r="AN3253" s="1" t="s">
        <v>138</v>
      </c>
      <c r="AO3253" s="1" t="s">
        <v>240</v>
      </c>
      <c r="AP3253" s="1" t="s">
        <v>241</v>
      </c>
      <c r="AQ3253" s="1" t="s">
        <v>74</v>
      </c>
      <c r="AR3253" s="1" t="s">
        <v>242</v>
      </c>
      <c r="AS3253" s="1" t="s">
        <v>243</v>
      </c>
      <c r="AT3253" s="1" t="s">
        <v>1470</v>
      </c>
      <c r="AU3253" s="1">
        <v>1996</v>
      </c>
      <c r="AV3253" s="1">
        <v>32</v>
      </c>
      <c r="AW3253" s="1">
        <v>1</v>
      </c>
      <c r="AX3253" s="1" t="s">
        <v>74</v>
      </c>
      <c r="AY3253" s="1" t="s">
        <v>74</v>
      </c>
      <c r="AZ3253" s="1" t="s">
        <v>74</v>
      </c>
      <c r="BA3253" s="1" t="s">
        <v>74</v>
      </c>
      <c r="BB3253" s="1">
        <v>39</v>
      </c>
      <c r="BC3253" s="1">
        <v>46</v>
      </c>
      <c r="BD3253" s="1" t="s">
        <v>74</v>
      </c>
      <c r="BE3253" s="1" t="s">
        <v>51654</v>
      </c>
      <c r="BF3253" s="1" t="str">
        <f>HYPERLINK("http://dx.doi.org/10.1016/0025-326X(96)89526-9","http://dx.doi.org/10.1016/0025-326X(96)89526-9")</f>
        <v>http://dx.doi.org/10.1016/0025-326X(96)89526-9</v>
      </c>
      <c r="BG3253" s="1" t="s">
        <v>74</v>
      </c>
      <c r="BH3253" s="1" t="s">
        <v>74</v>
      </c>
      <c r="BI3253" s="1">
        <v>8</v>
      </c>
      <c r="BJ3253" s="1" t="s">
        <v>247</v>
      </c>
      <c r="BK3253" s="1" t="s">
        <v>96</v>
      </c>
      <c r="BL3253" s="1" t="s">
        <v>248</v>
      </c>
      <c r="BM3253" s="1" t="s">
        <v>51655</v>
      </c>
      <c r="BN3253" s="1" t="s">
        <v>74</v>
      </c>
      <c r="BO3253" s="1" t="s">
        <v>74</v>
      </c>
      <c r="BP3253" s="1" t="s">
        <v>74</v>
      </c>
      <c r="BQ3253" s="1" t="s">
        <v>74</v>
      </c>
      <c r="BR3253" s="1" t="s">
        <v>98</v>
      </c>
      <c r="BS3253" s="1" t="s">
        <v>51656</v>
      </c>
      <c r="BT3253" s="1" t="str">
        <f>HYPERLINK("https%3A%2F%2Fwww.webofscience.com%2Fwos%2Fwoscc%2Ffull-record%2FWOS:A1996TU79900010","View Full Record in Web of Science")</f>
        <v>View Full Record in Web of Science</v>
      </c>
      <c r="BU3253" s="1"/>
      <c r="BV3253" s="1"/>
    </row>
    <row r="3254" spans="1:74">
      <c r="A3254" s="1" t="s">
        <v>72</v>
      </c>
      <c r="B3254" s="1" t="s">
        <v>51657</v>
      </c>
      <c r="C3254" s="1" t="s">
        <v>74</v>
      </c>
      <c r="D3254" s="1" t="s">
        <v>74</v>
      </c>
      <c r="E3254" s="1" t="s">
        <v>74</v>
      </c>
      <c r="F3254" s="1" t="s">
        <v>51658</v>
      </c>
      <c r="G3254" s="1" t="s">
        <v>74</v>
      </c>
      <c r="H3254" s="1" t="s">
        <v>74</v>
      </c>
      <c r="I3254" s="1" t="s">
        <v>51659</v>
      </c>
      <c r="J3254" s="1" t="s">
        <v>48407</v>
      </c>
      <c r="K3254" s="1" t="s">
        <v>74</v>
      </c>
      <c r="L3254" s="1" t="s">
        <v>74</v>
      </c>
      <c r="M3254" s="1" t="s">
        <v>78</v>
      </c>
      <c r="N3254" s="1" t="s">
        <v>151</v>
      </c>
      <c r="O3254" s="1" t="s">
        <v>51660</v>
      </c>
      <c r="P3254" s="1" t="s">
        <v>51661</v>
      </c>
      <c r="Q3254" s="1" t="s">
        <v>51662</v>
      </c>
      <c r="R3254" s="1" t="s">
        <v>74</v>
      </c>
      <c r="S3254" s="1" t="s">
        <v>51663</v>
      </c>
      <c r="T3254" s="1" t="s">
        <v>51664</v>
      </c>
      <c r="U3254" s="1" t="s">
        <v>51665</v>
      </c>
      <c r="V3254" s="1" t="s">
        <v>51666</v>
      </c>
      <c r="W3254" s="1" t="s">
        <v>51667</v>
      </c>
      <c r="X3254" s="1" t="s">
        <v>51668</v>
      </c>
      <c r="Y3254" s="1" t="s">
        <v>51669</v>
      </c>
      <c r="Z3254" s="1" t="s">
        <v>51670</v>
      </c>
      <c r="AA3254" s="1" t="s">
        <v>51671</v>
      </c>
      <c r="AB3254" s="1" t="s">
        <v>51672</v>
      </c>
      <c r="AC3254" s="1" t="s">
        <v>74</v>
      </c>
      <c r="AD3254" s="1" t="s">
        <v>74</v>
      </c>
      <c r="AE3254" s="1" t="s">
        <v>74</v>
      </c>
      <c r="AF3254" s="1" t="s">
        <v>74</v>
      </c>
      <c r="AG3254" s="1">
        <v>22</v>
      </c>
      <c r="AH3254" s="1">
        <v>11</v>
      </c>
      <c r="AI3254" s="1">
        <v>11</v>
      </c>
      <c r="AJ3254" s="1">
        <v>12</v>
      </c>
      <c r="AK3254" s="1">
        <v>18</v>
      </c>
      <c r="AL3254" s="1" t="s">
        <v>48420</v>
      </c>
      <c r="AM3254" s="1" t="s">
        <v>45654</v>
      </c>
      <c r="AN3254" s="1" t="s">
        <v>48421</v>
      </c>
      <c r="AO3254" s="1" t="s">
        <v>48422</v>
      </c>
      <c r="AP3254" s="1" t="s">
        <v>48423</v>
      </c>
      <c r="AQ3254" s="1" t="s">
        <v>74</v>
      </c>
      <c r="AR3254" s="1" t="s">
        <v>48424</v>
      </c>
      <c r="AS3254" s="1" t="s">
        <v>48425</v>
      </c>
      <c r="AT3254" s="1" t="s">
        <v>74</v>
      </c>
      <c r="AU3254" s="1">
        <v>2010</v>
      </c>
      <c r="AV3254" s="1">
        <v>58</v>
      </c>
      <c r="AW3254" s="1" t="s">
        <v>74</v>
      </c>
      <c r="AX3254" s="1" t="s">
        <v>74</v>
      </c>
      <c r="AY3254" s="1" t="s">
        <v>74</v>
      </c>
      <c r="AZ3254" s="1" t="s">
        <v>225</v>
      </c>
      <c r="BA3254" s="1" t="s">
        <v>74</v>
      </c>
      <c r="BB3254" s="1">
        <v>29</v>
      </c>
      <c r="BC3254" s="1">
        <v>35</v>
      </c>
      <c r="BD3254" s="1" t="s">
        <v>74</v>
      </c>
      <c r="BE3254" s="1" t="s">
        <v>51673</v>
      </c>
      <c r="BF3254" s="1" t="str">
        <f>HYPERLINK("http://dx.doi.org/10.1590/S1679-87592010000700005","http://dx.doi.org/10.1590/S1679-87592010000700005")</f>
        <v>http://dx.doi.org/10.1590/S1679-87592010000700005</v>
      </c>
      <c r="BG3254" s="1" t="s">
        <v>74</v>
      </c>
      <c r="BH3254" s="1" t="s">
        <v>74</v>
      </c>
      <c r="BI3254" s="1">
        <v>7</v>
      </c>
      <c r="BJ3254" s="1" t="s">
        <v>4241</v>
      </c>
      <c r="BK3254" s="1" t="s">
        <v>172</v>
      </c>
      <c r="BL3254" s="1" t="s">
        <v>4241</v>
      </c>
      <c r="BM3254" s="1" t="s">
        <v>51674</v>
      </c>
      <c r="BN3254" s="1" t="s">
        <v>74</v>
      </c>
      <c r="BO3254" s="1" t="s">
        <v>12743</v>
      </c>
      <c r="BP3254" s="1" t="s">
        <v>74</v>
      </c>
      <c r="BQ3254" s="1" t="s">
        <v>74</v>
      </c>
      <c r="BR3254" s="1" t="s">
        <v>98</v>
      </c>
      <c r="BS3254" s="1" t="s">
        <v>51675</v>
      </c>
      <c r="BT3254" s="1" t="str">
        <f>HYPERLINK("https%3A%2F%2Fwww.webofscience.com%2Fwos%2Fwoscc%2Ffull-record%2FWOS:000281690400005","View Full Record in Web of Science")</f>
        <v>View Full Record in Web of Science</v>
      </c>
      <c r="BU3254" s="1"/>
      <c r="BV3254" s="1"/>
    </row>
    <row r="3255" spans="1:74">
      <c r="A3255" s="1" t="s">
        <v>72</v>
      </c>
      <c r="B3255" s="1" t="s">
        <v>51676</v>
      </c>
      <c r="C3255" s="1" t="s">
        <v>74</v>
      </c>
      <c r="D3255" s="1" t="s">
        <v>74</v>
      </c>
      <c r="E3255" s="1" t="s">
        <v>74</v>
      </c>
      <c r="F3255" s="1" t="s">
        <v>51677</v>
      </c>
      <c r="G3255" s="1" t="s">
        <v>74</v>
      </c>
      <c r="H3255" s="1" t="s">
        <v>74</v>
      </c>
      <c r="I3255" s="1" t="s">
        <v>51678</v>
      </c>
      <c r="J3255" s="1" t="s">
        <v>909</v>
      </c>
      <c r="K3255" s="1" t="s">
        <v>74</v>
      </c>
      <c r="L3255" s="1" t="s">
        <v>74</v>
      </c>
      <c r="M3255" s="1" t="s">
        <v>78</v>
      </c>
      <c r="N3255" s="1" t="s">
        <v>79</v>
      </c>
      <c r="O3255" s="1" t="s">
        <v>74</v>
      </c>
      <c r="P3255" s="1" t="s">
        <v>74</v>
      </c>
      <c r="Q3255" s="1" t="s">
        <v>74</v>
      </c>
      <c r="R3255" s="1" t="s">
        <v>74</v>
      </c>
      <c r="S3255" s="1" t="s">
        <v>74</v>
      </c>
      <c r="T3255" s="1" t="s">
        <v>51679</v>
      </c>
      <c r="U3255" s="1" t="s">
        <v>51680</v>
      </c>
      <c r="V3255" s="1" t="s">
        <v>51681</v>
      </c>
      <c r="W3255" s="1" t="s">
        <v>51682</v>
      </c>
      <c r="X3255" s="1" t="s">
        <v>51683</v>
      </c>
      <c r="Y3255" s="1" t="s">
        <v>51684</v>
      </c>
      <c r="Z3255" s="1" t="s">
        <v>51685</v>
      </c>
      <c r="AA3255" s="1" t="s">
        <v>51686</v>
      </c>
      <c r="AB3255" s="1" t="s">
        <v>74</v>
      </c>
      <c r="AC3255" s="1" t="s">
        <v>51687</v>
      </c>
      <c r="AD3255" s="1" t="s">
        <v>51688</v>
      </c>
      <c r="AE3255" s="1" t="s">
        <v>51689</v>
      </c>
      <c r="AF3255" s="1" t="s">
        <v>74</v>
      </c>
      <c r="AG3255" s="1">
        <v>66</v>
      </c>
      <c r="AH3255" s="1">
        <v>35</v>
      </c>
      <c r="AI3255" s="1">
        <v>37</v>
      </c>
      <c r="AJ3255" s="1">
        <v>47</v>
      </c>
      <c r="AK3255" s="1">
        <v>211</v>
      </c>
      <c r="AL3255" s="1" t="s">
        <v>650</v>
      </c>
      <c r="AM3255" s="1" t="s">
        <v>651</v>
      </c>
      <c r="AN3255" s="1" t="s">
        <v>652</v>
      </c>
      <c r="AO3255" s="1" t="s">
        <v>921</v>
      </c>
      <c r="AP3255" s="1" t="s">
        <v>922</v>
      </c>
      <c r="AQ3255" s="1" t="s">
        <v>74</v>
      </c>
      <c r="AR3255" s="1" t="s">
        <v>923</v>
      </c>
      <c r="AS3255" s="1" t="s">
        <v>924</v>
      </c>
      <c r="AT3255" s="1" t="s">
        <v>546</v>
      </c>
      <c r="AU3255" s="1">
        <v>2022</v>
      </c>
      <c r="AV3255" s="1">
        <v>847</v>
      </c>
      <c r="AW3255" s="1" t="s">
        <v>74</v>
      </c>
      <c r="AX3255" s="1" t="s">
        <v>74</v>
      </c>
      <c r="AY3255" s="1" t="s">
        <v>74</v>
      </c>
      <c r="AZ3255" s="1" t="s">
        <v>74</v>
      </c>
      <c r="BA3255" s="1" t="s">
        <v>74</v>
      </c>
      <c r="BB3255" s="1" t="s">
        <v>74</v>
      </c>
      <c r="BC3255" s="1" t="s">
        <v>74</v>
      </c>
      <c r="BD3255" s="1">
        <v>157486</v>
      </c>
      <c r="BE3255" s="1" t="s">
        <v>51690</v>
      </c>
      <c r="BF3255" s="1" t="str">
        <f>HYPERLINK("http://dx.doi.org/10.1016/j.scitotenv.2022.157486","http://dx.doi.org/10.1016/j.scitotenv.2022.157486")</f>
        <v>http://dx.doi.org/10.1016/j.scitotenv.2022.157486</v>
      </c>
      <c r="BG3255" s="1" t="s">
        <v>74</v>
      </c>
      <c r="BH3255" s="1" t="s">
        <v>74</v>
      </c>
      <c r="BI3255" s="1">
        <v>10</v>
      </c>
      <c r="BJ3255" s="1" t="s">
        <v>144</v>
      </c>
      <c r="BK3255" s="1" t="s">
        <v>96</v>
      </c>
      <c r="BL3255" s="1" t="s">
        <v>145</v>
      </c>
      <c r="BM3255" s="1" t="s">
        <v>51691</v>
      </c>
      <c r="BN3255" s="1">
        <v>35868373</v>
      </c>
      <c r="BO3255" s="1" t="s">
        <v>74</v>
      </c>
      <c r="BP3255" s="1" t="s">
        <v>74</v>
      </c>
      <c r="BQ3255" s="1" t="s">
        <v>74</v>
      </c>
      <c r="BR3255" s="1" t="s">
        <v>98</v>
      </c>
      <c r="BS3255" s="1" t="s">
        <v>51692</v>
      </c>
      <c r="BT3255" s="1" t="str">
        <f>HYPERLINK("https%3A%2F%2Fwww.webofscience.com%2Fwos%2Fwoscc%2Ffull-record%2FWOS:000926442800006","View Full Record in Web of Science")</f>
        <v>View Full Record in Web of Science</v>
      </c>
      <c r="BU3255" s="1"/>
      <c r="BV3255" s="1"/>
    </row>
    <row r="3256" spans="1:74">
      <c r="A3256" s="1" t="s">
        <v>72</v>
      </c>
      <c r="B3256" s="1" t="s">
        <v>51693</v>
      </c>
      <c r="C3256" s="1" t="s">
        <v>74</v>
      </c>
      <c r="D3256" s="1" t="s">
        <v>74</v>
      </c>
      <c r="E3256" s="1" t="s">
        <v>74</v>
      </c>
      <c r="F3256" s="1" t="s">
        <v>51694</v>
      </c>
      <c r="G3256" s="1" t="s">
        <v>74</v>
      </c>
      <c r="H3256" s="1" t="s">
        <v>74</v>
      </c>
      <c r="I3256" s="1" t="s">
        <v>51695</v>
      </c>
      <c r="J3256" s="1" t="s">
        <v>5592</v>
      </c>
      <c r="K3256" s="1" t="s">
        <v>74</v>
      </c>
      <c r="L3256" s="1" t="s">
        <v>74</v>
      </c>
      <c r="M3256" s="1" t="s">
        <v>78</v>
      </c>
      <c r="N3256" s="1" t="s">
        <v>79</v>
      </c>
      <c r="O3256" s="1" t="s">
        <v>74</v>
      </c>
      <c r="P3256" s="1" t="s">
        <v>74</v>
      </c>
      <c r="Q3256" s="1" t="s">
        <v>74</v>
      </c>
      <c r="R3256" s="1" t="s">
        <v>74</v>
      </c>
      <c r="S3256" s="1" t="s">
        <v>74</v>
      </c>
      <c r="T3256" s="1" t="s">
        <v>51696</v>
      </c>
      <c r="U3256" s="1" t="s">
        <v>51697</v>
      </c>
      <c r="V3256" s="1" t="s">
        <v>51698</v>
      </c>
      <c r="W3256" s="1" t="s">
        <v>51699</v>
      </c>
      <c r="X3256" s="1" t="s">
        <v>51700</v>
      </c>
      <c r="Y3256" s="1" t="s">
        <v>51701</v>
      </c>
      <c r="Z3256" s="1" t="s">
        <v>51702</v>
      </c>
      <c r="AA3256" s="1" t="s">
        <v>74</v>
      </c>
      <c r="AB3256" s="1" t="s">
        <v>74</v>
      </c>
      <c r="AC3256" s="1" t="s">
        <v>51703</v>
      </c>
      <c r="AD3256" s="1" t="s">
        <v>51704</v>
      </c>
      <c r="AE3256" s="1" t="s">
        <v>51705</v>
      </c>
      <c r="AF3256" s="1" t="s">
        <v>74</v>
      </c>
      <c r="AG3256" s="1">
        <v>47</v>
      </c>
      <c r="AH3256" s="1">
        <v>17</v>
      </c>
      <c r="AI3256" s="1">
        <v>18</v>
      </c>
      <c r="AJ3256" s="1">
        <v>0</v>
      </c>
      <c r="AK3256" s="1">
        <v>23</v>
      </c>
      <c r="AL3256" s="1" t="s">
        <v>51706</v>
      </c>
      <c r="AM3256" s="1" t="s">
        <v>286</v>
      </c>
      <c r="AN3256" s="1" t="s">
        <v>287</v>
      </c>
      <c r="AO3256" s="1" t="s">
        <v>5605</v>
      </c>
      <c r="AP3256" s="1" t="s">
        <v>74</v>
      </c>
      <c r="AQ3256" s="1" t="s">
        <v>74</v>
      </c>
      <c r="AR3256" s="1" t="s">
        <v>5607</v>
      </c>
      <c r="AS3256" s="1" t="s">
        <v>5608</v>
      </c>
      <c r="AT3256" s="1" t="s">
        <v>33986</v>
      </c>
      <c r="AU3256" s="1">
        <v>2009</v>
      </c>
      <c r="AV3256" s="1">
        <v>81</v>
      </c>
      <c r="AW3256" s="1">
        <v>2</v>
      </c>
      <c r="AX3256" s="1" t="s">
        <v>74</v>
      </c>
      <c r="AY3256" s="1" t="s">
        <v>74</v>
      </c>
      <c r="AZ3256" s="1" t="s">
        <v>74</v>
      </c>
      <c r="BA3256" s="1" t="s">
        <v>74</v>
      </c>
      <c r="BB3256" s="1">
        <v>215</v>
      </c>
      <c r="BC3256" s="1">
        <v>224</v>
      </c>
      <c r="BD3256" s="1" t="s">
        <v>74</v>
      </c>
      <c r="BE3256" s="1" t="s">
        <v>51707</v>
      </c>
      <c r="BF3256" s="1" t="str">
        <f>HYPERLINK("http://dx.doi.org/10.1016/j.ecss.2008.10.015","http://dx.doi.org/10.1016/j.ecss.2008.10.015")</f>
        <v>http://dx.doi.org/10.1016/j.ecss.2008.10.015</v>
      </c>
      <c r="BG3256" s="1" t="s">
        <v>74</v>
      </c>
      <c r="BH3256" s="1" t="s">
        <v>74</v>
      </c>
      <c r="BI3256" s="1">
        <v>10</v>
      </c>
      <c r="BJ3256" s="1" t="s">
        <v>4241</v>
      </c>
      <c r="BK3256" s="1" t="s">
        <v>96</v>
      </c>
      <c r="BL3256" s="1" t="s">
        <v>4241</v>
      </c>
      <c r="BM3256" s="1" t="s">
        <v>51708</v>
      </c>
      <c r="BN3256" s="1" t="s">
        <v>74</v>
      </c>
      <c r="BO3256" s="1" t="s">
        <v>74</v>
      </c>
      <c r="BP3256" s="1" t="s">
        <v>74</v>
      </c>
      <c r="BQ3256" s="1" t="s">
        <v>74</v>
      </c>
      <c r="BR3256" s="1" t="s">
        <v>98</v>
      </c>
      <c r="BS3256" s="1" t="s">
        <v>51709</v>
      </c>
      <c r="BT3256" s="1" t="str">
        <f>HYPERLINK("https%3A%2F%2Fwww.webofscience.com%2Fwos%2Fwoscc%2Ffull-record%2FWOS:000262776200008","View Full Record in Web of Science")</f>
        <v>View Full Record in Web of Science</v>
      </c>
      <c r="BU3256" s="1"/>
      <c r="BV3256" s="1"/>
    </row>
    <row r="3257" spans="1:74">
      <c r="A3257" s="1" t="s">
        <v>72</v>
      </c>
      <c r="B3257" s="1" t="s">
        <v>51710</v>
      </c>
      <c r="C3257" s="1" t="s">
        <v>74</v>
      </c>
      <c r="D3257" s="1" t="s">
        <v>74</v>
      </c>
      <c r="E3257" s="1" t="s">
        <v>74</v>
      </c>
      <c r="F3257" s="1" t="s">
        <v>51711</v>
      </c>
      <c r="G3257" s="1" t="s">
        <v>74</v>
      </c>
      <c r="H3257" s="1" t="s">
        <v>74</v>
      </c>
      <c r="I3257" s="1" t="s">
        <v>51712</v>
      </c>
      <c r="J3257" s="1" t="s">
        <v>2063</v>
      </c>
      <c r="K3257" s="1" t="s">
        <v>74</v>
      </c>
      <c r="L3257" s="1" t="s">
        <v>74</v>
      </c>
      <c r="M3257" s="1" t="s">
        <v>78</v>
      </c>
      <c r="N3257" s="1" t="s">
        <v>79</v>
      </c>
      <c r="O3257" s="1" t="s">
        <v>74</v>
      </c>
      <c r="P3257" s="1" t="s">
        <v>74</v>
      </c>
      <c r="Q3257" s="1" t="s">
        <v>74</v>
      </c>
      <c r="R3257" s="1" t="s">
        <v>74</v>
      </c>
      <c r="S3257" s="1" t="s">
        <v>74</v>
      </c>
      <c r="T3257" s="1" t="s">
        <v>51713</v>
      </c>
      <c r="U3257" s="1" t="s">
        <v>51714</v>
      </c>
      <c r="V3257" s="1" t="s">
        <v>51715</v>
      </c>
      <c r="W3257" s="1" t="s">
        <v>51716</v>
      </c>
      <c r="X3257" s="1" t="s">
        <v>51717</v>
      </c>
      <c r="Y3257" s="1" t="s">
        <v>51718</v>
      </c>
      <c r="Z3257" s="1" t="s">
        <v>51719</v>
      </c>
      <c r="AA3257" s="1" t="s">
        <v>51720</v>
      </c>
      <c r="AB3257" s="1" t="s">
        <v>51721</v>
      </c>
      <c r="AC3257" s="1" t="s">
        <v>51722</v>
      </c>
      <c r="AD3257" s="1" t="s">
        <v>51723</v>
      </c>
      <c r="AE3257" s="1" t="s">
        <v>51724</v>
      </c>
      <c r="AF3257" s="1" t="s">
        <v>74</v>
      </c>
      <c r="AG3257" s="1">
        <v>36</v>
      </c>
      <c r="AH3257" s="1">
        <v>2</v>
      </c>
      <c r="AI3257" s="1">
        <v>2</v>
      </c>
      <c r="AJ3257" s="1">
        <v>0</v>
      </c>
      <c r="AK3257" s="1">
        <v>7</v>
      </c>
      <c r="AL3257" s="1" t="s">
        <v>2074</v>
      </c>
      <c r="AM3257" s="1" t="s">
        <v>2075</v>
      </c>
      <c r="AN3257" s="1" t="s">
        <v>2076</v>
      </c>
      <c r="AO3257" s="1" t="s">
        <v>2077</v>
      </c>
      <c r="AP3257" s="1" t="s">
        <v>2078</v>
      </c>
      <c r="AQ3257" s="1" t="s">
        <v>74</v>
      </c>
      <c r="AR3257" s="1" t="s">
        <v>2079</v>
      </c>
      <c r="AS3257" s="1" t="s">
        <v>2080</v>
      </c>
      <c r="AT3257" s="1" t="s">
        <v>51725</v>
      </c>
      <c r="AU3257" s="1">
        <v>2019</v>
      </c>
      <c r="AV3257" s="1">
        <v>35</v>
      </c>
      <c r="AW3257" s="1">
        <v>7</v>
      </c>
      <c r="AX3257" s="1" t="s">
        <v>74</v>
      </c>
      <c r="AY3257" s="1" t="s">
        <v>74</v>
      </c>
      <c r="AZ3257" s="1" t="s">
        <v>74</v>
      </c>
      <c r="BA3257" s="1" t="s">
        <v>74</v>
      </c>
      <c r="BB3257" s="1">
        <v>631</v>
      </c>
      <c r="BC3257" s="1">
        <v>643</v>
      </c>
      <c r="BD3257" s="1" t="s">
        <v>74</v>
      </c>
      <c r="BE3257" s="1" t="s">
        <v>51726</v>
      </c>
      <c r="BF3257" s="1" t="str">
        <f>HYPERLINK("http://dx.doi.org/10.1080/02757540.2019.1618282","http://dx.doi.org/10.1080/02757540.2019.1618282")</f>
        <v>http://dx.doi.org/10.1080/02757540.2019.1618282</v>
      </c>
      <c r="BG3257" s="1" t="s">
        <v>74</v>
      </c>
      <c r="BH3257" s="1" t="s">
        <v>51727</v>
      </c>
      <c r="BI3257" s="1">
        <v>13</v>
      </c>
      <c r="BJ3257" s="1" t="s">
        <v>2083</v>
      </c>
      <c r="BK3257" s="1" t="s">
        <v>96</v>
      </c>
      <c r="BL3257" s="1" t="s">
        <v>2084</v>
      </c>
      <c r="BM3257" s="1" t="s">
        <v>51728</v>
      </c>
      <c r="BN3257" s="1" t="s">
        <v>74</v>
      </c>
      <c r="BO3257" s="1" t="s">
        <v>74</v>
      </c>
      <c r="BP3257" s="1" t="s">
        <v>74</v>
      </c>
      <c r="BQ3257" s="1" t="s">
        <v>74</v>
      </c>
      <c r="BR3257" s="1" t="s">
        <v>98</v>
      </c>
      <c r="BS3257" s="1" t="s">
        <v>51729</v>
      </c>
      <c r="BT3257" s="1" t="str">
        <f>HYPERLINK("https%3A%2F%2Fwww.webofscience.com%2Fwos%2Fwoscc%2Ffull-record%2FWOS:000468703000001","View Full Record in Web of Science")</f>
        <v>View Full Record in Web of Science</v>
      </c>
      <c r="BU3257" s="1"/>
      <c r="BV3257" s="1"/>
    </row>
    <row r="3258" spans="1:74">
      <c r="A3258" s="1" t="s">
        <v>72</v>
      </c>
      <c r="B3258" s="1" t="s">
        <v>51730</v>
      </c>
      <c r="C3258" s="1" t="s">
        <v>74</v>
      </c>
      <c r="D3258" s="1" t="s">
        <v>74</v>
      </c>
      <c r="E3258" s="1" t="s">
        <v>74</v>
      </c>
      <c r="F3258" s="1" t="s">
        <v>51731</v>
      </c>
      <c r="G3258" s="1" t="s">
        <v>74</v>
      </c>
      <c r="H3258" s="1" t="s">
        <v>74</v>
      </c>
      <c r="I3258" s="1" t="s">
        <v>51732</v>
      </c>
      <c r="J3258" s="1" t="s">
        <v>11898</v>
      </c>
      <c r="K3258" s="1" t="s">
        <v>74</v>
      </c>
      <c r="L3258" s="1" t="s">
        <v>74</v>
      </c>
      <c r="M3258" s="1" t="s">
        <v>78</v>
      </c>
      <c r="N3258" s="1" t="s">
        <v>79</v>
      </c>
      <c r="O3258" s="1" t="s">
        <v>74</v>
      </c>
      <c r="P3258" s="1" t="s">
        <v>74</v>
      </c>
      <c r="Q3258" s="1" t="s">
        <v>74</v>
      </c>
      <c r="R3258" s="1" t="s">
        <v>74</v>
      </c>
      <c r="S3258" s="1" t="s">
        <v>74</v>
      </c>
      <c r="T3258" s="1" t="s">
        <v>51733</v>
      </c>
      <c r="U3258" s="1" t="s">
        <v>51734</v>
      </c>
      <c r="V3258" s="1" t="s">
        <v>51735</v>
      </c>
      <c r="W3258" s="1" t="s">
        <v>51736</v>
      </c>
      <c r="X3258" s="1" t="s">
        <v>3483</v>
      </c>
      <c r="Y3258" s="1" t="s">
        <v>1954</v>
      </c>
      <c r="Z3258" s="1" t="s">
        <v>51737</v>
      </c>
      <c r="AA3258" s="1" t="s">
        <v>51738</v>
      </c>
      <c r="AB3258" s="1" t="s">
        <v>51739</v>
      </c>
      <c r="AC3258" s="1" t="s">
        <v>51740</v>
      </c>
      <c r="AD3258" s="1" t="s">
        <v>51741</v>
      </c>
      <c r="AE3258" s="1" t="s">
        <v>51742</v>
      </c>
      <c r="AF3258" s="1" t="s">
        <v>74</v>
      </c>
      <c r="AG3258" s="1">
        <v>61</v>
      </c>
      <c r="AH3258" s="1">
        <v>9</v>
      </c>
      <c r="AI3258" s="1">
        <v>10</v>
      </c>
      <c r="AJ3258" s="1">
        <v>1</v>
      </c>
      <c r="AK3258" s="1">
        <v>21</v>
      </c>
      <c r="AL3258" s="1" t="s">
        <v>1566</v>
      </c>
      <c r="AM3258" s="1" t="s">
        <v>1567</v>
      </c>
      <c r="AN3258" s="1" t="s">
        <v>1568</v>
      </c>
      <c r="AO3258" s="1" t="s">
        <v>74</v>
      </c>
      <c r="AP3258" s="1" t="s">
        <v>11911</v>
      </c>
      <c r="AQ3258" s="1" t="s">
        <v>74</v>
      </c>
      <c r="AR3258" s="1" t="s">
        <v>11912</v>
      </c>
      <c r="AS3258" s="1" t="s">
        <v>11913</v>
      </c>
      <c r="AT3258" s="1" t="s">
        <v>765</v>
      </c>
      <c r="AU3258" s="1">
        <v>2017</v>
      </c>
      <c r="AV3258" s="1">
        <v>14</v>
      </c>
      <c r="AW3258" s="1">
        <v>7</v>
      </c>
      <c r="AX3258" s="1" t="s">
        <v>74</v>
      </c>
      <c r="AY3258" s="1" t="s">
        <v>74</v>
      </c>
      <c r="AZ3258" s="1" t="s">
        <v>74</v>
      </c>
      <c r="BA3258" s="1" t="s">
        <v>74</v>
      </c>
      <c r="BB3258" s="1" t="s">
        <v>74</v>
      </c>
      <c r="BC3258" s="1" t="s">
        <v>74</v>
      </c>
      <c r="BD3258" s="1">
        <v>803</v>
      </c>
      <c r="BE3258" s="1" t="s">
        <v>51743</v>
      </c>
      <c r="BF3258" s="1" t="str">
        <f>HYPERLINK("http://dx.doi.org/10.3390/ijerph14070803","http://dx.doi.org/10.3390/ijerph14070803")</f>
        <v>http://dx.doi.org/10.3390/ijerph14070803</v>
      </c>
      <c r="BG3258" s="1" t="s">
        <v>74</v>
      </c>
      <c r="BH3258" s="1" t="s">
        <v>74</v>
      </c>
      <c r="BI3258" s="1">
        <v>10</v>
      </c>
      <c r="BJ3258" s="1" t="s">
        <v>10142</v>
      </c>
      <c r="BK3258" s="1" t="s">
        <v>11915</v>
      </c>
      <c r="BL3258" s="1" t="s">
        <v>10143</v>
      </c>
      <c r="BM3258" s="1" t="s">
        <v>51744</v>
      </c>
      <c r="BN3258" s="1">
        <v>28753919</v>
      </c>
      <c r="BO3258" s="1" t="s">
        <v>20619</v>
      </c>
      <c r="BP3258" s="1" t="s">
        <v>74</v>
      </c>
      <c r="BQ3258" s="1" t="s">
        <v>74</v>
      </c>
      <c r="BR3258" s="1" t="s">
        <v>98</v>
      </c>
      <c r="BS3258" s="1" t="s">
        <v>51745</v>
      </c>
      <c r="BT3258" s="1" t="str">
        <f>HYPERLINK("https%3A%2F%2Fwww.webofscience.com%2Fwos%2Fwoscc%2Ffull-record%2FWOS:000407370700135","View Full Record in Web of Science")</f>
        <v>View Full Record in Web of Science</v>
      </c>
      <c r="BU3258" s="1"/>
      <c r="BV3258" s="1"/>
    </row>
    <row r="3259" spans="1:74">
      <c r="A3259" s="1" t="s">
        <v>72</v>
      </c>
      <c r="B3259" s="1" t="s">
        <v>51746</v>
      </c>
      <c r="C3259" s="1" t="s">
        <v>74</v>
      </c>
      <c r="D3259" s="1" t="s">
        <v>74</v>
      </c>
      <c r="E3259" s="1" t="s">
        <v>74</v>
      </c>
      <c r="F3259" s="1" t="s">
        <v>51747</v>
      </c>
      <c r="G3259" s="1" t="s">
        <v>74</v>
      </c>
      <c r="H3259" s="1" t="s">
        <v>74</v>
      </c>
      <c r="I3259" s="1" t="s">
        <v>51748</v>
      </c>
      <c r="J3259" s="1" t="s">
        <v>10392</v>
      </c>
      <c r="K3259" s="1" t="s">
        <v>74</v>
      </c>
      <c r="L3259" s="1" t="s">
        <v>74</v>
      </c>
      <c r="M3259" s="1" t="s">
        <v>78</v>
      </c>
      <c r="N3259" s="1" t="s">
        <v>79</v>
      </c>
      <c r="O3259" s="1" t="s">
        <v>74</v>
      </c>
      <c r="P3259" s="1" t="s">
        <v>74</v>
      </c>
      <c r="Q3259" s="1" t="s">
        <v>74</v>
      </c>
      <c r="R3259" s="1" t="s">
        <v>74</v>
      </c>
      <c r="S3259" s="1" t="s">
        <v>74</v>
      </c>
      <c r="T3259" s="1" t="s">
        <v>51749</v>
      </c>
      <c r="U3259" s="1" t="s">
        <v>51750</v>
      </c>
      <c r="V3259" s="1" t="s">
        <v>51751</v>
      </c>
      <c r="W3259" s="1" t="s">
        <v>51752</v>
      </c>
      <c r="X3259" s="1" t="s">
        <v>51753</v>
      </c>
      <c r="Y3259" s="1" t="s">
        <v>51754</v>
      </c>
      <c r="Z3259" s="1" t="s">
        <v>51755</v>
      </c>
      <c r="AA3259" s="1" t="s">
        <v>74</v>
      </c>
      <c r="AB3259" s="1" t="s">
        <v>51756</v>
      </c>
      <c r="AC3259" s="1" t="s">
        <v>74</v>
      </c>
      <c r="AD3259" s="1" t="s">
        <v>74</v>
      </c>
      <c r="AE3259" s="1" t="s">
        <v>74</v>
      </c>
      <c r="AF3259" s="1" t="s">
        <v>74</v>
      </c>
      <c r="AG3259" s="1">
        <v>146</v>
      </c>
      <c r="AH3259" s="1">
        <v>1</v>
      </c>
      <c r="AI3259" s="1">
        <v>1</v>
      </c>
      <c r="AJ3259" s="1">
        <v>0</v>
      </c>
      <c r="AK3259" s="1">
        <v>2</v>
      </c>
      <c r="AL3259" s="1" t="s">
        <v>1166</v>
      </c>
      <c r="AM3259" s="1" t="s">
        <v>1167</v>
      </c>
      <c r="AN3259" s="1" t="s">
        <v>1168</v>
      </c>
      <c r="AO3259" s="1" t="s">
        <v>10400</v>
      </c>
      <c r="AP3259" s="1" t="s">
        <v>10401</v>
      </c>
      <c r="AQ3259" s="1" t="s">
        <v>74</v>
      </c>
      <c r="AR3259" s="1" t="s">
        <v>10392</v>
      </c>
      <c r="AS3259" s="1" t="s">
        <v>10402</v>
      </c>
      <c r="AT3259" s="1" t="s">
        <v>267</v>
      </c>
      <c r="AU3259" s="1">
        <v>2023</v>
      </c>
      <c r="AV3259" s="1">
        <v>39</v>
      </c>
      <c r="AW3259" s="1">
        <v>2</v>
      </c>
      <c r="AX3259" s="1" t="s">
        <v>74</v>
      </c>
      <c r="AY3259" s="1" t="s">
        <v>74</v>
      </c>
      <c r="AZ3259" s="1" t="s">
        <v>74</v>
      </c>
      <c r="BA3259" s="1" t="s">
        <v>74</v>
      </c>
      <c r="BB3259" s="1">
        <v>697</v>
      </c>
      <c r="BC3259" s="1">
        <v>713</v>
      </c>
      <c r="BD3259" s="1" t="s">
        <v>74</v>
      </c>
      <c r="BE3259" s="1" t="s">
        <v>51757</v>
      </c>
      <c r="BF3259" s="1" t="str">
        <f>HYPERLINK("http://dx.doi.org/10.1007/s41208-023-00544-7","http://dx.doi.org/10.1007/s41208-023-00544-7")</f>
        <v>http://dx.doi.org/10.1007/s41208-023-00544-7</v>
      </c>
      <c r="BG3259" s="1" t="s">
        <v>74</v>
      </c>
      <c r="BH3259" s="1" t="s">
        <v>6536</v>
      </c>
      <c r="BI3259" s="1">
        <v>17</v>
      </c>
      <c r="BJ3259" s="1" t="s">
        <v>4241</v>
      </c>
      <c r="BK3259" s="1" t="s">
        <v>96</v>
      </c>
      <c r="BL3259" s="1" t="s">
        <v>4241</v>
      </c>
      <c r="BM3259" s="1" t="s">
        <v>51758</v>
      </c>
      <c r="BN3259" s="1" t="s">
        <v>74</v>
      </c>
      <c r="BO3259" s="1" t="s">
        <v>74</v>
      </c>
      <c r="BP3259" s="1" t="s">
        <v>74</v>
      </c>
      <c r="BQ3259" s="1" t="s">
        <v>74</v>
      </c>
      <c r="BR3259" s="1" t="s">
        <v>98</v>
      </c>
      <c r="BS3259" s="1" t="s">
        <v>51759</v>
      </c>
      <c r="BT3259" s="1" t="str">
        <f>HYPERLINK("https%3A%2F%2Fwww.webofscience.com%2Fwos%2Fwoscc%2Ffull-record%2FWOS:000961212600003","View Full Record in Web of Science")</f>
        <v>View Full Record in Web of Science</v>
      </c>
      <c r="BU3259" s="1"/>
      <c r="BV3259" s="1"/>
    </row>
    <row r="3260" spans="1:74">
      <c r="A3260" s="1" t="s">
        <v>72</v>
      </c>
      <c r="B3260" s="1" t="s">
        <v>51760</v>
      </c>
      <c r="C3260" s="1" t="s">
        <v>74</v>
      </c>
      <c r="D3260" s="1" t="s">
        <v>74</v>
      </c>
      <c r="E3260" s="1" t="s">
        <v>74</v>
      </c>
      <c r="F3260" s="1" t="s">
        <v>51760</v>
      </c>
      <c r="G3260" s="1" t="s">
        <v>74</v>
      </c>
      <c r="H3260" s="1" t="s">
        <v>74</v>
      </c>
      <c r="I3260" s="1" t="s">
        <v>51761</v>
      </c>
      <c r="J3260" s="1" t="s">
        <v>21316</v>
      </c>
      <c r="K3260" s="1" t="s">
        <v>74</v>
      </c>
      <c r="L3260" s="1" t="s">
        <v>74</v>
      </c>
      <c r="M3260" s="1" t="s">
        <v>78</v>
      </c>
      <c r="N3260" s="1" t="s">
        <v>79</v>
      </c>
      <c r="O3260" s="1" t="s">
        <v>74</v>
      </c>
      <c r="P3260" s="1" t="s">
        <v>74</v>
      </c>
      <c r="Q3260" s="1" t="s">
        <v>74</v>
      </c>
      <c r="R3260" s="1" t="s">
        <v>74</v>
      </c>
      <c r="S3260" s="1" t="s">
        <v>74</v>
      </c>
      <c r="T3260" s="1" t="s">
        <v>51762</v>
      </c>
      <c r="U3260" s="1" t="s">
        <v>51763</v>
      </c>
      <c r="V3260" s="1" t="s">
        <v>51764</v>
      </c>
      <c r="W3260" s="1" t="s">
        <v>51765</v>
      </c>
      <c r="X3260" s="1" t="s">
        <v>6170</v>
      </c>
      <c r="Y3260" s="1" t="s">
        <v>51766</v>
      </c>
      <c r="Z3260" s="1" t="s">
        <v>74</v>
      </c>
      <c r="AA3260" s="1" t="s">
        <v>74</v>
      </c>
      <c r="AB3260" s="1" t="s">
        <v>15102</v>
      </c>
      <c r="AC3260" s="1" t="s">
        <v>74</v>
      </c>
      <c r="AD3260" s="1" t="s">
        <v>74</v>
      </c>
      <c r="AE3260" s="1" t="s">
        <v>74</v>
      </c>
      <c r="AF3260" s="1" t="s">
        <v>74</v>
      </c>
      <c r="AG3260" s="1">
        <v>37</v>
      </c>
      <c r="AH3260" s="1">
        <v>24</v>
      </c>
      <c r="AI3260" s="1">
        <v>26</v>
      </c>
      <c r="AJ3260" s="1">
        <v>2</v>
      </c>
      <c r="AK3260" s="1">
        <v>24</v>
      </c>
      <c r="AL3260" s="1" t="s">
        <v>6584</v>
      </c>
      <c r="AM3260" s="1" t="s">
        <v>113</v>
      </c>
      <c r="AN3260" s="1" t="s">
        <v>2719</v>
      </c>
      <c r="AO3260" s="1" t="s">
        <v>21324</v>
      </c>
      <c r="AP3260" s="1" t="s">
        <v>74</v>
      </c>
      <c r="AQ3260" s="1" t="s">
        <v>74</v>
      </c>
      <c r="AR3260" s="1" t="s">
        <v>21326</v>
      </c>
      <c r="AS3260" s="1" t="s">
        <v>21327</v>
      </c>
      <c r="AT3260" s="1" t="s">
        <v>74</v>
      </c>
      <c r="AU3260" s="1">
        <v>1999</v>
      </c>
      <c r="AV3260" s="1">
        <v>53</v>
      </c>
      <c r="AW3260" s="1" t="s">
        <v>1070</v>
      </c>
      <c r="AX3260" s="1" t="s">
        <v>74</v>
      </c>
      <c r="AY3260" s="1" t="s">
        <v>74</v>
      </c>
      <c r="AZ3260" s="1" t="s">
        <v>74</v>
      </c>
      <c r="BA3260" s="1" t="s">
        <v>74</v>
      </c>
      <c r="BB3260" s="1">
        <v>154</v>
      </c>
      <c r="BC3260" s="1">
        <v>162</v>
      </c>
      <c r="BD3260" s="1" t="s">
        <v>74</v>
      </c>
      <c r="BE3260" s="1" t="s">
        <v>74</v>
      </c>
      <c r="BF3260" s="1" t="s">
        <v>74</v>
      </c>
      <c r="BG3260" s="1" t="s">
        <v>74</v>
      </c>
      <c r="BH3260" s="1" t="s">
        <v>74</v>
      </c>
      <c r="BI3260" s="1">
        <v>9</v>
      </c>
      <c r="BJ3260" s="1" t="s">
        <v>4241</v>
      </c>
      <c r="BK3260" s="1" t="s">
        <v>96</v>
      </c>
      <c r="BL3260" s="1" t="s">
        <v>4241</v>
      </c>
      <c r="BM3260" s="1" t="s">
        <v>51767</v>
      </c>
      <c r="BN3260" s="1" t="s">
        <v>74</v>
      </c>
      <c r="BO3260" s="1" t="s">
        <v>74</v>
      </c>
      <c r="BP3260" s="1" t="s">
        <v>74</v>
      </c>
      <c r="BQ3260" s="1" t="s">
        <v>74</v>
      </c>
      <c r="BR3260" s="1" t="s">
        <v>98</v>
      </c>
      <c r="BS3260" s="1" t="s">
        <v>51768</v>
      </c>
      <c r="BT3260" s="1" t="str">
        <f>HYPERLINK("https%3A%2F%2Fwww.webofscience.com%2Fwos%2Fwoscc%2Ffull-record%2FWOS:000086516600003","View Full Record in Web of Science")</f>
        <v>View Full Record in Web of Science</v>
      </c>
      <c r="BU3260" s="1"/>
      <c r="BV3260" s="1"/>
    </row>
    <row r="3261" spans="1:74">
      <c r="A3261" s="1" t="s">
        <v>72</v>
      </c>
      <c r="B3261" s="1" t="s">
        <v>51769</v>
      </c>
      <c r="C3261" s="1" t="s">
        <v>74</v>
      </c>
      <c r="D3261" s="1" t="s">
        <v>74</v>
      </c>
      <c r="E3261" s="1" t="s">
        <v>74</v>
      </c>
      <c r="F3261" s="1" t="s">
        <v>51769</v>
      </c>
      <c r="G3261" s="1" t="s">
        <v>74</v>
      </c>
      <c r="H3261" s="1" t="s">
        <v>74</v>
      </c>
      <c r="I3261" s="1" t="s">
        <v>51770</v>
      </c>
      <c r="J3261" s="1" t="s">
        <v>51771</v>
      </c>
      <c r="K3261" s="1" t="s">
        <v>74</v>
      </c>
      <c r="L3261" s="1" t="s">
        <v>74</v>
      </c>
      <c r="M3261" s="1" t="s">
        <v>78</v>
      </c>
      <c r="N3261" s="1" t="s">
        <v>79</v>
      </c>
      <c r="O3261" s="1" t="s">
        <v>74</v>
      </c>
      <c r="P3261" s="1" t="s">
        <v>74</v>
      </c>
      <c r="Q3261" s="1" t="s">
        <v>74</v>
      </c>
      <c r="R3261" s="1" t="s">
        <v>74</v>
      </c>
      <c r="S3261" s="1" t="s">
        <v>74</v>
      </c>
      <c r="T3261" s="1" t="s">
        <v>74</v>
      </c>
      <c r="U3261" s="1" t="s">
        <v>51772</v>
      </c>
      <c r="V3261" s="1" t="s">
        <v>51773</v>
      </c>
      <c r="W3261" s="1" t="s">
        <v>51774</v>
      </c>
      <c r="X3261" s="1" t="s">
        <v>51775</v>
      </c>
      <c r="Y3261" s="1" t="s">
        <v>51776</v>
      </c>
      <c r="Z3261" s="1" t="s">
        <v>74</v>
      </c>
      <c r="AA3261" s="1" t="s">
        <v>51777</v>
      </c>
      <c r="AB3261" s="1" t="s">
        <v>51778</v>
      </c>
      <c r="AC3261" s="1" t="s">
        <v>74</v>
      </c>
      <c r="AD3261" s="1" t="s">
        <v>74</v>
      </c>
      <c r="AE3261" s="1" t="s">
        <v>74</v>
      </c>
      <c r="AF3261" s="1" t="s">
        <v>74</v>
      </c>
      <c r="AG3261" s="1">
        <v>53</v>
      </c>
      <c r="AH3261" s="1">
        <v>27</v>
      </c>
      <c r="AI3261" s="1">
        <v>36</v>
      </c>
      <c r="AJ3261" s="1">
        <v>0</v>
      </c>
      <c r="AK3261" s="1">
        <v>8</v>
      </c>
      <c r="AL3261" s="1" t="s">
        <v>51779</v>
      </c>
      <c r="AM3261" s="1" t="s">
        <v>20016</v>
      </c>
      <c r="AN3261" s="1" t="s">
        <v>51780</v>
      </c>
      <c r="AO3261" s="1" t="s">
        <v>51781</v>
      </c>
      <c r="AP3261" s="1" t="s">
        <v>74</v>
      </c>
      <c r="AQ3261" s="1" t="s">
        <v>74</v>
      </c>
      <c r="AR3261" s="1" t="s">
        <v>51782</v>
      </c>
      <c r="AS3261" s="1" t="s">
        <v>51783</v>
      </c>
      <c r="AT3261" s="1" t="s">
        <v>224</v>
      </c>
      <c r="AU3261" s="1">
        <v>1997</v>
      </c>
      <c r="AV3261" s="1">
        <v>138</v>
      </c>
      <c r="AW3261" s="1">
        <v>4</v>
      </c>
      <c r="AX3261" s="1" t="s">
        <v>74</v>
      </c>
      <c r="AY3261" s="1" t="s">
        <v>74</v>
      </c>
      <c r="AZ3261" s="1" t="s">
        <v>74</v>
      </c>
      <c r="BA3261" s="1" t="s">
        <v>74</v>
      </c>
      <c r="BB3261" s="1">
        <v>483</v>
      </c>
      <c r="BC3261" s="1">
        <v>507</v>
      </c>
      <c r="BD3261" s="1" t="s">
        <v>74</v>
      </c>
      <c r="BE3261" s="1" t="s">
        <v>74</v>
      </c>
      <c r="BF3261" s="1" t="s">
        <v>74</v>
      </c>
      <c r="BG3261" s="1" t="s">
        <v>74</v>
      </c>
      <c r="BH3261" s="1" t="s">
        <v>74</v>
      </c>
      <c r="BI3261" s="1">
        <v>25</v>
      </c>
      <c r="BJ3261" s="1" t="s">
        <v>20023</v>
      </c>
      <c r="BK3261" s="1" t="s">
        <v>96</v>
      </c>
      <c r="BL3261" s="1" t="s">
        <v>680</v>
      </c>
      <c r="BM3261" s="1" t="s">
        <v>51784</v>
      </c>
      <c r="BN3261" s="1" t="s">
        <v>74</v>
      </c>
      <c r="BO3261" s="1" t="s">
        <v>74</v>
      </c>
      <c r="BP3261" s="1" t="s">
        <v>74</v>
      </c>
      <c r="BQ3261" s="1" t="s">
        <v>74</v>
      </c>
      <c r="BR3261" s="1" t="s">
        <v>98</v>
      </c>
      <c r="BS3261" s="1" t="s">
        <v>51785</v>
      </c>
      <c r="BT3261" s="1" t="str">
        <f>HYPERLINK("https%3A%2F%2Fwww.webofscience.com%2Fwos%2Fwoscc%2Ffull-record%2FWOS:A1997WQ50600004","View Full Record in Web of Science")</f>
        <v>View Full Record in Web of Science</v>
      </c>
      <c r="BU3261" s="1"/>
      <c r="BV3261" s="1"/>
    </row>
    <row r="3262" spans="1:74">
      <c r="A3262" s="1" t="s">
        <v>72</v>
      </c>
      <c r="B3262" s="1" t="s">
        <v>51786</v>
      </c>
      <c r="C3262" s="1" t="s">
        <v>74</v>
      </c>
      <c r="D3262" s="1" t="s">
        <v>74</v>
      </c>
      <c r="E3262" s="1" t="s">
        <v>74</v>
      </c>
      <c r="F3262" s="1" t="s">
        <v>51786</v>
      </c>
      <c r="G3262" s="1" t="s">
        <v>74</v>
      </c>
      <c r="H3262" s="1" t="s">
        <v>74</v>
      </c>
      <c r="I3262" s="1" t="s">
        <v>51787</v>
      </c>
      <c r="J3262" s="1" t="s">
        <v>127</v>
      </c>
      <c r="K3262" s="1" t="s">
        <v>74</v>
      </c>
      <c r="L3262" s="1" t="s">
        <v>74</v>
      </c>
      <c r="M3262" s="1" t="s">
        <v>78</v>
      </c>
      <c r="N3262" s="1" t="s">
        <v>79</v>
      </c>
      <c r="O3262" s="1" t="s">
        <v>74</v>
      </c>
      <c r="P3262" s="1" t="s">
        <v>74</v>
      </c>
      <c r="Q3262" s="1" t="s">
        <v>74</v>
      </c>
      <c r="R3262" s="1" t="s">
        <v>74</v>
      </c>
      <c r="S3262" s="1" t="s">
        <v>74</v>
      </c>
      <c r="T3262" s="1" t="s">
        <v>74</v>
      </c>
      <c r="U3262" s="1" t="s">
        <v>51788</v>
      </c>
      <c r="V3262" s="1" t="s">
        <v>51789</v>
      </c>
      <c r="W3262" s="1" t="s">
        <v>51790</v>
      </c>
      <c r="X3262" s="1" t="s">
        <v>51791</v>
      </c>
      <c r="Y3262" s="1" t="s">
        <v>74</v>
      </c>
      <c r="Z3262" s="1" t="s">
        <v>74</v>
      </c>
      <c r="AA3262" s="1" t="s">
        <v>74</v>
      </c>
      <c r="AB3262" s="1" t="s">
        <v>74</v>
      </c>
      <c r="AC3262" s="1" t="s">
        <v>74</v>
      </c>
      <c r="AD3262" s="1" t="s">
        <v>74</v>
      </c>
      <c r="AE3262" s="1" t="s">
        <v>74</v>
      </c>
      <c r="AF3262" s="1" t="s">
        <v>74</v>
      </c>
      <c r="AG3262" s="1">
        <v>75</v>
      </c>
      <c r="AH3262" s="1">
        <v>52</v>
      </c>
      <c r="AI3262" s="1">
        <v>55</v>
      </c>
      <c r="AJ3262" s="1">
        <v>1</v>
      </c>
      <c r="AK3262" s="1">
        <v>16</v>
      </c>
      <c r="AL3262" s="1" t="s">
        <v>136</v>
      </c>
      <c r="AM3262" s="1" t="s">
        <v>137</v>
      </c>
      <c r="AN3262" s="1" t="s">
        <v>583</v>
      </c>
      <c r="AO3262" s="1" t="s">
        <v>139</v>
      </c>
      <c r="AP3262" s="1" t="s">
        <v>74</v>
      </c>
      <c r="AQ3262" s="1" t="s">
        <v>74</v>
      </c>
      <c r="AR3262" s="1" t="s">
        <v>127</v>
      </c>
      <c r="AS3262" s="1" t="s">
        <v>141</v>
      </c>
      <c r="AT3262" s="1" t="s">
        <v>93</v>
      </c>
      <c r="AU3262" s="1">
        <v>1993</v>
      </c>
      <c r="AV3262" s="1">
        <v>26</v>
      </c>
      <c r="AW3262" s="1">
        <v>8</v>
      </c>
      <c r="AX3262" s="1" t="s">
        <v>74</v>
      </c>
      <c r="AY3262" s="1" t="s">
        <v>74</v>
      </c>
      <c r="AZ3262" s="1" t="s">
        <v>74</v>
      </c>
      <c r="BA3262" s="1" t="s">
        <v>74</v>
      </c>
      <c r="BB3262" s="1">
        <v>1559</v>
      </c>
      <c r="BC3262" s="1">
        <v>1575</v>
      </c>
      <c r="BD3262" s="1" t="s">
        <v>74</v>
      </c>
      <c r="BE3262" s="1" t="s">
        <v>51792</v>
      </c>
      <c r="BF3262" s="1" t="str">
        <f>HYPERLINK("http://dx.doi.org/10.1016/0045-6535(93)90224-S","http://dx.doi.org/10.1016/0045-6535(93)90224-S")</f>
        <v>http://dx.doi.org/10.1016/0045-6535(93)90224-S</v>
      </c>
      <c r="BG3262" s="1" t="s">
        <v>74</v>
      </c>
      <c r="BH3262" s="1" t="s">
        <v>74</v>
      </c>
      <c r="BI3262" s="1">
        <v>17</v>
      </c>
      <c r="BJ3262" s="1" t="s">
        <v>144</v>
      </c>
      <c r="BK3262" s="1" t="s">
        <v>96</v>
      </c>
      <c r="BL3262" s="1" t="s">
        <v>145</v>
      </c>
      <c r="BM3262" s="1" t="s">
        <v>51793</v>
      </c>
      <c r="BN3262" s="1" t="s">
        <v>74</v>
      </c>
      <c r="BO3262" s="1" t="s">
        <v>476</v>
      </c>
      <c r="BP3262" s="1" t="s">
        <v>74</v>
      </c>
      <c r="BQ3262" s="1" t="s">
        <v>74</v>
      </c>
      <c r="BR3262" s="1" t="s">
        <v>98</v>
      </c>
      <c r="BS3262" s="1" t="s">
        <v>51794</v>
      </c>
      <c r="BT3262" s="1" t="str">
        <f>HYPERLINK("https%3A%2F%2Fwww.webofscience.com%2Fwos%2Fwoscc%2Ffull-record%2FWOS:A1993LA34900015","View Full Record in Web of Science")</f>
        <v>View Full Record in Web of Science</v>
      </c>
      <c r="BU3262" s="1"/>
      <c r="BV3262" s="1"/>
    </row>
    <row r="3263" spans="1:74">
      <c r="A3263" s="1" t="s">
        <v>72</v>
      </c>
      <c r="B3263" s="1" t="s">
        <v>51795</v>
      </c>
      <c r="C3263" s="1" t="s">
        <v>74</v>
      </c>
      <c r="D3263" s="1" t="s">
        <v>74</v>
      </c>
      <c r="E3263" s="1" t="s">
        <v>74</v>
      </c>
      <c r="F3263" s="1" t="s">
        <v>51795</v>
      </c>
      <c r="G3263" s="1" t="s">
        <v>74</v>
      </c>
      <c r="H3263" s="1" t="s">
        <v>74</v>
      </c>
      <c r="I3263" s="1" t="s">
        <v>51796</v>
      </c>
      <c r="J3263" s="1" t="s">
        <v>21316</v>
      </c>
      <c r="K3263" s="1" t="s">
        <v>74</v>
      </c>
      <c r="L3263" s="1" t="s">
        <v>74</v>
      </c>
      <c r="M3263" s="1" t="s">
        <v>78</v>
      </c>
      <c r="N3263" s="1" t="s">
        <v>79</v>
      </c>
      <c r="O3263" s="1" t="s">
        <v>74</v>
      </c>
      <c r="P3263" s="1" t="s">
        <v>74</v>
      </c>
      <c r="Q3263" s="1" t="s">
        <v>74</v>
      </c>
      <c r="R3263" s="1" t="s">
        <v>74</v>
      </c>
      <c r="S3263" s="1" t="s">
        <v>74</v>
      </c>
      <c r="T3263" s="1" t="s">
        <v>51797</v>
      </c>
      <c r="U3263" s="1" t="s">
        <v>51798</v>
      </c>
      <c r="V3263" s="1" t="s">
        <v>51799</v>
      </c>
      <c r="W3263" s="1" t="s">
        <v>51800</v>
      </c>
      <c r="X3263" s="1" t="s">
        <v>51801</v>
      </c>
      <c r="Y3263" s="1" t="s">
        <v>51570</v>
      </c>
      <c r="Z3263" s="1" t="s">
        <v>51571</v>
      </c>
      <c r="AA3263" s="1" t="s">
        <v>51802</v>
      </c>
      <c r="AB3263" s="1" t="s">
        <v>51803</v>
      </c>
      <c r="AC3263" s="1" t="s">
        <v>74</v>
      </c>
      <c r="AD3263" s="1" t="s">
        <v>74</v>
      </c>
      <c r="AE3263" s="1" t="s">
        <v>74</v>
      </c>
      <c r="AF3263" s="1" t="s">
        <v>74</v>
      </c>
      <c r="AG3263" s="1">
        <v>60</v>
      </c>
      <c r="AH3263" s="1">
        <v>122</v>
      </c>
      <c r="AI3263" s="1">
        <v>127</v>
      </c>
      <c r="AJ3263" s="1">
        <v>4</v>
      </c>
      <c r="AK3263" s="1">
        <v>83</v>
      </c>
      <c r="AL3263" s="1" t="s">
        <v>5232</v>
      </c>
      <c r="AM3263" s="1" t="s">
        <v>286</v>
      </c>
      <c r="AN3263" s="1" t="s">
        <v>5233</v>
      </c>
      <c r="AO3263" s="1" t="s">
        <v>21324</v>
      </c>
      <c r="AP3263" s="1" t="s">
        <v>21325</v>
      </c>
      <c r="AQ3263" s="1" t="s">
        <v>74</v>
      </c>
      <c r="AR3263" s="1" t="s">
        <v>21326</v>
      </c>
      <c r="AS3263" s="1" t="s">
        <v>21327</v>
      </c>
      <c r="AT3263" s="1" t="s">
        <v>93</v>
      </c>
      <c r="AU3263" s="1">
        <v>2005</v>
      </c>
      <c r="AV3263" s="1">
        <v>59</v>
      </c>
      <c r="AW3263" s="1">
        <v>1</v>
      </c>
      <c r="AX3263" s="1" t="s">
        <v>74</v>
      </c>
      <c r="AY3263" s="1" t="s">
        <v>74</v>
      </c>
      <c r="AZ3263" s="1" t="s">
        <v>74</v>
      </c>
      <c r="BA3263" s="1" t="s">
        <v>74</v>
      </c>
      <c r="BB3263" s="1">
        <v>84</v>
      </c>
      <c r="BC3263" s="1">
        <v>95</v>
      </c>
      <c r="BD3263" s="1" t="s">
        <v>74</v>
      </c>
      <c r="BE3263" s="1" t="s">
        <v>51804</v>
      </c>
      <c r="BF3263" s="1" t="str">
        <f>HYPERLINK("http://dx.doi.org/10.1007/s10152-004-0209-z","http://dx.doi.org/10.1007/s10152-004-0209-z")</f>
        <v>http://dx.doi.org/10.1007/s10152-004-0209-z</v>
      </c>
      <c r="BG3263" s="1" t="s">
        <v>74</v>
      </c>
      <c r="BH3263" s="1" t="s">
        <v>74</v>
      </c>
      <c r="BI3263" s="1">
        <v>12</v>
      </c>
      <c r="BJ3263" s="1" t="s">
        <v>4241</v>
      </c>
      <c r="BK3263" s="1" t="s">
        <v>96</v>
      </c>
      <c r="BL3263" s="1" t="s">
        <v>4241</v>
      </c>
      <c r="BM3263" s="1" t="s">
        <v>51574</v>
      </c>
      <c r="BN3263" s="1" t="s">
        <v>74</v>
      </c>
      <c r="BO3263" s="1" t="s">
        <v>17672</v>
      </c>
      <c r="BP3263" s="1" t="s">
        <v>74</v>
      </c>
      <c r="BQ3263" s="1" t="s">
        <v>74</v>
      </c>
      <c r="BR3263" s="1" t="s">
        <v>98</v>
      </c>
      <c r="BS3263" s="1" t="s">
        <v>51805</v>
      </c>
      <c r="BT3263" s="1" t="str">
        <f>HYPERLINK("https%3A%2F%2Fwww.webofscience.com%2Fwos%2Fwoscc%2Ffull-record%2FWOS:000228334500010","View Full Record in Web of Science")</f>
        <v>View Full Record in Web of Science</v>
      </c>
      <c r="BU3263" s="1"/>
      <c r="BV3263" s="1"/>
    </row>
    <row r="3264" spans="1:74">
      <c r="A3264" s="1" t="s">
        <v>72</v>
      </c>
      <c r="B3264" s="1" t="s">
        <v>51806</v>
      </c>
      <c r="C3264" s="1" t="s">
        <v>74</v>
      </c>
      <c r="D3264" s="1" t="s">
        <v>74</v>
      </c>
      <c r="E3264" s="1" t="s">
        <v>74</v>
      </c>
      <c r="F3264" s="1" t="s">
        <v>51807</v>
      </c>
      <c r="G3264" s="1" t="s">
        <v>74</v>
      </c>
      <c r="H3264" s="1" t="s">
        <v>74</v>
      </c>
      <c r="I3264" s="1" t="s">
        <v>51808</v>
      </c>
      <c r="J3264" s="1" t="s">
        <v>909</v>
      </c>
      <c r="K3264" s="1" t="s">
        <v>74</v>
      </c>
      <c r="L3264" s="1" t="s">
        <v>74</v>
      </c>
      <c r="M3264" s="1" t="s">
        <v>78</v>
      </c>
      <c r="N3264" s="1" t="s">
        <v>79</v>
      </c>
      <c r="O3264" s="1" t="s">
        <v>74</v>
      </c>
      <c r="P3264" s="1" t="s">
        <v>74</v>
      </c>
      <c r="Q3264" s="1" t="s">
        <v>74</v>
      </c>
      <c r="R3264" s="1" t="s">
        <v>74</v>
      </c>
      <c r="S3264" s="1" t="s">
        <v>74</v>
      </c>
      <c r="T3264" s="1" t="s">
        <v>51809</v>
      </c>
      <c r="U3264" s="1" t="s">
        <v>51810</v>
      </c>
      <c r="V3264" s="1" t="s">
        <v>51811</v>
      </c>
      <c r="W3264" s="1" t="s">
        <v>51812</v>
      </c>
      <c r="X3264" s="1" t="s">
        <v>51813</v>
      </c>
      <c r="Y3264" s="1" t="s">
        <v>51814</v>
      </c>
      <c r="Z3264" s="1" t="s">
        <v>51815</v>
      </c>
      <c r="AA3264" s="1" t="s">
        <v>51816</v>
      </c>
      <c r="AB3264" s="1" t="s">
        <v>51817</v>
      </c>
      <c r="AC3264" s="1" t="s">
        <v>51818</v>
      </c>
      <c r="AD3264" s="1" t="s">
        <v>51819</v>
      </c>
      <c r="AE3264" s="1" t="s">
        <v>51820</v>
      </c>
      <c r="AF3264" s="1" t="s">
        <v>74</v>
      </c>
      <c r="AG3264" s="1">
        <v>115</v>
      </c>
      <c r="AH3264" s="1">
        <v>28</v>
      </c>
      <c r="AI3264" s="1">
        <v>31</v>
      </c>
      <c r="AJ3264" s="1">
        <v>0</v>
      </c>
      <c r="AK3264" s="1">
        <v>55</v>
      </c>
      <c r="AL3264" s="1" t="s">
        <v>650</v>
      </c>
      <c r="AM3264" s="1" t="s">
        <v>651</v>
      </c>
      <c r="AN3264" s="1" t="s">
        <v>652</v>
      </c>
      <c r="AO3264" s="1" t="s">
        <v>921</v>
      </c>
      <c r="AP3264" s="1" t="s">
        <v>922</v>
      </c>
      <c r="AQ3264" s="1" t="s">
        <v>74</v>
      </c>
      <c r="AR3264" s="1" t="s">
        <v>923</v>
      </c>
      <c r="AS3264" s="1" t="s">
        <v>924</v>
      </c>
      <c r="AT3264" s="1" t="s">
        <v>11873</v>
      </c>
      <c r="AU3264" s="1">
        <v>2017</v>
      </c>
      <c r="AV3264" s="1">
        <v>574</v>
      </c>
      <c r="AW3264" s="1" t="s">
        <v>74</v>
      </c>
      <c r="AX3264" s="1" t="s">
        <v>74</v>
      </c>
      <c r="AY3264" s="1" t="s">
        <v>74</v>
      </c>
      <c r="AZ3264" s="1" t="s">
        <v>74</v>
      </c>
      <c r="BA3264" s="1" t="s">
        <v>74</v>
      </c>
      <c r="BB3264" s="1">
        <v>455</v>
      </c>
      <c r="BC3264" s="1">
        <v>466</v>
      </c>
      <c r="BD3264" s="1" t="s">
        <v>74</v>
      </c>
      <c r="BE3264" s="1" t="s">
        <v>51821</v>
      </c>
      <c r="BF3264" s="1" t="str">
        <f>HYPERLINK("http://dx.doi.org/10.1016/j.scitotenv.2016.09.097","http://dx.doi.org/10.1016/j.scitotenv.2016.09.097")</f>
        <v>http://dx.doi.org/10.1016/j.scitotenv.2016.09.097</v>
      </c>
      <c r="BG3264" s="1" t="s">
        <v>74</v>
      </c>
      <c r="BH3264" s="1" t="s">
        <v>74</v>
      </c>
      <c r="BI3264" s="1">
        <v>12</v>
      </c>
      <c r="BJ3264" s="1" t="s">
        <v>144</v>
      </c>
      <c r="BK3264" s="1" t="s">
        <v>96</v>
      </c>
      <c r="BL3264" s="1" t="s">
        <v>145</v>
      </c>
      <c r="BM3264" s="1" t="s">
        <v>51822</v>
      </c>
      <c r="BN3264" s="1">
        <v>27644023</v>
      </c>
      <c r="BO3264" s="1" t="s">
        <v>74</v>
      </c>
      <c r="BP3264" s="1" t="s">
        <v>74</v>
      </c>
      <c r="BQ3264" s="1" t="s">
        <v>74</v>
      </c>
      <c r="BR3264" s="1" t="s">
        <v>98</v>
      </c>
      <c r="BS3264" s="1" t="s">
        <v>51823</v>
      </c>
      <c r="BT3264" s="1" t="str">
        <f>HYPERLINK("https%3A%2F%2Fwww.webofscience.com%2Fwos%2Fwoscc%2Ffull-record%2FWOS:000389090100044","View Full Record in Web of Science")</f>
        <v>View Full Record in Web of Science</v>
      </c>
      <c r="BU3264" s="1"/>
      <c r="BV3264" s="1"/>
    </row>
    <row r="3265" spans="1:74">
      <c r="A3265" s="1" t="s">
        <v>72</v>
      </c>
      <c r="B3265" s="1" t="s">
        <v>51824</v>
      </c>
      <c r="C3265" s="1" t="s">
        <v>74</v>
      </c>
      <c r="D3265" s="1" t="s">
        <v>74</v>
      </c>
      <c r="E3265" s="1" t="s">
        <v>74</v>
      </c>
      <c r="F3265" s="1" t="s">
        <v>51825</v>
      </c>
      <c r="G3265" s="1" t="s">
        <v>74</v>
      </c>
      <c r="H3265" s="1" t="s">
        <v>74</v>
      </c>
      <c r="I3265" s="1" t="s">
        <v>51826</v>
      </c>
      <c r="J3265" s="1" t="s">
        <v>51827</v>
      </c>
      <c r="K3265" s="1" t="s">
        <v>74</v>
      </c>
      <c r="L3265" s="1" t="s">
        <v>74</v>
      </c>
      <c r="M3265" s="1" t="s">
        <v>78</v>
      </c>
      <c r="N3265" s="1" t="s">
        <v>79</v>
      </c>
      <c r="O3265" s="1" t="s">
        <v>74</v>
      </c>
      <c r="P3265" s="1" t="s">
        <v>74</v>
      </c>
      <c r="Q3265" s="1" t="s">
        <v>74</v>
      </c>
      <c r="R3265" s="1" t="s">
        <v>74</v>
      </c>
      <c r="S3265" s="1" t="s">
        <v>74</v>
      </c>
      <c r="T3265" s="1" t="s">
        <v>51828</v>
      </c>
      <c r="U3265" s="1" t="s">
        <v>51829</v>
      </c>
      <c r="V3265" s="1" t="s">
        <v>51830</v>
      </c>
      <c r="W3265" s="1" t="s">
        <v>51831</v>
      </c>
      <c r="X3265" s="1" t="s">
        <v>51832</v>
      </c>
      <c r="Y3265" s="1" t="s">
        <v>51833</v>
      </c>
      <c r="Z3265" s="1" t="s">
        <v>51834</v>
      </c>
      <c r="AA3265" s="1" t="s">
        <v>51835</v>
      </c>
      <c r="AB3265" s="1" t="s">
        <v>74</v>
      </c>
      <c r="AC3265" s="1" t="s">
        <v>51836</v>
      </c>
      <c r="AD3265" s="1" t="s">
        <v>51837</v>
      </c>
      <c r="AE3265" s="1" t="s">
        <v>51838</v>
      </c>
      <c r="AF3265" s="1" t="s">
        <v>74</v>
      </c>
      <c r="AG3265" s="1">
        <v>34</v>
      </c>
      <c r="AH3265" s="1">
        <v>17</v>
      </c>
      <c r="AI3265" s="1">
        <v>18</v>
      </c>
      <c r="AJ3265" s="1">
        <v>0</v>
      </c>
      <c r="AK3265" s="1">
        <v>76</v>
      </c>
      <c r="AL3265" s="1" t="s">
        <v>25023</v>
      </c>
      <c r="AM3265" s="1" t="s">
        <v>25024</v>
      </c>
      <c r="AN3265" s="1" t="s">
        <v>25025</v>
      </c>
      <c r="AO3265" s="1" t="s">
        <v>51839</v>
      </c>
      <c r="AP3265" s="1" t="s">
        <v>51840</v>
      </c>
      <c r="AQ3265" s="1" t="s">
        <v>74</v>
      </c>
      <c r="AR3265" s="1" t="s">
        <v>51841</v>
      </c>
      <c r="AS3265" s="1" t="s">
        <v>51842</v>
      </c>
      <c r="AT3265" s="1" t="s">
        <v>142</v>
      </c>
      <c r="AU3265" s="1">
        <v>2013</v>
      </c>
      <c r="AV3265" s="1">
        <v>180</v>
      </c>
      <c r="AW3265" s="1" t="s">
        <v>6693</v>
      </c>
      <c r="AX3265" s="1" t="s">
        <v>74</v>
      </c>
      <c r="AY3265" s="1" t="s">
        <v>74</v>
      </c>
      <c r="AZ3265" s="1" t="s">
        <v>74</v>
      </c>
      <c r="BA3265" s="1" t="s">
        <v>74</v>
      </c>
      <c r="BB3265" s="1">
        <v>545</v>
      </c>
      <c r="BC3265" s="1">
        <v>553</v>
      </c>
      <c r="BD3265" s="1" t="s">
        <v>74</v>
      </c>
      <c r="BE3265" s="1" t="s">
        <v>51843</v>
      </c>
      <c r="BF3265" s="1" t="str">
        <f>HYPERLINK("http://dx.doi.org/10.1007/s00604-013-0962-2","http://dx.doi.org/10.1007/s00604-013-0962-2")</f>
        <v>http://dx.doi.org/10.1007/s00604-013-0962-2</v>
      </c>
      <c r="BG3265" s="1" t="s">
        <v>74</v>
      </c>
      <c r="BH3265" s="1" t="s">
        <v>74</v>
      </c>
      <c r="BI3265" s="1">
        <v>9</v>
      </c>
      <c r="BJ3265" s="1" t="s">
        <v>1196</v>
      </c>
      <c r="BK3265" s="1" t="s">
        <v>96</v>
      </c>
      <c r="BL3265" s="1" t="s">
        <v>1197</v>
      </c>
      <c r="BM3265" s="1" t="s">
        <v>51844</v>
      </c>
      <c r="BN3265" s="1" t="s">
        <v>74</v>
      </c>
      <c r="BO3265" s="1" t="s">
        <v>74</v>
      </c>
      <c r="BP3265" s="1" t="s">
        <v>74</v>
      </c>
      <c r="BQ3265" s="1" t="s">
        <v>74</v>
      </c>
      <c r="BR3265" s="1" t="s">
        <v>98</v>
      </c>
      <c r="BS3265" s="1" t="s">
        <v>51845</v>
      </c>
      <c r="BT3265" s="1" t="str">
        <f>HYPERLINK("https%3A%2F%2Fwww.webofscience.com%2Fwos%2Fwoscc%2Ffull-record%2FWOS:000319071300003","View Full Record in Web of Science")</f>
        <v>View Full Record in Web of Science</v>
      </c>
      <c r="BU3265" s="1"/>
      <c r="BV3265" s="1"/>
    </row>
    <row r="3266" spans="1:74">
      <c r="A3266" s="1" t="s">
        <v>72</v>
      </c>
      <c r="B3266" s="1" t="s">
        <v>51846</v>
      </c>
      <c r="C3266" s="1" t="s">
        <v>74</v>
      </c>
      <c r="D3266" s="1" t="s">
        <v>74</v>
      </c>
      <c r="E3266" s="1" t="s">
        <v>74</v>
      </c>
      <c r="F3266" s="1" t="s">
        <v>51847</v>
      </c>
      <c r="G3266" s="1" t="s">
        <v>74</v>
      </c>
      <c r="H3266" s="1" t="s">
        <v>74</v>
      </c>
      <c r="I3266" s="1" t="s">
        <v>51848</v>
      </c>
      <c r="J3266" s="1" t="s">
        <v>232</v>
      </c>
      <c r="K3266" s="1" t="s">
        <v>74</v>
      </c>
      <c r="L3266" s="1" t="s">
        <v>74</v>
      </c>
      <c r="M3266" s="1" t="s">
        <v>78</v>
      </c>
      <c r="N3266" s="1" t="s">
        <v>79</v>
      </c>
      <c r="O3266" s="1" t="s">
        <v>74</v>
      </c>
      <c r="P3266" s="1" t="s">
        <v>74</v>
      </c>
      <c r="Q3266" s="1" t="s">
        <v>74</v>
      </c>
      <c r="R3266" s="1" t="s">
        <v>74</v>
      </c>
      <c r="S3266" s="1" t="s">
        <v>74</v>
      </c>
      <c r="T3266" s="1" t="s">
        <v>51849</v>
      </c>
      <c r="U3266" s="1" t="s">
        <v>51850</v>
      </c>
      <c r="V3266" s="1" t="s">
        <v>51851</v>
      </c>
      <c r="W3266" s="1" t="s">
        <v>51852</v>
      </c>
      <c r="X3266" s="1" t="s">
        <v>51853</v>
      </c>
      <c r="Y3266" s="1" t="s">
        <v>51854</v>
      </c>
      <c r="Z3266" s="1" t="s">
        <v>51855</v>
      </c>
      <c r="AA3266" s="1" t="s">
        <v>74</v>
      </c>
      <c r="AB3266" s="1" t="s">
        <v>74</v>
      </c>
      <c r="AC3266" s="1" t="s">
        <v>51856</v>
      </c>
      <c r="AD3266" s="1" t="s">
        <v>51857</v>
      </c>
      <c r="AE3266" s="1" t="s">
        <v>51858</v>
      </c>
      <c r="AF3266" s="1" t="s">
        <v>74</v>
      </c>
      <c r="AG3266" s="1">
        <v>67</v>
      </c>
      <c r="AH3266" s="1">
        <v>16</v>
      </c>
      <c r="AI3266" s="1">
        <v>16</v>
      </c>
      <c r="AJ3266" s="1">
        <v>0</v>
      </c>
      <c r="AK3266" s="1">
        <v>10</v>
      </c>
      <c r="AL3266" s="1" t="s">
        <v>136</v>
      </c>
      <c r="AM3266" s="1" t="s">
        <v>137</v>
      </c>
      <c r="AN3266" s="1" t="s">
        <v>138</v>
      </c>
      <c r="AO3266" s="1" t="s">
        <v>240</v>
      </c>
      <c r="AP3266" s="1" t="s">
        <v>241</v>
      </c>
      <c r="AQ3266" s="1" t="s">
        <v>74</v>
      </c>
      <c r="AR3266" s="1" t="s">
        <v>242</v>
      </c>
      <c r="AS3266" s="1" t="s">
        <v>243</v>
      </c>
      <c r="AT3266" s="1" t="s">
        <v>7041</v>
      </c>
      <c r="AU3266" s="1">
        <v>2017</v>
      </c>
      <c r="AV3266" s="1">
        <v>115</v>
      </c>
      <c r="AW3266" s="1" t="s">
        <v>326</v>
      </c>
      <c r="AX3266" s="1" t="s">
        <v>74</v>
      </c>
      <c r="AY3266" s="1" t="s">
        <v>74</v>
      </c>
      <c r="AZ3266" s="1" t="s">
        <v>74</v>
      </c>
      <c r="BA3266" s="1" t="s">
        <v>74</v>
      </c>
      <c r="BB3266" s="1">
        <v>233</v>
      </c>
      <c r="BC3266" s="1">
        <v>239</v>
      </c>
      <c r="BD3266" s="1" t="s">
        <v>74</v>
      </c>
      <c r="BE3266" s="1" t="s">
        <v>51859</v>
      </c>
      <c r="BF3266" s="1" t="str">
        <f>HYPERLINK("http://dx.doi.org/10.1016/j.marpolbul.2016.12.017","http://dx.doi.org/10.1016/j.marpolbul.2016.12.017")</f>
        <v>http://dx.doi.org/10.1016/j.marpolbul.2016.12.017</v>
      </c>
      <c r="BG3266" s="1" t="s">
        <v>74</v>
      </c>
      <c r="BH3266" s="1" t="s">
        <v>74</v>
      </c>
      <c r="BI3266" s="1">
        <v>7</v>
      </c>
      <c r="BJ3266" s="1" t="s">
        <v>247</v>
      </c>
      <c r="BK3266" s="1" t="s">
        <v>96</v>
      </c>
      <c r="BL3266" s="1" t="s">
        <v>248</v>
      </c>
      <c r="BM3266" s="1" t="s">
        <v>7043</v>
      </c>
      <c r="BN3266" s="1">
        <v>27979615</v>
      </c>
      <c r="BO3266" s="1" t="s">
        <v>1752</v>
      </c>
      <c r="BP3266" s="1" t="s">
        <v>74</v>
      </c>
      <c r="BQ3266" s="1" t="s">
        <v>74</v>
      </c>
      <c r="BR3266" s="1" t="s">
        <v>98</v>
      </c>
      <c r="BS3266" s="1" t="s">
        <v>51860</v>
      </c>
      <c r="BT3266" s="1" t="str">
        <f>HYPERLINK("https%3A%2F%2Fwww.webofscience.com%2Fwos%2Fwoscc%2Ffull-record%2FWOS:000394399800040","View Full Record in Web of Science")</f>
        <v>View Full Record in Web of Science</v>
      </c>
      <c r="BU3266" s="1"/>
      <c r="BV3266" s="1"/>
    </row>
    <row r="3267" spans="1:74">
      <c r="A3267" s="1" t="s">
        <v>72</v>
      </c>
      <c r="B3267" s="1" t="s">
        <v>51861</v>
      </c>
      <c r="C3267" s="1" t="s">
        <v>74</v>
      </c>
      <c r="D3267" s="1" t="s">
        <v>74</v>
      </c>
      <c r="E3267" s="1" t="s">
        <v>74</v>
      </c>
      <c r="F3267" s="1" t="s">
        <v>51862</v>
      </c>
      <c r="G3267" s="1" t="s">
        <v>74</v>
      </c>
      <c r="H3267" s="1" t="s">
        <v>74</v>
      </c>
      <c r="I3267" s="1" t="s">
        <v>51863</v>
      </c>
      <c r="J3267" s="1" t="s">
        <v>51864</v>
      </c>
      <c r="K3267" s="1" t="s">
        <v>74</v>
      </c>
      <c r="L3267" s="1" t="s">
        <v>74</v>
      </c>
      <c r="M3267" s="1" t="s">
        <v>78</v>
      </c>
      <c r="N3267" s="1" t="s">
        <v>79</v>
      </c>
      <c r="O3267" s="1" t="s">
        <v>74</v>
      </c>
      <c r="P3267" s="1" t="s">
        <v>74</v>
      </c>
      <c r="Q3267" s="1" t="s">
        <v>74</v>
      </c>
      <c r="R3267" s="1" t="s">
        <v>74</v>
      </c>
      <c r="S3267" s="1" t="s">
        <v>74</v>
      </c>
      <c r="T3267" s="1" t="s">
        <v>51865</v>
      </c>
      <c r="U3267" s="1" t="s">
        <v>51866</v>
      </c>
      <c r="V3267" s="1" t="s">
        <v>51867</v>
      </c>
      <c r="W3267" s="1" t="s">
        <v>51868</v>
      </c>
      <c r="X3267" s="1" t="s">
        <v>51869</v>
      </c>
      <c r="Y3267" s="1" t="s">
        <v>51870</v>
      </c>
      <c r="Z3267" s="1" t="s">
        <v>51871</v>
      </c>
      <c r="AA3267" s="1" t="s">
        <v>51872</v>
      </c>
      <c r="AB3267" s="1" t="s">
        <v>51873</v>
      </c>
      <c r="AC3267" s="1" t="s">
        <v>51874</v>
      </c>
      <c r="AD3267" s="1" t="s">
        <v>51875</v>
      </c>
      <c r="AE3267" s="1" t="s">
        <v>51876</v>
      </c>
      <c r="AF3267" s="1" t="s">
        <v>74</v>
      </c>
      <c r="AG3267" s="1">
        <v>33</v>
      </c>
      <c r="AH3267" s="1">
        <v>44</v>
      </c>
      <c r="AI3267" s="1">
        <v>49</v>
      </c>
      <c r="AJ3267" s="1">
        <v>0</v>
      </c>
      <c r="AK3267" s="1">
        <v>22</v>
      </c>
      <c r="AL3267" s="1" t="s">
        <v>51877</v>
      </c>
      <c r="AM3267" s="1" t="s">
        <v>286</v>
      </c>
      <c r="AN3267" s="1" t="s">
        <v>51878</v>
      </c>
      <c r="AO3267" s="1" t="s">
        <v>51879</v>
      </c>
      <c r="AP3267" s="1" t="s">
        <v>74</v>
      </c>
      <c r="AQ3267" s="1" t="s">
        <v>74</v>
      </c>
      <c r="AR3267" s="1" t="s">
        <v>51880</v>
      </c>
      <c r="AS3267" s="1" t="s">
        <v>51881</v>
      </c>
      <c r="AT3267" s="1" t="s">
        <v>170</v>
      </c>
      <c r="AU3267" s="1">
        <v>2013</v>
      </c>
      <c r="AV3267" s="1">
        <v>8</v>
      </c>
      <c r="AW3267" s="1">
        <v>5</v>
      </c>
      <c r="AX3267" s="1" t="s">
        <v>74</v>
      </c>
      <c r="AY3267" s="1" t="s">
        <v>74</v>
      </c>
      <c r="AZ3267" s="1" t="s">
        <v>74</v>
      </c>
      <c r="BA3267" s="1" t="s">
        <v>74</v>
      </c>
      <c r="BB3267" s="1">
        <v>725</v>
      </c>
      <c r="BC3267" s="1">
        <v>737</v>
      </c>
      <c r="BD3267" s="1" t="s">
        <v>74</v>
      </c>
      <c r="BE3267" s="1" t="s">
        <v>51882</v>
      </c>
      <c r="BF3267" s="1" t="str">
        <f>HYPERLINK("http://dx.doi.org/10.2217/NNM.12.125","http://dx.doi.org/10.2217/NNM.12.125")</f>
        <v>http://dx.doi.org/10.2217/NNM.12.125</v>
      </c>
      <c r="BG3267" s="1" t="s">
        <v>74</v>
      </c>
      <c r="BH3267" s="1" t="s">
        <v>74</v>
      </c>
      <c r="BI3267" s="1">
        <v>13</v>
      </c>
      <c r="BJ3267" s="1" t="s">
        <v>51883</v>
      </c>
      <c r="BK3267" s="1" t="s">
        <v>96</v>
      </c>
      <c r="BL3267" s="1" t="s">
        <v>51884</v>
      </c>
      <c r="BM3267" s="1" t="s">
        <v>51885</v>
      </c>
      <c r="BN3267" s="1">
        <v>23140503</v>
      </c>
      <c r="BO3267" s="1" t="s">
        <v>1270</v>
      </c>
      <c r="BP3267" s="1" t="s">
        <v>74</v>
      </c>
      <c r="BQ3267" s="1" t="s">
        <v>74</v>
      </c>
      <c r="BR3267" s="1" t="s">
        <v>98</v>
      </c>
      <c r="BS3267" s="1" t="s">
        <v>51886</v>
      </c>
      <c r="BT3267" s="1" t="str">
        <f>HYPERLINK("https%3A%2F%2Fwww.webofscience.com%2Fwos%2Fwoscc%2Ffull-record%2FWOS:000318852100011","View Full Record in Web of Science")</f>
        <v>View Full Record in Web of Science</v>
      </c>
      <c r="BU3267" s="1"/>
      <c r="BV3267" s="1"/>
    </row>
    <row r="3268" spans="1:74">
      <c r="A3268" s="1" t="s">
        <v>72</v>
      </c>
      <c r="B3268" s="1" t="s">
        <v>51887</v>
      </c>
      <c r="C3268" s="1" t="s">
        <v>74</v>
      </c>
      <c r="D3268" s="1" t="s">
        <v>74</v>
      </c>
      <c r="E3268" s="1" t="s">
        <v>74</v>
      </c>
      <c r="F3268" s="1" t="s">
        <v>51888</v>
      </c>
      <c r="G3268" s="1" t="s">
        <v>74</v>
      </c>
      <c r="H3268" s="1" t="s">
        <v>74</v>
      </c>
      <c r="I3268" s="1" t="s">
        <v>51889</v>
      </c>
      <c r="J3268" s="1" t="s">
        <v>232</v>
      </c>
      <c r="K3268" s="1" t="s">
        <v>74</v>
      </c>
      <c r="L3268" s="1" t="s">
        <v>74</v>
      </c>
      <c r="M3268" s="1" t="s">
        <v>78</v>
      </c>
      <c r="N3268" s="1" t="s">
        <v>79</v>
      </c>
      <c r="O3268" s="1" t="s">
        <v>74</v>
      </c>
      <c r="P3268" s="1" t="s">
        <v>74</v>
      </c>
      <c r="Q3268" s="1" t="s">
        <v>74</v>
      </c>
      <c r="R3268" s="1" t="s">
        <v>74</v>
      </c>
      <c r="S3268" s="1" t="s">
        <v>74</v>
      </c>
      <c r="T3268" s="1" t="s">
        <v>51890</v>
      </c>
      <c r="U3268" s="1" t="s">
        <v>51891</v>
      </c>
      <c r="V3268" s="1" t="s">
        <v>51892</v>
      </c>
      <c r="W3268" s="1" t="s">
        <v>51893</v>
      </c>
      <c r="X3268" s="1" t="s">
        <v>51894</v>
      </c>
      <c r="Y3268" s="1" t="s">
        <v>51895</v>
      </c>
      <c r="Z3268" s="1" t="s">
        <v>51896</v>
      </c>
      <c r="AA3268" s="1" t="s">
        <v>51897</v>
      </c>
      <c r="AB3268" s="1" t="s">
        <v>51898</v>
      </c>
      <c r="AC3268" s="1" t="s">
        <v>51899</v>
      </c>
      <c r="AD3268" s="1" t="s">
        <v>51900</v>
      </c>
      <c r="AE3268" s="1" t="s">
        <v>51901</v>
      </c>
      <c r="AF3268" s="1" t="s">
        <v>74</v>
      </c>
      <c r="AG3268" s="1">
        <v>38</v>
      </c>
      <c r="AH3268" s="1">
        <v>14</v>
      </c>
      <c r="AI3268" s="1">
        <v>16</v>
      </c>
      <c r="AJ3268" s="1">
        <v>0</v>
      </c>
      <c r="AK3268" s="1">
        <v>32</v>
      </c>
      <c r="AL3268" s="1" t="s">
        <v>136</v>
      </c>
      <c r="AM3268" s="1" t="s">
        <v>137</v>
      </c>
      <c r="AN3268" s="1" t="s">
        <v>138</v>
      </c>
      <c r="AO3268" s="1" t="s">
        <v>240</v>
      </c>
      <c r="AP3268" s="1" t="s">
        <v>241</v>
      </c>
      <c r="AQ3268" s="1" t="s">
        <v>74</v>
      </c>
      <c r="AR3268" s="1" t="s">
        <v>242</v>
      </c>
      <c r="AS3268" s="1" t="s">
        <v>243</v>
      </c>
      <c r="AT3268" s="1" t="s">
        <v>1470</v>
      </c>
      <c r="AU3268" s="1">
        <v>2019</v>
      </c>
      <c r="AV3268" s="1">
        <v>138</v>
      </c>
      <c r="AW3268" s="1" t="s">
        <v>74</v>
      </c>
      <c r="AX3268" s="1" t="s">
        <v>74</v>
      </c>
      <c r="AY3268" s="1" t="s">
        <v>74</v>
      </c>
      <c r="AZ3268" s="1" t="s">
        <v>74</v>
      </c>
      <c r="BA3268" s="1" t="s">
        <v>74</v>
      </c>
      <c r="BB3268" s="1">
        <v>37</v>
      </c>
      <c r="BC3268" s="1">
        <v>48</v>
      </c>
      <c r="BD3268" s="1" t="s">
        <v>74</v>
      </c>
      <c r="BE3268" s="1" t="s">
        <v>51902</v>
      </c>
      <c r="BF3268" s="1" t="str">
        <f>HYPERLINK("http://dx.doi.org/10.1016/j.marpolbul.2018.10.058","http://dx.doi.org/10.1016/j.marpolbul.2018.10.058")</f>
        <v>http://dx.doi.org/10.1016/j.marpolbul.2018.10.058</v>
      </c>
      <c r="BG3268" s="1" t="s">
        <v>74</v>
      </c>
      <c r="BH3268" s="1" t="s">
        <v>74</v>
      </c>
      <c r="BI3268" s="1">
        <v>12</v>
      </c>
      <c r="BJ3268" s="1" t="s">
        <v>247</v>
      </c>
      <c r="BK3268" s="1" t="s">
        <v>96</v>
      </c>
      <c r="BL3268" s="1" t="s">
        <v>248</v>
      </c>
      <c r="BM3268" s="1" t="s">
        <v>51903</v>
      </c>
      <c r="BN3268" s="1">
        <v>30660286</v>
      </c>
      <c r="BO3268" s="1" t="s">
        <v>18961</v>
      </c>
      <c r="BP3268" s="1" t="s">
        <v>74</v>
      </c>
      <c r="BQ3268" s="1" t="s">
        <v>74</v>
      </c>
      <c r="BR3268" s="1" t="s">
        <v>98</v>
      </c>
      <c r="BS3268" s="1" t="s">
        <v>51904</v>
      </c>
      <c r="BT3268" s="1" t="str">
        <f>HYPERLINK("https%3A%2F%2Fwww.webofscience.com%2Fwos%2Fwoscc%2Ffull-record%2FWOS:000457512500007","View Full Record in Web of Science")</f>
        <v>View Full Record in Web of Science</v>
      </c>
      <c r="BU3268" s="1"/>
      <c r="BV3268" s="1"/>
    </row>
    <row r="3269" spans="1:74">
      <c r="A3269" s="1" t="s">
        <v>72</v>
      </c>
      <c r="B3269" s="1" t="s">
        <v>51905</v>
      </c>
      <c r="C3269" s="1" t="s">
        <v>74</v>
      </c>
      <c r="D3269" s="1" t="s">
        <v>74</v>
      </c>
      <c r="E3269" s="1" t="s">
        <v>74</v>
      </c>
      <c r="F3269" s="1" t="s">
        <v>51905</v>
      </c>
      <c r="G3269" s="1" t="s">
        <v>74</v>
      </c>
      <c r="H3269" s="1" t="s">
        <v>74</v>
      </c>
      <c r="I3269" s="1" t="s">
        <v>51906</v>
      </c>
      <c r="J3269" s="1" t="s">
        <v>51907</v>
      </c>
      <c r="K3269" s="1" t="s">
        <v>74</v>
      </c>
      <c r="L3269" s="1" t="s">
        <v>74</v>
      </c>
      <c r="M3269" s="1" t="s">
        <v>78</v>
      </c>
      <c r="N3269" s="1" t="s">
        <v>79</v>
      </c>
      <c r="O3269" s="1" t="s">
        <v>74</v>
      </c>
      <c r="P3269" s="1" t="s">
        <v>74</v>
      </c>
      <c r="Q3269" s="1" t="s">
        <v>74</v>
      </c>
      <c r="R3269" s="1" t="s">
        <v>74</v>
      </c>
      <c r="S3269" s="1" t="s">
        <v>74</v>
      </c>
      <c r="T3269" s="1" t="s">
        <v>74</v>
      </c>
      <c r="U3269" s="1" t="s">
        <v>51908</v>
      </c>
      <c r="V3269" s="1" t="s">
        <v>51909</v>
      </c>
      <c r="W3269" s="1" t="s">
        <v>51910</v>
      </c>
      <c r="X3269" s="1" t="s">
        <v>51911</v>
      </c>
      <c r="Y3269" s="1" t="s">
        <v>74</v>
      </c>
      <c r="Z3269" s="1" t="s">
        <v>74</v>
      </c>
      <c r="AA3269" s="1" t="s">
        <v>74</v>
      </c>
      <c r="AB3269" s="1" t="s">
        <v>74</v>
      </c>
      <c r="AC3269" s="1" t="s">
        <v>74</v>
      </c>
      <c r="AD3269" s="1" t="s">
        <v>74</v>
      </c>
      <c r="AE3269" s="1" t="s">
        <v>74</v>
      </c>
      <c r="AF3269" s="1" t="s">
        <v>74</v>
      </c>
      <c r="AG3269" s="1">
        <v>66</v>
      </c>
      <c r="AH3269" s="1">
        <v>14</v>
      </c>
      <c r="AI3269" s="1">
        <v>15</v>
      </c>
      <c r="AJ3269" s="1">
        <v>0</v>
      </c>
      <c r="AK3269" s="1">
        <v>6</v>
      </c>
      <c r="AL3269" s="1" t="s">
        <v>5839</v>
      </c>
      <c r="AM3269" s="1" t="s">
        <v>113</v>
      </c>
      <c r="AN3269" s="1" t="s">
        <v>51912</v>
      </c>
      <c r="AO3269" s="1" t="s">
        <v>51913</v>
      </c>
      <c r="AP3269" s="1" t="s">
        <v>74</v>
      </c>
      <c r="AQ3269" s="1" t="s">
        <v>74</v>
      </c>
      <c r="AR3269" s="1" t="s">
        <v>51914</v>
      </c>
      <c r="AS3269" s="1" t="s">
        <v>51915</v>
      </c>
      <c r="AT3269" s="1" t="s">
        <v>16894</v>
      </c>
      <c r="AU3269" s="1">
        <v>1997</v>
      </c>
      <c r="AV3269" s="1">
        <v>278</v>
      </c>
      <c r="AW3269" s="1">
        <v>4</v>
      </c>
      <c r="AX3269" s="1" t="s">
        <v>74</v>
      </c>
      <c r="AY3269" s="1" t="s">
        <v>74</v>
      </c>
      <c r="AZ3269" s="1" t="s">
        <v>74</v>
      </c>
      <c r="BA3269" s="1" t="s">
        <v>74</v>
      </c>
      <c r="BB3269" s="1">
        <v>255</v>
      </c>
      <c r="BC3269" s="1">
        <v>272</v>
      </c>
      <c r="BD3269" s="1" t="s">
        <v>74</v>
      </c>
      <c r="BE3269" s="1" t="s">
        <v>51916</v>
      </c>
      <c r="BF3269" s="1" t="str">
        <f>HYPERLINK("http://dx.doi.org/10.1002/(SICI)1097-010X(19970701)278:4&lt;255::AID-JEZ7&gt;3.3.CO;2-8","http://dx.doi.org/10.1002/(SICI)1097-010X(19970701)278:4&lt;255::AID-JEZ7&gt;3.3.CO;2-8")</f>
        <v>http://dx.doi.org/10.1002/(SICI)1097-010X(19970701)278:4&lt;255::AID-JEZ7&gt;3.3.CO;2-8</v>
      </c>
      <c r="BG3269" s="1" t="s">
        <v>74</v>
      </c>
      <c r="BH3269" s="1" t="s">
        <v>74</v>
      </c>
      <c r="BI3269" s="1">
        <v>18</v>
      </c>
      <c r="BJ3269" s="1" t="s">
        <v>2210</v>
      </c>
      <c r="BK3269" s="1" t="s">
        <v>96</v>
      </c>
      <c r="BL3269" s="1" t="s">
        <v>2210</v>
      </c>
      <c r="BM3269" s="1" t="s">
        <v>51917</v>
      </c>
      <c r="BN3269" s="1" t="s">
        <v>74</v>
      </c>
      <c r="BO3269" s="1" t="s">
        <v>370</v>
      </c>
      <c r="BP3269" s="1" t="s">
        <v>74</v>
      </c>
      <c r="BQ3269" s="1" t="s">
        <v>74</v>
      </c>
      <c r="BR3269" s="1" t="s">
        <v>98</v>
      </c>
      <c r="BS3269" s="1" t="s">
        <v>51918</v>
      </c>
      <c r="BT3269" s="1" t="str">
        <f>HYPERLINK("https%3A%2F%2Fwww.webofscience.com%2Fwos%2Fwoscc%2Ffull-record%2FWOS:A1997XG18300007","View Full Record in Web of Science")</f>
        <v>View Full Record in Web of Science</v>
      </c>
      <c r="BU3269" s="1"/>
      <c r="BV3269" s="1"/>
    </row>
    <row r="3270" spans="1:74">
      <c r="A3270" s="1" t="s">
        <v>72</v>
      </c>
      <c r="B3270" s="1" t="s">
        <v>51919</v>
      </c>
      <c r="C3270" s="1" t="s">
        <v>74</v>
      </c>
      <c r="D3270" s="1" t="s">
        <v>74</v>
      </c>
      <c r="E3270" s="1" t="s">
        <v>74</v>
      </c>
      <c r="F3270" s="1" t="s">
        <v>51919</v>
      </c>
      <c r="G3270" s="1" t="s">
        <v>74</v>
      </c>
      <c r="H3270" s="1" t="s">
        <v>74</v>
      </c>
      <c r="I3270" s="1" t="s">
        <v>51920</v>
      </c>
      <c r="J3270" s="1" t="s">
        <v>909</v>
      </c>
      <c r="K3270" s="1" t="s">
        <v>74</v>
      </c>
      <c r="L3270" s="1" t="s">
        <v>74</v>
      </c>
      <c r="M3270" s="1" t="s">
        <v>78</v>
      </c>
      <c r="N3270" s="1" t="s">
        <v>79</v>
      </c>
      <c r="O3270" s="1" t="s">
        <v>74</v>
      </c>
      <c r="P3270" s="1" t="s">
        <v>74</v>
      </c>
      <c r="Q3270" s="1" t="s">
        <v>74</v>
      </c>
      <c r="R3270" s="1" t="s">
        <v>74</v>
      </c>
      <c r="S3270" s="1" t="s">
        <v>74</v>
      </c>
      <c r="T3270" s="1" t="s">
        <v>51921</v>
      </c>
      <c r="U3270" s="1" t="s">
        <v>51922</v>
      </c>
      <c r="V3270" s="1" t="s">
        <v>51923</v>
      </c>
      <c r="W3270" s="1" t="s">
        <v>51924</v>
      </c>
      <c r="X3270" s="1" t="s">
        <v>51925</v>
      </c>
      <c r="Y3270" s="1" t="s">
        <v>51926</v>
      </c>
      <c r="Z3270" s="1" t="s">
        <v>51927</v>
      </c>
      <c r="AA3270" s="1" t="s">
        <v>51928</v>
      </c>
      <c r="AB3270" s="1" t="s">
        <v>6120</v>
      </c>
      <c r="AC3270" s="1" t="s">
        <v>74</v>
      </c>
      <c r="AD3270" s="1" t="s">
        <v>74</v>
      </c>
      <c r="AE3270" s="1" t="s">
        <v>74</v>
      </c>
      <c r="AF3270" s="1" t="s">
        <v>74</v>
      </c>
      <c r="AG3270" s="1">
        <v>26</v>
      </c>
      <c r="AH3270" s="1">
        <v>23</v>
      </c>
      <c r="AI3270" s="1">
        <v>25</v>
      </c>
      <c r="AJ3270" s="1">
        <v>0</v>
      </c>
      <c r="AK3270" s="1">
        <v>14</v>
      </c>
      <c r="AL3270" s="1" t="s">
        <v>919</v>
      </c>
      <c r="AM3270" s="1" t="s">
        <v>651</v>
      </c>
      <c r="AN3270" s="1" t="s">
        <v>920</v>
      </c>
      <c r="AO3270" s="1" t="s">
        <v>921</v>
      </c>
      <c r="AP3270" s="1" t="s">
        <v>922</v>
      </c>
      <c r="AQ3270" s="1" t="s">
        <v>74</v>
      </c>
      <c r="AR3270" s="1" t="s">
        <v>923</v>
      </c>
      <c r="AS3270" s="1" t="s">
        <v>924</v>
      </c>
      <c r="AT3270" s="1" t="s">
        <v>17535</v>
      </c>
      <c r="AU3270" s="1">
        <v>2005</v>
      </c>
      <c r="AV3270" s="1">
        <v>336</v>
      </c>
      <c r="AW3270" s="1" t="s">
        <v>2847</v>
      </c>
      <c r="AX3270" s="1" t="s">
        <v>74</v>
      </c>
      <c r="AY3270" s="1" t="s">
        <v>74</v>
      </c>
      <c r="AZ3270" s="1" t="s">
        <v>74</v>
      </c>
      <c r="BA3270" s="1" t="s">
        <v>74</v>
      </c>
      <c r="BB3270" s="1">
        <v>119</v>
      </c>
      <c r="BC3270" s="1">
        <v>134</v>
      </c>
      <c r="BD3270" s="1" t="s">
        <v>74</v>
      </c>
      <c r="BE3270" s="1" t="s">
        <v>51929</v>
      </c>
      <c r="BF3270" s="1" t="str">
        <f>HYPERLINK("http://dx.doi.org/10.1016/j.scitotenv.2004.05.020","http://dx.doi.org/10.1016/j.scitotenv.2004.05.020")</f>
        <v>http://dx.doi.org/10.1016/j.scitotenv.2004.05.020</v>
      </c>
      <c r="BG3270" s="1" t="s">
        <v>74</v>
      </c>
      <c r="BH3270" s="1" t="s">
        <v>74</v>
      </c>
      <c r="BI3270" s="1">
        <v>16</v>
      </c>
      <c r="BJ3270" s="1" t="s">
        <v>144</v>
      </c>
      <c r="BK3270" s="1" t="s">
        <v>96</v>
      </c>
      <c r="BL3270" s="1" t="s">
        <v>145</v>
      </c>
      <c r="BM3270" s="1" t="s">
        <v>51930</v>
      </c>
      <c r="BN3270" s="1">
        <v>15589254</v>
      </c>
      <c r="BO3270" s="1" t="s">
        <v>74</v>
      </c>
      <c r="BP3270" s="1" t="s">
        <v>74</v>
      </c>
      <c r="BQ3270" s="1" t="s">
        <v>74</v>
      </c>
      <c r="BR3270" s="1" t="s">
        <v>98</v>
      </c>
      <c r="BS3270" s="1" t="s">
        <v>51931</v>
      </c>
      <c r="BT3270" s="1" t="str">
        <f>HYPERLINK("https%3A%2F%2Fwww.webofscience.com%2Fwos%2Fwoscc%2Ffull-record%2FWOS:000226359300010","View Full Record in Web of Science")</f>
        <v>View Full Record in Web of Science</v>
      </c>
      <c r="BU3270" s="1"/>
      <c r="BV3270" s="1"/>
    </row>
    <row r="3271" spans="1:74">
      <c r="A3271" s="1" t="s">
        <v>72</v>
      </c>
      <c r="B3271" s="1" t="s">
        <v>51932</v>
      </c>
      <c r="C3271" s="1" t="s">
        <v>74</v>
      </c>
      <c r="D3271" s="1" t="s">
        <v>74</v>
      </c>
      <c r="E3271" s="1" t="s">
        <v>74</v>
      </c>
      <c r="F3271" s="1" t="s">
        <v>51933</v>
      </c>
      <c r="G3271" s="1" t="s">
        <v>74</v>
      </c>
      <c r="H3271" s="1" t="s">
        <v>74</v>
      </c>
      <c r="I3271" s="1" t="s">
        <v>51934</v>
      </c>
      <c r="J3271" s="1" t="s">
        <v>4463</v>
      </c>
      <c r="K3271" s="1" t="s">
        <v>74</v>
      </c>
      <c r="L3271" s="1" t="s">
        <v>74</v>
      </c>
      <c r="M3271" s="1" t="s">
        <v>78</v>
      </c>
      <c r="N3271" s="1" t="s">
        <v>79</v>
      </c>
      <c r="O3271" s="1" t="s">
        <v>74</v>
      </c>
      <c r="P3271" s="1" t="s">
        <v>74</v>
      </c>
      <c r="Q3271" s="1" t="s">
        <v>74</v>
      </c>
      <c r="R3271" s="1" t="s">
        <v>74</v>
      </c>
      <c r="S3271" s="1" t="s">
        <v>74</v>
      </c>
      <c r="T3271" s="1" t="s">
        <v>74</v>
      </c>
      <c r="U3271" s="1" t="s">
        <v>51935</v>
      </c>
      <c r="V3271" s="1" t="s">
        <v>51936</v>
      </c>
      <c r="W3271" s="1" t="s">
        <v>51937</v>
      </c>
      <c r="X3271" s="1" t="s">
        <v>14642</v>
      </c>
      <c r="Y3271" s="1" t="s">
        <v>51938</v>
      </c>
      <c r="Z3271" s="1" t="s">
        <v>51939</v>
      </c>
      <c r="AA3271" s="1" t="s">
        <v>51940</v>
      </c>
      <c r="AB3271" s="1" t="s">
        <v>51941</v>
      </c>
      <c r="AC3271" s="1" t="s">
        <v>51942</v>
      </c>
      <c r="AD3271" s="1" t="s">
        <v>51943</v>
      </c>
      <c r="AE3271" s="1" t="s">
        <v>51944</v>
      </c>
      <c r="AF3271" s="1" t="s">
        <v>74</v>
      </c>
      <c r="AG3271" s="1">
        <v>70</v>
      </c>
      <c r="AH3271" s="1">
        <v>58</v>
      </c>
      <c r="AI3271" s="1">
        <v>60</v>
      </c>
      <c r="AJ3271" s="1">
        <v>1</v>
      </c>
      <c r="AK3271" s="1">
        <v>85</v>
      </c>
      <c r="AL3271" s="1" t="s">
        <v>4471</v>
      </c>
      <c r="AM3271" s="1" t="s">
        <v>4472</v>
      </c>
      <c r="AN3271" s="1" t="s">
        <v>4473</v>
      </c>
      <c r="AO3271" s="1" t="s">
        <v>4474</v>
      </c>
      <c r="AP3271" s="1" t="s">
        <v>4475</v>
      </c>
      <c r="AQ3271" s="1" t="s">
        <v>74</v>
      </c>
      <c r="AR3271" s="1" t="s">
        <v>4476</v>
      </c>
      <c r="AS3271" s="1" t="s">
        <v>4477</v>
      </c>
      <c r="AT3271" s="1" t="s">
        <v>37404</v>
      </c>
      <c r="AU3271" s="1">
        <v>2014</v>
      </c>
      <c r="AV3271" s="1">
        <v>48</v>
      </c>
      <c r="AW3271" s="1">
        <v>20</v>
      </c>
      <c r="AX3271" s="1" t="s">
        <v>74</v>
      </c>
      <c r="AY3271" s="1" t="s">
        <v>74</v>
      </c>
      <c r="AZ3271" s="1" t="s">
        <v>74</v>
      </c>
      <c r="BA3271" s="1" t="s">
        <v>74</v>
      </c>
      <c r="BB3271" s="1">
        <v>12292</v>
      </c>
      <c r="BC3271" s="1">
        <v>12301</v>
      </c>
      <c r="BD3271" s="1" t="s">
        <v>74</v>
      </c>
      <c r="BE3271" s="1" t="s">
        <v>51945</v>
      </c>
      <c r="BF3271" s="1" t="str">
        <f>HYPERLINK("http://dx.doi.org/10.1021/es501939c","http://dx.doi.org/10.1021/es501939c")</f>
        <v>http://dx.doi.org/10.1021/es501939c</v>
      </c>
      <c r="BG3271" s="1" t="s">
        <v>74</v>
      </c>
      <c r="BH3271" s="1" t="s">
        <v>74</v>
      </c>
      <c r="BI3271" s="1">
        <v>10</v>
      </c>
      <c r="BJ3271" s="1" t="s">
        <v>415</v>
      </c>
      <c r="BK3271" s="1" t="s">
        <v>96</v>
      </c>
      <c r="BL3271" s="1" t="s">
        <v>416</v>
      </c>
      <c r="BM3271" s="1" t="s">
        <v>51946</v>
      </c>
      <c r="BN3271" s="1">
        <v>25221911</v>
      </c>
      <c r="BO3271" s="1" t="s">
        <v>74</v>
      </c>
      <c r="BP3271" s="1" t="s">
        <v>74</v>
      </c>
      <c r="BQ3271" s="1" t="s">
        <v>74</v>
      </c>
      <c r="BR3271" s="1" t="s">
        <v>98</v>
      </c>
      <c r="BS3271" s="1" t="s">
        <v>51947</v>
      </c>
      <c r="BT3271" s="1" t="str">
        <f>HYPERLINK("https%3A%2F%2Fwww.webofscience.com%2Fwos%2Fwoscc%2Ffull-record%2FWOS:000343640900066","View Full Record in Web of Science")</f>
        <v>View Full Record in Web of Science</v>
      </c>
      <c r="BU3271" s="1"/>
      <c r="BV3271" s="1"/>
    </row>
    <row r="3272" spans="1:74">
      <c r="A3272" s="1" t="s">
        <v>72</v>
      </c>
      <c r="B3272" s="1" t="s">
        <v>51948</v>
      </c>
      <c r="C3272" s="1" t="s">
        <v>74</v>
      </c>
      <c r="D3272" s="1" t="s">
        <v>74</v>
      </c>
      <c r="E3272" s="1" t="s">
        <v>74</v>
      </c>
      <c r="F3272" s="1" t="s">
        <v>51949</v>
      </c>
      <c r="G3272" s="1" t="s">
        <v>74</v>
      </c>
      <c r="H3272" s="1" t="s">
        <v>74</v>
      </c>
      <c r="I3272" s="1" t="s">
        <v>51950</v>
      </c>
      <c r="J3272" s="1" t="s">
        <v>51951</v>
      </c>
      <c r="K3272" s="1" t="s">
        <v>74</v>
      </c>
      <c r="L3272" s="1" t="s">
        <v>74</v>
      </c>
      <c r="M3272" s="1" t="s">
        <v>78</v>
      </c>
      <c r="N3272" s="1" t="s">
        <v>79</v>
      </c>
      <c r="O3272" s="1" t="s">
        <v>74</v>
      </c>
      <c r="P3272" s="1" t="s">
        <v>74</v>
      </c>
      <c r="Q3272" s="1" t="s">
        <v>74</v>
      </c>
      <c r="R3272" s="1" t="s">
        <v>74</v>
      </c>
      <c r="S3272" s="1" t="s">
        <v>74</v>
      </c>
      <c r="T3272" s="1" t="s">
        <v>51952</v>
      </c>
      <c r="U3272" s="1" t="s">
        <v>51953</v>
      </c>
      <c r="V3272" s="1" t="s">
        <v>51954</v>
      </c>
      <c r="W3272" s="1" t="s">
        <v>51955</v>
      </c>
      <c r="X3272" s="1" t="s">
        <v>51956</v>
      </c>
      <c r="Y3272" s="1" t="s">
        <v>51957</v>
      </c>
      <c r="Z3272" s="1" t="s">
        <v>51958</v>
      </c>
      <c r="AA3272" s="1" t="s">
        <v>51959</v>
      </c>
      <c r="AB3272" s="1" t="s">
        <v>51960</v>
      </c>
      <c r="AC3272" s="1" t="s">
        <v>51961</v>
      </c>
      <c r="AD3272" s="1" t="s">
        <v>51962</v>
      </c>
      <c r="AE3272" s="1" t="s">
        <v>51963</v>
      </c>
      <c r="AF3272" s="1" t="s">
        <v>74</v>
      </c>
      <c r="AG3272" s="1">
        <v>91</v>
      </c>
      <c r="AH3272" s="1">
        <v>8</v>
      </c>
      <c r="AI3272" s="1">
        <v>9</v>
      </c>
      <c r="AJ3272" s="1">
        <v>0</v>
      </c>
      <c r="AK3272" s="1">
        <v>19</v>
      </c>
      <c r="AL3272" s="1" t="s">
        <v>1566</v>
      </c>
      <c r="AM3272" s="1" t="s">
        <v>1567</v>
      </c>
      <c r="AN3272" s="1" t="s">
        <v>1568</v>
      </c>
      <c r="AO3272" s="1" t="s">
        <v>74</v>
      </c>
      <c r="AP3272" s="1" t="s">
        <v>51964</v>
      </c>
      <c r="AQ3272" s="1" t="s">
        <v>74</v>
      </c>
      <c r="AR3272" s="1" t="s">
        <v>51965</v>
      </c>
      <c r="AS3272" s="1" t="s">
        <v>51966</v>
      </c>
      <c r="AT3272" s="1" t="s">
        <v>951</v>
      </c>
      <c r="AU3272" s="1">
        <v>2021</v>
      </c>
      <c r="AV3272" s="1">
        <v>19</v>
      </c>
      <c r="AW3272" s="1">
        <v>11</v>
      </c>
      <c r="AX3272" s="1" t="s">
        <v>74</v>
      </c>
      <c r="AY3272" s="1" t="s">
        <v>74</v>
      </c>
      <c r="AZ3272" s="1" t="s">
        <v>74</v>
      </c>
      <c r="BA3272" s="1" t="s">
        <v>74</v>
      </c>
      <c r="BB3272" s="1" t="s">
        <v>74</v>
      </c>
      <c r="BC3272" s="1" t="s">
        <v>74</v>
      </c>
      <c r="BD3272" s="1">
        <v>619</v>
      </c>
      <c r="BE3272" s="1" t="s">
        <v>51967</v>
      </c>
      <c r="BF3272" s="1" t="str">
        <f>HYPERLINK("http://dx.doi.org/10.3390/md19110619","http://dx.doi.org/10.3390/md19110619")</f>
        <v>http://dx.doi.org/10.3390/md19110619</v>
      </c>
      <c r="BG3272" s="1" t="s">
        <v>74</v>
      </c>
      <c r="BH3272" s="1" t="s">
        <v>74</v>
      </c>
      <c r="BI3272" s="1">
        <v>18</v>
      </c>
      <c r="BJ3272" s="1" t="s">
        <v>51968</v>
      </c>
      <c r="BK3272" s="1" t="s">
        <v>96</v>
      </c>
      <c r="BL3272" s="1" t="s">
        <v>5061</v>
      </c>
      <c r="BM3272" s="1" t="s">
        <v>51969</v>
      </c>
      <c r="BN3272" s="1">
        <v>34822490</v>
      </c>
      <c r="BO3272" s="1" t="s">
        <v>2155</v>
      </c>
      <c r="BP3272" s="1" t="s">
        <v>74</v>
      </c>
      <c r="BQ3272" s="1" t="s">
        <v>74</v>
      </c>
      <c r="BR3272" s="1" t="s">
        <v>98</v>
      </c>
      <c r="BS3272" s="1" t="s">
        <v>51970</v>
      </c>
      <c r="BT3272" s="1" t="str">
        <f>HYPERLINK("https%3A%2F%2Fwww.webofscience.com%2Fwos%2Fwoscc%2Ffull-record%2FWOS:000724154400001","View Full Record in Web of Science")</f>
        <v>View Full Record in Web of Science</v>
      </c>
      <c r="BU3272" s="1"/>
      <c r="BV3272" s="1"/>
    </row>
    <row r="3273" spans="1:74">
      <c r="A3273" s="1" t="s">
        <v>72</v>
      </c>
      <c r="B3273" s="1" t="s">
        <v>51971</v>
      </c>
      <c r="C3273" s="1" t="s">
        <v>74</v>
      </c>
      <c r="D3273" s="1" t="s">
        <v>74</v>
      </c>
      <c r="E3273" s="1" t="s">
        <v>74</v>
      </c>
      <c r="F3273" s="1" t="s">
        <v>51972</v>
      </c>
      <c r="G3273" s="1" t="s">
        <v>74</v>
      </c>
      <c r="H3273" s="1" t="s">
        <v>74</v>
      </c>
      <c r="I3273" s="1" t="s">
        <v>51973</v>
      </c>
      <c r="J3273" s="1" t="s">
        <v>204</v>
      </c>
      <c r="K3273" s="1" t="s">
        <v>74</v>
      </c>
      <c r="L3273" s="1" t="s">
        <v>74</v>
      </c>
      <c r="M3273" s="1" t="s">
        <v>78</v>
      </c>
      <c r="N3273" s="1" t="s">
        <v>79</v>
      </c>
      <c r="O3273" s="1" t="s">
        <v>74</v>
      </c>
      <c r="P3273" s="1" t="s">
        <v>74</v>
      </c>
      <c r="Q3273" s="1" t="s">
        <v>74</v>
      </c>
      <c r="R3273" s="1" t="s">
        <v>74</v>
      </c>
      <c r="S3273" s="1" t="s">
        <v>74</v>
      </c>
      <c r="T3273" s="1" t="s">
        <v>51974</v>
      </c>
      <c r="U3273" s="1" t="s">
        <v>51975</v>
      </c>
      <c r="V3273" s="1" t="s">
        <v>51976</v>
      </c>
      <c r="W3273" s="1" t="s">
        <v>51977</v>
      </c>
      <c r="X3273" s="1" t="s">
        <v>11094</v>
      </c>
      <c r="Y3273" s="1" t="s">
        <v>51978</v>
      </c>
      <c r="Z3273" s="1" t="s">
        <v>51979</v>
      </c>
      <c r="AA3273" s="1" t="s">
        <v>51980</v>
      </c>
      <c r="AB3273" s="1" t="s">
        <v>51981</v>
      </c>
      <c r="AC3273" s="1" t="s">
        <v>51982</v>
      </c>
      <c r="AD3273" s="1" t="s">
        <v>26486</v>
      </c>
      <c r="AE3273" s="1" t="s">
        <v>51983</v>
      </c>
      <c r="AF3273" s="1" t="s">
        <v>74</v>
      </c>
      <c r="AG3273" s="1">
        <v>42</v>
      </c>
      <c r="AH3273" s="1">
        <v>15</v>
      </c>
      <c r="AI3273" s="1">
        <v>19</v>
      </c>
      <c r="AJ3273" s="1">
        <v>3</v>
      </c>
      <c r="AK3273" s="1">
        <v>41</v>
      </c>
      <c r="AL3273" s="1" t="s">
        <v>217</v>
      </c>
      <c r="AM3273" s="1" t="s">
        <v>218</v>
      </c>
      <c r="AN3273" s="1" t="s">
        <v>219</v>
      </c>
      <c r="AO3273" s="1" t="s">
        <v>220</v>
      </c>
      <c r="AP3273" s="1" t="s">
        <v>221</v>
      </c>
      <c r="AQ3273" s="1" t="s">
        <v>74</v>
      </c>
      <c r="AR3273" s="1" t="s">
        <v>222</v>
      </c>
      <c r="AS3273" s="1" t="s">
        <v>223</v>
      </c>
      <c r="AT3273" s="1" t="s">
        <v>224</v>
      </c>
      <c r="AU3273" s="1">
        <v>2012</v>
      </c>
      <c r="AV3273" s="1">
        <v>19</v>
      </c>
      <c r="AW3273" s="1">
        <v>2</v>
      </c>
      <c r="AX3273" s="1" t="s">
        <v>74</v>
      </c>
      <c r="AY3273" s="1" t="s">
        <v>74</v>
      </c>
      <c r="AZ3273" s="1" t="s">
        <v>74</v>
      </c>
      <c r="BA3273" s="1" t="s">
        <v>74</v>
      </c>
      <c r="BB3273" s="1">
        <v>529</v>
      </c>
      <c r="BC3273" s="1">
        <v>539</v>
      </c>
      <c r="BD3273" s="1" t="s">
        <v>74</v>
      </c>
      <c r="BE3273" s="1" t="s">
        <v>51984</v>
      </c>
      <c r="BF3273" s="1" t="str">
        <f>HYPERLINK("http://dx.doi.org/10.1007/s11356-011-0584-3","http://dx.doi.org/10.1007/s11356-011-0584-3")</f>
        <v>http://dx.doi.org/10.1007/s11356-011-0584-3</v>
      </c>
      <c r="BG3273" s="1" t="s">
        <v>74</v>
      </c>
      <c r="BH3273" s="1" t="s">
        <v>74</v>
      </c>
      <c r="BI3273" s="1">
        <v>11</v>
      </c>
      <c r="BJ3273" s="1" t="s">
        <v>144</v>
      </c>
      <c r="BK3273" s="1" t="s">
        <v>96</v>
      </c>
      <c r="BL3273" s="1" t="s">
        <v>145</v>
      </c>
      <c r="BM3273" s="1" t="s">
        <v>51985</v>
      </c>
      <c r="BN3273" s="1">
        <v>21842344</v>
      </c>
      <c r="BO3273" s="1" t="s">
        <v>74</v>
      </c>
      <c r="BP3273" s="1" t="s">
        <v>74</v>
      </c>
      <c r="BQ3273" s="1" t="s">
        <v>74</v>
      </c>
      <c r="BR3273" s="1" t="s">
        <v>98</v>
      </c>
      <c r="BS3273" s="1" t="s">
        <v>51986</v>
      </c>
      <c r="BT3273" s="1" t="str">
        <f>HYPERLINK("https%3A%2F%2Fwww.webofscience.com%2Fwos%2Fwoscc%2Ffull-record%2FWOS:000299330800022","View Full Record in Web of Science")</f>
        <v>View Full Record in Web of Science</v>
      </c>
      <c r="BU3273" s="1"/>
      <c r="BV3273" s="1"/>
    </row>
    <row r="3274" spans="1:74">
      <c r="A3274" s="1" t="s">
        <v>72</v>
      </c>
      <c r="B3274" s="1" t="s">
        <v>51987</v>
      </c>
      <c r="C3274" s="1" t="s">
        <v>74</v>
      </c>
      <c r="D3274" s="1" t="s">
        <v>74</v>
      </c>
      <c r="E3274" s="1" t="s">
        <v>74</v>
      </c>
      <c r="F3274" s="1" t="s">
        <v>51988</v>
      </c>
      <c r="G3274" s="1" t="s">
        <v>74</v>
      </c>
      <c r="H3274" s="1" t="s">
        <v>74</v>
      </c>
      <c r="I3274" s="1" t="s">
        <v>51989</v>
      </c>
      <c r="J3274" s="1" t="s">
        <v>127</v>
      </c>
      <c r="K3274" s="1" t="s">
        <v>74</v>
      </c>
      <c r="L3274" s="1" t="s">
        <v>74</v>
      </c>
      <c r="M3274" s="1" t="s">
        <v>78</v>
      </c>
      <c r="N3274" s="1" t="s">
        <v>79</v>
      </c>
      <c r="O3274" s="1" t="s">
        <v>74</v>
      </c>
      <c r="P3274" s="1" t="s">
        <v>74</v>
      </c>
      <c r="Q3274" s="1" t="s">
        <v>74</v>
      </c>
      <c r="R3274" s="1" t="s">
        <v>74</v>
      </c>
      <c r="S3274" s="1" t="s">
        <v>74</v>
      </c>
      <c r="T3274" s="1" t="s">
        <v>51990</v>
      </c>
      <c r="U3274" s="1" t="s">
        <v>51991</v>
      </c>
      <c r="V3274" s="1" t="s">
        <v>51992</v>
      </c>
      <c r="W3274" s="1" t="s">
        <v>51993</v>
      </c>
      <c r="X3274" s="1" t="s">
        <v>51994</v>
      </c>
      <c r="Y3274" s="1" t="s">
        <v>51995</v>
      </c>
      <c r="Z3274" s="1" t="s">
        <v>51996</v>
      </c>
      <c r="AA3274" s="1" t="s">
        <v>51997</v>
      </c>
      <c r="AB3274" s="1" t="s">
        <v>51998</v>
      </c>
      <c r="AC3274" s="1" t="s">
        <v>51999</v>
      </c>
      <c r="AD3274" s="1" t="s">
        <v>51999</v>
      </c>
      <c r="AE3274" s="1" t="s">
        <v>52000</v>
      </c>
      <c r="AF3274" s="1" t="s">
        <v>74</v>
      </c>
      <c r="AG3274" s="1">
        <v>63</v>
      </c>
      <c r="AH3274" s="1">
        <v>10</v>
      </c>
      <c r="AI3274" s="1">
        <v>12</v>
      </c>
      <c r="AJ3274" s="1">
        <v>1</v>
      </c>
      <c r="AK3274" s="1">
        <v>50</v>
      </c>
      <c r="AL3274" s="1" t="s">
        <v>136</v>
      </c>
      <c r="AM3274" s="1" t="s">
        <v>137</v>
      </c>
      <c r="AN3274" s="1" t="s">
        <v>138</v>
      </c>
      <c r="AO3274" s="1" t="s">
        <v>139</v>
      </c>
      <c r="AP3274" s="1" t="s">
        <v>140</v>
      </c>
      <c r="AQ3274" s="1" t="s">
        <v>74</v>
      </c>
      <c r="AR3274" s="1" t="s">
        <v>127</v>
      </c>
      <c r="AS3274" s="1" t="s">
        <v>141</v>
      </c>
      <c r="AT3274" s="1" t="s">
        <v>305</v>
      </c>
      <c r="AU3274" s="1">
        <v>2015</v>
      </c>
      <c r="AV3274" s="1">
        <v>134</v>
      </c>
      <c r="AW3274" s="1" t="s">
        <v>74</v>
      </c>
      <c r="AX3274" s="1" t="s">
        <v>74</v>
      </c>
      <c r="AY3274" s="1" t="s">
        <v>74</v>
      </c>
      <c r="AZ3274" s="1" t="s">
        <v>74</v>
      </c>
      <c r="BA3274" s="1" t="s">
        <v>74</v>
      </c>
      <c r="BB3274" s="1">
        <v>60</v>
      </c>
      <c r="BC3274" s="1">
        <v>66</v>
      </c>
      <c r="BD3274" s="1" t="s">
        <v>74</v>
      </c>
      <c r="BE3274" s="1" t="s">
        <v>52001</v>
      </c>
      <c r="BF3274" s="1" t="str">
        <f>HYPERLINK("http://dx.doi.org/10.1016/j.chemosphere.2015.04.006","http://dx.doi.org/10.1016/j.chemosphere.2015.04.006")</f>
        <v>http://dx.doi.org/10.1016/j.chemosphere.2015.04.006</v>
      </c>
      <c r="BG3274" s="1" t="s">
        <v>74</v>
      </c>
      <c r="BH3274" s="1" t="s">
        <v>74</v>
      </c>
      <c r="BI3274" s="1">
        <v>7</v>
      </c>
      <c r="BJ3274" s="1" t="s">
        <v>144</v>
      </c>
      <c r="BK3274" s="1" t="s">
        <v>96</v>
      </c>
      <c r="BL3274" s="1" t="s">
        <v>145</v>
      </c>
      <c r="BM3274" s="1" t="s">
        <v>52002</v>
      </c>
      <c r="BN3274" s="1">
        <v>25911048</v>
      </c>
      <c r="BO3274" s="1" t="s">
        <v>74</v>
      </c>
      <c r="BP3274" s="1" t="s">
        <v>74</v>
      </c>
      <c r="BQ3274" s="1" t="s">
        <v>74</v>
      </c>
      <c r="BR3274" s="1" t="s">
        <v>98</v>
      </c>
      <c r="BS3274" s="1" t="s">
        <v>52003</v>
      </c>
      <c r="BT3274" s="1" t="str">
        <f>HYPERLINK("https%3A%2F%2Fwww.webofscience.com%2Fwos%2Fwoscc%2Ffull-record%2FWOS:000356549500009","View Full Record in Web of Science")</f>
        <v>View Full Record in Web of Science</v>
      </c>
      <c r="BU3274" s="1"/>
      <c r="BV3274" s="1"/>
    </row>
    <row r="3275" spans="1:74">
      <c r="A3275" s="1" t="s">
        <v>72</v>
      </c>
      <c r="B3275" s="1" t="s">
        <v>52004</v>
      </c>
      <c r="C3275" s="1" t="s">
        <v>74</v>
      </c>
      <c r="D3275" s="1" t="s">
        <v>74</v>
      </c>
      <c r="E3275" s="1" t="s">
        <v>74</v>
      </c>
      <c r="F3275" s="1" t="s">
        <v>52005</v>
      </c>
      <c r="G3275" s="1" t="s">
        <v>74</v>
      </c>
      <c r="H3275" s="1" t="s">
        <v>74</v>
      </c>
      <c r="I3275" s="1" t="s">
        <v>52006</v>
      </c>
      <c r="J3275" s="1" t="s">
        <v>204</v>
      </c>
      <c r="K3275" s="1" t="s">
        <v>74</v>
      </c>
      <c r="L3275" s="1" t="s">
        <v>74</v>
      </c>
      <c r="M3275" s="1" t="s">
        <v>78</v>
      </c>
      <c r="N3275" s="1" t="s">
        <v>151</v>
      </c>
      <c r="O3275" s="1" t="s">
        <v>38541</v>
      </c>
      <c r="P3275" s="1" t="s">
        <v>38542</v>
      </c>
      <c r="Q3275" s="1" t="s">
        <v>38543</v>
      </c>
      <c r="R3275" s="1" t="s">
        <v>74</v>
      </c>
      <c r="S3275" s="1" t="s">
        <v>74</v>
      </c>
      <c r="T3275" s="1" t="s">
        <v>52007</v>
      </c>
      <c r="U3275" s="1" t="s">
        <v>52008</v>
      </c>
      <c r="V3275" s="1" t="s">
        <v>52009</v>
      </c>
      <c r="W3275" s="1" t="s">
        <v>52010</v>
      </c>
      <c r="X3275" s="1" t="s">
        <v>52011</v>
      </c>
      <c r="Y3275" s="1" t="s">
        <v>52012</v>
      </c>
      <c r="Z3275" s="1" t="s">
        <v>52013</v>
      </c>
      <c r="AA3275" s="1" t="s">
        <v>74</v>
      </c>
      <c r="AB3275" s="1" t="s">
        <v>52014</v>
      </c>
      <c r="AC3275" s="1" t="s">
        <v>52015</v>
      </c>
      <c r="AD3275" s="1" t="s">
        <v>52016</v>
      </c>
      <c r="AE3275" s="1" t="s">
        <v>52017</v>
      </c>
      <c r="AF3275" s="1" t="s">
        <v>74</v>
      </c>
      <c r="AG3275" s="1">
        <v>74</v>
      </c>
      <c r="AH3275" s="1">
        <v>11</v>
      </c>
      <c r="AI3275" s="1">
        <v>11</v>
      </c>
      <c r="AJ3275" s="1">
        <v>1</v>
      </c>
      <c r="AK3275" s="1">
        <v>17</v>
      </c>
      <c r="AL3275" s="1" t="s">
        <v>217</v>
      </c>
      <c r="AM3275" s="1" t="s">
        <v>218</v>
      </c>
      <c r="AN3275" s="1" t="s">
        <v>219</v>
      </c>
      <c r="AO3275" s="1" t="s">
        <v>220</v>
      </c>
      <c r="AP3275" s="1" t="s">
        <v>221</v>
      </c>
      <c r="AQ3275" s="1" t="s">
        <v>74</v>
      </c>
      <c r="AR3275" s="1" t="s">
        <v>222</v>
      </c>
      <c r="AS3275" s="1" t="s">
        <v>223</v>
      </c>
      <c r="AT3275" s="1" t="s">
        <v>93</v>
      </c>
      <c r="AU3275" s="1">
        <v>2018</v>
      </c>
      <c r="AV3275" s="1">
        <v>25</v>
      </c>
      <c r="AW3275" s="1">
        <v>12</v>
      </c>
      <c r="AX3275" s="1" t="s">
        <v>74</v>
      </c>
      <c r="AY3275" s="1" t="s">
        <v>74</v>
      </c>
      <c r="AZ3275" s="1" t="s">
        <v>225</v>
      </c>
      <c r="BA3275" s="1" t="s">
        <v>74</v>
      </c>
      <c r="BB3275" s="1">
        <v>11226</v>
      </c>
      <c r="BC3275" s="1">
        <v>11237</v>
      </c>
      <c r="BD3275" s="1" t="s">
        <v>74</v>
      </c>
      <c r="BE3275" s="1" t="s">
        <v>52018</v>
      </c>
      <c r="BF3275" s="1" t="str">
        <f>HYPERLINK("http://dx.doi.org/10.1007/s11356-017-8754-6","http://dx.doi.org/10.1007/s11356-017-8754-6")</f>
        <v>http://dx.doi.org/10.1007/s11356-017-8754-6</v>
      </c>
      <c r="BG3275" s="1" t="s">
        <v>74</v>
      </c>
      <c r="BH3275" s="1" t="s">
        <v>74</v>
      </c>
      <c r="BI3275" s="1">
        <v>12</v>
      </c>
      <c r="BJ3275" s="1" t="s">
        <v>144</v>
      </c>
      <c r="BK3275" s="1" t="s">
        <v>172</v>
      </c>
      <c r="BL3275" s="1" t="s">
        <v>145</v>
      </c>
      <c r="BM3275" s="1" t="s">
        <v>38556</v>
      </c>
      <c r="BN3275" s="1">
        <v>28326483</v>
      </c>
      <c r="BO3275" s="1" t="s">
        <v>74</v>
      </c>
      <c r="BP3275" s="1" t="s">
        <v>74</v>
      </c>
      <c r="BQ3275" s="1" t="s">
        <v>74</v>
      </c>
      <c r="BR3275" s="1" t="s">
        <v>98</v>
      </c>
      <c r="BS3275" s="1" t="s">
        <v>52019</v>
      </c>
      <c r="BT3275" s="1" t="str">
        <f>HYPERLINK("https%3A%2F%2Fwww.webofscience.com%2Fwos%2Fwoscc%2Ffull-record%2FWOS:000431790000007","View Full Record in Web of Science")</f>
        <v>View Full Record in Web of Science</v>
      </c>
      <c r="BU3275" s="1"/>
      <c r="BV3275" s="1"/>
    </row>
    <row r="3276" spans="1:74">
      <c r="A3276" s="1" t="s">
        <v>72</v>
      </c>
      <c r="B3276" s="1" t="s">
        <v>52020</v>
      </c>
      <c r="C3276" s="1" t="s">
        <v>74</v>
      </c>
      <c r="D3276" s="1" t="s">
        <v>74</v>
      </c>
      <c r="E3276" s="1" t="s">
        <v>74</v>
      </c>
      <c r="F3276" s="1" t="s">
        <v>52021</v>
      </c>
      <c r="G3276" s="1" t="s">
        <v>74</v>
      </c>
      <c r="H3276" s="1" t="s">
        <v>74</v>
      </c>
      <c r="I3276" s="1" t="s">
        <v>52022</v>
      </c>
      <c r="J3276" s="1" t="s">
        <v>232</v>
      </c>
      <c r="K3276" s="1" t="s">
        <v>74</v>
      </c>
      <c r="L3276" s="1" t="s">
        <v>74</v>
      </c>
      <c r="M3276" s="1" t="s">
        <v>78</v>
      </c>
      <c r="N3276" s="1" t="s">
        <v>79</v>
      </c>
      <c r="O3276" s="1" t="s">
        <v>74</v>
      </c>
      <c r="P3276" s="1" t="s">
        <v>74</v>
      </c>
      <c r="Q3276" s="1" t="s">
        <v>74</v>
      </c>
      <c r="R3276" s="1" t="s">
        <v>74</v>
      </c>
      <c r="S3276" s="1" t="s">
        <v>74</v>
      </c>
      <c r="T3276" s="1" t="s">
        <v>52023</v>
      </c>
      <c r="U3276" s="1" t="s">
        <v>52024</v>
      </c>
      <c r="V3276" s="1" t="s">
        <v>52025</v>
      </c>
      <c r="W3276" s="1" t="s">
        <v>52026</v>
      </c>
      <c r="X3276" s="1" t="s">
        <v>52027</v>
      </c>
      <c r="Y3276" s="1" t="s">
        <v>52028</v>
      </c>
      <c r="Z3276" s="1" t="s">
        <v>52029</v>
      </c>
      <c r="AA3276" s="1" t="s">
        <v>52030</v>
      </c>
      <c r="AB3276" s="1" t="s">
        <v>52031</v>
      </c>
      <c r="AC3276" s="1" t="s">
        <v>52032</v>
      </c>
      <c r="AD3276" s="1" t="s">
        <v>42825</v>
      </c>
      <c r="AE3276" s="1" t="s">
        <v>52033</v>
      </c>
      <c r="AF3276" s="1" t="s">
        <v>74</v>
      </c>
      <c r="AG3276" s="1">
        <v>103</v>
      </c>
      <c r="AH3276" s="1">
        <v>10</v>
      </c>
      <c r="AI3276" s="1">
        <v>10</v>
      </c>
      <c r="AJ3276" s="1">
        <v>3</v>
      </c>
      <c r="AK3276" s="1">
        <v>16</v>
      </c>
      <c r="AL3276" s="1" t="s">
        <v>136</v>
      </c>
      <c r="AM3276" s="1" t="s">
        <v>137</v>
      </c>
      <c r="AN3276" s="1" t="s">
        <v>138</v>
      </c>
      <c r="AO3276" s="1" t="s">
        <v>240</v>
      </c>
      <c r="AP3276" s="1" t="s">
        <v>241</v>
      </c>
      <c r="AQ3276" s="1" t="s">
        <v>74</v>
      </c>
      <c r="AR3276" s="1" t="s">
        <v>242</v>
      </c>
      <c r="AS3276" s="1" t="s">
        <v>243</v>
      </c>
      <c r="AT3276" s="1" t="s">
        <v>305</v>
      </c>
      <c r="AU3276" s="1">
        <v>2021</v>
      </c>
      <c r="AV3276" s="1">
        <v>170</v>
      </c>
      <c r="AW3276" s="1" t="s">
        <v>74</v>
      </c>
      <c r="AX3276" s="1" t="s">
        <v>74</v>
      </c>
      <c r="AY3276" s="1" t="s">
        <v>74</v>
      </c>
      <c r="AZ3276" s="1" t="s">
        <v>74</v>
      </c>
      <c r="BA3276" s="1" t="s">
        <v>74</v>
      </c>
      <c r="BB3276" s="1" t="s">
        <v>74</v>
      </c>
      <c r="BC3276" s="1" t="s">
        <v>74</v>
      </c>
      <c r="BD3276" s="1">
        <v>112676</v>
      </c>
      <c r="BE3276" s="1" t="s">
        <v>52034</v>
      </c>
      <c r="BF3276" s="1" t="str">
        <f>HYPERLINK("http://dx.doi.org/10.1016/j.marpolbul.2021.112676","http://dx.doi.org/10.1016/j.marpolbul.2021.112676")</f>
        <v>http://dx.doi.org/10.1016/j.marpolbul.2021.112676</v>
      </c>
      <c r="BG3276" s="1" t="s">
        <v>74</v>
      </c>
      <c r="BH3276" s="1" t="s">
        <v>12797</v>
      </c>
      <c r="BI3276" s="1">
        <v>12</v>
      </c>
      <c r="BJ3276" s="1" t="s">
        <v>247</v>
      </c>
      <c r="BK3276" s="1" t="s">
        <v>96</v>
      </c>
      <c r="BL3276" s="1" t="s">
        <v>248</v>
      </c>
      <c r="BM3276" s="1" t="s">
        <v>52035</v>
      </c>
      <c r="BN3276" s="1">
        <v>34218035</v>
      </c>
      <c r="BO3276" s="1" t="s">
        <v>74</v>
      </c>
      <c r="BP3276" s="1" t="s">
        <v>74</v>
      </c>
      <c r="BQ3276" s="1" t="s">
        <v>74</v>
      </c>
      <c r="BR3276" s="1" t="s">
        <v>98</v>
      </c>
      <c r="BS3276" s="1" t="s">
        <v>52036</v>
      </c>
      <c r="BT3276" s="1" t="str">
        <f>HYPERLINK("https%3A%2F%2Fwww.webofscience.com%2Fwos%2Fwoscc%2Ffull-record%2FWOS:000685495800007","View Full Record in Web of Science")</f>
        <v>View Full Record in Web of Science</v>
      </c>
      <c r="BU3276" s="1"/>
      <c r="BV3276" s="1"/>
    </row>
    <row r="3277" spans="1:74">
      <c r="A3277" s="1" t="s">
        <v>72</v>
      </c>
      <c r="B3277" s="1" t="s">
        <v>52037</v>
      </c>
      <c r="C3277" s="1" t="s">
        <v>74</v>
      </c>
      <c r="D3277" s="1" t="s">
        <v>74</v>
      </c>
      <c r="E3277" s="1" t="s">
        <v>74</v>
      </c>
      <c r="F3277" s="1" t="s">
        <v>52037</v>
      </c>
      <c r="G3277" s="1" t="s">
        <v>74</v>
      </c>
      <c r="H3277" s="1" t="s">
        <v>74</v>
      </c>
      <c r="I3277" s="1" t="s">
        <v>52038</v>
      </c>
      <c r="J3277" s="1" t="s">
        <v>52039</v>
      </c>
      <c r="K3277" s="1" t="s">
        <v>74</v>
      </c>
      <c r="L3277" s="1" t="s">
        <v>74</v>
      </c>
      <c r="M3277" s="1" t="s">
        <v>78</v>
      </c>
      <c r="N3277" s="1" t="s">
        <v>79</v>
      </c>
      <c r="O3277" s="1" t="s">
        <v>74</v>
      </c>
      <c r="P3277" s="1" t="s">
        <v>74</v>
      </c>
      <c r="Q3277" s="1" t="s">
        <v>74</v>
      </c>
      <c r="R3277" s="1" t="s">
        <v>74</v>
      </c>
      <c r="S3277" s="1" t="s">
        <v>74</v>
      </c>
      <c r="T3277" s="1" t="s">
        <v>52040</v>
      </c>
      <c r="U3277" s="1" t="s">
        <v>74</v>
      </c>
      <c r="V3277" s="1" t="s">
        <v>52041</v>
      </c>
      <c r="W3277" s="1" t="s">
        <v>52042</v>
      </c>
      <c r="X3277" s="1" t="s">
        <v>52043</v>
      </c>
      <c r="Y3277" s="1" t="s">
        <v>52044</v>
      </c>
      <c r="Z3277" s="1" t="s">
        <v>74</v>
      </c>
      <c r="AA3277" s="1" t="s">
        <v>52045</v>
      </c>
      <c r="AB3277" s="1" t="s">
        <v>74</v>
      </c>
      <c r="AC3277" s="1" t="s">
        <v>74</v>
      </c>
      <c r="AD3277" s="1" t="s">
        <v>74</v>
      </c>
      <c r="AE3277" s="1" t="s">
        <v>74</v>
      </c>
      <c r="AF3277" s="1" t="s">
        <v>74</v>
      </c>
      <c r="AG3277" s="1">
        <v>13</v>
      </c>
      <c r="AH3277" s="1">
        <v>3</v>
      </c>
      <c r="AI3277" s="1">
        <v>3</v>
      </c>
      <c r="AJ3277" s="1">
        <v>0</v>
      </c>
      <c r="AK3277" s="1">
        <v>5</v>
      </c>
      <c r="AL3277" s="1" t="s">
        <v>52046</v>
      </c>
      <c r="AM3277" s="1" t="s">
        <v>286</v>
      </c>
      <c r="AN3277" s="1" t="s">
        <v>52047</v>
      </c>
      <c r="AO3277" s="1" t="s">
        <v>52048</v>
      </c>
      <c r="AP3277" s="1" t="s">
        <v>74</v>
      </c>
      <c r="AQ3277" s="1" t="s">
        <v>74</v>
      </c>
      <c r="AR3277" s="1" t="s">
        <v>52049</v>
      </c>
      <c r="AS3277" s="1" t="s">
        <v>52050</v>
      </c>
      <c r="AT3277" s="1" t="s">
        <v>93</v>
      </c>
      <c r="AU3277" s="1">
        <v>2001</v>
      </c>
      <c r="AV3277" s="1">
        <v>58</v>
      </c>
      <c r="AW3277" s="1">
        <v>4</v>
      </c>
      <c r="AX3277" s="1" t="s">
        <v>74</v>
      </c>
      <c r="AY3277" s="1" t="s">
        <v>74</v>
      </c>
      <c r="AZ3277" s="1" t="s">
        <v>74</v>
      </c>
      <c r="BA3277" s="1" t="s">
        <v>74</v>
      </c>
      <c r="BB3277" s="1">
        <v>232</v>
      </c>
      <c r="BC3277" s="1">
        <v>238</v>
      </c>
      <c r="BD3277" s="1" t="s">
        <v>74</v>
      </c>
      <c r="BE3277" s="1" t="s">
        <v>52051</v>
      </c>
      <c r="BF3277" s="1" t="str">
        <f>HYPERLINK("http://dx.doi.org/10.1136/oem.58.4.232","http://dx.doi.org/10.1136/oem.58.4.232")</f>
        <v>http://dx.doi.org/10.1136/oem.58.4.232</v>
      </c>
      <c r="BG3277" s="1" t="s">
        <v>74</v>
      </c>
      <c r="BH3277" s="1" t="s">
        <v>74</v>
      </c>
      <c r="BI3277" s="1">
        <v>7</v>
      </c>
      <c r="BJ3277" s="1" t="s">
        <v>12691</v>
      </c>
      <c r="BK3277" s="1" t="s">
        <v>96</v>
      </c>
      <c r="BL3277" s="1" t="s">
        <v>12691</v>
      </c>
      <c r="BM3277" s="1" t="s">
        <v>52052</v>
      </c>
      <c r="BN3277" s="1">
        <v>11245739</v>
      </c>
      <c r="BO3277" s="1" t="s">
        <v>18961</v>
      </c>
      <c r="BP3277" s="1" t="s">
        <v>74</v>
      </c>
      <c r="BQ3277" s="1" t="s">
        <v>74</v>
      </c>
      <c r="BR3277" s="1" t="s">
        <v>98</v>
      </c>
      <c r="BS3277" s="1" t="s">
        <v>52053</v>
      </c>
      <c r="BT3277" s="1" t="str">
        <f>HYPERLINK("https%3A%2F%2Fwww.webofscience.com%2Fwos%2Fwoscc%2Ffull-record%2FWOS:000167540600003","View Full Record in Web of Science")</f>
        <v>View Full Record in Web of Science</v>
      </c>
      <c r="BU3277" s="1"/>
      <c r="BV3277" s="1"/>
    </row>
    <row r="3278" spans="1:74">
      <c r="A3278" s="1" t="s">
        <v>72</v>
      </c>
      <c r="B3278" s="1" t="s">
        <v>52054</v>
      </c>
      <c r="C3278" s="1" t="s">
        <v>74</v>
      </c>
      <c r="D3278" s="1" t="s">
        <v>74</v>
      </c>
      <c r="E3278" s="1" t="s">
        <v>74</v>
      </c>
      <c r="F3278" s="1" t="s">
        <v>52055</v>
      </c>
      <c r="G3278" s="1" t="s">
        <v>74</v>
      </c>
      <c r="H3278" s="1" t="s">
        <v>74</v>
      </c>
      <c r="I3278" s="1" t="s">
        <v>52056</v>
      </c>
      <c r="J3278" s="1" t="s">
        <v>204</v>
      </c>
      <c r="K3278" s="1" t="s">
        <v>74</v>
      </c>
      <c r="L3278" s="1" t="s">
        <v>74</v>
      </c>
      <c r="M3278" s="1" t="s">
        <v>78</v>
      </c>
      <c r="N3278" s="1" t="s">
        <v>79</v>
      </c>
      <c r="O3278" s="1" t="s">
        <v>74</v>
      </c>
      <c r="P3278" s="1" t="s">
        <v>74</v>
      </c>
      <c r="Q3278" s="1" t="s">
        <v>74</v>
      </c>
      <c r="R3278" s="1" t="s">
        <v>74</v>
      </c>
      <c r="S3278" s="1" t="s">
        <v>74</v>
      </c>
      <c r="T3278" s="1" t="s">
        <v>52057</v>
      </c>
      <c r="U3278" s="1" t="s">
        <v>52058</v>
      </c>
      <c r="V3278" s="1" t="s">
        <v>52059</v>
      </c>
      <c r="W3278" s="1" t="s">
        <v>52060</v>
      </c>
      <c r="X3278" s="1" t="s">
        <v>52061</v>
      </c>
      <c r="Y3278" s="1" t="s">
        <v>52062</v>
      </c>
      <c r="Z3278" s="1" t="s">
        <v>52063</v>
      </c>
      <c r="AA3278" s="1" t="s">
        <v>52064</v>
      </c>
      <c r="AB3278" s="1" t="s">
        <v>52065</v>
      </c>
      <c r="AC3278" s="1" t="s">
        <v>52066</v>
      </c>
      <c r="AD3278" s="1" t="s">
        <v>52067</v>
      </c>
      <c r="AE3278" s="1" t="s">
        <v>52068</v>
      </c>
      <c r="AF3278" s="1" t="s">
        <v>74</v>
      </c>
      <c r="AG3278" s="1">
        <v>43</v>
      </c>
      <c r="AH3278" s="1">
        <v>10</v>
      </c>
      <c r="AI3278" s="1">
        <v>11</v>
      </c>
      <c r="AJ3278" s="1">
        <v>4</v>
      </c>
      <c r="AK3278" s="1">
        <v>67</v>
      </c>
      <c r="AL3278" s="1" t="s">
        <v>217</v>
      </c>
      <c r="AM3278" s="1" t="s">
        <v>218</v>
      </c>
      <c r="AN3278" s="1" t="s">
        <v>219</v>
      </c>
      <c r="AO3278" s="1" t="s">
        <v>220</v>
      </c>
      <c r="AP3278" s="1" t="s">
        <v>221</v>
      </c>
      <c r="AQ3278" s="1" t="s">
        <v>74</v>
      </c>
      <c r="AR3278" s="1" t="s">
        <v>222</v>
      </c>
      <c r="AS3278" s="1" t="s">
        <v>223</v>
      </c>
      <c r="AT3278" s="1" t="s">
        <v>765</v>
      </c>
      <c r="AU3278" s="1">
        <v>2018</v>
      </c>
      <c r="AV3278" s="1">
        <v>25</v>
      </c>
      <c r="AW3278" s="1">
        <v>21</v>
      </c>
      <c r="AX3278" s="1" t="s">
        <v>74</v>
      </c>
      <c r="AY3278" s="1" t="s">
        <v>74</v>
      </c>
      <c r="AZ3278" s="1" t="s">
        <v>225</v>
      </c>
      <c r="BA3278" s="1" t="s">
        <v>74</v>
      </c>
      <c r="BB3278" s="1">
        <v>20911</v>
      </c>
      <c r="BC3278" s="1">
        <v>20919</v>
      </c>
      <c r="BD3278" s="1" t="s">
        <v>74</v>
      </c>
      <c r="BE3278" s="1" t="s">
        <v>52069</v>
      </c>
      <c r="BF3278" s="1" t="str">
        <f>HYPERLINK("http://dx.doi.org/10.1007/s11356-018-2265-y","http://dx.doi.org/10.1007/s11356-018-2265-y")</f>
        <v>http://dx.doi.org/10.1007/s11356-018-2265-y</v>
      </c>
      <c r="BG3278" s="1" t="s">
        <v>74</v>
      </c>
      <c r="BH3278" s="1" t="s">
        <v>74</v>
      </c>
      <c r="BI3278" s="1">
        <v>9</v>
      </c>
      <c r="BJ3278" s="1" t="s">
        <v>144</v>
      </c>
      <c r="BK3278" s="1" t="s">
        <v>96</v>
      </c>
      <c r="BL3278" s="1" t="s">
        <v>145</v>
      </c>
      <c r="BM3278" s="1" t="s">
        <v>21384</v>
      </c>
      <c r="BN3278" s="1">
        <v>29766424</v>
      </c>
      <c r="BO3278" s="1" t="s">
        <v>74</v>
      </c>
      <c r="BP3278" s="1" t="s">
        <v>74</v>
      </c>
      <c r="BQ3278" s="1" t="s">
        <v>74</v>
      </c>
      <c r="BR3278" s="1" t="s">
        <v>98</v>
      </c>
      <c r="BS3278" s="1" t="s">
        <v>52070</v>
      </c>
      <c r="BT3278" s="1" t="str">
        <f>HYPERLINK("https%3A%2F%2Fwww.webofscience.com%2Fwos%2Fwoscc%2Ffull-record%2FWOS:000438830900060","View Full Record in Web of Science")</f>
        <v>View Full Record in Web of Science</v>
      </c>
      <c r="BU3278" s="1"/>
      <c r="BV3278" s="1"/>
    </row>
    <row r="3279" spans="1:74">
      <c r="A3279" s="1" t="s">
        <v>72</v>
      </c>
      <c r="B3279" s="1" t="s">
        <v>52071</v>
      </c>
      <c r="C3279" s="1" t="s">
        <v>74</v>
      </c>
      <c r="D3279" s="1" t="s">
        <v>74</v>
      </c>
      <c r="E3279" s="1" t="s">
        <v>74</v>
      </c>
      <c r="F3279" s="1" t="s">
        <v>52072</v>
      </c>
      <c r="G3279" s="1" t="s">
        <v>74</v>
      </c>
      <c r="H3279" s="1" t="s">
        <v>74</v>
      </c>
      <c r="I3279" s="1" t="s">
        <v>52073</v>
      </c>
      <c r="J3279" s="1" t="s">
        <v>52074</v>
      </c>
      <c r="K3279" s="1" t="s">
        <v>74</v>
      </c>
      <c r="L3279" s="1" t="s">
        <v>74</v>
      </c>
      <c r="M3279" s="1" t="s">
        <v>78</v>
      </c>
      <c r="N3279" s="1" t="s">
        <v>79</v>
      </c>
      <c r="O3279" s="1" t="s">
        <v>74</v>
      </c>
      <c r="P3279" s="1" t="s">
        <v>74</v>
      </c>
      <c r="Q3279" s="1" t="s">
        <v>74</v>
      </c>
      <c r="R3279" s="1" t="s">
        <v>74</v>
      </c>
      <c r="S3279" s="1" t="s">
        <v>74</v>
      </c>
      <c r="T3279" s="1" t="s">
        <v>52075</v>
      </c>
      <c r="U3279" s="1" t="s">
        <v>52076</v>
      </c>
      <c r="V3279" s="1" t="s">
        <v>52077</v>
      </c>
      <c r="W3279" s="1" t="s">
        <v>52078</v>
      </c>
      <c r="X3279" s="1" t="s">
        <v>52079</v>
      </c>
      <c r="Y3279" s="1" t="s">
        <v>52080</v>
      </c>
      <c r="Z3279" s="1" t="s">
        <v>52081</v>
      </c>
      <c r="AA3279" s="1" t="s">
        <v>52082</v>
      </c>
      <c r="AB3279" s="1" t="s">
        <v>74</v>
      </c>
      <c r="AC3279" s="1" t="s">
        <v>52083</v>
      </c>
      <c r="AD3279" s="1" t="s">
        <v>52084</v>
      </c>
      <c r="AE3279" s="1" t="s">
        <v>52085</v>
      </c>
      <c r="AF3279" s="1" t="s">
        <v>74</v>
      </c>
      <c r="AG3279" s="1">
        <v>36</v>
      </c>
      <c r="AH3279" s="1">
        <v>0</v>
      </c>
      <c r="AI3279" s="1">
        <v>0</v>
      </c>
      <c r="AJ3279" s="1">
        <v>5</v>
      </c>
      <c r="AK3279" s="1">
        <v>5</v>
      </c>
      <c r="AL3279" s="1" t="s">
        <v>650</v>
      </c>
      <c r="AM3279" s="1" t="s">
        <v>651</v>
      </c>
      <c r="AN3279" s="1" t="s">
        <v>652</v>
      </c>
      <c r="AO3279" s="1" t="s">
        <v>52086</v>
      </c>
      <c r="AP3279" s="1" t="s">
        <v>74</v>
      </c>
      <c r="AQ3279" s="1" t="s">
        <v>74</v>
      </c>
      <c r="AR3279" s="1" t="s">
        <v>52087</v>
      </c>
      <c r="AS3279" s="1" t="s">
        <v>52088</v>
      </c>
      <c r="AT3279" s="1" t="s">
        <v>305</v>
      </c>
      <c r="AU3279" s="1">
        <v>2024</v>
      </c>
      <c r="AV3279" s="1">
        <v>41</v>
      </c>
      <c r="AW3279" s="1" t="s">
        <v>74</v>
      </c>
      <c r="AX3279" s="1" t="s">
        <v>74</v>
      </c>
      <c r="AY3279" s="1" t="s">
        <v>74</v>
      </c>
      <c r="AZ3279" s="1" t="s">
        <v>74</v>
      </c>
      <c r="BA3279" s="1" t="s">
        <v>74</v>
      </c>
      <c r="BB3279" s="1" t="s">
        <v>74</v>
      </c>
      <c r="BC3279" s="1" t="s">
        <v>74</v>
      </c>
      <c r="BD3279" s="1" t="s">
        <v>52089</v>
      </c>
      <c r="BE3279" s="1" t="s">
        <v>52090</v>
      </c>
      <c r="BF3279" s="1" t="str">
        <f>HYPERLINK("http://dx.doi.org/10.1016/j.susmat.2024.e01034","http://dx.doi.org/10.1016/j.susmat.2024.e01034")</f>
        <v>http://dx.doi.org/10.1016/j.susmat.2024.e01034</v>
      </c>
      <c r="BG3279" s="1" t="s">
        <v>74</v>
      </c>
      <c r="BH3279" s="1" t="s">
        <v>5962</v>
      </c>
      <c r="BI3279" s="1">
        <v>8</v>
      </c>
      <c r="BJ3279" s="1" t="s">
        <v>52091</v>
      </c>
      <c r="BK3279" s="1" t="s">
        <v>96</v>
      </c>
      <c r="BL3279" s="1" t="s">
        <v>52092</v>
      </c>
      <c r="BM3279" s="1" t="s">
        <v>52093</v>
      </c>
      <c r="BN3279" s="1" t="s">
        <v>74</v>
      </c>
      <c r="BO3279" s="1" t="s">
        <v>74</v>
      </c>
      <c r="BP3279" s="1" t="s">
        <v>74</v>
      </c>
      <c r="BQ3279" s="1" t="s">
        <v>74</v>
      </c>
      <c r="BR3279" s="1" t="s">
        <v>98</v>
      </c>
      <c r="BS3279" s="1" t="s">
        <v>52094</v>
      </c>
      <c r="BT3279" s="1" t="str">
        <f>HYPERLINK("https%3A%2F%2Fwww.webofscience.com%2Fwos%2Fwoscc%2Ffull-record%2FWOS:001265497100001","View Full Record in Web of Science")</f>
        <v>View Full Record in Web of Science</v>
      </c>
      <c r="BU3279" s="1"/>
      <c r="BV3279" s="1"/>
    </row>
    <row r="3280" spans="1:74">
      <c r="A3280" s="1" t="s">
        <v>72</v>
      </c>
      <c r="B3280" s="1" t="s">
        <v>52095</v>
      </c>
      <c r="C3280" s="1" t="s">
        <v>74</v>
      </c>
      <c r="D3280" s="1" t="s">
        <v>74</v>
      </c>
      <c r="E3280" s="1" t="s">
        <v>74</v>
      </c>
      <c r="F3280" s="1" t="s">
        <v>52096</v>
      </c>
      <c r="G3280" s="1" t="s">
        <v>74</v>
      </c>
      <c r="H3280" s="1" t="s">
        <v>74</v>
      </c>
      <c r="I3280" s="1" t="s">
        <v>52097</v>
      </c>
      <c r="J3280" s="1" t="s">
        <v>4596</v>
      </c>
      <c r="K3280" s="1" t="s">
        <v>74</v>
      </c>
      <c r="L3280" s="1" t="s">
        <v>74</v>
      </c>
      <c r="M3280" s="1" t="s">
        <v>78</v>
      </c>
      <c r="N3280" s="1" t="s">
        <v>151</v>
      </c>
      <c r="O3280" s="1" t="s">
        <v>52098</v>
      </c>
      <c r="P3280" s="1" t="s">
        <v>52099</v>
      </c>
      <c r="Q3280" s="1" t="s">
        <v>52100</v>
      </c>
      <c r="R3280" s="1" t="s">
        <v>74</v>
      </c>
      <c r="S3280" s="1" t="s">
        <v>74</v>
      </c>
      <c r="T3280" s="1" t="s">
        <v>52101</v>
      </c>
      <c r="U3280" s="1" t="s">
        <v>52102</v>
      </c>
      <c r="V3280" s="1" t="s">
        <v>52103</v>
      </c>
      <c r="W3280" s="1" t="s">
        <v>52104</v>
      </c>
      <c r="X3280" s="1" t="s">
        <v>52105</v>
      </c>
      <c r="Y3280" s="1" t="s">
        <v>52106</v>
      </c>
      <c r="Z3280" s="1" t="s">
        <v>52107</v>
      </c>
      <c r="AA3280" s="1" t="s">
        <v>52108</v>
      </c>
      <c r="AB3280" s="1" t="s">
        <v>52109</v>
      </c>
      <c r="AC3280" s="1" t="s">
        <v>74</v>
      </c>
      <c r="AD3280" s="1" t="s">
        <v>74</v>
      </c>
      <c r="AE3280" s="1" t="s">
        <v>74</v>
      </c>
      <c r="AF3280" s="1" t="s">
        <v>74</v>
      </c>
      <c r="AG3280" s="1">
        <v>73</v>
      </c>
      <c r="AH3280" s="1">
        <v>34</v>
      </c>
      <c r="AI3280" s="1">
        <v>37</v>
      </c>
      <c r="AJ3280" s="1">
        <v>1</v>
      </c>
      <c r="AK3280" s="1">
        <v>11</v>
      </c>
      <c r="AL3280" s="1" t="s">
        <v>136</v>
      </c>
      <c r="AM3280" s="1" t="s">
        <v>137</v>
      </c>
      <c r="AN3280" s="1" t="s">
        <v>138</v>
      </c>
      <c r="AO3280" s="1" t="s">
        <v>4608</v>
      </c>
      <c r="AP3280" s="1" t="s">
        <v>4609</v>
      </c>
      <c r="AQ3280" s="1" t="s">
        <v>74</v>
      </c>
      <c r="AR3280" s="1" t="s">
        <v>4610</v>
      </c>
      <c r="AS3280" s="1" t="s">
        <v>4611</v>
      </c>
      <c r="AT3280" s="1" t="s">
        <v>1091</v>
      </c>
      <c r="AU3280" s="1">
        <v>2016</v>
      </c>
      <c r="AV3280" s="1">
        <v>121</v>
      </c>
      <c r="AW3280" s="1" t="s">
        <v>74</v>
      </c>
      <c r="AX3280" s="1" t="s">
        <v>74</v>
      </c>
      <c r="AY3280" s="1" t="s">
        <v>74</v>
      </c>
      <c r="AZ3280" s="1" t="s">
        <v>225</v>
      </c>
      <c r="BA3280" s="1" t="s">
        <v>74</v>
      </c>
      <c r="BB3280" s="1">
        <v>21</v>
      </c>
      <c r="BC3280" s="1">
        <v>34</v>
      </c>
      <c r="BD3280" s="1" t="s">
        <v>74</v>
      </c>
      <c r="BE3280" s="1" t="s">
        <v>52110</v>
      </c>
      <c r="BF3280" s="1" t="str">
        <f>HYPERLINK("http://dx.doi.org/10.1016/j.csr.2015.12.007","http://dx.doi.org/10.1016/j.csr.2015.12.007")</f>
        <v>http://dx.doi.org/10.1016/j.csr.2015.12.007</v>
      </c>
      <c r="BG3280" s="1" t="s">
        <v>74</v>
      </c>
      <c r="BH3280" s="1" t="s">
        <v>74</v>
      </c>
      <c r="BI3280" s="1">
        <v>14</v>
      </c>
      <c r="BJ3280" s="1" t="s">
        <v>1439</v>
      </c>
      <c r="BK3280" s="1" t="s">
        <v>172</v>
      </c>
      <c r="BL3280" s="1" t="s">
        <v>1439</v>
      </c>
      <c r="BM3280" s="1" t="s">
        <v>52111</v>
      </c>
      <c r="BN3280" s="1" t="s">
        <v>74</v>
      </c>
      <c r="BO3280" s="1" t="s">
        <v>74</v>
      </c>
      <c r="BP3280" s="1" t="s">
        <v>74</v>
      </c>
      <c r="BQ3280" s="1" t="s">
        <v>74</v>
      </c>
      <c r="BR3280" s="1" t="s">
        <v>98</v>
      </c>
      <c r="BS3280" s="1" t="s">
        <v>52112</v>
      </c>
      <c r="BT3280" s="1" t="str">
        <f>HYPERLINK("https%3A%2F%2Fwww.webofscience.com%2Fwos%2Fwoscc%2Ffull-record%2FWOS:000378193500004","View Full Record in Web of Science")</f>
        <v>View Full Record in Web of Science</v>
      </c>
      <c r="BU3280" s="1"/>
      <c r="BV3280" s="1"/>
    </row>
    <row r="3281" spans="1:74">
      <c r="A3281" s="1" t="s">
        <v>72</v>
      </c>
      <c r="B3281" s="1" t="s">
        <v>52113</v>
      </c>
      <c r="C3281" s="1" t="s">
        <v>74</v>
      </c>
      <c r="D3281" s="1" t="s">
        <v>74</v>
      </c>
      <c r="E3281" s="1" t="s">
        <v>74</v>
      </c>
      <c r="F3281" s="1" t="s">
        <v>52113</v>
      </c>
      <c r="G3281" s="1" t="s">
        <v>74</v>
      </c>
      <c r="H3281" s="1" t="s">
        <v>74</v>
      </c>
      <c r="I3281" s="1" t="s">
        <v>52114</v>
      </c>
      <c r="J3281" s="1" t="s">
        <v>1202</v>
      </c>
      <c r="K3281" s="1" t="s">
        <v>74</v>
      </c>
      <c r="L3281" s="1" t="s">
        <v>74</v>
      </c>
      <c r="M3281" s="1" t="s">
        <v>78</v>
      </c>
      <c r="N3281" s="1" t="s">
        <v>151</v>
      </c>
      <c r="O3281" s="1" t="s">
        <v>52115</v>
      </c>
      <c r="P3281" s="1" t="s">
        <v>52116</v>
      </c>
      <c r="Q3281" s="1" t="s">
        <v>52117</v>
      </c>
      <c r="R3281" s="1" t="s">
        <v>74</v>
      </c>
      <c r="S3281" s="1" t="s">
        <v>74</v>
      </c>
      <c r="T3281" s="1" t="s">
        <v>52118</v>
      </c>
      <c r="U3281" s="1" t="s">
        <v>74</v>
      </c>
      <c r="V3281" s="1" t="s">
        <v>52119</v>
      </c>
      <c r="W3281" s="1" t="s">
        <v>52120</v>
      </c>
      <c r="X3281" s="1" t="s">
        <v>39732</v>
      </c>
      <c r="Y3281" s="1" t="s">
        <v>52121</v>
      </c>
      <c r="Z3281" s="1" t="s">
        <v>74</v>
      </c>
      <c r="AA3281" s="1" t="s">
        <v>74</v>
      </c>
      <c r="AB3281" s="1" t="s">
        <v>74</v>
      </c>
      <c r="AC3281" s="1" t="s">
        <v>74</v>
      </c>
      <c r="AD3281" s="1" t="s">
        <v>74</v>
      </c>
      <c r="AE3281" s="1" t="s">
        <v>74</v>
      </c>
      <c r="AF3281" s="1" t="s">
        <v>74</v>
      </c>
      <c r="AG3281" s="1">
        <v>8</v>
      </c>
      <c r="AH3281" s="1">
        <v>4</v>
      </c>
      <c r="AI3281" s="1">
        <v>4</v>
      </c>
      <c r="AJ3281" s="1">
        <v>0</v>
      </c>
      <c r="AK3281" s="1">
        <v>6</v>
      </c>
      <c r="AL3281" s="1" t="s">
        <v>716</v>
      </c>
      <c r="AM3281" s="1" t="s">
        <v>191</v>
      </c>
      <c r="AN3281" s="1" t="s">
        <v>717</v>
      </c>
      <c r="AO3281" s="1" t="s">
        <v>1207</v>
      </c>
      <c r="AP3281" s="1" t="s">
        <v>74</v>
      </c>
      <c r="AQ3281" s="1" t="s">
        <v>74</v>
      </c>
      <c r="AR3281" s="1" t="s">
        <v>1202</v>
      </c>
      <c r="AS3281" s="1" t="s">
        <v>1208</v>
      </c>
      <c r="AT3281" s="1" t="s">
        <v>52122</v>
      </c>
      <c r="AU3281" s="1">
        <v>1997</v>
      </c>
      <c r="AV3281" s="1">
        <v>358</v>
      </c>
      <c r="AW3281" s="1" t="s">
        <v>74</v>
      </c>
      <c r="AX3281" s="1" t="s">
        <v>74</v>
      </c>
      <c r="AY3281" s="1" t="s">
        <v>74</v>
      </c>
      <c r="AZ3281" s="1" t="s">
        <v>74</v>
      </c>
      <c r="BA3281" s="1" t="s">
        <v>74</v>
      </c>
      <c r="BB3281" s="1">
        <v>21</v>
      </c>
      <c r="BC3281" s="1">
        <v>26</v>
      </c>
      <c r="BD3281" s="1" t="s">
        <v>74</v>
      </c>
      <c r="BE3281" s="1" t="s">
        <v>52123</v>
      </c>
      <c r="BF3281" s="1" t="str">
        <f>HYPERLINK("http://dx.doi.org/10.1023/A:1003165526133","http://dx.doi.org/10.1023/A:1003165526133")</f>
        <v>http://dx.doi.org/10.1023/A:1003165526133</v>
      </c>
      <c r="BG3281" s="1" t="s">
        <v>74</v>
      </c>
      <c r="BH3281" s="1" t="s">
        <v>74</v>
      </c>
      <c r="BI3281" s="1">
        <v>6</v>
      </c>
      <c r="BJ3281" s="1" t="s">
        <v>680</v>
      </c>
      <c r="BK3281" s="1" t="s">
        <v>588</v>
      </c>
      <c r="BL3281" s="1" t="s">
        <v>680</v>
      </c>
      <c r="BM3281" s="1" t="s">
        <v>52124</v>
      </c>
      <c r="BN3281" s="1" t="s">
        <v>74</v>
      </c>
      <c r="BO3281" s="1" t="s">
        <v>74</v>
      </c>
      <c r="BP3281" s="1" t="s">
        <v>74</v>
      </c>
      <c r="BQ3281" s="1" t="s">
        <v>74</v>
      </c>
      <c r="BR3281" s="1" t="s">
        <v>98</v>
      </c>
      <c r="BS3281" s="1" t="s">
        <v>52125</v>
      </c>
      <c r="BT3281" s="1" t="str">
        <f>HYPERLINK("https%3A%2F%2Fwww.webofscience.com%2Fwos%2Fwoscc%2Ffull-record%2FWOS:000073523700006","View Full Record in Web of Science")</f>
        <v>View Full Record in Web of Science</v>
      </c>
      <c r="BU3281" s="1"/>
      <c r="BV3281" s="1"/>
    </row>
    <row r="3282" spans="1:74">
      <c r="A3282" s="1" t="s">
        <v>72</v>
      </c>
      <c r="B3282" s="1" t="s">
        <v>52126</v>
      </c>
      <c r="C3282" s="1" t="s">
        <v>74</v>
      </c>
      <c r="D3282" s="1" t="s">
        <v>74</v>
      </c>
      <c r="E3282" s="1" t="s">
        <v>74</v>
      </c>
      <c r="F3282" s="1" t="s">
        <v>52127</v>
      </c>
      <c r="G3282" s="1" t="s">
        <v>74</v>
      </c>
      <c r="H3282" s="1" t="s">
        <v>74</v>
      </c>
      <c r="I3282" s="1" t="s">
        <v>52128</v>
      </c>
      <c r="J3282" s="1" t="s">
        <v>15579</v>
      </c>
      <c r="K3282" s="1" t="s">
        <v>74</v>
      </c>
      <c r="L3282" s="1" t="s">
        <v>74</v>
      </c>
      <c r="M3282" s="1" t="s">
        <v>78</v>
      </c>
      <c r="N3282" s="1" t="s">
        <v>79</v>
      </c>
      <c r="O3282" s="1" t="s">
        <v>74</v>
      </c>
      <c r="P3282" s="1" t="s">
        <v>74</v>
      </c>
      <c r="Q3282" s="1" t="s">
        <v>74</v>
      </c>
      <c r="R3282" s="1" t="s">
        <v>74</v>
      </c>
      <c r="S3282" s="1" t="s">
        <v>74</v>
      </c>
      <c r="T3282" s="1" t="s">
        <v>52129</v>
      </c>
      <c r="U3282" s="1" t="s">
        <v>52130</v>
      </c>
      <c r="V3282" s="1" t="s">
        <v>52131</v>
      </c>
      <c r="W3282" s="1" t="s">
        <v>52132</v>
      </c>
      <c r="X3282" s="1" t="s">
        <v>52133</v>
      </c>
      <c r="Y3282" s="1" t="s">
        <v>52134</v>
      </c>
      <c r="Z3282" s="1" t="s">
        <v>49139</v>
      </c>
      <c r="AA3282" s="1" t="s">
        <v>52135</v>
      </c>
      <c r="AB3282" s="1" t="s">
        <v>52136</v>
      </c>
      <c r="AC3282" s="1" t="s">
        <v>52137</v>
      </c>
      <c r="AD3282" s="1" t="s">
        <v>52138</v>
      </c>
      <c r="AE3282" s="1" t="s">
        <v>52139</v>
      </c>
      <c r="AF3282" s="1" t="s">
        <v>74</v>
      </c>
      <c r="AG3282" s="1">
        <v>63</v>
      </c>
      <c r="AH3282" s="1">
        <v>7</v>
      </c>
      <c r="AI3282" s="1">
        <v>7</v>
      </c>
      <c r="AJ3282" s="1">
        <v>3</v>
      </c>
      <c r="AK3282" s="1">
        <v>12</v>
      </c>
      <c r="AL3282" s="1" t="s">
        <v>1566</v>
      </c>
      <c r="AM3282" s="1" t="s">
        <v>1567</v>
      </c>
      <c r="AN3282" s="1" t="s">
        <v>1568</v>
      </c>
      <c r="AO3282" s="1" t="s">
        <v>15587</v>
      </c>
      <c r="AP3282" s="1" t="s">
        <v>74</v>
      </c>
      <c r="AQ3282" s="1" t="s">
        <v>74</v>
      </c>
      <c r="AR3282" s="1" t="s">
        <v>15588</v>
      </c>
      <c r="AS3282" s="1" t="s">
        <v>15589</v>
      </c>
      <c r="AT3282" s="1" t="s">
        <v>224</v>
      </c>
      <c r="AU3282" s="1">
        <v>2023</v>
      </c>
      <c r="AV3282" s="1">
        <v>13</v>
      </c>
      <c r="AW3282" s="1">
        <v>3</v>
      </c>
      <c r="AX3282" s="1" t="s">
        <v>74</v>
      </c>
      <c r="AY3282" s="1" t="s">
        <v>74</v>
      </c>
      <c r="AZ3282" s="1" t="s">
        <v>74</v>
      </c>
      <c r="BA3282" s="1" t="s">
        <v>74</v>
      </c>
      <c r="BB3282" s="1" t="s">
        <v>74</v>
      </c>
      <c r="BC3282" s="1" t="s">
        <v>74</v>
      </c>
      <c r="BD3282" s="1">
        <v>402</v>
      </c>
      <c r="BE3282" s="1" t="s">
        <v>52140</v>
      </c>
      <c r="BF3282" s="1" t="str">
        <f>HYPERLINK("http://dx.doi.org/10.3390/ani13030402","http://dx.doi.org/10.3390/ani13030402")</f>
        <v>http://dx.doi.org/10.3390/ani13030402</v>
      </c>
      <c r="BG3282" s="1" t="s">
        <v>74</v>
      </c>
      <c r="BH3282" s="1" t="s">
        <v>74</v>
      </c>
      <c r="BI3282" s="1">
        <v>19</v>
      </c>
      <c r="BJ3282" s="1" t="s">
        <v>15591</v>
      </c>
      <c r="BK3282" s="1" t="s">
        <v>96</v>
      </c>
      <c r="BL3282" s="1" t="s">
        <v>15592</v>
      </c>
      <c r="BM3282" s="1" t="s">
        <v>52141</v>
      </c>
      <c r="BN3282" s="1">
        <v>36766291</v>
      </c>
      <c r="BO3282" s="1" t="s">
        <v>2155</v>
      </c>
      <c r="BP3282" s="1" t="s">
        <v>74</v>
      </c>
      <c r="BQ3282" s="1" t="s">
        <v>74</v>
      </c>
      <c r="BR3282" s="1" t="s">
        <v>98</v>
      </c>
      <c r="BS3282" s="1" t="s">
        <v>52142</v>
      </c>
      <c r="BT3282" s="1" t="str">
        <f>HYPERLINK("https%3A%2F%2Fwww.webofscience.com%2Fwos%2Fwoscc%2Ffull-record%2FWOS:000929172600001","View Full Record in Web of Science")</f>
        <v>View Full Record in Web of Science</v>
      </c>
      <c r="BU3282" s="1"/>
      <c r="BV3282" s="1"/>
    </row>
    <row r="3283" spans="1:74">
      <c r="A3283" s="1" t="s">
        <v>72</v>
      </c>
      <c r="B3283" s="1" t="s">
        <v>52143</v>
      </c>
      <c r="C3283" s="1" t="s">
        <v>74</v>
      </c>
      <c r="D3283" s="1" t="s">
        <v>74</v>
      </c>
      <c r="E3283" s="1" t="s">
        <v>74</v>
      </c>
      <c r="F3283" s="1" t="s">
        <v>52144</v>
      </c>
      <c r="G3283" s="1" t="s">
        <v>74</v>
      </c>
      <c r="H3283" s="1" t="s">
        <v>74</v>
      </c>
      <c r="I3283" s="1" t="s">
        <v>52145</v>
      </c>
      <c r="J3283" s="1" t="s">
        <v>3349</v>
      </c>
      <c r="K3283" s="1" t="s">
        <v>74</v>
      </c>
      <c r="L3283" s="1" t="s">
        <v>74</v>
      </c>
      <c r="M3283" s="1" t="s">
        <v>78</v>
      </c>
      <c r="N3283" s="1" t="s">
        <v>79</v>
      </c>
      <c r="O3283" s="1" t="s">
        <v>74</v>
      </c>
      <c r="P3283" s="1" t="s">
        <v>74</v>
      </c>
      <c r="Q3283" s="1" t="s">
        <v>74</v>
      </c>
      <c r="R3283" s="1" t="s">
        <v>74</v>
      </c>
      <c r="S3283" s="1" t="s">
        <v>74</v>
      </c>
      <c r="T3283" s="1" t="s">
        <v>52146</v>
      </c>
      <c r="U3283" s="1" t="s">
        <v>52147</v>
      </c>
      <c r="V3283" s="1" t="s">
        <v>52148</v>
      </c>
      <c r="W3283" s="1" t="s">
        <v>52149</v>
      </c>
      <c r="X3283" s="1" t="s">
        <v>52150</v>
      </c>
      <c r="Y3283" s="1" t="s">
        <v>52151</v>
      </c>
      <c r="Z3283" s="1" t="s">
        <v>52152</v>
      </c>
      <c r="AA3283" s="1" t="s">
        <v>52153</v>
      </c>
      <c r="AB3283" s="1" t="s">
        <v>52154</v>
      </c>
      <c r="AC3283" s="1" t="s">
        <v>52155</v>
      </c>
      <c r="AD3283" s="1" t="s">
        <v>52156</v>
      </c>
      <c r="AE3283" s="1" t="s">
        <v>52157</v>
      </c>
      <c r="AF3283" s="1" t="s">
        <v>74</v>
      </c>
      <c r="AG3283" s="1">
        <v>44</v>
      </c>
      <c r="AH3283" s="1">
        <v>21</v>
      </c>
      <c r="AI3283" s="1">
        <v>23</v>
      </c>
      <c r="AJ3283" s="1">
        <v>1</v>
      </c>
      <c r="AK3283" s="1">
        <v>20</v>
      </c>
      <c r="AL3283" s="1" t="s">
        <v>3362</v>
      </c>
      <c r="AM3283" s="1" t="s">
        <v>3363</v>
      </c>
      <c r="AN3283" s="1" t="s">
        <v>3364</v>
      </c>
      <c r="AO3283" s="1" t="s">
        <v>3365</v>
      </c>
      <c r="AP3283" s="1" t="s">
        <v>74</v>
      </c>
      <c r="AQ3283" s="1" t="s">
        <v>74</v>
      </c>
      <c r="AR3283" s="1" t="s">
        <v>3367</v>
      </c>
      <c r="AS3283" s="1" t="s">
        <v>3368</v>
      </c>
      <c r="AT3283" s="1" t="s">
        <v>267</v>
      </c>
      <c r="AU3283" s="1">
        <v>2011</v>
      </c>
      <c r="AV3283" s="1">
        <v>74</v>
      </c>
      <c r="AW3283" s="1">
        <v>7</v>
      </c>
      <c r="AX3283" s="1" t="s">
        <v>74</v>
      </c>
      <c r="AY3283" s="1" t="s">
        <v>74</v>
      </c>
      <c r="AZ3283" s="1" t="s">
        <v>74</v>
      </c>
      <c r="BA3283" s="1" t="s">
        <v>74</v>
      </c>
      <c r="BB3283" s="1">
        <v>1896</v>
      </c>
      <c r="BC3283" s="1">
        <v>1904</v>
      </c>
      <c r="BD3283" s="1" t="s">
        <v>74</v>
      </c>
      <c r="BE3283" s="1" t="s">
        <v>52158</v>
      </c>
      <c r="BF3283" s="1" t="str">
        <f>HYPERLINK("http://dx.doi.org/10.1016/j.ecoenv.2011.06.021","http://dx.doi.org/10.1016/j.ecoenv.2011.06.021")</f>
        <v>http://dx.doi.org/10.1016/j.ecoenv.2011.06.021</v>
      </c>
      <c r="BG3283" s="1" t="s">
        <v>74</v>
      </c>
      <c r="BH3283" s="1" t="s">
        <v>74</v>
      </c>
      <c r="BI3283" s="1">
        <v>9</v>
      </c>
      <c r="BJ3283" s="1" t="s">
        <v>121</v>
      </c>
      <c r="BK3283" s="1" t="s">
        <v>96</v>
      </c>
      <c r="BL3283" s="1" t="s">
        <v>122</v>
      </c>
      <c r="BM3283" s="1" t="s">
        <v>17778</v>
      </c>
      <c r="BN3283" s="1">
        <v>21764455</v>
      </c>
      <c r="BO3283" s="1" t="s">
        <v>74</v>
      </c>
      <c r="BP3283" s="1" t="s">
        <v>74</v>
      </c>
      <c r="BQ3283" s="1" t="s">
        <v>74</v>
      </c>
      <c r="BR3283" s="1" t="s">
        <v>98</v>
      </c>
      <c r="BS3283" s="1" t="s">
        <v>52159</v>
      </c>
      <c r="BT3283" s="1" t="str">
        <f>HYPERLINK("https%3A%2F%2Fwww.webofscience.com%2Fwos%2Fwoscc%2Ffull-record%2FWOS:000295438000013","View Full Record in Web of Science")</f>
        <v>View Full Record in Web of Science</v>
      </c>
      <c r="BU3283" s="1"/>
      <c r="BV3283" s="1"/>
    </row>
    <row r="3284" spans="1:74">
      <c r="A3284" s="1" t="s">
        <v>72</v>
      </c>
      <c r="B3284" s="1" t="s">
        <v>52160</v>
      </c>
      <c r="C3284" s="1" t="s">
        <v>74</v>
      </c>
      <c r="D3284" s="1" t="s">
        <v>74</v>
      </c>
      <c r="E3284" s="1" t="s">
        <v>74</v>
      </c>
      <c r="F3284" s="1" t="s">
        <v>52161</v>
      </c>
      <c r="G3284" s="1" t="s">
        <v>74</v>
      </c>
      <c r="H3284" s="1" t="s">
        <v>74</v>
      </c>
      <c r="I3284" s="1" t="s">
        <v>52162</v>
      </c>
      <c r="J3284" s="1" t="s">
        <v>232</v>
      </c>
      <c r="K3284" s="1" t="s">
        <v>74</v>
      </c>
      <c r="L3284" s="1" t="s">
        <v>74</v>
      </c>
      <c r="M3284" s="1" t="s">
        <v>78</v>
      </c>
      <c r="N3284" s="1" t="s">
        <v>79</v>
      </c>
      <c r="O3284" s="1" t="s">
        <v>74</v>
      </c>
      <c r="P3284" s="1" t="s">
        <v>74</v>
      </c>
      <c r="Q3284" s="1" t="s">
        <v>74</v>
      </c>
      <c r="R3284" s="1" t="s">
        <v>74</v>
      </c>
      <c r="S3284" s="1" t="s">
        <v>74</v>
      </c>
      <c r="T3284" s="1" t="s">
        <v>52163</v>
      </c>
      <c r="U3284" s="1" t="s">
        <v>52164</v>
      </c>
      <c r="V3284" s="1" t="s">
        <v>52165</v>
      </c>
      <c r="W3284" s="1" t="s">
        <v>52166</v>
      </c>
      <c r="X3284" s="1" t="s">
        <v>21943</v>
      </c>
      <c r="Y3284" s="1" t="s">
        <v>52167</v>
      </c>
      <c r="Z3284" s="1" t="s">
        <v>52168</v>
      </c>
      <c r="AA3284" s="1" t="s">
        <v>74</v>
      </c>
      <c r="AB3284" s="1" t="s">
        <v>52169</v>
      </c>
      <c r="AC3284" s="1" t="s">
        <v>74</v>
      </c>
      <c r="AD3284" s="1" t="s">
        <v>74</v>
      </c>
      <c r="AE3284" s="1" t="s">
        <v>74</v>
      </c>
      <c r="AF3284" s="1" t="s">
        <v>74</v>
      </c>
      <c r="AG3284" s="1">
        <v>76</v>
      </c>
      <c r="AH3284" s="1">
        <v>14</v>
      </c>
      <c r="AI3284" s="1">
        <v>14</v>
      </c>
      <c r="AJ3284" s="1">
        <v>1</v>
      </c>
      <c r="AK3284" s="1">
        <v>24</v>
      </c>
      <c r="AL3284" s="1" t="s">
        <v>136</v>
      </c>
      <c r="AM3284" s="1" t="s">
        <v>137</v>
      </c>
      <c r="AN3284" s="1" t="s">
        <v>138</v>
      </c>
      <c r="AO3284" s="1" t="s">
        <v>240</v>
      </c>
      <c r="AP3284" s="1" t="s">
        <v>241</v>
      </c>
      <c r="AQ3284" s="1" t="s">
        <v>74</v>
      </c>
      <c r="AR3284" s="1" t="s">
        <v>242</v>
      </c>
      <c r="AS3284" s="1" t="s">
        <v>243</v>
      </c>
      <c r="AT3284" s="1" t="s">
        <v>93</v>
      </c>
      <c r="AU3284" s="1">
        <v>2022</v>
      </c>
      <c r="AV3284" s="1">
        <v>177</v>
      </c>
      <c r="AW3284" s="1" t="s">
        <v>74</v>
      </c>
      <c r="AX3284" s="1" t="s">
        <v>74</v>
      </c>
      <c r="AY3284" s="1" t="s">
        <v>74</v>
      </c>
      <c r="AZ3284" s="1" t="s">
        <v>74</v>
      </c>
      <c r="BA3284" s="1" t="s">
        <v>74</v>
      </c>
      <c r="BB3284" s="1" t="s">
        <v>74</v>
      </c>
      <c r="BC3284" s="1" t="s">
        <v>74</v>
      </c>
      <c r="BD3284" s="1">
        <v>113493</v>
      </c>
      <c r="BE3284" s="1" t="s">
        <v>52170</v>
      </c>
      <c r="BF3284" s="1" t="str">
        <f>HYPERLINK("http://dx.doi.org/10.1016/j.marpolbul.2022.113493","http://dx.doi.org/10.1016/j.marpolbul.2022.113493")</f>
        <v>http://dx.doi.org/10.1016/j.marpolbul.2022.113493</v>
      </c>
      <c r="BG3284" s="1" t="s">
        <v>74</v>
      </c>
      <c r="BH3284" s="1" t="s">
        <v>5038</v>
      </c>
      <c r="BI3284" s="1">
        <v>8</v>
      </c>
      <c r="BJ3284" s="1" t="s">
        <v>247</v>
      </c>
      <c r="BK3284" s="1" t="s">
        <v>96</v>
      </c>
      <c r="BL3284" s="1" t="s">
        <v>248</v>
      </c>
      <c r="BM3284" s="1" t="s">
        <v>52171</v>
      </c>
      <c r="BN3284" s="1">
        <v>35245772</v>
      </c>
      <c r="BO3284" s="1" t="s">
        <v>74</v>
      </c>
      <c r="BP3284" s="1" t="s">
        <v>74</v>
      </c>
      <c r="BQ3284" s="1" t="s">
        <v>74</v>
      </c>
      <c r="BR3284" s="1" t="s">
        <v>98</v>
      </c>
      <c r="BS3284" s="1" t="s">
        <v>52172</v>
      </c>
      <c r="BT3284" s="1" t="str">
        <f>HYPERLINK("https%3A%2F%2Fwww.webofscience.com%2Fwos%2Fwoscc%2Ffull-record%2FWOS:000819937400007","View Full Record in Web of Science")</f>
        <v>View Full Record in Web of Science</v>
      </c>
      <c r="BU3284" s="1"/>
      <c r="BV3284" s="1"/>
    </row>
    <row r="3285" spans="1:74">
      <c r="A3285" s="1" t="s">
        <v>72</v>
      </c>
      <c r="B3285" s="1" t="s">
        <v>52173</v>
      </c>
      <c r="C3285" s="1" t="s">
        <v>74</v>
      </c>
      <c r="D3285" s="1" t="s">
        <v>74</v>
      </c>
      <c r="E3285" s="1" t="s">
        <v>74</v>
      </c>
      <c r="F3285" s="1" t="s">
        <v>52174</v>
      </c>
      <c r="G3285" s="1" t="s">
        <v>74</v>
      </c>
      <c r="H3285" s="1" t="s">
        <v>74</v>
      </c>
      <c r="I3285" s="1" t="s">
        <v>52175</v>
      </c>
      <c r="J3285" s="1" t="s">
        <v>204</v>
      </c>
      <c r="K3285" s="1" t="s">
        <v>74</v>
      </c>
      <c r="L3285" s="1" t="s">
        <v>74</v>
      </c>
      <c r="M3285" s="1" t="s">
        <v>78</v>
      </c>
      <c r="N3285" s="1" t="s">
        <v>79</v>
      </c>
      <c r="O3285" s="1" t="s">
        <v>74</v>
      </c>
      <c r="P3285" s="1" t="s">
        <v>74</v>
      </c>
      <c r="Q3285" s="1" t="s">
        <v>74</v>
      </c>
      <c r="R3285" s="1" t="s">
        <v>74</v>
      </c>
      <c r="S3285" s="1" t="s">
        <v>74</v>
      </c>
      <c r="T3285" s="1" t="s">
        <v>52176</v>
      </c>
      <c r="U3285" s="1" t="s">
        <v>52177</v>
      </c>
      <c r="V3285" s="1" t="s">
        <v>52178</v>
      </c>
      <c r="W3285" s="1" t="s">
        <v>52179</v>
      </c>
      <c r="X3285" s="1" t="s">
        <v>52180</v>
      </c>
      <c r="Y3285" s="1" t="s">
        <v>52181</v>
      </c>
      <c r="Z3285" s="1" t="s">
        <v>39303</v>
      </c>
      <c r="AA3285" s="1" t="s">
        <v>52182</v>
      </c>
      <c r="AB3285" s="1" t="s">
        <v>52183</v>
      </c>
      <c r="AC3285" s="1" t="s">
        <v>52184</v>
      </c>
      <c r="AD3285" s="1" t="s">
        <v>52185</v>
      </c>
      <c r="AE3285" s="1" t="s">
        <v>52186</v>
      </c>
      <c r="AF3285" s="1" t="s">
        <v>74</v>
      </c>
      <c r="AG3285" s="1">
        <v>82</v>
      </c>
      <c r="AH3285" s="1">
        <v>48</v>
      </c>
      <c r="AI3285" s="1">
        <v>52</v>
      </c>
      <c r="AJ3285" s="1">
        <v>6</v>
      </c>
      <c r="AK3285" s="1">
        <v>78</v>
      </c>
      <c r="AL3285" s="1" t="s">
        <v>217</v>
      </c>
      <c r="AM3285" s="1" t="s">
        <v>218</v>
      </c>
      <c r="AN3285" s="1" t="s">
        <v>219</v>
      </c>
      <c r="AO3285" s="1" t="s">
        <v>220</v>
      </c>
      <c r="AP3285" s="1" t="s">
        <v>221</v>
      </c>
      <c r="AQ3285" s="1" t="s">
        <v>74</v>
      </c>
      <c r="AR3285" s="1" t="s">
        <v>222</v>
      </c>
      <c r="AS3285" s="1" t="s">
        <v>223</v>
      </c>
      <c r="AT3285" s="1" t="s">
        <v>142</v>
      </c>
      <c r="AU3285" s="1">
        <v>2021</v>
      </c>
      <c r="AV3285" s="1">
        <v>28</v>
      </c>
      <c r="AW3285" s="1">
        <v>21</v>
      </c>
      <c r="AX3285" s="1" t="s">
        <v>74</v>
      </c>
      <c r="AY3285" s="1" t="s">
        <v>74</v>
      </c>
      <c r="AZ3285" s="1" t="s">
        <v>74</v>
      </c>
      <c r="BA3285" s="1" t="s">
        <v>74</v>
      </c>
      <c r="BB3285" s="1">
        <v>26643</v>
      </c>
      <c r="BC3285" s="1">
        <v>26652</v>
      </c>
      <c r="BD3285" s="1" t="s">
        <v>74</v>
      </c>
      <c r="BE3285" s="1" t="s">
        <v>52187</v>
      </c>
      <c r="BF3285" s="1" t="str">
        <f>HYPERLINK("http://dx.doi.org/10.1007/s11356-021-12506-8","http://dx.doi.org/10.1007/s11356-021-12506-8")</f>
        <v>http://dx.doi.org/10.1007/s11356-021-12506-8</v>
      </c>
      <c r="BG3285" s="1" t="s">
        <v>74</v>
      </c>
      <c r="BH3285" s="1" t="s">
        <v>2597</v>
      </c>
      <c r="BI3285" s="1">
        <v>10</v>
      </c>
      <c r="BJ3285" s="1" t="s">
        <v>144</v>
      </c>
      <c r="BK3285" s="1" t="s">
        <v>96</v>
      </c>
      <c r="BL3285" s="1" t="s">
        <v>145</v>
      </c>
      <c r="BM3285" s="1" t="s">
        <v>52188</v>
      </c>
      <c r="BN3285" s="1">
        <v>33495949</v>
      </c>
      <c r="BO3285" s="1" t="s">
        <v>74</v>
      </c>
      <c r="BP3285" s="1" t="s">
        <v>74</v>
      </c>
      <c r="BQ3285" s="1" t="s">
        <v>74</v>
      </c>
      <c r="BR3285" s="1" t="s">
        <v>98</v>
      </c>
      <c r="BS3285" s="1" t="s">
        <v>52189</v>
      </c>
      <c r="BT3285" s="1" t="str">
        <f>HYPERLINK("https%3A%2F%2Fwww.webofscience.com%2Fwos%2Fwoscc%2Ffull-record%2FWOS:000611929900011","View Full Record in Web of Science")</f>
        <v>View Full Record in Web of Science</v>
      </c>
      <c r="BU3285" s="1"/>
      <c r="BV3285" s="1"/>
    </row>
    <row r="3286" spans="1:74">
      <c r="A3286" s="1" t="s">
        <v>72</v>
      </c>
      <c r="B3286" s="1" t="s">
        <v>52190</v>
      </c>
      <c r="C3286" s="1" t="s">
        <v>74</v>
      </c>
      <c r="D3286" s="1" t="s">
        <v>74</v>
      </c>
      <c r="E3286" s="1" t="s">
        <v>74</v>
      </c>
      <c r="F3286" s="1" t="s">
        <v>52191</v>
      </c>
      <c r="G3286" s="1" t="s">
        <v>74</v>
      </c>
      <c r="H3286" s="1" t="s">
        <v>74</v>
      </c>
      <c r="I3286" s="1" t="s">
        <v>52192</v>
      </c>
      <c r="J3286" s="1" t="s">
        <v>5413</v>
      </c>
      <c r="K3286" s="1" t="s">
        <v>74</v>
      </c>
      <c r="L3286" s="1" t="s">
        <v>74</v>
      </c>
      <c r="M3286" s="1" t="s">
        <v>78</v>
      </c>
      <c r="N3286" s="1" t="s">
        <v>79</v>
      </c>
      <c r="O3286" s="1" t="s">
        <v>74</v>
      </c>
      <c r="P3286" s="1" t="s">
        <v>74</v>
      </c>
      <c r="Q3286" s="1" t="s">
        <v>74</v>
      </c>
      <c r="R3286" s="1" t="s">
        <v>74</v>
      </c>
      <c r="S3286" s="1" t="s">
        <v>74</v>
      </c>
      <c r="T3286" s="1" t="s">
        <v>52193</v>
      </c>
      <c r="U3286" s="1" t="s">
        <v>52194</v>
      </c>
      <c r="V3286" s="1" t="s">
        <v>52195</v>
      </c>
      <c r="W3286" s="1" t="s">
        <v>52196</v>
      </c>
      <c r="X3286" s="1" t="s">
        <v>52197</v>
      </c>
      <c r="Y3286" s="1" t="s">
        <v>52198</v>
      </c>
      <c r="Z3286" s="1" t="s">
        <v>52199</v>
      </c>
      <c r="AA3286" s="1" t="s">
        <v>52200</v>
      </c>
      <c r="AB3286" s="1" t="s">
        <v>52201</v>
      </c>
      <c r="AC3286" s="1" t="s">
        <v>52202</v>
      </c>
      <c r="AD3286" s="1" t="s">
        <v>52203</v>
      </c>
      <c r="AE3286" s="1" t="s">
        <v>52204</v>
      </c>
      <c r="AF3286" s="1" t="s">
        <v>74</v>
      </c>
      <c r="AG3286" s="1">
        <v>41</v>
      </c>
      <c r="AH3286" s="1">
        <v>10</v>
      </c>
      <c r="AI3286" s="1">
        <v>10</v>
      </c>
      <c r="AJ3286" s="1">
        <v>0</v>
      </c>
      <c r="AK3286" s="1">
        <v>17</v>
      </c>
      <c r="AL3286" s="1" t="s">
        <v>919</v>
      </c>
      <c r="AM3286" s="1" t="s">
        <v>651</v>
      </c>
      <c r="AN3286" s="1" t="s">
        <v>920</v>
      </c>
      <c r="AO3286" s="1" t="s">
        <v>5426</v>
      </c>
      <c r="AP3286" s="1" t="s">
        <v>5427</v>
      </c>
      <c r="AQ3286" s="1" t="s">
        <v>74</v>
      </c>
      <c r="AR3286" s="1" t="s">
        <v>5428</v>
      </c>
      <c r="AS3286" s="1" t="s">
        <v>5429</v>
      </c>
      <c r="AT3286" s="1" t="s">
        <v>765</v>
      </c>
      <c r="AU3286" s="1">
        <v>2017</v>
      </c>
      <c r="AV3286" s="1">
        <v>53</v>
      </c>
      <c r="AW3286" s="1" t="s">
        <v>74</v>
      </c>
      <c r="AX3286" s="1" t="s">
        <v>74</v>
      </c>
      <c r="AY3286" s="1" t="s">
        <v>74</v>
      </c>
      <c r="AZ3286" s="1" t="s">
        <v>74</v>
      </c>
      <c r="BA3286" s="1" t="s">
        <v>74</v>
      </c>
      <c r="BB3286" s="1">
        <v>219</v>
      </c>
      <c r="BC3286" s="1">
        <v>226</v>
      </c>
      <c r="BD3286" s="1" t="s">
        <v>74</v>
      </c>
      <c r="BE3286" s="1" t="s">
        <v>52205</v>
      </c>
      <c r="BF3286" s="1" t="str">
        <f>HYPERLINK("http://dx.doi.org/10.1016/j.etap.2017.06.019","http://dx.doi.org/10.1016/j.etap.2017.06.019")</f>
        <v>http://dx.doi.org/10.1016/j.etap.2017.06.019</v>
      </c>
      <c r="BG3286" s="1" t="s">
        <v>74</v>
      </c>
      <c r="BH3286" s="1" t="s">
        <v>74</v>
      </c>
      <c r="BI3286" s="1">
        <v>8</v>
      </c>
      <c r="BJ3286" s="1" t="s">
        <v>5431</v>
      </c>
      <c r="BK3286" s="1" t="s">
        <v>96</v>
      </c>
      <c r="BL3286" s="1" t="s">
        <v>5432</v>
      </c>
      <c r="BM3286" s="1" t="s">
        <v>52206</v>
      </c>
      <c r="BN3286" s="1">
        <v>28667896</v>
      </c>
      <c r="BO3286" s="1" t="s">
        <v>74</v>
      </c>
      <c r="BP3286" s="1" t="s">
        <v>74</v>
      </c>
      <c r="BQ3286" s="1" t="s">
        <v>74</v>
      </c>
      <c r="BR3286" s="1" t="s">
        <v>98</v>
      </c>
      <c r="BS3286" s="1" t="s">
        <v>52207</v>
      </c>
      <c r="BT3286" s="1" t="str">
        <f>HYPERLINK("https%3A%2F%2Fwww.webofscience.com%2Fwos%2Fwoscc%2Ffull-record%2FWOS:000406566200028","View Full Record in Web of Science")</f>
        <v>View Full Record in Web of Science</v>
      </c>
      <c r="BU3286" s="1"/>
      <c r="BV3286" s="1"/>
    </row>
    <row r="3287" spans="1:74">
      <c r="A3287" s="1" t="s">
        <v>72</v>
      </c>
      <c r="B3287" s="1" t="s">
        <v>52208</v>
      </c>
      <c r="C3287" s="1" t="s">
        <v>74</v>
      </c>
      <c r="D3287" s="1" t="s">
        <v>74</v>
      </c>
      <c r="E3287" s="1" t="s">
        <v>74</v>
      </c>
      <c r="F3287" s="1" t="s">
        <v>52209</v>
      </c>
      <c r="G3287" s="1" t="s">
        <v>74</v>
      </c>
      <c r="H3287" s="1" t="s">
        <v>74</v>
      </c>
      <c r="I3287" s="1" t="s">
        <v>52210</v>
      </c>
      <c r="J3287" s="1" t="s">
        <v>704</v>
      </c>
      <c r="K3287" s="1" t="s">
        <v>74</v>
      </c>
      <c r="L3287" s="1" t="s">
        <v>74</v>
      </c>
      <c r="M3287" s="1" t="s">
        <v>78</v>
      </c>
      <c r="N3287" s="1" t="s">
        <v>79</v>
      </c>
      <c r="O3287" s="1" t="s">
        <v>74</v>
      </c>
      <c r="P3287" s="1" t="s">
        <v>74</v>
      </c>
      <c r="Q3287" s="1" t="s">
        <v>74</v>
      </c>
      <c r="R3287" s="1" t="s">
        <v>74</v>
      </c>
      <c r="S3287" s="1" t="s">
        <v>74</v>
      </c>
      <c r="T3287" s="1" t="s">
        <v>52211</v>
      </c>
      <c r="U3287" s="1" t="s">
        <v>52212</v>
      </c>
      <c r="V3287" s="1" t="s">
        <v>52213</v>
      </c>
      <c r="W3287" s="1" t="s">
        <v>52214</v>
      </c>
      <c r="X3287" s="1" t="s">
        <v>52215</v>
      </c>
      <c r="Y3287" s="1" t="s">
        <v>52216</v>
      </c>
      <c r="Z3287" s="1" t="s">
        <v>52217</v>
      </c>
      <c r="AA3287" s="1" t="s">
        <v>74</v>
      </c>
      <c r="AB3287" s="1" t="s">
        <v>52218</v>
      </c>
      <c r="AC3287" s="1" t="s">
        <v>74</v>
      </c>
      <c r="AD3287" s="1" t="s">
        <v>74</v>
      </c>
      <c r="AE3287" s="1" t="s">
        <v>74</v>
      </c>
      <c r="AF3287" s="1" t="s">
        <v>74</v>
      </c>
      <c r="AG3287" s="1">
        <v>28</v>
      </c>
      <c r="AH3287" s="1">
        <v>9</v>
      </c>
      <c r="AI3287" s="1">
        <v>9</v>
      </c>
      <c r="AJ3287" s="1">
        <v>0</v>
      </c>
      <c r="AK3287" s="1">
        <v>27</v>
      </c>
      <c r="AL3287" s="1" t="s">
        <v>112</v>
      </c>
      <c r="AM3287" s="1" t="s">
        <v>191</v>
      </c>
      <c r="AN3287" s="1" t="s">
        <v>192</v>
      </c>
      <c r="AO3287" s="1" t="s">
        <v>718</v>
      </c>
      <c r="AP3287" s="1" t="s">
        <v>1169</v>
      </c>
      <c r="AQ3287" s="1" t="s">
        <v>74</v>
      </c>
      <c r="AR3287" s="1" t="s">
        <v>719</v>
      </c>
      <c r="AS3287" s="1" t="s">
        <v>720</v>
      </c>
      <c r="AT3287" s="1" t="s">
        <v>224</v>
      </c>
      <c r="AU3287" s="1">
        <v>2017</v>
      </c>
      <c r="AV3287" s="1">
        <v>228</v>
      </c>
      <c r="AW3287" s="1">
        <v>2</v>
      </c>
      <c r="AX3287" s="1" t="s">
        <v>74</v>
      </c>
      <c r="AY3287" s="1" t="s">
        <v>74</v>
      </c>
      <c r="AZ3287" s="1" t="s">
        <v>74</v>
      </c>
      <c r="BA3287" s="1" t="s">
        <v>74</v>
      </c>
      <c r="BB3287" s="1" t="s">
        <v>74</v>
      </c>
      <c r="BC3287" s="1" t="s">
        <v>74</v>
      </c>
      <c r="BD3287" s="1">
        <v>79</v>
      </c>
      <c r="BE3287" s="1" t="s">
        <v>52219</v>
      </c>
      <c r="BF3287" s="1" t="str">
        <f>HYPERLINK("http://dx.doi.org/10.1007/s11270-017-3265-0","http://dx.doi.org/10.1007/s11270-017-3265-0")</f>
        <v>http://dx.doi.org/10.1007/s11270-017-3265-0</v>
      </c>
      <c r="BG3287" s="1" t="s">
        <v>74</v>
      </c>
      <c r="BH3287" s="1" t="s">
        <v>74</v>
      </c>
      <c r="BI3287" s="1">
        <v>9</v>
      </c>
      <c r="BJ3287" s="1" t="s">
        <v>722</v>
      </c>
      <c r="BK3287" s="1" t="s">
        <v>96</v>
      </c>
      <c r="BL3287" s="1" t="s">
        <v>723</v>
      </c>
      <c r="BM3287" s="1" t="s">
        <v>52220</v>
      </c>
      <c r="BN3287" s="1" t="s">
        <v>74</v>
      </c>
      <c r="BO3287" s="1" t="s">
        <v>74</v>
      </c>
      <c r="BP3287" s="1" t="s">
        <v>74</v>
      </c>
      <c r="BQ3287" s="1" t="s">
        <v>74</v>
      </c>
      <c r="BR3287" s="1" t="s">
        <v>98</v>
      </c>
      <c r="BS3287" s="1" t="s">
        <v>52221</v>
      </c>
      <c r="BT3287" s="1" t="str">
        <f>HYPERLINK("https%3A%2F%2Fwww.webofscience.com%2Fwos%2Fwoscc%2Ffull-record%2FWOS:000394351400027","View Full Record in Web of Science")</f>
        <v>View Full Record in Web of Science</v>
      </c>
      <c r="BU3287" s="1"/>
      <c r="BV3287" s="1"/>
    </row>
    <row r="3288" spans="1:74">
      <c r="A3288" s="1" t="s">
        <v>72</v>
      </c>
      <c r="B3288" s="1" t="s">
        <v>52222</v>
      </c>
      <c r="C3288" s="1" t="s">
        <v>74</v>
      </c>
      <c r="D3288" s="1" t="s">
        <v>74</v>
      </c>
      <c r="E3288" s="1" t="s">
        <v>74</v>
      </c>
      <c r="F3288" s="1" t="s">
        <v>52223</v>
      </c>
      <c r="G3288" s="1" t="s">
        <v>74</v>
      </c>
      <c r="H3288" s="1" t="s">
        <v>74</v>
      </c>
      <c r="I3288" s="1" t="s">
        <v>52224</v>
      </c>
      <c r="J3288" s="1" t="s">
        <v>179</v>
      </c>
      <c r="K3288" s="1" t="s">
        <v>74</v>
      </c>
      <c r="L3288" s="1" t="s">
        <v>74</v>
      </c>
      <c r="M3288" s="1" t="s">
        <v>78</v>
      </c>
      <c r="N3288" s="1" t="s">
        <v>79</v>
      </c>
      <c r="O3288" s="1" t="s">
        <v>74</v>
      </c>
      <c r="P3288" s="1" t="s">
        <v>74</v>
      </c>
      <c r="Q3288" s="1" t="s">
        <v>74</v>
      </c>
      <c r="R3288" s="1" t="s">
        <v>74</v>
      </c>
      <c r="S3288" s="1" t="s">
        <v>74</v>
      </c>
      <c r="T3288" s="1" t="s">
        <v>52225</v>
      </c>
      <c r="U3288" s="1" t="s">
        <v>52226</v>
      </c>
      <c r="V3288" s="1" t="s">
        <v>52227</v>
      </c>
      <c r="W3288" s="1" t="s">
        <v>52228</v>
      </c>
      <c r="X3288" s="1" t="s">
        <v>52229</v>
      </c>
      <c r="Y3288" s="1" t="s">
        <v>52230</v>
      </c>
      <c r="Z3288" s="1" t="s">
        <v>52231</v>
      </c>
      <c r="AA3288" s="1" t="s">
        <v>52232</v>
      </c>
      <c r="AB3288" s="1" t="s">
        <v>52233</v>
      </c>
      <c r="AC3288" s="1" t="s">
        <v>52234</v>
      </c>
      <c r="AD3288" s="1" t="s">
        <v>52234</v>
      </c>
      <c r="AE3288" s="1" t="s">
        <v>52235</v>
      </c>
      <c r="AF3288" s="1" t="s">
        <v>74</v>
      </c>
      <c r="AG3288" s="1">
        <v>96</v>
      </c>
      <c r="AH3288" s="1">
        <v>49</v>
      </c>
      <c r="AI3288" s="1">
        <v>51</v>
      </c>
      <c r="AJ3288" s="1">
        <v>2</v>
      </c>
      <c r="AK3288" s="1">
        <v>97</v>
      </c>
      <c r="AL3288" s="1" t="s">
        <v>112</v>
      </c>
      <c r="AM3288" s="1" t="s">
        <v>191</v>
      </c>
      <c r="AN3288" s="1" t="s">
        <v>192</v>
      </c>
      <c r="AO3288" s="1" t="s">
        <v>193</v>
      </c>
      <c r="AP3288" s="1" t="s">
        <v>194</v>
      </c>
      <c r="AQ3288" s="1" t="s">
        <v>74</v>
      </c>
      <c r="AR3288" s="1" t="s">
        <v>195</v>
      </c>
      <c r="AS3288" s="1" t="s">
        <v>196</v>
      </c>
      <c r="AT3288" s="1" t="s">
        <v>197</v>
      </c>
      <c r="AU3288" s="1">
        <v>2015</v>
      </c>
      <c r="AV3288" s="1">
        <v>187</v>
      </c>
      <c r="AW3288" s="1">
        <v>12</v>
      </c>
      <c r="AX3288" s="1" t="s">
        <v>74</v>
      </c>
      <c r="AY3288" s="1" t="s">
        <v>74</v>
      </c>
      <c r="AZ3288" s="1" t="s">
        <v>74</v>
      </c>
      <c r="BA3288" s="1" t="s">
        <v>74</v>
      </c>
      <c r="BB3288" s="1" t="s">
        <v>74</v>
      </c>
      <c r="BC3288" s="1" t="s">
        <v>74</v>
      </c>
      <c r="BD3288" s="1">
        <v>747</v>
      </c>
      <c r="BE3288" s="1" t="s">
        <v>52236</v>
      </c>
      <c r="BF3288" s="1" t="str">
        <f>HYPERLINK("http://dx.doi.org/10.1007/s10661-015-4950-3","http://dx.doi.org/10.1007/s10661-015-4950-3")</f>
        <v>http://dx.doi.org/10.1007/s10661-015-4950-3</v>
      </c>
      <c r="BG3288" s="1" t="s">
        <v>74</v>
      </c>
      <c r="BH3288" s="1" t="s">
        <v>74</v>
      </c>
      <c r="BI3288" s="1">
        <v>21</v>
      </c>
      <c r="BJ3288" s="1" t="s">
        <v>144</v>
      </c>
      <c r="BK3288" s="1" t="s">
        <v>96</v>
      </c>
      <c r="BL3288" s="1" t="s">
        <v>145</v>
      </c>
      <c r="BM3288" s="1" t="s">
        <v>199</v>
      </c>
      <c r="BN3288" s="1">
        <v>26563234</v>
      </c>
      <c r="BO3288" s="1" t="s">
        <v>74</v>
      </c>
      <c r="BP3288" s="1" t="s">
        <v>74</v>
      </c>
      <c r="BQ3288" s="1" t="s">
        <v>74</v>
      </c>
      <c r="BR3288" s="1" t="s">
        <v>98</v>
      </c>
      <c r="BS3288" s="1" t="s">
        <v>52237</v>
      </c>
      <c r="BT3288" s="1" t="str">
        <f>HYPERLINK("https%3A%2F%2Fwww.webofscience.com%2Fwos%2Fwoscc%2Ffull-record%2FWOS:000365871600022","View Full Record in Web of Science")</f>
        <v>View Full Record in Web of Science</v>
      </c>
      <c r="BU3288" s="1"/>
      <c r="BV3288" s="1"/>
    </row>
    <row r="3289" spans="1:74">
      <c r="A3289" s="1" t="s">
        <v>72</v>
      </c>
      <c r="B3289" s="1" t="s">
        <v>52238</v>
      </c>
      <c r="C3289" s="1" t="s">
        <v>74</v>
      </c>
      <c r="D3289" s="1" t="s">
        <v>74</v>
      </c>
      <c r="E3289" s="1" t="s">
        <v>74</v>
      </c>
      <c r="F3289" s="1" t="s">
        <v>52239</v>
      </c>
      <c r="G3289" s="1" t="s">
        <v>74</v>
      </c>
      <c r="H3289" s="1" t="s">
        <v>74</v>
      </c>
      <c r="I3289" s="1" t="s">
        <v>52240</v>
      </c>
      <c r="J3289" s="1" t="s">
        <v>9914</v>
      </c>
      <c r="K3289" s="1" t="s">
        <v>74</v>
      </c>
      <c r="L3289" s="1" t="s">
        <v>74</v>
      </c>
      <c r="M3289" s="1" t="s">
        <v>78</v>
      </c>
      <c r="N3289" s="1" t="s">
        <v>79</v>
      </c>
      <c r="O3289" s="1" t="s">
        <v>74</v>
      </c>
      <c r="P3289" s="1" t="s">
        <v>74</v>
      </c>
      <c r="Q3289" s="1" t="s">
        <v>74</v>
      </c>
      <c r="R3289" s="1" t="s">
        <v>74</v>
      </c>
      <c r="S3289" s="1" t="s">
        <v>74</v>
      </c>
      <c r="T3289" s="1" t="s">
        <v>74</v>
      </c>
      <c r="U3289" s="1" t="s">
        <v>52241</v>
      </c>
      <c r="V3289" s="1" t="s">
        <v>52242</v>
      </c>
      <c r="W3289" s="1" t="s">
        <v>52243</v>
      </c>
      <c r="X3289" s="1" t="s">
        <v>1417</v>
      </c>
      <c r="Y3289" s="1" t="s">
        <v>52244</v>
      </c>
      <c r="Z3289" s="1" t="s">
        <v>52245</v>
      </c>
      <c r="AA3289" s="1" t="s">
        <v>74</v>
      </c>
      <c r="AB3289" s="1" t="s">
        <v>52246</v>
      </c>
      <c r="AC3289" s="1" t="s">
        <v>52247</v>
      </c>
      <c r="AD3289" s="1" t="s">
        <v>52248</v>
      </c>
      <c r="AE3289" s="1" t="s">
        <v>52249</v>
      </c>
      <c r="AF3289" s="1" t="s">
        <v>74</v>
      </c>
      <c r="AG3289" s="1">
        <v>107</v>
      </c>
      <c r="AH3289" s="1">
        <v>134</v>
      </c>
      <c r="AI3289" s="1">
        <v>136</v>
      </c>
      <c r="AJ3289" s="1">
        <v>1</v>
      </c>
      <c r="AK3289" s="1">
        <v>44</v>
      </c>
      <c r="AL3289" s="1" t="s">
        <v>136</v>
      </c>
      <c r="AM3289" s="1" t="s">
        <v>137</v>
      </c>
      <c r="AN3289" s="1" t="s">
        <v>138</v>
      </c>
      <c r="AO3289" s="1" t="s">
        <v>9925</v>
      </c>
      <c r="AP3289" s="1" t="s">
        <v>74</v>
      </c>
      <c r="AQ3289" s="1" t="s">
        <v>74</v>
      </c>
      <c r="AR3289" s="1" t="s">
        <v>9926</v>
      </c>
      <c r="AS3289" s="1" t="s">
        <v>9927</v>
      </c>
      <c r="AT3289" s="1" t="s">
        <v>197</v>
      </c>
      <c r="AU3289" s="1">
        <v>2010</v>
      </c>
      <c r="AV3289" s="1">
        <v>25</v>
      </c>
      <c r="AW3289" s="1">
        <v>12</v>
      </c>
      <c r="AX3289" s="1" t="s">
        <v>74</v>
      </c>
      <c r="AY3289" s="1" t="s">
        <v>74</v>
      </c>
      <c r="AZ3289" s="1" t="s">
        <v>74</v>
      </c>
      <c r="BA3289" s="1" t="s">
        <v>74</v>
      </c>
      <c r="BB3289" s="1">
        <v>1912</v>
      </c>
      <c r="BC3289" s="1">
        <v>1923</v>
      </c>
      <c r="BD3289" s="1" t="s">
        <v>74</v>
      </c>
      <c r="BE3289" s="1" t="s">
        <v>52250</v>
      </c>
      <c r="BF3289" s="1" t="str">
        <f>HYPERLINK("http://dx.doi.org/10.1016/j.apgeochem.2010.10.007","http://dx.doi.org/10.1016/j.apgeochem.2010.10.007")</f>
        <v>http://dx.doi.org/10.1016/j.apgeochem.2010.10.007</v>
      </c>
      <c r="BG3289" s="1" t="s">
        <v>74</v>
      </c>
      <c r="BH3289" s="1" t="s">
        <v>74</v>
      </c>
      <c r="BI3289" s="1">
        <v>12</v>
      </c>
      <c r="BJ3289" s="1" t="s">
        <v>9863</v>
      </c>
      <c r="BK3289" s="1" t="s">
        <v>96</v>
      </c>
      <c r="BL3289" s="1" t="s">
        <v>9863</v>
      </c>
      <c r="BM3289" s="1" t="s">
        <v>52251</v>
      </c>
      <c r="BN3289" s="1" t="s">
        <v>74</v>
      </c>
      <c r="BO3289" s="1" t="s">
        <v>74</v>
      </c>
      <c r="BP3289" s="1" t="s">
        <v>74</v>
      </c>
      <c r="BQ3289" s="1" t="s">
        <v>74</v>
      </c>
      <c r="BR3289" s="1" t="s">
        <v>98</v>
      </c>
      <c r="BS3289" s="1" t="s">
        <v>52252</v>
      </c>
      <c r="BT3289" s="1" t="str">
        <f>HYPERLINK("https%3A%2F%2Fwww.webofscience.com%2Fwos%2Fwoscc%2Ffull-record%2FWOS:000285954000011","View Full Record in Web of Science")</f>
        <v>View Full Record in Web of Science</v>
      </c>
      <c r="BU3289" s="1"/>
      <c r="BV3289" s="1"/>
    </row>
    <row r="3290" spans="1:74">
      <c r="A3290" s="1" t="s">
        <v>72</v>
      </c>
      <c r="B3290" s="1" t="s">
        <v>52253</v>
      </c>
      <c r="C3290" s="1" t="s">
        <v>74</v>
      </c>
      <c r="D3290" s="1" t="s">
        <v>74</v>
      </c>
      <c r="E3290" s="1" t="s">
        <v>74</v>
      </c>
      <c r="F3290" s="1" t="s">
        <v>52253</v>
      </c>
      <c r="G3290" s="1" t="s">
        <v>74</v>
      </c>
      <c r="H3290" s="1" t="s">
        <v>74</v>
      </c>
      <c r="I3290" s="1" t="s">
        <v>52254</v>
      </c>
      <c r="J3290" s="1" t="s">
        <v>1097</v>
      </c>
      <c r="K3290" s="1" t="s">
        <v>74</v>
      </c>
      <c r="L3290" s="1" t="s">
        <v>74</v>
      </c>
      <c r="M3290" s="1" t="s">
        <v>78</v>
      </c>
      <c r="N3290" s="1" t="s">
        <v>79</v>
      </c>
      <c r="O3290" s="1" t="s">
        <v>74</v>
      </c>
      <c r="P3290" s="1" t="s">
        <v>74</v>
      </c>
      <c r="Q3290" s="1" t="s">
        <v>74</v>
      </c>
      <c r="R3290" s="1" t="s">
        <v>74</v>
      </c>
      <c r="S3290" s="1" t="s">
        <v>74</v>
      </c>
      <c r="T3290" s="1" t="s">
        <v>74</v>
      </c>
      <c r="U3290" s="1" t="s">
        <v>52255</v>
      </c>
      <c r="V3290" s="1" t="s">
        <v>52256</v>
      </c>
      <c r="W3290" s="1" t="s">
        <v>52257</v>
      </c>
      <c r="X3290" s="1" t="s">
        <v>52258</v>
      </c>
      <c r="Y3290" s="1" t="s">
        <v>52259</v>
      </c>
      <c r="Z3290" s="1" t="s">
        <v>52260</v>
      </c>
      <c r="AA3290" s="1" t="s">
        <v>52261</v>
      </c>
      <c r="AB3290" s="1" t="s">
        <v>52262</v>
      </c>
      <c r="AC3290" s="1" t="s">
        <v>74</v>
      </c>
      <c r="AD3290" s="1" t="s">
        <v>74</v>
      </c>
      <c r="AE3290" s="1" t="s">
        <v>74</v>
      </c>
      <c r="AF3290" s="1" t="s">
        <v>74</v>
      </c>
      <c r="AG3290" s="1">
        <v>36</v>
      </c>
      <c r="AH3290" s="1">
        <v>11</v>
      </c>
      <c r="AI3290" s="1">
        <v>12</v>
      </c>
      <c r="AJ3290" s="1">
        <v>0</v>
      </c>
      <c r="AK3290" s="1">
        <v>11</v>
      </c>
      <c r="AL3290" s="1" t="s">
        <v>217</v>
      </c>
      <c r="AM3290" s="1" t="s">
        <v>218</v>
      </c>
      <c r="AN3290" s="1" t="s">
        <v>219</v>
      </c>
      <c r="AO3290" s="1" t="s">
        <v>1100</v>
      </c>
      <c r="AP3290" s="1" t="s">
        <v>1101</v>
      </c>
      <c r="AQ3290" s="1" t="s">
        <v>74</v>
      </c>
      <c r="AR3290" s="1" t="s">
        <v>1102</v>
      </c>
      <c r="AS3290" s="1" t="s">
        <v>1103</v>
      </c>
      <c r="AT3290" s="1" t="s">
        <v>93</v>
      </c>
      <c r="AU3290" s="1">
        <v>2006</v>
      </c>
      <c r="AV3290" s="1">
        <v>148</v>
      </c>
      <c r="AW3290" s="1">
        <v>6</v>
      </c>
      <c r="AX3290" s="1" t="s">
        <v>74</v>
      </c>
      <c r="AY3290" s="1" t="s">
        <v>74</v>
      </c>
      <c r="AZ3290" s="1" t="s">
        <v>74</v>
      </c>
      <c r="BA3290" s="1" t="s">
        <v>74</v>
      </c>
      <c r="BB3290" s="1">
        <v>1231</v>
      </c>
      <c r="BC3290" s="1">
        <v>1240</v>
      </c>
      <c r="BD3290" s="1" t="s">
        <v>74</v>
      </c>
      <c r="BE3290" s="1" t="s">
        <v>52263</v>
      </c>
      <c r="BF3290" s="1" t="str">
        <f>HYPERLINK("http://dx.doi.org/10.1007/s00227-005-0168-1","http://dx.doi.org/10.1007/s00227-005-0168-1")</f>
        <v>http://dx.doi.org/10.1007/s00227-005-0168-1</v>
      </c>
      <c r="BG3290" s="1" t="s">
        <v>74</v>
      </c>
      <c r="BH3290" s="1" t="s">
        <v>74</v>
      </c>
      <c r="BI3290" s="1">
        <v>10</v>
      </c>
      <c r="BJ3290" s="1" t="s">
        <v>680</v>
      </c>
      <c r="BK3290" s="1" t="s">
        <v>96</v>
      </c>
      <c r="BL3290" s="1" t="s">
        <v>680</v>
      </c>
      <c r="BM3290" s="1" t="s">
        <v>52264</v>
      </c>
      <c r="BN3290" s="1" t="s">
        <v>74</v>
      </c>
      <c r="BO3290" s="1" t="s">
        <v>74</v>
      </c>
      <c r="BP3290" s="1" t="s">
        <v>74</v>
      </c>
      <c r="BQ3290" s="1" t="s">
        <v>74</v>
      </c>
      <c r="BR3290" s="1" t="s">
        <v>98</v>
      </c>
      <c r="BS3290" s="1" t="s">
        <v>52265</v>
      </c>
      <c r="BT3290" s="1" t="str">
        <f>HYPERLINK("https%3A%2F%2Fwww.webofscience.com%2Fwos%2Fwoscc%2Ffull-record%2FWOS:000236382800005","View Full Record in Web of Science")</f>
        <v>View Full Record in Web of Science</v>
      </c>
      <c r="BU3290" s="1"/>
      <c r="BV3290" s="1"/>
    </row>
    <row r="3291" spans="1:74">
      <c r="A3291" s="1" t="s">
        <v>72</v>
      </c>
      <c r="B3291" s="1" t="s">
        <v>52266</v>
      </c>
      <c r="C3291" s="1" t="s">
        <v>74</v>
      </c>
      <c r="D3291" s="1" t="s">
        <v>74</v>
      </c>
      <c r="E3291" s="1" t="s">
        <v>74</v>
      </c>
      <c r="F3291" s="1" t="s">
        <v>52266</v>
      </c>
      <c r="G3291" s="1" t="s">
        <v>74</v>
      </c>
      <c r="H3291" s="1" t="s">
        <v>74</v>
      </c>
      <c r="I3291" s="1" t="s">
        <v>52267</v>
      </c>
      <c r="J3291" s="1" t="s">
        <v>576</v>
      </c>
      <c r="K3291" s="1" t="s">
        <v>74</v>
      </c>
      <c r="L3291" s="1" t="s">
        <v>74</v>
      </c>
      <c r="M3291" s="1" t="s">
        <v>78</v>
      </c>
      <c r="N3291" s="1" t="s">
        <v>151</v>
      </c>
      <c r="O3291" s="1" t="s">
        <v>52268</v>
      </c>
      <c r="P3291" s="1" t="s">
        <v>52269</v>
      </c>
      <c r="Q3291" s="1" t="s">
        <v>52270</v>
      </c>
      <c r="R3291" s="1" t="s">
        <v>74</v>
      </c>
      <c r="S3291" s="1" t="s">
        <v>74</v>
      </c>
      <c r="T3291" s="1" t="s">
        <v>52271</v>
      </c>
      <c r="U3291" s="1" t="s">
        <v>52272</v>
      </c>
      <c r="V3291" s="1" t="s">
        <v>52273</v>
      </c>
      <c r="W3291" s="1" t="s">
        <v>52274</v>
      </c>
      <c r="X3291" s="1" t="s">
        <v>52275</v>
      </c>
      <c r="Y3291" s="1" t="s">
        <v>52276</v>
      </c>
      <c r="Z3291" s="1" t="s">
        <v>74</v>
      </c>
      <c r="AA3291" s="1" t="s">
        <v>74</v>
      </c>
      <c r="AB3291" s="1" t="s">
        <v>74</v>
      </c>
      <c r="AC3291" s="1" t="s">
        <v>74</v>
      </c>
      <c r="AD3291" s="1" t="s">
        <v>74</v>
      </c>
      <c r="AE3291" s="1" t="s">
        <v>74</v>
      </c>
      <c r="AF3291" s="1" t="s">
        <v>74</v>
      </c>
      <c r="AG3291" s="1">
        <v>22</v>
      </c>
      <c r="AH3291" s="1">
        <v>5</v>
      </c>
      <c r="AI3291" s="1">
        <v>5</v>
      </c>
      <c r="AJ3291" s="1">
        <v>0</v>
      </c>
      <c r="AK3291" s="1">
        <v>3</v>
      </c>
      <c r="AL3291" s="1" t="s">
        <v>14827</v>
      </c>
      <c r="AM3291" s="1" t="s">
        <v>286</v>
      </c>
      <c r="AN3291" s="1" t="s">
        <v>14828</v>
      </c>
      <c r="AO3291" s="1" t="s">
        <v>584</v>
      </c>
      <c r="AP3291" s="1" t="s">
        <v>74</v>
      </c>
      <c r="AQ3291" s="1" t="s">
        <v>74</v>
      </c>
      <c r="AR3291" s="1" t="s">
        <v>585</v>
      </c>
      <c r="AS3291" s="1" t="s">
        <v>586</v>
      </c>
      <c r="AT3291" s="1" t="s">
        <v>74</v>
      </c>
      <c r="AU3291" s="1">
        <v>2000</v>
      </c>
      <c r="AV3291" s="1">
        <v>42</v>
      </c>
      <c r="AW3291" s="1" t="s">
        <v>326</v>
      </c>
      <c r="AX3291" s="1" t="s">
        <v>74</v>
      </c>
      <c r="AY3291" s="1" t="s">
        <v>74</v>
      </c>
      <c r="AZ3291" s="1" t="s">
        <v>74</v>
      </c>
      <c r="BA3291" s="1" t="s">
        <v>74</v>
      </c>
      <c r="BB3291" s="1">
        <v>269</v>
      </c>
      <c r="BC3291" s="1">
        <v>274</v>
      </c>
      <c r="BD3291" s="1" t="s">
        <v>74</v>
      </c>
      <c r="BE3291" s="1" t="s">
        <v>52277</v>
      </c>
      <c r="BF3291" s="1" t="str">
        <f>HYPERLINK("http://dx.doi.org/10.2166/wst.2000.0324","http://dx.doi.org/10.2166/wst.2000.0324")</f>
        <v>http://dx.doi.org/10.2166/wst.2000.0324</v>
      </c>
      <c r="BG3291" s="1" t="s">
        <v>74</v>
      </c>
      <c r="BH3291" s="1" t="s">
        <v>74</v>
      </c>
      <c r="BI3291" s="1">
        <v>6</v>
      </c>
      <c r="BJ3291" s="1" t="s">
        <v>587</v>
      </c>
      <c r="BK3291" s="1" t="s">
        <v>172</v>
      </c>
      <c r="BL3291" s="1" t="s">
        <v>589</v>
      </c>
      <c r="BM3291" s="1" t="s">
        <v>52278</v>
      </c>
      <c r="BN3291" s="1" t="s">
        <v>74</v>
      </c>
      <c r="BO3291" s="1" t="s">
        <v>74</v>
      </c>
      <c r="BP3291" s="1" t="s">
        <v>74</v>
      </c>
      <c r="BQ3291" s="1" t="s">
        <v>74</v>
      </c>
      <c r="BR3291" s="1" t="s">
        <v>98</v>
      </c>
      <c r="BS3291" s="1" t="s">
        <v>52279</v>
      </c>
      <c r="BT3291" s="1" t="str">
        <f>HYPERLINK("https%3A%2F%2Fwww.webofscience.com%2Fwos%2Fwoscc%2Ffull-record%2FWOS:000089465000043","View Full Record in Web of Science")</f>
        <v>View Full Record in Web of Science</v>
      </c>
      <c r="BU3291" s="1"/>
      <c r="BV3291" s="1"/>
    </row>
    <row r="3292" spans="1:74">
      <c r="A3292" s="1" t="s">
        <v>72</v>
      </c>
      <c r="B3292" s="1" t="s">
        <v>52280</v>
      </c>
      <c r="C3292" s="1" t="s">
        <v>74</v>
      </c>
      <c r="D3292" s="1" t="s">
        <v>74</v>
      </c>
      <c r="E3292" s="1" t="s">
        <v>74</v>
      </c>
      <c r="F3292" s="1" t="s">
        <v>52280</v>
      </c>
      <c r="G3292" s="1" t="s">
        <v>74</v>
      </c>
      <c r="H3292" s="1" t="s">
        <v>74</v>
      </c>
      <c r="I3292" s="1" t="s">
        <v>52281</v>
      </c>
      <c r="J3292" s="1" t="s">
        <v>909</v>
      </c>
      <c r="K3292" s="1" t="s">
        <v>74</v>
      </c>
      <c r="L3292" s="1" t="s">
        <v>74</v>
      </c>
      <c r="M3292" s="1" t="s">
        <v>78</v>
      </c>
      <c r="N3292" s="1" t="s">
        <v>151</v>
      </c>
      <c r="O3292" s="1" t="s">
        <v>10493</v>
      </c>
      <c r="P3292" s="1" t="s">
        <v>10494</v>
      </c>
      <c r="Q3292" s="1" t="s">
        <v>10495</v>
      </c>
      <c r="R3292" s="1" t="s">
        <v>74</v>
      </c>
      <c r="S3292" s="1" t="s">
        <v>10496</v>
      </c>
      <c r="T3292" s="1" t="s">
        <v>52282</v>
      </c>
      <c r="U3292" s="1" t="s">
        <v>52283</v>
      </c>
      <c r="V3292" s="1" t="s">
        <v>52284</v>
      </c>
      <c r="W3292" s="1" t="s">
        <v>74</v>
      </c>
      <c r="X3292" s="1" t="s">
        <v>74</v>
      </c>
      <c r="Y3292" s="1" t="s">
        <v>52285</v>
      </c>
      <c r="Z3292" s="1" t="s">
        <v>74</v>
      </c>
      <c r="AA3292" s="1" t="s">
        <v>74</v>
      </c>
      <c r="AB3292" s="1" t="s">
        <v>74</v>
      </c>
      <c r="AC3292" s="1" t="s">
        <v>74</v>
      </c>
      <c r="AD3292" s="1" t="s">
        <v>74</v>
      </c>
      <c r="AE3292" s="1" t="s">
        <v>74</v>
      </c>
      <c r="AF3292" s="1" t="s">
        <v>74</v>
      </c>
      <c r="AG3292" s="1">
        <v>40</v>
      </c>
      <c r="AH3292" s="1">
        <v>19</v>
      </c>
      <c r="AI3292" s="1">
        <v>19</v>
      </c>
      <c r="AJ3292" s="1">
        <v>0</v>
      </c>
      <c r="AK3292" s="1">
        <v>8</v>
      </c>
      <c r="AL3292" s="1" t="s">
        <v>919</v>
      </c>
      <c r="AM3292" s="1" t="s">
        <v>651</v>
      </c>
      <c r="AN3292" s="1" t="s">
        <v>920</v>
      </c>
      <c r="AO3292" s="1" t="s">
        <v>921</v>
      </c>
      <c r="AP3292" s="1" t="s">
        <v>74</v>
      </c>
      <c r="AQ3292" s="1" t="s">
        <v>74</v>
      </c>
      <c r="AR3292" s="1" t="s">
        <v>923</v>
      </c>
      <c r="AS3292" s="1" t="s">
        <v>924</v>
      </c>
      <c r="AT3292" s="1" t="s">
        <v>10502</v>
      </c>
      <c r="AU3292" s="1">
        <v>1992</v>
      </c>
      <c r="AV3292" s="1">
        <v>125</v>
      </c>
      <c r="AW3292" s="1" t="s">
        <v>74</v>
      </c>
      <c r="AX3292" s="1" t="s">
        <v>74</v>
      </c>
      <c r="AY3292" s="1" t="s">
        <v>74</v>
      </c>
      <c r="AZ3292" s="1" t="s">
        <v>74</v>
      </c>
      <c r="BA3292" s="1" t="s">
        <v>74</v>
      </c>
      <c r="BB3292" s="1">
        <v>263</v>
      </c>
      <c r="BC3292" s="1">
        <v>288</v>
      </c>
      <c r="BD3292" s="1" t="s">
        <v>74</v>
      </c>
      <c r="BE3292" s="1" t="s">
        <v>52286</v>
      </c>
      <c r="BF3292" s="1" t="str">
        <f>HYPERLINK("http://dx.doi.org/10.1016/0048-9697(92)90396-A","http://dx.doi.org/10.1016/0048-9697(92)90396-A")</f>
        <v>http://dx.doi.org/10.1016/0048-9697(92)90396-A</v>
      </c>
      <c r="BG3292" s="1" t="s">
        <v>74</v>
      </c>
      <c r="BH3292" s="1" t="s">
        <v>74</v>
      </c>
      <c r="BI3292" s="1">
        <v>26</v>
      </c>
      <c r="BJ3292" s="1" t="s">
        <v>144</v>
      </c>
      <c r="BK3292" s="1" t="s">
        <v>588</v>
      </c>
      <c r="BL3292" s="1" t="s">
        <v>145</v>
      </c>
      <c r="BM3292" s="1" t="s">
        <v>10504</v>
      </c>
      <c r="BN3292" s="1" t="s">
        <v>74</v>
      </c>
      <c r="BO3292" s="1" t="s">
        <v>74</v>
      </c>
      <c r="BP3292" s="1" t="s">
        <v>74</v>
      </c>
      <c r="BQ3292" s="1" t="s">
        <v>74</v>
      </c>
      <c r="BR3292" s="1" t="s">
        <v>98</v>
      </c>
      <c r="BS3292" s="1" t="s">
        <v>52287</v>
      </c>
      <c r="BT3292" s="1" t="str">
        <f>HYPERLINK("https%3A%2F%2Fwww.webofscience.com%2Fwos%2Fwoscc%2Ffull-record%2FWOS:A1992JR72300021","View Full Record in Web of Science")</f>
        <v>View Full Record in Web of Science</v>
      </c>
      <c r="BU3292" s="1"/>
      <c r="BV3292" s="1"/>
    </row>
    <row r="3293" spans="1:74">
      <c r="A3293" s="1" t="s">
        <v>72</v>
      </c>
      <c r="B3293" s="1" t="s">
        <v>52288</v>
      </c>
      <c r="C3293" s="1" t="s">
        <v>74</v>
      </c>
      <c r="D3293" s="1" t="s">
        <v>74</v>
      </c>
      <c r="E3293" s="1" t="s">
        <v>74</v>
      </c>
      <c r="F3293" s="1" t="s">
        <v>52289</v>
      </c>
      <c r="G3293" s="1" t="s">
        <v>74</v>
      </c>
      <c r="H3293" s="1" t="s">
        <v>74</v>
      </c>
      <c r="I3293" s="1" t="s">
        <v>52290</v>
      </c>
      <c r="J3293" s="1" t="s">
        <v>641</v>
      </c>
      <c r="K3293" s="1" t="s">
        <v>74</v>
      </c>
      <c r="L3293" s="1" t="s">
        <v>74</v>
      </c>
      <c r="M3293" s="1" t="s">
        <v>78</v>
      </c>
      <c r="N3293" s="1" t="s">
        <v>79</v>
      </c>
      <c r="O3293" s="1" t="s">
        <v>74</v>
      </c>
      <c r="P3293" s="1" t="s">
        <v>74</v>
      </c>
      <c r="Q3293" s="1" t="s">
        <v>74</v>
      </c>
      <c r="R3293" s="1" t="s">
        <v>74</v>
      </c>
      <c r="S3293" s="1" t="s">
        <v>74</v>
      </c>
      <c r="T3293" s="1" t="s">
        <v>52291</v>
      </c>
      <c r="U3293" s="1" t="s">
        <v>52292</v>
      </c>
      <c r="V3293" s="1" t="s">
        <v>52293</v>
      </c>
      <c r="W3293" s="1" t="s">
        <v>52294</v>
      </c>
      <c r="X3293" s="1" t="s">
        <v>34972</v>
      </c>
      <c r="Y3293" s="1" t="s">
        <v>52295</v>
      </c>
      <c r="Z3293" s="1" t="s">
        <v>52296</v>
      </c>
      <c r="AA3293" s="1" t="s">
        <v>52297</v>
      </c>
      <c r="AB3293" s="1" t="s">
        <v>52298</v>
      </c>
      <c r="AC3293" s="1" t="s">
        <v>52299</v>
      </c>
      <c r="AD3293" s="1" t="s">
        <v>52299</v>
      </c>
      <c r="AE3293" s="1" t="s">
        <v>52300</v>
      </c>
      <c r="AF3293" s="1" t="s">
        <v>74</v>
      </c>
      <c r="AG3293" s="1">
        <v>45</v>
      </c>
      <c r="AH3293" s="1">
        <v>4</v>
      </c>
      <c r="AI3293" s="1">
        <v>4</v>
      </c>
      <c r="AJ3293" s="1">
        <v>1</v>
      </c>
      <c r="AK3293" s="1">
        <v>9</v>
      </c>
      <c r="AL3293" s="1" t="s">
        <v>650</v>
      </c>
      <c r="AM3293" s="1" t="s">
        <v>651</v>
      </c>
      <c r="AN3293" s="1" t="s">
        <v>652</v>
      </c>
      <c r="AO3293" s="1" t="s">
        <v>653</v>
      </c>
      <c r="AP3293" s="1" t="s">
        <v>654</v>
      </c>
      <c r="AQ3293" s="1" t="s">
        <v>74</v>
      </c>
      <c r="AR3293" s="1" t="s">
        <v>655</v>
      </c>
      <c r="AS3293" s="1" t="s">
        <v>656</v>
      </c>
      <c r="AT3293" s="1" t="s">
        <v>170</v>
      </c>
      <c r="AU3293" s="1">
        <v>2022</v>
      </c>
      <c r="AV3293" s="1">
        <v>246</v>
      </c>
      <c r="AW3293" s="1" t="s">
        <v>74</v>
      </c>
      <c r="AX3293" s="1" t="s">
        <v>74</v>
      </c>
      <c r="AY3293" s="1" t="s">
        <v>74</v>
      </c>
      <c r="AZ3293" s="1" t="s">
        <v>74</v>
      </c>
      <c r="BA3293" s="1" t="s">
        <v>74</v>
      </c>
      <c r="BB3293" s="1" t="s">
        <v>74</v>
      </c>
      <c r="BC3293" s="1" t="s">
        <v>74</v>
      </c>
      <c r="BD3293" s="1">
        <v>106152</v>
      </c>
      <c r="BE3293" s="1" t="s">
        <v>52301</v>
      </c>
      <c r="BF3293" s="1" t="str">
        <f>HYPERLINK("http://dx.doi.org/10.1016/j.aquatox.2022.106152","http://dx.doi.org/10.1016/j.aquatox.2022.106152")</f>
        <v>http://dx.doi.org/10.1016/j.aquatox.2022.106152</v>
      </c>
      <c r="BG3293" s="1" t="s">
        <v>74</v>
      </c>
      <c r="BH3293" s="1" t="s">
        <v>1291</v>
      </c>
      <c r="BI3293" s="1">
        <v>11</v>
      </c>
      <c r="BJ3293" s="1" t="s">
        <v>659</v>
      </c>
      <c r="BK3293" s="1" t="s">
        <v>96</v>
      </c>
      <c r="BL3293" s="1" t="s">
        <v>659</v>
      </c>
      <c r="BM3293" s="1" t="s">
        <v>52302</v>
      </c>
      <c r="BN3293" s="1">
        <v>35381413</v>
      </c>
      <c r="BO3293" s="1" t="s">
        <v>18961</v>
      </c>
      <c r="BP3293" s="1" t="s">
        <v>74</v>
      </c>
      <c r="BQ3293" s="1" t="s">
        <v>74</v>
      </c>
      <c r="BR3293" s="1" t="s">
        <v>98</v>
      </c>
      <c r="BS3293" s="1" t="s">
        <v>52303</v>
      </c>
      <c r="BT3293" s="1" t="str">
        <f>HYPERLINK("https%3A%2F%2Fwww.webofscience.com%2Fwos%2Fwoscc%2Ffull-record%2FWOS:000787949200004","View Full Record in Web of Science")</f>
        <v>View Full Record in Web of Science</v>
      </c>
      <c r="BU3293" s="1"/>
      <c r="BV3293" s="1"/>
    </row>
    <row r="3294" spans="1:74">
      <c r="A3294" s="1" t="s">
        <v>72</v>
      </c>
      <c r="B3294" s="1" t="s">
        <v>52304</v>
      </c>
      <c r="C3294" s="1" t="s">
        <v>74</v>
      </c>
      <c r="D3294" s="1" t="s">
        <v>74</v>
      </c>
      <c r="E3294" s="1" t="s">
        <v>74</v>
      </c>
      <c r="F3294" s="1" t="s">
        <v>52305</v>
      </c>
      <c r="G3294" s="1" t="s">
        <v>74</v>
      </c>
      <c r="H3294" s="1" t="s">
        <v>74</v>
      </c>
      <c r="I3294" s="1" t="s">
        <v>52306</v>
      </c>
      <c r="J3294" s="1" t="s">
        <v>421</v>
      </c>
      <c r="K3294" s="1" t="s">
        <v>74</v>
      </c>
      <c r="L3294" s="1" t="s">
        <v>74</v>
      </c>
      <c r="M3294" s="1" t="s">
        <v>78</v>
      </c>
      <c r="N3294" s="1" t="s">
        <v>79</v>
      </c>
      <c r="O3294" s="1" t="s">
        <v>74</v>
      </c>
      <c r="P3294" s="1" t="s">
        <v>74</v>
      </c>
      <c r="Q3294" s="1" t="s">
        <v>74</v>
      </c>
      <c r="R3294" s="1" t="s">
        <v>74</v>
      </c>
      <c r="S3294" s="1" t="s">
        <v>74</v>
      </c>
      <c r="T3294" s="1" t="s">
        <v>52307</v>
      </c>
      <c r="U3294" s="1" t="s">
        <v>52308</v>
      </c>
      <c r="V3294" s="1" t="s">
        <v>52309</v>
      </c>
      <c r="W3294" s="1" t="s">
        <v>52310</v>
      </c>
      <c r="X3294" s="1" t="s">
        <v>52311</v>
      </c>
      <c r="Y3294" s="1" t="s">
        <v>52312</v>
      </c>
      <c r="Z3294" s="1" t="s">
        <v>52313</v>
      </c>
      <c r="AA3294" s="1" t="s">
        <v>11730</v>
      </c>
      <c r="AB3294" s="1" t="s">
        <v>52314</v>
      </c>
      <c r="AC3294" s="1" t="s">
        <v>52315</v>
      </c>
      <c r="AD3294" s="1" t="s">
        <v>52315</v>
      </c>
      <c r="AE3294" s="1" t="s">
        <v>52316</v>
      </c>
      <c r="AF3294" s="1" t="s">
        <v>74</v>
      </c>
      <c r="AG3294" s="1">
        <v>63</v>
      </c>
      <c r="AH3294" s="1">
        <v>5</v>
      </c>
      <c r="AI3294" s="1">
        <v>5</v>
      </c>
      <c r="AJ3294" s="1">
        <v>3</v>
      </c>
      <c r="AK3294" s="1">
        <v>20</v>
      </c>
      <c r="AL3294" s="1" t="s">
        <v>430</v>
      </c>
      <c r="AM3294" s="1" t="s">
        <v>137</v>
      </c>
      <c r="AN3294" s="1" t="s">
        <v>431</v>
      </c>
      <c r="AO3294" s="1" t="s">
        <v>432</v>
      </c>
      <c r="AP3294" s="1" t="s">
        <v>1394</v>
      </c>
      <c r="AQ3294" s="1" t="s">
        <v>74</v>
      </c>
      <c r="AR3294" s="1" t="s">
        <v>433</v>
      </c>
      <c r="AS3294" s="1" t="s">
        <v>434</v>
      </c>
      <c r="AT3294" s="1" t="s">
        <v>2257</v>
      </c>
      <c r="AU3294" s="1">
        <v>2022</v>
      </c>
      <c r="AV3294" s="1">
        <v>306</v>
      </c>
      <c r="AW3294" s="1" t="s">
        <v>74</v>
      </c>
      <c r="AX3294" s="1" t="s">
        <v>74</v>
      </c>
      <c r="AY3294" s="1" t="s">
        <v>74</v>
      </c>
      <c r="AZ3294" s="1" t="s">
        <v>74</v>
      </c>
      <c r="BA3294" s="1" t="s">
        <v>74</v>
      </c>
      <c r="BB3294" s="1" t="s">
        <v>74</v>
      </c>
      <c r="BC3294" s="1" t="s">
        <v>74</v>
      </c>
      <c r="BD3294" s="1">
        <v>119455</v>
      </c>
      <c r="BE3294" s="1" t="s">
        <v>52317</v>
      </c>
      <c r="BF3294" s="1" t="str">
        <f>HYPERLINK("http://dx.doi.org/10.1016/j.envpol.2022.119455","http://dx.doi.org/10.1016/j.envpol.2022.119455")</f>
        <v>http://dx.doi.org/10.1016/j.envpol.2022.119455</v>
      </c>
      <c r="BG3294" s="1" t="s">
        <v>74</v>
      </c>
      <c r="BH3294" s="1" t="s">
        <v>2765</v>
      </c>
      <c r="BI3294" s="1">
        <v>11</v>
      </c>
      <c r="BJ3294" s="1" t="s">
        <v>144</v>
      </c>
      <c r="BK3294" s="1" t="s">
        <v>96</v>
      </c>
      <c r="BL3294" s="1" t="s">
        <v>145</v>
      </c>
      <c r="BM3294" s="1" t="s">
        <v>52318</v>
      </c>
      <c r="BN3294" s="1">
        <v>35569623</v>
      </c>
      <c r="BO3294" s="1" t="s">
        <v>476</v>
      </c>
      <c r="BP3294" s="1" t="s">
        <v>74</v>
      </c>
      <c r="BQ3294" s="1" t="s">
        <v>74</v>
      </c>
      <c r="BR3294" s="1" t="s">
        <v>98</v>
      </c>
      <c r="BS3294" s="1" t="s">
        <v>52319</v>
      </c>
      <c r="BT3294" s="1" t="str">
        <f>HYPERLINK("https%3A%2F%2Fwww.webofscience.com%2Fwos%2Fwoscc%2Ffull-record%2FWOS:000879483600005","View Full Record in Web of Science")</f>
        <v>View Full Record in Web of Science</v>
      </c>
      <c r="BU3294" s="1"/>
      <c r="BV3294" s="1"/>
    </row>
    <row r="3295" spans="1:74">
      <c r="A3295" s="1" t="s">
        <v>72</v>
      </c>
      <c r="B3295" s="1" t="s">
        <v>52320</v>
      </c>
      <c r="C3295" s="1" t="s">
        <v>74</v>
      </c>
      <c r="D3295" s="1" t="s">
        <v>74</v>
      </c>
      <c r="E3295" s="1" t="s">
        <v>74</v>
      </c>
      <c r="F3295" s="1" t="s">
        <v>52321</v>
      </c>
      <c r="G3295" s="1" t="s">
        <v>74</v>
      </c>
      <c r="H3295" s="1" t="s">
        <v>74</v>
      </c>
      <c r="I3295" s="1" t="s">
        <v>52322</v>
      </c>
      <c r="J3295" s="1" t="s">
        <v>421</v>
      </c>
      <c r="K3295" s="1" t="s">
        <v>74</v>
      </c>
      <c r="L3295" s="1" t="s">
        <v>74</v>
      </c>
      <c r="M3295" s="1" t="s">
        <v>78</v>
      </c>
      <c r="N3295" s="1" t="s">
        <v>79</v>
      </c>
      <c r="O3295" s="1" t="s">
        <v>74</v>
      </c>
      <c r="P3295" s="1" t="s">
        <v>74</v>
      </c>
      <c r="Q3295" s="1" t="s">
        <v>74</v>
      </c>
      <c r="R3295" s="1" t="s">
        <v>74</v>
      </c>
      <c r="S3295" s="1" t="s">
        <v>74</v>
      </c>
      <c r="T3295" s="1" t="s">
        <v>52323</v>
      </c>
      <c r="U3295" s="1" t="s">
        <v>52324</v>
      </c>
      <c r="V3295" s="1" t="s">
        <v>52325</v>
      </c>
      <c r="W3295" s="1" t="s">
        <v>52326</v>
      </c>
      <c r="X3295" s="1" t="s">
        <v>52327</v>
      </c>
      <c r="Y3295" s="1" t="s">
        <v>52328</v>
      </c>
      <c r="Z3295" s="1" t="s">
        <v>36471</v>
      </c>
      <c r="AA3295" s="1" t="s">
        <v>52329</v>
      </c>
      <c r="AB3295" s="1" t="s">
        <v>52330</v>
      </c>
      <c r="AC3295" s="1" t="s">
        <v>52331</v>
      </c>
      <c r="AD3295" s="1" t="s">
        <v>52332</v>
      </c>
      <c r="AE3295" s="1" t="s">
        <v>52333</v>
      </c>
      <c r="AF3295" s="1" t="s">
        <v>74</v>
      </c>
      <c r="AG3295" s="1">
        <v>61</v>
      </c>
      <c r="AH3295" s="1">
        <v>40</v>
      </c>
      <c r="AI3295" s="1">
        <v>45</v>
      </c>
      <c r="AJ3295" s="1">
        <v>0</v>
      </c>
      <c r="AK3295" s="1">
        <v>112</v>
      </c>
      <c r="AL3295" s="1" t="s">
        <v>430</v>
      </c>
      <c r="AM3295" s="1" t="s">
        <v>137</v>
      </c>
      <c r="AN3295" s="1" t="s">
        <v>431</v>
      </c>
      <c r="AO3295" s="1" t="s">
        <v>432</v>
      </c>
      <c r="AP3295" s="1" t="s">
        <v>1394</v>
      </c>
      <c r="AQ3295" s="1" t="s">
        <v>74</v>
      </c>
      <c r="AR3295" s="1" t="s">
        <v>433</v>
      </c>
      <c r="AS3295" s="1" t="s">
        <v>434</v>
      </c>
      <c r="AT3295" s="1" t="s">
        <v>305</v>
      </c>
      <c r="AU3295" s="1">
        <v>2014</v>
      </c>
      <c r="AV3295" s="1">
        <v>192</v>
      </c>
      <c r="AW3295" s="1" t="s">
        <v>74</v>
      </c>
      <c r="AX3295" s="1" t="s">
        <v>74</v>
      </c>
      <c r="AY3295" s="1" t="s">
        <v>74</v>
      </c>
      <c r="AZ3295" s="1" t="s">
        <v>74</v>
      </c>
      <c r="BA3295" s="1" t="s">
        <v>74</v>
      </c>
      <c r="BB3295" s="1">
        <v>27</v>
      </c>
      <c r="BC3295" s="1">
        <v>35</v>
      </c>
      <c r="BD3295" s="1" t="s">
        <v>74</v>
      </c>
      <c r="BE3295" s="1" t="s">
        <v>52334</v>
      </c>
      <c r="BF3295" s="1" t="str">
        <f>HYPERLINK("http://dx.doi.org/10.1016/j.envpol.2014.05.004","http://dx.doi.org/10.1016/j.envpol.2014.05.004")</f>
        <v>http://dx.doi.org/10.1016/j.envpol.2014.05.004</v>
      </c>
      <c r="BG3295" s="1" t="s">
        <v>74</v>
      </c>
      <c r="BH3295" s="1" t="s">
        <v>74</v>
      </c>
      <c r="BI3295" s="1">
        <v>9</v>
      </c>
      <c r="BJ3295" s="1" t="s">
        <v>144</v>
      </c>
      <c r="BK3295" s="1" t="s">
        <v>96</v>
      </c>
      <c r="BL3295" s="1" t="s">
        <v>145</v>
      </c>
      <c r="BM3295" s="1" t="s">
        <v>13496</v>
      </c>
      <c r="BN3295" s="1">
        <v>24880533</v>
      </c>
      <c r="BO3295" s="1" t="s">
        <v>74</v>
      </c>
      <c r="BP3295" s="1" t="s">
        <v>74</v>
      </c>
      <c r="BQ3295" s="1" t="s">
        <v>74</v>
      </c>
      <c r="BR3295" s="1" t="s">
        <v>98</v>
      </c>
      <c r="BS3295" s="1" t="s">
        <v>52335</v>
      </c>
      <c r="BT3295" s="1" t="str">
        <f>HYPERLINK("https%3A%2F%2Fwww.webofscience.com%2Fwos%2Fwoscc%2Ffull-record%2FWOS:000339774200004","View Full Record in Web of Science")</f>
        <v>View Full Record in Web of Science</v>
      </c>
      <c r="BU3295" s="1"/>
      <c r="BV3295" s="1"/>
    </row>
    <row r="3296" spans="1:74">
      <c r="A3296" s="1" t="s">
        <v>72</v>
      </c>
      <c r="B3296" s="1" t="s">
        <v>52336</v>
      </c>
      <c r="C3296" s="1" t="s">
        <v>74</v>
      </c>
      <c r="D3296" s="1" t="s">
        <v>74</v>
      </c>
      <c r="E3296" s="1" t="s">
        <v>74</v>
      </c>
      <c r="F3296" s="1" t="s">
        <v>52337</v>
      </c>
      <c r="G3296" s="1" t="s">
        <v>74</v>
      </c>
      <c r="H3296" s="1" t="s">
        <v>74</v>
      </c>
      <c r="I3296" s="1" t="s">
        <v>52338</v>
      </c>
      <c r="J3296" s="1" t="s">
        <v>909</v>
      </c>
      <c r="K3296" s="1" t="s">
        <v>74</v>
      </c>
      <c r="L3296" s="1" t="s">
        <v>74</v>
      </c>
      <c r="M3296" s="1" t="s">
        <v>78</v>
      </c>
      <c r="N3296" s="1" t="s">
        <v>79</v>
      </c>
      <c r="O3296" s="1" t="s">
        <v>74</v>
      </c>
      <c r="P3296" s="1" t="s">
        <v>74</v>
      </c>
      <c r="Q3296" s="1" t="s">
        <v>74</v>
      </c>
      <c r="R3296" s="1" t="s">
        <v>74</v>
      </c>
      <c r="S3296" s="1" t="s">
        <v>74</v>
      </c>
      <c r="T3296" s="1" t="s">
        <v>52339</v>
      </c>
      <c r="U3296" s="1" t="s">
        <v>52340</v>
      </c>
      <c r="V3296" s="1" t="s">
        <v>52341</v>
      </c>
      <c r="W3296" s="1" t="s">
        <v>52342</v>
      </c>
      <c r="X3296" s="1" t="s">
        <v>52343</v>
      </c>
      <c r="Y3296" s="1" t="s">
        <v>52344</v>
      </c>
      <c r="Z3296" s="1" t="s">
        <v>52345</v>
      </c>
      <c r="AA3296" s="1" t="s">
        <v>74</v>
      </c>
      <c r="AB3296" s="1" t="s">
        <v>52346</v>
      </c>
      <c r="AC3296" s="1" t="s">
        <v>52347</v>
      </c>
      <c r="AD3296" s="1" t="s">
        <v>52348</v>
      </c>
      <c r="AE3296" s="1" t="s">
        <v>52349</v>
      </c>
      <c r="AF3296" s="1" t="s">
        <v>74</v>
      </c>
      <c r="AG3296" s="1">
        <v>57</v>
      </c>
      <c r="AH3296" s="1">
        <v>13</v>
      </c>
      <c r="AI3296" s="1">
        <v>13</v>
      </c>
      <c r="AJ3296" s="1">
        <v>12</v>
      </c>
      <c r="AK3296" s="1">
        <v>42</v>
      </c>
      <c r="AL3296" s="1" t="s">
        <v>919</v>
      </c>
      <c r="AM3296" s="1" t="s">
        <v>651</v>
      </c>
      <c r="AN3296" s="1" t="s">
        <v>920</v>
      </c>
      <c r="AO3296" s="1" t="s">
        <v>921</v>
      </c>
      <c r="AP3296" s="1" t="s">
        <v>922</v>
      </c>
      <c r="AQ3296" s="1" t="s">
        <v>74</v>
      </c>
      <c r="AR3296" s="1" t="s">
        <v>923</v>
      </c>
      <c r="AS3296" s="1" t="s">
        <v>924</v>
      </c>
      <c r="AT3296" s="1" t="s">
        <v>11873</v>
      </c>
      <c r="AU3296" s="1">
        <v>2017</v>
      </c>
      <c r="AV3296" s="1">
        <v>575</v>
      </c>
      <c r="AW3296" s="1" t="s">
        <v>74</v>
      </c>
      <c r="AX3296" s="1" t="s">
        <v>74</v>
      </c>
      <c r="AY3296" s="1" t="s">
        <v>74</v>
      </c>
      <c r="AZ3296" s="1" t="s">
        <v>74</v>
      </c>
      <c r="BA3296" s="1" t="s">
        <v>74</v>
      </c>
      <c r="BB3296" s="1">
        <v>1279</v>
      </c>
      <c r="BC3296" s="1">
        <v>1290</v>
      </c>
      <c r="BD3296" s="1" t="s">
        <v>74</v>
      </c>
      <c r="BE3296" s="1" t="s">
        <v>52350</v>
      </c>
      <c r="BF3296" s="1" t="str">
        <f>HYPERLINK("http://dx.doi.org/10.1016/j.scitotenv.2016.09.202","http://dx.doi.org/10.1016/j.scitotenv.2016.09.202")</f>
        <v>http://dx.doi.org/10.1016/j.scitotenv.2016.09.202</v>
      </c>
      <c r="BG3296" s="1" t="s">
        <v>74</v>
      </c>
      <c r="BH3296" s="1" t="s">
        <v>74</v>
      </c>
      <c r="BI3296" s="1">
        <v>12</v>
      </c>
      <c r="BJ3296" s="1" t="s">
        <v>144</v>
      </c>
      <c r="BK3296" s="1" t="s">
        <v>96</v>
      </c>
      <c r="BL3296" s="1" t="s">
        <v>145</v>
      </c>
      <c r="BM3296" s="1" t="s">
        <v>52351</v>
      </c>
      <c r="BN3296" s="1">
        <v>27707664</v>
      </c>
      <c r="BO3296" s="1" t="s">
        <v>52352</v>
      </c>
      <c r="BP3296" s="1" t="s">
        <v>74</v>
      </c>
      <c r="BQ3296" s="1" t="s">
        <v>74</v>
      </c>
      <c r="BR3296" s="1" t="s">
        <v>98</v>
      </c>
      <c r="BS3296" s="1" t="s">
        <v>52353</v>
      </c>
      <c r="BT3296" s="1" t="str">
        <f>HYPERLINK("https%3A%2F%2Fwww.webofscience.com%2Fwos%2Fwoscc%2Ffull-record%2FWOS:000390373400129","View Full Record in Web of Science")</f>
        <v>View Full Record in Web of Science</v>
      </c>
      <c r="BU3296" s="1"/>
      <c r="BV3296" s="1"/>
    </row>
    <row r="3297" spans="1:74">
      <c r="A3297" s="1" t="s">
        <v>72</v>
      </c>
      <c r="B3297" s="1" t="s">
        <v>52354</v>
      </c>
      <c r="C3297" s="1" t="s">
        <v>74</v>
      </c>
      <c r="D3297" s="1" t="s">
        <v>74</v>
      </c>
      <c r="E3297" s="1" t="s">
        <v>74</v>
      </c>
      <c r="F3297" s="1" t="s">
        <v>52355</v>
      </c>
      <c r="G3297" s="1" t="s">
        <v>74</v>
      </c>
      <c r="H3297" s="1" t="s">
        <v>74</v>
      </c>
      <c r="I3297" s="1" t="s">
        <v>52356</v>
      </c>
      <c r="J3297" s="1" t="s">
        <v>179</v>
      </c>
      <c r="K3297" s="1" t="s">
        <v>74</v>
      </c>
      <c r="L3297" s="1" t="s">
        <v>74</v>
      </c>
      <c r="M3297" s="1" t="s">
        <v>78</v>
      </c>
      <c r="N3297" s="1" t="s">
        <v>79</v>
      </c>
      <c r="O3297" s="1" t="s">
        <v>74</v>
      </c>
      <c r="P3297" s="1" t="s">
        <v>74</v>
      </c>
      <c r="Q3297" s="1" t="s">
        <v>74</v>
      </c>
      <c r="R3297" s="1" t="s">
        <v>74</v>
      </c>
      <c r="S3297" s="1" t="s">
        <v>74</v>
      </c>
      <c r="T3297" s="1" t="s">
        <v>52357</v>
      </c>
      <c r="U3297" s="1" t="s">
        <v>52358</v>
      </c>
      <c r="V3297" s="1" t="s">
        <v>52359</v>
      </c>
      <c r="W3297" s="1" t="s">
        <v>52360</v>
      </c>
      <c r="X3297" s="1" t="s">
        <v>52361</v>
      </c>
      <c r="Y3297" s="1" t="s">
        <v>52362</v>
      </c>
      <c r="Z3297" s="1" t="s">
        <v>52363</v>
      </c>
      <c r="AA3297" s="1" t="s">
        <v>52364</v>
      </c>
      <c r="AB3297" s="1" t="s">
        <v>52365</v>
      </c>
      <c r="AC3297" s="1" t="s">
        <v>52366</v>
      </c>
      <c r="AD3297" s="1" t="s">
        <v>52367</v>
      </c>
      <c r="AE3297" s="1" t="s">
        <v>52368</v>
      </c>
      <c r="AF3297" s="1" t="s">
        <v>74</v>
      </c>
      <c r="AG3297" s="1">
        <v>123</v>
      </c>
      <c r="AH3297" s="1">
        <v>1</v>
      </c>
      <c r="AI3297" s="1">
        <v>1</v>
      </c>
      <c r="AJ3297" s="1">
        <v>1</v>
      </c>
      <c r="AK3297" s="1">
        <v>9</v>
      </c>
      <c r="AL3297" s="1" t="s">
        <v>112</v>
      </c>
      <c r="AM3297" s="1" t="s">
        <v>191</v>
      </c>
      <c r="AN3297" s="1" t="s">
        <v>192</v>
      </c>
      <c r="AO3297" s="1" t="s">
        <v>193</v>
      </c>
      <c r="AP3297" s="1" t="s">
        <v>194</v>
      </c>
      <c r="AQ3297" s="1" t="s">
        <v>74</v>
      </c>
      <c r="AR3297" s="1" t="s">
        <v>195</v>
      </c>
      <c r="AS3297" s="1" t="s">
        <v>196</v>
      </c>
      <c r="AT3297" s="1" t="s">
        <v>119</v>
      </c>
      <c r="AU3297" s="1">
        <v>2022</v>
      </c>
      <c r="AV3297" s="1">
        <v>194</v>
      </c>
      <c r="AW3297" s="1">
        <v>8</v>
      </c>
      <c r="AX3297" s="1" t="s">
        <v>74</v>
      </c>
      <c r="AY3297" s="1" t="s">
        <v>74</v>
      </c>
      <c r="AZ3297" s="1" t="s">
        <v>74</v>
      </c>
      <c r="BA3297" s="1" t="s">
        <v>74</v>
      </c>
      <c r="BB3297" s="1" t="s">
        <v>74</v>
      </c>
      <c r="BC3297" s="1" t="s">
        <v>74</v>
      </c>
      <c r="BD3297" s="1">
        <v>567</v>
      </c>
      <c r="BE3297" s="1" t="s">
        <v>52369</v>
      </c>
      <c r="BF3297" s="1" t="str">
        <f>HYPERLINK("http://dx.doi.org/10.1007/s10661-022-10238-x","http://dx.doi.org/10.1007/s10661-022-10238-x")</f>
        <v>http://dx.doi.org/10.1007/s10661-022-10238-x</v>
      </c>
      <c r="BG3297" s="1" t="s">
        <v>74</v>
      </c>
      <c r="BH3297" s="1" t="s">
        <v>74</v>
      </c>
      <c r="BI3297" s="1">
        <v>23</v>
      </c>
      <c r="BJ3297" s="1" t="s">
        <v>144</v>
      </c>
      <c r="BK3297" s="1" t="s">
        <v>96</v>
      </c>
      <c r="BL3297" s="1" t="s">
        <v>145</v>
      </c>
      <c r="BM3297" s="1" t="s">
        <v>52370</v>
      </c>
      <c r="BN3297" s="1">
        <v>35792964</v>
      </c>
      <c r="BO3297" s="1" t="s">
        <v>74</v>
      </c>
      <c r="BP3297" s="1" t="s">
        <v>74</v>
      </c>
      <c r="BQ3297" s="1" t="s">
        <v>74</v>
      </c>
      <c r="BR3297" s="1" t="s">
        <v>98</v>
      </c>
      <c r="BS3297" s="1" t="s">
        <v>52371</v>
      </c>
      <c r="BT3297" s="1" t="str">
        <f>HYPERLINK("https%3A%2F%2Fwww.webofscience.com%2Fwos%2Fwoscc%2Ffull-record%2FWOS:000821602100002","View Full Record in Web of Science")</f>
        <v>View Full Record in Web of Science</v>
      </c>
      <c r="BU3297" s="1"/>
      <c r="BV3297" s="1"/>
    </row>
    <row r="3298" spans="1:74">
      <c r="A3298" s="1" t="s">
        <v>72</v>
      </c>
      <c r="B3298" s="1" t="s">
        <v>52372</v>
      </c>
      <c r="C3298" s="1" t="s">
        <v>74</v>
      </c>
      <c r="D3298" s="1" t="s">
        <v>74</v>
      </c>
      <c r="E3298" s="1" t="s">
        <v>74</v>
      </c>
      <c r="F3298" s="1" t="s">
        <v>52372</v>
      </c>
      <c r="G3298" s="1" t="s">
        <v>74</v>
      </c>
      <c r="H3298" s="1" t="s">
        <v>74</v>
      </c>
      <c r="I3298" s="1" t="s">
        <v>52373</v>
      </c>
      <c r="J3298" s="1" t="s">
        <v>998</v>
      </c>
      <c r="K3298" s="1" t="s">
        <v>74</v>
      </c>
      <c r="L3298" s="1" t="s">
        <v>74</v>
      </c>
      <c r="M3298" s="1" t="s">
        <v>78</v>
      </c>
      <c r="N3298" s="1" t="s">
        <v>79</v>
      </c>
      <c r="O3298" s="1" t="s">
        <v>74</v>
      </c>
      <c r="P3298" s="1" t="s">
        <v>74</v>
      </c>
      <c r="Q3298" s="1" t="s">
        <v>74</v>
      </c>
      <c r="R3298" s="1" t="s">
        <v>74</v>
      </c>
      <c r="S3298" s="1" t="s">
        <v>74</v>
      </c>
      <c r="T3298" s="1" t="s">
        <v>74</v>
      </c>
      <c r="U3298" s="1" t="s">
        <v>52374</v>
      </c>
      <c r="V3298" s="1" t="s">
        <v>52375</v>
      </c>
      <c r="W3298" s="1" t="s">
        <v>26851</v>
      </c>
      <c r="X3298" s="1" t="s">
        <v>26852</v>
      </c>
      <c r="Y3298" s="1" t="s">
        <v>26853</v>
      </c>
      <c r="Z3298" s="1" t="s">
        <v>74</v>
      </c>
      <c r="AA3298" s="1" t="s">
        <v>11730</v>
      </c>
      <c r="AB3298" s="1" t="s">
        <v>74</v>
      </c>
      <c r="AC3298" s="1" t="s">
        <v>74</v>
      </c>
      <c r="AD3298" s="1" t="s">
        <v>74</v>
      </c>
      <c r="AE3298" s="1" t="s">
        <v>74</v>
      </c>
      <c r="AF3298" s="1" t="s">
        <v>74</v>
      </c>
      <c r="AG3298" s="1">
        <v>32</v>
      </c>
      <c r="AH3298" s="1">
        <v>13</v>
      </c>
      <c r="AI3298" s="1">
        <v>13</v>
      </c>
      <c r="AJ3298" s="1">
        <v>0</v>
      </c>
      <c r="AK3298" s="1">
        <v>4</v>
      </c>
      <c r="AL3298" s="1" t="s">
        <v>6584</v>
      </c>
      <c r="AM3298" s="1" t="s">
        <v>113</v>
      </c>
      <c r="AN3298" s="1" t="s">
        <v>2719</v>
      </c>
      <c r="AO3298" s="1" t="s">
        <v>1009</v>
      </c>
      <c r="AP3298" s="1" t="s">
        <v>74</v>
      </c>
      <c r="AQ3298" s="1" t="s">
        <v>74</v>
      </c>
      <c r="AR3298" s="1" t="s">
        <v>1010</v>
      </c>
      <c r="AS3298" s="1" t="s">
        <v>1011</v>
      </c>
      <c r="AT3298" s="1" t="s">
        <v>170</v>
      </c>
      <c r="AU3298" s="1">
        <v>1998</v>
      </c>
      <c r="AV3298" s="1">
        <v>34</v>
      </c>
      <c r="AW3298" s="1">
        <v>4</v>
      </c>
      <c r="AX3298" s="1" t="s">
        <v>74</v>
      </c>
      <c r="AY3298" s="1" t="s">
        <v>74</v>
      </c>
      <c r="AZ3298" s="1" t="s">
        <v>74</v>
      </c>
      <c r="BA3298" s="1" t="s">
        <v>74</v>
      </c>
      <c r="BB3298" s="1">
        <v>357</v>
      </c>
      <c r="BC3298" s="1">
        <v>363</v>
      </c>
      <c r="BD3298" s="1" t="s">
        <v>74</v>
      </c>
      <c r="BE3298" s="1" t="s">
        <v>52376</v>
      </c>
      <c r="BF3298" s="1" t="str">
        <f>HYPERLINK("http://dx.doi.org/10.1007/s002449900330","http://dx.doi.org/10.1007/s002449900330")</f>
        <v>http://dx.doi.org/10.1007/s002449900330</v>
      </c>
      <c r="BG3298" s="1" t="s">
        <v>74</v>
      </c>
      <c r="BH3298" s="1" t="s">
        <v>74</v>
      </c>
      <c r="BI3298" s="1">
        <v>7</v>
      </c>
      <c r="BJ3298" s="1" t="s">
        <v>121</v>
      </c>
      <c r="BK3298" s="1" t="s">
        <v>96</v>
      </c>
      <c r="BL3298" s="1" t="s">
        <v>122</v>
      </c>
      <c r="BM3298" s="1" t="s">
        <v>52377</v>
      </c>
      <c r="BN3298" s="1">
        <v>9543505</v>
      </c>
      <c r="BO3298" s="1" t="s">
        <v>74</v>
      </c>
      <c r="BP3298" s="1" t="s">
        <v>74</v>
      </c>
      <c r="BQ3298" s="1" t="s">
        <v>74</v>
      </c>
      <c r="BR3298" s="1" t="s">
        <v>98</v>
      </c>
      <c r="BS3298" s="1" t="s">
        <v>52378</v>
      </c>
      <c r="BT3298" s="1" t="str">
        <f>HYPERLINK("https%3A%2F%2Fwww.webofscience.com%2Fwos%2Fwoscc%2Ffull-record%2FWOS:000072850500007","View Full Record in Web of Science")</f>
        <v>View Full Record in Web of Science</v>
      </c>
      <c r="BU3298" s="1"/>
      <c r="BV3298" s="1"/>
    </row>
    <row r="3299" spans="1:74">
      <c r="A3299" s="1" t="s">
        <v>72</v>
      </c>
      <c r="B3299" s="1" t="s">
        <v>52379</v>
      </c>
      <c r="C3299" s="1" t="s">
        <v>74</v>
      </c>
      <c r="D3299" s="1" t="s">
        <v>74</v>
      </c>
      <c r="E3299" s="1" t="s">
        <v>74</v>
      </c>
      <c r="F3299" s="1" t="s">
        <v>52380</v>
      </c>
      <c r="G3299" s="1" t="s">
        <v>74</v>
      </c>
      <c r="H3299" s="1" t="s">
        <v>74</v>
      </c>
      <c r="I3299" s="1" t="s">
        <v>52381</v>
      </c>
      <c r="J3299" s="1" t="s">
        <v>909</v>
      </c>
      <c r="K3299" s="1" t="s">
        <v>74</v>
      </c>
      <c r="L3299" s="1" t="s">
        <v>74</v>
      </c>
      <c r="M3299" s="1" t="s">
        <v>78</v>
      </c>
      <c r="N3299" s="1" t="s">
        <v>79</v>
      </c>
      <c r="O3299" s="1" t="s">
        <v>74</v>
      </c>
      <c r="P3299" s="1" t="s">
        <v>74</v>
      </c>
      <c r="Q3299" s="1" t="s">
        <v>74</v>
      </c>
      <c r="R3299" s="1" t="s">
        <v>74</v>
      </c>
      <c r="S3299" s="1" t="s">
        <v>74</v>
      </c>
      <c r="T3299" s="1" t="s">
        <v>52382</v>
      </c>
      <c r="U3299" s="1" t="s">
        <v>52383</v>
      </c>
      <c r="V3299" s="1" t="s">
        <v>52384</v>
      </c>
      <c r="W3299" s="1" t="s">
        <v>52385</v>
      </c>
      <c r="X3299" s="1" t="s">
        <v>52386</v>
      </c>
      <c r="Y3299" s="1" t="s">
        <v>23805</v>
      </c>
      <c r="Z3299" s="1" t="s">
        <v>9288</v>
      </c>
      <c r="AA3299" s="1" t="s">
        <v>52387</v>
      </c>
      <c r="AB3299" s="1" t="s">
        <v>52388</v>
      </c>
      <c r="AC3299" s="1" t="s">
        <v>52389</v>
      </c>
      <c r="AD3299" s="1" t="s">
        <v>52390</v>
      </c>
      <c r="AE3299" s="1" t="s">
        <v>52391</v>
      </c>
      <c r="AF3299" s="1" t="s">
        <v>74</v>
      </c>
      <c r="AG3299" s="1">
        <v>126</v>
      </c>
      <c r="AH3299" s="1">
        <v>47</v>
      </c>
      <c r="AI3299" s="1">
        <v>50</v>
      </c>
      <c r="AJ3299" s="1">
        <v>1</v>
      </c>
      <c r="AK3299" s="1">
        <v>118</v>
      </c>
      <c r="AL3299" s="1" t="s">
        <v>650</v>
      </c>
      <c r="AM3299" s="1" t="s">
        <v>651</v>
      </c>
      <c r="AN3299" s="1" t="s">
        <v>652</v>
      </c>
      <c r="AO3299" s="1" t="s">
        <v>921</v>
      </c>
      <c r="AP3299" s="1" t="s">
        <v>922</v>
      </c>
      <c r="AQ3299" s="1" t="s">
        <v>74</v>
      </c>
      <c r="AR3299" s="1" t="s">
        <v>923</v>
      </c>
      <c r="AS3299" s="1" t="s">
        <v>924</v>
      </c>
      <c r="AT3299" s="1" t="s">
        <v>3542</v>
      </c>
      <c r="AU3299" s="1">
        <v>2017</v>
      </c>
      <c r="AV3299" s="1">
        <v>595</v>
      </c>
      <c r="AW3299" s="1" t="s">
        <v>74</v>
      </c>
      <c r="AX3299" s="1" t="s">
        <v>74</v>
      </c>
      <c r="AY3299" s="1" t="s">
        <v>74</v>
      </c>
      <c r="AZ3299" s="1" t="s">
        <v>74</v>
      </c>
      <c r="BA3299" s="1" t="s">
        <v>74</v>
      </c>
      <c r="BB3299" s="1">
        <v>691</v>
      </c>
      <c r="BC3299" s="1">
        <v>701</v>
      </c>
      <c r="BD3299" s="1" t="s">
        <v>74</v>
      </c>
      <c r="BE3299" s="1" t="s">
        <v>52392</v>
      </c>
      <c r="BF3299" s="1" t="str">
        <f>HYPERLINK("http://dx.doi.org/10.1016/j.scitotenv.2017.04.005","http://dx.doi.org/10.1016/j.scitotenv.2017.04.005")</f>
        <v>http://dx.doi.org/10.1016/j.scitotenv.2017.04.005</v>
      </c>
      <c r="BG3299" s="1" t="s">
        <v>74</v>
      </c>
      <c r="BH3299" s="1" t="s">
        <v>74</v>
      </c>
      <c r="BI3299" s="1">
        <v>11</v>
      </c>
      <c r="BJ3299" s="1" t="s">
        <v>144</v>
      </c>
      <c r="BK3299" s="1" t="s">
        <v>96</v>
      </c>
      <c r="BL3299" s="1" t="s">
        <v>145</v>
      </c>
      <c r="BM3299" s="1" t="s">
        <v>52393</v>
      </c>
      <c r="BN3299" s="1">
        <v>28407586</v>
      </c>
      <c r="BO3299" s="1" t="s">
        <v>74</v>
      </c>
      <c r="BP3299" s="1" t="s">
        <v>74</v>
      </c>
      <c r="BQ3299" s="1" t="s">
        <v>74</v>
      </c>
      <c r="BR3299" s="1" t="s">
        <v>98</v>
      </c>
      <c r="BS3299" s="1" t="s">
        <v>52394</v>
      </c>
      <c r="BT3299" s="1" t="str">
        <f>HYPERLINK("https%3A%2F%2Fwww.webofscience.com%2Fwos%2Fwoscc%2Ffull-record%2FWOS:000401556800068","View Full Record in Web of Science")</f>
        <v>View Full Record in Web of Science</v>
      </c>
      <c r="BU3299" s="1"/>
      <c r="BV3299" s="1"/>
    </row>
    <row r="3300" spans="1:74">
      <c r="A3300" s="1" t="s">
        <v>72</v>
      </c>
      <c r="B3300" s="1" t="s">
        <v>52395</v>
      </c>
      <c r="C3300" s="1" t="s">
        <v>74</v>
      </c>
      <c r="D3300" s="1" t="s">
        <v>74</v>
      </c>
      <c r="E3300" s="1" t="s">
        <v>74</v>
      </c>
      <c r="F3300" s="1" t="s">
        <v>52396</v>
      </c>
      <c r="G3300" s="1" t="s">
        <v>74</v>
      </c>
      <c r="H3300" s="1" t="s">
        <v>74</v>
      </c>
      <c r="I3300" s="1" t="s">
        <v>52397</v>
      </c>
      <c r="J3300" s="1" t="s">
        <v>232</v>
      </c>
      <c r="K3300" s="1" t="s">
        <v>74</v>
      </c>
      <c r="L3300" s="1" t="s">
        <v>74</v>
      </c>
      <c r="M3300" s="1" t="s">
        <v>78</v>
      </c>
      <c r="N3300" s="1" t="s">
        <v>79</v>
      </c>
      <c r="O3300" s="1" t="s">
        <v>74</v>
      </c>
      <c r="P3300" s="1" t="s">
        <v>74</v>
      </c>
      <c r="Q3300" s="1" t="s">
        <v>74</v>
      </c>
      <c r="R3300" s="1" t="s">
        <v>74</v>
      </c>
      <c r="S3300" s="1" t="s">
        <v>74</v>
      </c>
      <c r="T3300" s="1" t="s">
        <v>52398</v>
      </c>
      <c r="U3300" s="1" t="s">
        <v>52399</v>
      </c>
      <c r="V3300" s="1" t="s">
        <v>52400</v>
      </c>
      <c r="W3300" s="1" t="s">
        <v>52401</v>
      </c>
      <c r="X3300" s="1" t="s">
        <v>52402</v>
      </c>
      <c r="Y3300" s="1" t="s">
        <v>52403</v>
      </c>
      <c r="Z3300" s="1" t="s">
        <v>52404</v>
      </c>
      <c r="AA3300" s="1" t="s">
        <v>52405</v>
      </c>
      <c r="AB3300" s="1" t="s">
        <v>52406</v>
      </c>
      <c r="AC3300" s="1" t="s">
        <v>22836</v>
      </c>
      <c r="AD3300" s="1" t="s">
        <v>22837</v>
      </c>
      <c r="AE3300" s="1" t="s">
        <v>52407</v>
      </c>
      <c r="AF3300" s="1" t="s">
        <v>74</v>
      </c>
      <c r="AG3300" s="1">
        <v>23</v>
      </c>
      <c r="AH3300" s="1">
        <v>5</v>
      </c>
      <c r="AI3300" s="1">
        <v>5</v>
      </c>
      <c r="AJ3300" s="1">
        <v>1</v>
      </c>
      <c r="AK3300" s="1">
        <v>16</v>
      </c>
      <c r="AL3300" s="1" t="s">
        <v>136</v>
      </c>
      <c r="AM3300" s="1" t="s">
        <v>137</v>
      </c>
      <c r="AN3300" s="1" t="s">
        <v>138</v>
      </c>
      <c r="AO3300" s="1" t="s">
        <v>240</v>
      </c>
      <c r="AP3300" s="1" t="s">
        <v>241</v>
      </c>
      <c r="AQ3300" s="1" t="s">
        <v>74</v>
      </c>
      <c r="AR3300" s="1" t="s">
        <v>242</v>
      </c>
      <c r="AS3300" s="1" t="s">
        <v>243</v>
      </c>
      <c r="AT3300" s="1" t="s">
        <v>1470</v>
      </c>
      <c r="AU3300" s="1">
        <v>2018</v>
      </c>
      <c r="AV3300" s="1">
        <v>126</v>
      </c>
      <c r="AW3300" s="1" t="s">
        <v>74</v>
      </c>
      <c r="AX3300" s="1" t="s">
        <v>74</v>
      </c>
      <c r="AY3300" s="1" t="s">
        <v>74</v>
      </c>
      <c r="AZ3300" s="1" t="s">
        <v>74</v>
      </c>
      <c r="BA3300" s="1" t="s">
        <v>74</v>
      </c>
      <c r="BB3300" s="1">
        <v>467</v>
      </c>
      <c r="BC3300" s="1">
        <v>472</v>
      </c>
      <c r="BD3300" s="1" t="s">
        <v>74</v>
      </c>
      <c r="BE3300" s="1" t="s">
        <v>52408</v>
      </c>
      <c r="BF3300" s="1" t="str">
        <f>HYPERLINK("http://dx.doi.org/10.1016/j.marpolbul.2017.11.062","http://dx.doi.org/10.1016/j.marpolbul.2017.11.062")</f>
        <v>http://dx.doi.org/10.1016/j.marpolbul.2017.11.062</v>
      </c>
      <c r="BG3300" s="1" t="s">
        <v>74</v>
      </c>
      <c r="BH3300" s="1" t="s">
        <v>74</v>
      </c>
      <c r="BI3300" s="1">
        <v>6</v>
      </c>
      <c r="BJ3300" s="1" t="s">
        <v>247</v>
      </c>
      <c r="BK3300" s="1" t="s">
        <v>96</v>
      </c>
      <c r="BL3300" s="1" t="s">
        <v>248</v>
      </c>
      <c r="BM3300" s="1" t="s">
        <v>8877</v>
      </c>
      <c r="BN3300" s="1">
        <v>29421127</v>
      </c>
      <c r="BO3300" s="1" t="s">
        <v>74</v>
      </c>
      <c r="BP3300" s="1" t="s">
        <v>74</v>
      </c>
      <c r="BQ3300" s="1" t="s">
        <v>74</v>
      </c>
      <c r="BR3300" s="1" t="s">
        <v>98</v>
      </c>
      <c r="BS3300" s="1" t="s">
        <v>52409</v>
      </c>
      <c r="BT3300" s="1" t="str">
        <f>HYPERLINK("https%3A%2F%2Fwww.webofscience.com%2Fwos%2Fwoscc%2Ffull-record%2FWOS:000425569400060","View Full Record in Web of Science")</f>
        <v>View Full Record in Web of Science</v>
      </c>
      <c r="BU3300" s="1"/>
      <c r="BV3300" s="1"/>
    </row>
    <row r="3301" spans="1:74">
      <c r="A3301" s="1" t="s">
        <v>72</v>
      </c>
      <c r="B3301" s="1" t="s">
        <v>52410</v>
      </c>
      <c r="C3301" s="1" t="s">
        <v>74</v>
      </c>
      <c r="D3301" s="1" t="s">
        <v>74</v>
      </c>
      <c r="E3301" s="1" t="s">
        <v>74</v>
      </c>
      <c r="F3301" s="1" t="s">
        <v>52411</v>
      </c>
      <c r="G3301" s="1" t="s">
        <v>74</v>
      </c>
      <c r="H3301" s="1" t="s">
        <v>74</v>
      </c>
      <c r="I3301" s="1" t="s">
        <v>52412</v>
      </c>
      <c r="J3301" s="1" t="s">
        <v>3973</v>
      </c>
      <c r="K3301" s="1" t="s">
        <v>74</v>
      </c>
      <c r="L3301" s="1" t="s">
        <v>74</v>
      </c>
      <c r="M3301" s="1" t="s">
        <v>78</v>
      </c>
      <c r="N3301" s="1" t="s">
        <v>79</v>
      </c>
      <c r="O3301" s="1" t="s">
        <v>74</v>
      </c>
      <c r="P3301" s="1" t="s">
        <v>74</v>
      </c>
      <c r="Q3301" s="1" t="s">
        <v>74</v>
      </c>
      <c r="R3301" s="1" t="s">
        <v>74</v>
      </c>
      <c r="S3301" s="1" t="s">
        <v>74</v>
      </c>
      <c r="T3301" s="1" t="s">
        <v>52413</v>
      </c>
      <c r="U3301" s="1" t="s">
        <v>52414</v>
      </c>
      <c r="V3301" s="1" t="s">
        <v>52415</v>
      </c>
      <c r="W3301" s="1" t="s">
        <v>52416</v>
      </c>
      <c r="X3301" s="1" t="s">
        <v>52417</v>
      </c>
      <c r="Y3301" s="1" t="s">
        <v>52418</v>
      </c>
      <c r="Z3301" s="1" t="s">
        <v>52419</v>
      </c>
      <c r="AA3301" s="1" t="s">
        <v>52420</v>
      </c>
      <c r="AB3301" s="1" t="s">
        <v>52421</v>
      </c>
      <c r="AC3301" s="1" t="s">
        <v>52422</v>
      </c>
      <c r="AD3301" s="1" t="s">
        <v>52423</v>
      </c>
      <c r="AE3301" s="1" t="s">
        <v>52424</v>
      </c>
      <c r="AF3301" s="1" t="s">
        <v>74</v>
      </c>
      <c r="AG3301" s="1">
        <v>55</v>
      </c>
      <c r="AH3301" s="1">
        <v>40</v>
      </c>
      <c r="AI3301" s="1">
        <v>45</v>
      </c>
      <c r="AJ3301" s="1">
        <v>5</v>
      </c>
      <c r="AK3301" s="1">
        <v>79</v>
      </c>
      <c r="AL3301" s="1" t="s">
        <v>3983</v>
      </c>
      <c r="AM3301" s="1" t="s">
        <v>3984</v>
      </c>
      <c r="AN3301" s="1" t="s">
        <v>3985</v>
      </c>
      <c r="AO3301" s="1" t="s">
        <v>3986</v>
      </c>
      <c r="AP3301" s="1" t="s">
        <v>3987</v>
      </c>
      <c r="AQ3301" s="1" t="s">
        <v>74</v>
      </c>
      <c r="AR3301" s="1" t="s">
        <v>3988</v>
      </c>
      <c r="AS3301" s="1" t="s">
        <v>3989</v>
      </c>
      <c r="AT3301" s="1" t="s">
        <v>267</v>
      </c>
      <c r="AU3301" s="1">
        <v>2017</v>
      </c>
      <c r="AV3301" s="1">
        <v>111</v>
      </c>
      <c r="AW3301" s="1" t="s">
        <v>74</v>
      </c>
      <c r="AX3301" s="1" t="s">
        <v>74</v>
      </c>
      <c r="AY3301" s="1" t="s">
        <v>74</v>
      </c>
      <c r="AZ3301" s="1" t="s">
        <v>74</v>
      </c>
      <c r="BA3301" s="1" t="s">
        <v>74</v>
      </c>
      <c r="BB3301" s="1">
        <v>148</v>
      </c>
      <c r="BC3301" s="1">
        <v>159</v>
      </c>
      <c r="BD3301" s="1" t="s">
        <v>74</v>
      </c>
      <c r="BE3301" s="1" t="s">
        <v>52425</v>
      </c>
      <c r="BF3301" s="1" t="str">
        <f>HYPERLINK("http://dx.doi.org/10.1016/j.psep.2017.07.001","http://dx.doi.org/10.1016/j.psep.2017.07.001")</f>
        <v>http://dx.doi.org/10.1016/j.psep.2017.07.001</v>
      </c>
      <c r="BG3301" s="1" t="s">
        <v>74</v>
      </c>
      <c r="BH3301" s="1" t="s">
        <v>74</v>
      </c>
      <c r="BI3301" s="1">
        <v>12</v>
      </c>
      <c r="BJ3301" s="1" t="s">
        <v>3991</v>
      </c>
      <c r="BK3301" s="1" t="s">
        <v>96</v>
      </c>
      <c r="BL3301" s="1" t="s">
        <v>3992</v>
      </c>
      <c r="BM3301" s="1" t="s">
        <v>52426</v>
      </c>
      <c r="BN3301" s="1" t="s">
        <v>74</v>
      </c>
      <c r="BO3301" s="1" t="s">
        <v>74</v>
      </c>
      <c r="BP3301" s="1" t="s">
        <v>74</v>
      </c>
      <c r="BQ3301" s="1" t="s">
        <v>74</v>
      </c>
      <c r="BR3301" s="1" t="s">
        <v>98</v>
      </c>
      <c r="BS3301" s="1" t="s">
        <v>52427</v>
      </c>
      <c r="BT3301" s="1" t="str">
        <f>HYPERLINK("https%3A%2F%2Fwww.webofscience.com%2Fwos%2Fwoscc%2Ffull-record%2FWOS:000414619500017","View Full Record in Web of Science")</f>
        <v>View Full Record in Web of Science</v>
      </c>
      <c r="BU3301" s="1"/>
      <c r="BV3301" s="1"/>
    </row>
    <row r="3302" spans="1:74">
      <c r="A3302" s="1" t="s">
        <v>72</v>
      </c>
      <c r="B3302" s="1" t="s">
        <v>52428</v>
      </c>
      <c r="C3302" s="1" t="s">
        <v>74</v>
      </c>
      <c r="D3302" s="1" t="s">
        <v>74</v>
      </c>
      <c r="E3302" s="1" t="s">
        <v>74</v>
      </c>
      <c r="F3302" s="1" t="s">
        <v>52429</v>
      </c>
      <c r="G3302" s="1" t="s">
        <v>74</v>
      </c>
      <c r="H3302" s="1" t="s">
        <v>74</v>
      </c>
      <c r="I3302" s="1" t="s">
        <v>52430</v>
      </c>
      <c r="J3302" s="1" t="s">
        <v>1202</v>
      </c>
      <c r="K3302" s="1" t="s">
        <v>74</v>
      </c>
      <c r="L3302" s="1" t="s">
        <v>74</v>
      </c>
      <c r="M3302" s="1" t="s">
        <v>78</v>
      </c>
      <c r="N3302" s="1" t="s">
        <v>79</v>
      </c>
      <c r="O3302" s="1" t="s">
        <v>74</v>
      </c>
      <c r="P3302" s="1" t="s">
        <v>74</v>
      </c>
      <c r="Q3302" s="1" t="s">
        <v>74</v>
      </c>
      <c r="R3302" s="1" t="s">
        <v>74</v>
      </c>
      <c r="S3302" s="1" t="s">
        <v>74</v>
      </c>
      <c r="T3302" s="1" t="s">
        <v>52431</v>
      </c>
      <c r="U3302" s="1" t="s">
        <v>52432</v>
      </c>
      <c r="V3302" s="1" t="s">
        <v>52433</v>
      </c>
      <c r="W3302" s="1" t="s">
        <v>52434</v>
      </c>
      <c r="X3302" s="1" t="s">
        <v>52435</v>
      </c>
      <c r="Y3302" s="1" t="s">
        <v>52436</v>
      </c>
      <c r="Z3302" s="1" t="s">
        <v>52437</v>
      </c>
      <c r="AA3302" s="1" t="s">
        <v>52438</v>
      </c>
      <c r="AB3302" s="1" t="s">
        <v>52439</v>
      </c>
      <c r="AC3302" s="1" t="s">
        <v>52440</v>
      </c>
      <c r="AD3302" s="1" t="s">
        <v>52440</v>
      </c>
      <c r="AE3302" s="1" t="s">
        <v>52441</v>
      </c>
      <c r="AF3302" s="1" t="s">
        <v>74</v>
      </c>
      <c r="AG3302" s="1">
        <v>66</v>
      </c>
      <c r="AH3302" s="1">
        <v>149</v>
      </c>
      <c r="AI3302" s="1">
        <v>161</v>
      </c>
      <c r="AJ3302" s="1">
        <v>1</v>
      </c>
      <c r="AK3302" s="1">
        <v>310</v>
      </c>
      <c r="AL3302" s="1" t="s">
        <v>112</v>
      </c>
      <c r="AM3302" s="1" t="s">
        <v>191</v>
      </c>
      <c r="AN3302" s="1" t="s">
        <v>192</v>
      </c>
      <c r="AO3302" s="1" t="s">
        <v>1207</v>
      </c>
      <c r="AP3302" s="1" t="s">
        <v>74</v>
      </c>
      <c r="AQ3302" s="1" t="s">
        <v>74</v>
      </c>
      <c r="AR3302" s="1" t="s">
        <v>1202</v>
      </c>
      <c r="AS3302" s="1" t="s">
        <v>1208</v>
      </c>
      <c r="AT3302" s="1" t="s">
        <v>1223</v>
      </c>
      <c r="AU3302" s="1">
        <v>2013</v>
      </c>
      <c r="AV3302" s="1">
        <v>704</v>
      </c>
      <c r="AW3302" s="1">
        <v>1</v>
      </c>
      <c r="AX3302" s="1" t="s">
        <v>74</v>
      </c>
      <c r="AY3302" s="1" t="s">
        <v>74</v>
      </c>
      <c r="AZ3302" s="1" t="s">
        <v>74</v>
      </c>
      <c r="BA3302" s="1" t="s">
        <v>74</v>
      </c>
      <c r="BB3302" s="1">
        <v>475</v>
      </c>
      <c r="BC3302" s="1">
        <v>488</v>
      </c>
      <c r="BD3302" s="1" t="s">
        <v>74</v>
      </c>
      <c r="BE3302" s="1" t="s">
        <v>52442</v>
      </c>
      <c r="BF3302" s="1" t="str">
        <f>HYPERLINK("http://dx.doi.org/10.1007/s10750-012-1255-1","http://dx.doi.org/10.1007/s10750-012-1255-1")</f>
        <v>http://dx.doi.org/10.1007/s10750-012-1255-1</v>
      </c>
      <c r="BG3302" s="1" t="s">
        <v>74</v>
      </c>
      <c r="BH3302" s="1" t="s">
        <v>74</v>
      </c>
      <c r="BI3302" s="1">
        <v>14</v>
      </c>
      <c r="BJ3302" s="1" t="s">
        <v>680</v>
      </c>
      <c r="BK3302" s="1" t="s">
        <v>96</v>
      </c>
      <c r="BL3302" s="1" t="s">
        <v>680</v>
      </c>
      <c r="BM3302" s="1" t="s">
        <v>52443</v>
      </c>
      <c r="BN3302" s="1" t="s">
        <v>74</v>
      </c>
      <c r="BO3302" s="1" t="s">
        <v>74</v>
      </c>
      <c r="BP3302" s="1" t="s">
        <v>74</v>
      </c>
      <c r="BQ3302" s="1" t="s">
        <v>74</v>
      </c>
      <c r="BR3302" s="1" t="s">
        <v>98</v>
      </c>
      <c r="BS3302" s="1" t="s">
        <v>52444</v>
      </c>
      <c r="BT3302" s="1" t="str">
        <f>HYPERLINK("https%3A%2F%2Fwww.webofscience.com%2Fwos%2Fwoscc%2Ffull-record%2FWOS:000314693600030","View Full Record in Web of Science")</f>
        <v>View Full Record in Web of Science</v>
      </c>
      <c r="BU3302" s="1"/>
      <c r="BV3302" s="1"/>
    </row>
    <row r="3303" spans="1:74">
      <c r="A3303" s="1" t="s">
        <v>72</v>
      </c>
      <c r="B3303" s="1" t="s">
        <v>52445</v>
      </c>
      <c r="C3303" s="1" t="s">
        <v>74</v>
      </c>
      <c r="D3303" s="1" t="s">
        <v>74</v>
      </c>
      <c r="E3303" s="1" t="s">
        <v>74</v>
      </c>
      <c r="F3303" s="1" t="s">
        <v>52446</v>
      </c>
      <c r="G3303" s="1" t="s">
        <v>74</v>
      </c>
      <c r="H3303" s="1" t="s">
        <v>74</v>
      </c>
      <c r="I3303" s="1" t="s">
        <v>52447</v>
      </c>
      <c r="J3303" s="1" t="s">
        <v>52448</v>
      </c>
      <c r="K3303" s="1" t="s">
        <v>74</v>
      </c>
      <c r="L3303" s="1" t="s">
        <v>74</v>
      </c>
      <c r="M3303" s="1" t="s">
        <v>78</v>
      </c>
      <c r="N3303" s="1" t="s">
        <v>79</v>
      </c>
      <c r="O3303" s="1" t="s">
        <v>74</v>
      </c>
      <c r="P3303" s="1" t="s">
        <v>74</v>
      </c>
      <c r="Q3303" s="1" t="s">
        <v>74</v>
      </c>
      <c r="R3303" s="1" t="s">
        <v>74</v>
      </c>
      <c r="S3303" s="1" t="s">
        <v>74</v>
      </c>
      <c r="T3303" s="1" t="s">
        <v>74</v>
      </c>
      <c r="U3303" s="1" t="s">
        <v>52449</v>
      </c>
      <c r="V3303" s="1" t="s">
        <v>52450</v>
      </c>
      <c r="W3303" s="1" t="s">
        <v>52451</v>
      </c>
      <c r="X3303" s="1" t="s">
        <v>52452</v>
      </c>
      <c r="Y3303" s="1" t="s">
        <v>52453</v>
      </c>
      <c r="Z3303" s="1" t="s">
        <v>52454</v>
      </c>
      <c r="AA3303" s="1" t="s">
        <v>52455</v>
      </c>
      <c r="AB3303" s="1" t="s">
        <v>52456</v>
      </c>
      <c r="AC3303" s="1" t="s">
        <v>52457</v>
      </c>
      <c r="AD3303" s="1" t="s">
        <v>52458</v>
      </c>
      <c r="AE3303" s="1" t="s">
        <v>52459</v>
      </c>
      <c r="AF3303" s="1" t="s">
        <v>74</v>
      </c>
      <c r="AG3303" s="1">
        <v>71</v>
      </c>
      <c r="AH3303" s="1">
        <v>10</v>
      </c>
      <c r="AI3303" s="1">
        <v>10</v>
      </c>
      <c r="AJ3303" s="1">
        <v>1</v>
      </c>
      <c r="AK3303" s="1">
        <v>13</v>
      </c>
      <c r="AL3303" s="1" t="s">
        <v>2883</v>
      </c>
      <c r="AM3303" s="1" t="s">
        <v>286</v>
      </c>
      <c r="AN3303" s="1" t="s">
        <v>2884</v>
      </c>
      <c r="AO3303" s="1" t="s">
        <v>74</v>
      </c>
      <c r="AP3303" s="1" t="s">
        <v>52460</v>
      </c>
      <c r="AQ3303" s="1" t="s">
        <v>74</v>
      </c>
      <c r="AR3303" s="1" t="s">
        <v>52461</v>
      </c>
      <c r="AS3303" s="1" t="s">
        <v>52462</v>
      </c>
      <c r="AT3303" s="1" t="s">
        <v>25636</v>
      </c>
      <c r="AU3303" s="1">
        <v>2023</v>
      </c>
      <c r="AV3303" s="1">
        <v>4</v>
      </c>
      <c r="AW3303" s="1">
        <v>1</v>
      </c>
      <c r="AX3303" s="1" t="s">
        <v>74</v>
      </c>
      <c r="AY3303" s="1" t="s">
        <v>74</v>
      </c>
      <c r="AZ3303" s="1" t="s">
        <v>74</v>
      </c>
      <c r="BA3303" s="1" t="s">
        <v>74</v>
      </c>
      <c r="BB3303" s="1" t="s">
        <v>74</v>
      </c>
      <c r="BC3303" s="1" t="s">
        <v>74</v>
      </c>
      <c r="BD3303" s="1">
        <v>72</v>
      </c>
      <c r="BE3303" s="1" t="s">
        <v>52463</v>
      </c>
      <c r="BF3303" s="1" t="str">
        <f>HYPERLINK("http://dx.doi.org/10.1038/s43247-023-00725-5","http://dx.doi.org/10.1038/s43247-023-00725-5")</f>
        <v>http://dx.doi.org/10.1038/s43247-023-00725-5</v>
      </c>
      <c r="BG3303" s="1" t="s">
        <v>74</v>
      </c>
      <c r="BH3303" s="1" t="s">
        <v>74</v>
      </c>
      <c r="BI3303" s="1">
        <v>12</v>
      </c>
      <c r="BJ3303" s="1" t="s">
        <v>52464</v>
      </c>
      <c r="BK3303" s="1" t="s">
        <v>96</v>
      </c>
      <c r="BL3303" s="1" t="s">
        <v>52465</v>
      </c>
      <c r="BM3303" s="1" t="s">
        <v>52466</v>
      </c>
      <c r="BN3303" s="1" t="s">
        <v>74</v>
      </c>
      <c r="BO3303" s="1" t="s">
        <v>873</v>
      </c>
      <c r="BP3303" s="1" t="s">
        <v>74</v>
      </c>
      <c r="BQ3303" s="1" t="s">
        <v>74</v>
      </c>
      <c r="BR3303" s="1" t="s">
        <v>98</v>
      </c>
      <c r="BS3303" s="1" t="s">
        <v>52467</v>
      </c>
      <c r="BT3303" s="1" t="str">
        <f>HYPERLINK("https%3A%2F%2Fwww.webofscience.com%2Fwos%2Fwoscc%2Ffull-record%2FWOS:000957418500002","View Full Record in Web of Science")</f>
        <v>View Full Record in Web of Science</v>
      </c>
      <c r="BU3303" s="1"/>
      <c r="BV3303" s="1"/>
    </row>
    <row r="3304" spans="1:74">
      <c r="A3304" s="1" t="s">
        <v>72</v>
      </c>
      <c r="B3304" s="1" t="s">
        <v>52468</v>
      </c>
      <c r="C3304" s="1" t="s">
        <v>74</v>
      </c>
      <c r="D3304" s="1" t="s">
        <v>74</v>
      </c>
      <c r="E3304" s="1" t="s">
        <v>74</v>
      </c>
      <c r="F3304" s="1" t="s">
        <v>52469</v>
      </c>
      <c r="G3304" s="1" t="s">
        <v>74</v>
      </c>
      <c r="H3304" s="1" t="s">
        <v>74</v>
      </c>
      <c r="I3304" s="1" t="s">
        <v>52470</v>
      </c>
      <c r="J3304" s="1" t="s">
        <v>204</v>
      </c>
      <c r="K3304" s="1" t="s">
        <v>74</v>
      </c>
      <c r="L3304" s="1" t="s">
        <v>74</v>
      </c>
      <c r="M3304" s="1" t="s">
        <v>78</v>
      </c>
      <c r="N3304" s="1" t="s">
        <v>79</v>
      </c>
      <c r="O3304" s="1" t="s">
        <v>74</v>
      </c>
      <c r="P3304" s="1" t="s">
        <v>74</v>
      </c>
      <c r="Q3304" s="1" t="s">
        <v>74</v>
      </c>
      <c r="R3304" s="1" t="s">
        <v>74</v>
      </c>
      <c r="S3304" s="1" t="s">
        <v>74</v>
      </c>
      <c r="T3304" s="1" t="s">
        <v>52471</v>
      </c>
      <c r="U3304" s="1" t="s">
        <v>52472</v>
      </c>
      <c r="V3304" s="1" t="s">
        <v>52473</v>
      </c>
      <c r="W3304" s="1" t="s">
        <v>52474</v>
      </c>
      <c r="X3304" s="1" t="s">
        <v>52475</v>
      </c>
      <c r="Y3304" s="1" t="s">
        <v>52476</v>
      </c>
      <c r="Z3304" s="1" t="s">
        <v>52477</v>
      </c>
      <c r="AA3304" s="1" t="s">
        <v>74</v>
      </c>
      <c r="AB3304" s="1" t="s">
        <v>52478</v>
      </c>
      <c r="AC3304" s="1" t="s">
        <v>52479</v>
      </c>
      <c r="AD3304" s="1" t="s">
        <v>52480</v>
      </c>
      <c r="AE3304" s="1" t="s">
        <v>52481</v>
      </c>
      <c r="AF3304" s="1" t="s">
        <v>74</v>
      </c>
      <c r="AG3304" s="1">
        <v>86</v>
      </c>
      <c r="AH3304" s="1">
        <v>4</v>
      </c>
      <c r="AI3304" s="1">
        <v>4</v>
      </c>
      <c r="AJ3304" s="1">
        <v>2</v>
      </c>
      <c r="AK3304" s="1">
        <v>10</v>
      </c>
      <c r="AL3304" s="1" t="s">
        <v>217</v>
      </c>
      <c r="AM3304" s="1" t="s">
        <v>218</v>
      </c>
      <c r="AN3304" s="1" t="s">
        <v>219</v>
      </c>
      <c r="AO3304" s="1" t="s">
        <v>220</v>
      </c>
      <c r="AP3304" s="1" t="s">
        <v>221</v>
      </c>
      <c r="AQ3304" s="1" t="s">
        <v>74</v>
      </c>
      <c r="AR3304" s="1" t="s">
        <v>222</v>
      </c>
      <c r="AS3304" s="1" t="s">
        <v>223</v>
      </c>
      <c r="AT3304" s="1" t="s">
        <v>119</v>
      </c>
      <c r="AU3304" s="1">
        <v>2021</v>
      </c>
      <c r="AV3304" s="1">
        <v>28</v>
      </c>
      <c r="AW3304" s="1">
        <v>29</v>
      </c>
      <c r="AX3304" s="1" t="s">
        <v>74</v>
      </c>
      <c r="AY3304" s="1" t="s">
        <v>74</v>
      </c>
      <c r="AZ3304" s="1" t="s">
        <v>74</v>
      </c>
      <c r="BA3304" s="1" t="s">
        <v>74</v>
      </c>
      <c r="BB3304" s="1">
        <v>39892</v>
      </c>
      <c r="BC3304" s="1">
        <v>39906</v>
      </c>
      <c r="BD3304" s="1" t="s">
        <v>74</v>
      </c>
      <c r="BE3304" s="1" t="s">
        <v>52482</v>
      </c>
      <c r="BF3304" s="1" t="str">
        <f>HYPERLINK("http://dx.doi.org/10.1007/s11356-021-13587-1","http://dx.doi.org/10.1007/s11356-021-13587-1")</f>
        <v>http://dx.doi.org/10.1007/s11356-021-13587-1</v>
      </c>
      <c r="BG3304" s="1" t="s">
        <v>74</v>
      </c>
      <c r="BH3304" s="1" t="s">
        <v>992</v>
      </c>
      <c r="BI3304" s="1">
        <v>15</v>
      </c>
      <c r="BJ3304" s="1" t="s">
        <v>144</v>
      </c>
      <c r="BK3304" s="1" t="s">
        <v>96</v>
      </c>
      <c r="BL3304" s="1" t="s">
        <v>145</v>
      </c>
      <c r="BM3304" s="1" t="s">
        <v>52483</v>
      </c>
      <c r="BN3304" s="1">
        <v>33768459</v>
      </c>
      <c r="BO3304" s="1" t="s">
        <v>74</v>
      </c>
      <c r="BP3304" s="1" t="s">
        <v>74</v>
      </c>
      <c r="BQ3304" s="1" t="s">
        <v>74</v>
      </c>
      <c r="BR3304" s="1" t="s">
        <v>98</v>
      </c>
      <c r="BS3304" s="1" t="s">
        <v>52484</v>
      </c>
      <c r="BT3304" s="1" t="str">
        <f>HYPERLINK("https%3A%2F%2Fwww.webofscience.com%2Fwos%2Fwoscc%2Ffull-record%2FWOS:000632850600006","View Full Record in Web of Science")</f>
        <v>View Full Record in Web of Science</v>
      </c>
      <c r="BU3304" s="1"/>
      <c r="BV3304" s="1"/>
    </row>
    <row r="3305" spans="1:74">
      <c r="A3305" s="1" t="s">
        <v>72</v>
      </c>
      <c r="B3305" s="1" t="s">
        <v>52485</v>
      </c>
      <c r="C3305" s="1" t="s">
        <v>74</v>
      </c>
      <c r="D3305" s="1" t="s">
        <v>74</v>
      </c>
      <c r="E3305" s="1" t="s">
        <v>74</v>
      </c>
      <c r="F3305" s="1" t="s">
        <v>52486</v>
      </c>
      <c r="G3305" s="1" t="s">
        <v>74</v>
      </c>
      <c r="H3305" s="1" t="s">
        <v>74</v>
      </c>
      <c r="I3305" s="1" t="s">
        <v>52487</v>
      </c>
      <c r="J3305" s="1" t="s">
        <v>52488</v>
      </c>
      <c r="K3305" s="1" t="s">
        <v>74</v>
      </c>
      <c r="L3305" s="1" t="s">
        <v>74</v>
      </c>
      <c r="M3305" s="1" t="s">
        <v>78</v>
      </c>
      <c r="N3305" s="1" t="s">
        <v>79</v>
      </c>
      <c r="O3305" s="1" t="s">
        <v>74</v>
      </c>
      <c r="P3305" s="1" t="s">
        <v>74</v>
      </c>
      <c r="Q3305" s="1" t="s">
        <v>74</v>
      </c>
      <c r="R3305" s="1" t="s">
        <v>74</v>
      </c>
      <c r="S3305" s="1" t="s">
        <v>74</v>
      </c>
      <c r="T3305" s="1" t="s">
        <v>52489</v>
      </c>
      <c r="U3305" s="1" t="s">
        <v>52490</v>
      </c>
      <c r="V3305" s="1" t="s">
        <v>52491</v>
      </c>
      <c r="W3305" s="1" t="s">
        <v>52492</v>
      </c>
      <c r="X3305" s="1" t="s">
        <v>52493</v>
      </c>
      <c r="Y3305" s="1" t="s">
        <v>52494</v>
      </c>
      <c r="Z3305" s="1" t="s">
        <v>52495</v>
      </c>
      <c r="AA3305" s="1" t="s">
        <v>52496</v>
      </c>
      <c r="AB3305" s="1" t="s">
        <v>74</v>
      </c>
      <c r="AC3305" s="1" t="s">
        <v>52497</v>
      </c>
      <c r="AD3305" s="1" t="s">
        <v>52497</v>
      </c>
      <c r="AE3305" s="1" t="s">
        <v>52498</v>
      </c>
      <c r="AF3305" s="1" t="s">
        <v>74</v>
      </c>
      <c r="AG3305" s="1">
        <v>229</v>
      </c>
      <c r="AH3305" s="1">
        <v>0</v>
      </c>
      <c r="AI3305" s="1">
        <v>0</v>
      </c>
      <c r="AJ3305" s="1">
        <v>1</v>
      </c>
      <c r="AK3305" s="1">
        <v>1</v>
      </c>
      <c r="AL3305" s="1" t="s">
        <v>650</v>
      </c>
      <c r="AM3305" s="1" t="s">
        <v>651</v>
      </c>
      <c r="AN3305" s="1" t="s">
        <v>652</v>
      </c>
      <c r="AO3305" s="1" t="s">
        <v>52499</v>
      </c>
      <c r="AP3305" s="1" t="s">
        <v>74</v>
      </c>
      <c r="AQ3305" s="1" t="s">
        <v>74</v>
      </c>
      <c r="AR3305" s="1" t="s">
        <v>52500</v>
      </c>
      <c r="AS3305" s="1" t="s">
        <v>52501</v>
      </c>
      <c r="AT3305" s="1" t="s">
        <v>170</v>
      </c>
      <c r="AU3305" s="1">
        <v>2024</v>
      </c>
      <c r="AV3305" s="1">
        <v>62</v>
      </c>
      <c r="AW3305" s="1" t="s">
        <v>74</v>
      </c>
      <c r="AX3305" s="1" t="s">
        <v>74</v>
      </c>
      <c r="AY3305" s="1" t="s">
        <v>74</v>
      </c>
      <c r="AZ3305" s="1" t="s">
        <v>74</v>
      </c>
      <c r="BA3305" s="1" t="s">
        <v>74</v>
      </c>
      <c r="BB3305" s="1" t="s">
        <v>74</v>
      </c>
      <c r="BC3305" s="1" t="s">
        <v>74</v>
      </c>
      <c r="BD3305" s="1">
        <v>105424</v>
      </c>
      <c r="BE3305" s="1" t="s">
        <v>52502</v>
      </c>
      <c r="BF3305" s="1" t="str">
        <f>HYPERLINK("http://dx.doi.org/10.1016/j.jwpe.2024.105424","http://dx.doi.org/10.1016/j.jwpe.2024.105424")</f>
        <v>http://dx.doi.org/10.1016/j.jwpe.2024.105424</v>
      </c>
      <c r="BG3305" s="1" t="s">
        <v>74</v>
      </c>
      <c r="BH3305" s="1" t="s">
        <v>11425</v>
      </c>
      <c r="BI3305" s="1">
        <v>22</v>
      </c>
      <c r="BJ3305" s="1" t="s">
        <v>52503</v>
      </c>
      <c r="BK3305" s="1" t="s">
        <v>96</v>
      </c>
      <c r="BL3305" s="1" t="s">
        <v>3427</v>
      </c>
      <c r="BM3305" s="1" t="s">
        <v>52504</v>
      </c>
      <c r="BN3305" s="1" t="s">
        <v>74</v>
      </c>
      <c r="BO3305" s="1" t="s">
        <v>74</v>
      </c>
      <c r="BP3305" s="1" t="s">
        <v>74</v>
      </c>
      <c r="BQ3305" s="1" t="s">
        <v>74</v>
      </c>
      <c r="BR3305" s="1" t="s">
        <v>98</v>
      </c>
      <c r="BS3305" s="1" t="s">
        <v>52505</v>
      </c>
      <c r="BT3305" s="1" t="str">
        <f>HYPERLINK("https%3A%2F%2Fwww.webofscience.com%2Fwos%2Fwoscc%2Ffull-record%2FWOS:001237787000001","View Full Record in Web of Science")</f>
        <v>View Full Record in Web of Science</v>
      </c>
      <c r="BU3305" s="1"/>
      <c r="BV3305" s="1"/>
    </row>
    <row r="3306" spans="1:74">
      <c r="A3306" s="1" t="s">
        <v>72</v>
      </c>
      <c r="B3306" s="1" t="s">
        <v>52506</v>
      </c>
      <c r="C3306" s="1" t="s">
        <v>74</v>
      </c>
      <c r="D3306" s="1" t="s">
        <v>74</v>
      </c>
      <c r="E3306" s="1" t="s">
        <v>74</v>
      </c>
      <c r="F3306" s="1" t="s">
        <v>52506</v>
      </c>
      <c r="G3306" s="1" t="s">
        <v>74</v>
      </c>
      <c r="H3306" s="1" t="s">
        <v>74</v>
      </c>
      <c r="I3306" s="1" t="s">
        <v>52507</v>
      </c>
      <c r="J3306" s="1" t="s">
        <v>31052</v>
      </c>
      <c r="K3306" s="1" t="s">
        <v>74</v>
      </c>
      <c r="L3306" s="1" t="s">
        <v>74</v>
      </c>
      <c r="M3306" s="1" t="s">
        <v>78</v>
      </c>
      <c r="N3306" s="1" t="s">
        <v>79</v>
      </c>
      <c r="O3306" s="1" t="s">
        <v>74</v>
      </c>
      <c r="P3306" s="1" t="s">
        <v>74</v>
      </c>
      <c r="Q3306" s="1" t="s">
        <v>74</v>
      </c>
      <c r="R3306" s="1" t="s">
        <v>74</v>
      </c>
      <c r="S3306" s="1" t="s">
        <v>74</v>
      </c>
      <c r="T3306" s="1" t="s">
        <v>52508</v>
      </c>
      <c r="U3306" s="1" t="s">
        <v>52509</v>
      </c>
      <c r="V3306" s="1" t="s">
        <v>52510</v>
      </c>
      <c r="W3306" s="1" t="s">
        <v>52511</v>
      </c>
      <c r="X3306" s="1" t="s">
        <v>19786</v>
      </c>
      <c r="Y3306" s="1" t="s">
        <v>52512</v>
      </c>
      <c r="Z3306" s="1" t="s">
        <v>52513</v>
      </c>
      <c r="AA3306" s="1" t="s">
        <v>52514</v>
      </c>
      <c r="AB3306" s="1" t="s">
        <v>19790</v>
      </c>
      <c r="AC3306" s="1" t="s">
        <v>74</v>
      </c>
      <c r="AD3306" s="1" t="s">
        <v>74</v>
      </c>
      <c r="AE3306" s="1" t="s">
        <v>74</v>
      </c>
      <c r="AF3306" s="1" t="s">
        <v>74</v>
      </c>
      <c r="AG3306" s="1">
        <v>70</v>
      </c>
      <c r="AH3306" s="1">
        <v>35</v>
      </c>
      <c r="AI3306" s="1">
        <v>43</v>
      </c>
      <c r="AJ3306" s="1">
        <v>0</v>
      </c>
      <c r="AK3306" s="1">
        <v>28</v>
      </c>
      <c r="AL3306" s="1" t="s">
        <v>112</v>
      </c>
      <c r="AM3306" s="1" t="s">
        <v>191</v>
      </c>
      <c r="AN3306" s="1" t="s">
        <v>192</v>
      </c>
      <c r="AO3306" s="1" t="s">
        <v>31061</v>
      </c>
      <c r="AP3306" s="1" t="s">
        <v>31062</v>
      </c>
      <c r="AQ3306" s="1" t="s">
        <v>74</v>
      </c>
      <c r="AR3306" s="1" t="s">
        <v>31063</v>
      </c>
      <c r="AS3306" s="1" t="s">
        <v>31064</v>
      </c>
      <c r="AT3306" s="1" t="s">
        <v>1470</v>
      </c>
      <c r="AU3306" s="1">
        <v>2005</v>
      </c>
      <c r="AV3306" s="1">
        <v>13</v>
      </c>
      <c r="AW3306" s="1" t="s">
        <v>326</v>
      </c>
      <c r="AX3306" s="1" t="s">
        <v>74</v>
      </c>
      <c r="AY3306" s="1" t="s">
        <v>74</v>
      </c>
      <c r="AZ3306" s="1" t="s">
        <v>74</v>
      </c>
      <c r="BA3306" s="1" t="s">
        <v>74</v>
      </c>
      <c r="BB3306" s="1">
        <v>3</v>
      </c>
      <c r="BC3306" s="1">
        <v>17</v>
      </c>
      <c r="BD3306" s="1" t="s">
        <v>74</v>
      </c>
      <c r="BE3306" s="1" t="s">
        <v>52515</v>
      </c>
      <c r="BF3306" s="1" t="str">
        <f>HYPERLINK("http://dx.doi.org/10.1007/s10499-004-9036-0","http://dx.doi.org/10.1007/s10499-004-9036-0")</f>
        <v>http://dx.doi.org/10.1007/s10499-004-9036-0</v>
      </c>
      <c r="BG3306" s="1" t="s">
        <v>74</v>
      </c>
      <c r="BH3306" s="1" t="s">
        <v>74</v>
      </c>
      <c r="BI3306" s="1">
        <v>15</v>
      </c>
      <c r="BJ3306" s="1" t="s">
        <v>746</v>
      </c>
      <c r="BK3306" s="1" t="s">
        <v>96</v>
      </c>
      <c r="BL3306" s="1" t="s">
        <v>746</v>
      </c>
      <c r="BM3306" s="1" t="s">
        <v>52516</v>
      </c>
      <c r="BN3306" s="1" t="s">
        <v>74</v>
      </c>
      <c r="BO3306" s="1" t="s">
        <v>74</v>
      </c>
      <c r="BP3306" s="1" t="s">
        <v>74</v>
      </c>
      <c r="BQ3306" s="1" t="s">
        <v>74</v>
      </c>
      <c r="BR3306" s="1" t="s">
        <v>98</v>
      </c>
      <c r="BS3306" s="1" t="s">
        <v>52517</v>
      </c>
      <c r="BT3306" s="1" t="str">
        <f>HYPERLINK("https%3A%2F%2Fwww.webofscience.com%2Fwos%2Fwoscc%2Ffull-record%2FWOS:000227699600002","View Full Record in Web of Science")</f>
        <v>View Full Record in Web of Science</v>
      </c>
      <c r="BU3306" s="1"/>
      <c r="BV3306" s="1"/>
    </row>
    <row r="3307" spans="1:74">
      <c r="A3307" s="1" t="s">
        <v>72</v>
      </c>
      <c r="B3307" s="1" t="s">
        <v>52518</v>
      </c>
      <c r="C3307" s="1" t="s">
        <v>74</v>
      </c>
      <c r="D3307" s="1" t="s">
        <v>74</v>
      </c>
      <c r="E3307" s="1" t="s">
        <v>74</v>
      </c>
      <c r="F3307" s="1" t="s">
        <v>52519</v>
      </c>
      <c r="G3307" s="1" t="s">
        <v>74</v>
      </c>
      <c r="H3307" s="1" t="s">
        <v>74</v>
      </c>
      <c r="I3307" s="1" t="s">
        <v>52520</v>
      </c>
      <c r="J3307" s="1" t="s">
        <v>909</v>
      </c>
      <c r="K3307" s="1" t="s">
        <v>74</v>
      </c>
      <c r="L3307" s="1" t="s">
        <v>74</v>
      </c>
      <c r="M3307" s="1" t="s">
        <v>78</v>
      </c>
      <c r="N3307" s="1" t="s">
        <v>79</v>
      </c>
      <c r="O3307" s="1" t="s">
        <v>74</v>
      </c>
      <c r="P3307" s="1" t="s">
        <v>74</v>
      </c>
      <c r="Q3307" s="1" t="s">
        <v>74</v>
      </c>
      <c r="R3307" s="1" t="s">
        <v>74</v>
      </c>
      <c r="S3307" s="1" t="s">
        <v>74</v>
      </c>
      <c r="T3307" s="1" t="s">
        <v>52521</v>
      </c>
      <c r="U3307" s="1" t="s">
        <v>52522</v>
      </c>
      <c r="V3307" s="1" t="s">
        <v>52523</v>
      </c>
      <c r="W3307" s="1" t="s">
        <v>52524</v>
      </c>
      <c r="X3307" s="1" t="s">
        <v>52525</v>
      </c>
      <c r="Y3307" s="1" t="s">
        <v>52526</v>
      </c>
      <c r="Z3307" s="1" t="s">
        <v>52527</v>
      </c>
      <c r="AA3307" s="1" t="s">
        <v>52528</v>
      </c>
      <c r="AB3307" s="1" t="s">
        <v>52529</v>
      </c>
      <c r="AC3307" s="1" t="s">
        <v>52530</v>
      </c>
      <c r="AD3307" s="1" t="s">
        <v>52531</v>
      </c>
      <c r="AE3307" s="1" t="s">
        <v>52532</v>
      </c>
      <c r="AF3307" s="1" t="s">
        <v>74</v>
      </c>
      <c r="AG3307" s="1">
        <v>61</v>
      </c>
      <c r="AH3307" s="1">
        <v>70</v>
      </c>
      <c r="AI3307" s="1">
        <v>74</v>
      </c>
      <c r="AJ3307" s="1">
        <v>16</v>
      </c>
      <c r="AK3307" s="1">
        <v>416</v>
      </c>
      <c r="AL3307" s="1" t="s">
        <v>650</v>
      </c>
      <c r="AM3307" s="1" t="s">
        <v>651</v>
      </c>
      <c r="AN3307" s="1" t="s">
        <v>652</v>
      </c>
      <c r="AO3307" s="1" t="s">
        <v>921</v>
      </c>
      <c r="AP3307" s="1" t="s">
        <v>922</v>
      </c>
      <c r="AQ3307" s="1" t="s">
        <v>74</v>
      </c>
      <c r="AR3307" s="1" t="s">
        <v>923</v>
      </c>
      <c r="AS3307" s="1" t="s">
        <v>924</v>
      </c>
      <c r="AT3307" s="1" t="s">
        <v>3752</v>
      </c>
      <c r="AU3307" s="1">
        <v>2019</v>
      </c>
      <c r="AV3307" s="1">
        <v>650</v>
      </c>
      <c r="AW3307" s="1" t="s">
        <v>74</v>
      </c>
      <c r="AX3307" s="1">
        <v>1</v>
      </c>
      <c r="AY3307" s="1" t="s">
        <v>74</v>
      </c>
      <c r="AZ3307" s="1" t="s">
        <v>74</v>
      </c>
      <c r="BA3307" s="1" t="s">
        <v>74</v>
      </c>
      <c r="BB3307" s="1">
        <v>557</v>
      </c>
      <c r="BC3307" s="1">
        <v>565</v>
      </c>
      <c r="BD3307" s="1" t="s">
        <v>74</v>
      </c>
      <c r="BE3307" s="1" t="s">
        <v>52533</v>
      </c>
      <c r="BF3307" s="1" t="str">
        <f>HYPERLINK("http://dx.doi.org/10.1016/j.scitotenv.2018.09.007","http://dx.doi.org/10.1016/j.scitotenv.2018.09.007")</f>
        <v>http://dx.doi.org/10.1016/j.scitotenv.2018.09.007</v>
      </c>
      <c r="BG3307" s="1" t="s">
        <v>74</v>
      </c>
      <c r="BH3307" s="1" t="s">
        <v>74</v>
      </c>
      <c r="BI3307" s="1">
        <v>9</v>
      </c>
      <c r="BJ3307" s="1" t="s">
        <v>144</v>
      </c>
      <c r="BK3307" s="1" t="s">
        <v>96</v>
      </c>
      <c r="BL3307" s="1" t="s">
        <v>145</v>
      </c>
      <c r="BM3307" s="1" t="s">
        <v>41436</v>
      </c>
      <c r="BN3307" s="1">
        <v>30205345</v>
      </c>
      <c r="BO3307" s="1" t="s">
        <v>74</v>
      </c>
      <c r="BP3307" s="1" t="s">
        <v>74</v>
      </c>
      <c r="BQ3307" s="1" t="s">
        <v>74</v>
      </c>
      <c r="BR3307" s="1" t="s">
        <v>98</v>
      </c>
      <c r="BS3307" s="1" t="s">
        <v>52534</v>
      </c>
      <c r="BT3307" s="1" t="str">
        <f>HYPERLINK("https%3A%2F%2Fwww.webofscience.com%2Fwos%2Fwoscc%2Ffull-record%2FWOS:000447092700057","View Full Record in Web of Science")</f>
        <v>View Full Record in Web of Science</v>
      </c>
      <c r="BU3307" s="1"/>
      <c r="BV3307" s="1"/>
    </row>
    <row r="3308" spans="1:74">
      <c r="A3308" s="1" t="s">
        <v>72</v>
      </c>
      <c r="B3308" s="1" t="s">
        <v>52535</v>
      </c>
      <c r="C3308" s="1" t="s">
        <v>74</v>
      </c>
      <c r="D3308" s="1" t="s">
        <v>74</v>
      </c>
      <c r="E3308" s="1" t="s">
        <v>74</v>
      </c>
      <c r="F3308" s="1" t="s">
        <v>52535</v>
      </c>
      <c r="G3308" s="1" t="s">
        <v>74</v>
      </c>
      <c r="H3308" s="1" t="s">
        <v>74</v>
      </c>
      <c r="I3308" s="1" t="s">
        <v>52536</v>
      </c>
      <c r="J3308" s="1" t="s">
        <v>752</v>
      </c>
      <c r="K3308" s="1" t="s">
        <v>74</v>
      </c>
      <c r="L3308" s="1" t="s">
        <v>74</v>
      </c>
      <c r="M3308" s="1" t="s">
        <v>78</v>
      </c>
      <c r="N3308" s="1" t="s">
        <v>79</v>
      </c>
      <c r="O3308" s="1" t="s">
        <v>74</v>
      </c>
      <c r="P3308" s="1" t="s">
        <v>74</v>
      </c>
      <c r="Q3308" s="1" t="s">
        <v>74</v>
      </c>
      <c r="R3308" s="1" t="s">
        <v>74</v>
      </c>
      <c r="S3308" s="1" t="s">
        <v>74</v>
      </c>
      <c r="T3308" s="1" t="s">
        <v>74</v>
      </c>
      <c r="U3308" s="1" t="s">
        <v>52537</v>
      </c>
      <c r="V3308" s="1" t="s">
        <v>52538</v>
      </c>
      <c r="W3308" s="1" t="s">
        <v>52539</v>
      </c>
      <c r="X3308" s="1" t="s">
        <v>74</v>
      </c>
      <c r="Y3308" s="1" t="s">
        <v>52540</v>
      </c>
      <c r="Z3308" s="1" t="s">
        <v>74</v>
      </c>
      <c r="AA3308" s="1" t="s">
        <v>74</v>
      </c>
      <c r="AB3308" s="1" t="s">
        <v>74</v>
      </c>
      <c r="AC3308" s="1" t="s">
        <v>74</v>
      </c>
      <c r="AD3308" s="1" t="s">
        <v>74</v>
      </c>
      <c r="AE3308" s="1" t="s">
        <v>74</v>
      </c>
      <c r="AF3308" s="1" t="s">
        <v>74</v>
      </c>
      <c r="AG3308" s="1">
        <v>35</v>
      </c>
      <c r="AH3308" s="1">
        <v>26</v>
      </c>
      <c r="AI3308" s="1">
        <v>26</v>
      </c>
      <c r="AJ3308" s="1">
        <v>0</v>
      </c>
      <c r="AK3308" s="1">
        <v>6</v>
      </c>
      <c r="AL3308" s="1" t="s">
        <v>430</v>
      </c>
      <c r="AM3308" s="1" t="s">
        <v>137</v>
      </c>
      <c r="AN3308" s="1" t="s">
        <v>431</v>
      </c>
      <c r="AO3308" s="1" t="s">
        <v>761</v>
      </c>
      <c r="AP3308" s="1" t="s">
        <v>74</v>
      </c>
      <c r="AQ3308" s="1" t="s">
        <v>74</v>
      </c>
      <c r="AR3308" s="1" t="s">
        <v>763</v>
      </c>
      <c r="AS3308" s="1" t="s">
        <v>764</v>
      </c>
      <c r="AT3308" s="1" t="s">
        <v>74</v>
      </c>
      <c r="AU3308" s="1">
        <v>1993</v>
      </c>
      <c r="AV3308" s="1">
        <v>35</v>
      </c>
      <c r="AW3308" s="1">
        <v>4</v>
      </c>
      <c r="AX3308" s="1" t="s">
        <v>74</v>
      </c>
      <c r="AY3308" s="1" t="s">
        <v>74</v>
      </c>
      <c r="AZ3308" s="1" t="s">
        <v>74</v>
      </c>
      <c r="BA3308" s="1" t="s">
        <v>74</v>
      </c>
      <c r="BB3308" s="1">
        <v>303</v>
      </c>
      <c r="BC3308" s="1">
        <v>321</v>
      </c>
      <c r="BD3308" s="1" t="s">
        <v>74</v>
      </c>
      <c r="BE3308" s="1" t="s">
        <v>52541</v>
      </c>
      <c r="BF3308" s="1" t="str">
        <f>HYPERLINK("http://dx.doi.org/10.1016/0141-1136(93)90099-L","http://dx.doi.org/10.1016/0141-1136(93)90099-L")</f>
        <v>http://dx.doi.org/10.1016/0141-1136(93)90099-L</v>
      </c>
      <c r="BG3308" s="1" t="s">
        <v>74</v>
      </c>
      <c r="BH3308" s="1" t="s">
        <v>74</v>
      </c>
      <c r="BI3308" s="1">
        <v>19</v>
      </c>
      <c r="BJ3308" s="1" t="s">
        <v>768</v>
      </c>
      <c r="BK3308" s="1" t="s">
        <v>96</v>
      </c>
      <c r="BL3308" s="1" t="s">
        <v>769</v>
      </c>
      <c r="BM3308" s="1" t="s">
        <v>52542</v>
      </c>
      <c r="BN3308" s="1" t="s">
        <v>74</v>
      </c>
      <c r="BO3308" s="1" t="s">
        <v>74</v>
      </c>
      <c r="BP3308" s="1" t="s">
        <v>74</v>
      </c>
      <c r="BQ3308" s="1" t="s">
        <v>74</v>
      </c>
      <c r="BR3308" s="1" t="s">
        <v>98</v>
      </c>
      <c r="BS3308" s="1" t="s">
        <v>52543</v>
      </c>
      <c r="BT3308" s="1" t="str">
        <f>HYPERLINK("https%3A%2F%2Fwww.webofscience.com%2Fwos%2Fwoscc%2Ffull-record%2FWOS:A1993LD44700001","View Full Record in Web of Science")</f>
        <v>View Full Record in Web of Science</v>
      </c>
      <c r="BU3308" s="1"/>
      <c r="BV3308" s="1"/>
    </row>
    <row r="3309" spans="1:74">
      <c r="A3309" s="1" t="s">
        <v>72</v>
      </c>
      <c r="B3309" s="1" t="s">
        <v>3779</v>
      </c>
      <c r="C3309" s="1" t="s">
        <v>74</v>
      </c>
      <c r="D3309" s="1" t="s">
        <v>74</v>
      </c>
      <c r="E3309" s="1" t="s">
        <v>74</v>
      </c>
      <c r="F3309" s="1" t="s">
        <v>3779</v>
      </c>
      <c r="G3309" s="1" t="s">
        <v>74</v>
      </c>
      <c r="H3309" s="1" t="s">
        <v>74</v>
      </c>
      <c r="I3309" s="1" t="s">
        <v>52544</v>
      </c>
      <c r="J3309" s="1" t="s">
        <v>232</v>
      </c>
      <c r="K3309" s="1" t="s">
        <v>74</v>
      </c>
      <c r="L3309" s="1" t="s">
        <v>74</v>
      </c>
      <c r="M3309" s="1" t="s">
        <v>78</v>
      </c>
      <c r="N3309" s="1" t="s">
        <v>79</v>
      </c>
      <c r="O3309" s="1" t="s">
        <v>74</v>
      </c>
      <c r="P3309" s="1" t="s">
        <v>74</v>
      </c>
      <c r="Q3309" s="1" t="s">
        <v>74</v>
      </c>
      <c r="R3309" s="1" t="s">
        <v>74</v>
      </c>
      <c r="S3309" s="1" t="s">
        <v>74</v>
      </c>
      <c r="T3309" s="1" t="s">
        <v>74</v>
      </c>
      <c r="U3309" s="1" t="s">
        <v>52545</v>
      </c>
      <c r="V3309" s="1" t="s">
        <v>74</v>
      </c>
      <c r="W3309" s="1" t="s">
        <v>74</v>
      </c>
      <c r="X3309" s="1" t="s">
        <v>74</v>
      </c>
      <c r="Y3309" s="1" t="s">
        <v>52546</v>
      </c>
      <c r="Z3309" s="1" t="s">
        <v>74</v>
      </c>
      <c r="AA3309" s="1" t="s">
        <v>3785</v>
      </c>
      <c r="AB3309" s="1" t="s">
        <v>74</v>
      </c>
      <c r="AC3309" s="1" t="s">
        <v>74</v>
      </c>
      <c r="AD3309" s="1" t="s">
        <v>74</v>
      </c>
      <c r="AE3309" s="1" t="s">
        <v>74</v>
      </c>
      <c r="AF3309" s="1" t="s">
        <v>74</v>
      </c>
      <c r="AG3309" s="1">
        <v>11</v>
      </c>
      <c r="AH3309" s="1">
        <v>60</v>
      </c>
      <c r="AI3309" s="1">
        <v>65</v>
      </c>
      <c r="AJ3309" s="1">
        <v>0</v>
      </c>
      <c r="AK3309" s="1">
        <v>13</v>
      </c>
      <c r="AL3309" s="1" t="s">
        <v>136</v>
      </c>
      <c r="AM3309" s="1" t="s">
        <v>137</v>
      </c>
      <c r="AN3309" s="1" t="s">
        <v>138</v>
      </c>
      <c r="AO3309" s="1" t="s">
        <v>240</v>
      </c>
      <c r="AP3309" s="1" t="s">
        <v>241</v>
      </c>
      <c r="AQ3309" s="1" t="s">
        <v>74</v>
      </c>
      <c r="AR3309" s="1" t="s">
        <v>242</v>
      </c>
      <c r="AS3309" s="1" t="s">
        <v>243</v>
      </c>
      <c r="AT3309" s="1" t="s">
        <v>267</v>
      </c>
      <c r="AU3309" s="1">
        <v>1996</v>
      </c>
      <c r="AV3309" s="1">
        <v>32</v>
      </c>
      <c r="AW3309" s="1">
        <v>10</v>
      </c>
      <c r="AX3309" s="1" t="s">
        <v>74</v>
      </c>
      <c r="AY3309" s="1" t="s">
        <v>74</v>
      </c>
      <c r="AZ3309" s="1" t="s">
        <v>74</v>
      </c>
      <c r="BA3309" s="1" t="s">
        <v>74</v>
      </c>
      <c r="BB3309" s="1">
        <v>745</v>
      </c>
      <c r="BC3309" s="1">
        <v>751</v>
      </c>
      <c r="BD3309" s="1" t="s">
        <v>74</v>
      </c>
      <c r="BE3309" s="1" t="s">
        <v>52547</v>
      </c>
      <c r="BF3309" s="1" t="str">
        <f>HYPERLINK("http://dx.doi.org/10.1016/0025-326X(96)00067-7","http://dx.doi.org/10.1016/0025-326X(96)00067-7")</f>
        <v>http://dx.doi.org/10.1016/0025-326X(96)00067-7</v>
      </c>
      <c r="BG3309" s="1" t="s">
        <v>74</v>
      </c>
      <c r="BH3309" s="1" t="s">
        <v>74</v>
      </c>
      <c r="BI3309" s="1">
        <v>7</v>
      </c>
      <c r="BJ3309" s="1" t="s">
        <v>247</v>
      </c>
      <c r="BK3309" s="1" t="s">
        <v>96</v>
      </c>
      <c r="BL3309" s="1" t="s">
        <v>248</v>
      </c>
      <c r="BM3309" s="1" t="s">
        <v>52548</v>
      </c>
      <c r="BN3309" s="1" t="s">
        <v>74</v>
      </c>
      <c r="BO3309" s="1" t="s">
        <v>74</v>
      </c>
      <c r="BP3309" s="1" t="s">
        <v>74</v>
      </c>
      <c r="BQ3309" s="1" t="s">
        <v>74</v>
      </c>
      <c r="BR3309" s="1" t="s">
        <v>98</v>
      </c>
      <c r="BS3309" s="1" t="s">
        <v>52549</v>
      </c>
      <c r="BT3309" s="1" t="str">
        <f>HYPERLINK("https%3A%2F%2Fwww.webofscience.com%2Fwos%2Fwoscc%2Ffull-record%2FWOS:A1996VV09400020","View Full Record in Web of Science")</f>
        <v>View Full Record in Web of Science</v>
      </c>
      <c r="BU3309" s="1"/>
      <c r="BV3309" s="1"/>
    </row>
    <row r="3310" spans="1:74">
      <c r="A3310" s="1" t="s">
        <v>72</v>
      </c>
      <c r="B3310" s="1" t="s">
        <v>52550</v>
      </c>
      <c r="C3310" s="1" t="s">
        <v>74</v>
      </c>
      <c r="D3310" s="1" t="s">
        <v>74</v>
      </c>
      <c r="E3310" s="1" t="s">
        <v>74</v>
      </c>
      <c r="F3310" s="1" t="s">
        <v>52551</v>
      </c>
      <c r="G3310" s="1" t="s">
        <v>74</v>
      </c>
      <c r="H3310" s="1" t="s">
        <v>74</v>
      </c>
      <c r="I3310" s="1" t="s">
        <v>52552</v>
      </c>
      <c r="J3310" s="1" t="s">
        <v>11045</v>
      </c>
      <c r="K3310" s="1" t="s">
        <v>74</v>
      </c>
      <c r="L3310" s="1" t="s">
        <v>74</v>
      </c>
      <c r="M3310" s="1" t="s">
        <v>78</v>
      </c>
      <c r="N3310" s="1" t="s">
        <v>79</v>
      </c>
      <c r="O3310" s="1" t="s">
        <v>74</v>
      </c>
      <c r="P3310" s="1" t="s">
        <v>74</v>
      </c>
      <c r="Q3310" s="1" t="s">
        <v>74</v>
      </c>
      <c r="R3310" s="1" t="s">
        <v>74</v>
      </c>
      <c r="S3310" s="1" t="s">
        <v>74</v>
      </c>
      <c r="T3310" s="1" t="s">
        <v>74</v>
      </c>
      <c r="U3310" s="1" t="s">
        <v>52553</v>
      </c>
      <c r="V3310" s="1" t="s">
        <v>52554</v>
      </c>
      <c r="W3310" s="1" t="s">
        <v>52555</v>
      </c>
      <c r="X3310" s="1" t="s">
        <v>52556</v>
      </c>
      <c r="Y3310" s="1" t="s">
        <v>52557</v>
      </c>
      <c r="Z3310" s="1" t="s">
        <v>52558</v>
      </c>
      <c r="AA3310" s="1" t="s">
        <v>52559</v>
      </c>
      <c r="AB3310" s="1" t="s">
        <v>52560</v>
      </c>
      <c r="AC3310" s="1" t="s">
        <v>52561</v>
      </c>
      <c r="AD3310" s="1" t="s">
        <v>52562</v>
      </c>
      <c r="AE3310" s="1" t="s">
        <v>52563</v>
      </c>
      <c r="AF3310" s="1" t="s">
        <v>74</v>
      </c>
      <c r="AG3310" s="1">
        <v>31</v>
      </c>
      <c r="AH3310" s="1">
        <v>5</v>
      </c>
      <c r="AI3310" s="1">
        <v>5</v>
      </c>
      <c r="AJ3310" s="1">
        <v>1</v>
      </c>
      <c r="AK3310" s="1">
        <v>26</v>
      </c>
      <c r="AL3310" s="1" t="s">
        <v>11056</v>
      </c>
      <c r="AM3310" s="1" t="s">
        <v>11057</v>
      </c>
      <c r="AN3310" s="1" t="s">
        <v>11058</v>
      </c>
      <c r="AO3310" s="1" t="s">
        <v>11059</v>
      </c>
      <c r="AP3310" s="1" t="s">
        <v>74</v>
      </c>
      <c r="AQ3310" s="1" t="s">
        <v>74</v>
      </c>
      <c r="AR3310" s="1" t="s">
        <v>11045</v>
      </c>
      <c r="AS3310" s="1" t="s">
        <v>11060</v>
      </c>
      <c r="AT3310" s="1" t="s">
        <v>24242</v>
      </c>
      <c r="AU3310" s="1">
        <v>2013</v>
      </c>
      <c r="AV3310" s="1">
        <v>8</v>
      </c>
      <c r="AW3310" s="1">
        <v>6</v>
      </c>
      <c r="AX3310" s="1" t="s">
        <v>74</v>
      </c>
      <c r="AY3310" s="1" t="s">
        <v>74</v>
      </c>
      <c r="AZ3310" s="1" t="s">
        <v>74</v>
      </c>
      <c r="BA3310" s="1" t="s">
        <v>74</v>
      </c>
      <c r="BB3310" s="1" t="s">
        <v>74</v>
      </c>
      <c r="BC3310" s="1" t="s">
        <v>74</v>
      </c>
      <c r="BD3310" s="1" t="s">
        <v>52564</v>
      </c>
      <c r="BE3310" s="1" t="s">
        <v>52565</v>
      </c>
      <c r="BF3310" s="1" t="str">
        <f>HYPERLINK("http://dx.doi.org/10.1371/journal.pone.0066285","http://dx.doi.org/10.1371/journal.pone.0066285")</f>
        <v>http://dx.doi.org/10.1371/journal.pone.0066285</v>
      </c>
      <c r="BG3310" s="1" t="s">
        <v>74</v>
      </c>
      <c r="BH3310" s="1" t="s">
        <v>74</v>
      </c>
      <c r="BI3310" s="1">
        <v>5</v>
      </c>
      <c r="BJ3310" s="1" t="s">
        <v>3202</v>
      </c>
      <c r="BK3310" s="1" t="s">
        <v>96</v>
      </c>
      <c r="BL3310" s="1" t="s">
        <v>3203</v>
      </c>
      <c r="BM3310" s="1" t="s">
        <v>52566</v>
      </c>
      <c r="BN3310" s="1">
        <v>23755304</v>
      </c>
      <c r="BO3310" s="1" t="s">
        <v>12743</v>
      </c>
      <c r="BP3310" s="1" t="s">
        <v>74</v>
      </c>
      <c r="BQ3310" s="1" t="s">
        <v>74</v>
      </c>
      <c r="BR3310" s="1" t="s">
        <v>98</v>
      </c>
      <c r="BS3310" s="1" t="s">
        <v>52567</v>
      </c>
      <c r="BT3310" s="1" t="str">
        <f>HYPERLINK("https%3A%2F%2Fwww.webofscience.com%2Fwos%2Fwoscc%2Ffull-record%2FWOS:000320579400084","View Full Record in Web of Science")</f>
        <v>View Full Record in Web of Science</v>
      </c>
      <c r="BU3310" s="1"/>
      <c r="BV3310" s="1"/>
    </row>
    <row r="3311" spans="1:74">
      <c r="A3311" s="1" t="s">
        <v>72</v>
      </c>
      <c r="B3311" s="1" t="s">
        <v>52568</v>
      </c>
      <c r="C3311" s="1" t="s">
        <v>74</v>
      </c>
      <c r="D3311" s="1" t="s">
        <v>74</v>
      </c>
      <c r="E3311" s="1" t="s">
        <v>74</v>
      </c>
      <c r="F3311" s="1" t="s">
        <v>52568</v>
      </c>
      <c r="G3311" s="1" t="s">
        <v>74</v>
      </c>
      <c r="H3311" s="1" t="s">
        <v>74</v>
      </c>
      <c r="I3311" s="1" t="s">
        <v>52569</v>
      </c>
      <c r="J3311" s="1" t="s">
        <v>4463</v>
      </c>
      <c r="K3311" s="1" t="s">
        <v>74</v>
      </c>
      <c r="L3311" s="1" t="s">
        <v>74</v>
      </c>
      <c r="M3311" s="1" t="s">
        <v>78</v>
      </c>
      <c r="N3311" s="1" t="s">
        <v>79</v>
      </c>
      <c r="O3311" s="1" t="s">
        <v>74</v>
      </c>
      <c r="P3311" s="1" t="s">
        <v>74</v>
      </c>
      <c r="Q3311" s="1" t="s">
        <v>74</v>
      </c>
      <c r="R3311" s="1" t="s">
        <v>74</v>
      </c>
      <c r="S3311" s="1" t="s">
        <v>74</v>
      </c>
      <c r="T3311" s="1" t="s">
        <v>74</v>
      </c>
      <c r="U3311" s="1" t="s">
        <v>52570</v>
      </c>
      <c r="V3311" s="1" t="s">
        <v>52571</v>
      </c>
      <c r="W3311" s="1" t="s">
        <v>52572</v>
      </c>
      <c r="X3311" s="1" t="s">
        <v>28497</v>
      </c>
      <c r="Y3311" s="1" t="s">
        <v>52573</v>
      </c>
      <c r="Z3311" s="1" t="s">
        <v>74</v>
      </c>
      <c r="AA3311" s="1" t="s">
        <v>74</v>
      </c>
      <c r="AB3311" s="1" t="s">
        <v>28498</v>
      </c>
      <c r="AC3311" s="1" t="s">
        <v>74</v>
      </c>
      <c r="AD3311" s="1" t="s">
        <v>74</v>
      </c>
      <c r="AE3311" s="1" t="s">
        <v>74</v>
      </c>
      <c r="AF3311" s="1" t="s">
        <v>74</v>
      </c>
      <c r="AG3311" s="1">
        <v>44</v>
      </c>
      <c r="AH3311" s="1">
        <v>74</v>
      </c>
      <c r="AI3311" s="1">
        <v>80</v>
      </c>
      <c r="AJ3311" s="1">
        <v>1</v>
      </c>
      <c r="AK3311" s="1">
        <v>14</v>
      </c>
      <c r="AL3311" s="1" t="s">
        <v>4471</v>
      </c>
      <c r="AM3311" s="1" t="s">
        <v>4472</v>
      </c>
      <c r="AN3311" s="1" t="s">
        <v>4473</v>
      </c>
      <c r="AO3311" s="1" t="s">
        <v>4474</v>
      </c>
      <c r="AP3311" s="1" t="s">
        <v>74</v>
      </c>
      <c r="AQ3311" s="1" t="s">
        <v>74</v>
      </c>
      <c r="AR3311" s="1" t="s">
        <v>4476</v>
      </c>
      <c r="AS3311" s="1" t="s">
        <v>4477</v>
      </c>
      <c r="AT3311" s="1" t="s">
        <v>1091</v>
      </c>
      <c r="AU3311" s="1">
        <v>2000</v>
      </c>
      <c r="AV3311" s="1">
        <v>34</v>
      </c>
      <c r="AW3311" s="1">
        <v>12</v>
      </c>
      <c r="AX3311" s="1" t="s">
        <v>74</v>
      </c>
      <c r="AY3311" s="1" t="s">
        <v>74</v>
      </c>
      <c r="AZ3311" s="1" t="s">
        <v>74</v>
      </c>
      <c r="BA3311" s="1" t="s">
        <v>74</v>
      </c>
      <c r="BB3311" s="1">
        <v>2401</v>
      </c>
      <c r="BC3311" s="1">
        <v>2409</v>
      </c>
      <c r="BD3311" s="1" t="s">
        <v>74</v>
      </c>
      <c r="BE3311" s="1" t="s">
        <v>52574</v>
      </c>
      <c r="BF3311" s="1" t="str">
        <f>HYPERLINK("http://dx.doi.org/10.1021/es991185g","http://dx.doi.org/10.1021/es991185g")</f>
        <v>http://dx.doi.org/10.1021/es991185g</v>
      </c>
      <c r="BG3311" s="1" t="s">
        <v>74</v>
      </c>
      <c r="BH3311" s="1" t="s">
        <v>74</v>
      </c>
      <c r="BI3311" s="1">
        <v>9</v>
      </c>
      <c r="BJ3311" s="1" t="s">
        <v>415</v>
      </c>
      <c r="BK3311" s="1" t="s">
        <v>96</v>
      </c>
      <c r="BL3311" s="1" t="s">
        <v>416</v>
      </c>
      <c r="BM3311" s="1" t="s">
        <v>52575</v>
      </c>
      <c r="BN3311" s="1" t="s">
        <v>74</v>
      </c>
      <c r="BO3311" s="1" t="s">
        <v>74</v>
      </c>
      <c r="BP3311" s="1" t="s">
        <v>74</v>
      </c>
      <c r="BQ3311" s="1" t="s">
        <v>74</v>
      </c>
      <c r="BR3311" s="1" t="s">
        <v>98</v>
      </c>
      <c r="BS3311" s="1" t="s">
        <v>52576</v>
      </c>
      <c r="BT3311" s="1" t="str">
        <f>HYPERLINK("https%3A%2F%2Fwww.webofscience.com%2Fwos%2Fwoscc%2Ffull-record%2FWOS:000087678300005","View Full Record in Web of Science")</f>
        <v>View Full Record in Web of Science</v>
      </c>
      <c r="BU3311" s="1"/>
      <c r="BV3311" s="1"/>
    </row>
    <row r="3312" spans="1:74">
      <c r="A3312" s="1" t="s">
        <v>72</v>
      </c>
      <c r="B3312" s="1" t="s">
        <v>52577</v>
      </c>
      <c r="C3312" s="1" t="s">
        <v>74</v>
      </c>
      <c r="D3312" s="1" t="s">
        <v>74</v>
      </c>
      <c r="E3312" s="1" t="s">
        <v>74</v>
      </c>
      <c r="F3312" s="1" t="s">
        <v>52578</v>
      </c>
      <c r="G3312" s="1" t="s">
        <v>74</v>
      </c>
      <c r="H3312" s="1" t="s">
        <v>74</v>
      </c>
      <c r="I3312" s="1" t="s">
        <v>52579</v>
      </c>
      <c r="J3312" s="1" t="s">
        <v>127</v>
      </c>
      <c r="K3312" s="1" t="s">
        <v>74</v>
      </c>
      <c r="L3312" s="1" t="s">
        <v>74</v>
      </c>
      <c r="M3312" s="1" t="s">
        <v>78</v>
      </c>
      <c r="N3312" s="1" t="s">
        <v>79</v>
      </c>
      <c r="O3312" s="1" t="s">
        <v>74</v>
      </c>
      <c r="P3312" s="1" t="s">
        <v>74</v>
      </c>
      <c r="Q3312" s="1" t="s">
        <v>74</v>
      </c>
      <c r="R3312" s="1" t="s">
        <v>74</v>
      </c>
      <c r="S3312" s="1" t="s">
        <v>74</v>
      </c>
      <c r="T3312" s="1" t="s">
        <v>52580</v>
      </c>
      <c r="U3312" s="1" t="s">
        <v>52581</v>
      </c>
      <c r="V3312" s="1" t="s">
        <v>52582</v>
      </c>
      <c r="W3312" s="1" t="s">
        <v>52583</v>
      </c>
      <c r="X3312" s="1" t="s">
        <v>52584</v>
      </c>
      <c r="Y3312" s="1" t="s">
        <v>52585</v>
      </c>
      <c r="Z3312" s="1" t="s">
        <v>52586</v>
      </c>
      <c r="AA3312" s="1" t="s">
        <v>52587</v>
      </c>
      <c r="AB3312" s="1" t="s">
        <v>52588</v>
      </c>
      <c r="AC3312" s="1" t="s">
        <v>52589</v>
      </c>
      <c r="AD3312" s="1" t="s">
        <v>52590</v>
      </c>
      <c r="AE3312" s="1" t="s">
        <v>52591</v>
      </c>
      <c r="AF3312" s="1" t="s">
        <v>74</v>
      </c>
      <c r="AG3312" s="1">
        <v>44</v>
      </c>
      <c r="AH3312" s="1">
        <v>12</v>
      </c>
      <c r="AI3312" s="1">
        <v>14</v>
      </c>
      <c r="AJ3312" s="1">
        <v>9</v>
      </c>
      <c r="AK3312" s="1">
        <v>130</v>
      </c>
      <c r="AL3312" s="1" t="s">
        <v>136</v>
      </c>
      <c r="AM3312" s="1" t="s">
        <v>137</v>
      </c>
      <c r="AN3312" s="1" t="s">
        <v>138</v>
      </c>
      <c r="AO3312" s="1" t="s">
        <v>139</v>
      </c>
      <c r="AP3312" s="1" t="s">
        <v>140</v>
      </c>
      <c r="AQ3312" s="1" t="s">
        <v>74</v>
      </c>
      <c r="AR3312" s="1" t="s">
        <v>127</v>
      </c>
      <c r="AS3312" s="1" t="s">
        <v>141</v>
      </c>
      <c r="AT3312" s="1" t="s">
        <v>951</v>
      </c>
      <c r="AU3312" s="1">
        <v>2015</v>
      </c>
      <c r="AV3312" s="1">
        <v>138</v>
      </c>
      <c r="AW3312" s="1" t="s">
        <v>74</v>
      </c>
      <c r="AX3312" s="1" t="s">
        <v>74</v>
      </c>
      <c r="AY3312" s="1" t="s">
        <v>74</v>
      </c>
      <c r="AZ3312" s="1" t="s">
        <v>74</v>
      </c>
      <c r="BA3312" s="1" t="s">
        <v>74</v>
      </c>
      <c r="BB3312" s="1">
        <v>806</v>
      </c>
      <c r="BC3312" s="1">
        <v>813</v>
      </c>
      <c r="BD3312" s="1" t="s">
        <v>74</v>
      </c>
      <c r="BE3312" s="1" t="s">
        <v>52592</v>
      </c>
      <c r="BF3312" s="1" t="str">
        <f>HYPERLINK("http://dx.doi.org/10.1016/j.chemosphere.2015.08.014","http://dx.doi.org/10.1016/j.chemosphere.2015.08.014")</f>
        <v>http://dx.doi.org/10.1016/j.chemosphere.2015.08.014</v>
      </c>
      <c r="BG3312" s="1" t="s">
        <v>74</v>
      </c>
      <c r="BH3312" s="1" t="s">
        <v>74</v>
      </c>
      <c r="BI3312" s="1">
        <v>8</v>
      </c>
      <c r="BJ3312" s="1" t="s">
        <v>144</v>
      </c>
      <c r="BK3312" s="1" t="s">
        <v>96</v>
      </c>
      <c r="BL3312" s="1" t="s">
        <v>145</v>
      </c>
      <c r="BM3312" s="1" t="s">
        <v>52593</v>
      </c>
      <c r="BN3312" s="1">
        <v>26295539</v>
      </c>
      <c r="BO3312" s="1" t="s">
        <v>74</v>
      </c>
      <c r="BP3312" s="1" t="s">
        <v>74</v>
      </c>
      <c r="BQ3312" s="1" t="s">
        <v>74</v>
      </c>
      <c r="BR3312" s="1" t="s">
        <v>98</v>
      </c>
      <c r="BS3312" s="1" t="s">
        <v>52594</v>
      </c>
      <c r="BT3312" s="1" t="str">
        <f>HYPERLINK("https%3A%2F%2Fwww.webofscience.com%2Fwos%2Fwoscc%2Ffull-record%2FWOS:000361772800106","View Full Record in Web of Science")</f>
        <v>View Full Record in Web of Science</v>
      </c>
      <c r="BU3312" s="1"/>
      <c r="BV3312" s="1"/>
    </row>
    <row r="3313" spans="1:74">
      <c r="A3313" s="1" t="s">
        <v>72</v>
      </c>
      <c r="B3313" s="1" t="s">
        <v>52595</v>
      </c>
      <c r="C3313" s="1" t="s">
        <v>74</v>
      </c>
      <c r="D3313" s="1" t="s">
        <v>74</v>
      </c>
      <c r="E3313" s="1" t="s">
        <v>74</v>
      </c>
      <c r="F3313" s="1" t="s">
        <v>52596</v>
      </c>
      <c r="G3313" s="1" t="s">
        <v>74</v>
      </c>
      <c r="H3313" s="1" t="s">
        <v>74</v>
      </c>
      <c r="I3313" s="1" t="s">
        <v>52597</v>
      </c>
      <c r="J3313" s="1" t="s">
        <v>232</v>
      </c>
      <c r="K3313" s="1" t="s">
        <v>74</v>
      </c>
      <c r="L3313" s="1" t="s">
        <v>74</v>
      </c>
      <c r="M3313" s="1" t="s">
        <v>78</v>
      </c>
      <c r="N3313" s="1" t="s">
        <v>79</v>
      </c>
      <c r="O3313" s="1" t="s">
        <v>74</v>
      </c>
      <c r="P3313" s="1" t="s">
        <v>74</v>
      </c>
      <c r="Q3313" s="1" t="s">
        <v>74</v>
      </c>
      <c r="R3313" s="1" t="s">
        <v>74</v>
      </c>
      <c r="S3313" s="1" t="s">
        <v>74</v>
      </c>
      <c r="T3313" s="1" t="s">
        <v>52598</v>
      </c>
      <c r="U3313" s="1" t="s">
        <v>52599</v>
      </c>
      <c r="V3313" s="1" t="s">
        <v>52600</v>
      </c>
      <c r="W3313" s="1" t="s">
        <v>52601</v>
      </c>
      <c r="X3313" s="1" t="s">
        <v>52602</v>
      </c>
      <c r="Y3313" s="1" t="s">
        <v>52603</v>
      </c>
      <c r="Z3313" s="1" t="s">
        <v>23601</v>
      </c>
      <c r="AA3313" s="1" t="s">
        <v>52604</v>
      </c>
      <c r="AB3313" s="1" t="s">
        <v>23603</v>
      </c>
      <c r="AC3313" s="1" t="s">
        <v>52605</v>
      </c>
      <c r="AD3313" s="1" t="s">
        <v>52606</v>
      </c>
      <c r="AE3313" s="1" t="s">
        <v>52607</v>
      </c>
      <c r="AF3313" s="1" t="s">
        <v>74</v>
      </c>
      <c r="AG3313" s="1">
        <v>75</v>
      </c>
      <c r="AH3313" s="1">
        <v>12</v>
      </c>
      <c r="AI3313" s="1">
        <v>15</v>
      </c>
      <c r="AJ3313" s="1">
        <v>5</v>
      </c>
      <c r="AK3313" s="1">
        <v>39</v>
      </c>
      <c r="AL3313" s="1" t="s">
        <v>136</v>
      </c>
      <c r="AM3313" s="1" t="s">
        <v>137</v>
      </c>
      <c r="AN3313" s="1" t="s">
        <v>138</v>
      </c>
      <c r="AO3313" s="1" t="s">
        <v>240</v>
      </c>
      <c r="AP3313" s="1" t="s">
        <v>241</v>
      </c>
      <c r="AQ3313" s="1" t="s">
        <v>74</v>
      </c>
      <c r="AR3313" s="1" t="s">
        <v>242</v>
      </c>
      <c r="AS3313" s="1" t="s">
        <v>243</v>
      </c>
      <c r="AT3313" s="1" t="s">
        <v>197</v>
      </c>
      <c r="AU3313" s="1">
        <v>2020</v>
      </c>
      <c r="AV3313" s="1">
        <v>161</v>
      </c>
      <c r="AW3313" s="1" t="s">
        <v>74</v>
      </c>
      <c r="AX3313" s="1" t="s">
        <v>489</v>
      </c>
      <c r="AY3313" s="1" t="s">
        <v>74</v>
      </c>
      <c r="AZ3313" s="1" t="s">
        <v>74</v>
      </c>
      <c r="BA3313" s="1" t="s">
        <v>74</v>
      </c>
      <c r="BB3313" s="1" t="s">
        <v>74</v>
      </c>
      <c r="BC3313" s="1" t="s">
        <v>74</v>
      </c>
      <c r="BD3313" s="1">
        <v>111706</v>
      </c>
      <c r="BE3313" s="1" t="s">
        <v>52608</v>
      </c>
      <c r="BF3313" s="1" t="str">
        <f>HYPERLINK("http://dx.doi.org/10.1016/j.marpolbul.2020.111706","http://dx.doi.org/10.1016/j.marpolbul.2020.111706")</f>
        <v>http://dx.doi.org/10.1016/j.marpolbul.2020.111706</v>
      </c>
      <c r="BG3313" s="1" t="s">
        <v>74</v>
      </c>
      <c r="BH3313" s="1" t="s">
        <v>74</v>
      </c>
      <c r="BI3313" s="1">
        <v>14</v>
      </c>
      <c r="BJ3313" s="1" t="s">
        <v>247</v>
      </c>
      <c r="BK3313" s="1" t="s">
        <v>96</v>
      </c>
      <c r="BL3313" s="1" t="s">
        <v>248</v>
      </c>
      <c r="BM3313" s="1" t="s">
        <v>52609</v>
      </c>
      <c r="BN3313" s="1">
        <v>33080387</v>
      </c>
      <c r="BO3313" s="1" t="s">
        <v>74</v>
      </c>
      <c r="BP3313" s="1" t="s">
        <v>74</v>
      </c>
      <c r="BQ3313" s="1" t="s">
        <v>74</v>
      </c>
      <c r="BR3313" s="1" t="s">
        <v>98</v>
      </c>
      <c r="BS3313" s="1" t="s">
        <v>52610</v>
      </c>
      <c r="BT3313" s="1" t="str">
        <f>HYPERLINK("https%3A%2F%2Fwww.webofscience.com%2Fwos%2Fwoscc%2Ffull-record%2FWOS:000600320100008","View Full Record in Web of Science")</f>
        <v>View Full Record in Web of Science</v>
      </c>
      <c r="BU3313" s="1"/>
      <c r="BV3313" s="1"/>
    </row>
    <row r="3314" spans="1:74">
      <c r="A3314" s="1" t="s">
        <v>72</v>
      </c>
      <c r="B3314" s="1" t="s">
        <v>52611</v>
      </c>
      <c r="C3314" s="1" t="s">
        <v>74</v>
      </c>
      <c r="D3314" s="1" t="s">
        <v>74</v>
      </c>
      <c r="E3314" s="1" t="s">
        <v>74</v>
      </c>
      <c r="F3314" s="1" t="s">
        <v>52612</v>
      </c>
      <c r="G3314" s="1" t="s">
        <v>74</v>
      </c>
      <c r="H3314" s="1" t="s">
        <v>74</v>
      </c>
      <c r="I3314" s="1" t="s">
        <v>52613</v>
      </c>
      <c r="J3314" s="1" t="s">
        <v>204</v>
      </c>
      <c r="K3314" s="1" t="s">
        <v>74</v>
      </c>
      <c r="L3314" s="1" t="s">
        <v>74</v>
      </c>
      <c r="M3314" s="1" t="s">
        <v>78</v>
      </c>
      <c r="N3314" s="1" t="s">
        <v>79</v>
      </c>
      <c r="O3314" s="1" t="s">
        <v>74</v>
      </c>
      <c r="P3314" s="1" t="s">
        <v>74</v>
      </c>
      <c r="Q3314" s="1" t="s">
        <v>74</v>
      </c>
      <c r="R3314" s="1" t="s">
        <v>74</v>
      </c>
      <c r="S3314" s="1" t="s">
        <v>74</v>
      </c>
      <c r="T3314" s="1" t="s">
        <v>52614</v>
      </c>
      <c r="U3314" s="1" t="s">
        <v>52615</v>
      </c>
      <c r="V3314" s="1" t="s">
        <v>52616</v>
      </c>
      <c r="W3314" s="1" t="s">
        <v>52617</v>
      </c>
      <c r="X3314" s="1" t="s">
        <v>52618</v>
      </c>
      <c r="Y3314" s="1" t="s">
        <v>52619</v>
      </c>
      <c r="Z3314" s="1" t="s">
        <v>52620</v>
      </c>
      <c r="AA3314" s="1" t="s">
        <v>74</v>
      </c>
      <c r="AB3314" s="1" t="s">
        <v>74</v>
      </c>
      <c r="AC3314" s="1" t="s">
        <v>52621</v>
      </c>
      <c r="AD3314" s="1" t="s">
        <v>52622</v>
      </c>
      <c r="AE3314" s="1" t="s">
        <v>52623</v>
      </c>
      <c r="AF3314" s="1" t="s">
        <v>74</v>
      </c>
      <c r="AG3314" s="1">
        <v>109</v>
      </c>
      <c r="AH3314" s="1">
        <v>8</v>
      </c>
      <c r="AI3314" s="1">
        <v>8</v>
      </c>
      <c r="AJ3314" s="1">
        <v>10</v>
      </c>
      <c r="AK3314" s="1">
        <v>15</v>
      </c>
      <c r="AL3314" s="1" t="s">
        <v>217</v>
      </c>
      <c r="AM3314" s="1" t="s">
        <v>218</v>
      </c>
      <c r="AN3314" s="1" t="s">
        <v>219</v>
      </c>
      <c r="AO3314" s="1" t="s">
        <v>220</v>
      </c>
      <c r="AP3314" s="1" t="s">
        <v>221</v>
      </c>
      <c r="AQ3314" s="1" t="s">
        <v>74</v>
      </c>
      <c r="AR3314" s="1" t="s">
        <v>222</v>
      </c>
      <c r="AS3314" s="1" t="s">
        <v>223</v>
      </c>
      <c r="AT3314" s="1" t="s">
        <v>1470</v>
      </c>
      <c r="AU3314" s="1">
        <v>2020</v>
      </c>
      <c r="AV3314" s="1">
        <v>27</v>
      </c>
      <c r="AW3314" s="1">
        <v>2</v>
      </c>
      <c r="AX3314" s="1" t="s">
        <v>74</v>
      </c>
      <c r="AY3314" s="1" t="s">
        <v>74</v>
      </c>
      <c r="AZ3314" s="1" t="s">
        <v>74</v>
      </c>
      <c r="BA3314" s="1" t="s">
        <v>74</v>
      </c>
      <c r="BB3314" s="1">
        <v>1734</v>
      </c>
      <c r="BC3314" s="1">
        <v>1751</v>
      </c>
      <c r="BD3314" s="1" t="s">
        <v>74</v>
      </c>
      <c r="BE3314" s="1" t="s">
        <v>52624</v>
      </c>
      <c r="BF3314" s="1" t="str">
        <f>HYPERLINK("http://dx.doi.org/10.1007/s11356-019-06851-y","http://dx.doi.org/10.1007/s11356-019-06851-y")</f>
        <v>http://dx.doi.org/10.1007/s11356-019-06851-y</v>
      </c>
      <c r="BG3314" s="1" t="s">
        <v>74</v>
      </c>
      <c r="BH3314" s="1" t="s">
        <v>15786</v>
      </c>
      <c r="BI3314" s="1">
        <v>18</v>
      </c>
      <c r="BJ3314" s="1" t="s">
        <v>144</v>
      </c>
      <c r="BK3314" s="1" t="s">
        <v>96</v>
      </c>
      <c r="BL3314" s="1" t="s">
        <v>145</v>
      </c>
      <c r="BM3314" s="1" t="s">
        <v>3400</v>
      </c>
      <c r="BN3314" s="1">
        <v>31755057</v>
      </c>
      <c r="BO3314" s="1" t="s">
        <v>370</v>
      </c>
      <c r="BP3314" s="1" t="s">
        <v>74</v>
      </c>
      <c r="BQ3314" s="1" t="s">
        <v>74</v>
      </c>
      <c r="BR3314" s="1" t="s">
        <v>98</v>
      </c>
      <c r="BS3314" s="1" t="s">
        <v>52625</v>
      </c>
      <c r="BT3314" s="1" t="str">
        <f>HYPERLINK("https%3A%2F%2Fwww.webofscience.com%2Fwos%2Fwoscc%2Ffull-record%2FWOS:000497830900013","View Full Record in Web of Science")</f>
        <v>View Full Record in Web of Science</v>
      </c>
      <c r="BU3314" s="1"/>
      <c r="BV3314" s="1"/>
    </row>
    <row r="3315" spans="1:74">
      <c r="A3315" s="1" t="s">
        <v>72</v>
      </c>
      <c r="B3315" s="1" t="s">
        <v>52626</v>
      </c>
      <c r="C3315" s="1" t="s">
        <v>74</v>
      </c>
      <c r="D3315" s="1" t="s">
        <v>74</v>
      </c>
      <c r="E3315" s="1" t="s">
        <v>74</v>
      </c>
      <c r="F3315" s="1" t="s">
        <v>52627</v>
      </c>
      <c r="G3315" s="1" t="s">
        <v>74</v>
      </c>
      <c r="H3315" s="1" t="s">
        <v>74</v>
      </c>
      <c r="I3315" s="1" t="s">
        <v>52628</v>
      </c>
      <c r="J3315" s="1" t="s">
        <v>232</v>
      </c>
      <c r="K3315" s="1" t="s">
        <v>74</v>
      </c>
      <c r="L3315" s="1" t="s">
        <v>74</v>
      </c>
      <c r="M3315" s="1" t="s">
        <v>78</v>
      </c>
      <c r="N3315" s="1" t="s">
        <v>79</v>
      </c>
      <c r="O3315" s="1" t="s">
        <v>74</v>
      </c>
      <c r="P3315" s="1" t="s">
        <v>74</v>
      </c>
      <c r="Q3315" s="1" t="s">
        <v>74</v>
      </c>
      <c r="R3315" s="1" t="s">
        <v>74</v>
      </c>
      <c r="S3315" s="1" t="s">
        <v>74</v>
      </c>
      <c r="T3315" s="1" t="s">
        <v>52629</v>
      </c>
      <c r="U3315" s="1" t="s">
        <v>52630</v>
      </c>
      <c r="V3315" s="1" t="s">
        <v>52631</v>
      </c>
      <c r="W3315" s="1" t="s">
        <v>52632</v>
      </c>
      <c r="X3315" s="1" t="s">
        <v>52633</v>
      </c>
      <c r="Y3315" s="1" t="s">
        <v>52634</v>
      </c>
      <c r="Z3315" s="1" t="s">
        <v>52635</v>
      </c>
      <c r="AA3315" s="1" t="s">
        <v>52636</v>
      </c>
      <c r="AB3315" s="1" t="s">
        <v>52637</v>
      </c>
      <c r="AC3315" s="1" t="s">
        <v>52638</v>
      </c>
      <c r="AD3315" s="1" t="s">
        <v>52639</v>
      </c>
      <c r="AE3315" s="1" t="s">
        <v>52640</v>
      </c>
      <c r="AF3315" s="1" t="s">
        <v>74</v>
      </c>
      <c r="AG3315" s="1">
        <v>61</v>
      </c>
      <c r="AH3315" s="1">
        <v>4</v>
      </c>
      <c r="AI3315" s="1">
        <v>4</v>
      </c>
      <c r="AJ3315" s="1">
        <v>0</v>
      </c>
      <c r="AK3315" s="1">
        <v>14</v>
      </c>
      <c r="AL3315" s="1" t="s">
        <v>136</v>
      </c>
      <c r="AM3315" s="1" t="s">
        <v>137</v>
      </c>
      <c r="AN3315" s="1" t="s">
        <v>138</v>
      </c>
      <c r="AO3315" s="1" t="s">
        <v>240</v>
      </c>
      <c r="AP3315" s="1" t="s">
        <v>241</v>
      </c>
      <c r="AQ3315" s="1" t="s">
        <v>74</v>
      </c>
      <c r="AR3315" s="1" t="s">
        <v>242</v>
      </c>
      <c r="AS3315" s="1" t="s">
        <v>243</v>
      </c>
      <c r="AT3315" s="1" t="s">
        <v>93</v>
      </c>
      <c r="AU3315" s="1">
        <v>2020</v>
      </c>
      <c r="AV3315" s="1">
        <v>153</v>
      </c>
      <c r="AW3315" s="1" t="s">
        <v>74</v>
      </c>
      <c r="AX3315" s="1" t="s">
        <v>74</v>
      </c>
      <c r="AY3315" s="1" t="s">
        <v>74</v>
      </c>
      <c r="AZ3315" s="1" t="s">
        <v>74</v>
      </c>
      <c r="BA3315" s="1" t="s">
        <v>74</v>
      </c>
      <c r="BB3315" s="1" t="s">
        <v>74</v>
      </c>
      <c r="BC3315" s="1" t="s">
        <v>74</v>
      </c>
      <c r="BD3315" s="1">
        <v>110975</v>
      </c>
      <c r="BE3315" s="1" t="s">
        <v>52641</v>
      </c>
      <c r="BF3315" s="1" t="str">
        <f>HYPERLINK("http://dx.doi.org/10.1016/j.marpolbul.2020.110975","http://dx.doi.org/10.1016/j.marpolbul.2020.110975")</f>
        <v>http://dx.doi.org/10.1016/j.marpolbul.2020.110975</v>
      </c>
      <c r="BG3315" s="1" t="s">
        <v>74</v>
      </c>
      <c r="BH3315" s="1" t="s">
        <v>74</v>
      </c>
      <c r="BI3315" s="1">
        <v>6</v>
      </c>
      <c r="BJ3315" s="1" t="s">
        <v>247</v>
      </c>
      <c r="BK3315" s="1" t="s">
        <v>96</v>
      </c>
      <c r="BL3315" s="1" t="s">
        <v>248</v>
      </c>
      <c r="BM3315" s="1" t="s">
        <v>8796</v>
      </c>
      <c r="BN3315" s="1">
        <v>32275533</v>
      </c>
      <c r="BO3315" s="1" t="s">
        <v>1752</v>
      </c>
      <c r="BP3315" s="1" t="s">
        <v>74</v>
      </c>
      <c r="BQ3315" s="1" t="s">
        <v>74</v>
      </c>
      <c r="BR3315" s="1" t="s">
        <v>98</v>
      </c>
      <c r="BS3315" s="1" t="s">
        <v>52642</v>
      </c>
      <c r="BT3315" s="1" t="str">
        <f>HYPERLINK("https%3A%2F%2Fwww.webofscience.com%2Fwos%2Fwoscc%2Ffull-record%2FWOS:000523640200084","View Full Record in Web of Science")</f>
        <v>View Full Record in Web of Science</v>
      </c>
      <c r="BU3315" s="1"/>
      <c r="BV3315" s="1"/>
    </row>
    <row r="3316" spans="1:74">
      <c r="A3316" s="1" t="s">
        <v>72</v>
      </c>
      <c r="B3316" s="1" t="s">
        <v>52643</v>
      </c>
      <c r="C3316" s="1" t="s">
        <v>74</v>
      </c>
      <c r="D3316" s="1" t="s">
        <v>74</v>
      </c>
      <c r="E3316" s="1" t="s">
        <v>74</v>
      </c>
      <c r="F3316" s="1" t="s">
        <v>52644</v>
      </c>
      <c r="G3316" s="1" t="s">
        <v>74</v>
      </c>
      <c r="H3316" s="1" t="s">
        <v>74</v>
      </c>
      <c r="I3316" s="1" t="s">
        <v>52645</v>
      </c>
      <c r="J3316" s="1" t="s">
        <v>52646</v>
      </c>
      <c r="K3316" s="1" t="s">
        <v>74</v>
      </c>
      <c r="L3316" s="1" t="s">
        <v>74</v>
      </c>
      <c r="M3316" s="1" t="s">
        <v>78</v>
      </c>
      <c r="N3316" s="1" t="s">
        <v>79</v>
      </c>
      <c r="O3316" s="1" t="s">
        <v>74</v>
      </c>
      <c r="P3316" s="1" t="s">
        <v>74</v>
      </c>
      <c r="Q3316" s="1" t="s">
        <v>74</v>
      </c>
      <c r="R3316" s="1" t="s">
        <v>74</v>
      </c>
      <c r="S3316" s="1" t="s">
        <v>74</v>
      </c>
      <c r="T3316" s="1" t="s">
        <v>74</v>
      </c>
      <c r="U3316" s="1" t="s">
        <v>52647</v>
      </c>
      <c r="V3316" s="1" t="s">
        <v>52648</v>
      </c>
      <c r="W3316" s="1" t="s">
        <v>52649</v>
      </c>
      <c r="X3316" s="1" t="s">
        <v>52650</v>
      </c>
      <c r="Y3316" s="1" t="s">
        <v>52651</v>
      </c>
      <c r="Z3316" s="1" t="s">
        <v>52652</v>
      </c>
      <c r="AA3316" s="1" t="s">
        <v>52653</v>
      </c>
      <c r="AB3316" s="1" t="s">
        <v>52654</v>
      </c>
      <c r="AC3316" s="1" t="s">
        <v>52655</v>
      </c>
      <c r="AD3316" s="1" t="s">
        <v>52655</v>
      </c>
      <c r="AE3316" s="1" t="s">
        <v>52656</v>
      </c>
      <c r="AF3316" s="1" t="s">
        <v>74</v>
      </c>
      <c r="AG3316" s="1">
        <v>71</v>
      </c>
      <c r="AH3316" s="1">
        <v>126</v>
      </c>
      <c r="AI3316" s="1">
        <v>137</v>
      </c>
      <c r="AJ3316" s="1">
        <v>21</v>
      </c>
      <c r="AK3316" s="1">
        <v>213</v>
      </c>
      <c r="AL3316" s="1" t="s">
        <v>4471</v>
      </c>
      <c r="AM3316" s="1" t="s">
        <v>4472</v>
      </c>
      <c r="AN3316" s="1" t="s">
        <v>4473</v>
      </c>
      <c r="AO3316" s="1" t="s">
        <v>52657</v>
      </c>
      <c r="AP3316" s="1" t="s">
        <v>52658</v>
      </c>
      <c r="AQ3316" s="1" t="s">
        <v>74</v>
      </c>
      <c r="AR3316" s="1" t="s">
        <v>52659</v>
      </c>
      <c r="AS3316" s="1" t="s">
        <v>52660</v>
      </c>
      <c r="AT3316" s="1" t="s">
        <v>8500</v>
      </c>
      <c r="AU3316" s="1">
        <v>2021</v>
      </c>
      <c r="AV3316" s="1">
        <v>34</v>
      </c>
      <c r="AW3316" s="1">
        <v>4</v>
      </c>
      <c r="AX3316" s="1" t="s">
        <v>74</v>
      </c>
      <c r="AY3316" s="1" t="s">
        <v>74</v>
      </c>
      <c r="AZ3316" s="1" t="s">
        <v>74</v>
      </c>
      <c r="BA3316" s="1" t="s">
        <v>74</v>
      </c>
      <c r="BB3316" s="1">
        <v>1069</v>
      </c>
      <c r="BC3316" s="1">
        <v>1081</v>
      </c>
      <c r="BD3316" s="1" t="s">
        <v>74</v>
      </c>
      <c r="BE3316" s="1" t="s">
        <v>52661</v>
      </c>
      <c r="BF3316" s="1" t="str">
        <f>HYPERLINK("http://dx.doi.org/10.1021/acs.chemrestox.0c00486","http://dx.doi.org/10.1021/acs.chemrestox.0c00486")</f>
        <v>http://dx.doi.org/10.1021/acs.chemrestox.0c00486</v>
      </c>
      <c r="BG3316" s="1" t="s">
        <v>74</v>
      </c>
      <c r="BH3316" s="1" t="s">
        <v>992</v>
      </c>
      <c r="BI3316" s="1">
        <v>13</v>
      </c>
      <c r="BJ3316" s="1" t="s">
        <v>52662</v>
      </c>
      <c r="BK3316" s="1" t="s">
        <v>96</v>
      </c>
      <c r="BL3316" s="1" t="s">
        <v>52663</v>
      </c>
      <c r="BM3316" s="1" t="s">
        <v>52664</v>
      </c>
      <c r="BN3316" s="1">
        <v>33720697</v>
      </c>
      <c r="BO3316" s="1" t="s">
        <v>74</v>
      </c>
      <c r="BP3316" s="1" t="s">
        <v>74</v>
      </c>
      <c r="BQ3316" s="1" t="s">
        <v>74</v>
      </c>
      <c r="BR3316" s="1" t="s">
        <v>98</v>
      </c>
      <c r="BS3316" s="1" t="s">
        <v>52665</v>
      </c>
      <c r="BT3316" s="1" t="str">
        <f>HYPERLINK("https%3A%2F%2Fwww.webofscience.com%2Fwos%2Fwoscc%2Ffull-record%2FWOS:000642364000013","View Full Record in Web of Science")</f>
        <v>View Full Record in Web of Science</v>
      </c>
      <c r="BU3316" s="1"/>
      <c r="BV3316" s="1"/>
    </row>
    <row r="3317" spans="1:74">
      <c r="A3317" s="1" t="s">
        <v>72</v>
      </c>
      <c r="B3317" s="1" t="s">
        <v>52666</v>
      </c>
      <c r="C3317" s="1" t="s">
        <v>74</v>
      </c>
      <c r="D3317" s="1" t="s">
        <v>74</v>
      </c>
      <c r="E3317" s="1" t="s">
        <v>74</v>
      </c>
      <c r="F3317" s="1" t="s">
        <v>52667</v>
      </c>
      <c r="G3317" s="1" t="s">
        <v>74</v>
      </c>
      <c r="H3317" s="1" t="s">
        <v>74</v>
      </c>
      <c r="I3317" s="1" t="s">
        <v>52668</v>
      </c>
      <c r="J3317" s="1" t="s">
        <v>3183</v>
      </c>
      <c r="K3317" s="1" t="s">
        <v>74</v>
      </c>
      <c r="L3317" s="1" t="s">
        <v>74</v>
      </c>
      <c r="M3317" s="1" t="s">
        <v>78</v>
      </c>
      <c r="N3317" s="1" t="s">
        <v>79</v>
      </c>
      <c r="O3317" s="1" t="s">
        <v>74</v>
      </c>
      <c r="P3317" s="1" t="s">
        <v>74</v>
      </c>
      <c r="Q3317" s="1" t="s">
        <v>74</v>
      </c>
      <c r="R3317" s="1" t="s">
        <v>74</v>
      </c>
      <c r="S3317" s="1" t="s">
        <v>74</v>
      </c>
      <c r="T3317" s="1" t="s">
        <v>52669</v>
      </c>
      <c r="U3317" s="1" t="s">
        <v>52670</v>
      </c>
      <c r="V3317" s="1" t="s">
        <v>52671</v>
      </c>
      <c r="W3317" s="1" t="s">
        <v>52672</v>
      </c>
      <c r="X3317" s="1" t="s">
        <v>47520</v>
      </c>
      <c r="Y3317" s="1" t="s">
        <v>52673</v>
      </c>
      <c r="Z3317" s="1" t="s">
        <v>49977</v>
      </c>
      <c r="AA3317" s="1" t="s">
        <v>52674</v>
      </c>
      <c r="AB3317" s="1" t="s">
        <v>52675</v>
      </c>
      <c r="AC3317" s="1" t="s">
        <v>47520</v>
      </c>
      <c r="AD3317" s="1" t="s">
        <v>52676</v>
      </c>
      <c r="AE3317" s="1" t="s">
        <v>52677</v>
      </c>
      <c r="AF3317" s="1" t="s">
        <v>74</v>
      </c>
      <c r="AG3317" s="1">
        <v>80</v>
      </c>
      <c r="AH3317" s="1">
        <v>9</v>
      </c>
      <c r="AI3317" s="1">
        <v>9</v>
      </c>
      <c r="AJ3317" s="1">
        <v>9</v>
      </c>
      <c r="AK3317" s="1">
        <v>46</v>
      </c>
      <c r="AL3317" s="1" t="s">
        <v>3196</v>
      </c>
      <c r="AM3317" s="1" t="s">
        <v>262</v>
      </c>
      <c r="AN3317" s="1" t="s">
        <v>3197</v>
      </c>
      <c r="AO3317" s="1" t="s">
        <v>74</v>
      </c>
      <c r="AP3317" s="1" t="s">
        <v>3198</v>
      </c>
      <c r="AQ3317" s="1" t="s">
        <v>74</v>
      </c>
      <c r="AR3317" s="1" t="s">
        <v>3183</v>
      </c>
      <c r="AS3317" s="1" t="s">
        <v>3199</v>
      </c>
      <c r="AT3317" s="1" t="s">
        <v>1470</v>
      </c>
      <c r="AU3317" s="1">
        <v>2023</v>
      </c>
      <c r="AV3317" s="1">
        <v>9</v>
      </c>
      <c r="AW3317" s="1">
        <v>1</v>
      </c>
      <c r="AX3317" s="1" t="s">
        <v>74</v>
      </c>
      <c r="AY3317" s="1" t="s">
        <v>74</v>
      </c>
      <c r="AZ3317" s="1" t="s">
        <v>74</v>
      </c>
      <c r="BA3317" s="1" t="s">
        <v>74</v>
      </c>
      <c r="BB3317" s="1" t="s">
        <v>74</v>
      </c>
      <c r="BC3317" s="1" t="s">
        <v>74</v>
      </c>
      <c r="BD3317" s="1" t="s">
        <v>52678</v>
      </c>
      <c r="BE3317" s="1" t="s">
        <v>52679</v>
      </c>
      <c r="BF3317" s="1" t="str">
        <f>HYPERLINK("http://dx.doi.org/10.1016/j.heliyon.2023.e12961","http://dx.doi.org/10.1016/j.heliyon.2023.e12961")</f>
        <v>http://dx.doi.org/10.1016/j.heliyon.2023.e12961</v>
      </c>
      <c r="BG3317" s="1" t="s">
        <v>74</v>
      </c>
      <c r="BH3317" s="1" t="s">
        <v>2057</v>
      </c>
      <c r="BI3317" s="1">
        <v>12</v>
      </c>
      <c r="BJ3317" s="1" t="s">
        <v>3202</v>
      </c>
      <c r="BK3317" s="1" t="s">
        <v>96</v>
      </c>
      <c r="BL3317" s="1" t="s">
        <v>3203</v>
      </c>
      <c r="BM3317" s="1" t="s">
        <v>52680</v>
      </c>
      <c r="BN3317" s="1">
        <v>36711275</v>
      </c>
      <c r="BO3317" s="1" t="s">
        <v>550</v>
      </c>
      <c r="BP3317" s="1" t="s">
        <v>74</v>
      </c>
      <c r="BQ3317" s="1" t="s">
        <v>74</v>
      </c>
      <c r="BR3317" s="1" t="s">
        <v>98</v>
      </c>
      <c r="BS3317" s="1" t="s">
        <v>52681</v>
      </c>
      <c r="BT3317" s="1" t="str">
        <f>HYPERLINK("https%3A%2F%2Fwww.webofscience.com%2Fwos%2Fwoscc%2Ffull-record%2FWOS:000969474200001","View Full Record in Web of Science")</f>
        <v>View Full Record in Web of Science</v>
      </c>
      <c r="BU3317" s="1"/>
      <c r="BV3317" s="1"/>
    </row>
    <row r="3318" spans="1:74">
      <c r="A3318" s="1" t="s">
        <v>72</v>
      </c>
      <c r="B3318" s="1" t="s">
        <v>52682</v>
      </c>
      <c r="C3318" s="1" t="s">
        <v>74</v>
      </c>
      <c r="D3318" s="1" t="s">
        <v>74</v>
      </c>
      <c r="E3318" s="1" t="s">
        <v>74</v>
      </c>
      <c r="F3318" s="1" t="s">
        <v>52683</v>
      </c>
      <c r="G3318" s="1" t="s">
        <v>74</v>
      </c>
      <c r="H3318" s="1" t="s">
        <v>74</v>
      </c>
      <c r="I3318" s="1" t="s">
        <v>52684</v>
      </c>
      <c r="J3318" s="1" t="s">
        <v>421</v>
      </c>
      <c r="K3318" s="1" t="s">
        <v>74</v>
      </c>
      <c r="L3318" s="1" t="s">
        <v>74</v>
      </c>
      <c r="M3318" s="1" t="s">
        <v>78</v>
      </c>
      <c r="N3318" s="1" t="s">
        <v>79</v>
      </c>
      <c r="O3318" s="1" t="s">
        <v>74</v>
      </c>
      <c r="P3318" s="1" t="s">
        <v>74</v>
      </c>
      <c r="Q3318" s="1" t="s">
        <v>74</v>
      </c>
      <c r="R3318" s="1" t="s">
        <v>74</v>
      </c>
      <c r="S3318" s="1" t="s">
        <v>74</v>
      </c>
      <c r="T3318" s="1" t="s">
        <v>52685</v>
      </c>
      <c r="U3318" s="1" t="s">
        <v>52686</v>
      </c>
      <c r="V3318" s="1" t="s">
        <v>52687</v>
      </c>
      <c r="W3318" s="1" t="s">
        <v>52688</v>
      </c>
      <c r="X3318" s="1" t="s">
        <v>14894</v>
      </c>
      <c r="Y3318" s="1" t="s">
        <v>52689</v>
      </c>
      <c r="Z3318" s="1" t="s">
        <v>52690</v>
      </c>
      <c r="AA3318" s="1" t="s">
        <v>52691</v>
      </c>
      <c r="AB3318" s="1" t="s">
        <v>52692</v>
      </c>
      <c r="AC3318" s="1" t="s">
        <v>52693</v>
      </c>
      <c r="AD3318" s="1" t="s">
        <v>52694</v>
      </c>
      <c r="AE3318" s="1" t="s">
        <v>52695</v>
      </c>
      <c r="AF3318" s="1" t="s">
        <v>74</v>
      </c>
      <c r="AG3318" s="1">
        <v>80</v>
      </c>
      <c r="AH3318" s="1">
        <v>7</v>
      </c>
      <c r="AI3318" s="1">
        <v>7</v>
      </c>
      <c r="AJ3318" s="1">
        <v>15</v>
      </c>
      <c r="AK3318" s="1">
        <v>53</v>
      </c>
      <c r="AL3318" s="1" t="s">
        <v>430</v>
      </c>
      <c r="AM3318" s="1" t="s">
        <v>137</v>
      </c>
      <c r="AN3318" s="1" t="s">
        <v>431</v>
      </c>
      <c r="AO3318" s="1" t="s">
        <v>432</v>
      </c>
      <c r="AP3318" s="1" t="s">
        <v>1394</v>
      </c>
      <c r="AQ3318" s="1" t="s">
        <v>74</v>
      </c>
      <c r="AR3318" s="1" t="s">
        <v>433</v>
      </c>
      <c r="AS3318" s="1" t="s">
        <v>434</v>
      </c>
      <c r="AT3318" s="1" t="s">
        <v>2303</v>
      </c>
      <c r="AU3318" s="1">
        <v>2022</v>
      </c>
      <c r="AV3318" s="1">
        <v>314</v>
      </c>
      <c r="AW3318" s="1" t="s">
        <v>74</v>
      </c>
      <c r="AX3318" s="1" t="s">
        <v>74</v>
      </c>
      <c r="AY3318" s="1" t="s">
        <v>74</v>
      </c>
      <c r="AZ3318" s="1" t="s">
        <v>74</v>
      </c>
      <c r="BA3318" s="1" t="s">
        <v>74</v>
      </c>
      <c r="BB3318" s="1" t="s">
        <v>74</v>
      </c>
      <c r="BC3318" s="1" t="s">
        <v>74</v>
      </c>
      <c r="BD3318" s="1">
        <v>120244</v>
      </c>
      <c r="BE3318" s="1" t="s">
        <v>52696</v>
      </c>
      <c r="BF3318" s="1" t="str">
        <f>HYPERLINK("http://dx.doi.org/10.1016/j.envpol.2022.120244","http://dx.doi.org/10.1016/j.envpol.2022.120244")</f>
        <v>http://dx.doi.org/10.1016/j.envpol.2022.120244</v>
      </c>
      <c r="BG3318" s="1" t="s">
        <v>74</v>
      </c>
      <c r="BH3318" s="1" t="s">
        <v>4632</v>
      </c>
      <c r="BI3318" s="1">
        <v>10</v>
      </c>
      <c r="BJ3318" s="1" t="s">
        <v>144</v>
      </c>
      <c r="BK3318" s="1" t="s">
        <v>96</v>
      </c>
      <c r="BL3318" s="1" t="s">
        <v>145</v>
      </c>
      <c r="BM3318" s="1" t="s">
        <v>52697</v>
      </c>
      <c r="BN3318" s="1">
        <v>36152711</v>
      </c>
      <c r="BO3318" s="1" t="s">
        <v>1752</v>
      </c>
      <c r="BP3318" s="1" t="s">
        <v>74</v>
      </c>
      <c r="BQ3318" s="1" t="s">
        <v>74</v>
      </c>
      <c r="BR3318" s="1" t="s">
        <v>98</v>
      </c>
      <c r="BS3318" s="1" t="s">
        <v>52698</v>
      </c>
      <c r="BT3318" s="1" t="str">
        <f>HYPERLINK("https%3A%2F%2Fwww.webofscience.com%2Fwos%2Fwoscc%2Ffull-record%2FWOS:000889324000005","View Full Record in Web of Science")</f>
        <v>View Full Record in Web of Science</v>
      </c>
      <c r="BU3318" s="1"/>
      <c r="BV3318" s="1"/>
    </row>
    <row r="3319" spans="1:74">
      <c r="A3319" s="1" t="s">
        <v>72</v>
      </c>
      <c r="B3319" s="1" t="s">
        <v>52699</v>
      </c>
      <c r="C3319" s="1" t="s">
        <v>74</v>
      </c>
      <c r="D3319" s="1" t="s">
        <v>74</v>
      </c>
      <c r="E3319" s="1" t="s">
        <v>74</v>
      </c>
      <c r="F3319" s="1" t="s">
        <v>52699</v>
      </c>
      <c r="G3319" s="1" t="s">
        <v>74</v>
      </c>
      <c r="H3319" s="1" t="s">
        <v>74</v>
      </c>
      <c r="I3319" s="1" t="s">
        <v>52700</v>
      </c>
      <c r="J3319" s="1" t="s">
        <v>52701</v>
      </c>
      <c r="K3319" s="1" t="s">
        <v>74</v>
      </c>
      <c r="L3319" s="1" t="s">
        <v>74</v>
      </c>
      <c r="M3319" s="1" t="s">
        <v>78</v>
      </c>
      <c r="N3319" s="1" t="s">
        <v>151</v>
      </c>
      <c r="O3319" s="1" t="s">
        <v>52702</v>
      </c>
      <c r="P3319" s="1" t="s">
        <v>52703</v>
      </c>
      <c r="Q3319" s="1" t="s">
        <v>52704</v>
      </c>
      <c r="R3319" s="1" t="s">
        <v>74</v>
      </c>
      <c r="S3319" s="1" t="s">
        <v>74</v>
      </c>
      <c r="T3319" s="1" t="s">
        <v>74</v>
      </c>
      <c r="U3319" s="1" t="s">
        <v>52705</v>
      </c>
      <c r="V3319" s="1" t="s">
        <v>52706</v>
      </c>
      <c r="W3319" s="1" t="s">
        <v>52707</v>
      </c>
      <c r="X3319" s="1" t="s">
        <v>5402</v>
      </c>
      <c r="Y3319" s="1" t="s">
        <v>52708</v>
      </c>
      <c r="Z3319" s="1" t="s">
        <v>74</v>
      </c>
      <c r="AA3319" s="1" t="s">
        <v>44244</v>
      </c>
      <c r="AB3319" s="1" t="s">
        <v>44245</v>
      </c>
      <c r="AC3319" s="1" t="s">
        <v>74</v>
      </c>
      <c r="AD3319" s="1" t="s">
        <v>74</v>
      </c>
      <c r="AE3319" s="1" t="s">
        <v>74</v>
      </c>
      <c r="AF3319" s="1" t="s">
        <v>74</v>
      </c>
      <c r="AG3319" s="1">
        <v>22</v>
      </c>
      <c r="AH3319" s="1">
        <v>0</v>
      </c>
      <c r="AI3319" s="1">
        <v>0</v>
      </c>
      <c r="AJ3319" s="1">
        <v>0</v>
      </c>
      <c r="AK3319" s="1">
        <v>6</v>
      </c>
      <c r="AL3319" s="1" t="s">
        <v>52709</v>
      </c>
      <c r="AM3319" s="1" t="s">
        <v>52710</v>
      </c>
      <c r="AN3319" s="1" t="s">
        <v>52711</v>
      </c>
      <c r="AO3319" s="1" t="s">
        <v>52712</v>
      </c>
      <c r="AP3319" s="1" t="s">
        <v>74</v>
      </c>
      <c r="AQ3319" s="1" t="s">
        <v>74</v>
      </c>
      <c r="AR3319" s="1" t="s">
        <v>52713</v>
      </c>
      <c r="AS3319" s="1" t="s">
        <v>52714</v>
      </c>
      <c r="AT3319" s="1" t="s">
        <v>74</v>
      </c>
      <c r="AU3319" s="1">
        <v>1998</v>
      </c>
      <c r="AV3319" s="1">
        <v>75</v>
      </c>
      <c r="AW3319" s="1" t="s">
        <v>721</v>
      </c>
      <c r="AX3319" s="1" t="s">
        <v>74</v>
      </c>
      <c r="AY3319" s="1" t="s">
        <v>74</v>
      </c>
      <c r="AZ3319" s="1" t="s">
        <v>74</v>
      </c>
      <c r="BA3319" s="1" t="s">
        <v>74</v>
      </c>
      <c r="BB3319" s="1">
        <v>49</v>
      </c>
      <c r="BC3319" s="1">
        <v>56</v>
      </c>
      <c r="BD3319" s="1" t="s">
        <v>74</v>
      </c>
      <c r="BE3319" s="1" t="s">
        <v>52715</v>
      </c>
      <c r="BF3319" s="1" t="str">
        <f>HYPERLINK("http://dx.doi.org/10.1093/oxfordjournals.rpd.a032245","http://dx.doi.org/10.1093/oxfordjournals.rpd.a032245")</f>
        <v>http://dx.doi.org/10.1093/oxfordjournals.rpd.a032245</v>
      </c>
      <c r="BG3319" s="1" t="s">
        <v>74</v>
      </c>
      <c r="BH3319" s="1" t="s">
        <v>74</v>
      </c>
      <c r="BI3319" s="1">
        <v>8</v>
      </c>
      <c r="BJ3319" s="1" t="s">
        <v>52716</v>
      </c>
      <c r="BK3319" s="1" t="s">
        <v>588</v>
      </c>
      <c r="BL3319" s="1" t="s">
        <v>52717</v>
      </c>
      <c r="BM3319" s="1" t="s">
        <v>52718</v>
      </c>
      <c r="BN3319" s="1" t="s">
        <v>74</v>
      </c>
      <c r="BO3319" s="1" t="s">
        <v>74</v>
      </c>
      <c r="BP3319" s="1" t="s">
        <v>74</v>
      </c>
      <c r="BQ3319" s="1" t="s">
        <v>74</v>
      </c>
      <c r="BR3319" s="1" t="s">
        <v>98</v>
      </c>
      <c r="BS3319" s="1" t="s">
        <v>52719</v>
      </c>
      <c r="BT3319" s="1" t="str">
        <f>HYPERLINK("https%3A%2F%2Fwww.webofscience.com%2Fwos%2Fwoscc%2Ffull-record%2FWOS:000073850200008","View Full Record in Web of Science")</f>
        <v>View Full Record in Web of Science</v>
      </c>
      <c r="BU3319" s="1"/>
      <c r="BV3319" s="1"/>
    </row>
    <row r="3320" spans="1:74">
      <c r="A3320" s="1" t="s">
        <v>72</v>
      </c>
      <c r="B3320" s="1" t="s">
        <v>52720</v>
      </c>
      <c r="C3320" s="1" t="s">
        <v>74</v>
      </c>
      <c r="D3320" s="1" t="s">
        <v>74</v>
      </c>
      <c r="E3320" s="1" t="s">
        <v>74</v>
      </c>
      <c r="F3320" s="1" t="s">
        <v>52720</v>
      </c>
      <c r="G3320" s="1" t="s">
        <v>74</v>
      </c>
      <c r="H3320" s="1" t="s">
        <v>74</v>
      </c>
      <c r="I3320" s="1" t="s">
        <v>52721</v>
      </c>
      <c r="J3320" s="1" t="s">
        <v>421</v>
      </c>
      <c r="K3320" s="1" t="s">
        <v>74</v>
      </c>
      <c r="L3320" s="1" t="s">
        <v>74</v>
      </c>
      <c r="M3320" s="1" t="s">
        <v>78</v>
      </c>
      <c r="N3320" s="1" t="s">
        <v>79</v>
      </c>
      <c r="O3320" s="1" t="s">
        <v>74</v>
      </c>
      <c r="P3320" s="1" t="s">
        <v>74</v>
      </c>
      <c r="Q3320" s="1" t="s">
        <v>74</v>
      </c>
      <c r="R3320" s="1" t="s">
        <v>74</v>
      </c>
      <c r="S3320" s="1" t="s">
        <v>74</v>
      </c>
      <c r="T3320" s="1" t="s">
        <v>52722</v>
      </c>
      <c r="U3320" s="1" t="s">
        <v>52723</v>
      </c>
      <c r="V3320" s="1" t="s">
        <v>52724</v>
      </c>
      <c r="W3320" s="1" t="s">
        <v>52725</v>
      </c>
      <c r="X3320" s="1" t="s">
        <v>52726</v>
      </c>
      <c r="Y3320" s="1" t="s">
        <v>52727</v>
      </c>
      <c r="Z3320" s="1" t="s">
        <v>74</v>
      </c>
      <c r="AA3320" s="1" t="s">
        <v>25719</v>
      </c>
      <c r="AB3320" s="1" t="s">
        <v>52728</v>
      </c>
      <c r="AC3320" s="1" t="s">
        <v>74</v>
      </c>
      <c r="AD3320" s="1" t="s">
        <v>74</v>
      </c>
      <c r="AE3320" s="1" t="s">
        <v>74</v>
      </c>
      <c r="AF3320" s="1" t="s">
        <v>74</v>
      </c>
      <c r="AG3320" s="1">
        <v>35</v>
      </c>
      <c r="AH3320" s="1">
        <v>13</v>
      </c>
      <c r="AI3320" s="1">
        <v>15</v>
      </c>
      <c r="AJ3320" s="1">
        <v>1</v>
      </c>
      <c r="AK3320" s="1">
        <v>11</v>
      </c>
      <c r="AL3320" s="1" t="s">
        <v>430</v>
      </c>
      <c r="AM3320" s="1" t="s">
        <v>137</v>
      </c>
      <c r="AN3320" s="1" t="s">
        <v>431</v>
      </c>
      <c r="AO3320" s="1" t="s">
        <v>432</v>
      </c>
      <c r="AP3320" s="1" t="s">
        <v>74</v>
      </c>
      <c r="AQ3320" s="1" t="s">
        <v>74</v>
      </c>
      <c r="AR3320" s="1" t="s">
        <v>433</v>
      </c>
      <c r="AS3320" s="1" t="s">
        <v>434</v>
      </c>
      <c r="AT3320" s="1" t="s">
        <v>74</v>
      </c>
      <c r="AU3320" s="1">
        <v>2001</v>
      </c>
      <c r="AV3320" s="1">
        <v>112</v>
      </c>
      <c r="AW3320" s="1">
        <v>2</v>
      </c>
      <c r="AX3320" s="1" t="s">
        <v>74</v>
      </c>
      <c r="AY3320" s="1" t="s">
        <v>74</v>
      </c>
      <c r="AZ3320" s="1" t="s">
        <v>74</v>
      </c>
      <c r="BA3320" s="1" t="s">
        <v>74</v>
      </c>
      <c r="BB3320" s="1">
        <v>201</v>
      </c>
      <c r="BC3320" s="1">
        <v>207</v>
      </c>
      <c r="BD3320" s="1" t="s">
        <v>74</v>
      </c>
      <c r="BE3320" s="1" t="s">
        <v>52729</v>
      </c>
      <c r="BF3320" s="1" t="str">
        <f>HYPERLINK("http://dx.doi.org/10.1016/S0269-7491(00)00117-2","http://dx.doi.org/10.1016/S0269-7491(00)00117-2")</f>
        <v>http://dx.doi.org/10.1016/S0269-7491(00)00117-2</v>
      </c>
      <c r="BG3320" s="1" t="s">
        <v>74</v>
      </c>
      <c r="BH3320" s="1" t="s">
        <v>74</v>
      </c>
      <c r="BI3320" s="1">
        <v>7</v>
      </c>
      <c r="BJ3320" s="1" t="s">
        <v>144</v>
      </c>
      <c r="BK3320" s="1" t="s">
        <v>96</v>
      </c>
      <c r="BL3320" s="1" t="s">
        <v>145</v>
      </c>
      <c r="BM3320" s="1" t="s">
        <v>52730</v>
      </c>
      <c r="BN3320" s="1">
        <v>11234536</v>
      </c>
      <c r="BO3320" s="1" t="s">
        <v>74</v>
      </c>
      <c r="BP3320" s="1" t="s">
        <v>74</v>
      </c>
      <c r="BQ3320" s="1" t="s">
        <v>74</v>
      </c>
      <c r="BR3320" s="1" t="s">
        <v>98</v>
      </c>
      <c r="BS3320" s="1" t="s">
        <v>52731</v>
      </c>
      <c r="BT3320" s="1" t="str">
        <f>HYPERLINK("https%3A%2F%2Fwww.webofscience.com%2Fwos%2Fwoscc%2Ffull-record%2FWOS:000166927900011","View Full Record in Web of Science")</f>
        <v>View Full Record in Web of Science</v>
      </c>
      <c r="BU3320" s="1"/>
      <c r="BV3320" s="1"/>
    </row>
    <row r="3321" spans="1:74">
      <c r="A3321" s="1" t="s">
        <v>72</v>
      </c>
      <c r="B3321" s="1" t="s">
        <v>52732</v>
      </c>
      <c r="C3321" s="1" t="s">
        <v>74</v>
      </c>
      <c r="D3321" s="1" t="s">
        <v>74</v>
      </c>
      <c r="E3321" s="1" t="s">
        <v>74</v>
      </c>
      <c r="F3321" s="1" t="s">
        <v>52733</v>
      </c>
      <c r="G3321" s="1" t="s">
        <v>74</v>
      </c>
      <c r="H3321" s="1" t="s">
        <v>74</v>
      </c>
      <c r="I3321" s="1" t="s">
        <v>52734</v>
      </c>
      <c r="J3321" s="1" t="s">
        <v>7584</v>
      </c>
      <c r="K3321" s="1" t="s">
        <v>74</v>
      </c>
      <c r="L3321" s="1" t="s">
        <v>74</v>
      </c>
      <c r="M3321" s="1" t="s">
        <v>78</v>
      </c>
      <c r="N3321" s="1" t="s">
        <v>79</v>
      </c>
      <c r="O3321" s="1" t="s">
        <v>74</v>
      </c>
      <c r="P3321" s="1" t="s">
        <v>74</v>
      </c>
      <c r="Q3321" s="1" t="s">
        <v>74</v>
      </c>
      <c r="R3321" s="1" t="s">
        <v>74</v>
      </c>
      <c r="S3321" s="1" t="s">
        <v>74</v>
      </c>
      <c r="T3321" s="1" t="s">
        <v>52735</v>
      </c>
      <c r="U3321" s="1" t="s">
        <v>52736</v>
      </c>
      <c r="V3321" s="1" t="s">
        <v>52737</v>
      </c>
      <c r="W3321" s="1" t="s">
        <v>52738</v>
      </c>
      <c r="X3321" s="1" t="s">
        <v>52739</v>
      </c>
      <c r="Y3321" s="1" t="s">
        <v>52740</v>
      </c>
      <c r="Z3321" s="1" t="s">
        <v>52741</v>
      </c>
      <c r="AA3321" s="1" t="s">
        <v>52742</v>
      </c>
      <c r="AB3321" s="1" t="s">
        <v>52743</v>
      </c>
      <c r="AC3321" s="1" t="s">
        <v>52744</v>
      </c>
      <c r="AD3321" s="1" t="s">
        <v>52745</v>
      </c>
      <c r="AE3321" s="1" t="s">
        <v>52746</v>
      </c>
      <c r="AF3321" s="1" t="s">
        <v>74</v>
      </c>
      <c r="AG3321" s="1">
        <v>55</v>
      </c>
      <c r="AH3321" s="1">
        <v>43</v>
      </c>
      <c r="AI3321" s="1">
        <v>47</v>
      </c>
      <c r="AJ3321" s="1">
        <v>2</v>
      </c>
      <c r="AK3321" s="1">
        <v>107</v>
      </c>
      <c r="AL3321" s="1" t="s">
        <v>136</v>
      </c>
      <c r="AM3321" s="1" t="s">
        <v>137</v>
      </c>
      <c r="AN3321" s="1" t="s">
        <v>138</v>
      </c>
      <c r="AO3321" s="1" t="s">
        <v>7589</v>
      </c>
      <c r="AP3321" s="1" t="s">
        <v>7590</v>
      </c>
      <c r="AQ3321" s="1" t="s">
        <v>74</v>
      </c>
      <c r="AR3321" s="1" t="s">
        <v>7591</v>
      </c>
      <c r="AS3321" s="1" t="s">
        <v>7592</v>
      </c>
      <c r="AT3321" s="1" t="s">
        <v>546</v>
      </c>
      <c r="AU3321" s="1">
        <v>2016</v>
      </c>
      <c r="AV3321" s="1">
        <v>105</v>
      </c>
      <c r="AW3321" s="1" t="s">
        <v>74</v>
      </c>
      <c r="AX3321" s="1" t="s">
        <v>74</v>
      </c>
      <c r="AY3321" s="1" t="s">
        <v>74</v>
      </c>
      <c r="AZ3321" s="1" t="s">
        <v>74</v>
      </c>
      <c r="BA3321" s="1" t="s">
        <v>74</v>
      </c>
      <c r="BB3321" s="1">
        <v>602</v>
      </c>
      <c r="BC3321" s="1">
        <v>614</v>
      </c>
      <c r="BD3321" s="1" t="s">
        <v>74</v>
      </c>
      <c r="BE3321" s="1" t="s">
        <v>52747</v>
      </c>
      <c r="BF3321" s="1" t="str">
        <f>HYPERLINK("http://dx.doi.org/10.1016/j.watres.2016.09.026","http://dx.doi.org/10.1016/j.watres.2016.09.026")</f>
        <v>http://dx.doi.org/10.1016/j.watres.2016.09.026</v>
      </c>
      <c r="BG3321" s="1" t="s">
        <v>74</v>
      </c>
      <c r="BH3321" s="1" t="s">
        <v>74</v>
      </c>
      <c r="BI3321" s="1">
        <v>13</v>
      </c>
      <c r="BJ3321" s="1" t="s">
        <v>587</v>
      </c>
      <c r="BK3321" s="1" t="s">
        <v>96</v>
      </c>
      <c r="BL3321" s="1" t="s">
        <v>589</v>
      </c>
      <c r="BM3321" s="1" t="s">
        <v>45442</v>
      </c>
      <c r="BN3321" s="1">
        <v>27693972</v>
      </c>
      <c r="BO3321" s="1" t="s">
        <v>74</v>
      </c>
      <c r="BP3321" s="1" t="s">
        <v>74</v>
      </c>
      <c r="BQ3321" s="1" t="s">
        <v>74</v>
      </c>
      <c r="BR3321" s="1" t="s">
        <v>98</v>
      </c>
      <c r="BS3321" s="1" t="s">
        <v>52748</v>
      </c>
      <c r="BT3321" s="1" t="str">
        <f>HYPERLINK("https%3A%2F%2Fwww.webofscience.com%2Fwos%2Fwoscc%2Ffull-record%2FWOS:000385902000062","View Full Record in Web of Science")</f>
        <v>View Full Record in Web of Science</v>
      </c>
      <c r="BU3321" s="1"/>
      <c r="BV3321" s="1"/>
    </row>
    <row r="3322" spans="1:74">
      <c r="A3322" s="1" t="s">
        <v>72</v>
      </c>
      <c r="B3322" s="1" t="s">
        <v>52749</v>
      </c>
      <c r="C3322" s="1" t="s">
        <v>74</v>
      </c>
      <c r="D3322" s="1" t="s">
        <v>74</v>
      </c>
      <c r="E3322" s="1" t="s">
        <v>74</v>
      </c>
      <c r="F3322" s="1" t="s">
        <v>52749</v>
      </c>
      <c r="G3322" s="1" t="s">
        <v>74</v>
      </c>
      <c r="H3322" s="1" t="s">
        <v>74</v>
      </c>
      <c r="I3322" s="1" t="s">
        <v>52750</v>
      </c>
      <c r="J3322" s="1" t="s">
        <v>1202</v>
      </c>
      <c r="K3322" s="1" t="s">
        <v>74</v>
      </c>
      <c r="L3322" s="1" t="s">
        <v>74</v>
      </c>
      <c r="M3322" s="1" t="s">
        <v>78</v>
      </c>
      <c r="N3322" s="1" t="s">
        <v>151</v>
      </c>
      <c r="O3322" s="1" t="s">
        <v>52751</v>
      </c>
      <c r="P3322" s="1" t="s">
        <v>52752</v>
      </c>
      <c r="Q3322" s="1" t="s">
        <v>52753</v>
      </c>
      <c r="R3322" s="1" t="s">
        <v>74</v>
      </c>
      <c r="S3322" s="1" t="s">
        <v>74</v>
      </c>
      <c r="T3322" s="1" t="s">
        <v>52754</v>
      </c>
      <c r="U3322" s="1" t="s">
        <v>52755</v>
      </c>
      <c r="V3322" s="1" t="s">
        <v>52756</v>
      </c>
      <c r="W3322" s="1" t="s">
        <v>52757</v>
      </c>
      <c r="X3322" s="1" t="s">
        <v>6352</v>
      </c>
      <c r="Y3322" s="1" t="s">
        <v>12880</v>
      </c>
      <c r="Z3322" s="1" t="s">
        <v>52758</v>
      </c>
      <c r="AA3322" s="1" t="s">
        <v>6355</v>
      </c>
      <c r="AB3322" s="1" t="s">
        <v>52759</v>
      </c>
      <c r="AC3322" s="1" t="s">
        <v>74</v>
      </c>
      <c r="AD3322" s="1" t="s">
        <v>74</v>
      </c>
      <c r="AE3322" s="1" t="s">
        <v>74</v>
      </c>
      <c r="AF3322" s="1" t="s">
        <v>74</v>
      </c>
      <c r="AG3322" s="1">
        <v>51</v>
      </c>
      <c r="AH3322" s="1">
        <v>49</v>
      </c>
      <c r="AI3322" s="1">
        <v>54</v>
      </c>
      <c r="AJ3322" s="1">
        <v>0</v>
      </c>
      <c r="AK3322" s="1">
        <v>22</v>
      </c>
      <c r="AL3322" s="1" t="s">
        <v>112</v>
      </c>
      <c r="AM3322" s="1" t="s">
        <v>191</v>
      </c>
      <c r="AN3322" s="1" t="s">
        <v>192</v>
      </c>
      <c r="AO3322" s="1" t="s">
        <v>1207</v>
      </c>
      <c r="AP3322" s="1" t="s">
        <v>4902</v>
      </c>
      <c r="AQ3322" s="1" t="s">
        <v>74</v>
      </c>
      <c r="AR3322" s="1" t="s">
        <v>1202</v>
      </c>
      <c r="AS3322" s="1" t="s">
        <v>1208</v>
      </c>
      <c r="AT3322" s="1" t="s">
        <v>7041</v>
      </c>
      <c r="AU3322" s="1">
        <v>2004</v>
      </c>
      <c r="AV3322" s="1">
        <v>514</v>
      </c>
      <c r="AW3322" s="1" t="s">
        <v>2847</v>
      </c>
      <c r="AX3322" s="1" t="s">
        <v>74</v>
      </c>
      <c r="AY3322" s="1" t="s">
        <v>74</v>
      </c>
      <c r="AZ3322" s="1" t="s">
        <v>74</v>
      </c>
      <c r="BA3322" s="1" t="s">
        <v>74</v>
      </c>
      <c r="BB3322" s="1">
        <v>15</v>
      </c>
      <c r="BC3322" s="1">
        <v>27</v>
      </c>
      <c r="BD3322" s="1" t="s">
        <v>74</v>
      </c>
      <c r="BE3322" s="1" t="s">
        <v>52760</v>
      </c>
      <c r="BF3322" s="1" t="str">
        <f>HYPERLINK("http://dx.doi.org/10.1023/B:hydr.0000018203.90350.8e","http://dx.doi.org/10.1023/B:hydr.0000018203.90350.8e")</f>
        <v>http://dx.doi.org/10.1023/B:hydr.0000018203.90350.8e</v>
      </c>
      <c r="BG3322" s="1" t="s">
        <v>74</v>
      </c>
      <c r="BH3322" s="1" t="s">
        <v>74</v>
      </c>
      <c r="BI3322" s="1">
        <v>13</v>
      </c>
      <c r="BJ3322" s="1" t="s">
        <v>680</v>
      </c>
      <c r="BK3322" s="1" t="s">
        <v>172</v>
      </c>
      <c r="BL3322" s="1" t="s">
        <v>680</v>
      </c>
      <c r="BM3322" s="1" t="s">
        <v>52761</v>
      </c>
      <c r="BN3322" s="1" t="s">
        <v>74</v>
      </c>
      <c r="BO3322" s="1" t="s">
        <v>74</v>
      </c>
      <c r="BP3322" s="1" t="s">
        <v>74</v>
      </c>
      <c r="BQ3322" s="1" t="s">
        <v>74</v>
      </c>
      <c r="BR3322" s="1" t="s">
        <v>98</v>
      </c>
      <c r="BS3322" s="1" t="s">
        <v>52762</v>
      </c>
      <c r="BT3322" s="1" t="str">
        <f>HYPERLINK("https%3A%2F%2Fwww.webofscience.com%2Fwos%2Fwoscc%2Ffull-record%2FWOS:000220784400003","View Full Record in Web of Science")</f>
        <v>View Full Record in Web of Science</v>
      </c>
      <c r="BU3322" s="1"/>
      <c r="BV3322" s="1"/>
    </row>
    <row r="3323" spans="1:74">
      <c r="A3323" s="1" t="s">
        <v>72</v>
      </c>
      <c r="B3323" s="1" t="s">
        <v>52763</v>
      </c>
      <c r="C3323" s="1" t="s">
        <v>74</v>
      </c>
      <c r="D3323" s="1" t="s">
        <v>74</v>
      </c>
      <c r="E3323" s="1" t="s">
        <v>74</v>
      </c>
      <c r="F3323" s="1" t="s">
        <v>52764</v>
      </c>
      <c r="G3323" s="1" t="s">
        <v>74</v>
      </c>
      <c r="H3323" s="1" t="s">
        <v>74</v>
      </c>
      <c r="I3323" s="1" t="s">
        <v>52765</v>
      </c>
      <c r="J3323" s="1" t="s">
        <v>4463</v>
      </c>
      <c r="K3323" s="1" t="s">
        <v>74</v>
      </c>
      <c r="L3323" s="1" t="s">
        <v>74</v>
      </c>
      <c r="M3323" s="1" t="s">
        <v>78</v>
      </c>
      <c r="N3323" s="1" t="s">
        <v>79</v>
      </c>
      <c r="O3323" s="1" t="s">
        <v>74</v>
      </c>
      <c r="P3323" s="1" t="s">
        <v>74</v>
      </c>
      <c r="Q3323" s="1" t="s">
        <v>74</v>
      </c>
      <c r="R3323" s="1" t="s">
        <v>74</v>
      </c>
      <c r="S3323" s="1" t="s">
        <v>74</v>
      </c>
      <c r="T3323" s="1" t="s">
        <v>74</v>
      </c>
      <c r="U3323" s="1" t="s">
        <v>52766</v>
      </c>
      <c r="V3323" s="1" t="s">
        <v>52767</v>
      </c>
      <c r="W3323" s="1" t="s">
        <v>52768</v>
      </c>
      <c r="X3323" s="1" t="s">
        <v>52769</v>
      </c>
      <c r="Y3323" s="1" t="s">
        <v>52770</v>
      </c>
      <c r="Z3323" s="1" t="s">
        <v>52771</v>
      </c>
      <c r="AA3323" s="1" t="s">
        <v>52772</v>
      </c>
      <c r="AB3323" s="1" t="s">
        <v>74</v>
      </c>
      <c r="AC3323" s="1" t="s">
        <v>52773</v>
      </c>
      <c r="AD3323" s="1" t="s">
        <v>52774</v>
      </c>
      <c r="AE3323" s="1" t="s">
        <v>52775</v>
      </c>
      <c r="AF3323" s="1" t="s">
        <v>74</v>
      </c>
      <c r="AG3323" s="1">
        <v>56</v>
      </c>
      <c r="AH3323" s="1">
        <v>22</v>
      </c>
      <c r="AI3323" s="1">
        <v>26</v>
      </c>
      <c r="AJ3323" s="1">
        <v>3</v>
      </c>
      <c r="AK3323" s="1">
        <v>89</v>
      </c>
      <c r="AL3323" s="1" t="s">
        <v>4471</v>
      </c>
      <c r="AM3323" s="1" t="s">
        <v>4472</v>
      </c>
      <c r="AN3323" s="1" t="s">
        <v>4473</v>
      </c>
      <c r="AO3323" s="1" t="s">
        <v>4474</v>
      </c>
      <c r="AP3323" s="1" t="s">
        <v>4475</v>
      </c>
      <c r="AQ3323" s="1" t="s">
        <v>74</v>
      </c>
      <c r="AR3323" s="1" t="s">
        <v>4476</v>
      </c>
      <c r="AS3323" s="1" t="s">
        <v>4477</v>
      </c>
      <c r="AT3323" s="1" t="s">
        <v>546</v>
      </c>
      <c r="AU3323" s="1">
        <v>2016</v>
      </c>
      <c r="AV3323" s="1">
        <v>50</v>
      </c>
      <c r="AW3323" s="1">
        <v>22</v>
      </c>
      <c r="AX3323" s="1" t="s">
        <v>74</v>
      </c>
      <c r="AY3323" s="1" t="s">
        <v>74</v>
      </c>
      <c r="AZ3323" s="1" t="s">
        <v>74</v>
      </c>
      <c r="BA3323" s="1" t="s">
        <v>74</v>
      </c>
      <c r="BB3323" s="1">
        <v>12473</v>
      </c>
      <c r="BC3323" s="1">
        <v>12483</v>
      </c>
      <c r="BD3323" s="1" t="s">
        <v>74</v>
      </c>
      <c r="BE3323" s="1" t="s">
        <v>52776</v>
      </c>
      <c r="BF3323" s="1" t="str">
        <f>HYPERLINK("http://dx.doi.org/10.1021/acs.est.6b03842","http://dx.doi.org/10.1021/acs.est.6b03842")</f>
        <v>http://dx.doi.org/10.1021/acs.est.6b03842</v>
      </c>
      <c r="BG3323" s="1" t="s">
        <v>74</v>
      </c>
      <c r="BH3323" s="1" t="s">
        <v>74</v>
      </c>
      <c r="BI3323" s="1">
        <v>11</v>
      </c>
      <c r="BJ3323" s="1" t="s">
        <v>415</v>
      </c>
      <c r="BK3323" s="1" t="s">
        <v>96</v>
      </c>
      <c r="BL3323" s="1" t="s">
        <v>416</v>
      </c>
      <c r="BM3323" s="1" t="s">
        <v>52777</v>
      </c>
      <c r="BN3323" s="1">
        <v>27750000</v>
      </c>
      <c r="BO3323" s="1" t="s">
        <v>74</v>
      </c>
      <c r="BP3323" s="1" t="s">
        <v>74</v>
      </c>
      <c r="BQ3323" s="1" t="s">
        <v>74</v>
      </c>
      <c r="BR3323" s="1" t="s">
        <v>98</v>
      </c>
      <c r="BS3323" s="1" t="s">
        <v>52778</v>
      </c>
      <c r="BT3323" s="1" t="str">
        <f>HYPERLINK("https%3A%2F%2Fwww.webofscience.com%2Fwos%2Fwoscc%2Ffull-record%2FWOS:000388155000047","View Full Record in Web of Science")</f>
        <v>View Full Record in Web of Science</v>
      </c>
      <c r="BU3323" s="1"/>
      <c r="BV3323" s="1"/>
    </row>
    <row r="3324" spans="1:74">
      <c r="A3324" s="1" t="s">
        <v>72</v>
      </c>
      <c r="B3324" s="1" t="s">
        <v>52779</v>
      </c>
      <c r="C3324" s="1" t="s">
        <v>74</v>
      </c>
      <c r="D3324" s="1" t="s">
        <v>74</v>
      </c>
      <c r="E3324" s="1" t="s">
        <v>74</v>
      </c>
      <c r="F3324" s="1" t="s">
        <v>52780</v>
      </c>
      <c r="G3324" s="1" t="s">
        <v>74</v>
      </c>
      <c r="H3324" s="1" t="s">
        <v>74</v>
      </c>
      <c r="I3324" s="1" t="s">
        <v>52781</v>
      </c>
      <c r="J3324" s="1" t="s">
        <v>909</v>
      </c>
      <c r="K3324" s="1" t="s">
        <v>74</v>
      </c>
      <c r="L3324" s="1" t="s">
        <v>74</v>
      </c>
      <c r="M3324" s="1" t="s">
        <v>78</v>
      </c>
      <c r="N3324" s="1" t="s">
        <v>79</v>
      </c>
      <c r="O3324" s="1" t="s">
        <v>74</v>
      </c>
      <c r="P3324" s="1" t="s">
        <v>74</v>
      </c>
      <c r="Q3324" s="1" t="s">
        <v>74</v>
      </c>
      <c r="R3324" s="1" t="s">
        <v>74</v>
      </c>
      <c r="S3324" s="1" t="s">
        <v>74</v>
      </c>
      <c r="T3324" s="1" t="s">
        <v>52782</v>
      </c>
      <c r="U3324" s="1" t="s">
        <v>52783</v>
      </c>
      <c r="V3324" s="1" t="s">
        <v>52784</v>
      </c>
      <c r="W3324" s="1" t="s">
        <v>52785</v>
      </c>
      <c r="X3324" s="1" t="s">
        <v>52786</v>
      </c>
      <c r="Y3324" s="1" t="s">
        <v>52787</v>
      </c>
      <c r="Z3324" s="1" t="s">
        <v>52788</v>
      </c>
      <c r="AA3324" s="1" t="s">
        <v>74</v>
      </c>
      <c r="AB3324" s="1" t="s">
        <v>74</v>
      </c>
      <c r="AC3324" s="1" t="s">
        <v>52789</v>
      </c>
      <c r="AD3324" s="1" t="s">
        <v>52790</v>
      </c>
      <c r="AE3324" s="1" t="s">
        <v>52791</v>
      </c>
      <c r="AF3324" s="1" t="s">
        <v>74</v>
      </c>
      <c r="AG3324" s="1">
        <v>67</v>
      </c>
      <c r="AH3324" s="1">
        <v>30</v>
      </c>
      <c r="AI3324" s="1">
        <v>31</v>
      </c>
      <c r="AJ3324" s="1">
        <v>7</v>
      </c>
      <c r="AK3324" s="1">
        <v>99</v>
      </c>
      <c r="AL3324" s="1" t="s">
        <v>650</v>
      </c>
      <c r="AM3324" s="1" t="s">
        <v>651</v>
      </c>
      <c r="AN3324" s="1" t="s">
        <v>652</v>
      </c>
      <c r="AO3324" s="1" t="s">
        <v>921</v>
      </c>
      <c r="AP3324" s="1" t="s">
        <v>922</v>
      </c>
      <c r="AQ3324" s="1" t="s">
        <v>74</v>
      </c>
      <c r="AR3324" s="1" t="s">
        <v>923</v>
      </c>
      <c r="AS3324" s="1" t="s">
        <v>924</v>
      </c>
      <c r="AT3324" s="1" t="s">
        <v>21675</v>
      </c>
      <c r="AU3324" s="1">
        <v>2022</v>
      </c>
      <c r="AV3324" s="1">
        <v>842</v>
      </c>
      <c r="AW3324" s="1" t="s">
        <v>74</v>
      </c>
      <c r="AX3324" s="1" t="s">
        <v>74</v>
      </c>
      <c r="AY3324" s="1" t="s">
        <v>74</v>
      </c>
      <c r="AZ3324" s="1" t="s">
        <v>74</v>
      </c>
      <c r="BA3324" s="1" t="s">
        <v>74</v>
      </c>
      <c r="BB3324" s="1" t="s">
        <v>74</v>
      </c>
      <c r="BC3324" s="1" t="s">
        <v>74</v>
      </c>
      <c r="BD3324" s="1">
        <v>156820</v>
      </c>
      <c r="BE3324" s="1" t="s">
        <v>52792</v>
      </c>
      <c r="BF3324" s="1" t="str">
        <f>HYPERLINK("http://dx.doi.org/10.1016/j.scitotenv.2022.156820","http://dx.doi.org/10.1016/j.scitotenv.2022.156820")</f>
        <v>http://dx.doi.org/10.1016/j.scitotenv.2022.156820</v>
      </c>
      <c r="BG3324" s="1" t="s">
        <v>74</v>
      </c>
      <c r="BH3324" s="1" t="s">
        <v>74</v>
      </c>
      <c r="BI3324" s="1">
        <v>11</v>
      </c>
      <c r="BJ3324" s="1" t="s">
        <v>144</v>
      </c>
      <c r="BK3324" s="1" t="s">
        <v>96</v>
      </c>
      <c r="BL3324" s="1" t="s">
        <v>145</v>
      </c>
      <c r="BM3324" s="1" t="s">
        <v>52793</v>
      </c>
      <c r="BN3324" s="1">
        <v>35738382</v>
      </c>
      <c r="BO3324" s="1" t="s">
        <v>74</v>
      </c>
      <c r="BP3324" s="1" t="s">
        <v>74</v>
      </c>
      <c r="BQ3324" s="1" t="s">
        <v>74</v>
      </c>
      <c r="BR3324" s="1" t="s">
        <v>98</v>
      </c>
      <c r="BS3324" s="1" t="s">
        <v>52794</v>
      </c>
      <c r="BT3324" s="1" t="str">
        <f>HYPERLINK("https%3A%2F%2Fwww.webofscience.com%2Fwos%2Fwoscc%2Ffull-record%2FWOS:000823234600010","View Full Record in Web of Science")</f>
        <v>View Full Record in Web of Science</v>
      </c>
      <c r="BU3324" s="1"/>
      <c r="BV3324" s="1"/>
    </row>
    <row r="3325" spans="1:74">
      <c r="A3325" s="1" t="s">
        <v>72</v>
      </c>
      <c r="B3325" s="1" t="s">
        <v>52795</v>
      </c>
      <c r="C3325" s="1" t="s">
        <v>74</v>
      </c>
      <c r="D3325" s="1" t="s">
        <v>74</v>
      </c>
      <c r="E3325" s="1" t="s">
        <v>74</v>
      </c>
      <c r="F3325" s="1" t="s">
        <v>52796</v>
      </c>
      <c r="G3325" s="1" t="s">
        <v>74</v>
      </c>
      <c r="H3325" s="1" t="s">
        <v>74</v>
      </c>
      <c r="I3325" s="1" t="s">
        <v>52797</v>
      </c>
      <c r="J3325" s="1" t="s">
        <v>1337</v>
      </c>
      <c r="K3325" s="1" t="s">
        <v>74</v>
      </c>
      <c r="L3325" s="1" t="s">
        <v>74</v>
      </c>
      <c r="M3325" s="1" t="s">
        <v>78</v>
      </c>
      <c r="N3325" s="1" t="s">
        <v>79</v>
      </c>
      <c r="O3325" s="1" t="s">
        <v>74</v>
      </c>
      <c r="P3325" s="1" t="s">
        <v>74</v>
      </c>
      <c r="Q3325" s="1" t="s">
        <v>74</v>
      </c>
      <c r="R3325" s="1" t="s">
        <v>74</v>
      </c>
      <c r="S3325" s="1" t="s">
        <v>74</v>
      </c>
      <c r="T3325" s="1" t="s">
        <v>52798</v>
      </c>
      <c r="U3325" s="1" t="s">
        <v>52799</v>
      </c>
      <c r="V3325" s="1" t="s">
        <v>52800</v>
      </c>
      <c r="W3325" s="1" t="s">
        <v>52801</v>
      </c>
      <c r="X3325" s="1" t="s">
        <v>52802</v>
      </c>
      <c r="Y3325" s="1" t="s">
        <v>52803</v>
      </c>
      <c r="Z3325" s="1" t="s">
        <v>52804</v>
      </c>
      <c r="AA3325" s="1" t="s">
        <v>52805</v>
      </c>
      <c r="AB3325" s="1" t="s">
        <v>52806</v>
      </c>
      <c r="AC3325" s="1" t="s">
        <v>52807</v>
      </c>
      <c r="AD3325" s="1" t="s">
        <v>52808</v>
      </c>
      <c r="AE3325" s="1" t="s">
        <v>52809</v>
      </c>
      <c r="AF3325" s="1" t="s">
        <v>74</v>
      </c>
      <c r="AG3325" s="1">
        <v>34</v>
      </c>
      <c r="AH3325" s="1">
        <v>5</v>
      </c>
      <c r="AI3325" s="1">
        <v>5</v>
      </c>
      <c r="AJ3325" s="1">
        <v>13</v>
      </c>
      <c r="AK3325" s="1">
        <v>46</v>
      </c>
      <c r="AL3325" s="1" t="s">
        <v>1350</v>
      </c>
      <c r="AM3325" s="1" t="s">
        <v>1351</v>
      </c>
      <c r="AN3325" s="1" t="s">
        <v>1352</v>
      </c>
      <c r="AO3325" s="1" t="s">
        <v>74</v>
      </c>
      <c r="AP3325" s="1" t="s">
        <v>1353</v>
      </c>
      <c r="AQ3325" s="1" t="s">
        <v>74</v>
      </c>
      <c r="AR3325" s="1" t="s">
        <v>1354</v>
      </c>
      <c r="AS3325" s="1" t="s">
        <v>1355</v>
      </c>
      <c r="AT3325" s="1" t="s">
        <v>14584</v>
      </c>
      <c r="AU3325" s="1">
        <v>2022</v>
      </c>
      <c r="AV3325" s="1">
        <v>9</v>
      </c>
      <c r="AW3325" s="1" t="s">
        <v>74</v>
      </c>
      <c r="AX3325" s="1" t="s">
        <v>74</v>
      </c>
      <c r="AY3325" s="1" t="s">
        <v>74</v>
      </c>
      <c r="AZ3325" s="1" t="s">
        <v>74</v>
      </c>
      <c r="BA3325" s="1" t="s">
        <v>74</v>
      </c>
      <c r="BB3325" s="1" t="s">
        <v>74</v>
      </c>
      <c r="BC3325" s="1" t="s">
        <v>74</v>
      </c>
      <c r="BD3325" s="1">
        <v>923471</v>
      </c>
      <c r="BE3325" s="1" t="s">
        <v>52810</v>
      </c>
      <c r="BF3325" s="1" t="str">
        <f>HYPERLINK("http://dx.doi.org/10.3389/fmars.2022.923471","http://dx.doi.org/10.3389/fmars.2022.923471")</f>
        <v>http://dx.doi.org/10.3389/fmars.2022.923471</v>
      </c>
      <c r="BG3325" s="1" t="s">
        <v>74</v>
      </c>
      <c r="BH3325" s="1" t="s">
        <v>74</v>
      </c>
      <c r="BI3325" s="1">
        <v>6</v>
      </c>
      <c r="BJ3325" s="1" t="s">
        <v>247</v>
      </c>
      <c r="BK3325" s="1" t="s">
        <v>96</v>
      </c>
      <c r="BL3325" s="1" t="s">
        <v>248</v>
      </c>
      <c r="BM3325" s="1" t="s">
        <v>52811</v>
      </c>
      <c r="BN3325" s="1" t="s">
        <v>74</v>
      </c>
      <c r="BO3325" s="1" t="s">
        <v>873</v>
      </c>
      <c r="BP3325" s="1" t="s">
        <v>74</v>
      </c>
      <c r="BQ3325" s="1" t="s">
        <v>74</v>
      </c>
      <c r="BR3325" s="1" t="s">
        <v>98</v>
      </c>
      <c r="BS3325" s="1" t="s">
        <v>52812</v>
      </c>
      <c r="BT3325" s="1" t="str">
        <f>HYPERLINK("https%3A%2F%2Fwww.webofscience.com%2Fwos%2Fwoscc%2Ffull-record%2FWOS:000837218200001","View Full Record in Web of Science")</f>
        <v>View Full Record in Web of Science</v>
      </c>
      <c r="BU3325" s="1"/>
      <c r="BV3325" s="1"/>
    </row>
    <row r="3326" spans="1:74">
      <c r="A3326" s="1" t="s">
        <v>72</v>
      </c>
      <c r="B3326" s="1" t="s">
        <v>52813</v>
      </c>
      <c r="C3326" s="1" t="s">
        <v>74</v>
      </c>
      <c r="D3326" s="1" t="s">
        <v>74</v>
      </c>
      <c r="E3326" s="1" t="s">
        <v>74</v>
      </c>
      <c r="F3326" s="1" t="s">
        <v>52814</v>
      </c>
      <c r="G3326" s="1" t="s">
        <v>74</v>
      </c>
      <c r="H3326" s="1" t="s">
        <v>74</v>
      </c>
      <c r="I3326" s="1" t="s">
        <v>52815</v>
      </c>
      <c r="J3326" s="1" t="s">
        <v>14296</v>
      </c>
      <c r="K3326" s="1" t="s">
        <v>74</v>
      </c>
      <c r="L3326" s="1" t="s">
        <v>74</v>
      </c>
      <c r="M3326" s="1" t="s">
        <v>78</v>
      </c>
      <c r="N3326" s="1" t="s">
        <v>151</v>
      </c>
      <c r="O3326" s="1" t="s">
        <v>52816</v>
      </c>
      <c r="P3326" s="1" t="s">
        <v>52817</v>
      </c>
      <c r="Q3326" s="1" t="s">
        <v>27933</v>
      </c>
      <c r="R3326" s="1" t="s">
        <v>74</v>
      </c>
      <c r="S3326" s="1" t="s">
        <v>74</v>
      </c>
      <c r="T3326" s="1" t="s">
        <v>52818</v>
      </c>
      <c r="U3326" s="1" t="s">
        <v>52819</v>
      </c>
      <c r="V3326" s="1" t="s">
        <v>52820</v>
      </c>
      <c r="W3326" s="1" t="s">
        <v>52821</v>
      </c>
      <c r="X3326" s="1" t="s">
        <v>52822</v>
      </c>
      <c r="Y3326" s="1" t="s">
        <v>52823</v>
      </c>
      <c r="Z3326" s="1" t="s">
        <v>74</v>
      </c>
      <c r="AA3326" s="1" t="s">
        <v>52824</v>
      </c>
      <c r="AB3326" s="1" t="s">
        <v>52825</v>
      </c>
      <c r="AC3326" s="1" t="s">
        <v>74</v>
      </c>
      <c r="AD3326" s="1" t="s">
        <v>74</v>
      </c>
      <c r="AE3326" s="1" t="s">
        <v>74</v>
      </c>
      <c r="AF3326" s="1" t="s">
        <v>74</v>
      </c>
      <c r="AG3326" s="1">
        <v>47</v>
      </c>
      <c r="AH3326" s="1">
        <v>7</v>
      </c>
      <c r="AI3326" s="1">
        <v>7</v>
      </c>
      <c r="AJ3326" s="1">
        <v>1</v>
      </c>
      <c r="AK3326" s="1">
        <v>16</v>
      </c>
      <c r="AL3326" s="1" t="s">
        <v>14308</v>
      </c>
      <c r="AM3326" s="1" t="s">
        <v>14309</v>
      </c>
      <c r="AN3326" s="1" t="s">
        <v>14310</v>
      </c>
      <c r="AO3326" s="1" t="s">
        <v>14311</v>
      </c>
      <c r="AP3326" s="1" t="s">
        <v>14312</v>
      </c>
      <c r="AQ3326" s="1" t="s">
        <v>74</v>
      </c>
      <c r="AR3326" s="1" t="s">
        <v>14313</v>
      </c>
      <c r="AS3326" s="1" t="s">
        <v>14314</v>
      </c>
      <c r="AT3326" s="1" t="s">
        <v>197</v>
      </c>
      <c r="AU3326" s="1">
        <v>2010</v>
      </c>
      <c r="AV3326" s="1">
        <v>74</v>
      </c>
      <c r="AW3326" s="1" t="s">
        <v>74</v>
      </c>
      <c r="AX3326" s="1" t="s">
        <v>74</v>
      </c>
      <c r="AY3326" s="1">
        <v>1</v>
      </c>
      <c r="AZ3326" s="1" t="s">
        <v>74</v>
      </c>
      <c r="BA3326" s="1" t="s">
        <v>74</v>
      </c>
      <c r="BB3326" s="1">
        <v>143</v>
      </c>
      <c r="BC3326" s="1">
        <v>152</v>
      </c>
      <c r="BD3326" s="1" t="s">
        <v>74</v>
      </c>
      <c r="BE3326" s="1" t="s">
        <v>52826</v>
      </c>
      <c r="BF3326" s="1" t="str">
        <f>HYPERLINK("http://dx.doi.org/10.3989/scimar.2010.74s1143","http://dx.doi.org/10.3989/scimar.2010.74s1143")</f>
        <v>http://dx.doi.org/10.3989/scimar.2010.74s1143</v>
      </c>
      <c r="BG3326" s="1" t="s">
        <v>74</v>
      </c>
      <c r="BH3326" s="1" t="s">
        <v>74</v>
      </c>
      <c r="BI3326" s="1">
        <v>10</v>
      </c>
      <c r="BJ3326" s="1" t="s">
        <v>680</v>
      </c>
      <c r="BK3326" s="1" t="s">
        <v>172</v>
      </c>
      <c r="BL3326" s="1" t="s">
        <v>680</v>
      </c>
      <c r="BM3326" s="1" t="s">
        <v>52827</v>
      </c>
      <c r="BN3326" s="1" t="s">
        <v>74</v>
      </c>
      <c r="BO3326" s="1" t="s">
        <v>637</v>
      </c>
      <c r="BP3326" s="1" t="s">
        <v>74</v>
      </c>
      <c r="BQ3326" s="1" t="s">
        <v>74</v>
      </c>
      <c r="BR3326" s="1" t="s">
        <v>98</v>
      </c>
      <c r="BS3326" s="1" t="s">
        <v>52828</v>
      </c>
      <c r="BT3326" s="1" t="str">
        <f>HYPERLINK("https%3A%2F%2Fwww.webofscience.com%2Fwos%2Fwoscc%2Ffull-record%2FWOS:000285164400015","View Full Record in Web of Science")</f>
        <v>View Full Record in Web of Science</v>
      </c>
      <c r="BU3326" s="1"/>
      <c r="BV3326" s="1"/>
    </row>
    <row r="3327" spans="1:74">
      <c r="A3327" s="1" t="s">
        <v>72</v>
      </c>
      <c r="B3327" s="1" t="s">
        <v>52829</v>
      </c>
      <c r="C3327" s="1" t="s">
        <v>74</v>
      </c>
      <c r="D3327" s="1" t="s">
        <v>74</v>
      </c>
      <c r="E3327" s="1" t="s">
        <v>74</v>
      </c>
      <c r="F3327" s="1" t="s">
        <v>52830</v>
      </c>
      <c r="G3327" s="1" t="s">
        <v>74</v>
      </c>
      <c r="H3327" s="1" t="s">
        <v>74</v>
      </c>
      <c r="I3327" s="1" t="s">
        <v>52831</v>
      </c>
      <c r="J3327" s="1" t="s">
        <v>752</v>
      </c>
      <c r="K3327" s="1" t="s">
        <v>74</v>
      </c>
      <c r="L3327" s="1" t="s">
        <v>74</v>
      </c>
      <c r="M3327" s="1" t="s">
        <v>78</v>
      </c>
      <c r="N3327" s="1" t="s">
        <v>79</v>
      </c>
      <c r="O3327" s="1" t="s">
        <v>74</v>
      </c>
      <c r="P3327" s="1" t="s">
        <v>74</v>
      </c>
      <c r="Q3327" s="1" t="s">
        <v>74</v>
      </c>
      <c r="R3327" s="1" t="s">
        <v>74</v>
      </c>
      <c r="S3327" s="1" t="s">
        <v>74</v>
      </c>
      <c r="T3327" s="1" t="s">
        <v>52832</v>
      </c>
      <c r="U3327" s="1" t="s">
        <v>52833</v>
      </c>
      <c r="V3327" s="1" t="s">
        <v>52834</v>
      </c>
      <c r="W3327" s="1" t="s">
        <v>52835</v>
      </c>
      <c r="X3327" s="1" t="s">
        <v>52836</v>
      </c>
      <c r="Y3327" s="1" t="s">
        <v>52837</v>
      </c>
      <c r="Z3327" s="1" t="s">
        <v>3955</v>
      </c>
      <c r="AA3327" s="1" t="s">
        <v>52838</v>
      </c>
      <c r="AB3327" s="1" t="s">
        <v>52839</v>
      </c>
      <c r="AC3327" s="1" t="s">
        <v>52840</v>
      </c>
      <c r="AD3327" s="1" t="s">
        <v>52841</v>
      </c>
      <c r="AE3327" s="1" t="s">
        <v>52842</v>
      </c>
      <c r="AF3327" s="1" t="s">
        <v>74</v>
      </c>
      <c r="AG3327" s="1">
        <v>120</v>
      </c>
      <c r="AH3327" s="1">
        <v>0</v>
      </c>
      <c r="AI3327" s="1">
        <v>0</v>
      </c>
      <c r="AJ3327" s="1">
        <v>1</v>
      </c>
      <c r="AK3327" s="1">
        <v>1</v>
      </c>
      <c r="AL3327" s="1" t="s">
        <v>430</v>
      </c>
      <c r="AM3327" s="1" t="s">
        <v>7361</v>
      </c>
      <c r="AN3327" s="1" t="s">
        <v>7362</v>
      </c>
      <c r="AO3327" s="1" t="s">
        <v>761</v>
      </c>
      <c r="AP3327" s="1" t="s">
        <v>762</v>
      </c>
      <c r="AQ3327" s="1" t="s">
        <v>74</v>
      </c>
      <c r="AR3327" s="1" t="s">
        <v>763</v>
      </c>
      <c r="AS3327" s="1" t="s">
        <v>764</v>
      </c>
      <c r="AT3327" s="1" t="s">
        <v>765</v>
      </c>
      <c r="AU3327" s="1">
        <v>2024</v>
      </c>
      <c r="AV3327" s="1">
        <v>199</v>
      </c>
      <c r="AW3327" s="1" t="s">
        <v>74</v>
      </c>
      <c r="AX3327" s="1" t="s">
        <v>74</v>
      </c>
      <c r="AY3327" s="1" t="s">
        <v>74</v>
      </c>
      <c r="AZ3327" s="1" t="s">
        <v>74</v>
      </c>
      <c r="BA3327" s="1" t="s">
        <v>74</v>
      </c>
      <c r="BB3327" s="1" t="s">
        <v>74</v>
      </c>
      <c r="BC3327" s="1" t="s">
        <v>74</v>
      </c>
      <c r="BD3327" s="1" t="s">
        <v>74</v>
      </c>
      <c r="BE3327" s="1" t="s">
        <v>52843</v>
      </c>
      <c r="BF3327" s="1" t="str">
        <f>HYPERLINK("http://dx.doi.org/10.1016/j.marenvres.2024.106581","http://dx.doi.org/10.1016/j.marenvres.2024.106581")</f>
        <v>http://dx.doi.org/10.1016/j.marenvres.2024.106581</v>
      </c>
      <c r="BG3327" s="1" t="s">
        <v>74</v>
      </c>
      <c r="BH3327" s="1" t="s">
        <v>7912</v>
      </c>
      <c r="BI3327" s="1">
        <v>11</v>
      </c>
      <c r="BJ3327" s="1" t="s">
        <v>768</v>
      </c>
      <c r="BK3327" s="1" t="s">
        <v>96</v>
      </c>
      <c r="BL3327" s="1" t="s">
        <v>769</v>
      </c>
      <c r="BM3327" s="1" t="s">
        <v>52844</v>
      </c>
      <c r="BN3327" s="1">
        <v>38878345</v>
      </c>
      <c r="BO3327" s="1" t="s">
        <v>74</v>
      </c>
      <c r="BP3327" s="1" t="s">
        <v>74</v>
      </c>
      <c r="BQ3327" s="1" t="s">
        <v>74</v>
      </c>
      <c r="BR3327" s="1" t="s">
        <v>98</v>
      </c>
      <c r="BS3327" s="1" t="s">
        <v>52845</v>
      </c>
      <c r="BT3327" s="1" t="str">
        <f>HYPERLINK("https%3A%2F%2Fwww.webofscience.com%2Fwos%2Fwoscc%2Ffull-record%2FWOS:001256276900001","View Full Record in Web of Science")</f>
        <v>View Full Record in Web of Science</v>
      </c>
      <c r="BU3327" s="1"/>
      <c r="BV3327" s="1"/>
    </row>
    <row r="3328" spans="1:74">
      <c r="A3328" s="1" t="s">
        <v>72</v>
      </c>
      <c r="B3328" s="1" t="s">
        <v>52846</v>
      </c>
      <c r="C3328" s="1" t="s">
        <v>74</v>
      </c>
      <c r="D3328" s="1" t="s">
        <v>74</v>
      </c>
      <c r="E3328" s="1" t="s">
        <v>74</v>
      </c>
      <c r="F3328" s="1" t="s">
        <v>52847</v>
      </c>
      <c r="G3328" s="1" t="s">
        <v>74</v>
      </c>
      <c r="H3328" s="1" t="s">
        <v>74</v>
      </c>
      <c r="I3328" s="1" t="s">
        <v>52848</v>
      </c>
      <c r="J3328" s="1" t="s">
        <v>3349</v>
      </c>
      <c r="K3328" s="1" t="s">
        <v>74</v>
      </c>
      <c r="L3328" s="1" t="s">
        <v>74</v>
      </c>
      <c r="M3328" s="1" t="s">
        <v>78</v>
      </c>
      <c r="N3328" s="1" t="s">
        <v>79</v>
      </c>
      <c r="O3328" s="1" t="s">
        <v>74</v>
      </c>
      <c r="P3328" s="1" t="s">
        <v>74</v>
      </c>
      <c r="Q3328" s="1" t="s">
        <v>74</v>
      </c>
      <c r="R3328" s="1" t="s">
        <v>74</v>
      </c>
      <c r="S3328" s="1" t="s">
        <v>74</v>
      </c>
      <c r="T3328" s="1" t="s">
        <v>52849</v>
      </c>
      <c r="U3328" s="1" t="s">
        <v>52850</v>
      </c>
      <c r="V3328" s="1" t="s">
        <v>52851</v>
      </c>
      <c r="W3328" s="1" t="s">
        <v>52852</v>
      </c>
      <c r="X3328" s="1" t="s">
        <v>52853</v>
      </c>
      <c r="Y3328" s="1" t="s">
        <v>52854</v>
      </c>
      <c r="Z3328" s="1" t="s">
        <v>52855</v>
      </c>
      <c r="AA3328" s="1" t="s">
        <v>52856</v>
      </c>
      <c r="AB3328" s="1" t="s">
        <v>52857</v>
      </c>
      <c r="AC3328" s="1" t="s">
        <v>52858</v>
      </c>
      <c r="AD3328" s="1" t="s">
        <v>52859</v>
      </c>
      <c r="AE3328" s="1" t="s">
        <v>52860</v>
      </c>
      <c r="AF3328" s="1" t="s">
        <v>74</v>
      </c>
      <c r="AG3328" s="1">
        <v>50</v>
      </c>
      <c r="AH3328" s="1">
        <v>2</v>
      </c>
      <c r="AI3328" s="1">
        <v>2</v>
      </c>
      <c r="AJ3328" s="1">
        <v>1</v>
      </c>
      <c r="AK3328" s="1">
        <v>10</v>
      </c>
      <c r="AL3328" s="1" t="s">
        <v>3362</v>
      </c>
      <c r="AM3328" s="1" t="s">
        <v>3363</v>
      </c>
      <c r="AN3328" s="1" t="s">
        <v>3364</v>
      </c>
      <c r="AO3328" s="1" t="s">
        <v>3365</v>
      </c>
      <c r="AP3328" s="1" t="s">
        <v>3366</v>
      </c>
      <c r="AQ3328" s="1" t="s">
        <v>74</v>
      </c>
      <c r="AR3328" s="1" t="s">
        <v>3367</v>
      </c>
      <c r="AS3328" s="1" t="s">
        <v>3368</v>
      </c>
      <c r="AT3328" s="1" t="s">
        <v>5542</v>
      </c>
      <c r="AU3328" s="1">
        <v>2022</v>
      </c>
      <c r="AV3328" s="1">
        <v>237</v>
      </c>
      <c r="AW3328" s="1" t="s">
        <v>74</v>
      </c>
      <c r="AX3328" s="1" t="s">
        <v>74</v>
      </c>
      <c r="AY3328" s="1" t="s">
        <v>74</v>
      </c>
      <c r="AZ3328" s="1" t="s">
        <v>74</v>
      </c>
      <c r="BA3328" s="1" t="s">
        <v>74</v>
      </c>
      <c r="BB3328" s="1" t="s">
        <v>74</v>
      </c>
      <c r="BC3328" s="1" t="s">
        <v>74</v>
      </c>
      <c r="BD3328" s="1">
        <v>113538</v>
      </c>
      <c r="BE3328" s="1" t="s">
        <v>52861</v>
      </c>
      <c r="BF3328" s="1" t="str">
        <f>HYPERLINK("http://dx.doi.org/10.1016/j.ecoenv.2022.113538","http://dx.doi.org/10.1016/j.ecoenv.2022.113538")</f>
        <v>http://dx.doi.org/10.1016/j.ecoenv.2022.113538</v>
      </c>
      <c r="BG3328" s="1" t="s">
        <v>74</v>
      </c>
      <c r="BH3328" s="1" t="s">
        <v>1291</v>
      </c>
      <c r="BI3328" s="1">
        <v>10</v>
      </c>
      <c r="BJ3328" s="1" t="s">
        <v>121</v>
      </c>
      <c r="BK3328" s="1" t="s">
        <v>96</v>
      </c>
      <c r="BL3328" s="1" t="s">
        <v>122</v>
      </c>
      <c r="BM3328" s="1" t="s">
        <v>52862</v>
      </c>
      <c r="BN3328" s="1">
        <v>35483143</v>
      </c>
      <c r="BO3328" s="1" t="s">
        <v>873</v>
      </c>
      <c r="BP3328" s="1" t="s">
        <v>74</v>
      </c>
      <c r="BQ3328" s="1" t="s">
        <v>74</v>
      </c>
      <c r="BR3328" s="1" t="s">
        <v>98</v>
      </c>
      <c r="BS3328" s="1" t="s">
        <v>52863</v>
      </c>
      <c r="BT3328" s="1" t="str">
        <f>HYPERLINK("https%3A%2F%2Fwww.webofscience.com%2Fwos%2Fwoscc%2Ffull-record%2FWOS:000798996500007","View Full Record in Web of Science")</f>
        <v>View Full Record in Web of Science</v>
      </c>
      <c r="BU3328" s="1"/>
      <c r="BV3328" s="1"/>
    </row>
    <row r="3329" spans="1:74">
      <c r="A3329" s="1" t="s">
        <v>72</v>
      </c>
      <c r="B3329" s="1" t="s">
        <v>52864</v>
      </c>
      <c r="C3329" s="1" t="s">
        <v>74</v>
      </c>
      <c r="D3329" s="1" t="s">
        <v>74</v>
      </c>
      <c r="E3329" s="1" t="s">
        <v>74</v>
      </c>
      <c r="F3329" s="1" t="s">
        <v>52864</v>
      </c>
      <c r="G3329" s="1" t="s">
        <v>74</v>
      </c>
      <c r="H3329" s="1" t="s">
        <v>74</v>
      </c>
      <c r="I3329" s="1" t="s">
        <v>52865</v>
      </c>
      <c r="J3329" s="1" t="s">
        <v>52866</v>
      </c>
      <c r="K3329" s="1" t="s">
        <v>74</v>
      </c>
      <c r="L3329" s="1" t="s">
        <v>74</v>
      </c>
      <c r="M3329" s="1" t="s">
        <v>78</v>
      </c>
      <c r="N3329" s="1" t="s">
        <v>79</v>
      </c>
      <c r="O3329" s="1" t="s">
        <v>74</v>
      </c>
      <c r="P3329" s="1" t="s">
        <v>74</v>
      </c>
      <c r="Q3329" s="1" t="s">
        <v>74</v>
      </c>
      <c r="R3329" s="1" t="s">
        <v>74</v>
      </c>
      <c r="S3329" s="1" t="s">
        <v>74</v>
      </c>
      <c r="T3329" s="1" t="s">
        <v>74</v>
      </c>
      <c r="U3329" s="1" t="s">
        <v>52867</v>
      </c>
      <c r="V3329" s="1" t="s">
        <v>52868</v>
      </c>
      <c r="W3329" s="1" t="s">
        <v>52869</v>
      </c>
      <c r="X3329" s="1" t="s">
        <v>52870</v>
      </c>
      <c r="Y3329" s="1" t="s">
        <v>52871</v>
      </c>
      <c r="Z3329" s="1" t="s">
        <v>74</v>
      </c>
      <c r="AA3329" s="1" t="s">
        <v>52872</v>
      </c>
      <c r="AB3329" s="1" t="s">
        <v>52873</v>
      </c>
      <c r="AC3329" s="1" t="s">
        <v>74</v>
      </c>
      <c r="AD3329" s="1" t="s">
        <v>74</v>
      </c>
      <c r="AE3329" s="1" t="s">
        <v>74</v>
      </c>
      <c r="AF3329" s="1" t="s">
        <v>74</v>
      </c>
      <c r="AG3329" s="1">
        <v>33</v>
      </c>
      <c r="AH3329" s="1">
        <v>47</v>
      </c>
      <c r="AI3329" s="1">
        <v>58</v>
      </c>
      <c r="AJ3329" s="1">
        <v>0</v>
      </c>
      <c r="AK3329" s="1">
        <v>18</v>
      </c>
      <c r="AL3329" s="1" t="s">
        <v>52874</v>
      </c>
      <c r="AM3329" s="1" t="s">
        <v>6856</v>
      </c>
      <c r="AN3329" s="1" t="s">
        <v>52875</v>
      </c>
      <c r="AO3329" s="1" t="s">
        <v>52876</v>
      </c>
      <c r="AP3329" s="1" t="s">
        <v>52877</v>
      </c>
      <c r="AQ3329" s="1" t="s">
        <v>74</v>
      </c>
      <c r="AR3329" s="1" t="s">
        <v>52878</v>
      </c>
      <c r="AS3329" s="1" t="s">
        <v>52879</v>
      </c>
      <c r="AT3329" s="1" t="s">
        <v>93</v>
      </c>
      <c r="AU3329" s="1">
        <v>2006</v>
      </c>
      <c r="AV3329" s="1">
        <v>92</v>
      </c>
      <c r="AW3329" s="1">
        <v>2</v>
      </c>
      <c r="AX3329" s="1" t="s">
        <v>74</v>
      </c>
      <c r="AY3329" s="1" t="s">
        <v>74</v>
      </c>
      <c r="AZ3329" s="1" t="s">
        <v>74</v>
      </c>
      <c r="BA3329" s="1" t="s">
        <v>74</v>
      </c>
      <c r="BB3329" s="1">
        <v>306</v>
      </c>
      <c r="BC3329" s="1">
        <v>311</v>
      </c>
      <c r="BD3329" s="1" t="s">
        <v>74</v>
      </c>
      <c r="BE3329" s="1" t="s">
        <v>52880</v>
      </c>
      <c r="BF3329" s="1" t="str">
        <f>HYPERLINK("http://dx.doi.org/10.1645/GE-624R.1","http://dx.doi.org/10.1645/GE-624R.1")</f>
        <v>http://dx.doi.org/10.1645/GE-624R.1</v>
      </c>
      <c r="BG3329" s="1" t="s">
        <v>74</v>
      </c>
      <c r="BH3329" s="1" t="s">
        <v>74</v>
      </c>
      <c r="BI3329" s="1">
        <v>6</v>
      </c>
      <c r="BJ3329" s="1" t="s">
        <v>2340</v>
      </c>
      <c r="BK3329" s="1" t="s">
        <v>96</v>
      </c>
      <c r="BL3329" s="1" t="s">
        <v>2340</v>
      </c>
      <c r="BM3329" s="1" t="s">
        <v>52881</v>
      </c>
      <c r="BN3329" s="1">
        <v>16729687</v>
      </c>
      <c r="BO3329" s="1" t="s">
        <v>74</v>
      </c>
      <c r="BP3329" s="1" t="s">
        <v>74</v>
      </c>
      <c r="BQ3329" s="1" t="s">
        <v>74</v>
      </c>
      <c r="BR3329" s="1" t="s">
        <v>98</v>
      </c>
      <c r="BS3329" s="1" t="s">
        <v>52882</v>
      </c>
      <c r="BT3329" s="1" t="str">
        <f>HYPERLINK("https%3A%2F%2Fwww.webofscience.com%2Fwos%2Fwoscc%2Ffull-record%2FWOS:000237329400014","View Full Record in Web of Science")</f>
        <v>View Full Record in Web of Science</v>
      </c>
      <c r="BU3329" s="1"/>
      <c r="BV3329" s="1"/>
    </row>
    <row r="3330" spans="1:74">
      <c r="A3330" s="1" t="s">
        <v>72</v>
      </c>
      <c r="B3330" s="1" t="s">
        <v>52883</v>
      </c>
      <c r="C3330" s="1" t="s">
        <v>74</v>
      </c>
      <c r="D3330" s="1" t="s">
        <v>74</v>
      </c>
      <c r="E3330" s="1" t="s">
        <v>74</v>
      </c>
      <c r="F3330" s="1" t="s">
        <v>52884</v>
      </c>
      <c r="G3330" s="1" t="s">
        <v>74</v>
      </c>
      <c r="H3330" s="1" t="s">
        <v>74</v>
      </c>
      <c r="I3330" s="1" t="s">
        <v>52885</v>
      </c>
      <c r="J3330" s="1" t="s">
        <v>641</v>
      </c>
      <c r="K3330" s="1" t="s">
        <v>74</v>
      </c>
      <c r="L3330" s="1" t="s">
        <v>74</v>
      </c>
      <c r="M3330" s="1" t="s">
        <v>78</v>
      </c>
      <c r="N3330" s="1" t="s">
        <v>151</v>
      </c>
      <c r="O3330" s="1" t="s">
        <v>52886</v>
      </c>
      <c r="P3330" s="1" t="s">
        <v>52887</v>
      </c>
      <c r="Q3330" s="1" t="s">
        <v>23569</v>
      </c>
      <c r="R3330" s="1" t="s">
        <v>74</v>
      </c>
      <c r="S3330" s="1" t="s">
        <v>74</v>
      </c>
      <c r="T3330" s="1" t="s">
        <v>52888</v>
      </c>
      <c r="U3330" s="1" t="s">
        <v>52889</v>
      </c>
      <c r="V3330" s="1" t="s">
        <v>52890</v>
      </c>
      <c r="W3330" s="1" t="s">
        <v>52891</v>
      </c>
      <c r="X3330" s="1" t="s">
        <v>52892</v>
      </c>
      <c r="Y3330" s="1" t="s">
        <v>52893</v>
      </c>
      <c r="Z3330" s="1" t="s">
        <v>52894</v>
      </c>
      <c r="AA3330" s="1" t="s">
        <v>52895</v>
      </c>
      <c r="AB3330" s="1" t="s">
        <v>52896</v>
      </c>
      <c r="AC3330" s="1" t="s">
        <v>52897</v>
      </c>
      <c r="AD3330" s="1" t="s">
        <v>52898</v>
      </c>
      <c r="AE3330" s="1" t="s">
        <v>52899</v>
      </c>
      <c r="AF3330" s="1" t="s">
        <v>74</v>
      </c>
      <c r="AG3330" s="1">
        <v>65</v>
      </c>
      <c r="AH3330" s="1">
        <v>18</v>
      </c>
      <c r="AI3330" s="1">
        <v>23</v>
      </c>
      <c r="AJ3330" s="1">
        <v>3</v>
      </c>
      <c r="AK3330" s="1">
        <v>39</v>
      </c>
      <c r="AL3330" s="1" t="s">
        <v>650</v>
      </c>
      <c r="AM3330" s="1" t="s">
        <v>651</v>
      </c>
      <c r="AN3330" s="1" t="s">
        <v>652</v>
      </c>
      <c r="AO3330" s="1" t="s">
        <v>653</v>
      </c>
      <c r="AP3330" s="1" t="s">
        <v>654</v>
      </c>
      <c r="AQ3330" s="1" t="s">
        <v>74</v>
      </c>
      <c r="AR3330" s="1" t="s">
        <v>655</v>
      </c>
      <c r="AS3330" s="1" t="s">
        <v>656</v>
      </c>
      <c r="AT3330" s="1" t="s">
        <v>267</v>
      </c>
      <c r="AU3330" s="1">
        <v>2020</v>
      </c>
      <c r="AV3330" s="1">
        <v>227</v>
      </c>
      <c r="AW3330" s="1" t="s">
        <v>74</v>
      </c>
      <c r="AX3330" s="1" t="s">
        <v>74</v>
      </c>
      <c r="AY3330" s="1" t="s">
        <v>74</v>
      </c>
      <c r="AZ3330" s="1" t="s">
        <v>74</v>
      </c>
      <c r="BA3330" s="1" t="s">
        <v>74</v>
      </c>
      <c r="BB3330" s="1" t="s">
        <v>74</v>
      </c>
      <c r="BC3330" s="1" t="s">
        <v>74</v>
      </c>
      <c r="BD3330" s="1">
        <v>105596</v>
      </c>
      <c r="BE3330" s="1" t="s">
        <v>52900</v>
      </c>
      <c r="BF3330" s="1" t="str">
        <f>HYPERLINK("http://dx.doi.org/10.1016/j.aquatox.2020.105596","http://dx.doi.org/10.1016/j.aquatox.2020.105596")</f>
        <v>http://dx.doi.org/10.1016/j.aquatox.2020.105596</v>
      </c>
      <c r="BG3330" s="1" t="s">
        <v>74</v>
      </c>
      <c r="BH3330" s="1" t="s">
        <v>74</v>
      </c>
      <c r="BI3330" s="1">
        <v>10</v>
      </c>
      <c r="BJ3330" s="1" t="s">
        <v>659</v>
      </c>
      <c r="BK3330" s="1" t="s">
        <v>172</v>
      </c>
      <c r="BL3330" s="1" t="s">
        <v>659</v>
      </c>
      <c r="BM3330" s="1" t="s">
        <v>52901</v>
      </c>
      <c r="BN3330" s="1">
        <v>32827874</v>
      </c>
      <c r="BO3330" s="1" t="s">
        <v>74</v>
      </c>
      <c r="BP3330" s="1" t="s">
        <v>74</v>
      </c>
      <c r="BQ3330" s="1" t="s">
        <v>74</v>
      </c>
      <c r="BR3330" s="1" t="s">
        <v>98</v>
      </c>
      <c r="BS3330" s="1" t="s">
        <v>52902</v>
      </c>
      <c r="BT3330" s="1" t="str">
        <f>HYPERLINK("https%3A%2F%2Fwww.webofscience.com%2Fwos%2Fwoscc%2Ffull-record%2FWOS:000574866100007","View Full Record in Web of Science")</f>
        <v>View Full Record in Web of Science</v>
      </c>
      <c r="BU3330" s="1"/>
      <c r="BV3330" s="1"/>
    </row>
    <row r="3331" spans="1:74">
      <c r="A3331" s="1" t="s">
        <v>72</v>
      </c>
      <c r="B3331" s="1" t="s">
        <v>52903</v>
      </c>
      <c r="C3331" s="1" t="s">
        <v>74</v>
      </c>
      <c r="D3331" s="1" t="s">
        <v>74</v>
      </c>
      <c r="E3331" s="1" t="s">
        <v>74</v>
      </c>
      <c r="F3331" s="1" t="s">
        <v>52904</v>
      </c>
      <c r="G3331" s="1" t="s">
        <v>74</v>
      </c>
      <c r="H3331" s="1" t="s">
        <v>74</v>
      </c>
      <c r="I3331" s="1" t="s">
        <v>52905</v>
      </c>
      <c r="J3331" s="1" t="s">
        <v>232</v>
      </c>
      <c r="K3331" s="1" t="s">
        <v>74</v>
      </c>
      <c r="L3331" s="1" t="s">
        <v>74</v>
      </c>
      <c r="M3331" s="1" t="s">
        <v>78</v>
      </c>
      <c r="N3331" s="1" t="s">
        <v>79</v>
      </c>
      <c r="O3331" s="1" t="s">
        <v>74</v>
      </c>
      <c r="P3331" s="1" t="s">
        <v>74</v>
      </c>
      <c r="Q3331" s="1" t="s">
        <v>74</v>
      </c>
      <c r="R3331" s="1" t="s">
        <v>74</v>
      </c>
      <c r="S3331" s="1" t="s">
        <v>74</v>
      </c>
      <c r="T3331" s="1" t="s">
        <v>74</v>
      </c>
      <c r="U3331" s="1" t="s">
        <v>52906</v>
      </c>
      <c r="V3331" s="1" t="s">
        <v>74</v>
      </c>
      <c r="W3331" s="1" t="s">
        <v>52907</v>
      </c>
      <c r="X3331" s="1" t="s">
        <v>52908</v>
      </c>
      <c r="Y3331" s="1" t="s">
        <v>52909</v>
      </c>
      <c r="Z3331" s="1" t="s">
        <v>1638</v>
      </c>
      <c r="AA3331" s="1" t="s">
        <v>52910</v>
      </c>
      <c r="AB3331" s="1" t="s">
        <v>52911</v>
      </c>
      <c r="AC3331" s="1" t="s">
        <v>74</v>
      </c>
      <c r="AD3331" s="1" t="s">
        <v>74</v>
      </c>
      <c r="AE3331" s="1" t="s">
        <v>74</v>
      </c>
      <c r="AF3331" s="1" t="s">
        <v>74</v>
      </c>
      <c r="AG3331" s="1">
        <v>38</v>
      </c>
      <c r="AH3331" s="1">
        <v>30</v>
      </c>
      <c r="AI3331" s="1">
        <v>32</v>
      </c>
      <c r="AJ3331" s="1">
        <v>0</v>
      </c>
      <c r="AK3331" s="1">
        <v>8</v>
      </c>
      <c r="AL3331" s="1" t="s">
        <v>136</v>
      </c>
      <c r="AM3331" s="1" t="s">
        <v>137</v>
      </c>
      <c r="AN3331" s="1" t="s">
        <v>138</v>
      </c>
      <c r="AO3331" s="1" t="s">
        <v>240</v>
      </c>
      <c r="AP3331" s="1" t="s">
        <v>241</v>
      </c>
      <c r="AQ3331" s="1" t="s">
        <v>74</v>
      </c>
      <c r="AR3331" s="1" t="s">
        <v>242</v>
      </c>
      <c r="AS3331" s="1" t="s">
        <v>243</v>
      </c>
      <c r="AT3331" s="1" t="s">
        <v>305</v>
      </c>
      <c r="AU3331" s="1">
        <v>2007</v>
      </c>
      <c r="AV3331" s="1">
        <v>54</v>
      </c>
      <c r="AW3331" s="1">
        <v>9</v>
      </c>
      <c r="AX3331" s="1" t="s">
        <v>74</v>
      </c>
      <c r="AY3331" s="1" t="s">
        <v>74</v>
      </c>
      <c r="AZ3331" s="1" t="s">
        <v>74</v>
      </c>
      <c r="BA3331" s="1" t="s">
        <v>74</v>
      </c>
      <c r="BB3331" s="1">
        <v>1545</v>
      </c>
      <c r="BC3331" s="1">
        <v>1558</v>
      </c>
      <c r="BD3331" s="1" t="s">
        <v>74</v>
      </c>
      <c r="BE3331" s="1" t="s">
        <v>52912</v>
      </c>
      <c r="BF3331" s="1" t="str">
        <f>HYPERLINK("http://dx.doi.org/10.1016/j.marpolbul.2007.05.012","http://dx.doi.org/10.1016/j.marpolbul.2007.05.012")</f>
        <v>http://dx.doi.org/10.1016/j.marpolbul.2007.05.012</v>
      </c>
      <c r="BG3331" s="1" t="s">
        <v>74</v>
      </c>
      <c r="BH3331" s="1" t="s">
        <v>74</v>
      </c>
      <c r="BI3331" s="1">
        <v>14</v>
      </c>
      <c r="BJ3331" s="1" t="s">
        <v>247</v>
      </c>
      <c r="BK3331" s="1" t="s">
        <v>96</v>
      </c>
      <c r="BL3331" s="1" t="s">
        <v>248</v>
      </c>
      <c r="BM3331" s="1" t="s">
        <v>11836</v>
      </c>
      <c r="BN3331" s="1">
        <v>17618653</v>
      </c>
      <c r="BO3331" s="1" t="s">
        <v>74</v>
      </c>
      <c r="BP3331" s="1" t="s">
        <v>74</v>
      </c>
      <c r="BQ3331" s="1" t="s">
        <v>74</v>
      </c>
      <c r="BR3331" s="1" t="s">
        <v>98</v>
      </c>
      <c r="BS3331" s="1" t="s">
        <v>52913</v>
      </c>
      <c r="BT3331" s="1" t="str">
        <f>HYPERLINK("https%3A%2F%2Fwww.webofscience.com%2Fwos%2Fwoscc%2Ffull-record%2FWOS:000250013900037","View Full Record in Web of Science")</f>
        <v>View Full Record in Web of Science</v>
      </c>
      <c r="BU3331" s="1"/>
      <c r="BV3331" s="1"/>
    </row>
    <row r="3332" spans="1:74">
      <c r="A3332" s="1" t="s">
        <v>72</v>
      </c>
      <c r="B3332" s="1" t="s">
        <v>52914</v>
      </c>
      <c r="C3332" s="1" t="s">
        <v>74</v>
      </c>
      <c r="D3332" s="1" t="s">
        <v>74</v>
      </c>
      <c r="E3332" s="1" t="s">
        <v>74</v>
      </c>
      <c r="F3332" s="1" t="s">
        <v>52915</v>
      </c>
      <c r="G3332" s="1" t="s">
        <v>74</v>
      </c>
      <c r="H3332" s="1" t="s">
        <v>74</v>
      </c>
      <c r="I3332" s="1" t="s">
        <v>52916</v>
      </c>
      <c r="J3332" s="1" t="s">
        <v>19459</v>
      </c>
      <c r="K3332" s="1" t="s">
        <v>74</v>
      </c>
      <c r="L3332" s="1" t="s">
        <v>74</v>
      </c>
      <c r="M3332" s="1" t="s">
        <v>78</v>
      </c>
      <c r="N3332" s="1" t="s">
        <v>79</v>
      </c>
      <c r="O3332" s="1" t="s">
        <v>74</v>
      </c>
      <c r="P3332" s="1" t="s">
        <v>74</v>
      </c>
      <c r="Q3332" s="1" t="s">
        <v>74</v>
      </c>
      <c r="R3332" s="1" t="s">
        <v>74</v>
      </c>
      <c r="S3332" s="1" t="s">
        <v>74</v>
      </c>
      <c r="T3332" s="1" t="s">
        <v>74</v>
      </c>
      <c r="U3332" s="1" t="s">
        <v>52917</v>
      </c>
      <c r="V3332" s="1" t="s">
        <v>52918</v>
      </c>
      <c r="W3332" s="1" t="s">
        <v>52919</v>
      </c>
      <c r="X3332" s="1" t="s">
        <v>52920</v>
      </c>
      <c r="Y3332" s="1" t="s">
        <v>52921</v>
      </c>
      <c r="Z3332" s="1" t="s">
        <v>52922</v>
      </c>
      <c r="AA3332" s="1" t="s">
        <v>52923</v>
      </c>
      <c r="AB3332" s="1" t="s">
        <v>19467</v>
      </c>
      <c r="AC3332" s="1" t="s">
        <v>52924</v>
      </c>
      <c r="AD3332" s="1" t="s">
        <v>19469</v>
      </c>
      <c r="AE3332" s="1" t="s">
        <v>52925</v>
      </c>
      <c r="AF3332" s="1" t="s">
        <v>74</v>
      </c>
      <c r="AG3332" s="1">
        <v>54</v>
      </c>
      <c r="AH3332" s="1">
        <v>10</v>
      </c>
      <c r="AI3332" s="1">
        <v>11</v>
      </c>
      <c r="AJ3332" s="1">
        <v>0</v>
      </c>
      <c r="AK3332" s="1">
        <v>52</v>
      </c>
      <c r="AL3332" s="1" t="s">
        <v>261</v>
      </c>
      <c r="AM3332" s="1" t="s">
        <v>262</v>
      </c>
      <c r="AN3332" s="1" t="s">
        <v>19471</v>
      </c>
      <c r="AO3332" s="1" t="s">
        <v>19472</v>
      </c>
      <c r="AP3332" s="1" t="s">
        <v>74</v>
      </c>
      <c r="AQ3332" s="1" t="s">
        <v>74</v>
      </c>
      <c r="AR3332" s="1" t="s">
        <v>19473</v>
      </c>
      <c r="AS3332" s="1" t="s">
        <v>19474</v>
      </c>
      <c r="AT3332" s="1" t="s">
        <v>74</v>
      </c>
      <c r="AU3332" s="1">
        <v>2016</v>
      </c>
      <c r="AV3332" s="1">
        <v>6</v>
      </c>
      <c r="AW3332" s="1">
        <v>88</v>
      </c>
      <c r="AX3332" s="1" t="s">
        <v>74</v>
      </c>
      <c r="AY3332" s="1" t="s">
        <v>74</v>
      </c>
      <c r="AZ3332" s="1" t="s">
        <v>74</v>
      </c>
      <c r="BA3332" s="1" t="s">
        <v>74</v>
      </c>
      <c r="BB3332" s="1">
        <v>85213</v>
      </c>
      <c r="BC3332" s="1">
        <v>85221</v>
      </c>
      <c r="BD3332" s="1" t="s">
        <v>74</v>
      </c>
      <c r="BE3332" s="1" t="s">
        <v>52926</v>
      </c>
      <c r="BF3332" s="1" t="str">
        <f>HYPERLINK("http://dx.doi.org/10.1039/c6ra16467f","http://dx.doi.org/10.1039/c6ra16467f")</f>
        <v>http://dx.doi.org/10.1039/c6ra16467f</v>
      </c>
      <c r="BG3332" s="1" t="s">
        <v>74</v>
      </c>
      <c r="BH3332" s="1" t="s">
        <v>74</v>
      </c>
      <c r="BI3332" s="1">
        <v>9</v>
      </c>
      <c r="BJ3332" s="1" t="s">
        <v>3919</v>
      </c>
      <c r="BK3332" s="1" t="s">
        <v>96</v>
      </c>
      <c r="BL3332" s="1" t="s">
        <v>1197</v>
      </c>
      <c r="BM3332" s="1" t="s">
        <v>52927</v>
      </c>
      <c r="BN3332" s="1" t="s">
        <v>74</v>
      </c>
      <c r="BO3332" s="1" t="s">
        <v>74</v>
      </c>
      <c r="BP3332" s="1" t="s">
        <v>74</v>
      </c>
      <c r="BQ3332" s="1" t="s">
        <v>74</v>
      </c>
      <c r="BR3332" s="1" t="s">
        <v>98</v>
      </c>
      <c r="BS3332" s="1" t="s">
        <v>52928</v>
      </c>
      <c r="BT3332" s="1" t="str">
        <f>HYPERLINK("https%3A%2F%2Fwww.webofscience.com%2Fwos%2Fwoscc%2Ffull-record%2FWOS:000384139000077","View Full Record in Web of Science")</f>
        <v>View Full Record in Web of Science</v>
      </c>
      <c r="BU3332" s="1"/>
      <c r="BV3332" s="1"/>
    </row>
    <row r="3333" spans="1:74">
      <c r="A3333" s="1" t="s">
        <v>72</v>
      </c>
      <c r="B3333" s="1" t="s">
        <v>52929</v>
      </c>
      <c r="C3333" s="1" t="s">
        <v>74</v>
      </c>
      <c r="D3333" s="1" t="s">
        <v>74</v>
      </c>
      <c r="E3333" s="1" t="s">
        <v>74</v>
      </c>
      <c r="F3333" s="1" t="s">
        <v>52929</v>
      </c>
      <c r="G3333" s="1" t="s">
        <v>74</v>
      </c>
      <c r="H3333" s="1" t="s">
        <v>74</v>
      </c>
      <c r="I3333" s="1" t="s">
        <v>52930</v>
      </c>
      <c r="J3333" s="1" t="s">
        <v>1254</v>
      </c>
      <c r="K3333" s="1" t="s">
        <v>74</v>
      </c>
      <c r="L3333" s="1" t="s">
        <v>74</v>
      </c>
      <c r="M3333" s="1" t="s">
        <v>78</v>
      </c>
      <c r="N3333" s="1" t="s">
        <v>79</v>
      </c>
      <c r="O3333" s="1" t="s">
        <v>74</v>
      </c>
      <c r="P3333" s="1" t="s">
        <v>74</v>
      </c>
      <c r="Q3333" s="1" t="s">
        <v>74</v>
      </c>
      <c r="R3333" s="1" t="s">
        <v>74</v>
      </c>
      <c r="S3333" s="1" t="s">
        <v>74</v>
      </c>
      <c r="T3333" s="1" t="s">
        <v>74</v>
      </c>
      <c r="U3333" s="1" t="s">
        <v>52931</v>
      </c>
      <c r="V3333" s="1" t="s">
        <v>52932</v>
      </c>
      <c r="W3333" s="1" t="s">
        <v>52933</v>
      </c>
      <c r="X3333" s="1" t="s">
        <v>52934</v>
      </c>
      <c r="Y3333" s="1" t="s">
        <v>52935</v>
      </c>
      <c r="Z3333" s="1" t="s">
        <v>74</v>
      </c>
      <c r="AA3333" s="1" t="s">
        <v>74</v>
      </c>
      <c r="AB3333" s="1" t="s">
        <v>74</v>
      </c>
      <c r="AC3333" s="1" t="s">
        <v>74</v>
      </c>
      <c r="AD3333" s="1" t="s">
        <v>74</v>
      </c>
      <c r="AE3333" s="1" t="s">
        <v>74</v>
      </c>
      <c r="AF3333" s="1" t="s">
        <v>74</v>
      </c>
      <c r="AG3333" s="1">
        <v>44</v>
      </c>
      <c r="AH3333" s="1">
        <v>49</v>
      </c>
      <c r="AI3333" s="1">
        <v>53</v>
      </c>
      <c r="AJ3333" s="1">
        <v>1</v>
      </c>
      <c r="AK3333" s="1">
        <v>10</v>
      </c>
      <c r="AL3333" s="1" t="s">
        <v>136</v>
      </c>
      <c r="AM3333" s="1" t="s">
        <v>137</v>
      </c>
      <c r="AN3333" s="1" t="s">
        <v>138</v>
      </c>
      <c r="AO3333" s="1" t="s">
        <v>1264</v>
      </c>
      <c r="AP3333" s="1" t="s">
        <v>74</v>
      </c>
      <c r="AQ3333" s="1" t="s">
        <v>74</v>
      </c>
      <c r="AR3333" s="1" t="s">
        <v>1266</v>
      </c>
      <c r="AS3333" s="1" t="s">
        <v>1267</v>
      </c>
      <c r="AT3333" s="1" t="s">
        <v>197</v>
      </c>
      <c r="AU3333" s="1">
        <v>1999</v>
      </c>
      <c r="AV3333" s="1">
        <v>25</v>
      </c>
      <c r="AW3333" s="1">
        <v>8</v>
      </c>
      <c r="AX3333" s="1" t="s">
        <v>74</v>
      </c>
      <c r="AY3333" s="1" t="s">
        <v>74</v>
      </c>
      <c r="AZ3333" s="1" t="s">
        <v>74</v>
      </c>
      <c r="BA3333" s="1" t="s">
        <v>74</v>
      </c>
      <c r="BB3333" s="1">
        <v>969</v>
      </c>
      <c r="BC3333" s="1">
        <v>981</v>
      </c>
      <c r="BD3333" s="1" t="s">
        <v>74</v>
      </c>
      <c r="BE3333" s="1" t="s">
        <v>52936</v>
      </c>
      <c r="BF3333" s="1" t="str">
        <f>HYPERLINK("http://dx.doi.org/10.1016/S0160-4120(99)00066-5","http://dx.doi.org/10.1016/S0160-4120(99)00066-5")</f>
        <v>http://dx.doi.org/10.1016/S0160-4120(99)00066-5</v>
      </c>
      <c r="BG3333" s="1" t="s">
        <v>74</v>
      </c>
      <c r="BH3333" s="1" t="s">
        <v>74</v>
      </c>
      <c r="BI3333" s="1">
        <v>13</v>
      </c>
      <c r="BJ3333" s="1" t="s">
        <v>144</v>
      </c>
      <c r="BK3333" s="1" t="s">
        <v>96</v>
      </c>
      <c r="BL3333" s="1" t="s">
        <v>145</v>
      </c>
      <c r="BM3333" s="1" t="s">
        <v>52937</v>
      </c>
      <c r="BN3333" s="1" t="s">
        <v>74</v>
      </c>
      <c r="BO3333" s="1" t="s">
        <v>74</v>
      </c>
      <c r="BP3333" s="1" t="s">
        <v>74</v>
      </c>
      <c r="BQ3333" s="1" t="s">
        <v>74</v>
      </c>
      <c r="BR3333" s="1" t="s">
        <v>98</v>
      </c>
      <c r="BS3333" s="1" t="s">
        <v>52938</v>
      </c>
      <c r="BT3333" s="1" t="str">
        <f>HYPERLINK("https%3A%2F%2Fwww.webofscience.com%2Fwos%2Fwoscc%2Ffull-record%2FWOS:000084075900004","View Full Record in Web of Science")</f>
        <v>View Full Record in Web of Science</v>
      </c>
      <c r="BU3333" s="1"/>
      <c r="BV3333" s="1"/>
    </row>
    <row r="3334" spans="1:74">
      <c r="A3334" s="1" t="s">
        <v>72</v>
      </c>
      <c r="B3334" s="1" t="s">
        <v>52939</v>
      </c>
      <c r="C3334" s="1" t="s">
        <v>74</v>
      </c>
      <c r="D3334" s="1" t="s">
        <v>74</v>
      </c>
      <c r="E3334" s="1" t="s">
        <v>74</v>
      </c>
      <c r="F3334" s="1" t="s">
        <v>52939</v>
      </c>
      <c r="G3334" s="1" t="s">
        <v>74</v>
      </c>
      <c r="H3334" s="1" t="s">
        <v>74</v>
      </c>
      <c r="I3334" s="1" t="s">
        <v>52940</v>
      </c>
      <c r="J3334" s="1" t="s">
        <v>232</v>
      </c>
      <c r="K3334" s="1" t="s">
        <v>74</v>
      </c>
      <c r="L3334" s="1" t="s">
        <v>74</v>
      </c>
      <c r="M3334" s="1" t="s">
        <v>78</v>
      </c>
      <c r="N3334" s="1" t="s">
        <v>79</v>
      </c>
      <c r="O3334" s="1" t="s">
        <v>74</v>
      </c>
      <c r="P3334" s="1" t="s">
        <v>74</v>
      </c>
      <c r="Q3334" s="1" t="s">
        <v>74</v>
      </c>
      <c r="R3334" s="1" t="s">
        <v>74</v>
      </c>
      <c r="S3334" s="1" t="s">
        <v>74</v>
      </c>
      <c r="T3334" s="1" t="s">
        <v>74</v>
      </c>
      <c r="U3334" s="1" t="s">
        <v>52941</v>
      </c>
      <c r="V3334" s="1" t="s">
        <v>52942</v>
      </c>
      <c r="W3334" s="1" t="s">
        <v>74</v>
      </c>
      <c r="X3334" s="1" t="s">
        <v>74</v>
      </c>
      <c r="Y3334" s="1" t="s">
        <v>52943</v>
      </c>
      <c r="Z3334" s="1" t="s">
        <v>74</v>
      </c>
      <c r="AA3334" s="1" t="s">
        <v>74</v>
      </c>
      <c r="AB3334" s="1" t="s">
        <v>74</v>
      </c>
      <c r="AC3334" s="1" t="s">
        <v>74</v>
      </c>
      <c r="AD3334" s="1" t="s">
        <v>74</v>
      </c>
      <c r="AE3334" s="1" t="s">
        <v>74</v>
      </c>
      <c r="AF3334" s="1" t="s">
        <v>74</v>
      </c>
      <c r="AG3334" s="1">
        <v>24</v>
      </c>
      <c r="AH3334" s="1">
        <v>15</v>
      </c>
      <c r="AI3334" s="1">
        <v>18</v>
      </c>
      <c r="AJ3334" s="1">
        <v>1</v>
      </c>
      <c r="AK3334" s="1">
        <v>11</v>
      </c>
      <c r="AL3334" s="1" t="s">
        <v>136</v>
      </c>
      <c r="AM3334" s="1" t="s">
        <v>137</v>
      </c>
      <c r="AN3334" s="1" t="s">
        <v>138</v>
      </c>
      <c r="AO3334" s="1" t="s">
        <v>240</v>
      </c>
      <c r="AP3334" s="1" t="s">
        <v>241</v>
      </c>
      <c r="AQ3334" s="1" t="s">
        <v>74</v>
      </c>
      <c r="AR3334" s="1" t="s">
        <v>242</v>
      </c>
      <c r="AS3334" s="1" t="s">
        <v>243</v>
      </c>
      <c r="AT3334" s="1" t="s">
        <v>74</v>
      </c>
      <c r="AU3334" s="1">
        <v>1992</v>
      </c>
      <c r="AV3334" s="1">
        <v>25</v>
      </c>
      <c r="AW3334" s="1" t="s">
        <v>36313</v>
      </c>
      <c r="AX3334" s="1" t="s">
        <v>74</v>
      </c>
      <c r="AY3334" s="1" t="s">
        <v>74</v>
      </c>
      <c r="AZ3334" s="1" t="s">
        <v>74</v>
      </c>
      <c r="BA3334" s="1" t="s">
        <v>74</v>
      </c>
      <c r="BB3334" s="1">
        <v>196</v>
      </c>
      <c r="BC3334" s="1">
        <v>199</v>
      </c>
      <c r="BD3334" s="1" t="s">
        <v>74</v>
      </c>
      <c r="BE3334" s="1" t="s">
        <v>52944</v>
      </c>
      <c r="BF3334" s="1" t="str">
        <f>HYPERLINK("http://dx.doi.org/10.1016/0025-326X(92)90225-U","http://dx.doi.org/10.1016/0025-326X(92)90225-U")</f>
        <v>http://dx.doi.org/10.1016/0025-326X(92)90225-U</v>
      </c>
      <c r="BG3334" s="1" t="s">
        <v>74</v>
      </c>
      <c r="BH3334" s="1" t="s">
        <v>74</v>
      </c>
      <c r="BI3334" s="1">
        <v>4</v>
      </c>
      <c r="BJ3334" s="1" t="s">
        <v>247</v>
      </c>
      <c r="BK3334" s="1" t="s">
        <v>96</v>
      </c>
      <c r="BL3334" s="1" t="s">
        <v>248</v>
      </c>
      <c r="BM3334" s="1" t="s">
        <v>36315</v>
      </c>
      <c r="BN3334" s="1" t="s">
        <v>74</v>
      </c>
      <c r="BO3334" s="1" t="s">
        <v>74</v>
      </c>
      <c r="BP3334" s="1" t="s">
        <v>74</v>
      </c>
      <c r="BQ3334" s="1" t="s">
        <v>74</v>
      </c>
      <c r="BR3334" s="1" t="s">
        <v>98</v>
      </c>
      <c r="BS3334" s="1" t="s">
        <v>52945</v>
      </c>
      <c r="BT3334" s="1" t="str">
        <f>HYPERLINK("https%3A%2F%2Fwww.webofscience.com%2Fwos%2Fwoscc%2Ffull-record%2FWOS:A1992KJ81800012","View Full Record in Web of Science")</f>
        <v>View Full Record in Web of Science</v>
      </c>
      <c r="BU3334" s="1"/>
      <c r="BV3334" s="1"/>
    </row>
    <row r="3335" spans="1:74">
      <c r="A3335" s="1" t="s">
        <v>72</v>
      </c>
      <c r="B3335" s="1" t="s">
        <v>52946</v>
      </c>
      <c r="C3335" s="1" t="s">
        <v>74</v>
      </c>
      <c r="D3335" s="1" t="s">
        <v>74</v>
      </c>
      <c r="E3335" s="1" t="s">
        <v>74</v>
      </c>
      <c r="F3335" s="1" t="s">
        <v>52947</v>
      </c>
      <c r="G3335" s="1" t="s">
        <v>74</v>
      </c>
      <c r="H3335" s="1" t="s">
        <v>74</v>
      </c>
      <c r="I3335" s="1" t="s">
        <v>52948</v>
      </c>
      <c r="J3335" s="1" t="s">
        <v>909</v>
      </c>
      <c r="K3335" s="1" t="s">
        <v>74</v>
      </c>
      <c r="L3335" s="1" t="s">
        <v>74</v>
      </c>
      <c r="M3335" s="1" t="s">
        <v>78</v>
      </c>
      <c r="N3335" s="1" t="s">
        <v>79</v>
      </c>
      <c r="O3335" s="1" t="s">
        <v>74</v>
      </c>
      <c r="P3335" s="1" t="s">
        <v>74</v>
      </c>
      <c r="Q3335" s="1" t="s">
        <v>74</v>
      </c>
      <c r="R3335" s="1" t="s">
        <v>74</v>
      </c>
      <c r="S3335" s="1" t="s">
        <v>74</v>
      </c>
      <c r="T3335" s="1" t="s">
        <v>52949</v>
      </c>
      <c r="U3335" s="1" t="s">
        <v>52950</v>
      </c>
      <c r="V3335" s="1" t="s">
        <v>52951</v>
      </c>
      <c r="W3335" s="1" t="s">
        <v>52952</v>
      </c>
      <c r="X3335" s="1" t="s">
        <v>10674</v>
      </c>
      <c r="Y3335" s="1" t="s">
        <v>52953</v>
      </c>
      <c r="Z3335" s="1" t="s">
        <v>12664</v>
      </c>
      <c r="AA3335" s="1" t="s">
        <v>52954</v>
      </c>
      <c r="AB3335" s="1" t="s">
        <v>52955</v>
      </c>
      <c r="AC3335" s="1" t="s">
        <v>74</v>
      </c>
      <c r="AD3335" s="1" t="s">
        <v>74</v>
      </c>
      <c r="AE3335" s="1" t="s">
        <v>74</v>
      </c>
      <c r="AF3335" s="1" t="s">
        <v>74</v>
      </c>
      <c r="AG3335" s="1">
        <v>52</v>
      </c>
      <c r="AH3335" s="1">
        <v>151</v>
      </c>
      <c r="AI3335" s="1">
        <v>172</v>
      </c>
      <c r="AJ3335" s="1">
        <v>3</v>
      </c>
      <c r="AK3335" s="1">
        <v>61</v>
      </c>
      <c r="AL3335" s="1" t="s">
        <v>650</v>
      </c>
      <c r="AM3335" s="1" t="s">
        <v>651</v>
      </c>
      <c r="AN3335" s="1" t="s">
        <v>652</v>
      </c>
      <c r="AO3335" s="1" t="s">
        <v>921</v>
      </c>
      <c r="AP3335" s="1" t="s">
        <v>922</v>
      </c>
      <c r="AQ3335" s="1" t="s">
        <v>74</v>
      </c>
      <c r="AR3335" s="1" t="s">
        <v>923</v>
      </c>
      <c r="AS3335" s="1" t="s">
        <v>924</v>
      </c>
      <c r="AT3335" s="1" t="s">
        <v>12517</v>
      </c>
      <c r="AU3335" s="1">
        <v>2006</v>
      </c>
      <c r="AV3335" s="1">
        <v>367</v>
      </c>
      <c r="AW3335" s="1" t="s">
        <v>1723</v>
      </c>
      <c r="AX3335" s="1" t="s">
        <v>74</v>
      </c>
      <c r="AY3335" s="1" t="s">
        <v>74</v>
      </c>
      <c r="AZ3335" s="1" t="s">
        <v>74</v>
      </c>
      <c r="BA3335" s="1" t="s">
        <v>74</v>
      </c>
      <c r="BB3335" s="1">
        <v>573</v>
      </c>
      <c r="BC3335" s="1">
        <v>585</v>
      </c>
      <c r="BD3335" s="1" t="s">
        <v>74</v>
      </c>
      <c r="BE3335" s="1" t="s">
        <v>52956</v>
      </c>
      <c r="BF3335" s="1" t="str">
        <f>HYPERLINK("http://dx.doi.org/10.1016/j.scitotenv.2006.01.028","http://dx.doi.org/10.1016/j.scitotenv.2006.01.028")</f>
        <v>http://dx.doi.org/10.1016/j.scitotenv.2006.01.028</v>
      </c>
      <c r="BG3335" s="1" t="s">
        <v>74</v>
      </c>
      <c r="BH3335" s="1" t="s">
        <v>74</v>
      </c>
      <c r="BI3335" s="1">
        <v>13</v>
      </c>
      <c r="BJ3335" s="1" t="s">
        <v>144</v>
      </c>
      <c r="BK3335" s="1" t="s">
        <v>96</v>
      </c>
      <c r="BL3335" s="1" t="s">
        <v>145</v>
      </c>
      <c r="BM3335" s="1" t="s">
        <v>52957</v>
      </c>
      <c r="BN3335" s="1">
        <v>16545431</v>
      </c>
      <c r="BO3335" s="1" t="s">
        <v>74</v>
      </c>
      <c r="BP3335" s="1" t="s">
        <v>74</v>
      </c>
      <c r="BQ3335" s="1" t="s">
        <v>74</v>
      </c>
      <c r="BR3335" s="1" t="s">
        <v>98</v>
      </c>
      <c r="BS3335" s="1" t="s">
        <v>52958</v>
      </c>
      <c r="BT3335" s="1" t="str">
        <f>HYPERLINK("https%3A%2F%2Fwww.webofscience.com%2Fwos%2Fwoscc%2Ffull-record%2FWOS:000240042700005","View Full Record in Web of Science")</f>
        <v>View Full Record in Web of Science</v>
      </c>
      <c r="BU3335" s="1"/>
      <c r="BV3335" s="1"/>
    </row>
    <row r="3336" spans="1:74">
      <c r="A3336" s="1" t="s">
        <v>72</v>
      </c>
      <c r="B3336" s="1" t="s">
        <v>52959</v>
      </c>
      <c r="C3336" s="1" t="s">
        <v>74</v>
      </c>
      <c r="D3336" s="1" t="s">
        <v>74</v>
      </c>
      <c r="E3336" s="1" t="s">
        <v>74</v>
      </c>
      <c r="F3336" s="1" t="s">
        <v>52960</v>
      </c>
      <c r="G3336" s="1" t="s">
        <v>74</v>
      </c>
      <c r="H3336" s="1" t="s">
        <v>74</v>
      </c>
      <c r="I3336" s="1" t="s">
        <v>52961</v>
      </c>
      <c r="J3336" s="1" t="s">
        <v>1554</v>
      </c>
      <c r="K3336" s="1" t="s">
        <v>74</v>
      </c>
      <c r="L3336" s="1" t="s">
        <v>74</v>
      </c>
      <c r="M3336" s="1" t="s">
        <v>78</v>
      </c>
      <c r="N3336" s="1" t="s">
        <v>79</v>
      </c>
      <c r="O3336" s="1" t="s">
        <v>74</v>
      </c>
      <c r="P3336" s="1" t="s">
        <v>74</v>
      </c>
      <c r="Q3336" s="1" t="s">
        <v>74</v>
      </c>
      <c r="R3336" s="1" t="s">
        <v>74</v>
      </c>
      <c r="S3336" s="1" t="s">
        <v>74</v>
      </c>
      <c r="T3336" s="1" t="s">
        <v>52962</v>
      </c>
      <c r="U3336" s="1" t="s">
        <v>52963</v>
      </c>
      <c r="V3336" s="1" t="s">
        <v>52964</v>
      </c>
      <c r="W3336" s="1" t="s">
        <v>52965</v>
      </c>
      <c r="X3336" s="1" t="s">
        <v>52966</v>
      </c>
      <c r="Y3336" s="1" t="s">
        <v>52967</v>
      </c>
      <c r="Z3336" s="1" t="s">
        <v>52968</v>
      </c>
      <c r="AA3336" s="1" t="s">
        <v>52969</v>
      </c>
      <c r="AB3336" s="1" t="s">
        <v>52970</v>
      </c>
      <c r="AC3336" s="1" t="s">
        <v>74</v>
      </c>
      <c r="AD3336" s="1" t="s">
        <v>74</v>
      </c>
      <c r="AE3336" s="1" t="s">
        <v>74</v>
      </c>
      <c r="AF3336" s="1" t="s">
        <v>74</v>
      </c>
      <c r="AG3336" s="1">
        <v>79</v>
      </c>
      <c r="AH3336" s="1">
        <v>6</v>
      </c>
      <c r="AI3336" s="1">
        <v>6</v>
      </c>
      <c r="AJ3336" s="1">
        <v>3</v>
      </c>
      <c r="AK3336" s="1">
        <v>8</v>
      </c>
      <c r="AL3336" s="1" t="s">
        <v>1566</v>
      </c>
      <c r="AM3336" s="1" t="s">
        <v>1567</v>
      </c>
      <c r="AN3336" s="1" t="s">
        <v>1568</v>
      </c>
      <c r="AO3336" s="1" t="s">
        <v>74</v>
      </c>
      <c r="AP3336" s="1" t="s">
        <v>1569</v>
      </c>
      <c r="AQ3336" s="1" t="s">
        <v>74</v>
      </c>
      <c r="AR3336" s="1" t="s">
        <v>1570</v>
      </c>
      <c r="AS3336" s="1" t="s">
        <v>1571</v>
      </c>
      <c r="AT3336" s="1" t="s">
        <v>1223</v>
      </c>
      <c r="AU3336" s="1">
        <v>2022</v>
      </c>
      <c r="AV3336" s="1">
        <v>12</v>
      </c>
      <c r="AW3336" s="1">
        <v>6</v>
      </c>
      <c r="AX3336" s="1" t="s">
        <v>74</v>
      </c>
      <c r="AY3336" s="1" t="s">
        <v>74</v>
      </c>
      <c r="AZ3336" s="1" t="s">
        <v>74</v>
      </c>
      <c r="BA3336" s="1" t="s">
        <v>74</v>
      </c>
      <c r="BB3336" s="1" t="s">
        <v>74</v>
      </c>
      <c r="BC3336" s="1" t="s">
        <v>74</v>
      </c>
      <c r="BD3336" s="1">
        <v>2776</v>
      </c>
      <c r="BE3336" s="1" t="s">
        <v>52971</v>
      </c>
      <c r="BF3336" s="1" t="str">
        <f>HYPERLINK("http://dx.doi.org/10.3390/app12062776","http://dx.doi.org/10.3390/app12062776")</f>
        <v>http://dx.doi.org/10.3390/app12062776</v>
      </c>
      <c r="BG3336" s="1" t="s">
        <v>74</v>
      </c>
      <c r="BH3336" s="1" t="s">
        <v>74</v>
      </c>
      <c r="BI3336" s="1">
        <v>19</v>
      </c>
      <c r="BJ3336" s="1" t="s">
        <v>1573</v>
      </c>
      <c r="BK3336" s="1" t="s">
        <v>96</v>
      </c>
      <c r="BL3336" s="1" t="s">
        <v>1574</v>
      </c>
      <c r="BM3336" s="1" t="s">
        <v>52972</v>
      </c>
      <c r="BN3336" s="1" t="s">
        <v>74</v>
      </c>
      <c r="BO3336" s="1" t="s">
        <v>2155</v>
      </c>
      <c r="BP3336" s="1" t="s">
        <v>74</v>
      </c>
      <c r="BQ3336" s="1" t="s">
        <v>74</v>
      </c>
      <c r="BR3336" s="1" t="s">
        <v>98</v>
      </c>
      <c r="BS3336" s="1" t="s">
        <v>52973</v>
      </c>
      <c r="BT3336" s="1" t="str">
        <f>HYPERLINK("https%3A%2F%2Fwww.webofscience.com%2Fwos%2Fwoscc%2Ffull-record%2FWOS:000776132100001","View Full Record in Web of Science")</f>
        <v>View Full Record in Web of Science</v>
      </c>
      <c r="BU3336" s="1"/>
      <c r="BV3336" s="1"/>
    </row>
    <row r="3337" spans="1:74">
      <c r="A3337" s="1" t="s">
        <v>72</v>
      </c>
      <c r="B3337" s="1" t="s">
        <v>52974</v>
      </c>
      <c r="C3337" s="1" t="s">
        <v>74</v>
      </c>
      <c r="D3337" s="1" t="s">
        <v>74</v>
      </c>
      <c r="E3337" s="1" t="s">
        <v>74</v>
      </c>
      <c r="F3337" s="1" t="s">
        <v>52975</v>
      </c>
      <c r="G3337" s="1" t="s">
        <v>74</v>
      </c>
      <c r="H3337" s="1" t="s">
        <v>74</v>
      </c>
      <c r="I3337" s="1" t="s">
        <v>52976</v>
      </c>
      <c r="J3337" s="1" t="s">
        <v>232</v>
      </c>
      <c r="K3337" s="1" t="s">
        <v>74</v>
      </c>
      <c r="L3337" s="1" t="s">
        <v>74</v>
      </c>
      <c r="M3337" s="1" t="s">
        <v>78</v>
      </c>
      <c r="N3337" s="1" t="s">
        <v>79</v>
      </c>
      <c r="O3337" s="1" t="s">
        <v>74</v>
      </c>
      <c r="P3337" s="1" t="s">
        <v>74</v>
      </c>
      <c r="Q3337" s="1" t="s">
        <v>74</v>
      </c>
      <c r="R3337" s="1" t="s">
        <v>74</v>
      </c>
      <c r="S3337" s="1" t="s">
        <v>74</v>
      </c>
      <c r="T3337" s="1" t="s">
        <v>52977</v>
      </c>
      <c r="U3337" s="1" t="s">
        <v>52978</v>
      </c>
      <c r="V3337" s="1" t="s">
        <v>52979</v>
      </c>
      <c r="W3337" s="1" t="s">
        <v>52980</v>
      </c>
      <c r="X3337" s="1" t="s">
        <v>52981</v>
      </c>
      <c r="Y3337" s="1" t="s">
        <v>52982</v>
      </c>
      <c r="Z3337" s="1" t="s">
        <v>52983</v>
      </c>
      <c r="AA3337" s="1" t="s">
        <v>52984</v>
      </c>
      <c r="AB3337" s="1" t="s">
        <v>52985</v>
      </c>
      <c r="AC3337" s="1" t="s">
        <v>52986</v>
      </c>
      <c r="AD3337" s="1" t="s">
        <v>52987</v>
      </c>
      <c r="AE3337" s="1" t="s">
        <v>52988</v>
      </c>
      <c r="AF3337" s="1" t="s">
        <v>74</v>
      </c>
      <c r="AG3337" s="1">
        <v>133</v>
      </c>
      <c r="AH3337" s="1">
        <v>2</v>
      </c>
      <c r="AI3337" s="1">
        <v>2</v>
      </c>
      <c r="AJ3337" s="1">
        <v>1</v>
      </c>
      <c r="AK3337" s="1">
        <v>16</v>
      </c>
      <c r="AL3337" s="1" t="s">
        <v>136</v>
      </c>
      <c r="AM3337" s="1" t="s">
        <v>137</v>
      </c>
      <c r="AN3337" s="1" t="s">
        <v>138</v>
      </c>
      <c r="AO3337" s="1" t="s">
        <v>240</v>
      </c>
      <c r="AP3337" s="1" t="s">
        <v>241</v>
      </c>
      <c r="AQ3337" s="1" t="s">
        <v>74</v>
      </c>
      <c r="AR3337" s="1" t="s">
        <v>242</v>
      </c>
      <c r="AS3337" s="1" t="s">
        <v>243</v>
      </c>
      <c r="AT3337" s="1" t="s">
        <v>951</v>
      </c>
      <c r="AU3337" s="1">
        <v>2022</v>
      </c>
      <c r="AV3337" s="1">
        <v>184</v>
      </c>
      <c r="AW3337" s="1" t="s">
        <v>74</v>
      </c>
      <c r="AX3337" s="1" t="s">
        <v>74</v>
      </c>
      <c r="AY3337" s="1" t="s">
        <v>74</v>
      </c>
      <c r="AZ3337" s="1" t="s">
        <v>74</v>
      </c>
      <c r="BA3337" s="1" t="s">
        <v>74</v>
      </c>
      <c r="BB3337" s="1" t="s">
        <v>74</v>
      </c>
      <c r="BC3337" s="1" t="s">
        <v>74</v>
      </c>
      <c r="BD3337" s="1">
        <v>114196</v>
      </c>
      <c r="BE3337" s="1" t="s">
        <v>52989</v>
      </c>
      <c r="BF3337" s="1" t="str">
        <f>HYPERLINK("http://dx.doi.org/10.1016/j.marpolbul.2022.114196","http://dx.doi.org/10.1016/j.marpolbul.2022.114196")</f>
        <v>http://dx.doi.org/10.1016/j.marpolbul.2022.114196</v>
      </c>
      <c r="BG3337" s="1" t="s">
        <v>74</v>
      </c>
      <c r="BH3337" s="1" t="s">
        <v>19875</v>
      </c>
      <c r="BI3337" s="1">
        <v>14</v>
      </c>
      <c r="BJ3337" s="1" t="s">
        <v>247</v>
      </c>
      <c r="BK3337" s="1" t="s">
        <v>96</v>
      </c>
      <c r="BL3337" s="1" t="s">
        <v>248</v>
      </c>
      <c r="BM3337" s="1" t="s">
        <v>52990</v>
      </c>
      <c r="BN3337" s="1">
        <v>36219972</v>
      </c>
      <c r="BO3337" s="1" t="s">
        <v>74</v>
      </c>
      <c r="BP3337" s="1" t="s">
        <v>74</v>
      </c>
      <c r="BQ3337" s="1" t="s">
        <v>74</v>
      </c>
      <c r="BR3337" s="1" t="s">
        <v>98</v>
      </c>
      <c r="BS3337" s="1" t="s">
        <v>52991</v>
      </c>
      <c r="BT3337" s="1" t="str">
        <f>HYPERLINK("https%3A%2F%2Fwww.webofscience.com%2Fwos%2Fwoscc%2Ffull-record%2FWOS:000867669700006","View Full Record in Web of Science")</f>
        <v>View Full Record in Web of Science</v>
      </c>
      <c r="BU3337" s="1"/>
      <c r="BV3337" s="1"/>
    </row>
    <row r="3338" spans="1:74">
      <c r="A3338" s="1" t="s">
        <v>72</v>
      </c>
      <c r="B3338" s="1" t="s">
        <v>52992</v>
      </c>
      <c r="C3338" s="1" t="s">
        <v>74</v>
      </c>
      <c r="D3338" s="1" t="s">
        <v>74</v>
      </c>
      <c r="E3338" s="1" t="s">
        <v>74</v>
      </c>
      <c r="F3338" s="1" t="s">
        <v>52993</v>
      </c>
      <c r="G3338" s="1" t="s">
        <v>74</v>
      </c>
      <c r="H3338" s="1" t="s">
        <v>74</v>
      </c>
      <c r="I3338" s="1" t="s">
        <v>52994</v>
      </c>
      <c r="J3338" s="1" t="s">
        <v>38232</v>
      </c>
      <c r="K3338" s="1" t="s">
        <v>74</v>
      </c>
      <c r="L3338" s="1" t="s">
        <v>74</v>
      </c>
      <c r="M3338" s="1" t="s">
        <v>78</v>
      </c>
      <c r="N3338" s="1" t="s">
        <v>79</v>
      </c>
      <c r="O3338" s="1" t="s">
        <v>74</v>
      </c>
      <c r="P3338" s="1" t="s">
        <v>74</v>
      </c>
      <c r="Q3338" s="1" t="s">
        <v>74</v>
      </c>
      <c r="R3338" s="1" t="s">
        <v>74</v>
      </c>
      <c r="S3338" s="1" t="s">
        <v>74</v>
      </c>
      <c r="T3338" s="1" t="s">
        <v>74</v>
      </c>
      <c r="U3338" s="1" t="s">
        <v>52995</v>
      </c>
      <c r="V3338" s="1" t="s">
        <v>52996</v>
      </c>
      <c r="W3338" s="1" t="s">
        <v>52997</v>
      </c>
      <c r="X3338" s="1" t="s">
        <v>52998</v>
      </c>
      <c r="Y3338" s="1" t="s">
        <v>52999</v>
      </c>
      <c r="Z3338" s="1" t="s">
        <v>53000</v>
      </c>
      <c r="AA3338" s="1" t="s">
        <v>53001</v>
      </c>
      <c r="AB3338" s="1" t="s">
        <v>53002</v>
      </c>
      <c r="AC3338" s="1" t="s">
        <v>53003</v>
      </c>
      <c r="AD3338" s="1" t="s">
        <v>53004</v>
      </c>
      <c r="AE3338" s="1" t="s">
        <v>53005</v>
      </c>
      <c r="AF3338" s="1" t="s">
        <v>74</v>
      </c>
      <c r="AG3338" s="1">
        <v>175</v>
      </c>
      <c r="AH3338" s="1">
        <v>9</v>
      </c>
      <c r="AI3338" s="1">
        <v>9</v>
      </c>
      <c r="AJ3338" s="1">
        <v>0</v>
      </c>
      <c r="AK3338" s="1">
        <v>10</v>
      </c>
      <c r="AL3338" s="1" t="s">
        <v>21002</v>
      </c>
      <c r="AM3338" s="1" t="s">
        <v>21003</v>
      </c>
      <c r="AN3338" s="1" t="s">
        <v>21004</v>
      </c>
      <c r="AO3338" s="1" t="s">
        <v>38243</v>
      </c>
      <c r="AP3338" s="1" t="s">
        <v>38244</v>
      </c>
      <c r="AQ3338" s="1" t="s">
        <v>74</v>
      </c>
      <c r="AR3338" s="1" t="s">
        <v>38232</v>
      </c>
      <c r="AS3338" s="1" t="s">
        <v>38245</v>
      </c>
      <c r="AT3338" s="1" t="s">
        <v>53006</v>
      </c>
      <c r="AU3338" s="1">
        <v>2021</v>
      </c>
      <c r="AV3338" s="1">
        <v>18</v>
      </c>
      <c r="AW3338" s="1">
        <v>2</v>
      </c>
      <c r="AX3338" s="1" t="s">
        <v>74</v>
      </c>
      <c r="AY3338" s="1" t="s">
        <v>74</v>
      </c>
      <c r="AZ3338" s="1" t="s">
        <v>74</v>
      </c>
      <c r="BA3338" s="1" t="s">
        <v>74</v>
      </c>
      <c r="BB3338" s="1">
        <v>707</v>
      </c>
      <c r="BC3338" s="1">
        <v>728</v>
      </c>
      <c r="BD3338" s="1" t="s">
        <v>74</v>
      </c>
      <c r="BE3338" s="1" t="s">
        <v>53007</v>
      </c>
      <c r="BF3338" s="1" t="str">
        <f>HYPERLINK("http://dx.doi.org/10.5194/bg-18-707-2021","http://dx.doi.org/10.5194/bg-18-707-2021")</f>
        <v>http://dx.doi.org/10.5194/bg-18-707-2021</v>
      </c>
      <c r="BG3338" s="1" t="s">
        <v>74</v>
      </c>
      <c r="BH3338" s="1" t="s">
        <v>74</v>
      </c>
      <c r="BI3338" s="1">
        <v>22</v>
      </c>
      <c r="BJ3338" s="1" t="s">
        <v>38247</v>
      </c>
      <c r="BK3338" s="1" t="s">
        <v>96</v>
      </c>
      <c r="BL3338" s="1" t="s">
        <v>38248</v>
      </c>
      <c r="BM3338" s="1" t="s">
        <v>53008</v>
      </c>
      <c r="BN3338" s="1" t="s">
        <v>74</v>
      </c>
      <c r="BO3338" s="1" t="s">
        <v>637</v>
      </c>
      <c r="BP3338" s="1" t="s">
        <v>74</v>
      </c>
      <c r="BQ3338" s="1" t="s">
        <v>74</v>
      </c>
      <c r="BR3338" s="1" t="s">
        <v>98</v>
      </c>
      <c r="BS3338" s="1" t="s">
        <v>53009</v>
      </c>
      <c r="BT3338" s="1" t="str">
        <f>HYPERLINK("https%3A%2F%2Fwww.webofscience.com%2Fwos%2Fwoscc%2Ffull-record%2FWOS:000614289000002","View Full Record in Web of Science")</f>
        <v>View Full Record in Web of Science</v>
      </c>
      <c r="BU3338" s="1"/>
      <c r="BV3338" s="1"/>
    </row>
    <row r="3339" spans="1:74">
      <c r="A3339" s="1" t="s">
        <v>72</v>
      </c>
      <c r="B3339" s="1" t="s">
        <v>17817</v>
      </c>
      <c r="C3339" s="1" t="s">
        <v>74</v>
      </c>
      <c r="D3339" s="1" t="s">
        <v>74</v>
      </c>
      <c r="E3339" s="1" t="s">
        <v>74</v>
      </c>
      <c r="F3339" s="1" t="s">
        <v>17817</v>
      </c>
      <c r="G3339" s="1" t="s">
        <v>74</v>
      </c>
      <c r="H3339" s="1" t="s">
        <v>74</v>
      </c>
      <c r="I3339" s="1" t="s">
        <v>53010</v>
      </c>
      <c r="J3339" s="1" t="s">
        <v>232</v>
      </c>
      <c r="K3339" s="1" t="s">
        <v>74</v>
      </c>
      <c r="L3339" s="1" t="s">
        <v>74</v>
      </c>
      <c r="M3339" s="1" t="s">
        <v>78</v>
      </c>
      <c r="N3339" s="1" t="s">
        <v>79</v>
      </c>
      <c r="O3339" s="1" t="s">
        <v>74</v>
      </c>
      <c r="P3339" s="1" t="s">
        <v>74</v>
      </c>
      <c r="Q3339" s="1" t="s">
        <v>74</v>
      </c>
      <c r="R3339" s="1" t="s">
        <v>74</v>
      </c>
      <c r="S3339" s="1" t="s">
        <v>74</v>
      </c>
      <c r="T3339" s="1" t="s">
        <v>74</v>
      </c>
      <c r="U3339" s="1" t="s">
        <v>53011</v>
      </c>
      <c r="V3339" s="1" t="s">
        <v>74</v>
      </c>
      <c r="W3339" s="1" t="s">
        <v>1258</v>
      </c>
      <c r="X3339" s="1" t="s">
        <v>1259</v>
      </c>
      <c r="Y3339" s="1" t="s">
        <v>53012</v>
      </c>
      <c r="Z3339" s="1" t="s">
        <v>17824</v>
      </c>
      <c r="AA3339" s="1" t="s">
        <v>53013</v>
      </c>
      <c r="AB3339" s="1" t="s">
        <v>53014</v>
      </c>
      <c r="AC3339" s="1" t="s">
        <v>74</v>
      </c>
      <c r="AD3339" s="1" t="s">
        <v>74</v>
      </c>
      <c r="AE3339" s="1" t="s">
        <v>74</v>
      </c>
      <c r="AF3339" s="1" t="s">
        <v>74</v>
      </c>
      <c r="AG3339" s="1">
        <v>29</v>
      </c>
      <c r="AH3339" s="1">
        <v>34</v>
      </c>
      <c r="AI3339" s="1">
        <v>54</v>
      </c>
      <c r="AJ3339" s="1">
        <v>0</v>
      </c>
      <c r="AK3339" s="1">
        <v>13</v>
      </c>
      <c r="AL3339" s="1" t="s">
        <v>136</v>
      </c>
      <c r="AM3339" s="1" t="s">
        <v>137</v>
      </c>
      <c r="AN3339" s="1" t="s">
        <v>138</v>
      </c>
      <c r="AO3339" s="1" t="s">
        <v>240</v>
      </c>
      <c r="AP3339" s="1" t="s">
        <v>241</v>
      </c>
      <c r="AQ3339" s="1" t="s">
        <v>74</v>
      </c>
      <c r="AR3339" s="1" t="s">
        <v>242</v>
      </c>
      <c r="AS3339" s="1" t="s">
        <v>243</v>
      </c>
      <c r="AT3339" s="1" t="s">
        <v>119</v>
      </c>
      <c r="AU3339" s="1">
        <v>2003</v>
      </c>
      <c r="AV3339" s="1">
        <v>46</v>
      </c>
      <c r="AW3339" s="1">
        <v>8</v>
      </c>
      <c r="AX3339" s="1" t="s">
        <v>74</v>
      </c>
      <c r="AY3339" s="1" t="s">
        <v>74</v>
      </c>
      <c r="AZ3339" s="1" t="s">
        <v>74</v>
      </c>
      <c r="BA3339" s="1" t="s">
        <v>74</v>
      </c>
      <c r="BB3339" s="1">
        <v>1043</v>
      </c>
      <c r="BC3339" s="1">
        <v>1048</v>
      </c>
      <c r="BD3339" s="1" t="s">
        <v>74</v>
      </c>
      <c r="BE3339" s="1" t="s">
        <v>53015</v>
      </c>
      <c r="BF3339" s="1" t="str">
        <f>HYPERLINK("http://dx.doi.org/10.1016/S0025-326X(03)00163-2","http://dx.doi.org/10.1016/S0025-326X(03)00163-2")</f>
        <v>http://dx.doi.org/10.1016/S0025-326X(03)00163-2</v>
      </c>
      <c r="BG3339" s="1" t="s">
        <v>74</v>
      </c>
      <c r="BH3339" s="1" t="s">
        <v>74</v>
      </c>
      <c r="BI3339" s="1">
        <v>6</v>
      </c>
      <c r="BJ3339" s="1" t="s">
        <v>247</v>
      </c>
      <c r="BK3339" s="1" t="s">
        <v>96</v>
      </c>
      <c r="BL3339" s="1" t="s">
        <v>248</v>
      </c>
      <c r="BM3339" s="1" t="s">
        <v>53016</v>
      </c>
      <c r="BN3339" s="1">
        <v>12907200</v>
      </c>
      <c r="BO3339" s="1" t="s">
        <v>74</v>
      </c>
      <c r="BP3339" s="1" t="s">
        <v>74</v>
      </c>
      <c r="BQ3339" s="1" t="s">
        <v>74</v>
      </c>
      <c r="BR3339" s="1" t="s">
        <v>98</v>
      </c>
      <c r="BS3339" s="1" t="s">
        <v>53017</v>
      </c>
      <c r="BT3339" s="1" t="str">
        <f>HYPERLINK("https%3A%2F%2Fwww.webofscience.com%2Fwos%2Fwoscc%2Ffull-record%2FWOS:000184975300030","View Full Record in Web of Science")</f>
        <v>View Full Record in Web of Science</v>
      </c>
      <c r="BU3339" s="1"/>
      <c r="BV3339" s="1"/>
    </row>
    <row r="3340" spans="1:74">
      <c r="A3340" s="1" t="s">
        <v>72</v>
      </c>
      <c r="B3340" s="1" t="s">
        <v>53018</v>
      </c>
      <c r="C3340" s="1" t="s">
        <v>74</v>
      </c>
      <c r="D3340" s="1" t="s">
        <v>74</v>
      </c>
      <c r="E3340" s="1" t="s">
        <v>74</v>
      </c>
      <c r="F3340" s="1" t="s">
        <v>53019</v>
      </c>
      <c r="G3340" s="1" t="s">
        <v>74</v>
      </c>
      <c r="H3340" s="1" t="s">
        <v>74</v>
      </c>
      <c r="I3340" s="1" t="s">
        <v>53020</v>
      </c>
      <c r="J3340" s="1" t="s">
        <v>752</v>
      </c>
      <c r="K3340" s="1" t="s">
        <v>74</v>
      </c>
      <c r="L3340" s="1" t="s">
        <v>74</v>
      </c>
      <c r="M3340" s="1" t="s">
        <v>78</v>
      </c>
      <c r="N3340" s="1" t="s">
        <v>79</v>
      </c>
      <c r="O3340" s="1" t="s">
        <v>74</v>
      </c>
      <c r="P3340" s="1" t="s">
        <v>74</v>
      </c>
      <c r="Q3340" s="1" t="s">
        <v>74</v>
      </c>
      <c r="R3340" s="1" t="s">
        <v>74</v>
      </c>
      <c r="S3340" s="1" t="s">
        <v>74</v>
      </c>
      <c r="T3340" s="1" t="s">
        <v>53021</v>
      </c>
      <c r="U3340" s="1" t="s">
        <v>53022</v>
      </c>
      <c r="V3340" s="1" t="s">
        <v>53023</v>
      </c>
      <c r="W3340" s="1" t="s">
        <v>53024</v>
      </c>
      <c r="X3340" s="1" t="s">
        <v>53025</v>
      </c>
      <c r="Y3340" s="1" t="s">
        <v>53026</v>
      </c>
      <c r="Z3340" s="1" t="s">
        <v>53027</v>
      </c>
      <c r="AA3340" s="1" t="s">
        <v>53028</v>
      </c>
      <c r="AB3340" s="1" t="s">
        <v>53029</v>
      </c>
      <c r="AC3340" s="1" t="s">
        <v>53030</v>
      </c>
      <c r="AD3340" s="1" t="s">
        <v>53031</v>
      </c>
      <c r="AE3340" s="1" t="s">
        <v>53032</v>
      </c>
      <c r="AF3340" s="1" t="s">
        <v>74</v>
      </c>
      <c r="AG3340" s="1">
        <v>77</v>
      </c>
      <c r="AH3340" s="1">
        <v>3</v>
      </c>
      <c r="AI3340" s="1">
        <v>3</v>
      </c>
      <c r="AJ3340" s="1">
        <v>3</v>
      </c>
      <c r="AK3340" s="1">
        <v>12</v>
      </c>
      <c r="AL3340" s="1" t="s">
        <v>430</v>
      </c>
      <c r="AM3340" s="1" t="s">
        <v>137</v>
      </c>
      <c r="AN3340" s="1" t="s">
        <v>431</v>
      </c>
      <c r="AO3340" s="1" t="s">
        <v>761</v>
      </c>
      <c r="AP3340" s="1" t="s">
        <v>762</v>
      </c>
      <c r="AQ3340" s="1" t="s">
        <v>74</v>
      </c>
      <c r="AR3340" s="1" t="s">
        <v>763</v>
      </c>
      <c r="AS3340" s="1" t="s">
        <v>764</v>
      </c>
      <c r="AT3340" s="1" t="s">
        <v>142</v>
      </c>
      <c r="AU3340" s="1">
        <v>2023</v>
      </c>
      <c r="AV3340" s="1">
        <v>188</v>
      </c>
      <c r="AW3340" s="1" t="s">
        <v>74</v>
      </c>
      <c r="AX3340" s="1" t="s">
        <v>74</v>
      </c>
      <c r="AY3340" s="1" t="s">
        <v>74</v>
      </c>
      <c r="AZ3340" s="1" t="s">
        <v>74</v>
      </c>
      <c r="BA3340" s="1" t="s">
        <v>74</v>
      </c>
      <c r="BB3340" s="1" t="s">
        <v>74</v>
      </c>
      <c r="BC3340" s="1" t="s">
        <v>74</v>
      </c>
      <c r="BD3340" s="1">
        <v>105988</v>
      </c>
      <c r="BE3340" s="1" t="s">
        <v>53033</v>
      </c>
      <c r="BF3340" s="1" t="str">
        <f>HYPERLINK("http://dx.doi.org/10.1016/j.marenvres.2023.105988","http://dx.doi.org/10.1016/j.marenvres.2023.105988")</f>
        <v>http://dx.doi.org/10.1016/j.marenvres.2023.105988</v>
      </c>
      <c r="BG3340" s="1" t="s">
        <v>74</v>
      </c>
      <c r="BH3340" s="1" t="s">
        <v>2540</v>
      </c>
      <c r="BI3340" s="1">
        <v>9</v>
      </c>
      <c r="BJ3340" s="1" t="s">
        <v>768</v>
      </c>
      <c r="BK3340" s="1" t="s">
        <v>96</v>
      </c>
      <c r="BL3340" s="1" t="s">
        <v>769</v>
      </c>
      <c r="BM3340" s="1" t="s">
        <v>53034</v>
      </c>
      <c r="BN3340" s="1">
        <v>37080092</v>
      </c>
      <c r="BO3340" s="1" t="s">
        <v>74</v>
      </c>
      <c r="BP3340" s="1" t="s">
        <v>74</v>
      </c>
      <c r="BQ3340" s="1" t="s">
        <v>74</v>
      </c>
      <c r="BR3340" s="1" t="s">
        <v>98</v>
      </c>
      <c r="BS3340" s="1" t="s">
        <v>53035</v>
      </c>
      <c r="BT3340" s="1" t="str">
        <f>HYPERLINK("https%3A%2F%2Fwww.webofscience.com%2Fwos%2Fwoscc%2Ffull-record%2FWOS:000990680700001","View Full Record in Web of Science")</f>
        <v>View Full Record in Web of Science</v>
      </c>
      <c r="BU3340" s="1"/>
      <c r="BV3340" s="1"/>
    </row>
    <row r="3341" spans="1:74">
      <c r="A3341" s="1" t="s">
        <v>2341</v>
      </c>
      <c r="B3341" s="1" t="s">
        <v>53036</v>
      </c>
      <c r="C3341" s="1" t="s">
        <v>74</v>
      </c>
      <c r="D3341" s="1" t="s">
        <v>53037</v>
      </c>
      <c r="E3341" s="1" t="s">
        <v>74</v>
      </c>
      <c r="F3341" s="1" t="s">
        <v>53038</v>
      </c>
      <c r="G3341" s="1" t="s">
        <v>74</v>
      </c>
      <c r="H3341" s="1" t="s">
        <v>74</v>
      </c>
      <c r="I3341" s="1" t="s">
        <v>53039</v>
      </c>
      <c r="J3341" s="1" t="s">
        <v>53040</v>
      </c>
      <c r="K3341" s="1" t="s">
        <v>53041</v>
      </c>
      <c r="L3341" s="1" t="s">
        <v>74</v>
      </c>
      <c r="M3341" s="1" t="s">
        <v>78</v>
      </c>
      <c r="N3341" s="1" t="s">
        <v>53042</v>
      </c>
      <c r="O3341" s="1" t="s">
        <v>74</v>
      </c>
      <c r="P3341" s="1" t="s">
        <v>74</v>
      </c>
      <c r="Q3341" s="1" t="s">
        <v>74</v>
      </c>
      <c r="R3341" s="1" t="s">
        <v>74</v>
      </c>
      <c r="S3341" s="1" t="s">
        <v>74</v>
      </c>
      <c r="T3341" s="1" t="s">
        <v>74</v>
      </c>
      <c r="U3341" s="1" t="s">
        <v>53043</v>
      </c>
      <c r="V3341" s="1" t="s">
        <v>53044</v>
      </c>
      <c r="W3341" s="1" t="s">
        <v>53045</v>
      </c>
      <c r="X3341" s="1" t="s">
        <v>53046</v>
      </c>
      <c r="Y3341" s="1" t="s">
        <v>53047</v>
      </c>
      <c r="Z3341" s="1" t="s">
        <v>53048</v>
      </c>
      <c r="AA3341" s="1" t="s">
        <v>53049</v>
      </c>
      <c r="AB3341" s="1" t="s">
        <v>53050</v>
      </c>
      <c r="AC3341" s="1" t="s">
        <v>74</v>
      </c>
      <c r="AD3341" s="1" t="s">
        <v>74</v>
      </c>
      <c r="AE3341" s="1" t="s">
        <v>74</v>
      </c>
      <c r="AF3341" s="1" t="s">
        <v>74</v>
      </c>
      <c r="AG3341" s="1">
        <v>256</v>
      </c>
      <c r="AH3341" s="1">
        <v>861</v>
      </c>
      <c r="AI3341" s="1">
        <v>906</v>
      </c>
      <c r="AJ3341" s="1">
        <v>6</v>
      </c>
      <c r="AK3341" s="1">
        <v>548</v>
      </c>
      <c r="AL3341" s="1" t="s">
        <v>53051</v>
      </c>
      <c r="AM3341" s="1" t="s">
        <v>53052</v>
      </c>
      <c r="AN3341" s="1" t="s">
        <v>53053</v>
      </c>
      <c r="AO3341" s="1" t="s">
        <v>53054</v>
      </c>
      <c r="AP3341" s="1" t="s">
        <v>74</v>
      </c>
      <c r="AQ3341" s="1" t="s">
        <v>53055</v>
      </c>
      <c r="AR3341" s="1" t="s">
        <v>53056</v>
      </c>
      <c r="AS3341" s="1" t="s">
        <v>53057</v>
      </c>
      <c r="AT3341" s="1" t="s">
        <v>74</v>
      </c>
      <c r="AU3341" s="1">
        <v>2007</v>
      </c>
      <c r="AV3341" s="1">
        <v>45</v>
      </c>
      <c r="AW3341" s="1" t="s">
        <v>74</v>
      </c>
      <c r="AX3341" s="1" t="s">
        <v>74</v>
      </c>
      <c r="AY3341" s="1" t="s">
        <v>74</v>
      </c>
      <c r="AZ3341" s="1" t="s">
        <v>74</v>
      </c>
      <c r="BA3341" s="1" t="s">
        <v>74</v>
      </c>
      <c r="BB3341" s="1">
        <v>345</v>
      </c>
      <c r="BC3341" s="1">
        <v>405</v>
      </c>
      <c r="BD3341" s="1" t="s">
        <v>74</v>
      </c>
      <c r="BE3341" s="1" t="s">
        <v>74</v>
      </c>
      <c r="BF3341" s="1" t="s">
        <v>74</v>
      </c>
      <c r="BG3341" s="1" t="s">
        <v>53058</v>
      </c>
      <c r="BH3341" s="1" t="s">
        <v>74</v>
      </c>
      <c r="BI3341" s="1">
        <v>61</v>
      </c>
      <c r="BJ3341" s="1" t="s">
        <v>4241</v>
      </c>
      <c r="BK3341" s="1" t="s">
        <v>53059</v>
      </c>
      <c r="BL3341" s="1" t="s">
        <v>4241</v>
      </c>
      <c r="BM3341" s="1" t="s">
        <v>53060</v>
      </c>
      <c r="BN3341" s="1" t="s">
        <v>74</v>
      </c>
      <c r="BO3341" s="1" t="s">
        <v>74</v>
      </c>
      <c r="BP3341" s="1" t="s">
        <v>74</v>
      </c>
      <c r="BQ3341" s="1" t="s">
        <v>74</v>
      </c>
      <c r="BR3341" s="1" t="s">
        <v>98</v>
      </c>
      <c r="BS3341" s="1" t="s">
        <v>53061</v>
      </c>
      <c r="BT3341" s="1" t="str">
        <f>HYPERLINK("https%3A%2F%2Fwww.webofscience.com%2Fwos%2Fwoscc%2Ffull-record%2FWOS:000252476600007","View Full Record in Web of Science")</f>
        <v>View Full Record in Web of Science</v>
      </c>
      <c r="BU3341" s="1"/>
      <c r="BV3341" s="1"/>
    </row>
    <row r="3342" spans="1:74">
      <c r="A3342" s="1" t="s">
        <v>72</v>
      </c>
      <c r="B3342" s="1" t="s">
        <v>53062</v>
      </c>
      <c r="C3342" s="1" t="s">
        <v>74</v>
      </c>
      <c r="D3342" s="1" t="s">
        <v>74</v>
      </c>
      <c r="E3342" s="1" t="s">
        <v>74</v>
      </c>
      <c r="F3342" s="1" t="s">
        <v>53063</v>
      </c>
      <c r="G3342" s="1" t="s">
        <v>74</v>
      </c>
      <c r="H3342" s="1" t="s">
        <v>74</v>
      </c>
      <c r="I3342" s="1" t="s">
        <v>53064</v>
      </c>
      <c r="J3342" s="1" t="s">
        <v>232</v>
      </c>
      <c r="K3342" s="1" t="s">
        <v>74</v>
      </c>
      <c r="L3342" s="1" t="s">
        <v>74</v>
      </c>
      <c r="M3342" s="1" t="s">
        <v>78</v>
      </c>
      <c r="N3342" s="1" t="s">
        <v>79</v>
      </c>
      <c r="O3342" s="1" t="s">
        <v>74</v>
      </c>
      <c r="P3342" s="1" t="s">
        <v>74</v>
      </c>
      <c r="Q3342" s="1" t="s">
        <v>74</v>
      </c>
      <c r="R3342" s="1" t="s">
        <v>74</v>
      </c>
      <c r="S3342" s="1" t="s">
        <v>74</v>
      </c>
      <c r="T3342" s="1" t="s">
        <v>53065</v>
      </c>
      <c r="U3342" s="1" t="s">
        <v>53066</v>
      </c>
      <c r="V3342" s="1" t="s">
        <v>53067</v>
      </c>
      <c r="W3342" s="1" t="s">
        <v>53068</v>
      </c>
      <c r="X3342" s="1" t="s">
        <v>53069</v>
      </c>
      <c r="Y3342" s="1" t="s">
        <v>53070</v>
      </c>
      <c r="Z3342" s="1" t="s">
        <v>53071</v>
      </c>
      <c r="AA3342" s="1" t="s">
        <v>53072</v>
      </c>
      <c r="AB3342" s="1" t="s">
        <v>53073</v>
      </c>
      <c r="AC3342" s="1" t="s">
        <v>74</v>
      </c>
      <c r="AD3342" s="1" t="s">
        <v>74</v>
      </c>
      <c r="AE3342" s="1" t="s">
        <v>74</v>
      </c>
      <c r="AF3342" s="1" t="s">
        <v>74</v>
      </c>
      <c r="AG3342" s="1">
        <v>86</v>
      </c>
      <c r="AH3342" s="1">
        <v>21</v>
      </c>
      <c r="AI3342" s="1">
        <v>21</v>
      </c>
      <c r="AJ3342" s="1">
        <v>8</v>
      </c>
      <c r="AK3342" s="1">
        <v>59</v>
      </c>
      <c r="AL3342" s="1" t="s">
        <v>136</v>
      </c>
      <c r="AM3342" s="1" t="s">
        <v>137</v>
      </c>
      <c r="AN3342" s="1" t="s">
        <v>138</v>
      </c>
      <c r="AO3342" s="1" t="s">
        <v>240</v>
      </c>
      <c r="AP3342" s="1" t="s">
        <v>241</v>
      </c>
      <c r="AQ3342" s="1" t="s">
        <v>74</v>
      </c>
      <c r="AR3342" s="1" t="s">
        <v>242</v>
      </c>
      <c r="AS3342" s="1" t="s">
        <v>243</v>
      </c>
      <c r="AT3342" s="1" t="s">
        <v>325</v>
      </c>
      <c r="AU3342" s="1">
        <v>2017</v>
      </c>
      <c r="AV3342" s="1">
        <v>123</v>
      </c>
      <c r="AW3342" s="1" t="s">
        <v>326</v>
      </c>
      <c r="AX3342" s="1" t="s">
        <v>74</v>
      </c>
      <c r="AY3342" s="1" t="s">
        <v>74</v>
      </c>
      <c r="AZ3342" s="1" t="s">
        <v>74</v>
      </c>
      <c r="BA3342" s="1" t="s">
        <v>74</v>
      </c>
      <c r="BB3342" s="1">
        <v>261</v>
      </c>
      <c r="BC3342" s="1">
        <v>268</v>
      </c>
      <c r="BD3342" s="1" t="s">
        <v>74</v>
      </c>
      <c r="BE3342" s="1" t="s">
        <v>53074</v>
      </c>
      <c r="BF3342" s="1" t="str">
        <f>HYPERLINK("http://dx.doi.org/10.1016/j.marpolbul.2017.08.049","http://dx.doi.org/10.1016/j.marpolbul.2017.08.049")</f>
        <v>http://dx.doi.org/10.1016/j.marpolbul.2017.08.049</v>
      </c>
      <c r="BG3342" s="1" t="s">
        <v>74</v>
      </c>
      <c r="BH3342" s="1" t="s">
        <v>74</v>
      </c>
      <c r="BI3342" s="1">
        <v>8</v>
      </c>
      <c r="BJ3342" s="1" t="s">
        <v>247</v>
      </c>
      <c r="BK3342" s="1" t="s">
        <v>96</v>
      </c>
      <c r="BL3342" s="1" t="s">
        <v>248</v>
      </c>
      <c r="BM3342" s="1" t="s">
        <v>328</v>
      </c>
      <c r="BN3342" s="1">
        <v>28863976</v>
      </c>
      <c r="BO3342" s="1" t="s">
        <v>74</v>
      </c>
      <c r="BP3342" s="1" t="s">
        <v>74</v>
      </c>
      <c r="BQ3342" s="1" t="s">
        <v>74</v>
      </c>
      <c r="BR3342" s="1" t="s">
        <v>98</v>
      </c>
      <c r="BS3342" s="1" t="s">
        <v>53075</v>
      </c>
      <c r="BT3342" s="1" t="str">
        <f>HYPERLINK("https%3A%2F%2Fwww.webofscience.com%2Fwos%2Fwoscc%2Ffull-record%2FWOS:000415776600042","View Full Record in Web of Science")</f>
        <v>View Full Record in Web of Science</v>
      </c>
      <c r="BU3342" s="1"/>
      <c r="BV3342" s="1"/>
    </row>
    <row r="3343" spans="1:74">
      <c r="A3343" s="1" t="s">
        <v>72</v>
      </c>
      <c r="B3343" s="1" t="s">
        <v>53076</v>
      </c>
      <c r="C3343" s="1" t="s">
        <v>74</v>
      </c>
      <c r="D3343" s="1" t="s">
        <v>74</v>
      </c>
      <c r="E3343" s="1" t="s">
        <v>74</v>
      </c>
      <c r="F3343" s="1" t="s">
        <v>53077</v>
      </c>
      <c r="G3343" s="1" t="s">
        <v>74</v>
      </c>
      <c r="H3343" s="1" t="s">
        <v>74</v>
      </c>
      <c r="I3343" s="1" t="s">
        <v>53078</v>
      </c>
      <c r="J3343" s="1" t="s">
        <v>704</v>
      </c>
      <c r="K3343" s="1" t="s">
        <v>74</v>
      </c>
      <c r="L3343" s="1" t="s">
        <v>74</v>
      </c>
      <c r="M3343" s="1" t="s">
        <v>78</v>
      </c>
      <c r="N3343" s="1" t="s">
        <v>79</v>
      </c>
      <c r="O3343" s="1" t="s">
        <v>74</v>
      </c>
      <c r="P3343" s="1" t="s">
        <v>74</v>
      </c>
      <c r="Q3343" s="1" t="s">
        <v>74</v>
      </c>
      <c r="R3343" s="1" t="s">
        <v>74</v>
      </c>
      <c r="S3343" s="1" t="s">
        <v>74</v>
      </c>
      <c r="T3343" s="1" t="s">
        <v>53079</v>
      </c>
      <c r="U3343" s="1" t="s">
        <v>53080</v>
      </c>
      <c r="V3343" s="1" t="s">
        <v>53081</v>
      </c>
      <c r="W3343" s="1" t="s">
        <v>53082</v>
      </c>
      <c r="X3343" s="1" t="s">
        <v>53083</v>
      </c>
      <c r="Y3343" s="1" t="s">
        <v>53084</v>
      </c>
      <c r="Z3343" s="1" t="s">
        <v>53085</v>
      </c>
      <c r="AA3343" s="1" t="s">
        <v>53086</v>
      </c>
      <c r="AB3343" s="1" t="s">
        <v>74</v>
      </c>
      <c r="AC3343" s="1" t="s">
        <v>53087</v>
      </c>
      <c r="AD3343" s="1" t="s">
        <v>53088</v>
      </c>
      <c r="AE3343" s="1" t="s">
        <v>53089</v>
      </c>
      <c r="AF3343" s="1" t="s">
        <v>74</v>
      </c>
      <c r="AG3343" s="1">
        <v>39</v>
      </c>
      <c r="AH3343" s="1">
        <v>8</v>
      </c>
      <c r="AI3343" s="1">
        <v>9</v>
      </c>
      <c r="AJ3343" s="1">
        <v>2</v>
      </c>
      <c r="AK3343" s="1">
        <v>26</v>
      </c>
      <c r="AL3343" s="1" t="s">
        <v>4010</v>
      </c>
      <c r="AM3343" s="1" t="s">
        <v>1167</v>
      </c>
      <c r="AN3343" s="1" t="s">
        <v>1168</v>
      </c>
      <c r="AO3343" s="1" t="s">
        <v>718</v>
      </c>
      <c r="AP3343" s="1" t="s">
        <v>1169</v>
      </c>
      <c r="AQ3343" s="1" t="s">
        <v>74</v>
      </c>
      <c r="AR3343" s="1" t="s">
        <v>719</v>
      </c>
      <c r="AS3343" s="1" t="s">
        <v>720</v>
      </c>
      <c r="AT3343" s="1" t="s">
        <v>765</v>
      </c>
      <c r="AU3343" s="1">
        <v>2013</v>
      </c>
      <c r="AV3343" s="1">
        <v>224</v>
      </c>
      <c r="AW3343" s="1">
        <v>7</v>
      </c>
      <c r="AX3343" s="1" t="s">
        <v>74</v>
      </c>
      <c r="AY3343" s="1" t="s">
        <v>74</v>
      </c>
      <c r="AZ3343" s="1" t="s">
        <v>74</v>
      </c>
      <c r="BA3343" s="1" t="s">
        <v>74</v>
      </c>
      <c r="BB3343" s="1" t="s">
        <v>74</v>
      </c>
      <c r="BC3343" s="1" t="s">
        <v>74</v>
      </c>
      <c r="BD3343" s="1">
        <v>1613</v>
      </c>
      <c r="BE3343" s="1" t="s">
        <v>53090</v>
      </c>
      <c r="BF3343" s="1" t="str">
        <f>HYPERLINK("http://dx.doi.org/10.1007/s11270-013-1613-2","http://dx.doi.org/10.1007/s11270-013-1613-2")</f>
        <v>http://dx.doi.org/10.1007/s11270-013-1613-2</v>
      </c>
      <c r="BG3343" s="1" t="s">
        <v>74</v>
      </c>
      <c r="BH3343" s="1" t="s">
        <v>74</v>
      </c>
      <c r="BI3343" s="1">
        <v>24</v>
      </c>
      <c r="BJ3343" s="1" t="s">
        <v>722</v>
      </c>
      <c r="BK3343" s="1" t="s">
        <v>96</v>
      </c>
      <c r="BL3343" s="1" t="s">
        <v>723</v>
      </c>
      <c r="BM3343" s="1" t="s">
        <v>53091</v>
      </c>
      <c r="BN3343" s="1" t="s">
        <v>74</v>
      </c>
      <c r="BO3343" s="1" t="s">
        <v>74</v>
      </c>
      <c r="BP3343" s="1" t="s">
        <v>74</v>
      </c>
      <c r="BQ3343" s="1" t="s">
        <v>74</v>
      </c>
      <c r="BR3343" s="1" t="s">
        <v>98</v>
      </c>
      <c r="BS3343" s="1" t="s">
        <v>53092</v>
      </c>
      <c r="BT3343" s="1" t="str">
        <f>HYPERLINK("https%3A%2F%2Fwww.webofscience.com%2Fwos%2Fwoscc%2Ffull-record%2FWOS:000321666500016","View Full Record in Web of Science")</f>
        <v>View Full Record in Web of Science</v>
      </c>
      <c r="BU3343" s="1"/>
      <c r="BV3343" s="1"/>
    </row>
    <row r="3344" spans="1:74">
      <c r="A3344" s="1" t="s">
        <v>72</v>
      </c>
      <c r="B3344" s="1" t="s">
        <v>53093</v>
      </c>
      <c r="C3344" s="1" t="s">
        <v>74</v>
      </c>
      <c r="D3344" s="1" t="s">
        <v>74</v>
      </c>
      <c r="E3344" s="1" t="s">
        <v>74</v>
      </c>
      <c r="F3344" s="1" t="s">
        <v>53094</v>
      </c>
      <c r="G3344" s="1" t="s">
        <v>74</v>
      </c>
      <c r="H3344" s="1" t="s">
        <v>74</v>
      </c>
      <c r="I3344" s="1" t="s">
        <v>53095</v>
      </c>
      <c r="J3344" s="1" t="s">
        <v>5413</v>
      </c>
      <c r="K3344" s="1" t="s">
        <v>74</v>
      </c>
      <c r="L3344" s="1" t="s">
        <v>74</v>
      </c>
      <c r="M3344" s="1" t="s">
        <v>78</v>
      </c>
      <c r="N3344" s="1" t="s">
        <v>79</v>
      </c>
      <c r="O3344" s="1" t="s">
        <v>74</v>
      </c>
      <c r="P3344" s="1" t="s">
        <v>74</v>
      </c>
      <c r="Q3344" s="1" t="s">
        <v>74</v>
      </c>
      <c r="R3344" s="1" t="s">
        <v>74</v>
      </c>
      <c r="S3344" s="1" t="s">
        <v>74</v>
      </c>
      <c r="T3344" s="1" t="s">
        <v>53096</v>
      </c>
      <c r="U3344" s="1" t="s">
        <v>53097</v>
      </c>
      <c r="V3344" s="1" t="s">
        <v>53098</v>
      </c>
      <c r="W3344" s="1" t="s">
        <v>53099</v>
      </c>
      <c r="X3344" s="1" t="s">
        <v>53100</v>
      </c>
      <c r="Y3344" s="1" t="s">
        <v>53101</v>
      </c>
      <c r="Z3344" s="1" t="s">
        <v>4365</v>
      </c>
      <c r="AA3344" s="1" t="s">
        <v>53102</v>
      </c>
      <c r="AB3344" s="1" t="s">
        <v>53103</v>
      </c>
      <c r="AC3344" s="1" t="s">
        <v>74</v>
      </c>
      <c r="AD3344" s="1" t="s">
        <v>74</v>
      </c>
      <c r="AE3344" s="1" t="s">
        <v>74</v>
      </c>
      <c r="AF3344" s="1" t="s">
        <v>74</v>
      </c>
      <c r="AG3344" s="1">
        <v>59</v>
      </c>
      <c r="AH3344" s="1">
        <v>7</v>
      </c>
      <c r="AI3344" s="1">
        <v>7</v>
      </c>
      <c r="AJ3344" s="1">
        <v>2</v>
      </c>
      <c r="AK3344" s="1">
        <v>10</v>
      </c>
      <c r="AL3344" s="1" t="s">
        <v>650</v>
      </c>
      <c r="AM3344" s="1" t="s">
        <v>651</v>
      </c>
      <c r="AN3344" s="1" t="s">
        <v>652</v>
      </c>
      <c r="AO3344" s="1" t="s">
        <v>5426</v>
      </c>
      <c r="AP3344" s="1" t="s">
        <v>5427</v>
      </c>
      <c r="AQ3344" s="1" t="s">
        <v>74</v>
      </c>
      <c r="AR3344" s="1" t="s">
        <v>5428</v>
      </c>
      <c r="AS3344" s="1" t="s">
        <v>5429</v>
      </c>
      <c r="AT3344" s="1" t="s">
        <v>1470</v>
      </c>
      <c r="AU3344" s="1">
        <v>2023</v>
      </c>
      <c r="AV3344" s="1">
        <v>97</v>
      </c>
      <c r="AW3344" s="1" t="s">
        <v>74</v>
      </c>
      <c r="AX3344" s="1" t="s">
        <v>74</v>
      </c>
      <c r="AY3344" s="1" t="s">
        <v>74</v>
      </c>
      <c r="AZ3344" s="1" t="s">
        <v>74</v>
      </c>
      <c r="BA3344" s="1" t="s">
        <v>74</v>
      </c>
      <c r="BB3344" s="1" t="s">
        <v>74</v>
      </c>
      <c r="BC3344" s="1" t="s">
        <v>74</v>
      </c>
      <c r="BD3344" s="1">
        <v>104030</v>
      </c>
      <c r="BE3344" s="1" t="s">
        <v>53104</v>
      </c>
      <c r="BF3344" s="1" t="str">
        <f>HYPERLINK("http://dx.doi.org/10.1016/j.etap.2022.104030","http://dx.doi.org/10.1016/j.etap.2022.104030")</f>
        <v>http://dx.doi.org/10.1016/j.etap.2022.104030</v>
      </c>
      <c r="BG3344" s="1" t="s">
        <v>74</v>
      </c>
      <c r="BH3344" s="1" t="s">
        <v>4283</v>
      </c>
      <c r="BI3344" s="1">
        <v>7</v>
      </c>
      <c r="BJ3344" s="1" t="s">
        <v>5431</v>
      </c>
      <c r="BK3344" s="1" t="s">
        <v>96</v>
      </c>
      <c r="BL3344" s="1" t="s">
        <v>5432</v>
      </c>
      <c r="BM3344" s="1" t="s">
        <v>53105</v>
      </c>
      <c r="BN3344" s="1">
        <v>36455838</v>
      </c>
      <c r="BO3344" s="1" t="s">
        <v>74</v>
      </c>
      <c r="BP3344" s="1" t="s">
        <v>74</v>
      </c>
      <c r="BQ3344" s="1" t="s">
        <v>74</v>
      </c>
      <c r="BR3344" s="1" t="s">
        <v>98</v>
      </c>
      <c r="BS3344" s="1" t="s">
        <v>53106</v>
      </c>
      <c r="BT3344" s="1" t="str">
        <f>HYPERLINK("https%3A%2F%2Fwww.webofscience.com%2Fwos%2Fwoscc%2Ffull-record%2FWOS:000918059400001","View Full Record in Web of Science")</f>
        <v>View Full Record in Web of Science</v>
      </c>
      <c r="BU3344" s="1"/>
      <c r="BV3344" s="1"/>
    </row>
    <row r="3345" spans="1:74">
      <c r="A3345" s="1" t="s">
        <v>72</v>
      </c>
      <c r="B3345" s="1" t="s">
        <v>53107</v>
      </c>
      <c r="C3345" s="1" t="s">
        <v>74</v>
      </c>
      <c r="D3345" s="1" t="s">
        <v>74</v>
      </c>
      <c r="E3345" s="1" t="s">
        <v>74</v>
      </c>
      <c r="F3345" s="1" t="s">
        <v>53108</v>
      </c>
      <c r="G3345" s="1" t="s">
        <v>74</v>
      </c>
      <c r="H3345" s="1" t="s">
        <v>74</v>
      </c>
      <c r="I3345" s="1" t="s">
        <v>53109</v>
      </c>
      <c r="J3345" s="1" t="s">
        <v>641</v>
      </c>
      <c r="K3345" s="1" t="s">
        <v>74</v>
      </c>
      <c r="L3345" s="1" t="s">
        <v>74</v>
      </c>
      <c r="M3345" s="1" t="s">
        <v>78</v>
      </c>
      <c r="N3345" s="1" t="s">
        <v>79</v>
      </c>
      <c r="O3345" s="1" t="s">
        <v>74</v>
      </c>
      <c r="P3345" s="1" t="s">
        <v>74</v>
      </c>
      <c r="Q3345" s="1" t="s">
        <v>74</v>
      </c>
      <c r="R3345" s="1" t="s">
        <v>74</v>
      </c>
      <c r="S3345" s="1" t="s">
        <v>74</v>
      </c>
      <c r="T3345" s="1" t="s">
        <v>53110</v>
      </c>
      <c r="U3345" s="1" t="s">
        <v>53111</v>
      </c>
      <c r="V3345" s="1" t="s">
        <v>53112</v>
      </c>
      <c r="W3345" s="1" t="s">
        <v>53113</v>
      </c>
      <c r="X3345" s="1" t="s">
        <v>53114</v>
      </c>
      <c r="Y3345" s="1" t="s">
        <v>53115</v>
      </c>
      <c r="Z3345" s="1" t="s">
        <v>53116</v>
      </c>
      <c r="AA3345" s="1" t="s">
        <v>74</v>
      </c>
      <c r="AB3345" s="1" t="s">
        <v>53117</v>
      </c>
      <c r="AC3345" s="1" t="s">
        <v>53118</v>
      </c>
      <c r="AD3345" s="1" t="s">
        <v>53119</v>
      </c>
      <c r="AE3345" s="1" t="s">
        <v>53120</v>
      </c>
      <c r="AF3345" s="1" t="s">
        <v>74</v>
      </c>
      <c r="AG3345" s="1">
        <v>55</v>
      </c>
      <c r="AH3345" s="1">
        <v>31</v>
      </c>
      <c r="AI3345" s="1">
        <v>33</v>
      </c>
      <c r="AJ3345" s="1">
        <v>0</v>
      </c>
      <c r="AK3345" s="1">
        <v>44</v>
      </c>
      <c r="AL3345" s="1" t="s">
        <v>919</v>
      </c>
      <c r="AM3345" s="1" t="s">
        <v>651</v>
      </c>
      <c r="AN3345" s="1" t="s">
        <v>920</v>
      </c>
      <c r="AO3345" s="1" t="s">
        <v>653</v>
      </c>
      <c r="AP3345" s="1" t="s">
        <v>74</v>
      </c>
      <c r="AQ3345" s="1" t="s">
        <v>74</v>
      </c>
      <c r="AR3345" s="1" t="s">
        <v>655</v>
      </c>
      <c r="AS3345" s="1" t="s">
        <v>656</v>
      </c>
      <c r="AT3345" s="1" t="s">
        <v>3891</v>
      </c>
      <c r="AU3345" s="1">
        <v>2013</v>
      </c>
      <c r="AV3345" s="1">
        <v>126</v>
      </c>
      <c r="AW3345" s="1" t="s">
        <v>74</v>
      </c>
      <c r="AX3345" s="1" t="s">
        <v>74</v>
      </c>
      <c r="AY3345" s="1" t="s">
        <v>74</v>
      </c>
      <c r="AZ3345" s="1" t="s">
        <v>74</v>
      </c>
      <c r="BA3345" s="1" t="s">
        <v>74</v>
      </c>
      <c r="BB3345" s="1">
        <v>393</v>
      </c>
      <c r="BC3345" s="1">
        <v>403</v>
      </c>
      <c r="BD3345" s="1" t="s">
        <v>74</v>
      </c>
      <c r="BE3345" s="1" t="s">
        <v>53121</v>
      </c>
      <c r="BF3345" s="1" t="str">
        <f>HYPERLINK("http://dx.doi.org/10.1016/j.aquatox.2012.09.001","http://dx.doi.org/10.1016/j.aquatox.2012.09.001")</f>
        <v>http://dx.doi.org/10.1016/j.aquatox.2012.09.001</v>
      </c>
      <c r="BG3345" s="1" t="s">
        <v>74</v>
      </c>
      <c r="BH3345" s="1" t="s">
        <v>74</v>
      </c>
      <c r="BI3345" s="1">
        <v>11</v>
      </c>
      <c r="BJ3345" s="1" t="s">
        <v>659</v>
      </c>
      <c r="BK3345" s="1" t="s">
        <v>96</v>
      </c>
      <c r="BL3345" s="1" t="s">
        <v>659</v>
      </c>
      <c r="BM3345" s="1" t="s">
        <v>53122</v>
      </c>
      <c r="BN3345" s="1">
        <v>23021492</v>
      </c>
      <c r="BO3345" s="1" t="s">
        <v>74</v>
      </c>
      <c r="BP3345" s="1" t="s">
        <v>74</v>
      </c>
      <c r="BQ3345" s="1" t="s">
        <v>74</v>
      </c>
      <c r="BR3345" s="1" t="s">
        <v>98</v>
      </c>
      <c r="BS3345" s="1" t="s">
        <v>53123</v>
      </c>
      <c r="BT3345" s="1" t="str">
        <f>HYPERLINK("https%3A%2F%2Fwww.webofscience.com%2Fwos%2Fwoscc%2Ffull-record%2FWOS:000315125600042","View Full Record in Web of Science")</f>
        <v>View Full Record in Web of Science</v>
      </c>
      <c r="BU3345" s="1"/>
      <c r="BV3345" s="1"/>
    </row>
    <row r="3346" spans="1:74">
      <c r="A3346" s="1" t="s">
        <v>72</v>
      </c>
      <c r="B3346" s="1" t="s">
        <v>53124</v>
      </c>
      <c r="C3346" s="1" t="s">
        <v>74</v>
      </c>
      <c r="D3346" s="1" t="s">
        <v>74</v>
      </c>
      <c r="E3346" s="1" t="s">
        <v>74</v>
      </c>
      <c r="F3346" s="1" t="s">
        <v>53125</v>
      </c>
      <c r="G3346" s="1" t="s">
        <v>74</v>
      </c>
      <c r="H3346" s="1" t="s">
        <v>74</v>
      </c>
      <c r="I3346" s="1" t="s">
        <v>53126</v>
      </c>
      <c r="J3346" s="1" t="s">
        <v>127</v>
      </c>
      <c r="K3346" s="1" t="s">
        <v>74</v>
      </c>
      <c r="L3346" s="1" t="s">
        <v>74</v>
      </c>
      <c r="M3346" s="1" t="s">
        <v>78</v>
      </c>
      <c r="N3346" s="1" t="s">
        <v>79</v>
      </c>
      <c r="O3346" s="1" t="s">
        <v>74</v>
      </c>
      <c r="P3346" s="1" t="s">
        <v>74</v>
      </c>
      <c r="Q3346" s="1" t="s">
        <v>74</v>
      </c>
      <c r="R3346" s="1" t="s">
        <v>74</v>
      </c>
      <c r="S3346" s="1" t="s">
        <v>74</v>
      </c>
      <c r="T3346" s="1" t="s">
        <v>53127</v>
      </c>
      <c r="U3346" s="1" t="s">
        <v>53128</v>
      </c>
      <c r="V3346" s="1" t="s">
        <v>53129</v>
      </c>
      <c r="W3346" s="1" t="s">
        <v>53130</v>
      </c>
      <c r="X3346" s="1" t="s">
        <v>53131</v>
      </c>
      <c r="Y3346" s="1" t="s">
        <v>53132</v>
      </c>
      <c r="Z3346" s="1" t="s">
        <v>53133</v>
      </c>
      <c r="AA3346" s="1" t="s">
        <v>53134</v>
      </c>
      <c r="AB3346" s="1" t="s">
        <v>53135</v>
      </c>
      <c r="AC3346" s="1" t="s">
        <v>53136</v>
      </c>
      <c r="AD3346" s="1" t="s">
        <v>53137</v>
      </c>
      <c r="AE3346" s="1" t="s">
        <v>53138</v>
      </c>
      <c r="AF3346" s="1" t="s">
        <v>74</v>
      </c>
      <c r="AG3346" s="1">
        <v>45</v>
      </c>
      <c r="AH3346" s="1">
        <v>24</v>
      </c>
      <c r="AI3346" s="1">
        <v>25</v>
      </c>
      <c r="AJ3346" s="1">
        <v>7</v>
      </c>
      <c r="AK3346" s="1">
        <v>120</v>
      </c>
      <c r="AL3346" s="1" t="s">
        <v>136</v>
      </c>
      <c r="AM3346" s="1" t="s">
        <v>137</v>
      </c>
      <c r="AN3346" s="1" t="s">
        <v>138</v>
      </c>
      <c r="AO3346" s="1" t="s">
        <v>139</v>
      </c>
      <c r="AP3346" s="1" t="s">
        <v>140</v>
      </c>
      <c r="AQ3346" s="1" t="s">
        <v>74</v>
      </c>
      <c r="AR3346" s="1" t="s">
        <v>127</v>
      </c>
      <c r="AS3346" s="1" t="s">
        <v>141</v>
      </c>
      <c r="AT3346" s="1" t="s">
        <v>224</v>
      </c>
      <c r="AU3346" s="1">
        <v>2019</v>
      </c>
      <c r="AV3346" s="1">
        <v>217</v>
      </c>
      <c r="AW3346" s="1" t="s">
        <v>74</v>
      </c>
      <c r="AX3346" s="1" t="s">
        <v>74</v>
      </c>
      <c r="AY3346" s="1" t="s">
        <v>74</v>
      </c>
      <c r="AZ3346" s="1" t="s">
        <v>74</v>
      </c>
      <c r="BA3346" s="1" t="s">
        <v>74</v>
      </c>
      <c r="BB3346" s="1">
        <v>732</v>
      </c>
      <c r="BC3346" s="1">
        <v>741</v>
      </c>
      <c r="BD3346" s="1" t="s">
        <v>74</v>
      </c>
      <c r="BE3346" s="1" t="s">
        <v>53139</v>
      </c>
      <c r="BF3346" s="1" t="str">
        <f>HYPERLINK("http://dx.doi.org/10.1016/j.chemosphere.2018.11.052","http://dx.doi.org/10.1016/j.chemosphere.2018.11.052")</f>
        <v>http://dx.doi.org/10.1016/j.chemosphere.2018.11.052</v>
      </c>
      <c r="BG3346" s="1" t="s">
        <v>74</v>
      </c>
      <c r="BH3346" s="1" t="s">
        <v>74</v>
      </c>
      <c r="BI3346" s="1">
        <v>10</v>
      </c>
      <c r="BJ3346" s="1" t="s">
        <v>144</v>
      </c>
      <c r="BK3346" s="1" t="s">
        <v>96</v>
      </c>
      <c r="BL3346" s="1" t="s">
        <v>145</v>
      </c>
      <c r="BM3346" s="1" t="s">
        <v>53140</v>
      </c>
      <c r="BN3346" s="1">
        <v>30448753</v>
      </c>
      <c r="BO3346" s="1" t="s">
        <v>74</v>
      </c>
      <c r="BP3346" s="1" t="s">
        <v>74</v>
      </c>
      <c r="BQ3346" s="1" t="s">
        <v>74</v>
      </c>
      <c r="BR3346" s="1" t="s">
        <v>98</v>
      </c>
      <c r="BS3346" s="1" t="s">
        <v>53141</v>
      </c>
      <c r="BT3346" s="1" t="str">
        <f>HYPERLINK("https%3A%2F%2Fwww.webofscience.com%2Fwos%2Fwoscc%2Ffull-record%2FWOS:000456223500080","View Full Record in Web of Science")</f>
        <v>View Full Record in Web of Science</v>
      </c>
      <c r="BU3346" s="1"/>
      <c r="BV3346" s="1"/>
    </row>
    <row r="3347" spans="1:74">
      <c r="A3347" s="1" t="s">
        <v>72</v>
      </c>
      <c r="B3347" s="1" t="s">
        <v>53142</v>
      </c>
      <c r="C3347" s="1" t="s">
        <v>74</v>
      </c>
      <c r="D3347" s="1" t="s">
        <v>74</v>
      </c>
      <c r="E3347" s="1" t="s">
        <v>74</v>
      </c>
      <c r="F3347" s="1" t="s">
        <v>53143</v>
      </c>
      <c r="G3347" s="1" t="s">
        <v>74</v>
      </c>
      <c r="H3347" s="1" t="s">
        <v>74</v>
      </c>
      <c r="I3347" s="1" t="s">
        <v>53144</v>
      </c>
      <c r="J3347" s="1" t="s">
        <v>204</v>
      </c>
      <c r="K3347" s="1" t="s">
        <v>74</v>
      </c>
      <c r="L3347" s="1" t="s">
        <v>74</v>
      </c>
      <c r="M3347" s="1" t="s">
        <v>78</v>
      </c>
      <c r="N3347" s="1" t="s">
        <v>79</v>
      </c>
      <c r="O3347" s="1" t="s">
        <v>74</v>
      </c>
      <c r="P3347" s="1" t="s">
        <v>74</v>
      </c>
      <c r="Q3347" s="1" t="s">
        <v>74</v>
      </c>
      <c r="R3347" s="1" t="s">
        <v>74</v>
      </c>
      <c r="S3347" s="1" t="s">
        <v>74</v>
      </c>
      <c r="T3347" s="1" t="s">
        <v>53145</v>
      </c>
      <c r="U3347" s="1" t="s">
        <v>53146</v>
      </c>
      <c r="V3347" s="1" t="s">
        <v>53147</v>
      </c>
      <c r="W3347" s="1" t="s">
        <v>53148</v>
      </c>
      <c r="X3347" s="1" t="s">
        <v>53149</v>
      </c>
      <c r="Y3347" s="1" t="s">
        <v>53150</v>
      </c>
      <c r="Z3347" s="1" t="s">
        <v>53151</v>
      </c>
      <c r="AA3347" s="1" t="s">
        <v>53152</v>
      </c>
      <c r="AB3347" s="1" t="s">
        <v>53153</v>
      </c>
      <c r="AC3347" s="1" t="s">
        <v>53154</v>
      </c>
      <c r="AD3347" s="1" t="s">
        <v>53155</v>
      </c>
      <c r="AE3347" s="1" t="s">
        <v>53156</v>
      </c>
      <c r="AF3347" s="1" t="s">
        <v>74</v>
      </c>
      <c r="AG3347" s="1">
        <v>76</v>
      </c>
      <c r="AH3347" s="1">
        <v>18</v>
      </c>
      <c r="AI3347" s="1">
        <v>20</v>
      </c>
      <c r="AJ3347" s="1">
        <v>1</v>
      </c>
      <c r="AK3347" s="1">
        <v>38</v>
      </c>
      <c r="AL3347" s="1" t="s">
        <v>217</v>
      </c>
      <c r="AM3347" s="1" t="s">
        <v>218</v>
      </c>
      <c r="AN3347" s="1" t="s">
        <v>219</v>
      </c>
      <c r="AO3347" s="1" t="s">
        <v>220</v>
      </c>
      <c r="AP3347" s="1" t="s">
        <v>221</v>
      </c>
      <c r="AQ3347" s="1" t="s">
        <v>74</v>
      </c>
      <c r="AR3347" s="1" t="s">
        <v>222</v>
      </c>
      <c r="AS3347" s="1" t="s">
        <v>223</v>
      </c>
      <c r="AT3347" s="1" t="s">
        <v>305</v>
      </c>
      <c r="AU3347" s="1">
        <v>2016</v>
      </c>
      <c r="AV3347" s="1">
        <v>23</v>
      </c>
      <c r="AW3347" s="1">
        <v>18</v>
      </c>
      <c r="AX3347" s="1" t="s">
        <v>74</v>
      </c>
      <c r="AY3347" s="1" t="s">
        <v>74</v>
      </c>
      <c r="AZ3347" s="1" t="s">
        <v>74</v>
      </c>
      <c r="BA3347" s="1" t="s">
        <v>74</v>
      </c>
      <c r="BB3347" s="1">
        <v>18869</v>
      </c>
      <c r="BC3347" s="1">
        <v>18882</v>
      </c>
      <c r="BD3347" s="1" t="s">
        <v>74</v>
      </c>
      <c r="BE3347" s="1" t="s">
        <v>53157</v>
      </c>
      <c r="BF3347" s="1" t="str">
        <f>HYPERLINK("http://dx.doi.org/10.1007/s11356-016-7005-6","http://dx.doi.org/10.1007/s11356-016-7005-6")</f>
        <v>http://dx.doi.org/10.1007/s11356-016-7005-6</v>
      </c>
      <c r="BG3347" s="1" t="s">
        <v>74</v>
      </c>
      <c r="BH3347" s="1" t="s">
        <v>74</v>
      </c>
      <c r="BI3347" s="1">
        <v>14</v>
      </c>
      <c r="BJ3347" s="1" t="s">
        <v>144</v>
      </c>
      <c r="BK3347" s="1" t="s">
        <v>96</v>
      </c>
      <c r="BL3347" s="1" t="s">
        <v>145</v>
      </c>
      <c r="BM3347" s="1" t="s">
        <v>53158</v>
      </c>
      <c r="BN3347" s="1">
        <v>27324498</v>
      </c>
      <c r="BO3347" s="1" t="s">
        <v>74</v>
      </c>
      <c r="BP3347" s="1" t="s">
        <v>74</v>
      </c>
      <c r="BQ3347" s="1" t="s">
        <v>74</v>
      </c>
      <c r="BR3347" s="1" t="s">
        <v>98</v>
      </c>
      <c r="BS3347" s="1" t="s">
        <v>53159</v>
      </c>
      <c r="BT3347" s="1" t="str">
        <f>HYPERLINK("https%3A%2F%2Fwww.webofscience.com%2Fwos%2Fwoscc%2Ffull-record%2FWOS:000384435800091","View Full Record in Web of Science")</f>
        <v>View Full Record in Web of Science</v>
      </c>
      <c r="BU3347" s="1"/>
      <c r="BV3347" s="1"/>
    </row>
    <row r="3348" spans="1:74">
      <c r="A3348" s="1" t="s">
        <v>72</v>
      </c>
      <c r="B3348" s="1" t="s">
        <v>53160</v>
      </c>
      <c r="C3348" s="1" t="s">
        <v>74</v>
      </c>
      <c r="D3348" s="1" t="s">
        <v>74</v>
      </c>
      <c r="E3348" s="1" t="s">
        <v>74</v>
      </c>
      <c r="F3348" s="1" t="s">
        <v>53161</v>
      </c>
      <c r="G3348" s="1" t="s">
        <v>74</v>
      </c>
      <c r="H3348" s="1" t="s">
        <v>74</v>
      </c>
      <c r="I3348" s="1" t="s">
        <v>53162</v>
      </c>
      <c r="J3348" s="1" t="s">
        <v>232</v>
      </c>
      <c r="K3348" s="1" t="s">
        <v>74</v>
      </c>
      <c r="L3348" s="1" t="s">
        <v>74</v>
      </c>
      <c r="M3348" s="1" t="s">
        <v>78</v>
      </c>
      <c r="N3348" s="1" t="s">
        <v>79</v>
      </c>
      <c r="O3348" s="1" t="s">
        <v>74</v>
      </c>
      <c r="P3348" s="1" t="s">
        <v>74</v>
      </c>
      <c r="Q3348" s="1" t="s">
        <v>74</v>
      </c>
      <c r="R3348" s="1" t="s">
        <v>74</v>
      </c>
      <c r="S3348" s="1" t="s">
        <v>74</v>
      </c>
      <c r="T3348" s="1" t="s">
        <v>53163</v>
      </c>
      <c r="U3348" s="1" t="s">
        <v>53164</v>
      </c>
      <c r="V3348" s="1" t="s">
        <v>53165</v>
      </c>
      <c r="W3348" s="1" t="s">
        <v>53166</v>
      </c>
      <c r="X3348" s="1" t="s">
        <v>53167</v>
      </c>
      <c r="Y3348" s="1" t="s">
        <v>53168</v>
      </c>
      <c r="Z3348" s="1" t="s">
        <v>53169</v>
      </c>
      <c r="AA3348" s="1" t="s">
        <v>53170</v>
      </c>
      <c r="AB3348" s="1" t="s">
        <v>53171</v>
      </c>
      <c r="AC3348" s="1" t="s">
        <v>74</v>
      </c>
      <c r="AD3348" s="1" t="s">
        <v>74</v>
      </c>
      <c r="AE3348" s="1" t="s">
        <v>74</v>
      </c>
      <c r="AF3348" s="1" t="s">
        <v>74</v>
      </c>
      <c r="AG3348" s="1">
        <v>65</v>
      </c>
      <c r="AH3348" s="1">
        <v>5</v>
      </c>
      <c r="AI3348" s="1">
        <v>5</v>
      </c>
      <c r="AJ3348" s="1">
        <v>1</v>
      </c>
      <c r="AK3348" s="1">
        <v>5</v>
      </c>
      <c r="AL3348" s="1" t="s">
        <v>136</v>
      </c>
      <c r="AM3348" s="1" t="s">
        <v>137</v>
      </c>
      <c r="AN3348" s="1" t="s">
        <v>138</v>
      </c>
      <c r="AO3348" s="1" t="s">
        <v>240</v>
      </c>
      <c r="AP3348" s="1" t="s">
        <v>241</v>
      </c>
      <c r="AQ3348" s="1" t="s">
        <v>74</v>
      </c>
      <c r="AR3348" s="1" t="s">
        <v>242</v>
      </c>
      <c r="AS3348" s="1" t="s">
        <v>243</v>
      </c>
      <c r="AT3348" s="1" t="s">
        <v>197</v>
      </c>
      <c r="AU3348" s="1">
        <v>2021</v>
      </c>
      <c r="AV3348" s="1">
        <v>173</v>
      </c>
      <c r="AW3348" s="1" t="s">
        <v>74</v>
      </c>
      <c r="AX3348" s="1" t="s">
        <v>13570</v>
      </c>
      <c r="AY3348" s="1" t="s">
        <v>74</v>
      </c>
      <c r="AZ3348" s="1" t="s">
        <v>74</v>
      </c>
      <c r="BA3348" s="1" t="s">
        <v>74</v>
      </c>
      <c r="BB3348" s="1" t="s">
        <v>74</v>
      </c>
      <c r="BC3348" s="1" t="s">
        <v>74</v>
      </c>
      <c r="BD3348" s="1">
        <v>113147</v>
      </c>
      <c r="BE3348" s="1" t="s">
        <v>53172</v>
      </c>
      <c r="BF3348" s="1" t="str">
        <f>HYPERLINK("http://dx.doi.org/10.1016/j.marpolbul.2021.113147","http://dx.doi.org/10.1016/j.marpolbul.2021.113147")</f>
        <v>http://dx.doi.org/10.1016/j.marpolbul.2021.113147</v>
      </c>
      <c r="BG3348" s="1" t="s">
        <v>74</v>
      </c>
      <c r="BH3348" s="1" t="s">
        <v>10880</v>
      </c>
      <c r="BI3348" s="1">
        <v>9</v>
      </c>
      <c r="BJ3348" s="1" t="s">
        <v>247</v>
      </c>
      <c r="BK3348" s="1" t="s">
        <v>96</v>
      </c>
      <c r="BL3348" s="1" t="s">
        <v>248</v>
      </c>
      <c r="BM3348" s="1" t="s">
        <v>53173</v>
      </c>
      <c r="BN3348" s="1">
        <v>34808544</v>
      </c>
      <c r="BO3348" s="1" t="s">
        <v>74</v>
      </c>
      <c r="BP3348" s="1" t="s">
        <v>74</v>
      </c>
      <c r="BQ3348" s="1" t="s">
        <v>74</v>
      </c>
      <c r="BR3348" s="1" t="s">
        <v>98</v>
      </c>
      <c r="BS3348" s="1" t="s">
        <v>53174</v>
      </c>
      <c r="BT3348" s="1" t="str">
        <f>HYPERLINK("https%3A%2F%2Fwww.webofscience.com%2Fwos%2Fwoscc%2Ffull-record%2FWOS:000744261600004","View Full Record in Web of Science")</f>
        <v>View Full Record in Web of Science</v>
      </c>
      <c r="BU3348" s="1"/>
      <c r="BV3348" s="1"/>
    </row>
    <row r="3349" spans="1:74">
      <c r="A3349" s="1" t="s">
        <v>72</v>
      </c>
      <c r="B3349" s="1" t="s">
        <v>53175</v>
      </c>
      <c r="C3349" s="1" t="s">
        <v>74</v>
      </c>
      <c r="D3349" s="1" t="s">
        <v>74</v>
      </c>
      <c r="E3349" s="1" t="s">
        <v>74</v>
      </c>
      <c r="F3349" s="1" t="s">
        <v>53176</v>
      </c>
      <c r="G3349" s="1" t="s">
        <v>74</v>
      </c>
      <c r="H3349" s="1" t="s">
        <v>74</v>
      </c>
      <c r="I3349" s="1" t="s">
        <v>53177</v>
      </c>
      <c r="J3349" s="1" t="s">
        <v>3349</v>
      </c>
      <c r="K3349" s="1" t="s">
        <v>74</v>
      </c>
      <c r="L3349" s="1" t="s">
        <v>74</v>
      </c>
      <c r="M3349" s="1" t="s">
        <v>78</v>
      </c>
      <c r="N3349" s="1" t="s">
        <v>79</v>
      </c>
      <c r="O3349" s="1" t="s">
        <v>74</v>
      </c>
      <c r="P3349" s="1" t="s">
        <v>74</v>
      </c>
      <c r="Q3349" s="1" t="s">
        <v>74</v>
      </c>
      <c r="R3349" s="1" t="s">
        <v>74</v>
      </c>
      <c r="S3349" s="1" t="s">
        <v>74</v>
      </c>
      <c r="T3349" s="1" t="s">
        <v>53178</v>
      </c>
      <c r="U3349" s="1" t="s">
        <v>53179</v>
      </c>
      <c r="V3349" s="1" t="s">
        <v>53180</v>
      </c>
      <c r="W3349" s="1" t="s">
        <v>53181</v>
      </c>
      <c r="X3349" s="1" t="s">
        <v>45451</v>
      </c>
      <c r="Y3349" s="1" t="s">
        <v>53182</v>
      </c>
      <c r="Z3349" s="1" t="s">
        <v>53183</v>
      </c>
      <c r="AA3349" s="1" t="s">
        <v>74</v>
      </c>
      <c r="AB3349" s="1" t="s">
        <v>53184</v>
      </c>
      <c r="AC3349" s="1" t="s">
        <v>53185</v>
      </c>
      <c r="AD3349" s="1" t="s">
        <v>53186</v>
      </c>
      <c r="AE3349" s="1" t="s">
        <v>53187</v>
      </c>
      <c r="AF3349" s="1" t="s">
        <v>74</v>
      </c>
      <c r="AG3349" s="1">
        <v>71</v>
      </c>
      <c r="AH3349" s="1">
        <v>17</v>
      </c>
      <c r="AI3349" s="1">
        <v>19</v>
      </c>
      <c r="AJ3349" s="1">
        <v>0</v>
      </c>
      <c r="AK3349" s="1">
        <v>56</v>
      </c>
      <c r="AL3349" s="1" t="s">
        <v>3362</v>
      </c>
      <c r="AM3349" s="1" t="s">
        <v>3363</v>
      </c>
      <c r="AN3349" s="1" t="s">
        <v>3364</v>
      </c>
      <c r="AO3349" s="1" t="s">
        <v>3365</v>
      </c>
      <c r="AP3349" s="1" t="s">
        <v>3366</v>
      </c>
      <c r="AQ3349" s="1" t="s">
        <v>74</v>
      </c>
      <c r="AR3349" s="1" t="s">
        <v>3367</v>
      </c>
      <c r="AS3349" s="1" t="s">
        <v>3368</v>
      </c>
      <c r="AT3349" s="1" t="s">
        <v>8920</v>
      </c>
      <c r="AU3349" s="1">
        <v>2013</v>
      </c>
      <c r="AV3349" s="1">
        <v>97</v>
      </c>
      <c r="AW3349" s="1" t="s">
        <v>74</v>
      </c>
      <c r="AX3349" s="1" t="s">
        <v>74</v>
      </c>
      <c r="AY3349" s="1" t="s">
        <v>74</v>
      </c>
      <c r="AZ3349" s="1" t="s">
        <v>74</v>
      </c>
      <c r="BA3349" s="1" t="s">
        <v>74</v>
      </c>
      <c r="BB3349" s="1">
        <v>139</v>
      </c>
      <c r="BC3349" s="1">
        <v>146</v>
      </c>
      <c r="BD3349" s="1" t="s">
        <v>74</v>
      </c>
      <c r="BE3349" s="1" t="s">
        <v>53188</v>
      </c>
      <c r="BF3349" s="1" t="str">
        <f>HYPERLINK("http://dx.doi.org/10.1016/j.ecoenv.2013.07.016","http://dx.doi.org/10.1016/j.ecoenv.2013.07.016")</f>
        <v>http://dx.doi.org/10.1016/j.ecoenv.2013.07.016</v>
      </c>
      <c r="BG3349" s="1" t="s">
        <v>74</v>
      </c>
      <c r="BH3349" s="1" t="s">
        <v>74</v>
      </c>
      <c r="BI3349" s="1">
        <v>8</v>
      </c>
      <c r="BJ3349" s="1" t="s">
        <v>121</v>
      </c>
      <c r="BK3349" s="1" t="s">
        <v>96</v>
      </c>
      <c r="BL3349" s="1" t="s">
        <v>122</v>
      </c>
      <c r="BM3349" s="1" t="s">
        <v>53189</v>
      </c>
      <c r="BN3349" s="1">
        <v>23932430</v>
      </c>
      <c r="BO3349" s="1" t="s">
        <v>74</v>
      </c>
      <c r="BP3349" s="1" t="s">
        <v>74</v>
      </c>
      <c r="BQ3349" s="1" t="s">
        <v>74</v>
      </c>
      <c r="BR3349" s="1" t="s">
        <v>98</v>
      </c>
      <c r="BS3349" s="1" t="s">
        <v>53190</v>
      </c>
      <c r="BT3349" s="1" t="str">
        <f>HYPERLINK("https%3A%2F%2Fwww.webofscience.com%2Fwos%2Fwoscc%2Ffull-record%2FWOS:000325039400018","View Full Record in Web of Science")</f>
        <v>View Full Record in Web of Science</v>
      </c>
      <c r="BU3349" s="1"/>
      <c r="BV3349" s="1"/>
    </row>
    <row r="3350" spans="1:74">
      <c r="A3350" s="1" t="s">
        <v>72</v>
      </c>
      <c r="B3350" s="1" t="s">
        <v>53191</v>
      </c>
      <c r="C3350" s="1" t="s">
        <v>74</v>
      </c>
      <c r="D3350" s="1" t="s">
        <v>74</v>
      </c>
      <c r="E3350" s="1" t="s">
        <v>74</v>
      </c>
      <c r="F3350" s="1" t="s">
        <v>53192</v>
      </c>
      <c r="G3350" s="1" t="s">
        <v>74</v>
      </c>
      <c r="H3350" s="1" t="s">
        <v>74</v>
      </c>
      <c r="I3350" s="1" t="s">
        <v>53193</v>
      </c>
      <c r="J3350" s="1" t="s">
        <v>998</v>
      </c>
      <c r="K3350" s="1" t="s">
        <v>74</v>
      </c>
      <c r="L3350" s="1" t="s">
        <v>74</v>
      </c>
      <c r="M3350" s="1" t="s">
        <v>78</v>
      </c>
      <c r="N3350" s="1" t="s">
        <v>79</v>
      </c>
      <c r="O3350" s="1" t="s">
        <v>74</v>
      </c>
      <c r="P3350" s="1" t="s">
        <v>74</v>
      </c>
      <c r="Q3350" s="1" t="s">
        <v>74</v>
      </c>
      <c r="R3350" s="1" t="s">
        <v>74</v>
      </c>
      <c r="S3350" s="1" t="s">
        <v>74</v>
      </c>
      <c r="T3350" s="1" t="s">
        <v>74</v>
      </c>
      <c r="U3350" s="1" t="s">
        <v>53194</v>
      </c>
      <c r="V3350" s="1" t="s">
        <v>53195</v>
      </c>
      <c r="W3350" s="1" t="s">
        <v>53196</v>
      </c>
      <c r="X3350" s="1" t="s">
        <v>4020</v>
      </c>
      <c r="Y3350" s="1" t="s">
        <v>53197</v>
      </c>
      <c r="Z3350" s="1" t="s">
        <v>51979</v>
      </c>
      <c r="AA3350" s="1" t="s">
        <v>53198</v>
      </c>
      <c r="AB3350" s="1" t="s">
        <v>53199</v>
      </c>
      <c r="AC3350" s="1" t="s">
        <v>53200</v>
      </c>
      <c r="AD3350" s="1" t="s">
        <v>53200</v>
      </c>
      <c r="AE3350" s="1" t="s">
        <v>53201</v>
      </c>
      <c r="AF3350" s="1" t="s">
        <v>74</v>
      </c>
      <c r="AG3350" s="1">
        <v>58</v>
      </c>
      <c r="AH3350" s="1">
        <v>14</v>
      </c>
      <c r="AI3350" s="1">
        <v>14</v>
      </c>
      <c r="AJ3350" s="1">
        <v>3</v>
      </c>
      <c r="AK3350" s="1">
        <v>52</v>
      </c>
      <c r="AL3350" s="1" t="s">
        <v>112</v>
      </c>
      <c r="AM3350" s="1" t="s">
        <v>113</v>
      </c>
      <c r="AN3350" s="1" t="s">
        <v>469</v>
      </c>
      <c r="AO3350" s="1" t="s">
        <v>1009</v>
      </c>
      <c r="AP3350" s="1" t="s">
        <v>5996</v>
      </c>
      <c r="AQ3350" s="1" t="s">
        <v>74</v>
      </c>
      <c r="AR3350" s="1" t="s">
        <v>1010</v>
      </c>
      <c r="AS3350" s="1" t="s">
        <v>1011</v>
      </c>
      <c r="AT3350" s="1" t="s">
        <v>951</v>
      </c>
      <c r="AU3350" s="1">
        <v>2016</v>
      </c>
      <c r="AV3350" s="1">
        <v>71</v>
      </c>
      <c r="AW3350" s="1">
        <v>4</v>
      </c>
      <c r="AX3350" s="1" t="s">
        <v>74</v>
      </c>
      <c r="AY3350" s="1" t="s">
        <v>74</v>
      </c>
      <c r="AZ3350" s="1" t="s">
        <v>74</v>
      </c>
      <c r="BA3350" s="1" t="s">
        <v>74</v>
      </c>
      <c r="BB3350" s="1">
        <v>439</v>
      </c>
      <c r="BC3350" s="1">
        <v>453</v>
      </c>
      <c r="BD3350" s="1" t="s">
        <v>74</v>
      </c>
      <c r="BE3350" s="1" t="s">
        <v>53202</v>
      </c>
      <c r="BF3350" s="1" t="str">
        <f>HYPERLINK("http://dx.doi.org/10.1007/s00244-016-0312-6","http://dx.doi.org/10.1007/s00244-016-0312-6")</f>
        <v>http://dx.doi.org/10.1007/s00244-016-0312-6</v>
      </c>
      <c r="BG3350" s="1" t="s">
        <v>74</v>
      </c>
      <c r="BH3350" s="1" t="s">
        <v>74</v>
      </c>
      <c r="BI3350" s="1">
        <v>15</v>
      </c>
      <c r="BJ3350" s="1" t="s">
        <v>121</v>
      </c>
      <c r="BK3350" s="1" t="s">
        <v>96</v>
      </c>
      <c r="BL3350" s="1" t="s">
        <v>122</v>
      </c>
      <c r="BM3350" s="1" t="s">
        <v>53203</v>
      </c>
      <c r="BN3350" s="1">
        <v>27638715</v>
      </c>
      <c r="BO3350" s="1" t="s">
        <v>74</v>
      </c>
      <c r="BP3350" s="1" t="s">
        <v>74</v>
      </c>
      <c r="BQ3350" s="1" t="s">
        <v>74</v>
      </c>
      <c r="BR3350" s="1" t="s">
        <v>98</v>
      </c>
      <c r="BS3350" s="1" t="s">
        <v>53204</v>
      </c>
      <c r="BT3350" s="1" t="str">
        <f>HYPERLINK("https%3A%2F%2Fwww.webofscience.com%2Fwos%2Fwoscc%2Ffull-record%2FWOS:000387086000001","View Full Record in Web of Science")</f>
        <v>View Full Record in Web of Science</v>
      </c>
      <c r="BU3350" s="1"/>
      <c r="BV3350" s="1"/>
    </row>
    <row r="3351" spans="1:74">
      <c r="A3351" s="1" t="s">
        <v>72</v>
      </c>
      <c r="B3351" s="1" t="s">
        <v>53205</v>
      </c>
      <c r="C3351" s="1" t="s">
        <v>74</v>
      </c>
      <c r="D3351" s="1" t="s">
        <v>74</v>
      </c>
      <c r="E3351" s="1" t="s">
        <v>74</v>
      </c>
      <c r="F3351" s="1" t="s">
        <v>53206</v>
      </c>
      <c r="G3351" s="1" t="s">
        <v>74</v>
      </c>
      <c r="H3351" s="1" t="s">
        <v>74</v>
      </c>
      <c r="I3351" s="1" t="s">
        <v>53207</v>
      </c>
      <c r="J3351" s="1" t="s">
        <v>179</v>
      </c>
      <c r="K3351" s="1" t="s">
        <v>74</v>
      </c>
      <c r="L3351" s="1" t="s">
        <v>74</v>
      </c>
      <c r="M3351" s="1" t="s">
        <v>78</v>
      </c>
      <c r="N3351" s="1" t="s">
        <v>79</v>
      </c>
      <c r="O3351" s="1" t="s">
        <v>74</v>
      </c>
      <c r="P3351" s="1" t="s">
        <v>74</v>
      </c>
      <c r="Q3351" s="1" t="s">
        <v>74</v>
      </c>
      <c r="R3351" s="1" t="s">
        <v>74</v>
      </c>
      <c r="S3351" s="1" t="s">
        <v>74</v>
      </c>
      <c r="T3351" s="1" t="s">
        <v>53208</v>
      </c>
      <c r="U3351" s="1" t="s">
        <v>53209</v>
      </c>
      <c r="V3351" s="1" t="s">
        <v>53210</v>
      </c>
      <c r="W3351" s="1" t="s">
        <v>53211</v>
      </c>
      <c r="X3351" s="1" t="s">
        <v>74</v>
      </c>
      <c r="Y3351" s="1" t="s">
        <v>53212</v>
      </c>
      <c r="Z3351" s="1" t="s">
        <v>53213</v>
      </c>
      <c r="AA3351" s="1" t="s">
        <v>53214</v>
      </c>
      <c r="AB3351" s="1" t="s">
        <v>74</v>
      </c>
      <c r="AC3351" s="1" t="s">
        <v>74</v>
      </c>
      <c r="AD3351" s="1" t="s">
        <v>74</v>
      </c>
      <c r="AE3351" s="1" t="s">
        <v>74</v>
      </c>
      <c r="AF3351" s="1" t="s">
        <v>74</v>
      </c>
      <c r="AG3351" s="1">
        <v>52</v>
      </c>
      <c r="AH3351" s="1">
        <v>10</v>
      </c>
      <c r="AI3351" s="1">
        <v>10</v>
      </c>
      <c r="AJ3351" s="1">
        <v>4</v>
      </c>
      <c r="AK3351" s="1">
        <v>30</v>
      </c>
      <c r="AL3351" s="1" t="s">
        <v>112</v>
      </c>
      <c r="AM3351" s="1" t="s">
        <v>191</v>
      </c>
      <c r="AN3351" s="1" t="s">
        <v>192</v>
      </c>
      <c r="AO3351" s="1" t="s">
        <v>193</v>
      </c>
      <c r="AP3351" s="1" t="s">
        <v>194</v>
      </c>
      <c r="AQ3351" s="1" t="s">
        <v>74</v>
      </c>
      <c r="AR3351" s="1" t="s">
        <v>195</v>
      </c>
      <c r="AS3351" s="1" t="s">
        <v>196</v>
      </c>
      <c r="AT3351" s="1" t="s">
        <v>1470</v>
      </c>
      <c r="AU3351" s="1">
        <v>2021</v>
      </c>
      <c r="AV3351" s="1">
        <v>193</v>
      </c>
      <c r="AW3351" s="1">
        <v>1</v>
      </c>
      <c r="AX3351" s="1" t="s">
        <v>74</v>
      </c>
      <c r="AY3351" s="1" t="s">
        <v>74</v>
      </c>
      <c r="AZ3351" s="1" t="s">
        <v>74</v>
      </c>
      <c r="BA3351" s="1" t="s">
        <v>74</v>
      </c>
      <c r="BB3351" s="1" t="s">
        <v>74</v>
      </c>
      <c r="BC3351" s="1" t="s">
        <v>74</v>
      </c>
      <c r="BD3351" s="1">
        <v>8</v>
      </c>
      <c r="BE3351" s="1" t="s">
        <v>53215</v>
      </c>
      <c r="BF3351" s="1" t="str">
        <f>HYPERLINK("http://dx.doi.org/10.1007/s10661-020-08759-4","http://dx.doi.org/10.1007/s10661-020-08759-4")</f>
        <v>http://dx.doi.org/10.1007/s10661-020-08759-4</v>
      </c>
      <c r="BG3351" s="1" t="s">
        <v>74</v>
      </c>
      <c r="BH3351" s="1" t="s">
        <v>74</v>
      </c>
      <c r="BI3351" s="1">
        <v>15</v>
      </c>
      <c r="BJ3351" s="1" t="s">
        <v>144</v>
      </c>
      <c r="BK3351" s="1" t="s">
        <v>96</v>
      </c>
      <c r="BL3351" s="1" t="s">
        <v>145</v>
      </c>
      <c r="BM3351" s="1" t="s">
        <v>53216</v>
      </c>
      <c r="BN3351" s="1">
        <v>33319328</v>
      </c>
      <c r="BO3351" s="1" t="s">
        <v>74</v>
      </c>
      <c r="BP3351" s="1" t="s">
        <v>74</v>
      </c>
      <c r="BQ3351" s="1" t="s">
        <v>74</v>
      </c>
      <c r="BR3351" s="1" t="s">
        <v>98</v>
      </c>
      <c r="BS3351" s="1" t="s">
        <v>53217</v>
      </c>
      <c r="BT3351" s="1" t="str">
        <f>HYPERLINK("https%3A%2F%2Fwww.webofscience.com%2Fwos%2Fwoscc%2Ffull-record%2FWOS:000599929400001","View Full Record in Web of Science")</f>
        <v>View Full Record in Web of Science</v>
      </c>
      <c r="BU3351" s="1"/>
      <c r="BV3351" s="1"/>
    </row>
    <row r="3352" spans="1:74">
      <c r="A3352" s="1" t="s">
        <v>72</v>
      </c>
      <c r="B3352" s="1" t="s">
        <v>53218</v>
      </c>
      <c r="C3352" s="1" t="s">
        <v>74</v>
      </c>
      <c r="D3352" s="1" t="s">
        <v>74</v>
      </c>
      <c r="E3352" s="1" t="s">
        <v>74</v>
      </c>
      <c r="F3352" s="1" t="s">
        <v>53219</v>
      </c>
      <c r="G3352" s="1" t="s">
        <v>74</v>
      </c>
      <c r="H3352" s="1" t="s">
        <v>74</v>
      </c>
      <c r="I3352" s="1" t="s">
        <v>53220</v>
      </c>
      <c r="J3352" s="1" t="s">
        <v>232</v>
      </c>
      <c r="K3352" s="1" t="s">
        <v>74</v>
      </c>
      <c r="L3352" s="1" t="s">
        <v>74</v>
      </c>
      <c r="M3352" s="1" t="s">
        <v>78</v>
      </c>
      <c r="N3352" s="1" t="s">
        <v>79</v>
      </c>
      <c r="O3352" s="1" t="s">
        <v>74</v>
      </c>
      <c r="P3352" s="1" t="s">
        <v>74</v>
      </c>
      <c r="Q3352" s="1" t="s">
        <v>74</v>
      </c>
      <c r="R3352" s="1" t="s">
        <v>74</v>
      </c>
      <c r="S3352" s="1" t="s">
        <v>74</v>
      </c>
      <c r="T3352" s="1" t="s">
        <v>53221</v>
      </c>
      <c r="U3352" s="1" t="s">
        <v>53222</v>
      </c>
      <c r="V3352" s="1" t="s">
        <v>53223</v>
      </c>
      <c r="W3352" s="1" t="s">
        <v>53224</v>
      </c>
      <c r="X3352" s="1" t="s">
        <v>74</v>
      </c>
      <c r="Y3352" s="1" t="s">
        <v>53225</v>
      </c>
      <c r="Z3352" s="1" t="s">
        <v>53226</v>
      </c>
      <c r="AA3352" s="1" t="s">
        <v>7184</v>
      </c>
      <c r="AB3352" s="1" t="s">
        <v>53227</v>
      </c>
      <c r="AC3352" s="1" t="s">
        <v>53228</v>
      </c>
      <c r="AD3352" s="1" t="s">
        <v>53228</v>
      </c>
      <c r="AE3352" s="1" t="s">
        <v>53229</v>
      </c>
      <c r="AF3352" s="1" t="s">
        <v>74</v>
      </c>
      <c r="AG3352" s="1">
        <v>85</v>
      </c>
      <c r="AH3352" s="1">
        <v>78</v>
      </c>
      <c r="AI3352" s="1">
        <v>83</v>
      </c>
      <c r="AJ3352" s="1">
        <v>0</v>
      </c>
      <c r="AK3352" s="1">
        <v>43</v>
      </c>
      <c r="AL3352" s="1" t="s">
        <v>136</v>
      </c>
      <c r="AM3352" s="1" t="s">
        <v>137</v>
      </c>
      <c r="AN3352" s="1" t="s">
        <v>138</v>
      </c>
      <c r="AO3352" s="1" t="s">
        <v>240</v>
      </c>
      <c r="AP3352" s="1" t="s">
        <v>241</v>
      </c>
      <c r="AQ3352" s="1" t="s">
        <v>74</v>
      </c>
      <c r="AR3352" s="1" t="s">
        <v>242</v>
      </c>
      <c r="AS3352" s="1" t="s">
        <v>243</v>
      </c>
      <c r="AT3352" s="1" t="s">
        <v>197</v>
      </c>
      <c r="AU3352" s="1">
        <v>2010</v>
      </c>
      <c r="AV3352" s="1">
        <v>60</v>
      </c>
      <c r="AW3352" s="1">
        <v>12</v>
      </c>
      <c r="AX3352" s="1" t="s">
        <v>74</v>
      </c>
      <c r="AY3352" s="1" t="s">
        <v>74</v>
      </c>
      <c r="AZ3352" s="1" t="s">
        <v>74</v>
      </c>
      <c r="BA3352" s="1" t="s">
        <v>74</v>
      </c>
      <c r="BB3352" s="1">
        <v>2323</v>
      </c>
      <c r="BC3352" s="1">
        <v>2349</v>
      </c>
      <c r="BD3352" s="1" t="s">
        <v>74</v>
      </c>
      <c r="BE3352" s="1" t="s">
        <v>53230</v>
      </c>
      <c r="BF3352" s="1" t="str">
        <f>HYPERLINK("http://dx.doi.org/10.1016/j.marpolbul.2010.09.021","http://dx.doi.org/10.1016/j.marpolbul.2010.09.021")</f>
        <v>http://dx.doi.org/10.1016/j.marpolbul.2010.09.021</v>
      </c>
      <c r="BG3352" s="1" t="s">
        <v>74</v>
      </c>
      <c r="BH3352" s="1" t="s">
        <v>74</v>
      </c>
      <c r="BI3352" s="1">
        <v>27</v>
      </c>
      <c r="BJ3352" s="1" t="s">
        <v>247</v>
      </c>
      <c r="BK3352" s="1" t="s">
        <v>96</v>
      </c>
      <c r="BL3352" s="1" t="s">
        <v>248</v>
      </c>
      <c r="BM3352" s="1" t="s">
        <v>35311</v>
      </c>
      <c r="BN3352" s="1">
        <v>20965523</v>
      </c>
      <c r="BO3352" s="1" t="s">
        <v>74</v>
      </c>
      <c r="BP3352" s="1" t="s">
        <v>74</v>
      </c>
      <c r="BQ3352" s="1" t="s">
        <v>74</v>
      </c>
      <c r="BR3352" s="1" t="s">
        <v>98</v>
      </c>
      <c r="BS3352" s="1" t="s">
        <v>53231</v>
      </c>
      <c r="BT3352" s="1" t="str">
        <f>HYPERLINK("https%3A%2F%2Fwww.webofscience.com%2Fwos%2Fwoscc%2Ffull-record%2FWOS:000285735700033","View Full Record in Web of Science")</f>
        <v>View Full Record in Web of Science</v>
      </c>
      <c r="BU3352" s="1"/>
      <c r="BV3352" s="1"/>
    </row>
    <row r="3353" spans="1:74">
      <c r="A3353" s="1" t="s">
        <v>72</v>
      </c>
      <c r="B3353" s="1" t="s">
        <v>53232</v>
      </c>
      <c r="C3353" s="1" t="s">
        <v>74</v>
      </c>
      <c r="D3353" s="1" t="s">
        <v>74</v>
      </c>
      <c r="E3353" s="1" t="s">
        <v>74</v>
      </c>
      <c r="F3353" s="1" t="s">
        <v>53232</v>
      </c>
      <c r="G3353" s="1" t="s">
        <v>74</v>
      </c>
      <c r="H3353" s="1" t="s">
        <v>74</v>
      </c>
      <c r="I3353" s="1" t="s">
        <v>53233</v>
      </c>
      <c r="J3353" s="1" t="s">
        <v>53234</v>
      </c>
      <c r="K3353" s="1" t="s">
        <v>74</v>
      </c>
      <c r="L3353" s="1" t="s">
        <v>74</v>
      </c>
      <c r="M3353" s="1" t="s">
        <v>78</v>
      </c>
      <c r="N3353" s="1" t="s">
        <v>79</v>
      </c>
      <c r="O3353" s="1" t="s">
        <v>74</v>
      </c>
      <c r="P3353" s="1" t="s">
        <v>74</v>
      </c>
      <c r="Q3353" s="1" t="s">
        <v>74</v>
      </c>
      <c r="R3353" s="1" t="s">
        <v>74</v>
      </c>
      <c r="S3353" s="1" t="s">
        <v>74</v>
      </c>
      <c r="T3353" s="1" t="s">
        <v>74</v>
      </c>
      <c r="U3353" s="1" t="s">
        <v>53235</v>
      </c>
      <c r="V3353" s="1" t="s">
        <v>53236</v>
      </c>
      <c r="W3353" s="1" t="s">
        <v>53237</v>
      </c>
      <c r="X3353" s="1" t="s">
        <v>53238</v>
      </c>
      <c r="Y3353" s="1" t="s">
        <v>53239</v>
      </c>
      <c r="Z3353" s="1" t="s">
        <v>74</v>
      </c>
      <c r="AA3353" s="1" t="s">
        <v>74</v>
      </c>
      <c r="AB3353" s="1" t="s">
        <v>74</v>
      </c>
      <c r="AC3353" s="1" t="s">
        <v>74</v>
      </c>
      <c r="AD3353" s="1" t="s">
        <v>74</v>
      </c>
      <c r="AE3353" s="1" t="s">
        <v>74</v>
      </c>
      <c r="AF3353" s="1" t="s">
        <v>74</v>
      </c>
      <c r="AG3353" s="1">
        <v>37</v>
      </c>
      <c r="AH3353" s="1">
        <v>4</v>
      </c>
      <c r="AI3353" s="1">
        <v>4</v>
      </c>
      <c r="AJ3353" s="1">
        <v>0</v>
      </c>
      <c r="AK3353" s="1">
        <v>2</v>
      </c>
      <c r="AL3353" s="1" t="s">
        <v>136</v>
      </c>
      <c r="AM3353" s="1" t="s">
        <v>137</v>
      </c>
      <c r="AN3353" s="1" t="s">
        <v>583</v>
      </c>
      <c r="AO3353" s="1" t="s">
        <v>53240</v>
      </c>
      <c r="AP3353" s="1" t="s">
        <v>74</v>
      </c>
      <c r="AQ3353" s="1" t="s">
        <v>74</v>
      </c>
      <c r="AR3353" s="1" t="s">
        <v>53241</v>
      </c>
      <c r="AS3353" s="1" t="s">
        <v>53242</v>
      </c>
      <c r="AT3353" s="1" t="s">
        <v>2493</v>
      </c>
      <c r="AU3353" s="1">
        <v>1996</v>
      </c>
      <c r="AV3353" s="1">
        <v>47</v>
      </c>
      <c r="AW3353" s="1" t="s">
        <v>2706</v>
      </c>
      <c r="AX3353" s="1" t="s">
        <v>74</v>
      </c>
      <c r="AY3353" s="1" t="s">
        <v>74</v>
      </c>
      <c r="AZ3353" s="1" t="s">
        <v>74</v>
      </c>
      <c r="BA3353" s="1" t="s">
        <v>74</v>
      </c>
      <c r="BB3353" s="1">
        <v>581</v>
      </c>
      <c r="BC3353" s="1">
        <v>586</v>
      </c>
      <c r="BD3353" s="1" t="s">
        <v>74</v>
      </c>
      <c r="BE3353" s="1" t="s">
        <v>53243</v>
      </c>
      <c r="BF3353" s="1" t="str">
        <f>HYPERLINK("http://dx.doi.org/10.1016/0969-8043(95)00329-0","http://dx.doi.org/10.1016/0969-8043(95)00329-0")</f>
        <v>http://dx.doi.org/10.1016/0969-8043(95)00329-0</v>
      </c>
      <c r="BG3353" s="1" t="s">
        <v>74</v>
      </c>
      <c r="BH3353" s="1" t="s">
        <v>74</v>
      </c>
      <c r="BI3353" s="1">
        <v>6</v>
      </c>
      <c r="BJ3353" s="1" t="s">
        <v>53244</v>
      </c>
      <c r="BK3353" s="1" t="s">
        <v>96</v>
      </c>
      <c r="BL3353" s="1" t="s">
        <v>53245</v>
      </c>
      <c r="BM3353" s="1" t="s">
        <v>53246</v>
      </c>
      <c r="BN3353" s="1">
        <v>8673073</v>
      </c>
      <c r="BO3353" s="1" t="s">
        <v>74</v>
      </c>
      <c r="BP3353" s="1" t="s">
        <v>74</v>
      </c>
      <c r="BQ3353" s="1" t="s">
        <v>74</v>
      </c>
      <c r="BR3353" s="1" t="s">
        <v>98</v>
      </c>
      <c r="BS3353" s="1" t="s">
        <v>53247</v>
      </c>
      <c r="BT3353" s="1" t="str">
        <f>HYPERLINK("https%3A%2F%2Fwww.webofscience.com%2Fwos%2Fwoscc%2Ffull-record%2FWOS:A1996UQ37000016","View Full Record in Web of Science")</f>
        <v>View Full Record in Web of Science</v>
      </c>
      <c r="BU3353" s="1"/>
      <c r="BV3353" s="1"/>
    </row>
    <row r="3354" spans="1:74">
      <c r="A3354" s="1" t="s">
        <v>72</v>
      </c>
      <c r="B3354" s="1" t="s">
        <v>53248</v>
      </c>
      <c r="C3354" s="1" t="s">
        <v>74</v>
      </c>
      <c r="D3354" s="1" t="s">
        <v>74</v>
      </c>
      <c r="E3354" s="1" t="s">
        <v>74</v>
      </c>
      <c r="F3354" s="1" t="s">
        <v>53249</v>
      </c>
      <c r="G3354" s="1" t="s">
        <v>74</v>
      </c>
      <c r="H3354" s="1" t="s">
        <v>74</v>
      </c>
      <c r="I3354" s="1" t="s">
        <v>53250</v>
      </c>
      <c r="J3354" s="1" t="s">
        <v>127</v>
      </c>
      <c r="K3354" s="1" t="s">
        <v>74</v>
      </c>
      <c r="L3354" s="1" t="s">
        <v>74</v>
      </c>
      <c r="M3354" s="1" t="s">
        <v>78</v>
      </c>
      <c r="N3354" s="1" t="s">
        <v>79</v>
      </c>
      <c r="O3354" s="1" t="s">
        <v>74</v>
      </c>
      <c r="P3354" s="1" t="s">
        <v>74</v>
      </c>
      <c r="Q3354" s="1" t="s">
        <v>74</v>
      </c>
      <c r="R3354" s="1" t="s">
        <v>74</v>
      </c>
      <c r="S3354" s="1" t="s">
        <v>74</v>
      </c>
      <c r="T3354" s="1" t="s">
        <v>53251</v>
      </c>
      <c r="U3354" s="1" t="s">
        <v>53252</v>
      </c>
      <c r="V3354" s="1" t="s">
        <v>53253</v>
      </c>
      <c r="W3354" s="1" t="s">
        <v>53254</v>
      </c>
      <c r="X3354" s="1" t="s">
        <v>14304</v>
      </c>
      <c r="Y3354" s="1" t="s">
        <v>53255</v>
      </c>
      <c r="Z3354" s="1" t="s">
        <v>31526</v>
      </c>
      <c r="AA3354" s="1" t="s">
        <v>53256</v>
      </c>
      <c r="AB3354" s="1" t="s">
        <v>53257</v>
      </c>
      <c r="AC3354" s="1" t="s">
        <v>74</v>
      </c>
      <c r="AD3354" s="1" t="s">
        <v>74</v>
      </c>
      <c r="AE3354" s="1" t="s">
        <v>74</v>
      </c>
      <c r="AF3354" s="1" t="s">
        <v>74</v>
      </c>
      <c r="AG3354" s="1">
        <v>42</v>
      </c>
      <c r="AH3354" s="1">
        <v>11</v>
      </c>
      <c r="AI3354" s="1">
        <v>11</v>
      </c>
      <c r="AJ3354" s="1">
        <v>1</v>
      </c>
      <c r="AK3354" s="1">
        <v>17</v>
      </c>
      <c r="AL3354" s="1" t="s">
        <v>136</v>
      </c>
      <c r="AM3354" s="1" t="s">
        <v>137</v>
      </c>
      <c r="AN3354" s="1" t="s">
        <v>138</v>
      </c>
      <c r="AO3354" s="1" t="s">
        <v>139</v>
      </c>
      <c r="AP3354" s="1" t="s">
        <v>140</v>
      </c>
      <c r="AQ3354" s="1" t="s">
        <v>74</v>
      </c>
      <c r="AR3354" s="1" t="s">
        <v>127</v>
      </c>
      <c r="AS3354" s="1" t="s">
        <v>141</v>
      </c>
      <c r="AT3354" s="1" t="s">
        <v>1470</v>
      </c>
      <c r="AU3354" s="1">
        <v>2015</v>
      </c>
      <c r="AV3354" s="1">
        <v>118</v>
      </c>
      <c r="AW3354" s="1" t="s">
        <v>74</v>
      </c>
      <c r="AX3354" s="1" t="s">
        <v>74</v>
      </c>
      <c r="AY3354" s="1" t="s">
        <v>74</v>
      </c>
      <c r="AZ3354" s="1" t="s">
        <v>74</v>
      </c>
      <c r="BA3354" s="1" t="s">
        <v>74</v>
      </c>
      <c r="BB3354" s="1">
        <v>130</v>
      </c>
      <c r="BC3354" s="1">
        <v>135</v>
      </c>
      <c r="BD3354" s="1" t="s">
        <v>74</v>
      </c>
      <c r="BE3354" s="1" t="s">
        <v>53258</v>
      </c>
      <c r="BF3354" s="1" t="str">
        <f>HYPERLINK("http://dx.doi.org/10.1016/j.chemosphere.2014.07.053","http://dx.doi.org/10.1016/j.chemosphere.2014.07.053")</f>
        <v>http://dx.doi.org/10.1016/j.chemosphere.2014.07.053</v>
      </c>
      <c r="BG3354" s="1" t="s">
        <v>74</v>
      </c>
      <c r="BH3354" s="1" t="s">
        <v>74</v>
      </c>
      <c r="BI3354" s="1">
        <v>6</v>
      </c>
      <c r="BJ3354" s="1" t="s">
        <v>144</v>
      </c>
      <c r="BK3354" s="1" t="s">
        <v>96</v>
      </c>
      <c r="BL3354" s="1" t="s">
        <v>145</v>
      </c>
      <c r="BM3354" s="1" t="s">
        <v>53259</v>
      </c>
      <c r="BN3354" s="1">
        <v>25150824</v>
      </c>
      <c r="BO3354" s="1" t="s">
        <v>74</v>
      </c>
      <c r="BP3354" s="1" t="s">
        <v>74</v>
      </c>
      <c r="BQ3354" s="1" t="s">
        <v>74</v>
      </c>
      <c r="BR3354" s="1" t="s">
        <v>98</v>
      </c>
      <c r="BS3354" s="1" t="s">
        <v>53260</v>
      </c>
      <c r="BT3354" s="1" t="str">
        <f>HYPERLINK("https%3A%2F%2Fwww.webofscience.com%2Fwos%2Fwoscc%2Ffull-record%2FWOS:000346953700018","View Full Record in Web of Science")</f>
        <v>View Full Record in Web of Science</v>
      </c>
      <c r="BU3354" s="1"/>
      <c r="BV3354" s="1"/>
    </row>
    <row r="3355" spans="1:74">
      <c r="A3355" s="1" t="s">
        <v>72</v>
      </c>
      <c r="B3355" s="1" t="s">
        <v>53261</v>
      </c>
      <c r="C3355" s="1" t="s">
        <v>74</v>
      </c>
      <c r="D3355" s="1" t="s">
        <v>74</v>
      </c>
      <c r="E3355" s="1" t="s">
        <v>74</v>
      </c>
      <c r="F3355" s="1" t="s">
        <v>53262</v>
      </c>
      <c r="G3355" s="1" t="s">
        <v>74</v>
      </c>
      <c r="H3355" s="1" t="s">
        <v>74</v>
      </c>
      <c r="I3355" s="1" t="s">
        <v>53263</v>
      </c>
      <c r="J3355" s="1" t="s">
        <v>9383</v>
      </c>
      <c r="K3355" s="1" t="s">
        <v>74</v>
      </c>
      <c r="L3355" s="1" t="s">
        <v>74</v>
      </c>
      <c r="M3355" s="1" t="s">
        <v>78</v>
      </c>
      <c r="N3355" s="1" t="s">
        <v>79</v>
      </c>
      <c r="O3355" s="1" t="s">
        <v>74</v>
      </c>
      <c r="P3355" s="1" t="s">
        <v>74</v>
      </c>
      <c r="Q3355" s="1" t="s">
        <v>74</v>
      </c>
      <c r="R3355" s="1" t="s">
        <v>74</v>
      </c>
      <c r="S3355" s="1" t="s">
        <v>74</v>
      </c>
      <c r="T3355" s="1" t="s">
        <v>74</v>
      </c>
      <c r="U3355" s="1" t="s">
        <v>53264</v>
      </c>
      <c r="V3355" s="1" t="s">
        <v>53265</v>
      </c>
      <c r="W3355" s="1" t="s">
        <v>53266</v>
      </c>
      <c r="X3355" s="1" t="s">
        <v>53267</v>
      </c>
      <c r="Y3355" s="1" t="s">
        <v>53268</v>
      </c>
      <c r="Z3355" s="1" t="s">
        <v>53269</v>
      </c>
      <c r="AA3355" s="1" t="s">
        <v>53270</v>
      </c>
      <c r="AB3355" s="1" t="s">
        <v>53271</v>
      </c>
      <c r="AC3355" s="1" t="s">
        <v>74</v>
      </c>
      <c r="AD3355" s="1" t="s">
        <v>74</v>
      </c>
      <c r="AE3355" s="1" t="s">
        <v>74</v>
      </c>
      <c r="AF3355" s="1" t="s">
        <v>74</v>
      </c>
      <c r="AG3355" s="1">
        <v>63</v>
      </c>
      <c r="AH3355" s="1">
        <v>3</v>
      </c>
      <c r="AI3355" s="1">
        <v>3</v>
      </c>
      <c r="AJ3355" s="1">
        <v>0</v>
      </c>
      <c r="AK3355" s="1">
        <v>11</v>
      </c>
      <c r="AL3355" s="1" t="s">
        <v>9394</v>
      </c>
      <c r="AM3355" s="1" t="s">
        <v>9395</v>
      </c>
      <c r="AN3355" s="1" t="s">
        <v>9396</v>
      </c>
      <c r="AO3355" s="1" t="s">
        <v>9397</v>
      </c>
      <c r="AP3355" s="1" t="s">
        <v>74</v>
      </c>
      <c r="AQ3355" s="1" t="s">
        <v>74</v>
      </c>
      <c r="AR3355" s="1" t="s">
        <v>9398</v>
      </c>
      <c r="AS3355" s="1" t="s">
        <v>9399</v>
      </c>
      <c r="AT3355" s="1" t="s">
        <v>8598</v>
      </c>
      <c r="AU3355" s="1">
        <v>2021</v>
      </c>
      <c r="AV3355" s="1">
        <v>11</v>
      </c>
      <c r="AW3355" s="1">
        <v>1</v>
      </c>
      <c r="AX3355" s="1" t="s">
        <v>74</v>
      </c>
      <c r="AY3355" s="1" t="s">
        <v>74</v>
      </c>
      <c r="AZ3355" s="1" t="s">
        <v>74</v>
      </c>
      <c r="BA3355" s="1" t="s">
        <v>74</v>
      </c>
      <c r="BB3355" s="1" t="s">
        <v>74</v>
      </c>
      <c r="BC3355" s="1" t="s">
        <v>74</v>
      </c>
      <c r="BD3355" s="1">
        <v>19244</v>
      </c>
      <c r="BE3355" s="1" t="s">
        <v>53272</v>
      </c>
      <c r="BF3355" s="1" t="str">
        <f>HYPERLINK("http://dx.doi.org/10.1038/s41598-021-98535-2","http://dx.doi.org/10.1038/s41598-021-98535-2")</f>
        <v>http://dx.doi.org/10.1038/s41598-021-98535-2</v>
      </c>
      <c r="BG3355" s="1" t="s">
        <v>74</v>
      </c>
      <c r="BH3355" s="1" t="s">
        <v>74</v>
      </c>
      <c r="BI3355" s="1">
        <v>10</v>
      </c>
      <c r="BJ3355" s="1" t="s">
        <v>3202</v>
      </c>
      <c r="BK3355" s="1" t="s">
        <v>96</v>
      </c>
      <c r="BL3355" s="1" t="s">
        <v>3203</v>
      </c>
      <c r="BM3355" s="1" t="s">
        <v>53273</v>
      </c>
      <c r="BN3355" s="1">
        <v>34584132</v>
      </c>
      <c r="BO3355" s="1" t="s">
        <v>550</v>
      </c>
      <c r="BP3355" s="1" t="s">
        <v>74</v>
      </c>
      <c r="BQ3355" s="1" t="s">
        <v>74</v>
      </c>
      <c r="BR3355" s="1" t="s">
        <v>98</v>
      </c>
      <c r="BS3355" s="1" t="s">
        <v>53274</v>
      </c>
      <c r="BT3355" s="1" t="str">
        <f>HYPERLINK("https%3A%2F%2Fwww.webofscience.com%2Fwos%2Fwoscc%2Ffull-record%2FWOS:000701575500077","View Full Record in Web of Science")</f>
        <v>View Full Record in Web of Science</v>
      </c>
      <c r="BU3355" s="1"/>
      <c r="BV3355" s="1"/>
    </row>
    <row r="3356" spans="1:74">
      <c r="A3356" s="1" t="s">
        <v>72</v>
      </c>
      <c r="B3356" s="1" t="s">
        <v>53275</v>
      </c>
      <c r="C3356" s="1" t="s">
        <v>74</v>
      </c>
      <c r="D3356" s="1" t="s">
        <v>74</v>
      </c>
      <c r="E3356" s="1" t="s">
        <v>74</v>
      </c>
      <c r="F3356" s="1" t="s">
        <v>53275</v>
      </c>
      <c r="G3356" s="1" t="s">
        <v>74</v>
      </c>
      <c r="H3356" s="1" t="s">
        <v>74</v>
      </c>
      <c r="I3356" s="1" t="s">
        <v>53276</v>
      </c>
      <c r="J3356" s="1" t="s">
        <v>20957</v>
      </c>
      <c r="K3356" s="1" t="s">
        <v>74</v>
      </c>
      <c r="L3356" s="1" t="s">
        <v>74</v>
      </c>
      <c r="M3356" s="1" t="s">
        <v>78</v>
      </c>
      <c r="N3356" s="1" t="s">
        <v>79</v>
      </c>
      <c r="O3356" s="1" t="s">
        <v>74</v>
      </c>
      <c r="P3356" s="1" t="s">
        <v>74</v>
      </c>
      <c r="Q3356" s="1" t="s">
        <v>74</v>
      </c>
      <c r="R3356" s="1" t="s">
        <v>74</v>
      </c>
      <c r="S3356" s="1" t="s">
        <v>74</v>
      </c>
      <c r="T3356" s="1" t="s">
        <v>74</v>
      </c>
      <c r="U3356" s="1" t="s">
        <v>53277</v>
      </c>
      <c r="V3356" s="1" t="s">
        <v>53278</v>
      </c>
      <c r="W3356" s="1" t="s">
        <v>53279</v>
      </c>
      <c r="X3356" s="1" t="s">
        <v>53280</v>
      </c>
      <c r="Y3356" s="1" t="s">
        <v>53281</v>
      </c>
      <c r="Z3356" s="1" t="s">
        <v>53282</v>
      </c>
      <c r="AA3356" s="1" t="s">
        <v>24280</v>
      </c>
      <c r="AB3356" s="1" t="s">
        <v>53283</v>
      </c>
      <c r="AC3356" s="1" t="s">
        <v>74</v>
      </c>
      <c r="AD3356" s="1" t="s">
        <v>74</v>
      </c>
      <c r="AE3356" s="1" t="s">
        <v>74</v>
      </c>
      <c r="AF3356" s="1" t="s">
        <v>74</v>
      </c>
      <c r="AG3356" s="1">
        <v>39</v>
      </c>
      <c r="AH3356" s="1">
        <v>47</v>
      </c>
      <c r="AI3356" s="1">
        <v>47</v>
      </c>
      <c r="AJ3356" s="1">
        <v>1</v>
      </c>
      <c r="AK3356" s="1">
        <v>6</v>
      </c>
      <c r="AL3356" s="1" t="s">
        <v>24545</v>
      </c>
      <c r="AM3356" s="1" t="s">
        <v>13247</v>
      </c>
      <c r="AN3356" s="1" t="s">
        <v>24546</v>
      </c>
      <c r="AO3356" s="1" t="s">
        <v>20966</v>
      </c>
      <c r="AP3356" s="1" t="s">
        <v>24547</v>
      </c>
      <c r="AQ3356" s="1" t="s">
        <v>74</v>
      </c>
      <c r="AR3356" s="1" t="s">
        <v>20967</v>
      </c>
      <c r="AS3356" s="1" t="s">
        <v>20968</v>
      </c>
      <c r="AT3356" s="1" t="s">
        <v>142</v>
      </c>
      <c r="AU3356" s="1">
        <v>2000</v>
      </c>
      <c r="AV3356" s="1">
        <v>57</v>
      </c>
      <c r="AW3356" s="1">
        <v>6</v>
      </c>
      <c r="AX3356" s="1" t="s">
        <v>74</v>
      </c>
      <c r="AY3356" s="1" t="s">
        <v>74</v>
      </c>
      <c r="AZ3356" s="1" t="s">
        <v>74</v>
      </c>
      <c r="BA3356" s="1" t="s">
        <v>74</v>
      </c>
      <c r="BB3356" s="1">
        <v>1139</v>
      </c>
      <c r="BC3356" s="1">
        <v>1150</v>
      </c>
      <c r="BD3356" s="1" t="s">
        <v>74</v>
      </c>
      <c r="BE3356" s="1" t="s">
        <v>53284</v>
      </c>
      <c r="BF3356" s="1" t="str">
        <f>HYPERLINK("http://dx.doi.org/10.1139/cjfas-57-6-1139","http://dx.doi.org/10.1139/cjfas-57-6-1139")</f>
        <v>http://dx.doi.org/10.1139/cjfas-57-6-1139</v>
      </c>
      <c r="BG3356" s="1" t="s">
        <v>74</v>
      </c>
      <c r="BH3356" s="1" t="s">
        <v>74</v>
      </c>
      <c r="BI3356" s="1">
        <v>12</v>
      </c>
      <c r="BJ3356" s="1" t="s">
        <v>2391</v>
      </c>
      <c r="BK3356" s="1" t="s">
        <v>96</v>
      </c>
      <c r="BL3356" s="1" t="s">
        <v>2391</v>
      </c>
      <c r="BM3356" s="1" t="s">
        <v>53285</v>
      </c>
      <c r="BN3356" s="1" t="s">
        <v>74</v>
      </c>
      <c r="BO3356" s="1" t="s">
        <v>1752</v>
      </c>
      <c r="BP3356" s="1" t="s">
        <v>74</v>
      </c>
      <c r="BQ3356" s="1" t="s">
        <v>74</v>
      </c>
      <c r="BR3356" s="1" t="s">
        <v>98</v>
      </c>
      <c r="BS3356" s="1" t="s">
        <v>53286</v>
      </c>
      <c r="BT3356" s="1" t="str">
        <f>HYPERLINK("https%3A%2F%2Fwww.webofscience.com%2Fwos%2Fwoscc%2Ffull-record%2FWOS:000087703800004","View Full Record in Web of Science")</f>
        <v>View Full Record in Web of Science</v>
      </c>
      <c r="BU3356" s="1"/>
      <c r="BV3356" s="1"/>
    </row>
    <row r="3357" spans="1:74">
      <c r="A3357" s="1" t="s">
        <v>72</v>
      </c>
      <c r="B3357" s="1" t="s">
        <v>53287</v>
      </c>
      <c r="C3357" s="1" t="s">
        <v>74</v>
      </c>
      <c r="D3357" s="1" t="s">
        <v>74</v>
      </c>
      <c r="E3357" s="1" t="s">
        <v>74</v>
      </c>
      <c r="F3357" s="1" t="s">
        <v>53288</v>
      </c>
      <c r="G3357" s="1" t="s">
        <v>74</v>
      </c>
      <c r="H3357" s="1" t="s">
        <v>74</v>
      </c>
      <c r="I3357" s="1" t="s">
        <v>53289</v>
      </c>
      <c r="J3357" s="1" t="s">
        <v>53290</v>
      </c>
      <c r="K3357" s="1" t="s">
        <v>74</v>
      </c>
      <c r="L3357" s="1" t="s">
        <v>74</v>
      </c>
      <c r="M3357" s="1" t="s">
        <v>78</v>
      </c>
      <c r="N3357" s="1" t="s">
        <v>79</v>
      </c>
      <c r="O3357" s="1" t="s">
        <v>74</v>
      </c>
      <c r="P3357" s="1" t="s">
        <v>74</v>
      </c>
      <c r="Q3357" s="1" t="s">
        <v>74</v>
      </c>
      <c r="R3357" s="1" t="s">
        <v>74</v>
      </c>
      <c r="S3357" s="1" t="s">
        <v>74</v>
      </c>
      <c r="T3357" s="1" t="s">
        <v>74</v>
      </c>
      <c r="U3357" s="1" t="s">
        <v>53291</v>
      </c>
      <c r="V3357" s="1" t="s">
        <v>53292</v>
      </c>
      <c r="W3357" s="1" t="s">
        <v>53293</v>
      </c>
      <c r="X3357" s="1" t="s">
        <v>53294</v>
      </c>
      <c r="Y3357" s="1" t="s">
        <v>53295</v>
      </c>
      <c r="Z3357" s="1" t="s">
        <v>53296</v>
      </c>
      <c r="AA3357" s="1" t="s">
        <v>53297</v>
      </c>
      <c r="AB3357" s="1" t="s">
        <v>53298</v>
      </c>
      <c r="AC3357" s="1" t="s">
        <v>74</v>
      </c>
      <c r="AD3357" s="1" t="s">
        <v>74</v>
      </c>
      <c r="AE3357" s="1" t="s">
        <v>74</v>
      </c>
      <c r="AF3357" s="1" t="s">
        <v>74</v>
      </c>
      <c r="AG3357" s="1">
        <v>43</v>
      </c>
      <c r="AH3357" s="1">
        <v>43</v>
      </c>
      <c r="AI3357" s="1">
        <v>53</v>
      </c>
      <c r="AJ3357" s="1">
        <v>0</v>
      </c>
      <c r="AK3357" s="1">
        <v>12</v>
      </c>
      <c r="AL3357" s="1" t="s">
        <v>53299</v>
      </c>
      <c r="AM3357" s="1" t="s">
        <v>4472</v>
      </c>
      <c r="AN3357" s="1" t="s">
        <v>53300</v>
      </c>
      <c r="AO3357" s="1" t="s">
        <v>53301</v>
      </c>
      <c r="AP3357" s="1" t="s">
        <v>53302</v>
      </c>
      <c r="AQ3357" s="1" t="s">
        <v>74</v>
      </c>
      <c r="AR3357" s="1" t="s">
        <v>53303</v>
      </c>
      <c r="AS3357" s="1" t="s">
        <v>53304</v>
      </c>
      <c r="AT3357" s="1" t="s">
        <v>53305</v>
      </c>
      <c r="AU3357" s="1">
        <v>2007</v>
      </c>
      <c r="AV3357" s="1">
        <v>112</v>
      </c>
      <c r="AW3357" s="1" t="s">
        <v>53306</v>
      </c>
      <c r="AX3357" s="1" t="s">
        <v>74</v>
      </c>
      <c r="AY3357" s="1" t="s">
        <v>74</v>
      </c>
      <c r="AZ3357" s="1" t="s">
        <v>74</v>
      </c>
      <c r="BA3357" s="1" t="s">
        <v>74</v>
      </c>
      <c r="BB3357" s="1" t="s">
        <v>74</v>
      </c>
      <c r="BC3357" s="1" t="s">
        <v>74</v>
      </c>
      <c r="BD3357" s="1" t="s">
        <v>53307</v>
      </c>
      <c r="BE3357" s="1" t="s">
        <v>53308</v>
      </c>
      <c r="BF3357" s="1" t="str">
        <f>HYPERLINK("http://dx.doi.org/10.1029/2006JD008029","http://dx.doi.org/10.1029/2006JD008029")</f>
        <v>http://dx.doi.org/10.1029/2006JD008029</v>
      </c>
      <c r="BG3357" s="1" t="s">
        <v>74</v>
      </c>
      <c r="BH3357" s="1" t="s">
        <v>74</v>
      </c>
      <c r="BI3357" s="1">
        <v>13</v>
      </c>
      <c r="BJ3357" s="1" t="s">
        <v>46058</v>
      </c>
      <c r="BK3357" s="1" t="s">
        <v>96</v>
      </c>
      <c r="BL3357" s="1" t="s">
        <v>46058</v>
      </c>
      <c r="BM3357" s="1" t="s">
        <v>53309</v>
      </c>
      <c r="BN3357" s="1" t="s">
        <v>74</v>
      </c>
      <c r="BO3357" s="1" t="s">
        <v>370</v>
      </c>
      <c r="BP3357" s="1" t="s">
        <v>74</v>
      </c>
      <c r="BQ3357" s="1" t="s">
        <v>74</v>
      </c>
      <c r="BR3357" s="1" t="s">
        <v>98</v>
      </c>
      <c r="BS3357" s="1" t="s">
        <v>53310</v>
      </c>
      <c r="BT3357" s="1" t="str">
        <f>HYPERLINK("https%3A%2F%2Fwww.webofscience.com%2Fwos%2Fwoscc%2Ffull-record%2FWOS:000247369200007","View Full Record in Web of Science")</f>
        <v>View Full Record in Web of Science</v>
      </c>
      <c r="BU3357" s="1"/>
      <c r="BV3357" s="1"/>
    </row>
    <row r="3358" spans="1:74">
      <c r="A3358" s="1" t="s">
        <v>72</v>
      </c>
      <c r="B3358" s="1" t="s">
        <v>53311</v>
      </c>
      <c r="C3358" s="1" t="s">
        <v>74</v>
      </c>
      <c r="D3358" s="1" t="s">
        <v>74</v>
      </c>
      <c r="E3358" s="1" t="s">
        <v>74</v>
      </c>
      <c r="F3358" s="1" t="s">
        <v>53312</v>
      </c>
      <c r="G3358" s="1" t="s">
        <v>74</v>
      </c>
      <c r="H3358" s="1" t="s">
        <v>74</v>
      </c>
      <c r="I3358" s="1" t="s">
        <v>53313</v>
      </c>
      <c r="J3358" s="1" t="s">
        <v>127</v>
      </c>
      <c r="K3358" s="1" t="s">
        <v>74</v>
      </c>
      <c r="L3358" s="1" t="s">
        <v>74</v>
      </c>
      <c r="M3358" s="1" t="s">
        <v>78</v>
      </c>
      <c r="N3358" s="1" t="s">
        <v>79</v>
      </c>
      <c r="O3358" s="1" t="s">
        <v>74</v>
      </c>
      <c r="P3358" s="1" t="s">
        <v>74</v>
      </c>
      <c r="Q3358" s="1" t="s">
        <v>74</v>
      </c>
      <c r="R3358" s="1" t="s">
        <v>74</v>
      </c>
      <c r="S3358" s="1" t="s">
        <v>74</v>
      </c>
      <c r="T3358" s="1" t="s">
        <v>53314</v>
      </c>
      <c r="U3358" s="1" t="s">
        <v>53315</v>
      </c>
      <c r="V3358" s="1" t="s">
        <v>53316</v>
      </c>
      <c r="W3358" s="1" t="s">
        <v>53317</v>
      </c>
      <c r="X3358" s="1" t="s">
        <v>53318</v>
      </c>
      <c r="Y3358" s="1" t="s">
        <v>53319</v>
      </c>
      <c r="Z3358" s="1" t="s">
        <v>53320</v>
      </c>
      <c r="AA3358" s="1" t="s">
        <v>53321</v>
      </c>
      <c r="AB3358" s="1" t="s">
        <v>53322</v>
      </c>
      <c r="AC3358" s="1" t="s">
        <v>53323</v>
      </c>
      <c r="AD3358" s="1" t="s">
        <v>53324</v>
      </c>
      <c r="AE3358" s="1" t="s">
        <v>53325</v>
      </c>
      <c r="AF3358" s="1" t="s">
        <v>74</v>
      </c>
      <c r="AG3358" s="1">
        <v>99</v>
      </c>
      <c r="AH3358" s="1">
        <v>10</v>
      </c>
      <c r="AI3358" s="1">
        <v>10</v>
      </c>
      <c r="AJ3358" s="1">
        <v>2</v>
      </c>
      <c r="AK3358" s="1">
        <v>22</v>
      </c>
      <c r="AL3358" s="1" t="s">
        <v>136</v>
      </c>
      <c r="AM3358" s="1" t="s">
        <v>137</v>
      </c>
      <c r="AN3358" s="1" t="s">
        <v>138</v>
      </c>
      <c r="AO3358" s="1" t="s">
        <v>139</v>
      </c>
      <c r="AP3358" s="1" t="s">
        <v>140</v>
      </c>
      <c r="AQ3358" s="1" t="s">
        <v>74</v>
      </c>
      <c r="AR3358" s="1" t="s">
        <v>127</v>
      </c>
      <c r="AS3358" s="1" t="s">
        <v>141</v>
      </c>
      <c r="AT3358" s="1" t="s">
        <v>224</v>
      </c>
      <c r="AU3358" s="1">
        <v>2021</v>
      </c>
      <c r="AV3358" s="1">
        <v>264</v>
      </c>
      <c r="AW3358" s="1" t="s">
        <v>74</v>
      </c>
      <c r="AX3358" s="1">
        <v>1</v>
      </c>
      <c r="AY3358" s="1" t="s">
        <v>74</v>
      </c>
      <c r="AZ3358" s="1" t="s">
        <v>74</v>
      </c>
      <c r="BA3358" s="1" t="s">
        <v>74</v>
      </c>
      <c r="BB3358" s="1" t="s">
        <v>74</v>
      </c>
      <c r="BC3358" s="1" t="s">
        <v>74</v>
      </c>
      <c r="BD3358" s="1">
        <v>128448</v>
      </c>
      <c r="BE3358" s="1" t="s">
        <v>53326</v>
      </c>
      <c r="BF3358" s="1" t="str">
        <f>HYPERLINK("http://dx.doi.org/10.1016/j.chemosphere.2020.128448","http://dx.doi.org/10.1016/j.chemosphere.2020.128448")</f>
        <v>http://dx.doi.org/10.1016/j.chemosphere.2020.128448</v>
      </c>
      <c r="BG3358" s="1" t="s">
        <v>74</v>
      </c>
      <c r="BH3358" s="1" t="s">
        <v>74</v>
      </c>
      <c r="BI3358" s="1">
        <v>12</v>
      </c>
      <c r="BJ3358" s="1" t="s">
        <v>144</v>
      </c>
      <c r="BK3358" s="1" t="s">
        <v>96</v>
      </c>
      <c r="BL3358" s="1" t="s">
        <v>145</v>
      </c>
      <c r="BM3358" s="1" t="s">
        <v>53327</v>
      </c>
      <c r="BN3358" s="1">
        <v>33032223</v>
      </c>
      <c r="BO3358" s="1" t="s">
        <v>74</v>
      </c>
      <c r="BP3358" s="1" t="s">
        <v>74</v>
      </c>
      <c r="BQ3358" s="1" t="s">
        <v>74</v>
      </c>
      <c r="BR3358" s="1" t="s">
        <v>98</v>
      </c>
      <c r="BS3358" s="1" t="s">
        <v>53328</v>
      </c>
      <c r="BT3358" s="1" t="str">
        <f>HYPERLINK("https%3A%2F%2Fwww.webofscience.com%2Fwos%2Fwoscc%2Ffull-record%2FWOS:000599817400047","View Full Record in Web of Science")</f>
        <v>View Full Record in Web of Science</v>
      </c>
      <c r="BU3358" s="1"/>
      <c r="BV3358" s="1"/>
    </row>
    <row r="3359" spans="1:74">
      <c r="A3359" s="1" t="s">
        <v>72</v>
      </c>
      <c r="B3359" s="1" t="s">
        <v>53329</v>
      </c>
      <c r="C3359" s="1" t="s">
        <v>74</v>
      </c>
      <c r="D3359" s="1" t="s">
        <v>74</v>
      </c>
      <c r="E3359" s="1" t="s">
        <v>74</v>
      </c>
      <c r="F3359" s="1" t="s">
        <v>53330</v>
      </c>
      <c r="G3359" s="1" t="s">
        <v>74</v>
      </c>
      <c r="H3359" s="1" t="s">
        <v>74</v>
      </c>
      <c r="I3359" s="1" t="s">
        <v>53331</v>
      </c>
      <c r="J3359" s="1" t="s">
        <v>6608</v>
      </c>
      <c r="K3359" s="1" t="s">
        <v>74</v>
      </c>
      <c r="L3359" s="1" t="s">
        <v>74</v>
      </c>
      <c r="M3359" s="1" t="s">
        <v>78</v>
      </c>
      <c r="N3359" s="1" t="s">
        <v>79</v>
      </c>
      <c r="O3359" s="1" t="s">
        <v>74</v>
      </c>
      <c r="P3359" s="1" t="s">
        <v>74</v>
      </c>
      <c r="Q3359" s="1" t="s">
        <v>74</v>
      </c>
      <c r="R3359" s="1" t="s">
        <v>74</v>
      </c>
      <c r="S3359" s="1" t="s">
        <v>74</v>
      </c>
      <c r="T3359" s="1" t="s">
        <v>53332</v>
      </c>
      <c r="U3359" s="1" t="s">
        <v>53333</v>
      </c>
      <c r="V3359" s="1" t="s">
        <v>53334</v>
      </c>
      <c r="W3359" s="1" t="s">
        <v>53335</v>
      </c>
      <c r="X3359" s="1" t="s">
        <v>53336</v>
      </c>
      <c r="Y3359" s="1" t="s">
        <v>53337</v>
      </c>
      <c r="Z3359" s="1" t="s">
        <v>53338</v>
      </c>
      <c r="AA3359" s="1" t="s">
        <v>53339</v>
      </c>
      <c r="AB3359" s="1" t="s">
        <v>53340</v>
      </c>
      <c r="AC3359" s="1" t="s">
        <v>74</v>
      </c>
      <c r="AD3359" s="1" t="s">
        <v>74</v>
      </c>
      <c r="AE3359" s="1" t="s">
        <v>74</v>
      </c>
      <c r="AF3359" s="1" t="s">
        <v>74</v>
      </c>
      <c r="AG3359" s="1">
        <v>55</v>
      </c>
      <c r="AH3359" s="1">
        <v>2</v>
      </c>
      <c r="AI3359" s="1">
        <v>2</v>
      </c>
      <c r="AJ3359" s="1">
        <v>0</v>
      </c>
      <c r="AK3359" s="1">
        <v>6</v>
      </c>
      <c r="AL3359" s="1" t="s">
        <v>1566</v>
      </c>
      <c r="AM3359" s="1" t="s">
        <v>1567</v>
      </c>
      <c r="AN3359" s="1" t="s">
        <v>1568</v>
      </c>
      <c r="AO3359" s="1" t="s">
        <v>74</v>
      </c>
      <c r="AP3359" s="1" t="s">
        <v>6619</v>
      </c>
      <c r="AQ3359" s="1" t="s">
        <v>74</v>
      </c>
      <c r="AR3359" s="1" t="s">
        <v>6620</v>
      </c>
      <c r="AS3359" s="1" t="s">
        <v>6621</v>
      </c>
      <c r="AT3359" s="1" t="s">
        <v>1470</v>
      </c>
      <c r="AU3359" s="1">
        <v>2023</v>
      </c>
      <c r="AV3359" s="1">
        <v>15</v>
      </c>
      <c r="AW3359" s="1">
        <v>2</v>
      </c>
      <c r="AX3359" s="1" t="s">
        <v>74</v>
      </c>
      <c r="AY3359" s="1" t="s">
        <v>74</v>
      </c>
      <c r="AZ3359" s="1" t="s">
        <v>74</v>
      </c>
      <c r="BA3359" s="1" t="s">
        <v>74</v>
      </c>
      <c r="BB3359" s="1" t="s">
        <v>74</v>
      </c>
      <c r="BC3359" s="1" t="s">
        <v>74</v>
      </c>
      <c r="BD3359" s="1">
        <v>248</v>
      </c>
      <c r="BE3359" s="1" t="s">
        <v>53341</v>
      </c>
      <c r="BF3359" s="1" t="str">
        <f>HYPERLINK("http://dx.doi.org/10.3390/w15020248","http://dx.doi.org/10.3390/w15020248")</f>
        <v>http://dx.doi.org/10.3390/w15020248</v>
      </c>
      <c r="BG3359" s="1" t="s">
        <v>74</v>
      </c>
      <c r="BH3359" s="1" t="s">
        <v>74</v>
      </c>
      <c r="BI3359" s="1">
        <v>13</v>
      </c>
      <c r="BJ3359" s="1" t="s">
        <v>6623</v>
      </c>
      <c r="BK3359" s="1" t="s">
        <v>96</v>
      </c>
      <c r="BL3359" s="1" t="s">
        <v>6624</v>
      </c>
      <c r="BM3359" s="1" t="s">
        <v>53342</v>
      </c>
      <c r="BN3359" s="1" t="s">
        <v>74</v>
      </c>
      <c r="BO3359" s="1" t="s">
        <v>873</v>
      </c>
      <c r="BP3359" s="1" t="s">
        <v>74</v>
      </c>
      <c r="BQ3359" s="1" t="s">
        <v>74</v>
      </c>
      <c r="BR3359" s="1" t="s">
        <v>98</v>
      </c>
      <c r="BS3359" s="1" t="s">
        <v>53343</v>
      </c>
      <c r="BT3359" s="1" t="str">
        <f>HYPERLINK("https%3A%2F%2Fwww.webofscience.com%2Fwos%2Fwoscc%2Ffull-record%2FWOS:000916192000001","View Full Record in Web of Science")</f>
        <v>View Full Record in Web of Science</v>
      </c>
      <c r="BU3359" s="1"/>
      <c r="BV3359" s="1"/>
    </row>
    <row r="3360" spans="1:74">
      <c r="A3360" s="1" t="s">
        <v>72</v>
      </c>
      <c r="B3360" s="1" t="s">
        <v>53344</v>
      </c>
      <c r="C3360" s="1" t="s">
        <v>74</v>
      </c>
      <c r="D3360" s="1" t="s">
        <v>74</v>
      </c>
      <c r="E3360" s="1" t="s">
        <v>74</v>
      </c>
      <c r="F3360" s="1" t="s">
        <v>53345</v>
      </c>
      <c r="G3360" s="1" t="s">
        <v>74</v>
      </c>
      <c r="H3360" s="1" t="s">
        <v>74</v>
      </c>
      <c r="I3360" s="1" t="s">
        <v>53346</v>
      </c>
      <c r="J3360" s="1" t="s">
        <v>232</v>
      </c>
      <c r="K3360" s="1" t="s">
        <v>74</v>
      </c>
      <c r="L3360" s="1" t="s">
        <v>74</v>
      </c>
      <c r="M3360" s="1" t="s">
        <v>78</v>
      </c>
      <c r="N3360" s="1" t="s">
        <v>79</v>
      </c>
      <c r="O3360" s="1" t="s">
        <v>74</v>
      </c>
      <c r="P3360" s="1" t="s">
        <v>74</v>
      </c>
      <c r="Q3360" s="1" t="s">
        <v>74</v>
      </c>
      <c r="R3360" s="1" t="s">
        <v>74</v>
      </c>
      <c r="S3360" s="1" t="s">
        <v>74</v>
      </c>
      <c r="T3360" s="1" t="s">
        <v>53347</v>
      </c>
      <c r="U3360" s="1" t="s">
        <v>53348</v>
      </c>
      <c r="V3360" s="1" t="s">
        <v>53349</v>
      </c>
      <c r="W3360" s="1" t="s">
        <v>53350</v>
      </c>
      <c r="X3360" s="1" t="s">
        <v>42236</v>
      </c>
      <c r="Y3360" s="1" t="s">
        <v>53351</v>
      </c>
      <c r="Z3360" s="1" t="s">
        <v>53352</v>
      </c>
      <c r="AA3360" s="1" t="s">
        <v>74</v>
      </c>
      <c r="AB3360" s="1" t="s">
        <v>74</v>
      </c>
      <c r="AC3360" s="1" t="s">
        <v>53353</v>
      </c>
      <c r="AD3360" s="1" t="s">
        <v>53353</v>
      </c>
      <c r="AE3360" s="1" t="s">
        <v>53354</v>
      </c>
      <c r="AF3360" s="1" t="s">
        <v>74</v>
      </c>
      <c r="AG3360" s="1">
        <v>74</v>
      </c>
      <c r="AH3360" s="1">
        <v>0</v>
      </c>
      <c r="AI3360" s="1">
        <v>0</v>
      </c>
      <c r="AJ3360" s="1">
        <v>3</v>
      </c>
      <c r="AK3360" s="1">
        <v>3</v>
      </c>
      <c r="AL3360" s="1" t="s">
        <v>136</v>
      </c>
      <c r="AM3360" s="1" t="s">
        <v>137</v>
      </c>
      <c r="AN3360" s="1" t="s">
        <v>138</v>
      </c>
      <c r="AO3360" s="1" t="s">
        <v>240</v>
      </c>
      <c r="AP3360" s="1" t="s">
        <v>241</v>
      </c>
      <c r="AQ3360" s="1" t="s">
        <v>74</v>
      </c>
      <c r="AR3360" s="1" t="s">
        <v>242</v>
      </c>
      <c r="AS3360" s="1" t="s">
        <v>243</v>
      </c>
      <c r="AT3360" s="1" t="s">
        <v>305</v>
      </c>
      <c r="AU3360" s="1">
        <v>2024</v>
      </c>
      <c r="AV3360" s="1">
        <v>206</v>
      </c>
      <c r="AW3360" s="1" t="s">
        <v>74</v>
      </c>
      <c r="AX3360" s="1" t="s">
        <v>74</v>
      </c>
      <c r="AY3360" s="1" t="s">
        <v>74</v>
      </c>
      <c r="AZ3360" s="1" t="s">
        <v>74</v>
      </c>
      <c r="BA3360" s="1" t="s">
        <v>74</v>
      </c>
      <c r="BB3360" s="1" t="s">
        <v>74</v>
      </c>
      <c r="BC3360" s="1" t="s">
        <v>74</v>
      </c>
      <c r="BD3360" s="1">
        <v>116671</v>
      </c>
      <c r="BE3360" s="1" t="s">
        <v>53355</v>
      </c>
      <c r="BF3360" s="1" t="str">
        <f>HYPERLINK("http://dx.doi.org/10.1016/j.marpolbul.2024.116671","http://dx.doi.org/10.1016/j.marpolbul.2024.116671")</f>
        <v>http://dx.doi.org/10.1016/j.marpolbul.2024.116671</v>
      </c>
      <c r="BG3360" s="1" t="s">
        <v>74</v>
      </c>
      <c r="BH3360" s="1" t="s">
        <v>5962</v>
      </c>
      <c r="BI3360" s="1">
        <v>11</v>
      </c>
      <c r="BJ3360" s="1" t="s">
        <v>247</v>
      </c>
      <c r="BK3360" s="1" t="s">
        <v>96</v>
      </c>
      <c r="BL3360" s="1" t="s">
        <v>248</v>
      </c>
      <c r="BM3360" s="1" t="s">
        <v>53356</v>
      </c>
      <c r="BN3360" s="1">
        <v>39024907</v>
      </c>
      <c r="BO3360" s="1" t="s">
        <v>74</v>
      </c>
      <c r="BP3360" s="1" t="s">
        <v>74</v>
      </c>
      <c r="BQ3360" s="1" t="s">
        <v>74</v>
      </c>
      <c r="BR3360" s="1" t="s">
        <v>98</v>
      </c>
      <c r="BS3360" s="1" t="s">
        <v>53357</v>
      </c>
      <c r="BT3360" s="1" t="str">
        <f>HYPERLINK("https%3A%2F%2Fwww.webofscience.com%2Fwos%2Fwoscc%2Ffull-record%2FWOS:001274240700001","View Full Record in Web of Science")</f>
        <v>View Full Record in Web of Science</v>
      </c>
      <c r="BU3360" s="1"/>
      <c r="BV3360" s="1"/>
    </row>
    <row r="3361" spans="1:74">
      <c r="A3361" s="1" t="s">
        <v>72</v>
      </c>
      <c r="B3361" s="1" t="s">
        <v>53358</v>
      </c>
      <c r="C3361" s="1" t="s">
        <v>74</v>
      </c>
      <c r="D3361" s="1" t="s">
        <v>74</v>
      </c>
      <c r="E3361" s="1" t="s">
        <v>74</v>
      </c>
      <c r="F3361" s="1" t="s">
        <v>53359</v>
      </c>
      <c r="G3361" s="1" t="s">
        <v>74</v>
      </c>
      <c r="H3361" s="1" t="s">
        <v>74</v>
      </c>
      <c r="I3361" s="1" t="s">
        <v>53360</v>
      </c>
      <c r="J3361" s="1" t="s">
        <v>53361</v>
      </c>
      <c r="K3361" s="1" t="s">
        <v>74</v>
      </c>
      <c r="L3361" s="1" t="s">
        <v>74</v>
      </c>
      <c r="M3361" s="1" t="s">
        <v>78</v>
      </c>
      <c r="N3361" s="1" t="s">
        <v>79</v>
      </c>
      <c r="O3361" s="1" t="s">
        <v>74</v>
      </c>
      <c r="P3361" s="1" t="s">
        <v>74</v>
      </c>
      <c r="Q3361" s="1" t="s">
        <v>74</v>
      </c>
      <c r="R3361" s="1" t="s">
        <v>74</v>
      </c>
      <c r="S3361" s="1" t="s">
        <v>74</v>
      </c>
      <c r="T3361" s="1" t="s">
        <v>74</v>
      </c>
      <c r="U3361" s="1" t="s">
        <v>53362</v>
      </c>
      <c r="V3361" s="1" t="s">
        <v>53363</v>
      </c>
      <c r="W3361" s="1" t="s">
        <v>53364</v>
      </c>
      <c r="X3361" s="1" t="s">
        <v>19064</v>
      </c>
      <c r="Y3361" s="1" t="s">
        <v>53365</v>
      </c>
      <c r="Z3361" s="1" t="s">
        <v>53366</v>
      </c>
      <c r="AA3361" s="1" t="s">
        <v>74</v>
      </c>
      <c r="AB3361" s="1" t="s">
        <v>74</v>
      </c>
      <c r="AC3361" s="1" t="s">
        <v>53367</v>
      </c>
      <c r="AD3361" s="1" t="s">
        <v>53367</v>
      </c>
      <c r="AE3361" s="1" t="s">
        <v>53368</v>
      </c>
      <c r="AF3361" s="1" t="s">
        <v>74</v>
      </c>
      <c r="AG3361" s="1">
        <v>30</v>
      </c>
      <c r="AH3361" s="1">
        <v>226</v>
      </c>
      <c r="AI3361" s="1">
        <v>262</v>
      </c>
      <c r="AJ3361" s="1">
        <v>3</v>
      </c>
      <c r="AK3361" s="1">
        <v>361</v>
      </c>
      <c r="AL3361" s="1" t="s">
        <v>261</v>
      </c>
      <c r="AM3361" s="1" t="s">
        <v>262</v>
      </c>
      <c r="AN3361" s="1" t="s">
        <v>19471</v>
      </c>
      <c r="AO3361" s="1" t="s">
        <v>53369</v>
      </c>
      <c r="AP3361" s="1" t="s">
        <v>53370</v>
      </c>
      <c r="AQ3361" s="1" t="s">
        <v>74</v>
      </c>
      <c r="AR3361" s="1" t="s">
        <v>53371</v>
      </c>
      <c r="AS3361" s="1" t="s">
        <v>53372</v>
      </c>
      <c r="AT3361" s="1" t="s">
        <v>53373</v>
      </c>
      <c r="AU3361" s="1">
        <v>2017</v>
      </c>
      <c r="AV3361" s="1">
        <v>9</v>
      </c>
      <c r="AW3361" s="1">
        <v>9</v>
      </c>
      <c r="AX3361" s="1" t="s">
        <v>74</v>
      </c>
      <c r="AY3361" s="1" t="s">
        <v>74</v>
      </c>
      <c r="AZ3361" s="1" t="s">
        <v>74</v>
      </c>
      <c r="BA3361" s="1" t="s">
        <v>74</v>
      </c>
      <c r="BB3361" s="1">
        <v>1419</v>
      </c>
      <c r="BC3361" s="1">
        <v>1428</v>
      </c>
      <c r="BD3361" s="1" t="s">
        <v>74</v>
      </c>
      <c r="BE3361" s="1" t="s">
        <v>53374</v>
      </c>
      <c r="BF3361" s="1" t="str">
        <f>HYPERLINK("http://dx.doi.org/10.1039/c6ay02733d","http://dx.doi.org/10.1039/c6ay02733d")</f>
        <v>http://dx.doi.org/10.1039/c6ay02733d</v>
      </c>
      <c r="BG3361" s="1" t="s">
        <v>74</v>
      </c>
      <c r="BH3361" s="1" t="s">
        <v>74</v>
      </c>
      <c r="BI3361" s="1">
        <v>10</v>
      </c>
      <c r="BJ3361" s="1" t="s">
        <v>53375</v>
      </c>
      <c r="BK3361" s="1" t="s">
        <v>96</v>
      </c>
      <c r="BL3361" s="1" t="s">
        <v>53376</v>
      </c>
      <c r="BM3361" s="1" t="s">
        <v>53377</v>
      </c>
      <c r="BN3361" s="1" t="s">
        <v>74</v>
      </c>
      <c r="BO3361" s="1" t="s">
        <v>74</v>
      </c>
      <c r="BP3361" s="1" t="s">
        <v>74</v>
      </c>
      <c r="BQ3361" s="1" t="s">
        <v>74</v>
      </c>
      <c r="BR3361" s="1" t="s">
        <v>98</v>
      </c>
      <c r="BS3361" s="1" t="s">
        <v>53378</v>
      </c>
      <c r="BT3361" s="1" t="str">
        <f>HYPERLINK("https%3A%2F%2Fwww.webofscience.com%2Fwos%2Fwoscc%2Ffull-record%2FWOS:000395999600012","View Full Record in Web of Science")</f>
        <v>View Full Record in Web of Science</v>
      </c>
      <c r="BU3361" s="1"/>
      <c r="BV3361" s="1"/>
    </row>
    <row r="3362" spans="1:74">
      <c r="A3362" s="1" t="s">
        <v>72</v>
      </c>
      <c r="B3362" s="1" t="s">
        <v>53379</v>
      </c>
      <c r="C3362" s="1" t="s">
        <v>74</v>
      </c>
      <c r="D3362" s="1" t="s">
        <v>74</v>
      </c>
      <c r="E3362" s="1" t="s">
        <v>74</v>
      </c>
      <c r="F3362" s="1" t="s">
        <v>53380</v>
      </c>
      <c r="G3362" s="1" t="s">
        <v>74</v>
      </c>
      <c r="H3362" s="1" t="s">
        <v>74</v>
      </c>
      <c r="I3362" s="1" t="s">
        <v>53381</v>
      </c>
      <c r="J3362" s="1" t="s">
        <v>3349</v>
      </c>
      <c r="K3362" s="1" t="s">
        <v>74</v>
      </c>
      <c r="L3362" s="1" t="s">
        <v>74</v>
      </c>
      <c r="M3362" s="1" t="s">
        <v>78</v>
      </c>
      <c r="N3362" s="1" t="s">
        <v>79</v>
      </c>
      <c r="O3362" s="1" t="s">
        <v>74</v>
      </c>
      <c r="P3362" s="1" t="s">
        <v>74</v>
      </c>
      <c r="Q3362" s="1" t="s">
        <v>74</v>
      </c>
      <c r="R3362" s="1" t="s">
        <v>74</v>
      </c>
      <c r="S3362" s="1" t="s">
        <v>74</v>
      </c>
      <c r="T3362" s="1" t="s">
        <v>53382</v>
      </c>
      <c r="U3362" s="1" t="s">
        <v>53383</v>
      </c>
      <c r="V3362" s="1" t="s">
        <v>53384</v>
      </c>
      <c r="W3362" s="1" t="s">
        <v>53385</v>
      </c>
      <c r="X3362" s="1" t="s">
        <v>53386</v>
      </c>
      <c r="Y3362" s="1" t="s">
        <v>53387</v>
      </c>
      <c r="Z3362" s="1" t="s">
        <v>53388</v>
      </c>
      <c r="AA3362" s="1" t="s">
        <v>74</v>
      </c>
      <c r="AB3362" s="1" t="s">
        <v>74</v>
      </c>
      <c r="AC3362" s="1" t="s">
        <v>53389</v>
      </c>
      <c r="AD3362" s="1" t="s">
        <v>53390</v>
      </c>
      <c r="AE3362" s="1" t="s">
        <v>53391</v>
      </c>
      <c r="AF3362" s="1" t="s">
        <v>74</v>
      </c>
      <c r="AG3362" s="1">
        <v>42</v>
      </c>
      <c r="AH3362" s="1">
        <v>8</v>
      </c>
      <c r="AI3362" s="1">
        <v>9</v>
      </c>
      <c r="AJ3362" s="1">
        <v>0</v>
      </c>
      <c r="AK3362" s="1">
        <v>19</v>
      </c>
      <c r="AL3362" s="1" t="s">
        <v>3362</v>
      </c>
      <c r="AM3362" s="1" t="s">
        <v>3363</v>
      </c>
      <c r="AN3362" s="1" t="s">
        <v>3364</v>
      </c>
      <c r="AO3362" s="1" t="s">
        <v>3365</v>
      </c>
      <c r="AP3362" s="1" t="s">
        <v>3366</v>
      </c>
      <c r="AQ3362" s="1" t="s">
        <v>74</v>
      </c>
      <c r="AR3362" s="1" t="s">
        <v>3367</v>
      </c>
      <c r="AS3362" s="1" t="s">
        <v>3368</v>
      </c>
      <c r="AT3362" s="1" t="s">
        <v>305</v>
      </c>
      <c r="AU3362" s="1">
        <v>2009</v>
      </c>
      <c r="AV3362" s="1">
        <v>72</v>
      </c>
      <c r="AW3362" s="1">
        <v>6</v>
      </c>
      <c r="AX3362" s="1" t="s">
        <v>74</v>
      </c>
      <c r="AY3362" s="1" t="s">
        <v>74</v>
      </c>
      <c r="AZ3362" s="1" t="s">
        <v>74</v>
      </c>
      <c r="BA3362" s="1" t="s">
        <v>74</v>
      </c>
      <c r="BB3362" s="1">
        <v>1719</v>
      </c>
      <c r="BC3362" s="1">
        <v>1726</v>
      </c>
      <c r="BD3362" s="1" t="s">
        <v>74</v>
      </c>
      <c r="BE3362" s="1" t="s">
        <v>53392</v>
      </c>
      <c r="BF3362" s="1" t="str">
        <f>HYPERLINK("http://dx.doi.org/10.1016/j.ecoenv.2009.05.015","http://dx.doi.org/10.1016/j.ecoenv.2009.05.015")</f>
        <v>http://dx.doi.org/10.1016/j.ecoenv.2009.05.015</v>
      </c>
      <c r="BG3362" s="1" t="s">
        <v>74</v>
      </c>
      <c r="BH3362" s="1" t="s">
        <v>74</v>
      </c>
      <c r="BI3362" s="1">
        <v>8</v>
      </c>
      <c r="BJ3362" s="1" t="s">
        <v>121</v>
      </c>
      <c r="BK3362" s="1" t="s">
        <v>96</v>
      </c>
      <c r="BL3362" s="1" t="s">
        <v>122</v>
      </c>
      <c r="BM3362" s="1" t="s">
        <v>53393</v>
      </c>
      <c r="BN3362" s="1">
        <v>19539993</v>
      </c>
      <c r="BO3362" s="1" t="s">
        <v>74</v>
      </c>
      <c r="BP3362" s="1" t="s">
        <v>74</v>
      </c>
      <c r="BQ3362" s="1" t="s">
        <v>74</v>
      </c>
      <c r="BR3362" s="1" t="s">
        <v>98</v>
      </c>
      <c r="BS3362" s="1" t="s">
        <v>53394</v>
      </c>
      <c r="BT3362" s="1" t="str">
        <f>HYPERLINK("https%3A%2F%2Fwww.webofscience.com%2Fwos%2Fwoscc%2Ffull-record%2FWOS:000269395900013","View Full Record in Web of Science")</f>
        <v>View Full Record in Web of Science</v>
      </c>
      <c r="BU3362" s="1"/>
      <c r="BV3362" s="1"/>
    </row>
    <row r="3363" spans="1:74">
      <c r="A3363" s="1" t="s">
        <v>72</v>
      </c>
      <c r="B3363" s="1" t="s">
        <v>53395</v>
      </c>
      <c r="C3363" s="1" t="s">
        <v>74</v>
      </c>
      <c r="D3363" s="1" t="s">
        <v>74</v>
      </c>
      <c r="E3363" s="1" t="s">
        <v>74</v>
      </c>
      <c r="F3363" s="1" t="s">
        <v>53396</v>
      </c>
      <c r="G3363" s="1" t="s">
        <v>74</v>
      </c>
      <c r="H3363" s="1" t="s">
        <v>74</v>
      </c>
      <c r="I3363" s="1" t="s">
        <v>53397</v>
      </c>
      <c r="J3363" s="1" t="s">
        <v>421</v>
      </c>
      <c r="K3363" s="1" t="s">
        <v>74</v>
      </c>
      <c r="L3363" s="1" t="s">
        <v>74</v>
      </c>
      <c r="M3363" s="1" t="s">
        <v>78</v>
      </c>
      <c r="N3363" s="1" t="s">
        <v>79</v>
      </c>
      <c r="O3363" s="1" t="s">
        <v>74</v>
      </c>
      <c r="P3363" s="1" t="s">
        <v>74</v>
      </c>
      <c r="Q3363" s="1" t="s">
        <v>74</v>
      </c>
      <c r="R3363" s="1" t="s">
        <v>74</v>
      </c>
      <c r="S3363" s="1" t="s">
        <v>74</v>
      </c>
      <c r="T3363" s="1" t="s">
        <v>53398</v>
      </c>
      <c r="U3363" s="1" t="s">
        <v>53399</v>
      </c>
      <c r="V3363" s="1" t="s">
        <v>53400</v>
      </c>
      <c r="W3363" s="1" t="s">
        <v>53401</v>
      </c>
      <c r="X3363" s="1" t="s">
        <v>53402</v>
      </c>
      <c r="Y3363" s="1" t="s">
        <v>53403</v>
      </c>
      <c r="Z3363" s="1" t="s">
        <v>53404</v>
      </c>
      <c r="AA3363" s="1" t="s">
        <v>53405</v>
      </c>
      <c r="AB3363" s="1" t="s">
        <v>53406</v>
      </c>
      <c r="AC3363" s="1" t="s">
        <v>53407</v>
      </c>
      <c r="AD3363" s="1" t="s">
        <v>53408</v>
      </c>
      <c r="AE3363" s="1" t="s">
        <v>53409</v>
      </c>
      <c r="AF3363" s="1" t="s">
        <v>74</v>
      </c>
      <c r="AG3363" s="1">
        <v>92</v>
      </c>
      <c r="AH3363" s="1">
        <v>3</v>
      </c>
      <c r="AI3363" s="1">
        <v>3</v>
      </c>
      <c r="AJ3363" s="1">
        <v>13</v>
      </c>
      <c r="AK3363" s="1">
        <v>52</v>
      </c>
      <c r="AL3363" s="1" t="s">
        <v>430</v>
      </c>
      <c r="AM3363" s="1" t="s">
        <v>137</v>
      </c>
      <c r="AN3363" s="1" t="s">
        <v>431</v>
      </c>
      <c r="AO3363" s="1" t="s">
        <v>432</v>
      </c>
      <c r="AP3363" s="1" t="s">
        <v>1394</v>
      </c>
      <c r="AQ3363" s="1" t="s">
        <v>74</v>
      </c>
      <c r="AR3363" s="1" t="s">
        <v>433</v>
      </c>
      <c r="AS3363" s="1" t="s">
        <v>434</v>
      </c>
      <c r="AT3363" s="1" t="s">
        <v>1856</v>
      </c>
      <c r="AU3363" s="1">
        <v>2023</v>
      </c>
      <c r="AV3363" s="1">
        <v>331</v>
      </c>
      <c r="AW3363" s="1" t="s">
        <v>74</v>
      </c>
      <c r="AX3363" s="1">
        <v>2</v>
      </c>
      <c r="AY3363" s="1" t="s">
        <v>74</v>
      </c>
      <c r="AZ3363" s="1" t="s">
        <v>74</v>
      </c>
      <c r="BA3363" s="1" t="s">
        <v>74</v>
      </c>
      <c r="BB3363" s="1" t="s">
        <v>74</v>
      </c>
      <c r="BC3363" s="1" t="s">
        <v>74</v>
      </c>
      <c r="BD3363" s="1">
        <v>121938</v>
      </c>
      <c r="BE3363" s="1" t="s">
        <v>53410</v>
      </c>
      <c r="BF3363" s="1" t="str">
        <f>HYPERLINK("http://dx.doi.org/10.1016/j.envpol.2023.121938","http://dx.doi.org/10.1016/j.envpol.2023.121938")</f>
        <v>http://dx.doi.org/10.1016/j.envpol.2023.121938</v>
      </c>
      <c r="BG3363" s="1" t="s">
        <v>74</v>
      </c>
      <c r="BH3363" s="1" t="s">
        <v>767</v>
      </c>
      <c r="BI3363" s="1">
        <v>10</v>
      </c>
      <c r="BJ3363" s="1" t="s">
        <v>144</v>
      </c>
      <c r="BK3363" s="1" t="s">
        <v>96</v>
      </c>
      <c r="BL3363" s="1" t="s">
        <v>145</v>
      </c>
      <c r="BM3363" s="1" t="s">
        <v>53411</v>
      </c>
      <c r="BN3363" s="1">
        <v>37263566</v>
      </c>
      <c r="BO3363" s="1" t="s">
        <v>9583</v>
      </c>
      <c r="BP3363" s="1" t="s">
        <v>74</v>
      </c>
      <c r="BQ3363" s="1" t="s">
        <v>74</v>
      </c>
      <c r="BR3363" s="1" t="s">
        <v>98</v>
      </c>
      <c r="BS3363" s="1" t="s">
        <v>53412</v>
      </c>
      <c r="BT3363" s="1" t="str">
        <f>HYPERLINK("https%3A%2F%2Fwww.webofscience.com%2Fwos%2Fwoscc%2Ffull-record%2FWOS:001016539600001","View Full Record in Web of Science")</f>
        <v>View Full Record in Web of Science</v>
      </c>
      <c r="BU3363" s="1"/>
      <c r="BV3363" s="1"/>
    </row>
    <row r="3364" spans="1:74">
      <c r="A3364" s="1" t="s">
        <v>72</v>
      </c>
      <c r="B3364" s="1" t="s">
        <v>53413</v>
      </c>
      <c r="C3364" s="1" t="s">
        <v>74</v>
      </c>
      <c r="D3364" s="1" t="s">
        <v>74</v>
      </c>
      <c r="E3364" s="1" t="s">
        <v>74</v>
      </c>
      <c r="F3364" s="1" t="s">
        <v>53414</v>
      </c>
      <c r="G3364" s="1" t="s">
        <v>74</v>
      </c>
      <c r="H3364" s="1" t="s">
        <v>74</v>
      </c>
      <c r="I3364" s="1" t="s">
        <v>53415</v>
      </c>
      <c r="J3364" s="1" t="s">
        <v>53416</v>
      </c>
      <c r="K3364" s="1" t="s">
        <v>74</v>
      </c>
      <c r="L3364" s="1" t="s">
        <v>74</v>
      </c>
      <c r="M3364" s="1" t="s">
        <v>78</v>
      </c>
      <c r="N3364" s="1" t="s">
        <v>79</v>
      </c>
      <c r="O3364" s="1" t="s">
        <v>74</v>
      </c>
      <c r="P3364" s="1" t="s">
        <v>74</v>
      </c>
      <c r="Q3364" s="1" t="s">
        <v>74</v>
      </c>
      <c r="R3364" s="1" t="s">
        <v>74</v>
      </c>
      <c r="S3364" s="1" t="s">
        <v>74</v>
      </c>
      <c r="T3364" s="1" t="s">
        <v>53417</v>
      </c>
      <c r="U3364" s="1" t="s">
        <v>53418</v>
      </c>
      <c r="V3364" s="1" t="s">
        <v>53419</v>
      </c>
      <c r="W3364" s="1" t="s">
        <v>53420</v>
      </c>
      <c r="X3364" s="1" t="s">
        <v>53421</v>
      </c>
      <c r="Y3364" s="1" t="s">
        <v>53422</v>
      </c>
      <c r="Z3364" s="1" t="s">
        <v>53423</v>
      </c>
      <c r="AA3364" s="1" t="s">
        <v>53424</v>
      </c>
      <c r="AB3364" s="1" t="s">
        <v>53425</v>
      </c>
      <c r="AC3364" s="1" t="s">
        <v>53426</v>
      </c>
      <c r="AD3364" s="1" t="s">
        <v>53427</v>
      </c>
      <c r="AE3364" s="1" t="s">
        <v>53428</v>
      </c>
      <c r="AF3364" s="1" t="s">
        <v>74</v>
      </c>
      <c r="AG3364" s="1">
        <v>47</v>
      </c>
      <c r="AH3364" s="1">
        <v>62</v>
      </c>
      <c r="AI3364" s="1">
        <v>65</v>
      </c>
      <c r="AJ3364" s="1">
        <v>0</v>
      </c>
      <c r="AK3364" s="1">
        <v>25</v>
      </c>
      <c r="AL3364" s="1" t="s">
        <v>53429</v>
      </c>
      <c r="AM3364" s="1" t="s">
        <v>113</v>
      </c>
      <c r="AN3364" s="1" t="s">
        <v>53430</v>
      </c>
      <c r="AO3364" s="1" t="s">
        <v>53431</v>
      </c>
      <c r="AP3364" s="1" t="s">
        <v>53432</v>
      </c>
      <c r="AQ3364" s="1" t="s">
        <v>74</v>
      </c>
      <c r="AR3364" s="1" t="s">
        <v>53433</v>
      </c>
      <c r="AS3364" s="1" t="s">
        <v>53434</v>
      </c>
      <c r="AT3364" s="1" t="s">
        <v>3542</v>
      </c>
      <c r="AU3364" s="1">
        <v>2012</v>
      </c>
      <c r="AV3364" s="1">
        <v>186</v>
      </c>
      <c r="AW3364" s="1">
        <v>7</v>
      </c>
      <c r="AX3364" s="1" t="s">
        <v>74</v>
      </c>
      <c r="AY3364" s="1" t="s">
        <v>74</v>
      </c>
      <c r="AZ3364" s="1" t="s">
        <v>74</v>
      </c>
      <c r="BA3364" s="1" t="s">
        <v>74</v>
      </c>
      <c r="BB3364" s="1">
        <v>648</v>
      </c>
      <c r="BC3364" s="1">
        <v>656</v>
      </c>
      <c r="BD3364" s="1" t="s">
        <v>74</v>
      </c>
      <c r="BE3364" s="1" t="s">
        <v>53435</v>
      </c>
      <c r="BF3364" s="1" t="str">
        <f>HYPERLINK("http://dx.doi.org/10.1164/rccm.201204-0688OC","http://dx.doi.org/10.1164/rccm.201204-0688OC")</f>
        <v>http://dx.doi.org/10.1164/rccm.201204-0688OC</v>
      </c>
      <c r="BG3364" s="1" t="s">
        <v>74</v>
      </c>
      <c r="BH3364" s="1" t="s">
        <v>74</v>
      </c>
      <c r="BI3364" s="1">
        <v>9</v>
      </c>
      <c r="BJ3364" s="1" t="s">
        <v>53436</v>
      </c>
      <c r="BK3364" s="1" t="s">
        <v>96</v>
      </c>
      <c r="BL3364" s="1" t="s">
        <v>53437</v>
      </c>
      <c r="BM3364" s="1" t="s">
        <v>53438</v>
      </c>
      <c r="BN3364" s="1">
        <v>22822026</v>
      </c>
      <c r="BO3364" s="1" t="s">
        <v>1752</v>
      </c>
      <c r="BP3364" s="1" t="s">
        <v>74</v>
      </c>
      <c r="BQ3364" s="1" t="s">
        <v>74</v>
      </c>
      <c r="BR3364" s="1" t="s">
        <v>98</v>
      </c>
      <c r="BS3364" s="1" t="s">
        <v>53439</v>
      </c>
      <c r="BT3364" s="1" t="str">
        <f>HYPERLINK("https%3A%2F%2Fwww.webofscience.com%2Fwos%2Fwoscc%2Ffull-record%2FWOS:000309383600016","View Full Record in Web of Science")</f>
        <v>View Full Record in Web of Science</v>
      </c>
      <c r="BU3364" s="1"/>
      <c r="BV3364" s="1"/>
    </row>
    <row r="3365" spans="1:74">
      <c r="A3365" s="1" t="s">
        <v>72</v>
      </c>
      <c r="B3365" s="1" t="s">
        <v>53440</v>
      </c>
      <c r="C3365" s="1" t="s">
        <v>74</v>
      </c>
      <c r="D3365" s="1" t="s">
        <v>74</v>
      </c>
      <c r="E3365" s="1" t="s">
        <v>74</v>
      </c>
      <c r="F3365" s="1" t="s">
        <v>53440</v>
      </c>
      <c r="G3365" s="1" t="s">
        <v>74</v>
      </c>
      <c r="H3365" s="1" t="s">
        <v>74</v>
      </c>
      <c r="I3365" s="1" t="s">
        <v>53441</v>
      </c>
      <c r="J3365" s="1" t="s">
        <v>253</v>
      </c>
      <c r="K3365" s="1" t="s">
        <v>74</v>
      </c>
      <c r="L3365" s="1" t="s">
        <v>74</v>
      </c>
      <c r="M3365" s="1" t="s">
        <v>78</v>
      </c>
      <c r="N3365" s="1" t="s">
        <v>79</v>
      </c>
      <c r="O3365" s="1" t="s">
        <v>74</v>
      </c>
      <c r="P3365" s="1" t="s">
        <v>74</v>
      </c>
      <c r="Q3365" s="1" t="s">
        <v>74</v>
      </c>
      <c r="R3365" s="1" t="s">
        <v>74</v>
      </c>
      <c r="S3365" s="1" t="s">
        <v>74</v>
      </c>
      <c r="T3365" s="1" t="s">
        <v>74</v>
      </c>
      <c r="U3365" s="1" t="s">
        <v>53442</v>
      </c>
      <c r="V3365" s="1" t="s">
        <v>53443</v>
      </c>
      <c r="W3365" s="1" t="s">
        <v>53444</v>
      </c>
      <c r="X3365" s="1" t="s">
        <v>53445</v>
      </c>
      <c r="Y3365" s="1" t="s">
        <v>53446</v>
      </c>
      <c r="Z3365" s="1" t="s">
        <v>53447</v>
      </c>
      <c r="AA3365" s="1" t="s">
        <v>53448</v>
      </c>
      <c r="AB3365" s="1" t="s">
        <v>53449</v>
      </c>
      <c r="AC3365" s="1" t="s">
        <v>74</v>
      </c>
      <c r="AD3365" s="1" t="s">
        <v>74</v>
      </c>
      <c r="AE3365" s="1" t="s">
        <v>74</v>
      </c>
      <c r="AF3365" s="1" t="s">
        <v>74</v>
      </c>
      <c r="AG3365" s="1">
        <v>23</v>
      </c>
      <c r="AH3365" s="1">
        <v>15</v>
      </c>
      <c r="AI3365" s="1">
        <v>18</v>
      </c>
      <c r="AJ3365" s="1">
        <v>0</v>
      </c>
      <c r="AK3365" s="1">
        <v>13</v>
      </c>
      <c r="AL3365" s="1" t="s">
        <v>261</v>
      </c>
      <c r="AM3365" s="1" t="s">
        <v>262</v>
      </c>
      <c r="AN3365" s="1" t="s">
        <v>19471</v>
      </c>
      <c r="AO3365" s="1" t="s">
        <v>264</v>
      </c>
      <c r="AP3365" s="1" t="s">
        <v>20119</v>
      </c>
      <c r="AQ3365" s="1" t="s">
        <v>74</v>
      </c>
      <c r="AR3365" s="1" t="s">
        <v>265</v>
      </c>
      <c r="AS3365" s="1" t="s">
        <v>266</v>
      </c>
      <c r="AT3365" s="1" t="s">
        <v>74</v>
      </c>
      <c r="AU3365" s="1">
        <v>2005</v>
      </c>
      <c r="AV3365" s="1">
        <v>7</v>
      </c>
      <c r="AW3365" s="1">
        <v>3</v>
      </c>
      <c r="AX3365" s="1" t="s">
        <v>74</v>
      </c>
      <c r="AY3365" s="1" t="s">
        <v>74</v>
      </c>
      <c r="AZ3365" s="1" t="s">
        <v>74</v>
      </c>
      <c r="BA3365" s="1" t="s">
        <v>74</v>
      </c>
      <c r="BB3365" s="1">
        <v>203</v>
      </c>
      <c r="BC3365" s="1">
        <v>207</v>
      </c>
      <c r="BD3365" s="1" t="s">
        <v>74</v>
      </c>
      <c r="BE3365" s="1" t="s">
        <v>53450</v>
      </c>
      <c r="BF3365" s="1" t="str">
        <f>HYPERLINK("http://dx.doi.org/10.1039/b410717a","http://dx.doi.org/10.1039/b410717a")</f>
        <v>http://dx.doi.org/10.1039/b410717a</v>
      </c>
      <c r="BG3365" s="1" t="s">
        <v>74</v>
      </c>
      <c r="BH3365" s="1" t="s">
        <v>74</v>
      </c>
      <c r="BI3365" s="1">
        <v>5</v>
      </c>
      <c r="BJ3365" s="1" t="s">
        <v>269</v>
      </c>
      <c r="BK3365" s="1" t="s">
        <v>96</v>
      </c>
      <c r="BL3365" s="1" t="s">
        <v>270</v>
      </c>
      <c r="BM3365" s="1" t="s">
        <v>20122</v>
      </c>
      <c r="BN3365" s="1">
        <v>15735779</v>
      </c>
      <c r="BO3365" s="1" t="s">
        <v>74</v>
      </c>
      <c r="BP3365" s="1" t="s">
        <v>74</v>
      </c>
      <c r="BQ3365" s="1" t="s">
        <v>74</v>
      </c>
      <c r="BR3365" s="1" t="s">
        <v>98</v>
      </c>
      <c r="BS3365" s="1" t="s">
        <v>53451</v>
      </c>
      <c r="BT3365" s="1" t="str">
        <f>HYPERLINK("https%3A%2F%2Fwww.webofscience.com%2Fwos%2Fwoscc%2Ffull-record%2FWOS:000227284700003","View Full Record in Web of Science")</f>
        <v>View Full Record in Web of Science</v>
      </c>
      <c r="BU3365" s="1"/>
      <c r="BV3365" s="1"/>
    </row>
    <row r="3366" spans="1:74">
      <c r="A3366" s="1" t="s">
        <v>72</v>
      </c>
      <c r="B3366" s="1" t="s">
        <v>53452</v>
      </c>
      <c r="C3366" s="1" t="s">
        <v>74</v>
      </c>
      <c r="D3366" s="1" t="s">
        <v>74</v>
      </c>
      <c r="E3366" s="1" t="s">
        <v>74</v>
      </c>
      <c r="F3366" s="1" t="s">
        <v>53453</v>
      </c>
      <c r="G3366" s="1" t="s">
        <v>74</v>
      </c>
      <c r="H3366" s="1" t="s">
        <v>74</v>
      </c>
      <c r="I3366" s="1" t="s">
        <v>53454</v>
      </c>
      <c r="J3366" s="1" t="s">
        <v>421</v>
      </c>
      <c r="K3366" s="1" t="s">
        <v>74</v>
      </c>
      <c r="L3366" s="1" t="s">
        <v>74</v>
      </c>
      <c r="M3366" s="1" t="s">
        <v>78</v>
      </c>
      <c r="N3366" s="1" t="s">
        <v>79</v>
      </c>
      <c r="O3366" s="1" t="s">
        <v>74</v>
      </c>
      <c r="P3366" s="1" t="s">
        <v>74</v>
      </c>
      <c r="Q3366" s="1" t="s">
        <v>74</v>
      </c>
      <c r="R3366" s="1" t="s">
        <v>74</v>
      </c>
      <c r="S3366" s="1" t="s">
        <v>74</v>
      </c>
      <c r="T3366" s="1" t="s">
        <v>53455</v>
      </c>
      <c r="U3366" s="1" t="s">
        <v>53456</v>
      </c>
      <c r="V3366" s="1" t="s">
        <v>53457</v>
      </c>
      <c r="W3366" s="1" t="s">
        <v>53458</v>
      </c>
      <c r="X3366" s="1" t="s">
        <v>53459</v>
      </c>
      <c r="Y3366" s="1" t="s">
        <v>53460</v>
      </c>
      <c r="Z3366" s="1" t="s">
        <v>53461</v>
      </c>
      <c r="AA3366" s="1" t="s">
        <v>74</v>
      </c>
      <c r="AB3366" s="1" t="s">
        <v>53462</v>
      </c>
      <c r="AC3366" s="1" t="s">
        <v>74</v>
      </c>
      <c r="AD3366" s="1" t="s">
        <v>74</v>
      </c>
      <c r="AE3366" s="1" t="s">
        <v>74</v>
      </c>
      <c r="AF3366" s="1" t="s">
        <v>74</v>
      </c>
      <c r="AG3366" s="1">
        <v>70</v>
      </c>
      <c r="AH3366" s="1">
        <v>5</v>
      </c>
      <c r="AI3366" s="1">
        <v>5</v>
      </c>
      <c r="AJ3366" s="1">
        <v>1</v>
      </c>
      <c r="AK3366" s="1">
        <v>35</v>
      </c>
      <c r="AL3366" s="1" t="s">
        <v>430</v>
      </c>
      <c r="AM3366" s="1" t="s">
        <v>137</v>
      </c>
      <c r="AN3366" s="1" t="s">
        <v>431</v>
      </c>
      <c r="AO3366" s="1" t="s">
        <v>432</v>
      </c>
      <c r="AP3366" s="1" t="s">
        <v>1394</v>
      </c>
      <c r="AQ3366" s="1" t="s">
        <v>74</v>
      </c>
      <c r="AR3366" s="1" t="s">
        <v>433</v>
      </c>
      <c r="AS3366" s="1" t="s">
        <v>434</v>
      </c>
      <c r="AT3366" s="1" t="s">
        <v>1223</v>
      </c>
      <c r="AU3366" s="1">
        <v>2019</v>
      </c>
      <c r="AV3366" s="1">
        <v>246</v>
      </c>
      <c r="AW3366" s="1" t="s">
        <v>74</v>
      </c>
      <c r="AX3366" s="1" t="s">
        <v>74</v>
      </c>
      <c r="AY3366" s="1" t="s">
        <v>74</v>
      </c>
      <c r="AZ3366" s="1" t="s">
        <v>74</v>
      </c>
      <c r="BA3366" s="1" t="s">
        <v>74</v>
      </c>
      <c r="BB3366" s="1">
        <v>544</v>
      </c>
      <c r="BC3366" s="1">
        <v>551</v>
      </c>
      <c r="BD3366" s="1" t="s">
        <v>74</v>
      </c>
      <c r="BE3366" s="1" t="s">
        <v>53463</v>
      </c>
      <c r="BF3366" s="1" t="str">
        <f>HYPERLINK("http://dx.doi.org/10.1016/j.envpol.2018.12.057","http://dx.doi.org/10.1016/j.envpol.2018.12.057")</f>
        <v>http://dx.doi.org/10.1016/j.envpol.2018.12.057</v>
      </c>
      <c r="BG3366" s="1" t="s">
        <v>74</v>
      </c>
      <c r="BH3366" s="1" t="s">
        <v>74</v>
      </c>
      <c r="BI3366" s="1">
        <v>8</v>
      </c>
      <c r="BJ3366" s="1" t="s">
        <v>144</v>
      </c>
      <c r="BK3366" s="1" t="s">
        <v>96</v>
      </c>
      <c r="BL3366" s="1" t="s">
        <v>145</v>
      </c>
      <c r="BM3366" s="1" t="s">
        <v>53464</v>
      </c>
      <c r="BN3366" s="1">
        <v>30590324</v>
      </c>
      <c r="BO3366" s="1" t="s">
        <v>810</v>
      </c>
      <c r="BP3366" s="1" t="s">
        <v>74</v>
      </c>
      <c r="BQ3366" s="1" t="s">
        <v>74</v>
      </c>
      <c r="BR3366" s="1" t="s">
        <v>98</v>
      </c>
      <c r="BS3366" s="1" t="s">
        <v>53465</v>
      </c>
      <c r="BT3366" s="1" t="str">
        <f>HYPERLINK("https%3A%2F%2Fwww.webofscience.com%2Fwos%2Fwoscc%2Ffull-record%2FWOS:000458222100062","View Full Record in Web of Science")</f>
        <v>View Full Record in Web of Science</v>
      </c>
      <c r="BU3366" s="1"/>
      <c r="BV3366" s="1"/>
    </row>
    <row r="3367" spans="1:74">
      <c r="A3367" s="1" t="s">
        <v>72</v>
      </c>
      <c r="B3367" s="1" t="s">
        <v>53466</v>
      </c>
      <c r="C3367" s="1" t="s">
        <v>74</v>
      </c>
      <c r="D3367" s="1" t="s">
        <v>74</v>
      </c>
      <c r="E3367" s="1" t="s">
        <v>74</v>
      </c>
      <c r="F3367" s="1" t="s">
        <v>53466</v>
      </c>
      <c r="G3367" s="1" t="s">
        <v>74</v>
      </c>
      <c r="H3367" s="1" t="s">
        <v>74</v>
      </c>
      <c r="I3367" s="1" t="s">
        <v>53467</v>
      </c>
      <c r="J3367" s="1" t="s">
        <v>5592</v>
      </c>
      <c r="K3367" s="1" t="s">
        <v>74</v>
      </c>
      <c r="L3367" s="1" t="s">
        <v>74</v>
      </c>
      <c r="M3367" s="1" t="s">
        <v>78</v>
      </c>
      <c r="N3367" s="1" t="s">
        <v>79</v>
      </c>
      <c r="O3367" s="1" t="s">
        <v>74</v>
      </c>
      <c r="P3367" s="1" t="s">
        <v>74</v>
      </c>
      <c r="Q3367" s="1" t="s">
        <v>74</v>
      </c>
      <c r="R3367" s="1" t="s">
        <v>74</v>
      </c>
      <c r="S3367" s="1" t="s">
        <v>74</v>
      </c>
      <c r="T3367" s="1" t="s">
        <v>53468</v>
      </c>
      <c r="U3367" s="1" t="s">
        <v>53469</v>
      </c>
      <c r="V3367" s="1" t="s">
        <v>53470</v>
      </c>
      <c r="W3367" s="1" t="s">
        <v>53471</v>
      </c>
      <c r="X3367" s="1" t="s">
        <v>21471</v>
      </c>
      <c r="Y3367" s="1" t="s">
        <v>53472</v>
      </c>
      <c r="Z3367" s="1" t="s">
        <v>74</v>
      </c>
      <c r="AA3367" s="1" t="s">
        <v>74</v>
      </c>
      <c r="AB3367" s="1" t="s">
        <v>74</v>
      </c>
      <c r="AC3367" s="1" t="s">
        <v>74</v>
      </c>
      <c r="AD3367" s="1" t="s">
        <v>74</v>
      </c>
      <c r="AE3367" s="1" t="s">
        <v>74</v>
      </c>
      <c r="AF3367" s="1" t="s">
        <v>74</v>
      </c>
      <c r="AG3367" s="1">
        <v>54</v>
      </c>
      <c r="AH3367" s="1">
        <v>6</v>
      </c>
      <c r="AI3367" s="1">
        <v>7</v>
      </c>
      <c r="AJ3367" s="1">
        <v>0</v>
      </c>
      <c r="AK3367" s="1">
        <v>6</v>
      </c>
      <c r="AL3367" s="1" t="s">
        <v>51706</v>
      </c>
      <c r="AM3367" s="1" t="s">
        <v>286</v>
      </c>
      <c r="AN3367" s="1" t="s">
        <v>287</v>
      </c>
      <c r="AO3367" s="1" t="s">
        <v>5605</v>
      </c>
      <c r="AP3367" s="1" t="s">
        <v>74</v>
      </c>
      <c r="AQ3367" s="1" t="s">
        <v>74</v>
      </c>
      <c r="AR3367" s="1" t="s">
        <v>5607</v>
      </c>
      <c r="AS3367" s="1" t="s">
        <v>5608</v>
      </c>
      <c r="AT3367" s="1" t="s">
        <v>224</v>
      </c>
      <c r="AU3367" s="1">
        <v>2003</v>
      </c>
      <c r="AV3367" s="1">
        <v>56</v>
      </c>
      <c r="AW3367" s="1">
        <v>2</v>
      </c>
      <c r="AX3367" s="1" t="s">
        <v>74</v>
      </c>
      <c r="AY3367" s="1" t="s">
        <v>74</v>
      </c>
      <c r="AZ3367" s="1" t="s">
        <v>74</v>
      </c>
      <c r="BA3367" s="1" t="s">
        <v>74</v>
      </c>
      <c r="BB3367" s="1">
        <v>355</v>
      </c>
      <c r="BC3367" s="1">
        <v>368</v>
      </c>
      <c r="BD3367" s="1" t="s">
        <v>74</v>
      </c>
      <c r="BE3367" s="1" t="s">
        <v>53473</v>
      </c>
      <c r="BF3367" s="1" t="str">
        <f>HYPERLINK("http://dx.doi.org/10.1016/S0272-7714(02)00188-9","http://dx.doi.org/10.1016/S0272-7714(02)00188-9")</f>
        <v>http://dx.doi.org/10.1016/S0272-7714(02)00188-9</v>
      </c>
      <c r="BG3367" s="1" t="s">
        <v>74</v>
      </c>
      <c r="BH3367" s="1" t="s">
        <v>74</v>
      </c>
      <c r="BI3367" s="1">
        <v>14</v>
      </c>
      <c r="BJ3367" s="1" t="s">
        <v>4241</v>
      </c>
      <c r="BK3367" s="1" t="s">
        <v>96</v>
      </c>
      <c r="BL3367" s="1" t="s">
        <v>4241</v>
      </c>
      <c r="BM3367" s="1" t="s">
        <v>53474</v>
      </c>
      <c r="BN3367" s="1" t="s">
        <v>74</v>
      </c>
      <c r="BO3367" s="1" t="s">
        <v>74</v>
      </c>
      <c r="BP3367" s="1" t="s">
        <v>74</v>
      </c>
      <c r="BQ3367" s="1" t="s">
        <v>74</v>
      </c>
      <c r="BR3367" s="1" t="s">
        <v>98</v>
      </c>
      <c r="BS3367" s="1" t="s">
        <v>53475</v>
      </c>
      <c r="BT3367" s="1" t="str">
        <f>HYPERLINK("https%3A%2F%2Fwww.webofscience.com%2Fwos%2Fwoscc%2Ffull-record%2FWOS:000182023900016","View Full Record in Web of Science")</f>
        <v>View Full Record in Web of Science</v>
      </c>
      <c r="BU3367" s="1"/>
      <c r="BV3367" s="1"/>
    </row>
    <row r="3368" spans="1:74">
      <c r="A3368" s="1" t="s">
        <v>72</v>
      </c>
      <c r="B3368" s="1" t="s">
        <v>53476</v>
      </c>
      <c r="C3368" s="1" t="s">
        <v>74</v>
      </c>
      <c r="D3368" s="1" t="s">
        <v>74</v>
      </c>
      <c r="E3368" s="1" t="s">
        <v>74</v>
      </c>
      <c r="F3368" s="1" t="s">
        <v>53477</v>
      </c>
      <c r="G3368" s="1" t="s">
        <v>74</v>
      </c>
      <c r="H3368" s="1" t="s">
        <v>74</v>
      </c>
      <c r="I3368" s="1" t="s">
        <v>53478</v>
      </c>
      <c r="J3368" s="1" t="s">
        <v>2063</v>
      </c>
      <c r="K3368" s="1" t="s">
        <v>74</v>
      </c>
      <c r="L3368" s="1" t="s">
        <v>74</v>
      </c>
      <c r="M3368" s="1" t="s">
        <v>78</v>
      </c>
      <c r="N3368" s="1" t="s">
        <v>79</v>
      </c>
      <c r="O3368" s="1" t="s">
        <v>74</v>
      </c>
      <c r="P3368" s="1" t="s">
        <v>74</v>
      </c>
      <c r="Q3368" s="1" t="s">
        <v>74</v>
      </c>
      <c r="R3368" s="1" t="s">
        <v>74</v>
      </c>
      <c r="S3368" s="1" t="s">
        <v>74</v>
      </c>
      <c r="T3368" s="1" t="s">
        <v>53479</v>
      </c>
      <c r="U3368" s="1" t="s">
        <v>53480</v>
      </c>
      <c r="V3368" s="1" t="s">
        <v>53481</v>
      </c>
      <c r="W3368" s="1" t="s">
        <v>29119</v>
      </c>
      <c r="X3368" s="1" t="s">
        <v>29120</v>
      </c>
      <c r="Y3368" s="1" t="s">
        <v>53482</v>
      </c>
      <c r="Z3368" s="1" t="s">
        <v>53483</v>
      </c>
      <c r="AA3368" s="1" t="s">
        <v>53484</v>
      </c>
      <c r="AB3368" s="1" t="s">
        <v>29124</v>
      </c>
      <c r="AC3368" s="1" t="s">
        <v>74</v>
      </c>
      <c r="AD3368" s="1" t="s">
        <v>74</v>
      </c>
      <c r="AE3368" s="1" t="s">
        <v>74</v>
      </c>
      <c r="AF3368" s="1" t="s">
        <v>74</v>
      </c>
      <c r="AG3368" s="1">
        <v>36</v>
      </c>
      <c r="AH3368" s="1">
        <v>0</v>
      </c>
      <c r="AI3368" s="1">
        <v>0</v>
      </c>
      <c r="AJ3368" s="1">
        <v>0</v>
      </c>
      <c r="AK3368" s="1">
        <v>9</v>
      </c>
      <c r="AL3368" s="1" t="s">
        <v>2074</v>
      </c>
      <c r="AM3368" s="1" t="s">
        <v>2075</v>
      </c>
      <c r="AN3368" s="1" t="s">
        <v>2076</v>
      </c>
      <c r="AO3368" s="1" t="s">
        <v>2077</v>
      </c>
      <c r="AP3368" s="1" t="s">
        <v>2078</v>
      </c>
      <c r="AQ3368" s="1" t="s">
        <v>74</v>
      </c>
      <c r="AR3368" s="1" t="s">
        <v>2079</v>
      </c>
      <c r="AS3368" s="1" t="s">
        <v>2080</v>
      </c>
      <c r="AT3368" s="1" t="s">
        <v>224</v>
      </c>
      <c r="AU3368" s="1">
        <v>2007</v>
      </c>
      <c r="AV3368" s="1">
        <v>23</v>
      </c>
      <c r="AW3368" s="1">
        <v>1</v>
      </c>
      <c r="AX3368" s="1" t="s">
        <v>74</v>
      </c>
      <c r="AY3368" s="1" t="s">
        <v>74</v>
      </c>
      <c r="AZ3368" s="1" t="s">
        <v>74</v>
      </c>
      <c r="BA3368" s="1" t="s">
        <v>74</v>
      </c>
      <c r="BB3368" s="1">
        <v>63</v>
      </c>
      <c r="BC3368" s="1">
        <v>72</v>
      </c>
      <c r="BD3368" s="1" t="s">
        <v>74</v>
      </c>
      <c r="BE3368" s="1" t="s">
        <v>53485</v>
      </c>
      <c r="BF3368" s="1" t="str">
        <f>HYPERLINK("http://dx.doi.org/10.1080/02757540601083872","http://dx.doi.org/10.1080/02757540601083872")</f>
        <v>http://dx.doi.org/10.1080/02757540601083872</v>
      </c>
      <c r="BG3368" s="1" t="s">
        <v>74</v>
      </c>
      <c r="BH3368" s="1" t="s">
        <v>74</v>
      </c>
      <c r="BI3368" s="1">
        <v>10</v>
      </c>
      <c r="BJ3368" s="1" t="s">
        <v>2083</v>
      </c>
      <c r="BK3368" s="1" t="s">
        <v>96</v>
      </c>
      <c r="BL3368" s="1" t="s">
        <v>2084</v>
      </c>
      <c r="BM3368" s="1" t="s">
        <v>53486</v>
      </c>
      <c r="BN3368" s="1" t="s">
        <v>74</v>
      </c>
      <c r="BO3368" s="1" t="s">
        <v>74</v>
      </c>
      <c r="BP3368" s="1" t="s">
        <v>74</v>
      </c>
      <c r="BQ3368" s="1" t="s">
        <v>74</v>
      </c>
      <c r="BR3368" s="1" t="s">
        <v>98</v>
      </c>
      <c r="BS3368" s="1" t="s">
        <v>53487</v>
      </c>
      <c r="BT3368" s="1" t="str">
        <f>HYPERLINK("https%3A%2F%2Fwww.webofscience.com%2Fwos%2Fwoscc%2Ffull-record%2FWOS:000244694300005","View Full Record in Web of Science")</f>
        <v>View Full Record in Web of Science</v>
      </c>
      <c r="BU3368" s="1"/>
      <c r="BV3368" s="1"/>
    </row>
    <row r="3369" spans="1:74">
      <c r="A3369" s="1" t="s">
        <v>72</v>
      </c>
      <c r="B3369" s="1" t="s">
        <v>53488</v>
      </c>
      <c r="C3369" s="1" t="s">
        <v>74</v>
      </c>
      <c r="D3369" s="1" t="s">
        <v>74</v>
      </c>
      <c r="E3369" s="1" t="s">
        <v>74</v>
      </c>
      <c r="F3369" s="1" t="s">
        <v>53489</v>
      </c>
      <c r="G3369" s="1" t="s">
        <v>74</v>
      </c>
      <c r="H3369" s="1" t="s">
        <v>74</v>
      </c>
      <c r="I3369" s="1" t="s">
        <v>53490</v>
      </c>
      <c r="J3369" s="1" t="s">
        <v>48595</v>
      </c>
      <c r="K3369" s="1" t="s">
        <v>74</v>
      </c>
      <c r="L3369" s="1" t="s">
        <v>74</v>
      </c>
      <c r="M3369" s="1" t="s">
        <v>78</v>
      </c>
      <c r="N3369" s="1" t="s">
        <v>79</v>
      </c>
      <c r="O3369" s="1" t="s">
        <v>74</v>
      </c>
      <c r="P3369" s="1" t="s">
        <v>74</v>
      </c>
      <c r="Q3369" s="1" t="s">
        <v>74</v>
      </c>
      <c r="R3369" s="1" t="s">
        <v>74</v>
      </c>
      <c r="S3369" s="1" t="s">
        <v>74</v>
      </c>
      <c r="T3369" s="1" t="s">
        <v>74</v>
      </c>
      <c r="U3369" s="1" t="s">
        <v>53491</v>
      </c>
      <c r="V3369" s="1" t="s">
        <v>53492</v>
      </c>
      <c r="W3369" s="1" t="s">
        <v>53493</v>
      </c>
      <c r="X3369" s="1" t="s">
        <v>53494</v>
      </c>
      <c r="Y3369" s="1" t="s">
        <v>52453</v>
      </c>
      <c r="Z3369" s="1" t="s">
        <v>52454</v>
      </c>
      <c r="AA3369" s="1" t="s">
        <v>53495</v>
      </c>
      <c r="AB3369" s="1" t="s">
        <v>53496</v>
      </c>
      <c r="AC3369" s="1" t="s">
        <v>53497</v>
      </c>
      <c r="AD3369" s="1" t="s">
        <v>53498</v>
      </c>
      <c r="AE3369" s="1" t="s">
        <v>53499</v>
      </c>
      <c r="AF3369" s="1" t="s">
        <v>74</v>
      </c>
      <c r="AG3369" s="1">
        <v>87</v>
      </c>
      <c r="AH3369" s="1">
        <v>27</v>
      </c>
      <c r="AI3369" s="1">
        <v>27</v>
      </c>
      <c r="AJ3369" s="1">
        <v>0</v>
      </c>
      <c r="AK3369" s="1">
        <v>17</v>
      </c>
      <c r="AL3369" s="1" t="s">
        <v>21002</v>
      </c>
      <c r="AM3369" s="1" t="s">
        <v>21003</v>
      </c>
      <c r="AN3369" s="1" t="s">
        <v>21004</v>
      </c>
      <c r="AO3369" s="1" t="s">
        <v>48607</v>
      </c>
      <c r="AP3369" s="1" t="s">
        <v>48608</v>
      </c>
      <c r="AQ3369" s="1" t="s">
        <v>74</v>
      </c>
      <c r="AR3369" s="1" t="s">
        <v>48609</v>
      </c>
      <c r="AS3369" s="1" t="s">
        <v>48610</v>
      </c>
      <c r="AT3369" s="1" t="s">
        <v>53500</v>
      </c>
      <c r="AU3369" s="1">
        <v>2020</v>
      </c>
      <c r="AV3369" s="1">
        <v>20</v>
      </c>
      <c r="AW3369" s="1">
        <v>22</v>
      </c>
      <c r="AX3369" s="1" t="s">
        <v>74</v>
      </c>
      <c r="AY3369" s="1" t="s">
        <v>74</v>
      </c>
      <c r="AZ3369" s="1" t="s">
        <v>74</v>
      </c>
      <c r="BA3369" s="1" t="s">
        <v>74</v>
      </c>
      <c r="BB3369" s="1">
        <v>14273</v>
      </c>
      <c r="BC3369" s="1">
        <v>14302</v>
      </c>
      <c r="BD3369" s="1" t="s">
        <v>74</v>
      </c>
      <c r="BE3369" s="1" t="s">
        <v>53501</v>
      </c>
      <c r="BF3369" s="1" t="str">
        <f>HYPERLINK("http://dx.doi.org/10.5194/acp-20-14273-2020","http://dx.doi.org/10.5194/acp-20-14273-2020")</f>
        <v>http://dx.doi.org/10.5194/acp-20-14273-2020</v>
      </c>
      <c r="BG3369" s="1" t="s">
        <v>74</v>
      </c>
      <c r="BH3369" s="1" t="s">
        <v>74</v>
      </c>
      <c r="BI3369" s="1">
        <v>30</v>
      </c>
      <c r="BJ3369" s="1" t="s">
        <v>48612</v>
      </c>
      <c r="BK3369" s="1" t="s">
        <v>96</v>
      </c>
      <c r="BL3369" s="1" t="s">
        <v>48613</v>
      </c>
      <c r="BM3369" s="1" t="s">
        <v>53502</v>
      </c>
      <c r="BN3369" s="1" t="s">
        <v>74</v>
      </c>
      <c r="BO3369" s="1" t="s">
        <v>53503</v>
      </c>
      <c r="BP3369" s="1" t="s">
        <v>74</v>
      </c>
      <c r="BQ3369" s="1" t="s">
        <v>74</v>
      </c>
      <c r="BR3369" s="1" t="s">
        <v>98</v>
      </c>
      <c r="BS3369" s="1" t="s">
        <v>53504</v>
      </c>
      <c r="BT3369" s="1" t="str">
        <f>HYPERLINK("https%3A%2F%2Fwww.webofscience.com%2Fwos%2Fwoscc%2Ffull-record%2FWOS:000591833100002","View Full Record in Web of Science")</f>
        <v>View Full Record in Web of Science</v>
      </c>
      <c r="BU3369" s="1"/>
      <c r="BV3369" s="1"/>
    </row>
    <row r="3370" spans="1:74">
      <c r="A3370" s="1" t="s">
        <v>72</v>
      </c>
      <c r="B3370" s="1" t="s">
        <v>53505</v>
      </c>
      <c r="C3370" s="1" t="s">
        <v>74</v>
      </c>
      <c r="D3370" s="1" t="s">
        <v>74</v>
      </c>
      <c r="E3370" s="1" t="s">
        <v>74</v>
      </c>
      <c r="F3370" s="1" t="s">
        <v>53506</v>
      </c>
      <c r="G3370" s="1" t="s">
        <v>74</v>
      </c>
      <c r="H3370" s="1" t="s">
        <v>74</v>
      </c>
      <c r="I3370" s="1" t="s">
        <v>53507</v>
      </c>
      <c r="J3370" s="1" t="s">
        <v>53508</v>
      </c>
      <c r="K3370" s="1" t="s">
        <v>74</v>
      </c>
      <c r="L3370" s="1" t="s">
        <v>74</v>
      </c>
      <c r="M3370" s="1" t="s">
        <v>78</v>
      </c>
      <c r="N3370" s="1" t="s">
        <v>79</v>
      </c>
      <c r="O3370" s="1" t="s">
        <v>74</v>
      </c>
      <c r="P3370" s="1" t="s">
        <v>74</v>
      </c>
      <c r="Q3370" s="1" t="s">
        <v>74</v>
      </c>
      <c r="R3370" s="1" t="s">
        <v>74</v>
      </c>
      <c r="S3370" s="1" t="s">
        <v>74</v>
      </c>
      <c r="T3370" s="1" t="s">
        <v>53509</v>
      </c>
      <c r="U3370" s="1" t="s">
        <v>53510</v>
      </c>
      <c r="V3370" s="1" t="s">
        <v>53511</v>
      </c>
      <c r="W3370" s="1" t="s">
        <v>53512</v>
      </c>
      <c r="X3370" s="1" t="s">
        <v>53513</v>
      </c>
      <c r="Y3370" s="1" t="s">
        <v>53514</v>
      </c>
      <c r="Z3370" s="1" t="s">
        <v>53515</v>
      </c>
      <c r="AA3370" s="1" t="s">
        <v>74</v>
      </c>
      <c r="AB3370" s="1" t="s">
        <v>53516</v>
      </c>
      <c r="AC3370" s="1" t="s">
        <v>74</v>
      </c>
      <c r="AD3370" s="1" t="s">
        <v>74</v>
      </c>
      <c r="AE3370" s="1" t="s">
        <v>74</v>
      </c>
      <c r="AF3370" s="1" t="s">
        <v>74</v>
      </c>
      <c r="AG3370" s="1">
        <v>67</v>
      </c>
      <c r="AH3370" s="1">
        <v>6</v>
      </c>
      <c r="AI3370" s="1">
        <v>6</v>
      </c>
      <c r="AJ3370" s="1">
        <v>0</v>
      </c>
      <c r="AK3370" s="1">
        <v>23</v>
      </c>
      <c r="AL3370" s="1" t="s">
        <v>430</v>
      </c>
      <c r="AM3370" s="1" t="s">
        <v>137</v>
      </c>
      <c r="AN3370" s="1" t="s">
        <v>431</v>
      </c>
      <c r="AO3370" s="1" t="s">
        <v>53517</v>
      </c>
      <c r="AP3370" s="1" t="s">
        <v>74</v>
      </c>
      <c r="AQ3370" s="1" t="s">
        <v>74</v>
      </c>
      <c r="AR3370" s="1" t="s">
        <v>53518</v>
      </c>
      <c r="AS3370" s="1" t="s">
        <v>53519</v>
      </c>
      <c r="AT3370" s="1" t="s">
        <v>1223</v>
      </c>
      <c r="AU3370" s="1">
        <v>2014</v>
      </c>
      <c r="AV3370" s="1">
        <v>40</v>
      </c>
      <c r="AW3370" s="1">
        <v>1</v>
      </c>
      <c r="AX3370" s="1" t="s">
        <v>74</v>
      </c>
      <c r="AY3370" s="1" t="s">
        <v>74</v>
      </c>
      <c r="AZ3370" s="1" t="s">
        <v>74</v>
      </c>
      <c r="BA3370" s="1" t="s">
        <v>74</v>
      </c>
      <c r="BB3370" s="1">
        <v>80</v>
      </c>
      <c r="BC3370" s="1">
        <v>91</v>
      </c>
      <c r="BD3370" s="1" t="s">
        <v>74</v>
      </c>
      <c r="BE3370" s="1" t="s">
        <v>53520</v>
      </c>
      <c r="BF3370" s="1" t="str">
        <f>HYPERLINK("http://dx.doi.org/10.1016/j.jglr.2013.12.016","http://dx.doi.org/10.1016/j.jglr.2013.12.016")</f>
        <v>http://dx.doi.org/10.1016/j.jglr.2013.12.016</v>
      </c>
      <c r="BG3370" s="1" t="s">
        <v>74</v>
      </c>
      <c r="BH3370" s="1" t="s">
        <v>74</v>
      </c>
      <c r="BI3370" s="1">
        <v>12</v>
      </c>
      <c r="BJ3370" s="1" t="s">
        <v>53521</v>
      </c>
      <c r="BK3370" s="1" t="s">
        <v>96</v>
      </c>
      <c r="BL3370" s="1" t="s">
        <v>248</v>
      </c>
      <c r="BM3370" s="1" t="s">
        <v>53522</v>
      </c>
      <c r="BN3370" s="1" t="s">
        <v>74</v>
      </c>
      <c r="BO3370" s="1" t="s">
        <v>74</v>
      </c>
      <c r="BP3370" s="1" t="s">
        <v>74</v>
      </c>
      <c r="BQ3370" s="1" t="s">
        <v>74</v>
      </c>
      <c r="BR3370" s="1" t="s">
        <v>98</v>
      </c>
      <c r="BS3370" s="1" t="s">
        <v>53523</v>
      </c>
      <c r="BT3370" s="1" t="str">
        <f>HYPERLINK("https%3A%2F%2Fwww.webofscience.com%2Fwos%2Fwoscc%2Ffull-record%2FWOS:000333549100009","View Full Record in Web of Science")</f>
        <v>View Full Record in Web of Science</v>
      </c>
      <c r="BU3370" s="1"/>
      <c r="BV3370" s="1"/>
    </row>
    <row r="3371" spans="1:74">
      <c r="A3371" s="1" t="s">
        <v>72</v>
      </c>
      <c r="B3371" s="1" t="s">
        <v>53524</v>
      </c>
      <c r="C3371" s="1" t="s">
        <v>74</v>
      </c>
      <c r="D3371" s="1" t="s">
        <v>74</v>
      </c>
      <c r="E3371" s="1" t="s">
        <v>74</v>
      </c>
      <c r="F3371" s="1" t="s">
        <v>53525</v>
      </c>
      <c r="G3371" s="1" t="s">
        <v>74</v>
      </c>
      <c r="H3371" s="1" t="s">
        <v>74</v>
      </c>
      <c r="I3371" s="1" t="s">
        <v>53526</v>
      </c>
      <c r="J3371" s="1" t="s">
        <v>53527</v>
      </c>
      <c r="K3371" s="1" t="s">
        <v>74</v>
      </c>
      <c r="L3371" s="1" t="s">
        <v>74</v>
      </c>
      <c r="M3371" s="1" t="s">
        <v>78</v>
      </c>
      <c r="N3371" s="1" t="s">
        <v>79</v>
      </c>
      <c r="O3371" s="1" t="s">
        <v>74</v>
      </c>
      <c r="P3371" s="1" t="s">
        <v>74</v>
      </c>
      <c r="Q3371" s="1" t="s">
        <v>74</v>
      </c>
      <c r="R3371" s="1" t="s">
        <v>74</v>
      </c>
      <c r="S3371" s="1" t="s">
        <v>74</v>
      </c>
      <c r="T3371" s="1" t="s">
        <v>53528</v>
      </c>
      <c r="U3371" s="1" t="s">
        <v>53529</v>
      </c>
      <c r="V3371" s="1" t="s">
        <v>53530</v>
      </c>
      <c r="W3371" s="1" t="s">
        <v>53531</v>
      </c>
      <c r="X3371" s="1" t="s">
        <v>53532</v>
      </c>
      <c r="Y3371" s="1" t="s">
        <v>53533</v>
      </c>
      <c r="Z3371" s="1" t="s">
        <v>53534</v>
      </c>
      <c r="AA3371" s="1" t="s">
        <v>53535</v>
      </c>
      <c r="AB3371" s="1" t="s">
        <v>51210</v>
      </c>
      <c r="AC3371" s="1" t="s">
        <v>53536</v>
      </c>
      <c r="AD3371" s="1" t="s">
        <v>53536</v>
      </c>
      <c r="AE3371" s="1" t="s">
        <v>53537</v>
      </c>
      <c r="AF3371" s="1" t="s">
        <v>74</v>
      </c>
      <c r="AG3371" s="1">
        <v>41</v>
      </c>
      <c r="AH3371" s="1">
        <v>74</v>
      </c>
      <c r="AI3371" s="1">
        <v>86</v>
      </c>
      <c r="AJ3371" s="1">
        <v>1</v>
      </c>
      <c r="AK3371" s="1">
        <v>46</v>
      </c>
      <c r="AL3371" s="1" t="s">
        <v>53538</v>
      </c>
      <c r="AM3371" s="1" t="s">
        <v>6856</v>
      </c>
      <c r="AN3371" s="1" t="s">
        <v>53539</v>
      </c>
      <c r="AO3371" s="1" t="s">
        <v>53540</v>
      </c>
      <c r="AP3371" s="1" t="s">
        <v>74</v>
      </c>
      <c r="AQ3371" s="1" t="s">
        <v>74</v>
      </c>
      <c r="AR3371" s="1" t="s">
        <v>53541</v>
      </c>
      <c r="AS3371" s="1" t="s">
        <v>53542</v>
      </c>
      <c r="AT3371" s="1" t="s">
        <v>197</v>
      </c>
      <c r="AU3371" s="1">
        <v>2010</v>
      </c>
      <c r="AV3371" s="1">
        <v>29</v>
      </c>
      <c r="AW3371" s="1">
        <v>4</v>
      </c>
      <c r="AX3371" s="1" t="s">
        <v>74</v>
      </c>
      <c r="AY3371" s="1" t="s">
        <v>74</v>
      </c>
      <c r="AZ3371" s="1" t="s">
        <v>74</v>
      </c>
      <c r="BA3371" s="1" t="s">
        <v>74</v>
      </c>
      <c r="BB3371" s="1">
        <v>1279</v>
      </c>
      <c r="BC3371" s="1">
        <v>1291</v>
      </c>
      <c r="BD3371" s="1" t="s">
        <v>74</v>
      </c>
      <c r="BE3371" s="1" t="s">
        <v>53543</v>
      </c>
      <c r="BF3371" s="1" t="str">
        <f>HYPERLINK("http://dx.doi.org/10.1899/09-183.1","http://dx.doi.org/10.1899/09-183.1")</f>
        <v>http://dx.doi.org/10.1899/09-183.1</v>
      </c>
      <c r="BG3371" s="1" t="s">
        <v>74</v>
      </c>
      <c r="BH3371" s="1" t="s">
        <v>74</v>
      </c>
      <c r="BI3371" s="1">
        <v>13</v>
      </c>
      <c r="BJ3371" s="1" t="s">
        <v>1292</v>
      </c>
      <c r="BK3371" s="1" t="s">
        <v>96</v>
      </c>
      <c r="BL3371" s="1" t="s">
        <v>248</v>
      </c>
      <c r="BM3371" s="1" t="s">
        <v>53544</v>
      </c>
      <c r="BN3371" s="1" t="s">
        <v>74</v>
      </c>
      <c r="BO3371" s="1" t="s">
        <v>810</v>
      </c>
      <c r="BP3371" s="1" t="s">
        <v>74</v>
      </c>
      <c r="BQ3371" s="1" t="s">
        <v>74</v>
      </c>
      <c r="BR3371" s="1" t="s">
        <v>98</v>
      </c>
      <c r="BS3371" s="1" t="s">
        <v>53545</v>
      </c>
      <c r="BT3371" s="1" t="str">
        <f>HYPERLINK("https%3A%2F%2Fwww.webofscience.com%2Fwos%2Fwoscc%2Ffull-record%2FWOS:000283891800008","View Full Record in Web of Science")</f>
        <v>View Full Record in Web of Science</v>
      </c>
      <c r="BU3371" s="1"/>
      <c r="BV3371" s="1"/>
    </row>
    <row r="3372" spans="1:74">
      <c r="A3372" s="1" t="s">
        <v>72</v>
      </c>
      <c r="B3372" s="1" t="s">
        <v>53546</v>
      </c>
      <c r="C3372" s="1" t="s">
        <v>74</v>
      </c>
      <c r="D3372" s="1" t="s">
        <v>74</v>
      </c>
      <c r="E3372" s="1" t="s">
        <v>74</v>
      </c>
      <c r="F3372" s="1" t="s">
        <v>53547</v>
      </c>
      <c r="G3372" s="1" t="s">
        <v>74</v>
      </c>
      <c r="H3372" s="1" t="s">
        <v>74</v>
      </c>
      <c r="I3372" s="1" t="s">
        <v>53548</v>
      </c>
      <c r="J3372" s="1" t="s">
        <v>909</v>
      </c>
      <c r="K3372" s="1" t="s">
        <v>74</v>
      </c>
      <c r="L3372" s="1" t="s">
        <v>74</v>
      </c>
      <c r="M3372" s="1" t="s">
        <v>78</v>
      </c>
      <c r="N3372" s="1" t="s">
        <v>79</v>
      </c>
      <c r="O3372" s="1" t="s">
        <v>74</v>
      </c>
      <c r="P3372" s="1" t="s">
        <v>74</v>
      </c>
      <c r="Q3372" s="1" t="s">
        <v>74</v>
      </c>
      <c r="R3372" s="1" t="s">
        <v>74</v>
      </c>
      <c r="S3372" s="1" t="s">
        <v>74</v>
      </c>
      <c r="T3372" s="1" t="s">
        <v>53549</v>
      </c>
      <c r="U3372" s="1" t="s">
        <v>53550</v>
      </c>
      <c r="V3372" s="1" t="s">
        <v>53551</v>
      </c>
      <c r="W3372" s="1" t="s">
        <v>53552</v>
      </c>
      <c r="X3372" s="1" t="s">
        <v>53553</v>
      </c>
      <c r="Y3372" s="1" t="s">
        <v>53554</v>
      </c>
      <c r="Z3372" s="1" t="s">
        <v>53555</v>
      </c>
      <c r="AA3372" s="1" t="s">
        <v>53556</v>
      </c>
      <c r="AB3372" s="1" t="s">
        <v>53557</v>
      </c>
      <c r="AC3372" s="1" t="s">
        <v>53558</v>
      </c>
      <c r="AD3372" s="1" t="s">
        <v>53559</v>
      </c>
      <c r="AE3372" s="1" t="s">
        <v>53560</v>
      </c>
      <c r="AF3372" s="1" t="s">
        <v>74</v>
      </c>
      <c r="AG3372" s="1">
        <v>53</v>
      </c>
      <c r="AH3372" s="1">
        <v>4</v>
      </c>
      <c r="AI3372" s="1">
        <v>4</v>
      </c>
      <c r="AJ3372" s="1">
        <v>1</v>
      </c>
      <c r="AK3372" s="1">
        <v>29</v>
      </c>
      <c r="AL3372" s="1" t="s">
        <v>650</v>
      </c>
      <c r="AM3372" s="1" t="s">
        <v>651</v>
      </c>
      <c r="AN3372" s="1" t="s">
        <v>652</v>
      </c>
      <c r="AO3372" s="1" t="s">
        <v>921</v>
      </c>
      <c r="AP3372" s="1" t="s">
        <v>922</v>
      </c>
      <c r="AQ3372" s="1" t="s">
        <v>74</v>
      </c>
      <c r="AR3372" s="1" t="s">
        <v>923</v>
      </c>
      <c r="AS3372" s="1" t="s">
        <v>924</v>
      </c>
      <c r="AT3372" s="1" t="s">
        <v>10334</v>
      </c>
      <c r="AU3372" s="1">
        <v>2023</v>
      </c>
      <c r="AV3372" s="1">
        <v>871</v>
      </c>
      <c r="AW3372" s="1" t="s">
        <v>74</v>
      </c>
      <c r="AX3372" s="1" t="s">
        <v>74</v>
      </c>
      <c r="AY3372" s="1" t="s">
        <v>74</v>
      </c>
      <c r="AZ3372" s="1" t="s">
        <v>74</v>
      </c>
      <c r="BA3372" s="1" t="s">
        <v>74</v>
      </c>
      <c r="BB3372" s="1" t="s">
        <v>74</v>
      </c>
      <c r="BC3372" s="1" t="s">
        <v>74</v>
      </c>
      <c r="BD3372" s="1">
        <v>162084</v>
      </c>
      <c r="BE3372" s="1" t="s">
        <v>53561</v>
      </c>
      <c r="BF3372" s="1" t="str">
        <f>HYPERLINK("http://dx.doi.org/10.1016/j.scitotenv.2023.162084","http://dx.doi.org/10.1016/j.scitotenv.2023.162084")</f>
        <v>http://dx.doi.org/10.1016/j.scitotenv.2023.162084</v>
      </c>
      <c r="BG3372" s="1" t="s">
        <v>74</v>
      </c>
      <c r="BH3372" s="1" t="s">
        <v>10846</v>
      </c>
      <c r="BI3372" s="1">
        <v>9</v>
      </c>
      <c r="BJ3372" s="1" t="s">
        <v>144</v>
      </c>
      <c r="BK3372" s="1" t="s">
        <v>96</v>
      </c>
      <c r="BL3372" s="1" t="s">
        <v>145</v>
      </c>
      <c r="BM3372" s="1" t="s">
        <v>53562</v>
      </c>
      <c r="BN3372" s="1">
        <v>36758692</v>
      </c>
      <c r="BO3372" s="1" t="s">
        <v>74</v>
      </c>
      <c r="BP3372" s="1" t="s">
        <v>74</v>
      </c>
      <c r="BQ3372" s="1" t="s">
        <v>74</v>
      </c>
      <c r="BR3372" s="1" t="s">
        <v>98</v>
      </c>
      <c r="BS3372" s="1" t="s">
        <v>53563</v>
      </c>
      <c r="BT3372" s="1" t="str">
        <f>HYPERLINK("https%3A%2F%2Fwww.webofscience.com%2Fwos%2Fwoscc%2Ffull-record%2FWOS:000946096800001","View Full Record in Web of Science")</f>
        <v>View Full Record in Web of Science</v>
      </c>
      <c r="BU3372" s="1"/>
      <c r="BV3372" s="1"/>
    </row>
    <row r="3373" spans="1:74">
      <c r="A3373" s="1" t="s">
        <v>72</v>
      </c>
      <c r="B3373" s="1" t="s">
        <v>53564</v>
      </c>
      <c r="C3373" s="1" t="s">
        <v>74</v>
      </c>
      <c r="D3373" s="1" t="s">
        <v>74</v>
      </c>
      <c r="E3373" s="1" t="s">
        <v>74</v>
      </c>
      <c r="F3373" s="1" t="s">
        <v>53565</v>
      </c>
      <c r="G3373" s="1" t="s">
        <v>74</v>
      </c>
      <c r="H3373" s="1" t="s">
        <v>74</v>
      </c>
      <c r="I3373" s="1" t="s">
        <v>53566</v>
      </c>
      <c r="J3373" s="1" t="s">
        <v>13465</v>
      </c>
      <c r="K3373" s="1" t="s">
        <v>74</v>
      </c>
      <c r="L3373" s="1" t="s">
        <v>74</v>
      </c>
      <c r="M3373" s="1" t="s">
        <v>78</v>
      </c>
      <c r="N3373" s="1" t="s">
        <v>79</v>
      </c>
      <c r="O3373" s="1" t="s">
        <v>74</v>
      </c>
      <c r="P3373" s="1" t="s">
        <v>74</v>
      </c>
      <c r="Q3373" s="1" t="s">
        <v>74</v>
      </c>
      <c r="R3373" s="1" t="s">
        <v>74</v>
      </c>
      <c r="S3373" s="1" t="s">
        <v>74</v>
      </c>
      <c r="T3373" s="1" t="s">
        <v>53567</v>
      </c>
      <c r="U3373" s="1" t="s">
        <v>53568</v>
      </c>
      <c r="V3373" s="1" t="s">
        <v>53569</v>
      </c>
      <c r="W3373" s="1" t="s">
        <v>53570</v>
      </c>
      <c r="X3373" s="1" t="s">
        <v>74</v>
      </c>
      <c r="Y3373" s="1" t="s">
        <v>53571</v>
      </c>
      <c r="Z3373" s="1" t="s">
        <v>53572</v>
      </c>
      <c r="AA3373" s="1" t="s">
        <v>74</v>
      </c>
      <c r="AB3373" s="1" t="s">
        <v>53573</v>
      </c>
      <c r="AC3373" s="1" t="s">
        <v>53574</v>
      </c>
      <c r="AD3373" s="1" t="s">
        <v>53575</v>
      </c>
      <c r="AE3373" s="1" t="s">
        <v>53576</v>
      </c>
      <c r="AF3373" s="1" t="s">
        <v>74</v>
      </c>
      <c r="AG3373" s="1">
        <v>56</v>
      </c>
      <c r="AH3373" s="1">
        <v>11</v>
      </c>
      <c r="AI3373" s="1">
        <v>15</v>
      </c>
      <c r="AJ3373" s="1">
        <v>0</v>
      </c>
      <c r="AK3373" s="1">
        <v>15</v>
      </c>
      <c r="AL3373" s="1" t="s">
        <v>13473</v>
      </c>
      <c r="AM3373" s="1" t="s">
        <v>13474</v>
      </c>
      <c r="AN3373" s="1" t="s">
        <v>13475</v>
      </c>
      <c r="AO3373" s="1" t="s">
        <v>13476</v>
      </c>
      <c r="AP3373" s="1" t="s">
        <v>13477</v>
      </c>
      <c r="AQ3373" s="1" t="s">
        <v>74</v>
      </c>
      <c r="AR3373" s="1" t="s">
        <v>13465</v>
      </c>
      <c r="AS3373" s="1" t="s">
        <v>13478</v>
      </c>
      <c r="AT3373" s="1" t="s">
        <v>74</v>
      </c>
      <c r="AU3373" s="1">
        <v>2008</v>
      </c>
      <c r="AV3373" s="1">
        <v>50</v>
      </c>
      <c r="AW3373" s="1">
        <v>3</v>
      </c>
      <c r="AX3373" s="1" t="s">
        <v>74</v>
      </c>
      <c r="AY3373" s="1" t="s">
        <v>74</v>
      </c>
      <c r="AZ3373" s="1" t="s">
        <v>74</v>
      </c>
      <c r="BA3373" s="1" t="s">
        <v>74</v>
      </c>
      <c r="BB3373" s="1">
        <v>421</v>
      </c>
      <c r="BC3373" s="1">
        <v>442</v>
      </c>
      <c r="BD3373" s="1" t="s">
        <v>74</v>
      </c>
      <c r="BE3373" s="1" t="s">
        <v>74</v>
      </c>
      <c r="BF3373" s="1" t="s">
        <v>74</v>
      </c>
      <c r="BG3373" s="1" t="s">
        <v>74</v>
      </c>
      <c r="BH3373" s="1" t="s">
        <v>74</v>
      </c>
      <c r="BI3373" s="1">
        <v>22</v>
      </c>
      <c r="BJ3373" s="1" t="s">
        <v>1439</v>
      </c>
      <c r="BK3373" s="1" t="s">
        <v>96</v>
      </c>
      <c r="BL3373" s="1" t="s">
        <v>1439</v>
      </c>
      <c r="BM3373" s="1" t="s">
        <v>53577</v>
      </c>
      <c r="BN3373" s="1" t="s">
        <v>74</v>
      </c>
      <c r="BO3373" s="1" t="s">
        <v>74</v>
      </c>
      <c r="BP3373" s="1" t="s">
        <v>74</v>
      </c>
      <c r="BQ3373" s="1" t="s">
        <v>74</v>
      </c>
      <c r="BR3373" s="1" t="s">
        <v>98</v>
      </c>
      <c r="BS3373" s="1" t="s">
        <v>53578</v>
      </c>
      <c r="BT3373" s="1" t="str">
        <f>HYPERLINK("https%3A%2F%2Fwww.webofscience.com%2Fwos%2Fwoscc%2Ffull-record%2FWOS:000260086100004","View Full Record in Web of Science")</f>
        <v>View Full Record in Web of Science</v>
      </c>
      <c r="BU3373" s="1"/>
      <c r="BV3373" s="1"/>
    </row>
    <row r="3374" spans="1:74">
      <c r="A3374" s="1" t="s">
        <v>72</v>
      </c>
      <c r="B3374" s="1" t="s">
        <v>53579</v>
      </c>
      <c r="C3374" s="1" t="s">
        <v>74</v>
      </c>
      <c r="D3374" s="1" t="s">
        <v>74</v>
      </c>
      <c r="E3374" s="1" t="s">
        <v>74</v>
      </c>
      <c r="F3374" s="1" t="s">
        <v>53579</v>
      </c>
      <c r="G3374" s="1" t="s">
        <v>74</v>
      </c>
      <c r="H3374" s="1" t="s">
        <v>74</v>
      </c>
      <c r="I3374" s="1" t="s">
        <v>53580</v>
      </c>
      <c r="J3374" s="1" t="s">
        <v>7461</v>
      </c>
      <c r="K3374" s="1" t="s">
        <v>74</v>
      </c>
      <c r="L3374" s="1" t="s">
        <v>74</v>
      </c>
      <c r="M3374" s="1" t="s">
        <v>78</v>
      </c>
      <c r="N3374" s="1" t="s">
        <v>151</v>
      </c>
      <c r="O3374" s="1" t="s">
        <v>53581</v>
      </c>
      <c r="P3374" s="1" t="s">
        <v>53582</v>
      </c>
      <c r="Q3374" s="1" t="s">
        <v>53583</v>
      </c>
      <c r="R3374" s="1" t="s">
        <v>74</v>
      </c>
      <c r="S3374" s="1" t="s">
        <v>53584</v>
      </c>
      <c r="T3374" s="1" t="s">
        <v>74</v>
      </c>
      <c r="U3374" s="1" t="s">
        <v>53585</v>
      </c>
      <c r="V3374" s="1" t="s">
        <v>53586</v>
      </c>
      <c r="W3374" s="1" t="s">
        <v>74</v>
      </c>
      <c r="X3374" s="1" t="s">
        <v>74</v>
      </c>
      <c r="Y3374" s="1" t="s">
        <v>53587</v>
      </c>
      <c r="Z3374" s="1" t="s">
        <v>74</v>
      </c>
      <c r="AA3374" s="1" t="s">
        <v>74</v>
      </c>
      <c r="AB3374" s="1" t="s">
        <v>74</v>
      </c>
      <c r="AC3374" s="1" t="s">
        <v>74</v>
      </c>
      <c r="AD3374" s="1" t="s">
        <v>74</v>
      </c>
      <c r="AE3374" s="1" t="s">
        <v>74</v>
      </c>
      <c r="AF3374" s="1" t="s">
        <v>74</v>
      </c>
      <c r="AG3374" s="1">
        <v>40</v>
      </c>
      <c r="AH3374" s="1">
        <v>100</v>
      </c>
      <c r="AI3374" s="1">
        <v>106</v>
      </c>
      <c r="AJ3374" s="1">
        <v>0</v>
      </c>
      <c r="AK3374" s="1">
        <v>18</v>
      </c>
      <c r="AL3374" s="1" t="s">
        <v>136</v>
      </c>
      <c r="AM3374" s="1" t="s">
        <v>137</v>
      </c>
      <c r="AN3374" s="1" t="s">
        <v>583</v>
      </c>
      <c r="AO3374" s="1" t="s">
        <v>7469</v>
      </c>
      <c r="AP3374" s="1" t="s">
        <v>74</v>
      </c>
      <c r="AQ3374" s="1" t="s">
        <v>74</v>
      </c>
      <c r="AR3374" s="1" t="s">
        <v>568</v>
      </c>
      <c r="AS3374" s="1" t="s">
        <v>7470</v>
      </c>
      <c r="AT3374" s="1" t="s">
        <v>74</v>
      </c>
      <c r="AU3374" s="1">
        <v>1991</v>
      </c>
      <c r="AV3374" s="1">
        <v>100</v>
      </c>
      <c r="AW3374" s="1" t="s">
        <v>326</v>
      </c>
      <c r="AX3374" s="1" t="s">
        <v>74</v>
      </c>
      <c r="AY3374" s="1" t="s">
        <v>74</v>
      </c>
      <c r="AZ3374" s="1" t="s">
        <v>74</v>
      </c>
      <c r="BA3374" s="1" t="s">
        <v>74</v>
      </c>
      <c r="BB3374" s="1">
        <v>69</v>
      </c>
      <c r="BC3374" s="1">
        <v>75</v>
      </c>
      <c r="BD3374" s="1" t="s">
        <v>74</v>
      </c>
      <c r="BE3374" s="1" t="s">
        <v>53588</v>
      </c>
      <c r="BF3374" s="1" t="str">
        <f>HYPERLINK("http://dx.doi.org/10.1016/0742-8413(91)90125-D","http://dx.doi.org/10.1016/0742-8413(91)90125-D")</f>
        <v>http://dx.doi.org/10.1016/0742-8413(91)90125-D</v>
      </c>
      <c r="BG3374" s="1" t="s">
        <v>74</v>
      </c>
      <c r="BH3374" s="1" t="s">
        <v>74</v>
      </c>
      <c r="BI3374" s="1">
        <v>7</v>
      </c>
      <c r="BJ3374" s="1" t="s">
        <v>571</v>
      </c>
      <c r="BK3374" s="1" t="s">
        <v>588</v>
      </c>
      <c r="BL3374" s="1" t="s">
        <v>571</v>
      </c>
      <c r="BM3374" s="1" t="s">
        <v>23617</v>
      </c>
      <c r="BN3374" s="1">
        <v>1677875</v>
      </c>
      <c r="BO3374" s="1" t="s">
        <v>74</v>
      </c>
      <c r="BP3374" s="1" t="s">
        <v>74</v>
      </c>
      <c r="BQ3374" s="1" t="s">
        <v>74</v>
      </c>
      <c r="BR3374" s="1" t="s">
        <v>98</v>
      </c>
      <c r="BS3374" s="1" t="s">
        <v>53589</v>
      </c>
      <c r="BT3374" s="1" t="str">
        <f>HYPERLINK("https%3A%2F%2Fwww.webofscience.com%2Fwos%2Fwoscc%2Ffull-record%2FWOS:A1991FL62100017","View Full Record in Web of Science")</f>
        <v>View Full Record in Web of Science</v>
      </c>
      <c r="BU3374" s="1"/>
      <c r="BV3374" s="1"/>
    </row>
    <row r="3375" spans="1:74">
      <c r="A3375" s="1" t="s">
        <v>72</v>
      </c>
      <c r="B3375" s="1" t="s">
        <v>53590</v>
      </c>
      <c r="C3375" s="1" t="s">
        <v>74</v>
      </c>
      <c r="D3375" s="1" t="s">
        <v>74</v>
      </c>
      <c r="E3375" s="1" t="s">
        <v>74</v>
      </c>
      <c r="F3375" s="1" t="s">
        <v>53591</v>
      </c>
      <c r="G3375" s="1" t="s">
        <v>74</v>
      </c>
      <c r="H3375" s="1" t="s">
        <v>74</v>
      </c>
      <c r="I3375" s="1" t="s">
        <v>53592</v>
      </c>
      <c r="J3375" s="1" t="s">
        <v>53593</v>
      </c>
      <c r="K3375" s="1" t="s">
        <v>74</v>
      </c>
      <c r="L3375" s="1" t="s">
        <v>74</v>
      </c>
      <c r="M3375" s="1" t="s">
        <v>78</v>
      </c>
      <c r="N3375" s="1" t="s">
        <v>79</v>
      </c>
      <c r="O3375" s="1" t="s">
        <v>74</v>
      </c>
      <c r="P3375" s="1" t="s">
        <v>74</v>
      </c>
      <c r="Q3375" s="1" t="s">
        <v>74</v>
      </c>
      <c r="R3375" s="1" t="s">
        <v>74</v>
      </c>
      <c r="S3375" s="1" t="s">
        <v>74</v>
      </c>
      <c r="T3375" s="1" t="s">
        <v>74</v>
      </c>
      <c r="U3375" s="1" t="s">
        <v>53594</v>
      </c>
      <c r="V3375" s="1" t="s">
        <v>53595</v>
      </c>
      <c r="W3375" s="1" t="s">
        <v>53596</v>
      </c>
      <c r="X3375" s="1" t="s">
        <v>53597</v>
      </c>
      <c r="Y3375" s="1" t="s">
        <v>53598</v>
      </c>
      <c r="Z3375" s="1" t="s">
        <v>53599</v>
      </c>
      <c r="AA3375" s="1" t="s">
        <v>53600</v>
      </c>
      <c r="AB3375" s="1" t="s">
        <v>53601</v>
      </c>
      <c r="AC3375" s="1" t="s">
        <v>53602</v>
      </c>
      <c r="AD3375" s="1" t="s">
        <v>53603</v>
      </c>
      <c r="AE3375" s="1" t="s">
        <v>53604</v>
      </c>
      <c r="AF3375" s="1" t="s">
        <v>74</v>
      </c>
      <c r="AG3375" s="1">
        <v>44</v>
      </c>
      <c r="AH3375" s="1">
        <v>10</v>
      </c>
      <c r="AI3375" s="1">
        <v>10</v>
      </c>
      <c r="AJ3375" s="1">
        <v>1</v>
      </c>
      <c r="AK3375" s="1">
        <v>22</v>
      </c>
      <c r="AL3375" s="1" t="s">
        <v>21002</v>
      </c>
      <c r="AM3375" s="1" t="s">
        <v>21003</v>
      </c>
      <c r="AN3375" s="1" t="s">
        <v>21004</v>
      </c>
      <c r="AO3375" s="1" t="s">
        <v>53605</v>
      </c>
      <c r="AP3375" s="1" t="s">
        <v>74</v>
      </c>
      <c r="AQ3375" s="1" t="s">
        <v>74</v>
      </c>
      <c r="AR3375" s="1" t="s">
        <v>53606</v>
      </c>
      <c r="AS3375" s="1" t="s">
        <v>53607</v>
      </c>
      <c r="AT3375" s="1" t="s">
        <v>21883</v>
      </c>
      <c r="AU3375" s="1">
        <v>2019</v>
      </c>
      <c r="AV3375" s="1">
        <v>15</v>
      </c>
      <c r="AW3375" s="1">
        <v>2</v>
      </c>
      <c r="AX3375" s="1" t="s">
        <v>74</v>
      </c>
      <c r="AY3375" s="1" t="s">
        <v>74</v>
      </c>
      <c r="AZ3375" s="1" t="s">
        <v>74</v>
      </c>
      <c r="BA3375" s="1" t="s">
        <v>74</v>
      </c>
      <c r="BB3375" s="1">
        <v>215</v>
      </c>
      <c r="BC3375" s="1">
        <v>226</v>
      </c>
      <c r="BD3375" s="1" t="s">
        <v>74</v>
      </c>
      <c r="BE3375" s="1" t="s">
        <v>53608</v>
      </c>
      <c r="BF3375" s="1" t="str">
        <f>HYPERLINK("http://dx.doi.org/10.5194/os-15-215-2019","http://dx.doi.org/10.5194/os-15-215-2019")</f>
        <v>http://dx.doi.org/10.5194/os-15-215-2019</v>
      </c>
      <c r="BG3375" s="1" t="s">
        <v>74</v>
      </c>
      <c r="BH3375" s="1" t="s">
        <v>74</v>
      </c>
      <c r="BI3375" s="1">
        <v>12</v>
      </c>
      <c r="BJ3375" s="1" t="s">
        <v>53609</v>
      </c>
      <c r="BK3375" s="1" t="s">
        <v>96</v>
      </c>
      <c r="BL3375" s="1" t="s">
        <v>53609</v>
      </c>
      <c r="BM3375" s="1" t="s">
        <v>53610</v>
      </c>
      <c r="BN3375" s="1" t="s">
        <v>74</v>
      </c>
      <c r="BO3375" s="1" t="s">
        <v>5306</v>
      </c>
      <c r="BP3375" s="1" t="s">
        <v>74</v>
      </c>
      <c r="BQ3375" s="1" t="s">
        <v>74</v>
      </c>
      <c r="BR3375" s="1" t="s">
        <v>98</v>
      </c>
      <c r="BS3375" s="1" t="s">
        <v>53611</v>
      </c>
      <c r="BT3375" s="1" t="str">
        <f>HYPERLINK("https%3A%2F%2Fwww.webofscience.com%2Fwos%2Fwoscc%2Ffull-record%2FWOS:000460205100001","View Full Record in Web of Science")</f>
        <v>View Full Record in Web of Science</v>
      </c>
      <c r="BU3375" s="1"/>
      <c r="BV3375" s="1"/>
    </row>
    <row r="3376" spans="1:74">
      <c r="A3376" s="1" t="s">
        <v>72</v>
      </c>
      <c r="B3376" s="1" t="s">
        <v>53612</v>
      </c>
      <c r="C3376" s="1" t="s">
        <v>74</v>
      </c>
      <c r="D3376" s="1" t="s">
        <v>74</v>
      </c>
      <c r="E3376" s="1" t="s">
        <v>74</v>
      </c>
      <c r="F3376" s="1" t="s">
        <v>53613</v>
      </c>
      <c r="G3376" s="1" t="s">
        <v>74</v>
      </c>
      <c r="H3376" s="1" t="s">
        <v>74</v>
      </c>
      <c r="I3376" s="1" t="s">
        <v>53614</v>
      </c>
      <c r="J3376" s="1" t="s">
        <v>232</v>
      </c>
      <c r="K3376" s="1" t="s">
        <v>74</v>
      </c>
      <c r="L3376" s="1" t="s">
        <v>74</v>
      </c>
      <c r="M3376" s="1" t="s">
        <v>78</v>
      </c>
      <c r="N3376" s="1" t="s">
        <v>79</v>
      </c>
      <c r="O3376" s="1" t="s">
        <v>74</v>
      </c>
      <c r="P3376" s="1" t="s">
        <v>74</v>
      </c>
      <c r="Q3376" s="1" t="s">
        <v>74</v>
      </c>
      <c r="R3376" s="1" t="s">
        <v>74</v>
      </c>
      <c r="S3376" s="1" t="s">
        <v>74</v>
      </c>
      <c r="T3376" s="1" t="s">
        <v>53615</v>
      </c>
      <c r="U3376" s="1" t="s">
        <v>53616</v>
      </c>
      <c r="V3376" s="1" t="s">
        <v>53617</v>
      </c>
      <c r="W3376" s="1" t="s">
        <v>53618</v>
      </c>
      <c r="X3376" s="1" t="s">
        <v>53619</v>
      </c>
      <c r="Y3376" s="1" t="s">
        <v>53620</v>
      </c>
      <c r="Z3376" s="1" t="s">
        <v>53621</v>
      </c>
      <c r="AA3376" s="1" t="s">
        <v>53622</v>
      </c>
      <c r="AB3376" s="1" t="s">
        <v>53623</v>
      </c>
      <c r="AC3376" s="1" t="s">
        <v>53624</v>
      </c>
      <c r="AD3376" s="1" t="s">
        <v>53624</v>
      </c>
      <c r="AE3376" s="1" t="s">
        <v>53625</v>
      </c>
      <c r="AF3376" s="1" t="s">
        <v>74</v>
      </c>
      <c r="AG3376" s="1">
        <v>69</v>
      </c>
      <c r="AH3376" s="1">
        <v>10</v>
      </c>
      <c r="AI3376" s="1">
        <v>13</v>
      </c>
      <c r="AJ3376" s="1">
        <v>0</v>
      </c>
      <c r="AK3376" s="1">
        <v>16</v>
      </c>
      <c r="AL3376" s="1" t="s">
        <v>136</v>
      </c>
      <c r="AM3376" s="1" t="s">
        <v>137</v>
      </c>
      <c r="AN3376" s="1" t="s">
        <v>138</v>
      </c>
      <c r="AO3376" s="1" t="s">
        <v>240</v>
      </c>
      <c r="AP3376" s="1" t="s">
        <v>241</v>
      </c>
      <c r="AQ3376" s="1" t="s">
        <v>74</v>
      </c>
      <c r="AR3376" s="1" t="s">
        <v>242</v>
      </c>
      <c r="AS3376" s="1" t="s">
        <v>243</v>
      </c>
      <c r="AT3376" s="1" t="s">
        <v>12274</v>
      </c>
      <c r="AU3376" s="1">
        <v>2015</v>
      </c>
      <c r="AV3376" s="1">
        <v>91</v>
      </c>
      <c r="AW3376" s="1">
        <v>2</v>
      </c>
      <c r="AX3376" s="1" t="s">
        <v>74</v>
      </c>
      <c r="AY3376" s="1" t="s">
        <v>74</v>
      </c>
      <c r="AZ3376" s="1" t="s">
        <v>74</v>
      </c>
      <c r="BA3376" s="1" t="s">
        <v>74</v>
      </c>
      <c r="BB3376" s="1">
        <v>429</v>
      </c>
      <c r="BC3376" s="1">
        <v>440</v>
      </c>
      <c r="BD3376" s="1" t="s">
        <v>74</v>
      </c>
      <c r="BE3376" s="1" t="s">
        <v>53626</v>
      </c>
      <c r="BF3376" s="1" t="str">
        <f>HYPERLINK("http://dx.doi.org/10.1016/j.marpolbul.2014.09.058","http://dx.doi.org/10.1016/j.marpolbul.2014.09.058")</f>
        <v>http://dx.doi.org/10.1016/j.marpolbul.2014.09.058</v>
      </c>
      <c r="BG3376" s="1" t="s">
        <v>74</v>
      </c>
      <c r="BH3376" s="1" t="s">
        <v>74</v>
      </c>
      <c r="BI3376" s="1">
        <v>12</v>
      </c>
      <c r="BJ3376" s="1" t="s">
        <v>247</v>
      </c>
      <c r="BK3376" s="1" t="s">
        <v>96</v>
      </c>
      <c r="BL3376" s="1" t="s">
        <v>248</v>
      </c>
      <c r="BM3376" s="1" t="s">
        <v>12276</v>
      </c>
      <c r="BN3376" s="1">
        <v>25444617</v>
      </c>
      <c r="BO3376" s="1" t="s">
        <v>1752</v>
      </c>
      <c r="BP3376" s="1" t="s">
        <v>74</v>
      </c>
      <c r="BQ3376" s="1" t="s">
        <v>74</v>
      </c>
      <c r="BR3376" s="1" t="s">
        <v>98</v>
      </c>
      <c r="BS3376" s="1" t="s">
        <v>53627</v>
      </c>
      <c r="BT3376" s="1" t="str">
        <f>HYPERLINK("https%3A%2F%2Fwww.webofscience.com%2Fwos%2Fwoscc%2Ffull-record%2FWOS:000351977100006","View Full Record in Web of Science")</f>
        <v>View Full Record in Web of Science</v>
      </c>
      <c r="BU3376" s="1"/>
      <c r="BV3376" s="1"/>
    </row>
    <row r="3377" spans="1:74">
      <c r="A3377" s="1" t="s">
        <v>72</v>
      </c>
      <c r="B3377" s="1" t="s">
        <v>53628</v>
      </c>
      <c r="C3377" s="1" t="s">
        <v>74</v>
      </c>
      <c r="D3377" s="1" t="s">
        <v>74</v>
      </c>
      <c r="E3377" s="1" t="s">
        <v>74</v>
      </c>
      <c r="F3377" s="1" t="s">
        <v>53628</v>
      </c>
      <c r="G3377" s="1" t="s">
        <v>74</v>
      </c>
      <c r="H3377" s="1" t="s">
        <v>74</v>
      </c>
      <c r="I3377" s="1" t="s">
        <v>53629</v>
      </c>
      <c r="J3377" s="1" t="s">
        <v>232</v>
      </c>
      <c r="K3377" s="1" t="s">
        <v>74</v>
      </c>
      <c r="L3377" s="1" t="s">
        <v>74</v>
      </c>
      <c r="M3377" s="1" t="s">
        <v>78</v>
      </c>
      <c r="N3377" s="1" t="s">
        <v>79</v>
      </c>
      <c r="O3377" s="1" t="s">
        <v>74</v>
      </c>
      <c r="P3377" s="1" t="s">
        <v>74</v>
      </c>
      <c r="Q3377" s="1" t="s">
        <v>74</v>
      </c>
      <c r="R3377" s="1" t="s">
        <v>74</v>
      </c>
      <c r="S3377" s="1" t="s">
        <v>74</v>
      </c>
      <c r="T3377" s="1" t="s">
        <v>53630</v>
      </c>
      <c r="U3377" s="1" t="s">
        <v>53631</v>
      </c>
      <c r="V3377" s="1" t="s">
        <v>53632</v>
      </c>
      <c r="W3377" s="1" t="s">
        <v>53633</v>
      </c>
      <c r="X3377" s="1" t="s">
        <v>53634</v>
      </c>
      <c r="Y3377" s="1" t="s">
        <v>23254</v>
      </c>
      <c r="Z3377" s="1" t="s">
        <v>74</v>
      </c>
      <c r="AA3377" s="1" t="s">
        <v>74</v>
      </c>
      <c r="AB3377" s="1" t="s">
        <v>74</v>
      </c>
      <c r="AC3377" s="1" t="s">
        <v>74</v>
      </c>
      <c r="AD3377" s="1" t="s">
        <v>74</v>
      </c>
      <c r="AE3377" s="1" t="s">
        <v>74</v>
      </c>
      <c r="AF3377" s="1" t="s">
        <v>74</v>
      </c>
      <c r="AG3377" s="1">
        <v>58</v>
      </c>
      <c r="AH3377" s="1">
        <v>69</v>
      </c>
      <c r="AI3377" s="1">
        <v>87</v>
      </c>
      <c r="AJ3377" s="1">
        <v>1</v>
      </c>
      <c r="AK3377" s="1">
        <v>19</v>
      </c>
      <c r="AL3377" s="1" t="s">
        <v>136</v>
      </c>
      <c r="AM3377" s="1" t="s">
        <v>137</v>
      </c>
      <c r="AN3377" s="1" t="s">
        <v>138</v>
      </c>
      <c r="AO3377" s="1" t="s">
        <v>240</v>
      </c>
      <c r="AP3377" s="1" t="s">
        <v>241</v>
      </c>
      <c r="AQ3377" s="1" t="s">
        <v>74</v>
      </c>
      <c r="AR3377" s="1" t="s">
        <v>242</v>
      </c>
      <c r="AS3377" s="1" t="s">
        <v>243</v>
      </c>
      <c r="AT3377" s="1" t="s">
        <v>142</v>
      </c>
      <c r="AU3377" s="1">
        <v>2000</v>
      </c>
      <c r="AV3377" s="1">
        <v>40</v>
      </c>
      <c r="AW3377" s="1">
        <v>6</v>
      </c>
      <c r="AX3377" s="1" t="s">
        <v>74</v>
      </c>
      <c r="AY3377" s="1" t="s">
        <v>74</v>
      </c>
      <c r="AZ3377" s="1" t="s">
        <v>74</v>
      </c>
      <c r="BA3377" s="1" t="s">
        <v>74</v>
      </c>
      <c r="BB3377" s="1">
        <v>491</v>
      </c>
      <c r="BC3377" s="1">
        <v>496</v>
      </c>
      <c r="BD3377" s="1" t="s">
        <v>74</v>
      </c>
      <c r="BE3377" s="1" t="s">
        <v>53635</v>
      </c>
      <c r="BF3377" s="1" t="str">
        <f>HYPERLINK("http://dx.doi.org/10.1016/S0025-326X(99)00230-1","http://dx.doi.org/10.1016/S0025-326X(99)00230-1")</f>
        <v>http://dx.doi.org/10.1016/S0025-326X(99)00230-1</v>
      </c>
      <c r="BG3377" s="1" t="s">
        <v>74</v>
      </c>
      <c r="BH3377" s="1" t="s">
        <v>74</v>
      </c>
      <c r="BI3377" s="1">
        <v>6</v>
      </c>
      <c r="BJ3377" s="1" t="s">
        <v>247</v>
      </c>
      <c r="BK3377" s="1" t="s">
        <v>96</v>
      </c>
      <c r="BL3377" s="1" t="s">
        <v>248</v>
      </c>
      <c r="BM3377" s="1" t="s">
        <v>53636</v>
      </c>
      <c r="BN3377" s="1" t="s">
        <v>74</v>
      </c>
      <c r="BO3377" s="1" t="s">
        <v>74</v>
      </c>
      <c r="BP3377" s="1" t="s">
        <v>74</v>
      </c>
      <c r="BQ3377" s="1" t="s">
        <v>74</v>
      </c>
      <c r="BR3377" s="1" t="s">
        <v>98</v>
      </c>
      <c r="BS3377" s="1" t="s">
        <v>53637</v>
      </c>
      <c r="BT3377" s="1" t="str">
        <f>HYPERLINK("https%3A%2F%2Fwww.webofscience.com%2Fwos%2Fwoscc%2Ffull-record%2FWOS:000087642800014","View Full Record in Web of Science")</f>
        <v>View Full Record in Web of Science</v>
      </c>
      <c r="BU3377" s="1"/>
      <c r="BV3377" s="1"/>
    </row>
    <row r="3378" spans="1:74">
      <c r="A3378" s="1" t="s">
        <v>72</v>
      </c>
      <c r="B3378" s="1" t="s">
        <v>53638</v>
      </c>
      <c r="C3378" s="1" t="s">
        <v>74</v>
      </c>
      <c r="D3378" s="1" t="s">
        <v>74</v>
      </c>
      <c r="E3378" s="1" t="s">
        <v>74</v>
      </c>
      <c r="F3378" s="1" t="s">
        <v>53638</v>
      </c>
      <c r="G3378" s="1" t="s">
        <v>74</v>
      </c>
      <c r="H3378" s="1" t="s">
        <v>74</v>
      </c>
      <c r="I3378" s="1" t="s">
        <v>53639</v>
      </c>
      <c r="J3378" s="1" t="s">
        <v>421</v>
      </c>
      <c r="K3378" s="1" t="s">
        <v>74</v>
      </c>
      <c r="L3378" s="1" t="s">
        <v>74</v>
      </c>
      <c r="M3378" s="1" t="s">
        <v>78</v>
      </c>
      <c r="N3378" s="1" t="s">
        <v>79</v>
      </c>
      <c r="O3378" s="1" t="s">
        <v>74</v>
      </c>
      <c r="P3378" s="1" t="s">
        <v>74</v>
      </c>
      <c r="Q3378" s="1" t="s">
        <v>74</v>
      </c>
      <c r="R3378" s="1" t="s">
        <v>74</v>
      </c>
      <c r="S3378" s="1" t="s">
        <v>74</v>
      </c>
      <c r="T3378" s="1" t="s">
        <v>53640</v>
      </c>
      <c r="U3378" s="1" t="s">
        <v>53641</v>
      </c>
      <c r="V3378" s="1" t="s">
        <v>53642</v>
      </c>
      <c r="W3378" s="1" t="s">
        <v>53643</v>
      </c>
      <c r="X3378" s="1" t="s">
        <v>24326</v>
      </c>
      <c r="Y3378" s="1" t="s">
        <v>53644</v>
      </c>
      <c r="Z3378" s="1" t="s">
        <v>74</v>
      </c>
      <c r="AA3378" s="1" t="s">
        <v>74</v>
      </c>
      <c r="AB3378" s="1" t="s">
        <v>74</v>
      </c>
      <c r="AC3378" s="1" t="s">
        <v>74</v>
      </c>
      <c r="AD3378" s="1" t="s">
        <v>74</v>
      </c>
      <c r="AE3378" s="1" t="s">
        <v>74</v>
      </c>
      <c r="AF3378" s="1" t="s">
        <v>74</v>
      </c>
      <c r="AG3378" s="1">
        <v>29</v>
      </c>
      <c r="AH3378" s="1">
        <v>7</v>
      </c>
      <c r="AI3378" s="1">
        <v>8</v>
      </c>
      <c r="AJ3378" s="1">
        <v>0</v>
      </c>
      <c r="AK3378" s="1">
        <v>5</v>
      </c>
      <c r="AL3378" s="1" t="s">
        <v>430</v>
      </c>
      <c r="AM3378" s="1" t="s">
        <v>137</v>
      </c>
      <c r="AN3378" s="1" t="s">
        <v>431</v>
      </c>
      <c r="AO3378" s="1" t="s">
        <v>432</v>
      </c>
      <c r="AP3378" s="1" t="s">
        <v>1394</v>
      </c>
      <c r="AQ3378" s="1" t="s">
        <v>74</v>
      </c>
      <c r="AR3378" s="1" t="s">
        <v>433</v>
      </c>
      <c r="AS3378" s="1" t="s">
        <v>434</v>
      </c>
      <c r="AT3378" s="1" t="s">
        <v>74</v>
      </c>
      <c r="AU3378" s="1">
        <v>1996</v>
      </c>
      <c r="AV3378" s="1">
        <v>91</v>
      </c>
      <c r="AW3378" s="1">
        <v>1</v>
      </c>
      <c r="AX3378" s="1" t="s">
        <v>74</v>
      </c>
      <c r="AY3378" s="1" t="s">
        <v>74</v>
      </c>
      <c r="AZ3378" s="1" t="s">
        <v>74</v>
      </c>
      <c r="BA3378" s="1" t="s">
        <v>74</v>
      </c>
      <c r="BB3378" s="1">
        <v>97</v>
      </c>
      <c r="BC3378" s="1">
        <v>104</v>
      </c>
      <c r="BD3378" s="1" t="s">
        <v>74</v>
      </c>
      <c r="BE3378" s="1" t="s">
        <v>53645</v>
      </c>
      <c r="BF3378" s="1" t="str">
        <f>HYPERLINK("http://dx.doi.org/10.1016/0269-7491(95)00016-K","http://dx.doi.org/10.1016/0269-7491(95)00016-K")</f>
        <v>http://dx.doi.org/10.1016/0269-7491(95)00016-K</v>
      </c>
      <c r="BG3378" s="1" t="s">
        <v>74</v>
      </c>
      <c r="BH3378" s="1" t="s">
        <v>74</v>
      </c>
      <c r="BI3378" s="1">
        <v>8</v>
      </c>
      <c r="BJ3378" s="1" t="s">
        <v>144</v>
      </c>
      <c r="BK3378" s="1" t="s">
        <v>96</v>
      </c>
      <c r="BL3378" s="1" t="s">
        <v>145</v>
      </c>
      <c r="BM3378" s="1" t="s">
        <v>6079</v>
      </c>
      <c r="BN3378" s="1">
        <v>15091456</v>
      </c>
      <c r="BO3378" s="1" t="s">
        <v>74</v>
      </c>
      <c r="BP3378" s="1" t="s">
        <v>74</v>
      </c>
      <c r="BQ3378" s="1" t="s">
        <v>74</v>
      </c>
      <c r="BR3378" s="1" t="s">
        <v>98</v>
      </c>
      <c r="BS3378" s="1" t="s">
        <v>53646</v>
      </c>
      <c r="BT3378" s="1" t="str">
        <f>HYPERLINK("https%3A%2F%2Fwww.webofscience.com%2Fwos%2Fwoscc%2Ffull-record%2FWOS:A1996TK46100009","View Full Record in Web of Science")</f>
        <v>View Full Record in Web of Science</v>
      </c>
      <c r="BU3378" s="1"/>
      <c r="BV3378" s="1"/>
    </row>
    <row r="3379" spans="1:74">
      <c r="A3379" s="1" t="s">
        <v>72</v>
      </c>
      <c r="B3379" s="1" t="s">
        <v>34355</v>
      </c>
      <c r="C3379" s="1" t="s">
        <v>74</v>
      </c>
      <c r="D3379" s="1" t="s">
        <v>74</v>
      </c>
      <c r="E3379" s="1" t="s">
        <v>74</v>
      </c>
      <c r="F3379" s="1" t="s">
        <v>53647</v>
      </c>
      <c r="G3379" s="1" t="s">
        <v>74</v>
      </c>
      <c r="H3379" s="1" t="s">
        <v>74</v>
      </c>
      <c r="I3379" s="1" t="s">
        <v>53648</v>
      </c>
      <c r="J3379" s="1" t="s">
        <v>232</v>
      </c>
      <c r="K3379" s="1" t="s">
        <v>74</v>
      </c>
      <c r="L3379" s="1" t="s">
        <v>74</v>
      </c>
      <c r="M3379" s="1" t="s">
        <v>78</v>
      </c>
      <c r="N3379" s="1" t="s">
        <v>79</v>
      </c>
      <c r="O3379" s="1" t="s">
        <v>74</v>
      </c>
      <c r="P3379" s="1" t="s">
        <v>74</v>
      </c>
      <c r="Q3379" s="1" t="s">
        <v>74</v>
      </c>
      <c r="R3379" s="1" t="s">
        <v>74</v>
      </c>
      <c r="S3379" s="1" t="s">
        <v>74</v>
      </c>
      <c r="T3379" s="1" t="s">
        <v>53649</v>
      </c>
      <c r="U3379" s="1" t="s">
        <v>53650</v>
      </c>
      <c r="V3379" s="1" t="s">
        <v>53651</v>
      </c>
      <c r="W3379" s="1" t="s">
        <v>53652</v>
      </c>
      <c r="X3379" s="1" t="s">
        <v>3694</v>
      </c>
      <c r="Y3379" s="1" t="s">
        <v>53653</v>
      </c>
      <c r="Z3379" s="1" t="s">
        <v>53654</v>
      </c>
      <c r="AA3379" s="1" t="s">
        <v>74</v>
      </c>
      <c r="AB3379" s="1" t="s">
        <v>649</v>
      </c>
      <c r="AC3379" s="1" t="s">
        <v>74</v>
      </c>
      <c r="AD3379" s="1" t="s">
        <v>74</v>
      </c>
      <c r="AE3379" s="1" t="s">
        <v>74</v>
      </c>
      <c r="AF3379" s="1" t="s">
        <v>74</v>
      </c>
      <c r="AG3379" s="1">
        <v>49</v>
      </c>
      <c r="AH3379" s="1">
        <v>48</v>
      </c>
      <c r="AI3379" s="1">
        <v>52</v>
      </c>
      <c r="AJ3379" s="1">
        <v>0</v>
      </c>
      <c r="AK3379" s="1">
        <v>16</v>
      </c>
      <c r="AL3379" s="1" t="s">
        <v>136</v>
      </c>
      <c r="AM3379" s="1" t="s">
        <v>137</v>
      </c>
      <c r="AN3379" s="1" t="s">
        <v>138</v>
      </c>
      <c r="AO3379" s="1" t="s">
        <v>240</v>
      </c>
      <c r="AP3379" s="1" t="s">
        <v>241</v>
      </c>
      <c r="AQ3379" s="1" t="s">
        <v>74</v>
      </c>
      <c r="AR3379" s="1" t="s">
        <v>242</v>
      </c>
      <c r="AS3379" s="1" t="s">
        <v>243</v>
      </c>
      <c r="AT3379" s="1" t="s">
        <v>170</v>
      </c>
      <c r="AU3379" s="1">
        <v>2006</v>
      </c>
      <c r="AV3379" s="1">
        <v>52</v>
      </c>
      <c r="AW3379" s="1">
        <v>5</v>
      </c>
      <c r="AX3379" s="1" t="s">
        <v>74</v>
      </c>
      <c r="AY3379" s="1" t="s">
        <v>74</v>
      </c>
      <c r="AZ3379" s="1" t="s">
        <v>74</v>
      </c>
      <c r="BA3379" s="1" t="s">
        <v>74</v>
      </c>
      <c r="BB3379" s="1">
        <v>494</v>
      </c>
      <c r="BC3379" s="1">
        <v>502</v>
      </c>
      <c r="BD3379" s="1" t="s">
        <v>74</v>
      </c>
      <c r="BE3379" s="1" t="s">
        <v>53655</v>
      </c>
      <c r="BF3379" s="1" t="str">
        <f>HYPERLINK("http://dx.doi.org/10.1016/j.marpolbul.2005.09.035","http://dx.doi.org/10.1016/j.marpolbul.2005.09.035")</f>
        <v>http://dx.doi.org/10.1016/j.marpolbul.2005.09.035</v>
      </c>
      <c r="BG3379" s="1" t="s">
        <v>74</v>
      </c>
      <c r="BH3379" s="1" t="s">
        <v>74</v>
      </c>
      <c r="BI3379" s="1">
        <v>9</v>
      </c>
      <c r="BJ3379" s="1" t="s">
        <v>247</v>
      </c>
      <c r="BK3379" s="1" t="s">
        <v>96</v>
      </c>
      <c r="BL3379" s="1" t="s">
        <v>248</v>
      </c>
      <c r="BM3379" s="1" t="s">
        <v>53656</v>
      </c>
      <c r="BN3379" s="1">
        <v>16257015</v>
      </c>
      <c r="BO3379" s="1" t="s">
        <v>74</v>
      </c>
      <c r="BP3379" s="1" t="s">
        <v>74</v>
      </c>
      <c r="BQ3379" s="1" t="s">
        <v>74</v>
      </c>
      <c r="BR3379" s="1" t="s">
        <v>98</v>
      </c>
      <c r="BS3379" s="1" t="s">
        <v>53657</v>
      </c>
      <c r="BT3379" s="1" t="str">
        <f>HYPERLINK("https%3A%2F%2Fwww.webofscience.com%2Fwos%2Fwoscc%2Ffull-record%2FWOS:000238687100015","View Full Record in Web of Science")</f>
        <v>View Full Record in Web of Science</v>
      </c>
      <c r="BU3379" s="1"/>
      <c r="BV3379" s="1"/>
    </row>
    <row r="3380" spans="1:74">
      <c r="A3380" s="1" t="s">
        <v>72</v>
      </c>
      <c r="B3380" s="1" t="s">
        <v>53658</v>
      </c>
      <c r="C3380" s="1" t="s">
        <v>74</v>
      </c>
      <c r="D3380" s="1" t="s">
        <v>74</v>
      </c>
      <c r="E3380" s="1" t="s">
        <v>74</v>
      </c>
      <c r="F3380" s="1" t="s">
        <v>53659</v>
      </c>
      <c r="G3380" s="1" t="s">
        <v>74</v>
      </c>
      <c r="H3380" s="1" t="s">
        <v>74</v>
      </c>
      <c r="I3380" s="1" t="s">
        <v>53660</v>
      </c>
      <c r="J3380" s="1" t="s">
        <v>7584</v>
      </c>
      <c r="K3380" s="1" t="s">
        <v>74</v>
      </c>
      <c r="L3380" s="1" t="s">
        <v>74</v>
      </c>
      <c r="M3380" s="1" t="s">
        <v>78</v>
      </c>
      <c r="N3380" s="1" t="s">
        <v>79</v>
      </c>
      <c r="O3380" s="1" t="s">
        <v>74</v>
      </c>
      <c r="P3380" s="1" t="s">
        <v>74</v>
      </c>
      <c r="Q3380" s="1" t="s">
        <v>74</v>
      </c>
      <c r="R3380" s="1" t="s">
        <v>74</v>
      </c>
      <c r="S3380" s="1" t="s">
        <v>74</v>
      </c>
      <c r="T3380" s="1" t="s">
        <v>53661</v>
      </c>
      <c r="U3380" s="1" t="s">
        <v>53662</v>
      </c>
      <c r="V3380" s="1" t="s">
        <v>53663</v>
      </c>
      <c r="W3380" s="1" t="s">
        <v>53664</v>
      </c>
      <c r="X3380" s="1" t="s">
        <v>53665</v>
      </c>
      <c r="Y3380" s="1" t="s">
        <v>53666</v>
      </c>
      <c r="Z3380" s="1" t="s">
        <v>3619</v>
      </c>
      <c r="AA3380" s="1" t="s">
        <v>74</v>
      </c>
      <c r="AB3380" s="1" t="s">
        <v>74</v>
      </c>
      <c r="AC3380" s="1" t="s">
        <v>74</v>
      </c>
      <c r="AD3380" s="1" t="s">
        <v>74</v>
      </c>
      <c r="AE3380" s="1" t="s">
        <v>74</v>
      </c>
      <c r="AF3380" s="1" t="s">
        <v>74</v>
      </c>
      <c r="AG3380" s="1">
        <v>67</v>
      </c>
      <c r="AH3380" s="1">
        <v>32</v>
      </c>
      <c r="AI3380" s="1">
        <v>39</v>
      </c>
      <c r="AJ3380" s="1">
        <v>1</v>
      </c>
      <c r="AK3380" s="1">
        <v>37</v>
      </c>
      <c r="AL3380" s="1" t="s">
        <v>136</v>
      </c>
      <c r="AM3380" s="1" t="s">
        <v>137</v>
      </c>
      <c r="AN3380" s="1" t="s">
        <v>138</v>
      </c>
      <c r="AO3380" s="1" t="s">
        <v>7589</v>
      </c>
      <c r="AP3380" s="1" t="s">
        <v>74</v>
      </c>
      <c r="AQ3380" s="1" t="s">
        <v>74</v>
      </c>
      <c r="AR3380" s="1" t="s">
        <v>7591</v>
      </c>
      <c r="AS3380" s="1" t="s">
        <v>7592</v>
      </c>
      <c r="AT3380" s="1" t="s">
        <v>93</v>
      </c>
      <c r="AU3380" s="1">
        <v>2008</v>
      </c>
      <c r="AV3380" s="1">
        <v>42</v>
      </c>
      <c r="AW3380" s="1" t="s">
        <v>10021</v>
      </c>
      <c r="AX3380" s="1" t="s">
        <v>74</v>
      </c>
      <c r="AY3380" s="1" t="s">
        <v>74</v>
      </c>
      <c r="AZ3380" s="1" t="s">
        <v>74</v>
      </c>
      <c r="BA3380" s="1" t="s">
        <v>74</v>
      </c>
      <c r="BB3380" s="1">
        <v>2157</v>
      </c>
      <c r="BC3380" s="1">
        <v>2165</v>
      </c>
      <c r="BD3380" s="1" t="s">
        <v>74</v>
      </c>
      <c r="BE3380" s="1" t="s">
        <v>53667</v>
      </c>
      <c r="BF3380" s="1" t="str">
        <f>HYPERLINK("http://dx.doi.org/10.1016/j.watres.2007.11.028","http://dx.doi.org/10.1016/j.watres.2007.11.028")</f>
        <v>http://dx.doi.org/10.1016/j.watres.2007.11.028</v>
      </c>
      <c r="BG3380" s="1" t="s">
        <v>74</v>
      </c>
      <c r="BH3380" s="1" t="s">
        <v>74</v>
      </c>
      <c r="BI3380" s="1">
        <v>9</v>
      </c>
      <c r="BJ3380" s="1" t="s">
        <v>587</v>
      </c>
      <c r="BK3380" s="1" t="s">
        <v>96</v>
      </c>
      <c r="BL3380" s="1" t="s">
        <v>589</v>
      </c>
      <c r="BM3380" s="1" t="s">
        <v>53668</v>
      </c>
      <c r="BN3380" s="1">
        <v>18160093</v>
      </c>
      <c r="BO3380" s="1" t="s">
        <v>74</v>
      </c>
      <c r="BP3380" s="1" t="s">
        <v>74</v>
      </c>
      <c r="BQ3380" s="1" t="s">
        <v>74</v>
      </c>
      <c r="BR3380" s="1" t="s">
        <v>98</v>
      </c>
      <c r="BS3380" s="1" t="s">
        <v>53669</v>
      </c>
      <c r="BT3380" s="1" t="str">
        <f>HYPERLINK("https%3A%2F%2Fwww.webofscience.com%2Fwos%2Fwoscc%2Ffull-record%2FWOS:000255825500032","View Full Record in Web of Science")</f>
        <v>View Full Record in Web of Science</v>
      </c>
      <c r="BU3380" s="1"/>
      <c r="BV3380" s="1"/>
    </row>
    <row r="3381" spans="1:74">
      <c r="A3381" s="1" t="s">
        <v>72</v>
      </c>
      <c r="B3381" s="1" t="s">
        <v>53670</v>
      </c>
      <c r="C3381" s="1" t="s">
        <v>74</v>
      </c>
      <c r="D3381" s="1" t="s">
        <v>74</v>
      </c>
      <c r="E3381" s="1" t="s">
        <v>74</v>
      </c>
      <c r="F3381" s="1" t="s">
        <v>53671</v>
      </c>
      <c r="G3381" s="1" t="s">
        <v>74</v>
      </c>
      <c r="H3381" s="1" t="s">
        <v>74</v>
      </c>
      <c r="I3381" s="1" t="s">
        <v>53672</v>
      </c>
      <c r="J3381" s="1" t="s">
        <v>909</v>
      </c>
      <c r="K3381" s="1" t="s">
        <v>74</v>
      </c>
      <c r="L3381" s="1" t="s">
        <v>74</v>
      </c>
      <c r="M3381" s="1" t="s">
        <v>78</v>
      </c>
      <c r="N3381" s="1" t="s">
        <v>79</v>
      </c>
      <c r="O3381" s="1" t="s">
        <v>74</v>
      </c>
      <c r="P3381" s="1" t="s">
        <v>74</v>
      </c>
      <c r="Q3381" s="1" t="s">
        <v>74</v>
      </c>
      <c r="R3381" s="1" t="s">
        <v>74</v>
      </c>
      <c r="S3381" s="1" t="s">
        <v>74</v>
      </c>
      <c r="T3381" s="1" t="s">
        <v>53673</v>
      </c>
      <c r="U3381" s="1" t="s">
        <v>53674</v>
      </c>
      <c r="V3381" s="1" t="s">
        <v>53675</v>
      </c>
      <c r="W3381" s="1" t="s">
        <v>53676</v>
      </c>
      <c r="X3381" s="1" t="s">
        <v>53677</v>
      </c>
      <c r="Y3381" s="1" t="s">
        <v>53678</v>
      </c>
      <c r="Z3381" s="1" t="s">
        <v>53679</v>
      </c>
      <c r="AA3381" s="1" t="s">
        <v>53680</v>
      </c>
      <c r="AB3381" s="1" t="s">
        <v>53681</v>
      </c>
      <c r="AC3381" s="1" t="s">
        <v>53682</v>
      </c>
      <c r="AD3381" s="1" t="s">
        <v>53683</v>
      </c>
      <c r="AE3381" s="1" t="s">
        <v>53684</v>
      </c>
      <c r="AF3381" s="1" t="s">
        <v>74</v>
      </c>
      <c r="AG3381" s="1">
        <v>72</v>
      </c>
      <c r="AH3381" s="1">
        <v>323</v>
      </c>
      <c r="AI3381" s="1">
        <v>343</v>
      </c>
      <c r="AJ3381" s="1">
        <v>5</v>
      </c>
      <c r="AK3381" s="1">
        <v>521</v>
      </c>
      <c r="AL3381" s="1" t="s">
        <v>650</v>
      </c>
      <c r="AM3381" s="1" t="s">
        <v>651</v>
      </c>
      <c r="AN3381" s="1" t="s">
        <v>652</v>
      </c>
      <c r="AO3381" s="1" t="s">
        <v>921</v>
      </c>
      <c r="AP3381" s="1" t="s">
        <v>922</v>
      </c>
      <c r="AQ3381" s="1" t="s">
        <v>74</v>
      </c>
      <c r="AR3381" s="1" t="s">
        <v>923</v>
      </c>
      <c r="AS3381" s="1" t="s">
        <v>924</v>
      </c>
      <c r="AT3381" s="1" t="s">
        <v>5542</v>
      </c>
      <c r="AU3381" s="1">
        <v>2018</v>
      </c>
      <c r="AV3381" s="1">
        <v>626</v>
      </c>
      <c r="AW3381" s="1" t="s">
        <v>74</v>
      </c>
      <c r="AX3381" s="1" t="s">
        <v>74</v>
      </c>
      <c r="AY3381" s="1" t="s">
        <v>74</v>
      </c>
      <c r="AZ3381" s="1" t="s">
        <v>74</v>
      </c>
      <c r="BA3381" s="1" t="s">
        <v>74</v>
      </c>
      <c r="BB3381" s="1">
        <v>720</v>
      </c>
      <c r="BC3381" s="1">
        <v>726</v>
      </c>
      <c r="BD3381" s="1" t="s">
        <v>74</v>
      </c>
      <c r="BE3381" s="1" t="s">
        <v>53685</v>
      </c>
      <c r="BF3381" s="1" t="str">
        <f>HYPERLINK("http://dx.doi.org/10.1016/j.scitotenv.2018.01.092","http://dx.doi.org/10.1016/j.scitotenv.2018.01.092")</f>
        <v>http://dx.doi.org/10.1016/j.scitotenv.2018.01.092</v>
      </c>
      <c r="BG3381" s="1" t="s">
        <v>74</v>
      </c>
      <c r="BH3381" s="1" t="s">
        <v>74</v>
      </c>
      <c r="BI3381" s="1">
        <v>7</v>
      </c>
      <c r="BJ3381" s="1" t="s">
        <v>144</v>
      </c>
      <c r="BK3381" s="1" t="s">
        <v>96</v>
      </c>
      <c r="BL3381" s="1" t="s">
        <v>145</v>
      </c>
      <c r="BM3381" s="1" t="s">
        <v>37716</v>
      </c>
      <c r="BN3381" s="1">
        <v>29396337</v>
      </c>
      <c r="BO3381" s="1" t="s">
        <v>810</v>
      </c>
      <c r="BP3381" s="1" t="s">
        <v>74</v>
      </c>
      <c r="BQ3381" s="1" t="s">
        <v>74</v>
      </c>
      <c r="BR3381" s="1" t="s">
        <v>98</v>
      </c>
      <c r="BS3381" s="1" t="s">
        <v>53686</v>
      </c>
      <c r="BT3381" s="1" t="str">
        <f>HYPERLINK("https%3A%2F%2Fwww.webofscience.com%2Fwos%2Fwoscc%2Ffull-record%2FWOS:000428194000072","View Full Record in Web of Science")</f>
        <v>View Full Record in Web of Science</v>
      </c>
      <c r="BU3381" s="1"/>
      <c r="BV3381" s="1"/>
    </row>
    <row r="3382" spans="1:74">
      <c r="A3382" s="1" t="s">
        <v>72</v>
      </c>
      <c r="B3382" s="1" t="s">
        <v>53687</v>
      </c>
      <c r="C3382" s="1" t="s">
        <v>74</v>
      </c>
      <c r="D3382" s="1" t="s">
        <v>74</v>
      </c>
      <c r="E3382" s="1" t="s">
        <v>74</v>
      </c>
      <c r="F3382" s="1" t="s">
        <v>53688</v>
      </c>
      <c r="G3382" s="1" t="s">
        <v>74</v>
      </c>
      <c r="H3382" s="1" t="s">
        <v>74</v>
      </c>
      <c r="I3382" s="1" t="s">
        <v>53689</v>
      </c>
      <c r="J3382" s="1" t="s">
        <v>421</v>
      </c>
      <c r="K3382" s="1" t="s">
        <v>74</v>
      </c>
      <c r="L3382" s="1" t="s">
        <v>74</v>
      </c>
      <c r="M3382" s="1" t="s">
        <v>78</v>
      </c>
      <c r="N3382" s="1" t="s">
        <v>79</v>
      </c>
      <c r="O3382" s="1" t="s">
        <v>74</v>
      </c>
      <c r="P3382" s="1" t="s">
        <v>74</v>
      </c>
      <c r="Q3382" s="1" t="s">
        <v>74</v>
      </c>
      <c r="R3382" s="1" t="s">
        <v>74</v>
      </c>
      <c r="S3382" s="1" t="s">
        <v>74</v>
      </c>
      <c r="T3382" s="1" t="s">
        <v>53690</v>
      </c>
      <c r="U3382" s="1" t="s">
        <v>53691</v>
      </c>
      <c r="V3382" s="1" t="s">
        <v>53692</v>
      </c>
      <c r="W3382" s="1" t="s">
        <v>53693</v>
      </c>
      <c r="X3382" s="1" t="s">
        <v>53694</v>
      </c>
      <c r="Y3382" s="1" t="s">
        <v>53695</v>
      </c>
      <c r="Z3382" s="1" t="s">
        <v>53696</v>
      </c>
      <c r="AA3382" s="1" t="s">
        <v>74</v>
      </c>
      <c r="AB3382" s="1" t="s">
        <v>53697</v>
      </c>
      <c r="AC3382" s="1" t="s">
        <v>53698</v>
      </c>
      <c r="AD3382" s="1" t="s">
        <v>31415</v>
      </c>
      <c r="AE3382" s="1" t="s">
        <v>74</v>
      </c>
      <c r="AF3382" s="1" t="s">
        <v>74</v>
      </c>
      <c r="AG3382" s="1">
        <v>32</v>
      </c>
      <c r="AH3382" s="1">
        <v>11</v>
      </c>
      <c r="AI3382" s="1">
        <v>11</v>
      </c>
      <c r="AJ3382" s="1">
        <v>1</v>
      </c>
      <c r="AK3382" s="1">
        <v>14</v>
      </c>
      <c r="AL3382" s="1" t="s">
        <v>430</v>
      </c>
      <c r="AM3382" s="1" t="s">
        <v>137</v>
      </c>
      <c r="AN3382" s="1" t="s">
        <v>431</v>
      </c>
      <c r="AO3382" s="1" t="s">
        <v>432</v>
      </c>
      <c r="AP3382" s="1" t="s">
        <v>74</v>
      </c>
      <c r="AQ3382" s="1" t="s">
        <v>74</v>
      </c>
      <c r="AR3382" s="1" t="s">
        <v>433</v>
      </c>
      <c r="AS3382" s="1" t="s">
        <v>434</v>
      </c>
      <c r="AT3382" s="1" t="s">
        <v>170</v>
      </c>
      <c r="AU3382" s="1">
        <v>2010</v>
      </c>
      <c r="AV3382" s="1">
        <v>158</v>
      </c>
      <c r="AW3382" s="1">
        <v>5</v>
      </c>
      <c r="AX3382" s="1" t="s">
        <v>74</v>
      </c>
      <c r="AY3382" s="1" t="s">
        <v>74</v>
      </c>
      <c r="AZ3382" s="1" t="s">
        <v>74</v>
      </c>
      <c r="BA3382" s="1" t="s">
        <v>74</v>
      </c>
      <c r="BB3382" s="1">
        <v>1702</v>
      </c>
      <c r="BC3382" s="1">
        <v>1709</v>
      </c>
      <c r="BD3382" s="1" t="s">
        <v>74</v>
      </c>
      <c r="BE3382" s="1" t="s">
        <v>53699</v>
      </c>
      <c r="BF3382" s="1" t="str">
        <f>HYPERLINK("http://dx.doi.org/10.1016/j.envpol.2009.11.024","http://dx.doi.org/10.1016/j.envpol.2009.11.024")</f>
        <v>http://dx.doi.org/10.1016/j.envpol.2009.11.024</v>
      </c>
      <c r="BG3382" s="1" t="s">
        <v>74</v>
      </c>
      <c r="BH3382" s="1" t="s">
        <v>74</v>
      </c>
      <c r="BI3382" s="1">
        <v>8</v>
      </c>
      <c r="BJ3382" s="1" t="s">
        <v>144</v>
      </c>
      <c r="BK3382" s="1" t="s">
        <v>96</v>
      </c>
      <c r="BL3382" s="1" t="s">
        <v>145</v>
      </c>
      <c r="BM3382" s="1" t="s">
        <v>19671</v>
      </c>
      <c r="BN3382" s="1">
        <v>20022152</v>
      </c>
      <c r="BO3382" s="1" t="s">
        <v>74</v>
      </c>
      <c r="BP3382" s="1" t="s">
        <v>74</v>
      </c>
      <c r="BQ3382" s="1" t="s">
        <v>74</v>
      </c>
      <c r="BR3382" s="1" t="s">
        <v>98</v>
      </c>
      <c r="BS3382" s="1" t="s">
        <v>53700</v>
      </c>
      <c r="BT3382" s="1" t="str">
        <f>HYPERLINK("https%3A%2F%2Fwww.webofscience.com%2Fwos%2Fwoscc%2Ffull-record%2FWOS:000277726500077","View Full Record in Web of Science")</f>
        <v>View Full Record in Web of Science</v>
      </c>
      <c r="BU3382" s="1"/>
      <c r="BV3382" s="1"/>
    </row>
    <row r="3383" spans="1:74">
      <c r="A3383" s="1" t="s">
        <v>72</v>
      </c>
      <c r="B3383" s="1" t="s">
        <v>53701</v>
      </c>
      <c r="C3383" s="1" t="s">
        <v>74</v>
      </c>
      <c r="D3383" s="1" t="s">
        <v>74</v>
      </c>
      <c r="E3383" s="1" t="s">
        <v>74</v>
      </c>
      <c r="F3383" s="1" t="s">
        <v>53702</v>
      </c>
      <c r="G3383" s="1" t="s">
        <v>74</v>
      </c>
      <c r="H3383" s="1" t="s">
        <v>74</v>
      </c>
      <c r="I3383" s="1" t="s">
        <v>53703</v>
      </c>
      <c r="J3383" s="1" t="s">
        <v>11898</v>
      </c>
      <c r="K3383" s="1" t="s">
        <v>74</v>
      </c>
      <c r="L3383" s="1" t="s">
        <v>74</v>
      </c>
      <c r="M3383" s="1" t="s">
        <v>78</v>
      </c>
      <c r="N3383" s="1" t="s">
        <v>79</v>
      </c>
      <c r="O3383" s="1" t="s">
        <v>74</v>
      </c>
      <c r="P3383" s="1" t="s">
        <v>74</v>
      </c>
      <c r="Q3383" s="1" t="s">
        <v>74</v>
      </c>
      <c r="R3383" s="1" t="s">
        <v>74</v>
      </c>
      <c r="S3383" s="1" t="s">
        <v>74</v>
      </c>
      <c r="T3383" s="1" t="s">
        <v>53704</v>
      </c>
      <c r="U3383" s="1" t="s">
        <v>53705</v>
      </c>
      <c r="V3383" s="1" t="s">
        <v>53706</v>
      </c>
      <c r="W3383" s="1" t="s">
        <v>53707</v>
      </c>
      <c r="X3383" s="1" t="s">
        <v>3483</v>
      </c>
      <c r="Y3383" s="1" t="s">
        <v>1954</v>
      </c>
      <c r="Z3383" s="1" t="s">
        <v>53708</v>
      </c>
      <c r="AA3383" s="1" t="s">
        <v>53709</v>
      </c>
      <c r="AB3383" s="1" t="s">
        <v>53710</v>
      </c>
      <c r="AC3383" s="1" t="s">
        <v>53711</v>
      </c>
      <c r="AD3383" s="1" t="s">
        <v>53712</v>
      </c>
      <c r="AE3383" s="1" t="s">
        <v>53713</v>
      </c>
      <c r="AF3383" s="1" t="s">
        <v>74</v>
      </c>
      <c r="AG3383" s="1">
        <v>53</v>
      </c>
      <c r="AH3383" s="1">
        <v>20</v>
      </c>
      <c r="AI3383" s="1">
        <v>22</v>
      </c>
      <c r="AJ3383" s="1">
        <v>0</v>
      </c>
      <c r="AK3383" s="1">
        <v>23</v>
      </c>
      <c r="AL3383" s="1" t="s">
        <v>1566</v>
      </c>
      <c r="AM3383" s="1" t="s">
        <v>1567</v>
      </c>
      <c r="AN3383" s="1" t="s">
        <v>1568</v>
      </c>
      <c r="AO3383" s="1" t="s">
        <v>74</v>
      </c>
      <c r="AP3383" s="1" t="s">
        <v>11911</v>
      </c>
      <c r="AQ3383" s="1" t="s">
        <v>74</v>
      </c>
      <c r="AR3383" s="1" t="s">
        <v>11912</v>
      </c>
      <c r="AS3383" s="1" t="s">
        <v>11913</v>
      </c>
      <c r="AT3383" s="1" t="s">
        <v>197</v>
      </c>
      <c r="AU3383" s="1">
        <v>2015</v>
      </c>
      <c r="AV3383" s="1">
        <v>12</v>
      </c>
      <c r="AW3383" s="1">
        <v>12</v>
      </c>
      <c r="AX3383" s="1" t="s">
        <v>74</v>
      </c>
      <c r="AY3383" s="1" t="s">
        <v>74</v>
      </c>
      <c r="AZ3383" s="1" t="s">
        <v>74</v>
      </c>
      <c r="BA3383" s="1" t="s">
        <v>74</v>
      </c>
      <c r="BB3383" s="1">
        <v>15706</v>
      </c>
      <c r="BC3383" s="1">
        <v>15715</v>
      </c>
      <c r="BD3383" s="1" t="s">
        <v>74</v>
      </c>
      <c r="BE3383" s="1" t="s">
        <v>53714</v>
      </c>
      <c r="BF3383" s="1" t="str">
        <f>HYPERLINK("http://dx.doi.org/10.3390/ijerph121215016","http://dx.doi.org/10.3390/ijerph121215016")</f>
        <v>http://dx.doi.org/10.3390/ijerph121215016</v>
      </c>
      <c r="BG3383" s="1" t="s">
        <v>74</v>
      </c>
      <c r="BH3383" s="1" t="s">
        <v>74</v>
      </c>
      <c r="BI3383" s="1">
        <v>10</v>
      </c>
      <c r="BJ3383" s="1" t="s">
        <v>10142</v>
      </c>
      <c r="BK3383" s="1" t="s">
        <v>96</v>
      </c>
      <c r="BL3383" s="1" t="s">
        <v>10143</v>
      </c>
      <c r="BM3383" s="1" t="s">
        <v>53715</v>
      </c>
      <c r="BN3383" s="1">
        <v>26690456</v>
      </c>
      <c r="BO3383" s="1" t="s">
        <v>20619</v>
      </c>
      <c r="BP3383" s="1" t="s">
        <v>74</v>
      </c>
      <c r="BQ3383" s="1" t="s">
        <v>74</v>
      </c>
      <c r="BR3383" s="1" t="s">
        <v>98</v>
      </c>
      <c r="BS3383" s="1" t="s">
        <v>53716</v>
      </c>
      <c r="BT3383" s="1" t="str">
        <f>HYPERLINK("https%3A%2F%2Fwww.webofscience.com%2Fwos%2Fwoscc%2Ffull-record%2FWOS:000367539000057","View Full Record in Web of Science")</f>
        <v>View Full Record in Web of Science</v>
      </c>
      <c r="BU3383" s="1"/>
      <c r="BV3383" s="1"/>
    </row>
    <row r="3384" spans="1:74">
      <c r="A3384" s="1" t="s">
        <v>72</v>
      </c>
      <c r="B3384" s="1" t="s">
        <v>53717</v>
      </c>
      <c r="C3384" s="1" t="s">
        <v>74</v>
      </c>
      <c r="D3384" s="1" t="s">
        <v>74</v>
      </c>
      <c r="E3384" s="1" t="s">
        <v>74</v>
      </c>
      <c r="F3384" s="1" t="s">
        <v>53717</v>
      </c>
      <c r="G3384" s="1" t="s">
        <v>74</v>
      </c>
      <c r="H3384" s="1" t="s">
        <v>74</v>
      </c>
      <c r="I3384" s="1" t="s">
        <v>53718</v>
      </c>
      <c r="J3384" s="1" t="s">
        <v>127</v>
      </c>
      <c r="K3384" s="1" t="s">
        <v>74</v>
      </c>
      <c r="L3384" s="1" t="s">
        <v>74</v>
      </c>
      <c r="M3384" s="1" t="s">
        <v>78</v>
      </c>
      <c r="N3384" s="1" t="s">
        <v>79</v>
      </c>
      <c r="O3384" s="1" t="s">
        <v>74</v>
      </c>
      <c r="P3384" s="1" t="s">
        <v>74</v>
      </c>
      <c r="Q3384" s="1" t="s">
        <v>74</v>
      </c>
      <c r="R3384" s="1" t="s">
        <v>74</v>
      </c>
      <c r="S3384" s="1" t="s">
        <v>74</v>
      </c>
      <c r="T3384" s="1" t="s">
        <v>74</v>
      </c>
      <c r="U3384" s="1" t="s">
        <v>53719</v>
      </c>
      <c r="V3384" s="1" t="s">
        <v>53720</v>
      </c>
      <c r="W3384" s="1" t="s">
        <v>53721</v>
      </c>
      <c r="X3384" s="1" t="s">
        <v>53722</v>
      </c>
      <c r="Y3384" s="1" t="s">
        <v>53723</v>
      </c>
      <c r="Z3384" s="1" t="s">
        <v>74</v>
      </c>
      <c r="AA3384" s="1" t="s">
        <v>53724</v>
      </c>
      <c r="AB3384" s="1" t="s">
        <v>53725</v>
      </c>
      <c r="AC3384" s="1" t="s">
        <v>74</v>
      </c>
      <c r="AD3384" s="1" t="s">
        <v>74</v>
      </c>
      <c r="AE3384" s="1" t="s">
        <v>74</v>
      </c>
      <c r="AF3384" s="1" t="s">
        <v>74</v>
      </c>
      <c r="AG3384" s="1">
        <v>43</v>
      </c>
      <c r="AH3384" s="1">
        <v>5</v>
      </c>
      <c r="AI3384" s="1">
        <v>5</v>
      </c>
      <c r="AJ3384" s="1">
        <v>0</v>
      </c>
      <c r="AK3384" s="1">
        <v>5</v>
      </c>
      <c r="AL3384" s="1" t="s">
        <v>136</v>
      </c>
      <c r="AM3384" s="1" t="s">
        <v>137</v>
      </c>
      <c r="AN3384" s="1" t="s">
        <v>583</v>
      </c>
      <c r="AO3384" s="1" t="s">
        <v>139</v>
      </c>
      <c r="AP3384" s="1" t="s">
        <v>74</v>
      </c>
      <c r="AQ3384" s="1" t="s">
        <v>74</v>
      </c>
      <c r="AR3384" s="1" t="s">
        <v>127</v>
      </c>
      <c r="AS3384" s="1" t="s">
        <v>141</v>
      </c>
      <c r="AT3384" s="1" t="s">
        <v>1470</v>
      </c>
      <c r="AU3384" s="1">
        <v>1996</v>
      </c>
      <c r="AV3384" s="1">
        <v>32</v>
      </c>
      <c r="AW3384" s="1">
        <v>2</v>
      </c>
      <c r="AX3384" s="1" t="s">
        <v>74</v>
      </c>
      <c r="AY3384" s="1" t="s">
        <v>74</v>
      </c>
      <c r="AZ3384" s="1" t="s">
        <v>74</v>
      </c>
      <c r="BA3384" s="1" t="s">
        <v>74</v>
      </c>
      <c r="BB3384" s="1">
        <v>391</v>
      </c>
      <c r="BC3384" s="1">
        <v>403</v>
      </c>
      <c r="BD3384" s="1" t="s">
        <v>74</v>
      </c>
      <c r="BE3384" s="1" t="s">
        <v>53726</v>
      </c>
      <c r="BF3384" s="1" t="str">
        <f>HYPERLINK("http://dx.doi.org/10.1016/0045-6535(95)00333-9","http://dx.doi.org/10.1016/0045-6535(95)00333-9")</f>
        <v>http://dx.doi.org/10.1016/0045-6535(95)00333-9</v>
      </c>
      <c r="BG3384" s="1" t="s">
        <v>74</v>
      </c>
      <c r="BH3384" s="1" t="s">
        <v>74</v>
      </c>
      <c r="BI3384" s="1">
        <v>13</v>
      </c>
      <c r="BJ3384" s="1" t="s">
        <v>144</v>
      </c>
      <c r="BK3384" s="1" t="s">
        <v>96</v>
      </c>
      <c r="BL3384" s="1" t="s">
        <v>145</v>
      </c>
      <c r="BM3384" s="1" t="s">
        <v>53727</v>
      </c>
      <c r="BN3384" s="1" t="s">
        <v>74</v>
      </c>
      <c r="BO3384" s="1" t="s">
        <v>74</v>
      </c>
      <c r="BP3384" s="1" t="s">
        <v>74</v>
      </c>
      <c r="BQ3384" s="1" t="s">
        <v>74</v>
      </c>
      <c r="BR3384" s="1" t="s">
        <v>98</v>
      </c>
      <c r="BS3384" s="1" t="s">
        <v>53728</v>
      </c>
      <c r="BT3384" s="1" t="str">
        <f>HYPERLINK("https%3A%2F%2Fwww.webofscience.com%2Fwos%2Fwoscc%2Ffull-record%2FWOS:A1996TT73500012","View Full Record in Web of Science")</f>
        <v>View Full Record in Web of Science</v>
      </c>
      <c r="BU3384" s="1"/>
      <c r="BV3384" s="1"/>
    </row>
    <row r="3385" spans="1:74">
      <c r="A3385" s="1" t="s">
        <v>72</v>
      </c>
      <c r="B3385" s="1" t="s">
        <v>53729</v>
      </c>
      <c r="C3385" s="1" t="s">
        <v>74</v>
      </c>
      <c r="D3385" s="1" t="s">
        <v>74</v>
      </c>
      <c r="E3385" s="1" t="s">
        <v>74</v>
      </c>
      <c r="F3385" s="1" t="s">
        <v>53730</v>
      </c>
      <c r="G3385" s="1" t="s">
        <v>74</v>
      </c>
      <c r="H3385" s="1" t="s">
        <v>74</v>
      </c>
      <c r="I3385" s="1" t="s">
        <v>53731</v>
      </c>
      <c r="J3385" s="1" t="s">
        <v>909</v>
      </c>
      <c r="K3385" s="1" t="s">
        <v>74</v>
      </c>
      <c r="L3385" s="1" t="s">
        <v>74</v>
      </c>
      <c r="M3385" s="1" t="s">
        <v>78</v>
      </c>
      <c r="N3385" s="1" t="s">
        <v>79</v>
      </c>
      <c r="O3385" s="1" t="s">
        <v>74</v>
      </c>
      <c r="P3385" s="1" t="s">
        <v>74</v>
      </c>
      <c r="Q3385" s="1" t="s">
        <v>74</v>
      </c>
      <c r="R3385" s="1" t="s">
        <v>74</v>
      </c>
      <c r="S3385" s="1" t="s">
        <v>74</v>
      </c>
      <c r="T3385" s="1" t="s">
        <v>53732</v>
      </c>
      <c r="U3385" s="1" t="s">
        <v>53733</v>
      </c>
      <c r="V3385" s="1" t="s">
        <v>53734</v>
      </c>
      <c r="W3385" s="1" t="s">
        <v>53735</v>
      </c>
      <c r="X3385" s="1" t="s">
        <v>53736</v>
      </c>
      <c r="Y3385" s="1" t="s">
        <v>53737</v>
      </c>
      <c r="Z3385" s="1" t="s">
        <v>53738</v>
      </c>
      <c r="AA3385" s="1" t="s">
        <v>53739</v>
      </c>
      <c r="AB3385" s="1" t="s">
        <v>53740</v>
      </c>
      <c r="AC3385" s="1" t="s">
        <v>74</v>
      </c>
      <c r="AD3385" s="1" t="s">
        <v>74</v>
      </c>
      <c r="AE3385" s="1" t="s">
        <v>74</v>
      </c>
      <c r="AF3385" s="1" t="s">
        <v>74</v>
      </c>
      <c r="AG3385" s="1">
        <v>112</v>
      </c>
      <c r="AH3385" s="1">
        <v>41</v>
      </c>
      <c r="AI3385" s="1">
        <v>45</v>
      </c>
      <c r="AJ3385" s="1">
        <v>1</v>
      </c>
      <c r="AK3385" s="1">
        <v>73</v>
      </c>
      <c r="AL3385" s="1" t="s">
        <v>650</v>
      </c>
      <c r="AM3385" s="1" t="s">
        <v>651</v>
      </c>
      <c r="AN3385" s="1" t="s">
        <v>652</v>
      </c>
      <c r="AO3385" s="1" t="s">
        <v>921</v>
      </c>
      <c r="AP3385" s="1" t="s">
        <v>922</v>
      </c>
      <c r="AQ3385" s="1" t="s">
        <v>74</v>
      </c>
      <c r="AR3385" s="1" t="s">
        <v>923</v>
      </c>
      <c r="AS3385" s="1" t="s">
        <v>924</v>
      </c>
      <c r="AT3385" s="1" t="s">
        <v>1091</v>
      </c>
      <c r="AU3385" s="1">
        <v>2019</v>
      </c>
      <c r="AV3385" s="1">
        <v>669</v>
      </c>
      <c r="AW3385" s="1" t="s">
        <v>74</v>
      </c>
      <c r="AX3385" s="1" t="s">
        <v>74</v>
      </c>
      <c r="AY3385" s="1" t="s">
        <v>74</v>
      </c>
      <c r="AZ3385" s="1" t="s">
        <v>74</v>
      </c>
      <c r="BA3385" s="1" t="s">
        <v>74</v>
      </c>
      <c r="BB3385" s="1">
        <v>637</v>
      </c>
      <c r="BC3385" s="1">
        <v>648</v>
      </c>
      <c r="BD3385" s="1" t="s">
        <v>74</v>
      </c>
      <c r="BE3385" s="1" t="s">
        <v>53741</v>
      </c>
      <c r="BF3385" s="1" t="str">
        <f>HYPERLINK("http://dx.doi.org/10.1016/j.scitotenv.2019.03.122","http://dx.doi.org/10.1016/j.scitotenv.2019.03.122")</f>
        <v>http://dx.doi.org/10.1016/j.scitotenv.2019.03.122</v>
      </c>
      <c r="BG3385" s="1" t="s">
        <v>74</v>
      </c>
      <c r="BH3385" s="1" t="s">
        <v>74</v>
      </c>
      <c r="BI3385" s="1">
        <v>12</v>
      </c>
      <c r="BJ3385" s="1" t="s">
        <v>144</v>
      </c>
      <c r="BK3385" s="1" t="s">
        <v>96</v>
      </c>
      <c r="BL3385" s="1" t="s">
        <v>145</v>
      </c>
      <c r="BM3385" s="1" t="s">
        <v>37491</v>
      </c>
      <c r="BN3385" s="1">
        <v>30889451</v>
      </c>
      <c r="BO3385" s="1" t="s">
        <v>74</v>
      </c>
      <c r="BP3385" s="1" t="s">
        <v>74</v>
      </c>
      <c r="BQ3385" s="1" t="s">
        <v>74</v>
      </c>
      <c r="BR3385" s="1" t="s">
        <v>98</v>
      </c>
      <c r="BS3385" s="1" t="s">
        <v>53742</v>
      </c>
      <c r="BT3385" s="1" t="str">
        <f>HYPERLINK("https%3A%2F%2Fwww.webofscience.com%2Fwos%2Fwoscc%2Ffull-record%2FWOS:000463663500061","View Full Record in Web of Science")</f>
        <v>View Full Record in Web of Science</v>
      </c>
      <c r="BU3385" s="1"/>
      <c r="BV3385" s="1"/>
    </row>
    <row r="3386" spans="1:74">
      <c r="A3386" s="1" t="s">
        <v>72</v>
      </c>
      <c r="B3386" s="1" t="s">
        <v>53743</v>
      </c>
      <c r="C3386" s="1" t="s">
        <v>74</v>
      </c>
      <c r="D3386" s="1" t="s">
        <v>74</v>
      </c>
      <c r="E3386" s="1" t="s">
        <v>74</v>
      </c>
      <c r="F3386" s="1" t="s">
        <v>53744</v>
      </c>
      <c r="G3386" s="1" t="s">
        <v>74</v>
      </c>
      <c r="H3386" s="1" t="s">
        <v>74</v>
      </c>
      <c r="I3386" s="1" t="s">
        <v>53745</v>
      </c>
      <c r="J3386" s="1" t="s">
        <v>232</v>
      </c>
      <c r="K3386" s="1" t="s">
        <v>74</v>
      </c>
      <c r="L3386" s="1" t="s">
        <v>74</v>
      </c>
      <c r="M3386" s="1" t="s">
        <v>78</v>
      </c>
      <c r="N3386" s="1" t="s">
        <v>79</v>
      </c>
      <c r="O3386" s="1" t="s">
        <v>74</v>
      </c>
      <c r="P3386" s="1" t="s">
        <v>74</v>
      </c>
      <c r="Q3386" s="1" t="s">
        <v>74</v>
      </c>
      <c r="R3386" s="1" t="s">
        <v>74</v>
      </c>
      <c r="S3386" s="1" t="s">
        <v>74</v>
      </c>
      <c r="T3386" s="1" t="s">
        <v>53746</v>
      </c>
      <c r="U3386" s="1" t="s">
        <v>53747</v>
      </c>
      <c r="V3386" s="1" t="s">
        <v>53748</v>
      </c>
      <c r="W3386" s="1" t="s">
        <v>53749</v>
      </c>
      <c r="X3386" s="1" t="s">
        <v>53750</v>
      </c>
      <c r="Y3386" s="1" t="s">
        <v>53751</v>
      </c>
      <c r="Z3386" s="1" t="s">
        <v>53752</v>
      </c>
      <c r="AA3386" s="1" t="s">
        <v>53753</v>
      </c>
      <c r="AB3386" s="1" t="s">
        <v>53754</v>
      </c>
      <c r="AC3386" s="1" t="s">
        <v>53755</v>
      </c>
      <c r="AD3386" s="1" t="s">
        <v>53755</v>
      </c>
      <c r="AE3386" s="1" t="s">
        <v>53756</v>
      </c>
      <c r="AF3386" s="1" t="s">
        <v>74</v>
      </c>
      <c r="AG3386" s="1">
        <v>85</v>
      </c>
      <c r="AH3386" s="1">
        <v>39</v>
      </c>
      <c r="AI3386" s="1">
        <v>43</v>
      </c>
      <c r="AJ3386" s="1">
        <v>6</v>
      </c>
      <c r="AK3386" s="1">
        <v>94</v>
      </c>
      <c r="AL3386" s="1" t="s">
        <v>136</v>
      </c>
      <c r="AM3386" s="1" t="s">
        <v>137</v>
      </c>
      <c r="AN3386" s="1" t="s">
        <v>138</v>
      </c>
      <c r="AO3386" s="1" t="s">
        <v>240</v>
      </c>
      <c r="AP3386" s="1" t="s">
        <v>241</v>
      </c>
      <c r="AQ3386" s="1" t="s">
        <v>74</v>
      </c>
      <c r="AR3386" s="1" t="s">
        <v>242</v>
      </c>
      <c r="AS3386" s="1" t="s">
        <v>243</v>
      </c>
      <c r="AT3386" s="1" t="s">
        <v>267</v>
      </c>
      <c r="AU3386" s="1">
        <v>2020</v>
      </c>
      <c r="AV3386" s="1">
        <v>159</v>
      </c>
      <c r="AW3386" s="1" t="s">
        <v>74</v>
      </c>
      <c r="AX3386" s="1" t="s">
        <v>74</v>
      </c>
      <c r="AY3386" s="1" t="s">
        <v>74</v>
      </c>
      <c r="AZ3386" s="1" t="s">
        <v>74</v>
      </c>
      <c r="BA3386" s="1" t="s">
        <v>74</v>
      </c>
      <c r="BB3386" s="1" t="s">
        <v>74</v>
      </c>
      <c r="BC3386" s="1" t="s">
        <v>74</v>
      </c>
      <c r="BD3386" s="1">
        <v>111521</v>
      </c>
      <c r="BE3386" s="1" t="s">
        <v>53757</v>
      </c>
      <c r="BF3386" s="1" t="str">
        <f>HYPERLINK("http://dx.doi.org/10.1016/j.marpolbul.2020.111521","http://dx.doi.org/10.1016/j.marpolbul.2020.111521")</f>
        <v>http://dx.doi.org/10.1016/j.marpolbul.2020.111521</v>
      </c>
      <c r="BG3386" s="1" t="s">
        <v>74</v>
      </c>
      <c r="BH3386" s="1" t="s">
        <v>74</v>
      </c>
      <c r="BI3386" s="1">
        <v>10</v>
      </c>
      <c r="BJ3386" s="1" t="s">
        <v>247</v>
      </c>
      <c r="BK3386" s="1" t="s">
        <v>96</v>
      </c>
      <c r="BL3386" s="1" t="s">
        <v>248</v>
      </c>
      <c r="BM3386" s="1" t="s">
        <v>53758</v>
      </c>
      <c r="BN3386" s="1">
        <v>32763558</v>
      </c>
      <c r="BO3386" s="1" t="s">
        <v>476</v>
      </c>
      <c r="BP3386" s="1" t="s">
        <v>74</v>
      </c>
      <c r="BQ3386" s="1" t="s">
        <v>74</v>
      </c>
      <c r="BR3386" s="1" t="s">
        <v>98</v>
      </c>
      <c r="BS3386" s="1" t="s">
        <v>53759</v>
      </c>
      <c r="BT3386" s="1" t="str">
        <f>HYPERLINK("https%3A%2F%2Fwww.webofscience.com%2Fwos%2Fwoscc%2Ffull-record%2FWOS:000568698200007","View Full Record in Web of Science")</f>
        <v>View Full Record in Web of Science</v>
      </c>
      <c r="BU3386" s="1"/>
      <c r="BV3386" s="1"/>
    </row>
    <row r="3387" spans="1:74">
      <c r="A3387" s="1" t="s">
        <v>72</v>
      </c>
      <c r="B3387" s="1" t="s">
        <v>53760</v>
      </c>
      <c r="C3387" s="1" t="s">
        <v>74</v>
      </c>
      <c r="D3387" s="1" t="s">
        <v>74</v>
      </c>
      <c r="E3387" s="1" t="s">
        <v>74</v>
      </c>
      <c r="F3387" s="1" t="s">
        <v>53761</v>
      </c>
      <c r="G3387" s="1" t="s">
        <v>74</v>
      </c>
      <c r="H3387" s="1" t="s">
        <v>74</v>
      </c>
      <c r="I3387" s="1" t="s">
        <v>53762</v>
      </c>
      <c r="J3387" s="1" t="s">
        <v>232</v>
      </c>
      <c r="K3387" s="1" t="s">
        <v>74</v>
      </c>
      <c r="L3387" s="1" t="s">
        <v>74</v>
      </c>
      <c r="M3387" s="1" t="s">
        <v>78</v>
      </c>
      <c r="N3387" s="1" t="s">
        <v>79</v>
      </c>
      <c r="O3387" s="1" t="s">
        <v>74</v>
      </c>
      <c r="P3387" s="1" t="s">
        <v>74</v>
      </c>
      <c r="Q3387" s="1" t="s">
        <v>74</v>
      </c>
      <c r="R3387" s="1" t="s">
        <v>74</v>
      </c>
      <c r="S3387" s="1" t="s">
        <v>74</v>
      </c>
      <c r="T3387" s="1" t="s">
        <v>53763</v>
      </c>
      <c r="U3387" s="1" t="s">
        <v>53764</v>
      </c>
      <c r="V3387" s="1" t="s">
        <v>53765</v>
      </c>
      <c r="W3387" s="1" t="s">
        <v>53766</v>
      </c>
      <c r="X3387" s="1" t="s">
        <v>27938</v>
      </c>
      <c r="Y3387" s="1" t="s">
        <v>53767</v>
      </c>
      <c r="Z3387" s="1" t="s">
        <v>53768</v>
      </c>
      <c r="AA3387" s="1" t="s">
        <v>53769</v>
      </c>
      <c r="AB3387" s="1" t="s">
        <v>53770</v>
      </c>
      <c r="AC3387" s="1" t="s">
        <v>53771</v>
      </c>
      <c r="AD3387" s="1" t="s">
        <v>53772</v>
      </c>
      <c r="AE3387" s="1" t="s">
        <v>53773</v>
      </c>
      <c r="AF3387" s="1" t="s">
        <v>74</v>
      </c>
      <c r="AG3387" s="1">
        <v>72</v>
      </c>
      <c r="AH3387" s="1">
        <v>22</v>
      </c>
      <c r="AI3387" s="1">
        <v>25</v>
      </c>
      <c r="AJ3387" s="1">
        <v>0</v>
      </c>
      <c r="AK3387" s="1">
        <v>57</v>
      </c>
      <c r="AL3387" s="1" t="s">
        <v>136</v>
      </c>
      <c r="AM3387" s="1" t="s">
        <v>137</v>
      </c>
      <c r="AN3387" s="1" t="s">
        <v>138</v>
      </c>
      <c r="AO3387" s="1" t="s">
        <v>240</v>
      </c>
      <c r="AP3387" s="1" t="s">
        <v>241</v>
      </c>
      <c r="AQ3387" s="1" t="s">
        <v>74</v>
      </c>
      <c r="AR3387" s="1" t="s">
        <v>242</v>
      </c>
      <c r="AS3387" s="1" t="s">
        <v>243</v>
      </c>
      <c r="AT3387" s="1" t="s">
        <v>3506</v>
      </c>
      <c r="AU3387" s="1">
        <v>2013</v>
      </c>
      <c r="AV3387" s="1">
        <v>74</v>
      </c>
      <c r="AW3387" s="1">
        <v>1</v>
      </c>
      <c r="AX3387" s="1" t="s">
        <v>74</v>
      </c>
      <c r="AY3387" s="1" t="s">
        <v>74</v>
      </c>
      <c r="AZ3387" s="1" t="s">
        <v>74</v>
      </c>
      <c r="BA3387" s="1" t="s">
        <v>74</v>
      </c>
      <c r="BB3387" s="1">
        <v>32</v>
      </c>
      <c r="BC3387" s="1">
        <v>41</v>
      </c>
      <c r="BD3387" s="1" t="s">
        <v>74</v>
      </c>
      <c r="BE3387" s="1" t="s">
        <v>53774</v>
      </c>
      <c r="BF3387" s="1" t="str">
        <f>HYPERLINK("http://dx.doi.org/10.1016/j.marpolbul.2013.07.036","http://dx.doi.org/10.1016/j.marpolbul.2013.07.036")</f>
        <v>http://dx.doi.org/10.1016/j.marpolbul.2013.07.036</v>
      </c>
      <c r="BG3387" s="1" t="s">
        <v>74</v>
      </c>
      <c r="BH3387" s="1" t="s">
        <v>74</v>
      </c>
      <c r="BI3387" s="1">
        <v>10</v>
      </c>
      <c r="BJ3387" s="1" t="s">
        <v>247</v>
      </c>
      <c r="BK3387" s="1" t="s">
        <v>96</v>
      </c>
      <c r="BL3387" s="1" t="s">
        <v>248</v>
      </c>
      <c r="BM3387" s="1" t="s">
        <v>7785</v>
      </c>
      <c r="BN3387" s="1">
        <v>23932476</v>
      </c>
      <c r="BO3387" s="1" t="s">
        <v>74</v>
      </c>
      <c r="BP3387" s="1" t="s">
        <v>74</v>
      </c>
      <c r="BQ3387" s="1" t="s">
        <v>74</v>
      </c>
      <c r="BR3387" s="1" t="s">
        <v>98</v>
      </c>
      <c r="BS3387" s="1" t="s">
        <v>53775</v>
      </c>
      <c r="BT3387" s="1" t="str">
        <f>HYPERLINK("https%3A%2F%2Fwww.webofscience.com%2Fwos%2Fwoscc%2Ffull-record%2FWOS:000326211600017","View Full Record in Web of Science")</f>
        <v>View Full Record in Web of Science</v>
      </c>
      <c r="BU3387" s="1"/>
      <c r="BV3387" s="1"/>
    </row>
    <row r="3388" spans="1:74">
      <c r="A3388" s="1" t="s">
        <v>72</v>
      </c>
      <c r="B3388" s="1" t="s">
        <v>53776</v>
      </c>
      <c r="C3388" s="1" t="s">
        <v>74</v>
      </c>
      <c r="D3388" s="1" t="s">
        <v>74</v>
      </c>
      <c r="E3388" s="1" t="s">
        <v>74</v>
      </c>
      <c r="F3388" s="1" t="s">
        <v>53777</v>
      </c>
      <c r="G3388" s="1" t="s">
        <v>74</v>
      </c>
      <c r="H3388" s="1" t="s">
        <v>74</v>
      </c>
      <c r="I3388" s="1" t="s">
        <v>53778</v>
      </c>
      <c r="J3388" s="1" t="s">
        <v>37929</v>
      </c>
      <c r="K3388" s="1" t="s">
        <v>74</v>
      </c>
      <c r="L3388" s="1" t="s">
        <v>74</v>
      </c>
      <c r="M3388" s="1" t="s">
        <v>78</v>
      </c>
      <c r="N3388" s="1" t="s">
        <v>79</v>
      </c>
      <c r="O3388" s="1" t="s">
        <v>74</v>
      </c>
      <c r="P3388" s="1" t="s">
        <v>74</v>
      </c>
      <c r="Q3388" s="1" t="s">
        <v>74</v>
      </c>
      <c r="R3388" s="1" t="s">
        <v>74</v>
      </c>
      <c r="S3388" s="1" t="s">
        <v>74</v>
      </c>
      <c r="T3388" s="1" t="s">
        <v>74</v>
      </c>
      <c r="U3388" s="1" t="s">
        <v>53779</v>
      </c>
      <c r="V3388" s="1" t="s">
        <v>53780</v>
      </c>
      <c r="W3388" s="1" t="s">
        <v>53781</v>
      </c>
      <c r="X3388" s="1" t="s">
        <v>53782</v>
      </c>
      <c r="Y3388" s="1" t="s">
        <v>53783</v>
      </c>
      <c r="Z3388" s="1" t="s">
        <v>37936</v>
      </c>
      <c r="AA3388" s="1" t="s">
        <v>53784</v>
      </c>
      <c r="AB3388" s="1" t="s">
        <v>53785</v>
      </c>
      <c r="AC3388" s="1" t="s">
        <v>53786</v>
      </c>
      <c r="AD3388" s="1" t="s">
        <v>53786</v>
      </c>
      <c r="AE3388" s="1" t="s">
        <v>53787</v>
      </c>
      <c r="AF3388" s="1" t="s">
        <v>74</v>
      </c>
      <c r="AG3388" s="1">
        <v>69</v>
      </c>
      <c r="AH3388" s="1">
        <v>22</v>
      </c>
      <c r="AI3388" s="1">
        <v>22</v>
      </c>
      <c r="AJ3388" s="1">
        <v>2</v>
      </c>
      <c r="AK3388" s="1">
        <v>18</v>
      </c>
      <c r="AL3388" s="1" t="s">
        <v>37941</v>
      </c>
      <c r="AM3388" s="1" t="s">
        <v>4472</v>
      </c>
      <c r="AN3388" s="1" t="s">
        <v>37942</v>
      </c>
      <c r="AO3388" s="1" t="s">
        <v>37943</v>
      </c>
      <c r="AP3388" s="1" t="s">
        <v>37944</v>
      </c>
      <c r="AQ3388" s="1" t="s">
        <v>74</v>
      </c>
      <c r="AR3388" s="1" t="s">
        <v>37945</v>
      </c>
      <c r="AS3388" s="1" t="s">
        <v>37946</v>
      </c>
      <c r="AT3388" s="1" t="s">
        <v>305</v>
      </c>
      <c r="AU3388" s="1">
        <v>2016</v>
      </c>
      <c r="AV3388" s="1">
        <v>82</v>
      </c>
      <c r="AW3388" s="1">
        <v>18</v>
      </c>
      <c r="AX3388" s="1" t="s">
        <v>74</v>
      </c>
      <c r="AY3388" s="1" t="s">
        <v>74</v>
      </c>
      <c r="AZ3388" s="1" t="s">
        <v>74</v>
      </c>
      <c r="BA3388" s="1" t="s">
        <v>74</v>
      </c>
      <c r="BB3388" s="1">
        <v>5709</v>
      </c>
      <c r="BC3388" s="1">
        <v>5719</v>
      </c>
      <c r="BD3388" s="1" t="s">
        <v>74</v>
      </c>
      <c r="BE3388" s="1" t="s">
        <v>53788</v>
      </c>
      <c r="BF3388" s="1" t="str">
        <f>HYPERLINK("http://dx.doi.org/10.1128/AEM.01528-16","http://dx.doi.org/10.1128/AEM.01528-16")</f>
        <v>http://dx.doi.org/10.1128/AEM.01528-16</v>
      </c>
      <c r="BG3388" s="1" t="s">
        <v>74</v>
      </c>
      <c r="BH3388" s="1" t="s">
        <v>74</v>
      </c>
      <c r="BI3388" s="1">
        <v>11</v>
      </c>
      <c r="BJ3388" s="1" t="s">
        <v>37949</v>
      </c>
      <c r="BK3388" s="1" t="s">
        <v>96</v>
      </c>
      <c r="BL3388" s="1" t="s">
        <v>37949</v>
      </c>
      <c r="BM3388" s="1" t="s">
        <v>53789</v>
      </c>
      <c r="BN3388" s="1">
        <v>27422833</v>
      </c>
      <c r="BO3388" s="1" t="s">
        <v>18961</v>
      </c>
      <c r="BP3388" s="1" t="s">
        <v>74</v>
      </c>
      <c r="BQ3388" s="1" t="s">
        <v>74</v>
      </c>
      <c r="BR3388" s="1" t="s">
        <v>98</v>
      </c>
      <c r="BS3388" s="1" t="s">
        <v>53790</v>
      </c>
      <c r="BT3388" s="1" t="str">
        <f>HYPERLINK("https%3A%2F%2Fwww.webofscience.com%2Fwos%2Fwoscc%2Ffull-record%2FWOS:000382535000023","View Full Record in Web of Science")</f>
        <v>View Full Record in Web of Science</v>
      </c>
      <c r="BU3388" s="1"/>
      <c r="BV3388" s="1"/>
    </row>
    <row r="3389" spans="1:74">
      <c r="A3389" s="1" t="s">
        <v>72</v>
      </c>
      <c r="B3389" s="1" t="s">
        <v>53791</v>
      </c>
      <c r="C3389" s="1" t="s">
        <v>74</v>
      </c>
      <c r="D3389" s="1" t="s">
        <v>74</v>
      </c>
      <c r="E3389" s="1" t="s">
        <v>74</v>
      </c>
      <c r="F3389" s="1" t="s">
        <v>53792</v>
      </c>
      <c r="G3389" s="1" t="s">
        <v>74</v>
      </c>
      <c r="H3389" s="1" t="s">
        <v>74</v>
      </c>
      <c r="I3389" s="1" t="s">
        <v>53793</v>
      </c>
      <c r="J3389" s="1" t="s">
        <v>232</v>
      </c>
      <c r="K3389" s="1" t="s">
        <v>74</v>
      </c>
      <c r="L3389" s="1" t="s">
        <v>74</v>
      </c>
      <c r="M3389" s="1" t="s">
        <v>78</v>
      </c>
      <c r="N3389" s="1" t="s">
        <v>79</v>
      </c>
      <c r="O3389" s="1" t="s">
        <v>74</v>
      </c>
      <c r="P3389" s="1" t="s">
        <v>74</v>
      </c>
      <c r="Q3389" s="1" t="s">
        <v>74</v>
      </c>
      <c r="R3389" s="1" t="s">
        <v>74</v>
      </c>
      <c r="S3389" s="1" t="s">
        <v>74</v>
      </c>
      <c r="T3389" s="1" t="s">
        <v>53794</v>
      </c>
      <c r="U3389" s="1" t="s">
        <v>53795</v>
      </c>
      <c r="V3389" s="1" t="s">
        <v>53796</v>
      </c>
      <c r="W3389" s="1" t="s">
        <v>53797</v>
      </c>
      <c r="X3389" s="1" t="s">
        <v>53798</v>
      </c>
      <c r="Y3389" s="1" t="s">
        <v>53799</v>
      </c>
      <c r="Z3389" s="1" t="s">
        <v>53800</v>
      </c>
      <c r="AA3389" s="1" t="s">
        <v>53801</v>
      </c>
      <c r="AB3389" s="1" t="s">
        <v>53802</v>
      </c>
      <c r="AC3389" s="1" t="s">
        <v>74</v>
      </c>
      <c r="AD3389" s="1" t="s">
        <v>74</v>
      </c>
      <c r="AE3389" s="1" t="s">
        <v>74</v>
      </c>
      <c r="AF3389" s="1" t="s">
        <v>74</v>
      </c>
      <c r="AG3389" s="1">
        <v>92</v>
      </c>
      <c r="AH3389" s="1">
        <v>23</v>
      </c>
      <c r="AI3389" s="1">
        <v>23</v>
      </c>
      <c r="AJ3389" s="1">
        <v>2</v>
      </c>
      <c r="AK3389" s="1">
        <v>37</v>
      </c>
      <c r="AL3389" s="1" t="s">
        <v>136</v>
      </c>
      <c r="AM3389" s="1" t="s">
        <v>137</v>
      </c>
      <c r="AN3389" s="1" t="s">
        <v>138</v>
      </c>
      <c r="AO3389" s="1" t="s">
        <v>240</v>
      </c>
      <c r="AP3389" s="1" t="s">
        <v>241</v>
      </c>
      <c r="AQ3389" s="1" t="s">
        <v>74</v>
      </c>
      <c r="AR3389" s="1" t="s">
        <v>242</v>
      </c>
      <c r="AS3389" s="1" t="s">
        <v>243</v>
      </c>
      <c r="AT3389" s="1" t="s">
        <v>951</v>
      </c>
      <c r="AU3389" s="1">
        <v>2021</v>
      </c>
      <c r="AV3389" s="1">
        <v>172</v>
      </c>
      <c r="AW3389" s="1" t="s">
        <v>74</v>
      </c>
      <c r="AX3389" s="1" t="s">
        <v>74</v>
      </c>
      <c r="AY3389" s="1" t="s">
        <v>74</v>
      </c>
      <c r="AZ3389" s="1" t="s">
        <v>74</v>
      </c>
      <c r="BA3389" s="1" t="s">
        <v>74</v>
      </c>
      <c r="BB3389" s="1" t="s">
        <v>74</v>
      </c>
      <c r="BC3389" s="1" t="s">
        <v>74</v>
      </c>
      <c r="BD3389" s="1">
        <v>112853</v>
      </c>
      <c r="BE3389" s="1" t="s">
        <v>53803</v>
      </c>
      <c r="BF3389" s="1" t="str">
        <f>HYPERLINK("http://dx.doi.org/10.1016/j.marpolbul.2021.112853","http://dx.doi.org/10.1016/j.marpolbul.2021.112853")</f>
        <v>http://dx.doi.org/10.1016/j.marpolbul.2021.112853</v>
      </c>
      <c r="BG3389" s="1" t="s">
        <v>74</v>
      </c>
      <c r="BH3389" s="1" t="s">
        <v>30397</v>
      </c>
      <c r="BI3389" s="1">
        <v>11</v>
      </c>
      <c r="BJ3389" s="1" t="s">
        <v>247</v>
      </c>
      <c r="BK3389" s="1" t="s">
        <v>96</v>
      </c>
      <c r="BL3389" s="1" t="s">
        <v>248</v>
      </c>
      <c r="BM3389" s="1" t="s">
        <v>53804</v>
      </c>
      <c r="BN3389" s="1">
        <v>34425367</v>
      </c>
      <c r="BO3389" s="1" t="s">
        <v>74</v>
      </c>
      <c r="BP3389" s="1" t="s">
        <v>74</v>
      </c>
      <c r="BQ3389" s="1" t="s">
        <v>74</v>
      </c>
      <c r="BR3389" s="1" t="s">
        <v>98</v>
      </c>
      <c r="BS3389" s="1" t="s">
        <v>53805</v>
      </c>
      <c r="BT3389" s="1" t="str">
        <f>HYPERLINK("https%3A%2F%2Fwww.webofscience.com%2Fwos%2Fwoscc%2Ffull-record%2FWOS:000701679700010","View Full Record in Web of Science")</f>
        <v>View Full Record in Web of Science</v>
      </c>
      <c r="BU3389" s="1"/>
      <c r="BV3389" s="1"/>
    </row>
    <row r="3390" spans="1:74">
      <c r="A3390" s="1" t="s">
        <v>72</v>
      </c>
      <c r="B3390" s="1" t="s">
        <v>53806</v>
      </c>
      <c r="C3390" s="1" t="s">
        <v>74</v>
      </c>
      <c r="D3390" s="1" t="s">
        <v>74</v>
      </c>
      <c r="E3390" s="1" t="s">
        <v>74</v>
      </c>
      <c r="F3390" s="1" t="s">
        <v>53807</v>
      </c>
      <c r="G3390" s="1" t="s">
        <v>74</v>
      </c>
      <c r="H3390" s="1" t="s">
        <v>74</v>
      </c>
      <c r="I3390" s="1" t="s">
        <v>53808</v>
      </c>
      <c r="J3390" s="1" t="s">
        <v>232</v>
      </c>
      <c r="K3390" s="1" t="s">
        <v>74</v>
      </c>
      <c r="L3390" s="1" t="s">
        <v>74</v>
      </c>
      <c r="M3390" s="1" t="s">
        <v>78</v>
      </c>
      <c r="N3390" s="1" t="s">
        <v>79</v>
      </c>
      <c r="O3390" s="1" t="s">
        <v>74</v>
      </c>
      <c r="P3390" s="1" t="s">
        <v>74</v>
      </c>
      <c r="Q3390" s="1" t="s">
        <v>74</v>
      </c>
      <c r="R3390" s="1" t="s">
        <v>74</v>
      </c>
      <c r="S3390" s="1" t="s">
        <v>74</v>
      </c>
      <c r="T3390" s="1" t="s">
        <v>53809</v>
      </c>
      <c r="U3390" s="1" t="s">
        <v>53810</v>
      </c>
      <c r="V3390" s="1" t="s">
        <v>53811</v>
      </c>
      <c r="W3390" s="1" t="s">
        <v>53812</v>
      </c>
      <c r="X3390" s="1" t="s">
        <v>19237</v>
      </c>
      <c r="Y3390" s="1" t="s">
        <v>53813</v>
      </c>
      <c r="Z3390" s="1" t="s">
        <v>19239</v>
      </c>
      <c r="AA3390" s="1" t="s">
        <v>53814</v>
      </c>
      <c r="AB3390" s="1" t="s">
        <v>53815</v>
      </c>
      <c r="AC3390" s="1" t="s">
        <v>74</v>
      </c>
      <c r="AD3390" s="1" t="s">
        <v>74</v>
      </c>
      <c r="AE3390" s="1" t="s">
        <v>74</v>
      </c>
      <c r="AF3390" s="1" t="s">
        <v>74</v>
      </c>
      <c r="AG3390" s="1">
        <v>33</v>
      </c>
      <c r="AH3390" s="1">
        <v>0</v>
      </c>
      <c r="AI3390" s="1">
        <v>1</v>
      </c>
      <c r="AJ3390" s="1">
        <v>0</v>
      </c>
      <c r="AK3390" s="1">
        <v>12</v>
      </c>
      <c r="AL3390" s="1" t="s">
        <v>136</v>
      </c>
      <c r="AM3390" s="1" t="s">
        <v>137</v>
      </c>
      <c r="AN3390" s="1" t="s">
        <v>138</v>
      </c>
      <c r="AO3390" s="1" t="s">
        <v>240</v>
      </c>
      <c r="AP3390" s="1" t="s">
        <v>241</v>
      </c>
      <c r="AQ3390" s="1" t="s">
        <v>74</v>
      </c>
      <c r="AR3390" s="1" t="s">
        <v>242</v>
      </c>
      <c r="AS3390" s="1" t="s">
        <v>243</v>
      </c>
      <c r="AT3390" s="1" t="s">
        <v>224</v>
      </c>
      <c r="AU3390" s="1">
        <v>2009</v>
      </c>
      <c r="AV3390" s="1">
        <v>58</v>
      </c>
      <c r="AW3390" s="1">
        <v>2</v>
      </c>
      <c r="AX3390" s="1" t="s">
        <v>74</v>
      </c>
      <c r="AY3390" s="1" t="s">
        <v>74</v>
      </c>
      <c r="AZ3390" s="1" t="s">
        <v>74</v>
      </c>
      <c r="BA3390" s="1" t="s">
        <v>74</v>
      </c>
      <c r="BB3390" s="1">
        <v>280</v>
      </c>
      <c r="BC3390" s="1">
        <v>286</v>
      </c>
      <c r="BD3390" s="1" t="s">
        <v>74</v>
      </c>
      <c r="BE3390" s="1" t="s">
        <v>53816</v>
      </c>
      <c r="BF3390" s="1" t="str">
        <f>HYPERLINK("http://dx.doi.org/10.1016/j.marpolbul.2008.09.014","http://dx.doi.org/10.1016/j.marpolbul.2008.09.014")</f>
        <v>http://dx.doi.org/10.1016/j.marpolbul.2008.09.014</v>
      </c>
      <c r="BG3390" s="1" t="s">
        <v>74</v>
      </c>
      <c r="BH3390" s="1" t="s">
        <v>74</v>
      </c>
      <c r="BI3390" s="1">
        <v>7</v>
      </c>
      <c r="BJ3390" s="1" t="s">
        <v>247</v>
      </c>
      <c r="BK3390" s="1" t="s">
        <v>96</v>
      </c>
      <c r="BL3390" s="1" t="s">
        <v>248</v>
      </c>
      <c r="BM3390" s="1" t="s">
        <v>53817</v>
      </c>
      <c r="BN3390" s="1">
        <v>19167734</v>
      </c>
      <c r="BO3390" s="1" t="s">
        <v>74</v>
      </c>
      <c r="BP3390" s="1" t="s">
        <v>74</v>
      </c>
      <c r="BQ3390" s="1" t="s">
        <v>74</v>
      </c>
      <c r="BR3390" s="1" t="s">
        <v>98</v>
      </c>
      <c r="BS3390" s="1" t="s">
        <v>53818</v>
      </c>
      <c r="BT3390" s="1" t="str">
        <f>HYPERLINK("https%3A%2F%2Fwww.webofscience.com%2Fwos%2Fwoscc%2Ffull-record%2FWOS:000264421400025","View Full Record in Web of Science")</f>
        <v>View Full Record in Web of Science</v>
      </c>
      <c r="BU3390" s="1"/>
      <c r="BV3390" s="1"/>
    </row>
    <row r="3391" spans="1:74">
      <c r="A3391" s="1" t="s">
        <v>72</v>
      </c>
      <c r="B3391" s="1" t="s">
        <v>53819</v>
      </c>
      <c r="C3391" s="1" t="s">
        <v>74</v>
      </c>
      <c r="D3391" s="1" t="s">
        <v>74</v>
      </c>
      <c r="E3391" s="1" t="s">
        <v>74</v>
      </c>
      <c r="F3391" s="1" t="s">
        <v>53820</v>
      </c>
      <c r="G3391" s="1" t="s">
        <v>74</v>
      </c>
      <c r="H3391" s="1" t="s">
        <v>74</v>
      </c>
      <c r="I3391" s="1" t="s">
        <v>53821</v>
      </c>
      <c r="J3391" s="1" t="s">
        <v>8431</v>
      </c>
      <c r="K3391" s="1" t="s">
        <v>74</v>
      </c>
      <c r="L3391" s="1" t="s">
        <v>74</v>
      </c>
      <c r="M3391" s="1" t="s">
        <v>78</v>
      </c>
      <c r="N3391" s="1" t="s">
        <v>79</v>
      </c>
      <c r="O3391" s="1" t="s">
        <v>74</v>
      </c>
      <c r="P3391" s="1" t="s">
        <v>74</v>
      </c>
      <c r="Q3391" s="1" t="s">
        <v>74</v>
      </c>
      <c r="R3391" s="1" t="s">
        <v>74</v>
      </c>
      <c r="S3391" s="1" t="s">
        <v>74</v>
      </c>
      <c r="T3391" s="1" t="s">
        <v>74</v>
      </c>
      <c r="U3391" s="1" t="s">
        <v>53822</v>
      </c>
      <c r="V3391" s="1" t="s">
        <v>53823</v>
      </c>
      <c r="W3391" s="1" t="s">
        <v>53824</v>
      </c>
      <c r="X3391" s="1" t="s">
        <v>53825</v>
      </c>
      <c r="Y3391" s="1" t="s">
        <v>53826</v>
      </c>
      <c r="Z3391" s="1" t="s">
        <v>53827</v>
      </c>
      <c r="AA3391" s="1" t="s">
        <v>53828</v>
      </c>
      <c r="AB3391" s="1" t="s">
        <v>53829</v>
      </c>
      <c r="AC3391" s="1" t="s">
        <v>74</v>
      </c>
      <c r="AD3391" s="1" t="s">
        <v>74</v>
      </c>
      <c r="AE3391" s="1" t="s">
        <v>74</v>
      </c>
      <c r="AF3391" s="1" t="s">
        <v>74</v>
      </c>
      <c r="AG3391" s="1">
        <v>32</v>
      </c>
      <c r="AH3391" s="1">
        <v>63</v>
      </c>
      <c r="AI3391" s="1">
        <v>65</v>
      </c>
      <c r="AJ3391" s="1">
        <v>1</v>
      </c>
      <c r="AK3391" s="1">
        <v>18</v>
      </c>
      <c r="AL3391" s="1" t="s">
        <v>8440</v>
      </c>
      <c r="AM3391" s="1" t="s">
        <v>8441</v>
      </c>
      <c r="AN3391" s="1" t="s">
        <v>8442</v>
      </c>
      <c r="AO3391" s="1" t="s">
        <v>8443</v>
      </c>
      <c r="AP3391" s="1" t="s">
        <v>8444</v>
      </c>
      <c r="AQ3391" s="1" t="s">
        <v>74</v>
      </c>
      <c r="AR3391" s="1" t="s">
        <v>8445</v>
      </c>
      <c r="AS3391" s="1" t="s">
        <v>8446</v>
      </c>
      <c r="AT3391" s="1" t="s">
        <v>267</v>
      </c>
      <c r="AU3391" s="1">
        <v>2006</v>
      </c>
      <c r="AV3391" s="1">
        <v>69</v>
      </c>
      <c r="AW3391" s="1">
        <v>10</v>
      </c>
      <c r="AX3391" s="1" t="s">
        <v>74</v>
      </c>
      <c r="AY3391" s="1" t="s">
        <v>74</v>
      </c>
      <c r="AZ3391" s="1" t="s">
        <v>74</v>
      </c>
      <c r="BA3391" s="1" t="s">
        <v>74</v>
      </c>
      <c r="BB3391" s="1">
        <v>2493</v>
      </c>
      <c r="BC3391" s="1">
        <v>2499</v>
      </c>
      <c r="BD3391" s="1" t="s">
        <v>74</v>
      </c>
      <c r="BE3391" s="1" t="s">
        <v>53830</v>
      </c>
      <c r="BF3391" s="1" t="str">
        <f>HYPERLINK("http://dx.doi.org/10.4315/0362-028X-69.10.2493","http://dx.doi.org/10.4315/0362-028X-69.10.2493")</f>
        <v>http://dx.doi.org/10.4315/0362-028X-69.10.2493</v>
      </c>
      <c r="BG3391" s="1" t="s">
        <v>74</v>
      </c>
      <c r="BH3391" s="1" t="s">
        <v>74</v>
      </c>
      <c r="BI3391" s="1">
        <v>7</v>
      </c>
      <c r="BJ3391" s="1" t="s">
        <v>8448</v>
      </c>
      <c r="BK3391" s="1" t="s">
        <v>96</v>
      </c>
      <c r="BL3391" s="1" t="s">
        <v>8448</v>
      </c>
      <c r="BM3391" s="1" t="s">
        <v>53831</v>
      </c>
      <c r="BN3391" s="1">
        <v>17066933</v>
      </c>
      <c r="BO3391" s="1" t="s">
        <v>370</v>
      </c>
      <c r="BP3391" s="1" t="s">
        <v>74</v>
      </c>
      <c r="BQ3391" s="1" t="s">
        <v>74</v>
      </c>
      <c r="BR3391" s="1" t="s">
        <v>98</v>
      </c>
      <c r="BS3391" s="1" t="s">
        <v>53832</v>
      </c>
      <c r="BT3391" s="1" t="str">
        <f>HYPERLINK("https%3A%2F%2Fwww.webofscience.com%2Fwos%2Fwoscc%2Ffull-record%2FWOS:000241124400027","View Full Record in Web of Science")</f>
        <v>View Full Record in Web of Science</v>
      </c>
      <c r="BU3391" s="1"/>
      <c r="BV3391" s="1"/>
    </row>
    <row r="3392" spans="1:74">
      <c r="A3392" s="1" t="s">
        <v>72</v>
      </c>
      <c r="B3392" s="1" t="s">
        <v>53833</v>
      </c>
      <c r="C3392" s="1" t="s">
        <v>74</v>
      </c>
      <c r="D3392" s="1" t="s">
        <v>74</v>
      </c>
      <c r="E3392" s="1" t="s">
        <v>74</v>
      </c>
      <c r="F3392" s="1" t="s">
        <v>53834</v>
      </c>
      <c r="G3392" s="1" t="s">
        <v>74</v>
      </c>
      <c r="H3392" s="1" t="s">
        <v>74</v>
      </c>
      <c r="I3392" s="1" t="s">
        <v>53835</v>
      </c>
      <c r="J3392" s="1" t="s">
        <v>421</v>
      </c>
      <c r="K3392" s="1" t="s">
        <v>74</v>
      </c>
      <c r="L3392" s="1" t="s">
        <v>74</v>
      </c>
      <c r="M3392" s="1" t="s">
        <v>78</v>
      </c>
      <c r="N3392" s="1" t="s">
        <v>79</v>
      </c>
      <c r="O3392" s="1" t="s">
        <v>74</v>
      </c>
      <c r="P3392" s="1" t="s">
        <v>74</v>
      </c>
      <c r="Q3392" s="1" t="s">
        <v>74</v>
      </c>
      <c r="R3392" s="1" t="s">
        <v>74</v>
      </c>
      <c r="S3392" s="1" t="s">
        <v>74</v>
      </c>
      <c r="T3392" s="1" t="s">
        <v>53836</v>
      </c>
      <c r="U3392" s="1" t="s">
        <v>53837</v>
      </c>
      <c r="V3392" s="1" t="s">
        <v>53838</v>
      </c>
      <c r="W3392" s="1" t="s">
        <v>53839</v>
      </c>
      <c r="X3392" s="1" t="s">
        <v>53840</v>
      </c>
      <c r="Y3392" s="1" t="s">
        <v>53841</v>
      </c>
      <c r="Z3392" s="1" t="s">
        <v>53842</v>
      </c>
      <c r="AA3392" s="1" t="s">
        <v>53843</v>
      </c>
      <c r="AB3392" s="1" t="s">
        <v>53844</v>
      </c>
      <c r="AC3392" s="1" t="s">
        <v>74</v>
      </c>
      <c r="AD3392" s="1" t="s">
        <v>74</v>
      </c>
      <c r="AE3392" s="1" t="s">
        <v>74</v>
      </c>
      <c r="AF3392" s="1" t="s">
        <v>74</v>
      </c>
      <c r="AG3392" s="1">
        <v>74</v>
      </c>
      <c r="AH3392" s="1">
        <v>4</v>
      </c>
      <c r="AI3392" s="1">
        <v>4</v>
      </c>
      <c r="AJ3392" s="1">
        <v>2</v>
      </c>
      <c r="AK3392" s="1">
        <v>12</v>
      </c>
      <c r="AL3392" s="1" t="s">
        <v>430</v>
      </c>
      <c r="AM3392" s="1" t="s">
        <v>137</v>
      </c>
      <c r="AN3392" s="1" t="s">
        <v>431</v>
      </c>
      <c r="AO3392" s="1" t="s">
        <v>432</v>
      </c>
      <c r="AP3392" s="1" t="s">
        <v>1394</v>
      </c>
      <c r="AQ3392" s="1" t="s">
        <v>74</v>
      </c>
      <c r="AR3392" s="1" t="s">
        <v>433</v>
      </c>
      <c r="AS3392" s="1" t="s">
        <v>434</v>
      </c>
      <c r="AT3392" s="1" t="s">
        <v>10334</v>
      </c>
      <c r="AU3392" s="1">
        <v>2023</v>
      </c>
      <c r="AV3392" s="1">
        <v>324</v>
      </c>
      <c r="AW3392" s="1" t="s">
        <v>74</v>
      </c>
      <c r="AX3392" s="1" t="s">
        <v>74</v>
      </c>
      <c r="AY3392" s="1" t="s">
        <v>74</v>
      </c>
      <c r="AZ3392" s="1" t="s">
        <v>74</v>
      </c>
      <c r="BA3392" s="1" t="s">
        <v>74</v>
      </c>
      <c r="BB3392" s="1" t="s">
        <v>74</v>
      </c>
      <c r="BC3392" s="1" t="s">
        <v>74</v>
      </c>
      <c r="BD3392" s="1">
        <v>121366</v>
      </c>
      <c r="BE3392" s="1" t="s">
        <v>53845</v>
      </c>
      <c r="BF3392" s="1" t="str">
        <f>HYPERLINK("http://dx.doi.org/10.1016/j.envpol.2023.121366","http://dx.doi.org/10.1016/j.envpol.2023.121366")</f>
        <v>http://dx.doi.org/10.1016/j.envpol.2023.121366</v>
      </c>
      <c r="BG3392" s="1" t="s">
        <v>74</v>
      </c>
      <c r="BH3392" s="1" t="s">
        <v>6536</v>
      </c>
      <c r="BI3392" s="1">
        <v>8</v>
      </c>
      <c r="BJ3392" s="1" t="s">
        <v>144</v>
      </c>
      <c r="BK3392" s="1" t="s">
        <v>96</v>
      </c>
      <c r="BL3392" s="1" t="s">
        <v>145</v>
      </c>
      <c r="BM3392" s="1" t="s">
        <v>53846</v>
      </c>
      <c r="BN3392" s="1">
        <v>36858099</v>
      </c>
      <c r="BO3392" s="1" t="s">
        <v>74</v>
      </c>
      <c r="BP3392" s="1" t="s">
        <v>74</v>
      </c>
      <c r="BQ3392" s="1" t="s">
        <v>74</v>
      </c>
      <c r="BR3392" s="1" t="s">
        <v>98</v>
      </c>
      <c r="BS3392" s="1" t="s">
        <v>53847</v>
      </c>
      <c r="BT3392" s="1" t="str">
        <f>HYPERLINK("https%3A%2F%2Fwww.webofscience.com%2Fwos%2Fwoscc%2Ffull-record%2FWOS:000965791100001","View Full Record in Web of Science")</f>
        <v>View Full Record in Web of Science</v>
      </c>
      <c r="BU3392" s="1"/>
      <c r="BV3392" s="1"/>
    </row>
    <row r="3393" spans="1:74">
      <c r="A3393" s="1" t="s">
        <v>72</v>
      </c>
      <c r="B3393" s="1" t="s">
        <v>53848</v>
      </c>
      <c r="C3393" s="1" t="s">
        <v>74</v>
      </c>
      <c r="D3393" s="1" t="s">
        <v>74</v>
      </c>
      <c r="E3393" s="1" t="s">
        <v>74</v>
      </c>
      <c r="F3393" s="1" t="s">
        <v>53849</v>
      </c>
      <c r="G3393" s="1" t="s">
        <v>74</v>
      </c>
      <c r="H3393" s="1" t="s">
        <v>74</v>
      </c>
      <c r="I3393" s="1" t="s">
        <v>53850</v>
      </c>
      <c r="J3393" s="1" t="s">
        <v>42304</v>
      </c>
      <c r="K3393" s="1" t="s">
        <v>74</v>
      </c>
      <c r="L3393" s="1" t="s">
        <v>74</v>
      </c>
      <c r="M3393" s="1" t="s">
        <v>78</v>
      </c>
      <c r="N3393" s="1" t="s">
        <v>79</v>
      </c>
      <c r="O3393" s="1" t="s">
        <v>74</v>
      </c>
      <c r="P3393" s="1" t="s">
        <v>74</v>
      </c>
      <c r="Q3393" s="1" t="s">
        <v>74</v>
      </c>
      <c r="R3393" s="1" t="s">
        <v>74</v>
      </c>
      <c r="S3393" s="1" t="s">
        <v>74</v>
      </c>
      <c r="T3393" s="1" t="s">
        <v>53851</v>
      </c>
      <c r="U3393" s="1" t="s">
        <v>53852</v>
      </c>
      <c r="V3393" s="1" t="s">
        <v>53853</v>
      </c>
      <c r="W3393" s="1" t="s">
        <v>53854</v>
      </c>
      <c r="X3393" s="1" t="s">
        <v>9732</v>
      </c>
      <c r="Y3393" s="1" t="s">
        <v>53855</v>
      </c>
      <c r="Z3393" s="1" t="s">
        <v>53856</v>
      </c>
      <c r="AA3393" s="1" t="s">
        <v>74</v>
      </c>
      <c r="AB3393" s="1" t="s">
        <v>53857</v>
      </c>
      <c r="AC3393" s="1" t="s">
        <v>74</v>
      </c>
      <c r="AD3393" s="1" t="s">
        <v>74</v>
      </c>
      <c r="AE3393" s="1" t="s">
        <v>74</v>
      </c>
      <c r="AF3393" s="1" t="s">
        <v>74</v>
      </c>
      <c r="AG3393" s="1">
        <v>29</v>
      </c>
      <c r="AH3393" s="1">
        <v>4</v>
      </c>
      <c r="AI3393" s="1">
        <v>4</v>
      </c>
      <c r="AJ3393" s="1">
        <v>0</v>
      </c>
      <c r="AK3393" s="1">
        <v>53</v>
      </c>
      <c r="AL3393" s="1" t="s">
        <v>4153</v>
      </c>
      <c r="AM3393" s="1" t="s">
        <v>87</v>
      </c>
      <c r="AN3393" s="1" t="s">
        <v>88</v>
      </c>
      <c r="AO3393" s="1" t="s">
        <v>42315</v>
      </c>
      <c r="AP3393" s="1" t="s">
        <v>42316</v>
      </c>
      <c r="AQ3393" s="1" t="s">
        <v>74</v>
      </c>
      <c r="AR3393" s="1" t="s">
        <v>42317</v>
      </c>
      <c r="AS3393" s="1" t="s">
        <v>42318</v>
      </c>
      <c r="AT3393" s="1" t="s">
        <v>4804</v>
      </c>
      <c r="AU3393" s="1">
        <v>2015</v>
      </c>
      <c r="AV3393" s="1">
        <v>95</v>
      </c>
      <c r="AW3393" s="1">
        <v>2</v>
      </c>
      <c r="AX3393" s="1" t="s">
        <v>74</v>
      </c>
      <c r="AY3393" s="1" t="s">
        <v>74</v>
      </c>
      <c r="AZ3393" s="1" t="s">
        <v>74</v>
      </c>
      <c r="BA3393" s="1" t="s">
        <v>74</v>
      </c>
      <c r="BB3393" s="1">
        <v>423</v>
      </c>
      <c r="BC3393" s="1">
        <v>428</v>
      </c>
      <c r="BD3393" s="1" t="s">
        <v>74</v>
      </c>
      <c r="BE3393" s="1" t="s">
        <v>53858</v>
      </c>
      <c r="BF3393" s="1" t="str">
        <f>HYPERLINK("http://dx.doi.org/10.1002/jsfa.6741","http://dx.doi.org/10.1002/jsfa.6741")</f>
        <v>http://dx.doi.org/10.1002/jsfa.6741</v>
      </c>
      <c r="BG3393" s="1" t="s">
        <v>74</v>
      </c>
      <c r="BH3393" s="1" t="s">
        <v>74</v>
      </c>
      <c r="BI3393" s="1">
        <v>6</v>
      </c>
      <c r="BJ3393" s="1" t="s">
        <v>6339</v>
      </c>
      <c r="BK3393" s="1" t="s">
        <v>96</v>
      </c>
      <c r="BL3393" s="1" t="s">
        <v>6340</v>
      </c>
      <c r="BM3393" s="1" t="s">
        <v>53859</v>
      </c>
      <c r="BN3393" s="1">
        <v>24833436</v>
      </c>
      <c r="BO3393" s="1" t="s">
        <v>74</v>
      </c>
      <c r="BP3393" s="1" t="s">
        <v>74</v>
      </c>
      <c r="BQ3393" s="1" t="s">
        <v>74</v>
      </c>
      <c r="BR3393" s="1" t="s">
        <v>98</v>
      </c>
      <c r="BS3393" s="1" t="s">
        <v>53860</v>
      </c>
      <c r="BT3393" s="1" t="str">
        <f>HYPERLINK("https%3A%2F%2Fwww.webofscience.com%2Fwos%2Fwoscc%2Ffull-record%2FWOS:000345842900025","View Full Record in Web of Science")</f>
        <v>View Full Record in Web of Science</v>
      </c>
      <c r="BU3393" s="1"/>
      <c r="BV3393" s="1"/>
    </row>
    <row r="3394" spans="1:74">
      <c r="A3394" s="1" t="s">
        <v>72</v>
      </c>
      <c r="B3394" s="1" t="s">
        <v>53861</v>
      </c>
      <c r="C3394" s="1" t="s">
        <v>74</v>
      </c>
      <c r="D3394" s="1" t="s">
        <v>74</v>
      </c>
      <c r="E3394" s="1" t="s">
        <v>74</v>
      </c>
      <c r="F3394" s="1" t="s">
        <v>53862</v>
      </c>
      <c r="G3394" s="1" t="s">
        <v>74</v>
      </c>
      <c r="H3394" s="1" t="s">
        <v>74</v>
      </c>
      <c r="I3394" s="1" t="s">
        <v>53863</v>
      </c>
      <c r="J3394" s="1" t="s">
        <v>17028</v>
      </c>
      <c r="K3394" s="1" t="s">
        <v>74</v>
      </c>
      <c r="L3394" s="1" t="s">
        <v>74</v>
      </c>
      <c r="M3394" s="1" t="s">
        <v>78</v>
      </c>
      <c r="N3394" s="1" t="s">
        <v>79</v>
      </c>
      <c r="O3394" s="1" t="s">
        <v>74</v>
      </c>
      <c r="P3394" s="1" t="s">
        <v>74</v>
      </c>
      <c r="Q3394" s="1" t="s">
        <v>74</v>
      </c>
      <c r="R3394" s="1" t="s">
        <v>74</v>
      </c>
      <c r="S3394" s="1" t="s">
        <v>74</v>
      </c>
      <c r="T3394" s="1" t="s">
        <v>53864</v>
      </c>
      <c r="U3394" s="1" t="s">
        <v>53865</v>
      </c>
      <c r="V3394" s="1" t="s">
        <v>53866</v>
      </c>
      <c r="W3394" s="1" t="s">
        <v>53867</v>
      </c>
      <c r="X3394" s="1" t="s">
        <v>53868</v>
      </c>
      <c r="Y3394" s="1" t="s">
        <v>53869</v>
      </c>
      <c r="Z3394" s="1" t="s">
        <v>53870</v>
      </c>
      <c r="AA3394" s="1" t="s">
        <v>53871</v>
      </c>
      <c r="AB3394" s="1" t="s">
        <v>53872</v>
      </c>
      <c r="AC3394" s="1" t="s">
        <v>53873</v>
      </c>
      <c r="AD3394" s="1" t="s">
        <v>53874</v>
      </c>
      <c r="AE3394" s="1" t="s">
        <v>53875</v>
      </c>
      <c r="AF3394" s="1" t="s">
        <v>74</v>
      </c>
      <c r="AG3394" s="1">
        <v>87</v>
      </c>
      <c r="AH3394" s="1">
        <v>2</v>
      </c>
      <c r="AI3394" s="1">
        <v>2</v>
      </c>
      <c r="AJ3394" s="1">
        <v>15</v>
      </c>
      <c r="AK3394" s="1">
        <v>37</v>
      </c>
      <c r="AL3394" s="1" t="s">
        <v>285</v>
      </c>
      <c r="AM3394" s="1" t="s">
        <v>286</v>
      </c>
      <c r="AN3394" s="1" t="s">
        <v>287</v>
      </c>
      <c r="AO3394" s="1" t="s">
        <v>17040</v>
      </c>
      <c r="AP3394" s="1" t="s">
        <v>17041</v>
      </c>
      <c r="AQ3394" s="1" t="s">
        <v>74</v>
      </c>
      <c r="AR3394" s="1" t="s">
        <v>17042</v>
      </c>
      <c r="AS3394" s="1" t="s">
        <v>17043</v>
      </c>
      <c r="AT3394" s="1" t="s">
        <v>3506</v>
      </c>
      <c r="AU3394" s="1">
        <v>2023</v>
      </c>
      <c r="AV3394" s="1">
        <v>342</v>
      </c>
      <c r="AW3394" s="1" t="s">
        <v>74</v>
      </c>
      <c r="AX3394" s="1" t="s">
        <v>74</v>
      </c>
      <c r="AY3394" s="1" t="s">
        <v>74</v>
      </c>
      <c r="AZ3394" s="1" t="s">
        <v>74</v>
      </c>
      <c r="BA3394" s="1" t="s">
        <v>74</v>
      </c>
      <c r="BB3394" s="1" t="s">
        <v>74</v>
      </c>
      <c r="BC3394" s="1" t="s">
        <v>74</v>
      </c>
      <c r="BD3394" s="1">
        <v>118165</v>
      </c>
      <c r="BE3394" s="1" t="s">
        <v>53876</v>
      </c>
      <c r="BF3394" s="1" t="str">
        <f>HYPERLINK("http://dx.doi.org/10.1016/j.jenvman.2023.118165","http://dx.doi.org/10.1016/j.jenvman.2023.118165")</f>
        <v>http://dx.doi.org/10.1016/j.jenvman.2023.118165</v>
      </c>
      <c r="BG3394" s="1" t="s">
        <v>74</v>
      </c>
      <c r="BH3394" s="1" t="s">
        <v>2259</v>
      </c>
      <c r="BI3394" s="1">
        <v>12</v>
      </c>
      <c r="BJ3394" s="1" t="s">
        <v>144</v>
      </c>
      <c r="BK3394" s="1" t="s">
        <v>96</v>
      </c>
      <c r="BL3394" s="1" t="s">
        <v>145</v>
      </c>
      <c r="BM3394" s="1" t="s">
        <v>53877</v>
      </c>
      <c r="BN3394" s="1">
        <v>37201394</v>
      </c>
      <c r="BO3394" s="1" t="s">
        <v>476</v>
      </c>
      <c r="BP3394" s="1" t="s">
        <v>74</v>
      </c>
      <c r="BQ3394" s="1" t="s">
        <v>74</v>
      </c>
      <c r="BR3394" s="1" t="s">
        <v>98</v>
      </c>
      <c r="BS3394" s="1" t="s">
        <v>53878</v>
      </c>
      <c r="BT3394" s="1" t="str">
        <f>HYPERLINK("https%3A%2F%2Fwww.webofscience.com%2Fwos%2Fwoscc%2Ffull-record%2FWOS:001006817100001","View Full Record in Web of Science")</f>
        <v>View Full Record in Web of Science</v>
      </c>
      <c r="BU3394" s="1"/>
      <c r="BV3394" s="1"/>
    </row>
    <row r="3395" spans="1:74">
      <c r="A3395" s="1" t="s">
        <v>72</v>
      </c>
      <c r="B3395" s="1" t="s">
        <v>53879</v>
      </c>
      <c r="C3395" s="1" t="s">
        <v>74</v>
      </c>
      <c r="D3395" s="1" t="s">
        <v>74</v>
      </c>
      <c r="E3395" s="1" t="s">
        <v>74</v>
      </c>
      <c r="F3395" s="1" t="s">
        <v>53879</v>
      </c>
      <c r="G3395" s="1" t="s">
        <v>74</v>
      </c>
      <c r="H3395" s="1" t="s">
        <v>74</v>
      </c>
      <c r="I3395" s="1" t="s">
        <v>53880</v>
      </c>
      <c r="J3395" s="1" t="s">
        <v>49873</v>
      </c>
      <c r="K3395" s="1" t="s">
        <v>74</v>
      </c>
      <c r="L3395" s="1" t="s">
        <v>74</v>
      </c>
      <c r="M3395" s="1" t="s">
        <v>78</v>
      </c>
      <c r="N3395" s="1" t="s">
        <v>79</v>
      </c>
      <c r="O3395" s="1" t="s">
        <v>74</v>
      </c>
      <c r="P3395" s="1" t="s">
        <v>74</v>
      </c>
      <c r="Q3395" s="1" t="s">
        <v>74</v>
      </c>
      <c r="R3395" s="1" t="s">
        <v>74</v>
      </c>
      <c r="S3395" s="1" t="s">
        <v>74</v>
      </c>
      <c r="T3395" s="1" t="s">
        <v>53881</v>
      </c>
      <c r="U3395" s="1" t="s">
        <v>53882</v>
      </c>
      <c r="V3395" s="1" t="s">
        <v>53883</v>
      </c>
      <c r="W3395" s="1" t="s">
        <v>53884</v>
      </c>
      <c r="X3395" s="1" t="s">
        <v>53885</v>
      </c>
      <c r="Y3395" s="1" t="s">
        <v>53886</v>
      </c>
      <c r="Z3395" s="1" t="s">
        <v>53887</v>
      </c>
      <c r="AA3395" s="1" t="s">
        <v>74</v>
      </c>
      <c r="AB3395" s="1" t="s">
        <v>74</v>
      </c>
      <c r="AC3395" s="1" t="s">
        <v>74</v>
      </c>
      <c r="AD3395" s="1" t="s">
        <v>74</v>
      </c>
      <c r="AE3395" s="1" t="s">
        <v>74</v>
      </c>
      <c r="AF3395" s="1" t="s">
        <v>74</v>
      </c>
      <c r="AG3395" s="1">
        <v>77</v>
      </c>
      <c r="AH3395" s="1">
        <v>137</v>
      </c>
      <c r="AI3395" s="1">
        <v>157</v>
      </c>
      <c r="AJ3395" s="1">
        <v>1</v>
      </c>
      <c r="AK3395" s="1">
        <v>55</v>
      </c>
      <c r="AL3395" s="1" t="s">
        <v>650</v>
      </c>
      <c r="AM3395" s="1" t="s">
        <v>651</v>
      </c>
      <c r="AN3395" s="1" t="s">
        <v>652</v>
      </c>
      <c r="AO3395" s="1" t="s">
        <v>49886</v>
      </c>
      <c r="AP3395" s="1" t="s">
        <v>49887</v>
      </c>
      <c r="AQ3395" s="1" t="s">
        <v>74</v>
      </c>
      <c r="AR3395" s="1" t="s">
        <v>49873</v>
      </c>
      <c r="AS3395" s="1" t="s">
        <v>49888</v>
      </c>
      <c r="AT3395" s="1" t="s">
        <v>1223</v>
      </c>
      <c r="AU3395" s="1">
        <v>2003</v>
      </c>
      <c r="AV3395" s="1">
        <v>2</v>
      </c>
      <c r="AW3395" s="1">
        <v>1</v>
      </c>
      <c r="AX3395" s="1" t="s">
        <v>74</v>
      </c>
      <c r="AY3395" s="1" t="s">
        <v>74</v>
      </c>
      <c r="AZ3395" s="1" t="s">
        <v>74</v>
      </c>
      <c r="BA3395" s="1" t="s">
        <v>74</v>
      </c>
      <c r="BB3395" s="1">
        <v>1</v>
      </c>
      <c r="BC3395" s="1">
        <v>17</v>
      </c>
      <c r="BD3395" s="1" t="s">
        <v>74</v>
      </c>
      <c r="BE3395" s="1" t="s">
        <v>53888</v>
      </c>
      <c r="BF3395" s="1" t="str">
        <f>HYPERLINK("http://dx.doi.org/10.1016/S1568-9883(03)00002-7","http://dx.doi.org/10.1016/S1568-9883(03)00002-7")</f>
        <v>http://dx.doi.org/10.1016/S1568-9883(03)00002-7</v>
      </c>
      <c r="BG3395" s="1" t="s">
        <v>74</v>
      </c>
      <c r="BH3395" s="1" t="s">
        <v>74</v>
      </c>
      <c r="BI3395" s="1">
        <v>17</v>
      </c>
      <c r="BJ3395" s="1" t="s">
        <v>680</v>
      </c>
      <c r="BK3395" s="1" t="s">
        <v>96</v>
      </c>
      <c r="BL3395" s="1" t="s">
        <v>680</v>
      </c>
      <c r="BM3395" s="1" t="s">
        <v>53889</v>
      </c>
      <c r="BN3395" s="1" t="s">
        <v>74</v>
      </c>
      <c r="BO3395" s="1" t="s">
        <v>74</v>
      </c>
      <c r="BP3395" s="1" t="s">
        <v>74</v>
      </c>
      <c r="BQ3395" s="1" t="s">
        <v>74</v>
      </c>
      <c r="BR3395" s="1" t="s">
        <v>98</v>
      </c>
      <c r="BS3395" s="1" t="s">
        <v>53890</v>
      </c>
      <c r="BT3395" s="1" t="str">
        <f>HYPERLINK("https%3A%2F%2Fwww.webofscience.com%2Fwos%2Fwoscc%2Ffull-record%2FWOS:000220864400001","View Full Record in Web of Science")</f>
        <v>View Full Record in Web of Science</v>
      </c>
      <c r="BU3395" s="1"/>
      <c r="BV3395" s="1"/>
    </row>
    <row r="3396" spans="1:74">
      <c r="A3396" s="1" t="s">
        <v>72</v>
      </c>
      <c r="B3396" s="1" t="s">
        <v>53891</v>
      </c>
      <c r="C3396" s="1" t="s">
        <v>74</v>
      </c>
      <c r="D3396" s="1" t="s">
        <v>74</v>
      </c>
      <c r="E3396" s="1" t="s">
        <v>74</v>
      </c>
      <c r="F3396" s="1" t="s">
        <v>53892</v>
      </c>
      <c r="G3396" s="1" t="s">
        <v>74</v>
      </c>
      <c r="H3396" s="1" t="s">
        <v>74</v>
      </c>
      <c r="I3396" s="1" t="s">
        <v>53893</v>
      </c>
      <c r="J3396" s="1" t="s">
        <v>204</v>
      </c>
      <c r="K3396" s="1" t="s">
        <v>74</v>
      </c>
      <c r="L3396" s="1" t="s">
        <v>74</v>
      </c>
      <c r="M3396" s="1" t="s">
        <v>78</v>
      </c>
      <c r="N3396" s="1" t="s">
        <v>79</v>
      </c>
      <c r="O3396" s="1" t="s">
        <v>74</v>
      </c>
      <c r="P3396" s="1" t="s">
        <v>74</v>
      </c>
      <c r="Q3396" s="1" t="s">
        <v>74</v>
      </c>
      <c r="R3396" s="1" t="s">
        <v>74</v>
      </c>
      <c r="S3396" s="1" t="s">
        <v>74</v>
      </c>
      <c r="T3396" s="1" t="s">
        <v>53894</v>
      </c>
      <c r="U3396" s="1" t="s">
        <v>53895</v>
      </c>
      <c r="V3396" s="1" t="s">
        <v>53896</v>
      </c>
      <c r="W3396" s="1" t="s">
        <v>53897</v>
      </c>
      <c r="X3396" s="1" t="s">
        <v>53898</v>
      </c>
      <c r="Y3396" s="1" t="s">
        <v>53899</v>
      </c>
      <c r="Z3396" s="1" t="s">
        <v>53900</v>
      </c>
      <c r="AA3396" s="1" t="s">
        <v>53901</v>
      </c>
      <c r="AB3396" s="1" t="s">
        <v>53902</v>
      </c>
      <c r="AC3396" s="1" t="s">
        <v>53903</v>
      </c>
      <c r="AD3396" s="1" t="s">
        <v>53903</v>
      </c>
      <c r="AE3396" s="1" t="s">
        <v>53904</v>
      </c>
      <c r="AF3396" s="1" t="s">
        <v>74</v>
      </c>
      <c r="AG3396" s="1">
        <v>85</v>
      </c>
      <c r="AH3396" s="1">
        <v>22</v>
      </c>
      <c r="AI3396" s="1">
        <v>24</v>
      </c>
      <c r="AJ3396" s="1">
        <v>3</v>
      </c>
      <c r="AK3396" s="1">
        <v>48</v>
      </c>
      <c r="AL3396" s="1" t="s">
        <v>217</v>
      </c>
      <c r="AM3396" s="1" t="s">
        <v>218</v>
      </c>
      <c r="AN3396" s="1" t="s">
        <v>219</v>
      </c>
      <c r="AO3396" s="1" t="s">
        <v>220</v>
      </c>
      <c r="AP3396" s="1" t="s">
        <v>221</v>
      </c>
      <c r="AQ3396" s="1" t="s">
        <v>74</v>
      </c>
      <c r="AR3396" s="1" t="s">
        <v>222</v>
      </c>
      <c r="AS3396" s="1" t="s">
        <v>223</v>
      </c>
      <c r="AT3396" s="1" t="s">
        <v>951</v>
      </c>
      <c r="AU3396" s="1">
        <v>2018</v>
      </c>
      <c r="AV3396" s="1">
        <v>25</v>
      </c>
      <c r="AW3396" s="1">
        <v>33</v>
      </c>
      <c r="AX3396" s="1" t="s">
        <v>74</v>
      </c>
      <c r="AY3396" s="1" t="s">
        <v>74</v>
      </c>
      <c r="AZ3396" s="1" t="s">
        <v>225</v>
      </c>
      <c r="BA3396" s="1" t="s">
        <v>74</v>
      </c>
      <c r="BB3396" s="1">
        <v>32860</v>
      </c>
      <c r="BC3396" s="1">
        <v>32872</v>
      </c>
      <c r="BD3396" s="1" t="s">
        <v>74</v>
      </c>
      <c r="BE3396" s="1" t="s">
        <v>53905</v>
      </c>
      <c r="BF3396" s="1" t="str">
        <f>HYPERLINK("http://dx.doi.org/10.1007/s11356-017-8566-8","http://dx.doi.org/10.1007/s11356-017-8566-8")</f>
        <v>http://dx.doi.org/10.1007/s11356-017-8566-8</v>
      </c>
      <c r="BG3396" s="1" t="s">
        <v>74</v>
      </c>
      <c r="BH3396" s="1" t="s">
        <v>74</v>
      </c>
      <c r="BI3396" s="1">
        <v>13</v>
      </c>
      <c r="BJ3396" s="1" t="s">
        <v>144</v>
      </c>
      <c r="BK3396" s="1" t="s">
        <v>96</v>
      </c>
      <c r="BL3396" s="1" t="s">
        <v>145</v>
      </c>
      <c r="BM3396" s="1" t="s">
        <v>53906</v>
      </c>
      <c r="BN3396" s="1">
        <v>28224339</v>
      </c>
      <c r="BO3396" s="1" t="s">
        <v>810</v>
      </c>
      <c r="BP3396" s="1" t="s">
        <v>74</v>
      </c>
      <c r="BQ3396" s="1" t="s">
        <v>74</v>
      </c>
      <c r="BR3396" s="1" t="s">
        <v>98</v>
      </c>
      <c r="BS3396" s="1" t="s">
        <v>53907</v>
      </c>
      <c r="BT3396" s="1" t="str">
        <f>HYPERLINK("https%3A%2F%2Fwww.webofscience.com%2Fwos%2Fwoscc%2Ffull-record%2FWOS:000449920100005","View Full Record in Web of Science")</f>
        <v>View Full Record in Web of Science</v>
      </c>
      <c r="BU3396" s="1"/>
      <c r="BV3396" s="1"/>
    </row>
    <row r="3397" spans="1:74">
      <c r="A3397" s="1" t="s">
        <v>72</v>
      </c>
      <c r="B3397" s="1" t="s">
        <v>53908</v>
      </c>
      <c r="C3397" s="1" t="s">
        <v>74</v>
      </c>
      <c r="D3397" s="1" t="s">
        <v>74</v>
      </c>
      <c r="E3397" s="1" t="s">
        <v>74</v>
      </c>
      <c r="F3397" s="1" t="s">
        <v>53909</v>
      </c>
      <c r="G3397" s="1" t="s">
        <v>74</v>
      </c>
      <c r="H3397" s="1" t="s">
        <v>74</v>
      </c>
      <c r="I3397" s="1" t="s">
        <v>53910</v>
      </c>
      <c r="J3397" s="1" t="s">
        <v>232</v>
      </c>
      <c r="K3397" s="1" t="s">
        <v>74</v>
      </c>
      <c r="L3397" s="1" t="s">
        <v>74</v>
      </c>
      <c r="M3397" s="1" t="s">
        <v>78</v>
      </c>
      <c r="N3397" s="1" t="s">
        <v>79</v>
      </c>
      <c r="O3397" s="1" t="s">
        <v>74</v>
      </c>
      <c r="P3397" s="1" t="s">
        <v>74</v>
      </c>
      <c r="Q3397" s="1" t="s">
        <v>74</v>
      </c>
      <c r="R3397" s="1" t="s">
        <v>74</v>
      </c>
      <c r="S3397" s="1" t="s">
        <v>74</v>
      </c>
      <c r="T3397" s="1" t="s">
        <v>53911</v>
      </c>
      <c r="U3397" s="1" t="s">
        <v>53912</v>
      </c>
      <c r="V3397" s="1" t="s">
        <v>53913</v>
      </c>
      <c r="W3397" s="1" t="s">
        <v>53914</v>
      </c>
      <c r="X3397" s="1" t="s">
        <v>53915</v>
      </c>
      <c r="Y3397" s="1" t="s">
        <v>53916</v>
      </c>
      <c r="Z3397" s="1" t="s">
        <v>53917</v>
      </c>
      <c r="AA3397" s="1" t="s">
        <v>53918</v>
      </c>
      <c r="AB3397" s="1" t="s">
        <v>53919</v>
      </c>
      <c r="AC3397" s="1" t="s">
        <v>53920</v>
      </c>
      <c r="AD3397" s="1" t="s">
        <v>53921</v>
      </c>
      <c r="AE3397" s="1" t="s">
        <v>53922</v>
      </c>
      <c r="AF3397" s="1" t="s">
        <v>74</v>
      </c>
      <c r="AG3397" s="1">
        <v>332</v>
      </c>
      <c r="AH3397" s="1">
        <v>25</v>
      </c>
      <c r="AI3397" s="1">
        <v>25</v>
      </c>
      <c r="AJ3397" s="1">
        <v>7</v>
      </c>
      <c r="AK3397" s="1">
        <v>83</v>
      </c>
      <c r="AL3397" s="1" t="s">
        <v>136</v>
      </c>
      <c r="AM3397" s="1" t="s">
        <v>137</v>
      </c>
      <c r="AN3397" s="1" t="s">
        <v>138</v>
      </c>
      <c r="AO3397" s="1" t="s">
        <v>240</v>
      </c>
      <c r="AP3397" s="1" t="s">
        <v>241</v>
      </c>
      <c r="AQ3397" s="1" t="s">
        <v>74</v>
      </c>
      <c r="AR3397" s="1" t="s">
        <v>242</v>
      </c>
      <c r="AS3397" s="1" t="s">
        <v>243</v>
      </c>
      <c r="AT3397" s="1" t="s">
        <v>93</v>
      </c>
      <c r="AU3397" s="1">
        <v>2020</v>
      </c>
      <c r="AV3397" s="1">
        <v>153</v>
      </c>
      <c r="AW3397" s="1" t="s">
        <v>74</v>
      </c>
      <c r="AX3397" s="1" t="s">
        <v>74</v>
      </c>
      <c r="AY3397" s="1" t="s">
        <v>74</v>
      </c>
      <c r="AZ3397" s="1" t="s">
        <v>74</v>
      </c>
      <c r="BA3397" s="1" t="s">
        <v>74</v>
      </c>
      <c r="BB3397" s="1" t="s">
        <v>74</v>
      </c>
      <c r="BC3397" s="1" t="s">
        <v>74</v>
      </c>
      <c r="BD3397" s="1">
        <v>111006</v>
      </c>
      <c r="BE3397" s="1" t="s">
        <v>53923</v>
      </c>
      <c r="BF3397" s="1" t="str">
        <f>HYPERLINK("http://dx.doi.org/10.1016/j.marpolbul.2020.111006","http://dx.doi.org/10.1016/j.marpolbul.2020.111006")</f>
        <v>http://dx.doi.org/10.1016/j.marpolbul.2020.111006</v>
      </c>
      <c r="BG3397" s="1" t="s">
        <v>74</v>
      </c>
      <c r="BH3397" s="1" t="s">
        <v>74</v>
      </c>
      <c r="BI3397" s="1">
        <v>18</v>
      </c>
      <c r="BJ3397" s="1" t="s">
        <v>247</v>
      </c>
      <c r="BK3397" s="1" t="s">
        <v>96</v>
      </c>
      <c r="BL3397" s="1" t="s">
        <v>248</v>
      </c>
      <c r="BM3397" s="1" t="s">
        <v>8796</v>
      </c>
      <c r="BN3397" s="1">
        <v>32275552</v>
      </c>
      <c r="BO3397" s="1" t="s">
        <v>74</v>
      </c>
      <c r="BP3397" s="1" t="s">
        <v>74</v>
      </c>
      <c r="BQ3397" s="1" t="s">
        <v>74</v>
      </c>
      <c r="BR3397" s="1" t="s">
        <v>98</v>
      </c>
      <c r="BS3397" s="1" t="s">
        <v>53924</v>
      </c>
      <c r="BT3397" s="1" t="str">
        <f>HYPERLINK("https%3A%2F%2Fwww.webofscience.com%2Fwos%2Fwoscc%2Ffull-record%2FWOS:000523640200088","View Full Record in Web of Science")</f>
        <v>View Full Record in Web of Science</v>
      </c>
      <c r="BU3397" s="1"/>
      <c r="BV3397" s="1"/>
    </row>
    <row r="3398" spans="1:74">
      <c r="A3398" s="1" t="s">
        <v>72</v>
      </c>
      <c r="B3398" s="1" t="s">
        <v>53925</v>
      </c>
      <c r="C3398" s="1" t="s">
        <v>74</v>
      </c>
      <c r="D3398" s="1" t="s">
        <v>74</v>
      </c>
      <c r="E3398" s="1" t="s">
        <v>74</v>
      </c>
      <c r="F3398" s="1" t="s">
        <v>53925</v>
      </c>
      <c r="G3398" s="1" t="s">
        <v>74</v>
      </c>
      <c r="H3398" s="1" t="s">
        <v>74</v>
      </c>
      <c r="I3398" s="1" t="s">
        <v>53926</v>
      </c>
      <c r="J3398" s="1" t="s">
        <v>127</v>
      </c>
      <c r="K3398" s="1" t="s">
        <v>74</v>
      </c>
      <c r="L3398" s="1" t="s">
        <v>74</v>
      </c>
      <c r="M3398" s="1" t="s">
        <v>78</v>
      </c>
      <c r="N3398" s="1" t="s">
        <v>79</v>
      </c>
      <c r="O3398" s="1" t="s">
        <v>74</v>
      </c>
      <c r="P3398" s="1" t="s">
        <v>74</v>
      </c>
      <c r="Q3398" s="1" t="s">
        <v>74</v>
      </c>
      <c r="R3398" s="1" t="s">
        <v>74</v>
      </c>
      <c r="S3398" s="1" t="s">
        <v>74</v>
      </c>
      <c r="T3398" s="1" t="s">
        <v>53927</v>
      </c>
      <c r="U3398" s="1" t="s">
        <v>53928</v>
      </c>
      <c r="V3398" s="1" t="s">
        <v>53929</v>
      </c>
      <c r="W3398" s="1" t="s">
        <v>53930</v>
      </c>
      <c r="X3398" s="1" t="s">
        <v>53931</v>
      </c>
      <c r="Y3398" s="1" t="s">
        <v>53932</v>
      </c>
      <c r="Z3398" s="1" t="s">
        <v>74</v>
      </c>
      <c r="AA3398" s="1" t="s">
        <v>74</v>
      </c>
      <c r="AB3398" s="1" t="s">
        <v>74</v>
      </c>
      <c r="AC3398" s="1" t="s">
        <v>74</v>
      </c>
      <c r="AD3398" s="1" t="s">
        <v>74</v>
      </c>
      <c r="AE3398" s="1" t="s">
        <v>74</v>
      </c>
      <c r="AF3398" s="1" t="s">
        <v>74</v>
      </c>
      <c r="AG3398" s="1">
        <v>32</v>
      </c>
      <c r="AH3398" s="1">
        <v>19</v>
      </c>
      <c r="AI3398" s="1">
        <v>32</v>
      </c>
      <c r="AJ3398" s="1">
        <v>0</v>
      </c>
      <c r="AK3398" s="1">
        <v>21</v>
      </c>
      <c r="AL3398" s="1" t="s">
        <v>136</v>
      </c>
      <c r="AM3398" s="1" t="s">
        <v>137</v>
      </c>
      <c r="AN3398" s="1" t="s">
        <v>138</v>
      </c>
      <c r="AO3398" s="1" t="s">
        <v>139</v>
      </c>
      <c r="AP3398" s="1" t="s">
        <v>74</v>
      </c>
      <c r="AQ3398" s="1" t="s">
        <v>74</v>
      </c>
      <c r="AR3398" s="1" t="s">
        <v>127</v>
      </c>
      <c r="AS3398" s="1" t="s">
        <v>141</v>
      </c>
      <c r="AT3398" s="1" t="s">
        <v>170</v>
      </c>
      <c r="AU3398" s="1">
        <v>2002</v>
      </c>
      <c r="AV3398" s="1">
        <v>47</v>
      </c>
      <c r="AW3398" s="1">
        <v>5</v>
      </c>
      <c r="AX3398" s="1" t="s">
        <v>74</v>
      </c>
      <c r="AY3398" s="1" t="s">
        <v>74</v>
      </c>
      <c r="AZ3398" s="1" t="s">
        <v>74</v>
      </c>
      <c r="BA3398" s="1" t="s">
        <v>74</v>
      </c>
      <c r="BB3398" s="1">
        <v>525</v>
      </c>
      <c r="BC3398" s="1">
        <v>534</v>
      </c>
      <c r="BD3398" s="1" t="s">
        <v>53933</v>
      </c>
      <c r="BE3398" s="1" t="s">
        <v>53934</v>
      </c>
      <c r="BF3398" s="1" t="str">
        <f>HYPERLINK("http://dx.doi.org/10.1016/S0045-6535(01)00311-3","http://dx.doi.org/10.1016/S0045-6535(01)00311-3")</f>
        <v>http://dx.doi.org/10.1016/S0045-6535(01)00311-3</v>
      </c>
      <c r="BG3398" s="1" t="s">
        <v>74</v>
      </c>
      <c r="BH3398" s="1" t="s">
        <v>74</v>
      </c>
      <c r="BI3398" s="1">
        <v>10</v>
      </c>
      <c r="BJ3398" s="1" t="s">
        <v>144</v>
      </c>
      <c r="BK3398" s="1" t="s">
        <v>96</v>
      </c>
      <c r="BL3398" s="1" t="s">
        <v>145</v>
      </c>
      <c r="BM3398" s="1" t="s">
        <v>33510</v>
      </c>
      <c r="BN3398" s="1">
        <v>11996128</v>
      </c>
      <c r="BO3398" s="1" t="s">
        <v>74</v>
      </c>
      <c r="BP3398" s="1" t="s">
        <v>74</v>
      </c>
      <c r="BQ3398" s="1" t="s">
        <v>74</v>
      </c>
      <c r="BR3398" s="1" t="s">
        <v>98</v>
      </c>
      <c r="BS3398" s="1" t="s">
        <v>53935</v>
      </c>
      <c r="BT3398" s="1" t="str">
        <f>HYPERLINK("https%3A%2F%2Fwww.webofscience.com%2Fwos%2Fwoscc%2Ffull-record%2FWOS:000175339500007","View Full Record in Web of Science")</f>
        <v>View Full Record in Web of Science</v>
      </c>
      <c r="BU3398" s="1"/>
      <c r="BV3398" s="1"/>
    </row>
    <row r="3399" spans="1:74">
      <c r="A3399" s="1" t="s">
        <v>72</v>
      </c>
      <c r="B3399" s="1" t="s">
        <v>53936</v>
      </c>
      <c r="C3399" s="1" t="s">
        <v>74</v>
      </c>
      <c r="D3399" s="1" t="s">
        <v>74</v>
      </c>
      <c r="E3399" s="1" t="s">
        <v>74</v>
      </c>
      <c r="F3399" s="1" t="s">
        <v>53937</v>
      </c>
      <c r="G3399" s="1" t="s">
        <v>74</v>
      </c>
      <c r="H3399" s="1" t="s">
        <v>74</v>
      </c>
      <c r="I3399" s="1" t="s">
        <v>53938</v>
      </c>
      <c r="J3399" s="1" t="s">
        <v>53939</v>
      </c>
      <c r="K3399" s="1" t="s">
        <v>74</v>
      </c>
      <c r="L3399" s="1" t="s">
        <v>74</v>
      </c>
      <c r="M3399" s="1" t="s">
        <v>78</v>
      </c>
      <c r="N3399" s="1" t="s">
        <v>79</v>
      </c>
      <c r="O3399" s="1" t="s">
        <v>74</v>
      </c>
      <c r="P3399" s="1" t="s">
        <v>74</v>
      </c>
      <c r="Q3399" s="1" t="s">
        <v>74</v>
      </c>
      <c r="R3399" s="1" t="s">
        <v>74</v>
      </c>
      <c r="S3399" s="1" t="s">
        <v>74</v>
      </c>
      <c r="T3399" s="1" t="s">
        <v>53940</v>
      </c>
      <c r="U3399" s="1" t="s">
        <v>53941</v>
      </c>
      <c r="V3399" s="1" t="s">
        <v>53942</v>
      </c>
      <c r="W3399" s="1" t="s">
        <v>53943</v>
      </c>
      <c r="X3399" s="1" t="s">
        <v>53944</v>
      </c>
      <c r="Y3399" s="1" t="s">
        <v>53945</v>
      </c>
      <c r="Z3399" s="1" t="s">
        <v>53946</v>
      </c>
      <c r="AA3399" s="1" t="s">
        <v>74</v>
      </c>
      <c r="AB3399" s="1" t="s">
        <v>53947</v>
      </c>
      <c r="AC3399" s="1" t="s">
        <v>53948</v>
      </c>
      <c r="AD3399" s="1" t="s">
        <v>53949</v>
      </c>
      <c r="AE3399" s="1" t="s">
        <v>53950</v>
      </c>
      <c r="AF3399" s="1" t="s">
        <v>74</v>
      </c>
      <c r="AG3399" s="1">
        <v>47</v>
      </c>
      <c r="AH3399" s="1">
        <v>30</v>
      </c>
      <c r="AI3399" s="1">
        <v>36</v>
      </c>
      <c r="AJ3399" s="1">
        <v>2</v>
      </c>
      <c r="AK3399" s="1">
        <v>42</v>
      </c>
      <c r="AL3399" s="1" t="s">
        <v>136</v>
      </c>
      <c r="AM3399" s="1" t="s">
        <v>137</v>
      </c>
      <c r="AN3399" s="1" t="s">
        <v>138</v>
      </c>
      <c r="AO3399" s="1" t="s">
        <v>53951</v>
      </c>
      <c r="AP3399" s="1" t="s">
        <v>53952</v>
      </c>
      <c r="AQ3399" s="1" t="s">
        <v>74</v>
      </c>
      <c r="AR3399" s="1" t="s">
        <v>53953</v>
      </c>
      <c r="AS3399" s="1" t="s">
        <v>53954</v>
      </c>
      <c r="AT3399" s="1" t="s">
        <v>765</v>
      </c>
      <c r="AU3399" s="1">
        <v>2011</v>
      </c>
      <c r="AV3399" s="1">
        <v>57</v>
      </c>
      <c r="AW3399" s="1">
        <v>7</v>
      </c>
      <c r="AX3399" s="1" t="s">
        <v>74</v>
      </c>
      <c r="AY3399" s="1" t="s">
        <v>74</v>
      </c>
      <c r="AZ3399" s="1" t="s">
        <v>74</v>
      </c>
      <c r="BA3399" s="1" t="s">
        <v>74</v>
      </c>
      <c r="BB3399" s="1">
        <v>954</v>
      </c>
      <c r="BC3399" s="1">
        <v>961</v>
      </c>
      <c r="BD3399" s="1" t="s">
        <v>74</v>
      </c>
      <c r="BE3399" s="1" t="s">
        <v>53955</v>
      </c>
      <c r="BF3399" s="1" t="str">
        <f>HYPERLINK("http://dx.doi.org/10.1016/j.jinsphys.2011.04.008","http://dx.doi.org/10.1016/j.jinsphys.2011.04.008")</f>
        <v>http://dx.doi.org/10.1016/j.jinsphys.2011.04.008</v>
      </c>
      <c r="BG3399" s="1" t="s">
        <v>74</v>
      </c>
      <c r="BH3399" s="1" t="s">
        <v>74</v>
      </c>
      <c r="BI3399" s="1">
        <v>8</v>
      </c>
      <c r="BJ3399" s="1" t="s">
        <v>53956</v>
      </c>
      <c r="BK3399" s="1" t="s">
        <v>96</v>
      </c>
      <c r="BL3399" s="1" t="s">
        <v>53956</v>
      </c>
      <c r="BM3399" s="1" t="s">
        <v>53957</v>
      </c>
      <c r="BN3399" s="1">
        <v>21540035</v>
      </c>
      <c r="BO3399" s="1" t="s">
        <v>74</v>
      </c>
      <c r="BP3399" s="1" t="s">
        <v>74</v>
      </c>
      <c r="BQ3399" s="1" t="s">
        <v>74</v>
      </c>
      <c r="BR3399" s="1" t="s">
        <v>98</v>
      </c>
      <c r="BS3399" s="1" t="s">
        <v>53958</v>
      </c>
      <c r="BT3399" s="1" t="str">
        <f>HYPERLINK("https%3A%2F%2Fwww.webofscience.com%2Fwos%2Fwoscc%2Ffull-record%2FWOS:000293110400014","View Full Record in Web of Science")</f>
        <v>View Full Record in Web of Science</v>
      </c>
      <c r="BU3399" s="1"/>
      <c r="BV3399" s="1"/>
    </row>
    <row r="3400" spans="1:74">
      <c r="A3400" s="1" t="s">
        <v>72</v>
      </c>
      <c r="B3400" s="1" t="s">
        <v>53959</v>
      </c>
      <c r="C3400" s="1" t="s">
        <v>74</v>
      </c>
      <c r="D3400" s="1" t="s">
        <v>74</v>
      </c>
      <c r="E3400" s="1" t="s">
        <v>74</v>
      </c>
      <c r="F3400" s="1" t="s">
        <v>53960</v>
      </c>
      <c r="G3400" s="1" t="s">
        <v>74</v>
      </c>
      <c r="H3400" s="1" t="s">
        <v>74</v>
      </c>
      <c r="I3400" s="1" t="s">
        <v>53961</v>
      </c>
      <c r="J3400" s="1" t="s">
        <v>232</v>
      </c>
      <c r="K3400" s="1" t="s">
        <v>74</v>
      </c>
      <c r="L3400" s="1" t="s">
        <v>74</v>
      </c>
      <c r="M3400" s="1" t="s">
        <v>78</v>
      </c>
      <c r="N3400" s="1" t="s">
        <v>79</v>
      </c>
      <c r="O3400" s="1" t="s">
        <v>74</v>
      </c>
      <c r="P3400" s="1" t="s">
        <v>74</v>
      </c>
      <c r="Q3400" s="1" t="s">
        <v>74</v>
      </c>
      <c r="R3400" s="1" t="s">
        <v>74</v>
      </c>
      <c r="S3400" s="1" t="s">
        <v>74</v>
      </c>
      <c r="T3400" s="1" t="s">
        <v>53962</v>
      </c>
      <c r="U3400" s="1" t="s">
        <v>53963</v>
      </c>
      <c r="V3400" s="1" t="s">
        <v>53964</v>
      </c>
      <c r="W3400" s="1" t="s">
        <v>53965</v>
      </c>
      <c r="X3400" s="1" t="s">
        <v>15426</v>
      </c>
      <c r="Y3400" s="1" t="s">
        <v>53966</v>
      </c>
      <c r="Z3400" s="1" t="s">
        <v>53967</v>
      </c>
      <c r="AA3400" s="1" t="s">
        <v>53968</v>
      </c>
      <c r="AB3400" s="1" t="s">
        <v>53969</v>
      </c>
      <c r="AC3400" s="1" t="s">
        <v>53970</v>
      </c>
      <c r="AD3400" s="1" t="s">
        <v>53971</v>
      </c>
      <c r="AE3400" s="1" t="s">
        <v>53972</v>
      </c>
      <c r="AF3400" s="1" t="s">
        <v>74</v>
      </c>
      <c r="AG3400" s="1">
        <v>33</v>
      </c>
      <c r="AH3400" s="1">
        <v>3</v>
      </c>
      <c r="AI3400" s="1">
        <v>3</v>
      </c>
      <c r="AJ3400" s="1">
        <v>4</v>
      </c>
      <c r="AK3400" s="1">
        <v>6</v>
      </c>
      <c r="AL3400" s="1" t="s">
        <v>136</v>
      </c>
      <c r="AM3400" s="1" t="s">
        <v>137</v>
      </c>
      <c r="AN3400" s="1" t="s">
        <v>138</v>
      </c>
      <c r="AO3400" s="1" t="s">
        <v>240</v>
      </c>
      <c r="AP3400" s="1" t="s">
        <v>241</v>
      </c>
      <c r="AQ3400" s="1" t="s">
        <v>74</v>
      </c>
      <c r="AR3400" s="1" t="s">
        <v>242</v>
      </c>
      <c r="AS3400" s="1" t="s">
        <v>243</v>
      </c>
      <c r="AT3400" s="1" t="s">
        <v>93</v>
      </c>
      <c r="AU3400" s="1">
        <v>2023</v>
      </c>
      <c r="AV3400" s="1">
        <v>189</v>
      </c>
      <c r="AW3400" s="1" t="s">
        <v>74</v>
      </c>
      <c r="AX3400" s="1" t="s">
        <v>74</v>
      </c>
      <c r="AY3400" s="1" t="s">
        <v>74</v>
      </c>
      <c r="AZ3400" s="1" t="s">
        <v>74</v>
      </c>
      <c r="BA3400" s="1" t="s">
        <v>74</v>
      </c>
      <c r="BB3400" s="1" t="s">
        <v>74</v>
      </c>
      <c r="BC3400" s="1" t="s">
        <v>74</v>
      </c>
      <c r="BD3400" s="1">
        <v>114713</v>
      </c>
      <c r="BE3400" s="1" t="s">
        <v>53973</v>
      </c>
      <c r="BF3400" s="1" t="str">
        <f>HYPERLINK("http://dx.doi.org/10.1016/j.marpolbul.2023.114713","http://dx.doi.org/10.1016/j.marpolbul.2023.114713")</f>
        <v>http://dx.doi.org/10.1016/j.marpolbul.2023.114713</v>
      </c>
      <c r="BG3400" s="1" t="s">
        <v>74</v>
      </c>
      <c r="BH3400" s="1" t="s">
        <v>10846</v>
      </c>
      <c r="BI3400" s="1">
        <v>10</v>
      </c>
      <c r="BJ3400" s="1" t="s">
        <v>247</v>
      </c>
      <c r="BK3400" s="1" t="s">
        <v>96</v>
      </c>
      <c r="BL3400" s="1" t="s">
        <v>248</v>
      </c>
      <c r="BM3400" s="1" t="s">
        <v>53974</v>
      </c>
      <c r="BN3400" s="1">
        <v>36827772</v>
      </c>
      <c r="BO3400" s="1" t="s">
        <v>1752</v>
      </c>
      <c r="BP3400" s="1" t="s">
        <v>74</v>
      </c>
      <c r="BQ3400" s="1" t="s">
        <v>74</v>
      </c>
      <c r="BR3400" s="1" t="s">
        <v>98</v>
      </c>
      <c r="BS3400" s="1" t="s">
        <v>53975</v>
      </c>
      <c r="BT3400" s="1" t="str">
        <f>HYPERLINK("https%3A%2F%2Fwww.webofscience.com%2Fwos%2Fwoscc%2Ffull-record%2FWOS:000948089300001","View Full Record in Web of Science")</f>
        <v>View Full Record in Web of Science</v>
      </c>
      <c r="BU3400" s="1"/>
      <c r="BV3400" s="1"/>
    </row>
    <row r="3401" spans="1:74">
      <c r="A3401" s="1" t="s">
        <v>72</v>
      </c>
      <c r="B3401" s="1" t="s">
        <v>53976</v>
      </c>
      <c r="C3401" s="1" t="s">
        <v>74</v>
      </c>
      <c r="D3401" s="1" t="s">
        <v>74</v>
      </c>
      <c r="E3401" s="1" t="s">
        <v>74</v>
      </c>
      <c r="F3401" s="1" t="s">
        <v>53977</v>
      </c>
      <c r="G3401" s="1" t="s">
        <v>74</v>
      </c>
      <c r="H3401" s="1" t="s">
        <v>74</v>
      </c>
      <c r="I3401" s="1" t="s">
        <v>53978</v>
      </c>
      <c r="J3401" s="1" t="s">
        <v>204</v>
      </c>
      <c r="K3401" s="1" t="s">
        <v>74</v>
      </c>
      <c r="L3401" s="1" t="s">
        <v>74</v>
      </c>
      <c r="M3401" s="1" t="s">
        <v>78</v>
      </c>
      <c r="N3401" s="1" t="s">
        <v>79</v>
      </c>
      <c r="O3401" s="1" t="s">
        <v>74</v>
      </c>
      <c r="P3401" s="1" t="s">
        <v>74</v>
      </c>
      <c r="Q3401" s="1" t="s">
        <v>74</v>
      </c>
      <c r="R3401" s="1" t="s">
        <v>74</v>
      </c>
      <c r="S3401" s="1" t="s">
        <v>74</v>
      </c>
      <c r="T3401" s="1" t="s">
        <v>53979</v>
      </c>
      <c r="U3401" s="1" t="s">
        <v>53980</v>
      </c>
      <c r="V3401" s="1" t="s">
        <v>53981</v>
      </c>
      <c r="W3401" s="1" t="s">
        <v>53982</v>
      </c>
      <c r="X3401" s="1" t="s">
        <v>9166</v>
      </c>
      <c r="Y3401" s="1" t="s">
        <v>53983</v>
      </c>
      <c r="Z3401" s="1" t="s">
        <v>35719</v>
      </c>
      <c r="AA3401" s="1" t="s">
        <v>74</v>
      </c>
      <c r="AB3401" s="1" t="s">
        <v>74</v>
      </c>
      <c r="AC3401" s="1" t="s">
        <v>53984</v>
      </c>
      <c r="AD3401" s="1" t="s">
        <v>53985</v>
      </c>
      <c r="AE3401" s="1" t="s">
        <v>53986</v>
      </c>
      <c r="AF3401" s="1" t="s">
        <v>74</v>
      </c>
      <c r="AG3401" s="1">
        <v>52</v>
      </c>
      <c r="AH3401" s="1">
        <v>19</v>
      </c>
      <c r="AI3401" s="1">
        <v>22</v>
      </c>
      <c r="AJ3401" s="1">
        <v>1</v>
      </c>
      <c r="AK3401" s="1">
        <v>15</v>
      </c>
      <c r="AL3401" s="1" t="s">
        <v>217</v>
      </c>
      <c r="AM3401" s="1" t="s">
        <v>218</v>
      </c>
      <c r="AN3401" s="1" t="s">
        <v>219</v>
      </c>
      <c r="AO3401" s="1" t="s">
        <v>220</v>
      </c>
      <c r="AP3401" s="1" t="s">
        <v>221</v>
      </c>
      <c r="AQ3401" s="1" t="s">
        <v>74</v>
      </c>
      <c r="AR3401" s="1" t="s">
        <v>222</v>
      </c>
      <c r="AS3401" s="1" t="s">
        <v>223</v>
      </c>
      <c r="AT3401" s="1" t="s">
        <v>93</v>
      </c>
      <c r="AU3401" s="1">
        <v>2019</v>
      </c>
      <c r="AV3401" s="1">
        <v>26</v>
      </c>
      <c r="AW3401" s="1">
        <v>10</v>
      </c>
      <c r="AX3401" s="1" t="s">
        <v>74</v>
      </c>
      <c r="AY3401" s="1" t="s">
        <v>74</v>
      </c>
      <c r="AZ3401" s="1" t="s">
        <v>74</v>
      </c>
      <c r="BA3401" s="1" t="s">
        <v>74</v>
      </c>
      <c r="BB3401" s="1">
        <v>9823</v>
      </c>
      <c r="BC3401" s="1">
        <v>9831</v>
      </c>
      <c r="BD3401" s="1" t="s">
        <v>74</v>
      </c>
      <c r="BE3401" s="1" t="s">
        <v>53987</v>
      </c>
      <c r="BF3401" s="1" t="str">
        <f>HYPERLINK("http://dx.doi.org/10.1007/s11356-019-04349-1","http://dx.doi.org/10.1007/s11356-019-04349-1")</f>
        <v>http://dx.doi.org/10.1007/s11356-019-04349-1</v>
      </c>
      <c r="BG3401" s="1" t="s">
        <v>74</v>
      </c>
      <c r="BH3401" s="1" t="s">
        <v>74</v>
      </c>
      <c r="BI3401" s="1">
        <v>9</v>
      </c>
      <c r="BJ3401" s="1" t="s">
        <v>144</v>
      </c>
      <c r="BK3401" s="1" t="s">
        <v>96</v>
      </c>
      <c r="BL3401" s="1" t="s">
        <v>145</v>
      </c>
      <c r="BM3401" s="1" t="s">
        <v>53988</v>
      </c>
      <c r="BN3401" s="1">
        <v>30737714</v>
      </c>
      <c r="BO3401" s="1" t="s">
        <v>74</v>
      </c>
      <c r="BP3401" s="1" t="s">
        <v>74</v>
      </c>
      <c r="BQ3401" s="1" t="s">
        <v>74</v>
      </c>
      <c r="BR3401" s="1" t="s">
        <v>98</v>
      </c>
      <c r="BS3401" s="1" t="s">
        <v>53989</v>
      </c>
      <c r="BT3401" s="1" t="str">
        <f>HYPERLINK("https%3A%2F%2Fwww.webofscience.com%2Fwos%2Fwoscc%2Ffull-record%2FWOS:000464852200036","View Full Record in Web of Science")</f>
        <v>View Full Record in Web of Science</v>
      </c>
      <c r="BU3401" s="1"/>
      <c r="BV3401" s="1"/>
    </row>
    <row r="3402" spans="1:74">
      <c r="A3402" s="1" t="s">
        <v>72</v>
      </c>
      <c r="B3402" s="1" t="s">
        <v>53990</v>
      </c>
      <c r="C3402" s="1" t="s">
        <v>74</v>
      </c>
      <c r="D3402" s="1" t="s">
        <v>74</v>
      </c>
      <c r="E3402" s="1" t="s">
        <v>74</v>
      </c>
      <c r="F3402" s="1" t="s">
        <v>53991</v>
      </c>
      <c r="G3402" s="1" t="s">
        <v>74</v>
      </c>
      <c r="H3402" s="1" t="s">
        <v>74</v>
      </c>
      <c r="I3402" s="1" t="s">
        <v>53992</v>
      </c>
      <c r="J3402" s="1" t="s">
        <v>48595</v>
      </c>
      <c r="K3402" s="1" t="s">
        <v>74</v>
      </c>
      <c r="L3402" s="1" t="s">
        <v>74</v>
      </c>
      <c r="M3402" s="1" t="s">
        <v>78</v>
      </c>
      <c r="N3402" s="1" t="s">
        <v>79</v>
      </c>
      <c r="O3402" s="1" t="s">
        <v>74</v>
      </c>
      <c r="P3402" s="1" t="s">
        <v>74</v>
      </c>
      <c r="Q3402" s="1" t="s">
        <v>74</v>
      </c>
      <c r="R3402" s="1" t="s">
        <v>74</v>
      </c>
      <c r="S3402" s="1" t="s">
        <v>74</v>
      </c>
      <c r="T3402" s="1" t="s">
        <v>74</v>
      </c>
      <c r="U3402" s="1" t="s">
        <v>53993</v>
      </c>
      <c r="V3402" s="1" t="s">
        <v>53994</v>
      </c>
      <c r="W3402" s="1" t="s">
        <v>53995</v>
      </c>
      <c r="X3402" s="1" t="s">
        <v>53996</v>
      </c>
      <c r="Y3402" s="1" t="s">
        <v>53997</v>
      </c>
      <c r="Z3402" s="1" t="s">
        <v>53998</v>
      </c>
      <c r="AA3402" s="1" t="s">
        <v>53999</v>
      </c>
      <c r="AB3402" s="1" t="s">
        <v>54000</v>
      </c>
      <c r="AC3402" s="1" t="s">
        <v>54001</v>
      </c>
      <c r="AD3402" s="1" t="s">
        <v>54002</v>
      </c>
      <c r="AE3402" s="1" t="s">
        <v>54003</v>
      </c>
      <c r="AF3402" s="1" t="s">
        <v>74</v>
      </c>
      <c r="AG3402" s="1">
        <v>156</v>
      </c>
      <c r="AH3402" s="1">
        <v>120</v>
      </c>
      <c r="AI3402" s="1">
        <v>131</v>
      </c>
      <c r="AJ3402" s="1">
        <v>5</v>
      </c>
      <c r="AK3402" s="1">
        <v>141</v>
      </c>
      <c r="AL3402" s="1" t="s">
        <v>21002</v>
      </c>
      <c r="AM3402" s="1" t="s">
        <v>21003</v>
      </c>
      <c r="AN3402" s="1" t="s">
        <v>21004</v>
      </c>
      <c r="AO3402" s="1" t="s">
        <v>48607</v>
      </c>
      <c r="AP3402" s="1" t="s">
        <v>48608</v>
      </c>
      <c r="AQ3402" s="1" t="s">
        <v>74</v>
      </c>
      <c r="AR3402" s="1" t="s">
        <v>48609</v>
      </c>
      <c r="AS3402" s="1" t="s">
        <v>48610</v>
      </c>
      <c r="AT3402" s="1" t="s">
        <v>10502</v>
      </c>
      <c r="AU3402" s="1">
        <v>2016</v>
      </c>
      <c r="AV3402" s="1">
        <v>16</v>
      </c>
      <c r="AW3402" s="1">
        <v>17</v>
      </c>
      <c r="AX3402" s="1" t="s">
        <v>74</v>
      </c>
      <c r="AY3402" s="1" t="s">
        <v>74</v>
      </c>
      <c r="AZ3402" s="1" t="s">
        <v>74</v>
      </c>
      <c r="BA3402" s="1" t="s">
        <v>74</v>
      </c>
      <c r="BB3402" s="1">
        <v>11043</v>
      </c>
      <c r="BC3402" s="1">
        <v>11081</v>
      </c>
      <c r="BD3402" s="1" t="s">
        <v>74</v>
      </c>
      <c r="BE3402" s="1" t="s">
        <v>54004</v>
      </c>
      <c r="BF3402" s="1" t="str">
        <f>HYPERLINK("http://dx.doi.org/10.5194/acp-16-11043-2016","http://dx.doi.org/10.5194/acp-16-11043-2016")</f>
        <v>http://dx.doi.org/10.5194/acp-16-11043-2016</v>
      </c>
      <c r="BG3402" s="1" t="s">
        <v>74</v>
      </c>
      <c r="BH3402" s="1" t="s">
        <v>74</v>
      </c>
      <c r="BI3402" s="1">
        <v>39</v>
      </c>
      <c r="BJ3402" s="1" t="s">
        <v>48612</v>
      </c>
      <c r="BK3402" s="1" t="s">
        <v>96</v>
      </c>
      <c r="BL3402" s="1" t="s">
        <v>48613</v>
      </c>
      <c r="BM3402" s="1" t="s">
        <v>54005</v>
      </c>
      <c r="BN3402" s="1" t="s">
        <v>74</v>
      </c>
      <c r="BO3402" s="1" t="s">
        <v>12986</v>
      </c>
      <c r="BP3402" s="1" t="s">
        <v>74</v>
      </c>
      <c r="BQ3402" s="1" t="s">
        <v>74</v>
      </c>
      <c r="BR3402" s="1" t="s">
        <v>98</v>
      </c>
      <c r="BS3402" s="1" t="s">
        <v>54006</v>
      </c>
      <c r="BT3402" s="1" t="str">
        <f>HYPERLINK("https%3A%2F%2Fwww.webofscience.com%2Fwos%2Fwoscc%2Ffull-record%2FWOS:000383963600001","View Full Record in Web of Science")</f>
        <v>View Full Record in Web of Science</v>
      </c>
      <c r="BU3402" s="1"/>
      <c r="BV3402" s="1"/>
    </row>
    <row r="3403" spans="1:74">
      <c r="A3403" s="1" t="s">
        <v>72</v>
      </c>
      <c r="B3403" s="1" t="s">
        <v>54007</v>
      </c>
      <c r="C3403" s="1" t="s">
        <v>74</v>
      </c>
      <c r="D3403" s="1" t="s">
        <v>74</v>
      </c>
      <c r="E3403" s="1" t="s">
        <v>74</v>
      </c>
      <c r="F3403" s="1" t="s">
        <v>54008</v>
      </c>
      <c r="G3403" s="1" t="s">
        <v>74</v>
      </c>
      <c r="H3403" s="1" t="s">
        <v>74</v>
      </c>
      <c r="I3403" s="1" t="s">
        <v>54009</v>
      </c>
      <c r="J3403" s="1" t="s">
        <v>5592</v>
      </c>
      <c r="K3403" s="1" t="s">
        <v>74</v>
      </c>
      <c r="L3403" s="1" t="s">
        <v>74</v>
      </c>
      <c r="M3403" s="1" t="s">
        <v>78</v>
      </c>
      <c r="N3403" s="1" t="s">
        <v>79</v>
      </c>
      <c r="O3403" s="1" t="s">
        <v>74</v>
      </c>
      <c r="P3403" s="1" t="s">
        <v>74</v>
      </c>
      <c r="Q3403" s="1" t="s">
        <v>74</v>
      </c>
      <c r="R3403" s="1" t="s">
        <v>74</v>
      </c>
      <c r="S3403" s="1" t="s">
        <v>74</v>
      </c>
      <c r="T3403" s="1" t="s">
        <v>54010</v>
      </c>
      <c r="U3403" s="1" t="s">
        <v>54011</v>
      </c>
      <c r="V3403" s="1" t="s">
        <v>54012</v>
      </c>
      <c r="W3403" s="1" t="s">
        <v>54013</v>
      </c>
      <c r="X3403" s="1" t="s">
        <v>54014</v>
      </c>
      <c r="Y3403" s="1" t="s">
        <v>54015</v>
      </c>
      <c r="Z3403" s="1" t="s">
        <v>54016</v>
      </c>
      <c r="AA3403" s="1" t="s">
        <v>54017</v>
      </c>
      <c r="AB3403" s="1" t="s">
        <v>54018</v>
      </c>
      <c r="AC3403" s="1" t="s">
        <v>74</v>
      </c>
      <c r="AD3403" s="1" t="s">
        <v>74</v>
      </c>
      <c r="AE3403" s="1" t="s">
        <v>74</v>
      </c>
      <c r="AF3403" s="1" t="s">
        <v>74</v>
      </c>
      <c r="AG3403" s="1">
        <v>50</v>
      </c>
      <c r="AH3403" s="1">
        <v>66</v>
      </c>
      <c r="AI3403" s="1">
        <v>70</v>
      </c>
      <c r="AJ3403" s="1">
        <v>1</v>
      </c>
      <c r="AK3403" s="1">
        <v>33</v>
      </c>
      <c r="AL3403" s="1" t="s">
        <v>285</v>
      </c>
      <c r="AM3403" s="1" t="s">
        <v>286</v>
      </c>
      <c r="AN3403" s="1" t="s">
        <v>287</v>
      </c>
      <c r="AO3403" s="1" t="s">
        <v>5605</v>
      </c>
      <c r="AP3403" s="1" t="s">
        <v>5606</v>
      </c>
      <c r="AQ3403" s="1" t="s">
        <v>74</v>
      </c>
      <c r="AR3403" s="1" t="s">
        <v>5607</v>
      </c>
      <c r="AS3403" s="1" t="s">
        <v>5608</v>
      </c>
      <c r="AT3403" s="1" t="s">
        <v>54019</v>
      </c>
      <c r="AU3403" s="1">
        <v>2008</v>
      </c>
      <c r="AV3403" s="1">
        <v>78</v>
      </c>
      <c r="AW3403" s="1">
        <v>4</v>
      </c>
      <c r="AX3403" s="1" t="s">
        <v>74</v>
      </c>
      <c r="AY3403" s="1" t="s">
        <v>74</v>
      </c>
      <c r="AZ3403" s="1" t="s">
        <v>74</v>
      </c>
      <c r="BA3403" s="1" t="s">
        <v>74</v>
      </c>
      <c r="BB3403" s="1">
        <v>753</v>
      </c>
      <c r="BC3403" s="1">
        <v>762</v>
      </c>
      <c r="BD3403" s="1" t="s">
        <v>74</v>
      </c>
      <c r="BE3403" s="1" t="s">
        <v>54020</v>
      </c>
      <c r="BF3403" s="1" t="str">
        <f>HYPERLINK("http://dx.doi.org/10.1016/j.ecss.2008.02.016","http://dx.doi.org/10.1016/j.ecss.2008.02.016")</f>
        <v>http://dx.doi.org/10.1016/j.ecss.2008.02.016</v>
      </c>
      <c r="BG3403" s="1" t="s">
        <v>74</v>
      </c>
      <c r="BH3403" s="1" t="s">
        <v>74</v>
      </c>
      <c r="BI3403" s="1">
        <v>10</v>
      </c>
      <c r="BJ3403" s="1" t="s">
        <v>4241</v>
      </c>
      <c r="BK3403" s="1" t="s">
        <v>96</v>
      </c>
      <c r="BL3403" s="1" t="s">
        <v>4241</v>
      </c>
      <c r="BM3403" s="1" t="s">
        <v>54021</v>
      </c>
      <c r="BN3403" s="1" t="s">
        <v>74</v>
      </c>
      <c r="BO3403" s="1" t="s">
        <v>1752</v>
      </c>
      <c r="BP3403" s="1" t="s">
        <v>74</v>
      </c>
      <c r="BQ3403" s="1" t="s">
        <v>74</v>
      </c>
      <c r="BR3403" s="1" t="s">
        <v>98</v>
      </c>
      <c r="BS3403" s="1" t="s">
        <v>54022</v>
      </c>
      <c r="BT3403" s="1" t="str">
        <f>HYPERLINK("https%3A%2F%2Fwww.webofscience.com%2Fwos%2Fwoscc%2Ffull-record%2FWOS:000257348100018","View Full Record in Web of Science")</f>
        <v>View Full Record in Web of Science</v>
      </c>
      <c r="BU3403" s="1"/>
      <c r="BV3403" s="1"/>
    </row>
    <row r="3404" spans="1:74">
      <c r="A3404" s="1" t="s">
        <v>72</v>
      </c>
      <c r="B3404" s="1" t="s">
        <v>54023</v>
      </c>
      <c r="C3404" s="1" t="s">
        <v>74</v>
      </c>
      <c r="D3404" s="1" t="s">
        <v>74</v>
      </c>
      <c r="E3404" s="1" t="s">
        <v>74</v>
      </c>
      <c r="F3404" s="1" t="s">
        <v>54024</v>
      </c>
      <c r="G3404" s="1" t="s">
        <v>74</v>
      </c>
      <c r="H3404" s="1" t="s">
        <v>74</v>
      </c>
      <c r="I3404" s="1" t="s">
        <v>54025</v>
      </c>
      <c r="J3404" s="1" t="s">
        <v>204</v>
      </c>
      <c r="K3404" s="1" t="s">
        <v>74</v>
      </c>
      <c r="L3404" s="1" t="s">
        <v>74</v>
      </c>
      <c r="M3404" s="1" t="s">
        <v>78</v>
      </c>
      <c r="N3404" s="1" t="s">
        <v>79</v>
      </c>
      <c r="O3404" s="1" t="s">
        <v>74</v>
      </c>
      <c r="P3404" s="1" t="s">
        <v>74</v>
      </c>
      <c r="Q3404" s="1" t="s">
        <v>74</v>
      </c>
      <c r="R3404" s="1" t="s">
        <v>74</v>
      </c>
      <c r="S3404" s="1" t="s">
        <v>74</v>
      </c>
      <c r="T3404" s="1" t="s">
        <v>54026</v>
      </c>
      <c r="U3404" s="1" t="s">
        <v>54027</v>
      </c>
      <c r="V3404" s="1" t="s">
        <v>54028</v>
      </c>
      <c r="W3404" s="1" t="s">
        <v>54029</v>
      </c>
      <c r="X3404" s="1" t="s">
        <v>54030</v>
      </c>
      <c r="Y3404" s="1" t="s">
        <v>54031</v>
      </c>
      <c r="Z3404" s="1" t="s">
        <v>54032</v>
      </c>
      <c r="AA3404" s="1" t="s">
        <v>54033</v>
      </c>
      <c r="AB3404" s="1" t="s">
        <v>74</v>
      </c>
      <c r="AC3404" s="1" t="s">
        <v>54034</v>
      </c>
      <c r="AD3404" s="1" t="s">
        <v>54035</v>
      </c>
      <c r="AE3404" s="1" t="s">
        <v>54036</v>
      </c>
      <c r="AF3404" s="1" t="s">
        <v>74</v>
      </c>
      <c r="AG3404" s="1">
        <v>28</v>
      </c>
      <c r="AH3404" s="1">
        <v>15</v>
      </c>
      <c r="AI3404" s="1">
        <v>19</v>
      </c>
      <c r="AJ3404" s="1">
        <v>0</v>
      </c>
      <c r="AK3404" s="1">
        <v>57</v>
      </c>
      <c r="AL3404" s="1" t="s">
        <v>217</v>
      </c>
      <c r="AM3404" s="1" t="s">
        <v>218</v>
      </c>
      <c r="AN3404" s="1" t="s">
        <v>219</v>
      </c>
      <c r="AO3404" s="1" t="s">
        <v>220</v>
      </c>
      <c r="AP3404" s="1" t="s">
        <v>221</v>
      </c>
      <c r="AQ3404" s="1" t="s">
        <v>74</v>
      </c>
      <c r="AR3404" s="1" t="s">
        <v>222</v>
      </c>
      <c r="AS3404" s="1" t="s">
        <v>223</v>
      </c>
      <c r="AT3404" s="1" t="s">
        <v>224</v>
      </c>
      <c r="AU3404" s="1">
        <v>2015</v>
      </c>
      <c r="AV3404" s="1">
        <v>22</v>
      </c>
      <c r="AW3404" s="1">
        <v>4</v>
      </c>
      <c r="AX3404" s="1" t="s">
        <v>74</v>
      </c>
      <c r="AY3404" s="1" t="s">
        <v>74</v>
      </c>
      <c r="AZ3404" s="1" t="s">
        <v>74</v>
      </c>
      <c r="BA3404" s="1" t="s">
        <v>74</v>
      </c>
      <c r="BB3404" s="1">
        <v>2661</v>
      </c>
      <c r="BC3404" s="1">
        <v>2667</v>
      </c>
      <c r="BD3404" s="1" t="s">
        <v>74</v>
      </c>
      <c r="BE3404" s="1" t="s">
        <v>54037</v>
      </c>
      <c r="BF3404" s="1" t="str">
        <f>HYPERLINK("http://dx.doi.org/10.1007/s11356-014-3503-6","http://dx.doi.org/10.1007/s11356-014-3503-6")</f>
        <v>http://dx.doi.org/10.1007/s11356-014-3503-6</v>
      </c>
      <c r="BG3404" s="1" t="s">
        <v>74</v>
      </c>
      <c r="BH3404" s="1" t="s">
        <v>74</v>
      </c>
      <c r="BI3404" s="1">
        <v>7</v>
      </c>
      <c r="BJ3404" s="1" t="s">
        <v>144</v>
      </c>
      <c r="BK3404" s="1" t="s">
        <v>96</v>
      </c>
      <c r="BL3404" s="1" t="s">
        <v>145</v>
      </c>
      <c r="BM3404" s="1" t="s">
        <v>54038</v>
      </c>
      <c r="BN3404" s="1">
        <v>25196962</v>
      </c>
      <c r="BO3404" s="1" t="s">
        <v>74</v>
      </c>
      <c r="BP3404" s="1" t="s">
        <v>74</v>
      </c>
      <c r="BQ3404" s="1" t="s">
        <v>74</v>
      </c>
      <c r="BR3404" s="1" t="s">
        <v>98</v>
      </c>
      <c r="BS3404" s="1" t="s">
        <v>54039</v>
      </c>
      <c r="BT3404" s="1" t="str">
        <f>HYPERLINK("https%3A%2F%2Fwww.webofscience.com%2Fwos%2Fwoscc%2Ffull-record%2FWOS:000349319200029","View Full Record in Web of Science")</f>
        <v>View Full Record in Web of Science</v>
      </c>
      <c r="BU3404" s="1"/>
      <c r="BV3404" s="1"/>
    </row>
    <row r="3405" spans="1:74">
      <c r="A3405" s="1" t="s">
        <v>72</v>
      </c>
      <c r="B3405" s="1" t="s">
        <v>54040</v>
      </c>
      <c r="C3405" s="1" t="s">
        <v>74</v>
      </c>
      <c r="D3405" s="1" t="s">
        <v>74</v>
      </c>
      <c r="E3405" s="1" t="s">
        <v>74</v>
      </c>
      <c r="F3405" s="1" t="s">
        <v>54041</v>
      </c>
      <c r="G3405" s="1" t="s">
        <v>74</v>
      </c>
      <c r="H3405" s="1" t="s">
        <v>74</v>
      </c>
      <c r="I3405" s="1" t="s">
        <v>54042</v>
      </c>
      <c r="J3405" s="1" t="s">
        <v>53508</v>
      </c>
      <c r="K3405" s="1" t="s">
        <v>74</v>
      </c>
      <c r="L3405" s="1" t="s">
        <v>74</v>
      </c>
      <c r="M3405" s="1" t="s">
        <v>78</v>
      </c>
      <c r="N3405" s="1" t="s">
        <v>79</v>
      </c>
      <c r="O3405" s="1" t="s">
        <v>74</v>
      </c>
      <c r="P3405" s="1" t="s">
        <v>74</v>
      </c>
      <c r="Q3405" s="1" t="s">
        <v>74</v>
      </c>
      <c r="R3405" s="1" t="s">
        <v>74</v>
      </c>
      <c r="S3405" s="1" t="s">
        <v>74</v>
      </c>
      <c r="T3405" s="1" t="s">
        <v>54043</v>
      </c>
      <c r="U3405" s="1" t="s">
        <v>54044</v>
      </c>
      <c r="V3405" s="1" t="s">
        <v>54045</v>
      </c>
      <c r="W3405" s="1" t="s">
        <v>54046</v>
      </c>
      <c r="X3405" s="1" t="s">
        <v>54047</v>
      </c>
      <c r="Y3405" s="1" t="s">
        <v>54048</v>
      </c>
      <c r="Z3405" s="1" t="s">
        <v>54049</v>
      </c>
      <c r="AA3405" s="1" t="s">
        <v>54050</v>
      </c>
      <c r="AB3405" s="1" t="s">
        <v>54051</v>
      </c>
      <c r="AC3405" s="1" t="s">
        <v>54052</v>
      </c>
      <c r="AD3405" s="1" t="s">
        <v>54053</v>
      </c>
      <c r="AE3405" s="1" t="s">
        <v>54054</v>
      </c>
      <c r="AF3405" s="1" t="s">
        <v>74</v>
      </c>
      <c r="AG3405" s="1">
        <v>65</v>
      </c>
      <c r="AH3405" s="1">
        <v>8</v>
      </c>
      <c r="AI3405" s="1">
        <v>9</v>
      </c>
      <c r="AJ3405" s="1">
        <v>0</v>
      </c>
      <c r="AK3405" s="1">
        <v>28</v>
      </c>
      <c r="AL3405" s="1" t="s">
        <v>430</v>
      </c>
      <c r="AM3405" s="1" t="s">
        <v>137</v>
      </c>
      <c r="AN3405" s="1" t="s">
        <v>431</v>
      </c>
      <c r="AO3405" s="1" t="s">
        <v>53517</v>
      </c>
      <c r="AP3405" s="1" t="s">
        <v>74</v>
      </c>
      <c r="AQ3405" s="1" t="s">
        <v>74</v>
      </c>
      <c r="AR3405" s="1" t="s">
        <v>53518</v>
      </c>
      <c r="AS3405" s="1" t="s">
        <v>53519</v>
      </c>
      <c r="AT3405" s="1" t="s">
        <v>142</v>
      </c>
      <c r="AU3405" s="1">
        <v>2017</v>
      </c>
      <c r="AV3405" s="1">
        <v>43</v>
      </c>
      <c r="AW3405" s="1">
        <v>3</v>
      </c>
      <c r="AX3405" s="1" t="s">
        <v>74</v>
      </c>
      <c r="AY3405" s="1" t="s">
        <v>74</v>
      </c>
      <c r="AZ3405" s="1" t="s">
        <v>74</v>
      </c>
      <c r="BA3405" s="1" t="s">
        <v>74</v>
      </c>
      <c r="BB3405" s="1">
        <v>132</v>
      </c>
      <c r="BC3405" s="1">
        <v>140</v>
      </c>
      <c r="BD3405" s="1" t="s">
        <v>74</v>
      </c>
      <c r="BE3405" s="1" t="s">
        <v>54055</v>
      </c>
      <c r="BF3405" s="1" t="str">
        <f>HYPERLINK("http://dx.doi.org/10.1016/j.jglr.2017.03.004","http://dx.doi.org/10.1016/j.jglr.2017.03.004")</f>
        <v>http://dx.doi.org/10.1016/j.jglr.2017.03.004</v>
      </c>
      <c r="BG3405" s="1" t="s">
        <v>74</v>
      </c>
      <c r="BH3405" s="1" t="s">
        <v>74</v>
      </c>
      <c r="BI3405" s="1">
        <v>9</v>
      </c>
      <c r="BJ3405" s="1" t="s">
        <v>53521</v>
      </c>
      <c r="BK3405" s="1" t="s">
        <v>96</v>
      </c>
      <c r="BL3405" s="1" t="s">
        <v>248</v>
      </c>
      <c r="BM3405" s="1" t="s">
        <v>54056</v>
      </c>
      <c r="BN3405" s="1" t="s">
        <v>74</v>
      </c>
      <c r="BO3405" s="1" t="s">
        <v>74</v>
      </c>
      <c r="BP3405" s="1" t="s">
        <v>74</v>
      </c>
      <c r="BQ3405" s="1" t="s">
        <v>74</v>
      </c>
      <c r="BR3405" s="1" t="s">
        <v>98</v>
      </c>
      <c r="BS3405" s="1" t="s">
        <v>54057</v>
      </c>
      <c r="BT3405" s="1" t="str">
        <f>HYPERLINK("https%3A%2F%2Fwww.webofscience.com%2Fwos%2Fwoscc%2Ffull-record%2FWOS:000402219200014","View Full Record in Web of Science")</f>
        <v>View Full Record in Web of Science</v>
      </c>
      <c r="BU3405" s="1"/>
      <c r="BV3405" s="1"/>
    </row>
    <row r="3406" spans="1:74">
      <c r="A3406" s="1" t="s">
        <v>72</v>
      </c>
      <c r="B3406" s="1" t="s">
        <v>54058</v>
      </c>
      <c r="C3406" s="1" t="s">
        <v>74</v>
      </c>
      <c r="D3406" s="1" t="s">
        <v>74</v>
      </c>
      <c r="E3406" s="1" t="s">
        <v>74</v>
      </c>
      <c r="F3406" s="1" t="s">
        <v>54059</v>
      </c>
      <c r="G3406" s="1" t="s">
        <v>74</v>
      </c>
      <c r="H3406" s="1" t="s">
        <v>74</v>
      </c>
      <c r="I3406" s="1" t="s">
        <v>54060</v>
      </c>
      <c r="J3406" s="1" t="s">
        <v>127</v>
      </c>
      <c r="K3406" s="1" t="s">
        <v>74</v>
      </c>
      <c r="L3406" s="1" t="s">
        <v>74</v>
      </c>
      <c r="M3406" s="1" t="s">
        <v>78</v>
      </c>
      <c r="N3406" s="1" t="s">
        <v>79</v>
      </c>
      <c r="O3406" s="1" t="s">
        <v>74</v>
      </c>
      <c r="P3406" s="1" t="s">
        <v>74</v>
      </c>
      <c r="Q3406" s="1" t="s">
        <v>74</v>
      </c>
      <c r="R3406" s="1" t="s">
        <v>74</v>
      </c>
      <c r="S3406" s="1" t="s">
        <v>74</v>
      </c>
      <c r="T3406" s="1" t="s">
        <v>54061</v>
      </c>
      <c r="U3406" s="1" t="s">
        <v>54062</v>
      </c>
      <c r="V3406" s="1" t="s">
        <v>54063</v>
      </c>
      <c r="W3406" s="1" t="s">
        <v>54064</v>
      </c>
      <c r="X3406" s="1" t="s">
        <v>54065</v>
      </c>
      <c r="Y3406" s="1" t="s">
        <v>44205</v>
      </c>
      <c r="Z3406" s="1" t="s">
        <v>44206</v>
      </c>
      <c r="AA3406" s="1" t="s">
        <v>54066</v>
      </c>
      <c r="AB3406" s="1" t="s">
        <v>54067</v>
      </c>
      <c r="AC3406" s="1" t="s">
        <v>54068</v>
      </c>
      <c r="AD3406" s="1" t="s">
        <v>54069</v>
      </c>
      <c r="AE3406" s="1" t="s">
        <v>54070</v>
      </c>
      <c r="AF3406" s="1" t="s">
        <v>74</v>
      </c>
      <c r="AG3406" s="1">
        <v>74</v>
      </c>
      <c r="AH3406" s="1">
        <v>44</v>
      </c>
      <c r="AI3406" s="1">
        <v>47</v>
      </c>
      <c r="AJ3406" s="1">
        <v>0</v>
      </c>
      <c r="AK3406" s="1">
        <v>47</v>
      </c>
      <c r="AL3406" s="1" t="s">
        <v>136</v>
      </c>
      <c r="AM3406" s="1" t="s">
        <v>137</v>
      </c>
      <c r="AN3406" s="1" t="s">
        <v>138</v>
      </c>
      <c r="AO3406" s="1" t="s">
        <v>139</v>
      </c>
      <c r="AP3406" s="1" t="s">
        <v>140</v>
      </c>
      <c r="AQ3406" s="1" t="s">
        <v>74</v>
      </c>
      <c r="AR3406" s="1" t="s">
        <v>127</v>
      </c>
      <c r="AS3406" s="1" t="s">
        <v>141</v>
      </c>
      <c r="AT3406" s="1" t="s">
        <v>93</v>
      </c>
      <c r="AU3406" s="1">
        <v>2014</v>
      </c>
      <c r="AV3406" s="1">
        <v>100</v>
      </c>
      <c r="AW3406" s="1" t="s">
        <v>74</v>
      </c>
      <c r="AX3406" s="1" t="s">
        <v>74</v>
      </c>
      <c r="AY3406" s="1" t="s">
        <v>74</v>
      </c>
      <c r="AZ3406" s="1" t="s">
        <v>74</v>
      </c>
      <c r="BA3406" s="1" t="s">
        <v>74</v>
      </c>
      <c r="BB3406" s="1">
        <v>16</v>
      </c>
      <c r="BC3406" s="1">
        <v>26</v>
      </c>
      <c r="BD3406" s="1" t="s">
        <v>74</v>
      </c>
      <c r="BE3406" s="1" t="s">
        <v>54071</v>
      </c>
      <c r="BF3406" s="1" t="str">
        <f>HYPERLINK("http://dx.doi.org/10.1016/j.chemosphere.2014.01.001","http://dx.doi.org/10.1016/j.chemosphere.2014.01.001")</f>
        <v>http://dx.doi.org/10.1016/j.chemosphere.2014.01.001</v>
      </c>
      <c r="BG3406" s="1" t="s">
        <v>74</v>
      </c>
      <c r="BH3406" s="1" t="s">
        <v>74</v>
      </c>
      <c r="BI3406" s="1">
        <v>11</v>
      </c>
      <c r="BJ3406" s="1" t="s">
        <v>144</v>
      </c>
      <c r="BK3406" s="1" t="s">
        <v>96</v>
      </c>
      <c r="BL3406" s="1" t="s">
        <v>145</v>
      </c>
      <c r="BM3406" s="1" t="s">
        <v>54072</v>
      </c>
      <c r="BN3406" s="1">
        <v>24468111</v>
      </c>
      <c r="BO3406" s="1" t="s">
        <v>74</v>
      </c>
      <c r="BP3406" s="1" t="s">
        <v>74</v>
      </c>
      <c r="BQ3406" s="1" t="s">
        <v>74</v>
      </c>
      <c r="BR3406" s="1" t="s">
        <v>98</v>
      </c>
      <c r="BS3406" s="1" t="s">
        <v>54073</v>
      </c>
      <c r="BT3406" s="1" t="str">
        <f>HYPERLINK("https%3A%2F%2Fwww.webofscience.com%2Fwos%2Fwoscc%2Ffull-record%2FWOS:000332264800003","View Full Record in Web of Science")</f>
        <v>View Full Record in Web of Science</v>
      </c>
      <c r="BU3406" s="1"/>
      <c r="BV3406" s="1"/>
    </row>
    <row r="3407" spans="1:74">
      <c r="A3407" s="1" t="s">
        <v>72</v>
      </c>
      <c r="B3407" s="1" t="s">
        <v>54074</v>
      </c>
      <c r="C3407" s="1" t="s">
        <v>74</v>
      </c>
      <c r="D3407" s="1" t="s">
        <v>74</v>
      </c>
      <c r="E3407" s="1" t="s">
        <v>74</v>
      </c>
      <c r="F3407" s="1" t="s">
        <v>54074</v>
      </c>
      <c r="G3407" s="1" t="s">
        <v>74</v>
      </c>
      <c r="H3407" s="1" t="s">
        <v>74</v>
      </c>
      <c r="I3407" s="1" t="s">
        <v>54075</v>
      </c>
      <c r="J3407" s="1" t="s">
        <v>909</v>
      </c>
      <c r="K3407" s="1" t="s">
        <v>74</v>
      </c>
      <c r="L3407" s="1" t="s">
        <v>74</v>
      </c>
      <c r="M3407" s="1" t="s">
        <v>78</v>
      </c>
      <c r="N3407" s="1" t="s">
        <v>79</v>
      </c>
      <c r="O3407" s="1" t="s">
        <v>74</v>
      </c>
      <c r="P3407" s="1" t="s">
        <v>74</v>
      </c>
      <c r="Q3407" s="1" t="s">
        <v>74</v>
      </c>
      <c r="R3407" s="1" t="s">
        <v>74</v>
      </c>
      <c r="S3407" s="1" t="s">
        <v>74</v>
      </c>
      <c r="T3407" s="1" t="s">
        <v>74</v>
      </c>
      <c r="U3407" s="1" t="s">
        <v>54076</v>
      </c>
      <c r="V3407" s="1" t="s">
        <v>54077</v>
      </c>
      <c r="W3407" s="1" t="s">
        <v>74</v>
      </c>
      <c r="X3407" s="1" t="s">
        <v>74</v>
      </c>
      <c r="Y3407" s="1" t="s">
        <v>54078</v>
      </c>
      <c r="Z3407" s="1" t="s">
        <v>74</v>
      </c>
      <c r="AA3407" s="1" t="s">
        <v>74</v>
      </c>
      <c r="AB3407" s="1" t="s">
        <v>74</v>
      </c>
      <c r="AC3407" s="1" t="s">
        <v>74</v>
      </c>
      <c r="AD3407" s="1" t="s">
        <v>74</v>
      </c>
      <c r="AE3407" s="1" t="s">
        <v>74</v>
      </c>
      <c r="AF3407" s="1" t="s">
        <v>74</v>
      </c>
      <c r="AG3407" s="1">
        <v>29</v>
      </c>
      <c r="AH3407" s="1">
        <v>20</v>
      </c>
      <c r="AI3407" s="1">
        <v>20</v>
      </c>
      <c r="AJ3407" s="1">
        <v>0</v>
      </c>
      <c r="AK3407" s="1">
        <v>8</v>
      </c>
      <c r="AL3407" s="1" t="s">
        <v>919</v>
      </c>
      <c r="AM3407" s="1" t="s">
        <v>651</v>
      </c>
      <c r="AN3407" s="1" t="s">
        <v>920</v>
      </c>
      <c r="AO3407" s="1" t="s">
        <v>921</v>
      </c>
      <c r="AP3407" s="1" t="s">
        <v>74</v>
      </c>
      <c r="AQ3407" s="1" t="s">
        <v>74</v>
      </c>
      <c r="AR3407" s="1" t="s">
        <v>923</v>
      </c>
      <c r="AS3407" s="1" t="s">
        <v>924</v>
      </c>
      <c r="AT3407" s="1" t="s">
        <v>142</v>
      </c>
      <c r="AU3407" s="1">
        <v>1991</v>
      </c>
      <c r="AV3407" s="1">
        <v>105</v>
      </c>
      <c r="AW3407" s="1" t="s">
        <v>74</v>
      </c>
      <c r="AX3407" s="1" t="s">
        <v>74</v>
      </c>
      <c r="AY3407" s="1" t="s">
        <v>74</v>
      </c>
      <c r="AZ3407" s="1" t="s">
        <v>74</v>
      </c>
      <c r="BA3407" s="1" t="s">
        <v>74</v>
      </c>
      <c r="BB3407" s="1">
        <v>127</v>
      </c>
      <c r="BC3407" s="1">
        <v>133</v>
      </c>
      <c r="BD3407" s="1" t="s">
        <v>74</v>
      </c>
      <c r="BE3407" s="1" t="s">
        <v>54079</v>
      </c>
      <c r="BF3407" s="1" t="str">
        <f>HYPERLINK("http://dx.doi.org/10.1016/0048-9697(91)90335-C","http://dx.doi.org/10.1016/0048-9697(91)90335-C")</f>
        <v>http://dx.doi.org/10.1016/0048-9697(91)90335-C</v>
      </c>
      <c r="BG3407" s="1" t="s">
        <v>74</v>
      </c>
      <c r="BH3407" s="1" t="s">
        <v>74</v>
      </c>
      <c r="BI3407" s="1">
        <v>7</v>
      </c>
      <c r="BJ3407" s="1" t="s">
        <v>144</v>
      </c>
      <c r="BK3407" s="1" t="s">
        <v>96</v>
      </c>
      <c r="BL3407" s="1" t="s">
        <v>145</v>
      </c>
      <c r="BM3407" s="1" t="s">
        <v>54080</v>
      </c>
      <c r="BN3407" s="1" t="s">
        <v>74</v>
      </c>
      <c r="BO3407" s="1" t="s">
        <v>74</v>
      </c>
      <c r="BP3407" s="1" t="s">
        <v>74</v>
      </c>
      <c r="BQ3407" s="1" t="s">
        <v>74</v>
      </c>
      <c r="BR3407" s="1" t="s">
        <v>98</v>
      </c>
      <c r="BS3407" s="1" t="s">
        <v>54081</v>
      </c>
      <c r="BT3407" s="1" t="str">
        <f>HYPERLINK("https%3A%2F%2Fwww.webofscience.com%2Fwos%2Fwoscc%2Ffull-record%2FWOS:A1991FU95100011","View Full Record in Web of Science")</f>
        <v>View Full Record in Web of Science</v>
      </c>
      <c r="BU3407" s="1"/>
      <c r="BV3407" s="1"/>
    </row>
    <row r="3408" spans="1:74">
      <c r="A3408" s="1" t="s">
        <v>72</v>
      </c>
      <c r="B3408" s="1" t="s">
        <v>54082</v>
      </c>
      <c r="C3408" s="1" t="s">
        <v>74</v>
      </c>
      <c r="D3408" s="1" t="s">
        <v>74</v>
      </c>
      <c r="E3408" s="1" t="s">
        <v>74</v>
      </c>
      <c r="F3408" s="1" t="s">
        <v>54083</v>
      </c>
      <c r="G3408" s="1" t="s">
        <v>74</v>
      </c>
      <c r="H3408" s="1" t="s">
        <v>74</v>
      </c>
      <c r="I3408" s="1" t="s">
        <v>54084</v>
      </c>
      <c r="J3408" s="1" t="s">
        <v>54085</v>
      </c>
      <c r="K3408" s="1" t="s">
        <v>74</v>
      </c>
      <c r="L3408" s="1" t="s">
        <v>74</v>
      </c>
      <c r="M3408" s="1" t="s">
        <v>78</v>
      </c>
      <c r="N3408" s="1" t="s">
        <v>79</v>
      </c>
      <c r="O3408" s="1" t="s">
        <v>74</v>
      </c>
      <c r="P3408" s="1" t="s">
        <v>74</v>
      </c>
      <c r="Q3408" s="1" t="s">
        <v>74</v>
      </c>
      <c r="R3408" s="1" t="s">
        <v>74</v>
      </c>
      <c r="S3408" s="1" t="s">
        <v>74</v>
      </c>
      <c r="T3408" s="1" t="s">
        <v>74</v>
      </c>
      <c r="U3408" s="1" t="s">
        <v>54086</v>
      </c>
      <c r="V3408" s="1" t="s">
        <v>54087</v>
      </c>
      <c r="W3408" s="1" t="s">
        <v>54088</v>
      </c>
      <c r="X3408" s="1" t="s">
        <v>54089</v>
      </c>
      <c r="Y3408" s="1" t="s">
        <v>54090</v>
      </c>
      <c r="Z3408" s="1" t="s">
        <v>54091</v>
      </c>
      <c r="AA3408" s="1" t="s">
        <v>54092</v>
      </c>
      <c r="AB3408" s="1" t="s">
        <v>74</v>
      </c>
      <c r="AC3408" s="1" t="s">
        <v>74</v>
      </c>
      <c r="AD3408" s="1" t="s">
        <v>74</v>
      </c>
      <c r="AE3408" s="1" t="s">
        <v>74</v>
      </c>
      <c r="AF3408" s="1" t="s">
        <v>74</v>
      </c>
      <c r="AG3408" s="1">
        <v>40</v>
      </c>
      <c r="AH3408" s="1">
        <v>10</v>
      </c>
      <c r="AI3408" s="1">
        <v>10</v>
      </c>
      <c r="AJ3408" s="1">
        <v>5</v>
      </c>
      <c r="AK3408" s="1">
        <v>21</v>
      </c>
      <c r="AL3408" s="1" t="s">
        <v>54093</v>
      </c>
      <c r="AM3408" s="1" t="s">
        <v>54094</v>
      </c>
      <c r="AN3408" s="1" t="s">
        <v>54095</v>
      </c>
      <c r="AO3408" s="1" t="s">
        <v>54096</v>
      </c>
      <c r="AP3408" s="1" t="s">
        <v>74</v>
      </c>
      <c r="AQ3408" s="1" t="s">
        <v>74</v>
      </c>
      <c r="AR3408" s="1" t="s">
        <v>54097</v>
      </c>
      <c r="AS3408" s="1" t="s">
        <v>54098</v>
      </c>
      <c r="AT3408" s="1" t="s">
        <v>1223</v>
      </c>
      <c r="AU3408" s="1">
        <v>2008</v>
      </c>
      <c r="AV3408" s="1">
        <v>6</v>
      </c>
      <c r="AW3408" s="1">
        <v>1</v>
      </c>
      <c r="AX3408" s="1" t="s">
        <v>74</v>
      </c>
      <c r="AY3408" s="1" t="s">
        <v>74</v>
      </c>
      <c r="AZ3408" s="1" t="s">
        <v>74</v>
      </c>
      <c r="BA3408" s="1" t="s">
        <v>74</v>
      </c>
      <c r="BB3408" s="1">
        <v>59</v>
      </c>
      <c r="BC3408" s="1">
        <v>72</v>
      </c>
      <c r="BD3408" s="1" t="s">
        <v>74</v>
      </c>
      <c r="BE3408" s="1" t="s">
        <v>54099</v>
      </c>
      <c r="BF3408" s="1" t="str">
        <f>HYPERLINK("http://dx.doi.org/10.1089/cpt.2007.0517","http://dx.doi.org/10.1089/cpt.2007.0517")</f>
        <v>http://dx.doi.org/10.1089/cpt.2007.0517</v>
      </c>
      <c r="BG3408" s="1" t="s">
        <v>74</v>
      </c>
      <c r="BH3408" s="1" t="s">
        <v>74</v>
      </c>
      <c r="BI3408" s="1">
        <v>14</v>
      </c>
      <c r="BJ3408" s="1" t="s">
        <v>54100</v>
      </c>
      <c r="BK3408" s="1" t="s">
        <v>96</v>
      </c>
      <c r="BL3408" s="1" t="s">
        <v>54100</v>
      </c>
      <c r="BM3408" s="1" t="s">
        <v>54101</v>
      </c>
      <c r="BN3408" s="1" t="s">
        <v>74</v>
      </c>
      <c r="BO3408" s="1" t="s">
        <v>74</v>
      </c>
      <c r="BP3408" s="1" t="s">
        <v>74</v>
      </c>
      <c r="BQ3408" s="1" t="s">
        <v>74</v>
      </c>
      <c r="BR3408" s="1" t="s">
        <v>98</v>
      </c>
      <c r="BS3408" s="1" t="s">
        <v>54102</v>
      </c>
      <c r="BT3408" s="1" t="str">
        <f>HYPERLINK("https%3A%2F%2Fwww.webofscience.com%2Fwos%2Fwoscc%2Ffull-record%2FWOS:000255065700003","View Full Record in Web of Science")</f>
        <v>View Full Record in Web of Science</v>
      </c>
      <c r="BU3408" s="1"/>
      <c r="BV3408" s="1"/>
    </row>
    <row r="3409" spans="1:74">
      <c r="A3409" s="1" t="s">
        <v>72</v>
      </c>
      <c r="B3409" s="1" t="s">
        <v>54103</v>
      </c>
      <c r="C3409" s="1" t="s">
        <v>74</v>
      </c>
      <c r="D3409" s="1" t="s">
        <v>74</v>
      </c>
      <c r="E3409" s="1" t="s">
        <v>74</v>
      </c>
      <c r="F3409" s="1" t="s">
        <v>54104</v>
      </c>
      <c r="G3409" s="1" t="s">
        <v>74</v>
      </c>
      <c r="H3409" s="1" t="s">
        <v>74</v>
      </c>
      <c r="I3409" s="1" t="s">
        <v>54105</v>
      </c>
      <c r="J3409" s="1" t="s">
        <v>275</v>
      </c>
      <c r="K3409" s="1" t="s">
        <v>74</v>
      </c>
      <c r="L3409" s="1" t="s">
        <v>74</v>
      </c>
      <c r="M3409" s="1" t="s">
        <v>78</v>
      </c>
      <c r="N3409" s="1" t="s">
        <v>79</v>
      </c>
      <c r="O3409" s="1" t="s">
        <v>74</v>
      </c>
      <c r="P3409" s="1" t="s">
        <v>74</v>
      </c>
      <c r="Q3409" s="1" t="s">
        <v>74</v>
      </c>
      <c r="R3409" s="1" t="s">
        <v>74</v>
      </c>
      <c r="S3409" s="1" t="s">
        <v>74</v>
      </c>
      <c r="T3409" s="1" t="s">
        <v>54106</v>
      </c>
      <c r="U3409" s="1" t="s">
        <v>54107</v>
      </c>
      <c r="V3409" s="1" t="s">
        <v>54108</v>
      </c>
      <c r="W3409" s="1" t="s">
        <v>54109</v>
      </c>
      <c r="X3409" s="1" t="s">
        <v>4074</v>
      </c>
      <c r="Y3409" s="1" t="s">
        <v>54110</v>
      </c>
      <c r="Z3409" s="1" t="s">
        <v>4076</v>
      </c>
      <c r="AA3409" s="1" t="s">
        <v>54111</v>
      </c>
      <c r="AB3409" s="1" t="s">
        <v>74</v>
      </c>
      <c r="AC3409" s="1" t="s">
        <v>54112</v>
      </c>
      <c r="AD3409" s="1" t="s">
        <v>4080</v>
      </c>
      <c r="AE3409" s="1" t="s">
        <v>54113</v>
      </c>
      <c r="AF3409" s="1" t="s">
        <v>74</v>
      </c>
      <c r="AG3409" s="1">
        <v>46</v>
      </c>
      <c r="AH3409" s="1">
        <v>11</v>
      </c>
      <c r="AI3409" s="1">
        <v>12</v>
      </c>
      <c r="AJ3409" s="1">
        <v>1</v>
      </c>
      <c r="AK3409" s="1">
        <v>17</v>
      </c>
      <c r="AL3409" s="1" t="s">
        <v>285</v>
      </c>
      <c r="AM3409" s="1" t="s">
        <v>286</v>
      </c>
      <c r="AN3409" s="1" t="s">
        <v>287</v>
      </c>
      <c r="AO3409" s="1" t="s">
        <v>288</v>
      </c>
      <c r="AP3409" s="1" t="s">
        <v>289</v>
      </c>
      <c r="AQ3409" s="1" t="s">
        <v>74</v>
      </c>
      <c r="AR3409" s="1" t="s">
        <v>290</v>
      </c>
      <c r="AS3409" s="1" t="s">
        <v>291</v>
      </c>
      <c r="AT3409" s="1" t="s">
        <v>305</v>
      </c>
      <c r="AU3409" s="1">
        <v>2011</v>
      </c>
      <c r="AV3409" s="1">
        <v>31</v>
      </c>
      <c r="AW3409" s="1">
        <v>3</v>
      </c>
      <c r="AX3409" s="1" t="s">
        <v>74</v>
      </c>
      <c r="AY3409" s="1" t="s">
        <v>74</v>
      </c>
      <c r="AZ3409" s="1" t="s">
        <v>74</v>
      </c>
      <c r="BA3409" s="1" t="s">
        <v>74</v>
      </c>
      <c r="BB3409" s="1">
        <v>453</v>
      </c>
      <c r="BC3409" s="1">
        <v>461</v>
      </c>
      <c r="BD3409" s="1" t="s">
        <v>74</v>
      </c>
      <c r="BE3409" s="1" t="s">
        <v>54114</v>
      </c>
      <c r="BF3409" s="1" t="str">
        <f>HYPERLINK("http://dx.doi.org/10.1016/j.fsi.2011.06.020","http://dx.doi.org/10.1016/j.fsi.2011.06.020")</f>
        <v>http://dx.doi.org/10.1016/j.fsi.2011.06.020</v>
      </c>
      <c r="BG3409" s="1" t="s">
        <v>74</v>
      </c>
      <c r="BH3409" s="1" t="s">
        <v>74</v>
      </c>
      <c r="BI3409" s="1">
        <v>9</v>
      </c>
      <c r="BJ3409" s="1" t="s">
        <v>293</v>
      </c>
      <c r="BK3409" s="1" t="s">
        <v>96</v>
      </c>
      <c r="BL3409" s="1" t="s">
        <v>293</v>
      </c>
      <c r="BM3409" s="1" t="s">
        <v>54115</v>
      </c>
      <c r="BN3409" s="1">
        <v>21729755</v>
      </c>
      <c r="BO3409" s="1" t="s">
        <v>74</v>
      </c>
      <c r="BP3409" s="1" t="s">
        <v>74</v>
      </c>
      <c r="BQ3409" s="1" t="s">
        <v>74</v>
      </c>
      <c r="BR3409" s="1" t="s">
        <v>98</v>
      </c>
      <c r="BS3409" s="1" t="s">
        <v>54116</v>
      </c>
      <c r="BT3409" s="1" t="str">
        <f>HYPERLINK("https%3A%2F%2Fwww.webofscience.com%2Fwos%2Fwoscc%2Ffull-record%2FWOS:000294150800012","View Full Record in Web of Science")</f>
        <v>View Full Record in Web of Science</v>
      </c>
      <c r="BU3409" s="1"/>
      <c r="BV3409" s="1"/>
    </row>
    <row r="3410" spans="1:74">
      <c r="A3410" s="1" t="s">
        <v>72</v>
      </c>
      <c r="B3410" s="1" t="s">
        <v>54117</v>
      </c>
      <c r="C3410" s="1" t="s">
        <v>74</v>
      </c>
      <c r="D3410" s="1" t="s">
        <v>74</v>
      </c>
      <c r="E3410" s="1" t="s">
        <v>74</v>
      </c>
      <c r="F3410" s="1" t="s">
        <v>54117</v>
      </c>
      <c r="G3410" s="1" t="s">
        <v>74</v>
      </c>
      <c r="H3410" s="1" t="s">
        <v>74</v>
      </c>
      <c r="I3410" s="1" t="s">
        <v>54118</v>
      </c>
      <c r="J3410" s="1" t="s">
        <v>752</v>
      </c>
      <c r="K3410" s="1" t="s">
        <v>74</v>
      </c>
      <c r="L3410" s="1" t="s">
        <v>74</v>
      </c>
      <c r="M3410" s="1" t="s">
        <v>78</v>
      </c>
      <c r="N3410" s="1" t="s">
        <v>79</v>
      </c>
      <c r="O3410" s="1" t="s">
        <v>74</v>
      </c>
      <c r="P3410" s="1" t="s">
        <v>74</v>
      </c>
      <c r="Q3410" s="1" t="s">
        <v>74</v>
      </c>
      <c r="R3410" s="1" t="s">
        <v>74</v>
      </c>
      <c r="S3410" s="1" t="s">
        <v>74</v>
      </c>
      <c r="T3410" s="1" t="s">
        <v>74</v>
      </c>
      <c r="U3410" s="1" t="s">
        <v>54119</v>
      </c>
      <c r="V3410" s="1" t="s">
        <v>54120</v>
      </c>
      <c r="W3410" s="1" t="s">
        <v>54121</v>
      </c>
      <c r="X3410" s="1" t="s">
        <v>54122</v>
      </c>
      <c r="Y3410" s="1" t="s">
        <v>74</v>
      </c>
      <c r="Z3410" s="1" t="s">
        <v>74</v>
      </c>
      <c r="AA3410" s="1" t="s">
        <v>54123</v>
      </c>
      <c r="AB3410" s="1" t="s">
        <v>54124</v>
      </c>
      <c r="AC3410" s="1" t="s">
        <v>74</v>
      </c>
      <c r="AD3410" s="1" t="s">
        <v>74</v>
      </c>
      <c r="AE3410" s="1" t="s">
        <v>74</v>
      </c>
      <c r="AF3410" s="1" t="s">
        <v>74</v>
      </c>
      <c r="AG3410" s="1">
        <v>55</v>
      </c>
      <c r="AH3410" s="1">
        <v>25</v>
      </c>
      <c r="AI3410" s="1">
        <v>31</v>
      </c>
      <c r="AJ3410" s="1">
        <v>0</v>
      </c>
      <c r="AK3410" s="1">
        <v>10</v>
      </c>
      <c r="AL3410" s="1" t="s">
        <v>430</v>
      </c>
      <c r="AM3410" s="1" t="s">
        <v>137</v>
      </c>
      <c r="AN3410" s="1" t="s">
        <v>1600</v>
      </c>
      <c r="AO3410" s="1" t="s">
        <v>761</v>
      </c>
      <c r="AP3410" s="1" t="s">
        <v>74</v>
      </c>
      <c r="AQ3410" s="1" t="s">
        <v>74</v>
      </c>
      <c r="AR3410" s="1" t="s">
        <v>763</v>
      </c>
      <c r="AS3410" s="1" t="s">
        <v>764</v>
      </c>
      <c r="AT3410" s="1" t="s">
        <v>765</v>
      </c>
      <c r="AU3410" s="1">
        <v>1997</v>
      </c>
      <c r="AV3410" s="1">
        <v>44</v>
      </c>
      <c r="AW3410" s="1">
        <v>1</v>
      </c>
      <c r="AX3410" s="1" t="s">
        <v>74</v>
      </c>
      <c r="AY3410" s="1" t="s">
        <v>74</v>
      </c>
      <c r="AZ3410" s="1" t="s">
        <v>74</v>
      </c>
      <c r="BA3410" s="1" t="s">
        <v>74</v>
      </c>
      <c r="BB3410" s="1">
        <v>85</v>
      </c>
      <c r="BC3410" s="1">
        <v>98</v>
      </c>
      <c r="BD3410" s="1" t="s">
        <v>74</v>
      </c>
      <c r="BE3410" s="1" t="s">
        <v>54125</v>
      </c>
      <c r="BF3410" s="1" t="str">
        <f>HYPERLINK("http://dx.doi.org/10.1016/S0141-1136(96)00104-3","http://dx.doi.org/10.1016/S0141-1136(96)00104-3")</f>
        <v>http://dx.doi.org/10.1016/S0141-1136(96)00104-3</v>
      </c>
      <c r="BG3410" s="1" t="s">
        <v>74</v>
      </c>
      <c r="BH3410" s="1" t="s">
        <v>74</v>
      </c>
      <c r="BI3410" s="1">
        <v>14</v>
      </c>
      <c r="BJ3410" s="1" t="s">
        <v>768</v>
      </c>
      <c r="BK3410" s="1" t="s">
        <v>96</v>
      </c>
      <c r="BL3410" s="1" t="s">
        <v>769</v>
      </c>
      <c r="BM3410" s="1" t="s">
        <v>54126</v>
      </c>
      <c r="BN3410" s="1" t="s">
        <v>74</v>
      </c>
      <c r="BO3410" s="1" t="s">
        <v>74</v>
      </c>
      <c r="BP3410" s="1" t="s">
        <v>74</v>
      </c>
      <c r="BQ3410" s="1" t="s">
        <v>74</v>
      </c>
      <c r="BR3410" s="1" t="s">
        <v>98</v>
      </c>
      <c r="BS3410" s="1" t="s">
        <v>54127</v>
      </c>
      <c r="BT3410" s="1" t="str">
        <f>HYPERLINK("https%3A%2F%2Fwww.webofscience.com%2Fwos%2Fwoscc%2Ffull-record%2FWOS:A1997WP58000007","View Full Record in Web of Science")</f>
        <v>View Full Record in Web of Science</v>
      </c>
      <c r="BU3410" s="1"/>
      <c r="BV3410" s="1"/>
    </row>
    <row r="3411" spans="1:74">
      <c r="A3411" s="1" t="s">
        <v>72</v>
      </c>
      <c r="B3411" s="1" t="s">
        <v>54128</v>
      </c>
      <c r="C3411" s="1" t="s">
        <v>74</v>
      </c>
      <c r="D3411" s="1" t="s">
        <v>74</v>
      </c>
      <c r="E3411" s="1" t="s">
        <v>74</v>
      </c>
      <c r="F3411" s="1" t="s">
        <v>54129</v>
      </c>
      <c r="G3411" s="1" t="s">
        <v>74</v>
      </c>
      <c r="H3411" s="1" t="s">
        <v>74</v>
      </c>
      <c r="I3411" s="1" t="s">
        <v>54130</v>
      </c>
      <c r="J3411" s="1" t="s">
        <v>232</v>
      </c>
      <c r="K3411" s="1" t="s">
        <v>74</v>
      </c>
      <c r="L3411" s="1" t="s">
        <v>74</v>
      </c>
      <c r="M3411" s="1" t="s">
        <v>78</v>
      </c>
      <c r="N3411" s="1" t="s">
        <v>79</v>
      </c>
      <c r="O3411" s="1" t="s">
        <v>74</v>
      </c>
      <c r="P3411" s="1" t="s">
        <v>74</v>
      </c>
      <c r="Q3411" s="1" t="s">
        <v>74</v>
      </c>
      <c r="R3411" s="1" t="s">
        <v>74</v>
      </c>
      <c r="S3411" s="1" t="s">
        <v>74</v>
      </c>
      <c r="T3411" s="1" t="s">
        <v>54131</v>
      </c>
      <c r="U3411" s="1" t="s">
        <v>54132</v>
      </c>
      <c r="V3411" s="1" t="s">
        <v>54133</v>
      </c>
      <c r="W3411" s="1" t="s">
        <v>54134</v>
      </c>
      <c r="X3411" s="1" t="s">
        <v>29851</v>
      </c>
      <c r="Y3411" s="1" t="s">
        <v>54135</v>
      </c>
      <c r="Z3411" s="1" t="s">
        <v>54136</v>
      </c>
      <c r="AA3411" s="1" t="s">
        <v>74</v>
      </c>
      <c r="AB3411" s="1" t="s">
        <v>54137</v>
      </c>
      <c r="AC3411" s="1" t="s">
        <v>54138</v>
      </c>
      <c r="AD3411" s="1" t="s">
        <v>54138</v>
      </c>
      <c r="AE3411" s="1" t="s">
        <v>54139</v>
      </c>
      <c r="AF3411" s="1" t="s">
        <v>74</v>
      </c>
      <c r="AG3411" s="1">
        <v>51</v>
      </c>
      <c r="AH3411" s="1">
        <v>26</v>
      </c>
      <c r="AI3411" s="1">
        <v>30</v>
      </c>
      <c r="AJ3411" s="1">
        <v>0</v>
      </c>
      <c r="AK3411" s="1">
        <v>20</v>
      </c>
      <c r="AL3411" s="1" t="s">
        <v>136</v>
      </c>
      <c r="AM3411" s="1" t="s">
        <v>137</v>
      </c>
      <c r="AN3411" s="1" t="s">
        <v>138</v>
      </c>
      <c r="AO3411" s="1" t="s">
        <v>240</v>
      </c>
      <c r="AP3411" s="1" t="s">
        <v>241</v>
      </c>
      <c r="AQ3411" s="1" t="s">
        <v>74</v>
      </c>
      <c r="AR3411" s="1" t="s">
        <v>242</v>
      </c>
      <c r="AS3411" s="1" t="s">
        <v>243</v>
      </c>
      <c r="AT3411" s="1" t="s">
        <v>33045</v>
      </c>
      <c r="AU3411" s="1">
        <v>2015</v>
      </c>
      <c r="AV3411" s="1">
        <v>100</v>
      </c>
      <c r="AW3411" s="1">
        <v>2</v>
      </c>
      <c r="AX3411" s="1" t="s">
        <v>74</v>
      </c>
      <c r="AY3411" s="1" t="s">
        <v>74</v>
      </c>
      <c r="AZ3411" s="1" t="s">
        <v>74</v>
      </c>
      <c r="BA3411" s="1" t="s">
        <v>74</v>
      </c>
      <c r="BB3411" s="1">
        <v>662</v>
      </c>
      <c r="BC3411" s="1">
        <v>672</v>
      </c>
      <c r="BD3411" s="1" t="s">
        <v>74</v>
      </c>
      <c r="BE3411" s="1" t="s">
        <v>54140</v>
      </c>
      <c r="BF3411" s="1" t="str">
        <f>HYPERLINK("http://dx.doi.org/10.1016/j.marpolbul.2015.07.058","http://dx.doi.org/10.1016/j.marpolbul.2015.07.058")</f>
        <v>http://dx.doi.org/10.1016/j.marpolbul.2015.07.058</v>
      </c>
      <c r="BG3411" s="1" t="s">
        <v>74</v>
      </c>
      <c r="BH3411" s="1" t="s">
        <v>74</v>
      </c>
      <c r="BI3411" s="1">
        <v>11</v>
      </c>
      <c r="BJ3411" s="1" t="s">
        <v>247</v>
      </c>
      <c r="BK3411" s="1" t="s">
        <v>96</v>
      </c>
      <c r="BL3411" s="1" t="s">
        <v>248</v>
      </c>
      <c r="BM3411" s="1" t="s">
        <v>33047</v>
      </c>
      <c r="BN3411" s="1">
        <v>26231068</v>
      </c>
      <c r="BO3411" s="1" t="s">
        <v>74</v>
      </c>
      <c r="BP3411" s="1" t="s">
        <v>74</v>
      </c>
      <c r="BQ3411" s="1" t="s">
        <v>74</v>
      </c>
      <c r="BR3411" s="1" t="s">
        <v>98</v>
      </c>
      <c r="BS3411" s="1" t="s">
        <v>54141</v>
      </c>
      <c r="BT3411" s="1" t="str">
        <f>HYPERLINK("https%3A%2F%2Fwww.webofscience.com%2Fwos%2Fwoscc%2Ffull-record%2FWOS:000367108100009","View Full Record in Web of Science")</f>
        <v>View Full Record in Web of Science</v>
      </c>
      <c r="BU3411" s="1"/>
      <c r="BV3411" s="1"/>
    </row>
    <row r="3412" spans="1:74">
      <c r="A3412" s="1" t="s">
        <v>72</v>
      </c>
      <c r="B3412" s="1" t="s">
        <v>54142</v>
      </c>
      <c r="C3412" s="1" t="s">
        <v>74</v>
      </c>
      <c r="D3412" s="1" t="s">
        <v>74</v>
      </c>
      <c r="E3412" s="1" t="s">
        <v>74</v>
      </c>
      <c r="F3412" s="1" t="s">
        <v>54143</v>
      </c>
      <c r="G3412" s="1" t="s">
        <v>74</v>
      </c>
      <c r="H3412" s="1" t="s">
        <v>54144</v>
      </c>
      <c r="I3412" s="1" t="s">
        <v>54145</v>
      </c>
      <c r="J3412" s="1" t="s">
        <v>54146</v>
      </c>
      <c r="K3412" s="1" t="s">
        <v>74</v>
      </c>
      <c r="L3412" s="1" t="s">
        <v>74</v>
      </c>
      <c r="M3412" s="1" t="s">
        <v>78</v>
      </c>
      <c r="N3412" s="1" t="s">
        <v>79</v>
      </c>
      <c r="O3412" s="1" t="s">
        <v>74</v>
      </c>
      <c r="P3412" s="1" t="s">
        <v>74</v>
      </c>
      <c r="Q3412" s="1" t="s">
        <v>74</v>
      </c>
      <c r="R3412" s="1" t="s">
        <v>74</v>
      </c>
      <c r="S3412" s="1" t="s">
        <v>74</v>
      </c>
      <c r="T3412" s="1" t="s">
        <v>54147</v>
      </c>
      <c r="U3412" s="1" t="s">
        <v>54148</v>
      </c>
      <c r="V3412" s="1" t="s">
        <v>54149</v>
      </c>
      <c r="W3412" s="1" t="s">
        <v>54150</v>
      </c>
      <c r="X3412" s="1" t="s">
        <v>54151</v>
      </c>
      <c r="Y3412" s="1" t="s">
        <v>54152</v>
      </c>
      <c r="Z3412" s="1" t="s">
        <v>54153</v>
      </c>
      <c r="AA3412" s="1" t="s">
        <v>54154</v>
      </c>
      <c r="AB3412" s="1" t="s">
        <v>74</v>
      </c>
      <c r="AC3412" s="1" t="s">
        <v>54155</v>
      </c>
      <c r="AD3412" s="1" t="s">
        <v>54155</v>
      </c>
      <c r="AE3412" s="1" t="s">
        <v>54156</v>
      </c>
      <c r="AF3412" s="1" t="s">
        <v>74</v>
      </c>
      <c r="AG3412" s="1">
        <v>50</v>
      </c>
      <c r="AH3412" s="1">
        <v>0</v>
      </c>
      <c r="AI3412" s="1">
        <v>0</v>
      </c>
      <c r="AJ3412" s="1">
        <v>2</v>
      </c>
      <c r="AK3412" s="1">
        <v>2</v>
      </c>
      <c r="AL3412" s="1" t="s">
        <v>54157</v>
      </c>
      <c r="AM3412" s="1" t="s">
        <v>54158</v>
      </c>
      <c r="AN3412" s="1" t="s">
        <v>54159</v>
      </c>
      <c r="AO3412" s="1" t="s">
        <v>54160</v>
      </c>
      <c r="AP3412" s="1" t="s">
        <v>54161</v>
      </c>
      <c r="AQ3412" s="1" t="s">
        <v>74</v>
      </c>
      <c r="AR3412" s="1" t="s">
        <v>54162</v>
      </c>
      <c r="AS3412" s="1" t="s">
        <v>54163</v>
      </c>
      <c r="AT3412" s="1" t="s">
        <v>74</v>
      </c>
      <c r="AU3412" s="1">
        <v>2023</v>
      </c>
      <c r="AV3412" s="1">
        <v>28</v>
      </c>
      <c r="AW3412" s="1" t="s">
        <v>74</v>
      </c>
      <c r="AX3412" s="1" t="s">
        <v>74</v>
      </c>
      <c r="AY3412" s="1" t="s">
        <v>74</v>
      </c>
      <c r="AZ3412" s="1" t="s">
        <v>74</v>
      </c>
      <c r="BA3412" s="1" t="s">
        <v>74</v>
      </c>
      <c r="BB3412" s="1" t="s">
        <v>74</v>
      </c>
      <c r="BC3412" s="1" t="s">
        <v>74</v>
      </c>
      <c r="BD3412" s="1">
        <v>47</v>
      </c>
      <c r="BE3412" s="1" t="s">
        <v>54164</v>
      </c>
      <c r="BF3412" s="1" t="str">
        <f>HYPERLINK("http://dx.doi.org/10.1265/ehpm.23-00084","http://dx.doi.org/10.1265/ehpm.23-00084")</f>
        <v>http://dx.doi.org/10.1265/ehpm.23-00084</v>
      </c>
      <c r="BG3412" s="1" t="s">
        <v>74</v>
      </c>
      <c r="BH3412" s="1" t="s">
        <v>74</v>
      </c>
      <c r="BI3412" s="1">
        <v>7</v>
      </c>
      <c r="BJ3412" s="1" t="s">
        <v>12691</v>
      </c>
      <c r="BK3412" s="1" t="s">
        <v>11915</v>
      </c>
      <c r="BL3412" s="1" t="s">
        <v>12691</v>
      </c>
      <c r="BM3412" s="1" t="s">
        <v>54165</v>
      </c>
      <c r="BN3412" s="1">
        <v>37648522</v>
      </c>
      <c r="BO3412" s="1" t="s">
        <v>550</v>
      </c>
      <c r="BP3412" s="1" t="s">
        <v>74</v>
      </c>
      <c r="BQ3412" s="1" t="s">
        <v>74</v>
      </c>
      <c r="BR3412" s="1" t="s">
        <v>98</v>
      </c>
      <c r="BS3412" s="1" t="s">
        <v>54166</v>
      </c>
      <c r="BT3412" s="1" t="str">
        <f>HYPERLINK("https%3A%2F%2Fwww.webofscience.com%2Fwos%2Fwoscc%2Ffull-record%2FWOS:001097148100005","View Full Record in Web of Science")</f>
        <v>View Full Record in Web of Science</v>
      </c>
      <c r="BU3412" s="1"/>
      <c r="BV3412" s="1"/>
    </row>
    <row r="3413" spans="1:74">
      <c r="A3413" s="1" t="s">
        <v>72</v>
      </c>
      <c r="B3413" s="1" t="s">
        <v>54167</v>
      </c>
      <c r="C3413" s="1" t="s">
        <v>74</v>
      </c>
      <c r="D3413" s="1" t="s">
        <v>74</v>
      </c>
      <c r="E3413" s="1" t="s">
        <v>74</v>
      </c>
      <c r="F3413" s="1" t="s">
        <v>54168</v>
      </c>
      <c r="G3413" s="1" t="s">
        <v>74</v>
      </c>
      <c r="H3413" s="1" t="s">
        <v>74</v>
      </c>
      <c r="I3413" s="1" t="s">
        <v>54169</v>
      </c>
      <c r="J3413" s="1" t="s">
        <v>4747</v>
      </c>
      <c r="K3413" s="1" t="s">
        <v>74</v>
      </c>
      <c r="L3413" s="1" t="s">
        <v>74</v>
      </c>
      <c r="M3413" s="1" t="s">
        <v>78</v>
      </c>
      <c r="N3413" s="1" t="s">
        <v>79</v>
      </c>
      <c r="O3413" s="1" t="s">
        <v>74</v>
      </c>
      <c r="P3413" s="1" t="s">
        <v>74</v>
      </c>
      <c r="Q3413" s="1" t="s">
        <v>74</v>
      </c>
      <c r="R3413" s="1" t="s">
        <v>74</v>
      </c>
      <c r="S3413" s="1" t="s">
        <v>74</v>
      </c>
      <c r="T3413" s="1" t="s">
        <v>54170</v>
      </c>
      <c r="U3413" s="1" t="s">
        <v>54171</v>
      </c>
      <c r="V3413" s="1" t="s">
        <v>54172</v>
      </c>
      <c r="W3413" s="1" t="s">
        <v>54173</v>
      </c>
      <c r="X3413" s="1" t="s">
        <v>54174</v>
      </c>
      <c r="Y3413" s="1" t="s">
        <v>54175</v>
      </c>
      <c r="Z3413" s="1" t="s">
        <v>20945</v>
      </c>
      <c r="AA3413" s="1" t="s">
        <v>54176</v>
      </c>
      <c r="AB3413" s="1" t="s">
        <v>54177</v>
      </c>
      <c r="AC3413" s="1" t="s">
        <v>54178</v>
      </c>
      <c r="AD3413" s="1" t="s">
        <v>54179</v>
      </c>
      <c r="AE3413" s="1" t="s">
        <v>54180</v>
      </c>
      <c r="AF3413" s="1" t="s">
        <v>74</v>
      </c>
      <c r="AG3413" s="1">
        <v>56</v>
      </c>
      <c r="AH3413" s="1">
        <v>38</v>
      </c>
      <c r="AI3413" s="1">
        <v>40</v>
      </c>
      <c r="AJ3413" s="1">
        <v>5</v>
      </c>
      <c r="AK3413" s="1">
        <v>73</v>
      </c>
      <c r="AL3413" s="1" t="s">
        <v>650</v>
      </c>
      <c r="AM3413" s="1" t="s">
        <v>651</v>
      </c>
      <c r="AN3413" s="1" t="s">
        <v>652</v>
      </c>
      <c r="AO3413" s="1" t="s">
        <v>4758</v>
      </c>
      <c r="AP3413" s="1" t="s">
        <v>11139</v>
      </c>
      <c r="AQ3413" s="1" t="s">
        <v>74</v>
      </c>
      <c r="AR3413" s="1" t="s">
        <v>4759</v>
      </c>
      <c r="AS3413" s="1" t="s">
        <v>4760</v>
      </c>
      <c r="AT3413" s="1" t="s">
        <v>344</v>
      </c>
      <c r="AU3413" s="1">
        <v>2021</v>
      </c>
      <c r="AV3413" s="1">
        <v>414</v>
      </c>
      <c r="AW3413" s="1" t="s">
        <v>74</v>
      </c>
      <c r="AX3413" s="1" t="s">
        <v>74</v>
      </c>
      <c r="AY3413" s="1" t="s">
        <v>74</v>
      </c>
      <c r="AZ3413" s="1" t="s">
        <v>74</v>
      </c>
      <c r="BA3413" s="1" t="s">
        <v>74</v>
      </c>
      <c r="BB3413" s="1" t="s">
        <v>74</v>
      </c>
      <c r="BC3413" s="1" t="s">
        <v>74</v>
      </c>
      <c r="BD3413" s="1">
        <v>125401</v>
      </c>
      <c r="BE3413" s="1" t="s">
        <v>54181</v>
      </c>
      <c r="BF3413" s="1" t="str">
        <f>HYPERLINK("http://dx.doi.org/10.1016/j.jhazmat.2021.125401","http://dx.doi.org/10.1016/j.jhazmat.2021.125401")</f>
        <v>http://dx.doi.org/10.1016/j.jhazmat.2021.125401</v>
      </c>
      <c r="BG3413" s="1" t="s">
        <v>74</v>
      </c>
      <c r="BH3413" s="1" t="s">
        <v>4518</v>
      </c>
      <c r="BI3413" s="1">
        <v>7</v>
      </c>
      <c r="BJ3413" s="1" t="s">
        <v>415</v>
      </c>
      <c r="BK3413" s="1" t="s">
        <v>96</v>
      </c>
      <c r="BL3413" s="1" t="s">
        <v>416</v>
      </c>
      <c r="BM3413" s="1" t="s">
        <v>54182</v>
      </c>
      <c r="BN3413" s="1">
        <v>33640731</v>
      </c>
      <c r="BO3413" s="1" t="s">
        <v>1752</v>
      </c>
      <c r="BP3413" s="1" t="s">
        <v>74</v>
      </c>
      <c r="BQ3413" s="1" t="s">
        <v>74</v>
      </c>
      <c r="BR3413" s="1" t="s">
        <v>98</v>
      </c>
      <c r="BS3413" s="1" t="s">
        <v>54183</v>
      </c>
      <c r="BT3413" s="1" t="str">
        <f>HYPERLINK("https%3A%2F%2Fwww.webofscience.com%2Fwos%2Fwoscc%2Ffull-record%2FWOS:000653030500008","View Full Record in Web of Science")</f>
        <v>View Full Record in Web of Science</v>
      </c>
      <c r="BU3413" s="1"/>
      <c r="BV3413" s="1"/>
    </row>
    <row r="3414" spans="1:74">
      <c r="A3414" s="1" t="s">
        <v>72</v>
      </c>
      <c r="B3414" s="1" t="s">
        <v>54184</v>
      </c>
      <c r="C3414" s="1" t="s">
        <v>74</v>
      </c>
      <c r="D3414" s="1" t="s">
        <v>74</v>
      </c>
      <c r="E3414" s="1" t="s">
        <v>74</v>
      </c>
      <c r="F3414" s="1" t="s">
        <v>54185</v>
      </c>
      <c r="G3414" s="1" t="s">
        <v>74</v>
      </c>
      <c r="H3414" s="1" t="s">
        <v>74</v>
      </c>
      <c r="I3414" s="1" t="s">
        <v>54186</v>
      </c>
      <c r="J3414" s="1" t="s">
        <v>232</v>
      </c>
      <c r="K3414" s="1" t="s">
        <v>74</v>
      </c>
      <c r="L3414" s="1" t="s">
        <v>74</v>
      </c>
      <c r="M3414" s="1" t="s">
        <v>78</v>
      </c>
      <c r="N3414" s="1" t="s">
        <v>79</v>
      </c>
      <c r="O3414" s="1" t="s">
        <v>74</v>
      </c>
      <c r="P3414" s="1" t="s">
        <v>74</v>
      </c>
      <c r="Q3414" s="1" t="s">
        <v>74</v>
      </c>
      <c r="R3414" s="1" t="s">
        <v>74</v>
      </c>
      <c r="S3414" s="1" t="s">
        <v>74</v>
      </c>
      <c r="T3414" s="1" t="s">
        <v>54187</v>
      </c>
      <c r="U3414" s="1" t="s">
        <v>54188</v>
      </c>
      <c r="V3414" s="1" t="s">
        <v>54189</v>
      </c>
      <c r="W3414" s="1" t="s">
        <v>54190</v>
      </c>
      <c r="X3414" s="1" t="s">
        <v>17768</v>
      </c>
      <c r="Y3414" s="1" t="s">
        <v>54191</v>
      </c>
      <c r="Z3414" s="1" t="s">
        <v>24637</v>
      </c>
      <c r="AA3414" s="1" t="s">
        <v>54192</v>
      </c>
      <c r="AB3414" s="1" t="s">
        <v>74</v>
      </c>
      <c r="AC3414" s="1" t="s">
        <v>74</v>
      </c>
      <c r="AD3414" s="1" t="s">
        <v>74</v>
      </c>
      <c r="AE3414" s="1" t="s">
        <v>74</v>
      </c>
      <c r="AF3414" s="1" t="s">
        <v>74</v>
      </c>
      <c r="AG3414" s="1">
        <v>30</v>
      </c>
      <c r="AH3414" s="1">
        <v>11</v>
      </c>
      <c r="AI3414" s="1">
        <v>12</v>
      </c>
      <c r="AJ3414" s="1">
        <v>2</v>
      </c>
      <c r="AK3414" s="1">
        <v>39</v>
      </c>
      <c r="AL3414" s="1" t="s">
        <v>136</v>
      </c>
      <c r="AM3414" s="1" t="s">
        <v>137</v>
      </c>
      <c r="AN3414" s="1" t="s">
        <v>138</v>
      </c>
      <c r="AO3414" s="1" t="s">
        <v>240</v>
      </c>
      <c r="AP3414" s="1" t="s">
        <v>241</v>
      </c>
      <c r="AQ3414" s="1" t="s">
        <v>74</v>
      </c>
      <c r="AR3414" s="1" t="s">
        <v>242</v>
      </c>
      <c r="AS3414" s="1" t="s">
        <v>243</v>
      </c>
      <c r="AT3414" s="1" t="s">
        <v>1856</v>
      </c>
      <c r="AU3414" s="1">
        <v>2013</v>
      </c>
      <c r="AV3414" s="1">
        <v>73</v>
      </c>
      <c r="AW3414" s="1">
        <v>1</v>
      </c>
      <c r="AX3414" s="1" t="s">
        <v>74</v>
      </c>
      <c r="AY3414" s="1" t="s">
        <v>74</v>
      </c>
      <c r="AZ3414" s="1" t="s">
        <v>74</v>
      </c>
      <c r="BA3414" s="1" t="s">
        <v>74</v>
      </c>
      <c r="BB3414" s="1">
        <v>192</v>
      </c>
      <c r="BC3414" s="1">
        <v>198</v>
      </c>
      <c r="BD3414" s="1" t="s">
        <v>74</v>
      </c>
      <c r="BE3414" s="1" t="s">
        <v>54193</v>
      </c>
      <c r="BF3414" s="1" t="str">
        <f>HYPERLINK("http://dx.doi.org/10.1016/j.marpolbul.2013.05.023","http://dx.doi.org/10.1016/j.marpolbul.2013.05.023")</f>
        <v>http://dx.doi.org/10.1016/j.marpolbul.2013.05.023</v>
      </c>
      <c r="BG3414" s="1" t="s">
        <v>74</v>
      </c>
      <c r="BH3414" s="1" t="s">
        <v>74</v>
      </c>
      <c r="BI3414" s="1">
        <v>7</v>
      </c>
      <c r="BJ3414" s="1" t="s">
        <v>247</v>
      </c>
      <c r="BK3414" s="1" t="s">
        <v>96</v>
      </c>
      <c r="BL3414" s="1" t="s">
        <v>248</v>
      </c>
      <c r="BM3414" s="1" t="s">
        <v>6603</v>
      </c>
      <c r="BN3414" s="1">
        <v>23773950</v>
      </c>
      <c r="BO3414" s="1" t="s">
        <v>74</v>
      </c>
      <c r="BP3414" s="1" t="s">
        <v>74</v>
      </c>
      <c r="BQ3414" s="1" t="s">
        <v>74</v>
      </c>
      <c r="BR3414" s="1" t="s">
        <v>98</v>
      </c>
      <c r="BS3414" s="1" t="s">
        <v>54194</v>
      </c>
      <c r="BT3414" s="1" t="str">
        <f>HYPERLINK("https%3A%2F%2Fwww.webofscience.com%2Fwos%2Fwoscc%2Ffull-record%2FWOS:000323586900034","View Full Record in Web of Science")</f>
        <v>View Full Record in Web of Science</v>
      </c>
      <c r="BU3414" s="1"/>
      <c r="BV3414" s="1"/>
    </row>
    <row r="3415" spans="1:74">
      <c r="A3415" s="1" t="s">
        <v>72</v>
      </c>
      <c r="B3415" s="1" t="s">
        <v>54195</v>
      </c>
      <c r="C3415" s="1" t="s">
        <v>74</v>
      </c>
      <c r="D3415" s="1" t="s">
        <v>74</v>
      </c>
      <c r="E3415" s="1" t="s">
        <v>74</v>
      </c>
      <c r="F3415" s="1" t="s">
        <v>54196</v>
      </c>
      <c r="G3415" s="1" t="s">
        <v>74</v>
      </c>
      <c r="H3415" s="1" t="s">
        <v>74</v>
      </c>
      <c r="I3415" s="1" t="s">
        <v>54197</v>
      </c>
      <c r="J3415" s="1" t="s">
        <v>11045</v>
      </c>
      <c r="K3415" s="1" t="s">
        <v>74</v>
      </c>
      <c r="L3415" s="1" t="s">
        <v>74</v>
      </c>
      <c r="M3415" s="1" t="s">
        <v>78</v>
      </c>
      <c r="N3415" s="1" t="s">
        <v>79</v>
      </c>
      <c r="O3415" s="1" t="s">
        <v>74</v>
      </c>
      <c r="P3415" s="1" t="s">
        <v>74</v>
      </c>
      <c r="Q3415" s="1" t="s">
        <v>74</v>
      </c>
      <c r="R3415" s="1" t="s">
        <v>74</v>
      </c>
      <c r="S3415" s="1" t="s">
        <v>74</v>
      </c>
      <c r="T3415" s="1" t="s">
        <v>74</v>
      </c>
      <c r="U3415" s="1" t="s">
        <v>54198</v>
      </c>
      <c r="V3415" s="1" t="s">
        <v>54199</v>
      </c>
      <c r="W3415" s="1" t="s">
        <v>54200</v>
      </c>
      <c r="X3415" s="1" t="s">
        <v>54201</v>
      </c>
      <c r="Y3415" s="1" t="s">
        <v>54202</v>
      </c>
      <c r="Z3415" s="1" t="s">
        <v>54203</v>
      </c>
      <c r="AA3415" s="1" t="s">
        <v>54204</v>
      </c>
      <c r="AB3415" s="1" t="s">
        <v>54205</v>
      </c>
      <c r="AC3415" s="1" t="s">
        <v>54206</v>
      </c>
      <c r="AD3415" s="1" t="s">
        <v>54206</v>
      </c>
      <c r="AE3415" s="1" t="s">
        <v>54207</v>
      </c>
      <c r="AF3415" s="1" t="s">
        <v>74</v>
      </c>
      <c r="AG3415" s="1">
        <v>82</v>
      </c>
      <c r="AH3415" s="1">
        <v>16</v>
      </c>
      <c r="AI3415" s="1">
        <v>16</v>
      </c>
      <c r="AJ3415" s="1">
        <v>0</v>
      </c>
      <c r="AK3415" s="1">
        <v>24</v>
      </c>
      <c r="AL3415" s="1" t="s">
        <v>11056</v>
      </c>
      <c r="AM3415" s="1" t="s">
        <v>11057</v>
      </c>
      <c r="AN3415" s="1" t="s">
        <v>11058</v>
      </c>
      <c r="AO3415" s="1" t="s">
        <v>11059</v>
      </c>
      <c r="AP3415" s="1" t="s">
        <v>74</v>
      </c>
      <c r="AQ3415" s="1" t="s">
        <v>74</v>
      </c>
      <c r="AR3415" s="1" t="s">
        <v>11045</v>
      </c>
      <c r="AS3415" s="1" t="s">
        <v>11060</v>
      </c>
      <c r="AT3415" s="1" t="s">
        <v>48910</v>
      </c>
      <c r="AU3415" s="1">
        <v>2019</v>
      </c>
      <c r="AV3415" s="1">
        <v>14</v>
      </c>
      <c r="AW3415" s="1">
        <v>9</v>
      </c>
      <c r="AX3415" s="1" t="s">
        <v>74</v>
      </c>
      <c r="AY3415" s="1" t="s">
        <v>74</v>
      </c>
      <c r="AZ3415" s="1" t="s">
        <v>74</v>
      </c>
      <c r="BA3415" s="1" t="s">
        <v>74</v>
      </c>
      <c r="BB3415" s="1" t="s">
        <v>74</v>
      </c>
      <c r="BC3415" s="1" t="s">
        <v>74</v>
      </c>
      <c r="BD3415" s="1" t="s">
        <v>54208</v>
      </c>
      <c r="BE3415" s="1" t="s">
        <v>54209</v>
      </c>
      <c r="BF3415" s="1" t="str">
        <f>HYPERLINK("http://dx.doi.org/10.1371/journal.pone.0216767","http://dx.doi.org/10.1371/journal.pone.0216767")</f>
        <v>http://dx.doi.org/10.1371/journal.pone.0216767</v>
      </c>
      <c r="BG3415" s="1" t="s">
        <v>74</v>
      </c>
      <c r="BH3415" s="1" t="s">
        <v>74</v>
      </c>
      <c r="BI3415" s="1">
        <v>19</v>
      </c>
      <c r="BJ3415" s="1" t="s">
        <v>3202</v>
      </c>
      <c r="BK3415" s="1" t="s">
        <v>96</v>
      </c>
      <c r="BL3415" s="1" t="s">
        <v>3203</v>
      </c>
      <c r="BM3415" s="1" t="s">
        <v>54210</v>
      </c>
      <c r="BN3415" s="1">
        <v>31536494</v>
      </c>
      <c r="BO3415" s="1" t="s">
        <v>54211</v>
      </c>
      <c r="BP3415" s="1" t="s">
        <v>74</v>
      </c>
      <c r="BQ3415" s="1" t="s">
        <v>74</v>
      </c>
      <c r="BR3415" s="1" t="s">
        <v>98</v>
      </c>
      <c r="BS3415" s="1" t="s">
        <v>54212</v>
      </c>
      <c r="BT3415" s="1" t="str">
        <f>HYPERLINK("https%3A%2F%2Fwww.webofscience.com%2Fwos%2Fwoscc%2Ffull-record%2FWOS:000532262800003","View Full Record in Web of Science")</f>
        <v>View Full Record in Web of Science</v>
      </c>
      <c r="BU3415" s="1"/>
      <c r="BV3415" s="1"/>
    </row>
    <row r="3416" spans="1:74">
      <c r="A3416" s="1" t="s">
        <v>72</v>
      </c>
      <c r="B3416" s="1" t="s">
        <v>54213</v>
      </c>
      <c r="C3416" s="1" t="s">
        <v>74</v>
      </c>
      <c r="D3416" s="1" t="s">
        <v>74</v>
      </c>
      <c r="E3416" s="1" t="s">
        <v>74</v>
      </c>
      <c r="F3416" s="1" t="s">
        <v>54213</v>
      </c>
      <c r="G3416" s="1" t="s">
        <v>74</v>
      </c>
      <c r="H3416" s="1" t="s">
        <v>74</v>
      </c>
      <c r="I3416" s="1" t="s">
        <v>54214</v>
      </c>
      <c r="J3416" s="1" t="s">
        <v>752</v>
      </c>
      <c r="K3416" s="1" t="s">
        <v>74</v>
      </c>
      <c r="L3416" s="1" t="s">
        <v>74</v>
      </c>
      <c r="M3416" s="1" t="s">
        <v>78</v>
      </c>
      <c r="N3416" s="1" t="s">
        <v>79</v>
      </c>
      <c r="O3416" s="1" t="s">
        <v>74</v>
      </c>
      <c r="P3416" s="1" t="s">
        <v>74</v>
      </c>
      <c r="Q3416" s="1" t="s">
        <v>74</v>
      </c>
      <c r="R3416" s="1" t="s">
        <v>74</v>
      </c>
      <c r="S3416" s="1" t="s">
        <v>74</v>
      </c>
      <c r="T3416" s="1" t="s">
        <v>74</v>
      </c>
      <c r="U3416" s="1" t="s">
        <v>54215</v>
      </c>
      <c r="V3416" s="1" t="s">
        <v>54216</v>
      </c>
      <c r="W3416" s="1" t="s">
        <v>54217</v>
      </c>
      <c r="X3416" s="1" t="s">
        <v>4868</v>
      </c>
      <c r="Y3416" s="1" t="s">
        <v>54218</v>
      </c>
      <c r="Z3416" s="1" t="s">
        <v>74</v>
      </c>
      <c r="AA3416" s="1" t="s">
        <v>74</v>
      </c>
      <c r="AB3416" s="1" t="s">
        <v>74</v>
      </c>
      <c r="AC3416" s="1" t="s">
        <v>74</v>
      </c>
      <c r="AD3416" s="1" t="s">
        <v>74</v>
      </c>
      <c r="AE3416" s="1" t="s">
        <v>74</v>
      </c>
      <c r="AF3416" s="1" t="s">
        <v>74</v>
      </c>
      <c r="AG3416" s="1">
        <v>51</v>
      </c>
      <c r="AH3416" s="1">
        <v>40</v>
      </c>
      <c r="AI3416" s="1">
        <v>49</v>
      </c>
      <c r="AJ3416" s="1">
        <v>0</v>
      </c>
      <c r="AK3416" s="1">
        <v>17</v>
      </c>
      <c r="AL3416" s="1" t="s">
        <v>430</v>
      </c>
      <c r="AM3416" s="1" t="s">
        <v>137</v>
      </c>
      <c r="AN3416" s="1" t="s">
        <v>1600</v>
      </c>
      <c r="AO3416" s="1" t="s">
        <v>761</v>
      </c>
      <c r="AP3416" s="1" t="s">
        <v>74</v>
      </c>
      <c r="AQ3416" s="1" t="s">
        <v>74</v>
      </c>
      <c r="AR3416" s="1" t="s">
        <v>763</v>
      </c>
      <c r="AS3416" s="1" t="s">
        <v>764</v>
      </c>
      <c r="AT3416" s="1" t="s">
        <v>74</v>
      </c>
      <c r="AU3416" s="1">
        <v>1995</v>
      </c>
      <c r="AV3416" s="1">
        <v>40</v>
      </c>
      <c r="AW3416" s="1">
        <v>1</v>
      </c>
      <c r="AX3416" s="1" t="s">
        <v>74</v>
      </c>
      <c r="AY3416" s="1" t="s">
        <v>74</v>
      </c>
      <c r="AZ3416" s="1" t="s">
        <v>74</v>
      </c>
      <c r="BA3416" s="1" t="s">
        <v>74</v>
      </c>
      <c r="BB3416" s="1">
        <v>55</v>
      </c>
      <c r="BC3416" s="1">
        <v>76</v>
      </c>
      <c r="BD3416" s="1" t="s">
        <v>74</v>
      </c>
      <c r="BE3416" s="1" t="s">
        <v>54219</v>
      </c>
      <c r="BF3416" s="1" t="str">
        <f>HYPERLINK("http://dx.doi.org/10.1016/0141-1136(94)00005-A","http://dx.doi.org/10.1016/0141-1136(94)00005-A")</f>
        <v>http://dx.doi.org/10.1016/0141-1136(94)00005-A</v>
      </c>
      <c r="BG3416" s="1" t="s">
        <v>74</v>
      </c>
      <c r="BH3416" s="1" t="s">
        <v>74</v>
      </c>
      <c r="BI3416" s="1">
        <v>22</v>
      </c>
      <c r="BJ3416" s="1" t="s">
        <v>768</v>
      </c>
      <c r="BK3416" s="1" t="s">
        <v>96</v>
      </c>
      <c r="BL3416" s="1" t="s">
        <v>769</v>
      </c>
      <c r="BM3416" s="1" t="s">
        <v>54220</v>
      </c>
      <c r="BN3416" s="1" t="s">
        <v>74</v>
      </c>
      <c r="BO3416" s="1" t="s">
        <v>74</v>
      </c>
      <c r="BP3416" s="1" t="s">
        <v>74</v>
      </c>
      <c r="BQ3416" s="1" t="s">
        <v>74</v>
      </c>
      <c r="BR3416" s="1" t="s">
        <v>98</v>
      </c>
      <c r="BS3416" s="1" t="s">
        <v>54221</v>
      </c>
      <c r="BT3416" s="1" t="str">
        <f>HYPERLINK("https%3A%2F%2Fwww.webofscience.com%2Fwos%2Fwoscc%2Ffull-record%2FWOS:A1995RJ13000004","View Full Record in Web of Science")</f>
        <v>View Full Record in Web of Science</v>
      </c>
      <c r="BU3416" s="1"/>
      <c r="BV3416" s="1"/>
    </row>
    <row r="3417" spans="1:74">
      <c r="A3417" s="1" t="s">
        <v>72</v>
      </c>
      <c r="B3417" s="1" t="s">
        <v>54222</v>
      </c>
      <c r="C3417" s="1" t="s">
        <v>74</v>
      </c>
      <c r="D3417" s="1" t="s">
        <v>74</v>
      </c>
      <c r="E3417" s="1" t="s">
        <v>74</v>
      </c>
      <c r="F3417" s="1" t="s">
        <v>54223</v>
      </c>
      <c r="G3417" s="1" t="s">
        <v>74</v>
      </c>
      <c r="H3417" s="1" t="s">
        <v>74</v>
      </c>
      <c r="I3417" s="1" t="s">
        <v>54224</v>
      </c>
      <c r="J3417" s="1" t="s">
        <v>204</v>
      </c>
      <c r="K3417" s="1" t="s">
        <v>74</v>
      </c>
      <c r="L3417" s="1" t="s">
        <v>74</v>
      </c>
      <c r="M3417" s="1" t="s">
        <v>78</v>
      </c>
      <c r="N3417" s="1" t="s">
        <v>79</v>
      </c>
      <c r="O3417" s="1" t="s">
        <v>74</v>
      </c>
      <c r="P3417" s="1" t="s">
        <v>74</v>
      </c>
      <c r="Q3417" s="1" t="s">
        <v>74</v>
      </c>
      <c r="R3417" s="1" t="s">
        <v>74</v>
      </c>
      <c r="S3417" s="1" t="s">
        <v>74</v>
      </c>
      <c r="T3417" s="1" t="s">
        <v>54225</v>
      </c>
      <c r="U3417" s="1" t="s">
        <v>54226</v>
      </c>
      <c r="V3417" s="1" t="s">
        <v>54227</v>
      </c>
      <c r="W3417" s="1" t="s">
        <v>54228</v>
      </c>
      <c r="X3417" s="1" t="s">
        <v>983</v>
      </c>
      <c r="Y3417" s="1" t="s">
        <v>54229</v>
      </c>
      <c r="Z3417" s="1" t="s">
        <v>985</v>
      </c>
      <c r="AA3417" s="1" t="s">
        <v>54230</v>
      </c>
      <c r="AB3417" s="1" t="s">
        <v>54231</v>
      </c>
      <c r="AC3417" s="1" t="s">
        <v>988</v>
      </c>
      <c r="AD3417" s="1" t="s">
        <v>989</v>
      </c>
      <c r="AE3417" s="1" t="s">
        <v>990</v>
      </c>
      <c r="AF3417" s="1" t="s">
        <v>74</v>
      </c>
      <c r="AG3417" s="1">
        <v>93</v>
      </c>
      <c r="AH3417" s="1">
        <v>6</v>
      </c>
      <c r="AI3417" s="1">
        <v>6</v>
      </c>
      <c r="AJ3417" s="1">
        <v>2</v>
      </c>
      <c r="AK3417" s="1">
        <v>15</v>
      </c>
      <c r="AL3417" s="1" t="s">
        <v>217</v>
      </c>
      <c r="AM3417" s="1" t="s">
        <v>218</v>
      </c>
      <c r="AN3417" s="1" t="s">
        <v>219</v>
      </c>
      <c r="AO3417" s="1" t="s">
        <v>220</v>
      </c>
      <c r="AP3417" s="1" t="s">
        <v>221</v>
      </c>
      <c r="AQ3417" s="1" t="s">
        <v>74</v>
      </c>
      <c r="AR3417" s="1" t="s">
        <v>222</v>
      </c>
      <c r="AS3417" s="1" t="s">
        <v>223</v>
      </c>
      <c r="AT3417" s="1" t="s">
        <v>93</v>
      </c>
      <c r="AU3417" s="1">
        <v>2021</v>
      </c>
      <c r="AV3417" s="1">
        <v>28</v>
      </c>
      <c r="AW3417" s="1">
        <v>14</v>
      </c>
      <c r="AX3417" s="1" t="s">
        <v>74</v>
      </c>
      <c r="AY3417" s="1" t="s">
        <v>74</v>
      </c>
      <c r="AZ3417" s="1" t="s">
        <v>74</v>
      </c>
      <c r="BA3417" s="1" t="s">
        <v>74</v>
      </c>
      <c r="BB3417" s="1">
        <v>18176</v>
      </c>
      <c r="BC3417" s="1">
        <v>18185</v>
      </c>
      <c r="BD3417" s="1" t="s">
        <v>74</v>
      </c>
      <c r="BE3417" s="1" t="s">
        <v>54232</v>
      </c>
      <c r="BF3417" s="1" t="str">
        <f>HYPERLINK("http://dx.doi.org/10.1007/s11356-020-12305-7","http://dx.doi.org/10.1007/s11356-020-12305-7")</f>
        <v>http://dx.doi.org/10.1007/s11356-020-12305-7</v>
      </c>
      <c r="BG3417" s="1" t="s">
        <v>74</v>
      </c>
      <c r="BH3417" s="1" t="s">
        <v>2597</v>
      </c>
      <c r="BI3417" s="1">
        <v>10</v>
      </c>
      <c r="BJ3417" s="1" t="s">
        <v>144</v>
      </c>
      <c r="BK3417" s="1" t="s">
        <v>96</v>
      </c>
      <c r="BL3417" s="1" t="s">
        <v>145</v>
      </c>
      <c r="BM3417" s="1" t="s">
        <v>54233</v>
      </c>
      <c r="BN3417" s="1">
        <v>33410041</v>
      </c>
      <c r="BO3417" s="1" t="s">
        <v>74</v>
      </c>
      <c r="BP3417" s="1" t="s">
        <v>74</v>
      </c>
      <c r="BQ3417" s="1" t="s">
        <v>74</v>
      </c>
      <c r="BR3417" s="1" t="s">
        <v>98</v>
      </c>
      <c r="BS3417" s="1" t="s">
        <v>54234</v>
      </c>
      <c r="BT3417" s="1" t="str">
        <f>HYPERLINK("https%3A%2F%2Fwww.webofscience.com%2Fwos%2Fwoscc%2Ffull-record%2FWOS:000605574200005","View Full Record in Web of Science")</f>
        <v>View Full Record in Web of Science</v>
      </c>
      <c r="BU3417" s="1"/>
      <c r="BV3417" s="1"/>
    </row>
    <row r="3418" spans="1:74">
      <c r="A3418" s="1" t="s">
        <v>72</v>
      </c>
      <c r="B3418" s="1" t="s">
        <v>54235</v>
      </c>
      <c r="C3418" s="1" t="s">
        <v>74</v>
      </c>
      <c r="D3418" s="1" t="s">
        <v>74</v>
      </c>
      <c r="E3418" s="1" t="s">
        <v>74</v>
      </c>
      <c r="F3418" s="1" t="s">
        <v>54236</v>
      </c>
      <c r="G3418" s="1" t="s">
        <v>74</v>
      </c>
      <c r="H3418" s="1" t="s">
        <v>74</v>
      </c>
      <c r="I3418" s="1" t="s">
        <v>54237</v>
      </c>
      <c r="J3418" s="1" t="s">
        <v>127</v>
      </c>
      <c r="K3418" s="1" t="s">
        <v>74</v>
      </c>
      <c r="L3418" s="1" t="s">
        <v>74</v>
      </c>
      <c r="M3418" s="1" t="s">
        <v>78</v>
      </c>
      <c r="N3418" s="1" t="s">
        <v>79</v>
      </c>
      <c r="O3418" s="1" t="s">
        <v>74</v>
      </c>
      <c r="P3418" s="1" t="s">
        <v>74</v>
      </c>
      <c r="Q3418" s="1" t="s">
        <v>74</v>
      </c>
      <c r="R3418" s="1" t="s">
        <v>74</v>
      </c>
      <c r="S3418" s="1" t="s">
        <v>74</v>
      </c>
      <c r="T3418" s="1" t="s">
        <v>54238</v>
      </c>
      <c r="U3418" s="1" t="s">
        <v>54239</v>
      </c>
      <c r="V3418" s="1" t="s">
        <v>54240</v>
      </c>
      <c r="W3418" s="1" t="s">
        <v>54241</v>
      </c>
      <c r="X3418" s="1" t="s">
        <v>54242</v>
      </c>
      <c r="Y3418" s="1" t="s">
        <v>54243</v>
      </c>
      <c r="Z3418" s="1" t="s">
        <v>54244</v>
      </c>
      <c r="AA3418" s="1" t="s">
        <v>54245</v>
      </c>
      <c r="AB3418" s="1" t="s">
        <v>54246</v>
      </c>
      <c r="AC3418" s="1" t="s">
        <v>54247</v>
      </c>
      <c r="AD3418" s="1" t="s">
        <v>54248</v>
      </c>
      <c r="AE3418" s="1" t="s">
        <v>54249</v>
      </c>
      <c r="AF3418" s="1" t="s">
        <v>74</v>
      </c>
      <c r="AG3418" s="1">
        <v>21</v>
      </c>
      <c r="AH3418" s="1">
        <v>8</v>
      </c>
      <c r="AI3418" s="1">
        <v>9</v>
      </c>
      <c r="AJ3418" s="1">
        <v>0</v>
      </c>
      <c r="AK3418" s="1">
        <v>28</v>
      </c>
      <c r="AL3418" s="1" t="s">
        <v>136</v>
      </c>
      <c r="AM3418" s="1" t="s">
        <v>137</v>
      </c>
      <c r="AN3418" s="1" t="s">
        <v>138</v>
      </c>
      <c r="AO3418" s="1" t="s">
        <v>139</v>
      </c>
      <c r="AP3418" s="1" t="s">
        <v>140</v>
      </c>
      <c r="AQ3418" s="1" t="s">
        <v>74</v>
      </c>
      <c r="AR3418" s="1" t="s">
        <v>127</v>
      </c>
      <c r="AS3418" s="1" t="s">
        <v>141</v>
      </c>
      <c r="AT3418" s="1" t="s">
        <v>119</v>
      </c>
      <c r="AU3418" s="1">
        <v>2012</v>
      </c>
      <c r="AV3418" s="1">
        <v>88</v>
      </c>
      <c r="AW3418" s="1">
        <v>8</v>
      </c>
      <c r="AX3418" s="1" t="s">
        <v>74</v>
      </c>
      <c r="AY3418" s="1" t="s">
        <v>74</v>
      </c>
      <c r="AZ3418" s="1" t="s">
        <v>74</v>
      </c>
      <c r="BA3418" s="1" t="s">
        <v>74</v>
      </c>
      <c r="BB3418" s="1">
        <v>988</v>
      </c>
      <c r="BC3418" s="1">
        <v>993</v>
      </c>
      <c r="BD3418" s="1" t="s">
        <v>74</v>
      </c>
      <c r="BE3418" s="1" t="s">
        <v>54250</v>
      </c>
      <c r="BF3418" s="1" t="str">
        <f>HYPERLINK("http://dx.doi.org/10.1016/j.chemosphere.2012.03.036","http://dx.doi.org/10.1016/j.chemosphere.2012.03.036")</f>
        <v>http://dx.doi.org/10.1016/j.chemosphere.2012.03.036</v>
      </c>
      <c r="BG3418" s="1" t="s">
        <v>74</v>
      </c>
      <c r="BH3418" s="1" t="s">
        <v>74</v>
      </c>
      <c r="BI3418" s="1">
        <v>6</v>
      </c>
      <c r="BJ3418" s="1" t="s">
        <v>144</v>
      </c>
      <c r="BK3418" s="1" t="s">
        <v>96</v>
      </c>
      <c r="BL3418" s="1" t="s">
        <v>145</v>
      </c>
      <c r="BM3418" s="1" t="s">
        <v>54251</v>
      </c>
      <c r="BN3418" s="1">
        <v>22480940</v>
      </c>
      <c r="BO3418" s="1" t="s">
        <v>74</v>
      </c>
      <c r="BP3418" s="1" t="s">
        <v>74</v>
      </c>
      <c r="BQ3418" s="1" t="s">
        <v>74</v>
      </c>
      <c r="BR3418" s="1" t="s">
        <v>98</v>
      </c>
      <c r="BS3418" s="1" t="s">
        <v>54252</v>
      </c>
      <c r="BT3418" s="1" t="str">
        <f>HYPERLINK("https%3A%2F%2Fwww.webofscience.com%2Fwos%2Fwoscc%2Ffull-record%2FWOS:000306160800012","View Full Record in Web of Science")</f>
        <v>View Full Record in Web of Science</v>
      </c>
      <c r="BU3418" s="1"/>
      <c r="BV3418" s="1"/>
    </row>
    <row r="3419" spans="1:74">
      <c r="A3419" s="1" t="s">
        <v>72</v>
      </c>
      <c r="B3419" s="1" t="s">
        <v>54253</v>
      </c>
      <c r="C3419" s="1" t="s">
        <v>74</v>
      </c>
      <c r="D3419" s="1" t="s">
        <v>74</v>
      </c>
      <c r="E3419" s="1" t="s">
        <v>74</v>
      </c>
      <c r="F3419" s="1" t="s">
        <v>54254</v>
      </c>
      <c r="G3419" s="1" t="s">
        <v>74</v>
      </c>
      <c r="H3419" s="1" t="s">
        <v>74</v>
      </c>
      <c r="I3419" s="1" t="s">
        <v>54255</v>
      </c>
      <c r="J3419" s="1" t="s">
        <v>4596</v>
      </c>
      <c r="K3419" s="1" t="s">
        <v>74</v>
      </c>
      <c r="L3419" s="1" t="s">
        <v>74</v>
      </c>
      <c r="M3419" s="1" t="s">
        <v>78</v>
      </c>
      <c r="N3419" s="1" t="s">
        <v>79</v>
      </c>
      <c r="O3419" s="1" t="s">
        <v>74</v>
      </c>
      <c r="P3419" s="1" t="s">
        <v>74</v>
      </c>
      <c r="Q3419" s="1" t="s">
        <v>74</v>
      </c>
      <c r="R3419" s="1" t="s">
        <v>74</v>
      </c>
      <c r="S3419" s="1" t="s">
        <v>74</v>
      </c>
      <c r="T3419" s="1" t="s">
        <v>54256</v>
      </c>
      <c r="U3419" s="1" t="s">
        <v>54257</v>
      </c>
      <c r="V3419" s="1" t="s">
        <v>54258</v>
      </c>
      <c r="W3419" s="1" t="s">
        <v>54259</v>
      </c>
      <c r="X3419" s="1" t="s">
        <v>54260</v>
      </c>
      <c r="Y3419" s="1" t="s">
        <v>54261</v>
      </c>
      <c r="Z3419" s="1" t="s">
        <v>54262</v>
      </c>
      <c r="AA3419" s="1" t="s">
        <v>13410</v>
      </c>
      <c r="AB3419" s="1" t="s">
        <v>54263</v>
      </c>
      <c r="AC3419" s="1" t="s">
        <v>54264</v>
      </c>
      <c r="AD3419" s="1" t="s">
        <v>54265</v>
      </c>
      <c r="AE3419" s="1" t="s">
        <v>54266</v>
      </c>
      <c r="AF3419" s="1" t="s">
        <v>74</v>
      </c>
      <c r="AG3419" s="1">
        <v>71</v>
      </c>
      <c r="AH3419" s="1">
        <v>21</v>
      </c>
      <c r="AI3419" s="1">
        <v>22</v>
      </c>
      <c r="AJ3419" s="1">
        <v>0</v>
      </c>
      <c r="AK3419" s="1">
        <v>19</v>
      </c>
      <c r="AL3419" s="1" t="s">
        <v>136</v>
      </c>
      <c r="AM3419" s="1" t="s">
        <v>137</v>
      </c>
      <c r="AN3419" s="1" t="s">
        <v>138</v>
      </c>
      <c r="AO3419" s="1" t="s">
        <v>4608</v>
      </c>
      <c r="AP3419" s="1" t="s">
        <v>4609</v>
      </c>
      <c r="AQ3419" s="1" t="s">
        <v>74</v>
      </c>
      <c r="AR3419" s="1" t="s">
        <v>4610</v>
      </c>
      <c r="AS3419" s="1" t="s">
        <v>4611</v>
      </c>
      <c r="AT3419" s="1" t="s">
        <v>5542</v>
      </c>
      <c r="AU3419" s="1">
        <v>2011</v>
      </c>
      <c r="AV3419" s="1">
        <v>31</v>
      </c>
      <c r="AW3419" s="1">
        <v>9</v>
      </c>
      <c r="AX3419" s="1" t="s">
        <v>74</v>
      </c>
      <c r="AY3419" s="1" t="s">
        <v>74</v>
      </c>
      <c r="AZ3419" s="1" t="s">
        <v>74</v>
      </c>
      <c r="BA3419" s="1" t="s">
        <v>74</v>
      </c>
      <c r="BB3419" s="1">
        <v>997</v>
      </c>
      <c r="BC3419" s="1">
        <v>1007</v>
      </c>
      <c r="BD3419" s="1" t="s">
        <v>74</v>
      </c>
      <c r="BE3419" s="1" t="s">
        <v>54267</v>
      </c>
      <c r="BF3419" s="1" t="str">
        <f>HYPERLINK("http://dx.doi.org/10.1016/j.csr.2011.03.006","http://dx.doi.org/10.1016/j.csr.2011.03.006")</f>
        <v>http://dx.doi.org/10.1016/j.csr.2011.03.006</v>
      </c>
      <c r="BG3419" s="1" t="s">
        <v>74</v>
      </c>
      <c r="BH3419" s="1" t="s">
        <v>74</v>
      </c>
      <c r="BI3419" s="1">
        <v>11</v>
      </c>
      <c r="BJ3419" s="1" t="s">
        <v>1439</v>
      </c>
      <c r="BK3419" s="1" t="s">
        <v>96</v>
      </c>
      <c r="BL3419" s="1" t="s">
        <v>1439</v>
      </c>
      <c r="BM3419" s="1" t="s">
        <v>54268</v>
      </c>
      <c r="BN3419" s="1" t="s">
        <v>74</v>
      </c>
      <c r="BO3419" s="1" t="s">
        <v>14962</v>
      </c>
      <c r="BP3419" s="1" t="s">
        <v>74</v>
      </c>
      <c r="BQ3419" s="1" t="s">
        <v>74</v>
      </c>
      <c r="BR3419" s="1" t="s">
        <v>98</v>
      </c>
      <c r="BS3419" s="1" t="s">
        <v>54269</v>
      </c>
      <c r="BT3419" s="1" t="str">
        <f>HYPERLINK("https%3A%2F%2Fwww.webofscience.com%2Fwos%2Fwoscc%2Ffull-record%2FWOS:000291379900009","View Full Record in Web of Science")</f>
        <v>View Full Record in Web of Science</v>
      </c>
      <c r="BU3419" s="1"/>
      <c r="BV3419" s="1"/>
    </row>
    <row r="3420" spans="1:74">
      <c r="A3420" s="1" t="s">
        <v>72</v>
      </c>
      <c r="B3420" s="1" t="s">
        <v>54270</v>
      </c>
      <c r="C3420" s="1" t="s">
        <v>74</v>
      </c>
      <c r="D3420" s="1" t="s">
        <v>74</v>
      </c>
      <c r="E3420" s="1" t="s">
        <v>74</v>
      </c>
      <c r="F3420" s="1" t="s">
        <v>54270</v>
      </c>
      <c r="G3420" s="1" t="s">
        <v>74</v>
      </c>
      <c r="H3420" s="1" t="s">
        <v>74</v>
      </c>
      <c r="I3420" s="1" t="s">
        <v>54271</v>
      </c>
      <c r="J3420" s="1" t="s">
        <v>421</v>
      </c>
      <c r="K3420" s="1" t="s">
        <v>74</v>
      </c>
      <c r="L3420" s="1" t="s">
        <v>74</v>
      </c>
      <c r="M3420" s="1" t="s">
        <v>78</v>
      </c>
      <c r="N3420" s="1" t="s">
        <v>79</v>
      </c>
      <c r="O3420" s="1" t="s">
        <v>74</v>
      </c>
      <c r="P3420" s="1" t="s">
        <v>74</v>
      </c>
      <c r="Q3420" s="1" t="s">
        <v>74</v>
      </c>
      <c r="R3420" s="1" t="s">
        <v>74</v>
      </c>
      <c r="S3420" s="1" t="s">
        <v>74</v>
      </c>
      <c r="T3420" s="1" t="s">
        <v>54272</v>
      </c>
      <c r="U3420" s="1" t="s">
        <v>54273</v>
      </c>
      <c r="V3420" s="1" t="s">
        <v>54274</v>
      </c>
      <c r="W3420" s="1" t="s">
        <v>54275</v>
      </c>
      <c r="X3420" s="1" t="s">
        <v>26268</v>
      </c>
      <c r="Y3420" s="1" t="s">
        <v>54276</v>
      </c>
      <c r="Z3420" s="1" t="s">
        <v>54277</v>
      </c>
      <c r="AA3420" s="1" t="s">
        <v>26271</v>
      </c>
      <c r="AB3420" s="1" t="s">
        <v>74</v>
      </c>
      <c r="AC3420" s="1" t="s">
        <v>74</v>
      </c>
      <c r="AD3420" s="1" t="s">
        <v>74</v>
      </c>
      <c r="AE3420" s="1" t="s">
        <v>74</v>
      </c>
      <c r="AF3420" s="1" t="s">
        <v>74</v>
      </c>
      <c r="AG3420" s="1">
        <v>33</v>
      </c>
      <c r="AH3420" s="1">
        <v>60</v>
      </c>
      <c r="AI3420" s="1">
        <v>64</v>
      </c>
      <c r="AJ3420" s="1">
        <v>3</v>
      </c>
      <c r="AK3420" s="1">
        <v>21</v>
      </c>
      <c r="AL3420" s="1" t="s">
        <v>430</v>
      </c>
      <c r="AM3420" s="1" t="s">
        <v>137</v>
      </c>
      <c r="AN3420" s="1" t="s">
        <v>431</v>
      </c>
      <c r="AO3420" s="1" t="s">
        <v>432</v>
      </c>
      <c r="AP3420" s="1" t="s">
        <v>1394</v>
      </c>
      <c r="AQ3420" s="1" t="s">
        <v>74</v>
      </c>
      <c r="AR3420" s="1" t="s">
        <v>433</v>
      </c>
      <c r="AS3420" s="1" t="s">
        <v>434</v>
      </c>
      <c r="AT3420" s="1" t="s">
        <v>74</v>
      </c>
      <c r="AU3420" s="1">
        <v>2003</v>
      </c>
      <c r="AV3420" s="1">
        <v>124</v>
      </c>
      <c r="AW3420" s="1">
        <v>1</v>
      </c>
      <c r="AX3420" s="1" t="s">
        <v>74</v>
      </c>
      <c r="AY3420" s="1" t="s">
        <v>74</v>
      </c>
      <c r="AZ3420" s="1" t="s">
        <v>74</v>
      </c>
      <c r="BA3420" s="1" t="s">
        <v>74</v>
      </c>
      <c r="BB3420" s="1">
        <v>47</v>
      </c>
      <c r="BC3420" s="1">
        <v>55</v>
      </c>
      <c r="BD3420" s="1" t="s">
        <v>74</v>
      </c>
      <c r="BE3420" s="1" t="s">
        <v>54278</v>
      </c>
      <c r="BF3420" s="1" t="str">
        <f>HYPERLINK("http://dx.doi.org/10.1016/S0269-7491(02)00433-5","http://dx.doi.org/10.1016/S0269-7491(02)00433-5")</f>
        <v>http://dx.doi.org/10.1016/S0269-7491(02)00433-5</v>
      </c>
      <c r="BG3420" s="1" t="s">
        <v>74</v>
      </c>
      <c r="BH3420" s="1" t="s">
        <v>74</v>
      </c>
      <c r="BI3420" s="1">
        <v>9</v>
      </c>
      <c r="BJ3420" s="1" t="s">
        <v>144</v>
      </c>
      <c r="BK3420" s="1" t="s">
        <v>96</v>
      </c>
      <c r="BL3420" s="1" t="s">
        <v>145</v>
      </c>
      <c r="BM3420" s="1" t="s">
        <v>54279</v>
      </c>
      <c r="BN3420" s="1">
        <v>12683982</v>
      </c>
      <c r="BO3420" s="1" t="s">
        <v>74</v>
      </c>
      <c r="BP3420" s="1" t="s">
        <v>74</v>
      </c>
      <c r="BQ3420" s="1" t="s">
        <v>74</v>
      </c>
      <c r="BR3420" s="1" t="s">
        <v>98</v>
      </c>
      <c r="BS3420" s="1" t="s">
        <v>54280</v>
      </c>
      <c r="BT3420" s="1" t="str">
        <f>HYPERLINK("https%3A%2F%2Fwww.webofscience.com%2Fwos%2Fwoscc%2Ffull-record%2FWOS:000182868900006","View Full Record in Web of Science")</f>
        <v>View Full Record in Web of Science</v>
      </c>
      <c r="BU3420" s="1"/>
      <c r="BV3420" s="1"/>
    </row>
    <row r="3421" spans="1:74">
      <c r="A3421" s="1" t="s">
        <v>72</v>
      </c>
      <c r="B3421" s="1" t="s">
        <v>54281</v>
      </c>
      <c r="C3421" s="1" t="s">
        <v>74</v>
      </c>
      <c r="D3421" s="1" t="s">
        <v>74</v>
      </c>
      <c r="E3421" s="1" t="s">
        <v>74</v>
      </c>
      <c r="F3421" s="1" t="s">
        <v>54282</v>
      </c>
      <c r="G3421" s="1" t="s">
        <v>74</v>
      </c>
      <c r="H3421" s="1" t="s">
        <v>74</v>
      </c>
      <c r="I3421" s="1" t="s">
        <v>54283</v>
      </c>
      <c r="J3421" s="1" t="s">
        <v>21600</v>
      </c>
      <c r="K3421" s="1" t="s">
        <v>74</v>
      </c>
      <c r="L3421" s="1" t="s">
        <v>74</v>
      </c>
      <c r="M3421" s="1" t="s">
        <v>78</v>
      </c>
      <c r="N3421" s="1" t="s">
        <v>79</v>
      </c>
      <c r="O3421" s="1" t="s">
        <v>74</v>
      </c>
      <c r="P3421" s="1" t="s">
        <v>74</v>
      </c>
      <c r="Q3421" s="1" t="s">
        <v>74</v>
      </c>
      <c r="R3421" s="1" t="s">
        <v>74</v>
      </c>
      <c r="S3421" s="1" t="s">
        <v>74</v>
      </c>
      <c r="T3421" s="1" t="s">
        <v>54284</v>
      </c>
      <c r="U3421" s="1" t="s">
        <v>54285</v>
      </c>
      <c r="V3421" s="1" t="s">
        <v>54286</v>
      </c>
      <c r="W3421" s="1" t="s">
        <v>54287</v>
      </c>
      <c r="X3421" s="1" t="s">
        <v>54288</v>
      </c>
      <c r="Y3421" s="1" t="s">
        <v>54289</v>
      </c>
      <c r="Z3421" s="1" t="s">
        <v>54290</v>
      </c>
      <c r="AA3421" s="1" t="s">
        <v>54291</v>
      </c>
      <c r="AB3421" s="1" t="s">
        <v>54292</v>
      </c>
      <c r="AC3421" s="1" t="s">
        <v>54293</v>
      </c>
      <c r="AD3421" s="1" t="s">
        <v>54294</v>
      </c>
      <c r="AE3421" s="1" t="s">
        <v>54295</v>
      </c>
      <c r="AF3421" s="1" t="s">
        <v>74</v>
      </c>
      <c r="AG3421" s="1">
        <v>262</v>
      </c>
      <c r="AH3421" s="1">
        <v>1</v>
      </c>
      <c r="AI3421" s="1">
        <v>1</v>
      </c>
      <c r="AJ3421" s="1">
        <v>23</v>
      </c>
      <c r="AK3421" s="1">
        <v>23</v>
      </c>
      <c r="AL3421" s="1" t="s">
        <v>650</v>
      </c>
      <c r="AM3421" s="1" t="s">
        <v>651</v>
      </c>
      <c r="AN3421" s="1" t="s">
        <v>652</v>
      </c>
      <c r="AO3421" s="1" t="s">
        <v>21612</v>
      </c>
      <c r="AP3421" s="1" t="s">
        <v>21613</v>
      </c>
      <c r="AQ3421" s="1" t="s">
        <v>74</v>
      </c>
      <c r="AR3421" s="1" t="s">
        <v>21614</v>
      </c>
      <c r="AS3421" s="1" t="s">
        <v>21615</v>
      </c>
      <c r="AT3421" s="1" t="s">
        <v>170</v>
      </c>
      <c r="AU3421" s="1">
        <v>2024</v>
      </c>
      <c r="AV3421" s="1">
        <v>266</v>
      </c>
      <c r="AW3421" s="1" t="s">
        <v>74</v>
      </c>
      <c r="AX3421" s="1">
        <v>2</v>
      </c>
      <c r="AY3421" s="1" t="s">
        <v>74</v>
      </c>
      <c r="AZ3421" s="1" t="s">
        <v>74</v>
      </c>
      <c r="BA3421" s="1" t="s">
        <v>74</v>
      </c>
      <c r="BB3421" s="1" t="s">
        <v>74</v>
      </c>
      <c r="BC3421" s="1" t="s">
        <v>74</v>
      </c>
      <c r="BD3421" s="1">
        <v>131243</v>
      </c>
      <c r="BE3421" s="1" t="s">
        <v>54296</v>
      </c>
      <c r="BF3421" s="1" t="str">
        <f>HYPERLINK("http://dx.doi.org/10.1016/j.ijbiomac.2024.131243","http://dx.doi.org/10.1016/j.ijbiomac.2024.131243")</f>
        <v>http://dx.doi.org/10.1016/j.ijbiomac.2024.131243</v>
      </c>
      <c r="BG3421" s="1" t="s">
        <v>74</v>
      </c>
      <c r="BH3421" s="1" t="s">
        <v>9434</v>
      </c>
      <c r="BI3421" s="1">
        <v>23</v>
      </c>
      <c r="BJ3421" s="1" t="s">
        <v>21618</v>
      </c>
      <c r="BK3421" s="1" t="s">
        <v>96</v>
      </c>
      <c r="BL3421" s="1" t="s">
        <v>21619</v>
      </c>
      <c r="BM3421" s="1" t="s">
        <v>54297</v>
      </c>
      <c r="BN3421" s="1">
        <v>38554917</v>
      </c>
      <c r="BO3421" s="1" t="s">
        <v>74</v>
      </c>
      <c r="BP3421" s="1" t="s">
        <v>74</v>
      </c>
      <c r="BQ3421" s="1" t="s">
        <v>74</v>
      </c>
      <c r="BR3421" s="1" t="s">
        <v>98</v>
      </c>
      <c r="BS3421" s="1" t="s">
        <v>54298</v>
      </c>
      <c r="BT3421" s="1" t="str">
        <f>HYPERLINK("https%3A%2F%2Fwww.webofscience.com%2Fwos%2Fwoscc%2Ffull-record%2FWOS:001219913600001","View Full Record in Web of Science")</f>
        <v>View Full Record in Web of Science</v>
      </c>
      <c r="BU3421" s="1"/>
      <c r="BV3421" s="1"/>
    </row>
    <row r="3422" spans="1:74">
      <c r="A3422" s="1" t="s">
        <v>72</v>
      </c>
      <c r="B3422" s="1" t="s">
        <v>54299</v>
      </c>
      <c r="C3422" s="1" t="s">
        <v>74</v>
      </c>
      <c r="D3422" s="1" t="s">
        <v>74</v>
      </c>
      <c r="E3422" s="1" t="s">
        <v>74</v>
      </c>
      <c r="F3422" s="1" t="s">
        <v>54300</v>
      </c>
      <c r="G3422" s="1" t="s">
        <v>74</v>
      </c>
      <c r="H3422" s="1" t="s">
        <v>74</v>
      </c>
      <c r="I3422" s="1" t="s">
        <v>54301</v>
      </c>
      <c r="J3422" s="1" t="s">
        <v>179</v>
      </c>
      <c r="K3422" s="1" t="s">
        <v>74</v>
      </c>
      <c r="L3422" s="1" t="s">
        <v>74</v>
      </c>
      <c r="M3422" s="1" t="s">
        <v>78</v>
      </c>
      <c r="N3422" s="1" t="s">
        <v>79</v>
      </c>
      <c r="O3422" s="1" t="s">
        <v>74</v>
      </c>
      <c r="P3422" s="1" t="s">
        <v>74</v>
      </c>
      <c r="Q3422" s="1" t="s">
        <v>74</v>
      </c>
      <c r="R3422" s="1" t="s">
        <v>74</v>
      </c>
      <c r="S3422" s="1" t="s">
        <v>74</v>
      </c>
      <c r="T3422" s="1" t="s">
        <v>54302</v>
      </c>
      <c r="U3422" s="1" t="s">
        <v>54303</v>
      </c>
      <c r="V3422" s="1" t="s">
        <v>54304</v>
      </c>
      <c r="W3422" s="1" t="s">
        <v>54305</v>
      </c>
      <c r="X3422" s="1" t="s">
        <v>54306</v>
      </c>
      <c r="Y3422" s="1" t="s">
        <v>54307</v>
      </c>
      <c r="Z3422" s="1" t="s">
        <v>54308</v>
      </c>
      <c r="AA3422" s="1" t="s">
        <v>74</v>
      </c>
      <c r="AB3422" s="1" t="s">
        <v>22040</v>
      </c>
      <c r="AC3422" s="1" t="s">
        <v>74</v>
      </c>
      <c r="AD3422" s="1" t="s">
        <v>74</v>
      </c>
      <c r="AE3422" s="1" t="s">
        <v>74</v>
      </c>
      <c r="AF3422" s="1" t="s">
        <v>74</v>
      </c>
      <c r="AG3422" s="1">
        <v>82</v>
      </c>
      <c r="AH3422" s="1">
        <v>10</v>
      </c>
      <c r="AI3422" s="1">
        <v>12</v>
      </c>
      <c r="AJ3422" s="1">
        <v>0</v>
      </c>
      <c r="AK3422" s="1">
        <v>8</v>
      </c>
      <c r="AL3422" s="1" t="s">
        <v>112</v>
      </c>
      <c r="AM3422" s="1" t="s">
        <v>191</v>
      </c>
      <c r="AN3422" s="1" t="s">
        <v>192</v>
      </c>
      <c r="AO3422" s="1" t="s">
        <v>193</v>
      </c>
      <c r="AP3422" s="1" t="s">
        <v>194</v>
      </c>
      <c r="AQ3422" s="1" t="s">
        <v>74</v>
      </c>
      <c r="AR3422" s="1" t="s">
        <v>195</v>
      </c>
      <c r="AS3422" s="1" t="s">
        <v>196</v>
      </c>
      <c r="AT3422" s="1" t="s">
        <v>3220</v>
      </c>
      <c r="AU3422" s="1">
        <v>2019</v>
      </c>
      <c r="AV3422" s="1">
        <v>191</v>
      </c>
      <c r="AW3422" s="1">
        <v>9</v>
      </c>
      <c r="AX3422" s="1" t="s">
        <v>74</v>
      </c>
      <c r="AY3422" s="1" t="s">
        <v>74</v>
      </c>
      <c r="AZ3422" s="1" t="s">
        <v>74</v>
      </c>
      <c r="BA3422" s="1" t="s">
        <v>74</v>
      </c>
      <c r="BB3422" s="1" t="s">
        <v>74</v>
      </c>
      <c r="BC3422" s="1" t="s">
        <v>74</v>
      </c>
      <c r="BD3422" s="1">
        <v>555</v>
      </c>
      <c r="BE3422" s="1" t="s">
        <v>54309</v>
      </c>
      <c r="BF3422" s="1" t="str">
        <f>HYPERLINK("http://dx.doi.org/10.1007/s10661-019-7726-3","http://dx.doi.org/10.1007/s10661-019-7726-3")</f>
        <v>http://dx.doi.org/10.1007/s10661-019-7726-3</v>
      </c>
      <c r="BG3422" s="1" t="s">
        <v>74</v>
      </c>
      <c r="BH3422" s="1" t="s">
        <v>74</v>
      </c>
      <c r="BI3422" s="1">
        <v>16</v>
      </c>
      <c r="BJ3422" s="1" t="s">
        <v>144</v>
      </c>
      <c r="BK3422" s="1" t="s">
        <v>96</v>
      </c>
      <c r="BL3422" s="1" t="s">
        <v>145</v>
      </c>
      <c r="BM3422" s="1" t="s">
        <v>54310</v>
      </c>
      <c r="BN3422" s="1">
        <v>31401704</v>
      </c>
      <c r="BO3422" s="1" t="s">
        <v>74</v>
      </c>
      <c r="BP3422" s="1" t="s">
        <v>74</v>
      </c>
      <c r="BQ3422" s="1" t="s">
        <v>74</v>
      </c>
      <c r="BR3422" s="1" t="s">
        <v>98</v>
      </c>
      <c r="BS3422" s="1" t="s">
        <v>54311</v>
      </c>
      <c r="BT3422" s="1" t="str">
        <f>HYPERLINK("https%3A%2F%2Fwww.webofscience.com%2Fwos%2Fwoscc%2Ffull-record%2FWOS:000480493000001","View Full Record in Web of Science")</f>
        <v>View Full Record in Web of Science</v>
      </c>
      <c r="BU3422" s="1"/>
      <c r="BV3422" s="1"/>
    </row>
    <row r="3423" spans="1:74">
      <c r="A3423" s="1" t="s">
        <v>72</v>
      </c>
      <c r="B3423" s="1" t="s">
        <v>54312</v>
      </c>
      <c r="C3423" s="1" t="s">
        <v>74</v>
      </c>
      <c r="D3423" s="1" t="s">
        <v>74</v>
      </c>
      <c r="E3423" s="1" t="s">
        <v>74</v>
      </c>
      <c r="F3423" s="1" t="s">
        <v>54313</v>
      </c>
      <c r="G3423" s="1" t="s">
        <v>74</v>
      </c>
      <c r="H3423" s="1" t="s">
        <v>74</v>
      </c>
      <c r="I3423" s="1" t="s">
        <v>54314</v>
      </c>
      <c r="J3423" s="1" t="s">
        <v>232</v>
      </c>
      <c r="K3423" s="1" t="s">
        <v>74</v>
      </c>
      <c r="L3423" s="1" t="s">
        <v>74</v>
      </c>
      <c r="M3423" s="1" t="s">
        <v>78</v>
      </c>
      <c r="N3423" s="1" t="s">
        <v>79</v>
      </c>
      <c r="O3423" s="1" t="s">
        <v>74</v>
      </c>
      <c r="P3423" s="1" t="s">
        <v>74</v>
      </c>
      <c r="Q3423" s="1" t="s">
        <v>74</v>
      </c>
      <c r="R3423" s="1" t="s">
        <v>74</v>
      </c>
      <c r="S3423" s="1" t="s">
        <v>74</v>
      </c>
      <c r="T3423" s="1" t="s">
        <v>54315</v>
      </c>
      <c r="U3423" s="1" t="s">
        <v>54316</v>
      </c>
      <c r="V3423" s="1" t="s">
        <v>54317</v>
      </c>
      <c r="W3423" s="1" t="s">
        <v>54318</v>
      </c>
      <c r="X3423" s="1" t="s">
        <v>54319</v>
      </c>
      <c r="Y3423" s="1" t="s">
        <v>54320</v>
      </c>
      <c r="Z3423" s="1" t="s">
        <v>54321</v>
      </c>
      <c r="AA3423" s="1" t="s">
        <v>54322</v>
      </c>
      <c r="AB3423" s="1" t="s">
        <v>54323</v>
      </c>
      <c r="AC3423" s="1" t="s">
        <v>54324</v>
      </c>
      <c r="AD3423" s="1" t="s">
        <v>54325</v>
      </c>
      <c r="AE3423" s="1" t="s">
        <v>54326</v>
      </c>
      <c r="AF3423" s="1" t="s">
        <v>74</v>
      </c>
      <c r="AG3423" s="1">
        <v>76</v>
      </c>
      <c r="AH3423" s="1">
        <v>21</v>
      </c>
      <c r="AI3423" s="1">
        <v>21</v>
      </c>
      <c r="AJ3423" s="1">
        <v>1</v>
      </c>
      <c r="AK3423" s="1">
        <v>31</v>
      </c>
      <c r="AL3423" s="1" t="s">
        <v>136</v>
      </c>
      <c r="AM3423" s="1" t="s">
        <v>137</v>
      </c>
      <c r="AN3423" s="1" t="s">
        <v>138</v>
      </c>
      <c r="AO3423" s="1" t="s">
        <v>240</v>
      </c>
      <c r="AP3423" s="1" t="s">
        <v>241</v>
      </c>
      <c r="AQ3423" s="1" t="s">
        <v>74</v>
      </c>
      <c r="AR3423" s="1" t="s">
        <v>242</v>
      </c>
      <c r="AS3423" s="1" t="s">
        <v>243</v>
      </c>
      <c r="AT3423" s="1" t="s">
        <v>3506</v>
      </c>
      <c r="AU3423" s="1">
        <v>2014</v>
      </c>
      <c r="AV3423" s="1">
        <v>86</v>
      </c>
      <c r="AW3423" s="1" t="s">
        <v>326</v>
      </c>
      <c r="AX3423" s="1" t="s">
        <v>74</v>
      </c>
      <c r="AY3423" s="1" t="s">
        <v>74</v>
      </c>
      <c r="AZ3423" s="1" t="s">
        <v>74</v>
      </c>
      <c r="BA3423" s="1" t="s">
        <v>74</v>
      </c>
      <c r="BB3423" s="1">
        <v>349</v>
      </c>
      <c r="BC3423" s="1">
        <v>360</v>
      </c>
      <c r="BD3423" s="1" t="s">
        <v>74</v>
      </c>
      <c r="BE3423" s="1" t="s">
        <v>54327</v>
      </c>
      <c r="BF3423" s="1" t="str">
        <f>HYPERLINK("http://dx.doi.org/10.1016/j.marpolbul.2014.06.044","http://dx.doi.org/10.1016/j.marpolbul.2014.06.044")</f>
        <v>http://dx.doi.org/10.1016/j.marpolbul.2014.06.044</v>
      </c>
      <c r="BG3423" s="1" t="s">
        <v>74</v>
      </c>
      <c r="BH3423" s="1" t="s">
        <v>74</v>
      </c>
      <c r="BI3423" s="1">
        <v>12</v>
      </c>
      <c r="BJ3423" s="1" t="s">
        <v>247</v>
      </c>
      <c r="BK3423" s="1" t="s">
        <v>96</v>
      </c>
      <c r="BL3423" s="1" t="s">
        <v>248</v>
      </c>
      <c r="BM3423" s="1" t="s">
        <v>6460</v>
      </c>
      <c r="BN3423" s="1">
        <v>25048729</v>
      </c>
      <c r="BO3423" s="1" t="s">
        <v>74</v>
      </c>
      <c r="BP3423" s="1" t="s">
        <v>74</v>
      </c>
      <c r="BQ3423" s="1" t="s">
        <v>74</v>
      </c>
      <c r="BR3423" s="1" t="s">
        <v>98</v>
      </c>
      <c r="BS3423" s="1" t="s">
        <v>54328</v>
      </c>
      <c r="BT3423" s="1" t="str">
        <f>HYPERLINK("https%3A%2F%2Fwww.webofscience.com%2Fwos%2Fwoscc%2Ffull-record%2FWOS:000342860100052","View Full Record in Web of Science")</f>
        <v>View Full Record in Web of Science</v>
      </c>
      <c r="BU3423" s="1"/>
      <c r="BV3423" s="1"/>
    </row>
    <row r="3424" spans="1:74">
      <c r="A3424" s="1" t="s">
        <v>72</v>
      </c>
      <c r="B3424" s="1" t="s">
        <v>54329</v>
      </c>
      <c r="C3424" s="1" t="s">
        <v>74</v>
      </c>
      <c r="D3424" s="1" t="s">
        <v>74</v>
      </c>
      <c r="E3424" s="1" t="s">
        <v>74</v>
      </c>
      <c r="F3424" s="1" t="s">
        <v>54330</v>
      </c>
      <c r="G3424" s="1" t="s">
        <v>74</v>
      </c>
      <c r="H3424" s="1" t="s">
        <v>74</v>
      </c>
      <c r="I3424" s="1" t="s">
        <v>54331</v>
      </c>
      <c r="J3424" s="1" t="s">
        <v>204</v>
      </c>
      <c r="K3424" s="1" t="s">
        <v>74</v>
      </c>
      <c r="L3424" s="1" t="s">
        <v>74</v>
      </c>
      <c r="M3424" s="1" t="s">
        <v>78</v>
      </c>
      <c r="N3424" s="1" t="s">
        <v>79</v>
      </c>
      <c r="O3424" s="1" t="s">
        <v>74</v>
      </c>
      <c r="P3424" s="1" t="s">
        <v>74</v>
      </c>
      <c r="Q3424" s="1" t="s">
        <v>74</v>
      </c>
      <c r="R3424" s="1" t="s">
        <v>74</v>
      </c>
      <c r="S3424" s="1" t="s">
        <v>74</v>
      </c>
      <c r="T3424" s="1" t="s">
        <v>54332</v>
      </c>
      <c r="U3424" s="1" t="s">
        <v>54333</v>
      </c>
      <c r="V3424" s="1" t="s">
        <v>54334</v>
      </c>
      <c r="W3424" s="1" t="s">
        <v>54335</v>
      </c>
      <c r="X3424" s="1" t="s">
        <v>54336</v>
      </c>
      <c r="Y3424" s="1" t="s">
        <v>54337</v>
      </c>
      <c r="Z3424" s="1" t="s">
        <v>9057</v>
      </c>
      <c r="AA3424" s="1" t="s">
        <v>74</v>
      </c>
      <c r="AB3424" s="1" t="s">
        <v>54338</v>
      </c>
      <c r="AC3424" s="1" t="s">
        <v>54339</v>
      </c>
      <c r="AD3424" s="1" t="s">
        <v>54339</v>
      </c>
      <c r="AE3424" s="1" t="s">
        <v>54340</v>
      </c>
      <c r="AF3424" s="1" t="s">
        <v>74</v>
      </c>
      <c r="AG3424" s="1">
        <v>57</v>
      </c>
      <c r="AH3424" s="1">
        <v>13</v>
      </c>
      <c r="AI3424" s="1">
        <v>13</v>
      </c>
      <c r="AJ3424" s="1">
        <v>0</v>
      </c>
      <c r="AK3424" s="1">
        <v>16</v>
      </c>
      <c r="AL3424" s="1" t="s">
        <v>217</v>
      </c>
      <c r="AM3424" s="1" t="s">
        <v>218</v>
      </c>
      <c r="AN3424" s="1" t="s">
        <v>219</v>
      </c>
      <c r="AO3424" s="1" t="s">
        <v>220</v>
      </c>
      <c r="AP3424" s="1" t="s">
        <v>221</v>
      </c>
      <c r="AQ3424" s="1" t="s">
        <v>74</v>
      </c>
      <c r="AR3424" s="1" t="s">
        <v>222</v>
      </c>
      <c r="AS3424" s="1" t="s">
        <v>223</v>
      </c>
      <c r="AT3424" s="1" t="s">
        <v>305</v>
      </c>
      <c r="AU3424" s="1">
        <v>2018</v>
      </c>
      <c r="AV3424" s="1">
        <v>25</v>
      </c>
      <c r="AW3424" s="1">
        <v>27</v>
      </c>
      <c r="AX3424" s="1" t="s">
        <v>74</v>
      </c>
      <c r="AY3424" s="1" t="s">
        <v>74</v>
      </c>
      <c r="AZ3424" s="1" t="s">
        <v>225</v>
      </c>
      <c r="BA3424" s="1" t="s">
        <v>74</v>
      </c>
      <c r="BB3424" s="1">
        <v>26939</v>
      </c>
      <c r="BC3424" s="1">
        <v>26956</v>
      </c>
      <c r="BD3424" s="1" t="s">
        <v>74</v>
      </c>
      <c r="BE3424" s="1" t="s">
        <v>54341</v>
      </c>
      <c r="BF3424" s="1" t="str">
        <f>HYPERLINK("http://dx.doi.org/10.1007/s11356-018-2728-1","http://dx.doi.org/10.1007/s11356-018-2728-1")</f>
        <v>http://dx.doi.org/10.1007/s11356-018-2728-1</v>
      </c>
      <c r="BG3424" s="1" t="s">
        <v>74</v>
      </c>
      <c r="BH3424" s="1" t="s">
        <v>74</v>
      </c>
      <c r="BI3424" s="1">
        <v>18</v>
      </c>
      <c r="BJ3424" s="1" t="s">
        <v>144</v>
      </c>
      <c r="BK3424" s="1" t="s">
        <v>96</v>
      </c>
      <c r="BL3424" s="1" t="s">
        <v>145</v>
      </c>
      <c r="BM3424" s="1" t="s">
        <v>54342</v>
      </c>
      <c r="BN3424" s="1">
        <v>30008162</v>
      </c>
      <c r="BO3424" s="1" t="s">
        <v>2784</v>
      </c>
      <c r="BP3424" s="1" t="s">
        <v>74</v>
      </c>
      <c r="BQ3424" s="1" t="s">
        <v>74</v>
      </c>
      <c r="BR3424" s="1" t="s">
        <v>98</v>
      </c>
      <c r="BS3424" s="1" t="s">
        <v>54343</v>
      </c>
      <c r="BT3424" s="1" t="str">
        <f>HYPERLINK("https%3A%2F%2Fwww.webofscience.com%2Fwos%2Fwoscc%2Ffull-record%2FWOS:000444202800025","View Full Record in Web of Science")</f>
        <v>View Full Record in Web of Science</v>
      </c>
      <c r="BU3424" s="1"/>
      <c r="BV3424" s="1"/>
    </row>
    <row r="3425" spans="1:74">
      <c r="A3425" s="1" t="s">
        <v>72</v>
      </c>
      <c r="B3425" s="1" t="s">
        <v>54344</v>
      </c>
      <c r="C3425" s="1" t="s">
        <v>74</v>
      </c>
      <c r="D3425" s="1" t="s">
        <v>74</v>
      </c>
      <c r="E3425" s="1" t="s">
        <v>74</v>
      </c>
      <c r="F3425" s="1" t="s">
        <v>54344</v>
      </c>
      <c r="G3425" s="1" t="s">
        <v>74</v>
      </c>
      <c r="H3425" s="1" t="s">
        <v>74</v>
      </c>
      <c r="I3425" s="1" t="s">
        <v>54345</v>
      </c>
      <c r="J3425" s="1" t="s">
        <v>641</v>
      </c>
      <c r="K3425" s="1" t="s">
        <v>74</v>
      </c>
      <c r="L3425" s="1" t="s">
        <v>74</v>
      </c>
      <c r="M3425" s="1" t="s">
        <v>78</v>
      </c>
      <c r="N3425" s="1" t="s">
        <v>79</v>
      </c>
      <c r="O3425" s="1" t="s">
        <v>74</v>
      </c>
      <c r="P3425" s="1" t="s">
        <v>74</v>
      </c>
      <c r="Q3425" s="1" t="s">
        <v>74</v>
      </c>
      <c r="R3425" s="1" t="s">
        <v>74</v>
      </c>
      <c r="S3425" s="1" t="s">
        <v>74</v>
      </c>
      <c r="T3425" s="1" t="s">
        <v>54346</v>
      </c>
      <c r="U3425" s="1" t="s">
        <v>54347</v>
      </c>
      <c r="V3425" s="1" t="s">
        <v>54348</v>
      </c>
      <c r="W3425" s="1" t="s">
        <v>54349</v>
      </c>
      <c r="X3425" s="1" t="s">
        <v>54350</v>
      </c>
      <c r="Y3425" s="1" t="s">
        <v>54351</v>
      </c>
      <c r="Z3425" s="1" t="s">
        <v>38080</v>
      </c>
      <c r="AA3425" s="1" t="s">
        <v>38081</v>
      </c>
      <c r="AB3425" s="1" t="s">
        <v>38082</v>
      </c>
      <c r="AC3425" s="1" t="s">
        <v>74</v>
      </c>
      <c r="AD3425" s="1" t="s">
        <v>74</v>
      </c>
      <c r="AE3425" s="1" t="s">
        <v>74</v>
      </c>
      <c r="AF3425" s="1" t="s">
        <v>74</v>
      </c>
      <c r="AG3425" s="1">
        <v>43</v>
      </c>
      <c r="AH3425" s="1">
        <v>106</v>
      </c>
      <c r="AI3425" s="1">
        <v>118</v>
      </c>
      <c r="AJ3425" s="1">
        <v>1</v>
      </c>
      <c r="AK3425" s="1">
        <v>31</v>
      </c>
      <c r="AL3425" s="1" t="s">
        <v>919</v>
      </c>
      <c r="AM3425" s="1" t="s">
        <v>651</v>
      </c>
      <c r="AN3425" s="1" t="s">
        <v>920</v>
      </c>
      <c r="AO3425" s="1" t="s">
        <v>653</v>
      </c>
      <c r="AP3425" s="1" t="s">
        <v>654</v>
      </c>
      <c r="AQ3425" s="1" t="s">
        <v>74</v>
      </c>
      <c r="AR3425" s="1" t="s">
        <v>655</v>
      </c>
      <c r="AS3425" s="1" t="s">
        <v>656</v>
      </c>
      <c r="AT3425" s="1" t="s">
        <v>16894</v>
      </c>
      <c r="AU3425" s="1">
        <v>2005</v>
      </c>
      <c r="AV3425" s="1">
        <v>73</v>
      </c>
      <c r="AW3425" s="1">
        <v>3</v>
      </c>
      <c r="AX3425" s="1" t="s">
        <v>74</v>
      </c>
      <c r="AY3425" s="1" t="s">
        <v>74</v>
      </c>
      <c r="AZ3425" s="1" t="s">
        <v>74</v>
      </c>
      <c r="BA3425" s="1" t="s">
        <v>74</v>
      </c>
      <c r="BB3425" s="1">
        <v>315</v>
      </c>
      <c r="BC3425" s="1">
        <v>326</v>
      </c>
      <c r="BD3425" s="1" t="s">
        <v>74</v>
      </c>
      <c r="BE3425" s="1" t="s">
        <v>54352</v>
      </c>
      <c r="BF3425" s="1" t="str">
        <f>HYPERLINK("http://dx.doi.org/10.1016/j.aquatox.2005.03.020","http://dx.doi.org/10.1016/j.aquatox.2005.03.020")</f>
        <v>http://dx.doi.org/10.1016/j.aquatox.2005.03.020</v>
      </c>
      <c r="BG3425" s="1" t="s">
        <v>74</v>
      </c>
      <c r="BH3425" s="1" t="s">
        <v>74</v>
      </c>
      <c r="BI3425" s="1">
        <v>12</v>
      </c>
      <c r="BJ3425" s="1" t="s">
        <v>659</v>
      </c>
      <c r="BK3425" s="1" t="s">
        <v>96</v>
      </c>
      <c r="BL3425" s="1" t="s">
        <v>659</v>
      </c>
      <c r="BM3425" s="1" t="s">
        <v>54353</v>
      </c>
      <c r="BN3425" s="1">
        <v>15869813</v>
      </c>
      <c r="BO3425" s="1" t="s">
        <v>74</v>
      </c>
      <c r="BP3425" s="1" t="s">
        <v>74</v>
      </c>
      <c r="BQ3425" s="1" t="s">
        <v>74</v>
      </c>
      <c r="BR3425" s="1" t="s">
        <v>98</v>
      </c>
      <c r="BS3425" s="1" t="s">
        <v>54354</v>
      </c>
      <c r="BT3425" s="1" t="str">
        <f>HYPERLINK("https%3A%2F%2Fwww.webofscience.com%2Fwos%2Fwoscc%2Ffull-record%2FWOS:000229990400008","View Full Record in Web of Science")</f>
        <v>View Full Record in Web of Science</v>
      </c>
      <c r="BU3425" s="1"/>
      <c r="BV3425" s="1"/>
    </row>
    <row r="3426" spans="1:74">
      <c r="A3426" s="1" t="s">
        <v>72</v>
      </c>
      <c r="B3426" s="1" t="s">
        <v>54355</v>
      </c>
      <c r="C3426" s="1" t="s">
        <v>74</v>
      </c>
      <c r="D3426" s="1" t="s">
        <v>74</v>
      </c>
      <c r="E3426" s="1" t="s">
        <v>74</v>
      </c>
      <c r="F3426" s="1" t="s">
        <v>54356</v>
      </c>
      <c r="G3426" s="1" t="s">
        <v>74</v>
      </c>
      <c r="H3426" s="1" t="s">
        <v>74</v>
      </c>
      <c r="I3426" s="1" t="s">
        <v>54357</v>
      </c>
      <c r="J3426" s="1" t="s">
        <v>127</v>
      </c>
      <c r="K3426" s="1" t="s">
        <v>74</v>
      </c>
      <c r="L3426" s="1" t="s">
        <v>74</v>
      </c>
      <c r="M3426" s="1" t="s">
        <v>78</v>
      </c>
      <c r="N3426" s="1" t="s">
        <v>79</v>
      </c>
      <c r="O3426" s="1" t="s">
        <v>74</v>
      </c>
      <c r="P3426" s="1" t="s">
        <v>74</v>
      </c>
      <c r="Q3426" s="1" t="s">
        <v>74</v>
      </c>
      <c r="R3426" s="1" t="s">
        <v>74</v>
      </c>
      <c r="S3426" s="1" t="s">
        <v>74</v>
      </c>
      <c r="T3426" s="1" t="s">
        <v>54358</v>
      </c>
      <c r="U3426" s="1" t="s">
        <v>54359</v>
      </c>
      <c r="V3426" s="1" t="s">
        <v>54360</v>
      </c>
      <c r="W3426" s="1" t="s">
        <v>54361</v>
      </c>
      <c r="X3426" s="1" t="s">
        <v>2180</v>
      </c>
      <c r="Y3426" s="1" t="s">
        <v>54362</v>
      </c>
      <c r="Z3426" s="1" t="s">
        <v>54363</v>
      </c>
      <c r="AA3426" s="1" t="s">
        <v>54364</v>
      </c>
      <c r="AB3426" s="1" t="s">
        <v>74</v>
      </c>
      <c r="AC3426" s="1" t="s">
        <v>54365</v>
      </c>
      <c r="AD3426" s="1" t="s">
        <v>54366</v>
      </c>
      <c r="AE3426" s="1" t="s">
        <v>54367</v>
      </c>
      <c r="AF3426" s="1" t="s">
        <v>74</v>
      </c>
      <c r="AG3426" s="1">
        <v>62</v>
      </c>
      <c r="AH3426" s="1">
        <v>48</v>
      </c>
      <c r="AI3426" s="1">
        <v>51</v>
      </c>
      <c r="AJ3426" s="1">
        <v>1</v>
      </c>
      <c r="AK3426" s="1">
        <v>25</v>
      </c>
      <c r="AL3426" s="1" t="s">
        <v>136</v>
      </c>
      <c r="AM3426" s="1" t="s">
        <v>137</v>
      </c>
      <c r="AN3426" s="1" t="s">
        <v>138</v>
      </c>
      <c r="AO3426" s="1" t="s">
        <v>139</v>
      </c>
      <c r="AP3426" s="1" t="s">
        <v>140</v>
      </c>
      <c r="AQ3426" s="1" t="s">
        <v>74</v>
      </c>
      <c r="AR3426" s="1" t="s">
        <v>127</v>
      </c>
      <c r="AS3426" s="1" t="s">
        <v>141</v>
      </c>
      <c r="AT3426" s="1" t="s">
        <v>93</v>
      </c>
      <c r="AU3426" s="1">
        <v>2009</v>
      </c>
      <c r="AV3426" s="1">
        <v>75</v>
      </c>
      <c r="AW3426" s="1">
        <v>3</v>
      </c>
      <c r="AX3426" s="1" t="s">
        <v>74</v>
      </c>
      <c r="AY3426" s="1" t="s">
        <v>74</v>
      </c>
      <c r="AZ3426" s="1" t="s">
        <v>74</v>
      </c>
      <c r="BA3426" s="1" t="s">
        <v>74</v>
      </c>
      <c r="BB3426" s="1">
        <v>389</v>
      </c>
      <c r="BC3426" s="1">
        <v>397</v>
      </c>
      <c r="BD3426" s="1" t="s">
        <v>74</v>
      </c>
      <c r="BE3426" s="1" t="s">
        <v>54368</v>
      </c>
      <c r="BF3426" s="1" t="str">
        <f>HYPERLINK("http://dx.doi.org/10.1016/j.chemosphere.2008.12.027","http://dx.doi.org/10.1016/j.chemosphere.2008.12.027")</f>
        <v>http://dx.doi.org/10.1016/j.chemosphere.2008.12.027</v>
      </c>
      <c r="BG3426" s="1" t="s">
        <v>74</v>
      </c>
      <c r="BH3426" s="1" t="s">
        <v>74</v>
      </c>
      <c r="BI3426" s="1">
        <v>9</v>
      </c>
      <c r="BJ3426" s="1" t="s">
        <v>144</v>
      </c>
      <c r="BK3426" s="1" t="s">
        <v>96</v>
      </c>
      <c r="BL3426" s="1" t="s">
        <v>145</v>
      </c>
      <c r="BM3426" s="1" t="s">
        <v>54369</v>
      </c>
      <c r="BN3426" s="1">
        <v>19171366</v>
      </c>
      <c r="BO3426" s="1" t="s">
        <v>74</v>
      </c>
      <c r="BP3426" s="1" t="s">
        <v>74</v>
      </c>
      <c r="BQ3426" s="1" t="s">
        <v>74</v>
      </c>
      <c r="BR3426" s="1" t="s">
        <v>98</v>
      </c>
      <c r="BS3426" s="1" t="s">
        <v>54370</v>
      </c>
      <c r="BT3426" s="1" t="str">
        <f>HYPERLINK("https%3A%2F%2Fwww.webofscience.com%2Fwos%2Fwoscc%2Ffull-record%2FWOS:000265720600017","View Full Record in Web of Science")</f>
        <v>View Full Record in Web of Science</v>
      </c>
      <c r="BU3426" s="1"/>
      <c r="BV3426" s="1"/>
    </row>
    <row r="3427" spans="1:74">
      <c r="A3427" s="1" t="s">
        <v>72</v>
      </c>
      <c r="B3427" s="1" t="s">
        <v>54371</v>
      </c>
      <c r="C3427" s="1" t="s">
        <v>74</v>
      </c>
      <c r="D3427" s="1" t="s">
        <v>74</v>
      </c>
      <c r="E3427" s="1" t="s">
        <v>74</v>
      </c>
      <c r="F3427" s="1" t="s">
        <v>54371</v>
      </c>
      <c r="G3427" s="1" t="s">
        <v>74</v>
      </c>
      <c r="H3427" s="1" t="s">
        <v>74</v>
      </c>
      <c r="I3427" s="1" t="s">
        <v>54372</v>
      </c>
      <c r="J3427" s="1" t="s">
        <v>232</v>
      </c>
      <c r="K3427" s="1" t="s">
        <v>74</v>
      </c>
      <c r="L3427" s="1" t="s">
        <v>74</v>
      </c>
      <c r="M3427" s="1" t="s">
        <v>78</v>
      </c>
      <c r="N3427" s="1" t="s">
        <v>79</v>
      </c>
      <c r="O3427" s="1" t="s">
        <v>74</v>
      </c>
      <c r="P3427" s="1" t="s">
        <v>74</v>
      </c>
      <c r="Q3427" s="1" t="s">
        <v>74</v>
      </c>
      <c r="R3427" s="1" t="s">
        <v>74</v>
      </c>
      <c r="S3427" s="1" t="s">
        <v>74</v>
      </c>
      <c r="T3427" s="1" t="s">
        <v>74</v>
      </c>
      <c r="U3427" s="1" t="s">
        <v>54373</v>
      </c>
      <c r="V3427" s="1" t="s">
        <v>54374</v>
      </c>
      <c r="W3427" s="1" t="s">
        <v>54375</v>
      </c>
      <c r="X3427" s="1" t="s">
        <v>7947</v>
      </c>
      <c r="Y3427" s="1" t="s">
        <v>24108</v>
      </c>
      <c r="Z3427" s="1" t="s">
        <v>54376</v>
      </c>
      <c r="AA3427" s="1" t="s">
        <v>74</v>
      </c>
      <c r="AB3427" s="1" t="s">
        <v>74</v>
      </c>
      <c r="AC3427" s="1" t="s">
        <v>74</v>
      </c>
      <c r="AD3427" s="1" t="s">
        <v>74</v>
      </c>
      <c r="AE3427" s="1" t="s">
        <v>74</v>
      </c>
      <c r="AF3427" s="1" t="s">
        <v>74</v>
      </c>
      <c r="AG3427" s="1">
        <v>62</v>
      </c>
      <c r="AH3427" s="1">
        <v>60</v>
      </c>
      <c r="AI3427" s="1">
        <v>64</v>
      </c>
      <c r="AJ3427" s="1">
        <v>3</v>
      </c>
      <c r="AK3427" s="1">
        <v>43</v>
      </c>
      <c r="AL3427" s="1" t="s">
        <v>136</v>
      </c>
      <c r="AM3427" s="1" t="s">
        <v>137</v>
      </c>
      <c r="AN3427" s="1" t="s">
        <v>138</v>
      </c>
      <c r="AO3427" s="1" t="s">
        <v>240</v>
      </c>
      <c r="AP3427" s="1" t="s">
        <v>241</v>
      </c>
      <c r="AQ3427" s="1" t="s">
        <v>74</v>
      </c>
      <c r="AR3427" s="1" t="s">
        <v>242</v>
      </c>
      <c r="AS3427" s="1" t="s">
        <v>243</v>
      </c>
      <c r="AT3427" s="1" t="s">
        <v>951</v>
      </c>
      <c r="AU3427" s="1">
        <v>2001</v>
      </c>
      <c r="AV3427" s="1">
        <v>42</v>
      </c>
      <c r="AW3427" s="1">
        <v>11</v>
      </c>
      <c r="AX3427" s="1" t="s">
        <v>74</v>
      </c>
      <c r="AY3427" s="1" t="s">
        <v>74</v>
      </c>
      <c r="AZ3427" s="1" t="s">
        <v>74</v>
      </c>
      <c r="BA3427" s="1" t="s">
        <v>74</v>
      </c>
      <c r="BB3427" s="1">
        <v>1017</v>
      </c>
      <c r="BC3427" s="1">
        <v>1030</v>
      </c>
      <c r="BD3427" s="1" t="s">
        <v>74</v>
      </c>
      <c r="BE3427" s="1" t="s">
        <v>54377</v>
      </c>
      <c r="BF3427" s="1" t="str">
        <f>HYPERLINK("http://dx.doi.org/10.1016/S0025-326X(00)00236-8","http://dx.doi.org/10.1016/S0025-326X(00)00236-8")</f>
        <v>http://dx.doi.org/10.1016/S0025-326X(00)00236-8</v>
      </c>
      <c r="BG3427" s="1" t="s">
        <v>74</v>
      </c>
      <c r="BH3427" s="1" t="s">
        <v>74</v>
      </c>
      <c r="BI3427" s="1">
        <v>14</v>
      </c>
      <c r="BJ3427" s="1" t="s">
        <v>247</v>
      </c>
      <c r="BK3427" s="1" t="s">
        <v>96</v>
      </c>
      <c r="BL3427" s="1" t="s">
        <v>248</v>
      </c>
      <c r="BM3427" s="1" t="s">
        <v>23562</v>
      </c>
      <c r="BN3427" s="1">
        <v>11763212</v>
      </c>
      <c r="BO3427" s="1" t="s">
        <v>74</v>
      </c>
      <c r="BP3427" s="1" t="s">
        <v>74</v>
      </c>
      <c r="BQ3427" s="1" t="s">
        <v>74</v>
      </c>
      <c r="BR3427" s="1" t="s">
        <v>98</v>
      </c>
      <c r="BS3427" s="1" t="s">
        <v>54378</v>
      </c>
      <c r="BT3427" s="1" t="str">
        <f>HYPERLINK("https%3A%2F%2Fwww.webofscience.com%2Fwos%2Fwoscc%2Ffull-record%2FWOS:000172356900012","View Full Record in Web of Science")</f>
        <v>View Full Record in Web of Science</v>
      </c>
      <c r="BU3427" s="1"/>
      <c r="BV3427" s="1"/>
    </row>
    <row r="3428" spans="1:74">
      <c r="A3428" s="1" t="s">
        <v>72</v>
      </c>
      <c r="B3428" s="1" t="s">
        <v>54379</v>
      </c>
      <c r="C3428" s="1" t="s">
        <v>74</v>
      </c>
      <c r="D3428" s="1" t="s">
        <v>74</v>
      </c>
      <c r="E3428" s="1" t="s">
        <v>74</v>
      </c>
      <c r="F3428" s="1" t="s">
        <v>54380</v>
      </c>
      <c r="G3428" s="1" t="s">
        <v>74</v>
      </c>
      <c r="H3428" s="1" t="s">
        <v>74</v>
      </c>
      <c r="I3428" s="1" t="s">
        <v>54381</v>
      </c>
      <c r="J3428" s="1" t="s">
        <v>44497</v>
      </c>
      <c r="K3428" s="1" t="s">
        <v>74</v>
      </c>
      <c r="L3428" s="1" t="s">
        <v>74</v>
      </c>
      <c r="M3428" s="1" t="s">
        <v>78</v>
      </c>
      <c r="N3428" s="1" t="s">
        <v>79</v>
      </c>
      <c r="O3428" s="1" t="s">
        <v>74</v>
      </c>
      <c r="P3428" s="1" t="s">
        <v>74</v>
      </c>
      <c r="Q3428" s="1" t="s">
        <v>74</v>
      </c>
      <c r="R3428" s="1" t="s">
        <v>74</v>
      </c>
      <c r="S3428" s="1" t="s">
        <v>74</v>
      </c>
      <c r="T3428" s="1" t="s">
        <v>54382</v>
      </c>
      <c r="U3428" s="1" t="s">
        <v>54383</v>
      </c>
      <c r="V3428" s="1" t="s">
        <v>54384</v>
      </c>
      <c r="W3428" s="1" t="s">
        <v>54385</v>
      </c>
      <c r="X3428" s="1" t="s">
        <v>54386</v>
      </c>
      <c r="Y3428" s="1" t="s">
        <v>35966</v>
      </c>
      <c r="Z3428" s="1" t="s">
        <v>30288</v>
      </c>
      <c r="AA3428" s="1" t="s">
        <v>54387</v>
      </c>
      <c r="AB3428" s="1" t="s">
        <v>54388</v>
      </c>
      <c r="AC3428" s="1" t="s">
        <v>54389</v>
      </c>
      <c r="AD3428" s="1" t="s">
        <v>35970</v>
      </c>
      <c r="AE3428" s="1" t="s">
        <v>54390</v>
      </c>
      <c r="AF3428" s="1" t="s">
        <v>74</v>
      </c>
      <c r="AG3428" s="1">
        <v>67</v>
      </c>
      <c r="AH3428" s="1">
        <v>34</v>
      </c>
      <c r="AI3428" s="1">
        <v>35</v>
      </c>
      <c r="AJ3428" s="1">
        <v>1</v>
      </c>
      <c r="AK3428" s="1">
        <v>36</v>
      </c>
      <c r="AL3428" s="1" t="s">
        <v>2074</v>
      </c>
      <c r="AM3428" s="1" t="s">
        <v>2075</v>
      </c>
      <c r="AN3428" s="1" t="s">
        <v>2076</v>
      </c>
      <c r="AO3428" s="1" t="s">
        <v>44509</v>
      </c>
      <c r="AP3428" s="1" t="s">
        <v>44510</v>
      </c>
      <c r="AQ3428" s="1" t="s">
        <v>74</v>
      </c>
      <c r="AR3428" s="1" t="s">
        <v>44497</v>
      </c>
      <c r="AS3428" s="1" t="s">
        <v>44511</v>
      </c>
      <c r="AT3428" s="1" t="s">
        <v>74</v>
      </c>
      <c r="AU3428" s="1">
        <v>2016</v>
      </c>
      <c r="AV3428" s="1">
        <v>10</v>
      </c>
      <c r="AW3428" s="1">
        <v>6</v>
      </c>
      <c r="AX3428" s="1" t="s">
        <v>74</v>
      </c>
      <c r="AY3428" s="1" t="s">
        <v>74</v>
      </c>
      <c r="AZ3428" s="1" t="s">
        <v>74</v>
      </c>
      <c r="BA3428" s="1" t="s">
        <v>74</v>
      </c>
      <c r="BB3428" s="1">
        <v>807</v>
      </c>
      <c r="BC3428" s="1">
        <v>817</v>
      </c>
      <c r="BD3428" s="1" t="s">
        <v>74</v>
      </c>
      <c r="BE3428" s="1" t="s">
        <v>54391</v>
      </c>
      <c r="BF3428" s="1" t="str">
        <f>HYPERLINK("http://dx.doi.org/10.3109/17435390.2015.1132348","http://dx.doi.org/10.3109/17435390.2015.1132348")</f>
        <v>http://dx.doi.org/10.3109/17435390.2015.1132348</v>
      </c>
      <c r="BG3428" s="1" t="s">
        <v>74</v>
      </c>
      <c r="BH3428" s="1" t="s">
        <v>74</v>
      </c>
      <c r="BI3428" s="1">
        <v>11</v>
      </c>
      <c r="BJ3428" s="1" t="s">
        <v>44513</v>
      </c>
      <c r="BK3428" s="1" t="s">
        <v>96</v>
      </c>
      <c r="BL3428" s="1" t="s">
        <v>44514</v>
      </c>
      <c r="BM3428" s="1" t="s">
        <v>54392</v>
      </c>
      <c r="BN3428" s="1">
        <v>26846715</v>
      </c>
      <c r="BO3428" s="1" t="s">
        <v>74</v>
      </c>
      <c r="BP3428" s="1" t="s">
        <v>74</v>
      </c>
      <c r="BQ3428" s="1" t="s">
        <v>74</v>
      </c>
      <c r="BR3428" s="1" t="s">
        <v>98</v>
      </c>
      <c r="BS3428" s="1" t="s">
        <v>54393</v>
      </c>
      <c r="BT3428" s="1" t="str">
        <f>HYPERLINK("https%3A%2F%2Fwww.webofscience.com%2Fwos%2Fwoscc%2Ffull-record%2FWOS:000379248300017","View Full Record in Web of Science")</f>
        <v>View Full Record in Web of Science</v>
      </c>
      <c r="BU3428" s="1"/>
      <c r="BV3428" s="1"/>
    </row>
    <row r="3429" spans="1:74">
      <c r="A3429" s="1" t="s">
        <v>72</v>
      </c>
      <c r="B3429" s="1" t="s">
        <v>54394</v>
      </c>
      <c r="C3429" s="1" t="s">
        <v>74</v>
      </c>
      <c r="D3429" s="1" t="s">
        <v>74</v>
      </c>
      <c r="E3429" s="1" t="s">
        <v>74</v>
      </c>
      <c r="F3429" s="1" t="s">
        <v>54395</v>
      </c>
      <c r="G3429" s="1" t="s">
        <v>74</v>
      </c>
      <c r="H3429" s="1" t="s">
        <v>74</v>
      </c>
      <c r="I3429" s="1" t="s">
        <v>54396</v>
      </c>
      <c r="J3429" s="1" t="s">
        <v>704</v>
      </c>
      <c r="K3429" s="1" t="s">
        <v>74</v>
      </c>
      <c r="L3429" s="1" t="s">
        <v>74</v>
      </c>
      <c r="M3429" s="1" t="s">
        <v>78</v>
      </c>
      <c r="N3429" s="1" t="s">
        <v>79</v>
      </c>
      <c r="O3429" s="1" t="s">
        <v>74</v>
      </c>
      <c r="P3429" s="1" t="s">
        <v>74</v>
      </c>
      <c r="Q3429" s="1" t="s">
        <v>74</v>
      </c>
      <c r="R3429" s="1" t="s">
        <v>74</v>
      </c>
      <c r="S3429" s="1" t="s">
        <v>74</v>
      </c>
      <c r="T3429" s="1" t="s">
        <v>54397</v>
      </c>
      <c r="U3429" s="1" t="s">
        <v>54398</v>
      </c>
      <c r="V3429" s="1" t="s">
        <v>54399</v>
      </c>
      <c r="W3429" s="1" t="s">
        <v>54400</v>
      </c>
      <c r="X3429" s="1" t="s">
        <v>54401</v>
      </c>
      <c r="Y3429" s="1" t="s">
        <v>54402</v>
      </c>
      <c r="Z3429" s="1" t="s">
        <v>54403</v>
      </c>
      <c r="AA3429" s="1" t="s">
        <v>54404</v>
      </c>
      <c r="AB3429" s="1" t="s">
        <v>54405</v>
      </c>
      <c r="AC3429" s="1" t="s">
        <v>54406</v>
      </c>
      <c r="AD3429" s="1" t="s">
        <v>54407</v>
      </c>
      <c r="AE3429" s="1" t="s">
        <v>54408</v>
      </c>
      <c r="AF3429" s="1" t="s">
        <v>74</v>
      </c>
      <c r="AG3429" s="1">
        <v>67</v>
      </c>
      <c r="AH3429" s="1">
        <v>7</v>
      </c>
      <c r="AI3429" s="1">
        <v>7</v>
      </c>
      <c r="AJ3429" s="1">
        <v>2</v>
      </c>
      <c r="AK3429" s="1">
        <v>44</v>
      </c>
      <c r="AL3429" s="1" t="s">
        <v>1166</v>
      </c>
      <c r="AM3429" s="1" t="s">
        <v>1167</v>
      </c>
      <c r="AN3429" s="1" t="s">
        <v>1168</v>
      </c>
      <c r="AO3429" s="1" t="s">
        <v>718</v>
      </c>
      <c r="AP3429" s="1" t="s">
        <v>1169</v>
      </c>
      <c r="AQ3429" s="1" t="s">
        <v>74</v>
      </c>
      <c r="AR3429" s="1" t="s">
        <v>719</v>
      </c>
      <c r="AS3429" s="1" t="s">
        <v>720</v>
      </c>
      <c r="AT3429" s="1" t="s">
        <v>305</v>
      </c>
      <c r="AU3429" s="1">
        <v>2012</v>
      </c>
      <c r="AV3429" s="1">
        <v>223</v>
      </c>
      <c r="AW3429" s="1">
        <v>7</v>
      </c>
      <c r="AX3429" s="1" t="s">
        <v>74</v>
      </c>
      <c r="AY3429" s="1" t="s">
        <v>74</v>
      </c>
      <c r="AZ3429" s="1" t="s">
        <v>74</v>
      </c>
      <c r="BA3429" s="1" t="s">
        <v>74</v>
      </c>
      <c r="BB3429" s="1">
        <v>4383</v>
      </c>
      <c r="BC3429" s="1">
        <v>4395</v>
      </c>
      <c r="BD3429" s="1" t="s">
        <v>74</v>
      </c>
      <c r="BE3429" s="1" t="s">
        <v>54409</v>
      </c>
      <c r="BF3429" s="1" t="str">
        <f>HYPERLINK("http://dx.doi.org/10.1007/s11270-012-1202-9","http://dx.doi.org/10.1007/s11270-012-1202-9")</f>
        <v>http://dx.doi.org/10.1007/s11270-012-1202-9</v>
      </c>
      <c r="BG3429" s="1" t="s">
        <v>74</v>
      </c>
      <c r="BH3429" s="1" t="s">
        <v>74</v>
      </c>
      <c r="BI3429" s="1">
        <v>13</v>
      </c>
      <c r="BJ3429" s="1" t="s">
        <v>722</v>
      </c>
      <c r="BK3429" s="1" t="s">
        <v>96</v>
      </c>
      <c r="BL3429" s="1" t="s">
        <v>723</v>
      </c>
      <c r="BM3429" s="1" t="s">
        <v>36626</v>
      </c>
      <c r="BN3429" s="1" t="s">
        <v>74</v>
      </c>
      <c r="BO3429" s="1" t="s">
        <v>74</v>
      </c>
      <c r="BP3429" s="1" t="s">
        <v>74</v>
      </c>
      <c r="BQ3429" s="1" t="s">
        <v>74</v>
      </c>
      <c r="BR3429" s="1" t="s">
        <v>98</v>
      </c>
      <c r="BS3429" s="1" t="s">
        <v>54410</v>
      </c>
      <c r="BT3429" s="1" t="str">
        <f>HYPERLINK("https%3A%2F%2Fwww.webofscience.com%2Fwos%2Fwoscc%2Ffull-record%2FWOS:000307276400065","View Full Record in Web of Science")</f>
        <v>View Full Record in Web of Science</v>
      </c>
      <c r="BU3429" s="1"/>
      <c r="BV3429" s="1"/>
    </row>
    <row r="3430" spans="1:74">
      <c r="A3430" s="1" t="s">
        <v>72</v>
      </c>
      <c r="B3430" s="1" t="s">
        <v>54411</v>
      </c>
      <c r="C3430" s="1" t="s">
        <v>74</v>
      </c>
      <c r="D3430" s="1" t="s">
        <v>74</v>
      </c>
      <c r="E3430" s="1" t="s">
        <v>74</v>
      </c>
      <c r="F3430" s="1" t="s">
        <v>54411</v>
      </c>
      <c r="G3430" s="1" t="s">
        <v>74</v>
      </c>
      <c r="H3430" s="1" t="s">
        <v>74</v>
      </c>
      <c r="I3430" s="1" t="s">
        <v>54412</v>
      </c>
      <c r="J3430" s="1" t="s">
        <v>38983</v>
      </c>
      <c r="K3430" s="1" t="s">
        <v>74</v>
      </c>
      <c r="L3430" s="1" t="s">
        <v>74</v>
      </c>
      <c r="M3430" s="1" t="s">
        <v>78</v>
      </c>
      <c r="N3430" s="1" t="s">
        <v>151</v>
      </c>
      <c r="O3430" s="1" t="s">
        <v>54413</v>
      </c>
      <c r="P3430" s="1" t="s">
        <v>54414</v>
      </c>
      <c r="Q3430" s="1" t="s">
        <v>54415</v>
      </c>
      <c r="R3430" s="1" t="s">
        <v>74</v>
      </c>
      <c r="S3430" s="1" t="s">
        <v>74</v>
      </c>
      <c r="T3430" s="1" t="s">
        <v>54416</v>
      </c>
      <c r="U3430" s="1" t="s">
        <v>54417</v>
      </c>
      <c r="V3430" s="1" t="s">
        <v>54418</v>
      </c>
      <c r="W3430" s="1" t="s">
        <v>54419</v>
      </c>
      <c r="X3430" s="1" t="s">
        <v>17074</v>
      </c>
      <c r="Y3430" s="1" t="s">
        <v>54420</v>
      </c>
      <c r="Z3430" s="1" t="s">
        <v>54421</v>
      </c>
      <c r="AA3430" s="1" t="s">
        <v>54422</v>
      </c>
      <c r="AB3430" s="1" t="s">
        <v>54423</v>
      </c>
      <c r="AC3430" s="1" t="s">
        <v>74</v>
      </c>
      <c r="AD3430" s="1" t="s">
        <v>74</v>
      </c>
      <c r="AE3430" s="1" t="s">
        <v>74</v>
      </c>
      <c r="AF3430" s="1" t="s">
        <v>74</v>
      </c>
      <c r="AG3430" s="1">
        <v>24</v>
      </c>
      <c r="AH3430" s="1">
        <v>36</v>
      </c>
      <c r="AI3430" s="1">
        <v>37</v>
      </c>
      <c r="AJ3430" s="1">
        <v>0</v>
      </c>
      <c r="AK3430" s="1">
        <v>12</v>
      </c>
      <c r="AL3430" s="1" t="s">
        <v>217</v>
      </c>
      <c r="AM3430" s="1" t="s">
        <v>218</v>
      </c>
      <c r="AN3430" s="1" t="s">
        <v>219</v>
      </c>
      <c r="AO3430" s="1" t="s">
        <v>38993</v>
      </c>
      <c r="AP3430" s="1" t="s">
        <v>38994</v>
      </c>
      <c r="AQ3430" s="1" t="s">
        <v>74</v>
      </c>
      <c r="AR3430" s="1" t="s">
        <v>38995</v>
      </c>
      <c r="AS3430" s="1" t="s">
        <v>38996</v>
      </c>
      <c r="AT3430" s="1" t="s">
        <v>224</v>
      </c>
      <c r="AU3430" s="1">
        <v>2006</v>
      </c>
      <c r="AV3430" s="1">
        <v>384</v>
      </c>
      <c r="AW3430" s="1">
        <v>4</v>
      </c>
      <c r="AX3430" s="1" t="s">
        <v>74</v>
      </c>
      <c r="AY3430" s="1" t="s">
        <v>74</v>
      </c>
      <c r="AZ3430" s="1" t="s">
        <v>74</v>
      </c>
      <c r="BA3430" s="1" t="s">
        <v>74</v>
      </c>
      <c r="BB3430" s="1">
        <v>887</v>
      </c>
      <c r="BC3430" s="1">
        <v>896</v>
      </c>
      <c r="BD3430" s="1" t="s">
        <v>74</v>
      </c>
      <c r="BE3430" s="1" t="s">
        <v>54424</v>
      </c>
      <c r="BF3430" s="1" t="str">
        <f>HYPERLINK("http://dx.doi.org/10.1007/s00216-005-0256-6","http://dx.doi.org/10.1007/s00216-005-0256-6")</f>
        <v>http://dx.doi.org/10.1007/s00216-005-0256-6</v>
      </c>
      <c r="BG3430" s="1" t="s">
        <v>74</v>
      </c>
      <c r="BH3430" s="1" t="s">
        <v>74</v>
      </c>
      <c r="BI3430" s="1">
        <v>10</v>
      </c>
      <c r="BJ3430" s="1" t="s">
        <v>14155</v>
      </c>
      <c r="BK3430" s="1" t="s">
        <v>172</v>
      </c>
      <c r="BL3430" s="1" t="s">
        <v>2153</v>
      </c>
      <c r="BM3430" s="1" t="s">
        <v>54425</v>
      </c>
      <c r="BN3430" s="1">
        <v>16465505</v>
      </c>
      <c r="BO3430" s="1" t="s">
        <v>74</v>
      </c>
      <c r="BP3430" s="1" t="s">
        <v>74</v>
      </c>
      <c r="BQ3430" s="1" t="s">
        <v>74</v>
      </c>
      <c r="BR3430" s="1" t="s">
        <v>98</v>
      </c>
      <c r="BS3430" s="1" t="s">
        <v>54426</v>
      </c>
      <c r="BT3430" s="1" t="str">
        <f>HYPERLINK("https%3A%2F%2Fwww.webofscience.com%2Fwos%2Fwoscc%2Ffull-record%2FWOS:000236031500005","View Full Record in Web of Science")</f>
        <v>View Full Record in Web of Science</v>
      </c>
      <c r="BU3430" s="1"/>
      <c r="BV3430" s="1"/>
    </row>
    <row r="3431" spans="1:74">
      <c r="A3431" s="1" t="s">
        <v>72</v>
      </c>
      <c r="B3431" s="1" t="s">
        <v>54427</v>
      </c>
      <c r="C3431" s="1" t="s">
        <v>74</v>
      </c>
      <c r="D3431" s="1" t="s">
        <v>74</v>
      </c>
      <c r="E3431" s="1" t="s">
        <v>74</v>
      </c>
      <c r="F3431" s="1" t="s">
        <v>54428</v>
      </c>
      <c r="G3431" s="1" t="s">
        <v>74</v>
      </c>
      <c r="H3431" s="1" t="s">
        <v>74</v>
      </c>
      <c r="I3431" s="1" t="s">
        <v>54429</v>
      </c>
      <c r="J3431" s="1" t="s">
        <v>641</v>
      </c>
      <c r="K3431" s="1" t="s">
        <v>74</v>
      </c>
      <c r="L3431" s="1" t="s">
        <v>74</v>
      </c>
      <c r="M3431" s="1" t="s">
        <v>78</v>
      </c>
      <c r="N3431" s="1" t="s">
        <v>79</v>
      </c>
      <c r="O3431" s="1" t="s">
        <v>74</v>
      </c>
      <c r="P3431" s="1" t="s">
        <v>74</v>
      </c>
      <c r="Q3431" s="1" t="s">
        <v>74</v>
      </c>
      <c r="R3431" s="1" t="s">
        <v>74</v>
      </c>
      <c r="S3431" s="1" t="s">
        <v>74</v>
      </c>
      <c r="T3431" s="1" t="s">
        <v>54430</v>
      </c>
      <c r="U3431" s="1" t="s">
        <v>54431</v>
      </c>
      <c r="V3431" s="1" t="s">
        <v>54432</v>
      </c>
      <c r="W3431" s="1" t="s">
        <v>54433</v>
      </c>
      <c r="X3431" s="1" t="s">
        <v>54434</v>
      </c>
      <c r="Y3431" s="1" t="s">
        <v>54435</v>
      </c>
      <c r="Z3431" s="1" t="s">
        <v>28576</v>
      </c>
      <c r="AA3431" s="1" t="s">
        <v>54436</v>
      </c>
      <c r="AB3431" s="1" t="s">
        <v>54437</v>
      </c>
      <c r="AC3431" s="1" t="s">
        <v>54438</v>
      </c>
      <c r="AD3431" s="1" t="s">
        <v>54439</v>
      </c>
      <c r="AE3431" s="1" t="s">
        <v>54440</v>
      </c>
      <c r="AF3431" s="1" t="s">
        <v>74</v>
      </c>
      <c r="AG3431" s="1">
        <v>34</v>
      </c>
      <c r="AH3431" s="1">
        <v>24</v>
      </c>
      <c r="AI3431" s="1">
        <v>27</v>
      </c>
      <c r="AJ3431" s="1">
        <v>1</v>
      </c>
      <c r="AK3431" s="1">
        <v>13</v>
      </c>
      <c r="AL3431" s="1" t="s">
        <v>650</v>
      </c>
      <c r="AM3431" s="1" t="s">
        <v>651</v>
      </c>
      <c r="AN3431" s="1" t="s">
        <v>652</v>
      </c>
      <c r="AO3431" s="1" t="s">
        <v>653</v>
      </c>
      <c r="AP3431" s="1" t="s">
        <v>654</v>
      </c>
      <c r="AQ3431" s="1" t="s">
        <v>74</v>
      </c>
      <c r="AR3431" s="1" t="s">
        <v>655</v>
      </c>
      <c r="AS3431" s="1" t="s">
        <v>656</v>
      </c>
      <c r="AT3431" s="1" t="s">
        <v>224</v>
      </c>
      <c r="AU3431" s="1">
        <v>2011</v>
      </c>
      <c r="AV3431" s="1">
        <v>101</v>
      </c>
      <c r="AW3431" s="1" t="s">
        <v>1070</v>
      </c>
      <c r="AX3431" s="1" t="s">
        <v>74</v>
      </c>
      <c r="AY3431" s="1" t="s">
        <v>74</v>
      </c>
      <c r="AZ3431" s="1" t="s">
        <v>74</v>
      </c>
      <c r="BA3431" s="1" t="s">
        <v>74</v>
      </c>
      <c r="BB3431" s="1">
        <v>512</v>
      </c>
      <c r="BC3431" s="1">
        <v>520</v>
      </c>
      <c r="BD3431" s="1" t="s">
        <v>74</v>
      </c>
      <c r="BE3431" s="1" t="s">
        <v>54441</v>
      </c>
      <c r="BF3431" s="1" t="str">
        <f>HYPERLINK("http://dx.doi.org/10.1016/j.aquatox.2010.12.003","http://dx.doi.org/10.1016/j.aquatox.2010.12.003")</f>
        <v>http://dx.doi.org/10.1016/j.aquatox.2010.12.003</v>
      </c>
      <c r="BG3431" s="1" t="s">
        <v>74</v>
      </c>
      <c r="BH3431" s="1" t="s">
        <v>74</v>
      </c>
      <c r="BI3431" s="1">
        <v>9</v>
      </c>
      <c r="BJ3431" s="1" t="s">
        <v>659</v>
      </c>
      <c r="BK3431" s="1" t="s">
        <v>96</v>
      </c>
      <c r="BL3431" s="1" t="s">
        <v>659</v>
      </c>
      <c r="BM3431" s="1" t="s">
        <v>54442</v>
      </c>
      <c r="BN3431" s="1">
        <v>21276477</v>
      </c>
      <c r="BO3431" s="1" t="s">
        <v>74</v>
      </c>
      <c r="BP3431" s="1" t="s">
        <v>74</v>
      </c>
      <c r="BQ3431" s="1" t="s">
        <v>74</v>
      </c>
      <c r="BR3431" s="1" t="s">
        <v>98</v>
      </c>
      <c r="BS3431" s="1" t="s">
        <v>54443</v>
      </c>
      <c r="BT3431" s="1" t="str">
        <f>HYPERLINK("https%3A%2F%2Fwww.webofscience.com%2Fwos%2Fwoscc%2Ffull-record%2FWOS:000288346200004","View Full Record in Web of Science")</f>
        <v>View Full Record in Web of Science</v>
      </c>
      <c r="BU3431" s="1"/>
      <c r="BV3431" s="1"/>
    </row>
    <row r="3432" spans="1:74">
      <c r="A3432" s="1" t="s">
        <v>72</v>
      </c>
      <c r="B3432" s="1" t="s">
        <v>54444</v>
      </c>
      <c r="C3432" s="1" t="s">
        <v>74</v>
      </c>
      <c r="D3432" s="1" t="s">
        <v>74</v>
      </c>
      <c r="E3432" s="1" t="s">
        <v>74</v>
      </c>
      <c r="F3432" s="1" t="s">
        <v>54445</v>
      </c>
      <c r="G3432" s="1" t="s">
        <v>74</v>
      </c>
      <c r="H3432" s="1" t="s">
        <v>74</v>
      </c>
      <c r="I3432" s="1" t="s">
        <v>54446</v>
      </c>
      <c r="J3432" s="1" t="s">
        <v>704</v>
      </c>
      <c r="K3432" s="1" t="s">
        <v>74</v>
      </c>
      <c r="L3432" s="1" t="s">
        <v>74</v>
      </c>
      <c r="M3432" s="1" t="s">
        <v>78</v>
      </c>
      <c r="N3432" s="1" t="s">
        <v>79</v>
      </c>
      <c r="O3432" s="1" t="s">
        <v>74</v>
      </c>
      <c r="P3432" s="1" t="s">
        <v>74</v>
      </c>
      <c r="Q3432" s="1" t="s">
        <v>74</v>
      </c>
      <c r="R3432" s="1" t="s">
        <v>74</v>
      </c>
      <c r="S3432" s="1" t="s">
        <v>74</v>
      </c>
      <c r="T3432" s="1" t="s">
        <v>54447</v>
      </c>
      <c r="U3432" s="1" t="s">
        <v>54448</v>
      </c>
      <c r="V3432" s="1" t="s">
        <v>54449</v>
      </c>
      <c r="W3432" s="1" t="s">
        <v>54450</v>
      </c>
      <c r="X3432" s="1" t="s">
        <v>19962</v>
      </c>
      <c r="Y3432" s="1" t="s">
        <v>54451</v>
      </c>
      <c r="Z3432" s="1" t="s">
        <v>7104</v>
      </c>
      <c r="AA3432" s="1" t="s">
        <v>54452</v>
      </c>
      <c r="AB3432" s="1" t="s">
        <v>54453</v>
      </c>
      <c r="AC3432" s="1" t="s">
        <v>54454</v>
      </c>
      <c r="AD3432" s="1" t="s">
        <v>54455</v>
      </c>
      <c r="AE3432" s="1" t="s">
        <v>54456</v>
      </c>
      <c r="AF3432" s="1" t="s">
        <v>74</v>
      </c>
      <c r="AG3432" s="1">
        <v>23</v>
      </c>
      <c r="AH3432" s="1">
        <v>10</v>
      </c>
      <c r="AI3432" s="1">
        <v>11</v>
      </c>
      <c r="AJ3432" s="1">
        <v>0</v>
      </c>
      <c r="AK3432" s="1">
        <v>13</v>
      </c>
      <c r="AL3432" s="1" t="s">
        <v>112</v>
      </c>
      <c r="AM3432" s="1" t="s">
        <v>191</v>
      </c>
      <c r="AN3432" s="1" t="s">
        <v>192</v>
      </c>
      <c r="AO3432" s="1" t="s">
        <v>718</v>
      </c>
      <c r="AP3432" s="1" t="s">
        <v>1169</v>
      </c>
      <c r="AQ3432" s="1" t="s">
        <v>74</v>
      </c>
      <c r="AR3432" s="1" t="s">
        <v>719</v>
      </c>
      <c r="AS3432" s="1" t="s">
        <v>720</v>
      </c>
      <c r="AT3432" s="1" t="s">
        <v>142</v>
      </c>
      <c r="AU3432" s="1">
        <v>2015</v>
      </c>
      <c r="AV3432" s="1">
        <v>226</v>
      </c>
      <c r="AW3432" s="1">
        <v>7</v>
      </c>
      <c r="AX3432" s="1" t="s">
        <v>74</v>
      </c>
      <c r="AY3432" s="1" t="s">
        <v>74</v>
      </c>
      <c r="AZ3432" s="1" t="s">
        <v>74</v>
      </c>
      <c r="BA3432" s="1" t="s">
        <v>74</v>
      </c>
      <c r="BB3432" s="1" t="s">
        <v>74</v>
      </c>
      <c r="BC3432" s="1" t="s">
        <v>74</v>
      </c>
      <c r="BD3432" s="1">
        <v>213</v>
      </c>
      <c r="BE3432" s="1" t="s">
        <v>54457</v>
      </c>
      <c r="BF3432" s="1" t="str">
        <f>HYPERLINK("http://dx.doi.org/10.1007/s11270-015-2484-5","http://dx.doi.org/10.1007/s11270-015-2484-5")</f>
        <v>http://dx.doi.org/10.1007/s11270-015-2484-5</v>
      </c>
      <c r="BG3432" s="1" t="s">
        <v>74</v>
      </c>
      <c r="BH3432" s="1" t="s">
        <v>74</v>
      </c>
      <c r="BI3432" s="1">
        <v>7</v>
      </c>
      <c r="BJ3432" s="1" t="s">
        <v>722</v>
      </c>
      <c r="BK3432" s="1" t="s">
        <v>96</v>
      </c>
      <c r="BL3432" s="1" t="s">
        <v>723</v>
      </c>
      <c r="BM3432" s="1" t="s">
        <v>54458</v>
      </c>
      <c r="BN3432" s="1" t="s">
        <v>74</v>
      </c>
      <c r="BO3432" s="1" t="s">
        <v>74</v>
      </c>
      <c r="BP3432" s="1" t="s">
        <v>74</v>
      </c>
      <c r="BQ3432" s="1" t="s">
        <v>74</v>
      </c>
      <c r="BR3432" s="1" t="s">
        <v>98</v>
      </c>
      <c r="BS3432" s="1" t="s">
        <v>54459</v>
      </c>
      <c r="BT3432" s="1" t="str">
        <f>HYPERLINK("https%3A%2F%2Fwww.webofscience.com%2Fwos%2Fwoscc%2Ffull-record%2FWOS:000357690100021","View Full Record in Web of Science")</f>
        <v>View Full Record in Web of Science</v>
      </c>
      <c r="BU3432" s="1"/>
      <c r="BV3432" s="1"/>
    </row>
    <row r="3433" spans="1:74">
      <c r="A3433" s="1" t="s">
        <v>72</v>
      </c>
      <c r="B3433" s="1" t="s">
        <v>54460</v>
      </c>
      <c r="C3433" s="1" t="s">
        <v>74</v>
      </c>
      <c r="D3433" s="1" t="s">
        <v>74</v>
      </c>
      <c r="E3433" s="1" t="s">
        <v>74</v>
      </c>
      <c r="F3433" s="1" t="s">
        <v>54461</v>
      </c>
      <c r="G3433" s="1" t="s">
        <v>74</v>
      </c>
      <c r="H3433" s="1" t="s">
        <v>74</v>
      </c>
      <c r="I3433" s="1" t="s">
        <v>54462</v>
      </c>
      <c r="J3433" s="1" t="s">
        <v>3349</v>
      </c>
      <c r="K3433" s="1" t="s">
        <v>74</v>
      </c>
      <c r="L3433" s="1" t="s">
        <v>74</v>
      </c>
      <c r="M3433" s="1" t="s">
        <v>78</v>
      </c>
      <c r="N3433" s="1" t="s">
        <v>79</v>
      </c>
      <c r="O3433" s="1" t="s">
        <v>74</v>
      </c>
      <c r="P3433" s="1" t="s">
        <v>74</v>
      </c>
      <c r="Q3433" s="1" t="s">
        <v>74</v>
      </c>
      <c r="R3433" s="1" t="s">
        <v>74</v>
      </c>
      <c r="S3433" s="1" t="s">
        <v>74</v>
      </c>
      <c r="T3433" s="1" t="s">
        <v>54463</v>
      </c>
      <c r="U3433" s="1" t="s">
        <v>54464</v>
      </c>
      <c r="V3433" s="1" t="s">
        <v>54465</v>
      </c>
      <c r="W3433" s="1" t="s">
        <v>54466</v>
      </c>
      <c r="X3433" s="1" t="s">
        <v>54467</v>
      </c>
      <c r="Y3433" s="1" t="s">
        <v>54468</v>
      </c>
      <c r="Z3433" s="1" t="s">
        <v>54469</v>
      </c>
      <c r="AA3433" s="1" t="s">
        <v>43163</v>
      </c>
      <c r="AB3433" s="1" t="s">
        <v>74</v>
      </c>
      <c r="AC3433" s="1" t="s">
        <v>54470</v>
      </c>
      <c r="AD3433" s="1" t="s">
        <v>54471</v>
      </c>
      <c r="AE3433" s="1" t="s">
        <v>54472</v>
      </c>
      <c r="AF3433" s="1" t="s">
        <v>74</v>
      </c>
      <c r="AG3433" s="1">
        <v>53</v>
      </c>
      <c r="AH3433" s="1">
        <v>11</v>
      </c>
      <c r="AI3433" s="1">
        <v>12</v>
      </c>
      <c r="AJ3433" s="1">
        <v>0</v>
      </c>
      <c r="AK3433" s="1">
        <v>19</v>
      </c>
      <c r="AL3433" s="1" t="s">
        <v>3362</v>
      </c>
      <c r="AM3433" s="1" t="s">
        <v>3363</v>
      </c>
      <c r="AN3433" s="1" t="s">
        <v>3364</v>
      </c>
      <c r="AO3433" s="1" t="s">
        <v>3365</v>
      </c>
      <c r="AP3433" s="1" t="s">
        <v>3366</v>
      </c>
      <c r="AQ3433" s="1" t="s">
        <v>74</v>
      </c>
      <c r="AR3433" s="1" t="s">
        <v>3367</v>
      </c>
      <c r="AS3433" s="1" t="s">
        <v>3368</v>
      </c>
      <c r="AT3433" s="1" t="s">
        <v>267</v>
      </c>
      <c r="AU3433" s="1">
        <v>2016</v>
      </c>
      <c r="AV3433" s="1">
        <v>132</v>
      </c>
      <c r="AW3433" s="1" t="s">
        <v>74</v>
      </c>
      <c r="AX3433" s="1" t="s">
        <v>74</v>
      </c>
      <c r="AY3433" s="1" t="s">
        <v>74</v>
      </c>
      <c r="AZ3433" s="1" t="s">
        <v>74</v>
      </c>
      <c r="BA3433" s="1" t="s">
        <v>74</v>
      </c>
      <c r="BB3433" s="1">
        <v>40</v>
      </c>
      <c r="BC3433" s="1">
        <v>46</v>
      </c>
      <c r="BD3433" s="1" t="s">
        <v>74</v>
      </c>
      <c r="BE3433" s="1" t="s">
        <v>54473</v>
      </c>
      <c r="BF3433" s="1" t="str">
        <f>HYPERLINK("http://dx.doi.org/10.1016/j.ecoenv.2016.05.024","http://dx.doi.org/10.1016/j.ecoenv.2016.05.024")</f>
        <v>http://dx.doi.org/10.1016/j.ecoenv.2016.05.024</v>
      </c>
      <c r="BG3433" s="1" t="s">
        <v>74</v>
      </c>
      <c r="BH3433" s="1" t="s">
        <v>74</v>
      </c>
      <c r="BI3433" s="1">
        <v>7</v>
      </c>
      <c r="BJ3433" s="1" t="s">
        <v>121</v>
      </c>
      <c r="BK3433" s="1" t="s">
        <v>96</v>
      </c>
      <c r="BL3433" s="1" t="s">
        <v>122</v>
      </c>
      <c r="BM3433" s="1" t="s">
        <v>6161</v>
      </c>
      <c r="BN3433" s="1">
        <v>27261881</v>
      </c>
      <c r="BO3433" s="1" t="s">
        <v>74</v>
      </c>
      <c r="BP3433" s="1" t="s">
        <v>74</v>
      </c>
      <c r="BQ3433" s="1" t="s">
        <v>74</v>
      </c>
      <c r="BR3433" s="1" t="s">
        <v>98</v>
      </c>
      <c r="BS3433" s="1" t="s">
        <v>54474</v>
      </c>
      <c r="BT3433" s="1" t="str">
        <f>HYPERLINK("https%3A%2F%2Fwww.webofscience.com%2Fwos%2Fwoscc%2Ffull-record%2FWOS:000380867200006","View Full Record in Web of Science")</f>
        <v>View Full Record in Web of Science</v>
      </c>
      <c r="BU3433" s="1"/>
      <c r="BV3433" s="1"/>
    </row>
    <row r="3434" spans="1:74">
      <c r="A3434" s="1" t="s">
        <v>72</v>
      </c>
      <c r="B3434" s="1" t="s">
        <v>54475</v>
      </c>
      <c r="C3434" s="1" t="s">
        <v>74</v>
      </c>
      <c r="D3434" s="1" t="s">
        <v>74</v>
      </c>
      <c r="E3434" s="1" t="s">
        <v>74</v>
      </c>
      <c r="F3434" s="1" t="s">
        <v>54476</v>
      </c>
      <c r="G3434" s="1" t="s">
        <v>74</v>
      </c>
      <c r="H3434" s="1" t="s">
        <v>74</v>
      </c>
      <c r="I3434" s="1" t="s">
        <v>54477</v>
      </c>
      <c r="J3434" s="1" t="s">
        <v>204</v>
      </c>
      <c r="K3434" s="1" t="s">
        <v>74</v>
      </c>
      <c r="L3434" s="1" t="s">
        <v>74</v>
      </c>
      <c r="M3434" s="1" t="s">
        <v>78</v>
      </c>
      <c r="N3434" s="1" t="s">
        <v>79</v>
      </c>
      <c r="O3434" s="1" t="s">
        <v>74</v>
      </c>
      <c r="P3434" s="1" t="s">
        <v>74</v>
      </c>
      <c r="Q3434" s="1" t="s">
        <v>74</v>
      </c>
      <c r="R3434" s="1" t="s">
        <v>74</v>
      </c>
      <c r="S3434" s="1" t="s">
        <v>74</v>
      </c>
      <c r="T3434" s="1" t="s">
        <v>54478</v>
      </c>
      <c r="U3434" s="1" t="s">
        <v>54479</v>
      </c>
      <c r="V3434" s="1" t="s">
        <v>54480</v>
      </c>
      <c r="W3434" s="1" t="s">
        <v>54481</v>
      </c>
      <c r="X3434" s="1" t="s">
        <v>54482</v>
      </c>
      <c r="Y3434" s="1" t="s">
        <v>54483</v>
      </c>
      <c r="Z3434" s="1" t="s">
        <v>54484</v>
      </c>
      <c r="AA3434" s="1" t="s">
        <v>54485</v>
      </c>
      <c r="AB3434" s="1" t="s">
        <v>74</v>
      </c>
      <c r="AC3434" s="1" t="s">
        <v>54486</v>
      </c>
      <c r="AD3434" s="1" t="s">
        <v>54487</v>
      </c>
      <c r="AE3434" s="1" t="s">
        <v>54488</v>
      </c>
      <c r="AF3434" s="1" t="s">
        <v>74</v>
      </c>
      <c r="AG3434" s="1">
        <v>55</v>
      </c>
      <c r="AH3434" s="1">
        <v>10</v>
      </c>
      <c r="AI3434" s="1">
        <v>10</v>
      </c>
      <c r="AJ3434" s="1">
        <v>1</v>
      </c>
      <c r="AK3434" s="1">
        <v>17</v>
      </c>
      <c r="AL3434" s="1" t="s">
        <v>217</v>
      </c>
      <c r="AM3434" s="1" t="s">
        <v>218</v>
      </c>
      <c r="AN3434" s="1" t="s">
        <v>219</v>
      </c>
      <c r="AO3434" s="1" t="s">
        <v>220</v>
      </c>
      <c r="AP3434" s="1" t="s">
        <v>221</v>
      </c>
      <c r="AQ3434" s="1" t="s">
        <v>74</v>
      </c>
      <c r="AR3434" s="1" t="s">
        <v>222</v>
      </c>
      <c r="AS3434" s="1" t="s">
        <v>223</v>
      </c>
      <c r="AT3434" s="1" t="s">
        <v>197</v>
      </c>
      <c r="AU3434" s="1">
        <v>2021</v>
      </c>
      <c r="AV3434" s="1">
        <v>28</v>
      </c>
      <c r="AW3434" s="1">
        <v>48</v>
      </c>
      <c r="AX3434" s="1" t="s">
        <v>74</v>
      </c>
      <c r="AY3434" s="1" t="s">
        <v>74</v>
      </c>
      <c r="AZ3434" s="1" t="s">
        <v>74</v>
      </c>
      <c r="BA3434" s="1" t="s">
        <v>74</v>
      </c>
      <c r="BB3434" s="1">
        <v>69343</v>
      </c>
      <c r="BC3434" s="1">
        <v>69353</v>
      </c>
      <c r="BD3434" s="1" t="s">
        <v>74</v>
      </c>
      <c r="BE3434" s="1" t="s">
        <v>54489</v>
      </c>
      <c r="BF3434" s="1" t="str">
        <f>HYPERLINK("http://dx.doi.org/10.1007/s11356-021-15529-3","http://dx.doi.org/10.1007/s11356-021-15529-3")</f>
        <v>http://dx.doi.org/10.1007/s11356-021-15529-3</v>
      </c>
      <c r="BG3434" s="1" t="s">
        <v>74</v>
      </c>
      <c r="BH3434" s="1" t="s">
        <v>12797</v>
      </c>
      <c r="BI3434" s="1">
        <v>11</v>
      </c>
      <c r="BJ3434" s="1" t="s">
        <v>144</v>
      </c>
      <c r="BK3434" s="1" t="s">
        <v>96</v>
      </c>
      <c r="BL3434" s="1" t="s">
        <v>145</v>
      </c>
      <c r="BM3434" s="1" t="s">
        <v>25974</v>
      </c>
      <c r="BN3434" s="1">
        <v>34296413</v>
      </c>
      <c r="BO3434" s="1" t="s">
        <v>74</v>
      </c>
      <c r="BP3434" s="1" t="s">
        <v>74</v>
      </c>
      <c r="BQ3434" s="1" t="s">
        <v>74</v>
      </c>
      <c r="BR3434" s="1" t="s">
        <v>98</v>
      </c>
      <c r="BS3434" s="1" t="s">
        <v>54490</v>
      </c>
      <c r="BT3434" s="1" t="str">
        <f>HYPERLINK("https%3A%2F%2Fwww.webofscience.com%2Fwos%2Fwoscc%2Ffull-record%2FWOS:000675796000015","View Full Record in Web of Science")</f>
        <v>View Full Record in Web of Science</v>
      </c>
      <c r="BU3434" s="1"/>
      <c r="BV3434" s="1"/>
    </row>
    <row r="3435" spans="1:74">
      <c r="A3435" s="1" t="s">
        <v>72</v>
      </c>
      <c r="B3435" s="1" t="s">
        <v>54491</v>
      </c>
      <c r="C3435" s="1" t="s">
        <v>74</v>
      </c>
      <c r="D3435" s="1" t="s">
        <v>74</v>
      </c>
      <c r="E3435" s="1" t="s">
        <v>74</v>
      </c>
      <c r="F3435" s="1" t="s">
        <v>54492</v>
      </c>
      <c r="G3435" s="1" t="s">
        <v>74</v>
      </c>
      <c r="H3435" s="1" t="s">
        <v>74</v>
      </c>
      <c r="I3435" s="1" t="s">
        <v>54493</v>
      </c>
      <c r="J3435" s="1" t="s">
        <v>7369</v>
      </c>
      <c r="K3435" s="1" t="s">
        <v>74</v>
      </c>
      <c r="L3435" s="1" t="s">
        <v>74</v>
      </c>
      <c r="M3435" s="1" t="s">
        <v>78</v>
      </c>
      <c r="N3435" s="1" t="s">
        <v>79</v>
      </c>
      <c r="O3435" s="1" t="s">
        <v>74</v>
      </c>
      <c r="P3435" s="1" t="s">
        <v>74</v>
      </c>
      <c r="Q3435" s="1" t="s">
        <v>74</v>
      </c>
      <c r="R3435" s="1" t="s">
        <v>74</v>
      </c>
      <c r="S3435" s="1" t="s">
        <v>74</v>
      </c>
      <c r="T3435" s="1" t="s">
        <v>54494</v>
      </c>
      <c r="U3435" s="1" t="s">
        <v>54495</v>
      </c>
      <c r="V3435" s="1" t="s">
        <v>54496</v>
      </c>
      <c r="W3435" s="1" t="s">
        <v>54497</v>
      </c>
      <c r="X3435" s="1" t="s">
        <v>11435</v>
      </c>
      <c r="Y3435" s="1" t="s">
        <v>54498</v>
      </c>
      <c r="Z3435" s="1" t="s">
        <v>54499</v>
      </c>
      <c r="AA3435" s="1" t="s">
        <v>54500</v>
      </c>
      <c r="AB3435" s="1" t="s">
        <v>54501</v>
      </c>
      <c r="AC3435" s="1" t="s">
        <v>54502</v>
      </c>
      <c r="AD3435" s="1" t="s">
        <v>54503</v>
      </c>
      <c r="AE3435" s="1" t="s">
        <v>54504</v>
      </c>
      <c r="AF3435" s="1" t="s">
        <v>74</v>
      </c>
      <c r="AG3435" s="1">
        <v>94</v>
      </c>
      <c r="AH3435" s="1">
        <v>4</v>
      </c>
      <c r="AI3435" s="1">
        <v>4</v>
      </c>
      <c r="AJ3435" s="1">
        <v>0</v>
      </c>
      <c r="AK3435" s="1">
        <v>4</v>
      </c>
      <c r="AL3435" s="1" t="s">
        <v>1566</v>
      </c>
      <c r="AM3435" s="1" t="s">
        <v>1567</v>
      </c>
      <c r="AN3435" s="1" t="s">
        <v>1568</v>
      </c>
      <c r="AO3435" s="1" t="s">
        <v>74</v>
      </c>
      <c r="AP3435" s="1" t="s">
        <v>7378</v>
      </c>
      <c r="AQ3435" s="1" t="s">
        <v>74</v>
      </c>
      <c r="AR3435" s="1" t="s">
        <v>7369</v>
      </c>
      <c r="AS3435" s="1" t="s">
        <v>7379</v>
      </c>
      <c r="AT3435" s="1" t="s">
        <v>119</v>
      </c>
      <c r="AU3435" s="1">
        <v>2022</v>
      </c>
      <c r="AV3435" s="1">
        <v>11</v>
      </c>
      <c r="AW3435" s="1">
        <v>8</v>
      </c>
      <c r="AX3435" s="1" t="s">
        <v>74</v>
      </c>
      <c r="AY3435" s="1" t="s">
        <v>74</v>
      </c>
      <c r="AZ3435" s="1" t="s">
        <v>74</v>
      </c>
      <c r="BA3435" s="1" t="s">
        <v>74</v>
      </c>
      <c r="BB3435" s="1" t="s">
        <v>74</v>
      </c>
      <c r="BC3435" s="1" t="s">
        <v>74</v>
      </c>
      <c r="BD3435" s="1">
        <v>1153</v>
      </c>
      <c r="BE3435" s="1" t="s">
        <v>54505</v>
      </c>
      <c r="BF3435" s="1" t="str">
        <f>HYPERLINK("http://dx.doi.org/10.3390/biology11081153","http://dx.doi.org/10.3390/biology11081153")</f>
        <v>http://dx.doi.org/10.3390/biology11081153</v>
      </c>
      <c r="BG3435" s="1" t="s">
        <v>74</v>
      </c>
      <c r="BH3435" s="1" t="s">
        <v>74</v>
      </c>
      <c r="BI3435" s="1">
        <v>24</v>
      </c>
      <c r="BJ3435" s="1" t="s">
        <v>171</v>
      </c>
      <c r="BK3435" s="1" t="s">
        <v>96</v>
      </c>
      <c r="BL3435" s="1" t="s">
        <v>173</v>
      </c>
      <c r="BM3435" s="1" t="s">
        <v>54506</v>
      </c>
      <c r="BN3435" s="1">
        <v>36009780</v>
      </c>
      <c r="BO3435" s="1" t="s">
        <v>2155</v>
      </c>
      <c r="BP3435" s="1" t="s">
        <v>74</v>
      </c>
      <c r="BQ3435" s="1" t="s">
        <v>74</v>
      </c>
      <c r="BR3435" s="1" t="s">
        <v>98</v>
      </c>
      <c r="BS3435" s="1" t="s">
        <v>54507</v>
      </c>
      <c r="BT3435" s="1" t="str">
        <f>HYPERLINK("https%3A%2F%2Fwww.webofscience.com%2Fwos%2Fwoscc%2Ffull-record%2FWOS:000846158900001","View Full Record in Web of Science")</f>
        <v>View Full Record in Web of Science</v>
      </c>
      <c r="BU3435" s="1"/>
      <c r="BV3435" s="1"/>
    </row>
    <row r="3436" spans="1:74">
      <c r="A3436" s="1" t="s">
        <v>72</v>
      </c>
      <c r="B3436" s="1" t="s">
        <v>54508</v>
      </c>
      <c r="C3436" s="1" t="s">
        <v>74</v>
      </c>
      <c r="D3436" s="1" t="s">
        <v>74</v>
      </c>
      <c r="E3436" s="1" t="s">
        <v>74</v>
      </c>
      <c r="F3436" s="1" t="s">
        <v>54509</v>
      </c>
      <c r="G3436" s="1" t="s">
        <v>74</v>
      </c>
      <c r="H3436" s="1" t="s">
        <v>74</v>
      </c>
      <c r="I3436" s="1" t="s">
        <v>54510</v>
      </c>
      <c r="J3436" s="1" t="s">
        <v>232</v>
      </c>
      <c r="K3436" s="1" t="s">
        <v>74</v>
      </c>
      <c r="L3436" s="1" t="s">
        <v>74</v>
      </c>
      <c r="M3436" s="1" t="s">
        <v>78</v>
      </c>
      <c r="N3436" s="1" t="s">
        <v>79</v>
      </c>
      <c r="O3436" s="1" t="s">
        <v>74</v>
      </c>
      <c r="P3436" s="1" t="s">
        <v>74</v>
      </c>
      <c r="Q3436" s="1" t="s">
        <v>74</v>
      </c>
      <c r="R3436" s="1" t="s">
        <v>74</v>
      </c>
      <c r="S3436" s="1" t="s">
        <v>74</v>
      </c>
      <c r="T3436" s="1" t="s">
        <v>54511</v>
      </c>
      <c r="U3436" s="1" t="s">
        <v>54512</v>
      </c>
      <c r="V3436" s="1" t="s">
        <v>54513</v>
      </c>
      <c r="W3436" s="1" t="s">
        <v>54514</v>
      </c>
      <c r="X3436" s="1" t="s">
        <v>54515</v>
      </c>
      <c r="Y3436" s="1" t="s">
        <v>54516</v>
      </c>
      <c r="Z3436" s="1" t="s">
        <v>54517</v>
      </c>
      <c r="AA3436" s="1" t="s">
        <v>54518</v>
      </c>
      <c r="AB3436" s="1" t="s">
        <v>54519</v>
      </c>
      <c r="AC3436" s="1" t="s">
        <v>54520</v>
      </c>
      <c r="AD3436" s="1" t="s">
        <v>54521</v>
      </c>
      <c r="AE3436" s="1" t="s">
        <v>54522</v>
      </c>
      <c r="AF3436" s="1" t="s">
        <v>74</v>
      </c>
      <c r="AG3436" s="1">
        <v>47</v>
      </c>
      <c r="AH3436" s="1">
        <v>2</v>
      </c>
      <c r="AI3436" s="1">
        <v>2</v>
      </c>
      <c r="AJ3436" s="1">
        <v>0</v>
      </c>
      <c r="AK3436" s="1">
        <v>13</v>
      </c>
      <c r="AL3436" s="1" t="s">
        <v>136</v>
      </c>
      <c r="AM3436" s="1" t="s">
        <v>137</v>
      </c>
      <c r="AN3436" s="1" t="s">
        <v>138</v>
      </c>
      <c r="AO3436" s="1" t="s">
        <v>240</v>
      </c>
      <c r="AP3436" s="1" t="s">
        <v>241</v>
      </c>
      <c r="AQ3436" s="1" t="s">
        <v>74</v>
      </c>
      <c r="AR3436" s="1" t="s">
        <v>242</v>
      </c>
      <c r="AS3436" s="1" t="s">
        <v>243</v>
      </c>
      <c r="AT3436" s="1" t="s">
        <v>197</v>
      </c>
      <c r="AU3436" s="1">
        <v>2021</v>
      </c>
      <c r="AV3436" s="1">
        <v>173</v>
      </c>
      <c r="AW3436" s="1" t="s">
        <v>74</v>
      </c>
      <c r="AX3436" s="1" t="s">
        <v>13570</v>
      </c>
      <c r="AY3436" s="1" t="s">
        <v>74</v>
      </c>
      <c r="AZ3436" s="1" t="s">
        <v>74</v>
      </c>
      <c r="BA3436" s="1" t="s">
        <v>74</v>
      </c>
      <c r="BB3436" s="1" t="s">
        <v>74</v>
      </c>
      <c r="BC3436" s="1" t="s">
        <v>74</v>
      </c>
      <c r="BD3436" s="1">
        <v>113071</v>
      </c>
      <c r="BE3436" s="1" t="s">
        <v>54523</v>
      </c>
      <c r="BF3436" s="1" t="str">
        <f>HYPERLINK("http://dx.doi.org/10.1016/j.marpolbul.2021.113071","http://dx.doi.org/10.1016/j.marpolbul.2021.113071")</f>
        <v>http://dx.doi.org/10.1016/j.marpolbul.2021.113071</v>
      </c>
      <c r="BG3436" s="1" t="s">
        <v>74</v>
      </c>
      <c r="BH3436" s="1" t="s">
        <v>2170</v>
      </c>
      <c r="BI3436" s="1">
        <v>8</v>
      </c>
      <c r="BJ3436" s="1" t="s">
        <v>247</v>
      </c>
      <c r="BK3436" s="1" t="s">
        <v>96</v>
      </c>
      <c r="BL3436" s="1" t="s">
        <v>248</v>
      </c>
      <c r="BM3436" s="1" t="s">
        <v>54524</v>
      </c>
      <c r="BN3436" s="1">
        <v>34741924</v>
      </c>
      <c r="BO3436" s="1" t="s">
        <v>74</v>
      </c>
      <c r="BP3436" s="1" t="s">
        <v>74</v>
      </c>
      <c r="BQ3436" s="1" t="s">
        <v>74</v>
      </c>
      <c r="BR3436" s="1" t="s">
        <v>98</v>
      </c>
      <c r="BS3436" s="1" t="s">
        <v>54525</v>
      </c>
      <c r="BT3436" s="1" t="str">
        <f>HYPERLINK("https%3A%2F%2Fwww.webofscience.com%2Fwos%2Fwoscc%2Ffull-record%2FWOS:000715608100006","View Full Record in Web of Science")</f>
        <v>View Full Record in Web of Science</v>
      </c>
      <c r="BU3436" s="1"/>
      <c r="BV3436" s="1"/>
    </row>
    <row r="3437" spans="1:74">
      <c r="A3437" s="1" t="s">
        <v>72</v>
      </c>
      <c r="B3437" s="1" t="s">
        <v>54526</v>
      </c>
      <c r="C3437" s="1" t="s">
        <v>74</v>
      </c>
      <c r="D3437" s="1" t="s">
        <v>74</v>
      </c>
      <c r="E3437" s="1" t="s">
        <v>74</v>
      </c>
      <c r="F3437" s="1" t="s">
        <v>54526</v>
      </c>
      <c r="G3437" s="1" t="s">
        <v>74</v>
      </c>
      <c r="H3437" s="1" t="s">
        <v>74</v>
      </c>
      <c r="I3437" s="1" t="s">
        <v>54527</v>
      </c>
      <c r="J3437" s="1" t="s">
        <v>232</v>
      </c>
      <c r="K3437" s="1" t="s">
        <v>74</v>
      </c>
      <c r="L3437" s="1" t="s">
        <v>74</v>
      </c>
      <c r="M3437" s="1" t="s">
        <v>78</v>
      </c>
      <c r="N3437" s="1" t="s">
        <v>79</v>
      </c>
      <c r="O3437" s="1" t="s">
        <v>74</v>
      </c>
      <c r="P3437" s="1" t="s">
        <v>74</v>
      </c>
      <c r="Q3437" s="1" t="s">
        <v>74</v>
      </c>
      <c r="R3437" s="1" t="s">
        <v>74</v>
      </c>
      <c r="S3437" s="1" t="s">
        <v>74</v>
      </c>
      <c r="T3437" s="1" t="s">
        <v>74</v>
      </c>
      <c r="U3437" s="1" t="s">
        <v>54528</v>
      </c>
      <c r="V3437" s="1" t="s">
        <v>54529</v>
      </c>
      <c r="W3437" s="1" t="s">
        <v>54530</v>
      </c>
      <c r="X3437" s="1" t="s">
        <v>74</v>
      </c>
      <c r="Y3437" s="1" t="s">
        <v>54531</v>
      </c>
      <c r="Z3437" s="1" t="s">
        <v>74</v>
      </c>
      <c r="AA3437" s="1" t="s">
        <v>54532</v>
      </c>
      <c r="AB3437" s="1" t="s">
        <v>54533</v>
      </c>
      <c r="AC3437" s="1" t="s">
        <v>74</v>
      </c>
      <c r="AD3437" s="1" t="s">
        <v>74</v>
      </c>
      <c r="AE3437" s="1" t="s">
        <v>74</v>
      </c>
      <c r="AF3437" s="1" t="s">
        <v>74</v>
      </c>
      <c r="AG3437" s="1">
        <v>39</v>
      </c>
      <c r="AH3437" s="1">
        <v>22</v>
      </c>
      <c r="AI3437" s="1">
        <v>24</v>
      </c>
      <c r="AJ3437" s="1">
        <v>0</v>
      </c>
      <c r="AK3437" s="1">
        <v>13</v>
      </c>
      <c r="AL3437" s="1" t="s">
        <v>136</v>
      </c>
      <c r="AM3437" s="1" t="s">
        <v>137</v>
      </c>
      <c r="AN3437" s="1" t="s">
        <v>138</v>
      </c>
      <c r="AO3437" s="1" t="s">
        <v>240</v>
      </c>
      <c r="AP3437" s="1" t="s">
        <v>241</v>
      </c>
      <c r="AQ3437" s="1" t="s">
        <v>74</v>
      </c>
      <c r="AR3437" s="1" t="s">
        <v>242</v>
      </c>
      <c r="AS3437" s="1" t="s">
        <v>243</v>
      </c>
      <c r="AT3437" s="1" t="s">
        <v>267</v>
      </c>
      <c r="AU3437" s="1">
        <v>1993</v>
      </c>
      <c r="AV3437" s="1">
        <v>26</v>
      </c>
      <c r="AW3437" s="1">
        <v>10</v>
      </c>
      <c r="AX3437" s="1" t="s">
        <v>74</v>
      </c>
      <c r="AY3437" s="1" t="s">
        <v>74</v>
      </c>
      <c r="AZ3437" s="1" t="s">
        <v>74</v>
      </c>
      <c r="BA3437" s="1" t="s">
        <v>74</v>
      </c>
      <c r="BB3437" s="1">
        <v>572</v>
      </c>
      <c r="BC3437" s="1">
        <v>578</v>
      </c>
      <c r="BD3437" s="1" t="s">
        <v>74</v>
      </c>
      <c r="BE3437" s="1" t="s">
        <v>54534</v>
      </c>
      <c r="BF3437" s="1" t="str">
        <f>HYPERLINK("http://dx.doi.org/10.1016/0025-326X(93)90409-D","http://dx.doi.org/10.1016/0025-326X(93)90409-D")</f>
        <v>http://dx.doi.org/10.1016/0025-326X(93)90409-D</v>
      </c>
      <c r="BG3437" s="1" t="s">
        <v>74</v>
      </c>
      <c r="BH3437" s="1" t="s">
        <v>74</v>
      </c>
      <c r="BI3437" s="1">
        <v>7</v>
      </c>
      <c r="BJ3437" s="1" t="s">
        <v>247</v>
      </c>
      <c r="BK3437" s="1" t="s">
        <v>96</v>
      </c>
      <c r="BL3437" s="1" t="s">
        <v>248</v>
      </c>
      <c r="BM3437" s="1" t="s">
        <v>54535</v>
      </c>
      <c r="BN3437" s="1" t="s">
        <v>74</v>
      </c>
      <c r="BO3437" s="1" t="s">
        <v>74</v>
      </c>
      <c r="BP3437" s="1" t="s">
        <v>74</v>
      </c>
      <c r="BQ3437" s="1" t="s">
        <v>74</v>
      </c>
      <c r="BR3437" s="1" t="s">
        <v>98</v>
      </c>
      <c r="BS3437" s="1" t="s">
        <v>54536</v>
      </c>
      <c r="BT3437" s="1" t="str">
        <f>HYPERLINK("https%3A%2F%2Fwww.webofscience.com%2Fwos%2Fwoscc%2Ffull-record%2FWOS:A1993ME28400008","View Full Record in Web of Science")</f>
        <v>View Full Record in Web of Science</v>
      </c>
      <c r="BU3437" s="1"/>
      <c r="BV3437" s="1"/>
    </row>
    <row r="3438" spans="1:74">
      <c r="A3438" s="1" t="s">
        <v>72</v>
      </c>
      <c r="B3438" s="1" t="s">
        <v>54537</v>
      </c>
      <c r="C3438" s="1" t="s">
        <v>74</v>
      </c>
      <c r="D3438" s="1" t="s">
        <v>74</v>
      </c>
      <c r="E3438" s="1" t="s">
        <v>74</v>
      </c>
      <c r="F3438" s="1" t="s">
        <v>54538</v>
      </c>
      <c r="G3438" s="1" t="s">
        <v>74</v>
      </c>
      <c r="H3438" s="1" t="s">
        <v>74</v>
      </c>
      <c r="I3438" s="1" t="s">
        <v>54539</v>
      </c>
      <c r="J3438" s="1" t="s">
        <v>204</v>
      </c>
      <c r="K3438" s="1" t="s">
        <v>74</v>
      </c>
      <c r="L3438" s="1" t="s">
        <v>74</v>
      </c>
      <c r="M3438" s="1" t="s">
        <v>78</v>
      </c>
      <c r="N3438" s="1" t="s">
        <v>79</v>
      </c>
      <c r="O3438" s="1" t="s">
        <v>74</v>
      </c>
      <c r="P3438" s="1" t="s">
        <v>74</v>
      </c>
      <c r="Q3438" s="1" t="s">
        <v>74</v>
      </c>
      <c r="R3438" s="1" t="s">
        <v>74</v>
      </c>
      <c r="S3438" s="1" t="s">
        <v>74</v>
      </c>
      <c r="T3438" s="1" t="s">
        <v>54540</v>
      </c>
      <c r="U3438" s="1" t="s">
        <v>54541</v>
      </c>
      <c r="V3438" s="1" t="s">
        <v>54542</v>
      </c>
      <c r="W3438" s="1" t="s">
        <v>54543</v>
      </c>
      <c r="X3438" s="1" t="s">
        <v>54544</v>
      </c>
      <c r="Y3438" s="1" t="s">
        <v>54545</v>
      </c>
      <c r="Z3438" s="1" t="s">
        <v>54546</v>
      </c>
      <c r="AA3438" s="1" t="s">
        <v>74</v>
      </c>
      <c r="AB3438" s="1" t="s">
        <v>54547</v>
      </c>
      <c r="AC3438" s="1" t="s">
        <v>54548</v>
      </c>
      <c r="AD3438" s="1" t="s">
        <v>54549</v>
      </c>
      <c r="AE3438" s="1" t="s">
        <v>54550</v>
      </c>
      <c r="AF3438" s="1" t="s">
        <v>74</v>
      </c>
      <c r="AG3438" s="1">
        <v>58</v>
      </c>
      <c r="AH3438" s="1">
        <v>3</v>
      </c>
      <c r="AI3438" s="1">
        <v>5</v>
      </c>
      <c r="AJ3438" s="1">
        <v>6</v>
      </c>
      <c r="AK3438" s="1">
        <v>56</v>
      </c>
      <c r="AL3438" s="1" t="s">
        <v>217</v>
      </c>
      <c r="AM3438" s="1" t="s">
        <v>218</v>
      </c>
      <c r="AN3438" s="1" t="s">
        <v>219</v>
      </c>
      <c r="AO3438" s="1" t="s">
        <v>220</v>
      </c>
      <c r="AP3438" s="1" t="s">
        <v>221</v>
      </c>
      <c r="AQ3438" s="1" t="s">
        <v>74</v>
      </c>
      <c r="AR3438" s="1" t="s">
        <v>222</v>
      </c>
      <c r="AS3438" s="1" t="s">
        <v>223</v>
      </c>
      <c r="AT3438" s="1" t="s">
        <v>951</v>
      </c>
      <c r="AU3438" s="1">
        <v>2017</v>
      </c>
      <c r="AV3438" s="1">
        <v>24</v>
      </c>
      <c r="AW3438" s="1">
        <v>31</v>
      </c>
      <c r="AX3438" s="1" t="s">
        <v>74</v>
      </c>
      <c r="AY3438" s="1" t="s">
        <v>74</v>
      </c>
      <c r="AZ3438" s="1" t="s">
        <v>74</v>
      </c>
      <c r="BA3438" s="1" t="s">
        <v>74</v>
      </c>
      <c r="BB3438" s="1">
        <v>24698</v>
      </c>
      <c r="BC3438" s="1">
        <v>24707</v>
      </c>
      <c r="BD3438" s="1" t="s">
        <v>74</v>
      </c>
      <c r="BE3438" s="1" t="s">
        <v>54551</v>
      </c>
      <c r="BF3438" s="1" t="str">
        <f>HYPERLINK("http://dx.doi.org/10.1007/s11356-017-0108-x","http://dx.doi.org/10.1007/s11356-017-0108-x")</f>
        <v>http://dx.doi.org/10.1007/s11356-017-0108-x</v>
      </c>
      <c r="BG3438" s="1" t="s">
        <v>74</v>
      </c>
      <c r="BH3438" s="1" t="s">
        <v>74</v>
      </c>
      <c r="BI3438" s="1">
        <v>10</v>
      </c>
      <c r="BJ3438" s="1" t="s">
        <v>144</v>
      </c>
      <c r="BK3438" s="1" t="s">
        <v>96</v>
      </c>
      <c r="BL3438" s="1" t="s">
        <v>145</v>
      </c>
      <c r="BM3438" s="1" t="s">
        <v>54552</v>
      </c>
      <c r="BN3438" s="1">
        <v>28913753</v>
      </c>
      <c r="BO3438" s="1" t="s">
        <v>74</v>
      </c>
      <c r="BP3438" s="1" t="s">
        <v>74</v>
      </c>
      <c r="BQ3438" s="1" t="s">
        <v>74</v>
      </c>
      <c r="BR3438" s="1" t="s">
        <v>98</v>
      </c>
      <c r="BS3438" s="1" t="s">
        <v>54553</v>
      </c>
      <c r="BT3438" s="1" t="str">
        <f>HYPERLINK("https%3A%2F%2Fwww.webofscience.com%2Fwos%2Fwoscc%2Ffull-record%2FWOS:000413649700057","View Full Record in Web of Science")</f>
        <v>View Full Record in Web of Science</v>
      </c>
      <c r="BU3438" s="1"/>
      <c r="BV3438" s="1"/>
    </row>
    <row r="3439" spans="1:74">
      <c r="A3439" s="1" t="s">
        <v>72</v>
      </c>
      <c r="B3439" s="1" t="s">
        <v>54554</v>
      </c>
      <c r="C3439" s="1" t="s">
        <v>74</v>
      </c>
      <c r="D3439" s="1" t="s">
        <v>74</v>
      </c>
      <c r="E3439" s="1" t="s">
        <v>74</v>
      </c>
      <c r="F3439" s="1" t="s">
        <v>54555</v>
      </c>
      <c r="G3439" s="1" t="s">
        <v>74</v>
      </c>
      <c r="H3439" s="1" t="s">
        <v>74</v>
      </c>
      <c r="I3439" s="1" t="s">
        <v>54556</v>
      </c>
      <c r="J3439" s="1" t="s">
        <v>54557</v>
      </c>
      <c r="K3439" s="1" t="s">
        <v>74</v>
      </c>
      <c r="L3439" s="1" t="s">
        <v>74</v>
      </c>
      <c r="M3439" s="1" t="s">
        <v>78</v>
      </c>
      <c r="N3439" s="1" t="s">
        <v>79</v>
      </c>
      <c r="O3439" s="1" t="s">
        <v>74</v>
      </c>
      <c r="P3439" s="1" t="s">
        <v>74</v>
      </c>
      <c r="Q3439" s="1" t="s">
        <v>74</v>
      </c>
      <c r="R3439" s="1" t="s">
        <v>74</v>
      </c>
      <c r="S3439" s="1" t="s">
        <v>74</v>
      </c>
      <c r="T3439" s="1" t="s">
        <v>54558</v>
      </c>
      <c r="U3439" s="1" t="s">
        <v>54559</v>
      </c>
      <c r="V3439" s="1" t="s">
        <v>54560</v>
      </c>
      <c r="W3439" s="1" t="s">
        <v>54561</v>
      </c>
      <c r="X3439" s="1" t="s">
        <v>54562</v>
      </c>
      <c r="Y3439" s="1" t="s">
        <v>54563</v>
      </c>
      <c r="Z3439" s="1" t="s">
        <v>54564</v>
      </c>
      <c r="AA3439" s="1" t="s">
        <v>54565</v>
      </c>
      <c r="AB3439" s="1" t="s">
        <v>54566</v>
      </c>
      <c r="AC3439" s="1" t="s">
        <v>74</v>
      </c>
      <c r="AD3439" s="1" t="s">
        <v>74</v>
      </c>
      <c r="AE3439" s="1" t="s">
        <v>74</v>
      </c>
      <c r="AF3439" s="1" t="s">
        <v>74</v>
      </c>
      <c r="AG3439" s="1">
        <v>28</v>
      </c>
      <c r="AH3439" s="1">
        <v>0</v>
      </c>
      <c r="AI3439" s="1">
        <v>0</v>
      </c>
      <c r="AJ3439" s="1">
        <v>1</v>
      </c>
      <c r="AK3439" s="1">
        <v>14</v>
      </c>
      <c r="AL3439" s="1" t="s">
        <v>217</v>
      </c>
      <c r="AM3439" s="1" t="s">
        <v>218</v>
      </c>
      <c r="AN3439" s="1" t="s">
        <v>219</v>
      </c>
      <c r="AO3439" s="1" t="s">
        <v>54567</v>
      </c>
      <c r="AP3439" s="1" t="s">
        <v>54568</v>
      </c>
      <c r="AQ3439" s="1" t="s">
        <v>74</v>
      </c>
      <c r="AR3439" s="1" t="s">
        <v>54569</v>
      </c>
      <c r="AS3439" s="1" t="s">
        <v>54570</v>
      </c>
      <c r="AT3439" s="1" t="s">
        <v>119</v>
      </c>
      <c r="AU3439" s="1">
        <v>2015</v>
      </c>
      <c r="AV3439" s="1">
        <v>8</v>
      </c>
      <c r="AW3439" s="1">
        <v>8</v>
      </c>
      <c r="AX3439" s="1" t="s">
        <v>74</v>
      </c>
      <c r="AY3439" s="1" t="s">
        <v>74</v>
      </c>
      <c r="AZ3439" s="1" t="s">
        <v>74</v>
      </c>
      <c r="BA3439" s="1" t="s">
        <v>74</v>
      </c>
      <c r="BB3439" s="1">
        <v>5767</v>
      </c>
      <c r="BC3439" s="1">
        <v>5777</v>
      </c>
      <c r="BD3439" s="1" t="s">
        <v>74</v>
      </c>
      <c r="BE3439" s="1" t="s">
        <v>54571</v>
      </c>
      <c r="BF3439" s="1" t="str">
        <f>HYPERLINK("http://dx.doi.org/10.1007/s12517-014-1592-7","http://dx.doi.org/10.1007/s12517-014-1592-7")</f>
        <v>http://dx.doi.org/10.1007/s12517-014-1592-7</v>
      </c>
      <c r="BG3439" s="1" t="s">
        <v>74</v>
      </c>
      <c r="BH3439" s="1" t="s">
        <v>74</v>
      </c>
      <c r="BI3439" s="1">
        <v>11</v>
      </c>
      <c r="BJ3439" s="1" t="s">
        <v>10582</v>
      </c>
      <c r="BK3439" s="1" t="s">
        <v>96</v>
      </c>
      <c r="BL3439" s="1" t="s">
        <v>7739</v>
      </c>
      <c r="BM3439" s="1" t="s">
        <v>54572</v>
      </c>
      <c r="BN3439" s="1" t="s">
        <v>74</v>
      </c>
      <c r="BO3439" s="1" t="s">
        <v>74</v>
      </c>
      <c r="BP3439" s="1" t="s">
        <v>74</v>
      </c>
      <c r="BQ3439" s="1" t="s">
        <v>74</v>
      </c>
      <c r="BR3439" s="1" t="s">
        <v>98</v>
      </c>
      <c r="BS3439" s="1" t="s">
        <v>54573</v>
      </c>
      <c r="BT3439" s="1" t="str">
        <f>HYPERLINK("https%3A%2F%2Fwww.webofscience.com%2Fwos%2Fwoscc%2Ffull-record%2FWOS:000360068200035","View Full Record in Web of Science")</f>
        <v>View Full Record in Web of Science</v>
      </c>
      <c r="BU3439" s="1"/>
      <c r="BV3439" s="1"/>
    </row>
    <row r="3440" spans="1:74">
      <c r="A3440" s="1" t="s">
        <v>72</v>
      </c>
      <c r="B3440" s="1" t="s">
        <v>54574</v>
      </c>
      <c r="C3440" s="1" t="s">
        <v>74</v>
      </c>
      <c r="D3440" s="1" t="s">
        <v>74</v>
      </c>
      <c r="E3440" s="1" t="s">
        <v>74</v>
      </c>
      <c r="F3440" s="1" t="s">
        <v>54574</v>
      </c>
      <c r="G3440" s="1" t="s">
        <v>74</v>
      </c>
      <c r="H3440" s="1" t="s">
        <v>74</v>
      </c>
      <c r="I3440" s="1" t="s">
        <v>54575</v>
      </c>
      <c r="J3440" s="1" t="s">
        <v>54576</v>
      </c>
      <c r="K3440" s="1" t="s">
        <v>74</v>
      </c>
      <c r="L3440" s="1" t="s">
        <v>74</v>
      </c>
      <c r="M3440" s="1" t="s">
        <v>78</v>
      </c>
      <c r="N3440" s="1" t="s">
        <v>151</v>
      </c>
      <c r="O3440" s="1" t="s">
        <v>54577</v>
      </c>
      <c r="P3440" s="1" t="s">
        <v>54578</v>
      </c>
      <c r="Q3440" s="1" t="s">
        <v>54579</v>
      </c>
      <c r="R3440" s="1" t="s">
        <v>74</v>
      </c>
      <c r="S3440" s="1" t="s">
        <v>74</v>
      </c>
      <c r="T3440" s="1" t="s">
        <v>74</v>
      </c>
      <c r="U3440" s="1" t="s">
        <v>54580</v>
      </c>
      <c r="V3440" s="1" t="s">
        <v>54581</v>
      </c>
      <c r="W3440" s="1" t="s">
        <v>74</v>
      </c>
      <c r="X3440" s="1" t="s">
        <v>74</v>
      </c>
      <c r="Y3440" s="1" t="s">
        <v>54582</v>
      </c>
      <c r="Z3440" s="1" t="s">
        <v>74</v>
      </c>
      <c r="AA3440" s="1" t="s">
        <v>74</v>
      </c>
      <c r="AB3440" s="1" t="s">
        <v>74</v>
      </c>
      <c r="AC3440" s="1" t="s">
        <v>74</v>
      </c>
      <c r="AD3440" s="1" t="s">
        <v>74</v>
      </c>
      <c r="AE3440" s="1" t="s">
        <v>74</v>
      </c>
      <c r="AF3440" s="1" t="s">
        <v>74</v>
      </c>
      <c r="AG3440" s="1">
        <v>57</v>
      </c>
      <c r="AH3440" s="1">
        <v>9</v>
      </c>
      <c r="AI3440" s="1">
        <v>10</v>
      </c>
      <c r="AJ3440" s="1">
        <v>0</v>
      </c>
      <c r="AK3440" s="1">
        <v>4</v>
      </c>
      <c r="AL3440" s="1" t="s">
        <v>6584</v>
      </c>
      <c r="AM3440" s="1" t="s">
        <v>113</v>
      </c>
      <c r="AN3440" s="1" t="s">
        <v>6585</v>
      </c>
      <c r="AO3440" s="1" t="s">
        <v>54583</v>
      </c>
      <c r="AP3440" s="1" t="s">
        <v>74</v>
      </c>
      <c r="AQ3440" s="1" t="s">
        <v>74</v>
      </c>
      <c r="AR3440" s="1" t="s">
        <v>54584</v>
      </c>
      <c r="AS3440" s="1" t="s">
        <v>54585</v>
      </c>
      <c r="AT3440" s="1" t="s">
        <v>74</v>
      </c>
      <c r="AU3440" s="1">
        <v>1997</v>
      </c>
      <c r="AV3440" s="1">
        <v>5</v>
      </c>
      <c r="AW3440" s="1" t="s">
        <v>1723</v>
      </c>
      <c r="AX3440" s="1" t="s">
        <v>74</v>
      </c>
      <c r="AY3440" s="1" t="s">
        <v>74</v>
      </c>
      <c r="AZ3440" s="1" t="s">
        <v>74</v>
      </c>
      <c r="BA3440" s="1" t="s">
        <v>74</v>
      </c>
      <c r="BB3440" s="1">
        <v>73</v>
      </c>
      <c r="BC3440" s="1">
        <v>81</v>
      </c>
      <c r="BD3440" s="1" t="s">
        <v>74</v>
      </c>
      <c r="BE3440" s="1" t="s">
        <v>74</v>
      </c>
      <c r="BF3440" s="1" t="s">
        <v>74</v>
      </c>
      <c r="BG3440" s="1" t="s">
        <v>74</v>
      </c>
      <c r="BH3440" s="1" t="s">
        <v>74</v>
      </c>
      <c r="BI3440" s="1">
        <v>9</v>
      </c>
      <c r="BJ3440" s="1" t="s">
        <v>12933</v>
      </c>
      <c r="BK3440" s="1" t="s">
        <v>588</v>
      </c>
      <c r="BL3440" s="1" t="s">
        <v>12933</v>
      </c>
      <c r="BM3440" s="1" t="s">
        <v>54586</v>
      </c>
      <c r="BN3440" s="1" t="s">
        <v>74</v>
      </c>
      <c r="BO3440" s="1" t="s">
        <v>74</v>
      </c>
      <c r="BP3440" s="1" t="s">
        <v>74</v>
      </c>
      <c r="BQ3440" s="1" t="s">
        <v>74</v>
      </c>
      <c r="BR3440" s="1" t="s">
        <v>98</v>
      </c>
      <c r="BS3440" s="1" t="s">
        <v>54587</v>
      </c>
      <c r="BT3440" s="1" t="str">
        <f>HYPERLINK("https%3A%2F%2Fwww.webofscience.com%2Fwos%2Fwoscc%2Ffull-record%2FWOS:A1997XJ35800001","View Full Record in Web of Science")</f>
        <v>View Full Record in Web of Science</v>
      </c>
      <c r="BU3440" s="1"/>
      <c r="BV3440" s="1"/>
    </row>
    <row r="3441" spans="1:74">
      <c r="A3441" s="1" t="s">
        <v>72</v>
      </c>
      <c r="B3441" s="1" t="s">
        <v>54588</v>
      </c>
      <c r="C3441" s="1" t="s">
        <v>74</v>
      </c>
      <c r="D3441" s="1" t="s">
        <v>74</v>
      </c>
      <c r="E3441" s="1" t="s">
        <v>74</v>
      </c>
      <c r="F3441" s="1" t="s">
        <v>54589</v>
      </c>
      <c r="G3441" s="1" t="s">
        <v>74</v>
      </c>
      <c r="H3441" s="1" t="s">
        <v>74</v>
      </c>
      <c r="I3441" s="1" t="s">
        <v>54590</v>
      </c>
      <c r="J3441" s="1" t="s">
        <v>232</v>
      </c>
      <c r="K3441" s="1" t="s">
        <v>74</v>
      </c>
      <c r="L3441" s="1" t="s">
        <v>74</v>
      </c>
      <c r="M3441" s="1" t="s">
        <v>78</v>
      </c>
      <c r="N3441" s="1" t="s">
        <v>79</v>
      </c>
      <c r="O3441" s="1" t="s">
        <v>74</v>
      </c>
      <c r="P3441" s="1" t="s">
        <v>74</v>
      </c>
      <c r="Q3441" s="1" t="s">
        <v>74</v>
      </c>
      <c r="R3441" s="1" t="s">
        <v>74</v>
      </c>
      <c r="S3441" s="1" t="s">
        <v>74</v>
      </c>
      <c r="T3441" s="1" t="s">
        <v>54591</v>
      </c>
      <c r="U3441" s="1" t="s">
        <v>54592</v>
      </c>
      <c r="V3441" s="1" t="s">
        <v>54593</v>
      </c>
      <c r="W3441" s="1" t="s">
        <v>54594</v>
      </c>
      <c r="X3441" s="1" t="s">
        <v>1259</v>
      </c>
      <c r="Y3441" s="1" t="s">
        <v>54595</v>
      </c>
      <c r="Z3441" s="1" t="s">
        <v>54596</v>
      </c>
      <c r="AA3441" s="1" t="s">
        <v>54597</v>
      </c>
      <c r="AB3441" s="1" t="s">
        <v>54598</v>
      </c>
      <c r="AC3441" s="1" t="s">
        <v>54599</v>
      </c>
      <c r="AD3441" s="1" t="s">
        <v>54600</v>
      </c>
      <c r="AE3441" s="1" t="s">
        <v>54601</v>
      </c>
      <c r="AF3441" s="1" t="s">
        <v>74</v>
      </c>
      <c r="AG3441" s="1">
        <v>38</v>
      </c>
      <c r="AH3441" s="1">
        <v>13</v>
      </c>
      <c r="AI3441" s="1">
        <v>13</v>
      </c>
      <c r="AJ3441" s="1">
        <v>2</v>
      </c>
      <c r="AK3441" s="1">
        <v>22</v>
      </c>
      <c r="AL3441" s="1" t="s">
        <v>136</v>
      </c>
      <c r="AM3441" s="1" t="s">
        <v>137</v>
      </c>
      <c r="AN3441" s="1" t="s">
        <v>138</v>
      </c>
      <c r="AO3441" s="1" t="s">
        <v>240</v>
      </c>
      <c r="AP3441" s="1" t="s">
        <v>241</v>
      </c>
      <c r="AQ3441" s="1" t="s">
        <v>74</v>
      </c>
      <c r="AR3441" s="1" t="s">
        <v>242</v>
      </c>
      <c r="AS3441" s="1" t="s">
        <v>243</v>
      </c>
      <c r="AT3441" s="1" t="s">
        <v>1470</v>
      </c>
      <c r="AU3441" s="1">
        <v>2018</v>
      </c>
      <c r="AV3441" s="1">
        <v>126</v>
      </c>
      <c r="AW3441" s="1" t="s">
        <v>74</v>
      </c>
      <c r="AX3441" s="1" t="s">
        <v>74</v>
      </c>
      <c r="AY3441" s="1" t="s">
        <v>74</v>
      </c>
      <c r="AZ3441" s="1" t="s">
        <v>74</v>
      </c>
      <c r="BA3441" s="1" t="s">
        <v>74</v>
      </c>
      <c r="BB3441" s="1">
        <v>113</v>
      </c>
      <c r="BC3441" s="1">
        <v>118</v>
      </c>
      <c r="BD3441" s="1" t="s">
        <v>74</v>
      </c>
      <c r="BE3441" s="1" t="s">
        <v>54602</v>
      </c>
      <c r="BF3441" s="1" t="str">
        <f>HYPERLINK("http://dx.doi.org/10.1016/j.marpolbul.2017.10.041","http://dx.doi.org/10.1016/j.marpolbul.2017.10.041")</f>
        <v>http://dx.doi.org/10.1016/j.marpolbul.2017.10.041</v>
      </c>
      <c r="BG3441" s="1" t="s">
        <v>74</v>
      </c>
      <c r="BH3441" s="1" t="s">
        <v>74</v>
      </c>
      <c r="BI3441" s="1">
        <v>6</v>
      </c>
      <c r="BJ3441" s="1" t="s">
        <v>247</v>
      </c>
      <c r="BK3441" s="1" t="s">
        <v>96</v>
      </c>
      <c r="BL3441" s="1" t="s">
        <v>248</v>
      </c>
      <c r="BM3441" s="1" t="s">
        <v>8877</v>
      </c>
      <c r="BN3441" s="1">
        <v>29421077</v>
      </c>
      <c r="BO3441" s="1" t="s">
        <v>1270</v>
      </c>
      <c r="BP3441" s="1" t="s">
        <v>74</v>
      </c>
      <c r="BQ3441" s="1" t="s">
        <v>74</v>
      </c>
      <c r="BR3441" s="1" t="s">
        <v>98</v>
      </c>
      <c r="BS3441" s="1" t="s">
        <v>54603</v>
      </c>
      <c r="BT3441" s="1" t="str">
        <f>HYPERLINK("https%3A%2F%2Fwww.webofscience.com%2Fwos%2Fwoscc%2Ffull-record%2FWOS:000425569400013","View Full Record in Web of Science")</f>
        <v>View Full Record in Web of Science</v>
      </c>
      <c r="BU3441" s="1"/>
      <c r="BV3441" s="1"/>
    </row>
    <row r="3442" spans="1:74">
      <c r="A3442" s="1" t="s">
        <v>72</v>
      </c>
      <c r="B3442" s="1" t="s">
        <v>54604</v>
      </c>
      <c r="C3442" s="1" t="s">
        <v>74</v>
      </c>
      <c r="D3442" s="1" t="s">
        <v>74</v>
      </c>
      <c r="E3442" s="1" t="s">
        <v>74</v>
      </c>
      <c r="F3442" s="1" t="s">
        <v>54605</v>
      </c>
      <c r="G3442" s="1" t="s">
        <v>74</v>
      </c>
      <c r="H3442" s="1" t="s">
        <v>74</v>
      </c>
      <c r="I3442" s="1" t="s">
        <v>54606</v>
      </c>
      <c r="J3442" s="1" t="s">
        <v>421</v>
      </c>
      <c r="K3442" s="1" t="s">
        <v>74</v>
      </c>
      <c r="L3442" s="1" t="s">
        <v>74</v>
      </c>
      <c r="M3442" s="1" t="s">
        <v>78</v>
      </c>
      <c r="N3442" s="1" t="s">
        <v>79</v>
      </c>
      <c r="O3442" s="1" t="s">
        <v>74</v>
      </c>
      <c r="P3442" s="1" t="s">
        <v>74</v>
      </c>
      <c r="Q3442" s="1" t="s">
        <v>74</v>
      </c>
      <c r="R3442" s="1" t="s">
        <v>74</v>
      </c>
      <c r="S3442" s="1" t="s">
        <v>74</v>
      </c>
      <c r="T3442" s="1" t="s">
        <v>54607</v>
      </c>
      <c r="U3442" s="1" t="s">
        <v>54608</v>
      </c>
      <c r="V3442" s="1" t="s">
        <v>54609</v>
      </c>
      <c r="W3442" s="1" t="s">
        <v>54610</v>
      </c>
      <c r="X3442" s="1" t="s">
        <v>54611</v>
      </c>
      <c r="Y3442" s="1" t="s">
        <v>54612</v>
      </c>
      <c r="Z3442" s="1" t="s">
        <v>9187</v>
      </c>
      <c r="AA3442" s="1" t="s">
        <v>54613</v>
      </c>
      <c r="AB3442" s="1" t="s">
        <v>54614</v>
      </c>
      <c r="AC3442" s="1" t="s">
        <v>54615</v>
      </c>
      <c r="AD3442" s="1" t="s">
        <v>54616</v>
      </c>
      <c r="AE3442" s="1" t="s">
        <v>54617</v>
      </c>
      <c r="AF3442" s="1" t="s">
        <v>74</v>
      </c>
      <c r="AG3442" s="1">
        <v>108</v>
      </c>
      <c r="AH3442" s="1">
        <v>75</v>
      </c>
      <c r="AI3442" s="1">
        <v>76</v>
      </c>
      <c r="AJ3442" s="1">
        <v>5</v>
      </c>
      <c r="AK3442" s="1">
        <v>46</v>
      </c>
      <c r="AL3442" s="1" t="s">
        <v>430</v>
      </c>
      <c r="AM3442" s="1" t="s">
        <v>137</v>
      </c>
      <c r="AN3442" s="1" t="s">
        <v>431</v>
      </c>
      <c r="AO3442" s="1" t="s">
        <v>432</v>
      </c>
      <c r="AP3442" s="1" t="s">
        <v>1394</v>
      </c>
      <c r="AQ3442" s="1" t="s">
        <v>74</v>
      </c>
      <c r="AR3442" s="1" t="s">
        <v>433</v>
      </c>
      <c r="AS3442" s="1" t="s">
        <v>434</v>
      </c>
      <c r="AT3442" s="1" t="s">
        <v>546</v>
      </c>
      <c r="AU3442" s="1">
        <v>2021</v>
      </c>
      <c r="AV3442" s="1">
        <v>289</v>
      </c>
      <c r="AW3442" s="1" t="s">
        <v>74</v>
      </c>
      <c r="AX3442" s="1" t="s">
        <v>74</v>
      </c>
      <c r="AY3442" s="1" t="s">
        <v>74</v>
      </c>
      <c r="AZ3442" s="1" t="s">
        <v>74</v>
      </c>
      <c r="BA3442" s="1" t="s">
        <v>74</v>
      </c>
      <c r="BB3442" s="1" t="s">
        <v>74</v>
      </c>
      <c r="BC3442" s="1" t="s">
        <v>74</v>
      </c>
      <c r="BD3442" s="1">
        <v>117892</v>
      </c>
      <c r="BE3442" s="1" t="s">
        <v>54618</v>
      </c>
      <c r="BF3442" s="1" t="str">
        <f>HYPERLINK("http://dx.doi.org/10.1016/j.envpol.2021.117892","http://dx.doi.org/10.1016/j.envpol.2021.117892")</f>
        <v>http://dx.doi.org/10.1016/j.envpol.2021.117892</v>
      </c>
      <c r="BG3442" s="1" t="s">
        <v>74</v>
      </c>
      <c r="BH3442" s="1" t="s">
        <v>30397</v>
      </c>
      <c r="BI3442" s="1">
        <v>13</v>
      </c>
      <c r="BJ3442" s="1" t="s">
        <v>144</v>
      </c>
      <c r="BK3442" s="1" t="s">
        <v>96</v>
      </c>
      <c r="BL3442" s="1" t="s">
        <v>145</v>
      </c>
      <c r="BM3442" s="1" t="s">
        <v>54619</v>
      </c>
      <c r="BN3442" s="1">
        <v>34385134</v>
      </c>
      <c r="BO3442" s="1" t="s">
        <v>74</v>
      </c>
      <c r="BP3442" s="1" t="s">
        <v>74</v>
      </c>
      <c r="BQ3442" s="1" t="s">
        <v>74</v>
      </c>
      <c r="BR3442" s="1" t="s">
        <v>98</v>
      </c>
      <c r="BS3442" s="1" t="s">
        <v>54620</v>
      </c>
      <c r="BT3442" s="1" t="str">
        <f>HYPERLINK("https%3A%2F%2Fwww.webofscience.com%2Fwos%2Fwoscc%2Ffull-record%2FWOS:000696803700010","View Full Record in Web of Science")</f>
        <v>View Full Record in Web of Science</v>
      </c>
      <c r="BU3442" s="1"/>
      <c r="BV3442" s="1"/>
    </row>
    <row r="3443" spans="1:74">
      <c r="A3443" s="1" t="s">
        <v>72</v>
      </c>
      <c r="B3443" s="1" t="s">
        <v>54621</v>
      </c>
      <c r="C3443" s="1" t="s">
        <v>74</v>
      </c>
      <c r="D3443" s="1" t="s">
        <v>74</v>
      </c>
      <c r="E3443" s="1" t="s">
        <v>74</v>
      </c>
      <c r="F3443" s="1" t="s">
        <v>54622</v>
      </c>
      <c r="G3443" s="1" t="s">
        <v>74</v>
      </c>
      <c r="H3443" s="1" t="s">
        <v>74</v>
      </c>
      <c r="I3443" s="1" t="s">
        <v>54623</v>
      </c>
      <c r="J3443" s="1" t="s">
        <v>421</v>
      </c>
      <c r="K3443" s="1" t="s">
        <v>74</v>
      </c>
      <c r="L3443" s="1" t="s">
        <v>74</v>
      </c>
      <c r="M3443" s="1" t="s">
        <v>78</v>
      </c>
      <c r="N3443" s="1" t="s">
        <v>79</v>
      </c>
      <c r="O3443" s="1" t="s">
        <v>74</v>
      </c>
      <c r="P3443" s="1" t="s">
        <v>74</v>
      </c>
      <c r="Q3443" s="1" t="s">
        <v>74</v>
      </c>
      <c r="R3443" s="1" t="s">
        <v>74</v>
      </c>
      <c r="S3443" s="1" t="s">
        <v>74</v>
      </c>
      <c r="T3443" s="1" t="s">
        <v>54624</v>
      </c>
      <c r="U3443" s="1" t="s">
        <v>54625</v>
      </c>
      <c r="V3443" s="1" t="s">
        <v>54626</v>
      </c>
      <c r="W3443" s="1" t="s">
        <v>54627</v>
      </c>
      <c r="X3443" s="1" t="s">
        <v>54628</v>
      </c>
      <c r="Y3443" s="1" t="s">
        <v>54629</v>
      </c>
      <c r="Z3443" s="1" t="s">
        <v>54630</v>
      </c>
      <c r="AA3443" s="1" t="s">
        <v>54631</v>
      </c>
      <c r="AB3443" s="1" t="s">
        <v>74</v>
      </c>
      <c r="AC3443" s="1" t="s">
        <v>54632</v>
      </c>
      <c r="AD3443" s="1" t="s">
        <v>54633</v>
      </c>
      <c r="AE3443" s="1" t="s">
        <v>54634</v>
      </c>
      <c r="AF3443" s="1" t="s">
        <v>74</v>
      </c>
      <c r="AG3443" s="1">
        <v>44</v>
      </c>
      <c r="AH3443" s="1">
        <v>0</v>
      </c>
      <c r="AI3443" s="1">
        <v>0</v>
      </c>
      <c r="AJ3443" s="1">
        <v>6</v>
      </c>
      <c r="AK3443" s="1">
        <v>6</v>
      </c>
      <c r="AL3443" s="1" t="s">
        <v>430</v>
      </c>
      <c r="AM3443" s="1" t="s">
        <v>7361</v>
      </c>
      <c r="AN3443" s="1" t="s">
        <v>7362</v>
      </c>
      <c r="AO3443" s="1" t="s">
        <v>432</v>
      </c>
      <c r="AP3443" s="1" t="s">
        <v>1394</v>
      </c>
      <c r="AQ3443" s="1" t="s">
        <v>74</v>
      </c>
      <c r="AR3443" s="1" t="s">
        <v>433</v>
      </c>
      <c r="AS3443" s="1" t="s">
        <v>434</v>
      </c>
      <c r="AT3443" s="1" t="s">
        <v>3542</v>
      </c>
      <c r="AU3443" s="1">
        <v>2024</v>
      </c>
      <c r="AV3443" s="1">
        <v>358</v>
      </c>
      <c r="AW3443" s="1" t="s">
        <v>74</v>
      </c>
      <c r="AX3443" s="1" t="s">
        <v>74</v>
      </c>
      <c r="AY3443" s="1" t="s">
        <v>74</v>
      </c>
      <c r="AZ3443" s="1" t="s">
        <v>74</v>
      </c>
      <c r="BA3443" s="1" t="s">
        <v>74</v>
      </c>
      <c r="BB3443" s="1" t="s">
        <v>74</v>
      </c>
      <c r="BC3443" s="1" t="s">
        <v>74</v>
      </c>
      <c r="BD3443" s="1">
        <v>124543</v>
      </c>
      <c r="BE3443" s="1" t="s">
        <v>54635</v>
      </c>
      <c r="BF3443" s="1" t="str">
        <f>HYPERLINK("http://dx.doi.org/10.1016/j.envpol.2024.124543","http://dx.doi.org/10.1016/j.envpol.2024.124543")</f>
        <v>http://dx.doi.org/10.1016/j.envpol.2024.124543</v>
      </c>
      <c r="BG3443" s="1" t="s">
        <v>74</v>
      </c>
      <c r="BH3443" s="1" t="s">
        <v>5962</v>
      </c>
      <c r="BI3443" s="1">
        <v>12</v>
      </c>
      <c r="BJ3443" s="1" t="s">
        <v>144</v>
      </c>
      <c r="BK3443" s="1" t="s">
        <v>96</v>
      </c>
      <c r="BL3443" s="1" t="s">
        <v>145</v>
      </c>
      <c r="BM3443" s="1" t="s">
        <v>54636</v>
      </c>
      <c r="BN3443" s="1">
        <v>39004204</v>
      </c>
      <c r="BO3443" s="1" t="s">
        <v>74</v>
      </c>
      <c r="BP3443" s="1" t="s">
        <v>74</v>
      </c>
      <c r="BQ3443" s="1" t="s">
        <v>74</v>
      </c>
      <c r="BR3443" s="1" t="s">
        <v>98</v>
      </c>
      <c r="BS3443" s="1" t="s">
        <v>54637</v>
      </c>
      <c r="BT3443" s="1" t="str">
        <f>HYPERLINK("https%3A%2F%2Fwww.webofscience.com%2Fwos%2Fwoscc%2Ffull-record%2FWOS:001273287700001","View Full Record in Web of Science")</f>
        <v>View Full Record in Web of Science</v>
      </c>
      <c r="BU3443" s="1"/>
      <c r="BV3443" s="1"/>
    </row>
    <row r="3444" spans="1:74">
      <c r="A3444" s="1" t="s">
        <v>72</v>
      </c>
      <c r="B3444" s="1" t="s">
        <v>54638</v>
      </c>
      <c r="C3444" s="1" t="s">
        <v>74</v>
      </c>
      <c r="D3444" s="1" t="s">
        <v>74</v>
      </c>
      <c r="E3444" s="1" t="s">
        <v>74</v>
      </c>
      <c r="F3444" s="1" t="s">
        <v>54639</v>
      </c>
      <c r="G3444" s="1" t="s">
        <v>74</v>
      </c>
      <c r="H3444" s="1" t="s">
        <v>74</v>
      </c>
      <c r="I3444" s="1" t="s">
        <v>54640</v>
      </c>
      <c r="J3444" s="1" t="s">
        <v>46467</v>
      </c>
      <c r="K3444" s="1" t="s">
        <v>74</v>
      </c>
      <c r="L3444" s="1" t="s">
        <v>74</v>
      </c>
      <c r="M3444" s="1" t="s">
        <v>78</v>
      </c>
      <c r="N3444" s="1" t="s">
        <v>79</v>
      </c>
      <c r="O3444" s="1" t="s">
        <v>74</v>
      </c>
      <c r="P3444" s="1" t="s">
        <v>74</v>
      </c>
      <c r="Q3444" s="1" t="s">
        <v>74</v>
      </c>
      <c r="R3444" s="1" t="s">
        <v>74</v>
      </c>
      <c r="S3444" s="1" t="s">
        <v>74</v>
      </c>
      <c r="T3444" s="1" t="s">
        <v>54641</v>
      </c>
      <c r="U3444" s="1" t="s">
        <v>54642</v>
      </c>
      <c r="V3444" s="1" t="s">
        <v>54643</v>
      </c>
      <c r="W3444" s="1" t="s">
        <v>54644</v>
      </c>
      <c r="X3444" s="1" t="s">
        <v>54645</v>
      </c>
      <c r="Y3444" s="1" t="s">
        <v>54646</v>
      </c>
      <c r="Z3444" s="1" t="s">
        <v>54647</v>
      </c>
      <c r="AA3444" s="1" t="s">
        <v>54648</v>
      </c>
      <c r="AB3444" s="1" t="s">
        <v>54649</v>
      </c>
      <c r="AC3444" s="1" t="s">
        <v>74</v>
      </c>
      <c r="AD3444" s="1" t="s">
        <v>74</v>
      </c>
      <c r="AE3444" s="1" t="s">
        <v>74</v>
      </c>
      <c r="AF3444" s="1" t="s">
        <v>74</v>
      </c>
      <c r="AG3444" s="1">
        <v>49</v>
      </c>
      <c r="AH3444" s="1">
        <v>18</v>
      </c>
      <c r="AI3444" s="1">
        <v>18</v>
      </c>
      <c r="AJ3444" s="1">
        <v>4</v>
      </c>
      <c r="AK3444" s="1">
        <v>22</v>
      </c>
      <c r="AL3444" s="1" t="s">
        <v>112</v>
      </c>
      <c r="AM3444" s="1" t="s">
        <v>113</v>
      </c>
      <c r="AN3444" s="1" t="s">
        <v>114</v>
      </c>
      <c r="AO3444" s="1" t="s">
        <v>46479</v>
      </c>
      <c r="AP3444" s="1" t="s">
        <v>46480</v>
      </c>
      <c r="AQ3444" s="1" t="s">
        <v>74</v>
      </c>
      <c r="AR3444" s="1" t="s">
        <v>46481</v>
      </c>
      <c r="AS3444" s="1" t="s">
        <v>46482</v>
      </c>
      <c r="AT3444" s="1" t="s">
        <v>765</v>
      </c>
      <c r="AU3444" s="1">
        <v>2022</v>
      </c>
      <c r="AV3444" s="1">
        <v>15</v>
      </c>
      <c r="AW3444" s="1">
        <v>7</v>
      </c>
      <c r="AX3444" s="1" t="s">
        <v>74</v>
      </c>
      <c r="AY3444" s="1" t="s">
        <v>74</v>
      </c>
      <c r="AZ3444" s="1" t="s">
        <v>74</v>
      </c>
      <c r="BA3444" s="1" t="s">
        <v>74</v>
      </c>
      <c r="BB3444" s="1">
        <v>1826</v>
      </c>
      <c r="BC3444" s="1">
        <v>1842</v>
      </c>
      <c r="BD3444" s="1" t="s">
        <v>74</v>
      </c>
      <c r="BE3444" s="1" t="s">
        <v>54650</v>
      </c>
      <c r="BF3444" s="1" t="str">
        <f>HYPERLINK("http://dx.doi.org/10.1007/s12161-022-02252-z","http://dx.doi.org/10.1007/s12161-022-02252-z")</f>
        <v>http://dx.doi.org/10.1007/s12161-022-02252-z</v>
      </c>
      <c r="BG3444" s="1" t="s">
        <v>74</v>
      </c>
      <c r="BH3444" s="1" t="s">
        <v>5038</v>
      </c>
      <c r="BI3444" s="1">
        <v>17</v>
      </c>
      <c r="BJ3444" s="1" t="s">
        <v>2598</v>
      </c>
      <c r="BK3444" s="1" t="s">
        <v>96</v>
      </c>
      <c r="BL3444" s="1" t="s">
        <v>2598</v>
      </c>
      <c r="BM3444" s="1" t="s">
        <v>54651</v>
      </c>
      <c r="BN3444" s="1" t="s">
        <v>74</v>
      </c>
      <c r="BO3444" s="1" t="s">
        <v>74</v>
      </c>
      <c r="BP3444" s="1" t="s">
        <v>74</v>
      </c>
      <c r="BQ3444" s="1" t="s">
        <v>74</v>
      </c>
      <c r="BR3444" s="1" t="s">
        <v>98</v>
      </c>
      <c r="BS3444" s="1" t="s">
        <v>54652</v>
      </c>
      <c r="BT3444" s="1" t="str">
        <f>HYPERLINK("https%3A%2F%2Fwww.webofscience.com%2Fwos%2Fwoscc%2Ffull-record%2FWOS:000766401300001","View Full Record in Web of Science")</f>
        <v>View Full Record in Web of Science</v>
      </c>
      <c r="BU3444" s="1"/>
      <c r="BV3444" s="1"/>
    </row>
    <row r="3445" spans="1:74">
      <c r="A3445" s="1" t="s">
        <v>72</v>
      </c>
      <c r="B3445" s="1" t="s">
        <v>54653</v>
      </c>
      <c r="C3445" s="1" t="s">
        <v>74</v>
      </c>
      <c r="D3445" s="1" t="s">
        <v>74</v>
      </c>
      <c r="E3445" s="1" t="s">
        <v>74</v>
      </c>
      <c r="F3445" s="1" t="s">
        <v>54654</v>
      </c>
      <c r="G3445" s="1" t="s">
        <v>74</v>
      </c>
      <c r="H3445" s="1" t="s">
        <v>74</v>
      </c>
      <c r="I3445" s="1" t="s">
        <v>54655</v>
      </c>
      <c r="J3445" s="1" t="s">
        <v>421</v>
      </c>
      <c r="K3445" s="1" t="s">
        <v>74</v>
      </c>
      <c r="L3445" s="1" t="s">
        <v>74</v>
      </c>
      <c r="M3445" s="1" t="s">
        <v>78</v>
      </c>
      <c r="N3445" s="1" t="s">
        <v>79</v>
      </c>
      <c r="O3445" s="1" t="s">
        <v>74</v>
      </c>
      <c r="P3445" s="1" t="s">
        <v>74</v>
      </c>
      <c r="Q3445" s="1" t="s">
        <v>74</v>
      </c>
      <c r="R3445" s="1" t="s">
        <v>74</v>
      </c>
      <c r="S3445" s="1" t="s">
        <v>74</v>
      </c>
      <c r="T3445" s="1" t="s">
        <v>54656</v>
      </c>
      <c r="U3445" s="1" t="s">
        <v>54657</v>
      </c>
      <c r="V3445" s="1" t="s">
        <v>54658</v>
      </c>
      <c r="W3445" s="1" t="s">
        <v>54659</v>
      </c>
      <c r="X3445" s="1" t="s">
        <v>54660</v>
      </c>
      <c r="Y3445" s="1" t="s">
        <v>54661</v>
      </c>
      <c r="Z3445" s="1" t="s">
        <v>54662</v>
      </c>
      <c r="AA3445" s="1" t="s">
        <v>54663</v>
      </c>
      <c r="AB3445" s="1" t="s">
        <v>54664</v>
      </c>
      <c r="AC3445" s="1" t="s">
        <v>54665</v>
      </c>
      <c r="AD3445" s="1" t="s">
        <v>36140</v>
      </c>
      <c r="AE3445" s="1" t="s">
        <v>54666</v>
      </c>
      <c r="AF3445" s="1" t="s">
        <v>74</v>
      </c>
      <c r="AG3445" s="1">
        <v>171</v>
      </c>
      <c r="AH3445" s="1">
        <v>36</v>
      </c>
      <c r="AI3445" s="1">
        <v>36</v>
      </c>
      <c r="AJ3445" s="1">
        <v>6</v>
      </c>
      <c r="AK3445" s="1">
        <v>82</v>
      </c>
      <c r="AL3445" s="1" t="s">
        <v>430</v>
      </c>
      <c r="AM3445" s="1" t="s">
        <v>137</v>
      </c>
      <c r="AN3445" s="1" t="s">
        <v>431</v>
      </c>
      <c r="AO3445" s="1" t="s">
        <v>432</v>
      </c>
      <c r="AP3445" s="1" t="s">
        <v>1394</v>
      </c>
      <c r="AQ3445" s="1" t="s">
        <v>74</v>
      </c>
      <c r="AR3445" s="1" t="s">
        <v>433</v>
      </c>
      <c r="AS3445" s="1" t="s">
        <v>434</v>
      </c>
      <c r="AT3445" s="1" t="s">
        <v>1965</v>
      </c>
      <c r="AU3445" s="1">
        <v>2021</v>
      </c>
      <c r="AV3445" s="1">
        <v>291</v>
      </c>
      <c r="AW3445" s="1" t="s">
        <v>74</v>
      </c>
      <c r="AX3445" s="1" t="s">
        <v>74</v>
      </c>
      <c r="AY3445" s="1" t="s">
        <v>74</v>
      </c>
      <c r="AZ3445" s="1" t="s">
        <v>74</v>
      </c>
      <c r="BA3445" s="1" t="s">
        <v>74</v>
      </c>
      <c r="BB3445" s="1" t="s">
        <v>74</v>
      </c>
      <c r="BC3445" s="1" t="s">
        <v>74</v>
      </c>
      <c r="BD3445" s="1">
        <v>118230</v>
      </c>
      <c r="BE3445" s="1" t="s">
        <v>54667</v>
      </c>
      <c r="BF3445" s="1" t="str">
        <f>HYPERLINK("http://dx.doi.org/10.1016/j.envpol.2021.118230","http://dx.doi.org/10.1016/j.envpol.2021.118230")</f>
        <v>http://dx.doi.org/10.1016/j.envpol.2021.118230</v>
      </c>
      <c r="BG3445" s="1" t="s">
        <v>74</v>
      </c>
      <c r="BH3445" s="1" t="s">
        <v>2955</v>
      </c>
      <c r="BI3445" s="1">
        <v>15</v>
      </c>
      <c r="BJ3445" s="1" t="s">
        <v>144</v>
      </c>
      <c r="BK3445" s="1" t="s">
        <v>96</v>
      </c>
      <c r="BL3445" s="1" t="s">
        <v>145</v>
      </c>
      <c r="BM3445" s="1" t="s">
        <v>54668</v>
      </c>
      <c r="BN3445" s="1">
        <v>34597732</v>
      </c>
      <c r="BO3445" s="1" t="s">
        <v>2784</v>
      </c>
      <c r="BP3445" s="1" t="s">
        <v>74</v>
      </c>
      <c r="BQ3445" s="1" t="s">
        <v>74</v>
      </c>
      <c r="BR3445" s="1" t="s">
        <v>98</v>
      </c>
      <c r="BS3445" s="1" t="s">
        <v>54669</v>
      </c>
      <c r="BT3445" s="1" t="str">
        <f>HYPERLINK("https%3A%2F%2Fwww.webofscience.com%2Fwos%2Fwoscc%2Ffull-record%2FWOS:000703682700006","View Full Record in Web of Science")</f>
        <v>View Full Record in Web of Science</v>
      </c>
      <c r="BU3445" s="1"/>
      <c r="BV3445" s="1"/>
    </row>
    <row r="3446" spans="1:74">
      <c r="A3446" s="1" t="s">
        <v>72</v>
      </c>
      <c r="B3446" s="1" t="s">
        <v>54670</v>
      </c>
      <c r="C3446" s="1" t="s">
        <v>74</v>
      </c>
      <c r="D3446" s="1" t="s">
        <v>74</v>
      </c>
      <c r="E3446" s="1" t="s">
        <v>74</v>
      </c>
      <c r="F3446" s="1" t="s">
        <v>54670</v>
      </c>
      <c r="G3446" s="1" t="s">
        <v>74</v>
      </c>
      <c r="H3446" s="1" t="s">
        <v>74</v>
      </c>
      <c r="I3446" s="1" t="s">
        <v>54671</v>
      </c>
      <c r="J3446" s="1" t="s">
        <v>54672</v>
      </c>
      <c r="K3446" s="1" t="s">
        <v>74</v>
      </c>
      <c r="L3446" s="1" t="s">
        <v>74</v>
      </c>
      <c r="M3446" s="1" t="s">
        <v>78</v>
      </c>
      <c r="N3446" s="1" t="s">
        <v>79</v>
      </c>
      <c r="O3446" s="1" t="s">
        <v>74</v>
      </c>
      <c r="P3446" s="1" t="s">
        <v>74</v>
      </c>
      <c r="Q3446" s="1" t="s">
        <v>74</v>
      </c>
      <c r="R3446" s="1" t="s">
        <v>74</v>
      </c>
      <c r="S3446" s="1" t="s">
        <v>74</v>
      </c>
      <c r="T3446" s="1" t="s">
        <v>54673</v>
      </c>
      <c r="U3446" s="1" t="s">
        <v>54674</v>
      </c>
      <c r="V3446" s="1" t="s">
        <v>54675</v>
      </c>
      <c r="W3446" s="1" t="s">
        <v>54676</v>
      </c>
      <c r="X3446" s="1" t="s">
        <v>54677</v>
      </c>
      <c r="Y3446" s="1" t="s">
        <v>54678</v>
      </c>
      <c r="Z3446" s="1" t="s">
        <v>74</v>
      </c>
      <c r="AA3446" s="1" t="s">
        <v>54679</v>
      </c>
      <c r="AB3446" s="1" t="s">
        <v>74</v>
      </c>
      <c r="AC3446" s="1" t="s">
        <v>74</v>
      </c>
      <c r="AD3446" s="1" t="s">
        <v>74</v>
      </c>
      <c r="AE3446" s="1" t="s">
        <v>74</v>
      </c>
      <c r="AF3446" s="1" t="s">
        <v>74</v>
      </c>
      <c r="AG3446" s="1">
        <v>57</v>
      </c>
      <c r="AH3446" s="1">
        <v>83</v>
      </c>
      <c r="AI3446" s="1">
        <v>93</v>
      </c>
      <c r="AJ3446" s="1">
        <v>1</v>
      </c>
      <c r="AK3446" s="1">
        <v>12</v>
      </c>
      <c r="AL3446" s="1" t="s">
        <v>136</v>
      </c>
      <c r="AM3446" s="1" t="s">
        <v>137</v>
      </c>
      <c r="AN3446" s="1" t="s">
        <v>138</v>
      </c>
      <c r="AO3446" s="1" t="s">
        <v>54680</v>
      </c>
      <c r="AP3446" s="1" t="s">
        <v>74</v>
      </c>
      <c r="AQ3446" s="1" t="s">
        <v>74</v>
      </c>
      <c r="AR3446" s="1" t="s">
        <v>54681</v>
      </c>
      <c r="AS3446" s="1" t="s">
        <v>54682</v>
      </c>
      <c r="AT3446" s="1" t="s">
        <v>74</v>
      </c>
      <c r="AU3446" s="1">
        <v>2000</v>
      </c>
      <c r="AV3446" s="1">
        <v>34</v>
      </c>
      <c r="AW3446" s="1">
        <v>5</v>
      </c>
      <c r="AX3446" s="1" t="s">
        <v>74</v>
      </c>
      <c r="AY3446" s="1" t="s">
        <v>74</v>
      </c>
      <c r="AZ3446" s="1" t="s">
        <v>74</v>
      </c>
      <c r="BA3446" s="1" t="s">
        <v>74</v>
      </c>
      <c r="BB3446" s="1">
        <v>745</v>
      </c>
      <c r="BC3446" s="1">
        <v>759</v>
      </c>
      <c r="BD3446" s="1" t="s">
        <v>74</v>
      </c>
      <c r="BE3446" s="1" t="s">
        <v>54683</v>
      </c>
      <c r="BF3446" s="1" t="str">
        <f>HYPERLINK("http://dx.doi.org/10.1016/S1352-2310(99)00395-7","http://dx.doi.org/10.1016/S1352-2310(99)00395-7")</f>
        <v>http://dx.doi.org/10.1016/S1352-2310(99)00395-7</v>
      </c>
      <c r="BG3446" s="1" t="s">
        <v>74</v>
      </c>
      <c r="BH3446" s="1" t="s">
        <v>74</v>
      </c>
      <c r="BI3446" s="1">
        <v>15</v>
      </c>
      <c r="BJ3446" s="1" t="s">
        <v>48612</v>
      </c>
      <c r="BK3446" s="1" t="s">
        <v>96</v>
      </c>
      <c r="BL3446" s="1" t="s">
        <v>48613</v>
      </c>
      <c r="BM3446" s="1" t="s">
        <v>54684</v>
      </c>
      <c r="BN3446" s="1" t="s">
        <v>74</v>
      </c>
      <c r="BO3446" s="1" t="s">
        <v>74</v>
      </c>
      <c r="BP3446" s="1" t="s">
        <v>74</v>
      </c>
      <c r="BQ3446" s="1" t="s">
        <v>74</v>
      </c>
      <c r="BR3446" s="1" t="s">
        <v>98</v>
      </c>
      <c r="BS3446" s="1" t="s">
        <v>54685</v>
      </c>
      <c r="BT3446" s="1" t="str">
        <f>HYPERLINK("https%3A%2F%2Fwww.webofscience.com%2Fwos%2Fwoscc%2Ffull-record%2FWOS:000084821500007","View Full Record in Web of Science")</f>
        <v>View Full Record in Web of Science</v>
      </c>
      <c r="BU3446" s="1"/>
      <c r="BV3446" s="1"/>
    </row>
    <row r="3447" spans="1:74">
      <c r="A3447" s="1" t="s">
        <v>72</v>
      </c>
      <c r="B3447" s="1" t="s">
        <v>54686</v>
      </c>
      <c r="C3447" s="1" t="s">
        <v>74</v>
      </c>
      <c r="D3447" s="1" t="s">
        <v>74</v>
      </c>
      <c r="E3447" s="1" t="s">
        <v>74</v>
      </c>
      <c r="F3447" s="1" t="s">
        <v>54687</v>
      </c>
      <c r="G3447" s="1" t="s">
        <v>74</v>
      </c>
      <c r="H3447" s="1" t="s">
        <v>74</v>
      </c>
      <c r="I3447" s="1" t="s">
        <v>54688</v>
      </c>
      <c r="J3447" s="1" t="s">
        <v>232</v>
      </c>
      <c r="K3447" s="1" t="s">
        <v>74</v>
      </c>
      <c r="L3447" s="1" t="s">
        <v>74</v>
      </c>
      <c r="M3447" s="1" t="s">
        <v>78</v>
      </c>
      <c r="N3447" s="1" t="s">
        <v>79</v>
      </c>
      <c r="O3447" s="1" t="s">
        <v>74</v>
      </c>
      <c r="P3447" s="1" t="s">
        <v>74</v>
      </c>
      <c r="Q3447" s="1" t="s">
        <v>74</v>
      </c>
      <c r="R3447" s="1" t="s">
        <v>74</v>
      </c>
      <c r="S3447" s="1" t="s">
        <v>74</v>
      </c>
      <c r="T3447" s="1" t="s">
        <v>54689</v>
      </c>
      <c r="U3447" s="1" t="s">
        <v>54690</v>
      </c>
      <c r="V3447" s="1" t="s">
        <v>54691</v>
      </c>
      <c r="W3447" s="1" t="s">
        <v>54692</v>
      </c>
      <c r="X3447" s="1" t="s">
        <v>7900</v>
      </c>
      <c r="Y3447" s="1" t="s">
        <v>54693</v>
      </c>
      <c r="Z3447" s="1" t="s">
        <v>7902</v>
      </c>
      <c r="AA3447" s="1" t="s">
        <v>54694</v>
      </c>
      <c r="AB3447" s="1" t="s">
        <v>54695</v>
      </c>
      <c r="AC3447" s="1" t="s">
        <v>54696</v>
      </c>
      <c r="AD3447" s="1" t="s">
        <v>7905</v>
      </c>
      <c r="AE3447" s="1" t="s">
        <v>54697</v>
      </c>
      <c r="AF3447" s="1" t="s">
        <v>74</v>
      </c>
      <c r="AG3447" s="1">
        <v>62</v>
      </c>
      <c r="AH3447" s="1">
        <v>4</v>
      </c>
      <c r="AI3447" s="1">
        <v>4</v>
      </c>
      <c r="AJ3447" s="1">
        <v>1</v>
      </c>
      <c r="AK3447" s="1">
        <v>4</v>
      </c>
      <c r="AL3447" s="1" t="s">
        <v>136</v>
      </c>
      <c r="AM3447" s="1" t="s">
        <v>137</v>
      </c>
      <c r="AN3447" s="1" t="s">
        <v>138</v>
      </c>
      <c r="AO3447" s="1" t="s">
        <v>240</v>
      </c>
      <c r="AP3447" s="1" t="s">
        <v>241</v>
      </c>
      <c r="AQ3447" s="1" t="s">
        <v>74</v>
      </c>
      <c r="AR3447" s="1" t="s">
        <v>242</v>
      </c>
      <c r="AS3447" s="1" t="s">
        <v>243</v>
      </c>
      <c r="AT3447" s="1" t="s">
        <v>951</v>
      </c>
      <c r="AU3447" s="1">
        <v>2023</v>
      </c>
      <c r="AV3447" s="1">
        <v>196</v>
      </c>
      <c r="AW3447" s="1" t="s">
        <v>74</v>
      </c>
      <c r="AX3447" s="1" t="s">
        <v>74</v>
      </c>
      <c r="AY3447" s="1" t="s">
        <v>74</v>
      </c>
      <c r="AZ3447" s="1" t="s">
        <v>74</v>
      </c>
      <c r="BA3447" s="1" t="s">
        <v>74</v>
      </c>
      <c r="BB3447" s="1" t="s">
        <v>74</v>
      </c>
      <c r="BC3447" s="1" t="s">
        <v>74</v>
      </c>
      <c r="BD3447" s="1">
        <v>115622</v>
      </c>
      <c r="BE3447" s="1" t="s">
        <v>54698</v>
      </c>
      <c r="BF3447" s="1" t="str">
        <f>HYPERLINK("http://dx.doi.org/10.1016/j.marpolbul.2023.115622","http://dx.doi.org/10.1016/j.marpolbul.2023.115622")</f>
        <v>http://dx.doi.org/10.1016/j.marpolbul.2023.115622</v>
      </c>
      <c r="BG3447" s="1" t="s">
        <v>74</v>
      </c>
      <c r="BH3447" s="1" t="s">
        <v>26143</v>
      </c>
      <c r="BI3447" s="1">
        <v>8</v>
      </c>
      <c r="BJ3447" s="1" t="s">
        <v>247</v>
      </c>
      <c r="BK3447" s="1" t="s">
        <v>96</v>
      </c>
      <c r="BL3447" s="1" t="s">
        <v>248</v>
      </c>
      <c r="BM3447" s="1" t="s">
        <v>54699</v>
      </c>
      <c r="BN3447" s="1">
        <v>37806013</v>
      </c>
      <c r="BO3447" s="1" t="s">
        <v>74</v>
      </c>
      <c r="BP3447" s="1" t="s">
        <v>74</v>
      </c>
      <c r="BQ3447" s="1" t="s">
        <v>74</v>
      </c>
      <c r="BR3447" s="1" t="s">
        <v>98</v>
      </c>
      <c r="BS3447" s="1" t="s">
        <v>54700</v>
      </c>
      <c r="BT3447" s="1" t="str">
        <f>HYPERLINK("https%3A%2F%2Fwww.webofscience.com%2Fwos%2Fwoscc%2Ffull-record%2FWOS:001093515300001","View Full Record in Web of Science")</f>
        <v>View Full Record in Web of Science</v>
      </c>
      <c r="BU3447" s="1"/>
      <c r="BV3447" s="1"/>
    </row>
    <row r="3448" spans="1:74">
      <c r="A3448" s="1" t="s">
        <v>72</v>
      </c>
      <c r="B3448" s="1" t="s">
        <v>54701</v>
      </c>
      <c r="C3448" s="1" t="s">
        <v>74</v>
      </c>
      <c r="D3448" s="1" t="s">
        <v>74</v>
      </c>
      <c r="E3448" s="1" t="s">
        <v>74</v>
      </c>
      <c r="F3448" s="1" t="s">
        <v>54701</v>
      </c>
      <c r="G3448" s="1" t="s">
        <v>74</v>
      </c>
      <c r="H3448" s="1" t="s">
        <v>74</v>
      </c>
      <c r="I3448" s="1" t="s">
        <v>54702</v>
      </c>
      <c r="J3448" s="1" t="s">
        <v>232</v>
      </c>
      <c r="K3448" s="1" t="s">
        <v>74</v>
      </c>
      <c r="L3448" s="1" t="s">
        <v>74</v>
      </c>
      <c r="M3448" s="1" t="s">
        <v>78</v>
      </c>
      <c r="N3448" s="1" t="s">
        <v>151</v>
      </c>
      <c r="O3448" s="1" t="s">
        <v>13514</v>
      </c>
      <c r="P3448" s="1" t="s">
        <v>13515</v>
      </c>
      <c r="Q3448" s="1" t="s">
        <v>13516</v>
      </c>
      <c r="R3448" s="1" t="s">
        <v>74</v>
      </c>
      <c r="S3448" s="1" t="s">
        <v>74</v>
      </c>
      <c r="T3448" s="1" t="s">
        <v>74</v>
      </c>
      <c r="U3448" s="1" t="s">
        <v>54703</v>
      </c>
      <c r="V3448" s="1" t="s">
        <v>54704</v>
      </c>
      <c r="W3448" s="1" t="s">
        <v>54705</v>
      </c>
      <c r="X3448" s="1" t="s">
        <v>54706</v>
      </c>
      <c r="Y3448" s="1" t="s">
        <v>54707</v>
      </c>
      <c r="Z3448" s="1" t="s">
        <v>74</v>
      </c>
      <c r="AA3448" s="1" t="s">
        <v>74</v>
      </c>
      <c r="AB3448" s="1" t="s">
        <v>74</v>
      </c>
      <c r="AC3448" s="1" t="s">
        <v>74</v>
      </c>
      <c r="AD3448" s="1" t="s">
        <v>74</v>
      </c>
      <c r="AE3448" s="1" t="s">
        <v>74</v>
      </c>
      <c r="AF3448" s="1" t="s">
        <v>74</v>
      </c>
      <c r="AG3448" s="1">
        <v>53</v>
      </c>
      <c r="AH3448" s="1">
        <v>128</v>
      </c>
      <c r="AI3448" s="1">
        <v>141</v>
      </c>
      <c r="AJ3448" s="1">
        <v>1</v>
      </c>
      <c r="AK3448" s="1">
        <v>35</v>
      </c>
      <c r="AL3448" s="1" t="s">
        <v>136</v>
      </c>
      <c r="AM3448" s="1" t="s">
        <v>137</v>
      </c>
      <c r="AN3448" s="1" t="s">
        <v>138</v>
      </c>
      <c r="AO3448" s="1" t="s">
        <v>240</v>
      </c>
      <c r="AP3448" s="1" t="s">
        <v>241</v>
      </c>
      <c r="AQ3448" s="1" t="s">
        <v>74</v>
      </c>
      <c r="AR3448" s="1" t="s">
        <v>242</v>
      </c>
      <c r="AS3448" s="1" t="s">
        <v>243</v>
      </c>
      <c r="AT3448" s="1" t="s">
        <v>4410</v>
      </c>
      <c r="AU3448" s="1">
        <v>1995</v>
      </c>
      <c r="AV3448" s="1">
        <v>31</v>
      </c>
      <c r="AW3448" s="1" t="s">
        <v>2847</v>
      </c>
      <c r="AX3448" s="1" t="s">
        <v>74</v>
      </c>
      <c r="AY3448" s="1" t="s">
        <v>74</v>
      </c>
      <c r="AZ3448" s="1" t="s">
        <v>225</v>
      </c>
      <c r="BA3448" s="1" t="s">
        <v>74</v>
      </c>
      <c r="BB3448" s="1">
        <v>44</v>
      </c>
      <c r="BC3448" s="1">
        <v>54</v>
      </c>
      <c r="BD3448" s="1" t="s">
        <v>74</v>
      </c>
      <c r="BE3448" s="1" t="s">
        <v>54708</v>
      </c>
      <c r="BF3448" s="1" t="str">
        <f>HYPERLINK("http://dx.doi.org/10.1016/0025-326X(95)00081-W","http://dx.doi.org/10.1016/0025-326X(95)00081-W")</f>
        <v>http://dx.doi.org/10.1016/0025-326X(95)00081-W</v>
      </c>
      <c r="BG3448" s="1" t="s">
        <v>74</v>
      </c>
      <c r="BH3448" s="1" t="s">
        <v>74</v>
      </c>
      <c r="BI3448" s="1">
        <v>11</v>
      </c>
      <c r="BJ3448" s="1" t="s">
        <v>247</v>
      </c>
      <c r="BK3448" s="1" t="s">
        <v>172</v>
      </c>
      <c r="BL3448" s="1" t="s">
        <v>248</v>
      </c>
      <c r="BM3448" s="1" t="s">
        <v>13521</v>
      </c>
      <c r="BN3448" s="1" t="s">
        <v>74</v>
      </c>
      <c r="BO3448" s="1" t="s">
        <v>74</v>
      </c>
      <c r="BP3448" s="1" t="s">
        <v>74</v>
      </c>
      <c r="BQ3448" s="1" t="s">
        <v>74</v>
      </c>
      <c r="BR3448" s="1" t="s">
        <v>98</v>
      </c>
      <c r="BS3448" s="1" t="s">
        <v>54709</v>
      </c>
      <c r="BT3448" s="1" t="str">
        <f>HYPERLINK("https%3A%2F%2Fwww.webofscience.com%2Fwos%2Fwoscc%2Ffull-record%2FWOS:A1995RU55100007","View Full Record in Web of Science")</f>
        <v>View Full Record in Web of Science</v>
      </c>
      <c r="BU3448" s="1"/>
      <c r="BV3448" s="1"/>
    </row>
    <row r="3449" spans="1:74">
      <c r="A3449" s="1" t="s">
        <v>72</v>
      </c>
      <c r="B3449" s="1" t="s">
        <v>54710</v>
      </c>
      <c r="C3449" s="1" t="s">
        <v>74</v>
      </c>
      <c r="D3449" s="1" t="s">
        <v>74</v>
      </c>
      <c r="E3449" s="1" t="s">
        <v>74</v>
      </c>
      <c r="F3449" s="1" t="s">
        <v>54710</v>
      </c>
      <c r="G3449" s="1" t="s">
        <v>74</v>
      </c>
      <c r="H3449" s="1" t="s">
        <v>74</v>
      </c>
      <c r="I3449" s="1" t="s">
        <v>54711</v>
      </c>
      <c r="J3449" s="1" t="s">
        <v>232</v>
      </c>
      <c r="K3449" s="1" t="s">
        <v>74</v>
      </c>
      <c r="L3449" s="1" t="s">
        <v>74</v>
      </c>
      <c r="M3449" s="1" t="s">
        <v>78</v>
      </c>
      <c r="N3449" s="1" t="s">
        <v>79</v>
      </c>
      <c r="O3449" s="1" t="s">
        <v>74</v>
      </c>
      <c r="P3449" s="1" t="s">
        <v>74</v>
      </c>
      <c r="Q3449" s="1" t="s">
        <v>74</v>
      </c>
      <c r="R3449" s="1" t="s">
        <v>74</v>
      </c>
      <c r="S3449" s="1" t="s">
        <v>74</v>
      </c>
      <c r="T3449" s="1" t="s">
        <v>74</v>
      </c>
      <c r="U3449" s="1" t="s">
        <v>54712</v>
      </c>
      <c r="V3449" s="1" t="s">
        <v>74</v>
      </c>
      <c r="W3449" s="1" t="s">
        <v>74</v>
      </c>
      <c r="X3449" s="1" t="s">
        <v>74</v>
      </c>
      <c r="Y3449" s="1" t="s">
        <v>54713</v>
      </c>
      <c r="Z3449" s="1" t="s">
        <v>74</v>
      </c>
      <c r="AA3449" s="1" t="s">
        <v>2443</v>
      </c>
      <c r="AB3449" s="1" t="s">
        <v>8841</v>
      </c>
      <c r="AC3449" s="1" t="s">
        <v>74</v>
      </c>
      <c r="AD3449" s="1" t="s">
        <v>74</v>
      </c>
      <c r="AE3449" s="1" t="s">
        <v>74</v>
      </c>
      <c r="AF3449" s="1" t="s">
        <v>74</v>
      </c>
      <c r="AG3449" s="1">
        <v>26</v>
      </c>
      <c r="AH3449" s="1">
        <v>80</v>
      </c>
      <c r="AI3449" s="1">
        <v>91</v>
      </c>
      <c r="AJ3449" s="1">
        <v>0</v>
      </c>
      <c r="AK3449" s="1">
        <v>4</v>
      </c>
      <c r="AL3449" s="1" t="s">
        <v>136</v>
      </c>
      <c r="AM3449" s="1" t="s">
        <v>137</v>
      </c>
      <c r="AN3449" s="1" t="s">
        <v>138</v>
      </c>
      <c r="AO3449" s="1" t="s">
        <v>240</v>
      </c>
      <c r="AP3449" s="1" t="s">
        <v>241</v>
      </c>
      <c r="AQ3449" s="1" t="s">
        <v>74</v>
      </c>
      <c r="AR3449" s="1" t="s">
        <v>242</v>
      </c>
      <c r="AS3449" s="1" t="s">
        <v>243</v>
      </c>
      <c r="AT3449" s="1" t="s">
        <v>119</v>
      </c>
      <c r="AU3449" s="1">
        <v>1997</v>
      </c>
      <c r="AV3449" s="1">
        <v>34</v>
      </c>
      <c r="AW3449" s="1">
        <v>8</v>
      </c>
      <c r="AX3449" s="1" t="s">
        <v>74</v>
      </c>
      <c r="AY3449" s="1" t="s">
        <v>74</v>
      </c>
      <c r="AZ3449" s="1" t="s">
        <v>74</v>
      </c>
      <c r="BA3449" s="1" t="s">
        <v>74</v>
      </c>
      <c r="BB3449" s="1">
        <v>666</v>
      </c>
      <c r="BC3449" s="1">
        <v>671</v>
      </c>
      <c r="BD3449" s="1" t="s">
        <v>74</v>
      </c>
      <c r="BE3449" s="1" t="s">
        <v>54714</v>
      </c>
      <c r="BF3449" s="1" t="str">
        <f>HYPERLINK("http://dx.doi.org/10.1016/S0025-326X(97)00036-2","http://dx.doi.org/10.1016/S0025-326X(97)00036-2")</f>
        <v>http://dx.doi.org/10.1016/S0025-326X(97)00036-2</v>
      </c>
      <c r="BG3449" s="1" t="s">
        <v>74</v>
      </c>
      <c r="BH3449" s="1" t="s">
        <v>74</v>
      </c>
      <c r="BI3449" s="1">
        <v>6</v>
      </c>
      <c r="BJ3449" s="1" t="s">
        <v>247</v>
      </c>
      <c r="BK3449" s="1" t="s">
        <v>96</v>
      </c>
      <c r="BL3449" s="1" t="s">
        <v>248</v>
      </c>
      <c r="BM3449" s="1" t="s">
        <v>54715</v>
      </c>
      <c r="BN3449" s="1" t="s">
        <v>74</v>
      </c>
      <c r="BO3449" s="1" t="s">
        <v>74</v>
      </c>
      <c r="BP3449" s="1" t="s">
        <v>74</v>
      </c>
      <c r="BQ3449" s="1" t="s">
        <v>74</v>
      </c>
      <c r="BR3449" s="1" t="s">
        <v>98</v>
      </c>
      <c r="BS3449" s="1" t="s">
        <v>54716</v>
      </c>
      <c r="BT3449" s="1" t="str">
        <f>HYPERLINK("https%3A%2F%2Fwww.webofscience.com%2Fwos%2Fwoscc%2Ffull-record%2FWOS:A1997YD11100020","View Full Record in Web of Science")</f>
        <v>View Full Record in Web of Science</v>
      </c>
      <c r="BU3449" s="1"/>
      <c r="BV3449" s="1"/>
    </row>
    <row r="3450" spans="1:74">
      <c r="A3450" s="1" t="s">
        <v>72</v>
      </c>
      <c r="B3450" s="1" t="s">
        <v>54717</v>
      </c>
      <c r="C3450" s="1" t="s">
        <v>74</v>
      </c>
      <c r="D3450" s="1" t="s">
        <v>74</v>
      </c>
      <c r="E3450" s="1" t="s">
        <v>74</v>
      </c>
      <c r="F3450" s="1" t="s">
        <v>54718</v>
      </c>
      <c r="G3450" s="1" t="s">
        <v>74</v>
      </c>
      <c r="H3450" s="1" t="s">
        <v>74</v>
      </c>
      <c r="I3450" s="1" t="s">
        <v>54719</v>
      </c>
      <c r="J3450" s="1" t="s">
        <v>421</v>
      </c>
      <c r="K3450" s="1" t="s">
        <v>74</v>
      </c>
      <c r="L3450" s="1" t="s">
        <v>74</v>
      </c>
      <c r="M3450" s="1" t="s">
        <v>78</v>
      </c>
      <c r="N3450" s="1" t="s">
        <v>79</v>
      </c>
      <c r="O3450" s="1" t="s">
        <v>74</v>
      </c>
      <c r="P3450" s="1" t="s">
        <v>74</v>
      </c>
      <c r="Q3450" s="1" t="s">
        <v>74</v>
      </c>
      <c r="R3450" s="1" t="s">
        <v>74</v>
      </c>
      <c r="S3450" s="1" t="s">
        <v>74</v>
      </c>
      <c r="T3450" s="1" t="s">
        <v>54720</v>
      </c>
      <c r="U3450" s="1" t="s">
        <v>54721</v>
      </c>
      <c r="V3450" s="1" t="s">
        <v>54722</v>
      </c>
      <c r="W3450" s="1" t="s">
        <v>54723</v>
      </c>
      <c r="X3450" s="1" t="s">
        <v>54724</v>
      </c>
      <c r="Y3450" s="1" t="s">
        <v>54725</v>
      </c>
      <c r="Z3450" s="1" t="s">
        <v>54726</v>
      </c>
      <c r="AA3450" s="1" t="s">
        <v>54727</v>
      </c>
      <c r="AB3450" s="1" t="s">
        <v>54728</v>
      </c>
      <c r="AC3450" s="1" t="s">
        <v>74</v>
      </c>
      <c r="AD3450" s="1" t="s">
        <v>74</v>
      </c>
      <c r="AE3450" s="1" t="s">
        <v>74</v>
      </c>
      <c r="AF3450" s="1" t="s">
        <v>74</v>
      </c>
      <c r="AG3450" s="1">
        <v>72</v>
      </c>
      <c r="AH3450" s="1">
        <v>18</v>
      </c>
      <c r="AI3450" s="1">
        <v>19</v>
      </c>
      <c r="AJ3450" s="1">
        <v>2</v>
      </c>
      <c r="AK3450" s="1">
        <v>81</v>
      </c>
      <c r="AL3450" s="1" t="s">
        <v>430</v>
      </c>
      <c r="AM3450" s="1" t="s">
        <v>137</v>
      </c>
      <c r="AN3450" s="1" t="s">
        <v>431</v>
      </c>
      <c r="AO3450" s="1" t="s">
        <v>432</v>
      </c>
      <c r="AP3450" s="1" t="s">
        <v>1394</v>
      </c>
      <c r="AQ3450" s="1" t="s">
        <v>74</v>
      </c>
      <c r="AR3450" s="1" t="s">
        <v>433</v>
      </c>
      <c r="AS3450" s="1" t="s">
        <v>434</v>
      </c>
      <c r="AT3450" s="1" t="s">
        <v>951</v>
      </c>
      <c r="AU3450" s="1">
        <v>2020</v>
      </c>
      <c r="AV3450" s="1">
        <v>266</v>
      </c>
      <c r="AW3450" s="1" t="s">
        <v>74</v>
      </c>
      <c r="AX3450" s="1">
        <v>2</v>
      </c>
      <c r="AY3450" s="1" t="s">
        <v>74</v>
      </c>
      <c r="AZ3450" s="1" t="s">
        <v>74</v>
      </c>
      <c r="BA3450" s="1" t="s">
        <v>74</v>
      </c>
      <c r="BB3450" s="1" t="s">
        <v>74</v>
      </c>
      <c r="BC3450" s="1" t="s">
        <v>74</v>
      </c>
      <c r="BD3450" s="1">
        <v>115190</v>
      </c>
      <c r="BE3450" s="1" t="s">
        <v>54729</v>
      </c>
      <c r="BF3450" s="1" t="str">
        <f>HYPERLINK("http://dx.doi.org/10.1016/j.envpol.2020.115190","http://dx.doi.org/10.1016/j.envpol.2020.115190")</f>
        <v>http://dx.doi.org/10.1016/j.envpol.2020.115190</v>
      </c>
      <c r="BG3450" s="1" t="s">
        <v>74</v>
      </c>
      <c r="BH3450" s="1" t="s">
        <v>74</v>
      </c>
      <c r="BI3450" s="1">
        <v>10</v>
      </c>
      <c r="BJ3450" s="1" t="s">
        <v>144</v>
      </c>
      <c r="BK3450" s="1" t="s">
        <v>96</v>
      </c>
      <c r="BL3450" s="1" t="s">
        <v>145</v>
      </c>
      <c r="BM3450" s="1" t="s">
        <v>54730</v>
      </c>
      <c r="BN3450" s="1">
        <v>32688077</v>
      </c>
      <c r="BO3450" s="1" t="s">
        <v>74</v>
      </c>
      <c r="BP3450" s="1" t="s">
        <v>74</v>
      </c>
      <c r="BQ3450" s="1" t="s">
        <v>74</v>
      </c>
      <c r="BR3450" s="1" t="s">
        <v>98</v>
      </c>
      <c r="BS3450" s="1" t="s">
        <v>54731</v>
      </c>
      <c r="BT3450" s="1" t="str">
        <f>HYPERLINK("https%3A%2F%2Fwww.webofscience.com%2Fwos%2Fwoscc%2Ffull-record%2FWOS:000571852700013","View Full Record in Web of Science")</f>
        <v>View Full Record in Web of Science</v>
      </c>
      <c r="BU3450" s="1"/>
      <c r="BV3450" s="1"/>
    </row>
    <row r="3451" spans="1:74">
      <c r="A3451" s="1" t="s">
        <v>72</v>
      </c>
      <c r="B3451" s="1" t="s">
        <v>54732</v>
      </c>
      <c r="C3451" s="1" t="s">
        <v>74</v>
      </c>
      <c r="D3451" s="1" t="s">
        <v>74</v>
      </c>
      <c r="E3451" s="1" t="s">
        <v>74</v>
      </c>
      <c r="F3451" s="1" t="s">
        <v>54733</v>
      </c>
      <c r="G3451" s="1" t="s">
        <v>74</v>
      </c>
      <c r="H3451" s="1" t="s">
        <v>74</v>
      </c>
      <c r="I3451" s="1" t="s">
        <v>54734</v>
      </c>
      <c r="J3451" s="1" t="s">
        <v>54735</v>
      </c>
      <c r="K3451" s="1" t="s">
        <v>74</v>
      </c>
      <c r="L3451" s="1" t="s">
        <v>74</v>
      </c>
      <c r="M3451" s="1" t="s">
        <v>78</v>
      </c>
      <c r="N3451" s="1" t="s">
        <v>79</v>
      </c>
      <c r="O3451" s="1" t="s">
        <v>74</v>
      </c>
      <c r="P3451" s="1" t="s">
        <v>74</v>
      </c>
      <c r="Q3451" s="1" t="s">
        <v>74</v>
      </c>
      <c r="R3451" s="1" t="s">
        <v>74</v>
      </c>
      <c r="S3451" s="1" t="s">
        <v>74</v>
      </c>
      <c r="T3451" s="1" t="s">
        <v>54736</v>
      </c>
      <c r="U3451" s="1" t="s">
        <v>54737</v>
      </c>
      <c r="V3451" s="1" t="s">
        <v>54738</v>
      </c>
      <c r="W3451" s="1" t="s">
        <v>54739</v>
      </c>
      <c r="X3451" s="1" t="s">
        <v>42949</v>
      </c>
      <c r="Y3451" s="1" t="s">
        <v>54740</v>
      </c>
      <c r="Z3451" s="1" t="s">
        <v>33708</v>
      </c>
      <c r="AA3451" s="1" t="s">
        <v>54741</v>
      </c>
      <c r="AB3451" s="1" t="s">
        <v>42952</v>
      </c>
      <c r="AC3451" s="1" t="s">
        <v>74</v>
      </c>
      <c r="AD3451" s="1" t="s">
        <v>74</v>
      </c>
      <c r="AE3451" s="1" t="s">
        <v>74</v>
      </c>
      <c r="AF3451" s="1" t="s">
        <v>74</v>
      </c>
      <c r="AG3451" s="1">
        <v>47</v>
      </c>
      <c r="AH3451" s="1">
        <v>34</v>
      </c>
      <c r="AI3451" s="1">
        <v>39</v>
      </c>
      <c r="AJ3451" s="1">
        <v>2</v>
      </c>
      <c r="AK3451" s="1">
        <v>9</v>
      </c>
      <c r="AL3451" s="1" t="s">
        <v>650</v>
      </c>
      <c r="AM3451" s="1" t="s">
        <v>651</v>
      </c>
      <c r="AN3451" s="1" t="s">
        <v>652</v>
      </c>
      <c r="AO3451" s="1" t="s">
        <v>54742</v>
      </c>
      <c r="AP3451" s="1" t="s">
        <v>54743</v>
      </c>
      <c r="AQ3451" s="1" t="s">
        <v>74</v>
      </c>
      <c r="AR3451" s="1" t="s">
        <v>54744</v>
      </c>
      <c r="AS3451" s="1" t="s">
        <v>54745</v>
      </c>
      <c r="AT3451" s="1" t="s">
        <v>54746</v>
      </c>
      <c r="AU3451" s="1">
        <v>2006</v>
      </c>
      <c r="AV3451" s="1">
        <v>1088</v>
      </c>
      <c r="AW3451" s="1" t="s">
        <v>74</v>
      </c>
      <c r="AX3451" s="1" t="s">
        <v>74</v>
      </c>
      <c r="AY3451" s="1" t="s">
        <v>74</v>
      </c>
      <c r="AZ3451" s="1" t="s">
        <v>74</v>
      </c>
      <c r="BA3451" s="1" t="s">
        <v>74</v>
      </c>
      <c r="BB3451" s="1">
        <v>93</v>
      </c>
      <c r="BC3451" s="1">
        <v>100</v>
      </c>
      <c r="BD3451" s="1" t="s">
        <v>74</v>
      </c>
      <c r="BE3451" s="1" t="s">
        <v>54747</v>
      </c>
      <c r="BF3451" s="1" t="str">
        <f>HYPERLINK("http://dx.doi.org/10.1016/j.brainres.2006.03.005","http://dx.doi.org/10.1016/j.brainres.2006.03.005")</f>
        <v>http://dx.doi.org/10.1016/j.brainres.2006.03.005</v>
      </c>
      <c r="BG3451" s="1" t="s">
        <v>74</v>
      </c>
      <c r="BH3451" s="1" t="s">
        <v>74</v>
      </c>
      <c r="BI3451" s="1">
        <v>8</v>
      </c>
      <c r="BJ3451" s="1" t="s">
        <v>13881</v>
      </c>
      <c r="BK3451" s="1" t="s">
        <v>96</v>
      </c>
      <c r="BL3451" s="1" t="s">
        <v>13882</v>
      </c>
      <c r="BM3451" s="1" t="s">
        <v>54748</v>
      </c>
      <c r="BN3451" s="1">
        <v>16630593</v>
      </c>
      <c r="BO3451" s="1" t="s">
        <v>74</v>
      </c>
      <c r="BP3451" s="1" t="s">
        <v>74</v>
      </c>
      <c r="BQ3451" s="1" t="s">
        <v>74</v>
      </c>
      <c r="BR3451" s="1" t="s">
        <v>98</v>
      </c>
      <c r="BS3451" s="1" t="s">
        <v>54749</v>
      </c>
      <c r="BT3451" s="1" t="str">
        <f>HYPERLINK("https%3A%2F%2Fwww.webofscience.com%2Fwos%2Fwoscc%2Ffull-record%2FWOS:000238512900011","View Full Record in Web of Science")</f>
        <v>View Full Record in Web of Science</v>
      </c>
      <c r="BU3451" s="1"/>
      <c r="BV3451" s="1"/>
    </row>
    <row r="3452" spans="1:74">
      <c r="A3452" s="1" t="s">
        <v>72</v>
      </c>
      <c r="B3452" s="1" t="s">
        <v>54750</v>
      </c>
      <c r="C3452" s="1" t="s">
        <v>74</v>
      </c>
      <c r="D3452" s="1" t="s">
        <v>74</v>
      </c>
      <c r="E3452" s="1" t="s">
        <v>74</v>
      </c>
      <c r="F3452" s="1" t="s">
        <v>54751</v>
      </c>
      <c r="G3452" s="1" t="s">
        <v>74</v>
      </c>
      <c r="H3452" s="1" t="s">
        <v>74</v>
      </c>
      <c r="I3452" s="1" t="s">
        <v>54752</v>
      </c>
      <c r="J3452" s="1" t="s">
        <v>54753</v>
      </c>
      <c r="K3452" s="1" t="s">
        <v>74</v>
      </c>
      <c r="L3452" s="1" t="s">
        <v>74</v>
      </c>
      <c r="M3452" s="1" t="s">
        <v>78</v>
      </c>
      <c r="N3452" s="1" t="s">
        <v>79</v>
      </c>
      <c r="O3452" s="1" t="s">
        <v>74</v>
      </c>
      <c r="P3452" s="1" t="s">
        <v>74</v>
      </c>
      <c r="Q3452" s="1" t="s">
        <v>74</v>
      </c>
      <c r="R3452" s="1" t="s">
        <v>74</v>
      </c>
      <c r="S3452" s="1" t="s">
        <v>74</v>
      </c>
      <c r="T3452" s="1" t="s">
        <v>54754</v>
      </c>
      <c r="U3452" s="1" t="s">
        <v>54755</v>
      </c>
      <c r="V3452" s="1" t="s">
        <v>54756</v>
      </c>
      <c r="W3452" s="1" t="s">
        <v>54757</v>
      </c>
      <c r="X3452" s="1" t="s">
        <v>54758</v>
      </c>
      <c r="Y3452" s="1" t="s">
        <v>54759</v>
      </c>
      <c r="Z3452" s="1" t="s">
        <v>54760</v>
      </c>
      <c r="AA3452" s="1" t="s">
        <v>54761</v>
      </c>
      <c r="AB3452" s="1" t="s">
        <v>54762</v>
      </c>
      <c r="AC3452" s="1" t="s">
        <v>74</v>
      </c>
      <c r="AD3452" s="1" t="s">
        <v>74</v>
      </c>
      <c r="AE3452" s="1" t="s">
        <v>74</v>
      </c>
      <c r="AF3452" s="1" t="s">
        <v>74</v>
      </c>
      <c r="AG3452" s="1">
        <v>30</v>
      </c>
      <c r="AH3452" s="1">
        <v>3</v>
      </c>
      <c r="AI3452" s="1">
        <v>3</v>
      </c>
      <c r="AJ3452" s="1">
        <v>1</v>
      </c>
      <c r="AK3452" s="1">
        <v>47</v>
      </c>
      <c r="AL3452" s="1" t="s">
        <v>13288</v>
      </c>
      <c r="AM3452" s="1" t="s">
        <v>13289</v>
      </c>
      <c r="AN3452" s="1" t="s">
        <v>13290</v>
      </c>
      <c r="AO3452" s="1" t="s">
        <v>54763</v>
      </c>
      <c r="AP3452" s="1" t="s">
        <v>54764</v>
      </c>
      <c r="AQ3452" s="1" t="s">
        <v>74</v>
      </c>
      <c r="AR3452" s="1" t="s">
        <v>54765</v>
      </c>
      <c r="AS3452" s="1" t="s">
        <v>54766</v>
      </c>
      <c r="AT3452" s="1" t="s">
        <v>1223</v>
      </c>
      <c r="AU3452" s="1">
        <v>2022</v>
      </c>
      <c r="AV3452" s="1">
        <v>51</v>
      </c>
      <c r="AW3452" s="1">
        <v>8</v>
      </c>
      <c r="AX3452" s="1" t="s">
        <v>74</v>
      </c>
      <c r="AY3452" s="1" t="s">
        <v>74</v>
      </c>
      <c r="AZ3452" s="1" t="s">
        <v>74</v>
      </c>
      <c r="BA3452" s="1" t="s">
        <v>74</v>
      </c>
      <c r="BB3452" s="1">
        <v>1312</v>
      </c>
      <c r="BC3452" s="1">
        <v>1329</v>
      </c>
      <c r="BD3452" s="1">
        <v>1528083719900930</v>
      </c>
      <c r="BE3452" s="1" t="s">
        <v>54767</v>
      </c>
      <c r="BF3452" s="1" t="str">
        <f>HYPERLINK("http://dx.doi.org/10.1177/1528083719900933","http://dx.doi.org/10.1177/1528083719900933")</f>
        <v>http://dx.doi.org/10.1177/1528083719900933</v>
      </c>
      <c r="BG3452" s="1" t="s">
        <v>74</v>
      </c>
      <c r="BH3452" s="1" t="s">
        <v>42279</v>
      </c>
      <c r="BI3452" s="1">
        <v>18</v>
      </c>
      <c r="BJ3452" s="1" t="s">
        <v>54768</v>
      </c>
      <c r="BK3452" s="1" t="s">
        <v>96</v>
      </c>
      <c r="BL3452" s="1" t="s">
        <v>39379</v>
      </c>
      <c r="BM3452" s="1" t="s">
        <v>54769</v>
      </c>
      <c r="BN3452" s="1" t="s">
        <v>74</v>
      </c>
      <c r="BO3452" s="1" t="s">
        <v>74</v>
      </c>
      <c r="BP3452" s="1" t="s">
        <v>74</v>
      </c>
      <c r="BQ3452" s="1" t="s">
        <v>74</v>
      </c>
      <c r="BR3452" s="1" t="s">
        <v>98</v>
      </c>
      <c r="BS3452" s="1" t="s">
        <v>54770</v>
      </c>
      <c r="BT3452" s="1" t="str">
        <f>HYPERLINK("https%3A%2F%2Fwww.webofscience.com%2Fwos%2Fwoscc%2Ffull-record%2FWOS:000509288900001","View Full Record in Web of Science")</f>
        <v>View Full Record in Web of Science</v>
      </c>
      <c r="BU3452" s="1"/>
      <c r="BV3452" s="1"/>
    </row>
    <row r="3453" spans="1:74">
      <c r="A3453" s="1" t="s">
        <v>72</v>
      </c>
      <c r="B3453" s="1" t="s">
        <v>54771</v>
      </c>
      <c r="C3453" s="1" t="s">
        <v>74</v>
      </c>
      <c r="D3453" s="1" t="s">
        <v>74</v>
      </c>
      <c r="E3453" s="1" t="s">
        <v>74</v>
      </c>
      <c r="F3453" s="1" t="s">
        <v>54772</v>
      </c>
      <c r="G3453" s="1" t="s">
        <v>74</v>
      </c>
      <c r="H3453" s="1" t="s">
        <v>74</v>
      </c>
      <c r="I3453" s="1" t="s">
        <v>54773</v>
      </c>
      <c r="J3453" s="1" t="s">
        <v>12234</v>
      </c>
      <c r="K3453" s="1" t="s">
        <v>74</v>
      </c>
      <c r="L3453" s="1" t="s">
        <v>74</v>
      </c>
      <c r="M3453" s="1" t="s">
        <v>78</v>
      </c>
      <c r="N3453" s="1" t="s">
        <v>79</v>
      </c>
      <c r="O3453" s="1" t="s">
        <v>74</v>
      </c>
      <c r="P3453" s="1" t="s">
        <v>74</v>
      </c>
      <c r="Q3453" s="1" t="s">
        <v>74</v>
      </c>
      <c r="R3453" s="1" t="s">
        <v>74</v>
      </c>
      <c r="S3453" s="1" t="s">
        <v>74</v>
      </c>
      <c r="T3453" s="1" t="s">
        <v>54774</v>
      </c>
      <c r="U3453" s="1" t="s">
        <v>54775</v>
      </c>
      <c r="V3453" s="1" t="s">
        <v>54776</v>
      </c>
      <c r="W3453" s="1" t="s">
        <v>54777</v>
      </c>
      <c r="X3453" s="1" t="s">
        <v>12239</v>
      </c>
      <c r="Y3453" s="1" t="s">
        <v>9994</v>
      </c>
      <c r="Z3453" s="1" t="s">
        <v>7335</v>
      </c>
      <c r="AA3453" s="1" t="s">
        <v>54778</v>
      </c>
      <c r="AB3453" s="1" t="s">
        <v>54779</v>
      </c>
      <c r="AC3453" s="1" t="s">
        <v>74</v>
      </c>
      <c r="AD3453" s="1" t="s">
        <v>74</v>
      </c>
      <c r="AE3453" s="1" t="s">
        <v>74</v>
      </c>
      <c r="AF3453" s="1" t="s">
        <v>74</v>
      </c>
      <c r="AG3453" s="1">
        <v>73</v>
      </c>
      <c r="AH3453" s="1">
        <v>8</v>
      </c>
      <c r="AI3453" s="1">
        <v>8</v>
      </c>
      <c r="AJ3453" s="1">
        <v>1</v>
      </c>
      <c r="AK3453" s="1">
        <v>7</v>
      </c>
      <c r="AL3453" s="1" t="s">
        <v>1566</v>
      </c>
      <c r="AM3453" s="1" t="s">
        <v>1567</v>
      </c>
      <c r="AN3453" s="1" t="s">
        <v>1568</v>
      </c>
      <c r="AO3453" s="1" t="s">
        <v>74</v>
      </c>
      <c r="AP3453" s="1" t="s">
        <v>12242</v>
      </c>
      <c r="AQ3453" s="1" t="s">
        <v>74</v>
      </c>
      <c r="AR3453" s="1" t="s">
        <v>12234</v>
      </c>
      <c r="AS3453" s="1" t="s">
        <v>12243</v>
      </c>
      <c r="AT3453" s="1" t="s">
        <v>1223</v>
      </c>
      <c r="AU3453" s="1">
        <v>2023</v>
      </c>
      <c r="AV3453" s="1">
        <v>13</v>
      </c>
      <c r="AW3453" s="1">
        <v>3</v>
      </c>
      <c r="AX3453" s="1" t="s">
        <v>74</v>
      </c>
      <c r="AY3453" s="1" t="s">
        <v>74</v>
      </c>
      <c r="AZ3453" s="1" t="s">
        <v>74</v>
      </c>
      <c r="BA3453" s="1" t="s">
        <v>74</v>
      </c>
      <c r="BB3453" s="1" t="s">
        <v>74</v>
      </c>
      <c r="BC3453" s="1" t="s">
        <v>74</v>
      </c>
      <c r="BD3453" s="1">
        <v>520</v>
      </c>
      <c r="BE3453" s="1" t="s">
        <v>54780</v>
      </c>
      <c r="BF3453" s="1" t="str">
        <f>HYPERLINK("http://dx.doi.org/10.3390/biom13030520","http://dx.doi.org/10.3390/biom13030520")</f>
        <v>http://dx.doi.org/10.3390/biom13030520</v>
      </c>
      <c r="BG3453" s="1" t="s">
        <v>74</v>
      </c>
      <c r="BH3453" s="1" t="s">
        <v>74</v>
      </c>
      <c r="BI3453" s="1">
        <v>15</v>
      </c>
      <c r="BJ3453" s="1" t="s">
        <v>3805</v>
      </c>
      <c r="BK3453" s="1" t="s">
        <v>96</v>
      </c>
      <c r="BL3453" s="1" t="s">
        <v>3805</v>
      </c>
      <c r="BM3453" s="1" t="s">
        <v>54781</v>
      </c>
      <c r="BN3453" s="1">
        <v>36979455</v>
      </c>
      <c r="BO3453" s="1" t="s">
        <v>2155</v>
      </c>
      <c r="BP3453" s="1" t="s">
        <v>74</v>
      </c>
      <c r="BQ3453" s="1" t="s">
        <v>74</v>
      </c>
      <c r="BR3453" s="1" t="s">
        <v>98</v>
      </c>
      <c r="BS3453" s="1" t="s">
        <v>54782</v>
      </c>
      <c r="BT3453" s="1" t="str">
        <f>HYPERLINK("https%3A%2F%2Fwww.webofscience.com%2Fwos%2Fwoscc%2Ffull-record%2FWOS:000953849800001","View Full Record in Web of Science")</f>
        <v>View Full Record in Web of Science</v>
      </c>
      <c r="BU3453" s="1"/>
      <c r="BV3453" s="1"/>
    </row>
    <row r="3454" spans="1:74">
      <c r="A3454" s="1" t="s">
        <v>72</v>
      </c>
      <c r="B3454" s="1" t="s">
        <v>54783</v>
      </c>
      <c r="C3454" s="1" t="s">
        <v>74</v>
      </c>
      <c r="D3454" s="1" t="s">
        <v>74</v>
      </c>
      <c r="E3454" s="1" t="s">
        <v>74</v>
      </c>
      <c r="F3454" s="1" t="s">
        <v>54784</v>
      </c>
      <c r="G3454" s="1" t="s">
        <v>74</v>
      </c>
      <c r="H3454" s="1" t="s">
        <v>74</v>
      </c>
      <c r="I3454" s="1" t="s">
        <v>54785</v>
      </c>
      <c r="J3454" s="1" t="s">
        <v>421</v>
      </c>
      <c r="K3454" s="1" t="s">
        <v>74</v>
      </c>
      <c r="L3454" s="1" t="s">
        <v>74</v>
      </c>
      <c r="M3454" s="1" t="s">
        <v>78</v>
      </c>
      <c r="N3454" s="1" t="s">
        <v>79</v>
      </c>
      <c r="O3454" s="1" t="s">
        <v>74</v>
      </c>
      <c r="P3454" s="1" t="s">
        <v>74</v>
      </c>
      <c r="Q3454" s="1" t="s">
        <v>74</v>
      </c>
      <c r="R3454" s="1" t="s">
        <v>74</v>
      </c>
      <c r="S3454" s="1" t="s">
        <v>74</v>
      </c>
      <c r="T3454" s="1" t="s">
        <v>54786</v>
      </c>
      <c r="U3454" s="1" t="s">
        <v>54787</v>
      </c>
      <c r="V3454" s="1" t="s">
        <v>54788</v>
      </c>
      <c r="W3454" s="1" t="s">
        <v>54789</v>
      </c>
      <c r="X3454" s="1" t="s">
        <v>54790</v>
      </c>
      <c r="Y3454" s="1" t="s">
        <v>54791</v>
      </c>
      <c r="Z3454" s="1" t="s">
        <v>54792</v>
      </c>
      <c r="AA3454" s="1" t="s">
        <v>54793</v>
      </c>
      <c r="AB3454" s="1" t="s">
        <v>74</v>
      </c>
      <c r="AC3454" s="1" t="s">
        <v>74</v>
      </c>
      <c r="AD3454" s="1" t="s">
        <v>74</v>
      </c>
      <c r="AE3454" s="1" t="s">
        <v>74</v>
      </c>
      <c r="AF3454" s="1" t="s">
        <v>74</v>
      </c>
      <c r="AG3454" s="1">
        <v>31</v>
      </c>
      <c r="AH3454" s="1">
        <v>68</v>
      </c>
      <c r="AI3454" s="1">
        <v>74</v>
      </c>
      <c r="AJ3454" s="1">
        <v>3</v>
      </c>
      <c r="AK3454" s="1">
        <v>43</v>
      </c>
      <c r="AL3454" s="1" t="s">
        <v>430</v>
      </c>
      <c r="AM3454" s="1" t="s">
        <v>137</v>
      </c>
      <c r="AN3454" s="1" t="s">
        <v>431</v>
      </c>
      <c r="AO3454" s="1" t="s">
        <v>432</v>
      </c>
      <c r="AP3454" s="1" t="s">
        <v>74</v>
      </c>
      <c r="AQ3454" s="1" t="s">
        <v>74</v>
      </c>
      <c r="AR3454" s="1" t="s">
        <v>433</v>
      </c>
      <c r="AS3454" s="1" t="s">
        <v>434</v>
      </c>
      <c r="AT3454" s="1" t="s">
        <v>765</v>
      </c>
      <c r="AU3454" s="1">
        <v>2007</v>
      </c>
      <c r="AV3454" s="1">
        <v>148</v>
      </c>
      <c r="AW3454" s="1">
        <v>2</v>
      </c>
      <c r="AX3454" s="1" t="s">
        <v>74</v>
      </c>
      <c r="AY3454" s="1" t="s">
        <v>74</v>
      </c>
      <c r="AZ3454" s="1" t="s">
        <v>74</v>
      </c>
      <c r="BA3454" s="1" t="s">
        <v>74</v>
      </c>
      <c r="BB3454" s="1">
        <v>546</v>
      </c>
      <c r="BC3454" s="1">
        <v>554</v>
      </c>
      <c r="BD3454" s="1" t="s">
        <v>74</v>
      </c>
      <c r="BE3454" s="1" t="s">
        <v>54794</v>
      </c>
      <c r="BF3454" s="1" t="str">
        <f>HYPERLINK("http://dx.doi.org/10.1016/j.envpol.2006.11.036","http://dx.doi.org/10.1016/j.envpol.2006.11.036")</f>
        <v>http://dx.doi.org/10.1016/j.envpol.2006.11.036</v>
      </c>
      <c r="BG3454" s="1" t="s">
        <v>74</v>
      </c>
      <c r="BH3454" s="1" t="s">
        <v>74</v>
      </c>
      <c r="BI3454" s="1">
        <v>9</v>
      </c>
      <c r="BJ3454" s="1" t="s">
        <v>144</v>
      </c>
      <c r="BK3454" s="1" t="s">
        <v>96</v>
      </c>
      <c r="BL3454" s="1" t="s">
        <v>145</v>
      </c>
      <c r="BM3454" s="1" t="s">
        <v>54795</v>
      </c>
      <c r="BN3454" s="1">
        <v>17395347</v>
      </c>
      <c r="BO3454" s="1" t="s">
        <v>74</v>
      </c>
      <c r="BP3454" s="1" t="s">
        <v>74</v>
      </c>
      <c r="BQ3454" s="1" t="s">
        <v>74</v>
      </c>
      <c r="BR3454" s="1" t="s">
        <v>98</v>
      </c>
      <c r="BS3454" s="1" t="s">
        <v>54796</v>
      </c>
      <c r="BT3454" s="1" t="str">
        <f>HYPERLINK("https%3A%2F%2Fwww.webofscience.com%2Fwos%2Fwoscc%2Ffull-record%2FWOS:000247541100019","View Full Record in Web of Science")</f>
        <v>View Full Record in Web of Science</v>
      </c>
      <c r="BU3454" s="1"/>
      <c r="BV3454" s="1"/>
    </row>
    <row r="3455" spans="1:74">
      <c r="A3455" s="1" t="s">
        <v>72</v>
      </c>
      <c r="B3455" s="1" t="s">
        <v>54797</v>
      </c>
      <c r="C3455" s="1" t="s">
        <v>74</v>
      </c>
      <c r="D3455" s="1" t="s">
        <v>74</v>
      </c>
      <c r="E3455" s="1" t="s">
        <v>74</v>
      </c>
      <c r="F3455" s="1" t="s">
        <v>54798</v>
      </c>
      <c r="G3455" s="1" t="s">
        <v>74</v>
      </c>
      <c r="H3455" s="1" t="s">
        <v>74</v>
      </c>
      <c r="I3455" s="1" t="s">
        <v>54799</v>
      </c>
      <c r="J3455" s="1" t="s">
        <v>204</v>
      </c>
      <c r="K3455" s="1" t="s">
        <v>74</v>
      </c>
      <c r="L3455" s="1" t="s">
        <v>74</v>
      </c>
      <c r="M3455" s="1" t="s">
        <v>78</v>
      </c>
      <c r="N3455" s="1" t="s">
        <v>79</v>
      </c>
      <c r="O3455" s="1" t="s">
        <v>74</v>
      </c>
      <c r="P3455" s="1" t="s">
        <v>74</v>
      </c>
      <c r="Q3455" s="1" t="s">
        <v>74</v>
      </c>
      <c r="R3455" s="1" t="s">
        <v>74</v>
      </c>
      <c r="S3455" s="1" t="s">
        <v>74</v>
      </c>
      <c r="T3455" s="1" t="s">
        <v>54800</v>
      </c>
      <c r="U3455" s="1" t="s">
        <v>54801</v>
      </c>
      <c r="V3455" s="1" t="s">
        <v>54802</v>
      </c>
      <c r="W3455" s="1" t="s">
        <v>54803</v>
      </c>
      <c r="X3455" s="1" t="s">
        <v>54804</v>
      </c>
      <c r="Y3455" s="1" t="s">
        <v>54805</v>
      </c>
      <c r="Z3455" s="1" t="s">
        <v>54806</v>
      </c>
      <c r="AA3455" s="1" t="s">
        <v>54807</v>
      </c>
      <c r="AB3455" s="1" t="s">
        <v>54808</v>
      </c>
      <c r="AC3455" s="1" t="s">
        <v>74</v>
      </c>
      <c r="AD3455" s="1" t="s">
        <v>74</v>
      </c>
      <c r="AE3455" s="1" t="s">
        <v>74</v>
      </c>
      <c r="AF3455" s="1" t="s">
        <v>74</v>
      </c>
      <c r="AG3455" s="1">
        <v>50</v>
      </c>
      <c r="AH3455" s="1">
        <v>25</v>
      </c>
      <c r="AI3455" s="1">
        <v>25</v>
      </c>
      <c r="AJ3455" s="1">
        <v>2</v>
      </c>
      <c r="AK3455" s="1">
        <v>26</v>
      </c>
      <c r="AL3455" s="1" t="s">
        <v>217</v>
      </c>
      <c r="AM3455" s="1" t="s">
        <v>218</v>
      </c>
      <c r="AN3455" s="1" t="s">
        <v>219</v>
      </c>
      <c r="AO3455" s="1" t="s">
        <v>220</v>
      </c>
      <c r="AP3455" s="1" t="s">
        <v>221</v>
      </c>
      <c r="AQ3455" s="1" t="s">
        <v>74</v>
      </c>
      <c r="AR3455" s="1" t="s">
        <v>222</v>
      </c>
      <c r="AS3455" s="1" t="s">
        <v>223</v>
      </c>
      <c r="AT3455" s="1" t="s">
        <v>119</v>
      </c>
      <c r="AU3455" s="1">
        <v>2017</v>
      </c>
      <c r="AV3455" s="1">
        <v>24</v>
      </c>
      <c r="AW3455" s="1">
        <v>24</v>
      </c>
      <c r="AX3455" s="1" t="s">
        <v>74</v>
      </c>
      <c r="AY3455" s="1" t="s">
        <v>74</v>
      </c>
      <c r="AZ3455" s="1" t="s">
        <v>74</v>
      </c>
      <c r="BA3455" s="1" t="s">
        <v>74</v>
      </c>
      <c r="BB3455" s="1">
        <v>19927</v>
      </c>
      <c r="BC3455" s="1">
        <v>19937</v>
      </c>
      <c r="BD3455" s="1" t="s">
        <v>74</v>
      </c>
      <c r="BE3455" s="1" t="s">
        <v>54809</v>
      </c>
      <c r="BF3455" s="1" t="str">
        <f>HYPERLINK("http://dx.doi.org/10.1007/s11356-017-9645-6","http://dx.doi.org/10.1007/s11356-017-9645-6")</f>
        <v>http://dx.doi.org/10.1007/s11356-017-9645-6</v>
      </c>
      <c r="BG3455" s="1" t="s">
        <v>74</v>
      </c>
      <c r="BH3455" s="1" t="s">
        <v>74</v>
      </c>
      <c r="BI3455" s="1">
        <v>11</v>
      </c>
      <c r="BJ3455" s="1" t="s">
        <v>144</v>
      </c>
      <c r="BK3455" s="1" t="s">
        <v>96</v>
      </c>
      <c r="BL3455" s="1" t="s">
        <v>145</v>
      </c>
      <c r="BM3455" s="1" t="s">
        <v>54810</v>
      </c>
      <c r="BN3455" s="1">
        <v>28689287</v>
      </c>
      <c r="BO3455" s="1" t="s">
        <v>74</v>
      </c>
      <c r="BP3455" s="1" t="s">
        <v>74</v>
      </c>
      <c r="BQ3455" s="1" t="s">
        <v>74</v>
      </c>
      <c r="BR3455" s="1" t="s">
        <v>98</v>
      </c>
      <c r="BS3455" s="1" t="s">
        <v>54811</v>
      </c>
      <c r="BT3455" s="1" t="str">
        <f>HYPERLINK("https%3A%2F%2Fwww.webofscience.com%2Fwos%2Fwoscc%2Ffull-record%2FWOS:000408363200042","View Full Record in Web of Science")</f>
        <v>View Full Record in Web of Science</v>
      </c>
      <c r="BU3455" s="1"/>
      <c r="BV3455" s="1"/>
    </row>
    <row r="3456" spans="1:74">
      <c r="A3456" s="1" t="s">
        <v>72</v>
      </c>
      <c r="B3456" s="1" t="s">
        <v>54812</v>
      </c>
      <c r="C3456" s="1" t="s">
        <v>74</v>
      </c>
      <c r="D3456" s="1" t="s">
        <v>74</v>
      </c>
      <c r="E3456" s="1" t="s">
        <v>74</v>
      </c>
      <c r="F3456" s="1" t="s">
        <v>54813</v>
      </c>
      <c r="G3456" s="1" t="s">
        <v>74</v>
      </c>
      <c r="H3456" s="1" t="s">
        <v>74</v>
      </c>
      <c r="I3456" s="1" t="s">
        <v>54814</v>
      </c>
      <c r="J3456" s="1" t="s">
        <v>54815</v>
      </c>
      <c r="K3456" s="1" t="s">
        <v>74</v>
      </c>
      <c r="L3456" s="1" t="s">
        <v>74</v>
      </c>
      <c r="M3456" s="1" t="s">
        <v>78</v>
      </c>
      <c r="N3456" s="1" t="s">
        <v>79</v>
      </c>
      <c r="O3456" s="1" t="s">
        <v>74</v>
      </c>
      <c r="P3456" s="1" t="s">
        <v>74</v>
      </c>
      <c r="Q3456" s="1" t="s">
        <v>74</v>
      </c>
      <c r="R3456" s="1" t="s">
        <v>74</v>
      </c>
      <c r="S3456" s="1" t="s">
        <v>74</v>
      </c>
      <c r="T3456" s="1" t="s">
        <v>54816</v>
      </c>
      <c r="U3456" s="1" t="s">
        <v>54817</v>
      </c>
      <c r="V3456" s="1" t="s">
        <v>54818</v>
      </c>
      <c r="W3456" s="1" t="s">
        <v>54819</v>
      </c>
      <c r="X3456" s="1" t="s">
        <v>33327</v>
      </c>
      <c r="Y3456" s="1" t="s">
        <v>54820</v>
      </c>
      <c r="Z3456" s="1" t="s">
        <v>54821</v>
      </c>
      <c r="AA3456" s="1" t="s">
        <v>54822</v>
      </c>
      <c r="AB3456" s="1" t="s">
        <v>54823</v>
      </c>
      <c r="AC3456" s="1" t="s">
        <v>74</v>
      </c>
      <c r="AD3456" s="1" t="s">
        <v>74</v>
      </c>
      <c r="AE3456" s="1" t="s">
        <v>74</v>
      </c>
      <c r="AF3456" s="1" t="s">
        <v>74</v>
      </c>
      <c r="AG3456" s="1">
        <v>19</v>
      </c>
      <c r="AH3456" s="1">
        <v>22</v>
      </c>
      <c r="AI3456" s="1">
        <v>25</v>
      </c>
      <c r="AJ3456" s="1">
        <v>0</v>
      </c>
      <c r="AK3456" s="1">
        <v>26</v>
      </c>
      <c r="AL3456" s="1" t="s">
        <v>430</v>
      </c>
      <c r="AM3456" s="1" t="s">
        <v>137</v>
      </c>
      <c r="AN3456" s="1" t="s">
        <v>431</v>
      </c>
      <c r="AO3456" s="1" t="s">
        <v>54824</v>
      </c>
      <c r="AP3456" s="1" t="s">
        <v>74</v>
      </c>
      <c r="AQ3456" s="1" t="s">
        <v>74</v>
      </c>
      <c r="AR3456" s="1" t="s">
        <v>54825</v>
      </c>
      <c r="AS3456" s="1" t="s">
        <v>54826</v>
      </c>
      <c r="AT3456" s="1" t="s">
        <v>142</v>
      </c>
      <c r="AU3456" s="1">
        <v>2012</v>
      </c>
      <c r="AV3456" s="1">
        <v>36</v>
      </c>
      <c r="AW3456" s="1" t="s">
        <v>74</v>
      </c>
      <c r="AX3456" s="1" t="s">
        <v>74</v>
      </c>
      <c r="AY3456" s="1" t="s">
        <v>74</v>
      </c>
      <c r="AZ3456" s="1" t="s">
        <v>225</v>
      </c>
      <c r="BA3456" s="1" t="s">
        <v>74</v>
      </c>
      <c r="BB3456" s="1">
        <v>82</v>
      </c>
      <c r="BC3456" s="1">
        <v>91</v>
      </c>
      <c r="BD3456" s="1" t="s">
        <v>74</v>
      </c>
      <c r="BE3456" s="1" t="s">
        <v>54827</v>
      </c>
      <c r="BF3456" s="1" t="str">
        <f>HYPERLINK("http://dx.doi.org/10.1016/j.trac.2012.01.006","http://dx.doi.org/10.1016/j.trac.2012.01.006")</f>
        <v>http://dx.doi.org/10.1016/j.trac.2012.01.006</v>
      </c>
      <c r="BG3456" s="1" t="s">
        <v>74</v>
      </c>
      <c r="BH3456" s="1" t="s">
        <v>74</v>
      </c>
      <c r="BI3456" s="1">
        <v>10</v>
      </c>
      <c r="BJ3456" s="1" t="s">
        <v>1196</v>
      </c>
      <c r="BK3456" s="1" t="s">
        <v>96</v>
      </c>
      <c r="BL3456" s="1" t="s">
        <v>1197</v>
      </c>
      <c r="BM3456" s="1" t="s">
        <v>54828</v>
      </c>
      <c r="BN3456" s="1" t="s">
        <v>74</v>
      </c>
      <c r="BO3456" s="1" t="s">
        <v>74</v>
      </c>
      <c r="BP3456" s="1" t="s">
        <v>74</v>
      </c>
      <c r="BQ3456" s="1" t="s">
        <v>74</v>
      </c>
      <c r="BR3456" s="1" t="s">
        <v>98</v>
      </c>
      <c r="BS3456" s="1" t="s">
        <v>54829</v>
      </c>
      <c r="BT3456" s="1" t="str">
        <f>HYPERLINK("https%3A%2F%2Fwww.webofscience.com%2Fwos%2Fwoscc%2Ffull-record%2FWOS:000306153100017","View Full Record in Web of Science")</f>
        <v>View Full Record in Web of Science</v>
      </c>
      <c r="BU3456" s="1"/>
      <c r="BV3456" s="1"/>
    </row>
    <row r="3457" spans="1:74">
      <c r="A3457" s="1" t="s">
        <v>72</v>
      </c>
      <c r="B3457" s="1" t="s">
        <v>54830</v>
      </c>
      <c r="C3457" s="1" t="s">
        <v>74</v>
      </c>
      <c r="D3457" s="1" t="s">
        <v>74</v>
      </c>
      <c r="E3457" s="1" t="s">
        <v>74</v>
      </c>
      <c r="F3457" s="1" t="s">
        <v>54831</v>
      </c>
      <c r="G3457" s="1" t="s">
        <v>74</v>
      </c>
      <c r="H3457" s="1" t="s">
        <v>74</v>
      </c>
      <c r="I3457" s="1" t="s">
        <v>54832</v>
      </c>
      <c r="J3457" s="1" t="s">
        <v>232</v>
      </c>
      <c r="K3457" s="1" t="s">
        <v>74</v>
      </c>
      <c r="L3457" s="1" t="s">
        <v>74</v>
      </c>
      <c r="M3457" s="1" t="s">
        <v>78</v>
      </c>
      <c r="N3457" s="1" t="s">
        <v>79</v>
      </c>
      <c r="O3457" s="1" t="s">
        <v>74</v>
      </c>
      <c r="P3457" s="1" t="s">
        <v>74</v>
      </c>
      <c r="Q3457" s="1" t="s">
        <v>74</v>
      </c>
      <c r="R3457" s="1" t="s">
        <v>74</v>
      </c>
      <c r="S3457" s="1" t="s">
        <v>74</v>
      </c>
      <c r="T3457" s="1" t="s">
        <v>54833</v>
      </c>
      <c r="U3457" s="1" t="s">
        <v>54834</v>
      </c>
      <c r="V3457" s="1" t="s">
        <v>54835</v>
      </c>
      <c r="W3457" s="1" t="s">
        <v>54836</v>
      </c>
      <c r="X3457" s="1" t="s">
        <v>54837</v>
      </c>
      <c r="Y3457" s="1" t="s">
        <v>54838</v>
      </c>
      <c r="Z3457" s="1" t="s">
        <v>54839</v>
      </c>
      <c r="AA3457" s="1" t="s">
        <v>54840</v>
      </c>
      <c r="AB3457" s="1" t="s">
        <v>54841</v>
      </c>
      <c r="AC3457" s="1" t="s">
        <v>74</v>
      </c>
      <c r="AD3457" s="1" t="s">
        <v>74</v>
      </c>
      <c r="AE3457" s="1" t="s">
        <v>74</v>
      </c>
      <c r="AF3457" s="1" t="s">
        <v>74</v>
      </c>
      <c r="AG3457" s="1">
        <v>89</v>
      </c>
      <c r="AH3457" s="1">
        <v>35</v>
      </c>
      <c r="AI3457" s="1">
        <v>35</v>
      </c>
      <c r="AJ3457" s="1">
        <v>2</v>
      </c>
      <c r="AK3457" s="1">
        <v>29</v>
      </c>
      <c r="AL3457" s="1" t="s">
        <v>136</v>
      </c>
      <c r="AM3457" s="1" t="s">
        <v>137</v>
      </c>
      <c r="AN3457" s="1" t="s">
        <v>138</v>
      </c>
      <c r="AO3457" s="1" t="s">
        <v>240</v>
      </c>
      <c r="AP3457" s="1" t="s">
        <v>241</v>
      </c>
      <c r="AQ3457" s="1" t="s">
        <v>74</v>
      </c>
      <c r="AR3457" s="1" t="s">
        <v>242</v>
      </c>
      <c r="AS3457" s="1" t="s">
        <v>243</v>
      </c>
      <c r="AT3457" s="1" t="s">
        <v>1223</v>
      </c>
      <c r="AU3457" s="1">
        <v>2019</v>
      </c>
      <c r="AV3457" s="1">
        <v>140</v>
      </c>
      <c r="AW3457" s="1" t="s">
        <v>74</v>
      </c>
      <c r="AX3457" s="1" t="s">
        <v>74</v>
      </c>
      <c r="AY3457" s="1" t="s">
        <v>74</v>
      </c>
      <c r="AZ3457" s="1" t="s">
        <v>74</v>
      </c>
      <c r="BA3457" s="1" t="s">
        <v>74</v>
      </c>
      <c r="BB3457" s="1">
        <v>341</v>
      </c>
      <c r="BC3457" s="1">
        <v>352</v>
      </c>
      <c r="BD3457" s="1" t="s">
        <v>74</v>
      </c>
      <c r="BE3457" s="1" t="s">
        <v>54842</v>
      </c>
      <c r="BF3457" s="1" t="str">
        <f>HYPERLINK("http://dx.doi.org/10.1016/j.marpolbul.2019.01.064","http://dx.doi.org/10.1016/j.marpolbul.2019.01.064")</f>
        <v>http://dx.doi.org/10.1016/j.marpolbul.2019.01.064</v>
      </c>
      <c r="BG3457" s="1" t="s">
        <v>74</v>
      </c>
      <c r="BH3457" s="1" t="s">
        <v>74</v>
      </c>
      <c r="BI3457" s="1">
        <v>12</v>
      </c>
      <c r="BJ3457" s="1" t="s">
        <v>247</v>
      </c>
      <c r="BK3457" s="1" t="s">
        <v>96</v>
      </c>
      <c r="BL3457" s="1" t="s">
        <v>248</v>
      </c>
      <c r="BM3457" s="1" t="s">
        <v>54843</v>
      </c>
      <c r="BN3457" s="1">
        <v>30803653</v>
      </c>
      <c r="BO3457" s="1" t="s">
        <v>74</v>
      </c>
      <c r="BP3457" s="1" t="s">
        <v>74</v>
      </c>
      <c r="BQ3457" s="1" t="s">
        <v>74</v>
      </c>
      <c r="BR3457" s="1" t="s">
        <v>98</v>
      </c>
      <c r="BS3457" s="1" t="s">
        <v>54844</v>
      </c>
      <c r="BT3457" s="1" t="str">
        <f>HYPERLINK("https%3A%2F%2Fwww.webofscience.com%2Fwos%2Fwoscc%2Ffull-record%2FWOS:000461402300040","View Full Record in Web of Science")</f>
        <v>View Full Record in Web of Science</v>
      </c>
      <c r="BU3457" s="1"/>
      <c r="BV3457" s="1"/>
    </row>
    <row r="3458" spans="1:74">
      <c r="A3458" s="1" t="s">
        <v>72</v>
      </c>
      <c r="B3458" s="1" t="s">
        <v>54845</v>
      </c>
      <c r="C3458" s="1" t="s">
        <v>74</v>
      </c>
      <c r="D3458" s="1" t="s">
        <v>74</v>
      </c>
      <c r="E3458" s="1" t="s">
        <v>74</v>
      </c>
      <c r="F3458" s="1" t="s">
        <v>54846</v>
      </c>
      <c r="G3458" s="1" t="s">
        <v>74</v>
      </c>
      <c r="H3458" s="1" t="s">
        <v>74</v>
      </c>
      <c r="I3458" s="1" t="s">
        <v>54847</v>
      </c>
      <c r="J3458" s="1" t="s">
        <v>54848</v>
      </c>
      <c r="K3458" s="1" t="s">
        <v>74</v>
      </c>
      <c r="L3458" s="1" t="s">
        <v>74</v>
      </c>
      <c r="M3458" s="1" t="s">
        <v>78</v>
      </c>
      <c r="N3458" s="1" t="s">
        <v>79</v>
      </c>
      <c r="O3458" s="1" t="s">
        <v>74</v>
      </c>
      <c r="P3458" s="1" t="s">
        <v>74</v>
      </c>
      <c r="Q3458" s="1" t="s">
        <v>74</v>
      </c>
      <c r="R3458" s="1" t="s">
        <v>74</v>
      </c>
      <c r="S3458" s="1" t="s">
        <v>74</v>
      </c>
      <c r="T3458" s="1" t="s">
        <v>54849</v>
      </c>
      <c r="U3458" s="1" t="s">
        <v>54850</v>
      </c>
      <c r="V3458" s="1" t="s">
        <v>54851</v>
      </c>
      <c r="W3458" s="1" t="s">
        <v>54852</v>
      </c>
      <c r="X3458" s="1" t="s">
        <v>54853</v>
      </c>
      <c r="Y3458" s="1" t="s">
        <v>54854</v>
      </c>
      <c r="Z3458" s="1" t="s">
        <v>54855</v>
      </c>
      <c r="AA3458" s="1" t="s">
        <v>54856</v>
      </c>
      <c r="AB3458" s="1" t="s">
        <v>54857</v>
      </c>
      <c r="AC3458" s="1" t="s">
        <v>54858</v>
      </c>
      <c r="AD3458" s="1" t="s">
        <v>54859</v>
      </c>
      <c r="AE3458" s="1" t="s">
        <v>54860</v>
      </c>
      <c r="AF3458" s="1" t="s">
        <v>74</v>
      </c>
      <c r="AG3458" s="1">
        <v>307</v>
      </c>
      <c r="AH3458" s="1">
        <v>0</v>
      </c>
      <c r="AI3458" s="1">
        <v>0</v>
      </c>
      <c r="AJ3458" s="1">
        <v>1</v>
      </c>
      <c r="AK3458" s="1">
        <v>1</v>
      </c>
      <c r="AL3458" s="1" t="s">
        <v>217</v>
      </c>
      <c r="AM3458" s="1" t="s">
        <v>218</v>
      </c>
      <c r="AN3458" s="1" t="s">
        <v>219</v>
      </c>
      <c r="AO3458" s="1" t="s">
        <v>54861</v>
      </c>
      <c r="AP3458" s="1" t="s">
        <v>54862</v>
      </c>
      <c r="AQ3458" s="1" t="s">
        <v>74</v>
      </c>
      <c r="AR3458" s="1" t="s">
        <v>54863</v>
      </c>
      <c r="AS3458" s="1" t="s">
        <v>54864</v>
      </c>
      <c r="AT3458" s="1" t="s">
        <v>119</v>
      </c>
      <c r="AU3458" s="1">
        <v>2024</v>
      </c>
      <c r="AV3458" s="1">
        <v>54</v>
      </c>
      <c r="AW3458" s="1">
        <v>4</v>
      </c>
      <c r="AX3458" s="1" t="s">
        <v>74</v>
      </c>
      <c r="AY3458" s="1" t="s">
        <v>74</v>
      </c>
      <c r="AZ3458" s="1" t="s">
        <v>74</v>
      </c>
      <c r="BA3458" s="1" t="s">
        <v>74</v>
      </c>
      <c r="BB3458" s="1" t="s">
        <v>74</v>
      </c>
      <c r="BC3458" s="1" t="s">
        <v>74</v>
      </c>
      <c r="BD3458" s="1">
        <v>64</v>
      </c>
      <c r="BE3458" s="1" t="s">
        <v>54865</v>
      </c>
      <c r="BF3458" s="1" t="str">
        <f>HYPERLINK("http://dx.doi.org/10.1007/s12526-024-01453-5","http://dx.doi.org/10.1007/s12526-024-01453-5")</f>
        <v>http://dx.doi.org/10.1007/s12526-024-01453-5</v>
      </c>
      <c r="BG3458" s="1" t="s">
        <v>74</v>
      </c>
      <c r="BH3458" s="1" t="s">
        <v>74</v>
      </c>
      <c r="BI3458" s="1">
        <v>33</v>
      </c>
      <c r="BJ3458" s="1" t="s">
        <v>54866</v>
      </c>
      <c r="BK3458" s="1" t="s">
        <v>96</v>
      </c>
      <c r="BL3458" s="1" t="s">
        <v>54867</v>
      </c>
      <c r="BM3458" s="1" t="s">
        <v>54868</v>
      </c>
      <c r="BN3458" s="1" t="s">
        <v>74</v>
      </c>
      <c r="BO3458" s="1" t="s">
        <v>476</v>
      </c>
      <c r="BP3458" s="1" t="s">
        <v>74</v>
      </c>
      <c r="BQ3458" s="1" t="s">
        <v>74</v>
      </c>
      <c r="BR3458" s="1" t="s">
        <v>98</v>
      </c>
      <c r="BS3458" s="1" t="s">
        <v>54869</v>
      </c>
      <c r="BT3458" s="1" t="str">
        <f>HYPERLINK("https%3A%2F%2Fwww.webofscience.com%2Fwos%2Fwoscc%2Ffull-record%2FWOS:001282150700001","View Full Record in Web of Science")</f>
        <v>View Full Record in Web of Science</v>
      </c>
      <c r="BU3458" s="1"/>
      <c r="BV3458" s="1"/>
    </row>
    <row r="3459" spans="1:74">
      <c r="A3459" s="1" t="s">
        <v>72</v>
      </c>
      <c r="B3459" s="1" t="s">
        <v>54870</v>
      </c>
      <c r="C3459" s="1" t="s">
        <v>74</v>
      </c>
      <c r="D3459" s="1" t="s">
        <v>74</v>
      </c>
      <c r="E3459" s="1" t="s">
        <v>74</v>
      </c>
      <c r="F3459" s="1" t="s">
        <v>54871</v>
      </c>
      <c r="G3459" s="1" t="s">
        <v>74</v>
      </c>
      <c r="H3459" s="1" t="s">
        <v>74</v>
      </c>
      <c r="I3459" s="1" t="s">
        <v>54872</v>
      </c>
      <c r="J3459" s="1" t="s">
        <v>752</v>
      </c>
      <c r="K3459" s="1" t="s">
        <v>74</v>
      </c>
      <c r="L3459" s="1" t="s">
        <v>74</v>
      </c>
      <c r="M3459" s="1" t="s">
        <v>78</v>
      </c>
      <c r="N3459" s="1" t="s">
        <v>79</v>
      </c>
      <c r="O3459" s="1" t="s">
        <v>74</v>
      </c>
      <c r="P3459" s="1" t="s">
        <v>74</v>
      </c>
      <c r="Q3459" s="1" t="s">
        <v>74</v>
      </c>
      <c r="R3459" s="1" t="s">
        <v>74</v>
      </c>
      <c r="S3459" s="1" t="s">
        <v>74</v>
      </c>
      <c r="T3459" s="1" t="s">
        <v>54873</v>
      </c>
      <c r="U3459" s="1" t="s">
        <v>54874</v>
      </c>
      <c r="V3459" s="1" t="s">
        <v>54875</v>
      </c>
      <c r="W3459" s="1" t="s">
        <v>54876</v>
      </c>
      <c r="X3459" s="1" t="s">
        <v>74</v>
      </c>
      <c r="Y3459" s="1" t="s">
        <v>54877</v>
      </c>
      <c r="Z3459" s="1" t="s">
        <v>54878</v>
      </c>
      <c r="AA3459" s="1" t="s">
        <v>54879</v>
      </c>
      <c r="AB3459" s="1" t="s">
        <v>54880</v>
      </c>
      <c r="AC3459" s="1" t="s">
        <v>54881</v>
      </c>
      <c r="AD3459" s="1" t="s">
        <v>54882</v>
      </c>
      <c r="AE3459" s="1" t="s">
        <v>54883</v>
      </c>
      <c r="AF3459" s="1" t="s">
        <v>74</v>
      </c>
      <c r="AG3459" s="1">
        <v>80</v>
      </c>
      <c r="AH3459" s="1">
        <v>29</v>
      </c>
      <c r="AI3459" s="1">
        <v>30</v>
      </c>
      <c r="AJ3459" s="1">
        <v>0</v>
      </c>
      <c r="AK3459" s="1">
        <v>30</v>
      </c>
      <c r="AL3459" s="1" t="s">
        <v>430</v>
      </c>
      <c r="AM3459" s="1" t="s">
        <v>137</v>
      </c>
      <c r="AN3459" s="1" t="s">
        <v>431</v>
      </c>
      <c r="AO3459" s="1" t="s">
        <v>761</v>
      </c>
      <c r="AP3459" s="1" t="s">
        <v>762</v>
      </c>
      <c r="AQ3459" s="1" t="s">
        <v>74</v>
      </c>
      <c r="AR3459" s="1" t="s">
        <v>763</v>
      </c>
      <c r="AS3459" s="1" t="s">
        <v>764</v>
      </c>
      <c r="AT3459" s="1" t="s">
        <v>197</v>
      </c>
      <c r="AU3459" s="1">
        <v>2013</v>
      </c>
      <c r="AV3459" s="1">
        <v>92</v>
      </c>
      <c r="AW3459" s="1" t="s">
        <v>74</v>
      </c>
      <c r="AX3459" s="1" t="s">
        <v>74</v>
      </c>
      <c r="AY3459" s="1" t="s">
        <v>74</v>
      </c>
      <c r="AZ3459" s="1" t="s">
        <v>74</v>
      </c>
      <c r="BA3459" s="1" t="s">
        <v>74</v>
      </c>
      <c r="BB3459" s="1">
        <v>234</v>
      </c>
      <c r="BC3459" s="1">
        <v>243</v>
      </c>
      <c r="BD3459" s="1" t="s">
        <v>74</v>
      </c>
      <c r="BE3459" s="1" t="s">
        <v>54884</v>
      </c>
      <c r="BF3459" s="1" t="str">
        <f>HYPERLINK("http://dx.doi.org/10.1016/j.marenvres.2013.09.022","http://dx.doi.org/10.1016/j.marenvres.2013.09.022")</f>
        <v>http://dx.doi.org/10.1016/j.marenvres.2013.09.022</v>
      </c>
      <c r="BG3459" s="1" t="s">
        <v>74</v>
      </c>
      <c r="BH3459" s="1" t="s">
        <v>74</v>
      </c>
      <c r="BI3459" s="1">
        <v>10</v>
      </c>
      <c r="BJ3459" s="1" t="s">
        <v>768</v>
      </c>
      <c r="BK3459" s="1" t="s">
        <v>96</v>
      </c>
      <c r="BL3459" s="1" t="s">
        <v>769</v>
      </c>
      <c r="BM3459" s="1" t="s">
        <v>16196</v>
      </c>
      <c r="BN3459" s="1">
        <v>24183652</v>
      </c>
      <c r="BO3459" s="1" t="s">
        <v>74</v>
      </c>
      <c r="BP3459" s="1" t="s">
        <v>74</v>
      </c>
      <c r="BQ3459" s="1" t="s">
        <v>74</v>
      </c>
      <c r="BR3459" s="1" t="s">
        <v>98</v>
      </c>
      <c r="BS3459" s="1" t="s">
        <v>54885</v>
      </c>
      <c r="BT3459" s="1" t="str">
        <f>HYPERLINK("https%3A%2F%2Fwww.webofscience.com%2Fwos%2Fwoscc%2Ffull-record%2FWOS:000327569000025","View Full Record in Web of Science")</f>
        <v>View Full Record in Web of Science</v>
      </c>
      <c r="BU3459" s="1"/>
      <c r="BV3459" s="1"/>
    </row>
    <row r="3460" spans="1:74">
      <c r="A3460" s="1" t="s">
        <v>72</v>
      </c>
      <c r="B3460" s="1" t="s">
        <v>54886</v>
      </c>
      <c r="C3460" s="1" t="s">
        <v>74</v>
      </c>
      <c r="D3460" s="1" t="s">
        <v>74</v>
      </c>
      <c r="E3460" s="1" t="s">
        <v>74</v>
      </c>
      <c r="F3460" s="1" t="s">
        <v>54887</v>
      </c>
      <c r="G3460" s="1" t="s">
        <v>74</v>
      </c>
      <c r="H3460" s="1" t="s">
        <v>74</v>
      </c>
      <c r="I3460" s="1" t="s">
        <v>54888</v>
      </c>
      <c r="J3460" s="1" t="s">
        <v>48595</v>
      </c>
      <c r="K3460" s="1" t="s">
        <v>74</v>
      </c>
      <c r="L3460" s="1" t="s">
        <v>74</v>
      </c>
      <c r="M3460" s="1" t="s">
        <v>78</v>
      </c>
      <c r="N3460" s="1" t="s">
        <v>79</v>
      </c>
      <c r="O3460" s="1" t="s">
        <v>74</v>
      </c>
      <c r="P3460" s="1" t="s">
        <v>74</v>
      </c>
      <c r="Q3460" s="1" t="s">
        <v>74</v>
      </c>
      <c r="R3460" s="1" t="s">
        <v>74</v>
      </c>
      <c r="S3460" s="1" t="s">
        <v>74</v>
      </c>
      <c r="T3460" s="1" t="s">
        <v>74</v>
      </c>
      <c r="U3460" s="1" t="s">
        <v>54889</v>
      </c>
      <c r="V3460" s="1" t="s">
        <v>54890</v>
      </c>
      <c r="W3460" s="1" t="s">
        <v>54891</v>
      </c>
      <c r="X3460" s="1" t="s">
        <v>54892</v>
      </c>
      <c r="Y3460" s="1" t="s">
        <v>54893</v>
      </c>
      <c r="Z3460" s="1" t="s">
        <v>54894</v>
      </c>
      <c r="AA3460" s="1" t="s">
        <v>54895</v>
      </c>
      <c r="AB3460" s="1" t="s">
        <v>54896</v>
      </c>
      <c r="AC3460" s="1" t="s">
        <v>54897</v>
      </c>
      <c r="AD3460" s="1" t="s">
        <v>54898</v>
      </c>
      <c r="AE3460" s="1" t="s">
        <v>54899</v>
      </c>
      <c r="AF3460" s="1" t="s">
        <v>74</v>
      </c>
      <c r="AG3460" s="1">
        <v>98</v>
      </c>
      <c r="AH3460" s="1">
        <v>36</v>
      </c>
      <c r="AI3460" s="1">
        <v>40</v>
      </c>
      <c r="AJ3460" s="1">
        <v>2</v>
      </c>
      <c r="AK3460" s="1">
        <v>56</v>
      </c>
      <c r="AL3460" s="1" t="s">
        <v>21002</v>
      </c>
      <c r="AM3460" s="1" t="s">
        <v>21003</v>
      </c>
      <c r="AN3460" s="1" t="s">
        <v>21004</v>
      </c>
      <c r="AO3460" s="1" t="s">
        <v>48607</v>
      </c>
      <c r="AP3460" s="1" t="s">
        <v>48608</v>
      </c>
      <c r="AQ3460" s="1" t="s">
        <v>74</v>
      </c>
      <c r="AR3460" s="1" t="s">
        <v>48609</v>
      </c>
      <c r="AS3460" s="1" t="s">
        <v>48610</v>
      </c>
      <c r="AT3460" s="1" t="s">
        <v>54900</v>
      </c>
      <c r="AU3460" s="1">
        <v>2018</v>
      </c>
      <c r="AV3460" s="1">
        <v>18</v>
      </c>
      <c r="AW3460" s="1">
        <v>19</v>
      </c>
      <c r="AX3460" s="1" t="s">
        <v>74</v>
      </c>
      <c r="AY3460" s="1" t="s">
        <v>74</v>
      </c>
      <c r="AZ3460" s="1" t="s">
        <v>74</v>
      </c>
      <c r="BA3460" s="1" t="s">
        <v>74</v>
      </c>
      <c r="BB3460" s="1">
        <v>14653</v>
      </c>
      <c r="BC3460" s="1">
        <v>14679</v>
      </c>
      <c r="BD3460" s="1" t="s">
        <v>74</v>
      </c>
      <c r="BE3460" s="1" t="s">
        <v>54901</v>
      </c>
      <c r="BF3460" s="1" t="str">
        <f>HYPERLINK("http://dx.doi.org/10.5194/acp-18-14653-2018","http://dx.doi.org/10.5194/acp-18-14653-2018")</f>
        <v>http://dx.doi.org/10.5194/acp-18-14653-2018</v>
      </c>
      <c r="BG3460" s="1" t="s">
        <v>74</v>
      </c>
      <c r="BH3460" s="1" t="s">
        <v>74</v>
      </c>
      <c r="BI3460" s="1">
        <v>27</v>
      </c>
      <c r="BJ3460" s="1" t="s">
        <v>48612</v>
      </c>
      <c r="BK3460" s="1" t="s">
        <v>96</v>
      </c>
      <c r="BL3460" s="1" t="s">
        <v>48613</v>
      </c>
      <c r="BM3460" s="1" t="s">
        <v>54902</v>
      </c>
      <c r="BN3460" s="1" t="s">
        <v>74</v>
      </c>
      <c r="BO3460" s="1" t="s">
        <v>12986</v>
      </c>
      <c r="BP3460" s="1" t="s">
        <v>74</v>
      </c>
      <c r="BQ3460" s="1" t="s">
        <v>74</v>
      </c>
      <c r="BR3460" s="1" t="s">
        <v>98</v>
      </c>
      <c r="BS3460" s="1" t="s">
        <v>54903</v>
      </c>
      <c r="BT3460" s="1" t="str">
        <f>HYPERLINK("https%3A%2F%2Fwww.webofscience.com%2Fwos%2Fwoscc%2Ffull-record%2FWOS:000447177500004","View Full Record in Web of Science")</f>
        <v>View Full Record in Web of Science</v>
      </c>
      <c r="BU3460" s="1"/>
      <c r="BV3460" s="1"/>
    </row>
    <row r="3461" spans="1:74">
      <c r="A3461" s="1" t="s">
        <v>72</v>
      </c>
      <c r="B3461" s="1" t="s">
        <v>54904</v>
      </c>
      <c r="C3461" s="1" t="s">
        <v>74</v>
      </c>
      <c r="D3461" s="1" t="s">
        <v>74</v>
      </c>
      <c r="E3461" s="1" t="s">
        <v>74</v>
      </c>
      <c r="F3461" s="1" t="s">
        <v>54905</v>
      </c>
      <c r="G3461" s="1" t="s">
        <v>74</v>
      </c>
      <c r="H3461" s="1" t="s">
        <v>74</v>
      </c>
      <c r="I3461" s="1" t="s">
        <v>54906</v>
      </c>
      <c r="J3461" s="1" t="s">
        <v>2265</v>
      </c>
      <c r="K3461" s="1" t="s">
        <v>74</v>
      </c>
      <c r="L3461" s="1" t="s">
        <v>74</v>
      </c>
      <c r="M3461" s="1" t="s">
        <v>78</v>
      </c>
      <c r="N3461" s="1" t="s">
        <v>79</v>
      </c>
      <c r="O3461" s="1" t="s">
        <v>74</v>
      </c>
      <c r="P3461" s="1" t="s">
        <v>74</v>
      </c>
      <c r="Q3461" s="1" t="s">
        <v>74</v>
      </c>
      <c r="R3461" s="1" t="s">
        <v>74</v>
      </c>
      <c r="S3461" s="1" t="s">
        <v>74</v>
      </c>
      <c r="T3461" s="1" t="s">
        <v>54907</v>
      </c>
      <c r="U3461" s="1" t="s">
        <v>54908</v>
      </c>
      <c r="V3461" s="1" t="s">
        <v>54909</v>
      </c>
      <c r="W3461" s="1" t="s">
        <v>54910</v>
      </c>
      <c r="X3461" s="1" t="s">
        <v>54911</v>
      </c>
      <c r="Y3461" s="1" t="s">
        <v>54912</v>
      </c>
      <c r="Z3461" s="1" t="s">
        <v>54913</v>
      </c>
      <c r="AA3461" s="1" t="s">
        <v>74</v>
      </c>
      <c r="AB3461" s="1" t="s">
        <v>74</v>
      </c>
      <c r="AC3461" s="1" t="s">
        <v>54914</v>
      </c>
      <c r="AD3461" s="1" t="s">
        <v>54914</v>
      </c>
      <c r="AE3461" s="1" t="s">
        <v>54915</v>
      </c>
      <c r="AF3461" s="1" t="s">
        <v>74</v>
      </c>
      <c r="AG3461" s="1">
        <v>67</v>
      </c>
      <c r="AH3461" s="1">
        <v>6</v>
      </c>
      <c r="AI3461" s="1">
        <v>7</v>
      </c>
      <c r="AJ3461" s="1">
        <v>1</v>
      </c>
      <c r="AK3461" s="1">
        <v>9</v>
      </c>
      <c r="AL3461" s="1" t="s">
        <v>2074</v>
      </c>
      <c r="AM3461" s="1" t="s">
        <v>2075</v>
      </c>
      <c r="AN3461" s="1" t="s">
        <v>2076</v>
      </c>
      <c r="AO3461" s="1" t="s">
        <v>2275</v>
      </c>
      <c r="AP3461" s="1" t="s">
        <v>2276</v>
      </c>
      <c r="AQ3461" s="1" t="s">
        <v>74</v>
      </c>
      <c r="AR3461" s="1" t="s">
        <v>2265</v>
      </c>
      <c r="AS3461" s="1" t="s">
        <v>2277</v>
      </c>
      <c r="AT3461" s="1" t="s">
        <v>74</v>
      </c>
      <c r="AU3461" s="1">
        <v>2009</v>
      </c>
      <c r="AV3461" s="1">
        <v>14</v>
      </c>
      <c r="AW3461" s="1">
        <v>7</v>
      </c>
      <c r="AX3461" s="1" t="s">
        <v>74</v>
      </c>
      <c r="AY3461" s="1" t="s">
        <v>74</v>
      </c>
      <c r="AZ3461" s="1" t="s">
        <v>74</v>
      </c>
      <c r="BA3461" s="1" t="s">
        <v>74</v>
      </c>
      <c r="BB3461" s="1">
        <v>452</v>
      </c>
      <c r="BC3461" s="1">
        <v>464</v>
      </c>
      <c r="BD3461" s="1" t="s">
        <v>74</v>
      </c>
      <c r="BE3461" s="1" t="s">
        <v>54916</v>
      </c>
      <c r="BF3461" s="1" t="str">
        <f>HYPERLINK("http://dx.doi.org/10.3109/13547500903123026","http://dx.doi.org/10.3109/13547500903123026")</f>
        <v>http://dx.doi.org/10.3109/13547500903123026</v>
      </c>
      <c r="BG3461" s="1" t="s">
        <v>74</v>
      </c>
      <c r="BH3461" s="1" t="s">
        <v>74</v>
      </c>
      <c r="BI3461" s="1">
        <v>13</v>
      </c>
      <c r="BJ3461" s="1" t="s">
        <v>2279</v>
      </c>
      <c r="BK3461" s="1" t="s">
        <v>96</v>
      </c>
      <c r="BL3461" s="1" t="s">
        <v>2279</v>
      </c>
      <c r="BM3461" s="1" t="s">
        <v>54917</v>
      </c>
      <c r="BN3461" s="1">
        <v>19863183</v>
      </c>
      <c r="BO3461" s="1" t="s">
        <v>74</v>
      </c>
      <c r="BP3461" s="1" t="s">
        <v>74</v>
      </c>
      <c r="BQ3461" s="1" t="s">
        <v>74</v>
      </c>
      <c r="BR3461" s="1" t="s">
        <v>98</v>
      </c>
      <c r="BS3461" s="1" t="s">
        <v>54918</v>
      </c>
      <c r="BT3461" s="1" t="str">
        <f>HYPERLINK("https%3A%2F%2Fwww.webofscience.com%2Fwos%2Fwoscc%2Ffull-record%2FWOS:000272715700002","View Full Record in Web of Science")</f>
        <v>View Full Record in Web of Science</v>
      </c>
      <c r="BU3461" s="1"/>
      <c r="BV3461" s="1"/>
    </row>
    <row r="3462" spans="1:74">
      <c r="A3462" s="1" t="s">
        <v>72</v>
      </c>
      <c r="B3462" s="1" t="s">
        <v>54919</v>
      </c>
      <c r="C3462" s="1" t="s">
        <v>74</v>
      </c>
      <c r="D3462" s="1" t="s">
        <v>74</v>
      </c>
      <c r="E3462" s="1" t="s">
        <v>74</v>
      </c>
      <c r="F3462" s="1" t="s">
        <v>54919</v>
      </c>
      <c r="G3462" s="1" t="s">
        <v>74</v>
      </c>
      <c r="H3462" s="1" t="s">
        <v>74</v>
      </c>
      <c r="I3462" s="1" t="s">
        <v>54920</v>
      </c>
      <c r="J3462" s="1" t="s">
        <v>232</v>
      </c>
      <c r="K3462" s="1" t="s">
        <v>74</v>
      </c>
      <c r="L3462" s="1" t="s">
        <v>74</v>
      </c>
      <c r="M3462" s="1" t="s">
        <v>78</v>
      </c>
      <c r="N3462" s="1" t="s">
        <v>79</v>
      </c>
      <c r="O3462" s="1" t="s">
        <v>74</v>
      </c>
      <c r="P3462" s="1" t="s">
        <v>74</v>
      </c>
      <c r="Q3462" s="1" t="s">
        <v>74</v>
      </c>
      <c r="R3462" s="1" t="s">
        <v>74</v>
      </c>
      <c r="S3462" s="1" t="s">
        <v>74</v>
      </c>
      <c r="T3462" s="1" t="s">
        <v>54921</v>
      </c>
      <c r="U3462" s="1" t="s">
        <v>54922</v>
      </c>
      <c r="V3462" s="1" t="s">
        <v>54923</v>
      </c>
      <c r="W3462" s="1" t="s">
        <v>54924</v>
      </c>
      <c r="X3462" s="1" t="s">
        <v>29120</v>
      </c>
      <c r="Y3462" s="1" t="s">
        <v>54925</v>
      </c>
      <c r="Z3462" s="1" t="s">
        <v>74</v>
      </c>
      <c r="AA3462" s="1" t="s">
        <v>74</v>
      </c>
      <c r="AB3462" s="1" t="s">
        <v>74</v>
      </c>
      <c r="AC3462" s="1" t="s">
        <v>74</v>
      </c>
      <c r="AD3462" s="1" t="s">
        <v>74</v>
      </c>
      <c r="AE3462" s="1" t="s">
        <v>74</v>
      </c>
      <c r="AF3462" s="1" t="s">
        <v>74</v>
      </c>
      <c r="AG3462" s="1">
        <v>82</v>
      </c>
      <c r="AH3462" s="1">
        <v>21</v>
      </c>
      <c r="AI3462" s="1">
        <v>22</v>
      </c>
      <c r="AJ3462" s="1">
        <v>1</v>
      </c>
      <c r="AK3462" s="1">
        <v>11</v>
      </c>
      <c r="AL3462" s="1" t="s">
        <v>136</v>
      </c>
      <c r="AM3462" s="1" t="s">
        <v>137</v>
      </c>
      <c r="AN3462" s="1" t="s">
        <v>138</v>
      </c>
      <c r="AO3462" s="1" t="s">
        <v>240</v>
      </c>
      <c r="AP3462" s="1" t="s">
        <v>241</v>
      </c>
      <c r="AQ3462" s="1" t="s">
        <v>74</v>
      </c>
      <c r="AR3462" s="1" t="s">
        <v>242</v>
      </c>
      <c r="AS3462" s="1" t="s">
        <v>243</v>
      </c>
      <c r="AT3462" s="1" t="s">
        <v>74</v>
      </c>
      <c r="AU3462" s="1">
        <v>1996</v>
      </c>
      <c r="AV3462" s="1">
        <v>33</v>
      </c>
      <c r="AW3462" s="1" t="s">
        <v>9648</v>
      </c>
      <c r="AX3462" s="1" t="s">
        <v>74</v>
      </c>
      <c r="AY3462" s="1" t="s">
        <v>74</v>
      </c>
      <c r="AZ3462" s="1" t="s">
        <v>74</v>
      </c>
      <c r="BA3462" s="1" t="s">
        <v>74</v>
      </c>
      <c r="BB3462" s="1">
        <v>90</v>
      </c>
      <c r="BC3462" s="1">
        <v>99</v>
      </c>
      <c r="BD3462" s="1" t="s">
        <v>74</v>
      </c>
      <c r="BE3462" s="1" t="s">
        <v>54926</v>
      </c>
      <c r="BF3462" s="1" t="str">
        <f>HYPERLINK("http://dx.doi.org/10.1016/S0025-326X(97)00025-8","http://dx.doi.org/10.1016/S0025-326X(97)00025-8")</f>
        <v>http://dx.doi.org/10.1016/S0025-326X(97)00025-8</v>
      </c>
      <c r="BG3462" s="1" t="s">
        <v>74</v>
      </c>
      <c r="BH3462" s="1" t="s">
        <v>74</v>
      </c>
      <c r="BI3462" s="1">
        <v>10</v>
      </c>
      <c r="BJ3462" s="1" t="s">
        <v>247</v>
      </c>
      <c r="BK3462" s="1" t="s">
        <v>96</v>
      </c>
      <c r="BL3462" s="1" t="s">
        <v>248</v>
      </c>
      <c r="BM3462" s="1" t="s">
        <v>54927</v>
      </c>
      <c r="BN3462" s="1" t="s">
        <v>74</v>
      </c>
      <c r="BO3462" s="1" t="s">
        <v>74</v>
      </c>
      <c r="BP3462" s="1" t="s">
        <v>74</v>
      </c>
      <c r="BQ3462" s="1" t="s">
        <v>74</v>
      </c>
      <c r="BR3462" s="1" t="s">
        <v>98</v>
      </c>
      <c r="BS3462" s="1" t="s">
        <v>54928</v>
      </c>
      <c r="BT3462" s="1" t="str">
        <f>HYPERLINK("https%3A%2F%2Fwww.webofscience.com%2Fwos%2Fwoscc%2Ffull-record%2FWOS:A1996XZ18900011","View Full Record in Web of Science")</f>
        <v>View Full Record in Web of Science</v>
      </c>
      <c r="BU3462" s="1"/>
      <c r="BV3462" s="1"/>
    </row>
    <row r="3463" spans="1:74">
      <c r="A3463" s="1" t="s">
        <v>72</v>
      </c>
      <c r="B3463" s="1" t="s">
        <v>54929</v>
      </c>
      <c r="C3463" s="1" t="s">
        <v>74</v>
      </c>
      <c r="D3463" s="1" t="s">
        <v>74</v>
      </c>
      <c r="E3463" s="1" t="s">
        <v>74</v>
      </c>
      <c r="F3463" s="1" t="s">
        <v>54929</v>
      </c>
      <c r="G3463" s="1" t="s">
        <v>74</v>
      </c>
      <c r="H3463" s="1" t="s">
        <v>74</v>
      </c>
      <c r="I3463" s="1" t="s">
        <v>54930</v>
      </c>
      <c r="J3463" s="1" t="s">
        <v>232</v>
      </c>
      <c r="K3463" s="1" t="s">
        <v>74</v>
      </c>
      <c r="L3463" s="1" t="s">
        <v>74</v>
      </c>
      <c r="M3463" s="1" t="s">
        <v>78</v>
      </c>
      <c r="N3463" s="1" t="s">
        <v>79</v>
      </c>
      <c r="O3463" s="1" t="s">
        <v>74</v>
      </c>
      <c r="P3463" s="1" t="s">
        <v>74</v>
      </c>
      <c r="Q3463" s="1" t="s">
        <v>74</v>
      </c>
      <c r="R3463" s="1" t="s">
        <v>74</v>
      </c>
      <c r="S3463" s="1" t="s">
        <v>74</v>
      </c>
      <c r="T3463" s="1" t="s">
        <v>54931</v>
      </c>
      <c r="U3463" s="1" t="s">
        <v>54932</v>
      </c>
      <c r="V3463" s="1" t="s">
        <v>54933</v>
      </c>
      <c r="W3463" s="1" t="s">
        <v>54934</v>
      </c>
      <c r="X3463" s="1" t="s">
        <v>54935</v>
      </c>
      <c r="Y3463" s="1" t="s">
        <v>54936</v>
      </c>
      <c r="Z3463" s="1" t="s">
        <v>44855</v>
      </c>
      <c r="AA3463" s="1" t="s">
        <v>54937</v>
      </c>
      <c r="AB3463" s="1" t="s">
        <v>54938</v>
      </c>
      <c r="AC3463" s="1" t="s">
        <v>74</v>
      </c>
      <c r="AD3463" s="1" t="s">
        <v>74</v>
      </c>
      <c r="AE3463" s="1" t="s">
        <v>74</v>
      </c>
      <c r="AF3463" s="1" t="s">
        <v>74</v>
      </c>
      <c r="AG3463" s="1">
        <v>38</v>
      </c>
      <c r="AH3463" s="1">
        <v>27</v>
      </c>
      <c r="AI3463" s="1">
        <v>30</v>
      </c>
      <c r="AJ3463" s="1">
        <v>0</v>
      </c>
      <c r="AK3463" s="1">
        <v>11</v>
      </c>
      <c r="AL3463" s="1" t="s">
        <v>136</v>
      </c>
      <c r="AM3463" s="1" t="s">
        <v>137</v>
      </c>
      <c r="AN3463" s="1" t="s">
        <v>138</v>
      </c>
      <c r="AO3463" s="1" t="s">
        <v>240</v>
      </c>
      <c r="AP3463" s="1" t="s">
        <v>241</v>
      </c>
      <c r="AQ3463" s="1" t="s">
        <v>74</v>
      </c>
      <c r="AR3463" s="1" t="s">
        <v>242</v>
      </c>
      <c r="AS3463" s="1" t="s">
        <v>243</v>
      </c>
      <c r="AT3463" s="1" t="s">
        <v>765</v>
      </c>
      <c r="AU3463" s="1">
        <v>2004</v>
      </c>
      <c r="AV3463" s="1">
        <v>49</v>
      </c>
      <c r="AW3463" s="1" t="s">
        <v>326</v>
      </c>
      <c r="AX3463" s="1" t="s">
        <v>74</v>
      </c>
      <c r="AY3463" s="1" t="s">
        <v>74</v>
      </c>
      <c r="AZ3463" s="1" t="s">
        <v>74</v>
      </c>
      <c r="BA3463" s="1" t="s">
        <v>74</v>
      </c>
      <c r="BB3463" s="1">
        <v>17</v>
      </c>
      <c r="BC3463" s="1">
        <v>22</v>
      </c>
      <c r="BD3463" s="1" t="s">
        <v>74</v>
      </c>
      <c r="BE3463" s="1" t="s">
        <v>54939</v>
      </c>
      <c r="BF3463" s="1" t="str">
        <f>HYPERLINK("http://dx.doi.org/10.1016/j.marpolbul.2004.04.002","http://dx.doi.org/10.1016/j.marpolbul.2004.04.002")</f>
        <v>http://dx.doi.org/10.1016/j.marpolbul.2004.04.002</v>
      </c>
      <c r="BG3463" s="1" t="s">
        <v>74</v>
      </c>
      <c r="BH3463" s="1" t="s">
        <v>74</v>
      </c>
      <c r="BI3463" s="1">
        <v>6</v>
      </c>
      <c r="BJ3463" s="1" t="s">
        <v>247</v>
      </c>
      <c r="BK3463" s="1" t="s">
        <v>96</v>
      </c>
      <c r="BL3463" s="1" t="s">
        <v>248</v>
      </c>
      <c r="BM3463" s="1" t="s">
        <v>54940</v>
      </c>
      <c r="BN3463" s="1">
        <v>15234870</v>
      </c>
      <c r="BO3463" s="1" t="s">
        <v>74</v>
      </c>
      <c r="BP3463" s="1" t="s">
        <v>74</v>
      </c>
      <c r="BQ3463" s="1" t="s">
        <v>74</v>
      </c>
      <c r="BR3463" s="1" t="s">
        <v>98</v>
      </c>
      <c r="BS3463" s="1" t="s">
        <v>54941</v>
      </c>
      <c r="BT3463" s="1" t="str">
        <f>HYPERLINK("https%3A%2F%2Fwww.webofscience.com%2Fwos%2Fwoscc%2Ffull-record%2FWOS:000222939800014","View Full Record in Web of Science")</f>
        <v>View Full Record in Web of Science</v>
      </c>
      <c r="BU3463" s="1"/>
      <c r="BV3463" s="1"/>
    </row>
    <row r="3464" spans="1:74">
      <c r="A3464" s="1" t="s">
        <v>72</v>
      </c>
      <c r="B3464" s="1" t="s">
        <v>54942</v>
      </c>
      <c r="C3464" s="1" t="s">
        <v>74</v>
      </c>
      <c r="D3464" s="1" t="s">
        <v>74</v>
      </c>
      <c r="E3464" s="1" t="s">
        <v>74</v>
      </c>
      <c r="F3464" s="1" t="s">
        <v>54943</v>
      </c>
      <c r="G3464" s="1" t="s">
        <v>74</v>
      </c>
      <c r="H3464" s="1" t="s">
        <v>74</v>
      </c>
      <c r="I3464" s="1" t="s">
        <v>54944</v>
      </c>
      <c r="J3464" s="1" t="s">
        <v>232</v>
      </c>
      <c r="K3464" s="1" t="s">
        <v>74</v>
      </c>
      <c r="L3464" s="1" t="s">
        <v>74</v>
      </c>
      <c r="M3464" s="1" t="s">
        <v>78</v>
      </c>
      <c r="N3464" s="1" t="s">
        <v>79</v>
      </c>
      <c r="O3464" s="1" t="s">
        <v>74</v>
      </c>
      <c r="P3464" s="1" t="s">
        <v>74</v>
      </c>
      <c r="Q3464" s="1" t="s">
        <v>74</v>
      </c>
      <c r="R3464" s="1" t="s">
        <v>74</v>
      </c>
      <c r="S3464" s="1" t="s">
        <v>74</v>
      </c>
      <c r="T3464" s="1" t="s">
        <v>54945</v>
      </c>
      <c r="U3464" s="1" t="s">
        <v>54946</v>
      </c>
      <c r="V3464" s="1" t="s">
        <v>54947</v>
      </c>
      <c r="W3464" s="1" t="s">
        <v>54948</v>
      </c>
      <c r="X3464" s="1" t="s">
        <v>54949</v>
      </c>
      <c r="Y3464" s="1" t="s">
        <v>54950</v>
      </c>
      <c r="Z3464" s="1" t="s">
        <v>54951</v>
      </c>
      <c r="AA3464" s="1" t="s">
        <v>54952</v>
      </c>
      <c r="AB3464" s="1" t="s">
        <v>74</v>
      </c>
      <c r="AC3464" s="1" t="s">
        <v>54953</v>
      </c>
      <c r="AD3464" s="1" t="s">
        <v>54953</v>
      </c>
      <c r="AE3464" s="1" t="s">
        <v>54954</v>
      </c>
      <c r="AF3464" s="1" t="s">
        <v>74</v>
      </c>
      <c r="AG3464" s="1">
        <v>117</v>
      </c>
      <c r="AH3464" s="1">
        <v>15</v>
      </c>
      <c r="AI3464" s="1">
        <v>15</v>
      </c>
      <c r="AJ3464" s="1">
        <v>2</v>
      </c>
      <c r="AK3464" s="1">
        <v>67</v>
      </c>
      <c r="AL3464" s="1" t="s">
        <v>136</v>
      </c>
      <c r="AM3464" s="1" t="s">
        <v>137</v>
      </c>
      <c r="AN3464" s="1" t="s">
        <v>138</v>
      </c>
      <c r="AO3464" s="1" t="s">
        <v>240</v>
      </c>
      <c r="AP3464" s="1" t="s">
        <v>241</v>
      </c>
      <c r="AQ3464" s="1" t="s">
        <v>74</v>
      </c>
      <c r="AR3464" s="1" t="s">
        <v>242</v>
      </c>
      <c r="AS3464" s="1" t="s">
        <v>243</v>
      </c>
      <c r="AT3464" s="1" t="s">
        <v>224</v>
      </c>
      <c r="AU3464" s="1">
        <v>2022</v>
      </c>
      <c r="AV3464" s="1">
        <v>175</v>
      </c>
      <c r="AW3464" s="1" t="s">
        <v>74</v>
      </c>
      <c r="AX3464" s="1" t="s">
        <v>74</v>
      </c>
      <c r="AY3464" s="1" t="s">
        <v>74</v>
      </c>
      <c r="AZ3464" s="1" t="s">
        <v>74</v>
      </c>
      <c r="BA3464" s="1" t="s">
        <v>74</v>
      </c>
      <c r="BB3464" s="1" t="s">
        <v>74</v>
      </c>
      <c r="BC3464" s="1" t="s">
        <v>74</v>
      </c>
      <c r="BD3464" s="1">
        <v>113283</v>
      </c>
      <c r="BE3464" s="1" t="s">
        <v>54955</v>
      </c>
      <c r="BF3464" s="1" t="str">
        <f>HYPERLINK("http://dx.doi.org/10.1016/j.marpolbul.2021.113283","http://dx.doi.org/10.1016/j.marpolbul.2021.113283")</f>
        <v>http://dx.doi.org/10.1016/j.marpolbul.2021.113283</v>
      </c>
      <c r="BG3464" s="1" t="s">
        <v>74</v>
      </c>
      <c r="BH3464" s="1" t="s">
        <v>227</v>
      </c>
      <c r="BI3464" s="1">
        <v>14</v>
      </c>
      <c r="BJ3464" s="1" t="s">
        <v>247</v>
      </c>
      <c r="BK3464" s="1" t="s">
        <v>96</v>
      </c>
      <c r="BL3464" s="1" t="s">
        <v>248</v>
      </c>
      <c r="BM3464" s="1" t="s">
        <v>54956</v>
      </c>
      <c r="BN3464" s="1">
        <v>35101745</v>
      </c>
      <c r="BO3464" s="1" t="s">
        <v>74</v>
      </c>
      <c r="BP3464" s="1" t="s">
        <v>74</v>
      </c>
      <c r="BQ3464" s="1" t="s">
        <v>74</v>
      </c>
      <c r="BR3464" s="1" t="s">
        <v>98</v>
      </c>
      <c r="BS3464" s="1" t="s">
        <v>54957</v>
      </c>
      <c r="BT3464" s="1" t="str">
        <f>HYPERLINK("https%3A%2F%2Fwww.webofscience.com%2Fwos%2Fwoscc%2Ffull-record%2FWOS:000749259800010","View Full Record in Web of Science")</f>
        <v>View Full Record in Web of Science</v>
      </c>
      <c r="BU3464" s="1"/>
      <c r="BV3464" s="1"/>
    </row>
    <row r="3465" spans="1:74">
      <c r="A3465" s="1" t="s">
        <v>72</v>
      </c>
      <c r="B3465" s="1" t="s">
        <v>54958</v>
      </c>
      <c r="C3465" s="1" t="s">
        <v>74</v>
      </c>
      <c r="D3465" s="1" t="s">
        <v>74</v>
      </c>
      <c r="E3465" s="1" t="s">
        <v>74</v>
      </c>
      <c r="F3465" s="1" t="s">
        <v>54959</v>
      </c>
      <c r="G3465" s="1" t="s">
        <v>74</v>
      </c>
      <c r="H3465" s="1" t="s">
        <v>74</v>
      </c>
      <c r="I3465" s="1" t="s">
        <v>54960</v>
      </c>
      <c r="J3465" s="1" t="s">
        <v>909</v>
      </c>
      <c r="K3465" s="1" t="s">
        <v>74</v>
      </c>
      <c r="L3465" s="1" t="s">
        <v>74</v>
      </c>
      <c r="M3465" s="1" t="s">
        <v>78</v>
      </c>
      <c r="N3465" s="1" t="s">
        <v>79</v>
      </c>
      <c r="O3465" s="1" t="s">
        <v>74</v>
      </c>
      <c r="P3465" s="1" t="s">
        <v>74</v>
      </c>
      <c r="Q3465" s="1" t="s">
        <v>74</v>
      </c>
      <c r="R3465" s="1" t="s">
        <v>74</v>
      </c>
      <c r="S3465" s="1" t="s">
        <v>74</v>
      </c>
      <c r="T3465" s="1" t="s">
        <v>54961</v>
      </c>
      <c r="U3465" s="1" t="s">
        <v>54962</v>
      </c>
      <c r="V3465" s="1" t="s">
        <v>54963</v>
      </c>
      <c r="W3465" s="1" t="s">
        <v>54964</v>
      </c>
      <c r="X3465" s="1" t="s">
        <v>54965</v>
      </c>
      <c r="Y3465" s="1" t="s">
        <v>25831</v>
      </c>
      <c r="Z3465" s="1" t="s">
        <v>14843</v>
      </c>
      <c r="AA3465" s="1" t="s">
        <v>2900</v>
      </c>
      <c r="AB3465" s="1" t="s">
        <v>2183</v>
      </c>
      <c r="AC3465" s="1" t="s">
        <v>74</v>
      </c>
      <c r="AD3465" s="1" t="s">
        <v>74</v>
      </c>
      <c r="AE3465" s="1" t="s">
        <v>74</v>
      </c>
      <c r="AF3465" s="1" t="s">
        <v>74</v>
      </c>
      <c r="AG3465" s="1">
        <v>47</v>
      </c>
      <c r="AH3465" s="1">
        <v>1</v>
      </c>
      <c r="AI3465" s="1">
        <v>1</v>
      </c>
      <c r="AJ3465" s="1">
        <v>6</v>
      </c>
      <c r="AK3465" s="1">
        <v>19</v>
      </c>
      <c r="AL3465" s="1" t="s">
        <v>650</v>
      </c>
      <c r="AM3465" s="1" t="s">
        <v>651</v>
      </c>
      <c r="AN3465" s="1" t="s">
        <v>652</v>
      </c>
      <c r="AO3465" s="1" t="s">
        <v>921</v>
      </c>
      <c r="AP3465" s="1" t="s">
        <v>922</v>
      </c>
      <c r="AQ3465" s="1" t="s">
        <v>74</v>
      </c>
      <c r="AR3465" s="1" t="s">
        <v>923</v>
      </c>
      <c r="AS3465" s="1" t="s">
        <v>924</v>
      </c>
      <c r="AT3465" s="1" t="s">
        <v>11873</v>
      </c>
      <c r="AU3465" s="1">
        <v>2024</v>
      </c>
      <c r="AV3465" s="1">
        <v>906</v>
      </c>
      <c r="AW3465" s="1" t="s">
        <v>74</v>
      </c>
      <c r="AX3465" s="1" t="s">
        <v>74</v>
      </c>
      <c r="AY3465" s="1" t="s">
        <v>74</v>
      </c>
      <c r="AZ3465" s="1" t="s">
        <v>74</v>
      </c>
      <c r="BA3465" s="1" t="s">
        <v>74</v>
      </c>
      <c r="BB3465" s="1" t="s">
        <v>74</v>
      </c>
      <c r="BC3465" s="1" t="s">
        <v>74</v>
      </c>
      <c r="BD3465" s="1">
        <v>167528</v>
      </c>
      <c r="BE3465" s="1" t="s">
        <v>54966</v>
      </c>
      <c r="BF3465" s="1" t="str">
        <f>HYPERLINK("http://dx.doi.org/10.1016/j.scitotenv.2023.167528","http://dx.doi.org/10.1016/j.scitotenv.2023.167528")</f>
        <v>http://dx.doi.org/10.1016/j.scitotenv.2023.167528</v>
      </c>
      <c r="BG3465" s="1" t="s">
        <v>74</v>
      </c>
      <c r="BH3465" s="1" t="s">
        <v>26143</v>
      </c>
      <c r="BI3465" s="1">
        <v>11</v>
      </c>
      <c r="BJ3465" s="1" t="s">
        <v>144</v>
      </c>
      <c r="BK3465" s="1" t="s">
        <v>96</v>
      </c>
      <c r="BL3465" s="1" t="s">
        <v>145</v>
      </c>
      <c r="BM3465" s="1" t="s">
        <v>54967</v>
      </c>
      <c r="BN3465" s="1">
        <v>37820792</v>
      </c>
      <c r="BO3465" s="1" t="s">
        <v>74</v>
      </c>
      <c r="BP3465" s="1" t="s">
        <v>74</v>
      </c>
      <c r="BQ3465" s="1" t="s">
        <v>74</v>
      </c>
      <c r="BR3465" s="1" t="s">
        <v>98</v>
      </c>
      <c r="BS3465" s="1" t="s">
        <v>54968</v>
      </c>
      <c r="BT3465" s="1" t="str">
        <f>HYPERLINK("https%3A%2F%2Fwww.webofscience.com%2Fwos%2Fwoscc%2Ffull-record%2FWOS:001102712900001","View Full Record in Web of Science")</f>
        <v>View Full Record in Web of Science</v>
      </c>
      <c r="BU3465" s="1"/>
      <c r="BV3465" s="1"/>
    </row>
    <row r="3466" spans="1:74">
      <c r="A3466" s="1" t="s">
        <v>72</v>
      </c>
      <c r="B3466" s="1" t="s">
        <v>54969</v>
      </c>
      <c r="C3466" s="1" t="s">
        <v>74</v>
      </c>
      <c r="D3466" s="1" t="s">
        <v>74</v>
      </c>
      <c r="E3466" s="1" t="s">
        <v>74</v>
      </c>
      <c r="F3466" s="1" t="s">
        <v>54970</v>
      </c>
      <c r="G3466" s="1" t="s">
        <v>74</v>
      </c>
      <c r="H3466" s="1" t="s">
        <v>74</v>
      </c>
      <c r="I3466" s="1" t="s">
        <v>54971</v>
      </c>
      <c r="J3466" s="1" t="s">
        <v>554</v>
      </c>
      <c r="K3466" s="1" t="s">
        <v>74</v>
      </c>
      <c r="L3466" s="1" t="s">
        <v>74</v>
      </c>
      <c r="M3466" s="1" t="s">
        <v>78</v>
      </c>
      <c r="N3466" s="1" t="s">
        <v>79</v>
      </c>
      <c r="O3466" s="1" t="s">
        <v>74</v>
      </c>
      <c r="P3466" s="1" t="s">
        <v>74</v>
      </c>
      <c r="Q3466" s="1" t="s">
        <v>74</v>
      </c>
      <c r="R3466" s="1" t="s">
        <v>74</v>
      </c>
      <c r="S3466" s="1" t="s">
        <v>74</v>
      </c>
      <c r="T3466" s="1" t="s">
        <v>54972</v>
      </c>
      <c r="U3466" s="1" t="s">
        <v>54973</v>
      </c>
      <c r="V3466" s="1" t="s">
        <v>54974</v>
      </c>
      <c r="W3466" s="1" t="s">
        <v>54975</v>
      </c>
      <c r="X3466" s="1" t="s">
        <v>74</v>
      </c>
      <c r="Y3466" s="1" t="s">
        <v>54976</v>
      </c>
      <c r="Z3466" s="1" t="s">
        <v>54977</v>
      </c>
      <c r="AA3466" s="1" t="s">
        <v>54978</v>
      </c>
      <c r="AB3466" s="1" t="s">
        <v>74</v>
      </c>
      <c r="AC3466" s="1" t="s">
        <v>54979</v>
      </c>
      <c r="AD3466" s="1" t="s">
        <v>54980</v>
      </c>
      <c r="AE3466" s="1" t="s">
        <v>54981</v>
      </c>
      <c r="AF3466" s="1" t="s">
        <v>74</v>
      </c>
      <c r="AG3466" s="1">
        <v>54</v>
      </c>
      <c r="AH3466" s="1">
        <v>0</v>
      </c>
      <c r="AI3466" s="1">
        <v>0</v>
      </c>
      <c r="AJ3466" s="1">
        <v>1</v>
      </c>
      <c r="AK3466" s="1">
        <v>1</v>
      </c>
      <c r="AL3466" s="1" t="s">
        <v>564</v>
      </c>
      <c r="AM3466" s="1" t="s">
        <v>113</v>
      </c>
      <c r="AN3466" s="1" t="s">
        <v>807</v>
      </c>
      <c r="AO3466" s="1" t="s">
        <v>566</v>
      </c>
      <c r="AP3466" s="1" t="s">
        <v>567</v>
      </c>
      <c r="AQ3466" s="1" t="s">
        <v>74</v>
      </c>
      <c r="AR3466" s="1" t="s">
        <v>568</v>
      </c>
      <c r="AS3466" s="1" t="s">
        <v>569</v>
      </c>
      <c r="AT3466" s="1" t="s">
        <v>951</v>
      </c>
      <c r="AU3466" s="1">
        <v>2024</v>
      </c>
      <c r="AV3466" s="1">
        <v>285</v>
      </c>
      <c r="AW3466" s="1" t="s">
        <v>74</v>
      </c>
      <c r="AX3466" s="1" t="s">
        <v>74</v>
      </c>
      <c r="AY3466" s="1" t="s">
        <v>74</v>
      </c>
      <c r="AZ3466" s="1" t="s">
        <v>74</v>
      </c>
      <c r="BA3466" s="1" t="s">
        <v>74</v>
      </c>
      <c r="BB3466" s="1" t="s">
        <v>74</v>
      </c>
      <c r="BC3466" s="1" t="s">
        <v>74</v>
      </c>
      <c r="BD3466" s="1">
        <v>109996</v>
      </c>
      <c r="BE3466" s="1" t="s">
        <v>54982</v>
      </c>
      <c r="BF3466" s="1" t="str">
        <f>HYPERLINK("http://dx.doi.org/10.1016/j.cbpc.2024.109996","http://dx.doi.org/10.1016/j.cbpc.2024.109996")</f>
        <v>http://dx.doi.org/10.1016/j.cbpc.2024.109996</v>
      </c>
      <c r="BG3466" s="1" t="s">
        <v>74</v>
      </c>
      <c r="BH3466" s="1" t="s">
        <v>10999</v>
      </c>
      <c r="BI3466" s="1">
        <v>8</v>
      </c>
      <c r="BJ3466" s="1" t="s">
        <v>571</v>
      </c>
      <c r="BK3466" s="1" t="s">
        <v>96</v>
      </c>
      <c r="BL3466" s="1" t="s">
        <v>571</v>
      </c>
      <c r="BM3466" s="1" t="s">
        <v>54983</v>
      </c>
      <c r="BN3466" s="1">
        <v>39111512</v>
      </c>
      <c r="BO3466" s="1" t="s">
        <v>476</v>
      </c>
      <c r="BP3466" s="1" t="s">
        <v>74</v>
      </c>
      <c r="BQ3466" s="1" t="s">
        <v>74</v>
      </c>
      <c r="BR3466" s="1" t="s">
        <v>98</v>
      </c>
      <c r="BS3466" s="1" t="s">
        <v>54984</v>
      </c>
      <c r="BT3466" s="1" t="str">
        <f>HYPERLINK("https%3A%2F%2Fwww.webofscience.com%2Fwos%2Fwoscc%2Ffull-record%2FWOS:001290979300001","View Full Record in Web of Science")</f>
        <v>View Full Record in Web of Science</v>
      </c>
      <c r="BU3466" s="1"/>
      <c r="BV3466" s="1"/>
    </row>
    <row r="3467" spans="1:74">
      <c r="A3467" s="1" t="s">
        <v>72</v>
      </c>
      <c r="B3467" s="1" t="s">
        <v>54985</v>
      </c>
      <c r="C3467" s="1" t="s">
        <v>74</v>
      </c>
      <c r="D3467" s="1" t="s">
        <v>74</v>
      </c>
      <c r="E3467" s="1" t="s">
        <v>74</v>
      </c>
      <c r="F3467" s="1" t="s">
        <v>54986</v>
      </c>
      <c r="G3467" s="1" t="s">
        <v>74</v>
      </c>
      <c r="H3467" s="1" t="s">
        <v>74</v>
      </c>
      <c r="I3467" s="1" t="s">
        <v>54987</v>
      </c>
      <c r="J3467" s="1" t="s">
        <v>10565</v>
      </c>
      <c r="K3467" s="1" t="s">
        <v>74</v>
      </c>
      <c r="L3467" s="1" t="s">
        <v>74</v>
      </c>
      <c r="M3467" s="1" t="s">
        <v>78</v>
      </c>
      <c r="N3467" s="1" t="s">
        <v>79</v>
      </c>
      <c r="O3467" s="1" t="s">
        <v>74</v>
      </c>
      <c r="P3467" s="1" t="s">
        <v>74</v>
      </c>
      <c r="Q3467" s="1" t="s">
        <v>74</v>
      </c>
      <c r="R3467" s="1" t="s">
        <v>74</v>
      </c>
      <c r="S3467" s="1" t="s">
        <v>74</v>
      </c>
      <c r="T3467" s="1" t="s">
        <v>54988</v>
      </c>
      <c r="U3467" s="1" t="s">
        <v>54989</v>
      </c>
      <c r="V3467" s="1" t="s">
        <v>54990</v>
      </c>
      <c r="W3467" s="1" t="s">
        <v>54991</v>
      </c>
      <c r="X3467" s="1" t="s">
        <v>10570</v>
      </c>
      <c r="Y3467" s="1" t="s">
        <v>10571</v>
      </c>
      <c r="Z3467" s="1" t="s">
        <v>10572</v>
      </c>
      <c r="AA3467" s="1" t="s">
        <v>54992</v>
      </c>
      <c r="AB3467" s="1" t="s">
        <v>54993</v>
      </c>
      <c r="AC3467" s="1" t="s">
        <v>54994</v>
      </c>
      <c r="AD3467" s="1" t="s">
        <v>30949</v>
      </c>
      <c r="AE3467" s="1" t="s">
        <v>54995</v>
      </c>
      <c r="AF3467" s="1" t="s">
        <v>74</v>
      </c>
      <c r="AG3467" s="1">
        <v>49</v>
      </c>
      <c r="AH3467" s="1">
        <v>32</v>
      </c>
      <c r="AI3467" s="1">
        <v>35</v>
      </c>
      <c r="AJ3467" s="1">
        <v>0</v>
      </c>
      <c r="AK3467" s="1">
        <v>20</v>
      </c>
      <c r="AL3467" s="1" t="s">
        <v>136</v>
      </c>
      <c r="AM3467" s="1" t="s">
        <v>137</v>
      </c>
      <c r="AN3467" s="1" t="s">
        <v>138</v>
      </c>
      <c r="AO3467" s="1" t="s">
        <v>10577</v>
      </c>
      <c r="AP3467" s="1" t="s">
        <v>10578</v>
      </c>
      <c r="AQ3467" s="1" t="s">
        <v>74</v>
      </c>
      <c r="AR3467" s="1" t="s">
        <v>10579</v>
      </c>
      <c r="AS3467" s="1" t="s">
        <v>10580</v>
      </c>
      <c r="AT3467" s="1" t="s">
        <v>1470</v>
      </c>
      <c r="AU3467" s="1">
        <v>2016</v>
      </c>
      <c r="AV3467" s="1">
        <v>113</v>
      </c>
      <c r="AW3467" s="1" t="s">
        <v>74</v>
      </c>
      <c r="AX3467" s="1" t="s">
        <v>74</v>
      </c>
      <c r="AY3467" s="1" t="s">
        <v>74</v>
      </c>
      <c r="AZ3467" s="1" t="s">
        <v>74</v>
      </c>
      <c r="BA3467" s="1" t="s">
        <v>74</v>
      </c>
      <c r="BB3467" s="1">
        <v>65</v>
      </c>
      <c r="BC3467" s="1">
        <v>72</v>
      </c>
      <c r="BD3467" s="1" t="s">
        <v>74</v>
      </c>
      <c r="BE3467" s="1" t="s">
        <v>54996</v>
      </c>
      <c r="BF3467" s="1" t="str">
        <f>HYPERLINK("http://dx.doi.org/10.1016/j.jafrearsci.2015.10.001","http://dx.doi.org/10.1016/j.jafrearsci.2015.10.001")</f>
        <v>http://dx.doi.org/10.1016/j.jafrearsci.2015.10.001</v>
      </c>
      <c r="BG3467" s="1" t="s">
        <v>74</v>
      </c>
      <c r="BH3467" s="1" t="s">
        <v>74</v>
      </c>
      <c r="BI3467" s="1">
        <v>8</v>
      </c>
      <c r="BJ3467" s="1" t="s">
        <v>10582</v>
      </c>
      <c r="BK3467" s="1" t="s">
        <v>96</v>
      </c>
      <c r="BL3467" s="1" t="s">
        <v>7739</v>
      </c>
      <c r="BM3467" s="1" t="s">
        <v>54997</v>
      </c>
      <c r="BN3467" s="1" t="s">
        <v>74</v>
      </c>
      <c r="BO3467" s="1" t="s">
        <v>74</v>
      </c>
      <c r="BP3467" s="1" t="s">
        <v>74</v>
      </c>
      <c r="BQ3467" s="1" t="s">
        <v>74</v>
      </c>
      <c r="BR3467" s="1" t="s">
        <v>98</v>
      </c>
      <c r="BS3467" s="1" t="s">
        <v>54998</v>
      </c>
      <c r="BT3467" s="1" t="str">
        <f>HYPERLINK("https%3A%2F%2Fwww.webofscience.com%2Fwos%2Fwoscc%2Ffull-record%2FWOS:000367413300005","View Full Record in Web of Science")</f>
        <v>View Full Record in Web of Science</v>
      </c>
      <c r="BU3467" s="1"/>
      <c r="BV3467" s="1"/>
    </row>
    <row r="3468" spans="1:74">
      <c r="A3468" s="1" t="s">
        <v>72</v>
      </c>
      <c r="B3468" s="1" t="s">
        <v>54999</v>
      </c>
      <c r="C3468" s="1" t="s">
        <v>74</v>
      </c>
      <c r="D3468" s="1" t="s">
        <v>74</v>
      </c>
      <c r="E3468" s="1" t="s">
        <v>74</v>
      </c>
      <c r="F3468" s="1" t="s">
        <v>55000</v>
      </c>
      <c r="G3468" s="1" t="s">
        <v>74</v>
      </c>
      <c r="H3468" s="1" t="s">
        <v>74</v>
      </c>
      <c r="I3468" s="1" t="s">
        <v>55001</v>
      </c>
      <c r="J3468" s="1" t="s">
        <v>204</v>
      </c>
      <c r="K3468" s="1" t="s">
        <v>74</v>
      </c>
      <c r="L3468" s="1" t="s">
        <v>74</v>
      </c>
      <c r="M3468" s="1" t="s">
        <v>78</v>
      </c>
      <c r="N3468" s="1" t="s">
        <v>151</v>
      </c>
      <c r="O3468" s="1" t="s">
        <v>27949</v>
      </c>
      <c r="P3468" s="1" t="s">
        <v>27950</v>
      </c>
      <c r="Q3468" s="1" t="s">
        <v>27951</v>
      </c>
      <c r="R3468" s="1" t="s">
        <v>74</v>
      </c>
      <c r="S3468" s="1" t="s">
        <v>27952</v>
      </c>
      <c r="T3468" s="1" t="s">
        <v>55002</v>
      </c>
      <c r="U3468" s="1" t="s">
        <v>55003</v>
      </c>
      <c r="V3468" s="1" t="s">
        <v>55004</v>
      </c>
      <c r="W3468" s="1" t="s">
        <v>55005</v>
      </c>
      <c r="X3468" s="1" t="s">
        <v>55006</v>
      </c>
      <c r="Y3468" s="1" t="s">
        <v>55007</v>
      </c>
      <c r="Z3468" s="1" t="s">
        <v>55008</v>
      </c>
      <c r="AA3468" s="1" t="s">
        <v>55009</v>
      </c>
      <c r="AB3468" s="1" t="s">
        <v>55010</v>
      </c>
      <c r="AC3468" s="1" t="s">
        <v>74</v>
      </c>
      <c r="AD3468" s="1" t="s">
        <v>74</v>
      </c>
      <c r="AE3468" s="1" t="s">
        <v>74</v>
      </c>
      <c r="AF3468" s="1" t="s">
        <v>74</v>
      </c>
      <c r="AG3468" s="1">
        <v>54</v>
      </c>
      <c r="AH3468" s="1">
        <v>63</v>
      </c>
      <c r="AI3468" s="1">
        <v>68</v>
      </c>
      <c r="AJ3468" s="1">
        <v>1</v>
      </c>
      <c r="AK3468" s="1">
        <v>62</v>
      </c>
      <c r="AL3468" s="1" t="s">
        <v>217</v>
      </c>
      <c r="AM3468" s="1" t="s">
        <v>218</v>
      </c>
      <c r="AN3468" s="1" t="s">
        <v>219</v>
      </c>
      <c r="AO3468" s="1" t="s">
        <v>220</v>
      </c>
      <c r="AP3468" s="1" t="s">
        <v>221</v>
      </c>
      <c r="AQ3468" s="1" t="s">
        <v>74</v>
      </c>
      <c r="AR3468" s="1" t="s">
        <v>222</v>
      </c>
      <c r="AS3468" s="1" t="s">
        <v>223</v>
      </c>
      <c r="AT3468" s="1" t="s">
        <v>119</v>
      </c>
      <c r="AU3468" s="1">
        <v>2012</v>
      </c>
      <c r="AV3468" s="1">
        <v>19</v>
      </c>
      <c r="AW3468" s="1">
        <v>7</v>
      </c>
      <c r="AX3468" s="1" t="s">
        <v>74</v>
      </c>
      <c r="AY3468" s="1" t="s">
        <v>74</v>
      </c>
      <c r="AZ3468" s="1" t="s">
        <v>74</v>
      </c>
      <c r="BA3468" s="1" t="s">
        <v>74</v>
      </c>
      <c r="BB3468" s="1">
        <v>2550</v>
      </c>
      <c r="BC3468" s="1">
        <v>2560</v>
      </c>
      <c r="BD3468" s="1" t="s">
        <v>74</v>
      </c>
      <c r="BE3468" s="1" t="s">
        <v>55011</v>
      </c>
      <c r="BF3468" s="1" t="str">
        <f>HYPERLINK("http://dx.doi.org/10.1007/s11356-012-0899-8","http://dx.doi.org/10.1007/s11356-012-0899-8")</f>
        <v>http://dx.doi.org/10.1007/s11356-012-0899-8</v>
      </c>
      <c r="BG3468" s="1" t="s">
        <v>74</v>
      </c>
      <c r="BH3468" s="1" t="s">
        <v>74</v>
      </c>
      <c r="BI3468" s="1">
        <v>11</v>
      </c>
      <c r="BJ3468" s="1" t="s">
        <v>144</v>
      </c>
      <c r="BK3468" s="1" t="s">
        <v>172</v>
      </c>
      <c r="BL3468" s="1" t="s">
        <v>145</v>
      </c>
      <c r="BM3468" s="1" t="s">
        <v>27963</v>
      </c>
      <c r="BN3468" s="1">
        <v>22828884</v>
      </c>
      <c r="BO3468" s="1" t="s">
        <v>74</v>
      </c>
      <c r="BP3468" s="1" t="s">
        <v>74</v>
      </c>
      <c r="BQ3468" s="1" t="s">
        <v>74</v>
      </c>
      <c r="BR3468" s="1" t="s">
        <v>98</v>
      </c>
      <c r="BS3468" s="1" t="s">
        <v>55012</v>
      </c>
      <c r="BT3468" s="1" t="str">
        <f>HYPERLINK("https%3A%2F%2Fwww.webofscience.com%2Fwos%2Fwoscc%2Ffull-record%2FWOS:000306790200010","View Full Record in Web of Science")</f>
        <v>View Full Record in Web of Science</v>
      </c>
      <c r="BU3468" s="1"/>
      <c r="BV3468" s="1"/>
    </row>
    <row r="3469" spans="1:74">
      <c r="A3469" s="1" t="s">
        <v>72</v>
      </c>
      <c r="B3469" s="1" t="s">
        <v>55013</v>
      </c>
      <c r="C3469" s="1" t="s">
        <v>74</v>
      </c>
      <c r="D3469" s="1" t="s">
        <v>74</v>
      </c>
      <c r="E3469" s="1" t="s">
        <v>74</v>
      </c>
      <c r="F3469" s="1" t="s">
        <v>55014</v>
      </c>
      <c r="G3469" s="1" t="s">
        <v>74</v>
      </c>
      <c r="H3469" s="1" t="s">
        <v>74</v>
      </c>
      <c r="I3469" s="1" t="s">
        <v>55015</v>
      </c>
      <c r="J3469" s="1" t="s">
        <v>641</v>
      </c>
      <c r="K3469" s="1" t="s">
        <v>74</v>
      </c>
      <c r="L3469" s="1" t="s">
        <v>74</v>
      </c>
      <c r="M3469" s="1" t="s">
        <v>78</v>
      </c>
      <c r="N3469" s="1" t="s">
        <v>79</v>
      </c>
      <c r="O3469" s="1" t="s">
        <v>74</v>
      </c>
      <c r="P3469" s="1" t="s">
        <v>74</v>
      </c>
      <c r="Q3469" s="1" t="s">
        <v>74</v>
      </c>
      <c r="R3469" s="1" t="s">
        <v>74</v>
      </c>
      <c r="S3469" s="1" t="s">
        <v>74</v>
      </c>
      <c r="T3469" s="1" t="s">
        <v>55016</v>
      </c>
      <c r="U3469" s="1" t="s">
        <v>55017</v>
      </c>
      <c r="V3469" s="1" t="s">
        <v>55018</v>
      </c>
      <c r="W3469" s="1" t="s">
        <v>55019</v>
      </c>
      <c r="X3469" s="1" t="s">
        <v>31133</v>
      </c>
      <c r="Y3469" s="1" t="s">
        <v>55020</v>
      </c>
      <c r="Z3469" s="1" t="s">
        <v>9187</v>
      </c>
      <c r="AA3469" s="1" t="s">
        <v>55021</v>
      </c>
      <c r="AB3469" s="1" t="s">
        <v>55022</v>
      </c>
      <c r="AC3469" s="1" t="s">
        <v>74</v>
      </c>
      <c r="AD3469" s="1" t="s">
        <v>74</v>
      </c>
      <c r="AE3469" s="1" t="s">
        <v>74</v>
      </c>
      <c r="AF3469" s="1" t="s">
        <v>74</v>
      </c>
      <c r="AG3469" s="1">
        <v>82</v>
      </c>
      <c r="AH3469" s="1">
        <v>180</v>
      </c>
      <c r="AI3469" s="1">
        <v>182</v>
      </c>
      <c r="AJ3469" s="1">
        <v>2</v>
      </c>
      <c r="AK3469" s="1">
        <v>48</v>
      </c>
      <c r="AL3469" s="1" t="s">
        <v>919</v>
      </c>
      <c r="AM3469" s="1" t="s">
        <v>651</v>
      </c>
      <c r="AN3469" s="1" t="s">
        <v>920</v>
      </c>
      <c r="AO3469" s="1" t="s">
        <v>653</v>
      </c>
      <c r="AP3469" s="1" t="s">
        <v>654</v>
      </c>
      <c r="AQ3469" s="1" t="s">
        <v>74</v>
      </c>
      <c r="AR3469" s="1" t="s">
        <v>655</v>
      </c>
      <c r="AS3469" s="1" t="s">
        <v>656</v>
      </c>
      <c r="AT3469" s="1" t="s">
        <v>951</v>
      </c>
      <c r="AU3469" s="1">
        <v>2016</v>
      </c>
      <c r="AV3469" s="1">
        <v>180</v>
      </c>
      <c r="AW3469" s="1" t="s">
        <v>74</v>
      </c>
      <c r="AX3469" s="1" t="s">
        <v>74</v>
      </c>
      <c r="AY3469" s="1" t="s">
        <v>74</v>
      </c>
      <c r="AZ3469" s="1" t="s">
        <v>74</v>
      </c>
      <c r="BA3469" s="1" t="s">
        <v>74</v>
      </c>
      <c r="BB3469" s="1">
        <v>258</v>
      </c>
      <c r="BC3469" s="1">
        <v>265</v>
      </c>
      <c r="BD3469" s="1" t="s">
        <v>74</v>
      </c>
      <c r="BE3469" s="1" t="s">
        <v>55023</v>
      </c>
      <c r="BF3469" s="1" t="str">
        <f>HYPERLINK("http://dx.doi.org/10.1016/j.aquatox.2016.10.010","http://dx.doi.org/10.1016/j.aquatox.2016.10.010")</f>
        <v>http://dx.doi.org/10.1016/j.aquatox.2016.10.010</v>
      </c>
      <c r="BG3469" s="1" t="s">
        <v>74</v>
      </c>
      <c r="BH3469" s="1" t="s">
        <v>74</v>
      </c>
      <c r="BI3469" s="1">
        <v>8</v>
      </c>
      <c r="BJ3469" s="1" t="s">
        <v>659</v>
      </c>
      <c r="BK3469" s="1" t="s">
        <v>96</v>
      </c>
      <c r="BL3469" s="1" t="s">
        <v>659</v>
      </c>
      <c r="BM3469" s="1" t="s">
        <v>55024</v>
      </c>
      <c r="BN3469" s="1">
        <v>27750119</v>
      </c>
      <c r="BO3469" s="1" t="s">
        <v>74</v>
      </c>
      <c r="BP3469" s="1" t="s">
        <v>74</v>
      </c>
      <c r="BQ3469" s="1" t="s">
        <v>74</v>
      </c>
      <c r="BR3469" s="1" t="s">
        <v>98</v>
      </c>
      <c r="BS3469" s="1" t="s">
        <v>55025</v>
      </c>
      <c r="BT3469" s="1" t="str">
        <f>HYPERLINK("https%3A%2F%2Fwww.webofscience.com%2Fwos%2Fwoscc%2Ffull-record%2FWOS:000388777600026","View Full Record in Web of Science")</f>
        <v>View Full Record in Web of Science</v>
      </c>
      <c r="BU3469" s="1"/>
      <c r="BV3469" s="1"/>
    </row>
    <row r="3470" spans="1:74">
      <c r="A3470" s="1" t="s">
        <v>72</v>
      </c>
      <c r="B3470" s="1" t="s">
        <v>55026</v>
      </c>
      <c r="C3470" s="1" t="s">
        <v>74</v>
      </c>
      <c r="D3470" s="1" t="s">
        <v>74</v>
      </c>
      <c r="E3470" s="1" t="s">
        <v>74</v>
      </c>
      <c r="F3470" s="1" t="s">
        <v>55027</v>
      </c>
      <c r="G3470" s="1" t="s">
        <v>74</v>
      </c>
      <c r="H3470" s="1" t="s">
        <v>74</v>
      </c>
      <c r="I3470" s="1" t="s">
        <v>55028</v>
      </c>
      <c r="J3470" s="1" t="s">
        <v>232</v>
      </c>
      <c r="K3470" s="1" t="s">
        <v>74</v>
      </c>
      <c r="L3470" s="1" t="s">
        <v>74</v>
      </c>
      <c r="M3470" s="1" t="s">
        <v>78</v>
      </c>
      <c r="N3470" s="1" t="s">
        <v>79</v>
      </c>
      <c r="O3470" s="1" t="s">
        <v>74</v>
      </c>
      <c r="P3470" s="1" t="s">
        <v>74</v>
      </c>
      <c r="Q3470" s="1" t="s">
        <v>74</v>
      </c>
      <c r="R3470" s="1" t="s">
        <v>74</v>
      </c>
      <c r="S3470" s="1" t="s">
        <v>74</v>
      </c>
      <c r="T3470" s="1" t="s">
        <v>55029</v>
      </c>
      <c r="U3470" s="1" t="s">
        <v>55030</v>
      </c>
      <c r="V3470" s="1" t="s">
        <v>55031</v>
      </c>
      <c r="W3470" s="1" t="s">
        <v>55032</v>
      </c>
      <c r="X3470" s="1" t="s">
        <v>55033</v>
      </c>
      <c r="Y3470" s="1" t="s">
        <v>55034</v>
      </c>
      <c r="Z3470" s="1" t="s">
        <v>74</v>
      </c>
      <c r="AA3470" s="1" t="s">
        <v>55035</v>
      </c>
      <c r="AB3470" s="1" t="s">
        <v>74</v>
      </c>
      <c r="AC3470" s="1" t="s">
        <v>74</v>
      </c>
      <c r="AD3470" s="1" t="s">
        <v>74</v>
      </c>
      <c r="AE3470" s="1" t="s">
        <v>74</v>
      </c>
      <c r="AF3470" s="1" t="s">
        <v>74</v>
      </c>
      <c r="AG3470" s="1">
        <v>34</v>
      </c>
      <c r="AH3470" s="1">
        <v>10</v>
      </c>
      <c r="AI3470" s="1">
        <v>10</v>
      </c>
      <c r="AJ3470" s="1">
        <v>0</v>
      </c>
      <c r="AK3470" s="1">
        <v>17</v>
      </c>
      <c r="AL3470" s="1" t="s">
        <v>136</v>
      </c>
      <c r="AM3470" s="1" t="s">
        <v>137</v>
      </c>
      <c r="AN3470" s="1" t="s">
        <v>138</v>
      </c>
      <c r="AO3470" s="1" t="s">
        <v>240</v>
      </c>
      <c r="AP3470" s="1" t="s">
        <v>241</v>
      </c>
      <c r="AQ3470" s="1" t="s">
        <v>74</v>
      </c>
      <c r="AR3470" s="1" t="s">
        <v>242</v>
      </c>
      <c r="AS3470" s="1" t="s">
        <v>243</v>
      </c>
      <c r="AT3470" s="1" t="s">
        <v>765</v>
      </c>
      <c r="AU3470" s="1">
        <v>2010</v>
      </c>
      <c r="AV3470" s="1">
        <v>60</v>
      </c>
      <c r="AW3470" s="1">
        <v>7</v>
      </c>
      <c r="AX3470" s="1" t="s">
        <v>74</v>
      </c>
      <c r="AY3470" s="1" t="s">
        <v>74</v>
      </c>
      <c r="AZ3470" s="1" t="s">
        <v>74</v>
      </c>
      <c r="BA3470" s="1" t="s">
        <v>74</v>
      </c>
      <c r="BB3470" s="1">
        <v>1136</v>
      </c>
      <c r="BC3470" s="1">
        <v>1141</v>
      </c>
      <c r="BD3470" s="1" t="s">
        <v>74</v>
      </c>
      <c r="BE3470" s="1" t="s">
        <v>55036</v>
      </c>
      <c r="BF3470" s="1" t="str">
        <f>HYPERLINK("http://dx.doi.org/10.1016/j.marpolbul.2010.03.024","http://dx.doi.org/10.1016/j.marpolbul.2010.03.024")</f>
        <v>http://dx.doi.org/10.1016/j.marpolbul.2010.03.024</v>
      </c>
      <c r="BG3470" s="1" t="s">
        <v>74</v>
      </c>
      <c r="BH3470" s="1" t="s">
        <v>74</v>
      </c>
      <c r="BI3470" s="1">
        <v>6</v>
      </c>
      <c r="BJ3470" s="1" t="s">
        <v>247</v>
      </c>
      <c r="BK3470" s="1" t="s">
        <v>96</v>
      </c>
      <c r="BL3470" s="1" t="s">
        <v>248</v>
      </c>
      <c r="BM3470" s="1" t="s">
        <v>55037</v>
      </c>
      <c r="BN3470" s="1">
        <v>20462605</v>
      </c>
      <c r="BO3470" s="1" t="s">
        <v>74</v>
      </c>
      <c r="BP3470" s="1" t="s">
        <v>74</v>
      </c>
      <c r="BQ3470" s="1" t="s">
        <v>74</v>
      </c>
      <c r="BR3470" s="1" t="s">
        <v>98</v>
      </c>
      <c r="BS3470" s="1" t="s">
        <v>55038</v>
      </c>
      <c r="BT3470" s="1" t="str">
        <f>HYPERLINK("https%3A%2F%2Fwww.webofscience.com%2Fwos%2Fwoscc%2Ffull-record%2FWOS:000279857600034","View Full Record in Web of Science")</f>
        <v>View Full Record in Web of Science</v>
      </c>
      <c r="BU3470" s="1"/>
      <c r="BV3470" s="1"/>
    </row>
    <row r="3471" spans="1:74">
      <c r="A3471" s="1" t="s">
        <v>72</v>
      </c>
      <c r="B3471" s="1" t="s">
        <v>55039</v>
      </c>
      <c r="C3471" s="1" t="s">
        <v>74</v>
      </c>
      <c r="D3471" s="1" t="s">
        <v>74</v>
      </c>
      <c r="E3471" s="1" t="s">
        <v>74</v>
      </c>
      <c r="F3471" s="1" t="s">
        <v>55039</v>
      </c>
      <c r="G3471" s="1" t="s">
        <v>74</v>
      </c>
      <c r="H3471" s="1" t="s">
        <v>74</v>
      </c>
      <c r="I3471" s="1" t="s">
        <v>55040</v>
      </c>
      <c r="J3471" s="1" t="s">
        <v>232</v>
      </c>
      <c r="K3471" s="1" t="s">
        <v>74</v>
      </c>
      <c r="L3471" s="1" t="s">
        <v>74</v>
      </c>
      <c r="M3471" s="1" t="s">
        <v>78</v>
      </c>
      <c r="N3471" s="1" t="s">
        <v>79</v>
      </c>
      <c r="O3471" s="1" t="s">
        <v>74</v>
      </c>
      <c r="P3471" s="1" t="s">
        <v>74</v>
      </c>
      <c r="Q3471" s="1" t="s">
        <v>74</v>
      </c>
      <c r="R3471" s="1" t="s">
        <v>74</v>
      </c>
      <c r="S3471" s="1" t="s">
        <v>74</v>
      </c>
      <c r="T3471" s="1" t="s">
        <v>74</v>
      </c>
      <c r="U3471" s="1" t="s">
        <v>55041</v>
      </c>
      <c r="V3471" s="1" t="s">
        <v>74</v>
      </c>
      <c r="W3471" s="1" t="s">
        <v>43253</v>
      </c>
      <c r="X3471" s="1" t="s">
        <v>55042</v>
      </c>
      <c r="Y3471" s="1" t="s">
        <v>55043</v>
      </c>
      <c r="Z3471" s="1" t="s">
        <v>74</v>
      </c>
      <c r="AA3471" s="1" t="s">
        <v>74</v>
      </c>
      <c r="AB3471" s="1" t="s">
        <v>74</v>
      </c>
      <c r="AC3471" s="1" t="s">
        <v>74</v>
      </c>
      <c r="AD3471" s="1" t="s">
        <v>74</v>
      </c>
      <c r="AE3471" s="1" t="s">
        <v>74</v>
      </c>
      <c r="AF3471" s="1" t="s">
        <v>74</v>
      </c>
      <c r="AG3471" s="1">
        <v>9</v>
      </c>
      <c r="AH3471" s="1">
        <v>67</v>
      </c>
      <c r="AI3471" s="1">
        <v>73</v>
      </c>
      <c r="AJ3471" s="1">
        <v>0</v>
      </c>
      <c r="AK3471" s="1">
        <v>17</v>
      </c>
      <c r="AL3471" s="1" t="s">
        <v>136</v>
      </c>
      <c r="AM3471" s="1" t="s">
        <v>137</v>
      </c>
      <c r="AN3471" s="1" t="s">
        <v>138</v>
      </c>
      <c r="AO3471" s="1" t="s">
        <v>240</v>
      </c>
      <c r="AP3471" s="1" t="s">
        <v>241</v>
      </c>
      <c r="AQ3471" s="1" t="s">
        <v>74</v>
      </c>
      <c r="AR3471" s="1" t="s">
        <v>242</v>
      </c>
      <c r="AS3471" s="1" t="s">
        <v>243</v>
      </c>
      <c r="AT3471" s="1" t="s">
        <v>93</v>
      </c>
      <c r="AU3471" s="1">
        <v>2001</v>
      </c>
      <c r="AV3471" s="1">
        <v>42</v>
      </c>
      <c r="AW3471" s="1">
        <v>4</v>
      </c>
      <c r="AX3471" s="1" t="s">
        <v>74</v>
      </c>
      <c r="AY3471" s="1" t="s">
        <v>74</v>
      </c>
      <c r="AZ3471" s="1" t="s">
        <v>74</v>
      </c>
      <c r="BA3471" s="1" t="s">
        <v>74</v>
      </c>
      <c r="BB3471" s="1">
        <v>329</v>
      </c>
      <c r="BC3471" s="1">
        <v>332</v>
      </c>
      <c r="BD3471" s="1" t="s">
        <v>74</v>
      </c>
      <c r="BE3471" s="1" t="s">
        <v>55044</v>
      </c>
      <c r="BF3471" s="1" t="str">
        <f>HYPERLINK("http://dx.doi.org/10.1016/S0025-326X(01)00036-4","http://dx.doi.org/10.1016/S0025-326X(01)00036-4")</f>
        <v>http://dx.doi.org/10.1016/S0025-326X(01)00036-4</v>
      </c>
      <c r="BG3471" s="1" t="s">
        <v>74</v>
      </c>
      <c r="BH3471" s="1" t="s">
        <v>74</v>
      </c>
      <c r="BI3471" s="1">
        <v>4</v>
      </c>
      <c r="BJ3471" s="1" t="s">
        <v>247</v>
      </c>
      <c r="BK3471" s="1" t="s">
        <v>96</v>
      </c>
      <c r="BL3471" s="1" t="s">
        <v>248</v>
      </c>
      <c r="BM3471" s="1" t="s">
        <v>55045</v>
      </c>
      <c r="BN3471" s="1">
        <v>11381755</v>
      </c>
      <c r="BO3471" s="1" t="s">
        <v>74</v>
      </c>
      <c r="BP3471" s="1" t="s">
        <v>74</v>
      </c>
      <c r="BQ3471" s="1" t="s">
        <v>74</v>
      </c>
      <c r="BR3471" s="1" t="s">
        <v>98</v>
      </c>
      <c r="BS3471" s="1" t="s">
        <v>55046</v>
      </c>
      <c r="BT3471" s="1" t="str">
        <f>HYPERLINK("https%3A%2F%2Fwww.webofscience.com%2Fwos%2Fwoscc%2Ffull-record%2FWOS:000168571300022","View Full Record in Web of Science")</f>
        <v>View Full Record in Web of Science</v>
      </c>
      <c r="BU3471" s="1"/>
      <c r="BV3471" s="1"/>
    </row>
    <row r="3472" spans="1:74">
      <c r="A3472" s="1" t="s">
        <v>72</v>
      </c>
      <c r="B3472" s="1" t="s">
        <v>55047</v>
      </c>
      <c r="C3472" s="1" t="s">
        <v>74</v>
      </c>
      <c r="D3472" s="1" t="s">
        <v>74</v>
      </c>
      <c r="E3472" s="1" t="s">
        <v>74</v>
      </c>
      <c r="F3472" s="1" t="s">
        <v>55048</v>
      </c>
      <c r="G3472" s="1" t="s">
        <v>74</v>
      </c>
      <c r="H3472" s="1" t="s">
        <v>74</v>
      </c>
      <c r="I3472" s="1" t="s">
        <v>55049</v>
      </c>
      <c r="J3472" s="1" t="s">
        <v>5021</v>
      </c>
      <c r="K3472" s="1" t="s">
        <v>74</v>
      </c>
      <c r="L3472" s="1" t="s">
        <v>74</v>
      </c>
      <c r="M3472" s="1" t="s">
        <v>78</v>
      </c>
      <c r="N3472" s="1" t="s">
        <v>79</v>
      </c>
      <c r="O3472" s="1" t="s">
        <v>74</v>
      </c>
      <c r="P3472" s="1" t="s">
        <v>74</v>
      </c>
      <c r="Q3472" s="1" t="s">
        <v>74</v>
      </c>
      <c r="R3472" s="1" t="s">
        <v>74</v>
      </c>
      <c r="S3472" s="1" t="s">
        <v>74</v>
      </c>
      <c r="T3472" s="1" t="s">
        <v>55050</v>
      </c>
      <c r="U3472" s="1" t="s">
        <v>55051</v>
      </c>
      <c r="V3472" s="1" t="s">
        <v>55052</v>
      </c>
      <c r="W3472" s="1" t="s">
        <v>55053</v>
      </c>
      <c r="X3472" s="1" t="s">
        <v>55054</v>
      </c>
      <c r="Y3472" s="1" t="s">
        <v>55055</v>
      </c>
      <c r="Z3472" s="1" t="s">
        <v>55056</v>
      </c>
      <c r="AA3472" s="1" t="s">
        <v>55057</v>
      </c>
      <c r="AB3472" s="1" t="s">
        <v>55058</v>
      </c>
      <c r="AC3472" s="1" t="s">
        <v>55059</v>
      </c>
      <c r="AD3472" s="1" t="s">
        <v>55060</v>
      </c>
      <c r="AE3472" s="1" t="s">
        <v>55061</v>
      </c>
      <c r="AF3472" s="1" t="s">
        <v>74</v>
      </c>
      <c r="AG3472" s="1">
        <v>44</v>
      </c>
      <c r="AH3472" s="1">
        <v>18</v>
      </c>
      <c r="AI3472" s="1">
        <v>18</v>
      </c>
      <c r="AJ3472" s="1">
        <v>1</v>
      </c>
      <c r="AK3472" s="1">
        <v>36</v>
      </c>
      <c r="AL3472" s="1" t="s">
        <v>650</v>
      </c>
      <c r="AM3472" s="1" t="s">
        <v>651</v>
      </c>
      <c r="AN3472" s="1" t="s">
        <v>652</v>
      </c>
      <c r="AO3472" s="1" t="s">
        <v>5033</v>
      </c>
      <c r="AP3472" s="1" t="s">
        <v>5034</v>
      </c>
      <c r="AQ3472" s="1" t="s">
        <v>74</v>
      </c>
      <c r="AR3472" s="1" t="s">
        <v>5035</v>
      </c>
      <c r="AS3472" s="1" t="s">
        <v>5036</v>
      </c>
      <c r="AT3472" s="1" t="s">
        <v>197</v>
      </c>
      <c r="AU3472" s="1">
        <v>2019</v>
      </c>
      <c r="AV3472" s="1">
        <v>151</v>
      </c>
      <c r="AW3472" s="1" t="s">
        <v>74</v>
      </c>
      <c r="AX3472" s="1" t="s">
        <v>74</v>
      </c>
      <c r="AY3472" s="1" t="s">
        <v>74</v>
      </c>
      <c r="AZ3472" s="1" t="s">
        <v>74</v>
      </c>
      <c r="BA3472" s="1" t="s">
        <v>74</v>
      </c>
      <c r="BB3472" s="1" t="s">
        <v>74</v>
      </c>
      <c r="BC3472" s="1" t="s">
        <v>74</v>
      </c>
      <c r="BD3472" s="1">
        <v>104221</v>
      </c>
      <c r="BE3472" s="1" t="s">
        <v>55062</v>
      </c>
      <c r="BF3472" s="1" t="str">
        <f>HYPERLINK("http://dx.doi.org/10.1016/j.microc.2019.104221","http://dx.doi.org/10.1016/j.microc.2019.104221")</f>
        <v>http://dx.doi.org/10.1016/j.microc.2019.104221</v>
      </c>
      <c r="BG3472" s="1" t="s">
        <v>74</v>
      </c>
      <c r="BH3472" s="1" t="s">
        <v>74</v>
      </c>
      <c r="BI3472" s="1">
        <v>9</v>
      </c>
      <c r="BJ3472" s="1" t="s">
        <v>1196</v>
      </c>
      <c r="BK3472" s="1" t="s">
        <v>96</v>
      </c>
      <c r="BL3472" s="1" t="s">
        <v>1197</v>
      </c>
      <c r="BM3472" s="1" t="s">
        <v>55063</v>
      </c>
      <c r="BN3472" s="1" t="s">
        <v>74</v>
      </c>
      <c r="BO3472" s="1" t="s">
        <v>74</v>
      </c>
      <c r="BP3472" s="1" t="s">
        <v>74</v>
      </c>
      <c r="BQ3472" s="1" t="s">
        <v>74</v>
      </c>
      <c r="BR3472" s="1" t="s">
        <v>98</v>
      </c>
      <c r="BS3472" s="1" t="s">
        <v>55064</v>
      </c>
      <c r="BT3472" s="1" t="str">
        <f>HYPERLINK("https%3A%2F%2Fwww.webofscience.com%2Fwos%2Fwoscc%2Ffull-record%2FWOS:000497250700015","View Full Record in Web of Science")</f>
        <v>View Full Record in Web of Science</v>
      </c>
      <c r="BU3472" s="1"/>
      <c r="BV3472" s="1"/>
    </row>
    <row r="3473" spans="1:74">
      <c r="A3473" s="1" t="s">
        <v>72</v>
      </c>
      <c r="B3473" s="1" t="s">
        <v>55065</v>
      </c>
      <c r="C3473" s="1" t="s">
        <v>74</v>
      </c>
      <c r="D3473" s="1" t="s">
        <v>74</v>
      </c>
      <c r="E3473" s="1" t="s">
        <v>74</v>
      </c>
      <c r="F3473" s="1" t="s">
        <v>55066</v>
      </c>
      <c r="G3473" s="1" t="s">
        <v>74</v>
      </c>
      <c r="H3473" s="1" t="s">
        <v>74</v>
      </c>
      <c r="I3473" s="1" t="s">
        <v>55067</v>
      </c>
      <c r="J3473" s="1" t="s">
        <v>495</v>
      </c>
      <c r="K3473" s="1" t="s">
        <v>74</v>
      </c>
      <c r="L3473" s="1" t="s">
        <v>74</v>
      </c>
      <c r="M3473" s="1" t="s">
        <v>78</v>
      </c>
      <c r="N3473" s="1" t="s">
        <v>79</v>
      </c>
      <c r="O3473" s="1" t="s">
        <v>74</v>
      </c>
      <c r="P3473" s="1" t="s">
        <v>74</v>
      </c>
      <c r="Q3473" s="1" t="s">
        <v>74</v>
      </c>
      <c r="R3473" s="1" t="s">
        <v>74</v>
      </c>
      <c r="S3473" s="1" t="s">
        <v>74</v>
      </c>
      <c r="T3473" s="1" t="s">
        <v>55068</v>
      </c>
      <c r="U3473" s="1" t="s">
        <v>55069</v>
      </c>
      <c r="V3473" s="1" t="s">
        <v>55070</v>
      </c>
      <c r="W3473" s="1" t="s">
        <v>55071</v>
      </c>
      <c r="X3473" s="1" t="s">
        <v>55072</v>
      </c>
      <c r="Y3473" s="1" t="s">
        <v>55073</v>
      </c>
      <c r="Z3473" s="1" t="s">
        <v>55074</v>
      </c>
      <c r="AA3473" s="1" t="s">
        <v>55075</v>
      </c>
      <c r="AB3473" s="1" t="s">
        <v>55076</v>
      </c>
      <c r="AC3473" s="1" t="s">
        <v>55077</v>
      </c>
      <c r="AD3473" s="1" t="s">
        <v>55078</v>
      </c>
      <c r="AE3473" s="1" t="s">
        <v>55079</v>
      </c>
      <c r="AF3473" s="1" t="s">
        <v>74</v>
      </c>
      <c r="AG3473" s="1">
        <v>55</v>
      </c>
      <c r="AH3473" s="1">
        <v>4</v>
      </c>
      <c r="AI3473" s="1">
        <v>4</v>
      </c>
      <c r="AJ3473" s="1">
        <v>1</v>
      </c>
      <c r="AK3473" s="1">
        <v>6</v>
      </c>
      <c r="AL3473" s="1" t="s">
        <v>1030</v>
      </c>
      <c r="AM3473" s="1" t="s">
        <v>1031</v>
      </c>
      <c r="AN3473" s="1" t="s">
        <v>1032</v>
      </c>
      <c r="AO3473" s="1" t="s">
        <v>507</v>
      </c>
      <c r="AP3473" s="1" t="s">
        <v>1033</v>
      </c>
      <c r="AQ3473" s="1" t="s">
        <v>74</v>
      </c>
      <c r="AR3473" s="1" t="s">
        <v>508</v>
      </c>
      <c r="AS3473" s="1" t="s">
        <v>509</v>
      </c>
      <c r="AT3473" s="1" t="s">
        <v>74</v>
      </c>
      <c r="AU3473" s="1">
        <v>2021</v>
      </c>
      <c r="AV3473" s="1">
        <v>30</v>
      </c>
      <c r="AW3473" s="1">
        <v>1</v>
      </c>
      <c r="AX3473" s="1" t="s">
        <v>74</v>
      </c>
      <c r="AY3473" s="1" t="s">
        <v>74</v>
      </c>
      <c r="AZ3473" s="1" t="s">
        <v>74</v>
      </c>
      <c r="BA3473" s="1" t="s">
        <v>74</v>
      </c>
      <c r="BB3473" s="1">
        <v>148</v>
      </c>
      <c r="BC3473" s="1">
        <v>157</v>
      </c>
      <c r="BD3473" s="1" t="s">
        <v>74</v>
      </c>
      <c r="BE3473" s="1" t="s">
        <v>74</v>
      </c>
      <c r="BF3473" s="1" t="s">
        <v>74</v>
      </c>
      <c r="BG3473" s="1" t="s">
        <v>74</v>
      </c>
      <c r="BH3473" s="1" t="s">
        <v>74</v>
      </c>
      <c r="BI3473" s="1">
        <v>10</v>
      </c>
      <c r="BJ3473" s="1" t="s">
        <v>144</v>
      </c>
      <c r="BK3473" s="1" t="s">
        <v>96</v>
      </c>
      <c r="BL3473" s="1" t="s">
        <v>145</v>
      </c>
      <c r="BM3473" s="1" t="s">
        <v>55080</v>
      </c>
      <c r="BN3473" s="1" t="s">
        <v>74</v>
      </c>
      <c r="BO3473" s="1" t="s">
        <v>74</v>
      </c>
      <c r="BP3473" s="1" t="s">
        <v>74</v>
      </c>
      <c r="BQ3473" s="1" t="s">
        <v>74</v>
      </c>
      <c r="BR3473" s="1" t="s">
        <v>98</v>
      </c>
      <c r="BS3473" s="1" t="s">
        <v>55081</v>
      </c>
      <c r="BT3473" s="1" t="str">
        <f>HYPERLINK("https%3A%2F%2Fwww.webofscience.com%2Fwos%2Fwoscc%2Ffull-record%2FWOS:000629181200016","View Full Record in Web of Science")</f>
        <v>View Full Record in Web of Science</v>
      </c>
      <c r="BU3473" s="1"/>
      <c r="BV3473" s="1"/>
    </row>
    <row r="3474" spans="1:74">
      <c r="A3474" s="1" t="s">
        <v>72</v>
      </c>
      <c r="B3474" s="1" t="s">
        <v>55082</v>
      </c>
      <c r="C3474" s="1" t="s">
        <v>74</v>
      </c>
      <c r="D3474" s="1" t="s">
        <v>74</v>
      </c>
      <c r="E3474" s="1" t="s">
        <v>74</v>
      </c>
      <c r="F3474" s="1" t="s">
        <v>55083</v>
      </c>
      <c r="G3474" s="1" t="s">
        <v>74</v>
      </c>
      <c r="H3474" s="1" t="s">
        <v>74</v>
      </c>
      <c r="I3474" s="1" t="s">
        <v>55084</v>
      </c>
      <c r="J3474" s="1" t="s">
        <v>37182</v>
      </c>
      <c r="K3474" s="1" t="s">
        <v>74</v>
      </c>
      <c r="L3474" s="1" t="s">
        <v>74</v>
      </c>
      <c r="M3474" s="1" t="s">
        <v>78</v>
      </c>
      <c r="N3474" s="1" t="s">
        <v>79</v>
      </c>
      <c r="O3474" s="1" t="s">
        <v>74</v>
      </c>
      <c r="P3474" s="1" t="s">
        <v>74</v>
      </c>
      <c r="Q3474" s="1" t="s">
        <v>74</v>
      </c>
      <c r="R3474" s="1" t="s">
        <v>74</v>
      </c>
      <c r="S3474" s="1" t="s">
        <v>74</v>
      </c>
      <c r="T3474" s="1" t="s">
        <v>55085</v>
      </c>
      <c r="U3474" s="1" t="s">
        <v>55086</v>
      </c>
      <c r="V3474" s="1" t="s">
        <v>55087</v>
      </c>
      <c r="W3474" s="1" t="s">
        <v>55088</v>
      </c>
      <c r="X3474" s="1" t="s">
        <v>55089</v>
      </c>
      <c r="Y3474" s="1" t="s">
        <v>15514</v>
      </c>
      <c r="Z3474" s="1" t="s">
        <v>15515</v>
      </c>
      <c r="AA3474" s="1" t="s">
        <v>55090</v>
      </c>
      <c r="AB3474" s="1" t="s">
        <v>55091</v>
      </c>
      <c r="AC3474" s="1" t="s">
        <v>55092</v>
      </c>
      <c r="AD3474" s="1" t="s">
        <v>55093</v>
      </c>
      <c r="AE3474" s="1" t="s">
        <v>55094</v>
      </c>
      <c r="AF3474" s="1" t="s">
        <v>74</v>
      </c>
      <c r="AG3474" s="1">
        <v>84</v>
      </c>
      <c r="AH3474" s="1">
        <v>4</v>
      </c>
      <c r="AI3474" s="1">
        <v>4</v>
      </c>
      <c r="AJ3474" s="1">
        <v>0</v>
      </c>
      <c r="AK3474" s="1">
        <v>24</v>
      </c>
      <c r="AL3474" s="1" t="s">
        <v>650</v>
      </c>
      <c r="AM3474" s="1" t="s">
        <v>651</v>
      </c>
      <c r="AN3474" s="1" t="s">
        <v>652</v>
      </c>
      <c r="AO3474" s="1" t="s">
        <v>37193</v>
      </c>
      <c r="AP3474" s="1" t="s">
        <v>37194</v>
      </c>
      <c r="AQ3474" s="1" t="s">
        <v>74</v>
      </c>
      <c r="AR3474" s="1" t="s">
        <v>37195</v>
      </c>
      <c r="AS3474" s="1" t="s">
        <v>37196</v>
      </c>
      <c r="AT3474" s="1" t="s">
        <v>170</v>
      </c>
      <c r="AU3474" s="1">
        <v>2021</v>
      </c>
      <c r="AV3474" s="1">
        <v>62</v>
      </c>
      <c r="AW3474" s="1" t="s">
        <v>74</v>
      </c>
      <c r="AX3474" s="1" t="s">
        <v>74</v>
      </c>
      <c r="AY3474" s="1" t="s">
        <v>74</v>
      </c>
      <c r="AZ3474" s="1" t="s">
        <v>74</v>
      </c>
      <c r="BA3474" s="1" t="s">
        <v>74</v>
      </c>
      <c r="BB3474" s="1" t="s">
        <v>74</v>
      </c>
      <c r="BC3474" s="1" t="s">
        <v>74</v>
      </c>
      <c r="BD3474" s="1">
        <v>101271</v>
      </c>
      <c r="BE3474" s="1" t="s">
        <v>55095</v>
      </c>
      <c r="BF3474" s="1" t="str">
        <f>HYPERLINK("http://dx.doi.org/10.1016/j.ecoinf.2021.101271","http://dx.doi.org/10.1016/j.ecoinf.2021.101271")</f>
        <v>http://dx.doi.org/10.1016/j.ecoinf.2021.101271</v>
      </c>
      <c r="BG3474" s="1" t="s">
        <v>74</v>
      </c>
      <c r="BH3474" s="1" t="s">
        <v>992</v>
      </c>
      <c r="BI3474" s="1">
        <v>16</v>
      </c>
      <c r="BJ3474" s="1" t="s">
        <v>6054</v>
      </c>
      <c r="BK3474" s="1" t="s">
        <v>96</v>
      </c>
      <c r="BL3474" s="1" t="s">
        <v>145</v>
      </c>
      <c r="BM3474" s="1" t="s">
        <v>55096</v>
      </c>
      <c r="BN3474" s="1" t="s">
        <v>74</v>
      </c>
      <c r="BO3474" s="1" t="s">
        <v>74</v>
      </c>
      <c r="BP3474" s="1" t="s">
        <v>74</v>
      </c>
      <c r="BQ3474" s="1" t="s">
        <v>74</v>
      </c>
      <c r="BR3474" s="1" t="s">
        <v>98</v>
      </c>
      <c r="BS3474" s="1" t="s">
        <v>55097</v>
      </c>
      <c r="BT3474" s="1" t="str">
        <f>HYPERLINK("https%3A%2F%2Fwww.webofscience.com%2Fwos%2Fwoscc%2Ffull-record%2FWOS:000639851100002","View Full Record in Web of Science")</f>
        <v>View Full Record in Web of Science</v>
      </c>
      <c r="BU3474" s="1"/>
      <c r="BV3474" s="1"/>
    </row>
    <row r="3475" spans="1:74">
      <c r="A3475" s="1" t="s">
        <v>72</v>
      </c>
      <c r="B3475" s="1" t="s">
        <v>55098</v>
      </c>
      <c r="C3475" s="1" t="s">
        <v>74</v>
      </c>
      <c r="D3475" s="1" t="s">
        <v>74</v>
      </c>
      <c r="E3475" s="1" t="s">
        <v>74</v>
      </c>
      <c r="F3475" s="1" t="s">
        <v>55099</v>
      </c>
      <c r="G3475" s="1" t="s">
        <v>74</v>
      </c>
      <c r="H3475" s="1" t="s">
        <v>74</v>
      </c>
      <c r="I3475" s="1" t="s">
        <v>55100</v>
      </c>
      <c r="J3475" s="1" t="s">
        <v>232</v>
      </c>
      <c r="K3475" s="1" t="s">
        <v>74</v>
      </c>
      <c r="L3475" s="1" t="s">
        <v>74</v>
      </c>
      <c r="M3475" s="1" t="s">
        <v>78</v>
      </c>
      <c r="N3475" s="1" t="s">
        <v>79</v>
      </c>
      <c r="O3475" s="1" t="s">
        <v>74</v>
      </c>
      <c r="P3475" s="1" t="s">
        <v>74</v>
      </c>
      <c r="Q3475" s="1" t="s">
        <v>74</v>
      </c>
      <c r="R3475" s="1" t="s">
        <v>74</v>
      </c>
      <c r="S3475" s="1" t="s">
        <v>74</v>
      </c>
      <c r="T3475" s="1" t="s">
        <v>55101</v>
      </c>
      <c r="U3475" s="1" t="s">
        <v>55102</v>
      </c>
      <c r="V3475" s="1" t="s">
        <v>55103</v>
      </c>
      <c r="W3475" s="1" t="s">
        <v>55104</v>
      </c>
      <c r="X3475" s="1" t="s">
        <v>17413</v>
      </c>
      <c r="Y3475" s="1" t="s">
        <v>55105</v>
      </c>
      <c r="Z3475" s="1" t="s">
        <v>55106</v>
      </c>
      <c r="AA3475" s="1" t="s">
        <v>55107</v>
      </c>
      <c r="AB3475" s="1" t="s">
        <v>74</v>
      </c>
      <c r="AC3475" s="1" t="s">
        <v>55108</v>
      </c>
      <c r="AD3475" s="1" t="s">
        <v>525</v>
      </c>
      <c r="AE3475" s="1" t="s">
        <v>55109</v>
      </c>
      <c r="AF3475" s="1" t="s">
        <v>74</v>
      </c>
      <c r="AG3475" s="1">
        <v>61</v>
      </c>
      <c r="AH3475" s="1">
        <v>12</v>
      </c>
      <c r="AI3475" s="1">
        <v>16</v>
      </c>
      <c r="AJ3475" s="1">
        <v>5</v>
      </c>
      <c r="AK3475" s="1">
        <v>96</v>
      </c>
      <c r="AL3475" s="1" t="s">
        <v>136</v>
      </c>
      <c r="AM3475" s="1" t="s">
        <v>137</v>
      </c>
      <c r="AN3475" s="1" t="s">
        <v>138</v>
      </c>
      <c r="AO3475" s="1" t="s">
        <v>240</v>
      </c>
      <c r="AP3475" s="1" t="s">
        <v>241</v>
      </c>
      <c r="AQ3475" s="1" t="s">
        <v>74</v>
      </c>
      <c r="AR3475" s="1" t="s">
        <v>242</v>
      </c>
      <c r="AS3475" s="1" t="s">
        <v>243</v>
      </c>
      <c r="AT3475" s="1" t="s">
        <v>170</v>
      </c>
      <c r="AU3475" s="1">
        <v>2019</v>
      </c>
      <c r="AV3475" s="1">
        <v>142</v>
      </c>
      <c r="AW3475" s="1" t="s">
        <v>74</v>
      </c>
      <c r="AX3475" s="1" t="s">
        <v>74</v>
      </c>
      <c r="AY3475" s="1" t="s">
        <v>74</v>
      </c>
      <c r="AZ3475" s="1" t="s">
        <v>74</v>
      </c>
      <c r="BA3475" s="1" t="s">
        <v>74</v>
      </c>
      <c r="BB3475" s="1">
        <v>551</v>
      </c>
      <c r="BC3475" s="1">
        <v>558</v>
      </c>
      <c r="BD3475" s="1" t="s">
        <v>74</v>
      </c>
      <c r="BE3475" s="1" t="s">
        <v>55110</v>
      </c>
      <c r="BF3475" s="1" t="str">
        <f>HYPERLINK("http://dx.doi.org/10.1016/j.marpolbul.2019.03.056","http://dx.doi.org/10.1016/j.marpolbul.2019.03.056")</f>
        <v>http://dx.doi.org/10.1016/j.marpolbul.2019.03.056</v>
      </c>
      <c r="BG3475" s="1" t="s">
        <v>74</v>
      </c>
      <c r="BH3475" s="1" t="s">
        <v>74</v>
      </c>
      <c r="BI3475" s="1">
        <v>8</v>
      </c>
      <c r="BJ3475" s="1" t="s">
        <v>247</v>
      </c>
      <c r="BK3475" s="1" t="s">
        <v>96</v>
      </c>
      <c r="BL3475" s="1" t="s">
        <v>248</v>
      </c>
      <c r="BM3475" s="1" t="s">
        <v>55111</v>
      </c>
      <c r="BN3475" s="1">
        <v>31232338</v>
      </c>
      <c r="BO3475" s="1" t="s">
        <v>74</v>
      </c>
      <c r="BP3475" s="1" t="s">
        <v>74</v>
      </c>
      <c r="BQ3475" s="1" t="s">
        <v>74</v>
      </c>
      <c r="BR3475" s="1" t="s">
        <v>98</v>
      </c>
      <c r="BS3475" s="1" t="s">
        <v>55112</v>
      </c>
      <c r="BT3475" s="1" t="str">
        <f>HYPERLINK("https%3A%2F%2Fwww.webofscience.com%2Fwos%2Fwoscc%2Ffull-record%2FWOS:000474319500064","View Full Record in Web of Science")</f>
        <v>View Full Record in Web of Science</v>
      </c>
      <c r="BU3475" s="1"/>
      <c r="BV3475" s="1"/>
    </row>
    <row r="3476" spans="1:74">
      <c r="A3476" s="1" t="s">
        <v>72</v>
      </c>
      <c r="B3476" s="1" t="s">
        <v>55113</v>
      </c>
      <c r="C3476" s="1" t="s">
        <v>74</v>
      </c>
      <c r="D3476" s="1" t="s">
        <v>74</v>
      </c>
      <c r="E3476" s="1" t="s">
        <v>74</v>
      </c>
      <c r="F3476" s="1" t="s">
        <v>55114</v>
      </c>
      <c r="G3476" s="1" t="s">
        <v>74</v>
      </c>
      <c r="H3476" s="1" t="s">
        <v>74</v>
      </c>
      <c r="I3476" s="1" t="s">
        <v>55115</v>
      </c>
      <c r="J3476" s="1" t="s">
        <v>232</v>
      </c>
      <c r="K3476" s="1" t="s">
        <v>74</v>
      </c>
      <c r="L3476" s="1" t="s">
        <v>74</v>
      </c>
      <c r="M3476" s="1" t="s">
        <v>78</v>
      </c>
      <c r="N3476" s="1" t="s">
        <v>79</v>
      </c>
      <c r="O3476" s="1" t="s">
        <v>74</v>
      </c>
      <c r="P3476" s="1" t="s">
        <v>74</v>
      </c>
      <c r="Q3476" s="1" t="s">
        <v>74</v>
      </c>
      <c r="R3476" s="1" t="s">
        <v>74</v>
      </c>
      <c r="S3476" s="1" t="s">
        <v>74</v>
      </c>
      <c r="T3476" s="1" t="s">
        <v>55116</v>
      </c>
      <c r="U3476" s="1" t="s">
        <v>55117</v>
      </c>
      <c r="V3476" s="1" t="s">
        <v>55118</v>
      </c>
      <c r="W3476" s="1" t="s">
        <v>55119</v>
      </c>
      <c r="X3476" s="1" t="s">
        <v>55120</v>
      </c>
      <c r="Y3476" s="1" t="s">
        <v>55121</v>
      </c>
      <c r="Z3476" s="1" t="s">
        <v>55122</v>
      </c>
      <c r="AA3476" s="1" t="s">
        <v>55123</v>
      </c>
      <c r="AB3476" s="1" t="s">
        <v>55124</v>
      </c>
      <c r="AC3476" s="1" t="s">
        <v>55125</v>
      </c>
      <c r="AD3476" s="1" t="s">
        <v>55126</v>
      </c>
      <c r="AE3476" s="1" t="s">
        <v>55127</v>
      </c>
      <c r="AF3476" s="1" t="s">
        <v>74</v>
      </c>
      <c r="AG3476" s="1">
        <v>71</v>
      </c>
      <c r="AH3476" s="1">
        <v>30</v>
      </c>
      <c r="AI3476" s="1">
        <v>32</v>
      </c>
      <c r="AJ3476" s="1">
        <v>1</v>
      </c>
      <c r="AK3476" s="1">
        <v>48</v>
      </c>
      <c r="AL3476" s="1" t="s">
        <v>136</v>
      </c>
      <c r="AM3476" s="1" t="s">
        <v>137</v>
      </c>
      <c r="AN3476" s="1" t="s">
        <v>138</v>
      </c>
      <c r="AO3476" s="1" t="s">
        <v>240</v>
      </c>
      <c r="AP3476" s="1" t="s">
        <v>241</v>
      </c>
      <c r="AQ3476" s="1" t="s">
        <v>74</v>
      </c>
      <c r="AR3476" s="1" t="s">
        <v>242</v>
      </c>
      <c r="AS3476" s="1" t="s">
        <v>243</v>
      </c>
      <c r="AT3476" s="1" t="s">
        <v>344</v>
      </c>
      <c r="AU3476" s="1">
        <v>2014</v>
      </c>
      <c r="AV3476" s="1">
        <v>84</v>
      </c>
      <c r="AW3476" s="1" t="s">
        <v>326</v>
      </c>
      <c r="AX3476" s="1" t="s">
        <v>74</v>
      </c>
      <c r="AY3476" s="1" t="s">
        <v>74</v>
      </c>
      <c r="AZ3476" s="1" t="s">
        <v>74</v>
      </c>
      <c r="BA3476" s="1" t="s">
        <v>74</v>
      </c>
      <c r="BB3476" s="1">
        <v>268</v>
      </c>
      <c r="BC3476" s="1">
        <v>279</v>
      </c>
      <c r="BD3476" s="1" t="s">
        <v>74</v>
      </c>
      <c r="BE3476" s="1" t="s">
        <v>55128</v>
      </c>
      <c r="BF3476" s="1" t="str">
        <f>HYPERLINK("http://dx.doi.org/10.1016/j.marpolbul.2014.05.004","http://dx.doi.org/10.1016/j.marpolbul.2014.05.004")</f>
        <v>http://dx.doi.org/10.1016/j.marpolbul.2014.05.004</v>
      </c>
      <c r="BG3476" s="1" t="s">
        <v>74</v>
      </c>
      <c r="BH3476" s="1" t="s">
        <v>74</v>
      </c>
      <c r="BI3476" s="1">
        <v>12</v>
      </c>
      <c r="BJ3476" s="1" t="s">
        <v>247</v>
      </c>
      <c r="BK3476" s="1" t="s">
        <v>96</v>
      </c>
      <c r="BL3476" s="1" t="s">
        <v>248</v>
      </c>
      <c r="BM3476" s="1" t="s">
        <v>55129</v>
      </c>
      <c r="BN3476" s="1">
        <v>24855978</v>
      </c>
      <c r="BO3476" s="1" t="s">
        <v>74</v>
      </c>
      <c r="BP3476" s="1" t="s">
        <v>74</v>
      </c>
      <c r="BQ3476" s="1" t="s">
        <v>74</v>
      </c>
      <c r="BR3476" s="1" t="s">
        <v>98</v>
      </c>
      <c r="BS3476" s="1" t="s">
        <v>55130</v>
      </c>
      <c r="BT3476" s="1" t="str">
        <f>HYPERLINK("https%3A%2F%2Fwww.webofscience.com%2Fwos%2Fwoscc%2Ffull-record%2FWOS:000338804700043","View Full Record in Web of Science")</f>
        <v>View Full Record in Web of Science</v>
      </c>
      <c r="BU3476" s="1"/>
      <c r="BV3476" s="1"/>
    </row>
    <row r="3477" spans="1:74">
      <c r="A3477" s="1" t="s">
        <v>72</v>
      </c>
      <c r="B3477" s="1" t="s">
        <v>55131</v>
      </c>
      <c r="C3477" s="1" t="s">
        <v>74</v>
      </c>
      <c r="D3477" s="1" t="s">
        <v>74</v>
      </c>
      <c r="E3477" s="1" t="s">
        <v>74</v>
      </c>
      <c r="F3477" s="1" t="s">
        <v>55132</v>
      </c>
      <c r="G3477" s="1" t="s">
        <v>74</v>
      </c>
      <c r="H3477" s="1" t="s">
        <v>74</v>
      </c>
      <c r="I3477" s="1" t="s">
        <v>55133</v>
      </c>
      <c r="J3477" s="1" t="s">
        <v>421</v>
      </c>
      <c r="K3477" s="1" t="s">
        <v>74</v>
      </c>
      <c r="L3477" s="1" t="s">
        <v>74</v>
      </c>
      <c r="M3477" s="1" t="s">
        <v>78</v>
      </c>
      <c r="N3477" s="1" t="s">
        <v>79</v>
      </c>
      <c r="O3477" s="1" t="s">
        <v>74</v>
      </c>
      <c r="P3477" s="1" t="s">
        <v>74</v>
      </c>
      <c r="Q3477" s="1" t="s">
        <v>74</v>
      </c>
      <c r="R3477" s="1" t="s">
        <v>74</v>
      </c>
      <c r="S3477" s="1" t="s">
        <v>74</v>
      </c>
      <c r="T3477" s="1" t="s">
        <v>55134</v>
      </c>
      <c r="U3477" s="1" t="s">
        <v>55135</v>
      </c>
      <c r="V3477" s="1" t="s">
        <v>55136</v>
      </c>
      <c r="W3477" s="1" t="s">
        <v>55137</v>
      </c>
      <c r="X3477" s="1" t="s">
        <v>55138</v>
      </c>
      <c r="Y3477" s="1" t="s">
        <v>55139</v>
      </c>
      <c r="Z3477" s="1" t="s">
        <v>14843</v>
      </c>
      <c r="AA3477" s="1" t="s">
        <v>1484</v>
      </c>
      <c r="AB3477" s="1" t="s">
        <v>55140</v>
      </c>
      <c r="AC3477" s="1" t="s">
        <v>55141</v>
      </c>
      <c r="AD3477" s="1" t="s">
        <v>55142</v>
      </c>
      <c r="AE3477" s="1" t="s">
        <v>55143</v>
      </c>
      <c r="AF3477" s="1" t="s">
        <v>74</v>
      </c>
      <c r="AG3477" s="1">
        <v>40</v>
      </c>
      <c r="AH3477" s="1">
        <v>26</v>
      </c>
      <c r="AI3477" s="1">
        <v>26</v>
      </c>
      <c r="AJ3477" s="1">
        <v>15</v>
      </c>
      <c r="AK3477" s="1">
        <v>79</v>
      </c>
      <c r="AL3477" s="1" t="s">
        <v>430</v>
      </c>
      <c r="AM3477" s="1" t="s">
        <v>137</v>
      </c>
      <c r="AN3477" s="1" t="s">
        <v>431</v>
      </c>
      <c r="AO3477" s="1" t="s">
        <v>432</v>
      </c>
      <c r="AP3477" s="1" t="s">
        <v>1394</v>
      </c>
      <c r="AQ3477" s="1" t="s">
        <v>74</v>
      </c>
      <c r="AR3477" s="1" t="s">
        <v>433</v>
      </c>
      <c r="AS3477" s="1" t="s">
        <v>434</v>
      </c>
      <c r="AT3477" s="1" t="s">
        <v>267</v>
      </c>
      <c r="AU3477" s="1">
        <v>2020</v>
      </c>
      <c r="AV3477" s="1">
        <v>265</v>
      </c>
      <c r="AW3477" s="1" t="s">
        <v>74</v>
      </c>
      <c r="AX3477" s="1" t="s">
        <v>13570</v>
      </c>
      <c r="AY3477" s="1" t="s">
        <v>74</v>
      </c>
      <c r="AZ3477" s="1" t="s">
        <v>74</v>
      </c>
      <c r="BA3477" s="1" t="s">
        <v>74</v>
      </c>
      <c r="BB3477" s="1" t="s">
        <v>74</v>
      </c>
      <c r="BC3477" s="1" t="s">
        <v>74</v>
      </c>
      <c r="BD3477" s="1">
        <v>114955</v>
      </c>
      <c r="BE3477" s="1" t="s">
        <v>55144</v>
      </c>
      <c r="BF3477" s="1" t="str">
        <f>HYPERLINK("http://dx.doi.org/10.1016/j.envpol.2020.114955","http://dx.doi.org/10.1016/j.envpol.2020.114955")</f>
        <v>http://dx.doi.org/10.1016/j.envpol.2020.114955</v>
      </c>
      <c r="BG3477" s="1" t="s">
        <v>74</v>
      </c>
      <c r="BH3477" s="1" t="s">
        <v>74</v>
      </c>
      <c r="BI3477" s="1">
        <v>11</v>
      </c>
      <c r="BJ3477" s="1" t="s">
        <v>144</v>
      </c>
      <c r="BK3477" s="1" t="s">
        <v>96</v>
      </c>
      <c r="BL3477" s="1" t="s">
        <v>145</v>
      </c>
      <c r="BM3477" s="1" t="s">
        <v>39571</v>
      </c>
      <c r="BN3477" s="1">
        <v>32544790</v>
      </c>
      <c r="BO3477" s="1" t="s">
        <v>74</v>
      </c>
      <c r="BP3477" s="1" t="s">
        <v>74</v>
      </c>
      <c r="BQ3477" s="1" t="s">
        <v>74</v>
      </c>
      <c r="BR3477" s="1" t="s">
        <v>98</v>
      </c>
      <c r="BS3477" s="1" t="s">
        <v>55145</v>
      </c>
      <c r="BT3477" s="1" t="str">
        <f>HYPERLINK("https%3A%2F%2Fwww.webofscience.com%2Fwos%2Fwoscc%2Ffull-record%2FWOS:000564557000018","View Full Record in Web of Science")</f>
        <v>View Full Record in Web of Science</v>
      </c>
      <c r="BU3477" s="1"/>
      <c r="BV3477" s="1"/>
    </row>
    <row r="3478" spans="1:74">
      <c r="A3478" s="1" t="s">
        <v>72</v>
      </c>
      <c r="B3478" s="1" t="s">
        <v>55146</v>
      </c>
      <c r="C3478" s="1" t="s">
        <v>74</v>
      </c>
      <c r="D3478" s="1" t="s">
        <v>74</v>
      </c>
      <c r="E3478" s="1" t="s">
        <v>74</v>
      </c>
      <c r="F3478" s="1" t="s">
        <v>55147</v>
      </c>
      <c r="G3478" s="1" t="s">
        <v>74</v>
      </c>
      <c r="H3478" s="1" t="s">
        <v>74</v>
      </c>
      <c r="I3478" s="1" t="s">
        <v>55148</v>
      </c>
      <c r="J3478" s="1" t="s">
        <v>204</v>
      </c>
      <c r="K3478" s="1" t="s">
        <v>74</v>
      </c>
      <c r="L3478" s="1" t="s">
        <v>74</v>
      </c>
      <c r="M3478" s="1" t="s">
        <v>78</v>
      </c>
      <c r="N3478" s="1" t="s">
        <v>79</v>
      </c>
      <c r="O3478" s="1" t="s">
        <v>74</v>
      </c>
      <c r="P3478" s="1" t="s">
        <v>74</v>
      </c>
      <c r="Q3478" s="1" t="s">
        <v>74</v>
      </c>
      <c r="R3478" s="1" t="s">
        <v>74</v>
      </c>
      <c r="S3478" s="1" t="s">
        <v>74</v>
      </c>
      <c r="T3478" s="1" t="s">
        <v>55149</v>
      </c>
      <c r="U3478" s="1" t="s">
        <v>55150</v>
      </c>
      <c r="V3478" s="1" t="s">
        <v>55151</v>
      </c>
      <c r="W3478" s="1" t="s">
        <v>55152</v>
      </c>
      <c r="X3478" s="1" t="s">
        <v>25591</v>
      </c>
      <c r="Y3478" s="1" t="s">
        <v>55153</v>
      </c>
      <c r="Z3478" s="1" t="s">
        <v>55154</v>
      </c>
      <c r="AA3478" s="1" t="s">
        <v>55155</v>
      </c>
      <c r="AB3478" s="1" t="s">
        <v>55156</v>
      </c>
      <c r="AC3478" s="1" t="s">
        <v>55157</v>
      </c>
      <c r="AD3478" s="1" t="s">
        <v>25597</v>
      </c>
      <c r="AE3478" s="1" t="s">
        <v>55158</v>
      </c>
      <c r="AF3478" s="1" t="s">
        <v>74</v>
      </c>
      <c r="AG3478" s="1">
        <v>81</v>
      </c>
      <c r="AH3478" s="1">
        <v>8</v>
      </c>
      <c r="AI3478" s="1">
        <v>8</v>
      </c>
      <c r="AJ3478" s="1">
        <v>1</v>
      </c>
      <c r="AK3478" s="1">
        <v>9</v>
      </c>
      <c r="AL3478" s="1" t="s">
        <v>217</v>
      </c>
      <c r="AM3478" s="1" t="s">
        <v>218</v>
      </c>
      <c r="AN3478" s="1" t="s">
        <v>219</v>
      </c>
      <c r="AO3478" s="1" t="s">
        <v>220</v>
      </c>
      <c r="AP3478" s="1" t="s">
        <v>221</v>
      </c>
      <c r="AQ3478" s="1" t="s">
        <v>74</v>
      </c>
      <c r="AR3478" s="1" t="s">
        <v>222</v>
      </c>
      <c r="AS3478" s="1" t="s">
        <v>223</v>
      </c>
      <c r="AT3478" s="1" t="s">
        <v>1223</v>
      </c>
      <c r="AU3478" s="1">
        <v>2019</v>
      </c>
      <c r="AV3478" s="1">
        <v>26</v>
      </c>
      <c r="AW3478" s="1">
        <v>8</v>
      </c>
      <c r="AX3478" s="1" t="s">
        <v>74</v>
      </c>
      <c r="AY3478" s="1" t="s">
        <v>74</v>
      </c>
      <c r="AZ3478" s="1" t="s">
        <v>74</v>
      </c>
      <c r="BA3478" s="1" t="s">
        <v>74</v>
      </c>
      <c r="BB3478" s="1">
        <v>7627</v>
      </c>
      <c r="BC3478" s="1">
        <v>7639</v>
      </c>
      <c r="BD3478" s="1" t="s">
        <v>74</v>
      </c>
      <c r="BE3478" s="1" t="s">
        <v>55159</v>
      </c>
      <c r="BF3478" s="1" t="str">
        <f>HYPERLINK("http://dx.doi.org/10.1007/s11356-019-04206-1","http://dx.doi.org/10.1007/s11356-019-04206-1")</f>
        <v>http://dx.doi.org/10.1007/s11356-019-04206-1</v>
      </c>
      <c r="BG3478" s="1" t="s">
        <v>74</v>
      </c>
      <c r="BH3478" s="1" t="s">
        <v>74</v>
      </c>
      <c r="BI3478" s="1">
        <v>13</v>
      </c>
      <c r="BJ3478" s="1" t="s">
        <v>144</v>
      </c>
      <c r="BK3478" s="1" t="s">
        <v>96</v>
      </c>
      <c r="BL3478" s="1" t="s">
        <v>145</v>
      </c>
      <c r="BM3478" s="1" t="s">
        <v>55160</v>
      </c>
      <c r="BN3478" s="1">
        <v>30666580</v>
      </c>
      <c r="BO3478" s="1" t="s">
        <v>74</v>
      </c>
      <c r="BP3478" s="1" t="s">
        <v>74</v>
      </c>
      <c r="BQ3478" s="1" t="s">
        <v>74</v>
      </c>
      <c r="BR3478" s="1" t="s">
        <v>98</v>
      </c>
      <c r="BS3478" s="1" t="s">
        <v>55161</v>
      </c>
      <c r="BT3478" s="1" t="str">
        <f>HYPERLINK("https%3A%2F%2Fwww.webofscience.com%2Fwos%2Fwoscc%2Ffull-record%2FWOS:000463824600028","View Full Record in Web of Science")</f>
        <v>View Full Record in Web of Science</v>
      </c>
      <c r="BU3478" s="1"/>
      <c r="BV3478" s="1"/>
    </row>
    <row r="3479" spans="1:74">
      <c r="A3479" s="1" t="s">
        <v>72</v>
      </c>
      <c r="B3479" s="1" t="s">
        <v>55162</v>
      </c>
      <c r="C3479" s="1" t="s">
        <v>74</v>
      </c>
      <c r="D3479" s="1" t="s">
        <v>74</v>
      </c>
      <c r="E3479" s="1" t="s">
        <v>74</v>
      </c>
      <c r="F3479" s="1" t="s">
        <v>55163</v>
      </c>
      <c r="G3479" s="1" t="s">
        <v>74</v>
      </c>
      <c r="H3479" s="1" t="s">
        <v>74</v>
      </c>
      <c r="I3479" s="1" t="s">
        <v>55164</v>
      </c>
      <c r="J3479" s="1" t="s">
        <v>6211</v>
      </c>
      <c r="K3479" s="1" t="s">
        <v>74</v>
      </c>
      <c r="L3479" s="1" t="s">
        <v>74</v>
      </c>
      <c r="M3479" s="1" t="s">
        <v>78</v>
      </c>
      <c r="N3479" s="1" t="s">
        <v>79</v>
      </c>
      <c r="O3479" s="1" t="s">
        <v>74</v>
      </c>
      <c r="P3479" s="1" t="s">
        <v>74</v>
      </c>
      <c r="Q3479" s="1" t="s">
        <v>74</v>
      </c>
      <c r="R3479" s="1" t="s">
        <v>74</v>
      </c>
      <c r="S3479" s="1" t="s">
        <v>74</v>
      </c>
      <c r="T3479" s="1" t="s">
        <v>55165</v>
      </c>
      <c r="U3479" s="1" t="s">
        <v>55166</v>
      </c>
      <c r="V3479" s="1" t="s">
        <v>55167</v>
      </c>
      <c r="W3479" s="1" t="s">
        <v>55168</v>
      </c>
      <c r="X3479" s="1" t="s">
        <v>55169</v>
      </c>
      <c r="Y3479" s="1" t="s">
        <v>55170</v>
      </c>
      <c r="Z3479" s="1" t="s">
        <v>55171</v>
      </c>
      <c r="AA3479" s="1" t="s">
        <v>74</v>
      </c>
      <c r="AB3479" s="1" t="s">
        <v>55172</v>
      </c>
      <c r="AC3479" s="1" t="s">
        <v>55173</v>
      </c>
      <c r="AD3479" s="1" t="s">
        <v>55173</v>
      </c>
      <c r="AE3479" s="1" t="s">
        <v>55174</v>
      </c>
      <c r="AF3479" s="1" t="s">
        <v>74</v>
      </c>
      <c r="AG3479" s="1">
        <v>47</v>
      </c>
      <c r="AH3479" s="1">
        <v>39</v>
      </c>
      <c r="AI3479" s="1">
        <v>39</v>
      </c>
      <c r="AJ3479" s="1">
        <v>0</v>
      </c>
      <c r="AK3479" s="1">
        <v>49</v>
      </c>
      <c r="AL3479" s="1" t="s">
        <v>112</v>
      </c>
      <c r="AM3479" s="1" t="s">
        <v>191</v>
      </c>
      <c r="AN3479" s="1" t="s">
        <v>192</v>
      </c>
      <c r="AO3479" s="1" t="s">
        <v>6219</v>
      </c>
      <c r="AP3479" s="1" t="s">
        <v>6220</v>
      </c>
      <c r="AQ3479" s="1" t="s">
        <v>74</v>
      </c>
      <c r="AR3479" s="1" t="s">
        <v>6211</v>
      </c>
      <c r="AS3479" s="1" t="s">
        <v>6221</v>
      </c>
      <c r="AT3479" s="1" t="s">
        <v>142</v>
      </c>
      <c r="AU3479" s="1">
        <v>2015</v>
      </c>
      <c r="AV3479" s="1">
        <v>44</v>
      </c>
      <c r="AW3479" s="1" t="s">
        <v>74</v>
      </c>
      <c r="AX3479" s="1" t="s">
        <v>74</v>
      </c>
      <c r="AY3479" s="1">
        <v>3</v>
      </c>
      <c r="AZ3479" s="1" t="s">
        <v>225</v>
      </c>
      <c r="BA3479" s="1" t="s">
        <v>74</v>
      </c>
      <c r="BB3479" s="1" t="s">
        <v>55175</v>
      </c>
      <c r="BC3479" s="1" t="s">
        <v>55176</v>
      </c>
      <c r="BD3479" s="1" t="s">
        <v>74</v>
      </c>
      <c r="BE3479" s="1" t="s">
        <v>55177</v>
      </c>
      <c r="BF3479" s="1" t="str">
        <f>HYPERLINK("http://dx.doi.org/10.1007/s13280-015-0673-5","http://dx.doi.org/10.1007/s13280-015-0673-5")</f>
        <v>http://dx.doi.org/10.1007/s13280-015-0673-5</v>
      </c>
      <c r="BG3479" s="1" t="s">
        <v>74</v>
      </c>
      <c r="BH3479" s="1" t="s">
        <v>74</v>
      </c>
      <c r="BI3479" s="1">
        <v>14</v>
      </c>
      <c r="BJ3479" s="1" t="s">
        <v>415</v>
      </c>
      <c r="BK3479" s="1" t="s">
        <v>96</v>
      </c>
      <c r="BL3479" s="1" t="s">
        <v>416</v>
      </c>
      <c r="BM3479" s="1" t="s">
        <v>55178</v>
      </c>
      <c r="BN3479" s="1">
        <v>26022330</v>
      </c>
      <c r="BO3479" s="1" t="s">
        <v>2744</v>
      </c>
      <c r="BP3479" s="1" t="s">
        <v>74</v>
      </c>
      <c r="BQ3479" s="1" t="s">
        <v>74</v>
      </c>
      <c r="BR3479" s="1" t="s">
        <v>98</v>
      </c>
      <c r="BS3479" s="1" t="s">
        <v>55179</v>
      </c>
      <c r="BT3479" s="1" t="str">
        <f>HYPERLINK("https%3A%2F%2Fwww.webofscience.com%2Fwos%2Fwoscc%2Ffull-record%2FWOS:000362290800015","View Full Record in Web of Science")</f>
        <v>View Full Record in Web of Science</v>
      </c>
      <c r="BU3479" s="1"/>
      <c r="BV3479" s="1"/>
    </row>
    <row r="3480" spans="1:74">
      <c r="A3480" s="1" t="s">
        <v>72</v>
      </c>
      <c r="B3480" s="1" t="s">
        <v>55180</v>
      </c>
      <c r="C3480" s="1" t="s">
        <v>74</v>
      </c>
      <c r="D3480" s="1" t="s">
        <v>74</v>
      </c>
      <c r="E3480" s="1" t="s">
        <v>74</v>
      </c>
      <c r="F3480" s="1" t="s">
        <v>55181</v>
      </c>
      <c r="G3480" s="1" t="s">
        <v>74</v>
      </c>
      <c r="H3480" s="1" t="s">
        <v>74</v>
      </c>
      <c r="I3480" s="1" t="s">
        <v>55182</v>
      </c>
      <c r="J3480" s="1" t="s">
        <v>4247</v>
      </c>
      <c r="K3480" s="1" t="s">
        <v>74</v>
      </c>
      <c r="L3480" s="1" t="s">
        <v>74</v>
      </c>
      <c r="M3480" s="1" t="s">
        <v>78</v>
      </c>
      <c r="N3480" s="1" t="s">
        <v>79</v>
      </c>
      <c r="O3480" s="1" t="s">
        <v>74</v>
      </c>
      <c r="P3480" s="1" t="s">
        <v>74</v>
      </c>
      <c r="Q3480" s="1" t="s">
        <v>74</v>
      </c>
      <c r="R3480" s="1" t="s">
        <v>74</v>
      </c>
      <c r="S3480" s="1" t="s">
        <v>74</v>
      </c>
      <c r="T3480" s="1" t="s">
        <v>55183</v>
      </c>
      <c r="U3480" s="1" t="s">
        <v>55184</v>
      </c>
      <c r="V3480" s="1" t="s">
        <v>55185</v>
      </c>
      <c r="W3480" s="1" t="s">
        <v>55186</v>
      </c>
      <c r="X3480" s="1" t="s">
        <v>55187</v>
      </c>
      <c r="Y3480" s="1" t="s">
        <v>55188</v>
      </c>
      <c r="Z3480" s="1" t="s">
        <v>55189</v>
      </c>
      <c r="AA3480" s="1" t="s">
        <v>74</v>
      </c>
      <c r="AB3480" s="1" t="s">
        <v>74</v>
      </c>
      <c r="AC3480" s="1" t="s">
        <v>74</v>
      </c>
      <c r="AD3480" s="1" t="s">
        <v>74</v>
      </c>
      <c r="AE3480" s="1" t="s">
        <v>74</v>
      </c>
      <c r="AF3480" s="1" t="s">
        <v>74</v>
      </c>
      <c r="AG3480" s="1">
        <v>31</v>
      </c>
      <c r="AH3480" s="1">
        <v>2</v>
      </c>
      <c r="AI3480" s="1">
        <v>2</v>
      </c>
      <c r="AJ3480" s="1">
        <v>0</v>
      </c>
      <c r="AK3480" s="1">
        <v>16</v>
      </c>
      <c r="AL3480" s="1" t="s">
        <v>2074</v>
      </c>
      <c r="AM3480" s="1" t="s">
        <v>2075</v>
      </c>
      <c r="AN3480" s="1" t="s">
        <v>2076</v>
      </c>
      <c r="AO3480" s="1" t="s">
        <v>4260</v>
      </c>
      <c r="AP3480" s="1" t="s">
        <v>4261</v>
      </c>
      <c r="AQ3480" s="1" t="s">
        <v>74</v>
      </c>
      <c r="AR3480" s="1" t="s">
        <v>4262</v>
      </c>
      <c r="AS3480" s="1" t="s">
        <v>4263</v>
      </c>
      <c r="AT3480" s="1" t="s">
        <v>74</v>
      </c>
      <c r="AU3480" s="1">
        <v>2014</v>
      </c>
      <c r="AV3480" s="1">
        <v>96</v>
      </c>
      <c r="AW3480" s="1">
        <v>2</v>
      </c>
      <c r="AX3480" s="1" t="s">
        <v>74</v>
      </c>
      <c r="AY3480" s="1" t="s">
        <v>74</v>
      </c>
      <c r="AZ3480" s="1" t="s">
        <v>74</v>
      </c>
      <c r="BA3480" s="1" t="s">
        <v>74</v>
      </c>
      <c r="BB3480" s="1">
        <v>183</v>
      </c>
      <c r="BC3480" s="1">
        <v>191</v>
      </c>
      <c r="BD3480" s="1" t="s">
        <v>74</v>
      </c>
      <c r="BE3480" s="1" t="s">
        <v>55190</v>
      </c>
      <c r="BF3480" s="1" t="str">
        <f>HYPERLINK("http://dx.doi.org/10.1080/02772248.2014.929689","http://dx.doi.org/10.1080/02772248.2014.929689")</f>
        <v>http://dx.doi.org/10.1080/02772248.2014.929689</v>
      </c>
      <c r="BG3480" s="1" t="s">
        <v>74</v>
      </c>
      <c r="BH3480" s="1" t="s">
        <v>74</v>
      </c>
      <c r="BI3480" s="1">
        <v>9</v>
      </c>
      <c r="BJ3480" s="1" t="s">
        <v>121</v>
      </c>
      <c r="BK3480" s="1" t="s">
        <v>96</v>
      </c>
      <c r="BL3480" s="1" t="s">
        <v>122</v>
      </c>
      <c r="BM3480" s="1" t="s">
        <v>55191</v>
      </c>
      <c r="BN3480" s="1" t="s">
        <v>74</v>
      </c>
      <c r="BO3480" s="1" t="s">
        <v>74</v>
      </c>
      <c r="BP3480" s="1" t="s">
        <v>74</v>
      </c>
      <c r="BQ3480" s="1" t="s">
        <v>74</v>
      </c>
      <c r="BR3480" s="1" t="s">
        <v>98</v>
      </c>
      <c r="BS3480" s="1" t="s">
        <v>55192</v>
      </c>
      <c r="BT3480" s="1" t="str">
        <f>HYPERLINK("https%3A%2F%2Fwww.webofscience.com%2Fwos%2Fwoscc%2Ffull-record%2FWOS:000341438800002","View Full Record in Web of Science")</f>
        <v>View Full Record in Web of Science</v>
      </c>
      <c r="BU3480" s="1"/>
      <c r="BV3480" s="1"/>
    </row>
    <row r="3481" spans="1:74">
      <c r="A3481" s="1" t="s">
        <v>72</v>
      </c>
      <c r="B3481" s="1" t="s">
        <v>55193</v>
      </c>
      <c r="C3481" s="1" t="s">
        <v>74</v>
      </c>
      <c r="D3481" s="1" t="s">
        <v>74</v>
      </c>
      <c r="E3481" s="1" t="s">
        <v>74</v>
      </c>
      <c r="F3481" s="1" t="s">
        <v>55194</v>
      </c>
      <c r="G3481" s="1" t="s">
        <v>74</v>
      </c>
      <c r="H3481" s="1" t="s">
        <v>74</v>
      </c>
      <c r="I3481" s="1" t="s">
        <v>55195</v>
      </c>
      <c r="J3481" s="1" t="s">
        <v>554</v>
      </c>
      <c r="K3481" s="1" t="s">
        <v>74</v>
      </c>
      <c r="L3481" s="1" t="s">
        <v>74</v>
      </c>
      <c r="M3481" s="1" t="s">
        <v>78</v>
      </c>
      <c r="N3481" s="1" t="s">
        <v>79</v>
      </c>
      <c r="O3481" s="1" t="s">
        <v>74</v>
      </c>
      <c r="P3481" s="1" t="s">
        <v>74</v>
      </c>
      <c r="Q3481" s="1" t="s">
        <v>74</v>
      </c>
      <c r="R3481" s="1" t="s">
        <v>74</v>
      </c>
      <c r="S3481" s="1" t="s">
        <v>74</v>
      </c>
      <c r="T3481" s="1" t="s">
        <v>55196</v>
      </c>
      <c r="U3481" s="1" t="s">
        <v>55197</v>
      </c>
      <c r="V3481" s="1" t="s">
        <v>55198</v>
      </c>
      <c r="W3481" s="1" t="s">
        <v>55199</v>
      </c>
      <c r="X3481" s="1" t="s">
        <v>55200</v>
      </c>
      <c r="Y3481" s="1" t="s">
        <v>55201</v>
      </c>
      <c r="Z3481" s="1" t="s">
        <v>55202</v>
      </c>
      <c r="AA3481" s="1" t="s">
        <v>55203</v>
      </c>
      <c r="AB3481" s="1" t="s">
        <v>74</v>
      </c>
      <c r="AC3481" s="1" t="s">
        <v>55204</v>
      </c>
      <c r="AD3481" s="1" t="s">
        <v>55205</v>
      </c>
      <c r="AE3481" s="1" t="s">
        <v>55206</v>
      </c>
      <c r="AF3481" s="1" t="s">
        <v>74</v>
      </c>
      <c r="AG3481" s="1">
        <v>57</v>
      </c>
      <c r="AH3481" s="1">
        <v>4</v>
      </c>
      <c r="AI3481" s="1">
        <v>4</v>
      </c>
      <c r="AJ3481" s="1">
        <v>7</v>
      </c>
      <c r="AK3481" s="1">
        <v>34</v>
      </c>
      <c r="AL3481" s="1" t="s">
        <v>564</v>
      </c>
      <c r="AM3481" s="1" t="s">
        <v>113</v>
      </c>
      <c r="AN3481" s="1" t="s">
        <v>807</v>
      </c>
      <c r="AO3481" s="1" t="s">
        <v>566</v>
      </c>
      <c r="AP3481" s="1" t="s">
        <v>567</v>
      </c>
      <c r="AQ3481" s="1" t="s">
        <v>74</v>
      </c>
      <c r="AR3481" s="1" t="s">
        <v>568</v>
      </c>
      <c r="AS3481" s="1" t="s">
        <v>569</v>
      </c>
      <c r="AT3481" s="1" t="s">
        <v>142</v>
      </c>
      <c r="AU3481" s="1">
        <v>2023</v>
      </c>
      <c r="AV3481" s="1">
        <v>268</v>
      </c>
      <c r="AW3481" s="1" t="s">
        <v>74</v>
      </c>
      <c r="AX3481" s="1" t="s">
        <v>74</v>
      </c>
      <c r="AY3481" s="1" t="s">
        <v>74</v>
      </c>
      <c r="AZ3481" s="1" t="s">
        <v>74</v>
      </c>
      <c r="BA3481" s="1" t="s">
        <v>74</v>
      </c>
      <c r="BB3481" s="1" t="s">
        <v>74</v>
      </c>
      <c r="BC3481" s="1" t="s">
        <v>74</v>
      </c>
      <c r="BD3481" s="1">
        <v>109585</v>
      </c>
      <c r="BE3481" s="1" t="s">
        <v>55207</v>
      </c>
      <c r="BF3481" s="1" t="str">
        <f>HYPERLINK("http://dx.doi.org/10.1016/j.cbpc.2023.109585","http://dx.doi.org/10.1016/j.cbpc.2023.109585")</f>
        <v>http://dx.doi.org/10.1016/j.cbpc.2023.109585</v>
      </c>
      <c r="BG3481" s="1" t="s">
        <v>74</v>
      </c>
      <c r="BH3481" s="1" t="s">
        <v>6536</v>
      </c>
      <c r="BI3481" s="1">
        <v>9</v>
      </c>
      <c r="BJ3481" s="1" t="s">
        <v>571</v>
      </c>
      <c r="BK3481" s="1" t="s">
        <v>96</v>
      </c>
      <c r="BL3481" s="1" t="s">
        <v>571</v>
      </c>
      <c r="BM3481" s="1" t="s">
        <v>55208</v>
      </c>
      <c r="BN3481" s="1">
        <v>36858139</v>
      </c>
      <c r="BO3481" s="1" t="s">
        <v>74</v>
      </c>
      <c r="BP3481" s="1" t="s">
        <v>74</v>
      </c>
      <c r="BQ3481" s="1" t="s">
        <v>74</v>
      </c>
      <c r="BR3481" s="1" t="s">
        <v>98</v>
      </c>
      <c r="BS3481" s="1" t="s">
        <v>55209</v>
      </c>
      <c r="BT3481" s="1" t="str">
        <f>HYPERLINK("https%3A%2F%2Fwww.webofscience.com%2Fwos%2Fwoscc%2Ffull-record%2FWOS:001042687900001","View Full Record in Web of Science")</f>
        <v>View Full Record in Web of Science</v>
      </c>
      <c r="BU3481" s="1"/>
      <c r="BV3481" s="1"/>
    </row>
    <row r="3482" spans="1:74">
      <c r="A3482" s="1" t="s">
        <v>72</v>
      </c>
      <c r="B3482" s="1" t="s">
        <v>55210</v>
      </c>
      <c r="C3482" s="1" t="s">
        <v>74</v>
      </c>
      <c r="D3482" s="1" t="s">
        <v>74</v>
      </c>
      <c r="E3482" s="1" t="s">
        <v>74</v>
      </c>
      <c r="F3482" s="1" t="s">
        <v>55211</v>
      </c>
      <c r="G3482" s="1" t="s">
        <v>74</v>
      </c>
      <c r="H3482" s="1" t="s">
        <v>74</v>
      </c>
      <c r="I3482" s="1" t="s">
        <v>55212</v>
      </c>
      <c r="J3482" s="1" t="s">
        <v>9914</v>
      </c>
      <c r="K3482" s="1" t="s">
        <v>74</v>
      </c>
      <c r="L3482" s="1" t="s">
        <v>74</v>
      </c>
      <c r="M3482" s="1" t="s">
        <v>78</v>
      </c>
      <c r="N3482" s="1" t="s">
        <v>79</v>
      </c>
      <c r="O3482" s="1" t="s">
        <v>74</v>
      </c>
      <c r="P3482" s="1" t="s">
        <v>74</v>
      </c>
      <c r="Q3482" s="1" t="s">
        <v>74</v>
      </c>
      <c r="R3482" s="1" t="s">
        <v>74</v>
      </c>
      <c r="S3482" s="1" t="s">
        <v>74</v>
      </c>
      <c r="T3482" s="1" t="s">
        <v>74</v>
      </c>
      <c r="U3482" s="1" t="s">
        <v>55213</v>
      </c>
      <c r="V3482" s="1" t="s">
        <v>55214</v>
      </c>
      <c r="W3482" s="1" t="s">
        <v>55215</v>
      </c>
      <c r="X3482" s="1" t="s">
        <v>55216</v>
      </c>
      <c r="Y3482" s="1" t="s">
        <v>55217</v>
      </c>
      <c r="Z3482" s="1" t="s">
        <v>55218</v>
      </c>
      <c r="AA3482" s="1" t="s">
        <v>74</v>
      </c>
      <c r="AB3482" s="1" t="s">
        <v>74</v>
      </c>
      <c r="AC3482" s="1" t="s">
        <v>55219</v>
      </c>
      <c r="AD3482" s="1" t="s">
        <v>55220</v>
      </c>
      <c r="AE3482" s="1" t="s">
        <v>55221</v>
      </c>
      <c r="AF3482" s="1" t="s">
        <v>74</v>
      </c>
      <c r="AG3482" s="1">
        <v>96</v>
      </c>
      <c r="AH3482" s="1">
        <v>0</v>
      </c>
      <c r="AI3482" s="1">
        <v>0</v>
      </c>
      <c r="AJ3482" s="1">
        <v>0</v>
      </c>
      <c r="AK3482" s="1">
        <v>2</v>
      </c>
      <c r="AL3482" s="1" t="s">
        <v>136</v>
      </c>
      <c r="AM3482" s="1" t="s">
        <v>137</v>
      </c>
      <c r="AN3482" s="1" t="s">
        <v>138</v>
      </c>
      <c r="AO3482" s="1" t="s">
        <v>9925</v>
      </c>
      <c r="AP3482" s="1" t="s">
        <v>34583</v>
      </c>
      <c r="AQ3482" s="1" t="s">
        <v>74</v>
      </c>
      <c r="AR3482" s="1" t="s">
        <v>9926</v>
      </c>
      <c r="AS3482" s="1" t="s">
        <v>9927</v>
      </c>
      <c r="AT3482" s="1" t="s">
        <v>119</v>
      </c>
      <c r="AU3482" s="1">
        <v>2023</v>
      </c>
      <c r="AV3482" s="1">
        <v>155</v>
      </c>
      <c r="AW3482" s="1" t="s">
        <v>74</v>
      </c>
      <c r="AX3482" s="1" t="s">
        <v>74</v>
      </c>
      <c r="AY3482" s="1" t="s">
        <v>74</v>
      </c>
      <c r="AZ3482" s="1" t="s">
        <v>74</v>
      </c>
      <c r="BA3482" s="1" t="s">
        <v>74</v>
      </c>
      <c r="BB3482" s="1" t="s">
        <v>74</v>
      </c>
      <c r="BC3482" s="1" t="s">
        <v>74</v>
      </c>
      <c r="BD3482" s="1">
        <v>105720</v>
      </c>
      <c r="BE3482" s="1" t="s">
        <v>55222</v>
      </c>
      <c r="BF3482" s="1" t="str">
        <f>HYPERLINK("http://dx.doi.org/10.1016/j.apgeochem.2023.105720","http://dx.doi.org/10.1016/j.apgeochem.2023.105720")</f>
        <v>http://dx.doi.org/10.1016/j.apgeochem.2023.105720</v>
      </c>
      <c r="BG3482" s="1" t="s">
        <v>74</v>
      </c>
      <c r="BH3482" s="1" t="s">
        <v>767</v>
      </c>
      <c r="BI3482" s="1">
        <v>9</v>
      </c>
      <c r="BJ3482" s="1" t="s">
        <v>9863</v>
      </c>
      <c r="BK3482" s="1" t="s">
        <v>96</v>
      </c>
      <c r="BL3482" s="1" t="s">
        <v>9863</v>
      </c>
      <c r="BM3482" s="1" t="s">
        <v>55223</v>
      </c>
      <c r="BN3482" s="1" t="s">
        <v>74</v>
      </c>
      <c r="BO3482" s="1" t="s">
        <v>74</v>
      </c>
      <c r="BP3482" s="1" t="s">
        <v>74</v>
      </c>
      <c r="BQ3482" s="1" t="s">
        <v>74</v>
      </c>
      <c r="BR3482" s="1" t="s">
        <v>98</v>
      </c>
      <c r="BS3482" s="1" t="s">
        <v>55224</v>
      </c>
      <c r="BT3482" s="1" t="str">
        <f>HYPERLINK("https%3A%2F%2Fwww.webofscience.com%2Fwos%2Fwoscc%2Ffull-record%2FWOS:001027043000001","View Full Record in Web of Science")</f>
        <v>View Full Record in Web of Science</v>
      </c>
      <c r="BU3482" s="1"/>
      <c r="BV3482" s="1"/>
    </row>
    <row r="3483" spans="1:74">
      <c r="A3483" s="1" t="s">
        <v>72</v>
      </c>
      <c r="B3483" s="1" t="s">
        <v>55225</v>
      </c>
      <c r="C3483" s="1" t="s">
        <v>74</v>
      </c>
      <c r="D3483" s="1" t="s">
        <v>74</v>
      </c>
      <c r="E3483" s="1" t="s">
        <v>74</v>
      </c>
      <c r="F3483" s="1" t="s">
        <v>55226</v>
      </c>
      <c r="G3483" s="1" t="s">
        <v>74</v>
      </c>
      <c r="H3483" s="1" t="s">
        <v>74</v>
      </c>
      <c r="I3483" s="1" t="s">
        <v>55227</v>
      </c>
      <c r="J3483" s="1" t="s">
        <v>204</v>
      </c>
      <c r="K3483" s="1" t="s">
        <v>74</v>
      </c>
      <c r="L3483" s="1" t="s">
        <v>74</v>
      </c>
      <c r="M3483" s="1" t="s">
        <v>78</v>
      </c>
      <c r="N3483" s="1" t="s">
        <v>79</v>
      </c>
      <c r="O3483" s="1" t="s">
        <v>74</v>
      </c>
      <c r="P3483" s="1" t="s">
        <v>74</v>
      </c>
      <c r="Q3483" s="1" t="s">
        <v>74</v>
      </c>
      <c r="R3483" s="1" t="s">
        <v>74</v>
      </c>
      <c r="S3483" s="1" t="s">
        <v>74</v>
      </c>
      <c r="T3483" s="1" t="s">
        <v>55228</v>
      </c>
      <c r="U3483" s="1" t="s">
        <v>55229</v>
      </c>
      <c r="V3483" s="1" t="s">
        <v>55230</v>
      </c>
      <c r="W3483" s="1" t="s">
        <v>55231</v>
      </c>
      <c r="X3483" s="1" t="s">
        <v>8999</v>
      </c>
      <c r="Y3483" s="1" t="s">
        <v>55232</v>
      </c>
      <c r="Z3483" s="1" t="s">
        <v>55233</v>
      </c>
      <c r="AA3483" s="1" t="s">
        <v>19293</v>
      </c>
      <c r="AB3483" s="1" t="s">
        <v>626</v>
      </c>
      <c r="AC3483" s="1" t="s">
        <v>74</v>
      </c>
      <c r="AD3483" s="1" t="s">
        <v>74</v>
      </c>
      <c r="AE3483" s="1" t="s">
        <v>74</v>
      </c>
      <c r="AF3483" s="1" t="s">
        <v>74</v>
      </c>
      <c r="AG3483" s="1">
        <v>36</v>
      </c>
      <c r="AH3483" s="1">
        <v>47</v>
      </c>
      <c r="AI3483" s="1">
        <v>47</v>
      </c>
      <c r="AJ3483" s="1">
        <v>0</v>
      </c>
      <c r="AK3483" s="1">
        <v>26</v>
      </c>
      <c r="AL3483" s="1" t="s">
        <v>217</v>
      </c>
      <c r="AM3483" s="1" t="s">
        <v>218</v>
      </c>
      <c r="AN3483" s="1" t="s">
        <v>219</v>
      </c>
      <c r="AO3483" s="1" t="s">
        <v>220</v>
      </c>
      <c r="AP3483" s="1" t="s">
        <v>221</v>
      </c>
      <c r="AQ3483" s="1" t="s">
        <v>74</v>
      </c>
      <c r="AR3483" s="1" t="s">
        <v>222</v>
      </c>
      <c r="AS3483" s="1" t="s">
        <v>223</v>
      </c>
      <c r="AT3483" s="1" t="s">
        <v>765</v>
      </c>
      <c r="AU3483" s="1">
        <v>2016</v>
      </c>
      <c r="AV3483" s="1">
        <v>23</v>
      </c>
      <c r="AW3483" s="1">
        <v>13</v>
      </c>
      <c r="AX3483" s="1" t="s">
        <v>74</v>
      </c>
      <c r="AY3483" s="1" t="s">
        <v>74</v>
      </c>
      <c r="AZ3483" s="1" t="s">
        <v>74</v>
      </c>
      <c r="BA3483" s="1" t="s">
        <v>74</v>
      </c>
      <c r="BB3483" s="1">
        <v>12495</v>
      </c>
      <c r="BC3483" s="1">
        <v>12501</v>
      </c>
      <c r="BD3483" s="1" t="s">
        <v>74</v>
      </c>
      <c r="BE3483" s="1" t="s">
        <v>55234</v>
      </c>
      <c r="BF3483" s="1" t="str">
        <f>HYPERLINK("http://dx.doi.org/10.1007/s11356-015-4924-6","http://dx.doi.org/10.1007/s11356-015-4924-6")</f>
        <v>http://dx.doi.org/10.1007/s11356-015-4924-6</v>
      </c>
      <c r="BG3483" s="1" t="s">
        <v>74</v>
      </c>
      <c r="BH3483" s="1" t="s">
        <v>74</v>
      </c>
      <c r="BI3483" s="1">
        <v>7</v>
      </c>
      <c r="BJ3483" s="1" t="s">
        <v>144</v>
      </c>
      <c r="BK3483" s="1" t="s">
        <v>96</v>
      </c>
      <c r="BL3483" s="1" t="s">
        <v>145</v>
      </c>
      <c r="BM3483" s="1" t="s">
        <v>17732</v>
      </c>
      <c r="BN3483" s="1">
        <v>26111753</v>
      </c>
      <c r="BO3483" s="1" t="s">
        <v>74</v>
      </c>
      <c r="BP3483" s="1" t="s">
        <v>74</v>
      </c>
      <c r="BQ3483" s="1" t="s">
        <v>74</v>
      </c>
      <c r="BR3483" s="1" t="s">
        <v>98</v>
      </c>
      <c r="BS3483" s="1" t="s">
        <v>55235</v>
      </c>
      <c r="BT3483" s="1" t="str">
        <f>HYPERLINK("https%3A%2F%2Fwww.webofscience.com%2Fwos%2Fwoscc%2Ffull-record%2FWOS:000378817300002","View Full Record in Web of Science")</f>
        <v>View Full Record in Web of Science</v>
      </c>
      <c r="BU3483" s="1"/>
      <c r="BV3483" s="1"/>
    </row>
    <row r="3484" spans="1:74">
      <c r="A3484" s="1" t="s">
        <v>72</v>
      </c>
      <c r="B3484" s="1" t="s">
        <v>55236</v>
      </c>
      <c r="C3484" s="1" t="s">
        <v>74</v>
      </c>
      <c r="D3484" s="1" t="s">
        <v>74</v>
      </c>
      <c r="E3484" s="1" t="s">
        <v>74</v>
      </c>
      <c r="F3484" s="1" t="s">
        <v>55237</v>
      </c>
      <c r="G3484" s="1" t="s">
        <v>74</v>
      </c>
      <c r="H3484" s="1" t="s">
        <v>74</v>
      </c>
      <c r="I3484" s="1" t="s">
        <v>55238</v>
      </c>
      <c r="J3484" s="1" t="s">
        <v>3349</v>
      </c>
      <c r="K3484" s="1" t="s">
        <v>74</v>
      </c>
      <c r="L3484" s="1" t="s">
        <v>74</v>
      </c>
      <c r="M3484" s="1" t="s">
        <v>78</v>
      </c>
      <c r="N3484" s="1" t="s">
        <v>79</v>
      </c>
      <c r="O3484" s="1" t="s">
        <v>74</v>
      </c>
      <c r="P3484" s="1" t="s">
        <v>74</v>
      </c>
      <c r="Q3484" s="1" t="s">
        <v>74</v>
      </c>
      <c r="R3484" s="1" t="s">
        <v>74</v>
      </c>
      <c r="S3484" s="1" t="s">
        <v>74</v>
      </c>
      <c r="T3484" s="1" t="s">
        <v>55239</v>
      </c>
      <c r="U3484" s="1" t="s">
        <v>55240</v>
      </c>
      <c r="V3484" s="1" t="s">
        <v>55241</v>
      </c>
      <c r="W3484" s="1" t="s">
        <v>55242</v>
      </c>
      <c r="X3484" s="1" t="s">
        <v>55243</v>
      </c>
      <c r="Y3484" s="1" t="s">
        <v>55244</v>
      </c>
      <c r="Z3484" s="1" t="s">
        <v>55245</v>
      </c>
      <c r="AA3484" s="1" t="s">
        <v>55246</v>
      </c>
      <c r="AB3484" s="1" t="s">
        <v>55247</v>
      </c>
      <c r="AC3484" s="1" t="s">
        <v>55248</v>
      </c>
      <c r="AD3484" s="1" t="s">
        <v>55249</v>
      </c>
      <c r="AE3484" s="1" t="s">
        <v>55250</v>
      </c>
      <c r="AF3484" s="1" t="s">
        <v>74</v>
      </c>
      <c r="AG3484" s="1">
        <v>115</v>
      </c>
      <c r="AH3484" s="1">
        <v>13</v>
      </c>
      <c r="AI3484" s="1">
        <v>13</v>
      </c>
      <c r="AJ3484" s="1">
        <v>0</v>
      </c>
      <c r="AK3484" s="1">
        <v>51</v>
      </c>
      <c r="AL3484" s="1" t="s">
        <v>3362</v>
      </c>
      <c r="AM3484" s="1" t="s">
        <v>3363</v>
      </c>
      <c r="AN3484" s="1" t="s">
        <v>3364</v>
      </c>
      <c r="AO3484" s="1" t="s">
        <v>3365</v>
      </c>
      <c r="AP3484" s="1" t="s">
        <v>3366</v>
      </c>
      <c r="AQ3484" s="1" t="s">
        <v>74</v>
      </c>
      <c r="AR3484" s="1" t="s">
        <v>3367</v>
      </c>
      <c r="AS3484" s="1" t="s">
        <v>3368</v>
      </c>
      <c r="AT3484" s="1" t="s">
        <v>93</v>
      </c>
      <c r="AU3484" s="1">
        <v>2016</v>
      </c>
      <c r="AV3484" s="1">
        <v>126</v>
      </c>
      <c r="AW3484" s="1" t="s">
        <v>74</v>
      </c>
      <c r="AX3484" s="1" t="s">
        <v>74</v>
      </c>
      <c r="AY3484" s="1" t="s">
        <v>74</v>
      </c>
      <c r="AZ3484" s="1" t="s">
        <v>74</v>
      </c>
      <c r="BA3484" s="1" t="s">
        <v>74</v>
      </c>
      <c r="BB3484" s="1">
        <v>1</v>
      </c>
      <c r="BC3484" s="1">
        <v>13</v>
      </c>
      <c r="BD3484" s="1" t="s">
        <v>74</v>
      </c>
      <c r="BE3484" s="1" t="s">
        <v>55251</v>
      </c>
      <c r="BF3484" s="1" t="str">
        <f>HYPERLINK("http://dx.doi.org/10.1016/j.ecoenv.2015.12.008","http://dx.doi.org/10.1016/j.ecoenv.2015.12.008")</f>
        <v>http://dx.doi.org/10.1016/j.ecoenv.2015.12.008</v>
      </c>
      <c r="BG3484" s="1" t="s">
        <v>74</v>
      </c>
      <c r="BH3484" s="1" t="s">
        <v>74</v>
      </c>
      <c r="BI3484" s="1">
        <v>13</v>
      </c>
      <c r="BJ3484" s="1" t="s">
        <v>121</v>
      </c>
      <c r="BK3484" s="1" t="s">
        <v>96</v>
      </c>
      <c r="BL3484" s="1" t="s">
        <v>122</v>
      </c>
      <c r="BM3484" s="1" t="s">
        <v>55252</v>
      </c>
      <c r="BN3484" s="1">
        <v>26707183</v>
      </c>
      <c r="BO3484" s="1" t="s">
        <v>74</v>
      </c>
      <c r="BP3484" s="1" t="s">
        <v>74</v>
      </c>
      <c r="BQ3484" s="1" t="s">
        <v>74</v>
      </c>
      <c r="BR3484" s="1" t="s">
        <v>98</v>
      </c>
      <c r="BS3484" s="1" t="s">
        <v>55253</v>
      </c>
      <c r="BT3484" s="1" t="str">
        <f>HYPERLINK("https%3A%2F%2Fwww.webofscience.com%2Fwos%2Fwoscc%2Ffull-record%2FWOS:000370393700001","View Full Record in Web of Science")</f>
        <v>View Full Record in Web of Science</v>
      </c>
      <c r="BU3484" s="1"/>
      <c r="BV3484" s="1"/>
    </row>
    <row r="3485" spans="1:74">
      <c r="A3485" s="1" t="s">
        <v>72</v>
      </c>
      <c r="B3485" s="1" t="s">
        <v>55254</v>
      </c>
      <c r="C3485" s="1" t="s">
        <v>74</v>
      </c>
      <c r="D3485" s="1" t="s">
        <v>74</v>
      </c>
      <c r="E3485" s="1" t="s">
        <v>74</v>
      </c>
      <c r="F3485" s="1" t="s">
        <v>55255</v>
      </c>
      <c r="G3485" s="1" t="s">
        <v>74</v>
      </c>
      <c r="H3485" s="1" t="s">
        <v>74</v>
      </c>
      <c r="I3485" s="1" t="s">
        <v>55256</v>
      </c>
      <c r="J3485" s="1" t="s">
        <v>3349</v>
      </c>
      <c r="K3485" s="1" t="s">
        <v>74</v>
      </c>
      <c r="L3485" s="1" t="s">
        <v>74</v>
      </c>
      <c r="M3485" s="1" t="s">
        <v>78</v>
      </c>
      <c r="N3485" s="1" t="s">
        <v>151</v>
      </c>
      <c r="O3485" s="1" t="s">
        <v>55257</v>
      </c>
      <c r="P3485" s="1" t="s">
        <v>55258</v>
      </c>
      <c r="Q3485" s="1" t="s">
        <v>55259</v>
      </c>
      <c r="R3485" s="1" t="s">
        <v>74</v>
      </c>
      <c r="S3485" s="1" t="s">
        <v>74</v>
      </c>
      <c r="T3485" s="1" t="s">
        <v>55260</v>
      </c>
      <c r="U3485" s="1" t="s">
        <v>55261</v>
      </c>
      <c r="V3485" s="1" t="s">
        <v>55262</v>
      </c>
      <c r="W3485" s="1" t="s">
        <v>55263</v>
      </c>
      <c r="X3485" s="1" t="s">
        <v>55264</v>
      </c>
      <c r="Y3485" s="1" t="s">
        <v>55265</v>
      </c>
      <c r="Z3485" s="1" t="s">
        <v>55266</v>
      </c>
      <c r="AA3485" s="1" t="s">
        <v>74</v>
      </c>
      <c r="AB3485" s="1" t="s">
        <v>55267</v>
      </c>
      <c r="AC3485" s="1" t="s">
        <v>55268</v>
      </c>
      <c r="AD3485" s="1" t="s">
        <v>55268</v>
      </c>
      <c r="AE3485" s="1" t="s">
        <v>55269</v>
      </c>
      <c r="AF3485" s="1" t="s">
        <v>74</v>
      </c>
      <c r="AG3485" s="1">
        <v>41</v>
      </c>
      <c r="AH3485" s="1">
        <v>17</v>
      </c>
      <c r="AI3485" s="1">
        <v>19</v>
      </c>
      <c r="AJ3485" s="1">
        <v>1</v>
      </c>
      <c r="AK3485" s="1">
        <v>59</v>
      </c>
      <c r="AL3485" s="1" t="s">
        <v>3362</v>
      </c>
      <c r="AM3485" s="1" t="s">
        <v>3363</v>
      </c>
      <c r="AN3485" s="1" t="s">
        <v>3364</v>
      </c>
      <c r="AO3485" s="1" t="s">
        <v>3365</v>
      </c>
      <c r="AP3485" s="1" t="s">
        <v>3366</v>
      </c>
      <c r="AQ3485" s="1" t="s">
        <v>74</v>
      </c>
      <c r="AR3485" s="1" t="s">
        <v>3367</v>
      </c>
      <c r="AS3485" s="1" t="s">
        <v>3368</v>
      </c>
      <c r="AT3485" s="1" t="s">
        <v>1470</v>
      </c>
      <c r="AU3485" s="1">
        <v>2016</v>
      </c>
      <c r="AV3485" s="1">
        <v>123</v>
      </c>
      <c r="AW3485" s="1" t="s">
        <v>74</v>
      </c>
      <c r="AX3485" s="1" t="s">
        <v>74</v>
      </c>
      <c r="AY3485" s="1" t="s">
        <v>74</v>
      </c>
      <c r="AZ3485" s="1" t="s">
        <v>225</v>
      </c>
      <c r="BA3485" s="1" t="s">
        <v>74</v>
      </c>
      <c r="BB3485" s="1">
        <v>45</v>
      </c>
      <c r="BC3485" s="1">
        <v>52</v>
      </c>
      <c r="BD3485" s="1" t="s">
        <v>74</v>
      </c>
      <c r="BE3485" s="1" t="s">
        <v>55270</v>
      </c>
      <c r="BF3485" s="1" t="str">
        <f>HYPERLINK("http://dx.doi.org/10.1016/j.ecoenv.2015.08.024","http://dx.doi.org/10.1016/j.ecoenv.2015.08.024")</f>
        <v>http://dx.doi.org/10.1016/j.ecoenv.2015.08.024</v>
      </c>
      <c r="BG3485" s="1" t="s">
        <v>74</v>
      </c>
      <c r="BH3485" s="1" t="s">
        <v>74</v>
      </c>
      <c r="BI3485" s="1">
        <v>8</v>
      </c>
      <c r="BJ3485" s="1" t="s">
        <v>121</v>
      </c>
      <c r="BK3485" s="1" t="s">
        <v>172</v>
      </c>
      <c r="BL3485" s="1" t="s">
        <v>122</v>
      </c>
      <c r="BM3485" s="1" t="s">
        <v>55271</v>
      </c>
      <c r="BN3485" s="1">
        <v>26323371</v>
      </c>
      <c r="BO3485" s="1" t="s">
        <v>1752</v>
      </c>
      <c r="BP3485" s="1" t="s">
        <v>74</v>
      </c>
      <c r="BQ3485" s="1" t="s">
        <v>74</v>
      </c>
      <c r="BR3485" s="1" t="s">
        <v>98</v>
      </c>
      <c r="BS3485" s="1" t="s">
        <v>55272</v>
      </c>
      <c r="BT3485" s="1" t="str">
        <f>HYPERLINK("https%3A%2F%2Fwww.webofscience.com%2Fwos%2Fwoscc%2Ffull-record%2FWOS:000365557500007","View Full Record in Web of Science")</f>
        <v>View Full Record in Web of Science</v>
      </c>
      <c r="BU3485" s="1"/>
      <c r="BV3485" s="1"/>
    </row>
    <row r="3486" spans="1:74">
      <c r="A3486" s="1" t="s">
        <v>72</v>
      </c>
      <c r="B3486" s="1" t="s">
        <v>55273</v>
      </c>
      <c r="C3486" s="1" t="s">
        <v>74</v>
      </c>
      <c r="D3486" s="1" t="s">
        <v>74</v>
      </c>
      <c r="E3486" s="1" t="s">
        <v>74</v>
      </c>
      <c r="F3486" s="1" t="s">
        <v>55274</v>
      </c>
      <c r="G3486" s="1" t="s">
        <v>74</v>
      </c>
      <c r="H3486" s="1" t="s">
        <v>74</v>
      </c>
      <c r="I3486" s="1" t="s">
        <v>55275</v>
      </c>
      <c r="J3486" s="1" t="s">
        <v>704</v>
      </c>
      <c r="K3486" s="1" t="s">
        <v>74</v>
      </c>
      <c r="L3486" s="1" t="s">
        <v>74</v>
      </c>
      <c r="M3486" s="1" t="s">
        <v>78</v>
      </c>
      <c r="N3486" s="1" t="s">
        <v>79</v>
      </c>
      <c r="O3486" s="1" t="s">
        <v>74</v>
      </c>
      <c r="P3486" s="1" t="s">
        <v>74</v>
      </c>
      <c r="Q3486" s="1" t="s">
        <v>74</v>
      </c>
      <c r="R3486" s="1" t="s">
        <v>74</v>
      </c>
      <c r="S3486" s="1" t="s">
        <v>74</v>
      </c>
      <c r="T3486" s="1" t="s">
        <v>55276</v>
      </c>
      <c r="U3486" s="1" t="s">
        <v>55277</v>
      </c>
      <c r="V3486" s="1" t="s">
        <v>55278</v>
      </c>
      <c r="W3486" s="1" t="s">
        <v>55279</v>
      </c>
      <c r="X3486" s="1" t="s">
        <v>47209</v>
      </c>
      <c r="Y3486" s="1" t="s">
        <v>55280</v>
      </c>
      <c r="Z3486" s="1" t="s">
        <v>55281</v>
      </c>
      <c r="AA3486" s="1" t="s">
        <v>74</v>
      </c>
      <c r="AB3486" s="1" t="s">
        <v>55282</v>
      </c>
      <c r="AC3486" s="1" t="s">
        <v>55283</v>
      </c>
      <c r="AD3486" s="1" t="s">
        <v>55283</v>
      </c>
      <c r="AE3486" s="1" t="s">
        <v>55284</v>
      </c>
      <c r="AF3486" s="1" t="s">
        <v>74</v>
      </c>
      <c r="AG3486" s="1">
        <v>34</v>
      </c>
      <c r="AH3486" s="1">
        <v>5</v>
      </c>
      <c r="AI3486" s="1">
        <v>5</v>
      </c>
      <c r="AJ3486" s="1">
        <v>2</v>
      </c>
      <c r="AK3486" s="1">
        <v>70</v>
      </c>
      <c r="AL3486" s="1" t="s">
        <v>112</v>
      </c>
      <c r="AM3486" s="1" t="s">
        <v>191</v>
      </c>
      <c r="AN3486" s="1" t="s">
        <v>192</v>
      </c>
      <c r="AO3486" s="1" t="s">
        <v>718</v>
      </c>
      <c r="AP3486" s="1" t="s">
        <v>1169</v>
      </c>
      <c r="AQ3486" s="1" t="s">
        <v>74</v>
      </c>
      <c r="AR3486" s="1" t="s">
        <v>719</v>
      </c>
      <c r="AS3486" s="1" t="s">
        <v>720</v>
      </c>
      <c r="AT3486" s="1" t="s">
        <v>197</v>
      </c>
      <c r="AU3486" s="1">
        <v>2014</v>
      </c>
      <c r="AV3486" s="1">
        <v>225</v>
      </c>
      <c r="AW3486" s="1">
        <v>12</v>
      </c>
      <c r="AX3486" s="1" t="s">
        <v>74</v>
      </c>
      <c r="AY3486" s="1" t="s">
        <v>74</v>
      </c>
      <c r="AZ3486" s="1" t="s">
        <v>74</v>
      </c>
      <c r="BA3486" s="1" t="s">
        <v>74</v>
      </c>
      <c r="BB3486" s="1" t="s">
        <v>74</v>
      </c>
      <c r="BC3486" s="1" t="s">
        <v>74</v>
      </c>
      <c r="BD3486" s="1">
        <v>2211</v>
      </c>
      <c r="BE3486" s="1" t="s">
        <v>55285</v>
      </c>
      <c r="BF3486" s="1" t="str">
        <f>HYPERLINK("http://dx.doi.org/10.1007/s11270-014-2211-7","http://dx.doi.org/10.1007/s11270-014-2211-7")</f>
        <v>http://dx.doi.org/10.1007/s11270-014-2211-7</v>
      </c>
      <c r="BG3486" s="1" t="s">
        <v>74</v>
      </c>
      <c r="BH3486" s="1" t="s">
        <v>74</v>
      </c>
      <c r="BI3486" s="1">
        <v>9</v>
      </c>
      <c r="BJ3486" s="1" t="s">
        <v>722</v>
      </c>
      <c r="BK3486" s="1" t="s">
        <v>96</v>
      </c>
      <c r="BL3486" s="1" t="s">
        <v>723</v>
      </c>
      <c r="BM3486" s="1" t="s">
        <v>55286</v>
      </c>
      <c r="BN3486" s="1" t="s">
        <v>74</v>
      </c>
      <c r="BO3486" s="1" t="s">
        <v>74</v>
      </c>
      <c r="BP3486" s="1" t="s">
        <v>74</v>
      </c>
      <c r="BQ3486" s="1" t="s">
        <v>74</v>
      </c>
      <c r="BR3486" s="1" t="s">
        <v>98</v>
      </c>
      <c r="BS3486" s="1" t="s">
        <v>55287</v>
      </c>
      <c r="BT3486" s="1" t="str">
        <f>HYPERLINK("https%3A%2F%2Fwww.webofscience.com%2Fwos%2Fwoscc%2Ffull-record%2FWOS:000345320200010","View Full Record in Web of Science")</f>
        <v>View Full Record in Web of Science</v>
      </c>
      <c r="BU3486" s="1"/>
      <c r="BV3486" s="1"/>
    </row>
    <row r="3487" spans="1:74">
      <c r="A3487" s="1" t="s">
        <v>72</v>
      </c>
      <c r="B3487" s="1" t="s">
        <v>55288</v>
      </c>
      <c r="C3487" s="1" t="s">
        <v>74</v>
      </c>
      <c r="D3487" s="1" t="s">
        <v>74</v>
      </c>
      <c r="E3487" s="1" t="s">
        <v>74</v>
      </c>
      <c r="F3487" s="1" t="s">
        <v>55288</v>
      </c>
      <c r="G3487" s="1" t="s">
        <v>74</v>
      </c>
      <c r="H3487" s="1" t="s">
        <v>74</v>
      </c>
      <c r="I3487" s="1" t="s">
        <v>55289</v>
      </c>
      <c r="J3487" s="1" t="s">
        <v>103</v>
      </c>
      <c r="K3487" s="1" t="s">
        <v>74</v>
      </c>
      <c r="L3487" s="1" t="s">
        <v>74</v>
      </c>
      <c r="M3487" s="1" t="s">
        <v>78</v>
      </c>
      <c r="N3487" s="1" t="s">
        <v>79</v>
      </c>
      <c r="O3487" s="1" t="s">
        <v>74</v>
      </c>
      <c r="P3487" s="1" t="s">
        <v>74</v>
      </c>
      <c r="Q3487" s="1" t="s">
        <v>74</v>
      </c>
      <c r="R3487" s="1" t="s">
        <v>74</v>
      </c>
      <c r="S3487" s="1" t="s">
        <v>74</v>
      </c>
      <c r="T3487" s="1" t="s">
        <v>74</v>
      </c>
      <c r="U3487" s="1" t="s">
        <v>55290</v>
      </c>
      <c r="V3487" s="1" t="s">
        <v>74</v>
      </c>
      <c r="W3487" s="1" t="s">
        <v>55291</v>
      </c>
      <c r="X3487" s="1" t="s">
        <v>55292</v>
      </c>
      <c r="Y3487" s="1" t="s">
        <v>55293</v>
      </c>
      <c r="Z3487" s="1" t="s">
        <v>74</v>
      </c>
      <c r="AA3487" s="1" t="s">
        <v>74</v>
      </c>
      <c r="AB3487" s="1" t="s">
        <v>74</v>
      </c>
      <c r="AC3487" s="1" t="s">
        <v>74</v>
      </c>
      <c r="AD3487" s="1" t="s">
        <v>74</v>
      </c>
      <c r="AE3487" s="1" t="s">
        <v>74</v>
      </c>
      <c r="AF3487" s="1" t="s">
        <v>74</v>
      </c>
      <c r="AG3487" s="1">
        <v>19</v>
      </c>
      <c r="AH3487" s="1">
        <v>9</v>
      </c>
      <c r="AI3487" s="1">
        <v>9</v>
      </c>
      <c r="AJ3487" s="1">
        <v>0</v>
      </c>
      <c r="AK3487" s="1">
        <v>3</v>
      </c>
      <c r="AL3487" s="1" t="s">
        <v>112</v>
      </c>
      <c r="AM3487" s="1" t="s">
        <v>113</v>
      </c>
      <c r="AN3487" s="1" t="s">
        <v>469</v>
      </c>
      <c r="AO3487" s="1" t="s">
        <v>115</v>
      </c>
      <c r="AP3487" s="1" t="s">
        <v>74</v>
      </c>
      <c r="AQ3487" s="1" t="s">
        <v>74</v>
      </c>
      <c r="AR3487" s="1" t="s">
        <v>117</v>
      </c>
      <c r="AS3487" s="1" t="s">
        <v>118</v>
      </c>
      <c r="AT3487" s="1" t="s">
        <v>951</v>
      </c>
      <c r="AU3487" s="1">
        <v>1999</v>
      </c>
      <c r="AV3487" s="1">
        <v>63</v>
      </c>
      <c r="AW3487" s="1">
        <v>5</v>
      </c>
      <c r="AX3487" s="1" t="s">
        <v>74</v>
      </c>
      <c r="AY3487" s="1" t="s">
        <v>74</v>
      </c>
      <c r="AZ3487" s="1" t="s">
        <v>74</v>
      </c>
      <c r="BA3487" s="1" t="s">
        <v>74</v>
      </c>
      <c r="BB3487" s="1">
        <v>633</v>
      </c>
      <c r="BC3487" s="1">
        <v>638</v>
      </c>
      <c r="BD3487" s="1" t="s">
        <v>74</v>
      </c>
      <c r="BE3487" s="1" t="s">
        <v>55294</v>
      </c>
      <c r="BF3487" s="1" t="str">
        <f>HYPERLINK("http://dx.doi.org/10.1007/s001289901027","http://dx.doi.org/10.1007/s001289901027")</f>
        <v>http://dx.doi.org/10.1007/s001289901027</v>
      </c>
      <c r="BG3487" s="1" t="s">
        <v>74</v>
      </c>
      <c r="BH3487" s="1" t="s">
        <v>74</v>
      </c>
      <c r="BI3487" s="1">
        <v>6</v>
      </c>
      <c r="BJ3487" s="1" t="s">
        <v>121</v>
      </c>
      <c r="BK3487" s="1" t="s">
        <v>96</v>
      </c>
      <c r="BL3487" s="1" t="s">
        <v>122</v>
      </c>
      <c r="BM3487" s="1" t="s">
        <v>55295</v>
      </c>
      <c r="BN3487" s="1">
        <v>10541683</v>
      </c>
      <c r="BO3487" s="1" t="s">
        <v>74</v>
      </c>
      <c r="BP3487" s="1" t="s">
        <v>74</v>
      </c>
      <c r="BQ3487" s="1" t="s">
        <v>74</v>
      </c>
      <c r="BR3487" s="1" t="s">
        <v>98</v>
      </c>
      <c r="BS3487" s="1" t="s">
        <v>55296</v>
      </c>
      <c r="BT3487" s="1" t="str">
        <f>HYPERLINK("https%3A%2F%2Fwww.webofscience.com%2Fwos%2Fwoscc%2Ffull-record%2FWOS:000083426800012","View Full Record in Web of Science")</f>
        <v>View Full Record in Web of Science</v>
      </c>
      <c r="BU3487" s="1"/>
      <c r="BV3487" s="1"/>
    </row>
    <row r="3488" spans="1:74">
      <c r="A3488" s="1" t="s">
        <v>72</v>
      </c>
      <c r="B3488" s="1" t="s">
        <v>55297</v>
      </c>
      <c r="C3488" s="1" t="s">
        <v>74</v>
      </c>
      <c r="D3488" s="1" t="s">
        <v>74</v>
      </c>
      <c r="E3488" s="1" t="s">
        <v>74</v>
      </c>
      <c r="F3488" s="1" t="s">
        <v>55298</v>
      </c>
      <c r="G3488" s="1" t="s">
        <v>74</v>
      </c>
      <c r="H3488" s="1" t="s">
        <v>74</v>
      </c>
      <c r="I3488" s="1" t="s">
        <v>55299</v>
      </c>
      <c r="J3488" s="1" t="s">
        <v>204</v>
      </c>
      <c r="K3488" s="1" t="s">
        <v>74</v>
      </c>
      <c r="L3488" s="1" t="s">
        <v>74</v>
      </c>
      <c r="M3488" s="1" t="s">
        <v>78</v>
      </c>
      <c r="N3488" s="1" t="s">
        <v>79</v>
      </c>
      <c r="O3488" s="1" t="s">
        <v>74</v>
      </c>
      <c r="P3488" s="1" t="s">
        <v>74</v>
      </c>
      <c r="Q3488" s="1" t="s">
        <v>74</v>
      </c>
      <c r="R3488" s="1" t="s">
        <v>74</v>
      </c>
      <c r="S3488" s="1" t="s">
        <v>74</v>
      </c>
      <c r="T3488" s="1" t="s">
        <v>55300</v>
      </c>
      <c r="U3488" s="1" t="s">
        <v>55301</v>
      </c>
      <c r="V3488" s="1" t="s">
        <v>55302</v>
      </c>
      <c r="W3488" s="1" t="s">
        <v>55303</v>
      </c>
      <c r="X3488" s="1" t="s">
        <v>1417</v>
      </c>
      <c r="Y3488" s="1" t="s">
        <v>55304</v>
      </c>
      <c r="Z3488" s="1" t="s">
        <v>55305</v>
      </c>
      <c r="AA3488" s="1" t="s">
        <v>13410</v>
      </c>
      <c r="AB3488" s="1" t="s">
        <v>55306</v>
      </c>
      <c r="AC3488" s="1" t="s">
        <v>55307</v>
      </c>
      <c r="AD3488" s="1" t="s">
        <v>55308</v>
      </c>
      <c r="AE3488" s="1" t="s">
        <v>55309</v>
      </c>
      <c r="AF3488" s="1" t="s">
        <v>74</v>
      </c>
      <c r="AG3488" s="1">
        <v>57</v>
      </c>
      <c r="AH3488" s="1">
        <v>16</v>
      </c>
      <c r="AI3488" s="1">
        <v>18</v>
      </c>
      <c r="AJ3488" s="1">
        <v>1</v>
      </c>
      <c r="AK3488" s="1">
        <v>57</v>
      </c>
      <c r="AL3488" s="1" t="s">
        <v>217</v>
      </c>
      <c r="AM3488" s="1" t="s">
        <v>218</v>
      </c>
      <c r="AN3488" s="1" t="s">
        <v>219</v>
      </c>
      <c r="AO3488" s="1" t="s">
        <v>220</v>
      </c>
      <c r="AP3488" s="1" t="s">
        <v>74</v>
      </c>
      <c r="AQ3488" s="1" t="s">
        <v>74</v>
      </c>
      <c r="AR3488" s="1" t="s">
        <v>222</v>
      </c>
      <c r="AS3488" s="1" t="s">
        <v>223</v>
      </c>
      <c r="AT3488" s="1" t="s">
        <v>1223</v>
      </c>
      <c r="AU3488" s="1">
        <v>2013</v>
      </c>
      <c r="AV3488" s="1">
        <v>20</v>
      </c>
      <c r="AW3488" s="1">
        <v>3</v>
      </c>
      <c r="AX3488" s="1" t="s">
        <v>74</v>
      </c>
      <c r="AY3488" s="1" t="s">
        <v>74</v>
      </c>
      <c r="AZ3488" s="1" t="s">
        <v>74</v>
      </c>
      <c r="BA3488" s="1" t="s">
        <v>74</v>
      </c>
      <c r="BB3488" s="1">
        <v>1352</v>
      </c>
      <c r="BC3488" s="1">
        <v>1366</v>
      </c>
      <c r="BD3488" s="1" t="s">
        <v>74</v>
      </c>
      <c r="BE3488" s="1" t="s">
        <v>55310</v>
      </c>
      <c r="BF3488" s="1" t="str">
        <f>HYPERLINK("http://dx.doi.org/10.1007/s11356-012-1045-3","http://dx.doi.org/10.1007/s11356-012-1045-3")</f>
        <v>http://dx.doi.org/10.1007/s11356-012-1045-3</v>
      </c>
      <c r="BG3488" s="1" t="s">
        <v>74</v>
      </c>
      <c r="BH3488" s="1" t="s">
        <v>74</v>
      </c>
      <c r="BI3488" s="1">
        <v>15</v>
      </c>
      <c r="BJ3488" s="1" t="s">
        <v>144</v>
      </c>
      <c r="BK3488" s="1" t="s">
        <v>96</v>
      </c>
      <c r="BL3488" s="1" t="s">
        <v>145</v>
      </c>
      <c r="BM3488" s="1" t="s">
        <v>47214</v>
      </c>
      <c r="BN3488" s="1">
        <v>22782792</v>
      </c>
      <c r="BO3488" s="1" t="s">
        <v>74</v>
      </c>
      <c r="BP3488" s="1" t="s">
        <v>74</v>
      </c>
      <c r="BQ3488" s="1" t="s">
        <v>74</v>
      </c>
      <c r="BR3488" s="1" t="s">
        <v>98</v>
      </c>
      <c r="BS3488" s="1" t="s">
        <v>55311</v>
      </c>
      <c r="BT3488" s="1" t="str">
        <f>HYPERLINK("https%3A%2F%2Fwww.webofscience.com%2Fwos%2Fwoscc%2Ffull-record%2FWOS:000315442500014","View Full Record in Web of Science")</f>
        <v>View Full Record in Web of Science</v>
      </c>
      <c r="BU3488" s="1"/>
      <c r="BV3488" s="1"/>
    </row>
    <row r="3489" spans="1:74">
      <c r="A3489" s="1" t="s">
        <v>72</v>
      </c>
      <c r="B3489" s="1" t="s">
        <v>55312</v>
      </c>
      <c r="C3489" s="1" t="s">
        <v>74</v>
      </c>
      <c r="D3489" s="1" t="s">
        <v>74</v>
      </c>
      <c r="E3489" s="1" t="s">
        <v>74</v>
      </c>
      <c r="F3489" s="1" t="s">
        <v>55313</v>
      </c>
      <c r="G3489" s="1" t="s">
        <v>74</v>
      </c>
      <c r="H3489" s="1" t="s">
        <v>74</v>
      </c>
      <c r="I3489" s="1" t="s">
        <v>55314</v>
      </c>
      <c r="J3489" s="1" t="s">
        <v>232</v>
      </c>
      <c r="K3489" s="1" t="s">
        <v>74</v>
      </c>
      <c r="L3489" s="1" t="s">
        <v>74</v>
      </c>
      <c r="M3489" s="1" t="s">
        <v>78</v>
      </c>
      <c r="N3489" s="1" t="s">
        <v>79</v>
      </c>
      <c r="O3489" s="1" t="s">
        <v>74</v>
      </c>
      <c r="P3489" s="1" t="s">
        <v>74</v>
      </c>
      <c r="Q3489" s="1" t="s">
        <v>74</v>
      </c>
      <c r="R3489" s="1" t="s">
        <v>74</v>
      </c>
      <c r="S3489" s="1" t="s">
        <v>74</v>
      </c>
      <c r="T3489" s="1" t="s">
        <v>55315</v>
      </c>
      <c r="U3489" s="1" t="s">
        <v>55316</v>
      </c>
      <c r="V3489" s="1" t="s">
        <v>55317</v>
      </c>
      <c r="W3489" s="1" t="s">
        <v>55318</v>
      </c>
      <c r="X3489" s="1" t="s">
        <v>46522</v>
      </c>
      <c r="Y3489" s="1" t="s">
        <v>55319</v>
      </c>
      <c r="Z3489" s="1" t="s">
        <v>55320</v>
      </c>
      <c r="AA3489" s="1" t="s">
        <v>55321</v>
      </c>
      <c r="AB3489" s="1" t="s">
        <v>55322</v>
      </c>
      <c r="AC3489" s="1" t="s">
        <v>55323</v>
      </c>
      <c r="AD3489" s="1" t="s">
        <v>55323</v>
      </c>
      <c r="AE3489" s="1" t="s">
        <v>55324</v>
      </c>
      <c r="AF3489" s="1" t="s">
        <v>74</v>
      </c>
      <c r="AG3489" s="1">
        <v>39</v>
      </c>
      <c r="AH3489" s="1">
        <v>169</v>
      </c>
      <c r="AI3489" s="1">
        <v>190</v>
      </c>
      <c r="AJ3489" s="1">
        <v>2</v>
      </c>
      <c r="AK3489" s="1">
        <v>64</v>
      </c>
      <c r="AL3489" s="1" t="s">
        <v>136</v>
      </c>
      <c r="AM3489" s="1" t="s">
        <v>137</v>
      </c>
      <c r="AN3489" s="1" t="s">
        <v>138</v>
      </c>
      <c r="AO3489" s="1" t="s">
        <v>240</v>
      </c>
      <c r="AP3489" s="1" t="s">
        <v>241</v>
      </c>
      <c r="AQ3489" s="1" t="s">
        <v>74</v>
      </c>
      <c r="AR3489" s="1" t="s">
        <v>242</v>
      </c>
      <c r="AS3489" s="1" t="s">
        <v>243</v>
      </c>
      <c r="AT3489" s="1" t="s">
        <v>74</v>
      </c>
      <c r="AU3489" s="1">
        <v>2011</v>
      </c>
      <c r="AV3489" s="1">
        <v>63</v>
      </c>
      <c r="AW3489" s="1" t="s">
        <v>9881</v>
      </c>
      <c r="AX3489" s="1" t="s">
        <v>74</v>
      </c>
      <c r="AY3489" s="1" t="s">
        <v>74</v>
      </c>
      <c r="AZ3489" s="1" t="s">
        <v>225</v>
      </c>
      <c r="BA3489" s="1" t="s">
        <v>74</v>
      </c>
      <c r="BB3489" s="1">
        <v>417</v>
      </c>
      <c r="BC3489" s="1">
        <v>423</v>
      </c>
      <c r="BD3489" s="1" t="s">
        <v>74</v>
      </c>
      <c r="BE3489" s="1" t="s">
        <v>55325</v>
      </c>
      <c r="BF3489" s="1" t="str">
        <f>HYPERLINK("http://dx.doi.org/10.1016/j.marpolbul.2011.04.047","http://dx.doi.org/10.1016/j.marpolbul.2011.04.047")</f>
        <v>http://dx.doi.org/10.1016/j.marpolbul.2011.04.047</v>
      </c>
      <c r="BG3489" s="1" t="s">
        <v>74</v>
      </c>
      <c r="BH3489" s="1" t="s">
        <v>74</v>
      </c>
      <c r="BI3489" s="1">
        <v>7</v>
      </c>
      <c r="BJ3489" s="1" t="s">
        <v>247</v>
      </c>
      <c r="BK3489" s="1" t="s">
        <v>96</v>
      </c>
      <c r="BL3489" s="1" t="s">
        <v>248</v>
      </c>
      <c r="BM3489" s="1" t="s">
        <v>9883</v>
      </c>
      <c r="BN3489" s="1">
        <v>21616510</v>
      </c>
      <c r="BO3489" s="1" t="s">
        <v>74</v>
      </c>
      <c r="BP3489" s="1" t="s">
        <v>74</v>
      </c>
      <c r="BQ3489" s="1" t="s">
        <v>74</v>
      </c>
      <c r="BR3489" s="1" t="s">
        <v>98</v>
      </c>
      <c r="BS3489" s="1" t="s">
        <v>55326</v>
      </c>
      <c r="BT3489" s="1" t="str">
        <f>HYPERLINK("https%3A%2F%2Fwww.webofscience.com%2Fwos%2Fwoscc%2Ffull-record%2FWOS:000294092700052","View Full Record in Web of Science")</f>
        <v>View Full Record in Web of Science</v>
      </c>
      <c r="BU3489" s="1"/>
      <c r="BV3489" s="1"/>
    </row>
    <row r="3490" spans="1:74">
      <c r="A3490" s="1" t="s">
        <v>72</v>
      </c>
      <c r="B3490" s="1" t="s">
        <v>55327</v>
      </c>
      <c r="C3490" s="1" t="s">
        <v>74</v>
      </c>
      <c r="D3490" s="1" t="s">
        <v>74</v>
      </c>
      <c r="E3490" s="1" t="s">
        <v>74</v>
      </c>
      <c r="F3490" s="1" t="s">
        <v>55328</v>
      </c>
      <c r="G3490" s="1" t="s">
        <v>74</v>
      </c>
      <c r="H3490" s="1" t="s">
        <v>74</v>
      </c>
      <c r="I3490" s="1" t="s">
        <v>55329</v>
      </c>
      <c r="J3490" s="1" t="s">
        <v>1756</v>
      </c>
      <c r="K3490" s="1" t="s">
        <v>74</v>
      </c>
      <c r="L3490" s="1" t="s">
        <v>74</v>
      </c>
      <c r="M3490" s="1" t="s">
        <v>78</v>
      </c>
      <c r="N3490" s="1" t="s">
        <v>79</v>
      </c>
      <c r="O3490" s="1" t="s">
        <v>74</v>
      </c>
      <c r="P3490" s="1" t="s">
        <v>74</v>
      </c>
      <c r="Q3490" s="1" t="s">
        <v>74</v>
      </c>
      <c r="R3490" s="1" t="s">
        <v>74</v>
      </c>
      <c r="S3490" s="1" t="s">
        <v>74</v>
      </c>
      <c r="T3490" s="1" t="s">
        <v>55330</v>
      </c>
      <c r="U3490" s="1" t="s">
        <v>55331</v>
      </c>
      <c r="V3490" s="1" t="s">
        <v>55332</v>
      </c>
      <c r="W3490" s="1" t="s">
        <v>55333</v>
      </c>
      <c r="X3490" s="1" t="s">
        <v>16540</v>
      </c>
      <c r="Y3490" s="1" t="s">
        <v>55334</v>
      </c>
      <c r="Z3490" s="1" t="s">
        <v>55335</v>
      </c>
      <c r="AA3490" s="1" t="s">
        <v>55336</v>
      </c>
      <c r="AB3490" s="1" t="s">
        <v>55337</v>
      </c>
      <c r="AC3490" s="1" t="s">
        <v>55338</v>
      </c>
      <c r="AD3490" s="1" t="s">
        <v>55339</v>
      </c>
      <c r="AE3490" s="1" t="s">
        <v>55340</v>
      </c>
      <c r="AF3490" s="1" t="s">
        <v>74</v>
      </c>
      <c r="AG3490" s="1">
        <v>63</v>
      </c>
      <c r="AH3490" s="1">
        <v>2</v>
      </c>
      <c r="AI3490" s="1">
        <v>3</v>
      </c>
      <c r="AJ3490" s="1">
        <v>2</v>
      </c>
      <c r="AK3490" s="1">
        <v>27</v>
      </c>
      <c r="AL3490" s="1" t="s">
        <v>86</v>
      </c>
      <c r="AM3490" s="1" t="s">
        <v>87</v>
      </c>
      <c r="AN3490" s="1" t="s">
        <v>88</v>
      </c>
      <c r="AO3490" s="1" t="s">
        <v>1764</v>
      </c>
      <c r="AP3490" s="1" t="s">
        <v>1765</v>
      </c>
      <c r="AQ3490" s="1" t="s">
        <v>74</v>
      </c>
      <c r="AR3490" s="1" t="s">
        <v>1766</v>
      </c>
      <c r="AS3490" s="1" t="s">
        <v>1767</v>
      </c>
      <c r="AT3490" s="1" t="s">
        <v>197</v>
      </c>
      <c r="AU3490" s="1">
        <v>2021</v>
      </c>
      <c r="AV3490" s="1">
        <v>40</v>
      </c>
      <c r="AW3490" s="1">
        <v>12</v>
      </c>
      <c r="AX3490" s="1" t="s">
        <v>74</v>
      </c>
      <c r="AY3490" s="1" t="s">
        <v>74</v>
      </c>
      <c r="AZ3490" s="1" t="s">
        <v>74</v>
      </c>
      <c r="BA3490" s="1" t="s">
        <v>74</v>
      </c>
      <c r="BB3490" s="1">
        <v>3421</v>
      </c>
      <c r="BC3490" s="1">
        <v>3433</v>
      </c>
      <c r="BD3490" s="1" t="s">
        <v>74</v>
      </c>
      <c r="BE3490" s="1" t="s">
        <v>55341</v>
      </c>
      <c r="BF3490" s="1" t="str">
        <f>HYPERLINK("http://dx.doi.org/10.1002/etc.5224","http://dx.doi.org/10.1002/etc.5224")</f>
        <v>http://dx.doi.org/10.1002/etc.5224</v>
      </c>
      <c r="BG3490" s="1" t="s">
        <v>74</v>
      </c>
      <c r="BH3490" s="1" t="s">
        <v>10880</v>
      </c>
      <c r="BI3490" s="1">
        <v>13</v>
      </c>
      <c r="BJ3490" s="1" t="s">
        <v>121</v>
      </c>
      <c r="BK3490" s="1" t="s">
        <v>96</v>
      </c>
      <c r="BL3490" s="1" t="s">
        <v>122</v>
      </c>
      <c r="BM3490" s="1" t="s">
        <v>10881</v>
      </c>
      <c r="BN3490" s="1">
        <v>34587647</v>
      </c>
      <c r="BO3490" s="1" t="s">
        <v>74</v>
      </c>
      <c r="BP3490" s="1" t="s">
        <v>74</v>
      </c>
      <c r="BQ3490" s="1" t="s">
        <v>74</v>
      </c>
      <c r="BR3490" s="1" t="s">
        <v>98</v>
      </c>
      <c r="BS3490" s="1" t="s">
        <v>55342</v>
      </c>
      <c r="BT3490" s="1" t="str">
        <f>HYPERLINK("https%3A%2F%2Fwww.webofscience.com%2Fwos%2Fwoscc%2Ffull-record%2FWOS:000716616500001","View Full Record in Web of Science")</f>
        <v>View Full Record in Web of Science</v>
      </c>
      <c r="BU3490" s="1"/>
      <c r="BV3490" s="1"/>
    </row>
    <row r="3491" spans="1:74">
      <c r="A3491" s="1" t="s">
        <v>72</v>
      </c>
      <c r="B3491" s="1" t="s">
        <v>55343</v>
      </c>
      <c r="C3491" s="1" t="s">
        <v>74</v>
      </c>
      <c r="D3491" s="1" t="s">
        <v>74</v>
      </c>
      <c r="E3491" s="1" t="s">
        <v>74</v>
      </c>
      <c r="F3491" s="1" t="s">
        <v>55344</v>
      </c>
      <c r="G3491" s="1" t="s">
        <v>74</v>
      </c>
      <c r="H3491" s="1" t="s">
        <v>74</v>
      </c>
      <c r="I3491" s="1" t="s">
        <v>55345</v>
      </c>
      <c r="J3491" s="1" t="s">
        <v>909</v>
      </c>
      <c r="K3491" s="1" t="s">
        <v>74</v>
      </c>
      <c r="L3491" s="1" t="s">
        <v>74</v>
      </c>
      <c r="M3491" s="1" t="s">
        <v>78</v>
      </c>
      <c r="N3491" s="1" t="s">
        <v>79</v>
      </c>
      <c r="O3491" s="1" t="s">
        <v>74</v>
      </c>
      <c r="P3491" s="1" t="s">
        <v>74</v>
      </c>
      <c r="Q3491" s="1" t="s">
        <v>74</v>
      </c>
      <c r="R3491" s="1" t="s">
        <v>74</v>
      </c>
      <c r="S3491" s="1" t="s">
        <v>74</v>
      </c>
      <c r="T3491" s="1" t="s">
        <v>55346</v>
      </c>
      <c r="U3491" s="1" t="s">
        <v>55347</v>
      </c>
      <c r="V3491" s="1" t="s">
        <v>55348</v>
      </c>
      <c r="W3491" s="1" t="s">
        <v>55349</v>
      </c>
      <c r="X3491" s="1" t="s">
        <v>55350</v>
      </c>
      <c r="Y3491" s="1" t="s">
        <v>55351</v>
      </c>
      <c r="Z3491" s="1" t="s">
        <v>55352</v>
      </c>
      <c r="AA3491" s="1" t="s">
        <v>55353</v>
      </c>
      <c r="AB3491" s="1" t="s">
        <v>55354</v>
      </c>
      <c r="AC3491" s="1" t="s">
        <v>55355</v>
      </c>
      <c r="AD3491" s="1" t="s">
        <v>55356</v>
      </c>
      <c r="AE3491" s="1" t="s">
        <v>55357</v>
      </c>
      <c r="AF3491" s="1" t="s">
        <v>74</v>
      </c>
      <c r="AG3491" s="1">
        <v>78</v>
      </c>
      <c r="AH3491" s="1">
        <v>16</v>
      </c>
      <c r="AI3491" s="1">
        <v>16</v>
      </c>
      <c r="AJ3491" s="1">
        <v>0</v>
      </c>
      <c r="AK3491" s="1">
        <v>49</v>
      </c>
      <c r="AL3491" s="1" t="s">
        <v>919</v>
      </c>
      <c r="AM3491" s="1" t="s">
        <v>651</v>
      </c>
      <c r="AN3491" s="1" t="s">
        <v>920</v>
      </c>
      <c r="AO3491" s="1" t="s">
        <v>921</v>
      </c>
      <c r="AP3491" s="1" t="s">
        <v>922</v>
      </c>
      <c r="AQ3491" s="1" t="s">
        <v>74</v>
      </c>
      <c r="AR3491" s="1" t="s">
        <v>923</v>
      </c>
      <c r="AS3491" s="1" t="s">
        <v>924</v>
      </c>
      <c r="AT3491" s="1" t="s">
        <v>21346</v>
      </c>
      <c r="AU3491" s="1">
        <v>2019</v>
      </c>
      <c r="AV3491" s="1">
        <v>647</v>
      </c>
      <c r="AW3491" s="1" t="s">
        <v>74</v>
      </c>
      <c r="AX3491" s="1" t="s">
        <v>74</v>
      </c>
      <c r="AY3491" s="1" t="s">
        <v>74</v>
      </c>
      <c r="AZ3491" s="1" t="s">
        <v>74</v>
      </c>
      <c r="BA3491" s="1" t="s">
        <v>74</v>
      </c>
      <c r="BB3491" s="1">
        <v>1456</v>
      </c>
      <c r="BC3491" s="1">
        <v>1467</v>
      </c>
      <c r="BD3491" s="1" t="s">
        <v>74</v>
      </c>
      <c r="BE3491" s="1" t="s">
        <v>55358</v>
      </c>
      <c r="BF3491" s="1" t="str">
        <f>HYPERLINK("http://dx.doi.org/10.1016/j.scitotenv.2018.08.049","http://dx.doi.org/10.1016/j.scitotenv.2018.08.049")</f>
        <v>http://dx.doi.org/10.1016/j.scitotenv.2018.08.049</v>
      </c>
      <c r="BG3491" s="1" t="s">
        <v>74</v>
      </c>
      <c r="BH3491" s="1" t="s">
        <v>74</v>
      </c>
      <c r="BI3491" s="1">
        <v>12</v>
      </c>
      <c r="BJ3491" s="1" t="s">
        <v>144</v>
      </c>
      <c r="BK3491" s="1" t="s">
        <v>96</v>
      </c>
      <c r="BL3491" s="1" t="s">
        <v>145</v>
      </c>
      <c r="BM3491" s="1" t="s">
        <v>47842</v>
      </c>
      <c r="BN3491" s="1">
        <v>30180351</v>
      </c>
      <c r="BO3491" s="1" t="s">
        <v>74</v>
      </c>
      <c r="BP3491" s="1" t="s">
        <v>74</v>
      </c>
      <c r="BQ3491" s="1" t="s">
        <v>74</v>
      </c>
      <c r="BR3491" s="1" t="s">
        <v>98</v>
      </c>
      <c r="BS3491" s="1" t="s">
        <v>55359</v>
      </c>
      <c r="BT3491" s="1" t="str">
        <f>HYPERLINK("https%3A%2F%2Fwww.webofscience.com%2Fwos%2Fwoscc%2Ffull-record%2FWOS:000447090400146","View Full Record in Web of Science")</f>
        <v>View Full Record in Web of Science</v>
      </c>
      <c r="BU3491" s="1"/>
      <c r="BV3491" s="1"/>
    </row>
    <row r="3492" spans="1:74">
      <c r="A3492" s="1" t="s">
        <v>72</v>
      </c>
      <c r="B3492" s="1" t="s">
        <v>55360</v>
      </c>
      <c r="C3492" s="1" t="s">
        <v>74</v>
      </c>
      <c r="D3492" s="1" t="s">
        <v>74</v>
      </c>
      <c r="E3492" s="1" t="s">
        <v>74</v>
      </c>
      <c r="F3492" s="1" t="s">
        <v>55361</v>
      </c>
      <c r="G3492" s="1" t="s">
        <v>74</v>
      </c>
      <c r="H3492" s="1" t="s">
        <v>74</v>
      </c>
      <c r="I3492" s="1" t="s">
        <v>55362</v>
      </c>
      <c r="J3492" s="1" t="s">
        <v>232</v>
      </c>
      <c r="K3492" s="1" t="s">
        <v>74</v>
      </c>
      <c r="L3492" s="1" t="s">
        <v>74</v>
      </c>
      <c r="M3492" s="1" t="s">
        <v>78</v>
      </c>
      <c r="N3492" s="1" t="s">
        <v>79</v>
      </c>
      <c r="O3492" s="1" t="s">
        <v>74</v>
      </c>
      <c r="P3492" s="1" t="s">
        <v>74</v>
      </c>
      <c r="Q3492" s="1" t="s">
        <v>74</v>
      </c>
      <c r="R3492" s="1" t="s">
        <v>74</v>
      </c>
      <c r="S3492" s="1" t="s">
        <v>74</v>
      </c>
      <c r="T3492" s="1" t="s">
        <v>55363</v>
      </c>
      <c r="U3492" s="1" t="s">
        <v>55364</v>
      </c>
      <c r="V3492" s="1" t="s">
        <v>55365</v>
      </c>
      <c r="W3492" s="1" t="s">
        <v>55366</v>
      </c>
      <c r="X3492" s="1" t="s">
        <v>55367</v>
      </c>
      <c r="Y3492" s="1" t="s">
        <v>55368</v>
      </c>
      <c r="Z3492" s="1" t="s">
        <v>55369</v>
      </c>
      <c r="AA3492" s="1" t="s">
        <v>55370</v>
      </c>
      <c r="AB3492" s="1" t="s">
        <v>55371</v>
      </c>
      <c r="AC3492" s="1" t="s">
        <v>55372</v>
      </c>
      <c r="AD3492" s="1" t="s">
        <v>55373</v>
      </c>
      <c r="AE3492" s="1" t="s">
        <v>55374</v>
      </c>
      <c r="AF3492" s="1" t="s">
        <v>74</v>
      </c>
      <c r="AG3492" s="1">
        <v>51</v>
      </c>
      <c r="AH3492" s="1">
        <v>52</v>
      </c>
      <c r="AI3492" s="1">
        <v>52</v>
      </c>
      <c r="AJ3492" s="1">
        <v>0</v>
      </c>
      <c r="AK3492" s="1">
        <v>21</v>
      </c>
      <c r="AL3492" s="1" t="s">
        <v>136</v>
      </c>
      <c r="AM3492" s="1" t="s">
        <v>137</v>
      </c>
      <c r="AN3492" s="1" t="s">
        <v>138</v>
      </c>
      <c r="AO3492" s="1" t="s">
        <v>240</v>
      </c>
      <c r="AP3492" s="1" t="s">
        <v>241</v>
      </c>
      <c r="AQ3492" s="1" t="s">
        <v>74</v>
      </c>
      <c r="AR3492" s="1" t="s">
        <v>242</v>
      </c>
      <c r="AS3492" s="1" t="s">
        <v>243</v>
      </c>
      <c r="AT3492" s="1" t="s">
        <v>325</v>
      </c>
      <c r="AU3492" s="1">
        <v>2017</v>
      </c>
      <c r="AV3492" s="1">
        <v>123</v>
      </c>
      <c r="AW3492" s="1" t="s">
        <v>326</v>
      </c>
      <c r="AX3492" s="1" t="s">
        <v>74</v>
      </c>
      <c r="AY3492" s="1" t="s">
        <v>74</v>
      </c>
      <c r="AZ3492" s="1" t="s">
        <v>74</v>
      </c>
      <c r="BA3492" s="1" t="s">
        <v>74</v>
      </c>
      <c r="BB3492" s="1">
        <v>279</v>
      </c>
      <c r="BC3492" s="1">
        <v>285</v>
      </c>
      <c r="BD3492" s="1" t="s">
        <v>74</v>
      </c>
      <c r="BE3492" s="1" t="s">
        <v>55375</v>
      </c>
      <c r="BF3492" s="1" t="str">
        <f>HYPERLINK("http://dx.doi.org/10.1016/j.marpolbul.2017.08.046","http://dx.doi.org/10.1016/j.marpolbul.2017.08.046")</f>
        <v>http://dx.doi.org/10.1016/j.marpolbul.2017.08.046</v>
      </c>
      <c r="BG3492" s="1" t="s">
        <v>74</v>
      </c>
      <c r="BH3492" s="1" t="s">
        <v>74</v>
      </c>
      <c r="BI3492" s="1">
        <v>7</v>
      </c>
      <c r="BJ3492" s="1" t="s">
        <v>247</v>
      </c>
      <c r="BK3492" s="1" t="s">
        <v>96</v>
      </c>
      <c r="BL3492" s="1" t="s">
        <v>248</v>
      </c>
      <c r="BM3492" s="1" t="s">
        <v>328</v>
      </c>
      <c r="BN3492" s="1">
        <v>28826922</v>
      </c>
      <c r="BO3492" s="1" t="s">
        <v>1752</v>
      </c>
      <c r="BP3492" s="1" t="s">
        <v>74</v>
      </c>
      <c r="BQ3492" s="1" t="s">
        <v>74</v>
      </c>
      <c r="BR3492" s="1" t="s">
        <v>98</v>
      </c>
      <c r="BS3492" s="1" t="s">
        <v>55376</v>
      </c>
      <c r="BT3492" s="1" t="str">
        <f>HYPERLINK("https%3A%2F%2Fwww.webofscience.com%2Fwos%2Fwoscc%2Ffull-record%2FWOS:000415776600044","View Full Record in Web of Science")</f>
        <v>View Full Record in Web of Science</v>
      </c>
      <c r="BU3492" s="1"/>
      <c r="BV3492" s="1"/>
    </row>
    <row r="3493" spans="1:74">
      <c r="A3493" s="1" t="s">
        <v>72</v>
      </c>
      <c r="B3493" s="1" t="s">
        <v>55377</v>
      </c>
      <c r="C3493" s="1" t="s">
        <v>74</v>
      </c>
      <c r="D3493" s="1" t="s">
        <v>74</v>
      </c>
      <c r="E3493" s="1" t="s">
        <v>74</v>
      </c>
      <c r="F3493" s="1" t="s">
        <v>55378</v>
      </c>
      <c r="G3493" s="1" t="s">
        <v>74</v>
      </c>
      <c r="H3493" s="1" t="s">
        <v>74</v>
      </c>
      <c r="I3493" s="1" t="s">
        <v>55379</v>
      </c>
      <c r="J3493" s="1" t="s">
        <v>24745</v>
      </c>
      <c r="K3493" s="1" t="s">
        <v>74</v>
      </c>
      <c r="L3493" s="1" t="s">
        <v>74</v>
      </c>
      <c r="M3493" s="1" t="s">
        <v>78</v>
      </c>
      <c r="N3493" s="1" t="s">
        <v>79</v>
      </c>
      <c r="O3493" s="1" t="s">
        <v>74</v>
      </c>
      <c r="P3493" s="1" t="s">
        <v>74</v>
      </c>
      <c r="Q3493" s="1" t="s">
        <v>74</v>
      </c>
      <c r="R3493" s="1" t="s">
        <v>74</v>
      </c>
      <c r="S3493" s="1" t="s">
        <v>74</v>
      </c>
      <c r="T3493" s="1" t="s">
        <v>55380</v>
      </c>
      <c r="U3493" s="1" t="s">
        <v>55381</v>
      </c>
      <c r="V3493" s="1" t="s">
        <v>55382</v>
      </c>
      <c r="W3493" s="1" t="s">
        <v>55383</v>
      </c>
      <c r="X3493" s="1" t="s">
        <v>55384</v>
      </c>
      <c r="Y3493" s="1" t="s">
        <v>55385</v>
      </c>
      <c r="Z3493" s="1" t="s">
        <v>55386</v>
      </c>
      <c r="AA3493" s="1" t="s">
        <v>55387</v>
      </c>
      <c r="AB3493" s="1" t="s">
        <v>55388</v>
      </c>
      <c r="AC3493" s="1" t="s">
        <v>55389</v>
      </c>
      <c r="AD3493" s="1" t="s">
        <v>55390</v>
      </c>
      <c r="AE3493" s="1" t="s">
        <v>55391</v>
      </c>
      <c r="AF3493" s="1" t="s">
        <v>74</v>
      </c>
      <c r="AG3493" s="1">
        <v>52</v>
      </c>
      <c r="AH3493" s="1">
        <v>21</v>
      </c>
      <c r="AI3493" s="1">
        <v>23</v>
      </c>
      <c r="AJ3493" s="1">
        <v>6</v>
      </c>
      <c r="AK3493" s="1">
        <v>180</v>
      </c>
      <c r="AL3493" s="1" t="s">
        <v>86</v>
      </c>
      <c r="AM3493" s="1" t="s">
        <v>87</v>
      </c>
      <c r="AN3493" s="1" t="s">
        <v>88</v>
      </c>
      <c r="AO3493" s="1" t="s">
        <v>24755</v>
      </c>
      <c r="AP3493" s="1" t="s">
        <v>24756</v>
      </c>
      <c r="AQ3493" s="1" t="s">
        <v>74</v>
      </c>
      <c r="AR3493" s="1" t="s">
        <v>24757</v>
      </c>
      <c r="AS3493" s="1" t="s">
        <v>24758</v>
      </c>
      <c r="AT3493" s="1" t="s">
        <v>170</v>
      </c>
      <c r="AU3493" s="1">
        <v>2017</v>
      </c>
      <c r="AV3493" s="1">
        <v>134</v>
      </c>
      <c r="AW3493" s="1">
        <v>18</v>
      </c>
      <c r="AX3493" s="1" t="s">
        <v>74</v>
      </c>
      <c r="AY3493" s="1" t="s">
        <v>74</v>
      </c>
      <c r="AZ3493" s="1" t="s">
        <v>74</v>
      </c>
      <c r="BA3493" s="1" t="s">
        <v>74</v>
      </c>
      <c r="BB3493" s="1" t="s">
        <v>74</v>
      </c>
      <c r="BC3493" s="1" t="s">
        <v>74</v>
      </c>
      <c r="BD3493" s="1">
        <v>44784</v>
      </c>
      <c r="BE3493" s="1" t="s">
        <v>55392</v>
      </c>
      <c r="BF3493" s="1" t="str">
        <f>HYPERLINK("http://dx.doi.org/10.1002/app.44784","http://dx.doi.org/10.1002/app.44784")</f>
        <v>http://dx.doi.org/10.1002/app.44784</v>
      </c>
      <c r="BG3493" s="1" t="s">
        <v>74</v>
      </c>
      <c r="BH3493" s="1" t="s">
        <v>74</v>
      </c>
      <c r="BI3493" s="1">
        <v>9</v>
      </c>
      <c r="BJ3493" s="1" t="s">
        <v>24762</v>
      </c>
      <c r="BK3493" s="1" t="s">
        <v>96</v>
      </c>
      <c r="BL3493" s="1" t="s">
        <v>24762</v>
      </c>
      <c r="BM3493" s="1" t="s">
        <v>55393</v>
      </c>
      <c r="BN3493" s="1" t="s">
        <v>74</v>
      </c>
      <c r="BO3493" s="1" t="s">
        <v>74</v>
      </c>
      <c r="BP3493" s="1" t="s">
        <v>74</v>
      </c>
      <c r="BQ3493" s="1" t="s">
        <v>74</v>
      </c>
      <c r="BR3493" s="1" t="s">
        <v>98</v>
      </c>
      <c r="BS3493" s="1" t="s">
        <v>55394</v>
      </c>
      <c r="BT3493" s="1" t="str">
        <f>HYPERLINK("https%3A%2F%2Fwww.webofscience.com%2Fwos%2Fwoscc%2Ffull-record%2FWOS:000395148800017","View Full Record in Web of Science")</f>
        <v>View Full Record in Web of Science</v>
      </c>
      <c r="BU3493" s="1"/>
      <c r="BV3493" s="1"/>
    </row>
    <row r="3494" spans="1:74">
      <c r="A3494" s="1" t="s">
        <v>72</v>
      </c>
      <c r="B3494" s="1" t="s">
        <v>55395</v>
      </c>
      <c r="C3494" s="1" t="s">
        <v>74</v>
      </c>
      <c r="D3494" s="1" t="s">
        <v>74</v>
      </c>
      <c r="E3494" s="1" t="s">
        <v>74</v>
      </c>
      <c r="F3494" s="1" t="s">
        <v>55396</v>
      </c>
      <c r="G3494" s="1" t="s">
        <v>74</v>
      </c>
      <c r="H3494" s="1" t="s">
        <v>74</v>
      </c>
      <c r="I3494" s="1" t="s">
        <v>55397</v>
      </c>
      <c r="J3494" s="1" t="s">
        <v>421</v>
      </c>
      <c r="K3494" s="1" t="s">
        <v>74</v>
      </c>
      <c r="L3494" s="1" t="s">
        <v>74</v>
      </c>
      <c r="M3494" s="1" t="s">
        <v>78</v>
      </c>
      <c r="N3494" s="1" t="s">
        <v>79</v>
      </c>
      <c r="O3494" s="1" t="s">
        <v>74</v>
      </c>
      <c r="P3494" s="1" t="s">
        <v>74</v>
      </c>
      <c r="Q3494" s="1" t="s">
        <v>74</v>
      </c>
      <c r="R3494" s="1" t="s">
        <v>74</v>
      </c>
      <c r="S3494" s="1" t="s">
        <v>74</v>
      </c>
      <c r="T3494" s="1" t="s">
        <v>55398</v>
      </c>
      <c r="U3494" s="1" t="s">
        <v>55399</v>
      </c>
      <c r="V3494" s="1" t="s">
        <v>55400</v>
      </c>
      <c r="W3494" s="1" t="s">
        <v>55401</v>
      </c>
      <c r="X3494" s="1" t="s">
        <v>55402</v>
      </c>
      <c r="Y3494" s="1" t="s">
        <v>55403</v>
      </c>
      <c r="Z3494" s="1" t="s">
        <v>8986</v>
      </c>
      <c r="AA3494" s="1" t="s">
        <v>55404</v>
      </c>
      <c r="AB3494" s="1" t="s">
        <v>55405</v>
      </c>
      <c r="AC3494" s="1" t="s">
        <v>74</v>
      </c>
      <c r="AD3494" s="1" t="s">
        <v>74</v>
      </c>
      <c r="AE3494" s="1" t="s">
        <v>74</v>
      </c>
      <c r="AF3494" s="1" t="s">
        <v>74</v>
      </c>
      <c r="AG3494" s="1">
        <v>24</v>
      </c>
      <c r="AH3494" s="1">
        <v>132</v>
      </c>
      <c r="AI3494" s="1">
        <v>147</v>
      </c>
      <c r="AJ3494" s="1">
        <v>0</v>
      </c>
      <c r="AK3494" s="1">
        <v>45</v>
      </c>
      <c r="AL3494" s="1" t="s">
        <v>430</v>
      </c>
      <c r="AM3494" s="1" t="s">
        <v>137</v>
      </c>
      <c r="AN3494" s="1" t="s">
        <v>431</v>
      </c>
      <c r="AO3494" s="1" t="s">
        <v>432</v>
      </c>
      <c r="AP3494" s="1" t="s">
        <v>1394</v>
      </c>
      <c r="AQ3494" s="1" t="s">
        <v>74</v>
      </c>
      <c r="AR3494" s="1" t="s">
        <v>433</v>
      </c>
      <c r="AS3494" s="1" t="s">
        <v>434</v>
      </c>
      <c r="AT3494" s="1" t="s">
        <v>224</v>
      </c>
      <c r="AU3494" s="1">
        <v>2007</v>
      </c>
      <c r="AV3494" s="1">
        <v>145</v>
      </c>
      <c r="AW3494" s="1">
        <v>3</v>
      </c>
      <c r="AX3494" s="1" t="s">
        <v>74</v>
      </c>
      <c r="AY3494" s="1" t="s">
        <v>74</v>
      </c>
      <c r="AZ3494" s="1" t="s">
        <v>74</v>
      </c>
      <c r="BA3494" s="1" t="s">
        <v>74</v>
      </c>
      <c r="BB3494" s="1">
        <v>766</v>
      </c>
      <c r="BC3494" s="1">
        <v>777</v>
      </c>
      <c r="BD3494" s="1" t="s">
        <v>74</v>
      </c>
      <c r="BE3494" s="1" t="s">
        <v>55406</v>
      </c>
      <c r="BF3494" s="1" t="str">
        <f>HYPERLINK("http://dx.doi.org/10.1016/j.envpol.2006.04.034","http://dx.doi.org/10.1016/j.envpol.2006.04.034")</f>
        <v>http://dx.doi.org/10.1016/j.envpol.2006.04.034</v>
      </c>
      <c r="BG3494" s="1" t="s">
        <v>74</v>
      </c>
      <c r="BH3494" s="1" t="s">
        <v>74</v>
      </c>
      <c r="BI3494" s="1">
        <v>12</v>
      </c>
      <c r="BJ3494" s="1" t="s">
        <v>144</v>
      </c>
      <c r="BK3494" s="1" t="s">
        <v>96</v>
      </c>
      <c r="BL3494" s="1" t="s">
        <v>145</v>
      </c>
      <c r="BM3494" s="1" t="s">
        <v>27908</v>
      </c>
      <c r="BN3494" s="1">
        <v>16828209</v>
      </c>
      <c r="BO3494" s="1" t="s">
        <v>74</v>
      </c>
      <c r="BP3494" s="1" t="s">
        <v>74</v>
      </c>
      <c r="BQ3494" s="1" t="s">
        <v>74</v>
      </c>
      <c r="BR3494" s="1" t="s">
        <v>98</v>
      </c>
      <c r="BS3494" s="1" t="s">
        <v>55407</v>
      </c>
      <c r="BT3494" s="1" t="str">
        <f>HYPERLINK("https%3A%2F%2Fwww.webofscience.com%2Fwos%2Fwoscc%2Ffull-record%2FWOS:000244410800020","View Full Record in Web of Science")</f>
        <v>View Full Record in Web of Science</v>
      </c>
      <c r="BU3494" s="1"/>
      <c r="BV3494" s="1"/>
    </row>
    <row r="3495" spans="1:74">
      <c r="A3495" s="1" t="s">
        <v>72</v>
      </c>
      <c r="B3495" s="1" t="s">
        <v>55408</v>
      </c>
      <c r="C3495" s="1" t="s">
        <v>74</v>
      </c>
      <c r="D3495" s="1" t="s">
        <v>74</v>
      </c>
      <c r="E3495" s="1" t="s">
        <v>74</v>
      </c>
      <c r="F3495" s="1" t="s">
        <v>55409</v>
      </c>
      <c r="G3495" s="1" t="s">
        <v>74</v>
      </c>
      <c r="H3495" s="1" t="s">
        <v>74</v>
      </c>
      <c r="I3495" s="1" t="s">
        <v>55410</v>
      </c>
      <c r="J3495" s="1" t="s">
        <v>25687</v>
      </c>
      <c r="K3495" s="1" t="s">
        <v>74</v>
      </c>
      <c r="L3495" s="1" t="s">
        <v>74</v>
      </c>
      <c r="M3495" s="1" t="s">
        <v>78</v>
      </c>
      <c r="N3495" s="1" t="s">
        <v>151</v>
      </c>
      <c r="O3495" s="1" t="s">
        <v>55411</v>
      </c>
      <c r="P3495" s="1" t="s">
        <v>55412</v>
      </c>
      <c r="Q3495" s="1" t="s">
        <v>55413</v>
      </c>
      <c r="R3495" s="1" t="s">
        <v>74</v>
      </c>
      <c r="S3495" s="1" t="s">
        <v>74</v>
      </c>
      <c r="T3495" s="1" t="s">
        <v>74</v>
      </c>
      <c r="U3495" s="1" t="s">
        <v>55414</v>
      </c>
      <c r="V3495" s="1" t="s">
        <v>55415</v>
      </c>
      <c r="W3495" s="1" t="s">
        <v>55416</v>
      </c>
      <c r="X3495" s="1" t="s">
        <v>55417</v>
      </c>
      <c r="Y3495" s="1" t="s">
        <v>55418</v>
      </c>
      <c r="Z3495" s="1" t="s">
        <v>35935</v>
      </c>
      <c r="AA3495" s="1" t="s">
        <v>5490</v>
      </c>
      <c r="AB3495" s="1" t="s">
        <v>5491</v>
      </c>
      <c r="AC3495" s="1" t="s">
        <v>55419</v>
      </c>
      <c r="AD3495" s="1" t="s">
        <v>55420</v>
      </c>
      <c r="AE3495" s="1" t="s">
        <v>55421</v>
      </c>
      <c r="AF3495" s="1" t="s">
        <v>74</v>
      </c>
      <c r="AG3495" s="1">
        <v>118</v>
      </c>
      <c r="AH3495" s="1">
        <v>128</v>
      </c>
      <c r="AI3495" s="1">
        <v>136</v>
      </c>
      <c r="AJ3495" s="1">
        <v>9</v>
      </c>
      <c r="AK3495" s="1">
        <v>77</v>
      </c>
      <c r="AL3495" s="1" t="s">
        <v>25699</v>
      </c>
      <c r="AM3495" s="1" t="s">
        <v>25700</v>
      </c>
      <c r="AN3495" s="1" t="s">
        <v>25701</v>
      </c>
      <c r="AO3495" s="1" t="s">
        <v>25702</v>
      </c>
      <c r="AP3495" s="1" t="s">
        <v>25703</v>
      </c>
      <c r="AQ3495" s="1" t="s">
        <v>74</v>
      </c>
      <c r="AR3495" s="1" t="s">
        <v>25704</v>
      </c>
      <c r="AS3495" s="1" t="s">
        <v>25705</v>
      </c>
      <c r="AT3495" s="1" t="s">
        <v>305</v>
      </c>
      <c r="AU3495" s="1">
        <v>2018</v>
      </c>
      <c r="AV3495" s="1">
        <v>58</v>
      </c>
      <c r="AW3495" s="1">
        <v>3</v>
      </c>
      <c r="AX3495" s="1" t="s">
        <v>74</v>
      </c>
      <c r="AY3495" s="1" t="s">
        <v>74</v>
      </c>
      <c r="AZ3495" s="1" t="s">
        <v>74</v>
      </c>
      <c r="BA3495" s="1" t="s">
        <v>74</v>
      </c>
      <c r="BB3495" s="1">
        <v>519</v>
      </c>
      <c r="BC3495" s="1">
        <v>531</v>
      </c>
      <c r="BD3495" s="1" t="s">
        <v>74</v>
      </c>
      <c r="BE3495" s="1" t="s">
        <v>55422</v>
      </c>
      <c r="BF3495" s="1" t="str">
        <f>HYPERLINK("http://dx.doi.org/10.1093/icb/icy017","http://dx.doi.org/10.1093/icb/icy017")</f>
        <v>http://dx.doi.org/10.1093/icb/icy017</v>
      </c>
      <c r="BG3495" s="1" t="s">
        <v>74</v>
      </c>
      <c r="BH3495" s="1" t="s">
        <v>74</v>
      </c>
      <c r="BI3495" s="1">
        <v>13</v>
      </c>
      <c r="BJ3495" s="1" t="s">
        <v>2210</v>
      </c>
      <c r="BK3495" s="1" t="s">
        <v>172</v>
      </c>
      <c r="BL3495" s="1" t="s">
        <v>2210</v>
      </c>
      <c r="BM3495" s="1" t="s">
        <v>55423</v>
      </c>
      <c r="BN3495" s="1">
        <v>29701785</v>
      </c>
      <c r="BO3495" s="1" t="s">
        <v>370</v>
      </c>
      <c r="BP3495" s="1" t="s">
        <v>74</v>
      </c>
      <c r="BQ3495" s="1" t="s">
        <v>74</v>
      </c>
      <c r="BR3495" s="1" t="s">
        <v>98</v>
      </c>
      <c r="BS3495" s="1" t="s">
        <v>55424</v>
      </c>
      <c r="BT3495" s="1" t="str">
        <f>HYPERLINK("https%3A%2F%2Fwww.webofscience.com%2Fwos%2Fwoscc%2Ffull-record%2FWOS:000451996200015","View Full Record in Web of Science")</f>
        <v>View Full Record in Web of Science</v>
      </c>
      <c r="BU3495" s="1"/>
      <c r="BV3495" s="1"/>
    </row>
    <row r="3496" spans="1:74">
      <c r="A3496" s="1" t="s">
        <v>72</v>
      </c>
      <c r="B3496" s="1" t="s">
        <v>55425</v>
      </c>
      <c r="C3496" s="1" t="s">
        <v>74</v>
      </c>
      <c r="D3496" s="1" t="s">
        <v>74</v>
      </c>
      <c r="E3496" s="1" t="s">
        <v>74</v>
      </c>
      <c r="F3496" s="1" t="s">
        <v>55426</v>
      </c>
      <c r="G3496" s="1" t="s">
        <v>74</v>
      </c>
      <c r="H3496" s="1" t="s">
        <v>74</v>
      </c>
      <c r="I3496" s="1" t="s">
        <v>55427</v>
      </c>
      <c r="J3496" s="1" t="s">
        <v>12129</v>
      </c>
      <c r="K3496" s="1" t="s">
        <v>74</v>
      </c>
      <c r="L3496" s="1" t="s">
        <v>74</v>
      </c>
      <c r="M3496" s="1" t="s">
        <v>78</v>
      </c>
      <c r="N3496" s="1" t="s">
        <v>79</v>
      </c>
      <c r="O3496" s="1" t="s">
        <v>74</v>
      </c>
      <c r="P3496" s="1" t="s">
        <v>74</v>
      </c>
      <c r="Q3496" s="1" t="s">
        <v>74</v>
      </c>
      <c r="R3496" s="1" t="s">
        <v>74</v>
      </c>
      <c r="S3496" s="1" t="s">
        <v>74</v>
      </c>
      <c r="T3496" s="1" t="s">
        <v>55428</v>
      </c>
      <c r="U3496" s="1" t="s">
        <v>55429</v>
      </c>
      <c r="V3496" s="1" t="s">
        <v>55430</v>
      </c>
      <c r="W3496" s="1" t="s">
        <v>55431</v>
      </c>
      <c r="X3496" s="1" t="s">
        <v>55432</v>
      </c>
      <c r="Y3496" s="1" t="s">
        <v>55433</v>
      </c>
      <c r="Z3496" s="1" t="s">
        <v>55434</v>
      </c>
      <c r="AA3496" s="1" t="s">
        <v>55435</v>
      </c>
      <c r="AB3496" s="1" t="s">
        <v>74</v>
      </c>
      <c r="AC3496" s="1" t="s">
        <v>55436</v>
      </c>
      <c r="AD3496" s="1" t="s">
        <v>55437</v>
      </c>
      <c r="AE3496" s="1" t="s">
        <v>55438</v>
      </c>
      <c r="AF3496" s="1" t="s">
        <v>74</v>
      </c>
      <c r="AG3496" s="1">
        <v>18</v>
      </c>
      <c r="AH3496" s="1">
        <v>0</v>
      </c>
      <c r="AI3496" s="1">
        <v>0</v>
      </c>
      <c r="AJ3496" s="1">
        <v>0</v>
      </c>
      <c r="AK3496" s="1">
        <v>1</v>
      </c>
      <c r="AL3496" s="1" t="s">
        <v>1433</v>
      </c>
      <c r="AM3496" s="1" t="s">
        <v>1434</v>
      </c>
      <c r="AN3496" s="1" t="s">
        <v>1435</v>
      </c>
      <c r="AO3496" s="1" t="s">
        <v>1436</v>
      </c>
      <c r="AP3496" s="1" t="s">
        <v>12141</v>
      </c>
      <c r="AQ3496" s="1" t="s">
        <v>74</v>
      </c>
      <c r="AR3496" s="1" t="s">
        <v>12142</v>
      </c>
      <c r="AS3496" s="1" t="s">
        <v>12143</v>
      </c>
      <c r="AT3496" s="1" t="s">
        <v>119</v>
      </c>
      <c r="AU3496" s="1">
        <v>2017</v>
      </c>
      <c r="AV3496" s="1">
        <v>46</v>
      </c>
      <c r="AW3496" s="1">
        <v>8</v>
      </c>
      <c r="AX3496" s="1" t="s">
        <v>74</v>
      </c>
      <c r="AY3496" s="1" t="s">
        <v>74</v>
      </c>
      <c r="AZ3496" s="1" t="s">
        <v>74</v>
      </c>
      <c r="BA3496" s="1" t="s">
        <v>74</v>
      </c>
      <c r="BB3496" s="1">
        <v>1607</v>
      </c>
      <c r="BC3496" s="1">
        <v>1613</v>
      </c>
      <c r="BD3496" s="1" t="s">
        <v>74</v>
      </c>
      <c r="BE3496" s="1" t="s">
        <v>74</v>
      </c>
      <c r="BF3496" s="1" t="s">
        <v>74</v>
      </c>
      <c r="BG3496" s="1" t="s">
        <v>74</v>
      </c>
      <c r="BH3496" s="1" t="s">
        <v>74</v>
      </c>
      <c r="BI3496" s="1">
        <v>7</v>
      </c>
      <c r="BJ3496" s="1" t="s">
        <v>1439</v>
      </c>
      <c r="BK3496" s="1" t="s">
        <v>96</v>
      </c>
      <c r="BL3496" s="1" t="s">
        <v>1439</v>
      </c>
      <c r="BM3496" s="1" t="s">
        <v>55439</v>
      </c>
      <c r="BN3496" s="1" t="s">
        <v>74</v>
      </c>
      <c r="BO3496" s="1" t="s">
        <v>74</v>
      </c>
      <c r="BP3496" s="1" t="s">
        <v>74</v>
      </c>
      <c r="BQ3496" s="1" t="s">
        <v>74</v>
      </c>
      <c r="BR3496" s="1" t="s">
        <v>98</v>
      </c>
      <c r="BS3496" s="1" t="s">
        <v>55440</v>
      </c>
      <c r="BT3496" s="1" t="str">
        <f>HYPERLINK("https%3A%2F%2Fwww.webofscience.com%2Fwos%2Fwoscc%2Ffull-record%2FWOS:000409398000011","View Full Record in Web of Science")</f>
        <v>View Full Record in Web of Science</v>
      </c>
      <c r="BU3496" s="1"/>
      <c r="BV3496" s="1"/>
    </row>
    <row r="3497" spans="1:74">
      <c r="A3497" s="1" t="s">
        <v>72</v>
      </c>
      <c r="B3497" s="1" t="s">
        <v>55441</v>
      </c>
      <c r="C3497" s="1" t="s">
        <v>74</v>
      </c>
      <c r="D3497" s="1" t="s">
        <v>74</v>
      </c>
      <c r="E3497" s="1" t="s">
        <v>74</v>
      </c>
      <c r="F3497" s="1" t="s">
        <v>55442</v>
      </c>
      <c r="G3497" s="1" t="s">
        <v>74</v>
      </c>
      <c r="H3497" s="1" t="s">
        <v>74</v>
      </c>
      <c r="I3497" s="1" t="s">
        <v>55443</v>
      </c>
      <c r="J3497" s="1" t="s">
        <v>958</v>
      </c>
      <c r="K3497" s="1" t="s">
        <v>74</v>
      </c>
      <c r="L3497" s="1" t="s">
        <v>74</v>
      </c>
      <c r="M3497" s="1" t="s">
        <v>78</v>
      </c>
      <c r="N3497" s="1" t="s">
        <v>79</v>
      </c>
      <c r="O3497" s="1" t="s">
        <v>74</v>
      </c>
      <c r="P3497" s="1" t="s">
        <v>74</v>
      </c>
      <c r="Q3497" s="1" t="s">
        <v>74</v>
      </c>
      <c r="R3497" s="1" t="s">
        <v>74</v>
      </c>
      <c r="S3497" s="1" t="s">
        <v>74</v>
      </c>
      <c r="T3497" s="1" t="s">
        <v>55444</v>
      </c>
      <c r="U3497" s="1" t="s">
        <v>55445</v>
      </c>
      <c r="V3497" s="1" t="s">
        <v>55446</v>
      </c>
      <c r="W3497" s="1" t="s">
        <v>55447</v>
      </c>
      <c r="X3497" s="1" t="s">
        <v>55448</v>
      </c>
      <c r="Y3497" s="1" t="s">
        <v>55449</v>
      </c>
      <c r="Z3497" s="1" t="s">
        <v>55450</v>
      </c>
      <c r="AA3497" s="1" t="s">
        <v>55451</v>
      </c>
      <c r="AB3497" s="1" t="s">
        <v>55452</v>
      </c>
      <c r="AC3497" s="1" t="s">
        <v>74</v>
      </c>
      <c r="AD3497" s="1" t="s">
        <v>74</v>
      </c>
      <c r="AE3497" s="1" t="s">
        <v>74</v>
      </c>
      <c r="AF3497" s="1" t="s">
        <v>74</v>
      </c>
      <c r="AG3497" s="1">
        <v>60</v>
      </c>
      <c r="AH3497" s="1">
        <v>0</v>
      </c>
      <c r="AI3497" s="1">
        <v>0</v>
      </c>
      <c r="AJ3497" s="1">
        <v>1</v>
      </c>
      <c r="AK3497" s="1">
        <v>11</v>
      </c>
      <c r="AL3497" s="1" t="s">
        <v>4153</v>
      </c>
      <c r="AM3497" s="1" t="s">
        <v>4154</v>
      </c>
      <c r="AN3497" s="1" t="s">
        <v>4155</v>
      </c>
      <c r="AO3497" s="1" t="s">
        <v>967</v>
      </c>
      <c r="AP3497" s="1" t="s">
        <v>74</v>
      </c>
      <c r="AQ3497" s="1" t="s">
        <v>74</v>
      </c>
      <c r="AR3497" s="1" t="s">
        <v>969</v>
      </c>
      <c r="AS3497" s="1" t="s">
        <v>970</v>
      </c>
      <c r="AT3497" s="1" t="s">
        <v>1223</v>
      </c>
      <c r="AU3497" s="1">
        <v>2012</v>
      </c>
      <c r="AV3497" s="1">
        <v>27</v>
      </c>
      <c r="AW3497" s="1">
        <v>3</v>
      </c>
      <c r="AX3497" s="1" t="s">
        <v>74</v>
      </c>
      <c r="AY3497" s="1" t="s">
        <v>74</v>
      </c>
      <c r="AZ3497" s="1" t="s">
        <v>74</v>
      </c>
      <c r="BA3497" s="1" t="s">
        <v>74</v>
      </c>
      <c r="BB3497" s="1">
        <v>146</v>
      </c>
      <c r="BC3497" s="1">
        <v>154</v>
      </c>
      <c r="BD3497" s="1" t="s">
        <v>74</v>
      </c>
      <c r="BE3497" s="1" t="s">
        <v>55453</v>
      </c>
      <c r="BF3497" s="1" t="str">
        <f>HYPERLINK("http://dx.doi.org/10.1002/tox.20625","http://dx.doi.org/10.1002/tox.20625")</f>
        <v>http://dx.doi.org/10.1002/tox.20625</v>
      </c>
      <c r="BG3497" s="1" t="s">
        <v>74</v>
      </c>
      <c r="BH3497" s="1" t="s">
        <v>74</v>
      </c>
      <c r="BI3497" s="1">
        <v>9</v>
      </c>
      <c r="BJ3497" s="1" t="s">
        <v>972</v>
      </c>
      <c r="BK3497" s="1" t="s">
        <v>96</v>
      </c>
      <c r="BL3497" s="1" t="s">
        <v>973</v>
      </c>
      <c r="BM3497" s="1" t="s">
        <v>55454</v>
      </c>
      <c r="BN3497" s="1">
        <v>20549646</v>
      </c>
      <c r="BO3497" s="1" t="s">
        <v>74</v>
      </c>
      <c r="BP3497" s="1" t="s">
        <v>74</v>
      </c>
      <c r="BQ3497" s="1" t="s">
        <v>74</v>
      </c>
      <c r="BR3497" s="1" t="s">
        <v>98</v>
      </c>
      <c r="BS3497" s="1" t="s">
        <v>55455</v>
      </c>
      <c r="BT3497" s="1" t="str">
        <f>HYPERLINK("https%3A%2F%2Fwww.webofscience.com%2Fwos%2Fwoscc%2Ffull-record%2FWOS:000300429400003","View Full Record in Web of Science")</f>
        <v>View Full Record in Web of Science</v>
      </c>
      <c r="BU3497" s="1"/>
      <c r="BV3497" s="1"/>
    </row>
    <row r="3498" spans="1:74">
      <c r="A3498" s="1" t="s">
        <v>72</v>
      </c>
      <c r="B3498" s="1" t="s">
        <v>55456</v>
      </c>
      <c r="C3498" s="1" t="s">
        <v>74</v>
      </c>
      <c r="D3498" s="1" t="s">
        <v>74</v>
      </c>
      <c r="E3498" s="1" t="s">
        <v>74</v>
      </c>
      <c r="F3498" s="1" t="s">
        <v>55457</v>
      </c>
      <c r="G3498" s="1" t="s">
        <v>74</v>
      </c>
      <c r="H3498" s="1" t="s">
        <v>74</v>
      </c>
      <c r="I3498" s="1" t="s">
        <v>55458</v>
      </c>
      <c r="J3498" s="1" t="s">
        <v>204</v>
      </c>
      <c r="K3498" s="1" t="s">
        <v>74</v>
      </c>
      <c r="L3498" s="1" t="s">
        <v>74</v>
      </c>
      <c r="M3498" s="1" t="s">
        <v>78</v>
      </c>
      <c r="N3498" s="1" t="s">
        <v>79</v>
      </c>
      <c r="O3498" s="1" t="s">
        <v>74</v>
      </c>
      <c r="P3498" s="1" t="s">
        <v>74</v>
      </c>
      <c r="Q3498" s="1" t="s">
        <v>74</v>
      </c>
      <c r="R3498" s="1" t="s">
        <v>74</v>
      </c>
      <c r="S3498" s="1" t="s">
        <v>74</v>
      </c>
      <c r="T3498" s="1" t="s">
        <v>55459</v>
      </c>
      <c r="U3498" s="1" t="s">
        <v>55460</v>
      </c>
      <c r="V3498" s="1" t="s">
        <v>55461</v>
      </c>
      <c r="W3498" s="1" t="s">
        <v>55462</v>
      </c>
      <c r="X3498" s="1" t="s">
        <v>55463</v>
      </c>
      <c r="Y3498" s="1" t="s">
        <v>55464</v>
      </c>
      <c r="Z3498" s="1" t="s">
        <v>55465</v>
      </c>
      <c r="AA3498" s="1" t="s">
        <v>74</v>
      </c>
      <c r="AB3498" s="1" t="s">
        <v>74</v>
      </c>
      <c r="AC3498" s="1" t="s">
        <v>55466</v>
      </c>
      <c r="AD3498" s="1" t="s">
        <v>55467</v>
      </c>
      <c r="AE3498" s="1" t="s">
        <v>55468</v>
      </c>
      <c r="AF3498" s="1" t="s">
        <v>74</v>
      </c>
      <c r="AG3498" s="1">
        <v>46</v>
      </c>
      <c r="AH3498" s="1">
        <v>15</v>
      </c>
      <c r="AI3498" s="1">
        <v>15</v>
      </c>
      <c r="AJ3498" s="1">
        <v>1</v>
      </c>
      <c r="AK3498" s="1">
        <v>31</v>
      </c>
      <c r="AL3498" s="1" t="s">
        <v>217</v>
      </c>
      <c r="AM3498" s="1" t="s">
        <v>218</v>
      </c>
      <c r="AN3498" s="1" t="s">
        <v>219</v>
      </c>
      <c r="AO3498" s="1" t="s">
        <v>220</v>
      </c>
      <c r="AP3498" s="1" t="s">
        <v>221</v>
      </c>
      <c r="AQ3498" s="1" t="s">
        <v>74</v>
      </c>
      <c r="AR3498" s="1" t="s">
        <v>222</v>
      </c>
      <c r="AS3498" s="1" t="s">
        <v>223</v>
      </c>
      <c r="AT3498" s="1" t="s">
        <v>1470</v>
      </c>
      <c r="AU3498" s="1">
        <v>2017</v>
      </c>
      <c r="AV3498" s="1">
        <v>24</v>
      </c>
      <c r="AW3498" s="1">
        <v>1</v>
      </c>
      <c r="AX3498" s="1" t="s">
        <v>74</v>
      </c>
      <c r="AY3498" s="1" t="s">
        <v>74</v>
      </c>
      <c r="AZ3498" s="1" t="s">
        <v>74</v>
      </c>
      <c r="BA3498" s="1" t="s">
        <v>74</v>
      </c>
      <c r="BB3498" s="1">
        <v>616</v>
      </c>
      <c r="BC3498" s="1">
        <v>627</v>
      </c>
      <c r="BD3498" s="1" t="s">
        <v>74</v>
      </c>
      <c r="BE3498" s="1" t="s">
        <v>55469</v>
      </c>
      <c r="BF3498" s="1" t="str">
        <f>HYPERLINK("http://dx.doi.org/10.1007/s11356-016-7594-0","http://dx.doi.org/10.1007/s11356-016-7594-0")</f>
        <v>http://dx.doi.org/10.1007/s11356-016-7594-0</v>
      </c>
      <c r="BG3498" s="1" t="s">
        <v>74</v>
      </c>
      <c r="BH3498" s="1" t="s">
        <v>74</v>
      </c>
      <c r="BI3498" s="1">
        <v>12</v>
      </c>
      <c r="BJ3498" s="1" t="s">
        <v>144</v>
      </c>
      <c r="BK3498" s="1" t="s">
        <v>96</v>
      </c>
      <c r="BL3498" s="1" t="s">
        <v>145</v>
      </c>
      <c r="BM3498" s="1" t="s">
        <v>10696</v>
      </c>
      <c r="BN3498" s="1">
        <v>27743327</v>
      </c>
      <c r="BO3498" s="1" t="s">
        <v>74</v>
      </c>
      <c r="BP3498" s="1" t="s">
        <v>74</v>
      </c>
      <c r="BQ3498" s="1" t="s">
        <v>74</v>
      </c>
      <c r="BR3498" s="1" t="s">
        <v>98</v>
      </c>
      <c r="BS3498" s="1" t="s">
        <v>55470</v>
      </c>
      <c r="BT3498" s="1" t="str">
        <f>HYPERLINK("https%3A%2F%2Fwww.webofscience.com%2Fwos%2Fwoscc%2Ffull-record%2FWOS:000392105700059","View Full Record in Web of Science")</f>
        <v>View Full Record in Web of Science</v>
      </c>
      <c r="BU3498" s="1"/>
      <c r="BV3498" s="1"/>
    </row>
    <row r="3499" spans="1:74">
      <c r="A3499" s="1" t="s">
        <v>72</v>
      </c>
      <c r="B3499" s="1" t="s">
        <v>55471</v>
      </c>
      <c r="C3499" s="1" t="s">
        <v>74</v>
      </c>
      <c r="D3499" s="1" t="s">
        <v>74</v>
      </c>
      <c r="E3499" s="1" t="s">
        <v>74</v>
      </c>
      <c r="F3499" s="1" t="s">
        <v>55472</v>
      </c>
      <c r="G3499" s="1" t="s">
        <v>74</v>
      </c>
      <c r="H3499" s="1" t="s">
        <v>74</v>
      </c>
      <c r="I3499" s="1" t="s">
        <v>55473</v>
      </c>
      <c r="J3499" s="1" t="s">
        <v>232</v>
      </c>
      <c r="K3499" s="1" t="s">
        <v>74</v>
      </c>
      <c r="L3499" s="1" t="s">
        <v>74</v>
      </c>
      <c r="M3499" s="1" t="s">
        <v>78</v>
      </c>
      <c r="N3499" s="1" t="s">
        <v>79</v>
      </c>
      <c r="O3499" s="1" t="s">
        <v>74</v>
      </c>
      <c r="P3499" s="1" t="s">
        <v>74</v>
      </c>
      <c r="Q3499" s="1" t="s">
        <v>74</v>
      </c>
      <c r="R3499" s="1" t="s">
        <v>74</v>
      </c>
      <c r="S3499" s="1" t="s">
        <v>74</v>
      </c>
      <c r="T3499" s="1" t="s">
        <v>55474</v>
      </c>
      <c r="U3499" s="1" t="s">
        <v>55475</v>
      </c>
      <c r="V3499" s="1" t="s">
        <v>55476</v>
      </c>
      <c r="W3499" s="1" t="s">
        <v>55477</v>
      </c>
      <c r="X3499" s="1" t="s">
        <v>55478</v>
      </c>
      <c r="Y3499" s="1" t="s">
        <v>55479</v>
      </c>
      <c r="Z3499" s="1" t="s">
        <v>55480</v>
      </c>
      <c r="AA3499" s="1" t="s">
        <v>55481</v>
      </c>
      <c r="AB3499" s="1" t="s">
        <v>74</v>
      </c>
      <c r="AC3499" s="1" t="s">
        <v>74</v>
      </c>
      <c r="AD3499" s="1" t="s">
        <v>74</v>
      </c>
      <c r="AE3499" s="1" t="s">
        <v>74</v>
      </c>
      <c r="AF3499" s="1" t="s">
        <v>74</v>
      </c>
      <c r="AG3499" s="1">
        <v>69</v>
      </c>
      <c r="AH3499" s="1">
        <v>1</v>
      </c>
      <c r="AI3499" s="1">
        <v>1</v>
      </c>
      <c r="AJ3499" s="1">
        <v>7</v>
      </c>
      <c r="AK3499" s="1">
        <v>10</v>
      </c>
      <c r="AL3499" s="1" t="s">
        <v>136</v>
      </c>
      <c r="AM3499" s="1" t="s">
        <v>137</v>
      </c>
      <c r="AN3499" s="1" t="s">
        <v>138</v>
      </c>
      <c r="AO3499" s="1" t="s">
        <v>240</v>
      </c>
      <c r="AP3499" s="1" t="s">
        <v>241</v>
      </c>
      <c r="AQ3499" s="1" t="s">
        <v>74</v>
      </c>
      <c r="AR3499" s="1" t="s">
        <v>242</v>
      </c>
      <c r="AS3499" s="1" t="s">
        <v>243</v>
      </c>
      <c r="AT3499" s="1" t="s">
        <v>951</v>
      </c>
      <c r="AU3499" s="1">
        <v>2023</v>
      </c>
      <c r="AV3499" s="1">
        <v>196</v>
      </c>
      <c r="AW3499" s="1" t="s">
        <v>74</v>
      </c>
      <c r="AX3499" s="1" t="s">
        <v>74</v>
      </c>
      <c r="AY3499" s="1" t="s">
        <v>74</v>
      </c>
      <c r="AZ3499" s="1" t="s">
        <v>74</v>
      </c>
      <c r="BA3499" s="1" t="s">
        <v>74</v>
      </c>
      <c r="BB3499" s="1" t="s">
        <v>74</v>
      </c>
      <c r="BC3499" s="1" t="s">
        <v>74</v>
      </c>
      <c r="BD3499" s="1">
        <v>115638</v>
      </c>
      <c r="BE3499" s="1" t="s">
        <v>55482</v>
      </c>
      <c r="BF3499" s="1" t="str">
        <f>HYPERLINK("http://dx.doi.org/10.1016/j.marpolbul.2023.115638","http://dx.doi.org/10.1016/j.marpolbul.2023.115638")</f>
        <v>http://dx.doi.org/10.1016/j.marpolbul.2023.115638</v>
      </c>
      <c r="BG3499" s="1" t="s">
        <v>74</v>
      </c>
      <c r="BH3499" s="1" t="s">
        <v>26143</v>
      </c>
      <c r="BI3499" s="1">
        <v>11</v>
      </c>
      <c r="BJ3499" s="1" t="s">
        <v>247</v>
      </c>
      <c r="BK3499" s="1" t="s">
        <v>96</v>
      </c>
      <c r="BL3499" s="1" t="s">
        <v>248</v>
      </c>
      <c r="BM3499" s="1" t="s">
        <v>55483</v>
      </c>
      <c r="BN3499" s="1">
        <v>37839132</v>
      </c>
      <c r="BO3499" s="1" t="s">
        <v>74</v>
      </c>
      <c r="BP3499" s="1" t="s">
        <v>74</v>
      </c>
      <c r="BQ3499" s="1" t="s">
        <v>74</v>
      </c>
      <c r="BR3499" s="1" t="s">
        <v>98</v>
      </c>
      <c r="BS3499" s="1" t="s">
        <v>55484</v>
      </c>
      <c r="BT3499" s="1" t="str">
        <f>HYPERLINK("https%3A%2F%2Fwww.webofscience.com%2Fwos%2Fwoscc%2Ffull-record%2FWOS:001104271000001","View Full Record in Web of Science")</f>
        <v>View Full Record in Web of Science</v>
      </c>
      <c r="BU3499" s="1"/>
      <c r="BV3499" s="1"/>
    </row>
    <row r="3500" spans="1:74">
      <c r="A3500" s="1" t="s">
        <v>72</v>
      </c>
      <c r="B3500" s="1" t="s">
        <v>55485</v>
      </c>
      <c r="C3500" s="1" t="s">
        <v>74</v>
      </c>
      <c r="D3500" s="1" t="s">
        <v>74</v>
      </c>
      <c r="E3500" s="1" t="s">
        <v>74</v>
      </c>
      <c r="F3500" s="1" t="s">
        <v>55486</v>
      </c>
      <c r="G3500" s="1" t="s">
        <v>74</v>
      </c>
      <c r="H3500" s="1" t="s">
        <v>74</v>
      </c>
      <c r="I3500" s="1" t="s">
        <v>55487</v>
      </c>
      <c r="J3500" s="1" t="s">
        <v>16746</v>
      </c>
      <c r="K3500" s="1" t="s">
        <v>74</v>
      </c>
      <c r="L3500" s="1" t="s">
        <v>74</v>
      </c>
      <c r="M3500" s="1" t="s">
        <v>78</v>
      </c>
      <c r="N3500" s="1" t="s">
        <v>79</v>
      </c>
      <c r="O3500" s="1" t="s">
        <v>74</v>
      </c>
      <c r="P3500" s="1" t="s">
        <v>74</v>
      </c>
      <c r="Q3500" s="1" t="s">
        <v>74</v>
      </c>
      <c r="R3500" s="1" t="s">
        <v>74</v>
      </c>
      <c r="S3500" s="1" t="s">
        <v>74</v>
      </c>
      <c r="T3500" s="1" t="s">
        <v>55488</v>
      </c>
      <c r="U3500" s="1" t="s">
        <v>55489</v>
      </c>
      <c r="V3500" s="1" t="s">
        <v>55490</v>
      </c>
      <c r="W3500" s="1" t="s">
        <v>55491</v>
      </c>
      <c r="X3500" s="1" t="s">
        <v>52618</v>
      </c>
      <c r="Y3500" s="1" t="s">
        <v>55492</v>
      </c>
      <c r="Z3500" s="1" t="s">
        <v>55493</v>
      </c>
      <c r="AA3500" s="1" t="s">
        <v>25851</v>
      </c>
      <c r="AB3500" s="1" t="s">
        <v>74</v>
      </c>
      <c r="AC3500" s="1" t="s">
        <v>55494</v>
      </c>
      <c r="AD3500" s="1" t="s">
        <v>55494</v>
      </c>
      <c r="AE3500" s="1" t="s">
        <v>55495</v>
      </c>
      <c r="AF3500" s="1" t="s">
        <v>74</v>
      </c>
      <c r="AG3500" s="1">
        <v>35</v>
      </c>
      <c r="AH3500" s="1">
        <v>1</v>
      </c>
      <c r="AI3500" s="1">
        <v>2</v>
      </c>
      <c r="AJ3500" s="1">
        <v>1</v>
      </c>
      <c r="AK3500" s="1">
        <v>3</v>
      </c>
      <c r="AL3500" s="1" t="s">
        <v>16746</v>
      </c>
      <c r="AM3500" s="1" t="s">
        <v>16754</v>
      </c>
      <c r="AN3500" s="1" t="s">
        <v>16755</v>
      </c>
      <c r="AO3500" s="1" t="s">
        <v>16756</v>
      </c>
      <c r="AP3500" s="1" t="s">
        <v>16757</v>
      </c>
      <c r="AQ3500" s="1" t="s">
        <v>74</v>
      </c>
      <c r="AR3500" s="1" t="s">
        <v>16758</v>
      </c>
      <c r="AS3500" s="1" t="s">
        <v>16759</v>
      </c>
      <c r="AT3500" s="1" t="s">
        <v>74</v>
      </c>
      <c r="AU3500" s="1">
        <v>2018</v>
      </c>
      <c r="AV3500" s="1">
        <v>59</v>
      </c>
      <c r="AW3500" s="1">
        <v>3</v>
      </c>
      <c r="AX3500" s="1" t="s">
        <v>74</v>
      </c>
      <c r="AY3500" s="1" t="s">
        <v>74</v>
      </c>
      <c r="AZ3500" s="1" t="s">
        <v>74</v>
      </c>
      <c r="BA3500" s="1" t="s">
        <v>74</v>
      </c>
      <c r="BB3500" s="1">
        <v>283</v>
      </c>
      <c r="BC3500" s="1">
        <v>294</v>
      </c>
      <c r="BD3500" s="1" t="s">
        <v>74</v>
      </c>
      <c r="BE3500" s="1" t="s">
        <v>55496</v>
      </c>
      <c r="BF3500" s="1" t="str">
        <f>HYPERLINK("http://dx.doi.org/10.21411/CBM.A.2CCA63E8","http://dx.doi.org/10.21411/CBM.A.2CCA63E8")</f>
        <v>http://dx.doi.org/10.21411/CBM.A.2CCA63E8</v>
      </c>
      <c r="BG3500" s="1" t="s">
        <v>74</v>
      </c>
      <c r="BH3500" s="1" t="s">
        <v>74</v>
      </c>
      <c r="BI3500" s="1">
        <v>12</v>
      </c>
      <c r="BJ3500" s="1" t="s">
        <v>680</v>
      </c>
      <c r="BK3500" s="1" t="s">
        <v>96</v>
      </c>
      <c r="BL3500" s="1" t="s">
        <v>680</v>
      </c>
      <c r="BM3500" s="1" t="s">
        <v>55497</v>
      </c>
      <c r="BN3500" s="1" t="s">
        <v>74</v>
      </c>
      <c r="BO3500" s="1" t="s">
        <v>74</v>
      </c>
      <c r="BP3500" s="1" t="s">
        <v>74</v>
      </c>
      <c r="BQ3500" s="1" t="s">
        <v>74</v>
      </c>
      <c r="BR3500" s="1" t="s">
        <v>98</v>
      </c>
      <c r="BS3500" s="1" t="s">
        <v>55498</v>
      </c>
      <c r="BT3500" s="1" t="str">
        <f>HYPERLINK("https%3A%2F%2Fwww.webofscience.com%2Fwos%2Fwoscc%2Ffull-record%2FWOS:000438700700009","View Full Record in Web of Science")</f>
        <v>View Full Record in Web of Science</v>
      </c>
      <c r="BU3500" s="1"/>
      <c r="BV3500" s="1"/>
    </row>
    <row r="3501" spans="1:74">
      <c r="A3501" s="1" t="s">
        <v>72</v>
      </c>
      <c r="B3501" s="1" t="s">
        <v>55499</v>
      </c>
      <c r="C3501" s="1" t="s">
        <v>74</v>
      </c>
      <c r="D3501" s="1" t="s">
        <v>74</v>
      </c>
      <c r="E3501" s="1" t="s">
        <v>74</v>
      </c>
      <c r="F3501" s="1" t="s">
        <v>55500</v>
      </c>
      <c r="G3501" s="1" t="s">
        <v>74</v>
      </c>
      <c r="H3501" s="1" t="s">
        <v>74</v>
      </c>
      <c r="I3501" s="1" t="s">
        <v>55501</v>
      </c>
      <c r="J3501" s="1" t="s">
        <v>4687</v>
      </c>
      <c r="K3501" s="1" t="s">
        <v>74</v>
      </c>
      <c r="L3501" s="1" t="s">
        <v>74</v>
      </c>
      <c r="M3501" s="1" t="s">
        <v>78</v>
      </c>
      <c r="N3501" s="1" t="s">
        <v>79</v>
      </c>
      <c r="O3501" s="1" t="s">
        <v>74</v>
      </c>
      <c r="P3501" s="1" t="s">
        <v>74</v>
      </c>
      <c r="Q3501" s="1" t="s">
        <v>74</v>
      </c>
      <c r="R3501" s="1" t="s">
        <v>74</v>
      </c>
      <c r="S3501" s="1" t="s">
        <v>74</v>
      </c>
      <c r="T3501" s="1" t="s">
        <v>55502</v>
      </c>
      <c r="U3501" s="1" t="s">
        <v>55503</v>
      </c>
      <c r="V3501" s="1" t="s">
        <v>55504</v>
      </c>
      <c r="W3501" s="1" t="s">
        <v>55505</v>
      </c>
      <c r="X3501" s="1" t="s">
        <v>55506</v>
      </c>
      <c r="Y3501" s="1" t="s">
        <v>55507</v>
      </c>
      <c r="Z3501" s="1" t="s">
        <v>55508</v>
      </c>
      <c r="AA3501" s="1" t="s">
        <v>55509</v>
      </c>
      <c r="AB3501" s="1" t="s">
        <v>55510</v>
      </c>
      <c r="AC3501" s="1" t="s">
        <v>55511</v>
      </c>
      <c r="AD3501" s="1" t="s">
        <v>55511</v>
      </c>
      <c r="AE3501" s="1" t="s">
        <v>55512</v>
      </c>
      <c r="AF3501" s="1" t="s">
        <v>74</v>
      </c>
      <c r="AG3501" s="1">
        <v>59</v>
      </c>
      <c r="AH3501" s="1">
        <v>11</v>
      </c>
      <c r="AI3501" s="1">
        <v>12</v>
      </c>
      <c r="AJ3501" s="1">
        <v>0</v>
      </c>
      <c r="AK3501" s="1">
        <v>5</v>
      </c>
      <c r="AL3501" s="1" t="s">
        <v>650</v>
      </c>
      <c r="AM3501" s="1" t="s">
        <v>651</v>
      </c>
      <c r="AN3501" s="1" t="s">
        <v>652</v>
      </c>
      <c r="AO3501" s="1" t="s">
        <v>4697</v>
      </c>
      <c r="AP3501" s="1" t="s">
        <v>74</v>
      </c>
      <c r="AQ3501" s="1" t="s">
        <v>74</v>
      </c>
      <c r="AR3501" s="1" t="s">
        <v>4698</v>
      </c>
      <c r="AS3501" s="1" t="s">
        <v>4699</v>
      </c>
      <c r="AT3501" s="1" t="s">
        <v>119</v>
      </c>
      <c r="AU3501" s="1">
        <v>2020</v>
      </c>
      <c r="AV3501" s="1">
        <v>19</v>
      </c>
      <c r="AW3501" s="1" t="s">
        <v>74</v>
      </c>
      <c r="AX3501" s="1" t="s">
        <v>74</v>
      </c>
      <c r="AY3501" s="1" t="s">
        <v>74</v>
      </c>
      <c r="AZ3501" s="1" t="s">
        <v>74</v>
      </c>
      <c r="BA3501" s="1" t="s">
        <v>74</v>
      </c>
      <c r="BB3501" s="1" t="s">
        <v>74</v>
      </c>
      <c r="BC3501" s="1" t="s">
        <v>74</v>
      </c>
      <c r="BD3501" s="1">
        <v>101041</v>
      </c>
      <c r="BE3501" s="1" t="s">
        <v>55513</v>
      </c>
      <c r="BF3501" s="1" t="str">
        <f>HYPERLINK("http://dx.doi.org/10.1016/j.eti.2020.101041","http://dx.doi.org/10.1016/j.eti.2020.101041")</f>
        <v>http://dx.doi.org/10.1016/j.eti.2020.101041</v>
      </c>
      <c r="BG3501" s="1" t="s">
        <v>74</v>
      </c>
      <c r="BH3501" s="1" t="s">
        <v>74</v>
      </c>
      <c r="BI3501" s="1">
        <v>11</v>
      </c>
      <c r="BJ3501" s="1" t="s">
        <v>4702</v>
      </c>
      <c r="BK3501" s="1" t="s">
        <v>96</v>
      </c>
      <c r="BL3501" s="1" t="s">
        <v>4703</v>
      </c>
      <c r="BM3501" s="1" t="s">
        <v>55514</v>
      </c>
      <c r="BN3501" s="1" t="s">
        <v>74</v>
      </c>
      <c r="BO3501" s="1" t="s">
        <v>74</v>
      </c>
      <c r="BP3501" s="1" t="s">
        <v>74</v>
      </c>
      <c r="BQ3501" s="1" t="s">
        <v>74</v>
      </c>
      <c r="BR3501" s="1" t="s">
        <v>98</v>
      </c>
      <c r="BS3501" s="1" t="s">
        <v>55515</v>
      </c>
      <c r="BT3501" s="1" t="str">
        <f>HYPERLINK("https%3A%2F%2Fwww.webofscience.com%2Fwos%2Fwoscc%2Ffull-record%2FWOS:000580866600132","View Full Record in Web of Science")</f>
        <v>View Full Record in Web of Science</v>
      </c>
      <c r="BU3501" s="1"/>
      <c r="BV3501" s="1"/>
    </row>
    <row r="3502" spans="1:74">
      <c r="A3502" s="1" t="s">
        <v>72</v>
      </c>
      <c r="B3502" s="1" t="s">
        <v>55516</v>
      </c>
      <c r="C3502" s="1" t="s">
        <v>74</v>
      </c>
      <c r="D3502" s="1" t="s">
        <v>74</v>
      </c>
      <c r="E3502" s="1" t="s">
        <v>74</v>
      </c>
      <c r="F3502" s="1" t="s">
        <v>55517</v>
      </c>
      <c r="G3502" s="1" t="s">
        <v>74</v>
      </c>
      <c r="H3502" s="1" t="s">
        <v>74</v>
      </c>
      <c r="I3502" s="1" t="s">
        <v>55518</v>
      </c>
      <c r="J3502" s="1" t="s">
        <v>11108</v>
      </c>
      <c r="K3502" s="1" t="s">
        <v>74</v>
      </c>
      <c r="L3502" s="1" t="s">
        <v>74</v>
      </c>
      <c r="M3502" s="1" t="s">
        <v>78</v>
      </c>
      <c r="N3502" s="1" t="s">
        <v>79</v>
      </c>
      <c r="O3502" s="1" t="s">
        <v>74</v>
      </c>
      <c r="P3502" s="1" t="s">
        <v>74</v>
      </c>
      <c r="Q3502" s="1" t="s">
        <v>74</v>
      </c>
      <c r="R3502" s="1" t="s">
        <v>74</v>
      </c>
      <c r="S3502" s="1" t="s">
        <v>74</v>
      </c>
      <c r="T3502" s="1" t="s">
        <v>55519</v>
      </c>
      <c r="U3502" s="1" t="s">
        <v>55520</v>
      </c>
      <c r="V3502" s="1" t="s">
        <v>55521</v>
      </c>
      <c r="W3502" s="1" t="s">
        <v>55522</v>
      </c>
      <c r="X3502" s="1" t="s">
        <v>10382</v>
      </c>
      <c r="Y3502" s="1" t="s">
        <v>55523</v>
      </c>
      <c r="Z3502" s="1" t="s">
        <v>17646</v>
      </c>
      <c r="AA3502" s="1" t="s">
        <v>55524</v>
      </c>
      <c r="AB3502" s="1" t="s">
        <v>55525</v>
      </c>
      <c r="AC3502" s="1" t="s">
        <v>74</v>
      </c>
      <c r="AD3502" s="1" t="s">
        <v>74</v>
      </c>
      <c r="AE3502" s="1" t="s">
        <v>74</v>
      </c>
      <c r="AF3502" s="1" t="s">
        <v>74</v>
      </c>
      <c r="AG3502" s="1">
        <v>36</v>
      </c>
      <c r="AH3502" s="1">
        <v>7</v>
      </c>
      <c r="AI3502" s="1">
        <v>7</v>
      </c>
      <c r="AJ3502" s="1">
        <v>0</v>
      </c>
      <c r="AK3502" s="1">
        <v>5</v>
      </c>
      <c r="AL3502" s="1" t="s">
        <v>2074</v>
      </c>
      <c r="AM3502" s="1" t="s">
        <v>2075</v>
      </c>
      <c r="AN3502" s="1" t="s">
        <v>2076</v>
      </c>
      <c r="AO3502" s="1" t="s">
        <v>11117</v>
      </c>
      <c r="AP3502" s="1" t="s">
        <v>11118</v>
      </c>
      <c r="AQ3502" s="1" t="s">
        <v>74</v>
      </c>
      <c r="AR3502" s="1" t="s">
        <v>11119</v>
      </c>
      <c r="AS3502" s="1" t="s">
        <v>11120</v>
      </c>
      <c r="AT3502" s="1" t="s">
        <v>74</v>
      </c>
      <c r="AU3502" s="1">
        <v>2018</v>
      </c>
      <c r="AV3502" s="1">
        <v>51</v>
      </c>
      <c r="AW3502" s="1">
        <v>1</v>
      </c>
      <c r="AX3502" s="1" t="s">
        <v>74</v>
      </c>
      <c r="AY3502" s="1" t="s">
        <v>74</v>
      </c>
      <c r="AZ3502" s="1" t="s">
        <v>74</v>
      </c>
      <c r="BA3502" s="1" t="s">
        <v>74</v>
      </c>
      <c r="BB3502" s="1">
        <v>57</v>
      </c>
      <c r="BC3502" s="1">
        <v>66</v>
      </c>
      <c r="BD3502" s="1" t="s">
        <v>74</v>
      </c>
      <c r="BE3502" s="1" t="s">
        <v>55526</v>
      </c>
      <c r="BF3502" s="1" t="str">
        <f>HYPERLINK("http://dx.doi.org/10.1080/10236244.2018.1473711","http://dx.doi.org/10.1080/10236244.2018.1473711")</f>
        <v>http://dx.doi.org/10.1080/10236244.2018.1473711</v>
      </c>
      <c r="BG3502" s="1" t="s">
        <v>74</v>
      </c>
      <c r="BH3502" s="1" t="s">
        <v>74</v>
      </c>
      <c r="BI3502" s="1">
        <v>10</v>
      </c>
      <c r="BJ3502" s="1" t="s">
        <v>680</v>
      </c>
      <c r="BK3502" s="1" t="s">
        <v>96</v>
      </c>
      <c r="BL3502" s="1" t="s">
        <v>680</v>
      </c>
      <c r="BM3502" s="1" t="s">
        <v>55527</v>
      </c>
      <c r="BN3502" s="1" t="s">
        <v>74</v>
      </c>
      <c r="BO3502" s="1" t="s">
        <v>74</v>
      </c>
      <c r="BP3502" s="1" t="s">
        <v>74</v>
      </c>
      <c r="BQ3502" s="1" t="s">
        <v>74</v>
      </c>
      <c r="BR3502" s="1" t="s">
        <v>98</v>
      </c>
      <c r="BS3502" s="1" t="s">
        <v>55528</v>
      </c>
      <c r="BT3502" s="1" t="str">
        <f>HYPERLINK("https%3A%2F%2Fwww.webofscience.com%2Fwos%2Fwoscc%2Ffull-record%2FWOS:000434784700006","View Full Record in Web of Science")</f>
        <v>View Full Record in Web of Science</v>
      </c>
      <c r="BU3502" s="1"/>
      <c r="BV3502" s="1"/>
    </row>
    <row r="3503" spans="1:74">
      <c r="A3503" s="1" t="s">
        <v>72</v>
      </c>
      <c r="B3503" s="1" t="s">
        <v>55529</v>
      </c>
      <c r="C3503" s="1" t="s">
        <v>74</v>
      </c>
      <c r="D3503" s="1" t="s">
        <v>74</v>
      </c>
      <c r="E3503" s="1" t="s">
        <v>74</v>
      </c>
      <c r="F3503" s="1" t="s">
        <v>55530</v>
      </c>
      <c r="G3503" s="1" t="s">
        <v>74</v>
      </c>
      <c r="H3503" s="1" t="s">
        <v>74</v>
      </c>
      <c r="I3503" s="1" t="s">
        <v>55531</v>
      </c>
      <c r="J3503" s="1" t="s">
        <v>204</v>
      </c>
      <c r="K3503" s="1" t="s">
        <v>74</v>
      </c>
      <c r="L3503" s="1" t="s">
        <v>74</v>
      </c>
      <c r="M3503" s="1" t="s">
        <v>78</v>
      </c>
      <c r="N3503" s="1" t="s">
        <v>151</v>
      </c>
      <c r="O3503" s="1" t="s">
        <v>38541</v>
      </c>
      <c r="P3503" s="1" t="s">
        <v>38542</v>
      </c>
      <c r="Q3503" s="1" t="s">
        <v>38543</v>
      </c>
      <c r="R3503" s="1" t="s">
        <v>74</v>
      </c>
      <c r="S3503" s="1" t="s">
        <v>74</v>
      </c>
      <c r="T3503" s="1" t="s">
        <v>55532</v>
      </c>
      <c r="U3503" s="1" t="s">
        <v>55533</v>
      </c>
      <c r="V3503" s="1" t="s">
        <v>55534</v>
      </c>
      <c r="W3503" s="1" t="s">
        <v>55535</v>
      </c>
      <c r="X3503" s="1" t="s">
        <v>55536</v>
      </c>
      <c r="Y3503" s="1" t="s">
        <v>55537</v>
      </c>
      <c r="Z3503" s="1" t="s">
        <v>10615</v>
      </c>
      <c r="AA3503" s="1" t="s">
        <v>55538</v>
      </c>
      <c r="AB3503" s="1" t="s">
        <v>55539</v>
      </c>
      <c r="AC3503" s="1" t="s">
        <v>55540</v>
      </c>
      <c r="AD3503" s="1" t="s">
        <v>55541</v>
      </c>
      <c r="AE3503" s="1" t="s">
        <v>55542</v>
      </c>
      <c r="AF3503" s="1" t="s">
        <v>74</v>
      </c>
      <c r="AG3503" s="1">
        <v>47</v>
      </c>
      <c r="AH3503" s="1">
        <v>15</v>
      </c>
      <c r="AI3503" s="1">
        <v>16</v>
      </c>
      <c r="AJ3503" s="1">
        <v>2</v>
      </c>
      <c r="AK3503" s="1">
        <v>23</v>
      </c>
      <c r="AL3503" s="1" t="s">
        <v>217</v>
      </c>
      <c r="AM3503" s="1" t="s">
        <v>218</v>
      </c>
      <c r="AN3503" s="1" t="s">
        <v>219</v>
      </c>
      <c r="AO3503" s="1" t="s">
        <v>220</v>
      </c>
      <c r="AP3503" s="1" t="s">
        <v>221</v>
      </c>
      <c r="AQ3503" s="1" t="s">
        <v>74</v>
      </c>
      <c r="AR3503" s="1" t="s">
        <v>222</v>
      </c>
      <c r="AS3503" s="1" t="s">
        <v>223</v>
      </c>
      <c r="AT3503" s="1" t="s">
        <v>93</v>
      </c>
      <c r="AU3503" s="1">
        <v>2018</v>
      </c>
      <c r="AV3503" s="1">
        <v>25</v>
      </c>
      <c r="AW3503" s="1">
        <v>12</v>
      </c>
      <c r="AX3503" s="1" t="s">
        <v>74</v>
      </c>
      <c r="AY3503" s="1" t="s">
        <v>74</v>
      </c>
      <c r="AZ3503" s="1" t="s">
        <v>225</v>
      </c>
      <c r="BA3503" s="1" t="s">
        <v>74</v>
      </c>
      <c r="BB3503" s="1">
        <v>11181</v>
      </c>
      <c r="BC3503" s="1">
        <v>11191</v>
      </c>
      <c r="BD3503" s="1" t="s">
        <v>74</v>
      </c>
      <c r="BE3503" s="1" t="s">
        <v>55543</v>
      </c>
      <c r="BF3503" s="1" t="str">
        <f>HYPERLINK("http://dx.doi.org/10.1007/s11356-017-8400-3","http://dx.doi.org/10.1007/s11356-017-8400-3")</f>
        <v>http://dx.doi.org/10.1007/s11356-017-8400-3</v>
      </c>
      <c r="BG3503" s="1" t="s">
        <v>74</v>
      </c>
      <c r="BH3503" s="1" t="s">
        <v>74</v>
      </c>
      <c r="BI3503" s="1">
        <v>11</v>
      </c>
      <c r="BJ3503" s="1" t="s">
        <v>144</v>
      </c>
      <c r="BK3503" s="1" t="s">
        <v>172</v>
      </c>
      <c r="BL3503" s="1" t="s">
        <v>145</v>
      </c>
      <c r="BM3503" s="1" t="s">
        <v>38556</v>
      </c>
      <c r="BN3503" s="1">
        <v>28091991</v>
      </c>
      <c r="BO3503" s="1" t="s">
        <v>74</v>
      </c>
      <c r="BP3503" s="1" t="s">
        <v>74</v>
      </c>
      <c r="BQ3503" s="1" t="s">
        <v>74</v>
      </c>
      <c r="BR3503" s="1" t="s">
        <v>98</v>
      </c>
      <c r="BS3503" s="1" t="s">
        <v>55544</v>
      </c>
      <c r="BT3503" s="1" t="str">
        <f>HYPERLINK("https%3A%2F%2Fwww.webofscience.com%2Fwos%2Fwoscc%2Ffull-record%2FWOS:000431790000002","View Full Record in Web of Science")</f>
        <v>View Full Record in Web of Science</v>
      </c>
      <c r="BU3503" s="1"/>
      <c r="BV3503" s="1"/>
    </row>
    <row r="3504" spans="1:74">
      <c r="A3504" s="1" t="s">
        <v>72</v>
      </c>
      <c r="B3504" s="1" t="s">
        <v>55545</v>
      </c>
      <c r="C3504" s="1" t="s">
        <v>74</v>
      </c>
      <c r="D3504" s="1" t="s">
        <v>74</v>
      </c>
      <c r="E3504" s="1" t="s">
        <v>74</v>
      </c>
      <c r="F3504" s="1" t="s">
        <v>55545</v>
      </c>
      <c r="G3504" s="1" t="s">
        <v>74</v>
      </c>
      <c r="H3504" s="1" t="s">
        <v>74</v>
      </c>
      <c r="I3504" s="1" t="s">
        <v>55546</v>
      </c>
      <c r="J3504" s="1" t="s">
        <v>641</v>
      </c>
      <c r="K3504" s="1" t="s">
        <v>74</v>
      </c>
      <c r="L3504" s="1" t="s">
        <v>74</v>
      </c>
      <c r="M3504" s="1" t="s">
        <v>78</v>
      </c>
      <c r="N3504" s="1" t="s">
        <v>79</v>
      </c>
      <c r="O3504" s="1" t="s">
        <v>74</v>
      </c>
      <c r="P3504" s="1" t="s">
        <v>74</v>
      </c>
      <c r="Q3504" s="1" t="s">
        <v>74</v>
      </c>
      <c r="R3504" s="1" t="s">
        <v>74</v>
      </c>
      <c r="S3504" s="1" t="s">
        <v>74</v>
      </c>
      <c r="T3504" s="1" t="s">
        <v>55547</v>
      </c>
      <c r="U3504" s="1" t="s">
        <v>55548</v>
      </c>
      <c r="V3504" s="1" t="s">
        <v>55549</v>
      </c>
      <c r="W3504" s="1" t="s">
        <v>55550</v>
      </c>
      <c r="X3504" s="1" t="s">
        <v>35070</v>
      </c>
      <c r="Y3504" s="1" t="s">
        <v>55551</v>
      </c>
      <c r="Z3504" s="1" t="s">
        <v>55552</v>
      </c>
      <c r="AA3504" s="1" t="s">
        <v>20314</v>
      </c>
      <c r="AB3504" s="1" t="s">
        <v>20315</v>
      </c>
      <c r="AC3504" s="1" t="s">
        <v>74</v>
      </c>
      <c r="AD3504" s="1" t="s">
        <v>74</v>
      </c>
      <c r="AE3504" s="1" t="s">
        <v>74</v>
      </c>
      <c r="AF3504" s="1" t="s">
        <v>74</v>
      </c>
      <c r="AG3504" s="1">
        <v>58</v>
      </c>
      <c r="AH3504" s="1">
        <v>22</v>
      </c>
      <c r="AI3504" s="1">
        <v>27</v>
      </c>
      <c r="AJ3504" s="1">
        <v>0</v>
      </c>
      <c r="AK3504" s="1">
        <v>10</v>
      </c>
      <c r="AL3504" s="1" t="s">
        <v>650</v>
      </c>
      <c r="AM3504" s="1" t="s">
        <v>651</v>
      </c>
      <c r="AN3504" s="1" t="s">
        <v>652</v>
      </c>
      <c r="AO3504" s="1" t="s">
        <v>653</v>
      </c>
      <c r="AP3504" s="1" t="s">
        <v>654</v>
      </c>
      <c r="AQ3504" s="1" t="s">
        <v>74</v>
      </c>
      <c r="AR3504" s="1" t="s">
        <v>655</v>
      </c>
      <c r="AS3504" s="1" t="s">
        <v>656</v>
      </c>
      <c r="AT3504" s="1" t="s">
        <v>12453</v>
      </c>
      <c r="AU3504" s="1">
        <v>2005</v>
      </c>
      <c r="AV3504" s="1">
        <v>74</v>
      </c>
      <c r="AW3504" s="1">
        <v>2</v>
      </c>
      <c r="AX3504" s="1" t="s">
        <v>74</v>
      </c>
      <c r="AY3504" s="1" t="s">
        <v>74</v>
      </c>
      <c r="AZ3504" s="1" t="s">
        <v>74</v>
      </c>
      <c r="BA3504" s="1" t="s">
        <v>74</v>
      </c>
      <c r="BB3504" s="1">
        <v>110</v>
      </c>
      <c r="BC3504" s="1">
        <v>125</v>
      </c>
      <c r="BD3504" s="1" t="s">
        <v>74</v>
      </c>
      <c r="BE3504" s="1" t="s">
        <v>55553</v>
      </c>
      <c r="BF3504" s="1" t="str">
        <f>HYPERLINK("http://dx.doi.org/10.1016/j.aquatox.2005.03.024","http://dx.doi.org/10.1016/j.aquatox.2005.03.024")</f>
        <v>http://dx.doi.org/10.1016/j.aquatox.2005.03.024</v>
      </c>
      <c r="BG3504" s="1" t="s">
        <v>74</v>
      </c>
      <c r="BH3504" s="1" t="s">
        <v>74</v>
      </c>
      <c r="BI3504" s="1">
        <v>16</v>
      </c>
      <c r="BJ3504" s="1" t="s">
        <v>659</v>
      </c>
      <c r="BK3504" s="1" t="s">
        <v>96</v>
      </c>
      <c r="BL3504" s="1" t="s">
        <v>659</v>
      </c>
      <c r="BM3504" s="1" t="s">
        <v>55554</v>
      </c>
      <c r="BN3504" s="1">
        <v>15990179</v>
      </c>
      <c r="BO3504" s="1" t="s">
        <v>74</v>
      </c>
      <c r="BP3504" s="1" t="s">
        <v>74</v>
      </c>
      <c r="BQ3504" s="1" t="s">
        <v>74</v>
      </c>
      <c r="BR3504" s="1" t="s">
        <v>98</v>
      </c>
      <c r="BS3504" s="1" t="s">
        <v>55555</v>
      </c>
      <c r="BT3504" s="1" t="str">
        <f>HYPERLINK("https%3A%2F%2Fwww.webofscience.com%2Fwos%2Fwoscc%2Ffull-record%2FWOS:000231310300002","View Full Record in Web of Science")</f>
        <v>View Full Record in Web of Science</v>
      </c>
      <c r="BU3504" s="1"/>
      <c r="BV3504" s="1"/>
    </row>
    <row r="3505" spans="1:74">
      <c r="A3505" s="1" t="s">
        <v>72</v>
      </c>
      <c r="B3505" s="1" t="s">
        <v>55556</v>
      </c>
      <c r="C3505" s="1" t="s">
        <v>74</v>
      </c>
      <c r="D3505" s="1" t="s">
        <v>74</v>
      </c>
      <c r="E3505" s="1" t="s">
        <v>74</v>
      </c>
      <c r="F3505" s="1" t="s">
        <v>55557</v>
      </c>
      <c r="G3505" s="1" t="s">
        <v>74</v>
      </c>
      <c r="H3505" s="1" t="s">
        <v>74</v>
      </c>
      <c r="I3505" s="1" t="s">
        <v>55558</v>
      </c>
      <c r="J3505" s="1" t="s">
        <v>53508</v>
      </c>
      <c r="K3505" s="1" t="s">
        <v>74</v>
      </c>
      <c r="L3505" s="1" t="s">
        <v>74</v>
      </c>
      <c r="M3505" s="1" t="s">
        <v>78</v>
      </c>
      <c r="N3505" s="1" t="s">
        <v>79</v>
      </c>
      <c r="O3505" s="1" t="s">
        <v>74</v>
      </c>
      <c r="P3505" s="1" t="s">
        <v>74</v>
      </c>
      <c r="Q3505" s="1" t="s">
        <v>74</v>
      </c>
      <c r="R3505" s="1" t="s">
        <v>74</v>
      </c>
      <c r="S3505" s="1" t="s">
        <v>74</v>
      </c>
      <c r="T3505" s="1" t="s">
        <v>55559</v>
      </c>
      <c r="U3505" s="1" t="s">
        <v>55560</v>
      </c>
      <c r="V3505" s="1" t="s">
        <v>55561</v>
      </c>
      <c r="W3505" s="1" t="s">
        <v>55562</v>
      </c>
      <c r="X3505" s="1" t="s">
        <v>55563</v>
      </c>
      <c r="Y3505" s="1" t="s">
        <v>55564</v>
      </c>
      <c r="Z3505" s="1" t="s">
        <v>55565</v>
      </c>
      <c r="AA3505" s="1" t="s">
        <v>55566</v>
      </c>
      <c r="AB3505" s="1" t="s">
        <v>15517</v>
      </c>
      <c r="AC3505" s="1" t="s">
        <v>16791</v>
      </c>
      <c r="AD3505" s="1" t="s">
        <v>16792</v>
      </c>
      <c r="AE3505" s="1" t="s">
        <v>55567</v>
      </c>
      <c r="AF3505" s="1" t="s">
        <v>74</v>
      </c>
      <c r="AG3505" s="1">
        <v>65</v>
      </c>
      <c r="AH3505" s="1">
        <v>23</v>
      </c>
      <c r="AI3505" s="1">
        <v>29</v>
      </c>
      <c r="AJ3505" s="1">
        <v>0</v>
      </c>
      <c r="AK3505" s="1">
        <v>35</v>
      </c>
      <c r="AL3505" s="1" t="s">
        <v>430</v>
      </c>
      <c r="AM3505" s="1" t="s">
        <v>137</v>
      </c>
      <c r="AN3505" s="1" t="s">
        <v>431</v>
      </c>
      <c r="AO3505" s="1" t="s">
        <v>53517</v>
      </c>
      <c r="AP3505" s="1" t="s">
        <v>74</v>
      </c>
      <c r="AQ3505" s="1" t="s">
        <v>74</v>
      </c>
      <c r="AR3505" s="1" t="s">
        <v>53518</v>
      </c>
      <c r="AS3505" s="1" t="s">
        <v>53519</v>
      </c>
      <c r="AT3505" s="1" t="s">
        <v>305</v>
      </c>
      <c r="AU3505" s="1">
        <v>2011</v>
      </c>
      <c r="AV3505" s="1">
        <v>37</v>
      </c>
      <c r="AW3505" s="1">
        <v>3</v>
      </c>
      <c r="AX3505" s="1" t="s">
        <v>74</v>
      </c>
      <c r="AY3505" s="1" t="s">
        <v>74</v>
      </c>
      <c r="AZ3505" s="1" t="s">
        <v>74</v>
      </c>
      <c r="BA3505" s="1" t="s">
        <v>74</v>
      </c>
      <c r="BB3505" s="1">
        <v>507</v>
      </c>
      <c r="BC3505" s="1">
        <v>520</v>
      </c>
      <c r="BD3505" s="1" t="s">
        <v>74</v>
      </c>
      <c r="BE3505" s="1" t="s">
        <v>55568</v>
      </c>
      <c r="BF3505" s="1" t="str">
        <f>HYPERLINK("http://dx.doi.org/10.1016/j.jglr.2011.06.005","http://dx.doi.org/10.1016/j.jglr.2011.06.005")</f>
        <v>http://dx.doi.org/10.1016/j.jglr.2011.06.005</v>
      </c>
      <c r="BG3505" s="1" t="s">
        <v>74</v>
      </c>
      <c r="BH3505" s="1" t="s">
        <v>74</v>
      </c>
      <c r="BI3505" s="1">
        <v>14</v>
      </c>
      <c r="BJ3505" s="1" t="s">
        <v>53521</v>
      </c>
      <c r="BK3505" s="1" t="s">
        <v>96</v>
      </c>
      <c r="BL3505" s="1" t="s">
        <v>248</v>
      </c>
      <c r="BM3505" s="1" t="s">
        <v>55569</v>
      </c>
      <c r="BN3505" s="1" t="s">
        <v>74</v>
      </c>
      <c r="BO3505" s="1" t="s">
        <v>74</v>
      </c>
      <c r="BP3505" s="1" t="s">
        <v>74</v>
      </c>
      <c r="BQ3505" s="1" t="s">
        <v>74</v>
      </c>
      <c r="BR3505" s="1" t="s">
        <v>98</v>
      </c>
      <c r="BS3505" s="1" t="s">
        <v>55570</v>
      </c>
      <c r="BT3505" s="1" t="str">
        <f>HYPERLINK("https%3A%2F%2Fwww.webofscience.com%2Fwos%2Fwoscc%2Ffull-record%2FWOS:000294978400010","View Full Record in Web of Science")</f>
        <v>View Full Record in Web of Science</v>
      </c>
      <c r="BU3505" s="1"/>
      <c r="BV3505" s="1"/>
    </row>
    <row r="3506" spans="1:74">
      <c r="A3506" s="1" t="s">
        <v>72</v>
      </c>
      <c r="B3506" s="1" t="s">
        <v>55571</v>
      </c>
      <c r="C3506" s="1" t="s">
        <v>74</v>
      </c>
      <c r="D3506" s="1" t="s">
        <v>74</v>
      </c>
      <c r="E3506" s="1" t="s">
        <v>74</v>
      </c>
      <c r="F3506" s="1" t="s">
        <v>55571</v>
      </c>
      <c r="G3506" s="1" t="s">
        <v>74</v>
      </c>
      <c r="H3506" s="1" t="s">
        <v>74</v>
      </c>
      <c r="I3506" s="1" t="s">
        <v>55572</v>
      </c>
      <c r="J3506" s="1" t="s">
        <v>421</v>
      </c>
      <c r="K3506" s="1" t="s">
        <v>74</v>
      </c>
      <c r="L3506" s="1" t="s">
        <v>74</v>
      </c>
      <c r="M3506" s="1" t="s">
        <v>78</v>
      </c>
      <c r="N3506" s="1" t="s">
        <v>79</v>
      </c>
      <c r="O3506" s="1" t="s">
        <v>74</v>
      </c>
      <c r="P3506" s="1" t="s">
        <v>74</v>
      </c>
      <c r="Q3506" s="1" t="s">
        <v>74</v>
      </c>
      <c r="R3506" s="1" t="s">
        <v>74</v>
      </c>
      <c r="S3506" s="1" t="s">
        <v>74</v>
      </c>
      <c r="T3506" s="1" t="s">
        <v>55573</v>
      </c>
      <c r="U3506" s="1" t="s">
        <v>55574</v>
      </c>
      <c r="V3506" s="1" t="s">
        <v>55575</v>
      </c>
      <c r="W3506" s="1" t="s">
        <v>55576</v>
      </c>
      <c r="X3506" s="1" t="s">
        <v>55577</v>
      </c>
      <c r="Y3506" s="1" t="s">
        <v>55578</v>
      </c>
      <c r="Z3506" s="1" t="s">
        <v>74</v>
      </c>
      <c r="AA3506" s="1" t="s">
        <v>74</v>
      </c>
      <c r="AB3506" s="1" t="s">
        <v>74</v>
      </c>
      <c r="AC3506" s="1" t="s">
        <v>74</v>
      </c>
      <c r="AD3506" s="1" t="s">
        <v>74</v>
      </c>
      <c r="AE3506" s="1" t="s">
        <v>74</v>
      </c>
      <c r="AF3506" s="1" t="s">
        <v>74</v>
      </c>
      <c r="AG3506" s="1">
        <v>66</v>
      </c>
      <c r="AH3506" s="1">
        <v>59</v>
      </c>
      <c r="AI3506" s="1">
        <v>64</v>
      </c>
      <c r="AJ3506" s="1">
        <v>0</v>
      </c>
      <c r="AK3506" s="1">
        <v>15</v>
      </c>
      <c r="AL3506" s="1" t="s">
        <v>430</v>
      </c>
      <c r="AM3506" s="1" t="s">
        <v>137</v>
      </c>
      <c r="AN3506" s="1" t="s">
        <v>431</v>
      </c>
      <c r="AO3506" s="1" t="s">
        <v>432</v>
      </c>
      <c r="AP3506" s="1" t="s">
        <v>74</v>
      </c>
      <c r="AQ3506" s="1" t="s">
        <v>74</v>
      </c>
      <c r="AR3506" s="1" t="s">
        <v>433</v>
      </c>
      <c r="AS3506" s="1" t="s">
        <v>434</v>
      </c>
      <c r="AT3506" s="1" t="s">
        <v>74</v>
      </c>
      <c r="AU3506" s="1">
        <v>2004</v>
      </c>
      <c r="AV3506" s="1">
        <v>127</v>
      </c>
      <c r="AW3506" s="1">
        <v>2</v>
      </c>
      <c r="AX3506" s="1" t="s">
        <v>74</v>
      </c>
      <c r="AY3506" s="1" t="s">
        <v>74</v>
      </c>
      <c r="AZ3506" s="1" t="s">
        <v>74</v>
      </c>
      <c r="BA3506" s="1" t="s">
        <v>74</v>
      </c>
      <c r="BB3506" s="1">
        <v>303</v>
      </c>
      <c r="BC3506" s="1">
        <v>311</v>
      </c>
      <c r="BD3506" s="1" t="s">
        <v>74</v>
      </c>
      <c r="BE3506" s="1" t="s">
        <v>55579</v>
      </c>
      <c r="BF3506" s="1" t="str">
        <f>HYPERLINK("http://dx.doi.org/10.1016/S0269-7491(03)00269-0","http://dx.doi.org/10.1016/S0269-7491(03)00269-0")</f>
        <v>http://dx.doi.org/10.1016/S0269-7491(03)00269-0</v>
      </c>
      <c r="BG3506" s="1" t="s">
        <v>74</v>
      </c>
      <c r="BH3506" s="1" t="s">
        <v>74</v>
      </c>
      <c r="BI3506" s="1">
        <v>9</v>
      </c>
      <c r="BJ3506" s="1" t="s">
        <v>144</v>
      </c>
      <c r="BK3506" s="1" t="s">
        <v>96</v>
      </c>
      <c r="BL3506" s="1" t="s">
        <v>145</v>
      </c>
      <c r="BM3506" s="1" t="s">
        <v>32019</v>
      </c>
      <c r="BN3506" s="1">
        <v>14568729</v>
      </c>
      <c r="BO3506" s="1" t="s">
        <v>74</v>
      </c>
      <c r="BP3506" s="1" t="s">
        <v>74</v>
      </c>
      <c r="BQ3506" s="1" t="s">
        <v>74</v>
      </c>
      <c r="BR3506" s="1" t="s">
        <v>98</v>
      </c>
      <c r="BS3506" s="1" t="s">
        <v>55580</v>
      </c>
      <c r="BT3506" s="1" t="str">
        <f>HYPERLINK("https%3A%2F%2Fwww.webofscience.com%2Fwos%2Fwoscc%2Ffull-record%2FWOS:000187780000015","View Full Record in Web of Science")</f>
        <v>View Full Record in Web of Science</v>
      </c>
      <c r="BU3506" s="1"/>
      <c r="BV3506" s="1"/>
    </row>
    <row r="3507" spans="1:74">
      <c r="A3507" s="1" t="s">
        <v>72</v>
      </c>
      <c r="B3507" s="1" t="s">
        <v>55581</v>
      </c>
      <c r="C3507" s="1" t="s">
        <v>74</v>
      </c>
      <c r="D3507" s="1" t="s">
        <v>74</v>
      </c>
      <c r="E3507" s="1" t="s">
        <v>74</v>
      </c>
      <c r="F3507" s="1" t="s">
        <v>55582</v>
      </c>
      <c r="G3507" s="1" t="s">
        <v>74</v>
      </c>
      <c r="H3507" s="1" t="s">
        <v>74</v>
      </c>
      <c r="I3507" s="1" t="s">
        <v>55583</v>
      </c>
      <c r="J3507" s="1" t="s">
        <v>421</v>
      </c>
      <c r="K3507" s="1" t="s">
        <v>74</v>
      </c>
      <c r="L3507" s="1" t="s">
        <v>74</v>
      </c>
      <c r="M3507" s="1" t="s">
        <v>78</v>
      </c>
      <c r="N3507" s="1" t="s">
        <v>79</v>
      </c>
      <c r="O3507" s="1" t="s">
        <v>74</v>
      </c>
      <c r="P3507" s="1" t="s">
        <v>74</v>
      </c>
      <c r="Q3507" s="1" t="s">
        <v>74</v>
      </c>
      <c r="R3507" s="1" t="s">
        <v>74</v>
      </c>
      <c r="S3507" s="1" t="s">
        <v>74</v>
      </c>
      <c r="T3507" s="1" t="s">
        <v>55584</v>
      </c>
      <c r="U3507" s="1" t="s">
        <v>55585</v>
      </c>
      <c r="V3507" s="1" t="s">
        <v>55586</v>
      </c>
      <c r="W3507" s="1" t="s">
        <v>55587</v>
      </c>
      <c r="X3507" s="1" t="s">
        <v>55588</v>
      </c>
      <c r="Y3507" s="1" t="s">
        <v>55589</v>
      </c>
      <c r="Z3507" s="1" t="s">
        <v>55590</v>
      </c>
      <c r="AA3507" s="1" t="s">
        <v>55591</v>
      </c>
      <c r="AB3507" s="1" t="s">
        <v>55592</v>
      </c>
      <c r="AC3507" s="1" t="s">
        <v>74</v>
      </c>
      <c r="AD3507" s="1" t="s">
        <v>74</v>
      </c>
      <c r="AE3507" s="1" t="s">
        <v>74</v>
      </c>
      <c r="AF3507" s="1" t="s">
        <v>74</v>
      </c>
      <c r="AG3507" s="1">
        <v>68</v>
      </c>
      <c r="AH3507" s="1">
        <v>91</v>
      </c>
      <c r="AI3507" s="1">
        <v>109</v>
      </c>
      <c r="AJ3507" s="1">
        <v>0</v>
      </c>
      <c r="AK3507" s="1">
        <v>40</v>
      </c>
      <c r="AL3507" s="1" t="s">
        <v>430</v>
      </c>
      <c r="AM3507" s="1" t="s">
        <v>137</v>
      </c>
      <c r="AN3507" s="1" t="s">
        <v>431</v>
      </c>
      <c r="AO3507" s="1" t="s">
        <v>432</v>
      </c>
      <c r="AP3507" s="1" t="s">
        <v>1394</v>
      </c>
      <c r="AQ3507" s="1" t="s">
        <v>74</v>
      </c>
      <c r="AR3507" s="1" t="s">
        <v>433</v>
      </c>
      <c r="AS3507" s="1" t="s">
        <v>434</v>
      </c>
      <c r="AT3507" s="1" t="s">
        <v>305</v>
      </c>
      <c r="AU3507" s="1">
        <v>2007</v>
      </c>
      <c r="AV3507" s="1">
        <v>149</v>
      </c>
      <c r="AW3507" s="1">
        <v>2</v>
      </c>
      <c r="AX3507" s="1" t="s">
        <v>74</v>
      </c>
      <c r="AY3507" s="1" t="s">
        <v>74</v>
      </c>
      <c r="AZ3507" s="1" t="s">
        <v>74</v>
      </c>
      <c r="BA3507" s="1" t="s">
        <v>74</v>
      </c>
      <c r="BB3507" s="1">
        <v>182</v>
      </c>
      <c r="BC3507" s="1">
        <v>192</v>
      </c>
      <c r="BD3507" s="1" t="s">
        <v>74</v>
      </c>
      <c r="BE3507" s="1" t="s">
        <v>55593</v>
      </c>
      <c r="BF3507" s="1" t="str">
        <f>HYPERLINK("http://dx.doi.org/10.1016/j.envpol.2007.01.039","http://dx.doi.org/10.1016/j.envpol.2007.01.039")</f>
        <v>http://dx.doi.org/10.1016/j.envpol.2007.01.039</v>
      </c>
      <c r="BG3507" s="1" t="s">
        <v>74</v>
      </c>
      <c r="BH3507" s="1" t="s">
        <v>74</v>
      </c>
      <c r="BI3507" s="1">
        <v>11</v>
      </c>
      <c r="BJ3507" s="1" t="s">
        <v>144</v>
      </c>
      <c r="BK3507" s="1" t="s">
        <v>96</v>
      </c>
      <c r="BL3507" s="1" t="s">
        <v>145</v>
      </c>
      <c r="BM3507" s="1" t="s">
        <v>25775</v>
      </c>
      <c r="BN3507" s="1">
        <v>17399874</v>
      </c>
      <c r="BO3507" s="1" t="s">
        <v>74</v>
      </c>
      <c r="BP3507" s="1" t="s">
        <v>74</v>
      </c>
      <c r="BQ3507" s="1" t="s">
        <v>74</v>
      </c>
      <c r="BR3507" s="1" t="s">
        <v>98</v>
      </c>
      <c r="BS3507" s="1" t="s">
        <v>55594</v>
      </c>
      <c r="BT3507" s="1" t="str">
        <f>HYPERLINK("https%3A%2F%2Fwww.webofscience.com%2Fwos%2Fwoscc%2Ffull-record%2FWOS:000249601200007","View Full Record in Web of Science")</f>
        <v>View Full Record in Web of Science</v>
      </c>
      <c r="BU3507" s="1"/>
      <c r="BV3507" s="1"/>
    </row>
    <row r="3508" spans="1:74">
      <c r="A3508" s="1" t="s">
        <v>72</v>
      </c>
      <c r="B3508" s="1" t="s">
        <v>55595</v>
      </c>
      <c r="C3508" s="1" t="s">
        <v>74</v>
      </c>
      <c r="D3508" s="1" t="s">
        <v>74</v>
      </c>
      <c r="E3508" s="1" t="s">
        <v>74</v>
      </c>
      <c r="F3508" s="1" t="s">
        <v>55596</v>
      </c>
      <c r="G3508" s="1" t="s">
        <v>74</v>
      </c>
      <c r="H3508" s="1" t="s">
        <v>74</v>
      </c>
      <c r="I3508" s="1" t="s">
        <v>55597</v>
      </c>
      <c r="J3508" s="1" t="s">
        <v>641</v>
      </c>
      <c r="K3508" s="1" t="s">
        <v>74</v>
      </c>
      <c r="L3508" s="1" t="s">
        <v>74</v>
      </c>
      <c r="M3508" s="1" t="s">
        <v>78</v>
      </c>
      <c r="N3508" s="1" t="s">
        <v>79</v>
      </c>
      <c r="O3508" s="1" t="s">
        <v>74</v>
      </c>
      <c r="P3508" s="1" t="s">
        <v>74</v>
      </c>
      <c r="Q3508" s="1" t="s">
        <v>74</v>
      </c>
      <c r="R3508" s="1" t="s">
        <v>74</v>
      </c>
      <c r="S3508" s="1" t="s">
        <v>74</v>
      </c>
      <c r="T3508" s="1" t="s">
        <v>55598</v>
      </c>
      <c r="U3508" s="1" t="s">
        <v>55599</v>
      </c>
      <c r="V3508" s="1" t="s">
        <v>55600</v>
      </c>
      <c r="W3508" s="1" t="s">
        <v>55601</v>
      </c>
      <c r="X3508" s="1" t="s">
        <v>55602</v>
      </c>
      <c r="Y3508" s="1" t="s">
        <v>55603</v>
      </c>
      <c r="Z3508" s="1" t="s">
        <v>55604</v>
      </c>
      <c r="AA3508" s="1" t="s">
        <v>55605</v>
      </c>
      <c r="AB3508" s="1" t="s">
        <v>55606</v>
      </c>
      <c r="AC3508" s="1" t="s">
        <v>55607</v>
      </c>
      <c r="AD3508" s="1" t="s">
        <v>55608</v>
      </c>
      <c r="AE3508" s="1" t="s">
        <v>55609</v>
      </c>
      <c r="AF3508" s="1" t="s">
        <v>74</v>
      </c>
      <c r="AG3508" s="1">
        <v>54</v>
      </c>
      <c r="AH3508" s="1">
        <v>10</v>
      </c>
      <c r="AI3508" s="1">
        <v>12</v>
      </c>
      <c r="AJ3508" s="1">
        <v>2</v>
      </c>
      <c r="AK3508" s="1">
        <v>34</v>
      </c>
      <c r="AL3508" s="1" t="s">
        <v>919</v>
      </c>
      <c r="AM3508" s="1" t="s">
        <v>651</v>
      </c>
      <c r="AN3508" s="1" t="s">
        <v>920</v>
      </c>
      <c r="AO3508" s="1" t="s">
        <v>653</v>
      </c>
      <c r="AP3508" s="1" t="s">
        <v>654</v>
      </c>
      <c r="AQ3508" s="1" t="s">
        <v>74</v>
      </c>
      <c r="AR3508" s="1" t="s">
        <v>655</v>
      </c>
      <c r="AS3508" s="1" t="s">
        <v>656</v>
      </c>
      <c r="AT3508" s="1" t="s">
        <v>305</v>
      </c>
      <c r="AU3508" s="1">
        <v>2017</v>
      </c>
      <c r="AV3508" s="1">
        <v>190</v>
      </c>
      <c r="AW3508" s="1" t="s">
        <v>74</v>
      </c>
      <c r="AX3508" s="1" t="s">
        <v>74</v>
      </c>
      <c r="AY3508" s="1" t="s">
        <v>74</v>
      </c>
      <c r="AZ3508" s="1" t="s">
        <v>74</v>
      </c>
      <c r="BA3508" s="1" t="s">
        <v>74</v>
      </c>
      <c r="BB3508" s="1">
        <v>11</v>
      </c>
      <c r="BC3508" s="1">
        <v>20</v>
      </c>
      <c r="BD3508" s="1" t="s">
        <v>74</v>
      </c>
      <c r="BE3508" s="1" t="s">
        <v>55610</v>
      </c>
      <c r="BF3508" s="1" t="str">
        <f>HYPERLINK("http://dx.doi.org/10.1016/j.aquatox.2017.06.018","http://dx.doi.org/10.1016/j.aquatox.2017.06.018")</f>
        <v>http://dx.doi.org/10.1016/j.aquatox.2017.06.018</v>
      </c>
      <c r="BG3508" s="1" t="s">
        <v>74</v>
      </c>
      <c r="BH3508" s="1" t="s">
        <v>74</v>
      </c>
      <c r="BI3508" s="1">
        <v>10</v>
      </c>
      <c r="BJ3508" s="1" t="s">
        <v>659</v>
      </c>
      <c r="BK3508" s="1" t="s">
        <v>96</v>
      </c>
      <c r="BL3508" s="1" t="s">
        <v>659</v>
      </c>
      <c r="BM3508" s="1" t="s">
        <v>55611</v>
      </c>
      <c r="BN3508" s="1">
        <v>28662417</v>
      </c>
      <c r="BO3508" s="1" t="s">
        <v>476</v>
      </c>
      <c r="BP3508" s="1" t="s">
        <v>74</v>
      </c>
      <c r="BQ3508" s="1" t="s">
        <v>74</v>
      </c>
      <c r="BR3508" s="1" t="s">
        <v>98</v>
      </c>
      <c r="BS3508" s="1" t="s">
        <v>55612</v>
      </c>
      <c r="BT3508" s="1" t="str">
        <f>HYPERLINK("https%3A%2F%2Fwww.webofscience.com%2Fwos%2Fwoscc%2Ffull-record%2FWOS:000408783600002","View Full Record in Web of Science")</f>
        <v>View Full Record in Web of Science</v>
      </c>
      <c r="BU3508" s="1"/>
      <c r="BV3508" s="1"/>
    </row>
    <row r="3509" spans="1:74">
      <c r="A3509" s="1" t="s">
        <v>72</v>
      </c>
      <c r="B3509" s="1" t="s">
        <v>55613</v>
      </c>
      <c r="C3509" s="1" t="s">
        <v>74</v>
      </c>
      <c r="D3509" s="1" t="s">
        <v>74</v>
      </c>
      <c r="E3509" s="1" t="s">
        <v>74</v>
      </c>
      <c r="F3509" s="1" t="s">
        <v>55614</v>
      </c>
      <c r="G3509" s="1" t="s">
        <v>74</v>
      </c>
      <c r="H3509" s="1" t="s">
        <v>74</v>
      </c>
      <c r="I3509" s="1" t="s">
        <v>55615</v>
      </c>
      <c r="J3509" s="1" t="s">
        <v>998</v>
      </c>
      <c r="K3509" s="1" t="s">
        <v>74</v>
      </c>
      <c r="L3509" s="1" t="s">
        <v>74</v>
      </c>
      <c r="M3509" s="1" t="s">
        <v>78</v>
      </c>
      <c r="N3509" s="1" t="s">
        <v>79</v>
      </c>
      <c r="O3509" s="1" t="s">
        <v>74</v>
      </c>
      <c r="P3509" s="1" t="s">
        <v>74</v>
      </c>
      <c r="Q3509" s="1" t="s">
        <v>74</v>
      </c>
      <c r="R3509" s="1" t="s">
        <v>74</v>
      </c>
      <c r="S3509" s="1" t="s">
        <v>74</v>
      </c>
      <c r="T3509" s="1" t="s">
        <v>74</v>
      </c>
      <c r="U3509" s="1" t="s">
        <v>55616</v>
      </c>
      <c r="V3509" s="1" t="s">
        <v>55617</v>
      </c>
      <c r="W3509" s="1" t="s">
        <v>55618</v>
      </c>
      <c r="X3509" s="1" t="s">
        <v>55619</v>
      </c>
      <c r="Y3509" s="1" t="s">
        <v>55620</v>
      </c>
      <c r="Z3509" s="1" t="s">
        <v>55621</v>
      </c>
      <c r="AA3509" s="1" t="s">
        <v>55622</v>
      </c>
      <c r="AB3509" s="1" t="s">
        <v>55623</v>
      </c>
      <c r="AC3509" s="1" t="s">
        <v>55624</v>
      </c>
      <c r="AD3509" s="1" t="s">
        <v>55625</v>
      </c>
      <c r="AE3509" s="1" t="s">
        <v>55626</v>
      </c>
      <c r="AF3509" s="1" t="s">
        <v>74</v>
      </c>
      <c r="AG3509" s="1">
        <v>89</v>
      </c>
      <c r="AH3509" s="1">
        <v>4</v>
      </c>
      <c r="AI3509" s="1">
        <v>5</v>
      </c>
      <c r="AJ3509" s="1">
        <v>1</v>
      </c>
      <c r="AK3509" s="1">
        <v>16</v>
      </c>
      <c r="AL3509" s="1" t="s">
        <v>112</v>
      </c>
      <c r="AM3509" s="1" t="s">
        <v>113</v>
      </c>
      <c r="AN3509" s="1" t="s">
        <v>469</v>
      </c>
      <c r="AO3509" s="1" t="s">
        <v>1009</v>
      </c>
      <c r="AP3509" s="1" t="s">
        <v>5996</v>
      </c>
      <c r="AQ3509" s="1" t="s">
        <v>74</v>
      </c>
      <c r="AR3509" s="1" t="s">
        <v>1010</v>
      </c>
      <c r="AS3509" s="1" t="s">
        <v>1011</v>
      </c>
      <c r="AT3509" s="1" t="s">
        <v>93</v>
      </c>
      <c r="AU3509" s="1">
        <v>2019</v>
      </c>
      <c r="AV3509" s="1">
        <v>76</v>
      </c>
      <c r="AW3509" s="1">
        <v>3</v>
      </c>
      <c r="AX3509" s="1" t="s">
        <v>74</v>
      </c>
      <c r="AY3509" s="1" t="s">
        <v>74</v>
      </c>
      <c r="AZ3509" s="1" t="s">
        <v>74</v>
      </c>
      <c r="BA3509" s="1" t="s">
        <v>74</v>
      </c>
      <c r="BB3509" s="1">
        <v>453</v>
      </c>
      <c r="BC3509" s="1">
        <v>468</v>
      </c>
      <c r="BD3509" s="1" t="s">
        <v>74</v>
      </c>
      <c r="BE3509" s="1" t="s">
        <v>55627</v>
      </c>
      <c r="BF3509" s="1" t="str">
        <f>HYPERLINK("http://dx.doi.org/10.1007/s00244-018-00593-7","http://dx.doi.org/10.1007/s00244-018-00593-7")</f>
        <v>http://dx.doi.org/10.1007/s00244-018-00593-7</v>
      </c>
      <c r="BG3509" s="1" t="s">
        <v>74</v>
      </c>
      <c r="BH3509" s="1" t="s">
        <v>74</v>
      </c>
      <c r="BI3509" s="1">
        <v>16</v>
      </c>
      <c r="BJ3509" s="1" t="s">
        <v>121</v>
      </c>
      <c r="BK3509" s="1" t="s">
        <v>96</v>
      </c>
      <c r="BL3509" s="1" t="s">
        <v>122</v>
      </c>
      <c r="BM3509" s="1" t="s">
        <v>55628</v>
      </c>
      <c r="BN3509" s="1">
        <v>30661090</v>
      </c>
      <c r="BO3509" s="1" t="s">
        <v>74</v>
      </c>
      <c r="BP3509" s="1" t="s">
        <v>74</v>
      </c>
      <c r="BQ3509" s="1" t="s">
        <v>74</v>
      </c>
      <c r="BR3509" s="1" t="s">
        <v>98</v>
      </c>
      <c r="BS3509" s="1" t="s">
        <v>55629</v>
      </c>
      <c r="BT3509" s="1" t="str">
        <f>HYPERLINK("https%3A%2F%2Fwww.webofscience.com%2Fwos%2Fwoscc%2Ffull-record%2FWOS:000461546800010","View Full Record in Web of Science")</f>
        <v>View Full Record in Web of Science</v>
      </c>
      <c r="BU3509" s="1"/>
      <c r="BV3509" s="1"/>
    </row>
    <row r="3510" spans="1:74">
      <c r="A3510" s="1" t="s">
        <v>72</v>
      </c>
      <c r="B3510" s="1" t="s">
        <v>55630</v>
      </c>
      <c r="C3510" s="1" t="s">
        <v>74</v>
      </c>
      <c r="D3510" s="1" t="s">
        <v>74</v>
      </c>
      <c r="E3510" s="1" t="s">
        <v>74</v>
      </c>
      <c r="F3510" s="1" t="s">
        <v>55631</v>
      </c>
      <c r="G3510" s="1" t="s">
        <v>74</v>
      </c>
      <c r="H3510" s="1" t="s">
        <v>74</v>
      </c>
      <c r="I3510" s="1" t="s">
        <v>55632</v>
      </c>
      <c r="J3510" s="1" t="s">
        <v>127</v>
      </c>
      <c r="K3510" s="1" t="s">
        <v>74</v>
      </c>
      <c r="L3510" s="1" t="s">
        <v>74</v>
      </c>
      <c r="M3510" s="1" t="s">
        <v>78</v>
      </c>
      <c r="N3510" s="1" t="s">
        <v>79</v>
      </c>
      <c r="O3510" s="1" t="s">
        <v>74</v>
      </c>
      <c r="P3510" s="1" t="s">
        <v>74</v>
      </c>
      <c r="Q3510" s="1" t="s">
        <v>74</v>
      </c>
      <c r="R3510" s="1" t="s">
        <v>74</v>
      </c>
      <c r="S3510" s="1" t="s">
        <v>74</v>
      </c>
      <c r="T3510" s="1" t="s">
        <v>55633</v>
      </c>
      <c r="U3510" s="1" t="s">
        <v>55634</v>
      </c>
      <c r="V3510" s="1" t="s">
        <v>55635</v>
      </c>
      <c r="W3510" s="1" t="s">
        <v>55636</v>
      </c>
      <c r="X3510" s="1" t="s">
        <v>55637</v>
      </c>
      <c r="Y3510" s="1" t="s">
        <v>55638</v>
      </c>
      <c r="Z3510" s="1" t="s">
        <v>55639</v>
      </c>
      <c r="AA3510" s="1" t="s">
        <v>55640</v>
      </c>
      <c r="AB3510" s="1" t="s">
        <v>55641</v>
      </c>
      <c r="AC3510" s="1" t="s">
        <v>74</v>
      </c>
      <c r="AD3510" s="1" t="s">
        <v>74</v>
      </c>
      <c r="AE3510" s="1" t="s">
        <v>74</v>
      </c>
      <c r="AF3510" s="1" t="s">
        <v>74</v>
      </c>
      <c r="AG3510" s="1">
        <v>128</v>
      </c>
      <c r="AH3510" s="1">
        <v>71</v>
      </c>
      <c r="AI3510" s="1">
        <v>76</v>
      </c>
      <c r="AJ3510" s="1">
        <v>7</v>
      </c>
      <c r="AK3510" s="1">
        <v>135</v>
      </c>
      <c r="AL3510" s="1" t="s">
        <v>136</v>
      </c>
      <c r="AM3510" s="1" t="s">
        <v>137</v>
      </c>
      <c r="AN3510" s="1" t="s">
        <v>138</v>
      </c>
      <c r="AO3510" s="1" t="s">
        <v>139</v>
      </c>
      <c r="AP3510" s="1" t="s">
        <v>140</v>
      </c>
      <c r="AQ3510" s="1" t="s">
        <v>74</v>
      </c>
      <c r="AR3510" s="1" t="s">
        <v>127</v>
      </c>
      <c r="AS3510" s="1" t="s">
        <v>141</v>
      </c>
      <c r="AT3510" s="1" t="s">
        <v>1470</v>
      </c>
      <c r="AU3510" s="1">
        <v>2019</v>
      </c>
      <c r="AV3510" s="1">
        <v>215</v>
      </c>
      <c r="AW3510" s="1" t="s">
        <v>74</v>
      </c>
      <c r="AX3510" s="1" t="s">
        <v>74</v>
      </c>
      <c r="AY3510" s="1" t="s">
        <v>74</v>
      </c>
      <c r="AZ3510" s="1" t="s">
        <v>74</v>
      </c>
      <c r="BA3510" s="1" t="s">
        <v>74</v>
      </c>
      <c r="BB3510" s="1">
        <v>835</v>
      </c>
      <c r="BC3510" s="1">
        <v>845</v>
      </c>
      <c r="BD3510" s="1" t="s">
        <v>74</v>
      </c>
      <c r="BE3510" s="1" t="s">
        <v>55642</v>
      </c>
      <c r="BF3510" s="1" t="str">
        <f>HYPERLINK("http://dx.doi.org/10.1016/j.chemosphere.2018.10.092","http://dx.doi.org/10.1016/j.chemosphere.2018.10.092")</f>
        <v>http://dx.doi.org/10.1016/j.chemosphere.2018.10.092</v>
      </c>
      <c r="BG3510" s="1" t="s">
        <v>74</v>
      </c>
      <c r="BH3510" s="1" t="s">
        <v>74</v>
      </c>
      <c r="BI3510" s="1">
        <v>11</v>
      </c>
      <c r="BJ3510" s="1" t="s">
        <v>144</v>
      </c>
      <c r="BK3510" s="1" t="s">
        <v>96</v>
      </c>
      <c r="BL3510" s="1" t="s">
        <v>145</v>
      </c>
      <c r="BM3510" s="1" t="s">
        <v>55643</v>
      </c>
      <c r="BN3510" s="1">
        <v>30359953</v>
      </c>
      <c r="BO3510" s="1" t="s">
        <v>1270</v>
      </c>
      <c r="BP3510" s="1" t="s">
        <v>74</v>
      </c>
      <c r="BQ3510" s="1" t="s">
        <v>74</v>
      </c>
      <c r="BR3510" s="1" t="s">
        <v>98</v>
      </c>
      <c r="BS3510" s="1" t="s">
        <v>55644</v>
      </c>
      <c r="BT3510" s="1" t="str">
        <f>HYPERLINK("https%3A%2F%2Fwww.webofscience.com%2Fwos%2Fwoscc%2Ffull-record%2FWOS:000450383400093","View Full Record in Web of Science")</f>
        <v>View Full Record in Web of Science</v>
      </c>
      <c r="BU3510" s="1"/>
      <c r="BV3510" s="1"/>
    </row>
    <row r="3511" spans="1:74">
      <c r="A3511" s="1" t="s">
        <v>72</v>
      </c>
      <c r="B3511" s="1" t="s">
        <v>55645</v>
      </c>
      <c r="C3511" s="1" t="s">
        <v>74</v>
      </c>
      <c r="D3511" s="1" t="s">
        <v>74</v>
      </c>
      <c r="E3511" s="1" t="s">
        <v>74</v>
      </c>
      <c r="F3511" s="1" t="s">
        <v>55646</v>
      </c>
      <c r="G3511" s="1" t="s">
        <v>74</v>
      </c>
      <c r="H3511" s="1" t="s">
        <v>74</v>
      </c>
      <c r="I3511" s="1" t="s">
        <v>55647</v>
      </c>
      <c r="J3511" s="1" t="s">
        <v>232</v>
      </c>
      <c r="K3511" s="1" t="s">
        <v>74</v>
      </c>
      <c r="L3511" s="1" t="s">
        <v>74</v>
      </c>
      <c r="M3511" s="1" t="s">
        <v>78</v>
      </c>
      <c r="N3511" s="1" t="s">
        <v>79</v>
      </c>
      <c r="O3511" s="1" t="s">
        <v>74</v>
      </c>
      <c r="P3511" s="1" t="s">
        <v>74</v>
      </c>
      <c r="Q3511" s="1" t="s">
        <v>74</v>
      </c>
      <c r="R3511" s="1" t="s">
        <v>74</v>
      </c>
      <c r="S3511" s="1" t="s">
        <v>74</v>
      </c>
      <c r="T3511" s="1" t="s">
        <v>55648</v>
      </c>
      <c r="U3511" s="1" t="s">
        <v>55649</v>
      </c>
      <c r="V3511" s="1" t="s">
        <v>55650</v>
      </c>
      <c r="W3511" s="1" t="s">
        <v>55651</v>
      </c>
      <c r="X3511" s="1" t="s">
        <v>55652</v>
      </c>
      <c r="Y3511" s="1" t="s">
        <v>55653</v>
      </c>
      <c r="Z3511" s="1" t="s">
        <v>55654</v>
      </c>
      <c r="AA3511" s="1" t="s">
        <v>55655</v>
      </c>
      <c r="AB3511" s="1" t="s">
        <v>55656</v>
      </c>
      <c r="AC3511" s="1" t="s">
        <v>55657</v>
      </c>
      <c r="AD3511" s="1" t="s">
        <v>55658</v>
      </c>
      <c r="AE3511" s="1" t="s">
        <v>55659</v>
      </c>
      <c r="AF3511" s="1" t="s">
        <v>74</v>
      </c>
      <c r="AG3511" s="1">
        <v>94</v>
      </c>
      <c r="AH3511" s="1">
        <v>24</v>
      </c>
      <c r="AI3511" s="1">
        <v>29</v>
      </c>
      <c r="AJ3511" s="1">
        <v>2</v>
      </c>
      <c r="AK3511" s="1">
        <v>39</v>
      </c>
      <c r="AL3511" s="1" t="s">
        <v>136</v>
      </c>
      <c r="AM3511" s="1" t="s">
        <v>137</v>
      </c>
      <c r="AN3511" s="1" t="s">
        <v>138</v>
      </c>
      <c r="AO3511" s="1" t="s">
        <v>240</v>
      </c>
      <c r="AP3511" s="1" t="s">
        <v>241</v>
      </c>
      <c r="AQ3511" s="1" t="s">
        <v>74</v>
      </c>
      <c r="AR3511" s="1" t="s">
        <v>242</v>
      </c>
      <c r="AS3511" s="1" t="s">
        <v>243</v>
      </c>
      <c r="AT3511" s="1" t="s">
        <v>387</v>
      </c>
      <c r="AU3511" s="1">
        <v>2016</v>
      </c>
      <c r="AV3511" s="1">
        <v>106</v>
      </c>
      <c r="AW3511" s="1" t="s">
        <v>326</v>
      </c>
      <c r="AX3511" s="1" t="s">
        <v>74</v>
      </c>
      <c r="AY3511" s="1" t="s">
        <v>74</v>
      </c>
      <c r="AZ3511" s="1" t="s">
        <v>74</v>
      </c>
      <c r="BA3511" s="1" t="s">
        <v>74</v>
      </c>
      <c r="BB3511" s="1">
        <v>236</v>
      </c>
      <c r="BC3511" s="1">
        <v>244</v>
      </c>
      <c r="BD3511" s="1" t="s">
        <v>74</v>
      </c>
      <c r="BE3511" s="1" t="s">
        <v>55660</v>
      </c>
      <c r="BF3511" s="1" t="str">
        <f>HYPERLINK("http://dx.doi.org/10.1016/j.marpolbul.2016.02.064","http://dx.doi.org/10.1016/j.marpolbul.2016.02.064")</f>
        <v>http://dx.doi.org/10.1016/j.marpolbul.2016.02.064</v>
      </c>
      <c r="BG3511" s="1" t="s">
        <v>74</v>
      </c>
      <c r="BH3511" s="1" t="s">
        <v>74</v>
      </c>
      <c r="BI3511" s="1">
        <v>9</v>
      </c>
      <c r="BJ3511" s="1" t="s">
        <v>247</v>
      </c>
      <c r="BK3511" s="1" t="s">
        <v>96</v>
      </c>
      <c r="BL3511" s="1" t="s">
        <v>248</v>
      </c>
      <c r="BM3511" s="1" t="s">
        <v>31097</v>
      </c>
      <c r="BN3511" s="1">
        <v>26988391</v>
      </c>
      <c r="BO3511" s="1" t="s">
        <v>74</v>
      </c>
      <c r="BP3511" s="1" t="s">
        <v>74</v>
      </c>
      <c r="BQ3511" s="1" t="s">
        <v>74</v>
      </c>
      <c r="BR3511" s="1" t="s">
        <v>98</v>
      </c>
      <c r="BS3511" s="1" t="s">
        <v>55661</v>
      </c>
      <c r="BT3511" s="1" t="str">
        <f>HYPERLINK("https%3A%2F%2Fwww.webofscience.com%2Fwos%2Fwoscc%2Ffull-record%2FWOS:000376545900041","View Full Record in Web of Science")</f>
        <v>View Full Record in Web of Science</v>
      </c>
      <c r="BU3511" s="1"/>
      <c r="BV3511" s="1"/>
    </row>
    <row r="3512" spans="1:74">
      <c r="A3512" s="1" t="s">
        <v>72</v>
      </c>
      <c r="B3512" s="1" t="s">
        <v>55662</v>
      </c>
      <c r="C3512" s="1" t="s">
        <v>74</v>
      </c>
      <c r="D3512" s="1" t="s">
        <v>74</v>
      </c>
      <c r="E3512" s="1" t="s">
        <v>74</v>
      </c>
      <c r="F3512" s="1" t="s">
        <v>55663</v>
      </c>
      <c r="G3512" s="1" t="s">
        <v>74</v>
      </c>
      <c r="H3512" s="1" t="s">
        <v>74</v>
      </c>
      <c r="I3512" s="1" t="s">
        <v>55664</v>
      </c>
      <c r="J3512" s="1" t="s">
        <v>55665</v>
      </c>
      <c r="K3512" s="1" t="s">
        <v>74</v>
      </c>
      <c r="L3512" s="1" t="s">
        <v>74</v>
      </c>
      <c r="M3512" s="1" t="s">
        <v>78</v>
      </c>
      <c r="N3512" s="1" t="s">
        <v>79</v>
      </c>
      <c r="O3512" s="1" t="s">
        <v>74</v>
      </c>
      <c r="P3512" s="1" t="s">
        <v>74</v>
      </c>
      <c r="Q3512" s="1" t="s">
        <v>74</v>
      </c>
      <c r="R3512" s="1" t="s">
        <v>74</v>
      </c>
      <c r="S3512" s="1" t="s">
        <v>74</v>
      </c>
      <c r="T3512" s="1" t="s">
        <v>55666</v>
      </c>
      <c r="U3512" s="1" t="s">
        <v>55667</v>
      </c>
      <c r="V3512" s="1" t="s">
        <v>55668</v>
      </c>
      <c r="W3512" s="1" t="s">
        <v>55669</v>
      </c>
      <c r="X3512" s="1" t="s">
        <v>55670</v>
      </c>
      <c r="Y3512" s="1" t="s">
        <v>55671</v>
      </c>
      <c r="Z3512" s="1" t="s">
        <v>55672</v>
      </c>
      <c r="AA3512" s="1" t="s">
        <v>74</v>
      </c>
      <c r="AB3512" s="1" t="s">
        <v>55673</v>
      </c>
      <c r="AC3512" s="1" t="s">
        <v>55674</v>
      </c>
      <c r="AD3512" s="1" t="s">
        <v>55675</v>
      </c>
      <c r="AE3512" s="1" t="s">
        <v>55676</v>
      </c>
      <c r="AF3512" s="1" t="s">
        <v>74</v>
      </c>
      <c r="AG3512" s="1">
        <v>34</v>
      </c>
      <c r="AH3512" s="1">
        <v>0</v>
      </c>
      <c r="AI3512" s="1">
        <v>0</v>
      </c>
      <c r="AJ3512" s="1">
        <v>0</v>
      </c>
      <c r="AK3512" s="1">
        <v>3</v>
      </c>
      <c r="AL3512" s="1" t="s">
        <v>55677</v>
      </c>
      <c r="AM3512" s="1" t="s">
        <v>55678</v>
      </c>
      <c r="AN3512" s="1" t="s">
        <v>55679</v>
      </c>
      <c r="AO3512" s="1" t="s">
        <v>55680</v>
      </c>
      <c r="AP3512" s="1" t="s">
        <v>74</v>
      </c>
      <c r="AQ3512" s="1" t="s">
        <v>74</v>
      </c>
      <c r="AR3512" s="1" t="s">
        <v>55665</v>
      </c>
      <c r="AS3512" s="1" t="s">
        <v>55681</v>
      </c>
      <c r="AT3512" s="1" t="s">
        <v>74</v>
      </c>
      <c r="AU3512" s="1">
        <v>2014</v>
      </c>
      <c r="AV3512" s="1">
        <v>12</v>
      </c>
      <c r="AW3512" s="1">
        <v>4</v>
      </c>
      <c r="AX3512" s="1" t="s">
        <v>74</v>
      </c>
      <c r="AY3512" s="1" t="s">
        <v>74</v>
      </c>
      <c r="AZ3512" s="1" t="s">
        <v>74</v>
      </c>
      <c r="BA3512" s="1" t="s">
        <v>74</v>
      </c>
      <c r="BB3512" s="1">
        <v>582</v>
      </c>
      <c r="BC3512" s="1">
        <v>589</v>
      </c>
      <c r="BD3512" s="1" t="s">
        <v>74</v>
      </c>
      <c r="BE3512" s="1" t="s">
        <v>55682</v>
      </c>
      <c r="BF3512" s="1" t="str">
        <f>HYPERLINK("http://dx.doi.org/10.2203/dose-response.13-053.Kundu","http://dx.doi.org/10.2203/dose-response.13-053.Kundu")</f>
        <v>http://dx.doi.org/10.2203/dose-response.13-053.Kundu</v>
      </c>
      <c r="BG3512" s="1" t="s">
        <v>74</v>
      </c>
      <c r="BH3512" s="1" t="s">
        <v>74</v>
      </c>
      <c r="BI3512" s="1">
        <v>8</v>
      </c>
      <c r="BJ3512" s="1" t="s">
        <v>55683</v>
      </c>
      <c r="BK3512" s="1" t="s">
        <v>96</v>
      </c>
      <c r="BL3512" s="1" t="s">
        <v>55683</v>
      </c>
      <c r="BM3512" s="1" t="s">
        <v>55684</v>
      </c>
      <c r="BN3512" s="1">
        <v>25552958</v>
      </c>
      <c r="BO3512" s="1" t="s">
        <v>2155</v>
      </c>
      <c r="BP3512" s="1" t="s">
        <v>74</v>
      </c>
      <c r="BQ3512" s="1" t="s">
        <v>74</v>
      </c>
      <c r="BR3512" s="1" t="s">
        <v>98</v>
      </c>
      <c r="BS3512" s="1" t="s">
        <v>55685</v>
      </c>
      <c r="BT3512" s="1" t="str">
        <f>HYPERLINK("https%3A%2F%2Fwww.webofscience.com%2Fwos%2Fwoscc%2Ffull-record%2FWOS:000346662400007","View Full Record in Web of Science")</f>
        <v>View Full Record in Web of Science</v>
      </c>
      <c r="BU3512" s="1"/>
      <c r="BV3512" s="1"/>
    </row>
    <row r="3513" spans="1:74">
      <c r="A3513" s="1" t="s">
        <v>72</v>
      </c>
      <c r="B3513" s="1" t="s">
        <v>55686</v>
      </c>
      <c r="C3513" s="1" t="s">
        <v>74</v>
      </c>
      <c r="D3513" s="1" t="s">
        <v>74</v>
      </c>
      <c r="E3513" s="1" t="s">
        <v>74</v>
      </c>
      <c r="F3513" s="1" t="s">
        <v>55687</v>
      </c>
      <c r="G3513" s="1" t="s">
        <v>74</v>
      </c>
      <c r="H3513" s="1" t="s">
        <v>74</v>
      </c>
      <c r="I3513" s="1" t="s">
        <v>55688</v>
      </c>
      <c r="J3513" s="1" t="s">
        <v>204</v>
      </c>
      <c r="K3513" s="1" t="s">
        <v>74</v>
      </c>
      <c r="L3513" s="1" t="s">
        <v>74</v>
      </c>
      <c r="M3513" s="1" t="s">
        <v>78</v>
      </c>
      <c r="N3513" s="1" t="s">
        <v>79</v>
      </c>
      <c r="O3513" s="1" t="s">
        <v>74</v>
      </c>
      <c r="P3513" s="1" t="s">
        <v>74</v>
      </c>
      <c r="Q3513" s="1" t="s">
        <v>74</v>
      </c>
      <c r="R3513" s="1" t="s">
        <v>74</v>
      </c>
      <c r="S3513" s="1" t="s">
        <v>74</v>
      </c>
      <c r="T3513" s="1" t="s">
        <v>55689</v>
      </c>
      <c r="U3513" s="1" t="s">
        <v>55690</v>
      </c>
      <c r="V3513" s="1" t="s">
        <v>55691</v>
      </c>
      <c r="W3513" s="1" t="s">
        <v>55692</v>
      </c>
      <c r="X3513" s="1" t="s">
        <v>9166</v>
      </c>
      <c r="Y3513" s="1" t="s">
        <v>55693</v>
      </c>
      <c r="Z3513" s="1" t="s">
        <v>55694</v>
      </c>
      <c r="AA3513" s="1" t="s">
        <v>55695</v>
      </c>
      <c r="AB3513" s="1" t="s">
        <v>55696</v>
      </c>
      <c r="AC3513" s="1" t="s">
        <v>55697</v>
      </c>
      <c r="AD3513" s="1" t="s">
        <v>55698</v>
      </c>
      <c r="AE3513" s="1" t="s">
        <v>55699</v>
      </c>
      <c r="AF3513" s="1" t="s">
        <v>74</v>
      </c>
      <c r="AG3513" s="1">
        <v>105</v>
      </c>
      <c r="AH3513" s="1">
        <v>10</v>
      </c>
      <c r="AI3513" s="1">
        <v>11</v>
      </c>
      <c r="AJ3513" s="1">
        <v>1</v>
      </c>
      <c r="AK3513" s="1">
        <v>19</v>
      </c>
      <c r="AL3513" s="1" t="s">
        <v>217</v>
      </c>
      <c r="AM3513" s="1" t="s">
        <v>218</v>
      </c>
      <c r="AN3513" s="1" t="s">
        <v>219</v>
      </c>
      <c r="AO3513" s="1" t="s">
        <v>220</v>
      </c>
      <c r="AP3513" s="1" t="s">
        <v>221</v>
      </c>
      <c r="AQ3513" s="1" t="s">
        <v>74</v>
      </c>
      <c r="AR3513" s="1" t="s">
        <v>222</v>
      </c>
      <c r="AS3513" s="1" t="s">
        <v>223</v>
      </c>
      <c r="AT3513" s="1" t="s">
        <v>119</v>
      </c>
      <c r="AU3513" s="1">
        <v>2021</v>
      </c>
      <c r="AV3513" s="1">
        <v>28</v>
      </c>
      <c r="AW3513" s="1">
        <v>29</v>
      </c>
      <c r="AX3513" s="1" t="s">
        <v>74</v>
      </c>
      <c r="AY3513" s="1" t="s">
        <v>74</v>
      </c>
      <c r="AZ3513" s="1" t="s">
        <v>74</v>
      </c>
      <c r="BA3513" s="1" t="s">
        <v>74</v>
      </c>
      <c r="BB3513" s="1">
        <v>38792</v>
      </c>
      <c r="BC3513" s="1">
        <v>38808</v>
      </c>
      <c r="BD3513" s="1" t="s">
        <v>74</v>
      </c>
      <c r="BE3513" s="1" t="s">
        <v>55700</v>
      </c>
      <c r="BF3513" s="1" t="str">
        <f>HYPERLINK("http://dx.doi.org/10.1007/s11356-021-13200-5","http://dx.doi.org/10.1007/s11356-021-13200-5")</f>
        <v>http://dx.doi.org/10.1007/s11356-021-13200-5</v>
      </c>
      <c r="BG3513" s="1" t="s">
        <v>74</v>
      </c>
      <c r="BH3513" s="1" t="s">
        <v>992</v>
      </c>
      <c r="BI3513" s="1">
        <v>17</v>
      </c>
      <c r="BJ3513" s="1" t="s">
        <v>144</v>
      </c>
      <c r="BK3513" s="1" t="s">
        <v>96</v>
      </c>
      <c r="BL3513" s="1" t="s">
        <v>145</v>
      </c>
      <c r="BM3513" s="1" t="s">
        <v>52483</v>
      </c>
      <c r="BN3513" s="1">
        <v>33740191</v>
      </c>
      <c r="BO3513" s="1" t="s">
        <v>74</v>
      </c>
      <c r="BP3513" s="1" t="s">
        <v>74</v>
      </c>
      <c r="BQ3513" s="1" t="s">
        <v>74</v>
      </c>
      <c r="BR3513" s="1" t="s">
        <v>98</v>
      </c>
      <c r="BS3513" s="1" t="s">
        <v>55701</v>
      </c>
      <c r="BT3513" s="1" t="str">
        <f>HYPERLINK("https%3A%2F%2Fwww.webofscience.com%2Fwos%2Fwoscc%2Ffull-record%2FWOS:000630657000007","View Full Record in Web of Science")</f>
        <v>View Full Record in Web of Science</v>
      </c>
      <c r="BU3513" s="1"/>
      <c r="BV3513" s="1"/>
    </row>
    <row r="3514" spans="1:74">
      <c r="A3514" s="1" t="s">
        <v>72</v>
      </c>
      <c r="B3514" s="1" t="s">
        <v>55702</v>
      </c>
      <c r="C3514" s="1" t="s">
        <v>74</v>
      </c>
      <c r="D3514" s="1" t="s">
        <v>74</v>
      </c>
      <c r="E3514" s="1" t="s">
        <v>74</v>
      </c>
      <c r="F3514" s="1" t="s">
        <v>55703</v>
      </c>
      <c r="G3514" s="1" t="s">
        <v>74</v>
      </c>
      <c r="H3514" s="1" t="s">
        <v>74</v>
      </c>
      <c r="I3514" s="1" t="s">
        <v>55704</v>
      </c>
      <c r="J3514" s="1" t="s">
        <v>704</v>
      </c>
      <c r="K3514" s="1" t="s">
        <v>74</v>
      </c>
      <c r="L3514" s="1" t="s">
        <v>74</v>
      </c>
      <c r="M3514" s="1" t="s">
        <v>78</v>
      </c>
      <c r="N3514" s="1" t="s">
        <v>79</v>
      </c>
      <c r="O3514" s="1" t="s">
        <v>74</v>
      </c>
      <c r="P3514" s="1" t="s">
        <v>74</v>
      </c>
      <c r="Q3514" s="1" t="s">
        <v>74</v>
      </c>
      <c r="R3514" s="1" t="s">
        <v>74</v>
      </c>
      <c r="S3514" s="1" t="s">
        <v>74</v>
      </c>
      <c r="T3514" s="1" t="s">
        <v>55705</v>
      </c>
      <c r="U3514" s="1" t="s">
        <v>55706</v>
      </c>
      <c r="V3514" s="1" t="s">
        <v>55707</v>
      </c>
      <c r="W3514" s="1" t="s">
        <v>55708</v>
      </c>
      <c r="X3514" s="1" t="s">
        <v>55709</v>
      </c>
      <c r="Y3514" s="1" t="s">
        <v>55710</v>
      </c>
      <c r="Z3514" s="1" t="s">
        <v>55711</v>
      </c>
      <c r="AA3514" s="1" t="s">
        <v>74</v>
      </c>
      <c r="AB3514" s="1" t="s">
        <v>55712</v>
      </c>
      <c r="AC3514" s="1" t="s">
        <v>55713</v>
      </c>
      <c r="AD3514" s="1" t="s">
        <v>55714</v>
      </c>
      <c r="AE3514" s="1" t="s">
        <v>55715</v>
      </c>
      <c r="AF3514" s="1" t="s">
        <v>74</v>
      </c>
      <c r="AG3514" s="1">
        <v>50</v>
      </c>
      <c r="AH3514" s="1">
        <v>11</v>
      </c>
      <c r="AI3514" s="1">
        <v>13</v>
      </c>
      <c r="AJ3514" s="1">
        <v>2</v>
      </c>
      <c r="AK3514" s="1">
        <v>28</v>
      </c>
      <c r="AL3514" s="1" t="s">
        <v>4010</v>
      </c>
      <c r="AM3514" s="1" t="s">
        <v>1167</v>
      </c>
      <c r="AN3514" s="1" t="s">
        <v>1168</v>
      </c>
      <c r="AO3514" s="1" t="s">
        <v>718</v>
      </c>
      <c r="AP3514" s="1" t="s">
        <v>1169</v>
      </c>
      <c r="AQ3514" s="1" t="s">
        <v>74</v>
      </c>
      <c r="AR3514" s="1" t="s">
        <v>719</v>
      </c>
      <c r="AS3514" s="1" t="s">
        <v>720</v>
      </c>
      <c r="AT3514" s="1" t="s">
        <v>1470</v>
      </c>
      <c r="AU3514" s="1">
        <v>2016</v>
      </c>
      <c r="AV3514" s="1">
        <v>227</v>
      </c>
      <c r="AW3514" s="1">
        <v>1</v>
      </c>
      <c r="AX3514" s="1" t="s">
        <v>74</v>
      </c>
      <c r="AY3514" s="1" t="s">
        <v>74</v>
      </c>
      <c r="AZ3514" s="1" t="s">
        <v>74</v>
      </c>
      <c r="BA3514" s="1" t="s">
        <v>74</v>
      </c>
      <c r="BB3514" s="1" t="s">
        <v>74</v>
      </c>
      <c r="BC3514" s="1" t="s">
        <v>74</v>
      </c>
      <c r="BD3514" s="1" t="s">
        <v>74</v>
      </c>
      <c r="BE3514" s="1" t="s">
        <v>55716</v>
      </c>
      <c r="BF3514" s="1" t="str">
        <f>HYPERLINK("http://dx.doi.org/10.1007/s11270-015-2737-3","http://dx.doi.org/10.1007/s11270-015-2737-3")</f>
        <v>http://dx.doi.org/10.1007/s11270-015-2737-3</v>
      </c>
      <c r="BG3514" s="1" t="s">
        <v>74</v>
      </c>
      <c r="BH3514" s="1" t="s">
        <v>74</v>
      </c>
      <c r="BI3514" s="1">
        <v>11</v>
      </c>
      <c r="BJ3514" s="1" t="s">
        <v>722</v>
      </c>
      <c r="BK3514" s="1" t="s">
        <v>96</v>
      </c>
      <c r="BL3514" s="1" t="s">
        <v>723</v>
      </c>
      <c r="BM3514" s="1" t="s">
        <v>55717</v>
      </c>
      <c r="BN3514" s="1" t="s">
        <v>74</v>
      </c>
      <c r="BO3514" s="1" t="s">
        <v>74</v>
      </c>
      <c r="BP3514" s="1" t="s">
        <v>74</v>
      </c>
      <c r="BQ3514" s="1" t="s">
        <v>74</v>
      </c>
      <c r="BR3514" s="1" t="s">
        <v>98</v>
      </c>
      <c r="BS3514" s="1" t="s">
        <v>55718</v>
      </c>
      <c r="BT3514" s="1" t="str">
        <f>HYPERLINK("https%3A%2F%2Fwww.webofscience.com%2Fwos%2Fwoscc%2Ffull-record%2FWOS:000367898100039","View Full Record in Web of Science")</f>
        <v>View Full Record in Web of Science</v>
      </c>
      <c r="BU3514" s="1"/>
      <c r="BV3514" s="1"/>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Patil Amit</dc:creator>
  <cp:lastModifiedBy>Patil Amit</cp:lastModifiedBy>
  <dcterms:created xsi:type="dcterms:W3CDTF">2024-09-15T13:22:24Z</dcterms:created>
  <dcterms:modified xsi:type="dcterms:W3CDTF">2024-09-15T13:28:06Z</dcterms:modified>
</cp:coreProperties>
</file>